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hidePivotFieldList="1" defaultThemeVersion="166925"/>
  <mc:AlternateContent xmlns:mc="http://schemas.openxmlformats.org/markup-compatibility/2006">
    <mc:Choice Requires="x15">
      <x15ac:absPath xmlns:x15ac="http://schemas.microsoft.com/office/spreadsheetml/2010/11/ac" url="https://gizonline.sharepoint.com/sites/MobilizeNetZero21.9015.5withguests/Freigegebene Dokumente/F - II.1 Tracker and Text Mining/NDC Transport Tracker/Tracker/"/>
    </mc:Choice>
  </mc:AlternateContent>
  <xr:revisionPtr revIDLastSave="16" documentId="8_{2DC42167-EFE5-45DC-AD6F-52993255527A}" xr6:coauthVersionLast="47" xr6:coauthVersionMax="47" xr10:uidLastSave="{2998B0A7-C4FA-45F7-A78F-1930B4686090}"/>
  <bookViews>
    <workbookView xWindow="-28920" yWindow="-120" windowWidth="29040" windowHeight="15720" tabRatio="904" activeTab="2" xr2:uid="{231436F4-1D19-48D6-8035-F741AB030FF5}"/>
  </bookViews>
  <sheets>
    <sheet name="Read me" sheetId="23" r:id="rId1"/>
    <sheet name="Country" sheetId="42" r:id="rId2"/>
    <sheet name="Document" sheetId="12" r:id="rId3"/>
    <sheet name="Targets" sheetId="13" r:id="rId4"/>
    <sheet name="Mitigation" sheetId="3" r:id="rId5"/>
    <sheet name="Adaptation" sheetId="4" r:id="rId6"/>
    <sheet name="Benefits" sheetId="17" r:id="rId7"/>
    <sheet name="References" sheetId="34" r:id="rId8"/>
    <sheet name="GHG" sheetId="29" r:id="rId9"/>
    <sheet name="Drop down" sheetId="43" r:id="rId10"/>
    <sheet name="Def_Targets" sheetId="44" r:id="rId11"/>
    <sheet name="Def_Indicators" sheetId="27" r:id="rId12"/>
    <sheet name="Mapping_Activity-Type" sheetId="59" state="hidden" r:id="rId13"/>
  </sheets>
  <definedNames>
    <definedName name="_xlnm._FilterDatabase" localSheetId="6" hidden="1">Benefits!#REF!</definedName>
    <definedName name="_xlnm._FilterDatabase" localSheetId="4" hidden="1">Mitigation!#REF!</definedName>
    <definedName name="_xlcn.Table81" hidden="1">Table8[]</definedName>
    <definedName name="_xlcn.WorksheetConnection_NDCDatabaseAnalysis_current.xlsxTable101" hidden="1">Table10[]</definedName>
    <definedName name="_xlcn.WorksheetConnection_NDCDatabaseAnalysis_current.xlsxTable11" hidden="1">Table1[]</definedName>
    <definedName name="_xlcn.WorksheetConnection_NDCDatabaseAnalysis_current.xlsxTable121" hidden="1">Table12</definedName>
    <definedName name="_xlcn.WorksheetConnection_NDCDatabaseAnalysis_current.xlsxTable181" hidden="1">Table18</definedName>
    <definedName name="_xlcn.WorksheetConnection_NDCDatabaseAnalysis_current.xlsxTable21" hidden="1">Table2</definedName>
    <definedName name="_xlcn.WorksheetConnection_NDCDatabaseAnalysis_current.xlsxTable31" hidden="1">Table3[]</definedName>
    <definedName name="_xlcn.WorksheetConnection_NDCDatabaseAnalysis_current.xlsxTable51" hidden="1">Table5</definedName>
    <definedName name="_xlcn.WorksheetConnection_NDCDatabaseAnalysis_current.xlsxTable91" hidden="1">Table9[]</definedName>
    <definedName name="Alternative_fuels">'Drop down'!$D$29:$I$29</definedName>
    <definedName name="Aviation_and_maritime">'Drop down'!$D$30:$I$30</definedName>
    <definedName name="Digital_solutions">'Drop down'!$D$36:$K$36</definedName>
    <definedName name="_xlnm.Print_Area" localSheetId="10">Def_Targets!$B$2:$H$213</definedName>
    <definedName name="Economic_conditions_for_sustainable_transport">'Drop down'!$D$35:$K$35</definedName>
    <definedName name="Education_and_behavioral_change">'Drop down'!$D$42:$K$42</definedName>
    <definedName name="Electrification">'Drop down'!$D$31:$I$31</definedName>
    <definedName name="Energy_efficiency">'Drop down'!$D$28:$I$28</definedName>
    <definedName name="Energy_sector_target">'Drop down'!$D$14:$F$14</definedName>
    <definedName name="Enhance_comprehensive_transport_planning">'Drop down'!$D$39:$K$39</definedName>
    <definedName name="ExterneDaten_2" localSheetId="12" hidden="1">'Mapping_Activity-Type'!$A$1:$B$9</definedName>
    <definedName name="Freight_efficiency_improvements">'Drop down'!$D$41:$K$41</definedName>
    <definedName name="GHG">'Drop down'!$D$17:$N$17</definedName>
    <definedName name="Improve_infrastructure">'Drop down'!$D$40:$K$40</definedName>
    <definedName name="Informational_and_Educational">'Drop down'!$D$54:$H$54</definedName>
    <definedName name="Institutional_and_Regulatory">'Drop down'!$D$55:$H$55</definedName>
    <definedName name="Mode_shift_and_demand_management">'Drop down'!$D$26:$H$26</definedName>
    <definedName name="Net_zero_target">'Drop down'!$D$10:$F$10</definedName>
    <definedName name="Non_GHG">'Drop down'!$D$18:$N$18</definedName>
    <definedName name="Other_adaptation_measures">'Drop down'!$D$56:$H$56</definedName>
    <definedName name="Overall_mitigation_target">'Drop down'!$D$11:$F$11</definedName>
    <definedName name="Promote_active_mobility">'Drop down'!$D$37:$K$37</definedName>
    <definedName name="Promote_alternative_fuels">'Drop down'!$D$44:$K$44</definedName>
    <definedName name="Promote_electric_mobility">'Drop down'!$D$45:$K$45</definedName>
    <definedName name="Promote_improvements_in_aviation">'Drop down'!$D$46:$K$46</definedName>
    <definedName name="Promote_improvements_in_shipping">'Drop down'!$D$47:$K$47</definedName>
    <definedName name="Promote_vehicle_improvements">'Drop down'!$D$43:$K$43</definedName>
    <definedName name="Public_transport_improvement">'Drop down'!$D$38:$K$38</definedName>
    <definedName name="Structural_and_Technical">'Drop down'!$D$53:$H$53</definedName>
    <definedName name="Transport_demand_management">'Drop down'!$D$34:$K$34</definedName>
    <definedName name="Transport_sector_adaptation_target">'Drop down'!$D$13:$F$13</definedName>
    <definedName name="Transport_sector_mitigation_target">'Drop down'!$D$12:$F$12</definedName>
    <definedName name="Transport_system_improvements">'Drop down'!$D$27:$I$27</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9" name="Table9" connection="WorksheetConnection_NDC-Database-Analysis_current.xlsx!Table9"/>
          <x15:modelTable id="Table5" name="Table5" connection="WorksheetConnection_NDC-Database-Analysis_current.xlsx!Table5"/>
          <x15:modelTable id="Table3" name="Table3" connection="WorksheetConnection_NDC-Database-Analysis_current.xlsx!Table3"/>
          <x15:modelTable id="Table2" name="Table2" connection="WorksheetConnection_NDC-Database-Analysis_current.xlsx!Table2"/>
          <x15:modelTable id="Table18" name="Table18" connection="WorksheetConnection_NDC-Database-Analysis_current.xlsx!Table18"/>
          <x15:modelTable id="Table12" name="Table12" connection="WorksheetConnection_NDC-Database-Analysis_current.xlsx!Table12"/>
          <x15:modelTable id="Table10" name="Table10" connection="WorksheetConnection_NDC-Database-Analysis_current.xlsx!Table10"/>
          <x15:modelTable id="Table1" name="Table1" connection="WorksheetConnection_NDC-Database-Analysis_current.xlsx!Table1"/>
          <x15:modelTable id="Table8-ec662f81-dc6d-408f-bb78-da2cc99918d7" name="Table8" connection="Table8"/>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4" i="4" l="1"/>
  <c r="C384" i="4"/>
  <c r="D384" i="4"/>
  <c r="E384" i="4"/>
  <c r="F384" i="4"/>
  <c r="G384" i="4"/>
  <c r="AN384" i="4"/>
  <c r="AO384" i="4"/>
  <c r="AP384" i="4"/>
  <c r="AQ384" i="4"/>
  <c r="AR384" i="4"/>
  <c r="AS384" i="4"/>
  <c r="AT384" i="4"/>
  <c r="AU384" i="4"/>
  <c r="AV384" i="4"/>
  <c r="AW384" i="4"/>
  <c r="AX384" i="4"/>
  <c r="B1196" i="13"/>
  <c r="AB1196" i="13" s="1"/>
  <c r="D1196" i="13"/>
  <c r="F1196" i="13"/>
  <c r="G1196" i="13"/>
  <c r="P1196" i="13"/>
  <c r="Q1196" i="13"/>
  <c r="V1196" i="13"/>
  <c r="X1196" i="13"/>
  <c r="Z1196" i="13"/>
  <c r="AE1196" i="13"/>
  <c r="B1195" i="13"/>
  <c r="AB1195" i="13" s="1"/>
  <c r="C1195" i="13"/>
  <c r="D1195" i="13"/>
  <c r="F1195" i="13"/>
  <c r="G1195" i="13"/>
  <c r="P1195" i="13"/>
  <c r="Q1195" i="13"/>
  <c r="V1195" i="13"/>
  <c r="X549" i="12"/>
  <c r="C549" i="12"/>
  <c r="C1196" i="13" s="1"/>
  <c r="G549" i="12"/>
  <c r="E1196" i="13" s="1"/>
  <c r="K549" i="12" a="1"/>
  <c r="K549" i="12" s="1"/>
  <c r="N549" i="12" a="1"/>
  <c r="N549" i="12" s="1"/>
  <c r="O549" i="12"/>
  <c r="P549" i="12"/>
  <c r="Q549" i="12"/>
  <c r="V549" i="12"/>
  <c r="W549" i="12"/>
  <c r="X548" i="12"/>
  <c r="X547" i="12"/>
  <c r="X546" i="12"/>
  <c r="X545" i="12"/>
  <c r="X544" i="12"/>
  <c r="X539" i="12"/>
  <c r="X537" i="12"/>
  <c r="X536" i="12"/>
  <c r="X534" i="12"/>
  <c r="X533" i="12"/>
  <c r="X531" i="12"/>
  <c r="X530" i="12"/>
  <c r="X519" i="12"/>
  <c r="X471" i="12"/>
  <c r="X407" i="12"/>
  <c r="X388" i="12"/>
  <c r="X284" i="12"/>
  <c r="X247" i="12"/>
  <c r="X246" i="12"/>
  <c r="B2839" i="3"/>
  <c r="AV2839" i="3" s="1"/>
  <c r="D2839" i="3"/>
  <c r="F2839" i="3"/>
  <c r="G2839" i="3"/>
  <c r="AQ2839" i="3"/>
  <c r="B2943" i="3"/>
  <c r="AS2943" i="3" s="1"/>
  <c r="D2943" i="3"/>
  <c r="F2943" i="3"/>
  <c r="G2943" i="3"/>
  <c r="AQ2943" i="3"/>
  <c r="B2838" i="3"/>
  <c r="AT2838" i="3" s="1"/>
  <c r="D2838" i="3"/>
  <c r="F2838" i="3"/>
  <c r="G2838" i="3"/>
  <c r="AQ2838" i="3"/>
  <c r="B1194" i="13"/>
  <c r="W1194" i="13" s="1"/>
  <c r="D1194" i="13"/>
  <c r="F1194" i="13"/>
  <c r="G1194" i="13"/>
  <c r="P1194" i="13"/>
  <c r="Q1194" i="13"/>
  <c r="B1193" i="13"/>
  <c r="W1193" i="13" s="1"/>
  <c r="D1193" i="13"/>
  <c r="F1193" i="13"/>
  <c r="G1193" i="13"/>
  <c r="P1193" i="13"/>
  <c r="Q1193" i="13"/>
  <c r="C388" i="12"/>
  <c r="C2839" i="3" s="1"/>
  <c r="G388" i="12"/>
  <c r="K388" i="12" a="1"/>
  <c r="K388" i="12" s="1"/>
  <c r="N388" i="12" a="1"/>
  <c r="N388" i="12" s="1"/>
  <c r="O388" i="12"/>
  <c r="P388" i="12"/>
  <c r="Q388" i="12"/>
  <c r="V388" i="12"/>
  <c r="W388" i="12"/>
  <c r="B383" i="4"/>
  <c r="D383" i="4"/>
  <c r="F383" i="4"/>
  <c r="G383" i="4"/>
  <c r="AN383" i="4"/>
  <c r="B382" i="4"/>
  <c r="AO382" i="4" s="1"/>
  <c r="D382" i="4"/>
  <c r="F382" i="4"/>
  <c r="G382" i="4"/>
  <c r="AN382" i="4"/>
  <c r="B2949" i="3"/>
  <c r="AY2949" i="3" s="1"/>
  <c r="D2949" i="3"/>
  <c r="F2949" i="3"/>
  <c r="G2949" i="3"/>
  <c r="AQ2949" i="3"/>
  <c r="B2948" i="3"/>
  <c r="AV2948" i="3" s="1"/>
  <c r="D2948" i="3"/>
  <c r="F2948" i="3"/>
  <c r="G2948" i="3"/>
  <c r="AQ2948" i="3"/>
  <c r="B153" i="17"/>
  <c r="M153" i="17" s="1"/>
  <c r="D153" i="17"/>
  <c r="F153" i="17"/>
  <c r="G153" i="17"/>
  <c r="B3016" i="3"/>
  <c r="AY3016" i="3" s="1"/>
  <c r="D3016" i="3"/>
  <c r="F3016" i="3"/>
  <c r="G3016" i="3"/>
  <c r="AQ3016" i="3"/>
  <c r="B2862" i="3"/>
  <c r="AY2862" i="3" s="1"/>
  <c r="D2862" i="3"/>
  <c r="F2862" i="3"/>
  <c r="G2862" i="3"/>
  <c r="AQ2862" i="3"/>
  <c r="B2861" i="3"/>
  <c r="AY2861" i="3" s="1"/>
  <c r="D2861" i="3"/>
  <c r="F2861" i="3"/>
  <c r="G2861" i="3"/>
  <c r="AQ2861" i="3"/>
  <c r="B2983" i="3"/>
  <c r="AV2983" i="3" s="1"/>
  <c r="D2983" i="3"/>
  <c r="F2983" i="3"/>
  <c r="G2983" i="3"/>
  <c r="AQ2983" i="3"/>
  <c r="B2947" i="3"/>
  <c r="AU2947" i="3" s="1"/>
  <c r="D2947" i="3"/>
  <c r="F2947" i="3"/>
  <c r="G2947" i="3"/>
  <c r="AQ2947" i="3"/>
  <c r="B1192" i="13"/>
  <c r="X1192" i="13" s="1"/>
  <c r="D1192" i="13"/>
  <c r="F1192" i="13"/>
  <c r="G1192" i="13"/>
  <c r="P1192" i="13"/>
  <c r="Q1192" i="13"/>
  <c r="C530" i="12"/>
  <c r="G530" i="12"/>
  <c r="E1192" i="13" s="1"/>
  <c r="K530" i="12" a="1"/>
  <c r="K530" i="12" s="1"/>
  <c r="N530" i="12" a="1"/>
  <c r="N530" i="12" s="1"/>
  <c r="O530" i="12"/>
  <c r="P530" i="12"/>
  <c r="Q530" i="12"/>
  <c r="V530" i="12"/>
  <c r="W530" i="12"/>
  <c r="B2950" i="3"/>
  <c r="AV2950" i="3" s="1"/>
  <c r="D2950" i="3"/>
  <c r="F2950" i="3"/>
  <c r="G2950" i="3"/>
  <c r="AQ2950" i="3"/>
  <c r="B2864" i="3"/>
  <c r="AY2864" i="3" s="1"/>
  <c r="D2864" i="3"/>
  <c r="F2864" i="3"/>
  <c r="G2864" i="3"/>
  <c r="AQ2864" i="3"/>
  <c r="B2797" i="3"/>
  <c r="AY2797" i="3" s="1"/>
  <c r="D2797" i="3"/>
  <c r="F2797" i="3"/>
  <c r="G2797" i="3"/>
  <c r="AQ2797" i="3"/>
  <c r="B1191" i="13"/>
  <c r="D1191" i="13"/>
  <c r="F1191" i="13"/>
  <c r="G1191" i="13"/>
  <c r="P1191" i="13"/>
  <c r="Q1191" i="13"/>
  <c r="C533" i="12"/>
  <c r="G533" i="12"/>
  <c r="E2797" i="3" s="1"/>
  <c r="K533" i="12" a="1"/>
  <c r="K533" i="12" s="1"/>
  <c r="N533" i="12" a="1"/>
  <c r="N533" i="12" s="1"/>
  <c r="O533" i="12"/>
  <c r="P533" i="12"/>
  <c r="Q533" i="12"/>
  <c r="V533" i="12"/>
  <c r="W533" i="12"/>
  <c r="AN334" i="4"/>
  <c r="B1190" i="13"/>
  <c r="AA1190" i="13" s="1"/>
  <c r="D1190" i="13"/>
  <c r="F1190" i="13"/>
  <c r="G1190" i="13"/>
  <c r="P1190" i="13"/>
  <c r="Q1190" i="13"/>
  <c r="G146" i="34"/>
  <c r="F146" i="34"/>
  <c r="E146" i="34"/>
  <c r="B146" i="34"/>
  <c r="B1189" i="13"/>
  <c r="V1189" i="13" s="1"/>
  <c r="D1189" i="13"/>
  <c r="F1189" i="13"/>
  <c r="G1189" i="13"/>
  <c r="P1189" i="13"/>
  <c r="Q1189" i="13"/>
  <c r="G471" i="12"/>
  <c r="E1189" i="13" s="1"/>
  <c r="C471" i="12"/>
  <c r="C1190" i="13" s="1"/>
  <c r="K471" i="12" a="1"/>
  <c r="K471" i="12" s="1"/>
  <c r="N471" i="12" a="1"/>
  <c r="N471" i="12" s="1"/>
  <c r="O471" i="12"/>
  <c r="P471" i="12"/>
  <c r="Q471" i="12"/>
  <c r="V471" i="12"/>
  <c r="W471" i="12"/>
  <c r="Q21" i="13"/>
  <c r="AQ2810" i="3"/>
  <c r="G2810" i="3"/>
  <c r="F2810" i="3"/>
  <c r="D2810" i="3"/>
  <c r="B2810" i="3"/>
  <c r="AR2810" i="3" s="1"/>
  <c r="G2979" i="3"/>
  <c r="F2979" i="3"/>
  <c r="D2979" i="3"/>
  <c r="B2979" i="3"/>
  <c r="AQ2979" i="3"/>
  <c r="G2975" i="3"/>
  <c r="F2975" i="3"/>
  <c r="D2975" i="3"/>
  <c r="B2975" i="3"/>
  <c r="AQ2975" i="3"/>
  <c r="G2793" i="3"/>
  <c r="F2793" i="3"/>
  <c r="D2793" i="3"/>
  <c r="B2793" i="3"/>
  <c r="AX2793" i="3" s="1"/>
  <c r="AQ2793" i="3"/>
  <c r="B2823" i="3"/>
  <c r="AR2823" i="3" s="1"/>
  <c r="D2823" i="3"/>
  <c r="F2823" i="3"/>
  <c r="G2823" i="3"/>
  <c r="AQ2823" i="3"/>
  <c r="B1188" i="13"/>
  <c r="D1188" i="13"/>
  <c r="F1188" i="13"/>
  <c r="G1188" i="13"/>
  <c r="Q1188" i="13"/>
  <c r="G2833" i="3"/>
  <c r="F2833" i="3"/>
  <c r="D2833" i="3"/>
  <c r="B2833" i="3"/>
  <c r="AV2833" i="3" s="1"/>
  <c r="AQ2833" i="3"/>
  <c r="AQ2831" i="3"/>
  <c r="G2792" i="3"/>
  <c r="F2792" i="3"/>
  <c r="D2792" i="3"/>
  <c r="B2792" i="3"/>
  <c r="AX2792" i="3" s="1"/>
  <c r="AQ2792" i="3"/>
  <c r="B2795" i="3"/>
  <c r="D2795" i="3"/>
  <c r="F2795" i="3"/>
  <c r="G2795" i="3"/>
  <c r="AQ2795" i="3"/>
  <c r="B2837" i="3"/>
  <c r="D2837" i="3"/>
  <c r="F2837" i="3"/>
  <c r="G2837" i="3"/>
  <c r="AQ2837" i="3"/>
  <c r="B2836" i="3"/>
  <c r="AR2836" i="3" s="1"/>
  <c r="D2836" i="3"/>
  <c r="F2836" i="3"/>
  <c r="G2836" i="3"/>
  <c r="AQ2836" i="3"/>
  <c r="B2794" i="3"/>
  <c r="AX2794" i="3" s="1"/>
  <c r="D2794" i="3"/>
  <c r="F2794" i="3"/>
  <c r="G2794" i="3"/>
  <c r="AQ2794" i="3"/>
  <c r="B2835" i="3"/>
  <c r="BA2835" i="3" s="1"/>
  <c r="D2835" i="3"/>
  <c r="F2835" i="3"/>
  <c r="G2835" i="3"/>
  <c r="AQ2835" i="3"/>
  <c r="B2978" i="3"/>
  <c r="AZ2978" i="3" s="1"/>
  <c r="D2978" i="3"/>
  <c r="F2978" i="3"/>
  <c r="G2978" i="3"/>
  <c r="AQ2978" i="3"/>
  <c r="B381" i="4"/>
  <c r="AO381" i="4" s="1"/>
  <c r="D381" i="4"/>
  <c r="F381" i="4"/>
  <c r="G381" i="4"/>
  <c r="AN381" i="4"/>
  <c r="B2977" i="3"/>
  <c r="AR2977" i="3" s="1"/>
  <c r="D2977" i="3"/>
  <c r="F2977" i="3"/>
  <c r="G2977" i="3"/>
  <c r="AQ2977" i="3"/>
  <c r="B2976" i="3"/>
  <c r="AS2976" i="3" s="1"/>
  <c r="D2976" i="3"/>
  <c r="F2976" i="3"/>
  <c r="G2976" i="3"/>
  <c r="AQ2976" i="3"/>
  <c r="B2974" i="3"/>
  <c r="AX2974" i="3" s="1"/>
  <c r="D2974" i="3"/>
  <c r="F2974" i="3"/>
  <c r="G2974" i="3"/>
  <c r="AQ2974" i="3"/>
  <c r="B2834" i="3"/>
  <c r="AR2834" i="3" s="1"/>
  <c r="D2834" i="3"/>
  <c r="F2834" i="3"/>
  <c r="G2834" i="3"/>
  <c r="AQ2834" i="3"/>
  <c r="B2973" i="3"/>
  <c r="AV2973" i="3" s="1"/>
  <c r="D2973" i="3"/>
  <c r="F2973" i="3"/>
  <c r="G2973" i="3"/>
  <c r="AQ2973" i="3"/>
  <c r="B2832" i="3"/>
  <c r="AT2832" i="3" s="1"/>
  <c r="D2832" i="3"/>
  <c r="F2832" i="3"/>
  <c r="G2832" i="3"/>
  <c r="AQ2832" i="3"/>
  <c r="B2971" i="3"/>
  <c r="AW2971" i="3" s="1"/>
  <c r="B2972" i="3"/>
  <c r="AW2972" i="3" s="1"/>
  <c r="B2831" i="3"/>
  <c r="AR2831" i="3" s="1"/>
  <c r="D2971" i="3"/>
  <c r="D2972" i="3"/>
  <c r="D2831" i="3"/>
  <c r="F2971" i="3"/>
  <c r="F2972" i="3"/>
  <c r="F2831" i="3"/>
  <c r="G2971" i="3"/>
  <c r="G2972" i="3"/>
  <c r="G2831" i="3"/>
  <c r="AQ2971" i="3"/>
  <c r="AQ2972" i="3"/>
  <c r="B3015" i="3"/>
  <c r="AR3015" i="3" s="1"/>
  <c r="D3015" i="3"/>
  <c r="F3015" i="3"/>
  <c r="G3015" i="3"/>
  <c r="AQ3015" i="3"/>
  <c r="B2970" i="3"/>
  <c r="AW2970" i="3" s="1"/>
  <c r="D2970" i="3"/>
  <c r="F2970" i="3"/>
  <c r="G2970" i="3"/>
  <c r="AQ2970" i="3"/>
  <c r="B2830" i="3"/>
  <c r="AR2830" i="3" s="1"/>
  <c r="D2830" i="3"/>
  <c r="F2830" i="3"/>
  <c r="G2830" i="3"/>
  <c r="AQ2830" i="3"/>
  <c r="B2942" i="3"/>
  <c r="AZ2942" i="3" s="1"/>
  <c r="D2942" i="3"/>
  <c r="F2942" i="3"/>
  <c r="G2942" i="3"/>
  <c r="AQ2942" i="3"/>
  <c r="B2829" i="3"/>
  <c r="AR2829" i="3" s="1"/>
  <c r="D2829" i="3"/>
  <c r="F2829" i="3"/>
  <c r="G2829" i="3"/>
  <c r="AQ2829" i="3"/>
  <c r="B2969" i="3"/>
  <c r="BA2969" i="3" s="1"/>
  <c r="D2969" i="3"/>
  <c r="F2969" i="3"/>
  <c r="G2969" i="3"/>
  <c r="AQ2969" i="3"/>
  <c r="B3014" i="3"/>
  <c r="AR3014" i="3" s="1"/>
  <c r="D3014" i="3"/>
  <c r="F3014" i="3"/>
  <c r="G3014" i="3"/>
  <c r="AQ3014" i="3"/>
  <c r="B2968" i="3"/>
  <c r="D2968" i="3"/>
  <c r="F2968" i="3"/>
  <c r="G2968" i="3"/>
  <c r="AQ2968" i="3"/>
  <c r="B2828" i="3"/>
  <c r="AR2828" i="3" s="1"/>
  <c r="D2828" i="3"/>
  <c r="F2828" i="3"/>
  <c r="G2828" i="3"/>
  <c r="AQ2828" i="3"/>
  <c r="B2965" i="3"/>
  <c r="AT2965" i="3" s="1"/>
  <c r="B3011" i="3"/>
  <c r="B3012" i="3"/>
  <c r="AR3012" i="3" s="1"/>
  <c r="B2966" i="3"/>
  <c r="AR2966" i="3" s="1"/>
  <c r="B2967" i="3"/>
  <c r="AT2967" i="3" s="1"/>
  <c r="B3013" i="3"/>
  <c r="AY3013" i="3" s="1"/>
  <c r="D2965" i="3"/>
  <c r="D3011" i="3"/>
  <c r="D3012" i="3"/>
  <c r="D2966" i="3"/>
  <c r="D2967" i="3"/>
  <c r="D3013" i="3"/>
  <c r="F2965" i="3"/>
  <c r="F3011" i="3"/>
  <c r="F3012" i="3"/>
  <c r="F2966" i="3"/>
  <c r="F2967" i="3"/>
  <c r="F3013" i="3"/>
  <c r="G2965" i="3"/>
  <c r="G3011" i="3"/>
  <c r="G3012" i="3"/>
  <c r="G2966" i="3"/>
  <c r="G2967" i="3"/>
  <c r="G3013" i="3"/>
  <c r="AQ2965" i="3"/>
  <c r="AQ3011" i="3"/>
  <c r="AQ3012" i="3"/>
  <c r="AQ2966" i="3"/>
  <c r="AQ2967" i="3"/>
  <c r="AQ3013" i="3"/>
  <c r="B152" i="17"/>
  <c r="U152" i="17" s="1"/>
  <c r="D152" i="17"/>
  <c r="F152" i="17"/>
  <c r="G152" i="17"/>
  <c r="B1187" i="13"/>
  <c r="V1187" i="13" s="1"/>
  <c r="D1187" i="13"/>
  <c r="F1187" i="13"/>
  <c r="G1187" i="13"/>
  <c r="Q1187" i="13"/>
  <c r="B151" i="17"/>
  <c r="L151" i="17" s="1"/>
  <c r="D151" i="17"/>
  <c r="F151" i="17"/>
  <c r="G151" i="17"/>
  <c r="G150" i="17"/>
  <c r="F150" i="17"/>
  <c r="D150" i="17"/>
  <c r="B150" i="17"/>
  <c r="B149" i="17"/>
  <c r="L149" i="17" s="1"/>
  <c r="D149" i="17"/>
  <c r="F149" i="17"/>
  <c r="G149" i="17"/>
  <c r="B1186" i="13"/>
  <c r="AE1186" i="13" s="1"/>
  <c r="D1186" i="13"/>
  <c r="F1186" i="13"/>
  <c r="G1186" i="13"/>
  <c r="Q1186" i="13"/>
  <c r="B2790" i="3"/>
  <c r="AZ2790" i="3" s="1"/>
  <c r="B2824" i="3"/>
  <c r="AS2824" i="3" s="1"/>
  <c r="B2791" i="3"/>
  <c r="AW2791" i="3" s="1"/>
  <c r="B2825" i="3"/>
  <c r="AR2825" i="3" s="1"/>
  <c r="B2826" i="3"/>
  <c r="AX2826" i="3" s="1"/>
  <c r="B2827" i="3"/>
  <c r="AX2827" i="3" s="1"/>
  <c r="D2790" i="3"/>
  <c r="D2824" i="3"/>
  <c r="D2791" i="3"/>
  <c r="D2825" i="3"/>
  <c r="D2826" i="3"/>
  <c r="D2827" i="3"/>
  <c r="F2790" i="3"/>
  <c r="F2824" i="3"/>
  <c r="F2791" i="3"/>
  <c r="F2825" i="3"/>
  <c r="F2826" i="3"/>
  <c r="F2827" i="3"/>
  <c r="G2790" i="3"/>
  <c r="G2824" i="3"/>
  <c r="G2791" i="3"/>
  <c r="G2825" i="3"/>
  <c r="G2826" i="3"/>
  <c r="G2827" i="3"/>
  <c r="AQ2790" i="3"/>
  <c r="AQ2824" i="3"/>
  <c r="AQ2791" i="3"/>
  <c r="AQ2825" i="3"/>
  <c r="AQ2826" i="3"/>
  <c r="AQ2827" i="3"/>
  <c r="B1185" i="13"/>
  <c r="D1185" i="13"/>
  <c r="F1185" i="13"/>
  <c r="G1185" i="13"/>
  <c r="Q1185" i="13"/>
  <c r="B1184" i="13"/>
  <c r="AA1184" i="13" s="1"/>
  <c r="D1184" i="13"/>
  <c r="F1184" i="13"/>
  <c r="G1184" i="13"/>
  <c r="Q1184" i="13"/>
  <c r="C284" i="12"/>
  <c r="C2823" i="3" s="1"/>
  <c r="G284" i="12"/>
  <c r="E2968" i="3" s="1"/>
  <c r="K284" i="12" a="1"/>
  <c r="K284" i="12" s="1"/>
  <c r="L284" i="12" s="1"/>
  <c r="N284" i="12" a="1"/>
  <c r="N284" i="12" s="1"/>
  <c r="O284" i="12"/>
  <c r="P284" i="12"/>
  <c r="Q284" i="12"/>
  <c r="V284" i="12"/>
  <c r="W284" i="12"/>
  <c r="B2951" i="3"/>
  <c r="AR2951" i="3" s="1"/>
  <c r="D2951" i="3"/>
  <c r="F2951" i="3"/>
  <c r="G2951" i="3"/>
  <c r="AQ2951" i="3"/>
  <c r="B148" i="17"/>
  <c r="L148" i="17" s="1"/>
  <c r="D148" i="17"/>
  <c r="F148" i="17"/>
  <c r="G148" i="17"/>
  <c r="B380" i="4"/>
  <c r="AT380" i="4" s="1"/>
  <c r="D380" i="4"/>
  <c r="F380" i="4"/>
  <c r="G380" i="4"/>
  <c r="AN380" i="4"/>
  <c r="B379" i="4"/>
  <c r="AQ379" i="4" s="1"/>
  <c r="D379" i="4"/>
  <c r="F379" i="4"/>
  <c r="G379" i="4"/>
  <c r="AN379" i="4"/>
  <c r="B378" i="4"/>
  <c r="AO378" i="4" s="1"/>
  <c r="D378" i="4"/>
  <c r="F378" i="4"/>
  <c r="G378" i="4"/>
  <c r="AN378" i="4"/>
  <c r="B377" i="4"/>
  <c r="AO377" i="4" s="1"/>
  <c r="D377" i="4"/>
  <c r="F377" i="4"/>
  <c r="G377" i="4"/>
  <c r="AN377" i="4"/>
  <c r="B376" i="4"/>
  <c r="AO376" i="4" s="1"/>
  <c r="D376" i="4"/>
  <c r="F376" i="4"/>
  <c r="G376" i="4"/>
  <c r="AN376" i="4"/>
  <c r="B1183" i="13"/>
  <c r="X1183" i="13" s="1"/>
  <c r="D1183" i="13"/>
  <c r="F1183" i="13"/>
  <c r="G1183" i="13"/>
  <c r="Q1183" i="13"/>
  <c r="G548" i="12"/>
  <c r="E1183" i="13" s="1"/>
  <c r="C548" i="12"/>
  <c r="K548" i="12" a="1"/>
  <c r="K548" i="12" s="1"/>
  <c r="L548" i="12" s="1"/>
  <c r="N548" i="12" a="1"/>
  <c r="N548" i="12" s="1"/>
  <c r="O548" i="12"/>
  <c r="P548" i="12"/>
  <c r="Q548" i="12"/>
  <c r="V548" i="12"/>
  <c r="W548" i="12"/>
  <c r="B2944" i="3"/>
  <c r="AZ2944" i="3" s="1"/>
  <c r="D2944" i="3"/>
  <c r="F2944" i="3"/>
  <c r="G2944" i="3"/>
  <c r="AQ2944" i="3"/>
  <c r="B2796" i="3"/>
  <c r="AZ2796" i="3" s="1"/>
  <c r="D2796" i="3"/>
  <c r="F2796" i="3"/>
  <c r="G2796" i="3"/>
  <c r="AQ2796" i="3"/>
  <c r="B2980" i="3"/>
  <c r="D2980" i="3"/>
  <c r="F2980" i="3"/>
  <c r="G2980" i="3"/>
  <c r="AQ2980" i="3"/>
  <c r="B1182" i="13"/>
  <c r="D1182" i="13"/>
  <c r="F1182" i="13"/>
  <c r="G1182" i="13"/>
  <c r="Q1182" i="13"/>
  <c r="D1181" i="13"/>
  <c r="F1181" i="13"/>
  <c r="G1181" i="13"/>
  <c r="Q1181" i="13"/>
  <c r="V1181" i="13"/>
  <c r="W1181" i="13"/>
  <c r="X1181" i="13"/>
  <c r="Y1181" i="13"/>
  <c r="Z1181" i="13"/>
  <c r="AA1181" i="13"/>
  <c r="AB1181" i="13"/>
  <c r="AC1181" i="13"/>
  <c r="AD1181" i="13"/>
  <c r="AE1181" i="13"/>
  <c r="G407" i="12"/>
  <c r="C407" i="12"/>
  <c r="C2944" i="3" s="1"/>
  <c r="K407" i="12" a="1"/>
  <c r="K407" i="12" s="1"/>
  <c r="N407" i="12" a="1"/>
  <c r="N407" i="12" s="1"/>
  <c r="O407" i="12"/>
  <c r="P407" i="12"/>
  <c r="Q407" i="12"/>
  <c r="V407" i="12"/>
  <c r="W407" i="12"/>
  <c r="D1180" i="13"/>
  <c r="F1180" i="13"/>
  <c r="G1180" i="13"/>
  <c r="Q1180" i="13"/>
  <c r="V1180" i="13"/>
  <c r="W1180" i="13"/>
  <c r="X1180" i="13"/>
  <c r="Y1180" i="13"/>
  <c r="Z1180" i="13"/>
  <c r="AA1180" i="13"/>
  <c r="AB1180" i="13"/>
  <c r="AC1180" i="13"/>
  <c r="AD1180" i="13"/>
  <c r="AE1180" i="13"/>
  <c r="D1179" i="13"/>
  <c r="F1179" i="13"/>
  <c r="G1179" i="13"/>
  <c r="Q1179" i="13"/>
  <c r="V1179" i="13"/>
  <c r="W1179" i="13"/>
  <c r="X1179" i="13"/>
  <c r="Y1179" i="13"/>
  <c r="Z1179" i="13"/>
  <c r="AA1179" i="13"/>
  <c r="AB1179" i="13"/>
  <c r="AC1179" i="13"/>
  <c r="AD1179" i="13"/>
  <c r="AE1179" i="13"/>
  <c r="AQ2863" i="3"/>
  <c r="G2863" i="3"/>
  <c r="F2863" i="3"/>
  <c r="D2863" i="3"/>
  <c r="B2863" i="3"/>
  <c r="AY2863" i="3" s="1"/>
  <c r="AQ2990" i="3"/>
  <c r="G2990" i="3"/>
  <c r="F2990" i="3"/>
  <c r="D2990" i="3"/>
  <c r="B2990" i="3"/>
  <c r="AU2990" i="3" s="1"/>
  <c r="AQ2989" i="3"/>
  <c r="G2989" i="3"/>
  <c r="F2989" i="3"/>
  <c r="D2989" i="3"/>
  <c r="B2989" i="3"/>
  <c r="BA2989" i="3" s="1"/>
  <c r="AQ2801" i="3"/>
  <c r="G2801" i="3"/>
  <c r="F2801" i="3"/>
  <c r="D2801" i="3"/>
  <c r="B2801" i="3"/>
  <c r="BA2801" i="3" s="1"/>
  <c r="AQ2800" i="3"/>
  <c r="G2800" i="3"/>
  <c r="F2800" i="3"/>
  <c r="D2800" i="3"/>
  <c r="B2800" i="3"/>
  <c r="AQ2988" i="3"/>
  <c r="G2988" i="3"/>
  <c r="F2988" i="3"/>
  <c r="D2988" i="3"/>
  <c r="B2988" i="3"/>
  <c r="AR2988" i="3" s="1"/>
  <c r="AQ2868" i="3"/>
  <c r="G2868" i="3"/>
  <c r="F2868" i="3"/>
  <c r="D2868" i="3"/>
  <c r="B2868" i="3"/>
  <c r="AT2868" i="3" s="1"/>
  <c r="AQ2987" i="3"/>
  <c r="G2987" i="3"/>
  <c r="F2987" i="3"/>
  <c r="D2987" i="3"/>
  <c r="B2987" i="3"/>
  <c r="AT2987" i="3" s="1"/>
  <c r="AQ2986" i="3"/>
  <c r="G2986" i="3"/>
  <c r="F2986" i="3"/>
  <c r="D2986" i="3"/>
  <c r="B2986" i="3"/>
  <c r="AX2986" i="3" s="1"/>
  <c r="AQ2799" i="3"/>
  <c r="G2799" i="3"/>
  <c r="F2799" i="3"/>
  <c r="D2799" i="3"/>
  <c r="B2799" i="3"/>
  <c r="BA2799" i="3" s="1"/>
  <c r="AQ2985" i="3"/>
  <c r="G2985" i="3"/>
  <c r="F2985" i="3"/>
  <c r="D2985" i="3"/>
  <c r="B2985" i="3"/>
  <c r="BA2985" i="3" s="1"/>
  <c r="Q1178" i="13"/>
  <c r="G1178" i="13"/>
  <c r="F1178" i="13"/>
  <c r="D1178" i="13"/>
  <c r="B1178" i="13"/>
  <c r="AE1178" i="13" s="1"/>
  <c r="X184" i="12"/>
  <c r="G537" i="12"/>
  <c r="E2801" i="3" s="1"/>
  <c r="W537" i="12"/>
  <c r="V537" i="12"/>
  <c r="Q537" i="12"/>
  <c r="P537" i="12"/>
  <c r="O537" i="12"/>
  <c r="N537" i="12" a="1"/>
  <c r="N537" i="12" s="1"/>
  <c r="K537" i="12" a="1"/>
  <c r="K537" i="12" s="1"/>
  <c r="C537" i="12"/>
  <c r="AQ2812" i="3"/>
  <c r="G2812" i="3"/>
  <c r="F2812" i="3"/>
  <c r="D2812" i="3"/>
  <c r="B2812" i="3"/>
  <c r="AR2812" i="3" s="1"/>
  <c r="AQ2811" i="3"/>
  <c r="G2811" i="3"/>
  <c r="F2811" i="3"/>
  <c r="D2811" i="3"/>
  <c r="B2811" i="3"/>
  <c r="BA2811" i="3" s="1"/>
  <c r="Q1177" i="13"/>
  <c r="G1177" i="13"/>
  <c r="F1177" i="13"/>
  <c r="D1177" i="13"/>
  <c r="B1177" i="13"/>
  <c r="AE1177" i="13" s="1"/>
  <c r="Q1176" i="13"/>
  <c r="G1176" i="13"/>
  <c r="F1176" i="13"/>
  <c r="D1176" i="13"/>
  <c r="B1176" i="13"/>
  <c r="W531" i="12"/>
  <c r="V531" i="12"/>
  <c r="Q531" i="12"/>
  <c r="P531" i="12"/>
  <c r="O531" i="12"/>
  <c r="N531" i="12" a="1"/>
  <c r="N531" i="12" s="1"/>
  <c r="K531" i="12" a="1"/>
  <c r="K531" i="12" s="1"/>
  <c r="G531" i="12"/>
  <c r="E1176" i="13" s="1"/>
  <c r="C531" i="12"/>
  <c r="C1176" i="13" s="1"/>
  <c r="AN375" i="4"/>
  <c r="G375" i="4"/>
  <c r="F375" i="4"/>
  <c r="D375" i="4"/>
  <c r="B375" i="4"/>
  <c r="AQ2818" i="3"/>
  <c r="G2818" i="3"/>
  <c r="F2818" i="3"/>
  <c r="D2818" i="3"/>
  <c r="B2818" i="3"/>
  <c r="AQ2956" i="3"/>
  <c r="G2956" i="3"/>
  <c r="F2956" i="3"/>
  <c r="D2956" i="3"/>
  <c r="B2956" i="3"/>
  <c r="AW2956" i="3" s="1"/>
  <c r="Q1175" i="13"/>
  <c r="G1175" i="13"/>
  <c r="F1175" i="13"/>
  <c r="D1175" i="13"/>
  <c r="B1175" i="13"/>
  <c r="AE1175" i="13" s="1"/>
  <c r="AQ2955" i="3"/>
  <c r="G2955" i="3"/>
  <c r="F2955" i="3"/>
  <c r="D2955" i="3"/>
  <c r="B2955" i="3"/>
  <c r="Q1174" i="13"/>
  <c r="G1174" i="13"/>
  <c r="F1174" i="13"/>
  <c r="D1174" i="13"/>
  <c r="B1174" i="13"/>
  <c r="W184" i="12"/>
  <c r="V184" i="12"/>
  <c r="Q184" i="12"/>
  <c r="P184" i="12"/>
  <c r="O184" i="12"/>
  <c r="N184" i="12" a="1"/>
  <c r="N184" i="12" s="1"/>
  <c r="K184" i="12" a="1"/>
  <c r="K184" i="12" s="1"/>
  <c r="L184" i="12" s="1"/>
  <c r="G184" i="12"/>
  <c r="E375" i="4" s="1"/>
  <c r="C184" i="12"/>
  <c r="C2955" i="3" s="1"/>
  <c r="B374" i="4"/>
  <c r="AO374" i="4" s="1"/>
  <c r="D374" i="4"/>
  <c r="F374" i="4"/>
  <c r="G374" i="4"/>
  <c r="AN374" i="4"/>
  <c r="B373" i="4"/>
  <c r="AV373" i="4" s="1"/>
  <c r="D373" i="4"/>
  <c r="F373" i="4"/>
  <c r="G373" i="4"/>
  <c r="AN373" i="4"/>
  <c r="B372" i="4"/>
  <c r="AR372" i="4" s="1"/>
  <c r="D372" i="4"/>
  <c r="F372" i="4"/>
  <c r="G372" i="4"/>
  <c r="AN372" i="4"/>
  <c r="B2798" i="3"/>
  <c r="D2798" i="3"/>
  <c r="F2798" i="3"/>
  <c r="G2798" i="3"/>
  <c r="AQ2798" i="3"/>
  <c r="B2984" i="3"/>
  <c r="AX2984" i="3" s="1"/>
  <c r="D2984" i="3"/>
  <c r="F2984" i="3"/>
  <c r="G2984" i="3"/>
  <c r="AQ2984" i="3"/>
  <c r="B3017" i="3"/>
  <c r="D3017" i="3"/>
  <c r="F3017" i="3"/>
  <c r="G3017" i="3"/>
  <c r="AQ3017" i="3"/>
  <c r="B2867" i="3"/>
  <c r="AR2867" i="3" s="1"/>
  <c r="D2867" i="3"/>
  <c r="F2867" i="3"/>
  <c r="G2867" i="3"/>
  <c r="AQ2867" i="3"/>
  <c r="B2866" i="3"/>
  <c r="AR2866" i="3" s="1"/>
  <c r="D2866" i="3"/>
  <c r="F2866" i="3"/>
  <c r="G2866" i="3"/>
  <c r="AQ2866" i="3"/>
  <c r="B1173" i="13"/>
  <c r="D1173" i="13"/>
  <c r="F1173" i="13"/>
  <c r="G1173" i="13"/>
  <c r="Q1173" i="13"/>
  <c r="G145" i="34"/>
  <c r="F145" i="34"/>
  <c r="E145" i="34"/>
  <c r="B145" i="34"/>
  <c r="B2865" i="3"/>
  <c r="D2865" i="3"/>
  <c r="F2865" i="3"/>
  <c r="G2865" i="3"/>
  <c r="AQ2865" i="3"/>
  <c r="B1172" i="13"/>
  <c r="V1172" i="13" s="1"/>
  <c r="D1172" i="13"/>
  <c r="F1172" i="13"/>
  <c r="G1172" i="13"/>
  <c r="Q1172" i="13"/>
  <c r="B1171" i="13"/>
  <c r="AB1171" i="13" s="1"/>
  <c r="D1171" i="13"/>
  <c r="F1171" i="13"/>
  <c r="G1171" i="13"/>
  <c r="Q1171" i="13"/>
  <c r="C536" i="12"/>
  <c r="C372" i="4" s="1"/>
  <c r="G536" i="12"/>
  <c r="E372" i="4" s="1"/>
  <c r="K536" i="12" a="1"/>
  <c r="K536" i="12" s="1"/>
  <c r="L536" i="12" s="1"/>
  <c r="M536" i="12" s="1"/>
  <c r="N536" i="12" a="1"/>
  <c r="N536" i="12" s="1"/>
  <c r="O536" i="12"/>
  <c r="P536" i="12"/>
  <c r="Q536" i="12"/>
  <c r="V536" i="12"/>
  <c r="W536" i="12"/>
  <c r="B1168" i="13"/>
  <c r="AA1168" i="13" s="1"/>
  <c r="D1168" i="13"/>
  <c r="F1168" i="13"/>
  <c r="G1168" i="13"/>
  <c r="Q1168" i="13"/>
  <c r="B1165" i="13"/>
  <c r="D1165" i="13"/>
  <c r="F1165" i="13"/>
  <c r="G1165" i="13"/>
  <c r="Q1165" i="13"/>
  <c r="B1170" i="13"/>
  <c r="W1170" i="13" s="1"/>
  <c r="D1170" i="13"/>
  <c r="F1170" i="13"/>
  <c r="G1170" i="13"/>
  <c r="Q1170" i="13"/>
  <c r="B1169" i="13"/>
  <c r="V1169" i="13" s="1"/>
  <c r="D1169" i="13"/>
  <c r="F1169" i="13"/>
  <c r="G1169" i="13"/>
  <c r="Q1169" i="13"/>
  <c r="B1167" i="13"/>
  <c r="X1167" i="13" s="1"/>
  <c r="D1167" i="13"/>
  <c r="F1167" i="13"/>
  <c r="G1167" i="13"/>
  <c r="Q1167" i="13"/>
  <c r="B2982" i="3"/>
  <c r="AR2982" i="3" s="1"/>
  <c r="D2982" i="3"/>
  <c r="F2982" i="3"/>
  <c r="G2982" i="3"/>
  <c r="AQ2982" i="3"/>
  <c r="B2860" i="3"/>
  <c r="AR2860" i="3" s="1"/>
  <c r="D2860" i="3"/>
  <c r="F2860" i="3"/>
  <c r="G2860" i="3"/>
  <c r="AQ2860" i="3"/>
  <c r="B2981" i="3"/>
  <c r="AR2981" i="3" s="1"/>
  <c r="D2981" i="3"/>
  <c r="F2981" i="3"/>
  <c r="G2981" i="3"/>
  <c r="AQ2981" i="3"/>
  <c r="B2946" i="3"/>
  <c r="AV2946" i="3" s="1"/>
  <c r="D2946" i="3"/>
  <c r="F2946" i="3"/>
  <c r="G2946" i="3"/>
  <c r="AQ2946" i="3"/>
  <c r="B2945" i="3"/>
  <c r="D2945" i="3"/>
  <c r="F2945" i="3"/>
  <c r="G2945" i="3"/>
  <c r="AQ2945" i="3"/>
  <c r="B1166" i="13"/>
  <c r="Y1166" i="13" s="1"/>
  <c r="D1166" i="13"/>
  <c r="F1166" i="13"/>
  <c r="G1166" i="13"/>
  <c r="Q1166" i="13"/>
  <c r="B1164" i="13"/>
  <c r="AA1164" i="13" s="1"/>
  <c r="D1164" i="13"/>
  <c r="F1164" i="13"/>
  <c r="G1164" i="13"/>
  <c r="Q1164" i="13"/>
  <c r="B1163" i="13"/>
  <c r="V1163" i="13" s="1"/>
  <c r="D1163" i="13"/>
  <c r="F1163" i="13"/>
  <c r="G1163" i="13"/>
  <c r="Q1163" i="13"/>
  <c r="B1162" i="13"/>
  <c r="AC1162" i="13" s="1"/>
  <c r="D1162" i="13"/>
  <c r="F1162" i="13"/>
  <c r="G1162" i="13"/>
  <c r="Q1162" i="13"/>
  <c r="X451" i="12"/>
  <c r="X364" i="12"/>
  <c r="C519" i="12"/>
  <c r="C2982" i="3" s="1"/>
  <c r="G519" i="12"/>
  <c r="E380" i="4" s="1"/>
  <c r="K519" i="12" a="1"/>
  <c r="K519" i="12" s="1"/>
  <c r="L519" i="12" s="1"/>
  <c r="N519" i="12" a="1"/>
  <c r="N519" i="12" s="1"/>
  <c r="O519" i="12"/>
  <c r="P519" i="12"/>
  <c r="Q519" i="12"/>
  <c r="V519" i="12"/>
  <c r="W519" i="12"/>
  <c r="B4" i="43"/>
  <c r="B4" i="27"/>
  <c r="B4" i="44"/>
  <c r="B4" i="29"/>
  <c r="C204" i="29"/>
  <c r="X9" i="42"/>
  <c r="X10" i="42"/>
  <c r="X11" i="42"/>
  <c r="X12" i="42"/>
  <c r="X13" i="42"/>
  <c r="X14" i="42"/>
  <c r="X15" i="42"/>
  <c r="X16" i="42"/>
  <c r="X17" i="42"/>
  <c r="X18" i="42"/>
  <c r="X19" i="42"/>
  <c r="X20" i="42"/>
  <c r="X21" i="42"/>
  <c r="X22" i="42"/>
  <c r="X23" i="42"/>
  <c r="X24" i="42"/>
  <c r="X25" i="42"/>
  <c r="X26" i="42"/>
  <c r="X27" i="42"/>
  <c r="X28" i="42"/>
  <c r="X29" i="42"/>
  <c r="X30" i="42"/>
  <c r="X31" i="42"/>
  <c r="X32" i="42"/>
  <c r="X33" i="42"/>
  <c r="X34" i="42"/>
  <c r="X35" i="42"/>
  <c r="X36" i="42"/>
  <c r="X37" i="42"/>
  <c r="X38" i="42"/>
  <c r="X39" i="42"/>
  <c r="X40" i="42"/>
  <c r="X41" i="42"/>
  <c r="X42" i="42"/>
  <c r="X43" i="42"/>
  <c r="X44" i="42"/>
  <c r="X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78" i="42"/>
  <c r="X79" i="42"/>
  <c r="X80" i="42"/>
  <c r="X81" i="42"/>
  <c r="X82" i="42"/>
  <c r="X83" i="42"/>
  <c r="X84" i="42"/>
  <c r="X85" i="42"/>
  <c r="X86" i="42"/>
  <c r="X87" i="42"/>
  <c r="X88" i="42"/>
  <c r="X89" i="42"/>
  <c r="X90" i="42"/>
  <c r="X91" i="42"/>
  <c r="X92" i="42"/>
  <c r="X93" i="42"/>
  <c r="X94" i="42"/>
  <c r="X95" i="42"/>
  <c r="X96" i="42"/>
  <c r="X97" i="42"/>
  <c r="X98" i="42"/>
  <c r="X99" i="42"/>
  <c r="X100" i="42"/>
  <c r="X101" i="42"/>
  <c r="X102" i="42"/>
  <c r="X103" i="42"/>
  <c r="X104" i="42"/>
  <c r="X105" i="42"/>
  <c r="X106" i="42"/>
  <c r="X107" i="42"/>
  <c r="X108" i="42"/>
  <c r="X109" i="42"/>
  <c r="X110" i="42"/>
  <c r="X111" i="42"/>
  <c r="X112" i="42"/>
  <c r="X113" i="42"/>
  <c r="X114" i="42"/>
  <c r="X115" i="42"/>
  <c r="X116" i="42"/>
  <c r="X117" i="42"/>
  <c r="X118" i="42"/>
  <c r="X119" i="42"/>
  <c r="X120" i="42"/>
  <c r="X121" i="42"/>
  <c r="X122" i="42"/>
  <c r="X123" i="42"/>
  <c r="X124" i="42"/>
  <c r="X125" i="42"/>
  <c r="X126" i="42"/>
  <c r="X127" i="42"/>
  <c r="X128" i="42"/>
  <c r="X129" i="42"/>
  <c r="X130" i="42"/>
  <c r="X131" i="42"/>
  <c r="X132" i="42"/>
  <c r="X133" i="42"/>
  <c r="X134" i="42"/>
  <c r="X135" i="42"/>
  <c r="X136" i="42"/>
  <c r="X137" i="42"/>
  <c r="X138" i="42"/>
  <c r="X139" i="42"/>
  <c r="X140" i="42"/>
  <c r="X141" i="42"/>
  <c r="X142" i="42"/>
  <c r="X143" i="42"/>
  <c r="X144" i="42"/>
  <c r="X145" i="42"/>
  <c r="X146" i="42"/>
  <c r="X147" i="42"/>
  <c r="X148" i="42"/>
  <c r="X149" i="42"/>
  <c r="X150" i="42"/>
  <c r="X151" i="42"/>
  <c r="X152" i="42"/>
  <c r="X153" i="42"/>
  <c r="X154" i="42"/>
  <c r="X155" i="42"/>
  <c r="X156" i="42"/>
  <c r="X157" i="42"/>
  <c r="X158" i="42"/>
  <c r="X159" i="42"/>
  <c r="X160" i="42"/>
  <c r="X161" i="42"/>
  <c r="X162" i="42"/>
  <c r="X163" i="42"/>
  <c r="X164" i="42"/>
  <c r="X165" i="42"/>
  <c r="X166" i="42"/>
  <c r="X167" i="42"/>
  <c r="X168" i="42"/>
  <c r="X169" i="42"/>
  <c r="X170" i="42"/>
  <c r="X171" i="42"/>
  <c r="X172" i="42"/>
  <c r="X173" i="42"/>
  <c r="X174" i="42"/>
  <c r="X175" i="42"/>
  <c r="X176" i="42"/>
  <c r="X177" i="42"/>
  <c r="X178" i="42"/>
  <c r="X179" i="42"/>
  <c r="X180" i="42"/>
  <c r="X181" i="42"/>
  <c r="X182" i="42"/>
  <c r="X183" i="42"/>
  <c r="X184" i="42"/>
  <c r="X185" i="42"/>
  <c r="X186" i="42"/>
  <c r="X187" i="42"/>
  <c r="X188" i="42"/>
  <c r="X189" i="42"/>
  <c r="X190" i="42"/>
  <c r="X191" i="42"/>
  <c r="X192" i="42"/>
  <c r="X193" i="42"/>
  <c r="X194" i="42"/>
  <c r="X195" i="42"/>
  <c r="X196" i="42"/>
  <c r="X197" i="42"/>
  <c r="X198" i="42"/>
  <c r="X199" i="42"/>
  <c r="X200" i="42"/>
  <c r="X201" i="42"/>
  <c r="X202" i="42"/>
  <c r="X203" i="42"/>
  <c r="X204" i="42"/>
  <c r="X205" i="42"/>
  <c r="X206" i="42"/>
  <c r="X207"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C4" i="34"/>
  <c r="C4" i="17"/>
  <c r="C4" i="4"/>
  <c r="C4" i="3"/>
  <c r="C4" i="13"/>
  <c r="C4" i="12"/>
  <c r="B4" i="42"/>
  <c r="W534" i="12"/>
  <c r="V534" i="12"/>
  <c r="Q534" i="12"/>
  <c r="P534" i="12"/>
  <c r="O534" i="12"/>
  <c r="N534" i="12" a="1"/>
  <c r="N534" i="12" s="1"/>
  <c r="K534" i="12" a="1"/>
  <c r="K534" i="12" s="1"/>
  <c r="G534" i="12"/>
  <c r="C534" i="12"/>
  <c r="AQ2814" i="3"/>
  <c r="G2814" i="3"/>
  <c r="F2814" i="3"/>
  <c r="D2814" i="3"/>
  <c r="B2814" i="3"/>
  <c r="AV2814" i="3" s="1"/>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9" i="13"/>
  <c r="Q1161" i="13"/>
  <c r="F1161" i="13"/>
  <c r="D1161" i="13"/>
  <c r="B1161" i="13"/>
  <c r="W1161" i="13" s="1"/>
  <c r="Q1160" i="13"/>
  <c r="F1160" i="13"/>
  <c r="D1160" i="13"/>
  <c r="B1160" i="13"/>
  <c r="AA1160" i="13" s="1"/>
  <c r="Q1159" i="13"/>
  <c r="F1159" i="13"/>
  <c r="D1159" i="13"/>
  <c r="B1159" i="13"/>
  <c r="Q1158" i="13"/>
  <c r="F1158" i="13"/>
  <c r="D1158" i="13"/>
  <c r="B1158" i="13"/>
  <c r="W539" i="12"/>
  <c r="V539" i="12"/>
  <c r="Q539" i="12"/>
  <c r="P539" i="12"/>
  <c r="O539" i="12"/>
  <c r="N539" i="12" a="1"/>
  <c r="N539" i="12" s="1"/>
  <c r="K539" i="12" a="1"/>
  <c r="K539" i="12" s="1"/>
  <c r="G539" i="12"/>
  <c r="E1160" i="13" s="1"/>
  <c r="C539" i="12"/>
  <c r="C1159" i="13" s="1"/>
  <c r="D382" i="12"/>
  <c r="D202" i="12"/>
  <c r="D130" i="12"/>
  <c r="D203" i="12"/>
  <c r="D204" i="12"/>
  <c r="D233" i="12"/>
  <c r="D131" i="12"/>
  <c r="D206" i="12"/>
  <c r="D473" i="12"/>
  <c r="D207" i="12"/>
  <c r="D217" i="12"/>
  <c r="D254" i="12"/>
  <c r="D404" i="12"/>
  <c r="D208" i="12"/>
  <c r="D209" i="12"/>
  <c r="D228" i="12"/>
  <c r="D384" i="12"/>
  <c r="D188" i="12"/>
  <c r="D128" i="12"/>
  <c r="D278" i="12"/>
  <c r="D41" i="12"/>
  <c r="D154" i="12"/>
  <c r="D132" i="12"/>
  <c r="D153" i="12"/>
  <c r="D122" i="12"/>
  <c r="D68" i="12"/>
  <c r="D142" i="12"/>
  <c r="D109" i="12"/>
  <c r="D140" i="12"/>
  <c r="D42" i="12"/>
  <c r="D43" i="12"/>
  <c r="D69" i="12"/>
  <c r="D178" i="12"/>
  <c r="D172" i="12"/>
  <c r="D70" i="12"/>
  <c r="D151" i="12"/>
  <c r="D124" i="12"/>
  <c r="D44" i="12"/>
  <c r="D45" i="12"/>
  <c r="D71" i="12"/>
  <c r="D175" i="12"/>
  <c r="D16" i="12"/>
  <c r="D33" i="12"/>
  <c r="D159" i="12"/>
  <c r="D101" i="12"/>
  <c r="D143" i="12"/>
  <c r="D147" i="12"/>
  <c r="D282" i="12"/>
  <c r="D135" i="12"/>
  <c r="D15" i="12"/>
  <c r="D102" i="12"/>
  <c r="D72" i="12"/>
  <c r="D141" i="12"/>
  <c r="D73" i="12"/>
  <c r="D74" i="12"/>
  <c r="D67" i="12"/>
  <c r="D180" i="12"/>
  <c r="D75" i="12"/>
  <c r="D176" i="12"/>
  <c r="D380" i="12"/>
  <c r="D19" i="34" s="1"/>
  <c r="D164" i="12"/>
  <c r="D155" i="12"/>
  <c r="D283" i="12"/>
  <c r="D76" i="12"/>
  <c r="D11" i="12"/>
  <c r="D77" i="12"/>
  <c r="D17" i="12"/>
  <c r="D78" i="12"/>
  <c r="D79" i="12"/>
  <c r="D126" i="12"/>
  <c r="D158" i="12"/>
  <c r="D80" i="12"/>
  <c r="D46" i="12"/>
  <c r="D81" i="12"/>
  <c r="D145" i="12"/>
  <c r="D47" i="12"/>
  <c r="D167" i="12"/>
  <c r="D48" i="12"/>
  <c r="D82" i="12"/>
  <c r="D49" i="12"/>
  <c r="D146" i="12"/>
  <c r="D118" i="12"/>
  <c r="D83" i="12"/>
  <c r="D84" i="12"/>
  <c r="D156" i="12"/>
  <c r="D35" i="12"/>
  <c r="D136" i="12"/>
  <c r="D139" i="12"/>
  <c r="D50" i="12"/>
  <c r="D157" i="12"/>
  <c r="D85" i="12"/>
  <c r="D240" i="12"/>
  <c r="D86" i="12"/>
  <c r="D87" i="12"/>
  <c r="D51" i="12"/>
  <c r="D129" i="12"/>
  <c r="D18" i="12"/>
  <c r="D65" i="12"/>
  <c r="D88" i="12"/>
  <c r="D106" i="12"/>
  <c r="D149" i="12"/>
  <c r="D19" i="12"/>
  <c r="D52" i="12"/>
  <c r="D38" i="12"/>
  <c r="D107" i="12"/>
  <c r="D181" i="12"/>
  <c r="D53" i="12"/>
  <c r="D173" i="12"/>
  <c r="D13" i="12"/>
  <c r="D435" i="12"/>
  <c r="D89" i="12"/>
  <c r="D90" i="12"/>
  <c r="D54" i="12"/>
  <c r="D30" i="12"/>
  <c r="D185" i="12"/>
  <c r="D123" i="12"/>
  <c r="D55" i="12"/>
  <c r="D14" i="12"/>
  <c r="D12" i="12"/>
  <c r="D103" i="12"/>
  <c r="D32" i="12"/>
  <c r="D9" i="12"/>
  <c r="D91" i="12"/>
  <c r="D92" i="12"/>
  <c r="D162" i="12"/>
  <c r="D114" i="12"/>
  <c r="D93" i="12"/>
  <c r="D150" i="12"/>
  <c r="D100" i="12"/>
  <c r="D21" i="12"/>
  <c r="D22" i="12"/>
  <c r="D23" i="12"/>
  <c r="D112" i="12"/>
  <c r="D115" i="12"/>
  <c r="D166" i="12"/>
  <c r="D110" i="12"/>
  <c r="D56" i="12"/>
  <c r="D94" i="12"/>
  <c r="D95" i="12"/>
  <c r="D57" i="12"/>
  <c r="D24" i="12"/>
  <c r="D113" i="12"/>
  <c r="D120" i="12"/>
  <c r="D96" i="12"/>
  <c r="D168" i="12"/>
  <c r="D97" i="12"/>
  <c r="D177" i="12"/>
  <c r="D193" i="12"/>
  <c r="D152" i="12"/>
  <c r="D58" i="12"/>
  <c r="D170" i="12"/>
  <c r="D25" i="12"/>
  <c r="D59" i="12"/>
  <c r="D148" i="12"/>
  <c r="D105" i="12"/>
  <c r="D26" i="12"/>
  <c r="D39" i="12"/>
  <c r="D98" i="12"/>
  <c r="D36" i="12"/>
  <c r="D179" i="12"/>
  <c r="D60" i="12"/>
  <c r="D116" i="12"/>
  <c r="D137" i="12"/>
  <c r="D169" i="12"/>
  <c r="D214" i="12"/>
  <c r="D199" i="12"/>
  <c r="D66" i="12"/>
  <c r="D264" i="12"/>
  <c r="D133" i="12"/>
  <c r="D66" i="34" s="1"/>
  <c r="D121" i="12"/>
  <c r="D366" i="12"/>
  <c r="D229" i="12"/>
  <c r="D198" i="12"/>
  <c r="D117" i="12"/>
  <c r="D487" i="12"/>
  <c r="D322" i="12"/>
  <c r="D367" i="12"/>
  <c r="D37" i="12"/>
  <c r="D363" i="12"/>
  <c r="D195" i="12"/>
  <c r="D189" i="12"/>
  <c r="D165" i="12"/>
  <c r="D488" i="12"/>
  <c r="D225" i="12"/>
  <c r="D27" i="12"/>
  <c r="D223" i="12"/>
  <c r="D426" i="12"/>
  <c r="D513" i="12"/>
  <c r="D61" i="12"/>
  <c r="D40" i="12"/>
  <c r="D489" i="12"/>
  <c r="D280" i="12"/>
  <c r="D62" i="12"/>
  <c r="D330" i="12"/>
  <c r="D191" i="12"/>
  <c r="D99" i="12"/>
  <c r="D232" i="12"/>
  <c r="D196" i="12"/>
  <c r="D160" i="12"/>
  <c r="D311" i="12"/>
  <c r="D224" i="12"/>
  <c r="D216" i="12"/>
  <c r="D326" i="12"/>
  <c r="D373" i="12"/>
  <c r="D171" i="12"/>
  <c r="D183" i="12"/>
  <c r="D270" i="12"/>
  <c r="D256" i="12"/>
  <c r="D490" i="12"/>
  <c r="D281" i="12"/>
  <c r="D273" i="12"/>
  <c r="D161" i="12"/>
  <c r="D230" i="12"/>
  <c r="D491" i="12"/>
  <c r="D298" i="12"/>
  <c r="D492" i="12"/>
  <c r="D313" i="12"/>
  <c r="D212" i="12"/>
  <c r="D241" i="12"/>
  <c r="D414" i="12"/>
  <c r="D211" i="12"/>
  <c r="D248" i="12"/>
  <c r="D28" i="12"/>
  <c r="D111" i="12"/>
  <c r="D493" i="12"/>
  <c r="D494" i="12"/>
  <c r="D495" i="12"/>
  <c r="D119" i="12"/>
  <c r="D496" i="12"/>
  <c r="D497" i="12"/>
  <c r="D425" i="12"/>
  <c r="D163" i="12"/>
  <c r="D498" i="12"/>
  <c r="D499" i="12"/>
  <c r="D500" i="12"/>
  <c r="D501" i="12"/>
  <c r="D502" i="12"/>
  <c r="D503" i="12"/>
  <c r="D504" i="12"/>
  <c r="D360" i="12"/>
  <c r="D412" i="12"/>
  <c r="D505" i="12"/>
  <c r="D506" i="12"/>
  <c r="D507" i="12"/>
  <c r="D262" i="12"/>
  <c r="D508" i="12"/>
  <c r="D63" i="12"/>
  <c r="D509" i="12"/>
  <c r="D510" i="12"/>
  <c r="D511" i="12"/>
  <c r="D512" i="12"/>
  <c r="D190" i="12"/>
  <c r="D305" i="12"/>
  <c r="D200" i="12"/>
  <c r="D64" i="12"/>
  <c r="D300" i="12"/>
  <c r="D187" i="12"/>
  <c r="D249" i="12"/>
  <c r="D129" i="34" s="1"/>
  <c r="D275" i="12"/>
  <c r="D442" i="12"/>
  <c r="D480" i="12"/>
  <c r="D16" i="34" s="1"/>
  <c r="D466" i="12"/>
  <c r="D445" i="12"/>
  <c r="B2997" i="3"/>
  <c r="AX2997" i="3" s="1"/>
  <c r="D2997" i="3"/>
  <c r="F2997" i="3"/>
  <c r="G2997" i="3"/>
  <c r="AQ2997" i="3"/>
  <c r="B2934" i="3"/>
  <c r="D2934" i="3"/>
  <c r="F2934" i="3"/>
  <c r="G2934" i="3"/>
  <c r="AQ2934" i="3"/>
  <c r="B147" i="17"/>
  <c r="L147" i="17" s="1"/>
  <c r="D147" i="17"/>
  <c r="F147" i="17"/>
  <c r="G147" i="17"/>
  <c r="B146" i="17"/>
  <c r="T146" i="17" s="1"/>
  <c r="D146" i="17"/>
  <c r="F146" i="17"/>
  <c r="G146" i="17"/>
  <c r="B145" i="17"/>
  <c r="D145" i="17"/>
  <c r="F145" i="17"/>
  <c r="G145" i="17"/>
  <c r="B2996" i="3"/>
  <c r="D2996" i="3"/>
  <c r="F2996" i="3"/>
  <c r="G2996" i="3"/>
  <c r="AQ2996" i="3"/>
  <c r="B2804" i="3"/>
  <c r="AV2804" i="3" s="1"/>
  <c r="D2804" i="3"/>
  <c r="F2804" i="3"/>
  <c r="G2804" i="3"/>
  <c r="AQ2804" i="3"/>
  <c r="B2953" i="3"/>
  <c r="AX2953" i="3" s="1"/>
  <c r="D2953" i="3"/>
  <c r="F2953" i="3"/>
  <c r="G2953" i="3"/>
  <c r="AQ2953" i="3"/>
  <c r="B2995" i="3"/>
  <c r="D2995" i="3"/>
  <c r="F2995" i="3"/>
  <c r="G2995" i="3"/>
  <c r="AQ2995" i="3"/>
  <c r="B2933" i="3"/>
  <c r="D2933" i="3"/>
  <c r="F2933" i="3"/>
  <c r="G2933" i="3"/>
  <c r="AQ2933" i="3"/>
  <c r="B2932" i="3"/>
  <c r="AY2932" i="3" s="1"/>
  <c r="D2932" i="3"/>
  <c r="F2932" i="3"/>
  <c r="G2932" i="3"/>
  <c r="AQ2932" i="3"/>
  <c r="B1157" i="13"/>
  <c r="X1157" i="13" s="1"/>
  <c r="D1157" i="13"/>
  <c r="F1157" i="13"/>
  <c r="Q1157" i="13"/>
  <c r="B2803" i="3"/>
  <c r="AX2803" i="3" s="1"/>
  <c r="D2803" i="3"/>
  <c r="F2803" i="3"/>
  <c r="G2803" i="3"/>
  <c r="AQ2803" i="3"/>
  <c r="B2931" i="3"/>
  <c r="AV2931" i="3" s="1"/>
  <c r="D2931" i="3"/>
  <c r="F2931" i="3"/>
  <c r="G2931" i="3"/>
  <c r="AQ2931" i="3"/>
  <c r="B2994" i="3"/>
  <c r="D2994" i="3"/>
  <c r="F2994" i="3"/>
  <c r="G2994" i="3"/>
  <c r="AQ2994" i="3"/>
  <c r="B1156" i="13"/>
  <c r="AA1156" i="13" s="1"/>
  <c r="D1156" i="13"/>
  <c r="F1156" i="13"/>
  <c r="Q1156" i="13"/>
  <c r="B2813" i="3"/>
  <c r="AR2813" i="3" s="1"/>
  <c r="D2813" i="3"/>
  <c r="F2813" i="3"/>
  <c r="G2813" i="3"/>
  <c r="AQ2813" i="3"/>
  <c r="B1155" i="13"/>
  <c r="AD1155" i="13" s="1"/>
  <c r="D1155" i="13"/>
  <c r="F1155" i="13"/>
  <c r="Q1155" i="13"/>
  <c r="C545" i="12"/>
  <c r="C2814" i="3" s="1"/>
  <c r="G545" i="12"/>
  <c r="E1155" i="13" s="1"/>
  <c r="K545" i="12" a="1"/>
  <c r="K545" i="12" s="1"/>
  <c r="N545" i="12" a="1"/>
  <c r="N545" i="12" s="1"/>
  <c r="O545" i="12"/>
  <c r="P545" i="12"/>
  <c r="Q545" i="12"/>
  <c r="V545" i="12"/>
  <c r="W545" i="12"/>
  <c r="B2925" i="3"/>
  <c r="AU2925" i="3" s="1"/>
  <c r="D2925" i="3"/>
  <c r="F2925" i="3"/>
  <c r="G2925" i="3"/>
  <c r="AQ2925" i="3"/>
  <c r="B2924" i="3"/>
  <c r="AT2924" i="3" s="1"/>
  <c r="D2924" i="3"/>
  <c r="F2924" i="3"/>
  <c r="G2924" i="3"/>
  <c r="AQ2924" i="3"/>
  <c r="B2923" i="3"/>
  <c r="D2923" i="3"/>
  <c r="F2923" i="3"/>
  <c r="G2923" i="3"/>
  <c r="AQ2923" i="3"/>
  <c r="B2922" i="3"/>
  <c r="AS2922" i="3" s="1"/>
  <c r="D2922" i="3"/>
  <c r="F2922" i="3"/>
  <c r="G2922" i="3"/>
  <c r="AQ2922" i="3"/>
  <c r="B2921" i="3"/>
  <c r="AY2921" i="3" s="1"/>
  <c r="D2921" i="3"/>
  <c r="F2921" i="3"/>
  <c r="G2921" i="3"/>
  <c r="AQ2921" i="3"/>
  <c r="B2920" i="3"/>
  <c r="D2920" i="3"/>
  <c r="F2920" i="3"/>
  <c r="G2920" i="3"/>
  <c r="AQ2920" i="3"/>
  <c r="B144" i="17"/>
  <c r="O144" i="17" s="1"/>
  <c r="D144" i="17"/>
  <c r="F144" i="17"/>
  <c r="G144" i="17"/>
  <c r="B1154" i="13"/>
  <c r="AB1154" i="13" s="1"/>
  <c r="D1154" i="13"/>
  <c r="F1154" i="13"/>
  <c r="Q1154" i="13"/>
  <c r="B1153" i="13"/>
  <c r="Z1153" i="13" s="1"/>
  <c r="D1153" i="13"/>
  <c r="F1153" i="13"/>
  <c r="Q1153" i="13"/>
  <c r="B2919" i="3"/>
  <c r="BA2919" i="3" s="1"/>
  <c r="D2919" i="3"/>
  <c r="F2919" i="3"/>
  <c r="G2919" i="3"/>
  <c r="AQ2919" i="3"/>
  <c r="B1152" i="13"/>
  <c r="AB1152" i="13" s="1"/>
  <c r="D1152" i="13"/>
  <c r="F1152" i="13"/>
  <c r="Q1152" i="13"/>
  <c r="B1151" i="13"/>
  <c r="D1151" i="13"/>
  <c r="F1151" i="13"/>
  <c r="Q1151" i="13"/>
  <c r="C364" i="12"/>
  <c r="C1154" i="13" s="1"/>
  <c r="G364" i="12"/>
  <c r="E2925" i="3" s="1"/>
  <c r="K364" i="12" a="1"/>
  <c r="K364" i="12" s="1"/>
  <c r="L364" i="12" s="1"/>
  <c r="M364" i="12" s="1"/>
  <c r="N364" i="12" a="1"/>
  <c r="N364" i="12" s="1"/>
  <c r="O364" i="12"/>
  <c r="P364" i="12"/>
  <c r="Q364" i="12"/>
  <c r="V364" i="12"/>
  <c r="W364" i="12"/>
  <c r="G9" i="3"/>
  <c r="D9" i="3"/>
  <c r="B1150" i="13"/>
  <c r="D1150" i="13"/>
  <c r="F1150" i="13"/>
  <c r="Q1150" i="13"/>
  <c r="B1149" i="13"/>
  <c r="AE1149" i="13" s="1"/>
  <c r="D1149" i="13"/>
  <c r="F1149" i="13"/>
  <c r="Q1149" i="13"/>
  <c r="C451" i="12"/>
  <c r="C1150" i="13" s="1"/>
  <c r="G451" i="12"/>
  <c r="E1149" i="13" s="1"/>
  <c r="K451" i="12" a="1"/>
  <c r="K451" i="12" s="1"/>
  <c r="L451" i="12" s="1"/>
  <c r="N451" i="12" a="1"/>
  <c r="N451" i="12" s="1"/>
  <c r="O451" i="12"/>
  <c r="P451" i="12"/>
  <c r="Q451" i="12"/>
  <c r="V451" i="12"/>
  <c r="W451" i="12"/>
  <c r="E379" i="4"/>
  <c r="E1181" i="13"/>
  <c r="C2981" i="3"/>
  <c r="E1182" i="13"/>
  <c r="M548" i="12"/>
  <c r="C1182" i="13"/>
  <c r="C2863" i="3"/>
  <c r="E2868" i="3"/>
  <c r="E2987" i="3"/>
  <c r="E2799" i="3"/>
  <c r="E2985" i="3"/>
  <c r="E1165" i="13"/>
  <c r="C1162" i="13"/>
  <c r="C1166" i="13"/>
  <c r="C2946" i="3"/>
  <c r="C2860" i="3"/>
  <c r="C1167" i="13"/>
  <c r="C218" i="12"/>
  <c r="C419" i="12"/>
  <c r="X362" i="12"/>
  <c r="X541" i="12"/>
  <c r="X527" i="12"/>
  <c r="B1148" i="13"/>
  <c r="AE1148" i="13" s="1"/>
  <c r="D1148" i="13"/>
  <c r="F1148" i="13"/>
  <c r="Q1148" i="13"/>
  <c r="B371" i="4"/>
  <c r="AP371" i="4" s="1"/>
  <c r="D371" i="4"/>
  <c r="F371" i="4"/>
  <c r="G371" i="4"/>
  <c r="AN371" i="4"/>
  <c r="B370" i="4"/>
  <c r="D370" i="4"/>
  <c r="F370" i="4"/>
  <c r="G370" i="4"/>
  <c r="AN370" i="4"/>
  <c r="B369" i="4"/>
  <c r="AU369" i="4" s="1"/>
  <c r="D369" i="4"/>
  <c r="F369" i="4"/>
  <c r="G369" i="4"/>
  <c r="AN369" i="4"/>
  <c r="B368" i="4"/>
  <c r="D368" i="4"/>
  <c r="F368" i="4"/>
  <c r="G368" i="4"/>
  <c r="AN368" i="4"/>
  <c r="B367" i="4"/>
  <c r="D367" i="4"/>
  <c r="F367" i="4"/>
  <c r="G367" i="4"/>
  <c r="AN367" i="4"/>
  <c r="B366" i="4"/>
  <c r="AO366" i="4" s="1"/>
  <c r="D366" i="4"/>
  <c r="F366" i="4"/>
  <c r="G366" i="4"/>
  <c r="AN366" i="4"/>
  <c r="B365" i="4"/>
  <c r="AX365" i="4" s="1"/>
  <c r="D365" i="4"/>
  <c r="F365" i="4"/>
  <c r="G365" i="4"/>
  <c r="AN365" i="4"/>
  <c r="B364" i="4"/>
  <c r="AX364" i="4" s="1"/>
  <c r="D364" i="4"/>
  <c r="F364" i="4"/>
  <c r="G364" i="4"/>
  <c r="AN364" i="4"/>
  <c r="B363" i="4"/>
  <c r="AO363" i="4" s="1"/>
  <c r="D363" i="4"/>
  <c r="F363" i="4"/>
  <c r="G363" i="4"/>
  <c r="AN363" i="4"/>
  <c r="B362" i="4"/>
  <c r="D362" i="4"/>
  <c r="F362" i="4"/>
  <c r="G362" i="4"/>
  <c r="AN362" i="4"/>
  <c r="B361" i="4"/>
  <c r="AR361" i="4" s="1"/>
  <c r="D361" i="4"/>
  <c r="F361" i="4"/>
  <c r="G361" i="4"/>
  <c r="AN361" i="4"/>
  <c r="B360" i="4"/>
  <c r="AW360" i="4" s="1"/>
  <c r="D360" i="4"/>
  <c r="F360" i="4"/>
  <c r="G360" i="4"/>
  <c r="AN360" i="4"/>
  <c r="B359" i="4"/>
  <c r="AV359" i="4" s="1"/>
  <c r="D359" i="4"/>
  <c r="F359" i="4"/>
  <c r="G359" i="4"/>
  <c r="AN359" i="4"/>
  <c r="B358" i="4"/>
  <c r="AX358" i="4" s="1"/>
  <c r="D358" i="4"/>
  <c r="F358" i="4"/>
  <c r="G358" i="4"/>
  <c r="AN358" i="4"/>
  <c r="B357" i="4"/>
  <c r="AX357" i="4" s="1"/>
  <c r="D357" i="4"/>
  <c r="F357" i="4"/>
  <c r="G357" i="4"/>
  <c r="AN357" i="4"/>
  <c r="B356" i="4"/>
  <c r="D356" i="4"/>
  <c r="F356" i="4"/>
  <c r="G356" i="4"/>
  <c r="AN356" i="4"/>
  <c r="B2912" i="3"/>
  <c r="AV2912" i="3" s="1"/>
  <c r="B2913" i="3"/>
  <c r="BA2913" i="3" s="1"/>
  <c r="B2914" i="3"/>
  <c r="D2912" i="3"/>
  <c r="D2913" i="3"/>
  <c r="D2914" i="3"/>
  <c r="F2912" i="3"/>
  <c r="F2913" i="3"/>
  <c r="F2914" i="3"/>
  <c r="G2912" i="3"/>
  <c r="G2913" i="3"/>
  <c r="G2914" i="3"/>
  <c r="AQ2912" i="3"/>
  <c r="AQ2913" i="3"/>
  <c r="AQ2914" i="3"/>
  <c r="B2915" i="3"/>
  <c r="D2915" i="3"/>
  <c r="F2915" i="3"/>
  <c r="G2915" i="3"/>
  <c r="AQ2915" i="3"/>
  <c r="B2910" i="3"/>
  <c r="AT2910" i="3" s="1"/>
  <c r="B2911" i="3"/>
  <c r="AU2911" i="3" s="1"/>
  <c r="D2910" i="3"/>
  <c r="D2911" i="3"/>
  <c r="F2910" i="3"/>
  <c r="F2911" i="3"/>
  <c r="G2910" i="3"/>
  <c r="G2911" i="3"/>
  <c r="AQ2910" i="3"/>
  <c r="AQ2911" i="3"/>
  <c r="B2909" i="3"/>
  <c r="BA2909" i="3" s="1"/>
  <c r="D2909" i="3"/>
  <c r="F2909" i="3"/>
  <c r="G2909" i="3"/>
  <c r="AQ2909" i="3"/>
  <c r="B2905" i="3"/>
  <c r="AZ2905" i="3" s="1"/>
  <c r="B2906" i="3"/>
  <c r="AU2906" i="3" s="1"/>
  <c r="B2907" i="3"/>
  <c r="D2905" i="3"/>
  <c r="D2906" i="3"/>
  <c r="D2907" i="3"/>
  <c r="F2905" i="3"/>
  <c r="F2906" i="3"/>
  <c r="F2907" i="3"/>
  <c r="G2905" i="3"/>
  <c r="G2906" i="3"/>
  <c r="G2907" i="3"/>
  <c r="AQ2905" i="3"/>
  <c r="AQ2906" i="3"/>
  <c r="AQ2907" i="3"/>
  <c r="B2908" i="3"/>
  <c r="AV2908" i="3" s="1"/>
  <c r="D2908" i="3"/>
  <c r="F2908" i="3"/>
  <c r="G2908" i="3"/>
  <c r="AQ2908" i="3"/>
  <c r="B2902" i="3"/>
  <c r="BA2902" i="3" s="1"/>
  <c r="B2903" i="3"/>
  <c r="AU2903" i="3" s="1"/>
  <c r="B2904" i="3"/>
  <c r="AT2904" i="3" s="1"/>
  <c r="D2902" i="3"/>
  <c r="D2903" i="3"/>
  <c r="D2904" i="3"/>
  <c r="F2902" i="3"/>
  <c r="F2903" i="3"/>
  <c r="F2904" i="3"/>
  <c r="G2902" i="3"/>
  <c r="G2903" i="3"/>
  <c r="G2904" i="3"/>
  <c r="AQ2902" i="3"/>
  <c r="AQ2903" i="3"/>
  <c r="AQ2904" i="3"/>
  <c r="G2901" i="3"/>
  <c r="F2901" i="3"/>
  <c r="D2901" i="3"/>
  <c r="B2901" i="3"/>
  <c r="AR2901" i="3" s="1"/>
  <c r="AQ2901" i="3"/>
  <c r="G2893" i="3"/>
  <c r="F2893" i="3"/>
  <c r="D2893" i="3"/>
  <c r="B2893" i="3"/>
  <c r="AS2893" i="3" s="1"/>
  <c r="AQ2893" i="3"/>
  <c r="B2900" i="3"/>
  <c r="AZ2900" i="3" s="1"/>
  <c r="D2900" i="3"/>
  <c r="F2900" i="3"/>
  <c r="G2900" i="3"/>
  <c r="AQ2900" i="3"/>
  <c r="B2894" i="3"/>
  <c r="BA2894" i="3" s="1"/>
  <c r="B2895" i="3"/>
  <c r="BA2895" i="3" s="1"/>
  <c r="B2896" i="3"/>
  <c r="D2894" i="3"/>
  <c r="D2895" i="3"/>
  <c r="D2896" i="3"/>
  <c r="F2894" i="3"/>
  <c r="F2895" i="3"/>
  <c r="F2896" i="3"/>
  <c r="G2894" i="3"/>
  <c r="G2895" i="3"/>
  <c r="G2896" i="3"/>
  <c r="AQ2894" i="3"/>
  <c r="AQ2895" i="3"/>
  <c r="AQ2896" i="3"/>
  <c r="B2897" i="3"/>
  <c r="AU2897" i="3" s="1"/>
  <c r="B2898" i="3"/>
  <c r="AU2898" i="3" s="1"/>
  <c r="B2899" i="3"/>
  <c r="AZ2899" i="3" s="1"/>
  <c r="D2897" i="3"/>
  <c r="D2898" i="3"/>
  <c r="D2899" i="3"/>
  <c r="F2897" i="3"/>
  <c r="F2898" i="3"/>
  <c r="F2899" i="3"/>
  <c r="G2897" i="3"/>
  <c r="G2898" i="3"/>
  <c r="G2899" i="3"/>
  <c r="AQ2897" i="3"/>
  <c r="AQ2898" i="3"/>
  <c r="AQ2899" i="3"/>
  <c r="B2890" i="3"/>
  <c r="AZ2890" i="3" s="1"/>
  <c r="B2891" i="3"/>
  <c r="AY2891" i="3" s="1"/>
  <c r="B2892" i="3"/>
  <c r="AW2892" i="3" s="1"/>
  <c r="D2890" i="3"/>
  <c r="D2891" i="3"/>
  <c r="D2892" i="3"/>
  <c r="F2890" i="3"/>
  <c r="F2891" i="3"/>
  <c r="F2892" i="3"/>
  <c r="G2890" i="3"/>
  <c r="G2891" i="3"/>
  <c r="G2892" i="3"/>
  <c r="AQ2890" i="3"/>
  <c r="AQ2891" i="3"/>
  <c r="AQ2892" i="3"/>
  <c r="B2889" i="3"/>
  <c r="D2889" i="3"/>
  <c r="F2889" i="3"/>
  <c r="G2889" i="3"/>
  <c r="AQ2889" i="3"/>
  <c r="B2888" i="3"/>
  <c r="AZ2888" i="3" s="1"/>
  <c r="D2888" i="3"/>
  <c r="F2888" i="3"/>
  <c r="G2888" i="3"/>
  <c r="AQ2888" i="3"/>
  <c r="B2885" i="3"/>
  <c r="AZ2885" i="3" s="1"/>
  <c r="D2885" i="3"/>
  <c r="F2885" i="3"/>
  <c r="G2885" i="3"/>
  <c r="AQ2885" i="3"/>
  <c r="B1147" i="13"/>
  <c r="Y1147" i="13" s="1"/>
  <c r="D1147" i="13"/>
  <c r="F1147" i="13"/>
  <c r="Q1147" i="13"/>
  <c r="B1146" i="13"/>
  <c r="V1146" i="13" s="1"/>
  <c r="D1146" i="13"/>
  <c r="F1146" i="13"/>
  <c r="Q1146" i="13"/>
  <c r="B1145" i="13"/>
  <c r="Z1145" i="13" s="1"/>
  <c r="D1145" i="13"/>
  <c r="F1145" i="13"/>
  <c r="Q1145" i="13"/>
  <c r="B2918" i="3"/>
  <c r="AZ2918" i="3" s="1"/>
  <c r="D2918" i="3"/>
  <c r="F2918" i="3"/>
  <c r="G2918" i="3"/>
  <c r="AQ2918" i="3"/>
  <c r="B2917" i="3"/>
  <c r="AS2917" i="3" s="1"/>
  <c r="D2917" i="3"/>
  <c r="F2917" i="3"/>
  <c r="G2917" i="3"/>
  <c r="AQ2917" i="3"/>
  <c r="B2916" i="3"/>
  <c r="BA2916" i="3" s="1"/>
  <c r="D2916" i="3"/>
  <c r="F2916" i="3"/>
  <c r="G2916" i="3"/>
  <c r="AQ2916" i="3"/>
  <c r="G144" i="34"/>
  <c r="F144" i="34"/>
  <c r="E144" i="34"/>
  <c r="B144" i="34"/>
  <c r="B2887" i="3"/>
  <c r="AZ2887" i="3" s="1"/>
  <c r="D2887" i="3"/>
  <c r="F2887" i="3"/>
  <c r="G2887" i="3"/>
  <c r="AQ2887" i="3"/>
  <c r="B2886" i="3"/>
  <c r="AR2886" i="3" s="1"/>
  <c r="D2886" i="3"/>
  <c r="F2886" i="3"/>
  <c r="G2886" i="3"/>
  <c r="AQ2886" i="3"/>
  <c r="B2884" i="3"/>
  <c r="AV2884" i="3" s="1"/>
  <c r="D2884" i="3"/>
  <c r="F2884" i="3"/>
  <c r="G2884" i="3"/>
  <c r="AQ2884" i="3"/>
  <c r="F1144" i="13"/>
  <c r="D1144" i="13"/>
  <c r="B1144" i="13"/>
  <c r="AC1144" i="13" s="1"/>
  <c r="C527" i="12"/>
  <c r="C356" i="4" s="1"/>
  <c r="G527" i="12"/>
  <c r="E370" i="4" s="1"/>
  <c r="K527" i="12" a="1"/>
  <c r="K527" i="12" s="1"/>
  <c r="L527" i="12" s="1"/>
  <c r="M527" i="12" s="1"/>
  <c r="N527" i="12" a="1"/>
  <c r="N527" i="12" s="1"/>
  <c r="O527" i="12"/>
  <c r="P527" i="12"/>
  <c r="Q527" i="12"/>
  <c r="V527" i="12"/>
  <c r="W527" i="12"/>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869" i="3"/>
  <c r="G2870" i="3"/>
  <c r="G2871" i="3"/>
  <c r="G3018" i="3"/>
  <c r="G2991" i="3"/>
  <c r="G2952" i="3"/>
  <c r="G2872" i="3"/>
  <c r="G2802" i="3"/>
  <c r="G2873" i="3"/>
  <c r="G2992" i="3"/>
  <c r="G2874" i="3"/>
  <c r="G2993" i="3"/>
  <c r="G2926" i="3"/>
  <c r="G2927" i="3"/>
  <c r="G2928" i="3"/>
  <c r="G2929" i="3"/>
  <c r="G2930" i="3"/>
  <c r="G2820" i="3"/>
  <c r="G2784" i="3"/>
  <c r="G2821" i="3"/>
  <c r="G2785" i="3"/>
  <c r="G3008" i="3"/>
  <c r="G3009" i="3"/>
  <c r="G2786" i="3"/>
  <c r="G3010" i="3"/>
  <c r="G2960" i="3"/>
  <c r="G2961" i="3"/>
  <c r="G2962" i="3"/>
  <c r="G2787" i="3"/>
  <c r="G2822" i="3"/>
  <c r="G2963" i="3"/>
  <c r="G2964" i="3"/>
  <c r="G2941" i="3"/>
  <c r="G2788" i="3"/>
  <c r="G2789" i="3"/>
  <c r="G2998" i="3"/>
  <c r="G2935" i="3"/>
  <c r="G2936" i="3"/>
  <c r="G2805" i="3"/>
  <c r="G2937" i="3"/>
  <c r="G2815" i="3"/>
  <c r="G2816" i="3"/>
  <c r="G3019" i="3"/>
  <c r="G3020" i="3"/>
  <c r="G2817" i="3"/>
  <c r="G3021" i="3"/>
  <c r="G2999" i="3"/>
  <c r="G3000" i="3"/>
  <c r="G2938" i="3"/>
  <c r="G3001" i="3"/>
  <c r="G3022" i="3"/>
  <c r="G3007" i="3"/>
  <c r="G2957" i="3"/>
  <c r="G2958" i="3"/>
  <c r="G2819" i="3"/>
  <c r="G2783" i="3"/>
  <c r="G2959" i="3"/>
  <c r="G2840" i="3"/>
  <c r="G2841" i="3"/>
  <c r="G2842" i="3"/>
  <c r="G2843" i="3"/>
  <c r="G2844" i="3"/>
  <c r="G2845" i="3"/>
  <c r="G2846" i="3"/>
  <c r="G2847" i="3"/>
  <c r="G2848" i="3"/>
  <c r="G2849" i="3"/>
  <c r="G2850" i="3"/>
  <c r="G2851" i="3"/>
  <c r="G2852" i="3"/>
  <c r="G2853" i="3"/>
  <c r="G2854" i="3"/>
  <c r="G2855" i="3"/>
  <c r="G2856" i="3"/>
  <c r="G2857" i="3"/>
  <c r="G2858" i="3"/>
  <c r="G2859" i="3"/>
  <c r="G3002" i="3"/>
  <c r="G3003" i="3"/>
  <c r="G3023" i="3"/>
  <c r="G3024" i="3"/>
  <c r="G3004" i="3"/>
  <c r="G3005" i="3"/>
  <c r="G3025" i="3"/>
  <c r="G3006" i="3"/>
  <c r="G2939" i="3"/>
  <c r="G2806" i="3"/>
  <c r="G2940" i="3"/>
  <c r="G2954" i="3"/>
  <c r="G2807" i="3"/>
  <c r="G2808" i="3"/>
  <c r="G2809" i="3"/>
  <c r="G2875" i="3"/>
  <c r="G2876" i="3"/>
  <c r="G2877" i="3"/>
  <c r="G2878" i="3"/>
  <c r="G2879" i="3"/>
  <c r="G2880" i="3"/>
  <c r="G2881" i="3"/>
  <c r="G2882" i="3"/>
  <c r="G2883" i="3"/>
  <c r="AQ2808" i="3"/>
  <c r="F2808" i="3"/>
  <c r="D2808" i="3"/>
  <c r="B2808" i="3"/>
  <c r="AZ2808" i="3" s="1"/>
  <c r="AQ2809" i="3"/>
  <c r="F2809" i="3"/>
  <c r="D2809" i="3"/>
  <c r="B2809" i="3"/>
  <c r="BA2809" i="3" s="1"/>
  <c r="AQ2806" i="3"/>
  <c r="F2806" i="3"/>
  <c r="D2806" i="3"/>
  <c r="B2806" i="3"/>
  <c r="AZ2806" i="3" s="1"/>
  <c r="AQ3023" i="3"/>
  <c r="F3023" i="3"/>
  <c r="D3023" i="3"/>
  <c r="B3023" i="3"/>
  <c r="X452" i="12"/>
  <c r="K540" i="12" a="1"/>
  <c r="K540" i="12" s="1"/>
  <c r="B2883" i="3"/>
  <c r="BA2883" i="3" s="1"/>
  <c r="D2883" i="3"/>
  <c r="F2883" i="3"/>
  <c r="AQ2883" i="3"/>
  <c r="B2882" i="3"/>
  <c r="AW2882" i="3" s="1"/>
  <c r="D2882" i="3"/>
  <c r="F2882" i="3"/>
  <c r="AQ2882" i="3"/>
  <c r="B2881" i="3"/>
  <c r="D2881" i="3"/>
  <c r="F2881" i="3"/>
  <c r="AQ2881" i="3"/>
  <c r="B2880" i="3"/>
  <c r="AV2880" i="3" s="1"/>
  <c r="D2880" i="3"/>
  <c r="F2880" i="3"/>
  <c r="AQ2880" i="3"/>
  <c r="B2879" i="3"/>
  <c r="D2879" i="3"/>
  <c r="F2879" i="3"/>
  <c r="AQ2879" i="3"/>
  <c r="B2878" i="3"/>
  <c r="AW2878" i="3" s="1"/>
  <c r="D2878" i="3"/>
  <c r="F2878" i="3"/>
  <c r="AQ2878" i="3"/>
  <c r="B2877" i="3"/>
  <c r="AZ2877" i="3" s="1"/>
  <c r="D2877" i="3"/>
  <c r="F2877" i="3"/>
  <c r="AQ2877" i="3"/>
  <c r="AQ2875" i="3"/>
  <c r="B2876" i="3"/>
  <c r="AY2876" i="3" s="1"/>
  <c r="D2876" i="3"/>
  <c r="F2876" i="3"/>
  <c r="AQ2876" i="3"/>
  <c r="B2875" i="3"/>
  <c r="AR2875" i="3" s="1"/>
  <c r="D2875" i="3"/>
  <c r="F2875" i="3"/>
  <c r="B2807" i="3"/>
  <c r="AV2807" i="3" s="1"/>
  <c r="D2807" i="3"/>
  <c r="F2807" i="3"/>
  <c r="AQ2807" i="3"/>
  <c r="B2954" i="3"/>
  <c r="D2954" i="3"/>
  <c r="F2954" i="3"/>
  <c r="AQ2954" i="3"/>
  <c r="B2940" i="3"/>
  <c r="AU2940" i="3" s="1"/>
  <c r="D2940" i="3"/>
  <c r="F2940" i="3"/>
  <c r="AQ2940" i="3"/>
  <c r="B2939" i="3"/>
  <c r="AZ2939" i="3" s="1"/>
  <c r="D2939" i="3"/>
  <c r="F2939" i="3"/>
  <c r="AQ2939" i="3"/>
  <c r="B3006" i="3"/>
  <c r="AU3006" i="3" s="1"/>
  <c r="D3006" i="3"/>
  <c r="F3006" i="3"/>
  <c r="AQ3006" i="3"/>
  <c r="B3025" i="3"/>
  <c r="D3025" i="3"/>
  <c r="F3025" i="3"/>
  <c r="AQ3025" i="3"/>
  <c r="B3005" i="3"/>
  <c r="AX3005" i="3" s="1"/>
  <c r="D3005" i="3"/>
  <c r="F3005" i="3"/>
  <c r="AQ3005" i="3"/>
  <c r="B3004" i="3"/>
  <c r="AZ3004" i="3" s="1"/>
  <c r="D3004" i="3"/>
  <c r="F3004" i="3"/>
  <c r="AQ3004" i="3"/>
  <c r="B3024" i="3"/>
  <c r="AU3024" i="3" s="1"/>
  <c r="D3024" i="3"/>
  <c r="F3024" i="3"/>
  <c r="AQ3024" i="3"/>
  <c r="B3003" i="3"/>
  <c r="BA3003" i="3" s="1"/>
  <c r="D3003" i="3"/>
  <c r="F3003" i="3"/>
  <c r="AQ3003" i="3"/>
  <c r="B3002" i="3"/>
  <c r="AT3002" i="3" s="1"/>
  <c r="D3002" i="3"/>
  <c r="F3002" i="3"/>
  <c r="AQ3002" i="3"/>
  <c r="B1143" i="13"/>
  <c r="Z1143" i="13" s="1"/>
  <c r="Q1144" i="13"/>
  <c r="B1139" i="13"/>
  <c r="D1143" i="13"/>
  <c r="F1143" i="13"/>
  <c r="Q1143" i="13"/>
  <c r="W547" i="12"/>
  <c r="V547" i="12"/>
  <c r="Q547" i="12"/>
  <c r="P547" i="12"/>
  <c r="O547" i="12"/>
  <c r="N547" i="12" a="1"/>
  <c r="N547" i="12" s="1"/>
  <c r="K547" i="12" a="1"/>
  <c r="K547" i="12" s="1"/>
  <c r="G547" i="12"/>
  <c r="E2806" i="3" s="1"/>
  <c r="C547" i="12"/>
  <c r="C2809" i="3" s="1"/>
  <c r="B1140" i="13"/>
  <c r="Q1142" i="13"/>
  <c r="F1142" i="13"/>
  <c r="D1142" i="13"/>
  <c r="B1142" i="13"/>
  <c r="AD1142" i="13" s="1"/>
  <c r="B1141" i="13"/>
  <c r="AC1141" i="13" s="1"/>
  <c r="Q1141" i="13"/>
  <c r="F1141" i="13"/>
  <c r="D1141" i="13"/>
  <c r="Q1140" i="13"/>
  <c r="F1140" i="13"/>
  <c r="D1140" i="13"/>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1139" i="13"/>
  <c r="F1139" i="13"/>
  <c r="Q1139" i="13"/>
  <c r="B2859" i="3"/>
  <c r="AX2859" i="3" s="1"/>
  <c r="D2859" i="3"/>
  <c r="F2859" i="3"/>
  <c r="AQ2859" i="3"/>
  <c r="B2858" i="3"/>
  <c r="BA2858" i="3" s="1"/>
  <c r="D2858" i="3"/>
  <c r="F2858" i="3"/>
  <c r="AQ2858" i="3"/>
  <c r="B2857" i="3"/>
  <c r="AS2857" i="3" s="1"/>
  <c r="D2857" i="3"/>
  <c r="F2857" i="3"/>
  <c r="AQ2857" i="3"/>
  <c r="C362" i="12"/>
  <c r="C2858" i="3" s="1"/>
  <c r="G362" i="12"/>
  <c r="E2857" i="3" s="1"/>
  <c r="K362" i="12" a="1"/>
  <c r="K362" i="12" s="1"/>
  <c r="M362" i="12" s="1"/>
  <c r="N362" i="12" a="1"/>
  <c r="N362" i="12" s="1"/>
  <c r="O362" i="12"/>
  <c r="P362" i="12"/>
  <c r="Q362" i="12"/>
  <c r="V362" i="12"/>
  <c r="W362" i="12"/>
  <c r="B2856" i="3"/>
  <c r="AZ2856" i="3" s="1"/>
  <c r="C2856" i="3"/>
  <c r="D2856" i="3"/>
  <c r="F2856" i="3"/>
  <c r="AQ2856" i="3"/>
  <c r="B2855" i="3"/>
  <c r="AY2855" i="3" s="1"/>
  <c r="C2855" i="3"/>
  <c r="D2855" i="3"/>
  <c r="F2855" i="3"/>
  <c r="AQ2855" i="3"/>
  <c r="B2854" i="3"/>
  <c r="C2854" i="3"/>
  <c r="D2854" i="3"/>
  <c r="F2854" i="3"/>
  <c r="AQ2854" i="3"/>
  <c r="B2853" i="3"/>
  <c r="BA2853" i="3" s="1"/>
  <c r="C2853" i="3"/>
  <c r="D2853" i="3"/>
  <c r="F2853" i="3"/>
  <c r="AQ2853" i="3"/>
  <c r="B1138" i="13"/>
  <c r="AB1138" i="13" s="1"/>
  <c r="C1138" i="13"/>
  <c r="D1138" i="13"/>
  <c r="F1138" i="13"/>
  <c r="Q1138" i="13"/>
  <c r="B1137" i="13"/>
  <c r="V1137" i="13" s="1"/>
  <c r="C1137" i="13"/>
  <c r="D1137" i="13"/>
  <c r="F1137" i="13"/>
  <c r="Q1137" i="13"/>
  <c r="B1136" i="13"/>
  <c r="X1136" i="13" s="1"/>
  <c r="C1136" i="13"/>
  <c r="D1136" i="13"/>
  <c r="F1136" i="13"/>
  <c r="Q1136" i="13"/>
  <c r="G452" i="12"/>
  <c r="E2855" i="3" s="1"/>
  <c r="K452" i="12" a="1"/>
  <c r="K452" i="12" s="1"/>
  <c r="M452" i="12" s="1"/>
  <c r="N452" i="12" a="1"/>
  <c r="N452" i="12" s="1"/>
  <c r="O452" i="12"/>
  <c r="P452" i="12"/>
  <c r="Q452" i="12"/>
  <c r="V452" i="12"/>
  <c r="W452" i="12"/>
  <c r="X392" i="12"/>
  <c r="B2779" i="3"/>
  <c r="AV2779" i="3" s="1"/>
  <c r="C2779" i="3"/>
  <c r="D2779" i="3"/>
  <c r="F2779" i="3"/>
  <c r="AQ2779" i="3"/>
  <c r="B1113" i="13"/>
  <c r="C1113" i="13"/>
  <c r="D1113" i="13"/>
  <c r="F1113" i="13"/>
  <c r="Q1113" i="13"/>
  <c r="B2852" i="3"/>
  <c r="AZ2852" i="3" s="1"/>
  <c r="D2852" i="3"/>
  <c r="F2852" i="3"/>
  <c r="AQ2852" i="3"/>
  <c r="B2851" i="3"/>
  <c r="AX2851" i="3" s="1"/>
  <c r="D2851" i="3"/>
  <c r="F2851" i="3"/>
  <c r="AQ2851" i="3"/>
  <c r="B355" i="4"/>
  <c r="AS355" i="4" s="1"/>
  <c r="AN355" i="4"/>
  <c r="B354" i="4"/>
  <c r="AW354" i="4" s="1"/>
  <c r="AN354" i="4"/>
  <c r="B353" i="4"/>
  <c r="AN353" i="4"/>
  <c r="B2850" i="3"/>
  <c r="BA2850" i="3" s="1"/>
  <c r="D2850" i="3"/>
  <c r="F2850" i="3"/>
  <c r="AQ2850" i="3"/>
  <c r="B2846" i="3"/>
  <c r="D2846" i="3"/>
  <c r="F2846" i="3"/>
  <c r="AQ2846" i="3"/>
  <c r="B2842" i="3"/>
  <c r="D2842" i="3"/>
  <c r="F2842" i="3"/>
  <c r="AQ2842" i="3"/>
  <c r="B2847" i="3"/>
  <c r="B2848" i="3"/>
  <c r="AT2848" i="3" s="1"/>
  <c r="B2849" i="3"/>
  <c r="AT2849" i="3" s="1"/>
  <c r="D2847" i="3"/>
  <c r="D2848" i="3"/>
  <c r="D2849" i="3"/>
  <c r="F2847" i="3"/>
  <c r="F2848" i="3"/>
  <c r="F2849" i="3"/>
  <c r="AQ2847" i="3"/>
  <c r="AQ2848" i="3"/>
  <c r="AQ2849" i="3"/>
  <c r="B2841" i="3"/>
  <c r="AZ2841" i="3" s="1"/>
  <c r="B2843" i="3"/>
  <c r="AU2843" i="3" s="1"/>
  <c r="B2844" i="3"/>
  <c r="AR2844" i="3" s="1"/>
  <c r="B2845" i="3"/>
  <c r="D2841" i="3"/>
  <c r="D2843" i="3"/>
  <c r="D2844" i="3"/>
  <c r="D2845" i="3"/>
  <c r="F2841" i="3"/>
  <c r="F2843" i="3"/>
  <c r="F2844" i="3"/>
  <c r="F2845" i="3"/>
  <c r="AQ2841" i="3"/>
  <c r="AQ2843" i="3"/>
  <c r="AQ2844" i="3"/>
  <c r="AQ2845" i="3"/>
  <c r="B2840" i="3"/>
  <c r="BA2840" i="3" s="1"/>
  <c r="D2840" i="3"/>
  <c r="F2840" i="3"/>
  <c r="AQ2840" i="3"/>
  <c r="B1135" i="13"/>
  <c r="D1135" i="13"/>
  <c r="F1135" i="13"/>
  <c r="Q1135" i="13"/>
  <c r="B1134" i="13"/>
  <c r="AE1134" i="13" s="1"/>
  <c r="D1134" i="13"/>
  <c r="F1134" i="13"/>
  <c r="Q1134" i="13"/>
  <c r="B1133" i="13"/>
  <c r="D1133" i="13"/>
  <c r="F1133" i="13"/>
  <c r="Q1133" i="13"/>
  <c r="C392" i="12"/>
  <c r="C355" i="4" s="1"/>
  <c r="G392" i="12"/>
  <c r="E2845" i="3" s="1"/>
  <c r="K392" i="12" a="1"/>
  <c r="K392" i="12" s="1"/>
  <c r="L392" i="12" s="1"/>
  <c r="N392" i="12" a="1"/>
  <c r="N392" i="12" s="1"/>
  <c r="O392" i="12"/>
  <c r="P392" i="12"/>
  <c r="Q392" i="12"/>
  <c r="V392" i="12"/>
  <c r="W392" i="12"/>
  <c r="B352" i="4"/>
  <c r="C352" i="4"/>
  <c r="AN352" i="4"/>
  <c r="B351" i="4"/>
  <c r="AR351" i="4" s="1"/>
  <c r="C351" i="4"/>
  <c r="AN351" i="4"/>
  <c r="B350" i="4"/>
  <c r="AV350" i="4" s="1"/>
  <c r="C350" i="4"/>
  <c r="AN350" i="4"/>
  <c r="B349" i="4"/>
  <c r="AO349" i="4" s="1"/>
  <c r="C349" i="4"/>
  <c r="AN349" i="4"/>
  <c r="B2957" i="3"/>
  <c r="BA2957" i="3" s="1"/>
  <c r="C2957" i="3"/>
  <c r="D2957" i="3"/>
  <c r="F2957" i="3"/>
  <c r="AQ2957" i="3"/>
  <c r="B1127" i="13"/>
  <c r="AC1127" i="13" s="1"/>
  <c r="C1127" i="13"/>
  <c r="D1127" i="13"/>
  <c r="F1127" i="13"/>
  <c r="Q1127" i="13"/>
  <c r="Q1132" i="13"/>
  <c r="F1132" i="13"/>
  <c r="D1132" i="13"/>
  <c r="C1132" i="13"/>
  <c r="B1132" i="13"/>
  <c r="Y1132" i="13" s="1"/>
  <c r="Q1131" i="13"/>
  <c r="F1131" i="13"/>
  <c r="D1131" i="13"/>
  <c r="C1131" i="13"/>
  <c r="B1131" i="13"/>
  <c r="Q1130" i="13"/>
  <c r="F1130" i="13"/>
  <c r="D1130" i="13"/>
  <c r="C1130" i="13"/>
  <c r="B1130" i="13"/>
  <c r="Q1129" i="13"/>
  <c r="F1129" i="13"/>
  <c r="D1129" i="13"/>
  <c r="C1129" i="13"/>
  <c r="B1129" i="13"/>
  <c r="Y1129" i="13" s="1"/>
  <c r="Q1128" i="13"/>
  <c r="F1128" i="13"/>
  <c r="D1128" i="13"/>
  <c r="C1128" i="13"/>
  <c r="B1128" i="13"/>
  <c r="AE1128" i="13" s="1"/>
  <c r="AQ2959" i="3"/>
  <c r="F2959" i="3"/>
  <c r="D2959" i="3"/>
  <c r="C2959" i="3"/>
  <c r="B2959" i="3"/>
  <c r="AQ2783" i="3"/>
  <c r="F2783" i="3"/>
  <c r="D2783" i="3"/>
  <c r="C2783" i="3"/>
  <c r="B2783" i="3"/>
  <c r="AY2783" i="3" s="1"/>
  <c r="Q1126" i="13"/>
  <c r="F1126" i="13"/>
  <c r="D1126" i="13"/>
  <c r="C1126" i="13"/>
  <c r="B1126" i="13"/>
  <c r="AC1126" i="13" s="1"/>
  <c r="AQ2819" i="3"/>
  <c r="F2819" i="3"/>
  <c r="D2819" i="3"/>
  <c r="C2819" i="3"/>
  <c r="B2819" i="3"/>
  <c r="AX2819" i="3" s="1"/>
  <c r="AQ2958" i="3"/>
  <c r="F2958" i="3"/>
  <c r="D2958" i="3"/>
  <c r="C2958" i="3"/>
  <c r="B2958" i="3"/>
  <c r="BA2958" i="3" s="1"/>
  <c r="AQ3007" i="3"/>
  <c r="F3007" i="3"/>
  <c r="D3007" i="3"/>
  <c r="C3007" i="3"/>
  <c r="B3007" i="3"/>
  <c r="AY3007" i="3" s="1"/>
  <c r="W246" i="12"/>
  <c r="V246" i="12"/>
  <c r="Q246" i="12"/>
  <c r="P246" i="12"/>
  <c r="O246" i="12"/>
  <c r="N246" i="12" a="1"/>
  <c r="N246" i="12" s="1"/>
  <c r="K246" i="12" a="1"/>
  <c r="K246" i="12" s="1"/>
  <c r="G246" i="12"/>
  <c r="E1132" i="13" s="1"/>
  <c r="Q1125" i="13"/>
  <c r="F1125" i="13"/>
  <c r="D1125" i="13"/>
  <c r="B1125" i="13"/>
  <c r="W1125" i="13" s="1"/>
  <c r="W541" i="12"/>
  <c r="V541" i="12"/>
  <c r="Q541" i="12"/>
  <c r="P541" i="12"/>
  <c r="O541" i="12"/>
  <c r="N541" i="12" a="1"/>
  <c r="N541" i="12" s="1"/>
  <c r="K541" i="12" a="1"/>
  <c r="K541" i="12" s="1"/>
  <c r="G541" i="12"/>
  <c r="E1125" i="13" s="1"/>
  <c r="C541" i="12"/>
  <c r="C1125" i="13" s="1"/>
  <c r="B3022" i="3"/>
  <c r="D3022" i="3"/>
  <c r="F3022" i="3"/>
  <c r="AQ3022" i="3"/>
  <c r="B3001" i="3"/>
  <c r="BA3001" i="3" s="1"/>
  <c r="D3001" i="3"/>
  <c r="F3001" i="3"/>
  <c r="AQ3001" i="3"/>
  <c r="B2938" i="3"/>
  <c r="AX2938" i="3" s="1"/>
  <c r="D2938" i="3"/>
  <c r="F2938" i="3"/>
  <c r="AQ2938" i="3"/>
  <c r="B3020" i="3"/>
  <c r="AW3020" i="3" s="1"/>
  <c r="D3020" i="3"/>
  <c r="F3020" i="3"/>
  <c r="AQ3020" i="3"/>
  <c r="B3000" i="3"/>
  <c r="AR3000" i="3" s="1"/>
  <c r="D3000" i="3"/>
  <c r="F3000" i="3"/>
  <c r="AQ3000" i="3"/>
  <c r="B2999" i="3"/>
  <c r="D2999" i="3"/>
  <c r="F2999" i="3"/>
  <c r="AQ2999" i="3"/>
  <c r="B3021" i="3"/>
  <c r="AZ3021" i="3" s="1"/>
  <c r="D3021" i="3"/>
  <c r="F3021" i="3"/>
  <c r="AQ3021" i="3"/>
  <c r="B2817" i="3"/>
  <c r="D2817" i="3"/>
  <c r="F2817" i="3"/>
  <c r="AQ2817" i="3"/>
  <c r="B3019" i="3"/>
  <c r="D3019" i="3"/>
  <c r="F3019" i="3"/>
  <c r="AQ3019" i="3"/>
  <c r="B2816" i="3"/>
  <c r="AZ2816" i="3" s="1"/>
  <c r="D2816" i="3"/>
  <c r="F2816" i="3"/>
  <c r="AQ2816" i="3"/>
  <c r="B2815" i="3"/>
  <c r="AS2815" i="3" s="1"/>
  <c r="D2815" i="3"/>
  <c r="F2815" i="3"/>
  <c r="AQ2815" i="3"/>
  <c r="B2937" i="3"/>
  <c r="D2937" i="3"/>
  <c r="F2937" i="3"/>
  <c r="AQ2937" i="3"/>
  <c r="B2805" i="3"/>
  <c r="D2805" i="3"/>
  <c r="F2805" i="3"/>
  <c r="AQ2805" i="3"/>
  <c r="B2936" i="3"/>
  <c r="D2936" i="3"/>
  <c r="F2936" i="3"/>
  <c r="AQ2936" i="3"/>
  <c r="B2935" i="3"/>
  <c r="AX2935" i="3" s="1"/>
  <c r="D2935" i="3"/>
  <c r="F2935" i="3"/>
  <c r="AQ2935" i="3"/>
  <c r="B2998" i="3"/>
  <c r="AW2998" i="3" s="1"/>
  <c r="D2998" i="3"/>
  <c r="F2998" i="3"/>
  <c r="AQ2998" i="3"/>
  <c r="B1124" i="13"/>
  <c r="D1124" i="13"/>
  <c r="F1124" i="13"/>
  <c r="Q1124" i="13"/>
  <c r="C546" i="12"/>
  <c r="G546" i="12"/>
  <c r="E3000" i="3" s="1"/>
  <c r="K546" i="12" a="1"/>
  <c r="K546" i="12" s="1"/>
  <c r="L546" i="12" s="1"/>
  <c r="N546" i="12" a="1"/>
  <c r="N546" i="12" s="1"/>
  <c r="O546" i="12"/>
  <c r="P546" i="12"/>
  <c r="Q546" i="12"/>
  <c r="V546" i="12"/>
  <c r="W546" i="12"/>
  <c r="W475" i="12"/>
  <c r="E2889" i="3"/>
  <c r="E2886" i="3"/>
  <c r="E2912" i="3"/>
  <c r="E2891" i="3"/>
  <c r="E2896" i="3"/>
  <c r="E2904" i="3"/>
  <c r="E2909" i="3"/>
  <c r="E359" i="4"/>
  <c r="E367" i="4"/>
  <c r="E2906" i="3"/>
  <c r="E371" i="4"/>
  <c r="E360" i="4"/>
  <c r="E3024" i="3"/>
  <c r="E2809" i="3"/>
  <c r="C2857" i="3"/>
  <c r="E2840" i="3"/>
  <c r="B348" i="4"/>
  <c r="AW348" i="4" s="1"/>
  <c r="AN348" i="4"/>
  <c r="B347" i="4"/>
  <c r="AN347" i="4"/>
  <c r="AQ2941" i="3"/>
  <c r="B2789" i="3"/>
  <c r="AR2789" i="3" s="1"/>
  <c r="D2789" i="3"/>
  <c r="F2789" i="3"/>
  <c r="AQ2789" i="3"/>
  <c r="B2788" i="3"/>
  <c r="AZ2788" i="3" s="1"/>
  <c r="D2788" i="3"/>
  <c r="F2788" i="3"/>
  <c r="AQ2788" i="3"/>
  <c r="B2941" i="3"/>
  <c r="AV2941" i="3" s="1"/>
  <c r="D2941" i="3"/>
  <c r="F2941" i="3"/>
  <c r="B2964" i="3"/>
  <c r="D2964" i="3"/>
  <c r="F2964" i="3"/>
  <c r="AQ2964" i="3"/>
  <c r="B346" i="4"/>
  <c r="AN346" i="4"/>
  <c r="AQ2822" i="3"/>
  <c r="F2822" i="3"/>
  <c r="D2822" i="3"/>
  <c r="B2822" i="3"/>
  <c r="AR2822" i="3" s="1"/>
  <c r="AQ2962" i="3"/>
  <c r="F2962" i="3"/>
  <c r="D2962" i="3"/>
  <c r="B2962" i="3"/>
  <c r="AT2962" i="3" s="1"/>
  <c r="AQ2961" i="3"/>
  <c r="F2961" i="3"/>
  <c r="D2961" i="3"/>
  <c r="B2961" i="3"/>
  <c r="AR2961" i="3" s="1"/>
  <c r="B2963" i="3"/>
  <c r="AZ2963" i="3" s="1"/>
  <c r="D2963" i="3"/>
  <c r="F2963" i="3"/>
  <c r="AQ2963" i="3"/>
  <c r="B2787" i="3"/>
  <c r="AW2787" i="3" s="1"/>
  <c r="D2787" i="3"/>
  <c r="F2787" i="3"/>
  <c r="AQ2787" i="3"/>
  <c r="B2960" i="3"/>
  <c r="D2960" i="3"/>
  <c r="F2960" i="3"/>
  <c r="AQ2960" i="3"/>
  <c r="B2786" i="3"/>
  <c r="D2786" i="3"/>
  <c r="F2786" i="3"/>
  <c r="AQ2786" i="3"/>
  <c r="B3010" i="3"/>
  <c r="AZ3010" i="3" s="1"/>
  <c r="D3010" i="3"/>
  <c r="F3010" i="3"/>
  <c r="AQ3010" i="3"/>
  <c r="B3009" i="3"/>
  <c r="D3009" i="3"/>
  <c r="F3009" i="3"/>
  <c r="AQ3009" i="3"/>
  <c r="B3008" i="3"/>
  <c r="BA3008" i="3" s="1"/>
  <c r="D3008" i="3"/>
  <c r="F3008" i="3"/>
  <c r="AQ3008" i="3"/>
  <c r="B2785" i="3"/>
  <c r="D2785" i="3"/>
  <c r="F2785" i="3"/>
  <c r="AQ2785" i="3"/>
  <c r="B2821" i="3"/>
  <c r="AZ2821" i="3" s="1"/>
  <c r="D2821" i="3"/>
  <c r="F2821" i="3"/>
  <c r="AQ2821" i="3"/>
  <c r="B2784" i="3"/>
  <c r="AW2784" i="3" s="1"/>
  <c r="D2784" i="3"/>
  <c r="F2784" i="3"/>
  <c r="AQ2784" i="3"/>
  <c r="B2820" i="3"/>
  <c r="AZ2820" i="3" s="1"/>
  <c r="D2820" i="3"/>
  <c r="F2820" i="3"/>
  <c r="AQ2820" i="3"/>
  <c r="B1123" i="13"/>
  <c r="AB1123" i="13" s="1"/>
  <c r="D1123" i="13"/>
  <c r="F1123" i="13"/>
  <c r="Q1123" i="13"/>
  <c r="B1122" i="13"/>
  <c r="V1122" i="13" s="1"/>
  <c r="C247" i="12"/>
  <c r="C2960" i="3" s="1"/>
  <c r="G247" i="12"/>
  <c r="E2820" i="3" s="1"/>
  <c r="K247" i="12" a="1"/>
  <c r="K247" i="12" s="1"/>
  <c r="N247" i="12" a="1"/>
  <c r="N247" i="12" s="1"/>
  <c r="O247" i="12"/>
  <c r="P247" i="12"/>
  <c r="Q247" i="12"/>
  <c r="V247" i="12"/>
  <c r="W247" i="12"/>
  <c r="E2962" i="3"/>
  <c r="C342" i="4"/>
  <c r="B342" i="4"/>
  <c r="AU342" i="4" s="1"/>
  <c r="AN342" i="4"/>
  <c r="B2930" i="3"/>
  <c r="C2930" i="3"/>
  <c r="D2930" i="3"/>
  <c r="F2930" i="3"/>
  <c r="AQ2930" i="3"/>
  <c r="B2927" i="3"/>
  <c r="AV2927" i="3" s="1"/>
  <c r="C2927" i="3"/>
  <c r="D2927" i="3"/>
  <c r="F2927" i="3"/>
  <c r="AQ2927" i="3"/>
  <c r="B2993" i="3"/>
  <c r="AR2993" i="3" s="1"/>
  <c r="C2993" i="3"/>
  <c r="D2993" i="3"/>
  <c r="F2993" i="3"/>
  <c r="AQ2993" i="3"/>
  <c r="B2874" i="3"/>
  <c r="AX2874" i="3" s="1"/>
  <c r="C2874" i="3"/>
  <c r="D2874" i="3"/>
  <c r="F2874" i="3"/>
  <c r="AQ2874" i="3"/>
  <c r="B2952" i="3"/>
  <c r="AR2952" i="3" s="1"/>
  <c r="C2952" i="3"/>
  <c r="D2952" i="3"/>
  <c r="F2952" i="3"/>
  <c r="AQ2952" i="3"/>
  <c r="B2870" i="3"/>
  <c r="AS2870" i="3" s="1"/>
  <c r="C2870" i="3"/>
  <c r="D2870" i="3"/>
  <c r="F2870" i="3"/>
  <c r="AQ2870" i="3"/>
  <c r="B345" i="4"/>
  <c r="AO345" i="4" s="1"/>
  <c r="C345" i="4"/>
  <c r="AN345" i="4"/>
  <c r="B344" i="4"/>
  <c r="AO344" i="4" s="1"/>
  <c r="C344" i="4"/>
  <c r="AN344" i="4"/>
  <c r="B343" i="4"/>
  <c r="AO343" i="4" s="1"/>
  <c r="C343" i="4"/>
  <c r="AN343" i="4"/>
  <c r="B341" i="4"/>
  <c r="AO341" i="4" s="1"/>
  <c r="C341" i="4"/>
  <c r="AN341" i="4"/>
  <c r="B340" i="4"/>
  <c r="C340" i="4"/>
  <c r="AN340" i="4"/>
  <c r="B339" i="4"/>
  <c r="AT339" i="4" s="1"/>
  <c r="C339" i="4"/>
  <c r="AN339" i="4"/>
  <c r="B338" i="4"/>
  <c r="AT338" i="4" s="1"/>
  <c r="C338" i="4"/>
  <c r="AN338" i="4"/>
  <c r="G134" i="12"/>
  <c r="G182" i="12"/>
  <c r="E12" i="13" s="1"/>
  <c r="G41" i="12"/>
  <c r="E15" i="13" s="1"/>
  <c r="G104" i="12"/>
  <c r="E11" i="4" s="1"/>
  <c r="G459" i="12"/>
  <c r="E24" i="13" s="1"/>
  <c r="G127" i="12"/>
  <c r="E989" i="13" s="1"/>
  <c r="G233" i="12"/>
  <c r="E991" i="13" s="1"/>
  <c r="G154" i="12"/>
  <c r="E27" i="13" s="1"/>
  <c r="G312" i="12"/>
  <c r="E12" i="4" s="1"/>
  <c r="G254" i="12"/>
  <c r="G186" i="12"/>
  <c r="E14" i="4" s="1"/>
  <c r="G42" i="12"/>
  <c r="G138" i="12"/>
  <c r="E69" i="3" s="1"/>
  <c r="G389" i="12"/>
  <c r="G278" i="12"/>
  <c r="G132" i="12"/>
  <c r="E43" i="13" s="1"/>
  <c r="G194" i="12"/>
  <c r="E93" i="13" s="1"/>
  <c r="G306" i="12"/>
  <c r="E47" i="13" s="1"/>
  <c r="G153" i="12"/>
  <c r="G205" i="12"/>
  <c r="E961" i="13" s="1"/>
  <c r="G432" i="12"/>
  <c r="E994" i="13" s="1"/>
  <c r="G382" i="12"/>
  <c r="G380" i="12"/>
  <c r="G282" i="12"/>
  <c r="G122" i="12"/>
  <c r="E56" i="13" s="1"/>
  <c r="G213" i="12"/>
  <c r="E53" i="13" s="1"/>
  <c r="G68" i="12"/>
  <c r="G487" i="12"/>
  <c r="G221" i="12"/>
  <c r="G142" i="12"/>
  <c r="G222" i="12"/>
  <c r="E175" i="13" s="1"/>
  <c r="G109" i="12"/>
  <c r="E62" i="13" s="1"/>
  <c r="G295" i="12"/>
  <c r="E361" i="13" s="1"/>
  <c r="G369" i="12"/>
  <c r="G140" i="12"/>
  <c r="G227" i="12"/>
  <c r="G283" i="12"/>
  <c r="G45" i="12"/>
  <c r="E28" i="4" s="1"/>
  <c r="G258" i="12"/>
  <c r="E565" i="13" s="1"/>
  <c r="G235" i="12"/>
  <c r="E29" i="4" s="1"/>
  <c r="G16" i="12"/>
  <c r="G398" i="12"/>
  <c r="E79" i="13" s="1"/>
  <c r="G43" i="12"/>
  <c r="E81" i="13" s="1"/>
  <c r="G237" i="12"/>
  <c r="E135" i="13" s="1"/>
  <c r="G69" i="12"/>
  <c r="G488" i="12"/>
  <c r="G238" i="12"/>
  <c r="G239" i="12"/>
  <c r="E34" i="4" s="1"/>
  <c r="G15" i="12"/>
  <c r="G178" i="12"/>
  <c r="E35" i="4" s="1"/>
  <c r="G219" i="12"/>
  <c r="G242" i="12"/>
  <c r="E893" i="13" s="1"/>
  <c r="G317" i="12"/>
  <c r="E90" i="13" s="1"/>
  <c r="G172" i="12"/>
  <c r="E36" i="4" s="1"/>
  <c r="G243" i="12"/>
  <c r="E227" i="13" s="1"/>
  <c r="G70" i="12"/>
  <c r="G245" i="12"/>
  <c r="G303" i="12"/>
  <c r="G151" i="12"/>
  <c r="G124" i="12"/>
  <c r="E99" i="13" s="1"/>
  <c r="G513" i="12"/>
  <c r="E2636" i="3" s="1"/>
  <c r="G426" i="12"/>
  <c r="E40" i="4" s="1"/>
  <c r="G240" i="12"/>
  <c r="E1001" i="13" s="1"/>
  <c r="G44" i="12"/>
  <c r="G250" i="12"/>
  <c r="G11" i="12"/>
  <c r="G71" i="12"/>
  <c r="G489" i="12"/>
  <c r="G202" i="12"/>
  <c r="E1003" i="13" s="1"/>
  <c r="G268" i="12"/>
  <c r="E41" i="4" s="1"/>
  <c r="G126" i="12"/>
  <c r="E148" i="13" s="1"/>
  <c r="G308" i="12"/>
  <c r="E120" i="13" s="1"/>
  <c r="G185" i="12"/>
  <c r="E292" i="3" s="1"/>
  <c r="G271" i="12"/>
  <c r="E309" i="13" s="1"/>
  <c r="G175" i="12"/>
  <c r="G276" i="12"/>
  <c r="E582" i="13" s="1"/>
  <c r="G277" i="12"/>
  <c r="E587" i="13" s="1"/>
  <c r="G146" i="12"/>
  <c r="E46" i="4" s="1"/>
  <c r="G399" i="12"/>
  <c r="E139" i="13" s="1"/>
  <c r="G33" i="12"/>
  <c r="G279" i="12"/>
  <c r="G318" i="12"/>
  <c r="G159" i="12"/>
  <c r="G130" i="12"/>
  <c r="E126" i="13" s="1"/>
  <c r="G423" i="12"/>
  <c r="G101" i="12"/>
  <c r="E154" i="13" s="1"/>
  <c r="G371" i="12"/>
  <c r="G143" i="12"/>
  <c r="E158" i="13" s="1"/>
  <c r="G244" i="12"/>
  <c r="G285" i="12"/>
  <c r="E267" i="13" s="1"/>
  <c r="G147" i="12"/>
  <c r="E391" i="3" s="1"/>
  <c r="G286" i="12"/>
  <c r="G381" i="12"/>
  <c r="E1009" i="13" s="1"/>
  <c r="G35" i="12"/>
  <c r="E172" i="13" s="1"/>
  <c r="G287" i="12"/>
  <c r="G293" i="12"/>
  <c r="G193" i="12"/>
  <c r="E69" i="4" s="1"/>
  <c r="G395" i="12"/>
  <c r="E77" i="4" s="1"/>
  <c r="G135" i="12"/>
  <c r="E183" i="13" s="1"/>
  <c r="G342" i="12"/>
  <c r="E184" i="13" s="1"/>
  <c r="G157" i="12"/>
  <c r="G34" i="12"/>
  <c r="G302" i="12"/>
  <c r="E331" i="13" s="1"/>
  <c r="G294" i="12"/>
  <c r="E318" i="13" s="1"/>
  <c r="G102" i="12"/>
  <c r="G307" i="12"/>
  <c r="E208" i="13" s="1"/>
  <c r="G106" i="12"/>
  <c r="E285" i="13" s="1"/>
  <c r="G72" i="12"/>
  <c r="G490" i="12"/>
  <c r="G203" i="12"/>
  <c r="E1015" i="13" s="1"/>
  <c r="G309" i="12"/>
  <c r="E344" i="13" s="1"/>
  <c r="G141" i="12"/>
  <c r="G251" i="12"/>
  <c r="E212" i="13" s="1"/>
  <c r="G73" i="12"/>
  <c r="G491" i="12"/>
  <c r="G252" i="12"/>
  <c r="E1017" i="13" s="1"/>
  <c r="G74" i="12"/>
  <c r="G492" i="12"/>
  <c r="G218" i="12"/>
  <c r="G67" i="12"/>
  <c r="G419" i="12"/>
  <c r="E218" i="13" s="1"/>
  <c r="G180" i="12"/>
  <c r="G255" i="12"/>
  <c r="E221" i="13" s="1"/>
  <c r="G75" i="12"/>
  <c r="G125" i="12"/>
  <c r="G231" i="12"/>
  <c r="E692" i="13" s="1"/>
  <c r="G310" i="12"/>
  <c r="E282" i="13" s="1"/>
  <c r="G53" i="12"/>
  <c r="G272" i="12"/>
  <c r="E230" i="13" s="1"/>
  <c r="G176" i="12"/>
  <c r="E90" i="4" s="1"/>
  <c r="G214" i="12"/>
  <c r="E677" i="3" s="1"/>
  <c r="G215" i="12"/>
  <c r="G316" i="12"/>
  <c r="G435" i="12"/>
  <c r="G164" i="12"/>
  <c r="G321" i="12"/>
  <c r="E913" i="13" s="1"/>
  <c r="G155" i="12"/>
  <c r="G324" i="12"/>
  <c r="E330" i="4" s="1"/>
  <c r="G448" i="12"/>
  <c r="E974" i="13" s="1"/>
  <c r="G199" i="12"/>
  <c r="E239" i="13" s="1"/>
  <c r="G192" i="12"/>
  <c r="G76" i="12"/>
  <c r="G493" i="12"/>
  <c r="G204" i="12"/>
  <c r="E1021" i="13" s="1"/>
  <c r="G325" i="12"/>
  <c r="E245" i="13" s="1"/>
  <c r="G55" i="12"/>
  <c r="E736" i="3" s="1"/>
  <c r="G327" i="12"/>
  <c r="E391" i="13" s="1"/>
  <c r="G323" i="12"/>
  <c r="E248" i="13" s="1"/>
  <c r="G150" i="12"/>
  <c r="G328" i="12"/>
  <c r="E1023" i="13" s="1"/>
  <c r="G264" i="12"/>
  <c r="G292" i="12"/>
  <c r="E1025" i="13" s="1"/>
  <c r="G77" i="12"/>
  <c r="E364" i="13" s="1"/>
  <c r="G331" i="12"/>
  <c r="E258" i="13" s="1"/>
  <c r="G314" i="12"/>
  <c r="E1027" i="13" s="1"/>
  <c r="G17" i="12"/>
  <c r="G333" i="12"/>
  <c r="E395" i="13" s="1"/>
  <c r="G78" i="12"/>
  <c r="G494" i="12"/>
  <c r="G341" i="12"/>
  <c r="G79" i="12"/>
  <c r="G495" i="12"/>
  <c r="G434" i="12"/>
  <c r="E1030" i="13" s="1"/>
  <c r="G113" i="12"/>
  <c r="G334" i="12"/>
  <c r="E477" i="13" s="1"/>
  <c r="G335" i="12"/>
  <c r="G120" i="12"/>
  <c r="E110" i="4" s="1"/>
  <c r="G351" i="12"/>
  <c r="G344" i="12"/>
  <c r="E276" i="13" s="1"/>
  <c r="G158" i="12"/>
  <c r="E879" i="3" s="1"/>
  <c r="G345" i="12"/>
  <c r="E349" i="13" s="1"/>
  <c r="G131" i="12"/>
  <c r="G80" i="12"/>
  <c r="G496" i="12"/>
  <c r="G422" i="12"/>
  <c r="E761" i="13" s="1"/>
  <c r="G393" i="12"/>
  <c r="E123" i="4" s="1"/>
  <c r="G366" i="12"/>
  <c r="E300" i="13" s="1"/>
  <c r="G46" i="12"/>
  <c r="E122" i="4" s="1"/>
  <c r="G81" i="12"/>
  <c r="G497" i="12"/>
  <c r="G206" i="12"/>
  <c r="E1035" i="13" s="1"/>
  <c r="G347" i="12"/>
  <c r="E303" i="13" s="1"/>
  <c r="G25" i="12"/>
  <c r="G348" i="12"/>
  <c r="G425" i="12"/>
  <c r="E312" i="13" s="1"/>
  <c r="G378" i="12"/>
  <c r="G145" i="12"/>
  <c r="E314" i="13" s="1"/>
  <c r="G350" i="12"/>
  <c r="E464" i="13" s="1"/>
  <c r="G47" i="12"/>
  <c r="G406" i="12"/>
  <c r="E326" i="13" s="1"/>
  <c r="G198" i="12"/>
  <c r="E124" i="4" s="1"/>
  <c r="G304" i="12"/>
  <c r="E772" i="13" s="1"/>
  <c r="G29" i="12"/>
  <c r="E125" i="4" s="1"/>
  <c r="G352" i="12"/>
  <c r="E504" i="13" s="1"/>
  <c r="G167" i="12"/>
  <c r="G357" i="12"/>
  <c r="E948" i="3" s="1"/>
  <c r="G48" i="12"/>
  <c r="E339" i="13" s="1"/>
  <c r="G379" i="12"/>
  <c r="E1037" i="13" s="1"/>
  <c r="G82" i="12"/>
  <c r="G498" i="12"/>
  <c r="G358" i="12"/>
  <c r="G297" i="12"/>
  <c r="E595" i="13" s="1"/>
  <c r="G49" i="12"/>
  <c r="E598" i="13" s="1"/>
  <c r="G361" i="12"/>
  <c r="G439" i="12"/>
  <c r="E347" i="13" s="1"/>
  <c r="G66" i="12"/>
  <c r="G446" i="12"/>
  <c r="E355" i="13" s="1"/>
  <c r="G387" i="12"/>
  <c r="G322" i="12"/>
  <c r="G118" i="12"/>
  <c r="E358" i="13" s="1"/>
  <c r="G367" i="12"/>
  <c r="E774" i="13" s="1"/>
  <c r="G368" i="12"/>
  <c r="G473" i="12"/>
  <c r="G83" i="12"/>
  <c r="G499" i="12"/>
  <c r="G288" i="12"/>
  <c r="E997" i="13" s="1"/>
  <c r="G370" i="12"/>
  <c r="E550" i="13" s="1"/>
  <c r="G133" i="12"/>
  <c r="E919" i="13" s="1"/>
  <c r="G84" i="12"/>
  <c r="G500" i="12"/>
  <c r="G207" i="12"/>
  <c r="E1043" i="13" s="1"/>
  <c r="G259" i="12"/>
  <c r="E1019" i="13" s="1"/>
  <c r="G236" i="12"/>
  <c r="G156" i="12"/>
  <c r="E1031" i="3" s="1"/>
  <c r="G377" i="12"/>
  <c r="E558" i="13" s="1"/>
  <c r="G374" i="12"/>
  <c r="E829" i="13" s="1"/>
  <c r="G363" i="12"/>
  <c r="G229" i="12"/>
  <c r="E814" i="13" s="1"/>
  <c r="G217" i="12"/>
  <c r="E817" i="13" s="1"/>
  <c r="G121" i="12"/>
  <c r="E828" i="13" s="1"/>
  <c r="G383" i="12"/>
  <c r="E400" i="13" s="1"/>
  <c r="G117" i="12"/>
  <c r="G479" i="12"/>
  <c r="E140" i="4" s="1"/>
  <c r="G136" i="12"/>
  <c r="E405" i="13" s="1"/>
  <c r="G267" i="12"/>
  <c r="E410" i="13" s="1"/>
  <c r="G139" i="12"/>
  <c r="G469" i="12"/>
  <c r="G50" i="12"/>
  <c r="E413" i="13" s="1"/>
  <c r="G437" i="12"/>
  <c r="E1034" i="13" s="1"/>
  <c r="G408" i="12"/>
  <c r="E416" i="13" s="1"/>
  <c r="G189" i="12"/>
  <c r="E1165" i="3" s="1"/>
  <c r="G349" i="12"/>
  <c r="E422" i="13" s="1"/>
  <c r="G225" i="12"/>
  <c r="E419" i="13" s="1"/>
  <c r="G386" i="12"/>
  <c r="E1050" i="13" s="1"/>
  <c r="G37" i="12"/>
  <c r="E146" i="4" s="1"/>
  <c r="G394" i="12"/>
  <c r="E1051" i="13" s="1"/>
  <c r="G85" i="12"/>
  <c r="G501" i="12"/>
  <c r="G299" i="12"/>
  <c r="E149" i="4" s="1"/>
  <c r="G223" i="12"/>
  <c r="E437" i="13" s="1"/>
  <c r="G144" i="12"/>
  <c r="G390" i="12"/>
  <c r="G195" i="12"/>
  <c r="E1053" i="13" s="1"/>
  <c r="G174" i="12"/>
  <c r="E446" i="13" s="1"/>
  <c r="G397" i="12"/>
  <c r="E683" i="13" s="1"/>
  <c r="G86" i="12"/>
  <c r="G502" i="12"/>
  <c r="G400" i="12"/>
  <c r="E71" i="17" s="1"/>
  <c r="G87" i="12"/>
  <c r="G503" i="12"/>
  <c r="G518" i="12"/>
  <c r="E161" i="4" s="1"/>
  <c r="G51" i="12"/>
  <c r="G401" i="12"/>
  <c r="E788" i="13" s="1"/>
  <c r="G165" i="12"/>
  <c r="G260" i="12"/>
  <c r="E1056" i="13" s="1"/>
  <c r="G329" i="12"/>
  <c r="E165" i="4" s="1"/>
  <c r="G129" i="12"/>
  <c r="G354" i="12"/>
  <c r="E1057" i="13" s="1"/>
  <c r="G269" i="12"/>
  <c r="E483" i="13" s="1"/>
  <c r="G18" i="12"/>
  <c r="G403" i="12"/>
  <c r="E1288" i="3" s="1"/>
  <c r="G65" i="12"/>
  <c r="G402" i="12"/>
  <c r="E1059" i="13" s="1"/>
  <c r="G88" i="12"/>
  <c r="G504" i="12"/>
  <c r="G201" i="12"/>
  <c r="E2877" i="3" s="1"/>
  <c r="G405" i="12"/>
  <c r="E746" i="13" s="1"/>
  <c r="G27" i="12"/>
  <c r="E747" i="13" s="1"/>
  <c r="G409" i="12"/>
  <c r="E781" i="13" s="1"/>
  <c r="G149" i="12"/>
  <c r="E502" i="13" s="1"/>
  <c r="G289" i="12"/>
  <c r="E1044" i="13" s="1"/>
  <c r="G410" i="12"/>
  <c r="E783" i="13" s="1"/>
  <c r="G19" i="12"/>
  <c r="E178" i="4" s="1"/>
  <c r="G261" i="12"/>
  <c r="E1049" i="13" s="1"/>
  <c r="G465" i="12"/>
  <c r="E514" i="13" s="1"/>
  <c r="G280" i="12"/>
  <c r="G415" i="12"/>
  <c r="G52" i="12"/>
  <c r="G447" i="12"/>
  <c r="G38" i="12"/>
  <c r="E520" i="13" s="1"/>
  <c r="G413" i="12"/>
  <c r="E731" i="13" s="1"/>
  <c r="G107" i="12"/>
  <c r="E832" i="13" s="1"/>
  <c r="G417" i="12"/>
  <c r="E1141" i="13" s="1"/>
  <c r="G61" i="12"/>
  <c r="E762" i="13" s="1"/>
  <c r="G315" i="12"/>
  <c r="E191" i="4" s="1"/>
  <c r="G181" i="12"/>
  <c r="E530" i="13" s="1"/>
  <c r="G290" i="12"/>
  <c r="E1036" i="13" s="1"/>
  <c r="G418" i="12"/>
  <c r="E1065" i="13" s="1"/>
  <c r="G420" i="12"/>
  <c r="E532" i="13" s="1"/>
  <c r="G40" i="12"/>
  <c r="G421" i="12"/>
  <c r="E765" i="13" s="1"/>
  <c r="G191" i="12"/>
  <c r="E193" i="4" s="1"/>
  <c r="G343" i="12"/>
  <c r="G173" i="12"/>
  <c r="E1447" i="3" s="1"/>
  <c r="G427" i="12"/>
  <c r="E947" i="13" s="1"/>
  <c r="G330" i="12"/>
  <c r="E793" i="13" s="1"/>
  <c r="G62" i="12"/>
  <c r="G365" i="12"/>
  <c r="E1067" i="13" s="1"/>
  <c r="G13" i="12"/>
  <c r="G429" i="12"/>
  <c r="E855" i="13" s="1"/>
  <c r="G428" i="12"/>
  <c r="E863" i="13" s="1"/>
  <c r="G99" i="12"/>
  <c r="E849" i="13" s="1"/>
  <c r="G424" i="12"/>
  <c r="E563" i="13" s="1"/>
  <c r="G89" i="12"/>
  <c r="G505" i="12"/>
  <c r="G431" i="12"/>
  <c r="G391" i="12"/>
  <c r="E1071" i="13" s="1"/>
  <c r="G232" i="12"/>
  <c r="E564" i="13" s="1"/>
  <c r="G90" i="12"/>
  <c r="E569" i="13" s="1"/>
  <c r="G253" i="12"/>
  <c r="E1062" i="13" s="1"/>
  <c r="G266" i="12"/>
  <c r="G196" i="12"/>
  <c r="E1539" i="3" s="1"/>
  <c r="G433" i="12"/>
  <c r="E571" i="13" s="1"/>
  <c r="G54" i="12"/>
  <c r="E1544" i="3" s="1"/>
  <c r="G440" i="12"/>
  <c r="E2760" i="3" s="1"/>
  <c r="G404" i="12"/>
  <c r="E810" i="13" s="1"/>
  <c r="G436" i="12"/>
  <c r="E812" i="13" s="1"/>
  <c r="G311" i="12"/>
  <c r="G160" i="12"/>
  <c r="E590" i="13" s="1"/>
  <c r="G372" i="12"/>
  <c r="E1061" i="13" s="1"/>
  <c r="G108" i="12"/>
  <c r="G454" i="12"/>
  <c r="G449" i="12"/>
  <c r="G224" i="12"/>
  <c r="E591" i="13" s="1"/>
  <c r="G30" i="12"/>
  <c r="G443" i="12"/>
  <c r="G441" i="12"/>
  <c r="E838" i="13" s="1"/>
  <c r="G326" i="12"/>
  <c r="E1610" i="3" s="1"/>
  <c r="G216" i="12"/>
  <c r="E850" i="13" s="1"/>
  <c r="G444" i="12"/>
  <c r="E890" i="13" s="1"/>
  <c r="G373" i="12"/>
  <c r="G123" i="12"/>
  <c r="G20" i="12"/>
  <c r="G450" i="12"/>
  <c r="E221" i="4" s="1"/>
  <c r="G171" i="12"/>
  <c r="E220" i="4" s="1"/>
  <c r="G270" i="12"/>
  <c r="E892" i="13" s="1"/>
  <c r="G14" i="12"/>
  <c r="G263" i="12"/>
  <c r="G12" i="12"/>
  <c r="G319" i="12"/>
  <c r="E1661" i="3" s="1"/>
  <c r="G103" i="12"/>
  <c r="E1660" i="3" s="1"/>
  <c r="G265" i="12"/>
  <c r="E628" i="13" s="1"/>
  <c r="G32" i="12"/>
  <c r="G301" i="12"/>
  <c r="G9" i="12"/>
  <c r="G91" i="12"/>
  <c r="G506" i="12"/>
  <c r="G208" i="12"/>
  <c r="E1077" i="13" s="1"/>
  <c r="G457" i="12"/>
  <c r="E894" i="13" s="1"/>
  <c r="G92" i="12"/>
  <c r="G507" i="12"/>
  <c r="G346" i="12"/>
  <c r="E224" i="4" s="1"/>
  <c r="G162" i="12"/>
  <c r="G416" i="12"/>
  <c r="G456" i="12"/>
  <c r="E1079" i="13" s="1"/>
  <c r="G281" i="12"/>
  <c r="G114" i="12"/>
  <c r="G226" i="12"/>
  <c r="G161" i="12"/>
  <c r="E734" i="13" s="1"/>
  <c r="G463" i="12"/>
  <c r="E751" i="13" s="1"/>
  <c r="G458" i="12"/>
  <c r="E647" i="13" s="1"/>
  <c r="G183" i="12"/>
  <c r="G93" i="12"/>
  <c r="G508" i="12"/>
  <c r="G209" i="12"/>
  <c r="E1081" i="13" s="1"/>
  <c r="G460" i="12"/>
  <c r="E653" i="13" s="1"/>
  <c r="G256" i="12"/>
  <c r="E652" i="13" s="1"/>
  <c r="G257" i="12"/>
  <c r="E651" i="13" s="1"/>
  <c r="G234" i="12"/>
  <c r="E654" i="13" s="1"/>
  <c r="G100" i="12"/>
  <c r="G296" i="12"/>
  <c r="E1064" i="13" s="1"/>
  <c r="G470" i="12"/>
  <c r="G21" i="12"/>
  <c r="G291" i="12"/>
  <c r="E659" i="13" s="1"/>
  <c r="G22" i="12"/>
  <c r="G31" i="12"/>
  <c r="E661" i="13" s="1"/>
  <c r="G472" i="12"/>
  <c r="E1083" i="13" s="1"/>
  <c r="G23" i="12"/>
  <c r="G197" i="12"/>
  <c r="G332" i="12"/>
  <c r="E262" i="4" s="1"/>
  <c r="G112" i="12"/>
  <c r="E667" i="13" s="1"/>
  <c r="G376" i="12"/>
  <c r="G115" i="12"/>
  <c r="E263" i="4" s="1"/>
  <c r="G375" i="12"/>
  <c r="E1072" i="13" s="1"/>
  <c r="G273" i="12"/>
  <c r="E1835" i="3" s="1"/>
  <c r="G274" i="12"/>
  <c r="E670" i="13" s="1"/>
  <c r="G474" i="12"/>
  <c r="E264" i="4" s="1"/>
  <c r="G438" i="12"/>
  <c r="E674" i="13" s="1"/>
  <c r="G166" i="12"/>
  <c r="E675" i="13" s="1"/>
  <c r="G476" i="12"/>
  <c r="E930" i="13" s="1"/>
  <c r="G28" i="12"/>
  <c r="E265" i="4" s="1"/>
  <c r="G338" i="12"/>
  <c r="E686" i="13" s="1"/>
  <c r="G110" i="12"/>
  <c r="G455" i="12"/>
  <c r="E1006" i="13" s="1"/>
  <c r="G468" i="12"/>
  <c r="E1011" i="13" s="1"/>
  <c r="G228" i="12"/>
  <c r="E906" i="13" s="1"/>
  <c r="G230" i="12"/>
  <c r="E853" i="13" s="1"/>
  <c r="G56" i="12"/>
  <c r="G477" i="12"/>
  <c r="E699" i="13" s="1"/>
  <c r="G94" i="12"/>
  <c r="G509" i="12"/>
  <c r="G478" i="12"/>
  <c r="G95" i="12"/>
  <c r="G510" i="12"/>
  <c r="G481" i="12"/>
  <c r="E2366" i="3" s="1"/>
  <c r="G320" i="12"/>
  <c r="E278" i="4" s="1"/>
  <c r="G57" i="12"/>
  <c r="E707" i="13" s="1"/>
  <c r="G339" i="12"/>
  <c r="E279" i="4" s="1"/>
  <c r="G24" i="12"/>
  <c r="G355" i="12"/>
  <c r="G482" i="12"/>
  <c r="E1084" i="13" s="1"/>
  <c r="G111" i="12"/>
  <c r="E1086" i="13" s="1"/>
  <c r="G430" i="12"/>
  <c r="E1102" i="13" s="1"/>
  <c r="G483" i="12"/>
  <c r="E918" i="13" s="1"/>
  <c r="G298" i="12"/>
  <c r="G484" i="12"/>
  <c r="E386" i="13" s="1"/>
  <c r="G96" i="12"/>
  <c r="G511" i="12"/>
  <c r="G486" i="12"/>
  <c r="E902" i="13" s="1"/>
  <c r="G485" i="12"/>
  <c r="E635" i="13" s="1"/>
  <c r="G119" i="12"/>
  <c r="E726" i="13" s="1"/>
  <c r="G514" i="12"/>
  <c r="G313" i="12"/>
  <c r="G168" i="12"/>
  <c r="G220" i="12"/>
  <c r="E729" i="13" s="1"/>
  <c r="G212" i="12"/>
  <c r="E2082" i="3" s="1"/>
  <c r="G515" i="12"/>
  <c r="E924" i="13" s="1"/>
  <c r="G97" i="12"/>
  <c r="G512" i="12"/>
  <c r="G414" i="12"/>
  <c r="E736" i="13" s="1"/>
  <c r="G517" i="12"/>
  <c r="E2443" i="3" s="1"/>
  <c r="G241" i="12"/>
  <c r="E291" i="4" s="1"/>
  <c r="G177" i="12"/>
  <c r="E738" i="13" s="1"/>
  <c r="G210" i="12"/>
  <c r="E292" i="4" s="1"/>
  <c r="G211" i="12"/>
  <c r="G411" i="12"/>
  <c r="E739" i="13" s="1"/>
  <c r="G152" i="12"/>
  <c r="E741" i="13" s="1"/>
  <c r="G521" i="12"/>
  <c r="E750" i="13" s="1"/>
  <c r="G384" i="12"/>
  <c r="E945" i="13" s="1"/>
  <c r="G248" i="12"/>
  <c r="E743" i="13" s="1"/>
  <c r="G58" i="12"/>
  <c r="E748" i="13" s="1"/>
  <c r="G461" i="12"/>
  <c r="E301" i="4" s="1"/>
  <c r="G170" i="12"/>
  <c r="E300" i="4" s="1"/>
  <c r="G522" i="12"/>
  <c r="E935" i="13" s="1"/>
  <c r="G163" i="12"/>
  <c r="E759" i="13" s="1"/>
  <c r="G524" i="12"/>
  <c r="G523" i="12"/>
  <c r="G59" i="12"/>
  <c r="G525" i="12"/>
  <c r="E766" i="13" s="1"/>
  <c r="G516" i="12"/>
  <c r="G359" i="12"/>
  <c r="E306" i="4" s="1"/>
  <c r="G148" i="12"/>
  <c r="E769" i="13" s="1"/>
  <c r="G360" i="12"/>
  <c r="E773" i="13" s="1"/>
  <c r="G526" i="12"/>
  <c r="E954" i="13" s="1"/>
  <c r="G467" i="12"/>
  <c r="G105" i="12"/>
  <c r="E775" i="13" s="1"/>
  <c r="G464" i="12"/>
  <c r="E778" i="13" s="1"/>
  <c r="G26" i="12"/>
  <c r="E2264" i="3" s="1"/>
  <c r="G529" i="12"/>
  <c r="E796" i="13" s="1"/>
  <c r="G412" i="12"/>
  <c r="G63" i="12"/>
  <c r="E307" i="4" s="1"/>
  <c r="G340" i="12"/>
  <c r="E1101" i="13" s="1"/>
  <c r="G520" i="12"/>
  <c r="E2571" i="3" s="1"/>
  <c r="G39" i="12"/>
  <c r="E802" i="13" s="1"/>
  <c r="G356" i="12"/>
  <c r="E41" i="13" s="1"/>
  <c r="G532" i="12"/>
  <c r="E2593" i="3" s="1"/>
  <c r="G480" i="12"/>
  <c r="E809" i="13" s="1"/>
  <c r="G442" i="12"/>
  <c r="E806" i="13" s="1"/>
  <c r="G275" i="12"/>
  <c r="E803" i="13" s="1"/>
  <c r="G64" i="12"/>
  <c r="G445" i="12"/>
  <c r="E2878" i="3" s="1"/>
  <c r="G535" i="12"/>
  <c r="E2677" i="3" s="1"/>
  <c r="G262" i="12"/>
  <c r="E367" i="13" s="1"/>
  <c r="G188" i="12"/>
  <c r="G98" i="12"/>
  <c r="G336" i="12"/>
  <c r="E839" i="13" s="1"/>
  <c r="G190" i="12"/>
  <c r="E841" i="13" s="1"/>
  <c r="G538" i="12"/>
  <c r="E2718" i="3" s="1"/>
  <c r="G305" i="12"/>
  <c r="E843" i="13" s="1"/>
  <c r="G128" i="12"/>
  <c r="E2421" i="3" s="1"/>
  <c r="G36" i="12"/>
  <c r="E2408" i="3" s="1"/>
  <c r="G466" i="12"/>
  <c r="G540" i="12"/>
  <c r="E2740" i="3" s="1"/>
  <c r="G179" i="12"/>
  <c r="E1089" i="13" s="1"/>
  <c r="G385" i="12"/>
  <c r="E2475" i="3" s="1"/>
  <c r="G200" i="12"/>
  <c r="E860" i="13" s="1"/>
  <c r="G543" i="12"/>
  <c r="G542" i="12"/>
  <c r="E985" i="13" s="1"/>
  <c r="G300" i="12"/>
  <c r="G60" i="12"/>
  <c r="E862" i="13" s="1"/>
  <c r="G475" i="12"/>
  <c r="E336" i="13" s="1"/>
  <c r="G396" i="12"/>
  <c r="E2497" i="3" s="1"/>
  <c r="G187" i="12"/>
  <c r="E874" i="13" s="1"/>
  <c r="G462" i="12"/>
  <c r="G249" i="12"/>
  <c r="E2507" i="3" s="1"/>
  <c r="G116" i="12"/>
  <c r="E2517" i="3" s="1"/>
  <c r="G10" i="12"/>
  <c r="E2527" i="3" s="1"/>
  <c r="G337" i="12"/>
  <c r="E884" i="13" s="1"/>
  <c r="G137" i="12"/>
  <c r="E327" i="4" s="1"/>
  <c r="G528" i="12"/>
  <c r="E2750" i="3" s="1"/>
  <c r="G353" i="12"/>
  <c r="E1094" i="13" s="1"/>
  <c r="G169" i="12"/>
  <c r="E2529" i="3" s="1"/>
  <c r="G453" i="12"/>
  <c r="G544" i="12"/>
  <c r="B2929" i="3"/>
  <c r="AY2929" i="3" s="1"/>
  <c r="C2929" i="3"/>
  <c r="D2929" i="3"/>
  <c r="F2929" i="3"/>
  <c r="AQ2929" i="3"/>
  <c r="B2928" i="3"/>
  <c r="C2928" i="3"/>
  <c r="D2928" i="3"/>
  <c r="F2928" i="3"/>
  <c r="AQ2928" i="3"/>
  <c r="B2926" i="3"/>
  <c r="AW2926" i="3" s="1"/>
  <c r="C2926" i="3"/>
  <c r="D2926" i="3"/>
  <c r="F2926" i="3"/>
  <c r="AQ2926" i="3"/>
  <c r="D1122" i="13"/>
  <c r="F1122" i="13"/>
  <c r="Q1122" i="13"/>
  <c r="B1121" i="13"/>
  <c r="C1121" i="13"/>
  <c r="D1121" i="13"/>
  <c r="F1121" i="13"/>
  <c r="Q1121" i="13"/>
  <c r="B1120" i="13"/>
  <c r="AA1120" i="13" s="1"/>
  <c r="C1120" i="13"/>
  <c r="D1120" i="13"/>
  <c r="F1120" i="13"/>
  <c r="Q1120" i="13"/>
  <c r="B2992" i="3"/>
  <c r="AV2992" i="3" s="1"/>
  <c r="C2992" i="3"/>
  <c r="D2992" i="3"/>
  <c r="F2992" i="3"/>
  <c r="AQ2992" i="3"/>
  <c r="B2873" i="3"/>
  <c r="AR2873" i="3" s="1"/>
  <c r="C2873" i="3"/>
  <c r="D2873" i="3"/>
  <c r="F2873" i="3"/>
  <c r="AQ2873" i="3"/>
  <c r="B2802" i="3"/>
  <c r="AR2802" i="3" s="1"/>
  <c r="C2802" i="3"/>
  <c r="D2802" i="3"/>
  <c r="F2802" i="3"/>
  <c r="AQ2802" i="3"/>
  <c r="B2872" i="3"/>
  <c r="C2872" i="3"/>
  <c r="D2872" i="3"/>
  <c r="F2872" i="3"/>
  <c r="AQ2872" i="3"/>
  <c r="B2991" i="3"/>
  <c r="AX2991" i="3" s="1"/>
  <c r="C2991" i="3"/>
  <c r="D2991" i="3"/>
  <c r="F2991" i="3"/>
  <c r="AQ2991" i="3"/>
  <c r="B3018" i="3"/>
  <c r="AR3018" i="3" s="1"/>
  <c r="C3018" i="3"/>
  <c r="D3018" i="3"/>
  <c r="F3018" i="3"/>
  <c r="AQ3018" i="3"/>
  <c r="B2871" i="3"/>
  <c r="AV2871" i="3" s="1"/>
  <c r="C2871" i="3"/>
  <c r="D2871" i="3"/>
  <c r="F2871" i="3"/>
  <c r="AQ2871" i="3"/>
  <c r="B2869" i="3"/>
  <c r="AX2869" i="3" s="1"/>
  <c r="C2869" i="3"/>
  <c r="D2869" i="3"/>
  <c r="F2869" i="3"/>
  <c r="AQ2869" i="3"/>
  <c r="B1116" i="13"/>
  <c r="V1116" i="13" s="1"/>
  <c r="B1119" i="13"/>
  <c r="C1119" i="13"/>
  <c r="D1119" i="13"/>
  <c r="F1119" i="13"/>
  <c r="Q1119" i="13"/>
  <c r="B1118" i="13"/>
  <c r="C1118" i="13"/>
  <c r="D1118" i="13"/>
  <c r="F1118" i="13"/>
  <c r="Q1118" i="13"/>
  <c r="B1117" i="13"/>
  <c r="V1117" i="13" s="1"/>
  <c r="C1117" i="13"/>
  <c r="D1117" i="13"/>
  <c r="F1117" i="13"/>
  <c r="Q1117" i="13"/>
  <c r="C1116" i="13"/>
  <c r="D1116" i="13"/>
  <c r="F1116" i="13"/>
  <c r="Q1116" i="13"/>
  <c r="X453" i="12"/>
  <c r="K544" i="12" a="1"/>
  <c r="K544" i="12" s="1"/>
  <c r="L544" i="12" s="1"/>
  <c r="M544" i="12" s="1"/>
  <c r="N544" i="12" a="1"/>
  <c r="N544" i="12" s="1"/>
  <c r="O544" i="12"/>
  <c r="P544" i="12"/>
  <c r="Q544" i="12"/>
  <c r="V544" i="12"/>
  <c r="W544" i="12"/>
  <c r="B1115" i="13"/>
  <c r="AB1115" i="13" s="1"/>
  <c r="C1115" i="13"/>
  <c r="D1115" i="13"/>
  <c r="F1115" i="13"/>
  <c r="Q1115" i="13"/>
  <c r="B2782" i="3"/>
  <c r="AY2782" i="3" s="1"/>
  <c r="C2782" i="3"/>
  <c r="D2782" i="3"/>
  <c r="F2782" i="3"/>
  <c r="AQ2782" i="3"/>
  <c r="B2781" i="3"/>
  <c r="AY2781" i="3" s="1"/>
  <c r="C2781" i="3"/>
  <c r="D2781" i="3"/>
  <c r="F2781" i="3"/>
  <c r="AQ2781" i="3"/>
  <c r="B2780" i="3"/>
  <c r="AV2780" i="3" s="1"/>
  <c r="C2780" i="3"/>
  <c r="D2780" i="3"/>
  <c r="F2780" i="3"/>
  <c r="AQ2780" i="3"/>
  <c r="C2778" i="3"/>
  <c r="D2778" i="3"/>
  <c r="F2778" i="3"/>
  <c r="AQ2778" i="3"/>
  <c r="AR2778" i="3"/>
  <c r="AS2778" i="3"/>
  <c r="AT2778" i="3"/>
  <c r="AU2778" i="3"/>
  <c r="AV2778" i="3"/>
  <c r="AW2778" i="3"/>
  <c r="AX2778" i="3"/>
  <c r="AY2778" i="3"/>
  <c r="C1114" i="13"/>
  <c r="D1114" i="13"/>
  <c r="F1114" i="13"/>
  <c r="Q1114" i="13"/>
  <c r="V1114" i="13"/>
  <c r="W1114" i="13"/>
  <c r="X1114" i="13"/>
  <c r="Y1114" i="13"/>
  <c r="Z1114" i="13"/>
  <c r="AA1114" i="13"/>
  <c r="AB1114" i="13"/>
  <c r="AC1114" i="13"/>
  <c r="K453" i="12" a="1"/>
  <c r="K453" i="12" s="1"/>
  <c r="N453" i="12" a="1"/>
  <c r="N453" i="12" s="1"/>
  <c r="O453" i="12"/>
  <c r="P453" i="12"/>
  <c r="Q453" i="12"/>
  <c r="V453" i="12"/>
  <c r="W453" i="12"/>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C353" i="12"/>
  <c r="Q134" i="12"/>
  <c r="Q182" i="12"/>
  <c r="Q41" i="12"/>
  <c r="Q104" i="12"/>
  <c r="Q459" i="12"/>
  <c r="Q127" i="12"/>
  <c r="Q233" i="12"/>
  <c r="Q154" i="12"/>
  <c r="Q312" i="12"/>
  <c r="Q254" i="12"/>
  <c r="Q186" i="12"/>
  <c r="Q42" i="12"/>
  <c r="Q138" i="12"/>
  <c r="Q389" i="12"/>
  <c r="Q278" i="12"/>
  <c r="Q132" i="12"/>
  <c r="Q194" i="12"/>
  <c r="Q306" i="12"/>
  <c r="Q153" i="12"/>
  <c r="Q205" i="12"/>
  <c r="Q432" i="12"/>
  <c r="Q382" i="12"/>
  <c r="Q380" i="12"/>
  <c r="Q282" i="12"/>
  <c r="Q122" i="12"/>
  <c r="Q213" i="12"/>
  <c r="Q68" i="12"/>
  <c r="Q487" i="12"/>
  <c r="Q221" i="12"/>
  <c r="Q142" i="12"/>
  <c r="Q222" i="12"/>
  <c r="Q109" i="12"/>
  <c r="Q295" i="12"/>
  <c r="Q369" i="12"/>
  <c r="Q140" i="12"/>
  <c r="Q227" i="12"/>
  <c r="Q283" i="12"/>
  <c r="Q45" i="12"/>
  <c r="Q258" i="12"/>
  <c r="Q235" i="12"/>
  <c r="Q16" i="12"/>
  <c r="Q398" i="12"/>
  <c r="Q43" i="12"/>
  <c r="Q237" i="12"/>
  <c r="Q69" i="12"/>
  <c r="Q488" i="12"/>
  <c r="Q238" i="12"/>
  <c r="Q239" i="12"/>
  <c r="Q15" i="12"/>
  <c r="Q178" i="12"/>
  <c r="Q219" i="12"/>
  <c r="Q242" i="12"/>
  <c r="Q317" i="12"/>
  <c r="Q172" i="12"/>
  <c r="Q243" i="12"/>
  <c r="Q70" i="12"/>
  <c r="Q245" i="12"/>
  <c r="Q303" i="12"/>
  <c r="Q151" i="12"/>
  <c r="Q124" i="12"/>
  <c r="Q513" i="12"/>
  <c r="Q426" i="12"/>
  <c r="Q240" i="12"/>
  <c r="Q44" i="12"/>
  <c r="Q250" i="12"/>
  <c r="Q11" i="12"/>
  <c r="Q71" i="12"/>
  <c r="Q489" i="12"/>
  <c r="Q202" i="12"/>
  <c r="Q268" i="12"/>
  <c r="Q126" i="12"/>
  <c r="Q308" i="12"/>
  <c r="Q185" i="12"/>
  <c r="Q271" i="12"/>
  <c r="Q175" i="12"/>
  <c r="Q276" i="12"/>
  <c r="Q277" i="12"/>
  <c r="Q146" i="12"/>
  <c r="Q399" i="12"/>
  <c r="Q33" i="12"/>
  <c r="Q279" i="12"/>
  <c r="Q318" i="12"/>
  <c r="Q159" i="12"/>
  <c r="Q130" i="12"/>
  <c r="Q423" i="12"/>
  <c r="Q101" i="12"/>
  <c r="Q371" i="12"/>
  <c r="Q143" i="12"/>
  <c r="Q244" i="12"/>
  <c r="Q285" i="12"/>
  <c r="Q147" i="12"/>
  <c r="Q286" i="12"/>
  <c r="Q381" i="12"/>
  <c r="Q35" i="12"/>
  <c r="Q287" i="12"/>
  <c r="Q293" i="12"/>
  <c r="Q193" i="12"/>
  <c r="Q395" i="12"/>
  <c r="Q135" i="12"/>
  <c r="Q342" i="12"/>
  <c r="Q157" i="12"/>
  <c r="Q34" i="12"/>
  <c r="Q302" i="12"/>
  <c r="Q294" i="12"/>
  <c r="Q102" i="12"/>
  <c r="Q307" i="12"/>
  <c r="Q106" i="12"/>
  <c r="Q72" i="12"/>
  <c r="Q490" i="12"/>
  <c r="Q203" i="12"/>
  <c r="Q309" i="12"/>
  <c r="Q141" i="12"/>
  <c r="Q251" i="12"/>
  <c r="Q73" i="12"/>
  <c r="Q491" i="12"/>
  <c r="Q252" i="12"/>
  <c r="Q74" i="12"/>
  <c r="Q492" i="12"/>
  <c r="Q218" i="12"/>
  <c r="Q67" i="12"/>
  <c r="Q419" i="12"/>
  <c r="Q180" i="12"/>
  <c r="Q255" i="12"/>
  <c r="Q75" i="12"/>
  <c r="Q125" i="12"/>
  <c r="Q231" i="12"/>
  <c r="Q310" i="12"/>
  <c r="Q53" i="12"/>
  <c r="Q272" i="12"/>
  <c r="Q176" i="12"/>
  <c r="Q214" i="12"/>
  <c r="Q215" i="12"/>
  <c r="Q316" i="12"/>
  <c r="Q435" i="12"/>
  <c r="Q164" i="12"/>
  <c r="Q321" i="12"/>
  <c r="Q155" i="12"/>
  <c r="Q324" i="12"/>
  <c r="Q448" i="12"/>
  <c r="Q199" i="12"/>
  <c r="Q192" i="12"/>
  <c r="Q76" i="12"/>
  <c r="Q493" i="12"/>
  <c r="Q204" i="12"/>
  <c r="Q325" i="12"/>
  <c r="Q55" i="12"/>
  <c r="Q327" i="12"/>
  <c r="Q323" i="12"/>
  <c r="Q150" i="12"/>
  <c r="Q328" i="12"/>
  <c r="Q264" i="12"/>
  <c r="Q292" i="12"/>
  <c r="Q77" i="12"/>
  <c r="Q331" i="12"/>
  <c r="Q314" i="12"/>
  <c r="Q17" i="12"/>
  <c r="Q333" i="12"/>
  <c r="Q78" i="12"/>
  <c r="Q494" i="12"/>
  <c r="Q341" i="12"/>
  <c r="Q79" i="12"/>
  <c r="Q495" i="12"/>
  <c r="Q434" i="12"/>
  <c r="Q113" i="12"/>
  <c r="Q334" i="12"/>
  <c r="Q335" i="12"/>
  <c r="Q120" i="12"/>
  <c r="Q351" i="12"/>
  <c r="Q344" i="12"/>
  <c r="Q158" i="12"/>
  <c r="Q345" i="12"/>
  <c r="Q131" i="12"/>
  <c r="Q80" i="12"/>
  <c r="Q496" i="12"/>
  <c r="Q422" i="12"/>
  <c r="Q393" i="12"/>
  <c r="Q366" i="12"/>
  <c r="Q46" i="12"/>
  <c r="Q81" i="12"/>
  <c r="Q497" i="12"/>
  <c r="Q206" i="12"/>
  <c r="Q347" i="12"/>
  <c r="Q25" i="12"/>
  <c r="Q348" i="12"/>
  <c r="Q425" i="12"/>
  <c r="Q378" i="12"/>
  <c r="Q145" i="12"/>
  <c r="Q350" i="12"/>
  <c r="Q47" i="12"/>
  <c r="Q406" i="12"/>
  <c r="Q198" i="12"/>
  <c r="Q304" i="12"/>
  <c r="Q29" i="12"/>
  <c r="Q352" i="12"/>
  <c r="Q167" i="12"/>
  <c r="Q357" i="12"/>
  <c r="Q48" i="12"/>
  <c r="Q379" i="12"/>
  <c r="Q82" i="12"/>
  <c r="Q498" i="12"/>
  <c r="Q358" i="12"/>
  <c r="Q297" i="12"/>
  <c r="Q49" i="12"/>
  <c r="Q361" i="12"/>
  <c r="Q439" i="12"/>
  <c r="Q66" i="12"/>
  <c r="Q446" i="12"/>
  <c r="Q387" i="12"/>
  <c r="Q322" i="12"/>
  <c r="Q118" i="12"/>
  <c r="Q367" i="12"/>
  <c r="Q368" i="12"/>
  <c r="Q473" i="12"/>
  <c r="Q83" i="12"/>
  <c r="Q499" i="12"/>
  <c r="Q288" i="12"/>
  <c r="Q370" i="12"/>
  <c r="Q133" i="12"/>
  <c r="Q84" i="12"/>
  <c r="Q500" i="12"/>
  <c r="Q207" i="12"/>
  <c r="Q259" i="12"/>
  <c r="Q236" i="12"/>
  <c r="Q156" i="12"/>
  <c r="Q377" i="12"/>
  <c r="Q374" i="12"/>
  <c r="Q363" i="12"/>
  <c r="Q229" i="12"/>
  <c r="Q217" i="12"/>
  <c r="Q121" i="12"/>
  <c r="Q383" i="12"/>
  <c r="Q117" i="12"/>
  <c r="Q479" i="12"/>
  <c r="Q136" i="12"/>
  <c r="Q267" i="12"/>
  <c r="Q139" i="12"/>
  <c r="Q469" i="12"/>
  <c r="Q50" i="12"/>
  <c r="Q437" i="12"/>
  <c r="Q408" i="12"/>
  <c r="Q189" i="12"/>
  <c r="Q349" i="12"/>
  <c r="Q225" i="12"/>
  <c r="Q386" i="12"/>
  <c r="Q37" i="12"/>
  <c r="Q394" i="12"/>
  <c r="Q85" i="12"/>
  <c r="Q501" i="12"/>
  <c r="Q299" i="12"/>
  <c r="Q223" i="12"/>
  <c r="Q144" i="12"/>
  <c r="Q390" i="12"/>
  <c r="Q195" i="12"/>
  <c r="Q174" i="12"/>
  <c r="Q397" i="12"/>
  <c r="Q86" i="12"/>
  <c r="Q502" i="12"/>
  <c r="Q400" i="12"/>
  <c r="Q87" i="12"/>
  <c r="Q503" i="12"/>
  <c r="Q518" i="12"/>
  <c r="Q51" i="12"/>
  <c r="Q401" i="12"/>
  <c r="Q165" i="12"/>
  <c r="Q260" i="12"/>
  <c r="Q329" i="12"/>
  <c r="Q129" i="12"/>
  <c r="Q354" i="12"/>
  <c r="Q269" i="12"/>
  <c r="Q18" i="12"/>
  <c r="Q403" i="12"/>
  <c r="Q65" i="12"/>
  <c r="Q402" i="12"/>
  <c r="Q88" i="12"/>
  <c r="Q504" i="12"/>
  <c r="Q201" i="12"/>
  <c r="Q405" i="12"/>
  <c r="Q27" i="12"/>
  <c r="Q409" i="12"/>
  <c r="Q149" i="12"/>
  <c r="Q289" i="12"/>
  <c r="Q410" i="12"/>
  <c r="Q19" i="12"/>
  <c r="Q261" i="12"/>
  <c r="Q465" i="12"/>
  <c r="Q280" i="12"/>
  <c r="Q415" i="12"/>
  <c r="Q52" i="12"/>
  <c r="Q447" i="12"/>
  <c r="Q38" i="12"/>
  <c r="Q413" i="12"/>
  <c r="Q107" i="12"/>
  <c r="Q417" i="12"/>
  <c r="Q61" i="12"/>
  <c r="Q315" i="12"/>
  <c r="Q181" i="12"/>
  <c r="Q290" i="12"/>
  <c r="Q418" i="12"/>
  <c r="Q420" i="12"/>
  <c r="Q40" i="12"/>
  <c r="Q421" i="12"/>
  <c r="Q191" i="12"/>
  <c r="Q343" i="12"/>
  <c r="Q173" i="12"/>
  <c r="Q427" i="12"/>
  <c r="Q330" i="12"/>
  <c r="Q62" i="12"/>
  <c r="Q365" i="12"/>
  <c r="Q13" i="12"/>
  <c r="Q429" i="12"/>
  <c r="Q428" i="12"/>
  <c r="Q99" i="12"/>
  <c r="Q424" i="12"/>
  <c r="Q89" i="12"/>
  <c r="Q505" i="12"/>
  <c r="Q431" i="12"/>
  <c r="Q391" i="12"/>
  <c r="Q232" i="12"/>
  <c r="Q90" i="12"/>
  <c r="Q253" i="12"/>
  <c r="Q266" i="12"/>
  <c r="Q196" i="12"/>
  <c r="Q433" i="12"/>
  <c r="Q54" i="12"/>
  <c r="Q440" i="12"/>
  <c r="Q404" i="12"/>
  <c r="Q436" i="12"/>
  <c r="Q311" i="12"/>
  <c r="Q160" i="12"/>
  <c r="Q372" i="12"/>
  <c r="Q108" i="12"/>
  <c r="Q454" i="12"/>
  <c r="Q449" i="12"/>
  <c r="Q224" i="12"/>
  <c r="Q30" i="12"/>
  <c r="Q443" i="12"/>
  <c r="Q441" i="12"/>
  <c r="Q326" i="12"/>
  <c r="Q216" i="12"/>
  <c r="Q444" i="12"/>
  <c r="Q373" i="12"/>
  <c r="Q123" i="12"/>
  <c r="Q20" i="12"/>
  <c r="Q450" i="12"/>
  <c r="Q171" i="12"/>
  <c r="Q270" i="12"/>
  <c r="Q14" i="12"/>
  <c r="Q263" i="12"/>
  <c r="Q12" i="12"/>
  <c r="Q319" i="12"/>
  <c r="Q103" i="12"/>
  <c r="Q265" i="12"/>
  <c r="Q32" i="12"/>
  <c r="Q301" i="12"/>
  <c r="Q9" i="12"/>
  <c r="Q91" i="12"/>
  <c r="Q506" i="12"/>
  <c r="Q208" i="12"/>
  <c r="Q457" i="12"/>
  <c r="Q92" i="12"/>
  <c r="Q507" i="12"/>
  <c r="Q346" i="12"/>
  <c r="Q162" i="12"/>
  <c r="Q416" i="12"/>
  <c r="Q456" i="12"/>
  <c r="Q281" i="12"/>
  <c r="Q114" i="12"/>
  <c r="Q226" i="12"/>
  <c r="Q161" i="12"/>
  <c r="Q463" i="12"/>
  <c r="Q458" i="12"/>
  <c r="Q183" i="12"/>
  <c r="Q93" i="12"/>
  <c r="Q508" i="12"/>
  <c r="Q209" i="12"/>
  <c r="Q460" i="12"/>
  <c r="Q256" i="12"/>
  <c r="Q257" i="12"/>
  <c r="Q234" i="12"/>
  <c r="Q100" i="12"/>
  <c r="Q296" i="12"/>
  <c r="Q470" i="12"/>
  <c r="Q21" i="12"/>
  <c r="Q291" i="12"/>
  <c r="Q22" i="12"/>
  <c r="Q31" i="12"/>
  <c r="Q472" i="12"/>
  <c r="Q23" i="12"/>
  <c r="Q197" i="12"/>
  <c r="Q332" i="12"/>
  <c r="Q112" i="12"/>
  <c r="Q376" i="12"/>
  <c r="Q115" i="12"/>
  <c r="Q375" i="12"/>
  <c r="Q273" i="12"/>
  <c r="Q274" i="12"/>
  <c r="Q474" i="12"/>
  <c r="Q438" i="12"/>
  <c r="Q166" i="12"/>
  <c r="Q476" i="12"/>
  <c r="Q28" i="12"/>
  <c r="Q338" i="12"/>
  <c r="Q110" i="12"/>
  <c r="Q455" i="12"/>
  <c r="Q468" i="12"/>
  <c r="Q228" i="12"/>
  <c r="Q230" i="12"/>
  <c r="Q56" i="12"/>
  <c r="Q477" i="12"/>
  <c r="Q94" i="12"/>
  <c r="Q509" i="12"/>
  <c r="Q478" i="12"/>
  <c r="Q95" i="12"/>
  <c r="Q510" i="12"/>
  <c r="Q481" i="12"/>
  <c r="Q320" i="12"/>
  <c r="Q57" i="12"/>
  <c r="Q339" i="12"/>
  <c r="Q24" i="12"/>
  <c r="Q355" i="12"/>
  <c r="Q482" i="12"/>
  <c r="Q111" i="12"/>
  <c r="Q430" i="12"/>
  <c r="Q483" i="12"/>
  <c r="Q298" i="12"/>
  <c r="Q484" i="12"/>
  <c r="Q96" i="12"/>
  <c r="Q511" i="12"/>
  <c r="Q486" i="12"/>
  <c r="Q485" i="12"/>
  <c r="Q119" i="12"/>
  <c r="Q514" i="12"/>
  <c r="Q313" i="12"/>
  <c r="Q168" i="12"/>
  <c r="Q220" i="12"/>
  <c r="Q212" i="12"/>
  <c r="Q515" i="12"/>
  <c r="Q97" i="12"/>
  <c r="Q512" i="12"/>
  <c r="Q414" i="12"/>
  <c r="Q517" i="12"/>
  <c r="Q241" i="12"/>
  <c r="Q177" i="12"/>
  <c r="Q210" i="12"/>
  <c r="Q211" i="12"/>
  <c r="Q411" i="12"/>
  <c r="Q152" i="12"/>
  <c r="Q521" i="12"/>
  <c r="Q384" i="12"/>
  <c r="Q248" i="12"/>
  <c r="Q58" i="12"/>
  <c r="Q461" i="12"/>
  <c r="Q170" i="12"/>
  <c r="Q522" i="12"/>
  <c r="Q163" i="12"/>
  <c r="Q524" i="12"/>
  <c r="Q523" i="12"/>
  <c r="Q59" i="12"/>
  <c r="Q525" i="12"/>
  <c r="Q516" i="12"/>
  <c r="Q359" i="12"/>
  <c r="Q148" i="12"/>
  <c r="Q360" i="12"/>
  <c r="Q526" i="12"/>
  <c r="Q467" i="12"/>
  <c r="Q105" i="12"/>
  <c r="Q464" i="12"/>
  <c r="Q26" i="12"/>
  <c r="Q529" i="12"/>
  <c r="Q412" i="12"/>
  <c r="Q63" i="12"/>
  <c r="Q340" i="12"/>
  <c r="Q520" i="12"/>
  <c r="Q39" i="12"/>
  <c r="Q356" i="12"/>
  <c r="Q532" i="12"/>
  <c r="Q480" i="12"/>
  <c r="Q442" i="12"/>
  <c r="Q275" i="12"/>
  <c r="Q64" i="12"/>
  <c r="Q445" i="12"/>
  <c r="Q535" i="12"/>
  <c r="Q262" i="12"/>
  <c r="Q188" i="12"/>
  <c r="Q98" i="12"/>
  <c r="Q336" i="12"/>
  <c r="Q190" i="12"/>
  <c r="Q538" i="12"/>
  <c r="Q305" i="12"/>
  <c r="Q128" i="12"/>
  <c r="Q36" i="12"/>
  <c r="Q466" i="12"/>
  <c r="Q540" i="12"/>
  <c r="Q179" i="12"/>
  <c r="Q385" i="12"/>
  <c r="Q200" i="12"/>
  <c r="Q543" i="12"/>
  <c r="Q542" i="12"/>
  <c r="Q300" i="12"/>
  <c r="Q60" i="12"/>
  <c r="Q475" i="12"/>
  <c r="Q396" i="12"/>
  <c r="Q187" i="12"/>
  <c r="Q462" i="12"/>
  <c r="Q249" i="12"/>
  <c r="Q116" i="12"/>
  <c r="Q10" i="12"/>
  <c r="Q337" i="12"/>
  <c r="Q137" i="12"/>
  <c r="Q528" i="12"/>
  <c r="Q353" i="12"/>
  <c r="Q169" i="12"/>
  <c r="P134" i="12"/>
  <c r="P182" i="12"/>
  <c r="P41" i="12"/>
  <c r="P104" i="12"/>
  <c r="P459" i="12"/>
  <c r="P127" i="12"/>
  <c r="P233" i="12"/>
  <c r="P154" i="12"/>
  <c r="P312" i="12"/>
  <c r="P254" i="12"/>
  <c r="P186" i="12"/>
  <c r="P42" i="12"/>
  <c r="P138" i="12"/>
  <c r="P389" i="12"/>
  <c r="P278" i="12"/>
  <c r="P132" i="12"/>
  <c r="P194" i="12"/>
  <c r="P306" i="12"/>
  <c r="P153" i="12"/>
  <c r="P205" i="12"/>
  <c r="P432" i="12"/>
  <c r="P382" i="12"/>
  <c r="P380" i="12"/>
  <c r="P282" i="12"/>
  <c r="P122" i="12"/>
  <c r="P213" i="12"/>
  <c r="P68" i="12"/>
  <c r="P487" i="12"/>
  <c r="P221" i="12"/>
  <c r="P142" i="12"/>
  <c r="P222" i="12"/>
  <c r="P109" i="12"/>
  <c r="P295" i="12"/>
  <c r="P369" i="12"/>
  <c r="P140" i="12"/>
  <c r="P227" i="12"/>
  <c r="P283" i="12"/>
  <c r="P45" i="12"/>
  <c r="P258" i="12"/>
  <c r="P235" i="12"/>
  <c r="P16" i="12"/>
  <c r="P398" i="12"/>
  <c r="P43" i="12"/>
  <c r="P237" i="12"/>
  <c r="P69" i="12"/>
  <c r="P488" i="12"/>
  <c r="P238" i="12"/>
  <c r="P239" i="12"/>
  <c r="P15" i="12"/>
  <c r="P178" i="12"/>
  <c r="P219" i="12"/>
  <c r="P242" i="12"/>
  <c r="P317" i="12"/>
  <c r="P172" i="12"/>
  <c r="P243" i="12"/>
  <c r="P70" i="12"/>
  <c r="P245" i="12"/>
  <c r="P303" i="12"/>
  <c r="P151" i="12"/>
  <c r="P124" i="12"/>
  <c r="P513" i="12"/>
  <c r="P426" i="12"/>
  <c r="P240" i="12"/>
  <c r="P44" i="12"/>
  <c r="P250" i="12"/>
  <c r="P11" i="12"/>
  <c r="P71" i="12"/>
  <c r="P489" i="12"/>
  <c r="P202" i="12"/>
  <c r="P268" i="12"/>
  <c r="P126" i="12"/>
  <c r="P308" i="12"/>
  <c r="P185" i="12"/>
  <c r="P271" i="12"/>
  <c r="P175" i="12"/>
  <c r="P276" i="12"/>
  <c r="P277" i="12"/>
  <c r="P146" i="12"/>
  <c r="P399" i="12"/>
  <c r="P33" i="12"/>
  <c r="P279" i="12"/>
  <c r="P318" i="12"/>
  <c r="P159" i="12"/>
  <c r="P130" i="12"/>
  <c r="P423" i="12"/>
  <c r="P101" i="12"/>
  <c r="P371" i="12"/>
  <c r="P143" i="12"/>
  <c r="P244" i="12"/>
  <c r="P285" i="12"/>
  <c r="P147" i="12"/>
  <c r="P286" i="12"/>
  <c r="P381" i="12"/>
  <c r="P35" i="12"/>
  <c r="P287" i="12"/>
  <c r="P293" i="12"/>
  <c r="P193" i="12"/>
  <c r="P395" i="12"/>
  <c r="P135" i="12"/>
  <c r="P342" i="12"/>
  <c r="P157" i="12"/>
  <c r="P34" i="12"/>
  <c r="P302" i="12"/>
  <c r="P294" i="12"/>
  <c r="P102" i="12"/>
  <c r="P307" i="12"/>
  <c r="P106" i="12"/>
  <c r="P72" i="12"/>
  <c r="P490" i="12"/>
  <c r="P203" i="12"/>
  <c r="P309" i="12"/>
  <c r="P141" i="12"/>
  <c r="P251" i="12"/>
  <c r="P73" i="12"/>
  <c r="P491" i="12"/>
  <c r="P252" i="12"/>
  <c r="P74" i="12"/>
  <c r="P492" i="12"/>
  <c r="P218" i="12"/>
  <c r="P67" i="12"/>
  <c r="P419" i="12"/>
  <c r="P180" i="12"/>
  <c r="P255" i="12"/>
  <c r="P75" i="12"/>
  <c r="P125" i="12"/>
  <c r="P231" i="12"/>
  <c r="P310" i="12"/>
  <c r="P53" i="12"/>
  <c r="P272" i="12"/>
  <c r="P176" i="12"/>
  <c r="P214" i="12"/>
  <c r="P215" i="12"/>
  <c r="P316" i="12"/>
  <c r="P435" i="12"/>
  <c r="P164" i="12"/>
  <c r="P321" i="12"/>
  <c r="P155" i="12"/>
  <c r="P324" i="12"/>
  <c r="P448" i="12"/>
  <c r="P199" i="12"/>
  <c r="P192" i="12"/>
  <c r="P76" i="12"/>
  <c r="P493" i="12"/>
  <c r="P204" i="12"/>
  <c r="P325" i="12"/>
  <c r="P55" i="12"/>
  <c r="P327" i="12"/>
  <c r="P323" i="12"/>
  <c r="P150" i="12"/>
  <c r="P328" i="12"/>
  <c r="P264" i="12"/>
  <c r="P292" i="12"/>
  <c r="P77" i="12"/>
  <c r="P331" i="12"/>
  <c r="P314" i="12"/>
  <c r="P17" i="12"/>
  <c r="P333" i="12"/>
  <c r="P78" i="12"/>
  <c r="P494" i="12"/>
  <c r="P341" i="12"/>
  <c r="P79" i="12"/>
  <c r="P495" i="12"/>
  <c r="P434" i="12"/>
  <c r="P113" i="12"/>
  <c r="P334" i="12"/>
  <c r="P335" i="12"/>
  <c r="P120" i="12"/>
  <c r="P351" i="12"/>
  <c r="P344" i="12"/>
  <c r="P158" i="12"/>
  <c r="P345" i="12"/>
  <c r="P131" i="12"/>
  <c r="P80" i="12"/>
  <c r="P496" i="12"/>
  <c r="P422" i="12"/>
  <c r="P393" i="12"/>
  <c r="P366" i="12"/>
  <c r="P46" i="12"/>
  <c r="P81" i="12"/>
  <c r="P497" i="12"/>
  <c r="P206" i="12"/>
  <c r="P347" i="12"/>
  <c r="P25" i="12"/>
  <c r="P348" i="12"/>
  <c r="P425" i="12"/>
  <c r="P378" i="12"/>
  <c r="P145" i="12"/>
  <c r="P350" i="12"/>
  <c r="P47" i="12"/>
  <c r="P406" i="12"/>
  <c r="P198" i="12"/>
  <c r="P304" i="12"/>
  <c r="P29" i="12"/>
  <c r="P352" i="12"/>
  <c r="P167" i="12"/>
  <c r="P357" i="12"/>
  <c r="P48" i="12"/>
  <c r="P379" i="12"/>
  <c r="P82" i="12"/>
  <c r="P498" i="12"/>
  <c r="P358" i="12"/>
  <c r="P297" i="12"/>
  <c r="P49" i="12"/>
  <c r="P361" i="12"/>
  <c r="P439" i="12"/>
  <c r="P66" i="12"/>
  <c r="P446" i="12"/>
  <c r="P387" i="12"/>
  <c r="P322" i="12"/>
  <c r="P118" i="12"/>
  <c r="P367" i="12"/>
  <c r="P368" i="12"/>
  <c r="P473" i="12"/>
  <c r="P83" i="12"/>
  <c r="P499" i="12"/>
  <c r="P288" i="12"/>
  <c r="P370" i="12"/>
  <c r="P133" i="12"/>
  <c r="P84" i="12"/>
  <c r="P500" i="12"/>
  <c r="P207" i="12"/>
  <c r="P259" i="12"/>
  <c r="P236" i="12"/>
  <c r="P156" i="12"/>
  <c r="P377" i="12"/>
  <c r="P374" i="12"/>
  <c r="P363" i="12"/>
  <c r="P229" i="12"/>
  <c r="P217" i="12"/>
  <c r="P121" i="12"/>
  <c r="P383" i="12"/>
  <c r="P117" i="12"/>
  <c r="P479" i="12"/>
  <c r="P136" i="12"/>
  <c r="P267" i="12"/>
  <c r="P139" i="12"/>
  <c r="P469" i="12"/>
  <c r="P50" i="12"/>
  <c r="P437" i="12"/>
  <c r="P408" i="12"/>
  <c r="P189" i="12"/>
  <c r="P349" i="12"/>
  <c r="P225" i="12"/>
  <c r="P386" i="12"/>
  <c r="P37" i="12"/>
  <c r="P394" i="12"/>
  <c r="P85" i="12"/>
  <c r="P501" i="12"/>
  <c r="P299" i="12"/>
  <c r="P223" i="12"/>
  <c r="P144" i="12"/>
  <c r="P390" i="12"/>
  <c r="P195" i="12"/>
  <c r="P174" i="12"/>
  <c r="P397" i="12"/>
  <c r="P86" i="12"/>
  <c r="P502" i="12"/>
  <c r="P400" i="12"/>
  <c r="P87" i="12"/>
  <c r="P503" i="12"/>
  <c r="P518" i="12"/>
  <c r="P51" i="12"/>
  <c r="P401" i="12"/>
  <c r="P165" i="12"/>
  <c r="P260" i="12"/>
  <c r="P329" i="12"/>
  <c r="P129" i="12"/>
  <c r="P354" i="12"/>
  <c r="P269" i="12"/>
  <c r="P18" i="12"/>
  <c r="P403" i="12"/>
  <c r="P65" i="12"/>
  <c r="P402" i="12"/>
  <c r="P88" i="12"/>
  <c r="P504" i="12"/>
  <c r="P201" i="12"/>
  <c r="P405" i="12"/>
  <c r="P27" i="12"/>
  <c r="P409" i="12"/>
  <c r="P149" i="12"/>
  <c r="P289" i="12"/>
  <c r="P410" i="12"/>
  <c r="P19" i="12"/>
  <c r="P261" i="12"/>
  <c r="P465" i="12"/>
  <c r="P280" i="12"/>
  <c r="P415" i="12"/>
  <c r="P52" i="12"/>
  <c r="P447" i="12"/>
  <c r="P38" i="12"/>
  <c r="P413" i="12"/>
  <c r="P107" i="12"/>
  <c r="P417" i="12"/>
  <c r="P61" i="12"/>
  <c r="P315" i="12"/>
  <c r="P181" i="12"/>
  <c r="P290" i="12"/>
  <c r="P418" i="12"/>
  <c r="P420" i="12"/>
  <c r="P40" i="12"/>
  <c r="P421" i="12"/>
  <c r="P191" i="12"/>
  <c r="P343" i="12"/>
  <c r="P173" i="12"/>
  <c r="P427" i="12"/>
  <c r="P330" i="12"/>
  <c r="P62" i="12"/>
  <c r="P365" i="12"/>
  <c r="P13" i="12"/>
  <c r="P429" i="12"/>
  <c r="P428" i="12"/>
  <c r="P99" i="12"/>
  <c r="P424" i="12"/>
  <c r="P89" i="12"/>
  <c r="P505" i="12"/>
  <c r="P431" i="12"/>
  <c r="P391" i="12"/>
  <c r="P232" i="12"/>
  <c r="P90" i="12"/>
  <c r="P253" i="12"/>
  <c r="P266" i="12"/>
  <c r="P196" i="12"/>
  <c r="P433" i="12"/>
  <c r="P54" i="12"/>
  <c r="P440" i="12"/>
  <c r="P404" i="12"/>
  <c r="P436" i="12"/>
  <c r="P311" i="12"/>
  <c r="P160" i="12"/>
  <c r="P372" i="12"/>
  <c r="P108" i="12"/>
  <c r="P454" i="12"/>
  <c r="P449" i="12"/>
  <c r="P224" i="12"/>
  <c r="P30" i="12"/>
  <c r="P443" i="12"/>
  <c r="P441" i="12"/>
  <c r="P326" i="12"/>
  <c r="P216" i="12"/>
  <c r="P444" i="12"/>
  <c r="P373" i="12"/>
  <c r="P123" i="12"/>
  <c r="P20" i="12"/>
  <c r="P450" i="12"/>
  <c r="P171" i="12"/>
  <c r="P270" i="12"/>
  <c r="P14" i="12"/>
  <c r="P263" i="12"/>
  <c r="P12" i="12"/>
  <c r="P319" i="12"/>
  <c r="P103" i="12"/>
  <c r="P265" i="12"/>
  <c r="P32" i="12"/>
  <c r="P301" i="12"/>
  <c r="P9" i="12"/>
  <c r="P91" i="12"/>
  <c r="P506" i="12"/>
  <c r="P208" i="12"/>
  <c r="P457" i="12"/>
  <c r="P92" i="12"/>
  <c r="P507" i="12"/>
  <c r="P346" i="12"/>
  <c r="P162" i="12"/>
  <c r="P416" i="12"/>
  <c r="P456" i="12"/>
  <c r="P281" i="12"/>
  <c r="P114" i="12"/>
  <c r="P226" i="12"/>
  <c r="P161" i="12"/>
  <c r="P463" i="12"/>
  <c r="P458" i="12"/>
  <c r="P183" i="12"/>
  <c r="P93" i="12"/>
  <c r="P508" i="12"/>
  <c r="P209" i="12"/>
  <c r="P460" i="12"/>
  <c r="P256" i="12"/>
  <c r="P257" i="12"/>
  <c r="P234" i="12"/>
  <c r="P100" i="12"/>
  <c r="P296" i="12"/>
  <c r="P470" i="12"/>
  <c r="P21" i="12"/>
  <c r="P291" i="12"/>
  <c r="P22" i="12"/>
  <c r="P31" i="12"/>
  <c r="P472" i="12"/>
  <c r="P23" i="12"/>
  <c r="P197" i="12"/>
  <c r="P332" i="12"/>
  <c r="P112" i="12"/>
  <c r="P376" i="12"/>
  <c r="P115" i="12"/>
  <c r="P375" i="12"/>
  <c r="P273" i="12"/>
  <c r="P274" i="12"/>
  <c r="P474" i="12"/>
  <c r="P438" i="12"/>
  <c r="P166" i="12"/>
  <c r="P476" i="12"/>
  <c r="P28" i="12"/>
  <c r="P338" i="12"/>
  <c r="P110" i="12"/>
  <c r="P455" i="12"/>
  <c r="P468" i="12"/>
  <c r="P228" i="12"/>
  <c r="P230" i="12"/>
  <c r="P56" i="12"/>
  <c r="P477" i="12"/>
  <c r="P94" i="12"/>
  <c r="P509" i="12"/>
  <c r="P478" i="12"/>
  <c r="P95" i="12"/>
  <c r="P510" i="12"/>
  <c r="P481" i="12"/>
  <c r="P320" i="12"/>
  <c r="P57" i="12"/>
  <c r="P339" i="12"/>
  <c r="P24" i="12"/>
  <c r="P355" i="12"/>
  <c r="P482" i="12"/>
  <c r="P111" i="12"/>
  <c r="P430" i="12"/>
  <c r="P483" i="12"/>
  <c r="P298" i="12"/>
  <c r="P484" i="12"/>
  <c r="P96" i="12"/>
  <c r="P511" i="12"/>
  <c r="P486" i="12"/>
  <c r="P485" i="12"/>
  <c r="P119" i="12"/>
  <c r="P514" i="12"/>
  <c r="P313" i="12"/>
  <c r="P168" i="12"/>
  <c r="P220" i="12"/>
  <c r="P212" i="12"/>
  <c r="P515" i="12"/>
  <c r="P97" i="12"/>
  <c r="P512" i="12"/>
  <c r="P414" i="12"/>
  <c r="P517" i="12"/>
  <c r="P241" i="12"/>
  <c r="P177" i="12"/>
  <c r="P210" i="12"/>
  <c r="P211" i="12"/>
  <c r="P411" i="12"/>
  <c r="P152" i="12"/>
  <c r="P521" i="12"/>
  <c r="P384" i="12"/>
  <c r="P248" i="12"/>
  <c r="P58" i="12"/>
  <c r="P461" i="12"/>
  <c r="P170" i="12"/>
  <c r="P522" i="12"/>
  <c r="P163" i="12"/>
  <c r="P524" i="12"/>
  <c r="P523" i="12"/>
  <c r="P59" i="12"/>
  <c r="P525" i="12"/>
  <c r="P516" i="12"/>
  <c r="P359" i="12"/>
  <c r="P148" i="12"/>
  <c r="P360" i="12"/>
  <c r="P526" i="12"/>
  <c r="P467" i="12"/>
  <c r="P105" i="12"/>
  <c r="P464" i="12"/>
  <c r="P26" i="12"/>
  <c r="P529" i="12"/>
  <c r="P412" i="12"/>
  <c r="P63" i="12"/>
  <c r="P340" i="12"/>
  <c r="P520" i="12"/>
  <c r="P39" i="12"/>
  <c r="P356" i="12"/>
  <c r="P532" i="12"/>
  <c r="P480" i="12"/>
  <c r="P442" i="12"/>
  <c r="P275" i="12"/>
  <c r="P64" i="12"/>
  <c r="P445" i="12"/>
  <c r="P535" i="12"/>
  <c r="P262" i="12"/>
  <c r="P188" i="12"/>
  <c r="P98" i="12"/>
  <c r="P336" i="12"/>
  <c r="P190" i="12"/>
  <c r="P538" i="12"/>
  <c r="P305" i="12"/>
  <c r="P128" i="12"/>
  <c r="P36" i="12"/>
  <c r="P466" i="12"/>
  <c r="P540" i="12"/>
  <c r="P179" i="12"/>
  <c r="P385" i="12"/>
  <c r="P200" i="12"/>
  <c r="P543" i="12"/>
  <c r="P542" i="12"/>
  <c r="P300" i="12"/>
  <c r="P60" i="12"/>
  <c r="P475" i="12"/>
  <c r="P396" i="12"/>
  <c r="P187" i="12"/>
  <c r="P462" i="12"/>
  <c r="P249" i="12"/>
  <c r="P116" i="12"/>
  <c r="P10" i="12"/>
  <c r="P337" i="12"/>
  <c r="P137" i="12"/>
  <c r="P528" i="12"/>
  <c r="P353" i="12"/>
  <c r="P169" i="12"/>
  <c r="O134" i="12"/>
  <c r="O182" i="12"/>
  <c r="O41" i="12"/>
  <c r="O104" i="12"/>
  <c r="O459" i="12"/>
  <c r="O127" i="12"/>
  <c r="O233" i="12"/>
  <c r="O154" i="12"/>
  <c r="O312" i="12"/>
  <c r="O254" i="12"/>
  <c r="O186" i="12"/>
  <c r="O42" i="12"/>
  <c r="O138" i="12"/>
  <c r="O389" i="12"/>
  <c r="O278" i="12"/>
  <c r="O132" i="12"/>
  <c r="O194" i="12"/>
  <c r="O306" i="12"/>
  <c r="O153" i="12"/>
  <c r="O205" i="12"/>
  <c r="O432" i="12"/>
  <c r="O382" i="12"/>
  <c r="O380" i="12"/>
  <c r="O282" i="12"/>
  <c r="O122" i="12"/>
  <c r="O213" i="12"/>
  <c r="O68" i="12"/>
  <c r="O487" i="12"/>
  <c r="O221" i="12"/>
  <c r="O142" i="12"/>
  <c r="O222" i="12"/>
  <c r="O109" i="12"/>
  <c r="O295" i="12"/>
  <c r="O369" i="12"/>
  <c r="O140" i="12"/>
  <c r="O227" i="12"/>
  <c r="O283" i="12"/>
  <c r="O45" i="12"/>
  <c r="O258" i="12"/>
  <c r="O235" i="12"/>
  <c r="O16" i="12"/>
  <c r="O398" i="12"/>
  <c r="O43" i="12"/>
  <c r="O237" i="12"/>
  <c r="O69" i="12"/>
  <c r="O488" i="12"/>
  <c r="O238" i="12"/>
  <c r="O239" i="12"/>
  <c r="O15" i="12"/>
  <c r="O178" i="12"/>
  <c r="O219" i="12"/>
  <c r="O242" i="12"/>
  <c r="O317" i="12"/>
  <c r="O172" i="12"/>
  <c r="O243" i="12"/>
  <c r="O70" i="12"/>
  <c r="O245" i="12"/>
  <c r="O303" i="12"/>
  <c r="O151" i="12"/>
  <c r="O124" i="12"/>
  <c r="O513" i="12"/>
  <c r="O426" i="12"/>
  <c r="O240" i="12"/>
  <c r="O44" i="12"/>
  <c r="O250" i="12"/>
  <c r="O11" i="12"/>
  <c r="O71" i="12"/>
  <c r="O489" i="12"/>
  <c r="O202" i="12"/>
  <c r="O268" i="12"/>
  <c r="O126" i="12"/>
  <c r="O308" i="12"/>
  <c r="O185" i="12"/>
  <c r="O271" i="12"/>
  <c r="O175" i="12"/>
  <c r="O276" i="12"/>
  <c r="O277" i="12"/>
  <c r="O146" i="12"/>
  <c r="O399" i="12"/>
  <c r="O33" i="12"/>
  <c r="O279" i="12"/>
  <c r="O318" i="12"/>
  <c r="O159" i="12"/>
  <c r="O130" i="12"/>
  <c r="O423" i="12"/>
  <c r="O101" i="12"/>
  <c r="O371" i="12"/>
  <c r="O143" i="12"/>
  <c r="O244" i="12"/>
  <c r="O285" i="12"/>
  <c r="O147" i="12"/>
  <c r="O286" i="12"/>
  <c r="O381" i="12"/>
  <c r="O35" i="12"/>
  <c r="O287" i="12"/>
  <c r="O293" i="12"/>
  <c r="O193" i="12"/>
  <c r="O395" i="12"/>
  <c r="O135" i="12"/>
  <c r="O342" i="12"/>
  <c r="O157" i="12"/>
  <c r="O34" i="12"/>
  <c r="O302" i="12"/>
  <c r="O294" i="12"/>
  <c r="O102" i="12"/>
  <c r="O307" i="12"/>
  <c r="O106" i="12"/>
  <c r="O72" i="12"/>
  <c r="O490" i="12"/>
  <c r="O203" i="12"/>
  <c r="O309" i="12"/>
  <c r="O141" i="12"/>
  <c r="O251" i="12"/>
  <c r="O73" i="12"/>
  <c r="O491" i="12"/>
  <c r="O252" i="12"/>
  <c r="O74" i="12"/>
  <c r="O492" i="12"/>
  <c r="O218" i="12"/>
  <c r="O67" i="12"/>
  <c r="O419" i="12"/>
  <c r="O180" i="12"/>
  <c r="O255" i="12"/>
  <c r="O75" i="12"/>
  <c r="O125" i="12"/>
  <c r="O231" i="12"/>
  <c r="O310" i="12"/>
  <c r="O53" i="12"/>
  <c r="O272" i="12"/>
  <c r="O176" i="12"/>
  <c r="O214" i="12"/>
  <c r="O215" i="12"/>
  <c r="O316" i="12"/>
  <c r="O435" i="12"/>
  <c r="O164" i="12"/>
  <c r="O321" i="12"/>
  <c r="O155" i="12"/>
  <c r="O324" i="12"/>
  <c r="O448" i="12"/>
  <c r="O199" i="12"/>
  <c r="O192" i="12"/>
  <c r="O76" i="12"/>
  <c r="O493" i="12"/>
  <c r="O204" i="12"/>
  <c r="O325" i="12"/>
  <c r="O55" i="12"/>
  <c r="O327" i="12"/>
  <c r="O323" i="12"/>
  <c r="O150" i="12"/>
  <c r="O328" i="12"/>
  <c r="O264" i="12"/>
  <c r="O292" i="12"/>
  <c r="O77" i="12"/>
  <c r="O331" i="12"/>
  <c r="O314" i="12"/>
  <c r="O17" i="12"/>
  <c r="O333" i="12"/>
  <c r="O78" i="12"/>
  <c r="O494" i="12"/>
  <c r="O341" i="12"/>
  <c r="O79" i="12"/>
  <c r="O495" i="12"/>
  <c r="O434" i="12"/>
  <c r="O113" i="12"/>
  <c r="O334" i="12"/>
  <c r="O335" i="12"/>
  <c r="O120" i="12"/>
  <c r="O351" i="12"/>
  <c r="O344" i="12"/>
  <c r="O158" i="12"/>
  <c r="O345" i="12"/>
  <c r="O131" i="12"/>
  <c r="O80" i="12"/>
  <c r="O496" i="12"/>
  <c r="O422" i="12"/>
  <c r="O393" i="12"/>
  <c r="O366" i="12"/>
  <c r="O46" i="12"/>
  <c r="O81" i="12"/>
  <c r="O497" i="12"/>
  <c r="O206" i="12"/>
  <c r="O347" i="12"/>
  <c r="O25" i="12"/>
  <c r="O348" i="12"/>
  <c r="O425" i="12"/>
  <c r="O378" i="12"/>
  <c r="O145" i="12"/>
  <c r="O350" i="12"/>
  <c r="O47" i="12"/>
  <c r="O406" i="12"/>
  <c r="O198" i="12"/>
  <c r="O304" i="12"/>
  <c r="O29" i="12"/>
  <c r="O352" i="12"/>
  <c r="O167" i="12"/>
  <c r="O357" i="12"/>
  <c r="O48" i="12"/>
  <c r="O379" i="12"/>
  <c r="O82" i="12"/>
  <c r="O498" i="12"/>
  <c r="O358" i="12"/>
  <c r="O297" i="12"/>
  <c r="O49" i="12"/>
  <c r="O361" i="12"/>
  <c r="O439" i="12"/>
  <c r="O66" i="12"/>
  <c r="O446" i="12"/>
  <c r="O387" i="12"/>
  <c r="O322" i="12"/>
  <c r="O118" i="12"/>
  <c r="O367" i="12"/>
  <c r="O368" i="12"/>
  <c r="O473" i="12"/>
  <c r="O83" i="12"/>
  <c r="O499" i="12"/>
  <c r="O288" i="12"/>
  <c r="O370" i="12"/>
  <c r="O133" i="12"/>
  <c r="O84" i="12"/>
  <c r="O500" i="12"/>
  <c r="O207" i="12"/>
  <c r="O259" i="12"/>
  <c r="O236" i="12"/>
  <c r="O156" i="12"/>
  <c r="O377" i="12"/>
  <c r="O374" i="12"/>
  <c r="O363" i="12"/>
  <c r="O229" i="12"/>
  <c r="O217" i="12"/>
  <c r="O121" i="12"/>
  <c r="O383" i="12"/>
  <c r="O117" i="12"/>
  <c r="O479" i="12"/>
  <c r="O136" i="12"/>
  <c r="O267" i="12"/>
  <c r="O139" i="12"/>
  <c r="O469" i="12"/>
  <c r="O50" i="12"/>
  <c r="O437" i="12"/>
  <c r="O408" i="12"/>
  <c r="O189" i="12"/>
  <c r="O349" i="12"/>
  <c r="O225" i="12"/>
  <c r="O386" i="12"/>
  <c r="O37" i="12"/>
  <c r="O394" i="12"/>
  <c r="O85" i="12"/>
  <c r="O501" i="12"/>
  <c r="O299" i="12"/>
  <c r="O223" i="12"/>
  <c r="O144" i="12"/>
  <c r="O390" i="12"/>
  <c r="O195" i="12"/>
  <c r="O174" i="12"/>
  <c r="O397" i="12"/>
  <c r="O86" i="12"/>
  <c r="O502" i="12"/>
  <c r="O400" i="12"/>
  <c r="O87" i="12"/>
  <c r="O503" i="12"/>
  <c r="O518" i="12"/>
  <c r="O51" i="12"/>
  <c r="O401" i="12"/>
  <c r="O165" i="12"/>
  <c r="O260" i="12"/>
  <c r="O329" i="12"/>
  <c r="O129" i="12"/>
  <c r="O354" i="12"/>
  <c r="O269" i="12"/>
  <c r="O18" i="12"/>
  <c r="O403" i="12"/>
  <c r="O65" i="12"/>
  <c r="O402" i="12"/>
  <c r="O88" i="12"/>
  <c r="O504" i="12"/>
  <c r="O201" i="12"/>
  <c r="O405" i="12"/>
  <c r="O27" i="12"/>
  <c r="O409" i="12"/>
  <c r="O149" i="12"/>
  <c r="O289" i="12"/>
  <c r="O410" i="12"/>
  <c r="O19" i="12"/>
  <c r="O261" i="12"/>
  <c r="O465" i="12"/>
  <c r="O280" i="12"/>
  <c r="O415" i="12"/>
  <c r="O52" i="12"/>
  <c r="O447" i="12"/>
  <c r="O38" i="12"/>
  <c r="O413" i="12"/>
  <c r="O107" i="12"/>
  <c r="O417" i="12"/>
  <c r="O61" i="12"/>
  <c r="O315" i="12"/>
  <c r="O181" i="12"/>
  <c r="O290" i="12"/>
  <c r="O418" i="12"/>
  <c r="O420" i="12"/>
  <c r="O40" i="12"/>
  <c r="O421" i="12"/>
  <c r="O191" i="12"/>
  <c r="O343" i="12"/>
  <c r="O173" i="12"/>
  <c r="O427" i="12"/>
  <c r="O330" i="12"/>
  <c r="O62" i="12"/>
  <c r="O365" i="12"/>
  <c r="O13" i="12"/>
  <c r="O429" i="12"/>
  <c r="O428" i="12"/>
  <c r="O99" i="12"/>
  <c r="O424" i="12"/>
  <c r="O89" i="12"/>
  <c r="O505" i="12"/>
  <c r="O431" i="12"/>
  <c r="O391" i="12"/>
  <c r="O232" i="12"/>
  <c r="O90" i="12"/>
  <c r="O253" i="12"/>
  <c r="O266" i="12"/>
  <c r="O196" i="12"/>
  <c r="O433" i="12"/>
  <c r="O54" i="12"/>
  <c r="O440" i="12"/>
  <c r="O404" i="12"/>
  <c r="O436" i="12"/>
  <c r="O311" i="12"/>
  <c r="O160" i="12"/>
  <c r="O372" i="12"/>
  <c r="O108" i="12"/>
  <c r="O454" i="12"/>
  <c r="O449" i="12"/>
  <c r="O224" i="12"/>
  <c r="O30" i="12"/>
  <c r="O443" i="12"/>
  <c r="O441" i="12"/>
  <c r="O326" i="12"/>
  <c r="O216" i="12"/>
  <c r="O444" i="12"/>
  <c r="O373" i="12"/>
  <c r="O123" i="12"/>
  <c r="O20" i="12"/>
  <c r="O450" i="12"/>
  <c r="O171" i="12"/>
  <c r="O270" i="12"/>
  <c r="O14" i="12"/>
  <c r="O263" i="12"/>
  <c r="O12" i="12"/>
  <c r="O319" i="12"/>
  <c r="O103" i="12"/>
  <c r="O265" i="12"/>
  <c r="O32" i="12"/>
  <c r="O301" i="12"/>
  <c r="O9" i="12"/>
  <c r="O91" i="12"/>
  <c r="O506" i="12"/>
  <c r="O208" i="12"/>
  <c r="O457" i="12"/>
  <c r="O92" i="12"/>
  <c r="O507" i="12"/>
  <c r="O346" i="12"/>
  <c r="O162" i="12"/>
  <c r="O416" i="12"/>
  <c r="O456" i="12"/>
  <c r="O281" i="12"/>
  <c r="O114" i="12"/>
  <c r="O226" i="12"/>
  <c r="O161" i="12"/>
  <c r="O463" i="12"/>
  <c r="O458" i="12"/>
  <c r="O183" i="12"/>
  <c r="O93" i="12"/>
  <c r="O508" i="12"/>
  <c r="O209" i="12"/>
  <c r="O460" i="12"/>
  <c r="O256" i="12"/>
  <c r="O257" i="12"/>
  <c r="O234" i="12"/>
  <c r="O100" i="12"/>
  <c r="O296" i="12"/>
  <c r="O470" i="12"/>
  <c r="O21" i="12"/>
  <c r="O291" i="12"/>
  <c r="O22" i="12"/>
  <c r="O31" i="12"/>
  <c r="O472" i="12"/>
  <c r="O23" i="12"/>
  <c r="O197" i="12"/>
  <c r="O332" i="12"/>
  <c r="O112" i="12"/>
  <c r="O376" i="12"/>
  <c r="O115" i="12"/>
  <c r="O375" i="12"/>
  <c r="O273" i="12"/>
  <c r="O274" i="12"/>
  <c r="O474" i="12"/>
  <c r="O438" i="12"/>
  <c r="O166" i="12"/>
  <c r="O476" i="12"/>
  <c r="O28" i="12"/>
  <c r="O338" i="12"/>
  <c r="O110" i="12"/>
  <c r="O455" i="12"/>
  <c r="O468" i="12"/>
  <c r="O228" i="12"/>
  <c r="O230" i="12"/>
  <c r="O56" i="12"/>
  <c r="O477" i="12"/>
  <c r="O94" i="12"/>
  <c r="O509" i="12"/>
  <c r="O478" i="12"/>
  <c r="O95" i="12"/>
  <c r="O510" i="12"/>
  <c r="O481" i="12"/>
  <c r="O320" i="12"/>
  <c r="O57" i="12"/>
  <c r="O339" i="12"/>
  <c r="O24" i="12"/>
  <c r="O355" i="12"/>
  <c r="O482" i="12"/>
  <c r="O111" i="12"/>
  <c r="O430" i="12"/>
  <c r="O483" i="12"/>
  <c r="O298" i="12"/>
  <c r="O484" i="12"/>
  <c r="O96" i="12"/>
  <c r="O511" i="12"/>
  <c r="O486" i="12"/>
  <c r="O485" i="12"/>
  <c r="O119" i="12"/>
  <c r="O514" i="12"/>
  <c r="O313" i="12"/>
  <c r="O168" i="12"/>
  <c r="O220" i="12"/>
  <c r="O212" i="12"/>
  <c r="O515" i="12"/>
  <c r="O97" i="12"/>
  <c r="O512" i="12"/>
  <c r="O414" i="12"/>
  <c r="O517" i="12"/>
  <c r="O241" i="12"/>
  <c r="O177" i="12"/>
  <c r="O210" i="12"/>
  <c r="O211" i="12"/>
  <c r="O411" i="12"/>
  <c r="O152" i="12"/>
  <c r="O521" i="12"/>
  <c r="O384" i="12"/>
  <c r="O248" i="12"/>
  <c r="O58" i="12"/>
  <c r="O461" i="12"/>
  <c r="O170" i="12"/>
  <c r="O522" i="12"/>
  <c r="O163" i="12"/>
  <c r="O524" i="12"/>
  <c r="O523" i="12"/>
  <c r="O59" i="12"/>
  <c r="O525" i="12"/>
  <c r="O516" i="12"/>
  <c r="O359" i="12"/>
  <c r="O148" i="12"/>
  <c r="O360" i="12"/>
  <c r="O526" i="12"/>
  <c r="O467" i="12"/>
  <c r="O105" i="12"/>
  <c r="O464" i="12"/>
  <c r="O26" i="12"/>
  <c r="O529" i="12"/>
  <c r="O412" i="12"/>
  <c r="O63" i="12"/>
  <c r="O340" i="12"/>
  <c r="O520" i="12"/>
  <c r="O39" i="12"/>
  <c r="O356" i="12"/>
  <c r="O532" i="12"/>
  <c r="O480" i="12"/>
  <c r="O442" i="12"/>
  <c r="O275" i="12"/>
  <c r="O64" i="12"/>
  <c r="O445" i="12"/>
  <c r="O535" i="12"/>
  <c r="O262" i="12"/>
  <c r="O188" i="12"/>
  <c r="O98" i="12"/>
  <c r="O336" i="12"/>
  <c r="O190" i="12"/>
  <c r="O538" i="12"/>
  <c r="O305" i="12"/>
  <c r="O128" i="12"/>
  <c r="O36" i="12"/>
  <c r="O466" i="12"/>
  <c r="O540" i="12"/>
  <c r="O179" i="12"/>
  <c r="O385" i="12"/>
  <c r="O200" i="12"/>
  <c r="O543" i="12"/>
  <c r="O542" i="12"/>
  <c r="O300" i="12"/>
  <c r="O60" i="12"/>
  <c r="O475" i="12"/>
  <c r="O396" i="12"/>
  <c r="O187" i="12"/>
  <c r="O462" i="12"/>
  <c r="O249" i="12"/>
  <c r="O116" i="12"/>
  <c r="O10" i="12"/>
  <c r="O337" i="12"/>
  <c r="O137" i="12"/>
  <c r="O528" i="12"/>
  <c r="O353" i="12"/>
  <c r="O169" i="12"/>
  <c r="N134" i="12" a="1"/>
  <c r="N134" i="12" s="1"/>
  <c r="N182" i="12" a="1"/>
  <c r="N182" i="12" s="1"/>
  <c r="N41" i="12" a="1"/>
  <c r="N41" i="12" s="1"/>
  <c r="N104" i="12" a="1"/>
  <c r="N104" i="12" s="1"/>
  <c r="N459" i="12" a="1"/>
  <c r="N459" i="12" s="1"/>
  <c r="N127" i="12" a="1"/>
  <c r="N127" i="12" s="1"/>
  <c r="N233" i="12" a="1"/>
  <c r="N233" i="12" s="1"/>
  <c r="N154" i="12" a="1"/>
  <c r="N154" i="12" s="1"/>
  <c r="N312" i="12" a="1"/>
  <c r="N312" i="12" s="1"/>
  <c r="N254" i="12" a="1"/>
  <c r="N254" i="12" s="1"/>
  <c r="N186" i="12" a="1"/>
  <c r="N186" i="12" s="1"/>
  <c r="N42" i="12" a="1"/>
  <c r="N42" i="12" s="1"/>
  <c r="N138" i="12" a="1"/>
  <c r="N138" i="12" s="1"/>
  <c r="N389" i="12" a="1"/>
  <c r="N389" i="12" s="1"/>
  <c r="N278" i="12" a="1"/>
  <c r="N278" i="12" s="1"/>
  <c r="N132" i="12" a="1"/>
  <c r="N132" i="12" s="1"/>
  <c r="N194" i="12" a="1"/>
  <c r="N194" i="12" s="1"/>
  <c r="N306" i="12" a="1"/>
  <c r="N306" i="12" s="1"/>
  <c r="N153" i="12" a="1"/>
  <c r="N153" i="12" s="1"/>
  <c r="N205" i="12" a="1"/>
  <c r="N205" i="12" s="1"/>
  <c r="N432" i="12" a="1"/>
  <c r="N432" i="12" s="1"/>
  <c r="N382" i="12" a="1"/>
  <c r="N382" i="12" s="1"/>
  <c r="N380" i="12" a="1"/>
  <c r="N380" i="12" s="1"/>
  <c r="N282" i="12" a="1"/>
  <c r="N282" i="12" s="1"/>
  <c r="N122" i="12" a="1"/>
  <c r="N122" i="12" s="1"/>
  <c r="N213" i="12" a="1"/>
  <c r="N213" i="12" s="1"/>
  <c r="N68" i="12" a="1"/>
  <c r="N68" i="12" s="1"/>
  <c r="N487" i="12" a="1"/>
  <c r="N487" i="12" s="1"/>
  <c r="N221" i="12" a="1"/>
  <c r="N221" i="12" s="1"/>
  <c r="N142" i="12" a="1"/>
  <c r="N142" i="12" s="1"/>
  <c r="N222" i="12" a="1"/>
  <c r="N222" i="12" s="1"/>
  <c r="N109" i="12" a="1"/>
  <c r="N109" i="12" s="1"/>
  <c r="N295" i="12" a="1"/>
  <c r="N295" i="12" s="1"/>
  <c r="N369" i="12" a="1"/>
  <c r="N369" i="12" s="1"/>
  <c r="N140" i="12" a="1"/>
  <c r="N140" i="12" s="1"/>
  <c r="N227" i="12" a="1"/>
  <c r="N227" i="12" s="1"/>
  <c r="N283" i="12" a="1"/>
  <c r="N283" i="12" s="1"/>
  <c r="N45" i="12" a="1"/>
  <c r="N45" i="12" s="1"/>
  <c r="N258" i="12" a="1"/>
  <c r="N258" i="12" s="1"/>
  <c r="N235" i="12" a="1"/>
  <c r="N235" i="12" s="1"/>
  <c r="N16" i="12" a="1"/>
  <c r="N16" i="12" s="1"/>
  <c r="N398" i="12" a="1"/>
  <c r="N398" i="12" s="1"/>
  <c r="N43" i="12" a="1"/>
  <c r="N43" i="12" s="1"/>
  <c r="N237" i="12" a="1"/>
  <c r="N237" i="12" s="1"/>
  <c r="N69" i="12" a="1"/>
  <c r="N69" i="12" s="1"/>
  <c r="N488" i="12" a="1"/>
  <c r="N488" i="12" s="1"/>
  <c r="N238" i="12" a="1"/>
  <c r="N238" i="12" s="1"/>
  <c r="N239" i="12" a="1"/>
  <c r="N239" i="12" s="1"/>
  <c r="N15" i="12" a="1"/>
  <c r="N15" i="12" s="1"/>
  <c r="N178" i="12" a="1"/>
  <c r="N178" i="12" s="1"/>
  <c r="N219" i="12" a="1"/>
  <c r="N219" i="12" s="1"/>
  <c r="N242" i="12" a="1"/>
  <c r="N242" i="12" s="1"/>
  <c r="N317" i="12" a="1"/>
  <c r="N317" i="12" s="1"/>
  <c r="N172" i="12" a="1"/>
  <c r="N172" i="12" s="1"/>
  <c r="N243" i="12" a="1"/>
  <c r="N243" i="12" s="1"/>
  <c r="N70" i="12" a="1"/>
  <c r="N70" i="12" s="1"/>
  <c r="N245" i="12" a="1"/>
  <c r="N245" i="12" s="1"/>
  <c r="N303" i="12" a="1"/>
  <c r="N303" i="12" s="1"/>
  <c r="N151" i="12" a="1"/>
  <c r="N151" i="12" s="1"/>
  <c r="N124" i="12" a="1"/>
  <c r="N124" i="12" s="1"/>
  <c r="N513" i="12" a="1"/>
  <c r="N513" i="12" s="1"/>
  <c r="N426" i="12" a="1"/>
  <c r="N426" i="12" s="1"/>
  <c r="N240" i="12" a="1"/>
  <c r="N240" i="12" s="1"/>
  <c r="N44" i="12" a="1"/>
  <c r="N44" i="12" s="1"/>
  <c r="N250" i="12" a="1"/>
  <c r="N250" i="12" s="1"/>
  <c r="N11" i="12" a="1"/>
  <c r="N11" i="12" s="1"/>
  <c r="N71" i="12" a="1"/>
  <c r="N71" i="12" s="1"/>
  <c r="N489" i="12" a="1"/>
  <c r="N489" i="12" s="1"/>
  <c r="N202" i="12" a="1"/>
  <c r="N202" i="12" s="1"/>
  <c r="N268" i="12" a="1"/>
  <c r="N268" i="12" s="1"/>
  <c r="N126" i="12" a="1"/>
  <c r="N126" i="12" s="1"/>
  <c r="N308" i="12" a="1"/>
  <c r="N308" i="12" s="1"/>
  <c r="N185" i="12" a="1"/>
  <c r="N185" i="12" s="1"/>
  <c r="N271" i="12" a="1"/>
  <c r="N271" i="12" s="1"/>
  <c r="N175" i="12" a="1"/>
  <c r="N175" i="12" s="1"/>
  <c r="N276" i="12" a="1"/>
  <c r="N276" i="12" s="1"/>
  <c r="N277" i="12" a="1"/>
  <c r="N277" i="12" s="1"/>
  <c r="N146" i="12" a="1"/>
  <c r="N146" i="12" s="1"/>
  <c r="N399" i="12" a="1"/>
  <c r="N399" i="12" s="1"/>
  <c r="N33" i="12" a="1"/>
  <c r="N33" i="12" s="1"/>
  <c r="N279" i="12" a="1"/>
  <c r="N279" i="12" s="1"/>
  <c r="N318" i="12" a="1"/>
  <c r="N318" i="12" s="1"/>
  <c r="N159" i="12" a="1"/>
  <c r="N159" i="12" s="1"/>
  <c r="N130" i="12" a="1"/>
  <c r="N130" i="12" s="1"/>
  <c r="N423" i="12" a="1"/>
  <c r="N423" i="12" s="1"/>
  <c r="N101" i="12" a="1"/>
  <c r="N101" i="12" s="1"/>
  <c r="N371" i="12" a="1"/>
  <c r="N371" i="12" s="1"/>
  <c r="N143" i="12" a="1"/>
  <c r="N143" i="12" s="1"/>
  <c r="N244" i="12" a="1"/>
  <c r="N244" i="12" s="1"/>
  <c r="N285" i="12" a="1"/>
  <c r="N285" i="12" s="1"/>
  <c r="N147" i="12" a="1"/>
  <c r="N147" i="12" s="1"/>
  <c r="N286" i="12" a="1"/>
  <c r="N286" i="12" s="1"/>
  <c r="N381" i="12" a="1"/>
  <c r="N381" i="12" s="1"/>
  <c r="N35" i="12" a="1"/>
  <c r="N35" i="12" s="1"/>
  <c r="N287" i="12" a="1"/>
  <c r="N287" i="12" s="1"/>
  <c r="N293" i="12" a="1"/>
  <c r="N293" i="12" s="1"/>
  <c r="N193" i="12" a="1"/>
  <c r="N193" i="12" s="1"/>
  <c r="N395" i="12" a="1"/>
  <c r="N395" i="12" s="1"/>
  <c r="N135" i="12" a="1"/>
  <c r="N135" i="12" s="1"/>
  <c r="N342" i="12" a="1"/>
  <c r="N342" i="12" s="1"/>
  <c r="N157" i="12" a="1"/>
  <c r="N157" i="12" s="1"/>
  <c r="N34" i="12" a="1"/>
  <c r="N34" i="12" s="1"/>
  <c r="N302" i="12" a="1"/>
  <c r="N302" i="12" s="1"/>
  <c r="N294" i="12" a="1"/>
  <c r="N294" i="12" s="1"/>
  <c r="N102" i="12" a="1"/>
  <c r="N102" i="12" s="1"/>
  <c r="N307" i="12" a="1"/>
  <c r="N307" i="12" s="1"/>
  <c r="N106" i="12" a="1"/>
  <c r="N106" i="12" s="1"/>
  <c r="N72" i="12" a="1"/>
  <c r="N72" i="12" s="1"/>
  <c r="N490" i="12" a="1"/>
  <c r="N490" i="12" s="1"/>
  <c r="N203" i="12" a="1"/>
  <c r="N203" i="12" s="1"/>
  <c r="N309" i="12" a="1"/>
  <c r="N309" i="12" s="1"/>
  <c r="N141" i="12" a="1"/>
  <c r="N141" i="12" s="1"/>
  <c r="N251" i="12" a="1"/>
  <c r="N251" i="12" s="1"/>
  <c r="N73" i="12" a="1"/>
  <c r="N73" i="12" s="1"/>
  <c r="N491" i="12" a="1"/>
  <c r="N491" i="12" s="1"/>
  <c r="N252" i="12" a="1"/>
  <c r="N252" i="12" s="1"/>
  <c r="N74" i="12" a="1"/>
  <c r="N74" i="12" s="1"/>
  <c r="N492" i="12" a="1"/>
  <c r="N492" i="12" s="1"/>
  <c r="N218" i="12" a="1"/>
  <c r="N218" i="12" s="1"/>
  <c r="N67" i="12" a="1"/>
  <c r="N67" i="12" s="1"/>
  <c r="N419" i="12" a="1"/>
  <c r="N419" i="12" s="1"/>
  <c r="N180" i="12" a="1"/>
  <c r="N180" i="12" s="1"/>
  <c r="N255" i="12" a="1"/>
  <c r="N255" i="12" s="1"/>
  <c r="N75" i="12" a="1"/>
  <c r="N75" i="12" s="1"/>
  <c r="N125" i="12" a="1"/>
  <c r="N125" i="12" s="1"/>
  <c r="N231" i="12" a="1"/>
  <c r="N231" i="12" s="1"/>
  <c r="N310" i="12" a="1"/>
  <c r="N310" i="12" s="1"/>
  <c r="N53" i="12" a="1"/>
  <c r="N53" i="12" s="1"/>
  <c r="N272" i="12" a="1"/>
  <c r="N272" i="12" s="1"/>
  <c r="N176" i="12" a="1"/>
  <c r="N176" i="12" s="1"/>
  <c r="N214" i="12" a="1"/>
  <c r="N214" i="12" s="1"/>
  <c r="N215" i="12" a="1"/>
  <c r="N215" i="12" s="1"/>
  <c r="N316" i="12" a="1"/>
  <c r="N316" i="12" s="1"/>
  <c r="N435" i="12" a="1"/>
  <c r="N435" i="12" s="1"/>
  <c r="N164" i="12" a="1"/>
  <c r="N164" i="12" s="1"/>
  <c r="N321" i="12" a="1"/>
  <c r="N321" i="12" s="1"/>
  <c r="N155" i="12" a="1"/>
  <c r="N155" i="12" s="1"/>
  <c r="N324" i="12" a="1"/>
  <c r="N324" i="12" s="1"/>
  <c r="N448" i="12" a="1"/>
  <c r="N448" i="12" s="1"/>
  <c r="N199" i="12" a="1"/>
  <c r="N199" i="12" s="1"/>
  <c r="N192" i="12" a="1"/>
  <c r="N192" i="12" s="1"/>
  <c r="N76" i="12" a="1"/>
  <c r="N76" i="12" s="1"/>
  <c r="N493" i="12" a="1"/>
  <c r="N493" i="12" s="1"/>
  <c r="N204" i="12" a="1"/>
  <c r="N204" i="12" s="1"/>
  <c r="N325" i="12" a="1"/>
  <c r="N325" i="12" s="1"/>
  <c r="N55" i="12" a="1"/>
  <c r="N55" i="12" s="1"/>
  <c r="N327" i="12" a="1"/>
  <c r="N327" i="12" s="1"/>
  <c r="N323" i="12" a="1"/>
  <c r="N323" i="12" s="1"/>
  <c r="N150" i="12" a="1"/>
  <c r="N150" i="12" s="1"/>
  <c r="N328" i="12" a="1"/>
  <c r="N328" i="12" s="1"/>
  <c r="N264" i="12" a="1"/>
  <c r="N264" i="12" s="1"/>
  <c r="N292" i="12" a="1"/>
  <c r="N292" i="12" s="1"/>
  <c r="N77" i="12" a="1"/>
  <c r="N77" i="12" s="1"/>
  <c r="N331" i="12" a="1"/>
  <c r="N331" i="12" s="1"/>
  <c r="N314" i="12" a="1"/>
  <c r="N314" i="12" s="1"/>
  <c r="N17" i="12" a="1"/>
  <c r="N17" i="12" s="1"/>
  <c r="N333" i="12" a="1"/>
  <c r="N333" i="12" s="1"/>
  <c r="N78" i="12" a="1"/>
  <c r="N78" i="12" s="1"/>
  <c r="N494" i="12" a="1"/>
  <c r="N494" i="12" s="1"/>
  <c r="N341" i="12" a="1"/>
  <c r="N341" i="12" s="1"/>
  <c r="N79" i="12" a="1"/>
  <c r="N79" i="12" s="1"/>
  <c r="N495" i="12" a="1"/>
  <c r="N495" i="12" s="1"/>
  <c r="N434" i="12" a="1"/>
  <c r="N434" i="12" s="1"/>
  <c r="N113" i="12" a="1"/>
  <c r="N113" i="12" s="1"/>
  <c r="N334" i="12" a="1"/>
  <c r="N334" i="12" s="1"/>
  <c r="N335" i="12" a="1"/>
  <c r="N335" i="12" s="1"/>
  <c r="N120" i="12" a="1"/>
  <c r="N120" i="12" s="1"/>
  <c r="N351" i="12" a="1"/>
  <c r="N351" i="12" s="1"/>
  <c r="N344" i="12" a="1"/>
  <c r="N344" i="12" s="1"/>
  <c r="N158" i="12" a="1"/>
  <c r="N158" i="12" s="1"/>
  <c r="N345" i="12" a="1"/>
  <c r="N345" i="12" s="1"/>
  <c r="N131" i="12" a="1"/>
  <c r="N131" i="12" s="1"/>
  <c r="N80" i="12" a="1"/>
  <c r="N80" i="12" s="1"/>
  <c r="N496" i="12" a="1"/>
  <c r="N496" i="12" s="1"/>
  <c r="N422" i="12" a="1"/>
  <c r="N422" i="12" s="1"/>
  <c r="N393" i="12" a="1"/>
  <c r="N393" i="12" s="1"/>
  <c r="N366" i="12" a="1"/>
  <c r="N366" i="12" s="1"/>
  <c r="N46" i="12" a="1"/>
  <c r="N46" i="12" s="1"/>
  <c r="N81" i="12" a="1"/>
  <c r="N81" i="12" s="1"/>
  <c r="N497" i="12" a="1"/>
  <c r="N497" i="12" s="1"/>
  <c r="N206" i="12" a="1"/>
  <c r="N206" i="12" s="1"/>
  <c r="N347" i="12" a="1"/>
  <c r="N347" i="12" s="1"/>
  <c r="N25" i="12" a="1"/>
  <c r="N25" i="12" s="1"/>
  <c r="N348" i="12" a="1"/>
  <c r="N348" i="12" s="1"/>
  <c r="N425" i="12" a="1"/>
  <c r="N425" i="12" s="1"/>
  <c r="N378" i="12" a="1"/>
  <c r="N378" i="12" s="1"/>
  <c r="N145" i="12" a="1"/>
  <c r="N145" i="12" s="1"/>
  <c r="N350" i="12" a="1"/>
  <c r="N350" i="12" s="1"/>
  <c r="N47" i="12" a="1"/>
  <c r="N47" i="12" s="1"/>
  <c r="N406" i="12" a="1"/>
  <c r="N406" i="12" s="1"/>
  <c r="N198" i="12" a="1"/>
  <c r="N198" i="12" s="1"/>
  <c r="N304" i="12" a="1"/>
  <c r="N304" i="12" s="1"/>
  <c r="N29" i="12" a="1"/>
  <c r="N29" i="12" s="1"/>
  <c r="N352" i="12" a="1"/>
  <c r="N352" i="12" s="1"/>
  <c r="N167" i="12" a="1"/>
  <c r="N167" i="12" s="1"/>
  <c r="N357" i="12" a="1"/>
  <c r="N357" i="12" s="1"/>
  <c r="N48" i="12" a="1"/>
  <c r="N48" i="12" s="1"/>
  <c r="N379" i="12" a="1"/>
  <c r="N379" i="12" s="1"/>
  <c r="N82" i="12" a="1"/>
  <c r="N82" i="12" s="1"/>
  <c r="N498" i="12" a="1"/>
  <c r="N498" i="12" s="1"/>
  <c r="N358" i="12" a="1"/>
  <c r="N358" i="12" s="1"/>
  <c r="N297" i="12" a="1"/>
  <c r="N297" i="12" s="1"/>
  <c r="N49" i="12" a="1"/>
  <c r="N49" i="12" s="1"/>
  <c r="N361" i="12" a="1"/>
  <c r="N361" i="12" s="1"/>
  <c r="N439" i="12" a="1"/>
  <c r="N439" i="12" s="1"/>
  <c r="N66" i="12" a="1"/>
  <c r="N66" i="12" s="1"/>
  <c r="N446" i="12" a="1"/>
  <c r="N446" i="12" s="1"/>
  <c r="N387" i="12" a="1"/>
  <c r="N387" i="12" s="1"/>
  <c r="N322" i="12" a="1"/>
  <c r="N322" i="12" s="1"/>
  <c r="N118" i="12" a="1"/>
  <c r="N118" i="12" s="1"/>
  <c r="N367" i="12" a="1"/>
  <c r="N367" i="12" s="1"/>
  <c r="N368" i="12" a="1"/>
  <c r="N368" i="12" s="1"/>
  <c r="N473" i="12" a="1"/>
  <c r="N473" i="12" s="1"/>
  <c r="N83" i="12" a="1"/>
  <c r="N83" i="12" s="1"/>
  <c r="N499" i="12" a="1"/>
  <c r="N499" i="12" s="1"/>
  <c r="N288" i="12" a="1"/>
  <c r="N288" i="12" s="1"/>
  <c r="N370" i="12" a="1"/>
  <c r="N370" i="12" s="1"/>
  <c r="N133" i="12" a="1"/>
  <c r="N133" i="12" s="1"/>
  <c r="N84" i="12" a="1"/>
  <c r="N84" i="12" s="1"/>
  <c r="N500" i="12" a="1"/>
  <c r="N500" i="12" s="1"/>
  <c r="N207" i="12" a="1"/>
  <c r="N207" i="12" s="1"/>
  <c r="N259" i="12" a="1"/>
  <c r="N259" i="12" s="1"/>
  <c r="N236" i="12" a="1"/>
  <c r="N236" i="12" s="1"/>
  <c r="N156" i="12" a="1"/>
  <c r="N156" i="12" s="1"/>
  <c r="N377" i="12" a="1"/>
  <c r="N377" i="12" s="1"/>
  <c r="N374" i="12" a="1"/>
  <c r="N374" i="12" s="1"/>
  <c r="N363" i="12" a="1"/>
  <c r="N363" i="12" s="1"/>
  <c r="N229" i="12" a="1"/>
  <c r="N229" i="12" s="1"/>
  <c r="N217" i="12" a="1"/>
  <c r="N217" i="12" s="1"/>
  <c r="N121" i="12" a="1"/>
  <c r="N121" i="12" s="1"/>
  <c r="N383" i="12" a="1"/>
  <c r="N383" i="12" s="1"/>
  <c r="N117" i="12" a="1"/>
  <c r="N117" i="12" s="1"/>
  <c r="N479" i="12" a="1"/>
  <c r="N479" i="12" s="1"/>
  <c r="N136" i="12" a="1"/>
  <c r="N136" i="12" s="1"/>
  <c r="N267" i="12" a="1"/>
  <c r="N267" i="12" s="1"/>
  <c r="N139" i="12" a="1"/>
  <c r="N139" i="12" s="1"/>
  <c r="N469" i="12" a="1"/>
  <c r="N469" i="12" s="1"/>
  <c r="N50" i="12" a="1"/>
  <c r="N50" i="12" s="1"/>
  <c r="N437" i="12" a="1"/>
  <c r="N437" i="12" s="1"/>
  <c r="N408" i="12" a="1"/>
  <c r="N408" i="12" s="1"/>
  <c r="N189" i="12" a="1"/>
  <c r="N189" i="12" s="1"/>
  <c r="N349" i="12" a="1"/>
  <c r="N349" i="12" s="1"/>
  <c r="N225" i="12" a="1"/>
  <c r="N225" i="12" s="1"/>
  <c r="N386" i="12" a="1"/>
  <c r="N386" i="12" s="1"/>
  <c r="N37" i="12" a="1"/>
  <c r="N37" i="12" s="1"/>
  <c r="N394" i="12" a="1"/>
  <c r="N394" i="12" s="1"/>
  <c r="N85" i="12" a="1"/>
  <c r="N85" i="12" s="1"/>
  <c r="N501" i="12" a="1"/>
  <c r="N501" i="12" s="1"/>
  <c r="N299" i="12" a="1"/>
  <c r="N299" i="12" s="1"/>
  <c r="N223" i="12" a="1"/>
  <c r="N223" i="12" s="1"/>
  <c r="N144" i="12" a="1"/>
  <c r="N144" i="12" s="1"/>
  <c r="N390" i="12" a="1"/>
  <c r="N390" i="12" s="1"/>
  <c r="N195" i="12" a="1"/>
  <c r="N195" i="12" s="1"/>
  <c r="N174" i="12" a="1"/>
  <c r="N174" i="12" s="1"/>
  <c r="N397" i="12" a="1"/>
  <c r="N397" i="12" s="1"/>
  <c r="N86" i="12" a="1"/>
  <c r="N86" i="12" s="1"/>
  <c r="N502" i="12" a="1"/>
  <c r="N502" i="12" s="1"/>
  <c r="N400" i="12" a="1"/>
  <c r="N400" i="12" s="1"/>
  <c r="N87" i="12" a="1"/>
  <c r="N87" i="12" s="1"/>
  <c r="N503" i="12" a="1"/>
  <c r="N503" i="12" s="1"/>
  <c r="N518" i="12" a="1"/>
  <c r="N518" i="12" s="1"/>
  <c r="N51" i="12" a="1"/>
  <c r="N51" i="12" s="1"/>
  <c r="N401" i="12" a="1"/>
  <c r="N401" i="12" s="1"/>
  <c r="N165" i="12" a="1"/>
  <c r="N165" i="12" s="1"/>
  <c r="N260" i="12" a="1"/>
  <c r="N260" i="12" s="1"/>
  <c r="N329" i="12" a="1"/>
  <c r="N329" i="12" s="1"/>
  <c r="N129" i="12" a="1"/>
  <c r="N129" i="12" s="1"/>
  <c r="N354" i="12" a="1"/>
  <c r="N354" i="12" s="1"/>
  <c r="N269" i="12" a="1"/>
  <c r="N269" i="12" s="1"/>
  <c r="N18" i="12" a="1"/>
  <c r="N18" i="12" s="1"/>
  <c r="N403" i="12" a="1"/>
  <c r="N403" i="12" s="1"/>
  <c r="N65" i="12" a="1"/>
  <c r="N65" i="12" s="1"/>
  <c r="N402" i="12" a="1"/>
  <c r="N402" i="12" s="1"/>
  <c r="N88" i="12" a="1"/>
  <c r="N88" i="12" s="1"/>
  <c r="N504" i="12" a="1"/>
  <c r="N504" i="12" s="1"/>
  <c r="N201" i="12" a="1"/>
  <c r="N201" i="12" s="1"/>
  <c r="N405" i="12" a="1"/>
  <c r="N405" i="12" s="1"/>
  <c r="N27" i="12" a="1"/>
  <c r="N27" i="12" s="1"/>
  <c r="N409" i="12" a="1"/>
  <c r="N409" i="12" s="1"/>
  <c r="N149" i="12" a="1"/>
  <c r="N149" i="12" s="1"/>
  <c r="N289" i="12" a="1"/>
  <c r="N289" i="12" s="1"/>
  <c r="N410" i="12" a="1"/>
  <c r="N410" i="12" s="1"/>
  <c r="N19" i="12" a="1"/>
  <c r="N19" i="12" s="1"/>
  <c r="N261" i="12" a="1"/>
  <c r="N261" i="12" s="1"/>
  <c r="N465" i="12" a="1"/>
  <c r="N465" i="12" s="1"/>
  <c r="N280" i="12" a="1"/>
  <c r="N280" i="12" s="1"/>
  <c r="N415" i="12" a="1"/>
  <c r="N415" i="12" s="1"/>
  <c r="N52" i="12" a="1"/>
  <c r="N52" i="12" s="1"/>
  <c r="N447" i="12" a="1"/>
  <c r="N447" i="12" s="1"/>
  <c r="N38" i="12" a="1"/>
  <c r="N38" i="12" s="1"/>
  <c r="N413" i="12" a="1"/>
  <c r="N413" i="12" s="1"/>
  <c r="N107" i="12" a="1"/>
  <c r="N107" i="12" s="1"/>
  <c r="N417" i="12" a="1"/>
  <c r="N417" i="12" s="1"/>
  <c r="N61" i="12" a="1"/>
  <c r="N61" i="12" s="1"/>
  <c r="N315" i="12" a="1"/>
  <c r="N315" i="12" s="1"/>
  <c r="N181" i="12" a="1"/>
  <c r="N181" i="12" s="1"/>
  <c r="N290" i="12" a="1"/>
  <c r="N290" i="12" s="1"/>
  <c r="N418" i="12" a="1"/>
  <c r="N418" i="12" s="1"/>
  <c r="N420" i="12" a="1"/>
  <c r="N420" i="12" s="1"/>
  <c r="N40" i="12" a="1"/>
  <c r="N40" i="12" s="1"/>
  <c r="N421" i="12" a="1"/>
  <c r="N421" i="12" s="1"/>
  <c r="N191" i="12" a="1"/>
  <c r="N191" i="12" s="1"/>
  <c r="N343" i="12" a="1"/>
  <c r="N343" i="12" s="1"/>
  <c r="N173" i="12" a="1"/>
  <c r="N173" i="12" s="1"/>
  <c r="N427" i="12" a="1"/>
  <c r="N427" i="12" s="1"/>
  <c r="N330" i="12" a="1"/>
  <c r="N330" i="12" s="1"/>
  <c r="N62" i="12" a="1"/>
  <c r="N62" i="12" s="1"/>
  <c r="N365" i="12" a="1"/>
  <c r="N365" i="12" s="1"/>
  <c r="N13" i="12" a="1"/>
  <c r="N13" i="12" s="1"/>
  <c r="N429" i="12" a="1"/>
  <c r="N429" i="12" s="1"/>
  <c r="N428" i="12" a="1"/>
  <c r="N428" i="12" s="1"/>
  <c r="N99" i="12" a="1"/>
  <c r="N99" i="12" s="1"/>
  <c r="N424" i="12" a="1"/>
  <c r="N424" i="12" s="1"/>
  <c r="N89" i="12" a="1"/>
  <c r="N89" i="12" s="1"/>
  <c r="N505" i="12" a="1"/>
  <c r="N505" i="12" s="1"/>
  <c r="N431" i="12" a="1"/>
  <c r="N431" i="12" s="1"/>
  <c r="N391" i="12" a="1"/>
  <c r="N391" i="12" s="1"/>
  <c r="N232" i="12" a="1"/>
  <c r="N232" i="12" s="1"/>
  <c r="N90" i="12" a="1"/>
  <c r="N90" i="12" s="1"/>
  <c r="N253" i="12" a="1"/>
  <c r="N253" i="12" s="1"/>
  <c r="N266" i="12" a="1"/>
  <c r="N266" i="12" s="1"/>
  <c r="N196" i="12" a="1"/>
  <c r="N196" i="12" s="1"/>
  <c r="N433" i="12" a="1"/>
  <c r="N433" i="12" s="1"/>
  <c r="N54" i="12" a="1"/>
  <c r="N54" i="12" s="1"/>
  <c r="N440" i="12" a="1"/>
  <c r="N440" i="12" s="1"/>
  <c r="N404" i="12" a="1"/>
  <c r="N404" i="12" s="1"/>
  <c r="N436" i="12" a="1"/>
  <c r="N436" i="12" s="1"/>
  <c r="N311" i="12" a="1"/>
  <c r="N311" i="12" s="1"/>
  <c r="N160" i="12" a="1"/>
  <c r="N160" i="12" s="1"/>
  <c r="N372" i="12" a="1"/>
  <c r="N372" i="12" s="1"/>
  <c r="N108" i="12" a="1"/>
  <c r="N108" i="12" s="1"/>
  <c r="N454" i="12" a="1"/>
  <c r="N454" i="12" s="1"/>
  <c r="N449" i="12" a="1"/>
  <c r="N449" i="12" s="1"/>
  <c r="N224" i="12" a="1"/>
  <c r="N224" i="12" s="1"/>
  <c r="N30" i="12" a="1"/>
  <c r="N30" i="12" s="1"/>
  <c r="N443" i="12" a="1"/>
  <c r="N443" i="12" s="1"/>
  <c r="N441" i="12" a="1"/>
  <c r="N441" i="12" s="1"/>
  <c r="N326" i="12" a="1"/>
  <c r="N326" i="12" s="1"/>
  <c r="N216" i="12" a="1"/>
  <c r="N216" i="12" s="1"/>
  <c r="N444" i="12" a="1"/>
  <c r="N444" i="12" s="1"/>
  <c r="N373" i="12" a="1"/>
  <c r="N373" i="12" s="1"/>
  <c r="N123" i="12" a="1"/>
  <c r="N123" i="12" s="1"/>
  <c r="N20" i="12" a="1"/>
  <c r="N20" i="12" s="1"/>
  <c r="N450" i="12" a="1"/>
  <c r="N450" i="12" s="1"/>
  <c r="N171" i="12" a="1"/>
  <c r="N171" i="12" s="1"/>
  <c r="N270" i="12" a="1"/>
  <c r="N270" i="12" s="1"/>
  <c r="N14" i="12" a="1"/>
  <c r="N14" i="12" s="1"/>
  <c r="N263" i="12" a="1"/>
  <c r="N263" i="12" s="1"/>
  <c r="N12" i="12" a="1"/>
  <c r="N12" i="12" s="1"/>
  <c r="N319" i="12" a="1"/>
  <c r="N319" i="12" s="1"/>
  <c r="N103" i="12" a="1"/>
  <c r="N103" i="12" s="1"/>
  <c r="N265" i="12" a="1"/>
  <c r="N265" i="12" s="1"/>
  <c r="N32" i="12" a="1"/>
  <c r="N32" i="12" s="1"/>
  <c r="N301" i="12" a="1"/>
  <c r="N301" i="12" s="1"/>
  <c r="N9" i="12" a="1"/>
  <c r="N9" i="12" s="1"/>
  <c r="N91" i="12" a="1"/>
  <c r="N91" i="12" s="1"/>
  <c r="N506" i="12" a="1"/>
  <c r="N506" i="12" s="1"/>
  <c r="N208" i="12" a="1"/>
  <c r="N208" i="12" s="1"/>
  <c r="N457" i="12" a="1"/>
  <c r="N457" i="12" s="1"/>
  <c r="N92" i="12" a="1"/>
  <c r="N92" i="12" s="1"/>
  <c r="N507" i="12" a="1"/>
  <c r="N507" i="12" s="1"/>
  <c r="N346" i="12" a="1"/>
  <c r="N346" i="12" s="1"/>
  <c r="N162" i="12" a="1"/>
  <c r="N162" i="12" s="1"/>
  <c r="N416" i="12" a="1"/>
  <c r="N416" i="12" s="1"/>
  <c r="N456" i="12" a="1"/>
  <c r="N456" i="12" s="1"/>
  <c r="N281" i="12" a="1"/>
  <c r="N281" i="12" s="1"/>
  <c r="N114" i="12" a="1"/>
  <c r="N114" i="12" s="1"/>
  <c r="N226" i="12" a="1"/>
  <c r="N226" i="12" s="1"/>
  <c r="N161" i="12" a="1"/>
  <c r="N161" i="12" s="1"/>
  <c r="N463" i="12" a="1"/>
  <c r="N463" i="12" s="1"/>
  <c r="N458" i="12" a="1"/>
  <c r="N458" i="12" s="1"/>
  <c r="N183" i="12" a="1"/>
  <c r="N183" i="12" s="1"/>
  <c r="N93" i="12" a="1"/>
  <c r="N93" i="12" s="1"/>
  <c r="N508" i="12" a="1"/>
  <c r="N508" i="12" s="1"/>
  <c r="N209" i="12" a="1"/>
  <c r="N209" i="12" s="1"/>
  <c r="N460" i="12" a="1"/>
  <c r="N460" i="12" s="1"/>
  <c r="N256" i="12" a="1"/>
  <c r="N256" i="12" s="1"/>
  <c r="N257" i="12" a="1"/>
  <c r="N257" i="12" s="1"/>
  <c r="N234" i="12" a="1"/>
  <c r="N234" i="12" s="1"/>
  <c r="N100" i="12" a="1"/>
  <c r="N100" i="12" s="1"/>
  <c r="N296" i="12" a="1"/>
  <c r="N296" i="12" s="1"/>
  <c r="N470" i="12" a="1"/>
  <c r="N470" i="12" s="1"/>
  <c r="N21" i="12" a="1"/>
  <c r="N21" i="12" s="1"/>
  <c r="N291" i="12" a="1"/>
  <c r="N291" i="12" s="1"/>
  <c r="N22" i="12" a="1"/>
  <c r="N22" i="12" s="1"/>
  <c r="N31" i="12" a="1"/>
  <c r="N31" i="12" s="1"/>
  <c r="N472" i="12" a="1"/>
  <c r="N472" i="12" s="1"/>
  <c r="N23" i="12" a="1"/>
  <c r="N23" i="12" s="1"/>
  <c r="N197" i="12" a="1"/>
  <c r="N197" i="12" s="1"/>
  <c r="N332" i="12" a="1"/>
  <c r="N332" i="12" s="1"/>
  <c r="N112" i="12" a="1"/>
  <c r="N112" i="12" s="1"/>
  <c r="N376" i="12" a="1"/>
  <c r="N376" i="12" s="1"/>
  <c r="N115" i="12" a="1"/>
  <c r="N115" i="12" s="1"/>
  <c r="N375" i="12" a="1"/>
  <c r="N375" i="12" s="1"/>
  <c r="N273" i="12" a="1"/>
  <c r="N273" i="12" s="1"/>
  <c r="N274" i="12" a="1"/>
  <c r="N274" i="12" s="1"/>
  <c r="N474" i="12" a="1"/>
  <c r="N474" i="12" s="1"/>
  <c r="N438" i="12" a="1"/>
  <c r="N438" i="12" s="1"/>
  <c r="N166" i="12" a="1"/>
  <c r="N166" i="12" s="1"/>
  <c r="N476" i="12" a="1"/>
  <c r="N476" i="12" s="1"/>
  <c r="N28" i="12" a="1"/>
  <c r="N28" i="12" s="1"/>
  <c r="N338" i="12" a="1"/>
  <c r="N338" i="12" s="1"/>
  <c r="N110" i="12" a="1"/>
  <c r="N110" i="12" s="1"/>
  <c r="N455" i="12" a="1"/>
  <c r="N455" i="12" s="1"/>
  <c r="N468" i="12" a="1"/>
  <c r="N468" i="12" s="1"/>
  <c r="N228" i="12" a="1"/>
  <c r="N228" i="12" s="1"/>
  <c r="N230" i="12" a="1"/>
  <c r="N230" i="12" s="1"/>
  <c r="N56" i="12" a="1"/>
  <c r="N56" i="12" s="1"/>
  <c r="N477" i="12" a="1"/>
  <c r="N477" i="12" s="1"/>
  <c r="N94" i="12" a="1"/>
  <c r="N94" i="12" s="1"/>
  <c r="N509" i="12" a="1"/>
  <c r="N509" i="12" s="1"/>
  <c r="N478" i="12" a="1"/>
  <c r="N478" i="12" s="1"/>
  <c r="N95" i="12" a="1"/>
  <c r="N95" i="12" s="1"/>
  <c r="N510" i="12" a="1"/>
  <c r="N510" i="12" s="1"/>
  <c r="N481" i="12" a="1"/>
  <c r="N481" i="12" s="1"/>
  <c r="N320" i="12" a="1"/>
  <c r="N320" i="12" s="1"/>
  <c r="N57" i="12" a="1"/>
  <c r="N57" i="12" s="1"/>
  <c r="N339" i="12" a="1"/>
  <c r="N339" i="12" s="1"/>
  <c r="N24" i="12" a="1"/>
  <c r="N24" i="12" s="1"/>
  <c r="N355" i="12" a="1"/>
  <c r="N355" i="12" s="1"/>
  <c r="N482" i="12" a="1"/>
  <c r="N482" i="12" s="1"/>
  <c r="N111" i="12" a="1"/>
  <c r="N111" i="12" s="1"/>
  <c r="N430" i="12" a="1"/>
  <c r="N430" i="12" s="1"/>
  <c r="N483" i="12" a="1"/>
  <c r="N483" i="12" s="1"/>
  <c r="N298" i="12" a="1"/>
  <c r="N298" i="12" s="1"/>
  <c r="N484" i="12" a="1"/>
  <c r="N484" i="12" s="1"/>
  <c r="N96" i="12" a="1"/>
  <c r="N96" i="12" s="1"/>
  <c r="N511" i="12" a="1"/>
  <c r="N511" i="12" s="1"/>
  <c r="N486" i="12" a="1"/>
  <c r="N486" i="12" s="1"/>
  <c r="N485" i="12" a="1"/>
  <c r="N485" i="12" s="1"/>
  <c r="N119" i="12" a="1"/>
  <c r="N119" i="12" s="1"/>
  <c r="N514" i="12" a="1"/>
  <c r="N514" i="12" s="1"/>
  <c r="N313" i="12" a="1"/>
  <c r="N313" i="12" s="1"/>
  <c r="N168" i="12" a="1"/>
  <c r="N168" i="12" s="1"/>
  <c r="N220" i="12" a="1"/>
  <c r="N220" i="12" s="1"/>
  <c r="N212" i="12" a="1"/>
  <c r="N212" i="12" s="1"/>
  <c r="N515" i="12" a="1"/>
  <c r="N515" i="12" s="1"/>
  <c r="N97" i="12" a="1"/>
  <c r="N97" i="12" s="1"/>
  <c r="N512" i="12" a="1"/>
  <c r="N512" i="12" s="1"/>
  <c r="N414" i="12" a="1"/>
  <c r="N414" i="12" s="1"/>
  <c r="N517" i="12" a="1"/>
  <c r="N517" i="12" s="1"/>
  <c r="N241" i="12" a="1"/>
  <c r="N241" i="12" s="1"/>
  <c r="N177" i="12" a="1"/>
  <c r="N177" i="12" s="1"/>
  <c r="N210" i="12" a="1"/>
  <c r="N210" i="12" s="1"/>
  <c r="N211" i="12" a="1"/>
  <c r="N211" i="12" s="1"/>
  <c r="N411" i="12" a="1"/>
  <c r="N411" i="12" s="1"/>
  <c r="N152" i="12" a="1"/>
  <c r="N152" i="12" s="1"/>
  <c r="N521" i="12" a="1"/>
  <c r="N521" i="12" s="1"/>
  <c r="N384" i="12" a="1"/>
  <c r="N384" i="12" s="1"/>
  <c r="N248" i="12" a="1"/>
  <c r="N248" i="12" s="1"/>
  <c r="N58" i="12" a="1"/>
  <c r="N58" i="12" s="1"/>
  <c r="N461" i="12" a="1"/>
  <c r="N461" i="12" s="1"/>
  <c r="N170" i="12" a="1"/>
  <c r="N170" i="12" s="1"/>
  <c r="N522" i="12" a="1"/>
  <c r="N522" i="12" s="1"/>
  <c r="N163" i="12" a="1"/>
  <c r="N163" i="12" s="1"/>
  <c r="N524" i="12" a="1"/>
  <c r="N524" i="12" s="1"/>
  <c r="N523" i="12" a="1"/>
  <c r="N523" i="12" s="1"/>
  <c r="N59" i="12" a="1"/>
  <c r="N59" i="12" s="1"/>
  <c r="N525" i="12" a="1"/>
  <c r="N525" i="12" s="1"/>
  <c r="N516" i="12" a="1"/>
  <c r="N516" i="12" s="1"/>
  <c r="N359" i="12" a="1"/>
  <c r="N359" i="12" s="1"/>
  <c r="N148" i="12" a="1"/>
  <c r="N148" i="12" s="1"/>
  <c r="N360" i="12" a="1"/>
  <c r="N360" i="12" s="1"/>
  <c r="N526" i="12" a="1"/>
  <c r="N526" i="12" s="1"/>
  <c r="N467" i="12" a="1"/>
  <c r="N467" i="12" s="1"/>
  <c r="N105" i="12" a="1"/>
  <c r="N105" i="12" s="1"/>
  <c r="N464" i="12" a="1"/>
  <c r="N464" i="12" s="1"/>
  <c r="N26" i="12" a="1"/>
  <c r="N26" i="12" s="1"/>
  <c r="N529" i="12" a="1"/>
  <c r="N529" i="12" s="1"/>
  <c r="N412" i="12" a="1"/>
  <c r="N412" i="12" s="1"/>
  <c r="N63" i="12" a="1"/>
  <c r="N63" i="12" s="1"/>
  <c r="N340" i="12" a="1"/>
  <c r="N340" i="12" s="1"/>
  <c r="N520" i="12" a="1"/>
  <c r="N520" i="12" s="1"/>
  <c r="N39" i="12" a="1"/>
  <c r="N39" i="12" s="1"/>
  <c r="N356" i="12" a="1"/>
  <c r="N356" i="12" s="1"/>
  <c r="N532" i="12" a="1"/>
  <c r="N532" i="12" s="1"/>
  <c r="N480" i="12" a="1"/>
  <c r="N480" i="12" s="1"/>
  <c r="N442" i="12" a="1"/>
  <c r="N442" i="12" s="1"/>
  <c r="N275" i="12" a="1"/>
  <c r="N275" i="12" s="1"/>
  <c r="N64" i="12" a="1"/>
  <c r="N64" i="12" s="1"/>
  <c r="N445" i="12" a="1"/>
  <c r="N445" i="12" s="1"/>
  <c r="N535" i="12" a="1"/>
  <c r="N535" i="12" s="1"/>
  <c r="N262" i="12" a="1"/>
  <c r="N262" i="12" s="1"/>
  <c r="N188" i="12" a="1"/>
  <c r="N188" i="12" s="1"/>
  <c r="N98" i="12" a="1"/>
  <c r="N98" i="12" s="1"/>
  <c r="N336" i="12" a="1"/>
  <c r="N336" i="12" s="1"/>
  <c r="N190" i="12" a="1"/>
  <c r="N190" i="12" s="1"/>
  <c r="N538" i="12" a="1"/>
  <c r="N538" i="12" s="1"/>
  <c r="N305" i="12" a="1"/>
  <c r="N305" i="12" s="1"/>
  <c r="N128" i="12" a="1"/>
  <c r="N128" i="12" s="1"/>
  <c r="N36" i="12" a="1"/>
  <c r="N36" i="12" s="1"/>
  <c r="N466" i="12" a="1"/>
  <c r="N466" i="12" s="1"/>
  <c r="N540" i="12" a="1"/>
  <c r="N540" i="12" s="1"/>
  <c r="N179" i="12" a="1"/>
  <c r="N179" i="12" s="1"/>
  <c r="N385" i="12" a="1"/>
  <c r="N385" i="12" s="1"/>
  <c r="N200" i="12" a="1"/>
  <c r="N200" i="12" s="1"/>
  <c r="N543" i="12" a="1"/>
  <c r="N543" i="12" s="1"/>
  <c r="N542" i="12" a="1"/>
  <c r="N542" i="12" s="1"/>
  <c r="N300" i="12" a="1"/>
  <c r="N300" i="12" s="1"/>
  <c r="N60" i="12" a="1"/>
  <c r="N60" i="12" s="1"/>
  <c r="N475" i="12" a="1"/>
  <c r="N475" i="12" s="1"/>
  <c r="N396" i="12" a="1"/>
  <c r="N396" i="12" s="1"/>
  <c r="N187" i="12" a="1"/>
  <c r="N187" i="12" s="1"/>
  <c r="N462" i="12" a="1"/>
  <c r="N462" i="12" s="1"/>
  <c r="N249" i="12" a="1"/>
  <c r="N249" i="12" s="1"/>
  <c r="N116" i="12" a="1"/>
  <c r="N116" i="12" s="1"/>
  <c r="N10" i="12" a="1"/>
  <c r="N10" i="12" s="1"/>
  <c r="N337" i="12" a="1"/>
  <c r="N337" i="12" s="1"/>
  <c r="N137" i="12" a="1"/>
  <c r="N137" i="12" s="1"/>
  <c r="N528" i="12" a="1"/>
  <c r="N528" i="12" s="1"/>
  <c r="N353" i="12" a="1"/>
  <c r="N353" i="12" s="1"/>
  <c r="N169" i="12" a="1"/>
  <c r="N169" i="12" s="1"/>
  <c r="K134" i="12" a="1"/>
  <c r="K134" i="12" s="1"/>
  <c r="K182" i="12" a="1"/>
  <c r="K182" i="12" s="1"/>
  <c r="K41" i="12" a="1"/>
  <c r="K41" i="12" s="1"/>
  <c r="M41" i="12" s="1"/>
  <c r="K104" i="12" a="1"/>
  <c r="K104" i="12" s="1"/>
  <c r="K459" i="12" a="1"/>
  <c r="K459" i="12" s="1"/>
  <c r="K127" i="12" a="1"/>
  <c r="K127" i="12" s="1"/>
  <c r="K233" i="12" a="1"/>
  <c r="K233" i="12" s="1"/>
  <c r="K154" i="12" a="1"/>
  <c r="K154" i="12" s="1"/>
  <c r="K312" i="12" a="1"/>
  <c r="K312" i="12" s="1"/>
  <c r="K254" i="12" a="1"/>
  <c r="K254" i="12" s="1"/>
  <c r="K186" i="12" a="1"/>
  <c r="K186" i="12" s="1"/>
  <c r="K42" i="12" a="1"/>
  <c r="K42" i="12" s="1"/>
  <c r="K138" i="12" a="1"/>
  <c r="K138" i="12" s="1"/>
  <c r="K389" i="12" a="1"/>
  <c r="K389" i="12" s="1"/>
  <c r="K278" i="12" a="1"/>
  <c r="K278" i="12" s="1"/>
  <c r="M278" i="12" s="1"/>
  <c r="K132" i="12" a="1"/>
  <c r="K132" i="12" s="1"/>
  <c r="M132" i="12" s="1"/>
  <c r="K194" i="12" a="1"/>
  <c r="K194" i="12" s="1"/>
  <c r="K306" i="12" a="1"/>
  <c r="K306" i="12" s="1"/>
  <c r="K153" i="12" a="1"/>
  <c r="K153" i="12" s="1"/>
  <c r="K205" i="12" a="1"/>
  <c r="K205" i="12" s="1"/>
  <c r="K432" i="12" a="1"/>
  <c r="K432" i="12" s="1"/>
  <c r="K382" i="12" a="1"/>
  <c r="K382" i="12" s="1"/>
  <c r="K380" i="12" a="1"/>
  <c r="K380" i="12" s="1"/>
  <c r="M380" i="12" s="1"/>
  <c r="K282" i="12" a="1"/>
  <c r="K282" i="12" s="1"/>
  <c r="K122" i="12" a="1"/>
  <c r="K122" i="12" s="1"/>
  <c r="K213" i="12" a="1"/>
  <c r="K213" i="12" s="1"/>
  <c r="L213" i="12" s="1"/>
  <c r="M213" i="12" s="1"/>
  <c r="K68" i="12" a="1"/>
  <c r="K68" i="12" s="1"/>
  <c r="M68" i="12" s="1"/>
  <c r="K487" i="12" a="1"/>
  <c r="K487" i="12" s="1"/>
  <c r="M487" i="12" s="1"/>
  <c r="K221" i="12" a="1"/>
  <c r="K221" i="12" s="1"/>
  <c r="K142" i="12" a="1"/>
  <c r="K142" i="12" s="1"/>
  <c r="K222" i="12" a="1"/>
  <c r="K222" i="12" s="1"/>
  <c r="K109" i="12" a="1"/>
  <c r="K109" i="12" s="1"/>
  <c r="K295" i="12" a="1"/>
  <c r="K295" i="12" s="1"/>
  <c r="M295" i="12" s="1"/>
  <c r="K369" i="12" a="1"/>
  <c r="K369" i="12" s="1"/>
  <c r="M369" i="12" s="1"/>
  <c r="K140" i="12" a="1"/>
  <c r="K140" i="12" s="1"/>
  <c r="M140" i="12" s="1"/>
  <c r="K227" i="12" a="1"/>
  <c r="K227" i="12" s="1"/>
  <c r="K283" i="12" a="1"/>
  <c r="K283" i="12" s="1"/>
  <c r="M283" i="12" s="1"/>
  <c r="K45" i="12" a="1"/>
  <c r="K45" i="12" s="1"/>
  <c r="K258" i="12" a="1"/>
  <c r="K258" i="12" s="1"/>
  <c r="K235" i="12" a="1"/>
  <c r="K235" i="12" s="1"/>
  <c r="K16" i="12" a="1"/>
  <c r="K16" i="12" s="1"/>
  <c r="K398" i="12" a="1"/>
  <c r="K398" i="12" s="1"/>
  <c r="K43" i="12" a="1"/>
  <c r="K43" i="12" s="1"/>
  <c r="K237" i="12" a="1"/>
  <c r="K237" i="12" s="1"/>
  <c r="K69" i="12" a="1"/>
  <c r="K69" i="12" s="1"/>
  <c r="L69" i="12" s="1"/>
  <c r="K488" i="12" a="1"/>
  <c r="K488" i="12" s="1"/>
  <c r="K238" i="12" a="1"/>
  <c r="K238" i="12" s="1"/>
  <c r="K239" i="12" a="1"/>
  <c r="K239" i="12" s="1"/>
  <c r="K15" i="12" a="1"/>
  <c r="K15" i="12" s="1"/>
  <c r="K178" i="12" a="1"/>
  <c r="K178" i="12" s="1"/>
  <c r="K219" i="12" a="1"/>
  <c r="K219" i="12" s="1"/>
  <c r="K242" i="12" a="1"/>
  <c r="K242" i="12" s="1"/>
  <c r="K317" i="12" a="1"/>
  <c r="K317" i="12" s="1"/>
  <c r="K172" i="12" a="1"/>
  <c r="K172" i="12" s="1"/>
  <c r="K243" i="12" a="1"/>
  <c r="K243" i="12" s="1"/>
  <c r="K70" i="12" a="1"/>
  <c r="K70" i="12" s="1"/>
  <c r="M70" i="12" s="1"/>
  <c r="K245" i="12" a="1"/>
  <c r="K245" i="12" s="1"/>
  <c r="L245" i="12" s="1"/>
  <c r="M245" i="12" s="1"/>
  <c r="K303" i="12" a="1"/>
  <c r="K303" i="12" s="1"/>
  <c r="K151" i="12" a="1"/>
  <c r="K151" i="12" s="1"/>
  <c r="K124" i="12" a="1"/>
  <c r="K124" i="12" s="1"/>
  <c r="L124" i="12" s="1"/>
  <c r="K513" i="12" a="1"/>
  <c r="K513" i="12" s="1"/>
  <c r="L513" i="12" s="1"/>
  <c r="K426" i="12" a="1"/>
  <c r="K426" i="12" s="1"/>
  <c r="K240" i="12" a="1"/>
  <c r="K240" i="12" s="1"/>
  <c r="K44" i="12" a="1"/>
  <c r="K44" i="12" s="1"/>
  <c r="K250" i="12" a="1"/>
  <c r="K250" i="12" s="1"/>
  <c r="K11" i="12" a="1"/>
  <c r="K11" i="12" s="1"/>
  <c r="L11" i="12" s="1"/>
  <c r="M11" i="12" s="1"/>
  <c r="K71" i="12" a="1"/>
  <c r="K71" i="12" s="1"/>
  <c r="M71" i="12" s="1"/>
  <c r="K489" i="12" a="1"/>
  <c r="K489" i="12" s="1"/>
  <c r="M489" i="12" s="1"/>
  <c r="K202" i="12" a="1"/>
  <c r="K202" i="12" s="1"/>
  <c r="M202" i="12" s="1"/>
  <c r="K268" i="12" a="1"/>
  <c r="K268" i="12" s="1"/>
  <c r="K126" i="12" a="1"/>
  <c r="K126" i="12" s="1"/>
  <c r="K308" i="12" a="1"/>
  <c r="K308" i="12" s="1"/>
  <c r="K185" i="12" a="1"/>
  <c r="K185" i="12" s="1"/>
  <c r="K271" i="12" a="1"/>
  <c r="K271" i="12" s="1"/>
  <c r="K175" i="12" a="1"/>
  <c r="K175" i="12" s="1"/>
  <c r="K276" i="12" a="1"/>
  <c r="K276" i="12" s="1"/>
  <c r="K277" i="12" a="1"/>
  <c r="K277" i="12" s="1"/>
  <c r="K146" i="12" a="1"/>
  <c r="K146" i="12" s="1"/>
  <c r="K399" i="12" a="1"/>
  <c r="K399" i="12" s="1"/>
  <c r="K33" i="12" a="1"/>
  <c r="K33" i="12" s="1"/>
  <c r="K279" i="12" a="1"/>
  <c r="K279" i="12" s="1"/>
  <c r="K318" i="12" a="1"/>
  <c r="K318" i="12" s="1"/>
  <c r="K159" i="12" a="1"/>
  <c r="K159" i="12" s="1"/>
  <c r="K130" i="12" a="1"/>
  <c r="K130" i="12" s="1"/>
  <c r="K423" i="12" a="1"/>
  <c r="K423" i="12" s="1"/>
  <c r="K101" i="12" a="1"/>
  <c r="K101" i="12" s="1"/>
  <c r="K371" i="12" a="1"/>
  <c r="K371" i="12" s="1"/>
  <c r="K143" i="12" a="1"/>
  <c r="K143" i="12" s="1"/>
  <c r="K244" i="12" a="1"/>
  <c r="K244" i="12" s="1"/>
  <c r="K285" i="12" a="1"/>
  <c r="K285" i="12" s="1"/>
  <c r="K147" i="12" a="1"/>
  <c r="K147" i="12" s="1"/>
  <c r="K286" i="12" a="1"/>
  <c r="K286" i="12" s="1"/>
  <c r="K381" i="12" a="1"/>
  <c r="K381" i="12" s="1"/>
  <c r="K35" i="12" a="1"/>
  <c r="K35" i="12" s="1"/>
  <c r="K287" i="12" a="1"/>
  <c r="K287" i="12" s="1"/>
  <c r="K293" i="12" a="1"/>
  <c r="K293" i="12" s="1"/>
  <c r="K193" i="12" a="1"/>
  <c r="K193" i="12" s="1"/>
  <c r="K395" i="12" a="1"/>
  <c r="K395" i="12" s="1"/>
  <c r="K135" i="12" a="1"/>
  <c r="K135" i="12" s="1"/>
  <c r="M135" i="12" s="1"/>
  <c r="K342" i="12" a="1"/>
  <c r="K342" i="12" s="1"/>
  <c r="M342" i="12" s="1"/>
  <c r="K157" i="12" a="1"/>
  <c r="K157" i="12" s="1"/>
  <c r="K34" i="12" a="1"/>
  <c r="K34" i="12" s="1"/>
  <c r="K302" i="12" a="1"/>
  <c r="K302" i="12" s="1"/>
  <c r="K294" i="12" a="1"/>
  <c r="K294" i="12" s="1"/>
  <c r="K102" i="12" a="1"/>
  <c r="K102" i="12" s="1"/>
  <c r="K307" i="12" a="1"/>
  <c r="K307" i="12" s="1"/>
  <c r="K106" i="12" a="1"/>
  <c r="K106" i="12" s="1"/>
  <c r="K72" i="12" a="1"/>
  <c r="K72" i="12" s="1"/>
  <c r="M72" i="12" s="1"/>
  <c r="K490" i="12" a="1"/>
  <c r="K490" i="12" s="1"/>
  <c r="L490" i="12" s="1"/>
  <c r="K203" i="12" a="1"/>
  <c r="K203" i="12" s="1"/>
  <c r="M203" i="12" s="1"/>
  <c r="K309" i="12" a="1"/>
  <c r="K309" i="12" s="1"/>
  <c r="K141" i="12" a="1"/>
  <c r="K141" i="12" s="1"/>
  <c r="M141" i="12" s="1"/>
  <c r="K251" i="12" a="1"/>
  <c r="K251" i="12" s="1"/>
  <c r="K73" i="12" a="1"/>
  <c r="K73" i="12" s="1"/>
  <c r="M73" i="12" s="1"/>
  <c r="K491" i="12" a="1"/>
  <c r="K491" i="12" s="1"/>
  <c r="M491" i="12" s="1"/>
  <c r="K252" i="12" a="1"/>
  <c r="K252" i="12" s="1"/>
  <c r="M252" i="12" s="1"/>
  <c r="K74" i="12" a="1"/>
  <c r="K74" i="12" s="1"/>
  <c r="M74" i="12" s="1"/>
  <c r="K492" i="12" a="1"/>
  <c r="K492" i="12" s="1"/>
  <c r="M492" i="12" s="1"/>
  <c r="K218" i="12" a="1"/>
  <c r="K218" i="12" s="1"/>
  <c r="K67" i="12" a="1"/>
  <c r="K67" i="12" s="1"/>
  <c r="K419" i="12" a="1"/>
  <c r="K419" i="12" s="1"/>
  <c r="K180" i="12" a="1"/>
  <c r="K180" i="12" s="1"/>
  <c r="M180" i="12" s="1"/>
  <c r="K255" i="12" a="1"/>
  <c r="K255" i="12" s="1"/>
  <c r="K75" i="12" a="1"/>
  <c r="K75" i="12" s="1"/>
  <c r="M75" i="12" s="1"/>
  <c r="K125" i="12" a="1"/>
  <c r="K125" i="12" s="1"/>
  <c r="K231" i="12" a="1"/>
  <c r="K231" i="12" s="1"/>
  <c r="K310" i="12" a="1"/>
  <c r="K310" i="12" s="1"/>
  <c r="K53" i="12" a="1"/>
  <c r="K53" i="12" s="1"/>
  <c r="K272" i="12" a="1"/>
  <c r="K272" i="12" s="1"/>
  <c r="K176" i="12" a="1"/>
  <c r="K176" i="12" s="1"/>
  <c r="K214" i="12" a="1"/>
  <c r="K214" i="12" s="1"/>
  <c r="K215" i="12" a="1"/>
  <c r="K215" i="12" s="1"/>
  <c r="K316" i="12" a="1"/>
  <c r="K316" i="12" s="1"/>
  <c r="K435" i="12" a="1"/>
  <c r="K435" i="12" s="1"/>
  <c r="K164" i="12" a="1"/>
  <c r="K164" i="12" s="1"/>
  <c r="K321" i="12" a="1"/>
  <c r="K321" i="12" s="1"/>
  <c r="K155" i="12" a="1"/>
  <c r="K155" i="12" s="1"/>
  <c r="M155" i="12" s="1"/>
  <c r="K324" i="12" a="1"/>
  <c r="K324" i="12" s="1"/>
  <c r="L324" i="12" s="1"/>
  <c r="M324" i="12" s="1"/>
  <c r="K448" i="12" a="1"/>
  <c r="K448" i="12" s="1"/>
  <c r="K199" i="12" a="1"/>
  <c r="K199" i="12" s="1"/>
  <c r="K192" i="12" a="1"/>
  <c r="K192" i="12" s="1"/>
  <c r="K76" i="12" a="1"/>
  <c r="K76" i="12" s="1"/>
  <c r="M76" i="12" s="1"/>
  <c r="K493" i="12" a="1"/>
  <c r="K493" i="12" s="1"/>
  <c r="M493" i="12" s="1"/>
  <c r="K204" i="12" a="1"/>
  <c r="K204" i="12" s="1"/>
  <c r="M204" i="12" s="1"/>
  <c r="K325" i="12" a="1"/>
  <c r="K325" i="12" s="1"/>
  <c r="K55" i="12" a="1"/>
  <c r="K55" i="12" s="1"/>
  <c r="K327" i="12" a="1"/>
  <c r="K327" i="12" s="1"/>
  <c r="K323" i="12" a="1"/>
  <c r="K323" i="12" s="1"/>
  <c r="K150" i="12" a="1"/>
  <c r="K150" i="12" s="1"/>
  <c r="K328" i="12" a="1"/>
  <c r="K328" i="12" s="1"/>
  <c r="K264" i="12" a="1"/>
  <c r="K264" i="12" s="1"/>
  <c r="K292" i="12" a="1"/>
  <c r="K292" i="12" s="1"/>
  <c r="K77" i="12" a="1"/>
  <c r="K77" i="12" s="1"/>
  <c r="K331" i="12" a="1"/>
  <c r="K331" i="12" s="1"/>
  <c r="K314" i="12" a="1"/>
  <c r="K314" i="12" s="1"/>
  <c r="K17" i="12" a="1"/>
  <c r="K17" i="12" s="1"/>
  <c r="K333" i="12" a="1"/>
  <c r="K333" i="12" s="1"/>
  <c r="K78" i="12" a="1"/>
  <c r="K78" i="12" s="1"/>
  <c r="M78" i="12" s="1"/>
  <c r="K494" i="12" a="1"/>
  <c r="K494" i="12" s="1"/>
  <c r="M494" i="12" s="1"/>
  <c r="K341" i="12" a="1"/>
  <c r="K341" i="12" s="1"/>
  <c r="K79" i="12" a="1"/>
  <c r="K79" i="12" s="1"/>
  <c r="M79" i="12" s="1"/>
  <c r="K495" i="12" a="1"/>
  <c r="K495" i="12" s="1"/>
  <c r="M495" i="12" s="1"/>
  <c r="K434" i="12" a="1"/>
  <c r="K434" i="12" s="1"/>
  <c r="K113" i="12" a="1"/>
  <c r="K113" i="12" s="1"/>
  <c r="K334" i="12" a="1"/>
  <c r="K334" i="12" s="1"/>
  <c r="K335" i="12" a="1"/>
  <c r="K335" i="12" s="1"/>
  <c r="L335" i="12" s="1"/>
  <c r="K120" i="12" a="1"/>
  <c r="K120" i="12" s="1"/>
  <c r="K351" i="12" a="1"/>
  <c r="K351" i="12" s="1"/>
  <c r="K344" i="12" a="1"/>
  <c r="K344" i="12" s="1"/>
  <c r="K158" i="12" a="1"/>
  <c r="K158" i="12" s="1"/>
  <c r="L158" i="12" s="1"/>
  <c r="K345" i="12" a="1"/>
  <c r="K345" i="12" s="1"/>
  <c r="K131" i="12" a="1"/>
  <c r="K131" i="12" s="1"/>
  <c r="K80" i="12" a="1"/>
  <c r="K80" i="12" s="1"/>
  <c r="K496" i="12" a="1"/>
  <c r="K496" i="12" s="1"/>
  <c r="M496" i="12" s="1"/>
  <c r="K422" i="12" a="1"/>
  <c r="K422" i="12" s="1"/>
  <c r="M422" i="12" s="1"/>
  <c r="K393" i="12" a="1"/>
  <c r="K393" i="12" s="1"/>
  <c r="K366" i="12" a="1"/>
  <c r="K366" i="12" s="1"/>
  <c r="K46" i="12" a="1"/>
  <c r="K46" i="12" s="1"/>
  <c r="K81" i="12" a="1"/>
  <c r="K81" i="12" s="1"/>
  <c r="M81" i="12" s="1"/>
  <c r="K497" i="12" a="1"/>
  <c r="K497" i="12" s="1"/>
  <c r="M497" i="12" s="1"/>
  <c r="K206" i="12" a="1"/>
  <c r="K206" i="12" s="1"/>
  <c r="M206" i="12" s="1"/>
  <c r="K347" i="12" a="1"/>
  <c r="K347" i="12" s="1"/>
  <c r="K25" i="12" a="1"/>
  <c r="K25" i="12" s="1"/>
  <c r="K348" i="12" a="1"/>
  <c r="K348" i="12" s="1"/>
  <c r="K425" i="12" a="1"/>
  <c r="K425" i="12" s="1"/>
  <c r="K378" i="12" a="1"/>
  <c r="K378" i="12" s="1"/>
  <c r="K145" i="12" a="1"/>
  <c r="K145" i="12" s="1"/>
  <c r="K350" i="12" a="1"/>
  <c r="K350" i="12" s="1"/>
  <c r="K47" i="12" a="1"/>
  <c r="K47" i="12" s="1"/>
  <c r="K406" i="12" a="1"/>
  <c r="K406" i="12" s="1"/>
  <c r="K198" i="12" a="1"/>
  <c r="K198" i="12" s="1"/>
  <c r="K304" i="12" a="1"/>
  <c r="K304" i="12" s="1"/>
  <c r="K29" i="12" a="1"/>
  <c r="K29" i="12" s="1"/>
  <c r="K352" i="12" a="1"/>
  <c r="K352" i="12" s="1"/>
  <c r="K167" i="12" a="1"/>
  <c r="K167" i="12" s="1"/>
  <c r="K357" i="12" a="1"/>
  <c r="K357" i="12" s="1"/>
  <c r="K48" i="12" a="1"/>
  <c r="K48" i="12" s="1"/>
  <c r="K379" i="12" a="1"/>
  <c r="K379" i="12" s="1"/>
  <c r="K82" i="12" a="1"/>
  <c r="K82" i="12" s="1"/>
  <c r="M82" i="12" s="1"/>
  <c r="K498" i="12" a="1"/>
  <c r="K498" i="12" s="1"/>
  <c r="M498" i="12" s="1"/>
  <c r="K358" i="12" a="1"/>
  <c r="K358" i="12" s="1"/>
  <c r="K297" i="12" a="1"/>
  <c r="K297" i="12" s="1"/>
  <c r="K49" i="12" a="1"/>
  <c r="K49" i="12" s="1"/>
  <c r="K361" i="12" a="1"/>
  <c r="K361" i="12" s="1"/>
  <c r="K439" i="12" a="1"/>
  <c r="K439" i="12" s="1"/>
  <c r="K66" i="12" a="1"/>
  <c r="K66" i="12" s="1"/>
  <c r="K446" i="12" a="1"/>
  <c r="K446" i="12" s="1"/>
  <c r="M446" i="12" s="1"/>
  <c r="K387" i="12" a="1"/>
  <c r="K387" i="12" s="1"/>
  <c r="K322" i="12" a="1"/>
  <c r="K322" i="12" s="1"/>
  <c r="K118" i="12" a="1"/>
  <c r="K118" i="12" s="1"/>
  <c r="K367" i="12" a="1"/>
  <c r="K367" i="12" s="1"/>
  <c r="K368" i="12" a="1"/>
  <c r="K368" i="12" s="1"/>
  <c r="K473" i="12" a="1"/>
  <c r="K473" i="12" s="1"/>
  <c r="K83" i="12" a="1"/>
  <c r="K83" i="12" s="1"/>
  <c r="M83" i="12" s="1"/>
  <c r="K499" i="12" a="1"/>
  <c r="K499" i="12" s="1"/>
  <c r="M499" i="12" s="1"/>
  <c r="K288" i="12" a="1"/>
  <c r="K288" i="12" s="1"/>
  <c r="M288" i="12" s="1"/>
  <c r="K370" i="12" a="1"/>
  <c r="K370" i="12" s="1"/>
  <c r="K133" i="12" a="1"/>
  <c r="K133" i="12" s="1"/>
  <c r="L133" i="12" s="1"/>
  <c r="K84" i="12" a="1"/>
  <c r="K84" i="12" s="1"/>
  <c r="M84" i="12" s="1"/>
  <c r="K500" i="12" a="1"/>
  <c r="K500" i="12" s="1"/>
  <c r="K207" i="12" a="1"/>
  <c r="K207" i="12" s="1"/>
  <c r="L207" i="12" s="1"/>
  <c r="K259" i="12" a="1"/>
  <c r="K259" i="12" s="1"/>
  <c r="M259" i="12" s="1"/>
  <c r="K236" i="12" a="1"/>
  <c r="K236" i="12" s="1"/>
  <c r="L236" i="12" s="1"/>
  <c r="K156" i="12" a="1"/>
  <c r="K156" i="12" s="1"/>
  <c r="K377" i="12" a="1"/>
  <c r="K377" i="12" s="1"/>
  <c r="K374" i="12" a="1"/>
  <c r="K374" i="12" s="1"/>
  <c r="K363" i="12" a="1"/>
  <c r="K363" i="12" s="1"/>
  <c r="M363" i="12" s="1"/>
  <c r="K229" i="12" a="1"/>
  <c r="K229" i="12" s="1"/>
  <c r="K217" i="12" a="1"/>
  <c r="K217" i="12" s="1"/>
  <c r="K121" i="12" a="1"/>
  <c r="K121" i="12" s="1"/>
  <c r="K383" i="12" a="1"/>
  <c r="K383" i="12" s="1"/>
  <c r="K117" i="12" a="1"/>
  <c r="K117" i="12" s="1"/>
  <c r="K479" i="12" a="1"/>
  <c r="K479" i="12" s="1"/>
  <c r="M479" i="12" s="1"/>
  <c r="K136" i="12" a="1"/>
  <c r="K136" i="12" s="1"/>
  <c r="M136" i="12" s="1"/>
  <c r="K267" i="12" a="1"/>
  <c r="K267" i="12" s="1"/>
  <c r="K139" i="12" a="1"/>
  <c r="K139" i="12" s="1"/>
  <c r="L139" i="12" s="1"/>
  <c r="K469" i="12" a="1"/>
  <c r="K469" i="12" s="1"/>
  <c r="L469" i="12" s="1"/>
  <c r="K50" i="12" a="1"/>
  <c r="K50" i="12" s="1"/>
  <c r="K437" i="12" a="1"/>
  <c r="K437" i="12" s="1"/>
  <c r="K408" i="12" a="1"/>
  <c r="K408" i="12" s="1"/>
  <c r="K189" i="12" a="1"/>
  <c r="K189" i="12" s="1"/>
  <c r="K349" i="12" a="1"/>
  <c r="K349" i="12" s="1"/>
  <c r="K225" i="12" a="1"/>
  <c r="K225" i="12" s="1"/>
  <c r="K386" i="12" a="1"/>
  <c r="K386" i="12" s="1"/>
  <c r="L386" i="12" s="1"/>
  <c r="M386" i="12" s="1"/>
  <c r="K37" i="12" a="1"/>
  <c r="K37" i="12" s="1"/>
  <c r="K394" i="12" a="1"/>
  <c r="K394" i="12" s="1"/>
  <c r="K85" i="12" a="1"/>
  <c r="K85" i="12" s="1"/>
  <c r="M85" i="12" s="1"/>
  <c r="K501" i="12" a="1"/>
  <c r="K501" i="12" s="1"/>
  <c r="M501" i="12" s="1"/>
  <c r="K299" i="12" a="1"/>
  <c r="K299" i="12" s="1"/>
  <c r="K223" i="12" a="1"/>
  <c r="K223" i="12" s="1"/>
  <c r="M223" i="12" s="1"/>
  <c r="K144" i="12" a="1"/>
  <c r="K144" i="12" s="1"/>
  <c r="K390" i="12" a="1"/>
  <c r="K390" i="12" s="1"/>
  <c r="K195" i="12" a="1"/>
  <c r="K195" i="12" s="1"/>
  <c r="K174" i="12" a="1"/>
  <c r="K174" i="12" s="1"/>
  <c r="K397" i="12" a="1"/>
  <c r="K397" i="12" s="1"/>
  <c r="K86" i="12" a="1"/>
  <c r="K86" i="12" s="1"/>
  <c r="M86" i="12" s="1"/>
  <c r="K502" i="12" a="1"/>
  <c r="K502" i="12" s="1"/>
  <c r="M502" i="12" s="1"/>
  <c r="K400" i="12" a="1"/>
  <c r="K400" i="12" s="1"/>
  <c r="K87" i="12" a="1"/>
  <c r="K87" i="12" s="1"/>
  <c r="L87" i="12" s="1"/>
  <c r="K503" i="12" a="1"/>
  <c r="K503" i="12" s="1"/>
  <c r="K518" i="12" a="1"/>
  <c r="K518" i="12" s="1"/>
  <c r="K51" i="12" a="1"/>
  <c r="K51" i="12" s="1"/>
  <c r="K401" i="12" a="1"/>
  <c r="K401" i="12" s="1"/>
  <c r="K165" i="12" a="1"/>
  <c r="K165" i="12" s="1"/>
  <c r="K260" i="12" a="1"/>
  <c r="K260" i="12" s="1"/>
  <c r="M260" i="12" s="1"/>
  <c r="K329" i="12" a="1"/>
  <c r="K329" i="12" s="1"/>
  <c r="K129" i="12" a="1"/>
  <c r="K129" i="12" s="1"/>
  <c r="K354" i="12" a="1"/>
  <c r="K354" i="12" s="1"/>
  <c r="K269" i="12" a="1"/>
  <c r="K269" i="12" s="1"/>
  <c r="M269" i="12" s="1"/>
  <c r="K18" i="12" a="1"/>
  <c r="K18" i="12" s="1"/>
  <c r="K403" i="12" a="1"/>
  <c r="K403" i="12" s="1"/>
  <c r="K65" i="12" a="1"/>
  <c r="K65" i="12" s="1"/>
  <c r="K402" i="12" a="1"/>
  <c r="K402" i="12" s="1"/>
  <c r="L402" i="12" s="1"/>
  <c r="K88" i="12" a="1"/>
  <c r="K88" i="12" s="1"/>
  <c r="M88" i="12" s="1"/>
  <c r="K504" i="12" a="1"/>
  <c r="K504" i="12" s="1"/>
  <c r="M504" i="12" s="1"/>
  <c r="K201" i="12" a="1"/>
  <c r="K201" i="12" s="1"/>
  <c r="L201" i="12" s="1"/>
  <c r="M201" i="12" s="1"/>
  <c r="K405" i="12" a="1"/>
  <c r="K405" i="12" s="1"/>
  <c r="L405" i="12" s="1"/>
  <c r="M405" i="12" s="1"/>
  <c r="K27" i="12" a="1"/>
  <c r="K27" i="12" s="1"/>
  <c r="L27" i="12" s="1"/>
  <c r="M27" i="12" s="1"/>
  <c r="K409" i="12" a="1"/>
  <c r="K409" i="12" s="1"/>
  <c r="K149" i="12" a="1"/>
  <c r="K149" i="12" s="1"/>
  <c r="K289" i="12" a="1"/>
  <c r="K289" i="12" s="1"/>
  <c r="K410" i="12" a="1"/>
  <c r="K410" i="12" s="1"/>
  <c r="K19" i="12" a="1"/>
  <c r="K19" i="12" s="1"/>
  <c r="K261" i="12" a="1"/>
  <c r="K261" i="12" s="1"/>
  <c r="M261" i="12" s="1"/>
  <c r="K465" i="12" a="1"/>
  <c r="K465" i="12" s="1"/>
  <c r="K280" i="12" a="1"/>
  <c r="K280" i="12" s="1"/>
  <c r="K415" i="12" a="1"/>
  <c r="K415" i="12" s="1"/>
  <c r="M415" i="12" s="1"/>
  <c r="K52" i="12" a="1"/>
  <c r="K52" i="12" s="1"/>
  <c r="L52" i="12" s="1"/>
  <c r="K447" i="12" a="1"/>
  <c r="K447" i="12" s="1"/>
  <c r="K38" i="12" a="1"/>
  <c r="K38" i="12" s="1"/>
  <c r="K413" i="12" a="1"/>
  <c r="K413" i="12" s="1"/>
  <c r="K107" i="12" a="1"/>
  <c r="K107" i="12" s="1"/>
  <c r="M107" i="12" s="1"/>
  <c r="K417" i="12" a="1"/>
  <c r="K417" i="12" s="1"/>
  <c r="K61" i="12" a="1"/>
  <c r="K61" i="12" s="1"/>
  <c r="L61" i="12" s="1"/>
  <c r="M61" i="12" s="1"/>
  <c r="K315" i="12" a="1"/>
  <c r="K315" i="12" s="1"/>
  <c r="L315" i="12" s="1"/>
  <c r="K181" i="12" a="1"/>
  <c r="K181" i="12" s="1"/>
  <c r="K290" i="12" a="1"/>
  <c r="K290" i="12" s="1"/>
  <c r="M290" i="12" s="1"/>
  <c r="K418" i="12" a="1"/>
  <c r="K418" i="12" s="1"/>
  <c r="K420" i="12" a="1"/>
  <c r="K420" i="12" s="1"/>
  <c r="K40" i="12" a="1"/>
  <c r="K40" i="12" s="1"/>
  <c r="K421" i="12" a="1"/>
  <c r="K421" i="12" s="1"/>
  <c r="K191" i="12" a="1"/>
  <c r="K191" i="12" s="1"/>
  <c r="K343" i="12" a="1"/>
  <c r="K343" i="12" s="1"/>
  <c r="M343" i="12" s="1"/>
  <c r="K173" i="12" a="1"/>
  <c r="K173" i="12" s="1"/>
  <c r="K427" i="12" a="1"/>
  <c r="K427" i="12" s="1"/>
  <c r="K330" i="12" a="1"/>
  <c r="K330" i="12" s="1"/>
  <c r="K62" i="12" a="1"/>
  <c r="K62" i="12" s="1"/>
  <c r="K365" i="12" a="1"/>
  <c r="K365" i="12" s="1"/>
  <c r="K13" i="12" a="1"/>
  <c r="K13" i="12" s="1"/>
  <c r="M13" i="12" s="1"/>
  <c r="K429" i="12" a="1"/>
  <c r="K429" i="12" s="1"/>
  <c r="K428" i="12" a="1"/>
  <c r="K428" i="12" s="1"/>
  <c r="L428" i="12" s="1"/>
  <c r="M428" i="12" s="1"/>
  <c r="K99" i="12" a="1"/>
  <c r="K99" i="12" s="1"/>
  <c r="K424" i="12" a="1"/>
  <c r="K424" i="12" s="1"/>
  <c r="L424" i="12" s="1"/>
  <c r="K89" i="12" a="1"/>
  <c r="K89" i="12" s="1"/>
  <c r="K505" i="12" a="1"/>
  <c r="K505" i="12" s="1"/>
  <c r="M505" i="12" s="1"/>
  <c r="K431" i="12" a="1"/>
  <c r="K431" i="12" s="1"/>
  <c r="L431" i="12" s="1"/>
  <c r="M431" i="12" s="1"/>
  <c r="K391" i="12" a="1"/>
  <c r="K391" i="12" s="1"/>
  <c r="M391" i="12" s="1"/>
  <c r="K232" i="12" a="1"/>
  <c r="K232" i="12" s="1"/>
  <c r="K90" i="12" a="1"/>
  <c r="K90" i="12" s="1"/>
  <c r="K253" i="12" a="1"/>
  <c r="K253" i="12" s="1"/>
  <c r="M253" i="12" s="1"/>
  <c r="K266" i="12" a="1"/>
  <c r="K266" i="12" s="1"/>
  <c r="M266" i="12" s="1"/>
  <c r="K196" i="12" a="1"/>
  <c r="K196" i="12" s="1"/>
  <c r="K433" i="12" a="1"/>
  <c r="K433" i="12" s="1"/>
  <c r="K54" i="12" a="1"/>
  <c r="K54" i="12" s="1"/>
  <c r="K440" i="12" a="1"/>
  <c r="K440" i="12" s="1"/>
  <c r="L440" i="12" s="1"/>
  <c r="M440" i="12" s="1"/>
  <c r="K404" i="12" a="1"/>
  <c r="K404" i="12" s="1"/>
  <c r="K436" i="12" a="1"/>
  <c r="K436" i="12" s="1"/>
  <c r="L436" i="12" s="1"/>
  <c r="M436" i="12" s="1"/>
  <c r="K311" i="12" a="1"/>
  <c r="K311" i="12" s="1"/>
  <c r="M311" i="12" s="1"/>
  <c r="K160" i="12" a="1"/>
  <c r="K160" i="12" s="1"/>
  <c r="K372" i="12" a="1"/>
  <c r="K372" i="12" s="1"/>
  <c r="M372" i="12" s="1"/>
  <c r="K108" i="12" a="1"/>
  <c r="K108" i="12" s="1"/>
  <c r="K454" i="12" a="1"/>
  <c r="K454" i="12" s="1"/>
  <c r="K449" i="12" a="1"/>
  <c r="K449" i="12" s="1"/>
  <c r="K224" i="12" a="1"/>
  <c r="K224" i="12" s="1"/>
  <c r="M224" i="12" s="1"/>
  <c r="K30" i="12" a="1"/>
  <c r="K30" i="12" s="1"/>
  <c r="K443" i="12" a="1"/>
  <c r="K443" i="12" s="1"/>
  <c r="K441" i="12" a="1"/>
  <c r="K441" i="12" s="1"/>
  <c r="K326" i="12" a="1"/>
  <c r="K326" i="12" s="1"/>
  <c r="K216" i="12" a="1"/>
  <c r="K216" i="12" s="1"/>
  <c r="M216" i="12" s="1"/>
  <c r="K444" i="12" a="1"/>
  <c r="K444" i="12" s="1"/>
  <c r="L444" i="12" s="1"/>
  <c r="M444" i="12" s="1"/>
  <c r="K373" i="12" a="1"/>
  <c r="K373" i="12" s="1"/>
  <c r="M373" i="12" s="1"/>
  <c r="K123" i="12" a="1"/>
  <c r="K123" i="12" s="1"/>
  <c r="M123" i="12" s="1"/>
  <c r="K20" i="12" a="1"/>
  <c r="K20" i="12" s="1"/>
  <c r="K450" i="12" a="1"/>
  <c r="K450" i="12" s="1"/>
  <c r="K171" i="12" a="1"/>
  <c r="K171" i="12" s="1"/>
  <c r="K270" i="12" a="1"/>
  <c r="K270" i="12" s="1"/>
  <c r="K14" i="12" a="1"/>
  <c r="K14" i="12" s="1"/>
  <c r="K263" i="12" a="1"/>
  <c r="K263" i="12" s="1"/>
  <c r="M263" i="12" s="1"/>
  <c r="K12" i="12" a="1"/>
  <c r="K12" i="12" s="1"/>
  <c r="L12" i="12" s="1"/>
  <c r="K319" i="12" a="1"/>
  <c r="K319" i="12" s="1"/>
  <c r="L319" i="12" s="1"/>
  <c r="K103" i="12" a="1"/>
  <c r="K103" i="12" s="1"/>
  <c r="K265" i="12" a="1"/>
  <c r="K265" i="12" s="1"/>
  <c r="M265" i="12" s="1"/>
  <c r="K32" i="12" a="1"/>
  <c r="K32" i="12" s="1"/>
  <c r="L32" i="12" s="1"/>
  <c r="K301" i="12" a="1"/>
  <c r="K301" i="12" s="1"/>
  <c r="L301" i="12" s="1"/>
  <c r="K9" i="12" a="1"/>
  <c r="K9" i="12" s="1"/>
  <c r="K91" i="12" a="1"/>
  <c r="K91" i="12" s="1"/>
  <c r="M91" i="12" s="1"/>
  <c r="K506" i="12" a="1"/>
  <c r="K506" i="12" s="1"/>
  <c r="L506" i="12" s="1"/>
  <c r="K208" i="12" a="1"/>
  <c r="K208" i="12" s="1"/>
  <c r="L208" i="12" s="1"/>
  <c r="K457" i="12" a="1"/>
  <c r="K457" i="12" s="1"/>
  <c r="L457" i="12" s="1"/>
  <c r="M457" i="12" s="1"/>
  <c r="K92" i="12" a="1"/>
  <c r="K92" i="12" s="1"/>
  <c r="M92" i="12" s="1"/>
  <c r="K507" i="12" a="1"/>
  <c r="K507" i="12" s="1"/>
  <c r="M507" i="12" s="1"/>
  <c r="K346" i="12" a="1"/>
  <c r="K346" i="12" s="1"/>
  <c r="M346" i="12" s="1"/>
  <c r="K162" i="12" a="1"/>
  <c r="K162" i="12" s="1"/>
  <c r="M162" i="12" s="1"/>
  <c r="K416" i="12" a="1"/>
  <c r="K416" i="12" s="1"/>
  <c r="M416" i="12" s="1"/>
  <c r="K456" i="12" a="1"/>
  <c r="K456" i="12" s="1"/>
  <c r="K281" i="12" a="1"/>
  <c r="K281" i="12" s="1"/>
  <c r="L281" i="12" s="1"/>
  <c r="M281" i="12" s="1"/>
  <c r="K114" i="12" a="1"/>
  <c r="K114" i="12" s="1"/>
  <c r="K226" i="12" a="1"/>
  <c r="K226" i="12" s="1"/>
  <c r="K161" i="12" a="1"/>
  <c r="K161" i="12" s="1"/>
  <c r="K463" i="12" a="1"/>
  <c r="K463" i="12" s="1"/>
  <c r="L463" i="12" s="1"/>
  <c r="K458" i="12" a="1"/>
  <c r="K458" i="12" s="1"/>
  <c r="K183" i="12" a="1"/>
  <c r="K183" i="12" s="1"/>
  <c r="K93" i="12" a="1"/>
  <c r="K93" i="12" s="1"/>
  <c r="M93" i="12" s="1"/>
  <c r="K508" i="12" a="1"/>
  <c r="K508" i="12" s="1"/>
  <c r="L508" i="12" s="1"/>
  <c r="K209" i="12" a="1"/>
  <c r="K209" i="12" s="1"/>
  <c r="M209" i="12" s="1"/>
  <c r="K460" i="12" a="1"/>
  <c r="K460" i="12" s="1"/>
  <c r="L460" i="12" s="1"/>
  <c r="K256" i="12" a="1"/>
  <c r="K256" i="12" s="1"/>
  <c r="L256" i="12" s="1"/>
  <c r="K257" i="12" a="1"/>
  <c r="K257" i="12" s="1"/>
  <c r="M257" i="12" s="1"/>
  <c r="K234" i="12" a="1"/>
  <c r="K234" i="12" s="1"/>
  <c r="K100" i="12" a="1"/>
  <c r="K100" i="12" s="1"/>
  <c r="K296" i="12" a="1"/>
  <c r="K296" i="12" s="1"/>
  <c r="K470" i="12" a="1"/>
  <c r="K470" i="12" s="1"/>
  <c r="K21" i="12" a="1"/>
  <c r="K21" i="12" s="1"/>
  <c r="K291" i="12" a="1"/>
  <c r="K291" i="12" s="1"/>
  <c r="K22" i="12" a="1"/>
  <c r="K22" i="12" s="1"/>
  <c r="K31" i="12" a="1"/>
  <c r="K31" i="12" s="1"/>
  <c r="M31" i="12" s="1"/>
  <c r="K472" i="12" a="1"/>
  <c r="K472" i="12" s="1"/>
  <c r="K23" i="12" a="1"/>
  <c r="K23" i="12" s="1"/>
  <c r="K197" i="12" a="1"/>
  <c r="K197" i="12" s="1"/>
  <c r="K332" i="12" a="1"/>
  <c r="K332" i="12" s="1"/>
  <c r="K112" i="12" a="1"/>
  <c r="K112" i="12" s="1"/>
  <c r="K376" i="12" a="1"/>
  <c r="K376" i="12" s="1"/>
  <c r="K115" i="12" a="1"/>
  <c r="K115" i="12" s="1"/>
  <c r="L115" i="12" s="1"/>
  <c r="K375" i="12" a="1"/>
  <c r="K375" i="12" s="1"/>
  <c r="M375" i="12" s="1"/>
  <c r="K273" i="12" a="1"/>
  <c r="K273" i="12" s="1"/>
  <c r="K274" i="12" a="1"/>
  <c r="K274" i="12" s="1"/>
  <c r="L274" i="12" s="1"/>
  <c r="K474" i="12" a="1"/>
  <c r="K474" i="12" s="1"/>
  <c r="L474" i="12" s="1"/>
  <c r="K438" i="12" a="1"/>
  <c r="K438" i="12" s="1"/>
  <c r="K166" i="12" a="1"/>
  <c r="K166" i="12" s="1"/>
  <c r="M166" i="12" s="1"/>
  <c r="K476" i="12" a="1"/>
  <c r="K476" i="12" s="1"/>
  <c r="K28" i="12" a="1"/>
  <c r="K28" i="12" s="1"/>
  <c r="L28" i="12" s="1"/>
  <c r="M28" i="12" s="1"/>
  <c r="K338" i="12" a="1"/>
  <c r="K338" i="12" s="1"/>
  <c r="M338" i="12" s="1"/>
  <c r="K110" i="12" a="1"/>
  <c r="K110" i="12" s="1"/>
  <c r="K455" i="12" a="1"/>
  <c r="K455" i="12" s="1"/>
  <c r="K468" i="12" a="1"/>
  <c r="K468" i="12" s="1"/>
  <c r="M468" i="12" s="1"/>
  <c r="K228" i="12" a="1"/>
  <c r="K228" i="12" s="1"/>
  <c r="L228" i="12" s="1"/>
  <c r="M228" i="12" s="1"/>
  <c r="K230" i="12" a="1"/>
  <c r="K230" i="12" s="1"/>
  <c r="M230" i="12" s="1"/>
  <c r="K56" i="12" a="1"/>
  <c r="K56" i="12" s="1"/>
  <c r="K477" i="12" a="1"/>
  <c r="K477" i="12" s="1"/>
  <c r="L477" i="12" s="1"/>
  <c r="K94" i="12" a="1"/>
  <c r="K94" i="12" s="1"/>
  <c r="L94" i="12" s="1"/>
  <c r="K509" i="12" a="1"/>
  <c r="K509" i="12" s="1"/>
  <c r="M509" i="12" s="1"/>
  <c r="K478" i="12" a="1"/>
  <c r="K478" i="12" s="1"/>
  <c r="K95" i="12" a="1"/>
  <c r="K95" i="12" s="1"/>
  <c r="K510" i="12" a="1"/>
  <c r="K510" i="12" s="1"/>
  <c r="M510" i="12" s="1"/>
  <c r="K481" i="12" a="1"/>
  <c r="K481" i="12" s="1"/>
  <c r="L481" i="12" s="1"/>
  <c r="K320" i="12" a="1"/>
  <c r="K320" i="12" s="1"/>
  <c r="K57" i="12" a="1"/>
  <c r="K57" i="12" s="1"/>
  <c r="K339" i="12" a="1"/>
  <c r="K339" i="12" s="1"/>
  <c r="M339" i="12" s="1"/>
  <c r="K24" i="12" a="1"/>
  <c r="K24" i="12" s="1"/>
  <c r="M24" i="12" s="1"/>
  <c r="K355" i="12" a="1"/>
  <c r="K355" i="12" s="1"/>
  <c r="K482" i="12" a="1"/>
  <c r="K482" i="12" s="1"/>
  <c r="L482" i="12" s="1"/>
  <c r="M482" i="12" s="1"/>
  <c r="K111" i="12" a="1"/>
  <c r="K111" i="12" s="1"/>
  <c r="K430" i="12" a="1"/>
  <c r="K430" i="12" s="1"/>
  <c r="K483" i="12" a="1"/>
  <c r="K483" i="12" s="1"/>
  <c r="L483" i="12" s="1"/>
  <c r="M483" i="12" s="1"/>
  <c r="K298" i="12" a="1"/>
  <c r="K298" i="12" s="1"/>
  <c r="L298" i="12" s="1"/>
  <c r="K484" i="12" a="1"/>
  <c r="K484" i="12" s="1"/>
  <c r="L484" i="12" s="1"/>
  <c r="M484" i="12" s="1"/>
  <c r="K96" i="12" a="1"/>
  <c r="K96" i="12" s="1"/>
  <c r="M96" i="12" s="1"/>
  <c r="K511" i="12" a="1"/>
  <c r="K511" i="12" s="1"/>
  <c r="M511" i="12" s="1"/>
  <c r="K486" i="12" a="1"/>
  <c r="K486" i="12" s="1"/>
  <c r="K485" i="12" a="1"/>
  <c r="K485" i="12" s="1"/>
  <c r="L485" i="12" s="1"/>
  <c r="M485" i="12" s="1"/>
  <c r="K119" i="12" a="1"/>
  <c r="K119" i="12" s="1"/>
  <c r="L119" i="12" s="1"/>
  <c r="M119" i="12" s="1"/>
  <c r="K514" i="12" a="1"/>
  <c r="K514" i="12" s="1"/>
  <c r="K313" i="12" a="1"/>
  <c r="K313" i="12" s="1"/>
  <c r="K168" i="12" a="1"/>
  <c r="K168" i="12" s="1"/>
  <c r="M168" i="12" s="1"/>
  <c r="K220" i="12" a="1"/>
  <c r="K220" i="12" s="1"/>
  <c r="L220" i="12" s="1"/>
  <c r="K212" i="12" a="1"/>
  <c r="K212" i="12" s="1"/>
  <c r="K515" i="12" a="1"/>
  <c r="K515" i="12" s="1"/>
  <c r="K97" i="12" a="1"/>
  <c r="K97" i="12" s="1"/>
  <c r="K512" i="12" a="1"/>
  <c r="K512" i="12" s="1"/>
  <c r="K414" i="12" a="1"/>
  <c r="K414" i="12" s="1"/>
  <c r="L414" i="12" s="1"/>
  <c r="K517" i="12" a="1"/>
  <c r="K517" i="12" s="1"/>
  <c r="L517" i="12" s="1"/>
  <c r="M517" i="12" s="1"/>
  <c r="K241" i="12" a="1"/>
  <c r="K241" i="12" s="1"/>
  <c r="M241" i="12" s="1"/>
  <c r="K177" i="12" a="1"/>
  <c r="K177" i="12" s="1"/>
  <c r="K210" i="12" a="1"/>
  <c r="K210" i="12" s="1"/>
  <c r="M210" i="12" s="1"/>
  <c r="K211" i="12" a="1"/>
  <c r="K211" i="12" s="1"/>
  <c r="M211" i="12" s="1"/>
  <c r="K411" i="12" a="1"/>
  <c r="K411" i="12" s="1"/>
  <c r="L411" i="12" s="1"/>
  <c r="K152" i="12" a="1"/>
  <c r="K152" i="12" s="1"/>
  <c r="M152" i="12" s="1"/>
  <c r="K521" i="12" a="1"/>
  <c r="K521" i="12" s="1"/>
  <c r="K384" i="12" a="1"/>
  <c r="K384" i="12" s="1"/>
  <c r="L384" i="12" s="1"/>
  <c r="K248" i="12" a="1"/>
  <c r="K248" i="12" s="1"/>
  <c r="M248" i="12" s="1"/>
  <c r="K58" i="12" a="1"/>
  <c r="K58" i="12" s="1"/>
  <c r="M58" i="12" s="1"/>
  <c r="K461" i="12" a="1"/>
  <c r="K461" i="12" s="1"/>
  <c r="K170" i="12" a="1"/>
  <c r="K170" i="12" s="1"/>
  <c r="K522" i="12" a="1"/>
  <c r="K522" i="12" s="1"/>
  <c r="L522" i="12" s="1"/>
  <c r="M522" i="12" s="1"/>
  <c r="K163" i="12" a="1"/>
  <c r="K163" i="12" s="1"/>
  <c r="K524" i="12" a="1"/>
  <c r="K524" i="12" s="1"/>
  <c r="L524" i="12" s="1"/>
  <c r="M524" i="12" s="1"/>
  <c r="K523" i="12" a="1"/>
  <c r="K523" i="12" s="1"/>
  <c r="K59" i="12" a="1"/>
  <c r="K59" i="12" s="1"/>
  <c r="K525" i="12" a="1"/>
  <c r="K525" i="12" s="1"/>
  <c r="L525" i="12" s="1"/>
  <c r="K516" i="12" a="1"/>
  <c r="K516" i="12" s="1"/>
  <c r="K359" i="12" a="1"/>
  <c r="K359" i="12" s="1"/>
  <c r="K148" i="12" a="1"/>
  <c r="K148" i="12" s="1"/>
  <c r="K360" i="12" a="1"/>
  <c r="K360" i="12" s="1"/>
  <c r="K526" i="12" a="1"/>
  <c r="K526" i="12" s="1"/>
  <c r="K467" i="12" a="1"/>
  <c r="K467" i="12" s="1"/>
  <c r="K105" i="12" a="1"/>
  <c r="K105" i="12" s="1"/>
  <c r="K464" i="12" a="1"/>
  <c r="K464" i="12" s="1"/>
  <c r="K26" i="12" a="1"/>
  <c r="K26" i="12" s="1"/>
  <c r="K529" i="12" a="1"/>
  <c r="K529" i="12" s="1"/>
  <c r="L529" i="12" s="1"/>
  <c r="M529" i="12" s="1"/>
  <c r="K412" i="12" a="1"/>
  <c r="K412" i="12" s="1"/>
  <c r="K63" i="12" a="1"/>
  <c r="K63" i="12" s="1"/>
  <c r="L63" i="12" s="1"/>
  <c r="M63" i="12" s="1"/>
  <c r="K340" i="12" a="1"/>
  <c r="K340" i="12" s="1"/>
  <c r="K520" i="12" a="1"/>
  <c r="K520" i="12" s="1"/>
  <c r="K39" i="12" a="1"/>
  <c r="K39" i="12" s="1"/>
  <c r="K356" i="12" a="1"/>
  <c r="K356" i="12" s="1"/>
  <c r="K532" i="12" a="1"/>
  <c r="K532" i="12" s="1"/>
  <c r="L532" i="12" s="1"/>
  <c r="M532" i="12" s="1"/>
  <c r="K480" i="12" a="1"/>
  <c r="K480" i="12" s="1"/>
  <c r="L480" i="12" s="1"/>
  <c r="K442" i="12" a="1"/>
  <c r="K442" i="12" s="1"/>
  <c r="K275" i="12" a="1"/>
  <c r="K275" i="12" s="1"/>
  <c r="K64" i="12" a="1"/>
  <c r="K64" i="12" s="1"/>
  <c r="L64" i="12" s="1"/>
  <c r="M64" i="12" s="1"/>
  <c r="K445" i="12" a="1"/>
  <c r="K445" i="12" s="1"/>
  <c r="K535" i="12" a="1"/>
  <c r="K535" i="12" s="1"/>
  <c r="L535" i="12" s="1"/>
  <c r="M535" i="12" s="1"/>
  <c r="K262" i="12" a="1"/>
  <c r="K262" i="12" s="1"/>
  <c r="K188" i="12" a="1"/>
  <c r="K188" i="12" s="1"/>
  <c r="K98" i="12" a="1"/>
  <c r="K98" i="12" s="1"/>
  <c r="K336" i="12" a="1"/>
  <c r="K336" i="12" s="1"/>
  <c r="K190" i="12" a="1"/>
  <c r="K190" i="12" s="1"/>
  <c r="K538" i="12" a="1"/>
  <c r="K538" i="12" s="1"/>
  <c r="K305" i="12" a="1"/>
  <c r="K305" i="12" s="1"/>
  <c r="K128" i="12" a="1"/>
  <c r="K128" i="12" s="1"/>
  <c r="K36" i="12" a="1"/>
  <c r="K36" i="12" s="1"/>
  <c r="K466" i="12" a="1"/>
  <c r="K466" i="12" s="1"/>
  <c r="L466" i="12" s="1"/>
  <c r="M466" i="12" s="1"/>
  <c r="K179" i="12" a="1"/>
  <c r="K179" i="12" s="1"/>
  <c r="K385" i="12" a="1"/>
  <c r="K385" i="12" s="1"/>
  <c r="K200" i="12" a="1"/>
  <c r="K200" i="12" s="1"/>
  <c r="M200" i="12" s="1"/>
  <c r="K543" i="12" a="1"/>
  <c r="K543" i="12" s="1"/>
  <c r="K542" i="12" a="1"/>
  <c r="K542" i="12" s="1"/>
  <c r="L542" i="12" s="1"/>
  <c r="K300" i="12" a="1"/>
  <c r="K300" i="12" s="1"/>
  <c r="K60" i="12" a="1"/>
  <c r="K60" i="12" s="1"/>
  <c r="K475" i="12" a="1"/>
  <c r="K475" i="12" s="1"/>
  <c r="K396" i="12" a="1"/>
  <c r="K396" i="12" s="1"/>
  <c r="K187" i="12" a="1"/>
  <c r="K187" i="12" s="1"/>
  <c r="M187" i="12" s="1"/>
  <c r="K462" i="12" a="1"/>
  <c r="K462" i="12" s="1"/>
  <c r="K249" i="12" a="1"/>
  <c r="K249" i="12" s="1"/>
  <c r="K116" i="12" a="1"/>
  <c r="K116" i="12" s="1"/>
  <c r="K10" i="12" a="1"/>
  <c r="K10" i="12" s="1"/>
  <c r="K337" i="12" a="1"/>
  <c r="K337" i="12" s="1"/>
  <c r="K137" i="12" a="1"/>
  <c r="K137" i="12" s="1"/>
  <c r="K528" i="12" a="1"/>
  <c r="K528" i="12" s="1"/>
  <c r="M528" i="12" s="1"/>
  <c r="K353" i="12" a="1"/>
  <c r="K353" i="12" s="1"/>
  <c r="K169" i="12" a="1"/>
  <c r="K169" i="12" s="1"/>
  <c r="E96" i="43"/>
  <c r="E97" i="43"/>
  <c r="E98" i="43"/>
  <c r="E82" i="43"/>
  <c r="E83" i="43"/>
  <c r="E84" i="43"/>
  <c r="E85" i="43"/>
  <c r="E86" i="43"/>
  <c r="E87" i="43"/>
  <c r="E88" i="43"/>
  <c r="E89" i="43"/>
  <c r="E90" i="43"/>
  <c r="E91" i="43"/>
  <c r="E92" i="43"/>
  <c r="E93" i="43"/>
  <c r="E94" i="43"/>
  <c r="E95" i="43"/>
  <c r="E99" i="43"/>
  <c r="E100" i="43"/>
  <c r="E101" i="43"/>
  <c r="E81" i="43"/>
  <c r="P1186" i="13"/>
  <c r="P1185" i="13"/>
  <c r="P1188" i="13"/>
  <c r="P1184" i="13"/>
  <c r="P1187" i="13"/>
  <c r="P1168" i="13"/>
  <c r="P1150" i="13"/>
  <c r="P1180" i="13"/>
  <c r="P1167" i="13"/>
  <c r="P1179" i="13"/>
  <c r="P1177" i="13"/>
  <c r="P1174" i="13"/>
  <c r="P1173" i="13"/>
  <c r="P1158" i="13"/>
  <c r="P1153" i="13"/>
  <c r="P1170" i="13"/>
  <c r="P1157" i="13"/>
  <c r="P1162" i="13"/>
  <c r="P1160" i="13"/>
  <c r="P1175" i="13"/>
  <c r="P1164" i="13"/>
  <c r="P1183" i="13"/>
  <c r="P1181" i="13"/>
  <c r="P1172" i="13"/>
  <c r="P1152" i="13"/>
  <c r="P1159" i="13"/>
  <c r="P1155" i="13"/>
  <c r="P1154" i="13"/>
  <c r="P1166" i="13"/>
  <c r="P1171" i="13"/>
  <c r="P1161" i="13"/>
  <c r="P1156" i="13"/>
  <c r="P1151" i="13"/>
  <c r="P1169" i="13"/>
  <c r="P1176" i="13"/>
  <c r="P1149" i="13"/>
  <c r="P1163" i="13"/>
  <c r="P1165" i="13"/>
  <c r="P1178" i="13"/>
  <c r="P1182" i="13"/>
  <c r="P1146" i="13"/>
  <c r="P1148" i="13"/>
  <c r="P1145" i="13"/>
  <c r="P1147" i="13"/>
  <c r="E927" i="13"/>
  <c r="M9" i="12"/>
  <c r="E1443" i="3"/>
  <c r="E71" i="13"/>
  <c r="E84" i="13"/>
  <c r="E1971" i="3"/>
  <c r="E25" i="4"/>
  <c r="E328" i="13"/>
  <c r="E669" i="13"/>
  <c r="E521" i="13"/>
  <c r="E244" i="3"/>
  <c r="E288" i="4"/>
  <c r="E136" i="4"/>
  <c r="E232" i="13"/>
  <c r="E709" i="13"/>
  <c r="E732" i="13"/>
  <c r="E2753" i="3"/>
  <c r="E182" i="13"/>
  <c r="E480" i="13"/>
  <c r="P1121" i="13"/>
  <c r="P1143" i="13"/>
  <c r="P1144" i="13"/>
  <c r="P1137" i="13"/>
  <c r="P1141" i="13"/>
  <c r="P1139" i="13"/>
  <c r="P1138" i="13"/>
  <c r="P1113" i="13"/>
  <c r="P1142" i="13"/>
  <c r="P1140" i="13"/>
  <c r="P1136" i="13"/>
  <c r="L540" i="12"/>
  <c r="M540" i="12" s="1"/>
  <c r="L163" i="12"/>
  <c r="M163" i="12" s="1"/>
  <c r="L111" i="12"/>
  <c r="M355" i="12"/>
  <c r="M57" i="12"/>
  <c r="M320" i="12"/>
  <c r="L56" i="12"/>
  <c r="M110" i="12"/>
  <c r="L476" i="12"/>
  <c r="M476" i="12" s="1"/>
  <c r="M274" i="12"/>
  <c r="L273" i="12"/>
  <c r="M115" i="12"/>
  <c r="M376" i="12"/>
  <c r="M112" i="12"/>
  <c r="M332" i="12"/>
  <c r="M197" i="12"/>
  <c r="M23" i="12"/>
  <c r="M22" i="12"/>
  <c r="M291" i="12"/>
  <c r="M21" i="12"/>
  <c r="M100" i="12"/>
  <c r="M234" i="12"/>
  <c r="M460" i="12"/>
  <c r="M183" i="12"/>
  <c r="L458" i="12"/>
  <c r="M458" i="12" s="1"/>
  <c r="M226" i="12"/>
  <c r="M114" i="12"/>
  <c r="M456" i="12"/>
  <c r="M301" i="12"/>
  <c r="M32" i="12"/>
  <c r="M103" i="12"/>
  <c r="M319" i="12"/>
  <c r="M12" i="12"/>
  <c r="M14" i="12"/>
  <c r="L270" i="12"/>
  <c r="M270" i="12" s="1"/>
  <c r="M20" i="12"/>
  <c r="M326" i="12"/>
  <c r="L443" i="12"/>
  <c r="M30" i="12"/>
  <c r="L449" i="12"/>
  <c r="M454" i="12"/>
  <c r="M108" i="12"/>
  <c r="M54" i="12"/>
  <c r="L433" i="12"/>
  <c r="M433" i="12" s="1"/>
  <c r="M196" i="12"/>
  <c r="M90" i="12"/>
  <c r="M232" i="12"/>
  <c r="M424" i="12"/>
  <c r="L429" i="12"/>
  <c r="M429" i="12" s="1"/>
  <c r="M365" i="12"/>
  <c r="L62" i="12"/>
  <c r="M62" i="12" s="1"/>
  <c r="M173" i="12"/>
  <c r="M191" i="12"/>
  <c r="L421" i="12"/>
  <c r="M421" i="12" s="1"/>
  <c r="M181" i="12"/>
  <c r="M315" i="12"/>
  <c r="M38" i="12"/>
  <c r="M447" i="12"/>
  <c r="M52" i="12"/>
  <c r="M280" i="12"/>
  <c r="L465" i="12"/>
  <c r="M19" i="12"/>
  <c r="L410" i="12"/>
  <c r="M410" i="12" s="1"/>
  <c r="M149" i="12"/>
  <c r="M402" i="12"/>
  <c r="M65" i="12"/>
  <c r="M129" i="12"/>
  <c r="M329" i="12"/>
  <c r="M51" i="12"/>
  <c r="M518" i="12"/>
  <c r="M174" i="12"/>
  <c r="L195" i="12"/>
  <c r="M195" i="12" s="1"/>
  <c r="M144" i="12"/>
  <c r="M299" i="12"/>
  <c r="M394" i="12"/>
  <c r="L225" i="12"/>
  <c r="M349" i="12"/>
  <c r="M189" i="12"/>
  <c r="M408" i="12"/>
  <c r="M50" i="12"/>
  <c r="M139" i="12"/>
  <c r="M267" i="12"/>
  <c r="L136" i="12"/>
  <c r="L121" i="12"/>
  <c r="M156" i="12"/>
  <c r="M236" i="12"/>
  <c r="M368" i="12"/>
  <c r="M367" i="12"/>
  <c r="M118" i="12"/>
  <c r="M322" i="12"/>
  <c r="M387" i="12"/>
  <c r="L66" i="12"/>
  <c r="M66" i="12" s="1"/>
  <c r="M439" i="12"/>
  <c r="M49" i="12"/>
  <c r="M297" i="12"/>
  <c r="M379" i="12"/>
  <c r="M48" i="12"/>
  <c r="M167" i="12"/>
  <c r="L352" i="12"/>
  <c r="M352" i="12" s="1"/>
  <c r="M29" i="12"/>
  <c r="M304" i="12"/>
  <c r="M198" i="12"/>
  <c r="M406" i="12"/>
  <c r="M47" i="12"/>
  <c r="M145" i="12"/>
  <c r="M378" i="12"/>
  <c r="M425" i="12"/>
  <c r="M46" i="12"/>
  <c r="M366" i="12"/>
  <c r="M393" i="12"/>
  <c r="M158" i="12"/>
  <c r="M351" i="12"/>
  <c r="M434" i="12"/>
  <c r="M341" i="12"/>
  <c r="L333" i="12"/>
  <c r="M333" i="12" s="1"/>
  <c r="M17" i="12"/>
  <c r="M314" i="12"/>
  <c r="L331" i="12"/>
  <c r="M331" i="12" s="1"/>
  <c r="M77" i="12"/>
  <c r="M292" i="12"/>
  <c r="M264" i="12"/>
  <c r="L328" i="12"/>
  <c r="M328" i="12" s="1"/>
  <c r="M323" i="12"/>
  <c r="L327" i="12"/>
  <c r="M327" i="12" s="1"/>
  <c r="L55" i="12"/>
  <c r="M55" i="12" s="1"/>
  <c r="M192" i="12"/>
  <c r="M199" i="12"/>
  <c r="M448" i="12"/>
  <c r="M164" i="12"/>
  <c r="L316" i="12"/>
  <c r="M316" i="12" s="1"/>
  <c r="M215" i="12"/>
  <c r="M214" i="12"/>
  <c r="L176" i="12"/>
  <c r="M272" i="12"/>
  <c r="M231" i="12"/>
  <c r="M125" i="12"/>
  <c r="M255" i="12"/>
  <c r="M419" i="12"/>
  <c r="M67" i="12"/>
  <c r="M218" i="12"/>
  <c r="M251" i="12"/>
  <c r="M102" i="12"/>
  <c r="L34" i="12"/>
  <c r="M395" i="12"/>
  <c r="M193" i="12"/>
  <c r="L35" i="12"/>
  <c r="M35" i="12" s="1"/>
  <c r="M381" i="12"/>
  <c r="M147" i="12"/>
  <c r="L285" i="12"/>
  <c r="M285" i="12" s="1"/>
  <c r="M244" i="12"/>
  <c r="M143" i="12"/>
  <c r="M371" i="12"/>
  <c r="L101" i="12"/>
  <c r="M423" i="12"/>
  <c r="M130" i="12"/>
  <c r="M159" i="12"/>
  <c r="L318" i="12"/>
  <c r="M33" i="12"/>
  <c r="M399" i="12"/>
  <c r="M175" i="12"/>
  <c r="M185" i="12"/>
  <c r="M308" i="12"/>
  <c r="M44" i="12"/>
  <c r="M240" i="12"/>
  <c r="M426" i="12"/>
  <c r="M124" i="12"/>
  <c r="M151" i="12"/>
  <c r="M303" i="12"/>
  <c r="M172" i="12"/>
  <c r="M317" i="12"/>
  <c r="M219" i="12"/>
  <c r="M178" i="12"/>
  <c r="M43" i="12"/>
  <c r="M398" i="12"/>
  <c r="M258" i="12"/>
  <c r="L45" i="12"/>
  <c r="M45" i="12" s="1"/>
  <c r="M109" i="12"/>
  <c r="M142" i="12"/>
  <c r="L221" i="12"/>
  <c r="M221" i="12" s="1"/>
  <c r="M122" i="12"/>
  <c r="M282" i="12"/>
  <c r="L382" i="12"/>
  <c r="M382" i="12" s="1"/>
  <c r="M432" i="12"/>
  <c r="M153" i="12"/>
  <c r="M306" i="12"/>
  <c r="M389" i="12"/>
  <c r="M138" i="12"/>
  <c r="M254" i="12"/>
  <c r="M312" i="12"/>
  <c r="M154" i="12"/>
  <c r="M127" i="12"/>
  <c r="L459" i="12"/>
  <c r="M459" i="12" s="1"/>
  <c r="M104" i="12"/>
  <c r="M134" i="12"/>
  <c r="E2876" i="3"/>
  <c r="E2875" i="3"/>
  <c r="E668" i="13"/>
  <c r="E2882" i="3"/>
  <c r="E2883" i="3"/>
  <c r="E2879" i="3"/>
  <c r="E2880" i="3"/>
  <c r="E2881" i="3"/>
  <c r="E490" i="13"/>
  <c r="E1140" i="13"/>
  <c r="E727" i="13"/>
  <c r="E1142" i="13"/>
  <c r="E16" i="13"/>
  <c r="E982" i="13"/>
  <c r="E322" i="4"/>
  <c r="E280" i="4"/>
  <c r="E281" i="4"/>
  <c r="E282" i="4"/>
  <c r="E255" i="4"/>
  <c r="E256" i="4"/>
  <c r="E257" i="4"/>
  <c r="E258" i="4"/>
  <c r="E622" i="13"/>
  <c r="E222" i="4"/>
  <c r="E203" i="4"/>
  <c r="E204" i="4"/>
  <c r="E202" i="4"/>
  <c r="E538" i="13"/>
  <c r="E192" i="4"/>
  <c r="E1052" i="13"/>
  <c r="E155" i="4"/>
  <c r="E156" i="4"/>
  <c r="E157" i="4"/>
  <c r="E158" i="4"/>
  <c r="E147" i="4"/>
  <c r="E148" i="4"/>
  <c r="E144" i="4"/>
  <c r="E145" i="4"/>
  <c r="E131" i="4"/>
  <c r="E132" i="4"/>
  <c r="E133" i="4"/>
  <c r="E134" i="4"/>
  <c r="E135" i="4"/>
  <c r="E129" i="4"/>
  <c r="E130" i="4"/>
  <c r="E100" i="4"/>
  <c r="E101" i="4"/>
  <c r="E78" i="4"/>
  <c r="E79" i="4"/>
  <c r="E47" i="4"/>
  <c r="E48" i="4"/>
  <c r="E49" i="4"/>
  <c r="E37" i="4"/>
  <c r="E38" i="4"/>
  <c r="E39" i="4"/>
  <c r="E46" i="3"/>
  <c r="E13" i="4"/>
  <c r="E289" i="4"/>
  <c r="E290" i="4"/>
  <c r="E251" i="4"/>
  <c r="E252" i="4"/>
  <c r="E253" i="4"/>
  <c r="E254" i="4"/>
  <c r="E248" i="4"/>
  <c r="E249" i="4"/>
  <c r="E250" i="4"/>
  <c r="E141" i="4"/>
  <c r="E142" i="4"/>
  <c r="E143" i="4"/>
  <c r="E107" i="4"/>
  <c r="E108" i="4"/>
  <c r="E109" i="4"/>
  <c r="E104" i="4"/>
  <c r="E105" i="4"/>
  <c r="E106" i="4"/>
  <c r="E102" i="4"/>
  <c r="E103" i="4"/>
  <c r="E2872" i="3"/>
  <c r="E339" i="4"/>
  <c r="E340" i="4"/>
  <c r="E341" i="4"/>
  <c r="E342" i="4"/>
  <c r="E343" i="4"/>
  <c r="E344" i="4"/>
  <c r="E345" i="4"/>
  <c r="E338" i="4"/>
  <c r="E323" i="4"/>
  <c r="E324" i="4"/>
  <c r="E269" i="4"/>
  <c r="E270" i="4"/>
  <c r="E197" i="4"/>
  <c r="E198" i="4"/>
  <c r="E9" i="4"/>
  <c r="E10" i="4"/>
  <c r="E283" i="4"/>
  <c r="E284" i="4"/>
  <c r="E285" i="4"/>
  <c r="E286" i="4"/>
  <c r="E287" i="4"/>
  <c r="E243" i="4"/>
  <c r="E244" i="4"/>
  <c r="E245" i="4"/>
  <c r="E246" i="4"/>
  <c r="E247" i="4"/>
  <c r="E241" i="4"/>
  <c r="E242" i="4"/>
  <c r="E211" i="4"/>
  <c r="E208" i="4"/>
  <c r="E209" i="4"/>
  <c r="E210" i="4"/>
  <c r="E205" i="4"/>
  <c r="E206" i="4"/>
  <c r="E207" i="4"/>
  <c r="E199" i="4"/>
  <c r="E200" i="4"/>
  <c r="E201" i="4"/>
  <c r="E187" i="4"/>
  <c r="E188" i="4"/>
  <c r="E189" i="4"/>
  <c r="E190" i="4"/>
  <c r="E172" i="4"/>
  <c r="E173" i="4"/>
  <c r="E174" i="4"/>
  <c r="E175" i="4"/>
  <c r="E176" i="4"/>
  <c r="E177" i="4"/>
  <c r="E139" i="4"/>
  <c r="E137" i="4"/>
  <c r="E138" i="4"/>
  <c r="E99" i="4"/>
  <c r="E97" i="4"/>
  <c r="E98" i="4"/>
  <c r="E86" i="4"/>
  <c r="E87" i="4"/>
  <c r="E88" i="4"/>
  <c r="E89" i="4"/>
  <c r="E31" i="4"/>
  <c r="E32" i="4"/>
  <c r="E33" i="4"/>
  <c r="E1110" i="13"/>
  <c r="E325" i="4"/>
  <c r="E326" i="4"/>
  <c r="E2561" i="3"/>
  <c r="E302" i="4"/>
  <c r="E303" i="4"/>
  <c r="E304" i="4"/>
  <c r="E305" i="4"/>
  <c r="E992" i="13"/>
  <c r="E276" i="4"/>
  <c r="E277" i="4"/>
  <c r="E267" i="4"/>
  <c r="E268" i="4"/>
  <c r="E266" i="4"/>
  <c r="E227" i="4"/>
  <c r="E235" i="4"/>
  <c r="E228" i="4"/>
  <c r="E236" i="4"/>
  <c r="E229" i="4"/>
  <c r="E237" i="4"/>
  <c r="E230" i="4"/>
  <c r="E238" i="4"/>
  <c r="E231" i="4"/>
  <c r="E239" i="4"/>
  <c r="E232" i="4"/>
  <c r="E240" i="4"/>
  <c r="E225" i="4"/>
  <c r="E233" i="4"/>
  <c r="E226" i="4"/>
  <c r="E234" i="4"/>
  <c r="E2638" i="3"/>
  <c r="E212" i="4"/>
  <c r="E213" i="4"/>
  <c r="E214" i="4"/>
  <c r="E215" i="4"/>
  <c r="E216" i="4"/>
  <c r="E217" i="4"/>
  <c r="E179" i="4"/>
  <c r="E180" i="4"/>
  <c r="E181" i="4"/>
  <c r="E182" i="4"/>
  <c r="E183" i="4"/>
  <c r="E184" i="4"/>
  <c r="E1277" i="3"/>
  <c r="E162" i="4"/>
  <c r="E59" i="4"/>
  <c r="E67" i="4"/>
  <c r="E60" i="4"/>
  <c r="E68" i="4"/>
  <c r="E61" i="4"/>
  <c r="E62" i="4"/>
  <c r="E63" i="4"/>
  <c r="E64" i="4"/>
  <c r="E65" i="4"/>
  <c r="E58" i="4"/>
  <c r="E66" i="4"/>
  <c r="E43" i="4"/>
  <c r="E42" i="4"/>
  <c r="E328" i="4"/>
  <c r="E329" i="4"/>
  <c r="E293" i="4"/>
  <c r="E294" i="4"/>
  <c r="E163" i="4"/>
  <c r="E164" i="4"/>
  <c r="E159" i="4"/>
  <c r="E160" i="4"/>
  <c r="E126" i="4"/>
  <c r="E127" i="4"/>
  <c r="E128" i="4"/>
  <c r="E83" i="4"/>
  <c r="E84" i="4"/>
  <c r="E85" i="4"/>
  <c r="E82" i="4"/>
  <c r="E80" i="4"/>
  <c r="E81" i="4"/>
  <c r="E75" i="4"/>
  <c r="E76" i="4"/>
  <c r="E70" i="4"/>
  <c r="E71" i="4"/>
  <c r="E72" i="4"/>
  <c r="E73" i="4"/>
  <c r="E74" i="4"/>
  <c r="E54" i="4"/>
  <c r="E55" i="4"/>
  <c r="E56" i="4"/>
  <c r="E57" i="4"/>
  <c r="E51" i="4"/>
  <c r="E52" i="4"/>
  <c r="E53" i="4"/>
  <c r="E50" i="4"/>
  <c r="E27" i="4"/>
  <c r="E26" i="4"/>
  <c r="E317" i="4"/>
  <c r="E318" i="4"/>
  <c r="E319" i="4"/>
  <c r="E320" i="4"/>
  <c r="E321" i="4"/>
  <c r="E308" i="4"/>
  <c r="E309" i="4"/>
  <c r="E310" i="4"/>
  <c r="E311" i="4"/>
  <c r="E312" i="4"/>
  <c r="E313" i="4"/>
  <c r="E314" i="4"/>
  <c r="E299" i="4"/>
  <c r="E295" i="4"/>
  <c r="E296" i="4"/>
  <c r="E297" i="4"/>
  <c r="E298" i="4"/>
  <c r="E275" i="4"/>
  <c r="E271" i="4"/>
  <c r="E272" i="4"/>
  <c r="E273" i="4"/>
  <c r="E274" i="4"/>
  <c r="E259" i="4"/>
  <c r="E260" i="4"/>
  <c r="E261" i="4"/>
  <c r="E219" i="4"/>
  <c r="E218" i="4"/>
  <c r="E171" i="4"/>
  <c r="E170" i="4"/>
  <c r="E91" i="4"/>
  <c r="E92" i="4"/>
  <c r="E93" i="4"/>
  <c r="E19" i="4"/>
  <c r="E15" i="4"/>
  <c r="E16" i="4"/>
  <c r="E17" i="4"/>
  <c r="E18" i="4"/>
  <c r="E315" i="4"/>
  <c r="E316" i="4"/>
  <c r="E331" i="4"/>
  <c r="E332" i="4"/>
  <c r="E333" i="4"/>
  <c r="E334" i="4"/>
  <c r="E335" i="4"/>
  <c r="E336" i="4"/>
  <c r="E337" i="4"/>
  <c r="E195" i="4"/>
  <c r="E196" i="4"/>
  <c r="E194" i="4"/>
  <c r="E185" i="4"/>
  <c r="E186" i="4"/>
  <c r="E166" i="4"/>
  <c r="E167" i="4"/>
  <c r="E168" i="4"/>
  <c r="E169" i="4"/>
  <c r="E150" i="4"/>
  <c r="E151" i="4"/>
  <c r="E152" i="4"/>
  <c r="E153" i="4"/>
  <c r="E154" i="4"/>
  <c r="E115" i="4"/>
  <c r="E116" i="4"/>
  <c r="E117" i="4"/>
  <c r="E118" i="4"/>
  <c r="E111" i="4"/>
  <c r="E119" i="4"/>
  <c r="E112" i="4"/>
  <c r="E120" i="4"/>
  <c r="E113" i="4"/>
  <c r="E121" i="4"/>
  <c r="E114" i="4"/>
  <c r="E94" i="4"/>
  <c r="E95" i="4"/>
  <c r="E96" i="4"/>
  <c r="E44" i="4"/>
  <c r="E45" i="4"/>
  <c r="E20" i="4"/>
  <c r="E21" i="4"/>
  <c r="E22" i="4"/>
  <c r="E23" i="4"/>
  <c r="E24" i="4"/>
  <c r="E1113" i="13"/>
  <c r="E2779" i="3"/>
  <c r="P1134" i="13"/>
  <c r="P1131" i="13"/>
  <c r="P1129" i="13"/>
  <c r="P1127" i="13"/>
  <c r="P1125" i="13"/>
  <c r="P1135" i="13"/>
  <c r="P1126" i="13"/>
  <c r="P1124" i="13"/>
  <c r="P1132" i="13"/>
  <c r="P1130" i="13"/>
  <c r="P1133" i="13"/>
  <c r="P1128" i="13"/>
  <c r="P1123" i="13"/>
  <c r="P1118" i="13"/>
  <c r="P1115" i="13"/>
  <c r="P1116" i="13"/>
  <c r="P1120" i="13"/>
  <c r="P1117" i="13"/>
  <c r="P1119" i="13"/>
  <c r="P1122" i="13"/>
  <c r="P1114" i="13"/>
  <c r="E900" i="13"/>
  <c r="E643" i="13"/>
  <c r="E2993" i="3"/>
  <c r="E510" i="13"/>
  <c r="E2871" i="3"/>
  <c r="E2930" i="3"/>
  <c r="E2870" i="3"/>
  <c r="E1121" i="13"/>
  <c r="E2874" i="3"/>
  <c r="E2927" i="3"/>
  <c r="E2952" i="3"/>
  <c r="E2873" i="3"/>
  <c r="E1118" i="13"/>
  <c r="E2928" i="3"/>
  <c r="E2991" i="3"/>
  <c r="E1120" i="13"/>
  <c r="E2802" i="3"/>
  <c r="E1117" i="13"/>
  <c r="E2869" i="3"/>
  <c r="E2992" i="3"/>
  <c r="E2926" i="3"/>
  <c r="E3018" i="3"/>
  <c r="E1116" i="13"/>
  <c r="E2929" i="3"/>
  <c r="E1119" i="13"/>
  <c r="E771" i="13"/>
  <c r="E1099" i="13"/>
  <c r="E701" i="13"/>
  <c r="E1029" i="13"/>
  <c r="E790" i="13"/>
  <c r="E555" i="13"/>
  <c r="E791" i="13"/>
  <c r="E144" i="13"/>
  <c r="E1007" i="13"/>
  <c r="E789" i="13"/>
  <c r="E2782" i="3"/>
  <c r="E2751" i="3"/>
  <c r="E2660" i="3"/>
  <c r="E883" i="13"/>
  <c r="E2780" i="3"/>
  <c r="E2781" i="3"/>
  <c r="E1073" i="13"/>
  <c r="E943" i="13"/>
  <c r="E844" i="13"/>
  <c r="E2712" i="3"/>
  <c r="E934" i="13"/>
  <c r="E725" i="13"/>
  <c r="E431" i="13"/>
  <c r="E2710" i="3"/>
  <c r="E2778" i="3"/>
  <c r="E1055" i="13"/>
  <c r="E910" i="13"/>
  <c r="E825" i="13"/>
  <c r="E2682" i="3"/>
  <c r="E908" i="13"/>
  <c r="E823" i="13"/>
  <c r="E685" i="13"/>
  <c r="E889" i="13"/>
  <c r="E646" i="13"/>
  <c r="E1115" i="13"/>
  <c r="E1100" i="13"/>
  <c r="E999" i="13"/>
  <c r="E870" i="13"/>
  <c r="E1074" i="13"/>
  <c r="E865" i="13"/>
  <c r="E753" i="13"/>
  <c r="E117" i="13"/>
  <c r="E1091" i="13"/>
  <c r="E1070" i="13"/>
  <c r="E1054" i="13"/>
  <c r="E998" i="13"/>
  <c r="E971" i="13"/>
  <c r="E933" i="13"/>
  <c r="E907" i="13"/>
  <c r="E881" i="13"/>
  <c r="E842" i="13"/>
  <c r="E721" i="13"/>
  <c r="E630" i="13"/>
  <c r="E547" i="13"/>
  <c r="E428" i="13"/>
  <c r="E291" i="13"/>
  <c r="E108" i="13"/>
  <c r="E2742" i="3"/>
  <c r="E2709" i="3"/>
  <c r="E2650" i="3"/>
  <c r="E1090" i="13"/>
  <c r="E1066" i="13"/>
  <c r="E1047" i="13"/>
  <c r="E1026" i="13"/>
  <c r="E990" i="13"/>
  <c r="E963" i="13"/>
  <c r="E929" i="13"/>
  <c r="E899" i="13"/>
  <c r="E879" i="13"/>
  <c r="E861" i="13"/>
  <c r="E837" i="13"/>
  <c r="E815" i="13"/>
  <c r="E782" i="13"/>
  <c r="E745" i="13"/>
  <c r="E719" i="13"/>
  <c r="E619" i="13"/>
  <c r="E519" i="13"/>
  <c r="E2702" i="3"/>
  <c r="E2645" i="3"/>
  <c r="E1082" i="13"/>
  <c r="E1046" i="13"/>
  <c r="E1020" i="13"/>
  <c r="E988" i="13"/>
  <c r="E898" i="13"/>
  <c r="E878" i="13"/>
  <c r="E836" i="13"/>
  <c r="E807" i="13"/>
  <c r="E780" i="13"/>
  <c r="E710" i="13"/>
  <c r="E611" i="13"/>
  <c r="E190" i="13"/>
  <c r="E80" i="13"/>
  <c r="E2732" i="3"/>
  <c r="E2700" i="3"/>
  <c r="E2581" i="3"/>
  <c r="E1063" i="13"/>
  <c r="E1045" i="13"/>
  <c r="E1018" i="13"/>
  <c r="E987" i="13"/>
  <c r="E953" i="13"/>
  <c r="E926" i="13"/>
  <c r="E877" i="13"/>
  <c r="E852" i="13"/>
  <c r="E835" i="13"/>
  <c r="E799" i="13"/>
  <c r="E779" i="13"/>
  <c r="E742" i="13"/>
  <c r="E662" i="13"/>
  <c r="E606" i="13"/>
  <c r="E254" i="13"/>
  <c r="E181" i="13"/>
  <c r="E66" i="13"/>
  <c r="E2729" i="3"/>
  <c r="E2697" i="3"/>
  <c r="E983" i="13"/>
  <c r="E925" i="13"/>
  <c r="E851" i="13"/>
  <c r="E834" i="13"/>
  <c r="E703" i="13"/>
  <c r="E579" i="13"/>
  <c r="E474" i="13"/>
  <c r="E2756" i="3"/>
  <c r="E2720" i="3"/>
  <c r="E2692" i="3"/>
  <c r="E1075" i="13"/>
  <c r="E1042" i="13"/>
  <c r="E981" i="13"/>
  <c r="E917" i="13"/>
  <c r="E846" i="13"/>
  <c r="E826" i="13"/>
  <c r="E795" i="13"/>
  <c r="E733" i="13"/>
  <c r="E693" i="13"/>
  <c r="E574" i="13"/>
  <c r="E468" i="13"/>
  <c r="E322" i="13"/>
  <c r="E2752" i="3"/>
  <c r="E2719" i="3"/>
  <c r="E2684" i="3"/>
  <c r="E2485" i="3"/>
  <c r="E972" i="13"/>
  <c r="E1114" i="13"/>
  <c r="E1106" i="13"/>
  <c r="E1097" i="13"/>
  <c r="E1087" i="13"/>
  <c r="E1069" i="13"/>
  <c r="E1060" i="13"/>
  <c r="E1033" i="13"/>
  <c r="E1014" i="13"/>
  <c r="E1005" i="13"/>
  <c r="E996" i="13"/>
  <c r="E978" i="13"/>
  <c r="E969" i="13"/>
  <c r="E959" i="13"/>
  <c r="E950" i="13"/>
  <c r="E941" i="13"/>
  <c r="E932" i="13"/>
  <c r="E923" i="13"/>
  <c r="E914" i="13"/>
  <c r="E905" i="13"/>
  <c r="E895" i="13"/>
  <c r="E886" i="13"/>
  <c r="E868" i="13"/>
  <c r="E859" i="13"/>
  <c r="E831" i="13"/>
  <c r="E822" i="13"/>
  <c r="E813" i="13"/>
  <c r="E804" i="13"/>
  <c r="E786" i="13"/>
  <c r="E777" i="13"/>
  <c r="E758" i="13"/>
  <c r="E749" i="13"/>
  <c r="E740" i="13"/>
  <c r="E717" i="13"/>
  <c r="E678" i="13"/>
  <c r="E566" i="13"/>
  <c r="E495" i="13"/>
  <c r="E459" i="13"/>
  <c r="E203" i="13"/>
  <c r="E166" i="13"/>
  <c r="E130" i="13"/>
  <c r="E2769" i="3"/>
  <c r="E2759" i="3"/>
  <c r="E2749" i="3"/>
  <c r="E2737" i="3"/>
  <c r="E2727" i="3"/>
  <c r="E2717" i="3"/>
  <c r="E2705" i="3"/>
  <c r="E2695" i="3"/>
  <c r="E2674" i="3"/>
  <c r="E2635" i="3"/>
  <c r="E2549" i="3"/>
  <c r="E2465" i="3"/>
  <c r="E1105" i="13"/>
  <c r="E1095" i="13"/>
  <c r="E1068" i="13"/>
  <c r="E1041" i="13"/>
  <c r="E1031" i="13"/>
  <c r="E1022" i="13"/>
  <c r="E1013" i="13"/>
  <c r="E1004" i="13"/>
  <c r="E995" i="13"/>
  <c r="E986" i="13"/>
  <c r="E977" i="13"/>
  <c r="E967" i="13"/>
  <c r="E958" i="13"/>
  <c r="E949" i="13"/>
  <c r="E940" i="13"/>
  <c r="E931" i="13"/>
  <c r="E922" i="13"/>
  <c r="E903" i="13"/>
  <c r="E885" i="13"/>
  <c r="E876" i="13"/>
  <c r="E867" i="13"/>
  <c r="E858" i="13"/>
  <c r="E830" i="13"/>
  <c r="E821" i="13"/>
  <c r="E794" i="13"/>
  <c r="E785" i="13"/>
  <c r="E757" i="13"/>
  <c r="E715" i="13"/>
  <c r="E677" i="13"/>
  <c r="E627" i="13"/>
  <c r="E528" i="13"/>
  <c r="E492" i="13"/>
  <c r="E455" i="13"/>
  <c r="E382" i="13"/>
  <c r="E346" i="13"/>
  <c r="E272" i="13"/>
  <c r="E236" i="13"/>
  <c r="E199" i="13"/>
  <c r="E163" i="13"/>
  <c r="E2768" i="3"/>
  <c r="E2758" i="3"/>
  <c r="E2748" i="3"/>
  <c r="E2736" i="3"/>
  <c r="E2726" i="3"/>
  <c r="E2716" i="3"/>
  <c r="E2704" i="3"/>
  <c r="E2694" i="3"/>
  <c r="E2670" i="3"/>
  <c r="E2625" i="3"/>
  <c r="E2539" i="3"/>
  <c r="E2453" i="3"/>
  <c r="E1103" i="13"/>
  <c r="E1085" i="13"/>
  <c r="E1076" i="13"/>
  <c r="E1058" i="13"/>
  <c r="E1039" i="13"/>
  <c r="E1012" i="13"/>
  <c r="E975" i="13"/>
  <c r="E966" i="13"/>
  <c r="E957" i="13"/>
  <c r="E948" i="13"/>
  <c r="E939" i="13"/>
  <c r="E921" i="13"/>
  <c r="E911" i="13"/>
  <c r="E875" i="13"/>
  <c r="E866" i="13"/>
  <c r="E857" i="13"/>
  <c r="E847" i="13"/>
  <c r="E820" i="13"/>
  <c r="E811" i="13"/>
  <c r="E756" i="13"/>
  <c r="E737" i="13"/>
  <c r="E711" i="13"/>
  <c r="E694" i="13"/>
  <c r="E523" i="13"/>
  <c r="E486" i="13"/>
  <c r="E450" i="13"/>
  <c r="E376" i="13"/>
  <c r="E340" i="13"/>
  <c r="E194" i="13"/>
  <c r="E157" i="13"/>
  <c r="E2777" i="3"/>
  <c r="E2767" i="3"/>
  <c r="E2757" i="3"/>
  <c r="E2745" i="3"/>
  <c r="E2735" i="3"/>
  <c r="E2725" i="3"/>
  <c r="E2713" i="3"/>
  <c r="E2703" i="3"/>
  <c r="E2693" i="3"/>
  <c r="E2667" i="3"/>
  <c r="E2613" i="3"/>
  <c r="E1111" i="13"/>
  <c r="E1093" i="13"/>
  <c r="E1038" i="13"/>
  <c r="E1002" i="13"/>
  <c r="E993" i="13"/>
  <c r="E965" i="13"/>
  <c r="E956" i="13"/>
  <c r="E938" i="13"/>
  <c r="E901" i="13"/>
  <c r="E819" i="13"/>
  <c r="E801" i="13"/>
  <c r="E764" i="13"/>
  <c r="E755" i="13"/>
  <c r="E735" i="13"/>
  <c r="E373" i="13"/>
  <c r="E263" i="13"/>
  <c r="E44" i="13"/>
  <c r="E2776" i="3"/>
  <c r="E2766" i="3"/>
  <c r="E2734" i="3"/>
  <c r="E2724" i="3"/>
  <c r="E2433" i="3"/>
  <c r="E1092" i="13"/>
  <c r="E1028" i="13"/>
  <c r="E1010" i="13"/>
  <c r="E973" i="13"/>
  <c r="E964" i="13"/>
  <c r="E955" i="13"/>
  <c r="E946" i="13"/>
  <c r="E909" i="13"/>
  <c r="E891" i="13"/>
  <c r="E882" i="13"/>
  <c r="E873" i="13"/>
  <c r="E854" i="13"/>
  <c r="E845" i="13"/>
  <c r="E827" i="13"/>
  <c r="E818" i="13"/>
  <c r="E763" i="13"/>
  <c r="E754" i="13"/>
  <c r="E723" i="13"/>
  <c r="E691" i="13"/>
  <c r="E614" i="13"/>
  <c r="E440" i="13"/>
  <c r="E404" i="13"/>
  <c r="E294" i="13"/>
  <c r="E111" i="13"/>
  <c r="E38" i="13"/>
  <c r="E2775" i="3"/>
  <c r="E2765" i="3"/>
  <c r="E2733" i="3"/>
  <c r="E2721" i="3"/>
  <c r="E2711" i="3"/>
  <c r="E2701" i="3"/>
  <c r="E2689" i="3"/>
  <c r="E2657" i="3"/>
  <c r="E327" i="13"/>
  <c r="E2774" i="3"/>
  <c r="E2764" i="3"/>
  <c r="E1108" i="13"/>
  <c r="E980" i="13"/>
  <c r="E962" i="13"/>
  <c r="E916" i="13"/>
  <c r="E797" i="13"/>
  <c r="E770" i="13"/>
  <c r="E638" i="13"/>
  <c r="E541" i="13"/>
  <c r="E29" i="13"/>
  <c r="E2773" i="3"/>
  <c r="E2761" i="3"/>
  <c r="E1107" i="13"/>
  <c r="E1098" i="13"/>
  <c r="E979" i="13"/>
  <c r="E970" i="13"/>
  <c r="E951" i="13"/>
  <c r="E942" i="13"/>
  <c r="E887" i="13"/>
  <c r="E869" i="13"/>
  <c r="E833" i="13"/>
  <c r="E805" i="13"/>
  <c r="E787" i="13"/>
  <c r="E718" i="13"/>
  <c r="E702" i="13"/>
  <c r="E501" i="13"/>
  <c r="E2772" i="3"/>
  <c r="E2728" i="3"/>
  <c r="E2708" i="3"/>
  <c r="E2696" i="3"/>
  <c r="L453" i="12"/>
  <c r="M453" i="12" s="1"/>
  <c r="E9" i="13"/>
  <c r="E9" i="3"/>
  <c r="E10" i="3"/>
  <c r="E11" i="3"/>
  <c r="E2530" i="3"/>
  <c r="E2531" i="3"/>
  <c r="E2532" i="3"/>
  <c r="E2746" i="3"/>
  <c r="E2747" i="3"/>
  <c r="E2512" i="3"/>
  <c r="E2513" i="3"/>
  <c r="E2514" i="3"/>
  <c r="E2515" i="3"/>
  <c r="E2516" i="3"/>
  <c r="E2511" i="3"/>
  <c r="E2504" i="3"/>
  <c r="E2508" i="3"/>
  <c r="E2509" i="3"/>
  <c r="E2510" i="3"/>
  <c r="E2505" i="3"/>
  <c r="E2506" i="3"/>
  <c r="E2519" i="3"/>
  <c r="E2520" i="3"/>
  <c r="E2518" i="3"/>
  <c r="E2521" i="3"/>
  <c r="E2522" i="3"/>
  <c r="E2523" i="3"/>
  <c r="E2524" i="3"/>
  <c r="E2525" i="3"/>
  <c r="E2526" i="3"/>
  <c r="E121" i="17"/>
  <c r="E2495" i="3"/>
  <c r="E2503" i="3"/>
  <c r="E2496" i="3"/>
  <c r="E2498" i="3"/>
  <c r="E2499" i="3"/>
  <c r="E2490" i="3"/>
  <c r="E2500" i="3"/>
  <c r="E2491" i="3"/>
  <c r="E2501" i="3"/>
  <c r="E2492" i="3"/>
  <c r="E2502" i="3"/>
  <c r="E2493" i="3"/>
  <c r="E2494" i="3"/>
  <c r="E120" i="17"/>
  <c r="E2482" i="3"/>
  <c r="E2483" i="3"/>
  <c r="E2484" i="3"/>
  <c r="E2471" i="3"/>
  <c r="E2479" i="3"/>
  <c r="E2472" i="3"/>
  <c r="E2480" i="3"/>
  <c r="E2481" i="3"/>
  <c r="E2473" i="3"/>
  <c r="E2476" i="3"/>
  <c r="E2477" i="3"/>
  <c r="E2478" i="3"/>
  <c r="E2474" i="3"/>
  <c r="E2455" i="3"/>
  <c r="E2456" i="3"/>
  <c r="E2454" i="3"/>
  <c r="E2451" i="3"/>
  <c r="E2452" i="3"/>
  <c r="E2738" i="3"/>
  <c r="E2739" i="3"/>
  <c r="E2463" i="3"/>
  <c r="E2464" i="3"/>
  <c r="E2466" i="3"/>
  <c r="E2467" i="3"/>
  <c r="E2468" i="3"/>
  <c r="E2469" i="3"/>
  <c r="E2470" i="3"/>
  <c r="E2415" i="3"/>
  <c r="E2416" i="3"/>
  <c r="E2412" i="3"/>
  <c r="E2422" i="3"/>
  <c r="E2413" i="3"/>
  <c r="E2414" i="3"/>
  <c r="E2417" i="3"/>
  <c r="E2418" i="3"/>
  <c r="E2409" i="3"/>
  <c r="E2419" i="3"/>
  <c r="E2420" i="3"/>
  <c r="E2411" i="3"/>
  <c r="E2423" i="3"/>
  <c r="E2424" i="3"/>
  <c r="E2425" i="3"/>
  <c r="E2426" i="3"/>
  <c r="E2427" i="3"/>
  <c r="E2428" i="3"/>
  <c r="E2410" i="3"/>
  <c r="E984" i="13"/>
  <c r="E2714" i="3"/>
  <c r="E2722" i="3"/>
  <c r="E2730" i="3"/>
  <c r="E2715" i="3"/>
  <c r="E2723" i="3"/>
  <c r="E2731" i="3"/>
  <c r="E840" i="13"/>
  <c r="E2402" i="3"/>
  <c r="E2407" i="3"/>
  <c r="E2403" i="3"/>
  <c r="E2404" i="3"/>
  <c r="E2405" i="3"/>
  <c r="E2406" i="3"/>
  <c r="E368" i="13"/>
  <c r="E2359" i="3"/>
  <c r="E2352" i="3"/>
  <c r="E2360" i="3"/>
  <c r="E2358" i="3"/>
  <c r="E2361" i="3"/>
  <c r="E2362" i="3"/>
  <c r="E2353" i="3"/>
  <c r="E2354" i="3"/>
  <c r="E2355" i="3"/>
  <c r="E2356" i="3"/>
  <c r="E2357" i="3"/>
  <c r="E2679" i="3"/>
  <c r="E2687" i="3"/>
  <c r="E2680" i="3"/>
  <c r="E2688" i="3"/>
  <c r="E2678" i="3"/>
  <c r="E2690" i="3"/>
  <c r="E2698" i="3"/>
  <c r="E2706" i="3"/>
  <c r="E2681" i="3"/>
  <c r="E2691" i="3"/>
  <c r="E2699" i="3"/>
  <c r="E2707" i="3"/>
  <c r="E2683" i="3"/>
  <c r="E2675" i="3"/>
  <c r="E2685" i="3"/>
  <c r="E2676" i="3"/>
  <c r="E2686" i="3"/>
  <c r="E34" i="13"/>
  <c r="E2311" i="3"/>
  <c r="E2312" i="3"/>
  <c r="E2316" i="3"/>
  <c r="E2313" i="3"/>
  <c r="E2314" i="3"/>
  <c r="E2315" i="3"/>
  <c r="E36" i="13"/>
  <c r="E2303" i="3"/>
  <c r="E2304" i="3"/>
  <c r="E2306" i="3"/>
  <c r="E2307" i="3"/>
  <c r="E2308" i="3"/>
  <c r="E2299" i="3"/>
  <c r="E2309" i="3"/>
  <c r="E2300" i="3"/>
  <c r="E2310" i="3"/>
  <c r="E2301" i="3"/>
  <c r="E2302" i="3"/>
  <c r="E2305" i="3"/>
  <c r="E37" i="13"/>
  <c r="E2319" i="3"/>
  <c r="E2327" i="3"/>
  <c r="E2320" i="3"/>
  <c r="E2328" i="3"/>
  <c r="E2326" i="3"/>
  <c r="E2317" i="3"/>
  <c r="E2318" i="3"/>
  <c r="E2321" i="3"/>
  <c r="E2322" i="3"/>
  <c r="E2323" i="3"/>
  <c r="E2324" i="3"/>
  <c r="E2335" i="3"/>
  <c r="E2343" i="3"/>
  <c r="E2351" i="3"/>
  <c r="E2336" i="3"/>
  <c r="E2344" i="3"/>
  <c r="E2338" i="3"/>
  <c r="E2348" i="3"/>
  <c r="E2329" i="3"/>
  <c r="E2339" i="3"/>
  <c r="E2349" i="3"/>
  <c r="E2330" i="3"/>
  <c r="E2340" i="3"/>
  <c r="E2350" i="3"/>
  <c r="E2331" i="3"/>
  <c r="E2341" i="3"/>
  <c r="E2332" i="3"/>
  <c r="E2342" i="3"/>
  <c r="E2333" i="3"/>
  <c r="E2345" i="3"/>
  <c r="E2334" i="3"/>
  <c r="E2346" i="3"/>
  <c r="E2325" i="3"/>
  <c r="E2337" i="3"/>
  <c r="E2347" i="3"/>
  <c r="E2583" i="3"/>
  <c r="E2591" i="3"/>
  <c r="E2623" i="3"/>
  <c r="E2631" i="3"/>
  <c r="E2663" i="3"/>
  <c r="E2671" i="3"/>
  <c r="E2584" i="3"/>
  <c r="E2592" i="3"/>
  <c r="E2624" i="3"/>
  <c r="E2656" i="3"/>
  <c r="E2664" i="3"/>
  <c r="E2672" i="3"/>
  <c r="E2582" i="3"/>
  <c r="E2594" i="3"/>
  <c r="E2626" i="3"/>
  <c r="E2658" i="3"/>
  <c r="E2668" i="3"/>
  <c r="E2585" i="3"/>
  <c r="E2627" i="3"/>
  <c r="E2659" i="3"/>
  <c r="E2669" i="3"/>
  <c r="E2586" i="3"/>
  <c r="E2618" i="3"/>
  <c r="E2628" i="3"/>
  <c r="E2587" i="3"/>
  <c r="E2619" i="3"/>
  <c r="E2629" i="3"/>
  <c r="E2661" i="3"/>
  <c r="E2673" i="3"/>
  <c r="E2588" i="3"/>
  <c r="E2620" i="3"/>
  <c r="E2630" i="3"/>
  <c r="E2662" i="3"/>
  <c r="E2579" i="3"/>
  <c r="E2589" i="3"/>
  <c r="E2621" i="3"/>
  <c r="E2665" i="3"/>
  <c r="E2580" i="3"/>
  <c r="E2590" i="3"/>
  <c r="E2622" i="3"/>
  <c r="E2666" i="3"/>
  <c r="E800" i="13"/>
  <c r="E2575" i="3"/>
  <c r="E2568" i="3"/>
  <c r="E2576" i="3"/>
  <c r="E2572" i="3"/>
  <c r="E2573" i="3"/>
  <c r="E2574" i="3"/>
  <c r="E2577" i="3"/>
  <c r="E2578" i="3"/>
  <c r="E2569" i="3"/>
  <c r="E2570" i="3"/>
  <c r="E2267" i="3"/>
  <c r="E2268" i="3"/>
  <c r="E2269" i="3"/>
  <c r="E2270" i="3"/>
  <c r="E2271" i="3"/>
  <c r="E2279" i="3"/>
  <c r="E2287" i="3"/>
  <c r="E2272" i="3"/>
  <c r="E2280" i="3"/>
  <c r="E2274" i="3"/>
  <c r="E2284" i="3"/>
  <c r="E2275" i="3"/>
  <c r="E2285" i="3"/>
  <c r="E2276" i="3"/>
  <c r="E2286" i="3"/>
  <c r="E2277" i="3"/>
  <c r="E2278" i="3"/>
  <c r="E2281" i="3"/>
  <c r="E2282" i="3"/>
  <c r="E2273" i="3"/>
  <c r="E2283" i="3"/>
  <c r="E2265" i="3"/>
  <c r="E2266" i="3"/>
  <c r="E2263" i="3"/>
  <c r="E2256" i="3"/>
  <c r="E2262" i="3"/>
  <c r="E2257" i="3"/>
  <c r="E2258" i="3"/>
  <c r="E2259" i="3"/>
  <c r="E2260" i="3"/>
  <c r="E2261" i="3"/>
  <c r="E2247" i="3"/>
  <c r="E2255" i="3"/>
  <c r="E2240" i="3"/>
  <c r="E2248" i="3"/>
  <c r="E2242" i="3"/>
  <c r="E2252" i="3"/>
  <c r="E2243" i="3"/>
  <c r="E2253" i="3"/>
  <c r="E2244" i="3"/>
  <c r="E2254" i="3"/>
  <c r="E2245" i="3"/>
  <c r="E2246" i="3"/>
  <c r="E2249" i="3"/>
  <c r="E2250" i="3"/>
  <c r="E2241" i="3"/>
  <c r="E2251" i="3"/>
  <c r="E2231" i="3"/>
  <c r="E2239" i="3"/>
  <c r="E2232" i="3"/>
  <c r="E2230" i="3"/>
  <c r="E2233" i="3"/>
  <c r="E2234" i="3"/>
  <c r="E2235" i="3"/>
  <c r="E2236" i="3"/>
  <c r="E2237" i="3"/>
  <c r="E2228" i="3"/>
  <c r="E2238" i="3"/>
  <c r="E2229" i="3"/>
  <c r="E768" i="13"/>
  <c r="E2223" i="3"/>
  <c r="E2222" i="3"/>
  <c r="E2567" i="3"/>
  <c r="E2564" i="3"/>
  <c r="E2565" i="3"/>
  <c r="E2566" i="3"/>
  <c r="E2199" i="3"/>
  <c r="E2200" i="3"/>
  <c r="E2198" i="3"/>
  <c r="E2189" i="3"/>
  <c r="E2201" i="3"/>
  <c r="E2196" i="3"/>
  <c r="E2197" i="3"/>
  <c r="E2191" i="3"/>
  <c r="E2192" i="3"/>
  <c r="E2190" i="3"/>
  <c r="E2202" i="3"/>
  <c r="E2193" i="3"/>
  <c r="E2194" i="3"/>
  <c r="E2195" i="3"/>
  <c r="E2551" i="3"/>
  <c r="E2559" i="3"/>
  <c r="E2552" i="3"/>
  <c r="E2560" i="3"/>
  <c r="E2550" i="3"/>
  <c r="E2562" i="3"/>
  <c r="E2553" i="3"/>
  <c r="E2563" i="3"/>
  <c r="E2554" i="3"/>
  <c r="E2545" i="3"/>
  <c r="E2555" i="3"/>
  <c r="E2546" i="3"/>
  <c r="E2556" i="3"/>
  <c r="E2547" i="3"/>
  <c r="E2557" i="3"/>
  <c r="E2548" i="3"/>
  <c r="E2558" i="3"/>
  <c r="E2178" i="3"/>
  <c r="E2179" i="3"/>
  <c r="E2180" i="3"/>
  <c r="E2181" i="3"/>
  <c r="E2182" i="3"/>
  <c r="E2183" i="3"/>
  <c r="E2184" i="3"/>
  <c r="E2188" i="3"/>
  <c r="E2185" i="3"/>
  <c r="E2186" i="3"/>
  <c r="E2187" i="3"/>
  <c r="E2175" i="3"/>
  <c r="E2174" i="3"/>
  <c r="E752" i="13"/>
  <c r="E2176" i="3"/>
  <c r="E2177" i="3"/>
  <c r="E2139" i="3"/>
  <c r="E2140" i="3"/>
  <c r="E2141" i="3"/>
  <c r="E2142" i="3"/>
  <c r="E744" i="13"/>
  <c r="E2143" i="3"/>
  <c r="E2144" i="3"/>
  <c r="E944" i="13"/>
  <c r="E2151" i="3"/>
  <c r="E2152" i="3"/>
  <c r="E2146" i="3"/>
  <c r="E2147" i="3"/>
  <c r="E2148" i="3"/>
  <c r="E2149" i="3"/>
  <c r="E2150" i="3"/>
  <c r="E2153" i="3"/>
  <c r="E2154" i="3"/>
  <c r="E2145" i="3"/>
  <c r="E2487" i="3"/>
  <c r="E2535" i="3"/>
  <c r="E2543" i="3"/>
  <c r="E2488" i="3"/>
  <c r="E2536" i="3"/>
  <c r="E2544" i="3"/>
  <c r="E2486" i="3"/>
  <c r="E2540" i="3"/>
  <c r="E2489" i="3"/>
  <c r="E2541" i="3"/>
  <c r="E2542" i="3"/>
  <c r="E2533" i="3"/>
  <c r="E2460" i="3"/>
  <c r="E2534" i="3"/>
  <c r="E2461" i="3"/>
  <c r="E2537" i="3"/>
  <c r="E2462" i="3"/>
  <c r="E2538" i="3"/>
  <c r="E2135" i="3"/>
  <c r="E2136" i="3"/>
  <c r="E2134" i="3"/>
  <c r="E2137" i="3"/>
  <c r="E2138" i="3"/>
  <c r="E2129" i="3"/>
  <c r="E2130" i="3"/>
  <c r="E2131" i="3"/>
  <c r="E2132" i="3"/>
  <c r="E2133" i="3"/>
  <c r="E2127" i="3"/>
  <c r="E2128" i="3"/>
  <c r="E2124" i="3"/>
  <c r="E2125" i="3"/>
  <c r="E2126" i="3"/>
  <c r="E2121" i="3"/>
  <c r="E2122" i="3"/>
  <c r="E2123" i="3"/>
  <c r="E1096" i="13"/>
  <c r="E2107" i="3"/>
  <c r="E260" i="13"/>
  <c r="E2447" i="3"/>
  <c r="E2448" i="3"/>
  <c r="E2444" i="3"/>
  <c r="E2445" i="3"/>
  <c r="E2457" i="3"/>
  <c r="E2446" i="3"/>
  <c r="E2458" i="3"/>
  <c r="E2449" i="3"/>
  <c r="E2459" i="3"/>
  <c r="E2450" i="3"/>
  <c r="E2441" i="3"/>
  <c r="E2442" i="3"/>
  <c r="E730" i="13"/>
  <c r="E2391" i="3"/>
  <c r="E2399" i="3"/>
  <c r="E2431" i="3"/>
  <c r="E2439" i="3"/>
  <c r="E2392" i="3"/>
  <c r="E2400" i="3"/>
  <c r="E2432" i="3"/>
  <c r="E2440" i="3"/>
  <c r="E2390" i="3"/>
  <c r="E2434" i="3"/>
  <c r="E2393" i="3"/>
  <c r="E2435" i="3"/>
  <c r="E2394" i="3"/>
  <c r="E2436" i="3"/>
  <c r="E2395" i="3"/>
  <c r="E2437" i="3"/>
  <c r="E2396" i="3"/>
  <c r="E2438" i="3"/>
  <c r="E2397" i="3"/>
  <c r="E2429" i="3"/>
  <c r="E2398" i="3"/>
  <c r="E2430" i="3"/>
  <c r="E2401" i="3"/>
  <c r="E110" i="17"/>
  <c r="E2071" i="3"/>
  <c r="E2079" i="3"/>
  <c r="E2072" i="3"/>
  <c r="E2080" i="3"/>
  <c r="E2070" i="3"/>
  <c r="E2073" i="3"/>
  <c r="E2074" i="3"/>
  <c r="E2075" i="3"/>
  <c r="E2076" i="3"/>
  <c r="E2067" i="3"/>
  <c r="E2077" i="3"/>
  <c r="E2068" i="3"/>
  <c r="E2078" i="3"/>
  <c r="E2069" i="3"/>
  <c r="E2081" i="3"/>
  <c r="E728" i="13"/>
  <c r="E2063" i="3"/>
  <c r="E2064" i="3"/>
  <c r="E2060" i="3"/>
  <c r="E2061" i="3"/>
  <c r="E2062" i="3"/>
  <c r="E2065" i="3"/>
  <c r="E2066" i="3"/>
  <c r="E2058" i="3"/>
  <c r="E2059" i="3"/>
  <c r="E2015" i="3"/>
  <c r="E2016" i="3"/>
  <c r="E2018" i="3"/>
  <c r="E2009" i="3"/>
  <c r="E2019" i="3"/>
  <c r="E2010" i="3"/>
  <c r="E2020" i="3"/>
  <c r="E2011" i="3"/>
  <c r="E2021" i="3"/>
  <c r="E2012" i="3"/>
  <c r="E2022" i="3"/>
  <c r="E2013" i="3"/>
  <c r="E2014" i="3"/>
  <c r="E2017" i="3"/>
  <c r="E109" i="17"/>
  <c r="E2023" i="3"/>
  <c r="E2031" i="3"/>
  <c r="E2039" i="3"/>
  <c r="E2047" i="3"/>
  <c r="E2055" i="3"/>
  <c r="E2024" i="3"/>
  <c r="E2032" i="3"/>
  <c r="E2040" i="3"/>
  <c r="E2048" i="3"/>
  <c r="E2056" i="3"/>
  <c r="E2028" i="3"/>
  <c r="E2038" i="3"/>
  <c r="E2050" i="3"/>
  <c r="E2029" i="3"/>
  <c r="E2041" i="3"/>
  <c r="E2051" i="3"/>
  <c r="E2030" i="3"/>
  <c r="E2042" i="3"/>
  <c r="E2052" i="3"/>
  <c r="E2033" i="3"/>
  <c r="E2043" i="3"/>
  <c r="E2053" i="3"/>
  <c r="E2034" i="3"/>
  <c r="E2044" i="3"/>
  <c r="E2054" i="3"/>
  <c r="E2025" i="3"/>
  <c r="E2035" i="3"/>
  <c r="E2045" i="3"/>
  <c r="E2057" i="3"/>
  <c r="E2026" i="3"/>
  <c r="E2036" i="3"/>
  <c r="E2046" i="3"/>
  <c r="E2027" i="3"/>
  <c r="E2037" i="3"/>
  <c r="E2049" i="3"/>
  <c r="E2385" i="3"/>
  <c r="E2386" i="3"/>
  <c r="E2387" i="3"/>
  <c r="E2388" i="3"/>
  <c r="E2389" i="3"/>
  <c r="E2383" i="3"/>
  <c r="E2384" i="3"/>
  <c r="E2380" i="3"/>
  <c r="E2381" i="3"/>
  <c r="E2382" i="3"/>
  <c r="E2379" i="3"/>
  <c r="E1991" i="3"/>
  <c r="E1992" i="3"/>
  <c r="E1989" i="3"/>
  <c r="E1990" i="3"/>
  <c r="E108" i="17"/>
  <c r="E1999" i="3"/>
  <c r="E2000" i="3"/>
  <c r="E1996" i="3"/>
  <c r="E1997" i="3"/>
  <c r="E1998" i="3"/>
  <c r="E2001" i="3"/>
  <c r="E2002" i="3"/>
  <c r="E1993" i="3"/>
  <c r="E1994" i="3"/>
  <c r="E1995" i="3"/>
  <c r="E713" i="13"/>
  <c r="E1974" i="3"/>
  <c r="E2367" i="3"/>
  <c r="E2375" i="3"/>
  <c r="E2368" i="3"/>
  <c r="E2376" i="3"/>
  <c r="E2370" i="3"/>
  <c r="E2371" i="3"/>
  <c r="E2372" i="3"/>
  <c r="E2373" i="3"/>
  <c r="E2374" i="3"/>
  <c r="E2377" i="3"/>
  <c r="E2378" i="3"/>
  <c r="E2369" i="3"/>
  <c r="E1987" i="3"/>
  <c r="E1988" i="3"/>
  <c r="E1972" i="3"/>
  <c r="E1973" i="3"/>
  <c r="E2295" i="3"/>
  <c r="E2224" i="3"/>
  <c r="E2288" i="3"/>
  <c r="E2296" i="3"/>
  <c r="E2294" i="3"/>
  <c r="E2221" i="3"/>
  <c r="E2297" i="3"/>
  <c r="E2298" i="3"/>
  <c r="E2225" i="3"/>
  <c r="E2289" i="3"/>
  <c r="E2363" i="3"/>
  <c r="E2226" i="3"/>
  <c r="E2290" i="3"/>
  <c r="E2364" i="3"/>
  <c r="E2227" i="3"/>
  <c r="E2291" i="3"/>
  <c r="E2365" i="3"/>
  <c r="E2292" i="3"/>
  <c r="E2293" i="3"/>
  <c r="E2111" i="3"/>
  <c r="E2119" i="3"/>
  <c r="E2159" i="3"/>
  <c r="E2167" i="3"/>
  <c r="E2207" i="3"/>
  <c r="E2215" i="3"/>
  <c r="E2104" i="3"/>
  <c r="E2112" i="3"/>
  <c r="E2120" i="3"/>
  <c r="E2160" i="3"/>
  <c r="E2168" i="3"/>
  <c r="E2208" i="3"/>
  <c r="E2216" i="3"/>
  <c r="E2114" i="3"/>
  <c r="E2156" i="3"/>
  <c r="E2166" i="3"/>
  <c r="E2210" i="3"/>
  <c r="E2220" i="3"/>
  <c r="E2105" i="3"/>
  <c r="E2115" i="3"/>
  <c r="E2157" i="3"/>
  <c r="E2169" i="3"/>
  <c r="E2211" i="3"/>
  <c r="E2106" i="3"/>
  <c r="E2116" i="3"/>
  <c r="E2158" i="3"/>
  <c r="E2170" i="3"/>
  <c r="E2212" i="3"/>
  <c r="E2117" i="3"/>
  <c r="E2161" i="3"/>
  <c r="E2171" i="3"/>
  <c r="E2203" i="3"/>
  <c r="E2213" i="3"/>
  <c r="E2108" i="3"/>
  <c r="E2118" i="3"/>
  <c r="E2162" i="3"/>
  <c r="E2172" i="3"/>
  <c r="E2204" i="3"/>
  <c r="E2214" i="3"/>
  <c r="E2109" i="3"/>
  <c r="E2163" i="3"/>
  <c r="E2173" i="3"/>
  <c r="E2205" i="3"/>
  <c r="E2217" i="3"/>
  <c r="E2110" i="3"/>
  <c r="E2164" i="3"/>
  <c r="E2206" i="3"/>
  <c r="E2218" i="3"/>
  <c r="E2113" i="3"/>
  <c r="E2155" i="3"/>
  <c r="E2165" i="3"/>
  <c r="E2209" i="3"/>
  <c r="E2219" i="3"/>
  <c r="E1866" i="3"/>
  <c r="E1871" i="3"/>
  <c r="E1867" i="3"/>
  <c r="E1870" i="3"/>
  <c r="E1868" i="3"/>
  <c r="E1869" i="3"/>
  <c r="E904" i="13"/>
  <c r="E1873" i="3"/>
  <c r="E1881" i="3"/>
  <c r="E1874" i="3"/>
  <c r="E1882" i="3"/>
  <c r="E1883" i="3"/>
  <c r="E1872" i="3"/>
  <c r="E1884" i="3"/>
  <c r="E1886" i="3"/>
  <c r="E1875" i="3"/>
  <c r="E1887" i="3"/>
  <c r="E1876" i="3"/>
  <c r="E1877" i="3"/>
  <c r="E1878" i="3"/>
  <c r="E1879" i="3"/>
  <c r="E1880" i="3"/>
  <c r="E1885" i="3"/>
  <c r="E2103" i="3"/>
  <c r="E2102" i="3"/>
  <c r="E2099" i="3"/>
  <c r="E2100" i="3"/>
  <c r="E2101" i="3"/>
  <c r="E1889" i="3"/>
  <c r="E1890" i="3"/>
  <c r="E1893" i="3"/>
  <c r="E1888" i="3"/>
  <c r="E1891" i="3"/>
  <c r="E1892" i="3"/>
  <c r="E687" i="13"/>
  <c r="E1857" i="3"/>
  <c r="E1853" i="3"/>
  <c r="E1854" i="3"/>
  <c r="E1855" i="3"/>
  <c r="E1856" i="3"/>
  <c r="E105" i="17"/>
  <c r="E1865" i="3"/>
  <c r="E1858" i="3"/>
  <c r="E1861" i="3"/>
  <c r="E1862" i="3"/>
  <c r="E1863" i="3"/>
  <c r="E1864" i="3"/>
  <c r="E1859" i="3"/>
  <c r="E1860" i="3"/>
  <c r="E1841" i="3"/>
  <c r="E1842" i="3"/>
  <c r="E1839" i="3"/>
  <c r="E1840" i="3"/>
  <c r="E1843" i="3"/>
  <c r="E676" i="13"/>
  <c r="E1849" i="3"/>
  <c r="E1850" i="3"/>
  <c r="E1851" i="3"/>
  <c r="E1852" i="3"/>
  <c r="E1844" i="3"/>
  <c r="E1845" i="3"/>
  <c r="E1847" i="3"/>
  <c r="E1848" i="3"/>
  <c r="E1846" i="3"/>
  <c r="E2007" i="3"/>
  <c r="E2087" i="3"/>
  <c r="E2095" i="3"/>
  <c r="E2008" i="3"/>
  <c r="E2088" i="3"/>
  <c r="E2096" i="3"/>
  <c r="E2006" i="3"/>
  <c r="E2092" i="3"/>
  <c r="E2083" i="3"/>
  <c r="E2093" i="3"/>
  <c r="E2084" i="3"/>
  <c r="E2094" i="3"/>
  <c r="E2085" i="3"/>
  <c r="E2097" i="3"/>
  <c r="E2086" i="3"/>
  <c r="E2098" i="3"/>
  <c r="E2089" i="3"/>
  <c r="E2004" i="3"/>
  <c r="E2090" i="3"/>
  <c r="E2005" i="3"/>
  <c r="E2091" i="3"/>
  <c r="E671" i="13"/>
  <c r="E1837" i="3"/>
  <c r="E1838" i="3"/>
  <c r="E1836" i="3"/>
  <c r="E1833" i="3"/>
  <c r="E1834" i="3"/>
  <c r="E666" i="13"/>
  <c r="E1832" i="3"/>
  <c r="E1822" i="3"/>
  <c r="E1823" i="3"/>
  <c r="E663" i="13"/>
  <c r="E1825" i="3"/>
  <c r="E1826" i="3"/>
  <c r="E1829" i="3"/>
  <c r="E1830" i="3"/>
  <c r="E1831" i="3"/>
  <c r="E1827" i="3"/>
  <c r="E1828" i="3"/>
  <c r="E1824" i="3"/>
  <c r="E1820" i="3"/>
  <c r="E1821" i="3"/>
  <c r="E660" i="13"/>
  <c r="E1817" i="3"/>
  <c r="E1818" i="3"/>
  <c r="E1819" i="3"/>
  <c r="E1815" i="3"/>
  <c r="E1816" i="3"/>
  <c r="E658" i="13"/>
  <c r="E1809" i="3"/>
  <c r="E1810" i="3"/>
  <c r="E1807" i="3"/>
  <c r="E1808" i="3"/>
  <c r="E1811" i="3"/>
  <c r="E1812" i="3"/>
  <c r="E1806" i="3"/>
  <c r="E1813" i="3"/>
  <c r="E1814" i="3"/>
  <c r="E1777" i="3"/>
  <c r="E1785" i="3"/>
  <c r="E1793" i="3"/>
  <c r="E1778" i="3"/>
  <c r="E1786" i="3"/>
  <c r="E1794" i="3"/>
  <c r="E1775" i="3"/>
  <c r="E1787" i="3"/>
  <c r="E1776" i="3"/>
  <c r="E1788" i="3"/>
  <c r="E1779" i="3"/>
  <c r="E1789" i="3"/>
  <c r="E1780" i="3"/>
  <c r="E1790" i="3"/>
  <c r="E1781" i="3"/>
  <c r="E1791" i="3"/>
  <c r="E1783" i="3"/>
  <c r="E1795" i="3"/>
  <c r="E1774" i="3"/>
  <c r="E1784" i="3"/>
  <c r="E1796" i="3"/>
  <c r="E1782" i="3"/>
  <c r="E1792" i="3"/>
  <c r="E1801" i="3"/>
  <c r="E1802" i="3"/>
  <c r="E1797" i="3"/>
  <c r="E1798" i="3"/>
  <c r="E1799" i="3"/>
  <c r="E1800" i="3"/>
  <c r="E1803" i="3"/>
  <c r="E1805" i="3"/>
  <c r="E1804" i="3"/>
  <c r="E1983" i="3"/>
  <c r="E1984" i="3"/>
  <c r="E1986" i="3"/>
  <c r="E1978" i="3"/>
  <c r="E1979" i="3"/>
  <c r="E1980" i="3"/>
  <c r="E1981" i="3"/>
  <c r="E2003" i="3"/>
  <c r="E1982" i="3"/>
  <c r="E1985" i="3"/>
  <c r="E1745" i="3"/>
  <c r="E1746" i="3"/>
  <c r="E1743" i="3"/>
  <c r="E1744" i="3"/>
  <c r="E1747" i="3"/>
  <c r="E1742" i="3"/>
  <c r="E648" i="13"/>
  <c r="E1959" i="3"/>
  <c r="E1967" i="3"/>
  <c r="E1975" i="3"/>
  <c r="E1960" i="3"/>
  <c r="E1968" i="3"/>
  <c r="E1976" i="3"/>
  <c r="E1964" i="3"/>
  <c r="E1965" i="3"/>
  <c r="E1977" i="3"/>
  <c r="E1966" i="3"/>
  <c r="E1969" i="3"/>
  <c r="E1958" i="3"/>
  <c r="E1970" i="3"/>
  <c r="E1961" i="3"/>
  <c r="E1962" i="3"/>
  <c r="E1963" i="3"/>
  <c r="E645" i="13"/>
  <c r="E1741" i="3"/>
  <c r="E1737" i="3"/>
  <c r="E1738" i="3"/>
  <c r="E1734" i="3"/>
  <c r="E1735" i="3"/>
  <c r="E1736" i="3"/>
  <c r="E1739" i="3"/>
  <c r="E1740" i="3"/>
  <c r="E641" i="13"/>
  <c r="E1729" i="3"/>
  <c r="E1726" i="3"/>
  <c r="E1727" i="3"/>
  <c r="E1728" i="3"/>
  <c r="E1681" i="3"/>
  <c r="E1682" i="3"/>
  <c r="E1679" i="3"/>
  <c r="E1680" i="3"/>
  <c r="E1678" i="3"/>
  <c r="E1919" i="3"/>
  <c r="E1927" i="3"/>
  <c r="E1935" i="3"/>
  <c r="E1943" i="3"/>
  <c r="E1951" i="3"/>
  <c r="E1920" i="3"/>
  <c r="E1928" i="3"/>
  <c r="E1936" i="3"/>
  <c r="E1944" i="3"/>
  <c r="E1952" i="3"/>
  <c r="E1922" i="3"/>
  <c r="E1932" i="3"/>
  <c r="E1942" i="3"/>
  <c r="E1954" i="3"/>
  <c r="E1923" i="3"/>
  <c r="E1933" i="3"/>
  <c r="E1945" i="3"/>
  <c r="E1955" i="3"/>
  <c r="E1924" i="3"/>
  <c r="E1934" i="3"/>
  <c r="E1946" i="3"/>
  <c r="E1956" i="3"/>
  <c r="E1915" i="3"/>
  <c r="E1925" i="3"/>
  <c r="E1937" i="3"/>
  <c r="E1947" i="3"/>
  <c r="E1957" i="3"/>
  <c r="E1916" i="3"/>
  <c r="E1926" i="3"/>
  <c r="E1938" i="3"/>
  <c r="E1948" i="3"/>
  <c r="E1917" i="3"/>
  <c r="E1929" i="3"/>
  <c r="E1939" i="3"/>
  <c r="E1949" i="3"/>
  <c r="E1918" i="3"/>
  <c r="E1930" i="3"/>
  <c r="E1940" i="3"/>
  <c r="E1950" i="3"/>
  <c r="E1921" i="3"/>
  <c r="E1931" i="3"/>
  <c r="E1941" i="3"/>
  <c r="E1953" i="3"/>
  <c r="E1730" i="3"/>
  <c r="E1733" i="3"/>
  <c r="E1731" i="3"/>
  <c r="E1732" i="3"/>
  <c r="E1673" i="3"/>
  <c r="E1670" i="3"/>
  <c r="E1671" i="3"/>
  <c r="E1672" i="3"/>
  <c r="E636" i="13"/>
  <c r="E1674" i="3"/>
  <c r="E1675" i="3"/>
  <c r="E1677" i="3"/>
  <c r="E1676" i="3"/>
  <c r="E634" i="13"/>
  <c r="E1911" i="3"/>
  <c r="E1912" i="3"/>
  <c r="E1910" i="3"/>
  <c r="E1913" i="3"/>
  <c r="E1914" i="3"/>
  <c r="E1907" i="3"/>
  <c r="E1908" i="3"/>
  <c r="E1909" i="3"/>
  <c r="E1651" i="3"/>
  <c r="E1652" i="3"/>
  <c r="E1657" i="3"/>
  <c r="E1658" i="3"/>
  <c r="E1659" i="3"/>
  <c r="E1653" i="3"/>
  <c r="E1655" i="3"/>
  <c r="E1656" i="3"/>
  <c r="E1654" i="3"/>
  <c r="E1645" i="3"/>
  <c r="E1646" i="3"/>
  <c r="E620" i="13"/>
  <c r="E1649" i="3"/>
  <c r="E1650" i="3"/>
  <c r="E1647" i="3"/>
  <c r="E1648" i="3"/>
  <c r="E1633" i="3"/>
  <c r="E1634" i="3"/>
  <c r="E1637" i="3"/>
  <c r="E1638" i="3"/>
  <c r="E1639" i="3"/>
  <c r="E1631" i="3"/>
  <c r="E1635" i="3"/>
  <c r="E1636" i="3"/>
  <c r="E1632" i="3"/>
  <c r="E612" i="13"/>
  <c r="E1641" i="3"/>
  <c r="E1642" i="3"/>
  <c r="E1640" i="3"/>
  <c r="E1643" i="3"/>
  <c r="E1644" i="3"/>
  <c r="E609" i="13"/>
  <c r="E1628" i="3"/>
  <c r="E1629" i="3"/>
  <c r="E1630" i="3"/>
  <c r="E608" i="13"/>
  <c r="E1617" i="3"/>
  <c r="E1618" i="3"/>
  <c r="E1615" i="3"/>
  <c r="E1616" i="3"/>
  <c r="E1619" i="3"/>
  <c r="E1614" i="3"/>
  <c r="E1625" i="3"/>
  <c r="E1626" i="3"/>
  <c r="E1627" i="3"/>
  <c r="E1620" i="3"/>
  <c r="E1621" i="3"/>
  <c r="E1623" i="3"/>
  <c r="E1624" i="3"/>
  <c r="E1622" i="3"/>
  <c r="E1904" i="3"/>
  <c r="E1905" i="3"/>
  <c r="E1906" i="3"/>
  <c r="E2639" i="3"/>
  <c r="E2647" i="3"/>
  <c r="E2640" i="3"/>
  <c r="E2646" i="3"/>
  <c r="E2637" i="3"/>
  <c r="E2641" i="3"/>
  <c r="E2642" i="3"/>
  <c r="E2643" i="3"/>
  <c r="E2644" i="3"/>
  <c r="E593" i="13"/>
  <c r="E1577" i="3"/>
  <c r="E592" i="13"/>
  <c r="E1761" i="3"/>
  <c r="E1769" i="3"/>
  <c r="E1897" i="3"/>
  <c r="E1754" i="3"/>
  <c r="E1762" i="3"/>
  <c r="E1770" i="3"/>
  <c r="E1898" i="3"/>
  <c r="E1755" i="3"/>
  <c r="E1765" i="3"/>
  <c r="E1903" i="3"/>
  <c r="E1756" i="3"/>
  <c r="E1766" i="3"/>
  <c r="E1894" i="3"/>
  <c r="E1757" i="3"/>
  <c r="E1767" i="3"/>
  <c r="E1758" i="3"/>
  <c r="E1768" i="3"/>
  <c r="E1759" i="3"/>
  <c r="E1771" i="3"/>
  <c r="E1763" i="3"/>
  <c r="E1773" i="3"/>
  <c r="E1764" i="3"/>
  <c r="E1900" i="3"/>
  <c r="E1901" i="3"/>
  <c r="E1902" i="3"/>
  <c r="E1760" i="3"/>
  <c r="E1772" i="3"/>
  <c r="E1895" i="3"/>
  <c r="E1896" i="3"/>
  <c r="E1899" i="3"/>
  <c r="E594" i="13"/>
  <c r="E1609" i="3"/>
  <c r="E1608" i="3"/>
  <c r="E1553" i="3"/>
  <c r="E1561" i="3"/>
  <c r="E1554" i="3"/>
  <c r="E1551" i="3"/>
  <c r="E1552" i="3"/>
  <c r="E1555" i="3"/>
  <c r="E1556" i="3"/>
  <c r="E1547" i="3"/>
  <c r="E1557" i="3"/>
  <c r="E1549" i="3"/>
  <c r="E1559" i="3"/>
  <c r="E1550" i="3"/>
  <c r="E1560" i="3"/>
  <c r="E1548" i="3"/>
  <c r="E1558" i="3"/>
  <c r="E1562" i="3"/>
  <c r="E1563" i="3"/>
  <c r="E1564" i="3"/>
  <c r="E1565" i="3"/>
  <c r="E1566" i="3"/>
  <c r="E1753" i="3"/>
  <c r="E1722" i="3"/>
  <c r="E1723" i="3"/>
  <c r="E1724" i="3"/>
  <c r="E1725" i="3"/>
  <c r="E1748" i="3"/>
  <c r="E1749" i="3"/>
  <c r="E1751" i="3"/>
  <c r="E1752" i="3"/>
  <c r="E1750" i="3"/>
  <c r="E848" i="13"/>
  <c r="E2762" i="3"/>
  <c r="E2770" i="3"/>
  <c r="E2763" i="3"/>
  <c r="E2771" i="3"/>
  <c r="E572" i="13"/>
  <c r="E1545" i="3"/>
  <c r="E1546" i="3"/>
  <c r="E1541" i="3"/>
  <c r="E1542" i="3"/>
  <c r="E1543" i="3"/>
  <c r="E1540" i="3"/>
  <c r="E1521" i="3"/>
  <c r="E1519" i="3"/>
  <c r="E1520" i="3"/>
  <c r="E1705" i="3"/>
  <c r="E1713" i="3"/>
  <c r="E1721" i="3"/>
  <c r="E1706" i="3"/>
  <c r="E1714" i="3"/>
  <c r="E1711" i="3"/>
  <c r="E1712" i="3"/>
  <c r="E1715" i="3"/>
  <c r="E1716" i="3"/>
  <c r="E1707" i="3"/>
  <c r="E1717" i="3"/>
  <c r="E1709" i="3"/>
  <c r="E1719" i="3"/>
  <c r="E1710" i="3"/>
  <c r="E1720" i="3"/>
  <c r="E1718" i="3"/>
  <c r="E1708" i="3"/>
  <c r="E1697" i="3"/>
  <c r="E1698" i="3"/>
  <c r="E1701" i="3"/>
  <c r="E1702" i="3"/>
  <c r="E1703" i="3"/>
  <c r="E1704" i="3"/>
  <c r="E1699" i="3"/>
  <c r="E1700" i="3"/>
  <c r="E1696" i="3"/>
  <c r="E90" i="17"/>
  <c r="E1489" i="3"/>
  <c r="E1490" i="3"/>
  <c r="E1487" i="3"/>
  <c r="E1509" i="3"/>
  <c r="E1488" i="3"/>
  <c r="E1491" i="3"/>
  <c r="E1492" i="3"/>
  <c r="E1483" i="3"/>
  <c r="E1493" i="3"/>
  <c r="E1485" i="3"/>
  <c r="E1495" i="3"/>
  <c r="E1486" i="3"/>
  <c r="E1496" i="3"/>
  <c r="E1484" i="3"/>
  <c r="E1494" i="3"/>
  <c r="E1497" i="3"/>
  <c r="E1498" i="3"/>
  <c r="E1499" i="3"/>
  <c r="E1500" i="3"/>
  <c r="E1501" i="3"/>
  <c r="E1502" i="3"/>
  <c r="E1690" i="3"/>
  <c r="E1691" i="3"/>
  <c r="E1692" i="3"/>
  <c r="E1693" i="3"/>
  <c r="E1694" i="3"/>
  <c r="E1695" i="3"/>
  <c r="E89" i="17"/>
  <c r="E1481" i="3"/>
  <c r="E1482" i="3"/>
  <c r="E1479" i="3"/>
  <c r="E1480" i="3"/>
  <c r="E1469" i="3"/>
  <c r="E1470" i="3"/>
  <c r="E1471" i="3"/>
  <c r="E1472" i="3"/>
  <c r="E1473" i="3"/>
  <c r="E1474" i="3"/>
  <c r="E1477" i="3"/>
  <c r="E1478" i="3"/>
  <c r="E1475" i="3"/>
  <c r="E1476" i="3"/>
  <c r="E2655" i="3"/>
  <c r="E2648" i="3"/>
  <c r="E2649" i="3"/>
  <c r="E2651" i="3"/>
  <c r="E2652" i="3"/>
  <c r="E2653" i="3"/>
  <c r="E2654" i="3"/>
  <c r="E1449" i="3"/>
  <c r="E1457" i="3"/>
  <c r="E1465" i="3"/>
  <c r="E1450" i="3"/>
  <c r="E1458" i="3"/>
  <c r="E1466" i="3"/>
  <c r="E1455" i="3"/>
  <c r="E1467" i="3"/>
  <c r="E1456" i="3"/>
  <c r="E1468" i="3"/>
  <c r="E1459" i="3"/>
  <c r="E1448" i="3"/>
  <c r="E1460" i="3"/>
  <c r="E1451" i="3"/>
  <c r="E1461" i="3"/>
  <c r="E1453" i="3"/>
  <c r="E1463" i="3"/>
  <c r="E1454" i="3"/>
  <c r="E1464" i="3"/>
  <c r="E1462" i="3"/>
  <c r="E1452" i="3"/>
  <c r="E539" i="13"/>
  <c r="E1445" i="3"/>
  <c r="E1446" i="3"/>
  <c r="E1444" i="3"/>
  <c r="E1401" i="3"/>
  <c r="E1402" i="3"/>
  <c r="E1403" i="3"/>
  <c r="E1395" i="3"/>
  <c r="E1396" i="3"/>
  <c r="E1397" i="3"/>
  <c r="E1399" i="3"/>
  <c r="E1400" i="3"/>
  <c r="E1398" i="3"/>
  <c r="E1409" i="3"/>
  <c r="E1410" i="3"/>
  <c r="E1413" i="3"/>
  <c r="E1404" i="3"/>
  <c r="E1414" i="3"/>
  <c r="E1405" i="3"/>
  <c r="E1415" i="3"/>
  <c r="E1406" i="3"/>
  <c r="E1416" i="3"/>
  <c r="E1407" i="3"/>
  <c r="E1411" i="3"/>
  <c r="E1412" i="3"/>
  <c r="E1408" i="3"/>
  <c r="E1601" i="3"/>
  <c r="E1665" i="3"/>
  <c r="E1689" i="3"/>
  <c r="E1602" i="3"/>
  <c r="E1666" i="3"/>
  <c r="E1605" i="3"/>
  <c r="E1669" i="3"/>
  <c r="E1606" i="3"/>
  <c r="E1607" i="3"/>
  <c r="E1683" i="3"/>
  <c r="E1662" i="3"/>
  <c r="E1684" i="3"/>
  <c r="E1611" i="3"/>
  <c r="E1663" i="3"/>
  <c r="E1685" i="3"/>
  <c r="E1603" i="3"/>
  <c r="E1613" i="3"/>
  <c r="E1667" i="3"/>
  <c r="E1687" i="3"/>
  <c r="E1604" i="3"/>
  <c r="E1668" i="3"/>
  <c r="E1688" i="3"/>
  <c r="E1664" i="3"/>
  <c r="E1600" i="3"/>
  <c r="E1686" i="3"/>
  <c r="E1612" i="3"/>
  <c r="E529" i="13"/>
  <c r="E1393" i="3"/>
  <c r="E1394" i="3"/>
  <c r="E1392" i="3"/>
  <c r="E1385" i="3"/>
  <c r="E1386" i="3"/>
  <c r="E1382" i="3"/>
  <c r="E1383" i="3"/>
  <c r="E1384" i="3"/>
  <c r="E1387" i="3"/>
  <c r="E1388" i="3"/>
  <c r="E524" i="13"/>
  <c r="E1391" i="3"/>
  <c r="E1389" i="3"/>
  <c r="E1390" i="3"/>
  <c r="E1377" i="3"/>
  <c r="E1370" i="3"/>
  <c r="E1378" i="3"/>
  <c r="E1371" i="3"/>
  <c r="E1381" i="3"/>
  <c r="E1372" i="3"/>
  <c r="E1373" i="3"/>
  <c r="E1374" i="3"/>
  <c r="E1375" i="3"/>
  <c r="E1379" i="3"/>
  <c r="E1380" i="3"/>
  <c r="E1376" i="3"/>
  <c r="E1369" i="3"/>
  <c r="E1367" i="3"/>
  <c r="E1368" i="3"/>
  <c r="E1366" i="3"/>
  <c r="E1329" i="3"/>
  <c r="E1330" i="3"/>
  <c r="E1328" i="3"/>
  <c r="E1331" i="3"/>
  <c r="E1585" i="3"/>
  <c r="E1593" i="3"/>
  <c r="E1578" i="3"/>
  <c r="E1586" i="3"/>
  <c r="E1594" i="3"/>
  <c r="E1583" i="3"/>
  <c r="E1595" i="3"/>
  <c r="E1584" i="3"/>
  <c r="E1596" i="3"/>
  <c r="E1587" i="3"/>
  <c r="E1597" i="3"/>
  <c r="E1588" i="3"/>
  <c r="E1598" i="3"/>
  <c r="E1579" i="3"/>
  <c r="E1589" i="3"/>
  <c r="E1599" i="3"/>
  <c r="E1581" i="3"/>
  <c r="E1591" i="3"/>
  <c r="E1582" i="3"/>
  <c r="E1592" i="3"/>
  <c r="E1580" i="3"/>
  <c r="E1590" i="3"/>
  <c r="E1332" i="3"/>
  <c r="E1333" i="3"/>
  <c r="E1335" i="3"/>
  <c r="E1358" i="3"/>
  <c r="E1334" i="3"/>
  <c r="E1361" i="3"/>
  <c r="E1362" i="3"/>
  <c r="E1359" i="3"/>
  <c r="E1360" i="3"/>
  <c r="E1363" i="3"/>
  <c r="E1364" i="3"/>
  <c r="E1365" i="3"/>
  <c r="E505" i="13"/>
  <c r="E1322" i="3"/>
  <c r="E1323" i="3"/>
  <c r="E503" i="13"/>
  <c r="E1324" i="3"/>
  <c r="E1325" i="3"/>
  <c r="E1327" i="3"/>
  <c r="E1326" i="3"/>
  <c r="E1321" i="3"/>
  <c r="E1316" i="3"/>
  <c r="E1317" i="3"/>
  <c r="E1319" i="3"/>
  <c r="E1320" i="3"/>
  <c r="E1318" i="3"/>
  <c r="E497" i="13"/>
  <c r="E1297" i="3"/>
  <c r="E1298" i="3"/>
  <c r="E1300" i="3"/>
  <c r="E1301" i="3"/>
  <c r="E1302" i="3"/>
  <c r="E1299" i="3"/>
  <c r="E1537" i="3"/>
  <c r="E1569" i="3"/>
  <c r="E1538" i="3"/>
  <c r="E1570" i="3"/>
  <c r="E1573" i="3"/>
  <c r="E1574" i="3"/>
  <c r="E1575" i="3"/>
  <c r="E1576" i="3"/>
  <c r="E1567" i="3"/>
  <c r="E1571" i="3"/>
  <c r="E1572" i="3"/>
  <c r="E1568" i="3"/>
  <c r="E1536" i="3"/>
  <c r="E1529" i="3"/>
  <c r="E1530" i="3"/>
  <c r="E1531" i="3"/>
  <c r="E1532" i="3"/>
  <c r="E1533" i="3"/>
  <c r="E1534" i="3"/>
  <c r="E1535" i="3"/>
  <c r="E1528" i="3"/>
  <c r="E488" i="13"/>
  <c r="E1287" i="3"/>
  <c r="E1282" i="3"/>
  <c r="E1284" i="3"/>
  <c r="E1285" i="3"/>
  <c r="E1286" i="3"/>
  <c r="E1283" i="3"/>
  <c r="E1281" i="3"/>
  <c r="E1278" i="3"/>
  <c r="E1279" i="3"/>
  <c r="E1280" i="3"/>
  <c r="E471" i="13"/>
  <c r="E1274" i="3"/>
  <c r="E1276" i="3"/>
  <c r="E1275" i="3"/>
  <c r="E2632" i="3"/>
  <c r="E2633" i="3"/>
  <c r="E2634" i="3"/>
  <c r="E1425" i="3"/>
  <c r="E1433" i="3"/>
  <c r="E1441" i="3"/>
  <c r="E1505" i="3"/>
  <c r="E1513" i="3"/>
  <c r="E1426" i="3"/>
  <c r="E1434" i="3"/>
  <c r="E1442" i="3"/>
  <c r="E1506" i="3"/>
  <c r="E1514" i="3"/>
  <c r="E1522" i="3"/>
  <c r="E1435" i="3"/>
  <c r="E1436" i="3"/>
  <c r="E1510" i="3"/>
  <c r="E1427" i="3"/>
  <c r="E1437" i="3"/>
  <c r="E1511" i="3"/>
  <c r="E1523" i="3"/>
  <c r="E1428" i="3"/>
  <c r="E1438" i="3"/>
  <c r="E1512" i="3"/>
  <c r="E1524" i="3"/>
  <c r="E1429" i="3"/>
  <c r="E1439" i="3"/>
  <c r="E1503" i="3"/>
  <c r="E1515" i="3"/>
  <c r="E1525" i="3"/>
  <c r="E1431" i="3"/>
  <c r="E1507" i="3"/>
  <c r="E1517" i="3"/>
  <c r="E1527" i="3"/>
  <c r="E1432" i="3"/>
  <c r="E1508" i="3"/>
  <c r="E1518" i="3"/>
  <c r="E1504" i="3"/>
  <c r="E1430" i="3"/>
  <c r="E1516" i="3"/>
  <c r="E1440" i="3"/>
  <c r="E1526" i="3"/>
  <c r="E1423" i="3"/>
  <c r="E1424" i="3"/>
  <c r="E445" i="13"/>
  <c r="E1217" i="3"/>
  <c r="E1218" i="3"/>
  <c r="E1220" i="3"/>
  <c r="E1221" i="3"/>
  <c r="E1222" i="3"/>
  <c r="E1216" i="3"/>
  <c r="E1219" i="3"/>
  <c r="E1232" i="3"/>
  <c r="E1225" i="3"/>
  <c r="E1226" i="3"/>
  <c r="E1228" i="3"/>
  <c r="E1229" i="3"/>
  <c r="E1230" i="3"/>
  <c r="E1223" i="3"/>
  <c r="E1231" i="3"/>
  <c r="E1224" i="3"/>
  <c r="E1227" i="3"/>
  <c r="E1214" i="3"/>
  <c r="E1215" i="3"/>
  <c r="E436" i="13"/>
  <c r="E1210" i="3"/>
  <c r="E1211" i="3"/>
  <c r="E1212" i="3"/>
  <c r="E1213" i="3"/>
  <c r="E1337" i="3"/>
  <c r="E1345" i="3"/>
  <c r="E1353" i="3"/>
  <c r="E1417" i="3"/>
  <c r="E1314" i="3"/>
  <c r="E1338" i="3"/>
  <c r="E1346" i="3"/>
  <c r="E1354" i="3"/>
  <c r="E1418" i="3"/>
  <c r="E1339" i="3"/>
  <c r="E1349" i="3"/>
  <c r="E1340" i="3"/>
  <c r="E1350" i="3"/>
  <c r="E1341" i="3"/>
  <c r="E1351" i="3"/>
  <c r="E1342" i="3"/>
  <c r="E1352" i="3"/>
  <c r="E1315" i="3"/>
  <c r="E1343" i="3"/>
  <c r="E1355" i="3"/>
  <c r="E1419" i="3"/>
  <c r="E1347" i="3"/>
  <c r="E1357" i="3"/>
  <c r="E1421" i="3"/>
  <c r="E1336" i="3"/>
  <c r="E1348" i="3"/>
  <c r="E1422" i="3"/>
  <c r="E1420" i="3"/>
  <c r="E1344" i="3"/>
  <c r="E1356" i="3"/>
  <c r="E1172" i="3"/>
  <c r="E1173" i="3"/>
  <c r="E1179" i="3"/>
  <c r="E1171" i="3"/>
  <c r="E1177" i="3"/>
  <c r="E1178" i="3"/>
  <c r="E1174" i="3"/>
  <c r="E1175" i="3"/>
  <c r="E1176" i="3"/>
  <c r="E423" i="13"/>
  <c r="E1169" i="3"/>
  <c r="E1170" i="3"/>
  <c r="E1166" i="3"/>
  <c r="E1167" i="3"/>
  <c r="E1168" i="3"/>
  <c r="E412" i="13"/>
  <c r="E1155" i="3"/>
  <c r="E1161" i="3"/>
  <c r="E1162" i="3"/>
  <c r="E1156" i="3"/>
  <c r="E1164" i="3"/>
  <c r="E1157" i="3"/>
  <c r="E1158" i="3"/>
  <c r="E1159" i="3"/>
  <c r="E1160" i="3"/>
  <c r="E1163" i="3"/>
  <c r="E411" i="13"/>
  <c r="E1154" i="3"/>
  <c r="E409" i="13"/>
  <c r="E1153" i="3"/>
  <c r="E1149" i="3"/>
  <c r="E1150" i="3"/>
  <c r="E1151" i="3"/>
  <c r="E1152" i="3"/>
  <c r="E1137" i="3"/>
  <c r="E1138" i="3"/>
  <c r="E1133" i="3"/>
  <c r="E1134" i="3"/>
  <c r="E1135" i="3"/>
  <c r="E1136" i="3"/>
  <c r="E1139" i="3"/>
  <c r="E1145" i="3"/>
  <c r="E1146" i="3"/>
  <c r="E1140" i="3"/>
  <c r="E1148" i="3"/>
  <c r="E1141" i="3"/>
  <c r="E1142" i="3"/>
  <c r="E1143" i="3"/>
  <c r="E1144" i="3"/>
  <c r="E1147" i="3"/>
  <c r="E573" i="13"/>
  <c r="E1033" i="3"/>
  <c r="E1041" i="3"/>
  <c r="E1049" i="3"/>
  <c r="E1034" i="3"/>
  <c r="E1042" i="3"/>
  <c r="E1050" i="3"/>
  <c r="E1044" i="3"/>
  <c r="E1052" i="3"/>
  <c r="E1132" i="3"/>
  <c r="E1045" i="3"/>
  <c r="E1038" i="3"/>
  <c r="E1046" i="3"/>
  <c r="E1039" i="3"/>
  <c r="E1047" i="3"/>
  <c r="E1048" i="3"/>
  <c r="E1051" i="3"/>
  <c r="E1032" i="3"/>
  <c r="E1040" i="3"/>
  <c r="E1043" i="3"/>
  <c r="E1057" i="3"/>
  <c r="E1065" i="3"/>
  <c r="E1058" i="3"/>
  <c r="E1066" i="3"/>
  <c r="E1060" i="3"/>
  <c r="E1068" i="3"/>
  <c r="E1053" i="3"/>
  <c r="E1061" i="3"/>
  <c r="E1069" i="3"/>
  <c r="E1054" i="3"/>
  <c r="E1062" i="3"/>
  <c r="E1070" i="3"/>
  <c r="E1055" i="3"/>
  <c r="E1063" i="3"/>
  <c r="E1071" i="3"/>
  <c r="E1056" i="3"/>
  <c r="E1059" i="3"/>
  <c r="E1064" i="3"/>
  <c r="E1072" i="3"/>
  <c r="E1067" i="3"/>
  <c r="E561" i="13"/>
  <c r="E1036" i="3"/>
  <c r="E1037" i="3"/>
  <c r="E1035" i="3"/>
  <c r="E1241" i="3"/>
  <c r="E1249" i="3"/>
  <c r="E1257" i="3"/>
  <c r="E1265" i="3"/>
  <c r="E1273" i="3"/>
  <c r="E1289" i="3"/>
  <c r="E1305" i="3"/>
  <c r="E1313" i="3"/>
  <c r="E1234" i="3"/>
  <c r="E1242" i="3"/>
  <c r="E1250" i="3"/>
  <c r="E1258" i="3"/>
  <c r="E1266" i="3"/>
  <c r="E1290" i="3"/>
  <c r="E1306" i="3"/>
  <c r="E1236" i="3"/>
  <c r="E1244" i="3"/>
  <c r="E1252" i="3"/>
  <c r="E1260" i="3"/>
  <c r="E1268" i="3"/>
  <c r="E1292" i="3"/>
  <c r="E1308" i="3"/>
  <c r="E1237" i="3"/>
  <c r="E1245" i="3"/>
  <c r="E1253" i="3"/>
  <c r="E1261" i="3"/>
  <c r="E1269" i="3"/>
  <c r="E1293" i="3"/>
  <c r="E1309" i="3"/>
  <c r="E1238" i="3"/>
  <c r="E1246" i="3"/>
  <c r="E1254" i="3"/>
  <c r="E1262" i="3"/>
  <c r="E1270" i="3"/>
  <c r="E1294" i="3"/>
  <c r="E1239" i="3"/>
  <c r="E1247" i="3"/>
  <c r="E1255" i="3"/>
  <c r="E1263" i="3"/>
  <c r="E1271" i="3"/>
  <c r="E1295" i="3"/>
  <c r="E1303" i="3"/>
  <c r="E1311" i="3"/>
  <c r="E1240" i="3"/>
  <c r="E1272" i="3"/>
  <c r="E1304" i="3"/>
  <c r="E1243" i="3"/>
  <c r="E1307" i="3"/>
  <c r="E1248" i="3"/>
  <c r="E1310" i="3"/>
  <c r="E1251" i="3"/>
  <c r="E1312" i="3"/>
  <c r="E1256" i="3"/>
  <c r="E1264" i="3"/>
  <c r="E1296" i="3"/>
  <c r="E1235" i="3"/>
  <c r="E1267" i="3"/>
  <c r="E1259" i="3"/>
  <c r="E1291" i="3"/>
  <c r="E1028" i="3"/>
  <c r="E1029" i="3"/>
  <c r="E1030" i="3"/>
  <c r="E1201" i="3"/>
  <c r="E1209" i="3"/>
  <c r="E1233" i="3"/>
  <c r="E1026" i="3"/>
  <c r="E1202" i="3"/>
  <c r="E1204" i="3"/>
  <c r="E1205" i="3"/>
  <c r="E1206" i="3"/>
  <c r="E1207" i="3"/>
  <c r="E1208" i="3"/>
  <c r="E1027" i="3"/>
  <c r="E1200" i="3"/>
  <c r="E1203" i="3"/>
  <c r="E1025" i="3"/>
  <c r="E1021" i="3"/>
  <c r="E1022" i="3"/>
  <c r="E1023" i="3"/>
  <c r="E1024" i="3"/>
  <c r="E357" i="13"/>
  <c r="E1003" i="3"/>
  <c r="E1004" i="3"/>
  <c r="E1005" i="3"/>
  <c r="E354" i="13"/>
  <c r="E1193" i="3"/>
  <c r="E1194" i="3"/>
  <c r="E1196" i="3"/>
  <c r="E1189" i="3"/>
  <c r="E1197" i="3"/>
  <c r="E1190" i="3"/>
  <c r="E1198" i="3"/>
  <c r="E1191" i="3"/>
  <c r="E1199" i="3"/>
  <c r="E1192" i="3"/>
  <c r="E1195" i="3"/>
  <c r="E1017" i="3"/>
  <c r="E1018" i="3"/>
  <c r="E1020" i="3"/>
  <c r="E1019" i="3"/>
  <c r="E977" i="3"/>
  <c r="E985" i="3"/>
  <c r="E978" i="3"/>
  <c r="E980" i="3"/>
  <c r="E973" i="3"/>
  <c r="E981" i="3"/>
  <c r="E974" i="3"/>
  <c r="E982" i="3"/>
  <c r="E975" i="3"/>
  <c r="E983" i="3"/>
  <c r="E984" i="3"/>
  <c r="E976" i="3"/>
  <c r="E979" i="3"/>
  <c r="E1129" i="3"/>
  <c r="E1185" i="3"/>
  <c r="E1130" i="3"/>
  <c r="E1186" i="3"/>
  <c r="E1124" i="3"/>
  <c r="E1180" i="3"/>
  <c r="E1188" i="3"/>
  <c r="E1125" i="3"/>
  <c r="E1181" i="3"/>
  <c r="E1126" i="3"/>
  <c r="E1182" i="3"/>
  <c r="E1127" i="3"/>
  <c r="E1183" i="3"/>
  <c r="E1184" i="3"/>
  <c r="E1187" i="3"/>
  <c r="E1128" i="3"/>
  <c r="E1131" i="3"/>
  <c r="E1113" i="3"/>
  <c r="E1121" i="3"/>
  <c r="E1114" i="3"/>
  <c r="E1122" i="3"/>
  <c r="E1116" i="3"/>
  <c r="E1117" i="3"/>
  <c r="E1110" i="3"/>
  <c r="E1118" i="3"/>
  <c r="E1111" i="3"/>
  <c r="E1119" i="3"/>
  <c r="E1112" i="3"/>
  <c r="E1115" i="3"/>
  <c r="E1120" i="3"/>
  <c r="E1123" i="3"/>
  <c r="E1105" i="3"/>
  <c r="E1106" i="3"/>
  <c r="E1100" i="3"/>
  <c r="E1108" i="3"/>
  <c r="E1101" i="3"/>
  <c r="E1109" i="3"/>
  <c r="E1102" i="3"/>
  <c r="E1103" i="3"/>
  <c r="E1104" i="3"/>
  <c r="E1107" i="3"/>
  <c r="E943" i="3"/>
  <c r="E944" i="3"/>
  <c r="E945" i="3"/>
  <c r="E946" i="3"/>
  <c r="E947" i="3"/>
  <c r="E325" i="13"/>
  <c r="E929" i="3"/>
  <c r="E928" i="3"/>
  <c r="E937" i="3"/>
  <c r="E930" i="3"/>
  <c r="E938" i="3"/>
  <c r="E932" i="3"/>
  <c r="E940" i="3"/>
  <c r="E933" i="3"/>
  <c r="E941" i="3"/>
  <c r="E934" i="3"/>
  <c r="E942" i="3"/>
  <c r="E935" i="3"/>
  <c r="E931" i="3"/>
  <c r="E936" i="3"/>
  <c r="E939" i="3"/>
  <c r="E1097" i="3"/>
  <c r="E1098" i="3"/>
  <c r="E1092" i="3"/>
  <c r="E1093" i="3"/>
  <c r="E1094" i="3"/>
  <c r="E1095" i="3"/>
  <c r="E1096" i="3"/>
  <c r="E1099" i="3"/>
  <c r="E313" i="13"/>
  <c r="E916" i="3"/>
  <c r="E917" i="3"/>
  <c r="E918" i="3"/>
  <c r="E919" i="3"/>
  <c r="E920" i="3"/>
  <c r="E915" i="3"/>
  <c r="E921" i="3"/>
  <c r="E922" i="3"/>
  <c r="E924" i="3"/>
  <c r="E925" i="3"/>
  <c r="E926" i="3"/>
  <c r="E927" i="3"/>
  <c r="E923" i="3"/>
  <c r="E905" i="3"/>
  <c r="E906" i="3"/>
  <c r="E904" i="3"/>
  <c r="E901" i="3"/>
  <c r="E902" i="3"/>
  <c r="E889" i="3"/>
  <c r="E890" i="3"/>
  <c r="E884" i="3"/>
  <c r="E892" i="3"/>
  <c r="E885" i="3"/>
  <c r="E893" i="3"/>
  <c r="E886" i="3"/>
  <c r="E894" i="3"/>
  <c r="E887" i="3"/>
  <c r="E895" i="3"/>
  <c r="E888" i="3"/>
  <c r="E891" i="3"/>
  <c r="E896" i="3"/>
  <c r="E883" i="3"/>
  <c r="E1089" i="3"/>
  <c r="E1090" i="3"/>
  <c r="E1085" i="3"/>
  <c r="E1086" i="3"/>
  <c r="E1087" i="3"/>
  <c r="E1088" i="3"/>
  <c r="E1091" i="3"/>
  <c r="E1032" i="13"/>
  <c r="E1081" i="3"/>
  <c r="E1082" i="3"/>
  <c r="E1084" i="3"/>
  <c r="E1079" i="3"/>
  <c r="E1080" i="3"/>
  <c r="E1083" i="3"/>
  <c r="E1073" i="3"/>
  <c r="E1074" i="3"/>
  <c r="E1076" i="3"/>
  <c r="E1077" i="3"/>
  <c r="E870" i="3"/>
  <c r="E1078" i="3"/>
  <c r="E871" i="3"/>
  <c r="E1075" i="3"/>
  <c r="E872" i="3"/>
  <c r="E865" i="3"/>
  <c r="E866" i="3"/>
  <c r="E867" i="3"/>
  <c r="E268" i="13"/>
  <c r="E868" i="3"/>
  <c r="E869" i="3"/>
  <c r="E961" i="3"/>
  <c r="E969" i="3"/>
  <c r="E993" i="3"/>
  <c r="E1001" i="3"/>
  <c r="E1009" i="3"/>
  <c r="E962" i="3"/>
  <c r="E970" i="3"/>
  <c r="E986" i="3"/>
  <c r="E994" i="3"/>
  <c r="E1002" i="3"/>
  <c r="E1010" i="3"/>
  <c r="E956" i="3"/>
  <c r="E964" i="3"/>
  <c r="E972" i="3"/>
  <c r="E988" i="3"/>
  <c r="E996" i="3"/>
  <c r="E1012" i="3"/>
  <c r="E957" i="3"/>
  <c r="E965" i="3"/>
  <c r="E989" i="3"/>
  <c r="E997" i="3"/>
  <c r="E1013" i="3"/>
  <c r="E958" i="3"/>
  <c r="E966" i="3"/>
  <c r="E990" i="3"/>
  <c r="E998" i="3"/>
  <c r="E1006" i="3"/>
  <c r="E1014" i="3"/>
  <c r="E959" i="3"/>
  <c r="E967" i="3"/>
  <c r="E991" i="3"/>
  <c r="E999" i="3"/>
  <c r="E1007" i="3"/>
  <c r="E1015" i="3"/>
  <c r="E1016" i="3"/>
  <c r="E955" i="3"/>
  <c r="E987" i="3"/>
  <c r="E960" i="3"/>
  <c r="E992" i="3"/>
  <c r="E963" i="3"/>
  <c r="E995" i="3"/>
  <c r="E968" i="3"/>
  <c r="E1000" i="3"/>
  <c r="E1008" i="3"/>
  <c r="E1011" i="3"/>
  <c r="E971" i="3"/>
  <c r="E396" i="13"/>
  <c r="E953" i="3"/>
  <c r="E954" i="3"/>
  <c r="E949" i="3"/>
  <c r="E950" i="3"/>
  <c r="E951" i="3"/>
  <c r="E952" i="3"/>
  <c r="E811" i="3"/>
  <c r="E812" i="3"/>
  <c r="E259" i="13"/>
  <c r="E857" i="3"/>
  <c r="E873" i="3"/>
  <c r="E881" i="3"/>
  <c r="E897" i="3"/>
  <c r="E913" i="3"/>
  <c r="E858" i="3"/>
  <c r="E874" i="3"/>
  <c r="E882" i="3"/>
  <c r="E898" i="3"/>
  <c r="E914" i="3"/>
  <c r="E859" i="3"/>
  <c r="E875" i="3"/>
  <c r="E860" i="3"/>
  <c r="E876" i="3"/>
  <c r="E900" i="3"/>
  <c r="E908" i="3"/>
  <c r="E861" i="3"/>
  <c r="E877" i="3"/>
  <c r="E909" i="3"/>
  <c r="E862" i="3"/>
  <c r="E878" i="3"/>
  <c r="E910" i="3"/>
  <c r="E855" i="3"/>
  <c r="E863" i="3"/>
  <c r="E911" i="3"/>
  <c r="E856" i="3"/>
  <c r="E899" i="3"/>
  <c r="E864" i="3"/>
  <c r="E880" i="3"/>
  <c r="E912" i="3"/>
  <c r="E907" i="3"/>
  <c r="E833" i="3"/>
  <c r="E841" i="3"/>
  <c r="E849" i="3"/>
  <c r="E834" i="3"/>
  <c r="E842" i="3"/>
  <c r="E850" i="3"/>
  <c r="E835" i="3"/>
  <c r="E843" i="3"/>
  <c r="E851" i="3"/>
  <c r="E836" i="3"/>
  <c r="E844" i="3"/>
  <c r="E852" i="3"/>
  <c r="E837" i="3"/>
  <c r="E845" i="3"/>
  <c r="E853" i="3"/>
  <c r="E838" i="3"/>
  <c r="E846" i="3"/>
  <c r="E854" i="3"/>
  <c r="E839" i="3"/>
  <c r="E847" i="3"/>
  <c r="E832" i="3"/>
  <c r="E840" i="3"/>
  <c r="E848" i="3"/>
  <c r="E753" i="3"/>
  <c r="E754" i="3"/>
  <c r="E755" i="3"/>
  <c r="E756" i="3"/>
  <c r="E747" i="3"/>
  <c r="E748" i="3"/>
  <c r="E749" i="3"/>
  <c r="E750" i="3"/>
  <c r="E751" i="3"/>
  <c r="E752" i="3"/>
  <c r="E739" i="3"/>
  <c r="E740" i="3"/>
  <c r="E741" i="3"/>
  <c r="E742" i="3"/>
  <c r="E743" i="3"/>
  <c r="E247" i="13"/>
  <c r="E745" i="3"/>
  <c r="E746" i="3"/>
  <c r="E744" i="3"/>
  <c r="E825" i="3"/>
  <c r="E826" i="3"/>
  <c r="E827" i="3"/>
  <c r="E828" i="3"/>
  <c r="E829" i="3"/>
  <c r="E830" i="3"/>
  <c r="E831" i="3"/>
  <c r="E824" i="3"/>
  <c r="E244" i="13"/>
  <c r="E737" i="3"/>
  <c r="E738" i="3"/>
  <c r="E733" i="3"/>
  <c r="E734" i="3"/>
  <c r="E735" i="3"/>
  <c r="E240" i="13"/>
  <c r="E722" i="3"/>
  <c r="E723" i="3"/>
  <c r="E724" i="3"/>
  <c r="E725" i="3"/>
  <c r="E726" i="3"/>
  <c r="E727" i="3"/>
  <c r="E729" i="3"/>
  <c r="E730" i="3"/>
  <c r="E731" i="3"/>
  <c r="E732" i="3"/>
  <c r="E728" i="3"/>
  <c r="E478" i="13"/>
  <c r="E2754" i="3"/>
  <c r="E2755" i="3"/>
  <c r="E721" i="3"/>
  <c r="E715" i="3"/>
  <c r="E716" i="3"/>
  <c r="E717" i="3"/>
  <c r="E718" i="3"/>
  <c r="E719" i="3"/>
  <c r="E720" i="3"/>
  <c r="E680" i="3"/>
  <c r="E681" i="3"/>
  <c r="E682" i="3"/>
  <c r="E384" i="13"/>
  <c r="E687" i="3"/>
  <c r="E688" i="3"/>
  <c r="E689" i="3"/>
  <c r="E697" i="3"/>
  <c r="E690" i="3"/>
  <c r="E698" i="3"/>
  <c r="E691" i="3"/>
  <c r="E692" i="3"/>
  <c r="E683" i="3"/>
  <c r="E693" i="3"/>
  <c r="E684" i="3"/>
  <c r="E694" i="3"/>
  <c r="E685" i="3"/>
  <c r="E695" i="3"/>
  <c r="E686" i="3"/>
  <c r="E696" i="3"/>
  <c r="E385" i="13"/>
  <c r="E705" i="3"/>
  <c r="E713" i="3"/>
  <c r="E706" i="3"/>
  <c r="E714" i="3"/>
  <c r="E699" i="3"/>
  <c r="E707" i="3"/>
  <c r="E700" i="3"/>
  <c r="E708" i="3"/>
  <c r="E701" i="3"/>
  <c r="E709" i="3"/>
  <c r="E702" i="3"/>
  <c r="E710" i="3"/>
  <c r="E703" i="3"/>
  <c r="E711" i="3"/>
  <c r="E704" i="3"/>
  <c r="E712" i="3"/>
  <c r="E679" i="3"/>
  <c r="E678" i="3"/>
  <c r="E671" i="3"/>
  <c r="E672" i="3"/>
  <c r="E667" i="3"/>
  <c r="E668" i="3"/>
  <c r="E669" i="3"/>
  <c r="E670" i="3"/>
  <c r="E673" i="3"/>
  <c r="E674" i="3"/>
  <c r="E675" i="3"/>
  <c r="E666" i="3"/>
  <c r="E676" i="3"/>
  <c r="E639" i="3"/>
  <c r="E640" i="3"/>
  <c r="E641" i="3"/>
  <c r="E642" i="3"/>
  <c r="E647" i="3"/>
  <c r="E655" i="3"/>
  <c r="E663" i="3"/>
  <c r="E648" i="3"/>
  <c r="E656" i="3"/>
  <c r="E664" i="3"/>
  <c r="E649" i="3"/>
  <c r="E650" i="3"/>
  <c r="E658" i="3"/>
  <c r="E646" i="3"/>
  <c r="E654" i="3"/>
  <c r="E662" i="3"/>
  <c r="E652" i="3"/>
  <c r="E653" i="3"/>
  <c r="E657" i="3"/>
  <c r="E659" i="3"/>
  <c r="E643" i="3"/>
  <c r="E660" i="3"/>
  <c r="E644" i="3"/>
  <c r="E661" i="3"/>
  <c r="E645" i="3"/>
  <c r="E665" i="3"/>
  <c r="E651" i="3"/>
  <c r="E638" i="3"/>
  <c r="E635" i="3"/>
  <c r="E636" i="3"/>
  <c r="E637" i="3"/>
  <c r="E342" i="13"/>
  <c r="E793" i="3"/>
  <c r="E801" i="3"/>
  <c r="E809" i="3"/>
  <c r="E817" i="3"/>
  <c r="E794" i="3"/>
  <c r="E802" i="3"/>
  <c r="E810" i="3"/>
  <c r="E818" i="3"/>
  <c r="E795" i="3"/>
  <c r="E803" i="3"/>
  <c r="E819" i="3"/>
  <c r="E796" i="3"/>
  <c r="E804" i="3"/>
  <c r="E820" i="3"/>
  <c r="E797" i="3"/>
  <c r="E805" i="3"/>
  <c r="E813" i="3"/>
  <c r="E821" i="3"/>
  <c r="E798" i="3"/>
  <c r="E806" i="3"/>
  <c r="E814" i="3"/>
  <c r="E822" i="3"/>
  <c r="E799" i="3"/>
  <c r="E807" i="3"/>
  <c r="E815" i="3"/>
  <c r="E823" i="3"/>
  <c r="E792" i="3"/>
  <c r="E800" i="3"/>
  <c r="E816" i="3"/>
  <c r="E808" i="3"/>
  <c r="E220" i="13"/>
  <c r="E595" i="3"/>
  <c r="E219" i="13"/>
  <c r="E599" i="3"/>
  <c r="E600" i="3"/>
  <c r="E601" i="3"/>
  <c r="E602" i="3"/>
  <c r="E603" i="3"/>
  <c r="E596" i="3"/>
  <c r="E604" i="3"/>
  <c r="E597" i="3"/>
  <c r="E598" i="3"/>
  <c r="E591" i="3"/>
  <c r="E592" i="3"/>
  <c r="E593" i="3"/>
  <c r="E594" i="3"/>
  <c r="E213" i="13"/>
  <c r="E789" i="3"/>
  <c r="E790" i="3"/>
  <c r="E791" i="3"/>
  <c r="E777" i="3"/>
  <c r="E785" i="3"/>
  <c r="E778" i="3"/>
  <c r="E786" i="3"/>
  <c r="E779" i="3"/>
  <c r="E787" i="3"/>
  <c r="E780" i="3"/>
  <c r="E788" i="3"/>
  <c r="E781" i="3"/>
  <c r="E782" i="3"/>
  <c r="E775" i="3"/>
  <c r="E783" i="3"/>
  <c r="E776" i="3"/>
  <c r="E784" i="3"/>
  <c r="E210" i="13"/>
  <c r="E560" i="3"/>
  <c r="E561" i="3"/>
  <c r="E562" i="3"/>
  <c r="E563" i="3"/>
  <c r="E564" i="3"/>
  <c r="E565" i="3"/>
  <c r="E567" i="3"/>
  <c r="E568" i="3"/>
  <c r="E569" i="3"/>
  <c r="E570" i="3"/>
  <c r="E571" i="3"/>
  <c r="E572" i="3"/>
  <c r="E573" i="3"/>
  <c r="E566" i="3"/>
  <c r="E519" i="3"/>
  <c r="E514" i="3"/>
  <c r="E515" i="3"/>
  <c r="E516" i="3"/>
  <c r="E517" i="3"/>
  <c r="E518" i="3"/>
  <c r="E623" i="3"/>
  <c r="E631" i="3"/>
  <c r="E624" i="3"/>
  <c r="E632" i="3"/>
  <c r="E625" i="3"/>
  <c r="E633" i="3"/>
  <c r="E618" i="3"/>
  <c r="E626" i="3"/>
  <c r="E634" i="3"/>
  <c r="E619" i="3"/>
  <c r="E622" i="3"/>
  <c r="E630" i="3"/>
  <c r="E629" i="3"/>
  <c r="E761" i="3"/>
  <c r="E769" i="3"/>
  <c r="E762" i="3"/>
  <c r="E770" i="3"/>
  <c r="E763" i="3"/>
  <c r="E771" i="3"/>
  <c r="E764" i="3"/>
  <c r="E772" i="3"/>
  <c r="E620" i="3"/>
  <c r="E757" i="3"/>
  <c r="E765" i="3"/>
  <c r="E773" i="3"/>
  <c r="E621" i="3"/>
  <c r="E758" i="3"/>
  <c r="E766" i="3"/>
  <c r="E774" i="3"/>
  <c r="E627" i="3"/>
  <c r="E759" i="3"/>
  <c r="E767" i="3"/>
  <c r="E768" i="3"/>
  <c r="E628" i="3"/>
  <c r="E760" i="3"/>
  <c r="E520" i="3"/>
  <c r="E521" i="3"/>
  <c r="E522" i="3"/>
  <c r="E523" i="3"/>
  <c r="E524" i="3"/>
  <c r="E511" i="3"/>
  <c r="E512" i="3"/>
  <c r="E513" i="3"/>
  <c r="E506" i="3"/>
  <c r="E507" i="3"/>
  <c r="E508" i="3"/>
  <c r="E509" i="3"/>
  <c r="E510" i="3"/>
  <c r="E471" i="3"/>
  <c r="E479" i="3"/>
  <c r="E472" i="3"/>
  <c r="E480" i="3"/>
  <c r="E473" i="3"/>
  <c r="E481" i="3"/>
  <c r="E474" i="3"/>
  <c r="E482" i="3"/>
  <c r="E475" i="3"/>
  <c r="E483" i="3"/>
  <c r="E468" i="3"/>
  <c r="E476" i="3"/>
  <c r="E484" i="3"/>
  <c r="E469" i="3"/>
  <c r="E477" i="3"/>
  <c r="E485" i="3"/>
  <c r="E470" i="3"/>
  <c r="E478" i="3"/>
  <c r="E607" i="3"/>
  <c r="E615" i="3"/>
  <c r="E584" i="3"/>
  <c r="E608" i="3"/>
  <c r="E616" i="3"/>
  <c r="E585" i="3"/>
  <c r="E609" i="3"/>
  <c r="E617" i="3"/>
  <c r="E586" i="3"/>
  <c r="E610" i="3"/>
  <c r="E587" i="3"/>
  <c r="E611" i="3"/>
  <c r="E588" i="3"/>
  <c r="E589" i="3"/>
  <c r="E605" i="3"/>
  <c r="E590" i="3"/>
  <c r="E606" i="3"/>
  <c r="E614" i="3"/>
  <c r="E612" i="3"/>
  <c r="E613" i="3"/>
  <c r="E271" i="13"/>
  <c r="E423" i="3"/>
  <c r="E424" i="3"/>
  <c r="E417" i="3"/>
  <c r="E418" i="3"/>
  <c r="E419" i="3"/>
  <c r="E420" i="3"/>
  <c r="E421" i="3"/>
  <c r="E422" i="3"/>
  <c r="E168" i="13"/>
  <c r="E431" i="3"/>
  <c r="E439" i="3"/>
  <c r="E432" i="3"/>
  <c r="E440" i="3"/>
  <c r="E425" i="3"/>
  <c r="E433" i="3"/>
  <c r="E441" i="3"/>
  <c r="E426" i="3"/>
  <c r="E434" i="3"/>
  <c r="E442" i="3"/>
  <c r="E427" i="3"/>
  <c r="E435" i="3"/>
  <c r="E428" i="3"/>
  <c r="E436" i="3"/>
  <c r="E429" i="3"/>
  <c r="E437" i="3"/>
  <c r="E430" i="3"/>
  <c r="E438" i="3"/>
  <c r="E551" i="3"/>
  <c r="E559" i="3"/>
  <c r="E575" i="3"/>
  <c r="E583" i="3"/>
  <c r="E552" i="3"/>
  <c r="E576" i="3"/>
  <c r="E545" i="3"/>
  <c r="E553" i="3"/>
  <c r="E577" i="3"/>
  <c r="E546" i="3"/>
  <c r="E554" i="3"/>
  <c r="E578" i="3"/>
  <c r="E547" i="3"/>
  <c r="E555" i="3"/>
  <c r="E579" i="3"/>
  <c r="E548" i="3"/>
  <c r="E556" i="3"/>
  <c r="E580" i="3"/>
  <c r="E549" i="3"/>
  <c r="E557" i="3"/>
  <c r="E581" i="3"/>
  <c r="E550" i="3"/>
  <c r="E558" i="3"/>
  <c r="E574" i="3"/>
  <c r="E582" i="3"/>
  <c r="E386" i="3"/>
  <c r="E387" i="3"/>
  <c r="E388" i="3"/>
  <c r="E389" i="3"/>
  <c r="E390" i="3"/>
  <c r="E503" i="3"/>
  <c r="E527" i="3"/>
  <c r="E535" i="3"/>
  <c r="E543" i="3"/>
  <c r="E504" i="3"/>
  <c r="E528" i="3"/>
  <c r="E536" i="3"/>
  <c r="E544" i="3"/>
  <c r="E505" i="3"/>
  <c r="E529" i="3"/>
  <c r="E537" i="3"/>
  <c r="E530" i="3"/>
  <c r="E538" i="3"/>
  <c r="E531" i="3"/>
  <c r="E539" i="3"/>
  <c r="E532" i="3"/>
  <c r="E540" i="3"/>
  <c r="E501" i="3"/>
  <c r="E525" i="3"/>
  <c r="E533" i="3"/>
  <c r="E541" i="3"/>
  <c r="E502" i="3"/>
  <c r="E526" i="3"/>
  <c r="E534" i="3"/>
  <c r="E542" i="3"/>
  <c r="E153" i="13"/>
  <c r="E384" i="3"/>
  <c r="E385" i="3"/>
  <c r="E351" i="3"/>
  <c r="E359" i="3"/>
  <c r="E352" i="3"/>
  <c r="E360" i="3"/>
  <c r="E353" i="3"/>
  <c r="E361" i="3"/>
  <c r="E354" i="3"/>
  <c r="E362" i="3"/>
  <c r="E347" i="3"/>
  <c r="E355" i="3"/>
  <c r="E363" i="3"/>
  <c r="E348" i="3"/>
  <c r="E356" i="3"/>
  <c r="E364" i="3"/>
  <c r="E349" i="3"/>
  <c r="E357" i="3"/>
  <c r="E365" i="3"/>
  <c r="E350" i="3"/>
  <c r="E358" i="3"/>
  <c r="E143" i="13"/>
  <c r="E367" i="3"/>
  <c r="E366" i="3"/>
  <c r="E368" i="3"/>
  <c r="E369" i="3"/>
  <c r="E370" i="3"/>
  <c r="E371" i="3"/>
  <c r="E372" i="3"/>
  <c r="E373" i="3"/>
  <c r="E374" i="3"/>
  <c r="E495" i="3"/>
  <c r="E496" i="3"/>
  <c r="E497" i="3"/>
  <c r="E498" i="3"/>
  <c r="E499" i="3"/>
  <c r="E492" i="3"/>
  <c r="E500" i="3"/>
  <c r="E493" i="3"/>
  <c r="E494" i="3"/>
  <c r="E140" i="13"/>
  <c r="E336" i="3"/>
  <c r="E337" i="3"/>
  <c r="E338" i="3"/>
  <c r="E339" i="3"/>
  <c r="E340" i="3"/>
  <c r="E341" i="3"/>
  <c r="E343" i="3"/>
  <c r="E344" i="3"/>
  <c r="E345" i="3"/>
  <c r="E346" i="3"/>
  <c r="E342" i="3"/>
  <c r="E320" i="3"/>
  <c r="E321" i="3"/>
  <c r="E322" i="3"/>
  <c r="E323" i="3"/>
  <c r="E324" i="3"/>
  <c r="E327" i="3"/>
  <c r="E328" i="3"/>
  <c r="E329" i="3"/>
  <c r="E325" i="3"/>
  <c r="E326" i="3"/>
  <c r="E487" i="3"/>
  <c r="E488" i="3"/>
  <c r="E489" i="3"/>
  <c r="E490" i="3"/>
  <c r="E491" i="3"/>
  <c r="E486" i="3"/>
  <c r="E296" i="3"/>
  <c r="E297" i="3"/>
  <c r="E303" i="3"/>
  <c r="E311" i="3"/>
  <c r="E319" i="3"/>
  <c r="E304" i="3"/>
  <c r="E312" i="3"/>
  <c r="E305" i="3"/>
  <c r="E313" i="3"/>
  <c r="E298" i="3"/>
  <c r="E306" i="3"/>
  <c r="E314" i="3"/>
  <c r="E299" i="3"/>
  <c r="E307" i="3"/>
  <c r="E315" i="3"/>
  <c r="E300" i="3"/>
  <c r="E308" i="3"/>
  <c r="E316" i="3"/>
  <c r="E301" i="3"/>
  <c r="E309" i="3"/>
  <c r="E317" i="3"/>
  <c r="E302" i="3"/>
  <c r="E310" i="3"/>
  <c r="E318" i="3"/>
  <c r="E295" i="3"/>
  <c r="E293" i="3"/>
  <c r="E294" i="3"/>
  <c r="E282" i="3"/>
  <c r="E283" i="3"/>
  <c r="E284" i="3"/>
  <c r="E287" i="3"/>
  <c r="E288" i="3"/>
  <c r="E289" i="3"/>
  <c r="E290" i="3"/>
  <c r="E291" i="3"/>
  <c r="E285" i="3"/>
  <c r="E286" i="3"/>
  <c r="E279" i="3"/>
  <c r="E280" i="3"/>
  <c r="E273" i="3"/>
  <c r="E281" i="3"/>
  <c r="E274" i="3"/>
  <c r="E275" i="3"/>
  <c r="E276" i="3"/>
  <c r="E277" i="3"/>
  <c r="E278" i="3"/>
  <c r="E271" i="3"/>
  <c r="E272" i="3"/>
  <c r="E269" i="3"/>
  <c r="E270" i="3"/>
  <c r="E104" i="13"/>
  <c r="E267" i="3"/>
  <c r="E268" i="3"/>
  <c r="E100" i="13"/>
  <c r="E266" i="3"/>
  <c r="E24" i="17"/>
  <c r="E264" i="3"/>
  <c r="E265" i="3"/>
  <c r="E91" i="13"/>
  <c r="E247" i="3"/>
  <c r="E248" i="3"/>
  <c r="E249" i="3"/>
  <c r="E250" i="3"/>
  <c r="E251" i="3"/>
  <c r="E252" i="3"/>
  <c r="E245" i="3"/>
  <c r="E253" i="3"/>
  <c r="E246" i="3"/>
  <c r="E1000" i="13"/>
  <c r="E255" i="3"/>
  <c r="E263" i="3"/>
  <c r="E256" i="3"/>
  <c r="E257" i="3"/>
  <c r="E258" i="3"/>
  <c r="E259" i="3"/>
  <c r="E260" i="3"/>
  <c r="E261" i="3"/>
  <c r="E254" i="3"/>
  <c r="E262" i="3"/>
  <c r="E447" i="3"/>
  <c r="E455" i="3"/>
  <c r="E463" i="3"/>
  <c r="E448" i="3"/>
  <c r="E456" i="3"/>
  <c r="E464" i="3"/>
  <c r="E449" i="3"/>
  <c r="E457" i="3"/>
  <c r="E465" i="3"/>
  <c r="E450" i="3"/>
  <c r="E458" i="3"/>
  <c r="E466" i="3"/>
  <c r="E443" i="3"/>
  <c r="E451" i="3"/>
  <c r="E459" i="3"/>
  <c r="E467" i="3"/>
  <c r="E444" i="3"/>
  <c r="E452" i="3"/>
  <c r="E460" i="3"/>
  <c r="E445" i="3"/>
  <c r="E453" i="3"/>
  <c r="E461" i="3"/>
  <c r="E446" i="3"/>
  <c r="E454" i="3"/>
  <c r="E462" i="3"/>
  <c r="E415" i="3"/>
  <c r="E416" i="3"/>
  <c r="E231" i="3"/>
  <c r="E232" i="3"/>
  <c r="E233" i="3"/>
  <c r="E234" i="3"/>
  <c r="E229" i="3"/>
  <c r="E230" i="3"/>
  <c r="E239" i="3"/>
  <c r="E240" i="3"/>
  <c r="E241" i="3"/>
  <c r="E235" i="3"/>
  <c r="E236" i="3"/>
  <c r="E237" i="3"/>
  <c r="E238" i="3"/>
  <c r="E375" i="3"/>
  <c r="E383" i="3"/>
  <c r="E399" i="3"/>
  <c r="E376" i="3"/>
  <c r="E392" i="3"/>
  <c r="E400" i="3"/>
  <c r="E377" i="3"/>
  <c r="E393" i="3"/>
  <c r="E378" i="3"/>
  <c r="E394" i="3"/>
  <c r="E379" i="3"/>
  <c r="E395" i="3"/>
  <c r="E380" i="3"/>
  <c r="E396" i="3"/>
  <c r="E381" i="3"/>
  <c r="E397" i="3"/>
  <c r="E382" i="3"/>
  <c r="E398" i="3"/>
  <c r="E199" i="3"/>
  <c r="E200" i="3"/>
  <c r="E197" i="3"/>
  <c r="E198" i="3"/>
  <c r="E207" i="3"/>
  <c r="E208" i="3"/>
  <c r="E201" i="3"/>
  <c r="E209" i="3"/>
  <c r="E202" i="3"/>
  <c r="E210" i="3"/>
  <c r="E203" i="3"/>
  <c r="E204" i="3"/>
  <c r="E205" i="3"/>
  <c r="E206" i="3"/>
  <c r="E183" i="3"/>
  <c r="E184" i="3"/>
  <c r="E181" i="3"/>
  <c r="E182" i="3"/>
  <c r="E175" i="3"/>
  <c r="E191" i="3"/>
  <c r="E176" i="3"/>
  <c r="E192" i="3"/>
  <c r="E177" i="3"/>
  <c r="E185" i="3"/>
  <c r="E193" i="3"/>
  <c r="E170" i="3"/>
  <c r="E178" i="3"/>
  <c r="E186" i="3"/>
  <c r="E194" i="3"/>
  <c r="E171" i="3"/>
  <c r="E179" i="3"/>
  <c r="E187" i="3"/>
  <c r="E195" i="3"/>
  <c r="E172" i="3"/>
  <c r="E180" i="3"/>
  <c r="E188" i="3"/>
  <c r="E196" i="3"/>
  <c r="E173" i="3"/>
  <c r="E189" i="3"/>
  <c r="E174" i="3"/>
  <c r="E190" i="3"/>
  <c r="E151" i="3"/>
  <c r="E159" i="3"/>
  <c r="E152" i="3"/>
  <c r="E160" i="3"/>
  <c r="E153" i="3"/>
  <c r="E161" i="3"/>
  <c r="E154" i="3"/>
  <c r="E162" i="3"/>
  <c r="E155" i="3"/>
  <c r="E163" i="3"/>
  <c r="E156" i="3"/>
  <c r="E157" i="3"/>
  <c r="E150" i="3"/>
  <c r="E158" i="3"/>
  <c r="E167" i="3"/>
  <c r="E168" i="3"/>
  <c r="E169" i="3"/>
  <c r="E164" i="3"/>
  <c r="E165" i="3"/>
  <c r="E166" i="3"/>
  <c r="E145" i="3"/>
  <c r="E146" i="3"/>
  <c r="E147" i="3"/>
  <c r="E148" i="3"/>
  <c r="E149" i="3"/>
  <c r="E407" i="3"/>
  <c r="E408" i="3"/>
  <c r="E401" i="3"/>
  <c r="E409" i="3"/>
  <c r="E402" i="3"/>
  <c r="E410" i="3"/>
  <c r="E403" i="3"/>
  <c r="E411" i="3"/>
  <c r="E404" i="3"/>
  <c r="E412" i="3"/>
  <c r="E405" i="3"/>
  <c r="E413" i="3"/>
  <c r="E406" i="3"/>
  <c r="E414" i="3"/>
  <c r="E2599" i="3"/>
  <c r="E2607" i="3"/>
  <c r="E2615" i="3"/>
  <c r="E2600" i="3"/>
  <c r="E2608" i="3"/>
  <c r="E2616" i="3"/>
  <c r="E2604" i="3"/>
  <c r="E2614" i="3"/>
  <c r="E2595" i="3"/>
  <c r="E2605" i="3"/>
  <c r="E2617" i="3"/>
  <c r="E2596" i="3"/>
  <c r="E2606" i="3"/>
  <c r="E2597" i="3"/>
  <c r="E2609" i="3"/>
  <c r="E2598" i="3"/>
  <c r="E2610" i="3"/>
  <c r="E2601" i="3"/>
  <c r="E2611" i="3"/>
  <c r="E2602" i="3"/>
  <c r="E2612" i="3"/>
  <c r="E1112" i="13"/>
  <c r="E74" i="3"/>
  <c r="E49" i="13"/>
  <c r="E75" i="3"/>
  <c r="E76" i="3"/>
  <c r="E79" i="3"/>
  <c r="E119" i="3"/>
  <c r="E127" i="3"/>
  <c r="E135" i="3"/>
  <c r="E143" i="3"/>
  <c r="E215" i="3"/>
  <c r="E223" i="3"/>
  <c r="E335" i="3"/>
  <c r="E80" i="3"/>
  <c r="E120" i="3"/>
  <c r="E128" i="3"/>
  <c r="E136" i="3"/>
  <c r="E144" i="3"/>
  <c r="E216" i="3"/>
  <c r="E224" i="3"/>
  <c r="E81" i="3"/>
  <c r="E121" i="3"/>
  <c r="E129" i="3"/>
  <c r="E137" i="3"/>
  <c r="E217" i="3"/>
  <c r="E225" i="3"/>
  <c r="E82" i="3"/>
  <c r="E114" i="3"/>
  <c r="E122" i="3"/>
  <c r="E130" i="3"/>
  <c r="E138" i="3"/>
  <c r="E218" i="3"/>
  <c r="E226" i="3"/>
  <c r="E242" i="3"/>
  <c r="E330" i="3"/>
  <c r="E83" i="3"/>
  <c r="E115" i="3"/>
  <c r="E123" i="3"/>
  <c r="E131" i="3"/>
  <c r="E139" i="3"/>
  <c r="E211" i="3"/>
  <c r="E219" i="3"/>
  <c r="E227" i="3"/>
  <c r="E243" i="3"/>
  <c r="E331" i="3"/>
  <c r="E84" i="3"/>
  <c r="E116" i="3"/>
  <c r="E124" i="3"/>
  <c r="E132" i="3"/>
  <c r="E140" i="3"/>
  <c r="E212" i="3"/>
  <c r="E220" i="3"/>
  <c r="E228" i="3"/>
  <c r="E332" i="3"/>
  <c r="E77" i="3"/>
  <c r="E117" i="3"/>
  <c r="E125" i="3"/>
  <c r="E133" i="3"/>
  <c r="E141" i="3"/>
  <c r="E213" i="3"/>
  <c r="E221" i="3"/>
  <c r="E333" i="3"/>
  <c r="E78" i="3"/>
  <c r="E118" i="3"/>
  <c r="E126" i="3"/>
  <c r="E134" i="3"/>
  <c r="E142" i="3"/>
  <c r="E214" i="3"/>
  <c r="E222" i="3"/>
  <c r="E334" i="3"/>
  <c r="E87" i="3"/>
  <c r="E85" i="3"/>
  <c r="E86" i="3"/>
  <c r="E134" i="13"/>
  <c r="E103" i="3"/>
  <c r="E111" i="3"/>
  <c r="E104" i="3"/>
  <c r="E112" i="3"/>
  <c r="E105" i="3"/>
  <c r="E113" i="3"/>
  <c r="E106" i="3"/>
  <c r="E107" i="3"/>
  <c r="E108" i="3"/>
  <c r="E109" i="3"/>
  <c r="E102" i="3"/>
  <c r="E110" i="3"/>
  <c r="E48" i="13"/>
  <c r="E70" i="3"/>
  <c r="E46" i="13"/>
  <c r="E71" i="3"/>
  <c r="E72" i="3"/>
  <c r="E73" i="3"/>
  <c r="E95" i="3"/>
  <c r="E88" i="3"/>
  <c r="E96" i="3"/>
  <c r="E89" i="3"/>
  <c r="E97" i="3"/>
  <c r="E90" i="3"/>
  <c r="E98" i="3"/>
  <c r="E91" i="3"/>
  <c r="E99" i="3"/>
  <c r="E92" i="3"/>
  <c r="E100" i="3"/>
  <c r="E93" i="3"/>
  <c r="E101" i="3"/>
  <c r="E94" i="3"/>
  <c r="E55" i="3"/>
  <c r="E63" i="3"/>
  <c r="E56" i="3"/>
  <c r="E64" i="3"/>
  <c r="E57" i="3"/>
  <c r="E65" i="3"/>
  <c r="E58" i="3"/>
  <c r="E66" i="3"/>
  <c r="E59" i="3"/>
  <c r="E67" i="3"/>
  <c r="E60" i="3"/>
  <c r="E68" i="3"/>
  <c r="E53" i="3"/>
  <c r="E61" i="3"/>
  <c r="E54" i="3"/>
  <c r="E62" i="3"/>
  <c r="E47" i="3"/>
  <c r="E48" i="3"/>
  <c r="E49" i="3"/>
  <c r="E50" i="3"/>
  <c r="E51" i="3"/>
  <c r="E52" i="3"/>
  <c r="E43" i="3"/>
  <c r="E44" i="3"/>
  <c r="E45" i="3"/>
  <c r="E19" i="3"/>
  <c r="E20" i="3"/>
  <c r="E21" i="3"/>
  <c r="E22" i="3"/>
  <c r="E23" i="3"/>
  <c r="E31" i="3"/>
  <c r="E24" i="3"/>
  <c r="E32" i="3"/>
  <c r="E25" i="3"/>
  <c r="E33" i="3"/>
  <c r="E26" i="3"/>
  <c r="E27" i="3"/>
  <c r="E28" i="3"/>
  <c r="E29" i="3"/>
  <c r="E30" i="3"/>
  <c r="E39" i="3"/>
  <c r="E40" i="3"/>
  <c r="E41" i="3"/>
  <c r="E34" i="3"/>
  <c r="E42" i="3"/>
  <c r="E35" i="3"/>
  <c r="E36" i="3"/>
  <c r="E37" i="3"/>
  <c r="E38" i="3"/>
  <c r="E17" i="13"/>
  <c r="E18" i="3"/>
  <c r="E15" i="3"/>
  <c r="E16" i="3"/>
  <c r="E17" i="3"/>
  <c r="E12" i="3"/>
  <c r="E13" i="3"/>
  <c r="E14" i="3"/>
  <c r="E123" i="17"/>
  <c r="E124" i="17"/>
  <c r="E888" i="13"/>
  <c r="E122" i="17"/>
  <c r="E880" i="13"/>
  <c r="E976" i="13"/>
  <c r="E1104" i="13"/>
  <c r="E115" i="17"/>
  <c r="E116" i="17"/>
  <c r="E117" i="17"/>
  <c r="E118" i="17"/>
  <c r="E369" i="13"/>
  <c r="E401" i="13"/>
  <c r="E449" i="13"/>
  <c r="E457" i="13"/>
  <c r="E429" i="13"/>
  <c r="E447" i="13"/>
  <c r="E456" i="13"/>
  <c r="E430" i="13"/>
  <c r="E448" i="13"/>
  <c r="E458" i="13"/>
  <c r="E522" i="13"/>
  <c r="E451" i="13"/>
  <c r="E460" i="13"/>
  <c r="E443" i="13"/>
  <c r="E452" i="13"/>
  <c r="E119" i="17"/>
  <c r="E444" i="13"/>
  <c r="E453" i="13"/>
  <c r="E454" i="13"/>
  <c r="E54" i="13"/>
  <c r="E39" i="13"/>
  <c r="E40" i="13"/>
  <c r="E59" i="13"/>
  <c r="E65" i="13"/>
  <c r="E143" i="17"/>
  <c r="E83" i="13"/>
  <c r="E67" i="13"/>
  <c r="E76" i="13"/>
  <c r="E85" i="13"/>
  <c r="E68" i="13"/>
  <c r="E77" i="13"/>
  <c r="E86" i="13"/>
  <c r="E69" i="13"/>
  <c r="E70" i="13"/>
  <c r="E960" i="13"/>
  <c r="E968" i="13"/>
  <c r="E114" i="17"/>
  <c r="E776" i="13"/>
  <c r="E760" i="13"/>
  <c r="E952" i="13"/>
  <c r="E112" i="17"/>
  <c r="E113" i="17"/>
  <c r="E111" i="17"/>
  <c r="E936" i="13"/>
  <c r="E621" i="13"/>
  <c r="E615" i="13"/>
  <c r="E616" i="13"/>
  <c r="E617" i="13"/>
  <c r="E130" i="17"/>
  <c r="E131" i="17"/>
  <c r="E132" i="17"/>
  <c r="E644" i="13"/>
  <c r="E639" i="13"/>
  <c r="E664" i="13"/>
  <c r="E649" i="13"/>
  <c r="E657" i="13"/>
  <c r="E650" i="13"/>
  <c r="E387" i="13"/>
  <c r="E363" i="13"/>
  <c r="E107" i="17"/>
  <c r="E712" i="13"/>
  <c r="E708" i="13"/>
  <c r="E706" i="13"/>
  <c r="E704" i="13"/>
  <c r="E705" i="13"/>
  <c r="E138" i="17"/>
  <c r="E912" i="13"/>
  <c r="E106" i="17"/>
  <c r="E920" i="13"/>
  <c r="E1088" i="13"/>
  <c r="E684" i="13"/>
  <c r="E928" i="13"/>
  <c r="E672" i="13"/>
  <c r="E673" i="13"/>
  <c r="E588" i="13"/>
  <c r="E656" i="13"/>
  <c r="E104" i="17"/>
  <c r="E103" i="17"/>
  <c r="E655" i="13"/>
  <c r="E100" i="17"/>
  <c r="E101" i="17"/>
  <c r="E102" i="17"/>
  <c r="E642" i="13"/>
  <c r="E597" i="13"/>
  <c r="E637" i="13"/>
  <c r="E640" i="13"/>
  <c r="E1080" i="13"/>
  <c r="E631" i="13"/>
  <c r="E632" i="13"/>
  <c r="E633" i="13"/>
  <c r="E625" i="13"/>
  <c r="E626" i="13"/>
  <c r="E623" i="13"/>
  <c r="E624" i="13"/>
  <c r="E98" i="17"/>
  <c r="E99" i="17"/>
  <c r="E896" i="13"/>
  <c r="E618" i="13"/>
  <c r="E97" i="17"/>
  <c r="E604" i="13"/>
  <c r="E605" i="13"/>
  <c r="E872" i="13"/>
  <c r="E94" i="17"/>
  <c r="E96" i="17"/>
  <c r="E95" i="17"/>
  <c r="E141" i="17"/>
  <c r="E142" i="17"/>
  <c r="E92" i="17"/>
  <c r="E93" i="17"/>
  <c r="E589" i="13"/>
  <c r="E808" i="13"/>
  <c r="E580" i="13"/>
  <c r="E578" i="13"/>
  <c r="E584" i="13"/>
  <c r="E585" i="13"/>
  <c r="E576" i="13"/>
  <c r="E577" i="13"/>
  <c r="E91" i="17"/>
  <c r="E570" i="13"/>
  <c r="E567" i="13"/>
  <c r="E864" i="13"/>
  <c r="E557" i="13"/>
  <c r="E856" i="13"/>
  <c r="E545" i="13"/>
  <c r="E792" i="13"/>
  <c r="E546" i="13"/>
  <c r="E554" i="13"/>
  <c r="E542" i="13"/>
  <c r="E543" i="13"/>
  <c r="E544" i="13"/>
  <c r="E537" i="13"/>
  <c r="E722" i="13"/>
  <c r="E724" i="13"/>
  <c r="E533" i="13"/>
  <c r="E88" i="17"/>
  <c r="E516" i="13"/>
  <c r="E517" i="13"/>
  <c r="E518" i="13"/>
  <c r="E508" i="13"/>
  <c r="E509" i="13"/>
  <c r="E87" i="17"/>
  <c r="E506" i="13"/>
  <c r="E507" i="13"/>
  <c r="E513" i="13"/>
  <c r="E511" i="13"/>
  <c r="E512" i="13"/>
  <c r="E515" i="13"/>
  <c r="E498" i="13"/>
  <c r="E499" i="13"/>
  <c r="E493" i="13"/>
  <c r="E494" i="13"/>
  <c r="E491" i="13"/>
  <c r="E84" i="17"/>
  <c r="E85" i="17"/>
  <c r="E86" i="17"/>
  <c r="E489" i="13"/>
  <c r="E484" i="13"/>
  <c r="E485" i="13"/>
  <c r="E481" i="13"/>
  <c r="E482" i="13"/>
  <c r="E479" i="13"/>
  <c r="E784" i="13"/>
  <c r="E74" i="17"/>
  <c r="E82" i="17"/>
  <c r="E75" i="17"/>
  <c r="E83" i="17"/>
  <c r="E76" i="17"/>
  <c r="E77" i="17"/>
  <c r="E78" i="17"/>
  <c r="E473" i="13"/>
  <c r="E72" i="17"/>
  <c r="E80" i="17"/>
  <c r="E73" i="17"/>
  <c r="E81" i="17"/>
  <c r="E79" i="17"/>
  <c r="E472" i="13"/>
  <c r="E67" i="17"/>
  <c r="E68" i="17"/>
  <c r="E69" i="17"/>
  <c r="E70" i="17"/>
  <c r="E469" i="13"/>
  <c r="E720" i="13"/>
  <c r="E700" i="13"/>
  <c r="E716" i="13"/>
  <c r="E679" i="13"/>
  <c r="E695" i="13"/>
  <c r="E680" i="13"/>
  <c r="E688" i="13"/>
  <c r="E696" i="13"/>
  <c r="E681" i="13"/>
  <c r="E689" i="13"/>
  <c r="E697" i="13"/>
  <c r="E682" i="13"/>
  <c r="E698" i="13"/>
  <c r="E714" i="13"/>
  <c r="E441" i="13"/>
  <c r="E613" i="13"/>
  <c r="E442" i="13"/>
  <c r="E438" i="13"/>
  <c r="E439" i="13"/>
  <c r="E434" i="13"/>
  <c r="E435" i="13"/>
  <c r="E66" i="17"/>
  <c r="E433" i="13"/>
  <c r="E64" i="17"/>
  <c r="E65" i="17"/>
  <c r="E62" i="17"/>
  <c r="E432" i="13"/>
  <c r="E63" i="17"/>
  <c r="E607" i="13"/>
  <c r="E427" i="13"/>
  <c r="E610" i="13"/>
  <c r="E417" i="13"/>
  <c r="E425" i="13"/>
  <c r="E420" i="13"/>
  <c r="E421" i="13"/>
  <c r="E424" i="13"/>
  <c r="E426" i="13"/>
  <c r="E418" i="13"/>
  <c r="E414" i="13"/>
  <c r="E415" i="13"/>
  <c r="E406" i="13"/>
  <c r="E1048" i="13"/>
  <c r="E407" i="13"/>
  <c r="E408" i="13"/>
  <c r="E61" i="17"/>
  <c r="E402" i="13"/>
  <c r="E403" i="13"/>
  <c r="E552" i="13"/>
  <c r="E553" i="13"/>
  <c r="E399" i="13"/>
  <c r="E568" i="13"/>
  <c r="E816" i="13"/>
  <c r="E562" i="13"/>
  <c r="E575" i="13"/>
  <c r="E824" i="13"/>
  <c r="E556" i="13"/>
  <c r="E559" i="13"/>
  <c r="E560" i="13"/>
  <c r="E374" i="13"/>
  <c r="E375" i="13"/>
  <c r="E370" i="13"/>
  <c r="E371" i="13"/>
  <c r="E372" i="13"/>
  <c r="E548" i="13"/>
  <c r="E549" i="13"/>
  <c r="E600" i="13"/>
  <c r="E601" i="13"/>
  <c r="E602" i="13"/>
  <c r="E139" i="17"/>
  <c r="E551" i="13"/>
  <c r="E536" i="13"/>
  <c r="E690" i="13"/>
  <c r="E359" i="13"/>
  <c r="E360" i="13"/>
  <c r="E353" i="13"/>
  <c r="E352" i="13"/>
  <c r="E356" i="13"/>
  <c r="E1040" i="13"/>
  <c r="E351" i="13"/>
  <c r="E527" i="13"/>
  <c r="E531" i="13"/>
  <c r="E534" i="13"/>
  <c r="E535" i="13"/>
  <c r="E596" i="13"/>
  <c r="E540" i="13"/>
  <c r="E599" i="13"/>
  <c r="E59" i="17"/>
  <c r="E60" i="17"/>
  <c r="E337" i="13"/>
  <c r="E334" i="13"/>
  <c r="E335" i="13"/>
  <c r="E58" i="17"/>
  <c r="E332" i="13"/>
  <c r="E333" i="13"/>
  <c r="E525" i="13"/>
  <c r="E526" i="13"/>
  <c r="E465" i="13"/>
  <c r="E466" i="13"/>
  <c r="E467" i="13"/>
  <c r="E315" i="13"/>
  <c r="E470" i="13"/>
  <c r="E316" i="13"/>
  <c r="E462" i="13"/>
  <c r="E463" i="13"/>
  <c r="E56" i="17"/>
  <c r="E57" i="17"/>
  <c r="E307" i="13"/>
  <c r="E310" i="13"/>
  <c r="E311" i="13"/>
  <c r="E496" i="13"/>
  <c r="E500" i="13"/>
  <c r="E487" i="13"/>
  <c r="E306" i="13"/>
  <c r="E301" i="13"/>
  <c r="E302" i="13"/>
  <c r="E297" i="13"/>
  <c r="E298" i="13"/>
  <c r="E299" i="13"/>
  <c r="E292" i="13"/>
  <c r="E293" i="13"/>
  <c r="E295" i="13"/>
  <c r="E296" i="13"/>
  <c r="E345" i="13"/>
  <c r="E252" i="13"/>
  <c r="E377" i="13"/>
  <c r="E283" i="13"/>
  <c r="E284" i="13"/>
  <c r="E348" i="13"/>
  <c r="E286" i="13"/>
  <c r="E350" i="13"/>
  <c r="E378" i="13"/>
  <c r="E287" i="13"/>
  <c r="E279" i="13"/>
  <c r="E280" i="13"/>
  <c r="E277" i="13"/>
  <c r="E461" i="13"/>
  <c r="E274" i="13"/>
  <c r="E476" i="13"/>
  <c r="E270" i="13"/>
  <c r="E269" i="13"/>
  <c r="E55" i="17"/>
  <c r="E398" i="13"/>
  <c r="E365" i="13"/>
  <c r="E366" i="13"/>
  <c r="E261" i="13"/>
  <c r="E262" i="13"/>
  <c r="E257" i="13"/>
  <c r="E256" i="13"/>
  <c r="E397" i="13"/>
  <c r="E52" i="17"/>
  <c r="E53" i="17"/>
  <c r="E54" i="17"/>
  <c r="E362" i="13"/>
  <c r="E251" i="13"/>
  <c r="E1024" i="13"/>
  <c r="E383" i="13"/>
  <c r="E343" i="13"/>
  <c r="E250" i="13"/>
  <c r="E388" i="13"/>
  <c r="E133" i="17"/>
  <c r="E134" i="17"/>
  <c r="E393" i="13"/>
  <c r="E392" i="13"/>
  <c r="E394" i="13"/>
  <c r="E389" i="13"/>
  <c r="E390" i="13"/>
  <c r="E241" i="13"/>
  <c r="E242" i="13"/>
  <c r="E237" i="13"/>
  <c r="E238" i="13"/>
  <c r="E51" i="17"/>
  <c r="E233" i="13"/>
  <c r="E234" i="13"/>
  <c r="E50" i="17"/>
  <c r="E48" i="17"/>
  <c r="E49" i="17"/>
  <c r="E231" i="13"/>
  <c r="E341" i="13"/>
  <c r="E379" i="13"/>
  <c r="E281" i="13"/>
  <c r="E380" i="13"/>
  <c r="E381" i="13"/>
  <c r="E222" i="13"/>
  <c r="E223" i="13"/>
  <c r="E217" i="13"/>
  <c r="E216" i="13"/>
  <c r="E214" i="13"/>
  <c r="E215" i="13"/>
  <c r="E47" i="17"/>
  <c r="E1016" i="13"/>
  <c r="E209" i="13"/>
  <c r="E289" i="13"/>
  <c r="E288" i="13"/>
  <c r="E290" i="13"/>
  <c r="E46" i="17"/>
  <c r="E228" i="13"/>
  <c r="E321" i="13"/>
  <c r="E319" i="13"/>
  <c r="E229" i="13"/>
  <c r="E320" i="13"/>
  <c r="E45" i="17"/>
  <c r="E193" i="13"/>
  <c r="E329" i="13"/>
  <c r="E338" i="13"/>
  <c r="E330" i="13"/>
  <c r="E323" i="13"/>
  <c r="E324" i="13"/>
  <c r="E44" i="17"/>
  <c r="E304" i="13"/>
  <c r="E187" i="13"/>
  <c r="E43" i="17"/>
  <c r="E185" i="13"/>
  <c r="E177" i="13"/>
  <c r="E178" i="13"/>
  <c r="E141" i="13"/>
  <c r="E179" i="13"/>
  <c r="E308" i="13"/>
  <c r="E305" i="13"/>
  <c r="E173" i="13"/>
  <c r="E174" i="13"/>
  <c r="E142" i="13"/>
  <c r="E180" i="13"/>
  <c r="E273" i="13"/>
  <c r="E275" i="13"/>
  <c r="E278" i="13"/>
  <c r="E42" i="17"/>
  <c r="E165" i="13"/>
  <c r="E265" i="13"/>
  <c r="E40" i="17"/>
  <c r="E41" i="17"/>
  <c r="E264" i="13"/>
  <c r="E266" i="13"/>
  <c r="E159" i="13"/>
  <c r="E1008" i="13"/>
  <c r="E160" i="13"/>
  <c r="E155" i="13"/>
  <c r="E156" i="13"/>
  <c r="E149" i="13"/>
  <c r="E150" i="13"/>
  <c r="E151" i="13"/>
  <c r="E152" i="13"/>
  <c r="E38" i="17"/>
  <c r="E39" i="17"/>
  <c r="E127" i="13"/>
  <c r="E128" i="13"/>
  <c r="E145" i="13"/>
  <c r="E255" i="13"/>
  <c r="E253" i="13"/>
  <c r="E37" i="17"/>
  <c r="E138" i="13"/>
  <c r="E137" i="13"/>
  <c r="E581" i="13"/>
  <c r="E34" i="17"/>
  <c r="E30" i="17"/>
  <c r="E129" i="13"/>
  <c r="E32" i="17"/>
  <c r="E33" i="17"/>
  <c r="E31" i="17"/>
  <c r="E35" i="17"/>
  <c r="E36" i="17"/>
  <c r="E583" i="13"/>
  <c r="E132" i="13"/>
  <c r="E586" i="13"/>
  <c r="E192" i="13"/>
  <c r="E188" i="13"/>
  <c r="E189" i="13"/>
  <c r="E317" i="13"/>
  <c r="E123" i="13"/>
  <c r="E124" i="13"/>
  <c r="E121" i="13"/>
  <c r="E119" i="13"/>
  <c r="E122" i="13"/>
  <c r="E29" i="17"/>
  <c r="E118" i="13"/>
  <c r="E136" i="13"/>
  <c r="E146" i="13"/>
  <c r="E147" i="13"/>
  <c r="E26" i="17"/>
  <c r="E27" i="17"/>
  <c r="E28" i="17"/>
  <c r="E113" i="13"/>
  <c r="E161" i="13"/>
  <c r="E25" i="17"/>
  <c r="E114" i="13"/>
  <c r="E162" i="13"/>
  <c r="E109" i="13"/>
  <c r="E243" i="13"/>
  <c r="E105" i="13"/>
  <c r="E246" i="13"/>
  <c r="E106" i="13"/>
  <c r="E101" i="13"/>
  <c r="E103" i="13"/>
  <c r="E97" i="13"/>
  <c r="E98" i="13"/>
  <c r="E94" i="13"/>
  <c r="E95" i="13"/>
  <c r="E96" i="13"/>
  <c r="E136" i="17"/>
  <c r="E137" i="17"/>
  <c r="E191" i="13"/>
  <c r="E176" i="13"/>
  <c r="E186" i="13"/>
  <c r="E195" i="13"/>
  <c r="E125" i="17"/>
  <c r="E126" i="17"/>
  <c r="E249" i="13"/>
  <c r="E128" i="17"/>
  <c r="E129" i="17"/>
  <c r="E127" i="17"/>
  <c r="E89" i="13"/>
  <c r="E23" i="17"/>
  <c r="E88" i="13"/>
  <c r="E22" i="17"/>
  <c r="E196" i="13"/>
  <c r="E87" i="13"/>
  <c r="E21" i="17"/>
  <c r="E197" i="13"/>
  <c r="E20" i="17"/>
  <c r="E82" i="13"/>
  <c r="E78" i="13"/>
  <c r="E235" i="13"/>
  <c r="E19" i="17"/>
  <c r="E73" i="13"/>
  <c r="E74" i="13"/>
  <c r="E18" i="17"/>
  <c r="E169" i="13"/>
  <c r="E16" i="17"/>
  <c r="E17" i="17"/>
  <c r="E72" i="13"/>
  <c r="E164" i="13"/>
  <c r="E167" i="13"/>
  <c r="E63" i="13"/>
  <c r="E64" i="13"/>
  <c r="E170" i="13"/>
  <c r="E171" i="13"/>
  <c r="E60" i="13"/>
  <c r="E61" i="13"/>
  <c r="E15" i="17"/>
  <c r="E58" i="13"/>
  <c r="E140" i="17"/>
  <c r="E201" i="13"/>
  <c r="E225" i="13"/>
  <c r="E200" i="13"/>
  <c r="E202" i="13"/>
  <c r="E211" i="13"/>
  <c r="E204" i="13"/>
  <c r="E205" i="13"/>
  <c r="E206" i="13"/>
  <c r="E224" i="13"/>
  <c r="E198" i="13"/>
  <c r="E207" i="13"/>
  <c r="E226" i="13"/>
  <c r="E14" i="17"/>
  <c r="E57" i="13"/>
  <c r="E133" i="13"/>
  <c r="E55" i="13"/>
  <c r="E50" i="13"/>
  <c r="E51" i="13"/>
  <c r="E52" i="13"/>
  <c r="E92" i="13"/>
  <c r="E107" i="13"/>
  <c r="E10" i="17"/>
  <c r="E11" i="17"/>
  <c r="E12" i="17"/>
  <c r="E42" i="13"/>
  <c r="E13" i="17"/>
  <c r="E45" i="13"/>
  <c r="E110" i="13"/>
  <c r="E112" i="13"/>
  <c r="E131" i="13"/>
  <c r="E115" i="13"/>
  <c r="E116" i="13"/>
  <c r="E125" i="13"/>
  <c r="E33" i="13"/>
  <c r="E32" i="13"/>
  <c r="E30" i="13"/>
  <c r="E31" i="13"/>
  <c r="E19" i="13"/>
  <c r="E18" i="13"/>
  <c r="E20" i="13"/>
  <c r="E21" i="13"/>
  <c r="E22" i="13"/>
  <c r="E9" i="17"/>
  <c r="E25" i="13"/>
  <c r="E26" i="13"/>
  <c r="E28" i="13"/>
  <c r="E23" i="13"/>
  <c r="E14" i="13"/>
  <c r="E11" i="13"/>
  <c r="E13" i="13"/>
  <c r="E10" i="13"/>
  <c r="L168" i="12"/>
  <c r="M56" i="12"/>
  <c r="M411" i="12"/>
  <c r="M208" i="12"/>
  <c r="M335" i="12"/>
  <c r="M34" i="12"/>
  <c r="M101" i="12"/>
  <c r="M506" i="12"/>
  <c r="M449" i="12"/>
  <c r="M465" i="12"/>
  <c r="M207" i="12"/>
  <c r="M490" i="12"/>
  <c r="M513" i="12"/>
  <c r="M69" i="12"/>
  <c r="M273" i="12"/>
  <c r="M87" i="12"/>
  <c r="M225" i="12"/>
  <c r="M94" i="12"/>
  <c r="M133" i="12"/>
  <c r="M176" i="12"/>
  <c r="M318" i="12"/>
  <c r="L57" i="12"/>
  <c r="L507" i="12"/>
  <c r="L472" i="12"/>
  <c r="M472" i="12" s="1"/>
  <c r="L234" i="12"/>
  <c r="L114" i="12"/>
  <c r="L79" i="12"/>
  <c r="L325" i="12"/>
  <c r="M325" i="12" s="1"/>
  <c r="L272" i="12"/>
  <c r="L251" i="12"/>
  <c r="L193" i="12"/>
  <c r="L279" i="12"/>
  <c r="M279" i="12" s="1"/>
  <c r="L250" i="12"/>
  <c r="M250" i="12" s="1"/>
  <c r="L15" i="12"/>
  <c r="M15" i="12" s="1"/>
  <c r="L295" i="12"/>
  <c r="L194" i="12"/>
  <c r="M194" i="12" s="1"/>
  <c r="L134" i="12"/>
  <c r="L226" i="12"/>
  <c r="L441" i="12"/>
  <c r="M441" i="12" s="1"/>
  <c r="L266" i="12"/>
  <c r="L427" i="12"/>
  <c r="M427" i="12" s="1"/>
  <c r="L447" i="12"/>
  <c r="L189" i="12"/>
  <c r="L377" i="12"/>
  <c r="M377" i="12" s="1"/>
  <c r="L322" i="12"/>
  <c r="L29" i="12"/>
  <c r="L366" i="12"/>
  <c r="L78" i="12"/>
  <c r="L155" i="12"/>
  <c r="L491" i="12"/>
  <c r="L185" i="12"/>
  <c r="L219" i="12"/>
  <c r="L142" i="12"/>
  <c r="L312" i="12"/>
  <c r="L166" i="12"/>
  <c r="L183" i="12"/>
  <c r="L341" i="12"/>
  <c r="L292" i="12"/>
  <c r="L53" i="12"/>
  <c r="M53" i="12" s="1"/>
  <c r="L67" i="12"/>
  <c r="L293" i="12"/>
  <c r="M293" i="12" s="1"/>
  <c r="L143" i="12"/>
  <c r="L44" i="12"/>
  <c r="L70" i="12"/>
  <c r="L109" i="12"/>
  <c r="L282" i="12"/>
  <c r="L521" i="12"/>
  <c r="M521" i="12" s="1"/>
  <c r="L468" i="12"/>
  <c r="L376" i="12"/>
  <c r="L257" i="12"/>
  <c r="L265" i="12"/>
  <c r="L253" i="12"/>
  <c r="L173" i="12"/>
  <c r="L65" i="12"/>
  <c r="L86" i="12"/>
  <c r="L408" i="12"/>
  <c r="L156" i="12"/>
  <c r="L387" i="12"/>
  <c r="L304" i="12"/>
  <c r="L393" i="12"/>
  <c r="L321" i="12"/>
  <c r="M321" i="12" s="1"/>
  <c r="L73" i="12"/>
  <c r="L381" i="12"/>
  <c r="L308" i="12"/>
  <c r="L178" i="12"/>
  <c r="L154" i="12"/>
  <c r="L112" i="12"/>
  <c r="L103" i="12"/>
  <c r="L20" i="12"/>
  <c r="L30" i="12"/>
  <c r="L90" i="12"/>
  <c r="L343" i="12"/>
  <c r="L409" i="12"/>
  <c r="M409" i="12" s="1"/>
  <c r="L403" i="12"/>
  <c r="M403" i="12" s="1"/>
  <c r="L401" i="12"/>
  <c r="M401" i="12" s="1"/>
  <c r="L397" i="12"/>
  <c r="M397" i="12" s="1"/>
  <c r="L85" i="12"/>
  <c r="L383" i="12"/>
  <c r="M383" i="12" s="1"/>
  <c r="L499" i="12"/>
  <c r="L446" i="12"/>
  <c r="L82" i="12"/>
  <c r="L198" i="12"/>
  <c r="L25" i="12"/>
  <c r="M25" i="12" s="1"/>
  <c r="L422" i="12"/>
  <c r="L120" i="12"/>
  <c r="M120" i="12" s="1"/>
  <c r="L264" i="12"/>
  <c r="L493" i="12"/>
  <c r="L164" i="12"/>
  <c r="L310" i="12"/>
  <c r="M310" i="12" s="1"/>
  <c r="L218" i="12"/>
  <c r="L309" i="12"/>
  <c r="M309" i="12" s="1"/>
  <c r="L302" i="12"/>
  <c r="M302" i="12" s="1"/>
  <c r="L287" i="12"/>
  <c r="M287" i="12" s="1"/>
  <c r="L371" i="12"/>
  <c r="L399" i="12"/>
  <c r="L126" i="12"/>
  <c r="M126" i="12" s="1"/>
  <c r="L240" i="12"/>
  <c r="L243" i="12"/>
  <c r="M243" i="12" s="1"/>
  <c r="L238" i="12"/>
  <c r="M238" i="12" s="1"/>
  <c r="L258" i="12"/>
  <c r="L222" i="12"/>
  <c r="M222" i="12" s="1"/>
  <c r="L380" i="12"/>
  <c r="L278" i="12"/>
  <c r="L233" i="12"/>
  <c r="M233" i="12" s="1"/>
  <c r="L320" i="12"/>
  <c r="L338" i="12"/>
  <c r="L332" i="12"/>
  <c r="L456" i="12"/>
  <c r="L224" i="12"/>
  <c r="L232" i="12"/>
  <c r="L191" i="12"/>
  <c r="L280" i="12"/>
  <c r="L174" i="12"/>
  <c r="L50" i="12"/>
  <c r="L259" i="12"/>
  <c r="L406" i="12"/>
  <c r="L496" i="12"/>
  <c r="L141" i="12"/>
  <c r="L202" i="12"/>
  <c r="L239" i="12"/>
  <c r="M239" i="12" s="1"/>
  <c r="L96" i="12"/>
  <c r="L355" i="12"/>
  <c r="L416" i="12"/>
  <c r="L435" i="12"/>
  <c r="M435" i="12" s="1"/>
  <c r="L492" i="12"/>
  <c r="L268" i="12"/>
  <c r="M268" i="12" s="1"/>
  <c r="L172" i="12"/>
  <c r="L127" i="12"/>
  <c r="L510" i="12"/>
  <c r="L197" i="12"/>
  <c r="L346" i="12"/>
  <c r="L269" i="12"/>
  <c r="L439" i="12"/>
  <c r="L47" i="12"/>
  <c r="L77" i="12"/>
  <c r="L214" i="12"/>
  <c r="L203" i="12"/>
  <c r="L244" i="12"/>
  <c r="L71" i="12"/>
  <c r="L122" i="12"/>
  <c r="L41" i="12"/>
  <c r="L24" i="12"/>
  <c r="L478" i="12"/>
  <c r="M478" i="12" s="1"/>
  <c r="L455" i="12"/>
  <c r="M455" i="12" s="1"/>
  <c r="L21" i="12"/>
  <c r="L162" i="12"/>
  <c r="L91" i="12"/>
  <c r="L150" i="12"/>
  <c r="M150" i="12" s="1"/>
  <c r="L192" i="12"/>
  <c r="L74" i="12"/>
  <c r="L423" i="12"/>
  <c r="L277" i="12"/>
  <c r="M277" i="12" s="1"/>
  <c r="L317" i="12"/>
  <c r="L432" i="12"/>
  <c r="L138" i="12"/>
  <c r="L31" i="12"/>
  <c r="L171" i="12"/>
  <c r="M171" i="12" s="1"/>
  <c r="L160" i="12"/>
  <c r="M160" i="12" s="1"/>
  <c r="L290" i="12"/>
  <c r="L260" i="12"/>
  <c r="L299" i="12"/>
  <c r="L370" i="12"/>
  <c r="M370" i="12" s="1"/>
  <c r="L358" i="12"/>
  <c r="M358" i="12" s="1"/>
  <c r="L425" i="12"/>
  <c r="L344" i="12"/>
  <c r="M344" i="12" s="1"/>
  <c r="L231" i="12"/>
  <c r="L102" i="12"/>
  <c r="L159" i="12"/>
  <c r="L426" i="12"/>
  <c r="L16" i="12"/>
  <c r="M16" i="12" s="1"/>
  <c r="L153" i="12"/>
  <c r="L509" i="12"/>
  <c r="L110" i="12"/>
  <c r="L23" i="12"/>
  <c r="L9" i="12"/>
  <c r="L263" i="12"/>
  <c r="L454" i="12"/>
  <c r="L54" i="12"/>
  <c r="L365" i="12"/>
  <c r="L40" i="12"/>
  <c r="M40" i="12" s="1"/>
  <c r="L107" i="12"/>
  <c r="L261" i="12"/>
  <c r="L390" i="12"/>
  <c r="M390" i="12" s="1"/>
  <c r="L229" i="12"/>
  <c r="M229" i="12" s="1"/>
  <c r="L368" i="12"/>
  <c r="L361" i="12"/>
  <c r="M361" i="12" s="1"/>
  <c r="L357" i="12"/>
  <c r="M357" i="12" s="1"/>
  <c r="L350" i="12"/>
  <c r="M350" i="12" s="1"/>
  <c r="L497" i="12"/>
  <c r="L131" i="12"/>
  <c r="M131" i="12" s="1"/>
  <c r="L113" i="12"/>
  <c r="M113" i="12" s="1"/>
  <c r="L17" i="12"/>
  <c r="L323" i="12"/>
  <c r="L199" i="12"/>
  <c r="L215" i="12"/>
  <c r="L75" i="12"/>
  <c r="L252" i="12"/>
  <c r="L72" i="12"/>
  <c r="L342" i="12"/>
  <c r="L286" i="12"/>
  <c r="M286" i="12" s="1"/>
  <c r="L130" i="12"/>
  <c r="L276" i="12"/>
  <c r="M276" i="12" s="1"/>
  <c r="L489" i="12"/>
  <c r="L242" i="12"/>
  <c r="M242" i="12" s="1"/>
  <c r="L237" i="12"/>
  <c r="M237" i="12" s="1"/>
  <c r="L227" i="12"/>
  <c r="M227" i="12" s="1"/>
  <c r="L487" i="12"/>
  <c r="L205" i="12"/>
  <c r="M205" i="12" s="1"/>
  <c r="L42" i="12"/>
  <c r="M42" i="12" s="1"/>
  <c r="L104" i="12"/>
  <c r="L22" i="12"/>
  <c r="L93" i="12"/>
  <c r="L92" i="12"/>
  <c r="L450" i="12"/>
  <c r="M450" i="12" s="1"/>
  <c r="L311" i="12"/>
  <c r="L99" i="12"/>
  <c r="M99" i="12" s="1"/>
  <c r="L181" i="12"/>
  <c r="L149" i="12"/>
  <c r="L165" i="12"/>
  <c r="M165" i="12" s="1"/>
  <c r="L501" i="12"/>
  <c r="L117" i="12"/>
  <c r="M117" i="12" s="1"/>
  <c r="L288" i="12"/>
  <c r="L498" i="12"/>
  <c r="L348" i="12"/>
  <c r="M348" i="12" s="1"/>
  <c r="L351" i="12"/>
  <c r="L125" i="12"/>
  <c r="L294" i="12"/>
  <c r="M294" i="12" s="1"/>
  <c r="L235" i="12"/>
  <c r="M235" i="12" s="1"/>
  <c r="L306" i="12"/>
  <c r="L14" i="12"/>
  <c r="L216" i="12"/>
  <c r="L108" i="12"/>
  <c r="L505" i="12"/>
  <c r="L420" i="12"/>
  <c r="L413" i="12"/>
  <c r="L19" i="12"/>
  <c r="L504" i="12"/>
  <c r="L129" i="12"/>
  <c r="L144" i="12"/>
  <c r="L267" i="12"/>
  <c r="L363" i="12"/>
  <c r="L84" i="12"/>
  <c r="L367" i="12"/>
  <c r="L49" i="12"/>
  <c r="L167" i="12"/>
  <c r="L145" i="12"/>
  <c r="L81" i="12"/>
  <c r="L345" i="12"/>
  <c r="M345" i="12" s="1"/>
  <c r="L314" i="12"/>
  <c r="L448" i="12"/>
  <c r="L255" i="12"/>
  <c r="L106" i="12"/>
  <c r="M106" i="12" s="1"/>
  <c r="L147" i="12"/>
  <c r="L175" i="12"/>
  <c r="L151" i="12"/>
  <c r="L43" i="12"/>
  <c r="L68" i="12"/>
  <c r="L186" i="12"/>
  <c r="M186" i="12" s="1"/>
  <c r="L291" i="12"/>
  <c r="L123" i="12"/>
  <c r="L404" i="12"/>
  <c r="M404" i="12" s="1"/>
  <c r="L51" i="12"/>
  <c r="L394" i="12"/>
  <c r="L83" i="12"/>
  <c r="L379" i="12"/>
  <c r="L347" i="12"/>
  <c r="M347" i="12" s="1"/>
  <c r="L334" i="12"/>
  <c r="M334" i="12" s="1"/>
  <c r="L204" i="12"/>
  <c r="L180" i="12"/>
  <c r="L157" i="12"/>
  <c r="M157" i="12" s="1"/>
  <c r="L33" i="12"/>
  <c r="L303" i="12"/>
  <c r="L283" i="12"/>
  <c r="L132" i="12"/>
  <c r="L100" i="12"/>
  <c r="L326" i="12"/>
  <c r="L372" i="12"/>
  <c r="L196" i="12"/>
  <c r="L330" i="12"/>
  <c r="M330" i="12" s="1"/>
  <c r="L38" i="12"/>
  <c r="L88" i="12"/>
  <c r="L329" i="12"/>
  <c r="L400" i="12"/>
  <c r="M400" i="12" s="1"/>
  <c r="L223" i="12"/>
  <c r="L349" i="12"/>
  <c r="L374" i="12"/>
  <c r="M374" i="12" s="1"/>
  <c r="L118" i="12"/>
  <c r="L297" i="12"/>
  <c r="L378" i="12"/>
  <c r="L46" i="12"/>
  <c r="L495" i="12"/>
  <c r="L307" i="12"/>
  <c r="M307" i="12" s="1"/>
  <c r="L395" i="12"/>
  <c r="L271" i="12"/>
  <c r="M271" i="12" s="1"/>
  <c r="L398" i="12"/>
  <c r="L369" i="12"/>
  <c r="L254" i="12"/>
  <c r="L182" i="12"/>
  <c r="L514" i="12"/>
  <c r="M514" i="12" s="1"/>
  <c r="L375" i="12"/>
  <c r="L470" i="12"/>
  <c r="M470" i="12" s="1"/>
  <c r="L161" i="12"/>
  <c r="M161" i="12" s="1"/>
  <c r="L373" i="12"/>
  <c r="L13" i="12"/>
  <c r="L417" i="12"/>
  <c r="M417" i="12" s="1"/>
  <c r="L518" i="12"/>
  <c r="L37" i="12"/>
  <c r="M37" i="12" s="1"/>
  <c r="L217" i="12"/>
  <c r="M217" i="12" s="1"/>
  <c r="L473" i="12"/>
  <c r="M473" i="12" s="1"/>
  <c r="L48" i="12"/>
  <c r="L434" i="12"/>
  <c r="L76" i="12"/>
  <c r="L419" i="12"/>
  <c r="L135" i="12"/>
  <c r="L146" i="12"/>
  <c r="M146" i="12" s="1"/>
  <c r="L140" i="12"/>
  <c r="L389" i="12"/>
  <c r="P314" i="13"/>
  <c r="P14" i="13"/>
  <c r="P1102" i="13"/>
  <c r="P761" i="13"/>
  <c r="P749" i="13"/>
  <c r="P333" i="13"/>
  <c r="P883" i="13"/>
  <c r="P434" i="13"/>
  <c r="P874" i="13"/>
  <c r="P422" i="13"/>
  <c r="P1093" i="13"/>
  <c r="P655" i="13"/>
  <c r="P222" i="13"/>
  <c r="P1081" i="13"/>
  <c r="P645" i="13"/>
  <c r="P214" i="13"/>
  <c r="P1028" i="13"/>
  <c r="P557" i="13"/>
  <c r="P118" i="13"/>
  <c r="P1020" i="13"/>
  <c r="P539" i="13"/>
  <c r="P102" i="13"/>
  <c r="P851" i="13"/>
  <c r="P414" i="13"/>
  <c r="P192" i="13"/>
  <c r="P1071" i="13"/>
  <c r="P1003" i="13"/>
  <c r="P839" i="13"/>
  <c r="P727" i="13"/>
  <c r="P626" i="13"/>
  <c r="P512" i="13"/>
  <c r="P404" i="13"/>
  <c r="P294" i="13"/>
  <c r="P181" i="13"/>
  <c r="P81" i="13"/>
  <c r="P739" i="13"/>
  <c r="P524" i="13"/>
  <c r="P94" i="13"/>
  <c r="P1062" i="13"/>
  <c r="P995" i="13"/>
  <c r="P830" i="13"/>
  <c r="P708" i="13"/>
  <c r="P609" i="13"/>
  <c r="P503" i="13"/>
  <c r="P373" i="13"/>
  <c r="P277" i="13"/>
  <c r="P168" i="13"/>
  <c r="P64" i="13"/>
  <c r="P1054" i="13"/>
  <c r="P978" i="13"/>
  <c r="P817" i="13"/>
  <c r="P692" i="13"/>
  <c r="P598" i="13"/>
  <c r="P491" i="13"/>
  <c r="P364" i="13"/>
  <c r="P259" i="13"/>
  <c r="P154" i="13"/>
  <c r="P53" i="13"/>
  <c r="P1046" i="13"/>
  <c r="P941" i="13"/>
  <c r="P800" i="13"/>
  <c r="P674" i="13"/>
  <c r="P589" i="13"/>
  <c r="P481" i="13"/>
  <c r="P356" i="13"/>
  <c r="P245" i="13"/>
  <c r="P142" i="13"/>
  <c r="P44" i="13"/>
  <c r="P1012" i="13"/>
  <c r="P634" i="13"/>
  <c r="P302" i="13"/>
  <c r="P1110" i="13"/>
  <c r="P1036" i="13"/>
  <c r="P893" i="13"/>
  <c r="P773" i="13"/>
  <c r="P666" i="13"/>
  <c r="P572" i="13"/>
  <c r="P445" i="13"/>
  <c r="P342" i="13"/>
  <c r="P234" i="13"/>
  <c r="P128" i="13"/>
  <c r="P28" i="13"/>
  <c r="P1109" i="13"/>
  <c r="P1101" i="13"/>
  <c r="P1092" i="13"/>
  <c r="P1080" i="13"/>
  <c r="P1070" i="13"/>
  <c r="P1061" i="13"/>
  <c r="P1053" i="13"/>
  <c r="P1044" i="13"/>
  <c r="P1035" i="13"/>
  <c r="P1027" i="13"/>
  <c r="P1019" i="13"/>
  <c r="P1011" i="13"/>
  <c r="P1002" i="13"/>
  <c r="P994" i="13"/>
  <c r="P969" i="13"/>
  <c r="P940" i="13"/>
  <c r="P891" i="13"/>
  <c r="P882" i="13"/>
  <c r="P873" i="13"/>
  <c r="P850" i="13"/>
  <c r="P838" i="13"/>
  <c r="P829" i="13"/>
  <c r="P816" i="13"/>
  <c r="P798" i="13"/>
  <c r="P772" i="13"/>
  <c r="P760" i="13"/>
  <c r="P748" i="13"/>
  <c r="P738" i="13"/>
  <c r="P726" i="13"/>
  <c r="P707" i="13"/>
  <c r="P690" i="13"/>
  <c r="P673" i="13"/>
  <c r="P665" i="13"/>
  <c r="P654" i="13"/>
  <c r="P643" i="13"/>
  <c r="P633" i="13"/>
  <c r="P625" i="13"/>
  <c r="P608" i="13"/>
  <c r="P596" i="13"/>
  <c r="P585" i="13"/>
  <c r="P571" i="13"/>
  <c r="P555" i="13"/>
  <c r="P538" i="13"/>
  <c r="P523" i="13"/>
  <c r="P511" i="13"/>
  <c r="P502" i="13"/>
  <c r="P490" i="13"/>
  <c r="P480" i="13"/>
  <c r="P441" i="13"/>
  <c r="P433" i="13"/>
  <c r="P421" i="13"/>
  <c r="P413" i="13"/>
  <c r="P403" i="13"/>
  <c r="P371" i="13"/>
  <c r="P363" i="13"/>
  <c r="P355" i="13"/>
  <c r="P341" i="13"/>
  <c r="P332" i="13"/>
  <c r="P313" i="13"/>
  <c r="P301" i="13"/>
  <c r="P293" i="13"/>
  <c r="P276" i="13"/>
  <c r="P257" i="13"/>
  <c r="P244" i="13"/>
  <c r="P233" i="13"/>
  <c r="P221" i="13"/>
  <c r="P213" i="13"/>
  <c r="P189" i="13"/>
  <c r="P180" i="13"/>
  <c r="P166" i="13"/>
  <c r="P153" i="13"/>
  <c r="P141" i="13"/>
  <c r="P127" i="13"/>
  <c r="P117" i="13"/>
  <c r="P101" i="13"/>
  <c r="P91" i="13"/>
  <c r="P80" i="13"/>
  <c r="P63" i="13"/>
  <c r="P52" i="13"/>
  <c r="P43" i="13"/>
  <c r="P27" i="13"/>
  <c r="P1108" i="13"/>
  <c r="P1100" i="13"/>
  <c r="P1091" i="13"/>
  <c r="P1079" i="13"/>
  <c r="P1069" i="13"/>
  <c r="P1060" i="13"/>
  <c r="P1052" i="13"/>
  <c r="P1043" i="13"/>
  <c r="P1034" i="13"/>
  <c r="P1026" i="13"/>
  <c r="P1018" i="13"/>
  <c r="P1009" i="13"/>
  <c r="P1001" i="13"/>
  <c r="P993" i="13"/>
  <c r="P963" i="13"/>
  <c r="P939" i="13"/>
  <c r="P889" i="13"/>
  <c r="P880" i="13"/>
  <c r="P871" i="13"/>
  <c r="P846" i="13"/>
  <c r="P837" i="13"/>
  <c r="P828" i="13"/>
  <c r="P814" i="13"/>
  <c r="P786" i="13"/>
  <c r="P771" i="13"/>
  <c r="P759" i="13"/>
  <c r="P745" i="13"/>
  <c r="P737" i="13"/>
  <c r="P725" i="13"/>
  <c r="P706" i="13"/>
  <c r="P687" i="13"/>
  <c r="P672" i="13"/>
  <c r="P662" i="13"/>
  <c r="P653" i="13"/>
  <c r="P642" i="13"/>
  <c r="P632" i="13"/>
  <c r="P624" i="13"/>
  <c r="P605" i="13"/>
  <c r="P595" i="13"/>
  <c r="P584" i="13"/>
  <c r="P569" i="13"/>
  <c r="P554" i="13"/>
  <c r="P537" i="13"/>
  <c r="P522" i="13"/>
  <c r="P510" i="13"/>
  <c r="P499" i="13"/>
  <c r="P489" i="13"/>
  <c r="P479" i="13"/>
  <c r="P440" i="13"/>
  <c r="P432" i="13"/>
  <c r="P420" i="13"/>
  <c r="P412" i="13"/>
  <c r="P402" i="13"/>
  <c r="P370" i="13"/>
  <c r="P362" i="13"/>
  <c r="P354" i="13"/>
  <c r="P340" i="13"/>
  <c r="P328" i="13"/>
  <c r="P312" i="13"/>
  <c r="P300" i="13"/>
  <c r="P292" i="13"/>
  <c r="P272" i="13"/>
  <c r="P256" i="13"/>
  <c r="P242" i="13"/>
  <c r="P232" i="13"/>
  <c r="P220" i="13"/>
  <c r="P212" i="13"/>
  <c r="P188" i="13"/>
  <c r="P179" i="13"/>
  <c r="P165" i="13"/>
  <c r="P152" i="13"/>
  <c r="P140" i="13"/>
  <c r="P126" i="13"/>
  <c r="P114" i="13"/>
  <c r="P100" i="13"/>
  <c r="P90" i="13"/>
  <c r="P79" i="13"/>
  <c r="P62" i="13"/>
  <c r="P51" i="13"/>
  <c r="P42" i="13"/>
  <c r="P22" i="13"/>
  <c r="P1107" i="13"/>
  <c r="P1099" i="13"/>
  <c r="P1090" i="13"/>
  <c r="P1077" i="13"/>
  <c r="P1068" i="13"/>
  <c r="P1059" i="13"/>
  <c r="P1051" i="13"/>
  <c r="P1041" i="13"/>
  <c r="P1033" i="13"/>
  <c r="P1025" i="13"/>
  <c r="P1017" i="13"/>
  <c r="P1008" i="13"/>
  <c r="P1000" i="13"/>
  <c r="P992" i="13"/>
  <c r="P961" i="13"/>
  <c r="P937" i="13"/>
  <c r="P888" i="13"/>
  <c r="P879" i="13"/>
  <c r="P860" i="13"/>
  <c r="P844" i="13"/>
  <c r="P836" i="13"/>
  <c r="P826" i="13"/>
  <c r="P809" i="13"/>
  <c r="P785" i="13"/>
  <c r="P770" i="13"/>
  <c r="P758" i="13"/>
  <c r="P744" i="13"/>
  <c r="P736" i="13"/>
  <c r="P718" i="13"/>
  <c r="P705" i="13"/>
  <c r="P686" i="13"/>
  <c r="P671" i="13"/>
  <c r="P661" i="13"/>
  <c r="P652" i="13"/>
  <c r="P641" i="13"/>
  <c r="P631" i="13"/>
  <c r="P623" i="13"/>
  <c r="P604" i="13"/>
  <c r="P594" i="13"/>
  <c r="P580" i="13"/>
  <c r="P567" i="13"/>
  <c r="P546" i="13"/>
  <c r="P533" i="13"/>
  <c r="P521" i="13"/>
  <c r="P509" i="13"/>
  <c r="P498" i="13"/>
  <c r="P488" i="13"/>
  <c r="P473" i="13"/>
  <c r="P439" i="13"/>
  <c r="P427" i="13"/>
  <c r="P419" i="13"/>
  <c r="P411" i="13"/>
  <c r="P400" i="13"/>
  <c r="P369" i="13"/>
  <c r="P361" i="13"/>
  <c r="P353" i="13"/>
  <c r="P339" i="13"/>
  <c r="P327" i="13"/>
  <c r="P311" i="13"/>
  <c r="P299" i="13"/>
  <c r="P284" i="13"/>
  <c r="P270" i="13"/>
  <c r="P252" i="13"/>
  <c r="P241" i="13"/>
  <c r="P231" i="13"/>
  <c r="P219" i="13"/>
  <c r="P210" i="13"/>
  <c r="P187" i="13"/>
  <c r="P178" i="13"/>
  <c r="P160" i="13"/>
  <c r="P151" i="13"/>
  <c r="P139" i="13"/>
  <c r="P125" i="13"/>
  <c r="P113" i="13"/>
  <c r="P99" i="13"/>
  <c r="P89" i="13"/>
  <c r="P78" i="13"/>
  <c r="P60" i="13"/>
  <c r="P50" i="13"/>
  <c r="P41" i="13"/>
  <c r="P18" i="13"/>
  <c r="P1106" i="13"/>
  <c r="P1098" i="13"/>
  <c r="P1089" i="13"/>
  <c r="P1076" i="13"/>
  <c r="P1067" i="13"/>
  <c r="P1058" i="13"/>
  <c r="P1050" i="13"/>
  <c r="P1040" i="13"/>
  <c r="P1032" i="13"/>
  <c r="P1024" i="13"/>
  <c r="P1016" i="13"/>
  <c r="P1007" i="13"/>
  <c r="P999" i="13"/>
  <c r="P991" i="13"/>
  <c r="P949" i="13"/>
  <c r="P922" i="13"/>
  <c r="P887" i="13"/>
  <c r="P878" i="13"/>
  <c r="P859" i="13"/>
  <c r="P843" i="13"/>
  <c r="P835" i="13"/>
  <c r="P825" i="13"/>
  <c r="P806" i="13"/>
  <c r="P777" i="13"/>
  <c r="P769" i="13"/>
  <c r="P755" i="13"/>
  <c r="P743" i="13"/>
  <c r="P735" i="13"/>
  <c r="P717" i="13"/>
  <c r="P704" i="13"/>
  <c r="P684" i="13"/>
  <c r="P670" i="13"/>
  <c r="P660" i="13"/>
  <c r="P651" i="13"/>
  <c r="P640" i="13"/>
  <c r="P630" i="13"/>
  <c r="P620" i="13"/>
  <c r="P602" i="13"/>
  <c r="P593" i="13"/>
  <c r="P579" i="13"/>
  <c r="P566" i="13"/>
  <c r="P545" i="13"/>
  <c r="P532" i="13"/>
  <c r="P520" i="13"/>
  <c r="P508" i="13"/>
  <c r="P497" i="13"/>
  <c r="P485" i="13"/>
  <c r="P472" i="13"/>
  <c r="P438" i="13"/>
  <c r="P426" i="13"/>
  <c r="P418" i="13"/>
  <c r="P409" i="13"/>
  <c r="P399" i="13"/>
  <c r="P368" i="13"/>
  <c r="P360" i="13"/>
  <c r="P352" i="13"/>
  <c r="P337" i="13"/>
  <c r="P326" i="13"/>
  <c r="P310" i="13"/>
  <c r="P298" i="13"/>
  <c r="P283" i="13"/>
  <c r="P269" i="13"/>
  <c r="P251" i="13"/>
  <c r="P240" i="13"/>
  <c r="P230" i="13"/>
  <c r="P218" i="13"/>
  <c r="P209" i="13"/>
  <c r="P185" i="13"/>
  <c r="P177" i="13"/>
  <c r="P159" i="13"/>
  <c r="P150" i="13"/>
  <c r="P138" i="13"/>
  <c r="P124" i="13"/>
  <c r="P109" i="13"/>
  <c r="P98" i="13"/>
  <c r="P88" i="13"/>
  <c r="P74" i="13"/>
  <c r="P58" i="13"/>
  <c r="P49" i="13"/>
  <c r="P33" i="13"/>
  <c r="P17" i="13"/>
  <c r="P9" i="13"/>
  <c r="P1105" i="13"/>
  <c r="P1097" i="13"/>
  <c r="P1088" i="13"/>
  <c r="P1075" i="13"/>
  <c r="P1066" i="13"/>
  <c r="P1057" i="13"/>
  <c r="P1049" i="13"/>
  <c r="P1039" i="13"/>
  <c r="P1031" i="13"/>
  <c r="P1023" i="13"/>
  <c r="P1015" i="13"/>
  <c r="P1006" i="13"/>
  <c r="P998" i="13"/>
  <c r="P990" i="13"/>
  <c r="P947" i="13"/>
  <c r="P921" i="13"/>
  <c r="P886" i="13"/>
  <c r="P877" i="13"/>
  <c r="P854" i="13"/>
  <c r="P842" i="13"/>
  <c r="P834" i="13"/>
  <c r="P824" i="13"/>
  <c r="P803" i="13"/>
  <c r="P776" i="13"/>
  <c r="P768" i="13"/>
  <c r="P754" i="13"/>
  <c r="P742" i="13"/>
  <c r="P733" i="13"/>
  <c r="P713" i="13"/>
  <c r="P703" i="13"/>
  <c r="P677" i="13"/>
  <c r="P669" i="13"/>
  <c r="P659" i="13"/>
  <c r="P648" i="13"/>
  <c r="P638" i="13"/>
  <c r="P629" i="13"/>
  <c r="P619" i="13"/>
  <c r="P601" i="13"/>
  <c r="P592" i="13"/>
  <c r="P578" i="13"/>
  <c r="P565" i="13"/>
  <c r="P543" i="13"/>
  <c r="P530" i="13"/>
  <c r="P519" i="13"/>
  <c r="P507" i="13"/>
  <c r="P494" i="13"/>
  <c r="P484" i="13"/>
  <c r="P471" i="13"/>
  <c r="P437" i="13"/>
  <c r="P425" i="13"/>
  <c r="P417" i="13"/>
  <c r="P407" i="13"/>
  <c r="P376" i="13"/>
  <c r="P367" i="13"/>
  <c r="P359" i="13"/>
  <c r="P351" i="13"/>
  <c r="P336" i="13"/>
  <c r="P325" i="13"/>
  <c r="P307" i="13"/>
  <c r="P297" i="13"/>
  <c r="P281" i="13"/>
  <c r="P263" i="13"/>
  <c r="P250" i="13"/>
  <c r="P239" i="13"/>
  <c r="P229" i="13"/>
  <c r="P217" i="13"/>
  <c r="P208" i="13"/>
  <c r="P184" i="13"/>
  <c r="P174" i="13"/>
  <c r="P158" i="13"/>
  <c r="P149" i="13"/>
  <c r="P137" i="13"/>
  <c r="P123" i="13"/>
  <c r="P106" i="13"/>
  <c r="P97" i="13"/>
  <c r="P87" i="13"/>
  <c r="P73" i="13"/>
  <c r="P57" i="13"/>
  <c r="P48" i="13"/>
  <c r="P32" i="13"/>
  <c r="P16" i="13"/>
  <c r="P1104" i="13"/>
  <c r="P1096" i="13"/>
  <c r="P1085" i="13"/>
  <c r="P1074" i="13"/>
  <c r="P1065" i="13"/>
  <c r="P1056" i="13"/>
  <c r="P1048" i="13"/>
  <c r="P1038" i="13"/>
  <c r="P1030" i="13"/>
  <c r="P1022" i="13"/>
  <c r="P1014" i="13"/>
  <c r="P1005" i="13"/>
  <c r="P997" i="13"/>
  <c r="P989" i="13"/>
  <c r="P943" i="13"/>
  <c r="P919" i="13"/>
  <c r="P885" i="13"/>
  <c r="P876" i="13"/>
  <c r="P853" i="13"/>
  <c r="P841" i="13"/>
  <c r="P833" i="13"/>
  <c r="P823" i="13"/>
  <c r="P802" i="13"/>
  <c r="P775" i="13"/>
  <c r="P767" i="13"/>
  <c r="P752" i="13"/>
  <c r="P741" i="13"/>
  <c r="P732" i="13"/>
  <c r="P712" i="13"/>
  <c r="P701" i="13"/>
  <c r="P676" i="13"/>
  <c r="P668" i="13"/>
  <c r="P658" i="13"/>
  <c r="P647" i="13"/>
  <c r="P637" i="13"/>
  <c r="P628" i="13"/>
  <c r="P618" i="13"/>
  <c r="P600" i="13"/>
  <c r="P591" i="13"/>
  <c r="P577" i="13"/>
  <c r="P564" i="13"/>
  <c r="P542" i="13"/>
  <c r="P529" i="13"/>
  <c r="P514" i="13"/>
  <c r="P506" i="13"/>
  <c r="P493" i="13"/>
  <c r="P483" i="13"/>
  <c r="P469" i="13"/>
  <c r="P436" i="13"/>
  <c r="P424" i="13"/>
  <c r="P416" i="13"/>
  <c r="P406" i="13"/>
  <c r="P375" i="13"/>
  <c r="P366" i="13"/>
  <c r="P358" i="13"/>
  <c r="P346" i="13"/>
  <c r="P335" i="13"/>
  <c r="P316" i="13"/>
  <c r="P306" i="13"/>
  <c r="P296" i="13"/>
  <c r="P280" i="13"/>
  <c r="P262" i="13"/>
  <c r="P248" i="13"/>
  <c r="P238" i="13"/>
  <c r="P228" i="13"/>
  <c r="P216" i="13"/>
  <c r="P194" i="13"/>
  <c r="P183" i="13"/>
  <c r="P173" i="13"/>
  <c r="P157" i="13"/>
  <c r="P144" i="13"/>
  <c r="P132" i="13"/>
  <c r="P120" i="13"/>
  <c r="P104" i="13"/>
  <c r="P96" i="13"/>
  <c r="P84" i="13"/>
  <c r="P72" i="13"/>
  <c r="P56" i="13"/>
  <c r="P46" i="13"/>
  <c r="P31" i="13"/>
  <c r="P15" i="13"/>
  <c r="P1112" i="13"/>
  <c r="P1111" i="13"/>
  <c r="P1103" i="13"/>
  <c r="P1095" i="13"/>
  <c r="P1082" i="13"/>
  <c r="P1072" i="13"/>
  <c r="P1064" i="13"/>
  <c r="P1055" i="13"/>
  <c r="P1047" i="13"/>
  <c r="P1037" i="13"/>
  <c r="P1029" i="13"/>
  <c r="P1021" i="13"/>
  <c r="P1013" i="13"/>
  <c r="P1004" i="13"/>
  <c r="P996" i="13"/>
  <c r="P979" i="13"/>
  <c r="P942" i="13"/>
  <c r="P902" i="13"/>
  <c r="P884" i="13"/>
  <c r="P875" i="13"/>
  <c r="P852" i="13"/>
  <c r="P840" i="13"/>
  <c r="P832" i="13"/>
  <c r="P822" i="13"/>
  <c r="P801" i="13"/>
  <c r="P774" i="13"/>
  <c r="P766" i="13"/>
  <c r="P750" i="13"/>
  <c r="P740" i="13"/>
  <c r="P730" i="13"/>
  <c r="P709" i="13"/>
  <c r="P699" i="13"/>
  <c r="P675" i="13"/>
  <c r="P667" i="13"/>
  <c r="P656" i="13"/>
  <c r="P646" i="13"/>
  <c r="P636" i="13"/>
  <c r="P627" i="13"/>
  <c r="P612" i="13"/>
  <c r="P599" i="13"/>
  <c r="P590" i="13"/>
  <c r="P576" i="13"/>
  <c r="P563" i="13"/>
  <c r="P541" i="13"/>
  <c r="P528" i="13"/>
  <c r="P513" i="13"/>
  <c r="P505" i="13"/>
  <c r="P492" i="13"/>
  <c r="P482" i="13"/>
  <c r="P446" i="13"/>
  <c r="P435" i="13"/>
  <c r="P423" i="13"/>
  <c r="P415" i="13"/>
  <c r="P405" i="13"/>
  <c r="P374" i="13"/>
  <c r="P365" i="13"/>
  <c r="P357" i="13"/>
  <c r="P343" i="13"/>
  <c r="P334" i="13"/>
  <c r="P315" i="13"/>
  <c r="P303" i="13"/>
  <c r="P295" i="13"/>
  <c r="P279" i="13"/>
  <c r="P261" i="13"/>
  <c r="P247" i="13"/>
  <c r="P237" i="13"/>
  <c r="P223" i="13"/>
  <c r="P215" i="13"/>
  <c r="P193" i="13"/>
  <c r="P182" i="13"/>
  <c r="P172" i="13"/>
  <c r="P155" i="13"/>
  <c r="P143" i="13"/>
  <c r="P130" i="13"/>
  <c r="P119" i="13"/>
  <c r="P103" i="13"/>
  <c r="P95" i="13"/>
  <c r="P82" i="13"/>
  <c r="P71" i="13"/>
  <c r="P55" i="13"/>
  <c r="P45" i="13"/>
  <c r="P30" i="13"/>
  <c r="P865" i="13"/>
  <c r="P377" i="13"/>
  <c r="P449" i="13"/>
  <c r="P10" i="13"/>
  <c r="P977" i="13"/>
  <c r="P920" i="13"/>
  <c r="P689" i="13"/>
  <c r="P305" i="13"/>
  <c r="P896" i="13"/>
  <c r="P753" i="13"/>
  <c r="P145" i="13"/>
  <c r="P960" i="13"/>
  <c r="P649" i="13"/>
  <c r="P169" i="13"/>
  <c r="P121" i="13"/>
  <c r="P952" i="13"/>
  <c r="P393" i="13"/>
  <c r="P953" i="13"/>
  <c r="P897" i="13"/>
  <c r="P864" i="13"/>
  <c r="P721" i="13"/>
  <c r="P657" i="13"/>
  <c r="P553" i="13"/>
  <c r="P385" i="13"/>
  <c r="P329" i="13"/>
  <c r="P265" i="13"/>
  <c r="P25" i="13"/>
  <c r="P976" i="13"/>
  <c r="P849" i="13"/>
  <c r="P617" i="13"/>
  <c r="P249" i="13"/>
  <c r="P129" i="13"/>
  <c r="P105" i="13"/>
  <c r="P913" i="13"/>
  <c r="P857" i="13"/>
  <c r="P848" i="13"/>
  <c r="P161" i="13"/>
  <c r="P1073" i="13"/>
  <c r="P968" i="13"/>
  <c r="P945" i="13"/>
  <c r="P936" i="13"/>
  <c r="P912" i="13"/>
  <c r="P881" i="13"/>
  <c r="P856" i="13"/>
  <c r="P793" i="13"/>
  <c r="P729" i="13"/>
  <c r="P561" i="13"/>
  <c r="P401" i="13"/>
  <c r="P345" i="13"/>
  <c r="P289" i="13"/>
  <c r="P273" i="13"/>
  <c r="P225" i="13"/>
  <c r="P201" i="13"/>
  <c r="P985" i="13"/>
  <c r="P944" i="13"/>
  <c r="P929" i="13"/>
  <c r="P905" i="13"/>
  <c r="P872" i="13"/>
  <c r="P681" i="13"/>
  <c r="P465" i="13"/>
  <c r="P321" i="13"/>
  <c r="P65" i="13"/>
  <c r="P984" i="13"/>
  <c r="P928" i="13"/>
  <c r="P904" i="13"/>
  <c r="P697" i="13"/>
  <c r="P457" i="13"/>
  <c r="P808" i="13"/>
  <c r="P792" i="13"/>
  <c r="P784" i="13"/>
  <c r="P728" i="13"/>
  <c r="P720" i="13"/>
  <c r="P696" i="13"/>
  <c r="P688" i="13"/>
  <c r="P680" i="13"/>
  <c r="P664" i="13"/>
  <c r="P616" i="13"/>
  <c r="P568" i="13"/>
  <c r="P560" i="13"/>
  <c r="P552" i="13"/>
  <c r="P544" i="13"/>
  <c r="P536" i="13"/>
  <c r="P504" i="13"/>
  <c r="P496" i="13"/>
  <c r="P464" i="13"/>
  <c r="P456" i="13"/>
  <c r="P448" i="13"/>
  <c r="P408" i="13"/>
  <c r="P392" i="13"/>
  <c r="P384" i="13"/>
  <c r="P344" i="13"/>
  <c r="P320" i="13"/>
  <c r="P304" i="13"/>
  <c r="P288" i="13"/>
  <c r="P264" i="13"/>
  <c r="P224" i="13"/>
  <c r="P200" i="13"/>
  <c r="P176" i="13"/>
  <c r="P136" i="13"/>
  <c r="P112" i="13"/>
  <c r="P40" i="13"/>
  <c r="P24" i="13"/>
  <c r="P1063" i="13"/>
  <c r="P983" i="13"/>
  <c r="P975" i="13"/>
  <c r="P967" i="13"/>
  <c r="P959" i="13"/>
  <c r="P951" i="13"/>
  <c r="P935" i="13"/>
  <c r="P927" i="13"/>
  <c r="P911" i="13"/>
  <c r="P903" i="13"/>
  <c r="P895" i="13"/>
  <c r="P863" i="13"/>
  <c r="P855" i="13"/>
  <c r="P847" i="13"/>
  <c r="P831" i="13"/>
  <c r="P815" i="13"/>
  <c r="P807" i="13"/>
  <c r="P799" i="13"/>
  <c r="P791" i="13"/>
  <c r="P783" i="13"/>
  <c r="P751" i="13"/>
  <c r="P719" i="13"/>
  <c r="P711" i="13"/>
  <c r="P695" i="13"/>
  <c r="P679" i="13"/>
  <c r="P663" i="13"/>
  <c r="P639" i="13"/>
  <c r="P615" i="13"/>
  <c r="P607" i="13"/>
  <c r="P583" i="13"/>
  <c r="P575" i="13"/>
  <c r="P559" i="13"/>
  <c r="P551" i="13"/>
  <c r="P535" i="13"/>
  <c r="P527" i="13"/>
  <c r="P495" i="13"/>
  <c r="P487" i="13"/>
  <c r="P463" i="13"/>
  <c r="P455" i="13"/>
  <c r="P447" i="13"/>
  <c r="P431" i="13"/>
  <c r="P391" i="13"/>
  <c r="P383" i="13"/>
  <c r="P319" i="13"/>
  <c r="P287" i="13"/>
  <c r="P271" i="13"/>
  <c r="P255" i="13"/>
  <c r="P207" i="13"/>
  <c r="P199" i="13"/>
  <c r="P191" i="13"/>
  <c r="P175" i="13"/>
  <c r="P167" i="13"/>
  <c r="P135" i="13"/>
  <c r="P111" i="13"/>
  <c r="P47" i="13"/>
  <c r="P39" i="13"/>
  <c r="P23" i="13"/>
  <c r="P1094" i="13"/>
  <c r="P1086" i="13"/>
  <c r="P1078" i="13"/>
  <c r="P982" i="13"/>
  <c r="P974" i="13"/>
  <c r="P966" i="13"/>
  <c r="P958" i="13"/>
  <c r="P950" i="13"/>
  <c r="P934" i="13"/>
  <c r="P926" i="13"/>
  <c r="P918" i="13"/>
  <c r="P910" i="13"/>
  <c r="P894" i="13"/>
  <c r="P870" i="13"/>
  <c r="P862" i="13"/>
  <c r="P790" i="13"/>
  <c r="P782" i="13"/>
  <c r="P734" i="13"/>
  <c r="P710" i="13"/>
  <c r="P702" i="13"/>
  <c r="P694" i="13"/>
  <c r="P678" i="13"/>
  <c r="P622" i="13"/>
  <c r="P614" i="13"/>
  <c r="P606" i="13"/>
  <c r="P582" i="13"/>
  <c r="P574" i="13"/>
  <c r="P558" i="13"/>
  <c r="P550" i="13"/>
  <c r="P534" i="13"/>
  <c r="P526" i="13"/>
  <c r="P518" i="13"/>
  <c r="P486" i="13"/>
  <c r="P478" i="13"/>
  <c r="P470" i="13"/>
  <c r="P462" i="13"/>
  <c r="P454" i="13"/>
  <c r="P430" i="13"/>
  <c r="P398" i="13"/>
  <c r="P390" i="13"/>
  <c r="P382" i="13"/>
  <c r="P350" i="13"/>
  <c r="P318" i="13"/>
  <c r="P286" i="13"/>
  <c r="P278" i="13"/>
  <c r="P254" i="13"/>
  <c r="P246" i="13"/>
  <c r="P206" i="13"/>
  <c r="P198" i="13"/>
  <c r="P190" i="13"/>
  <c r="P134" i="13"/>
  <c r="P110" i="13"/>
  <c r="P86" i="13"/>
  <c r="P70" i="13"/>
  <c r="P54" i="13"/>
  <c r="P38" i="13"/>
  <c r="P981" i="13"/>
  <c r="P973" i="13"/>
  <c r="P965" i="13"/>
  <c r="P957" i="13"/>
  <c r="P933" i="13"/>
  <c r="P925" i="13"/>
  <c r="P917" i="13"/>
  <c r="P909" i="13"/>
  <c r="P901" i="13"/>
  <c r="P869" i="13"/>
  <c r="P861" i="13"/>
  <c r="P845" i="13"/>
  <c r="P821" i="13"/>
  <c r="P813" i="13"/>
  <c r="P805" i="13"/>
  <c r="P797" i="13"/>
  <c r="P789" i="13"/>
  <c r="P781" i="13"/>
  <c r="P765" i="13"/>
  <c r="P757" i="13"/>
  <c r="P693" i="13"/>
  <c r="P685" i="13"/>
  <c r="P621" i="13"/>
  <c r="P613" i="13"/>
  <c r="P597" i="13"/>
  <c r="P581" i="13"/>
  <c r="P573" i="13"/>
  <c r="P549" i="13"/>
  <c r="P525" i="13"/>
  <c r="P517" i="13"/>
  <c r="P501" i="13"/>
  <c r="P477" i="13"/>
  <c r="P461" i="13"/>
  <c r="P453" i="13"/>
  <c r="P429" i="13"/>
  <c r="P397" i="13"/>
  <c r="P389" i="13"/>
  <c r="P381" i="13"/>
  <c r="P349" i="13"/>
  <c r="P317" i="13"/>
  <c r="P309" i="13"/>
  <c r="P285" i="13"/>
  <c r="P253" i="13"/>
  <c r="P205" i="13"/>
  <c r="P197" i="13"/>
  <c r="P133" i="13"/>
  <c r="P93" i="13"/>
  <c r="P85" i="13"/>
  <c r="P77" i="13"/>
  <c r="P69" i="13"/>
  <c r="P61" i="13"/>
  <c r="P37" i="13"/>
  <c r="P29" i="13"/>
  <c r="P21" i="13"/>
  <c r="P13" i="13"/>
  <c r="P1087" i="13"/>
  <c r="P1045" i="13"/>
  <c r="P1084" i="13"/>
  <c r="P988" i="13"/>
  <c r="P980" i="13"/>
  <c r="P972" i="13"/>
  <c r="P964" i="13"/>
  <c r="P956" i="13"/>
  <c r="P948" i="13"/>
  <c r="P932" i="13"/>
  <c r="P924" i="13"/>
  <c r="P916" i="13"/>
  <c r="P908" i="13"/>
  <c r="P900" i="13"/>
  <c r="P892" i="13"/>
  <c r="P868" i="13"/>
  <c r="P820" i="13"/>
  <c r="P812" i="13"/>
  <c r="P804" i="13"/>
  <c r="P796" i="13"/>
  <c r="P788" i="13"/>
  <c r="P780" i="13"/>
  <c r="P764" i="13"/>
  <c r="P756" i="13"/>
  <c r="P724" i="13"/>
  <c r="P716" i="13"/>
  <c r="P700" i="13"/>
  <c r="P644" i="13"/>
  <c r="P588" i="13"/>
  <c r="P556" i="13"/>
  <c r="P548" i="13"/>
  <c r="P540" i="13"/>
  <c r="P516" i="13"/>
  <c r="P500" i="13"/>
  <c r="P476" i="13"/>
  <c r="P468" i="13"/>
  <c r="P460" i="13"/>
  <c r="P452" i="13"/>
  <c r="P444" i="13"/>
  <c r="P428" i="13"/>
  <c r="P396" i="13"/>
  <c r="P388" i="13"/>
  <c r="P380" i="13"/>
  <c r="P372" i="13"/>
  <c r="P348" i="13"/>
  <c r="P324" i="13"/>
  <c r="P308" i="13"/>
  <c r="P268" i="13"/>
  <c r="P260" i="13"/>
  <c r="P236" i="13"/>
  <c r="P204" i="13"/>
  <c r="P196" i="13"/>
  <c r="P164" i="13"/>
  <c r="P156" i="13"/>
  <c r="P148" i="13"/>
  <c r="P116" i="13"/>
  <c r="P108" i="13"/>
  <c r="P92" i="13"/>
  <c r="P76" i="13"/>
  <c r="P68" i="13"/>
  <c r="P36" i="13"/>
  <c r="P20" i="13"/>
  <c r="P12" i="13"/>
  <c r="P1083" i="13"/>
  <c r="P987" i="13"/>
  <c r="P971" i="13"/>
  <c r="P955" i="13"/>
  <c r="P931" i="13"/>
  <c r="P923" i="13"/>
  <c r="P915" i="13"/>
  <c r="P907" i="13"/>
  <c r="P899" i="13"/>
  <c r="P867" i="13"/>
  <c r="P827" i="13"/>
  <c r="P819" i="13"/>
  <c r="P811" i="13"/>
  <c r="P795" i="13"/>
  <c r="P787" i="13"/>
  <c r="P779" i="13"/>
  <c r="P763" i="13"/>
  <c r="P747" i="13"/>
  <c r="P731" i="13"/>
  <c r="P723" i="13"/>
  <c r="P715" i="13"/>
  <c r="P691" i="13"/>
  <c r="P683" i="13"/>
  <c r="P635" i="13"/>
  <c r="P611" i="13"/>
  <c r="P603" i="13"/>
  <c r="P587" i="13"/>
  <c r="P547" i="13"/>
  <c r="P531" i="13"/>
  <c r="P515" i="13"/>
  <c r="P475" i="13"/>
  <c r="P467" i="13"/>
  <c r="P459" i="13"/>
  <c r="P451" i="13"/>
  <c r="P443" i="13"/>
  <c r="P395" i="13"/>
  <c r="P387" i="13"/>
  <c r="P379" i="13"/>
  <c r="P347" i="13"/>
  <c r="P331" i="13"/>
  <c r="P323" i="13"/>
  <c r="P291" i="13"/>
  <c r="P275" i="13"/>
  <c r="P267" i="13"/>
  <c r="P243" i="13"/>
  <c r="P235" i="13"/>
  <c r="P227" i="13"/>
  <c r="P211" i="13"/>
  <c r="P203" i="13"/>
  <c r="P195" i="13"/>
  <c r="P171" i="13"/>
  <c r="P163" i="13"/>
  <c r="P147" i="13"/>
  <c r="P131" i="13"/>
  <c r="P115" i="13"/>
  <c r="P107" i="13"/>
  <c r="P83" i="13"/>
  <c r="P75" i="13"/>
  <c r="P67" i="13"/>
  <c r="P59" i="13"/>
  <c r="P35" i="13"/>
  <c r="P19" i="13"/>
  <c r="P11" i="13"/>
  <c r="P1042" i="13"/>
  <c r="P1010" i="13"/>
  <c r="P986" i="13"/>
  <c r="P970" i="13"/>
  <c r="P962" i="13"/>
  <c r="P954" i="13"/>
  <c r="P946" i="13"/>
  <c r="P938" i="13"/>
  <c r="P930" i="13"/>
  <c r="P914" i="13"/>
  <c r="P906" i="13"/>
  <c r="P898" i="13"/>
  <c r="P890" i="13"/>
  <c r="P866" i="13"/>
  <c r="P858" i="13"/>
  <c r="P818" i="13"/>
  <c r="P810" i="13"/>
  <c r="P794" i="13"/>
  <c r="P778" i="13"/>
  <c r="P762" i="13"/>
  <c r="P746" i="13"/>
  <c r="P722" i="13"/>
  <c r="P714" i="13"/>
  <c r="P698" i="13"/>
  <c r="P682" i="13"/>
  <c r="P650" i="13"/>
  <c r="P610" i="13"/>
  <c r="P586" i="13"/>
  <c r="P570" i="13"/>
  <c r="P562" i="13"/>
  <c r="P474" i="13"/>
  <c r="P466" i="13"/>
  <c r="P458" i="13"/>
  <c r="P450" i="13"/>
  <c r="P442" i="13"/>
  <c r="P410" i="13"/>
  <c r="P394" i="13"/>
  <c r="P386" i="13"/>
  <c r="P378" i="13"/>
  <c r="P338" i="13"/>
  <c r="P330" i="13"/>
  <c r="P322" i="13"/>
  <c r="P290" i="13"/>
  <c r="P282" i="13"/>
  <c r="P274" i="13"/>
  <c r="P266" i="13"/>
  <c r="P258" i="13"/>
  <c r="P226" i="13"/>
  <c r="P202" i="13"/>
  <c r="P186" i="13"/>
  <c r="P170" i="13"/>
  <c r="P162" i="13"/>
  <c r="P146" i="13"/>
  <c r="P122" i="13"/>
  <c r="P66" i="13"/>
  <c r="P34" i="13"/>
  <c r="P26" i="13"/>
  <c r="AN10" i="4"/>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5" i="4"/>
  <c r="AN336" i="4"/>
  <c r="AN337" i="4"/>
  <c r="AN9" i="4"/>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Q1016" i="3"/>
  <c r="AQ1017" i="3"/>
  <c r="AQ1018" i="3"/>
  <c r="AQ1019" i="3"/>
  <c r="AQ1020" i="3"/>
  <c r="AQ1021" i="3"/>
  <c r="AQ1022" i="3"/>
  <c r="AQ1023" i="3"/>
  <c r="AQ1024" i="3"/>
  <c r="AQ1025" i="3"/>
  <c r="AQ1026" i="3"/>
  <c r="AQ1027" i="3"/>
  <c r="AQ1028" i="3"/>
  <c r="AQ1029" i="3"/>
  <c r="AQ1030" i="3"/>
  <c r="AQ1031" i="3"/>
  <c r="AQ1032" i="3"/>
  <c r="AQ1033" i="3"/>
  <c r="AQ1034" i="3"/>
  <c r="AQ1035" i="3"/>
  <c r="AQ1036" i="3"/>
  <c r="AQ1037" i="3"/>
  <c r="AQ1038" i="3"/>
  <c r="AQ1039" i="3"/>
  <c r="AQ1040" i="3"/>
  <c r="AQ1041" i="3"/>
  <c r="AQ1042" i="3"/>
  <c r="AQ1043" i="3"/>
  <c r="AQ1044" i="3"/>
  <c r="AQ1045" i="3"/>
  <c r="AQ1046" i="3"/>
  <c r="AQ1047" i="3"/>
  <c r="AQ1048" i="3"/>
  <c r="AQ1049" i="3"/>
  <c r="AQ1050" i="3"/>
  <c r="AQ1051" i="3"/>
  <c r="AQ1052" i="3"/>
  <c r="AQ1053" i="3"/>
  <c r="AQ1054" i="3"/>
  <c r="AQ1055" i="3"/>
  <c r="AQ1056" i="3"/>
  <c r="AQ1057" i="3"/>
  <c r="AQ1058" i="3"/>
  <c r="AQ1059" i="3"/>
  <c r="AQ1060" i="3"/>
  <c r="AQ1061" i="3"/>
  <c r="AQ1062" i="3"/>
  <c r="AQ1063" i="3"/>
  <c r="AQ1064" i="3"/>
  <c r="AQ1065" i="3"/>
  <c r="AQ1066" i="3"/>
  <c r="AQ1067" i="3"/>
  <c r="AQ1068" i="3"/>
  <c r="AQ1069" i="3"/>
  <c r="AQ1070" i="3"/>
  <c r="AQ1071" i="3"/>
  <c r="AQ1072" i="3"/>
  <c r="AQ1073" i="3"/>
  <c r="AQ1074" i="3"/>
  <c r="AQ1075" i="3"/>
  <c r="AQ1076" i="3"/>
  <c r="AQ1077" i="3"/>
  <c r="AQ1078" i="3"/>
  <c r="AQ1079" i="3"/>
  <c r="AQ1080" i="3"/>
  <c r="AQ1081" i="3"/>
  <c r="AQ1082" i="3"/>
  <c r="AQ1083" i="3"/>
  <c r="AQ1084" i="3"/>
  <c r="AQ1085" i="3"/>
  <c r="AQ1086" i="3"/>
  <c r="AQ1087" i="3"/>
  <c r="AQ1088" i="3"/>
  <c r="AQ1089" i="3"/>
  <c r="AQ1090" i="3"/>
  <c r="AQ1091" i="3"/>
  <c r="AQ1092" i="3"/>
  <c r="AQ1093" i="3"/>
  <c r="AQ1094" i="3"/>
  <c r="AQ1095" i="3"/>
  <c r="AQ1096" i="3"/>
  <c r="AQ1097" i="3"/>
  <c r="AQ1098" i="3"/>
  <c r="AQ1099" i="3"/>
  <c r="AQ1100" i="3"/>
  <c r="AQ1101" i="3"/>
  <c r="AQ1102" i="3"/>
  <c r="AQ1103" i="3"/>
  <c r="AQ1104" i="3"/>
  <c r="AQ1105" i="3"/>
  <c r="AQ1106" i="3"/>
  <c r="AQ1107" i="3"/>
  <c r="AQ1108" i="3"/>
  <c r="AQ1109" i="3"/>
  <c r="AQ1110" i="3"/>
  <c r="AQ1111" i="3"/>
  <c r="AQ1112" i="3"/>
  <c r="AQ1113" i="3"/>
  <c r="AQ1114" i="3"/>
  <c r="AQ1115" i="3"/>
  <c r="AQ1116" i="3"/>
  <c r="AQ1117" i="3"/>
  <c r="AQ1118" i="3"/>
  <c r="AQ1119" i="3"/>
  <c r="AQ1120" i="3"/>
  <c r="AQ1121" i="3"/>
  <c r="AQ1122" i="3"/>
  <c r="AQ1123" i="3"/>
  <c r="AQ1124" i="3"/>
  <c r="AQ1125" i="3"/>
  <c r="AQ1126" i="3"/>
  <c r="AQ1127" i="3"/>
  <c r="AQ1128" i="3"/>
  <c r="AQ1129" i="3"/>
  <c r="AQ1130" i="3"/>
  <c r="AQ1131" i="3"/>
  <c r="AQ1132" i="3"/>
  <c r="AQ1133" i="3"/>
  <c r="AQ1134" i="3"/>
  <c r="AQ1135" i="3"/>
  <c r="AQ1136" i="3"/>
  <c r="AQ1137" i="3"/>
  <c r="AQ1138" i="3"/>
  <c r="AQ1139" i="3"/>
  <c r="AQ1140" i="3"/>
  <c r="AQ1141" i="3"/>
  <c r="AQ1142" i="3"/>
  <c r="AQ1143" i="3"/>
  <c r="AQ1144" i="3"/>
  <c r="AQ1145" i="3"/>
  <c r="AQ1146" i="3"/>
  <c r="AQ1147" i="3"/>
  <c r="AQ1148" i="3"/>
  <c r="AQ1149" i="3"/>
  <c r="AQ1150" i="3"/>
  <c r="AQ1151" i="3"/>
  <c r="AQ1152" i="3"/>
  <c r="AQ1153" i="3"/>
  <c r="AQ1154" i="3"/>
  <c r="AQ1155" i="3"/>
  <c r="AQ1156" i="3"/>
  <c r="AQ1157" i="3"/>
  <c r="AQ1158" i="3"/>
  <c r="AQ1159" i="3"/>
  <c r="AQ1160" i="3"/>
  <c r="AQ1161" i="3"/>
  <c r="AQ1162" i="3"/>
  <c r="AQ1163" i="3"/>
  <c r="AQ1164" i="3"/>
  <c r="AQ1165" i="3"/>
  <c r="AQ1166" i="3"/>
  <c r="AQ1167" i="3"/>
  <c r="AQ1168" i="3"/>
  <c r="AQ1169" i="3"/>
  <c r="AQ1170" i="3"/>
  <c r="AQ1171" i="3"/>
  <c r="AQ1172" i="3"/>
  <c r="AQ1173" i="3"/>
  <c r="AQ1174" i="3"/>
  <c r="AQ1175" i="3"/>
  <c r="AQ1176" i="3"/>
  <c r="AQ1177" i="3"/>
  <c r="AQ1178" i="3"/>
  <c r="AQ1179" i="3"/>
  <c r="AQ1180" i="3"/>
  <c r="AQ1181" i="3"/>
  <c r="AQ1182" i="3"/>
  <c r="AQ1183" i="3"/>
  <c r="AQ1184" i="3"/>
  <c r="AQ1185" i="3"/>
  <c r="AQ1186" i="3"/>
  <c r="AQ1187" i="3"/>
  <c r="AQ1188" i="3"/>
  <c r="AQ1189" i="3"/>
  <c r="AQ1190" i="3"/>
  <c r="AQ1191" i="3"/>
  <c r="AQ1192" i="3"/>
  <c r="AQ1193" i="3"/>
  <c r="AQ1194" i="3"/>
  <c r="AQ1195" i="3"/>
  <c r="AQ1196" i="3"/>
  <c r="AQ1197" i="3"/>
  <c r="AQ1198" i="3"/>
  <c r="AQ1199" i="3"/>
  <c r="AQ1200" i="3"/>
  <c r="AQ1201" i="3"/>
  <c r="AQ1202" i="3"/>
  <c r="AQ1203" i="3"/>
  <c r="AQ1204" i="3"/>
  <c r="AQ1205" i="3"/>
  <c r="AQ1206" i="3"/>
  <c r="AQ1207" i="3"/>
  <c r="AQ1208" i="3"/>
  <c r="AQ1209" i="3"/>
  <c r="AQ1210" i="3"/>
  <c r="AQ1211" i="3"/>
  <c r="AQ1212" i="3"/>
  <c r="AQ1213" i="3"/>
  <c r="AQ1214" i="3"/>
  <c r="AQ1215" i="3"/>
  <c r="AQ1216" i="3"/>
  <c r="AQ1217" i="3"/>
  <c r="AQ1218" i="3"/>
  <c r="AQ1219" i="3"/>
  <c r="AQ1220" i="3"/>
  <c r="AQ1221" i="3"/>
  <c r="AQ1222" i="3"/>
  <c r="AQ1223" i="3"/>
  <c r="AQ1224" i="3"/>
  <c r="AQ1225" i="3"/>
  <c r="AQ1226" i="3"/>
  <c r="AQ1227" i="3"/>
  <c r="AQ1228" i="3"/>
  <c r="AQ1229" i="3"/>
  <c r="AQ1230" i="3"/>
  <c r="AQ1231" i="3"/>
  <c r="AQ1232" i="3"/>
  <c r="AQ1233" i="3"/>
  <c r="AQ1234" i="3"/>
  <c r="AQ1235" i="3"/>
  <c r="AQ1236" i="3"/>
  <c r="AQ1237" i="3"/>
  <c r="AQ1238" i="3"/>
  <c r="AQ1239" i="3"/>
  <c r="AQ1240" i="3"/>
  <c r="AQ1241" i="3"/>
  <c r="AQ1242" i="3"/>
  <c r="AQ1243" i="3"/>
  <c r="AQ1244" i="3"/>
  <c r="AQ1245" i="3"/>
  <c r="AQ1246" i="3"/>
  <c r="AQ1247" i="3"/>
  <c r="AQ1248" i="3"/>
  <c r="AQ1249" i="3"/>
  <c r="AQ1250" i="3"/>
  <c r="AQ1251" i="3"/>
  <c r="AQ1252" i="3"/>
  <c r="AQ1253" i="3"/>
  <c r="AQ1254" i="3"/>
  <c r="AQ1255" i="3"/>
  <c r="AQ1256" i="3"/>
  <c r="AQ1257" i="3"/>
  <c r="AQ1258" i="3"/>
  <c r="AQ1259" i="3"/>
  <c r="AQ1260" i="3"/>
  <c r="AQ1261" i="3"/>
  <c r="AQ1262" i="3"/>
  <c r="AQ1263" i="3"/>
  <c r="AQ1264" i="3"/>
  <c r="AQ1265" i="3"/>
  <c r="AQ1266" i="3"/>
  <c r="AQ1267" i="3"/>
  <c r="AQ1268" i="3"/>
  <c r="AQ1269" i="3"/>
  <c r="AQ1270" i="3"/>
  <c r="AQ1271" i="3"/>
  <c r="AQ1272" i="3"/>
  <c r="AQ1273" i="3"/>
  <c r="AQ1274" i="3"/>
  <c r="AQ1275" i="3"/>
  <c r="AQ1276" i="3"/>
  <c r="AQ1277" i="3"/>
  <c r="AQ1278" i="3"/>
  <c r="AQ1279" i="3"/>
  <c r="AQ1280" i="3"/>
  <c r="AQ1281" i="3"/>
  <c r="AQ1282" i="3"/>
  <c r="AQ1283" i="3"/>
  <c r="AQ1284" i="3"/>
  <c r="AQ1285" i="3"/>
  <c r="AQ1286" i="3"/>
  <c r="AQ1287" i="3"/>
  <c r="AQ1288" i="3"/>
  <c r="AQ1289" i="3"/>
  <c r="AQ1290" i="3"/>
  <c r="AQ1291" i="3"/>
  <c r="AQ1292" i="3"/>
  <c r="AQ1293" i="3"/>
  <c r="AQ1294" i="3"/>
  <c r="AQ1295" i="3"/>
  <c r="AQ1296" i="3"/>
  <c r="AQ1297" i="3"/>
  <c r="AQ1298" i="3"/>
  <c r="AQ1299" i="3"/>
  <c r="AQ1300" i="3"/>
  <c r="AQ1301" i="3"/>
  <c r="AQ1302" i="3"/>
  <c r="AQ1303" i="3"/>
  <c r="AQ1304" i="3"/>
  <c r="AQ1305" i="3"/>
  <c r="AQ1306" i="3"/>
  <c r="AQ1307" i="3"/>
  <c r="AQ1308" i="3"/>
  <c r="AQ1309" i="3"/>
  <c r="AQ1310" i="3"/>
  <c r="AQ1311" i="3"/>
  <c r="AQ1312" i="3"/>
  <c r="AQ1313" i="3"/>
  <c r="AQ1314" i="3"/>
  <c r="AQ1315" i="3"/>
  <c r="AQ1316" i="3"/>
  <c r="AQ1317" i="3"/>
  <c r="AQ1318" i="3"/>
  <c r="AQ1319" i="3"/>
  <c r="AQ1320" i="3"/>
  <c r="AQ1321" i="3"/>
  <c r="AQ1322" i="3"/>
  <c r="AQ1323" i="3"/>
  <c r="AQ1324" i="3"/>
  <c r="AQ1325" i="3"/>
  <c r="AQ1326" i="3"/>
  <c r="AQ1327" i="3"/>
  <c r="AQ1328" i="3"/>
  <c r="AQ1329" i="3"/>
  <c r="AQ1330" i="3"/>
  <c r="AQ1331" i="3"/>
  <c r="AQ1332" i="3"/>
  <c r="AQ1333" i="3"/>
  <c r="AQ1334" i="3"/>
  <c r="AQ1335" i="3"/>
  <c r="AQ1336" i="3"/>
  <c r="AQ1337" i="3"/>
  <c r="AQ1338" i="3"/>
  <c r="AQ1339" i="3"/>
  <c r="AQ1340" i="3"/>
  <c r="AQ1341" i="3"/>
  <c r="AQ1342" i="3"/>
  <c r="AQ1343" i="3"/>
  <c r="AQ1344" i="3"/>
  <c r="AQ1345" i="3"/>
  <c r="AQ1346" i="3"/>
  <c r="AQ1347" i="3"/>
  <c r="AQ1348" i="3"/>
  <c r="AQ1349" i="3"/>
  <c r="AQ1350" i="3"/>
  <c r="AQ1351" i="3"/>
  <c r="AQ1352" i="3"/>
  <c r="AQ1353" i="3"/>
  <c r="AQ1354" i="3"/>
  <c r="AQ1355" i="3"/>
  <c r="AQ1356" i="3"/>
  <c r="AQ1357" i="3"/>
  <c r="AQ1358" i="3"/>
  <c r="AQ1359" i="3"/>
  <c r="AQ1360" i="3"/>
  <c r="AQ1361" i="3"/>
  <c r="AQ1362" i="3"/>
  <c r="AQ1363" i="3"/>
  <c r="AQ1364" i="3"/>
  <c r="AQ1365" i="3"/>
  <c r="AQ1366" i="3"/>
  <c r="AQ1367" i="3"/>
  <c r="AQ1368" i="3"/>
  <c r="AQ1369" i="3"/>
  <c r="AQ1370" i="3"/>
  <c r="AQ1371" i="3"/>
  <c r="AQ1372" i="3"/>
  <c r="AQ1373" i="3"/>
  <c r="AQ1374" i="3"/>
  <c r="AQ1375" i="3"/>
  <c r="AQ1376" i="3"/>
  <c r="AQ1377" i="3"/>
  <c r="AQ1378" i="3"/>
  <c r="AQ1379" i="3"/>
  <c r="AQ1380" i="3"/>
  <c r="AQ1381" i="3"/>
  <c r="AQ1382" i="3"/>
  <c r="AQ1383" i="3"/>
  <c r="AQ1384" i="3"/>
  <c r="AQ1385" i="3"/>
  <c r="AQ1386" i="3"/>
  <c r="AQ1387" i="3"/>
  <c r="AQ1388" i="3"/>
  <c r="AQ1389" i="3"/>
  <c r="AQ1390" i="3"/>
  <c r="AQ1391" i="3"/>
  <c r="AQ1392" i="3"/>
  <c r="AQ1393" i="3"/>
  <c r="AQ1394" i="3"/>
  <c r="AQ1395" i="3"/>
  <c r="AQ1396" i="3"/>
  <c r="AQ1397" i="3"/>
  <c r="AQ1398" i="3"/>
  <c r="AQ1399" i="3"/>
  <c r="AQ1400" i="3"/>
  <c r="AQ1401" i="3"/>
  <c r="AQ1402" i="3"/>
  <c r="AQ1403" i="3"/>
  <c r="AQ1404" i="3"/>
  <c r="AQ1405" i="3"/>
  <c r="AQ1406" i="3"/>
  <c r="AQ1407" i="3"/>
  <c r="AQ1408" i="3"/>
  <c r="AQ1409" i="3"/>
  <c r="AQ1410" i="3"/>
  <c r="AQ1411" i="3"/>
  <c r="AQ1412" i="3"/>
  <c r="AQ1413" i="3"/>
  <c r="AQ1414" i="3"/>
  <c r="AQ1415" i="3"/>
  <c r="AQ1416" i="3"/>
  <c r="AQ1417" i="3"/>
  <c r="AQ1418" i="3"/>
  <c r="AQ1419" i="3"/>
  <c r="AQ1420" i="3"/>
  <c r="AQ1421" i="3"/>
  <c r="AQ1422" i="3"/>
  <c r="AQ1423" i="3"/>
  <c r="AQ1424" i="3"/>
  <c r="AQ1425" i="3"/>
  <c r="AQ1426" i="3"/>
  <c r="AQ1427" i="3"/>
  <c r="AQ1428" i="3"/>
  <c r="AQ1429" i="3"/>
  <c r="AQ1430" i="3"/>
  <c r="AQ1431" i="3"/>
  <c r="AQ1432" i="3"/>
  <c r="AQ1433" i="3"/>
  <c r="AQ1434" i="3"/>
  <c r="AQ1435" i="3"/>
  <c r="AQ1436" i="3"/>
  <c r="AQ1437" i="3"/>
  <c r="AQ1438" i="3"/>
  <c r="AQ1439" i="3"/>
  <c r="AQ1440" i="3"/>
  <c r="AQ1441" i="3"/>
  <c r="AQ1442" i="3"/>
  <c r="AQ1443" i="3"/>
  <c r="AQ1444" i="3"/>
  <c r="AQ1445" i="3"/>
  <c r="AQ1446" i="3"/>
  <c r="AQ1447" i="3"/>
  <c r="AQ1448" i="3"/>
  <c r="AQ1449" i="3"/>
  <c r="AQ1450" i="3"/>
  <c r="AQ1451" i="3"/>
  <c r="AQ1452" i="3"/>
  <c r="AQ1453" i="3"/>
  <c r="AQ1454" i="3"/>
  <c r="AQ1455" i="3"/>
  <c r="AQ1456" i="3"/>
  <c r="AQ1457" i="3"/>
  <c r="AQ1458" i="3"/>
  <c r="AQ1459" i="3"/>
  <c r="AQ1460" i="3"/>
  <c r="AQ1461" i="3"/>
  <c r="AQ1462" i="3"/>
  <c r="AQ1463" i="3"/>
  <c r="AQ1464" i="3"/>
  <c r="AQ1465" i="3"/>
  <c r="AQ1466" i="3"/>
  <c r="AQ1467" i="3"/>
  <c r="AQ1468" i="3"/>
  <c r="AQ1469" i="3"/>
  <c r="AQ1470" i="3"/>
  <c r="AQ1471" i="3"/>
  <c r="AQ1472" i="3"/>
  <c r="AQ1473" i="3"/>
  <c r="AQ1474" i="3"/>
  <c r="AQ1475" i="3"/>
  <c r="AQ1476" i="3"/>
  <c r="AQ1477" i="3"/>
  <c r="AQ1478" i="3"/>
  <c r="AQ1479" i="3"/>
  <c r="AQ1480" i="3"/>
  <c r="AQ1481" i="3"/>
  <c r="AQ1482" i="3"/>
  <c r="AQ1483" i="3"/>
  <c r="AQ1484" i="3"/>
  <c r="AQ1485" i="3"/>
  <c r="AQ1486" i="3"/>
  <c r="AQ1487" i="3"/>
  <c r="AQ1488" i="3"/>
  <c r="AQ1489" i="3"/>
  <c r="AQ1490" i="3"/>
  <c r="AQ1491" i="3"/>
  <c r="AQ1492" i="3"/>
  <c r="AQ1493" i="3"/>
  <c r="AQ1494" i="3"/>
  <c r="AQ1495" i="3"/>
  <c r="AQ1496" i="3"/>
  <c r="AQ1497" i="3"/>
  <c r="AQ1498" i="3"/>
  <c r="AQ1499" i="3"/>
  <c r="AQ1500" i="3"/>
  <c r="AQ1501" i="3"/>
  <c r="AQ1502" i="3"/>
  <c r="AQ1503" i="3"/>
  <c r="AQ1504" i="3"/>
  <c r="AQ1505" i="3"/>
  <c r="AQ1506" i="3"/>
  <c r="AQ1507" i="3"/>
  <c r="AQ1508" i="3"/>
  <c r="AQ1509" i="3"/>
  <c r="AQ1510" i="3"/>
  <c r="AQ1511" i="3"/>
  <c r="AQ1512" i="3"/>
  <c r="AQ1513" i="3"/>
  <c r="AQ1514" i="3"/>
  <c r="AQ1515" i="3"/>
  <c r="AQ1516" i="3"/>
  <c r="AQ1517" i="3"/>
  <c r="AQ1518" i="3"/>
  <c r="AQ1519" i="3"/>
  <c r="AQ1520" i="3"/>
  <c r="AQ1521" i="3"/>
  <c r="AQ1522" i="3"/>
  <c r="AQ1523" i="3"/>
  <c r="AQ1524" i="3"/>
  <c r="AQ1525" i="3"/>
  <c r="AQ1526" i="3"/>
  <c r="AQ1527" i="3"/>
  <c r="AQ1528" i="3"/>
  <c r="AQ1529" i="3"/>
  <c r="AQ1530" i="3"/>
  <c r="AQ1531" i="3"/>
  <c r="AQ1532" i="3"/>
  <c r="AQ1533" i="3"/>
  <c r="AQ1534" i="3"/>
  <c r="AQ1535" i="3"/>
  <c r="AQ1536" i="3"/>
  <c r="AQ1537" i="3"/>
  <c r="AQ1538" i="3"/>
  <c r="AQ1539" i="3"/>
  <c r="AQ1540" i="3"/>
  <c r="AQ1541" i="3"/>
  <c r="AQ1542" i="3"/>
  <c r="AQ1543" i="3"/>
  <c r="AQ1544" i="3"/>
  <c r="AQ1545" i="3"/>
  <c r="AQ1546" i="3"/>
  <c r="AQ1547" i="3"/>
  <c r="AQ1548" i="3"/>
  <c r="AQ1549" i="3"/>
  <c r="AQ1550" i="3"/>
  <c r="AQ1551" i="3"/>
  <c r="AQ1552" i="3"/>
  <c r="AQ1553" i="3"/>
  <c r="AQ1554" i="3"/>
  <c r="AQ1555" i="3"/>
  <c r="AQ1556" i="3"/>
  <c r="AQ1557" i="3"/>
  <c r="AQ1558" i="3"/>
  <c r="AQ1559" i="3"/>
  <c r="AQ1560" i="3"/>
  <c r="AQ1561" i="3"/>
  <c r="AQ1562" i="3"/>
  <c r="AQ1563" i="3"/>
  <c r="AQ1564" i="3"/>
  <c r="AQ1565" i="3"/>
  <c r="AQ1566" i="3"/>
  <c r="AQ1567" i="3"/>
  <c r="AQ1568" i="3"/>
  <c r="AQ1569" i="3"/>
  <c r="AQ1570" i="3"/>
  <c r="AQ1571" i="3"/>
  <c r="AQ1572" i="3"/>
  <c r="AQ1573" i="3"/>
  <c r="AQ1574" i="3"/>
  <c r="AQ1575" i="3"/>
  <c r="AQ1576" i="3"/>
  <c r="AQ1577" i="3"/>
  <c r="AQ1578" i="3"/>
  <c r="AQ1579" i="3"/>
  <c r="AQ1580" i="3"/>
  <c r="AQ1581" i="3"/>
  <c r="AQ1582" i="3"/>
  <c r="AQ1583" i="3"/>
  <c r="AQ1584" i="3"/>
  <c r="AQ1585" i="3"/>
  <c r="AQ1586" i="3"/>
  <c r="AQ1587" i="3"/>
  <c r="AQ1588" i="3"/>
  <c r="AQ1589" i="3"/>
  <c r="AQ1590" i="3"/>
  <c r="AQ1591" i="3"/>
  <c r="AQ1592" i="3"/>
  <c r="AQ1593" i="3"/>
  <c r="AQ1594" i="3"/>
  <c r="AQ1595" i="3"/>
  <c r="AQ1596" i="3"/>
  <c r="AQ1597" i="3"/>
  <c r="AQ1598" i="3"/>
  <c r="AQ1599" i="3"/>
  <c r="AQ1600" i="3"/>
  <c r="AQ1601" i="3"/>
  <c r="AQ1602" i="3"/>
  <c r="AQ1603" i="3"/>
  <c r="AQ1604" i="3"/>
  <c r="AQ1605" i="3"/>
  <c r="AQ1606" i="3"/>
  <c r="AQ1607" i="3"/>
  <c r="AQ1608" i="3"/>
  <c r="AQ1609" i="3"/>
  <c r="AQ1610" i="3"/>
  <c r="AQ1611" i="3"/>
  <c r="AQ1612" i="3"/>
  <c r="AQ1613" i="3"/>
  <c r="AQ1614" i="3"/>
  <c r="AQ1615" i="3"/>
  <c r="AQ1616" i="3"/>
  <c r="AQ1617" i="3"/>
  <c r="AQ1618" i="3"/>
  <c r="AQ1619" i="3"/>
  <c r="AQ1620" i="3"/>
  <c r="AQ1621" i="3"/>
  <c r="AQ1622" i="3"/>
  <c r="AQ1623" i="3"/>
  <c r="AQ1624" i="3"/>
  <c r="AQ1625" i="3"/>
  <c r="AQ1626" i="3"/>
  <c r="AQ1627" i="3"/>
  <c r="AQ1628" i="3"/>
  <c r="AQ1629" i="3"/>
  <c r="AQ1630" i="3"/>
  <c r="AQ1631" i="3"/>
  <c r="AQ1632" i="3"/>
  <c r="AQ1633" i="3"/>
  <c r="AQ1634" i="3"/>
  <c r="AQ1635" i="3"/>
  <c r="AQ1636" i="3"/>
  <c r="AQ1637" i="3"/>
  <c r="AQ1638" i="3"/>
  <c r="AQ1639" i="3"/>
  <c r="AQ1640" i="3"/>
  <c r="AQ1641" i="3"/>
  <c r="AQ1642" i="3"/>
  <c r="AQ1643" i="3"/>
  <c r="AQ1644" i="3"/>
  <c r="AQ1645" i="3"/>
  <c r="AQ1646" i="3"/>
  <c r="AQ1647" i="3"/>
  <c r="AQ1648" i="3"/>
  <c r="AQ1649" i="3"/>
  <c r="AQ1650" i="3"/>
  <c r="AQ1651" i="3"/>
  <c r="AQ1652" i="3"/>
  <c r="AQ1653" i="3"/>
  <c r="AQ1654" i="3"/>
  <c r="AQ1655" i="3"/>
  <c r="AQ1656" i="3"/>
  <c r="AQ1657" i="3"/>
  <c r="AQ1658" i="3"/>
  <c r="AQ1659" i="3"/>
  <c r="AQ1660" i="3"/>
  <c r="AQ1661" i="3"/>
  <c r="AQ1662" i="3"/>
  <c r="AQ1663" i="3"/>
  <c r="AQ1664" i="3"/>
  <c r="AQ1665" i="3"/>
  <c r="AQ1666" i="3"/>
  <c r="AQ1667" i="3"/>
  <c r="AQ1668" i="3"/>
  <c r="AQ1669" i="3"/>
  <c r="AQ1670" i="3"/>
  <c r="AQ1671" i="3"/>
  <c r="AQ1672" i="3"/>
  <c r="AQ1673" i="3"/>
  <c r="AQ1674" i="3"/>
  <c r="AQ1675" i="3"/>
  <c r="AQ1676" i="3"/>
  <c r="AQ1677" i="3"/>
  <c r="AQ1678" i="3"/>
  <c r="AQ1679" i="3"/>
  <c r="AQ1680" i="3"/>
  <c r="AQ1681" i="3"/>
  <c r="AQ1682" i="3"/>
  <c r="AQ1683" i="3"/>
  <c r="AQ1684" i="3"/>
  <c r="AQ1685" i="3"/>
  <c r="AQ1686" i="3"/>
  <c r="AQ1687" i="3"/>
  <c r="AQ1688" i="3"/>
  <c r="AQ1689" i="3"/>
  <c r="AQ1690" i="3"/>
  <c r="AQ1691" i="3"/>
  <c r="AQ1692" i="3"/>
  <c r="AQ1693" i="3"/>
  <c r="AQ1694" i="3"/>
  <c r="AQ1695" i="3"/>
  <c r="AQ1696" i="3"/>
  <c r="AQ1697" i="3"/>
  <c r="AQ1698" i="3"/>
  <c r="AQ1699" i="3"/>
  <c r="AQ1700" i="3"/>
  <c r="AQ1701" i="3"/>
  <c r="AQ1702" i="3"/>
  <c r="AQ1703" i="3"/>
  <c r="AQ1704" i="3"/>
  <c r="AQ1705" i="3"/>
  <c r="AQ1706" i="3"/>
  <c r="AQ1707" i="3"/>
  <c r="AQ1708" i="3"/>
  <c r="AQ1709" i="3"/>
  <c r="AQ1710" i="3"/>
  <c r="AQ1711" i="3"/>
  <c r="AQ1712" i="3"/>
  <c r="AQ1713" i="3"/>
  <c r="AQ1714" i="3"/>
  <c r="AQ1715" i="3"/>
  <c r="AQ1716" i="3"/>
  <c r="AQ1717" i="3"/>
  <c r="AQ1718" i="3"/>
  <c r="AQ1719" i="3"/>
  <c r="AQ1720" i="3"/>
  <c r="AQ1721" i="3"/>
  <c r="AQ1722" i="3"/>
  <c r="AQ1723" i="3"/>
  <c r="AQ1724" i="3"/>
  <c r="AQ1725" i="3"/>
  <c r="AQ1726" i="3"/>
  <c r="AQ1727" i="3"/>
  <c r="AQ1728" i="3"/>
  <c r="AQ1729" i="3"/>
  <c r="AQ1730" i="3"/>
  <c r="AQ1731" i="3"/>
  <c r="AQ1732" i="3"/>
  <c r="AQ1733" i="3"/>
  <c r="AQ1734" i="3"/>
  <c r="AQ1735" i="3"/>
  <c r="AQ1736" i="3"/>
  <c r="AQ1737" i="3"/>
  <c r="AQ1738" i="3"/>
  <c r="AQ1739" i="3"/>
  <c r="AQ1740" i="3"/>
  <c r="AQ1741" i="3"/>
  <c r="AQ1742" i="3"/>
  <c r="AQ1743" i="3"/>
  <c r="AQ1744" i="3"/>
  <c r="AQ1745" i="3"/>
  <c r="AQ1746" i="3"/>
  <c r="AQ1747" i="3"/>
  <c r="AQ1748" i="3"/>
  <c r="AQ1749" i="3"/>
  <c r="AQ1750" i="3"/>
  <c r="AQ1751" i="3"/>
  <c r="AQ1752" i="3"/>
  <c r="AQ1753" i="3"/>
  <c r="AQ1754" i="3"/>
  <c r="AQ1755" i="3"/>
  <c r="AQ1756" i="3"/>
  <c r="AQ1757" i="3"/>
  <c r="AQ1758" i="3"/>
  <c r="AQ1759" i="3"/>
  <c r="AQ1760" i="3"/>
  <c r="AQ1761" i="3"/>
  <c r="AQ1762" i="3"/>
  <c r="AQ1763" i="3"/>
  <c r="AQ1764" i="3"/>
  <c r="AQ1765" i="3"/>
  <c r="AQ1766" i="3"/>
  <c r="AQ1767" i="3"/>
  <c r="AQ1768" i="3"/>
  <c r="AQ1769" i="3"/>
  <c r="AQ1770" i="3"/>
  <c r="AQ1771" i="3"/>
  <c r="AQ1772" i="3"/>
  <c r="AQ1773" i="3"/>
  <c r="AQ1774" i="3"/>
  <c r="AQ1775" i="3"/>
  <c r="AQ1776" i="3"/>
  <c r="AQ1777" i="3"/>
  <c r="AQ1778" i="3"/>
  <c r="AQ1779" i="3"/>
  <c r="AQ1780" i="3"/>
  <c r="AQ1781" i="3"/>
  <c r="AQ1782" i="3"/>
  <c r="AQ1783" i="3"/>
  <c r="AQ1784" i="3"/>
  <c r="AQ1785" i="3"/>
  <c r="AQ1786" i="3"/>
  <c r="AQ1787" i="3"/>
  <c r="AQ1788" i="3"/>
  <c r="AQ1789" i="3"/>
  <c r="AQ1790" i="3"/>
  <c r="AQ1791" i="3"/>
  <c r="AQ1792" i="3"/>
  <c r="AQ1793" i="3"/>
  <c r="AQ1794" i="3"/>
  <c r="AQ1795" i="3"/>
  <c r="AQ1796" i="3"/>
  <c r="AQ1797" i="3"/>
  <c r="AQ1798" i="3"/>
  <c r="AQ1799" i="3"/>
  <c r="AQ1800" i="3"/>
  <c r="AQ1801" i="3"/>
  <c r="AQ1802" i="3"/>
  <c r="AQ1803" i="3"/>
  <c r="AQ1804" i="3"/>
  <c r="AQ1805" i="3"/>
  <c r="AQ1806" i="3"/>
  <c r="AQ1807" i="3"/>
  <c r="AQ1808" i="3"/>
  <c r="AQ1809" i="3"/>
  <c r="AQ1810" i="3"/>
  <c r="AQ1811" i="3"/>
  <c r="AQ1812" i="3"/>
  <c r="AQ1813" i="3"/>
  <c r="AQ1814" i="3"/>
  <c r="AQ1815" i="3"/>
  <c r="AQ1816" i="3"/>
  <c r="AQ1817" i="3"/>
  <c r="AQ1818" i="3"/>
  <c r="AQ1819" i="3"/>
  <c r="AQ1820" i="3"/>
  <c r="AQ1821" i="3"/>
  <c r="AQ1822" i="3"/>
  <c r="AQ1823" i="3"/>
  <c r="AQ1824" i="3"/>
  <c r="AQ1825" i="3"/>
  <c r="AQ1826" i="3"/>
  <c r="AQ1827" i="3"/>
  <c r="AQ1828" i="3"/>
  <c r="AQ1829" i="3"/>
  <c r="AQ1830" i="3"/>
  <c r="AQ1831" i="3"/>
  <c r="AQ1832" i="3"/>
  <c r="AQ1833" i="3"/>
  <c r="AQ1834" i="3"/>
  <c r="AQ1835" i="3"/>
  <c r="AQ1836" i="3"/>
  <c r="AQ1837" i="3"/>
  <c r="AQ1838" i="3"/>
  <c r="AQ1839" i="3"/>
  <c r="AQ1840" i="3"/>
  <c r="AQ1841" i="3"/>
  <c r="AQ1842" i="3"/>
  <c r="AQ1843" i="3"/>
  <c r="AQ1844" i="3"/>
  <c r="AQ1845" i="3"/>
  <c r="AQ1846" i="3"/>
  <c r="AQ1847" i="3"/>
  <c r="AQ1848" i="3"/>
  <c r="AQ1849" i="3"/>
  <c r="AQ1850" i="3"/>
  <c r="AQ1851" i="3"/>
  <c r="AQ1852" i="3"/>
  <c r="AQ1853" i="3"/>
  <c r="AQ1854" i="3"/>
  <c r="AQ1855" i="3"/>
  <c r="AQ1856" i="3"/>
  <c r="AQ1857" i="3"/>
  <c r="AQ1858" i="3"/>
  <c r="AQ1859" i="3"/>
  <c r="AQ1860" i="3"/>
  <c r="AQ1861" i="3"/>
  <c r="AQ1862" i="3"/>
  <c r="AQ1863" i="3"/>
  <c r="AQ1864" i="3"/>
  <c r="AQ1865" i="3"/>
  <c r="AQ1866" i="3"/>
  <c r="AQ1867" i="3"/>
  <c r="AQ1868" i="3"/>
  <c r="AQ1869" i="3"/>
  <c r="AQ1870" i="3"/>
  <c r="AQ1871" i="3"/>
  <c r="AQ1872" i="3"/>
  <c r="AQ1873" i="3"/>
  <c r="AQ1874" i="3"/>
  <c r="AQ1875" i="3"/>
  <c r="AQ1876" i="3"/>
  <c r="AQ1877" i="3"/>
  <c r="AQ1878" i="3"/>
  <c r="AQ1879" i="3"/>
  <c r="AQ1880" i="3"/>
  <c r="AQ1881" i="3"/>
  <c r="AQ1882" i="3"/>
  <c r="AQ1883" i="3"/>
  <c r="AQ1884" i="3"/>
  <c r="AQ1885" i="3"/>
  <c r="AQ1886" i="3"/>
  <c r="AQ1887" i="3"/>
  <c r="AQ1888" i="3"/>
  <c r="AQ1889" i="3"/>
  <c r="AQ1890" i="3"/>
  <c r="AQ1891" i="3"/>
  <c r="AQ1892" i="3"/>
  <c r="AQ1893" i="3"/>
  <c r="AQ1894" i="3"/>
  <c r="AQ1895" i="3"/>
  <c r="AQ1896" i="3"/>
  <c r="AQ1897" i="3"/>
  <c r="AQ1898" i="3"/>
  <c r="AQ1899" i="3"/>
  <c r="AQ1900" i="3"/>
  <c r="AQ1901" i="3"/>
  <c r="AQ1902" i="3"/>
  <c r="AQ1903" i="3"/>
  <c r="AQ1904" i="3"/>
  <c r="AQ1905" i="3"/>
  <c r="AQ1906" i="3"/>
  <c r="AQ1907" i="3"/>
  <c r="AQ1908" i="3"/>
  <c r="AQ1909" i="3"/>
  <c r="AQ1910" i="3"/>
  <c r="AQ1911" i="3"/>
  <c r="AQ1912" i="3"/>
  <c r="AQ1913" i="3"/>
  <c r="AQ1914" i="3"/>
  <c r="AQ1915" i="3"/>
  <c r="AQ1916" i="3"/>
  <c r="AQ1917" i="3"/>
  <c r="AQ1918" i="3"/>
  <c r="AQ1919" i="3"/>
  <c r="AQ1920" i="3"/>
  <c r="AQ1921" i="3"/>
  <c r="AQ1922" i="3"/>
  <c r="AQ1923" i="3"/>
  <c r="AQ1924" i="3"/>
  <c r="AQ1925" i="3"/>
  <c r="AQ1926" i="3"/>
  <c r="AQ1927" i="3"/>
  <c r="AQ1928" i="3"/>
  <c r="AQ1929" i="3"/>
  <c r="AQ1930" i="3"/>
  <c r="AQ1931" i="3"/>
  <c r="AQ1932" i="3"/>
  <c r="AQ1933" i="3"/>
  <c r="AQ1934" i="3"/>
  <c r="AQ1935" i="3"/>
  <c r="AQ1936" i="3"/>
  <c r="AQ1937" i="3"/>
  <c r="AQ1938" i="3"/>
  <c r="AQ1939" i="3"/>
  <c r="AQ1940" i="3"/>
  <c r="AQ1941" i="3"/>
  <c r="AQ1942" i="3"/>
  <c r="AQ1943" i="3"/>
  <c r="AQ1944" i="3"/>
  <c r="AQ1945" i="3"/>
  <c r="AQ1946" i="3"/>
  <c r="AQ1947" i="3"/>
  <c r="AQ1948" i="3"/>
  <c r="AQ1949" i="3"/>
  <c r="AQ1950" i="3"/>
  <c r="AQ1951" i="3"/>
  <c r="AQ1952" i="3"/>
  <c r="AQ1953" i="3"/>
  <c r="AQ1954" i="3"/>
  <c r="AQ1955" i="3"/>
  <c r="AQ1956" i="3"/>
  <c r="AQ1957" i="3"/>
  <c r="AQ1958" i="3"/>
  <c r="AQ1959" i="3"/>
  <c r="AQ1960" i="3"/>
  <c r="AQ1961" i="3"/>
  <c r="AQ1962" i="3"/>
  <c r="AQ1963" i="3"/>
  <c r="AQ1964" i="3"/>
  <c r="AQ1965" i="3"/>
  <c r="AQ1966" i="3"/>
  <c r="AQ1967" i="3"/>
  <c r="AQ1968" i="3"/>
  <c r="AQ1969" i="3"/>
  <c r="AQ1970" i="3"/>
  <c r="AQ1971" i="3"/>
  <c r="AQ1972" i="3"/>
  <c r="AQ1973" i="3"/>
  <c r="AQ1974" i="3"/>
  <c r="AQ1975" i="3"/>
  <c r="AQ1976" i="3"/>
  <c r="AQ1977" i="3"/>
  <c r="AQ1978" i="3"/>
  <c r="AQ1979" i="3"/>
  <c r="AQ1980" i="3"/>
  <c r="AQ1981" i="3"/>
  <c r="AQ1982" i="3"/>
  <c r="AQ1983" i="3"/>
  <c r="AQ1984" i="3"/>
  <c r="AQ1985" i="3"/>
  <c r="AQ1986" i="3"/>
  <c r="AQ1987" i="3"/>
  <c r="AQ1988" i="3"/>
  <c r="AQ1989" i="3"/>
  <c r="AQ1990" i="3"/>
  <c r="AQ1991" i="3"/>
  <c r="AQ1992" i="3"/>
  <c r="AQ1993" i="3"/>
  <c r="AQ1994" i="3"/>
  <c r="AQ1995" i="3"/>
  <c r="AQ1996" i="3"/>
  <c r="AQ1997" i="3"/>
  <c r="AQ1998" i="3"/>
  <c r="AQ1999" i="3"/>
  <c r="AQ2000" i="3"/>
  <c r="AQ2001" i="3"/>
  <c r="AQ2002" i="3"/>
  <c r="AQ2003" i="3"/>
  <c r="AQ2004" i="3"/>
  <c r="AQ2005" i="3"/>
  <c r="AQ2006" i="3"/>
  <c r="AQ2007" i="3"/>
  <c r="AQ2008" i="3"/>
  <c r="AQ2009" i="3"/>
  <c r="AQ2010" i="3"/>
  <c r="AQ2011" i="3"/>
  <c r="AQ2012" i="3"/>
  <c r="AQ2013" i="3"/>
  <c r="AQ2014" i="3"/>
  <c r="AQ2015" i="3"/>
  <c r="AQ2016" i="3"/>
  <c r="AQ2017" i="3"/>
  <c r="AQ2018" i="3"/>
  <c r="AQ2019" i="3"/>
  <c r="AQ2020" i="3"/>
  <c r="AQ2021" i="3"/>
  <c r="AQ2022" i="3"/>
  <c r="AQ2023" i="3"/>
  <c r="AQ2024" i="3"/>
  <c r="AQ2025" i="3"/>
  <c r="AQ2026" i="3"/>
  <c r="AQ2027" i="3"/>
  <c r="AQ2028" i="3"/>
  <c r="AQ2029" i="3"/>
  <c r="AQ2030" i="3"/>
  <c r="AQ2031" i="3"/>
  <c r="AQ2032" i="3"/>
  <c r="AQ2033" i="3"/>
  <c r="AQ2034" i="3"/>
  <c r="AQ2035" i="3"/>
  <c r="AQ2036" i="3"/>
  <c r="AQ2037" i="3"/>
  <c r="AQ2038" i="3"/>
  <c r="AQ2039" i="3"/>
  <c r="AQ2040" i="3"/>
  <c r="AQ2041" i="3"/>
  <c r="AQ2042" i="3"/>
  <c r="AQ2043" i="3"/>
  <c r="AQ2044" i="3"/>
  <c r="AQ2045" i="3"/>
  <c r="AQ2046" i="3"/>
  <c r="AQ2047" i="3"/>
  <c r="AQ2048" i="3"/>
  <c r="AQ2049" i="3"/>
  <c r="AQ2050" i="3"/>
  <c r="AQ2051" i="3"/>
  <c r="AQ2052" i="3"/>
  <c r="AQ2053" i="3"/>
  <c r="AQ2054" i="3"/>
  <c r="AQ2055" i="3"/>
  <c r="AQ2056" i="3"/>
  <c r="AQ2057" i="3"/>
  <c r="AQ2058" i="3"/>
  <c r="AQ2059" i="3"/>
  <c r="AQ2060" i="3"/>
  <c r="AQ2061" i="3"/>
  <c r="AQ2062" i="3"/>
  <c r="AQ2063" i="3"/>
  <c r="AQ2064" i="3"/>
  <c r="AQ2065" i="3"/>
  <c r="AQ2066" i="3"/>
  <c r="AQ2067" i="3"/>
  <c r="AQ2068" i="3"/>
  <c r="AQ2069" i="3"/>
  <c r="AQ2070" i="3"/>
  <c r="AQ2071" i="3"/>
  <c r="AQ2072" i="3"/>
  <c r="AQ2073" i="3"/>
  <c r="AQ2074" i="3"/>
  <c r="AQ2075" i="3"/>
  <c r="AQ2076" i="3"/>
  <c r="AQ2077" i="3"/>
  <c r="AQ2078" i="3"/>
  <c r="AQ2079" i="3"/>
  <c r="AQ2080" i="3"/>
  <c r="AQ2081" i="3"/>
  <c r="AQ2082" i="3"/>
  <c r="AQ2083" i="3"/>
  <c r="AQ2084" i="3"/>
  <c r="AQ2085" i="3"/>
  <c r="AQ2086" i="3"/>
  <c r="AQ2087" i="3"/>
  <c r="AQ2088" i="3"/>
  <c r="AQ2089" i="3"/>
  <c r="AQ2090" i="3"/>
  <c r="AQ2091" i="3"/>
  <c r="AQ2092" i="3"/>
  <c r="AQ2093" i="3"/>
  <c r="AQ2094" i="3"/>
  <c r="AQ2095" i="3"/>
  <c r="AQ2096" i="3"/>
  <c r="AQ2097" i="3"/>
  <c r="AQ2098" i="3"/>
  <c r="AQ2099" i="3"/>
  <c r="AQ2100" i="3"/>
  <c r="AQ2101" i="3"/>
  <c r="AQ2102" i="3"/>
  <c r="AQ2103" i="3"/>
  <c r="AQ2104" i="3"/>
  <c r="AQ2105" i="3"/>
  <c r="AQ2106" i="3"/>
  <c r="AQ2107" i="3"/>
  <c r="AQ2108" i="3"/>
  <c r="AQ2109" i="3"/>
  <c r="AQ2110" i="3"/>
  <c r="AQ2111" i="3"/>
  <c r="AQ2112" i="3"/>
  <c r="AQ2113" i="3"/>
  <c r="AQ2114" i="3"/>
  <c r="AQ2115" i="3"/>
  <c r="AQ2116" i="3"/>
  <c r="AQ2117" i="3"/>
  <c r="AQ2118" i="3"/>
  <c r="AQ2119" i="3"/>
  <c r="AQ2120" i="3"/>
  <c r="AQ2121" i="3"/>
  <c r="AQ2122" i="3"/>
  <c r="AQ2123" i="3"/>
  <c r="AQ2124" i="3"/>
  <c r="AQ2125" i="3"/>
  <c r="AQ2126" i="3"/>
  <c r="AQ2127" i="3"/>
  <c r="AQ2128" i="3"/>
  <c r="AQ2129" i="3"/>
  <c r="AQ2130" i="3"/>
  <c r="AQ2131" i="3"/>
  <c r="AQ2132" i="3"/>
  <c r="AQ2133" i="3"/>
  <c r="AQ2134" i="3"/>
  <c r="AQ2135" i="3"/>
  <c r="AQ2136" i="3"/>
  <c r="AQ2137" i="3"/>
  <c r="AQ2138" i="3"/>
  <c r="AQ2139" i="3"/>
  <c r="AQ2140" i="3"/>
  <c r="AQ2141" i="3"/>
  <c r="AQ2142" i="3"/>
  <c r="AQ2143" i="3"/>
  <c r="AQ2144" i="3"/>
  <c r="AQ2145" i="3"/>
  <c r="AQ2146" i="3"/>
  <c r="AQ2147" i="3"/>
  <c r="AQ2148" i="3"/>
  <c r="AQ2149" i="3"/>
  <c r="AQ2150" i="3"/>
  <c r="AQ2151" i="3"/>
  <c r="AQ2152" i="3"/>
  <c r="AQ2153" i="3"/>
  <c r="AQ2154" i="3"/>
  <c r="AQ2155" i="3"/>
  <c r="AQ2156" i="3"/>
  <c r="AQ2157" i="3"/>
  <c r="AQ2158" i="3"/>
  <c r="AQ2159" i="3"/>
  <c r="AQ2160" i="3"/>
  <c r="AQ2161" i="3"/>
  <c r="AQ2162" i="3"/>
  <c r="AQ2163" i="3"/>
  <c r="AQ2164" i="3"/>
  <c r="AQ2165" i="3"/>
  <c r="AQ2166" i="3"/>
  <c r="AQ2167" i="3"/>
  <c r="AQ2168" i="3"/>
  <c r="AQ2169" i="3"/>
  <c r="AQ2170" i="3"/>
  <c r="AQ2171" i="3"/>
  <c r="AQ2172" i="3"/>
  <c r="AQ2173" i="3"/>
  <c r="AQ2174" i="3"/>
  <c r="AQ2175" i="3"/>
  <c r="AQ2176" i="3"/>
  <c r="AQ2177" i="3"/>
  <c r="AQ2178" i="3"/>
  <c r="AQ2179" i="3"/>
  <c r="AQ2180" i="3"/>
  <c r="AQ2181" i="3"/>
  <c r="AQ2182" i="3"/>
  <c r="AQ2183" i="3"/>
  <c r="AQ2184" i="3"/>
  <c r="AQ2185" i="3"/>
  <c r="AQ2186" i="3"/>
  <c r="AQ2187" i="3"/>
  <c r="AQ2188" i="3"/>
  <c r="AQ2189" i="3"/>
  <c r="AQ2190" i="3"/>
  <c r="AQ2191" i="3"/>
  <c r="AQ2192" i="3"/>
  <c r="AQ2193" i="3"/>
  <c r="AQ2194" i="3"/>
  <c r="AQ2195" i="3"/>
  <c r="AQ2196" i="3"/>
  <c r="AQ2197" i="3"/>
  <c r="AQ2198" i="3"/>
  <c r="AQ2199" i="3"/>
  <c r="AQ2200" i="3"/>
  <c r="AQ2201" i="3"/>
  <c r="AQ2202" i="3"/>
  <c r="AQ2203" i="3"/>
  <c r="AQ2204" i="3"/>
  <c r="AQ2205" i="3"/>
  <c r="AQ2206" i="3"/>
  <c r="AQ2207" i="3"/>
  <c r="AQ2208" i="3"/>
  <c r="AQ2209" i="3"/>
  <c r="AQ2210" i="3"/>
  <c r="AQ2211" i="3"/>
  <c r="AQ2212" i="3"/>
  <c r="AQ2213" i="3"/>
  <c r="AQ2214" i="3"/>
  <c r="AQ2215" i="3"/>
  <c r="AQ2216" i="3"/>
  <c r="AQ2217" i="3"/>
  <c r="AQ2218" i="3"/>
  <c r="AQ2219" i="3"/>
  <c r="AQ2220" i="3"/>
  <c r="AQ2221" i="3"/>
  <c r="AQ2222" i="3"/>
  <c r="AQ2223" i="3"/>
  <c r="AQ2224" i="3"/>
  <c r="AQ2225" i="3"/>
  <c r="AQ2226" i="3"/>
  <c r="AQ2227" i="3"/>
  <c r="AQ2228" i="3"/>
  <c r="AQ2229" i="3"/>
  <c r="AQ2230" i="3"/>
  <c r="AQ2231" i="3"/>
  <c r="AQ2232" i="3"/>
  <c r="AQ2233" i="3"/>
  <c r="AQ2234" i="3"/>
  <c r="AQ2235" i="3"/>
  <c r="AQ2236" i="3"/>
  <c r="AQ2237" i="3"/>
  <c r="AQ2238" i="3"/>
  <c r="AQ2239" i="3"/>
  <c r="AQ2240" i="3"/>
  <c r="AQ2241" i="3"/>
  <c r="AQ2242" i="3"/>
  <c r="AQ2243" i="3"/>
  <c r="AQ2244" i="3"/>
  <c r="AQ2245" i="3"/>
  <c r="AQ2246" i="3"/>
  <c r="AQ2247" i="3"/>
  <c r="AQ2248" i="3"/>
  <c r="AQ2249" i="3"/>
  <c r="AQ2250" i="3"/>
  <c r="AQ2251" i="3"/>
  <c r="AQ2252" i="3"/>
  <c r="AQ2253" i="3"/>
  <c r="AQ2254" i="3"/>
  <c r="AQ2255" i="3"/>
  <c r="AQ2256" i="3"/>
  <c r="AQ2257" i="3"/>
  <c r="AQ2258" i="3"/>
  <c r="AQ2259" i="3"/>
  <c r="AQ2260" i="3"/>
  <c r="AQ2261" i="3"/>
  <c r="AQ2262" i="3"/>
  <c r="AQ2263" i="3"/>
  <c r="AQ2264" i="3"/>
  <c r="AQ2265" i="3"/>
  <c r="AQ2266" i="3"/>
  <c r="AQ2267" i="3"/>
  <c r="AQ2268" i="3"/>
  <c r="AQ2269" i="3"/>
  <c r="AQ2270" i="3"/>
  <c r="AQ2271" i="3"/>
  <c r="AQ2272" i="3"/>
  <c r="AQ2273" i="3"/>
  <c r="AQ2274" i="3"/>
  <c r="AQ2275" i="3"/>
  <c r="AQ2276" i="3"/>
  <c r="AQ2277" i="3"/>
  <c r="AQ2278" i="3"/>
  <c r="AQ2279" i="3"/>
  <c r="AQ2280" i="3"/>
  <c r="AQ2281" i="3"/>
  <c r="AQ2282" i="3"/>
  <c r="AQ2283" i="3"/>
  <c r="AQ2284" i="3"/>
  <c r="AQ2285" i="3"/>
  <c r="AQ2286" i="3"/>
  <c r="AQ2287" i="3"/>
  <c r="AQ2288" i="3"/>
  <c r="AQ2289" i="3"/>
  <c r="AQ2290" i="3"/>
  <c r="AQ2291" i="3"/>
  <c r="AQ2292" i="3"/>
  <c r="AQ2293" i="3"/>
  <c r="AQ2294" i="3"/>
  <c r="AQ2295" i="3"/>
  <c r="AQ2296" i="3"/>
  <c r="AQ2297" i="3"/>
  <c r="AQ2298" i="3"/>
  <c r="AQ2299" i="3"/>
  <c r="AQ2300" i="3"/>
  <c r="AQ2301" i="3"/>
  <c r="AQ2302" i="3"/>
  <c r="AQ2303" i="3"/>
  <c r="AQ2304" i="3"/>
  <c r="AQ2305" i="3"/>
  <c r="AQ2306" i="3"/>
  <c r="AQ2307" i="3"/>
  <c r="AQ2308" i="3"/>
  <c r="AQ2309" i="3"/>
  <c r="AQ2310" i="3"/>
  <c r="AQ2311" i="3"/>
  <c r="AQ2312" i="3"/>
  <c r="AQ2313" i="3"/>
  <c r="AQ2314" i="3"/>
  <c r="AQ2315" i="3"/>
  <c r="AQ2316" i="3"/>
  <c r="AQ2317" i="3"/>
  <c r="AQ2318" i="3"/>
  <c r="AQ2319" i="3"/>
  <c r="AQ2320" i="3"/>
  <c r="AQ2321" i="3"/>
  <c r="AQ2322" i="3"/>
  <c r="AQ2323" i="3"/>
  <c r="AQ2324" i="3"/>
  <c r="AQ2325" i="3"/>
  <c r="AQ2326" i="3"/>
  <c r="AQ2327" i="3"/>
  <c r="AQ2328" i="3"/>
  <c r="AQ2329" i="3"/>
  <c r="AQ2330" i="3"/>
  <c r="AQ2331" i="3"/>
  <c r="AQ2332" i="3"/>
  <c r="AQ2333" i="3"/>
  <c r="AQ2334" i="3"/>
  <c r="AQ2335" i="3"/>
  <c r="AQ2336" i="3"/>
  <c r="AQ2337" i="3"/>
  <c r="AQ2338" i="3"/>
  <c r="AQ2339" i="3"/>
  <c r="AQ2340" i="3"/>
  <c r="AQ2341" i="3"/>
  <c r="AQ2342" i="3"/>
  <c r="AQ2343" i="3"/>
  <c r="AQ2344" i="3"/>
  <c r="AQ2345" i="3"/>
  <c r="AQ2346" i="3"/>
  <c r="AQ2347" i="3"/>
  <c r="AQ2348" i="3"/>
  <c r="AQ2349" i="3"/>
  <c r="AQ2350" i="3"/>
  <c r="AQ2351" i="3"/>
  <c r="AQ2352" i="3"/>
  <c r="AQ2353" i="3"/>
  <c r="AQ2354" i="3"/>
  <c r="AQ2355" i="3"/>
  <c r="AQ2356" i="3"/>
  <c r="AQ2357" i="3"/>
  <c r="AQ2358" i="3"/>
  <c r="AQ2359" i="3"/>
  <c r="AQ2360" i="3"/>
  <c r="AQ2361" i="3"/>
  <c r="AQ2362" i="3"/>
  <c r="AQ2363" i="3"/>
  <c r="AQ2364" i="3"/>
  <c r="AQ2365" i="3"/>
  <c r="AQ2366" i="3"/>
  <c r="AQ2367" i="3"/>
  <c r="AQ2368" i="3"/>
  <c r="AQ2369" i="3"/>
  <c r="AQ2370" i="3"/>
  <c r="AQ2371" i="3"/>
  <c r="AQ2372" i="3"/>
  <c r="AQ2373" i="3"/>
  <c r="AQ2374" i="3"/>
  <c r="AQ2375" i="3"/>
  <c r="AQ2376" i="3"/>
  <c r="AQ2377" i="3"/>
  <c r="AQ2378" i="3"/>
  <c r="AQ2379" i="3"/>
  <c r="AQ2380" i="3"/>
  <c r="AQ2381" i="3"/>
  <c r="AQ2382" i="3"/>
  <c r="AQ2383" i="3"/>
  <c r="AQ2384" i="3"/>
  <c r="AQ2385" i="3"/>
  <c r="AQ2386" i="3"/>
  <c r="AQ2387" i="3"/>
  <c r="AQ2388" i="3"/>
  <c r="AQ2389" i="3"/>
  <c r="AQ2390" i="3"/>
  <c r="AQ2391" i="3"/>
  <c r="AQ2392" i="3"/>
  <c r="AQ2393" i="3"/>
  <c r="AQ2394" i="3"/>
  <c r="AQ2395" i="3"/>
  <c r="AQ2396" i="3"/>
  <c r="AQ2397" i="3"/>
  <c r="AQ2398" i="3"/>
  <c r="AQ2399" i="3"/>
  <c r="AQ2400" i="3"/>
  <c r="AQ2401" i="3"/>
  <c r="AQ2402" i="3"/>
  <c r="AQ2403" i="3"/>
  <c r="AQ2404" i="3"/>
  <c r="AQ2405" i="3"/>
  <c r="AQ2406" i="3"/>
  <c r="AQ2407" i="3"/>
  <c r="AQ2408" i="3"/>
  <c r="AQ2409" i="3"/>
  <c r="AQ2410" i="3"/>
  <c r="AQ2411" i="3"/>
  <c r="AQ2412" i="3"/>
  <c r="AQ2413" i="3"/>
  <c r="AQ2414" i="3"/>
  <c r="AQ2415" i="3"/>
  <c r="AQ2416" i="3"/>
  <c r="AQ2417" i="3"/>
  <c r="AQ2418" i="3"/>
  <c r="AQ2419" i="3"/>
  <c r="AQ2420" i="3"/>
  <c r="AQ2421" i="3"/>
  <c r="AQ2422" i="3"/>
  <c r="AQ2423" i="3"/>
  <c r="AQ2424" i="3"/>
  <c r="AQ2425" i="3"/>
  <c r="AQ2426" i="3"/>
  <c r="AQ2427" i="3"/>
  <c r="AQ2428" i="3"/>
  <c r="AQ2429" i="3"/>
  <c r="AQ2430" i="3"/>
  <c r="AQ2431" i="3"/>
  <c r="AQ2432" i="3"/>
  <c r="AQ2433" i="3"/>
  <c r="AQ2434" i="3"/>
  <c r="AQ2435" i="3"/>
  <c r="AQ2436" i="3"/>
  <c r="AQ2437" i="3"/>
  <c r="AQ2438" i="3"/>
  <c r="AQ2439" i="3"/>
  <c r="AQ2440" i="3"/>
  <c r="AQ2441" i="3"/>
  <c r="AQ2442" i="3"/>
  <c r="AQ2443" i="3"/>
  <c r="AQ2444" i="3"/>
  <c r="AQ2445" i="3"/>
  <c r="AQ2446" i="3"/>
  <c r="AQ2447" i="3"/>
  <c r="AQ2448" i="3"/>
  <c r="AQ2449" i="3"/>
  <c r="AQ2450" i="3"/>
  <c r="AQ2451" i="3"/>
  <c r="AQ2452" i="3"/>
  <c r="AQ2453" i="3"/>
  <c r="AQ2454" i="3"/>
  <c r="AQ2455" i="3"/>
  <c r="AQ2456" i="3"/>
  <c r="AQ2457" i="3"/>
  <c r="AQ2458" i="3"/>
  <c r="AQ2459" i="3"/>
  <c r="AQ2460" i="3"/>
  <c r="AQ2461" i="3"/>
  <c r="AQ2462" i="3"/>
  <c r="AQ2463" i="3"/>
  <c r="AQ2464" i="3"/>
  <c r="AQ2465" i="3"/>
  <c r="AQ2466" i="3"/>
  <c r="AQ2467" i="3"/>
  <c r="AQ2468" i="3"/>
  <c r="AQ2469" i="3"/>
  <c r="AQ2470" i="3"/>
  <c r="AQ2471" i="3"/>
  <c r="AQ2472" i="3"/>
  <c r="AQ2473" i="3"/>
  <c r="AQ2474" i="3"/>
  <c r="AQ2475" i="3"/>
  <c r="AQ2476" i="3"/>
  <c r="AQ2477" i="3"/>
  <c r="AQ2478" i="3"/>
  <c r="AQ2479" i="3"/>
  <c r="AQ2480" i="3"/>
  <c r="AQ2481" i="3"/>
  <c r="AQ2482" i="3"/>
  <c r="AQ2483" i="3"/>
  <c r="AQ2484" i="3"/>
  <c r="AQ2485" i="3"/>
  <c r="AQ2486" i="3"/>
  <c r="AQ2487" i="3"/>
  <c r="AQ2488" i="3"/>
  <c r="AQ2489" i="3"/>
  <c r="AQ2490" i="3"/>
  <c r="AQ2491" i="3"/>
  <c r="AQ2492" i="3"/>
  <c r="AQ2493" i="3"/>
  <c r="AQ2494" i="3"/>
  <c r="AQ2495" i="3"/>
  <c r="AQ2496" i="3"/>
  <c r="AQ2497" i="3"/>
  <c r="AQ2498" i="3"/>
  <c r="AQ2499" i="3"/>
  <c r="AQ2500" i="3"/>
  <c r="AQ2501" i="3"/>
  <c r="AQ2502" i="3"/>
  <c r="AQ2503" i="3"/>
  <c r="AQ2504" i="3"/>
  <c r="AQ2505" i="3"/>
  <c r="AQ2506" i="3"/>
  <c r="AQ2507" i="3"/>
  <c r="AQ2508" i="3"/>
  <c r="AQ2509" i="3"/>
  <c r="AQ2510" i="3"/>
  <c r="AQ2511" i="3"/>
  <c r="AQ2512" i="3"/>
  <c r="AQ2513" i="3"/>
  <c r="AQ2514" i="3"/>
  <c r="AQ2515" i="3"/>
  <c r="AQ2516" i="3"/>
  <c r="AQ2517" i="3"/>
  <c r="AQ2518" i="3"/>
  <c r="AQ2519" i="3"/>
  <c r="AQ2520" i="3"/>
  <c r="AQ2521" i="3"/>
  <c r="AQ2522" i="3"/>
  <c r="AQ2523" i="3"/>
  <c r="AQ2524" i="3"/>
  <c r="AQ2525" i="3"/>
  <c r="AQ2526" i="3"/>
  <c r="AQ2527" i="3"/>
  <c r="AQ2528" i="3"/>
  <c r="AQ2529" i="3"/>
  <c r="AQ2530" i="3"/>
  <c r="AQ2531" i="3"/>
  <c r="AQ2532" i="3"/>
  <c r="AQ2533" i="3"/>
  <c r="AQ2534" i="3"/>
  <c r="AQ2535" i="3"/>
  <c r="AQ2536" i="3"/>
  <c r="AQ2537" i="3"/>
  <c r="AQ2538" i="3"/>
  <c r="AQ2539" i="3"/>
  <c r="AQ2540" i="3"/>
  <c r="AQ2541" i="3"/>
  <c r="AQ2542" i="3"/>
  <c r="AQ2543" i="3"/>
  <c r="AQ2544" i="3"/>
  <c r="AQ2545" i="3"/>
  <c r="AQ2546" i="3"/>
  <c r="AQ2547" i="3"/>
  <c r="AQ2548" i="3"/>
  <c r="AQ2549" i="3"/>
  <c r="AQ2550" i="3"/>
  <c r="AQ2551" i="3"/>
  <c r="AQ2552" i="3"/>
  <c r="AQ2553" i="3"/>
  <c r="AQ2554" i="3"/>
  <c r="AQ2555" i="3"/>
  <c r="AQ2556" i="3"/>
  <c r="AQ2557" i="3"/>
  <c r="AQ2558" i="3"/>
  <c r="AQ2559" i="3"/>
  <c r="AQ2560" i="3"/>
  <c r="AQ2561" i="3"/>
  <c r="AQ2562" i="3"/>
  <c r="AQ2563" i="3"/>
  <c r="AQ2564" i="3"/>
  <c r="AQ2565" i="3"/>
  <c r="AQ2566" i="3"/>
  <c r="AQ2567" i="3"/>
  <c r="AQ2568" i="3"/>
  <c r="AQ2569" i="3"/>
  <c r="AQ2570" i="3"/>
  <c r="AQ2571" i="3"/>
  <c r="AQ2572" i="3"/>
  <c r="AQ2573" i="3"/>
  <c r="AQ2574" i="3"/>
  <c r="AQ2575" i="3"/>
  <c r="AQ2576" i="3"/>
  <c r="AQ2577" i="3"/>
  <c r="AQ2578" i="3"/>
  <c r="AQ2579" i="3"/>
  <c r="AQ2580" i="3"/>
  <c r="AQ2581" i="3"/>
  <c r="AQ2582" i="3"/>
  <c r="AQ2583" i="3"/>
  <c r="AQ2584" i="3"/>
  <c r="AQ2585" i="3"/>
  <c r="AQ2586" i="3"/>
  <c r="AQ2587" i="3"/>
  <c r="AQ2588" i="3"/>
  <c r="AQ2589" i="3"/>
  <c r="AQ2590" i="3"/>
  <c r="AQ2591" i="3"/>
  <c r="AQ2592" i="3"/>
  <c r="AQ2593" i="3"/>
  <c r="AQ2594" i="3"/>
  <c r="AQ2595" i="3"/>
  <c r="AQ2596" i="3"/>
  <c r="AQ2597" i="3"/>
  <c r="AQ2598" i="3"/>
  <c r="AQ2599" i="3"/>
  <c r="AQ2600" i="3"/>
  <c r="AQ2601" i="3"/>
  <c r="AQ2602" i="3"/>
  <c r="AQ2603" i="3"/>
  <c r="AQ2604" i="3"/>
  <c r="AQ2605" i="3"/>
  <c r="AQ2606" i="3"/>
  <c r="AQ2607" i="3"/>
  <c r="AQ2608" i="3"/>
  <c r="AQ2609" i="3"/>
  <c r="AQ2610" i="3"/>
  <c r="AQ2611" i="3"/>
  <c r="AQ2612" i="3"/>
  <c r="AQ2613" i="3"/>
  <c r="AQ2614" i="3"/>
  <c r="AQ2615" i="3"/>
  <c r="AQ2616" i="3"/>
  <c r="AQ2617" i="3"/>
  <c r="AQ2618" i="3"/>
  <c r="AQ2619" i="3"/>
  <c r="AQ2620" i="3"/>
  <c r="AQ2621" i="3"/>
  <c r="AQ2622" i="3"/>
  <c r="AQ2623" i="3"/>
  <c r="AQ2624" i="3"/>
  <c r="AQ2625" i="3"/>
  <c r="AQ2626" i="3"/>
  <c r="AQ2627" i="3"/>
  <c r="AQ2628" i="3"/>
  <c r="AQ2629" i="3"/>
  <c r="AQ2630" i="3"/>
  <c r="AQ2631" i="3"/>
  <c r="AQ2632" i="3"/>
  <c r="AQ2633" i="3"/>
  <c r="AQ2634" i="3"/>
  <c r="AQ2635" i="3"/>
  <c r="AQ2636" i="3"/>
  <c r="AQ2637" i="3"/>
  <c r="AQ2638" i="3"/>
  <c r="AQ2639" i="3"/>
  <c r="AQ2640" i="3"/>
  <c r="AQ2641" i="3"/>
  <c r="AQ2642" i="3"/>
  <c r="AQ2643" i="3"/>
  <c r="AQ2644" i="3"/>
  <c r="AQ2645" i="3"/>
  <c r="AQ2646" i="3"/>
  <c r="AQ2647" i="3"/>
  <c r="AQ2648" i="3"/>
  <c r="AQ2649" i="3"/>
  <c r="AQ2650" i="3"/>
  <c r="AQ2651" i="3"/>
  <c r="AQ2652" i="3"/>
  <c r="AQ2653" i="3"/>
  <c r="AQ2654" i="3"/>
  <c r="AQ2655" i="3"/>
  <c r="AQ2656" i="3"/>
  <c r="AQ2657" i="3"/>
  <c r="AQ2658" i="3"/>
  <c r="AQ2659" i="3"/>
  <c r="AQ2660" i="3"/>
  <c r="AQ2661" i="3"/>
  <c r="AQ2662" i="3"/>
  <c r="AQ2663" i="3"/>
  <c r="AQ2664" i="3"/>
  <c r="AQ2665" i="3"/>
  <c r="AQ2666" i="3"/>
  <c r="AQ2667" i="3"/>
  <c r="AQ2668" i="3"/>
  <c r="AQ2669" i="3"/>
  <c r="AQ2670" i="3"/>
  <c r="AQ2671" i="3"/>
  <c r="AQ2672" i="3"/>
  <c r="AQ2673" i="3"/>
  <c r="AQ2674" i="3"/>
  <c r="AQ2675" i="3"/>
  <c r="AQ2676" i="3"/>
  <c r="AQ2677" i="3"/>
  <c r="AQ2678" i="3"/>
  <c r="AQ2679" i="3"/>
  <c r="AQ2680" i="3"/>
  <c r="AQ2681" i="3"/>
  <c r="AQ2682" i="3"/>
  <c r="AQ2683" i="3"/>
  <c r="AQ2684" i="3"/>
  <c r="AQ2685" i="3"/>
  <c r="AQ2686" i="3"/>
  <c r="AQ2687" i="3"/>
  <c r="AQ2688" i="3"/>
  <c r="AQ2689" i="3"/>
  <c r="AQ2690" i="3"/>
  <c r="AQ2691" i="3"/>
  <c r="AQ2692" i="3"/>
  <c r="AQ2693" i="3"/>
  <c r="AQ2694" i="3"/>
  <c r="AQ2695" i="3"/>
  <c r="AQ2696" i="3"/>
  <c r="AQ2697" i="3"/>
  <c r="AQ2698" i="3"/>
  <c r="AQ2699" i="3"/>
  <c r="AQ2700" i="3"/>
  <c r="AQ2701" i="3"/>
  <c r="AQ2702" i="3"/>
  <c r="AQ2703" i="3"/>
  <c r="AQ2704" i="3"/>
  <c r="AQ2705" i="3"/>
  <c r="AQ2706" i="3"/>
  <c r="AQ2707" i="3"/>
  <c r="AQ2708" i="3"/>
  <c r="AQ2709" i="3"/>
  <c r="AQ2710" i="3"/>
  <c r="AQ2711" i="3"/>
  <c r="AQ2712" i="3"/>
  <c r="AQ2713" i="3"/>
  <c r="AQ2714" i="3"/>
  <c r="AQ2715" i="3"/>
  <c r="AQ2716" i="3"/>
  <c r="AQ2717" i="3"/>
  <c r="AQ2718" i="3"/>
  <c r="AQ2719" i="3"/>
  <c r="AQ2720" i="3"/>
  <c r="AQ2721" i="3"/>
  <c r="AQ2722" i="3"/>
  <c r="AQ2723" i="3"/>
  <c r="AQ2724" i="3"/>
  <c r="AQ2725" i="3"/>
  <c r="AQ2726" i="3"/>
  <c r="AQ2727" i="3"/>
  <c r="AQ2728" i="3"/>
  <c r="AQ2729" i="3"/>
  <c r="AQ2730" i="3"/>
  <c r="AQ2731" i="3"/>
  <c r="AQ2732" i="3"/>
  <c r="AQ2733" i="3"/>
  <c r="AQ2734" i="3"/>
  <c r="AQ2735" i="3"/>
  <c r="AQ2736" i="3"/>
  <c r="AQ2737" i="3"/>
  <c r="AQ2738" i="3"/>
  <c r="AQ2739" i="3"/>
  <c r="AQ2740" i="3"/>
  <c r="AQ2741" i="3"/>
  <c r="AQ2742" i="3"/>
  <c r="AQ2743" i="3"/>
  <c r="AQ2744" i="3"/>
  <c r="AQ2745" i="3"/>
  <c r="AQ2746" i="3"/>
  <c r="AQ2747" i="3"/>
  <c r="AQ2748" i="3"/>
  <c r="AQ2749" i="3"/>
  <c r="AQ2750" i="3"/>
  <c r="AQ2751" i="3"/>
  <c r="AQ2752" i="3"/>
  <c r="AQ2753" i="3"/>
  <c r="AQ2754" i="3"/>
  <c r="AQ2755" i="3"/>
  <c r="AQ2756" i="3"/>
  <c r="AQ2757" i="3"/>
  <c r="AQ2758" i="3"/>
  <c r="AQ2759" i="3"/>
  <c r="AQ2760" i="3"/>
  <c r="AQ2761" i="3"/>
  <c r="AQ2762" i="3"/>
  <c r="AQ2763" i="3"/>
  <c r="AQ2764" i="3"/>
  <c r="AQ2765" i="3"/>
  <c r="AQ2766" i="3"/>
  <c r="AQ2767" i="3"/>
  <c r="AQ2768" i="3"/>
  <c r="AQ2769" i="3"/>
  <c r="AQ2770" i="3"/>
  <c r="AQ2771" i="3"/>
  <c r="AQ2772" i="3"/>
  <c r="AQ2773" i="3"/>
  <c r="AQ2774" i="3"/>
  <c r="AQ2775" i="3"/>
  <c r="AQ2776" i="3"/>
  <c r="AQ2777" i="3"/>
  <c r="AQ9" i="3"/>
  <c r="Q10" i="13"/>
  <c r="Q11" i="13"/>
  <c r="Q12" i="13"/>
  <c r="Q13" i="13"/>
  <c r="Q14" i="13"/>
  <c r="Q15" i="13"/>
  <c r="Q16" i="13"/>
  <c r="Q17" i="13"/>
  <c r="Q18" i="13"/>
  <c r="Q19" i="13"/>
  <c r="Q20"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Q586" i="13"/>
  <c r="Q587" i="13"/>
  <c r="Q588" i="13"/>
  <c r="Q589" i="13"/>
  <c r="Q590" i="13"/>
  <c r="Q591" i="13"/>
  <c r="Q592" i="13"/>
  <c r="Q593" i="13"/>
  <c r="Q594" i="13"/>
  <c r="Q595" i="13"/>
  <c r="Q596" i="13"/>
  <c r="Q597" i="13"/>
  <c r="Q598" i="13"/>
  <c r="Q599" i="13"/>
  <c r="Q600" i="13"/>
  <c r="Q601" i="13"/>
  <c r="Q602" i="13"/>
  <c r="Q603" i="13"/>
  <c r="Q604" i="13"/>
  <c r="Q605" i="13"/>
  <c r="Q606" i="13"/>
  <c r="Q607" i="13"/>
  <c r="Q608" i="13"/>
  <c r="Q609" i="13"/>
  <c r="Q610" i="13"/>
  <c r="Q611" i="13"/>
  <c r="Q612" i="13"/>
  <c r="Q613" i="13"/>
  <c r="Q614" i="13"/>
  <c r="Q615" i="13"/>
  <c r="Q616" i="13"/>
  <c r="Q617" i="13"/>
  <c r="Q618" i="13"/>
  <c r="Q619" i="13"/>
  <c r="Q620" i="13"/>
  <c r="Q621" i="13"/>
  <c r="Q622" i="13"/>
  <c r="Q623" i="13"/>
  <c r="Q624" i="13"/>
  <c r="Q625" i="13"/>
  <c r="Q626" i="13"/>
  <c r="Q627" i="13"/>
  <c r="Q628" i="13"/>
  <c r="Q629" i="13"/>
  <c r="Q630" i="13"/>
  <c r="Q631" i="13"/>
  <c r="Q632" i="13"/>
  <c r="Q633" i="13"/>
  <c r="Q634" i="13"/>
  <c r="Q635" i="13"/>
  <c r="Q636" i="13"/>
  <c r="Q637" i="13"/>
  <c r="Q638" i="13"/>
  <c r="Q639" i="13"/>
  <c r="Q640" i="13"/>
  <c r="Q641" i="13"/>
  <c r="Q642" i="13"/>
  <c r="Q643" i="13"/>
  <c r="Q644" i="13"/>
  <c r="Q645" i="13"/>
  <c r="Q646" i="13"/>
  <c r="Q647" i="13"/>
  <c r="Q648" i="13"/>
  <c r="Q649" i="13"/>
  <c r="Q650" i="13"/>
  <c r="Q651" i="13"/>
  <c r="Q652" i="13"/>
  <c r="Q653" i="13"/>
  <c r="Q654" i="13"/>
  <c r="Q655" i="13"/>
  <c r="Q656" i="13"/>
  <c r="Q657" i="13"/>
  <c r="Q658" i="13"/>
  <c r="Q659" i="13"/>
  <c r="Q660" i="13"/>
  <c r="Q661" i="13"/>
  <c r="Q662" i="13"/>
  <c r="Q663" i="13"/>
  <c r="Q664" i="13"/>
  <c r="Q665" i="13"/>
  <c r="Q666" i="13"/>
  <c r="Q667" i="13"/>
  <c r="Q668" i="13"/>
  <c r="Q669" i="13"/>
  <c r="Q670" i="13"/>
  <c r="Q671" i="13"/>
  <c r="Q672" i="13"/>
  <c r="Q673" i="13"/>
  <c r="Q674" i="13"/>
  <c r="Q675" i="13"/>
  <c r="Q676" i="13"/>
  <c r="Q677" i="13"/>
  <c r="Q678" i="13"/>
  <c r="Q679" i="13"/>
  <c r="Q680" i="13"/>
  <c r="Q681" i="13"/>
  <c r="Q682" i="13"/>
  <c r="Q683" i="13"/>
  <c r="Q684" i="13"/>
  <c r="Q685" i="13"/>
  <c r="Q686" i="13"/>
  <c r="Q687" i="13"/>
  <c r="Q688" i="13"/>
  <c r="Q689" i="13"/>
  <c r="Q690" i="13"/>
  <c r="Q691" i="13"/>
  <c r="Q692" i="13"/>
  <c r="Q693" i="13"/>
  <c r="Q694" i="13"/>
  <c r="Q695" i="13"/>
  <c r="Q696" i="13"/>
  <c r="Q697" i="13"/>
  <c r="Q698" i="13"/>
  <c r="Q699" i="13"/>
  <c r="Q700" i="13"/>
  <c r="Q701" i="13"/>
  <c r="Q702" i="13"/>
  <c r="Q703" i="13"/>
  <c r="Q704" i="13"/>
  <c r="Q705" i="13"/>
  <c r="Q706" i="13"/>
  <c r="Q707" i="13"/>
  <c r="Q708" i="13"/>
  <c r="Q709" i="13"/>
  <c r="Q710" i="13"/>
  <c r="Q711" i="13"/>
  <c r="Q712" i="13"/>
  <c r="Q713" i="13"/>
  <c r="Q714" i="13"/>
  <c r="Q715" i="13"/>
  <c r="Q716" i="13"/>
  <c r="Q717" i="13"/>
  <c r="Q718" i="13"/>
  <c r="Q719" i="13"/>
  <c r="Q720" i="13"/>
  <c r="Q721" i="13"/>
  <c r="Q722" i="13"/>
  <c r="Q723" i="13"/>
  <c r="Q724" i="13"/>
  <c r="Q725" i="13"/>
  <c r="Q726" i="13"/>
  <c r="Q727" i="13"/>
  <c r="Q728" i="13"/>
  <c r="Q729" i="13"/>
  <c r="Q730" i="13"/>
  <c r="Q731" i="13"/>
  <c r="Q732" i="13"/>
  <c r="Q733" i="13"/>
  <c r="Q734" i="13"/>
  <c r="Q735" i="13"/>
  <c r="Q736" i="13"/>
  <c r="Q737" i="13"/>
  <c r="Q738" i="13"/>
  <c r="Q739" i="13"/>
  <c r="Q740" i="13"/>
  <c r="Q741" i="13"/>
  <c r="Q742" i="13"/>
  <c r="Q743" i="13"/>
  <c r="Q744" i="13"/>
  <c r="Q745" i="13"/>
  <c r="Q746" i="13"/>
  <c r="Q747" i="13"/>
  <c r="Q748" i="13"/>
  <c r="Q749" i="13"/>
  <c r="Q750" i="13"/>
  <c r="Q751" i="13"/>
  <c r="Q752" i="13"/>
  <c r="Q753" i="13"/>
  <c r="Q754" i="13"/>
  <c r="Q755" i="13"/>
  <c r="Q756" i="13"/>
  <c r="Q757" i="13"/>
  <c r="Q758" i="13"/>
  <c r="Q759" i="13"/>
  <c r="Q760" i="13"/>
  <c r="Q761" i="13"/>
  <c r="Q762" i="13"/>
  <c r="Q763" i="13"/>
  <c r="Q764" i="13"/>
  <c r="Q765" i="13"/>
  <c r="Q766" i="13"/>
  <c r="Q767" i="13"/>
  <c r="Q768" i="13"/>
  <c r="Q769" i="13"/>
  <c r="Q770" i="13"/>
  <c r="Q771" i="13"/>
  <c r="Q772" i="13"/>
  <c r="Q773" i="13"/>
  <c r="Q774" i="13"/>
  <c r="Q775" i="13"/>
  <c r="Q776" i="13"/>
  <c r="Q777" i="13"/>
  <c r="Q778" i="13"/>
  <c r="Q779" i="13"/>
  <c r="Q780" i="13"/>
  <c r="Q781" i="13"/>
  <c r="Q782" i="13"/>
  <c r="Q783" i="13"/>
  <c r="Q784" i="13"/>
  <c r="Q785" i="13"/>
  <c r="Q786" i="13"/>
  <c r="Q787" i="13"/>
  <c r="Q788" i="13"/>
  <c r="Q789" i="13"/>
  <c r="Q790" i="13"/>
  <c r="Q791" i="13"/>
  <c r="Q792" i="13"/>
  <c r="Q793" i="13"/>
  <c r="Q794" i="13"/>
  <c r="Q795" i="13"/>
  <c r="Q796" i="13"/>
  <c r="Q797" i="13"/>
  <c r="Q798" i="13"/>
  <c r="Q799" i="13"/>
  <c r="Q800" i="13"/>
  <c r="Q801" i="13"/>
  <c r="Q802" i="13"/>
  <c r="Q803" i="13"/>
  <c r="Q804" i="13"/>
  <c r="Q805" i="13"/>
  <c r="Q806" i="13"/>
  <c r="Q807" i="13"/>
  <c r="Q808" i="13"/>
  <c r="Q809" i="13"/>
  <c r="Q810" i="13"/>
  <c r="Q811" i="13"/>
  <c r="Q812" i="13"/>
  <c r="Q813" i="13"/>
  <c r="Q814" i="13"/>
  <c r="Q815" i="13"/>
  <c r="Q816" i="13"/>
  <c r="Q817" i="13"/>
  <c r="Q818" i="13"/>
  <c r="Q819" i="13"/>
  <c r="Q820" i="13"/>
  <c r="Q821" i="13"/>
  <c r="Q822" i="13"/>
  <c r="Q823" i="13"/>
  <c r="Q824" i="13"/>
  <c r="Q825" i="13"/>
  <c r="Q826" i="13"/>
  <c r="Q827" i="13"/>
  <c r="Q828" i="13"/>
  <c r="Q829" i="13"/>
  <c r="Q830" i="13"/>
  <c r="Q831" i="13"/>
  <c r="Q832" i="13"/>
  <c r="Q833" i="13"/>
  <c r="Q834" i="13"/>
  <c r="Q835" i="13"/>
  <c r="Q836" i="13"/>
  <c r="Q837" i="13"/>
  <c r="Q838" i="13"/>
  <c r="Q839" i="13"/>
  <c r="Q840" i="13"/>
  <c r="Q841" i="13"/>
  <c r="Q842" i="13"/>
  <c r="Q843" i="13"/>
  <c r="Q844" i="13"/>
  <c r="Q845" i="13"/>
  <c r="Q846" i="13"/>
  <c r="Q847" i="13"/>
  <c r="Q848" i="13"/>
  <c r="Q849" i="13"/>
  <c r="Q850" i="13"/>
  <c r="Q851" i="13"/>
  <c r="Q852" i="13"/>
  <c r="Q853" i="13"/>
  <c r="Q854" i="13"/>
  <c r="Q855" i="13"/>
  <c r="Q856" i="13"/>
  <c r="Q857" i="13"/>
  <c r="Q858" i="13"/>
  <c r="Q859" i="13"/>
  <c r="Q860" i="13"/>
  <c r="Q861" i="13"/>
  <c r="Q862" i="13"/>
  <c r="Q863" i="13"/>
  <c r="Q864" i="13"/>
  <c r="Q865" i="13"/>
  <c r="Q866" i="13"/>
  <c r="Q867" i="13"/>
  <c r="Q868" i="13"/>
  <c r="Q869" i="13"/>
  <c r="Q870" i="13"/>
  <c r="Q871" i="13"/>
  <c r="Q872" i="13"/>
  <c r="Q873" i="13"/>
  <c r="Q874" i="13"/>
  <c r="Q875" i="13"/>
  <c r="Q876" i="13"/>
  <c r="Q877" i="13"/>
  <c r="Q878" i="13"/>
  <c r="Q879" i="13"/>
  <c r="Q880" i="13"/>
  <c r="Q881" i="13"/>
  <c r="Q882" i="13"/>
  <c r="Q883" i="13"/>
  <c r="Q884" i="13"/>
  <c r="Q885" i="13"/>
  <c r="Q886" i="13"/>
  <c r="Q887" i="13"/>
  <c r="Q888" i="13"/>
  <c r="Q889" i="13"/>
  <c r="Q890" i="13"/>
  <c r="Q891" i="13"/>
  <c r="Q892" i="13"/>
  <c r="Q893" i="13"/>
  <c r="Q894" i="13"/>
  <c r="Q895" i="13"/>
  <c r="Q896" i="13"/>
  <c r="Q897" i="13"/>
  <c r="Q898" i="13"/>
  <c r="Q899" i="13"/>
  <c r="Q900" i="13"/>
  <c r="Q901" i="13"/>
  <c r="Q902" i="13"/>
  <c r="Q903" i="13"/>
  <c r="Q904" i="13"/>
  <c r="Q905" i="13"/>
  <c r="Q906" i="13"/>
  <c r="Q907" i="13"/>
  <c r="Q908" i="13"/>
  <c r="Q909" i="13"/>
  <c r="Q910" i="13"/>
  <c r="Q911" i="13"/>
  <c r="Q912" i="13"/>
  <c r="Q913" i="13"/>
  <c r="Q914" i="13"/>
  <c r="Q915" i="13"/>
  <c r="Q916" i="13"/>
  <c r="Q917" i="13"/>
  <c r="Q918" i="13"/>
  <c r="Q919" i="13"/>
  <c r="Q920" i="13"/>
  <c r="Q921" i="13"/>
  <c r="Q922" i="13"/>
  <c r="Q923" i="13"/>
  <c r="Q924" i="13"/>
  <c r="Q925" i="13"/>
  <c r="Q926" i="13"/>
  <c r="Q927" i="13"/>
  <c r="Q928" i="13"/>
  <c r="Q929" i="13"/>
  <c r="Q930" i="13"/>
  <c r="Q931" i="13"/>
  <c r="Q932" i="13"/>
  <c r="Q933" i="13"/>
  <c r="Q934" i="13"/>
  <c r="Q935" i="13"/>
  <c r="Q936" i="13"/>
  <c r="Q937" i="13"/>
  <c r="Q938" i="13"/>
  <c r="Q939" i="13"/>
  <c r="Q940" i="13"/>
  <c r="Q941" i="13"/>
  <c r="Q942" i="13"/>
  <c r="Q943" i="13"/>
  <c r="Q944" i="13"/>
  <c r="Q945" i="13"/>
  <c r="Q946" i="13"/>
  <c r="Q947" i="13"/>
  <c r="Q948" i="13"/>
  <c r="Q949" i="13"/>
  <c r="Q950" i="13"/>
  <c r="Q951" i="13"/>
  <c r="Q952" i="13"/>
  <c r="Q953" i="13"/>
  <c r="Q954" i="13"/>
  <c r="Q955" i="13"/>
  <c r="Q956" i="13"/>
  <c r="Q957" i="13"/>
  <c r="Q958" i="13"/>
  <c r="Q959" i="13"/>
  <c r="Q960" i="13"/>
  <c r="Q961" i="13"/>
  <c r="Q962" i="13"/>
  <c r="Q963" i="13"/>
  <c r="Q964" i="13"/>
  <c r="Q965" i="13"/>
  <c r="Q966" i="13"/>
  <c r="Q967" i="13"/>
  <c r="Q968" i="13"/>
  <c r="Q969" i="13"/>
  <c r="Q970" i="13"/>
  <c r="Q971" i="13"/>
  <c r="Q972" i="13"/>
  <c r="Q973" i="13"/>
  <c r="Q974" i="13"/>
  <c r="Q975" i="13"/>
  <c r="Q976" i="13"/>
  <c r="Q977" i="13"/>
  <c r="Q978" i="13"/>
  <c r="Q979" i="13"/>
  <c r="Q980" i="13"/>
  <c r="Q981" i="13"/>
  <c r="Q982" i="13"/>
  <c r="Q983" i="13"/>
  <c r="Q984" i="13"/>
  <c r="Q985" i="13"/>
  <c r="Q986" i="13"/>
  <c r="Q987" i="13"/>
  <c r="Q988" i="13"/>
  <c r="Q989" i="13"/>
  <c r="Q990" i="13"/>
  <c r="Q991" i="13"/>
  <c r="Q992" i="13"/>
  <c r="Q993" i="13"/>
  <c r="Q994" i="13"/>
  <c r="Q995" i="13"/>
  <c r="Q996" i="13"/>
  <c r="Q997" i="13"/>
  <c r="Q998" i="13"/>
  <c r="Q999" i="13"/>
  <c r="Q1000" i="13"/>
  <c r="Q1001" i="13"/>
  <c r="Q1002" i="13"/>
  <c r="Q1003" i="13"/>
  <c r="Q1004" i="13"/>
  <c r="Q1005" i="13"/>
  <c r="Q1006" i="13"/>
  <c r="Q1007" i="13"/>
  <c r="Q1008" i="13"/>
  <c r="Q1009" i="13"/>
  <c r="Q1010" i="13"/>
  <c r="Q1011" i="13"/>
  <c r="Q1012" i="13"/>
  <c r="Q1013" i="13"/>
  <c r="Q1014" i="13"/>
  <c r="Q1015" i="13"/>
  <c r="Q1016" i="13"/>
  <c r="Q1017" i="13"/>
  <c r="Q1018" i="13"/>
  <c r="Q1019" i="13"/>
  <c r="Q1020" i="13"/>
  <c r="Q1021" i="13"/>
  <c r="Q1022" i="13"/>
  <c r="Q1023" i="13"/>
  <c r="Q1024" i="13"/>
  <c r="Q1025" i="13"/>
  <c r="Q1026" i="13"/>
  <c r="Q1027" i="13"/>
  <c r="Q1028" i="13"/>
  <c r="Q1029" i="13"/>
  <c r="Q1030" i="13"/>
  <c r="Q1031" i="13"/>
  <c r="Q1032" i="13"/>
  <c r="Q1033" i="13"/>
  <c r="Q1034" i="13"/>
  <c r="Q1035" i="13"/>
  <c r="Q1036" i="13"/>
  <c r="Q1037" i="13"/>
  <c r="Q1038" i="13"/>
  <c r="Q1039" i="13"/>
  <c r="Q1040" i="13"/>
  <c r="Q1041" i="13"/>
  <c r="Q1042" i="13"/>
  <c r="Q1043" i="13"/>
  <c r="Q1044" i="13"/>
  <c r="Q1045" i="13"/>
  <c r="Q1046" i="13"/>
  <c r="Q1047" i="13"/>
  <c r="Q1048" i="13"/>
  <c r="Q1049" i="13"/>
  <c r="Q1050" i="13"/>
  <c r="Q1051" i="13"/>
  <c r="Q1052" i="13"/>
  <c r="Q1053" i="13"/>
  <c r="Q1054" i="13"/>
  <c r="Q1055" i="13"/>
  <c r="Q1056" i="13"/>
  <c r="Q1057" i="13"/>
  <c r="Q1058" i="13"/>
  <c r="Q1059" i="13"/>
  <c r="Q1060" i="13"/>
  <c r="Q1061" i="13"/>
  <c r="Q1062" i="13"/>
  <c r="Q1063" i="13"/>
  <c r="Q1064" i="13"/>
  <c r="Q1065" i="13"/>
  <c r="Q1066" i="13"/>
  <c r="Q1067" i="13"/>
  <c r="Q1068" i="13"/>
  <c r="Q1069" i="13"/>
  <c r="Q1070" i="13"/>
  <c r="Q1071" i="13"/>
  <c r="Q1072" i="13"/>
  <c r="Q1073" i="13"/>
  <c r="Q1074" i="13"/>
  <c r="Q1075" i="13"/>
  <c r="Q1076" i="13"/>
  <c r="Q1077" i="13"/>
  <c r="Q1078" i="13"/>
  <c r="Q1079" i="13"/>
  <c r="Q1080" i="13"/>
  <c r="Q1081" i="13"/>
  <c r="Q1082" i="13"/>
  <c r="Q1083" i="13"/>
  <c r="Q1084" i="13"/>
  <c r="Q1085" i="13"/>
  <c r="Q1086" i="13"/>
  <c r="Q1087" i="13"/>
  <c r="Q1088" i="13"/>
  <c r="Q1089" i="13"/>
  <c r="Q1090" i="13"/>
  <c r="Q1091" i="13"/>
  <c r="Q1092" i="13"/>
  <c r="Q1093" i="13"/>
  <c r="Q1094" i="13"/>
  <c r="Q1095" i="13"/>
  <c r="Q1096" i="13"/>
  <c r="Q1097" i="13"/>
  <c r="Q1098" i="13"/>
  <c r="Q1099" i="13"/>
  <c r="Q1100" i="13"/>
  <c r="Q1101" i="13"/>
  <c r="Q1102" i="13"/>
  <c r="Q1103" i="13"/>
  <c r="Q1104" i="13"/>
  <c r="Q1105" i="13"/>
  <c r="Q1106" i="13"/>
  <c r="Q1107" i="13"/>
  <c r="Q1108" i="13"/>
  <c r="Q1109" i="13"/>
  <c r="Q1110" i="13"/>
  <c r="Q1111" i="13"/>
  <c r="Q1112" i="13"/>
  <c r="Q9" i="13"/>
  <c r="E220" i="29"/>
  <c r="E219" i="29"/>
  <c r="E218" i="29"/>
  <c r="E216" i="29"/>
  <c r="E215" i="29"/>
  <c r="E214" i="29"/>
  <c r="E213" i="29"/>
  <c r="E212" i="29"/>
  <c r="E211" i="29"/>
  <c r="E210" i="29"/>
  <c r="E209" i="29"/>
  <c r="E208" i="29"/>
  <c r="E207" i="29"/>
  <c r="E217" i="29"/>
  <c r="E206" i="29"/>
  <c r="E205" i="29"/>
  <c r="E204" i="29"/>
  <c r="B476" i="13"/>
  <c r="AD1157" i="13"/>
  <c r="AD1151" i="13"/>
  <c r="T144" i="17"/>
  <c r="AX368" i="4"/>
  <c r="AZ2778" i="3"/>
  <c r="AD1114" i="13"/>
  <c r="BA2778" i="3"/>
  <c r="AE1114" i="13"/>
  <c r="B1112" i="13"/>
  <c r="W1112" i="13" s="1"/>
  <c r="B10" i="34"/>
  <c r="E10" i="34"/>
  <c r="F10" i="34"/>
  <c r="G10" i="34"/>
  <c r="B11" i="34"/>
  <c r="E11" i="34"/>
  <c r="F11" i="34"/>
  <c r="G11" i="34"/>
  <c r="B12" i="34"/>
  <c r="E12" i="34"/>
  <c r="F12" i="34"/>
  <c r="G12" i="34"/>
  <c r="B13" i="34"/>
  <c r="E13" i="34"/>
  <c r="F13" i="34"/>
  <c r="G13" i="34"/>
  <c r="B14" i="34"/>
  <c r="E14" i="34"/>
  <c r="F14" i="34"/>
  <c r="G14" i="34"/>
  <c r="B15" i="34"/>
  <c r="E15" i="34"/>
  <c r="F15" i="34"/>
  <c r="G15" i="34"/>
  <c r="B16" i="34"/>
  <c r="E16" i="34"/>
  <c r="F16" i="34"/>
  <c r="G16" i="34"/>
  <c r="B17" i="34"/>
  <c r="E17" i="34"/>
  <c r="F17" i="34"/>
  <c r="G17" i="34"/>
  <c r="B18" i="34"/>
  <c r="E18" i="34"/>
  <c r="F18" i="34"/>
  <c r="G18" i="34"/>
  <c r="B19" i="34"/>
  <c r="E19" i="34"/>
  <c r="F19" i="34"/>
  <c r="G19" i="34"/>
  <c r="B20" i="34"/>
  <c r="E20" i="34"/>
  <c r="F20" i="34"/>
  <c r="G20" i="34"/>
  <c r="B21" i="34"/>
  <c r="E21" i="34"/>
  <c r="F21" i="34"/>
  <c r="G21" i="34"/>
  <c r="B22" i="34"/>
  <c r="E22" i="34"/>
  <c r="F22" i="34"/>
  <c r="G22" i="34"/>
  <c r="B23" i="34"/>
  <c r="E23" i="34"/>
  <c r="F23" i="34"/>
  <c r="G23" i="34"/>
  <c r="B24" i="34"/>
  <c r="E24" i="34"/>
  <c r="F24" i="34"/>
  <c r="G24" i="34"/>
  <c r="B25" i="34"/>
  <c r="E25" i="34"/>
  <c r="F25" i="34"/>
  <c r="G25" i="34"/>
  <c r="B26" i="34"/>
  <c r="E26" i="34"/>
  <c r="F26" i="34"/>
  <c r="G26" i="34"/>
  <c r="B27" i="34"/>
  <c r="E27" i="34"/>
  <c r="F27" i="34"/>
  <c r="G27" i="34"/>
  <c r="B28" i="34"/>
  <c r="E28" i="34"/>
  <c r="F28" i="34"/>
  <c r="G28" i="34"/>
  <c r="B29" i="34"/>
  <c r="E29" i="34"/>
  <c r="F29" i="34"/>
  <c r="G29" i="34"/>
  <c r="B30" i="34"/>
  <c r="E30" i="34"/>
  <c r="F30" i="34"/>
  <c r="G30" i="34"/>
  <c r="B31" i="34"/>
  <c r="E31" i="34"/>
  <c r="F31" i="34"/>
  <c r="G31" i="34"/>
  <c r="B32" i="34"/>
  <c r="E32" i="34"/>
  <c r="F32" i="34"/>
  <c r="G32" i="34"/>
  <c r="B33" i="34"/>
  <c r="E33" i="34"/>
  <c r="F33" i="34"/>
  <c r="G33" i="34"/>
  <c r="B34" i="34"/>
  <c r="E34" i="34"/>
  <c r="F34" i="34"/>
  <c r="G34" i="34"/>
  <c r="B35" i="34"/>
  <c r="E35" i="34"/>
  <c r="F35" i="34"/>
  <c r="G35" i="34"/>
  <c r="B36" i="34"/>
  <c r="E36" i="34"/>
  <c r="F36" i="34"/>
  <c r="G36" i="34"/>
  <c r="B37" i="34"/>
  <c r="E37" i="34"/>
  <c r="F37" i="34"/>
  <c r="G37" i="34"/>
  <c r="B38" i="34"/>
  <c r="E38" i="34"/>
  <c r="F38" i="34"/>
  <c r="G38" i="34"/>
  <c r="B39" i="34"/>
  <c r="E39" i="34"/>
  <c r="F39" i="34"/>
  <c r="G39" i="34"/>
  <c r="B40" i="34"/>
  <c r="E40" i="34"/>
  <c r="F40" i="34"/>
  <c r="G40" i="34"/>
  <c r="B41" i="34"/>
  <c r="E41" i="34"/>
  <c r="F41" i="34"/>
  <c r="G41" i="34"/>
  <c r="B42" i="34"/>
  <c r="E42" i="34"/>
  <c r="F42" i="34"/>
  <c r="G42" i="34"/>
  <c r="B43" i="34"/>
  <c r="E43" i="34"/>
  <c r="F43" i="34"/>
  <c r="G43" i="34"/>
  <c r="B44" i="34"/>
  <c r="E44" i="34"/>
  <c r="F44" i="34"/>
  <c r="G44" i="34"/>
  <c r="B45" i="34"/>
  <c r="E45" i="34"/>
  <c r="F45" i="34"/>
  <c r="G45" i="34"/>
  <c r="B46" i="34"/>
  <c r="E46" i="34"/>
  <c r="F46" i="34"/>
  <c r="G46" i="34"/>
  <c r="B47" i="34"/>
  <c r="E47" i="34"/>
  <c r="F47" i="34"/>
  <c r="G47" i="34"/>
  <c r="B48" i="34"/>
  <c r="E48" i="34"/>
  <c r="F48" i="34"/>
  <c r="G48" i="34"/>
  <c r="B49" i="34"/>
  <c r="E49" i="34"/>
  <c r="F49" i="34"/>
  <c r="G49" i="34"/>
  <c r="B50" i="34"/>
  <c r="E50" i="34"/>
  <c r="F50" i="34"/>
  <c r="G50" i="34"/>
  <c r="B51" i="34"/>
  <c r="E51" i="34"/>
  <c r="F51" i="34"/>
  <c r="G51" i="34"/>
  <c r="B52" i="34"/>
  <c r="E52" i="34"/>
  <c r="F52" i="34"/>
  <c r="G52" i="34"/>
  <c r="B53" i="34"/>
  <c r="E53" i="34"/>
  <c r="F53" i="34"/>
  <c r="G53" i="34"/>
  <c r="B54" i="34"/>
  <c r="E54" i="34"/>
  <c r="F54" i="34"/>
  <c r="G54" i="34"/>
  <c r="B55" i="34"/>
  <c r="E55" i="34"/>
  <c r="F55" i="34"/>
  <c r="G55" i="34"/>
  <c r="B56" i="34"/>
  <c r="E56" i="34"/>
  <c r="F56" i="34"/>
  <c r="G56" i="34"/>
  <c r="B57" i="34"/>
  <c r="E57" i="34"/>
  <c r="F57" i="34"/>
  <c r="G57" i="34"/>
  <c r="B58" i="34"/>
  <c r="E58" i="34"/>
  <c r="F58" i="34"/>
  <c r="G58" i="34"/>
  <c r="B59" i="34"/>
  <c r="E59" i="34"/>
  <c r="F59" i="34"/>
  <c r="G59" i="34"/>
  <c r="B60" i="34"/>
  <c r="E60" i="34"/>
  <c r="F60" i="34"/>
  <c r="G60" i="34"/>
  <c r="B61" i="34"/>
  <c r="E61" i="34"/>
  <c r="F61" i="34"/>
  <c r="G61" i="34"/>
  <c r="B62" i="34"/>
  <c r="E62" i="34"/>
  <c r="F62" i="34"/>
  <c r="G62" i="34"/>
  <c r="B63" i="34"/>
  <c r="E63" i="34"/>
  <c r="F63" i="34"/>
  <c r="G63" i="34"/>
  <c r="B64" i="34"/>
  <c r="E64" i="34"/>
  <c r="F64" i="34"/>
  <c r="G64" i="34"/>
  <c r="B65" i="34"/>
  <c r="E65" i="34"/>
  <c r="F65" i="34"/>
  <c r="G65" i="34"/>
  <c r="B66" i="34"/>
  <c r="E66" i="34"/>
  <c r="F66" i="34"/>
  <c r="G66" i="34"/>
  <c r="B67" i="34"/>
  <c r="E67" i="34"/>
  <c r="F67" i="34"/>
  <c r="G67" i="34"/>
  <c r="B68" i="34"/>
  <c r="E68" i="34"/>
  <c r="F68" i="34"/>
  <c r="G68" i="34"/>
  <c r="B69" i="34"/>
  <c r="E69" i="34"/>
  <c r="F69" i="34"/>
  <c r="G69" i="34"/>
  <c r="B70" i="34"/>
  <c r="E70" i="34"/>
  <c r="F70" i="34"/>
  <c r="G70" i="34"/>
  <c r="B71" i="34"/>
  <c r="E71" i="34"/>
  <c r="F71" i="34"/>
  <c r="G71" i="34"/>
  <c r="B72" i="34"/>
  <c r="E72" i="34"/>
  <c r="F72" i="34"/>
  <c r="G72" i="34"/>
  <c r="B73" i="34"/>
  <c r="E73" i="34"/>
  <c r="F73" i="34"/>
  <c r="G73" i="34"/>
  <c r="B74" i="34"/>
  <c r="E74" i="34"/>
  <c r="F74" i="34"/>
  <c r="G74" i="34"/>
  <c r="B75" i="34"/>
  <c r="E75" i="34"/>
  <c r="F75" i="34"/>
  <c r="G75" i="34"/>
  <c r="B76" i="34"/>
  <c r="E76" i="34"/>
  <c r="F76" i="34"/>
  <c r="G76" i="34"/>
  <c r="B77" i="34"/>
  <c r="E77" i="34"/>
  <c r="F77" i="34"/>
  <c r="G77" i="34"/>
  <c r="B78" i="34"/>
  <c r="E78" i="34"/>
  <c r="F78" i="34"/>
  <c r="G78" i="34"/>
  <c r="B79" i="34"/>
  <c r="E79" i="34"/>
  <c r="F79" i="34"/>
  <c r="G79" i="34"/>
  <c r="B80" i="34"/>
  <c r="E80" i="34"/>
  <c r="F80" i="34"/>
  <c r="G80" i="34"/>
  <c r="B81" i="34"/>
  <c r="E81" i="34"/>
  <c r="F81" i="34"/>
  <c r="G81" i="34"/>
  <c r="B82" i="34"/>
  <c r="E82" i="34"/>
  <c r="F82" i="34"/>
  <c r="G82" i="34"/>
  <c r="B83" i="34"/>
  <c r="E83" i="34"/>
  <c r="F83" i="34"/>
  <c r="G83" i="34"/>
  <c r="B84" i="34"/>
  <c r="E84" i="34"/>
  <c r="F84" i="34"/>
  <c r="G84" i="34"/>
  <c r="B85" i="34"/>
  <c r="E85" i="34"/>
  <c r="F85" i="34"/>
  <c r="G85" i="34"/>
  <c r="B86" i="34"/>
  <c r="E86" i="34"/>
  <c r="F86" i="34"/>
  <c r="G86" i="34"/>
  <c r="B87" i="34"/>
  <c r="E87" i="34"/>
  <c r="F87" i="34"/>
  <c r="G87" i="34"/>
  <c r="B88" i="34"/>
  <c r="E88" i="34"/>
  <c r="F88" i="34"/>
  <c r="G88" i="34"/>
  <c r="B89" i="34"/>
  <c r="E89" i="34"/>
  <c r="F89" i="34"/>
  <c r="G89" i="34"/>
  <c r="B90" i="34"/>
  <c r="E90" i="34"/>
  <c r="F90" i="34"/>
  <c r="G90" i="34"/>
  <c r="B91" i="34"/>
  <c r="E91" i="34"/>
  <c r="F91" i="34"/>
  <c r="G91" i="34"/>
  <c r="B92" i="34"/>
  <c r="E92" i="34"/>
  <c r="F92" i="34"/>
  <c r="G92" i="34"/>
  <c r="B93" i="34"/>
  <c r="E93" i="34"/>
  <c r="F93" i="34"/>
  <c r="G93" i="34"/>
  <c r="B94" i="34"/>
  <c r="E94" i="34"/>
  <c r="F94" i="34"/>
  <c r="G94" i="34"/>
  <c r="B95" i="34"/>
  <c r="E95" i="34"/>
  <c r="F95" i="34"/>
  <c r="G95" i="34"/>
  <c r="B96" i="34"/>
  <c r="E96" i="34"/>
  <c r="F96" i="34"/>
  <c r="G96" i="34"/>
  <c r="B97" i="34"/>
  <c r="E97" i="34"/>
  <c r="F97" i="34"/>
  <c r="G97" i="34"/>
  <c r="B98" i="34"/>
  <c r="E98" i="34"/>
  <c r="F98" i="34"/>
  <c r="G98" i="34"/>
  <c r="B99" i="34"/>
  <c r="E99" i="34"/>
  <c r="F99" i="34"/>
  <c r="G99" i="34"/>
  <c r="B100" i="34"/>
  <c r="E100" i="34"/>
  <c r="F100" i="34"/>
  <c r="G100" i="34"/>
  <c r="B101" i="34"/>
  <c r="E101" i="34"/>
  <c r="F101" i="34"/>
  <c r="G101" i="34"/>
  <c r="B102" i="34"/>
  <c r="E102" i="34"/>
  <c r="F102" i="34"/>
  <c r="G102" i="34"/>
  <c r="B103" i="34"/>
  <c r="E103" i="34"/>
  <c r="F103" i="34"/>
  <c r="G103" i="34"/>
  <c r="B104" i="34"/>
  <c r="E104" i="34"/>
  <c r="F104" i="34"/>
  <c r="G104" i="34"/>
  <c r="B105" i="34"/>
  <c r="E105" i="34"/>
  <c r="F105" i="34"/>
  <c r="G105" i="34"/>
  <c r="B106" i="34"/>
  <c r="E106" i="34"/>
  <c r="F106" i="34"/>
  <c r="G106" i="34"/>
  <c r="B107" i="34"/>
  <c r="E107" i="34"/>
  <c r="F107" i="34"/>
  <c r="G107" i="34"/>
  <c r="B108" i="34"/>
  <c r="E108" i="34"/>
  <c r="F108" i="34"/>
  <c r="G108" i="34"/>
  <c r="B109" i="34"/>
  <c r="E109" i="34"/>
  <c r="F109" i="34"/>
  <c r="G109" i="34"/>
  <c r="B110" i="34"/>
  <c r="E110" i="34"/>
  <c r="F110" i="34"/>
  <c r="G110" i="34"/>
  <c r="B111" i="34"/>
  <c r="E111" i="34"/>
  <c r="F111" i="34"/>
  <c r="G111" i="34"/>
  <c r="B112" i="34"/>
  <c r="E112" i="34"/>
  <c r="F112" i="34"/>
  <c r="G112" i="34"/>
  <c r="B113" i="34"/>
  <c r="E113" i="34"/>
  <c r="F113" i="34"/>
  <c r="G113" i="34"/>
  <c r="B114" i="34"/>
  <c r="E114" i="34"/>
  <c r="F114" i="34"/>
  <c r="G114" i="34"/>
  <c r="B115" i="34"/>
  <c r="E115" i="34"/>
  <c r="F115" i="34"/>
  <c r="G115" i="34"/>
  <c r="B116" i="34"/>
  <c r="E116" i="34"/>
  <c r="F116" i="34"/>
  <c r="G116" i="34"/>
  <c r="B117" i="34"/>
  <c r="E117" i="34"/>
  <c r="F117" i="34"/>
  <c r="G117" i="34"/>
  <c r="B118" i="34"/>
  <c r="E118" i="34"/>
  <c r="F118" i="34"/>
  <c r="G118" i="34"/>
  <c r="B119" i="34"/>
  <c r="E119" i="34"/>
  <c r="F119" i="34"/>
  <c r="G119" i="34"/>
  <c r="B120" i="34"/>
  <c r="E120" i="34"/>
  <c r="F120" i="34"/>
  <c r="G120" i="34"/>
  <c r="B121" i="34"/>
  <c r="E121" i="34"/>
  <c r="F121" i="34"/>
  <c r="G121" i="34"/>
  <c r="B122" i="34"/>
  <c r="E122" i="34"/>
  <c r="F122" i="34"/>
  <c r="G122" i="34"/>
  <c r="B123" i="34"/>
  <c r="E123" i="34"/>
  <c r="F123" i="34"/>
  <c r="G123" i="34"/>
  <c r="B124" i="34"/>
  <c r="E124" i="34"/>
  <c r="F124" i="34"/>
  <c r="G124" i="34"/>
  <c r="B125" i="34"/>
  <c r="E125" i="34"/>
  <c r="F125" i="34"/>
  <c r="G125" i="34"/>
  <c r="B126" i="34"/>
  <c r="E126" i="34"/>
  <c r="F126" i="34"/>
  <c r="G126" i="34"/>
  <c r="B127" i="34"/>
  <c r="E127" i="34"/>
  <c r="F127" i="34"/>
  <c r="G127" i="34"/>
  <c r="B128" i="34"/>
  <c r="E128" i="34"/>
  <c r="F128" i="34"/>
  <c r="G128" i="34"/>
  <c r="B129" i="34"/>
  <c r="E129" i="34"/>
  <c r="F129" i="34"/>
  <c r="G129" i="34"/>
  <c r="B130" i="34"/>
  <c r="E130" i="34"/>
  <c r="F130" i="34"/>
  <c r="G130" i="34"/>
  <c r="B131" i="34"/>
  <c r="E131" i="34"/>
  <c r="F131" i="34"/>
  <c r="G131" i="34"/>
  <c r="B132" i="34"/>
  <c r="E132" i="34"/>
  <c r="F132" i="34"/>
  <c r="G132" i="34"/>
  <c r="B133" i="34"/>
  <c r="E133" i="34"/>
  <c r="F133" i="34"/>
  <c r="G133" i="34"/>
  <c r="B134" i="34"/>
  <c r="E134" i="34"/>
  <c r="F134" i="34"/>
  <c r="G134" i="34"/>
  <c r="B135" i="34"/>
  <c r="E135" i="34"/>
  <c r="F135" i="34"/>
  <c r="G135" i="34"/>
  <c r="B136" i="34"/>
  <c r="E136" i="34"/>
  <c r="F136" i="34"/>
  <c r="G136" i="34"/>
  <c r="B137" i="34"/>
  <c r="E137" i="34"/>
  <c r="F137" i="34"/>
  <c r="G137" i="34"/>
  <c r="B138" i="34"/>
  <c r="E138" i="34"/>
  <c r="F138" i="34"/>
  <c r="G138" i="34"/>
  <c r="B139" i="34"/>
  <c r="E139" i="34"/>
  <c r="F139" i="34"/>
  <c r="G139" i="34"/>
  <c r="B140" i="34"/>
  <c r="E140" i="34"/>
  <c r="F140" i="34"/>
  <c r="G140" i="34"/>
  <c r="B141" i="34"/>
  <c r="E141" i="34"/>
  <c r="F141" i="34"/>
  <c r="G141" i="34"/>
  <c r="B142" i="34"/>
  <c r="E142" i="34"/>
  <c r="F142" i="34"/>
  <c r="G142" i="34"/>
  <c r="B143" i="34"/>
  <c r="E143" i="34"/>
  <c r="F143" i="34"/>
  <c r="G143" i="34"/>
  <c r="G9" i="34"/>
  <c r="F9" i="34"/>
  <c r="E9" i="34"/>
  <c r="B9" i="34"/>
  <c r="B10" i="17"/>
  <c r="U10" i="17" s="1"/>
  <c r="B11" i="17"/>
  <c r="B12" i="17"/>
  <c r="B13" i="17"/>
  <c r="S13" i="17" s="1"/>
  <c r="B14" i="17"/>
  <c r="B15" i="17"/>
  <c r="R15" i="17" s="1"/>
  <c r="B16" i="17"/>
  <c r="B17" i="17"/>
  <c r="B18" i="17"/>
  <c r="Q18" i="17" s="1"/>
  <c r="B19" i="17"/>
  <c r="R19" i="17" s="1"/>
  <c r="B20" i="17"/>
  <c r="B21" i="17"/>
  <c r="U21" i="17" s="1"/>
  <c r="B22" i="17"/>
  <c r="B23" i="17"/>
  <c r="B24" i="17"/>
  <c r="T24" i="17" s="1"/>
  <c r="B25" i="17"/>
  <c r="B26" i="17"/>
  <c r="O26" i="17" s="1"/>
  <c r="B27" i="17"/>
  <c r="B28" i="17"/>
  <c r="B29" i="17"/>
  <c r="B30" i="17"/>
  <c r="U30" i="17" s="1"/>
  <c r="B31" i="17"/>
  <c r="B32" i="17"/>
  <c r="P32" i="17" s="1"/>
  <c r="B33" i="17"/>
  <c r="N33" i="17" s="1"/>
  <c r="B34" i="17"/>
  <c r="B35" i="17"/>
  <c r="B36" i="17"/>
  <c r="B37" i="17"/>
  <c r="P37" i="17" s="1"/>
  <c r="B38" i="17"/>
  <c r="R38" i="17" s="1"/>
  <c r="B39" i="17"/>
  <c r="N39" i="17" s="1"/>
  <c r="B40" i="17"/>
  <c r="N40" i="17" s="1"/>
  <c r="B41" i="17"/>
  <c r="T41" i="17" s="1"/>
  <c r="B42" i="17"/>
  <c r="P42" i="17" s="1"/>
  <c r="B43" i="17"/>
  <c r="B44" i="17"/>
  <c r="B45" i="17"/>
  <c r="R45" i="17" s="1"/>
  <c r="B46" i="17"/>
  <c r="B47" i="17"/>
  <c r="L47" i="17" s="1"/>
  <c r="B48" i="17"/>
  <c r="L48" i="17" s="1"/>
  <c r="B49" i="17"/>
  <c r="O49" i="17" s="1"/>
  <c r="B50" i="17"/>
  <c r="B51" i="17"/>
  <c r="Q51" i="17" s="1"/>
  <c r="B52" i="17"/>
  <c r="B53" i="17"/>
  <c r="B54" i="17"/>
  <c r="L54" i="17" s="1"/>
  <c r="B55" i="17"/>
  <c r="S55" i="17" s="1"/>
  <c r="B56" i="17"/>
  <c r="B57" i="17"/>
  <c r="B58" i="17"/>
  <c r="B59" i="17"/>
  <c r="B60" i="17"/>
  <c r="B61" i="17"/>
  <c r="P61" i="17" s="1"/>
  <c r="B62" i="17"/>
  <c r="B63" i="17"/>
  <c r="B64" i="17"/>
  <c r="S64" i="17" s="1"/>
  <c r="B65" i="17"/>
  <c r="L65" i="17" s="1"/>
  <c r="B66" i="17"/>
  <c r="B67" i="17"/>
  <c r="B68" i="17"/>
  <c r="R68" i="17" s="1"/>
  <c r="B69" i="17"/>
  <c r="B70" i="17"/>
  <c r="M70" i="17" s="1"/>
  <c r="B71" i="17"/>
  <c r="L71" i="17" s="1"/>
  <c r="B72" i="17"/>
  <c r="B73" i="17"/>
  <c r="O73" i="17" s="1"/>
  <c r="B74" i="17"/>
  <c r="B75" i="17"/>
  <c r="B76" i="17"/>
  <c r="O76" i="17" s="1"/>
  <c r="B77" i="17"/>
  <c r="S77" i="17" s="1"/>
  <c r="B78" i="17"/>
  <c r="B79" i="17"/>
  <c r="P79" i="17" s="1"/>
  <c r="B80" i="17"/>
  <c r="B81" i="17"/>
  <c r="Q81" i="17" s="1"/>
  <c r="B82" i="17"/>
  <c r="B83" i="17"/>
  <c r="B84" i="17"/>
  <c r="T84" i="17" s="1"/>
  <c r="B85" i="17"/>
  <c r="S85" i="17" s="1"/>
  <c r="B86" i="17"/>
  <c r="B87" i="17"/>
  <c r="U87" i="17" s="1"/>
  <c r="B88" i="17"/>
  <c r="B89" i="17"/>
  <c r="B90" i="17"/>
  <c r="T90" i="17" s="1"/>
  <c r="B91" i="17"/>
  <c r="N91" i="17" s="1"/>
  <c r="B92" i="17"/>
  <c r="B93" i="17"/>
  <c r="R93" i="17" s="1"/>
  <c r="B94" i="17"/>
  <c r="B95" i="17"/>
  <c r="B96" i="17"/>
  <c r="Q96" i="17" s="1"/>
  <c r="B97" i="17"/>
  <c r="B98" i="17"/>
  <c r="B99" i="17"/>
  <c r="B100" i="17"/>
  <c r="U100" i="17" s="1"/>
  <c r="B101" i="17"/>
  <c r="S101" i="17" s="1"/>
  <c r="B102" i="17"/>
  <c r="B103" i="17"/>
  <c r="B104" i="17"/>
  <c r="B105" i="17"/>
  <c r="U105" i="17" s="1"/>
  <c r="B106" i="17"/>
  <c r="B107" i="17"/>
  <c r="B108" i="17"/>
  <c r="T108" i="17" s="1"/>
  <c r="B109" i="17"/>
  <c r="B110" i="17"/>
  <c r="B111" i="17"/>
  <c r="U111" i="17" s="1"/>
  <c r="B112" i="17"/>
  <c r="R112" i="17" s="1"/>
  <c r="B113" i="17"/>
  <c r="M113" i="17" s="1"/>
  <c r="B114" i="17"/>
  <c r="N114" i="17" s="1"/>
  <c r="B115" i="17"/>
  <c r="B116" i="17"/>
  <c r="B117" i="17"/>
  <c r="B118" i="17"/>
  <c r="T118" i="17" s="1"/>
  <c r="B119" i="17"/>
  <c r="M119" i="17" s="1"/>
  <c r="B120" i="17"/>
  <c r="O120" i="17" s="1"/>
  <c r="B121" i="17"/>
  <c r="S121" i="17" s="1"/>
  <c r="B122" i="17"/>
  <c r="B123" i="17"/>
  <c r="B124" i="17"/>
  <c r="B125" i="17"/>
  <c r="B126" i="17"/>
  <c r="B127" i="17"/>
  <c r="T127" i="17" s="1"/>
  <c r="B128" i="17"/>
  <c r="B129" i="17"/>
  <c r="R129" i="17" s="1"/>
  <c r="B130" i="17"/>
  <c r="R130" i="17" s="1"/>
  <c r="B131" i="17"/>
  <c r="B132" i="17"/>
  <c r="B133" i="17"/>
  <c r="O133" i="17" s="1"/>
  <c r="B134" i="17"/>
  <c r="B135" i="17"/>
  <c r="N135" i="17" s="1"/>
  <c r="B136" i="17"/>
  <c r="B137" i="17"/>
  <c r="B138" i="17"/>
  <c r="M138" i="17" s="1"/>
  <c r="B139" i="17"/>
  <c r="R139" i="17" s="1"/>
  <c r="B140" i="17"/>
  <c r="B141" i="17"/>
  <c r="O141" i="17" s="1"/>
  <c r="B142" i="17"/>
  <c r="M142" i="17" s="1"/>
  <c r="B143" i="17"/>
  <c r="R143" i="17" s="1"/>
  <c r="B9" i="17"/>
  <c r="B10" i="4"/>
  <c r="AU10" i="4" s="1"/>
  <c r="B11" i="4"/>
  <c r="B12" i="4"/>
  <c r="B13" i="4"/>
  <c r="B14" i="4"/>
  <c r="AV14" i="4" s="1"/>
  <c r="B15" i="4"/>
  <c r="AT15" i="4" s="1"/>
  <c r="B16" i="4"/>
  <c r="AQ16" i="4" s="1"/>
  <c r="B17" i="4"/>
  <c r="B18" i="4"/>
  <c r="AV18" i="4" s="1"/>
  <c r="B19" i="4"/>
  <c r="AR19" i="4" s="1"/>
  <c r="B20" i="4"/>
  <c r="B21" i="4"/>
  <c r="B22" i="4"/>
  <c r="AQ22" i="4" s="1"/>
  <c r="B23" i="4"/>
  <c r="B24" i="4"/>
  <c r="AU24" i="4" s="1"/>
  <c r="B25" i="4"/>
  <c r="B26" i="4"/>
  <c r="B27" i="4"/>
  <c r="B28" i="4"/>
  <c r="AX28" i="4" s="1"/>
  <c r="B29" i="4"/>
  <c r="B30" i="4"/>
  <c r="AQ30" i="4" s="1"/>
  <c r="B31" i="4"/>
  <c r="B32" i="4"/>
  <c r="AR32" i="4" s="1"/>
  <c r="B33" i="4"/>
  <c r="AV33" i="4" s="1"/>
  <c r="B34" i="4"/>
  <c r="AQ34" i="4" s="1"/>
  <c r="B35" i="4"/>
  <c r="B36" i="4"/>
  <c r="B37" i="4"/>
  <c r="B38" i="4"/>
  <c r="AV38" i="4" s="1"/>
  <c r="B39" i="4"/>
  <c r="AW39" i="4" s="1"/>
  <c r="B40" i="4"/>
  <c r="B41" i="4"/>
  <c r="AQ41" i="4" s="1"/>
  <c r="B42" i="4"/>
  <c r="B43" i="4"/>
  <c r="B44" i="4"/>
  <c r="B45" i="4"/>
  <c r="B46" i="4"/>
  <c r="B47" i="4"/>
  <c r="B48" i="4"/>
  <c r="AP48" i="4" s="1"/>
  <c r="B49" i="4"/>
  <c r="AS49" i="4" s="1"/>
  <c r="B50" i="4"/>
  <c r="AO50" i="4" s="1"/>
  <c r="B51" i="4"/>
  <c r="B52" i="4"/>
  <c r="B53" i="4"/>
  <c r="B54" i="4"/>
  <c r="AT54" i="4" s="1"/>
  <c r="B55" i="4"/>
  <c r="B56" i="4"/>
  <c r="AQ56" i="4" s="1"/>
  <c r="B57" i="4"/>
  <c r="B58" i="4"/>
  <c r="AV58" i="4" s="1"/>
  <c r="B59" i="4"/>
  <c r="AP59" i="4" s="1"/>
  <c r="B60" i="4"/>
  <c r="AS60" i="4" s="1"/>
  <c r="B61" i="4"/>
  <c r="AR61" i="4" s="1"/>
  <c r="B62" i="4"/>
  <c r="B63" i="4"/>
  <c r="B64" i="4"/>
  <c r="AP64" i="4" s="1"/>
  <c r="B65" i="4"/>
  <c r="AO65" i="4" s="1"/>
  <c r="B66" i="4"/>
  <c r="AU66" i="4" s="1"/>
  <c r="B67" i="4"/>
  <c r="B68" i="4"/>
  <c r="AS68" i="4" s="1"/>
  <c r="B69" i="4"/>
  <c r="B70" i="4"/>
  <c r="AR70" i="4" s="1"/>
  <c r="B71" i="4"/>
  <c r="AW71" i="4" s="1"/>
  <c r="B72" i="4"/>
  <c r="B73" i="4"/>
  <c r="B74" i="4"/>
  <c r="AT74" i="4" s="1"/>
  <c r="B75" i="4"/>
  <c r="B76" i="4"/>
  <c r="B77" i="4"/>
  <c r="B78" i="4"/>
  <c r="B79" i="4"/>
  <c r="B80" i="4"/>
  <c r="B81" i="4"/>
  <c r="B82" i="4"/>
  <c r="AV82" i="4" s="1"/>
  <c r="B83" i="4"/>
  <c r="AP83" i="4" s="1"/>
  <c r="B84" i="4"/>
  <c r="AO84" i="4" s="1"/>
  <c r="B85" i="4"/>
  <c r="AQ85" i="4" s="1"/>
  <c r="B86" i="4"/>
  <c r="B87" i="4"/>
  <c r="B88" i="4"/>
  <c r="AQ88" i="4" s="1"/>
  <c r="B89" i="4"/>
  <c r="AS89" i="4" s="1"/>
  <c r="B90" i="4"/>
  <c r="AR90" i="4" s="1"/>
  <c r="B91" i="4"/>
  <c r="AQ91" i="4" s="1"/>
  <c r="B92" i="4"/>
  <c r="B93" i="4"/>
  <c r="B94" i="4"/>
  <c r="B95" i="4"/>
  <c r="AP95" i="4" s="1"/>
  <c r="B96" i="4"/>
  <c r="AV96" i="4" s="1"/>
  <c r="B97" i="4"/>
  <c r="AP97" i="4" s="1"/>
  <c r="B98" i="4"/>
  <c r="AW98" i="4" s="1"/>
  <c r="B99" i="4"/>
  <c r="AT99" i="4" s="1"/>
  <c r="B100" i="4"/>
  <c r="B101" i="4"/>
  <c r="AU101" i="4" s="1"/>
  <c r="B102" i="4"/>
  <c r="AP102" i="4" s="1"/>
  <c r="B103" i="4"/>
  <c r="B104" i="4"/>
  <c r="AT104" i="4" s="1"/>
  <c r="B105" i="4"/>
  <c r="B106" i="4"/>
  <c r="B107" i="4"/>
  <c r="AT107" i="4" s="1"/>
  <c r="B108" i="4"/>
  <c r="B109" i="4"/>
  <c r="AV109" i="4" s="1"/>
  <c r="B110" i="4"/>
  <c r="AR110" i="4" s="1"/>
  <c r="B111" i="4"/>
  <c r="B112" i="4"/>
  <c r="AS112" i="4" s="1"/>
  <c r="B113" i="4"/>
  <c r="AR113" i="4" s="1"/>
  <c r="B114" i="4"/>
  <c r="AO114" i="4" s="1"/>
  <c r="B115" i="4"/>
  <c r="AX115" i="4" s="1"/>
  <c r="B116" i="4"/>
  <c r="B117" i="4"/>
  <c r="AQ117" i="4" s="1"/>
  <c r="B118" i="4"/>
  <c r="B119" i="4"/>
  <c r="AT119" i="4" s="1"/>
  <c r="B120" i="4"/>
  <c r="AW120" i="4" s="1"/>
  <c r="B121" i="4"/>
  <c r="B122" i="4"/>
  <c r="B123" i="4"/>
  <c r="B124" i="4"/>
  <c r="B125" i="4"/>
  <c r="B126" i="4"/>
  <c r="AS126" i="4" s="1"/>
  <c r="B127" i="4"/>
  <c r="AV127" i="4" s="1"/>
  <c r="B128" i="4"/>
  <c r="B129" i="4"/>
  <c r="B130" i="4"/>
  <c r="AO130" i="4" s="1"/>
  <c r="B131" i="4"/>
  <c r="B132" i="4"/>
  <c r="B133" i="4"/>
  <c r="AV133" i="4" s="1"/>
  <c r="B134" i="4"/>
  <c r="B135" i="4"/>
  <c r="B136" i="4"/>
  <c r="B137" i="4"/>
  <c r="B138" i="4"/>
  <c r="AV138" i="4" s="1"/>
  <c r="B139" i="4"/>
  <c r="B140" i="4"/>
  <c r="AX140" i="4" s="1"/>
  <c r="B141" i="4"/>
  <c r="B142" i="4"/>
  <c r="B143" i="4"/>
  <c r="B144" i="4"/>
  <c r="AW144" i="4" s="1"/>
  <c r="B145" i="4"/>
  <c r="AP145" i="4" s="1"/>
  <c r="B146" i="4"/>
  <c r="B147" i="4"/>
  <c r="B148" i="4"/>
  <c r="AU148" i="4" s="1"/>
  <c r="B149" i="4"/>
  <c r="AR149" i="4" s="1"/>
  <c r="B150" i="4"/>
  <c r="B151" i="4"/>
  <c r="B152" i="4"/>
  <c r="B153" i="4"/>
  <c r="B154" i="4"/>
  <c r="B155" i="4"/>
  <c r="B156" i="4"/>
  <c r="B157" i="4"/>
  <c r="B158" i="4"/>
  <c r="B159" i="4"/>
  <c r="B160" i="4"/>
  <c r="AR160" i="4" s="1"/>
  <c r="B161" i="4"/>
  <c r="B162" i="4"/>
  <c r="AW162" i="4" s="1"/>
  <c r="B163" i="4"/>
  <c r="B164" i="4"/>
  <c r="B165" i="4"/>
  <c r="AV165" i="4" s="1"/>
  <c r="B166" i="4"/>
  <c r="AV166" i="4" s="1"/>
  <c r="B167" i="4"/>
  <c r="B168" i="4"/>
  <c r="AW168" i="4" s="1"/>
  <c r="B169" i="4"/>
  <c r="B170" i="4"/>
  <c r="AR170" i="4" s="1"/>
  <c r="B171" i="4"/>
  <c r="B172" i="4"/>
  <c r="AT172" i="4" s="1"/>
  <c r="B173" i="4"/>
  <c r="AT173" i="4" s="1"/>
  <c r="B174" i="4"/>
  <c r="AO174" i="4" s="1"/>
  <c r="B175" i="4"/>
  <c r="AS175" i="4" s="1"/>
  <c r="B176" i="4"/>
  <c r="AQ176" i="4" s="1"/>
  <c r="B177" i="4"/>
  <c r="B178" i="4"/>
  <c r="AR178" i="4" s="1"/>
  <c r="B179" i="4"/>
  <c r="B180" i="4"/>
  <c r="B181" i="4"/>
  <c r="B182" i="4"/>
  <c r="B183" i="4"/>
  <c r="B184" i="4"/>
  <c r="AR184" i="4" s="1"/>
  <c r="B185" i="4"/>
  <c r="AV185" i="4" s="1"/>
  <c r="B186" i="4"/>
  <c r="AP186" i="4" s="1"/>
  <c r="B187" i="4"/>
  <c r="AU187" i="4" s="1"/>
  <c r="B188" i="4"/>
  <c r="AP188" i="4" s="1"/>
  <c r="B189" i="4"/>
  <c r="B190" i="4"/>
  <c r="AX190" i="4" s="1"/>
  <c r="B191" i="4"/>
  <c r="B192" i="4"/>
  <c r="AO192" i="4" s="1"/>
  <c r="B193" i="4"/>
  <c r="AT193" i="4" s="1"/>
  <c r="B194" i="4"/>
  <c r="B195" i="4"/>
  <c r="AT195" i="4" s="1"/>
  <c r="B196" i="4"/>
  <c r="AT196" i="4" s="1"/>
  <c r="B197" i="4"/>
  <c r="B198" i="4"/>
  <c r="AT198" i="4" s="1"/>
  <c r="B199" i="4"/>
  <c r="AS199" i="4" s="1"/>
  <c r="B200" i="4"/>
  <c r="AS200" i="4" s="1"/>
  <c r="B201" i="4"/>
  <c r="B202" i="4"/>
  <c r="B203" i="4"/>
  <c r="AU203" i="4" s="1"/>
  <c r="B204" i="4"/>
  <c r="AV204" i="4" s="1"/>
  <c r="B205" i="4"/>
  <c r="B206" i="4"/>
  <c r="AT206" i="4" s="1"/>
  <c r="B207" i="4"/>
  <c r="B208" i="4"/>
  <c r="AQ208" i="4" s="1"/>
  <c r="B209" i="4"/>
  <c r="B210" i="4"/>
  <c r="AT210" i="4" s="1"/>
  <c r="B211" i="4"/>
  <c r="B212" i="4"/>
  <c r="AT212" i="4" s="1"/>
  <c r="B213" i="4"/>
  <c r="B214" i="4"/>
  <c r="B215" i="4"/>
  <c r="AP215" i="4" s="1"/>
  <c r="B216" i="4"/>
  <c r="AP216" i="4" s="1"/>
  <c r="B217" i="4"/>
  <c r="B218" i="4"/>
  <c r="AO218" i="4" s="1"/>
  <c r="B219" i="4"/>
  <c r="B220" i="4"/>
  <c r="AU220" i="4" s="1"/>
  <c r="B221" i="4"/>
  <c r="AO221" i="4" s="1"/>
  <c r="B222" i="4"/>
  <c r="AO222" i="4" s="1"/>
  <c r="B223" i="4"/>
  <c r="B224" i="4"/>
  <c r="B225" i="4"/>
  <c r="AT225" i="4" s="1"/>
  <c r="B226" i="4"/>
  <c r="AS226" i="4" s="1"/>
  <c r="B227" i="4"/>
  <c r="AO227" i="4" s="1"/>
  <c r="B228" i="4"/>
  <c r="B229" i="4"/>
  <c r="B230" i="4"/>
  <c r="AP230" i="4" s="1"/>
  <c r="B231" i="4"/>
  <c r="AW231" i="4" s="1"/>
  <c r="B232" i="4"/>
  <c r="AW232" i="4" s="1"/>
  <c r="B233" i="4"/>
  <c r="B234" i="4"/>
  <c r="B235" i="4"/>
  <c r="B236" i="4"/>
  <c r="B237" i="4"/>
  <c r="AV237" i="4" s="1"/>
  <c r="B238" i="4"/>
  <c r="AV238" i="4" s="1"/>
  <c r="B239" i="4"/>
  <c r="B240" i="4"/>
  <c r="AU240" i="4" s="1"/>
  <c r="B241" i="4"/>
  <c r="B242" i="4"/>
  <c r="AO242" i="4" s="1"/>
  <c r="B243" i="4"/>
  <c r="B244" i="4"/>
  <c r="AU244" i="4" s="1"/>
  <c r="B245" i="4"/>
  <c r="B246" i="4"/>
  <c r="AU246" i="4" s="1"/>
  <c r="B247" i="4"/>
  <c r="B248" i="4"/>
  <c r="B249" i="4"/>
  <c r="B250" i="4"/>
  <c r="B251" i="4"/>
  <c r="AR251" i="4" s="1"/>
  <c r="B252" i="4"/>
  <c r="B253" i="4"/>
  <c r="B254" i="4"/>
  <c r="AS254" i="4" s="1"/>
  <c r="B255" i="4"/>
  <c r="AR255" i="4" s="1"/>
  <c r="B256" i="4"/>
  <c r="B257" i="4"/>
  <c r="B258" i="4"/>
  <c r="B259" i="4"/>
  <c r="AQ259" i="4" s="1"/>
  <c r="B260" i="4"/>
  <c r="B261" i="4"/>
  <c r="B262" i="4"/>
  <c r="AW262" i="4" s="1"/>
  <c r="B263" i="4"/>
  <c r="AO263" i="4" s="1"/>
  <c r="B264" i="4"/>
  <c r="B265" i="4"/>
  <c r="B266" i="4"/>
  <c r="B267" i="4"/>
  <c r="AS267" i="4" s="1"/>
  <c r="B268" i="4"/>
  <c r="B269" i="4"/>
  <c r="AP269" i="4" s="1"/>
  <c r="B270" i="4"/>
  <c r="AX270" i="4" s="1"/>
  <c r="B271" i="4"/>
  <c r="B272" i="4"/>
  <c r="B273" i="4"/>
  <c r="B274" i="4"/>
  <c r="AW274" i="4" s="1"/>
  <c r="B275" i="4"/>
  <c r="AS275" i="4" s="1"/>
  <c r="B276" i="4"/>
  <c r="AT276" i="4" s="1"/>
  <c r="B277" i="4"/>
  <c r="AT277" i="4" s="1"/>
  <c r="B278" i="4"/>
  <c r="B279" i="4"/>
  <c r="B280" i="4"/>
  <c r="AV280" i="4" s="1"/>
  <c r="B281" i="4"/>
  <c r="B282" i="4"/>
  <c r="B283" i="4"/>
  <c r="AX283" i="4" s="1"/>
  <c r="B284" i="4"/>
  <c r="B285" i="4"/>
  <c r="B286" i="4"/>
  <c r="AX286" i="4" s="1"/>
  <c r="B287" i="4"/>
  <c r="B288" i="4"/>
  <c r="AU288" i="4" s="1"/>
  <c r="B289" i="4"/>
  <c r="AV289" i="4" s="1"/>
  <c r="B290" i="4"/>
  <c r="AT290" i="4" s="1"/>
  <c r="B291" i="4"/>
  <c r="AT291" i="4" s="1"/>
  <c r="B292" i="4"/>
  <c r="AV292" i="4" s="1"/>
  <c r="B293" i="4"/>
  <c r="AS293" i="4" s="1"/>
  <c r="B294" i="4"/>
  <c r="AQ294" i="4" s="1"/>
  <c r="B295" i="4"/>
  <c r="B296" i="4"/>
  <c r="B297" i="4"/>
  <c r="AT297" i="4" s="1"/>
  <c r="B298" i="4"/>
  <c r="AP298" i="4" s="1"/>
  <c r="B299" i="4"/>
  <c r="AS299" i="4" s="1"/>
  <c r="B300" i="4"/>
  <c r="B301" i="4"/>
  <c r="B302" i="4"/>
  <c r="AQ302" i="4" s="1"/>
  <c r="B303" i="4"/>
  <c r="AU303" i="4" s="1"/>
  <c r="B304" i="4"/>
  <c r="B305" i="4"/>
  <c r="B306" i="4"/>
  <c r="B307" i="4"/>
  <c r="AV307" i="4" s="1"/>
  <c r="B308" i="4"/>
  <c r="AU308" i="4" s="1"/>
  <c r="B309" i="4"/>
  <c r="B310" i="4"/>
  <c r="AQ310" i="4" s="1"/>
  <c r="B311" i="4"/>
  <c r="AQ311" i="4" s="1"/>
  <c r="B312" i="4"/>
  <c r="B313" i="4"/>
  <c r="B314" i="4"/>
  <c r="B315" i="4"/>
  <c r="AV315" i="4" s="1"/>
  <c r="B316" i="4"/>
  <c r="B317" i="4"/>
  <c r="B318" i="4"/>
  <c r="B319" i="4"/>
  <c r="AW319" i="4" s="1"/>
  <c r="B320" i="4"/>
  <c r="AO320" i="4" s="1"/>
  <c r="B321" i="4"/>
  <c r="AQ321" i="4" s="1"/>
  <c r="B322" i="4"/>
  <c r="AP322" i="4" s="1"/>
  <c r="B323" i="4"/>
  <c r="AW323" i="4" s="1"/>
  <c r="B324" i="4"/>
  <c r="B325" i="4"/>
  <c r="B326" i="4"/>
  <c r="B327" i="4"/>
  <c r="B328" i="4"/>
  <c r="AS328" i="4" s="1"/>
  <c r="B329" i="4"/>
  <c r="AU329" i="4" s="1"/>
  <c r="B330" i="4"/>
  <c r="B331" i="4"/>
  <c r="B332" i="4"/>
  <c r="AV332" i="4" s="1"/>
  <c r="B333" i="4"/>
  <c r="B334" i="4"/>
  <c r="AQ334" i="4" s="1"/>
  <c r="B335" i="4"/>
  <c r="AP335" i="4" s="1"/>
  <c r="B336" i="4"/>
  <c r="B337" i="4"/>
  <c r="AW337" i="4" s="1"/>
  <c r="B9" i="4"/>
  <c r="AU9" i="4" s="1"/>
  <c r="B10" i="3"/>
  <c r="AZ10" i="3" s="1"/>
  <c r="B11" i="3"/>
  <c r="AX11" i="3" s="1"/>
  <c r="B12" i="3"/>
  <c r="B13" i="3"/>
  <c r="AT13" i="3" s="1"/>
  <c r="B14" i="3"/>
  <c r="AU14" i="3" s="1"/>
  <c r="B15" i="3"/>
  <c r="B16" i="3"/>
  <c r="B17" i="3"/>
  <c r="B18" i="3"/>
  <c r="AT18" i="3" s="1"/>
  <c r="B19" i="3"/>
  <c r="AV19" i="3" s="1"/>
  <c r="B20" i="3"/>
  <c r="B21" i="3"/>
  <c r="B22" i="3"/>
  <c r="B23" i="3"/>
  <c r="B24" i="3"/>
  <c r="AU24" i="3" s="1"/>
  <c r="B25" i="3"/>
  <c r="AS25" i="3" s="1"/>
  <c r="B26" i="3"/>
  <c r="AZ26" i="3" s="1"/>
  <c r="B27" i="3"/>
  <c r="AS27" i="3" s="1"/>
  <c r="B28" i="3"/>
  <c r="B29" i="3"/>
  <c r="AR29" i="3" s="1"/>
  <c r="B30" i="3"/>
  <c r="AR30" i="3" s="1"/>
  <c r="B31" i="3"/>
  <c r="AZ31" i="3" s="1"/>
  <c r="B32" i="3"/>
  <c r="B33" i="3"/>
  <c r="B34" i="3"/>
  <c r="B35" i="3"/>
  <c r="AX35" i="3" s="1"/>
  <c r="B36" i="3"/>
  <c r="B37" i="3"/>
  <c r="B38" i="3"/>
  <c r="BA38" i="3" s="1"/>
  <c r="B39" i="3"/>
  <c r="B40" i="3"/>
  <c r="B41" i="3"/>
  <c r="AR41" i="3" s="1"/>
  <c r="B42" i="3"/>
  <c r="B43" i="3"/>
  <c r="AR43" i="3" s="1"/>
  <c r="B44" i="3"/>
  <c r="B45" i="3"/>
  <c r="AV45" i="3" s="1"/>
  <c r="B46" i="3"/>
  <c r="AX46" i="3" s="1"/>
  <c r="B47" i="3"/>
  <c r="AW47" i="3" s="1"/>
  <c r="B48" i="3"/>
  <c r="B49" i="3"/>
  <c r="B50" i="3"/>
  <c r="AR50" i="3" s="1"/>
  <c r="B51" i="3"/>
  <c r="B52" i="3"/>
  <c r="B53" i="3"/>
  <c r="AX53" i="3" s="1"/>
  <c r="B54" i="3"/>
  <c r="AV54" i="3" s="1"/>
  <c r="B55" i="3"/>
  <c r="B56" i="3"/>
  <c r="B57" i="3"/>
  <c r="B58" i="3"/>
  <c r="AU58" i="3" s="1"/>
  <c r="B59" i="3"/>
  <c r="AZ59" i="3" s="1"/>
  <c r="B60" i="3"/>
  <c r="B61" i="3"/>
  <c r="B62" i="3"/>
  <c r="B63" i="3"/>
  <c r="B64" i="3"/>
  <c r="B65" i="3"/>
  <c r="AR65" i="3" s="1"/>
  <c r="B66" i="3"/>
  <c r="B67" i="3"/>
  <c r="B68" i="3"/>
  <c r="B69" i="3"/>
  <c r="AV69" i="3" s="1"/>
  <c r="B70" i="3"/>
  <c r="B71" i="3"/>
  <c r="B72" i="3"/>
  <c r="AW72" i="3" s="1"/>
  <c r="B73" i="3"/>
  <c r="B74" i="3"/>
  <c r="AR74" i="3" s="1"/>
  <c r="B75" i="3"/>
  <c r="B76" i="3"/>
  <c r="B77" i="3"/>
  <c r="AY77" i="3" s="1"/>
  <c r="B78" i="3"/>
  <c r="B79" i="3"/>
  <c r="BA79" i="3" s="1"/>
  <c r="B80" i="3"/>
  <c r="B81" i="3"/>
  <c r="B82" i="3"/>
  <c r="AW82" i="3" s="1"/>
  <c r="B83" i="3"/>
  <c r="AY83" i="3" s="1"/>
  <c r="B84" i="3"/>
  <c r="B85" i="3"/>
  <c r="B86" i="3"/>
  <c r="B87" i="3"/>
  <c r="AX87" i="3" s="1"/>
  <c r="B88" i="3"/>
  <c r="AS88" i="3" s="1"/>
  <c r="B89" i="3"/>
  <c r="B90" i="3"/>
  <c r="AS90" i="3" s="1"/>
  <c r="B91" i="3"/>
  <c r="B92" i="3"/>
  <c r="B93" i="3"/>
  <c r="AU93" i="3" s="1"/>
  <c r="B94" i="3"/>
  <c r="B95" i="3"/>
  <c r="AS95" i="3" s="1"/>
  <c r="B96" i="3"/>
  <c r="AU96" i="3" s="1"/>
  <c r="B97" i="3"/>
  <c r="B98" i="3"/>
  <c r="AU98" i="3" s="1"/>
  <c r="B99" i="3"/>
  <c r="AY99" i="3" s="1"/>
  <c r="B100" i="3"/>
  <c r="B101" i="3"/>
  <c r="B102" i="3"/>
  <c r="AS102" i="3" s="1"/>
  <c r="B103" i="3"/>
  <c r="B104" i="3"/>
  <c r="B105" i="3"/>
  <c r="B106" i="3"/>
  <c r="BA106" i="3" s="1"/>
  <c r="B107" i="3"/>
  <c r="B108" i="3"/>
  <c r="B109" i="3"/>
  <c r="B110" i="3"/>
  <c r="B111" i="3"/>
  <c r="AR111" i="3" s="1"/>
  <c r="B112" i="3"/>
  <c r="B113" i="3"/>
  <c r="B114" i="3"/>
  <c r="AR114" i="3" s="1"/>
  <c r="B115" i="3"/>
  <c r="B116" i="3"/>
  <c r="B117" i="3"/>
  <c r="B118" i="3"/>
  <c r="B119" i="3"/>
  <c r="AZ119" i="3" s="1"/>
  <c r="B120" i="3"/>
  <c r="B121" i="3"/>
  <c r="AT121" i="3" s="1"/>
  <c r="B122" i="3"/>
  <c r="B123" i="3"/>
  <c r="B124" i="3"/>
  <c r="B125" i="3"/>
  <c r="AV125" i="3" s="1"/>
  <c r="B126" i="3"/>
  <c r="AS126" i="3" s="1"/>
  <c r="B127" i="3"/>
  <c r="B128" i="3"/>
  <c r="B129" i="3"/>
  <c r="BA129" i="3" s="1"/>
  <c r="B130" i="3"/>
  <c r="B131" i="3"/>
  <c r="B132" i="3"/>
  <c r="B133" i="3"/>
  <c r="AR133" i="3" s="1"/>
  <c r="B134" i="3"/>
  <c r="AR134" i="3" s="1"/>
  <c r="B135" i="3"/>
  <c r="B136" i="3"/>
  <c r="B137" i="3"/>
  <c r="B138" i="3"/>
  <c r="AT138" i="3" s="1"/>
  <c r="B139" i="3"/>
  <c r="B140" i="3"/>
  <c r="B141" i="3"/>
  <c r="AR141" i="3" s="1"/>
  <c r="B142" i="3"/>
  <c r="B143" i="3"/>
  <c r="B144" i="3"/>
  <c r="BA144" i="3" s="1"/>
  <c r="B145" i="3"/>
  <c r="BA145" i="3" s="1"/>
  <c r="B146" i="3"/>
  <c r="AY146" i="3" s="1"/>
  <c r="B147" i="3"/>
  <c r="B148" i="3"/>
  <c r="B149" i="3"/>
  <c r="AR149" i="3" s="1"/>
  <c r="B150" i="3"/>
  <c r="BA150" i="3" s="1"/>
  <c r="B151" i="3"/>
  <c r="AV151" i="3" s="1"/>
  <c r="B152" i="3"/>
  <c r="B153" i="3"/>
  <c r="AX153" i="3" s="1"/>
  <c r="B154" i="3"/>
  <c r="B155" i="3"/>
  <c r="B156" i="3"/>
  <c r="B157" i="3"/>
  <c r="B158" i="3"/>
  <c r="B159" i="3"/>
  <c r="AW159" i="3" s="1"/>
  <c r="B160" i="3"/>
  <c r="AU160" i="3" s="1"/>
  <c r="B161" i="3"/>
  <c r="B162" i="3"/>
  <c r="AW162" i="3" s="1"/>
  <c r="B163" i="3"/>
  <c r="B164" i="3"/>
  <c r="AU164" i="3" s="1"/>
  <c r="B165" i="3"/>
  <c r="B166" i="3"/>
  <c r="B167" i="3"/>
  <c r="AV167" i="3" s="1"/>
  <c r="B168" i="3"/>
  <c r="B169" i="3"/>
  <c r="BA169" i="3" s="1"/>
  <c r="B170" i="3"/>
  <c r="AX170" i="3" s="1"/>
  <c r="B171" i="3"/>
  <c r="B172" i="3"/>
  <c r="B173" i="3"/>
  <c r="B174" i="3"/>
  <c r="B175" i="3"/>
  <c r="B176" i="3"/>
  <c r="B177" i="3"/>
  <c r="B178" i="3"/>
  <c r="B179" i="3"/>
  <c r="B180" i="3"/>
  <c r="AX180" i="3" s="1"/>
  <c r="B181" i="3"/>
  <c r="AV181" i="3" s="1"/>
  <c r="B182" i="3"/>
  <c r="B183" i="3"/>
  <c r="B184" i="3"/>
  <c r="B185" i="3"/>
  <c r="B186" i="3"/>
  <c r="B187" i="3"/>
  <c r="AU187" i="3" s="1"/>
  <c r="B188" i="3"/>
  <c r="B189" i="3"/>
  <c r="B190" i="3"/>
  <c r="B191" i="3"/>
  <c r="B192" i="3"/>
  <c r="AX192" i="3" s="1"/>
  <c r="B193" i="3"/>
  <c r="B194" i="3"/>
  <c r="B195" i="3"/>
  <c r="AU195" i="3" s="1"/>
  <c r="B196" i="3"/>
  <c r="B197" i="3"/>
  <c r="BA197" i="3" s="1"/>
  <c r="B198" i="3"/>
  <c r="BA198" i="3" s="1"/>
  <c r="B199" i="3"/>
  <c r="AU199" i="3" s="1"/>
  <c r="B200" i="3"/>
  <c r="B201" i="3"/>
  <c r="B202" i="3"/>
  <c r="B203" i="3"/>
  <c r="B204" i="3"/>
  <c r="B205" i="3"/>
  <c r="B206" i="3"/>
  <c r="B207" i="3"/>
  <c r="AV207" i="3" s="1"/>
  <c r="B208" i="3"/>
  <c r="B209" i="3"/>
  <c r="B210" i="3"/>
  <c r="AX210" i="3" s="1"/>
  <c r="B211" i="3"/>
  <c r="B212" i="3"/>
  <c r="B213" i="3"/>
  <c r="AW213" i="3" s="1"/>
  <c r="B214" i="3"/>
  <c r="BA214" i="3" s="1"/>
  <c r="B215" i="3"/>
  <c r="AT215" i="3" s="1"/>
  <c r="B216" i="3"/>
  <c r="AR216" i="3" s="1"/>
  <c r="B217" i="3"/>
  <c r="AX217" i="3" s="1"/>
  <c r="B218" i="3"/>
  <c r="AY218" i="3" s="1"/>
  <c r="B219" i="3"/>
  <c r="B220" i="3"/>
  <c r="B221" i="3"/>
  <c r="AR221" i="3" s="1"/>
  <c r="B222" i="3"/>
  <c r="B223" i="3"/>
  <c r="AT223" i="3" s="1"/>
  <c r="B224" i="3"/>
  <c r="AW224" i="3" s="1"/>
  <c r="B225" i="3"/>
  <c r="B226" i="3"/>
  <c r="B227" i="3"/>
  <c r="B228" i="3"/>
  <c r="B229" i="3"/>
  <c r="B230" i="3"/>
  <c r="B231" i="3"/>
  <c r="BA231" i="3" s="1"/>
  <c r="B232" i="3"/>
  <c r="AY232" i="3" s="1"/>
  <c r="B233" i="3"/>
  <c r="B234" i="3"/>
  <c r="AT234" i="3" s="1"/>
  <c r="B235" i="3"/>
  <c r="AU235" i="3" s="1"/>
  <c r="B236" i="3"/>
  <c r="B237" i="3"/>
  <c r="B238" i="3"/>
  <c r="B239" i="3"/>
  <c r="B240" i="3"/>
  <c r="B241" i="3"/>
  <c r="B242" i="3"/>
  <c r="AR242" i="3" s="1"/>
  <c r="B243" i="3"/>
  <c r="B244" i="3"/>
  <c r="B245" i="3"/>
  <c r="B246" i="3"/>
  <c r="AX246" i="3" s="1"/>
  <c r="B247" i="3"/>
  <c r="B248" i="3"/>
  <c r="B249" i="3"/>
  <c r="AZ249" i="3" s="1"/>
  <c r="B250" i="3"/>
  <c r="AX250" i="3" s="1"/>
  <c r="B251" i="3"/>
  <c r="B252" i="3"/>
  <c r="B253" i="3"/>
  <c r="AY253" i="3" s="1"/>
  <c r="B254" i="3"/>
  <c r="B255" i="3"/>
  <c r="B256" i="3"/>
  <c r="AY256" i="3" s="1"/>
  <c r="B257" i="3"/>
  <c r="AX257" i="3" s="1"/>
  <c r="B258" i="3"/>
  <c r="AU258" i="3" s="1"/>
  <c r="B259" i="3"/>
  <c r="AX259" i="3" s="1"/>
  <c r="B260" i="3"/>
  <c r="B261" i="3"/>
  <c r="B262" i="3"/>
  <c r="B263" i="3"/>
  <c r="AY263" i="3" s="1"/>
  <c r="B264" i="3"/>
  <c r="AV264" i="3" s="1"/>
  <c r="B265" i="3"/>
  <c r="B266" i="3"/>
  <c r="B267" i="3"/>
  <c r="B268" i="3"/>
  <c r="B269" i="3"/>
  <c r="B270" i="3"/>
  <c r="AS270" i="3" s="1"/>
  <c r="B271" i="3"/>
  <c r="B272" i="3"/>
  <c r="B273" i="3"/>
  <c r="B274" i="3"/>
  <c r="AT274" i="3" s="1"/>
  <c r="B275" i="3"/>
  <c r="AV275" i="3" s="1"/>
  <c r="B276" i="3"/>
  <c r="B277" i="3"/>
  <c r="B278" i="3"/>
  <c r="AT278" i="3" s="1"/>
  <c r="B279" i="3"/>
  <c r="B280" i="3"/>
  <c r="BA280" i="3" s="1"/>
  <c r="B281" i="3"/>
  <c r="AS281" i="3" s="1"/>
  <c r="B282" i="3"/>
  <c r="B283" i="3"/>
  <c r="B284" i="3"/>
  <c r="AY284" i="3" s="1"/>
  <c r="B285" i="3"/>
  <c r="B286" i="3"/>
  <c r="B287" i="3"/>
  <c r="AV287" i="3" s="1"/>
  <c r="B288" i="3"/>
  <c r="AU288" i="3" s="1"/>
  <c r="B289" i="3"/>
  <c r="AY289" i="3" s="1"/>
  <c r="B290" i="3"/>
  <c r="B291" i="3"/>
  <c r="B292" i="3"/>
  <c r="B293" i="3"/>
  <c r="AW293" i="3" s="1"/>
  <c r="B294" i="3"/>
  <c r="B295" i="3"/>
  <c r="B296" i="3"/>
  <c r="AW296" i="3" s="1"/>
  <c r="B297" i="3"/>
  <c r="BA297" i="3" s="1"/>
  <c r="B298" i="3"/>
  <c r="B299" i="3"/>
  <c r="B300" i="3"/>
  <c r="B301" i="3"/>
  <c r="B302" i="3"/>
  <c r="B303" i="3"/>
  <c r="B304" i="3"/>
  <c r="AZ304" i="3" s="1"/>
  <c r="B305" i="3"/>
  <c r="AU305" i="3" s="1"/>
  <c r="B306" i="3"/>
  <c r="B307" i="3"/>
  <c r="B308" i="3"/>
  <c r="B309" i="3"/>
  <c r="B310" i="3"/>
  <c r="B311" i="3"/>
  <c r="AX311" i="3" s="1"/>
  <c r="B312" i="3"/>
  <c r="AV312" i="3" s="1"/>
  <c r="B313" i="3"/>
  <c r="AY313" i="3" s="1"/>
  <c r="B314" i="3"/>
  <c r="B315" i="3"/>
  <c r="AT315" i="3" s="1"/>
  <c r="B316" i="3"/>
  <c r="AR316" i="3" s="1"/>
  <c r="B317" i="3"/>
  <c r="B318" i="3"/>
  <c r="BA318" i="3" s="1"/>
  <c r="B319" i="3"/>
  <c r="B320" i="3"/>
  <c r="B321" i="3"/>
  <c r="B322" i="3"/>
  <c r="B323" i="3"/>
  <c r="AV323" i="3" s="1"/>
  <c r="B324" i="3"/>
  <c r="AV324" i="3" s="1"/>
  <c r="B325" i="3"/>
  <c r="AU325" i="3" s="1"/>
  <c r="B326" i="3"/>
  <c r="B327" i="3"/>
  <c r="B328" i="3"/>
  <c r="B329" i="3"/>
  <c r="B330" i="3"/>
  <c r="B331" i="3"/>
  <c r="B332" i="3"/>
  <c r="AX332" i="3" s="1"/>
  <c r="B333" i="3"/>
  <c r="B334" i="3"/>
  <c r="AR334" i="3" s="1"/>
  <c r="B335" i="3"/>
  <c r="AS335" i="3" s="1"/>
  <c r="B336" i="3"/>
  <c r="AS336" i="3" s="1"/>
  <c r="B337" i="3"/>
  <c r="AS337" i="3" s="1"/>
  <c r="B338" i="3"/>
  <c r="B339" i="3"/>
  <c r="AU339" i="3" s="1"/>
  <c r="B340" i="3"/>
  <c r="B341" i="3"/>
  <c r="B342" i="3"/>
  <c r="AZ342" i="3" s="1"/>
  <c r="B343" i="3"/>
  <c r="B344" i="3"/>
  <c r="B345" i="3"/>
  <c r="B346" i="3"/>
  <c r="B347" i="3"/>
  <c r="B348" i="3"/>
  <c r="AT348" i="3" s="1"/>
  <c r="B349" i="3"/>
  <c r="B350" i="3"/>
  <c r="AS350" i="3" s="1"/>
  <c r="B351" i="3"/>
  <c r="AX351" i="3" s="1"/>
  <c r="B352" i="3"/>
  <c r="AS352" i="3" s="1"/>
  <c r="B353" i="3"/>
  <c r="B354" i="3"/>
  <c r="AX354" i="3" s="1"/>
  <c r="B355" i="3"/>
  <c r="B356" i="3"/>
  <c r="B357" i="3"/>
  <c r="AX357" i="3" s="1"/>
  <c r="B358" i="3"/>
  <c r="BA358" i="3" s="1"/>
  <c r="B359" i="3"/>
  <c r="AR359" i="3" s="1"/>
  <c r="B360" i="3"/>
  <c r="BA360" i="3" s="1"/>
  <c r="B361" i="3"/>
  <c r="B362" i="3"/>
  <c r="AX362" i="3" s="1"/>
  <c r="B363" i="3"/>
  <c r="AS363" i="3" s="1"/>
  <c r="B364" i="3"/>
  <c r="B365" i="3"/>
  <c r="B366" i="3"/>
  <c r="AX366" i="3" s="1"/>
  <c r="B367" i="3"/>
  <c r="B368" i="3"/>
  <c r="AV368" i="3" s="1"/>
  <c r="B369" i="3"/>
  <c r="AY369" i="3" s="1"/>
  <c r="B370" i="3"/>
  <c r="B371" i="3"/>
  <c r="B372" i="3"/>
  <c r="B373" i="3"/>
  <c r="B374" i="3"/>
  <c r="B375" i="3"/>
  <c r="AU375" i="3" s="1"/>
  <c r="B376" i="3"/>
  <c r="AR376" i="3" s="1"/>
  <c r="B377" i="3"/>
  <c r="B378" i="3"/>
  <c r="B379" i="3"/>
  <c r="B380" i="3"/>
  <c r="B381" i="3"/>
  <c r="BA381" i="3" s="1"/>
  <c r="B382" i="3"/>
  <c r="BA382" i="3" s="1"/>
  <c r="B383" i="3"/>
  <c r="AY383" i="3" s="1"/>
  <c r="B384" i="3"/>
  <c r="AV384" i="3" s="1"/>
  <c r="B385" i="3"/>
  <c r="B386" i="3"/>
  <c r="B387" i="3"/>
  <c r="B388" i="3"/>
  <c r="B389" i="3"/>
  <c r="B390" i="3"/>
  <c r="B391" i="3"/>
  <c r="AY391" i="3" s="1"/>
  <c r="B392" i="3"/>
  <c r="AR392" i="3" s="1"/>
  <c r="B393" i="3"/>
  <c r="AS393" i="3" s="1"/>
  <c r="B394" i="3"/>
  <c r="B395" i="3"/>
  <c r="AW395" i="3" s="1"/>
  <c r="B396" i="3"/>
  <c r="B397" i="3"/>
  <c r="B398" i="3"/>
  <c r="AR398" i="3" s="1"/>
  <c r="B399" i="3"/>
  <c r="AU399" i="3" s="1"/>
  <c r="B400" i="3"/>
  <c r="AW400" i="3" s="1"/>
  <c r="B401" i="3"/>
  <c r="B402" i="3"/>
  <c r="AX402" i="3" s="1"/>
  <c r="B403" i="3"/>
  <c r="B404" i="3"/>
  <c r="AT404" i="3" s="1"/>
  <c r="B405" i="3"/>
  <c r="AY405" i="3" s="1"/>
  <c r="B406" i="3"/>
  <c r="BA406" i="3" s="1"/>
  <c r="B407" i="3"/>
  <c r="AY407" i="3" s="1"/>
  <c r="B408" i="3"/>
  <c r="B409" i="3"/>
  <c r="AR409" i="3" s="1"/>
  <c r="B410" i="3"/>
  <c r="B411" i="3"/>
  <c r="AU411" i="3" s="1"/>
  <c r="B412" i="3"/>
  <c r="B413" i="3"/>
  <c r="B414" i="3"/>
  <c r="AZ414" i="3" s="1"/>
  <c r="B415" i="3"/>
  <c r="AX415" i="3" s="1"/>
  <c r="B416" i="3"/>
  <c r="AU416" i="3" s="1"/>
  <c r="B417" i="3"/>
  <c r="AS417" i="3" s="1"/>
  <c r="B418" i="3"/>
  <c r="B419" i="3"/>
  <c r="B420" i="3"/>
  <c r="B421" i="3"/>
  <c r="B422" i="3"/>
  <c r="B423" i="3"/>
  <c r="B424" i="3"/>
  <c r="AW424" i="3" s="1"/>
  <c r="B425" i="3"/>
  <c r="B426" i="3"/>
  <c r="B427" i="3"/>
  <c r="B428" i="3"/>
  <c r="AW428" i="3" s="1"/>
  <c r="B429" i="3"/>
  <c r="AU429" i="3" s="1"/>
  <c r="B430" i="3"/>
  <c r="B431" i="3"/>
  <c r="AR431" i="3" s="1"/>
  <c r="B432" i="3"/>
  <c r="AU432" i="3" s="1"/>
  <c r="B433" i="3"/>
  <c r="B434" i="3"/>
  <c r="B435" i="3"/>
  <c r="AY435" i="3" s="1"/>
  <c r="B436" i="3"/>
  <c r="B437" i="3"/>
  <c r="B438" i="3"/>
  <c r="BA438" i="3" s="1"/>
  <c r="B439" i="3"/>
  <c r="B440" i="3"/>
  <c r="BA440" i="3" s="1"/>
  <c r="B441" i="3"/>
  <c r="B442" i="3"/>
  <c r="B443" i="3"/>
  <c r="B444" i="3"/>
  <c r="B445" i="3"/>
  <c r="AV445" i="3" s="1"/>
  <c r="B446" i="3"/>
  <c r="B447" i="3"/>
  <c r="B448" i="3"/>
  <c r="AV448" i="3" s="1"/>
  <c r="B449" i="3"/>
  <c r="AZ449" i="3" s="1"/>
  <c r="B450" i="3"/>
  <c r="AX450" i="3" s="1"/>
  <c r="B451" i="3"/>
  <c r="BA451" i="3" s="1"/>
  <c r="B452" i="3"/>
  <c r="B453" i="3"/>
  <c r="AS453" i="3" s="1"/>
  <c r="B454" i="3"/>
  <c r="B455" i="3"/>
  <c r="AV455" i="3" s="1"/>
  <c r="B456" i="3"/>
  <c r="AW456" i="3" s="1"/>
  <c r="B457" i="3"/>
  <c r="B458" i="3"/>
  <c r="B459" i="3"/>
  <c r="AX459" i="3" s="1"/>
  <c r="B460" i="3"/>
  <c r="B461" i="3"/>
  <c r="B462" i="3"/>
  <c r="AZ462" i="3" s="1"/>
  <c r="B463" i="3"/>
  <c r="B464" i="3"/>
  <c r="AS464" i="3" s="1"/>
  <c r="B465" i="3"/>
  <c r="AW465" i="3" s="1"/>
  <c r="B466" i="3"/>
  <c r="B467" i="3"/>
  <c r="B468" i="3"/>
  <c r="B469" i="3"/>
  <c r="AT469" i="3" s="1"/>
  <c r="B470" i="3"/>
  <c r="B471" i="3"/>
  <c r="AY471" i="3" s="1"/>
  <c r="B472" i="3"/>
  <c r="B473" i="3"/>
  <c r="B474" i="3"/>
  <c r="B475" i="3"/>
  <c r="B476" i="3"/>
  <c r="AX476" i="3" s="1"/>
  <c r="B477" i="3"/>
  <c r="AV477" i="3" s="1"/>
  <c r="B478" i="3"/>
  <c r="B479" i="3"/>
  <c r="B480" i="3"/>
  <c r="AW480" i="3" s="1"/>
  <c r="B481" i="3"/>
  <c r="BA481" i="3" s="1"/>
  <c r="B482" i="3"/>
  <c r="AS482" i="3" s="1"/>
  <c r="B483" i="3"/>
  <c r="AX483" i="3" s="1"/>
  <c r="B484" i="3"/>
  <c r="AV484" i="3" s="1"/>
  <c r="B485" i="3"/>
  <c r="B486" i="3"/>
  <c r="B487" i="3"/>
  <c r="AY487" i="3" s="1"/>
  <c r="B488" i="3"/>
  <c r="AU488" i="3" s="1"/>
  <c r="B489" i="3"/>
  <c r="B490" i="3"/>
  <c r="B491" i="3"/>
  <c r="B492" i="3"/>
  <c r="B493" i="3"/>
  <c r="AY493" i="3" s="1"/>
  <c r="B494" i="3"/>
  <c r="AS494" i="3" s="1"/>
  <c r="B495" i="3"/>
  <c r="AX495" i="3" s="1"/>
  <c r="B496" i="3"/>
  <c r="AY496" i="3" s="1"/>
  <c r="B497" i="3"/>
  <c r="B498" i="3"/>
  <c r="B499" i="3"/>
  <c r="B500" i="3"/>
  <c r="AU500" i="3" s="1"/>
  <c r="B501" i="3"/>
  <c r="AU501" i="3" s="1"/>
  <c r="B502" i="3"/>
  <c r="B503" i="3"/>
  <c r="B504" i="3"/>
  <c r="AV504" i="3" s="1"/>
  <c r="B505" i="3"/>
  <c r="B506" i="3"/>
  <c r="B507" i="3"/>
  <c r="AT507" i="3" s="1"/>
  <c r="B508" i="3"/>
  <c r="B509" i="3"/>
  <c r="AS509" i="3" s="1"/>
  <c r="B510" i="3"/>
  <c r="BA510" i="3" s="1"/>
  <c r="B511" i="3"/>
  <c r="AV511" i="3" s="1"/>
  <c r="B512" i="3"/>
  <c r="AV512" i="3" s="1"/>
  <c r="B513" i="3"/>
  <c r="AZ513" i="3" s="1"/>
  <c r="B514" i="3"/>
  <c r="AX514" i="3" s="1"/>
  <c r="B515" i="3"/>
  <c r="B516" i="3"/>
  <c r="B517" i="3"/>
  <c r="B518" i="3"/>
  <c r="B519" i="3"/>
  <c r="B520" i="3"/>
  <c r="AT520" i="3" s="1"/>
  <c r="B521" i="3"/>
  <c r="BA521" i="3" s="1"/>
  <c r="B522" i="3"/>
  <c r="AW522" i="3" s="1"/>
  <c r="B523" i="3"/>
  <c r="AZ523" i="3" s="1"/>
  <c r="B524" i="3"/>
  <c r="B525" i="3"/>
  <c r="AZ525" i="3" s="1"/>
  <c r="B526" i="3"/>
  <c r="AX526" i="3" s="1"/>
  <c r="B527" i="3"/>
  <c r="B528" i="3"/>
  <c r="AV528" i="3" s="1"/>
  <c r="B529" i="3"/>
  <c r="BA529" i="3" s="1"/>
  <c r="B530" i="3"/>
  <c r="B531" i="3"/>
  <c r="B532" i="3"/>
  <c r="B533" i="3"/>
  <c r="B534" i="3"/>
  <c r="B535" i="3"/>
  <c r="AV535" i="3" s="1"/>
  <c r="B536" i="3"/>
  <c r="AZ536" i="3" s="1"/>
  <c r="B537" i="3"/>
  <c r="AZ537" i="3" s="1"/>
  <c r="B538" i="3"/>
  <c r="B539" i="3"/>
  <c r="AS539" i="3" s="1"/>
  <c r="B540" i="3"/>
  <c r="AZ540" i="3" s="1"/>
  <c r="B541" i="3"/>
  <c r="AR541" i="3" s="1"/>
  <c r="B542" i="3"/>
  <c r="B543" i="3"/>
  <c r="B544" i="3"/>
  <c r="AR544" i="3" s="1"/>
  <c r="B545" i="3"/>
  <c r="B546" i="3"/>
  <c r="B547" i="3"/>
  <c r="B548" i="3"/>
  <c r="BA548" i="3" s="1"/>
  <c r="B549" i="3"/>
  <c r="AZ549" i="3" s="1"/>
  <c r="B550" i="3"/>
  <c r="B551" i="3"/>
  <c r="AW551" i="3" s="1"/>
  <c r="B552" i="3"/>
  <c r="AT552" i="3" s="1"/>
  <c r="B553" i="3"/>
  <c r="B554" i="3"/>
  <c r="AS554" i="3" s="1"/>
  <c r="B555" i="3"/>
  <c r="AV555" i="3" s="1"/>
  <c r="B556" i="3"/>
  <c r="BA556" i="3" s="1"/>
  <c r="B557" i="3"/>
  <c r="AU557" i="3" s="1"/>
  <c r="B558" i="3"/>
  <c r="AX558" i="3" s="1"/>
  <c r="B559" i="3"/>
  <c r="AW559" i="3" s="1"/>
  <c r="B560" i="3"/>
  <c r="AU560" i="3" s="1"/>
  <c r="B561" i="3"/>
  <c r="AW561" i="3" s="1"/>
  <c r="B562" i="3"/>
  <c r="B563" i="3"/>
  <c r="B564" i="3"/>
  <c r="AX564" i="3" s="1"/>
  <c r="B565" i="3"/>
  <c r="AW565" i="3" s="1"/>
  <c r="B566" i="3"/>
  <c r="BA566" i="3" s="1"/>
  <c r="B567" i="3"/>
  <c r="AV567" i="3" s="1"/>
  <c r="B568" i="3"/>
  <c r="AT568" i="3" s="1"/>
  <c r="B569" i="3"/>
  <c r="B570" i="3"/>
  <c r="B571" i="3"/>
  <c r="B572" i="3"/>
  <c r="AX572" i="3" s="1"/>
  <c r="B573" i="3"/>
  <c r="B574" i="3"/>
  <c r="B575" i="3"/>
  <c r="B576" i="3"/>
  <c r="B577" i="3"/>
  <c r="AT577" i="3" s="1"/>
  <c r="B578" i="3"/>
  <c r="B579" i="3"/>
  <c r="B580" i="3"/>
  <c r="B581" i="3"/>
  <c r="B582" i="3"/>
  <c r="AZ582" i="3" s="1"/>
  <c r="B583" i="3"/>
  <c r="AU583" i="3" s="1"/>
  <c r="B584" i="3"/>
  <c r="BA584" i="3" s="1"/>
  <c r="B585" i="3"/>
  <c r="AS585" i="3" s="1"/>
  <c r="B586" i="3"/>
  <c r="B587" i="3"/>
  <c r="B588" i="3"/>
  <c r="B589" i="3"/>
  <c r="B590" i="3"/>
  <c r="AR590" i="3" s="1"/>
  <c r="B591" i="3"/>
  <c r="AX591" i="3" s="1"/>
  <c r="B592" i="3"/>
  <c r="B593" i="3"/>
  <c r="B594" i="3"/>
  <c r="B595" i="3"/>
  <c r="AU595" i="3" s="1"/>
  <c r="B596" i="3"/>
  <c r="AW596" i="3" s="1"/>
  <c r="B597" i="3"/>
  <c r="BA597" i="3" s="1"/>
  <c r="B598" i="3"/>
  <c r="B599" i="3"/>
  <c r="AZ599" i="3" s="1"/>
  <c r="B600" i="3"/>
  <c r="AY600" i="3" s="1"/>
  <c r="B601" i="3"/>
  <c r="B602" i="3"/>
  <c r="B603" i="3"/>
  <c r="B604" i="3"/>
  <c r="AZ604" i="3" s="1"/>
  <c r="B605" i="3"/>
  <c r="AY605" i="3" s="1"/>
  <c r="B606" i="3"/>
  <c r="B607" i="3"/>
  <c r="B608" i="3"/>
  <c r="B609" i="3"/>
  <c r="BA609" i="3" s="1"/>
  <c r="B610" i="3"/>
  <c r="B611" i="3"/>
  <c r="B612" i="3"/>
  <c r="AY612" i="3" s="1"/>
  <c r="B613" i="3"/>
  <c r="B614" i="3"/>
  <c r="B615" i="3"/>
  <c r="AZ615" i="3" s="1"/>
  <c r="B616" i="3"/>
  <c r="AT616" i="3" s="1"/>
  <c r="B617" i="3"/>
  <c r="AZ617" i="3" s="1"/>
  <c r="B618" i="3"/>
  <c r="B619" i="3"/>
  <c r="AV619" i="3" s="1"/>
  <c r="B620" i="3"/>
  <c r="AR620" i="3" s="1"/>
  <c r="B621" i="3"/>
  <c r="AX621" i="3" s="1"/>
  <c r="B622" i="3"/>
  <c r="B623" i="3"/>
  <c r="AW623" i="3" s="1"/>
  <c r="B624" i="3"/>
  <c r="AW624" i="3" s="1"/>
  <c r="B625" i="3"/>
  <c r="B626" i="3"/>
  <c r="B627" i="3"/>
  <c r="AV627" i="3" s="1"/>
  <c r="B628" i="3"/>
  <c r="B629" i="3"/>
  <c r="AX629" i="3" s="1"/>
  <c r="B630" i="3"/>
  <c r="B631" i="3"/>
  <c r="AW631" i="3" s="1"/>
  <c r="B632" i="3"/>
  <c r="B633" i="3"/>
  <c r="B634" i="3"/>
  <c r="B635" i="3"/>
  <c r="AX635" i="3" s="1"/>
  <c r="B636" i="3"/>
  <c r="B637" i="3"/>
  <c r="B638" i="3"/>
  <c r="AZ638" i="3" s="1"/>
  <c r="B639" i="3"/>
  <c r="AZ639" i="3" s="1"/>
  <c r="B640" i="3"/>
  <c r="B641" i="3"/>
  <c r="B642" i="3"/>
  <c r="B643" i="3"/>
  <c r="B644" i="3"/>
  <c r="B645" i="3"/>
  <c r="B646" i="3"/>
  <c r="B647" i="3"/>
  <c r="B648" i="3"/>
  <c r="AX648" i="3" s="1"/>
  <c r="B649" i="3"/>
  <c r="B650" i="3"/>
  <c r="B651" i="3"/>
  <c r="B652" i="3"/>
  <c r="AT652" i="3" s="1"/>
  <c r="B653" i="3"/>
  <c r="AT653" i="3" s="1"/>
  <c r="B654" i="3"/>
  <c r="B655" i="3"/>
  <c r="AX655" i="3" s="1"/>
  <c r="B656" i="3"/>
  <c r="BA656" i="3" s="1"/>
  <c r="B657" i="3"/>
  <c r="B658" i="3"/>
  <c r="B659" i="3"/>
  <c r="AU659" i="3" s="1"/>
  <c r="B660" i="3"/>
  <c r="B661" i="3"/>
  <c r="AW661" i="3" s="1"/>
  <c r="B662" i="3"/>
  <c r="AZ662" i="3" s="1"/>
  <c r="B663" i="3"/>
  <c r="B664" i="3"/>
  <c r="AY664" i="3" s="1"/>
  <c r="B665" i="3"/>
  <c r="B666" i="3"/>
  <c r="B667" i="3"/>
  <c r="AT667" i="3" s="1"/>
  <c r="B668" i="3"/>
  <c r="B669" i="3"/>
  <c r="B670" i="3"/>
  <c r="B671" i="3"/>
  <c r="B672" i="3"/>
  <c r="B673" i="3"/>
  <c r="B674" i="3"/>
  <c r="B675" i="3"/>
  <c r="B676" i="3"/>
  <c r="B677" i="3"/>
  <c r="AS677" i="3" s="1"/>
  <c r="B678" i="3"/>
  <c r="B679" i="3"/>
  <c r="B680" i="3"/>
  <c r="AS680" i="3" s="1"/>
  <c r="B681" i="3"/>
  <c r="B682" i="3"/>
  <c r="B683" i="3"/>
  <c r="AY683" i="3" s="1"/>
  <c r="B684" i="3"/>
  <c r="AV684" i="3" s="1"/>
  <c r="B685" i="3"/>
  <c r="AT685" i="3" s="1"/>
  <c r="B686" i="3"/>
  <c r="B687" i="3"/>
  <c r="B688" i="3"/>
  <c r="AW688" i="3" s="1"/>
  <c r="B689" i="3"/>
  <c r="AX689" i="3" s="1"/>
  <c r="B690" i="3"/>
  <c r="B691" i="3"/>
  <c r="AU691" i="3" s="1"/>
  <c r="B692" i="3"/>
  <c r="B693" i="3"/>
  <c r="B694" i="3"/>
  <c r="AV694" i="3" s="1"/>
  <c r="B695" i="3"/>
  <c r="AT695" i="3" s="1"/>
  <c r="B696" i="3"/>
  <c r="B697" i="3"/>
  <c r="B698" i="3"/>
  <c r="B699" i="3"/>
  <c r="AR699" i="3" s="1"/>
  <c r="B700" i="3"/>
  <c r="B701" i="3"/>
  <c r="B702" i="3"/>
  <c r="AY702" i="3" s="1"/>
  <c r="B703" i="3"/>
  <c r="B704" i="3"/>
  <c r="B705" i="3"/>
  <c r="BA705" i="3" s="1"/>
  <c r="B706" i="3"/>
  <c r="B707" i="3"/>
  <c r="AU707" i="3" s="1"/>
  <c r="B708" i="3"/>
  <c r="B709" i="3"/>
  <c r="AU709" i="3" s="1"/>
  <c r="B710" i="3"/>
  <c r="B711" i="3"/>
  <c r="B712" i="3"/>
  <c r="BA712" i="3" s="1"/>
  <c r="B713" i="3"/>
  <c r="B714" i="3"/>
  <c r="B715" i="3"/>
  <c r="AU715" i="3" s="1"/>
  <c r="B716" i="3"/>
  <c r="B717" i="3"/>
  <c r="B718" i="3"/>
  <c r="AR718" i="3" s="1"/>
  <c r="B719" i="3"/>
  <c r="AV719" i="3" s="1"/>
  <c r="B720" i="3"/>
  <c r="B721" i="3"/>
  <c r="AV721" i="3" s="1"/>
  <c r="B722" i="3"/>
  <c r="B723" i="3"/>
  <c r="B724" i="3"/>
  <c r="B725" i="3"/>
  <c r="AT725" i="3" s="1"/>
  <c r="B726" i="3"/>
  <c r="AT726" i="3" s="1"/>
  <c r="B727" i="3"/>
  <c r="AR727" i="3" s="1"/>
  <c r="B728" i="3"/>
  <c r="B729" i="3"/>
  <c r="B730" i="3"/>
  <c r="B731" i="3"/>
  <c r="AV731" i="3" s="1"/>
  <c r="B732" i="3"/>
  <c r="B733" i="3"/>
  <c r="AZ733" i="3" s="1"/>
  <c r="B734" i="3"/>
  <c r="AZ734" i="3" s="1"/>
  <c r="B735" i="3"/>
  <c r="B736" i="3"/>
  <c r="BA736" i="3" s="1"/>
  <c r="B737" i="3"/>
  <c r="B738" i="3"/>
  <c r="AZ738" i="3" s="1"/>
  <c r="B739" i="3"/>
  <c r="B740" i="3"/>
  <c r="AR740" i="3" s="1"/>
  <c r="B741" i="3"/>
  <c r="B742" i="3"/>
  <c r="B743" i="3"/>
  <c r="B744" i="3"/>
  <c r="AX744" i="3" s="1"/>
  <c r="B745" i="3"/>
  <c r="AU745" i="3" s="1"/>
  <c r="B746" i="3"/>
  <c r="B747" i="3"/>
  <c r="B748" i="3"/>
  <c r="B749" i="3"/>
  <c r="AT749" i="3" s="1"/>
  <c r="B750" i="3"/>
  <c r="AR750" i="3" s="1"/>
  <c r="B751" i="3"/>
  <c r="AT751" i="3" s="1"/>
  <c r="B752" i="3"/>
  <c r="AS752" i="3" s="1"/>
  <c r="B753" i="3"/>
  <c r="AW753" i="3" s="1"/>
  <c r="B754" i="3"/>
  <c r="B755" i="3"/>
  <c r="B756" i="3"/>
  <c r="B757" i="3"/>
  <c r="AY757" i="3" s="1"/>
  <c r="B758" i="3"/>
  <c r="B759" i="3"/>
  <c r="AY759" i="3" s="1"/>
  <c r="B760" i="3"/>
  <c r="AS760" i="3" s="1"/>
  <c r="B761" i="3"/>
  <c r="B762" i="3"/>
  <c r="B763" i="3"/>
  <c r="AR763" i="3" s="1"/>
  <c r="B764" i="3"/>
  <c r="B765" i="3"/>
  <c r="B766" i="3"/>
  <c r="AX766" i="3" s="1"/>
  <c r="B767" i="3"/>
  <c r="B768" i="3"/>
  <c r="AR768" i="3" s="1"/>
  <c r="B769" i="3"/>
  <c r="B770" i="3"/>
  <c r="B771" i="3"/>
  <c r="AT771" i="3" s="1"/>
  <c r="B772" i="3"/>
  <c r="B773" i="3"/>
  <c r="AV773" i="3" s="1"/>
  <c r="B774" i="3"/>
  <c r="B775" i="3"/>
  <c r="AV775" i="3" s="1"/>
  <c r="B776" i="3"/>
  <c r="AS776" i="3" s="1"/>
  <c r="B777" i="3"/>
  <c r="B778" i="3"/>
  <c r="B779" i="3"/>
  <c r="AX779" i="3" s="1"/>
  <c r="B780" i="3"/>
  <c r="B781" i="3"/>
  <c r="BA781" i="3" s="1"/>
  <c r="B782" i="3"/>
  <c r="AV782" i="3" s="1"/>
  <c r="B783" i="3"/>
  <c r="AY783" i="3" s="1"/>
  <c r="B784" i="3"/>
  <c r="B785" i="3"/>
  <c r="B786" i="3"/>
  <c r="B787" i="3"/>
  <c r="AW787" i="3" s="1"/>
  <c r="B788" i="3"/>
  <c r="B789" i="3"/>
  <c r="B790" i="3"/>
  <c r="AU790" i="3" s="1"/>
  <c r="B791" i="3"/>
  <c r="B792" i="3"/>
  <c r="B793" i="3"/>
  <c r="B794" i="3"/>
  <c r="B795" i="3"/>
  <c r="AU795" i="3" s="1"/>
  <c r="B796" i="3"/>
  <c r="B797" i="3"/>
  <c r="AS797" i="3" s="1"/>
  <c r="B798" i="3"/>
  <c r="B799" i="3"/>
  <c r="B800" i="3"/>
  <c r="AT800" i="3" s="1"/>
  <c r="B801" i="3"/>
  <c r="AY801" i="3" s="1"/>
  <c r="B802" i="3"/>
  <c r="B803" i="3"/>
  <c r="B804" i="3"/>
  <c r="B805" i="3"/>
  <c r="AW805" i="3" s="1"/>
  <c r="B806" i="3"/>
  <c r="AR806" i="3" s="1"/>
  <c r="B807" i="3"/>
  <c r="AV807" i="3" s="1"/>
  <c r="B808" i="3"/>
  <c r="B809" i="3"/>
  <c r="B810" i="3"/>
  <c r="B811" i="3"/>
  <c r="AS811" i="3" s="1"/>
  <c r="B812" i="3"/>
  <c r="AZ812" i="3" s="1"/>
  <c r="B813" i="3"/>
  <c r="AS813" i="3" s="1"/>
  <c r="B814" i="3"/>
  <c r="B815" i="3"/>
  <c r="AR815" i="3" s="1"/>
  <c r="B816" i="3"/>
  <c r="B817" i="3"/>
  <c r="B818" i="3"/>
  <c r="AS818" i="3" s="1"/>
  <c r="B819" i="3"/>
  <c r="B820" i="3"/>
  <c r="B821" i="3"/>
  <c r="AV821" i="3" s="1"/>
  <c r="B822" i="3"/>
  <c r="BA822" i="3" s="1"/>
  <c r="B823" i="3"/>
  <c r="BA823" i="3" s="1"/>
  <c r="B824" i="3"/>
  <c r="B825" i="3"/>
  <c r="B826" i="3"/>
  <c r="B827" i="3"/>
  <c r="B828" i="3"/>
  <c r="B829" i="3"/>
  <c r="B830" i="3"/>
  <c r="B831" i="3"/>
  <c r="AZ831" i="3" s="1"/>
  <c r="B832" i="3"/>
  <c r="AV832" i="3" s="1"/>
  <c r="B833" i="3"/>
  <c r="AS833" i="3" s="1"/>
  <c r="B834" i="3"/>
  <c r="B835" i="3"/>
  <c r="AU835" i="3" s="1"/>
  <c r="B836" i="3"/>
  <c r="B837" i="3"/>
  <c r="B838" i="3"/>
  <c r="AW838" i="3" s="1"/>
  <c r="B839" i="3"/>
  <c r="B840" i="3"/>
  <c r="AR840" i="3" s="1"/>
  <c r="B841" i="3"/>
  <c r="B842" i="3"/>
  <c r="B843" i="3"/>
  <c r="B844" i="3"/>
  <c r="B845" i="3"/>
  <c r="B846" i="3"/>
  <c r="B847" i="3"/>
  <c r="AX847" i="3" s="1"/>
  <c r="B848" i="3"/>
  <c r="AU848" i="3" s="1"/>
  <c r="B849" i="3"/>
  <c r="B850" i="3"/>
  <c r="B851" i="3"/>
  <c r="B852" i="3"/>
  <c r="B853" i="3"/>
  <c r="B854" i="3"/>
  <c r="AS854" i="3" s="1"/>
  <c r="B855" i="3"/>
  <c r="B856" i="3"/>
  <c r="B857" i="3"/>
  <c r="AS857" i="3" s="1"/>
  <c r="B858" i="3"/>
  <c r="B859" i="3"/>
  <c r="AU859" i="3" s="1"/>
  <c r="B860" i="3"/>
  <c r="B861" i="3"/>
  <c r="B862" i="3"/>
  <c r="AW862" i="3" s="1"/>
  <c r="B863" i="3"/>
  <c r="B864" i="3"/>
  <c r="AR864" i="3" s="1"/>
  <c r="B865" i="3"/>
  <c r="B866" i="3"/>
  <c r="BA866" i="3" s="1"/>
  <c r="B867" i="3"/>
  <c r="AV867" i="3" s="1"/>
  <c r="B868" i="3"/>
  <c r="B869" i="3"/>
  <c r="BA869" i="3" s="1"/>
  <c r="B870" i="3"/>
  <c r="AR870" i="3" s="1"/>
  <c r="B871" i="3"/>
  <c r="AS871" i="3" s="1"/>
  <c r="B872" i="3"/>
  <c r="AZ872" i="3" s="1"/>
  <c r="B873" i="3"/>
  <c r="AR873" i="3" s="1"/>
  <c r="B874" i="3"/>
  <c r="B875" i="3"/>
  <c r="B876" i="3"/>
  <c r="B877" i="3"/>
  <c r="B878" i="3"/>
  <c r="AT878" i="3" s="1"/>
  <c r="B879" i="3"/>
  <c r="B880" i="3"/>
  <c r="B881" i="3"/>
  <c r="B882" i="3"/>
  <c r="AZ882" i="3" s="1"/>
  <c r="B883" i="3"/>
  <c r="B884" i="3"/>
  <c r="B885" i="3"/>
  <c r="B886" i="3"/>
  <c r="B887" i="3"/>
  <c r="B888" i="3"/>
  <c r="B889" i="3"/>
  <c r="B890" i="3"/>
  <c r="B891" i="3"/>
  <c r="BA891" i="3" s="1"/>
  <c r="B892" i="3"/>
  <c r="AW892" i="3" s="1"/>
  <c r="B893" i="3"/>
  <c r="AS893" i="3" s="1"/>
  <c r="B894" i="3"/>
  <c r="B895" i="3"/>
  <c r="B896" i="3"/>
  <c r="BA896" i="3" s="1"/>
  <c r="B897" i="3"/>
  <c r="B898" i="3"/>
  <c r="AZ898" i="3" s="1"/>
  <c r="B899" i="3"/>
  <c r="B900" i="3"/>
  <c r="BA900" i="3" s="1"/>
  <c r="B901" i="3"/>
  <c r="AV901" i="3" s="1"/>
  <c r="B902" i="3"/>
  <c r="AW902" i="3" s="1"/>
  <c r="B903" i="3"/>
  <c r="AV903" i="3" s="1"/>
  <c r="B904" i="3"/>
  <c r="AU904" i="3" s="1"/>
  <c r="B905" i="3"/>
  <c r="B906" i="3"/>
  <c r="AZ906" i="3" s="1"/>
  <c r="B907" i="3"/>
  <c r="B908" i="3"/>
  <c r="B909" i="3"/>
  <c r="AU909" i="3" s="1"/>
  <c r="B910" i="3"/>
  <c r="B911" i="3"/>
  <c r="B912" i="3"/>
  <c r="AU912" i="3" s="1"/>
  <c r="B913" i="3"/>
  <c r="B914" i="3"/>
  <c r="B915" i="3"/>
  <c r="B916" i="3"/>
  <c r="B917" i="3"/>
  <c r="AR917" i="3" s="1"/>
  <c r="B918" i="3"/>
  <c r="AW918" i="3" s="1"/>
  <c r="B919" i="3"/>
  <c r="B920" i="3"/>
  <c r="AS920" i="3" s="1"/>
  <c r="B921" i="3"/>
  <c r="B922" i="3"/>
  <c r="B923" i="3"/>
  <c r="AZ923" i="3" s="1"/>
  <c r="B924" i="3"/>
  <c r="B925" i="3"/>
  <c r="B926" i="3"/>
  <c r="AS926" i="3" s="1"/>
  <c r="B927" i="3"/>
  <c r="AS927" i="3" s="1"/>
  <c r="B928" i="3"/>
  <c r="AW928" i="3" s="1"/>
  <c r="B929" i="3"/>
  <c r="AZ929" i="3" s="1"/>
  <c r="B930" i="3"/>
  <c r="AX930" i="3" s="1"/>
  <c r="B931" i="3"/>
  <c r="AY931" i="3" s="1"/>
  <c r="B932" i="3"/>
  <c r="B933" i="3"/>
  <c r="AU933" i="3" s="1"/>
  <c r="B934" i="3"/>
  <c r="AY934" i="3" s="1"/>
  <c r="B935" i="3"/>
  <c r="AZ935" i="3" s="1"/>
  <c r="B936" i="3"/>
  <c r="AU936" i="3" s="1"/>
  <c r="B937" i="3"/>
  <c r="AW937" i="3" s="1"/>
  <c r="B938" i="3"/>
  <c r="B939" i="3"/>
  <c r="AS939" i="3" s="1"/>
  <c r="B940" i="3"/>
  <c r="B941" i="3"/>
  <c r="B942" i="3"/>
  <c r="B943" i="3"/>
  <c r="AS943" i="3" s="1"/>
  <c r="B944" i="3"/>
  <c r="AW944" i="3" s="1"/>
  <c r="B945" i="3"/>
  <c r="AU945" i="3" s="1"/>
  <c r="B946" i="3"/>
  <c r="B947" i="3"/>
  <c r="AZ947" i="3" s="1"/>
  <c r="B948" i="3"/>
  <c r="B949" i="3"/>
  <c r="B950" i="3"/>
  <c r="AX950" i="3" s="1"/>
  <c r="B951" i="3"/>
  <c r="B952" i="3"/>
  <c r="AS952" i="3" s="1"/>
  <c r="B953" i="3"/>
  <c r="B954" i="3"/>
  <c r="B955" i="3"/>
  <c r="AT955" i="3" s="1"/>
  <c r="B956" i="3"/>
  <c r="B957" i="3"/>
  <c r="AW957" i="3" s="1"/>
  <c r="B958" i="3"/>
  <c r="AU958" i="3" s="1"/>
  <c r="B959" i="3"/>
  <c r="B960" i="3"/>
  <c r="AW960" i="3" s="1"/>
  <c r="B961" i="3"/>
  <c r="B962" i="3"/>
  <c r="B963" i="3"/>
  <c r="B964" i="3"/>
  <c r="B965" i="3"/>
  <c r="B966" i="3"/>
  <c r="B967" i="3"/>
  <c r="AX967" i="3" s="1"/>
  <c r="B968" i="3"/>
  <c r="AU968" i="3" s="1"/>
  <c r="B969" i="3"/>
  <c r="AX969" i="3" s="1"/>
  <c r="B970" i="3"/>
  <c r="B971" i="3"/>
  <c r="BA971" i="3" s="1"/>
  <c r="B972" i="3"/>
  <c r="B973" i="3"/>
  <c r="B974" i="3"/>
  <c r="AZ974" i="3" s="1"/>
  <c r="B975" i="3"/>
  <c r="AY975" i="3" s="1"/>
  <c r="B976" i="3"/>
  <c r="AT976" i="3" s="1"/>
  <c r="B977" i="3"/>
  <c r="AZ977" i="3" s="1"/>
  <c r="B978" i="3"/>
  <c r="AR978" i="3" s="1"/>
  <c r="B979" i="3"/>
  <c r="B980" i="3"/>
  <c r="AS980" i="3" s="1"/>
  <c r="B981" i="3"/>
  <c r="B982" i="3"/>
  <c r="AZ982" i="3" s="1"/>
  <c r="B983" i="3"/>
  <c r="AU983" i="3" s="1"/>
  <c r="B984" i="3"/>
  <c r="AZ984" i="3" s="1"/>
  <c r="B985" i="3"/>
  <c r="AS985" i="3" s="1"/>
  <c r="B986" i="3"/>
  <c r="B987" i="3"/>
  <c r="AR987" i="3" s="1"/>
  <c r="B988" i="3"/>
  <c r="B989" i="3"/>
  <c r="B990" i="3"/>
  <c r="AX990" i="3" s="1"/>
  <c r="B991" i="3"/>
  <c r="AX991" i="3" s="1"/>
  <c r="B992" i="3"/>
  <c r="BA992" i="3" s="1"/>
  <c r="B993" i="3"/>
  <c r="B994" i="3"/>
  <c r="B995" i="3"/>
  <c r="AR995" i="3" s="1"/>
  <c r="B996" i="3"/>
  <c r="B997" i="3"/>
  <c r="AX997" i="3" s="1"/>
  <c r="B998" i="3"/>
  <c r="AZ998" i="3" s="1"/>
  <c r="B999" i="3"/>
  <c r="AU999" i="3" s="1"/>
  <c r="B1000" i="3"/>
  <c r="B1001" i="3"/>
  <c r="B1002" i="3"/>
  <c r="AY1002" i="3" s="1"/>
  <c r="B1003" i="3"/>
  <c r="AZ1003" i="3" s="1"/>
  <c r="B1004" i="3"/>
  <c r="AV1004" i="3" s="1"/>
  <c r="B1005" i="3"/>
  <c r="AS1005" i="3" s="1"/>
  <c r="B1006" i="3"/>
  <c r="AS1006" i="3" s="1"/>
  <c r="B1007" i="3"/>
  <c r="AW1007" i="3" s="1"/>
  <c r="B1008" i="3"/>
  <c r="AY1008" i="3" s="1"/>
  <c r="B1009" i="3"/>
  <c r="B1010" i="3"/>
  <c r="B1011" i="3"/>
  <c r="B1012" i="3"/>
  <c r="BA1012" i="3" s="1"/>
  <c r="B1013" i="3"/>
  <c r="BA1013" i="3" s="1"/>
  <c r="B1014" i="3"/>
  <c r="AS1014" i="3" s="1"/>
  <c r="B1015" i="3"/>
  <c r="AR1015" i="3" s="1"/>
  <c r="B1016" i="3"/>
  <c r="AX1016" i="3" s="1"/>
  <c r="B1017" i="3"/>
  <c r="B1018" i="3"/>
  <c r="B1019" i="3"/>
  <c r="B1020" i="3"/>
  <c r="B1021" i="3"/>
  <c r="B1022" i="3"/>
  <c r="B1023" i="3"/>
  <c r="AY1023" i="3" s="1"/>
  <c r="B1024" i="3"/>
  <c r="AX1024" i="3" s="1"/>
  <c r="B1025" i="3"/>
  <c r="AW1025" i="3" s="1"/>
  <c r="B1026" i="3"/>
  <c r="B1027" i="3"/>
  <c r="AX1027" i="3" s="1"/>
  <c r="B1028" i="3"/>
  <c r="B1029" i="3"/>
  <c r="B1030" i="3"/>
  <c r="AW1030" i="3" s="1"/>
  <c r="B1031" i="3"/>
  <c r="B1032" i="3"/>
  <c r="AX1032" i="3" s="1"/>
  <c r="B1033" i="3"/>
  <c r="B1034" i="3"/>
  <c r="AY1034" i="3" s="1"/>
  <c r="B1035" i="3"/>
  <c r="BA1035" i="3" s="1"/>
  <c r="B1036" i="3"/>
  <c r="B1037" i="3"/>
  <c r="B1038" i="3"/>
  <c r="AT1038" i="3" s="1"/>
  <c r="B1039" i="3"/>
  <c r="AR1039" i="3" s="1"/>
  <c r="B1040" i="3"/>
  <c r="AS1040" i="3" s="1"/>
  <c r="B1041" i="3"/>
  <c r="B1042" i="3"/>
  <c r="B1043" i="3"/>
  <c r="AW1043" i="3" s="1"/>
  <c r="B1044" i="3"/>
  <c r="B1045" i="3"/>
  <c r="BA1045" i="3" s="1"/>
  <c r="B1046" i="3"/>
  <c r="B1047" i="3"/>
  <c r="AS1047" i="3" s="1"/>
  <c r="B1048" i="3"/>
  <c r="AT1048" i="3" s="1"/>
  <c r="B1049" i="3"/>
  <c r="B1050" i="3"/>
  <c r="AU1050" i="3" s="1"/>
  <c r="B1051" i="3"/>
  <c r="B1052" i="3"/>
  <c r="AY1052" i="3" s="1"/>
  <c r="B1053" i="3"/>
  <c r="AV1053" i="3" s="1"/>
  <c r="B1054" i="3"/>
  <c r="AU1054" i="3" s="1"/>
  <c r="B1055" i="3"/>
  <c r="AR1055" i="3" s="1"/>
  <c r="B1056" i="3"/>
  <c r="AX1056" i="3" s="1"/>
  <c r="B1057" i="3"/>
  <c r="AW1057" i="3" s="1"/>
  <c r="B1058" i="3"/>
  <c r="AV1058" i="3" s="1"/>
  <c r="B1059" i="3"/>
  <c r="B1060" i="3"/>
  <c r="B1061" i="3"/>
  <c r="B1062" i="3"/>
  <c r="AY1062" i="3" s="1"/>
  <c r="B1063" i="3"/>
  <c r="AW1063" i="3" s="1"/>
  <c r="B1064" i="3"/>
  <c r="B1065" i="3"/>
  <c r="B1066" i="3"/>
  <c r="AX1066" i="3" s="1"/>
  <c r="B1067" i="3"/>
  <c r="AS1067" i="3" s="1"/>
  <c r="B1068" i="3"/>
  <c r="B1069" i="3"/>
  <c r="AS1069" i="3" s="1"/>
  <c r="B1070" i="3"/>
  <c r="AS1070" i="3" s="1"/>
  <c r="B1071" i="3"/>
  <c r="BA1071" i="3" s="1"/>
  <c r="B1072" i="3"/>
  <c r="B1073" i="3"/>
  <c r="AY1073" i="3" s="1"/>
  <c r="B1074" i="3"/>
  <c r="AW1074" i="3" s="1"/>
  <c r="B1075" i="3"/>
  <c r="AY1075" i="3" s="1"/>
  <c r="B1076" i="3"/>
  <c r="B1077" i="3"/>
  <c r="B1078" i="3"/>
  <c r="B1079" i="3"/>
  <c r="AW1079" i="3" s="1"/>
  <c r="B1080" i="3"/>
  <c r="AV1080" i="3" s="1"/>
  <c r="B1081" i="3"/>
  <c r="B1082" i="3"/>
  <c r="AS1082" i="3" s="1"/>
  <c r="B1083" i="3"/>
  <c r="AT1083" i="3" s="1"/>
  <c r="B1084" i="3"/>
  <c r="AR1084" i="3" s="1"/>
  <c r="B1085" i="3"/>
  <c r="B1086" i="3"/>
  <c r="AV1086" i="3" s="1"/>
  <c r="B1087" i="3"/>
  <c r="AS1087" i="3" s="1"/>
  <c r="B1088" i="3"/>
  <c r="AS1088" i="3" s="1"/>
  <c r="B1089" i="3"/>
  <c r="AY1089" i="3" s="1"/>
  <c r="B1090" i="3"/>
  <c r="AT1090" i="3" s="1"/>
  <c r="B1091" i="3"/>
  <c r="BA1091" i="3" s="1"/>
  <c r="B1092" i="3"/>
  <c r="AU1092" i="3" s="1"/>
  <c r="B1093" i="3"/>
  <c r="BA1093" i="3" s="1"/>
  <c r="B1094" i="3"/>
  <c r="AV1094" i="3" s="1"/>
  <c r="B1095" i="3"/>
  <c r="AU1095" i="3" s="1"/>
  <c r="B1096" i="3"/>
  <c r="AU1096" i="3" s="1"/>
  <c r="B1097" i="3"/>
  <c r="BA1097" i="3" s="1"/>
  <c r="B1098" i="3"/>
  <c r="AU1098" i="3" s="1"/>
  <c r="B1099" i="3"/>
  <c r="AX1099" i="3" s="1"/>
  <c r="B1100" i="3"/>
  <c r="AU1100" i="3" s="1"/>
  <c r="B1101" i="3"/>
  <c r="B1102" i="3"/>
  <c r="AV1102" i="3" s="1"/>
  <c r="B1103" i="3"/>
  <c r="AY1103" i="3" s="1"/>
  <c r="B1104" i="3"/>
  <c r="AS1104" i="3" s="1"/>
  <c r="B1105" i="3"/>
  <c r="AY1105" i="3" s="1"/>
  <c r="B1106" i="3"/>
  <c r="AV1106" i="3" s="1"/>
  <c r="B1107" i="3"/>
  <c r="AW1107" i="3" s="1"/>
  <c r="B1108" i="3"/>
  <c r="B1109" i="3"/>
  <c r="B1110" i="3"/>
  <c r="AZ1110" i="3" s="1"/>
  <c r="B1111" i="3"/>
  <c r="AS1111" i="3" s="1"/>
  <c r="B1112" i="3"/>
  <c r="B1113" i="3"/>
  <c r="BA1113" i="3" s="1"/>
  <c r="B1114" i="3"/>
  <c r="AW1114" i="3" s="1"/>
  <c r="B1115" i="3"/>
  <c r="B1116" i="3"/>
  <c r="B1117" i="3"/>
  <c r="AW1117" i="3" s="1"/>
  <c r="B1118" i="3"/>
  <c r="AX1118" i="3" s="1"/>
  <c r="B1119" i="3"/>
  <c r="AT1119" i="3" s="1"/>
  <c r="B1120" i="3"/>
  <c r="AX1120" i="3" s="1"/>
  <c r="B1121" i="3"/>
  <c r="AY1121" i="3" s="1"/>
  <c r="B1122" i="3"/>
  <c r="AX1122" i="3" s="1"/>
  <c r="B1123" i="3"/>
  <c r="AX1123" i="3" s="1"/>
  <c r="B1124" i="3"/>
  <c r="AS1124" i="3" s="1"/>
  <c r="B1125" i="3"/>
  <c r="AR1125" i="3" s="1"/>
  <c r="B1126" i="3"/>
  <c r="B1127" i="3"/>
  <c r="AZ1127" i="3" s="1"/>
  <c r="B1128" i="3"/>
  <c r="B1129" i="3"/>
  <c r="BA1129" i="3" s="1"/>
  <c r="B1130" i="3"/>
  <c r="AY1130" i="3" s="1"/>
  <c r="B1131" i="3"/>
  <c r="AX1131" i="3" s="1"/>
  <c r="B1132" i="3"/>
  <c r="B1133" i="3"/>
  <c r="AX1133" i="3" s="1"/>
  <c r="B1134" i="3"/>
  <c r="AS1134" i="3" s="1"/>
  <c r="B1135" i="3"/>
  <c r="BA1135" i="3" s="1"/>
  <c r="B1136" i="3"/>
  <c r="AS1136" i="3" s="1"/>
  <c r="B1137" i="3"/>
  <c r="AY1137" i="3" s="1"/>
  <c r="B1138" i="3"/>
  <c r="AR1138" i="3" s="1"/>
  <c r="B1139" i="3"/>
  <c r="AY1139" i="3" s="1"/>
  <c r="B1140" i="3"/>
  <c r="B1141" i="3"/>
  <c r="B1142" i="3"/>
  <c r="AW1142" i="3" s="1"/>
  <c r="B1143" i="3"/>
  <c r="AT1143" i="3" s="1"/>
  <c r="B1144" i="3"/>
  <c r="B1145" i="3"/>
  <c r="BA1145" i="3" s="1"/>
  <c r="B1146" i="3"/>
  <c r="B1147" i="3"/>
  <c r="B1148" i="3"/>
  <c r="AT1148" i="3" s="1"/>
  <c r="B1149" i="3"/>
  <c r="B1150" i="3"/>
  <c r="BA1150" i="3" s="1"/>
  <c r="B1151" i="3"/>
  <c r="AV1151" i="3" s="1"/>
  <c r="B1152" i="3"/>
  <c r="BA1152" i="3" s="1"/>
  <c r="B1153" i="3"/>
  <c r="AX1153" i="3" s="1"/>
  <c r="B1154" i="3"/>
  <c r="AT1154" i="3" s="1"/>
  <c r="B1155" i="3"/>
  <c r="AR1155" i="3" s="1"/>
  <c r="B1156" i="3"/>
  <c r="AS1156" i="3" s="1"/>
  <c r="B1157" i="3"/>
  <c r="AZ1157" i="3" s="1"/>
  <c r="B1158" i="3"/>
  <c r="AW1158" i="3" s="1"/>
  <c r="B1159" i="3"/>
  <c r="B1160" i="3"/>
  <c r="AS1160" i="3" s="1"/>
  <c r="B1161" i="3"/>
  <c r="AY1161" i="3" s="1"/>
  <c r="B1162" i="3"/>
  <c r="AU1162" i="3" s="1"/>
  <c r="B1163" i="3"/>
  <c r="BA1163" i="3" s="1"/>
  <c r="B1164" i="3"/>
  <c r="AS1164" i="3" s="1"/>
  <c r="B1165" i="3"/>
  <c r="B1166" i="3"/>
  <c r="AS1166" i="3" s="1"/>
  <c r="B1167" i="3"/>
  <c r="AY1167" i="3" s="1"/>
  <c r="B1168" i="3"/>
  <c r="AT1168" i="3" s="1"/>
  <c r="B1169" i="3"/>
  <c r="AZ1169" i="3" s="1"/>
  <c r="B1170" i="3"/>
  <c r="AV1170" i="3" s="1"/>
  <c r="B1171" i="3"/>
  <c r="AR1171" i="3" s="1"/>
  <c r="B1172" i="3"/>
  <c r="B1173" i="3"/>
  <c r="AS1173" i="3" s="1"/>
  <c r="B1174" i="3"/>
  <c r="AR1174" i="3" s="1"/>
  <c r="B1175" i="3"/>
  <c r="AV1175" i="3" s="1"/>
  <c r="B1176" i="3"/>
  <c r="B1177" i="3"/>
  <c r="AW1177" i="3" s="1"/>
  <c r="B1178" i="3"/>
  <c r="AW1178" i="3" s="1"/>
  <c r="B1179" i="3"/>
  <c r="AR1179" i="3" s="1"/>
  <c r="B1180" i="3"/>
  <c r="B1181" i="3"/>
  <c r="B1182" i="3"/>
  <c r="AW1182" i="3" s="1"/>
  <c r="B1183" i="3"/>
  <c r="AZ1183" i="3" s="1"/>
  <c r="B1184" i="3"/>
  <c r="AU1184" i="3" s="1"/>
  <c r="B1185" i="3"/>
  <c r="AS1185" i="3" s="1"/>
  <c r="B1186" i="3"/>
  <c r="AX1186" i="3" s="1"/>
  <c r="B1187" i="3"/>
  <c r="AX1187" i="3" s="1"/>
  <c r="B1188" i="3"/>
  <c r="B1189" i="3"/>
  <c r="B1190" i="3"/>
  <c r="AX1190" i="3" s="1"/>
  <c r="B1191" i="3"/>
  <c r="AZ1191" i="3" s="1"/>
  <c r="B1192" i="3"/>
  <c r="B1193" i="3"/>
  <c r="B1194" i="3"/>
  <c r="AX1194" i="3" s="1"/>
  <c r="B1195" i="3"/>
  <c r="B1196" i="3"/>
  <c r="AR1196" i="3" s="1"/>
  <c r="B1197" i="3"/>
  <c r="AY1197" i="3" s="1"/>
  <c r="B1198" i="3"/>
  <c r="BA1198" i="3" s="1"/>
  <c r="B1199" i="3"/>
  <c r="B1200" i="3"/>
  <c r="AR1200" i="3" s="1"/>
  <c r="B1201" i="3"/>
  <c r="AU1201" i="3" s="1"/>
  <c r="B1202" i="3"/>
  <c r="AY1202" i="3" s="1"/>
  <c r="B1203" i="3"/>
  <c r="AR1203" i="3" s="1"/>
  <c r="B1204" i="3"/>
  <c r="B1205" i="3"/>
  <c r="AS1205" i="3" s="1"/>
  <c r="B1206" i="3"/>
  <c r="AW1206" i="3" s="1"/>
  <c r="B1207" i="3"/>
  <c r="AU1207" i="3" s="1"/>
  <c r="B1208" i="3"/>
  <c r="AS1208" i="3" s="1"/>
  <c r="B1209" i="3"/>
  <c r="B1210" i="3"/>
  <c r="AY1210" i="3" s="1"/>
  <c r="B1211" i="3"/>
  <c r="B1212" i="3"/>
  <c r="BA1212" i="3" s="1"/>
  <c r="B1213" i="3"/>
  <c r="B1214" i="3"/>
  <c r="B1215" i="3"/>
  <c r="AT1215" i="3" s="1"/>
  <c r="B1216" i="3"/>
  <c r="B1217" i="3"/>
  <c r="AZ1217" i="3" s="1"/>
  <c r="B1218" i="3"/>
  <c r="AW1218" i="3" s="1"/>
  <c r="B1219" i="3"/>
  <c r="AR1219" i="3" s="1"/>
  <c r="B1220" i="3"/>
  <c r="B1221" i="3"/>
  <c r="AV1221" i="3" s="1"/>
  <c r="B1222" i="3"/>
  <c r="AY1222" i="3" s="1"/>
  <c r="B1223" i="3"/>
  <c r="AU1223" i="3" s="1"/>
  <c r="B1224" i="3"/>
  <c r="B1225" i="3"/>
  <c r="AT1225" i="3" s="1"/>
  <c r="B1226" i="3"/>
  <c r="AU1226" i="3" s="1"/>
  <c r="B1227" i="3"/>
  <c r="AU1227" i="3" s="1"/>
  <c r="B1228" i="3"/>
  <c r="AV1228" i="3" s="1"/>
  <c r="B1229" i="3"/>
  <c r="B1230" i="3"/>
  <c r="B1231" i="3"/>
  <c r="AV1231" i="3" s="1"/>
  <c r="B1232" i="3"/>
  <c r="B1233" i="3"/>
  <c r="B1234" i="3"/>
  <c r="B1235" i="3"/>
  <c r="B1236" i="3"/>
  <c r="B1237" i="3"/>
  <c r="AU1237" i="3" s="1"/>
  <c r="B1238" i="3"/>
  <c r="BA1238" i="3" s="1"/>
  <c r="B1239" i="3"/>
  <c r="BA1239" i="3" s="1"/>
  <c r="B1240" i="3"/>
  <c r="AX1240" i="3" s="1"/>
  <c r="B1241" i="3"/>
  <c r="AZ1241" i="3" s="1"/>
  <c r="B1242" i="3"/>
  <c r="AU1242" i="3" s="1"/>
  <c r="B1243" i="3"/>
  <c r="AU1243" i="3" s="1"/>
  <c r="B1244" i="3"/>
  <c r="B1245" i="3"/>
  <c r="B1246" i="3"/>
  <c r="B1247" i="3"/>
  <c r="AT1247" i="3" s="1"/>
  <c r="B1248" i="3"/>
  <c r="AZ1248" i="3" s="1"/>
  <c r="B1249" i="3"/>
  <c r="AW1249" i="3" s="1"/>
  <c r="B1250" i="3"/>
  <c r="AY1250" i="3" s="1"/>
  <c r="B1251" i="3"/>
  <c r="B1252" i="3"/>
  <c r="AY1252" i="3" s="1"/>
  <c r="B1253" i="3"/>
  <c r="AT1253" i="3" s="1"/>
  <c r="B1254" i="3"/>
  <c r="B1255" i="3"/>
  <c r="AY1255" i="3" s="1"/>
  <c r="B1256" i="3"/>
  <c r="B1257" i="3"/>
  <c r="B1258" i="3"/>
  <c r="AT1258" i="3" s="1"/>
  <c r="B1259" i="3"/>
  <c r="AU1259" i="3" s="1"/>
  <c r="B1260" i="3"/>
  <c r="B1261" i="3"/>
  <c r="B1262" i="3"/>
  <c r="B1263" i="3"/>
  <c r="B1264" i="3"/>
  <c r="AU1264" i="3" s="1"/>
  <c r="B1265" i="3"/>
  <c r="B1266" i="3"/>
  <c r="B1267" i="3"/>
  <c r="AS1267" i="3" s="1"/>
  <c r="B1268" i="3"/>
  <c r="B1269" i="3"/>
  <c r="B1270" i="3"/>
  <c r="AS1270" i="3" s="1"/>
  <c r="B1271" i="3"/>
  <c r="AU1271" i="3" s="1"/>
  <c r="B1272" i="3"/>
  <c r="AU1272" i="3" s="1"/>
  <c r="B1273" i="3"/>
  <c r="AW1273" i="3" s="1"/>
  <c r="B1274" i="3"/>
  <c r="AV1274" i="3" s="1"/>
  <c r="B1275" i="3"/>
  <c r="AR1275" i="3" s="1"/>
  <c r="B1276" i="3"/>
  <c r="AV1276" i="3" s="1"/>
  <c r="B1277" i="3"/>
  <c r="B1278" i="3"/>
  <c r="AV1278" i="3" s="1"/>
  <c r="B1279" i="3"/>
  <c r="AV1279" i="3" s="1"/>
  <c r="B1280" i="3"/>
  <c r="AY1280" i="3" s="1"/>
  <c r="B1281" i="3"/>
  <c r="B1282" i="3"/>
  <c r="AV1282" i="3" s="1"/>
  <c r="B1283" i="3"/>
  <c r="AT1283" i="3" s="1"/>
  <c r="B1284" i="3"/>
  <c r="B1285" i="3"/>
  <c r="AX1285" i="3" s="1"/>
  <c r="B1286" i="3"/>
  <c r="AS1286" i="3" s="1"/>
  <c r="B1287" i="3"/>
  <c r="AW1287" i="3" s="1"/>
  <c r="B1288" i="3"/>
  <c r="AR1288" i="3" s="1"/>
  <c r="B1289" i="3"/>
  <c r="AT1289" i="3" s="1"/>
  <c r="B1290" i="3"/>
  <c r="AV1290" i="3" s="1"/>
  <c r="B1291" i="3"/>
  <c r="AS1291" i="3" s="1"/>
  <c r="B1292" i="3"/>
  <c r="B1293" i="3"/>
  <c r="B1294" i="3"/>
  <c r="B1295" i="3"/>
  <c r="AR1295" i="3" s="1"/>
  <c r="B1296" i="3"/>
  <c r="B1297" i="3"/>
  <c r="B1298" i="3"/>
  <c r="AW1298" i="3" s="1"/>
  <c r="B1299" i="3"/>
  <c r="AS1299" i="3" s="1"/>
  <c r="B1300" i="3"/>
  <c r="B1301" i="3"/>
  <c r="AX1301" i="3" s="1"/>
  <c r="B1302" i="3"/>
  <c r="B1303" i="3"/>
  <c r="B1304" i="3"/>
  <c r="AT1304" i="3" s="1"/>
  <c r="B1305" i="3"/>
  <c r="B1306" i="3"/>
  <c r="AW1306" i="3" s="1"/>
  <c r="B1307" i="3"/>
  <c r="AS1307" i="3" s="1"/>
  <c r="B1308" i="3"/>
  <c r="AT1308" i="3" s="1"/>
  <c r="B1309" i="3"/>
  <c r="B1310" i="3"/>
  <c r="B1311" i="3"/>
  <c r="AW1311" i="3" s="1"/>
  <c r="B1312" i="3"/>
  <c r="AS1312" i="3" s="1"/>
  <c r="B1313" i="3"/>
  <c r="B1314" i="3"/>
  <c r="AW1314" i="3" s="1"/>
  <c r="B1315" i="3"/>
  <c r="AV1315" i="3" s="1"/>
  <c r="B1316" i="3"/>
  <c r="B1317" i="3"/>
  <c r="AU1317" i="3" s="1"/>
  <c r="B1318" i="3"/>
  <c r="B1319" i="3"/>
  <c r="BA1319" i="3" s="1"/>
  <c r="B1320" i="3"/>
  <c r="AV1320" i="3" s="1"/>
  <c r="B1321" i="3"/>
  <c r="AW1321" i="3" s="1"/>
  <c r="B1322" i="3"/>
  <c r="B1323" i="3"/>
  <c r="AS1323" i="3" s="1"/>
  <c r="B1324" i="3"/>
  <c r="AU1324" i="3" s="1"/>
  <c r="B1325" i="3"/>
  <c r="AZ1325" i="3" s="1"/>
  <c r="B1326" i="3"/>
  <c r="B1327" i="3"/>
  <c r="B1328" i="3"/>
  <c r="B1329" i="3"/>
  <c r="B1330" i="3"/>
  <c r="AX1330" i="3" s="1"/>
  <c r="B1331" i="3"/>
  <c r="AS1331" i="3" s="1"/>
  <c r="B1332" i="3"/>
  <c r="AT1332" i="3" s="1"/>
  <c r="B1333" i="3"/>
  <c r="B1334" i="3"/>
  <c r="AT1334" i="3" s="1"/>
  <c r="B1335" i="3"/>
  <c r="AT1335" i="3" s="1"/>
  <c r="B1336" i="3"/>
  <c r="AV1336" i="3" s="1"/>
  <c r="B1337" i="3"/>
  <c r="AW1337" i="3" s="1"/>
  <c r="B1338" i="3"/>
  <c r="B1339" i="3"/>
  <c r="BA1339" i="3" s="1"/>
  <c r="B1340" i="3"/>
  <c r="B1341" i="3"/>
  <c r="AR1341" i="3" s="1"/>
  <c r="B1342" i="3"/>
  <c r="AY1342" i="3" s="1"/>
  <c r="B1343" i="3"/>
  <c r="AR1343" i="3" s="1"/>
  <c r="B1344" i="3"/>
  <c r="B1345" i="3"/>
  <c r="B1346" i="3"/>
  <c r="AY1346" i="3" s="1"/>
  <c r="B1347" i="3"/>
  <c r="AT1347" i="3" s="1"/>
  <c r="B1348" i="3"/>
  <c r="BA1348" i="3" s="1"/>
  <c r="B1349" i="3"/>
  <c r="AR1349" i="3" s="1"/>
  <c r="B1350" i="3"/>
  <c r="AW1350" i="3" s="1"/>
  <c r="B1351" i="3"/>
  <c r="AY1351" i="3" s="1"/>
  <c r="B1352" i="3"/>
  <c r="B1353" i="3"/>
  <c r="B1354" i="3"/>
  <c r="AY1354" i="3" s="1"/>
  <c r="B1355" i="3"/>
  <c r="AT1355" i="3" s="1"/>
  <c r="B1356" i="3"/>
  <c r="AZ1356" i="3" s="1"/>
  <c r="B1357" i="3"/>
  <c r="AS1357" i="3" s="1"/>
  <c r="B1358" i="3"/>
  <c r="AZ1358" i="3" s="1"/>
  <c r="B1359" i="3"/>
  <c r="AR1359" i="3" s="1"/>
  <c r="B1360" i="3"/>
  <c r="BA1360" i="3" s="1"/>
  <c r="B1361" i="3"/>
  <c r="AY1361" i="3" s="1"/>
  <c r="B1362" i="3"/>
  <c r="AY1362" i="3" s="1"/>
  <c r="B1363" i="3"/>
  <c r="AW1363" i="3" s="1"/>
  <c r="B1364" i="3"/>
  <c r="B1365" i="3"/>
  <c r="AS1365" i="3" s="1"/>
  <c r="B1366" i="3"/>
  <c r="B1367" i="3"/>
  <c r="AW1367" i="3" s="1"/>
  <c r="B1368" i="3"/>
  <c r="B1369" i="3"/>
  <c r="AY1369" i="3" s="1"/>
  <c r="B1370" i="3"/>
  <c r="AY1370" i="3" s="1"/>
  <c r="B1371" i="3"/>
  <c r="AR1371" i="3" s="1"/>
  <c r="B1372" i="3"/>
  <c r="AX1372" i="3" s="1"/>
  <c r="B1373" i="3"/>
  <c r="AU1373" i="3" s="1"/>
  <c r="B1374" i="3"/>
  <c r="AW1374" i="3" s="1"/>
  <c r="B1375" i="3"/>
  <c r="AU1375" i="3" s="1"/>
  <c r="B1376" i="3"/>
  <c r="AS1376" i="3" s="1"/>
  <c r="B1377" i="3"/>
  <c r="AZ1377" i="3" s="1"/>
  <c r="B1378" i="3"/>
  <c r="AY1378" i="3" s="1"/>
  <c r="B1379" i="3"/>
  <c r="AR1379" i="3" s="1"/>
  <c r="B1380" i="3"/>
  <c r="AS1380" i="3" s="1"/>
  <c r="B1381" i="3"/>
  <c r="AV1381" i="3" s="1"/>
  <c r="B1382" i="3"/>
  <c r="B1383" i="3"/>
  <c r="AV1383" i="3" s="1"/>
  <c r="B1384" i="3"/>
  <c r="B1385" i="3"/>
  <c r="B1386" i="3"/>
  <c r="AY1386" i="3" s="1"/>
  <c r="B1387" i="3"/>
  <c r="B1388" i="3"/>
  <c r="B1389" i="3"/>
  <c r="B1390" i="3"/>
  <c r="B1391" i="3"/>
  <c r="AU1391" i="3" s="1"/>
  <c r="B1392" i="3"/>
  <c r="AX1392" i="3" s="1"/>
  <c r="B1393" i="3"/>
  <c r="B1394" i="3"/>
  <c r="AY1394" i="3" s="1"/>
  <c r="B1395" i="3"/>
  <c r="AS1395" i="3" s="1"/>
  <c r="B1396" i="3"/>
  <c r="B1397" i="3"/>
  <c r="AU1397" i="3" s="1"/>
  <c r="B1398" i="3"/>
  <c r="AU1398" i="3" s="1"/>
  <c r="B1399" i="3"/>
  <c r="AT1399" i="3" s="1"/>
  <c r="B1400" i="3"/>
  <c r="AR1400" i="3" s="1"/>
  <c r="B1401" i="3"/>
  <c r="B1402" i="3"/>
  <c r="AY1402" i="3" s="1"/>
  <c r="B1403" i="3"/>
  <c r="AS1403" i="3" s="1"/>
  <c r="B1404" i="3"/>
  <c r="B1405" i="3"/>
  <c r="AR1405" i="3" s="1"/>
  <c r="B1406" i="3"/>
  <c r="AU1406" i="3" s="1"/>
  <c r="B1407" i="3"/>
  <c r="AY1407" i="3" s="1"/>
  <c r="B1408" i="3"/>
  <c r="B1409" i="3"/>
  <c r="AZ1409" i="3" s="1"/>
  <c r="B1410" i="3"/>
  <c r="AY1410" i="3" s="1"/>
  <c r="B1411" i="3"/>
  <c r="AR1411" i="3" s="1"/>
  <c r="B1412" i="3"/>
  <c r="B1413" i="3"/>
  <c r="B1414" i="3"/>
  <c r="AU1414" i="3" s="1"/>
  <c r="B1415" i="3"/>
  <c r="AY1415" i="3" s="1"/>
  <c r="B1416" i="3"/>
  <c r="B1417" i="3"/>
  <c r="B1418" i="3"/>
  <c r="AY1418" i="3" s="1"/>
  <c r="B1419" i="3"/>
  <c r="AW1419" i="3" s="1"/>
  <c r="B1420" i="3"/>
  <c r="B1421" i="3"/>
  <c r="AS1421" i="3" s="1"/>
  <c r="B1422" i="3"/>
  <c r="AU1422" i="3" s="1"/>
  <c r="B1423" i="3"/>
  <c r="AS1423" i="3" s="1"/>
  <c r="B1424" i="3"/>
  <c r="B1425" i="3"/>
  <c r="B1426" i="3"/>
  <c r="AY1426" i="3" s="1"/>
  <c r="B1427" i="3"/>
  <c r="AT1427" i="3" s="1"/>
  <c r="B1428" i="3"/>
  <c r="AT1428" i="3" s="1"/>
  <c r="B1429" i="3"/>
  <c r="AX1429" i="3" s="1"/>
  <c r="B1430" i="3"/>
  <c r="B1431" i="3"/>
  <c r="B1432" i="3"/>
  <c r="B1433" i="3"/>
  <c r="B1434" i="3"/>
  <c r="AY1434" i="3" s="1"/>
  <c r="B1435" i="3"/>
  <c r="AS1435" i="3" s="1"/>
  <c r="B1436" i="3"/>
  <c r="AW1436" i="3" s="1"/>
  <c r="B1437" i="3"/>
  <c r="AZ1437" i="3" s="1"/>
  <c r="B1438" i="3"/>
  <c r="B1439" i="3"/>
  <c r="B1440" i="3"/>
  <c r="AZ1440" i="3" s="1"/>
  <c r="B1441" i="3"/>
  <c r="AX1441" i="3" s="1"/>
  <c r="B1442" i="3"/>
  <c r="AY1442" i="3" s="1"/>
  <c r="B1443" i="3"/>
  <c r="AR1443" i="3" s="1"/>
  <c r="B1444" i="3"/>
  <c r="B1445" i="3"/>
  <c r="BA1445" i="3" s="1"/>
  <c r="B1446" i="3"/>
  <c r="B1447" i="3"/>
  <c r="AU1447" i="3" s="1"/>
  <c r="B1448" i="3"/>
  <c r="B1449" i="3"/>
  <c r="B1450" i="3"/>
  <c r="AY1450" i="3" s="1"/>
  <c r="B1451" i="3"/>
  <c r="BA1451" i="3" s="1"/>
  <c r="B1452" i="3"/>
  <c r="AS1452" i="3" s="1"/>
  <c r="B1453" i="3"/>
  <c r="AY1453" i="3" s="1"/>
  <c r="B1454" i="3"/>
  <c r="AV1454" i="3" s="1"/>
  <c r="B1455" i="3"/>
  <c r="B1456" i="3"/>
  <c r="B1457" i="3"/>
  <c r="B1458" i="3"/>
  <c r="AY1458" i="3" s="1"/>
  <c r="B1459" i="3"/>
  <c r="AX1459" i="3" s="1"/>
  <c r="B1460" i="3"/>
  <c r="B1461" i="3"/>
  <c r="AZ1461" i="3" s="1"/>
  <c r="B1462" i="3"/>
  <c r="B1463" i="3"/>
  <c r="AU1463" i="3" s="1"/>
  <c r="B1464" i="3"/>
  <c r="AS1464" i="3" s="1"/>
  <c r="B1465" i="3"/>
  <c r="B1466" i="3"/>
  <c r="AY1466" i="3" s="1"/>
  <c r="B1467" i="3"/>
  <c r="AR1467" i="3" s="1"/>
  <c r="B1468" i="3"/>
  <c r="B1469" i="3"/>
  <c r="BA1469" i="3" s="1"/>
  <c r="B1470" i="3"/>
  <c r="B1471" i="3"/>
  <c r="B1472" i="3"/>
  <c r="AV1472" i="3" s="1"/>
  <c r="B1473" i="3"/>
  <c r="B1474" i="3"/>
  <c r="AY1474" i="3" s="1"/>
  <c r="B1475" i="3"/>
  <c r="B1476" i="3"/>
  <c r="B1477" i="3"/>
  <c r="B1478" i="3"/>
  <c r="B1479" i="3"/>
  <c r="AU1479" i="3" s="1"/>
  <c r="B1480" i="3"/>
  <c r="B1481" i="3"/>
  <c r="AR1481" i="3" s="1"/>
  <c r="B1482" i="3"/>
  <c r="AY1482" i="3" s="1"/>
  <c r="B1483" i="3"/>
  <c r="AU1483" i="3" s="1"/>
  <c r="B1484" i="3"/>
  <c r="B1485" i="3"/>
  <c r="B1486" i="3"/>
  <c r="AW1486" i="3" s="1"/>
  <c r="B1487" i="3"/>
  <c r="AX1487" i="3" s="1"/>
  <c r="B1488" i="3"/>
  <c r="B1489" i="3"/>
  <c r="B1490" i="3"/>
  <c r="AY1490" i="3" s="1"/>
  <c r="B1491" i="3"/>
  <c r="AS1491" i="3" s="1"/>
  <c r="B1492" i="3"/>
  <c r="AT1492" i="3" s="1"/>
  <c r="B1493" i="3"/>
  <c r="B1494" i="3"/>
  <c r="B1495" i="3"/>
  <c r="AX1495" i="3" s="1"/>
  <c r="B1496" i="3"/>
  <c r="B1497" i="3"/>
  <c r="B1498" i="3"/>
  <c r="AY1498" i="3" s="1"/>
  <c r="B1499" i="3"/>
  <c r="AU1499" i="3" s="1"/>
  <c r="B1500" i="3"/>
  <c r="B1501" i="3"/>
  <c r="B1502" i="3"/>
  <c r="B1503" i="3"/>
  <c r="AV1503" i="3" s="1"/>
  <c r="B1504" i="3"/>
  <c r="B1505" i="3"/>
  <c r="B1506" i="3"/>
  <c r="AX1506" i="3" s="1"/>
  <c r="B1507" i="3"/>
  <c r="AW1507" i="3" s="1"/>
  <c r="B1508" i="3"/>
  <c r="AR1508" i="3" s="1"/>
  <c r="B1509" i="3"/>
  <c r="BA1509" i="3" s="1"/>
  <c r="B1510" i="3"/>
  <c r="B1511" i="3"/>
  <c r="AZ1511" i="3" s="1"/>
  <c r="B1512" i="3"/>
  <c r="B1513" i="3"/>
  <c r="B1514" i="3"/>
  <c r="AS1514" i="3" s="1"/>
  <c r="B1515" i="3"/>
  <c r="AT1515" i="3" s="1"/>
  <c r="B1516" i="3"/>
  <c r="AS1516" i="3" s="1"/>
  <c r="B1517" i="3"/>
  <c r="BA1517" i="3" s="1"/>
  <c r="B1518" i="3"/>
  <c r="AV1518" i="3" s="1"/>
  <c r="B1519" i="3"/>
  <c r="B1520" i="3"/>
  <c r="B1521" i="3"/>
  <c r="AS1521" i="3" s="1"/>
  <c r="B1522" i="3"/>
  <c r="B1523" i="3"/>
  <c r="AX1523" i="3" s="1"/>
  <c r="B1524" i="3"/>
  <c r="AR1524" i="3" s="1"/>
  <c r="B1525" i="3"/>
  <c r="B1526" i="3"/>
  <c r="B1527" i="3"/>
  <c r="BA1527" i="3" s="1"/>
  <c r="B1528" i="3"/>
  <c r="B1529" i="3"/>
  <c r="B1530" i="3"/>
  <c r="B1531" i="3"/>
  <c r="B1532" i="3"/>
  <c r="B1533" i="3"/>
  <c r="AU1533" i="3" s="1"/>
  <c r="B1534" i="3"/>
  <c r="B1535" i="3"/>
  <c r="AX1535" i="3" s="1"/>
  <c r="B1536" i="3"/>
  <c r="AS1536" i="3" s="1"/>
  <c r="B1537" i="3"/>
  <c r="B1538" i="3"/>
  <c r="B1539" i="3"/>
  <c r="AR1539" i="3" s="1"/>
  <c r="B1540" i="3"/>
  <c r="B1541" i="3"/>
  <c r="AX1541" i="3" s="1"/>
  <c r="B1542" i="3"/>
  <c r="B1543" i="3"/>
  <c r="B1544" i="3"/>
  <c r="B1545" i="3"/>
  <c r="B1546" i="3"/>
  <c r="B1547" i="3"/>
  <c r="AZ1547" i="3" s="1"/>
  <c r="B1548" i="3"/>
  <c r="AZ1548" i="3" s="1"/>
  <c r="B1549" i="3"/>
  <c r="AX1549" i="3" s="1"/>
  <c r="B1550" i="3"/>
  <c r="AW1550" i="3" s="1"/>
  <c r="B1551" i="3"/>
  <c r="AW1551" i="3" s="1"/>
  <c r="B1552" i="3"/>
  <c r="AZ1552" i="3" s="1"/>
  <c r="B1553" i="3"/>
  <c r="B1554" i="3"/>
  <c r="AY1554" i="3" s="1"/>
  <c r="B1555" i="3"/>
  <c r="AX1555" i="3" s="1"/>
  <c r="B1556" i="3"/>
  <c r="B1557" i="3"/>
  <c r="AT1557" i="3" s="1"/>
  <c r="B1558" i="3"/>
  <c r="B1559" i="3"/>
  <c r="B1560" i="3"/>
  <c r="BA1560" i="3" s="1"/>
  <c r="B1561" i="3"/>
  <c r="AT1561" i="3" s="1"/>
  <c r="B1562" i="3"/>
  <c r="B1563" i="3"/>
  <c r="B1564" i="3"/>
  <c r="B1565" i="3"/>
  <c r="AY1565" i="3" s="1"/>
  <c r="B1566" i="3"/>
  <c r="B1567" i="3"/>
  <c r="AV1567" i="3" s="1"/>
  <c r="B1568" i="3"/>
  <c r="B1569" i="3"/>
  <c r="B1570" i="3"/>
  <c r="B1571" i="3"/>
  <c r="AV1571" i="3" s="1"/>
  <c r="B1572" i="3"/>
  <c r="AW1572" i="3" s="1"/>
  <c r="B1573" i="3"/>
  <c r="B1574" i="3"/>
  <c r="B1575" i="3"/>
  <c r="AS1575" i="3" s="1"/>
  <c r="B1576" i="3"/>
  <c r="B1577" i="3"/>
  <c r="B1578" i="3"/>
  <c r="AR1578" i="3" s="1"/>
  <c r="B1579" i="3"/>
  <c r="AT1579" i="3" s="1"/>
  <c r="B1580" i="3"/>
  <c r="B1581" i="3"/>
  <c r="AU1581" i="3" s="1"/>
  <c r="B1582" i="3"/>
  <c r="B1583" i="3"/>
  <c r="B1584" i="3"/>
  <c r="B1585" i="3"/>
  <c r="B1586" i="3"/>
  <c r="BA1586" i="3" s="1"/>
  <c r="B1587" i="3"/>
  <c r="AS1587" i="3" s="1"/>
  <c r="B1588" i="3"/>
  <c r="B1589" i="3"/>
  <c r="B1590" i="3"/>
  <c r="B1591" i="3"/>
  <c r="AS1591" i="3" s="1"/>
  <c r="B1592" i="3"/>
  <c r="B1593" i="3"/>
  <c r="B1594" i="3"/>
  <c r="B1595" i="3"/>
  <c r="AX1595" i="3" s="1"/>
  <c r="B1596" i="3"/>
  <c r="B1597" i="3"/>
  <c r="AX1597" i="3" s="1"/>
  <c r="B1598" i="3"/>
  <c r="BA1598" i="3" s="1"/>
  <c r="B1599" i="3"/>
  <c r="AU1599" i="3" s="1"/>
  <c r="B1600" i="3"/>
  <c r="B1601" i="3"/>
  <c r="B1602" i="3"/>
  <c r="AT1602" i="3" s="1"/>
  <c r="B1603" i="3"/>
  <c r="B1604" i="3"/>
  <c r="B1605" i="3"/>
  <c r="AS1605" i="3" s="1"/>
  <c r="B1606" i="3"/>
  <c r="AT1606" i="3" s="1"/>
  <c r="B1607" i="3"/>
  <c r="BA1607" i="3" s="1"/>
  <c r="B1608" i="3"/>
  <c r="AT1608" i="3" s="1"/>
  <c r="B1609" i="3"/>
  <c r="BA1609" i="3" s="1"/>
  <c r="B1610" i="3"/>
  <c r="AW1610" i="3" s="1"/>
  <c r="B1611" i="3"/>
  <c r="AS1611" i="3" s="1"/>
  <c r="B1612" i="3"/>
  <c r="B1613" i="3"/>
  <c r="AY1613" i="3" s="1"/>
  <c r="B1614" i="3"/>
  <c r="BA1614" i="3" s="1"/>
  <c r="B1615" i="3"/>
  <c r="B1616" i="3"/>
  <c r="AZ1616" i="3" s="1"/>
  <c r="B1617" i="3"/>
  <c r="B1618" i="3"/>
  <c r="B1619" i="3"/>
  <c r="AT1619" i="3" s="1"/>
  <c r="B1620" i="3"/>
  <c r="AU1620" i="3" s="1"/>
  <c r="B1621" i="3"/>
  <c r="B1622" i="3"/>
  <c r="B1623" i="3"/>
  <c r="AU1623" i="3" s="1"/>
  <c r="B1624" i="3"/>
  <c r="AZ1624" i="3" s="1"/>
  <c r="B1625" i="3"/>
  <c r="B1626" i="3"/>
  <c r="AZ1626" i="3" s="1"/>
  <c r="B1627" i="3"/>
  <c r="AR1627" i="3" s="1"/>
  <c r="B1628" i="3"/>
  <c r="AZ1628" i="3" s="1"/>
  <c r="B1629" i="3"/>
  <c r="AS1629" i="3" s="1"/>
  <c r="B1630" i="3"/>
  <c r="B1631" i="3"/>
  <c r="AV1631" i="3" s="1"/>
  <c r="B1632" i="3"/>
  <c r="B1633" i="3"/>
  <c r="AX1633" i="3" s="1"/>
  <c r="B1634" i="3"/>
  <c r="B1635" i="3"/>
  <c r="AV1635" i="3" s="1"/>
  <c r="B1636" i="3"/>
  <c r="B1637" i="3"/>
  <c r="AT1637" i="3" s="1"/>
  <c r="B1638" i="3"/>
  <c r="AY1638" i="3" s="1"/>
  <c r="B1639" i="3"/>
  <c r="AS1639" i="3" s="1"/>
  <c r="B1640" i="3"/>
  <c r="B1641" i="3"/>
  <c r="B1642" i="3"/>
  <c r="AT1642" i="3" s="1"/>
  <c r="B1643" i="3"/>
  <c r="BA1643" i="3" s="1"/>
  <c r="B1644" i="3"/>
  <c r="AW1644" i="3" s="1"/>
  <c r="B1645" i="3"/>
  <c r="AU1645" i="3" s="1"/>
  <c r="B1646" i="3"/>
  <c r="B1647" i="3"/>
  <c r="BA1647" i="3" s="1"/>
  <c r="B1648" i="3"/>
  <c r="B1649" i="3"/>
  <c r="B1650" i="3"/>
  <c r="AR1650" i="3" s="1"/>
  <c r="B1651" i="3"/>
  <c r="AW1651" i="3" s="1"/>
  <c r="B1652" i="3"/>
  <c r="AZ1652" i="3" s="1"/>
  <c r="B1653" i="3"/>
  <c r="AS1653" i="3" s="1"/>
  <c r="B1654" i="3"/>
  <c r="AU1654" i="3" s="1"/>
  <c r="B1655" i="3"/>
  <c r="BA1655" i="3" s="1"/>
  <c r="B1656" i="3"/>
  <c r="B1657" i="3"/>
  <c r="B1658" i="3"/>
  <c r="B1659" i="3"/>
  <c r="AV1659" i="3" s="1"/>
  <c r="B1660" i="3"/>
  <c r="AW1660" i="3" s="1"/>
  <c r="B1661" i="3"/>
  <c r="B1662" i="3"/>
  <c r="B1663" i="3"/>
  <c r="B1664" i="3"/>
  <c r="AU1664" i="3" s="1"/>
  <c r="B1665" i="3"/>
  <c r="B1666" i="3"/>
  <c r="AR1666" i="3" s="1"/>
  <c r="B1667" i="3"/>
  <c r="AZ1667" i="3" s="1"/>
  <c r="B1668" i="3"/>
  <c r="B1669" i="3"/>
  <c r="AR1669" i="3" s="1"/>
  <c r="B1670" i="3"/>
  <c r="AW1670" i="3" s="1"/>
  <c r="B1671" i="3"/>
  <c r="B1672" i="3"/>
  <c r="AR1672" i="3" s="1"/>
  <c r="B1673" i="3"/>
  <c r="B1674" i="3"/>
  <c r="B1675" i="3"/>
  <c r="B1676" i="3"/>
  <c r="AR1676" i="3" s="1"/>
  <c r="B1677" i="3"/>
  <c r="AX1677" i="3" s="1"/>
  <c r="B1678" i="3"/>
  <c r="B1679" i="3"/>
  <c r="B1680" i="3"/>
  <c r="B1681" i="3"/>
  <c r="B1682" i="3"/>
  <c r="B1683" i="3"/>
  <c r="B1684" i="3"/>
  <c r="B1685" i="3"/>
  <c r="AS1685" i="3" s="1"/>
  <c r="B1686" i="3"/>
  <c r="B1687" i="3"/>
  <c r="AR1687" i="3" s="1"/>
  <c r="B1688" i="3"/>
  <c r="B1689" i="3"/>
  <c r="B1690" i="3"/>
  <c r="AT1690" i="3" s="1"/>
  <c r="B1691" i="3"/>
  <c r="B1692" i="3"/>
  <c r="AV1692" i="3" s="1"/>
  <c r="B1693" i="3"/>
  <c r="AR1693" i="3" s="1"/>
  <c r="B1694" i="3"/>
  <c r="AS1694" i="3" s="1"/>
  <c r="B1695" i="3"/>
  <c r="BA1695" i="3" s="1"/>
  <c r="B1696" i="3"/>
  <c r="B1697" i="3"/>
  <c r="B1698" i="3"/>
  <c r="AR1698" i="3" s="1"/>
  <c r="B1699" i="3"/>
  <c r="B1700" i="3"/>
  <c r="B1701" i="3"/>
  <c r="AV1701" i="3" s="1"/>
  <c r="B1702" i="3"/>
  <c r="B1703" i="3"/>
  <c r="AV1703" i="3" s="1"/>
  <c r="B1704" i="3"/>
  <c r="B1705" i="3"/>
  <c r="B1706" i="3"/>
  <c r="AW1706" i="3" s="1"/>
  <c r="B1707" i="3"/>
  <c r="AX1707" i="3" s="1"/>
  <c r="B1708" i="3"/>
  <c r="B1709" i="3"/>
  <c r="AS1709" i="3" s="1"/>
  <c r="B1710" i="3"/>
  <c r="B1711" i="3"/>
  <c r="B1712" i="3"/>
  <c r="B1713" i="3"/>
  <c r="B1714" i="3"/>
  <c r="B1715" i="3"/>
  <c r="B1716" i="3"/>
  <c r="AT1716" i="3" s="1"/>
  <c r="B1717" i="3"/>
  <c r="AW1717" i="3" s="1"/>
  <c r="B1718" i="3"/>
  <c r="B1719" i="3"/>
  <c r="AS1719" i="3" s="1"/>
  <c r="B1720" i="3"/>
  <c r="AZ1720" i="3" s="1"/>
  <c r="B1721" i="3"/>
  <c r="B1722" i="3"/>
  <c r="B1723" i="3"/>
  <c r="B1724" i="3"/>
  <c r="B1725" i="3"/>
  <c r="B1726" i="3"/>
  <c r="B1727" i="3"/>
  <c r="AZ1727" i="3" s="1"/>
  <c r="B1728" i="3"/>
  <c r="B1729" i="3"/>
  <c r="B1730" i="3"/>
  <c r="B1731" i="3"/>
  <c r="B1732" i="3"/>
  <c r="AX1732" i="3" s="1"/>
  <c r="B1733" i="3"/>
  <c r="AZ1733" i="3" s="1"/>
  <c r="B1734" i="3"/>
  <c r="BA1734" i="3" s="1"/>
  <c r="B1735" i="3"/>
  <c r="B1736" i="3"/>
  <c r="BA1736" i="3" s="1"/>
  <c r="B1737" i="3"/>
  <c r="B1738" i="3"/>
  <c r="AU1738" i="3" s="1"/>
  <c r="B1739" i="3"/>
  <c r="B1740" i="3"/>
  <c r="AR1740" i="3" s="1"/>
  <c r="B1741" i="3"/>
  <c r="B1742" i="3"/>
  <c r="B1743" i="3"/>
  <c r="B1744" i="3"/>
  <c r="B1745" i="3"/>
  <c r="B1746" i="3"/>
  <c r="AS1746" i="3" s="1"/>
  <c r="B1747" i="3"/>
  <c r="B1748" i="3"/>
  <c r="AR1748" i="3" s="1"/>
  <c r="B1749" i="3"/>
  <c r="B1750" i="3"/>
  <c r="AX1750" i="3" s="1"/>
  <c r="B1751" i="3"/>
  <c r="B1752" i="3"/>
  <c r="AR1752" i="3" s="1"/>
  <c r="B1753" i="3"/>
  <c r="B1754" i="3"/>
  <c r="AS1754" i="3" s="1"/>
  <c r="B1755" i="3"/>
  <c r="B1756" i="3"/>
  <c r="B1757" i="3"/>
  <c r="B1758" i="3"/>
  <c r="B1759" i="3"/>
  <c r="AZ1759" i="3" s="1"/>
  <c r="B1760" i="3"/>
  <c r="AW1760" i="3" s="1"/>
  <c r="B1761" i="3"/>
  <c r="B1762" i="3"/>
  <c r="B1763" i="3"/>
  <c r="B1764" i="3"/>
  <c r="AY1764" i="3" s="1"/>
  <c r="B1765" i="3"/>
  <c r="AR1765" i="3" s="1"/>
  <c r="B1766" i="3"/>
  <c r="B1767" i="3"/>
  <c r="B1768" i="3"/>
  <c r="AS1768" i="3" s="1"/>
  <c r="B1769" i="3"/>
  <c r="B1770" i="3"/>
  <c r="B1771" i="3"/>
  <c r="B1772" i="3"/>
  <c r="B1773" i="3"/>
  <c r="AS1773" i="3" s="1"/>
  <c r="B1774" i="3"/>
  <c r="B1775" i="3"/>
  <c r="BA1775" i="3" s="1"/>
  <c r="B1776" i="3"/>
  <c r="B1777" i="3"/>
  <c r="B1778" i="3"/>
  <c r="AR1778" i="3" s="1"/>
  <c r="B1779" i="3"/>
  <c r="B1780" i="3"/>
  <c r="B1781" i="3"/>
  <c r="B1782" i="3"/>
  <c r="B1783" i="3"/>
  <c r="B1784" i="3"/>
  <c r="B1785" i="3"/>
  <c r="B1786" i="3"/>
  <c r="B1787" i="3"/>
  <c r="AS1787" i="3" s="1"/>
  <c r="B1788" i="3"/>
  <c r="AS1788" i="3" s="1"/>
  <c r="B1789" i="3"/>
  <c r="AT1789" i="3" s="1"/>
  <c r="B1790" i="3"/>
  <c r="B1791" i="3"/>
  <c r="B1792" i="3"/>
  <c r="AX1792" i="3" s="1"/>
  <c r="B1793" i="3"/>
  <c r="B1794" i="3"/>
  <c r="AT1794" i="3" s="1"/>
  <c r="B1795" i="3"/>
  <c r="B1796" i="3"/>
  <c r="B1797" i="3"/>
  <c r="B1798" i="3"/>
  <c r="B1799" i="3"/>
  <c r="B1800" i="3"/>
  <c r="BA1800" i="3" s="1"/>
  <c r="B1801" i="3"/>
  <c r="B1802" i="3"/>
  <c r="B1803" i="3"/>
  <c r="B1804" i="3"/>
  <c r="BA1804" i="3" s="1"/>
  <c r="B1805" i="3"/>
  <c r="AX1805" i="3" s="1"/>
  <c r="B1806" i="3"/>
  <c r="B1807" i="3"/>
  <c r="B1808" i="3"/>
  <c r="B1809" i="3"/>
  <c r="B1810" i="3"/>
  <c r="AR1810" i="3" s="1"/>
  <c r="B1811" i="3"/>
  <c r="B1812" i="3"/>
  <c r="B1813" i="3"/>
  <c r="B1814" i="3"/>
  <c r="AT1814" i="3" s="1"/>
  <c r="B1815" i="3"/>
  <c r="B1816" i="3"/>
  <c r="AZ1816" i="3" s="1"/>
  <c r="B1817" i="3"/>
  <c r="B1818" i="3"/>
  <c r="AT1818" i="3" s="1"/>
  <c r="B1819" i="3"/>
  <c r="B1820" i="3"/>
  <c r="AX1820" i="3" s="1"/>
  <c r="B1821" i="3"/>
  <c r="AR1821" i="3" s="1"/>
  <c r="B1822" i="3"/>
  <c r="BA1822" i="3" s="1"/>
  <c r="B1823" i="3"/>
  <c r="AR1823" i="3" s="1"/>
  <c r="B1824" i="3"/>
  <c r="AS1824" i="3" s="1"/>
  <c r="B1825" i="3"/>
  <c r="B1826" i="3"/>
  <c r="B1827" i="3"/>
  <c r="AV1827" i="3" s="1"/>
  <c r="B1828" i="3"/>
  <c r="B1829" i="3"/>
  <c r="B1830" i="3"/>
  <c r="B1831" i="3"/>
  <c r="AX1831" i="3" s="1"/>
  <c r="B1832" i="3"/>
  <c r="AW1832" i="3" s="1"/>
  <c r="B1833" i="3"/>
  <c r="B1834" i="3"/>
  <c r="AS1834" i="3" s="1"/>
  <c r="B1835" i="3"/>
  <c r="AR1835" i="3" s="1"/>
  <c r="B1836" i="3"/>
  <c r="AR1836" i="3" s="1"/>
  <c r="B1837" i="3"/>
  <c r="B1838" i="3"/>
  <c r="B1839" i="3"/>
  <c r="AV1839" i="3" s="1"/>
  <c r="B1840" i="3"/>
  <c r="AW1840" i="3" s="1"/>
  <c r="B1841" i="3"/>
  <c r="B1842" i="3"/>
  <c r="B1843" i="3"/>
  <c r="B1844" i="3"/>
  <c r="AY1844" i="3" s="1"/>
  <c r="B1845" i="3"/>
  <c r="AR1845" i="3" s="1"/>
  <c r="B1846" i="3"/>
  <c r="B1847" i="3"/>
  <c r="B1848" i="3"/>
  <c r="AZ1848" i="3" s="1"/>
  <c r="B1849" i="3"/>
  <c r="B1850" i="3"/>
  <c r="B1851" i="3"/>
  <c r="B1852" i="3"/>
  <c r="B1853" i="3"/>
  <c r="B1854" i="3"/>
  <c r="AY1854" i="3" s="1"/>
  <c r="B1855" i="3"/>
  <c r="B1856" i="3"/>
  <c r="B1857" i="3"/>
  <c r="B1858" i="3"/>
  <c r="B1859" i="3"/>
  <c r="B1860" i="3"/>
  <c r="B1861" i="3"/>
  <c r="B1862" i="3"/>
  <c r="B1863" i="3"/>
  <c r="B1864" i="3"/>
  <c r="B1865" i="3"/>
  <c r="B1866" i="3"/>
  <c r="AV1866" i="3" s="1"/>
  <c r="B1867" i="3"/>
  <c r="B1868" i="3"/>
  <c r="B1869" i="3"/>
  <c r="AR1869" i="3" s="1"/>
  <c r="B1870" i="3"/>
  <c r="B1871" i="3"/>
  <c r="B1872" i="3"/>
  <c r="AS1872" i="3" s="1"/>
  <c r="B1873" i="3"/>
  <c r="AR1873" i="3" s="1"/>
  <c r="B1874" i="3"/>
  <c r="B1875" i="3"/>
  <c r="B1876" i="3"/>
  <c r="B1877" i="3"/>
  <c r="AW1877" i="3" s="1"/>
  <c r="B1878" i="3"/>
  <c r="B1879" i="3"/>
  <c r="B1880" i="3"/>
  <c r="AT1880" i="3" s="1"/>
  <c r="B1881" i="3"/>
  <c r="B1882" i="3"/>
  <c r="B1883" i="3"/>
  <c r="B1884" i="3"/>
  <c r="B1885" i="3"/>
  <c r="AS1885" i="3" s="1"/>
  <c r="B1886" i="3"/>
  <c r="B1887" i="3"/>
  <c r="AX1887" i="3" s="1"/>
  <c r="B1888" i="3"/>
  <c r="B1889" i="3"/>
  <c r="B1890" i="3"/>
  <c r="B1891" i="3"/>
  <c r="AR1891" i="3" s="1"/>
  <c r="B1892" i="3"/>
  <c r="B1893" i="3"/>
  <c r="B1894" i="3"/>
  <c r="AW1894" i="3" s="1"/>
  <c r="B1895" i="3"/>
  <c r="B1896" i="3"/>
  <c r="AU1896" i="3" s="1"/>
  <c r="B1897" i="3"/>
  <c r="B1898" i="3"/>
  <c r="B1899" i="3"/>
  <c r="B1900" i="3"/>
  <c r="AT1900" i="3" s="1"/>
  <c r="B1901" i="3"/>
  <c r="B1902" i="3"/>
  <c r="B1903" i="3"/>
  <c r="B1904" i="3"/>
  <c r="AX1904" i="3" s="1"/>
  <c r="B1905" i="3"/>
  <c r="B1906" i="3"/>
  <c r="B1907" i="3"/>
  <c r="AY1907" i="3" s="1"/>
  <c r="B1908" i="3"/>
  <c r="B1909" i="3"/>
  <c r="B1910" i="3"/>
  <c r="B1911" i="3"/>
  <c r="B1912" i="3"/>
  <c r="B1913" i="3"/>
  <c r="B1914" i="3"/>
  <c r="AR1914" i="3" s="1"/>
  <c r="B1915" i="3"/>
  <c r="B1916" i="3"/>
  <c r="B1917" i="3"/>
  <c r="B1918" i="3"/>
  <c r="B1919" i="3"/>
  <c r="B1920" i="3"/>
  <c r="AX1920" i="3" s="1"/>
  <c r="B1921" i="3"/>
  <c r="B1922" i="3"/>
  <c r="B1923" i="3"/>
  <c r="AY1923" i="3" s="1"/>
  <c r="B1924" i="3"/>
  <c r="B1925" i="3"/>
  <c r="B1926" i="3"/>
  <c r="B1927" i="3"/>
  <c r="AU1927" i="3" s="1"/>
  <c r="B1928" i="3"/>
  <c r="B1929" i="3"/>
  <c r="B1930" i="3"/>
  <c r="B1931" i="3"/>
  <c r="AT1931" i="3" s="1"/>
  <c r="B1932" i="3"/>
  <c r="B1933" i="3"/>
  <c r="B1934" i="3"/>
  <c r="B1935" i="3"/>
  <c r="AS1935" i="3" s="1"/>
  <c r="B1936" i="3"/>
  <c r="AY1936" i="3" s="1"/>
  <c r="B1937" i="3"/>
  <c r="B1938" i="3"/>
  <c r="AS1938" i="3" s="1"/>
  <c r="B1939" i="3"/>
  <c r="AR1939" i="3" s="1"/>
  <c r="B1940" i="3"/>
  <c r="AZ1940" i="3" s="1"/>
  <c r="B1941" i="3"/>
  <c r="B1942" i="3"/>
  <c r="B1943" i="3"/>
  <c r="B1944" i="3"/>
  <c r="AY1944" i="3" s="1"/>
  <c r="B1945" i="3"/>
  <c r="B1946" i="3"/>
  <c r="B1947" i="3"/>
  <c r="B1948" i="3"/>
  <c r="B1949" i="3"/>
  <c r="B1950" i="3"/>
  <c r="B1951" i="3"/>
  <c r="B1952" i="3"/>
  <c r="AX1952" i="3" s="1"/>
  <c r="B1953" i="3"/>
  <c r="B1954" i="3"/>
  <c r="B1955" i="3"/>
  <c r="B1956" i="3"/>
  <c r="B1957" i="3"/>
  <c r="AS1957" i="3" s="1"/>
  <c r="B1958" i="3"/>
  <c r="B1959" i="3"/>
  <c r="AT1959" i="3" s="1"/>
  <c r="B1960" i="3"/>
  <c r="B1961" i="3"/>
  <c r="B1962" i="3"/>
  <c r="B1963" i="3"/>
  <c r="B1964" i="3"/>
  <c r="B1965" i="3"/>
  <c r="B1966" i="3"/>
  <c r="B1967" i="3"/>
  <c r="B1968" i="3"/>
  <c r="B1969" i="3"/>
  <c r="B1970" i="3"/>
  <c r="AS1970" i="3" s="1"/>
  <c r="B1971" i="3"/>
  <c r="B1972" i="3"/>
  <c r="AW1972" i="3" s="1"/>
  <c r="B1973" i="3"/>
  <c r="B1974" i="3"/>
  <c r="B1975" i="3"/>
  <c r="AR1975" i="3" s="1"/>
  <c r="B1976" i="3"/>
  <c r="B1977" i="3"/>
  <c r="B1978" i="3"/>
  <c r="AU1978" i="3" s="1"/>
  <c r="B1979" i="3"/>
  <c r="B1980" i="3"/>
  <c r="B1981" i="3"/>
  <c r="B1982" i="3"/>
  <c r="B1983" i="3"/>
  <c r="B1984" i="3"/>
  <c r="B1985" i="3"/>
  <c r="B1986" i="3"/>
  <c r="B1987" i="3"/>
  <c r="B1988" i="3"/>
  <c r="B1989" i="3"/>
  <c r="AZ1989" i="3" s="1"/>
  <c r="B1990" i="3"/>
  <c r="B1991" i="3"/>
  <c r="B1992" i="3"/>
  <c r="AT1992" i="3" s="1"/>
  <c r="B1993" i="3"/>
  <c r="B1994" i="3"/>
  <c r="B1995" i="3"/>
  <c r="AY1995" i="3" s="1"/>
  <c r="B1996" i="3"/>
  <c r="B1997" i="3"/>
  <c r="B1998" i="3"/>
  <c r="B1999" i="3"/>
  <c r="AW1999" i="3" s="1"/>
  <c r="B2000" i="3"/>
  <c r="B2001" i="3"/>
  <c r="B2002" i="3"/>
  <c r="B2003" i="3"/>
  <c r="B2004" i="3"/>
  <c r="B2005" i="3"/>
  <c r="B2006" i="3"/>
  <c r="B2007" i="3"/>
  <c r="AY2007" i="3" s="1"/>
  <c r="B2008" i="3"/>
  <c r="B2009" i="3"/>
  <c r="B2010" i="3"/>
  <c r="B2011" i="3"/>
  <c r="B2012" i="3"/>
  <c r="B2013" i="3"/>
  <c r="B2014" i="3"/>
  <c r="B2015" i="3"/>
  <c r="B2016" i="3"/>
  <c r="AW2016" i="3" s="1"/>
  <c r="B2017" i="3"/>
  <c r="B2018" i="3"/>
  <c r="AV2018" i="3" s="1"/>
  <c r="B2019" i="3"/>
  <c r="B2020" i="3"/>
  <c r="B2021" i="3"/>
  <c r="B2022" i="3"/>
  <c r="B2023" i="3"/>
  <c r="B2024" i="3"/>
  <c r="B2025" i="3"/>
  <c r="B2026" i="3"/>
  <c r="B2027" i="3"/>
  <c r="B2028" i="3"/>
  <c r="B2029" i="3"/>
  <c r="AY2029" i="3" s="1"/>
  <c r="B2030" i="3"/>
  <c r="B2031" i="3"/>
  <c r="B2032" i="3"/>
  <c r="B2033" i="3"/>
  <c r="B2034" i="3"/>
  <c r="B2035" i="3"/>
  <c r="B2036" i="3"/>
  <c r="B2037" i="3"/>
  <c r="AY2037" i="3" s="1"/>
  <c r="B2038" i="3"/>
  <c r="B2039" i="3"/>
  <c r="B2040" i="3"/>
  <c r="AZ2040" i="3" s="1"/>
  <c r="B2041" i="3"/>
  <c r="B2042" i="3"/>
  <c r="B2043" i="3"/>
  <c r="B2044" i="3"/>
  <c r="AU2044" i="3" s="1"/>
  <c r="B2045" i="3"/>
  <c r="AU2045" i="3" s="1"/>
  <c r="B2046" i="3"/>
  <c r="B2047" i="3"/>
  <c r="AS2047" i="3" s="1"/>
  <c r="B2048" i="3"/>
  <c r="AS2048" i="3" s="1"/>
  <c r="B2049" i="3"/>
  <c r="B2050" i="3"/>
  <c r="B2051" i="3"/>
  <c r="AT2051" i="3" s="1"/>
  <c r="B2052" i="3"/>
  <c r="B2053" i="3"/>
  <c r="AY2053" i="3" s="1"/>
  <c r="B2054" i="3"/>
  <c r="B2055" i="3"/>
  <c r="AR2055" i="3" s="1"/>
  <c r="B2056" i="3"/>
  <c r="B2057" i="3"/>
  <c r="B2058" i="3"/>
  <c r="B2059" i="3"/>
  <c r="B2060" i="3"/>
  <c r="B2061" i="3"/>
  <c r="B2062" i="3"/>
  <c r="B2063" i="3"/>
  <c r="B2064" i="3"/>
  <c r="AT2064" i="3" s="1"/>
  <c r="B2065" i="3"/>
  <c r="B2066" i="3"/>
  <c r="B2067" i="3"/>
  <c r="AV2067" i="3" s="1"/>
  <c r="B2068" i="3"/>
  <c r="B2069" i="3"/>
  <c r="AU2069" i="3" s="1"/>
  <c r="B2070" i="3"/>
  <c r="B2071" i="3"/>
  <c r="AZ2071" i="3" s="1"/>
  <c r="B2072" i="3"/>
  <c r="B2073" i="3"/>
  <c r="B2074" i="3"/>
  <c r="B2075" i="3"/>
  <c r="B2076" i="3"/>
  <c r="B2077" i="3"/>
  <c r="B2078" i="3"/>
  <c r="B2079" i="3"/>
  <c r="B2080" i="3"/>
  <c r="B2081" i="3"/>
  <c r="B2082" i="3"/>
  <c r="B2083" i="3"/>
  <c r="B2084" i="3"/>
  <c r="AR2084" i="3" s="1"/>
  <c r="B2085" i="3"/>
  <c r="B2086" i="3"/>
  <c r="B2087" i="3"/>
  <c r="AT2087" i="3" s="1"/>
  <c r="B2088" i="3"/>
  <c r="B2089" i="3"/>
  <c r="B2090" i="3"/>
  <c r="B2091" i="3"/>
  <c r="AR2091" i="3" s="1"/>
  <c r="B2092" i="3"/>
  <c r="AY2092" i="3" s="1"/>
  <c r="B2093" i="3"/>
  <c r="B2094" i="3"/>
  <c r="B2095" i="3"/>
  <c r="B2096" i="3"/>
  <c r="AU2096" i="3" s="1"/>
  <c r="B2097" i="3"/>
  <c r="B2098" i="3"/>
  <c r="B2099" i="3"/>
  <c r="B2100" i="3"/>
  <c r="AX2100" i="3" s="1"/>
  <c r="B2101" i="3"/>
  <c r="B2102" i="3"/>
  <c r="B2103" i="3"/>
  <c r="AU2103" i="3" s="1"/>
  <c r="B2104" i="3"/>
  <c r="AV2104" i="3" s="1"/>
  <c r="B2105" i="3"/>
  <c r="B2106" i="3"/>
  <c r="B2107" i="3"/>
  <c r="AV2107" i="3" s="1"/>
  <c r="B2108" i="3"/>
  <c r="B2109" i="3"/>
  <c r="AR2109" i="3" s="1"/>
  <c r="B2110" i="3"/>
  <c r="B2111" i="3"/>
  <c r="AY2111" i="3" s="1"/>
  <c r="B2112" i="3"/>
  <c r="B2113" i="3"/>
  <c r="B2114" i="3"/>
  <c r="B2115" i="3"/>
  <c r="BA2115" i="3" s="1"/>
  <c r="B2116" i="3"/>
  <c r="B2117" i="3"/>
  <c r="B2118" i="3"/>
  <c r="B2119" i="3"/>
  <c r="AS2119" i="3" s="1"/>
  <c r="B2120" i="3"/>
  <c r="AT2120" i="3" s="1"/>
  <c r="B2121" i="3"/>
  <c r="B2122" i="3"/>
  <c r="B2123" i="3"/>
  <c r="B2124" i="3"/>
  <c r="B2125" i="3"/>
  <c r="B2126" i="3"/>
  <c r="B2127" i="3"/>
  <c r="AV2127" i="3" s="1"/>
  <c r="B2128" i="3"/>
  <c r="AW2128" i="3" s="1"/>
  <c r="B2129" i="3"/>
  <c r="B2130" i="3"/>
  <c r="B2131" i="3"/>
  <c r="BA2131" i="3" s="1"/>
  <c r="B2132" i="3"/>
  <c r="B2133" i="3"/>
  <c r="B2134" i="3"/>
  <c r="B2135" i="3"/>
  <c r="AX2135" i="3" s="1"/>
  <c r="B2136" i="3"/>
  <c r="B2137" i="3"/>
  <c r="B2138" i="3"/>
  <c r="B2139" i="3"/>
  <c r="B2140" i="3"/>
  <c r="AX2140" i="3" s="1"/>
  <c r="B2141" i="3"/>
  <c r="B2142" i="3"/>
  <c r="B2143" i="3"/>
  <c r="AR2143" i="3" s="1"/>
  <c r="B2144" i="3"/>
  <c r="AU2144" i="3" s="1"/>
  <c r="B2145" i="3"/>
  <c r="B2146" i="3"/>
  <c r="B2147" i="3"/>
  <c r="AS2147" i="3" s="1"/>
  <c r="B2148" i="3"/>
  <c r="AR2148" i="3" s="1"/>
  <c r="B2149" i="3"/>
  <c r="AY2149" i="3" s="1"/>
  <c r="B2150" i="3"/>
  <c r="B2151" i="3"/>
  <c r="AT2151" i="3" s="1"/>
  <c r="B2152" i="3"/>
  <c r="AT2152" i="3" s="1"/>
  <c r="B2153" i="3"/>
  <c r="AS2153" i="3" s="1"/>
  <c r="B2154" i="3"/>
  <c r="B2155" i="3"/>
  <c r="AT2155" i="3" s="1"/>
  <c r="B2156" i="3"/>
  <c r="AU2156" i="3" s="1"/>
  <c r="B2157" i="3"/>
  <c r="AT2157" i="3" s="1"/>
  <c r="B2158" i="3"/>
  <c r="B2159" i="3"/>
  <c r="AU2159" i="3" s="1"/>
  <c r="B2160" i="3"/>
  <c r="B2161" i="3"/>
  <c r="AV2161" i="3" s="1"/>
  <c r="B2162" i="3"/>
  <c r="B2163" i="3"/>
  <c r="AS2163" i="3" s="1"/>
  <c r="B2164" i="3"/>
  <c r="AW2164" i="3" s="1"/>
  <c r="B2165" i="3"/>
  <c r="B2166" i="3"/>
  <c r="B2167" i="3"/>
  <c r="AW2167" i="3" s="1"/>
  <c r="B2168" i="3"/>
  <c r="AR2168" i="3" s="1"/>
  <c r="B2169" i="3"/>
  <c r="B2170" i="3"/>
  <c r="B2171" i="3"/>
  <c r="AS2171" i="3" s="1"/>
  <c r="B2172" i="3"/>
  <c r="AW2172" i="3" s="1"/>
  <c r="B2173" i="3"/>
  <c r="B2174" i="3"/>
  <c r="B2175" i="3"/>
  <c r="AY2175" i="3" s="1"/>
  <c r="B2176" i="3"/>
  <c r="B2177" i="3"/>
  <c r="B2178" i="3"/>
  <c r="B2179" i="3"/>
  <c r="AW2179" i="3" s="1"/>
  <c r="B2180" i="3"/>
  <c r="B2181" i="3"/>
  <c r="B2182" i="3"/>
  <c r="B2183" i="3"/>
  <c r="B2184" i="3"/>
  <c r="B2185" i="3"/>
  <c r="B2186" i="3"/>
  <c r="B2187" i="3"/>
  <c r="AV2187" i="3" s="1"/>
  <c r="B2188" i="3"/>
  <c r="AX2188" i="3" s="1"/>
  <c r="B2189" i="3"/>
  <c r="B2190" i="3"/>
  <c r="B2191" i="3"/>
  <c r="AU2191" i="3" s="1"/>
  <c r="B2192" i="3"/>
  <c r="AU2192" i="3" s="1"/>
  <c r="B2193" i="3"/>
  <c r="B2194" i="3"/>
  <c r="B2195" i="3"/>
  <c r="AX2195" i="3" s="1"/>
  <c r="B2196" i="3"/>
  <c r="B2197" i="3"/>
  <c r="B2198" i="3"/>
  <c r="B2199" i="3"/>
  <c r="AW2199" i="3" s="1"/>
  <c r="B2200" i="3"/>
  <c r="AV2200" i="3" s="1"/>
  <c r="B2201" i="3"/>
  <c r="B2202" i="3"/>
  <c r="B2203" i="3"/>
  <c r="AW2203" i="3" s="1"/>
  <c r="B2204" i="3"/>
  <c r="B2205" i="3"/>
  <c r="B2206" i="3"/>
  <c r="B2207" i="3"/>
  <c r="AY2207" i="3" s="1"/>
  <c r="B2208" i="3"/>
  <c r="AV2208" i="3" s="1"/>
  <c r="B2209" i="3"/>
  <c r="BA2209" i="3" s="1"/>
  <c r="B2210" i="3"/>
  <c r="B2211" i="3"/>
  <c r="B2212" i="3"/>
  <c r="AZ2212" i="3" s="1"/>
  <c r="B2213" i="3"/>
  <c r="B2214" i="3"/>
  <c r="B2215" i="3"/>
  <c r="AR2215" i="3" s="1"/>
  <c r="B2216" i="3"/>
  <c r="AY2216" i="3" s="1"/>
  <c r="B2217" i="3"/>
  <c r="B2218" i="3"/>
  <c r="B2219" i="3"/>
  <c r="B2220" i="3"/>
  <c r="B2221" i="3"/>
  <c r="B2222" i="3"/>
  <c r="B2223" i="3"/>
  <c r="AT2223" i="3" s="1"/>
  <c r="B2224" i="3"/>
  <c r="AU2224" i="3" s="1"/>
  <c r="B2225" i="3"/>
  <c r="B2226" i="3"/>
  <c r="B2227" i="3"/>
  <c r="AW2227" i="3" s="1"/>
  <c r="B2228" i="3"/>
  <c r="AU2228" i="3" s="1"/>
  <c r="B2229" i="3"/>
  <c r="B2230" i="3"/>
  <c r="B2231" i="3"/>
  <c r="AV2231" i="3" s="1"/>
  <c r="B2232" i="3"/>
  <c r="AX2232" i="3" s="1"/>
  <c r="B2233" i="3"/>
  <c r="B2234" i="3"/>
  <c r="B2235" i="3"/>
  <c r="BA2235" i="3" s="1"/>
  <c r="B2236" i="3"/>
  <c r="B2237" i="3"/>
  <c r="B2238" i="3"/>
  <c r="B2239" i="3"/>
  <c r="AX2239" i="3" s="1"/>
  <c r="B2240" i="3"/>
  <c r="AZ2240" i="3" s="1"/>
  <c r="B2241" i="3"/>
  <c r="B2242" i="3"/>
  <c r="B2243" i="3"/>
  <c r="AT2243" i="3" s="1"/>
  <c r="B2244" i="3"/>
  <c r="B2245" i="3"/>
  <c r="B2246" i="3"/>
  <c r="B2247" i="3"/>
  <c r="AR2247" i="3" s="1"/>
  <c r="B2248" i="3"/>
  <c r="B2249" i="3"/>
  <c r="B2250" i="3"/>
  <c r="B2251" i="3"/>
  <c r="B2252" i="3"/>
  <c r="B2253" i="3"/>
  <c r="B2254" i="3"/>
  <c r="B2255" i="3"/>
  <c r="AT2255" i="3" s="1"/>
  <c r="B2256" i="3"/>
  <c r="B2257" i="3"/>
  <c r="B2258" i="3"/>
  <c r="B2259" i="3"/>
  <c r="AY2259" i="3" s="1"/>
  <c r="B2260" i="3"/>
  <c r="B2261" i="3"/>
  <c r="B2262" i="3"/>
  <c r="B2263" i="3"/>
  <c r="AV2263" i="3" s="1"/>
  <c r="B2264" i="3"/>
  <c r="AV2264" i="3" s="1"/>
  <c r="B2265" i="3"/>
  <c r="B2266" i="3"/>
  <c r="AV2266" i="3" s="1"/>
  <c r="B2267" i="3"/>
  <c r="B2268" i="3"/>
  <c r="AS2268" i="3" s="1"/>
  <c r="B2269" i="3"/>
  <c r="B2270" i="3"/>
  <c r="B2271" i="3"/>
  <c r="AX2271" i="3" s="1"/>
  <c r="B2272" i="3"/>
  <c r="AR2272" i="3" s="1"/>
  <c r="B2273" i="3"/>
  <c r="B2274" i="3"/>
  <c r="B2275" i="3"/>
  <c r="AY2275" i="3" s="1"/>
  <c r="B2276" i="3"/>
  <c r="B2277" i="3"/>
  <c r="B2278" i="3"/>
  <c r="B2279" i="3"/>
  <c r="B2280" i="3"/>
  <c r="AU2280" i="3" s="1"/>
  <c r="B2281" i="3"/>
  <c r="B2282" i="3"/>
  <c r="B2283" i="3"/>
  <c r="AX2283" i="3" s="1"/>
  <c r="B2284" i="3"/>
  <c r="AY2284" i="3" s="1"/>
  <c r="B2285" i="3"/>
  <c r="B2286" i="3"/>
  <c r="B2287" i="3"/>
  <c r="AT2287" i="3" s="1"/>
  <c r="B2288" i="3"/>
  <c r="AW2288" i="3" s="1"/>
  <c r="B2289" i="3"/>
  <c r="B2290" i="3"/>
  <c r="B2291" i="3"/>
  <c r="B2292" i="3"/>
  <c r="AW2292" i="3" s="1"/>
  <c r="B2293" i="3"/>
  <c r="B2294" i="3"/>
  <c r="B2295" i="3"/>
  <c r="AV2295" i="3" s="1"/>
  <c r="B2296" i="3"/>
  <c r="AX2296" i="3" s="1"/>
  <c r="B2297" i="3"/>
  <c r="B2298" i="3"/>
  <c r="B2299" i="3"/>
  <c r="AR2299" i="3" s="1"/>
  <c r="B2300" i="3"/>
  <c r="B2301" i="3"/>
  <c r="B2302" i="3"/>
  <c r="B2303" i="3"/>
  <c r="AX2303" i="3" s="1"/>
  <c r="B2304" i="3"/>
  <c r="B2305" i="3"/>
  <c r="B2306" i="3"/>
  <c r="B2307" i="3"/>
  <c r="B2308" i="3"/>
  <c r="B2309" i="3"/>
  <c r="B2310" i="3"/>
  <c r="B2311" i="3"/>
  <c r="AR2311" i="3" s="1"/>
  <c r="B2312" i="3"/>
  <c r="B2313" i="3"/>
  <c r="B2314" i="3"/>
  <c r="B2315" i="3"/>
  <c r="BA2315" i="3" s="1"/>
  <c r="B2316" i="3"/>
  <c r="B2317" i="3"/>
  <c r="B2318" i="3"/>
  <c r="B2319" i="3"/>
  <c r="AR2319" i="3" s="1"/>
  <c r="B2320" i="3"/>
  <c r="BA2320" i="3" s="1"/>
  <c r="B2321" i="3"/>
  <c r="AX2321" i="3" s="1"/>
  <c r="B2322" i="3"/>
  <c r="B2323" i="3"/>
  <c r="B2324" i="3"/>
  <c r="B2325" i="3"/>
  <c r="B2326" i="3"/>
  <c r="B2327" i="3"/>
  <c r="AT2327" i="3" s="1"/>
  <c r="B2328" i="3"/>
  <c r="AZ2328" i="3" s="1"/>
  <c r="B2329" i="3"/>
  <c r="B2330" i="3"/>
  <c r="AU2330" i="3" s="1"/>
  <c r="B2331" i="3"/>
  <c r="AX2331" i="3" s="1"/>
  <c r="B2332" i="3"/>
  <c r="AR2332" i="3" s="1"/>
  <c r="B2333" i="3"/>
  <c r="B2334" i="3"/>
  <c r="B2335" i="3"/>
  <c r="B2336" i="3"/>
  <c r="AT2336" i="3" s="1"/>
  <c r="B2337" i="3"/>
  <c r="B2338" i="3"/>
  <c r="B2339" i="3"/>
  <c r="AW2339" i="3" s="1"/>
  <c r="B2340" i="3"/>
  <c r="B2341" i="3"/>
  <c r="B2342" i="3"/>
  <c r="B2343" i="3"/>
  <c r="B2344" i="3"/>
  <c r="AW2344" i="3" s="1"/>
  <c r="B2345" i="3"/>
  <c r="B2346" i="3"/>
  <c r="B2347" i="3"/>
  <c r="B2348" i="3"/>
  <c r="AY2348" i="3" s="1"/>
  <c r="B2349" i="3"/>
  <c r="B2350" i="3"/>
  <c r="B2351" i="3"/>
  <c r="AR2351" i="3" s="1"/>
  <c r="B2352" i="3"/>
  <c r="AU2352" i="3" s="1"/>
  <c r="B2353" i="3"/>
  <c r="B2354" i="3"/>
  <c r="AR2354" i="3" s="1"/>
  <c r="B2355" i="3"/>
  <c r="B2356" i="3"/>
  <c r="B2357" i="3"/>
  <c r="B2358" i="3"/>
  <c r="B2359" i="3"/>
  <c r="AT2359" i="3" s="1"/>
  <c r="B2360" i="3"/>
  <c r="B2361" i="3"/>
  <c r="B2362" i="3"/>
  <c r="B2363" i="3"/>
  <c r="B2364" i="3"/>
  <c r="B2365" i="3"/>
  <c r="B2366" i="3"/>
  <c r="B2367" i="3"/>
  <c r="AV2367" i="3" s="1"/>
  <c r="B2368" i="3"/>
  <c r="AR2368" i="3" s="1"/>
  <c r="B2369" i="3"/>
  <c r="B2370" i="3"/>
  <c r="B2371" i="3"/>
  <c r="B2372" i="3"/>
  <c r="B2373" i="3"/>
  <c r="B2374" i="3"/>
  <c r="B2375" i="3"/>
  <c r="B2376" i="3"/>
  <c r="AR2376" i="3" s="1"/>
  <c r="B2377" i="3"/>
  <c r="B2378" i="3"/>
  <c r="B2379" i="3"/>
  <c r="B2380" i="3"/>
  <c r="AV2380" i="3" s="1"/>
  <c r="B2381" i="3"/>
  <c r="B2382" i="3"/>
  <c r="B2383" i="3"/>
  <c r="B2384" i="3"/>
  <c r="B2385" i="3"/>
  <c r="B2386" i="3"/>
  <c r="B2387" i="3"/>
  <c r="AY2387" i="3" s="1"/>
  <c r="B2388" i="3"/>
  <c r="AU2388" i="3" s="1"/>
  <c r="B2389" i="3"/>
  <c r="B2390" i="3"/>
  <c r="B2391" i="3"/>
  <c r="AT2391" i="3" s="1"/>
  <c r="B2392" i="3"/>
  <c r="AS2392" i="3" s="1"/>
  <c r="B2393" i="3"/>
  <c r="B2394" i="3"/>
  <c r="AY2394" i="3" s="1"/>
  <c r="B2395" i="3"/>
  <c r="B2396" i="3"/>
  <c r="B2397" i="3"/>
  <c r="B2398" i="3"/>
  <c r="B2399" i="3"/>
  <c r="AV2399" i="3" s="1"/>
  <c r="B2400" i="3"/>
  <c r="B2401" i="3"/>
  <c r="B2402" i="3"/>
  <c r="B2403" i="3"/>
  <c r="B2404" i="3"/>
  <c r="AZ2404" i="3" s="1"/>
  <c r="B2405" i="3"/>
  <c r="B2406" i="3"/>
  <c r="B2407" i="3"/>
  <c r="AR2407" i="3" s="1"/>
  <c r="B2408" i="3"/>
  <c r="B2409" i="3"/>
  <c r="B2410" i="3"/>
  <c r="B2411" i="3"/>
  <c r="AS2411" i="3" s="1"/>
  <c r="B2412" i="3"/>
  <c r="BA2412" i="3" s="1"/>
  <c r="B2413" i="3"/>
  <c r="B2414" i="3"/>
  <c r="B2415" i="3"/>
  <c r="AR2415" i="3" s="1"/>
  <c r="B2416" i="3"/>
  <c r="B2417" i="3"/>
  <c r="AX2417" i="3" s="1"/>
  <c r="B2418" i="3"/>
  <c r="B2419" i="3"/>
  <c r="B2420" i="3"/>
  <c r="B2421" i="3"/>
  <c r="B2422" i="3"/>
  <c r="B2423" i="3"/>
  <c r="AS2423" i="3" s="1"/>
  <c r="B2424" i="3"/>
  <c r="B2425" i="3"/>
  <c r="B2426" i="3"/>
  <c r="B2427" i="3"/>
  <c r="B2428" i="3"/>
  <c r="B2429" i="3"/>
  <c r="B2430" i="3"/>
  <c r="B2431" i="3"/>
  <c r="B2432" i="3"/>
  <c r="B2433" i="3"/>
  <c r="B2434" i="3"/>
  <c r="B2435" i="3"/>
  <c r="B2436" i="3"/>
  <c r="AZ2436" i="3" s="1"/>
  <c r="B2437" i="3"/>
  <c r="B2438" i="3"/>
  <c r="B2439" i="3"/>
  <c r="AW2439" i="3" s="1"/>
  <c r="B2440" i="3"/>
  <c r="AZ2440" i="3" s="1"/>
  <c r="B2441" i="3"/>
  <c r="B2442" i="3"/>
  <c r="B2443" i="3"/>
  <c r="AR2443" i="3" s="1"/>
  <c r="B2444" i="3"/>
  <c r="AW2444" i="3" s="1"/>
  <c r="B2445" i="3"/>
  <c r="B2446" i="3"/>
  <c r="B2447" i="3"/>
  <c r="AS2447" i="3" s="1"/>
  <c r="B2448" i="3"/>
  <c r="B2449" i="3"/>
  <c r="B2450" i="3"/>
  <c r="B2451" i="3"/>
  <c r="B2452" i="3"/>
  <c r="B2453" i="3"/>
  <c r="B2454" i="3"/>
  <c r="B2455" i="3"/>
  <c r="B2456" i="3"/>
  <c r="B2457" i="3"/>
  <c r="B2458" i="3"/>
  <c r="B2459" i="3"/>
  <c r="B2460" i="3"/>
  <c r="B2461" i="3"/>
  <c r="B2462" i="3"/>
  <c r="B2463" i="3"/>
  <c r="B2464" i="3"/>
  <c r="BA2464" i="3" s="1"/>
  <c r="B2465" i="3"/>
  <c r="B2466" i="3"/>
  <c r="B2467" i="3"/>
  <c r="BA2467" i="3" s="1"/>
  <c r="B2468" i="3"/>
  <c r="B2469" i="3"/>
  <c r="B2470" i="3"/>
  <c r="B2471" i="3"/>
  <c r="B2472" i="3"/>
  <c r="B2473" i="3"/>
  <c r="B2474" i="3"/>
  <c r="B2475" i="3"/>
  <c r="B2476" i="3"/>
  <c r="B2477" i="3"/>
  <c r="B2478" i="3"/>
  <c r="B2479" i="3"/>
  <c r="B2480" i="3"/>
  <c r="B2481" i="3"/>
  <c r="AX2481" i="3" s="1"/>
  <c r="B2482" i="3"/>
  <c r="B2483" i="3"/>
  <c r="B2484" i="3"/>
  <c r="B2485" i="3"/>
  <c r="B2486" i="3"/>
  <c r="B2487" i="3"/>
  <c r="B2488" i="3"/>
  <c r="B2489" i="3"/>
  <c r="B2490" i="3"/>
  <c r="B2491" i="3"/>
  <c r="B2492" i="3"/>
  <c r="AZ2492" i="3" s="1"/>
  <c r="B2493" i="3"/>
  <c r="B2494" i="3"/>
  <c r="B2495" i="3"/>
  <c r="B2496" i="3"/>
  <c r="AY2496" i="3" s="1"/>
  <c r="B2497" i="3"/>
  <c r="B2498" i="3"/>
  <c r="B2499" i="3"/>
  <c r="B2500" i="3"/>
  <c r="B2501" i="3"/>
  <c r="B2502" i="3"/>
  <c r="B2503" i="3"/>
  <c r="B2504" i="3"/>
  <c r="AU2504" i="3" s="1"/>
  <c r="B2505" i="3"/>
  <c r="B2506" i="3"/>
  <c r="B2507" i="3"/>
  <c r="B2508" i="3"/>
  <c r="BA2508" i="3" s="1"/>
  <c r="B2509" i="3"/>
  <c r="B2510" i="3"/>
  <c r="B2511" i="3"/>
  <c r="B2512" i="3"/>
  <c r="B2513" i="3"/>
  <c r="B2514" i="3"/>
  <c r="B2515" i="3"/>
  <c r="AX2515" i="3" s="1"/>
  <c r="B2516" i="3"/>
  <c r="B2517" i="3"/>
  <c r="B2518" i="3"/>
  <c r="B2519" i="3"/>
  <c r="B2520" i="3"/>
  <c r="AY2520" i="3" s="1"/>
  <c r="B2521" i="3"/>
  <c r="B2522" i="3"/>
  <c r="B2523" i="3"/>
  <c r="B2524" i="3"/>
  <c r="B2525" i="3"/>
  <c r="B2526" i="3"/>
  <c r="B2527" i="3"/>
  <c r="B2528" i="3"/>
  <c r="AV2528" i="3" s="1"/>
  <c r="B2529" i="3"/>
  <c r="AW2529" i="3" s="1"/>
  <c r="B2530" i="3"/>
  <c r="AS2530" i="3" s="1"/>
  <c r="B2531" i="3"/>
  <c r="B2532" i="3"/>
  <c r="B2533" i="3"/>
  <c r="B2534" i="3"/>
  <c r="B2535" i="3"/>
  <c r="B2536" i="3"/>
  <c r="AT2536" i="3" s="1"/>
  <c r="B2537" i="3"/>
  <c r="AW2537" i="3" s="1"/>
  <c r="B2538" i="3"/>
  <c r="B2539" i="3"/>
  <c r="B2540" i="3"/>
  <c r="B2541" i="3"/>
  <c r="B2542" i="3"/>
  <c r="B2543" i="3"/>
  <c r="B2544" i="3"/>
  <c r="B2545" i="3"/>
  <c r="B2546" i="3"/>
  <c r="B2547" i="3"/>
  <c r="B2548" i="3"/>
  <c r="B2549" i="3"/>
  <c r="B2550" i="3"/>
  <c r="B2551" i="3"/>
  <c r="B2552" i="3"/>
  <c r="B2553" i="3"/>
  <c r="AY2553" i="3" s="1"/>
  <c r="B2554" i="3"/>
  <c r="B2555" i="3"/>
  <c r="B2556" i="3"/>
  <c r="B2557" i="3"/>
  <c r="B2558" i="3"/>
  <c r="B2559" i="3"/>
  <c r="B2560" i="3"/>
  <c r="AR2560" i="3" s="1"/>
  <c r="B2561" i="3"/>
  <c r="B2562" i="3"/>
  <c r="AU2562" i="3" s="1"/>
  <c r="B2563" i="3"/>
  <c r="B2564" i="3"/>
  <c r="B2565" i="3"/>
  <c r="B2566" i="3"/>
  <c r="B2567" i="3"/>
  <c r="B2568" i="3"/>
  <c r="AS2568" i="3" s="1"/>
  <c r="B2569" i="3"/>
  <c r="B2570" i="3"/>
  <c r="AX2570" i="3" s="1"/>
  <c r="B2571" i="3"/>
  <c r="B2572" i="3"/>
  <c r="B2573" i="3"/>
  <c r="B2574" i="3"/>
  <c r="B2575" i="3"/>
  <c r="B2576" i="3"/>
  <c r="B2577" i="3"/>
  <c r="AW2577" i="3" s="1"/>
  <c r="B2578" i="3"/>
  <c r="B2579" i="3"/>
  <c r="B2580" i="3"/>
  <c r="B2581" i="3"/>
  <c r="AZ2581" i="3" s="1"/>
  <c r="B2582" i="3"/>
  <c r="B2583" i="3"/>
  <c r="AW2583" i="3" s="1"/>
  <c r="B2584" i="3"/>
  <c r="B2585" i="3"/>
  <c r="B2586" i="3"/>
  <c r="B2587" i="3"/>
  <c r="B2588" i="3"/>
  <c r="AX2588" i="3" s="1"/>
  <c r="B2589" i="3"/>
  <c r="B2590" i="3"/>
  <c r="B2591" i="3"/>
  <c r="B2592" i="3"/>
  <c r="BA2592" i="3" s="1"/>
  <c r="B2593" i="3"/>
  <c r="B2594" i="3"/>
  <c r="AY2594" i="3" s="1"/>
  <c r="B2595" i="3"/>
  <c r="B2596" i="3"/>
  <c r="B2597" i="3"/>
  <c r="AZ2597" i="3" s="1"/>
  <c r="B2598" i="3"/>
  <c r="B2599" i="3"/>
  <c r="B2600" i="3"/>
  <c r="B2601" i="3"/>
  <c r="AY2601" i="3" s="1"/>
  <c r="B2602" i="3"/>
  <c r="B2603" i="3"/>
  <c r="B2604" i="3"/>
  <c r="AR2604" i="3" s="1"/>
  <c r="B2605" i="3"/>
  <c r="B2606" i="3"/>
  <c r="B2607" i="3"/>
  <c r="B2608" i="3"/>
  <c r="AV2608" i="3" s="1"/>
  <c r="B2609" i="3"/>
  <c r="B2610" i="3"/>
  <c r="AY2610" i="3" s="1"/>
  <c r="B2611" i="3"/>
  <c r="B2612" i="3"/>
  <c r="B2613" i="3"/>
  <c r="AZ2613" i="3" s="1"/>
  <c r="B2614" i="3"/>
  <c r="B2615" i="3"/>
  <c r="B2616" i="3"/>
  <c r="B2617" i="3"/>
  <c r="B2618" i="3"/>
  <c r="B2619" i="3"/>
  <c r="B2620" i="3"/>
  <c r="B2621" i="3"/>
  <c r="B2622" i="3"/>
  <c r="B2623" i="3"/>
  <c r="AY2623" i="3" s="1"/>
  <c r="B2624" i="3"/>
  <c r="B2625" i="3"/>
  <c r="AV2625" i="3" s="1"/>
  <c r="B2626" i="3"/>
  <c r="BA2626" i="3" s="1"/>
  <c r="B2627" i="3"/>
  <c r="B2628" i="3"/>
  <c r="AV2628" i="3" s="1"/>
  <c r="B2629" i="3"/>
  <c r="B2630" i="3"/>
  <c r="B2631" i="3"/>
  <c r="B2632" i="3"/>
  <c r="B2633" i="3"/>
  <c r="B2634" i="3"/>
  <c r="B2635" i="3"/>
  <c r="B2636" i="3"/>
  <c r="AX2636" i="3" s="1"/>
  <c r="B2637" i="3"/>
  <c r="B2638" i="3"/>
  <c r="B2639" i="3"/>
  <c r="B2640" i="3"/>
  <c r="AZ2640" i="3" s="1"/>
  <c r="B2641" i="3"/>
  <c r="AV2641" i="3" s="1"/>
  <c r="B2642" i="3"/>
  <c r="B2643" i="3"/>
  <c r="B2644" i="3"/>
  <c r="AU2644" i="3" s="1"/>
  <c r="B2645" i="3"/>
  <c r="B2646" i="3"/>
  <c r="B2647" i="3"/>
  <c r="B2648" i="3"/>
  <c r="B2649" i="3"/>
  <c r="AR2649" i="3" s="1"/>
  <c r="B2650" i="3"/>
  <c r="AR2650" i="3" s="1"/>
  <c r="B2651" i="3"/>
  <c r="B2652" i="3"/>
  <c r="B2653" i="3"/>
  <c r="B2654" i="3"/>
  <c r="B2655" i="3"/>
  <c r="B2656" i="3"/>
  <c r="B2657" i="3"/>
  <c r="B2658" i="3"/>
  <c r="B2659" i="3"/>
  <c r="B2660" i="3"/>
  <c r="AV2660" i="3" s="1"/>
  <c r="B2661" i="3"/>
  <c r="B2662" i="3"/>
  <c r="B2663" i="3"/>
  <c r="AU2663" i="3" s="1"/>
  <c r="B2664" i="3"/>
  <c r="B2665" i="3"/>
  <c r="B2666" i="3"/>
  <c r="AW2666" i="3" s="1"/>
  <c r="B2667" i="3"/>
  <c r="B2668" i="3"/>
  <c r="B2669" i="3"/>
  <c r="B2670" i="3"/>
  <c r="B2671" i="3"/>
  <c r="BA2671" i="3" s="1"/>
  <c r="B2672" i="3"/>
  <c r="B2673" i="3"/>
  <c r="B2674" i="3"/>
  <c r="AX2674" i="3" s="1"/>
  <c r="B2675" i="3"/>
  <c r="B2676" i="3"/>
  <c r="B2677" i="3"/>
  <c r="B2678" i="3"/>
  <c r="B2679" i="3"/>
  <c r="B2680" i="3"/>
  <c r="B2681" i="3"/>
  <c r="B2682" i="3"/>
  <c r="AU2682" i="3" s="1"/>
  <c r="B2683" i="3"/>
  <c r="B2684" i="3"/>
  <c r="B2685" i="3"/>
  <c r="B2686" i="3"/>
  <c r="B2687" i="3"/>
  <c r="B2688" i="3"/>
  <c r="B2689" i="3"/>
  <c r="B2690" i="3"/>
  <c r="AX2690" i="3" s="1"/>
  <c r="B2691" i="3"/>
  <c r="AZ2691" i="3" s="1"/>
  <c r="B2692" i="3"/>
  <c r="B2693" i="3"/>
  <c r="B2694" i="3"/>
  <c r="B2695" i="3"/>
  <c r="B2696" i="3"/>
  <c r="B2697" i="3"/>
  <c r="B2698" i="3"/>
  <c r="B2699" i="3"/>
  <c r="B2700" i="3"/>
  <c r="B2701" i="3"/>
  <c r="AZ2701" i="3" s="1"/>
  <c r="B2702" i="3"/>
  <c r="B2703" i="3"/>
  <c r="B2704" i="3"/>
  <c r="B2705" i="3"/>
  <c r="AR2705" i="3" s="1"/>
  <c r="B2706" i="3"/>
  <c r="B2707" i="3"/>
  <c r="B2708" i="3"/>
  <c r="B2709" i="3"/>
  <c r="B2710" i="3"/>
  <c r="B2711" i="3"/>
  <c r="B2712" i="3"/>
  <c r="BA2712" i="3" s="1"/>
  <c r="B2713" i="3"/>
  <c r="AR2713" i="3" s="1"/>
  <c r="B2714" i="3"/>
  <c r="B2715" i="3"/>
  <c r="B2716" i="3"/>
  <c r="B2717" i="3"/>
  <c r="B2718" i="3"/>
  <c r="B2719" i="3"/>
  <c r="B2720" i="3"/>
  <c r="B2721" i="3"/>
  <c r="B2722" i="3"/>
  <c r="B2723" i="3"/>
  <c r="AV2723" i="3" s="1"/>
  <c r="B2724" i="3"/>
  <c r="B2725" i="3"/>
  <c r="B2726" i="3"/>
  <c r="B2727" i="3"/>
  <c r="AT2727" i="3" s="1"/>
  <c r="B2728" i="3"/>
  <c r="B2729" i="3"/>
  <c r="B2730" i="3"/>
  <c r="AX2730" i="3" s="1"/>
  <c r="B2731" i="3"/>
  <c r="B2732" i="3"/>
  <c r="B2733" i="3"/>
  <c r="B2734" i="3"/>
  <c r="B2735" i="3"/>
  <c r="AR2735" i="3" s="1"/>
  <c r="B2736" i="3"/>
  <c r="B2737" i="3"/>
  <c r="B2738" i="3"/>
  <c r="BA2738" i="3" s="1"/>
  <c r="B2739" i="3"/>
  <c r="AZ2739" i="3" s="1"/>
  <c r="B2740" i="3"/>
  <c r="AT2740" i="3" s="1"/>
  <c r="B2741" i="3"/>
  <c r="B2742" i="3"/>
  <c r="B2743" i="3"/>
  <c r="B2744" i="3"/>
  <c r="B2745" i="3"/>
  <c r="B2746" i="3"/>
  <c r="AS2746" i="3" s="1"/>
  <c r="B2747" i="3"/>
  <c r="AY2747" i="3" s="1"/>
  <c r="B2748" i="3"/>
  <c r="B2749" i="3"/>
  <c r="B2750" i="3"/>
  <c r="B2751" i="3"/>
  <c r="AZ2751" i="3" s="1"/>
  <c r="B2752" i="3"/>
  <c r="B2753" i="3"/>
  <c r="AV2753" i="3" s="1"/>
  <c r="B2754" i="3"/>
  <c r="AZ2754" i="3" s="1"/>
  <c r="B2755" i="3"/>
  <c r="AV2755" i="3" s="1"/>
  <c r="B2756" i="3"/>
  <c r="B2757" i="3"/>
  <c r="B2758" i="3"/>
  <c r="B2759" i="3"/>
  <c r="AY2759" i="3" s="1"/>
  <c r="B2760" i="3"/>
  <c r="B2761" i="3"/>
  <c r="AZ2761" i="3" s="1"/>
  <c r="B2762" i="3"/>
  <c r="B2763" i="3"/>
  <c r="B2764" i="3"/>
  <c r="B2765" i="3"/>
  <c r="B2766" i="3"/>
  <c r="B2767" i="3"/>
  <c r="B2768" i="3"/>
  <c r="B2769" i="3"/>
  <c r="B2770" i="3"/>
  <c r="B2771" i="3"/>
  <c r="B2772" i="3"/>
  <c r="B2773" i="3"/>
  <c r="AS2773" i="3" s="1"/>
  <c r="B2774" i="3"/>
  <c r="B2775" i="3"/>
  <c r="B2776" i="3"/>
  <c r="B2777" i="3"/>
  <c r="AR2777" i="3" s="1"/>
  <c r="B9" i="3"/>
  <c r="C565" i="13"/>
  <c r="C692" i="13"/>
  <c r="C761" i="13"/>
  <c r="C772" i="13"/>
  <c r="C997" i="13"/>
  <c r="C1019" i="13"/>
  <c r="C1034" i="13"/>
  <c r="C1036" i="13"/>
  <c r="C1044" i="13"/>
  <c r="C1049" i="13"/>
  <c r="C1056" i="13"/>
  <c r="C1057" i="13"/>
  <c r="C1061" i="13"/>
  <c r="C1064" i="13"/>
  <c r="C1072" i="13"/>
  <c r="C1102" i="13"/>
  <c r="B10" i="13"/>
  <c r="B11" i="13"/>
  <c r="AD11" i="13" s="1"/>
  <c r="B12" i="13"/>
  <c r="AD12" i="13" s="1"/>
  <c r="B13" i="13"/>
  <c r="B14" i="13"/>
  <c r="AD14" i="13" s="1"/>
  <c r="B15" i="13"/>
  <c r="AD15" i="13" s="1"/>
  <c r="B16" i="13"/>
  <c r="B17" i="13"/>
  <c r="AA17" i="13" s="1"/>
  <c r="B18" i="13"/>
  <c r="B19" i="13"/>
  <c r="AD19" i="13" s="1"/>
  <c r="B20" i="13"/>
  <c r="B21" i="13"/>
  <c r="Y21" i="13" s="1"/>
  <c r="B22" i="13"/>
  <c r="B23" i="13"/>
  <c r="AD23" i="13" s="1"/>
  <c r="B24" i="13"/>
  <c r="B25" i="13"/>
  <c r="AD25" i="13" s="1"/>
  <c r="B26" i="13"/>
  <c r="Y26" i="13" s="1"/>
  <c r="B27" i="13"/>
  <c r="X27" i="13" s="1"/>
  <c r="B28" i="13"/>
  <c r="AD28" i="13" s="1"/>
  <c r="B29" i="13"/>
  <c r="AD29" i="13" s="1"/>
  <c r="B30" i="13"/>
  <c r="W30" i="13" s="1"/>
  <c r="B31" i="13"/>
  <c r="AD31" i="13" s="1"/>
  <c r="B32" i="13"/>
  <c r="AD32" i="13" s="1"/>
  <c r="B33" i="13"/>
  <c r="AD33" i="13" s="1"/>
  <c r="B34" i="13"/>
  <c r="B35" i="13"/>
  <c r="AD35" i="13" s="1"/>
  <c r="B36" i="13"/>
  <c r="B37" i="13"/>
  <c r="Z37" i="13" s="1"/>
  <c r="B38" i="13"/>
  <c r="X38" i="13" s="1"/>
  <c r="B39" i="13"/>
  <c r="W39" i="13" s="1"/>
  <c r="B40" i="13"/>
  <c r="AD40" i="13" s="1"/>
  <c r="B41" i="13"/>
  <c r="AA41" i="13" s="1"/>
  <c r="B42" i="13"/>
  <c r="Y42" i="13" s="1"/>
  <c r="B43" i="13"/>
  <c r="AD43" i="13" s="1"/>
  <c r="B44" i="13"/>
  <c r="B45" i="13"/>
  <c r="B46" i="13"/>
  <c r="B47" i="13"/>
  <c r="AD47" i="13" s="1"/>
  <c r="B48" i="13"/>
  <c r="B49" i="13"/>
  <c r="B50" i="13"/>
  <c r="B51" i="13"/>
  <c r="B52" i="13"/>
  <c r="B53" i="13"/>
  <c r="AD53" i="13" s="1"/>
  <c r="B54" i="13"/>
  <c r="B55" i="13"/>
  <c r="AD55" i="13" s="1"/>
  <c r="B56" i="13"/>
  <c r="B57" i="13"/>
  <c r="AD57" i="13" s="1"/>
  <c r="B58" i="13"/>
  <c r="B59" i="13"/>
  <c r="X59" i="13" s="1"/>
  <c r="B60" i="13"/>
  <c r="B61" i="13"/>
  <c r="AD61" i="13" s="1"/>
  <c r="B62" i="13"/>
  <c r="Z62" i="13" s="1"/>
  <c r="B63" i="13"/>
  <c r="W63" i="13" s="1"/>
  <c r="B64" i="13"/>
  <c r="B65" i="13"/>
  <c r="W65" i="13" s="1"/>
  <c r="B66" i="13"/>
  <c r="B67" i="13"/>
  <c r="B68" i="13"/>
  <c r="B69" i="13"/>
  <c r="AD69" i="13" s="1"/>
  <c r="B70" i="13"/>
  <c r="AD70" i="13" s="1"/>
  <c r="B71" i="13"/>
  <c r="AD71" i="13" s="1"/>
  <c r="B72" i="13"/>
  <c r="AA72" i="13" s="1"/>
  <c r="B73" i="13"/>
  <c r="AD73" i="13" s="1"/>
  <c r="B74" i="13"/>
  <c r="B75" i="13"/>
  <c r="B76" i="13"/>
  <c r="B77" i="13"/>
  <c r="W77" i="13" s="1"/>
  <c r="B78" i="13"/>
  <c r="AE78" i="13" s="1"/>
  <c r="B79" i="13"/>
  <c r="AD79" i="13" s="1"/>
  <c r="B80" i="13"/>
  <c r="B81" i="13"/>
  <c r="AD81" i="13" s="1"/>
  <c r="B82" i="13"/>
  <c r="B83" i="13"/>
  <c r="AD83" i="13" s="1"/>
  <c r="B84" i="13"/>
  <c r="AD84" i="13" s="1"/>
  <c r="B85" i="13"/>
  <c r="X85" i="13" s="1"/>
  <c r="B86" i="13"/>
  <c r="X86" i="13" s="1"/>
  <c r="B87" i="13"/>
  <c r="AD87" i="13" s="1"/>
  <c r="B88" i="13"/>
  <c r="Z88" i="13" s="1"/>
  <c r="B89" i="13"/>
  <c r="AD89" i="13" s="1"/>
  <c r="B90" i="13"/>
  <c r="B91" i="13"/>
  <c r="B92" i="13"/>
  <c r="Y92" i="13" s="1"/>
  <c r="B93" i="13"/>
  <c r="B94" i="13"/>
  <c r="AD94" i="13" s="1"/>
  <c r="B95" i="13"/>
  <c r="AD95" i="13" s="1"/>
  <c r="B96" i="13"/>
  <c r="AD96" i="13" s="1"/>
  <c r="B97" i="13"/>
  <c r="B98" i="13"/>
  <c r="B99" i="13"/>
  <c r="B100" i="13"/>
  <c r="Z100" i="13" s="1"/>
  <c r="B101" i="13"/>
  <c r="AD101" i="13" s="1"/>
  <c r="B102" i="13"/>
  <c r="AA102" i="13" s="1"/>
  <c r="B103" i="13"/>
  <c r="B104" i="13"/>
  <c r="B105" i="13"/>
  <c r="B106" i="13"/>
  <c r="B107" i="13"/>
  <c r="B108" i="13"/>
  <c r="B109" i="13"/>
  <c r="X109" i="13" s="1"/>
  <c r="B110" i="13"/>
  <c r="AD110" i="13" s="1"/>
  <c r="B111" i="13"/>
  <c r="AD111" i="13" s="1"/>
  <c r="B112" i="13"/>
  <c r="B113" i="13"/>
  <c r="AD113" i="13" s="1"/>
  <c r="B114" i="13"/>
  <c r="X114" i="13" s="1"/>
  <c r="B115" i="13"/>
  <c r="B116" i="13"/>
  <c r="AD116" i="13" s="1"/>
  <c r="B117" i="13"/>
  <c r="B118" i="13"/>
  <c r="AD118" i="13" s="1"/>
  <c r="B119" i="13"/>
  <c r="X119" i="13" s="1"/>
  <c r="B120" i="13"/>
  <c r="B121" i="13"/>
  <c r="AD121" i="13" s="1"/>
  <c r="B122" i="13"/>
  <c r="B123" i="13"/>
  <c r="B124" i="13"/>
  <c r="AD124" i="13" s="1"/>
  <c r="B125" i="13"/>
  <c r="Y125" i="13" s="1"/>
  <c r="B126" i="13"/>
  <c r="X126" i="13" s="1"/>
  <c r="B127" i="13"/>
  <c r="AD127" i="13" s="1"/>
  <c r="B128" i="13"/>
  <c r="AA128" i="13" s="1"/>
  <c r="B129" i="13"/>
  <c r="B130" i="13"/>
  <c r="B131" i="13"/>
  <c r="AD131" i="13" s="1"/>
  <c r="B132" i="13"/>
  <c r="B133" i="13"/>
  <c r="AD133" i="13" s="1"/>
  <c r="B134" i="13"/>
  <c r="W134" i="13" s="1"/>
  <c r="B135" i="13"/>
  <c r="AD135" i="13" s="1"/>
  <c r="B136" i="13"/>
  <c r="AE136" i="13" s="1"/>
  <c r="B137" i="13"/>
  <c r="AD137" i="13" s="1"/>
  <c r="B138" i="13"/>
  <c r="B139" i="13"/>
  <c r="B140" i="13"/>
  <c r="AD140" i="13" s="1"/>
  <c r="B141" i="13"/>
  <c r="AD141" i="13" s="1"/>
  <c r="B142" i="13"/>
  <c r="B143" i="13"/>
  <c r="AD143" i="13" s="1"/>
  <c r="B144" i="13"/>
  <c r="B145" i="13"/>
  <c r="AA145" i="13" s="1"/>
  <c r="B146" i="13"/>
  <c r="B147" i="13"/>
  <c r="AB147" i="13" s="1"/>
  <c r="B148" i="13"/>
  <c r="AD148" i="13" s="1"/>
  <c r="B149" i="13"/>
  <c r="AD149" i="13" s="1"/>
  <c r="B150" i="13"/>
  <c r="AD150" i="13" s="1"/>
  <c r="B151" i="13"/>
  <c r="AD151" i="13" s="1"/>
  <c r="B152" i="13"/>
  <c r="B153" i="13"/>
  <c r="AD153" i="13" s="1"/>
  <c r="B154" i="13"/>
  <c r="B155" i="13"/>
  <c r="B156" i="13"/>
  <c r="AD156" i="13" s="1"/>
  <c r="B157" i="13"/>
  <c r="AD157" i="13" s="1"/>
  <c r="B158" i="13"/>
  <c r="AD158" i="13" s="1"/>
  <c r="B159" i="13"/>
  <c r="Z159" i="13" s="1"/>
  <c r="B160" i="13"/>
  <c r="Z160" i="13" s="1"/>
  <c r="B161" i="13"/>
  <c r="Z161" i="13" s="1"/>
  <c r="B162" i="13"/>
  <c r="B163" i="13"/>
  <c r="AC163" i="13" s="1"/>
  <c r="B164" i="13"/>
  <c r="B165" i="13"/>
  <c r="AD165" i="13" s="1"/>
  <c r="B166" i="13"/>
  <c r="Y166" i="13" s="1"/>
  <c r="B167" i="13"/>
  <c r="AD167" i="13" s="1"/>
  <c r="B168" i="13"/>
  <c r="B169" i="13"/>
  <c r="W169" i="13" s="1"/>
  <c r="B170" i="13"/>
  <c r="B171" i="13"/>
  <c r="B172" i="13"/>
  <c r="B173" i="13"/>
  <c r="B174" i="13"/>
  <c r="AD174" i="13" s="1"/>
  <c r="B175" i="13"/>
  <c r="AD175" i="13" s="1"/>
  <c r="B176" i="13"/>
  <c r="B177" i="13"/>
  <c r="AD177" i="13" s="1"/>
  <c r="B178" i="13"/>
  <c r="Y178" i="13" s="1"/>
  <c r="B179" i="13"/>
  <c r="AD179" i="13" s="1"/>
  <c r="B180" i="13"/>
  <c r="B181" i="13"/>
  <c r="B182" i="13"/>
  <c r="AD182" i="13" s="1"/>
  <c r="B183" i="13"/>
  <c r="AD183" i="13" s="1"/>
  <c r="B184" i="13"/>
  <c r="B185" i="13"/>
  <c r="X185" i="13" s="1"/>
  <c r="B186" i="13"/>
  <c r="B187" i="13"/>
  <c r="AD187" i="13" s="1"/>
  <c r="B188" i="13"/>
  <c r="B189" i="13"/>
  <c r="AD189" i="13" s="1"/>
  <c r="B190" i="13"/>
  <c r="Y190" i="13" s="1"/>
  <c r="B191" i="13"/>
  <c r="X191" i="13" s="1"/>
  <c r="B192" i="13"/>
  <c r="Z192" i="13" s="1"/>
  <c r="B193" i="13"/>
  <c r="B194" i="13"/>
  <c r="B195" i="13"/>
  <c r="AA195" i="13" s="1"/>
  <c r="B196" i="13"/>
  <c r="W196" i="13" s="1"/>
  <c r="B197" i="13"/>
  <c r="AD197" i="13" s="1"/>
  <c r="B198" i="13"/>
  <c r="W198" i="13" s="1"/>
  <c r="B199" i="13"/>
  <c r="Y199" i="13" s="1"/>
  <c r="B200" i="13"/>
  <c r="AB200" i="13" s="1"/>
  <c r="B201" i="13"/>
  <c r="B202" i="13"/>
  <c r="B203" i="13"/>
  <c r="B204" i="13"/>
  <c r="X204" i="13" s="1"/>
  <c r="B205" i="13"/>
  <c r="W205" i="13" s="1"/>
  <c r="B206" i="13"/>
  <c r="B207" i="13"/>
  <c r="Y207" i="13" s="1"/>
  <c r="B208" i="13"/>
  <c r="B209" i="13"/>
  <c r="Y209" i="13" s="1"/>
  <c r="B210" i="13"/>
  <c r="B211" i="13"/>
  <c r="AD211" i="13" s="1"/>
  <c r="B212" i="13"/>
  <c r="AD212" i="13" s="1"/>
  <c r="B213" i="13"/>
  <c r="AD213" i="13" s="1"/>
  <c r="B214" i="13"/>
  <c r="AD214" i="13" s="1"/>
  <c r="B215" i="13"/>
  <c r="AD215" i="13" s="1"/>
  <c r="B216" i="13"/>
  <c r="B217" i="13"/>
  <c r="W217" i="13" s="1"/>
  <c r="B218" i="13"/>
  <c r="B219" i="13"/>
  <c r="AD219" i="13" s="1"/>
  <c r="B220" i="13"/>
  <c r="AD220" i="13" s="1"/>
  <c r="B221" i="13"/>
  <c r="B222" i="13"/>
  <c r="AD222" i="13" s="1"/>
  <c r="B223" i="13"/>
  <c r="AD223" i="13" s="1"/>
  <c r="B224" i="13"/>
  <c r="B225" i="13"/>
  <c r="AA225" i="13" s="1"/>
  <c r="B226" i="13"/>
  <c r="B227" i="13"/>
  <c r="B228" i="13"/>
  <c r="B229" i="13"/>
  <c r="B230" i="13"/>
  <c r="AD230" i="13" s="1"/>
  <c r="B231" i="13"/>
  <c r="AD231" i="13" s="1"/>
  <c r="B232" i="13"/>
  <c r="B233" i="13"/>
  <c r="Y233" i="13" s="1"/>
  <c r="B234" i="13"/>
  <c r="Y234" i="13" s="1"/>
  <c r="B235" i="13"/>
  <c r="AA235" i="13" s="1"/>
  <c r="B236" i="13"/>
  <c r="AD236" i="13" s="1"/>
  <c r="B237" i="13"/>
  <c r="B238" i="13"/>
  <c r="W238" i="13" s="1"/>
  <c r="B239" i="13"/>
  <c r="AD239" i="13" s="1"/>
  <c r="B240" i="13"/>
  <c r="AD240" i="13" s="1"/>
  <c r="B241" i="13"/>
  <c r="Z241" i="13" s="1"/>
  <c r="B242" i="13"/>
  <c r="B243" i="13"/>
  <c r="W243" i="13" s="1"/>
  <c r="B244" i="13"/>
  <c r="AD244" i="13" s="1"/>
  <c r="B245" i="13"/>
  <c r="X245" i="13" s="1"/>
  <c r="B246" i="13"/>
  <c r="Y246" i="13" s="1"/>
  <c r="B247" i="13"/>
  <c r="AD247" i="13" s="1"/>
  <c r="B248" i="13"/>
  <c r="B249" i="13"/>
  <c r="AA249" i="13" s="1"/>
  <c r="B250" i="13"/>
  <c r="B251" i="13"/>
  <c r="AD251" i="13" s="1"/>
  <c r="B252" i="13"/>
  <c r="AD252" i="13" s="1"/>
  <c r="B253" i="13"/>
  <c r="AD253" i="13" s="1"/>
  <c r="B254" i="13"/>
  <c r="AD254" i="13" s="1"/>
  <c r="B255" i="13"/>
  <c r="AD255" i="13" s="1"/>
  <c r="B256" i="13"/>
  <c r="B257" i="13"/>
  <c r="AC257" i="13" s="1"/>
  <c r="B258" i="13"/>
  <c r="B259" i="13"/>
  <c r="AD259" i="13" s="1"/>
  <c r="B260" i="13"/>
  <c r="B261" i="13"/>
  <c r="Z261" i="13" s="1"/>
  <c r="B262" i="13"/>
  <c r="Z262" i="13" s="1"/>
  <c r="B263" i="13"/>
  <c r="W263" i="13" s="1"/>
  <c r="B264" i="13"/>
  <c r="AE264" i="13" s="1"/>
  <c r="B265" i="13"/>
  <c r="Z265" i="13" s="1"/>
  <c r="B266" i="13"/>
  <c r="B267" i="13"/>
  <c r="B268" i="13"/>
  <c r="B269" i="13"/>
  <c r="Y269" i="13" s="1"/>
  <c r="B270" i="13"/>
  <c r="AB270" i="13" s="1"/>
  <c r="B271" i="13"/>
  <c r="AD271" i="13" s="1"/>
  <c r="B272" i="13"/>
  <c r="AB272" i="13" s="1"/>
  <c r="B273" i="13"/>
  <c r="Z273" i="13" s="1"/>
  <c r="B274" i="13"/>
  <c r="B275" i="13"/>
  <c r="AD275" i="13" s="1"/>
  <c r="B276" i="13"/>
  <c r="AD276" i="13" s="1"/>
  <c r="B277" i="13"/>
  <c r="W277" i="13" s="1"/>
  <c r="B278" i="13"/>
  <c r="Z278" i="13" s="1"/>
  <c r="B279" i="13"/>
  <c r="AD279" i="13" s="1"/>
  <c r="B280" i="13"/>
  <c r="AB280" i="13" s="1"/>
  <c r="B281" i="13"/>
  <c r="Y281" i="13" s="1"/>
  <c r="B282" i="13"/>
  <c r="B283" i="13"/>
  <c r="AD283" i="13" s="1"/>
  <c r="B284" i="13"/>
  <c r="AD284" i="13" s="1"/>
  <c r="B285" i="13"/>
  <c r="B286" i="13"/>
  <c r="Z286" i="13" s="1"/>
  <c r="B287" i="13"/>
  <c r="Z287" i="13" s="1"/>
  <c r="B288" i="13"/>
  <c r="AA288" i="13" s="1"/>
  <c r="B289" i="13"/>
  <c r="Z289" i="13" s="1"/>
  <c r="B290" i="13"/>
  <c r="B291" i="13"/>
  <c r="W291" i="13" s="1"/>
  <c r="B292" i="13"/>
  <c r="AD292" i="13" s="1"/>
  <c r="B293" i="13"/>
  <c r="AD293" i="13" s="1"/>
  <c r="B294" i="13"/>
  <c r="AD294" i="13" s="1"/>
  <c r="B295" i="13"/>
  <c r="X295" i="13" s="1"/>
  <c r="B296" i="13"/>
  <c r="B297" i="13"/>
  <c r="AC297" i="13" s="1"/>
  <c r="B298" i="13"/>
  <c r="B299" i="13"/>
  <c r="B300" i="13"/>
  <c r="B301" i="13"/>
  <c r="B302" i="13"/>
  <c r="X302" i="13" s="1"/>
  <c r="B303" i="13"/>
  <c r="AC303" i="13" s="1"/>
  <c r="B304" i="13"/>
  <c r="B305" i="13"/>
  <c r="X305" i="13" s="1"/>
  <c r="B306" i="13"/>
  <c r="B307" i="13"/>
  <c r="B308" i="13"/>
  <c r="AD308" i="13" s="1"/>
  <c r="B309" i="13"/>
  <c r="AB309" i="13" s="1"/>
  <c r="B310" i="13"/>
  <c r="AD310" i="13" s="1"/>
  <c r="B311" i="13"/>
  <c r="AD311" i="13" s="1"/>
  <c r="B312" i="13"/>
  <c r="B313" i="13"/>
  <c r="W313" i="13" s="1"/>
  <c r="B314" i="13"/>
  <c r="B315" i="13"/>
  <c r="X315" i="13" s="1"/>
  <c r="B316" i="13"/>
  <c r="AA316" i="13" s="1"/>
  <c r="B317" i="13"/>
  <c r="Y317" i="13" s="1"/>
  <c r="B318" i="13"/>
  <c r="X318" i="13" s="1"/>
  <c r="B319" i="13"/>
  <c r="AD319" i="13" s="1"/>
  <c r="B320" i="13"/>
  <c r="AE320" i="13" s="1"/>
  <c r="B321" i="13"/>
  <c r="Z321" i="13" s="1"/>
  <c r="B322" i="13"/>
  <c r="B323" i="13"/>
  <c r="B324" i="13"/>
  <c r="B325" i="13"/>
  <c r="B326" i="13"/>
  <c r="X326" i="13" s="1"/>
  <c r="B327" i="13"/>
  <c r="Z327" i="13" s="1"/>
  <c r="B328" i="13"/>
  <c r="W328" i="13" s="1"/>
  <c r="B329" i="13"/>
  <c r="AD329" i="13" s="1"/>
  <c r="B330" i="13"/>
  <c r="B331" i="13"/>
  <c r="W331" i="13" s="1"/>
  <c r="B332" i="13"/>
  <c r="AD332" i="13" s="1"/>
  <c r="B333" i="13"/>
  <c r="B334" i="13"/>
  <c r="Z334" i="13" s="1"/>
  <c r="B335" i="13"/>
  <c r="AD335" i="13" s="1"/>
  <c r="B336" i="13"/>
  <c r="B337" i="13"/>
  <c r="AC337" i="13" s="1"/>
  <c r="B338" i="13"/>
  <c r="B339" i="13"/>
  <c r="B340" i="13"/>
  <c r="Z340" i="13" s="1"/>
  <c r="B341" i="13"/>
  <c r="B342" i="13"/>
  <c r="AD342" i="13" s="1"/>
  <c r="B343" i="13"/>
  <c r="AD343" i="13" s="1"/>
  <c r="B344" i="13"/>
  <c r="AD344" i="13" s="1"/>
  <c r="B345" i="13"/>
  <c r="W345" i="13" s="1"/>
  <c r="B346" i="13"/>
  <c r="B347" i="13"/>
  <c r="B348" i="13"/>
  <c r="B349" i="13"/>
  <c r="Z349" i="13" s="1"/>
  <c r="B350" i="13"/>
  <c r="Y350" i="13" s="1"/>
  <c r="B351" i="13"/>
  <c r="B352" i="13"/>
  <c r="B353" i="13"/>
  <c r="B354" i="13"/>
  <c r="AD354" i="13" s="1"/>
  <c r="B355" i="13"/>
  <c r="AD355" i="13" s="1"/>
  <c r="B356" i="13"/>
  <c r="B357" i="13"/>
  <c r="AD357" i="13" s="1"/>
  <c r="B358" i="13"/>
  <c r="W358" i="13" s="1"/>
  <c r="B359" i="13"/>
  <c r="AD359" i="13" s="1"/>
  <c r="B360" i="13"/>
  <c r="AB360" i="13" s="1"/>
  <c r="B361" i="13"/>
  <c r="AC361" i="13" s="1"/>
  <c r="B362" i="13"/>
  <c r="B363" i="13"/>
  <c r="Y363" i="13" s="1"/>
  <c r="B364" i="13"/>
  <c r="B365" i="13"/>
  <c r="W365" i="13" s="1"/>
  <c r="B366" i="13"/>
  <c r="AB366" i="13" s="1"/>
  <c r="B367" i="13"/>
  <c r="AD367" i="13" s="1"/>
  <c r="B368" i="13"/>
  <c r="B369" i="13"/>
  <c r="B370" i="13"/>
  <c r="B371" i="13"/>
  <c r="Y371" i="13" s="1"/>
  <c r="B372" i="13"/>
  <c r="AD372" i="13" s="1"/>
  <c r="B373" i="13"/>
  <c r="B374" i="13"/>
  <c r="W374" i="13" s="1"/>
  <c r="B375" i="13"/>
  <c r="W375" i="13" s="1"/>
  <c r="B376" i="13"/>
  <c r="AC376" i="13" s="1"/>
  <c r="B377" i="13"/>
  <c r="W377" i="13" s="1"/>
  <c r="B378" i="13"/>
  <c r="B379" i="13"/>
  <c r="X379" i="13" s="1"/>
  <c r="B380" i="13"/>
  <c r="AD380" i="13" s="1"/>
  <c r="B381" i="13"/>
  <c r="B382" i="13"/>
  <c r="AD382" i="13" s="1"/>
  <c r="B383" i="13"/>
  <c r="AD383" i="13" s="1"/>
  <c r="B384" i="13"/>
  <c r="B385" i="13"/>
  <c r="X385" i="13" s="1"/>
  <c r="B386" i="13"/>
  <c r="B387" i="13"/>
  <c r="B388" i="13"/>
  <c r="AD388" i="13" s="1"/>
  <c r="B389" i="13"/>
  <c r="Y389" i="13" s="1"/>
  <c r="B390" i="13"/>
  <c r="B391" i="13"/>
  <c r="W391" i="13" s="1"/>
  <c r="B392" i="13"/>
  <c r="B393" i="13"/>
  <c r="Z393" i="13" s="1"/>
  <c r="B394" i="13"/>
  <c r="W394" i="13" s="1"/>
  <c r="B395" i="13"/>
  <c r="AA395" i="13" s="1"/>
  <c r="B396" i="13"/>
  <c r="Z396" i="13" s="1"/>
  <c r="B397" i="13"/>
  <c r="X397" i="13" s="1"/>
  <c r="B398" i="13"/>
  <c r="B399" i="13"/>
  <c r="AD399" i="13" s="1"/>
  <c r="B400" i="13"/>
  <c r="AC400" i="13" s="1"/>
  <c r="B401" i="13"/>
  <c r="B402" i="13"/>
  <c r="B403" i="13"/>
  <c r="B404" i="13"/>
  <c r="B405" i="13"/>
  <c r="AD405" i="13" s="1"/>
  <c r="B406" i="13"/>
  <c r="AA406" i="13" s="1"/>
  <c r="B407" i="13"/>
  <c r="B408" i="13"/>
  <c r="B409" i="13"/>
  <c r="AE409" i="13" s="1"/>
  <c r="B410" i="13"/>
  <c r="AD410" i="13" s="1"/>
  <c r="B411" i="13"/>
  <c r="AD411" i="13" s="1"/>
  <c r="B412" i="13"/>
  <c r="B413" i="13"/>
  <c r="AD413" i="13" s="1"/>
  <c r="B414" i="13"/>
  <c r="B415" i="13"/>
  <c r="AD415" i="13" s="1"/>
  <c r="B416" i="13"/>
  <c r="B417" i="13"/>
  <c r="AD417" i="13" s="1"/>
  <c r="B418" i="13"/>
  <c r="X418" i="13" s="1"/>
  <c r="B419" i="13"/>
  <c r="AD419" i="13" s="1"/>
  <c r="B420" i="13"/>
  <c r="Z420" i="13" s="1"/>
  <c r="B421" i="13"/>
  <c r="AD421" i="13" s="1"/>
  <c r="B422" i="13"/>
  <c r="AD422" i="13" s="1"/>
  <c r="B423" i="13"/>
  <c r="Z423" i="13" s="1"/>
  <c r="B424" i="13"/>
  <c r="B425" i="13"/>
  <c r="W425" i="13" s="1"/>
  <c r="B426" i="13"/>
  <c r="B427" i="13"/>
  <c r="X427" i="13" s="1"/>
  <c r="B428" i="13"/>
  <c r="AD428" i="13" s="1"/>
  <c r="B429" i="13"/>
  <c r="AD429" i="13" s="1"/>
  <c r="B430" i="13"/>
  <c r="AD430" i="13" s="1"/>
  <c r="B431" i="13"/>
  <c r="AD431" i="13" s="1"/>
  <c r="B432" i="13"/>
  <c r="B433" i="13"/>
  <c r="X433" i="13" s="1"/>
  <c r="B434" i="13"/>
  <c r="B435" i="13"/>
  <c r="B436" i="13"/>
  <c r="AD436" i="13" s="1"/>
  <c r="B437" i="13"/>
  <c r="B438" i="13"/>
  <c r="W438" i="13" s="1"/>
  <c r="B439" i="13"/>
  <c r="AD439" i="13" s="1"/>
  <c r="B440" i="13"/>
  <c r="B441" i="13"/>
  <c r="X441" i="13" s="1"/>
  <c r="B442" i="13"/>
  <c r="AD442" i="13" s="1"/>
  <c r="B443" i="13"/>
  <c r="B444" i="13"/>
  <c r="Z444" i="13" s="1"/>
  <c r="B445" i="13"/>
  <c r="B446" i="13"/>
  <c r="B447" i="13"/>
  <c r="Y447" i="13" s="1"/>
  <c r="B448" i="13"/>
  <c r="AD448" i="13" s="1"/>
  <c r="B449" i="13"/>
  <c r="Y449" i="13" s="1"/>
  <c r="B450" i="13"/>
  <c r="B451" i="13"/>
  <c r="B452" i="13"/>
  <c r="B453" i="13"/>
  <c r="Z453" i="13" s="1"/>
  <c r="B454" i="13"/>
  <c r="AD454" i="13" s="1"/>
  <c r="B455" i="13"/>
  <c r="AD455" i="13" s="1"/>
  <c r="B456" i="13"/>
  <c r="B457" i="13"/>
  <c r="AC457" i="13" s="1"/>
  <c r="B458" i="13"/>
  <c r="B459" i="13"/>
  <c r="B460" i="13"/>
  <c r="W460" i="13" s="1"/>
  <c r="B461" i="13"/>
  <c r="AA461" i="13" s="1"/>
  <c r="B462" i="13"/>
  <c r="AE462" i="13" s="1"/>
  <c r="B463" i="13"/>
  <c r="AD463" i="13" s="1"/>
  <c r="B464" i="13"/>
  <c r="Z464" i="13" s="1"/>
  <c r="B465" i="13"/>
  <c r="AC465" i="13" s="1"/>
  <c r="B466" i="13"/>
  <c r="B467" i="13"/>
  <c r="AD467" i="13" s="1"/>
  <c r="B468" i="13"/>
  <c r="W468" i="13" s="1"/>
  <c r="B469" i="13"/>
  <c r="AD469" i="13" s="1"/>
  <c r="B470" i="13"/>
  <c r="AA470" i="13" s="1"/>
  <c r="B471" i="13"/>
  <c r="AD471" i="13" s="1"/>
  <c r="B472" i="13"/>
  <c r="B473" i="13"/>
  <c r="AA473" i="13" s="1"/>
  <c r="B474" i="13"/>
  <c r="W474" i="13" s="1"/>
  <c r="B475" i="13"/>
  <c r="AD475" i="13" s="1"/>
  <c r="B477" i="13"/>
  <c r="AD477" i="13" s="1"/>
  <c r="B478" i="13"/>
  <c r="B479" i="13"/>
  <c r="W479" i="13" s="1"/>
  <c r="B480" i="13"/>
  <c r="B481" i="13"/>
  <c r="B482" i="13"/>
  <c r="AA482" i="13" s="1"/>
  <c r="B483" i="13"/>
  <c r="B484" i="13"/>
  <c r="AE484" i="13" s="1"/>
  <c r="B485" i="13"/>
  <c r="Z485" i="13" s="1"/>
  <c r="B486" i="13"/>
  <c r="B487" i="13"/>
  <c r="W487" i="13" s="1"/>
  <c r="B488" i="13"/>
  <c r="AD488" i="13" s="1"/>
  <c r="B489" i="13"/>
  <c r="AD489" i="13" s="1"/>
  <c r="B490" i="13"/>
  <c r="AD490" i="13" s="1"/>
  <c r="B491" i="13"/>
  <c r="B492" i="13"/>
  <c r="B493" i="13"/>
  <c r="B494" i="13"/>
  <c r="B495" i="13"/>
  <c r="AD495" i="13" s="1"/>
  <c r="B496" i="13"/>
  <c r="AD496" i="13" s="1"/>
  <c r="B497" i="13"/>
  <c r="B498" i="13"/>
  <c r="AC498" i="13" s="1"/>
  <c r="B499" i="13"/>
  <c r="AD499" i="13" s="1"/>
  <c r="B500" i="13"/>
  <c r="B501" i="13"/>
  <c r="AD501" i="13" s="1"/>
  <c r="B502" i="13"/>
  <c r="B503" i="13"/>
  <c r="Z503" i="13" s="1"/>
  <c r="B504" i="13"/>
  <c r="W504" i="13" s="1"/>
  <c r="B505" i="13"/>
  <c r="B506" i="13"/>
  <c r="B507" i="13"/>
  <c r="B508" i="13"/>
  <c r="W508" i="13" s="1"/>
  <c r="B509" i="13"/>
  <c r="AD509" i="13" s="1"/>
  <c r="B510" i="13"/>
  <c r="W510" i="13" s="1"/>
  <c r="B511" i="13"/>
  <c r="AC511" i="13" s="1"/>
  <c r="B512" i="13"/>
  <c r="B513" i="13"/>
  <c r="AC513" i="13" s="1"/>
  <c r="B514" i="13"/>
  <c r="AD514" i="13" s="1"/>
  <c r="B515" i="13"/>
  <c r="B516" i="13"/>
  <c r="AD516" i="13" s="1"/>
  <c r="B517" i="13"/>
  <c r="Z517" i="13" s="1"/>
  <c r="B518" i="13"/>
  <c r="B519" i="13"/>
  <c r="B520" i="13"/>
  <c r="AD520" i="13" s="1"/>
  <c r="B521" i="13"/>
  <c r="B522" i="13"/>
  <c r="AC522" i="13" s="1"/>
  <c r="B523" i="13"/>
  <c r="B524" i="13"/>
  <c r="B525" i="13"/>
  <c r="B526" i="13"/>
  <c r="X526" i="13" s="1"/>
  <c r="B527" i="13"/>
  <c r="Y527" i="13" s="1"/>
  <c r="B528" i="13"/>
  <c r="AD528" i="13" s="1"/>
  <c r="B529" i="13"/>
  <c r="AD529" i="13" s="1"/>
  <c r="B530" i="13"/>
  <c r="B531" i="13"/>
  <c r="B532" i="13"/>
  <c r="B533" i="13"/>
  <c r="Y533" i="13" s="1"/>
  <c r="B534" i="13"/>
  <c r="AD534" i="13" s="1"/>
  <c r="B535" i="13"/>
  <c r="Y535" i="13" s="1"/>
  <c r="B536" i="13"/>
  <c r="W536" i="13" s="1"/>
  <c r="B537" i="13"/>
  <c r="AC537" i="13" s="1"/>
  <c r="B538" i="13"/>
  <c r="AA538" i="13" s="1"/>
  <c r="B539" i="13"/>
  <c r="B540" i="13"/>
  <c r="B541" i="13"/>
  <c r="B542" i="13"/>
  <c r="B543" i="13"/>
  <c r="Y543" i="13" s="1"/>
  <c r="B544" i="13"/>
  <c r="X544" i="13" s="1"/>
  <c r="B545" i="13"/>
  <c r="B546" i="13"/>
  <c r="B547" i="13"/>
  <c r="B548" i="13"/>
  <c r="B549" i="13"/>
  <c r="Y549" i="13" s="1"/>
  <c r="B550" i="13"/>
  <c r="AD550" i="13" s="1"/>
  <c r="B551" i="13"/>
  <c r="W551" i="13" s="1"/>
  <c r="B552" i="13"/>
  <c r="AD552" i="13" s="1"/>
  <c r="B553" i="13"/>
  <c r="Z553" i="13" s="1"/>
  <c r="B554" i="13"/>
  <c r="W554" i="13" s="1"/>
  <c r="B555" i="13"/>
  <c r="AD555" i="13" s="1"/>
  <c r="B556" i="13"/>
  <c r="X556" i="13" s="1"/>
  <c r="B557" i="13"/>
  <c r="B558" i="13"/>
  <c r="X558" i="13" s="1"/>
  <c r="B559" i="13"/>
  <c r="W559" i="13" s="1"/>
  <c r="B560" i="13"/>
  <c r="AB560" i="13" s="1"/>
  <c r="B561" i="13"/>
  <c r="AE561" i="13" s="1"/>
  <c r="B562" i="13"/>
  <c r="AB562" i="13" s="1"/>
  <c r="B563" i="13"/>
  <c r="B564" i="13"/>
  <c r="W564" i="13" s="1"/>
  <c r="B565" i="13"/>
  <c r="B566" i="13"/>
  <c r="W566" i="13" s="1"/>
  <c r="B567" i="13"/>
  <c r="Y567" i="13" s="1"/>
  <c r="B568" i="13"/>
  <c r="W568" i="13" s="1"/>
  <c r="B569" i="13"/>
  <c r="AD569" i="13" s="1"/>
  <c r="B570" i="13"/>
  <c r="X570" i="13" s="1"/>
  <c r="B571" i="13"/>
  <c r="B572" i="13"/>
  <c r="AD572" i="13" s="1"/>
  <c r="B573" i="13"/>
  <c r="AD573" i="13" s="1"/>
  <c r="B574" i="13"/>
  <c r="W574" i="13" s="1"/>
  <c r="B575" i="13"/>
  <c r="X575" i="13" s="1"/>
  <c r="B576" i="13"/>
  <c r="AD576" i="13" s="1"/>
  <c r="B577" i="13"/>
  <c r="AD577" i="13" s="1"/>
  <c r="B578" i="13"/>
  <c r="AD578" i="13" s="1"/>
  <c r="B579" i="13"/>
  <c r="B580" i="13"/>
  <c r="B581" i="13"/>
  <c r="AD581" i="13" s="1"/>
  <c r="B582" i="13"/>
  <c r="B583" i="13"/>
  <c r="B584" i="13"/>
  <c r="B585" i="13"/>
  <c r="B586" i="13"/>
  <c r="X586" i="13" s="1"/>
  <c r="B587" i="13"/>
  <c r="B588" i="13"/>
  <c r="B589" i="13"/>
  <c r="B590" i="13"/>
  <c r="W590" i="13" s="1"/>
  <c r="B591" i="13"/>
  <c r="W591" i="13" s="1"/>
  <c r="B592" i="13"/>
  <c r="Z592" i="13" s="1"/>
  <c r="B593" i="13"/>
  <c r="W593" i="13" s="1"/>
  <c r="B594" i="13"/>
  <c r="AA594" i="13" s="1"/>
  <c r="B595" i="13"/>
  <c r="B596" i="13"/>
  <c r="AA596" i="13" s="1"/>
  <c r="B597" i="13"/>
  <c r="Y597" i="13" s="1"/>
  <c r="B598" i="13"/>
  <c r="X598" i="13" s="1"/>
  <c r="B599" i="13"/>
  <c r="AA599" i="13" s="1"/>
  <c r="B600" i="13"/>
  <c r="AD600" i="13" s="1"/>
  <c r="B601" i="13"/>
  <c r="B602" i="13"/>
  <c r="AD602" i="13" s="1"/>
  <c r="B603" i="13"/>
  <c r="B604" i="13"/>
  <c r="AA604" i="13" s="1"/>
  <c r="B605" i="13"/>
  <c r="B606" i="13"/>
  <c r="B607" i="13"/>
  <c r="W607" i="13" s="1"/>
  <c r="B608" i="13"/>
  <c r="AA608" i="13" s="1"/>
  <c r="B609" i="13"/>
  <c r="Z609" i="13" s="1"/>
  <c r="B610" i="13"/>
  <c r="W610" i="13" s="1"/>
  <c r="B611" i="13"/>
  <c r="B612" i="13"/>
  <c r="B613" i="13"/>
  <c r="Y613" i="13" s="1"/>
  <c r="B614" i="13"/>
  <c r="B615" i="13"/>
  <c r="B616" i="13"/>
  <c r="B617" i="13"/>
  <c r="B618" i="13"/>
  <c r="AD618" i="13" s="1"/>
  <c r="B619" i="13"/>
  <c r="B620" i="13"/>
  <c r="AD620" i="13" s="1"/>
  <c r="B621" i="13"/>
  <c r="W621" i="13" s="1"/>
  <c r="B622" i="13"/>
  <c r="AD622" i="13" s="1"/>
  <c r="B623" i="13"/>
  <c r="Y623" i="13" s="1"/>
  <c r="B624" i="13"/>
  <c r="AD624" i="13" s="1"/>
  <c r="B625" i="13"/>
  <c r="B626" i="13"/>
  <c r="AD626" i="13" s="1"/>
  <c r="B627" i="13"/>
  <c r="AD627" i="13" s="1"/>
  <c r="B628" i="13"/>
  <c r="Y628" i="13" s="1"/>
  <c r="B629" i="13"/>
  <c r="Y629" i="13" s="1"/>
  <c r="B630" i="13"/>
  <c r="Y630" i="13" s="1"/>
  <c r="B631" i="13"/>
  <c r="X631" i="13" s="1"/>
  <c r="B632" i="13"/>
  <c r="AD632" i="13" s="1"/>
  <c r="B633" i="13"/>
  <c r="B634" i="13"/>
  <c r="AE634" i="13" s="1"/>
  <c r="B635" i="13"/>
  <c r="B636" i="13"/>
  <c r="W636" i="13" s="1"/>
  <c r="B637" i="13"/>
  <c r="B638" i="13"/>
  <c r="B639" i="13"/>
  <c r="X639" i="13" s="1"/>
  <c r="B640" i="13"/>
  <c r="W640" i="13" s="1"/>
  <c r="B641" i="13"/>
  <c r="B642" i="13"/>
  <c r="AE642" i="13" s="1"/>
  <c r="B643" i="13"/>
  <c r="B644" i="13"/>
  <c r="AD644" i="13" s="1"/>
  <c r="B645" i="13"/>
  <c r="B646" i="13"/>
  <c r="Y646" i="13" s="1"/>
  <c r="B647" i="13"/>
  <c r="X647" i="13" s="1"/>
  <c r="B648" i="13"/>
  <c r="AD648" i="13" s="1"/>
  <c r="B649" i="13"/>
  <c r="AC649" i="13" s="1"/>
  <c r="B650" i="13"/>
  <c r="AA650" i="13" s="1"/>
  <c r="B651" i="13"/>
  <c r="B652" i="13"/>
  <c r="B653" i="13"/>
  <c r="Z653" i="13" s="1"/>
  <c r="B654" i="13"/>
  <c r="Y654" i="13" s="1"/>
  <c r="B655" i="13"/>
  <c r="X655" i="13" s="1"/>
  <c r="B656" i="13"/>
  <c r="Z656" i="13" s="1"/>
  <c r="B657" i="13"/>
  <c r="B658" i="13"/>
  <c r="B659" i="13"/>
  <c r="B660" i="13"/>
  <c r="B661" i="13"/>
  <c r="AD661" i="13" s="1"/>
  <c r="B662" i="13"/>
  <c r="B663" i="13"/>
  <c r="X663" i="13" s="1"/>
  <c r="B664" i="13"/>
  <c r="B665" i="13"/>
  <c r="AC665" i="13" s="1"/>
  <c r="B666" i="13"/>
  <c r="AB666" i="13" s="1"/>
  <c r="B667" i="13"/>
  <c r="B668" i="13"/>
  <c r="AB668" i="13" s="1"/>
  <c r="B669" i="13"/>
  <c r="B670" i="13"/>
  <c r="X670" i="13" s="1"/>
  <c r="B671" i="13"/>
  <c r="AD671" i="13" s="1"/>
  <c r="B672" i="13"/>
  <c r="AD672" i="13" s="1"/>
  <c r="B673" i="13"/>
  <c r="AD673" i="13" s="1"/>
  <c r="B674" i="13"/>
  <c r="B675" i="13"/>
  <c r="B676" i="13"/>
  <c r="AC676" i="13" s="1"/>
  <c r="B677" i="13"/>
  <c r="B678" i="13"/>
  <c r="AD678" i="13" s="1"/>
  <c r="B679" i="13"/>
  <c r="B680" i="13"/>
  <c r="Y680" i="13" s="1"/>
  <c r="B681" i="13"/>
  <c r="B682" i="13"/>
  <c r="W682" i="13" s="1"/>
  <c r="B683" i="13"/>
  <c r="B684" i="13"/>
  <c r="B685" i="13"/>
  <c r="B686" i="13"/>
  <c r="AD686" i="13" s="1"/>
  <c r="B687" i="13"/>
  <c r="AD687" i="13" s="1"/>
  <c r="B688" i="13"/>
  <c r="B689" i="13"/>
  <c r="B690" i="13"/>
  <c r="W690" i="13" s="1"/>
  <c r="B691" i="13"/>
  <c r="B692" i="13"/>
  <c r="B693" i="13"/>
  <c r="X693" i="13" s="1"/>
  <c r="B694" i="13"/>
  <c r="X694" i="13" s="1"/>
  <c r="B695" i="13"/>
  <c r="AD695" i="13" s="1"/>
  <c r="B696" i="13"/>
  <c r="B697" i="13"/>
  <c r="Z697" i="13" s="1"/>
  <c r="B698" i="13"/>
  <c r="AB698" i="13" s="1"/>
  <c r="B699" i="13"/>
  <c r="B700" i="13"/>
  <c r="B701" i="13"/>
  <c r="B702" i="13"/>
  <c r="AD702" i="13" s="1"/>
  <c r="B703" i="13"/>
  <c r="X703" i="13" s="1"/>
  <c r="B704" i="13"/>
  <c r="X704" i="13" s="1"/>
  <c r="B705" i="13"/>
  <c r="X705" i="13" s="1"/>
  <c r="B706" i="13"/>
  <c r="W706" i="13" s="1"/>
  <c r="B707" i="13"/>
  <c r="B708" i="13"/>
  <c r="B709" i="13"/>
  <c r="AD709" i="13" s="1"/>
  <c r="B710" i="13"/>
  <c r="AD710" i="13" s="1"/>
  <c r="B711" i="13"/>
  <c r="B712" i="13"/>
  <c r="AB712" i="13" s="1"/>
  <c r="B713" i="13"/>
  <c r="B714" i="13"/>
  <c r="AA714" i="13" s="1"/>
  <c r="B715" i="13"/>
  <c r="B716" i="13"/>
  <c r="B717" i="13"/>
  <c r="AB717" i="13" s="1"/>
  <c r="B718" i="13"/>
  <c r="X718" i="13" s="1"/>
  <c r="B719" i="13"/>
  <c r="W719" i="13" s="1"/>
  <c r="B720" i="13"/>
  <c r="AD720" i="13" s="1"/>
  <c r="B721" i="13"/>
  <c r="Z721" i="13" s="1"/>
  <c r="B722" i="13"/>
  <c r="B723" i="13"/>
  <c r="B724" i="13"/>
  <c r="B725" i="13"/>
  <c r="B726" i="13"/>
  <c r="AD726" i="13" s="1"/>
  <c r="B727" i="13"/>
  <c r="Z727" i="13" s="1"/>
  <c r="B728" i="13"/>
  <c r="W728" i="13" s="1"/>
  <c r="B729" i="13"/>
  <c r="B730" i="13"/>
  <c r="AA730" i="13" s="1"/>
  <c r="B731" i="13"/>
  <c r="B732" i="13"/>
  <c r="B733" i="13"/>
  <c r="B734" i="13"/>
  <c r="B735" i="13"/>
  <c r="B736" i="13"/>
  <c r="W736" i="13" s="1"/>
  <c r="B737" i="13"/>
  <c r="Y737" i="13" s="1"/>
  <c r="B738" i="13"/>
  <c r="AA738" i="13" s="1"/>
  <c r="B739" i="13"/>
  <c r="B740" i="13"/>
  <c r="AA740" i="13" s="1"/>
  <c r="B741" i="13"/>
  <c r="AD741" i="13" s="1"/>
  <c r="B742" i="13"/>
  <c r="B743" i="13"/>
  <c r="AD743" i="13" s="1"/>
  <c r="B744" i="13"/>
  <c r="Z744" i="13" s="1"/>
  <c r="B745" i="13"/>
  <c r="B746" i="13"/>
  <c r="X746" i="13" s="1"/>
  <c r="B747" i="13"/>
  <c r="B748" i="13"/>
  <c r="B749" i="13"/>
  <c r="B750" i="13"/>
  <c r="W750" i="13" s="1"/>
  <c r="B751" i="13"/>
  <c r="X751" i="13" s="1"/>
  <c r="B752" i="13"/>
  <c r="B753" i="13"/>
  <c r="Z753" i="13" s="1"/>
  <c r="B754" i="13"/>
  <c r="B755" i="13"/>
  <c r="B756" i="13"/>
  <c r="AB756" i="13" s="1"/>
  <c r="B757" i="13"/>
  <c r="B758" i="13"/>
  <c r="Z758" i="13" s="1"/>
  <c r="B759" i="13"/>
  <c r="AD759" i="13" s="1"/>
  <c r="B760" i="13"/>
  <c r="Y760" i="13" s="1"/>
  <c r="B761" i="13"/>
  <c r="B762" i="13"/>
  <c r="AD762" i="13" s="1"/>
  <c r="B763" i="13"/>
  <c r="B764" i="13"/>
  <c r="X764" i="13" s="1"/>
  <c r="B765" i="13"/>
  <c r="AD765" i="13" s="1"/>
  <c r="B766" i="13"/>
  <c r="AD766" i="13" s="1"/>
  <c r="B767" i="13"/>
  <c r="B768" i="13"/>
  <c r="AD768" i="13" s="1"/>
  <c r="B769" i="13"/>
  <c r="B770" i="13"/>
  <c r="W770" i="13" s="1"/>
  <c r="B771" i="13"/>
  <c r="B772" i="13"/>
  <c r="B773" i="13"/>
  <c r="Z773" i="13" s="1"/>
  <c r="B774" i="13"/>
  <c r="W774" i="13" s="1"/>
  <c r="B775" i="13"/>
  <c r="B776" i="13"/>
  <c r="W776" i="13" s="1"/>
  <c r="B777" i="13"/>
  <c r="Y777" i="13" s="1"/>
  <c r="B778" i="13"/>
  <c r="Z778" i="13" s="1"/>
  <c r="B779" i="13"/>
  <c r="B780" i="13"/>
  <c r="W780" i="13" s="1"/>
  <c r="B781" i="13"/>
  <c r="B782" i="13"/>
  <c r="X782" i="13" s="1"/>
  <c r="B783" i="13"/>
  <c r="W783" i="13" s="1"/>
  <c r="B784" i="13"/>
  <c r="W784" i="13" s="1"/>
  <c r="B785" i="13"/>
  <c r="X785" i="13" s="1"/>
  <c r="B786" i="13"/>
  <c r="B787" i="13"/>
  <c r="AD787" i="13" s="1"/>
  <c r="B788" i="13"/>
  <c r="AC788" i="13" s="1"/>
  <c r="B789" i="13"/>
  <c r="B790" i="13"/>
  <c r="AD790" i="13" s="1"/>
  <c r="B791" i="13"/>
  <c r="Y791" i="13" s="1"/>
  <c r="B792" i="13"/>
  <c r="AD792" i="13" s="1"/>
  <c r="B793" i="13"/>
  <c r="AA793" i="13" s="1"/>
  <c r="B794" i="13"/>
  <c r="AC794" i="13" s="1"/>
  <c r="B795" i="13"/>
  <c r="B796" i="13"/>
  <c r="AB796" i="13" s="1"/>
  <c r="B797" i="13"/>
  <c r="AD797" i="13" s="1"/>
  <c r="B798" i="13"/>
  <c r="AD798" i="13" s="1"/>
  <c r="B799" i="13"/>
  <c r="Z799" i="13" s="1"/>
  <c r="B800" i="13"/>
  <c r="Z800" i="13" s="1"/>
  <c r="B801" i="13"/>
  <c r="B802" i="13"/>
  <c r="AC802" i="13" s="1"/>
  <c r="B803" i="13"/>
  <c r="B804" i="13"/>
  <c r="AC804" i="13" s="1"/>
  <c r="B805" i="13"/>
  <c r="B806" i="13"/>
  <c r="B807" i="13"/>
  <c r="AD807" i="13" s="1"/>
  <c r="B808" i="13"/>
  <c r="B809" i="13"/>
  <c r="Y809" i="13" s="1"/>
  <c r="B810" i="13"/>
  <c r="B811" i="13"/>
  <c r="B812" i="13"/>
  <c r="B813" i="13"/>
  <c r="B814" i="13"/>
  <c r="X814" i="13" s="1"/>
  <c r="B815" i="13"/>
  <c r="B816" i="13"/>
  <c r="X816" i="13" s="1"/>
  <c r="B817" i="13"/>
  <c r="B818" i="13"/>
  <c r="AC818" i="13" s="1"/>
  <c r="B819" i="13"/>
  <c r="B820" i="13"/>
  <c r="B821" i="13"/>
  <c r="B822" i="13"/>
  <c r="AD822" i="13" s="1"/>
  <c r="B823" i="13"/>
  <c r="AD823" i="13" s="1"/>
  <c r="B824" i="13"/>
  <c r="X824" i="13" s="1"/>
  <c r="B825" i="13"/>
  <c r="B826" i="13"/>
  <c r="AB826" i="13" s="1"/>
  <c r="B827" i="13"/>
  <c r="B828" i="13"/>
  <c r="Y828" i="13" s="1"/>
  <c r="B829" i="13"/>
  <c r="B830" i="13"/>
  <c r="AD830" i="13" s="1"/>
  <c r="B831" i="13"/>
  <c r="AD831" i="13" s="1"/>
  <c r="B832" i="13"/>
  <c r="W832" i="13" s="1"/>
  <c r="B833" i="13"/>
  <c r="Y833" i="13" s="1"/>
  <c r="B834" i="13"/>
  <c r="B835" i="13"/>
  <c r="B836" i="13"/>
  <c r="X836" i="13" s="1"/>
  <c r="B837" i="13"/>
  <c r="Z837" i="13" s="1"/>
  <c r="B838" i="13"/>
  <c r="X838" i="13" s="1"/>
  <c r="B839" i="13"/>
  <c r="Y839" i="13" s="1"/>
  <c r="B840" i="13"/>
  <c r="Y840" i="13" s="1"/>
  <c r="B841" i="13"/>
  <c r="B842" i="13"/>
  <c r="AC842" i="13" s="1"/>
  <c r="B843" i="13"/>
  <c r="B844" i="13"/>
  <c r="X844" i="13" s="1"/>
  <c r="B845" i="13"/>
  <c r="B846" i="13"/>
  <c r="B847" i="13"/>
  <c r="B848" i="13"/>
  <c r="AD848" i="13" s="1"/>
  <c r="B849" i="13"/>
  <c r="AD849" i="13" s="1"/>
  <c r="B850" i="13"/>
  <c r="AC850" i="13" s="1"/>
  <c r="B851" i="13"/>
  <c r="B852" i="13"/>
  <c r="AD852" i="13" s="1"/>
  <c r="B853" i="13"/>
  <c r="B854" i="13"/>
  <c r="W854" i="13" s="1"/>
  <c r="B855" i="13"/>
  <c r="W855" i="13" s="1"/>
  <c r="B856" i="13"/>
  <c r="B857" i="13"/>
  <c r="B858" i="13"/>
  <c r="AD858" i="13" s="1"/>
  <c r="B859" i="13"/>
  <c r="B860" i="13"/>
  <c r="B861" i="13"/>
  <c r="B862" i="13"/>
  <c r="Z862" i="13" s="1"/>
  <c r="B863" i="13"/>
  <c r="W863" i="13" s="1"/>
  <c r="B864" i="13"/>
  <c r="AD864" i="13" s="1"/>
  <c r="B865" i="13"/>
  <c r="B866" i="13"/>
  <c r="AA866" i="13" s="1"/>
  <c r="B867" i="13"/>
  <c r="B868" i="13"/>
  <c r="B869" i="13"/>
  <c r="B870" i="13"/>
  <c r="X870" i="13" s="1"/>
  <c r="B871" i="13"/>
  <c r="Y871" i="13" s="1"/>
  <c r="B872" i="13"/>
  <c r="Y872" i="13" s="1"/>
  <c r="B873" i="13"/>
  <c r="X873" i="13" s="1"/>
  <c r="B874" i="13"/>
  <c r="X874" i="13" s="1"/>
  <c r="B875" i="13"/>
  <c r="B876" i="13"/>
  <c r="AA876" i="13" s="1"/>
  <c r="B877" i="13"/>
  <c r="X877" i="13" s="1"/>
  <c r="B878" i="13"/>
  <c r="W878" i="13" s="1"/>
  <c r="B879" i="13"/>
  <c r="B880" i="13"/>
  <c r="B881" i="13"/>
  <c r="Y881" i="13" s="1"/>
  <c r="B882" i="13"/>
  <c r="W882" i="13" s="1"/>
  <c r="B883" i="13"/>
  <c r="B884" i="13"/>
  <c r="AD884" i="13" s="1"/>
  <c r="B885" i="13"/>
  <c r="W885" i="13" s="1"/>
  <c r="B886" i="13"/>
  <c r="B887" i="13"/>
  <c r="B888" i="13"/>
  <c r="B889" i="13"/>
  <c r="B890" i="13"/>
  <c r="B891" i="13"/>
  <c r="B892" i="13"/>
  <c r="B893" i="13"/>
  <c r="B894" i="13"/>
  <c r="Y894" i="13" s="1"/>
  <c r="B895" i="13"/>
  <c r="Y895" i="13" s="1"/>
  <c r="B896" i="13"/>
  <c r="AD896" i="13" s="1"/>
  <c r="B897" i="13"/>
  <c r="B898" i="13"/>
  <c r="AC898" i="13" s="1"/>
  <c r="B899" i="13"/>
  <c r="B900" i="13"/>
  <c r="AD900" i="13" s="1"/>
  <c r="B901" i="13"/>
  <c r="AD901" i="13" s="1"/>
  <c r="B902" i="13"/>
  <c r="X902" i="13" s="1"/>
  <c r="B903" i="13"/>
  <c r="AD903" i="13" s="1"/>
  <c r="B904" i="13"/>
  <c r="Y904" i="13" s="1"/>
  <c r="B905" i="13"/>
  <c r="B906" i="13"/>
  <c r="AE906" i="13" s="1"/>
  <c r="B907" i="13"/>
  <c r="B908" i="13"/>
  <c r="AD908" i="13" s="1"/>
  <c r="B909" i="13"/>
  <c r="Y909" i="13" s="1"/>
  <c r="B910" i="13"/>
  <c r="B911" i="13"/>
  <c r="AD911" i="13" s="1"/>
  <c r="B912" i="13"/>
  <c r="Y912" i="13" s="1"/>
  <c r="B913" i="13"/>
  <c r="AD913" i="13" s="1"/>
  <c r="B914" i="13"/>
  <c r="AE914" i="13" s="1"/>
  <c r="B915" i="13"/>
  <c r="B916" i="13"/>
  <c r="AA916" i="13" s="1"/>
  <c r="B917" i="13"/>
  <c r="X917" i="13" s="1"/>
  <c r="B918" i="13"/>
  <c r="W918" i="13" s="1"/>
  <c r="B919" i="13"/>
  <c r="AD919" i="13" s="1"/>
  <c r="B920" i="13"/>
  <c r="AD920" i="13" s="1"/>
  <c r="B921" i="13"/>
  <c r="B922" i="13"/>
  <c r="AC922" i="13" s="1"/>
  <c r="B923" i="13"/>
  <c r="B924" i="13"/>
  <c r="B925" i="13"/>
  <c r="B926" i="13"/>
  <c r="AD926" i="13" s="1"/>
  <c r="B927" i="13"/>
  <c r="X927" i="13" s="1"/>
  <c r="B928" i="13"/>
  <c r="AD928" i="13" s="1"/>
  <c r="B929" i="13"/>
  <c r="AB929" i="13" s="1"/>
  <c r="B930" i="13"/>
  <c r="AC930" i="13" s="1"/>
  <c r="B931" i="13"/>
  <c r="B932" i="13"/>
  <c r="B933" i="13"/>
  <c r="B934" i="13"/>
  <c r="B935" i="13"/>
  <c r="B936" i="13"/>
  <c r="Y936" i="13" s="1"/>
  <c r="B937" i="13"/>
  <c r="AC937" i="13" s="1"/>
  <c r="B938" i="13"/>
  <c r="AB938" i="13" s="1"/>
  <c r="B939" i="13"/>
  <c r="B940" i="13"/>
  <c r="B941" i="13"/>
  <c r="B942" i="13"/>
  <c r="B943" i="13"/>
  <c r="AD943" i="13" s="1"/>
  <c r="B944" i="13"/>
  <c r="AD944" i="13" s="1"/>
  <c r="B945" i="13"/>
  <c r="B946" i="13"/>
  <c r="B947" i="13"/>
  <c r="B948" i="13"/>
  <c r="AD948" i="13" s="1"/>
  <c r="B949" i="13"/>
  <c r="Z949" i="13" s="1"/>
  <c r="B950" i="13"/>
  <c r="B951" i="13"/>
  <c r="B952" i="13"/>
  <c r="W952" i="13" s="1"/>
  <c r="B953" i="13"/>
  <c r="Y953" i="13" s="1"/>
  <c r="B954" i="13"/>
  <c r="AD954" i="13" s="1"/>
  <c r="B955" i="13"/>
  <c r="B956" i="13"/>
  <c r="X956" i="13" s="1"/>
  <c r="B957" i="13"/>
  <c r="B958" i="13"/>
  <c r="AD958" i="13" s="1"/>
  <c r="B959" i="13"/>
  <c r="Y959" i="13" s="1"/>
  <c r="B960" i="13"/>
  <c r="B961" i="13"/>
  <c r="B962" i="13"/>
  <c r="AC962" i="13" s="1"/>
  <c r="B963" i="13"/>
  <c r="B964" i="13"/>
  <c r="B965" i="13"/>
  <c r="Z965" i="13" s="1"/>
  <c r="B966" i="13"/>
  <c r="AD966" i="13" s="1"/>
  <c r="B967" i="13"/>
  <c r="Y967" i="13" s="1"/>
  <c r="B968" i="13"/>
  <c r="W968" i="13" s="1"/>
  <c r="B969" i="13"/>
  <c r="AD969" i="13" s="1"/>
  <c r="B970" i="13"/>
  <c r="AB970" i="13" s="1"/>
  <c r="B971" i="13"/>
  <c r="B972" i="13"/>
  <c r="B973" i="13"/>
  <c r="B974" i="13"/>
  <c r="W974" i="13" s="1"/>
  <c r="B975" i="13"/>
  <c r="Y975" i="13" s="1"/>
  <c r="B976" i="13"/>
  <c r="B977" i="13"/>
  <c r="Y977" i="13" s="1"/>
  <c r="B978" i="13"/>
  <c r="AE978" i="13" s="1"/>
  <c r="B979" i="13"/>
  <c r="B980" i="13"/>
  <c r="AD980" i="13" s="1"/>
  <c r="B981" i="13"/>
  <c r="B982" i="13"/>
  <c r="B983" i="13"/>
  <c r="B984" i="13"/>
  <c r="W984" i="13" s="1"/>
  <c r="B985" i="13"/>
  <c r="B986" i="13"/>
  <c r="W986" i="13" s="1"/>
  <c r="B987" i="13"/>
  <c r="B988" i="13"/>
  <c r="B989" i="13"/>
  <c r="B990" i="13"/>
  <c r="X990" i="13" s="1"/>
  <c r="B991" i="13"/>
  <c r="AD991" i="13" s="1"/>
  <c r="B992" i="13"/>
  <c r="W992" i="13" s="1"/>
  <c r="B993" i="13"/>
  <c r="AA993" i="13" s="1"/>
  <c r="B994" i="13"/>
  <c r="AA994" i="13" s="1"/>
  <c r="B995" i="13"/>
  <c r="B996" i="13"/>
  <c r="B997" i="13"/>
  <c r="B998" i="13"/>
  <c r="Y998" i="13" s="1"/>
  <c r="B999" i="13"/>
  <c r="X999" i="13" s="1"/>
  <c r="B1000" i="13"/>
  <c r="B1001" i="13"/>
  <c r="AB1001" i="13" s="1"/>
  <c r="B1002" i="13"/>
  <c r="B1003" i="13"/>
  <c r="B1004" i="13"/>
  <c r="B1005" i="13"/>
  <c r="AD1005" i="13" s="1"/>
  <c r="B1006" i="13"/>
  <c r="B1007" i="13"/>
  <c r="B1008" i="13"/>
  <c r="Z1008" i="13" s="1"/>
  <c r="B1009" i="13"/>
  <c r="B1010" i="13"/>
  <c r="AB1010" i="13" s="1"/>
  <c r="B1011" i="13"/>
  <c r="B1012" i="13"/>
  <c r="B1013" i="13"/>
  <c r="W1013" i="13" s="1"/>
  <c r="B1014" i="13"/>
  <c r="Z1014" i="13" s="1"/>
  <c r="B1015" i="13"/>
  <c r="B1016" i="13"/>
  <c r="W1016" i="13" s="1"/>
  <c r="B1017" i="13"/>
  <c r="AD1017" i="13" s="1"/>
  <c r="B1018" i="13"/>
  <c r="Z1018" i="13" s="1"/>
  <c r="B1019" i="13"/>
  <c r="B1020" i="13"/>
  <c r="B1021" i="13"/>
  <c r="B1022" i="13"/>
  <c r="W1022" i="13" s="1"/>
  <c r="B1023" i="13"/>
  <c r="X1023" i="13" s="1"/>
  <c r="B1024" i="13"/>
  <c r="X1024" i="13" s="1"/>
  <c r="B1025" i="13"/>
  <c r="AD1025" i="13" s="1"/>
  <c r="B1026" i="13"/>
  <c r="B1027" i="13"/>
  <c r="Y1027" i="13" s="1"/>
  <c r="B1028" i="13"/>
  <c r="B1029" i="13"/>
  <c r="B1030" i="13"/>
  <c r="AD1030" i="13" s="1"/>
  <c r="B1031" i="13"/>
  <c r="Z1031" i="13" s="1"/>
  <c r="B1032" i="13"/>
  <c r="X1032" i="13" s="1"/>
  <c r="B1033" i="13"/>
  <c r="B1034" i="13"/>
  <c r="W1034" i="13" s="1"/>
  <c r="B1035" i="13"/>
  <c r="B1036" i="13"/>
  <c r="W1036" i="13" s="1"/>
  <c r="B1037" i="13"/>
  <c r="W1037" i="13" s="1"/>
  <c r="B1038" i="13"/>
  <c r="B1039" i="13"/>
  <c r="B1040" i="13"/>
  <c r="B1041" i="13"/>
  <c r="AD1041" i="13" s="1"/>
  <c r="B1042" i="13"/>
  <c r="AC1042" i="13" s="1"/>
  <c r="B1043" i="13"/>
  <c r="B1044" i="13"/>
  <c r="B1045" i="13"/>
  <c r="W1045" i="13" s="1"/>
  <c r="B1046" i="13"/>
  <c r="AD1046" i="13" s="1"/>
  <c r="B1047" i="13"/>
  <c r="Y1047" i="13" s="1"/>
  <c r="B1048" i="13"/>
  <c r="X1048" i="13" s="1"/>
  <c r="B1049" i="13"/>
  <c r="B1050" i="13"/>
  <c r="Y1050" i="13" s="1"/>
  <c r="B1051" i="13"/>
  <c r="B1052" i="13"/>
  <c r="B1053" i="13"/>
  <c r="B1054" i="13"/>
  <c r="B1055" i="13"/>
  <c r="AD1055" i="13" s="1"/>
  <c r="B1056" i="13"/>
  <c r="B1057" i="13"/>
  <c r="AA1057" i="13" s="1"/>
  <c r="B1058" i="13"/>
  <c r="B1059" i="13"/>
  <c r="B1060" i="13"/>
  <c r="B1061" i="13"/>
  <c r="Y1061" i="13" s="1"/>
  <c r="B1062" i="13"/>
  <c r="AB1062" i="13" s="1"/>
  <c r="B1063" i="13"/>
  <c r="W1063" i="13" s="1"/>
  <c r="B1064" i="13"/>
  <c r="AD1064" i="13" s="1"/>
  <c r="B1065" i="13"/>
  <c r="B1066" i="13"/>
  <c r="AA1066" i="13" s="1"/>
  <c r="B1067" i="13"/>
  <c r="B1068" i="13"/>
  <c r="X1068" i="13" s="1"/>
  <c r="B1069" i="13"/>
  <c r="B1070" i="13"/>
  <c r="Y1070" i="13" s="1"/>
  <c r="B1071" i="13"/>
  <c r="AD1071" i="13" s="1"/>
  <c r="B1072" i="13"/>
  <c r="B1073" i="13"/>
  <c r="AD1073" i="13" s="1"/>
  <c r="B1074" i="13"/>
  <c r="AA1074" i="13" s="1"/>
  <c r="B1075" i="13"/>
  <c r="B1076" i="13"/>
  <c r="B1077" i="13"/>
  <c r="B1078" i="13"/>
  <c r="X1078" i="13" s="1"/>
  <c r="B1079" i="13"/>
  <c r="Y1079" i="13" s="1"/>
  <c r="B1080" i="13"/>
  <c r="Z1080" i="13" s="1"/>
  <c r="B1081" i="13"/>
  <c r="B1082" i="13"/>
  <c r="AB1082" i="13" s="1"/>
  <c r="B1083" i="13"/>
  <c r="B1084" i="13"/>
  <c r="Y1084" i="13" s="1"/>
  <c r="B1085" i="13"/>
  <c r="AD1085" i="13" s="1"/>
  <c r="B1086" i="13"/>
  <c r="B1087" i="13"/>
  <c r="Z1087" i="13" s="1"/>
  <c r="B1088" i="13"/>
  <c r="W1088" i="13" s="1"/>
  <c r="B1089" i="13"/>
  <c r="B1090" i="13"/>
  <c r="Z1090" i="13" s="1"/>
  <c r="B1091" i="13"/>
  <c r="B1092" i="13"/>
  <c r="X1092" i="13" s="1"/>
  <c r="B1093" i="13"/>
  <c r="B1094" i="13"/>
  <c r="X1094" i="13" s="1"/>
  <c r="B1095" i="13"/>
  <c r="AD1095" i="13" s="1"/>
  <c r="B1096" i="13"/>
  <c r="W1096" i="13" s="1"/>
  <c r="B1097" i="13"/>
  <c r="B1098" i="13"/>
  <c r="AB1098" i="13" s="1"/>
  <c r="B1099" i="13"/>
  <c r="B1100" i="13"/>
  <c r="AA1100" i="13" s="1"/>
  <c r="B1101" i="13"/>
  <c r="B1102" i="13"/>
  <c r="W1102" i="13" s="1"/>
  <c r="B1103" i="13"/>
  <c r="B1104" i="13"/>
  <c r="X1104" i="13" s="1"/>
  <c r="B1105" i="13"/>
  <c r="B1106" i="13"/>
  <c r="AA1106" i="13" s="1"/>
  <c r="B1107" i="13"/>
  <c r="B1108" i="13"/>
  <c r="AB1108" i="13" s="1"/>
  <c r="B1109" i="13"/>
  <c r="B1110" i="13"/>
  <c r="Y1110" i="13" s="1"/>
  <c r="B1111" i="13"/>
  <c r="B9" i="13"/>
  <c r="AD9" i="13" s="1"/>
  <c r="X288" i="12"/>
  <c r="V288" i="12"/>
  <c r="W288" i="12"/>
  <c r="X475" i="12"/>
  <c r="X31" i="12"/>
  <c r="X396" i="12"/>
  <c r="X187" i="12"/>
  <c r="X462" i="12"/>
  <c r="X249" i="12"/>
  <c r="X116" i="12"/>
  <c r="X543" i="12"/>
  <c r="X542" i="12"/>
  <c r="X300" i="12"/>
  <c r="X60" i="12"/>
  <c r="X472" i="12"/>
  <c r="X23" i="12"/>
  <c r="X10" i="12"/>
  <c r="X355" i="12"/>
  <c r="X482" i="12"/>
  <c r="X111" i="12"/>
  <c r="X337" i="12"/>
  <c r="X137" i="12"/>
  <c r="X528" i="12"/>
  <c r="X353" i="12"/>
  <c r="X169" i="12"/>
  <c r="X258" i="12"/>
  <c r="X231" i="12"/>
  <c r="X422" i="12"/>
  <c r="X304" i="12"/>
  <c r="X259" i="12"/>
  <c r="X437" i="12"/>
  <c r="X290" i="12"/>
  <c r="X289" i="12"/>
  <c r="X261" i="12"/>
  <c r="X260" i="12"/>
  <c r="X354" i="12"/>
  <c r="X372" i="12"/>
  <c r="X296" i="12"/>
  <c r="X375" i="12"/>
  <c r="X430" i="12"/>
  <c r="V430" i="12"/>
  <c r="W430" i="12"/>
  <c r="V258" i="12"/>
  <c r="V231" i="12"/>
  <c r="V422" i="12"/>
  <c r="V304" i="12"/>
  <c r="V259" i="12"/>
  <c r="V437" i="12"/>
  <c r="V290" i="12"/>
  <c r="V289" i="12"/>
  <c r="V261" i="12"/>
  <c r="V260" i="12"/>
  <c r="V354" i="12"/>
  <c r="V372" i="12"/>
  <c r="V296" i="12"/>
  <c r="V375" i="12"/>
  <c r="W258" i="12"/>
  <c r="W231" i="12"/>
  <c r="W422" i="12"/>
  <c r="W304" i="12"/>
  <c r="W259" i="12"/>
  <c r="W437" i="12"/>
  <c r="W290" i="12"/>
  <c r="W289" i="12"/>
  <c r="W261" i="12"/>
  <c r="W260" i="12"/>
  <c r="W354" i="12"/>
  <c r="W372" i="12"/>
  <c r="W296" i="12"/>
  <c r="W375" i="12"/>
  <c r="X295" i="12"/>
  <c r="C295" i="12"/>
  <c r="C361" i="13" s="1"/>
  <c r="V295" i="12"/>
  <c r="W295" i="12"/>
  <c r="X356" i="12"/>
  <c r="C356" i="12"/>
  <c r="C41" i="13" s="1"/>
  <c r="V356" i="12"/>
  <c r="W356" i="12"/>
  <c r="X367" i="12"/>
  <c r="C367" i="12"/>
  <c r="V367" i="12"/>
  <c r="W367" i="12"/>
  <c r="C312" i="12"/>
  <c r="C254" i="12"/>
  <c r="C32" i="13" s="1"/>
  <c r="C182" i="12"/>
  <c r="C12" i="3" s="1"/>
  <c r="C41" i="12"/>
  <c r="C15" i="13" s="1"/>
  <c r="C459" i="12"/>
  <c r="C29" i="13" s="1"/>
  <c r="C127" i="12"/>
  <c r="C25" i="3" s="1"/>
  <c r="C233" i="12"/>
  <c r="C154" i="12"/>
  <c r="C27" i="13" s="1"/>
  <c r="C532" i="12"/>
  <c r="C2621" i="3" s="1"/>
  <c r="C480" i="12"/>
  <c r="C2350" i="3" s="1"/>
  <c r="C442" i="12"/>
  <c r="C275" i="12"/>
  <c r="C2307" i="3" s="1"/>
  <c r="C64" i="12"/>
  <c r="C2314" i="3" s="1"/>
  <c r="C138" i="12"/>
  <c r="C389" i="12"/>
  <c r="C19" i="4" s="1"/>
  <c r="C278" i="12"/>
  <c r="C132" i="12"/>
  <c r="C44" i="13" s="1"/>
  <c r="C194" i="12"/>
  <c r="C90" i="3" s="1"/>
  <c r="C306" i="12"/>
  <c r="C71" i="3" s="1"/>
  <c r="C153" i="12"/>
  <c r="C186" i="12"/>
  <c r="C42" i="12"/>
  <c r="C13" i="4" s="1"/>
  <c r="C205" i="12"/>
  <c r="C432" i="12"/>
  <c r="C87" i="3" s="1"/>
  <c r="C382" i="12"/>
  <c r="C380" i="12"/>
  <c r="C19" i="34" s="1"/>
  <c r="C282" i="12"/>
  <c r="C122" i="12"/>
  <c r="C213" i="12"/>
  <c r="C115" i="3" s="1"/>
  <c r="C68" i="12"/>
  <c r="C487" i="12"/>
  <c r="C221" i="12"/>
  <c r="C2600" i="3" s="1"/>
  <c r="C142" i="12"/>
  <c r="C308" i="12"/>
  <c r="C295" i="3" s="1"/>
  <c r="C185" i="12"/>
  <c r="C237" i="12"/>
  <c r="C383" i="3" s="1"/>
  <c r="C69" i="12"/>
  <c r="C488" i="12"/>
  <c r="C178" i="12"/>
  <c r="C219" i="12"/>
  <c r="C268" i="12"/>
  <c r="C126" i="12"/>
  <c r="C283" i="3" s="1"/>
  <c r="C227" i="12"/>
  <c r="C171" i="13" s="1"/>
  <c r="C283" i="12"/>
  <c r="C45" i="12"/>
  <c r="C167" i="13" s="1"/>
  <c r="C71" i="12"/>
  <c r="C489" i="12"/>
  <c r="C202" i="12"/>
  <c r="C1003" i="13" s="1"/>
  <c r="C369" i="12"/>
  <c r="C140" i="12"/>
  <c r="C222" i="12"/>
  <c r="C168" i="3" s="1"/>
  <c r="C109" i="12"/>
  <c r="C153" i="3" s="1"/>
  <c r="C245" i="12"/>
  <c r="C195" i="13" s="1"/>
  <c r="C303" i="12"/>
  <c r="C94" i="13" s="1"/>
  <c r="C151" i="12"/>
  <c r="C98" i="13" s="1"/>
  <c r="C398" i="12"/>
  <c r="C43" i="12"/>
  <c r="C81" i="13" s="1"/>
  <c r="C238" i="12"/>
  <c r="C239" i="12"/>
  <c r="C15" i="12"/>
  <c r="C196" i="13" s="1"/>
  <c r="C243" i="12"/>
  <c r="C227" i="13" s="1"/>
  <c r="C70" i="12"/>
  <c r="C513" i="12"/>
  <c r="C1002" i="13" s="1"/>
  <c r="C426" i="12"/>
  <c r="C101" i="13" s="1"/>
  <c r="C240" i="12"/>
  <c r="C100" i="13" s="1"/>
  <c r="C44" i="12"/>
  <c r="C267" i="3" s="1"/>
  <c r="C235" i="12"/>
  <c r="C16" i="12"/>
  <c r="C200" i="3" s="1"/>
  <c r="C250" i="12"/>
  <c r="C271" i="3" s="1"/>
  <c r="C11" i="12"/>
  <c r="C274" i="3" s="1"/>
  <c r="C242" i="12"/>
  <c r="C127" i="17" s="1"/>
  <c r="C317" i="12"/>
  <c r="C263" i="3" s="1"/>
  <c r="C172" i="12"/>
  <c r="C248" i="3" s="1"/>
  <c r="C124" i="12"/>
  <c r="C99" i="13" s="1"/>
  <c r="C423" i="12"/>
  <c r="C152" i="13" s="1"/>
  <c r="C101" i="12"/>
  <c r="C154" i="13" s="1"/>
  <c r="C279" i="12"/>
  <c r="C145" i="13" s="1"/>
  <c r="C318" i="12"/>
  <c r="C159" i="12"/>
  <c r="C143" i="13" s="1"/>
  <c r="C130" i="12"/>
  <c r="C414" i="12"/>
  <c r="C517" i="12"/>
  <c r="C241" i="12"/>
  <c r="C2107" i="3" s="1"/>
  <c r="C177" i="12"/>
  <c r="C244" i="12"/>
  <c r="C528" i="3" s="1"/>
  <c r="C285" i="12"/>
  <c r="C147" i="12"/>
  <c r="C391" i="3" s="1"/>
  <c r="C286" i="12"/>
  <c r="C554" i="3" s="1"/>
  <c r="C381" i="12"/>
  <c r="C35" i="12"/>
  <c r="C424" i="3" s="1"/>
  <c r="C307" i="12"/>
  <c r="C106" i="12"/>
  <c r="C399" i="12"/>
  <c r="C346" i="3" s="1"/>
  <c r="C33" i="12"/>
  <c r="C140" i="13" s="1"/>
  <c r="C180" i="12"/>
  <c r="C342" i="12"/>
  <c r="C509" i="3" s="1"/>
  <c r="C157" i="12"/>
  <c r="C34" i="12"/>
  <c r="C287" i="12"/>
  <c r="C612" i="3" s="1"/>
  <c r="C293" i="12"/>
  <c r="C484" i="3" s="1"/>
  <c r="C193" i="12"/>
  <c r="C395" i="12"/>
  <c r="C77" i="4" s="1"/>
  <c r="C135" i="12"/>
  <c r="C183" i="13" s="1"/>
  <c r="C271" i="12"/>
  <c r="C175" i="12"/>
  <c r="C297" i="3" s="1"/>
  <c r="C302" i="12"/>
  <c r="C524" i="3" s="1"/>
  <c r="C294" i="12"/>
  <c r="C761" i="3" s="1"/>
  <c r="C102" i="12"/>
  <c r="C519" i="3" s="1"/>
  <c r="C309" i="12"/>
  <c r="C344" i="13" s="1"/>
  <c r="C141" i="12"/>
  <c r="C251" i="12"/>
  <c r="C780" i="3" s="1"/>
  <c r="C73" i="12"/>
  <c r="C491" i="12"/>
  <c r="C252" i="12"/>
  <c r="C790" i="3" s="1"/>
  <c r="C74" i="12"/>
  <c r="C492" i="12"/>
  <c r="C345" i="12"/>
  <c r="C1089" i="3" s="1"/>
  <c r="C131" i="12"/>
  <c r="C884" i="3" s="1"/>
  <c r="C80" i="12"/>
  <c r="C496" i="12"/>
  <c r="C125" i="12"/>
  <c r="C637" i="3" s="1"/>
  <c r="C310" i="12"/>
  <c r="C282" i="13" s="1"/>
  <c r="C53" i="12"/>
  <c r="C379" i="13" s="1"/>
  <c r="C255" i="12"/>
  <c r="C796" i="3" s="1"/>
  <c r="C75" i="12"/>
  <c r="C272" i="12"/>
  <c r="C668" i="3" s="1"/>
  <c r="C176" i="12"/>
  <c r="C232" i="13" s="1"/>
  <c r="C104" i="12"/>
  <c r="C214" i="12"/>
  <c r="C677" i="3" s="1"/>
  <c r="C215" i="12"/>
  <c r="C328" i="12"/>
  <c r="C264" i="12"/>
  <c r="C755" i="3" s="1"/>
  <c r="C292" i="12"/>
  <c r="C54" i="17" s="1"/>
  <c r="C77" i="12"/>
  <c r="C364" i="13" s="1"/>
  <c r="C316" i="12"/>
  <c r="C385" i="13" s="1"/>
  <c r="C435" i="12"/>
  <c r="C685" i="3" s="1"/>
  <c r="C164" i="12"/>
  <c r="C192" i="12"/>
  <c r="C734" i="3" s="1"/>
  <c r="C484" i="12"/>
  <c r="C2380" i="3" s="1"/>
  <c r="C96" i="12"/>
  <c r="C511" i="12"/>
  <c r="C76" i="12"/>
  <c r="C493" i="12"/>
  <c r="C204" i="12"/>
  <c r="C1021" i="13" s="1"/>
  <c r="C327" i="12"/>
  <c r="C323" i="12"/>
  <c r="C101" i="4" s="1"/>
  <c r="C150" i="12"/>
  <c r="C742" i="3" s="1"/>
  <c r="C333" i="12"/>
  <c r="C952" i="3" s="1"/>
  <c r="C78" i="12"/>
  <c r="C494" i="12"/>
  <c r="C331" i="12"/>
  <c r="C314" i="12"/>
  <c r="C857" i="3" s="1"/>
  <c r="C17" i="12"/>
  <c r="C262" i="13" s="1"/>
  <c r="C341" i="12"/>
  <c r="C965" i="3" s="1"/>
  <c r="C79" i="12"/>
  <c r="C495" i="12"/>
  <c r="C447" i="12"/>
  <c r="C518" i="13" s="1"/>
  <c r="C38" i="12"/>
  <c r="C519" i="13" s="1"/>
  <c r="C434" i="12"/>
  <c r="C113" i="12"/>
  <c r="C398" i="13" s="1"/>
  <c r="C445" i="12"/>
  <c r="C521" i="13" s="1"/>
  <c r="C535" i="12"/>
  <c r="C2679" i="3" s="1"/>
  <c r="C262" i="12"/>
  <c r="C188" i="12"/>
  <c r="C2352" i="3" s="1"/>
  <c r="C98" i="12"/>
  <c r="C351" i="12"/>
  <c r="C1082" i="3" s="1"/>
  <c r="C344" i="12"/>
  <c r="C276" i="13" s="1"/>
  <c r="C158" i="12"/>
  <c r="C879" i="3" s="1"/>
  <c r="C393" i="12"/>
  <c r="C903" i="3" s="1"/>
  <c r="C366" i="12"/>
  <c r="C299" i="13" s="1"/>
  <c r="C46" i="12"/>
  <c r="C122" i="4" s="1"/>
  <c r="C350" i="12"/>
  <c r="C470" i="13" s="1"/>
  <c r="C47" i="12"/>
  <c r="C325" i="13" s="1"/>
  <c r="C334" i="12"/>
  <c r="C121" i="4" s="1"/>
  <c r="C335" i="12"/>
  <c r="C120" i="12"/>
  <c r="C406" i="12"/>
  <c r="C327" i="13" s="1"/>
  <c r="C198" i="12"/>
  <c r="C124" i="4" s="1"/>
  <c r="C324" i="12"/>
  <c r="C448" i="12"/>
  <c r="C729" i="3" s="1"/>
  <c r="C199" i="12"/>
  <c r="C239" i="13" s="1"/>
  <c r="C81" i="12"/>
  <c r="C497" i="12"/>
  <c r="C206" i="12"/>
  <c r="C1035" i="13" s="1"/>
  <c r="C347" i="12"/>
  <c r="C303" i="13" s="1"/>
  <c r="C25" i="12"/>
  <c r="C487" i="13" s="1"/>
  <c r="C348" i="12"/>
  <c r="C425" i="12"/>
  <c r="C313" i="13" s="1"/>
  <c r="C378" i="12"/>
  <c r="C145" i="12"/>
  <c r="C314" i="13" s="1"/>
  <c r="C29" i="12"/>
  <c r="C357" i="12"/>
  <c r="C60" i="17" s="1"/>
  <c r="C48" i="12"/>
  <c r="C339" i="13" s="1"/>
  <c r="C72" i="12"/>
  <c r="C490" i="12"/>
  <c r="C203" i="12"/>
  <c r="C1015" i="13" s="1"/>
  <c r="C352" i="12"/>
  <c r="C947" i="3" s="1"/>
  <c r="C167" i="12"/>
  <c r="C944" i="3" s="1"/>
  <c r="C379" i="12"/>
  <c r="C1101" i="3" s="1"/>
  <c r="C82" i="12"/>
  <c r="C498" i="12"/>
  <c r="C446" i="12"/>
  <c r="C387" i="12"/>
  <c r="C322" i="12"/>
  <c r="C352" i="13" s="1"/>
  <c r="C118" i="12"/>
  <c r="C358" i="13" s="1"/>
  <c r="C361" i="12"/>
  <c r="C439" i="12"/>
  <c r="C1039" i="13" s="1"/>
  <c r="C66" i="12"/>
  <c r="C473" i="12"/>
  <c r="C83" i="12"/>
  <c r="C499" i="12"/>
  <c r="C368" i="12"/>
  <c r="C1021" i="3" s="1"/>
  <c r="C358" i="12"/>
  <c r="C1120" i="3" s="1"/>
  <c r="C297" i="12"/>
  <c r="C595" i="13" s="1"/>
  <c r="C49" i="12"/>
  <c r="C598" i="13" s="1"/>
  <c r="C370" i="12"/>
  <c r="C133" i="12"/>
  <c r="C84" i="12"/>
  <c r="C500" i="12"/>
  <c r="C207" i="12"/>
  <c r="C1043" i="13" s="1"/>
  <c r="C236" i="12"/>
  <c r="C372" i="13" s="1"/>
  <c r="C156" i="12"/>
  <c r="C374" i="13" s="1"/>
  <c r="C383" i="12"/>
  <c r="C117" i="12"/>
  <c r="C552" i="13" s="1"/>
  <c r="C377" i="12"/>
  <c r="C70" i="34" s="1"/>
  <c r="C374" i="12"/>
  <c r="C363" i="12"/>
  <c r="C68" i="34" s="1"/>
  <c r="C229" i="12"/>
  <c r="C814" i="13" s="1"/>
  <c r="C217" i="12"/>
  <c r="C568" i="13" s="1"/>
  <c r="C121" i="12"/>
  <c r="C1038" i="3" s="1"/>
  <c r="C479" i="12"/>
  <c r="C136" i="12"/>
  <c r="C267" i="12"/>
  <c r="C142" i="4" s="1"/>
  <c r="C139" i="12"/>
  <c r="C349" i="12"/>
  <c r="C225" i="12"/>
  <c r="C421" i="13" s="1"/>
  <c r="C276" i="12"/>
  <c r="C487" i="3" s="1"/>
  <c r="C277" i="12"/>
  <c r="C328" i="3" s="1"/>
  <c r="C146" i="12"/>
  <c r="C469" i="12"/>
  <c r="C1160" i="3" s="1"/>
  <c r="C50" i="12"/>
  <c r="C412" i="13" s="1"/>
  <c r="C470" i="12"/>
  <c r="C21" i="12"/>
  <c r="C416" i="12"/>
  <c r="C1731" i="3" s="1"/>
  <c r="C456" i="12"/>
  <c r="C1936" i="3" s="1"/>
  <c r="C281" i="12"/>
  <c r="C114" i="12"/>
  <c r="C1727" i="3" s="1"/>
  <c r="C408" i="12"/>
  <c r="C416" i="13" s="1"/>
  <c r="C189" i="12"/>
  <c r="C1165" i="3" s="1"/>
  <c r="C386" i="12"/>
  <c r="C607" i="13" s="1"/>
  <c r="C37" i="12"/>
  <c r="C603" i="13" s="1"/>
  <c r="C299" i="12"/>
  <c r="C435" i="13" s="1"/>
  <c r="C223" i="12"/>
  <c r="C437" i="13" s="1"/>
  <c r="C390" i="12"/>
  <c r="C195" i="12"/>
  <c r="C153" i="4" s="1"/>
  <c r="C291" i="12"/>
  <c r="C659" i="13" s="1"/>
  <c r="C22" i="12"/>
  <c r="C1816" i="3" s="1"/>
  <c r="C174" i="12"/>
  <c r="C446" i="13" s="1"/>
  <c r="C486" i="12"/>
  <c r="C650" i="13" s="1"/>
  <c r="C485" i="12"/>
  <c r="C2032" i="3" s="1"/>
  <c r="C119" i="12"/>
  <c r="C617" i="13" s="1"/>
  <c r="C144" i="12"/>
  <c r="C397" i="12"/>
  <c r="C86" i="12"/>
  <c r="C502" i="12"/>
  <c r="C400" i="12"/>
  <c r="C1516" i="3" s="1"/>
  <c r="C87" i="12"/>
  <c r="C503" i="12"/>
  <c r="C394" i="12"/>
  <c r="C85" i="12"/>
  <c r="C501" i="12"/>
  <c r="C418" i="12"/>
  <c r="C420" i="12"/>
  <c r="C1416" i="3" s="1"/>
  <c r="C40" i="12"/>
  <c r="C537" i="13" s="1"/>
  <c r="C413" i="12"/>
  <c r="C107" i="12"/>
  <c r="C832" i="13" s="1"/>
  <c r="C226" i="12"/>
  <c r="C233" i="4" s="1"/>
  <c r="C161" i="12"/>
  <c r="C245" i="4" s="1"/>
  <c r="C518" i="12"/>
  <c r="C161" i="4" s="1"/>
  <c r="C51" i="12"/>
  <c r="C1275" i="3" s="1"/>
  <c r="C269" i="12"/>
  <c r="C1282" i="3" s="1"/>
  <c r="C18" i="12"/>
  <c r="C170" i="4" s="1"/>
  <c r="C465" i="12"/>
  <c r="C1359" i="3" s="1"/>
  <c r="C280" i="12"/>
  <c r="C1335" i="3" s="1"/>
  <c r="C415" i="12"/>
  <c r="C1581" i="3" s="1"/>
  <c r="C52" i="12"/>
  <c r="C182" i="4" s="1"/>
  <c r="C201" i="12"/>
  <c r="C1060" i="13" s="1"/>
  <c r="C405" i="12"/>
  <c r="C1574" i="3" s="1"/>
  <c r="C27" i="12"/>
  <c r="C463" i="12"/>
  <c r="C458" i="12"/>
  <c r="C753" i="13" s="1"/>
  <c r="C183" i="12"/>
  <c r="C1747" i="3" s="1"/>
  <c r="C403" i="12"/>
  <c r="C65" i="12"/>
  <c r="C1287" i="3" s="1"/>
  <c r="C402" i="12"/>
  <c r="C1534" i="3" s="1"/>
  <c r="C88" i="12"/>
  <c r="C504" i="12"/>
  <c r="C343" i="12"/>
  <c r="C173" i="12"/>
  <c r="C1447" i="3" s="1"/>
  <c r="C315" i="12"/>
  <c r="C1392" i="3" s="1"/>
  <c r="C181" i="12"/>
  <c r="C530" i="13" s="1"/>
  <c r="C417" i="12"/>
  <c r="C61" i="12"/>
  <c r="C528" i="13" s="1"/>
  <c r="C421" i="12"/>
  <c r="C539" i="13" s="1"/>
  <c r="C191" i="12"/>
  <c r="C193" i="4" s="1"/>
  <c r="C409" i="12"/>
  <c r="C149" i="12"/>
  <c r="C502" i="13" s="1"/>
  <c r="C410" i="12"/>
  <c r="C19" i="12"/>
  <c r="C401" i="12"/>
  <c r="C789" i="13" s="1"/>
  <c r="C165" i="12"/>
  <c r="C329" i="12"/>
  <c r="C165" i="4" s="1"/>
  <c r="C129" i="12"/>
  <c r="C427" i="12"/>
  <c r="C2652" i="3" s="1"/>
  <c r="C330" i="12"/>
  <c r="C1477" i="3" s="1"/>
  <c r="C62" i="12"/>
  <c r="C545" i="13" s="1"/>
  <c r="C433" i="12"/>
  <c r="C571" i="13" s="1"/>
  <c r="C54" i="12"/>
  <c r="C577" i="13" s="1"/>
  <c r="C440" i="12"/>
  <c r="C820" i="13" s="1"/>
  <c r="C404" i="12"/>
  <c r="C436" i="12"/>
  <c r="C812" i="13" s="1"/>
  <c r="C311" i="12"/>
  <c r="C160" i="12"/>
  <c r="C266" i="12"/>
  <c r="C1542" i="3" s="1"/>
  <c r="C196" i="12"/>
  <c r="C1539" i="3" s="1"/>
  <c r="C108" i="12"/>
  <c r="C2876" i="3" s="1"/>
  <c r="C424" i="12"/>
  <c r="C1702" i="3" s="1"/>
  <c r="C89" i="12"/>
  <c r="C505" i="12"/>
  <c r="C454" i="12"/>
  <c r="C449" i="12"/>
  <c r="C1769" i="3" s="1"/>
  <c r="C224" i="12"/>
  <c r="C591" i="13" s="1"/>
  <c r="C30" i="12"/>
  <c r="C429" i="12"/>
  <c r="C428" i="12"/>
  <c r="C99" i="12"/>
  <c r="C1494" i="3" s="1"/>
  <c r="C365" i="12"/>
  <c r="C202" i="4" s="1"/>
  <c r="C13" i="12"/>
  <c r="C431" i="12"/>
  <c r="C1715" i="3" s="1"/>
  <c r="C391" i="12"/>
  <c r="C1521" i="3" s="1"/>
  <c r="C253" i="12"/>
  <c r="C1062" i="13" s="1"/>
  <c r="C232" i="12"/>
  <c r="C564" i="13" s="1"/>
  <c r="C90" i="12"/>
  <c r="C569" i="13" s="1"/>
  <c r="C443" i="12"/>
  <c r="C441" i="12"/>
  <c r="C95" i="17" s="1"/>
  <c r="C326" i="12"/>
  <c r="C834" i="13" s="1"/>
  <c r="C216" i="12"/>
  <c r="C850" i="13" s="1"/>
  <c r="C444" i="12"/>
  <c r="C373" i="12"/>
  <c r="C123" i="12"/>
  <c r="C270" i="12"/>
  <c r="C1649" i="3" s="1"/>
  <c r="C14" i="12"/>
  <c r="C1646" i="3" s="1"/>
  <c r="C265" i="12"/>
  <c r="C627" i="13" s="1"/>
  <c r="C32" i="12"/>
  <c r="C629" i="13" s="1"/>
  <c r="C301" i="12"/>
  <c r="C633" i="13" s="1"/>
  <c r="C9" i="12"/>
  <c r="C20" i="12"/>
  <c r="C1630" i="3" s="1"/>
  <c r="C263" i="12"/>
  <c r="C98" i="17" s="1"/>
  <c r="C12" i="12"/>
  <c r="C91" i="12"/>
  <c r="C506" i="12"/>
  <c r="C208" i="12"/>
  <c r="C1077" i="13" s="1"/>
  <c r="C67" i="12"/>
  <c r="C593" i="3" s="1"/>
  <c r="C457" i="12"/>
  <c r="C1911" i="3" s="1"/>
  <c r="C92" i="12"/>
  <c r="C507" i="12"/>
  <c r="C319" i="12"/>
  <c r="C103" i="12"/>
  <c r="C450" i="12"/>
  <c r="C171" i="12"/>
  <c r="C1639" i="3" s="1"/>
  <c r="C346" i="12"/>
  <c r="C1677" i="3" s="1"/>
  <c r="C162" i="12"/>
  <c r="C1672" i="3" s="1"/>
  <c r="C93" i="12"/>
  <c r="C508" i="12"/>
  <c r="C209" i="12"/>
  <c r="C1081" i="13" s="1"/>
  <c r="C460" i="12"/>
  <c r="C1979" i="3" s="1"/>
  <c r="C256" i="12"/>
  <c r="C257" i="12"/>
  <c r="C651" i="13" s="1"/>
  <c r="C234" i="12"/>
  <c r="C252" i="4" s="1"/>
  <c r="C100" i="12"/>
  <c r="C1792" i="3" s="1"/>
  <c r="C376" i="12"/>
  <c r="C115" i="12"/>
  <c r="C514" i="12"/>
  <c r="C2064" i="3" s="1"/>
  <c r="C313" i="12"/>
  <c r="C168" i="12"/>
  <c r="C273" i="12"/>
  <c r="C673" i="13" s="1"/>
  <c r="C274" i="12"/>
  <c r="C1838" i="3" s="1"/>
  <c r="C455" i="12"/>
  <c r="C1893" i="3" s="1"/>
  <c r="C468" i="12"/>
  <c r="C2102" i="3" s="1"/>
  <c r="C228" i="12"/>
  <c r="C1877" i="3" s="1"/>
  <c r="C230" i="12"/>
  <c r="C1870" i="3" s="1"/>
  <c r="C56" i="12"/>
  <c r="C1004" i="13" s="1"/>
  <c r="C481" i="12"/>
  <c r="C912" i="13" s="1"/>
  <c r="C320" i="12"/>
  <c r="C57" i="12"/>
  <c r="C708" i="13" s="1"/>
  <c r="C338" i="12"/>
  <c r="C110" i="12"/>
  <c r="C1857" i="3" s="1"/>
  <c r="C321" i="12"/>
  <c r="C719" i="3" s="1"/>
  <c r="C155" i="12"/>
  <c r="C197" i="12"/>
  <c r="C339" i="12"/>
  <c r="C1972" i="3" s="1"/>
  <c r="C24" i="12"/>
  <c r="C474" i="12"/>
  <c r="C2004" i="3" s="1"/>
  <c r="C438" i="12"/>
  <c r="C674" i="13" s="1"/>
  <c r="C166" i="12"/>
  <c r="C675" i="13" s="1"/>
  <c r="C483" i="12"/>
  <c r="C1993" i="3" s="1"/>
  <c r="C298" i="12"/>
  <c r="C1990" i="3" s="1"/>
  <c r="C332" i="12"/>
  <c r="C112" i="12"/>
  <c r="C667" i="13" s="1"/>
  <c r="C220" i="12"/>
  <c r="C2081" i="3" s="1"/>
  <c r="C212" i="12"/>
  <c r="C2082" i="3" s="1"/>
  <c r="C477" i="12"/>
  <c r="C2114" i="3" s="1"/>
  <c r="C94" i="12"/>
  <c r="C509" i="12"/>
  <c r="C478" i="12"/>
  <c r="C923" i="13" s="1"/>
  <c r="C95" i="12"/>
  <c r="C510" i="12"/>
  <c r="C515" i="12"/>
  <c r="C1038" i="13" s="1"/>
  <c r="C97" i="12"/>
  <c r="C512" i="12"/>
  <c r="C325" i="12"/>
  <c r="C926" i="13" s="1"/>
  <c r="C55" i="12"/>
  <c r="C925" i="13" s="1"/>
  <c r="C476" i="12"/>
  <c r="C1849" i="3" s="1"/>
  <c r="C28" i="12"/>
  <c r="C1841" i="3" s="1"/>
  <c r="C210" i="12"/>
  <c r="C2124" i="3" s="1"/>
  <c r="C211" i="12"/>
  <c r="C371" i="12"/>
  <c r="C57" i="4" s="1"/>
  <c r="C143" i="12"/>
  <c r="C522" i="12"/>
  <c r="C163" i="12"/>
  <c r="C521" i="12"/>
  <c r="C384" i="12"/>
  <c r="C2154" i="3" s="1"/>
  <c r="C248" i="12"/>
  <c r="C58" i="12"/>
  <c r="C411" i="12"/>
  <c r="C152" i="12"/>
  <c r="C293" i="4" s="1"/>
  <c r="C467" i="12"/>
  <c r="C2259" i="3" s="1"/>
  <c r="C105" i="12"/>
  <c r="C775" i="13" s="1"/>
  <c r="C461" i="12"/>
  <c r="C752" i="13" s="1"/>
  <c r="C170" i="12"/>
  <c r="C2174" i="3" s="1"/>
  <c r="C524" i="12"/>
  <c r="C948" i="13" s="1"/>
  <c r="C523" i="12"/>
  <c r="C59" i="12"/>
  <c r="C525" i="12"/>
  <c r="C766" i="13" s="1"/>
  <c r="C516" i="12"/>
  <c r="C2564" i="3" s="1"/>
  <c r="C359" i="12"/>
  <c r="C768" i="13" s="1"/>
  <c r="C148" i="12"/>
  <c r="C770" i="13" s="1"/>
  <c r="C526" i="12"/>
  <c r="C2245" i="3" s="1"/>
  <c r="C360" i="12"/>
  <c r="C2232" i="3" s="1"/>
  <c r="C464" i="12"/>
  <c r="C2265" i="3" s="1"/>
  <c r="C26" i="12"/>
  <c r="C336" i="12"/>
  <c r="C321" i="4" s="1"/>
  <c r="C190" i="12"/>
  <c r="C529" i="12"/>
  <c r="C2279" i="3" s="1"/>
  <c r="C412" i="12"/>
  <c r="C63" i="12"/>
  <c r="C340" i="12"/>
  <c r="C520" i="12"/>
  <c r="C39" i="12"/>
  <c r="C802" i="13" s="1"/>
  <c r="C466" i="12"/>
  <c r="C2465" i="3" s="1"/>
  <c r="C540" i="12"/>
  <c r="C179" i="12"/>
  <c r="C1092" i="13" s="1"/>
  <c r="C538" i="12"/>
  <c r="C2732" i="3" s="1"/>
  <c r="C305" i="12"/>
  <c r="C2427" i="3" s="1"/>
  <c r="C128" i="12"/>
  <c r="C36" i="12"/>
  <c r="C385" i="12"/>
  <c r="C126" i="34" s="1"/>
  <c r="C200" i="12"/>
  <c r="C2479" i="3" s="1"/>
  <c r="C475" i="12"/>
  <c r="C336" i="13" s="1"/>
  <c r="C31" i="12"/>
  <c r="C661" i="13" s="1"/>
  <c r="C396" i="12"/>
  <c r="C128" i="34" s="1"/>
  <c r="C187" i="12"/>
  <c r="C874" i="13" s="1"/>
  <c r="C462" i="12"/>
  <c r="C122" i="17" s="1"/>
  <c r="C249" i="12"/>
  <c r="C2506" i="3" s="1"/>
  <c r="C116" i="12"/>
  <c r="C2517" i="3" s="1"/>
  <c r="C543" i="12"/>
  <c r="C542" i="12"/>
  <c r="C988" i="13" s="1"/>
  <c r="C300" i="12"/>
  <c r="C60" i="12"/>
  <c r="C862" i="13" s="1"/>
  <c r="C472" i="12"/>
  <c r="C663" i="13" s="1"/>
  <c r="C23" i="12"/>
  <c r="C10" i="12"/>
  <c r="C882" i="13" s="1"/>
  <c r="C355" i="12"/>
  <c r="C107" i="17" s="1"/>
  <c r="C482" i="12"/>
  <c r="C111" i="12"/>
  <c r="C1086" i="13" s="1"/>
  <c r="C337" i="12"/>
  <c r="C884" i="13" s="1"/>
  <c r="C137" i="12"/>
  <c r="C327" i="4" s="1"/>
  <c r="C528" i="12"/>
  <c r="C2745" i="3" s="1"/>
  <c r="C169" i="12"/>
  <c r="C889" i="13" s="1"/>
  <c r="C134" i="12"/>
  <c r="C9" i="3" s="1"/>
  <c r="D455" i="12"/>
  <c r="D391" i="12"/>
  <c r="D315" i="12"/>
  <c r="D541" i="12"/>
  <c r="D353" i="12"/>
  <c r="D374" i="12"/>
  <c r="D215" i="12"/>
  <c r="D291" i="12"/>
  <c r="D201" i="12"/>
  <c r="D144" i="12"/>
  <c r="D318" i="12"/>
  <c r="D459" i="12"/>
  <c r="D14" i="34" s="1"/>
  <c r="D68" i="34"/>
  <c r="C32" i="34"/>
  <c r="C31" i="34"/>
  <c r="C123" i="17"/>
  <c r="C328" i="4"/>
  <c r="C124" i="17"/>
  <c r="C329" i="4"/>
  <c r="C2530" i="3"/>
  <c r="C2532" i="3"/>
  <c r="C2531" i="3"/>
  <c r="C1094" i="13"/>
  <c r="C888" i="13"/>
  <c r="C1087" i="13"/>
  <c r="C215" i="13"/>
  <c r="C214" i="13"/>
  <c r="C599" i="3"/>
  <c r="C603" i="3"/>
  <c r="C596" i="3"/>
  <c r="C600" i="3"/>
  <c r="C604" i="3"/>
  <c r="C601" i="3"/>
  <c r="C597" i="3"/>
  <c r="C602" i="3"/>
  <c r="C598" i="3"/>
  <c r="C219" i="13"/>
  <c r="C218" i="13"/>
  <c r="D84" i="34"/>
  <c r="D37" i="34"/>
  <c r="D62" i="34"/>
  <c r="D61" i="34"/>
  <c r="D122" i="34"/>
  <c r="D103" i="34"/>
  <c r="D11" i="34"/>
  <c r="D10" i="34"/>
  <c r="D112" i="34"/>
  <c r="D100" i="34"/>
  <c r="D104" i="34"/>
  <c r="D54" i="34"/>
  <c r="D55" i="34"/>
  <c r="D130" i="34"/>
  <c r="X312" i="12"/>
  <c r="X254" i="12"/>
  <c r="X182" i="12"/>
  <c r="X41" i="12"/>
  <c r="X459" i="12"/>
  <c r="X127" i="12"/>
  <c r="X233" i="12"/>
  <c r="X154" i="12"/>
  <c r="X532" i="12"/>
  <c r="X480" i="12"/>
  <c r="X442" i="12"/>
  <c r="X275" i="12"/>
  <c r="X64" i="12"/>
  <c r="X138" i="12"/>
  <c r="X389" i="12"/>
  <c r="X278" i="12"/>
  <c r="X132" i="12"/>
  <c r="X194" i="12"/>
  <c r="X306" i="12"/>
  <c r="X153" i="12"/>
  <c r="X186" i="12"/>
  <c r="X42" i="12"/>
  <c r="X205" i="12"/>
  <c r="X432" i="12"/>
  <c r="X382" i="12"/>
  <c r="X380" i="12"/>
  <c r="X282" i="12"/>
  <c r="X122" i="12"/>
  <c r="X213" i="12"/>
  <c r="X68" i="12"/>
  <c r="X487" i="12"/>
  <c r="X221" i="12"/>
  <c r="X142" i="12"/>
  <c r="X308" i="12"/>
  <c r="X185" i="12"/>
  <c r="X237" i="12"/>
  <c r="X69" i="12"/>
  <c r="X488" i="12"/>
  <c r="X178" i="12"/>
  <c r="X219" i="12"/>
  <c r="X268" i="12"/>
  <c r="X126" i="12"/>
  <c r="X227" i="12"/>
  <c r="X283" i="12"/>
  <c r="X45" i="12"/>
  <c r="X71" i="12"/>
  <c r="X489" i="12"/>
  <c r="X202" i="12"/>
  <c r="X369" i="12"/>
  <c r="X140" i="12"/>
  <c r="X222" i="12"/>
  <c r="X109" i="12"/>
  <c r="X245" i="12"/>
  <c r="X303" i="12"/>
  <c r="X151" i="12"/>
  <c r="X398" i="12"/>
  <c r="X43" i="12"/>
  <c r="X238" i="12"/>
  <c r="X239" i="12"/>
  <c r="X15" i="12"/>
  <c r="X243" i="12"/>
  <c r="X70" i="12"/>
  <c r="X513" i="12"/>
  <c r="X426" i="12"/>
  <c r="X240" i="12"/>
  <c r="X44" i="12"/>
  <c r="X235" i="12"/>
  <c r="X16" i="12"/>
  <c r="X250" i="12"/>
  <c r="X11" i="12"/>
  <c r="X242" i="12"/>
  <c r="X317" i="12"/>
  <c r="X172" i="12"/>
  <c r="X124" i="12"/>
  <c r="X423" i="12"/>
  <c r="X101" i="12"/>
  <c r="X279" i="12"/>
  <c r="X318" i="12"/>
  <c r="X159" i="12"/>
  <c r="X130" i="12"/>
  <c r="X414" i="12"/>
  <c r="X517" i="12"/>
  <c r="X241" i="12"/>
  <c r="X177" i="12"/>
  <c r="X244" i="12"/>
  <c r="X285" i="12"/>
  <c r="X147" i="12"/>
  <c r="X286" i="12"/>
  <c r="X381" i="12"/>
  <c r="X35" i="12"/>
  <c r="X307" i="12"/>
  <c r="X106" i="12"/>
  <c r="X399" i="12"/>
  <c r="X33" i="12"/>
  <c r="X419" i="12"/>
  <c r="X180" i="12"/>
  <c r="X342" i="12"/>
  <c r="X157" i="12"/>
  <c r="X34" i="12"/>
  <c r="X287" i="12"/>
  <c r="X293" i="12"/>
  <c r="X193" i="12"/>
  <c r="X395" i="12"/>
  <c r="X135" i="12"/>
  <c r="X271" i="12"/>
  <c r="X175" i="12"/>
  <c r="X302" i="12"/>
  <c r="X294" i="12"/>
  <c r="X102" i="12"/>
  <c r="X309" i="12"/>
  <c r="X141" i="12"/>
  <c r="X251" i="12"/>
  <c r="X73" i="12"/>
  <c r="X491" i="12"/>
  <c r="X252" i="12"/>
  <c r="X74" i="12"/>
  <c r="X492" i="12"/>
  <c r="X345" i="12"/>
  <c r="X131" i="12"/>
  <c r="X80" i="12"/>
  <c r="X496" i="12"/>
  <c r="X125" i="12"/>
  <c r="X310" i="12"/>
  <c r="X53" i="12"/>
  <c r="X255" i="12"/>
  <c r="X75" i="12"/>
  <c r="X272" i="12"/>
  <c r="X176" i="12"/>
  <c r="X104" i="12"/>
  <c r="X214" i="12"/>
  <c r="X215" i="12"/>
  <c r="X328" i="12"/>
  <c r="X264" i="12"/>
  <c r="X292" i="12"/>
  <c r="X77" i="12"/>
  <c r="X316" i="12"/>
  <c r="X435" i="12"/>
  <c r="X164" i="12"/>
  <c r="X192" i="12"/>
  <c r="X484" i="12"/>
  <c r="X96" i="12"/>
  <c r="X511" i="12"/>
  <c r="X76" i="12"/>
  <c r="X493" i="12"/>
  <c r="X204" i="12"/>
  <c r="X327" i="12"/>
  <c r="X323" i="12"/>
  <c r="X150" i="12"/>
  <c r="X333" i="12"/>
  <c r="X78" i="12"/>
  <c r="X494" i="12"/>
  <c r="X331" i="12"/>
  <c r="X314" i="12"/>
  <c r="X17" i="12"/>
  <c r="X341" i="12"/>
  <c r="X79" i="12"/>
  <c r="X495" i="12"/>
  <c r="X447" i="12"/>
  <c r="X38" i="12"/>
  <c r="X434" i="12"/>
  <c r="X113" i="12"/>
  <c r="X445" i="12"/>
  <c r="X535" i="12"/>
  <c r="X262" i="12"/>
  <c r="X188" i="12"/>
  <c r="X98" i="12"/>
  <c r="X351" i="12"/>
  <c r="X344" i="12"/>
  <c r="X158" i="12"/>
  <c r="X393" i="12"/>
  <c r="X366" i="12"/>
  <c r="X46" i="12"/>
  <c r="X350" i="12"/>
  <c r="X47" i="12"/>
  <c r="X334" i="12"/>
  <c r="X335" i="12"/>
  <c r="X120" i="12"/>
  <c r="X406" i="12"/>
  <c r="X198" i="12"/>
  <c r="X324" i="12"/>
  <c r="X448" i="12"/>
  <c r="X199" i="12"/>
  <c r="X81" i="12"/>
  <c r="X497" i="12"/>
  <c r="X206" i="12"/>
  <c r="X347" i="12"/>
  <c r="X25" i="12"/>
  <c r="X348" i="12"/>
  <c r="X425" i="12"/>
  <c r="X378" i="12"/>
  <c r="X145" i="12"/>
  <c r="X29" i="12"/>
  <c r="X357" i="12"/>
  <c r="X48" i="12"/>
  <c r="X72" i="12"/>
  <c r="X490" i="12"/>
  <c r="X203" i="12"/>
  <c r="X352" i="12"/>
  <c r="X167" i="12"/>
  <c r="X379" i="12"/>
  <c r="X82" i="12"/>
  <c r="X498" i="12"/>
  <c r="X446" i="12"/>
  <c r="X387" i="12"/>
  <c r="X322" i="12"/>
  <c r="X118" i="12"/>
  <c r="X361" i="12"/>
  <c r="X439" i="12"/>
  <c r="X66" i="12"/>
  <c r="X473" i="12"/>
  <c r="X83" i="12"/>
  <c r="X499" i="12"/>
  <c r="X368" i="12"/>
  <c r="X358" i="12"/>
  <c r="X297" i="12"/>
  <c r="X49" i="12"/>
  <c r="X370" i="12"/>
  <c r="X133" i="12"/>
  <c r="X84" i="12"/>
  <c r="X500" i="12"/>
  <c r="X207" i="12"/>
  <c r="X236" i="12"/>
  <c r="X156" i="12"/>
  <c r="X383" i="12"/>
  <c r="X117" i="12"/>
  <c r="X377" i="12"/>
  <c r="X374" i="12"/>
  <c r="X363" i="12"/>
  <c r="X229" i="12"/>
  <c r="X217" i="12"/>
  <c r="X121" i="12"/>
  <c r="X479" i="12"/>
  <c r="X136" i="12"/>
  <c r="X267" i="12"/>
  <c r="X139" i="12"/>
  <c r="X349" i="12"/>
  <c r="X225" i="12"/>
  <c r="X276" i="12"/>
  <c r="X277" i="12"/>
  <c r="X146" i="12"/>
  <c r="X469" i="12"/>
  <c r="X50" i="12"/>
  <c r="X470" i="12"/>
  <c r="X21" i="12"/>
  <c r="X416" i="12"/>
  <c r="X456" i="12"/>
  <c r="X281" i="12"/>
  <c r="X114" i="12"/>
  <c r="X408" i="12"/>
  <c r="X189" i="12"/>
  <c r="X386" i="12"/>
  <c r="X37" i="12"/>
  <c r="X299" i="12"/>
  <c r="X223" i="12"/>
  <c r="X390" i="12"/>
  <c r="X195" i="12"/>
  <c r="X291" i="12"/>
  <c r="X22" i="12"/>
  <c r="X174" i="12"/>
  <c r="X486" i="12"/>
  <c r="X485" i="12"/>
  <c r="X119" i="12"/>
  <c r="X144" i="12"/>
  <c r="X397" i="12"/>
  <c r="X86" i="12"/>
  <c r="X502" i="12"/>
  <c r="X400" i="12"/>
  <c r="X87" i="12"/>
  <c r="X503" i="12"/>
  <c r="X394" i="12"/>
  <c r="X85" i="12"/>
  <c r="X501" i="12"/>
  <c r="X418" i="12"/>
  <c r="X420" i="12"/>
  <c r="X40" i="12"/>
  <c r="X413" i="12"/>
  <c r="X107" i="12"/>
  <c r="X226" i="12"/>
  <c r="X161" i="12"/>
  <c r="X518" i="12"/>
  <c r="X51" i="12"/>
  <c r="X269" i="12"/>
  <c r="X18" i="12"/>
  <c r="X465" i="12"/>
  <c r="X280" i="12"/>
  <c r="X415" i="12"/>
  <c r="X52" i="12"/>
  <c r="X201" i="12"/>
  <c r="X405" i="12"/>
  <c r="X27" i="12"/>
  <c r="X463" i="12"/>
  <c r="X458" i="12"/>
  <c r="X183" i="12"/>
  <c r="X403" i="12"/>
  <c r="X65" i="12"/>
  <c r="X402" i="12"/>
  <c r="X88" i="12"/>
  <c r="X504" i="12"/>
  <c r="X343" i="12"/>
  <c r="X173" i="12"/>
  <c r="X315" i="12"/>
  <c r="X181" i="12"/>
  <c r="X417" i="12"/>
  <c r="X61" i="12"/>
  <c r="X421" i="12"/>
  <c r="X191" i="12"/>
  <c r="X409" i="12"/>
  <c r="X149" i="12"/>
  <c r="X410" i="12"/>
  <c r="X19" i="12"/>
  <c r="X401" i="12"/>
  <c r="X165" i="12"/>
  <c r="X329" i="12"/>
  <c r="X129" i="12"/>
  <c r="X427" i="12"/>
  <c r="X330" i="12"/>
  <c r="X62" i="12"/>
  <c r="X433" i="12"/>
  <c r="X54" i="12"/>
  <c r="X440" i="12"/>
  <c r="X404" i="12"/>
  <c r="X436" i="12"/>
  <c r="X311" i="12"/>
  <c r="X160" i="12"/>
  <c r="X266" i="12"/>
  <c r="X196" i="12"/>
  <c r="X108" i="12"/>
  <c r="X424" i="12"/>
  <c r="X89" i="12"/>
  <c r="X505" i="12"/>
  <c r="X454" i="12"/>
  <c r="X449" i="12"/>
  <c r="X224" i="12"/>
  <c r="X30" i="12"/>
  <c r="X429" i="12"/>
  <c r="X428" i="12"/>
  <c r="X99" i="12"/>
  <c r="X365" i="12"/>
  <c r="X13" i="12"/>
  <c r="X431" i="12"/>
  <c r="X391" i="12"/>
  <c r="X253" i="12"/>
  <c r="X232" i="12"/>
  <c r="X90" i="12"/>
  <c r="X443" i="12"/>
  <c r="X441" i="12"/>
  <c r="X326" i="12"/>
  <c r="X216" i="12"/>
  <c r="X444" i="12"/>
  <c r="X373" i="12"/>
  <c r="X123" i="12"/>
  <c r="X270" i="12"/>
  <c r="X14" i="12"/>
  <c r="X265" i="12"/>
  <c r="X32" i="12"/>
  <c r="X301" i="12"/>
  <c r="X9" i="12"/>
  <c r="X20" i="12"/>
  <c r="X263" i="12"/>
  <c r="X12" i="12"/>
  <c r="X91" i="12"/>
  <c r="X506" i="12"/>
  <c r="X208" i="12"/>
  <c r="X218" i="12"/>
  <c r="X67" i="12"/>
  <c r="X457" i="12"/>
  <c r="X92" i="12"/>
  <c r="X507" i="12"/>
  <c r="X319" i="12"/>
  <c r="X103" i="12"/>
  <c r="X450" i="12"/>
  <c r="X171" i="12"/>
  <c r="X346" i="12"/>
  <c r="X162" i="12"/>
  <c r="X93" i="12"/>
  <c r="X508" i="12"/>
  <c r="X209" i="12"/>
  <c r="X460" i="12"/>
  <c r="X256" i="12"/>
  <c r="X257" i="12"/>
  <c r="X234" i="12"/>
  <c r="X100" i="12"/>
  <c r="X376" i="12"/>
  <c r="X115" i="12"/>
  <c r="X514" i="12"/>
  <c r="X313" i="12"/>
  <c r="X168" i="12"/>
  <c r="X273" i="12"/>
  <c r="X274" i="12"/>
  <c r="X455" i="12"/>
  <c r="X468" i="12"/>
  <c r="X228" i="12"/>
  <c r="X230" i="12"/>
  <c r="X56" i="12"/>
  <c r="X481" i="12"/>
  <c r="X320" i="12"/>
  <c r="X57" i="12"/>
  <c r="X338" i="12"/>
  <c r="X110" i="12"/>
  <c r="X321" i="12"/>
  <c r="X155" i="12"/>
  <c r="X197" i="12"/>
  <c r="X339" i="12"/>
  <c r="X24" i="12"/>
  <c r="X474" i="12"/>
  <c r="X438" i="12"/>
  <c r="X166" i="12"/>
  <c r="X483" i="12"/>
  <c r="X298" i="12"/>
  <c r="X332" i="12"/>
  <c r="X112" i="12"/>
  <c r="X220" i="12"/>
  <c r="X212" i="12"/>
  <c r="X477" i="12"/>
  <c r="X94" i="12"/>
  <c r="X509" i="12"/>
  <c r="X478" i="12"/>
  <c r="X95" i="12"/>
  <c r="X510" i="12"/>
  <c r="X515" i="12"/>
  <c r="X97" i="12"/>
  <c r="X512" i="12"/>
  <c r="X325" i="12"/>
  <c r="X55" i="12"/>
  <c r="X476" i="12"/>
  <c r="X28" i="12"/>
  <c r="X210" i="12"/>
  <c r="X211" i="12"/>
  <c r="X371" i="12"/>
  <c r="X143" i="12"/>
  <c r="X522" i="12"/>
  <c r="X163" i="12"/>
  <c r="X521" i="12"/>
  <c r="X384" i="12"/>
  <c r="X248" i="12"/>
  <c r="X58" i="12"/>
  <c r="X411" i="12"/>
  <c r="X152" i="12"/>
  <c r="X467" i="12"/>
  <c r="X105" i="12"/>
  <c r="X461" i="12"/>
  <c r="X170" i="12"/>
  <c r="X524" i="12"/>
  <c r="X523" i="12"/>
  <c r="X59" i="12"/>
  <c r="X525" i="12"/>
  <c r="X516" i="12"/>
  <c r="X359" i="12"/>
  <c r="X148" i="12"/>
  <c r="X526" i="12"/>
  <c r="X360" i="12"/>
  <c r="X464" i="12"/>
  <c r="X26" i="12"/>
  <c r="X336" i="12"/>
  <c r="X190" i="12"/>
  <c r="X529" i="12"/>
  <c r="X412" i="12"/>
  <c r="X63" i="12"/>
  <c r="X340" i="12"/>
  <c r="X520" i="12"/>
  <c r="X39" i="12"/>
  <c r="X466" i="12"/>
  <c r="X540" i="12"/>
  <c r="X179" i="12"/>
  <c r="X538" i="12"/>
  <c r="X305" i="12"/>
  <c r="X128" i="12"/>
  <c r="X36" i="12"/>
  <c r="X385" i="12"/>
  <c r="X200" i="12"/>
  <c r="X134" i="12"/>
  <c r="W312" i="12"/>
  <c r="W254" i="12"/>
  <c r="W182" i="12"/>
  <c r="W41" i="12"/>
  <c r="W459" i="12"/>
  <c r="W127" i="12"/>
  <c r="W233" i="12"/>
  <c r="W154" i="12"/>
  <c r="W532" i="12"/>
  <c r="W480" i="12"/>
  <c r="W442" i="12"/>
  <c r="W275" i="12"/>
  <c r="W64" i="12"/>
  <c r="W138" i="12"/>
  <c r="W389" i="12"/>
  <c r="W278" i="12"/>
  <c r="W132" i="12"/>
  <c r="W194" i="12"/>
  <c r="W306" i="12"/>
  <c r="W153" i="12"/>
  <c r="W186" i="12"/>
  <c r="W42" i="12"/>
  <c r="W205" i="12"/>
  <c r="W432" i="12"/>
  <c r="W382" i="12"/>
  <c r="W380" i="12"/>
  <c r="W282" i="12"/>
  <c r="W122" i="12"/>
  <c r="W213" i="12"/>
  <c r="W68" i="12"/>
  <c r="W487" i="12"/>
  <c r="W221" i="12"/>
  <c r="W142" i="12"/>
  <c r="W308" i="12"/>
  <c r="W185" i="12"/>
  <c r="W237" i="12"/>
  <c r="W69" i="12"/>
  <c r="W488" i="12"/>
  <c r="W178" i="12"/>
  <c r="W219" i="12"/>
  <c r="W268" i="12"/>
  <c r="W126" i="12"/>
  <c r="W227" i="12"/>
  <c r="W283" i="12"/>
  <c r="W45" i="12"/>
  <c r="W71" i="12"/>
  <c r="W489" i="12"/>
  <c r="W202" i="12"/>
  <c r="W369" i="12"/>
  <c r="W140" i="12"/>
  <c r="W222" i="12"/>
  <c r="W109" i="12"/>
  <c r="W245" i="12"/>
  <c r="W303" i="12"/>
  <c r="W151" i="12"/>
  <c r="W398" i="12"/>
  <c r="W43" i="12"/>
  <c r="W238" i="12"/>
  <c r="W239" i="12"/>
  <c r="W15" i="12"/>
  <c r="W243" i="12"/>
  <c r="W70" i="12"/>
  <c r="W513" i="12"/>
  <c r="W426" i="12"/>
  <c r="W240" i="12"/>
  <c r="W44" i="12"/>
  <c r="W235" i="12"/>
  <c r="W16" i="12"/>
  <c r="W250" i="12"/>
  <c r="W11" i="12"/>
  <c r="W242" i="12"/>
  <c r="W317" i="12"/>
  <c r="W172" i="12"/>
  <c r="W124" i="12"/>
  <c r="W423" i="12"/>
  <c r="W101" i="12"/>
  <c r="W279" i="12"/>
  <c r="W318" i="12"/>
  <c r="W159" i="12"/>
  <c r="W130" i="12"/>
  <c r="W414" i="12"/>
  <c r="W517" i="12"/>
  <c r="W241" i="12"/>
  <c r="W177" i="12"/>
  <c r="W244" i="12"/>
  <c r="W285" i="12"/>
  <c r="W147" i="12"/>
  <c r="W286" i="12"/>
  <c r="W381" i="12"/>
  <c r="W35" i="12"/>
  <c r="W307" i="12"/>
  <c r="W106" i="12"/>
  <c r="W399" i="12"/>
  <c r="W33" i="12"/>
  <c r="W419" i="12"/>
  <c r="W180" i="12"/>
  <c r="W342" i="12"/>
  <c r="W157" i="12"/>
  <c r="W34" i="12"/>
  <c r="W287" i="12"/>
  <c r="W293" i="12"/>
  <c r="W193" i="12"/>
  <c r="W395" i="12"/>
  <c r="W135" i="12"/>
  <c r="W271" i="12"/>
  <c r="W175" i="12"/>
  <c r="W302" i="12"/>
  <c r="W294" i="12"/>
  <c r="W102" i="12"/>
  <c r="W309" i="12"/>
  <c r="W141" i="12"/>
  <c r="W251" i="12"/>
  <c r="W73" i="12"/>
  <c r="W491" i="12"/>
  <c r="W252" i="12"/>
  <c r="W74" i="12"/>
  <c r="W492" i="12"/>
  <c r="W345" i="12"/>
  <c r="W131" i="12"/>
  <c r="W80" i="12"/>
  <c r="W496" i="12"/>
  <c r="W125" i="12"/>
  <c r="W310" i="12"/>
  <c r="W53" i="12"/>
  <c r="W255" i="12"/>
  <c r="W75" i="12"/>
  <c r="W272" i="12"/>
  <c r="W176" i="12"/>
  <c r="W104" i="12"/>
  <c r="W214" i="12"/>
  <c r="W215" i="12"/>
  <c r="W328" i="12"/>
  <c r="W264" i="12"/>
  <c r="W292" i="12"/>
  <c r="W77" i="12"/>
  <c r="W316" i="12"/>
  <c r="W435" i="12"/>
  <c r="W164" i="12"/>
  <c r="W192" i="12"/>
  <c r="W484" i="12"/>
  <c r="W96" i="12"/>
  <c r="W511" i="12"/>
  <c r="W76" i="12"/>
  <c r="W493" i="12"/>
  <c r="W204" i="12"/>
  <c r="W327" i="12"/>
  <c r="W323" i="12"/>
  <c r="W150" i="12"/>
  <c r="W333" i="12"/>
  <c r="W78" i="12"/>
  <c r="W494" i="12"/>
  <c r="W331" i="12"/>
  <c r="W314" i="12"/>
  <c r="W17" i="12"/>
  <c r="W341" i="12"/>
  <c r="W79" i="12"/>
  <c r="W495" i="12"/>
  <c r="W447" i="12"/>
  <c r="W38" i="12"/>
  <c r="W434" i="12"/>
  <c r="W113" i="12"/>
  <c r="W445" i="12"/>
  <c r="W535" i="12"/>
  <c r="W262" i="12"/>
  <c r="W188" i="12"/>
  <c r="W98" i="12"/>
  <c r="W351" i="12"/>
  <c r="W344" i="12"/>
  <c r="W158" i="12"/>
  <c r="W393" i="12"/>
  <c r="W366" i="12"/>
  <c r="W46" i="12"/>
  <c r="W350" i="12"/>
  <c r="W47" i="12"/>
  <c r="W334" i="12"/>
  <c r="W335" i="12"/>
  <c r="W120" i="12"/>
  <c r="W406" i="12"/>
  <c r="W198" i="12"/>
  <c r="W324" i="12"/>
  <c r="W448" i="12"/>
  <c r="W199" i="12"/>
  <c r="W81" i="12"/>
  <c r="W497" i="12"/>
  <c r="W206" i="12"/>
  <c r="W347" i="12"/>
  <c r="W25" i="12"/>
  <c r="W348" i="12"/>
  <c r="W425" i="12"/>
  <c r="W378" i="12"/>
  <c r="W145" i="12"/>
  <c r="W29" i="12"/>
  <c r="W357" i="12"/>
  <c r="W48" i="12"/>
  <c r="W72" i="12"/>
  <c r="W490" i="12"/>
  <c r="W203" i="12"/>
  <c r="W352" i="12"/>
  <c r="W167" i="12"/>
  <c r="W379" i="12"/>
  <c r="W82" i="12"/>
  <c r="W498" i="12"/>
  <c r="W446" i="12"/>
  <c r="W387" i="12"/>
  <c r="W322" i="12"/>
  <c r="W118" i="12"/>
  <c r="W361" i="12"/>
  <c r="W439" i="12"/>
  <c r="W66" i="12"/>
  <c r="W473" i="12"/>
  <c r="W83" i="12"/>
  <c r="W499" i="12"/>
  <c r="W368" i="12"/>
  <c r="W358" i="12"/>
  <c r="W297" i="12"/>
  <c r="W49" i="12"/>
  <c r="W370" i="12"/>
  <c r="W133" i="12"/>
  <c r="W84" i="12"/>
  <c r="W500" i="12"/>
  <c r="W207" i="12"/>
  <c r="W236" i="12"/>
  <c r="W156" i="12"/>
  <c r="W383" i="12"/>
  <c r="W117" i="12"/>
  <c r="W377" i="12"/>
  <c r="W374" i="12"/>
  <c r="W363" i="12"/>
  <c r="W229" i="12"/>
  <c r="W217" i="12"/>
  <c r="W121" i="12"/>
  <c r="W479" i="12"/>
  <c r="W136" i="12"/>
  <c r="W267" i="12"/>
  <c r="W139" i="12"/>
  <c r="W349" i="12"/>
  <c r="W225" i="12"/>
  <c r="W276" i="12"/>
  <c r="W277" i="12"/>
  <c r="W146" i="12"/>
  <c r="W469" i="12"/>
  <c r="W50" i="12"/>
  <c r="W470" i="12"/>
  <c r="W21" i="12"/>
  <c r="W416" i="12"/>
  <c r="W456" i="12"/>
  <c r="W281" i="12"/>
  <c r="W114" i="12"/>
  <c r="W408" i="12"/>
  <c r="W189" i="12"/>
  <c r="W386" i="12"/>
  <c r="W37" i="12"/>
  <c r="W299" i="12"/>
  <c r="W223" i="12"/>
  <c r="W390" i="12"/>
  <c r="W195" i="12"/>
  <c r="W291" i="12"/>
  <c r="W22" i="12"/>
  <c r="W174" i="12"/>
  <c r="W486" i="12"/>
  <c r="W485" i="12"/>
  <c r="W119" i="12"/>
  <c r="W144" i="12"/>
  <c r="W397" i="12"/>
  <c r="W86" i="12"/>
  <c r="W502" i="12"/>
  <c r="W400" i="12"/>
  <c r="W87" i="12"/>
  <c r="W503" i="12"/>
  <c r="W394" i="12"/>
  <c r="W85" i="12"/>
  <c r="W501" i="12"/>
  <c r="W418" i="12"/>
  <c r="W420" i="12"/>
  <c r="W40" i="12"/>
  <c r="W413" i="12"/>
  <c r="W107" i="12"/>
  <c r="W226" i="12"/>
  <c r="W161" i="12"/>
  <c r="W518" i="12"/>
  <c r="W51" i="12"/>
  <c r="W269" i="12"/>
  <c r="W18" i="12"/>
  <c r="W465" i="12"/>
  <c r="W280" i="12"/>
  <c r="W415" i="12"/>
  <c r="W52" i="12"/>
  <c r="W201" i="12"/>
  <c r="W405" i="12"/>
  <c r="W27" i="12"/>
  <c r="W463" i="12"/>
  <c r="W458" i="12"/>
  <c r="W183" i="12"/>
  <c r="W403" i="12"/>
  <c r="W65" i="12"/>
  <c r="W402" i="12"/>
  <c r="W88" i="12"/>
  <c r="W504" i="12"/>
  <c r="W343" i="12"/>
  <c r="W173" i="12"/>
  <c r="W315" i="12"/>
  <c r="W181" i="12"/>
  <c r="W417" i="12"/>
  <c r="W61" i="12"/>
  <c r="W421" i="12"/>
  <c r="W191" i="12"/>
  <c r="W409" i="12"/>
  <c r="W149" i="12"/>
  <c r="W410" i="12"/>
  <c r="W19" i="12"/>
  <c r="W401" i="12"/>
  <c r="W165" i="12"/>
  <c r="W329" i="12"/>
  <c r="W129" i="12"/>
  <c r="W427" i="12"/>
  <c r="W330" i="12"/>
  <c r="W62" i="12"/>
  <c r="W433" i="12"/>
  <c r="W54" i="12"/>
  <c r="W440" i="12"/>
  <c r="W404" i="12"/>
  <c r="W436" i="12"/>
  <c r="W311" i="12"/>
  <c r="W160" i="12"/>
  <c r="W266" i="12"/>
  <c r="W196" i="12"/>
  <c r="W108" i="12"/>
  <c r="W424" i="12"/>
  <c r="W89" i="12"/>
  <c r="W505" i="12"/>
  <c r="W454" i="12"/>
  <c r="W449" i="12"/>
  <c r="W224" i="12"/>
  <c r="W30" i="12"/>
  <c r="W429" i="12"/>
  <c r="W428" i="12"/>
  <c r="W99" i="12"/>
  <c r="W365" i="12"/>
  <c r="W13" i="12"/>
  <c r="W431" i="12"/>
  <c r="W391" i="12"/>
  <c r="W253" i="12"/>
  <c r="W232" i="12"/>
  <c r="W90" i="12"/>
  <c r="W443" i="12"/>
  <c r="W441" i="12"/>
  <c r="W326" i="12"/>
  <c r="W216" i="12"/>
  <c r="W444" i="12"/>
  <c r="W373" i="12"/>
  <c r="W123" i="12"/>
  <c r="W270" i="12"/>
  <c r="W14" i="12"/>
  <c r="W265" i="12"/>
  <c r="W32" i="12"/>
  <c r="W301" i="12"/>
  <c r="W9" i="12"/>
  <c r="W20" i="12"/>
  <c r="W263" i="12"/>
  <c r="W12" i="12"/>
  <c r="W91" i="12"/>
  <c r="W506" i="12"/>
  <c r="W208" i="12"/>
  <c r="W218" i="12"/>
  <c r="W67" i="12"/>
  <c r="W457" i="12"/>
  <c r="W92" i="12"/>
  <c r="W507" i="12"/>
  <c r="W319" i="12"/>
  <c r="W103" i="12"/>
  <c r="W450" i="12"/>
  <c r="W171" i="12"/>
  <c r="W346" i="12"/>
  <c r="W162" i="12"/>
  <c r="W93" i="12"/>
  <c r="W508" i="12"/>
  <c r="W209" i="12"/>
  <c r="W460" i="12"/>
  <c r="W256" i="12"/>
  <c r="W257" i="12"/>
  <c r="W234" i="12"/>
  <c r="W100" i="12"/>
  <c r="W376" i="12"/>
  <c r="W115" i="12"/>
  <c r="W514" i="12"/>
  <c r="W313" i="12"/>
  <c r="W168" i="12"/>
  <c r="W273" i="12"/>
  <c r="W274" i="12"/>
  <c r="W455" i="12"/>
  <c r="W468" i="12"/>
  <c r="W228" i="12"/>
  <c r="W230" i="12"/>
  <c r="W56" i="12"/>
  <c r="W481" i="12"/>
  <c r="W320" i="12"/>
  <c r="W57" i="12"/>
  <c r="W338" i="12"/>
  <c r="W110" i="12"/>
  <c r="W321" i="12"/>
  <c r="W155" i="12"/>
  <c r="W197" i="12"/>
  <c r="W339" i="12"/>
  <c r="W24" i="12"/>
  <c r="W474" i="12"/>
  <c r="W438" i="12"/>
  <c r="W166" i="12"/>
  <c r="W483" i="12"/>
  <c r="W298" i="12"/>
  <c r="W332" i="12"/>
  <c r="W112" i="12"/>
  <c r="W220" i="12"/>
  <c r="W212" i="12"/>
  <c r="W477" i="12"/>
  <c r="W94" i="12"/>
  <c r="W509" i="12"/>
  <c r="W478" i="12"/>
  <c r="W95" i="12"/>
  <c r="W510" i="12"/>
  <c r="W515" i="12"/>
  <c r="W97" i="12"/>
  <c r="W512" i="12"/>
  <c r="W325" i="12"/>
  <c r="W55" i="12"/>
  <c r="W476" i="12"/>
  <c r="W28" i="12"/>
  <c r="W210" i="12"/>
  <c r="W211" i="12"/>
  <c r="W371" i="12"/>
  <c r="W143" i="12"/>
  <c r="W522" i="12"/>
  <c r="W163" i="12"/>
  <c r="W521" i="12"/>
  <c r="W384" i="12"/>
  <c r="W248" i="12"/>
  <c r="W58" i="12"/>
  <c r="W411" i="12"/>
  <c r="W152" i="12"/>
  <c r="W467" i="12"/>
  <c r="W105" i="12"/>
  <c r="W461" i="12"/>
  <c r="W170" i="12"/>
  <c r="W524" i="12"/>
  <c r="W523" i="12"/>
  <c r="W59" i="12"/>
  <c r="W525" i="12"/>
  <c r="W516" i="12"/>
  <c r="W359" i="12"/>
  <c r="W148" i="12"/>
  <c r="W526" i="12"/>
  <c r="W360" i="12"/>
  <c r="W464" i="12"/>
  <c r="W26" i="12"/>
  <c r="W336" i="12"/>
  <c r="W190" i="12"/>
  <c r="W529" i="12"/>
  <c r="W412" i="12"/>
  <c r="W63" i="12"/>
  <c r="W340" i="12"/>
  <c r="W520" i="12"/>
  <c r="W39" i="12"/>
  <c r="W466" i="12"/>
  <c r="W540" i="12"/>
  <c r="W179" i="12"/>
  <c r="W538" i="12"/>
  <c r="W305" i="12"/>
  <c r="W128" i="12"/>
  <c r="W36" i="12"/>
  <c r="W385" i="12"/>
  <c r="W200" i="12"/>
  <c r="W31" i="12"/>
  <c r="W396" i="12"/>
  <c r="W187" i="12"/>
  <c r="W462" i="12"/>
  <c r="W249" i="12"/>
  <c r="W116" i="12"/>
  <c r="W543" i="12"/>
  <c r="W542" i="12"/>
  <c r="W300" i="12"/>
  <c r="W60" i="12"/>
  <c r="W472" i="12"/>
  <c r="W23" i="12"/>
  <c r="W10" i="12"/>
  <c r="W355" i="12"/>
  <c r="W482" i="12"/>
  <c r="W111" i="12"/>
  <c r="W337" i="12"/>
  <c r="W137" i="12"/>
  <c r="W528" i="12"/>
  <c r="W353" i="12"/>
  <c r="W169" i="12"/>
  <c r="W134" i="12"/>
  <c r="V475" i="12"/>
  <c r="V31" i="12"/>
  <c r="V396" i="12"/>
  <c r="V187" i="12"/>
  <c r="V462" i="12"/>
  <c r="V249" i="12"/>
  <c r="V116" i="12"/>
  <c r="V543" i="12"/>
  <c r="V542" i="12"/>
  <c r="V300" i="12"/>
  <c r="V60" i="12"/>
  <c r="V472" i="12"/>
  <c r="V23" i="12"/>
  <c r="V10" i="12"/>
  <c r="V355" i="12"/>
  <c r="V482" i="12"/>
  <c r="V111" i="12"/>
  <c r="V337" i="12"/>
  <c r="V137" i="12"/>
  <c r="V528" i="12"/>
  <c r="V353" i="12"/>
  <c r="V169" i="12"/>
  <c r="V312" i="12"/>
  <c r="V254" i="12"/>
  <c r="V182" i="12"/>
  <c r="V41" i="12"/>
  <c r="V459" i="12"/>
  <c r="V127" i="12"/>
  <c r="V233" i="12"/>
  <c r="V154" i="12"/>
  <c r="V532" i="12"/>
  <c r="V480" i="12"/>
  <c r="V442" i="12"/>
  <c r="V275" i="12"/>
  <c r="V64" i="12"/>
  <c r="V138" i="12"/>
  <c r="V389" i="12"/>
  <c r="V278" i="12"/>
  <c r="V132" i="12"/>
  <c r="V194" i="12"/>
  <c r="V306" i="12"/>
  <c r="V153" i="12"/>
  <c r="V186" i="12"/>
  <c r="V42" i="12"/>
  <c r="V205" i="12"/>
  <c r="V432" i="12"/>
  <c r="V382" i="12"/>
  <c r="V380" i="12"/>
  <c r="V282" i="12"/>
  <c r="V122" i="12"/>
  <c r="V213" i="12"/>
  <c r="V68" i="12"/>
  <c r="V487" i="12"/>
  <c r="V221" i="12"/>
  <c r="V142" i="12"/>
  <c r="V308" i="12"/>
  <c r="V185" i="12"/>
  <c r="V237" i="12"/>
  <c r="V69" i="12"/>
  <c r="V488" i="12"/>
  <c r="V178" i="12"/>
  <c r="V219" i="12"/>
  <c r="V268" i="12"/>
  <c r="V126" i="12"/>
  <c r="V227" i="12"/>
  <c r="V283" i="12"/>
  <c r="V45" i="12"/>
  <c r="V71" i="12"/>
  <c r="V489" i="12"/>
  <c r="V202" i="12"/>
  <c r="V369" i="12"/>
  <c r="V140" i="12"/>
  <c r="V222" i="12"/>
  <c r="V109" i="12"/>
  <c r="V245" i="12"/>
  <c r="V303" i="12"/>
  <c r="V151" i="12"/>
  <c r="V398" i="12"/>
  <c r="V43" i="12"/>
  <c r="V238" i="12"/>
  <c r="V239" i="12"/>
  <c r="V15" i="12"/>
  <c r="V243" i="12"/>
  <c r="V70" i="12"/>
  <c r="V513" i="12"/>
  <c r="V426" i="12"/>
  <c r="V240" i="12"/>
  <c r="V44" i="12"/>
  <c r="V235" i="12"/>
  <c r="V16" i="12"/>
  <c r="V250" i="12"/>
  <c r="V11" i="12"/>
  <c r="V242" i="12"/>
  <c r="V317" i="12"/>
  <c r="V172" i="12"/>
  <c r="V124" i="12"/>
  <c r="V423" i="12"/>
  <c r="V101" i="12"/>
  <c r="V279" i="12"/>
  <c r="V318" i="12"/>
  <c r="V159" i="12"/>
  <c r="V130" i="12"/>
  <c r="V414" i="12"/>
  <c r="V517" i="12"/>
  <c r="V241" i="12"/>
  <c r="V177" i="12"/>
  <c r="V244" i="12"/>
  <c r="V285" i="12"/>
  <c r="V147" i="12"/>
  <c r="V286" i="12"/>
  <c r="V381" i="12"/>
  <c r="V35" i="12"/>
  <c r="V307" i="12"/>
  <c r="V106" i="12"/>
  <c r="V399" i="12"/>
  <c r="V33" i="12"/>
  <c r="V419" i="12"/>
  <c r="V180" i="12"/>
  <c r="V342" i="12"/>
  <c r="V157" i="12"/>
  <c r="V34" i="12"/>
  <c r="V287" i="12"/>
  <c r="V293" i="12"/>
  <c r="V193" i="12"/>
  <c r="V395" i="12"/>
  <c r="V135" i="12"/>
  <c r="V271" i="12"/>
  <c r="V175" i="12"/>
  <c r="V302" i="12"/>
  <c r="V294" i="12"/>
  <c r="V102" i="12"/>
  <c r="V309" i="12"/>
  <c r="V141" i="12"/>
  <c r="V251" i="12"/>
  <c r="V73" i="12"/>
  <c r="V491" i="12"/>
  <c r="V252" i="12"/>
  <c r="V74" i="12"/>
  <c r="V492" i="12"/>
  <c r="V345" i="12"/>
  <c r="V131" i="12"/>
  <c r="V80" i="12"/>
  <c r="V496" i="12"/>
  <c r="V125" i="12"/>
  <c r="V310" i="12"/>
  <c r="V53" i="12"/>
  <c r="V255" i="12"/>
  <c r="V75" i="12"/>
  <c r="V272" i="12"/>
  <c r="V176" i="12"/>
  <c r="V104" i="12"/>
  <c r="V214" i="12"/>
  <c r="V215" i="12"/>
  <c r="V328" i="12"/>
  <c r="V264" i="12"/>
  <c r="V292" i="12"/>
  <c r="V77" i="12"/>
  <c r="V316" i="12"/>
  <c r="V435" i="12"/>
  <c r="V164" i="12"/>
  <c r="V192" i="12"/>
  <c r="V484" i="12"/>
  <c r="V96" i="12"/>
  <c r="V511" i="12"/>
  <c r="V76" i="12"/>
  <c r="V493" i="12"/>
  <c r="V204" i="12"/>
  <c r="V327" i="12"/>
  <c r="V323" i="12"/>
  <c r="V150" i="12"/>
  <c r="V333" i="12"/>
  <c r="V78" i="12"/>
  <c r="V494" i="12"/>
  <c r="V331" i="12"/>
  <c r="V314" i="12"/>
  <c r="V17" i="12"/>
  <c r="V341" i="12"/>
  <c r="V79" i="12"/>
  <c r="V495" i="12"/>
  <c r="V447" i="12"/>
  <c r="V38" i="12"/>
  <c r="V434" i="12"/>
  <c r="V113" i="12"/>
  <c r="V445" i="12"/>
  <c r="V535" i="12"/>
  <c r="V262" i="12"/>
  <c r="V188" i="12"/>
  <c r="V98" i="12"/>
  <c r="V351" i="12"/>
  <c r="V344" i="12"/>
  <c r="V158" i="12"/>
  <c r="V393" i="12"/>
  <c r="V366" i="12"/>
  <c r="V46" i="12"/>
  <c r="V350" i="12"/>
  <c r="V47" i="12"/>
  <c r="V334" i="12"/>
  <c r="V335" i="12"/>
  <c r="V120" i="12"/>
  <c r="V406" i="12"/>
  <c r="V198" i="12"/>
  <c r="V324" i="12"/>
  <c r="V448" i="12"/>
  <c r="V199" i="12"/>
  <c r="V81" i="12"/>
  <c r="V497" i="12"/>
  <c r="V206" i="12"/>
  <c r="V347" i="12"/>
  <c r="V25" i="12"/>
  <c r="V348" i="12"/>
  <c r="V425" i="12"/>
  <c r="V378" i="12"/>
  <c r="V145" i="12"/>
  <c r="V29" i="12"/>
  <c r="V357" i="12"/>
  <c r="V48" i="12"/>
  <c r="V72" i="12"/>
  <c r="V490" i="12"/>
  <c r="V203" i="12"/>
  <c r="V352" i="12"/>
  <c r="V167" i="12"/>
  <c r="V379" i="12"/>
  <c r="V82" i="12"/>
  <c r="V498" i="12"/>
  <c r="V446" i="12"/>
  <c r="V387" i="12"/>
  <c r="V322" i="12"/>
  <c r="V118" i="12"/>
  <c r="V361" i="12"/>
  <c r="V439" i="12"/>
  <c r="V66" i="12"/>
  <c r="V473" i="12"/>
  <c r="V83" i="12"/>
  <c r="V499" i="12"/>
  <c r="V368" i="12"/>
  <c r="V358" i="12"/>
  <c r="V297" i="12"/>
  <c r="V49" i="12"/>
  <c r="V370" i="12"/>
  <c r="V133" i="12"/>
  <c r="V84" i="12"/>
  <c r="V500" i="12"/>
  <c r="V207" i="12"/>
  <c r="V236" i="12"/>
  <c r="V156" i="12"/>
  <c r="V383" i="12"/>
  <c r="V117" i="12"/>
  <c r="V377" i="12"/>
  <c r="V374" i="12"/>
  <c r="V363" i="12"/>
  <c r="V229" i="12"/>
  <c r="V217" i="12"/>
  <c r="V121" i="12"/>
  <c r="V479" i="12"/>
  <c r="V136" i="12"/>
  <c r="V267" i="12"/>
  <c r="V139" i="12"/>
  <c r="V349" i="12"/>
  <c r="V225" i="12"/>
  <c r="V276" i="12"/>
  <c r="V277" i="12"/>
  <c r="V146" i="12"/>
  <c r="V469" i="12"/>
  <c r="V50" i="12"/>
  <c r="V470" i="12"/>
  <c r="V21" i="12"/>
  <c r="V416" i="12"/>
  <c r="V456" i="12"/>
  <c r="V281" i="12"/>
  <c r="V114" i="12"/>
  <c r="V408" i="12"/>
  <c r="V189" i="12"/>
  <c r="V386" i="12"/>
  <c r="V37" i="12"/>
  <c r="V299" i="12"/>
  <c r="V223" i="12"/>
  <c r="V390" i="12"/>
  <c r="V195" i="12"/>
  <c r="V291" i="12"/>
  <c r="V22" i="12"/>
  <c r="V174" i="12"/>
  <c r="V486" i="12"/>
  <c r="V485" i="12"/>
  <c r="V119" i="12"/>
  <c r="V144" i="12"/>
  <c r="V397" i="12"/>
  <c r="V86" i="12"/>
  <c r="V502" i="12"/>
  <c r="V400" i="12"/>
  <c r="V87" i="12"/>
  <c r="V503" i="12"/>
  <c r="V394" i="12"/>
  <c r="V85" i="12"/>
  <c r="V501" i="12"/>
  <c r="V418" i="12"/>
  <c r="V420" i="12"/>
  <c r="V40" i="12"/>
  <c r="V413" i="12"/>
  <c r="V107" i="12"/>
  <c r="V226" i="12"/>
  <c r="V161" i="12"/>
  <c r="V518" i="12"/>
  <c r="V51" i="12"/>
  <c r="V269" i="12"/>
  <c r="V18" i="12"/>
  <c r="V465" i="12"/>
  <c r="V280" i="12"/>
  <c r="V415" i="12"/>
  <c r="V52" i="12"/>
  <c r="V201" i="12"/>
  <c r="V405" i="12"/>
  <c r="V27" i="12"/>
  <c r="V463" i="12"/>
  <c r="V458" i="12"/>
  <c r="V183" i="12"/>
  <c r="V403" i="12"/>
  <c r="V65" i="12"/>
  <c r="V402" i="12"/>
  <c r="V88" i="12"/>
  <c r="V504" i="12"/>
  <c r="V343" i="12"/>
  <c r="V173" i="12"/>
  <c r="V315" i="12"/>
  <c r="V181" i="12"/>
  <c r="V417" i="12"/>
  <c r="V61" i="12"/>
  <c r="V421" i="12"/>
  <c r="V191" i="12"/>
  <c r="V409" i="12"/>
  <c r="V149" i="12"/>
  <c r="V410" i="12"/>
  <c r="V19" i="12"/>
  <c r="V401" i="12"/>
  <c r="V165" i="12"/>
  <c r="V329" i="12"/>
  <c r="V129" i="12"/>
  <c r="V427" i="12"/>
  <c r="V330" i="12"/>
  <c r="V62" i="12"/>
  <c r="V433" i="12"/>
  <c r="V54" i="12"/>
  <c r="V440" i="12"/>
  <c r="V404" i="12"/>
  <c r="V436" i="12"/>
  <c r="V311" i="12"/>
  <c r="V160" i="12"/>
  <c r="V266" i="12"/>
  <c r="V196" i="12"/>
  <c r="V108" i="12"/>
  <c r="V424" i="12"/>
  <c r="V89" i="12"/>
  <c r="V505" i="12"/>
  <c r="V454" i="12"/>
  <c r="V449" i="12"/>
  <c r="V224" i="12"/>
  <c r="V30" i="12"/>
  <c r="V429" i="12"/>
  <c r="V428" i="12"/>
  <c r="V99" i="12"/>
  <c r="V365" i="12"/>
  <c r="V13" i="12"/>
  <c r="V431" i="12"/>
  <c r="V391" i="12"/>
  <c r="V253" i="12"/>
  <c r="V232" i="12"/>
  <c r="V90" i="12"/>
  <c r="V443" i="12"/>
  <c r="V441" i="12"/>
  <c r="V326" i="12"/>
  <c r="V216" i="12"/>
  <c r="V444" i="12"/>
  <c r="V373" i="12"/>
  <c r="V123" i="12"/>
  <c r="V270" i="12"/>
  <c r="V14" i="12"/>
  <c r="V265" i="12"/>
  <c r="V32" i="12"/>
  <c r="V301" i="12"/>
  <c r="V9" i="12"/>
  <c r="V20" i="12"/>
  <c r="V263" i="12"/>
  <c r="V12" i="12"/>
  <c r="V91" i="12"/>
  <c r="V506" i="12"/>
  <c r="V208" i="12"/>
  <c r="V218" i="12"/>
  <c r="V67" i="12"/>
  <c r="V457" i="12"/>
  <c r="V92" i="12"/>
  <c r="V507" i="12"/>
  <c r="V319" i="12"/>
  <c r="V103" i="12"/>
  <c r="V450" i="12"/>
  <c r="V171" i="12"/>
  <c r="V346" i="12"/>
  <c r="V162" i="12"/>
  <c r="V93" i="12"/>
  <c r="V508" i="12"/>
  <c r="V209" i="12"/>
  <c r="V460" i="12"/>
  <c r="V256" i="12"/>
  <c r="V257" i="12"/>
  <c r="V234" i="12"/>
  <c r="V100" i="12"/>
  <c r="V376" i="12"/>
  <c r="V115" i="12"/>
  <c r="V514" i="12"/>
  <c r="V313" i="12"/>
  <c r="V168" i="12"/>
  <c r="V273" i="12"/>
  <c r="V274" i="12"/>
  <c r="V455" i="12"/>
  <c r="V468" i="12"/>
  <c r="V228" i="12"/>
  <c r="V230" i="12"/>
  <c r="V56" i="12"/>
  <c r="V481" i="12"/>
  <c r="V320" i="12"/>
  <c r="V57" i="12"/>
  <c r="V338" i="12"/>
  <c r="V110" i="12"/>
  <c r="V321" i="12"/>
  <c r="V155" i="12"/>
  <c r="V197" i="12"/>
  <c r="V339" i="12"/>
  <c r="V24" i="12"/>
  <c r="V474" i="12"/>
  <c r="V438" i="12"/>
  <c r="V166" i="12"/>
  <c r="V483" i="12"/>
  <c r="V298" i="12"/>
  <c r="V332" i="12"/>
  <c r="V112" i="12"/>
  <c r="V220" i="12"/>
  <c r="V212" i="12"/>
  <c r="V477" i="12"/>
  <c r="V94" i="12"/>
  <c r="V509" i="12"/>
  <c r="V478" i="12"/>
  <c r="V95" i="12"/>
  <c r="V510" i="12"/>
  <c r="V515" i="12"/>
  <c r="V97" i="12"/>
  <c r="V512" i="12"/>
  <c r="V325" i="12"/>
  <c r="V55" i="12"/>
  <c r="V476" i="12"/>
  <c r="V28" i="12"/>
  <c r="V210" i="12"/>
  <c r="V211" i="12"/>
  <c r="V371" i="12"/>
  <c r="V143" i="12"/>
  <c r="V522" i="12"/>
  <c r="V163" i="12"/>
  <c r="V521" i="12"/>
  <c r="V384" i="12"/>
  <c r="V248" i="12"/>
  <c r="V58" i="12"/>
  <c r="V411" i="12"/>
  <c r="V152" i="12"/>
  <c r="V467" i="12"/>
  <c r="V105" i="12"/>
  <c r="V461" i="12"/>
  <c r="V170" i="12"/>
  <c r="V524" i="12"/>
  <c r="V523" i="12"/>
  <c r="V59" i="12"/>
  <c r="V525" i="12"/>
  <c r="V516" i="12"/>
  <c r="V359" i="12"/>
  <c r="V148" i="12"/>
  <c r="V526" i="12"/>
  <c r="V360" i="12"/>
  <c r="V464" i="12"/>
  <c r="V26" i="12"/>
  <c r="V336" i="12"/>
  <c r="V190" i="12"/>
  <c r="V529" i="12"/>
  <c r="V412" i="12"/>
  <c r="V63" i="12"/>
  <c r="V340" i="12"/>
  <c r="V520" i="12"/>
  <c r="V39" i="12"/>
  <c r="V466" i="12"/>
  <c r="V540" i="12"/>
  <c r="V179" i="12"/>
  <c r="V538" i="12"/>
  <c r="V305" i="12"/>
  <c r="V128" i="12"/>
  <c r="V36" i="12"/>
  <c r="V385" i="12"/>
  <c r="V200" i="12"/>
  <c r="V134" i="12"/>
  <c r="D217" i="42"/>
  <c r="D216" i="42"/>
  <c r="D215" i="42"/>
  <c r="D214" i="42"/>
  <c r="D213" i="42"/>
  <c r="D212" i="42"/>
  <c r="D220" i="29"/>
  <c r="C220" i="29"/>
  <c r="D219" i="29"/>
  <c r="C219" i="29"/>
  <c r="D218" i="29"/>
  <c r="C218" i="29"/>
  <c r="D216" i="29"/>
  <c r="C216" i="29"/>
  <c r="D215" i="29"/>
  <c r="C215" i="29"/>
  <c r="D214" i="29"/>
  <c r="C214" i="29"/>
  <c r="D213" i="29"/>
  <c r="C213" i="29"/>
  <c r="D212" i="29"/>
  <c r="C212" i="29"/>
  <c r="D211" i="29"/>
  <c r="C211" i="29"/>
  <c r="D210" i="29"/>
  <c r="C210" i="29"/>
  <c r="D209" i="29"/>
  <c r="C209" i="29"/>
  <c r="D208" i="29"/>
  <c r="C208" i="29"/>
  <c r="D207" i="29"/>
  <c r="D217" i="29"/>
  <c r="C207" i="29"/>
  <c r="C217" i="29"/>
  <c r="D206" i="29"/>
  <c r="C206" i="29"/>
  <c r="D205" i="29"/>
  <c r="C205" i="29"/>
  <c r="D204" i="29"/>
  <c r="AA1196" i="13" l="1"/>
  <c r="AD1196" i="13"/>
  <c r="AC1196" i="13"/>
  <c r="E1195" i="13"/>
  <c r="Y1196" i="13"/>
  <c r="W1196" i="13"/>
  <c r="AE1195" i="13"/>
  <c r="AD1195" i="13"/>
  <c r="AC1195" i="13"/>
  <c r="AA1195" i="13"/>
  <c r="Z1195" i="13"/>
  <c r="Y1195" i="13"/>
  <c r="X1195" i="13"/>
  <c r="W1195" i="13"/>
  <c r="BA3005" i="3"/>
  <c r="AZ2940" i="3"/>
  <c r="AE1141" i="13"/>
  <c r="D549" i="12"/>
  <c r="E2924" i="3"/>
  <c r="E2944" i="3"/>
  <c r="E2980" i="3"/>
  <c r="AZ2922" i="3"/>
  <c r="BA2922" i="3"/>
  <c r="BA2814" i="3"/>
  <c r="AE1157" i="13"/>
  <c r="AZ2814" i="3"/>
  <c r="AZ2857" i="3"/>
  <c r="BA2880" i="3"/>
  <c r="BA2807" i="3"/>
  <c r="BA2882" i="3"/>
  <c r="BA2857" i="3"/>
  <c r="BA2940" i="3"/>
  <c r="AZ3024" i="3"/>
  <c r="AD1141" i="13"/>
  <c r="AZ2882" i="3"/>
  <c r="BA3024" i="3"/>
  <c r="AZ3006" i="3"/>
  <c r="BA2878" i="3"/>
  <c r="AZ2880" i="3"/>
  <c r="BA3006" i="3"/>
  <c r="AZ3002" i="3"/>
  <c r="BA3002" i="3"/>
  <c r="AZ2807" i="3"/>
  <c r="AZ2859" i="3"/>
  <c r="AZ3005" i="3"/>
  <c r="AZ2878" i="3"/>
  <c r="L549" i="12"/>
  <c r="M549" i="12"/>
  <c r="BA2804" i="3"/>
  <c r="U144" i="17"/>
  <c r="BA2813" i="3"/>
  <c r="AE1153" i="13"/>
  <c r="BA2781" i="3"/>
  <c r="AW357" i="4"/>
  <c r="AD1138" i="13"/>
  <c r="AX2781" i="3"/>
  <c r="C371" i="4"/>
  <c r="AZ2804" i="3"/>
  <c r="AD1153" i="13"/>
  <c r="AZ2813" i="3"/>
  <c r="E1154" i="13"/>
  <c r="C2890" i="3"/>
  <c r="E2796" i="3"/>
  <c r="C361" i="4"/>
  <c r="BA2789" i="3"/>
  <c r="AV2991" i="3"/>
  <c r="AZ2941" i="3"/>
  <c r="BA2953" i="3"/>
  <c r="AE1155" i="13"/>
  <c r="BA2803" i="3"/>
  <c r="AZ2953" i="3"/>
  <c r="AZ2803" i="3"/>
  <c r="AV2952" i="3"/>
  <c r="BA2780" i="3"/>
  <c r="BA2921" i="3"/>
  <c r="AS2780" i="3"/>
  <c r="C1476" i="3"/>
  <c r="E2856" i="3"/>
  <c r="E362" i="4"/>
  <c r="E2910" i="3"/>
  <c r="E373" i="4"/>
  <c r="E1137" i="13"/>
  <c r="L211" i="12"/>
  <c r="M256" i="12"/>
  <c r="M298" i="12"/>
  <c r="L479" i="12"/>
  <c r="L391" i="12"/>
  <c r="M508" i="12"/>
  <c r="M414" i="12"/>
  <c r="L209" i="12"/>
  <c r="E1177" i="13"/>
  <c r="C375" i="4"/>
  <c r="L230" i="12"/>
  <c r="C2811" i="3"/>
  <c r="E2844" i="3"/>
  <c r="C1177" i="13"/>
  <c r="C374" i="4"/>
  <c r="E354" i="4"/>
  <c r="E356" i="4"/>
  <c r="E2908" i="3"/>
  <c r="E2913" i="3"/>
  <c r="C1173" i="13"/>
  <c r="E2841" i="3"/>
  <c r="E2915" i="3"/>
  <c r="E2903" i="3"/>
  <c r="E2918" i="3"/>
  <c r="C2932" i="3"/>
  <c r="C2812" i="3"/>
  <c r="C2796" i="3"/>
  <c r="E2842" i="3"/>
  <c r="E2899" i="3"/>
  <c r="E2917" i="3"/>
  <c r="E2884" i="3"/>
  <c r="C2984" i="3"/>
  <c r="AD1194" i="13"/>
  <c r="AD1193" i="13"/>
  <c r="Z1193" i="13"/>
  <c r="Z1194" i="13"/>
  <c r="AW2943" i="3"/>
  <c r="V1194" i="13"/>
  <c r="E2850" i="3"/>
  <c r="E1134" i="13"/>
  <c r="C2918" i="3"/>
  <c r="C2867" i="3"/>
  <c r="E377" i="4"/>
  <c r="AD719" i="13"/>
  <c r="L241" i="12"/>
  <c r="L415" i="12"/>
  <c r="L339" i="12"/>
  <c r="L206" i="12"/>
  <c r="L210" i="12"/>
  <c r="L494" i="12"/>
  <c r="L502" i="12"/>
  <c r="M469" i="12"/>
  <c r="C2834" i="3"/>
  <c r="E1135" i="13"/>
  <c r="M481" i="12"/>
  <c r="X1193" i="13"/>
  <c r="V1193" i="13"/>
  <c r="AV2838" i="3"/>
  <c r="E2830" i="3"/>
  <c r="C850" i="3"/>
  <c r="E2848" i="3"/>
  <c r="C3025" i="3"/>
  <c r="E368" i="4"/>
  <c r="E369" i="4"/>
  <c r="E2901" i="3"/>
  <c r="E2916" i="3"/>
  <c r="C1163" i="13"/>
  <c r="C1170" i="13"/>
  <c r="C2798" i="3"/>
  <c r="E1178" i="13"/>
  <c r="C377" i="4"/>
  <c r="E2970" i="3"/>
  <c r="Z968" i="13"/>
  <c r="E1133" i="13"/>
  <c r="C2807" i="3"/>
  <c r="C1165" i="13"/>
  <c r="E1163" i="13"/>
  <c r="E2990" i="3"/>
  <c r="C379" i="4"/>
  <c r="E1190" i="13"/>
  <c r="C1169" i="13"/>
  <c r="E2988" i="3"/>
  <c r="E1153" i="13"/>
  <c r="AC183" i="13"/>
  <c r="X1194" i="13"/>
  <c r="AZ2838" i="3"/>
  <c r="AC1193" i="13"/>
  <c r="AC1194" i="13"/>
  <c r="AY2838" i="3"/>
  <c r="AV2943" i="3"/>
  <c r="AX2839" i="3"/>
  <c r="AB1193" i="13"/>
  <c r="AB1194" i="13"/>
  <c r="AX2838" i="3"/>
  <c r="AU2943" i="3"/>
  <c r="AW2839" i="3"/>
  <c r="AA1193" i="13"/>
  <c r="AA1194" i="13"/>
  <c r="AW2838" i="3"/>
  <c r="AR2943" i="3"/>
  <c r="AU2839" i="3"/>
  <c r="Y1193" i="13"/>
  <c r="Y1194" i="13"/>
  <c r="AU2838" i="3"/>
  <c r="AZ2943" i="3"/>
  <c r="AS2838" i="3"/>
  <c r="AY2943" i="3"/>
  <c r="AE1193" i="13"/>
  <c r="AE1194" i="13"/>
  <c r="BA2838" i="3"/>
  <c r="AR2838" i="3"/>
  <c r="AX2943" i="3"/>
  <c r="AT2839" i="3"/>
  <c r="V9" i="13"/>
  <c r="AT2943" i="3"/>
  <c r="BA2839" i="3"/>
  <c r="AS2839" i="3"/>
  <c r="AC9" i="13"/>
  <c r="BA2943" i="3"/>
  <c r="AZ2839" i="3"/>
  <c r="AR2839" i="3"/>
  <c r="X904" i="13"/>
  <c r="Z984" i="13"/>
  <c r="AY2839" i="3"/>
  <c r="C614" i="3"/>
  <c r="AD824" i="13"/>
  <c r="AD800" i="13"/>
  <c r="AD680" i="13"/>
  <c r="C395" i="3"/>
  <c r="C731" i="3"/>
  <c r="C518" i="3"/>
  <c r="C1594" i="3"/>
  <c r="C375" i="13"/>
  <c r="C779" i="3"/>
  <c r="C1570" i="3"/>
  <c r="C1256" i="3"/>
  <c r="C117" i="3"/>
  <c r="AD462" i="13"/>
  <c r="AD591" i="13"/>
  <c r="C1026" i="13"/>
  <c r="E2839" i="3"/>
  <c r="E2943" i="3"/>
  <c r="E2838" i="3"/>
  <c r="E1194" i="13"/>
  <c r="E1193" i="13"/>
  <c r="C939" i="3"/>
  <c r="C75" i="17"/>
  <c r="C265" i="3"/>
  <c r="C46" i="3"/>
  <c r="C2838" i="3"/>
  <c r="C2943" i="3"/>
  <c r="C482" i="3"/>
  <c r="C2033" i="3"/>
  <c r="C2330" i="3"/>
  <c r="C257" i="4"/>
  <c r="AD375" i="13"/>
  <c r="AD63" i="13"/>
  <c r="AD760" i="13"/>
  <c r="C1007" i="13"/>
  <c r="C2027" i="3"/>
  <c r="AD246" i="13"/>
  <c r="AD39" i="13"/>
  <c r="AD832" i="13"/>
  <c r="AD303" i="13"/>
  <c r="C186" i="13"/>
  <c r="C496" i="3"/>
  <c r="C1093" i="13"/>
  <c r="C839" i="13"/>
  <c r="C1044" i="3"/>
  <c r="Y1008" i="13"/>
  <c r="C1744" i="3"/>
  <c r="C1901" i="3"/>
  <c r="C1997" i="3"/>
  <c r="C156" i="3"/>
  <c r="C799" i="3"/>
  <c r="C251" i="4"/>
  <c r="C2104" i="3"/>
  <c r="C904" i="13"/>
  <c r="C566" i="13"/>
  <c r="C2503" i="3"/>
  <c r="C2095" i="3"/>
  <c r="C1482" i="3"/>
  <c r="C631" i="13"/>
  <c r="C2525" i="3"/>
  <c r="C140" i="34"/>
  <c r="C2521" i="3"/>
  <c r="C2201" i="3"/>
  <c r="C2189" i="3"/>
  <c r="C258" i="4"/>
  <c r="C1774" i="3"/>
  <c r="C1778" i="3"/>
  <c r="C1775" i="3"/>
  <c r="C1795" i="3"/>
  <c r="C1777" i="3"/>
  <c r="C1793" i="3"/>
  <c r="C1790" i="3"/>
  <c r="C1776" i="3"/>
  <c r="C1784" i="3"/>
  <c r="C255" i="4"/>
  <c r="C1783" i="3"/>
  <c r="C1780" i="3"/>
  <c r="C1652" i="3"/>
  <c r="C1651" i="3"/>
  <c r="C1616" i="3"/>
  <c r="C1615" i="3"/>
  <c r="C1617" i="3"/>
  <c r="C142" i="17"/>
  <c r="C2639" i="3"/>
  <c r="C214" i="4"/>
  <c r="C1548" i="3"/>
  <c r="C808" i="13"/>
  <c r="C1277" i="3"/>
  <c r="C784" i="13"/>
  <c r="C162" i="4"/>
  <c r="C1969" i="3"/>
  <c r="C1962" i="3"/>
  <c r="C1968" i="3"/>
  <c r="C87" i="17"/>
  <c r="C506" i="13"/>
  <c r="C1358" i="3"/>
  <c r="C507" i="13"/>
  <c r="C241" i="4"/>
  <c r="C243" i="4"/>
  <c r="C734" i="13"/>
  <c r="C246" i="4"/>
  <c r="C1686" i="3"/>
  <c r="C1613" i="3"/>
  <c r="C1606" i="3"/>
  <c r="C1600" i="3"/>
  <c r="C1607" i="3"/>
  <c r="C1421" i="3"/>
  <c r="C64" i="17"/>
  <c r="C1353" i="3"/>
  <c r="C1051" i="13"/>
  <c r="C1340" i="3"/>
  <c r="C716" i="13"/>
  <c r="C700" i="13"/>
  <c r="C711" i="13"/>
  <c r="C1423" i="3"/>
  <c r="C689" i="13"/>
  <c r="C158" i="4"/>
  <c r="C1228" i="3"/>
  <c r="C1225" i="3"/>
  <c r="C1226" i="3"/>
  <c r="C441" i="13"/>
  <c r="C321" i="3"/>
  <c r="C324" i="3"/>
  <c r="C523" i="13"/>
  <c r="C1233" i="3"/>
  <c r="C1206" i="3"/>
  <c r="C1182" i="3"/>
  <c r="C1129" i="3"/>
  <c r="C534" i="13"/>
  <c r="C1186" i="3"/>
  <c r="C1127" i="3"/>
  <c r="C1128" i="3"/>
  <c r="C125" i="4"/>
  <c r="C328" i="13"/>
  <c r="C2755" i="3"/>
  <c r="C330" i="4"/>
  <c r="C748" i="3"/>
  <c r="C41" i="34"/>
  <c r="C16" i="13"/>
  <c r="C17" i="13"/>
  <c r="C304" i="3"/>
  <c r="C36" i="34"/>
  <c r="C308" i="3"/>
  <c r="C317" i="13"/>
  <c r="C69" i="4"/>
  <c r="C177" i="13"/>
  <c r="C178" i="13"/>
  <c r="C595" i="3"/>
  <c r="C220" i="13"/>
  <c r="C285" i="13"/>
  <c r="C563" i="3"/>
  <c r="C434" i="3"/>
  <c r="C168" i="13"/>
  <c r="C389" i="3"/>
  <c r="C390" i="3"/>
  <c r="C267" i="13"/>
  <c r="C264" i="13"/>
  <c r="C365" i="3"/>
  <c r="C348" i="3"/>
  <c r="C125" i="17"/>
  <c r="C445" i="3"/>
  <c r="C458" i="3"/>
  <c r="C249" i="13"/>
  <c r="C456" i="3"/>
  <c r="C467" i="3"/>
  <c r="C38" i="4"/>
  <c r="C197" i="3"/>
  <c r="C235" i="13"/>
  <c r="C235" i="3"/>
  <c r="C21" i="17"/>
  <c r="C240" i="3"/>
  <c r="C310" i="4"/>
  <c r="C38" i="13"/>
  <c r="C2321" i="3"/>
  <c r="C9" i="34"/>
  <c r="C37" i="3"/>
  <c r="C40" i="3"/>
  <c r="AD1072" i="13"/>
  <c r="Y1072" i="13"/>
  <c r="AD880" i="13"/>
  <c r="X880" i="13"/>
  <c r="W769" i="13"/>
  <c r="Y769" i="13"/>
  <c r="AB679" i="13"/>
  <c r="AD679" i="13"/>
  <c r="Z664" i="13"/>
  <c r="AB664" i="13"/>
  <c r="AC351" i="13"/>
  <c r="AD351" i="13"/>
  <c r="AB228" i="13"/>
  <c r="AD228" i="13"/>
  <c r="AD198" i="13"/>
  <c r="AD784" i="13"/>
  <c r="AD447" i="13"/>
  <c r="C1676" i="3"/>
  <c r="C1787" i="3"/>
  <c r="C313" i="4"/>
  <c r="C1142" i="13"/>
  <c r="Y1096" i="13"/>
  <c r="Z207" i="13"/>
  <c r="C2744" i="3"/>
  <c r="C1078" i="13"/>
  <c r="C2742" i="3"/>
  <c r="C317" i="4"/>
  <c r="C2403" i="3"/>
  <c r="C320" i="4"/>
  <c r="C319" i="4"/>
  <c r="C2407" i="3"/>
  <c r="C2535" i="3"/>
  <c r="C2462" i="3"/>
  <c r="C157" i="13"/>
  <c r="C158" i="13"/>
  <c r="C2078" i="3"/>
  <c r="C729" i="13"/>
  <c r="C110" i="17"/>
  <c r="C625" i="13"/>
  <c r="C626" i="13"/>
  <c r="C857" i="13"/>
  <c r="C1068" i="13"/>
  <c r="C585" i="13"/>
  <c r="C810" i="13"/>
  <c r="C1325" i="3"/>
  <c r="C503" i="13"/>
  <c r="C1141" i="13"/>
  <c r="C1389" i="3"/>
  <c r="C524" i="13"/>
  <c r="C1371" i="3"/>
  <c r="C1376" i="3"/>
  <c r="C1375" i="3"/>
  <c r="C2030" i="3"/>
  <c r="C2046" i="3"/>
  <c r="C2031" i="3"/>
  <c r="C2047" i="3"/>
  <c r="C2053" i="3"/>
  <c r="C2044" i="3"/>
  <c r="C2052" i="3"/>
  <c r="C2040" i="3"/>
  <c r="C717" i="13"/>
  <c r="C2034" i="3"/>
  <c r="C2039" i="3"/>
  <c r="C2028" i="3"/>
  <c r="C2025" i="3"/>
  <c r="C614" i="13"/>
  <c r="C2050" i="3"/>
  <c r="C2051" i="3"/>
  <c r="C2024" i="3"/>
  <c r="C2029" i="3"/>
  <c r="C1948" i="3"/>
  <c r="C1946" i="3"/>
  <c r="C1957" i="3"/>
  <c r="C1947" i="3"/>
  <c r="C1929" i="3"/>
  <c r="C417" i="13"/>
  <c r="C426" i="13"/>
  <c r="C425" i="13"/>
  <c r="C420" i="13"/>
  <c r="C419" i="13"/>
  <c r="C1034" i="3"/>
  <c r="C1039" i="3"/>
  <c r="C1041" i="3"/>
  <c r="C1042" i="3"/>
  <c r="C828" i="13"/>
  <c r="C573" i="13"/>
  <c r="C1040" i="3"/>
  <c r="C1133" i="3"/>
  <c r="C1138" i="3"/>
  <c r="C1134" i="3"/>
  <c r="C130" i="4"/>
  <c r="C133" i="4"/>
  <c r="C1024" i="3"/>
  <c r="C360" i="13"/>
  <c r="C134" i="4"/>
  <c r="C132" i="4"/>
  <c r="C1025" i="3"/>
  <c r="C1190" i="3"/>
  <c r="C1189" i="3"/>
  <c r="C1199" i="3"/>
  <c r="C526" i="13"/>
  <c r="C945" i="3"/>
  <c r="C917" i="3"/>
  <c r="C915" i="3"/>
  <c r="C916" i="3"/>
  <c r="C920" i="3"/>
  <c r="C2362" i="3"/>
  <c r="C2353" i="3"/>
  <c r="C2359" i="3"/>
  <c r="C876" i="3"/>
  <c r="C909" i="3"/>
  <c r="C107" i="4"/>
  <c r="C914" i="3"/>
  <c r="C259" i="13"/>
  <c r="C912" i="3"/>
  <c r="C619" i="3"/>
  <c r="C320" i="13"/>
  <c r="C766" i="3"/>
  <c r="C628" i="3"/>
  <c r="C759" i="3"/>
  <c r="C29" i="34"/>
  <c r="C495" i="3"/>
  <c r="C144" i="13"/>
  <c r="C286" i="3"/>
  <c r="C41" i="4"/>
  <c r="C285" i="3"/>
  <c r="C406" i="3"/>
  <c r="C2596" i="3"/>
  <c r="C2609" i="3"/>
  <c r="C2598" i="3"/>
  <c r="C2595" i="3"/>
  <c r="C2606" i="3"/>
  <c r="C2599" i="3"/>
  <c r="C217" i="3"/>
  <c r="C134" i="3"/>
  <c r="C116" i="3"/>
  <c r="C139" i="3"/>
  <c r="C135" i="3"/>
  <c r="C133" i="13"/>
  <c r="C129" i="3"/>
  <c r="C222" i="3"/>
  <c r="C80" i="3"/>
  <c r="C220" i="3"/>
  <c r="C330" i="3"/>
  <c r="C120" i="3"/>
  <c r="C333" i="3"/>
  <c r="C53" i="13"/>
  <c r="C109" i="3"/>
  <c r="C112" i="3"/>
  <c r="C104" i="3"/>
  <c r="C105" i="3"/>
  <c r="C18" i="34"/>
  <c r="C17" i="34"/>
  <c r="C24" i="4"/>
  <c r="C69" i="3"/>
  <c r="Y1111" i="13"/>
  <c r="AD1111" i="13"/>
  <c r="X1015" i="13"/>
  <c r="Z1015" i="13"/>
  <c r="Z1000" i="13"/>
  <c r="AD1000" i="13"/>
  <c r="X1000" i="13"/>
  <c r="W976" i="13"/>
  <c r="Y976" i="13"/>
  <c r="W856" i="13"/>
  <c r="AD856" i="13"/>
  <c r="W847" i="13"/>
  <c r="Z847" i="13"/>
  <c r="W841" i="13"/>
  <c r="Y841" i="13"/>
  <c r="AD841" i="13"/>
  <c r="AD808" i="13"/>
  <c r="Z808" i="13"/>
  <c r="AC745" i="13"/>
  <c r="Y745" i="13"/>
  <c r="Z688" i="13"/>
  <c r="X688" i="13"/>
  <c r="AA592" i="13"/>
  <c r="AD592" i="13"/>
  <c r="Z583" i="13"/>
  <c r="AD583" i="13"/>
  <c r="AB520" i="13"/>
  <c r="Z520" i="13"/>
  <c r="X339" i="13"/>
  <c r="AD339" i="13"/>
  <c r="AD54" i="13"/>
  <c r="W54" i="13"/>
  <c r="AD243" i="13"/>
  <c r="AD423" i="13"/>
  <c r="AD1024" i="13"/>
  <c r="AD159" i="13"/>
  <c r="AD847" i="13"/>
  <c r="AD736" i="13"/>
  <c r="AD664" i="13"/>
  <c r="C199" i="3"/>
  <c r="C42" i="3"/>
  <c r="C191" i="13"/>
  <c r="C2360" i="3"/>
  <c r="C2358" i="3"/>
  <c r="C1023" i="3"/>
  <c r="C424" i="13"/>
  <c r="C2045" i="3"/>
  <c r="C2042" i="3"/>
  <c r="C859" i="13"/>
  <c r="C159" i="13"/>
  <c r="C1926" i="3"/>
  <c r="C1785" i="3"/>
  <c r="C102" i="3"/>
  <c r="C1185" i="3"/>
  <c r="C203" i="13"/>
  <c r="C1498" i="3"/>
  <c r="C143" i="3"/>
  <c r="C192" i="13"/>
  <c r="AD904" i="13"/>
  <c r="AD327" i="13"/>
  <c r="AD655" i="13"/>
  <c r="AD640" i="13"/>
  <c r="AD952" i="13"/>
  <c r="C24" i="13"/>
  <c r="C41" i="3"/>
  <c r="C494" i="3"/>
  <c r="C2356" i="3"/>
  <c r="C918" i="3"/>
  <c r="C131" i="4"/>
  <c r="C2036" i="3"/>
  <c r="C2043" i="3"/>
  <c r="C109" i="17"/>
  <c r="C1326" i="3"/>
  <c r="C20" i="4"/>
  <c r="C41" i="17"/>
  <c r="C1933" i="3"/>
  <c r="C1420" i="3"/>
  <c r="C1796" i="3"/>
  <c r="C1794" i="3"/>
  <c r="C2743" i="3"/>
  <c r="C454" i="3"/>
  <c r="C1230" i="3"/>
  <c r="C114" i="17"/>
  <c r="C126" i="13"/>
  <c r="C695" i="13"/>
  <c r="C1172" i="3"/>
  <c r="C122" i="3"/>
  <c r="C318" i="3"/>
  <c r="C1665" i="3"/>
  <c r="C215" i="4"/>
  <c r="C1373" i="3"/>
  <c r="C495" i="13"/>
  <c r="C1558" i="3"/>
  <c r="C1426" i="3"/>
  <c r="C560" i="3"/>
  <c r="Y1048" i="13"/>
  <c r="Y664" i="13"/>
  <c r="Z823" i="13"/>
  <c r="C2170" i="3"/>
  <c r="C2211" i="3"/>
  <c r="C422" i="13"/>
  <c r="C1168" i="3"/>
  <c r="AA167" i="13"/>
  <c r="Z167" i="13"/>
  <c r="AD191" i="13"/>
  <c r="AD1032" i="13"/>
  <c r="AD1080" i="13"/>
  <c r="C61" i="4"/>
  <c r="C792" i="3"/>
  <c r="C1055" i="3"/>
  <c r="C894" i="13"/>
  <c r="C1018" i="13"/>
  <c r="C337" i="4"/>
  <c r="C154" i="3"/>
  <c r="C541" i="3"/>
  <c r="C395" i="13"/>
  <c r="C240" i="13"/>
  <c r="C1888" i="3"/>
  <c r="C890" i="3"/>
  <c r="C1755" i="3"/>
  <c r="C970" i="13"/>
  <c r="C2254" i="3"/>
  <c r="Y200" i="13"/>
  <c r="AD263" i="13"/>
  <c r="AD62" i="13"/>
  <c r="AD984" i="13"/>
  <c r="AD326" i="13"/>
  <c r="C470" i="3"/>
  <c r="C817" i="3"/>
  <c r="C464" i="13"/>
  <c r="C792" i="13"/>
  <c r="C55" i="4"/>
  <c r="C2105" i="3"/>
  <c r="C2171" i="3"/>
  <c r="C1177" i="3"/>
  <c r="W744" i="13"/>
  <c r="Z14" i="13"/>
  <c r="AD992" i="13"/>
  <c r="AD704" i="13"/>
  <c r="AD358" i="13"/>
  <c r="AD1068" i="13"/>
  <c r="C151" i="3"/>
  <c r="C183" i="3"/>
  <c r="C818" i="3"/>
  <c r="C950" i="3"/>
  <c r="C547" i="13"/>
  <c r="C592" i="3"/>
  <c r="C1805" i="3"/>
  <c r="C1088" i="3"/>
  <c r="C88" i="17"/>
  <c r="C727" i="3"/>
  <c r="C1088" i="13"/>
  <c r="C2161" i="3"/>
  <c r="C670" i="3"/>
  <c r="C1328" i="3"/>
  <c r="C164" i="4"/>
  <c r="C979" i="13"/>
  <c r="C866" i="3"/>
  <c r="C1827" i="3"/>
  <c r="C196" i="3"/>
  <c r="C20" i="34"/>
  <c r="Y873" i="13"/>
  <c r="Z728" i="13"/>
  <c r="Y127" i="13"/>
  <c r="L248" i="12"/>
  <c r="C1193" i="13"/>
  <c r="C1194" i="13"/>
  <c r="C2370" i="3"/>
  <c r="C2372" i="3"/>
  <c r="C1107" i="13"/>
  <c r="C2408" i="3"/>
  <c r="C2463" i="3"/>
  <c r="C983" i="13"/>
  <c r="C759" i="13"/>
  <c r="C2179" i="3"/>
  <c r="C2166" i="3"/>
  <c r="C2155" i="3"/>
  <c r="C2117" i="3"/>
  <c r="C2172" i="3"/>
  <c r="C2216" i="3"/>
  <c r="C2086" i="3"/>
  <c r="C915" i="13"/>
  <c r="C1914" i="3"/>
  <c r="C634" i="13"/>
  <c r="C1659" i="3"/>
  <c r="C1656" i="3"/>
  <c r="C557" i="13"/>
  <c r="C855" i="13"/>
  <c r="C1301" i="3"/>
  <c r="C747" i="13"/>
  <c r="C1733" i="3"/>
  <c r="C640" i="13"/>
  <c r="C326" i="3"/>
  <c r="C45" i="4"/>
  <c r="C824" i="13"/>
  <c r="C823" i="13"/>
  <c r="C1140" i="3"/>
  <c r="C1146" i="3"/>
  <c r="C984" i="3"/>
  <c r="C983" i="3"/>
  <c r="C930" i="3"/>
  <c r="C941" i="3"/>
  <c r="C465" i="13"/>
  <c r="C833" i="3"/>
  <c r="C1025" i="13"/>
  <c r="C820" i="3"/>
  <c r="C803" i="3"/>
  <c r="C823" i="3"/>
  <c r="C58" i="4"/>
  <c r="C468" i="3"/>
  <c r="C479" i="3"/>
  <c r="C141" i="13"/>
  <c r="C570" i="3"/>
  <c r="C567" i="3"/>
  <c r="C558" i="3"/>
  <c r="C278" i="13"/>
  <c r="C540" i="3"/>
  <c r="C160" i="13"/>
  <c r="C150" i="3"/>
  <c r="C161" i="3"/>
  <c r="C152" i="3"/>
  <c r="Z1077" i="13"/>
  <c r="Y1077" i="13"/>
  <c r="W1056" i="13"/>
  <c r="AD1056" i="13"/>
  <c r="C2515" i="3"/>
  <c r="C2469" i="3"/>
  <c r="C2375" i="3"/>
  <c r="C2277" i="3"/>
  <c r="C1842" i="3"/>
  <c r="C2138" i="3"/>
  <c r="C2133" i="3"/>
  <c r="C105" i="17"/>
  <c r="C1859" i="3"/>
  <c r="C1621" i="3"/>
  <c r="C890" i="13"/>
  <c r="C1719" i="3"/>
  <c r="C1721" i="3"/>
  <c r="C1806" i="3"/>
  <c r="C1809" i="3"/>
  <c r="C56" i="17"/>
  <c r="C1094" i="3"/>
  <c r="C117" i="4"/>
  <c r="C270" i="13"/>
  <c r="C1030" i="13"/>
  <c r="C868" i="3"/>
  <c r="C74" i="4"/>
  <c r="C70" i="4"/>
  <c r="C305" i="13"/>
  <c r="C378" i="3"/>
  <c r="C397" i="3"/>
  <c r="C998" i="13"/>
  <c r="C51" i="3"/>
  <c r="C48" i="3"/>
  <c r="C2630" i="3"/>
  <c r="C2618" i="3"/>
  <c r="C29" i="3"/>
  <c r="C9" i="17"/>
  <c r="C159" i="3"/>
  <c r="C741" i="3"/>
  <c r="C2316" i="3"/>
  <c r="C534" i="3"/>
  <c r="C342" i="3"/>
  <c r="C473" i="3"/>
  <c r="C59" i="4"/>
  <c r="C815" i="3"/>
  <c r="C801" i="3"/>
  <c r="C396" i="13"/>
  <c r="C932" i="3"/>
  <c r="C574" i="13"/>
  <c r="C1393" i="3"/>
  <c r="C1469" i="3"/>
  <c r="C1623" i="3"/>
  <c r="C56" i="4"/>
  <c r="C281" i="3"/>
  <c r="C377" i="13"/>
  <c r="C845" i="3"/>
  <c r="C686" i="13"/>
  <c r="C2212" i="3"/>
  <c r="C2208" i="3"/>
  <c r="C2115" i="3"/>
  <c r="C2371" i="3"/>
  <c r="C58" i="3"/>
  <c r="C345" i="13"/>
  <c r="C49" i="17"/>
  <c r="C1765" i="3"/>
  <c r="C576" i="3"/>
  <c r="C713" i="3"/>
  <c r="C620" i="13"/>
  <c r="C1886" i="3"/>
  <c r="C2664" i="3"/>
  <c r="C769" i="13"/>
  <c r="C1405" i="3"/>
  <c r="C2385" i="3"/>
  <c r="C232" i="3"/>
  <c r="AD983" i="13"/>
  <c r="Y983" i="13"/>
  <c r="X9" i="13"/>
  <c r="W9" i="13"/>
  <c r="AD647" i="13"/>
  <c r="AD1088" i="13"/>
  <c r="AD536" i="13"/>
  <c r="C2514" i="3"/>
  <c r="C2512" i="3"/>
  <c r="C2720" i="3"/>
  <c r="C2724" i="3"/>
  <c r="C2264" i="3"/>
  <c r="C777" i="13"/>
  <c r="C2295" i="3"/>
  <c r="C2298" i="3"/>
  <c r="C2083" i="3"/>
  <c r="C2097" i="3"/>
  <c r="C969" i="13"/>
  <c r="C1971" i="3"/>
  <c r="C1090" i="13"/>
  <c r="C1010" i="13"/>
  <c r="C1891" i="3"/>
  <c r="C1889" i="3"/>
  <c r="C1833" i="3"/>
  <c r="C263" i="4"/>
  <c r="C254" i="4"/>
  <c r="C249" i="4"/>
  <c r="C1801" i="3"/>
  <c r="C1071" i="13"/>
  <c r="C1520" i="3"/>
  <c r="C2771" i="3"/>
  <c r="C331" i="4"/>
  <c r="C2770" i="3"/>
  <c r="C847" i="13"/>
  <c r="C1742" i="3"/>
  <c r="C1745" i="3"/>
  <c r="C510" i="13"/>
  <c r="C1330" i="3"/>
  <c r="C2389" i="3"/>
  <c r="C130" i="17"/>
  <c r="C405" i="13"/>
  <c r="C404" i="13"/>
  <c r="C126" i="4"/>
  <c r="C356" i="13"/>
  <c r="C922" i="3"/>
  <c r="C924" i="3"/>
  <c r="C56" i="34"/>
  <c r="C1080" i="3"/>
  <c r="C397" i="13"/>
  <c r="C258" i="13"/>
  <c r="C852" i="3"/>
  <c r="C835" i="3"/>
  <c r="C839" i="3"/>
  <c r="C804" i="3"/>
  <c r="C797" i="3"/>
  <c r="C813" i="3"/>
  <c r="C814" i="3"/>
  <c r="C810" i="3"/>
  <c r="C802" i="3"/>
  <c r="C342" i="13"/>
  <c r="C896" i="3"/>
  <c r="C885" i="3"/>
  <c r="C252" i="13"/>
  <c r="C62" i="4"/>
  <c r="C67" i="4"/>
  <c r="C476" i="3"/>
  <c r="C64" i="4"/>
  <c r="C474" i="3"/>
  <c r="C68" i="4"/>
  <c r="C179" i="13"/>
  <c r="C337" i="3"/>
  <c r="C338" i="3"/>
  <c r="C251" i="3"/>
  <c r="C247" i="3"/>
  <c r="C209" i="3"/>
  <c r="C29" i="4"/>
  <c r="C185" i="3"/>
  <c r="C179" i="3"/>
  <c r="C171" i="3"/>
  <c r="C991" i="13"/>
  <c r="C10" i="34"/>
  <c r="C19" i="13"/>
  <c r="X1096" i="13"/>
  <c r="Z1096" i="13"/>
  <c r="W1039" i="13"/>
  <c r="X1039" i="13"/>
  <c r="Y1024" i="13"/>
  <c r="W1024" i="13"/>
  <c r="W1006" i="13"/>
  <c r="X1006" i="13"/>
  <c r="Y1000" i="13"/>
  <c r="W1000" i="13"/>
  <c r="W985" i="13"/>
  <c r="Y985" i="13"/>
  <c r="X976" i="13"/>
  <c r="AC976" i="13"/>
  <c r="Z976" i="13"/>
  <c r="AA880" i="13"/>
  <c r="Y880" i="13"/>
  <c r="Z880" i="13"/>
  <c r="X832" i="13"/>
  <c r="Z832" i="13"/>
  <c r="AD757" i="13"/>
  <c r="W757" i="13"/>
  <c r="AB742" i="13"/>
  <c r="Y742" i="13"/>
  <c r="Y700" i="13"/>
  <c r="X700" i="13"/>
  <c r="X664" i="13"/>
  <c r="W664" i="13"/>
  <c r="W616" i="13"/>
  <c r="AA616" i="13"/>
  <c r="Z616" i="13"/>
  <c r="AC601" i="13"/>
  <c r="Y601" i="13"/>
  <c r="Y568" i="13"/>
  <c r="X568" i="13"/>
  <c r="W414" i="13"/>
  <c r="X414" i="13"/>
  <c r="W390" i="13"/>
  <c r="X390" i="13"/>
  <c r="Z390" i="13"/>
  <c r="X54" i="13"/>
  <c r="Y54" i="13"/>
  <c r="Y1109" i="13"/>
  <c r="Z1109" i="13"/>
  <c r="AD1007" i="13"/>
  <c r="W1007" i="13"/>
  <c r="Y46" i="13"/>
  <c r="AC46" i="13"/>
  <c r="AD1016" i="13"/>
  <c r="AD653" i="13"/>
  <c r="AD340" i="13"/>
  <c r="AD178" i="13"/>
  <c r="AD485" i="13"/>
  <c r="AD379" i="13"/>
  <c r="AD776" i="13"/>
  <c r="AD391" i="13"/>
  <c r="AD328" i="13"/>
  <c r="Z536" i="13"/>
  <c r="Y965" i="13"/>
  <c r="Z328" i="13"/>
  <c r="C143" i="34"/>
  <c r="C2367" i="3"/>
  <c r="C2368" i="3"/>
  <c r="C1084" i="13"/>
  <c r="C322" i="4"/>
  <c r="C2468" i="3"/>
  <c r="C981" i="13"/>
  <c r="C977" i="13"/>
  <c r="C2280" i="3"/>
  <c r="C968" i="13"/>
  <c r="C294" i="4"/>
  <c r="C741" i="13"/>
  <c r="C2106" i="3"/>
  <c r="C2162" i="3"/>
  <c r="C2206" i="3"/>
  <c r="C2119" i="3"/>
  <c r="C2167" i="3"/>
  <c r="C2215" i="3"/>
  <c r="C2160" i="3"/>
  <c r="C2113" i="3"/>
  <c r="C2209" i="3"/>
  <c r="C2116" i="3"/>
  <c r="C2173" i="3"/>
  <c r="C699" i="13"/>
  <c r="C2157" i="3"/>
  <c r="C1995" i="3"/>
  <c r="C108" i="17"/>
  <c r="C1907" i="3"/>
  <c r="C1913" i="3"/>
  <c r="C1758" i="3"/>
  <c r="C1759" i="3"/>
  <c r="C1757" i="3"/>
  <c r="C1470" i="3"/>
  <c r="C555" i="13"/>
  <c r="C546" i="13"/>
  <c r="C78" i="17"/>
  <c r="C79" i="17"/>
  <c r="C1281" i="3"/>
  <c r="C173" i="4"/>
  <c r="C177" i="4"/>
  <c r="C85" i="34"/>
  <c r="C514" i="13"/>
  <c r="C1739" i="3"/>
  <c r="C229" i="4"/>
  <c r="C438" i="13"/>
  <c r="C1214" i="3"/>
  <c r="C1062" i="3"/>
  <c r="C1060" i="3"/>
  <c r="C1106" i="3"/>
  <c r="C1100" i="3"/>
  <c r="C931" i="3"/>
  <c r="C936" i="3"/>
  <c r="C315" i="13"/>
  <c r="C316" i="13"/>
  <c r="C468" i="13"/>
  <c r="C1007" i="3"/>
  <c r="C986" i="3"/>
  <c r="C989" i="3"/>
  <c r="C954" i="3"/>
  <c r="C949" i="3"/>
  <c r="C2379" i="3"/>
  <c r="C386" i="13"/>
  <c r="C92" i="4"/>
  <c r="C697" i="3"/>
  <c r="C638" i="3"/>
  <c r="C636" i="3"/>
  <c r="C506" i="3"/>
  <c r="C304" i="13"/>
  <c r="C504" i="3"/>
  <c r="C525" i="3"/>
  <c r="C502" i="3"/>
  <c r="C535" i="3"/>
  <c r="C278" i="3"/>
  <c r="C275" i="3"/>
  <c r="C102" i="13"/>
  <c r="C40" i="4"/>
  <c r="X1072" i="13"/>
  <c r="W1072" i="13"/>
  <c r="W1048" i="13"/>
  <c r="Z1048" i="13"/>
  <c r="X952" i="13"/>
  <c r="Y952" i="13"/>
  <c r="Y943" i="13"/>
  <c r="W943" i="13"/>
  <c r="Z943" i="13"/>
  <c r="Z919" i="13"/>
  <c r="Y919" i="13"/>
  <c r="W904" i="13"/>
  <c r="Z904" i="13"/>
  <c r="AD580" i="13"/>
  <c r="W580" i="13"/>
  <c r="AD408" i="13"/>
  <c r="Z408" i="13"/>
  <c r="Z294" i="13"/>
  <c r="Y294" i="13"/>
  <c r="X207" i="13"/>
  <c r="W207" i="13"/>
  <c r="W120" i="13"/>
  <c r="Z120" i="13"/>
  <c r="AB39" i="13"/>
  <c r="Y39" i="13"/>
  <c r="Z39" i="13"/>
  <c r="AA9" i="13"/>
  <c r="Y9" i="13"/>
  <c r="Z9" i="13"/>
  <c r="AD30" i="13"/>
  <c r="AD331" i="13"/>
  <c r="AD468" i="13"/>
  <c r="AD608" i="13"/>
  <c r="AD712" i="13"/>
  <c r="AD568" i="13"/>
  <c r="AD599" i="13"/>
  <c r="AD503" i="13"/>
  <c r="AD207" i="13"/>
  <c r="AD126" i="13"/>
  <c r="AD366" i="13"/>
  <c r="AD703" i="13"/>
  <c r="AD769" i="13"/>
  <c r="AD839" i="13"/>
  <c r="AD460" i="13"/>
  <c r="AD544" i="13"/>
  <c r="AD631" i="13"/>
  <c r="AD286" i="13"/>
  <c r="AD484" i="13"/>
  <c r="AD968" i="13"/>
  <c r="AD114" i="13"/>
  <c r="AD438" i="13"/>
  <c r="AD976" i="13"/>
  <c r="AD1096" i="13"/>
  <c r="AD535" i="13"/>
  <c r="AD273" i="13"/>
  <c r="AD295" i="13"/>
  <c r="AD1048" i="13"/>
  <c r="AD688" i="13"/>
  <c r="AD414" i="13"/>
  <c r="AD616" i="13"/>
  <c r="AD1015" i="13"/>
  <c r="C163" i="3"/>
  <c r="C155" i="3"/>
  <c r="C278" i="4"/>
  <c r="C531" i="3"/>
  <c r="C529" i="3"/>
  <c r="C478" i="3"/>
  <c r="C485" i="3"/>
  <c r="C480" i="3"/>
  <c r="C63" i="4"/>
  <c r="C806" i="3"/>
  <c r="C794" i="3"/>
  <c r="C809" i="3"/>
  <c r="C816" i="3"/>
  <c r="C953" i="3"/>
  <c r="C462" i="13"/>
  <c r="C940" i="3"/>
  <c r="C942" i="3"/>
  <c r="C1730" i="3"/>
  <c r="C554" i="13"/>
  <c r="C1519" i="3"/>
  <c r="C1804" i="3"/>
  <c r="C104" i="17"/>
  <c r="C914" i="13"/>
  <c r="C2005" i="3"/>
  <c r="C264" i="4"/>
  <c r="C109" i="13"/>
  <c r="C847" i="3"/>
  <c r="C836" i="3"/>
  <c r="C1740" i="3"/>
  <c r="C1908" i="3"/>
  <c r="C1910" i="3"/>
  <c r="C907" i="13"/>
  <c r="C2120" i="3"/>
  <c r="C2109" i="3"/>
  <c r="C2220" i="3"/>
  <c r="C2213" i="3"/>
  <c r="C2219" i="3"/>
  <c r="C2159" i="3"/>
  <c r="C2218" i="3"/>
  <c r="C2118" i="3"/>
  <c r="C1104" i="13"/>
  <c r="C2464" i="3"/>
  <c r="C2376" i="3"/>
  <c r="C2374" i="3"/>
  <c r="C1170" i="3"/>
  <c r="C22" i="3"/>
  <c r="C893" i="3"/>
  <c r="C1083" i="3"/>
  <c r="C31" i="17"/>
  <c r="C181" i="4"/>
  <c r="C81" i="17"/>
  <c r="C1694" i="3"/>
  <c r="C622" i="13"/>
  <c r="C1772" i="3"/>
  <c r="C1898" i="3"/>
  <c r="C2439" i="3"/>
  <c r="C546" i="3"/>
  <c r="C553" i="13"/>
  <c r="C1533" i="3"/>
  <c r="C2760" i="3"/>
  <c r="C2180" i="3"/>
  <c r="C959" i="13"/>
  <c r="C690" i="3"/>
  <c r="C976" i="3"/>
  <c r="C1444" i="3"/>
  <c r="C853" i="13"/>
  <c r="C2293" i="3"/>
  <c r="C2332" i="3"/>
  <c r="C507" i="3"/>
  <c r="C500" i="13"/>
  <c r="C632" i="13"/>
  <c r="C73" i="3"/>
  <c r="C177" i="3"/>
  <c r="C236" i="13"/>
  <c r="C1014" i="3"/>
  <c r="C86" i="34"/>
  <c r="C105" i="34"/>
  <c r="C91" i="34"/>
  <c r="W1111" i="13"/>
  <c r="Z1072" i="13"/>
  <c r="Z1024" i="13"/>
  <c r="W991" i="13"/>
  <c r="X799" i="13"/>
  <c r="Z204" i="13"/>
  <c r="Z895" i="13"/>
  <c r="W880" i="13"/>
  <c r="Y832" i="13"/>
  <c r="Z568" i="13"/>
  <c r="X39" i="13"/>
  <c r="X159" i="13"/>
  <c r="AB252" i="13"/>
  <c r="AZ2608" i="3"/>
  <c r="Y70" i="13"/>
  <c r="Z70" i="13"/>
  <c r="C2175" i="3"/>
  <c r="C300" i="4"/>
  <c r="C1554" i="3"/>
  <c r="C1553" i="3"/>
  <c r="C40" i="34"/>
  <c r="C751" i="3"/>
  <c r="C645" i="3"/>
  <c r="C660" i="3"/>
  <c r="C620" i="3"/>
  <c r="C765" i="3"/>
  <c r="C623" i="3"/>
  <c r="C321" i="13"/>
  <c r="C512" i="3"/>
  <c r="C511" i="3"/>
  <c r="C2323" i="3"/>
  <c r="C2328" i="3"/>
  <c r="C2480" i="3"/>
  <c r="C2481" i="3"/>
  <c r="C860" i="13"/>
  <c r="C901" i="13"/>
  <c r="C903" i="13"/>
  <c r="C90" i="17"/>
  <c r="C1493" i="3"/>
  <c r="C206" i="4"/>
  <c r="C1543" i="3"/>
  <c r="C149" i="4"/>
  <c r="C1212" i="3"/>
  <c r="C597" i="13"/>
  <c r="C637" i="13"/>
  <c r="C408" i="13"/>
  <c r="C140" i="4"/>
  <c r="C1271" i="3"/>
  <c r="C1312" i="3"/>
  <c r="C1024" i="13"/>
  <c r="C754" i="3"/>
  <c r="C1097" i="13"/>
  <c r="C738" i="13"/>
  <c r="C368" i="3"/>
  <c r="C127" i="13"/>
  <c r="C89" i="13"/>
  <c r="C35" i="4"/>
  <c r="C2301" i="3"/>
  <c r="C2303" i="3"/>
  <c r="X1095" i="13"/>
  <c r="Z1095" i="13"/>
  <c r="V1080" i="13"/>
  <c r="X1080" i="13"/>
  <c r="W1080" i="13"/>
  <c r="X960" i="13"/>
  <c r="Z960" i="13"/>
  <c r="W960" i="13"/>
  <c r="AD960" i="13"/>
  <c r="X936" i="13"/>
  <c r="AA936" i="13"/>
  <c r="X912" i="13"/>
  <c r="Z912" i="13"/>
  <c r="AA888" i="13"/>
  <c r="Y888" i="13"/>
  <c r="X888" i="13"/>
  <c r="W879" i="13"/>
  <c r="Z879" i="13"/>
  <c r="X840" i="13"/>
  <c r="Z840" i="13"/>
  <c r="AD840" i="13"/>
  <c r="X801" i="13"/>
  <c r="Y801" i="13"/>
  <c r="Y729" i="13"/>
  <c r="AD729" i="13"/>
  <c r="Y696" i="13"/>
  <c r="AD696" i="13"/>
  <c r="W615" i="13"/>
  <c r="AD615" i="13"/>
  <c r="W191" i="13"/>
  <c r="Z191" i="13"/>
  <c r="W104" i="13"/>
  <c r="Z104" i="13"/>
  <c r="AD936" i="13"/>
  <c r="AD134" i="13"/>
  <c r="C135" i="13"/>
  <c r="C394" i="3"/>
  <c r="C142" i="13"/>
  <c r="C607" i="3"/>
  <c r="C1473" i="3"/>
  <c r="C778" i="13"/>
  <c r="C16" i="17"/>
  <c r="C105" i="13"/>
  <c r="C974" i="13"/>
  <c r="C1036" i="3"/>
  <c r="C1213" i="3"/>
  <c r="C570" i="13"/>
  <c r="C205" i="4"/>
  <c r="C1626" i="3"/>
  <c r="C1988" i="3"/>
  <c r="C372" i="3"/>
  <c r="C1588" i="3"/>
  <c r="C1864" i="3"/>
  <c r="C667" i="3"/>
  <c r="C111" i="4"/>
  <c r="C2482" i="3"/>
  <c r="C96" i="4"/>
  <c r="C1219" i="3"/>
  <c r="C1881" i="3"/>
  <c r="C2589" i="3"/>
  <c r="C43" i="17"/>
  <c r="C849" i="13"/>
  <c r="C2498" i="3"/>
  <c r="C1308" i="3"/>
  <c r="C2302" i="3"/>
  <c r="C950" i="13"/>
  <c r="Y1104" i="13"/>
  <c r="Y1080" i="13"/>
  <c r="Y1056" i="13"/>
  <c r="W936" i="13"/>
  <c r="Z320" i="13"/>
  <c r="AE59" i="13"/>
  <c r="Y1103" i="13"/>
  <c r="Z1103" i="13"/>
  <c r="AC1064" i="13"/>
  <c r="W1064" i="13"/>
  <c r="Z1064" i="13"/>
  <c r="X1064" i="13"/>
  <c r="AA1028" i="13"/>
  <c r="AB1028" i="13"/>
  <c r="X800" i="13"/>
  <c r="Y800" i="13"/>
  <c r="X391" i="13"/>
  <c r="Y391" i="13"/>
  <c r="W199" i="13"/>
  <c r="Z199" i="13"/>
  <c r="X199" i="13"/>
  <c r="X190" i="13"/>
  <c r="Z190" i="13"/>
  <c r="AA103" i="13"/>
  <c r="W103" i="13"/>
  <c r="AD103" i="13"/>
  <c r="X22" i="13"/>
  <c r="AB22" i="13"/>
  <c r="M467" i="12"/>
  <c r="L467" i="12"/>
  <c r="M148" i="12"/>
  <c r="L148" i="12"/>
  <c r="AD816" i="13"/>
  <c r="AD888" i="13"/>
  <c r="AD350" i="13"/>
  <c r="AD609" i="13"/>
  <c r="C396" i="3"/>
  <c r="C586" i="3"/>
  <c r="C388" i="13"/>
  <c r="C302" i="13"/>
  <c r="C1716" i="3"/>
  <c r="C1714" i="3"/>
  <c r="C116" i="13"/>
  <c r="C49" i="3"/>
  <c r="C50" i="4"/>
  <c r="C46" i="17"/>
  <c r="C753" i="3"/>
  <c r="C728" i="3"/>
  <c r="C353" i="13"/>
  <c r="C1047" i="13"/>
  <c r="C191" i="4"/>
  <c r="C1625" i="3"/>
  <c r="C296" i="4"/>
  <c r="C24" i="3"/>
  <c r="C350" i="13"/>
  <c r="C1121" i="3"/>
  <c r="C132" i="13"/>
  <c r="C726" i="13"/>
  <c r="C269" i="4"/>
  <c r="C2473" i="3"/>
  <c r="C17" i="4"/>
  <c r="C941" i="13"/>
  <c r="C166" i="13"/>
  <c r="C871" i="3"/>
  <c r="C1680" i="3"/>
  <c r="C2510" i="3"/>
  <c r="C406" i="13"/>
  <c r="C763" i="13"/>
  <c r="C275" i="4"/>
  <c r="C2669" i="3"/>
  <c r="C12" i="13"/>
  <c r="C2693" i="3"/>
  <c r="C31" i="4"/>
  <c r="W1047" i="13"/>
  <c r="Y1032" i="13"/>
  <c r="Z999" i="13"/>
  <c r="W912" i="13"/>
  <c r="Z888" i="13"/>
  <c r="W840" i="13"/>
  <c r="Y816" i="13"/>
  <c r="Y960" i="13"/>
  <c r="Y1088" i="13"/>
  <c r="Z1088" i="13"/>
  <c r="Z1085" i="13"/>
  <c r="W1085" i="13"/>
  <c r="Y1055" i="13"/>
  <c r="W1055" i="13"/>
  <c r="Z1055" i="13"/>
  <c r="AA1040" i="13"/>
  <c r="W1040" i="13"/>
  <c r="Z1040" i="13"/>
  <c r="Y1040" i="13"/>
  <c r="Y1016" i="13"/>
  <c r="Z1016" i="13"/>
  <c r="X992" i="13"/>
  <c r="Y992" i="13"/>
  <c r="Y968" i="13"/>
  <c r="X968" i="13"/>
  <c r="Y944" i="13"/>
  <c r="W944" i="13"/>
  <c r="Y887" i="13"/>
  <c r="X887" i="13"/>
  <c r="W848" i="13"/>
  <c r="Z848" i="13"/>
  <c r="Y848" i="13"/>
  <c r="W824" i="13"/>
  <c r="Z824" i="13"/>
  <c r="Y824" i="13"/>
  <c r="Y821" i="13"/>
  <c r="AD821" i="13"/>
  <c r="Y815" i="13"/>
  <c r="AD815" i="13"/>
  <c r="X776" i="13"/>
  <c r="Y776" i="13"/>
  <c r="Z752" i="13"/>
  <c r="Y752" i="13"/>
  <c r="W743" i="13"/>
  <c r="Z743" i="13"/>
  <c r="AC713" i="13"/>
  <c r="X713" i="13"/>
  <c r="W704" i="13"/>
  <c r="Z704" i="13"/>
  <c r="Y536" i="13"/>
  <c r="X536" i="13"/>
  <c r="X512" i="13"/>
  <c r="AD512" i="13"/>
  <c r="W142" i="13"/>
  <c r="AD142" i="13"/>
  <c r="AX2252" i="3"/>
  <c r="AV2252" i="3"/>
  <c r="AE9" i="13"/>
  <c r="AB9" i="13"/>
  <c r="AD872" i="13"/>
  <c r="AD86" i="13"/>
  <c r="AD887" i="13"/>
  <c r="AD397" i="13"/>
  <c r="AD1100" i="13"/>
  <c r="AD199" i="13"/>
  <c r="AD196" i="13"/>
  <c r="AD128" i="13"/>
  <c r="AD791" i="13"/>
  <c r="AD119" i="13"/>
  <c r="AD504" i="13"/>
  <c r="AD912" i="13"/>
  <c r="AD744" i="13"/>
  <c r="AD656" i="13"/>
  <c r="AD543" i="13"/>
  <c r="AD287" i="13"/>
  <c r="AD959" i="13"/>
  <c r="AD1008" i="13"/>
  <c r="AD728" i="13"/>
  <c r="AD1040" i="13"/>
  <c r="AD302" i="13"/>
  <c r="AD863" i="13"/>
  <c r="AD855" i="13"/>
  <c r="AD752" i="13"/>
  <c r="C375" i="3"/>
  <c r="C379" i="3"/>
  <c r="C610" i="3"/>
  <c r="C585" i="3"/>
  <c r="C250" i="13"/>
  <c r="C647" i="13"/>
  <c r="C1474" i="3"/>
  <c r="C131" i="13"/>
  <c r="C343" i="3"/>
  <c r="C251" i="13"/>
  <c r="C376" i="13"/>
  <c r="C1541" i="3"/>
  <c r="C2129" i="3"/>
  <c r="C299" i="4"/>
  <c r="C96" i="13"/>
  <c r="C374" i="3"/>
  <c r="C307" i="13"/>
  <c r="C489" i="3"/>
  <c r="C1863" i="3"/>
  <c r="C953" i="13"/>
  <c r="C2472" i="3"/>
  <c r="C60" i="3"/>
  <c r="C42" i="17"/>
  <c r="C182" i="13"/>
  <c r="C1678" i="3"/>
  <c r="C576" i="13"/>
  <c r="C51" i="13"/>
  <c r="C257" i="3"/>
  <c r="C938" i="13"/>
  <c r="C2673" i="3"/>
  <c r="C1568" i="3"/>
  <c r="C1487" i="3"/>
  <c r="C811" i="3"/>
  <c r="C1289" i="3"/>
  <c r="C1251" i="3"/>
  <c r="C1831" i="3"/>
  <c r="C2300" i="3"/>
  <c r="C61" i="13"/>
  <c r="C2674" i="3"/>
  <c r="X1088" i="13"/>
  <c r="Y1064" i="13"/>
  <c r="X1079" i="13"/>
  <c r="W1061" i="13"/>
  <c r="X1040" i="13"/>
  <c r="X1016" i="13"/>
  <c r="Z992" i="13"/>
  <c r="X848" i="13"/>
  <c r="Z134" i="13"/>
  <c r="Y191" i="13"/>
  <c r="Z391" i="13"/>
  <c r="W888" i="13"/>
  <c r="W800" i="13"/>
  <c r="Y785" i="13"/>
  <c r="W927" i="13"/>
  <c r="Z815" i="13"/>
  <c r="Z295" i="13"/>
  <c r="C2453" i="3"/>
  <c r="C2451" i="3"/>
  <c r="C1845" i="3"/>
  <c r="C1847" i="3"/>
  <c r="C1858" i="3"/>
  <c r="C1860" i="3"/>
  <c r="C1874" i="3"/>
  <c r="C1873" i="3"/>
  <c r="C604" i="13"/>
  <c r="C97" i="17"/>
  <c r="C1624" i="3"/>
  <c r="C1620" i="3"/>
  <c r="C1718" i="3"/>
  <c r="C1717" i="3"/>
  <c r="C864" i="13"/>
  <c r="C1697" i="3"/>
  <c r="C1701" i="3"/>
  <c r="C529" i="13"/>
  <c r="C1394" i="3"/>
  <c r="C1580" i="3"/>
  <c r="C1583" i="3"/>
  <c r="C1218" i="3"/>
  <c r="C445" i="13"/>
  <c r="C1162" i="3"/>
  <c r="C415" i="13"/>
  <c r="C1111" i="3"/>
  <c r="C1118" i="3"/>
  <c r="C335" i="13"/>
  <c r="C334" i="13"/>
  <c r="C948" i="3"/>
  <c r="C501" i="13"/>
  <c r="C730" i="3"/>
  <c r="C732" i="3"/>
  <c r="C237" i="13"/>
  <c r="C114" i="4"/>
  <c r="C116" i="4"/>
  <c r="C1073" i="3"/>
  <c r="C94" i="4"/>
  <c r="C711" i="3"/>
  <c r="C672" i="3"/>
  <c r="C671" i="3"/>
  <c r="C349" i="13"/>
  <c r="C348" i="13"/>
  <c r="C787" i="3"/>
  <c r="C782" i="3"/>
  <c r="C516" i="3"/>
  <c r="C514" i="3"/>
  <c r="C76" i="4"/>
  <c r="C616" i="3"/>
  <c r="C613" i="3"/>
  <c r="C174" i="13"/>
  <c r="C423" i="3"/>
  <c r="C421" i="3"/>
  <c r="C181" i="3"/>
  <c r="C164" i="13"/>
  <c r="C377" i="3"/>
  <c r="C382" i="3"/>
  <c r="C399" i="3"/>
  <c r="C380" i="3"/>
  <c r="C82" i="13"/>
  <c r="C92" i="3"/>
  <c r="C88" i="3"/>
  <c r="C15" i="4"/>
  <c r="C18" i="4"/>
  <c r="C59" i="3"/>
  <c r="C2622" i="3"/>
  <c r="C77" i="13"/>
  <c r="C83" i="13"/>
  <c r="C30" i="3"/>
  <c r="C22" i="13"/>
  <c r="W1104" i="13"/>
  <c r="Z1104" i="13"/>
  <c r="AD1104" i="13"/>
  <c r="X1056" i="13"/>
  <c r="Z1056" i="13"/>
  <c r="W1032" i="13"/>
  <c r="Z1032" i="13"/>
  <c r="AD1023" i="13"/>
  <c r="Y1023" i="13"/>
  <c r="X1008" i="13"/>
  <c r="W1008" i="13"/>
  <c r="Y984" i="13"/>
  <c r="X984" i="13"/>
  <c r="Y831" i="13"/>
  <c r="X831" i="13"/>
  <c r="W816" i="13"/>
  <c r="Z816" i="13"/>
  <c r="W768" i="13"/>
  <c r="Z768" i="13"/>
  <c r="AD735" i="13"/>
  <c r="W735" i="13"/>
  <c r="W672" i="13"/>
  <c r="X672" i="13"/>
  <c r="W519" i="13"/>
  <c r="AD519" i="13"/>
  <c r="W407" i="13"/>
  <c r="AD407" i="13"/>
  <c r="X398" i="13"/>
  <c r="AD398" i="13"/>
  <c r="Z83" i="13"/>
  <c r="Y83" i="13"/>
  <c r="W38" i="13"/>
  <c r="Y38" i="13"/>
  <c r="AA11" i="13"/>
  <c r="AE11" i="13"/>
  <c r="AR2697" i="3"/>
  <c r="AZ2697" i="3"/>
  <c r="AR2343" i="3"/>
  <c r="AZ2343" i="3"/>
  <c r="AD1028" i="13"/>
  <c r="Z828" i="13"/>
  <c r="Z604" i="13"/>
  <c r="X508" i="13"/>
  <c r="X163" i="13"/>
  <c r="AD1084" i="13"/>
  <c r="AD1108" i="13"/>
  <c r="W828" i="13"/>
  <c r="Z668" i="13"/>
  <c r="X604" i="13"/>
  <c r="Y251" i="13"/>
  <c r="AC852" i="13"/>
  <c r="AA636" i="13"/>
  <c r="AA836" i="13"/>
  <c r="AC628" i="13"/>
  <c r="AB219" i="13"/>
  <c r="AD764" i="13"/>
  <c r="Z980" i="13"/>
  <c r="W844" i="13"/>
  <c r="Z788" i="13"/>
  <c r="Z291" i="13"/>
  <c r="Y243" i="13"/>
  <c r="AC195" i="13"/>
  <c r="AA291" i="13"/>
  <c r="AE628" i="13"/>
  <c r="AD628" i="13"/>
  <c r="AD796" i="13"/>
  <c r="X1100" i="13"/>
  <c r="AC1108" i="13"/>
  <c r="AB1068" i="13"/>
  <c r="Y1068" i="13"/>
  <c r="AC1068" i="13"/>
  <c r="W1052" i="13"/>
  <c r="X1052" i="13"/>
  <c r="Z1052" i="13"/>
  <c r="AA1036" i="13"/>
  <c r="X1036" i="13"/>
  <c r="AD1036" i="13"/>
  <c r="W1028" i="13"/>
  <c r="Y1028" i="13"/>
  <c r="Z1028" i="13"/>
  <c r="W1020" i="13"/>
  <c r="AE1020" i="13"/>
  <c r="X1020" i="13"/>
  <c r="Y1020" i="13"/>
  <c r="Z1020" i="13"/>
  <c r="AD1020" i="13"/>
  <c r="Z1012" i="13"/>
  <c r="AB1012" i="13"/>
  <c r="X1012" i="13"/>
  <c r="Y1012" i="13"/>
  <c r="AC1004" i="13"/>
  <c r="Z1004" i="13"/>
  <c r="Y1004" i="13"/>
  <c r="AD1004" i="13"/>
  <c r="Y996" i="13"/>
  <c r="Z996" i="13"/>
  <c r="AD988" i="13"/>
  <c r="Z988" i="13"/>
  <c r="W836" i="13"/>
  <c r="AD836" i="13"/>
  <c r="X788" i="13"/>
  <c r="Y788" i="13"/>
  <c r="W788" i="13"/>
  <c r="AD788" i="13"/>
  <c r="X780" i="13"/>
  <c r="AD780" i="13"/>
  <c r="X772" i="13"/>
  <c r="Z772" i="13"/>
  <c r="AA772" i="13"/>
  <c r="W772" i="13"/>
  <c r="AA756" i="13"/>
  <c r="W756" i="13"/>
  <c r="X756" i="13"/>
  <c r="AD756" i="13"/>
  <c r="AE740" i="13"/>
  <c r="W740" i="13"/>
  <c r="AD740" i="13"/>
  <c r="W660" i="13"/>
  <c r="X660" i="13"/>
  <c r="AD660" i="13"/>
  <c r="Y660" i="13"/>
  <c r="Z660" i="13"/>
  <c r="AE652" i="13"/>
  <c r="AC652" i="13"/>
  <c r="Y652" i="13"/>
  <c r="Y644" i="13"/>
  <c r="AB644" i="13"/>
  <c r="X636" i="13"/>
  <c r="AD636" i="13"/>
  <c r="AA620" i="13"/>
  <c r="W620" i="13"/>
  <c r="Y620" i="13"/>
  <c r="AE612" i="13"/>
  <c r="AD612" i="13"/>
  <c r="W596" i="13"/>
  <c r="AC596" i="13"/>
  <c r="AE588" i="13"/>
  <c r="AA588" i="13"/>
  <c r="AB588" i="13"/>
  <c r="Y580" i="13"/>
  <c r="AB580" i="13"/>
  <c r="AC580" i="13"/>
  <c r="Y572" i="13"/>
  <c r="Z572" i="13"/>
  <c r="Y564" i="13"/>
  <c r="AD564" i="13"/>
  <c r="Z564" i="13"/>
  <c r="AB556" i="13"/>
  <c r="AA556" i="13"/>
  <c r="X540" i="13"/>
  <c r="Z540" i="13"/>
  <c r="AB540" i="13"/>
  <c r="AA540" i="13"/>
  <c r="W540" i="13"/>
  <c r="AB524" i="13"/>
  <c r="AD524" i="13"/>
  <c r="AA524" i="13"/>
  <c r="W524" i="13"/>
  <c r="Y516" i="13"/>
  <c r="AE516" i="13"/>
  <c r="AA516" i="13"/>
  <c r="W516" i="13"/>
  <c r="AC508" i="13"/>
  <c r="AD508" i="13"/>
  <c r="X500" i="13"/>
  <c r="AD500" i="13"/>
  <c r="W500" i="13"/>
  <c r="W492" i="13"/>
  <c r="X492" i="13"/>
  <c r="AD492" i="13"/>
  <c r="Y492" i="13"/>
  <c r="AC484" i="13"/>
  <c r="W484" i="13"/>
  <c r="X484" i="13"/>
  <c r="X475" i="13"/>
  <c r="Y475" i="13"/>
  <c r="W475" i="13"/>
  <c r="AD459" i="13"/>
  <c r="X459" i="13"/>
  <c r="AB451" i="13"/>
  <c r="AD451" i="13"/>
  <c r="X451" i="13"/>
  <c r="AB443" i="13"/>
  <c r="AA443" i="13"/>
  <c r="AD443" i="13"/>
  <c r="AB435" i="13"/>
  <c r="Z435" i="13"/>
  <c r="AC435" i="13"/>
  <c r="AE435" i="13"/>
  <c r="AA435" i="13"/>
  <c r="W427" i="13"/>
  <c r="AA427" i="13"/>
  <c r="W419" i="13"/>
  <c r="Z419" i="13"/>
  <c r="Z403" i="13"/>
  <c r="AB403" i="13"/>
  <c r="X403" i="13"/>
  <c r="Y387" i="13"/>
  <c r="AD387" i="13"/>
  <c r="AA379" i="13"/>
  <c r="AB379" i="13"/>
  <c r="Z379" i="13"/>
  <c r="W371" i="13"/>
  <c r="X371" i="13"/>
  <c r="AE371" i="13"/>
  <c r="W363" i="13"/>
  <c r="X363" i="13"/>
  <c r="AC355" i="13"/>
  <c r="AB355" i="13"/>
  <c r="W355" i="13"/>
  <c r="Y347" i="13"/>
  <c r="Z347" i="13"/>
  <c r="Y323" i="13"/>
  <c r="AD323" i="13"/>
  <c r="AC323" i="13"/>
  <c r="X323" i="13"/>
  <c r="AB315" i="13"/>
  <c r="Y315" i="13"/>
  <c r="AC315" i="13"/>
  <c r="AD315" i="13"/>
  <c r="AA315" i="13"/>
  <c r="AE307" i="13"/>
  <c r="X307" i="13"/>
  <c r="Y307" i="13"/>
  <c r="Z307" i="13"/>
  <c r="AC299" i="13"/>
  <c r="X299" i="13"/>
  <c r="Y299" i="13"/>
  <c r="X283" i="13"/>
  <c r="AB283" i="13"/>
  <c r="AC283" i="13"/>
  <c r="W283" i="13"/>
  <c r="AA275" i="13"/>
  <c r="AB275" i="13"/>
  <c r="Z267" i="13"/>
  <c r="AC267" i="13"/>
  <c r="X267" i="13"/>
  <c r="Y267" i="13"/>
  <c r="AE267" i="13"/>
  <c r="AE259" i="13"/>
  <c r="AB259" i="13"/>
  <c r="W259" i="13"/>
  <c r="AC259" i="13"/>
  <c r="Y259" i="13"/>
  <c r="Z259" i="13"/>
  <c r="Y235" i="13"/>
  <c r="Z235" i="13"/>
  <c r="AD235" i="13"/>
  <c r="AE235" i="13"/>
  <c r="AA227" i="13"/>
  <c r="Y227" i="13"/>
  <c r="X211" i="13"/>
  <c r="Z211" i="13"/>
  <c r="AB211" i="13"/>
  <c r="AC211" i="13"/>
  <c r="AA211" i="13"/>
  <c r="W211" i="13"/>
  <c r="W203" i="13"/>
  <c r="AD203" i="13"/>
  <c r="AE195" i="13"/>
  <c r="X195" i="13"/>
  <c r="W195" i="13"/>
  <c r="Y195" i="13"/>
  <c r="AC179" i="13"/>
  <c r="Z179" i="13"/>
  <c r="X179" i="13"/>
  <c r="X171" i="13"/>
  <c r="AB171" i="13"/>
  <c r="AD171" i="13"/>
  <c r="AE155" i="13"/>
  <c r="AD155" i="13"/>
  <c r="W155" i="13"/>
  <c r="AE147" i="13"/>
  <c r="W147" i="13"/>
  <c r="AC147" i="13"/>
  <c r="X139" i="13"/>
  <c r="Y139" i="13"/>
  <c r="W139" i="13"/>
  <c r="W131" i="13"/>
  <c r="Z131" i="13"/>
  <c r="Y115" i="13"/>
  <c r="Z115" i="13"/>
  <c r="Y107" i="13"/>
  <c r="AA107" i="13"/>
  <c r="AA99" i="13"/>
  <c r="AD99" i="13"/>
  <c r="Y99" i="13"/>
  <c r="X91" i="13"/>
  <c r="Y91" i="13"/>
  <c r="Z91" i="13"/>
  <c r="Z75" i="13"/>
  <c r="AD75" i="13"/>
  <c r="Z67" i="13"/>
  <c r="AA67" i="13"/>
  <c r="AB67" i="13"/>
  <c r="Y67" i="13"/>
  <c r="AC67" i="13"/>
  <c r="X67" i="13"/>
  <c r="Z59" i="13"/>
  <c r="AD59" i="13"/>
  <c r="Y51" i="13"/>
  <c r="W51" i="13"/>
  <c r="X51" i="13"/>
  <c r="Y27" i="13"/>
  <c r="AA27" i="13"/>
  <c r="Z19" i="13"/>
  <c r="W19" i="13"/>
  <c r="AR2764" i="3"/>
  <c r="AW2764" i="3"/>
  <c r="AT2748" i="3"/>
  <c r="AW2748" i="3"/>
  <c r="AR2724" i="3"/>
  <c r="AV2724" i="3"/>
  <c r="BA2724" i="3"/>
  <c r="AV2708" i="3"/>
  <c r="AT2708" i="3"/>
  <c r="AU2708" i="3"/>
  <c r="AT2692" i="3"/>
  <c r="AU2692" i="3"/>
  <c r="AR2668" i="3"/>
  <c r="AY2668" i="3"/>
  <c r="AT2612" i="3"/>
  <c r="AR2612" i="3"/>
  <c r="AU2612" i="3"/>
  <c r="AV2596" i="3"/>
  <c r="AY2596" i="3"/>
  <c r="BA2540" i="3"/>
  <c r="AX2540" i="3"/>
  <c r="AY2540" i="3"/>
  <c r="AS2524" i="3"/>
  <c r="AU2524" i="3"/>
  <c r="AZ2524" i="3"/>
  <c r="Z1092" i="13"/>
  <c r="AA1092" i="13"/>
  <c r="Y1092" i="13"/>
  <c r="AB1092" i="13"/>
  <c r="AB1084" i="13"/>
  <c r="Z1084" i="13"/>
  <c r="AE1060" i="13"/>
  <c r="Y1060" i="13"/>
  <c r="X1060" i="13"/>
  <c r="AC1044" i="13"/>
  <c r="W1044" i="13"/>
  <c r="Z1044" i="13"/>
  <c r="AC972" i="13"/>
  <c r="AD972" i="13"/>
  <c r="W972" i="13"/>
  <c r="X964" i="13"/>
  <c r="Y964" i="13"/>
  <c r="AA964" i="13"/>
  <c r="W956" i="13"/>
  <c r="AC956" i="13"/>
  <c r="X948" i="13"/>
  <c r="Y948" i="13"/>
  <c r="AC948" i="13"/>
  <c r="AA948" i="13"/>
  <c r="W948" i="13"/>
  <c r="Z948" i="13"/>
  <c r="AA940" i="13"/>
  <c r="W940" i="13"/>
  <c r="AE940" i="13"/>
  <c r="X940" i="13"/>
  <c r="Y940" i="13"/>
  <c r="X932" i="13"/>
  <c r="Z932" i="13"/>
  <c r="W932" i="13"/>
  <c r="Z924" i="13"/>
  <c r="AA924" i="13"/>
  <c r="AD924" i="13"/>
  <c r="AB900" i="13"/>
  <c r="W900" i="13"/>
  <c r="X900" i="13"/>
  <c r="Y900" i="13"/>
  <c r="Y892" i="13"/>
  <c r="Z892" i="13"/>
  <c r="AD892" i="13"/>
  <c r="AA892" i="13"/>
  <c r="AE884" i="13"/>
  <c r="Y884" i="13"/>
  <c r="AC876" i="13"/>
  <c r="AD876" i="13"/>
  <c r="X868" i="13"/>
  <c r="AD868" i="13"/>
  <c r="W860" i="13"/>
  <c r="AA860" i="13"/>
  <c r="X860" i="13"/>
  <c r="AA852" i="13"/>
  <c r="AB852" i="13"/>
  <c r="W852" i="13"/>
  <c r="X852" i="13"/>
  <c r="W820" i="13"/>
  <c r="X820" i="13"/>
  <c r="AA820" i="13"/>
  <c r="AD820" i="13"/>
  <c r="AB812" i="13"/>
  <c r="AD812" i="13"/>
  <c r="Y812" i="13"/>
  <c r="Z804" i="13"/>
  <c r="W804" i="13"/>
  <c r="X804" i="13"/>
  <c r="Y804" i="13"/>
  <c r="W748" i="13"/>
  <c r="X748" i="13"/>
  <c r="Z748" i="13"/>
  <c r="AA732" i="13"/>
  <c r="AB732" i="13"/>
  <c r="Y732" i="13"/>
  <c r="AD732" i="13"/>
  <c r="X724" i="13"/>
  <c r="Z724" i="13"/>
  <c r="AC724" i="13"/>
  <c r="W716" i="13"/>
  <c r="X716" i="13"/>
  <c r="AB708" i="13"/>
  <c r="X708" i="13"/>
  <c r="Y708" i="13"/>
  <c r="AA708" i="13"/>
  <c r="AD700" i="13"/>
  <c r="W700" i="13"/>
  <c r="Y692" i="13"/>
  <c r="AD692" i="13"/>
  <c r="Y684" i="13"/>
  <c r="AC684" i="13"/>
  <c r="X684" i="13"/>
  <c r="X676" i="13"/>
  <c r="AB676" i="13"/>
  <c r="Y676" i="13"/>
  <c r="Z676" i="13"/>
  <c r="AB532" i="13"/>
  <c r="Y532" i="13"/>
  <c r="Z532" i="13"/>
  <c r="AD532" i="13"/>
  <c r="AC532" i="13"/>
  <c r="AD996" i="13"/>
  <c r="X1108" i="13"/>
  <c r="Y211" i="13"/>
  <c r="Y852" i="13"/>
  <c r="Z970" i="13"/>
  <c r="Z964" i="13"/>
  <c r="W612" i="13"/>
  <c r="X516" i="13"/>
  <c r="X235" i="13"/>
  <c r="AA1052" i="13"/>
  <c r="AC387" i="13"/>
  <c r="AA812" i="13"/>
  <c r="AB347" i="13"/>
  <c r="AD318" i="13"/>
  <c r="AD751" i="13"/>
  <c r="AD38" i="13"/>
  <c r="AD1047" i="13"/>
  <c r="AD238" i="13"/>
  <c r="AD527" i="13"/>
  <c r="Z1111" i="13"/>
  <c r="Z1047" i="13"/>
  <c r="Y1015" i="13"/>
  <c r="W190" i="13"/>
  <c r="W887" i="13"/>
  <c r="Y879" i="13"/>
  <c r="Y551" i="13"/>
  <c r="X623" i="13"/>
  <c r="Z1063" i="13"/>
  <c r="Y1063" i="13"/>
  <c r="AA1055" i="13"/>
  <c r="X1055" i="13"/>
  <c r="W871" i="13"/>
  <c r="AD871" i="13"/>
  <c r="X727" i="13"/>
  <c r="W727" i="13"/>
  <c r="Y727" i="13"/>
  <c r="W671" i="13"/>
  <c r="Y671" i="13"/>
  <c r="Z671" i="13"/>
  <c r="Y639" i="13"/>
  <c r="Z639" i="13"/>
  <c r="AB390" i="13"/>
  <c r="Y390" i="13"/>
  <c r="W310" i="13"/>
  <c r="X310" i="13"/>
  <c r="X206" i="13"/>
  <c r="Y206" i="13"/>
  <c r="Z206" i="13"/>
  <c r="BA3007" i="3"/>
  <c r="Y1087" i="13"/>
  <c r="W1087" i="13"/>
  <c r="Z1071" i="13"/>
  <c r="W1071" i="13"/>
  <c r="Y1071" i="13"/>
  <c r="Y999" i="13"/>
  <c r="W999" i="13"/>
  <c r="X983" i="13"/>
  <c r="W983" i="13"/>
  <c r="X967" i="13"/>
  <c r="W967" i="13"/>
  <c r="W959" i="13"/>
  <c r="X959" i="13"/>
  <c r="AC943" i="13"/>
  <c r="X943" i="13"/>
  <c r="X935" i="13"/>
  <c r="W935" i="13"/>
  <c r="Y911" i="13"/>
  <c r="X911" i="13"/>
  <c r="Z911" i="13"/>
  <c r="W895" i="13"/>
  <c r="X895" i="13"/>
  <c r="W807" i="13"/>
  <c r="X807" i="13"/>
  <c r="AB799" i="13"/>
  <c r="W799" i="13"/>
  <c r="Y687" i="13"/>
  <c r="W687" i="13"/>
  <c r="AA575" i="13"/>
  <c r="Y575" i="13"/>
  <c r="Z575" i="13"/>
  <c r="AD166" i="13"/>
  <c r="X166" i="13"/>
  <c r="AA86" i="13"/>
  <c r="Y86" i="13"/>
  <c r="W70" i="13"/>
  <c r="X70" i="13"/>
  <c r="AA38" i="13"/>
  <c r="Z38" i="13"/>
  <c r="AD374" i="13"/>
  <c r="AD390" i="13"/>
  <c r="AD639" i="13"/>
  <c r="W1095" i="13"/>
  <c r="W1079" i="13"/>
  <c r="Y134" i="13"/>
  <c r="W206" i="13"/>
  <c r="X919" i="13"/>
  <c r="X1087" i="13"/>
  <c r="W655" i="13"/>
  <c r="AD1103" i="13"/>
  <c r="X1103" i="13"/>
  <c r="Y1039" i="13"/>
  <c r="Z1039" i="13"/>
  <c r="AA1031" i="13"/>
  <c r="W1031" i="13"/>
  <c r="X1031" i="13"/>
  <c r="Z1023" i="13"/>
  <c r="W1023" i="13"/>
  <c r="X1007" i="13"/>
  <c r="Y1007" i="13"/>
  <c r="Z1007" i="13"/>
  <c r="Z991" i="13"/>
  <c r="X991" i="13"/>
  <c r="AA975" i="13"/>
  <c r="W975" i="13"/>
  <c r="X975" i="13"/>
  <c r="AD975" i="13"/>
  <c r="W951" i="13"/>
  <c r="Y951" i="13"/>
  <c r="AD951" i="13"/>
  <c r="AA847" i="13"/>
  <c r="X847" i="13"/>
  <c r="Y847" i="13"/>
  <c r="Z839" i="13"/>
  <c r="X839" i="13"/>
  <c r="X823" i="13"/>
  <c r="W823" i="13"/>
  <c r="Y823" i="13"/>
  <c r="W775" i="13"/>
  <c r="Z775" i="13"/>
  <c r="X775" i="13"/>
  <c r="X767" i="13"/>
  <c r="W767" i="13"/>
  <c r="X759" i="13"/>
  <c r="AB759" i="13"/>
  <c r="W711" i="13"/>
  <c r="AD711" i="13"/>
  <c r="Z446" i="13"/>
  <c r="Y446" i="13"/>
  <c r="Z198" i="13"/>
  <c r="X198" i="13"/>
  <c r="AC54" i="13"/>
  <c r="Z54" i="13"/>
  <c r="AD1031" i="13"/>
  <c r="AD607" i="13"/>
  <c r="AD663" i="13"/>
  <c r="AD575" i="13"/>
  <c r="AD1087" i="13"/>
  <c r="AD270" i="13"/>
  <c r="AD783" i="13"/>
  <c r="AD935" i="13"/>
  <c r="AD999" i="13"/>
  <c r="AD799" i="13"/>
  <c r="AD190" i="13"/>
  <c r="AD767" i="13"/>
  <c r="AD46" i="13"/>
  <c r="AD102" i="13"/>
  <c r="AD1079" i="13"/>
  <c r="AD775" i="13"/>
  <c r="AD78" i="13"/>
  <c r="AD406" i="13"/>
  <c r="AD1063" i="13"/>
  <c r="AD895" i="13"/>
  <c r="W1103" i="13"/>
  <c r="Z983" i="13"/>
  <c r="Z831" i="13"/>
  <c r="X134" i="13"/>
  <c r="Y198" i="13"/>
  <c r="Z871" i="13"/>
  <c r="Z967" i="13"/>
  <c r="Z959" i="13"/>
  <c r="Y775" i="13"/>
  <c r="Z567" i="13"/>
  <c r="W302" i="13"/>
  <c r="AD1039" i="13"/>
  <c r="AD927" i="13"/>
  <c r="W831" i="13"/>
  <c r="W86" i="13"/>
  <c r="Y799" i="13"/>
  <c r="X1063" i="13"/>
  <c r="W839" i="13"/>
  <c r="AB1067" i="13"/>
  <c r="X1067" i="13"/>
  <c r="Y1130" i="13"/>
  <c r="AD1130" i="13"/>
  <c r="AB1113" i="13"/>
  <c r="AD1113" i="13"/>
  <c r="AU2854" i="3"/>
  <c r="AZ2854" i="3"/>
  <c r="AB1080" i="13"/>
  <c r="AD1027" i="13"/>
  <c r="W450" i="13"/>
  <c r="X450" i="13"/>
  <c r="AD450" i="13"/>
  <c r="Y450" i="13"/>
  <c r="AA450" i="13"/>
  <c r="Z450" i="13"/>
  <c r="Y442" i="13"/>
  <c r="W442" i="13"/>
  <c r="X442" i="13"/>
  <c r="Z442" i="13"/>
  <c r="AA434" i="13"/>
  <c r="Y434" i="13"/>
  <c r="Z434" i="13"/>
  <c r="X434" i="13"/>
  <c r="AE434" i="13"/>
  <c r="AD434" i="13"/>
  <c r="W434" i="13"/>
  <c r="AC426" i="13"/>
  <c r="W426" i="13"/>
  <c r="Y426" i="13"/>
  <c r="X426" i="13"/>
  <c r="Z426" i="13"/>
  <c r="AD426" i="13"/>
  <c r="Y418" i="13"/>
  <c r="Z418" i="13"/>
  <c r="W418" i="13"/>
  <c r="AD418" i="13"/>
  <c r="AA418" i="13"/>
  <c r="AB410" i="13"/>
  <c r="Z410" i="13"/>
  <c r="W410" i="13"/>
  <c r="Y410" i="13"/>
  <c r="AC410" i="13"/>
  <c r="X410" i="13"/>
  <c r="AE402" i="13"/>
  <c r="AC402" i="13"/>
  <c r="W402" i="13"/>
  <c r="X402" i="13"/>
  <c r="Y402" i="13"/>
  <c r="Z402" i="13"/>
  <c r="AD402" i="13"/>
  <c r="AB394" i="13"/>
  <c r="AC394" i="13"/>
  <c r="X394" i="13"/>
  <c r="Y394" i="13"/>
  <c r="AD394" i="13"/>
  <c r="Z394" i="13"/>
  <c r="AA386" i="13"/>
  <c r="X386" i="13"/>
  <c r="Z386" i="13"/>
  <c r="AD386" i="13"/>
  <c r="W386" i="13"/>
  <c r="Y386" i="13"/>
  <c r="Z378" i="13"/>
  <c r="X378" i="13"/>
  <c r="W378" i="13"/>
  <c r="Y378" i="13"/>
  <c r="AD378" i="13"/>
  <c r="AE370" i="13"/>
  <c r="X370" i="13"/>
  <c r="Y370" i="13"/>
  <c r="W370" i="13"/>
  <c r="Z370" i="13"/>
  <c r="AD370" i="13"/>
  <c r="X362" i="13"/>
  <c r="Y362" i="13"/>
  <c r="W362" i="13"/>
  <c r="AB362" i="13"/>
  <c r="Z362" i="13"/>
  <c r="AD362" i="13"/>
  <c r="Z354" i="13"/>
  <c r="X354" i="13"/>
  <c r="Y354" i="13"/>
  <c r="W354" i="13"/>
  <c r="Y346" i="13"/>
  <c r="AC346" i="13"/>
  <c r="Z346" i="13"/>
  <c r="W346" i="13"/>
  <c r="AD346" i="13"/>
  <c r="X346" i="13"/>
  <c r="X338" i="13"/>
  <c r="W338" i="13"/>
  <c r="Y338" i="13"/>
  <c r="Z338" i="13"/>
  <c r="AD338" i="13"/>
  <c r="AB330" i="13"/>
  <c r="X330" i="13"/>
  <c r="AD330" i="13"/>
  <c r="Y330" i="13"/>
  <c r="W330" i="13"/>
  <c r="Z330" i="13"/>
  <c r="AC322" i="13"/>
  <c r="X322" i="13"/>
  <c r="Z322" i="13"/>
  <c r="Y322" i="13"/>
  <c r="W322" i="13"/>
  <c r="AD322" i="13"/>
  <c r="AC314" i="13"/>
  <c r="W314" i="13"/>
  <c r="X314" i="13"/>
  <c r="Z314" i="13"/>
  <c r="AD314" i="13"/>
  <c r="Y306" i="13"/>
  <c r="Z306" i="13"/>
  <c r="W306" i="13"/>
  <c r="X306" i="13"/>
  <c r="AD306" i="13"/>
  <c r="Z298" i="13"/>
  <c r="Y298" i="13"/>
  <c r="W298" i="13"/>
  <c r="AA298" i="13"/>
  <c r="X298" i="13"/>
  <c r="AE298" i="13"/>
  <c r="AD298" i="13"/>
  <c r="W290" i="13"/>
  <c r="Z290" i="13"/>
  <c r="AD290" i="13"/>
  <c r="X290" i="13"/>
  <c r="AC290" i="13"/>
  <c r="Y290" i="13"/>
  <c r="AA282" i="13"/>
  <c r="Z282" i="13"/>
  <c r="W282" i="13"/>
  <c r="X282" i="13"/>
  <c r="Y282" i="13"/>
  <c r="AD282" i="13"/>
  <c r="Z274" i="13"/>
  <c r="W274" i="13"/>
  <c r="X274" i="13"/>
  <c r="Y274" i="13"/>
  <c r="AD274" i="13"/>
  <c r="X266" i="13"/>
  <c r="W266" i="13"/>
  <c r="Y266" i="13"/>
  <c r="Z266" i="13"/>
  <c r="AD266" i="13"/>
  <c r="AE258" i="13"/>
  <c r="Z258" i="13"/>
  <c r="AB258" i="13"/>
  <c r="W258" i="13"/>
  <c r="X258" i="13"/>
  <c r="AD258" i="13"/>
  <c r="Y258" i="13"/>
  <c r="AA250" i="13"/>
  <c r="Y250" i="13"/>
  <c r="Z250" i="13"/>
  <c r="AD250" i="13"/>
  <c r="X250" i="13"/>
  <c r="W250" i="13"/>
  <c r="W242" i="13"/>
  <c r="X242" i="13"/>
  <c r="AD242" i="13"/>
  <c r="Y242" i="13"/>
  <c r="Z242" i="13"/>
  <c r="Z234" i="13"/>
  <c r="W234" i="13"/>
  <c r="X234" i="13"/>
  <c r="AD234" i="13"/>
  <c r="AA226" i="13"/>
  <c r="AB226" i="13"/>
  <c r="Y226" i="13"/>
  <c r="Z226" i="13"/>
  <c r="W226" i="13"/>
  <c r="AD226" i="13"/>
  <c r="X226" i="13"/>
  <c r="X218" i="13"/>
  <c r="AA218" i="13"/>
  <c r="Z218" i="13"/>
  <c r="AD218" i="13"/>
  <c r="Y218" i="13"/>
  <c r="W210" i="13"/>
  <c r="X210" i="13"/>
  <c r="Z210" i="13"/>
  <c r="AD210" i="13"/>
  <c r="AA202" i="13"/>
  <c r="X202" i="13"/>
  <c r="AC202" i="13"/>
  <c r="AD202" i="13"/>
  <c r="Y202" i="13"/>
  <c r="AB202" i="13"/>
  <c r="W202" i="13"/>
  <c r="Z202" i="13"/>
  <c r="Y194" i="13"/>
  <c r="AB194" i="13"/>
  <c r="AD194" i="13"/>
  <c r="W194" i="13"/>
  <c r="Z194" i="13"/>
  <c r="X186" i="13"/>
  <c r="W186" i="13"/>
  <c r="AA186" i="13"/>
  <c r="AC186" i="13"/>
  <c r="Y186" i="13"/>
  <c r="AD186" i="13"/>
  <c r="Z186" i="13"/>
  <c r="AE178" i="13"/>
  <c r="AB178" i="13"/>
  <c r="Z178" i="13"/>
  <c r="X178" i="13"/>
  <c r="W178" i="13"/>
  <c r="AB1043" i="13"/>
  <c r="AC1043" i="13"/>
  <c r="Z1043" i="13"/>
  <c r="W1043" i="13"/>
  <c r="X1043" i="13"/>
  <c r="Y1043" i="13"/>
  <c r="AD1043" i="13"/>
  <c r="AC1011" i="13"/>
  <c r="X1011" i="13"/>
  <c r="Z1011" i="13"/>
  <c r="AD1011" i="13"/>
  <c r="Y1011" i="13"/>
  <c r="AB1011" i="13"/>
  <c r="W1011" i="13"/>
  <c r="AA979" i="13"/>
  <c r="Y979" i="13"/>
  <c r="AD979" i="13"/>
  <c r="Z979" i="13"/>
  <c r="AC979" i="13"/>
  <c r="W979" i="13"/>
  <c r="X979" i="13"/>
  <c r="AA939" i="13"/>
  <c r="AB939" i="13"/>
  <c r="W939" i="13"/>
  <c r="AD939" i="13"/>
  <c r="X939" i="13"/>
  <c r="Z939" i="13"/>
  <c r="Y939" i="13"/>
  <c r="AB899" i="13"/>
  <c r="W899" i="13"/>
  <c r="AC899" i="13"/>
  <c r="X899" i="13"/>
  <c r="AD899" i="13"/>
  <c r="Y899" i="13"/>
  <c r="AA899" i="13"/>
  <c r="Z899" i="13"/>
  <c r="AA859" i="13"/>
  <c r="AE859" i="13"/>
  <c r="AB859" i="13"/>
  <c r="X859" i="13"/>
  <c r="Y859" i="13"/>
  <c r="Z859" i="13"/>
  <c r="W859" i="13"/>
  <c r="AD859" i="13"/>
  <c r="V819" i="13"/>
  <c r="AC819" i="13"/>
  <c r="Z819" i="13"/>
  <c r="AD819" i="13"/>
  <c r="AA819" i="13"/>
  <c r="Y819" i="13"/>
  <c r="AB819" i="13"/>
  <c r="X819" i="13"/>
  <c r="AE819" i="13"/>
  <c r="W819" i="13"/>
  <c r="W779" i="13"/>
  <c r="Y779" i="13"/>
  <c r="AA779" i="13"/>
  <c r="X779" i="13"/>
  <c r="Z779" i="13"/>
  <c r="AD779" i="13"/>
  <c r="AA739" i="13"/>
  <c r="W739" i="13"/>
  <c r="AD739" i="13"/>
  <c r="AB739" i="13"/>
  <c r="Y739" i="13"/>
  <c r="AC739" i="13"/>
  <c r="Z739" i="13"/>
  <c r="X739" i="13"/>
  <c r="Z699" i="13"/>
  <c r="AA699" i="13"/>
  <c r="AB699" i="13"/>
  <c r="Y699" i="13"/>
  <c r="AC699" i="13"/>
  <c r="W699" i="13"/>
  <c r="X699" i="13"/>
  <c r="AD699" i="13"/>
  <c r="AE675" i="13"/>
  <c r="AA675" i="13"/>
  <c r="W675" i="13"/>
  <c r="Y675" i="13"/>
  <c r="Z675" i="13"/>
  <c r="AB675" i="13"/>
  <c r="AD675" i="13"/>
  <c r="X675" i="13"/>
  <c r="AB643" i="13"/>
  <c r="AC643" i="13"/>
  <c r="X643" i="13"/>
  <c r="Z643" i="13"/>
  <c r="Y643" i="13"/>
  <c r="W643" i="13"/>
  <c r="AD643" i="13"/>
  <c r="AA611" i="13"/>
  <c r="X611" i="13"/>
  <c r="AB611" i="13"/>
  <c r="Y611" i="13"/>
  <c r="Z611" i="13"/>
  <c r="W611" i="13"/>
  <c r="AD611" i="13"/>
  <c r="Z571" i="13"/>
  <c r="AC571" i="13"/>
  <c r="Y571" i="13"/>
  <c r="W571" i="13"/>
  <c r="X571" i="13"/>
  <c r="AD571" i="13"/>
  <c r="Y531" i="13"/>
  <c r="W531" i="13"/>
  <c r="AD531" i="13"/>
  <c r="X531" i="13"/>
  <c r="Z531" i="13"/>
  <c r="AB531" i="13"/>
  <c r="AC458" i="13"/>
  <c r="AD458" i="13"/>
  <c r="W458" i="13"/>
  <c r="Y458" i="13"/>
  <c r="X458" i="13"/>
  <c r="Z458" i="13"/>
  <c r="Y314" i="13"/>
  <c r="AC1107" i="13"/>
  <c r="Y1107" i="13"/>
  <c r="AA1107" i="13"/>
  <c r="AB1107" i="13"/>
  <c r="X1107" i="13"/>
  <c r="Z1107" i="13"/>
  <c r="W1107" i="13"/>
  <c r="AD1107" i="13"/>
  <c r="AA1099" i="13"/>
  <c r="AB1099" i="13"/>
  <c r="Y1099" i="13"/>
  <c r="AD1099" i="13"/>
  <c r="X1099" i="13"/>
  <c r="W1099" i="13"/>
  <c r="Z1099" i="13"/>
  <c r="AC1091" i="13"/>
  <c r="Z1091" i="13"/>
  <c r="X1091" i="13"/>
  <c r="Y1091" i="13"/>
  <c r="AD1091" i="13"/>
  <c r="W1091" i="13"/>
  <c r="AB1083" i="13"/>
  <c r="W1083" i="13"/>
  <c r="X1083" i="13"/>
  <c r="Y1083" i="13"/>
  <c r="AD1083" i="13"/>
  <c r="AC1083" i="13"/>
  <c r="Z1083" i="13"/>
  <c r="V1075" i="13"/>
  <c r="AC1075" i="13"/>
  <c r="AA1075" i="13"/>
  <c r="AB1075" i="13"/>
  <c r="X1075" i="13"/>
  <c r="W1075" i="13"/>
  <c r="Y1075" i="13"/>
  <c r="Z1075" i="13"/>
  <c r="AD1075" i="13"/>
  <c r="V1067" i="13"/>
  <c r="AA1067" i="13"/>
  <c r="AC1067" i="13"/>
  <c r="Y1067" i="13"/>
  <c r="W1067" i="13"/>
  <c r="AD1067" i="13"/>
  <c r="Z1067" i="13"/>
  <c r="AA1059" i="13"/>
  <c r="Y1059" i="13"/>
  <c r="X1059" i="13"/>
  <c r="Z1059" i="13"/>
  <c r="AB1059" i="13"/>
  <c r="AC1059" i="13"/>
  <c r="W1059" i="13"/>
  <c r="AD1059" i="13"/>
  <c r="AE1051" i="13"/>
  <c r="Y1051" i="13"/>
  <c r="Z1051" i="13"/>
  <c r="W1051" i="13"/>
  <c r="AB1051" i="13"/>
  <c r="X1051" i="13"/>
  <c r="AA1051" i="13"/>
  <c r="AD1051" i="13"/>
  <c r="AC1035" i="13"/>
  <c r="AB1035" i="13"/>
  <c r="X1035" i="13"/>
  <c r="W1035" i="13"/>
  <c r="Y1035" i="13"/>
  <c r="AD1035" i="13"/>
  <c r="Z1035" i="13"/>
  <c r="Z1027" i="13"/>
  <c r="W1027" i="13"/>
  <c r="AA1027" i="13"/>
  <c r="AC1027" i="13"/>
  <c r="X1027" i="13"/>
  <c r="AC1019" i="13"/>
  <c r="Y1019" i="13"/>
  <c r="AA1019" i="13"/>
  <c r="W1019" i="13"/>
  <c r="X1019" i="13"/>
  <c r="Z1019" i="13"/>
  <c r="AD1019" i="13"/>
  <c r="AA1003" i="13"/>
  <c r="X1003" i="13"/>
  <c r="W1003" i="13"/>
  <c r="Y1003" i="13"/>
  <c r="AB1003" i="13"/>
  <c r="Z1003" i="13"/>
  <c r="AC995" i="13"/>
  <c r="Y995" i="13"/>
  <c r="AB995" i="13"/>
  <c r="X995" i="13"/>
  <c r="W995" i="13"/>
  <c r="Z995" i="13"/>
  <c r="AD995" i="13"/>
  <c r="AA987" i="13"/>
  <c r="X987" i="13"/>
  <c r="Y987" i="13"/>
  <c r="Z987" i="13"/>
  <c r="W987" i="13"/>
  <c r="AD987" i="13"/>
  <c r="AB987" i="13"/>
  <c r="AE971" i="13"/>
  <c r="AA971" i="13"/>
  <c r="Z971" i="13"/>
  <c r="X971" i="13"/>
  <c r="AD971" i="13"/>
  <c r="AB971" i="13"/>
  <c r="Y971" i="13"/>
  <c r="W971" i="13"/>
  <c r="AA963" i="13"/>
  <c r="Z963" i="13"/>
  <c r="AB963" i="13"/>
  <c r="AC963" i="13"/>
  <c r="X963" i="13"/>
  <c r="Y963" i="13"/>
  <c r="AD963" i="13"/>
  <c r="W963" i="13"/>
  <c r="W955" i="13"/>
  <c r="Z955" i="13"/>
  <c r="AA955" i="13"/>
  <c r="AC955" i="13"/>
  <c r="Y955" i="13"/>
  <c r="X955" i="13"/>
  <c r="AB955" i="13"/>
  <c r="AD955" i="13"/>
  <c r="AC947" i="13"/>
  <c r="W947" i="13"/>
  <c r="AB947" i="13"/>
  <c r="Z947" i="13"/>
  <c r="AD947" i="13"/>
  <c r="X947" i="13"/>
  <c r="Y947" i="13"/>
  <c r="AB931" i="13"/>
  <c r="W931" i="13"/>
  <c r="X931" i="13"/>
  <c r="AC931" i="13"/>
  <c r="Y931" i="13"/>
  <c r="Z931" i="13"/>
  <c r="AD931" i="13"/>
  <c r="AB923" i="13"/>
  <c r="AC923" i="13"/>
  <c r="X923" i="13"/>
  <c r="W923" i="13"/>
  <c r="Y923" i="13"/>
  <c r="AD923" i="13"/>
  <c r="Z923" i="13"/>
  <c r="AB915" i="13"/>
  <c r="Z915" i="13"/>
  <c r="AD915" i="13"/>
  <c r="AA915" i="13"/>
  <c r="W915" i="13"/>
  <c r="AC915" i="13"/>
  <c r="X915" i="13"/>
  <c r="Y915" i="13"/>
  <c r="Y907" i="13"/>
  <c r="AC907" i="13"/>
  <c r="W907" i="13"/>
  <c r="X907" i="13"/>
  <c r="AA907" i="13"/>
  <c r="Z907" i="13"/>
  <c r="AD907" i="13"/>
  <c r="Z891" i="13"/>
  <c r="W891" i="13"/>
  <c r="AB891" i="13"/>
  <c r="X891" i="13"/>
  <c r="AD891" i="13"/>
  <c r="AA891" i="13"/>
  <c r="Y891" i="13"/>
  <c r="AB883" i="13"/>
  <c r="X883" i="13"/>
  <c r="AA883" i="13"/>
  <c r="AD883" i="13"/>
  <c r="Z883" i="13"/>
  <c r="W883" i="13"/>
  <c r="Y883" i="13"/>
  <c r="AC883" i="13"/>
  <c r="AC875" i="13"/>
  <c r="AA875" i="13"/>
  <c r="AB875" i="13"/>
  <c r="Z875" i="13"/>
  <c r="W875" i="13"/>
  <c r="X875" i="13"/>
  <c r="AD875" i="13"/>
  <c r="Y875" i="13"/>
  <c r="AC867" i="13"/>
  <c r="AA867" i="13"/>
  <c r="AB867" i="13"/>
  <c r="X867" i="13"/>
  <c r="Y867" i="13"/>
  <c r="W867" i="13"/>
  <c r="AD867" i="13"/>
  <c r="Z867" i="13"/>
  <c r="AA851" i="13"/>
  <c r="Y851" i="13"/>
  <c r="Z851" i="13"/>
  <c r="AB851" i="13"/>
  <c r="AC851" i="13"/>
  <c r="AD851" i="13"/>
  <c r="W851" i="13"/>
  <c r="X851" i="13"/>
  <c r="Z843" i="13"/>
  <c r="Y843" i="13"/>
  <c r="W843" i="13"/>
  <c r="AD843" i="13"/>
  <c r="X843" i="13"/>
  <c r="AA843" i="13"/>
  <c r="AB843" i="13"/>
  <c r="AC843" i="13"/>
  <c r="AE835" i="13"/>
  <c r="W835" i="13"/>
  <c r="AB835" i="13"/>
  <c r="AC835" i="13"/>
  <c r="AD835" i="13"/>
  <c r="X835" i="13"/>
  <c r="Y835" i="13"/>
  <c r="Z835" i="13"/>
  <c r="Y827" i="13"/>
  <c r="W827" i="13"/>
  <c r="AB827" i="13"/>
  <c r="AC827" i="13"/>
  <c r="Z827" i="13"/>
  <c r="X827" i="13"/>
  <c r="AD827" i="13"/>
  <c r="AA811" i="13"/>
  <c r="AD811" i="13"/>
  <c r="W811" i="13"/>
  <c r="X811" i="13"/>
  <c r="Z811" i="13"/>
  <c r="Y811" i="13"/>
  <c r="AC803" i="13"/>
  <c r="Y803" i="13"/>
  <c r="X803" i="13"/>
  <c r="W803" i="13"/>
  <c r="Z803" i="13"/>
  <c r="AD803" i="13"/>
  <c r="AC795" i="13"/>
  <c r="W795" i="13"/>
  <c r="AA795" i="13"/>
  <c r="Y795" i="13"/>
  <c r="Z795" i="13"/>
  <c r="X795" i="13"/>
  <c r="AD795" i="13"/>
  <c r="X787" i="13"/>
  <c r="Y787" i="13"/>
  <c r="Z787" i="13"/>
  <c r="AC787" i="13"/>
  <c r="W787" i="13"/>
  <c r="AA771" i="13"/>
  <c r="Z771" i="13"/>
  <c r="Y771" i="13"/>
  <c r="AB771" i="13"/>
  <c r="AD771" i="13"/>
  <c r="X771" i="13"/>
  <c r="AC771" i="13"/>
  <c r="W771" i="13"/>
  <c r="AC763" i="13"/>
  <c r="AD763" i="13"/>
  <c r="W763" i="13"/>
  <c r="Z763" i="13"/>
  <c r="X763" i="13"/>
  <c r="Y763" i="13"/>
  <c r="X755" i="13"/>
  <c r="AC755" i="13"/>
  <c r="AD755" i="13"/>
  <c r="W755" i="13"/>
  <c r="Y755" i="13"/>
  <c r="Z755" i="13"/>
  <c r="X747" i="13"/>
  <c r="W747" i="13"/>
  <c r="Y747" i="13"/>
  <c r="AD747" i="13"/>
  <c r="Z747" i="13"/>
  <c r="X731" i="13"/>
  <c r="AA731" i="13"/>
  <c r="AB731" i="13"/>
  <c r="AD731" i="13"/>
  <c r="W731" i="13"/>
  <c r="Y731" i="13"/>
  <c r="Z731" i="13"/>
  <c r="AC731" i="13"/>
  <c r="W723" i="13"/>
  <c r="Z723" i="13"/>
  <c r="X723" i="13"/>
  <c r="AD723" i="13"/>
  <c r="Y723" i="13"/>
  <c r="AE715" i="13"/>
  <c r="AC715" i="13"/>
  <c r="Y715" i="13"/>
  <c r="AB715" i="13"/>
  <c r="W715" i="13"/>
  <c r="X715" i="13"/>
  <c r="Z715" i="13"/>
  <c r="AD715" i="13"/>
  <c r="AB707" i="13"/>
  <c r="AA707" i="13"/>
  <c r="AD707" i="13"/>
  <c r="W707" i="13"/>
  <c r="AC707" i="13"/>
  <c r="Z707" i="13"/>
  <c r="X707" i="13"/>
  <c r="Y707" i="13"/>
  <c r="Z691" i="13"/>
  <c r="W691" i="13"/>
  <c r="Y691" i="13"/>
  <c r="AC691" i="13"/>
  <c r="X691" i="13"/>
  <c r="AD691" i="13"/>
  <c r="AE683" i="13"/>
  <c r="AC683" i="13"/>
  <c r="Y683" i="13"/>
  <c r="AB683" i="13"/>
  <c r="W683" i="13"/>
  <c r="X683" i="13"/>
  <c r="Z683" i="13"/>
  <c r="AD683" i="13"/>
  <c r="X667" i="13"/>
  <c r="Z667" i="13"/>
  <c r="Y667" i="13"/>
  <c r="AD667" i="13"/>
  <c r="W667" i="13"/>
  <c r="AA667" i="13"/>
  <c r="V659" i="13"/>
  <c r="AB659" i="13"/>
  <c r="W659" i="13"/>
  <c r="AC659" i="13"/>
  <c r="X659" i="13"/>
  <c r="AA659" i="13"/>
  <c r="Y659" i="13"/>
  <c r="Z659" i="13"/>
  <c r="AD659" i="13"/>
  <c r="AE659" i="13"/>
  <c r="W651" i="13"/>
  <c r="X651" i="13"/>
  <c r="AD651" i="13"/>
  <c r="Y651" i="13"/>
  <c r="Z651" i="13"/>
  <c r="AE635" i="13"/>
  <c r="AA635" i="13"/>
  <c r="AC635" i="13"/>
  <c r="Z635" i="13"/>
  <c r="W635" i="13"/>
  <c r="Y635" i="13"/>
  <c r="X635" i="13"/>
  <c r="AD635" i="13"/>
  <c r="AB627" i="13"/>
  <c r="Y627" i="13"/>
  <c r="X627" i="13"/>
  <c r="Z627" i="13"/>
  <c r="W627" i="13"/>
  <c r="AC627" i="13"/>
  <c r="AC619" i="13"/>
  <c r="AD619" i="13"/>
  <c r="Y619" i="13"/>
  <c r="Z619" i="13"/>
  <c r="W619" i="13"/>
  <c r="AA619" i="13"/>
  <c r="X619" i="13"/>
  <c r="AC603" i="13"/>
  <c r="AB603" i="13"/>
  <c r="AA603" i="13"/>
  <c r="Y603" i="13"/>
  <c r="Z603" i="13"/>
  <c r="AD603" i="13"/>
  <c r="X603" i="13"/>
  <c r="W603" i="13"/>
  <c r="X595" i="13"/>
  <c r="AA595" i="13"/>
  <c r="W595" i="13"/>
  <c r="AC595" i="13"/>
  <c r="Y595" i="13"/>
  <c r="Z595" i="13"/>
  <c r="Z587" i="13"/>
  <c r="Y587" i="13"/>
  <c r="W587" i="13"/>
  <c r="X587" i="13"/>
  <c r="AC587" i="13"/>
  <c r="AD587" i="13"/>
  <c r="AB579" i="13"/>
  <c r="W579" i="13"/>
  <c r="X579" i="13"/>
  <c r="AD579" i="13"/>
  <c r="Y579" i="13"/>
  <c r="Z579" i="13"/>
  <c r="AC579" i="13"/>
  <c r="Z563" i="13"/>
  <c r="X563" i="13"/>
  <c r="Y563" i="13"/>
  <c r="W563" i="13"/>
  <c r="AA563" i="13"/>
  <c r="AD563" i="13"/>
  <c r="AE555" i="13"/>
  <c r="AA555" i="13"/>
  <c r="X555" i="13"/>
  <c r="Z555" i="13"/>
  <c r="W555" i="13"/>
  <c r="Y555" i="13"/>
  <c r="AC547" i="13"/>
  <c r="AB547" i="13"/>
  <c r="W547" i="13"/>
  <c r="AA547" i="13"/>
  <c r="Z547" i="13"/>
  <c r="X547" i="13"/>
  <c r="Y547" i="13"/>
  <c r="AD547" i="13"/>
  <c r="X539" i="13"/>
  <c r="Y539" i="13"/>
  <c r="Z539" i="13"/>
  <c r="W539" i="13"/>
  <c r="AD539" i="13"/>
  <c r="AE523" i="13"/>
  <c r="AD523" i="13"/>
  <c r="AB523" i="13"/>
  <c r="AC523" i="13"/>
  <c r="W523" i="13"/>
  <c r="X523" i="13"/>
  <c r="Y523" i="13"/>
  <c r="Z523" i="13"/>
  <c r="Y515" i="13"/>
  <c r="AE515" i="13"/>
  <c r="AD515" i="13"/>
  <c r="W515" i="13"/>
  <c r="X515" i="13"/>
  <c r="Z515" i="13"/>
  <c r="Z507" i="13"/>
  <c r="AB507" i="13"/>
  <c r="Y507" i="13"/>
  <c r="W507" i="13"/>
  <c r="X507" i="13"/>
  <c r="AD507" i="13"/>
  <c r="AC499" i="13"/>
  <c r="AA499" i="13"/>
  <c r="Y499" i="13"/>
  <c r="AB499" i="13"/>
  <c r="W499" i="13"/>
  <c r="X499" i="13"/>
  <c r="Z499" i="13"/>
  <c r="AE491" i="13"/>
  <c r="AB491" i="13"/>
  <c r="W491" i="13"/>
  <c r="AC491" i="13"/>
  <c r="Y491" i="13"/>
  <c r="X491" i="13"/>
  <c r="Z491" i="13"/>
  <c r="AD491" i="13"/>
  <c r="AE483" i="13"/>
  <c r="X483" i="13"/>
  <c r="Y483" i="13"/>
  <c r="W483" i="13"/>
  <c r="Z483" i="13"/>
  <c r="AD483" i="13"/>
  <c r="AC483" i="13"/>
  <c r="Z474" i="13"/>
  <c r="Y474" i="13"/>
  <c r="AC474" i="13"/>
  <c r="AD474" i="13"/>
  <c r="X474" i="13"/>
  <c r="AC466" i="13"/>
  <c r="Y466" i="13"/>
  <c r="Z466" i="13"/>
  <c r="W466" i="13"/>
  <c r="AD466" i="13"/>
  <c r="X466" i="13"/>
  <c r="AC1099" i="13"/>
  <c r="AD595" i="13"/>
  <c r="AD1003" i="13"/>
  <c r="AA170" i="13"/>
  <c r="X170" i="13"/>
  <c r="W170" i="13"/>
  <c r="AD170" i="13"/>
  <c r="Y170" i="13"/>
  <c r="Z170" i="13"/>
  <c r="AB162" i="13"/>
  <c r="W162" i="13"/>
  <c r="X162" i="13"/>
  <c r="Y162" i="13"/>
  <c r="AD162" i="13"/>
  <c r="Y154" i="13"/>
  <c r="W154" i="13"/>
  <c r="X154" i="13"/>
  <c r="AD154" i="13"/>
  <c r="W146" i="13"/>
  <c r="Y146" i="13"/>
  <c r="AE146" i="13"/>
  <c r="Z146" i="13"/>
  <c r="Y138" i="13"/>
  <c r="X138" i="13"/>
  <c r="Z138" i="13"/>
  <c r="X130" i="13"/>
  <c r="Z130" i="13"/>
  <c r="Y122" i="13"/>
  <c r="Z122" i="13"/>
  <c r="W122" i="13"/>
  <c r="AD122" i="13"/>
  <c r="AB106" i="13"/>
  <c r="W106" i="13"/>
  <c r="Y106" i="13"/>
  <c r="AD106" i="13"/>
  <c r="Z106" i="13"/>
  <c r="X98" i="13"/>
  <c r="Y98" i="13"/>
  <c r="AC98" i="13"/>
  <c r="AB90" i="13"/>
  <c r="AD90" i="13"/>
  <c r="W90" i="13"/>
  <c r="Y90" i="13"/>
  <c r="Z90" i="13"/>
  <c r="X82" i="13"/>
  <c r="AC82" i="13"/>
  <c r="Z82" i="13"/>
  <c r="Y82" i="13"/>
  <c r="AD82" i="13"/>
  <c r="W82" i="13"/>
  <c r="Z74" i="13"/>
  <c r="X74" i="13"/>
  <c r="AD74" i="13"/>
  <c r="W66" i="13"/>
  <c r="Z66" i="13"/>
  <c r="AB66" i="13"/>
  <c r="X66" i="13"/>
  <c r="AD66" i="13"/>
  <c r="AC66" i="13"/>
  <c r="Y66" i="13"/>
  <c r="AE58" i="13"/>
  <c r="Y58" i="13"/>
  <c r="W58" i="13"/>
  <c r="AD58" i="13"/>
  <c r="W50" i="13"/>
  <c r="X50" i="13"/>
  <c r="Z50" i="13"/>
  <c r="AD50" i="13"/>
  <c r="W42" i="13"/>
  <c r="Z42" i="13"/>
  <c r="AC42" i="13"/>
  <c r="AD42" i="13"/>
  <c r="X34" i="13"/>
  <c r="Y34" i="13"/>
  <c r="AD34" i="13"/>
  <c r="W34" i="13"/>
  <c r="Z34" i="13"/>
  <c r="W26" i="13"/>
  <c r="X26" i="13"/>
  <c r="Z26" i="13"/>
  <c r="AD26" i="13"/>
  <c r="X18" i="13"/>
  <c r="Z18" i="13"/>
  <c r="AB18" i="13"/>
  <c r="Z10" i="13"/>
  <c r="AD10" i="13"/>
  <c r="Y10" i="13"/>
  <c r="X10" i="13"/>
  <c r="AX2715" i="3"/>
  <c r="AR2715" i="3"/>
  <c r="AW2715" i="3"/>
  <c r="AY2715" i="3"/>
  <c r="AR2707" i="3"/>
  <c r="AW2707" i="3"/>
  <c r="AV2707" i="3"/>
  <c r="AV2699" i="3"/>
  <c r="AW2699" i="3"/>
  <c r="AX2699" i="3"/>
  <c r="BA2691" i="3"/>
  <c r="AR2691" i="3"/>
  <c r="AU2691" i="3"/>
  <c r="BA2683" i="3"/>
  <c r="AW2683" i="3"/>
  <c r="AY2683" i="3"/>
  <c r="AX2683" i="3"/>
  <c r="AU2675" i="3"/>
  <c r="AV2675" i="3"/>
  <c r="AV2667" i="3"/>
  <c r="AY2667" i="3"/>
  <c r="AW2667" i="3"/>
  <c r="AY2659" i="3"/>
  <c r="AR2659" i="3"/>
  <c r="AV2659" i="3"/>
  <c r="AW2651" i="3"/>
  <c r="AZ2651" i="3"/>
  <c r="AT2651" i="3"/>
  <c r="AV2643" i="3"/>
  <c r="AT2643" i="3"/>
  <c r="AW2635" i="3"/>
  <c r="AX2635" i="3"/>
  <c r="BA2635" i="3"/>
  <c r="AT2627" i="3"/>
  <c r="AU2627" i="3"/>
  <c r="AR2627" i="3"/>
  <c r="AW2619" i="3"/>
  <c r="AT2619" i="3"/>
  <c r="AV2611" i="3"/>
  <c r="AY2611" i="3"/>
  <c r="AS2603" i="3"/>
  <c r="AW2603" i="3"/>
  <c r="AR2603" i="3"/>
  <c r="AT2603" i="3"/>
  <c r="AZ2595" i="3"/>
  <c r="AW2595" i="3"/>
  <c r="BA2595" i="3"/>
  <c r="AV2587" i="3"/>
  <c r="AY2587" i="3"/>
  <c r="AS2587" i="3"/>
  <c r="AZ2579" i="3"/>
  <c r="AT2579" i="3"/>
  <c r="AY2571" i="3"/>
  <c r="AX2571" i="3"/>
  <c r="BA2571" i="3"/>
  <c r="AR2563" i="3"/>
  <c r="AS2563" i="3"/>
  <c r="AV2555" i="3"/>
  <c r="AT2555" i="3"/>
  <c r="AR2547" i="3"/>
  <c r="AZ2547" i="3"/>
  <c r="AV2539" i="3"/>
  <c r="AX2539" i="3"/>
  <c r="AX2531" i="3"/>
  <c r="AY2531" i="3"/>
  <c r="AR2523" i="3"/>
  <c r="AS2523" i="3"/>
  <c r="AT2507" i="3"/>
  <c r="AR2507" i="3"/>
  <c r="AZ2499" i="3"/>
  <c r="AX2499" i="3"/>
  <c r="AU2491" i="3"/>
  <c r="AS2491" i="3"/>
  <c r="AZ2491" i="3"/>
  <c r="AU2483" i="3"/>
  <c r="AR2483" i="3"/>
  <c r="AT2483" i="3"/>
  <c r="AZ2483" i="3"/>
  <c r="BA2483" i="3"/>
  <c r="AW2475" i="3"/>
  <c r="AX2475" i="3"/>
  <c r="AU2459" i="3"/>
  <c r="AY2459" i="3"/>
  <c r="AY2451" i="3"/>
  <c r="AT2451" i="3"/>
  <c r="AY2435" i="3"/>
  <c r="AW2435" i="3"/>
  <c r="AX2427" i="3"/>
  <c r="AW2427" i="3"/>
  <c r="AT2427" i="3"/>
  <c r="AW2419" i="3"/>
  <c r="AZ2419" i="3"/>
  <c r="AU2403" i="3"/>
  <c r="AV2403" i="3"/>
  <c r="AZ2395" i="3"/>
  <c r="AY2395" i="3"/>
  <c r="BA2379" i="3"/>
  <c r="AT2379" i="3"/>
  <c r="AU2379" i="3"/>
  <c r="AV2379" i="3"/>
  <c r="AR2371" i="3"/>
  <c r="AU2371" i="3"/>
  <c r="AS2363" i="3"/>
  <c r="BA2363" i="3"/>
  <c r="AT2363" i="3"/>
  <c r="AW2355" i="3"/>
  <c r="AX2355" i="3"/>
  <c r="AY2347" i="3"/>
  <c r="AV2347" i="3"/>
  <c r="BA2323" i="3"/>
  <c r="AS2323" i="3"/>
  <c r="AT2307" i="3"/>
  <c r="AS2307" i="3"/>
  <c r="AZ2267" i="3"/>
  <c r="AT2267" i="3"/>
  <c r="AU2251" i="3"/>
  <c r="AV2251" i="3"/>
  <c r="AT2219" i="3"/>
  <c r="AU2219" i="3"/>
  <c r="AR2203" i="3"/>
  <c r="AU2203" i="3"/>
  <c r="AR2139" i="3"/>
  <c r="AX2139" i="3"/>
  <c r="AS2099" i="3"/>
  <c r="AX2099" i="3"/>
  <c r="AY2099" i="3"/>
  <c r="AX2083" i="3"/>
  <c r="AY2083" i="3"/>
  <c r="AW2059" i="3"/>
  <c r="AS2059" i="3"/>
  <c r="AS2027" i="3"/>
  <c r="AV2027" i="3"/>
  <c r="AR2003" i="3"/>
  <c r="AU2003" i="3"/>
  <c r="BA1811" i="3"/>
  <c r="AT1811" i="3"/>
  <c r="AY1731" i="3"/>
  <c r="BA1731" i="3"/>
  <c r="X42" i="13"/>
  <c r="AT2675" i="3"/>
  <c r="Z1026" i="13"/>
  <c r="Y1026" i="13"/>
  <c r="AD1002" i="13"/>
  <c r="Z1002" i="13"/>
  <c r="AC786" i="13"/>
  <c r="Y786" i="13"/>
  <c r="X49" i="13"/>
  <c r="AD49" i="13"/>
  <c r="AD396" i="13"/>
  <c r="AD444" i="13"/>
  <c r="AD517" i="13"/>
  <c r="Z252" i="13"/>
  <c r="Z114" i="13"/>
  <c r="Z98" i="13"/>
  <c r="AC34" i="13"/>
  <c r="AB50" i="13"/>
  <c r="AW2643" i="3"/>
  <c r="AZ2451" i="3"/>
  <c r="AA1054" i="13"/>
  <c r="X1054" i="13"/>
  <c r="AD950" i="13"/>
  <c r="Z950" i="13"/>
  <c r="W910" i="13"/>
  <c r="Y910" i="13"/>
  <c r="Z734" i="13"/>
  <c r="Y734" i="13"/>
  <c r="W638" i="13"/>
  <c r="Y638" i="13"/>
  <c r="X542" i="13"/>
  <c r="AD542" i="13"/>
  <c r="X518" i="13"/>
  <c r="Y518" i="13"/>
  <c r="W494" i="13"/>
  <c r="X494" i="13"/>
  <c r="W486" i="13"/>
  <c r="X486" i="13"/>
  <c r="AD146" i="13"/>
  <c r="Y130" i="13"/>
  <c r="AW2347" i="3"/>
  <c r="AC1058" i="13"/>
  <c r="W1058" i="13"/>
  <c r="AE890" i="13"/>
  <c r="AD890" i="13"/>
  <c r="Z754" i="13"/>
  <c r="Y754" i="13"/>
  <c r="Z353" i="13"/>
  <c r="AD353" i="13"/>
  <c r="AA201" i="13"/>
  <c r="W201" i="13"/>
  <c r="AD138" i="13"/>
  <c r="Y114" i="13"/>
  <c r="Y74" i="13"/>
  <c r="AA34" i="13"/>
  <c r="AY2579" i="3"/>
  <c r="AS1579" i="3"/>
  <c r="AD1109" i="13"/>
  <c r="W1109" i="13"/>
  <c r="X1109" i="13"/>
  <c r="Y1101" i="13"/>
  <c r="AA1101" i="13"/>
  <c r="W1101" i="13"/>
  <c r="AD1101" i="13"/>
  <c r="X1101" i="13"/>
  <c r="Y1093" i="13"/>
  <c r="W1093" i="13"/>
  <c r="X1093" i="13"/>
  <c r="Z1093" i="13"/>
  <c r="Y1085" i="13"/>
  <c r="X1085" i="13"/>
  <c r="W1077" i="13"/>
  <c r="AD1077" i="13"/>
  <c r="X1077" i="13"/>
  <c r="AE1069" i="13"/>
  <c r="Y1069" i="13"/>
  <c r="Z1069" i="13"/>
  <c r="X1069" i="13"/>
  <c r="X1061" i="13"/>
  <c r="Z1061" i="13"/>
  <c r="Y1053" i="13"/>
  <c r="Z1053" i="13"/>
  <c r="AD1053" i="13"/>
  <c r="W1053" i="13"/>
  <c r="X1045" i="13"/>
  <c r="AD1045" i="13"/>
  <c r="Z1045" i="13"/>
  <c r="Y1045" i="13"/>
  <c r="Y1037" i="13"/>
  <c r="AD1037" i="13"/>
  <c r="X1037" i="13"/>
  <c r="AE1029" i="13"/>
  <c r="Z1029" i="13"/>
  <c r="Y1029" i="13"/>
  <c r="X1029" i="13"/>
  <c r="AD1029" i="13"/>
  <c r="W1021" i="13"/>
  <c r="X1021" i="13"/>
  <c r="Z1021" i="13"/>
  <c r="AD1021" i="13"/>
  <c r="Y1021" i="13"/>
  <c r="Y1013" i="13"/>
  <c r="AA1013" i="13"/>
  <c r="X1013" i="13"/>
  <c r="Z1013" i="13"/>
  <c r="X1005" i="13"/>
  <c r="Y1005" i="13"/>
  <c r="Z1005" i="13"/>
  <c r="AB1005" i="13"/>
  <c r="Y997" i="13"/>
  <c r="Z997" i="13"/>
  <c r="X997" i="13"/>
  <c r="AD989" i="13"/>
  <c r="Z989" i="13"/>
  <c r="X989" i="13"/>
  <c r="W989" i="13"/>
  <c r="Y989" i="13"/>
  <c r="W981" i="13"/>
  <c r="Z981" i="13"/>
  <c r="Y981" i="13"/>
  <c r="X981" i="13"/>
  <c r="AD981" i="13"/>
  <c r="X973" i="13"/>
  <c r="Y973" i="13"/>
  <c r="W973" i="13"/>
  <c r="Z973" i="13"/>
  <c r="AE965" i="13"/>
  <c r="W965" i="13"/>
  <c r="X965" i="13"/>
  <c r="AD965" i="13"/>
  <c r="W957" i="13"/>
  <c r="X957" i="13"/>
  <c r="Z957" i="13"/>
  <c r="W949" i="13"/>
  <c r="X949" i="13"/>
  <c r="Y949" i="13"/>
  <c r="AD949" i="13"/>
  <c r="W941" i="13"/>
  <c r="X941" i="13"/>
  <c r="AA941" i="13"/>
  <c r="Z941" i="13"/>
  <c r="AD941" i="13"/>
  <c r="Y941" i="13"/>
  <c r="X933" i="13"/>
  <c r="Y933" i="13"/>
  <c r="AD933" i="13"/>
  <c r="AB925" i="13"/>
  <c r="AD925" i="13"/>
  <c r="Z917" i="13"/>
  <c r="AD917" i="13"/>
  <c r="W917" i="13"/>
  <c r="AD909" i="13"/>
  <c r="Z909" i="13"/>
  <c r="W909" i="13"/>
  <c r="W901" i="13"/>
  <c r="Y901" i="13"/>
  <c r="Z901" i="13"/>
  <c r="Y893" i="13"/>
  <c r="X893" i="13"/>
  <c r="Z893" i="13"/>
  <c r="AD893" i="13"/>
  <c r="Y885" i="13"/>
  <c r="X885" i="13"/>
  <c r="Z885" i="13"/>
  <c r="W877" i="13"/>
  <c r="AD877" i="13"/>
  <c r="Y877" i="13"/>
  <c r="AC877" i="13"/>
  <c r="Z877" i="13"/>
  <c r="Y869" i="13"/>
  <c r="Z869" i="13"/>
  <c r="X869" i="13"/>
  <c r="Y861" i="13"/>
  <c r="W861" i="13"/>
  <c r="Z861" i="13"/>
  <c r="X861" i="13"/>
  <c r="AD861" i="13"/>
  <c r="AB853" i="13"/>
  <c r="Y853" i="13"/>
  <c r="AD853" i="13"/>
  <c r="W853" i="13"/>
  <c r="X853" i="13"/>
  <c r="Z853" i="13"/>
  <c r="Y845" i="13"/>
  <c r="X845" i="13"/>
  <c r="AD845" i="13"/>
  <c r="W837" i="13"/>
  <c r="X837" i="13"/>
  <c r="AD837" i="13"/>
  <c r="Y837" i="13"/>
  <c r="X829" i="13"/>
  <c r="W829" i="13"/>
  <c r="Y829" i="13"/>
  <c r="Z829" i="13"/>
  <c r="AA829" i="13"/>
  <c r="AA821" i="13"/>
  <c r="W821" i="13"/>
  <c r="X821" i="13"/>
  <c r="Z821" i="13"/>
  <c r="AD813" i="13"/>
  <c r="X813" i="13"/>
  <c r="AE805" i="13"/>
  <c r="W805" i="13"/>
  <c r="X805" i="13"/>
  <c r="AD805" i="13"/>
  <c r="AB797" i="13"/>
  <c r="W797" i="13"/>
  <c r="X797" i="13"/>
  <c r="Y797" i="13"/>
  <c r="Z797" i="13"/>
  <c r="AA789" i="13"/>
  <c r="X789" i="13"/>
  <c r="W789" i="13"/>
  <c r="AD789" i="13"/>
  <c r="Z789" i="13"/>
  <c r="W781" i="13"/>
  <c r="AD781" i="13"/>
  <c r="X773" i="13"/>
  <c r="Y773" i="13"/>
  <c r="W773" i="13"/>
  <c r="AD773" i="13"/>
  <c r="Y765" i="13"/>
  <c r="X765" i="13"/>
  <c r="W765" i="13"/>
  <c r="Z749" i="13"/>
  <c r="W749" i="13"/>
  <c r="Y749" i="13"/>
  <c r="AD749" i="13"/>
  <c r="X741" i="13"/>
  <c r="W741" i="13"/>
  <c r="Y741" i="13"/>
  <c r="AC733" i="13"/>
  <c r="Z733" i="13"/>
  <c r="AD733" i="13"/>
  <c r="X725" i="13"/>
  <c r="W725" i="13"/>
  <c r="AC725" i="13"/>
  <c r="Y725" i="13"/>
  <c r="AD725" i="13"/>
  <c r="AD717" i="13"/>
  <c r="W717" i="13"/>
  <c r="Z717" i="13"/>
  <c r="AA717" i="13"/>
  <c r="W709" i="13"/>
  <c r="X709" i="13"/>
  <c r="Y709" i="13"/>
  <c r="Y701" i="13"/>
  <c r="X701" i="13"/>
  <c r="AB701" i="13"/>
  <c r="AC693" i="13"/>
  <c r="Y693" i="13"/>
  <c r="AB693" i="13"/>
  <c r="AC685" i="13"/>
  <c r="AD685" i="13"/>
  <c r="Y685" i="13"/>
  <c r="Y677" i="13"/>
  <c r="Z677" i="13"/>
  <c r="X677" i="13"/>
  <c r="Y669" i="13"/>
  <c r="X669" i="13"/>
  <c r="X661" i="13"/>
  <c r="Z661" i="13"/>
  <c r="Y661" i="13"/>
  <c r="AA661" i="13"/>
  <c r="X653" i="13"/>
  <c r="AB653" i="13"/>
  <c r="Y653" i="13"/>
  <c r="Z645" i="13"/>
  <c r="W645" i="13"/>
  <c r="Y645" i="13"/>
  <c r="Y637" i="13"/>
  <c r="Z637" i="13"/>
  <c r="Z629" i="13"/>
  <c r="AD629" i="13"/>
  <c r="W629" i="13"/>
  <c r="X621" i="13"/>
  <c r="AC621" i="13"/>
  <c r="Y621" i="13"/>
  <c r="Z621" i="13"/>
  <c r="AD621" i="13"/>
  <c r="W605" i="13"/>
  <c r="Z605" i="13"/>
  <c r="Z597" i="13"/>
  <c r="AD597" i="13"/>
  <c r="X589" i="13"/>
  <c r="W589" i="13"/>
  <c r="Y573" i="13"/>
  <c r="X573" i="13"/>
  <c r="Z573" i="13"/>
  <c r="W573" i="13"/>
  <c r="W565" i="13"/>
  <c r="Y565" i="13"/>
  <c r="Z565" i="13"/>
  <c r="X565" i="13"/>
  <c r="Y557" i="13"/>
  <c r="Z557" i="13"/>
  <c r="AB557" i="13"/>
  <c r="X549" i="13"/>
  <c r="AD549" i="13"/>
  <c r="W541" i="13"/>
  <c r="X541" i="13"/>
  <c r="AD541" i="13"/>
  <c r="AB533" i="13"/>
  <c r="X533" i="13"/>
  <c r="AD533" i="13"/>
  <c r="Y525" i="13"/>
  <c r="AD525" i="13"/>
  <c r="W493" i="13"/>
  <c r="AD493" i="13"/>
  <c r="W452" i="13"/>
  <c r="AD452" i="13"/>
  <c r="AD412" i="13"/>
  <c r="Z412" i="13"/>
  <c r="AD404" i="13"/>
  <c r="W404" i="13"/>
  <c r="Y364" i="13"/>
  <c r="AC364" i="13"/>
  <c r="W364" i="13"/>
  <c r="Z356" i="13"/>
  <c r="AD356" i="13"/>
  <c r="X348" i="13"/>
  <c r="AD348" i="13"/>
  <c r="AC324" i="13"/>
  <c r="AD324" i="13"/>
  <c r="X324" i="13"/>
  <c r="AB316" i="13"/>
  <c r="AD316" i="13"/>
  <c r="AB300" i="13"/>
  <c r="AE300" i="13"/>
  <c r="AD300" i="13"/>
  <c r="AD268" i="13"/>
  <c r="W268" i="13"/>
  <c r="Z260" i="13"/>
  <c r="AD260" i="13"/>
  <c r="W260" i="13"/>
  <c r="Y260" i="13"/>
  <c r="Y204" i="13"/>
  <c r="AE204" i="13"/>
  <c r="W204" i="13"/>
  <c r="W188" i="13"/>
  <c r="AD188" i="13"/>
  <c r="AD180" i="13"/>
  <c r="W180" i="13"/>
  <c r="W172" i="13"/>
  <c r="X172" i="13"/>
  <c r="AD164" i="13"/>
  <c r="X164" i="13"/>
  <c r="AD132" i="13"/>
  <c r="Y132" i="13"/>
  <c r="X108" i="13"/>
  <c r="W108" i="13"/>
  <c r="Y108" i="13"/>
  <c r="Z108" i="13"/>
  <c r="W92" i="13"/>
  <c r="X92" i="13"/>
  <c r="AD92" i="13"/>
  <c r="Y76" i="13"/>
  <c r="Z76" i="13"/>
  <c r="W76" i="13"/>
  <c r="X76" i="13"/>
  <c r="AD76" i="13"/>
  <c r="X68" i="13"/>
  <c r="AD68" i="13"/>
  <c r="W68" i="13"/>
  <c r="Y68" i="13"/>
  <c r="Z68" i="13"/>
  <c r="AA60" i="13"/>
  <c r="AE60" i="13"/>
  <c r="W52" i="13"/>
  <c r="AD52" i="13"/>
  <c r="AC52" i="13"/>
  <c r="AD44" i="13"/>
  <c r="AE44" i="13"/>
  <c r="Y36" i="13"/>
  <c r="Z36" i="13"/>
  <c r="X36" i="13"/>
  <c r="Y20" i="13"/>
  <c r="AD20" i="13"/>
  <c r="AD613" i="13"/>
  <c r="AD204" i="13"/>
  <c r="AD98" i="13"/>
  <c r="AD997" i="13"/>
  <c r="AD869" i="13"/>
  <c r="AD957" i="13"/>
  <c r="AD389" i="13"/>
  <c r="AD677" i="13"/>
  <c r="AD1069" i="13"/>
  <c r="AD1093" i="13"/>
  <c r="D258" i="12"/>
  <c r="D375" i="12"/>
  <c r="Z1037" i="13"/>
  <c r="Y917" i="13"/>
  <c r="Z549" i="13"/>
  <c r="W813" i="13"/>
  <c r="Y348" i="13"/>
  <c r="W138" i="13"/>
  <c r="AR2411" i="3"/>
  <c r="AS2219" i="3"/>
  <c r="AD1013" i="13"/>
  <c r="AD605" i="13"/>
  <c r="AD885" i="13"/>
  <c r="AD829" i="13"/>
  <c r="AD60" i="13"/>
  <c r="AD420" i="13"/>
  <c r="AD645" i="13"/>
  <c r="AD637" i="13"/>
  <c r="AD565" i="13"/>
  <c r="AD172" i="13"/>
  <c r="AD557" i="13"/>
  <c r="W1005" i="13"/>
  <c r="X909" i="13"/>
  <c r="W36" i="13"/>
  <c r="W533" i="13"/>
  <c r="Z154" i="13"/>
  <c r="W130" i="13"/>
  <c r="AB10" i="13"/>
  <c r="C712" i="13"/>
  <c r="C281" i="4"/>
  <c r="C1987" i="3"/>
  <c r="C282" i="4"/>
  <c r="C280" i="4"/>
  <c r="C877" i="13"/>
  <c r="C2513" i="3"/>
  <c r="C878" i="13"/>
  <c r="C2516" i="3"/>
  <c r="C124" i="34"/>
  <c r="C2474" i="3"/>
  <c r="C2477" i="3"/>
  <c r="C125" i="34"/>
  <c r="C2478" i="3"/>
  <c r="C2475" i="3"/>
  <c r="C2197" i="3"/>
  <c r="C2199" i="3"/>
  <c r="C2196" i="3"/>
  <c r="C2200" i="3"/>
  <c r="C2198" i="3"/>
  <c r="C298" i="4"/>
  <c r="C2131" i="3"/>
  <c r="C740" i="13"/>
  <c r="C297" i="4"/>
  <c r="C2137" i="3"/>
  <c r="C2130" i="3"/>
  <c r="C739" i="13"/>
  <c r="C2134" i="3"/>
  <c r="C2132" i="3"/>
  <c r="C295" i="4"/>
  <c r="C2136" i="3"/>
  <c r="C2135" i="3"/>
  <c r="C156" i="13"/>
  <c r="C54" i="4"/>
  <c r="C111" i="34"/>
  <c r="C155" i="13"/>
  <c r="C2006" i="3"/>
  <c r="C2091" i="3"/>
  <c r="C2084" i="3"/>
  <c r="C2093" i="3"/>
  <c r="C2087" i="3"/>
  <c r="C2089" i="3"/>
  <c r="C2090" i="3"/>
  <c r="C2096" i="3"/>
  <c r="C917" i="13"/>
  <c r="C2094" i="3"/>
  <c r="C2092" i="3"/>
  <c r="C2008" i="3"/>
  <c r="C2098" i="3"/>
  <c r="C2088" i="3"/>
  <c r="C2007" i="3"/>
  <c r="C916" i="13"/>
  <c r="C2085" i="3"/>
  <c r="C706" i="13"/>
  <c r="C707" i="13"/>
  <c r="C671" i="13"/>
  <c r="C1837" i="3"/>
  <c r="C1836" i="3"/>
  <c r="C670" i="13"/>
  <c r="C101" i="34"/>
  <c r="C253" i="4"/>
  <c r="C1800" i="3"/>
  <c r="C250" i="4"/>
  <c r="C1802" i="3"/>
  <c r="C655" i="13"/>
  <c r="C1798" i="3"/>
  <c r="C103" i="17"/>
  <c r="C1799" i="3"/>
  <c r="C1803" i="3"/>
  <c r="C1797" i="3"/>
  <c r="C248" i="4"/>
  <c r="C654" i="13"/>
  <c r="C1675" i="3"/>
  <c r="C224" i="4"/>
  <c r="C1674" i="3"/>
  <c r="C636" i="13"/>
  <c r="C217" i="13"/>
  <c r="C594" i="3"/>
  <c r="C216" i="13"/>
  <c r="C591" i="3"/>
  <c r="C1707" i="3"/>
  <c r="C1712" i="3"/>
  <c r="C1706" i="3"/>
  <c r="C1713" i="3"/>
  <c r="C1705" i="3"/>
  <c r="C1710" i="3"/>
  <c r="C1709" i="3"/>
  <c r="C1708" i="3"/>
  <c r="C99" i="34"/>
  <c r="C1720" i="3"/>
  <c r="C1711" i="3"/>
  <c r="C567" i="13"/>
  <c r="C1770" i="3"/>
  <c r="C1771" i="3"/>
  <c r="C1900" i="3"/>
  <c r="C1756" i="3"/>
  <c r="C1894" i="3"/>
  <c r="C1899" i="3"/>
  <c r="C1764" i="3"/>
  <c r="C1762" i="3"/>
  <c r="C1895" i="3"/>
  <c r="C1897" i="3"/>
  <c r="C1766" i="3"/>
  <c r="C1903" i="3"/>
  <c r="C1773" i="3"/>
  <c r="C1763" i="3"/>
  <c r="C1896" i="3"/>
  <c r="C1767" i="3"/>
  <c r="C1768" i="3"/>
  <c r="C96" i="34"/>
  <c r="C1754" i="3"/>
  <c r="C1760" i="3"/>
  <c r="C592" i="13"/>
  <c r="C1902" i="3"/>
  <c r="C1761" i="3"/>
  <c r="C209" i="4"/>
  <c r="C1555" i="3"/>
  <c r="C1561" i="3"/>
  <c r="C211" i="4"/>
  <c r="C1551" i="3"/>
  <c r="C589" i="13"/>
  <c r="C208" i="4"/>
  <c r="C1549" i="3"/>
  <c r="C1550" i="3"/>
  <c r="C1560" i="3"/>
  <c r="C210" i="4"/>
  <c r="C1559" i="3"/>
  <c r="C1556" i="3"/>
  <c r="C1552" i="3"/>
  <c r="C93" i="17"/>
  <c r="C1557" i="3"/>
  <c r="C92" i="17"/>
  <c r="C590" i="13"/>
  <c r="C1547" i="3"/>
  <c r="C197" i="4"/>
  <c r="C794" i="13"/>
  <c r="C793" i="13"/>
  <c r="C198" i="4"/>
  <c r="C795" i="13"/>
  <c r="C1478" i="3"/>
  <c r="C1475" i="3"/>
  <c r="C185" i="4"/>
  <c r="C515" i="13"/>
  <c r="C87" i="34"/>
  <c r="C1365" i="3"/>
  <c r="C1361" i="3"/>
  <c r="C1363" i="3"/>
  <c r="C1360" i="3"/>
  <c r="C186" i="4"/>
  <c r="C1364" i="3"/>
  <c r="C512" i="13"/>
  <c r="C513" i="13"/>
  <c r="C511" i="13"/>
  <c r="C1362" i="3"/>
  <c r="C1379" i="3"/>
  <c r="C833" i="13"/>
  <c r="C1377" i="3"/>
  <c r="C1370" i="3"/>
  <c r="C1381" i="3"/>
  <c r="C1374" i="3"/>
  <c r="C1380" i="3"/>
  <c r="C830" i="13"/>
  <c r="C731" i="13"/>
  <c r="C1378" i="3"/>
  <c r="C1372" i="3"/>
  <c r="C288" i="4"/>
  <c r="C639" i="13"/>
  <c r="C2387" i="3"/>
  <c r="C657" i="13"/>
  <c r="C80" i="34"/>
  <c r="C131" i="17"/>
  <c r="C664" i="13"/>
  <c r="C79" i="34"/>
  <c r="C132" i="17"/>
  <c r="C895" i="13"/>
  <c r="C2388" i="3"/>
  <c r="C644" i="13"/>
  <c r="C902" i="13"/>
  <c r="C649" i="13"/>
  <c r="C2386" i="3"/>
  <c r="C432" i="13"/>
  <c r="C62" i="17"/>
  <c r="C146" i="4"/>
  <c r="C63" i="17"/>
  <c r="C1179" i="3"/>
  <c r="C1171" i="3"/>
  <c r="C1173" i="3"/>
  <c r="C1811" i="3"/>
  <c r="C1807" i="3"/>
  <c r="C1810" i="3"/>
  <c r="C1808" i="3"/>
  <c r="C1812" i="3"/>
  <c r="C658" i="13"/>
  <c r="C423" i="13"/>
  <c r="C1167" i="3"/>
  <c r="C1166" i="3"/>
  <c r="C1169" i="3"/>
  <c r="C1193" i="3"/>
  <c r="C1194" i="3"/>
  <c r="C1196" i="3"/>
  <c r="C1192" i="3"/>
  <c r="C1197" i="3"/>
  <c r="C1191" i="3"/>
  <c r="C1195" i="3"/>
  <c r="C354" i="13"/>
  <c r="C1198" i="3"/>
  <c r="C63" i="34"/>
  <c r="C923" i="3"/>
  <c r="C310" i="13"/>
  <c r="C64" i="34"/>
  <c r="C311" i="13"/>
  <c r="C921" i="3"/>
  <c r="C925" i="3"/>
  <c r="C926" i="3"/>
  <c r="C496" i="13"/>
  <c r="C65" i="34"/>
  <c r="C927" i="3"/>
  <c r="C2759" i="3"/>
  <c r="C486" i="13"/>
  <c r="C2752" i="3"/>
  <c r="C2756" i="3"/>
  <c r="C2758" i="3"/>
  <c r="C2753" i="3"/>
  <c r="C2751" i="3"/>
  <c r="C2754" i="3"/>
  <c r="C2757" i="3"/>
  <c r="C478" i="13"/>
  <c r="C301" i="13"/>
  <c r="C901" i="3"/>
  <c r="C902" i="3"/>
  <c r="C1105" i="13"/>
  <c r="C367" i="13"/>
  <c r="C740" i="3"/>
  <c r="C739" i="3"/>
  <c r="C743" i="3"/>
  <c r="C2384" i="3"/>
  <c r="C2383" i="3"/>
  <c r="C363" i="13"/>
  <c r="C387" i="13"/>
  <c r="C2382" i="3"/>
  <c r="C2381" i="3"/>
  <c r="C383" i="13"/>
  <c r="C752" i="3"/>
  <c r="C750" i="3"/>
  <c r="C343" i="13"/>
  <c r="C1023" i="13"/>
  <c r="C749" i="3"/>
  <c r="C747" i="3"/>
  <c r="C640" i="3"/>
  <c r="C642" i="3"/>
  <c r="C639" i="3"/>
  <c r="C641" i="3"/>
  <c r="C341" i="13"/>
  <c r="C760" i="3"/>
  <c r="C769" i="3"/>
  <c r="C762" i="3"/>
  <c r="C629" i="3"/>
  <c r="C318" i="13"/>
  <c r="C624" i="3"/>
  <c r="C626" i="3"/>
  <c r="C630" i="3"/>
  <c r="C763" i="3"/>
  <c r="C194" i="13"/>
  <c r="C625" i="3"/>
  <c r="C773" i="3"/>
  <c r="C627" i="3"/>
  <c r="C770" i="3"/>
  <c r="C772" i="3"/>
  <c r="C771" i="3"/>
  <c r="C618" i="3"/>
  <c r="C757" i="3"/>
  <c r="C767" i="3"/>
  <c r="C319" i="13"/>
  <c r="C634" i="3"/>
  <c r="C631" i="3"/>
  <c r="C774" i="3"/>
  <c r="C632" i="3"/>
  <c r="C621" i="3"/>
  <c r="C764" i="3"/>
  <c r="C633" i="3"/>
  <c r="C768" i="3"/>
  <c r="C758" i="3"/>
  <c r="C622" i="3"/>
  <c r="C229" i="13"/>
  <c r="C33" i="34"/>
  <c r="C71" i="4"/>
  <c r="C608" i="3"/>
  <c r="C617" i="3"/>
  <c r="C605" i="3"/>
  <c r="C72" i="4"/>
  <c r="C590" i="3"/>
  <c r="C609" i="3"/>
  <c r="C587" i="3"/>
  <c r="C606" i="3"/>
  <c r="C615" i="3"/>
  <c r="C34" i="34"/>
  <c r="C35" i="34"/>
  <c r="C584" i="3"/>
  <c r="C73" i="4"/>
  <c r="C173" i="13"/>
  <c r="C588" i="3"/>
  <c r="C589" i="3"/>
  <c r="C75" i="4"/>
  <c r="C611" i="3"/>
  <c r="C180" i="13"/>
  <c r="C568" i="3"/>
  <c r="C209" i="13"/>
  <c r="C572" i="3"/>
  <c r="C289" i="13"/>
  <c r="C288" i="13"/>
  <c r="C566" i="3"/>
  <c r="C571" i="3"/>
  <c r="C569" i="3"/>
  <c r="C208" i="13"/>
  <c r="C290" i="13"/>
  <c r="C291" i="13"/>
  <c r="C573" i="3"/>
  <c r="C732" i="13"/>
  <c r="C1096" i="13"/>
  <c r="C291" i="4"/>
  <c r="C149" i="13"/>
  <c r="C150" i="13"/>
  <c r="C151" i="13"/>
  <c r="C201" i="3"/>
  <c r="C208" i="3"/>
  <c r="C206" i="3"/>
  <c r="C75" i="13"/>
  <c r="C24" i="34"/>
  <c r="C207" i="3"/>
  <c r="C210" i="3"/>
  <c r="C203" i="3"/>
  <c r="C205" i="3"/>
  <c r="C73" i="13"/>
  <c r="C202" i="3"/>
  <c r="C204" i="3"/>
  <c r="C23" i="34"/>
  <c r="C74" i="13"/>
  <c r="C19" i="17"/>
  <c r="C237" i="3"/>
  <c r="C999" i="13"/>
  <c r="C236" i="3"/>
  <c r="C241" i="3"/>
  <c r="C238" i="3"/>
  <c r="C239" i="3"/>
  <c r="C197" i="13"/>
  <c r="C84" i="13"/>
  <c r="C34" i="4"/>
  <c r="C167" i="3"/>
  <c r="C164" i="3"/>
  <c r="C26" i="4"/>
  <c r="C169" i="3"/>
  <c r="C166" i="3"/>
  <c r="C60" i="13"/>
  <c r="C27" i="4"/>
  <c r="C165" i="3"/>
  <c r="C175" i="13"/>
  <c r="C189" i="3"/>
  <c r="C175" i="3"/>
  <c r="C172" i="3"/>
  <c r="C193" i="3"/>
  <c r="C191" i="3"/>
  <c r="C195" i="3"/>
  <c r="C173" i="3"/>
  <c r="C194" i="3"/>
  <c r="C188" i="3"/>
  <c r="C170" i="3"/>
  <c r="C176" i="3"/>
  <c r="C174" i="3"/>
  <c r="C187" i="3"/>
  <c r="C180" i="3"/>
  <c r="C64" i="13"/>
  <c r="C178" i="3"/>
  <c r="C63" i="13"/>
  <c r="C186" i="3"/>
  <c r="C170" i="13"/>
  <c r="C190" i="3"/>
  <c r="C192" i="3"/>
  <c r="C292" i="3"/>
  <c r="C123" i="13"/>
  <c r="C124" i="13"/>
  <c r="C76" i="3"/>
  <c r="C49" i="13"/>
  <c r="C75" i="3"/>
  <c r="C72" i="3"/>
  <c r="C46" i="13"/>
  <c r="C47" i="13"/>
  <c r="C311" i="4"/>
  <c r="C2319" i="3"/>
  <c r="C2317" i="3"/>
  <c r="C308" i="4"/>
  <c r="C2320" i="3"/>
  <c r="C314" i="4"/>
  <c r="C2327" i="3"/>
  <c r="C312" i="4"/>
  <c r="C37" i="13"/>
  <c r="C2322" i="3"/>
  <c r="C806" i="13"/>
  <c r="C309" i="4"/>
  <c r="C2318" i="3"/>
  <c r="C2326" i="3"/>
  <c r="C2324" i="3"/>
  <c r="C15" i="3"/>
  <c r="C9" i="4"/>
  <c r="C13" i="13"/>
  <c r="C13" i="3"/>
  <c r="C14" i="13"/>
  <c r="C17" i="3"/>
  <c r="C11" i="13"/>
  <c r="C10" i="4"/>
  <c r="C14" i="3"/>
  <c r="C16" i="3"/>
  <c r="C10" i="13"/>
  <c r="AD669" i="13"/>
  <c r="AD130" i="13"/>
  <c r="AD108" i="13"/>
  <c r="AD100" i="13"/>
  <c r="AD589" i="13"/>
  <c r="AD309" i="13"/>
  <c r="X1053" i="13"/>
  <c r="Z845" i="13"/>
  <c r="W869" i="13"/>
  <c r="X260" i="13"/>
  <c r="W18" i="13"/>
  <c r="AC981" i="13"/>
  <c r="AY2515" i="3"/>
  <c r="AD36" i="13"/>
  <c r="AD701" i="13"/>
  <c r="AD18" i="13"/>
  <c r="AD1061" i="13"/>
  <c r="AD973" i="13"/>
  <c r="C2476" i="3"/>
  <c r="Z1101" i="13"/>
  <c r="W1069" i="13"/>
  <c r="W1029" i="13"/>
  <c r="W845" i="13"/>
  <c r="Z92" i="13"/>
  <c r="W893" i="13"/>
  <c r="Y733" i="13"/>
  <c r="Z725" i="13"/>
  <c r="X58" i="13"/>
  <c r="AC130" i="13"/>
  <c r="AV2459" i="3"/>
  <c r="C2420" i="3"/>
  <c r="C2411" i="3"/>
  <c r="C2412" i="3"/>
  <c r="C2415" i="3"/>
  <c r="C2550" i="3"/>
  <c r="C116" i="34"/>
  <c r="C114" i="34"/>
  <c r="C2556" i="3"/>
  <c r="C2123" i="3"/>
  <c r="C2121" i="3"/>
  <c r="C1481" i="3"/>
  <c r="C1479" i="3"/>
  <c r="C482" i="13"/>
  <c r="C481" i="13"/>
  <c r="C1413" i="3"/>
  <c r="C1411" i="3"/>
  <c r="C71" i="34"/>
  <c r="C1296" i="3"/>
  <c r="C1267" i="3"/>
  <c r="C694" i="13"/>
  <c r="C1258" i="3"/>
  <c r="C1046" i="13"/>
  <c r="C1262" i="3"/>
  <c r="C560" i="13"/>
  <c r="C830" i="3"/>
  <c r="C826" i="3"/>
  <c r="C827" i="3"/>
  <c r="C681" i="3"/>
  <c r="C682" i="3"/>
  <c r="C438" i="3"/>
  <c r="C440" i="3"/>
  <c r="C441" i="3"/>
  <c r="C426" i="3"/>
  <c r="C146" i="3"/>
  <c r="C15" i="17"/>
  <c r="C76" i="13"/>
  <c r="C2624" i="3"/>
  <c r="C2583" i="3"/>
  <c r="C2659" i="3"/>
  <c r="AC1049" i="13"/>
  <c r="Y1049" i="13"/>
  <c r="AD1049" i="13"/>
  <c r="AA1009" i="13"/>
  <c r="AD1009" i="13"/>
  <c r="AC961" i="13"/>
  <c r="Y961" i="13"/>
  <c r="X945" i="13"/>
  <c r="Y945" i="13"/>
  <c r="W937" i="13"/>
  <c r="Y937" i="13"/>
  <c r="X921" i="13"/>
  <c r="Y921" i="13"/>
  <c r="Z897" i="13"/>
  <c r="AA897" i="13"/>
  <c r="W889" i="13"/>
  <c r="Y889" i="13"/>
  <c r="W865" i="13"/>
  <c r="Y865" i="13"/>
  <c r="AD865" i="13"/>
  <c r="X825" i="13"/>
  <c r="Y825" i="13"/>
  <c r="W817" i="13"/>
  <c r="Y817" i="13"/>
  <c r="C2748" i="3"/>
  <c r="C2749" i="3"/>
  <c r="C2425" i="3"/>
  <c r="C2423" i="3"/>
  <c r="C2267" i="3"/>
  <c r="C307" i="4"/>
  <c r="C2246" i="3"/>
  <c r="C2243" i="3"/>
  <c r="C2240" i="3"/>
  <c r="C2149" i="3"/>
  <c r="C2147" i="3"/>
  <c r="C265" i="4"/>
  <c r="C684" i="13"/>
  <c r="C277" i="4"/>
  <c r="C992" i="13"/>
  <c r="C1984" i="3"/>
  <c r="C1983" i="3"/>
  <c r="C2643" i="3"/>
  <c r="C2637" i="3"/>
  <c r="C2645" i="3"/>
  <c r="C1491" i="3"/>
  <c r="C1509" i="3"/>
  <c r="C1490" i="3"/>
  <c r="C1725" i="3"/>
  <c r="C584" i="13"/>
  <c r="C1750" i="3"/>
  <c r="C1752" i="3"/>
  <c r="C1536" i="3"/>
  <c r="C493" i="13"/>
  <c r="C491" i="13"/>
  <c r="C1572" i="3"/>
  <c r="C1611" i="3"/>
  <c r="C1666" i="3"/>
  <c r="C1664" i="3"/>
  <c r="C1028" i="3"/>
  <c r="C1029" i="3"/>
  <c r="C549" i="13"/>
  <c r="C978" i="3"/>
  <c r="C975" i="3"/>
  <c r="C110" i="4"/>
  <c r="C272" i="13"/>
  <c r="C900" i="3"/>
  <c r="C1027" i="13"/>
  <c r="C878" i="3"/>
  <c r="C863" i="3"/>
  <c r="C106" i="4"/>
  <c r="C882" i="3"/>
  <c r="C93" i="4"/>
  <c r="C686" i="3"/>
  <c r="C189" i="13"/>
  <c r="C299" i="3"/>
  <c r="C305" i="3"/>
  <c r="C309" i="3"/>
  <c r="C579" i="3"/>
  <c r="C577" i="3"/>
  <c r="C549" i="3"/>
  <c r="C557" i="3"/>
  <c r="C353" i="3"/>
  <c r="C355" i="3"/>
  <c r="C361" i="3"/>
  <c r="C354" i="3"/>
  <c r="C362" i="3"/>
  <c r="C254" i="3"/>
  <c r="C90" i="13"/>
  <c r="C414" i="3"/>
  <c r="C22" i="34"/>
  <c r="C413" i="3"/>
  <c r="C211" i="13"/>
  <c r="C2610" i="3"/>
  <c r="C2616" i="3"/>
  <c r="C405" i="3"/>
  <c r="C2613" i="3"/>
  <c r="C140" i="17"/>
  <c r="C204" i="13"/>
  <c r="C52" i="13"/>
  <c r="C85" i="3"/>
  <c r="C2574" i="3"/>
  <c r="C2569" i="3"/>
  <c r="C2195" i="3"/>
  <c r="C2193" i="3"/>
  <c r="C2142" i="3"/>
  <c r="C2139" i="3"/>
  <c r="C2438" i="3"/>
  <c r="C2397" i="3"/>
  <c r="C2437" i="3"/>
  <c r="C110" i="34"/>
  <c r="C109" i="34"/>
  <c r="C2075" i="3"/>
  <c r="C1634" i="3"/>
  <c r="C1638" i="3"/>
  <c r="C2649" i="3"/>
  <c r="C199" i="4"/>
  <c r="C1318" i="3"/>
  <c r="C1317" i="3"/>
  <c r="C1450" i="3"/>
  <c r="C1464" i="3"/>
  <c r="C192" i="4"/>
  <c r="C1395" i="3"/>
  <c r="C1430" i="3"/>
  <c r="C1503" i="3"/>
  <c r="C1427" i="3"/>
  <c r="C261" i="4"/>
  <c r="C588" i="13"/>
  <c r="C2686" i="3"/>
  <c r="C2705" i="3"/>
  <c r="C2703" i="3"/>
  <c r="C2694" i="3"/>
  <c r="C955" i="3"/>
  <c r="C968" i="3"/>
  <c r="C233" i="13"/>
  <c r="C51" i="17"/>
  <c r="C324" i="13"/>
  <c r="C323" i="13"/>
  <c r="C2442" i="3"/>
  <c r="C733" i="13"/>
  <c r="C260" i="13"/>
  <c r="C2344" i="3"/>
  <c r="C39" i="13"/>
  <c r="AV2705" i="3"/>
  <c r="V1108" i="13"/>
  <c r="AA1108" i="13"/>
  <c r="Y1108" i="13"/>
  <c r="AE1108" i="13"/>
  <c r="W1108" i="13"/>
  <c r="V1100" i="13"/>
  <c r="AE1100" i="13"/>
  <c r="AC1100" i="13"/>
  <c r="Z1100" i="13"/>
  <c r="AB1100" i="13"/>
  <c r="W1100" i="13"/>
  <c r="V1092" i="13"/>
  <c r="AE1092" i="13"/>
  <c r="AC1092" i="13"/>
  <c r="W1092" i="13"/>
  <c r="V1084" i="13"/>
  <c r="AC1084" i="13"/>
  <c r="X1084" i="13"/>
  <c r="AA1084" i="13"/>
  <c r="V1076" i="13"/>
  <c r="AB1076" i="13"/>
  <c r="Z1076" i="13"/>
  <c r="Y1076" i="13"/>
  <c r="AA1076" i="13"/>
  <c r="AE1076" i="13"/>
  <c r="AC1076" i="13"/>
  <c r="V1068" i="13"/>
  <c r="AE1068" i="13"/>
  <c r="AA1068" i="13"/>
  <c r="Z1068" i="13"/>
  <c r="W1068" i="13"/>
  <c r="V1060" i="13"/>
  <c r="AA1060" i="13"/>
  <c r="W1060" i="13"/>
  <c r="AB1060" i="13"/>
  <c r="Z1060" i="13"/>
  <c r="AD1060" i="13"/>
  <c r="AC1052" i="13"/>
  <c r="AB1052" i="13"/>
  <c r="Y1052" i="13"/>
  <c r="V1044" i="13"/>
  <c r="AE1044" i="13"/>
  <c r="AB1044" i="13"/>
  <c r="V1036" i="13"/>
  <c r="AE1036" i="13"/>
  <c r="Z1036" i="13"/>
  <c r="AB1036" i="13"/>
  <c r="AC1036" i="13"/>
  <c r="V1028" i="13"/>
  <c r="AC1028" i="13"/>
  <c r="X1028" i="13"/>
  <c r="V1020" i="13"/>
  <c r="AB1020" i="13"/>
  <c r="AC1020" i="13"/>
  <c r="V1012" i="13"/>
  <c r="AA1012" i="13"/>
  <c r="W1012" i="13"/>
  <c r="AE1012" i="13"/>
  <c r="V1004" i="13"/>
  <c r="AE1004" i="13"/>
  <c r="AA1004" i="13"/>
  <c r="AB1004" i="13"/>
  <c r="X1004" i="13"/>
  <c r="W1004" i="13"/>
  <c r="AB996" i="13"/>
  <c r="AA996" i="13"/>
  <c r="W996" i="13"/>
  <c r="AC996" i="13"/>
  <c r="X996" i="13"/>
  <c r="V988" i="13"/>
  <c r="AC988" i="13"/>
  <c r="Y988" i="13"/>
  <c r="W988" i="13"/>
  <c r="X988" i="13"/>
  <c r="AA980" i="13"/>
  <c r="Y980" i="13"/>
  <c r="AB980" i="13"/>
  <c r="AC980" i="13"/>
  <c r="W980" i="13"/>
  <c r="V972" i="13"/>
  <c r="Y972" i="13"/>
  <c r="AB964" i="13"/>
  <c r="AC964" i="13"/>
  <c r="W964" i="13"/>
  <c r="V956" i="13"/>
  <c r="AB956" i="13"/>
  <c r="V948" i="13"/>
  <c r="AB948" i="13"/>
  <c r="V940" i="13"/>
  <c r="AC940" i="13"/>
  <c r="Z940" i="13"/>
  <c r="V932" i="13"/>
  <c r="AE932" i="13"/>
  <c r="AC932" i="13"/>
  <c r="AB932" i="13"/>
  <c r="Y932" i="13"/>
  <c r="V924" i="13"/>
  <c r="W924" i="13"/>
  <c r="AB924" i="13"/>
  <c r="AE924" i="13"/>
  <c r="AC924" i="13"/>
  <c r="V916" i="13"/>
  <c r="AE916" i="13"/>
  <c r="AB916" i="13"/>
  <c r="AC916" i="13"/>
  <c r="Y916" i="13"/>
  <c r="Z916" i="13"/>
  <c r="V908" i="13"/>
  <c r="AE908" i="13"/>
  <c r="AA908" i="13"/>
  <c r="X908" i="13"/>
  <c r="Y908" i="13"/>
  <c r="Z908" i="13"/>
  <c r="V900" i="13"/>
  <c r="AE900" i="13"/>
  <c r="AC900" i="13"/>
  <c r="AA900" i="13"/>
  <c r="Z900" i="13"/>
  <c r="AB892" i="13"/>
  <c r="AC892" i="13"/>
  <c r="W892" i="13"/>
  <c r="X892" i="13"/>
  <c r="V884" i="13"/>
  <c r="AB884" i="13"/>
  <c r="Z884" i="13"/>
  <c r="AA884" i="13"/>
  <c r="AC884" i="13"/>
  <c r="W884" i="13"/>
  <c r="X884" i="13"/>
  <c r="AB876" i="13"/>
  <c r="W876" i="13"/>
  <c r="X876" i="13"/>
  <c r="Y876" i="13"/>
  <c r="AC868" i="13"/>
  <c r="W868" i="13"/>
  <c r="AB868" i="13"/>
  <c r="Y868" i="13"/>
  <c r="Z868" i="13"/>
  <c r="V860" i="13"/>
  <c r="AE860" i="13"/>
  <c r="Y860" i="13"/>
  <c r="AB860" i="13"/>
  <c r="Z860" i="13"/>
  <c r="AC860" i="13"/>
  <c r="V852" i="13"/>
  <c r="AE852" i="13"/>
  <c r="Z852" i="13"/>
  <c r="V844" i="13"/>
  <c r="AC844" i="13"/>
  <c r="AD844" i="13"/>
  <c r="AB844" i="13"/>
  <c r="Y844" i="13"/>
  <c r="Z844" i="13"/>
  <c r="V836" i="13"/>
  <c r="AB836" i="13"/>
  <c r="AC836" i="13"/>
  <c r="AE836" i="13"/>
  <c r="Y836" i="13"/>
  <c r="Z836" i="13"/>
  <c r="AC828" i="13"/>
  <c r="AB828" i="13"/>
  <c r="X828" i="13"/>
  <c r="V820" i="13"/>
  <c r="AC820" i="13"/>
  <c r="Y820" i="13"/>
  <c r="AE820" i="13"/>
  <c r="AB820" i="13"/>
  <c r="Z820" i="13"/>
  <c r="W812" i="13"/>
  <c r="AC812" i="13"/>
  <c r="Z812" i="13"/>
  <c r="AA804" i="13"/>
  <c r="AB804" i="13"/>
  <c r="AD804" i="13"/>
  <c r="V796" i="13"/>
  <c r="Z796" i="13"/>
  <c r="AA796" i="13"/>
  <c r="W796" i="13"/>
  <c r="AC796" i="13"/>
  <c r="X796" i="13"/>
  <c r="Y796" i="13"/>
  <c r="AA788" i="13"/>
  <c r="AB788" i="13"/>
  <c r="AC780" i="13"/>
  <c r="AA780" i="13"/>
  <c r="AB780" i="13"/>
  <c r="Y780" i="13"/>
  <c r="Z780" i="13"/>
  <c r="AB772" i="13"/>
  <c r="Y772" i="13"/>
  <c r="AD772" i="13"/>
  <c r="AC772" i="13"/>
  <c r="AC764" i="13"/>
  <c r="Y764" i="13"/>
  <c r="AB764" i="13"/>
  <c r="Z764" i="13"/>
  <c r="AC756" i="13"/>
  <c r="Y756" i="13"/>
  <c r="Z756" i="13"/>
  <c r="AC748" i="13"/>
  <c r="Y748" i="13"/>
  <c r="AA748" i="13"/>
  <c r="AB748" i="13"/>
  <c r="V740" i="13"/>
  <c r="AC740" i="13"/>
  <c r="X740" i="13"/>
  <c r="Z740" i="13"/>
  <c r="AC732" i="13"/>
  <c r="Z732" i="13"/>
  <c r="W732" i="13"/>
  <c r="X732" i="13"/>
  <c r="V724" i="13"/>
  <c r="Y724" i="13"/>
  <c r="AE724" i="13"/>
  <c r="AA724" i="13"/>
  <c r="AB724" i="13"/>
  <c r="W724" i="13"/>
  <c r="V716" i="13"/>
  <c r="AA716" i="13"/>
  <c r="AE716" i="13"/>
  <c r="AC716" i="13"/>
  <c r="AB716" i="13"/>
  <c r="W708" i="13"/>
  <c r="AC708" i="13"/>
  <c r="V700" i="13"/>
  <c r="AB700" i="13"/>
  <c r="AE700" i="13"/>
  <c r="Z700" i="13"/>
  <c r="W692" i="13"/>
  <c r="AA692" i="13"/>
  <c r="AB692" i="13"/>
  <c r="AC692" i="13"/>
  <c r="Z692" i="13"/>
  <c r="V684" i="13"/>
  <c r="W684" i="13"/>
  <c r="AE684" i="13"/>
  <c r="AA684" i="13"/>
  <c r="AD684" i="13"/>
  <c r="Z684" i="13"/>
  <c r="V676" i="13"/>
  <c r="AE676" i="13"/>
  <c r="AA676" i="13"/>
  <c r="W676" i="13"/>
  <c r="V668" i="13"/>
  <c r="AE668" i="13"/>
  <c r="AA668" i="13"/>
  <c r="AC668" i="13"/>
  <c r="W668" i="13"/>
  <c r="X668" i="13"/>
  <c r="Y668" i="13"/>
  <c r="V660" i="13"/>
  <c r="AE660" i="13"/>
  <c r="AA660" i="13"/>
  <c r="AC660" i="13"/>
  <c r="V652" i="13"/>
  <c r="AA652" i="13"/>
  <c r="Z652" i="13"/>
  <c r="AD652" i="13"/>
  <c r="W652" i="13"/>
  <c r="AB652" i="13"/>
  <c r="X652" i="13"/>
  <c r="AC644" i="13"/>
  <c r="Z644" i="13"/>
  <c r="V636" i="13"/>
  <c r="AE636" i="13"/>
  <c r="Z636" i="13"/>
  <c r="AC636" i="13"/>
  <c r="AB636" i="13"/>
  <c r="Y636" i="13"/>
  <c r="V628" i="13"/>
  <c r="Z628" i="13"/>
  <c r="W628" i="13"/>
  <c r="X628" i="13"/>
  <c r="V620" i="13"/>
  <c r="AE620" i="13"/>
  <c r="X620" i="13"/>
  <c r="Z620" i="13"/>
  <c r="AB620" i="13"/>
  <c r="AC620" i="13"/>
  <c r="V612" i="13"/>
  <c r="AB612" i="13"/>
  <c r="Z612" i="13"/>
  <c r="X612" i="13"/>
  <c r="Y612" i="13"/>
  <c r="V604" i="13"/>
  <c r="AC604" i="13"/>
  <c r="Y604" i="13"/>
  <c r="AD604" i="13"/>
  <c r="AB604" i="13"/>
  <c r="W604" i="13"/>
  <c r="V596" i="13"/>
  <c r="AB596" i="13"/>
  <c r="X596" i="13"/>
  <c r="AE596" i="13"/>
  <c r="Y596" i="13"/>
  <c r="Z596" i="13"/>
  <c r="V588" i="13"/>
  <c r="AC588" i="13"/>
  <c r="AD588" i="13"/>
  <c r="Y588" i="13"/>
  <c r="Z588" i="13"/>
  <c r="V580" i="13"/>
  <c r="AA580" i="13"/>
  <c r="X580" i="13"/>
  <c r="Z580" i="13"/>
  <c r="AE580" i="13"/>
  <c r="AA572" i="13"/>
  <c r="AB572" i="13"/>
  <c r="W572" i="13"/>
  <c r="AC572" i="13"/>
  <c r="X572" i="13"/>
  <c r="V564" i="13"/>
  <c r="AE564" i="13"/>
  <c r="AB564" i="13"/>
  <c r="X564" i="13"/>
  <c r="AC556" i="13"/>
  <c r="W556" i="13"/>
  <c r="AE556" i="13"/>
  <c r="V548" i="13"/>
  <c r="AA548" i="13"/>
  <c r="AE548" i="13"/>
  <c r="W548" i="13"/>
  <c r="AB548" i="13"/>
  <c r="AC548" i="13"/>
  <c r="Z548" i="13"/>
  <c r="V540" i="13"/>
  <c r="AC540" i="13"/>
  <c r="AE540" i="13"/>
  <c r="Y540" i="13"/>
  <c r="AD540" i="13"/>
  <c r="V532" i="13"/>
  <c r="AA532" i="13"/>
  <c r="W532" i="13"/>
  <c r="X532" i="13"/>
  <c r="Y524" i="13"/>
  <c r="X524" i="13"/>
  <c r="Z524" i="13"/>
  <c r="V516" i="13"/>
  <c r="AB516" i="13"/>
  <c r="AC516" i="13"/>
  <c r="Z516" i="13"/>
  <c r="V508" i="13"/>
  <c r="AA508" i="13"/>
  <c r="AE508" i="13"/>
  <c r="Z508" i="13"/>
  <c r="V500" i="13"/>
  <c r="AC500" i="13"/>
  <c r="AA500" i="13"/>
  <c r="Y500" i="13"/>
  <c r="AB500" i="13"/>
  <c r="V492" i="13"/>
  <c r="AE492" i="13"/>
  <c r="AC492" i="13"/>
  <c r="AB492" i="13"/>
  <c r="AA492" i="13"/>
  <c r="Z492" i="13"/>
  <c r="V484" i="13"/>
  <c r="AB484" i="13"/>
  <c r="AA484" i="13"/>
  <c r="Y484" i="13"/>
  <c r="Z484" i="13"/>
  <c r="V475" i="13"/>
  <c r="AE475" i="13"/>
  <c r="AB475" i="13"/>
  <c r="Z475" i="13"/>
  <c r="AA475" i="13"/>
  <c r="AC475" i="13"/>
  <c r="V467" i="13"/>
  <c r="AB467" i="13"/>
  <c r="AC467" i="13"/>
  <c r="AA467" i="13"/>
  <c r="W467" i="13"/>
  <c r="AE467" i="13"/>
  <c r="X467" i="13"/>
  <c r="V459" i="13"/>
  <c r="Z459" i="13"/>
  <c r="AE459" i="13"/>
  <c r="W459" i="13"/>
  <c r="AB459" i="13"/>
  <c r="AC459" i="13"/>
  <c r="AA459" i="13"/>
  <c r="V451" i="13"/>
  <c r="AC451" i="13"/>
  <c r="AE451" i="13"/>
  <c r="AA451" i="13"/>
  <c r="W451" i="13"/>
  <c r="Z451" i="13"/>
  <c r="Y451" i="13"/>
  <c r="AC443" i="13"/>
  <c r="X443" i="13"/>
  <c r="Z443" i="13"/>
  <c r="W443" i="13"/>
  <c r="Y443" i="13"/>
  <c r="V435" i="13"/>
  <c r="Y435" i="13"/>
  <c r="AD435" i="13"/>
  <c r="W435" i="13"/>
  <c r="X435" i="13"/>
  <c r="V427" i="13"/>
  <c r="AE427" i="13"/>
  <c r="AD427" i="13"/>
  <c r="AB427" i="13"/>
  <c r="Y427" i="13"/>
  <c r="AC427" i="13"/>
  <c r="Z427" i="13"/>
  <c r="V419" i="13"/>
  <c r="AA419" i="13"/>
  <c r="AB419" i="13"/>
  <c r="AC419" i="13"/>
  <c r="X419" i="13"/>
  <c r="AE419" i="13"/>
  <c r="Y419" i="13"/>
  <c r="V411" i="13"/>
  <c r="W411" i="13"/>
  <c r="AB411" i="13"/>
  <c r="AE411" i="13"/>
  <c r="X411" i="13"/>
  <c r="AC403" i="13"/>
  <c r="Y403" i="13"/>
  <c r="W403" i="13"/>
  <c r="AA403" i="13"/>
  <c r="V395" i="13"/>
  <c r="AB395" i="13"/>
  <c r="AE395" i="13"/>
  <c r="AC395" i="13"/>
  <c r="X395" i="13"/>
  <c r="Y395" i="13"/>
  <c r="Z395" i="13"/>
  <c r="V387" i="13"/>
  <c r="AE387" i="13"/>
  <c r="W387" i="13"/>
  <c r="AA387" i="13"/>
  <c r="AB387" i="13"/>
  <c r="X387" i="13"/>
  <c r="AC379" i="13"/>
  <c r="Y379" i="13"/>
  <c r="W379" i="13"/>
  <c r="V371" i="13"/>
  <c r="AB371" i="13"/>
  <c r="Z371" i="13"/>
  <c r="AA371" i="13"/>
  <c r="V363" i="13"/>
  <c r="AA363" i="13"/>
  <c r="AB363" i="13"/>
  <c r="AC363" i="13"/>
  <c r="Z363" i="13"/>
  <c r="Y355" i="13"/>
  <c r="X355" i="13"/>
  <c r="AA355" i="13"/>
  <c r="V347" i="13"/>
  <c r="AE347" i="13"/>
  <c r="AC347" i="13"/>
  <c r="X347" i="13"/>
  <c r="AA347" i="13"/>
  <c r="AA339" i="13"/>
  <c r="W339" i="13"/>
  <c r="Y339" i="13"/>
  <c r="Z339" i="13"/>
  <c r="V331" i="13"/>
  <c r="AC331" i="13"/>
  <c r="Z331" i="13"/>
  <c r="Y331" i="13"/>
  <c r="AA331" i="13"/>
  <c r="X331" i="13"/>
  <c r="AE331" i="13"/>
  <c r="AB331" i="13"/>
  <c r="AA323" i="13"/>
  <c r="AB323" i="13"/>
  <c r="Z323" i="13"/>
  <c r="W323" i="13"/>
  <c r="V315" i="13"/>
  <c r="W315" i="13"/>
  <c r="Z315" i="13"/>
  <c r="AE315" i="13"/>
  <c r="V307" i="13"/>
  <c r="AB307" i="13"/>
  <c r="AA307" i="13"/>
  <c r="W307" i="13"/>
  <c r="AC307" i="13"/>
  <c r="AB299" i="13"/>
  <c r="W299" i="13"/>
  <c r="V291" i="13"/>
  <c r="AC291" i="13"/>
  <c r="AB291" i="13"/>
  <c r="AE291" i="13"/>
  <c r="X291" i="13"/>
  <c r="Y291" i="13"/>
  <c r="V283" i="13"/>
  <c r="AA283" i="13"/>
  <c r="Y283" i="13"/>
  <c r="AE283" i="13"/>
  <c r="Z283" i="13"/>
  <c r="AC275" i="13"/>
  <c r="Y275" i="13"/>
  <c r="W275" i="13"/>
  <c r="X275" i="13"/>
  <c r="V267" i="13"/>
  <c r="W267" i="13"/>
  <c r="AA267" i="13"/>
  <c r="AB267" i="13"/>
  <c r="V259" i="13"/>
  <c r="AA259" i="13"/>
  <c r="X259" i="13"/>
  <c r="AB251" i="13"/>
  <c r="W251" i="13"/>
  <c r="X251" i="13"/>
  <c r="AA251" i="13"/>
  <c r="Z251" i="13"/>
  <c r="AB243" i="13"/>
  <c r="Z243" i="13"/>
  <c r="AA243" i="13"/>
  <c r="X243" i="13"/>
  <c r="AC243" i="13"/>
  <c r="V235" i="13"/>
  <c r="AC235" i="13"/>
  <c r="W235" i="13"/>
  <c r="V227" i="13"/>
  <c r="AE227" i="13"/>
  <c r="AC227" i="13"/>
  <c r="AB227" i="13"/>
  <c r="X227" i="13"/>
  <c r="W227" i="13"/>
  <c r="Z227" i="13"/>
  <c r="V219" i="13"/>
  <c r="AA219" i="13"/>
  <c r="AC219" i="13"/>
  <c r="X219" i="13"/>
  <c r="AE219" i="13"/>
  <c r="Y219" i="13"/>
  <c r="Z219" i="13"/>
  <c r="V203" i="13"/>
  <c r="AB203" i="13"/>
  <c r="AA203" i="13"/>
  <c r="X203" i="13"/>
  <c r="AE203" i="13"/>
  <c r="AC203" i="13"/>
  <c r="Z203" i="13"/>
  <c r="V195" i="13"/>
  <c r="AB195" i="13"/>
  <c r="V187" i="13"/>
  <c r="AE187" i="13"/>
  <c r="Y187" i="13"/>
  <c r="Z187" i="13"/>
  <c r="AA187" i="13"/>
  <c r="AC187" i="13"/>
  <c r="W187" i="13"/>
  <c r="V179" i="13"/>
  <c r="AA179" i="13"/>
  <c r="W179" i="13"/>
  <c r="AB179" i="13"/>
  <c r="AE179" i="13"/>
  <c r="Y179" i="13"/>
  <c r="AA171" i="13"/>
  <c r="AC171" i="13"/>
  <c r="W171" i="13"/>
  <c r="Y171" i="13"/>
  <c r="V163" i="13"/>
  <c r="Y163" i="13"/>
  <c r="Z163" i="13"/>
  <c r="AA163" i="13"/>
  <c r="AE163" i="13"/>
  <c r="AB163" i="13"/>
  <c r="AD163" i="13"/>
  <c r="V155" i="13"/>
  <c r="AC155" i="13"/>
  <c r="AA155" i="13"/>
  <c r="Y155" i="13"/>
  <c r="AB155" i="13"/>
  <c r="V147" i="13"/>
  <c r="AA147" i="13"/>
  <c r="Z147" i="13"/>
  <c r="AD147" i="13"/>
  <c r="X147" i="13"/>
  <c r="Y147" i="13"/>
  <c r="V139" i="13"/>
  <c r="AE139" i="13"/>
  <c r="AB139" i="13"/>
  <c r="Z139" i="13"/>
  <c r="AA139" i="13"/>
  <c r="AC139" i="13"/>
  <c r="AE131" i="13"/>
  <c r="X131" i="13"/>
  <c r="Y131" i="13"/>
  <c r="AC131" i="13"/>
  <c r="V123" i="13"/>
  <c r="AC123" i="13"/>
  <c r="AE123" i="13"/>
  <c r="Z123" i="13"/>
  <c r="W123" i="13"/>
  <c r="X123" i="13"/>
  <c r="AB115" i="13"/>
  <c r="AA115" i="13"/>
  <c r="AC115" i="13"/>
  <c r="W115" i="13"/>
  <c r="X115" i="13"/>
  <c r="V107" i="13"/>
  <c r="AE107" i="13"/>
  <c r="AC107" i="13"/>
  <c r="Z107" i="13"/>
  <c r="AD107" i="13"/>
  <c r="AC99" i="13"/>
  <c r="Z99" i="13"/>
  <c r="AB99" i="13"/>
  <c r="V91" i="13"/>
  <c r="AA91" i="13"/>
  <c r="W91" i="13"/>
  <c r="AB91" i="13"/>
  <c r="V83" i="13"/>
  <c r="AA83" i="13"/>
  <c r="AE83" i="13"/>
  <c r="W83" i="13"/>
  <c r="AC83" i="13"/>
  <c r="AB83" i="13"/>
  <c r="AC75" i="13"/>
  <c r="X75" i="13"/>
  <c r="W75" i="13"/>
  <c r="AA75" i="13"/>
  <c r="AB75" i="13"/>
  <c r="Y75" i="13"/>
  <c r="W67" i="13"/>
  <c r="AD67" i="13"/>
  <c r="V59" i="13"/>
  <c r="W59" i="13"/>
  <c r="AA59" i="13"/>
  <c r="AB59" i="13"/>
  <c r="Y59" i="13"/>
  <c r="AB51" i="13"/>
  <c r="AC51" i="13"/>
  <c r="AD51" i="13"/>
  <c r="Z51" i="13"/>
  <c r="AE43" i="13"/>
  <c r="AA43" i="13"/>
  <c r="Y43" i="13"/>
  <c r="W43" i="13"/>
  <c r="W35" i="13"/>
  <c r="AC35" i="13"/>
  <c r="Z35" i="13"/>
  <c r="V27" i="13"/>
  <c r="AE27" i="13"/>
  <c r="W27" i="13"/>
  <c r="AC27" i="13"/>
  <c r="Z27" i="13"/>
  <c r="AA19" i="13"/>
  <c r="X19" i="13"/>
  <c r="AB19" i="13"/>
  <c r="Y19" i="13"/>
  <c r="AE19" i="13"/>
  <c r="AC11" i="13"/>
  <c r="X11" i="13"/>
  <c r="Z11" i="13"/>
  <c r="W11" i="13"/>
  <c r="Y11" i="13"/>
  <c r="AW2772" i="3"/>
  <c r="AU2772" i="3"/>
  <c r="AR2772" i="3"/>
  <c r="AV2772" i="3"/>
  <c r="AR2756" i="3"/>
  <c r="AU2756" i="3"/>
  <c r="AV2756" i="3"/>
  <c r="BA2740" i="3"/>
  <c r="AV2740" i="3"/>
  <c r="AT2732" i="3"/>
  <c r="AS2732" i="3"/>
  <c r="AV2716" i="3"/>
  <c r="AW2716" i="3"/>
  <c r="BA2716" i="3"/>
  <c r="AZ2700" i="3"/>
  <c r="AU2700" i="3"/>
  <c r="AY2700" i="3"/>
  <c r="AT2700" i="3"/>
  <c r="AZ2684" i="3"/>
  <c r="AV2684" i="3"/>
  <c r="AR2676" i="3"/>
  <c r="AY2676" i="3"/>
  <c r="AT2676" i="3"/>
  <c r="AU2660" i="3"/>
  <c r="AX2660" i="3"/>
  <c r="AZ2652" i="3"/>
  <c r="AU2652" i="3"/>
  <c r="AV2652" i="3"/>
  <c r="BA2652" i="3"/>
  <c r="AV2644" i="3"/>
  <c r="AX2644" i="3"/>
  <c r="AR2636" i="3"/>
  <c r="BA2636" i="3"/>
  <c r="AT2628" i="3"/>
  <c r="AZ2628" i="3"/>
  <c r="AR2628" i="3"/>
  <c r="BA2628" i="3"/>
  <c r="AS2620" i="3"/>
  <c r="AU2620" i="3"/>
  <c r="AV2620" i="3"/>
  <c r="AY2604" i="3"/>
  <c r="AX2604" i="3"/>
  <c r="AV2588" i="3"/>
  <c r="AW2588" i="3"/>
  <c r="AS2580" i="3"/>
  <c r="AU2580" i="3"/>
  <c r="AR2564" i="3"/>
  <c r="AT2564" i="3"/>
  <c r="AS2564" i="3"/>
  <c r="AS2556" i="3"/>
  <c r="AY2556" i="3"/>
  <c r="AV2548" i="3"/>
  <c r="AW2548" i="3"/>
  <c r="BA2548" i="3"/>
  <c r="AX2532" i="3"/>
  <c r="BA2532" i="3"/>
  <c r="AR2468" i="3"/>
  <c r="AW2468" i="3"/>
  <c r="AU2340" i="3"/>
  <c r="AZ2340" i="3"/>
  <c r="AV2316" i="3"/>
  <c r="AR2316" i="3"/>
  <c r="AS2308" i="3"/>
  <c r="AR2308" i="3"/>
  <c r="AS2180" i="3"/>
  <c r="AU2180" i="3"/>
  <c r="AZ2036" i="3"/>
  <c r="AR2036" i="3"/>
  <c r="W721" i="13"/>
  <c r="AA721" i="13"/>
  <c r="Z625" i="13"/>
  <c r="AC625" i="13"/>
  <c r="AD593" i="13"/>
  <c r="AC593" i="13"/>
  <c r="W505" i="13"/>
  <c r="Z505" i="13"/>
  <c r="Z481" i="13"/>
  <c r="AC481" i="13"/>
  <c r="W472" i="13"/>
  <c r="Z472" i="13"/>
  <c r="AD440" i="13"/>
  <c r="Z440" i="13"/>
  <c r="AC304" i="13"/>
  <c r="Z304" i="13"/>
  <c r="X176" i="13"/>
  <c r="Y176" i="13"/>
  <c r="AB16" i="13"/>
  <c r="AD16" i="13"/>
  <c r="AR2769" i="3"/>
  <c r="AV2769" i="3"/>
  <c r="AD395" i="13"/>
  <c r="AD1044" i="13"/>
  <c r="AD828" i="13"/>
  <c r="AD91" i="13"/>
  <c r="AD668" i="13"/>
  <c r="AD371" i="13"/>
  <c r="AD195" i="13"/>
  <c r="AD745" i="13"/>
  <c r="AD860" i="13"/>
  <c r="AD964" i="13"/>
  <c r="AD115" i="13"/>
  <c r="AD940" i="13"/>
  <c r="AD267" i="13"/>
  <c r="AD400" i="13"/>
  <c r="AD724" i="13"/>
  <c r="AD347" i="13"/>
  <c r="AD916" i="13"/>
  <c r="AD676" i="13"/>
  <c r="C2434" i="3"/>
  <c r="C42" i="4"/>
  <c r="C2571" i="3"/>
  <c r="C665" i="3"/>
  <c r="C2681" i="3"/>
  <c r="C147" i="4"/>
  <c r="C1463" i="3"/>
  <c r="C53" i="34"/>
  <c r="X1076" i="13"/>
  <c r="Y1044" i="13"/>
  <c r="Z972" i="13"/>
  <c r="X692" i="13"/>
  <c r="X980" i="13"/>
  <c r="X916" i="13"/>
  <c r="X107" i="13"/>
  <c r="X83" i="13"/>
  <c r="W908" i="13"/>
  <c r="X644" i="13"/>
  <c r="Y40" i="13"/>
  <c r="Z956" i="13"/>
  <c r="Y924" i="13"/>
  <c r="W1084" i="13"/>
  <c r="Z556" i="13"/>
  <c r="X588" i="13"/>
  <c r="Y548" i="13"/>
  <c r="X812" i="13"/>
  <c r="W764" i="13"/>
  <c r="Z716" i="13"/>
  <c r="Z411" i="13"/>
  <c r="W347" i="13"/>
  <c r="Z467" i="13"/>
  <c r="Z280" i="13"/>
  <c r="W395" i="13"/>
  <c r="W219" i="13"/>
  <c r="Z275" i="13"/>
  <c r="Z155" i="13"/>
  <c r="Y123" i="13"/>
  <c r="X99" i="13"/>
  <c r="W163" i="13"/>
  <c r="Z43" i="13"/>
  <c r="Y35" i="13"/>
  <c r="AA1044" i="13"/>
  <c r="AB972" i="13"/>
  <c r="AA1020" i="13"/>
  <c r="AA868" i="13"/>
  <c r="AC908" i="13"/>
  <c r="AA644" i="13"/>
  <c r="AB988" i="13"/>
  <c r="AA828" i="13"/>
  <c r="AA956" i="13"/>
  <c r="AB684" i="13"/>
  <c r="AB660" i="13"/>
  <c r="AB628" i="13"/>
  <c r="AC612" i="13"/>
  <c r="AC564" i="13"/>
  <c r="AA764" i="13"/>
  <c r="AB508" i="13"/>
  <c r="AC700" i="13"/>
  <c r="AC411" i="13"/>
  <c r="AC371" i="13"/>
  <c r="AC339" i="13"/>
  <c r="AA299" i="13"/>
  <c r="AC251" i="13"/>
  <c r="AB187" i="13"/>
  <c r="AB123" i="13"/>
  <c r="AC91" i="13"/>
  <c r="AB43" i="13"/>
  <c r="AE972" i="13"/>
  <c r="AE796" i="13"/>
  <c r="AE604" i="13"/>
  <c r="AE363" i="13"/>
  <c r="AS2764" i="3"/>
  <c r="AY2708" i="3"/>
  <c r="AZ2508" i="3"/>
  <c r="AR2292" i="3"/>
  <c r="X761" i="13"/>
  <c r="Y761" i="13"/>
  <c r="X737" i="13"/>
  <c r="AC737" i="13"/>
  <c r="W689" i="13"/>
  <c r="Z689" i="13"/>
  <c r="Z416" i="13"/>
  <c r="AC416" i="13"/>
  <c r="W240" i="13"/>
  <c r="Z240" i="13"/>
  <c r="W208" i="13"/>
  <c r="Z208" i="13"/>
  <c r="W56" i="13"/>
  <c r="Z56" i="13"/>
  <c r="AV2633" i="3"/>
  <c r="AZ2633" i="3"/>
  <c r="AD291" i="13"/>
  <c r="AD139" i="13"/>
  <c r="AD596" i="13"/>
  <c r="AD1052" i="13"/>
  <c r="AD123" i="13"/>
  <c r="AD548" i="13"/>
  <c r="AD1076" i="13"/>
  <c r="AD708" i="13"/>
  <c r="AD748" i="13"/>
  <c r="AD27" i="13"/>
  <c r="AD227" i="13"/>
  <c r="AD363" i="13"/>
  <c r="AD956" i="13"/>
  <c r="AD1012" i="13"/>
  <c r="AD307" i="13"/>
  <c r="AD403" i="13"/>
  <c r="AD1092" i="13"/>
  <c r="AD299" i="13"/>
  <c r="AD716" i="13"/>
  <c r="AD932" i="13"/>
  <c r="C896" i="13"/>
  <c r="C2390" i="3"/>
  <c r="C117" i="13"/>
  <c r="C649" i="3"/>
  <c r="C2689" i="3"/>
  <c r="C1504" i="3"/>
  <c r="C1321" i="3"/>
  <c r="Z1108" i="13"/>
  <c r="Y1100" i="13"/>
  <c r="W1076" i="13"/>
  <c r="Y1036" i="13"/>
  <c r="X1044" i="13"/>
  <c r="X972" i="13"/>
  <c r="W916" i="13"/>
  <c r="W107" i="13"/>
  <c r="Y203" i="13"/>
  <c r="Z195" i="13"/>
  <c r="W644" i="13"/>
  <c r="Z876" i="13"/>
  <c r="Y561" i="13"/>
  <c r="Y956" i="13"/>
  <c r="Y740" i="13"/>
  <c r="X924" i="13"/>
  <c r="Z387" i="13"/>
  <c r="Z708" i="13"/>
  <c r="Y556" i="13"/>
  <c r="W588" i="13"/>
  <c r="X548" i="13"/>
  <c r="Y508" i="13"/>
  <c r="Y716" i="13"/>
  <c r="Y411" i="13"/>
  <c r="Y459" i="13"/>
  <c r="Z355" i="13"/>
  <c r="Y467" i="13"/>
  <c r="Z500" i="13"/>
  <c r="Z299" i="13"/>
  <c r="X187" i="13"/>
  <c r="X155" i="13"/>
  <c r="W99" i="13"/>
  <c r="Z171" i="13"/>
  <c r="X43" i="13"/>
  <c r="X35" i="13"/>
  <c r="AC1060" i="13"/>
  <c r="AA972" i="13"/>
  <c r="AC1012" i="13"/>
  <c r="AB107" i="13"/>
  <c r="AB940" i="13"/>
  <c r="AB908" i="13"/>
  <c r="AA988" i="13"/>
  <c r="AA844" i="13"/>
  <c r="AC59" i="13"/>
  <c r="AB740" i="13"/>
  <c r="AA932" i="13"/>
  <c r="AA628" i="13"/>
  <c r="AA612" i="13"/>
  <c r="AA564" i="13"/>
  <c r="AC524" i="13"/>
  <c r="AA700" i="13"/>
  <c r="AA411" i="13"/>
  <c r="AB339" i="13"/>
  <c r="AA123" i="13"/>
  <c r="AB235" i="13"/>
  <c r="AB27" i="13"/>
  <c r="AE1028" i="13"/>
  <c r="AE956" i="13"/>
  <c r="AE532" i="13"/>
  <c r="AE500" i="13"/>
  <c r="AE91" i="13"/>
  <c r="BA2444" i="3"/>
  <c r="AW2284" i="3"/>
  <c r="C2373" i="3"/>
  <c r="C2369" i="3"/>
  <c r="C1109" i="13"/>
  <c r="C122" i="34"/>
  <c r="C2467" i="3"/>
  <c r="C2466" i="3"/>
  <c r="C2406" i="3"/>
  <c r="C2404" i="3"/>
  <c r="C2110" i="3"/>
  <c r="C106" i="17"/>
  <c r="C2214" i="3"/>
  <c r="C2207" i="3"/>
  <c r="C2108" i="3"/>
  <c r="C2169" i="3"/>
  <c r="C920" i="13"/>
  <c r="C270" i="4"/>
  <c r="C1861" i="3"/>
  <c r="C256" i="4"/>
  <c r="C1786" i="3"/>
  <c r="C1781" i="3"/>
  <c r="C1670" i="3"/>
  <c r="C1671" i="3"/>
  <c r="C1909" i="3"/>
  <c r="C1912" i="3"/>
  <c r="D388" i="12"/>
  <c r="C1540" i="3"/>
  <c r="C91" i="17"/>
  <c r="C790" i="13"/>
  <c r="C1472" i="3"/>
  <c r="C1324" i="3"/>
  <c r="C1327" i="3"/>
  <c r="C1743" i="3"/>
  <c r="C1746" i="3"/>
  <c r="C84" i="34"/>
  <c r="C1332" i="3"/>
  <c r="C2026" i="3"/>
  <c r="C2054" i="3"/>
  <c r="C2037" i="3"/>
  <c r="C2057" i="3"/>
  <c r="C718" i="13"/>
  <c r="C1732" i="3"/>
  <c r="C1080" i="13"/>
  <c r="C822" i="13"/>
  <c r="C1037" i="3"/>
  <c r="C129" i="4"/>
  <c r="C135" i="4"/>
  <c r="C1005" i="3"/>
  <c r="C1004" i="3"/>
  <c r="C938" i="3"/>
  <c r="C934" i="3"/>
  <c r="C937" i="3"/>
  <c r="C2355" i="3"/>
  <c r="C2354" i="3"/>
  <c r="C368" i="13"/>
  <c r="C263" i="13"/>
  <c r="C1028" i="13"/>
  <c r="C793" i="3"/>
  <c r="C808" i="3"/>
  <c r="C821" i="3"/>
  <c r="C822" i="3"/>
  <c r="C228" i="13"/>
  <c r="C515" i="3"/>
  <c r="C65" i="4"/>
  <c r="C60" i="4"/>
  <c r="C477" i="3"/>
  <c r="C471" i="3"/>
  <c r="C78" i="13"/>
  <c r="C198" i="3"/>
  <c r="C32" i="4"/>
  <c r="C230" i="3"/>
  <c r="C162" i="3"/>
  <c r="C158" i="3"/>
  <c r="C398" i="3"/>
  <c r="C381" i="3"/>
  <c r="C400" i="3"/>
  <c r="C48" i="13"/>
  <c r="C70" i="3"/>
  <c r="AD470" i="13"/>
  <c r="AD262" i="13"/>
  <c r="AD206" i="13"/>
  <c r="AD334" i="13"/>
  <c r="AD551" i="13"/>
  <c r="AD479" i="13"/>
  <c r="AD623" i="13"/>
  <c r="AD22" i="13"/>
  <c r="AD487" i="13"/>
  <c r="AD967" i="13"/>
  <c r="AD511" i="13"/>
  <c r="AD727" i="13"/>
  <c r="AD879" i="13"/>
  <c r="AD278" i="13"/>
  <c r="AD567" i="13"/>
  <c r="AD446" i="13"/>
  <c r="X1111" i="13"/>
  <c r="Z1079" i="13"/>
  <c r="X1071" i="13"/>
  <c r="Z975" i="13"/>
  <c r="X1047" i="13"/>
  <c r="Y1031" i="13"/>
  <c r="Z86" i="13"/>
  <c r="W639" i="13"/>
  <c r="X879" i="13"/>
  <c r="W575" i="13"/>
  <c r="W759" i="13"/>
  <c r="X687" i="13"/>
  <c r="Y262" i="13"/>
  <c r="AA1079" i="13"/>
  <c r="AB1095" i="13"/>
  <c r="Y1095" i="13"/>
  <c r="AA1015" i="13"/>
  <c r="W1015" i="13"/>
  <c r="AC991" i="13"/>
  <c r="Y991" i="13"/>
  <c r="AC919" i="13"/>
  <c r="W919" i="13"/>
  <c r="AA911" i="13"/>
  <c r="W911" i="13"/>
  <c r="W903" i="13"/>
  <c r="AC903" i="13"/>
  <c r="AC887" i="13"/>
  <c r="Z887" i="13"/>
  <c r="AB871" i="13"/>
  <c r="X871" i="13"/>
  <c r="Y735" i="13"/>
  <c r="X735" i="13"/>
  <c r="Z703" i="13"/>
  <c r="Y703" i="13"/>
  <c r="D253" i="12"/>
  <c r="D289" i="12"/>
  <c r="Y810" i="13"/>
  <c r="X810" i="13"/>
  <c r="Y578" i="13"/>
  <c r="X578" i="13"/>
  <c r="W129" i="13"/>
  <c r="Y129" i="13"/>
  <c r="AT2282" i="3"/>
  <c r="BA2282" i="3"/>
  <c r="AD730" i="13"/>
  <c r="AD441" i="13"/>
  <c r="AD842" i="13"/>
  <c r="AD145" i="13"/>
  <c r="AD554" i="13"/>
  <c r="AD473" i="13"/>
  <c r="AD850" i="13"/>
  <c r="AD706" i="13"/>
  <c r="AD1082" i="13"/>
  <c r="AD457" i="13"/>
  <c r="AD786" i="13"/>
  <c r="AD978" i="13"/>
  <c r="Z978" i="13"/>
  <c r="Z65" i="13"/>
  <c r="Y393" i="13"/>
  <c r="X826" i="13"/>
  <c r="Y353" i="13"/>
  <c r="Y289" i="13"/>
  <c r="W167" i="13"/>
  <c r="AA834" i="13"/>
  <c r="AB834" i="13"/>
  <c r="AC546" i="13"/>
  <c r="Z546" i="13"/>
  <c r="X401" i="13"/>
  <c r="Y401" i="13"/>
  <c r="W193" i="13"/>
  <c r="AC193" i="13"/>
  <c r="AA105" i="13"/>
  <c r="X105" i="13"/>
  <c r="AZ2706" i="3"/>
  <c r="AW2706" i="3"/>
  <c r="AD1050" i="13"/>
  <c r="AD866" i="13"/>
  <c r="AD834" i="13"/>
  <c r="AD449" i="13"/>
  <c r="AD642" i="13"/>
  <c r="AD281" i="13"/>
  <c r="AD393" i="13"/>
  <c r="AD650" i="13"/>
  <c r="Z41" i="13"/>
  <c r="Y1098" i="13"/>
  <c r="Z1074" i="13"/>
  <c r="Y1010" i="13"/>
  <c r="Y65" i="13"/>
  <c r="W393" i="13"/>
  <c r="X1042" i="13"/>
  <c r="V1104" i="13"/>
  <c r="AC1104" i="13"/>
  <c r="V1096" i="13"/>
  <c r="AB1096" i="13"/>
  <c r="AA1088" i="13"/>
  <c r="AC1088" i="13"/>
  <c r="AB1088" i="13"/>
  <c r="V1072" i="13"/>
  <c r="AB1072" i="13"/>
  <c r="AA1072" i="13"/>
  <c r="AC1072" i="13"/>
  <c r="V1064" i="13"/>
  <c r="AA1064" i="13"/>
  <c r="AB1064" i="13"/>
  <c r="V1056" i="13"/>
  <c r="AA1056" i="13"/>
  <c r="AC1056" i="13"/>
  <c r="V1048" i="13"/>
  <c r="AA1048" i="13"/>
  <c r="AB1048" i="13"/>
  <c r="AC1048" i="13"/>
  <c r="V1040" i="13"/>
  <c r="AC1040" i="13"/>
  <c r="AB1040" i="13"/>
  <c r="V1032" i="13"/>
  <c r="AC1032" i="13"/>
  <c r="AA1032" i="13"/>
  <c r="AB1032" i="13"/>
  <c r="V1024" i="13"/>
  <c r="AC1024" i="13"/>
  <c r="AA1024" i="13"/>
  <c r="AB1024" i="13"/>
  <c r="AA1016" i="13"/>
  <c r="AB1016" i="13"/>
  <c r="AC1016" i="13"/>
  <c r="V1008" i="13"/>
  <c r="AE1008" i="13"/>
  <c r="AA1008" i="13"/>
  <c r="AB1008" i="13"/>
  <c r="AC1008" i="13"/>
  <c r="AA1000" i="13"/>
  <c r="AC1000" i="13"/>
  <c r="AB1000" i="13"/>
  <c r="AA992" i="13"/>
  <c r="AB992" i="13"/>
  <c r="AC992" i="13"/>
  <c r="V984" i="13"/>
  <c r="AA984" i="13"/>
  <c r="AB984" i="13"/>
  <c r="AC984" i="13"/>
  <c r="AA976" i="13"/>
  <c r="AB976" i="13"/>
  <c r="V968" i="13"/>
  <c r="AC968" i="13"/>
  <c r="AA968" i="13"/>
  <c r="AB968" i="13"/>
  <c r="V960" i="13"/>
  <c r="AC960" i="13"/>
  <c r="AA960" i="13"/>
  <c r="AB960" i="13"/>
  <c r="V952" i="13"/>
  <c r="AC952" i="13"/>
  <c r="AA952" i="13"/>
  <c r="AB952" i="13"/>
  <c r="V944" i="13"/>
  <c r="AA944" i="13"/>
  <c r="AB944" i="13"/>
  <c r="AC944" i="13"/>
  <c r="AB936" i="13"/>
  <c r="AC936" i="13"/>
  <c r="V928" i="13"/>
  <c r="AA928" i="13"/>
  <c r="X928" i="13"/>
  <c r="Y928" i="13"/>
  <c r="Z928" i="13"/>
  <c r="AB928" i="13"/>
  <c r="V920" i="13"/>
  <c r="AA920" i="13"/>
  <c r="AB920" i="13"/>
  <c r="W920" i="13"/>
  <c r="X920" i="13"/>
  <c r="Y920" i="13"/>
  <c r="AC920" i="13"/>
  <c r="Z920" i="13"/>
  <c r="AB912" i="13"/>
  <c r="AC912" i="13"/>
  <c r="AA912" i="13"/>
  <c r="V904" i="13"/>
  <c r="AB904" i="13"/>
  <c r="AC904" i="13"/>
  <c r="AA904" i="13"/>
  <c r="V896" i="13"/>
  <c r="AA896" i="13"/>
  <c r="AB896" i="13"/>
  <c r="AC896" i="13"/>
  <c r="Z896" i="13"/>
  <c r="X896" i="13"/>
  <c r="V888" i="13"/>
  <c r="AB888" i="13"/>
  <c r="AC888" i="13"/>
  <c r="V880" i="13"/>
  <c r="AC880" i="13"/>
  <c r="AB880" i="13"/>
  <c r="AA872" i="13"/>
  <c r="AB872" i="13"/>
  <c r="W872" i="13"/>
  <c r="X872" i="13"/>
  <c r="AC872" i="13"/>
  <c r="Z872" i="13"/>
  <c r="V864" i="13"/>
  <c r="AA864" i="13"/>
  <c r="AB864" i="13"/>
  <c r="AC864" i="13"/>
  <c r="W864" i="13"/>
  <c r="X864" i="13"/>
  <c r="Z864" i="13"/>
  <c r="V856" i="13"/>
  <c r="AA856" i="13"/>
  <c r="AB856" i="13"/>
  <c r="Z856" i="13"/>
  <c r="AC856" i="13"/>
  <c r="X856" i="13"/>
  <c r="V848" i="13"/>
  <c r="AB848" i="13"/>
  <c r="AA848" i="13"/>
  <c r="V840" i="13"/>
  <c r="AA840" i="13"/>
  <c r="AB840" i="13"/>
  <c r="AC840" i="13"/>
  <c r="AA832" i="13"/>
  <c r="AB832" i="13"/>
  <c r="AC832" i="13"/>
  <c r="V824" i="13"/>
  <c r="AB824" i="13"/>
  <c r="AC824" i="13"/>
  <c r="AA824" i="13"/>
  <c r="V816" i="13"/>
  <c r="AA816" i="13"/>
  <c r="AB816" i="13"/>
  <c r="AC816" i="13"/>
  <c r="V808" i="13"/>
  <c r="AA808" i="13"/>
  <c r="W808" i="13"/>
  <c r="AB808" i="13"/>
  <c r="Y808" i="13"/>
  <c r="AB800" i="13"/>
  <c r="AA800" i="13"/>
  <c r="AC800" i="13"/>
  <c r="AA792" i="13"/>
  <c r="X792" i="13"/>
  <c r="Y792" i="13"/>
  <c r="Z792" i="13"/>
  <c r="AC792" i="13"/>
  <c r="V784" i="13"/>
  <c r="AC784" i="13"/>
  <c r="X784" i="13"/>
  <c r="AA784" i="13"/>
  <c r="Y784" i="13"/>
  <c r="AB784" i="13"/>
  <c r="Z784" i="13"/>
  <c r="V776" i="13"/>
  <c r="AA776" i="13"/>
  <c r="AB776" i="13"/>
  <c r="AC776" i="13"/>
  <c r="AE776" i="13"/>
  <c r="V768" i="13"/>
  <c r="AA768" i="13"/>
  <c r="AB768" i="13"/>
  <c r="AE768" i="13"/>
  <c r="X768" i="13"/>
  <c r="V760" i="13"/>
  <c r="AA760" i="13"/>
  <c r="AB760" i="13"/>
  <c r="AE760" i="13"/>
  <c r="AC760" i="13"/>
  <c r="X760" i="13"/>
  <c r="V752" i="13"/>
  <c r="AA752" i="13"/>
  <c r="AB752" i="13"/>
  <c r="AC752" i="13"/>
  <c r="W752" i="13"/>
  <c r="V744" i="13"/>
  <c r="AB744" i="13"/>
  <c r="AC744" i="13"/>
  <c r="Y744" i="13"/>
  <c r="V736" i="13"/>
  <c r="AB736" i="13"/>
  <c r="X736" i="13"/>
  <c r="Y736" i="13"/>
  <c r="AA736" i="13"/>
  <c r="AA728" i="13"/>
  <c r="X728" i="13"/>
  <c r="AC728" i="13"/>
  <c r="AC720" i="13"/>
  <c r="AA720" i="13"/>
  <c r="AB720" i="13"/>
  <c r="Y720" i="13"/>
  <c r="Z720" i="13"/>
  <c r="W720" i="13"/>
  <c r="V712" i="13"/>
  <c r="AA712" i="13"/>
  <c r="AC712" i="13"/>
  <c r="W712" i="13"/>
  <c r="X712" i="13"/>
  <c r="Z712" i="13"/>
  <c r="AE712" i="13"/>
  <c r="V704" i="13"/>
  <c r="AA704" i="13"/>
  <c r="AB704" i="13"/>
  <c r="AC704" i="13"/>
  <c r="AE704" i="13"/>
  <c r="AA696" i="13"/>
  <c r="Z696" i="13"/>
  <c r="AB696" i="13"/>
  <c r="X696" i="13"/>
  <c r="AB688" i="13"/>
  <c r="AC688" i="13"/>
  <c r="AA688" i="13"/>
  <c r="W688" i="13"/>
  <c r="Y688" i="13"/>
  <c r="V680" i="13"/>
  <c r="AE680" i="13"/>
  <c r="AA680" i="13"/>
  <c r="AB680" i="13"/>
  <c r="AC680" i="13"/>
  <c r="W680" i="13"/>
  <c r="X680" i="13"/>
  <c r="Z680" i="13"/>
  <c r="AA672" i="13"/>
  <c r="AC672" i="13"/>
  <c r="Y672" i="13"/>
  <c r="Z672" i="13"/>
  <c r="V664" i="13"/>
  <c r="AC664" i="13"/>
  <c r="AE664" i="13"/>
  <c r="AA664" i="13"/>
  <c r="AA656" i="13"/>
  <c r="AB656" i="13"/>
  <c r="AC656" i="13"/>
  <c r="W656" i="13"/>
  <c r="X656" i="13"/>
  <c r="Y656" i="13"/>
  <c r="V648" i="13"/>
  <c r="AA648" i="13"/>
  <c r="AB648" i="13"/>
  <c r="AC648" i="13"/>
  <c r="W648" i="13"/>
  <c r="X648" i="13"/>
  <c r="Y648" i="13"/>
  <c r="Z648" i="13"/>
  <c r="V640" i="13"/>
  <c r="AC640" i="13"/>
  <c r="AB640" i="13"/>
  <c r="Z640" i="13"/>
  <c r="X640" i="13"/>
  <c r="AC632" i="13"/>
  <c r="AA632" i="13"/>
  <c r="W632" i="13"/>
  <c r="X632" i="13"/>
  <c r="Y632" i="13"/>
  <c r="AB632" i="13"/>
  <c r="Z632" i="13"/>
  <c r="V624" i="13"/>
  <c r="AB624" i="13"/>
  <c r="X624" i="13"/>
  <c r="Y624" i="13"/>
  <c r="Z624" i="13"/>
  <c r="AA624" i="13"/>
  <c r="AC624" i="13"/>
  <c r="V616" i="13"/>
  <c r="AC616" i="13"/>
  <c r="AB616" i="13"/>
  <c r="X616" i="13"/>
  <c r="Y616" i="13"/>
  <c r="V608" i="13"/>
  <c r="AB608" i="13"/>
  <c r="AC608" i="13"/>
  <c r="W608" i="13"/>
  <c r="X608" i="13"/>
  <c r="Y608" i="13"/>
  <c r="Z608" i="13"/>
  <c r="AA600" i="13"/>
  <c r="AB600" i="13"/>
  <c r="AC600" i="13"/>
  <c r="W600" i="13"/>
  <c r="X600" i="13"/>
  <c r="Z600" i="13"/>
  <c r="V592" i="13"/>
  <c r="AE592" i="13"/>
  <c r="AB592" i="13"/>
  <c r="W592" i="13"/>
  <c r="X592" i="13"/>
  <c r="Y592" i="13"/>
  <c r="AC592" i="13"/>
  <c r="AB584" i="13"/>
  <c r="AC584" i="13"/>
  <c r="AE584" i="13"/>
  <c r="Z584" i="13"/>
  <c r="AA584" i="13"/>
  <c r="X584" i="13"/>
  <c r="V576" i="13"/>
  <c r="AA576" i="13"/>
  <c r="AC576" i="13"/>
  <c r="X576" i="13"/>
  <c r="Y576" i="13"/>
  <c r="Z576" i="13"/>
  <c r="V568" i="13"/>
  <c r="AC568" i="13"/>
  <c r="AE568" i="13"/>
  <c r="AA568" i="13"/>
  <c r="AB568" i="13"/>
  <c r="V560" i="13"/>
  <c r="AC560" i="13"/>
  <c r="W560" i="13"/>
  <c r="X560" i="13"/>
  <c r="Y560" i="13"/>
  <c r="Z560" i="13"/>
  <c r="AD560" i="13"/>
  <c r="AA560" i="13"/>
  <c r="AB552" i="13"/>
  <c r="AA552" i="13"/>
  <c r="Y552" i="13"/>
  <c r="AC552" i="13"/>
  <c r="Z552" i="13"/>
  <c r="W552" i="13"/>
  <c r="V544" i="13"/>
  <c r="AC544" i="13"/>
  <c r="AE544" i="13"/>
  <c r="AA544" i="13"/>
  <c r="Y544" i="13"/>
  <c r="Z544" i="13"/>
  <c r="AB544" i="13"/>
  <c r="W544" i="13"/>
  <c r="V536" i="13"/>
  <c r="AE536" i="13"/>
  <c r="AC536" i="13"/>
  <c r="AB536" i="13"/>
  <c r="V528" i="13"/>
  <c r="AA528" i="13"/>
  <c r="AB528" i="13"/>
  <c r="AC528" i="13"/>
  <c r="AE528" i="13"/>
  <c r="W528" i="13"/>
  <c r="X528" i="13"/>
  <c r="Y528" i="13"/>
  <c r="Z528" i="13"/>
  <c r="V520" i="13"/>
  <c r="AC520" i="13"/>
  <c r="AE520" i="13"/>
  <c r="AA520" i="13"/>
  <c r="W520" i="13"/>
  <c r="Y520" i="13"/>
  <c r="V512" i="13"/>
  <c r="AB512" i="13"/>
  <c r="W512" i="13"/>
  <c r="AA512" i="13"/>
  <c r="Y512" i="13"/>
  <c r="V504" i="13"/>
  <c r="AA504" i="13"/>
  <c r="AB504" i="13"/>
  <c r="AC504" i="13"/>
  <c r="X504" i="13"/>
  <c r="AE504" i="13"/>
  <c r="Y504" i="13"/>
  <c r="Z504" i="13"/>
  <c r="V496" i="13"/>
  <c r="AA496" i="13"/>
  <c r="AB496" i="13"/>
  <c r="AC496" i="13"/>
  <c r="X496" i="13"/>
  <c r="Y496" i="13"/>
  <c r="Z496" i="13"/>
  <c r="V488" i="13"/>
  <c r="AE488" i="13"/>
  <c r="AB488" i="13"/>
  <c r="AC488" i="13"/>
  <c r="W488" i="13"/>
  <c r="X488" i="13"/>
  <c r="AA488" i="13"/>
  <c r="Y488" i="13"/>
  <c r="Z488" i="13"/>
  <c r="AC480" i="13"/>
  <c r="AA480" i="13"/>
  <c r="Y480" i="13"/>
  <c r="AE480" i="13"/>
  <c r="AB480" i="13"/>
  <c r="Z480" i="13"/>
  <c r="W480" i="13"/>
  <c r="V471" i="13"/>
  <c r="AA471" i="13"/>
  <c r="AB471" i="13"/>
  <c r="AC471" i="13"/>
  <c r="W471" i="13"/>
  <c r="X471" i="13"/>
  <c r="Y471" i="13"/>
  <c r="AB463" i="13"/>
  <c r="AC463" i="13"/>
  <c r="Z463" i="13"/>
  <c r="AA463" i="13"/>
  <c r="X463" i="13"/>
  <c r="V455" i="13"/>
  <c r="AE455" i="13"/>
  <c r="AC455" i="13"/>
  <c r="AA455" i="13"/>
  <c r="W455" i="13"/>
  <c r="X455" i="13"/>
  <c r="AB455" i="13"/>
  <c r="Y455" i="13"/>
  <c r="Z455" i="13"/>
  <c r="V447" i="13"/>
  <c r="AB447" i="13"/>
  <c r="AC447" i="13"/>
  <c r="AE447" i="13"/>
  <c r="W447" i="13"/>
  <c r="X447" i="13"/>
  <c r="AA447" i="13"/>
  <c r="Z447" i="13"/>
  <c r="AC439" i="13"/>
  <c r="W439" i="13"/>
  <c r="AB439" i="13"/>
  <c r="Y439" i="13"/>
  <c r="AA431" i="13"/>
  <c r="AB431" i="13"/>
  <c r="AC431" i="13"/>
  <c r="W431" i="13"/>
  <c r="X431" i="13"/>
  <c r="Y431" i="13"/>
  <c r="AB423" i="13"/>
  <c r="AC423" i="13"/>
  <c r="AA423" i="13"/>
  <c r="W423" i="13"/>
  <c r="Y423" i="13"/>
  <c r="V415" i="13"/>
  <c r="AB415" i="13"/>
  <c r="AC415" i="13"/>
  <c r="Y415" i="13"/>
  <c r="AE415" i="13"/>
  <c r="Z415" i="13"/>
  <c r="AA415" i="13"/>
  <c r="W415" i="13"/>
  <c r="V407" i="13"/>
  <c r="AB407" i="13"/>
  <c r="AC407" i="13"/>
  <c r="AE407" i="13"/>
  <c r="X407" i="13"/>
  <c r="Y407" i="13"/>
  <c r="Z407" i="13"/>
  <c r="AA407" i="13"/>
  <c r="AA399" i="13"/>
  <c r="AB399" i="13"/>
  <c r="AC399" i="13"/>
  <c r="W399" i="13"/>
  <c r="X399" i="13"/>
  <c r="Y399" i="13"/>
  <c r="AB391" i="13"/>
  <c r="AC391" i="13"/>
  <c r="AA391" i="13"/>
  <c r="V383" i="13"/>
  <c r="AE383" i="13"/>
  <c r="AB383" i="13"/>
  <c r="AC383" i="13"/>
  <c r="W383" i="13"/>
  <c r="X383" i="13"/>
  <c r="Y383" i="13"/>
  <c r="Z383" i="13"/>
  <c r="AC375" i="13"/>
  <c r="AA375" i="13"/>
  <c r="Z375" i="13"/>
  <c r="AB375" i="13"/>
  <c r="X375" i="13"/>
  <c r="V367" i="13"/>
  <c r="AB367" i="13"/>
  <c r="AC367" i="13"/>
  <c r="W367" i="13"/>
  <c r="X367" i="13"/>
  <c r="Y367" i="13"/>
  <c r="Z367" i="13"/>
  <c r="AA367" i="13"/>
  <c r="V359" i="13"/>
  <c r="AA359" i="13"/>
  <c r="X359" i="13"/>
  <c r="Y359" i="13"/>
  <c r="Z359" i="13"/>
  <c r="AB359" i="13"/>
  <c r="AC359" i="13"/>
  <c r="V351" i="13"/>
  <c r="AE351" i="13"/>
  <c r="AB351" i="13"/>
  <c r="W351" i="13"/>
  <c r="X351" i="13"/>
  <c r="Y351" i="13"/>
  <c r="Z351" i="13"/>
  <c r="AA351" i="13"/>
  <c r="AA343" i="13"/>
  <c r="AB343" i="13"/>
  <c r="Z343" i="13"/>
  <c r="AC343" i="13"/>
  <c r="X343" i="13"/>
  <c r="V335" i="13"/>
  <c r="AC335" i="13"/>
  <c r="AA335" i="13"/>
  <c r="AB335" i="13"/>
  <c r="W335" i="13"/>
  <c r="Y335" i="13"/>
  <c r="AC327" i="13"/>
  <c r="AA327" i="13"/>
  <c r="AB327" i="13"/>
  <c r="W327" i="13"/>
  <c r="X327" i="13"/>
  <c r="Y327" i="13"/>
  <c r="V319" i="13"/>
  <c r="W319" i="13"/>
  <c r="AA319" i="13"/>
  <c r="AB319" i="13"/>
  <c r="X319" i="13"/>
  <c r="AC319" i="13"/>
  <c r="Y319" i="13"/>
  <c r="Z319" i="13"/>
  <c r="AC311" i="13"/>
  <c r="AA311" i="13"/>
  <c r="W311" i="13"/>
  <c r="X311" i="13"/>
  <c r="Y311" i="13"/>
  <c r="AB311" i="13"/>
  <c r="Z311" i="13"/>
  <c r="V303" i="13"/>
  <c r="AE303" i="13"/>
  <c r="AA303" i="13"/>
  <c r="AB303" i="13"/>
  <c r="W303" i="13"/>
  <c r="X303" i="13"/>
  <c r="Z303" i="13"/>
  <c r="AA295" i="13"/>
  <c r="AB295" i="13"/>
  <c r="AC295" i="13"/>
  <c r="W295" i="13"/>
  <c r="Y295" i="13"/>
  <c r="V287" i="13"/>
  <c r="AC287" i="13"/>
  <c r="AA287" i="13"/>
  <c r="AE287" i="13"/>
  <c r="W287" i="13"/>
  <c r="X287" i="13"/>
  <c r="Y287" i="13"/>
  <c r="AB287" i="13"/>
  <c r="AB279" i="13"/>
  <c r="AC279" i="13"/>
  <c r="AA279" i="13"/>
  <c r="W279" i="13"/>
  <c r="X279" i="13"/>
  <c r="Z279" i="13"/>
  <c r="V271" i="13"/>
  <c r="AA271" i="13"/>
  <c r="AB271" i="13"/>
  <c r="X271" i="13"/>
  <c r="AC271" i="13"/>
  <c r="AE271" i="13"/>
  <c r="W271" i="13"/>
  <c r="Y271" i="13"/>
  <c r="AC263" i="13"/>
  <c r="AB263" i="13"/>
  <c r="Z263" i="13"/>
  <c r="X263" i="13"/>
  <c r="AA255" i="13"/>
  <c r="X255" i="13"/>
  <c r="AB255" i="13"/>
  <c r="Z255" i="13"/>
  <c r="AC255" i="13"/>
  <c r="W255" i="13"/>
  <c r="V247" i="13"/>
  <c r="AA247" i="13"/>
  <c r="AB247" i="13"/>
  <c r="AE247" i="13"/>
  <c r="AC247" i="13"/>
  <c r="X247" i="13"/>
  <c r="W247" i="13"/>
  <c r="Y247" i="13"/>
  <c r="Z247" i="13"/>
  <c r="V239" i="13"/>
  <c r="AE239" i="13"/>
  <c r="AC239" i="13"/>
  <c r="Y239" i="13"/>
  <c r="W239" i="13"/>
  <c r="X239" i="13"/>
  <c r="Z239" i="13"/>
  <c r="AA239" i="13"/>
  <c r="AB239" i="13"/>
  <c r="V231" i="13"/>
  <c r="AE231" i="13"/>
  <c r="AA231" i="13"/>
  <c r="AB231" i="13"/>
  <c r="AC231" i="13"/>
  <c r="Y231" i="13"/>
  <c r="W231" i="13"/>
  <c r="X231" i="13"/>
  <c r="Z231" i="13"/>
  <c r="V223" i="13"/>
  <c r="AC223" i="13"/>
  <c r="Y223" i="13"/>
  <c r="AE223" i="13"/>
  <c r="AA223" i="13"/>
  <c r="Z223" i="13"/>
  <c r="AB223" i="13"/>
  <c r="W223" i="13"/>
  <c r="V215" i="13"/>
  <c r="AB215" i="13"/>
  <c r="AC215" i="13"/>
  <c r="X215" i="13"/>
  <c r="AE215" i="13"/>
  <c r="W215" i="13"/>
  <c r="Z215" i="13"/>
  <c r="V207" i="13"/>
  <c r="AE207" i="13"/>
  <c r="AB207" i="13"/>
  <c r="AC207" i="13"/>
  <c r="AA207" i="13"/>
  <c r="AB199" i="13"/>
  <c r="AC199" i="13"/>
  <c r="V191" i="13"/>
  <c r="AA191" i="13"/>
  <c r="AC191" i="13"/>
  <c r="AE191" i="13"/>
  <c r="V183" i="13"/>
  <c r="AE183" i="13"/>
  <c r="AA183" i="13"/>
  <c r="X183" i="13"/>
  <c r="Z183" i="13"/>
  <c r="AB183" i="13"/>
  <c r="W183" i="13"/>
  <c r="AA175" i="13"/>
  <c r="AB175" i="13"/>
  <c r="W175" i="13"/>
  <c r="X175" i="13"/>
  <c r="Y175" i="13"/>
  <c r="Z175" i="13"/>
  <c r="AC167" i="13"/>
  <c r="Y167" i="13"/>
  <c r="AB167" i="13"/>
  <c r="X167" i="13"/>
  <c r="V159" i="13"/>
  <c r="W159" i="13"/>
  <c r="AA159" i="13"/>
  <c r="AB159" i="13"/>
  <c r="AC159" i="13"/>
  <c r="Y159" i="13"/>
  <c r="V151" i="13"/>
  <c r="AE151" i="13"/>
  <c r="AB151" i="13"/>
  <c r="X151" i="13"/>
  <c r="W151" i="13"/>
  <c r="Y151" i="13"/>
  <c r="AA151" i="13"/>
  <c r="Z151" i="13"/>
  <c r="AC151" i="13"/>
  <c r="V143" i="13"/>
  <c r="AB143" i="13"/>
  <c r="AE143" i="13"/>
  <c r="AC143" i="13"/>
  <c r="X143" i="13"/>
  <c r="AA143" i="13"/>
  <c r="W143" i="13"/>
  <c r="Y143" i="13"/>
  <c r="AA135" i="13"/>
  <c r="AB135" i="13"/>
  <c r="X135" i="13"/>
  <c r="AC135" i="13"/>
  <c r="Y135" i="13"/>
  <c r="Z135" i="13"/>
  <c r="V127" i="13"/>
  <c r="AB127" i="13"/>
  <c r="AC127" i="13"/>
  <c r="Z127" i="13"/>
  <c r="AE127" i="13"/>
  <c r="AA127" i="13"/>
  <c r="W127" i="13"/>
  <c r="X127" i="13"/>
  <c r="AA119" i="13"/>
  <c r="AB119" i="13"/>
  <c r="AC119" i="13"/>
  <c r="W119" i="13"/>
  <c r="Y119" i="13"/>
  <c r="Z119" i="13"/>
  <c r="AC111" i="13"/>
  <c r="X111" i="13"/>
  <c r="AB111" i="13"/>
  <c r="W111" i="13"/>
  <c r="Z111" i="13"/>
  <c r="V103" i="13"/>
  <c r="AE103" i="13"/>
  <c r="AB103" i="13"/>
  <c r="Z103" i="13"/>
  <c r="AC103" i="13"/>
  <c r="X103" i="13"/>
  <c r="AC95" i="13"/>
  <c r="AA95" i="13"/>
  <c r="W95" i="13"/>
  <c r="AB95" i="13"/>
  <c r="X95" i="13"/>
  <c r="Y95" i="13"/>
  <c r="Z95" i="13"/>
  <c r="AC87" i="13"/>
  <c r="W87" i="13"/>
  <c r="AB87" i="13"/>
  <c r="X87" i="13"/>
  <c r="Y87" i="13"/>
  <c r="V79" i="13"/>
  <c r="Y79" i="13"/>
  <c r="AC79" i="13"/>
  <c r="X79" i="13"/>
  <c r="Z79" i="13"/>
  <c r="AE79" i="13"/>
  <c r="AA79" i="13"/>
  <c r="AB79" i="13"/>
  <c r="V71" i="13"/>
  <c r="Y71" i="13"/>
  <c r="AA71" i="13"/>
  <c r="W71" i="13"/>
  <c r="AE71" i="13"/>
  <c r="X71" i="13"/>
  <c r="Z71" i="13"/>
  <c r="AB71" i="13"/>
  <c r="AC71" i="13"/>
  <c r="V63" i="13"/>
  <c r="AC63" i="13"/>
  <c r="AE63" i="13"/>
  <c r="AA63" i="13"/>
  <c r="Z63" i="13"/>
  <c r="AB63" i="13"/>
  <c r="X63" i="13"/>
  <c r="AC55" i="13"/>
  <c r="AA55" i="13"/>
  <c r="X55" i="13"/>
  <c r="W55" i="13"/>
  <c r="Y55" i="13"/>
  <c r="Z55" i="13"/>
  <c r="AB55" i="13"/>
  <c r="V47" i="13"/>
  <c r="AE47" i="13"/>
  <c r="AB47" i="13"/>
  <c r="AC47" i="13"/>
  <c r="X47" i="13"/>
  <c r="Y47" i="13"/>
  <c r="AA47" i="13"/>
  <c r="Z47" i="13"/>
  <c r="AA39" i="13"/>
  <c r="AC39" i="13"/>
  <c r="V31" i="13"/>
  <c r="AA31" i="13"/>
  <c r="AB31" i="13"/>
  <c r="AC31" i="13"/>
  <c r="Z31" i="13"/>
  <c r="AE31" i="13"/>
  <c r="W31" i="13"/>
  <c r="X31" i="13"/>
  <c r="AA23" i="13"/>
  <c r="AB23" i="13"/>
  <c r="W23" i="13"/>
  <c r="X23" i="13"/>
  <c r="Y23" i="13"/>
  <c r="AC23" i="13"/>
  <c r="Z23" i="13"/>
  <c r="AE15" i="13"/>
  <c r="X15" i="13"/>
  <c r="AA15" i="13"/>
  <c r="AC15" i="13"/>
  <c r="W15" i="13"/>
  <c r="Z15" i="13"/>
  <c r="AW2776" i="3"/>
  <c r="AZ2776" i="3"/>
  <c r="BA2776" i="3"/>
  <c r="AR2776" i="3"/>
  <c r="AT2768" i="3"/>
  <c r="AW2768" i="3"/>
  <c r="AR2768" i="3"/>
  <c r="AS2760" i="3"/>
  <c r="AW2760" i="3"/>
  <c r="AY2760" i="3"/>
  <c r="AS2752" i="3"/>
  <c r="AT2752" i="3"/>
  <c r="AU2752" i="3"/>
  <c r="AX2744" i="3"/>
  <c r="AT2744" i="3"/>
  <c r="AZ2744" i="3"/>
  <c r="AR2736" i="3"/>
  <c r="AW2736" i="3"/>
  <c r="AT2736" i="3"/>
  <c r="AS2728" i="3"/>
  <c r="BA2728" i="3"/>
  <c r="AR2728" i="3"/>
  <c r="AV2720" i="3"/>
  <c r="AW2720" i="3"/>
  <c r="AY2720" i="3"/>
  <c r="AS2712" i="3"/>
  <c r="AZ2712" i="3"/>
  <c r="AT2704" i="3"/>
  <c r="AR2704" i="3"/>
  <c r="AU2704" i="3"/>
  <c r="AS2696" i="3"/>
  <c r="AV2696" i="3"/>
  <c r="AZ2696" i="3"/>
  <c r="AT2688" i="3"/>
  <c r="AS2688" i="3"/>
  <c r="AZ2680" i="3"/>
  <c r="AT2680" i="3"/>
  <c r="AY2680" i="3"/>
  <c r="AU2672" i="3"/>
  <c r="AR2672" i="3"/>
  <c r="BA2672" i="3"/>
  <c r="AW2664" i="3"/>
  <c r="AX2664" i="3"/>
  <c r="AZ2656" i="3"/>
  <c r="BA2656" i="3"/>
  <c r="AT2648" i="3"/>
  <c r="AS2648" i="3"/>
  <c r="AZ2632" i="3"/>
  <c r="BA2632" i="3"/>
  <c r="AR2624" i="3"/>
  <c r="AW2624" i="3"/>
  <c r="AT2624" i="3"/>
  <c r="AU2616" i="3"/>
  <c r="AV2616" i="3"/>
  <c r="AY2616" i="3"/>
  <c r="AW2584" i="3"/>
  <c r="AY2584" i="3"/>
  <c r="BA2576" i="3"/>
  <c r="AS2576" i="3"/>
  <c r="AR2512" i="3"/>
  <c r="AZ2512" i="3"/>
  <c r="AZ2432" i="3"/>
  <c r="AX2432" i="3"/>
  <c r="AS2416" i="3"/>
  <c r="AZ2416" i="3"/>
  <c r="Y506" i="13"/>
  <c r="X506" i="13"/>
  <c r="AD209" i="13"/>
  <c r="AD321" i="13"/>
  <c r="AD289" i="13"/>
  <c r="AD337" i="13"/>
  <c r="AD610" i="13"/>
  <c r="AD249" i="13"/>
  <c r="AD433" i="13"/>
  <c r="AD225" i="13"/>
  <c r="AD546" i="13"/>
  <c r="AD770" i="13"/>
  <c r="AD522" i="13"/>
  <c r="AD746" i="13"/>
  <c r="AD914" i="13"/>
  <c r="Y41" i="13"/>
  <c r="X65" i="13"/>
  <c r="W834" i="13"/>
  <c r="Z760" i="13"/>
  <c r="X752" i="13"/>
  <c r="X744" i="13"/>
  <c r="Z736" i="13"/>
  <c r="W928" i="13"/>
  <c r="X808" i="13"/>
  <c r="W792" i="13"/>
  <c r="X520" i="13"/>
  <c r="Z471" i="13"/>
  <c r="W696" i="13"/>
  <c r="X423" i="13"/>
  <c r="Z399" i="13"/>
  <c r="Y255" i="13"/>
  <c r="AC848" i="13"/>
  <c r="AC768" i="13"/>
  <c r="AB576" i="13"/>
  <c r="AB792" i="13"/>
  <c r="AA111" i="13"/>
  <c r="Z946" i="13"/>
  <c r="AB946" i="13"/>
  <c r="AE658" i="13"/>
  <c r="W658" i="13"/>
  <c r="AB369" i="13"/>
  <c r="AC369" i="13"/>
  <c r="AR2722" i="3"/>
  <c r="AW2722" i="3"/>
  <c r="AT2714" i="3"/>
  <c r="AU2714" i="3"/>
  <c r="AD1018" i="13"/>
  <c r="AD922" i="13"/>
  <c r="AD369" i="13"/>
  <c r="AD666" i="13"/>
  <c r="AD201" i="13"/>
  <c r="AD385" i="13"/>
  <c r="AD794" i="13"/>
  <c r="AD129" i="13"/>
  <c r="AD377" i="13"/>
  <c r="AD986" i="13"/>
  <c r="X41" i="13"/>
  <c r="Y1082" i="13"/>
  <c r="Z994" i="13"/>
  <c r="Y249" i="13"/>
  <c r="W874" i="13"/>
  <c r="Y906" i="13"/>
  <c r="Y946" i="13"/>
  <c r="Y896" i="13"/>
  <c r="Y600" i="13"/>
  <c r="Y584" i="13"/>
  <c r="W576" i="13"/>
  <c r="W570" i="13"/>
  <c r="Z746" i="13"/>
  <c r="X720" i="13"/>
  <c r="Z439" i="13"/>
  <c r="X552" i="13"/>
  <c r="Y463" i="13"/>
  <c r="W496" i="13"/>
  <c r="Y279" i="13"/>
  <c r="X223" i="13"/>
  <c r="Y215" i="13"/>
  <c r="Z143" i="13"/>
  <c r="W79" i="13"/>
  <c r="X33" i="13"/>
  <c r="AA640" i="13"/>
  <c r="AA215" i="13"/>
  <c r="AA87" i="13"/>
  <c r="AU2736" i="3"/>
  <c r="AB722" i="13"/>
  <c r="W722" i="13"/>
  <c r="Y674" i="13"/>
  <c r="X674" i="13"/>
  <c r="Z297" i="13"/>
  <c r="W297" i="13"/>
  <c r="X177" i="13"/>
  <c r="Z177" i="13"/>
  <c r="W153" i="13"/>
  <c r="Y153" i="13"/>
  <c r="X121" i="13"/>
  <c r="Y121" i="13"/>
  <c r="Y25" i="13"/>
  <c r="X25" i="13"/>
  <c r="AR9" i="3"/>
  <c r="BA9" i="3"/>
  <c r="AS9" i="3"/>
  <c r="AD233" i="13"/>
  <c r="AD17" i="13"/>
  <c r="AD241" i="13"/>
  <c r="AD265" i="13"/>
  <c r="AD538" i="13"/>
  <c r="AD169" i="13"/>
  <c r="W41" i="13"/>
  <c r="Y1018" i="13"/>
  <c r="Z361" i="13"/>
  <c r="W249" i="13"/>
  <c r="Y778" i="13"/>
  <c r="Y768" i="13"/>
  <c r="W760" i="13"/>
  <c r="Z944" i="13"/>
  <c r="Y712" i="13"/>
  <c r="W896" i="13"/>
  <c r="W584" i="13"/>
  <c r="Y864" i="13"/>
  <c r="X480" i="13"/>
  <c r="W714" i="13"/>
  <c r="X439" i="13"/>
  <c r="X415" i="13"/>
  <c r="Z335" i="13"/>
  <c r="W463" i="13"/>
  <c r="Y303" i="13"/>
  <c r="Y183" i="13"/>
  <c r="Z271" i="13"/>
  <c r="Z87" i="13"/>
  <c r="Y31" i="13"/>
  <c r="AB1056" i="13"/>
  <c r="AA199" i="13"/>
  <c r="AB191" i="13"/>
  <c r="AA744" i="13"/>
  <c r="AC736" i="13"/>
  <c r="AB728" i="13"/>
  <c r="AB672" i="13"/>
  <c r="AC808" i="13"/>
  <c r="AC512" i="13"/>
  <c r="AA439" i="13"/>
  <c r="AA263" i="13"/>
  <c r="AE864" i="13"/>
  <c r="AZ2464" i="3"/>
  <c r="W954" i="13"/>
  <c r="AA954" i="13"/>
  <c r="AB858" i="13"/>
  <c r="X858" i="13"/>
  <c r="Y113" i="13"/>
  <c r="X113" i="13"/>
  <c r="AA113" i="13"/>
  <c r="Z81" i="13"/>
  <c r="X81" i="13"/>
  <c r="AB65" i="13"/>
  <c r="AA65" i="13"/>
  <c r="AD105" i="13"/>
  <c r="AD193" i="13"/>
  <c r="AD409" i="13"/>
  <c r="AD906" i="13"/>
  <c r="AD65" i="13"/>
  <c r="AD826" i="13"/>
  <c r="AD938" i="13"/>
  <c r="AD658" i="13"/>
  <c r="AD305" i="13"/>
  <c r="AD994" i="13"/>
  <c r="AD297" i="13"/>
  <c r="AD682" i="13"/>
  <c r="X1050" i="13"/>
  <c r="X361" i="13"/>
  <c r="Z225" i="13"/>
  <c r="W624" i="13"/>
  <c r="Z431" i="13"/>
  <c r="Y343" i="13"/>
  <c r="X335" i="13"/>
  <c r="W47" i="13"/>
  <c r="W17" i="13"/>
  <c r="AA1104" i="13"/>
  <c r="AA536" i="13"/>
  <c r="AC696" i="13"/>
  <c r="AA383" i="13"/>
  <c r="AB81" i="13"/>
  <c r="AC175" i="13"/>
  <c r="AE608" i="13"/>
  <c r="AB762" i="13"/>
  <c r="AA762" i="13"/>
  <c r="Z626" i="13"/>
  <c r="Y626" i="13"/>
  <c r="X618" i="13"/>
  <c r="W618" i="13"/>
  <c r="Z602" i="13"/>
  <c r="Y602" i="13"/>
  <c r="AD530" i="13"/>
  <c r="AA530" i="13"/>
  <c r="W514" i="13"/>
  <c r="Y514" i="13"/>
  <c r="AE490" i="13"/>
  <c r="W490" i="13"/>
  <c r="X417" i="13"/>
  <c r="Z417" i="13"/>
  <c r="Y137" i="13"/>
  <c r="W137" i="13"/>
  <c r="X137" i="13"/>
  <c r="Z97" i="13"/>
  <c r="W97" i="13"/>
  <c r="AB73" i="13"/>
  <c r="X73" i="13"/>
  <c r="AC57" i="13"/>
  <c r="AB57" i="13"/>
  <c r="W57" i="13"/>
  <c r="AE33" i="13"/>
  <c r="W33" i="13"/>
  <c r="AW2762" i="3"/>
  <c r="AV2762" i="3"/>
  <c r="AD257" i="13"/>
  <c r="AD97" i="13"/>
  <c r="AD810" i="13"/>
  <c r="AD465" i="13"/>
  <c r="AD498" i="13"/>
  <c r="AD217" i="13"/>
  <c r="AD41" i="13"/>
  <c r="AD882" i="13"/>
  <c r="AD562" i="13"/>
  <c r="AD634" i="13"/>
  <c r="AD754" i="13"/>
  <c r="AD690" i="13"/>
  <c r="AD586" i="13"/>
  <c r="AD1090" i="13"/>
  <c r="AD1098" i="13"/>
  <c r="AD401" i="13"/>
  <c r="AD874" i="13"/>
  <c r="AD482" i="13"/>
  <c r="AD698" i="13"/>
  <c r="Y1090" i="13"/>
  <c r="W361" i="13"/>
  <c r="W914" i="13"/>
  <c r="Y201" i="13"/>
  <c r="Y650" i="13"/>
  <c r="Z776" i="13"/>
  <c r="Z952" i="13"/>
  <c r="Z936" i="13"/>
  <c r="X944" i="13"/>
  <c r="Y728" i="13"/>
  <c r="Y704" i="13"/>
  <c r="Y640" i="13"/>
  <c r="W890" i="13"/>
  <c r="Y856" i="13"/>
  <c r="Z512" i="13"/>
  <c r="X449" i="13"/>
  <c r="Y375" i="13"/>
  <c r="W359" i="13"/>
  <c r="W343" i="13"/>
  <c r="Y263" i="13"/>
  <c r="Y103" i="13"/>
  <c r="W135" i="13"/>
  <c r="Y63" i="13"/>
  <c r="Y111" i="13"/>
  <c r="Y15" i="13"/>
  <c r="AC928" i="13"/>
  <c r="AE560" i="13"/>
  <c r="AE159" i="13"/>
  <c r="AR2760" i="3"/>
  <c r="BA2744" i="3"/>
  <c r="AE984" i="13"/>
  <c r="AB1104" i="13"/>
  <c r="AC1096" i="13"/>
  <c r="AC1080" i="13"/>
  <c r="AE848" i="13"/>
  <c r="AE880" i="13"/>
  <c r="AA1096" i="13"/>
  <c r="AA1080" i="13"/>
  <c r="AD1074" i="13"/>
  <c r="AD946" i="13"/>
  <c r="AD930" i="13"/>
  <c r="X1098" i="13"/>
  <c r="X1090" i="13"/>
  <c r="X1082" i="13"/>
  <c r="Y1074" i="13"/>
  <c r="W1050" i="13"/>
  <c r="X1026" i="13"/>
  <c r="X1018" i="13"/>
  <c r="X1010" i="13"/>
  <c r="Y1002" i="13"/>
  <c r="Y361" i="13"/>
  <c r="Y994" i="13"/>
  <c r="Y978" i="13"/>
  <c r="X201" i="13"/>
  <c r="X393" i="13"/>
  <c r="X650" i="13"/>
  <c r="X249" i="13"/>
  <c r="W1042" i="13"/>
  <c r="X906" i="13"/>
  <c r="W826" i="13"/>
  <c r="Y970" i="13"/>
  <c r="X786" i="13"/>
  <c r="X778" i="13"/>
  <c r="X754" i="13"/>
  <c r="X946" i="13"/>
  <c r="Z738" i="13"/>
  <c r="W674" i="13"/>
  <c r="X626" i="13"/>
  <c r="X602" i="13"/>
  <c r="W810" i="13"/>
  <c r="W578" i="13"/>
  <c r="W858" i="13"/>
  <c r="Y546" i="13"/>
  <c r="Z538" i="13"/>
  <c r="Z530" i="13"/>
  <c r="Z762" i="13"/>
  <c r="X514" i="13"/>
  <c r="W506" i="13"/>
  <c r="Z498" i="13"/>
  <c r="Y746" i="13"/>
  <c r="Z473" i="13"/>
  <c r="Y417" i="13"/>
  <c r="Z409" i="13"/>
  <c r="W457" i="13"/>
  <c r="W449" i="13"/>
  <c r="W401" i="13"/>
  <c r="X281" i="13"/>
  <c r="X241" i="13"/>
  <c r="W177" i="13"/>
  <c r="X273" i="13"/>
  <c r="X265" i="13"/>
  <c r="X153" i="13"/>
  <c r="AB361" i="13"/>
  <c r="AB882" i="13"/>
  <c r="AC433" i="13"/>
  <c r="AA401" i="13"/>
  <c r="AC385" i="13"/>
  <c r="AE840" i="13"/>
  <c r="AE265" i="13"/>
  <c r="W1098" i="13"/>
  <c r="W1090" i="13"/>
  <c r="W1082" i="13"/>
  <c r="X1074" i="13"/>
  <c r="Z1034" i="13"/>
  <c r="W1026" i="13"/>
  <c r="W1018" i="13"/>
  <c r="W1010" i="13"/>
  <c r="X1002" i="13"/>
  <c r="X994" i="13"/>
  <c r="X978" i="13"/>
  <c r="Z938" i="13"/>
  <c r="W650" i="13"/>
  <c r="Z986" i="13"/>
  <c r="W906" i="13"/>
  <c r="X970" i="13"/>
  <c r="W786" i="13"/>
  <c r="W778" i="13"/>
  <c r="W754" i="13"/>
  <c r="W946" i="13"/>
  <c r="Y738" i="13"/>
  <c r="Z730" i="13"/>
  <c r="Z930" i="13"/>
  <c r="Z666" i="13"/>
  <c r="Z642" i="13"/>
  <c r="W626" i="13"/>
  <c r="W602" i="13"/>
  <c r="X546" i="13"/>
  <c r="Y538" i="13"/>
  <c r="Y530" i="13"/>
  <c r="Y762" i="13"/>
  <c r="Y498" i="13"/>
  <c r="W746" i="13"/>
  <c r="Y473" i="13"/>
  <c r="Y682" i="13"/>
  <c r="Z441" i="13"/>
  <c r="Z433" i="13"/>
  <c r="Z425" i="13"/>
  <c r="W417" i="13"/>
  <c r="Z313" i="13"/>
  <c r="W281" i="13"/>
  <c r="W241" i="13"/>
  <c r="Y321" i="13"/>
  <c r="W185" i="13"/>
  <c r="W305" i="13"/>
  <c r="W273" i="13"/>
  <c r="W265" i="13"/>
  <c r="Y145" i="13"/>
  <c r="AC986" i="13"/>
  <c r="AC618" i="13"/>
  <c r="AC313" i="13"/>
  <c r="AB233" i="13"/>
  <c r="AE169" i="13"/>
  <c r="W1074" i="13"/>
  <c r="Y1034" i="13"/>
  <c r="W1002" i="13"/>
  <c r="W994" i="13"/>
  <c r="W978" i="13"/>
  <c r="Y938" i="13"/>
  <c r="Y986" i="13"/>
  <c r="Z850" i="13"/>
  <c r="Z866" i="13"/>
  <c r="Z562" i="13"/>
  <c r="Z802" i="13"/>
  <c r="W970" i="13"/>
  <c r="X738" i="13"/>
  <c r="Y730" i="13"/>
  <c r="Z690" i="13"/>
  <c r="Y930" i="13"/>
  <c r="Y666" i="13"/>
  <c r="Y642" i="13"/>
  <c r="Z634" i="13"/>
  <c r="W546" i="13"/>
  <c r="X538" i="13"/>
  <c r="X530" i="13"/>
  <c r="X762" i="13"/>
  <c r="W498" i="13"/>
  <c r="Z482" i="13"/>
  <c r="X473" i="13"/>
  <c r="X682" i="13"/>
  <c r="Y441" i="13"/>
  <c r="Y433" i="13"/>
  <c r="Z193" i="13"/>
  <c r="X145" i="13"/>
  <c r="Y161" i="13"/>
  <c r="AC1002" i="13"/>
  <c r="AB818" i="13"/>
  <c r="AB393" i="13"/>
  <c r="AB1042" i="13"/>
  <c r="AB986" i="13"/>
  <c r="AB778" i="13"/>
  <c r="AB770" i="13"/>
  <c r="AC810" i="13"/>
  <c r="AB313" i="13"/>
  <c r="AC321" i="13"/>
  <c r="AA177" i="13"/>
  <c r="AC153" i="13"/>
  <c r="AE185" i="13"/>
  <c r="AD1034" i="13"/>
  <c r="AD674" i="13"/>
  <c r="Y1106" i="13"/>
  <c r="Z1066" i="13"/>
  <c r="X1034" i="13"/>
  <c r="Z818" i="13"/>
  <c r="X938" i="13"/>
  <c r="Y225" i="13"/>
  <c r="Z922" i="13"/>
  <c r="Z882" i="13"/>
  <c r="X986" i="13"/>
  <c r="Y850" i="13"/>
  <c r="Y866" i="13"/>
  <c r="Z842" i="13"/>
  <c r="Y562" i="13"/>
  <c r="Y802" i="13"/>
  <c r="Z962" i="13"/>
  <c r="Z954" i="13"/>
  <c r="Z770" i="13"/>
  <c r="W738" i="13"/>
  <c r="X730" i="13"/>
  <c r="Z706" i="13"/>
  <c r="Y690" i="13"/>
  <c r="X930" i="13"/>
  <c r="X666" i="13"/>
  <c r="X642" i="13"/>
  <c r="Y634" i="13"/>
  <c r="Z898" i="13"/>
  <c r="Z594" i="13"/>
  <c r="Z554" i="13"/>
  <c r="Z794" i="13"/>
  <c r="W538" i="13"/>
  <c r="W530" i="13"/>
  <c r="Z522" i="13"/>
  <c r="Y482" i="13"/>
  <c r="W473" i="13"/>
  <c r="W433" i="13"/>
  <c r="Y217" i="13"/>
  <c r="AB1002" i="13"/>
  <c r="AB994" i="13"/>
  <c r="AA818" i="13"/>
  <c r="AA1042" i="13"/>
  <c r="AB674" i="13"/>
  <c r="AA602" i="13"/>
  <c r="AC490" i="13"/>
  <c r="AC682" i="13"/>
  <c r="Z1106" i="13"/>
  <c r="AD1066" i="13"/>
  <c r="AD1058" i="13"/>
  <c r="AD970" i="13"/>
  <c r="AD818" i="13"/>
  <c r="AD802" i="13"/>
  <c r="AD1042" i="13"/>
  <c r="X1106" i="13"/>
  <c r="Y1066" i="13"/>
  <c r="Z1058" i="13"/>
  <c r="Y818" i="13"/>
  <c r="Z914" i="13"/>
  <c r="W938" i="13"/>
  <c r="X225" i="13"/>
  <c r="Y922" i="13"/>
  <c r="Y882" i="13"/>
  <c r="Z874" i="13"/>
  <c r="X850" i="13"/>
  <c r="X866" i="13"/>
  <c r="Y842" i="13"/>
  <c r="Z834" i="13"/>
  <c r="X562" i="13"/>
  <c r="X802" i="13"/>
  <c r="Y962" i="13"/>
  <c r="Y954" i="13"/>
  <c r="Y770" i="13"/>
  <c r="W730" i="13"/>
  <c r="Y706" i="13"/>
  <c r="X690" i="13"/>
  <c r="W930" i="13"/>
  <c r="W666" i="13"/>
  <c r="Z658" i="13"/>
  <c r="W642" i="13"/>
  <c r="X634" i="13"/>
  <c r="Z618" i="13"/>
  <c r="Y898" i="13"/>
  <c r="Z890" i="13"/>
  <c r="Y594" i="13"/>
  <c r="Z570" i="13"/>
  <c r="Y554" i="13"/>
  <c r="Y794" i="13"/>
  <c r="Z722" i="13"/>
  <c r="Y522" i="13"/>
  <c r="Z490" i="13"/>
  <c r="W482" i="13"/>
  <c r="Y698" i="13"/>
  <c r="Z610" i="13"/>
  <c r="W465" i="13"/>
  <c r="X217" i="13"/>
  <c r="AA1098" i="13"/>
  <c r="AA1050" i="13"/>
  <c r="AB962" i="13"/>
  <c r="AA674" i="13"/>
  <c r="AB626" i="13"/>
  <c r="AA217" i="13"/>
  <c r="AB289" i="13"/>
  <c r="AE744" i="13"/>
  <c r="AE896" i="13"/>
  <c r="AD1010" i="13"/>
  <c r="AD898" i="13"/>
  <c r="AD738" i="13"/>
  <c r="AD570" i="13"/>
  <c r="W1106" i="13"/>
  <c r="X1066" i="13"/>
  <c r="Y1058" i="13"/>
  <c r="Z1050" i="13"/>
  <c r="X818" i="13"/>
  <c r="Y914" i="13"/>
  <c r="W225" i="13"/>
  <c r="X922" i="13"/>
  <c r="X882" i="13"/>
  <c r="Y874" i="13"/>
  <c r="Z1042" i="13"/>
  <c r="W850" i="13"/>
  <c r="W866" i="13"/>
  <c r="X842" i="13"/>
  <c r="Y834" i="13"/>
  <c r="Z826" i="13"/>
  <c r="W562" i="13"/>
  <c r="W802" i="13"/>
  <c r="X962" i="13"/>
  <c r="X954" i="13"/>
  <c r="X770" i="13"/>
  <c r="X706" i="13"/>
  <c r="Z674" i="13"/>
  <c r="Y658" i="13"/>
  <c r="W634" i="13"/>
  <c r="Y618" i="13"/>
  <c r="X898" i="13"/>
  <c r="Y890" i="13"/>
  <c r="X594" i="13"/>
  <c r="Z810" i="13"/>
  <c r="Z578" i="13"/>
  <c r="Y570" i="13"/>
  <c r="Z858" i="13"/>
  <c r="X554" i="13"/>
  <c r="X794" i="13"/>
  <c r="Y722" i="13"/>
  <c r="X522" i="13"/>
  <c r="Z506" i="13"/>
  <c r="Y490" i="13"/>
  <c r="Z714" i="13"/>
  <c r="X698" i="13"/>
  <c r="Z369" i="13"/>
  <c r="AC706" i="13"/>
  <c r="AB658" i="13"/>
  <c r="AC642" i="13"/>
  <c r="AA570" i="13"/>
  <c r="AC858" i="13"/>
  <c r="AB538" i="13"/>
  <c r="AB522" i="13"/>
  <c r="AD1106" i="13"/>
  <c r="AD425" i="13"/>
  <c r="AD778" i="13"/>
  <c r="AD361" i="13"/>
  <c r="AD185" i="13"/>
  <c r="AD594" i="13"/>
  <c r="AD345" i="13"/>
  <c r="AD962" i="13"/>
  <c r="AD161" i="13"/>
  <c r="AD313" i="13"/>
  <c r="AD506" i="13"/>
  <c r="AD722" i="13"/>
  <c r="AD714" i="13"/>
  <c r="Z1098" i="13"/>
  <c r="Z1082" i="13"/>
  <c r="W1066" i="13"/>
  <c r="X1058" i="13"/>
  <c r="Z1010" i="13"/>
  <c r="W818" i="13"/>
  <c r="X914" i="13"/>
  <c r="Z201" i="13"/>
  <c r="W922" i="13"/>
  <c r="Z650" i="13"/>
  <c r="Z249" i="13"/>
  <c r="Y1042" i="13"/>
  <c r="Z906" i="13"/>
  <c r="W842" i="13"/>
  <c r="X834" i="13"/>
  <c r="Y826" i="13"/>
  <c r="W962" i="13"/>
  <c r="Z786" i="13"/>
  <c r="X658" i="13"/>
  <c r="W898" i="13"/>
  <c r="X890" i="13"/>
  <c r="W594" i="13"/>
  <c r="Y858" i="13"/>
  <c r="W794" i="13"/>
  <c r="X722" i="13"/>
  <c r="W522" i="13"/>
  <c r="Z514" i="13"/>
  <c r="X490" i="13"/>
  <c r="X714" i="13"/>
  <c r="W698" i="13"/>
  <c r="Z449" i="13"/>
  <c r="Z401" i="13"/>
  <c r="Y369" i="13"/>
  <c r="X297" i="13"/>
  <c r="W257" i="13"/>
  <c r="W586" i="13"/>
  <c r="AB482" i="13"/>
  <c r="AE736" i="13"/>
  <c r="AE648" i="13"/>
  <c r="V1107" i="13"/>
  <c r="AE1107" i="13"/>
  <c r="V1091" i="13"/>
  <c r="AE1091" i="13"/>
  <c r="AA1091" i="13"/>
  <c r="AB1091" i="13"/>
  <c r="V1083" i="13"/>
  <c r="AA1083" i="13"/>
  <c r="V1051" i="13"/>
  <c r="AC1051" i="13"/>
  <c r="V1043" i="13"/>
  <c r="AA1043" i="13"/>
  <c r="V1035" i="13"/>
  <c r="AE1035" i="13"/>
  <c r="AA1035" i="13"/>
  <c r="V1027" i="13"/>
  <c r="AE1027" i="13"/>
  <c r="AB1027" i="13"/>
  <c r="V1019" i="13"/>
  <c r="AE1019" i="13"/>
  <c r="AB1019" i="13"/>
  <c r="V1011" i="13"/>
  <c r="AA1011" i="13"/>
  <c r="V1003" i="13"/>
  <c r="AE1003" i="13"/>
  <c r="AC1003" i="13"/>
  <c r="V995" i="13"/>
  <c r="AA995" i="13"/>
  <c r="V987" i="13"/>
  <c r="AE987" i="13"/>
  <c r="AC987" i="13"/>
  <c r="V979" i="13"/>
  <c r="AE979" i="13"/>
  <c r="AB979" i="13"/>
  <c r="V971" i="13"/>
  <c r="AC971" i="13"/>
  <c r="V963" i="13"/>
  <c r="AE963" i="13"/>
  <c r="V955" i="13"/>
  <c r="AE955" i="13"/>
  <c r="V947" i="13"/>
  <c r="AA947" i="13"/>
  <c r="AE947" i="13"/>
  <c r="V939" i="13"/>
  <c r="AC939" i="13"/>
  <c r="AE939" i="13"/>
  <c r="V931" i="13"/>
  <c r="AE931" i="13"/>
  <c r="AA931" i="13"/>
  <c r="V923" i="13"/>
  <c r="AE923" i="13"/>
  <c r="AA923" i="13"/>
  <c r="V907" i="13"/>
  <c r="AB907" i="13"/>
  <c r="AE907" i="13"/>
  <c r="V891" i="13"/>
  <c r="AC891" i="13"/>
  <c r="AE891" i="13"/>
  <c r="V883" i="13"/>
  <c r="AE883" i="13"/>
  <c r="V859" i="13"/>
  <c r="AC859" i="13"/>
  <c r="V843" i="13"/>
  <c r="AE843" i="13"/>
  <c r="V835" i="13"/>
  <c r="AA835" i="13"/>
  <c r="V827" i="13"/>
  <c r="AA827" i="13"/>
  <c r="AE827" i="13"/>
  <c r="V811" i="13"/>
  <c r="AB811" i="13"/>
  <c r="AC811" i="13"/>
  <c r="V803" i="13"/>
  <c r="AE803" i="13"/>
  <c r="AA803" i="13"/>
  <c r="AB803" i="13"/>
  <c r="V795" i="13"/>
  <c r="AB795" i="13"/>
  <c r="V787" i="13"/>
  <c r="AA787" i="13"/>
  <c r="AE787" i="13"/>
  <c r="AB787" i="13"/>
  <c r="V779" i="13"/>
  <c r="AB779" i="13"/>
  <c r="AE779" i="13"/>
  <c r="AC779" i="13"/>
  <c r="V763" i="13"/>
  <c r="AE763" i="13"/>
  <c r="AA763" i="13"/>
  <c r="AB763" i="13"/>
  <c r="V755" i="13"/>
  <c r="AA755" i="13"/>
  <c r="AB755" i="13"/>
  <c r="AE755" i="13"/>
  <c r="V747" i="13"/>
  <c r="AA747" i="13"/>
  <c r="AE747" i="13"/>
  <c r="AB747" i="13"/>
  <c r="AC747" i="13"/>
  <c r="V739" i="13"/>
  <c r="AE739" i="13"/>
  <c r="V731" i="13"/>
  <c r="AE731" i="13"/>
  <c r="V723" i="13"/>
  <c r="AA723" i="13"/>
  <c r="AB723" i="13"/>
  <c r="AC723" i="13"/>
  <c r="AE723" i="13"/>
  <c r="V715" i="13"/>
  <c r="AA715" i="13"/>
  <c r="V699" i="13"/>
  <c r="AE699" i="13"/>
  <c r="V691" i="13"/>
  <c r="AA691" i="13"/>
  <c r="AB691" i="13"/>
  <c r="AE691" i="13"/>
  <c r="V683" i="13"/>
  <c r="AA683" i="13"/>
  <c r="V675" i="13"/>
  <c r="AC675" i="13"/>
  <c r="AB667" i="13"/>
  <c r="AC667" i="13"/>
  <c r="AA651" i="13"/>
  <c r="AB651" i="13"/>
  <c r="AC651" i="13"/>
  <c r="V643" i="13"/>
  <c r="AE643" i="13"/>
  <c r="AA643" i="13"/>
  <c r="V635" i="13"/>
  <c r="AB635" i="13"/>
  <c r="V627" i="13"/>
  <c r="AA627" i="13"/>
  <c r="AE627" i="13"/>
  <c r="V619" i="13"/>
  <c r="AE619" i="13"/>
  <c r="AB619" i="13"/>
  <c r="V611" i="13"/>
  <c r="AE611" i="13"/>
  <c r="AC611" i="13"/>
  <c r="V595" i="13"/>
  <c r="AE595" i="13"/>
  <c r="AB595" i="13"/>
  <c r="V587" i="13"/>
  <c r="AE587" i="13"/>
  <c r="AA587" i="13"/>
  <c r="AB587" i="13"/>
  <c r="V579" i="13"/>
  <c r="AE579" i="13"/>
  <c r="AA579" i="13"/>
  <c r="V571" i="13"/>
  <c r="AA571" i="13"/>
  <c r="AB571" i="13"/>
  <c r="AE571" i="13"/>
  <c r="V563" i="13"/>
  <c r="AE563" i="13"/>
  <c r="AB563" i="13"/>
  <c r="AC563" i="13"/>
  <c r="V555" i="13"/>
  <c r="AB555" i="13"/>
  <c r="AC555" i="13"/>
  <c r="V539" i="13"/>
  <c r="AA539" i="13"/>
  <c r="AB539" i="13"/>
  <c r="AC539" i="13"/>
  <c r="AE539" i="13"/>
  <c r="V531" i="13"/>
  <c r="AE531" i="13"/>
  <c r="AA531" i="13"/>
  <c r="AC531" i="13"/>
  <c r="V523" i="13"/>
  <c r="AA523" i="13"/>
  <c r="V515" i="13"/>
  <c r="AA515" i="13"/>
  <c r="AB515" i="13"/>
  <c r="AC515" i="13"/>
  <c r="V507" i="13"/>
  <c r="AC507" i="13"/>
  <c r="AE507" i="13"/>
  <c r="AA507" i="13"/>
  <c r="V491" i="13"/>
  <c r="AA491" i="13"/>
  <c r="V483" i="13"/>
  <c r="AA483" i="13"/>
  <c r="AB483" i="13"/>
  <c r="V474" i="13"/>
  <c r="AE474" i="13"/>
  <c r="AA474" i="13"/>
  <c r="AB474" i="13"/>
  <c r="V466" i="13"/>
  <c r="AA466" i="13"/>
  <c r="AE466" i="13"/>
  <c r="AB466" i="13"/>
  <c r="V458" i="13"/>
  <c r="AE458" i="13"/>
  <c r="AA458" i="13"/>
  <c r="AB458" i="13"/>
  <c r="V450" i="13"/>
  <c r="AE450" i="13"/>
  <c r="AB450" i="13"/>
  <c r="AC450" i="13"/>
  <c r="V442" i="13"/>
  <c r="AA442" i="13"/>
  <c r="AE442" i="13"/>
  <c r="AB442" i="13"/>
  <c r="AC442" i="13"/>
  <c r="V434" i="13"/>
  <c r="AB434" i="13"/>
  <c r="AC434" i="13"/>
  <c r="V426" i="13"/>
  <c r="AE426" i="13"/>
  <c r="AA426" i="13"/>
  <c r="AB426" i="13"/>
  <c r="AB418" i="13"/>
  <c r="AC418" i="13"/>
  <c r="V410" i="13"/>
  <c r="AE410" i="13"/>
  <c r="AA410" i="13"/>
  <c r="V402" i="13"/>
  <c r="AA402" i="13"/>
  <c r="AB402" i="13"/>
  <c r="V394" i="13"/>
  <c r="AE394" i="13"/>
  <c r="AA394" i="13"/>
  <c r="V386" i="13"/>
  <c r="AB386" i="13"/>
  <c r="AC386" i="13"/>
  <c r="AE386" i="13"/>
  <c r="V378" i="13"/>
  <c r="AA378" i="13"/>
  <c r="AB378" i="13"/>
  <c r="AC378" i="13"/>
  <c r="AE378" i="13"/>
  <c r="V370" i="13"/>
  <c r="AA370" i="13"/>
  <c r="AB370" i="13"/>
  <c r="AC370" i="13"/>
  <c r="V362" i="13"/>
  <c r="AC362" i="13"/>
  <c r="AE362" i="13"/>
  <c r="AA362" i="13"/>
  <c r="AA354" i="13"/>
  <c r="AB354" i="13"/>
  <c r="AC354" i="13"/>
  <c r="AA346" i="13"/>
  <c r="AB346" i="13"/>
  <c r="AA338" i="13"/>
  <c r="AB338" i="13"/>
  <c r="AC338" i="13"/>
  <c r="AA330" i="13"/>
  <c r="AC330" i="13"/>
  <c r="AA322" i="13"/>
  <c r="AB322" i="13"/>
  <c r="AA314" i="13"/>
  <c r="AB314" i="13"/>
  <c r="V306" i="13"/>
  <c r="AA306" i="13"/>
  <c r="AE306" i="13"/>
  <c r="AB306" i="13"/>
  <c r="AC306" i="13"/>
  <c r="V298" i="13"/>
  <c r="AB298" i="13"/>
  <c r="AC298" i="13"/>
  <c r="AA290" i="13"/>
  <c r="AB290" i="13"/>
  <c r="AB282" i="13"/>
  <c r="AC282" i="13"/>
  <c r="AA274" i="13"/>
  <c r="AB274" i="13"/>
  <c r="AC274" i="13"/>
  <c r="V266" i="13"/>
  <c r="AA266" i="13"/>
  <c r="AB266" i="13"/>
  <c r="AC266" i="13"/>
  <c r="AE266" i="13"/>
  <c r="V258" i="13"/>
  <c r="AC258" i="13"/>
  <c r="AA258" i="13"/>
  <c r="AB250" i="13"/>
  <c r="AC250" i="13"/>
  <c r="AA242" i="13"/>
  <c r="AB242" i="13"/>
  <c r="AC242" i="13"/>
  <c r="V234" i="13"/>
  <c r="AA234" i="13"/>
  <c r="AB234" i="13"/>
  <c r="AC234" i="13"/>
  <c r="AE234" i="13"/>
  <c r="V226" i="13"/>
  <c r="AE226" i="13"/>
  <c r="AC226" i="13"/>
  <c r="AB218" i="13"/>
  <c r="AC218" i="13"/>
  <c r="W218" i="13"/>
  <c r="V210" i="13"/>
  <c r="AA210" i="13"/>
  <c r="AB210" i="13"/>
  <c r="AC210" i="13"/>
  <c r="Y210" i="13"/>
  <c r="AE210" i="13"/>
  <c r="V202" i="13"/>
  <c r="AE202" i="13"/>
  <c r="V194" i="13"/>
  <c r="AA194" i="13"/>
  <c r="AE194" i="13"/>
  <c r="AC194" i="13"/>
  <c r="X194" i="13"/>
  <c r="V186" i="13"/>
  <c r="AE186" i="13"/>
  <c r="AB186" i="13"/>
  <c r="V178" i="13"/>
  <c r="AC178" i="13"/>
  <c r="AA178" i="13"/>
  <c r="AB170" i="13"/>
  <c r="AC170" i="13"/>
  <c r="AA162" i="13"/>
  <c r="AC162" i="13"/>
  <c r="Z162" i="13"/>
  <c r="AA154" i="13"/>
  <c r="AB154" i="13"/>
  <c r="AC154" i="13"/>
  <c r="V146" i="13"/>
  <c r="AA146" i="13"/>
  <c r="AB146" i="13"/>
  <c r="AC146" i="13"/>
  <c r="X146" i="13"/>
  <c r="AA138" i="13"/>
  <c r="AB138" i="13"/>
  <c r="AC138" i="13"/>
  <c r="AA130" i="13"/>
  <c r="AB130" i="13"/>
  <c r="V122" i="13"/>
  <c r="AA122" i="13"/>
  <c r="AE122" i="13"/>
  <c r="AB122" i="13"/>
  <c r="AC122" i="13"/>
  <c r="X122" i="13"/>
  <c r="V114" i="13"/>
  <c r="AA114" i="13"/>
  <c r="AE114" i="13"/>
  <c r="AB114" i="13"/>
  <c r="AC114" i="13"/>
  <c r="W114" i="13"/>
  <c r="V106" i="13"/>
  <c r="AA106" i="13"/>
  <c r="AE106" i="13"/>
  <c r="AC106" i="13"/>
  <c r="X106" i="13"/>
  <c r="V98" i="13"/>
  <c r="AA98" i="13"/>
  <c r="AE98" i="13"/>
  <c r="AB98" i="13"/>
  <c r="W98" i="13"/>
  <c r="V90" i="13"/>
  <c r="AE90" i="13"/>
  <c r="AC90" i="13"/>
  <c r="X90" i="13"/>
  <c r="AA90" i="13"/>
  <c r="AA82" i="13"/>
  <c r="AB82" i="13"/>
  <c r="V74" i="13"/>
  <c r="AA74" i="13"/>
  <c r="AB74" i="13"/>
  <c r="AC74" i="13"/>
  <c r="AE74" i="13"/>
  <c r="W74" i="13"/>
  <c r="V66" i="13"/>
  <c r="AA66" i="13"/>
  <c r="AE66" i="13"/>
  <c r="AB58" i="13"/>
  <c r="AC58" i="13"/>
  <c r="Z58" i="13"/>
  <c r="V50" i="13"/>
  <c r="AC50" i="13"/>
  <c r="Y50" i="13"/>
  <c r="AE50" i="13"/>
  <c r="AA50" i="13"/>
  <c r="V42" i="13"/>
  <c r="AE42" i="13"/>
  <c r="AA42" i="13"/>
  <c r="AB42" i="13"/>
  <c r="V34" i="13"/>
  <c r="AE34" i="13"/>
  <c r="AB34" i="13"/>
  <c r="AE26" i="13"/>
  <c r="AB26" i="13"/>
  <c r="Y18" i="13"/>
  <c r="AA18" i="13"/>
  <c r="AC10" i="13"/>
  <c r="W10" i="13"/>
  <c r="AT2771" i="3"/>
  <c r="AU2771" i="3"/>
  <c r="AW2771" i="3"/>
  <c r="AT2763" i="3"/>
  <c r="AU2763" i="3"/>
  <c r="AV2763" i="3"/>
  <c r="BA2755" i="3"/>
  <c r="AR2755" i="3"/>
  <c r="AS2755" i="3"/>
  <c r="AZ2747" i="3"/>
  <c r="AX2747" i="3"/>
  <c r="AS2739" i="3"/>
  <c r="AV2739" i="3"/>
  <c r="AW2739" i="3"/>
  <c r="AU2731" i="3"/>
  <c r="AX2731" i="3"/>
  <c r="AY2731" i="3"/>
  <c r="AE888" i="13"/>
  <c r="AE904" i="13"/>
  <c r="AE824" i="13"/>
  <c r="AZ2723" i="3"/>
  <c r="AW2723" i="3"/>
  <c r="AE1040" i="13"/>
  <c r="AE920" i="13"/>
  <c r="AE928" i="13"/>
  <c r="AE784" i="13"/>
  <c r="AD1006" i="13"/>
  <c r="AD1102" i="13"/>
  <c r="W1054" i="13"/>
  <c r="Y990" i="13"/>
  <c r="Y974" i="13"/>
  <c r="X910" i="13"/>
  <c r="Y1094" i="13"/>
  <c r="Y838" i="13"/>
  <c r="W950" i="13"/>
  <c r="X742" i="13"/>
  <c r="Y510" i="13"/>
  <c r="AC918" i="13"/>
  <c r="AE1080" i="13"/>
  <c r="AE1048" i="13"/>
  <c r="AE960" i="13"/>
  <c r="AE1083" i="13"/>
  <c r="AE808" i="13"/>
  <c r="AE856" i="13"/>
  <c r="AD974" i="13"/>
  <c r="AD918" i="13"/>
  <c r="X974" i="13"/>
  <c r="Z77" i="13"/>
  <c r="Y958" i="13"/>
  <c r="AE1147" i="13"/>
  <c r="Z1102" i="13"/>
  <c r="Y77" i="13"/>
  <c r="Z902" i="13"/>
  <c r="Y686" i="13"/>
  <c r="Y1102" i="13"/>
  <c r="Z85" i="13"/>
  <c r="Y902" i="13"/>
  <c r="Z798" i="13"/>
  <c r="X750" i="13"/>
  <c r="X686" i="13"/>
  <c r="W469" i="13"/>
  <c r="AC974" i="13"/>
  <c r="AA77" i="13"/>
  <c r="AD1144" i="13"/>
  <c r="AD85" i="13"/>
  <c r="AD894" i="13"/>
  <c r="AD758" i="13"/>
  <c r="AD902" i="13"/>
  <c r="Y1022" i="13"/>
  <c r="Y85" i="13"/>
  <c r="Z878" i="13"/>
  <c r="Z854" i="13"/>
  <c r="Y822" i="13"/>
  <c r="W798" i="13"/>
  <c r="Z766" i="13"/>
  <c r="Y558" i="13"/>
  <c r="AD109" i="13"/>
  <c r="AD862" i="13"/>
  <c r="Z1070" i="13"/>
  <c r="X1046" i="13"/>
  <c r="X1022" i="13"/>
  <c r="X878" i="13"/>
  <c r="Y854" i="13"/>
  <c r="Z574" i="13"/>
  <c r="Z622" i="13"/>
  <c r="Z566" i="13"/>
  <c r="AC830" i="13"/>
  <c r="AD1145" i="13"/>
  <c r="W1046" i="13"/>
  <c r="Y1006" i="13"/>
  <c r="Y486" i="13"/>
  <c r="Z638" i="13"/>
  <c r="Z894" i="13"/>
  <c r="W622" i="13"/>
  <c r="AA1110" i="13"/>
  <c r="AB1102" i="13"/>
  <c r="AE678" i="13"/>
  <c r="W703" i="13"/>
  <c r="Z927" i="13"/>
  <c r="Y631" i="13"/>
  <c r="X719" i="13"/>
  <c r="Z406" i="13"/>
  <c r="Y366" i="13"/>
  <c r="Y326" i="13"/>
  <c r="W462" i="13"/>
  <c r="X487" i="13"/>
  <c r="X78" i="13"/>
  <c r="AB959" i="13"/>
  <c r="Z951" i="13"/>
  <c r="X366" i="13"/>
  <c r="AA655" i="13"/>
  <c r="AC751" i="13"/>
  <c r="AB855" i="13"/>
  <c r="AA334" i="13"/>
  <c r="Y647" i="13"/>
  <c r="Z903" i="13"/>
  <c r="Z527" i="13"/>
  <c r="Y398" i="13"/>
  <c r="AC743" i="13"/>
  <c r="AA358" i="13"/>
  <c r="AC278" i="13"/>
  <c r="Z767" i="13"/>
  <c r="X951" i="13"/>
  <c r="Z759" i="13"/>
  <c r="Z935" i="13"/>
  <c r="Y743" i="13"/>
  <c r="Z615" i="13"/>
  <c r="Y559" i="13"/>
  <c r="X551" i="13"/>
  <c r="Z663" i="13"/>
  <c r="Z599" i="13"/>
  <c r="X591" i="13"/>
  <c r="X863" i="13"/>
  <c r="Y318" i="13"/>
  <c r="AA591" i="13"/>
  <c r="Y767" i="13"/>
  <c r="Y759" i="13"/>
  <c r="Y935" i="13"/>
  <c r="X743" i="13"/>
  <c r="Z735" i="13"/>
  <c r="X615" i="13"/>
  <c r="X559" i="13"/>
  <c r="Z687" i="13"/>
  <c r="Y663" i="13"/>
  <c r="Y751" i="13"/>
  <c r="Y599" i="13"/>
  <c r="Z535" i="13"/>
  <c r="Z350" i="13"/>
  <c r="AC767" i="13"/>
  <c r="V1111" i="13"/>
  <c r="AA1111" i="13"/>
  <c r="AB1111" i="13"/>
  <c r="AC1111" i="13"/>
  <c r="V1103" i="13"/>
  <c r="AA1103" i="13"/>
  <c r="AB1103" i="13"/>
  <c r="AC1103" i="13"/>
  <c r="AC1095" i="13"/>
  <c r="AA1095" i="13"/>
  <c r="V1087" i="13"/>
  <c r="AA1087" i="13"/>
  <c r="AB1087" i="13"/>
  <c r="AC1087" i="13"/>
  <c r="V1079" i="13"/>
  <c r="AB1079" i="13"/>
  <c r="AC1079" i="13"/>
  <c r="V1071" i="13"/>
  <c r="AE1071" i="13"/>
  <c r="AA1071" i="13"/>
  <c r="AB1071" i="13"/>
  <c r="AC1071" i="13"/>
  <c r="V1063" i="13"/>
  <c r="AA1063" i="13"/>
  <c r="AB1063" i="13"/>
  <c r="AC1063" i="13"/>
  <c r="V1055" i="13"/>
  <c r="AB1055" i="13"/>
  <c r="AC1055" i="13"/>
  <c r="V1047" i="13"/>
  <c r="AA1047" i="13"/>
  <c r="AB1047" i="13"/>
  <c r="AC1047" i="13"/>
  <c r="AA1039" i="13"/>
  <c r="AB1039" i="13"/>
  <c r="AC1039" i="13"/>
  <c r="V1031" i="13"/>
  <c r="AB1031" i="13"/>
  <c r="AC1031" i="13"/>
  <c r="V1023" i="13"/>
  <c r="AA1023" i="13"/>
  <c r="AB1023" i="13"/>
  <c r="AC1023" i="13"/>
  <c r="V1015" i="13"/>
  <c r="AB1015" i="13"/>
  <c r="AC1015" i="13"/>
  <c r="AE1015" i="13"/>
  <c r="V1007" i="13"/>
  <c r="AA1007" i="13"/>
  <c r="AB1007" i="13"/>
  <c r="AC1007" i="13"/>
  <c r="AA999" i="13"/>
  <c r="AB999" i="13"/>
  <c r="AC999" i="13"/>
  <c r="V991" i="13"/>
  <c r="AA991" i="13"/>
  <c r="AB991" i="13"/>
  <c r="V983" i="13"/>
  <c r="AA983" i="13"/>
  <c r="AB983" i="13"/>
  <c r="AC983" i="13"/>
  <c r="AB975" i="13"/>
  <c r="AC975" i="13"/>
  <c r="AA967" i="13"/>
  <c r="AB967" i="13"/>
  <c r="AC967" i="13"/>
  <c r="V959" i="13"/>
  <c r="AC959" i="13"/>
  <c r="AA959" i="13"/>
  <c r="V951" i="13"/>
  <c r="AA951" i="13"/>
  <c r="AB951" i="13"/>
  <c r="AC951" i="13"/>
  <c r="AA943" i="13"/>
  <c r="AB943" i="13"/>
  <c r="V935" i="13"/>
  <c r="AA935" i="13"/>
  <c r="AB935" i="13"/>
  <c r="AC935" i="13"/>
  <c r="V927" i="13"/>
  <c r="AA927" i="13"/>
  <c r="AB927" i="13"/>
  <c r="Y927" i="13"/>
  <c r="AA919" i="13"/>
  <c r="AB919" i="13"/>
  <c r="V911" i="13"/>
  <c r="AB911" i="13"/>
  <c r="AC911" i="13"/>
  <c r="X903" i="13"/>
  <c r="Y903" i="13"/>
  <c r="AA895" i="13"/>
  <c r="AB895" i="13"/>
  <c r="AC895" i="13"/>
  <c r="V887" i="13"/>
  <c r="AA887" i="13"/>
  <c r="AE887" i="13"/>
  <c r="AB887" i="13"/>
  <c r="V879" i="13"/>
  <c r="AA879" i="13"/>
  <c r="AB879" i="13"/>
  <c r="AC879" i="13"/>
  <c r="V871" i="13"/>
  <c r="AC871" i="13"/>
  <c r="AA871" i="13"/>
  <c r="V863" i="13"/>
  <c r="Y863" i="13"/>
  <c r="Z863" i="13"/>
  <c r="AA863" i="13"/>
  <c r="AC855" i="13"/>
  <c r="X855" i="13"/>
  <c r="Y855" i="13"/>
  <c r="AA855" i="13"/>
  <c r="Z855" i="13"/>
  <c r="V847" i="13"/>
  <c r="AB847" i="13"/>
  <c r="AC847" i="13"/>
  <c r="AE847" i="13"/>
  <c r="AA839" i="13"/>
  <c r="AB839" i="13"/>
  <c r="AC839" i="13"/>
  <c r="V831" i="13"/>
  <c r="AA831" i="13"/>
  <c r="AB831" i="13"/>
  <c r="AC831" i="13"/>
  <c r="V823" i="13"/>
  <c r="AA823" i="13"/>
  <c r="AB823" i="13"/>
  <c r="AC823" i="13"/>
  <c r="V815" i="13"/>
  <c r="W815" i="13"/>
  <c r="X815" i="13"/>
  <c r="AA815" i="13"/>
  <c r="AB815" i="13"/>
  <c r="AC815" i="13"/>
  <c r="V807" i="13"/>
  <c r="Y807" i="13"/>
  <c r="Z807" i="13"/>
  <c r="AA807" i="13"/>
  <c r="AB807" i="13"/>
  <c r="AC807" i="13"/>
  <c r="V799" i="13"/>
  <c r="AC799" i="13"/>
  <c r="AE799" i="13"/>
  <c r="AA799" i="13"/>
  <c r="V791" i="13"/>
  <c r="W791" i="13"/>
  <c r="X791" i="13"/>
  <c r="AC791" i="13"/>
  <c r="Z791" i="13"/>
  <c r="V783" i="13"/>
  <c r="X783" i="13"/>
  <c r="Y783" i="13"/>
  <c r="Z783" i="13"/>
  <c r="AA783" i="13"/>
  <c r="AA775" i="13"/>
  <c r="AB775" i="13"/>
  <c r="AC775" i="13"/>
  <c r="V767" i="13"/>
  <c r="AA767" i="13"/>
  <c r="AB767" i="13"/>
  <c r="V759" i="13"/>
  <c r="AC759" i="13"/>
  <c r="AA759" i="13"/>
  <c r="V751" i="13"/>
  <c r="W751" i="13"/>
  <c r="Z751" i="13"/>
  <c r="AB751" i="13"/>
  <c r="AA743" i="13"/>
  <c r="AB743" i="13"/>
  <c r="V735" i="13"/>
  <c r="AA735" i="13"/>
  <c r="AB735" i="13"/>
  <c r="AC735" i="13"/>
  <c r="V727" i="13"/>
  <c r="AA727" i="13"/>
  <c r="AB727" i="13"/>
  <c r="AC727" i="13"/>
  <c r="V719" i="13"/>
  <c r="Y719" i="13"/>
  <c r="Z719" i="13"/>
  <c r="AB719" i="13"/>
  <c r="V711" i="13"/>
  <c r="X711" i="13"/>
  <c r="Y711" i="13"/>
  <c r="Z711" i="13"/>
  <c r="AB711" i="13"/>
  <c r="AC711" i="13"/>
  <c r="V703" i="13"/>
  <c r="AA703" i="13"/>
  <c r="AB703" i="13"/>
  <c r="AC703" i="13"/>
  <c r="V695" i="13"/>
  <c r="W695" i="13"/>
  <c r="X695" i="13"/>
  <c r="Y695" i="13"/>
  <c r="Z695" i="13"/>
  <c r="AA687" i="13"/>
  <c r="AB687" i="13"/>
  <c r="AC687" i="13"/>
  <c r="V679" i="13"/>
  <c r="W679" i="13"/>
  <c r="X679" i="13"/>
  <c r="Y679" i="13"/>
  <c r="Z679" i="13"/>
  <c r="AA679" i="13"/>
  <c r="V671" i="13"/>
  <c r="AA671" i="13"/>
  <c r="AB671" i="13"/>
  <c r="X671" i="13"/>
  <c r="AC671" i="13"/>
  <c r="V663" i="13"/>
  <c r="AA663" i="13"/>
  <c r="AB663" i="13"/>
  <c r="AE663" i="13"/>
  <c r="AC663" i="13"/>
  <c r="W663" i="13"/>
  <c r="V655" i="13"/>
  <c r="AB655" i="13"/>
  <c r="AC655" i="13"/>
  <c r="Y655" i="13"/>
  <c r="AE655" i="13"/>
  <c r="Z655" i="13"/>
  <c r="V647" i="13"/>
  <c r="AA647" i="13"/>
  <c r="AB647" i="13"/>
  <c r="AC647" i="13"/>
  <c r="W647" i="13"/>
  <c r="Z647" i="13"/>
  <c r="V639" i="13"/>
  <c r="AA639" i="13"/>
  <c r="AB639" i="13"/>
  <c r="AC639" i="13"/>
  <c r="V631" i="13"/>
  <c r="AA631" i="13"/>
  <c r="AB631" i="13"/>
  <c r="AC631" i="13"/>
  <c r="W631" i="13"/>
  <c r="Z631" i="13"/>
  <c r="V623" i="13"/>
  <c r="AA623" i="13"/>
  <c r="W623" i="13"/>
  <c r="AB623" i="13"/>
  <c r="AC623" i="13"/>
  <c r="Z623" i="13"/>
  <c r="AA615" i="13"/>
  <c r="AB615" i="13"/>
  <c r="AC615" i="13"/>
  <c r="Y615" i="13"/>
  <c r="X607" i="13"/>
  <c r="AA607" i="13"/>
  <c r="Y607" i="13"/>
  <c r="Z607" i="13"/>
  <c r="V599" i="13"/>
  <c r="AB599" i="13"/>
  <c r="AC599" i="13"/>
  <c r="W599" i="13"/>
  <c r="X599" i="13"/>
  <c r="AE599" i="13"/>
  <c r="V591" i="13"/>
  <c r="AB591" i="13"/>
  <c r="AC591" i="13"/>
  <c r="Y591" i="13"/>
  <c r="Z591" i="13"/>
  <c r="AC583" i="13"/>
  <c r="AB583" i="13"/>
  <c r="W583" i="13"/>
  <c r="X583" i="13"/>
  <c r="Y583" i="13"/>
  <c r="V575" i="13"/>
  <c r="AB575" i="13"/>
  <c r="AC575" i="13"/>
  <c r="AA567" i="13"/>
  <c r="AB567" i="13"/>
  <c r="AC567" i="13"/>
  <c r="W567" i="13"/>
  <c r="X567" i="13"/>
  <c r="V559" i="13"/>
  <c r="AA559" i="13"/>
  <c r="AB559" i="13"/>
  <c r="Z559" i="13"/>
  <c r="AC559" i="13"/>
  <c r="V551" i="13"/>
  <c r="AA551" i="13"/>
  <c r="AB551" i="13"/>
  <c r="Z551" i="13"/>
  <c r="AC551" i="13"/>
  <c r="W543" i="13"/>
  <c r="AA543" i="13"/>
  <c r="X543" i="13"/>
  <c r="AB543" i="13"/>
  <c r="AC543" i="13"/>
  <c r="Z543" i="13"/>
  <c r="AB535" i="13"/>
  <c r="AE535" i="13"/>
  <c r="AA535" i="13"/>
  <c r="W535" i="13"/>
  <c r="X535" i="13"/>
  <c r="W527" i="13"/>
  <c r="AE527" i="13"/>
  <c r="X527" i="13"/>
  <c r="X519" i="13"/>
  <c r="AA519" i="13"/>
  <c r="Y519" i="13"/>
  <c r="AB519" i="13"/>
  <c r="Z519" i="13"/>
  <c r="AC519" i="13"/>
  <c r="W511" i="13"/>
  <c r="X511" i="13"/>
  <c r="AA511" i="13"/>
  <c r="Y511" i="13"/>
  <c r="AB511" i="13"/>
  <c r="Z511" i="13"/>
  <c r="V503" i="13"/>
  <c r="AB503" i="13"/>
  <c r="W503" i="13"/>
  <c r="AC503" i="13"/>
  <c r="X503" i="13"/>
  <c r="Y503" i="13"/>
  <c r="AE495" i="13"/>
  <c r="AA495" i="13"/>
  <c r="AC495" i="13"/>
  <c r="W495" i="13"/>
  <c r="X495" i="13"/>
  <c r="Y495" i="13"/>
  <c r="Z495" i="13"/>
  <c r="Y487" i="13"/>
  <c r="Z487" i="13"/>
  <c r="X479" i="13"/>
  <c r="Y479" i="13"/>
  <c r="Z479" i="13"/>
  <c r="AC479" i="13"/>
  <c r="AB470" i="13"/>
  <c r="W470" i="13"/>
  <c r="X470" i="13"/>
  <c r="Y470" i="13"/>
  <c r="Z470" i="13"/>
  <c r="X462" i="13"/>
  <c r="Y462" i="13"/>
  <c r="Z462" i="13"/>
  <c r="AC462" i="13"/>
  <c r="AA454" i="13"/>
  <c r="AB454" i="13"/>
  <c r="W454" i="13"/>
  <c r="X454" i="13"/>
  <c r="Y454" i="13"/>
  <c r="Z454" i="13"/>
  <c r="AA446" i="13"/>
  <c r="AB446" i="13"/>
  <c r="AC446" i="13"/>
  <c r="W446" i="13"/>
  <c r="X446" i="13"/>
  <c r="V438" i="13"/>
  <c r="X438" i="13"/>
  <c r="Y438" i="13"/>
  <c r="Z438" i="13"/>
  <c r="AE430" i="13"/>
  <c r="AC430" i="13"/>
  <c r="W430" i="13"/>
  <c r="X430" i="13"/>
  <c r="Y430" i="13"/>
  <c r="Z430" i="13"/>
  <c r="V422" i="13"/>
  <c r="W422" i="13"/>
  <c r="X422" i="13"/>
  <c r="AA422" i="13"/>
  <c r="Y422" i="13"/>
  <c r="Z422" i="13"/>
  <c r="Y414" i="13"/>
  <c r="AC414" i="13"/>
  <c r="Z414" i="13"/>
  <c r="AB406" i="13"/>
  <c r="W406" i="13"/>
  <c r="X406" i="13"/>
  <c r="Y406" i="13"/>
  <c r="V398" i="13"/>
  <c r="Z398" i="13"/>
  <c r="AC398" i="13"/>
  <c r="W398" i="13"/>
  <c r="V390" i="13"/>
  <c r="AC390" i="13"/>
  <c r="AA390" i="13"/>
  <c r="W382" i="13"/>
  <c r="X382" i="13"/>
  <c r="AA382" i="13"/>
  <c r="Y382" i="13"/>
  <c r="AB382" i="13"/>
  <c r="Z382" i="13"/>
  <c r="V374" i="13"/>
  <c r="X374" i="13"/>
  <c r="Y374" i="13"/>
  <c r="AA374" i="13"/>
  <c r="Z374" i="13"/>
  <c r="AC366" i="13"/>
  <c r="Z366" i="13"/>
  <c r="AE366" i="13"/>
  <c r="W366" i="13"/>
  <c r="AC358" i="13"/>
  <c r="X358" i="13"/>
  <c r="Y358" i="13"/>
  <c r="Z358" i="13"/>
  <c r="W350" i="13"/>
  <c r="X350" i="13"/>
  <c r="W342" i="13"/>
  <c r="X342" i="13"/>
  <c r="Y342" i="13"/>
  <c r="AE342" i="13"/>
  <c r="Z342" i="13"/>
  <c r="W334" i="13"/>
  <c r="X334" i="13"/>
  <c r="Y334" i="13"/>
  <c r="AB326" i="13"/>
  <c r="Z326" i="13"/>
  <c r="AE326" i="13"/>
  <c r="W326" i="13"/>
  <c r="AA318" i="13"/>
  <c r="Z318" i="13"/>
  <c r="W318" i="13"/>
  <c r="Y310" i="13"/>
  <c r="Z310" i="13"/>
  <c r="Y302" i="13"/>
  <c r="Z302" i="13"/>
  <c r="AA302" i="13"/>
  <c r="AB294" i="13"/>
  <c r="AA294" i="13"/>
  <c r="W294" i="13"/>
  <c r="X294" i="13"/>
  <c r="AA286" i="13"/>
  <c r="W286" i="13"/>
  <c r="X286" i="13"/>
  <c r="Y286" i="13"/>
  <c r="W278" i="13"/>
  <c r="X278" i="13"/>
  <c r="Y278" i="13"/>
  <c r="W270" i="13"/>
  <c r="X270" i="13"/>
  <c r="Y270" i="13"/>
  <c r="Z270" i="13"/>
  <c r="AA262" i="13"/>
  <c r="W262" i="13"/>
  <c r="X262" i="13"/>
  <c r="W254" i="13"/>
  <c r="X254" i="13"/>
  <c r="Y254" i="13"/>
  <c r="Z254" i="13"/>
  <c r="Z246" i="13"/>
  <c r="AC246" i="13"/>
  <c r="W246" i="13"/>
  <c r="X246" i="13"/>
  <c r="X238" i="13"/>
  <c r="Y238" i="13"/>
  <c r="Z238" i="13"/>
  <c r="AC238" i="13"/>
  <c r="V230" i="13"/>
  <c r="W230" i="13"/>
  <c r="X230" i="13"/>
  <c r="Y230" i="13"/>
  <c r="Z230" i="13"/>
  <c r="V222" i="13"/>
  <c r="W222" i="13"/>
  <c r="X222" i="13"/>
  <c r="Y222" i="13"/>
  <c r="Z222" i="13"/>
  <c r="W214" i="13"/>
  <c r="X214" i="13"/>
  <c r="AB214" i="13"/>
  <c r="Y214" i="13"/>
  <c r="Z214" i="13"/>
  <c r="V206" i="13"/>
  <c r="AA206" i="13"/>
  <c r="AB206" i="13"/>
  <c r="AC206" i="13"/>
  <c r="V198" i="13"/>
  <c r="AE198" i="13"/>
  <c r="AA198" i="13"/>
  <c r="AB198" i="13"/>
  <c r="AC198" i="13"/>
  <c r="AA190" i="13"/>
  <c r="AB190" i="13"/>
  <c r="AC190" i="13"/>
  <c r="AB182" i="13"/>
  <c r="AC182" i="13"/>
  <c r="W182" i="13"/>
  <c r="X182" i="13"/>
  <c r="Y182" i="13"/>
  <c r="Z182" i="13"/>
  <c r="AB174" i="13"/>
  <c r="AC174" i="13"/>
  <c r="W174" i="13"/>
  <c r="X174" i="13"/>
  <c r="Y174" i="13"/>
  <c r="Z174" i="13"/>
  <c r="AC166" i="13"/>
  <c r="AB166" i="13"/>
  <c r="Z166" i="13"/>
  <c r="W166" i="13"/>
  <c r="W158" i="13"/>
  <c r="X158" i="13"/>
  <c r="Y158" i="13"/>
  <c r="AB158" i="13"/>
  <c r="Z158" i="13"/>
  <c r="V150" i="13"/>
  <c r="W150" i="13"/>
  <c r="X150" i="13"/>
  <c r="AC150" i="13"/>
  <c r="Y150" i="13"/>
  <c r="Z150" i="13"/>
  <c r="X142" i="13"/>
  <c r="Y142" i="13"/>
  <c r="Z142" i="13"/>
  <c r="AC142" i="13"/>
  <c r="V134" i="13"/>
  <c r="AA134" i="13"/>
  <c r="AB134" i="13"/>
  <c r="AC134" i="13"/>
  <c r="AE126" i="13"/>
  <c r="Y126" i="13"/>
  <c r="Z126" i="13"/>
  <c r="AA126" i="13"/>
  <c r="AC126" i="13"/>
  <c r="W126" i="13"/>
  <c r="AE118" i="13"/>
  <c r="AA118" i="13"/>
  <c r="W118" i="13"/>
  <c r="X118" i="13"/>
  <c r="Y118" i="13"/>
  <c r="Z118" i="13"/>
  <c r="AA110" i="13"/>
  <c r="W110" i="13"/>
  <c r="X110" i="13"/>
  <c r="Y110" i="13"/>
  <c r="Z110" i="13"/>
  <c r="V102" i="13"/>
  <c r="AB102" i="13"/>
  <c r="W102" i="13"/>
  <c r="X102" i="13"/>
  <c r="Y102" i="13"/>
  <c r="Z102" i="13"/>
  <c r="AC94" i="13"/>
  <c r="W94" i="13"/>
  <c r="X94" i="13"/>
  <c r="Y94" i="13"/>
  <c r="Z94" i="13"/>
  <c r="AB94" i="13"/>
  <c r="V86" i="13"/>
  <c r="AB86" i="13"/>
  <c r="AC86" i="13"/>
  <c r="AE86" i="13"/>
  <c r="V78" i="13"/>
  <c r="Y78" i="13"/>
  <c r="Z78" i="13"/>
  <c r="W78" i="13"/>
  <c r="AA70" i="13"/>
  <c r="AB70" i="13"/>
  <c r="AC70" i="13"/>
  <c r="AC62" i="13"/>
  <c r="AA62" i="13"/>
  <c r="W62" i="13"/>
  <c r="X62" i="13"/>
  <c r="Y62" i="13"/>
  <c r="AA54" i="13"/>
  <c r="AB54" i="13"/>
  <c r="V46" i="13"/>
  <c r="Z46" i="13"/>
  <c r="W46" i="13"/>
  <c r="X46" i="13"/>
  <c r="V38" i="13"/>
  <c r="AB38" i="13"/>
  <c r="AC38" i="13"/>
  <c r="AA30" i="13"/>
  <c r="X30" i="13"/>
  <c r="Y30" i="13"/>
  <c r="Z30" i="13"/>
  <c r="V22" i="13"/>
  <c r="Y22" i="13"/>
  <c r="Z22" i="13"/>
  <c r="AA22" i="13"/>
  <c r="W22" i="13"/>
  <c r="W14" i="13"/>
  <c r="X14" i="13"/>
  <c r="AC14" i="13"/>
  <c r="Y14" i="13"/>
  <c r="AS2775" i="3"/>
  <c r="AR2775" i="3"/>
  <c r="AY2767" i="3"/>
  <c r="AX2767" i="3"/>
  <c r="AU2639" i="3"/>
  <c r="AR2639" i="3"/>
  <c r="AE1096" i="13"/>
  <c r="AE968" i="13"/>
  <c r="AW3016" i="3"/>
  <c r="AV2949" i="3"/>
  <c r="AE952" i="13"/>
  <c r="AZ2898" i="3"/>
  <c r="BA2948" i="3"/>
  <c r="AS382" i="4"/>
  <c r="C1974" i="3"/>
  <c r="C713" i="13"/>
  <c r="C120" i="17"/>
  <c r="C1073" i="13"/>
  <c r="C323" i="4"/>
  <c r="C985" i="13"/>
  <c r="C324" i="4"/>
  <c r="C986" i="13"/>
  <c r="C2485" i="3"/>
  <c r="C1042" i="13"/>
  <c r="C2484" i="3"/>
  <c r="C861" i="13"/>
  <c r="C2483" i="3"/>
  <c r="C1045" i="13"/>
  <c r="C121" i="34"/>
  <c r="C2738" i="3"/>
  <c r="C2740" i="3"/>
  <c r="C2739" i="3"/>
  <c r="C1108" i="13"/>
  <c r="C2736" i="3"/>
  <c r="C2735" i="3"/>
  <c r="C972" i="13"/>
  <c r="C973" i="13"/>
  <c r="C975" i="13"/>
  <c r="C2402" i="3"/>
  <c r="C840" i="13"/>
  <c r="C2565" i="3"/>
  <c r="C2567" i="3"/>
  <c r="C1099" i="13"/>
  <c r="C771" i="13"/>
  <c r="C2566" i="3"/>
  <c r="C2263" i="3"/>
  <c r="C2256" i="3"/>
  <c r="C2261" i="3"/>
  <c r="C2257" i="3"/>
  <c r="C2258" i="3"/>
  <c r="C776" i="13"/>
  <c r="C2262" i="3"/>
  <c r="C2183" i="3"/>
  <c r="C936" i="13"/>
  <c r="C2187" i="3"/>
  <c r="C2188" i="3"/>
  <c r="C2185" i="3"/>
  <c r="C754" i="13"/>
  <c r="C111" i="17"/>
  <c r="C755" i="13"/>
  <c r="C245" i="13"/>
  <c r="C98" i="4"/>
  <c r="C99" i="4"/>
  <c r="C97" i="4"/>
  <c r="C737" i="3"/>
  <c r="C244" i="13"/>
  <c r="C1854" i="3"/>
  <c r="C1855" i="3"/>
  <c r="C1856" i="3"/>
  <c r="C1853" i="3"/>
  <c r="C687" i="13"/>
  <c r="C2099" i="3"/>
  <c r="C2103" i="3"/>
  <c r="C2101" i="3"/>
  <c r="C2100" i="3"/>
  <c r="C1014" i="13"/>
  <c r="C2882" i="3"/>
  <c r="C2883" i="3"/>
  <c r="C668" i="13"/>
  <c r="C2881" i="3"/>
  <c r="C2880" i="3"/>
  <c r="C1628" i="3"/>
  <c r="C1629" i="3"/>
  <c r="C1577" i="3"/>
  <c r="C593" i="13"/>
  <c r="C807" i="13"/>
  <c r="C1546" i="3"/>
  <c r="C1545" i="3"/>
  <c r="C572" i="13"/>
  <c r="C804" i="13"/>
  <c r="D329" i="12"/>
  <c r="D261" i="12"/>
  <c r="D260" i="12"/>
  <c r="D354" i="12"/>
  <c r="C178" i="4"/>
  <c r="D288" i="12"/>
  <c r="C1322" i="3"/>
  <c r="D372" i="12"/>
  <c r="C1323" i="3"/>
  <c r="D295" i="12"/>
  <c r="C1288" i="3"/>
  <c r="C756" i="13"/>
  <c r="C1578" i="3"/>
  <c r="C1587" i="3"/>
  <c r="C1592" i="3"/>
  <c r="C1582" i="3"/>
  <c r="C1591" i="3"/>
  <c r="C1597" i="3"/>
  <c r="C1586" i="3"/>
  <c r="C1595" i="3"/>
  <c r="C1584" i="3"/>
  <c r="C1590" i="3"/>
  <c r="C1599" i="3"/>
  <c r="C1589" i="3"/>
  <c r="C1598" i="3"/>
  <c r="C1585" i="3"/>
  <c r="C1593" i="3"/>
  <c r="C1579" i="3"/>
  <c r="C1596" i="3"/>
  <c r="C100" i="17"/>
  <c r="C239" i="4"/>
  <c r="C236" i="4"/>
  <c r="C643" i="13"/>
  <c r="C226" i="4"/>
  <c r="C232" i="4"/>
  <c r="C1734" i="3"/>
  <c r="C642" i="13"/>
  <c r="C230" i="4"/>
  <c r="C237" i="4"/>
  <c r="C1738" i="3"/>
  <c r="C234" i="4"/>
  <c r="C228" i="4"/>
  <c r="C1735" i="3"/>
  <c r="C227" i="4"/>
  <c r="C225" i="4"/>
  <c r="C1736" i="3"/>
  <c r="C102" i="17"/>
  <c r="C231" i="4"/>
  <c r="C240" i="4"/>
  <c r="C1737" i="3"/>
  <c r="C1346" i="3"/>
  <c r="C1347" i="3"/>
  <c r="C1336" i="3"/>
  <c r="C1417" i="3"/>
  <c r="C1350" i="3"/>
  <c r="C1351" i="3"/>
  <c r="C1341" i="3"/>
  <c r="C1348" i="3"/>
  <c r="C66" i="17"/>
  <c r="C1354" i="3"/>
  <c r="C1355" i="3"/>
  <c r="C1352" i="3"/>
  <c r="C1337" i="3"/>
  <c r="C65" i="17"/>
  <c r="C1418" i="3"/>
  <c r="C1419" i="3"/>
  <c r="C1357" i="3"/>
  <c r="C433" i="13"/>
  <c r="C1314" i="3"/>
  <c r="C1315" i="3"/>
  <c r="C1345" i="3"/>
  <c r="C1344" i="3"/>
  <c r="C1338" i="3"/>
  <c r="C1339" i="3"/>
  <c r="C1356" i="3"/>
  <c r="C1349" i="3"/>
  <c r="C2022" i="3"/>
  <c r="C2009" i="3"/>
  <c r="C725" i="13"/>
  <c r="C2011" i="3"/>
  <c r="C2020" i="3"/>
  <c r="C2015" i="3"/>
  <c r="C621" i="13"/>
  <c r="C2019" i="3"/>
  <c r="C2013" i="3"/>
  <c r="C2010" i="3"/>
  <c r="C2021" i="3"/>
  <c r="C615" i="13"/>
  <c r="C2014" i="3"/>
  <c r="C2012" i="3"/>
  <c r="C616" i="13"/>
  <c r="C1210" i="3"/>
  <c r="C1211" i="3"/>
  <c r="C436" i="13"/>
  <c r="C1930" i="3"/>
  <c r="C1919" i="3"/>
  <c r="C1951" i="3"/>
  <c r="C1916" i="3"/>
  <c r="C1940" i="3"/>
  <c r="C1944" i="3"/>
  <c r="C1934" i="3"/>
  <c r="C1923" i="3"/>
  <c r="C1955" i="3"/>
  <c r="C1921" i="3"/>
  <c r="C1945" i="3"/>
  <c r="C1079" i="13"/>
  <c r="C1938" i="3"/>
  <c r="C1927" i="3"/>
  <c r="C1920" i="3"/>
  <c r="C1932" i="3"/>
  <c r="C1956" i="3"/>
  <c r="C1942" i="3"/>
  <c r="C1931" i="3"/>
  <c r="C1925" i="3"/>
  <c r="C1937" i="3"/>
  <c r="C1917" i="3"/>
  <c r="D456" i="12"/>
  <c r="C1918" i="3"/>
  <c r="C1950" i="3"/>
  <c r="C1939" i="3"/>
  <c r="C1941" i="3"/>
  <c r="C1953" i="3"/>
  <c r="C638" i="13"/>
  <c r="C1922" i="3"/>
  <c r="C1954" i="3"/>
  <c r="C1943" i="3"/>
  <c r="C1952" i="3"/>
  <c r="C1924" i="3"/>
  <c r="C1928" i="3"/>
  <c r="C48" i="4"/>
  <c r="C583" i="13"/>
  <c r="C490" i="3"/>
  <c r="C586" i="13"/>
  <c r="C35" i="17"/>
  <c r="C486" i="3"/>
  <c r="C47" i="4"/>
  <c r="C491" i="3"/>
  <c r="C49" i="4"/>
  <c r="C582" i="13"/>
  <c r="C488" i="3"/>
  <c r="C1005" i="13"/>
  <c r="C1059" i="3"/>
  <c r="C1061" i="3"/>
  <c r="C816" i="13"/>
  <c r="C1063" i="3"/>
  <c r="C1069" i="3"/>
  <c r="C817" i="13"/>
  <c r="C1054" i="3"/>
  <c r="C1067" i="3"/>
  <c r="C1057" i="3"/>
  <c r="C1058" i="3"/>
  <c r="C1056" i="3"/>
  <c r="C1065" i="3"/>
  <c r="C1066" i="3"/>
  <c r="C1064" i="3"/>
  <c r="C1053" i="3"/>
  <c r="C1070" i="3"/>
  <c r="C1068" i="3"/>
  <c r="C562" i="13"/>
  <c r="C371" i="13"/>
  <c r="C370" i="13"/>
  <c r="C1122" i="3"/>
  <c r="C1113" i="3"/>
  <c r="C1119" i="3"/>
  <c r="C1123" i="3"/>
  <c r="C1115" i="3"/>
  <c r="C540" i="13"/>
  <c r="C1110" i="3"/>
  <c r="C1116" i="3"/>
  <c r="C599" i="13"/>
  <c r="C1114" i="3"/>
  <c r="C1112" i="3"/>
  <c r="C357" i="13"/>
  <c r="C1003" i="3"/>
  <c r="C332" i="13"/>
  <c r="C58" i="17"/>
  <c r="C504" i="13"/>
  <c r="C946" i="3"/>
  <c r="C333" i="13"/>
  <c r="C525" i="13"/>
  <c r="C1097" i="3"/>
  <c r="C1093" i="3"/>
  <c r="C57" i="17"/>
  <c r="C1095" i="3"/>
  <c r="C1098" i="3"/>
  <c r="C1096" i="3"/>
  <c r="C723" i="3"/>
  <c r="C725" i="3"/>
  <c r="C726" i="3"/>
  <c r="C724" i="3"/>
  <c r="C722" i="3"/>
  <c r="C928" i="3"/>
  <c r="C929" i="3"/>
  <c r="C190" i="4"/>
  <c r="C1369" i="3"/>
  <c r="C187" i="4"/>
  <c r="C516" i="13"/>
  <c r="C188" i="4"/>
  <c r="C517" i="13"/>
  <c r="C1366" i="3"/>
  <c r="C1367" i="3"/>
  <c r="C840" i="3"/>
  <c r="C849" i="3"/>
  <c r="C838" i="3"/>
  <c r="C844" i="3"/>
  <c r="C853" i="3"/>
  <c r="C843" i="3"/>
  <c r="C848" i="3"/>
  <c r="C52" i="17"/>
  <c r="C854" i="3"/>
  <c r="C53" i="17"/>
  <c r="C837" i="3"/>
  <c r="C851" i="3"/>
  <c r="C834" i="3"/>
  <c r="C832" i="3"/>
  <c r="C841" i="3"/>
  <c r="C842" i="3"/>
  <c r="C362" i="13"/>
  <c r="C1086" i="3"/>
  <c r="C1085" i="3"/>
  <c r="C1033" i="13"/>
  <c r="C1090" i="3"/>
  <c r="C284" i="13"/>
  <c r="C1087" i="3"/>
  <c r="C287" i="13"/>
  <c r="C38" i="34"/>
  <c r="C1091" i="3"/>
  <c r="C283" i="13"/>
  <c r="C39" i="34"/>
  <c r="C286" i="13"/>
  <c r="C378" i="13"/>
  <c r="C51" i="4"/>
  <c r="C344" i="3"/>
  <c r="C37" i="17"/>
  <c r="C139" i="13"/>
  <c r="C345" i="3"/>
  <c r="C138" i="13"/>
  <c r="C52" i="4"/>
  <c r="C53" i="4"/>
  <c r="C544" i="3"/>
  <c r="C527" i="3"/>
  <c r="C542" i="3"/>
  <c r="C501" i="3"/>
  <c r="C538" i="3"/>
  <c r="C530" i="3"/>
  <c r="C505" i="3"/>
  <c r="C543" i="3"/>
  <c r="C503" i="3"/>
  <c r="C532" i="3"/>
  <c r="C533" i="3"/>
  <c r="C539" i="3"/>
  <c r="C1008" i="13"/>
  <c r="C536" i="3"/>
  <c r="C537" i="3"/>
  <c r="C526" i="3"/>
  <c r="C500" i="3"/>
  <c r="C254" i="13"/>
  <c r="C493" i="3"/>
  <c r="C253" i="13"/>
  <c r="C497" i="3"/>
  <c r="C255" i="13"/>
  <c r="C30" i="34"/>
  <c r="C28" i="34"/>
  <c r="C499" i="3"/>
  <c r="C27" i="34"/>
  <c r="C492" i="3"/>
  <c r="C498" i="3"/>
  <c r="C272" i="3"/>
  <c r="C106" i="13"/>
  <c r="C246" i="13"/>
  <c r="C269" i="3"/>
  <c r="C270" i="3"/>
  <c r="C24" i="17"/>
  <c r="C264" i="3"/>
  <c r="C135" i="17"/>
  <c r="C137" i="17"/>
  <c r="C136" i="17"/>
  <c r="C21" i="34"/>
  <c r="C176" i="13"/>
  <c r="C190" i="13"/>
  <c r="C18" i="17"/>
  <c r="C169" i="13"/>
  <c r="C28" i="4"/>
  <c r="C163" i="13"/>
  <c r="C17" i="17"/>
  <c r="C72" i="13"/>
  <c r="C182" i="3"/>
  <c r="C71" i="13"/>
  <c r="C184" i="3"/>
  <c r="C133" i="3"/>
  <c r="C78" i="3"/>
  <c r="C138" i="3"/>
  <c r="C334" i="3"/>
  <c r="C212" i="3"/>
  <c r="C144" i="3"/>
  <c r="C140" i="3"/>
  <c r="C227" i="3"/>
  <c r="C14" i="17"/>
  <c r="C137" i="3"/>
  <c r="C82" i="3"/>
  <c r="C142" i="3"/>
  <c r="C25" i="4"/>
  <c r="C223" i="3"/>
  <c r="C219" i="3"/>
  <c r="C211" i="3"/>
  <c r="C119" i="3"/>
  <c r="C77" i="3"/>
  <c r="C141" i="3"/>
  <c r="C114" i="3"/>
  <c r="C214" i="3"/>
  <c r="C79" i="3"/>
  <c r="C228" i="3"/>
  <c r="C224" i="3"/>
  <c r="C243" i="3"/>
  <c r="C136" i="3"/>
  <c r="C81" i="3"/>
  <c r="C213" i="3"/>
  <c r="C118" i="3"/>
  <c r="C218" i="3"/>
  <c r="C84" i="3"/>
  <c r="C335" i="3"/>
  <c r="C331" i="3"/>
  <c r="C332" i="3"/>
  <c r="C215" i="3"/>
  <c r="C121" i="3"/>
  <c r="C221" i="3"/>
  <c r="C126" i="3"/>
  <c r="C226" i="3"/>
  <c r="C127" i="3"/>
  <c r="C123" i="3"/>
  <c r="C216" i="3"/>
  <c r="C124" i="3"/>
  <c r="C57" i="13"/>
  <c r="C125" i="3"/>
  <c r="C225" i="3"/>
  <c r="C130" i="3"/>
  <c r="C242" i="3"/>
  <c r="C132" i="3"/>
  <c r="C128" i="3"/>
  <c r="C83" i="3"/>
  <c r="C131" i="3"/>
  <c r="C995" i="13"/>
  <c r="C50" i="3"/>
  <c r="C110" i="13"/>
  <c r="C47" i="3"/>
  <c r="C112" i="13"/>
  <c r="C52" i="3"/>
  <c r="C125" i="13"/>
  <c r="C35" i="13"/>
  <c r="C14" i="4"/>
  <c r="C115" i="13"/>
  <c r="C2313" i="3"/>
  <c r="C2312" i="3"/>
  <c r="C34" i="13"/>
  <c r="C2311" i="3"/>
  <c r="C2315" i="3"/>
  <c r="C14" i="34"/>
  <c r="C36" i="3"/>
  <c r="C26" i="13"/>
  <c r="C13" i="34"/>
  <c r="C39" i="3"/>
  <c r="C28" i="13"/>
  <c r="C12" i="34"/>
  <c r="C35" i="3"/>
  <c r="C990" i="13"/>
  <c r="C15" i="34"/>
  <c r="C34" i="3"/>
  <c r="C25" i="13"/>
  <c r="C38" i="3"/>
  <c r="C23" i="13"/>
  <c r="C2017" i="3"/>
  <c r="C1343" i="3"/>
  <c r="C235" i="4"/>
  <c r="C757" i="13"/>
  <c r="C738" i="3"/>
  <c r="C841" i="13"/>
  <c r="C846" i="3"/>
  <c r="C1368" i="3"/>
  <c r="C1099" i="3"/>
  <c r="C596" i="13"/>
  <c r="C1071" i="3"/>
  <c r="C36" i="17"/>
  <c r="C1935" i="3"/>
  <c r="C2016" i="3"/>
  <c r="C1422" i="3"/>
  <c r="C238" i="4"/>
  <c r="C505" i="13"/>
  <c r="C935" i="13"/>
  <c r="C1041" i="13"/>
  <c r="C189" i="4"/>
  <c r="C1092" i="3"/>
  <c r="C1117" i="3"/>
  <c r="C1072" i="3"/>
  <c r="C1949" i="3"/>
  <c r="C1915" i="3"/>
  <c r="C2018" i="3"/>
  <c r="C1342" i="3"/>
  <c r="C101" i="17"/>
  <c r="C805" i="13"/>
  <c r="C2184" i="3"/>
  <c r="C2737" i="3"/>
  <c r="C2186" i="3"/>
  <c r="C1063" i="13"/>
  <c r="C2879" i="3"/>
  <c r="C609" i="13"/>
  <c r="C1011" i="13"/>
  <c r="C2260" i="3"/>
  <c r="C987" i="13"/>
  <c r="D290" i="12"/>
  <c r="D437" i="12"/>
  <c r="V1039" i="13"/>
  <c r="AE1039" i="13"/>
  <c r="V687" i="13"/>
  <c r="AE687" i="13"/>
  <c r="V511" i="13"/>
  <c r="AE511" i="13"/>
  <c r="V182" i="13"/>
  <c r="AE182" i="13"/>
  <c r="V174" i="13"/>
  <c r="AE174" i="13"/>
  <c r="AE1104" i="13"/>
  <c r="AE1075" i="13"/>
  <c r="AE1056" i="13"/>
  <c r="AE1032" i="13"/>
  <c r="AE1011" i="13"/>
  <c r="AE988" i="13"/>
  <c r="AE844" i="13"/>
  <c r="AE816" i="13"/>
  <c r="AE948" i="13"/>
  <c r="AE1084" i="13"/>
  <c r="AE640" i="13"/>
  <c r="AE576" i="13"/>
  <c r="AE795" i="13"/>
  <c r="AE471" i="13"/>
  <c r="AE359" i="13"/>
  <c r="AE335" i="13"/>
  <c r="AE496" i="13"/>
  <c r="AE319" i="13"/>
  <c r="AS2680" i="3"/>
  <c r="AW2576" i="3"/>
  <c r="BA2416" i="3"/>
  <c r="V1052" i="13"/>
  <c r="AE1052" i="13"/>
  <c r="V996" i="13"/>
  <c r="AE996" i="13"/>
  <c r="V980" i="13"/>
  <c r="AE980" i="13"/>
  <c r="V964" i="13"/>
  <c r="AE964" i="13"/>
  <c r="V892" i="13"/>
  <c r="AE892" i="13"/>
  <c r="V876" i="13"/>
  <c r="AE876" i="13"/>
  <c r="V868" i="13"/>
  <c r="AE868" i="13"/>
  <c r="V828" i="13"/>
  <c r="AE828" i="13"/>
  <c r="V812" i="13"/>
  <c r="AE812" i="13"/>
  <c r="V804" i="13"/>
  <c r="AE804" i="13"/>
  <c r="V788" i="13"/>
  <c r="AE788" i="13"/>
  <c r="V780" i="13"/>
  <c r="AE780" i="13"/>
  <c r="V772" i="13"/>
  <c r="AE772" i="13"/>
  <c r="V764" i="13"/>
  <c r="AE764" i="13"/>
  <c r="V756" i="13"/>
  <c r="AE756" i="13"/>
  <c r="V748" i="13"/>
  <c r="AE748" i="13"/>
  <c r="V732" i="13"/>
  <c r="AE732" i="13"/>
  <c r="V708" i="13"/>
  <c r="AE708" i="13"/>
  <c r="V692" i="13"/>
  <c r="AE692" i="13"/>
  <c r="V644" i="13"/>
  <c r="AE644" i="13"/>
  <c r="V572" i="13"/>
  <c r="AE572" i="13"/>
  <c r="V556" i="13"/>
  <c r="AD556" i="13"/>
  <c r="V524" i="13"/>
  <c r="AE524" i="13"/>
  <c r="V443" i="13"/>
  <c r="AE443" i="13"/>
  <c r="V403" i="13"/>
  <c r="AE403" i="13"/>
  <c r="V379" i="13"/>
  <c r="AE379" i="13"/>
  <c r="V355" i="13"/>
  <c r="AE355" i="13"/>
  <c r="V339" i="13"/>
  <c r="AE339" i="13"/>
  <c r="V323" i="13"/>
  <c r="AE323" i="13"/>
  <c r="V299" i="13"/>
  <c r="AE299" i="13"/>
  <c r="V275" i="13"/>
  <c r="AE275" i="13"/>
  <c r="V251" i="13"/>
  <c r="AE251" i="13"/>
  <c r="V243" i="13"/>
  <c r="AE243" i="13"/>
  <c r="V211" i="13"/>
  <c r="AE211" i="13"/>
  <c r="V171" i="13"/>
  <c r="AE171" i="13"/>
  <c r="V131" i="13"/>
  <c r="AA131" i="13"/>
  <c r="AB131" i="13"/>
  <c r="V115" i="13"/>
  <c r="AE115" i="13"/>
  <c r="V99" i="13"/>
  <c r="AE99" i="13"/>
  <c r="V75" i="13"/>
  <c r="AE75" i="13"/>
  <c r="V67" i="13"/>
  <c r="AE67" i="13"/>
  <c r="V51" i="13"/>
  <c r="AE51" i="13"/>
  <c r="AA51" i="13"/>
  <c r="V43" i="13"/>
  <c r="AC43" i="13"/>
  <c r="V35" i="13"/>
  <c r="AE35" i="13"/>
  <c r="AB35" i="13"/>
  <c r="AA35" i="13"/>
  <c r="V19" i="13"/>
  <c r="AC19" i="13"/>
  <c r="V11" i="13"/>
  <c r="AB11" i="13"/>
  <c r="AX2772" i="3"/>
  <c r="AY2772" i="3"/>
  <c r="AZ2772" i="3"/>
  <c r="BA2772" i="3"/>
  <c r="AS2772" i="3"/>
  <c r="AT2772" i="3"/>
  <c r="AV2764" i="3"/>
  <c r="AX2764" i="3"/>
  <c r="AY2764" i="3"/>
  <c r="AZ2764" i="3"/>
  <c r="BA2764" i="3"/>
  <c r="AT2764" i="3"/>
  <c r="AU2764" i="3"/>
  <c r="AT2756" i="3"/>
  <c r="AW2756" i="3"/>
  <c r="AX2756" i="3"/>
  <c r="AZ2756" i="3"/>
  <c r="BA2756" i="3"/>
  <c r="AY2756" i="3"/>
  <c r="AS2756" i="3"/>
  <c r="AY2748" i="3"/>
  <c r="AR2748" i="3"/>
  <c r="BA2748" i="3"/>
  <c r="AS2748" i="3"/>
  <c r="AU2748" i="3"/>
  <c r="AV2748" i="3"/>
  <c r="AX2748" i="3"/>
  <c r="AZ2748" i="3"/>
  <c r="AU2740" i="3"/>
  <c r="AW2740" i="3"/>
  <c r="AX2740" i="3"/>
  <c r="AR2740" i="3"/>
  <c r="AY2740" i="3"/>
  <c r="AZ2740" i="3"/>
  <c r="AS2740" i="3"/>
  <c r="AY2732" i="3"/>
  <c r="AZ2732" i="3"/>
  <c r="AR2732" i="3"/>
  <c r="BA2732" i="3"/>
  <c r="AV2732" i="3"/>
  <c r="AW2732" i="3"/>
  <c r="AU2732" i="3"/>
  <c r="AX2732" i="3"/>
  <c r="AU2724" i="3"/>
  <c r="AW2724" i="3"/>
  <c r="AX2724" i="3"/>
  <c r="AS2724" i="3"/>
  <c r="AT2724" i="3"/>
  <c r="AY2724" i="3"/>
  <c r="AZ2724" i="3"/>
  <c r="AS2716" i="3"/>
  <c r="AT2716" i="3"/>
  <c r="AX2716" i="3"/>
  <c r="AY2716" i="3"/>
  <c r="AU2716" i="3"/>
  <c r="AX2708" i="3"/>
  <c r="AZ2708" i="3"/>
  <c r="AR2708" i="3"/>
  <c r="BA2708" i="3"/>
  <c r="AS2708" i="3"/>
  <c r="AW2708" i="3"/>
  <c r="AV2700" i="3"/>
  <c r="AR2700" i="3"/>
  <c r="BA2700" i="3"/>
  <c r="AS2700" i="3"/>
  <c r="AW2700" i="3"/>
  <c r="AX2700" i="3"/>
  <c r="AW2692" i="3"/>
  <c r="AX2692" i="3"/>
  <c r="AY2692" i="3"/>
  <c r="AZ2692" i="3"/>
  <c r="AV2692" i="3"/>
  <c r="AR2692" i="3"/>
  <c r="AW2684" i="3"/>
  <c r="AR2684" i="3"/>
  <c r="BA2684" i="3"/>
  <c r="AS2684" i="3"/>
  <c r="AT2684" i="3"/>
  <c r="AU2684" i="3"/>
  <c r="AX2684" i="3"/>
  <c r="AY2684" i="3"/>
  <c r="AV2676" i="3"/>
  <c r="AW2676" i="3"/>
  <c r="AZ2676" i="3"/>
  <c r="AU2676" i="3"/>
  <c r="AX2676" i="3"/>
  <c r="AZ2668" i="3"/>
  <c r="BA2668" i="3"/>
  <c r="AU2668" i="3"/>
  <c r="AV2668" i="3"/>
  <c r="AS2668" i="3"/>
  <c r="AX2668" i="3"/>
  <c r="AW2660" i="3"/>
  <c r="AS2660" i="3"/>
  <c r="AY2660" i="3"/>
  <c r="BA2660" i="3"/>
  <c r="AT2660" i="3"/>
  <c r="AS2652" i="3"/>
  <c r="AT2652" i="3"/>
  <c r="AR2652" i="3"/>
  <c r="AW2652" i="3"/>
  <c r="AZ2644" i="3"/>
  <c r="BA2644" i="3"/>
  <c r="AR2644" i="3"/>
  <c r="AS2644" i="3"/>
  <c r="AY2644" i="3"/>
  <c r="AS2636" i="3"/>
  <c r="AT2636" i="3"/>
  <c r="AU2636" i="3"/>
  <c r="AW2636" i="3"/>
  <c r="AZ2636" i="3"/>
  <c r="AX2628" i="3"/>
  <c r="AY2628" i="3"/>
  <c r="AW2628" i="3"/>
  <c r="AT2620" i="3"/>
  <c r="BA2620" i="3"/>
  <c r="AW2620" i="3"/>
  <c r="AX2620" i="3"/>
  <c r="AY2620" i="3"/>
  <c r="AZ2612" i="3"/>
  <c r="BA2612" i="3"/>
  <c r="AX2612" i="3"/>
  <c r="AW2612" i="3"/>
  <c r="AS2612" i="3"/>
  <c r="AU2604" i="3"/>
  <c r="AT2604" i="3"/>
  <c r="AZ2604" i="3"/>
  <c r="AV2604" i="3"/>
  <c r="AW2604" i="3"/>
  <c r="AR2596" i="3"/>
  <c r="AT2596" i="3"/>
  <c r="AU2596" i="3"/>
  <c r="BA2596" i="3"/>
  <c r="AZ2596" i="3"/>
  <c r="AS2596" i="3"/>
  <c r="AR2588" i="3"/>
  <c r="BA2588" i="3"/>
  <c r="AY2588" i="3"/>
  <c r="AS2588" i="3"/>
  <c r="AT2588" i="3"/>
  <c r="BA2580" i="3"/>
  <c r="AV2580" i="3"/>
  <c r="AW2580" i="3"/>
  <c r="AZ2580" i="3"/>
  <c r="AY2580" i="3"/>
  <c r="AR2580" i="3"/>
  <c r="AV2572" i="3"/>
  <c r="BA2572" i="3"/>
  <c r="AU2572" i="3"/>
  <c r="AX2572" i="3"/>
  <c r="AY2572" i="3"/>
  <c r="AS2572" i="3"/>
  <c r="AT2572" i="3"/>
  <c r="AW2572" i="3"/>
  <c r="AX2564" i="3"/>
  <c r="AZ2564" i="3"/>
  <c r="AY2564" i="3"/>
  <c r="BA2564" i="3"/>
  <c r="AV2564" i="3"/>
  <c r="AT2556" i="3"/>
  <c r="AR2556" i="3"/>
  <c r="AZ2556" i="3"/>
  <c r="BA2556" i="3"/>
  <c r="AU2556" i="3"/>
  <c r="AX2556" i="3"/>
  <c r="AY2548" i="3"/>
  <c r="AS2548" i="3"/>
  <c r="AX2548" i="3"/>
  <c r="AZ2548" i="3"/>
  <c r="AR2548" i="3"/>
  <c r="AR2540" i="3"/>
  <c r="AT2540" i="3"/>
  <c r="AV2540" i="3"/>
  <c r="AW2540" i="3"/>
  <c r="AS2540" i="3"/>
  <c r="AV2532" i="3"/>
  <c r="AT2532" i="3"/>
  <c r="AR2532" i="3"/>
  <c r="AS2532" i="3"/>
  <c r="AY2532" i="3"/>
  <c r="AZ2532" i="3"/>
  <c r="AT2524" i="3"/>
  <c r="AY2524" i="3"/>
  <c r="AV2524" i="3"/>
  <c r="AW2524" i="3"/>
  <c r="AX2524" i="3"/>
  <c r="AT2516" i="3"/>
  <c r="AZ2516" i="3"/>
  <c r="AR2516" i="3"/>
  <c r="AU2516" i="3"/>
  <c r="AW2516" i="3"/>
  <c r="AV2508" i="3"/>
  <c r="AS2508" i="3"/>
  <c r="AT2508" i="3"/>
  <c r="AU2508" i="3"/>
  <c r="AY2500" i="3"/>
  <c r="AZ2500" i="3"/>
  <c r="AU2500" i="3"/>
  <c r="AS2500" i="3"/>
  <c r="BA2500" i="3"/>
  <c r="AR2500" i="3"/>
  <c r="AY2492" i="3"/>
  <c r="AT2492" i="3"/>
  <c r="AS2492" i="3"/>
  <c r="AU2492" i="3"/>
  <c r="AR2492" i="3"/>
  <c r="BA2484" i="3"/>
  <c r="AU2484" i="3"/>
  <c r="AR2484" i="3"/>
  <c r="AX2484" i="3"/>
  <c r="AY2484" i="3"/>
  <c r="AZ2484" i="3"/>
  <c r="AV2476" i="3"/>
  <c r="BA2476" i="3"/>
  <c r="AW2476" i="3"/>
  <c r="AX2476" i="3"/>
  <c r="AS2476" i="3"/>
  <c r="AY2468" i="3"/>
  <c r="AZ2468" i="3"/>
  <c r="AU2468" i="3"/>
  <c r="AV2468" i="3"/>
  <c r="AZ2460" i="3"/>
  <c r="AX2460" i="3"/>
  <c r="AU2460" i="3"/>
  <c r="AW2460" i="3"/>
  <c r="AY2460" i="3"/>
  <c r="AY2452" i="3"/>
  <c r="AX2452" i="3"/>
  <c r="AS2452" i="3"/>
  <c r="AV2452" i="3"/>
  <c r="AT2444" i="3"/>
  <c r="AR2444" i="3"/>
  <c r="AS2444" i="3"/>
  <c r="AV2436" i="3"/>
  <c r="AU2436" i="3"/>
  <c r="AW2436" i="3"/>
  <c r="BA2436" i="3"/>
  <c r="AR2436" i="3"/>
  <c r="AS2436" i="3"/>
  <c r="AY2428" i="3"/>
  <c r="AT2428" i="3"/>
  <c r="AZ2428" i="3"/>
  <c r="AW2428" i="3"/>
  <c r="AT2420" i="3"/>
  <c r="AU2420" i="3"/>
  <c r="AS2420" i="3"/>
  <c r="AY2420" i="3"/>
  <c r="AZ2420" i="3"/>
  <c r="AU2412" i="3"/>
  <c r="AV2412" i="3"/>
  <c r="AR2412" i="3"/>
  <c r="AZ2412" i="3"/>
  <c r="AT2404" i="3"/>
  <c r="AU2404" i="3"/>
  <c r="BA2404" i="3"/>
  <c r="AW2404" i="3"/>
  <c r="AX2396" i="3"/>
  <c r="BA2396" i="3"/>
  <c r="AV2396" i="3"/>
  <c r="AW2396" i="3"/>
  <c r="AV2388" i="3"/>
  <c r="AW2388" i="3"/>
  <c r="BA2388" i="3"/>
  <c r="AX2380" i="3"/>
  <c r="AT2380" i="3"/>
  <c r="BA2380" i="3"/>
  <c r="AY2372" i="3"/>
  <c r="AW2372" i="3"/>
  <c r="AV2372" i="3"/>
  <c r="BA2364" i="3"/>
  <c r="AZ2364" i="3"/>
  <c r="AR2364" i="3"/>
  <c r="BA2356" i="3"/>
  <c r="AV2356" i="3"/>
  <c r="AU2356" i="3"/>
  <c r="AT2332" i="3"/>
  <c r="BA2332" i="3"/>
  <c r="AS2324" i="3"/>
  <c r="AR2324" i="3"/>
  <c r="BA2300" i="3"/>
  <c r="AR2300" i="3"/>
  <c r="V1099" i="13"/>
  <c r="AE1099" i="13"/>
  <c r="V1059" i="13"/>
  <c r="AE1059" i="13"/>
  <c r="V915" i="13"/>
  <c r="AE915" i="13"/>
  <c r="V899" i="13"/>
  <c r="AE899" i="13"/>
  <c r="V875" i="13"/>
  <c r="AE875" i="13"/>
  <c r="V867" i="13"/>
  <c r="AE867" i="13"/>
  <c r="V851" i="13"/>
  <c r="AE851" i="13"/>
  <c r="V771" i="13"/>
  <c r="AE771" i="13"/>
  <c r="V707" i="13"/>
  <c r="AE707" i="13"/>
  <c r="V667" i="13"/>
  <c r="AE667" i="13"/>
  <c r="V651" i="13"/>
  <c r="AE651" i="13"/>
  <c r="V603" i="13"/>
  <c r="AE603" i="13"/>
  <c r="V547" i="13"/>
  <c r="AE547" i="13"/>
  <c r="V499" i="13"/>
  <c r="AE499" i="13"/>
  <c r="V418" i="13"/>
  <c r="AE418" i="13"/>
  <c r="V354" i="13"/>
  <c r="AE354" i="13"/>
  <c r="V346" i="13"/>
  <c r="AE346" i="13"/>
  <c r="V338" i="13"/>
  <c r="AE338" i="13"/>
  <c r="V330" i="13"/>
  <c r="AE330" i="13"/>
  <c r="V322" i="13"/>
  <c r="AE322" i="13"/>
  <c r="V314" i="13"/>
  <c r="AE314" i="13"/>
  <c r="V290" i="13"/>
  <c r="AE290" i="13"/>
  <c r="V282" i="13"/>
  <c r="AE282" i="13"/>
  <c r="V274" i="13"/>
  <c r="AE274" i="13"/>
  <c r="V250" i="13"/>
  <c r="AE250" i="13"/>
  <c r="V242" i="13"/>
  <c r="AE242" i="13"/>
  <c r="V218" i="13"/>
  <c r="AE218" i="13"/>
  <c r="V170" i="13"/>
  <c r="AE170" i="13"/>
  <c r="V162" i="13"/>
  <c r="AE162" i="13"/>
  <c r="V154" i="13"/>
  <c r="AE154" i="13"/>
  <c r="V138" i="13"/>
  <c r="AE138" i="13"/>
  <c r="V130" i="13"/>
  <c r="AE130" i="13"/>
  <c r="V82" i="13"/>
  <c r="AE82" i="13"/>
  <c r="V58" i="13"/>
  <c r="AA58" i="13"/>
  <c r="V26" i="13"/>
  <c r="AC26" i="13"/>
  <c r="AA26" i="13"/>
  <c r="V18" i="13"/>
  <c r="AE18" i="13"/>
  <c r="AC18" i="13"/>
  <c r="V10" i="13"/>
  <c r="AE10" i="13"/>
  <c r="AA10" i="13"/>
  <c r="AR2771" i="3"/>
  <c r="AZ2771" i="3"/>
  <c r="AS2771" i="3"/>
  <c r="BA2771" i="3"/>
  <c r="AX2771" i="3"/>
  <c r="AY2771" i="3"/>
  <c r="AV2771" i="3"/>
  <c r="AY2763" i="3"/>
  <c r="AR2763" i="3"/>
  <c r="AZ2763" i="3"/>
  <c r="AW2763" i="3"/>
  <c r="AX2763" i="3"/>
  <c r="AS2763" i="3"/>
  <c r="BA2763" i="3"/>
  <c r="AX2755" i="3"/>
  <c r="AY2755" i="3"/>
  <c r="AW2755" i="3"/>
  <c r="AZ2755" i="3"/>
  <c r="AT2755" i="3"/>
  <c r="AU2755" i="3"/>
  <c r="AT2747" i="3"/>
  <c r="AU2747" i="3"/>
  <c r="AS2747" i="3"/>
  <c r="AV2747" i="3"/>
  <c r="AR2747" i="3"/>
  <c r="AW2747" i="3"/>
  <c r="BA2747" i="3"/>
  <c r="AX2739" i="3"/>
  <c r="AY2739" i="3"/>
  <c r="BA2739" i="3"/>
  <c r="AR2739" i="3"/>
  <c r="AT2739" i="3"/>
  <c r="AU2739" i="3"/>
  <c r="AS2731" i="3"/>
  <c r="BA2731" i="3"/>
  <c r="AT2731" i="3"/>
  <c r="AV2731" i="3"/>
  <c r="AW2731" i="3"/>
  <c r="AR2731" i="3"/>
  <c r="AZ2731" i="3"/>
  <c r="AX2723" i="3"/>
  <c r="AY2723" i="3"/>
  <c r="AS2723" i="3"/>
  <c r="AT2723" i="3"/>
  <c r="AR2723" i="3"/>
  <c r="AU2723" i="3"/>
  <c r="BA2723" i="3"/>
  <c r="AT2715" i="3"/>
  <c r="AU2715" i="3"/>
  <c r="AZ2715" i="3"/>
  <c r="BA2715" i="3"/>
  <c r="AS2715" i="3"/>
  <c r="AV2715" i="3"/>
  <c r="AS2707" i="3"/>
  <c r="BA2707" i="3"/>
  <c r="AT2707" i="3"/>
  <c r="AY2707" i="3"/>
  <c r="AZ2707" i="3"/>
  <c r="AX2707" i="3"/>
  <c r="AU2707" i="3"/>
  <c r="AT2699" i="3"/>
  <c r="AU2699" i="3"/>
  <c r="AZ2699" i="3"/>
  <c r="BA2699" i="3"/>
  <c r="AR2699" i="3"/>
  <c r="AS2699" i="3"/>
  <c r="AY2699" i="3"/>
  <c r="AX2691" i="3"/>
  <c r="AY2691" i="3"/>
  <c r="AV2691" i="3"/>
  <c r="AW2691" i="3"/>
  <c r="AS2691" i="3"/>
  <c r="AT2691" i="3"/>
  <c r="AT2683" i="3"/>
  <c r="AU2683" i="3"/>
  <c r="AR2683" i="3"/>
  <c r="AS2683" i="3"/>
  <c r="AV2683" i="3"/>
  <c r="AZ2683" i="3"/>
  <c r="AW2675" i="3"/>
  <c r="AX2675" i="3"/>
  <c r="AY2675" i="3"/>
  <c r="AZ2675" i="3"/>
  <c r="AR2675" i="3"/>
  <c r="AS2675" i="3"/>
  <c r="BA2675" i="3"/>
  <c r="AR2667" i="3"/>
  <c r="AZ2667" i="3"/>
  <c r="AS2667" i="3"/>
  <c r="BA2667" i="3"/>
  <c r="AT2667" i="3"/>
  <c r="AU2667" i="3"/>
  <c r="AX2667" i="3"/>
  <c r="AS2659" i="3"/>
  <c r="BA2659" i="3"/>
  <c r="AT2659" i="3"/>
  <c r="AW2659" i="3"/>
  <c r="AX2659" i="3"/>
  <c r="AZ2659" i="3"/>
  <c r="AU2659" i="3"/>
  <c r="AU2651" i="3"/>
  <c r="AV2651" i="3"/>
  <c r="BA2651" i="3"/>
  <c r="AR2651" i="3"/>
  <c r="AX2651" i="3"/>
  <c r="AY2651" i="3"/>
  <c r="AS2651" i="3"/>
  <c r="AR2643" i="3"/>
  <c r="AZ2643" i="3"/>
  <c r="AS2643" i="3"/>
  <c r="BA2643" i="3"/>
  <c r="AX2643" i="3"/>
  <c r="AY2643" i="3"/>
  <c r="AU2643" i="3"/>
  <c r="AU2635" i="3"/>
  <c r="AV2635" i="3"/>
  <c r="AS2635" i="3"/>
  <c r="AT2635" i="3"/>
  <c r="AY2635" i="3"/>
  <c r="AZ2635" i="3"/>
  <c r="AR2635" i="3"/>
  <c r="AX2627" i="3"/>
  <c r="AY2627" i="3"/>
  <c r="AZ2627" i="3"/>
  <c r="BA2627" i="3"/>
  <c r="AV2627" i="3"/>
  <c r="AW2627" i="3"/>
  <c r="AS2627" i="3"/>
  <c r="AR2619" i="3"/>
  <c r="AZ2619" i="3"/>
  <c r="AS2619" i="3"/>
  <c r="BA2619" i="3"/>
  <c r="AU2619" i="3"/>
  <c r="AV2619" i="3"/>
  <c r="AX2619" i="3"/>
  <c r="AY2619" i="3"/>
  <c r="AR2611" i="3"/>
  <c r="AZ2611" i="3"/>
  <c r="AS2611" i="3"/>
  <c r="BA2611" i="3"/>
  <c r="AW2611" i="3"/>
  <c r="AX2611" i="3"/>
  <c r="AT2611" i="3"/>
  <c r="AU2611" i="3"/>
  <c r="AU2603" i="3"/>
  <c r="AY2603" i="3"/>
  <c r="AZ2603" i="3"/>
  <c r="AX2603" i="3"/>
  <c r="BA2603" i="3"/>
  <c r="AV2603" i="3"/>
  <c r="AT2595" i="3"/>
  <c r="AU2595" i="3"/>
  <c r="AV2595" i="3"/>
  <c r="AX2595" i="3"/>
  <c r="AY2595" i="3"/>
  <c r="AR2595" i="3"/>
  <c r="AS2595" i="3"/>
  <c r="AT2587" i="3"/>
  <c r="AZ2587" i="3"/>
  <c r="AR2587" i="3"/>
  <c r="BA2587" i="3"/>
  <c r="AW2587" i="3"/>
  <c r="AX2587" i="3"/>
  <c r="AU2587" i="3"/>
  <c r="AS2579" i="3"/>
  <c r="BA2579" i="3"/>
  <c r="AV2579" i="3"/>
  <c r="AW2579" i="3"/>
  <c r="AU2579" i="3"/>
  <c r="AX2579" i="3"/>
  <c r="AR2579" i="3"/>
  <c r="AR2571" i="3"/>
  <c r="AZ2571" i="3"/>
  <c r="AU2571" i="3"/>
  <c r="AV2571" i="3"/>
  <c r="AW2571" i="3"/>
  <c r="AS2571" i="3"/>
  <c r="AT2571" i="3"/>
  <c r="AX2563" i="3"/>
  <c r="AY2563" i="3"/>
  <c r="AV2563" i="3"/>
  <c r="AW2563" i="3"/>
  <c r="AU2563" i="3"/>
  <c r="AZ2563" i="3"/>
  <c r="AT2563" i="3"/>
  <c r="BA2563" i="3"/>
  <c r="AX2555" i="3"/>
  <c r="AU2555" i="3"/>
  <c r="AR2555" i="3"/>
  <c r="AW2555" i="3"/>
  <c r="AY2555" i="3"/>
  <c r="AZ2555" i="3"/>
  <c r="BA2555" i="3"/>
  <c r="AS2555" i="3"/>
  <c r="AW2547" i="3"/>
  <c r="AY2547" i="3"/>
  <c r="AS2547" i="3"/>
  <c r="AU2547" i="3"/>
  <c r="AV2547" i="3"/>
  <c r="AT2547" i="3"/>
  <c r="AX2547" i="3"/>
  <c r="BA2547" i="3"/>
  <c r="AW2539" i="3"/>
  <c r="AS2539" i="3"/>
  <c r="AT2539" i="3"/>
  <c r="AR2539" i="3"/>
  <c r="AU2539" i="3"/>
  <c r="AZ2539" i="3"/>
  <c r="BA2539" i="3"/>
  <c r="AY2539" i="3"/>
  <c r="AW2531" i="3"/>
  <c r="AV2531" i="3"/>
  <c r="AT2531" i="3"/>
  <c r="AR2531" i="3"/>
  <c r="AS2531" i="3"/>
  <c r="AZ2531" i="3"/>
  <c r="BA2531" i="3"/>
  <c r="AU2531" i="3"/>
  <c r="AV2523" i="3"/>
  <c r="AY2523" i="3"/>
  <c r="AT2523" i="3"/>
  <c r="AZ2523" i="3"/>
  <c r="BA2523" i="3"/>
  <c r="AW2523" i="3"/>
  <c r="AX2523" i="3"/>
  <c r="AU2523" i="3"/>
  <c r="AU2515" i="3"/>
  <c r="AV2515" i="3"/>
  <c r="AZ2515" i="3"/>
  <c r="AR2515" i="3"/>
  <c r="AT2515" i="3"/>
  <c r="AW2515" i="3"/>
  <c r="BA2515" i="3"/>
  <c r="AS2515" i="3"/>
  <c r="AS2507" i="3"/>
  <c r="AV2507" i="3"/>
  <c r="AX2507" i="3"/>
  <c r="AY2507" i="3"/>
  <c r="AZ2507" i="3"/>
  <c r="AU2507" i="3"/>
  <c r="AW2507" i="3"/>
  <c r="AY2499" i="3"/>
  <c r="AV2499" i="3"/>
  <c r="AU2499" i="3"/>
  <c r="AS2499" i="3"/>
  <c r="AR2499" i="3"/>
  <c r="BA2499" i="3"/>
  <c r="AT2499" i="3"/>
  <c r="AW2499" i="3"/>
  <c r="AX2491" i="3"/>
  <c r="AW2491" i="3"/>
  <c r="AT2491" i="3"/>
  <c r="BA2491" i="3"/>
  <c r="AV2491" i="3"/>
  <c r="AY2491" i="3"/>
  <c r="AR2491" i="3"/>
  <c r="AV2483" i="3"/>
  <c r="AY2483" i="3"/>
  <c r="AS2483" i="3"/>
  <c r="AW2483" i="3"/>
  <c r="AX2483" i="3"/>
  <c r="AT2475" i="3"/>
  <c r="AY2475" i="3"/>
  <c r="BA2475" i="3"/>
  <c r="AR2475" i="3"/>
  <c r="AU2475" i="3"/>
  <c r="AV2475" i="3"/>
  <c r="AZ2475" i="3"/>
  <c r="AS2475" i="3"/>
  <c r="AR2467" i="3"/>
  <c r="AW2467" i="3"/>
  <c r="AV2467" i="3"/>
  <c r="AU2467" i="3"/>
  <c r="AX2467" i="3"/>
  <c r="AY2467" i="3"/>
  <c r="AS2467" i="3"/>
  <c r="AT2467" i="3"/>
  <c r="AX2459" i="3"/>
  <c r="AW2459" i="3"/>
  <c r="AT2459" i="3"/>
  <c r="BA2459" i="3"/>
  <c r="AR2459" i="3"/>
  <c r="AS2459" i="3"/>
  <c r="AZ2459" i="3"/>
  <c r="AV2451" i="3"/>
  <c r="AW2451" i="3"/>
  <c r="BA2451" i="3"/>
  <c r="AU2451" i="3"/>
  <c r="AR2451" i="3"/>
  <c r="AS2451" i="3"/>
  <c r="AX2451" i="3"/>
  <c r="AS2443" i="3"/>
  <c r="AU2443" i="3"/>
  <c r="AW2443" i="3"/>
  <c r="AZ2443" i="3"/>
  <c r="AT2443" i="3"/>
  <c r="AV2443" i="3"/>
  <c r="AX2443" i="3"/>
  <c r="AY2443" i="3"/>
  <c r="AX2435" i="3"/>
  <c r="AU2435" i="3"/>
  <c r="AT2435" i="3"/>
  <c r="AV2435" i="3"/>
  <c r="AZ2435" i="3"/>
  <c r="BA2435" i="3"/>
  <c r="AR2435" i="3"/>
  <c r="AS2435" i="3"/>
  <c r="AU2427" i="3"/>
  <c r="AV2427" i="3"/>
  <c r="AR2427" i="3"/>
  <c r="BA2427" i="3"/>
  <c r="AS2427" i="3"/>
  <c r="AZ2427" i="3"/>
  <c r="AY2427" i="3"/>
  <c r="AY2419" i="3"/>
  <c r="AT2419" i="3"/>
  <c r="AX2419" i="3"/>
  <c r="AU2419" i="3"/>
  <c r="AS2419" i="3"/>
  <c r="AV2419" i="3"/>
  <c r="BA2419" i="3"/>
  <c r="AR2419" i="3"/>
  <c r="AV2411" i="3"/>
  <c r="AT2411" i="3"/>
  <c r="AW2411" i="3"/>
  <c r="BA2411" i="3"/>
  <c r="AY2411" i="3"/>
  <c r="AZ2411" i="3"/>
  <c r="AU2411" i="3"/>
  <c r="AX2411" i="3"/>
  <c r="AT2403" i="3"/>
  <c r="BA2403" i="3"/>
  <c r="AW2403" i="3"/>
  <c r="AX2403" i="3"/>
  <c r="AS2403" i="3"/>
  <c r="AW2395" i="3"/>
  <c r="AS2395" i="3"/>
  <c r="AT2395" i="3"/>
  <c r="BA2395" i="3"/>
  <c r="AR2395" i="3"/>
  <c r="AX2395" i="3"/>
  <c r="AS2387" i="3"/>
  <c r="AX2387" i="3"/>
  <c r="AW2387" i="3"/>
  <c r="AT2387" i="3"/>
  <c r="AU2387" i="3"/>
  <c r="AV2387" i="3"/>
  <c r="AZ2379" i="3"/>
  <c r="AS2379" i="3"/>
  <c r="AR2379" i="3"/>
  <c r="AY2379" i="3"/>
  <c r="AS2371" i="3"/>
  <c r="AW2371" i="3"/>
  <c r="AZ2371" i="3"/>
  <c r="BA2371" i="3"/>
  <c r="AX2371" i="3"/>
  <c r="AY2371" i="3"/>
  <c r="AY2363" i="3"/>
  <c r="AZ2363" i="3"/>
  <c r="AR2363" i="3"/>
  <c r="AV2363" i="3"/>
  <c r="AW2363" i="3"/>
  <c r="AS2355" i="3"/>
  <c r="AU2355" i="3"/>
  <c r="AV2355" i="3"/>
  <c r="AY2355" i="3"/>
  <c r="AZ2355" i="3"/>
  <c r="AT2347" i="3"/>
  <c r="AR2347" i="3"/>
  <c r="AZ2347" i="3"/>
  <c r="BA2347" i="3"/>
  <c r="AS2347" i="3"/>
  <c r="AZ2339" i="3"/>
  <c r="AV2339" i="3"/>
  <c r="AT2339" i="3"/>
  <c r="BA2339" i="3"/>
  <c r="AX2339" i="3"/>
  <c r="AY2339" i="3"/>
  <c r="AR2339" i="3"/>
  <c r="AR2331" i="3"/>
  <c r="AV2331" i="3"/>
  <c r="AS2331" i="3"/>
  <c r="AZ2331" i="3"/>
  <c r="BA2331" i="3"/>
  <c r="AT2331" i="3"/>
  <c r="AT2323" i="3"/>
  <c r="AW2323" i="3"/>
  <c r="AR2323" i="3"/>
  <c r="AU2323" i="3"/>
  <c r="AZ2323" i="3"/>
  <c r="AW2315" i="3"/>
  <c r="AX2315" i="3"/>
  <c r="AR2315" i="3"/>
  <c r="AS2315" i="3"/>
  <c r="AV2315" i="3"/>
  <c r="AZ2315" i="3"/>
  <c r="AV2307" i="3"/>
  <c r="AU2307" i="3"/>
  <c r="AX2307" i="3"/>
  <c r="AZ2307" i="3"/>
  <c r="AX2299" i="3"/>
  <c r="AT2299" i="3"/>
  <c r="BA2299" i="3"/>
  <c r="AY2299" i="3"/>
  <c r="AS2299" i="3"/>
  <c r="AU2299" i="3"/>
  <c r="AV2291" i="3"/>
  <c r="AY2291" i="3"/>
  <c r="AT2291" i="3"/>
  <c r="AX2291" i="3"/>
  <c r="AS2291" i="3"/>
  <c r="AU2291" i="3"/>
  <c r="BA2291" i="3"/>
  <c r="AZ2283" i="3"/>
  <c r="AU2283" i="3"/>
  <c r="AW2283" i="3"/>
  <c r="AY2283" i="3"/>
  <c r="BA2283" i="3"/>
  <c r="AR2283" i="3"/>
  <c r="AZ2275" i="3"/>
  <c r="AU2275" i="3"/>
  <c r="AT2275" i="3"/>
  <c r="AV2275" i="3"/>
  <c r="AW2275" i="3"/>
  <c r="AX2275" i="3"/>
  <c r="BA2267" i="3"/>
  <c r="AR2267" i="3"/>
  <c r="AV2267" i="3"/>
  <c r="AX2267" i="3"/>
  <c r="AS2267" i="3"/>
  <c r="AR2259" i="3"/>
  <c r="AZ2259" i="3"/>
  <c r="AT2259" i="3"/>
  <c r="AU2259" i="3"/>
  <c r="AW2259" i="3"/>
  <c r="AX2259" i="3"/>
  <c r="AR2251" i="3"/>
  <c r="AY2251" i="3"/>
  <c r="AX2251" i="3"/>
  <c r="AZ2251" i="3"/>
  <c r="AT2251" i="3"/>
  <c r="AW2243" i="3"/>
  <c r="AR2243" i="3"/>
  <c r="AV2243" i="3"/>
  <c r="AZ2243" i="3"/>
  <c r="AU2243" i="3"/>
  <c r="AX2243" i="3"/>
  <c r="AS2235" i="3"/>
  <c r="AU2235" i="3"/>
  <c r="AX2235" i="3"/>
  <c r="AY2235" i="3"/>
  <c r="AR2235" i="3"/>
  <c r="AZ2235" i="3"/>
  <c r="AZ2227" i="3"/>
  <c r="AU2227" i="3"/>
  <c r="AR2227" i="3"/>
  <c r="AX2227" i="3"/>
  <c r="AY2227" i="3"/>
  <c r="AV2227" i="3"/>
  <c r="AR2219" i="3"/>
  <c r="AX2219" i="3"/>
  <c r="AY2219" i="3"/>
  <c r="AZ2211" i="3"/>
  <c r="AU2211" i="3"/>
  <c r="AV2211" i="3"/>
  <c r="AR2211" i="3"/>
  <c r="AT2211" i="3"/>
  <c r="AX2211" i="3"/>
  <c r="AY2211" i="3"/>
  <c r="BA2203" i="3"/>
  <c r="AZ2203" i="3"/>
  <c r="AT2203" i="3"/>
  <c r="AZ2195" i="3"/>
  <c r="BA2195" i="3"/>
  <c r="AV2195" i="3"/>
  <c r="AW2195" i="3"/>
  <c r="AT2187" i="3"/>
  <c r="AU2187" i="3"/>
  <c r="AX2187" i="3"/>
  <c r="AS2187" i="3"/>
  <c r="AU2179" i="3"/>
  <c r="AR2179" i="3"/>
  <c r="AX2179" i="3"/>
  <c r="AY2179" i="3"/>
  <c r="AV2171" i="3"/>
  <c r="AT2171" i="3"/>
  <c r="BA2171" i="3"/>
  <c r="AZ2163" i="3"/>
  <c r="AX2163" i="3"/>
  <c r="AW2163" i="3"/>
  <c r="AY2163" i="3"/>
  <c r="AV2155" i="3"/>
  <c r="AX2155" i="3"/>
  <c r="AW2155" i="3"/>
  <c r="AR2147" i="3"/>
  <c r="AT2147" i="3"/>
  <c r="AZ2147" i="3"/>
  <c r="BA2147" i="3"/>
  <c r="AW2139" i="3"/>
  <c r="AT2139" i="3"/>
  <c r="AY2139" i="3"/>
  <c r="AZ2131" i="3"/>
  <c r="AU2131" i="3"/>
  <c r="AV2131" i="3"/>
  <c r="AY2131" i="3"/>
  <c r="AR2131" i="3"/>
  <c r="AY2123" i="3"/>
  <c r="AU2123" i="3"/>
  <c r="AX2123" i="3"/>
  <c r="AW2123" i="3"/>
  <c r="AT2123" i="3"/>
  <c r="AV2123" i="3"/>
  <c r="AT2115" i="3"/>
  <c r="AS2115" i="3"/>
  <c r="AX2115" i="3"/>
  <c r="AR2115" i="3"/>
  <c r="AY2115" i="3"/>
  <c r="AZ2115" i="3"/>
  <c r="AW2107" i="3"/>
  <c r="AT2107" i="3"/>
  <c r="AU2107" i="3"/>
  <c r="AZ2091" i="3"/>
  <c r="AS2091" i="3"/>
  <c r="AX2091" i="3"/>
  <c r="AE1072" i="13"/>
  <c r="AE1067" i="13"/>
  <c r="AE1043" i="13"/>
  <c r="AE1024" i="13"/>
  <c r="AE995" i="13"/>
  <c r="AE752" i="13"/>
  <c r="AE616" i="13"/>
  <c r="AE624" i="13"/>
  <c r="AE811" i="13"/>
  <c r="AE512" i="13"/>
  <c r="AE367" i="13"/>
  <c r="AZ2728" i="3"/>
  <c r="AV2712" i="3"/>
  <c r="AT2696" i="3"/>
  <c r="AX2688" i="3"/>
  <c r="BA2648" i="3"/>
  <c r="AE1064" i="13"/>
  <c r="AE944" i="13"/>
  <c r="BA2440" i="3"/>
  <c r="AT2232" i="3"/>
  <c r="V1088" i="13"/>
  <c r="AE1088" i="13"/>
  <c r="V1016" i="13"/>
  <c r="AE1016" i="13"/>
  <c r="V1000" i="13"/>
  <c r="AE1000" i="13"/>
  <c r="V992" i="13"/>
  <c r="AE992" i="13"/>
  <c r="V976" i="13"/>
  <c r="AE976" i="13"/>
  <c r="V936" i="13"/>
  <c r="AE936" i="13"/>
  <c r="V912" i="13"/>
  <c r="AE912" i="13"/>
  <c r="V872" i="13"/>
  <c r="AE872" i="13"/>
  <c r="V832" i="13"/>
  <c r="AE832" i="13"/>
  <c r="V800" i="13"/>
  <c r="AE800" i="13"/>
  <c r="V792" i="13"/>
  <c r="AE792" i="13"/>
  <c r="V728" i="13"/>
  <c r="AE728" i="13"/>
  <c r="V720" i="13"/>
  <c r="AE720" i="13"/>
  <c r="V696" i="13"/>
  <c r="AE696" i="13"/>
  <c r="V688" i="13"/>
  <c r="AE688" i="13"/>
  <c r="V672" i="13"/>
  <c r="AE672" i="13"/>
  <c r="V656" i="13"/>
  <c r="AE656" i="13"/>
  <c r="V632" i="13"/>
  <c r="AE632" i="13"/>
  <c r="V600" i="13"/>
  <c r="AE600" i="13"/>
  <c r="V584" i="13"/>
  <c r="AD584" i="13"/>
  <c r="V552" i="13"/>
  <c r="AE552" i="13"/>
  <c r="V480" i="13"/>
  <c r="AD480" i="13"/>
  <c r="V463" i="13"/>
  <c r="AE463" i="13"/>
  <c r="V439" i="13"/>
  <c r="AE439" i="13"/>
  <c r="V431" i="13"/>
  <c r="AE431" i="13"/>
  <c r="V423" i="13"/>
  <c r="AE423" i="13"/>
  <c r="V399" i="13"/>
  <c r="AE399" i="13"/>
  <c r="V391" i="13"/>
  <c r="AE391" i="13"/>
  <c r="V375" i="13"/>
  <c r="AE375" i="13"/>
  <c r="V343" i="13"/>
  <c r="AE343" i="13"/>
  <c r="V327" i="13"/>
  <c r="AE327" i="13"/>
  <c r="V311" i="13"/>
  <c r="AE311" i="13"/>
  <c r="V295" i="13"/>
  <c r="AE295" i="13"/>
  <c r="V279" i="13"/>
  <c r="AE279" i="13"/>
  <c r="V263" i="13"/>
  <c r="AE263" i="13"/>
  <c r="V255" i="13"/>
  <c r="AE255" i="13"/>
  <c r="V199" i="13"/>
  <c r="AE199" i="13"/>
  <c r="V175" i="13"/>
  <c r="AE175" i="13"/>
  <c r="V167" i="13"/>
  <c r="AE167" i="13"/>
  <c r="V135" i="13"/>
  <c r="AE135" i="13"/>
  <c r="V119" i="13"/>
  <c r="AE119" i="13"/>
  <c r="V111" i="13"/>
  <c r="AE111" i="13"/>
  <c r="V95" i="13"/>
  <c r="AE95" i="13"/>
  <c r="V87" i="13"/>
  <c r="AE87" i="13"/>
  <c r="V55" i="13"/>
  <c r="AE55" i="13"/>
  <c r="V39" i="13"/>
  <c r="AE39" i="13"/>
  <c r="V23" i="13"/>
  <c r="AE23" i="13"/>
  <c r="V15" i="13"/>
  <c r="AB15" i="13"/>
  <c r="AT2776" i="3"/>
  <c r="AU2776" i="3"/>
  <c r="AX2776" i="3"/>
  <c r="AY2776" i="3"/>
  <c r="AS2776" i="3"/>
  <c r="AV2776" i="3"/>
  <c r="AU2768" i="3"/>
  <c r="AV2768" i="3"/>
  <c r="AY2768" i="3"/>
  <c r="AZ2768" i="3"/>
  <c r="AX2768" i="3"/>
  <c r="BA2768" i="3"/>
  <c r="AS2768" i="3"/>
  <c r="AU2760" i="3"/>
  <c r="AT2760" i="3"/>
  <c r="AV2760" i="3"/>
  <c r="AZ2760" i="3"/>
  <c r="BA2760" i="3"/>
  <c r="AX2760" i="3"/>
  <c r="AY2752" i="3"/>
  <c r="BA2752" i="3"/>
  <c r="AV2752" i="3"/>
  <c r="AW2752" i="3"/>
  <c r="AX2752" i="3"/>
  <c r="AW2744" i="3"/>
  <c r="AU2744" i="3"/>
  <c r="AV2744" i="3"/>
  <c r="AR2744" i="3"/>
  <c r="AS2744" i="3"/>
  <c r="AY2744" i="3"/>
  <c r="AY2736" i="3"/>
  <c r="AZ2736" i="3"/>
  <c r="AX2736" i="3"/>
  <c r="AV2736" i="3"/>
  <c r="AW2728" i="3"/>
  <c r="AU2728" i="3"/>
  <c r="AV2728" i="3"/>
  <c r="AT2728" i="3"/>
  <c r="AX2728" i="3"/>
  <c r="AY2728" i="3"/>
  <c r="AZ2720" i="3"/>
  <c r="AR2720" i="3"/>
  <c r="AT2720" i="3"/>
  <c r="AU2720" i="3"/>
  <c r="AX2720" i="3"/>
  <c r="AY2712" i="3"/>
  <c r="AW2712" i="3"/>
  <c r="AX2712" i="3"/>
  <c r="AR2712" i="3"/>
  <c r="AT2712" i="3"/>
  <c r="AU2712" i="3"/>
  <c r="AW2704" i="3"/>
  <c r="AV2704" i="3"/>
  <c r="AX2704" i="3"/>
  <c r="BA2704" i="3"/>
  <c r="AY2704" i="3"/>
  <c r="AZ2704" i="3"/>
  <c r="AS2704" i="3"/>
  <c r="AU2696" i="3"/>
  <c r="AW2696" i="3"/>
  <c r="AX2696" i="3"/>
  <c r="BA2696" i="3"/>
  <c r="AR2696" i="3"/>
  <c r="AY2696" i="3"/>
  <c r="AY2688" i="3"/>
  <c r="AZ2688" i="3"/>
  <c r="AR2688" i="3"/>
  <c r="BA2688" i="3"/>
  <c r="AU2688" i="3"/>
  <c r="AV2688" i="3"/>
  <c r="AW2688" i="3"/>
  <c r="AU2680" i="3"/>
  <c r="AV2680" i="3"/>
  <c r="AW2680" i="3"/>
  <c r="AR2680" i="3"/>
  <c r="BA2680" i="3"/>
  <c r="AX2680" i="3"/>
  <c r="AX2672" i="3"/>
  <c r="AZ2672" i="3"/>
  <c r="AV2672" i="3"/>
  <c r="AW2672" i="3"/>
  <c r="AS2672" i="3"/>
  <c r="AS2664" i="3"/>
  <c r="AT2664" i="3"/>
  <c r="AU2664" i="3"/>
  <c r="AY2664" i="3"/>
  <c r="BA2664" i="3"/>
  <c r="AV2664" i="3"/>
  <c r="AT2656" i="3"/>
  <c r="AU2656" i="3"/>
  <c r="AV2656" i="3"/>
  <c r="AW2656" i="3"/>
  <c r="AR2656" i="3"/>
  <c r="AY2656" i="3"/>
  <c r="AY2648" i="3"/>
  <c r="AZ2648" i="3"/>
  <c r="AR2648" i="3"/>
  <c r="AU2648" i="3"/>
  <c r="AX2648" i="3"/>
  <c r="AS2640" i="3"/>
  <c r="AT2640" i="3"/>
  <c r="AX2640" i="3"/>
  <c r="AY2640" i="3"/>
  <c r="AU2640" i="3"/>
  <c r="AW2640" i="3"/>
  <c r="AX2632" i="3"/>
  <c r="AY2632" i="3"/>
  <c r="AR2632" i="3"/>
  <c r="AS2632" i="3"/>
  <c r="AT2632" i="3"/>
  <c r="AV2632" i="3"/>
  <c r="AX2624" i="3"/>
  <c r="AZ2624" i="3"/>
  <c r="AY2624" i="3"/>
  <c r="AU2624" i="3"/>
  <c r="AV2624" i="3"/>
  <c r="AW2616" i="3"/>
  <c r="AS2616" i="3"/>
  <c r="AZ2616" i="3"/>
  <c r="AU2608" i="3"/>
  <c r="AW2608" i="3"/>
  <c r="AX2608" i="3"/>
  <c r="AY2608" i="3"/>
  <c r="AV2600" i="3"/>
  <c r="AZ2600" i="3"/>
  <c r="AR2600" i="3"/>
  <c r="AU2600" i="3"/>
  <c r="AX2592" i="3"/>
  <c r="AS2592" i="3"/>
  <c r="AW2592" i="3"/>
  <c r="AY2592" i="3"/>
  <c r="AZ2592" i="3"/>
  <c r="AR2584" i="3"/>
  <c r="AZ2584" i="3"/>
  <c r="AV2584" i="3"/>
  <c r="AV2568" i="3"/>
  <c r="AZ2568" i="3"/>
  <c r="AV2560" i="3"/>
  <c r="AZ2560" i="3"/>
  <c r="AX2560" i="3"/>
  <c r="AV2552" i="3"/>
  <c r="AW2552" i="3"/>
  <c r="AX2544" i="3"/>
  <c r="AU2544" i="3"/>
  <c r="AV2544" i="3"/>
  <c r="AW2536" i="3"/>
  <c r="AV2536" i="3"/>
  <c r="AW2520" i="3"/>
  <c r="AT2520" i="3"/>
  <c r="AS2520" i="3"/>
  <c r="AT2504" i="3"/>
  <c r="AV2504" i="3"/>
  <c r="AT2496" i="3"/>
  <c r="AZ2496" i="3"/>
  <c r="AY2488" i="3"/>
  <c r="AV2488" i="3"/>
  <c r="AW2488" i="3"/>
  <c r="AT2480" i="3"/>
  <c r="AS2480" i="3"/>
  <c r="AX2480" i="3"/>
  <c r="AR2464" i="3"/>
  <c r="AT2464" i="3"/>
  <c r="AZ2456" i="3"/>
  <c r="AY2456" i="3"/>
  <c r="AV2456" i="3"/>
  <c r="AS2448" i="3"/>
  <c r="AX2448" i="3"/>
  <c r="BA2432" i="3"/>
  <c r="AR2432" i="3"/>
  <c r="AT2424" i="3"/>
  <c r="AR2424" i="3"/>
  <c r="BA2424" i="3"/>
  <c r="AT2408" i="3"/>
  <c r="AU2408" i="3"/>
  <c r="AR2400" i="3"/>
  <c r="AU2400" i="3"/>
  <c r="AX2384" i="3"/>
  <c r="AY2384" i="3"/>
  <c r="AW2360" i="3"/>
  <c r="BA2360" i="3"/>
  <c r="AY2304" i="3"/>
  <c r="AZ2304" i="3"/>
  <c r="AS2256" i="3"/>
  <c r="BA2256" i="3"/>
  <c r="AW2248" i="3"/>
  <c r="AX2248" i="3"/>
  <c r="AS2184" i="3"/>
  <c r="AR2184" i="3"/>
  <c r="AU2719" i="3"/>
  <c r="AR2719" i="3"/>
  <c r="AV2711" i="3"/>
  <c r="AU2711" i="3"/>
  <c r="BA2703" i="3"/>
  <c r="AX2703" i="3"/>
  <c r="AZ2647" i="3"/>
  <c r="AV2647" i="3"/>
  <c r="AT2607" i="3"/>
  <c r="AR2607" i="3"/>
  <c r="AX2276" i="3"/>
  <c r="AW2276" i="3"/>
  <c r="BA2260" i="3"/>
  <c r="AZ2260" i="3"/>
  <c r="AW2244" i="3"/>
  <c r="BA2244" i="3"/>
  <c r="AZ2236" i="3"/>
  <c r="AS2236" i="3"/>
  <c r="AZ2220" i="3"/>
  <c r="BA2220" i="3"/>
  <c r="AS2075" i="3"/>
  <c r="BA2075" i="3"/>
  <c r="AV2075" i="3"/>
  <c r="AU2075" i="3"/>
  <c r="AY2075" i="3"/>
  <c r="AS2067" i="3"/>
  <c r="AX2067" i="3"/>
  <c r="AY2067" i="3"/>
  <c r="AZ2059" i="3"/>
  <c r="AV2059" i="3"/>
  <c r="AR2051" i="3"/>
  <c r="AW2051" i="3"/>
  <c r="AY2051" i="3"/>
  <c r="AU2043" i="3"/>
  <c r="AY2043" i="3"/>
  <c r="AZ2043" i="3"/>
  <c r="AR2043" i="3"/>
  <c r="AW2035" i="3"/>
  <c r="AX2035" i="3"/>
  <c r="AZ2035" i="3"/>
  <c r="AV2019" i="3"/>
  <c r="AZ2019" i="3"/>
  <c r="AU2011" i="3"/>
  <c r="AX2011" i="3"/>
  <c r="BA2011" i="3"/>
  <c r="AS1995" i="3"/>
  <c r="AW1995" i="3"/>
  <c r="AS1987" i="3"/>
  <c r="AY1987" i="3"/>
  <c r="AU1971" i="3"/>
  <c r="AS1971" i="3"/>
  <c r="AX1963" i="3"/>
  <c r="AS1963" i="3"/>
  <c r="AV1915" i="3"/>
  <c r="AS1915" i="3"/>
  <c r="AS1907" i="3"/>
  <c r="AU1907" i="3"/>
  <c r="AW1819" i="3"/>
  <c r="AU1819" i="3"/>
  <c r="AV1803" i="3"/>
  <c r="AR1803" i="3"/>
  <c r="AZ1803" i="3"/>
  <c r="AV1795" i="3"/>
  <c r="AX1795" i="3"/>
  <c r="AW1779" i="3"/>
  <c r="AV1779" i="3"/>
  <c r="AV1755" i="3"/>
  <c r="AY1755" i="3"/>
  <c r="AR1747" i="3"/>
  <c r="BA1747" i="3"/>
  <c r="AX1827" i="3"/>
  <c r="BA2284" i="3"/>
  <c r="AZ2083" i="3"/>
  <c r="AZ2027" i="3"/>
  <c r="AW1796" i="3"/>
  <c r="AR1796" i="3"/>
  <c r="AY2188" i="3"/>
  <c r="AW2148" i="3"/>
  <c r="BA2701" i="3"/>
  <c r="AR383" i="4"/>
  <c r="AT383" i="4"/>
  <c r="AV383" i="4"/>
  <c r="AO383" i="4"/>
  <c r="AW383" i="4"/>
  <c r="L388" i="12"/>
  <c r="M388" i="12" s="1"/>
  <c r="AT346" i="4"/>
  <c r="AX346" i="4"/>
  <c r="AW346" i="4"/>
  <c r="AR2817" i="3"/>
  <c r="BA2817" i="3"/>
  <c r="AC1128" i="13"/>
  <c r="AD1128" i="13"/>
  <c r="C2861" i="3"/>
  <c r="C2947" i="3"/>
  <c r="AA1118" i="13"/>
  <c r="AD1118" i="13"/>
  <c r="AX2930" i="3"/>
  <c r="AZ2930" i="3"/>
  <c r="S146" i="17"/>
  <c r="U146" i="17"/>
  <c r="C1172" i="13"/>
  <c r="AX2948" i="3"/>
  <c r="C2859" i="3"/>
  <c r="C1171" i="13"/>
  <c r="C1175" i="13"/>
  <c r="R153" i="17"/>
  <c r="AS2948" i="3"/>
  <c r="C1139" i="13"/>
  <c r="C2866" i="3"/>
  <c r="C2956" i="3"/>
  <c r="Q153" i="17"/>
  <c r="C2818" i="3"/>
  <c r="C2833" i="3"/>
  <c r="C2865" i="3"/>
  <c r="C145" i="34"/>
  <c r="C1181" i="13"/>
  <c r="C2979" i="3"/>
  <c r="V1086" i="13"/>
  <c r="AE1086" i="13"/>
  <c r="AB1086" i="13"/>
  <c r="AC1086" i="13"/>
  <c r="AA1086" i="13"/>
  <c r="Z1086" i="13"/>
  <c r="V1038" i="13"/>
  <c r="AE1038" i="13"/>
  <c r="AA1038" i="13"/>
  <c r="AC1038" i="13"/>
  <c r="AB1038" i="13"/>
  <c r="V990" i="13"/>
  <c r="AE990" i="13"/>
  <c r="AA990" i="13"/>
  <c r="AB990" i="13"/>
  <c r="AC990" i="13"/>
  <c r="V934" i="13"/>
  <c r="AE934" i="13"/>
  <c r="AA934" i="13"/>
  <c r="AC934" i="13"/>
  <c r="X934" i="13"/>
  <c r="Y934" i="13"/>
  <c r="V886" i="13"/>
  <c r="AE886" i="13"/>
  <c r="AB886" i="13"/>
  <c r="AC886" i="13"/>
  <c r="AA886" i="13"/>
  <c r="V838" i="13"/>
  <c r="AE838" i="13"/>
  <c r="AB838" i="13"/>
  <c r="AC838" i="13"/>
  <c r="Z838" i="13"/>
  <c r="AA838" i="13"/>
  <c r="V790" i="13"/>
  <c r="AE790" i="13"/>
  <c r="AA790" i="13"/>
  <c r="AC790" i="13"/>
  <c r="AB790" i="13"/>
  <c r="Z790" i="13"/>
  <c r="W790" i="13"/>
  <c r="X790" i="13"/>
  <c r="V750" i="13"/>
  <c r="AE750" i="13"/>
  <c r="AA750" i="13"/>
  <c r="AB750" i="13"/>
  <c r="AC750" i="13"/>
  <c r="Y750" i="13"/>
  <c r="V702" i="13"/>
  <c r="AE702" i="13"/>
  <c r="AB702" i="13"/>
  <c r="AC702" i="13"/>
  <c r="AA702" i="13"/>
  <c r="W702" i="13"/>
  <c r="Z702" i="13"/>
  <c r="X702" i="13"/>
  <c r="Y702" i="13"/>
  <c r="V654" i="13"/>
  <c r="AA654" i="13"/>
  <c r="AE654" i="13"/>
  <c r="AB654" i="13"/>
  <c r="AC654" i="13"/>
  <c r="W654" i="13"/>
  <c r="Z654" i="13"/>
  <c r="V606" i="13"/>
  <c r="AC606" i="13"/>
  <c r="AE606" i="13"/>
  <c r="AA606" i="13"/>
  <c r="AB606" i="13"/>
  <c r="X606" i="13"/>
  <c r="Y606" i="13"/>
  <c r="W606" i="13"/>
  <c r="Z606" i="13"/>
  <c r="V558" i="13"/>
  <c r="AE558" i="13"/>
  <c r="AD558" i="13"/>
  <c r="AA558" i="13"/>
  <c r="AB558" i="13"/>
  <c r="W558" i="13"/>
  <c r="V510" i="13"/>
  <c r="AC510" i="13"/>
  <c r="AE510" i="13"/>
  <c r="AA510" i="13"/>
  <c r="AB510" i="13"/>
  <c r="X510" i="13"/>
  <c r="V461" i="13"/>
  <c r="AE461" i="13"/>
  <c r="W461" i="13"/>
  <c r="AC461" i="13"/>
  <c r="Z461" i="13"/>
  <c r="AB461" i="13"/>
  <c r="X461" i="13"/>
  <c r="Y461" i="13"/>
  <c r="V421" i="13"/>
  <c r="AE421" i="13"/>
  <c r="AA421" i="13"/>
  <c r="AC421" i="13"/>
  <c r="AB421" i="13"/>
  <c r="X421" i="13"/>
  <c r="W421" i="13"/>
  <c r="Y421" i="13"/>
  <c r="V381" i="13"/>
  <c r="AE381" i="13"/>
  <c r="Y381" i="13"/>
  <c r="Z381" i="13"/>
  <c r="AB381" i="13"/>
  <c r="AC381" i="13"/>
  <c r="AA381" i="13"/>
  <c r="W381" i="13"/>
  <c r="X381" i="13"/>
  <c r="V325" i="13"/>
  <c r="AB325" i="13"/>
  <c r="AC325" i="13"/>
  <c r="AE325" i="13"/>
  <c r="AA325" i="13"/>
  <c r="Y325" i="13"/>
  <c r="W325" i="13"/>
  <c r="Z325" i="13"/>
  <c r="V285" i="13"/>
  <c r="AE285" i="13"/>
  <c r="AA285" i="13"/>
  <c r="AB285" i="13"/>
  <c r="AC285" i="13"/>
  <c r="W285" i="13"/>
  <c r="Y285" i="13"/>
  <c r="Z285" i="13"/>
  <c r="X285" i="13"/>
  <c r="V229" i="13"/>
  <c r="AA229" i="13"/>
  <c r="AB229" i="13"/>
  <c r="AE229" i="13"/>
  <c r="AC229" i="13"/>
  <c r="Z229" i="13"/>
  <c r="Y229" i="13"/>
  <c r="X229" i="13"/>
  <c r="V181" i="13"/>
  <c r="AA181" i="13"/>
  <c r="AC181" i="13"/>
  <c r="Y181" i="13"/>
  <c r="AE181" i="13"/>
  <c r="W181" i="13"/>
  <c r="X181" i="13"/>
  <c r="AB181" i="13"/>
  <c r="Z181" i="13"/>
  <c r="V133" i="13"/>
  <c r="AC133" i="13"/>
  <c r="AA133" i="13"/>
  <c r="Z133" i="13"/>
  <c r="AB133" i="13"/>
  <c r="X133" i="13"/>
  <c r="Y133" i="13"/>
  <c r="AE133" i="13"/>
  <c r="W133" i="13"/>
  <c r="V93" i="13"/>
  <c r="AE93" i="13"/>
  <c r="AB93" i="13"/>
  <c r="AC93" i="13"/>
  <c r="AA93" i="13"/>
  <c r="V45" i="13"/>
  <c r="AA45" i="13"/>
  <c r="AB45" i="13"/>
  <c r="AE45" i="13"/>
  <c r="Z45" i="13"/>
  <c r="W45" i="13"/>
  <c r="X45" i="13"/>
  <c r="AC45" i="13"/>
  <c r="Y45" i="13"/>
  <c r="AU2734" i="3"/>
  <c r="AV2734" i="3"/>
  <c r="AW2734" i="3"/>
  <c r="BA2734" i="3"/>
  <c r="AS2734" i="3"/>
  <c r="AT2734" i="3"/>
  <c r="AR2734" i="3"/>
  <c r="AX2734" i="3"/>
  <c r="AZ2734" i="3"/>
  <c r="AY2734" i="3"/>
  <c r="AS2686" i="3"/>
  <c r="BA2686" i="3"/>
  <c r="AW2686" i="3"/>
  <c r="AX2686" i="3"/>
  <c r="AY2686" i="3"/>
  <c r="AZ2686" i="3"/>
  <c r="AR2686" i="3"/>
  <c r="AV2686" i="3"/>
  <c r="AU2686" i="3"/>
  <c r="AT2686" i="3"/>
  <c r="AU2638" i="3"/>
  <c r="AY2638" i="3"/>
  <c r="AT2638" i="3"/>
  <c r="AW2638" i="3"/>
  <c r="AX2638" i="3"/>
  <c r="AZ2638" i="3"/>
  <c r="BA2638" i="3"/>
  <c r="AV2638" i="3"/>
  <c r="AR2638" i="3"/>
  <c r="AS2638" i="3"/>
  <c r="AR2590" i="3"/>
  <c r="AZ2590" i="3"/>
  <c r="AU2590" i="3"/>
  <c r="AY2590" i="3"/>
  <c r="AV2590" i="3"/>
  <c r="AW2590" i="3"/>
  <c r="AT2590" i="3"/>
  <c r="AS2590" i="3"/>
  <c r="AX2590" i="3"/>
  <c r="BA2590" i="3"/>
  <c r="AV2550" i="3"/>
  <c r="AY2550" i="3"/>
  <c r="AT2550" i="3"/>
  <c r="AU2550" i="3"/>
  <c r="AW2550" i="3"/>
  <c r="BA2550" i="3"/>
  <c r="AR2550" i="3"/>
  <c r="AX2550" i="3"/>
  <c r="AZ2550" i="3"/>
  <c r="AY2518" i="3"/>
  <c r="AS2518" i="3"/>
  <c r="AW2518" i="3"/>
  <c r="BA2518" i="3"/>
  <c r="AU2518" i="3"/>
  <c r="AV2518" i="3"/>
  <c r="AX2518" i="3"/>
  <c r="AR2518" i="3"/>
  <c r="AT2518" i="3"/>
  <c r="AZ2518" i="3"/>
  <c r="AR2478" i="3"/>
  <c r="AZ2478" i="3"/>
  <c r="AV2478" i="3"/>
  <c r="BA2478" i="3"/>
  <c r="AY2478" i="3"/>
  <c r="AT2478" i="3"/>
  <c r="AX2478" i="3"/>
  <c r="AW2478" i="3"/>
  <c r="AS2478" i="3"/>
  <c r="AU2478" i="3"/>
  <c r="AT2438" i="3"/>
  <c r="AR2438" i="3"/>
  <c r="BA2438" i="3"/>
  <c r="AW2438" i="3"/>
  <c r="AY2438" i="3"/>
  <c r="AZ2438" i="3"/>
  <c r="AS2438" i="3"/>
  <c r="AU2438" i="3"/>
  <c r="AV2438" i="3"/>
  <c r="AX2438" i="3"/>
  <c r="AU2398" i="3"/>
  <c r="AY2398" i="3"/>
  <c r="AS2398" i="3"/>
  <c r="AX2398" i="3"/>
  <c r="AW2398" i="3"/>
  <c r="AZ2398" i="3"/>
  <c r="AR2398" i="3"/>
  <c r="AT2398" i="3"/>
  <c r="BA2398" i="3"/>
  <c r="AV2398" i="3"/>
  <c r="AV2350" i="3"/>
  <c r="AU2350" i="3"/>
  <c r="AZ2350" i="3"/>
  <c r="AS2350" i="3"/>
  <c r="AY2350" i="3"/>
  <c r="AX2350" i="3"/>
  <c r="BA2350" i="3"/>
  <c r="AT2350" i="3"/>
  <c r="AW2350" i="3"/>
  <c r="AR2350" i="3"/>
  <c r="AX2302" i="3"/>
  <c r="AR2302" i="3"/>
  <c r="BA2302" i="3"/>
  <c r="AY2302" i="3"/>
  <c r="AS2302" i="3"/>
  <c r="AV2302" i="3"/>
  <c r="AZ2302" i="3"/>
  <c r="AT2302" i="3"/>
  <c r="AU2302" i="3"/>
  <c r="AW2302" i="3"/>
  <c r="AY2254" i="3"/>
  <c r="AU2254" i="3"/>
  <c r="AT2254" i="3"/>
  <c r="AS2254" i="3"/>
  <c r="BA2254" i="3"/>
  <c r="AR2254" i="3"/>
  <c r="AV2254" i="3"/>
  <c r="AX2254" i="3"/>
  <c r="AW2254" i="3"/>
  <c r="AY2206" i="3"/>
  <c r="AV2206" i="3"/>
  <c r="AZ2206" i="3"/>
  <c r="AU2206" i="3"/>
  <c r="AR2206" i="3"/>
  <c r="AX2206" i="3"/>
  <c r="AW2206" i="3"/>
  <c r="AT2174" i="3"/>
  <c r="BA2174" i="3"/>
  <c r="AV2174" i="3"/>
  <c r="AX2174" i="3"/>
  <c r="AZ2174" i="3"/>
  <c r="AY2174" i="3"/>
  <c r="AR2174" i="3"/>
  <c r="AW2174" i="3"/>
  <c r="AS2174" i="3"/>
  <c r="AV2134" i="3"/>
  <c r="AY2134" i="3"/>
  <c r="AS2134" i="3"/>
  <c r="AW2134" i="3"/>
  <c r="AT2134" i="3"/>
  <c r="AX2134" i="3"/>
  <c r="AU2134" i="3"/>
  <c r="AX2094" i="3"/>
  <c r="AV2094" i="3"/>
  <c r="AU2094" i="3"/>
  <c r="AY2094" i="3"/>
  <c r="AR2094" i="3"/>
  <c r="AS2094" i="3"/>
  <c r="BA2094" i="3"/>
  <c r="AW2094" i="3"/>
  <c r="AT2094" i="3"/>
  <c r="AR2070" i="3"/>
  <c r="AS2070" i="3"/>
  <c r="AW2070" i="3"/>
  <c r="AV2070" i="3"/>
  <c r="AU2070" i="3"/>
  <c r="AT2070" i="3"/>
  <c r="AX2070" i="3"/>
  <c r="AV2022" i="3"/>
  <c r="AY2022" i="3"/>
  <c r="AU2022" i="3"/>
  <c r="AR2022" i="3"/>
  <c r="AT2022" i="3"/>
  <c r="AW2022" i="3"/>
  <c r="AW1774" i="3"/>
  <c r="AR1774" i="3"/>
  <c r="AU1630" i="3"/>
  <c r="AY1630" i="3"/>
  <c r="AD750" i="13"/>
  <c r="AD21" i="13"/>
  <c r="AD998" i="13"/>
  <c r="AD510" i="13"/>
  <c r="AD245" i="13"/>
  <c r="X1102" i="13"/>
  <c r="Z1038" i="13"/>
  <c r="W990" i="13"/>
  <c r="X77" i="13"/>
  <c r="X854" i="13"/>
  <c r="W838" i="13"/>
  <c r="Y574" i="13"/>
  <c r="X958" i="13"/>
  <c r="Y766" i="13"/>
  <c r="Z918" i="13"/>
  <c r="Y1086" i="13"/>
  <c r="X654" i="13"/>
  <c r="W1062" i="13"/>
  <c r="X213" i="13"/>
  <c r="X157" i="13"/>
  <c r="AB934" i="13"/>
  <c r="AB918" i="13"/>
  <c r="AB365" i="13"/>
  <c r="V1070" i="13"/>
  <c r="AC1070" i="13"/>
  <c r="AE1070" i="13"/>
  <c r="AB1070" i="13"/>
  <c r="V1030" i="13"/>
  <c r="AE1030" i="13"/>
  <c r="AB1030" i="13"/>
  <c r="AC1030" i="13"/>
  <c r="AA1030" i="13"/>
  <c r="V982" i="13"/>
  <c r="AE982" i="13"/>
  <c r="AB982" i="13"/>
  <c r="AA982" i="13"/>
  <c r="AC982" i="13"/>
  <c r="V942" i="13"/>
  <c r="AB942" i="13"/>
  <c r="AC942" i="13"/>
  <c r="AE942" i="13"/>
  <c r="AA942" i="13"/>
  <c r="V894" i="13"/>
  <c r="AC894" i="13"/>
  <c r="AE894" i="13"/>
  <c r="AB894" i="13"/>
  <c r="W894" i="13"/>
  <c r="X894" i="13"/>
  <c r="V846" i="13"/>
  <c r="AE846" i="13"/>
  <c r="AB846" i="13"/>
  <c r="AC846" i="13"/>
  <c r="X846" i="13"/>
  <c r="AA846" i="13"/>
  <c r="Y846" i="13"/>
  <c r="V806" i="13"/>
  <c r="AE806" i="13"/>
  <c r="AA806" i="13"/>
  <c r="AC806" i="13"/>
  <c r="AB806" i="13"/>
  <c r="X806" i="13"/>
  <c r="V758" i="13"/>
  <c r="AA758" i="13"/>
  <c r="AE758" i="13"/>
  <c r="AB758" i="13"/>
  <c r="AC758" i="13"/>
  <c r="Y758" i="13"/>
  <c r="V710" i="13"/>
  <c r="AB710" i="13"/>
  <c r="AC710" i="13"/>
  <c r="Z710" i="13"/>
  <c r="AA710" i="13"/>
  <c r="AE710" i="13"/>
  <c r="Y710" i="13"/>
  <c r="V662" i="13"/>
  <c r="AA662" i="13"/>
  <c r="AE662" i="13"/>
  <c r="AB662" i="13"/>
  <c r="W662" i="13"/>
  <c r="Z662" i="13"/>
  <c r="V614" i="13"/>
  <c r="AA614" i="13"/>
  <c r="AE614" i="13"/>
  <c r="AB614" i="13"/>
  <c r="AC614" i="13"/>
  <c r="X614" i="13"/>
  <c r="Y614" i="13"/>
  <c r="V566" i="13"/>
  <c r="AE566" i="13"/>
  <c r="AA566" i="13"/>
  <c r="AC566" i="13"/>
  <c r="AB566" i="13"/>
  <c r="X566" i="13"/>
  <c r="Y566" i="13"/>
  <c r="V518" i="13"/>
  <c r="AE518" i="13"/>
  <c r="AA518" i="13"/>
  <c r="AB518" i="13"/>
  <c r="W518" i="13"/>
  <c r="Z518" i="13"/>
  <c r="V478" i="13"/>
  <c r="AB478" i="13"/>
  <c r="AC478" i="13"/>
  <c r="AA478" i="13"/>
  <c r="AE478" i="13"/>
  <c r="V429" i="13"/>
  <c r="AE429" i="13"/>
  <c r="AA429" i="13"/>
  <c r="AC429" i="13"/>
  <c r="AB429" i="13"/>
  <c r="Y429" i="13"/>
  <c r="W429" i="13"/>
  <c r="Z429" i="13"/>
  <c r="V373" i="13"/>
  <c r="AE373" i="13"/>
  <c r="AA373" i="13"/>
  <c r="AB373" i="13"/>
  <c r="AC373" i="13"/>
  <c r="X373" i="13"/>
  <c r="W373" i="13"/>
  <c r="Y373" i="13"/>
  <c r="V333" i="13"/>
  <c r="AE333" i="13"/>
  <c r="AA333" i="13"/>
  <c r="AB333" i="13"/>
  <c r="W333" i="13"/>
  <c r="X333" i="13"/>
  <c r="Y333" i="13"/>
  <c r="AC333" i="13"/>
  <c r="V277" i="13"/>
  <c r="AE277" i="13"/>
  <c r="AB277" i="13"/>
  <c r="AC277" i="13"/>
  <c r="Y277" i="13"/>
  <c r="Z277" i="13"/>
  <c r="AA277" i="13"/>
  <c r="X277" i="13"/>
  <c r="V237" i="13"/>
  <c r="AB237" i="13"/>
  <c r="AE237" i="13"/>
  <c r="AC237" i="13"/>
  <c r="Z237" i="13"/>
  <c r="AA237" i="13"/>
  <c r="W237" i="13"/>
  <c r="Y237" i="13"/>
  <c r="X237" i="13"/>
  <c r="V189" i="13"/>
  <c r="AB189" i="13"/>
  <c r="AC189" i="13"/>
  <c r="AA189" i="13"/>
  <c r="AE189" i="13"/>
  <c r="X189" i="13"/>
  <c r="W189" i="13"/>
  <c r="Y189" i="13"/>
  <c r="Z189" i="13"/>
  <c r="V141" i="13"/>
  <c r="AC141" i="13"/>
  <c r="AE141" i="13"/>
  <c r="AA141" i="13"/>
  <c r="Z141" i="13"/>
  <c r="AB141" i="13"/>
  <c r="X141" i="13"/>
  <c r="Y141" i="13"/>
  <c r="W141" i="13"/>
  <c r="V85" i="13"/>
  <c r="AA85" i="13"/>
  <c r="AB85" i="13"/>
  <c r="AE85" i="13"/>
  <c r="V37" i="13"/>
  <c r="AB37" i="13"/>
  <c r="AC37" i="13"/>
  <c r="AA37" i="13"/>
  <c r="W37" i="13"/>
  <c r="X37" i="13"/>
  <c r="AE37" i="13"/>
  <c r="AV2774" i="3"/>
  <c r="AZ2774" i="3"/>
  <c r="AR2774" i="3"/>
  <c r="BA2774" i="3"/>
  <c r="AT2774" i="3"/>
  <c r="AU2774" i="3"/>
  <c r="AW2774" i="3"/>
  <c r="AX2774" i="3"/>
  <c r="AY2774" i="3"/>
  <c r="AS2774" i="3"/>
  <c r="AY2726" i="3"/>
  <c r="AT2726" i="3"/>
  <c r="AU2726" i="3"/>
  <c r="BA2726" i="3"/>
  <c r="AS2726" i="3"/>
  <c r="AV2726" i="3"/>
  <c r="AR2726" i="3"/>
  <c r="AZ2726" i="3"/>
  <c r="AX2726" i="3"/>
  <c r="AW2726" i="3"/>
  <c r="AW2678" i="3"/>
  <c r="AT2678" i="3"/>
  <c r="AU2678" i="3"/>
  <c r="BA2678" i="3"/>
  <c r="AS2678" i="3"/>
  <c r="AV2678" i="3"/>
  <c r="AY2678" i="3"/>
  <c r="AZ2678" i="3"/>
  <c r="AR2678" i="3"/>
  <c r="AX2678" i="3"/>
  <c r="AR2622" i="3"/>
  <c r="AZ2622" i="3"/>
  <c r="BA2622" i="3"/>
  <c r="AV2622" i="3"/>
  <c r="AS2622" i="3"/>
  <c r="AY2622" i="3"/>
  <c r="AT2622" i="3"/>
  <c r="AU2622" i="3"/>
  <c r="AX2622" i="3"/>
  <c r="AW2622" i="3"/>
  <c r="AX2430" i="3"/>
  <c r="AR2430" i="3"/>
  <c r="BA2430" i="3"/>
  <c r="AV2430" i="3"/>
  <c r="AU2430" i="3"/>
  <c r="AW2430" i="3"/>
  <c r="AY2430" i="3"/>
  <c r="AS2430" i="3"/>
  <c r="AZ2430" i="3"/>
  <c r="AT2430" i="3"/>
  <c r="AW2382" i="3"/>
  <c r="AZ2382" i="3"/>
  <c r="AV2382" i="3"/>
  <c r="AR2382" i="3"/>
  <c r="BA2382" i="3"/>
  <c r="AT2382" i="3"/>
  <c r="AY2382" i="3"/>
  <c r="AU2382" i="3"/>
  <c r="AX2382" i="3"/>
  <c r="AS2382" i="3"/>
  <c r="AX2334" i="3"/>
  <c r="AV2334" i="3"/>
  <c r="AS2334" i="3"/>
  <c r="AW2334" i="3"/>
  <c r="AZ2334" i="3"/>
  <c r="BA2334" i="3"/>
  <c r="AR2334" i="3"/>
  <c r="AT2334" i="3"/>
  <c r="AU2334" i="3"/>
  <c r="AY2334" i="3"/>
  <c r="AX2286" i="3"/>
  <c r="AW2286" i="3"/>
  <c r="AU2286" i="3"/>
  <c r="AS2286" i="3"/>
  <c r="AY2286" i="3"/>
  <c r="AT2286" i="3"/>
  <c r="AV2286" i="3"/>
  <c r="AZ2286" i="3"/>
  <c r="AY2238" i="3"/>
  <c r="AX2238" i="3"/>
  <c r="AZ2238" i="3"/>
  <c r="AW2238" i="3"/>
  <c r="AV2238" i="3"/>
  <c r="AR2238" i="3"/>
  <c r="AS2238" i="3"/>
  <c r="AU2238" i="3"/>
  <c r="BA2238" i="3"/>
  <c r="AV2190" i="3"/>
  <c r="AY2190" i="3"/>
  <c r="AW2190" i="3"/>
  <c r="AT2190" i="3"/>
  <c r="AR2190" i="3"/>
  <c r="AZ2190" i="3"/>
  <c r="AU2190" i="3"/>
  <c r="AY2150" i="3"/>
  <c r="AR2150" i="3"/>
  <c r="AT2150" i="3"/>
  <c r="AW2150" i="3"/>
  <c r="BA2150" i="3"/>
  <c r="AU2150" i="3"/>
  <c r="AX2150" i="3"/>
  <c r="AZ2150" i="3"/>
  <c r="AS2150" i="3"/>
  <c r="AX2118" i="3"/>
  <c r="AS2118" i="3"/>
  <c r="AU2118" i="3"/>
  <c r="AW2118" i="3"/>
  <c r="AY2118" i="3"/>
  <c r="AR2118" i="3"/>
  <c r="AV2118" i="3"/>
  <c r="BA2118" i="3"/>
  <c r="AU2078" i="3"/>
  <c r="AR2078" i="3"/>
  <c r="BA2078" i="3"/>
  <c r="AS2078" i="3"/>
  <c r="AV2078" i="3"/>
  <c r="AX2078" i="3"/>
  <c r="AZ2078" i="3"/>
  <c r="AY2054" i="3"/>
  <c r="BA2054" i="3"/>
  <c r="AT2054" i="3"/>
  <c r="AW2054" i="3"/>
  <c r="AU2054" i="3"/>
  <c r="AX2054" i="3"/>
  <c r="AT2038" i="3"/>
  <c r="AZ2038" i="3"/>
  <c r="AX2038" i="3"/>
  <c r="AY2038" i="3"/>
  <c r="AW2038" i="3"/>
  <c r="AU2038" i="3"/>
  <c r="AR2014" i="3"/>
  <c r="AX2014" i="3"/>
  <c r="AZ2014" i="3"/>
  <c r="AT2014" i="3"/>
  <c r="AW2014" i="3"/>
  <c r="BA2014" i="3"/>
  <c r="AV2014" i="3"/>
  <c r="AW1998" i="3"/>
  <c r="AX1998" i="3"/>
  <c r="AS1998" i="3"/>
  <c r="AY1998" i="3"/>
  <c r="AU1998" i="3"/>
  <c r="AT1998" i="3"/>
  <c r="AT1982" i="3"/>
  <c r="AU1982" i="3"/>
  <c r="AW1982" i="3"/>
  <c r="AX1982" i="3"/>
  <c r="AS1982" i="3"/>
  <c r="AZ1982" i="3"/>
  <c r="BA1982" i="3"/>
  <c r="AW1966" i="3"/>
  <c r="AR1966" i="3"/>
  <c r="AS1966" i="3"/>
  <c r="AU1966" i="3"/>
  <c r="AV1966" i="3"/>
  <c r="AZ1966" i="3"/>
  <c r="BA1950" i="3"/>
  <c r="AU1950" i="3"/>
  <c r="AR1950" i="3"/>
  <c r="AT1950" i="3"/>
  <c r="AV1950" i="3"/>
  <c r="AZ1950" i="3"/>
  <c r="AS1950" i="3"/>
  <c r="AR1934" i="3"/>
  <c r="AZ1934" i="3"/>
  <c r="AX1934" i="3"/>
  <c r="BA1934" i="3"/>
  <c r="AS1934" i="3"/>
  <c r="AT1934" i="3"/>
  <c r="AR1918" i="3"/>
  <c r="AT1918" i="3"/>
  <c r="AS1918" i="3"/>
  <c r="AW1918" i="3"/>
  <c r="AV1918" i="3"/>
  <c r="AY1918" i="3"/>
  <c r="AS1886" i="3"/>
  <c r="AZ1886" i="3"/>
  <c r="AW1886" i="3"/>
  <c r="AR1886" i="3"/>
  <c r="AY1886" i="3"/>
  <c r="AV1742" i="3"/>
  <c r="AR1742" i="3"/>
  <c r="AY1718" i="3"/>
  <c r="AT1718" i="3"/>
  <c r="AT814" i="3"/>
  <c r="AW814" i="3"/>
  <c r="AD37" i="13"/>
  <c r="AD934" i="13"/>
  <c r="AD269" i="13"/>
  <c r="AD461" i="13"/>
  <c r="AD718" i="13"/>
  <c r="X1070" i="13"/>
  <c r="Y1038" i="13"/>
  <c r="Z1030" i="13"/>
  <c r="Z998" i="13"/>
  <c r="Z478" i="13"/>
  <c r="Z93" i="13"/>
  <c r="W85" i="13"/>
  <c r="Z886" i="13"/>
  <c r="Y37" i="13"/>
  <c r="W958" i="13"/>
  <c r="X758" i="13"/>
  <c r="Z614" i="13"/>
  <c r="X918" i="13"/>
  <c r="X1086" i="13"/>
  <c r="Z670" i="13"/>
  <c r="Z646" i="13"/>
  <c r="Y590" i="13"/>
  <c r="Z373" i="13"/>
  <c r="Z333" i="13"/>
  <c r="AC662" i="13"/>
  <c r="AB526" i="13"/>
  <c r="V1102" i="13"/>
  <c r="AA1102" i="13"/>
  <c r="AC1102" i="13"/>
  <c r="AE1102" i="13"/>
  <c r="V1062" i="13"/>
  <c r="AE1062" i="13"/>
  <c r="AC1062" i="13"/>
  <c r="Z1062" i="13"/>
  <c r="X1062" i="13"/>
  <c r="Y1062" i="13"/>
  <c r="V1014" i="13"/>
  <c r="AE1014" i="13"/>
  <c r="AB1014" i="13"/>
  <c r="AC1014" i="13"/>
  <c r="AA1014" i="13"/>
  <c r="V966" i="13"/>
  <c r="AE966" i="13"/>
  <c r="AA966" i="13"/>
  <c r="AB966" i="13"/>
  <c r="X966" i="13"/>
  <c r="AC966" i="13"/>
  <c r="Y966" i="13"/>
  <c r="V926" i="13"/>
  <c r="AE926" i="13"/>
  <c r="Y926" i="13"/>
  <c r="AA926" i="13"/>
  <c r="Z926" i="13"/>
  <c r="AC926" i="13"/>
  <c r="AB926" i="13"/>
  <c r="W926" i="13"/>
  <c r="X926" i="13"/>
  <c r="V878" i="13"/>
  <c r="AA878" i="13"/>
  <c r="AB878" i="13"/>
  <c r="AC878" i="13"/>
  <c r="AE878" i="13"/>
  <c r="Y878" i="13"/>
  <c r="V830" i="13"/>
  <c r="AE830" i="13"/>
  <c r="AA830" i="13"/>
  <c r="AB830" i="13"/>
  <c r="W830" i="13"/>
  <c r="Z830" i="13"/>
  <c r="V782" i="13"/>
  <c r="AE782" i="13"/>
  <c r="AA782" i="13"/>
  <c r="AC782" i="13"/>
  <c r="Y782" i="13"/>
  <c r="W782" i="13"/>
  <c r="AB782" i="13"/>
  <c r="Z782" i="13"/>
  <c r="V726" i="13"/>
  <c r="AC726" i="13"/>
  <c r="AE726" i="13"/>
  <c r="AB726" i="13"/>
  <c r="AA726" i="13"/>
  <c r="X726" i="13"/>
  <c r="Y726" i="13"/>
  <c r="V678" i="13"/>
  <c r="AA678" i="13"/>
  <c r="AB678" i="13"/>
  <c r="W678" i="13"/>
  <c r="X678" i="13"/>
  <c r="AC678" i="13"/>
  <c r="Y678" i="13"/>
  <c r="V630" i="13"/>
  <c r="AE630" i="13"/>
  <c r="AB630" i="13"/>
  <c r="AC630" i="13"/>
  <c r="AA630" i="13"/>
  <c r="W630" i="13"/>
  <c r="X630" i="13"/>
  <c r="V582" i="13"/>
  <c r="AA582" i="13"/>
  <c r="AB582" i="13"/>
  <c r="AE582" i="13"/>
  <c r="Z582" i="13"/>
  <c r="AC582" i="13"/>
  <c r="X582" i="13"/>
  <c r="Y582" i="13"/>
  <c r="W582" i="13"/>
  <c r="V534" i="13"/>
  <c r="AA534" i="13"/>
  <c r="X534" i="13"/>
  <c r="AC534" i="13"/>
  <c r="AB534" i="13"/>
  <c r="Z534" i="13"/>
  <c r="W534" i="13"/>
  <c r="AE534" i="13"/>
  <c r="Y534" i="13"/>
  <c r="V486" i="13"/>
  <c r="AE486" i="13"/>
  <c r="AB486" i="13"/>
  <c r="AC486" i="13"/>
  <c r="AA486" i="13"/>
  <c r="V437" i="13"/>
  <c r="AE437" i="13"/>
  <c r="AC437" i="13"/>
  <c r="AA437" i="13"/>
  <c r="AB437" i="13"/>
  <c r="X437" i="13"/>
  <c r="Y437" i="13"/>
  <c r="Z437" i="13"/>
  <c r="V397" i="13"/>
  <c r="AA397" i="13"/>
  <c r="AC397" i="13"/>
  <c r="AE397" i="13"/>
  <c r="Y397" i="13"/>
  <c r="Z397" i="13"/>
  <c r="AB397" i="13"/>
  <c r="W397" i="13"/>
  <c r="V349" i="13"/>
  <c r="AE349" i="13"/>
  <c r="AA349" i="13"/>
  <c r="AB349" i="13"/>
  <c r="Y349" i="13"/>
  <c r="W349" i="13"/>
  <c r="X349" i="13"/>
  <c r="AC349" i="13"/>
  <c r="V301" i="13"/>
  <c r="AE301" i="13"/>
  <c r="AA301" i="13"/>
  <c r="Y301" i="13"/>
  <c r="W301" i="13"/>
  <c r="AC301" i="13"/>
  <c r="AB301" i="13"/>
  <c r="V253" i="13"/>
  <c r="AA253" i="13"/>
  <c r="AB253" i="13"/>
  <c r="Z253" i="13"/>
  <c r="AC253" i="13"/>
  <c r="X253" i="13"/>
  <c r="Y253" i="13"/>
  <c r="AE253" i="13"/>
  <c r="W253" i="13"/>
  <c r="V205" i="13"/>
  <c r="AC205" i="13"/>
  <c r="AE205" i="13"/>
  <c r="AB205" i="13"/>
  <c r="AA205" i="13"/>
  <c r="V173" i="13"/>
  <c r="AB173" i="13"/>
  <c r="AC173" i="13"/>
  <c r="AE173" i="13"/>
  <c r="Y173" i="13"/>
  <c r="X173" i="13"/>
  <c r="Z173" i="13"/>
  <c r="W173" i="13"/>
  <c r="AA173" i="13"/>
  <c r="V125" i="13"/>
  <c r="AE125" i="13"/>
  <c r="AA125" i="13"/>
  <c r="AB125" i="13"/>
  <c r="W125" i="13"/>
  <c r="Z125" i="13"/>
  <c r="X125" i="13"/>
  <c r="AC125" i="13"/>
  <c r="V69" i="13"/>
  <c r="AA69" i="13"/>
  <c r="AE69" i="13"/>
  <c r="AC69" i="13"/>
  <c r="V13" i="13"/>
  <c r="AB13" i="13"/>
  <c r="AC13" i="13"/>
  <c r="AE13" i="13"/>
  <c r="AA13" i="13"/>
  <c r="W13" i="13"/>
  <c r="Z13" i="13"/>
  <c r="X13" i="13"/>
  <c r="Y13" i="13"/>
  <c r="AX2758" i="3"/>
  <c r="AS2758" i="3"/>
  <c r="AT2758" i="3"/>
  <c r="AR2758" i="3"/>
  <c r="AU2758" i="3"/>
  <c r="AW2758" i="3"/>
  <c r="AY2758" i="3"/>
  <c r="BA2758" i="3"/>
  <c r="AZ2758" i="3"/>
  <c r="AV2758" i="3"/>
  <c r="AT2710" i="3"/>
  <c r="AR2710" i="3"/>
  <c r="BA2710" i="3"/>
  <c r="AS2710" i="3"/>
  <c r="AV2710" i="3"/>
  <c r="AW2710" i="3"/>
  <c r="AY2710" i="3"/>
  <c r="AZ2710" i="3"/>
  <c r="AX2710" i="3"/>
  <c r="AU2710" i="3"/>
  <c r="AT2662" i="3"/>
  <c r="AZ2662" i="3"/>
  <c r="AV2662" i="3"/>
  <c r="AR2662" i="3"/>
  <c r="AS2662" i="3"/>
  <c r="AU2662" i="3"/>
  <c r="AX2662" i="3"/>
  <c r="AY2662" i="3"/>
  <c r="BA2662" i="3"/>
  <c r="AW2662" i="3"/>
  <c r="AW2614" i="3"/>
  <c r="AZ2614" i="3"/>
  <c r="AU2614" i="3"/>
  <c r="AS2614" i="3"/>
  <c r="AT2614" i="3"/>
  <c r="AV2614" i="3"/>
  <c r="AX2614" i="3"/>
  <c r="BA2614" i="3"/>
  <c r="AR2614" i="3"/>
  <c r="AY2614" i="3"/>
  <c r="AV2574" i="3"/>
  <c r="AX2574" i="3"/>
  <c r="AS2574" i="3"/>
  <c r="AT2574" i="3"/>
  <c r="AU2574" i="3"/>
  <c r="AZ2574" i="3"/>
  <c r="AY2574" i="3"/>
  <c r="BA2574" i="3"/>
  <c r="AW2574" i="3"/>
  <c r="AR2574" i="3"/>
  <c r="AX2534" i="3"/>
  <c r="AR2534" i="3"/>
  <c r="BA2534" i="3"/>
  <c r="AV2534" i="3"/>
  <c r="AS2534" i="3"/>
  <c r="AT2534" i="3"/>
  <c r="AY2534" i="3"/>
  <c r="AW2534" i="3"/>
  <c r="AU2534" i="3"/>
  <c r="AZ2534" i="3"/>
  <c r="AT2494" i="3"/>
  <c r="AY2494" i="3"/>
  <c r="AU2494" i="3"/>
  <c r="AV2494" i="3"/>
  <c r="AW2494" i="3"/>
  <c r="BA2494" i="3"/>
  <c r="AR2494" i="3"/>
  <c r="AS2494" i="3"/>
  <c r="AX2494" i="3"/>
  <c r="AZ2494" i="3"/>
  <c r="AY2454" i="3"/>
  <c r="AX2454" i="3"/>
  <c r="AT2454" i="3"/>
  <c r="BA2454" i="3"/>
  <c r="AU2454" i="3"/>
  <c r="AR2454" i="3"/>
  <c r="AV2454" i="3"/>
  <c r="AW2454" i="3"/>
  <c r="AS2454" i="3"/>
  <c r="AZ2454" i="3"/>
  <c r="AS2414" i="3"/>
  <c r="BA2414" i="3"/>
  <c r="AU2414" i="3"/>
  <c r="AY2414" i="3"/>
  <c r="AV2414" i="3"/>
  <c r="AR2414" i="3"/>
  <c r="AT2414" i="3"/>
  <c r="AZ2414" i="3"/>
  <c r="AW2414" i="3"/>
  <c r="AX2414" i="3"/>
  <c r="AS2366" i="3"/>
  <c r="BA2366" i="3"/>
  <c r="AT2366" i="3"/>
  <c r="AV2366" i="3"/>
  <c r="AU2366" i="3"/>
  <c r="AZ2366" i="3"/>
  <c r="AY2366" i="3"/>
  <c r="AX2366" i="3"/>
  <c r="AW2366" i="3"/>
  <c r="AR2366" i="3"/>
  <c r="AR2326" i="3"/>
  <c r="AU2326" i="3"/>
  <c r="AX2326" i="3"/>
  <c r="AY2326" i="3"/>
  <c r="AT2326" i="3"/>
  <c r="AV2326" i="3"/>
  <c r="AZ2326" i="3"/>
  <c r="AW2326" i="3"/>
  <c r="AY2270" i="3"/>
  <c r="AR2270" i="3"/>
  <c r="BA2270" i="3"/>
  <c r="AU2270" i="3"/>
  <c r="AS2270" i="3"/>
  <c r="AT2270" i="3"/>
  <c r="AW2270" i="3"/>
  <c r="AX2270" i="3"/>
  <c r="AZ2270" i="3"/>
  <c r="AY2222" i="3"/>
  <c r="AR2222" i="3"/>
  <c r="AV2222" i="3"/>
  <c r="AZ2222" i="3"/>
  <c r="AX2222" i="3"/>
  <c r="AS2222" i="3"/>
  <c r="AU2222" i="3"/>
  <c r="BA2222" i="3"/>
  <c r="AT2222" i="3"/>
  <c r="AT2158" i="3"/>
  <c r="AS2158" i="3"/>
  <c r="AZ2158" i="3"/>
  <c r="AU2158" i="3"/>
  <c r="AY2158" i="3"/>
  <c r="AR2158" i="3"/>
  <c r="AV2158" i="3"/>
  <c r="AW2158" i="3"/>
  <c r="BA2158" i="3"/>
  <c r="AY1726" i="3"/>
  <c r="AS1726" i="3"/>
  <c r="AW1702" i="3"/>
  <c r="AV1702" i="3"/>
  <c r="AY1686" i="3"/>
  <c r="AZ1686" i="3"/>
  <c r="AD285" i="13"/>
  <c r="AD774" i="13"/>
  <c r="AD205" i="13"/>
  <c r="AD277" i="13"/>
  <c r="AD437" i="13"/>
  <c r="AD566" i="13"/>
  <c r="Z1110" i="13"/>
  <c r="Z982" i="13"/>
  <c r="W1070" i="13"/>
  <c r="X1038" i="13"/>
  <c r="Y1030" i="13"/>
  <c r="Y1014" i="13"/>
  <c r="Y478" i="13"/>
  <c r="Y93" i="13"/>
  <c r="Z69" i="13"/>
  <c r="Z870" i="13"/>
  <c r="Z942" i="13"/>
  <c r="Z389" i="13"/>
  <c r="Y886" i="13"/>
  <c r="Z1078" i="13"/>
  <c r="Y830" i="13"/>
  <c r="Z806" i="13"/>
  <c r="W758" i="13"/>
  <c r="W614" i="13"/>
  <c r="W1086" i="13"/>
  <c r="Y670" i="13"/>
  <c r="Y662" i="13"/>
  <c r="X590" i="13"/>
  <c r="X710" i="13"/>
  <c r="Y526" i="13"/>
  <c r="X325" i="13"/>
  <c r="Z301" i="13"/>
  <c r="AC85" i="13"/>
  <c r="AB69" i="13"/>
  <c r="AA1062" i="13"/>
  <c r="V1094" i="13"/>
  <c r="AE1094" i="13"/>
  <c r="AA1094" i="13"/>
  <c r="AB1094" i="13"/>
  <c r="W1094" i="13"/>
  <c r="V1046" i="13"/>
  <c r="AE1046" i="13"/>
  <c r="AC1046" i="13"/>
  <c r="AA1046" i="13"/>
  <c r="AB1046" i="13"/>
  <c r="V998" i="13"/>
  <c r="AB998" i="13"/>
  <c r="AE998" i="13"/>
  <c r="AC998" i="13"/>
  <c r="AA998" i="13"/>
  <c r="V950" i="13"/>
  <c r="AE950" i="13"/>
  <c r="AB950" i="13"/>
  <c r="AC950" i="13"/>
  <c r="AA950" i="13"/>
  <c r="X950" i="13"/>
  <c r="Y950" i="13"/>
  <c r="V902" i="13"/>
  <c r="AE902" i="13"/>
  <c r="AA902" i="13"/>
  <c r="AB902" i="13"/>
  <c r="AC902" i="13"/>
  <c r="W902" i="13"/>
  <c r="V854" i="13"/>
  <c r="AE854" i="13"/>
  <c r="AA854" i="13"/>
  <c r="AB854" i="13"/>
  <c r="AC854" i="13"/>
  <c r="V798" i="13"/>
  <c r="AB798" i="13"/>
  <c r="AE798" i="13"/>
  <c r="AC798" i="13"/>
  <c r="AA798" i="13"/>
  <c r="X798" i="13"/>
  <c r="Y798" i="13"/>
  <c r="V742" i="13"/>
  <c r="AE742" i="13"/>
  <c r="AA742" i="13"/>
  <c r="AC742" i="13"/>
  <c r="W742" i="13"/>
  <c r="V694" i="13"/>
  <c r="AD694" i="13"/>
  <c r="AB694" i="13"/>
  <c r="AC694" i="13"/>
  <c r="AE694" i="13"/>
  <c r="AA694" i="13"/>
  <c r="W694" i="13"/>
  <c r="V646" i="13"/>
  <c r="AE646" i="13"/>
  <c r="AA646" i="13"/>
  <c r="W646" i="13"/>
  <c r="AB646" i="13"/>
  <c r="X646" i="13"/>
  <c r="AC646" i="13"/>
  <c r="V598" i="13"/>
  <c r="AC598" i="13"/>
  <c r="AE598" i="13"/>
  <c r="W598" i="13"/>
  <c r="Y598" i="13"/>
  <c r="Z598" i="13"/>
  <c r="AA598" i="13"/>
  <c r="V550" i="13"/>
  <c r="AE550" i="13"/>
  <c r="AA550" i="13"/>
  <c r="AB550" i="13"/>
  <c r="AC550" i="13"/>
  <c r="W550" i="13"/>
  <c r="Z550" i="13"/>
  <c r="V502" i="13"/>
  <c r="AA502" i="13"/>
  <c r="AE502" i="13"/>
  <c r="Y502" i="13"/>
  <c r="AB502" i="13"/>
  <c r="AC502" i="13"/>
  <c r="X502" i="13"/>
  <c r="W502" i="13"/>
  <c r="V453" i="13"/>
  <c r="AA453" i="13"/>
  <c r="AC453" i="13"/>
  <c r="AE453" i="13"/>
  <c r="Y453" i="13"/>
  <c r="AB453" i="13"/>
  <c r="W453" i="13"/>
  <c r="X453" i="13"/>
  <c r="V405" i="13"/>
  <c r="AE405" i="13"/>
  <c r="AA405" i="13"/>
  <c r="AB405" i="13"/>
  <c r="AC405" i="13"/>
  <c r="Y405" i="13"/>
  <c r="W405" i="13"/>
  <c r="X405" i="13"/>
  <c r="V357" i="13"/>
  <c r="AE357" i="13"/>
  <c r="AA357" i="13"/>
  <c r="AB357" i="13"/>
  <c r="X357" i="13"/>
  <c r="Y357" i="13"/>
  <c r="AC357" i="13"/>
  <c r="W357" i="13"/>
  <c r="V309" i="13"/>
  <c r="X309" i="13"/>
  <c r="AA309" i="13"/>
  <c r="Y309" i="13"/>
  <c r="AC309" i="13"/>
  <c r="AE309" i="13"/>
  <c r="Z309" i="13"/>
  <c r="W309" i="13"/>
  <c r="V261" i="13"/>
  <c r="AA261" i="13"/>
  <c r="AE261" i="13"/>
  <c r="Y261" i="13"/>
  <c r="AB261" i="13"/>
  <c r="W261" i="13"/>
  <c r="AC261" i="13"/>
  <c r="X261" i="13"/>
  <c r="V221" i="13"/>
  <c r="AA221" i="13"/>
  <c r="AB221" i="13"/>
  <c r="Z221" i="13"/>
  <c r="W221" i="13"/>
  <c r="Y221" i="13"/>
  <c r="AE221" i="13"/>
  <c r="X221" i="13"/>
  <c r="AC221" i="13"/>
  <c r="V165" i="13"/>
  <c r="AA165" i="13"/>
  <c r="AC165" i="13"/>
  <c r="Y165" i="13"/>
  <c r="Z165" i="13"/>
  <c r="W165" i="13"/>
  <c r="AB165" i="13"/>
  <c r="X165" i="13"/>
  <c r="AE165" i="13"/>
  <c r="V117" i="13"/>
  <c r="AA117" i="13"/>
  <c r="AC117" i="13"/>
  <c r="AE117" i="13"/>
  <c r="AB117" i="13"/>
  <c r="W117" i="13"/>
  <c r="X117" i="13"/>
  <c r="Y117" i="13"/>
  <c r="Z117" i="13"/>
  <c r="V77" i="13"/>
  <c r="AE77" i="13"/>
  <c r="AB77" i="13"/>
  <c r="AC77" i="13"/>
  <c r="V29" i="13"/>
  <c r="AE29" i="13"/>
  <c r="AB29" i="13"/>
  <c r="AC29" i="13"/>
  <c r="W29" i="13"/>
  <c r="Z29" i="13"/>
  <c r="AA29" i="13"/>
  <c r="X29" i="13"/>
  <c r="Y29" i="13"/>
  <c r="AR2766" i="3"/>
  <c r="AT2766" i="3"/>
  <c r="AU2766" i="3"/>
  <c r="BA2766" i="3"/>
  <c r="AV2766" i="3"/>
  <c r="AW2766" i="3"/>
  <c r="AY2766" i="3"/>
  <c r="AZ2766" i="3"/>
  <c r="AX2766" i="3"/>
  <c r="AS2766" i="3"/>
  <c r="AV2718" i="3"/>
  <c r="AR2718" i="3"/>
  <c r="BA2718" i="3"/>
  <c r="AS2718" i="3"/>
  <c r="AZ2718" i="3"/>
  <c r="AT2718" i="3"/>
  <c r="AU2718" i="3"/>
  <c r="AY2718" i="3"/>
  <c r="AX2718" i="3"/>
  <c r="AW2718" i="3"/>
  <c r="AS2670" i="3"/>
  <c r="BA2670" i="3"/>
  <c r="AZ2670" i="3"/>
  <c r="AR2670" i="3"/>
  <c r="AY2670" i="3"/>
  <c r="AT2670" i="3"/>
  <c r="AW2670" i="3"/>
  <c r="AX2670" i="3"/>
  <c r="AU2670" i="3"/>
  <c r="AV2670" i="3"/>
  <c r="AX2630" i="3"/>
  <c r="AV2630" i="3"/>
  <c r="AR2630" i="3"/>
  <c r="BA2630" i="3"/>
  <c r="AU2630" i="3"/>
  <c r="AW2630" i="3"/>
  <c r="AT2630" i="3"/>
  <c r="AY2630" i="3"/>
  <c r="AS2630" i="3"/>
  <c r="AZ2630" i="3"/>
  <c r="AT2582" i="3"/>
  <c r="AR2582" i="3"/>
  <c r="BA2582" i="3"/>
  <c r="AW2582" i="3"/>
  <c r="AU2582" i="3"/>
  <c r="AV2582" i="3"/>
  <c r="AZ2582" i="3"/>
  <c r="AS2582" i="3"/>
  <c r="AX2582" i="3"/>
  <c r="AY2582" i="3"/>
  <c r="AS2542" i="3"/>
  <c r="BA2542" i="3"/>
  <c r="AY2542" i="3"/>
  <c r="AU2542" i="3"/>
  <c r="AX2542" i="3"/>
  <c r="AZ2542" i="3"/>
  <c r="AR2542" i="3"/>
  <c r="AW2542" i="3"/>
  <c r="AV2542" i="3"/>
  <c r="AT2542" i="3"/>
  <c r="AX2502" i="3"/>
  <c r="AZ2502" i="3"/>
  <c r="AU2502" i="3"/>
  <c r="AR2502" i="3"/>
  <c r="AS2502" i="3"/>
  <c r="AW2502" i="3"/>
  <c r="AT2502" i="3"/>
  <c r="AV2502" i="3"/>
  <c r="BA2502" i="3"/>
  <c r="AY2502" i="3"/>
  <c r="AW2462" i="3"/>
  <c r="AR2462" i="3"/>
  <c r="BA2462" i="3"/>
  <c r="AV2462" i="3"/>
  <c r="AZ2462" i="3"/>
  <c r="AT2462" i="3"/>
  <c r="AS2462" i="3"/>
  <c r="AU2462" i="3"/>
  <c r="AX2462" i="3"/>
  <c r="AY2462" i="3"/>
  <c r="AW2406" i="3"/>
  <c r="AX2406" i="3"/>
  <c r="AU2406" i="3"/>
  <c r="BA2406" i="3"/>
  <c r="AT2406" i="3"/>
  <c r="AV2406" i="3"/>
  <c r="AZ2406" i="3"/>
  <c r="AR2406" i="3"/>
  <c r="AS2406" i="3"/>
  <c r="AY2406" i="3"/>
  <c r="AS2358" i="3"/>
  <c r="BA2358" i="3"/>
  <c r="AW2358" i="3"/>
  <c r="AU2358" i="3"/>
  <c r="AX2358" i="3"/>
  <c r="AV2358" i="3"/>
  <c r="AY2358" i="3"/>
  <c r="AZ2358" i="3"/>
  <c r="AR2358" i="3"/>
  <c r="AT2358" i="3"/>
  <c r="AW2318" i="3"/>
  <c r="AS2318" i="3"/>
  <c r="AZ2318" i="3"/>
  <c r="BA2318" i="3"/>
  <c r="AR2318" i="3"/>
  <c r="AX2318" i="3"/>
  <c r="AT2318" i="3"/>
  <c r="AU2318" i="3"/>
  <c r="AV2318" i="3"/>
  <c r="AY2318" i="3"/>
  <c r="AU2278" i="3"/>
  <c r="AV2278" i="3"/>
  <c r="AZ2278" i="3"/>
  <c r="AS2278" i="3"/>
  <c r="AT2278" i="3"/>
  <c r="BA2278" i="3"/>
  <c r="AR2278" i="3"/>
  <c r="AW2278" i="3"/>
  <c r="AX2278" i="3"/>
  <c r="AU2230" i="3"/>
  <c r="AW2230" i="3"/>
  <c r="AR2230" i="3"/>
  <c r="AY2230" i="3"/>
  <c r="AT2230" i="3"/>
  <c r="AS2230" i="3"/>
  <c r="AX2230" i="3"/>
  <c r="BA2230" i="3"/>
  <c r="AV2230" i="3"/>
  <c r="AW2198" i="3"/>
  <c r="AU2198" i="3"/>
  <c r="AS2198" i="3"/>
  <c r="AT2198" i="3"/>
  <c r="AX2198" i="3"/>
  <c r="AZ2198" i="3"/>
  <c r="AV2198" i="3"/>
  <c r="AY2198" i="3"/>
  <c r="AU2142" i="3"/>
  <c r="AR2142" i="3"/>
  <c r="BA2142" i="3"/>
  <c r="AZ2142" i="3"/>
  <c r="AV2142" i="3"/>
  <c r="AT2142" i="3"/>
  <c r="AW2142" i="3"/>
  <c r="AY2142" i="3"/>
  <c r="AX2142" i="3"/>
  <c r="AU2102" i="3"/>
  <c r="AR2102" i="3"/>
  <c r="AV2102" i="3"/>
  <c r="AZ2102" i="3"/>
  <c r="AX2102" i="3"/>
  <c r="AW2102" i="3"/>
  <c r="AS2102" i="3"/>
  <c r="AY2102" i="3"/>
  <c r="BA2102" i="3"/>
  <c r="AU2046" i="3"/>
  <c r="AR2046" i="3"/>
  <c r="AW2046" i="3"/>
  <c r="AX2046" i="3"/>
  <c r="AT2046" i="3"/>
  <c r="AV2046" i="3"/>
  <c r="AD325" i="13"/>
  <c r="AD526" i="13"/>
  <c r="AD261" i="13"/>
  <c r="AD598" i="13"/>
  <c r="AD365" i="13"/>
  <c r="AD333" i="13"/>
  <c r="AD229" i="13"/>
  <c r="AD854" i="13"/>
  <c r="AD814" i="13"/>
  <c r="AD1094" i="13"/>
  <c r="AD846" i="13"/>
  <c r="AD582" i="13"/>
  <c r="AD942" i="13"/>
  <c r="AD453" i="13"/>
  <c r="AD349" i="13"/>
  <c r="AD742" i="13"/>
  <c r="AD125" i="13"/>
  <c r="AD181" i="13"/>
  <c r="AD982" i="13"/>
  <c r="AD1062" i="13"/>
  <c r="AD670" i="13"/>
  <c r="Y982" i="13"/>
  <c r="W1038" i="13"/>
  <c r="X1030" i="13"/>
  <c r="X1014" i="13"/>
  <c r="X998" i="13"/>
  <c r="X478" i="13"/>
  <c r="X93" i="13"/>
  <c r="Y69" i="13"/>
  <c r="Y870" i="13"/>
  <c r="Y942" i="13"/>
  <c r="Z205" i="13"/>
  <c r="X886" i="13"/>
  <c r="Y1078" i="13"/>
  <c r="Z846" i="13"/>
  <c r="X830" i="13"/>
  <c r="Y806" i="13"/>
  <c r="Z934" i="13"/>
  <c r="Z726" i="13"/>
  <c r="Z718" i="13"/>
  <c r="X662" i="13"/>
  <c r="Y790" i="13"/>
  <c r="W710" i="13"/>
  <c r="Z678" i="13"/>
  <c r="Z421" i="13"/>
  <c r="Z405" i="13"/>
  <c r="X301" i="13"/>
  <c r="Y109" i="13"/>
  <c r="AC1094" i="13"/>
  <c r="AB157" i="13"/>
  <c r="V1110" i="13"/>
  <c r="AB1110" i="13"/>
  <c r="AC1110" i="13"/>
  <c r="AE1110" i="13"/>
  <c r="V1054" i="13"/>
  <c r="AE1054" i="13"/>
  <c r="AC1054" i="13"/>
  <c r="AB1054" i="13"/>
  <c r="V1006" i="13"/>
  <c r="AE1006" i="13"/>
  <c r="AA1006" i="13"/>
  <c r="AB1006" i="13"/>
  <c r="AC1006" i="13"/>
  <c r="V958" i="13"/>
  <c r="AA958" i="13"/>
  <c r="AE958" i="13"/>
  <c r="AB958" i="13"/>
  <c r="Z958" i="13"/>
  <c r="AC958" i="13"/>
  <c r="V910" i="13"/>
  <c r="AE910" i="13"/>
  <c r="AA910" i="13"/>
  <c r="AC910" i="13"/>
  <c r="V862" i="13"/>
  <c r="AA862" i="13"/>
  <c r="AC862" i="13"/>
  <c r="AE862" i="13"/>
  <c r="AB862" i="13"/>
  <c r="W862" i="13"/>
  <c r="V822" i="13"/>
  <c r="AA822" i="13"/>
  <c r="AB822" i="13"/>
  <c r="AE822" i="13"/>
  <c r="AC822" i="13"/>
  <c r="W822" i="13"/>
  <c r="X822" i="13"/>
  <c r="V774" i="13"/>
  <c r="AE774" i="13"/>
  <c r="AA774" i="13"/>
  <c r="X774" i="13"/>
  <c r="AC774" i="13"/>
  <c r="Y774" i="13"/>
  <c r="Z774" i="13"/>
  <c r="AB774" i="13"/>
  <c r="V734" i="13"/>
  <c r="AC734" i="13"/>
  <c r="AE734" i="13"/>
  <c r="AB734" i="13"/>
  <c r="AA734" i="13"/>
  <c r="W734" i="13"/>
  <c r="X734" i="13"/>
  <c r="V686" i="13"/>
  <c r="AE686" i="13"/>
  <c r="AB686" i="13"/>
  <c r="AC686" i="13"/>
  <c r="AA686" i="13"/>
  <c r="W686" i="13"/>
  <c r="V638" i="13"/>
  <c r="AE638" i="13"/>
  <c r="AB638" i="13"/>
  <c r="AC638" i="13"/>
  <c r="AA638" i="13"/>
  <c r="X638" i="13"/>
  <c r="V590" i="13"/>
  <c r="AE590" i="13"/>
  <c r="AA590" i="13"/>
  <c r="AB590" i="13"/>
  <c r="AC590" i="13"/>
  <c r="Z590" i="13"/>
  <c r="V542" i="13"/>
  <c r="AE542" i="13"/>
  <c r="AB542" i="13"/>
  <c r="AC542" i="13"/>
  <c r="AA542" i="13"/>
  <c r="W542" i="13"/>
  <c r="V494" i="13"/>
  <c r="AE494" i="13"/>
  <c r="AB494" i="13"/>
  <c r="AC494" i="13"/>
  <c r="Y494" i="13"/>
  <c r="AA494" i="13"/>
  <c r="Z494" i="13"/>
  <c r="V445" i="13"/>
  <c r="AB445" i="13"/>
  <c r="AE445" i="13"/>
  <c r="AC445" i="13"/>
  <c r="W445" i="13"/>
  <c r="X445" i="13"/>
  <c r="AA445" i="13"/>
  <c r="Y445" i="13"/>
  <c r="Z445" i="13"/>
  <c r="V389" i="13"/>
  <c r="AE389" i="13"/>
  <c r="AA389" i="13"/>
  <c r="AB389" i="13"/>
  <c r="AC389" i="13"/>
  <c r="V341" i="13"/>
  <c r="AB341" i="13"/>
  <c r="AC341" i="13"/>
  <c r="X341" i="13"/>
  <c r="Z341" i="13"/>
  <c r="AA341" i="13"/>
  <c r="Y341" i="13"/>
  <c r="AE341" i="13"/>
  <c r="W341" i="13"/>
  <c r="V293" i="13"/>
  <c r="AA293" i="13"/>
  <c r="AC293" i="13"/>
  <c r="AB293" i="13"/>
  <c r="W293" i="13"/>
  <c r="Y293" i="13"/>
  <c r="Z293" i="13"/>
  <c r="X293" i="13"/>
  <c r="V245" i="13"/>
  <c r="AB245" i="13"/>
  <c r="AC245" i="13"/>
  <c r="AA245" i="13"/>
  <c r="Y245" i="13"/>
  <c r="W245" i="13"/>
  <c r="Z245" i="13"/>
  <c r="V197" i="13"/>
  <c r="AB197" i="13"/>
  <c r="Y197" i="13"/>
  <c r="AC197" i="13"/>
  <c r="Z197" i="13"/>
  <c r="AA197" i="13"/>
  <c r="AE197" i="13"/>
  <c r="W197" i="13"/>
  <c r="X197" i="13"/>
  <c r="V149" i="13"/>
  <c r="AC149" i="13"/>
  <c r="W149" i="13"/>
  <c r="AE149" i="13"/>
  <c r="Z149" i="13"/>
  <c r="AA149" i="13"/>
  <c r="AB149" i="13"/>
  <c r="Y149" i="13"/>
  <c r="X149" i="13"/>
  <c r="V101" i="13"/>
  <c r="AE101" i="13"/>
  <c r="AB101" i="13"/>
  <c r="AC101" i="13"/>
  <c r="X101" i="13"/>
  <c r="Y101" i="13"/>
  <c r="AA101" i="13"/>
  <c r="W101" i="13"/>
  <c r="Z101" i="13"/>
  <c r="V53" i="13"/>
  <c r="AE53" i="13"/>
  <c r="AA53" i="13"/>
  <c r="AB53" i="13"/>
  <c r="W53" i="13"/>
  <c r="Z53" i="13"/>
  <c r="AC53" i="13"/>
  <c r="X53" i="13"/>
  <c r="Y53" i="13"/>
  <c r="AU2750" i="3"/>
  <c r="AZ2750" i="3"/>
  <c r="AR2750" i="3"/>
  <c r="BA2750" i="3"/>
  <c r="AS2750" i="3"/>
  <c r="AV2750" i="3"/>
  <c r="AW2750" i="3"/>
  <c r="AT2750" i="3"/>
  <c r="AX2750" i="3"/>
  <c r="AY2750" i="3"/>
  <c r="AR2702" i="3"/>
  <c r="AZ2702" i="3"/>
  <c r="AS2702" i="3"/>
  <c r="AT2702" i="3"/>
  <c r="AU2702" i="3"/>
  <c r="AV2702" i="3"/>
  <c r="AX2702" i="3"/>
  <c r="AY2702" i="3"/>
  <c r="BA2702" i="3"/>
  <c r="AW2702" i="3"/>
  <c r="AU2654" i="3"/>
  <c r="AT2654" i="3"/>
  <c r="AY2654" i="3"/>
  <c r="AX2654" i="3"/>
  <c r="AZ2654" i="3"/>
  <c r="AR2654" i="3"/>
  <c r="AS2654" i="3"/>
  <c r="AW2654" i="3"/>
  <c r="AV2654" i="3"/>
  <c r="BA2654" i="3"/>
  <c r="AU2606" i="3"/>
  <c r="AR2606" i="3"/>
  <c r="BA2606" i="3"/>
  <c r="AW2606" i="3"/>
  <c r="AX2606" i="3"/>
  <c r="AY2606" i="3"/>
  <c r="AS2606" i="3"/>
  <c r="AT2606" i="3"/>
  <c r="AZ2606" i="3"/>
  <c r="AV2606" i="3"/>
  <c r="AW2566" i="3"/>
  <c r="AS2566" i="3"/>
  <c r="AX2566" i="3"/>
  <c r="AR2566" i="3"/>
  <c r="AT2566" i="3"/>
  <c r="AY2566" i="3"/>
  <c r="BA2566" i="3"/>
  <c r="AU2566" i="3"/>
  <c r="AV2566" i="3"/>
  <c r="AZ2566" i="3"/>
  <c r="AU2526" i="3"/>
  <c r="AR2526" i="3"/>
  <c r="BA2526" i="3"/>
  <c r="AW2526" i="3"/>
  <c r="AV2526" i="3"/>
  <c r="AX2526" i="3"/>
  <c r="AS2526" i="3"/>
  <c r="AZ2526" i="3"/>
  <c r="AY2526" i="3"/>
  <c r="AT2526" i="3"/>
  <c r="AW2486" i="3"/>
  <c r="AX2486" i="3"/>
  <c r="AS2486" i="3"/>
  <c r="AY2486" i="3"/>
  <c r="AZ2486" i="3"/>
  <c r="AR2486" i="3"/>
  <c r="AT2486" i="3"/>
  <c r="AU2486" i="3"/>
  <c r="BA2486" i="3"/>
  <c r="AV2486" i="3"/>
  <c r="AY2446" i="3"/>
  <c r="AT2446" i="3"/>
  <c r="AX2446" i="3"/>
  <c r="AW2446" i="3"/>
  <c r="AZ2446" i="3"/>
  <c r="AR2446" i="3"/>
  <c r="AS2446" i="3"/>
  <c r="AU2446" i="3"/>
  <c r="AV2446" i="3"/>
  <c r="BA2446" i="3"/>
  <c r="AR2390" i="3"/>
  <c r="AZ2390" i="3"/>
  <c r="AY2390" i="3"/>
  <c r="BA2390" i="3"/>
  <c r="AU2390" i="3"/>
  <c r="AX2390" i="3"/>
  <c r="AS2390" i="3"/>
  <c r="AT2390" i="3"/>
  <c r="AV2390" i="3"/>
  <c r="AW2390" i="3"/>
  <c r="AS2342" i="3"/>
  <c r="BA2342" i="3"/>
  <c r="AV2342" i="3"/>
  <c r="AW2342" i="3"/>
  <c r="AX2342" i="3"/>
  <c r="AY2342" i="3"/>
  <c r="AZ2342" i="3"/>
  <c r="AU2342" i="3"/>
  <c r="AR2342" i="3"/>
  <c r="AT2342" i="3"/>
  <c r="AT2294" i="3"/>
  <c r="AZ2294" i="3"/>
  <c r="AS2294" i="3"/>
  <c r="AU2294" i="3"/>
  <c r="BA2294" i="3"/>
  <c r="AV2294" i="3"/>
  <c r="AW2294" i="3"/>
  <c r="AX2294" i="3"/>
  <c r="AY2294" i="3"/>
  <c r="AR2294" i="3"/>
  <c r="AU2246" i="3"/>
  <c r="AS2246" i="3"/>
  <c r="AY2246" i="3"/>
  <c r="AR2246" i="3"/>
  <c r="AZ2246" i="3"/>
  <c r="BA2246" i="3"/>
  <c r="AV2246" i="3"/>
  <c r="AX2246" i="3"/>
  <c r="AT2246" i="3"/>
  <c r="AX2182" i="3"/>
  <c r="AZ2182" i="3"/>
  <c r="AV2182" i="3"/>
  <c r="AR2182" i="3"/>
  <c r="AY2182" i="3"/>
  <c r="AS2182" i="3"/>
  <c r="AT2182" i="3"/>
  <c r="AU2182" i="3"/>
  <c r="BA2182" i="3"/>
  <c r="AX2110" i="3"/>
  <c r="AT2110" i="3"/>
  <c r="AV2110" i="3"/>
  <c r="AR2110" i="3"/>
  <c r="AU2110" i="3"/>
  <c r="AZ2110" i="3"/>
  <c r="AW2110" i="3"/>
  <c r="AR1846" i="3"/>
  <c r="AW1846" i="3"/>
  <c r="AU1830" i="3"/>
  <c r="AZ1830" i="3"/>
  <c r="AX1806" i="3"/>
  <c r="AR1806" i="3"/>
  <c r="AZ1790" i="3"/>
  <c r="AS1790" i="3"/>
  <c r="BA1782" i="3"/>
  <c r="AZ1782" i="3"/>
  <c r="AW1766" i="3"/>
  <c r="AR1766" i="3"/>
  <c r="AV1766" i="3"/>
  <c r="AY1758" i="3"/>
  <c r="AS1758" i="3"/>
  <c r="AU1758" i="3"/>
  <c r="AD502" i="13"/>
  <c r="AD1086" i="13"/>
  <c r="AD13" i="13"/>
  <c r="AD630" i="13"/>
  <c r="AD518" i="13"/>
  <c r="AD237" i="13"/>
  <c r="AD646" i="13"/>
  <c r="AD93" i="13"/>
  <c r="AD606" i="13"/>
  <c r="AD782" i="13"/>
  <c r="AD806" i="13"/>
  <c r="AD662" i="13"/>
  <c r="AD886" i="13"/>
  <c r="AD45" i="13"/>
  <c r="AD373" i="13"/>
  <c r="AD870" i="13"/>
  <c r="AD990" i="13"/>
  <c r="AD486" i="13"/>
  <c r="AD734" i="13"/>
  <c r="AD638" i="13"/>
  <c r="AD878" i="13"/>
  <c r="AD381" i="13"/>
  <c r="AD301" i="13"/>
  <c r="AD494" i="13"/>
  <c r="AD1078" i="13"/>
  <c r="X1110" i="13"/>
  <c r="X982" i="13"/>
  <c r="Z1054" i="13"/>
  <c r="Z1046" i="13"/>
  <c r="W1030" i="13"/>
  <c r="W1014" i="13"/>
  <c r="W998" i="13"/>
  <c r="W478" i="13"/>
  <c r="W93" i="13"/>
  <c r="X69" i="13"/>
  <c r="X942" i="13"/>
  <c r="Y205" i="13"/>
  <c r="X389" i="13"/>
  <c r="W886" i="13"/>
  <c r="Y862" i="13"/>
  <c r="W846" i="13"/>
  <c r="W806" i="13"/>
  <c r="Z966" i="13"/>
  <c r="W934" i="13"/>
  <c r="W726" i="13"/>
  <c r="Z694" i="13"/>
  <c r="Y550" i="13"/>
  <c r="Z542" i="13"/>
  <c r="Z357" i="13"/>
  <c r="AA1070" i="13"/>
  <c r="AB910" i="13"/>
  <c r="AC558" i="13"/>
  <c r="AA894" i="13"/>
  <c r="AB598" i="13"/>
  <c r="AC518" i="13"/>
  <c r="AS2550" i="3"/>
  <c r="V1078" i="13"/>
  <c r="AA1078" i="13"/>
  <c r="AC1078" i="13"/>
  <c r="AE1078" i="13"/>
  <c r="AB1078" i="13"/>
  <c r="V1022" i="13"/>
  <c r="AE1022" i="13"/>
  <c r="AB1022" i="13"/>
  <c r="AC1022" i="13"/>
  <c r="AA1022" i="13"/>
  <c r="V974" i="13"/>
  <c r="AE974" i="13"/>
  <c r="AA974" i="13"/>
  <c r="AB974" i="13"/>
  <c r="V918" i="13"/>
  <c r="AE918" i="13"/>
  <c r="AA918" i="13"/>
  <c r="Y918" i="13"/>
  <c r="V870" i="13"/>
  <c r="AA870" i="13"/>
  <c r="AC870" i="13"/>
  <c r="AE870" i="13"/>
  <c r="AB870" i="13"/>
  <c r="V814" i="13"/>
  <c r="AE814" i="13"/>
  <c r="AC814" i="13"/>
  <c r="AB814" i="13"/>
  <c r="AA814" i="13"/>
  <c r="Y814" i="13"/>
  <c r="Z814" i="13"/>
  <c r="V766" i="13"/>
  <c r="AE766" i="13"/>
  <c r="AA766" i="13"/>
  <c r="AB766" i="13"/>
  <c r="AC766" i="13"/>
  <c r="W766" i="13"/>
  <c r="X766" i="13"/>
  <c r="V718" i="13"/>
  <c r="AE718" i="13"/>
  <c r="AA718" i="13"/>
  <c r="AC718" i="13"/>
  <c r="AB718" i="13"/>
  <c r="Y718" i="13"/>
  <c r="V670" i="13"/>
  <c r="AA670" i="13"/>
  <c r="AE670" i="13"/>
  <c r="AB670" i="13"/>
  <c r="W670" i="13"/>
  <c r="AC670" i="13"/>
  <c r="V622" i="13"/>
  <c r="AE622" i="13"/>
  <c r="AA622" i="13"/>
  <c r="AB622" i="13"/>
  <c r="AC622" i="13"/>
  <c r="X622" i="13"/>
  <c r="Y622" i="13"/>
  <c r="V574" i="13"/>
  <c r="AA574" i="13"/>
  <c r="AE574" i="13"/>
  <c r="AC574" i="13"/>
  <c r="AB574" i="13"/>
  <c r="X574" i="13"/>
  <c r="V526" i="13"/>
  <c r="AC526" i="13"/>
  <c r="AA526" i="13"/>
  <c r="AE526" i="13"/>
  <c r="W526" i="13"/>
  <c r="Z526" i="13"/>
  <c r="V469" i="13"/>
  <c r="AE469" i="13"/>
  <c r="AA469" i="13"/>
  <c r="AC469" i="13"/>
  <c r="Z469" i="13"/>
  <c r="AB469" i="13"/>
  <c r="Y469" i="13"/>
  <c r="X469" i="13"/>
  <c r="V413" i="13"/>
  <c r="AA413" i="13"/>
  <c r="AB413" i="13"/>
  <c r="AC413" i="13"/>
  <c r="X413" i="13"/>
  <c r="Y413" i="13"/>
  <c r="AE413" i="13"/>
  <c r="W413" i="13"/>
  <c r="Z413" i="13"/>
  <c r="V365" i="13"/>
  <c r="AE365" i="13"/>
  <c r="AA365" i="13"/>
  <c r="AC365" i="13"/>
  <c r="Z365" i="13"/>
  <c r="Y365" i="13"/>
  <c r="X365" i="13"/>
  <c r="V317" i="13"/>
  <c r="AA317" i="13"/>
  <c r="AB317" i="13"/>
  <c r="AC317" i="13"/>
  <c r="X317" i="13"/>
  <c r="AE317" i="13"/>
  <c r="W317" i="13"/>
  <c r="Z317" i="13"/>
  <c r="V269" i="13"/>
  <c r="AC269" i="13"/>
  <c r="AA269" i="13"/>
  <c r="AE269" i="13"/>
  <c r="AB269" i="13"/>
  <c r="W269" i="13"/>
  <c r="X269" i="13"/>
  <c r="Z269" i="13"/>
  <c r="V213" i="13"/>
  <c r="AA213" i="13"/>
  <c r="AB213" i="13"/>
  <c r="AC213" i="13"/>
  <c r="AE213" i="13"/>
  <c r="W213" i="13"/>
  <c r="Z213" i="13"/>
  <c r="Y213" i="13"/>
  <c r="V157" i="13"/>
  <c r="AA157" i="13"/>
  <c r="AC157" i="13"/>
  <c r="AE157" i="13"/>
  <c r="Z157" i="13"/>
  <c r="W157" i="13"/>
  <c r="Y157" i="13"/>
  <c r="V109" i="13"/>
  <c r="AA109" i="13"/>
  <c r="AC109" i="13"/>
  <c r="AE109" i="13"/>
  <c r="W109" i="13"/>
  <c r="AB109" i="13"/>
  <c r="Z109" i="13"/>
  <c r="V61" i="13"/>
  <c r="AE61" i="13"/>
  <c r="AA61" i="13"/>
  <c r="AB61" i="13"/>
  <c r="AC61" i="13"/>
  <c r="Y61" i="13"/>
  <c r="Z61" i="13"/>
  <c r="X61" i="13"/>
  <c r="W61" i="13"/>
  <c r="V21" i="13"/>
  <c r="AA21" i="13"/>
  <c r="AB21" i="13"/>
  <c r="Z21" i="13"/>
  <c r="AE21" i="13"/>
  <c r="W21" i="13"/>
  <c r="X21" i="13"/>
  <c r="AC21" i="13"/>
  <c r="AY2742" i="3"/>
  <c r="AX2742" i="3"/>
  <c r="AZ2742" i="3"/>
  <c r="AR2742" i="3"/>
  <c r="AT2742" i="3"/>
  <c r="AU2742" i="3"/>
  <c r="AS2742" i="3"/>
  <c r="AW2742" i="3"/>
  <c r="BA2742" i="3"/>
  <c r="AV2742" i="3"/>
  <c r="AW2694" i="3"/>
  <c r="AZ2694" i="3"/>
  <c r="AR2694" i="3"/>
  <c r="BA2694" i="3"/>
  <c r="AT2694" i="3"/>
  <c r="AS2694" i="3"/>
  <c r="AV2694" i="3"/>
  <c r="AX2694" i="3"/>
  <c r="AY2694" i="3"/>
  <c r="AU2694" i="3"/>
  <c r="AY2646" i="3"/>
  <c r="AS2646" i="3"/>
  <c r="AW2646" i="3"/>
  <c r="AZ2646" i="3"/>
  <c r="BA2646" i="3"/>
  <c r="AV2646" i="3"/>
  <c r="AX2646" i="3"/>
  <c r="AR2646" i="3"/>
  <c r="AU2646" i="3"/>
  <c r="AT2646" i="3"/>
  <c r="AW2598" i="3"/>
  <c r="AX2598" i="3"/>
  <c r="AS2598" i="3"/>
  <c r="AU2598" i="3"/>
  <c r="AV2598" i="3"/>
  <c r="AY2598" i="3"/>
  <c r="AZ2598" i="3"/>
  <c r="AR2598" i="3"/>
  <c r="AT2598" i="3"/>
  <c r="BA2598" i="3"/>
  <c r="AW2558" i="3"/>
  <c r="AV2558" i="3"/>
  <c r="AR2558" i="3"/>
  <c r="BA2558" i="3"/>
  <c r="AZ2558" i="3"/>
  <c r="AT2558" i="3"/>
  <c r="AX2558" i="3"/>
  <c r="AY2558" i="3"/>
  <c r="AS2558" i="3"/>
  <c r="AU2558" i="3"/>
  <c r="AU2510" i="3"/>
  <c r="AR2510" i="3"/>
  <c r="BA2510" i="3"/>
  <c r="AW2510" i="3"/>
  <c r="AS2510" i="3"/>
  <c r="AX2510" i="3"/>
  <c r="AT2510" i="3"/>
  <c r="AV2510" i="3"/>
  <c r="AY2510" i="3"/>
  <c r="AZ2510" i="3"/>
  <c r="AT2470" i="3"/>
  <c r="AS2470" i="3"/>
  <c r="AX2470" i="3"/>
  <c r="AY2470" i="3"/>
  <c r="AZ2470" i="3"/>
  <c r="AR2470" i="3"/>
  <c r="BA2470" i="3"/>
  <c r="AU2470" i="3"/>
  <c r="AV2470" i="3"/>
  <c r="AW2470" i="3"/>
  <c r="AY2422" i="3"/>
  <c r="AW2422" i="3"/>
  <c r="AS2422" i="3"/>
  <c r="BA2422" i="3"/>
  <c r="AU2422" i="3"/>
  <c r="AX2422" i="3"/>
  <c r="AZ2422" i="3"/>
  <c r="AR2422" i="3"/>
  <c r="AT2422" i="3"/>
  <c r="AV2422" i="3"/>
  <c r="AU2374" i="3"/>
  <c r="AR2374" i="3"/>
  <c r="BA2374" i="3"/>
  <c r="AX2374" i="3"/>
  <c r="AV2374" i="3"/>
  <c r="AT2374" i="3"/>
  <c r="AS2374" i="3"/>
  <c r="AW2374" i="3"/>
  <c r="AZ2374" i="3"/>
  <c r="AY2374" i="3"/>
  <c r="AR2310" i="3"/>
  <c r="AU2310" i="3"/>
  <c r="AX2310" i="3"/>
  <c r="AT2310" i="3"/>
  <c r="AV2310" i="3"/>
  <c r="AY2310" i="3"/>
  <c r="AZ2310" i="3"/>
  <c r="AW2310" i="3"/>
  <c r="AU2262" i="3"/>
  <c r="AY2262" i="3"/>
  <c r="AR2262" i="3"/>
  <c r="AX2262" i="3"/>
  <c r="AT2262" i="3"/>
  <c r="AW2262" i="3"/>
  <c r="AZ2262" i="3"/>
  <c r="AV2262" i="3"/>
  <c r="BA2262" i="3"/>
  <c r="AU2214" i="3"/>
  <c r="AX2214" i="3"/>
  <c r="AY2214" i="3"/>
  <c r="AV2214" i="3"/>
  <c r="AW2214" i="3"/>
  <c r="AR2214" i="3"/>
  <c r="AS2214" i="3"/>
  <c r="AZ2214" i="3"/>
  <c r="BA2214" i="3"/>
  <c r="AX2166" i="3"/>
  <c r="AZ2166" i="3"/>
  <c r="AY2166" i="3"/>
  <c r="AW2166" i="3"/>
  <c r="AU2166" i="3"/>
  <c r="AS2166" i="3"/>
  <c r="AV2166" i="3"/>
  <c r="AT2166" i="3"/>
  <c r="AV2126" i="3"/>
  <c r="AX2126" i="3"/>
  <c r="BA2126" i="3"/>
  <c r="AR2126" i="3"/>
  <c r="AW2126" i="3"/>
  <c r="AU2126" i="3"/>
  <c r="AZ2126" i="3"/>
  <c r="AS2126" i="3"/>
  <c r="AT2126" i="3"/>
  <c r="BA2086" i="3"/>
  <c r="AW2086" i="3"/>
  <c r="AV2086" i="3"/>
  <c r="AT2086" i="3"/>
  <c r="AY2086" i="3"/>
  <c r="AX2086" i="3"/>
  <c r="AS2086" i="3"/>
  <c r="BA2062" i="3"/>
  <c r="AR2062" i="3"/>
  <c r="AX2062" i="3"/>
  <c r="AT2062" i="3"/>
  <c r="AZ2062" i="3"/>
  <c r="AW2062" i="3"/>
  <c r="AU2062" i="3"/>
  <c r="AT2030" i="3"/>
  <c r="AS2030" i="3"/>
  <c r="AU2030" i="3"/>
  <c r="AZ2030" i="3"/>
  <c r="AW2030" i="3"/>
  <c r="AV2030" i="3"/>
  <c r="AT2006" i="3"/>
  <c r="AW2006" i="3"/>
  <c r="AS2006" i="3"/>
  <c r="AX2006" i="3"/>
  <c r="AZ2006" i="3"/>
  <c r="AU2006" i="3"/>
  <c r="AV2006" i="3"/>
  <c r="AZ1990" i="3"/>
  <c r="AV1990" i="3"/>
  <c r="AR1990" i="3"/>
  <c r="AT1990" i="3"/>
  <c r="BA1990" i="3"/>
  <c r="AU1990" i="3"/>
  <c r="AS1990" i="3"/>
  <c r="AU1974" i="3"/>
  <c r="AR1974" i="3"/>
  <c r="AX1974" i="3"/>
  <c r="AT1974" i="3"/>
  <c r="AW1974" i="3"/>
  <c r="AZ1974" i="3"/>
  <c r="AZ1958" i="3"/>
  <c r="BA1958" i="3"/>
  <c r="AU1958" i="3"/>
  <c r="AR1958" i="3"/>
  <c r="AS1958" i="3"/>
  <c r="AX1958" i="3"/>
  <c r="AZ1942" i="3"/>
  <c r="AR1942" i="3"/>
  <c r="AU1942" i="3"/>
  <c r="AW1942" i="3"/>
  <c r="AS1942" i="3"/>
  <c r="BA1942" i="3"/>
  <c r="AS1926" i="3"/>
  <c r="AX1926" i="3"/>
  <c r="AR1926" i="3"/>
  <c r="AW1926" i="3"/>
  <c r="AY1926" i="3"/>
  <c r="AZ1926" i="3"/>
  <c r="AV1910" i="3"/>
  <c r="AZ1910" i="3"/>
  <c r="AT1910" i="3"/>
  <c r="AW1902" i="3"/>
  <c r="AV1902" i="3"/>
  <c r="AX1878" i="3"/>
  <c r="AR1878" i="3"/>
  <c r="BA1870" i="3"/>
  <c r="AR1870" i="3"/>
  <c r="AX1870" i="3"/>
  <c r="AW1862" i="3"/>
  <c r="AZ1862" i="3"/>
  <c r="BA1862" i="3"/>
  <c r="AW1838" i="3"/>
  <c r="BA1838" i="3"/>
  <c r="AD1014" i="13"/>
  <c r="AD77" i="13"/>
  <c r="AD574" i="13"/>
  <c r="AD1038" i="13"/>
  <c r="AD445" i="13"/>
  <c r="AD838" i="13"/>
  <c r="AD910" i="13"/>
  <c r="AD478" i="13"/>
  <c r="AD173" i="13"/>
  <c r="AD654" i="13"/>
  <c r="AD117" i="13"/>
  <c r="AD221" i="13"/>
  <c r="AD590" i="13"/>
  <c r="AD1110" i="13"/>
  <c r="AD341" i="13"/>
  <c r="AD317" i="13"/>
  <c r="AD1022" i="13"/>
  <c r="AD1054" i="13"/>
  <c r="AD614" i="13"/>
  <c r="W1110" i="13"/>
  <c r="W982" i="13"/>
  <c r="Y1054" i="13"/>
  <c r="Y1046" i="13"/>
  <c r="Z1022" i="13"/>
  <c r="Z1006" i="13"/>
  <c r="Z990" i="13"/>
  <c r="Z486" i="13"/>
  <c r="Z974" i="13"/>
  <c r="W69" i="13"/>
  <c r="W870" i="13"/>
  <c r="W942" i="13"/>
  <c r="X205" i="13"/>
  <c r="Z910" i="13"/>
  <c r="W389" i="13"/>
  <c r="Z1094" i="13"/>
  <c r="W1078" i="13"/>
  <c r="X862" i="13"/>
  <c r="Z822" i="13"/>
  <c r="W814" i="13"/>
  <c r="W966" i="13"/>
  <c r="Z750" i="13"/>
  <c r="Z742" i="13"/>
  <c r="W718" i="13"/>
  <c r="Z558" i="13"/>
  <c r="Y694" i="13"/>
  <c r="X550" i="13"/>
  <c r="Z686" i="13"/>
  <c r="Z630" i="13"/>
  <c r="Y542" i="13"/>
  <c r="Z510" i="13"/>
  <c r="Z502" i="13"/>
  <c r="W437" i="13"/>
  <c r="X429" i="13"/>
  <c r="W229" i="13"/>
  <c r="AE293" i="13"/>
  <c r="AE245" i="13"/>
  <c r="AZ2118" i="3"/>
  <c r="V1109" i="13"/>
  <c r="AE1109" i="13"/>
  <c r="AA1109" i="13"/>
  <c r="AB1109" i="13"/>
  <c r="AC1109" i="13"/>
  <c r="V1101" i="13"/>
  <c r="AB1101" i="13"/>
  <c r="AC1101" i="13"/>
  <c r="AE1101" i="13"/>
  <c r="V1093" i="13"/>
  <c r="AE1093" i="13"/>
  <c r="AC1093" i="13"/>
  <c r="AB1093" i="13"/>
  <c r="AA1093" i="13"/>
  <c r="V1085" i="13"/>
  <c r="AE1085" i="13"/>
  <c r="AB1085" i="13"/>
  <c r="AC1085" i="13"/>
  <c r="AA1085" i="13"/>
  <c r="V1077" i="13"/>
  <c r="AB1077" i="13"/>
  <c r="AC1077" i="13"/>
  <c r="AE1077" i="13"/>
  <c r="AA1077" i="13"/>
  <c r="V1069" i="13"/>
  <c r="AB1069" i="13"/>
  <c r="AA1069" i="13"/>
  <c r="AC1069" i="13"/>
  <c r="V1061" i="13"/>
  <c r="AE1061" i="13"/>
  <c r="AA1061" i="13"/>
  <c r="AC1061" i="13"/>
  <c r="V1053" i="13"/>
  <c r="AA1053" i="13"/>
  <c r="AE1053" i="13"/>
  <c r="AB1053" i="13"/>
  <c r="AC1053" i="13"/>
  <c r="V1045" i="13"/>
  <c r="AE1045" i="13"/>
  <c r="AA1045" i="13"/>
  <c r="AB1045" i="13"/>
  <c r="AC1045" i="13"/>
  <c r="V1037" i="13"/>
  <c r="AE1037" i="13"/>
  <c r="AC1037" i="13"/>
  <c r="AB1037" i="13"/>
  <c r="V1029" i="13"/>
  <c r="AA1029" i="13"/>
  <c r="AC1029" i="13"/>
  <c r="AB1029" i="13"/>
  <c r="V1021" i="13"/>
  <c r="AE1021" i="13"/>
  <c r="AB1021" i="13"/>
  <c r="AC1021" i="13"/>
  <c r="AA1021" i="13"/>
  <c r="V1013" i="13"/>
  <c r="AE1013" i="13"/>
  <c r="AB1013" i="13"/>
  <c r="AC1013" i="13"/>
  <c r="V1005" i="13"/>
  <c r="AE1005" i="13"/>
  <c r="AC1005" i="13"/>
  <c r="V997" i="13"/>
  <c r="AA997" i="13"/>
  <c r="AC997" i="13"/>
  <c r="AE997" i="13"/>
  <c r="AB997" i="13"/>
  <c r="V989" i="13"/>
  <c r="AA989" i="13"/>
  <c r="AC989" i="13"/>
  <c r="AE989" i="13"/>
  <c r="AB989" i="13"/>
  <c r="V981" i="13"/>
  <c r="AE981" i="13"/>
  <c r="AA981" i="13"/>
  <c r="AB981" i="13"/>
  <c r="V973" i="13"/>
  <c r="AE973" i="13"/>
  <c r="AA973" i="13"/>
  <c r="AB973" i="13"/>
  <c r="AC973" i="13"/>
  <c r="V965" i="13"/>
  <c r="AB965" i="13"/>
  <c r="AC965" i="13"/>
  <c r="AA965" i="13"/>
  <c r="V957" i="13"/>
  <c r="AE957" i="13"/>
  <c r="AB957" i="13"/>
  <c r="AC957" i="13"/>
  <c r="AA957" i="13"/>
  <c r="V949" i="13"/>
  <c r="AB949" i="13"/>
  <c r="AC949" i="13"/>
  <c r="AE949" i="13"/>
  <c r="AA949" i="13"/>
  <c r="V941" i="13"/>
  <c r="AE941" i="13"/>
  <c r="AB941" i="13"/>
  <c r="AC941" i="13"/>
  <c r="V933" i="13"/>
  <c r="AE933" i="13"/>
  <c r="AA933" i="13"/>
  <c r="AC933" i="13"/>
  <c r="V925" i="13"/>
  <c r="AA925" i="13"/>
  <c r="AE925" i="13"/>
  <c r="Y925" i="13"/>
  <c r="W925" i="13"/>
  <c r="AC925" i="13"/>
  <c r="V917" i="13"/>
  <c r="AE917" i="13"/>
  <c r="AA917" i="13"/>
  <c r="AC917" i="13"/>
  <c r="AB917" i="13"/>
  <c r="V909" i="13"/>
  <c r="AE909" i="13"/>
  <c r="AC909" i="13"/>
  <c r="AA909" i="13"/>
  <c r="AB909" i="13"/>
  <c r="V901" i="13"/>
  <c r="AE901" i="13"/>
  <c r="AA901" i="13"/>
  <c r="AB901" i="13"/>
  <c r="AC901" i="13"/>
  <c r="V893" i="13"/>
  <c r="AB893" i="13"/>
  <c r="AC893" i="13"/>
  <c r="AA893" i="13"/>
  <c r="V885" i="13"/>
  <c r="AB885" i="13"/>
  <c r="AC885" i="13"/>
  <c r="AA885" i="13"/>
  <c r="V877" i="13"/>
  <c r="AE877" i="13"/>
  <c r="AA877" i="13"/>
  <c r="AB877" i="13"/>
  <c r="V869" i="13"/>
  <c r="AE869" i="13"/>
  <c r="AC869" i="13"/>
  <c r="AA869" i="13"/>
  <c r="AB869" i="13"/>
  <c r="V861" i="13"/>
  <c r="AC861" i="13"/>
  <c r="AE861" i="13"/>
  <c r="AB861" i="13"/>
  <c r="V853" i="13"/>
  <c r="AE853" i="13"/>
  <c r="AA853" i="13"/>
  <c r="AC853" i="13"/>
  <c r="V845" i="13"/>
  <c r="AE845" i="13"/>
  <c r="AA845" i="13"/>
  <c r="AB845" i="13"/>
  <c r="AC845" i="13"/>
  <c r="V837" i="13"/>
  <c r="AB837" i="13"/>
  <c r="AC837" i="13"/>
  <c r="AE837" i="13"/>
  <c r="AA837" i="13"/>
  <c r="V829" i="13"/>
  <c r="AE829" i="13"/>
  <c r="AB829" i="13"/>
  <c r="AC829" i="13"/>
  <c r="V821" i="13"/>
  <c r="AB821" i="13"/>
  <c r="AC821" i="13"/>
  <c r="AE821" i="13"/>
  <c r="V813" i="13"/>
  <c r="AE813" i="13"/>
  <c r="AB813" i="13"/>
  <c r="AC813" i="13"/>
  <c r="AA813" i="13"/>
  <c r="V805" i="13"/>
  <c r="AC805" i="13"/>
  <c r="AA805" i="13"/>
  <c r="AB805" i="13"/>
  <c r="Z805" i="13"/>
  <c r="V797" i="13"/>
  <c r="AE797" i="13"/>
  <c r="AA797" i="13"/>
  <c r="AC797" i="13"/>
  <c r="V789" i="13"/>
  <c r="AC789" i="13"/>
  <c r="AE789" i="13"/>
  <c r="Y789" i="13"/>
  <c r="V781" i="13"/>
  <c r="AE781" i="13"/>
  <c r="AC781" i="13"/>
  <c r="AA781" i="13"/>
  <c r="Y781" i="13"/>
  <c r="AB781" i="13"/>
  <c r="X781" i="13"/>
  <c r="V773" i="13"/>
  <c r="AE773" i="13"/>
  <c r="AB773" i="13"/>
  <c r="AC773" i="13"/>
  <c r="AA773" i="13"/>
  <c r="V765" i="13"/>
  <c r="AA765" i="13"/>
  <c r="AE765" i="13"/>
  <c r="AB765" i="13"/>
  <c r="V757" i="13"/>
  <c r="AE757" i="13"/>
  <c r="AA757" i="13"/>
  <c r="AB757" i="13"/>
  <c r="Y757" i="13"/>
  <c r="V749" i="13"/>
  <c r="AE749" i="13"/>
  <c r="AA749" i="13"/>
  <c r="AB749" i="13"/>
  <c r="AC749" i="13"/>
  <c r="V741" i="13"/>
  <c r="AC741" i="13"/>
  <c r="AE741" i="13"/>
  <c r="AA741" i="13"/>
  <c r="AB741" i="13"/>
  <c r="V733" i="13"/>
  <c r="AE733" i="13"/>
  <c r="AA733" i="13"/>
  <c r="AB733" i="13"/>
  <c r="V725" i="13"/>
  <c r="AA725" i="13"/>
  <c r="AB725" i="13"/>
  <c r="AE725" i="13"/>
  <c r="V717" i="13"/>
  <c r="AE717" i="13"/>
  <c r="AC717" i="13"/>
  <c r="V709" i="13"/>
  <c r="AE709" i="13"/>
  <c r="AA709" i="13"/>
  <c r="AC709" i="13"/>
  <c r="AB709" i="13"/>
  <c r="V701" i="13"/>
  <c r="AE701" i="13"/>
  <c r="AA701" i="13"/>
  <c r="AC701" i="13"/>
  <c r="V693" i="13"/>
  <c r="AE693" i="13"/>
  <c r="AD693" i="13"/>
  <c r="AA693" i="13"/>
  <c r="V685" i="13"/>
  <c r="AB685" i="13"/>
  <c r="AE685" i="13"/>
  <c r="AA685" i="13"/>
  <c r="W685" i="13"/>
  <c r="Z685" i="13"/>
  <c r="V677" i="13"/>
  <c r="AB677" i="13"/>
  <c r="AC677" i="13"/>
  <c r="AE677" i="13"/>
  <c r="V669" i="13"/>
  <c r="AE669" i="13"/>
  <c r="AB669" i="13"/>
  <c r="AC669" i="13"/>
  <c r="AA669" i="13"/>
  <c r="V661" i="13"/>
  <c r="AE661" i="13"/>
  <c r="AB661" i="13"/>
  <c r="AC661" i="13"/>
  <c r="V653" i="13"/>
  <c r="AE653" i="13"/>
  <c r="AC653" i="13"/>
  <c r="V645" i="13"/>
  <c r="AE645" i="13"/>
  <c r="AA645" i="13"/>
  <c r="AC645" i="13"/>
  <c r="AB645" i="13"/>
  <c r="V637" i="13"/>
  <c r="AE637" i="13"/>
  <c r="AA637" i="13"/>
  <c r="AC637" i="13"/>
  <c r="AB637" i="13"/>
  <c r="V629" i="13"/>
  <c r="AE629" i="13"/>
  <c r="AB629" i="13"/>
  <c r="AC629" i="13"/>
  <c r="AA629" i="13"/>
  <c r="V621" i="13"/>
  <c r="AE621" i="13"/>
  <c r="AA621" i="13"/>
  <c r="AB621" i="13"/>
  <c r="V613" i="13"/>
  <c r="AA613" i="13"/>
  <c r="AB613" i="13"/>
  <c r="AC613" i="13"/>
  <c r="AE613" i="13"/>
  <c r="W613" i="13"/>
  <c r="Z613" i="13"/>
  <c r="V605" i="13"/>
  <c r="AE605" i="13"/>
  <c r="AA605" i="13"/>
  <c r="AB605" i="13"/>
  <c r="AC605" i="13"/>
  <c r="V597" i="13"/>
  <c r="AE597" i="13"/>
  <c r="AB597" i="13"/>
  <c r="AC597" i="13"/>
  <c r="V589" i="13"/>
  <c r="AE589" i="13"/>
  <c r="AA589" i="13"/>
  <c r="AB589" i="13"/>
  <c r="V581" i="13"/>
  <c r="AE581" i="13"/>
  <c r="AB581" i="13"/>
  <c r="AC581" i="13"/>
  <c r="Z581" i="13"/>
  <c r="X581" i="13"/>
  <c r="AA581" i="13"/>
  <c r="Y581" i="13"/>
  <c r="V573" i="13"/>
  <c r="AB573" i="13"/>
  <c r="AE573" i="13"/>
  <c r="AC573" i="13"/>
  <c r="AA573" i="13"/>
  <c r="V565" i="13"/>
  <c r="AB565" i="13"/>
  <c r="AC565" i="13"/>
  <c r="AE565" i="13"/>
  <c r="AA565" i="13"/>
  <c r="V557" i="13"/>
  <c r="AE557" i="13"/>
  <c r="AA557" i="13"/>
  <c r="V549" i="13"/>
  <c r="AE549" i="13"/>
  <c r="AA549" i="13"/>
  <c r="V541" i="13"/>
  <c r="AE541" i="13"/>
  <c r="AB541" i="13"/>
  <c r="AC541" i="13"/>
  <c r="AA541" i="13"/>
  <c r="Z541" i="13"/>
  <c r="V533" i="13"/>
  <c r="AE533" i="13"/>
  <c r="AA533" i="13"/>
  <c r="AC533" i="13"/>
  <c r="V525" i="13"/>
  <c r="AE525" i="13"/>
  <c r="AA525" i="13"/>
  <c r="AB525" i="13"/>
  <c r="AC525" i="13"/>
  <c r="X525" i="13"/>
  <c r="W525" i="13"/>
  <c r="Z525" i="13"/>
  <c r="V517" i="13"/>
  <c r="AA517" i="13"/>
  <c r="AC517" i="13"/>
  <c r="AE517" i="13"/>
  <c r="AB517" i="13"/>
  <c r="X517" i="13"/>
  <c r="V509" i="13"/>
  <c r="AE509" i="13"/>
  <c r="AA509" i="13"/>
  <c r="AB509" i="13"/>
  <c r="X509" i="13"/>
  <c r="AC509" i="13"/>
  <c r="W509" i="13"/>
  <c r="V501" i="13"/>
  <c r="AC501" i="13"/>
  <c r="AE501" i="13"/>
  <c r="AA501" i="13"/>
  <c r="AB501" i="13"/>
  <c r="X501" i="13"/>
  <c r="Y501" i="13"/>
  <c r="V493" i="13"/>
  <c r="AE493" i="13"/>
  <c r="AA493" i="13"/>
  <c r="Y493" i="13"/>
  <c r="Z493" i="13"/>
  <c r="X493" i="13"/>
  <c r="V485" i="13"/>
  <c r="AE485" i="13"/>
  <c r="AB485" i="13"/>
  <c r="AC485" i="13"/>
  <c r="AA485" i="13"/>
  <c r="Y485" i="13"/>
  <c r="V477" i="13"/>
  <c r="AA477" i="13"/>
  <c r="Y477" i="13"/>
  <c r="AB477" i="13"/>
  <c r="Z477" i="13"/>
  <c r="AE477" i="13"/>
  <c r="AC477" i="13"/>
  <c r="W477" i="13"/>
  <c r="V468" i="13"/>
  <c r="AE468" i="13"/>
  <c r="Y468" i="13"/>
  <c r="AA468" i="13"/>
  <c r="AB468" i="13"/>
  <c r="X468" i="13"/>
  <c r="AC468" i="13"/>
  <c r="Z468" i="13"/>
  <c r="V460" i="13"/>
  <c r="AC460" i="13"/>
  <c r="AA460" i="13"/>
  <c r="AE460" i="13"/>
  <c r="AB460" i="13"/>
  <c r="Y460" i="13"/>
  <c r="V452" i="13"/>
  <c r="AC452" i="13"/>
  <c r="AE452" i="13"/>
  <c r="AA452" i="13"/>
  <c r="AB452" i="13"/>
  <c r="Y452" i="13"/>
  <c r="Z452" i="13"/>
  <c r="X452" i="13"/>
  <c r="V444" i="13"/>
  <c r="AB444" i="13"/>
  <c r="AC444" i="13"/>
  <c r="AA444" i="13"/>
  <c r="Y444" i="13"/>
  <c r="AE444" i="13"/>
  <c r="V436" i="13"/>
  <c r="AC436" i="13"/>
  <c r="AA436" i="13"/>
  <c r="X436" i="13"/>
  <c r="AE436" i="13"/>
  <c r="AB436" i="13"/>
  <c r="Y436" i="13"/>
  <c r="W436" i="13"/>
  <c r="V428" i="13"/>
  <c r="AE428" i="13"/>
  <c r="AC428" i="13"/>
  <c r="AB428" i="13"/>
  <c r="X428" i="13"/>
  <c r="Y428" i="13"/>
  <c r="Z428" i="13"/>
  <c r="AA428" i="13"/>
  <c r="W428" i="13"/>
  <c r="V420" i="13"/>
  <c r="AA420" i="13"/>
  <c r="AE420" i="13"/>
  <c r="AB420" i="13"/>
  <c r="AC420" i="13"/>
  <c r="X420" i="13"/>
  <c r="Y420" i="13"/>
  <c r="W420" i="13"/>
  <c r="V412" i="13"/>
  <c r="AA412" i="13"/>
  <c r="AE412" i="13"/>
  <c r="AB412" i="13"/>
  <c r="X412" i="13"/>
  <c r="V404" i="13"/>
  <c r="AA404" i="13"/>
  <c r="AC404" i="13"/>
  <c r="AE404" i="13"/>
  <c r="AB404" i="13"/>
  <c r="Y404" i="13"/>
  <c r="Z404" i="13"/>
  <c r="X404" i="13"/>
  <c r="V396" i="13"/>
  <c r="AE396" i="13"/>
  <c r="AC396" i="13"/>
  <c r="AA396" i="13"/>
  <c r="X396" i="13"/>
  <c r="AB396" i="13"/>
  <c r="Y396" i="13"/>
  <c r="V388" i="13"/>
  <c r="AA388" i="13"/>
  <c r="AB388" i="13"/>
  <c r="Y388" i="13"/>
  <c r="Z388" i="13"/>
  <c r="AE388" i="13"/>
  <c r="AC388" i="13"/>
  <c r="X388" i="13"/>
  <c r="V380" i="13"/>
  <c r="AB380" i="13"/>
  <c r="AC380" i="13"/>
  <c r="AE380" i="13"/>
  <c r="AA380" i="13"/>
  <c r="Y380" i="13"/>
  <c r="W380" i="13"/>
  <c r="Z380" i="13"/>
  <c r="V372" i="13"/>
  <c r="AC372" i="13"/>
  <c r="AE372" i="13"/>
  <c r="AA372" i="13"/>
  <c r="W372" i="13"/>
  <c r="Z372" i="13"/>
  <c r="V364" i="13"/>
  <c r="AE364" i="13"/>
  <c r="AA364" i="13"/>
  <c r="X364" i="13"/>
  <c r="AD364" i="13"/>
  <c r="AB364" i="13"/>
  <c r="Z364" i="13"/>
  <c r="V356" i="13"/>
  <c r="AE356" i="13"/>
  <c r="AA356" i="13"/>
  <c r="AC356" i="13"/>
  <c r="X356" i="13"/>
  <c r="W356" i="13"/>
  <c r="V348" i="13"/>
  <c r="AB348" i="13"/>
  <c r="AC348" i="13"/>
  <c r="AE348" i="13"/>
  <c r="AA348" i="13"/>
  <c r="W348" i="13"/>
  <c r="Z348" i="13"/>
  <c r="V340" i="13"/>
  <c r="AE340" i="13"/>
  <c r="AA340" i="13"/>
  <c r="AB340" i="13"/>
  <c r="AC340" i="13"/>
  <c r="X340" i="13"/>
  <c r="Y340" i="13"/>
  <c r="V332" i="13"/>
  <c r="AA332" i="13"/>
  <c r="AE332" i="13"/>
  <c r="AC332" i="13"/>
  <c r="X332" i="13"/>
  <c r="AB332" i="13"/>
  <c r="W332" i="13"/>
  <c r="Y332" i="13"/>
  <c r="V324" i="13"/>
  <c r="AE324" i="13"/>
  <c r="AA324" i="13"/>
  <c r="W324" i="13"/>
  <c r="AB324" i="13"/>
  <c r="Z324" i="13"/>
  <c r="V316" i="13"/>
  <c r="Y316" i="13"/>
  <c r="AE316" i="13"/>
  <c r="W316" i="13"/>
  <c r="X316" i="13"/>
  <c r="AC316" i="13"/>
  <c r="V308" i="13"/>
  <c r="AB308" i="13"/>
  <c r="AC308" i="13"/>
  <c r="Y308" i="13"/>
  <c r="AA308" i="13"/>
  <c r="Z308" i="13"/>
  <c r="AE308" i="13"/>
  <c r="W308" i="13"/>
  <c r="V300" i="13"/>
  <c r="AA300" i="13"/>
  <c r="AC300" i="13"/>
  <c r="W300" i="13"/>
  <c r="X300" i="13"/>
  <c r="Z300" i="13"/>
  <c r="V292" i="13"/>
  <c r="AC292" i="13"/>
  <c r="AE292" i="13"/>
  <c r="AB292" i="13"/>
  <c r="Y292" i="13"/>
  <c r="Z292" i="13"/>
  <c r="AA292" i="13"/>
  <c r="X292" i="13"/>
  <c r="V284" i="13"/>
  <c r="AA284" i="13"/>
  <c r="AE284" i="13"/>
  <c r="Y284" i="13"/>
  <c r="AC284" i="13"/>
  <c r="AB284" i="13"/>
  <c r="W284" i="13"/>
  <c r="Z284" i="13"/>
  <c r="V276" i="13"/>
  <c r="AB276" i="13"/>
  <c r="AC276" i="13"/>
  <c r="AA276" i="13"/>
  <c r="AE276" i="13"/>
  <c r="Y276" i="13"/>
  <c r="Z276" i="13"/>
  <c r="X276" i="13"/>
  <c r="V268" i="13"/>
  <c r="AE268" i="13"/>
  <c r="AA268" i="13"/>
  <c r="AB268" i="13"/>
  <c r="Y268" i="13"/>
  <c r="Z268" i="13"/>
  <c r="AC268" i="13"/>
  <c r="X268" i="13"/>
  <c r="V260" i="13"/>
  <c r="AA260" i="13"/>
  <c r="AB260" i="13"/>
  <c r="AE260" i="13"/>
  <c r="AC260" i="13"/>
  <c r="V252" i="13"/>
  <c r="AA252" i="13"/>
  <c r="Y252" i="13"/>
  <c r="AE252" i="13"/>
  <c r="AC252" i="13"/>
  <c r="W252" i="13"/>
  <c r="V244" i="13"/>
  <c r="AB244" i="13"/>
  <c r="AC244" i="13"/>
  <c r="Y244" i="13"/>
  <c r="AE244" i="13"/>
  <c r="Z244" i="13"/>
  <c r="AA244" i="13"/>
  <c r="X244" i="13"/>
  <c r="W244" i="13"/>
  <c r="V236" i="13"/>
  <c r="AA236" i="13"/>
  <c r="AB236" i="13"/>
  <c r="Y236" i="13"/>
  <c r="AE236" i="13"/>
  <c r="AC236" i="13"/>
  <c r="Z236" i="13"/>
  <c r="X236" i="13"/>
  <c r="W236" i="13"/>
  <c r="V228" i="13"/>
  <c r="AE228" i="13"/>
  <c r="W228" i="13"/>
  <c r="Z228" i="13"/>
  <c r="AC228" i="13"/>
  <c r="X228" i="13"/>
  <c r="V220" i="13"/>
  <c r="AA220" i="13"/>
  <c r="AB220" i="13"/>
  <c r="AE220" i="13"/>
  <c r="W220" i="13"/>
  <c r="AC220" i="13"/>
  <c r="Z220" i="13"/>
  <c r="Y220" i="13"/>
  <c r="X220" i="13"/>
  <c r="V212" i="13"/>
  <c r="AE212" i="13"/>
  <c r="Z212" i="13"/>
  <c r="AC212" i="13"/>
  <c r="AA212" i="13"/>
  <c r="X212" i="13"/>
  <c r="AB212" i="13"/>
  <c r="Y212" i="13"/>
  <c r="W212" i="13"/>
  <c r="V204" i="13"/>
  <c r="AA204" i="13"/>
  <c r="AB204" i="13"/>
  <c r="V196" i="13"/>
  <c r="AB196" i="13"/>
  <c r="AE196" i="13"/>
  <c r="AC196" i="13"/>
  <c r="Y196" i="13"/>
  <c r="Z196" i="13"/>
  <c r="X196" i="13"/>
  <c r="V188" i="13"/>
  <c r="AB188" i="13"/>
  <c r="AC188" i="13"/>
  <c r="AE188" i="13"/>
  <c r="X188" i="13"/>
  <c r="Y188" i="13"/>
  <c r="AA188" i="13"/>
  <c r="Z188" i="13"/>
  <c r="V180" i="13"/>
  <c r="AC180" i="13"/>
  <c r="Y180" i="13"/>
  <c r="Z180" i="13"/>
  <c r="AA180" i="13"/>
  <c r="AB180" i="13"/>
  <c r="AE180" i="13"/>
  <c r="X180" i="13"/>
  <c r="V172" i="13"/>
  <c r="AB172" i="13"/>
  <c r="AC172" i="13"/>
  <c r="AE172" i="13"/>
  <c r="Y172" i="13"/>
  <c r="Z172" i="13"/>
  <c r="AA172" i="13"/>
  <c r="V164" i="13"/>
  <c r="AE164" i="13"/>
  <c r="AB164" i="13"/>
  <c r="AC164" i="13"/>
  <c r="AA164" i="13"/>
  <c r="Y164" i="13"/>
  <c r="Z164" i="13"/>
  <c r="V156" i="13"/>
  <c r="AC156" i="13"/>
  <c r="AE156" i="13"/>
  <c r="W156" i="13"/>
  <c r="AA156" i="13"/>
  <c r="Z156" i="13"/>
  <c r="Y156" i="13"/>
  <c r="X156" i="13"/>
  <c r="V148" i="13"/>
  <c r="AE148" i="13"/>
  <c r="AB148" i="13"/>
  <c r="AC148" i="13"/>
  <c r="W148" i="13"/>
  <c r="AA148" i="13"/>
  <c r="X148" i="13"/>
  <c r="Y148" i="13"/>
  <c r="Z148" i="13"/>
  <c r="V140" i="13"/>
  <c r="AE140" i="13"/>
  <c r="AA140" i="13"/>
  <c r="AB140" i="13"/>
  <c r="W140" i="13"/>
  <c r="Z140" i="13"/>
  <c r="AC140" i="13"/>
  <c r="X140" i="13"/>
  <c r="Y140" i="13"/>
  <c r="V132" i="13"/>
  <c r="AC132" i="13"/>
  <c r="W132" i="13"/>
  <c r="AE132" i="13"/>
  <c r="Z132" i="13"/>
  <c r="AB132" i="13"/>
  <c r="V124" i="13"/>
  <c r="AA124" i="13"/>
  <c r="AE124" i="13"/>
  <c r="AC124" i="13"/>
  <c r="AB124" i="13"/>
  <c r="Z124" i="13"/>
  <c r="Y124" i="13"/>
  <c r="X124" i="13"/>
  <c r="V116" i="13"/>
  <c r="AA116" i="13"/>
  <c r="AC116" i="13"/>
  <c r="AE116" i="13"/>
  <c r="W116" i="13"/>
  <c r="Z116" i="13"/>
  <c r="X116" i="13"/>
  <c r="AB116" i="13"/>
  <c r="Y116" i="13"/>
  <c r="V108" i="13"/>
  <c r="AE108" i="13"/>
  <c r="AC108" i="13"/>
  <c r="AB108" i="13"/>
  <c r="V100" i="13"/>
  <c r="AA100" i="13"/>
  <c r="AC100" i="13"/>
  <c r="X100" i="13"/>
  <c r="AE100" i="13"/>
  <c r="W100" i="13"/>
  <c r="Y100" i="13"/>
  <c r="V92" i="13"/>
  <c r="AE92" i="13"/>
  <c r="AA92" i="13"/>
  <c r="AB92" i="13"/>
  <c r="AC92" i="13"/>
  <c r="V84" i="13"/>
  <c r="AB84" i="13"/>
  <c r="AC84" i="13"/>
  <c r="AE84" i="13"/>
  <c r="Y84" i="13"/>
  <c r="Z84" i="13"/>
  <c r="AA84" i="13"/>
  <c r="W84" i="13"/>
  <c r="V76" i="13"/>
  <c r="AE76" i="13"/>
  <c r="AB76" i="13"/>
  <c r="AC76" i="13"/>
  <c r="AA76" i="13"/>
  <c r="V68" i="13"/>
  <c r="AE68" i="13"/>
  <c r="AC68" i="13"/>
  <c r="AA68" i="13"/>
  <c r="AB68" i="13"/>
  <c r="V60" i="13"/>
  <c r="Y60" i="13"/>
  <c r="AC60" i="13"/>
  <c r="AB60" i="13"/>
  <c r="W60" i="13"/>
  <c r="V52" i="13"/>
  <c r="AE52" i="13"/>
  <c r="AA52" i="13"/>
  <c r="AB52" i="13"/>
  <c r="Z52" i="13"/>
  <c r="Y52" i="13"/>
  <c r="V44" i="13"/>
  <c r="AB44" i="13"/>
  <c r="AC44" i="13"/>
  <c r="W44" i="13"/>
  <c r="Z44" i="13"/>
  <c r="AA44" i="13"/>
  <c r="Y44" i="13"/>
  <c r="V36" i="13"/>
  <c r="AE36" i="13"/>
  <c r="AA36" i="13"/>
  <c r="AC36" i="13"/>
  <c r="V28" i="13"/>
  <c r="AA28" i="13"/>
  <c r="Z28" i="13"/>
  <c r="AE28" i="13"/>
  <c r="AB28" i="13"/>
  <c r="AC28" i="13"/>
  <c r="W28" i="13"/>
  <c r="X28" i="13"/>
  <c r="V20" i="13"/>
  <c r="AA20" i="13"/>
  <c r="AE20" i="13"/>
  <c r="AB20" i="13"/>
  <c r="W20" i="13"/>
  <c r="Z20" i="13"/>
  <c r="X20" i="13"/>
  <c r="V12" i="13"/>
  <c r="AE12" i="13"/>
  <c r="AA12" i="13"/>
  <c r="Z12" i="13"/>
  <c r="AC12" i="13"/>
  <c r="AB12" i="13"/>
  <c r="W12" i="13"/>
  <c r="Y12" i="13"/>
  <c r="AX2773" i="3"/>
  <c r="AY2773" i="3"/>
  <c r="BA2773" i="3"/>
  <c r="AR2773" i="3"/>
  <c r="AT2773" i="3"/>
  <c r="AU2773" i="3"/>
  <c r="AW2773" i="3"/>
  <c r="AZ2773" i="3"/>
  <c r="AV2773" i="3"/>
  <c r="AT2765" i="3"/>
  <c r="AU2765" i="3"/>
  <c r="AV2765" i="3"/>
  <c r="AZ2765" i="3"/>
  <c r="BA2765" i="3"/>
  <c r="AR2765" i="3"/>
  <c r="AS2765" i="3"/>
  <c r="AW2765" i="3"/>
  <c r="AX2765" i="3"/>
  <c r="AY2765" i="3"/>
  <c r="AR2757" i="3"/>
  <c r="AZ2757" i="3"/>
  <c r="AT2757" i="3"/>
  <c r="AU2757" i="3"/>
  <c r="AV2757" i="3"/>
  <c r="AW2757" i="3"/>
  <c r="AX2757" i="3"/>
  <c r="AY2757" i="3"/>
  <c r="AS2757" i="3"/>
  <c r="BA2757" i="3"/>
  <c r="AW2749" i="3"/>
  <c r="AR2749" i="3"/>
  <c r="BA2749" i="3"/>
  <c r="AS2749" i="3"/>
  <c r="AZ2749" i="3"/>
  <c r="AT2749" i="3"/>
  <c r="AU2749" i="3"/>
  <c r="AY2749" i="3"/>
  <c r="AX2749" i="3"/>
  <c r="AV2749" i="3"/>
  <c r="AS2741" i="3"/>
  <c r="BA2741" i="3"/>
  <c r="AY2741" i="3"/>
  <c r="AZ2741" i="3"/>
  <c r="AX2741" i="3"/>
  <c r="AR2741" i="3"/>
  <c r="AT2741" i="3"/>
  <c r="AW2741" i="3"/>
  <c r="AV2741" i="3"/>
  <c r="AU2741" i="3"/>
  <c r="AW2733" i="3"/>
  <c r="AV2733" i="3"/>
  <c r="AX2733" i="3"/>
  <c r="AZ2733" i="3"/>
  <c r="BA2733" i="3"/>
  <c r="AR2733" i="3"/>
  <c r="AS2733" i="3"/>
  <c r="AT2733" i="3"/>
  <c r="AU2733" i="3"/>
  <c r="AY2733" i="3"/>
  <c r="AS2725" i="3"/>
  <c r="BA2725" i="3"/>
  <c r="AU2725" i="3"/>
  <c r="AV2725" i="3"/>
  <c r="AY2725" i="3"/>
  <c r="AZ2725" i="3"/>
  <c r="AR2725" i="3"/>
  <c r="AT2725" i="3"/>
  <c r="AX2725" i="3"/>
  <c r="AW2725" i="3"/>
  <c r="AX2717" i="3"/>
  <c r="AS2717" i="3"/>
  <c r="AT2717" i="3"/>
  <c r="AY2717" i="3"/>
  <c r="AZ2717" i="3"/>
  <c r="AR2717" i="3"/>
  <c r="AV2717" i="3"/>
  <c r="AW2717" i="3"/>
  <c r="AU2717" i="3"/>
  <c r="BA2717" i="3"/>
  <c r="AV2709" i="3"/>
  <c r="AS2709" i="3"/>
  <c r="AT2709" i="3"/>
  <c r="AZ2709" i="3"/>
  <c r="BA2709" i="3"/>
  <c r="AR2709" i="3"/>
  <c r="AU2709" i="3"/>
  <c r="AW2709" i="3"/>
  <c r="AX2709" i="3"/>
  <c r="AY2709" i="3"/>
  <c r="AT2701" i="3"/>
  <c r="AS2701" i="3"/>
  <c r="AU2701" i="3"/>
  <c r="AR2701" i="3"/>
  <c r="AW2701" i="3"/>
  <c r="AX2701" i="3"/>
  <c r="AV2701" i="3"/>
  <c r="AY2701" i="3"/>
  <c r="AY2693" i="3"/>
  <c r="AR2693" i="3"/>
  <c r="BA2693" i="3"/>
  <c r="AS2693" i="3"/>
  <c r="AZ2693" i="3"/>
  <c r="AT2693" i="3"/>
  <c r="AU2693" i="3"/>
  <c r="AW2693" i="3"/>
  <c r="AX2693" i="3"/>
  <c r="AV2693" i="3"/>
  <c r="AU2685" i="3"/>
  <c r="AX2685" i="3"/>
  <c r="AY2685" i="3"/>
  <c r="AZ2685" i="3"/>
  <c r="BA2685" i="3"/>
  <c r="AS2685" i="3"/>
  <c r="AT2685" i="3"/>
  <c r="AW2685" i="3"/>
  <c r="AR2685" i="3"/>
  <c r="AV2685" i="3"/>
  <c r="AY2677" i="3"/>
  <c r="AU2677" i="3"/>
  <c r="AV2677" i="3"/>
  <c r="AZ2677" i="3"/>
  <c r="BA2677" i="3"/>
  <c r="AS2677" i="3"/>
  <c r="AT2677" i="3"/>
  <c r="AR2677" i="3"/>
  <c r="AW2677" i="3"/>
  <c r="AU2669" i="3"/>
  <c r="AR2669" i="3"/>
  <c r="BA2669" i="3"/>
  <c r="AS2669" i="3"/>
  <c r="AX2669" i="3"/>
  <c r="AY2669" i="3"/>
  <c r="AV2669" i="3"/>
  <c r="AW2669" i="3"/>
  <c r="AZ2669" i="3"/>
  <c r="AV2661" i="3"/>
  <c r="AR2661" i="3"/>
  <c r="BA2661" i="3"/>
  <c r="AW2661" i="3"/>
  <c r="AZ2661" i="3"/>
  <c r="AS2661" i="3"/>
  <c r="AX2661" i="3"/>
  <c r="AY2661" i="3"/>
  <c r="AU2661" i="3"/>
  <c r="AT2661" i="3"/>
  <c r="AW2653" i="3"/>
  <c r="AU2653" i="3"/>
  <c r="AZ2653" i="3"/>
  <c r="AV2653" i="3"/>
  <c r="AX2653" i="3"/>
  <c r="AR2653" i="3"/>
  <c r="AS2653" i="3"/>
  <c r="AY2653" i="3"/>
  <c r="BA2653" i="3"/>
  <c r="AT2653" i="3"/>
  <c r="AS2645" i="3"/>
  <c r="BA2645" i="3"/>
  <c r="AT2645" i="3"/>
  <c r="AX2645" i="3"/>
  <c r="AW2645" i="3"/>
  <c r="AY2645" i="3"/>
  <c r="AR2645" i="3"/>
  <c r="AV2645" i="3"/>
  <c r="AZ2645" i="3"/>
  <c r="AU2645" i="3"/>
  <c r="AW2637" i="3"/>
  <c r="AZ2637" i="3"/>
  <c r="AU2637" i="3"/>
  <c r="AT2637" i="3"/>
  <c r="AV2637" i="3"/>
  <c r="AR2637" i="3"/>
  <c r="AS2637" i="3"/>
  <c r="AY2637" i="3"/>
  <c r="AX2637" i="3"/>
  <c r="BA2637" i="3"/>
  <c r="AR2629" i="3"/>
  <c r="AZ2629" i="3"/>
  <c r="AW2629" i="3"/>
  <c r="AS2629" i="3"/>
  <c r="AT2629" i="3"/>
  <c r="AU2629" i="3"/>
  <c r="AV2629" i="3"/>
  <c r="AX2629" i="3"/>
  <c r="BA2629" i="3"/>
  <c r="AY2629" i="3"/>
  <c r="AX2621" i="3"/>
  <c r="AS2621" i="3"/>
  <c r="BA2621" i="3"/>
  <c r="AV2621" i="3"/>
  <c r="AZ2621" i="3"/>
  <c r="AT2621" i="3"/>
  <c r="AU2621" i="3"/>
  <c r="AY2621" i="3"/>
  <c r="AW2621" i="3"/>
  <c r="AY2613" i="3"/>
  <c r="BA2613" i="3"/>
  <c r="AU2613" i="3"/>
  <c r="AS2613" i="3"/>
  <c r="AW2613" i="3"/>
  <c r="AX2613" i="3"/>
  <c r="AT2605" i="3"/>
  <c r="AU2605" i="3"/>
  <c r="AR2605" i="3"/>
  <c r="AS2605" i="3"/>
  <c r="BA2605" i="3"/>
  <c r="AZ2605" i="3"/>
  <c r="AX2605" i="3"/>
  <c r="AY2597" i="3"/>
  <c r="AU2597" i="3"/>
  <c r="AR2597" i="3"/>
  <c r="AT2597" i="3"/>
  <c r="AS2597" i="3"/>
  <c r="BA2597" i="3"/>
  <c r="AR2589" i="3"/>
  <c r="AY2589" i="3"/>
  <c r="AV2589" i="3"/>
  <c r="AZ2589" i="3"/>
  <c r="AT2589" i="3"/>
  <c r="AU2589" i="3"/>
  <c r="AS2581" i="3"/>
  <c r="AU2581" i="3"/>
  <c r="AY2581" i="3"/>
  <c r="AR2581" i="3"/>
  <c r="AT2581" i="3"/>
  <c r="AU2573" i="3"/>
  <c r="AV2573" i="3"/>
  <c r="AT2573" i="3"/>
  <c r="AS2573" i="3"/>
  <c r="AZ2573" i="3"/>
  <c r="BA2573" i="3"/>
  <c r="AR2573" i="3"/>
  <c r="AV2565" i="3"/>
  <c r="AU2565" i="3"/>
  <c r="AR2565" i="3"/>
  <c r="AY2565" i="3"/>
  <c r="AZ2565" i="3"/>
  <c r="AT2565" i="3"/>
  <c r="AY2557" i="3"/>
  <c r="AU2557" i="3"/>
  <c r="AV2557" i="3"/>
  <c r="AZ2557" i="3"/>
  <c r="AR2557" i="3"/>
  <c r="BA2557" i="3"/>
  <c r="AU2549" i="3"/>
  <c r="AY2549" i="3"/>
  <c r="AX2549" i="3"/>
  <c r="AZ2549" i="3"/>
  <c r="AT2549" i="3"/>
  <c r="AX2541" i="3"/>
  <c r="AR2541" i="3"/>
  <c r="AV2541" i="3"/>
  <c r="AZ2541" i="3"/>
  <c r="AW2541" i="3"/>
  <c r="AX2533" i="3"/>
  <c r="AT2533" i="3"/>
  <c r="AV2533" i="3"/>
  <c r="AY2533" i="3"/>
  <c r="AU2533" i="3"/>
  <c r="AS2525" i="3"/>
  <c r="AT2525" i="3"/>
  <c r="AW2525" i="3"/>
  <c r="AX2525" i="3"/>
  <c r="AU2525" i="3"/>
  <c r="BA2517" i="3"/>
  <c r="AU2517" i="3"/>
  <c r="AV2517" i="3"/>
  <c r="AZ2517" i="3"/>
  <c r="AR2517" i="3"/>
  <c r="AS2517" i="3"/>
  <c r="AT2509" i="3"/>
  <c r="AU2509" i="3"/>
  <c r="BA2509" i="3"/>
  <c r="AR2509" i="3"/>
  <c r="AY2509" i="3"/>
  <c r="AZ2509" i="3"/>
  <c r="AY2501" i="3"/>
  <c r="AZ2501" i="3"/>
  <c r="AS2501" i="3"/>
  <c r="AX2501" i="3"/>
  <c r="AT2501" i="3"/>
  <c r="AY2493" i="3"/>
  <c r="AX2493" i="3"/>
  <c r="AS2493" i="3"/>
  <c r="AZ2493" i="3"/>
  <c r="AU2493" i="3"/>
  <c r="AW2485" i="3"/>
  <c r="AT2485" i="3"/>
  <c r="AS2485" i="3"/>
  <c r="AX2485" i="3"/>
  <c r="AY2485" i="3"/>
  <c r="AU2477" i="3"/>
  <c r="BA2477" i="3"/>
  <c r="AV2477" i="3"/>
  <c r="AW2477" i="3"/>
  <c r="AR2477" i="3"/>
  <c r="AZ2477" i="3"/>
  <c r="AW2469" i="3"/>
  <c r="AT2469" i="3"/>
  <c r="AU2469" i="3"/>
  <c r="AY2469" i="3"/>
  <c r="AZ2469" i="3"/>
  <c r="AV2461" i="3"/>
  <c r="AS2461" i="3"/>
  <c r="AU2461" i="3"/>
  <c r="AX2461" i="3"/>
  <c r="AY2461" i="3"/>
  <c r="AX2453" i="3"/>
  <c r="AU2453" i="3"/>
  <c r="AT2453" i="3"/>
  <c r="AW2453" i="3"/>
  <c r="AS2453" i="3"/>
  <c r="BA2445" i="3"/>
  <c r="AV2445" i="3"/>
  <c r="AR2445" i="3"/>
  <c r="AS2445" i="3"/>
  <c r="AU2445" i="3"/>
  <c r="AZ2445" i="3"/>
  <c r="AR2437" i="3"/>
  <c r="AV2437" i="3"/>
  <c r="AU2437" i="3"/>
  <c r="AY2437" i="3"/>
  <c r="AZ2437" i="3"/>
  <c r="BA2437" i="3"/>
  <c r="AZ2429" i="3"/>
  <c r="AS2429" i="3"/>
  <c r="AX2429" i="3"/>
  <c r="BA2429" i="3"/>
  <c r="AT2429" i="3"/>
  <c r="AZ2421" i="3"/>
  <c r="AT2421" i="3"/>
  <c r="AV2421" i="3"/>
  <c r="AY2421" i="3"/>
  <c r="AS2421" i="3"/>
  <c r="AV2413" i="3"/>
  <c r="AU2413" i="3"/>
  <c r="BA2413" i="3"/>
  <c r="AW2405" i="3"/>
  <c r="AT2405" i="3"/>
  <c r="BA2405" i="3"/>
  <c r="AZ2405" i="3"/>
  <c r="AW2397" i="3"/>
  <c r="AX2397" i="3"/>
  <c r="AS2397" i="3"/>
  <c r="AW2389" i="3"/>
  <c r="AS2389" i="3"/>
  <c r="AY2389" i="3"/>
  <c r="AR2381" i="3"/>
  <c r="AX2381" i="3"/>
  <c r="AW2381" i="3"/>
  <c r="AR2373" i="3"/>
  <c r="AY2373" i="3"/>
  <c r="AS2373" i="3"/>
  <c r="AZ2373" i="3"/>
  <c r="AV2365" i="3"/>
  <c r="BA2365" i="3"/>
  <c r="AU2365" i="3"/>
  <c r="AZ2365" i="3"/>
  <c r="AY2357" i="3"/>
  <c r="AR2357" i="3"/>
  <c r="AW2357" i="3"/>
  <c r="AU2349" i="3"/>
  <c r="AS2349" i="3"/>
  <c r="AZ2349" i="3"/>
  <c r="AZ2341" i="3"/>
  <c r="AR2341" i="3"/>
  <c r="AX2341" i="3"/>
  <c r="AY2333" i="3"/>
  <c r="AZ2333" i="3"/>
  <c r="AS2333" i="3"/>
  <c r="BA2325" i="3"/>
  <c r="AV2325" i="3"/>
  <c r="AR2325" i="3"/>
  <c r="AT2317" i="3"/>
  <c r="AV2317" i="3"/>
  <c r="AT2309" i="3"/>
  <c r="BA2309" i="3"/>
  <c r="AR2309" i="3"/>
  <c r="AT2301" i="3"/>
  <c r="BA2301" i="3"/>
  <c r="BA2293" i="3"/>
  <c r="AS2293" i="3"/>
  <c r="AT2293" i="3"/>
  <c r="AW2285" i="3"/>
  <c r="AX2285" i="3"/>
  <c r="AU2277" i="3"/>
  <c r="AX2277" i="3"/>
  <c r="AR2269" i="3"/>
  <c r="AT2269" i="3"/>
  <c r="AV2261" i="3"/>
  <c r="AZ2261" i="3"/>
  <c r="AT2253" i="3"/>
  <c r="AW2253" i="3"/>
  <c r="AV2245" i="3"/>
  <c r="AY2245" i="3"/>
  <c r="AT2237" i="3"/>
  <c r="AZ2237" i="3"/>
  <c r="AY2237" i="3"/>
  <c r="AT2229" i="3"/>
  <c r="AS2229" i="3"/>
  <c r="AZ2221" i="3"/>
  <c r="AY2221" i="3"/>
  <c r="AR2213" i="3"/>
  <c r="AY2213" i="3"/>
  <c r="AZ2213" i="3"/>
  <c r="AX2205" i="3"/>
  <c r="AW2205" i="3"/>
  <c r="AU2197" i="3"/>
  <c r="AT2197" i="3"/>
  <c r="AZ2197" i="3"/>
  <c r="AZ2189" i="3"/>
  <c r="AV2189" i="3"/>
  <c r="AS2181" i="3"/>
  <c r="AV2181" i="3"/>
  <c r="AZ2173" i="3"/>
  <c r="AY2173" i="3"/>
  <c r="AS2173" i="3"/>
  <c r="AY2165" i="3"/>
  <c r="AT2165" i="3"/>
  <c r="AV2141" i="3"/>
  <c r="AX2141" i="3"/>
  <c r="AZ2133" i="3"/>
  <c r="AV2133" i="3"/>
  <c r="AU2125" i="3"/>
  <c r="AV2125" i="3"/>
  <c r="AR2101" i="3"/>
  <c r="BA2101" i="3"/>
  <c r="AV2077" i="3"/>
  <c r="AT2077" i="3"/>
  <c r="AR2013" i="3"/>
  <c r="AZ2013" i="3"/>
  <c r="AR1981" i="3"/>
  <c r="AW1981" i="3"/>
  <c r="AZ1933" i="3"/>
  <c r="AU1933" i="3"/>
  <c r="AT1917" i="3"/>
  <c r="AU1917" i="3"/>
  <c r="AU1813" i="3"/>
  <c r="AW1813" i="3"/>
  <c r="X733" i="13"/>
  <c r="Y717" i="13"/>
  <c r="W997" i="13"/>
  <c r="W549" i="13"/>
  <c r="W677" i="13"/>
  <c r="W661" i="13"/>
  <c r="W653" i="13"/>
  <c r="X597" i="13"/>
  <c r="X637" i="13"/>
  <c r="Y605" i="13"/>
  <c r="Z589" i="13"/>
  <c r="Z813" i="13"/>
  <c r="X557" i="13"/>
  <c r="Y517" i="13"/>
  <c r="Z509" i="13"/>
  <c r="Z757" i="13"/>
  <c r="X485" i="13"/>
  <c r="Y372" i="13"/>
  <c r="Y356" i="13"/>
  <c r="Z501" i="13"/>
  <c r="Y300" i="13"/>
  <c r="X284" i="13"/>
  <c r="W396" i="13"/>
  <c r="X308" i="13"/>
  <c r="X132" i="13"/>
  <c r="W124" i="13"/>
  <c r="Z60" i="13"/>
  <c r="AB1061" i="13"/>
  <c r="AA1037" i="13"/>
  <c r="AB36" i="13"/>
  <c r="AB933" i="13"/>
  <c r="AA677" i="13"/>
  <c r="AA653" i="13"/>
  <c r="AC589" i="13"/>
  <c r="AC493" i="13"/>
  <c r="AC412" i="13"/>
  <c r="AB356" i="13"/>
  <c r="AA228" i="13"/>
  <c r="AA132" i="13"/>
  <c r="AC20" i="13"/>
  <c r="AE885" i="13"/>
  <c r="AT2669" i="3"/>
  <c r="Y957" i="13"/>
  <c r="X749" i="13"/>
  <c r="Z741" i="13"/>
  <c r="W733" i="13"/>
  <c r="X717" i="13"/>
  <c r="Z701" i="13"/>
  <c r="Z693" i="13"/>
  <c r="Z933" i="13"/>
  <c r="Z669" i="13"/>
  <c r="W597" i="13"/>
  <c r="W637" i="13"/>
  <c r="X605" i="13"/>
  <c r="Y589" i="13"/>
  <c r="Y813" i="13"/>
  <c r="W557" i="13"/>
  <c r="Y541" i="13"/>
  <c r="W517" i="13"/>
  <c r="Y509" i="13"/>
  <c r="X757" i="13"/>
  <c r="W485" i="13"/>
  <c r="X372" i="13"/>
  <c r="W501" i="13"/>
  <c r="X380" i="13"/>
  <c r="Y324" i="13"/>
  <c r="W581" i="13"/>
  <c r="X60" i="13"/>
  <c r="X52" i="13"/>
  <c r="X12" i="13"/>
  <c r="AA861" i="13"/>
  <c r="AA597" i="13"/>
  <c r="AC765" i="13"/>
  <c r="AB493" i="13"/>
  <c r="AB372" i="13"/>
  <c r="BA2581" i="3"/>
  <c r="X685" i="13"/>
  <c r="X613" i="13"/>
  <c r="Z436" i="13"/>
  <c r="Y412" i="13"/>
  <c r="Z460" i="13"/>
  <c r="X444" i="13"/>
  <c r="W340" i="13"/>
  <c r="W276" i="13"/>
  <c r="X252" i="13"/>
  <c r="Z925" i="13"/>
  <c r="Y228" i="13"/>
  <c r="X84" i="13"/>
  <c r="W164" i="13"/>
  <c r="Y28" i="13"/>
  <c r="AA1005" i="13"/>
  <c r="AC549" i="13"/>
  <c r="AB156" i="13"/>
  <c r="AA196" i="13"/>
  <c r="AR2621" i="3"/>
  <c r="AR2613" i="3"/>
  <c r="Z709" i="13"/>
  <c r="W701" i="13"/>
  <c r="W693" i="13"/>
  <c r="W933" i="13"/>
  <c r="W669" i="13"/>
  <c r="X645" i="13"/>
  <c r="X629" i="13"/>
  <c r="X901" i="13"/>
  <c r="Y805" i="13"/>
  <c r="Z765" i="13"/>
  <c r="Z533" i="13"/>
  <c r="Z781" i="13"/>
  <c r="W412" i="13"/>
  <c r="X460" i="13"/>
  <c r="W444" i="13"/>
  <c r="Z332" i="13"/>
  <c r="Z316" i="13"/>
  <c r="W292" i="13"/>
  <c r="X477" i="13"/>
  <c r="W388" i="13"/>
  <c r="X925" i="13"/>
  <c r="X44" i="13"/>
  <c r="AA108" i="13"/>
  <c r="AC204" i="13"/>
  <c r="AB549" i="13"/>
  <c r="AC557" i="13"/>
  <c r="AC757" i="13"/>
  <c r="AB789" i="13"/>
  <c r="AB100" i="13"/>
  <c r="AE893" i="13"/>
  <c r="AX2677" i="3"/>
  <c r="W762" i="13"/>
  <c r="X498" i="13"/>
  <c r="X482" i="13"/>
  <c r="Y714" i="13"/>
  <c r="Z682" i="13"/>
  <c r="W409" i="13"/>
  <c r="X457" i="13"/>
  <c r="W337" i="13"/>
  <c r="X465" i="13"/>
  <c r="X257" i="13"/>
  <c r="Y105" i="13"/>
  <c r="Y33" i="13"/>
  <c r="X17" i="13"/>
  <c r="AA449" i="13"/>
  <c r="AB33" i="13"/>
  <c r="AE1058" i="13"/>
  <c r="AX1978" i="3"/>
  <c r="Z698" i="13"/>
  <c r="X129" i="13"/>
  <c r="Z113" i="13"/>
  <c r="X169" i="13"/>
  <c r="Y49" i="13"/>
  <c r="AC1106" i="13"/>
  <c r="AB41" i="13"/>
  <c r="AB1066" i="13"/>
  <c r="AC65" i="13"/>
  <c r="AC562" i="13"/>
  <c r="AC722" i="13"/>
  <c r="AA81" i="13"/>
  <c r="BA2754" i="3"/>
  <c r="X57" i="13"/>
  <c r="AC658" i="13"/>
  <c r="V1106" i="13"/>
  <c r="AE1106" i="13"/>
  <c r="AB1106" i="13"/>
  <c r="V1098" i="13"/>
  <c r="AE1098" i="13"/>
  <c r="AC1098" i="13"/>
  <c r="V1090" i="13"/>
  <c r="AA1090" i="13"/>
  <c r="AE1090" i="13"/>
  <c r="V1082" i="13"/>
  <c r="AA1082" i="13"/>
  <c r="AE1082" i="13"/>
  <c r="V1074" i="13"/>
  <c r="AC1074" i="13"/>
  <c r="V1066" i="13"/>
  <c r="AE1066" i="13"/>
  <c r="AC1066" i="13"/>
  <c r="V1058" i="13"/>
  <c r="AA1058" i="13"/>
  <c r="AB1058" i="13"/>
  <c r="V1050" i="13"/>
  <c r="AE1050" i="13"/>
  <c r="AB1050" i="13"/>
  <c r="AC1050" i="13"/>
  <c r="V1042" i="13"/>
  <c r="AE1042" i="13"/>
  <c r="V1034" i="13"/>
  <c r="AE1034" i="13"/>
  <c r="AB1034" i="13"/>
  <c r="AC1034" i="13"/>
  <c r="V1026" i="13"/>
  <c r="AD1026" i="13"/>
  <c r="AE1026" i="13"/>
  <c r="AA1026" i="13"/>
  <c r="AB1026" i="13"/>
  <c r="V1018" i="13"/>
  <c r="AC1018" i="13"/>
  <c r="AE1018" i="13"/>
  <c r="V1010" i="13"/>
  <c r="AE1010" i="13"/>
  <c r="AA1010" i="13"/>
  <c r="AC1010" i="13"/>
  <c r="V1002" i="13"/>
  <c r="AE1002" i="13"/>
  <c r="AA1002" i="13"/>
  <c r="V994" i="13"/>
  <c r="AC994" i="13"/>
  <c r="AE994" i="13"/>
  <c r="V986" i="13"/>
  <c r="AE986" i="13"/>
  <c r="AA986" i="13"/>
  <c r="V978" i="13"/>
  <c r="AA978" i="13"/>
  <c r="AB978" i="13"/>
  <c r="V970" i="13"/>
  <c r="AC970" i="13"/>
  <c r="AE970" i="13"/>
  <c r="V962" i="13"/>
  <c r="AE962" i="13"/>
  <c r="AA962" i="13"/>
  <c r="V954" i="13"/>
  <c r="AE954" i="13"/>
  <c r="AB954" i="13"/>
  <c r="AC954" i="13"/>
  <c r="V946" i="13"/>
  <c r="AE946" i="13"/>
  <c r="AC946" i="13"/>
  <c r="V938" i="13"/>
  <c r="AE938" i="13"/>
  <c r="AA938" i="13"/>
  <c r="AC938" i="13"/>
  <c r="V930" i="13"/>
  <c r="AE930" i="13"/>
  <c r="AA930" i="13"/>
  <c r="AB930" i="13"/>
  <c r="V922" i="13"/>
  <c r="AA922" i="13"/>
  <c r="AB922" i="13"/>
  <c r="AE922" i="13"/>
  <c r="V914" i="13"/>
  <c r="AA914" i="13"/>
  <c r="AB914" i="13"/>
  <c r="V906" i="13"/>
  <c r="AB906" i="13"/>
  <c r="AC906" i="13"/>
  <c r="V898" i="13"/>
  <c r="AE898" i="13"/>
  <c r="AA898" i="13"/>
  <c r="AB898" i="13"/>
  <c r="V890" i="13"/>
  <c r="AC890" i="13"/>
  <c r="V882" i="13"/>
  <c r="AE882" i="13"/>
  <c r="AA882" i="13"/>
  <c r="AC882" i="13"/>
  <c r="V874" i="13"/>
  <c r="AE874" i="13"/>
  <c r="AA874" i="13"/>
  <c r="V866" i="13"/>
  <c r="AB866" i="13"/>
  <c r="AE866" i="13"/>
  <c r="AC866" i="13"/>
  <c r="V858" i="13"/>
  <c r="AA858" i="13"/>
  <c r="AE858" i="13"/>
  <c r="V850" i="13"/>
  <c r="AE850" i="13"/>
  <c r="AA850" i="13"/>
  <c r="AB850" i="13"/>
  <c r="V842" i="13"/>
  <c r="AE842" i="13"/>
  <c r="AA842" i="13"/>
  <c r="AB842" i="13"/>
  <c r="V834" i="13"/>
  <c r="AC834" i="13"/>
  <c r="AE834" i="13"/>
  <c r="V826" i="13"/>
  <c r="AE826" i="13"/>
  <c r="AA826" i="13"/>
  <c r="AC826" i="13"/>
  <c r="V818" i="13"/>
  <c r="AE818" i="13"/>
  <c r="V810" i="13"/>
  <c r="AE810" i="13"/>
  <c r="AA810" i="13"/>
  <c r="AB810" i="13"/>
  <c r="V802" i="13"/>
  <c r="AE802" i="13"/>
  <c r="AA802" i="13"/>
  <c r="AB802" i="13"/>
  <c r="V794" i="13"/>
  <c r="AA794" i="13"/>
  <c r="AB794" i="13"/>
  <c r="AE794" i="13"/>
  <c r="V786" i="13"/>
  <c r="AE786" i="13"/>
  <c r="AA786" i="13"/>
  <c r="AB786" i="13"/>
  <c r="V778" i="13"/>
  <c r="AE778" i="13"/>
  <c r="AC778" i="13"/>
  <c r="V770" i="13"/>
  <c r="AE770" i="13"/>
  <c r="AA770" i="13"/>
  <c r="AC770" i="13"/>
  <c r="V762" i="13"/>
  <c r="AE762" i="13"/>
  <c r="AC762" i="13"/>
  <c r="V754" i="13"/>
  <c r="AE754" i="13"/>
  <c r="AB754" i="13"/>
  <c r="AC754" i="13"/>
  <c r="V746" i="13"/>
  <c r="AE746" i="13"/>
  <c r="AB746" i="13"/>
  <c r="AC746" i="13"/>
  <c r="V738" i="13"/>
  <c r="AE738" i="13"/>
  <c r="V730" i="13"/>
  <c r="AE730" i="13"/>
  <c r="AB730" i="13"/>
  <c r="AC730" i="13"/>
  <c r="V722" i="13"/>
  <c r="AE722" i="13"/>
  <c r="AA722" i="13"/>
  <c r="V714" i="13"/>
  <c r="AE714" i="13"/>
  <c r="AB714" i="13"/>
  <c r="AC714" i="13"/>
  <c r="V706" i="13"/>
  <c r="AA706" i="13"/>
  <c r="AB706" i="13"/>
  <c r="AE706" i="13"/>
  <c r="V698" i="13"/>
  <c r="AA698" i="13"/>
  <c r="AE698" i="13"/>
  <c r="AC698" i="13"/>
  <c r="V690" i="13"/>
  <c r="AE690" i="13"/>
  <c r="AA690" i="13"/>
  <c r="AB690" i="13"/>
  <c r="V682" i="13"/>
  <c r="AE682" i="13"/>
  <c r="AA682" i="13"/>
  <c r="AB682" i="13"/>
  <c r="V674" i="13"/>
  <c r="AE674" i="13"/>
  <c r="AC674" i="13"/>
  <c r="V666" i="13"/>
  <c r="AE666" i="13"/>
  <c r="AA666" i="13"/>
  <c r="AC666" i="13"/>
  <c r="V658" i="13"/>
  <c r="AA658" i="13"/>
  <c r="V650" i="13"/>
  <c r="AE650" i="13"/>
  <c r="AB650" i="13"/>
  <c r="AC650" i="13"/>
  <c r="V642" i="13"/>
  <c r="AA642" i="13"/>
  <c r="AB642" i="13"/>
  <c r="V634" i="13"/>
  <c r="AA634" i="13"/>
  <c r="AB634" i="13"/>
  <c r="V626" i="13"/>
  <c r="AE626" i="13"/>
  <c r="AC626" i="13"/>
  <c r="V618" i="13"/>
  <c r="AA618" i="13"/>
  <c r="AB618" i="13"/>
  <c r="AE618" i="13"/>
  <c r="V610" i="13"/>
  <c r="AE610" i="13"/>
  <c r="AB610" i="13"/>
  <c r="V602" i="13"/>
  <c r="AB602" i="13"/>
  <c r="AE602" i="13"/>
  <c r="AC602" i="13"/>
  <c r="V594" i="13"/>
  <c r="AB594" i="13"/>
  <c r="AC594" i="13"/>
  <c r="V586" i="13"/>
  <c r="AE586" i="13"/>
  <c r="AA586" i="13"/>
  <c r="Z586" i="13"/>
  <c r="AB586" i="13"/>
  <c r="AC586" i="13"/>
  <c r="V578" i="13"/>
  <c r="AE578" i="13"/>
  <c r="AB578" i="13"/>
  <c r="AC578" i="13"/>
  <c r="V570" i="13"/>
  <c r="AE570" i="13"/>
  <c r="AB570" i="13"/>
  <c r="AC570" i="13"/>
  <c r="V562" i="13"/>
  <c r="AE562" i="13"/>
  <c r="AA562" i="13"/>
  <c r="V554" i="13"/>
  <c r="AE554" i="13"/>
  <c r="AC554" i="13"/>
  <c r="V546" i="13"/>
  <c r="AE546" i="13"/>
  <c r="AA546" i="13"/>
  <c r="AB546" i="13"/>
  <c r="V538" i="13"/>
  <c r="AC538" i="13"/>
  <c r="AE538" i="13"/>
  <c r="V530" i="13"/>
  <c r="AB530" i="13"/>
  <c r="AC530" i="13"/>
  <c r="AE530" i="13"/>
  <c r="V522" i="13"/>
  <c r="AE522" i="13"/>
  <c r="V514" i="13"/>
  <c r="AA514" i="13"/>
  <c r="AB514" i="13"/>
  <c r="AE514" i="13"/>
  <c r="V506" i="13"/>
  <c r="AE506" i="13"/>
  <c r="AB506" i="13"/>
  <c r="AC506" i="13"/>
  <c r="V498" i="13"/>
  <c r="AA498" i="13"/>
  <c r="AB498" i="13"/>
  <c r="AE498" i="13"/>
  <c r="V490" i="13"/>
  <c r="AA490" i="13"/>
  <c r="AB490" i="13"/>
  <c r="V482" i="13"/>
  <c r="AE482" i="13"/>
  <c r="AC482" i="13"/>
  <c r="V473" i="13"/>
  <c r="AE473" i="13"/>
  <c r="AB473" i="13"/>
  <c r="AC473" i="13"/>
  <c r="V465" i="13"/>
  <c r="AE465" i="13"/>
  <c r="AA465" i="13"/>
  <c r="AB465" i="13"/>
  <c r="V457" i="13"/>
  <c r="AA457" i="13"/>
  <c r="AB457" i="13"/>
  <c r="AE457" i="13"/>
  <c r="V449" i="13"/>
  <c r="AE449" i="13"/>
  <c r="AB449" i="13"/>
  <c r="AC449" i="13"/>
  <c r="V441" i="13"/>
  <c r="AB441" i="13"/>
  <c r="AE441" i="13"/>
  <c r="AA441" i="13"/>
  <c r="AC441" i="13"/>
  <c r="V433" i="13"/>
  <c r="AE433" i="13"/>
  <c r="AA433" i="13"/>
  <c r="AB433" i="13"/>
  <c r="V425" i="13"/>
  <c r="AB425" i="13"/>
  <c r="AA425" i="13"/>
  <c r="AC425" i="13"/>
  <c r="AE425" i="13"/>
  <c r="V417" i="13"/>
  <c r="AE417" i="13"/>
  <c r="AA417" i="13"/>
  <c r="AB417" i="13"/>
  <c r="AC417" i="13"/>
  <c r="V409" i="13"/>
  <c r="AA409" i="13"/>
  <c r="AB409" i="13"/>
  <c r="AC409" i="13"/>
  <c r="V401" i="13"/>
  <c r="AB401" i="13"/>
  <c r="AC401" i="13"/>
  <c r="AE401" i="13"/>
  <c r="V393" i="13"/>
  <c r="AA393" i="13"/>
  <c r="AC393" i="13"/>
  <c r="AE393" i="13"/>
  <c r="V385" i="13"/>
  <c r="AE385" i="13"/>
  <c r="AA385" i="13"/>
  <c r="AB385" i="13"/>
  <c r="W385" i="13"/>
  <c r="Z385" i="13"/>
  <c r="V377" i="13"/>
  <c r="AA377" i="13"/>
  <c r="AB377" i="13"/>
  <c r="Y377" i="13"/>
  <c r="AE377" i="13"/>
  <c r="AC377" i="13"/>
  <c r="V369" i="13"/>
  <c r="AE369" i="13"/>
  <c r="AA369" i="13"/>
  <c r="X369" i="13"/>
  <c r="V361" i="13"/>
  <c r="AE361" i="13"/>
  <c r="AA361" i="13"/>
  <c r="V353" i="13"/>
  <c r="AA353" i="13"/>
  <c r="AB353" i="13"/>
  <c r="AC353" i="13"/>
  <c r="V345" i="13"/>
  <c r="AB345" i="13"/>
  <c r="AC345" i="13"/>
  <c r="AE345" i="13"/>
  <c r="AA345" i="13"/>
  <c r="Y345" i="13"/>
  <c r="Z345" i="13"/>
  <c r="V337" i="13"/>
  <c r="AA337" i="13"/>
  <c r="AB337" i="13"/>
  <c r="X337" i="13"/>
  <c r="AE337" i="13"/>
  <c r="V329" i="13"/>
  <c r="AA329" i="13"/>
  <c r="AB329" i="13"/>
  <c r="W329" i="13"/>
  <c r="X329" i="13"/>
  <c r="AE329" i="13"/>
  <c r="AC329" i="13"/>
  <c r="V321" i="13"/>
  <c r="AE321" i="13"/>
  <c r="AA321" i="13"/>
  <c r="W321" i="13"/>
  <c r="X321" i="13"/>
  <c r="AB321" i="13"/>
  <c r="V313" i="13"/>
  <c r="AE313" i="13"/>
  <c r="AA313" i="13"/>
  <c r="V305" i="13"/>
  <c r="AB305" i="13"/>
  <c r="AE305" i="13"/>
  <c r="AC305" i="13"/>
  <c r="AA305" i="13"/>
  <c r="Y305" i="13"/>
  <c r="V297" i="13"/>
  <c r="AA297" i="13"/>
  <c r="AB297" i="13"/>
  <c r="Y297" i="13"/>
  <c r="AE297" i="13"/>
  <c r="V289" i="13"/>
  <c r="AC289" i="13"/>
  <c r="AE289" i="13"/>
  <c r="W289" i="13"/>
  <c r="AA289" i="13"/>
  <c r="X289" i="13"/>
  <c r="V281" i="13"/>
  <c r="AE281" i="13"/>
  <c r="AA281" i="13"/>
  <c r="AB281" i="13"/>
  <c r="AC281" i="13"/>
  <c r="V273" i="13"/>
  <c r="AA273" i="13"/>
  <c r="AB273" i="13"/>
  <c r="AE273" i="13"/>
  <c r="Y273" i="13"/>
  <c r="AC273" i="13"/>
  <c r="V265" i="13"/>
  <c r="AA265" i="13"/>
  <c r="AB265" i="13"/>
  <c r="AC265" i="13"/>
  <c r="Y265" i="13"/>
  <c r="V257" i="13"/>
  <c r="AA257" i="13"/>
  <c r="AE257" i="13"/>
  <c r="AB257" i="13"/>
  <c r="Y257" i="13"/>
  <c r="V249" i="13"/>
  <c r="AB249" i="13"/>
  <c r="AC249" i="13"/>
  <c r="AE249" i="13"/>
  <c r="V241" i="13"/>
  <c r="AC241" i="13"/>
  <c r="AE241" i="13"/>
  <c r="AA241" i="13"/>
  <c r="AB241" i="13"/>
  <c r="Y241" i="13"/>
  <c r="V233" i="13"/>
  <c r="AC233" i="13"/>
  <c r="W233" i="13"/>
  <c r="AE233" i="13"/>
  <c r="AA233" i="13"/>
  <c r="Z233" i="13"/>
  <c r="V225" i="13"/>
  <c r="AE225" i="13"/>
  <c r="AB225" i="13"/>
  <c r="AC225" i="13"/>
  <c r="V217" i="13"/>
  <c r="AB217" i="13"/>
  <c r="AE217" i="13"/>
  <c r="AC217" i="13"/>
  <c r="Z217" i="13"/>
  <c r="V209" i="13"/>
  <c r="AB209" i="13"/>
  <c r="AC209" i="13"/>
  <c r="AE209" i="13"/>
  <c r="Z209" i="13"/>
  <c r="AA209" i="13"/>
  <c r="V201" i="13"/>
  <c r="AB201" i="13"/>
  <c r="AC201" i="13"/>
  <c r="AE201" i="13"/>
  <c r="V193" i="13"/>
  <c r="AE193" i="13"/>
  <c r="AA193" i="13"/>
  <c r="AB193" i="13"/>
  <c r="X193" i="13"/>
  <c r="Y193" i="13"/>
  <c r="V185" i="13"/>
  <c r="AA185" i="13"/>
  <c r="AC185" i="13"/>
  <c r="Y185" i="13"/>
  <c r="Z185" i="13"/>
  <c r="AB185" i="13"/>
  <c r="V177" i="13"/>
  <c r="AE177" i="13"/>
  <c r="AB177" i="13"/>
  <c r="AC177" i="13"/>
  <c r="Y177" i="13"/>
  <c r="V169" i="13"/>
  <c r="AA169" i="13"/>
  <c r="AB169" i="13"/>
  <c r="Y169" i="13"/>
  <c r="Z169" i="13"/>
  <c r="AC169" i="13"/>
  <c r="V161" i="13"/>
  <c r="AA161" i="13"/>
  <c r="AE161" i="13"/>
  <c r="AB161" i="13"/>
  <c r="AC161" i="13"/>
  <c r="W161" i="13"/>
  <c r="V153" i="13"/>
  <c r="AE153" i="13"/>
  <c r="Z153" i="13"/>
  <c r="AA153" i="13"/>
  <c r="AB153" i="13"/>
  <c r="V145" i="13"/>
  <c r="AE145" i="13"/>
  <c r="AC145" i="13"/>
  <c r="W145" i="13"/>
  <c r="Z145" i="13"/>
  <c r="AB145" i="13"/>
  <c r="V137" i="13"/>
  <c r="AB137" i="13"/>
  <c r="AC137" i="13"/>
  <c r="AA137" i="13"/>
  <c r="Z137" i="13"/>
  <c r="V129" i="13"/>
  <c r="AA129" i="13"/>
  <c r="AB129" i="13"/>
  <c r="Z129" i="13"/>
  <c r="AE129" i="13"/>
  <c r="AC129" i="13"/>
  <c r="V121" i="13"/>
  <c r="AE121" i="13"/>
  <c r="AA121" i="13"/>
  <c r="AB121" i="13"/>
  <c r="AC121" i="13"/>
  <c r="W121" i="13"/>
  <c r="Z121" i="13"/>
  <c r="V113" i="13"/>
  <c r="AE113" i="13"/>
  <c r="AB113" i="13"/>
  <c r="AC113" i="13"/>
  <c r="W113" i="13"/>
  <c r="V105" i="13"/>
  <c r="AB105" i="13"/>
  <c r="AC105" i="13"/>
  <c r="AE105" i="13"/>
  <c r="W105" i="13"/>
  <c r="V97" i="13"/>
  <c r="AA97" i="13"/>
  <c r="AE97" i="13"/>
  <c r="AB97" i="13"/>
  <c r="X97" i="13"/>
  <c r="Y97" i="13"/>
  <c r="AC97" i="13"/>
  <c r="V89" i="13"/>
  <c r="AA89" i="13"/>
  <c r="AB89" i="13"/>
  <c r="AE89" i="13"/>
  <c r="X89" i="13"/>
  <c r="Y89" i="13"/>
  <c r="V81" i="13"/>
  <c r="AE81" i="13"/>
  <c r="AC81" i="13"/>
  <c r="Y81" i="13"/>
  <c r="V73" i="13"/>
  <c r="AE73" i="13"/>
  <c r="AA73" i="13"/>
  <c r="Y73" i="13"/>
  <c r="Z73" i="13"/>
  <c r="AC73" i="13"/>
  <c r="V65" i="13"/>
  <c r="AE65" i="13"/>
  <c r="V57" i="13"/>
  <c r="AE57" i="13"/>
  <c r="AA57" i="13"/>
  <c r="Y57" i="13"/>
  <c r="Z57" i="13"/>
  <c r="V49" i="13"/>
  <c r="AB49" i="13"/>
  <c r="AC49" i="13"/>
  <c r="W49" i="13"/>
  <c r="Z49" i="13"/>
  <c r="AE49" i="13"/>
  <c r="AA49" i="13"/>
  <c r="V41" i="13"/>
  <c r="AE41" i="13"/>
  <c r="AC41" i="13"/>
  <c r="V33" i="13"/>
  <c r="Z33" i="13"/>
  <c r="AA33" i="13"/>
  <c r="AC33" i="13"/>
  <c r="V25" i="13"/>
  <c r="AA25" i="13"/>
  <c r="AE25" i="13"/>
  <c r="AB25" i="13"/>
  <c r="W25" i="13"/>
  <c r="AC25" i="13"/>
  <c r="Z25" i="13"/>
  <c r="V17" i="13"/>
  <c r="AB17" i="13"/>
  <c r="AC17" i="13"/>
  <c r="Z17" i="13"/>
  <c r="AE17" i="13"/>
  <c r="AU9" i="3"/>
  <c r="AY9" i="3"/>
  <c r="AX9" i="3"/>
  <c r="AV9" i="3"/>
  <c r="AT9" i="3"/>
  <c r="AZ9" i="3"/>
  <c r="AW9" i="3"/>
  <c r="AV2770" i="3"/>
  <c r="AW2770" i="3"/>
  <c r="AU2770" i="3"/>
  <c r="AX2770" i="3"/>
  <c r="AZ2770" i="3"/>
  <c r="BA2770" i="3"/>
  <c r="AT2770" i="3"/>
  <c r="AY2770" i="3"/>
  <c r="AS2770" i="3"/>
  <c r="AR2762" i="3"/>
  <c r="AZ2762" i="3"/>
  <c r="AX2762" i="3"/>
  <c r="AY2762" i="3"/>
  <c r="AT2762" i="3"/>
  <c r="AU2762" i="3"/>
  <c r="AS2762" i="3"/>
  <c r="BA2762" i="3"/>
  <c r="AX2754" i="3"/>
  <c r="AW2754" i="3"/>
  <c r="AY2754" i="3"/>
  <c r="AR2754" i="3"/>
  <c r="AS2754" i="3"/>
  <c r="AU2754" i="3"/>
  <c r="AV2754" i="3"/>
  <c r="AT2754" i="3"/>
  <c r="AU2746" i="3"/>
  <c r="AW2746" i="3"/>
  <c r="AX2746" i="3"/>
  <c r="AR2746" i="3"/>
  <c r="AT2746" i="3"/>
  <c r="AV2746" i="3"/>
  <c r="AZ2746" i="3"/>
  <c r="BA2746" i="3"/>
  <c r="AY2746" i="3"/>
  <c r="AY2738" i="3"/>
  <c r="AT2738" i="3"/>
  <c r="AU2738" i="3"/>
  <c r="AR2738" i="3"/>
  <c r="AV2738" i="3"/>
  <c r="AW2738" i="3"/>
  <c r="AX2738" i="3"/>
  <c r="AZ2738" i="3"/>
  <c r="AS2738" i="3"/>
  <c r="AU2730" i="3"/>
  <c r="AR2730" i="3"/>
  <c r="BA2730" i="3"/>
  <c r="AS2730" i="3"/>
  <c r="AV2730" i="3"/>
  <c r="AW2730" i="3"/>
  <c r="AT2730" i="3"/>
  <c r="AY2730" i="3"/>
  <c r="AZ2730" i="3"/>
  <c r="AY2722" i="3"/>
  <c r="AX2722" i="3"/>
  <c r="AZ2722" i="3"/>
  <c r="BA2722" i="3"/>
  <c r="AS2722" i="3"/>
  <c r="AT2722" i="3"/>
  <c r="AU2722" i="3"/>
  <c r="AV2722" i="3"/>
  <c r="AV2714" i="3"/>
  <c r="AW2714" i="3"/>
  <c r="AX2714" i="3"/>
  <c r="AZ2714" i="3"/>
  <c r="BA2714" i="3"/>
  <c r="AR2714" i="3"/>
  <c r="AS2714" i="3"/>
  <c r="AY2714" i="3"/>
  <c r="AT2706" i="3"/>
  <c r="AX2706" i="3"/>
  <c r="AY2706" i="3"/>
  <c r="AR2706" i="3"/>
  <c r="AU2706" i="3"/>
  <c r="AV2706" i="3"/>
  <c r="AS2706" i="3"/>
  <c r="BA2706" i="3"/>
  <c r="AR2698" i="3"/>
  <c r="AZ2698" i="3"/>
  <c r="AW2698" i="3"/>
  <c r="AX2698" i="3"/>
  <c r="AS2698" i="3"/>
  <c r="AT2698" i="3"/>
  <c r="AV2698" i="3"/>
  <c r="AY2698" i="3"/>
  <c r="BA2698" i="3"/>
  <c r="AW2690" i="3"/>
  <c r="AU2690" i="3"/>
  <c r="AV2690" i="3"/>
  <c r="AR2690" i="3"/>
  <c r="BA2690" i="3"/>
  <c r="AS2690" i="3"/>
  <c r="AT2690" i="3"/>
  <c r="AY2690" i="3"/>
  <c r="AZ2690" i="3"/>
  <c r="AS2682" i="3"/>
  <c r="BA2682" i="3"/>
  <c r="AR2682" i="3"/>
  <c r="AT2682" i="3"/>
  <c r="AW2682" i="3"/>
  <c r="AX2682" i="3"/>
  <c r="AZ2682" i="3"/>
  <c r="AY2682" i="3"/>
  <c r="AV2682" i="3"/>
  <c r="AW2674" i="3"/>
  <c r="AY2674" i="3"/>
  <c r="AZ2674" i="3"/>
  <c r="BA2674" i="3"/>
  <c r="AS2674" i="3"/>
  <c r="AR2674" i="3"/>
  <c r="AT2674" i="3"/>
  <c r="AU2674" i="3"/>
  <c r="AV2674" i="3"/>
  <c r="AR2666" i="3"/>
  <c r="AZ2666" i="3"/>
  <c r="AU2666" i="3"/>
  <c r="AV2666" i="3"/>
  <c r="AX2666" i="3"/>
  <c r="AY2666" i="3"/>
  <c r="AS2666" i="3"/>
  <c r="AT2666" i="3"/>
  <c r="BA2666" i="3"/>
  <c r="AR2658" i="3"/>
  <c r="AZ2658" i="3"/>
  <c r="AT2658" i="3"/>
  <c r="AX2658" i="3"/>
  <c r="BA2658" i="3"/>
  <c r="AW2658" i="3"/>
  <c r="AY2658" i="3"/>
  <c r="AU2658" i="3"/>
  <c r="AV2658" i="3"/>
  <c r="AT2650" i="3"/>
  <c r="AY2650" i="3"/>
  <c r="AU2650" i="3"/>
  <c r="AX2650" i="3"/>
  <c r="AZ2650" i="3"/>
  <c r="BA2650" i="3"/>
  <c r="AV2650" i="3"/>
  <c r="AW2650" i="3"/>
  <c r="AS2650" i="3"/>
  <c r="AX2642" i="3"/>
  <c r="AV2642" i="3"/>
  <c r="AR2642" i="3"/>
  <c r="BA2642" i="3"/>
  <c r="AW2642" i="3"/>
  <c r="AY2642" i="3"/>
  <c r="AS2642" i="3"/>
  <c r="AU2642" i="3"/>
  <c r="AZ2642" i="3"/>
  <c r="AT2642" i="3"/>
  <c r="AT2634" i="3"/>
  <c r="AU2634" i="3"/>
  <c r="AY2634" i="3"/>
  <c r="AW2634" i="3"/>
  <c r="AX2634" i="3"/>
  <c r="AR2634" i="3"/>
  <c r="AV2634" i="3"/>
  <c r="AZ2634" i="3"/>
  <c r="BA2634" i="3"/>
  <c r="AS2634" i="3"/>
  <c r="AW2626" i="3"/>
  <c r="AZ2626" i="3"/>
  <c r="AU2626" i="3"/>
  <c r="AS2626" i="3"/>
  <c r="AT2626" i="3"/>
  <c r="AR2626" i="3"/>
  <c r="AX2626" i="3"/>
  <c r="AV2626" i="3"/>
  <c r="AY2626" i="3"/>
  <c r="AW2618" i="3"/>
  <c r="AS2618" i="3"/>
  <c r="AX2618" i="3"/>
  <c r="AZ2618" i="3"/>
  <c r="BA2618" i="3"/>
  <c r="AR2618" i="3"/>
  <c r="AU2618" i="3"/>
  <c r="AV2618" i="3"/>
  <c r="AY2618" i="3"/>
  <c r="AT2618" i="3"/>
  <c r="AT2610" i="3"/>
  <c r="AS2610" i="3"/>
  <c r="AX2610" i="3"/>
  <c r="AR2610" i="3"/>
  <c r="AV2610" i="3"/>
  <c r="AU2610" i="3"/>
  <c r="AW2610" i="3"/>
  <c r="AZ2610" i="3"/>
  <c r="BA2610" i="3"/>
  <c r="AX2602" i="3"/>
  <c r="AR2602" i="3"/>
  <c r="BA2602" i="3"/>
  <c r="AV2602" i="3"/>
  <c r="AS2602" i="3"/>
  <c r="AU2602" i="3"/>
  <c r="AW2602" i="3"/>
  <c r="AZ2602" i="3"/>
  <c r="AT2602" i="3"/>
  <c r="AY2602" i="3"/>
  <c r="AS2594" i="3"/>
  <c r="BA2594" i="3"/>
  <c r="AX2594" i="3"/>
  <c r="AT2594" i="3"/>
  <c r="AR2594" i="3"/>
  <c r="AU2594" i="3"/>
  <c r="AV2594" i="3"/>
  <c r="AW2594" i="3"/>
  <c r="AZ2594" i="3"/>
  <c r="AU2586" i="3"/>
  <c r="AV2586" i="3"/>
  <c r="AZ2586" i="3"/>
  <c r="AR2586" i="3"/>
  <c r="AW2586" i="3"/>
  <c r="AT2586" i="3"/>
  <c r="AX2586" i="3"/>
  <c r="BA2586" i="3"/>
  <c r="AS2586" i="3"/>
  <c r="AY2586" i="3"/>
  <c r="AX2578" i="3"/>
  <c r="AS2578" i="3"/>
  <c r="AW2578" i="3"/>
  <c r="AR2578" i="3"/>
  <c r="AV2578" i="3"/>
  <c r="AZ2578" i="3"/>
  <c r="BA2578" i="3"/>
  <c r="AU2578" i="3"/>
  <c r="AY2578" i="3"/>
  <c r="AT2578" i="3"/>
  <c r="AY2570" i="3"/>
  <c r="AW2570" i="3"/>
  <c r="AS2570" i="3"/>
  <c r="BA2570" i="3"/>
  <c r="AU2570" i="3"/>
  <c r="AZ2570" i="3"/>
  <c r="AT2570" i="3"/>
  <c r="AV2570" i="3"/>
  <c r="AR2570" i="3"/>
  <c r="AR2562" i="3"/>
  <c r="AZ2562" i="3"/>
  <c r="AS2562" i="3"/>
  <c r="AW2562" i="3"/>
  <c r="AY2562" i="3"/>
  <c r="BA2562" i="3"/>
  <c r="AT2562" i="3"/>
  <c r="AX2562" i="3"/>
  <c r="AV2562" i="3"/>
  <c r="AY2554" i="3"/>
  <c r="AU2554" i="3"/>
  <c r="AZ2554" i="3"/>
  <c r="AS2554" i="3"/>
  <c r="AT2554" i="3"/>
  <c r="AX2554" i="3"/>
  <c r="AV2554" i="3"/>
  <c r="AW2554" i="3"/>
  <c r="AR2554" i="3"/>
  <c r="BA2554" i="3"/>
  <c r="AW2546" i="3"/>
  <c r="AV2546" i="3"/>
  <c r="AR2546" i="3"/>
  <c r="BA2546" i="3"/>
  <c r="AY2546" i="3"/>
  <c r="AZ2546" i="3"/>
  <c r="AS2546" i="3"/>
  <c r="AT2546" i="3"/>
  <c r="AU2546" i="3"/>
  <c r="AX2546" i="3"/>
  <c r="AT2538" i="3"/>
  <c r="AX2538" i="3"/>
  <c r="AS2538" i="3"/>
  <c r="AR2538" i="3"/>
  <c r="AU2538" i="3"/>
  <c r="AY2538" i="3"/>
  <c r="AW2538" i="3"/>
  <c r="AZ2538" i="3"/>
  <c r="BA2538" i="3"/>
  <c r="AV2538" i="3"/>
  <c r="AY2530" i="3"/>
  <c r="AX2530" i="3"/>
  <c r="AT2530" i="3"/>
  <c r="AV2530" i="3"/>
  <c r="AW2530" i="3"/>
  <c r="AR2530" i="3"/>
  <c r="AU2530" i="3"/>
  <c r="AZ2530" i="3"/>
  <c r="BA2530" i="3"/>
  <c r="AT2522" i="3"/>
  <c r="AX2522" i="3"/>
  <c r="AS2522" i="3"/>
  <c r="AY2522" i="3"/>
  <c r="AZ2522" i="3"/>
  <c r="AR2522" i="3"/>
  <c r="AW2522" i="3"/>
  <c r="BA2522" i="3"/>
  <c r="AU2522" i="3"/>
  <c r="AV2522" i="3"/>
  <c r="AX2514" i="3"/>
  <c r="AW2514" i="3"/>
  <c r="AS2514" i="3"/>
  <c r="AR2514" i="3"/>
  <c r="AV2514" i="3"/>
  <c r="AT2514" i="3"/>
  <c r="AY2514" i="3"/>
  <c r="AZ2514" i="3"/>
  <c r="AU2514" i="3"/>
  <c r="BA2514" i="3"/>
  <c r="AT2506" i="3"/>
  <c r="AW2506" i="3"/>
  <c r="AR2506" i="3"/>
  <c r="BA2506" i="3"/>
  <c r="AS2506" i="3"/>
  <c r="AX2506" i="3"/>
  <c r="AY2506" i="3"/>
  <c r="AZ2506" i="3"/>
  <c r="AV2506" i="3"/>
  <c r="AW2498" i="3"/>
  <c r="AU2498" i="3"/>
  <c r="AZ2498" i="3"/>
  <c r="AS2498" i="3"/>
  <c r="AT2498" i="3"/>
  <c r="AY2498" i="3"/>
  <c r="AV2498" i="3"/>
  <c r="AX2498" i="3"/>
  <c r="AR2498" i="3"/>
  <c r="BA2498" i="3"/>
  <c r="AS2490" i="3"/>
  <c r="BA2490" i="3"/>
  <c r="AU2490" i="3"/>
  <c r="AY2490" i="3"/>
  <c r="AW2490" i="3"/>
  <c r="AX2490" i="3"/>
  <c r="AV2490" i="3"/>
  <c r="AZ2490" i="3"/>
  <c r="AR2490" i="3"/>
  <c r="AT2490" i="3"/>
  <c r="AV2482" i="3"/>
  <c r="AS2482" i="3"/>
  <c r="AX2482" i="3"/>
  <c r="AZ2482" i="3"/>
  <c r="BA2482" i="3"/>
  <c r="AT2482" i="3"/>
  <c r="AR2482" i="3"/>
  <c r="AU2482" i="3"/>
  <c r="AW2482" i="3"/>
  <c r="AY2482" i="3"/>
  <c r="AY2474" i="3"/>
  <c r="AR2474" i="3"/>
  <c r="BA2474" i="3"/>
  <c r="AV2474" i="3"/>
  <c r="AZ2474" i="3"/>
  <c r="AT2474" i="3"/>
  <c r="AS2474" i="3"/>
  <c r="AW2474" i="3"/>
  <c r="AX2474" i="3"/>
  <c r="AR2466" i="3"/>
  <c r="AZ2466" i="3"/>
  <c r="AW2466" i="3"/>
  <c r="AS2466" i="3"/>
  <c r="AY2466" i="3"/>
  <c r="BA2466" i="3"/>
  <c r="AT2466" i="3"/>
  <c r="AV2466" i="3"/>
  <c r="AX2466" i="3"/>
  <c r="AU2458" i="3"/>
  <c r="AV2458" i="3"/>
  <c r="AZ2458" i="3"/>
  <c r="AY2458" i="3"/>
  <c r="BA2458" i="3"/>
  <c r="AS2458" i="3"/>
  <c r="AR2458" i="3"/>
  <c r="AT2458" i="3"/>
  <c r="AX2458" i="3"/>
  <c r="AW2458" i="3"/>
  <c r="AV2450" i="3"/>
  <c r="AR2450" i="3"/>
  <c r="BA2450" i="3"/>
  <c r="AW2450" i="3"/>
  <c r="AY2450" i="3"/>
  <c r="AZ2450" i="3"/>
  <c r="AS2450" i="3"/>
  <c r="AT2450" i="3"/>
  <c r="AU2450" i="3"/>
  <c r="AW2442" i="3"/>
  <c r="AX2442" i="3"/>
  <c r="AS2442" i="3"/>
  <c r="AY2442" i="3"/>
  <c r="AZ2442" i="3"/>
  <c r="AR2442" i="3"/>
  <c r="AT2442" i="3"/>
  <c r="AU2442" i="3"/>
  <c r="BA2442" i="3"/>
  <c r="AV2442" i="3"/>
  <c r="AS2434" i="3"/>
  <c r="BA2434" i="3"/>
  <c r="AW2434" i="3"/>
  <c r="AR2434" i="3"/>
  <c r="AZ2434" i="3"/>
  <c r="AU2434" i="3"/>
  <c r="AX2434" i="3"/>
  <c r="AY2434" i="3"/>
  <c r="AV2434" i="3"/>
  <c r="AT2434" i="3"/>
  <c r="AU2426" i="3"/>
  <c r="AT2426" i="3"/>
  <c r="AY2426" i="3"/>
  <c r="AZ2426" i="3"/>
  <c r="BA2426" i="3"/>
  <c r="AS2426" i="3"/>
  <c r="AR2426" i="3"/>
  <c r="AV2426" i="3"/>
  <c r="AW2426" i="3"/>
  <c r="AX2426" i="3"/>
  <c r="AV2418" i="3"/>
  <c r="AZ2418" i="3"/>
  <c r="AU2418" i="3"/>
  <c r="AY2418" i="3"/>
  <c r="BA2418" i="3"/>
  <c r="AS2418" i="3"/>
  <c r="AR2418" i="3"/>
  <c r="AT2418" i="3"/>
  <c r="AW2418" i="3"/>
  <c r="AT2410" i="3"/>
  <c r="AV2410" i="3"/>
  <c r="AU2410" i="3"/>
  <c r="AZ2410" i="3"/>
  <c r="AX2410" i="3"/>
  <c r="AY2410" i="3"/>
  <c r="AS2410" i="3"/>
  <c r="AW2410" i="3"/>
  <c r="BA2410" i="3"/>
  <c r="AR2410" i="3"/>
  <c r="AR2402" i="3"/>
  <c r="AZ2402" i="3"/>
  <c r="AW2402" i="3"/>
  <c r="AS2402" i="3"/>
  <c r="AX2402" i="3"/>
  <c r="BA2402" i="3"/>
  <c r="AT2402" i="3"/>
  <c r="AU2402" i="3"/>
  <c r="AV2402" i="3"/>
  <c r="AY2402" i="3"/>
  <c r="AW2394" i="3"/>
  <c r="AX2394" i="3"/>
  <c r="AZ2394" i="3"/>
  <c r="AT2394" i="3"/>
  <c r="AU2394" i="3"/>
  <c r="AS2394" i="3"/>
  <c r="AV2394" i="3"/>
  <c r="BA2394" i="3"/>
  <c r="AR2394" i="3"/>
  <c r="AS2386" i="3"/>
  <c r="BA2386" i="3"/>
  <c r="AW2386" i="3"/>
  <c r="AU2386" i="3"/>
  <c r="AZ2386" i="3"/>
  <c r="AT2386" i="3"/>
  <c r="AR2386" i="3"/>
  <c r="AV2386" i="3"/>
  <c r="AX2386" i="3"/>
  <c r="AY2386" i="3"/>
  <c r="AY2378" i="3"/>
  <c r="AX2378" i="3"/>
  <c r="AV2378" i="3"/>
  <c r="AU2378" i="3"/>
  <c r="AR2378" i="3"/>
  <c r="AW2378" i="3"/>
  <c r="BA2378" i="3"/>
  <c r="AS2378" i="3"/>
  <c r="AT2378" i="3"/>
  <c r="AZ2378" i="3"/>
  <c r="AW2370" i="3"/>
  <c r="AZ2370" i="3"/>
  <c r="AT2370" i="3"/>
  <c r="AU2370" i="3"/>
  <c r="BA2370" i="3"/>
  <c r="AV2370" i="3"/>
  <c r="AR2370" i="3"/>
  <c r="AX2370" i="3"/>
  <c r="AY2370" i="3"/>
  <c r="AS2370" i="3"/>
  <c r="AW2362" i="3"/>
  <c r="AT2362" i="3"/>
  <c r="AS2362" i="3"/>
  <c r="AX2362" i="3"/>
  <c r="AR2362" i="3"/>
  <c r="AY2362" i="3"/>
  <c r="AU2362" i="3"/>
  <c r="AV2362" i="3"/>
  <c r="AZ2362" i="3"/>
  <c r="AT2354" i="3"/>
  <c r="AU2354" i="3"/>
  <c r="AZ2354" i="3"/>
  <c r="AV2354" i="3"/>
  <c r="BA2354" i="3"/>
  <c r="AS2354" i="3"/>
  <c r="AW2354" i="3"/>
  <c r="AX2354" i="3"/>
  <c r="AY2354" i="3"/>
  <c r="AW2346" i="3"/>
  <c r="AS2346" i="3"/>
  <c r="AU2346" i="3"/>
  <c r="AX2346" i="3"/>
  <c r="AZ2346" i="3"/>
  <c r="BA2346" i="3"/>
  <c r="AR2346" i="3"/>
  <c r="AT2346" i="3"/>
  <c r="AV2346" i="3"/>
  <c r="AY2346" i="3"/>
  <c r="AU2338" i="3"/>
  <c r="AT2338" i="3"/>
  <c r="AR2338" i="3"/>
  <c r="AX2338" i="3"/>
  <c r="BA2338" i="3"/>
  <c r="AS2338" i="3"/>
  <c r="AV2338" i="3"/>
  <c r="AW2338" i="3"/>
  <c r="AZ2338" i="3"/>
  <c r="AY2338" i="3"/>
  <c r="AX2330" i="3"/>
  <c r="AS2330" i="3"/>
  <c r="AW2330" i="3"/>
  <c r="AT2330" i="3"/>
  <c r="AZ2330" i="3"/>
  <c r="AY2330" i="3"/>
  <c r="BA2330" i="3"/>
  <c r="AR2330" i="3"/>
  <c r="AV2330" i="3"/>
  <c r="AY2322" i="3"/>
  <c r="AX2322" i="3"/>
  <c r="BA2322" i="3"/>
  <c r="AT2322" i="3"/>
  <c r="AZ2322" i="3"/>
  <c r="AR2322" i="3"/>
  <c r="AS2322" i="3"/>
  <c r="AV2322" i="3"/>
  <c r="AW2322" i="3"/>
  <c r="AU2322" i="3"/>
  <c r="AY2314" i="3"/>
  <c r="AT2314" i="3"/>
  <c r="AR2314" i="3"/>
  <c r="AU2314" i="3"/>
  <c r="AZ2314" i="3"/>
  <c r="AX2314" i="3"/>
  <c r="BA2314" i="3"/>
  <c r="AS2314" i="3"/>
  <c r="AV2314" i="3"/>
  <c r="AW2314" i="3"/>
  <c r="AX2306" i="3"/>
  <c r="AW2306" i="3"/>
  <c r="AS2306" i="3"/>
  <c r="AR2306" i="3"/>
  <c r="AY2306" i="3"/>
  <c r="AU2306" i="3"/>
  <c r="AV2306" i="3"/>
  <c r="AZ2306" i="3"/>
  <c r="BA2306" i="3"/>
  <c r="AT2306" i="3"/>
  <c r="AX2298" i="3"/>
  <c r="AS2298" i="3"/>
  <c r="AU2298" i="3"/>
  <c r="AW2298" i="3"/>
  <c r="AV2298" i="3"/>
  <c r="AY2298" i="3"/>
  <c r="BA2298" i="3"/>
  <c r="AR2298" i="3"/>
  <c r="AT2298" i="3"/>
  <c r="AZ2298" i="3"/>
  <c r="AW2290" i="3"/>
  <c r="AV2290" i="3"/>
  <c r="AU2290" i="3"/>
  <c r="BA2290" i="3"/>
  <c r="AT2290" i="3"/>
  <c r="AR2290" i="3"/>
  <c r="AS2290" i="3"/>
  <c r="AX2290" i="3"/>
  <c r="AY2290" i="3"/>
  <c r="AZ2290" i="3"/>
  <c r="AU2282" i="3"/>
  <c r="AY2282" i="3"/>
  <c r="AV2282" i="3"/>
  <c r="AX2282" i="3"/>
  <c r="AR2282" i="3"/>
  <c r="AS2282" i="3"/>
  <c r="AW2282" i="3"/>
  <c r="AZ2282" i="3"/>
  <c r="AR2274" i="3"/>
  <c r="AZ2274" i="3"/>
  <c r="BA2274" i="3"/>
  <c r="AT2274" i="3"/>
  <c r="AS2274" i="3"/>
  <c r="AX2274" i="3"/>
  <c r="AU2274" i="3"/>
  <c r="AV2274" i="3"/>
  <c r="AY2274" i="3"/>
  <c r="AW2274" i="3"/>
  <c r="AW2266" i="3"/>
  <c r="AS2266" i="3"/>
  <c r="AR2266" i="3"/>
  <c r="AZ2266" i="3"/>
  <c r="AU2266" i="3"/>
  <c r="AX2266" i="3"/>
  <c r="AY2266" i="3"/>
  <c r="AT2266" i="3"/>
  <c r="BA2266" i="3"/>
  <c r="AT2258" i="3"/>
  <c r="AU2258" i="3"/>
  <c r="BA2258" i="3"/>
  <c r="AV2258" i="3"/>
  <c r="AZ2258" i="3"/>
  <c r="AX2258" i="3"/>
  <c r="AY2258" i="3"/>
  <c r="AR2258" i="3"/>
  <c r="AW2258" i="3"/>
  <c r="AS2258" i="3"/>
  <c r="AT2250" i="3"/>
  <c r="AR2250" i="3"/>
  <c r="BA2250" i="3"/>
  <c r="AX2250" i="3"/>
  <c r="AU2250" i="3"/>
  <c r="AZ2250" i="3"/>
  <c r="AV2250" i="3"/>
  <c r="AW2250" i="3"/>
  <c r="AS2250" i="3"/>
  <c r="AY2250" i="3"/>
  <c r="AR2242" i="3"/>
  <c r="AW2242" i="3"/>
  <c r="AY2242" i="3"/>
  <c r="BA2242" i="3"/>
  <c r="AT2242" i="3"/>
  <c r="AS2242" i="3"/>
  <c r="AV2242" i="3"/>
  <c r="AX2242" i="3"/>
  <c r="AU2242" i="3"/>
  <c r="AY2234" i="3"/>
  <c r="AT2234" i="3"/>
  <c r="AZ2234" i="3"/>
  <c r="AW2234" i="3"/>
  <c r="AU2234" i="3"/>
  <c r="AX2234" i="3"/>
  <c r="AR2234" i="3"/>
  <c r="AS2234" i="3"/>
  <c r="BA2234" i="3"/>
  <c r="AV2226" i="3"/>
  <c r="AR2226" i="3"/>
  <c r="AY2226" i="3"/>
  <c r="AW2226" i="3"/>
  <c r="AX2226" i="3"/>
  <c r="AT2226" i="3"/>
  <c r="AU2226" i="3"/>
  <c r="AU2218" i="3"/>
  <c r="AW2218" i="3"/>
  <c r="AY2218" i="3"/>
  <c r="AX2218" i="3"/>
  <c r="BA2218" i="3"/>
  <c r="AT2218" i="3"/>
  <c r="AV2218" i="3"/>
  <c r="AS2218" i="3"/>
  <c r="AS2210" i="3"/>
  <c r="AZ2210" i="3"/>
  <c r="AW2210" i="3"/>
  <c r="AR2210" i="3"/>
  <c r="AU2210" i="3"/>
  <c r="AV2210" i="3"/>
  <c r="AY2210" i="3"/>
  <c r="AT2210" i="3"/>
  <c r="AR2202" i="3"/>
  <c r="AU2202" i="3"/>
  <c r="AX2202" i="3"/>
  <c r="AT2202" i="3"/>
  <c r="AY2202" i="3"/>
  <c r="AV2202" i="3"/>
  <c r="AW2194" i="3"/>
  <c r="AY2194" i="3"/>
  <c r="BA2194" i="3"/>
  <c r="AR2194" i="3"/>
  <c r="AS2194" i="3"/>
  <c r="AU2194" i="3"/>
  <c r="AV2194" i="3"/>
  <c r="AZ2194" i="3"/>
  <c r="AT2186" i="3"/>
  <c r="AZ2186" i="3"/>
  <c r="AX2186" i="3"/>
  <c r="AS2186" i="3"/>
  <c r="BA2186" i="3"/>
  <c r="AV2186" i="3"/>
  <c r="AW2186" i="3"/>
  <c r="AR2186" i="3"/>
  <c r="AR2178" i="3"/>
  <c r="AX2178" i="3"/>
  <c r="AT2178" i="3"/>
  <c r="AU2178" i="3"/>
  <c r="AV2178" i="3"/>
  <c r="AY2178" i="3"/>
  <c r="AV2170" i="3"/>
  <c r="AR2170" i="3"/>
  <c r="AT2170" i="3"/>
  <c r="AY2170" i="3"/>
  <c r="AU2170" i="3"/>
  <c r="AZ2170" i="3"/>
  <c r="AX2170" i="3"/>
  <c r="AR2162" i="3"/>
  <c r="AV2162" i="3"/>
  <c r="AT2162" i="3"/>
  <c r="AU2162" i="3"/>
  <c r="AX2162" i="3"/>
  <c r="AY2162" i="3"/>
  <c r="AV2154" i="3"/>
  <c r="AR2154" i="3"/>
  <c r="AX2154" i="3"/>
  <c r="AY2154" i="3"/>
  <c r="AT2154" i="3"/>
  <c r="AU2154" i="3"/>
  <c r="AZ2154" i="3"/>
  <c r="AU2146" i="3"/>
  <c r="AS2146" i="3"/>
  <c r="AT2146" i="3"/>
  <c r="AV2146" i="3"/>
  <c r="AX2146" i="3"/>
  <c r="AY2146" i="3"/>
  <c r="AV2138" i="3"/>
  <c r="AZ2138" i="3"/>
  <c r="AT2138" i="3"/>
  <c r="AW2138" i="3"/>
  <c r="AS2138" i="3"/>
  <c r="AU2138" i="3"/>
  <c r="AX2130" i="3"/>
  <c r="AW2130" i="3"/>
  <c r="AT2130" i="3"/>
  <c r="AY2130" i="3"/>
  <c r="AW2122" i="3"/>
  <c r="AS2122" i="3"/>
  <c r="AX2122" i="3"/>
  <c r="AY2122" i="3"/>
  <c r="AY2114" i="3"/>
  <c r="AU2114" i="3"/>
  <c r="AX2114" i="3"/>
  <c r="AT2114" i="3"/>
  <c r="AS2106" i="3"/>
  <c r="AT2106" i="3"/>
  <c r="AY2106" i="3"/>
  <c r="AU2106" i="3"/>
  <c r="AS2098" i="3"/>
  <c r="AX2098" i="3"/>
  <c r="AT2098" i="3"/>
  <c r="AU2098" i="3"/>
  <c r="AS2090" i="3"/>
  <c r="AZ2090" i="3"/>
  <c r="AU2090" i="3"/>
  <c r="AW2082" i="3"/>
  <c r="AS2082" i="3"/>
  <c r="AV2082" i="3"/>
  <c r="AU2082" i="3"/>
  <c r="AY2082" i="3"/>
  <c r="BA2074" i="3"/>
  <c r="AU2074" i="3"/>
  <c r="AV2074" i="3"/>
  <c r="AT2074" i="3"/>
  <c r="AZ2066" i="3"/>
  <c r="AV2066" i="3"/>
  <c r="AW2066" i="3"/>
  <c r="AX2066" i="3"/>
  <c r="AU2058" i="3"/>
  <c r="AZ2058" i="3"/>
  <c r="AT2058" i="3"/>
  <c r="AY2058" i="3"/>
  <c r="AR2050" i="3"/>
  <c r="BA2050" i="3"/>
  <c r="AZ2050" i="3"/>
  <c r="AS2050" i="3"/>
  <c r="AU2042" i="3"/>
  <c r="AX2042" i="3"/>
  <c r="AV2042" i="3"/>
  <c r="AX2034" i="3"/>
  <c r="AV2034" i="3"/>
  <c r="AU2034" i="3"/>
  <c r="AZ2034" i="3"/>
  <c r="AW2034" i="3"/>
  <c r="AY2034" i="3"/>
  <c r="AW2026" i="3"/>
  <c r="AR2026" i="3"/>
  <c r="AV2026" i="3"/>
  <c r="BA2026" i="3"/>
  <c r="AT2026" i="3"/>
  <c r="AU2010" i="3"/>
  <c r="AR2010" i="3"/>
  <c r="AV2010" i="3"/>
  <c r="AS2010" i="3"/>
  <c r="AW2002" i="3"/>
  <c r="AT2002" i="3"/>
  <c r="AT1994" i="3"/>
  <c r="AU1994" i="3"/>
  <c r="AR1986" i="3"/>
  <c r="AX1986" i="3"/>
  <c r="AZ1922" i="3"/>
  <c r="AY1922" i="3"/>
  <c r="AY1858" i="3"/>
  <c r="AW1858" i="3"/>
  <c r="AS1850" i="3"/>
  <c r="AU1850" i="3"/>
  <c r="AR1770" i="3"/>
  <c r="AV1770" i="3"/>
  <c r="AV1730" i="3"/>
  <c r="AU1730" i="3"/>
  <c r="AY1722" i="3"/>
  <c r="AR1722" i="3"/>
  <c r="AT1674" i="3"/>
  <c r="AU1674" i="3"/>
  <c r="Y610" i="13"/>
  <c r="Y425" i="13"/>
  <c r="Y409" i="13"/>
  <c r="Z457" i="13"/>
  <c r="W369" i="13"/>
  <c r="X353" i="13"/>
  <c r="Z337" i="13"/>
  <c r="Z465" i="13"/>
  <c r="Y313" i="13"/>
  <c r="Z377" i="13"/>
  <c r="X233" i="13"/>
  <c r="X209" i="13"/>
  <c r="Z329" i="13"/>
  <c r="X161" i="13"/>
  <c r="Z89" i="13"/>
  <c r="W81" i="13"/>
  <c r="W73" i="13"/>
  <c r="AC1090" i="13"/>
  <c r="AA1034" i="13"/>
  <c r="AB1018" i="13"/>
  <c r="AC914" i="13"/>
  <c r="AC874" i="13"/>
  <c r="AA970" i="13"/>
  <c r="AA778" i="13"/>
  <c r="AA946" i="13"/>
  <c r="AC738" i="13"/>
  <c r="AC634" i="13"/>
  <c r="AA626" i="13"/>
  <c r="AB890" i="13"/>
  <c r="AB554" i="13"/>
  <c r="AA522" i="13"/>
  <c r="AC514" i="13"/>
  <c r="AC610" i="13"/>
  <c r="AC89" i="13"/>
  <c r="AE1074" i="13"/>
  <c r="AE353" i="13"/>
  <c r="AR2770" i="3"/>
  <c r="AU2698" i="3"/>
  <c r="AS2658" i="3"/>
  <c r="AU2474" i="3"/>
  <c r="AU2466" i="3"/>
  <c r="BA2362" i="3"/>
  <c r="AZ2226" i="3"/>
  <c r="W441" i="13"/>
  <c r="X610" i="13"/>
  <c r="X425" i="13"/>
  <c r="X409" i="13"/>
  <c r="Y457" i="13"/>
  <c r="W353" i="13"/>
  <c r="Y337" i="13"/>
  <c r="Y465" i="13"/>
  <c r="X313" i="13"/>
  <c r="X377" i="13"/>
  <c r="Z281" i="13"/>
  <c r="Z257" i="13"/>
  <c r="X345" i="13"/>
  <c r="Y385" i="13"/>
  <c r="W209" i="13"/>
  <c r="Y329" i="13"/>
  <c r="Z305" i="13"/>
  <c r="Y586" i="13"/>
  <c r="Z105" i="13"/>
  <c r="W89" i="13"/>
  <c r="Y17" i="13"/>
  <c r="AB1090" i="13"/>
  <c r="AC1082" i="13"/>
  <c r="AB1074" i="13"/>
  <c r="AC1026" i="13"/>
  <c r="AA1018" i="13"/>
  <c r="AC978" i="13"/>
  <c r="AB874" i="13"/>
  <c r="AA906" i="13"/>
  <c r="AA754" i="13"/>
  <c r="AB738" i="13"/>
  <c r="AC690" i="13"/>
  <c r="AA890" i="13"/>
  <c r="AA578" i="13"/>
  <c r="AA554" i="13"/>
  <c r="AA506" i="13"/>
  <c r="AA746" i="13"/>
  <c r="AA610" i="13"/>
  <c r="AE594" i="13"/>
  <c r="AE137" i="13"/>
  <c r="AU2506" i="3"/>
  <c r="AX2450" i="3"/>
  <c r="AX2418" i="3"/>
  <c r="M170" i="12"/>
  <c r="L170" i="12"/>
  <c r="AR2716" i="3"/>
  <c r="AZ2716" i="3"/>
  <c r="AS2692" i="3"/>
  <c r="BA2692" i="3"/>
  <c r="AS2676" i="3"/>
  <c r="BA2676" i="3"/>
  <c r="AT2668" i="3"/>
  <c r="AW2668" i="3"/>
  <c r="AX2652" i="3"/>
  <c r="AY2652" i="3"/>
  <c r="AW2644" i="3"/>
  <c r="AT2644" i="3"/>
  <c r="AV2636" i="3"/>
  <c r="AY2636" i="3"/>
  <c r="AU2628" i="3"/>
  <c r="AS2628" i="3"/>
  <c r="AV2612" i="3"/>
  <c r="AY2612" i="3"/>
  <c r="AX2596" i="3"/>
  <c r="AW2596" i="3"/>
  <c r="AU2588" i="3"/>
  <c r="AZ2588" i="3"/>
  <c r="AX2580" i="3"/>
  <c r="AT2580" i="3"/>
  <c r="AU2564" i="3"/>
  <c r="AW2564" i="3"/>
  <c r="AV2556" i="3"/>
  <c r="AW2556" i="3"/>
  <c r="AU2548" i="3"/>
  <c r="AT2548" i="3"/>
  <c r="AU2540" i="3"/>
  <c r="AZ2540" i="3"/>
  <c r="AU2532" i="3"/>
  <c r="AW2532" i="3"/>
  <c r="AX2516" i="3"/>
  <c r="AV2516" i="3"/>
  <c r="AY2508" i="3"/>
  <c r="AR2508" i="3"/>
  <c r="AW2500" i="3"/>
  <c r="AT2500" i="3"/>
  <c r="AV2492" i="3"/>
  <c r="BA2492" i="3"/>
  <c r="AT2484" i="3"/>
  <c r="AS2484" i="3"/>
  <c r="AT2476" i="3"/>
  <c r="AY2476" i="3"/>
  <c r="AX2468" i="3"/>
  <c r="BA2468" i="3"/>
  <c r="AV2460" i="3"/>
  <c r="AT2460" i="3"/>
  <c r="AT2452" i="3"/>
  <c r="AU2452" i="3"/>
  <c r="AY2444" i="3"/>
  <c r="AV2444" i="3"/>
  <c r="AX2428" i="3"/>
  <c r="AR2428" i="3"/>
  <c r="AY2364" i="3"/>
  <c r="AS2364" i="3"/>
  <c r="AZ2348" i="3"/>
  <c r="AU2348" i="3"/>
  <c r="AR2340" i="3"/>
  <c r="AV2340" i="3"/>
  <c r="AY2204" i="3"/>
  <c r="AV2204" i="3"/>
  <c r="AZ2116" i="3"/>
  <c r="AY2116" i="3"/>
  <c r="AS1908" i="3"/>
  <c r="AU1908" i="3"/>
  <c r="AW1468" i="3"/>
  <c r="AU1468" i="3"/>
  <c r="AW1340" i="3"/>
  <c r="AZ1340" i="3"/>
  <c r="AR2752" i="3"/>
  <c r="AZ2752" i="3"/>
  <c r="AS2736" i="3"/>
  <c r="BA2736" i="3"/>
  <c r="AS2720" i="3"/>
  <c r="BA2720" i="3"/>
  <c r="AT2672" i="3"/>
  <c r="AY2672" i="3"/>
  <c r="AX2656" i="3"/>
  <c r="AS2656" i="3"/>
  <c r="AW2648" i="3"/>
  <c r="AV2648" i="3"/>
  <c r="AV2640" i="3"/>
  <c r="AR2640" i="3"/>
  <c r="BA2640" i="3"/>
  <c r="AU2632" i="3"/>
  <c r="AW2632" i="3"/>
  <c r="BA2600" i="3"/>
  <c r="AX2600" i="3"/>
  <c r="AX2576" i="3"/>
  <c r="AZ2576" i="3"/>
  <c r="AR2568" i="3"/>
  <c r="BA2568" i="3"/>
  <c r="AX2552" i="3"/>
  <c r="BA2552" i="3"/>
  <c r="AZ2528" i="3"/>
  <c r="AY2528" i="3"/>
  <c r="AU2512" i="3"/>
  <c r="AW2512" i="3"/>
  <c r="AR2472" i="3"/>
  <c r="AV2472" i="3"/>
  <c r="AR2440" i="3"/>
  <c r="AU2440" i="3"/>
  <c r="AX2376" i="3"/>
  <c r="AW2376" i="3"/>
  <c r="AW2368" i="3"/>
  <c r="AT2368" i="3"/>
  <c r="BA2328" i="3"/>
  <c r="AR2328" i="3"/>
  <c r="AR2312" i="3"/>
  <c r="AZ2312" i="3"/>
  <c r="BA2200" i="3"/>
  <c r="AT2200" i="3"/>
  <c r="BA2160" i="3"/>
  <c r="AU2160" i="3"/>
  <c r="AV2136" i="3"/>
  <c r="AR2136" i="3"/>
  <c r="AR2403" i="3"/>
  <c r="AY2403" i="3"/>
  <c r="AV2395" i="3"/>
  <c r="AU2395" i="3"/>
  <c r="AR2387" i="3"/>
  <c r="BA2387" i="3"/>
  <c r="AW2379" i="3"/>
  <c r="AX2379" i="3"/>
  <c r="AT2371" i="3"/>
  <c r="AV2371" i="3"/>
  <c r="AX2363" i="3"/>
  <c r="AU2363" i="3"/>
  <c r="AT2355" i="3"/>
  <c r="AR2355" i="3"/>
  <c r="BA2355" i="3"/>
  <c r="AX2347" i="3"/>
  <c r="AU2347" i="3"/>
  <c r="AU2339" i="3"/>
  <c r="AS2339" i="3"/>
  <c r="AU2331" i="3"/>
  <c r="AW2331" i="3"/>
  <c r="AY2323" i="3"/>
  <c r="AX2323" i="3"/>
  <c r="AU2315" i="3"/>
  <c r="AY2315" i="3"/>
  <c r="AY2307" i="3"/>
  <c r="AW2307" i="3"/>
  <c r="AV2299" i="3"/>
  <c r="AW2299" i="3"/>
  <c r="AV2283" i="3"/>
  <c r="AS2283" i="3"/>
  <c r="AW2267" i="3"/>
  <c r="AU2267" i="3"/>
  <c r="AW2251" i="3"/>
  <c r="BA2251" i="3"/>
  <c r="AW2235" i="3"/>
  <c r="AT2235" i="3"/>
  <c r="AW2219" i="3"/>
  <c r="AV2219" i="3"/>
  <c r="BA2219" i="3"/>
  <c r="AY2203" i="3"/>
  <c r="AS2203" i="3"/>
  <c r="AX2203" i="3"/>
  <c r="AU2195" i="3"/>
  <c r="AY2195" i="3"/>
  <c r="AR2195" i="3"/>
  <c r="AS2195" i="3"/>
  <c r="AY2187" i="3"/>
  <c r="AZ2187" i="3"/>
  <c r="AW2187" i="3"/>
  <c r="AV2179" i="3"/>
  <c r="AT2179" i="3"/>
  <c r="BA2179" i="3"/>
  <c r="AS2179" i="3"/>
  <c r="AU2171" i="3"/>
  <c r="AX2171" i="3"/>
  <c r="AY2171" i="3"/>
  <c r="AV2163" i="3"/>
  <c r="AU2163" i="3"/>
  <c r="AR2163" i="3"/>
  <c r="BA2163" i="3"/>
  <c r="AU2155" i="3"/>
  <c r="AY2155" i="3"/>
  <c r="AS2155" i="3"/>
  <c r="AW2147" i="3"/>
  <c r="AU2147" i="3"/>
  <c r="AV2147" i="3"/>
  <c r="AX2147" i="3"/>
  <c r="AU2139" i="3"/>
  <c r="AZ2139" i="3"/>
  <c r="AX2131" i="3"/>
  <c r="AS2131" i="3"/>
  <c r="AW2131" i="3"/>
  <c r="AY2107" i="3"/>
  <c r="AS2107" i="3"/>
  <c r="BA2107" i="3"/>
  <c r="AT2099" i="3"/>
  <c r="AU2099" i="3"/>
  <c r="AZ2099" i="3"/>
  <c r="AW2091" i="3"/>
  <c r="AU2091" i="3"/>
  <c r="AV2091" i="3"/>
  <c r="BA2083" i="3"/>
  <c r="AV2083" i="3"/>
  <c r="BA2059" i="3"/>
  <c r="AY2059" i="3"/>
  <c r="AT2027" i="3"/>
  <c r="AY2027" i="3"/>
  <c r="AT2003" i="3"/>
  <c r="BA2003" i="3"/>
  <c r="AY2003" i="3"/>
  <c r="AX1955" i="3"/>
  <c r="AU1955" i="3"/>
  <c r="AX1947" i="3"/>
  <c r="AZ1947" i="3"/>
  <c r="AT1939" i="3"/>
  <c r="BA1939" i="3"/>
  <c r="AW1939" i="3"/>
  <c r="AS1931" i="3"/>
  <c r="AX1931" i="3"/>
  <c r="AX1923" i="3"/>
  <c r="AT1923" i="3"/>
  <c r="AW1883" i="3"/>
  <c r="AS1883" i="3"/>
  <c r="AY1875" i="3"/>
  <c r="AW1875" i="3"/>
  <c r="AR1859" i="3"/>
  <c r="AU1859" i="3"/>
  <c r="BA1771" i="3"/>
  <c r="AV1771" i="3"/>
  <c r="AX1739" i="3"/>
  <c r="AT1739" i="3"/>
  <c r="BA1699" i="3"/>
  <c r="AS1699" i="3"/>
  <c r="AZ2224" i="3"/>
  <c r="AU2120" i="3"/>
  <c r="AW2096" i="3"/>
  <c r="AR1824" i="3"/>
  <c r="AT2613" i="3"/>
  <c r="AV2613" i="3"/>
  <c r="AY2605" i="3"/>
  <c r="AV2605" i="3"/>
  <c r="AW2605" i="3"/>
  <c r="AV2597" i="3"/>
  <c r="AW2597" i="3"/>
  <c r="AX2597" i="3"/>
  <c r="AS2589" i="3"/>
  <c r="AW2589" i="3"/>
  <c r="AX2589" i="3"/>
  <c r="AV2581" i="3"/>
  <c r="AW2581" i="3"/>
  <c r="AX2581" i="3"/>
  <c r="AX2573" i="3"/>
  <c r="AW2573" i="3"/>
  <c r="AY2573" i="3"/>
  <c r="AS2565" i="3"/>
  <c r="AW2565" i="3"/>
  <c r="AX2565" i="3"/>
  <c r="AT2557" i="3"/>
  <c r="AW2557" i="3"/>
  <c r="AX2557" i="3"/>
  <c r="AS2557" i="3"/>
  <c r="AS2549" i="3"/>
  <c r="AV2549" i="3"/>
  <c r="AW2549" i="3"/>
  <c r="AR2549" i="3"/>
  <c r="AS2541" i="3"/>
  <c r="AT2541" i="3"/>
  <c r="AU2541" i="3"/>
  <c r="AY2541" i="3"/>
  <c r="AS2533" i="3"/>
  <c r="AZ2533" i="3"/>
  <c r="AR2533" i="3"/>
  <c r="AW2533" i="3"/>
  <c r="AR2525" i="3"/>
  <c r="AY2525" i="3"/>
  <c r="BA2525" i="3"/>
  <c r="AV2525" i="3"/>
  <c r="AY2517" i="3"/>
  <c r="AW2517" i="3"/>
  <c r="AX2517" i="3"/>
  <c r="AT2517" i="3"/>
  <c r="AW2509" i="3"/>
  <c r="AV2509" i="3"/>
  <c r="AX2509" i="3"/>
  <c r="AS2509" i="3"/>
  <c r="AU2501" i="3"/>
  <c r="AV2501" i="3"/>
  <c r="AW2501" i="3"/>
  <c r="AR2501" i="3"/>
  <c r="BA2501" i="3"/>
  <c r="AT2493" i="3"/>
  <c r="AV2493" i="3"/>
  <c r="AW2493" i="3"/>
  <c r="AR2493" i="3"/>
  <c r="BA2493" i="3"/>
  <c r="AR2485" i="3"/>
  <c r="AU2485" i="3"/>
  <c r="AV2485" i="3"/>
  <c r="BA2485" i="3"/>
  <c r="AX2477" i="3"/>
  <c r="AS2477" i="3"/>
  <c r="AT2477" i="3"/>
  <c r="AY2477" i="3"/>
  <c r="AV2469" i="3"/>
  <c r="AR2469" i="3"/>
  <c r="BA2469" i="3"/>
  <c r="AS2469" i="3"/>
  <c r="AX2469" i="3"/>
  <c r="AT2461" i="3"/>
  <c r="AZ2461" i="3"/>
  <c r="AR2461" i="3"/>
  <c r="BA2461" i="3"/>
  <c r="AW2461" i="3"/>
  <c r="AR2453" i="3"/>
  <c r="AY2453" i="3"/>
  <c r="BA2453" i="3"/>
  <c r="AV2453" i="3"/>
  <c r="AW2445" i="3"/>
  <c r="AX2445" i="3"/>
  <c r="AY2445" i="3"/>
  <c r="AT2445" i="3"/>
  <c r="AT2437" i="3"/>
  <c r="AW2437" i="3"/>
  <c r="AX2437" i="3"/>
  <c r="AS2437" i="3"/>
  <c r="AY2429" i="3"/>
  <c r="AW2429" i="3"/>
  <c r="AU2429" i="3"/>
  <c r="AV2429" i="3"/>
  <c r="AR2429" i="3"/>
  <c r="AU2421" i="3"/>
  <c r="AW2421" i="3"/>
  <c r="BA2421" i="3"/>
  <c r="AR2421" i="3"/>
  <c r="AX2421" i="3"/>
  <c r="AR2413" i="3"/>
  <c r="AW2413" i="3"/>
  <c r="AX2413" i="3"/>
  <c r="AY2413" i="3"/>
  <c r="AS2413" i="3"/>
  <c r="AT2413" i="3"/>
  <c r="AV2405" i="3"/>
  <c r="AU2405" i="3"/>
  <c r="AR2405" i="3"/>
  <c r="AS2405" i="3"/>
  <c r="AX2405" i="3"/>
  <c r="AY2405" i="3"/>
  <c r="AR2397" i="3"/>
  <c r="AT2397" i="3"/>
  <c r="AY2397" i="3"/>
  <c r="AU2397" i="3"/>
  <c r="AV2397" i="3"/>
  <c r="BA2397" i="3"/>
  <c r="AV2389" i="3"/>
  <c r="AR2389" i="3"/>
  <c r="BA2389" i="3"/>
  <c r="AX2389" i="3"/>
  <c r="AT2389" i="3"/>
  <c r="AU2389" i="3"/>
  <c r="AZ2389" i="3"/>
  <c r="AS2381" i="3"/>
  <c r="AY2381" i="3"/>
  <c r="AV2381" i="3"/>
  <c r="AT2381" i="3"/>
  <c r="AU2381" i="3"/>
  <c r="AZ2381" i="3"/>
  <c r="AX2373" i="3"/>
  <c r="AW2373" i="3"/>
  <c r="AT2373" i="3"/>
  <c r="AU2373" i="3"/>
  <c r="AV2373" i="3"/>
  <c r="BA2373" i="3"/>
  <c r="AT2365" i="3"/>
  <c r="AW2365" i="3"/>
  <c r="AS2365" i="3"/>
  <c r="AX2365" i="3"/>
  <c r="AY2365" i="3"/>
  <c r="AR2365" i="3"/>
  <c r="AX2357" i="3"/>
  <c r="AV2357" i="3"/>
  <c r="AS2357" i="3"/>
  <c r="AZ2357" i="3"/>
  <c r="BA2357" i="3"/>
  <c r="AT2357" i="3"/>
  <c r="AU2357" i="3"/>
  <c r="AT2349" i="3"/>
  <c r="AV2349" i="3"/>
  <c r="AW2349" i="3"/>
  <c r="AR2349" i="3"/>
  <c r="BA2349" i="3"/>
  <c r="AX2349" i="3"/>
  <c r="AY2349" i="3"/>
  <c r="AY2341" i="3"/>
  <c r="AV2341" i="3"/>
  <c r="AW2341" i="3"/>
  <c r="AS2341" i="3"/>
  <c r="AT2341" i="3"/>
  <c r="AU2341" i="3"/>
  <c r="BA2341" i="3"/>
  <c r="AV2333" i="3"/>
  <c r="AU2333" i="3"/>
  <c r="AW2333" i="3"/>
  <c r="AR2333" i="3"/>
  <c r="BA2333" i="3"/>
  <c r="AT2333" i="3"/>
  <c r="AX2333" i="3"/>
  <c r="AU2325" i="3"/>
  <c r="AX2325" i="3"/>
  <c r="AY2325" i="3"/>
  <c r="AS2325" i="3"/>
  <c r="AW2325" i="3"/>
  <c r="AZ2325" i="3"/>
  <c r="AY2317" i="3"/>
  <c r="AX2317" i="3"/>
  <c r="AZ2317" i="3"/>
  <c r="AU2317" i="3"/>
  <c r="AR2317" i="3"/>
  <c r="AW2317" i="3"/>
  <c r="BA2317" i="3"/>
  <c r="AU2309" i="3"/>
  <c r="AW2309" i="3"/>
  <c r="AX2309" i="3"/>
  <c r="AS2309" i="3"/>
  <c r="AV2309" i="3"/>
  <c r="AZ2309" i="3"/>
  <c r="AV2301" i="3"/>
  <c r="AW2301" i="3"/>
  <c r="AS2301" i="3"/>
  <c r="AU2301" i="3"/>
  <c r="AY2301" i="3"/>
  <c r="AV2293" i="3"/>
  <c r="AW2293" i="3"/>
  <c r="AX2293" i="3"/>
  <c r="AR2293" i="3"/>
  <c r="AY2293" i="3"/>
  <c r="AZ2293" i="3"/>
  <c r="AT2285" i="3"/>
  <c r="AU2285" i="3"/>
  <c r="AY2285" i="3"/>
  <c r="BA2285" i="3"/>
  <c r="AV2285" i="3"/>
  <c r="AW2277" i="3"/>
  <c r="BA2277" i="3"/>
  <c r="AR2277" i="3"/>
  <c r="AV2277" i="3"/>
  <c r="AY2277" i="3"/>
  <c r="AS2277" i="3"/>
  <c r="AT2277" i="3"/>
  <c r="AY2269" i="3"/>
  <c r="AZ2269" i="3"/>
  <c r="AU2269" i="3"/>
  <c r="AV2269" i="3"/>
  <c r="AX2269" i="3"/>
  <c r="AW2261" i="3"/>
  <c r="AX2261" i="3"/>
  <c r="AY2261" i="3"/>
  <c r="AS2261" i="3"/>
  <c r="AR2261" i="3"/>
  <c r="AU2261" i="3"/>
  <c r="BA2261" i="3"/>
  <c r="AU2253" i="3"/>
  <c r="AV2253" i="3"/>
  <c r="AR2253" i="3"/>
  <c r="AX2253" i="3"/>
  <c r="AY2253" i="3"/>
  <c r="AW2245" i="3"/>
  <c r="AS2245" i="3"/>
  <c r="AT2245" i="3"/>
  <c r="AZ2245" i="3"/>
  <c r="BA2245" i="3"/>
  <c r="AR2245" i="3"/>
  <c r="AU2245" i="3"/>
  <c r="AR2237" i="3"/>
  <c r="AX2237" i="3"/>
  <c r="AV2237" i="3"/>
  <c r="AW2237" i="3"/>
  <c r="AW2229" i="3"/>
  <c r="AY2229" i="3"/>
  <c r="AZ2229" i="3"/>
  <c r="AU2229" i="3"/>
  <c r="AV2229" i="3"/>
  <c r="AX2229" i="3"/>
  <c r="AV2221" i="3"/>
  <c r="AW2221" i="3"/>
  <c r="AR2221" i="3"/>
  <c r="AT2221" i="3"/>
  <c r="AU2221" i="3"/>
  <c r="AW2213" i="3"/>
  <c r="AT2213" i="3"/>
  <c r="AV2213" i="3"/>
  <c r="BA2213" i="3"/>
  <c r="AS2213" i="3"/>
  <c r="AX2213" i="3"/>
  <c r="AU2205" i="3"/>
  <c r="AR2205" i="3"/>
  <c r="AS2205" i="3"/>
  <c r="AY2205" i="3"/>
  <c r="AV2205" i="3"/>
  <c r="AZ2205" i="3"/>
  <c r="BA2205" i="3"/>
  <c r="AY2197" i="3"/>
  <c r="BA2197" i="3"/>
  <c r="AR2197" i="3"/>
  <c r="AW2197" i="3"/>
  <c r="AV2197" i="3"/>
  <c r="AX2197" i="3"/>
  <c r="AU2189" i="3"/>
  <c r="AW2189" i="3"/>
  <c r="AX2189" i="3"/>
  <c r="AS2189" i="3"/>
  <c r="BA2189" i="3"/>
  <c r="AR2189" i="3"/>
  <c r="AT2189" i="3"/>
  <c r="AT2181" i="3"/>
  <c r="AU2181" i="3"/>
  <c r="BA2181" i="3"/>
  <c r="AW2181" i="3"/>
  <c r="AY2181" i="3"/>
  <c r="AV2173" i="3"/>
  <c r="BA2173" i="3"/>
  <c r="AR2173" i="3"/>
  <c r="AX2173" i="3"/>
  <c r="AT2173" i="3"/>
  <c r="AW2173" i="3"/>
  <c r="AV2165" i="3"/>
  <c r="AW2165" i="3"/>
  <c r="AU2165" i="3"/>
  <c r="AX2165" i="3"/>
  <c r="AV2157" i="3"/>
  <c r="BA2157" i="3"/>
  <c r="AR2157" i="3"/>
  <c r="AW2157" i="3"/>
  <c r="AX2157" i="3"/>
  <c r="AZ2157" i="3"/>
  <c r="AS2157" i="3"/>
  <c r="AV2149" i="3"/>
  <c r="AX2149" i="3"/>
  <c r="AR2149" i="3"/>
  <c r="AZ2149" i="3"/>
  <c r="AT2149" i="3"/>
  <c r="AW2141" i="3"/>
  <c r="AU2141" i="3"/>
  <c r="AY2141" i="3"/>
  <c r="AZ2141" i="3"/>
  <c r="AS2141" i="3"/>
  <c r="BA2141" i="3"/>
  <c r="AR2141" i="3"/>
  <c r="AT2133" i="3"/>
  <c r="AW2133" i="3"/>
  <c r="AX2133" i="3"/>
  <c r="AY2133" i="3"/>
  <c r="AS2133" i="3"/>
  <c r="AU2133" i="3"/>
  <c r="AX2125" i="3"/>
  <c r="AS2125" i="3"/>
  <c r="AY2125" i="3"/>
  <c r="BA2125" i="3"/>
  <c r="AW2125" i="3"/>
  <c r="AT2125" i="3"/>
  <c r="AR2125" i="3"/>
  <c r="AW2117" i="3"/>
  <c r="AY2117" i="3"/>
  <c r="BA2117" i="3"/>
  <c r="AX2117" i="3"/>
  <c r="AS2117" i="3"/>
  <c r="AT2117" i="3"/>
  <c r="AV2117" i="3"/>
  <c r="AU2109" i="3"/>
  <c r="BA2109" i="3"/>
  <c r="AW2109" i="3"/>
  <c r="AX2109" i="3"/>
  <c r="AY2109" i="3"/>
  <c r="AS2109" i="3"/>
  <c r="AV2109" i="3"/>
  <c r="AW2101" i="3"/>
  <c r="AV2101" i="3"/>
  <c r="AY2101" i="3"/>
  <c r="AZ2101" i="3"/>
  <c r="AT2101" i="3"/>
  <c r="AS2101" i="3"/>
  <c r="AX2101" i="3"/>
  <c r="AW2093" i="3"/>
  <c r="AY2093" i="3"/>
  <c r="AU2093" i="3"/>
  <c r="AV2093" i="3"/>
  <c r="AS2093" i="3"/>
  <c r="AT2093" i="3"/>
  <c r="AR2085" i="3"/>
  <c r="AZ2085" i="3"/>
  <c r="AY2085" i="3"/>
  <c r="BA2085" i="3"/>
  <c r="AT2085" i="3"/>
  <c r="AW2085" i="3"/>
  <c r="AY2077" i="3"/>
  <c r="AU2077" i="3"/>
  <c r="AZ2077" i="3"/>
  <c r="AW2069" i="3"/>
  <c r="AT2069" i="3"/>
  <c r="AV2069" i="3"/>
  <c r="AV2061" i="3"/>
  <c r="AT2061" i="3"/>
  <c r="AY2061" i="3"/>
  <c r="BA2053" i="3"/>
  <c r="AR2053" i="3"/>
  <c r="AT2053" i="3"/>
  <c r="AZ2053" i="3"/>
  <c r="AU2053" i="3"/>
  <c r="AW2053" i="3"/>
  <c r="BA2045" i="3"/>
  <c r="AR2045" i="3"/>
  <c r="AS2045" i="3"/>
  <c r="AW2045" i="3"/>
  <c r="AV2045" i="3"/>
  <c r="AW2037" i="3"/>
  <c r="BA2037" i="3"/>
  <c r="AZ2037" i="3"/>
  <c r="AS2037" i="3"/>
  <c r="AV2037" i="3"/>
  <c r="AT2029" i="3"/>
  <c r="AS2029" i="3"/>
  <c r="BA2029" i="3"/>
  <c r="AU2029" i="3"/>
  <c r="AS2021" i="3"/>
  <c r="AV2021" i="3"/>
  <c r="AW2021" i="3"/>
  <c r="AU2021" i="3"/>
  <c r="BA2021" i="3"/>
  <c r="AR2021" i="3"/>
  <c r="BA2013" i="3"/>
  <c r="AT2013" i="3"/>
  <c r="AU2013" i="3"/>
  <c r="AW2013" i="3"/>
  <c r="AY2005" i="3"/>
  <c r="AV2005" i="3"/>
  <c r="AU2005" i="3"/>
  <c r="AW2005" i="3"/>
  <c r="AS2005" i="3"/>
  <c r="AT2005" i="3"/>
  <c r="AT1997" i="3"/>
  <c r="BA1997" i="3"/>
  <c r="AU1997" i="3"/>
  <c r="AX1997" i="3"/>
  <c r="AY1997" i="3"/>
  <c r="AX1989" i="3"/>
  <c r="AS1989" i="3"/>
  <c r="AT1989" i="3"/>
  <c r="AU1989" i="3"/>
  <c r="AS1981" i="3"/>
  <c r="AT1981" i="3"/>
  <c r="BA1981" i="3"/>
  <c r="AV1981" i="3"/>
  <c r="AY1981" i="3"/>
  <c r="AY1973" i="3"/>
  <c r="AU1973" i="3"/>
  <c r="AV1973" i="3"/>
  <c r="AR1973" i="3"/>
  <c r="AW1973" i="3"/>
  <c r="BA1973" i="3"/>
  <c r="AU1965" i="3"/>
  <c r="AZ1965" i="3"/>
  <c r="AR1965" i="3"/>
  <c r="AT1965" i="3"/>
  <c r="AV1965" i="3"/>
  <c r="AV1957" i="3"/>
  <c r="AW1957" i="3"/>
  <c r="BA1957" i="3"/>
  <c r="AY1957" i="3"/>
  <c r="AU1949" i="3"/>
  <c r="AZ1949" i="3"/>
  <c r="AT1949" i="3"/>
  <c r="AV1949" i="3"/>
  <c r="AS1949" i="3"/>
  <c r="AZ1941" i="3"/>
  <c r="BA1941" i="3"/>
  <c r="AV1941" i="3"/>
  <c r="AV1925" i="3"/>
  <c r="BA1925" i="3"/>
  <c r="AS1925" i="3"/>
  <c r="AV1909" i="3"/>
  <c r="AZ1909" i="3"/>
  <c r="AR1909" i="3"/>
  <c r="AT1909" i="3"/>
  <c r="AZ1901" i="3"/>
  <c r="AU1901" i="3"/>
  <c r="AS1893" i="3"/>
  <c r="AY1893" i="3"/>
  <c r="AW1861" i="3"/>
  <c r="AU1861" i="3"/>
  <c r="AV1853" i="3"/>
  <c r="AX1853" i="3"/>
  <c r="AT1853" i="3"/>
  <c r="AS1837" i="3"/>
  <c r="BA1837" i="3"/>
  <c r="AW1829" i="3"/>
  <c r="AX1829" i="3"/>
  <c r="AW2480" i="3"/>
  <c r="AU2472" i="3"/>
  <c r="AW2448" i="3"/>
  <c r="AW2424" i="3"/>
  <c r="AY2296" i="3"/>
  <c r="AY2272" i="3"/>
  <c r="AW2264" i="3"/>
  <c r="AT2256" i="3"/>
  <c r="AW2208" i="3"/>
  <c r="BA2168" i="3"/>
  <c r="AY2576" i="3"/>
  <c r="AW2560" i="3"/>
  <c r="AZ2552" i="3"/>
  <c r="AY2544" i="3"/>
  <c r="AZ2536" i="3"/>
  <c r="BA2528" i="3"/>
  <c r="AX2520" i="3"/>
  <c r="AV2512" i="3"/>
  <c r="AZ2488" i="3"/>
  <c r="AU2480" i="3"/>
  <c r="AS2472" i="3"/>
  <c r="BA2456" i="3"/>
  <c r="AT2448" i="3"/>
  <c r="AV2424" i="3"/>
  <c r="AZ2368" i="3"/>
  <c r="AV2352" i="3"/>
  <c r="AX2288" i="3"/>
  <c r="AV2280" i="3"/>
  <c r="AS2272" i="3"/>
  <c r="AZ2184" i="3"/>
  <c r="AY2168" i="3"/>
  <c r="AU2149" i="3"/>
  <c r="AX2144" i="3"/>
  <c r="AZ2128" i="3"/>
  <c r="AR2093" i="3"/>
  <c r="AS2069" i="3"/>
  <c r="AZ2061" i="3"/>
  <c r="AR1949" i="3"/>
  <c r="AS1917" i="3"/>
  <c r="AV760" i="3"/>
  <c r="BA2165" i="3"/>
  <c r="AW2061" i="3"/>
  <c r="AR1997" i="3"/>
  <c r="AU1941" i="3"/>
  <c r="AV1752" i="3"/>
  <c r="AX2616" i="3"/>
  <c r="AR2616" i="3"/>
  <c r="BA2616" i="3"/>
  <c r="AT2608" i="3"/>
  <c r="AR2608" i="3"/>
  <c r="BA2608" i="3"/>
  <c r="AS2608" i="3"/>
  <c r="AY2600" i="3"/>
  <c r="AS2600" i="3"/>
  <c r="AT2600" i="3"/>
  <c r="AV2592" i="3"/>
  <c r="AT2592" i="3"/>
  <c r="AU2592" i="3"/>
  <c r="AT2584" i="3"/>
  <c r="AU2584" i="3"/>
  <c r="AV2576" i="3"/>
  <c r="AT2576" i="3"/>
  <c r="AU2576" i="3"/>
  <c r="AX2568" i="3"/>
  <c r="AT2568" i="3"/>
  <c r="AU2568" i="3"/>
  <c r="AT2560" i="3"/>
  <c r="AU2560" i="3"/>
  <c r="AY2560" i="3"/>
  <c r="AT2552" i="3"/>
  <c r="AS2552" i="3"/>
  <c r="AU2552" i="3"/>
  <c r="AY2552" i="3"/>
  <c r="AZ2544" i="3"/>
  <c r="AR2544" i="3"/>
  <c r="AW2544" i="3"/>
  <c r="AX2536" i="3"/>
  <c r="AY2536" i="3"/>
  <c r="AU2536" i="3"/>
  <c r="AT2528" i="3"/>
  <c r="AW2528" i="3"/>
  <c r="AX2528" i="3"/>
  <c r="AS2528" i="3"/>
  <c r="AU2520" i="3"/>
  <c r="AV2520" i="3"/>
  <c r="BA2520" i="3"/>
  <c r="AY2512" i="3"/>
  <c r="AS2512" i="3"/>
  <c r="AT2512" i="3"/>
  <c r="AX2512" i="3"/>
  <c r="AW2504" i="3"/>
  <c r="AR2504" i="3"/>
  <c r="BA2504" i="3"/>
  <c r="AS2504" i="3"/>
  <c r="AX2504" i="3"/>
  <c r="AU2496" i="3"/>
  <c r="AR2496" i="3"/>
  <c r="BA2496" i="3"/>
  <c r="AS2496" i="3"/>
  <c r="AX2496" i="3"/>
  <c r="AT2488" i="3"/>
  <c r="AR2488" i="3"/>
  <c r="BA2488" i="3"/>
  <c r="AS2488" i="3"/>
  <c r="AX2488" i="3"/>
  <c r="AY2480" i="3"/>
  <c r="BA2480" i="3"/>
  <c r="AV2480" i="3"/>
  <c r="AX2472" i="3"/>
  <c r="AW2472" i="3"/>
  <c r="AY2472" i="3"/>
  <c r="AT2472" i="3"/>
  <c r="AV2464" i="3"/>
  <c r="AW2464" i="3"/>
  <c r="AX2464" i="3"/>
  <c r="AS2464" i="3"/>
  <c r="AT2456" i="3"/>
  <c r="AW2456" i="3"/>
  <c r="AX2456" i="3"/>
  <c r="AS2456" i="3"/>
  <c r="AU2448" i="3"/>
  <c r="AV2448" i="3"/>
  <c r="BA2448" i="3"/>
  <c r="AW2440" i="3"/>
  <c r="AS2440" i="3"/>
  <c r="AT2440" i="3"/>
  <c r="AY2440" i="3"/>
  <c r="AT2432" i="3"/>
  <c r="AS2432" i="3"/>
  <c r="AU2432" i="3"/>
  <c r="AY2432" i="3"/>
  <c r="AY2424" i="3"/>
  <c r="AS2424" i="3"/>
  <c r="AX2424" i="3"/>
  <c r="AZ2424" i="3"/>
  <c r="AU2424" i="3"/>
  <c r="AV2416" i="3"/>
  <c r="AT2416" i="3"/>
  <c r="AW2416" i="3"/>
  <c r="AX2416" i="3"/>
  <c r="AR2416" i="3"/>
  <c r="AS2408" i="3"/>
  <c r="BA2408" i="3"/>
  <c r="AV2408" i="3"/>
  <c r="AW2408" i="3"/>
  <c r="AV2400" i="3"/>
  <c r="AZ2400" i="3"/>
  <c r="AW2400" i="3"/>
  <c r="AS2400" i="3"/>
  <c r="AT2400" i="3"/>
  <c r="AY2400" i="3"/>
  <c r="BA2400" i="3"/>
  <c r="AX2392" i="3"/>
  <c r="AU2392" i="3"/>
  <c r="AT2392" i="3"/>
  <c r="AV2392" i="3"/>
  <c r="BA2392" i="3"/>
  <c r="AV2384" i="3"/>
  <c r="AW2384" i="3"/>
  <c r="AS2384" i="3"/>
  <c r="AT2384" i="3"/>
  <c r="AU2384" i="3"/>
  <c r="AZ2384" i="3"/>
  <c r="BA2384" i="3"/>
  <c r="AU2376" i="3"/>
  <c r="AZ2376" i="3"/>
  <c r="AT2376" i="3"/>
  <c r="AV2376" i="3"/>
  <c r="AY2376" i="3"/>
  <c r="AX2368" i="3"/>
  <c r="AS2368" i="3"/>
  <c r="AY2368" i="3"/>
  <c r="AU2368" i="3"/>
  <c r="AV2368" i="3"/>
  <c r="BA2368" i="3"/>
  <c r="AT2360" i="3"/>
  <c r="AS2360" i="3"/>
  <c r="AY2360" i="3"/>
  <c r="AX2360" i="3"/>
  <c r="AZ2360" i="3"/>
  <c r="AR2360" i="3"/>
  <c r="AU2360" i="3"/>
  <c r="AX2352" i="3"/>
  <c r="AR2352" i="3"/>
  <c r="BA2352" i="3"/>
  <c r="AS2352" i="3"/>
  <c r="AW2352" i="3"/>
  <c r="AY2352" i="3"/>
  <c r="AZ2352" i="3"/>
  <c r="AT2352" i="3"/>
  <c r="AT2344" i="3"/>
  <c r="AR2344" i="3"/>
  <c r="BA2344" i="3"/>
  <c r="AS2344" i="3"/>
  <c r="AX2344" i="3"/>
  <c r="AU2344" i="3"/>
  <c r="AV2344" i="3"/>
  <c r="AZ2344" i="3"/>
  <c r="AY2336" i="3"/>
  <c r="AR2336" i="3"/>
  <c r="BA2336" i="3"/>
  <c r="AS2336" i="3"/>
  <c r="AW2336" i="3"/>
  <c r="AV2336" i="3"/>
  <c r="AX2336" i="3"/>
  <c r="AW2328" i="3"/>
  <c r="AX2328" i="3"/>
  <c r="AT2328" i="3"/>
  <c r="AU2328" i="3"/>
  <c r="AV2328" i="3"/>
  <c r="AW2320" i="3"/>
  <c r="AX2320" i="3"/>
  <c r="AS2320" i="3"/>
  <c r="AT2320" i="3"/>
  <c r="AV2320" i="3"/>
  <c r="AV2312" i="3"/>
  <c r="AX2312" i="3"/>
  <c r="AS2312" i="3"/>
  <c r="AT2312" i="3"/>
  <c r="AU2312" i="3"/>
  <c r="AW2304" i="3"/>
  <c r="AX2304" i="3"/>
  <c r="AR2304" i="3"/>
  <c r="AS2304" i="3"/>
  <c r="AT2304" i="3"/>
  <c r="BA2304" i="3"/>
  <c r="AV2296" i="3"/>
  <c r="AW2296" i="3"/>
  <c r="AS2296" i="3"/>
  <c r="AU2296" i="3"/>
  <c r="BA2296" i="3"/>
  <c r="AT2288" i="3"/>
  <c r="AU2288" i="3"/>
  <c r="BA2288" i="3"/>
  <c r="AR2288" i="3"/>
  <c r="AS2288" i="3"/>
  <c r="AY2288" i="3"/>
  <c r="AS2280" i="3"/>
  <c r="AX2280" i="3"/>
  <c r="AT2280" i="3"/>
  <c r="AY2280" i="3"/>
  <c r="BA2280" i="3"/>
  <c r="AZ2272" i="3"/>
  <c r="BA2272" i="3"/>
  <c r="AV2272" i="3"/>
  <c r="AT2272" i="3"/>
  <c r="AX2272" i="3"/>
  <c r="AX2264" i="3"/>
  <c r="AY2264" i="3"/>
  <c r="AU2264" i="3"/>
  <c r="AZ2264" i="3"/>
  <c r="AT2264" i="3"/>
  <c r="AU2256" i="3"/>
  <c r="AV2256" i="3"/>
  <c r="AR2256" i="3"/>
  <c r="AX2256" i="3"/>
  <c r="AZ2256" i="3"/>
  <c r="AT2248" i="3"/>
  <c r="AU2248" i="3"/>
  <c r="AZ2248" i="3"/>
  <c r="AR2248" i="3"/>
  <c r="AY2248" i="3"/>
  <c r="AR2240" i="3"/>
  <c r="AT2240" i="3"/>
  <c r="AY2240" i="3"/>
  <c r="BA2240" i="3"/>
  <c r="AU2240" i="3"/>
  <c r="AV2240" i="3"/>
  <c r="AZ2232" i="3"/>
  <c r="AV2232" i="3"/>
  <c r="AU2232" i="3"/>
  <c r="AW2232" i="3"/>
  <c r="AX2224" i="3"/>
  <c r="AY2224" i="3"/>
  <c r="AS2224" i="3"/>
  <c r="BA2224" i="3"/>
  <c r="AR2224" i="3"/>
  <c r="AT2224" i="3"/>
  <c r="AV2216" i="3"/>
  <c r="AW2216" i="3"/>
  <c r="AR2216" i="3"/>
  <c r="AU2216" i="3"/>
  <c r="AZ2216" i="3"/>
  <c r="AT2208" i="3"/>
  <c r="AU2208" i="3"/>
  <c r="AZ2208" i="3"/>
  <c r="AY2208" i="3"/>
  <c r="AS2208" i="3"/>
  <c r="AR2200" i="3"/>
  <c r="AS2200" i="3"/>
  <c r="AX2200" i="3"/>
  <c r="AW2200" i="3"/>
  <c r="AY2200" i="3"/>
  <c r="AX2192" i="3"/>
  <c r="AZ2192" i="3"/>
  <c r="AT2192" i="3"/>
  <c r="AR2192" i="3"/>
  <c r="AS2192" i="3"/>
  <c r="BA2192" i="3"/>
  <c r="AT2184" i="3"/>
  <c r="AW2184" i="3"/>
  <c r="BA2184" i="3"/>
  <c r="AX2184" i="3"/>
  <c r="AY2184" i="3"/>
  <c r="AS2176" i="3"/>
  <c r="AX2176" i="3"/>
  <c r="BA2176" i="3"/>
  <c r="AU2176" i="3"/>
  <c r="AV2176" i="3"/>
  <c r="AW2168" i="3"/>
  <c r="AX2168" i="3"/>
  <c r="AS2168" i="3"/>
  <c r="AT2168" i="3"/>
  <c r="AU2168" i="3"/>
  <c r="AS2160" i="3"/>
  <c r="AX2160" i="3"/>
  <c r="AV2160" i="3"/>
  <c r="AY2160" i="3"/>
  <c r="AX2152" i="3"/>
  <c r="AY2152" i="3"/>
  <c r="AS2152" i="3"/>
  <c r="AR2152" i="3"/>
  <c r="AZ2152" i="3"/>
  <c r="BA2152" i="3"/>
  <c r="AV2144" i="3"/>
  <c r="AZ2144" i="3"/>
  <c r="AW2144" i="3"/>
  <c r="AT2144" i="3"/>
  <c r="AY2144" i="3"/>
  <c r="AZ2136" i="3"/>
  <c r="BA2136" i="3"/>
  <c r="AX2136" i="3"/>
  <c r="AT2136" i="3"/>
  <c r="AS2136" i="3"/>
  <c r="AU2136" i="3"/>
  <c r="AS2128" i="3"/>
  <c r="BA2128" i="3"/>
  <c r="AR2128" i="3"/>
  <c r="AY2128" i="3"/>
  <c r="AU2128" i="3"/>
  <c r="AV2128" i="3"/>
  <c r="AX2120" i="3"/>
  <c r="BA2120" i="3"/>
  <c r="AR2120" i="3"/>
  <c r="AY2120" i="3"/>
  <c r="AW2120" i="3"/>
  <c r="AZ2120" i="3"/>
  <c r="AR2112" i="3"/>
  <c r="BA2112" i="3"/>
  <c r="AS2112" i="3"/>
  <c r="AT2112" i="3"/>
  <c r="AZ2112" i="3"/>
  <c r="AU2112" i="3"/>
  <c r="AV2112" i="3"/>
  <c r="AW2104" i="3"/>
  <c r="AZ2104" i="3"/>
  <c r="AR2104" i="3"/>
  <c r="AU2104" i="3"/>
  <c r="AX2104" i="3"/>
  <c r="AY2104" i="3"/>
  <c r="BA2096" i="3"/>
  <c r="AZ2096" i="3"/>
  <c r="AS2096" i="3"/>
  <c r="AT2096" i="3"/>
  <c r="AR2096" i="3"/>
  <c r="AX2096" i="3"/>
  <c r="AU2088" i="3"/>
  <c r="AV2088" i="3"/>
  <c r="AW2088" i="3"/>
  <c r="AR2088" i="3"/>
  <c r="BA2088" i="3"/>
  <c r="AS2088" i="3"/>
  <c r="AY2088" i="3"/>
  <c r="AX2080" i="3"/>
  <c r="AZ2080" i="3"/>
  <c r="BA2080" i="3"/>
  <c r="AU2080" i="3"/>
  <c r="AS2080" i="3"/>
  <c r="AV2072" i="3"/>
  <c r="AZ2072" i="3"/>
  <c r="AR2072" i="3"/>
  <c r="AT2072" i="3"/>
  <c r="AU2072" i="3"/>
  <c r="AX2064" i="3"/>
  <c r="AZ2064" i="3"/>
  <c r="AU2064" i="3"/>
  <c r="AV2056" i="3"/>
  <c r="AZ2056" i="3"/>
  <c r="AW2056" i="3"/>
  <c r="AR2056" i="3"/>
  <c r="BA2048" i="3"/>
  <c r="AU2048" i="3"/>
  <c r="AV2048" i="3"/>
  <c r="AT2040" i="3"/>
  <c r="AU2040" i="3"/>
  <c r="AX2040" i="3"/>
  <c r="AS2040" i="3"/>
  <c r="BA2032" i="3"/>
  <c r="AU2032" i="3"/>
  <c r="AW2032" i="3"/>
  <c r="AZ2024" i="3"/>
  <c r="AS2024" i="3"/>
  <c r="AT2024" i="3"/>
  <c r="AV2024" i="3"/>
  <c r="AV2016" i="3"/>
  <c r="AX2016" i="3"/>
  <c r="AT2008" i="3"/>
  <c r="AU2008" i="3"/>
  <c r="AX2008" i="3"/>
  <c r="BA2008" i="3"/>
  <c r="AT2000" i="3"/>
  <c r="AR2000" i="3"/>
  <c r="AY2000" i="3"/>
  <c r="AW2000" i="3"/>
  <c r="AU1992" i="3"/>
  <c r="BA1992" i="3"/>
  <c r="AV1984" i="3"/>
  <c r="AZ1984" i="3"/>
  <c r="AS1984" i="3"/>
  <c r="BA1984" i="3"/>
  <c r="AS1976" i="3"/>
  <c r="AV1976" i="3"/>
  <c r="AS1968" i="3"/>
  <c r="AZ1968" i="3"/>
  <c r="AR1968" i="3"/>
  <c r="AX1960" i="3"/>
  <c r="AW1960" i="3"/>
  <c r="AT1912" i="3"/>
  <c r="AX1912" i="3"/>
  <c r="AS1856" i="3"/>
  <c r="AW1856" i="3"/>
  <c r="AT1808" i="3"/>
  <c r="AY1808" i="3"/>
  <c r="AY1688" i="3"/>
  <c r="AS1688" i="3"/>
  <c r="AS1640" i="3"/>
  <c r="AY1640" i="3"/>
  <c r="AT1600" i="3"/>
  <c r="AX1600" i="3"/>
  <c r="AR1600" i="3"/>
  <c r="AT1592" i="3"/>
  <c r="AS1592" i="3"/>
  <c r="AY1592" i="3"/>
  <c r="AR1520" i="3"/>
  <c r="AX1520" i="3"/>
  <c r="AS1488" i="3"/>
  <c r="AW1488" i="3"/>
  <c r="AW1480" i="3"/>
  <c r="AV1480" i="3"/>
  <c r="AR1456" i="3"/>
  <c r="AV1456" i="3"/>
  <c r="AX1368" i="3"/>
  <c r="AS1368" i="3"/>
  <c r="AX1224" i="3"/>
  <c r="AW1224" i="3"/>
  <c r="AS1216" i="3"/>
  <c r="AU1216" i="3"/>
  <c r="AT1112" i="3"/>
  <c r="AZ1112" i="3"/>
  <c r="AR472" i="3"/>
  <c r="AZ472" i="3"/>
  <c r="AT2616" i="3"/>
  <c r="AW2600" i="3"/>
  <c r="AR2592" i="3"/>
  <c r="AX2584" i="3"/>
  <c r="AR2576" i="3"/>
  <c r="AY2568" i="3"/>
  <c r="AR2552" i="3"/>
  <c r="AT2544" i="3"/>
  <c r="AR2536" i="3"/>
  <c r="AU2528" i="3"/>
  <c r="AZ2504" i="3"/>
  <c r="AW2496" i="3"/>
  <c r="AU2488" i="3"/>
  <c r="BA2472" i="3"/>
  <c r="AY2464" i="3"/>
  <c r="AU2456" i="3"/>
  <c r="AX2440" i="3"/>
  <c r="AW2432" i="3"/>
  <c r="AY2416" i="3"/>
  <c r="AY2408" i="3"/>
  <c r="AY2392" i="3"/>
  <c r="AR2384" i="3"/>
  <c r="AV2360" i="3"/>
  <c r="AZ2336" i="3"/>
  <c r="AY2320" i="3"/>
  <c r="AX2240" i="3"/>
  <c r="AR2232" i="3"/>
  <c r="AX2216" i="3"/>
  <c r="AY2176" i="3"/>
  <c r="AT2160" i="3"/>
  <c r="AZ2088" i="3"/>
  <c r="AV2085" i="3"/>
  <c r="AS2032" i="3"/>
  <c r="AV2029" i="3"/>
  <c r="AS1880" i="3"/>
  <c r="AU1808" i="3"/>
  <c r="AW1720" i="3"/>
  <c r="AZ1560" i="3"/>
  <c r="AS1024" i="3"/>
  <c r="AW2568" i="3"/>
  <c r="AR2528" i="3"/>
  <c r="BA2512" i="3"/>
  <c r="AY2504" i="3"/>
  <c r="AV2496" i="3"/>
  <c r="AZ2472" i="3"/>
  <c r="AU2464" i="3"/>
  <c r="AR2456" i="3"/>
  <c r="AY2448" i="3"/>
  <c r="AV2440" i="3"/>
  <c r="AV2432" i="3"/>
  <c r="AU2416" i="3"/>
  <c r="AX2408" i="3"/>
  <c r="AX2400" i="3"/>
  <c r="AW2392" i="3"/>
  <c r="AY2344" i="3"/>
  <c r="AU2336" i="3"/>
  <c r="AR2320" i="3"/>
  <c r="BA2312" i="3"/>
  <c r="AV2192" i="3"/>
  <c r="AW2176" i="3"/>
  <c r="AU2157" i="3"/>
  <c r="AV2152" i="3"/>
  <c r="AW2112" i="3"/>
  <c r="AT2109" i="3"/>
  <c r="AV1992" i="3"/>
  <c r="AY1976" i="3"/>
  <c r="AX1933" i="3"/>
  <c r="BA1824" i="3"/>
  <c r="AS992" i="3"/>
  <c r="AW2420" i="3"/>
  <c r="AX2420" i="3"/>
  <c r="AT2412" i="3"/>
  <c r="AX2412" i="3"/>
  <c r="AX2404" i="3"/>
  <c r="AV2404" i="3"/>
  <c r="AT2396" i="3"/>
  <c r="AU2396" i="3"/>
  <c r="AZ2396" i="3"/>
  <c r="AX2388" i="3"/>
  <c r="AS2388" i="3"/>
  <c r="AY2388" i="3"/>
  <c r="AU2380" i="3"/>
  <c r="AZ2380" i="3"/>
  <c r="AW2380" i="3"/>
  <c r="AX2372" i="3"/>
  <c r="AU2372" i="3"/>
  <c r="AV2364" i="3"/>
  <c r="AX2364" i="3"/>
  <c r="AT2364" i="3"/>
  <c r="AW2356" i="3"/>
  <c r="AT2356" i="3"/>
  <c r="AV2348" i="3"/>
  <c r="AW2348" i="3"/>
  <c r="AX2348" i="3"/>
  <c r="AS2348" i="3"/>
  <c r="AW2340" i="3"/>
  <c r="AX2340" i="3"/>
  <c r="AT2340" i="3"/>
  <c r="AU2332" i="3"/>
  <c r="AV2332" i="3"/>
  <c r="AV2324" i="3"/>
  <c r="AT2324" i="3"/>
  <c r="AX2324" i="3"/>
  <c r="AY2316" i="3"/>
  <c r="AW2316" i="3"/>
  <c r="AX2316" i="3"/>
  <c r="BA2308" i="3"/>
  <c r="AT2308" i="3"/>
  <c r="AV2308" i="3"/>
  <c r="AS2300" i="3"/>
  <c r="AU2300" i="3"/>
  <c r="AV2300" i="3"/>
  <c r="AU2292" i="3"/>
  <c r="AS2292" i="3"/>
  <c r="AT2292" i="3"/>
  <c r="AV2284" i="3"/>
  <c r="AX2284" i="3"/>
  <c r="AV2276" i="3"/>
  <c r="AZ2276" i="3"/>
  <c r="AU2276" i="3"/>
  <c r="AV2268" i="3"/>
  <c r="AW2268" i="3"/>
  <c r="AY2268" i="3"/>
  <c r="AR2268" i="3"/>
  <c r="AW2260" i="3"/>
  <c r="AV2260" i="3"/>
  <c r="AX2260" i="3"/>
  <c r="AW2252" i="3"/>
  <c r="AS2252" i="3"/>
  <c r="AT2252" i="3"/>
  <c r="AZ2252" i="3"/>
  <c r="AV2244" i="3"/>
  <c r="AS2244" i="3"/>
  <c r="AZ2244" i="3"/>
  <c r="AX2236" i="3"/>
  <c r="BA2236" i="3"/>
  <c r="AW2236" i="3"/>
  <c r="AW2228" i="3"/>
  <c r="AX2228" i="3"/>
  <c r="AZ2228" i="3"/>
  <c r="AT2228" i="3"/>
  <c r="AW2220" i="3"/>
  <c r="AT2220" i="3"/>
  <c r="AV2220" i="3"/>
  <c r="AX2212" i="3"/>
  <c r="AR2212" i="3"/>
  <c r="AT2212" i="3"/>
  <c r="BA2212" i="3"/>
  <c r="AZ2204" i="3"/>
  <c r="AX2204" i="3"/>
  <c r="AZ2196" i="3"/>
  <c r="AY2196" i="3"/>
  <c r="AR2196" i="3"/>
  <c r="BA2188" i="3"/>
  <c r="AS2188" i="3"/>
  <c r="AT2188" i="3"/>
  <c r="AR2180" i="3"/>
  <c r="AZ2180" i="3"/>
  <c r="AR2172" i="3"/>
  <c r="BA2172" i="3"/>
  <c r="AT2172" i="3"/>
  <c r="BA2164" i="3"/>
  <c r="AZ2164" i="3"/>
  <c r="AR2156" i="3"/>
  <c r="BA2156" i="3"/>
  <c r="AT2156" i="3"/>
  <c r="AS2148" i="3"/>
  <c r="AV2148" i="3"/>
  <c r="AT2140" i="3"/>
  <c r="AS2140" i="3"/>
  <c r="AW2140" i="3"/>
  <c r="AU2132" i="3"/>
  <c r="AT2132" i="3"/>
  <c r="AX2132" i="3"/>
  <c r="AV2124" i="3"/>
  <c r="AU2124" i="3"/>
  <c r="AX2124" i="3"/>
  <c r="AU2116" i="3"/>
  <c r="AS2116" i="3"/>
  <c r="AX2116" i="3"/>
  <c r="AT2108" i="3"/>
  <c r="AY2108" i="3"/>
  <c r="AS2108" i="3"/>
  <c r="AS2100" i="3"/>
  <c r="AR2100" i="3"/>
  <c r="AU2100" i="3"/>
  <c r="AW2100" i="3"/>
  <c r="AR2092" i="3"/>
  <c r="AU2092" i="3"/>
  <c r="AT2092" i="3"/>
  <c r="AZ2084" i="3"/>
  <c r="AT2084" i="3"/>
  <c r="AY2084" i="3"/>
  <c r="BA2076" i="3"/>
  <c r="AU2076" i="3"/>
  <c r="AS2076" i="3"/>
  <c r="AV2076" i="3"/>
  <c r="AR2068" i="3"/>
  <c r="BA2068" i="3"/>
  <c r="AV2068" i="3"/>
  <c r="BA2060" i="3"/>
  <c r="AV2060" i="3"/>
  <c r="AZ2060" i="3"/>
  <c r="AR2052" i="3"/>
  <c r="AT2052" i="3"/>
  <c r="AX2052" i="3"/>
  <c r="AS2052" i="3"/>
  <c r="BA2044" i="3"/>
  <c r="AR2044" i="3"/>
  <c r="AT2044" i="3"/>
  <c r="AU2028" i="3"/>
  <c r="AX2028" i="3"/>
  <c r="AY2028" i="3"/>
  <c r="BA2020" i="3"/>
  <c r="AT2020" i="3"/>
  <c r="AR2020" i="3"/>
  <c r="AU2012" i="3"/>
  <c r="BA2012" i="3"/>
  <c r="AV2004" i="3"/>
  <c r="AS2004" i="3"/>
  <c r="AV1996" i="3"/>
  <c r="AT1996" i="3"/>
  <c r="AS1988" i="3"/>
  <c r="AR1988" i="3"/>
  <c r="AZ1988" i="3"/>
  <c r="AR1980" i="3"/>
  <c r="AW1980" i="3"/>
  <c r="AV1980" i="3"/>
  <c r="AR1972" i="3"/>
  <c r="AV1972" i="3"/>
  <c r="AU1964" i="3"/>
  <c r="AZ1964" i="3"/>
  <c r="BA1964" i="3"/>
  <c r="AU1956" i="3"/>
  <c r="AZ1956" i="3"/>
  <c r="AV1948" i="3"/>
  <c r="AU1948" i="3"/>
  <c r="AS1940" i="3"/>
  <c r="AV1940" i="3"/>
  <c r="AY1940" i="3"/>
  <c r="AW1932" i="3"/>
  <c r="AT1932" i="3"/>
  <c r="BA1932" i="3"/>
  <c r="AU1924" i="3"/>
  <c r="AZ1924" i="3"/>
  <c r="AR1924" i="3"/>
  <c r="AX1924" i="3"/>
  <c r="AY1916" i="3"/>
  <c r="AX1916" i="3"/>
  <c r="AR1916" i="3"/>
  <c r="BA1900" i="3"/>
  <c r="AX1900" i="3"/>
  <c r="AR1892" i="3"/>
  <c r="AV1892" i="3"/>
  <c r="AX1892" i="3"/>
  <c r="AZ1892" i="3"/>
  <c r="AT1884" i="3"/>
  <c r="AZ1884" i="3"/>
  <c r="AT1876" i="3"/>
  <c r="AV1876" i="3"/>
  <c r="BA1876" i="3"/>
  <c r="AZ1868" i="3"/>
  <c r="AU1868" i="3"/>
  <c r="BA1860" i="3"/>
  <c r="AX1860" i="3"/>
  <c r="AT1860" i="3"/>
  <c r="AT1852" i="3"/>
  <c r="AZ1852" i="3"/>
  <c r="BA1828" i="3"/>
  <c r="AZ1828" i="3"/>
  <c r="AR1812" i="3"/>
  <c r="AS1812" i="3"/>
  <c r="BA1796" i="3"/>
  <c r="AX1796" i="3"/>
  <c r="BA1780" i="3"/>
  <c r="AT1780" i="3"/>
  <c r="AZ1772" i="3"/>
  <c r="AY1772" i="3"/>
  <c r="AX1724" i="3"/>
  <c r="AY1724" i="3"/>
  <c r="AX1708" i="3"/>
  <c r="AT1708" i="3"/>
  <c r="AW1700" i="3"/>
  <c r="AX1700" i="3"/>
  <c r="AW1684" i="3"/>
  <c r="AV1684" i="3"/>
  <c r="AU1676" i="3"/>
  <c r="AT1676" i="3"/>
  <c r="AS1500" i="3"/>
  <c r="BA1500" i="3"/>
  <c r="AV1420" i="3"/>
  <c r="AW1420" i="3"/>
  <c r="AV1388" i="3"/>
  <c r="AS1388" i="3"/>
  <c r="AW2452" i="3"/>
  <c r="AU2444" i="3"/>
  <c r="AT2436" i="3"/>
  <c r="AV2420" i="3"/>
  <c r="AS2412" i="3"/>
  <c r="AY2404" i="3"/>
  <c r="AY2396" i="3"/>
  <c r="AZ2388" i="3"/>
  <c r="AY2380" i="3"/>
  <c r="BA2372" i="3"/>
  <c r="AS2356" i="3"/>
  <c r="BA2348" i="3"/>
  <c r="AY2340" i="3"/>
  <c r="AZ2268" i="3"/>
  <c r="AT2260" i="3"/>
  <c r="AY2236" i="3"/>
  <c r="AX2220" i="3"/>
  <c r="AS2204" i="3"/>
  <c r="AX2196" i="3"/>
  <c r="AU2172" i="3"/>
  <c r="AV2164" i="3"/>
  <c r="AV2092" i="3"/>
  <c r="AU2068" i="3"/>
  <c r="AZ2028" i="3"/>
  <c r="AV2012" i="3"/>
  <c r="AZ2004" i="3"/>
  <c r="BA1996" i="3"/>
  <c r="AX1988" i="3"/>
  <c r="AT1980" i="3"/>
  <c r="BA1956" i="3"/>
  <c r="BA1628" i="3"/>
  <c r="AT2268" i="3"/>
  <c r="AS2260" i="3"/>
  <c r="AT2236" i="3"/>
  <c r="AS2220" i="3"/>
  <c r="AR2204" i="3"/>
  <c r="AU2196" i="3"/>
  <c r="AU2164" i="3"/>
  <c r="AV2156" i="3"/>
  <c r="AY2148" i="3"/>
  <c r="AZ2140" i="3"/>
  <c r="AY2124" i="3"/>
  <c r="AS2068" i="3"/>
  <c r="AT2028" i="3"/>
  <c r="AZ2020" i="3"/>
  <c r="AS2012" i="3"/>
  <c r="AX2004" i="3"/>
  <c r="AZ1996" i="3"/>
  <c r="AW1988" i="3"/>
  <c r="AZ1972" i="3"/>
  <c r="AT1956" i="3"/>
  <c r="AZ1508" i="3"/>
  <c r="BA2524" i="3"/>
  <c r="AR2524" i="3"/>
  <c r="AY2516" i="3"/>
  <c r="AX2508" i="3"/>
  <c r="AX2500" i="3"/>
  <c r="AX2492" i="3"/>
  <c r="AW2484" i="3"/>
  <c r="AU2476" i="3"/>
  <c r="AT2468" i="3"/>
  <c r="AS2460" i="3"/>
  <c r="BA2452" i="3"/>
  <c r="AR2452" i="3"/>
  <c r="AZ2444" i="3"/>
  <c r="AY2436" i="3"/>
  <c r="AV2428" i="3"/>
  <c r="AR2420" i="3"/>
  <c r="AY2412" i="3"/>
  <c r="AS2404" i="3"/>
  <c r="AS2396" i="3"/>
  <c r="AT2388" i="3"/>
  <c r="AS2380" i="3"/>
  <c r="AT2372" i="3"/>
  <c r="AW2364" i="3"/>
  <c r="AY2356" i="3"/>
  <c r="AT2348" i="3"/>
  <c r="AZ2332" i="3"/>
  <c r="AZ2324" i="3"/>
  <c r="AY2308" i="3"/>
  <c r="AZ2300" i="3"/>
  <c r="AZ2292" i="3"/>
  <c r="AU2284" i="3"/>
  <c r="AT2276" i="3"/>
  <c r="AU2244" i="3"/>
  <c r="BA2228" i="3"/>
  <c r="AW2212" i="3"/>
  <c r="AR2188" i="3"/>
  <c r="BA2180" i="3"/>
  <c r="AZ2132" i="3"/>
  <c r="AX2108" i="3"/>
  <c r="AZ2076" i="3"/>
  <c r="AW2060" i="3"/>
  <c r="BA1948" i="3"/>
  <c r="AR1932" i="3"/>
  <c r="AS1740" i="3"/>
  <c r="AW2508" i="3"/>
  <c r="AV2500" i="3"/>
  <c r="AW2492" i="3"/>
  <c r="AV2484" i="3"/>
  <c r="AS2468" i="3"/>
  <c r="BA2460" i="3"/>
  <c r="AR2460" i="3"/>
  <c r="AZ2452" i="3"/>
  <c r="AX2444" i="3"/>
  <c r="AX2436" i="3"/>
  <c r="AU2428" i="3"/>
  <c r="BA2420" i="3"/>
  <c r="AW2412" i="3"/>
  <c r="AR2404" i="3"/>
  <c r="AR2396" i="3"/>
  <c r="AR2388" i="3"/>
  <c r="AR2380" i="3"/>
  <c r="AS2372" i="3"/>
  <c r="AU2364" i="3"/>
  <c r="AX2356" i="3"/>
  <c r="AR2348" i="3"/>
  <c r="AW2332" i="3"/>
  <c r="AY2324" i="3"/>
  <c r="AZ2316" i="3"/>
  <c r="AX2308" i="3"/>
  <c r="AW2300" i="3"/>
  <c r="AY2292" i="3"/>
  <c r="AR2284" i="3"/>
  <c r="AS2276" i="3"/>
  <c r="AY2252" i="3"/>
  <c r="AT2244" i="3"/>
  <c r="AV2228" i="3"/>
  <c r="AU2212" i="3"/>
  <c r="BA2204" i="3"/>
  <c r="AV2180" i="3"/>
  <c r="AY2132" i="3"/>
  <c r="AV2108" i="3"/>
  <c r="AR2060" i="3"/>
  <c r="AX2036" i="3"/>
  <c r="AT1964" i="3"/>
  <c r="BA1908" i="3"/>
  <c r="AT1356" i="3"/>
  <c r="AV2234" i="3"/>
  <c r="BA2226" i="3"/>
  <c r="AS2226" i="3"/>
  <c r="AZ2218" i="3"/>
  <c r="AR2218" i="3"/>
  <c r="AX2210" i="3"/>
  <c r="AW2202" i="3"/>
  <c r="AT2194" i="3"/>
  <c r="AY2186" i="3"/>
  <c r="AW2178" i="3"/>
  <c r="BA2170" i="3"/>
  <c r="AS2170" i="3"/>
  <c r="AW2162" i="3"/>
  <c r="BA2154" i="3"/>
  <c r="AS2154" i="3"/>
  <c r="AW2146" i="3"/>
  <c r="AR1922" i="3"/>
  <c r="AS1810" i="3"/>
  <c r="AW1554" i="3"/>
  <c r="AX2138" i="3"/>
  <c r="AY2138" i="3"/>
  <c r="AS2130" i="3"/>
  <c r="BA2130" i="3"/>
  <c r="AZ2130" i="3"/>
  <c r="AR2130" i="3"/>
  <c r="AV2122" i="3"/>
  <c r="AZ2122" i="3"/>
  <c r="AR2122" i="3"/>
  <c r="BA2122" i="3"/>
  <c r="AR2114" i="3"/>
  <c r="AZ2114" i="3"/>
  <c r="BA2114" i="3"/>
  <c r="AS2114" i="3"/>
  <c r="AV2106" i="3"/>
  <c r="AZ2106" i="3"/>
  <c r="AR2106" i="3"/>
  <c r="BA2106" i="3"/>
  <c r="AY2098" i="3"/>
  <c r="AZ2098" i="3"/>
  <c r="AR2098" i="3"/>
  <c r="BA2098" i="3"/>
  <c r="AT2090" i="3"/>
  <c r="AR2090" i="3"/>
  <c r="BA2090" i="3"/>
  <c r="AW2090" i="3"/>
  <c r="AX2090" i="3"/>
  <c r="AT2082" i="3"/>
  <c r="AX2082" i="3"/>
  <c r="AZ2082" i="3"/>
  <c r="BA2082" i="3"/>
  <c r="AX2074" i="3"/>
  <c r="AZ2074" i="3"/>
  <c r="AW2074" i="3"/>
  <c r="AY2074" i="3"/>
  <c r="AS2066" i="3"/>
  <c r="BA2066" i="3"/>
  <c r="AY2066" i="3"/>
  <c r="AT2066" i="3"/>
  <c r="AU2066" i="3"/>
  <c r="AW2058" i="3"/>
  <c r="AR2058" i="3"/>
  <c r="BA2058" i="3"/>
  <c r="AS2058" i="3"/>
  <c r="AY2050" i="3"/>
  <c r="AX2050" i="3"/>
  <c r="AU2050" i="3"/>
  <c r="AV2050" i="3"/>
  <c r="AS2042" i="3"/>
  <c r="BA2042" i="3"/>
  <c r="AW2042" i="3"/>
  <c r="AY2042" i="3"/>
  <c r="AZ2042" i="3"/>
  <c r="AS2034" i="3"/>
  <c r="BA2034" i="3"/>
  <c r="AT2034" i="3"/>
  <c r="AR2034" i="3"/>
  <c r="AU2026" i="3"/>
  <c r="AS2026" i="3"/>
  <c r="AY2026" i="3"/>
  <c r="AZ2026" i="3"/>
  <c r="AW2018" i="3"/>
  <c r="AY2018" i="3"/>
  <c r="AT2018" i="3"/>
  <c r="AX2018" i="3"/>
  <c r="BA2018" i="3"/>
  <c r="AY2010" i="3"/>
  <c r="AW2010" i="3"/>
  <c r="AX2010" i="3"/>
  <c r="AZ2010" i="3"/>
  <c r="BA2010" i="3"/>
  <c r="AS2002" i="3"/>
  <c r="AU2002" i="3"/>
  <c r="AV1994" i="3"/>
  <c r="AX1994" i="3"/>
  <c r="AW1994" i="3"/>
  <c r="AY1994" i="3"/>
  <c r="AU1986" i="3"/>
  <c r="AT1986" i="3"/>
  <c r="AW1986" i="3"/>
  <c r="AV1970" i="3"/>
  <c r="AU1970" i="3"/>
  <c r="AY1970" i="3"/>
  <c r="AT1962" i="3"/>
  <c r="AW1962" i="3"/>
  <c r="AS1962" i="3"/>
  <c r="AT1954" i="3"/>
  <c r="AS1954" i="3"/>
  <c r="AV1954" i="3"/>
  <c r="AS1946" i="3"/>
  <c r="AV1946" i="3"/>
  <c r="AR1946" i="3"/>
  <c r="BA1938" i="3"/>
  <c r="AZ1938" i="3"/>
  <c r="AU1930" i="3"/>
  <c r="AT1930" i="3"/>
  <c r="AX1930" i="3"/>
  <c r="AT1914" i="3"/>
  <c r="AW1914" i="3"/>
  <c r="AV1906" i="3"/>
  <c r="AU1906" i="3"/>
  <c r="AY1906" i="3"/>
  <c r="AZ1898" i="3"/>
  <c r="AR1898" i="3"/>
  <c r="AY1898" i="3"/>
  <c r="AZ1890" i="3"/>
  <c r="AR1890" i="3"/>
  <c r="AY1890" i="3"/>
  <c r="AX1882" i="3"/>
  <c r="AW1882" i="3"/>
  <c r="BA1882" i="3"/>
  <c r="AV1874" i="3"/>
  <c r="AU1874" i="3"/>
  <c r="AX1874" i="3"/>
  <c r="AS1866" i="3"/>
  <c r="AR1866" i="3"/>
  <c r="AX1842" i="3"/>
  <c r="AV1842" i="3"/>
  <c r="AS1826" i="3"/>
  <c r="AU1826" i="3"/>
  <c r="AR1802" i="3"/>
  <c r="AT1802" i="3"/>
  <c r="AW1786" i="3"/>
  <c r="AT1786" i="3"/>
  <c r="BA1762" i="3"/>
  <c r="AX1762" i="3"/>
  <c r="AU1714" i="3"/>
  <c r="AT1714" i="3"/>
  <c r="AW1682" i="3"/>
  <c r="AV1682" i="3"/>
  <c r="AW1658" i="3"/>
  <c r="AV1658" i="3"/>
  <c r="AW1594" i="3"/>
  <c r="AV1594" i="3"/>
  <c r="AY1546" i="3"/>
  <c r="AX1546" i="3"/>
  <c r="AX1522" i="3"/>
  <c r="AU1522" i="3"/>
  <c r="BA2202" i="3"/>
  <c r="AS2202" i="3"/>
  <c r="AX2194" i="3"/>
  <c r="AU2186" i="3"/>
  <c r="BA2178" i="3"/>
  <c r="AS2178" i="3"/>
  <c r="AW2170" i="3"/>
  <c r="BA2162" i="3"/>
  <c r="AS2162" i="3"/>
  <c r="AW2154" i="3"/>
  <c r="BA2146" i="3"/>
  <c r="AR2146" i="3"/>
  <c r="AR2138" i="3"/>
  <c r="AV2130" i="3"/>
  <c r="AU2122" i="3"/>
  <c r="AW2114" i="3"/>
  <c r="AX2106" i="3"/>
  <c r="AW2098" i="3"/>
  <c r="AY2090" i="3"/>
  <c r="AR2082" i="3"/>
  <c r="AS2074" i="3"/>
  <c r="AR2066" i="3"/>
  <c r="AX2058" i="3"/>
  <c r="AW2050" i="3"/>
  <c r="AT2042" i="3"/>
  <c r="AU2018" i="3"/>
  <c r="AY2002" i="3"/>
  <c r="AT1978" i="3"/>
  <c r="BA1834" i="3"/>
  <c r="AT1746" i="3"/>
  <c r="AZ2242" i="3"/>
  <c r="BA2210" i="3"/>
  <c r="AZ2202" i="3"/>
  <c r="AZ2178" i="3"/>
  <c r="AZ2162" i="3"/>
  <c r="AZ2146" i="3"/>
  <c r="BA2138" i="3"/>
  <c r="AU2130" i="3"/>
  <c r="AT2122" i="3"/>
  <c r="AV2114" i="3"/>
  <c r="AW2106" i="3"/>
  <c r="AV2098" i="3"/>
  <c r="AV2090" i="3"/>
  <c r="AR2074" i="3"/>
  <c r="AV2058" i="3"/>
  <c r="AT2050" i="3"/>
  <c r="AR2042" i="3"/>
  <c r="AS2018" i="3"/>
  <c r="AX2002" i="3"/>
  <c r="AS1978" i="3"/>
  <c r="AR1834" i="3"/>
  <c r="C2825" i="3"/>
  <c r="E2966" i="3"/>
  <c r="E2835" i="3"/>
  <c r="E3012" i="3"/>
  <c r="E1129" i="13"/>
  <c r="C2945" i="3"/>
  <c r="C373" i="4"/>
  <c r="C3017" i="3"/>
  <c r="E2955" i="3"/>
  <c r="C1174" i="13"/>
  <c r="C2980" i="3"/>
  <c r="C148" i="17"/>
  <c r="C2824" i="3"/>
  <c r="E1185" i="13"/>
  <c r="E381" i="4"/>
  <c r="AP383" i="4"/>
  <c r="E2786" i="3"/>
  <c r="E1151" i="13"/>
  <c r="E1174" i="13"/>
  <c r="AR2989" i="3"/>
  <c r="C2830" i="3"/>
  <c r="E150" i="17"/>
  <c r="E2834" i="3"/>
  <c r="V1192" i="13"/>
  <c r="C2973" i="3"/>
  <c r="E2791" i="3"/>
  <c r="E2827" i="3"/>
  <c r="E1187" i="13"/>
  <c r="E152" i="17"/>
  <c r="E2954" i="3"/>
  <c r="E3015" i="3"/>
  <c r="E2942" i="3"/>
  <c r="E2792" i="3"/>
  <c r="E1136" i="13"/>
  <c r="E3005" i="3"/>
  <c r="AR2792" i="3"/>
  <c r="E2973" i="3"/>
  <c r="E2810" i="3"/>
  <c r="E2864" i="3"/>
  <c r="AB863" i="13"/>
  <c r="AC719" i="13"/>
  <c r="AA695" i="13"/>
  <c r="AA438" i="13"/>
  <c r="AB422" i="13"/>
  <c r="AB374" i="13"/>
  <c r="AA230" i="13"/>
  <c r="AA222" i="13"/>
  <c r="AB118" i="13"/>
  <c r="AA78" i="13"/>
  <c r="AE1007" i="13"/>
  <c r="AE134" i="13"/>
  <c r="AE959" i="13"/>
  <c r="AE767" i="13"/>
  <c r="AE551" i="13"/>
  <c r="AE647" i="13"/>
  <c r="AE591" i="13"/>
  <c r="AE503" i="13"/>
  <c r="AE695" i="13"/>
  <c r="AE102" i="13"/>
  <c r="V1095" i="13"/>
  <c r="AE1095" i="13"/>
  <c r="V999" i="13"/>
  <c r="AE999" i="13"/>
  <c r="V975" i="13"/>
  <c r="AE975" i="13"/>
  <c r="V967" i="13"/>
  <c r="AE967" i="13"/>
  <c r="V943" i="13"/>
  <c r="AE943" i="13"/>
  <c r="V919" i="13"/>
  <c r="AE919" i="13"/>
  <c r="V903" i="13"/>
  <c r="AE903" i="13"/>
  <c r="V895" i="13"/>
  <c r="AE895" i="13"/>
  <c r="V855" i="13"/>
  <c r="AE855" i="13"/>
  <c r="V839" i="13"/>
  <c r="AE839" i="13"/>
  <c r="V775" i="13"/>
  <c r="AE775" i="13"/>
  <c r="V743" i="13"/>
  <c r="AE743" i="13"/>
  <c r="V615" i="13"/>
  <c r="AE615" i="13"/>
  <c r="V607" i="13"/>
  <c r="AC607" i="13"/>
  <c r="V583" i="13"/>
  <c r="AE583" i="13"/>
  <c r="AA583" i="13"/>
  <c r="V567" i="13"/>
  <c r="AE567" i="13"/>
  <c r="V543" i="13"/>
  <c r="AE543" i="13"/>
  <c r="V535" i="13"/>
  <c r="AC535" i="13"/>
  <c r="V527" i="13"/>
  <c r="AB527" i="13"/>
  <c r="V519" i="13"/>
  <c r="AE519" i="13"/>
  <c r="V495" i="13"/>
  <c r="AB495" i="13"/>
  <c r="V487" i="13"/>
  <c r="AA487" i="13"/>
  <c r="V479" i="13"/>
  <c r="AE479" i="13"/>
  <c r="V470" i="13"/>
  <c r="AC470" i="13"/>
  <c r="V462" i="13"/>
  <c r="AA462" i="13"/>
  <c r="V454" i="13"/>
  <c r="AC454" i="13"/>
  <c r="V446" i="13"/>
  <c r="AE446" i="13"/>
  <c r="V430" i="13"/>
  <c r="AA430" i="13"/>
  <c r="V414" i="13"/>
  <c r="AE414" i="13"/>
  <c r="AB414" i="13"/>
  <c r="V406" i="13"/>
  <c r="AC406" i="13"/>
  <c r="V382" i="13"/>
  <c r="AC382" i="13"/>
  <c r="V366" i="13"/>
  <c r="AA366" i="13"/>
  <c r="V358" i="13"/>
  <c r="AB358" i="13"/>
  <c r="V350" i="13"/>
  <c r="AC350" i="13"/>
  <c r="V342" i="13"/>
  <c r="AC342" i="13"/>
  <c r="V334" i="13"/>
  <c r="AE334" i="13"/>
  <c r="V326" i="13"/>
  <c r="AA326" i="13"/>
  <c r="V318" i="13"/>
  <c r="AB318" i="13"/>
  <c r="V310" i="13"/>
  <c r="AC310" i="13"/>
  <c r="V302" i="13"/>
  <c r="AC302" i="13"/>
  <c r="V294" i="13"/>
  <c r="AE294" i="13"/>
  <c r="V286" i="13"/>
  <c r="AE286" i="13"/>
  <c r="V278" i="13"/>
  <c r="AE278" i="13"/>
  <c r="AA278" i="13"/>
  <c r="V270" i="13"/>
  <c r="AC270" i="13"/>
  <c r="V262" i="13"/>
  <c r="AC262" i="13"/>
  <c r="V254" i="13"/>
  <c r="AE254" i="13"/>
  <c r="AA254" i="13"/>
  <c r="V246" i="13"/>
  <c r="AA246" i="13"/>
  <c r="V238" i="13"/>
  <c r="AB238" i="13"/>
  <c r="V214" i="13"/>
  <c r="AE214" i="13"/>
  <c r="AA214" i="13"/>
  <c r="V190" i="13"/>
  <c r="AE190" i="13"/>
  <c r="V166" i="13"/>
  <c r="AE166" i="13"/>
  <c r="AA166" i="13"/>
  <c r="V158" i="13"/>
  <c r="AC158" i="13"/>
  <c r="V142" i="13"/>
  <c r="AE142" i="13"/>
  <c r="AA142" i="13"/>
  <c r="V126" i="13"/>
  <c r="AB126" i="13"/>
  <c r="V118" i="13"/>
  <c r="AC118" i="13"/>
  <c r="V110" i="13"/>
  <c r="AB110" i="13"/>
  <c r="AE110" i="13"/>
  <c r="V94" i="13"/>
  <c r="AA94" i="13"/>
  <c r="V70" i="13"/>
  <c r="AE70" i="13"/>
  <c r="V62" i="13"/>
  <c r="AB62" i="13"/>
  <c r="AE62" i="13"/>
  <c r="V54" i="13"/>
  <c r="AE54" i="13"/>
  <c r="V30" i="13"/>
  <c r="AC30" i="13"/>
  <c r="V14" i="13"/>
  <c r="AE14" i="13"/>
  <c r="AB14" i="13"/>
  <c r="AT2775" i="3"/>
  <c r="AU2775" i="3"/>
  <c r="AW2775" i="3"/>
  <c r="AX2775" i="3"/>
  <c r="AS2767" i="3"/>
  <c r="BA2767" i="3"/>
  <c r="AT2767" i="3"/>
  <c r="AV2767" i="3"/>
  <c r="AW2767" i="3"/>
  <c r="AR2759" i="3"/>
  <c r="AZ2759" i="3"/>
  <c r="AS2759" i="3"/>
  <c r="BA2759" i="3"/>
  <c r="AU2759" i="3"/>
  <c r="AV2759" i="3"/>
  <c r="AX2751" i="3"/>
  <c r="AY2751" i="3"/>
  <c r="AS2751" i="3"/>
  <c r="BA2751" i="3"/>
  <c r="AT2751" i="3"/>
  <c r="AV2743" i="3"/>
  <c r="AW2743" i="3"/>
  <c r="AY2743" i="3"/>
  <c r="AR2743" i="3"/>
  <c r="AZ2743" i="3"/>
  <c r="AT2735" i="3"/>
  <c r="AU2735" i="3"/>
  <c r="AW2735" i="3"/>
  <c r="AX2735" i="3"/>
  <c r="AR2727" i="3"/>
  <c r="AZ2727" i="3"/>
  <c r="AS2727" i="3"/>
  <c r="BA2727" i="3"/>
  <c r="AU2727" i="3"/>
  <c r="AV2727" i="3"/>
  <c r="AX2719" i="3"/>
  <c r="AY2719" i="3"/>
  <c r="AS2719" i="3"/>
  <c r="BA2719" i="3"/>
  <c r="AT2719" i="3"/>
  <c r="AW2711" i="3"/>
  <c r="AX2711" i="3"/>
  <c r="AR2711" i="3"/>
  <c r="AZ2711" i="3"/>
  <c r="AS2711" i="3"/>
  <c r="BA2711" i="3"/>
  <c r="AV2703" i="3"/>
  <c r="AW2703" i="3"/>
  <c r="AY2703" i="3"/>
  <c r="AR2703" i="3"/>
  <c r="AZ2703" i="3"/>
  <c r="AU2695" i="3"/>
  <c r="AV2695" i="3"/>
  <c r="AX2695" i="3"/>
  <c r="AY2695" i="3"/>
  <c r="AS2695" i="3"/>
  <c r="BA2695" i="3"/>
  <c r="AS2687" i="3"/>
  <c r="BA2687" i="3"/>
  <c r="AT2687" i="3"/>
  <c r="AV2687" i="3"/>
  <c r="AW2687" i="3"/>
  <c r="AY2687" i="3"/>
  <c r="AY2679" i="3"/>
  <c r="AR2679" i="3"/>
  <c r="AZ2679" i="3"/>
  <c r="AT2679" i="3"/>
  <c r="AU2679" i="3"/>
  <c r="AW2679" i="3"/>
  <c r="AV2671" i="3"/>
  <c r="AU2671" i="3"/>
  <c r="AW2671" i="3"/>
  <c r="AY2671" i="3"/>
  <c r="AZ2671" i="3"/>
  <c r="AS2671" i="3"/>
  <c r="AT2663" i="3"/>
  <c r="AX2663" i="3"/>
  <c r="AY2663" i="3"/>
  <c r="AR2663" i="3"/>
  <c r="BA2663" i="3"/>
  <c r="AS2663" i="3"/>
  <c r="AV2663" i="3"/>
  <c r="AR2655" i="3"/>
  <c r="AZ2655" i="3"/>
  <c r="AY2655" i="3"/>
  <c r="BA2655" i="3"/>
  <c r="AT2655" i="3"/>
  <c r="AU2655" i="3"/>
  <c r="AW2655" i="3"/>
  <c r="AY2647" i="3"/>
  <c r="AT2647" i="3"/>
  <c r="AU2647" i="3"/>
  <c r="AW2647" i="3"/>
  <c r="AX2647" i="3"/>
  <c r="AR2647" i="3"/>
  <c r="BA2647" i="3"/>
  <c r="AX2639" i="3"/>
  <c r="AY2639" i="3"/>
  <c r="AZ2639" i="3"/>
  <c r="AS2639" i="3"/>
  <c r="AT2639" i="3"/>
  <c r="AV2639" i="3"/>
  <c r="AW2631" i="3"/>
  <c r="AT2631" i="3"/>
  <c r="AU2631" i="3"/>
  <c r="AX2631" i="3"/>
  <c r="AY2631" i="3"/>
  <c r="AR2631" i="3"/>
  <c r="BA2631" i="3"/>
  <c r="AT2623" i="3"/>
  <c r="AU2623" i="3"/>
  <c r="AW2623" i="3"/>
  <c r="AX2623" i="3"/>
  <c r="AZ2623" i="3"/>
  <c r="BA2623" i="3"/>
  <c r="AS2623" i="3"/>
  <c r="AR2615" i="3"/>
  <c r="AY2615" i="3"/>
  <c r="AU2615" i="3"/>
  <c r="AV2615" i="3"/>
  <c r="AX2615" i="3"/>
  <c r="BA2615" i="3"/>
  <c r="AS2615" i="3"/>
  <c r="AX2607" i="3"/>
  <c r="AU2607" i="3"/>
  <c r="AV2607" i="3"/>
  <c r="AW2607" i="3"/>
  <c r="AZ2607" i="3"/>
  <c r="BA2607" i="3"/>
  <c r="AS2607" i="3"/>
  <c r="AV2599" i="3"/>
  <c r="AR2599" i="3"/>
  <c r="BA2599" i="3"/>
  <c r="AU2599" i="3"/>
  <c r="AW2599" i="3"/>
  <c r="AY2599" i="3"/>
  <c r="AZ2599" i="3"/>
  <c r="AS2599" i="3"/>
  <c r="AT2591" i="3"/>
  <c r="AX2591" i="3"/>
  <c r="AV2591" i="3"/>
  <c r="AW2591" i="3"/>
  <c r="AZ2591" i="3"/>
  <c r="BA2591" i="3"/>
  <c r="AS2591" i="3"/>
  <c r="AR2583" i="3"/>
  <c r="AS2583" i="3"/>
  <c r="AU2583" i="3"/>
  <c r="AV2583" i="3"/>
  <c r="AX2583" i="3"/>
  <c r="AY2583" i="3"/>
  <c r="AX2575" i="3"/>
  <c r="AU2575" i="3"/>
  <c r="AT2575" i="3"/>
  <c r="AV2575" i="3"/>
  <c r="BA2575" i="3"/>
  <c r="AV2567" i="3"/>
  <c r="AZ2567" i="3"/>
  <c r="AY2567" i="3"/>
  <c r="BA2567" i="3"/>
  <c r="AR2567" i="3"/>
  <c r="AT2567" i="3"/>
  <c r="AR2559" i="3"/>
  <c r="AS2559" i="3"/>
  <c r="AW2559" i="3"/>
  <c r="AY2559" i="3"/>
  <c r="BA2559" i="3"/>
  <c r="AX2551" i="3"/>
  <c r="AW2551" i="3"/>
  <c r="AV2543" i="3"/>
  <c r="AS2543" i="3"/>
  <c r="AU2543" i="3"/>
  <c r="BA2543" i="3"/>
  <c r="AT2535" i="3"/>
  <c r="AS2535" i="3"/>
  <c r="AY2535" i="3"/>
  <c r="BA2535" i="3"/>
  <c r="AS2527" i="3"/>
  <c r="AT2527" i="3"/>
  <c r="AX2527" i="3"/>
  <c r="AY2519" i="3"/>
  <c r="AV2519" i="3"/>
  <c r="AZ2519" i="3"/>
  <c r="AW2511" i="3"/>
  <c r="AX2511" i="3"/>
  <c r="AS2503" i="3"/>
  <c r="AV2503" i="3"/>
  <c r="AY2495" i="3"/>
  <c r="AR2495" i="3"/>
  <c r="AV2495" i="3"/>
  <c r="AW2487" i="3"/>
  <c r="AS2487" i="3"/>
  <c r="AU2479" i="3"/>
  <c r="AT2479" i="3"/>
  <c r="AZ2471" i="3"/>
  <c r="AU2471" i="3"/>
  <c r="AY2471" i="3"/>
  <c r="AU2463" i="3"/>
  <c r="AT2463" i="3"/>
  <c r="AX2463" i="3"/>
  <c r="AZ2455" i="3"/>
  <c r="AS2455" i="3"/>
  <c r="AU2431" i="3"/>
  <c r="AS2431" i="3"/>
  <c r="AZ2383" i="3"/>
  <c r="AT2383" i="3"/>
  <c r="AX2375" i="3"/>
  <c r="AR2375" i="3"/>
  <c r="AX2335" i="3"/>
  <c r="AV2335" i="3"/>
  <c r="AZ2279" i="3"/>
  <c r="AR2279" i="3"/>
  <c r="BA2183" i="3"/>
  <c r="AS2183" i="3"/>
  <c r="AC783" i="13"/>
  <c r="AA719" i="13"/>
  <c r="AB430" i="13"/>
  <c r="AC334" i="13"/>
  <c r="AA270" i="13"/>
  <c r="AB398" i="13"/>
  <c r="AA158" i="13"/>
  <c r="AB142" i="13"/>
  <c r="AB46" i="13"/>
  <c r="AA14" i="13"/>
  <c r="AE1079" i="13"/>
  <c r="AE1031" i="13"/>
  <c r="AE1023" i="13"/>
  <c r="AE206" i="13"/>
  <c r="AE1087" i="13"/>
  <c r="AE871" i="13"/>
  <c r="AE823" i="13"/>
  <c r="AE951" i="13"/>
  <c r="AE935" i="13"/>
  <c r="AE727" i="13"/>
  <c r="AE671" i="13"/>
  <c r="AE863" i="13"/>
  <c r="AE711" i="13"/>
  <c r="AE406" i="13"/>
  <c r="AE350" i="13"/>
  <c r="AE270" i="13"/>
  <c r="AE262" i="13"/>
  <c r="AE318" i="13"/>
  <c r="AE22" i="13"/>
  <c r="AU2767" i="3"/>
  <c r="AX2759" i="3"/>
  <c r="AW2751" i="3"/>
  <c r="BA2743" i="3"/>
  <c r="AT2711" i="3"/>
  <c r="AU2703" i="3"/>
  <c r="AZ2695" i="3"/>
  <c r="AZ2687" i="3"/>
  <c r="BA2679" i="3"/>
  <c r="AX2671" i="3"/>
  <c r="AX2655" i="3"/>
  <c r="AS2647" i="3"/>
  <c r="AV2623" i="3"/>
  <c r="AX2599" i="3"/>
  <c r="AW2575" i="3"/>
  <c r="AR2447" i="3"/>
  <c r="AU2439" i="3"/>
  <c r="AB783" i="13"/>
  <c r="AC679" i="13"/>
  <c r="AB607" i="13"/>
  <c r="AB334" i="13"/>
  <c r="AB302" i="13"/>
  <c r="AA398" i="13"/>
  <c r="AC214" i="13"/>
  <c r="AC102" i="13"/>
  <c r="AA46" i="13"/>
  <c r="AC22" i="13"/>
  <c r="AE831" i="13"/>
  <c r="AE879" i="13"/>
  <c r="AE1063" i="13"/>
  <c r="AE735" i="13"/>
  <c r="AE815" i="13"/>
  <c r="AE791" i="13"/>
  <c r="AE470" i="13"/>
  <c r="AE246" i="13"/>
  <c r="AE30" i="13"/>
  <c r="AR2767" i="3"/>
  <c r="AW2759" i="3"/>
  <c r="AV2751" i="3"/>
  <c r="AX2743" i="3"/>
  <c r="BA2735" i="3"/>
  <c r="AT2703" i="3"/>
  <c r="AW2695" i="3"/>
  <c r="AX2687" i="3"/>
  <c r="AX2679" i="3"/>
  <c r="AT2671" i="3"/>
  <c r="AV2655" i="3"/>
  <c r="AR2623" i="3"/>
  <c r="AT2599" i="3"/>
  <c r="AS2575" i="3"/>
  <c r="AR2519" i="3"/>
  <c r="AT2511" i="3"/>
  <c r="AZ2503" i="3"/>
  <c r="AY2455" i="3"/>
  <c r="AE927" i="13"/>
  <c r="BA2775" i="3"/>
  <c r="AT2759" i="3"/>
  <c r="AU2751" i="3"/>
  <c r="AU2743" i="3"/>
  <c r="AZ2735" i="3"/>
  <c r="AS2703" i="3"/>
  <c r="AT2695" i="3"/>
  <c r="AU2687" i="3"/>
  <c r="AV2679" i="3"/>
  <c r="AR2671" i="3"/>
  <c r="AS2655" i="3"/>
  <c r="AW2615" i="3"/>
  <c r="AU2567" i="3"/>
  <c r="BA2495" i="3"/>
  <c r="AY2479" i="3"/>
  <c r="AE983" i="13"/>
  <c r="AE1055" i="13"/>
  <c r="AE1047" i="13"/>
  <c r="AE991" i="13"/>
  <c r="AE911" i="13"/>
  <c r="AE639" i="13"/>
  <c r="AE38" i="13"/>
  <c r="AE559" i="13"/>
  <c r="AE623" i="13"/>
  <c r="AE422" i="13"/>
  <c r="AE374" i="13"/>
  <c r="AE358" i="13"/>
  <c r="AE487" i="13"/>
  <c r="AE398" i="13"/>
  <c r="AE230" i="13"/>
  <c r="AE222" i="13"/>
  <c r="AZ2775" i="3"/>
  <c r="AR2751" i="3"/>
  <c r="AT2743" i="3"/>
  <c r="AY2735" i="3"/>
  <c r="AY2727" i="3"/>
  <c r="AZ2719" i="3"/>
  <c r="AR2695" i="3"/>
  <c r="AR2687" i="3"/>
  <c r="AS2679" i="3"/>
  <c r="AZ2631" i="3"/>
  <c r="AT2615" i="3"/>
  <c r="AY2591" i="3"/>
  <c r="AS2567" i="3"/>
  <c r="AX2559" i="3"/>
  <c r="AU2535" i="3"/>
  <c r="AX2487" i="3"/>
  <c r="AB903" i="13"/>
  <c r="AB791" i="13"/>
  <c r="AB479" i="13"/>
  <c r="AA711" i="13"/>
  <c r="AC695" i="13"/>
  <c r="AC438" i="13"/>
  <c r="AA414" i="13"/>
  <c r="AC527" i="13"/>
  <c r="AB342" i="13"/>
  <c r="AB462" i="13"/>
  <c r="AB310" i="13"/>
  <c r="AC487" i="13"/>
  <c r="AB350" i="13"/>
  <c r="AC286" i="13"/>
  <c r="AA238" i="13"/>
  <c r="AC230" i="13"/>
  <c r="AC222" i="13"/>
  <c r="AA182" i="13"/>
  <c r="AA174" i="13"/>
  <c r="AB278" i="13"/>
  <c r="AB150" i="13"/>
  <c r="AC254" i="13"/>
  <c r="AB246" i="13"/>
  <c r="AC78" i="13"/>
  <c r="AE1103" i="13"/>
  <c r="AE703" i="13"/>
  <c r="AD559" i="13"/>
  <c r="AE751" i="13"/>
  <c r="AE631" i="13"/>
  <c r="AE719" i="13"/>
  <c r="AE607" i="13"/>
  <c r="AE454" i="13"/>
  <c r="AE382" i="13"/>
  <c r="AE150" i="13"/>
  <c r="AY2775" i="3"/>
  <c r="AS2743" i="3"/>
  <c r="AV2735" i="3"/>
  <c r="AX2727" i="3"/>
  <c r="AW2719" i="3"/>
  <c r="AZ2663" i="3"/>
  <c r="BA2639" i="3"/>
  <c r="AV2631" i="3"/>
  <c r="AU2591" i="3"/>
  <c r="AY2551" i="3"/>
  <c r="AW2543" i="3"/>
  <c r="AC927" i="13"/>
  <c r="AA751" i="13"/>
  <c r="AA903" i="13"/>
  <c r="AC863" i="13"/>
  <c r="AA791" i="13"/>
  <c r="AA503" i="13"/>
  <c r="AA479" i="13"/>
  <c r="AB695" i="13"/>
  <c r="AB438" i="13"/>
  <c r="AC422" i="13"/>
  <c r="AC374" i="13"/>
  <c r="AA527" i="13"/>
  <c r="AA342" i="13"/>
  <c r="AC326" i="13"/>
  <c r="AA310" i="13"/>
  <c r="AB487" i="13"/>
  <c r="AC294" i="13"/>
  <c r="AA350" i="13"/>
  <c r="AB286" i="13"/>
  <c r="AB262" i="13"/>
  <c r="AB230" i="13"/>
  <c r="AB222" i="13"/>
  <c r="AC318" i="13"/>
  <c r="AA150" i="13"/>
  <c r="AB254" i="13"/>
  <c r="AB78" i="13"/>
  <c r="AC110" i="13"/>
  <c r="AB30" i="13"/>
  <c r="AE1111" i="13"/>
  <c r="AE390" i="13"/>
  <c r="AE575" i="13"/>
  <c r="AE759" i="13"/>
  <c r="AE807" i="13"/>
  <c r="AE783" i="13"/>
  <c r="AE679" i="13"/>
  <c r="AE438" i="13"/>
  <c r="AE310" i="13"/>
  <c r="AE302" i="13"/>
  <c r="AE238" i="13"/>
  <c r="AE158" i="13"/>
  <c r="AE94" i="13"/>
  <c r="AE46" i="13"/>
  <c r="AV2775" i="3"/>
  <c r="AZ2767" i="3"/>
  <c r="AS2735" i="3"/>
  <c r="AW2727" i="3"/>
  <c r="AV2719" i="3"/>
  <c r="AY2711" i="3"/>
  <c r="AW2663" i="3"/>
  <c r="AW2639" i="3"/>
  <c r="AS2631" i="3"/>
  <c r="AY2607" i="3"/>
  <c r="AR2591" i="3"/>
  <c r="BA2583" i="3"/>
  <c r="AU2551" i="3"/>
  <c r="AR2664" i="3"/>
  <c r="AZ2664" i="3"/>
  <c r="AS2624" i="3"/>
  <c r="BA2624" i="3"/>
  <c r="AS2584" i="3"/>
  <c r="BA2584" i="3"/>
  <c r="AS2560" i="3"/>
  <c r="BA2560" i="3"/>
  <c r="AS2544" i="3"/>
  <c r="BA2544" i="3"/>
  <c r="AS2536" i="3"/>
  <c r="BA2536" i="3"/>
  <c r="AR2520" i="3"/>
  <c r="AZ2520" i="3"/>
  <c r="AR2480" i="3"/>
  <c r="AZ2480" i="3"/>
  <c r="AR2448" i="3"/>
  <c r="AZ2448" i="3"/>
  <c r="AR2408" i="3"/>
  <c r="AZ2408" i="3"/>
  <c r="AR2392" i="3"/>
  <c r="AZ2392" i="3"/>
  <c r="AS2376" i="3"/>
  <c r="BA2376" i="3"/>
  <c r="AY2328" i="3"/>
  <c r="AS2328" i="3"/>
  <c r="AU2320" i="3"/>
  <c r="AZ2320" i="3"/>
  <c r="AY2312" i="3"/>
  <c r="AW2312" i="3"/>
  <c r="AU2304" i="3"/>
  <c r="AV2304" i="3"/>
  <c r="AR2296" i="3"/>
  <c r="AZ2296" i="3"/>
  <c r="AT2296" i="3"/>
  <c r="AV2288" i="3"/>
  <c r="AZ2288" i="3"/>
  <c r="AR2280" i="3"/>
  <c r="AZ2280" i="3"/>
  <c r="AW2280" i="3"/>
  <c r="AW2272" i="3"/>
  <c r="AU2272" i="3"/>
  <c r="AS2264" i="3"/>
  <c r="BA2264" i="3"/>
  <c r="AR2264" i="3"/>
  <c r="AW2256" i="3"/>
  <c r="AY2256" i="3"/>
  <c r="AS2248" i="3"/>
  <c r="BA2248" i="3"/>
  <c r="AV2248" i="3"/>
  <c r="AW2240" i="3"/>
  <c r="AS2240" i="3"/>
  <c r="AS2232" i="3"/>
  <c r="BA2232" i="3"/>
  <c r="AY2232" i="3"/>
  <c r="AW2224" i="3"/>
  <c r="AV2224" i="3"/>
  <c r="AS2216" i="3"/>
  <c r="BA2216" i="3"/>
  <c r="AT2216" i="3"/>
  <c r="AX2208" i="3"/>
  <c r="AR2208" i="3"/>
  <c r="BA2208" i="3"/>
  <c r="AU2200" i="3"/>
  <c r="AZ2200" i="3"/>
  <c r="AY2192" i="3"/>
  <c r="AW2192" i="3"/>
  <c r="AU2184" i="3"/>
  <c r="AV2184" i="3"/>
  <c r="AR2176" i="3"/>
  <c r="AZ2176" i="3"/>
  <c r="AT2176" i="3"/>
  <c r="AV2168" i="3"/>
  <c r="AZ2168" i="3"/>
  <c r="AR2160" i="3"/>
  <c r="AZ2160" i="3"/>
  <c r="AW2160" i="3"/>
  <c r="AW2152" i="3"/>
  <c r="AU2152" i="3"/>
  <c r="AS2144" i="3"/>
  <c r="BA2144" i="3"/>
  <c r="AR2144" i="3"/>
  <c r="AW2136" i="3"/>
  <c r="AY2136" i="3"/>
  <c r="AT2128" i="3"/>
  <c r="AX2128" i="3"/>
  <c r="AV2120" i="3"/>
  <c r="AS2120" i="3"/>
  <c r="AY2112" i="3"/>
  <c r="AX2112" i="3"/>
  <c r="AS2104" i="3"/>
  <c r="BA2104" i="3"/>
  <c r="AT2104" i="3"/>
  <c r="AV2096" i="3"/>
  <c r="AY2096" i="3"/>
  <c r="AX2088" i="3"/>
  <c r="AT2088" i="3"/>
  <c r="AW2080" i="3"/>
  <c r="AV2080" i="3"/>
  <c r="AT2080" i="3"/>
  <c r="AW2072" i="3"/>
  <c r="AY2072" i="3"/>
  <c r="BA2072" i="3"/>
  <c r="AW2064" i="3"/>
  <c r="AR2064" i="3"/>
  <c r="BA2064" i="3"/>
  <c r="AV2064" i="3"/>
  <c r="AX2056" i="3"/>
  <c r="AU2056" i="3"/>
  <c r="AS2056" i="3"/>
  <c r="AY2056" i="3"/>
  <c r="AX2048" i="3"/>
  <c r="AW2048" i="3"/>
  <c r="AZ2048" i="3"/>
  <c r="AT2048" i="3"/>
  <c r="AY2040" i="3"/>
  <c r="AR2040" i="3"/>
  <c r="BA2040" i="3"/>
  <c r="AV2040" i="3"/>
  <c r="AV2032" i="3"/>
  <c r="AZ2032" i="3"/>
  <c r="AY2032" i="3"/>
  <c r="AT2032" i="3"/>
  <c r="AY2024" i="3"/>
  <c r="AW2024" i="3"/>
  <c r="BA2024" i="3"/>
  <c r="AU2024" i="3"/>
  <c r="AS2016" i="3"/>
  <c r="BA2016" i="3"/>
  <c r="AR2016" i="3"/>
  <c r="AY2016" i="3"/>
  <c r="AU2016" i="3"/>
  <c r="AW2008" i="3"/>
  <c r="AZ2008" i="3"/>
  <c r="AR2008" i="3"/>
  <c r="AV2008" i="3"/>
  <c r="AX2000" i="3"/>
  <c r="AU2000" i="3"/>
  <c r="BA2000" i="3"/>
  <c r="AV2000" i="3"/>
  <c r="AW1992" i="3"/>
  <c r="AX1992" i="3"/>
  <c r="AY1992" i="3"/>
  <c r="AS1992" i="3"/>
  <c r="AW1984" i="3"/>
  <c r="AT1984" i="3"/>
  <c r="AY1984" i="3"/>
  <c r="AR1984" i="3"/>
  <c r="AX1984" i="3"/>
  <c r="AR1976" i="3"/>
  <c r="AX1976" i="3"/>
  <c r="AU1976" i="3"/>
  <c r="BA1976" i="3"/>
  <c r="AT1968" i="3"/>
  <c r="AX1968" i="3"/>
  <c r="BA1968" i="3"/>
  <c r="AW1968" i="3"/>
  <c r="AT1960" i="3"/>
  <c r="AU1960" i="3"/>
  <c r="AS1960" i="3"/>
  <c r="AU1952" i="3"/>
  <c r="AT1952" i="3"/>
  <c r="AV1944" i="3"/>
  <c r="AU1944" i="3"/>
  <c r="AR1944" i="3"/>
  <c r="AU1936" i="3"/>
  <c r="AT1936" i="3"/>
  <c r="AY1928" i="3"/>
  <c r="AX1928" i="3"/>
  <c r="AT1928" i="3"/>
  <c r="AW1920" i="3"/>
  <c r="AS1920" i="3"/>
  <c r="AY1920" i="3"/>
  <c r="AY1912" i="3"/>
  <c r="AZ1912" i="3"/>
  <c r="AY1904" i="3"/>
  <c r="AS1904" i="3"/>
  <c r="AX1896" i="3"/>
  <c r="AV1896" i="3"/>
  <c r="AU1888" i="3"/>
  <c r="AR1888" i="3"/>
  <c r="BA1888" i="3"/>
  <c r="AV1888" i="3"/>
  <c r="AZ1888" i="3"/>
  <c r="AX1880" i="3"/>
  <c r="AW1880" i="3"/>
  <c r="AY1872" i="3"/>
  <c r="AW1872" i="3"/>
  <c r="AT1872" i="3"/>
  <c r="AU1864" i="3"/>
  <c r="AW1864" i="3"/>
  <c r="AS1864" i="3"/>
  <c r="AX1856" i="3"/>
  <c r="AY1856" i="3"/>
  <c r="AR1848" i="3"/>
  <c r="AY1848" i="3"/>
  <c r="AV1840" i="3"/>
  <c r="BA1840" i="3"/>
  <c r="AR1840" i="3"/>
  <c r="AX1832" i="3"/>
  <c r="AT1832" i="3"/>
  <c r="AS1832" i="3"/>
  <c r="AX1824" i="3"/>
  <c r="AV1824" i="3"/>
  <c r="AT1816" i="3"/>
  <c r="AW1816" i="3"/>
  <c r="AS1800" i="3"/>
  <c r="AY1800" i="3"/>
  <c r="AV1792" i="3"/>
  <c r="AT1792" i="3"/>
  <c r="AS1792" i="3"/>
  <c r="AY1784" i="3"/>
  <c r="AR1784" i="3"/>
  <c r="AW1784" i="3"/>
  <c r="AX1784" i="3"/>
  <c r="AW1776" i="3"/>
  <c r="AZ1776" i="3"/>
  <c r="AU1776" i="3"/>
  <c r="AR1776" i="3"/>
  <c r="AY1768" i="3"/>
  <c r="AV1768" i="3"/>
  <c r="BA1768" i="3"/>
  <c r="AR1768" i="3"/>
  <c r="AU1760" i="3"/>
  <c r="AZ1760" i="3"/>
  <c r="AW1752" i="3"/>
  <c r="AX1752" i="3"/>
  <c r="BA1752" i="3"/>
  <c r="BA1744" i="3"/>
  <c r="AS1744" i="3"/>
  <c r="AY1744" i="3"/>
  <c r="AX1744" i="3"/>
  <c r="AX1736" i="3"/>
  <c r="AW1736" i="3"/>
  <c r="AU1736" i="3"/>
  <c r="AX1728" i="3"/>
  <c r="BA1728" i="3"/>
  <c r="AW1728" i="3"/>
  <c r="AS1712" i="3"/>
  <c r="AU1712" i="3"/>
  <c r="AZ1704" i="3"/>
  <c r="AW1704" i="3"/>
  <c r="AY1704" i="3"/>
  <c r="AS1696" i="3"/>
  <c r="AV1696" i="3"/>
  <c r="AU1688" i="3"/>
  <c r="AT1688" i="3"/>
  <c r="AZ1680" i="3"/>
  <c r="AY1680" i="3"/>
  <c r="AV1672" i="3"/>
  <c r="AT1672" i="3"/>
  <c r="AX1664" i="3"/>
  <c r="AW1664" i="3"/>
  <c r="AZ1656" i="3"/>
  <c r="AX1656" i="3"/>
  <c r="AW1656" i="3"/>
  <c r="BA1648" i="3"/>
  <c r="AZ1648" i="3"/>
  <c r="AR1648" i="3"/>
  <c r="AR1640" i="3"/>
  <c r="BA1640" i="3"/>
  <c r="AZ1632" i="3"/>
  <c r="AY1632" i="3"/>
  <c r="AW1632" i="3"/>
  <c r="AY1624" i="3"/>
  <c r="AT1624" i="3"/>
  <c r="AR1616" i="3"/>
  <c r="AS1616" i="3"/>
  <c r="AW1608" i="3"/>
  <c r="AU1608" i="3"/>
  <c r="AZ1584" i="3"/>
  <c r="AW1584" i="3"/>
  <c r="AX1584" i="3"/>
  <c r="BA1576" i="3"/>
  <c r="AT1576" i="3"/>
  <c r="AU1568" i="3"/>
  <c r="AY1568" i="3"/>
  <c r="AW1544" i="3"/>
  <c r="AU1544" i="3"/>
  <c r="AY1528" i="3"/>
  <c r="AR1528" i="3"/>
  <c r="BA1504" i="3"/>
  <c r="AX1504" i="3"/>
  <c r="AU1496" i="3"/>
  <c r="AT1496" i="3"/>
  <c r="AS1448" i="3"/>
  <c r="AW1448" i="3"/>
  <c r="AV1432" i="3"/>
  <c r="AU1432" i="3"/>
  <c r="AZ1416" i="3"/>
  <c r="AW1416" i="3"/>
  <c r="AR1416" i="3"/>
  <c r="AR1352" i="3"/>
  <c r="BA1352" i="3"/>
  <c r="AR1328" i="3"/>
  <c r="BA1328" i="3"/>
  <c r="AX1256" i="3"/>
  <c r="AV1256" i="3"/>
  <c r="AS2172" i="3"/>
  <c r="AR2164" i="3"/>
  <c r="AS2156" i="3"/>
  <c r="AT2148" i="3"/>
  <c r="AV2140" i="3"/>
  <c r="AW2132" i="3"/>
  <c r="AW2124" i="3"/>
  <c r="AW2116" i="3"/>
  <c r="AU2108" i="3"/>
  <c r="AT2100" i="3"/>
  <c r="BA2084" i="3"/>
  <c r="AY2080" i="3"/>
  <c r="AX2072" i="3"/>
  <c r="AY2064" i="3"/>
  <c r="BA2056" i="3"/>
  <c r="AY2048" i="3"/>
  <c r="AW2040" i="3"/>
  <c r="BA2036" i="3"/>
  <c r="AR2032" i="3"/>
  <c r="AV2028" i="3"/>
  <c r="AX2024" i="3"/>
  <c r="AZ2016" i="3"/>
  <c r="AS2008" i="3"/>
  <c r="AW2004" i="3"/>
  <c r="AS2000" i="3"/>
  <c r="AX1996" i="3"/>
  <c r="AR1992" i="3"/>
  <c r="AU1988" i="3"/>
  <c r="AS1980" i="3"/>
  <c r="AU1972" i="3"/>
  <c r="AU1968" i="3"/>
  <c r="AX1964" i="3"/>
  <c r="BA1960" i="3"/>
  <c r="AW1956" i="3"/>
  <c r="AY1952" i="3"/>
  <c r="AW1948" i="3"/>
  <c r="AZ1944" i="3"/>
  <c r="AT1940" i="3"/>
  <c r="AX1936" i="3"/>
  <c r="AW1924" i="3"/>
  <c r="AZ1916" i="3"/>
  <c r="AZ1896" i="3"/>
  <c r="AS1892" i="3"/>
  <c r="AU1876" i="3"/>
  <c r="AT1864" i="3"/>
  <c r="AV1852" i="3"/>
  <c r="BA1844" i="3"/>
  <c r="AS1836" i="3"/>
  <c r="AV1760" i="3"/>
  <c r="AX1720" i="3"/>
  <c r="AX1672" i="3"/>
  <c r="AY1648" i="3"/>
  <c r="BA1616" i="3"/>
  <c r="AW1576" i="3"/>
  <c r="AV1528" i="3"/>
  <c r="AS1392" i="3"/>
  <c r="AU1248" i="3"/>
  <c r="BA1572" i="3"/>
  <c r="AS1524" i="3"/>
  <c r="BA1452" i="3"/>
  <c r="AW1324" i="3"/>
  <c r="BA1228" i="3"/>
  <c r="AX1052" i="3"/>
  <c r="AR2660" i="3"/>
  <c r="AZ2660" i="3"/>
  <c r="AR2620" i="3"/>
  <c r="AZ2620" i="3"/>
  <c r="AS2604" i="3"/>
  <c r="BA2604" i="3"/>
  <c r="AR2572" i="3"/>
  <c r="AZ2572" i="3"/>
  <c r="AS2516" i="3"/>
  <c r="BA2516" i="3"/>
  <c r="AR2476" i="3"/>
  <c r="AZ2476" i="3"/>
  <c r="AS2428" i="3"/>
  <c r="BA2428" i="3"/>
  <c r="AR2372" i="3"/>
  <c r="AZ2372" i="3"/>
  <c r="AR2356" i="3"/>
  <c r="AZ2356" i="3"/>
  <c r="AS2340" i="3"/>
  <c r="BA2340" i="3"/>
  <c r="AS2332" i="3"/>
  <c r="AX2332" i="3"/>
  <c r="AW2324" i="3"/>
  <c r="AU2324" i="3"/>
  <c r="AS2316" i="3"/>
  <c r="BA2316" i="3"/>
  <c r="AT2316" i="3"/>
  <c r="AW2308" i="3"/>
  <c r="AZ2308" i="3"/>
  <c r="AT2300" i="3"/>
  <c r="AY2300" i="3"/>
  <c r="AX2292" i="3"/>
  <c r="AV2292" i="3"/>
  <c r="AT2284" i="3"/>
  <c r="AS2284" i="3"/>
  <c r="AY2276" i="3"/>
  <c r="AR2276" i="3"/>
  <c r="BA2276" i="3"/>
  <c r="AU2268" i="3"/>
  <c r="AX2268" i="3"/>
  <c r="AY2260" i="3"/>
  <c r="AU2260" i="3"/>
  <c r="AU2252" i="3"/>
  <c r="AR2252" i="3"/>
  <c r="BA2252" i="3"/>
  <c r="AY2244" i="3"/>
  <c r="AX2244" i="3"/>
  <c r="AU2236" i="3"/>
  <c r="AV2236" i="3"/>
  <c r="AY2228" i="3"/>
  <c r="AS2228" i="3"/>
  <c r="AU2220" i="3"/>
  <c r="AY2220" i="3"/>
  <c r="AY2212" i="3"/>
  <c r="AV2212" i="3"/>
  <c r="AW2204" i="3"/>
  <c r="AU2204" i="3"/>
  <c r="AS2196" i="3"/>
  <c r="BA2196" i="3"/>
  <c r="AT2196" i="3"/>
  <c r="AW2188" i="3"/>
  <c r="AZ2188" i="3"/>
  <c r="AT2180" i="3"/>
  <c r="AY2180" i="3"/>
  <c r="AX2172" i="3"/>
  <c r="AV2172" i="3"/>
  <c r="AT2164" i="3"/>
  <c r="AS2164" i="3"/>
  <c r="AX2156" i="3"/>
  <c r="AZ2156" i="3"/>
  <c r="AU2148" i="3"/>
  <c r="AX2148" i="3"/>
  <c r="AY2140" i="3"/>
  <c r="AU2140" i="3"/>
  <c r="AV2132" i="3"/>
  <c r="AS2132" i="3"/>
  <c r="AR2124" i="3"/>
  <c r="AZ2124" i="3"/>
  <c r="BA2124" i="3"/>
  <c r="AT2116" i="3"/>
  <c r="AV2116" i="3"/>
  <c r="AW2108" i="3"/>
  <c r="AR2108" i="3"/>
  <c r="BA2108" i="3"/>
  <c r="AY2100" i="3"/>
  <c r="AV2100" i="3"/>
  <c r="AS2092" i="3"/>
  <c r="BA2092" i="3"/>
  <c r="AZ2092" i="3"/>
  <c r="AS2084" i="3"/>
  <c r="AU2084" i="3"/>
  <c r="AV2084" i="3"/>
  <c r="AT2076" i="3"/>
  <c r="AX2076" i="3"/>
  <c r="AR2076" i="3"/>
  <c r="AT2068" i="3"/>
  <c r="AZ2068" i="3"/>
  <c r="AX2068" i="3"/>
  <c r="AT2060" i="3"/>
  <c r="AS2060" i="3"/>
  <c r="AU2060" i="3"/>
  <c r="AU2052" i="3"/>
  <c r="AW2052" i="3"/>
  <c r="BA2052" i="3"/>
  <c r="AV2052" i="3"/>
  <c r="AV2044" i="3"/>
  <c r="AZ2044" i="3"/>
  <c r="AX2044" i="3"/>
  <c r="AS2044" i="3"/>
  <c r="AV2036" i="3"/>
  <c r="AS2036" i="3"/>
  <c r="AT2036" i="3"/>
  <c r="AY2036" i="3"/>
  <c r="AS2028" i="3"/>
  <c r="BA2028" i="3"/>
  <c r="AR2028" i="3"/>
  <c r="AW2028" i="3"/>
  <c r="AV2020" i="3"/>
  <c r="AY2020" i="3"/>
  <c r="AX2020" i="3"/>
  <c r="AS2020" i="3"/>
  <c r="AX2012" i="3"/>
  <c r="AT2012" i="3"/>
  <c r="AW2012" i="3"/>
  <c r="AR2012" i="3"/>
  <c r="AT2004" i="3"/>
  <c r="AR2004" i="3"/>
  <c r="BA2004" i="3"/>
  <c r="AY2004" i="3"/>
  <c r="AU2004" i="3"/>
  <c r="AU1996" i="3"/>
  <c r="AW1996" i="3"/>
  <c r="AY1996" i="3"/>
  <c r="AS1996" i="3"/>
  <c r="AT1988" i="3"/>
  <c r="AY1988" i="3"/>
  <c r="AV1988" i="3"/>
  <c r="BA1988" i="3"/>
  <c r="AY1980" i="3"/>
  <c r="AZ1980" i="3"/>
  <c r="BA1980" i="3"/>
  <c r="AU1980" i="3"/>
  <c r="AY1972" i="3"/>
  <c r="AT1972" i="3"/>
  <c r="AX1972" i="3"/>
  <c r="AS1972" i="3"/>
  <c r="AY1964" i="3"/>
  <c r="AW1964" i="3"/>
  <c r="AV1964" i="3"/>
  <c r="AR1964" i="3"/>
  <c r="AV1956" i="3"/>
  <c r="AX1956" i="3"/>
  <c r="AS1956" i="3"/>
  <c r="AY1956" i="3"/>
  <c r="AR1948" i="3"/>
  <c r="AZ1948" i="3"/>
  <c r="AX1948" i="3"/>
  <c r="AY1948" i="3"/>
  <c r="AT1948" i="3"/>
  <c r="AU1940" i="3"/>
  <c r="AW1940" i="3"/>
  <c r="AR1940" i="3"/>
  <c r="AX1940" i="3"/>
  <c r="AU1932" i="3"/>
  <c r="AS1932" i="3"/>
  <c r="AV1932" i="3"/>
  <c r="AZ1932" i="3"/>
  <c r="AS1924" i="3"/>
  <c r="BA1924" i="3"/>
  <c r="AV1924" i="3"/>
  <c r="AT1924" i="3"/>
  <c r="AY1924" i="3"/>
  <c r="AW1916" i="3"/>
  <c r="AV1916" i="3"/>
  <c r="BA1916" i="3"/>
  <c r="AU1916" i="3"/>
  <c r="AR1908" i="3"/>
  <c r="AZ1908" i="3"/>
  <c r="AW1908" i="3"/>
  <c r="AY1908" i="3"/>
  <c r="AT1908" i="3"/>
  <c r="AR1900" i="3"/>
  <c r="AZ1900" i="3"/>
  <c r="AY1900" i="3"/>
  <c r="AS1900" i="3"/>
  <c r="AW1900" i="3"/>
  <c r="AY1892" i="3"/>
  <c r="AU1892" i="3"/>
  <c r="AT1892" i="3"/>
  <c r="AW1892" i="3"/>
  <c r="AY1884" i="3"/>
  <c r="AR1884" i="3"/>
  <c r="BA1884" i="3"/>
  <c r="AS1884" i="3"/>
  <c r="AX1884" i="3"/>
  <c r="AW1884" i="3"/>
  <c r="AR1876" i="3"/>
  <c r="AY1876" i="3"/>
  <c r="AW1876" i="3"/>
  <c r="AS1876" i="3"/>
  <c r="AX1876" i="3"/>
  <c r="AS1868" i="3"/>
  <c r="AW1868" i="3"/>
  <c r="AR1868" i="3"/>
  <c r="AT1868" i="3"/>
  <c r="AY1868" i="3"/>
  <c r="AY1860" i="3"/>
  <c r="AS1860" i="3"/>
  <c r="AV1860" i="3"/>
  <c r="AW1860" i="3"/>
  <c r="AW1852" i="3"/>
  <c r="AR1852" i="3"/>
  <c r="AY1852" i="3"/>
  <c r="AU1852" i="3"/>
  <c r="AX1844" i="3"/>
  <c r="AV1844" i="3"/>
  <c r="AW1844" i="3"/>
  <c r="BA1836" i="3"/>
  <c r="AZ1836" i="3"/>
  <c r="AW1836" i="3"/>
  <c r="AR1828" i="3"/>
  <c r="AS1828" i="3"/>
  <c r="AT1828" i="3"/>
  <c r="AY1820" i="3"/>
  <c r="AT1820" i="3"/>
  <c r="AW1812" i="3"/>
  <c r="AX1812" i="3"/>
  <c r="AY1812" i="3"/>
  <c r="AR1804" i="3"/>
  <c r="AT1804" i="3"/>
  <c r="AS1804" i="3"/>
  <c r="AT1788" i="3"/>
  <c r="AR1788" i="3"/>
  <c r="AV1788" i="3"/>
  <c r="AY1780" i="3"/>
  <c r="AZ1780" i="3"/>
  <c r="AU1780" i="3"/>
  <c r="BA1772" i="3"/>
  <c r="AR1772" i="3"/>
  <c r="AS1764" i="3"/>
  <c r="AT1764" i="3"/>
  <c r="AS1756" i="3"/>
  <c r="AT1756" i="3"/>
  <c r="AR1756" i="3"/>
  <c r="AW1748" i="3"/>
  <c r="AX1748" i="3"/>
  <c r="AY1748" i="3"/>
  <c r="AW1732" i="3"/>
  <c r="AZ1732" i="3"/>
  <c r="AU1708" i="3"/>
  <c r="AV1708" i="3"/>
  <c r="AY1692" i="3"/>
  <c r="AU1692" i="3"/>
  <c r="AX1668" i="3"/>
  <c r="AW1668" i="3"/>
  <c r="AY1668" i="3"/>
  <c r="AV1644" i="3"/>
  <c r="AZ1644" i="3"/>
  <c r="AT1620" i="3"/>
  <c r="BA1620" i="3"/>
  <c r="AR1612" i="3"/>
  <c r="AT1612" i="3"/>
  <c r="AW1596" i="3"/>
  <c r="AX1596" i="3"/>
  <c r="AS1588" i="3"/>
  <c r="BA1588" i="3"/>
  <c r="AT1580" i="3"/>
  <c r="AU1580" i="3"/>
  <c r="AZ1556" i="3"/>
  <c r="AY1556" i="3"/>
  <c r="AT1508" i="3"/>
  <c r="AV1508" i="3"/>
  <c r="AW1492" i="3"/>
  <c r="AV1492" i="3"/>
  <c r="AW1476" i="3"/>
  <c r="AZ1476" i="3"/>
  <c r="AV1460" i="3"/>
  <c r="BA1460" i="3"/>
  <c r="AX1460" i="3"/>
  <c r="AR1444" i="3"/>
  <c r="AV1444" i="3"/>
  <c r="AX1444" i="3"/>
  <c r="AX1396" i="3"/>
  <c r="AS1396" i="3"/>
  <c r="AT1348" i="3"/>
  <c r="AS1348" i="3"/>
  <c r="AV1260" i="3"/>
  <c r="AZ1260" i="3"/>
  <c r="AS1244" i="3"/>
  <c r="AW1244" i="3"/>
  <c r="AR1220" i="3"/>
  <c r="AV1220" i="3"/>
  <c r="AT1180" i="3"/>
  <c r="AY1180" i="3"/>
  <c r="AY1036" i="3"/>
  <c r="BA1036" i="3"/>
  <c r="AV1028" i="3"/>
  <c r="AU1028" i="3"/>
  <c r="AV988" i="3"/>
  <c r="AR988" i="3"/>
  <c r="AW956" i="3"/>
  <c r="AU956" i="3"/>
  <c r="AU916" i="3"/>
  <c r="AS916" i="3"/>
  <c r="AW2196" i="3"/>
  <c r="AV2188" i="3"/>
  <c r="AX2180" i="3"/>
  <c r="AZ2172" i="3"/>
  <c r="AY2164" i="3"/>
  <c r="AY2156" i="3"/>
  <c r="BA2148" i="3"/>
  <c r="AR2140" i="3"/>
  <c r="AR2132" i="3"/>
  <c r="AT2124" i="3"/>
  <c r="AR2116" i="3"/>
  <c r="BA2100" i="3"/>
  <c r="AX2092" i="3"/>
  <c r="AX2084" i="3"/>
  <c r="AY2076" i="3"/>
  <c r="AY2068" i="3"/>
  <c r="AY2060" i="3"/>
  <c r="AZ2052" i="3"/>
  <c r="AY2044" i="3"/>
  <c r="AW2036" i="3"/>
  <c r="AW2020" i="3"/>
  <c r="AZ2012" i="3"/>
  <c r="AR1996" i="3"/>
  <c r="AS1964" i="3"/>
  <c r="AR1956" i="3"/>
  <c r="AS1948" i="3"/>
  <c r="AY1932" i="3"/>
  <c r="AT1916" i="3"/>
  <c r="AX1908" i="3"/>
  <c r="AV1900" i="3"/>
  <c r="AV1884" i="3"/>
  <c r="AX1868" i="3"/>
  <c r="AU1756" i="3"/>
  <c r="AY1588" i="3"/>
  <c r="AX1436" i="3"/>
  <c r="AS1308" i="3"/>
  <c r="AY2332" i="3"/>
  <c r="BA2324" i="3"/>
  <c r="AU2316" i="3"/>
  <c r="AU2308" i="3"/>
  <c r="AX2300" i="3"/>
  <c r="BA2292" i="3"/>
  <c r="AZ2284" i="3"/>
  <c r="BA2268" i="3"/>
  <c r="AR2260" i="3"/>
  <c r="AR2244" i="3"/>
  <c r="AR2236" i="3"/>
  <c r="AR2228" i="3"/>
  <c r="AR2220" i="3"/>
  <c r="AS2212" i="3"/>
  <c r="AT2204" i="3"/>
  <c r="AV2196" i="3"/>
  <c r="AU2188" i="3"/>
  <c r="AW2180" i="3"/>
  <c r="AY2172" i="3"/>
  <c r="AX2164" i="3"/>
  <c r="AW2156" i="3"/>
  <c r="AZ2148" i="3"/>
  <c r="BA2140" i="3"/>
  <c r="BA2132" i="3"/>
  <c r="AS2124" i="3"/>
  <c r="BA2116" i="3"/>
  <c r="AZ2108" i="3"/>
  <c r="AZ2100" i="3"/>
  <c r="AW2092" i="3"/>
  <c r="AW2084" i="3"/>
  <c r="AR2080" i="3"/>
  <c r="AW2076" i="3"/>
  <c r="AS2072" i="3"/>
  <c r="AW2068" i="3"/>
  <c r="AS2064" i="3"/>
  <c r="AX2060" i="3"/>
  <c r="AT2056" i="3"/>
  <c r="AY2052" i="3"/>
  <c r="AR2048" i="3"/>
  <c r="AW2044" i="3"/>
  <c r="AU2036" i="3"/>
  <c r="AX2032" i="3"/>
  <c r="AR2024" i="3"/>
  <c r="AU2020" i="3"/>
  <c r="AT2016" i="3"/>
  <c r="AY2012" i="3"/>
  <c r="AY2008" i="3"/>
  <c r="AZ2000" i="3"/>
  <c r="AZ1992" i="3"/>
  <c r="AU1984" i="3"/>
  <c r="AX1980" i="3"/>
  <c r="BA1972" i="3"/>
  <c r="BA1940" i="3"/>
  <c r="AX1932" i="3"/>
  <c r="AU1928" i="3"/>
  <c r="AS1916" i="3"/>
  <c r="AV1908" i="3"/>
  <c r="AW1904" i="3"/>
  <c r="AU1900" i="3"/>
  <c r="BA1892" i="3"/>
  <c r="AU1884" i="3"/>
  <c r="AV1868" i="3"/>
  <c r="AU1848" i="3"/>
  <c r="AS1840" i="3"/>
  <c r="AV1816" i="3"/>
  <c r="AV1808" i="3"/>
  <c r="AU1800" i="3"/>
  <c r="AU1788" i="3"/>
  <c r="BA1776" i="3"/>
  <c r="AU1728" i="3"/>
  <c r="AR1712" i="3"/>
  <c r="AR1680" i="3"/>
  <c r="AY1608" i="3"/>
  <c r="AR1588" i="3"/>
  <c r="AT1472" i="3"/>
  <c r="AV1356" i="3"/>
  <c r="AW1276" i="3"/>
  <c r="AS1004" i="3"/>
  <c r="AS2326" i="3"/>
  <c r="BA2326" i="3"/>
  <c r="AS2310" i="3"/>
  <c r="BA2310" i="3"/>
  <c r="AS2206" i="3"/>
  <c r="BA2206" i="3"/>
  <c r="AS2190" i="3"/>
  <c r="BA2190" i="3"/>
  <c r="AR2134" i="3"/>
  <c r="AZ2134" i="3"/>
  <c r="AS2110" i="3"/>
  <c r="BA2110" i="3"/>
  <c r="AR2086" i="3"/>
  <c r="AZ2086" i="3"/>
  <c r="AY2078" i="3"/>
  <c r="AW2078" i="3"/>
  <c r="AY2070" i="3"/>
  <c r="AZ2070" i="3"/>
  <c r="AY2062" i="3"/>
  <c r="AS2062" i="3"/>
  <c r="AR2054" i="3"/>
  <c r="AZ2054" i="3"/>
  <c r="AV2054" i="3"/>
  <c r="AS2046" i="3"/>
  <c r="BA2046" i="3"/>
  <c r="AY2046" i="3"/>
  <c r="AS2038" i="3"/>
  <c r="BA2038" i="3"/>
  <c r="AR2038" i="3"/>
  <c r="AX2030" i="3"/>
  <c r="AR2030" i="3"/>
  <c r="BA2030" i="3"/>
  <c r="AS2022" i="3"/>
  <c r="BA2022" i="3"/>
  <c r="AX2022" i="3"/>
  <c r="AU2014" i="3"/>
  <c r="AS2014" i="3"/>
  <c r="AY2006" i="3"/>
  <c r="AR2006" i="3"/>
  <c r="BA2006" i="3"/>
  <c r="AR1998" i="3"/>
  <c r="AZ1998" i="3"/>
  <c r="AV1998" i="3"/>
  <c r="AY1990" i="3"/>
  <c r="AX1990" i="3"/>
  <c r="AV1982" i="3"/>
  <c r="AY1982" i="3"/>
  <c r="AY1974" i="3"/>
  <c r="AV1974" i="3"/>
  <c r="AS1974" i="3"/>
  <c r="AT1966" i="3"/>
  <c r="AX1966" i="3"/>
  <c r="AY1966" i="3"/>
  <c r="AV1958" i="3"/>
  <c r="AT1958" i="3"/>
  <c r="AY1958" i="3"/>
  <c r="AW1950" i="3"/>
  <c r="AX1950" i="3"/>
  <c r="AY1950" i="3"/>
  <c r="AY1942" i="3"/>
  <c r="AT1942" i="3"/>
  <c r="AX1942" i="3"/>
  <c r="AV1934" i="3"/>
  <c r="AU1934" i="3"/>
  <c r="AW1934" i="3"/>
  <c r="AT1926" i="3"/>
  <c r="AU1926" i="3"/>
  <c r="BA1926" i="3"/>
  <c r="AW1910" i="3"/>
  <c r="AU1910" i="3"/>
  <c r="AS1902" i="3"/>
  <c r="AY1902" i="3"/>
  <c r="AZ1902" i="3"/>
  <c r="AX1894" i="3"/>
  <c r="BA1894" i="3"/>
  <c r="AT1894" i="3"/>
  <c r="AV1894" i="3"/>
  <c r="AT1878" i="3"/>
  <c r="BA1878" i="3"/>
  <c r="AZ1878" i="3"/>
  <c r="AT1870" i="3"/>
  <c r="AS1870" i="3"/>
  <c r="AT1862" i="3"/>
  <c r="AR1862" i="3"/>
  <c r="AX1862" i="3"/>
  <c r="AS1862" i="3"/>
  <c r="AR1854" i="3"/>
  <c r="AU1854" i="3"/>
  <c r="AV1854" i="3"/>
  <c r="AU1846" i="3"/>
  <c r="AS1846" i="3"/>
  <c r="BA1846" i="3"/>
  <c r="AZ1838" i="3"/>
  <c r="AX1838" i="3"/>
  <c r="AR1830" i="3"/>
  <c r="AY1830" i="3"/>
  <c r="AT1822" i="3"/>
  <c r="AZ1822" i="3"/>
  <c r="AX1814" i="3"/>
  <c r="AU1814" i="3"/>
  <c r="AW1814" i="3"/>
  <c r="AY1798" i="3"/>
  <c r="BA1798" i="3"/>
  <c r="AW1790" i="3"/>
  <c r="AT1790" i="3"/>
  <c r="BA1750" i="3"/>
  <c r="AW1750" i="3"/>
  <c r="AR1678" i="3"/>
  <c r="AV1678" i="3"/>
  <c r="AU1518" i="3"/>
  <c r="AY1518" i="3"/>
  <c r="AR2301" i="3"/>
  <c r="AZ2301" i="3"/>
  <c r="AR2285" i="3"/>
  <c r="AZ2285" i="3"/>
  <c r="AS2269" i="3"/>
  <c r="BA2269" i="3"/>
  <c r="AS2253" i="3"/>
  <c r="BA2253" i="3"/>
  <c r="AS2237" i="3"/>
  <c r="BA2237" i="3"/>
  <c r="AS2221" i="3"/>
  <c r="BA2221" i="3"/>
  <c r="AR2181" i="3"/>
  <c r="AZ2181" i="3"/>
  <c r="AR2165" i="3"/>
  <c r="AZ2165" i="3"/>
  <c r="AS2149" i="3"/>
  <c r="BA2149" i="3"/>
  <c r="AR2117" i="3"/>
  <c r="AZ2117" i="3"/>
  <c r="AX2093" i="3"/>
  <c r="AZ2093" i="3"/>
  <c r="AX2085" i="3"/>
  <c r="AS2085" i="3"/>
  <c r="AX2077" i="3"/>
  <c r="AR2077" i="3"/>
  <c r="BA2077" i="3"/>
  <c r="AW2077" i="3"/>
  <c r="AX2069" i="3"/>
  <c r="AR2069" i="3"/>
  <c r="BA2069" i="3"/>
  <c r="AZ2069" i="3"/>
  <c r="AX2061" i="3"/>
  <c r="AR2061" i="3"/>
  <c r="BA2061" i="3"/>
  <c r="AS2061" i="3"/>
  <c r="AX2053" i="3"/>
  <c r="AS2053" i="3"/>
  <c r="AV2053" i="3"/>
  <c r="AX2045" i="3"/>
  <c r="AT2045" i="3"/>
  <c r="AZ2045" i="3"/>
  <c r="AX2037" i="3"/>
  <c r="AT2037" i="3"/>
  <c r="AR2037" i="3"/>
  <c r="AX2029" i="3"/>
  <c r="AZ2029" i="3"/>
  <c r="AR2029" i="3"/>
  <c r="AX2021" i="3"/>
  <c r="AT2021" i="3"/>
  <c r="AY2021" i="3"/>
  <c r="AX2013" i="3"/>
  <c r="AV2013" i="3"/>
  <c r="AS2013" i="3"/>
  <c r="AX2005" i="3"/>
  <c r="AR2005" i="3"/>
  <c r="BA2005" i="3"/>
  <c r="AW1997" i="3"/>
  <c r="AS1997" i="3"/>
  <c r="AV1997" i="3"/>
  <c r="AV1989" i="3"/>
  <c r="AR1989" i="3"/>
  <c r="BA1989" i="3"/>
  <c r="AY1989" i="3"/>
  <c r="AU1981" i="3"/>
  <c r="AX1981" i="3"/>
  <c r="AZ1981" i="3"/>
  <c r="AT1973" i="3"/>
  <c r="AX1973" i="3"/>
  <c r="AS1973" i="3"/>
  <c r="AS1965" i="3"/>
  <c r="AX1965" i="3"/>
  <c r="AW1965" i="3"/>
  <c r="AR1957" i="3"/>
  <c r="AU1957" i="3"/>
  <c r="AX1957" i="3"/>
  <c r="AY1949" i="3"/>
  <c r="AX1949" i="3"/>
  <c r="AW1949" i="3"/>
  <c r="AW1941" i="3"/>
  <c r="AS1941" i="3"/>
  <c r="AY1941" i="3"/>
  <c r="AV1933" i="3"/>
  <c r="AT1933" i="3"/>
  <c r="AR1933" i="3"/>
  <c r="AR1925" i="3"/>
  <c r="AX1925" i="3"/>
  <c r="AY1917" i="3"/>
  <c r="AW1917" i="3"/>
  <c r="AX1917" i="3"/>
  <c r="AU1909" i="3"/>
  <c r="BA1909" i="3"/>
  <c r="AT1901" i="3"/>
  <c r="AV1901" i="3"/>
  <c r="AR1885" i="3"/>
  <c r="BA1885" i="3"/>
  <c r="AY1877" i="3"/>
  <c r="AS1877" i="3"/>
  <c r="AX1869" i="3"/>
  <c r="AY1869" i="3"/>
  <c r="AZ1869" i="3"/>
  <c r="AT1845" i="3"/>
  <c r="AZ1845" i="3"/>
  <c r="AU1797" i="3"/>
  <c r="AT1797" i="3"/>
  <c r="AS1741" i="3"/>
  <c r="BA1741" i="3"/>
  <c r="AW1725" i="3"/>
  <c r="AS1725" i="3"/>
  <c r="AR2291" i="3"/>
  <c r="AZ2291" i="3"/>
  <c r="AS2275" i="3"/>
  <c r="BA2275" i="3"/>
  <c r="AS2259" i="3"/>
  <c r="BA2259" i="3"/>
  <c r="AS2243" i="3"/>
  <c r="BA2243" i="3"/>
  <c r="AS2227" i="3"/>
  <c r="BA2227" i="3"/>
  <c r="AS2211" i="3"/>
  <c r="BA2211" i="3"/>
  <c r="AR2171" i="3"/>
  <c r="AZ2171" i="3"/>
  <c r="AR2155" i="3"/>
  <c r="AZ2155" i="3"/>
  <c r="AS2139" i="3"/>
  <c r="BA2139" i="3"/>
  <c r="AR2123" i="3"/>
  <c r="AS2123" i="3"/>
  <c r="AV2115" i="3"/>
  <c r="AU2115" i="3"/>
  <c r="AR2107" i="3"/>
  <c r="AX2107" i="3"/>
  <c r="AV2099" i="3"/>
  <c r="AR2099" i="3"/>
  <c r="BA2099" i="3"/>
  <c r="AY2091" i="3"/>
  <c r="AT2091" i="3"/>
  <c r="AT2083" i="3"/>
  <c r="AS2083" i="3"/>
  <c r="AU2083" i="3"/>
  <c r="AW2075" i="3"/>
  <c r="AT2075" i="3"/>
  <c r="AX2075" i="3"/>
  <c r="AR2067" i="3"/>
  <c r="AT2067" i="3"/>
  <c r="BA2067" i="3"/>
  <c r="AU2059" i="3"/>
  <c r="AT2059" i="3"/>
  <c r="AR2059" i="3"/>
  <c r="AX2051" i="3"/>
  <c r="AU2051" i="3"/>
  <c r="AV2051" i="3"/>
  <c r="AT2043" i="3"/>
  <c r="AX2043" i="3"/>
  <c r="BA2043" i="3"/>
  <c r="AT2035" i="3"/>
  <c r="AS2035" i="3"/>
  <c r="AT2019" i="3"/>
  <c r="AS2019" i="3"/>
  <c r="AY2019" i="3"/>
  <c r="AT2011" i="3"/>
  <c r="AY2011" i="3"/>
  <c r="AR1987" i="3"/>
  <c r="AU1987" i="3"/>
  <c r="AY1979" i="3"/>
  <c r="AW1979" i="3"/>
  <c r="AU1979" i="3"/>
  <c r="AX1971" i="3"/>
  <c r="AZ1971" i="3"/>
  <c r="AW1963" i="3"/>
  <c r="AZ1963" i="3"/>
  <c r="AV1955" i="3"/>
  <c r="AS1955" i="3"/>
  <c r="AU1947" i="3"/>
  <c r="AV1947" i="3"/>
  <c r="AV1899" i="3"/>
  <c r="AT1899" i="3"/>
  <c r="AW1891" i="3"/>
  <c r="BA1891" i="3"/>
  <c r="AR1867" i="3"/>
  <c r="AU1867" i="3"/>
  <c r="AV1851" i="3"/>
  <c r="AT1851" i="3"/>
  <c r="AU1843" i="3"/>
  <c r="AT1843" i="3"/>
  <c r="AZ1835" i="3"/>
  <c r="AY1835" i="3"/>
  <c r="BA1763" i="3"/>
  <c r="AZ1763" i="3"/>
  <c r="AS1723" i="3"/>
  <c r="AV1723" i="3"/>
  <c r="AS1715" i="3"/>
  <c r="BA1715" i="3"/>
  <c r="AS1691" i="3"/>
  <c r="AV1691" i="3"/>
  <c r="AX1683" i="3"/>
  <c r="AV1683" i="3"/>
  <c r="AT1675" i="3"/>
  <c r="AV1675" i="3"/>
  <c r="BA2589" i="3"/>
  <c r="BA2565" i="3"/>
  <c r="BA2549" i="3"/>
  <c r="BA2541" i="3"/>
  <c r="BA2533" i="3"/>
  <c r="AZ2525" i="3"/>
  <c r="BA2507" i="3"/>
  <c r="AZ2485" i="3"/>
  <c r="AZ2467" i="3"/>
  <c r="AZ2453" i="3"/>
  <c r="BA2443" i="3"/>
  <c r="AZ2413" i="3"/>
  <c r="AZ2403" i="3"/>
  <c r="AZ2397" i="3"/>
  <c r="AZ2387" i="3"/>
  <c r="BA2381" i="3"/>
  <c r="AY2331" i="3"/>
  <c r="AT2325" i="3"/>
  <c r="AV2323" i="3"/>
  <c r="AS2317" i="3"/>
  <c r="AT2315" i="3"/>
  <c r="AY2309" i="3"/>
  <c r="BA2307" i="3"/>
  <c r="AR2307" i="3"/>
  <c r="AX2301" i="3"/>
  <c r="AZ2299" i="3"/>
  <c r="AU2293" i="3"/>
  <c r="AW2291" i="3"/>
  <c r="BA2286" i="3"/>
  <c r="AR2286" i="3"/>
  <c r="AS2285" i="3"/>
  <c r="AT2283" i="3"/>
  <c r="AY2278" i="3"/>
  <c r="AZ2277" i="3"/>
  <c r="AR2275" i="3"/>
  <c r="AV2270" i="3"/>
  <c r="AW2269" i="3"/>
  <c r="AY2267" i="3"/>
  <c r="AS2262" i="3"/>
  <c r="AT2261" i="3"/>
  <c r="AV2259" i="3"/>
  <c r="AZ2254" i="3"/>
  <c r="AZ2253" i="3"/>
  <c r="AS2251" i="3"/>
  <c r="AW2246" i="3"/>
  <c r="AX2245" i="3"/>
  <c r="AY2243" i="3"/>
  <c r="AT2238" i="3"/>
  <c r="AU2237" i="3"/>
  <c r="AV2235" i="3"/>
  <c r="AZ2230" i="3"/>
  <c r="BA2229" i="3"/>
  <c r="AR2229" i="3"/>
  <c r="AT2227" i="3"/>
  <c r="AW2222" i="3"/>
  <c r="AX2221" i="3"/>
  <c r="AZ2219" i="3"/>
  <c r="AT2214" i="3"/>
  <c r="AU2213" i="3"/>
  <c r="AW2211" i="3"/>
  <c r="AT2206" i="3"/>
  <c r="AT2205" i="3"/>
  <c r="AV2203" i="3"/>
  <c r="BA2198" i="3"/>
  <c r="AR2198" i="3"/>
  <c r="AS2197" i="3"/>
  <c r="AT2195" i="3"/>
  <c r="AX2190" i="3"/>
  <c r="AY2189" i="3"/>
  <c r="BA2187" i="3"/>
  <c r="AR2187" i="3"/>
  <c r="AW2182" i="3"/>
  <c r="AX2181" i="3"/>
  <c r="AZ2179" i="3"/>
  <c r="AU2174" i="3"/>
  <c r="AU2173" i="3"/>
  <c r="AW2171" i="3"/>
  <c r="BA2166" i="3"/>
  <c r="AR2166" i="3"/>
  <c r="AS2165" i="3"/>
  <c r="AT2163" i="3"/>
  <c r="AX2158" i="3"/>
  <c r="AY2157" i="3"/>
  <c r="BA2155" i="3"/>
  <c r="AV2150" i="3"/>
  <c r="AW2149" i="3"/>
  <c r="AY2147" i="3"/>
  <c r="AS2142" i="3"/>
  <c r="AT2141" i="3"/>
  <c r="AV2139" i="3"/>
  <c r="BA2134" i="3"/>
  <c r="BA2133" i="3"/>
  <c r="AR2133" i="3"/>
  <c r="AT2131" i="3"/>
  <c r="AY2126" i="3"/>
  <c r="AZ2125" i="3"/>
  <c r="BA2123" i="3"/>
  <c r="AT2118" i="3"/>
  <c r="AU2117" i="3"/>
  <c r="AW2115" i="3"/>
  <c r="AY2110" i="3"/>
  <c r="AZ2109" i="3"/>
  <c r="AT2102" i="3"/>
  <c r="AU2101" i="3"/>
  <c r="AW2099" i="3"/>
  <c r="AZ2094" i="3"/>
  <c r="BA2093" i="3"/>
  <c r="BA2091" i="3"/>
  <c r="AU2086" i="3"/>
  <c r="AU2085" i="3"/>
  <c r="AR2083" i="3"/>
  <c r="AT2078" i="3"/>
  <c r="AS2077" i="3"/>
  <c r="BA2070" i="3"/>
  <c r="AY2069" i="3"/>
  <c r="AW2067" i="3"/>
  <c r="AV2062" i="3"/>
  <c r="AU2061" i="3"/>
  <c r="AS2054" i="3"/>
  <c r="AZ2051" i="3"/>
  <c r="AZ2046" i="3"/>
  <c r="AY2045" i="3"/>
  <c r="AV2043" i="3"/>
  <c r="AV2038" i="3"/>
  <c r="AU2037" i="3"/>
  <c r="AY2030" i="3"/>
  <c r="AW2029" i="3"/>
  <c r="AZ2022" i="3"/>
  <c r="AZ2021" i="3"/>
  <c r="AY2014" i="3"/>
  <c r="AY2013" i="3"/>
  <c r="AR2011" i="3"/>
  <c r="AZ2005" i="3"/>
  <c r="AX2003" i="3"/>
  <c r="BA1998" i="3"/>
  <c r="AZ1997" i="3"/>
  <c r="AU1995" i="3"/>
  <c r="AW1990" i="3"/>
  <c r="AW1989" i="3"/>
  <c r="AR1982" i="3"/>
  <c r="AS1979" i="3"/>
  <c r="BA1974" i="3"/>
  <c r="AZ1973" i="3"/>
  <c r="BA1966" i="3"/>
  <c r="AY1965" i="3"/>
  <c r="AW1958" i="3"/>
  <c r="AT1957" i="3"/>
  <c r="BA1949" i="3"/>
  <c r="AV1942" i="3"/>
  <c r="AR1941" i="3"/>
  <c r="AY1933" i="3"/>
  <c r="AW1925" i="3"/>
  <c r="AX1918" i="3"/>
  <c r="AX1915" i="3"/>
  <c r="AY1910" i="3"/>
  <c r="AX1901" i="3"/>
  <c r="AY1899" i="3"/>
  <c r="AX1893" i="3"/>
  <c r="AV1891" i="3"/>
  <c r="AV1886" i="3"/>
  <c r="AZ1883" i="3"/>
  <c r="AS1878" i="3"/>
  <c r="AW1870" i="3"/>
  <c r="AY1861" i="3"/>
  <c r="AV1845" i="3"/>
  <c r="AS1822" i="3"/>
  <c r="AT1806" i="3"/>
  <c r="AS1798" i="3"/>
  <c r="AX1733" i="3"/>
  <c r="E2858" i="3"/>
  <c r="C151" i="17"/>
  <c r="E2977" i="3"/>
  <c r="E2823" i="3"/>
  <c r="E3011" i="3"/>
  <c r="C2948" i="3"/>
  <c r="C2949" i="3"/>
  <c r="C382" i="4"/>
  <c r="C2942" i="3"/>
  <c r="E2974" i="3"/>
  <c r="E2833" i="3"/>
  <c r="E151" i="17"/>
  <c r="C1192" i="13"/>
  <c r="AZ2861" i="3"/>
  <c r="E1122" i="13"/>
  <c r="E2854" i="3"/>
  <c r="C3005" i="3"/>
  <c r="E1180" i="13"/>
  <c r="E1191" i="13"/>
  <c r="E2862" i="3"/>
  <c r="E3016" i="3"/>
  <c r="E153" i="17"/>
  <c r="AU383" i="4"/>
  <c r="E383" i="4"/>
  <c r="E2998" i="3"/>
  <c r="C2795" i="3"/>
  <c r="E2983" i="3"/>
  <c r="E2861" i="3"/>
  <c r="E2603" i="3"/>
  <c r="E2821" i="3"/>
  <c r="E2940" i="3"/>
  <c r="C2813" i="3"/>
  <c r="E2947" i="3"/>
  <c r="C2862" i="3"/>
  <c r="C3016" i="3"/>
  <c r="C153" i="17"/>
  <c r="E2948" i="3"/>
  <c r="E2949" i="3"/>
  <c r="E382" i="4"/>
  <c r="AQ383" i="4"/>
  <c r="C383" i="4"/>
  <c r="C2994" i="3"/>
  <c r="C2983" i="3"/>
  <c r="BA2035" i="3"/>
  <c r="AR2035" i="3"/>
  <c r="AU2027" i="3"/>
  <c r="AU2019" i="3"/>
  <c r="AS2011" i="3"/>
  <c r="AS2003" i="3"/>
  <c r="AX1995" i="3"/>
  <c r="AT1987" i="3"/>
  <c r="AV1979" i="3"/>
  <c r="AT1971" i="3"/>
  <c r="BA1963" i="3"/>
  <c r="AR1963" i="3"/>
  <c r="AW1955" i="3"/>
  <c r="AY1947" i="3"/>
  <c r="AZ1939" i="3"/>
  <c r="AW1931" i="3"/>
  <c r="AS1923" i="3"/>
  <c r="AW1915" i="3"/>
  <c r="AX1907" i="3"/>
  <c r="AX1899" i="3"/>
  <c r="AU1891" i="3"/>
  <c r="AR1883" i="3"/>
  <c r="AU1875" i="3"/>
  <c r="AY1867" i="3"/>
  <c r="AY1859" i="3"/>
  <c r="AS1851" i="3"/>
  <c r="AY1843" i="3"/>
  <c r="AU1827" i="3"/>
  <c r="AS1819" i="3"/>
  <c r="AS1811" i="3"/>
  <c r="BA1787" i="3"/>
  <c r="AU1779" i="3"/>
  <c r="AT1763" i="3"/>
  <c r="AU1747" i="3"/>
  <c r="AT1723" i="3"/>
  <c r="AW1715" i="3"/>
  <c r="AR1659" i="3"/>
  <c r="N153" i="17"/>
  <c r="AP382" i="4"/>
  <c r="AX383" i="4"/>
  <c r="AY1939" i="3"/>
  <c r="AV1931" i="3"/>
  <c r="BA1923" i="3"/>
  <c r="AR1923" i="3"/>
  <c r="AU1915" i="3"/>
  <c r="AW1907" i="3"/>
  <c r="AW1899" i="3"/>
  <c r="AT1891" i="3"/>
  <c r="AT1875" i="3"/>
  <c r="AX1867" i="3"/>
  <c r="AX1859" i="3"/>
  <c r="AX1843" i="3"/>
  <c r="AR1827" i="3"/>
  <c r="AU1787" i="3"/>
  <c r="AR1763" i="3"/>
  <c r="AT1747" i="3"/>
  <c r="AR1723" i="3"/>
  <c r="AW2949" i="3"/>
  <c r="AW2083" i="3"/>
  <c r="AZ2075" i="3"/>
  <c r="AR2075" i="3"/>
  <c r="AU2067" i="3"/>
  <c r="AX2059" i="3"/>
  <c r="BA2051" i="3"/>
  <c r="AS2051" i="3"/>
  <c r="AW2043" i="3"/>
  <c r="AY2035" i="3"/>
  <c r="BA2027" i="3"/>
  <c r="AR2027" i="3"/>
  <c r="BA2019" i="3"/>
  <c r="AR2019" i="3"/>
  <c r="AZ2011" i="3"/>
  <c r="AZ2003" i="3"/>
  <c r="AV1995" i="3"/>
  <c r="BA1987" i="3"/>
  <c r="AT1979" i="3"/>
  <c r="BA1971" i="3"/>
  <c r="AR1971" i="3"/>
  <c r="AY1963" i="3"/>
  <c r="AT1955" i="3"/>
  <c r="AW1947" i="3"/>
  <c r="AX1939" i="3"/>
  <c r="AU1931" i="3"/>
  <c r="AZ1923" i="3"/>
  <c r="AT1915" i="3"/>
  <c r="AV1907" i="3"/>
  <c r="AU1899" i="3"/>
  <c r="AS1891" i="3"/>
  <c r="BA1883" i="3"/>
  <c r="AS1875" i="3"/>
  <c r="AV1867" i="3"/>
  <c r="AV1859" i="3"/>
  <c r="AV1843" i="3"/>
  <c r="BA1795" i="3"/>
  <c r="AT1787" i="3"/>
  <c r="AZ1771" i="3"/>
  <c r="AS1547" i="3"/>
  <c r="AT1483" i="3"/>
  <c r="AS2949" i="3"/>
  <c r="AX382" i="4"/>
  <c r="AT1995" i="3"/>
  <c r="AX1987" i="3"/>
  <c r="BA1979" i="3"/>
  <c r="AR1979" i="3"/>
  <c r="AY1971" i="3"/>
  <c r="AV1963" i="3"/>
  <c r="BA1955" i="3"/>
  <c r="AR1955" i="3"/>
  <c r="AT1947" i="3"/>
  <c r="AV1939" i="3"/>
  <c r="AR1931" i="3"/>
  <c r="AW1923" i="3"/>
  <c r="BA1915" i="3"/>
  <c r="AR1915" i="3"/>
  <c r="AT1907" i="3"/>
  <c r="AS1899" i="3"/>
  <c r="AZ1891" i="3"/>
  <c r="AY1883" i="3"/>
  <c r="AT1867" i="3"/>
  <c r="AT1859" i="3"/>
  <c r="AY1851" i="3"/>
  <c r="AS1843" i="3"/>
  <c r="AX1835" i="3"/>
  <c r="AZ1811" i="3"/>
  <c r="AY1803" i="3"/>
  <c r="AU1795" i="3"/>
  <c r="AU1755" i="3"/>
  <c r="AZ1731" i="3"/>
  <c r="AR1675" i="3"/>
  <c r="AV382" i="4"/>
  <c r="AZ2123" i="3"/>
  <c r="AZ2107" i="3"/>
  <c r="AZ2067" i="3"/>
  <c r="AS2043" i="3"/>
  <c r="AV2035" i="3"/>
  <c r="AX2027" i="3"/>
  <c r="AX2019" i="3"/>
  <c r="AW2011" i="3"/>
  <c r="AW2003" i="3"/>
  <c r="AR1995" i="3"/>
  <c r="AW1987" i="3"/>
  <c r="AZ1979" i="3"/>
  <c r="AW1971" i="3"/>
  <c r="AU1963" i="3"/>
  <c r="AZ1955" i="3"/>
  <c r="AS1947" i="3"/>
  <c r="AU1939" i="3"/>
  <c r="AZ1931" i="3"/>
  <c r="AV1923" i="3"/>
  <c r="AZ1915" i="3"/>
  <c r="AR1907" i="3"/>
  <c r="BA1899" i="3"/>
  <c r="AR1899" i="3"/>
  <c r="AY1891" i="3"/>
  <c r="AV1883" i="3"/>
  <c r="BA1875" i="3"/>
  <c r="AX1851" i="3"/>
  <c r="AV1835" i="3"/>
  <c r="AZ1827" i="3"/>
  <c r="BA1819" i="3"/>
  <c r="AY1811" i="3"/>
  <c r="AX1803" i="3"/>
  <c r="AT1795" i="3"/>
  <c r="AZ1779" i="3"/>
  <c r="AT1755" i="3"/>
  <c r="AT1731" i="3"/>
  <c r="BA1587" i="3"/>
  <c r="AR1307" i="3"/>
  <c r="AU382" i="4"/>
  <c r="AU2035" i="3"/>
  <c r="AW2027" i="3"/>
  <c r="AW2019" i="3"/>
  <c r="AV2011" i="3"/>
  <c r="AV2003" i="3"/>
  <c r="AZ1995" i="3"/>
  <c r="AV1987" i="3"/>
  <c r="AX1979" i="3"/>
  <c r="AV1971" i="3"/>
  <c r="AT1963" i="3"/>
  <c r="AY1955" i="3"/>
  <c r="BA1947" i="3"/>
  <c r="AR1947" i="3"/>
  <c r="AS1939" i="3"/>
  <c r="AY1931" i="3"/>
  <c r="AU1923" i="3"/>
  <c r="AY1915" i="3"/>
  <c r="AZ1907" i="3"/>
  <c r="AZ1899" i="3"/>
  <c r="AX1891" i="3"/>
  <c r="AU1883" i="3"/>
  <c r="AX1875" i="3"/>
  <c r="AU1851" i="3"/>
  <c r="AS1835" i="3"/>
  <c r="AY1827" i="3"/>
  <c r="AV1819" i="3"/>
  <c r="AU1811" i="3"/>
  <c r="AS1803" i="3"/>
  <c r="AY1779" i="3"/>
  <c r="AW1611" i="3"/>
  <c r="AU1555" i="3"/>
  <c r="AT382" i="4"/>
  <c r="AR382" i="4"/>
  <c r="AS383" i="4"/>
  <c r="AQ382" i="4"/>
  <c r="AW382" i="4"/>
  <c r="AZ1960" i="3"/>
  <c r="AR1960" i="3"/>
  <c r="BA1952" i="3"/>
  <c r="AS1952" i="3"/>
  <c r="AT1944" i="3"/>
  <c r="BA1936" i="3"/>
  <c r="AS1936" i="3"/>
  <c r="AW1928" i="3"/>
  <c r="BA1920" i="3"/>
  <c r="AR1920" i="3"/>
  <c r="AS1912" i="3"/>
  <c r="BA1904" i="3"/>
  <c r="AR1904" i="3"/>
  <c r="AY1896" i="3"/>
  <c r="AT1888" i="3"/>
  <c r="AV1880" i="3"/>
  <c r="AV1872" i="3"/>
  <c r="AV1864" i="3"/>
  <c r="BA1856" i="3"/>
  <c r="AR1856" i="3"/>
  <c r="AT1848" i="3"/>
  <c r="AU1840" i="3"/>
  <c r="AV1832" i="3"/>
  <c r="AU1824" i="3"/>
  <c r="AY1816" i="3"/>
  <c r="AX1808" i="3"/>
  <c r="AT1800" i="3"/>
  <c r="AW1792" i="3"/>
  <c r="AZ1784" i="3"/>
  <c r="AT1776" i="3"/>
  <c r="AU1768" i="3"/>
  <c r="AY1760" i="3"/>
  <c r="AZ1752" i="3"/>
  <c r="AR1744" i="3"/>
  <c r="AZ1736" i="3"/>
  <c r="AY1728" i="3"/>
  <c r="BA1720" i="3"/>
  <c r="AT1712" i="3"/>
  <c r="BA1704" i="3"/>
  <c r="AT1696" i="3"/>
  <c r="AX1688" i="3"/>
  <c r="AW1672" i="3"/>
  <c r="AZ1664" i="3"/>
  <c r="AX1608" i="3"/>
  <c r="AV1600" i="3"/>
  <c r="AV1592" i="3"/>
  <c r="BA1584" i="3"/>
  <c r="AV1568" i="3"/>
  <c r="BA1528" i="3"/>
  <c r="AW1520" i="3"/>
  <c r="AY1496" i="3"/>
  <c r="AX1472" i="3"/>
  <c r="BA1432" i="3"/>
  <c r="AT1352" i="3"/>
  <c r="AS1224" i="3"/>
  <c r="AV1104" i="3"/>
  <c r="AY1056" i="3"/>
  <c r="AT1016" i="3"/>
  <c r="AW1976" i="3"/>
  <c r="AY1968" i="3"/>
  <c r="AY1960" i="3"/>
  <c r="AZ1952" i="3"/>
  <c r="AR1952" i="3"/>
  <c r="BA1944" i="3"/>
  <c r="AS1944" i="3"/>
  <c r="AZ1936" i="3"/>
  <c r="AR1936" i="3"/>
  <c r="AV1928" i="3"/>
  <c r="AZ1920" i="3"/>
  <c r="BA1912" i="3"/>
  <c r="AR1912" i="3"/>
  <c r="AZ1904" i="3"/>
  <c r="AW1896" i="3"/>
  <c r="AS1888" i="3"/>
  <c r="AU1880" i="3"/>
  <c r="AU1872" i="3"/>
  <c r="AZ1856" i="3"/>
  <c r="AT1840" i="3"/>
  <c r="AU1832" i="3"/>
  <c r="AT1824" i="3"/>
  <c r="AX1816" i="3"/>
  <c r="AW1808" i="3"/>
  <c r="AU1792" i="3"/>
  <c r="AS1776" i="3"/>
  <c r="AT1768" i="3"/>
  <c r="AX1760" i="3"/>
  <c r="AY1752" i="3"/>
  <c r="AW1248" i="3"/>
  <c r="AU1168" i="3"/>
  <c r="AS928" i="3"/>
  <c r="AR1864" i="3"/>
  <c r="AZ1864" i="3"/>
  <c r="AS1848" i="3"/>
  <c r="BA1848" i="3"/>
  <c r="AR1800" i="3"/>
  <c r="AZ1800" i="3"/>
  <c r="AS1784" i="3"/>
  <c r="BA1784" i="3"/>
  <c r="AW1744" i="3"/>
  <c r="AZ1744" i="3"/>
  <c r="AV1736" i="3"/>
  <c r="AY1736" i="3"/>
  <c r="AV1728" i="3"/>
  <c r="AZ1728" i="3"/>
  <c r="AT1720" i="3"/>
  <c r="AY1720" i="3"/>
  <c r="AS1720" i="3"/>
  <c r="AY1712" i="3"/>
  <c r="AV1712" i="3"/>
  <c r="AZ1712" i="3"/>
  <c r="AT1704" i="3"/>
  <c r="AU1704" i="3"/>
  <c r="AX1704" i="3"/>
  <c r="AR1696" i="3"/>
  <c r="BA1696" i="3"/>
  <c r="AU1696" i="3"/>
  <c r="AW1688" i="3"/>
  <c r="AV1688" i="3"/>
  <c r="AZ1688" i="3"/>
  <c r="AS1680" i="3"/>
  <c r="AT1680" i="3"/>
  <c r="AW1680" i="3"/>
  <c r="AS1672" i="3"/>
  <c r="AZ1672" i="3"/>
  <c r="AU1672" i="3"/>
  <c r="AS1664" i="3"/>
  <c r="AV1664" i="3"/>
  <c r="AY1664" i="3"/>
  <c r="AS1656" i="3"/>
  <c r="AY1656" i="3"/>
  <c r="AT1656" i="3"/>
  <c r="AX1648" i="3"/>
  <c r="AS1648" i="3"/>
  <c r="AV1648" i="3"/>
  <c r="AT1640" i="3"/>
  <c r="AW1640" i="3"/>
  <c r="AZ1640" i="3"/>
  <c r="AV1632" i="3"/>
  <c r="AX1632" i="3"/>
  <c r="AR1632" i="3"/>
  <c r="BA1632" i="3"/>
  <c r="AS1624" i="3"/>
  <c r="AR1624" i="3"/>
  <c r="AV1624" i="3"/>
  <c r="AV1616" i="3"/>
  <c r="AU1616" i="3"/>
  <c r="AY1616" i="3"/>
  <c r="AS1608" i="3"/>
  <c r="AR1608" i="3"/>
  <c r="AV1608" i="3"/>
  <c r="AU1600" i="3"/>
  <c r="AS1600" i="3"/>
  <c r="AW1600" i="3"/>
  <c r="AX1592" i="3"/>
  <c r="AU1592" i="3"/>
  <c r="AW1592" i="3"/>
  <c r="AR1592" i="3"/>
  <c r="BA1592" i="3"/>
  <c r="AU1584" i="3"/>
  <c r="AR1584" i="3"/>
  <c r="AT1584" i="3"/>
  <c r="AY1584" i="3"/>
  <c r="AX1576" i="3"/>
  <c r="AV1576" i="3"/>
  <c r="AZ1576" i="3"/>
  <c r="AR1576" i="3"/>
  <c r="AS1568" i="3"/>
  <c r="AW1568" i="3"/>
  <c r="AZ1568" i="3"/>
  <c r="AR1568" i="3"/>
  <c r="AT1560" i="3"/>
  <c r="AV1560" i="3"/>
  <c r="AX1560" i="3"/>
  <c r="AV1552" i="3"/>
  <c r="AY1552" i="3"/>
  <c r="AT1552" i="3"/>
  <c r="AR1544" i="3"/>
  <c r="AX1544" i="3"/>
  <c r="AT1544" i="3"/>
  <c r="AU1536" i="3"/>
  <c r="AT1536" i="3"/>
  <c r="AX1536" i="3"/>
  <c r="AT1528" i="3"/>
  <c r="AU1528" i="3"/>
  <c r="AZ1528" i="3"/>
  <c r="AS1520" i="3"/>
  <c r="AV1520" i="3"/>
  <c r="AZ1520" i="3"/>
  <c r="AY1512" i="3"/>
  <c r="AS1512" i="3"/>
  <c r="AW1512" i="3"/>
  <c r="AY1504" i="3"/>
  <c r="AT1504" i="3"/>
  <c r="AZ1504" i="3"/>
  <c r="AV1496" i="3"/>
  <c r="AS1496" i="3"/>
  <c r="AX1496" i="3"/>
  <c r="AT1488" i="3"/>
  <c r="AR1488" i="3"/>
  <c r="AX1488" i="3"/>
  <c r="AX1480" i="3"/>
  <c r="BA1480" i="3"/>
  <c r="AT1480" i="3"/>
  <c r="AY1472" i="3"/>
  <c r="AZ1472" i="3"/>
  <c r="AU1472" i="3"/>
  <c r="AW1464" i="3"/>
  <c r="AY1464" i="3"/>
  <c r="AR1464" i="3"/>
  <c r="AW1456" i="3"/>
  <c r="AU1456" i="3"/>
  <c r="AZ1456" i="3"/>
  <c r="AX1448" i="3"/>
  <c r="AR1448" i="3"/>
  <c r="AU1448" i="3"/>
  <c r="AT1440" i="3"/>
  <c r="AW1440" i="3"/>
  <c r="BA1440" i="3"/>
  <c r="AY1432" i="3"/>
  <c r="AR1432" i="3"/>
  <c r="AW1432" i="3"/>
  <c r="AU1424" i="3"/>
  <c r="AZ1424" i="3"/>
  <c r="AT1424" i="3"/>
  <c r="AS1416" i="3"/>
  <c r="AX1416" i="3"/>
  <c r="AY1408" i="3"/>
  <c r="AR1408" i="3"/>
  <c r="AX1408" i="3"/>
  <c r="AU1400" i="3"/>
  <c r="AT1400" i="3"/>
  <c r="AT1392" i="3"/>
  <c r="BA1392" i="3"/>
  <c r="AS1384" i="3"/>
  <c r="BA1384" i="3"/>
  <c r="AX1376" i="3"/>
  <c r="AU1376" i="3"/>
  <c r="AR1368" i="3"/>
  <c r="AU1368" i="3"/>
  <c r="BA1368" i="3"/>
  <c r="AX1360" i="3"/>
  <c r="AU1360" i="3"/>
  <c r="AV1352" i="3"/>
  <c r="AZ1352" i="3"/>
  <c r="AR1344" i="3"/>
  <c r="AZ1344" i="3"/>
  <c r="AY1336" i="3"/>
  <c r="AR1336" i="3"/>
  <c r="AW1328" i="3"/>
  <c r="AT1328" i="3"/>
  <c r="AY1312" i="3"/>
  <c r="AU1312" i="3"/>
  <c r="AS1304" i="3"/>
  <c r="AV1304" i="3"/>
  <c r="AX1296" i="3"/>
  <c r="AT1296" i="3"/>
  <c r="AY1288" i="3"/>
  <c r="AV1288" i="3"/>
  <c r="AR1280" i="3"/>
  <c r="BA1280" i="3"/>
  <c r="AV1272" i="3"/>
  <c r="BA1272" i="3"/>
  <c r="AZ1264" i="3"/>
  <c r="AS1264" i="3"/>
  <c r="AS1232" i="3"/>
  <c r="AY1232" i="3"/>
  <c r="AX1192" i="3"/>
  <c r="AW1192" i="3"/>
  <c r="AR1184" i="3"/>
  <c r="AS1184" i="3"/>
  <c r="AR1176" i="3"/>
  <c r="AY1176" i="3"/>
  <c r="AR1160" i="3"/>
  <c r="AV1160" i="3"/>
  <c r="AR1144" i="3"/>
  <c r="AW1144" i="3"/>
  <c r="BA1128" i="3"/>
  <c r="AV1128" i="3"/>
  <c r="AR1088" i="3"/>
  <c r="AW1088" i="3"/>
  <c r="BA1072" i="3"/>
  <c r="AT1072" i="3"/>
  <c r="AZ1064" i="3"/>
  <c r="AR1064" i="3"/>
  <c r="BA1000" i="3"/>
  <c r="AZ1000" i="3"/>
  <c r="AX944" i="3"/>
  <c r="AY944" i="3"/>
  <c r="AZ888" i="3"/>
  <c r="AY888" i="3"/>
  <c r="AY824" i="3"/>
  <c r="AV824" i="3"/>
  <c r="AZ784" i="3"/>
  <c r="BA784" i="3"/>
  <c r="AV704" i="3"/>
  <c r="AU704" i="3"/>
  <c r="AT1976" i="3"/>
  <c r="AV1968" i="3"/>
  <c r="AV1960" i="3"/>
  <c r="AW1952" i="3"/>
  <c r="AX1944" i="3"/>
  <c r="AW1936" i="3"/>
  <c r="BA1928" i="3"/>
  <c r="AS1928" i="3"/>
  <c r="AV1920" i="3"/>
  <c r="AW1912" i="3"/>
  <c r="AV1904" i="3"/>
  <c r="AT1896" i="3"/>
  <c r="AY1888" i="3"/>
  <c r="BA1880" i="3"/>
  <c r="AR1880" i="3"/>
  <c r="BA1872" i="3"/>
  <c r="AR1872" i="3"/>
  <c r="BA1864" i="3"/>
  <c r="AV1856" i="3"/>
  <c r="AX1848" i="3"/>
  <c r="AZ1840" i="3"/>
  <c r="BA1832" i="3"/>
  <c r="AR1832" i="3"/>
  <c r="AZ1824" i="3"/>
  <c r="AU1816" i="3"/>
  <c r="AS1808" i="3"/>
  <c r="AX1800" i="3"/>
  <c r="BA1792" i="3"/>
  <c r="AR1792" i="3"/>
  <c r="AV1784" i="3"/>
  <c r="AY1776" i="3"/>
  <c r="AZ1768" i="3"/>
  <c r="AT1760" i="3"/>
  <c r="AU1752" i="3"/>
  <c r="AV1744" i="3"/>
  <c r="AT1736" i="3"/>
  <c r="AT1728" i="3"/>
  <c r="AV1720" i="3"/>
  <c r="BA1712" i="3"/>
  <c r="AV1704" i="3"/>
  <c r="AY1696" i="3"/>
  <c r="AR1688" i="3"/>
  <c r="AX1680" i="3"/>
  <c r="AT1664" i="3"/>
  <c r="AV1656" i="3"/>
  <c r="AW1648" i="3"/>
  <c r="AX1640" i="3"/>
  <c r="AU1632" i="3"/>
  <c r="AX1624" i="3"/>
  <c r="AX1616" i="3"/>
  <c r="BA1600" i="3"/>
  <c r="AS1584" i="3"/>
  <c r="AS1576" i="3"/>
  <c r="AW1560" i="3"/>
  <c r="AX1552" i="3"/>
  <c r="AS1544" i="3"/>
  <c r="AX1512" i="3"/>
  <c r="AU1504" i="3"/>
  <c r="AS1480" i="3"/>
  <c r="AX1440" i="3"/>
  <c r="AY1424" i="3"/>
  <c r="AW1408" i="3"/>
  <c r="AT1360" i="3"/>
  <c r="BA1344" i="3"/>
  <c r="BA1296" i="3"/>
  <c r="BA1232" i="3"/>
  <c r="AT1208" i="3"/>
  <c r="AT1080" i="3"/>
  <c r="BA968" i="3"/>
  <c r="AV904" i="3"/>
  <c r="AV1952" i="3"/>
  <c r="AW1944" i="3"/>
  <c r="AV1936" i="3"/>
  <c r="AZ1928" i="3"/>
  <c r="AR1928" i="3"/>
  <c r="AU1920" i="3"/>
  <c r="AV1912" i="3"/>
  <c r="AU1904" i="3"/>
  <c r="AS1896" i="3"/>
  <c r="AX1888" i="3"/>
  <c r="AZ1880" i="3"/>
  <c r="AZ1872" i="3"/>
  <c r="AY1864" i="3"/>
  <c r="AU1856" i="3"/>
  <c r="AW1848" i="3"/>
  <c r="AY1840" i="3"/>
  <c r="AZ1832" i="3"/>
  <c r="AY1824" i="3"/>
  <c r="AS1816" i="3"/>
  <c r="BA1808" i="3"/>
  <c r="AR1808" i="3"/>
  <c r="AW1800" i="3"/>
  <c r="AZ1792" i="3"/>
  <c r="AU1784" i="3"/>
  <c r="AX1776" i="3"/>
  <c r="AX1768" i="3"/>
  <c r="AS1760" i="3"/>
  <c r="AT1752" i="3"/>
  <c r="AU1744" i="3"/>
  <c r="AS1736" i="3"/>
  <c r="AS1728" i="3"/>
  <c r="AU1720" i="3"/>
  <c r="AX1712" i="3"/>
  <c r="AS1704" i="3"/>
  <c r="AX1696" i="3"/>
  <c r="AV1680" i="3"/>
  <c r="AR1664" i="3"/>
  <c r="AU1656" i="3"/>
  <c r="AU1648" i="3"/>
  <c r="AV1640" i="3"/>
  <c r="AT1632" i="3"/>
  <c r="AW1624" i="3"/>
  <c r="AW1616" i="3"/>
  <c r="AZ1600" i="3"/>
  <c r="AS1560" i="3"/>
  <c r="AU1552" i="3"/>
  <c r="AY1536" i="3"/>
  <c r="AU1512" i="3"/>
  <c r="AR1504" i="3"/>
  <c r="BA1488" i="3"/>
  <c r="AR1480" i="3"/>
  <c r="AZ1464" i="3"/>
  <c r="AU1440" i="3"/>
  <c r="AW1424" i="3"/>
  <c r="AT1408" i="3"/>
  <c r="AV1384" i="3"/>
  <c r="AU1344" i="3"/>
  <c r="AX1320" i="3"/>
  <c r="AR1296" i="3"/>
  <c r="AX1136" i="3"/>
  <c r="AV1072" i="3"/>
  <c r="AW1032" i="3"/>
  <c r="AT960" i="3"/>
  <c r="AY872" i="3"/>
  <c r="AW664" i="3"/>
  <c r="AZ1976" i="3"/>
  <c r="AT1920" i="3"/>
  <c r="AU1912" i="3"/>
  <c r="AT1904" i="3"/>
  <c r="BA1896" i="3"/>
  <c r="AR1896" i="3"/>
  <c r="AW1888" i="3"/>
  <c r="AY1880" i="3"/>
  <c r="AX1872" i="3"/>
  <c r="AX1864" i="3"/>
  <c r="AT1856" i="3"/>
  <c r="AV1848" i="3"/>
  <c r="AX1840" i="3"/>
  <c r="AY1832" i="3"/>
  <c r="AW1824" i="3"/>
  <c r="BA1816" i="3"/>
  <c r="AR1816" i="3"/>
  <c r="AZ1808" i="3"/>
  <c r="AV1800" i="3"/>
  <c r="AY1792" i="3"/>
  <c r="AT1784" i="3"/>
  <c r="AV1776" i="3"/>
  <c r="AW1768" i="3"/>
  <c r="BA1760" i="3"/>
  <c r="AR1760" i="3"/>
  <c r="AS1752" i="3"/>
  <c r="AT1744" i="3"/>
  <c r="AR1736" i="3"/>
  <c r="AR1728" i="3"/>
  <c r="AR1720" i="3"/>
  <c r="AW1712" i="3"/>
  <c r="AR1704" i="3"/>
  <c r="AW1696" i="3"/>
  <c r="BA1688" i="3"/>
  <c r="AU1680" i="3"/>
  <c r="AY1672" i="3"/>
  <c r="AR1656" i="3"/>
  <c r="AT1648" i="3"/>
  <c r="AU1640" i="3"/>
  <c r="AS1632" i="3"/>
  <c r="AU1624" i="3"/>
  <c r="AT1616" i="3"/>
  <c r="AZ1608" i="3"/>
  <c r="AY1600" i="3"/>
  <c r="AZ1592" i="3"/>
  <c r="AR1560" i="3"/>
  <c r="AR1552" i="3"/>
  <c r="AV1536" i="3"/>
  <c r="AT1512" i="3"/>
  <c r="AY1488" i="3"/>
  <c r="AV1464" i="3"/>
  <c r="AY1448" i="3"/>
  <c r="AR1424" i="3"/>
  <c r="AZ1400" i="3"/>
  <c r="AR1320" i="3"/>
  <c r="AW1288" i="3"/>
  <c r="AV1192" i="3"/>
  <c r="AR1072" i="3"/>
  <c r="AU864" i="3"/>
  <c r="AX2928" i="3"/>
  <c r="AZ2928" i="3"/>
  <c r="AQ353" i="4"/>
  <c r="AX353" i="4"/>
  <c r="AA1159" i="13"/>
  <c r="AD1159" i="13"/>
  <c r="AZ2949" i="3"/>
  <c r="AT3016" i="3"/>
  <c r="AX2949" i="3"/>
  <c r="AW2948" i="3"/>
  <c r="AU2949" i="3"/>
  <c r="AT2948" i="3"/>
  <c r="AT2949" i="3"/>
  <c r="AS2861" i="3"/>
  <c r="AS2862" i="3"/>
  <c r="AX3016" i="3"/>
  <c r="AR2948" i="3"/>
  <c r="BA2949" i="3"/>
  <c r="AR2949" i="3"/>
  <c r="L153" i="17"/>
  <c r="AZ2948" i="3"/>
  <c r="AV1846" i="3"/>
  <c r="AW1606" i="3"/>
  <c r="AV1550" i="3"/>
  <c r="AT1694" i="3"/>
  <c r="BA902" i="3"/>
  <c r="AU2948" i="3"/>
  <c r="AY1934" i="3"/>
  <c r="AV1926" i="3"/>
  <c r="BA1918" i="3"/>
  <c r="AR1910" i="3"/>
  <c r="AR1902" i="3"/>
  <c r="AS1894" i="3"/>
  <c r="AW1878" i="3"/>
  <c r="AZ1870" i="3"/>
  <c r="AX1854" i="3"/>
  <c r="T153" i="17"/>
  <c r="AT1838" i="3"/>
  <c r="AU1838" i="3"/>
  <c r="AS1830" i="3"/>
  <c r="BA1830" i="3"/>
  <c r="AT1830" i="3"/>
  <c r="AX1822" i="3"/>
  <c r="AY1822" i="3"/>
  <c r="AR1814" i="3"/>
  <c r="AZ1814" i="3"/>
  <c r="AS1814" i="3"/>
  <c r="BA1814" i="3"/>
  <c r="AV1806" i="3"/>
  <c r="AU1806" i="3"/>
  <c r="AW1806" i="3"/>
  <c r="AR1798" i="3"/>
  <c r="AZ1798" i="3"/>
  <c r="AW1798" i="3"/>
  <c r="AX1798" i="3"/>
  <c r="AU1790" i="3"/>
  <c r="AX1790" i="3"/>
  <c r="AY1790" i="3"/>
  <c r="AV1782" i="3"/>
  <c r="AW1782" i="3"/>
  <c r="AY1782" i="3"/>
  <c r="AV1774" i="3"/>
  <c r="AS1774" i="3"/>
  <c r="AU1774" i="3"/>
  <c r="AT1766" i="3"/>
  <c r="BA1766" i="3"/>
  <c r="AV1758" i="3"/>
  <c r="AZ1758" i="3"/>
  <c r="BA1758" i="3"/>
  <c r="AS1750" i="3"/>
  <c r="AT1750" i="3"/>
  <c r="AV1750" i="3"/>
  <c r="BA1742" i="3"/>
  <c r="AW1742" i="3"/>
  <c r="AZ1742" i="3"/>
  <c r="AS1734" i="3"/>
  <c r="AX1734" i="3"/>
  <c r="AZ1734" i="3"/>
  <c r="AW1726" i="3"/>
  <c r="AT1726" i="3"/>
  <c r="AX1726" i="3"/>
  <c r="AV1718" i="3"/>
  <c r="AX1718" i="3"/>
  <c r="AS1710" i="3"/>
  <c r="AV1710" i="3"/>
  <c r="AY1710" i="3"/>
  <c r="AR1702" i="3"/>
  <c r="AZ1702" i="3"/>
  <c r="AW1694" i="3"/>
  <c r="AX1694" i="3"/>
  <c r="AU1694" i="3"/>
  <c r="AY1694" i="3"/>
  <c r="AV1686" i="3"/>
  <c r="AR1686" i="3"/>
  <c r="AX1686" i="3"/>
  <c r="AU1678" i="3"/>
  <c r="AW1678" i="3"/>
  <c r="AZ1678" i="3"/>
  <c r="BA1670" i="3"/>
  <c r="AT1670" i="3"/>
  <c r="AS1670" i="3"/>
  <c r="AY1662" i="3"/>
  <c r="AX1662" i="3"/>
  <c r="AT1662" i="3"/>
  <c r="AV1654" i="3"/>
  <c r="AY1654" i="3"/>
  <c r="AT1646" i="3"/>
  <c r="AY1646" i="3"/>
  <c r="AX1646" i="3"/>
  <c r="AT1638" i="3"/>
  <c r="AX1638" i="3"/>
  <c r="AS1622" i="3"/>
  <c r="AR1622" i="3"/>
  <c r="AX1614" i="3"/>
  <c r="AW1614" i="3"/>
  <c r="AS1614" i="3"/>
  <c r="AV1598" i="3"/>
  <c r="AR1598" i="3"/>
  <c r="AS1590" i="3"/>
  <c r="AR1590" i="3"/>
  <c r="AW1590" i="3"/>
  <c r="AV1582" i="3"/>
  <c r="AW1582" i="3"/>
  <c r="BA1582" i="3"/>
  <c r="AS1574" i="3"/>
  <c r="AW1574" i="3"/>
  <c r="BA1574" i="3"/>
  <c r="AR1574" i="3"/>
  <c r="AZ1566" i="3"/>
  <c r="AV1566" i="3"/>
  <c r="AU1558" i="3"/>
  <c r="AR1558" i="3"/>
  <c r="AZ1558" i="3"/>
  <c r="AY1542" i="3"/>
  <c r="BA1542" i="3"/>
  <c r="AU1542" i="3"/>
  <c r="AT1534" i="3"/>
  <c r="AS1534" i="3"/>
  <c r="AY1526" i="3"/>
  <c r="AT1526" i="3"/>
  <c r="AU1526" i="3"/>
  <c r="AU1510" i="3"/>
  <c r="AT1510" i="3"/>
  <c r="AX1510" i="3"/>
  <c r="AR1502" i="3"/>
  <c r="AZ1502" i="3"/>
  <c r="AY1494" i="3"/>
  <c r="AT1494" i="3"/>
  <c r="AX1494" i="3"/>
  <c r="AU1478" i="3"/>
  <c r="AT1478" i="3"/>
  <c r="AZ1470" i="3"/>
  <c r="AR1470" i="3"/>
  <c r="AX1462" i="3"/>
  <c r="AT1462" i="3"/>
  <c r="AX1446" i="3"/>
  <c r="AT1446" i="3"/>
  <c r="AU1446" i="3"/>
  <c r="AV1438" i="3"/>
  <c r="AR1438" i="3"/>
  <c r="AZ1438" i="3"/>
  <c r="AT1430" i="3"/>
  <c r="AX1430" i="3"/>
  <c r="AY1430" i="3"/>
  <c r="AU1390" i="3"/>
  <c r="AX1390" i="3"/>
  <c r="BA1382" i="3"/>
  <c r="AT1382" i="3"/>
  <c r="AV1310" i="3"/>
  <c r="AU1310" i="3"/>
  <c r="AV1262" i="3"/>
  <c r="AR1262" i="3"/>
  <c r="AY1254" i="3"/>
  <c r="AZ1254" i="3"/>
  <c r="AX1046" i="3"/>
  <c r="AY1046" i="3"/>
  <c r="AU1918" i="3"/>
  <c r="BA1910" i="3"/>
  <c r="AS1910" i="3"/>
  <c r="AX1902" i="3"/>
  <c r="AU1894" i="3"/>
  <c r="AX1886" i="3"/>
  <c r="AY1878" i="3"/>
  <c r="AY1870" i="3"/>
  <c r="AY1862" i="3"/>
  <c r="AU1860" i="3"/>
  <c r="AW1854" i="3"/>
  <c r="BA1852" i="3"/>
  <c r="AS1852" i="3"/>
  <c r="AT1846" i="3"/>
  <c r="AY1838" i="3"/>
  <c r="AR1822" i="3"/>
  <c r="AV1814" i="3"/>
  <c r="AS1806" i="3"/>
  <c r="AV1790" i="3"/>
  <c r="AS1766" i="3"/>
  <c r="AW1758" i="3"/>
  <c r="AZ1750" i="3"/>
  <c r="AU1742" i="3"/>
  <c r="AT1702" i="3"/>
  <c r="AU1686" i="3"/>
  <c r="AV1630" i="3"/>
  <c r="AX1598" i="3"/>
  <c r="AZ1550" i="3"/>
  <c r="AV1502" i="3"/>
  <c r="AT1220" i="3"/>
  <c r="AR1844" i="3"/>
  <c r="AZ1844" i="3"/>
  <c r="AX1836" i="3"/>
  <c r="AY1836" i="3"/>
  <c r="AV1828" i="3"/>
  <c r="AW1828" i="3"/>
  <c r="AR1820" i="3"/>
  <c r="AZ1820" i="3"/>
  <c r="AS1820" i="3"/>
  <c r="BA1820" i="3"/>
  <c r="AT1812" i="3"/>
  <c r="AU1812" i="3"/>
  <c r="AV1812" i="3"/>
  <c r="AX1804" i="3"/>
  <c r="AV1804" i="3"/>
  <c r="AW1804" i="3"/>
  <c r="AU1796" i="3"/>
  <c r="AY1796" i="3"/>
  <c r="AZ1796" i="3"/>
  <c r="AW1788" i="3"/>
  <c r="AY1788" i="3"/>
  <c r="AZ1788" i="3"/>
  <c r="AW1780" i="3"/>
  <c r="AV1780" i="3"/>
  <c r="AX1780" i="3"/>
  <c r="AW1772" i="3"/>
  <c r="AT1772" i="3"/>
  <c r="AU1772" i="3"/>
  <c r="AV1764" i="3"/>
  <c r="AZ1764" i="3"/>
  <c r="AR1764" i="3"/>
  <c r="BA1764" i="3"/>
  <c r="AX1756" i="3"/>
  <c r="AV1756" i="3"/>
  <c r="AY1756" i="3"/>
  <c r="AZ1756" i="3"/>
  <c r="AU1748" i="3"/>
  <c r="AT1748" i="3"/>
  <c r="AS1748" i="3"/>
  <c r="AV1748" i="3"/>
  <c r="AX1740" i="3"/>
  <c r="AZ1740" i="3"/>
  <c r="AY1740" i="3"/>
  <c r="AU1740" i="3"/>
  <c r="AV1740" i="3"/>
  <c r="AS1732" i="3"/>
  <c r="AR1732" i="3"/>
  <c r="AY1732" i="3"/>
  <c r="AU1732" i="3"/>
  <c r="AV1732" i="3"/>
  <c r="AU1724" i="3"/>
  <c r="AW1724" i="3"/>
  <c r="AZ1724" i="3"/>
  <c r="AR1724" i="3"/>
  <c r="AS1724" i="3"/>
  <c r="BA1724" i="3"/>
  <c r="AW1716" i="3"/>
  <c r="AY1716" i="3"/>
  <c r="BA1716" i="3"/>
  <c r="AR1716" i="3"/>
  <c r="AS1716" i="3"/>
  <c r="AZ1716" i="3"/>
  <c r="AR1708" i="3"/>
  <c r="AY1708" i="3"/>
  <c r="AW1708" i="3"/>
  <c r="AU1700" i="3"/>
  <c r="AR1700" i="3"/>
  <c r="AY1700" i="3"/>
  <c r="AZ1700" i="3"/>
  <c r="BA1700" i="3"/>
  <c r="AT1700" i="3"/>
  <c r="AW1692" i="3"/>
  <c r="BA1692" i="3"/>
  <c r="AT1692" i="3"/>
  <c r="AR1692" i="3"/>
  <c r="AS1692" i="3"/>
  <c r="AZ1692" i="3"/>
  <c r="AX1684" i="3"/>
  <c r="AR1684" i="3"/>
  <c r="AS1684" i="3"/>
  <c r="AZ1684" i="3"/>
  <c r="BA1684" i="3"/>
  <c r="AU1684" i="3"/>
  <c r="AV1676" i="3"/>
  <c r="AY1676" i="3"/>
  <c r="AX1676" i="3"/>
  <c r="AZ1676" i="3"/>
  <c r="AT1668" i="3"/>
  <c r="AU1668" i="3"/>
  <c r="AS1668" i="3"/>
  <c r="AV1668" i="3"/>
  <c r="AR1660" i="3"/>
  <c r="AX1660" i="3"/>
  <c r="AU1660" i="3"/>
  <c r="AV1660" i="3"/>
  <c r="AY1652" i="3"/>
  <c r="BA1652" i="3"/>
  <c r="AU1652" i="3"/>
  <c r="AV1652" i="3"/>
  <c r="AW1652" i="3"/>
  <c r="AX1644" i="3"/>
  <c r="AT1644" i="3"/>
  <c r="AR1644" i="3"/>
  <c r="AU1644" i="3"/>
  <c r="AR1636" i="3"/>
  <c r="AU1636" i="3"/>
  <c r="AW1636" i="3"/>
  <c r="AV1636" i="3"/>
  <c r="AY1628" i="3"/>
  <c r="AW1628" i="3"/>
  <c r="AX1628" i="3"/>
  <c r="AR1628" i="3"/>
  <c r="AS1628" i="3"/>
  <c r="AY1620" i="3"/>
  <c r="AZ1620" i="3"/>
  <c r="AV1620" i="3"/>
  <c r="AR1620" i="3"/>
  <c r="AS1620" i="3"/>
  <c r="AX1612" i="3"/>
  <c r="AS1612" i="3"/>
  <c r="AU1612" i="3"/>
  <c r="AV1612" i="3"/>
  <c r="AV1604" i="3"/>
  <c r="AW1604" i="3"/>
  <c r="AR1604" i="3"/>
  <c r="AX1604" i="3"/>
  <c r="BA1604" i="3"/>
  <c r="AS1604" i="3"/>
  <c r="AU1596" i="3"/>
  <c r="AV1596" i="3"/>
  <c r="AY1596" i="3"/>
  <c r="AZ1596" i="3"/>
  <c r="AT1596" i="3"/>
  <c r="AT1588" i="3"/>
  <c r="AW1588" i="3"/>
  <c r="AZ1588" i="3"/>
  <c r="AX1588" i="3"/>
  <c r="AV1580" i="3"/>
  <c r="AZ1580" i="3"/>
  <c r="AR1580" i="3"/>
  <c r="AX1580" i="3"/>
  <c r="AX1572" i="3"/>
  <c r="AS1572" i="3"/>
  <c r="AV1572" i="3"/>
  <c r="AX1564" i="3"/>
  <c r="AW1564" i="3"/>
  <c r="AU1564" i="3"/>
  <c r="AV1564" i="3"/>
  <c r="AY1564" i="3"/>
  <c r="AW1556" i="3"/>
  <c r="AX1556" i="3"/>
  <c r="AT1556" i="3"/>
  <c r="AU1556" i="3"/>
  <c r="AV1556" i="3"/>
  <c r="AV1548" i="3"/>
  <c r="AR1548" i="3"/>
  <c r="AY1548" i="3"/>
  <c r="AS1548" i="3"/>
  <c r="AW1548" i="3"/>
  <c r="BA1548" i="3"/>
  <c r="AT1540" i="3"/>
  <c r="AR1540" i="3"/>
  <c r="AU1540" i="3"/>
  <c r="BA1540" i="3"/>
  <c r="AX1540" i="3"/>
  <c r="AY1532" i="3"/>
  <c r="BA1532" i="3"/>
  <c r="AR1532" i="3"/>
  <c r="AS1532" i="3"/>
  <c r="AT1532" i="3"/>
  <c r="AZ1532" i="3"/>
  <c r="AT1524" i="3"/>
  <c r="AZ1524" i="3"/>
  <c r="AY1524" i="3"/>
  <c r="AW1524" i="3"/>
  <c r="AV1516" i="3"/>
  <c r="AW1516" i="3"/>
  <c r="AT1516" i="3"/>
  <c r="AU1516" i="3"/>
  <c r="AX1516" i="3"/>
  <c r="AY1516" i="3"/>
  <c r="AX1508" i="3"/>
  <c r="AS1508" i="3"/>
  <c r="BA1508" i="3"/>
  <c r="AU1508" i="3"/>
  <c r="AU1500" i="3"/>
  <c r="AX1500" i="3"/>
  <c r="AT1500" i="3"/>
  <c r="AW1500" i="3"/>
  <c r="AY1500" i="3"/>
  <c r="AY1492" i="3"/>
  <c r="AX1492" i="3"/>
  <c r="AU1492" i="3"/>
  <c r="AT1484" i="3"/>
  <c r="AY1484" i="3"/>
  <c r="BA1484" i="3"/>
  <c r="AU1484" i="3"/>
  <c r="AX1484" i="3"/>
  <c r="AZ1484" i="3"/>
  <c r="AU1476" i="3"/>
  <c r="AX1476" i="3"/>
  <c r="AY1476" i="3"/>
  <c r="AT1476" i="3"/>
  <c r="AV1476" i="3"/>
  <c r="AV1468" i="3"/>
  <c r="AS1468" i="3"/>
  <c r="AR1468" i="3"/>
  <c r="AZ1468" i="3"/>
  <c r="BA1468" i="3"/>
  <c r="AT1468" i="3"/>
  <c r="AW1460" i="3"/>
  <c r="AZ1460" i="3"/>
  <c r="AR1460" i="3"/>
  <c r="AU1460" i="3"/>
  <c r="AY1460" i="3"/>
  <c r="AX1452" i="3"/>
  <c r="AU1452" i="3"/>
  <c r="AR1452" i="3"/>
  <c r="AT1452" i="3"/>
  <c r="AV1452" i="3"/>
  <c r="AZ1452" i="3"/>
  <c r="AY1444" i="3"/>
  <c r="AS1444" i="3"/>
  <c r="BA1444" i="3"/>
  <c r="AW1444" i="3"/>
  <c r="AY1436" i="3"/>
  <c r="AT1436" i="3"/>
  <c r="AS1436" i="3"/>
  <c r="AU1436" i="3"/>
  <c r="AV1436" i="3"/>
  <c r="AU1428" i="3"/>
  <c r="AX1428" i="3"/>
  <c r="AY1428" i="3"/>
  <c r="AZ1428" i="3"/>
  <c r="AR1428" i="3"/>
  <c r="AT1420" i="3"/>
  <c r="AU1420" i="3"/>
  <c r="AS1420" i="3"/>
  <c r="AX1420" i="3"/>
  <c r="AT1412" i="3"/>
  <c r="AR1412" i="3"/>
  <c r="AX1412" i="3"/>
  <c r="AZ1412" i="3"/>
  <c r="AW1404" i="3"/>
  <c r="AV1404" i="3"/>
  <c r="AY1404" i="3"/>
  <c r="AR1404" i="3"/>
  <c r="AY1396" i="3"/>
  <c r="AW1396" i="3"/>
  <c r="AV1396" i="3"/>
  <c r="AU1396" i="3"/>
  <c r="AY1388" i="3"/>
  <c r="AW1388" i="3"/>
  <c r="AT1388" i="3"/>
  <c r="AT1380" i="3"/>
  <c r="AX1380" i="3"/>
  <c r="AZ1380" i="3"/>
  <c r="BA1380" i="3"/>
  <c r="AZ1372" i="3"/>
  <c r="AY1372" i="3"/>
  <c r="AR1372" i="3"/>
  <c r="AU1372" i="3"/>
  <c r="AV1372" i="3"/>
  <c r="AU1364" i="3"/>
  <c r="AS1364" i="3"/>
  <c r="AT1364" i="3"/>
  <c r="AR1356" i="3"/>
  <c r="BA1356" i="3"/>
  <c r="AW1356" i="3"/>
  <c r="AU1348" i="3"/>
  <c r="AR1348" i="3"/>
  <c r="AY1348" i="3"/>
  <c r="AR1340" i="3"/>
  <c r="AU1340" i="3"/>
  <c r="AX1340" i="3"/>
  <c r="AU1332" i="3"/>
  <c r="AY1332" i="3"/>
  <c r="BA1332" i="3"/>
  <c r="AR1332" i="3"/>
  <c r="AY1324" i="3"/>
  <c r="AX1324" i="3"/>
  <c r="BA1324" i="3"/>
  <c r="AS1324" i="3"/>
  <c r="AS1316" i="3"/>
  <c r="BA1316" i="3"/>
  <c r="AV1316" i="3"/>
  <c r="AY1316" i="3"/>
  <c r="AZ1316" i="3"/>
  <c r="AU1308" i="3"/>
  <c r="BA1308" i="3"/>
  <c r="AW1308" i="3"/>
  <c r="AW1300" i="3"/>
  <c r="AY1300" i="3"/>
  <c r="AS1300" i="3"/>
  <c r="AU1300" i="3"/>
  <c r="AV1292" i="3"/>
  <c r="AX1292" i="3"/>
  <c r="AR1292" i="3"/>
  <c r="AS1292" i="3"/>
  <c r="AU1292" i="3"/>
  <c r="BA1292" i="3"/>
  <c r="AZ1284" i="3"/>
  <c r="AY1284" i="3"/>
  <c r="AR1284" i="3"/>
  <c r="AT1284" i="3"/>
  <c r="BA1276" i="3"/>
  <c r="AX1276" i="3"/>
  <c r="AZ1276" i="3"/>
  <c r="AT1276" i="3"/>
  <c r="AX1268" i="3"/>
  <c r="AV1268" i="3"/>
  <c r="AY1268" i="3"/>
  <c r="AX1260" i="3"/>
  <c r="BA1260" i="3"/>
  <c r="AZ1252" i="3"/>
  <c r="AV1252" i="3"/>
  <c r="AW1252" i="3"/>
  <c r="AX1252" i="3"/>
  <c r="AY1236" i="3"/>
  <c r="AU1236" i="3"/>
  <c r="AT1236" i="3"/>
  <c r="AW1236" i="3"/>
  <c r="AX1236" i="3"/>
  <c r="AT1228" i="3"/>
  <c r="AZ1228" i="3"/>
  <c r="AR1212" i="3"/>
  <c r="AV1212" i="3"/>
  <c r="AZ1204" i="3"/>
  <c r="AY1204" i="3"/>
  <c r="AS1204" i="3"/>
  <c r="AT1204" i="3"/>
  <c r="AW1188" i="3"/>
  <c r="AT1188" i="3"/>
  <c r="AS1188" i="3"/>
  <c r="AS1172" i="3"/>
  <c r="AU1172" i="3"/>
  <c r="AW1172" i="3"/>
  <c r="AR1156" i="3"/>
  <c r="AY1156" i="3"/>
  <c r="BA1156" i="3"/>
  <c r="AX1140" i="3"/>
  <c r="AU1140" i="3"/>
  <c r="AX1132" i="3"/>
  <c r="AV1132" i="3"/>
  <c r="BA1132" i="3"/>
  <c r="AV1124" i="3"/>
  <c r="AT1124" i="3"/>
  <c r="AZ1124" i="3"/>
  <c r="AU1116" i="3"/>
  <c r="AR1116" i="3"/>
  <c r="BA1116" i="3"/>
  <c r="AW1108" i="3"/>
  <c r="AS1108" i="3"/>
  <c r="AZ1108" i="3"/>
  <c r="AZ1084" i="3"/>
  <c r="BA1084" i="3"/>
  <c r="AZ1076" i="3"/>
  <c r="AT1076" i="3"/>
  <c r="AW1076" i="3"/>
  <c r="AZ1060" i="3"/>
  <c r="AU1060" i="3"/>
  <c r="AZ1052" i="3"/>
  <c r="AT1052" i="3"/>
  <c r="AV1044" i="3"/>
  <c r="AR1044" i="3"/>
  <c r="AX1028" i="3"/>
  <c r="AZ1028" i="3"/>
  <c r="BA1020" i="3"/>
  <c r="AR1020" i="3"/>
  <c r="AW1020" i="3"/>
  <c r="AX1020" i="3"/>
  <c r="AX996" i="3"/>
  <c r="AU996" i="3"/>
  <c r="AY996" i="3"/>
  <c r="AX972" i="3"/>
  <c r="AS972" i="3"/>
  <c r="AZ1486" i="3"/>
  <c r="AX1406" i="3"/>
  <c r="AZ1918" i="3"/>
  <c r="AX1910" i="3"/>
  <c r="AU1902" i="3"/>
  <c r="AZ1894" i="3"/>
  <c r="AR1894" i="3"/>
  <c r="AU1886" i="3"/>
  <c r="AV1878" i="3"/>
  <c r="AZ1876" i="3"/>
  <c r="AV1870" i="3"/>
  <c r="BA1868" i="3"/>
  <c r="AV1862" i="3"/>
  <c r="AZ1860" i="3"/>
  <c r="AR1860" i="3"/>
  <c r="AT1854" i="3"/>
  <c r="AX1852" i="3"/>
  <c r="AZ1846" i="3"/>
  <c r="AU1844" i="3"/>
  <c r="AV1838" i="3"/>
  <c r="AV1836" i="3"/>
  <c r="AX1830" i="3"/>
  <c r="AY1828" i="3"/>
  <c r="AW1822" i="3"/>
  <c r="AW1820" i="3"/>
  <c r="BA1806" i="3"/>
  <c r="AZ1804" i="3"/>
  <c r="AV1798" i="3"/>
  <c r="AV1796" i="3"/>
  <c r="AR1790" i="3"/>
  <c r="AU1782" i="3"/>
  <c r="AS1780" i="3"/>
  <c r="BA1774" i="3"/>
  <c r="AX1772" i="3"/>
  <c r="AX1764" i="3"/>
  <c r="AR1758" i="3"/>
  <c r="AR1750" i="3"/>
  <c r="BA1740" i="3"/>
  <c r="AV1734" i="3"/>
  <c r="AT1724" i="3"/>
  <c r="AR1718" i="3"/>
  <c r="BA1710" i="3"/>
  <c r="AS1700" i="3"/>
  <c r="AT1684" i="3"/>
  <c r="AW1662" i="3"/>
  <c r="AX1652" i="3"/>
  <c r="AZ1636" i="3"/>
  <c r="AT1628" i="3"/>
  <c r="AS1606" i="3"/>
  <c r="AU1572" i="3"/>
  <c r="AW1566" i="3"/>
  <c r="AX1548" i="3"/>
  <c r="AZ1540" i="3"/>
  <c r="AX1534" i="3"/>
  <c r="AR1492" i="3"/>
  <c r="AV1486" i="3"/>
  <c r="AU1404" i="3"/>
  <c r="AR1380" i="3"/>
  <c r="BA1364" i="3"/>
  <c r="AS1332" i="3"/>
  <c r="AR1316" i="3"/>
  <c r="BA1300" i="3"/>
  <c r="AV1284" i="3"/>
  <c r="AT1268" i="3"/>
  <c r="AR1228" i="3"/>
  <c r="AT1140" i="3"/>
  <c r="AX1044" i="3"/>
  <c r="AT1902" i="3"/>
  <c r="AY1894" i="3"/>
  <c r="AT1886" i="3"/>
  <c r="AU1878" i="3"/>
  <c r="AU1870" i="3"/>
  <c r="AU1862" i="3"/>
  <c r="BA1854" i="3"/>
  <c r="AS1854" i="3"/>
  <c r="AY1846" i="3"/>
  <c r="AT1844" i="3"/>
  <c r="AS1838" i="3"/>
  <c r="AU1836" i="3"/>
  <c r="AW1830" i="3"/>
  <c r="AX1828" i="3"/>
  <c r="AV1822" i="3"/>
  <c r="AV1820" i="3"/>
  <c r="BA1812" i="3"/>
  <c r="AZ1806" i="3"/>
  <c r="AY1804" i="3"/>
  <c r="AU1798" i="3"/>
  <c r="AT1796" i="3"/>
  <c r="BA1788" i="3"/>
  <c r="AS1782" i="3"/>
  <c r="AR1780" i="3"/>
  <c r="AZ1774" i="3"/>
  <c r="AV1772" i="3"/>
  <c r="AZ1766" i="3"/>
  <c r="AW1764" i="3"/>
  <c r="BA1756" i="3"/>
  <c r="BA1748" i="3"/>
  <c r="AW1740" i="3"/>
  <c r="AT1734" i="3"/>
  <c r="AV1716" i="3"/>
  <c r="AZ1710" i="3"/>
  <c r="AZ1660" i="3"/>
  <c r="AR1652" i="3"/>
  <c r="AY1636" i="3"/>
  <c r="BA1622" i="3"/>
  <c r="BA1612" i="3"/>
  <c r="AU1604" i="3"/>
  <c r="AR1582" i="3"/>
  <c r="AT1572" i="3"/>
  <c r="AT1564" i="3"/>
  <c r="AY1540" i="3"/>
  <c r="AX1532" i="3"/>
  <c r="BA1524" i="3"/>
  <c r="AS1484" i="3"/>
  <c r="AZ1422" i="3"/>
  <c r="AY1412" i="3"/>
  <c r="AT1404" i="3"/>
  <c r="AX1364" i="3"/>
  <c r="AR1300" i="3"/>
  <c r="AU1284" i="3"/>
  <c r="AU1044" i="3"/>
  <c r="BA1902" i="3"/>
  <c r="BA1886" i="3"/>
  <c r="AZ1854" i="3"/>
  <c r="AX1846" i="3"/>
  <c r="AS1844" i="3"/>
  <c r="AR1838" i="3"/>
  <c r="AT1836" i="3"/>
  <c r="AV1830" i="3"/>
  <c r="AU1828" i="3"/>
  <c r="AU1822" i="3"/>
  <c r="AU1820" i="3"/>
  <c r="AY1814" i="3"/>
  <c r="AZ1812" i="3"/>
  <c r="AY1806" i="3"/>
  <c r="AU1804" i="3"/>
  <c r="AT1798" i="3"/>
  <c r="AS1796" i="3"/>
  <c r="BA1790" i="3"/>
  <c r="AX1788" i="3"/>
  <c r="AR1782" i="3"/>
  <c r="AY1774" i="3"/>
  <c r="AS1772" i="3"/>
  <c r="AX1766" i="3"/>
  <c r="AU1764" i="3"/>
  <c r="AW1756" i="3"/>
  <c r="AZ1748" i="3"/>
  <c r="AT1740" i="3"/>
  <c r="AU1716" i="3"/>
  <c r="AU1710" i="3"/>
  <c r="BA1702" i="3"/>
  <c r="BA1694" i="3"/>
  <c r="AY1660" i="3"/>
  <c r="AX1636" i="3"/>
  <c r="AZ1622" i="3"/>
  <c r="AW1612" i="3"/>
  <c r="AT1604" i="3"/>
  <c r="BA1590" i="3"/>
  <c r="AY1580" i="3"/>
  <c r="AS1564" i="3"/>
  <c r="BA1558" i="3"/>
  <c r="AS1540" i="3"/>
  <c r="AU1532" i="3"/>
  <c r="AX1524" i="3"/>
  <c r="AR1484" i="3"/>
  <c r="AX1478" i="3"/>
  <c r="AV1470" i="3"/>
  <c r="AY1462" i="3"/>
  <c r="AZ1454" i="3"/>
  <c r="AZ1444" i="3"/>
  <c r="AW1428" i="3"/>
  <c r="AY1420" i="3"/>
  <c r="AV1412" i="3"/>
  <c r="BA1388" i="3"/>
  <c r="BA1340" i="3"/>
  <c r="BA1244" i="3"/>
  <c r="AX1196" i="3"/>
  <c r="AU1004" i="3"/>
  <c r="AS1707" i="3"/>
  <c r="AR1707" i="3"/>
  <c r="AW1691" i="3"/>
  <c r="AX1691" i="3"/>
  <c r="AP343" i="4"/>
  <c r="AV2940" i="3"/>
  <c r="AR2862" i="3"/>
  <c r="BA3016" i="3"/>
  <c r="S153" i="17"/>
  <c r="AY2948" i="3"/>
  <c r="AV3024" i="3"/>
  <c r="AS3002" i="3"/>
  <c r="AS2983" i="3"/>
  <c r="AV3016" i="3"/>
  <c r="P153" i="17"/>
  <c r="AR1571" i="3"/>
  <c r="AZ1499" i="3"/>
  <c r="AT2878" i="3"/>
  <c r="BA2862" i="3"/>
  <c r="AU3016" i="3"/>
  <c r="O153" i="17"/>
  <c r="AW2862" i="3"/>
  <c r="AV2862" i="3"/>
  <c r="AS3016" i="3"/>
  <c r="U153" i="17"/>
  <c r="AZ2002" i="3"/>
  <c r="AR2002" i="3"/>
  <c r="BA1994" i="3"/>
  <c r="AY1986" i="3"/>
  <c r="AZ1978" i="3"/>
  <c r="BA1970" i="3"/>
  <c r="AZ1962" i="3"/>
  <c r="AY1954" i="3"/>
  <c r="AX1946" i="3"/>
  <c r="AV1938" i="3"/>
  <c r="BA1930" i="3"/>
  <c r="AT1922" i="3"/>
  <c r="AY1914" i="3"/>
  <c r="AT1898" i="3"/>
  <c r="AU1890" i="3"/>
  <c r="AS1882" i="3"/>
  <c r="BA1874" i="3"/>
  <c r="AX1866" i="3"/>
  <c r="AT1858" i="3"/>
  <c r="AX1850" i="3"/>
  <c r="AU1834" i="3"/>
  <c r="AY1826" i="3"/>
  <c r="AU1818" i="3"/>
  <c r="AW1810" i="3"/>
  <c r="AX1802" i="3"/>
  <c r="AU1794" i="3"/>
  <c r="AV1778" i="3"/>
  <c r="AZ1770" i="3"/>
  <c r="AT1754" i="3"/>
  <c r="BA1746" i="3"/>
  <c r="AX1738" i="3"/>
  <c r="AZ1722" i="3"/>
  <c r="AY1698" i="3"/>
  <c r="AY1666" i="3"/>
  <c r="AY1650" i="3"/>
  <c r="AV1602" i="3"/>
  <c r="AX1514" i="3"/>
  <c r="AY1506" i="3"/>
  <c r="AY1978" i="3"/>
  <c r="AZ1970" i="3"/>
  <c r="AY1962" i="3"/>
  <c r="AX1954" i="3"/>
  <c r="AW1946" i="3"/>
  <c r="AU1938" i="3"/>
  <c r="AY1930" i="3"/>
  <c r="AS1922" i="3"/>
  <c r="AX1914" i="3"/>
  <c r="AZ1906" i="3"/>
  <c r="AS1898" i="3"/>
  <c r="AT1890" i="3"/>
  <c r="AR1882" i="3"/>
  <c r="AZ1874" i="3"/>
  <c r="AW1866" i="3"/>
  <c r="AR1858" i="3"/>
  <c r="AV1850" i="3"/>
  <c r="AX1826" i="3"/>
  <c r="AU1810" i="3"/>
  <c r="AW1802" i="3"/>
  <c r="AY1770" i="3"/>
  <c r="AX1746" i="3"/>
  <c r="AV1986" i="3"/>
  <c r="AW1978" i="3"/>
  <c r="AX1970" i="3"/>
  <c r="AV1962" i="3"/>
  <c r="AU1954" i="3"/>
  <c r="AU1946" i="3"/>
  <c r="AR1938" i="3"/>
  <c r="AV1930" i="3"/>
  <c r="BA1922" i="3"/>
  <c r="AU1914" i="3"/>
  <c r="AW1906" i="3"/>
  <c r="BA1898" i="3"/>
  <c r="AZ1882" i="3"/>
  <c r="AW1874" i="3"/>
  <c r="AU1866" i="3"/>
  <c r="AZ1858" i="3"/>
  <c r="AT1850" i="3"/>
  <c r="BA1842" i="3"/>
  <c r="AX1786" i="3"/>
  <c r="AU1690" i="3"/>
  <c r="AU1642" i="3"/>
  <c r="BA1626" i="3"/>
  <c r="AX2026" i="3"/>
  <c r="AZ2018" i="3"/>
  <c r="AR2018" i="3"/>
  <c r="AT2010" i="3"/>
  <c r="AV2002" i="3"/>
  <c r="AV1978" i="3"/>
  <c r="AR1994" i="3"/>
  <c r="AZ1994" i="3"/>
  <c r="AS1986" i="3"/>
  <c r="BA1986" i="3"/>
  <c r="AT1970" i="3"/>
  <c r="AW1970" i="3"/>
  <c r="AU1962" i="3"/>
  <c r="AX1962" i="3"/>
  <c r="AW1954" i="3"/>
  <c r="AR1954" i="3"/>
  <c r="AZ1954" i="3"/>
  <c r="AY1946" i="3"/>
  <c r="AT1946" i="3"/>
  <c r="AY1938" i="3"/>
  <c r="AT1938" i="3"/>
  <c r="AW1930" i="3"/>
  <c r="AR1930" i="3"/>
  <c r="AZ1930" i="3"/>
  <c r="AU1922" i="3"/>
  <c r="AX1922" i="3"/>
  <c r="AS1914" i="3"/>
  <c r="BA1914" i="3"/>
  <c r="AV1914" i="3"/>
  <c r="AX1906" i="3"/>
  <c r="AS1906" i="3"/>
  <c r="BA1906" i="3"/>
  <c r="AU1898" i="3"/>
  <c r="AX1898" i="3"/>
  <c r="AX1890" i="3"/>
  <c r="AS1890" i="3"/>
  <c r="BA1890" i="3"/>
  <c r="AY1882" i="3"/>
  <c r="AT1882" i="3"/>
  <c r="AY1874" i="3"/>
  <c r="AT1874" i="3"/>
  <c r="AY1866" i="3"/>
  <c r="AT1866" i="3"/>
  <c r="AX1858" i="3"/>
  <c r="AS1858" i="3"/>
  <c r="BA1858" i="3"/>
  <c r="AW1850" i="3"/>
  <c r="AY1850" i="3"/>
  <c r="AR1850" i="3"/>
  <c r="AZ1850" i="3"/>
  <c r="AW1842" i="3"/>
  <c r="AY1842" i="3"/>
  <c r="AR1842" i="3"/>
  <c r="AZ1842" i="3"/>
  <c r="AU1842" i="3"/>
  <c r="AV1834" i="3"/>
  <c r="AX1834" i="3"/>
  <c r="AY1834" i="3"/>
  <c r="AT1834" i="3"/>
  <c r="AT1826" i="3"/>
  <c r="AV1826" i="3"/>
  <c r="AW1826" i="3"/>
  <c r="AR1826" i="3"/>
  <c r="AZ1826" i="3"/>
  <c r="AX1818" i="3"/>
  <c r="AR1818" i="3"/>
  <c r="AZ1818" i="3"/>
  <c r="AS1818" i="3"/>
  <c r="BA1818" i="3"/>
  <c r="AV1818" i="3"/>
  <c r="AV1810" i="3"/>
  <c r="AX1810" i="3"/>
  <c r="AY1810" i="3"/>
  <c r="AT1810" i="3"/>
  <c r="AS1802" i="3"/>
  <c r="BA1802" i="3"/>
  <c r="AU1802" i="3"/>
  <c r="AV1802" i="3"/>
  <c r="AY1802" i="3"/>
  <c r="AX1794" i="3"/>
  <c r="AR1794" i="3"/>
  <c r="AZ1794" i="3"/>
  <c r="AS1794" i="3"/>
  <c r="BA1794" i="3"/>
  <c r="AV1794" i="3"/>
  <c r="AW1794" i="3"/>
  <c r="AS1786" i="3"/>
  <c r="BA1786" i="3"/>
  <c r="AU1786" i="3"/>
  <c r="AV1786" i="3"/>
  <c r="AY1786" i="3"/>
  <c r="AR1786" i="3"/>
  <c r="AZ1786" i="3"/>
  <c r="AU1778" i="3"/>
  <c r="AW1778" i="3"/>
  <c r="AX1778" i="3"/>
  <c r="AS1778" i="3"/>
  <c r="BA1778" i="3"/>
  <c r="AT1778" i="3"/>
  <c r="AU1770" i="3"/>
  <c r="AW1770" i="3"/>
  <c r="AX1770" i="3"/>
  <c r="AS1770" i="3"/>
  <c r="BA1770" i="3"/>
  <c r="AT1770" i="3"/>
  <c r="AW1762" i="3"/>
  <c r="AY1762" i="3"/>
  <c r="AR1762" i="3"/>
  <c r="AZ1762" i="3"/>
  <c r="AU1762" i="3"/>
  <c r="AV1762" i="3"/>
  <c r="AW1754" i="3"/>
  <c r="AY1754" i="3"/>
  <c r="AR1754" i="3"/>
  <c r="AZ1754" i="3"/>
  <c r="AU1754" i="3"/>
  <c r="AV1754" i="3"/>
  <c r="AW1746" i="3"/>
  <c r="AY1746" i="3"/>
  <c r="AR1746" i="3"/>
  <c r="AZ1746" i="3"/>
  <c r="AU1746" i="3"/>
  <c r="AV1746" i="3"/>
  <c r="AT1738" i="3"/>
  <c r="AV1738" i="3"/>
  <c r="AW1738" i="3"/>
  <c r="AR1738" i="3"/>
  <c r="AZ1738" i="3"/>
  <c r="AS1738" i="3"/>
  <c r="BA1738" i="3"/>
  <c r="AY1730" i="3"/>
  <c r="AR1730" i="3"/>
  <c r="AZ1730" i="3"/>
  <c r="AS1730" i="3"/>
  <c r="BA1730" i="3"/>
  <c r="AT1730" i="3"/>
  <c r="AW1730" i="3"/>
  <c r="AX1730" i="3"/>
  <c r="AU1722" i="3"/>
  <c r="AV1722" i="3"/>
  <c r="AW1722" i="3"/>
  <c r="AX1722" i="3"/>
  <c r="AS1722" i="3"/>
  <c r="BA1722" i="3"/>
  <c r="AT1722" i="3"/>
  <c r="AX1714" i="3"/>
  <c r="AY1714" i="3"/>
  <c r="AR1714" i="3"/>
  <c r="AZ1714" i="3"/>
  <c r="AS1714" i="3"/>
  <c r="BA1714" i="3"/>
  <c r="AV1714" i="3"/>
  <c r="AW1714" i="3"/>
  <c r="AR1706" i="3"/>
  <c r="AZ1706" i="3"/>
  <c r="AS1706" i="3"/>
  <c r="BA1706" i="3"/>
  <c r="AT1706" i="3"/>
  <c r="AU1706" i="3"/>
  <c r="AX1706" i="3"/>
  <c r="AY1706" i="3"/>
  <c r="AU1698" i="3"/>
  <c r="AV1698" i="3"/>
  <c r="AW1698" i="3"/>
  <c r="AX1698" i="3"/>
  <c r="AS1698" i="3"/>
  <c r="BA1698" i="3"/>
  <c r="AT1698" i="3"/>
  <c r="AX1690" i="3"/>
  <c r="AY1690" i="3"/>
  <c r="AR1690" i="3"/>
  <c r="AZ1690" i="3"/>
  <c r="AS1690" i="3"/>
  <c r="BA1690" i="3"/>
  <c r="AV1690" i="3"/>
  <c r="AW1690" i="3"/>
  <c r="AR1682" i="3"/>
  <c r="AZ1682" i="3"/>
  <c r="AS1682" i="3"/>
  <c r="BA1682" i="3"/>
  <c r="AT1682" i="3"/>
  <c r="AU1682" i="3"/>
  <c r="AX1682" i="3"/>
  <c r="AY1682" i="3"/>
  <c r="AX1674" i="3"/>
  <c r="AY1674" i="3"/>
  <c r="AR1674" i="3"/>
  <c r="AZ1674" i="3"/>
  <c r="AS1674" i="3"/>
  <c r="BA1674" i="3"/>
  <c r="AV1674" i="3"/>
  <c r="AW1674" i="3"/>
  <c r="AU1666" i="3"/>
  <c r="AV1666" i="3"/>
  <c r="AW1666" i="3"/>
  <c r="AX1666" i="3"/>
  <c r="AS1666" i="3"/>
  <c r="BA1666" i="3"/>
  <c r="AT1666" i="3"/>
  <c r="AR1658" i="3"/>
  <c r="AZ1658" i="3"/>
  <c r="AS1658" i="3"/>
  <c r="BA1658" i="3"/>
  <c r="AT1658" i="3"/>
  <c r="AU1658" i="3"/>
  <c r="AX1658" i="3"/>
  <c r="AY1658" i="3"/>
  <c r="AU1650" i="3"/>
  <c r="AV1650" i="3"/>
  <c r="AW1650" i="3"/>
  <c r="AX1650" i="3"/>
  <c r="AS1650" i="3"/>
  <c r="BA1650" i="3"/>
  <c r="AT1650" i="3"/>
  <c r="AX1642" i="3"/>
  <c r="AY1642" i="3"/>
  <c r="AZ1642" i="3"/>
  <c r="AR1642" i="3"/>
  <c r="BA1642" i="3"/>
  <c r="AS1642" i="3"/>
  <c r="AV1642" i="3"/>
  <c r="AW1642" i="3"/>
  <c r="BA1634" i="3"/>
  <c r="AR1634" i="3"/>
  <c r="AS1634" i="3"/>
  <c r="AT1634" i="3"/>
  <c r="AY1634" i="3"/>
  <c r="AZ1634" i="3"/>
  <c r="AS1626" i="3"/>
  <c r="AT1626" i="3"/>
  <c r="AV1626" i="3"/>
  <c r="AW1626" i="3"/>
  <c r="AY1626" i="3"/>
  <c r="AR1626" i="3"/>
  <c r="AS1618" i="3"/>
  <c r="AV1618" i="3"/>
  <c r="AW1618" i="3"/>
  <c r="AY1618" i="3"/>
  <c r="AZ1618" i="3"/>
  <c r="AR1618" i="3"/>
  <c r="AT1618" i="3"/>
  <c r="AR1610" i="3"/>
  <c r="BA1610" i="3"/>
  <c r="AS1610" i="3"/>
  <c r="AT1610" i="3"/>
  <c r="AY1610" i="3"/>
  <c r="AZ1610" i="3"/>
  <c r="AZ1602" i="3"/>
  <c r="BA1602" i="3"/>
  <c r="AR1602" i="3"/>
  <c r="AS1602" i="3"/>
  <c r="AW1602" i="3"/>
  <c r="AY1602" i="3"/>
  <c r="AY1594" i="3"/>
  <c r="AR1594" i="3"/>
  <c r="AS1594" i="3"/>
  <c r="AT1594" i="3"/>
  <c r="AZ1594" i="3"/>
  <c r="BA1594" i="3"/>
  <c r="AW1586" i="3"/>
  <c r="AT1586" i="3"/>
  <c r="AV1586" i="3"/>
  <c r="AY1586" i="3"/>
  <c r="AZ1586" i="3"/>
  <c r="AR1586" i="3"/>
  <c r="AS1586" i="3"/>
  <c r="AV1578" i="3"/>
  <c r="AW1578" i="3"/>
  <c r="AY1578" i="3"/>
  <c r="AZ1578" i="3"/>
  <c r="BA1578" i="3"/>
  <c r="AS1578" i="3"/>
  <c r="AT1578" i="3"/>
  <c r="AT1570" i="3"/>
  <c r="AW1570" i="3"/>
  <c r="AY1570" i="3"/>
  <c r="AZ1570" i="3"/>
  <c r="BA1570" i="3"/>
  <c r="AS1570" i="3"/>
  <c r="AV1570" i="3"/>
  <c r="AR1562" i="3"/>
  <c r="AS1562" i="3"/>
  <c r="AT1562" i="3"/>
  <c r="AV1562" i="3"/>
  <c r="AW1562" i="3"/>
  <c r="BA1562" i="3"/>
  <c r="BA1554" i="3"/>
  <c r="AR1554" i="3"/>
  <c r="AS1554" i="3"/>
  <c r="AV1554" i="3"/>
  <c r="AZ1554" i="3"/>
  <c r="AZ1546" i="3"/>
  <c r="AS1546" i="3"/>
  <c r="AU1546" i="3"/>
  <c r="BA1546" i="3"/>
  <c r="AU1538" i="3"/>
  <c r="AX1538" i="3"/>
  <c r="AY1538" i="3"/>
  <c r="BA1538" i="3"/>
  <c r="AS1538" i="3"/>
  <c r="BA1530" i="3"/>
  <c r="AU1530" i="3"/>
  <c r="AX1530" i="3"/>
  <c r="AS1522" i="3"/>
  <c r="BA1522" i="3"/>
  <c r="AY1514" i="3"/>
  <c r="BA1514" i="3"/>
  <c r="AR1338" i="3"/>
  <c r="AX1338" i="3"/>
  <c r="AY1322" i="3"/>
  <c r="AU1322" i="3"/>
  <c r="AV1322" i="3"/>
  <c r="AY1234" i="3"/>
  <c r="AX1234" i="3"/>
  <c r="AS1146" i="3"/>
  <c r="AZ1146" i="3"/>
  <c r="AR1962" i="3"/>
  <c r="BA1946" i="3"/>
  <c r="AX1938" i="3"/>
  <c r="AS1930" i="3"/>
  <c r="AW1922" i="3"/>
  <c r="AT1906" i="3"/>
  <c r="AW1898" i="3"/>
  <c r="AW1890" i="3"/>
  <c r="AV1882" i="3"/>
  <c r="AS1874" i="3"/>
  <c r="BA1866" i="3"/>
  <c r="AV1858" i="3"/>
  <c r="AT1842" i="3"/>
  <c r="AZ1834" i="3"/>
  <c r="AY1818" i="3"/>
  <c r="BA1810" i="3"/>
  <c r="AZ1778" i="3"/>
  <c r="AT1762" i="3"/>
  <c r="BA1754" i="3"/>
  <c r="AV1706" i="3"/>
  <c r="AW1634" i="3"/>
  <c r="AV1610" i="3"/>
  <c r="AZ1562" i="3"/>
  <c r="BA2002" i="3"/>
  <c r="AS1994" i="3"/>
  <c r="AZ1986" i="3"/>
  <c r="BA1978" i="3"/>
  <c r="AR1978" i="3"/>
  <c r="AR1970" i="3"/>
  <c r="BA1962" i="3"/>
  <c r="BA1954" i="3"/>
  <c r="AZ1946" i="3"/>
  <c r="AW1938" i="3"/>
  <c r="AV1922" i="3"/>
  <c r="AZ1914" i="3"/>
  <c r="AR1906" i="3"/>
  <c r="AV1898" i="3"/>
  <c r="AV1890" i="3"/>
  <c r="AU1882" i="3"/>
  <c r="AR1874" i="3"/>
  <c r="AZ1866" i="3"/>
  <c r="AU1858" i="3"/>
  <c r="BA1850" i="3"/>
  <c r="AS1842" i="3"/>
  <c r="AW1834" i="3"/>
  <c r="BA1826" i="3"/>
  <c r="AW1818" i="3"/>
  <c r="AZ1810" i="3"/>
  <c r="AZ1802" i="3"/>
  <c r="AY1794" i="3"/>
  <c r="AY1778" i="3"/>
  <c r="AS1762" i="3"/>
  <c r="AX1754" i="3"/>
  <c r="AY1738" i="3"/>
  <c r="AZ1698" i="3"/>
  <c r="AZ1666" i="3"/>
  <c r="AZ1650" i="3"/>
  <c r="AV1634" i="3"/>
  <c r="BA1618" i="3"/>
  <c r="AR1570" i="3"/>
  <c r="AY1562" i="3"/>
  <c r="AS1731" i="3"/>
  <c r="AW1707" i="3"/>
  <c r="AY1683" i="3"/>
  <c r="AZ1659" i="3"/>
  <c r="BA1539" i="3"/>
  <c r="AE1192" i="13"/>
  <c r="AT372" i="4"/>
  <c r="AY1699" i="3"/>
  <c r="AS1459" i="3"/>
  <c r="AS1363" i="3"/>
  <c r="AZ2527" i="3"/>
  <c r="AR2527" i="3"/>
  <c r="AX2519" i="3"/>
  <c r="AV2511" i="3"/>
  <c r="AT2503" i="3"/>
  <c r="AX2495" i="3"/>
  <c r="AU2487" i="3"/>
  <c r="BA2479" i="3"/>
  <c r="AR2479" i="3"/>
  <c r="AW2471" i="3"/>
  <c r="AU2455" i="3"/>
  <c r="BA2447" i="3"/>
  <c r="AT2351" i="3"/>
  <c r="AZ2311" i="3"/>
  <c r="AZ2143" i="3"/>
  <c r="AV2551" i="3"/>
  <c r="AT2543" i="3"/>
  <c r="AZ2535" i="3"/>
  <c r="AR2535" i="3"/>
  <c r="AY2527" i="3"/>
  <c r="AW2519" i="3"/>
  <c r="AU2511" i="3"/>
  <c r="BA2503" i="3"/>
  <c r="AR2503" i="3"/>
  <c r="AW2495" i="3"/>
  <c r="AT2487" i="3"/>
  <c r="AZ2479" i="3"/>
  <c r="AV2471" i="3"/>
  <c r="BA2463" i="3"/>
  <c r="AT2455" i="3"/>
  <c r="AZ2447" i="3"/>
  <c r="AX2399" i="3"/>
  <c r="AV2359" i="3"/>
  <c r="AZ2319" i="3"/>
  <c r="AS1119" i="3"/>
  <c r="AY2447" i="3"/>
  <c r="AZ2407" i="3"/>
  <c r="AT2319" i="3"/>
  <c r="AZ2247" i="3"/>
  <c r="AT2583" i="3"/>
  <c r="AZ2575" i="3"/>
  <c r="AR2575" i="3"/>
  <c r="AX2567" i="3"/>
  <c r="AV2559" i="3"/>
  <c r="AT2551" i="3"/>
  <c r="AZ2543" i="3"/>
  <c r="AR2543" i="3"/>
  <c r="AX2535" i="3"/>
  <c r="AW2527" i="3"/>
  <c r="AU2519" i="3"/>
  <c r="BA2511" i="3"/>
  <c r="AS2511" i="3"/>
  <c r="AY2503" i="3"/>
  <c r="AU2495" i="3"/>
  <c r="BA2487" i="3"/>
  <c r="AR2487" i="3"/>
  <c r="AX2479" i="3"/>
  <c r="AT2471" i="3"/>
  <c r="AW2463" i="3"/>
  <c r="AR2455" i="3"/>
  <c r="AW2447" i="3"/>
  <c r="AY2439" i="3"/>
  <c r="BA2431" i="3"/>
  <c r="BA2423" i="3"/>
  <c r="AZ2415" i="3"/>
  <c r="AX2407" i="3"/>
  <c r="AX2367" i="3"/>
  <c r="AV2327" i="3"/>
  <c r="AX1839" i="3"/>
  <c r="AS1831" i="3"/>
  <c r="AY2575" i="3"/>
  <c r="AW2567" i="3"/>
  <c r="AU2559" i="3"/>
  <c r="BA2551" i="3"/>
  <c r="AS2551" i="3"/>
  <c r="AY2543" i="3"/>
  <c r="AW2535" i="3"/>
  <c r="AV2527" i="3"/>
  <c r="AT2519" i="3"/>
  <c r="AZ2511" i="3"/>
  <c r="AR2511" i="3"/>
  <c r="AX2503" i="3"/>
  <c r="AT2495" i="3"/>
  <c r="AZ2487" i="3"/>
  <c r="AW2479" i="3"/>
  <c r="AR2471" i="3"/>
  <c r="AV2463" i="3"/>
  <c r="BA2455" i="3"/>
  <c r="AT2447" i="3"/>
  <c r="AX2439" i="3"/>
  <c r="AW2431" i="3"/>
  <c r="AU2423" i="3"/>
  <c r="AT2415" i="3"/>
  <c r="AZ2375" i="3"/>
  <c r="AZ2615" i="3"/>
  <c r="AZ2583" i="3"/>
  <c r="AT2559" i="3"/>
  <c r="AZ2551" i="3"/>
  <c r="AR2551" i="3"/>
  <c r="AX2543" i="3"/>
  <c r="AV2535" i="3"/>
  <c r="AU2527" i="3"/>
  <c r="BA2519" i="3"/>
  <c r="AS2519" i="3"/>
  <c r="AY2511" i="3"/>
  <c r="AW2503" i="3"/>
  <c r="AS2495" i="3"/>
  <c r="AY2487" i="3"/>
  <c r="AV2479" i="3"/>
  <c r="AS2471" i="3"/>
  <c r="BA2471" i="3"/>
  <c r="AY2463" i="3"/>
  <c r="AR2463" i="3"/>
  <c r="AZ2463" i="3"/>
  <c r="AW2455" i="3"/>
  <c r="AX2455" i="3"/>
  <c r="AU2447" i="3"/>
  <c r="AV2447" i="3"/>
  <c r="AX2447" i="3"/>
  <c r="AR2439" i="3"/>
  <c r="AZ2439" i="3"/>
  <c r="AS2439" i="3"/>
  <c r="BA2439" i="3"/>
  <c r="AT2439" i="3"/>
  <c r="AV2439" i="3"/>
  <c r="AX2431" i="3"/>
  <c r="AY2431" i="3"/>
  <c r="AR2431" i="3"/>
  <c r="AZ2431" i="3"/>
  <c r="AT2431" i="3"/>
  <c r="AV2431" i="3"/>
  <c r="AV2423" i="3"/>
  <c r="AW2423" i="3"/>
  <c r="AX2423" i="3"/>
  <c r="AY2423" i="3"/>
  <c r="AR2423" i="3"/>
  <c r="AZ2423" i="3"/>
  <c r="AT2423" i="3"/>
  <c r="AU2415" i="3"/>
  <c r="AV2415" i="3"/>
  <c r="AW2415" i="3"/>
  <c r="AX2415" i="3"/>
  <c r="AY2415" i="3"/>
  <c r="AS2415" i="3"/>
  <c r="BA2415" i="3"/>
  <c r="AS2407" i="3"/>
  <c r="BA2407" i="3"/>
  <c r="AT2407" i="3"/>
  <c r="AU2407" i="3"/>
  <c r="AV2407" i="3"/>
  <c r="AW2407" i="3"/>
  <c r="AY2407" i="3"/>
  <c r="AY2399" i="3"/>
  <c r="AR2399" i="3"/>
  <c r="AZ2399" i="3"/>
  <c r="AS2399" i="3"/>
  <c r="BA2399" i="3"/>
  <c r="AT2399" i="3"/>
  <c r="AU2399" i="3"/>
  <c r="AW2399" i="3"/>
  <c r="AW2391" i="3"/>
  <c r="AX2391" i="3"/>
  <c r="AY2391" i="3"/>
  <c r="AR2391" i="3"/>
  <c r="AZ2391" i="3"/>
  <c r="AS2391" i="3"/>
  <c r="BA2391" i="3"/>
  <c r="AU2391" i="3"/>
  <c r="AU2383" i="3"/>
  <c r="AV2383" i="3"/>
  <c r="AW2383" i="3"/>
  <c r="AX2383" i="3"/>
  <c r="AY2383" i="3"/>
  <c r="AS2383" i="3"/>
  <c r="BA2383" i="3"/>
  <c r="AS2375" i="3"/>
  <c r="BA2375" i="3"/>
  <c r="AT2375" i="3"/>
  <c r="AU2375" i="3"/>
  <c r="AV2375" i="3"/>
  <c r="AW2375" i="3"/>
  <c r="AY2375" i="3"/>
  <c r="AY2367" i="3"/>
  <c r="AR2367" i="3"/>
  <c r="AZ2367" i="3"/>
  <c r="AS2367" i="3"/>
  <c r="BA2367" i="3"/>
  <c r="AT2367" i="3"/>
  <c r="AU2367" i="3"/>
  <c r="AW2367" i="3"/>
  <c r="AW2359" i="3"/>
  <c r="AX2359" i="3"/>
  <c r="AY2359" i="3"/>
  <c r="AR2359" i="3"/>
  <c r="AZ2359" i="3"/>
  <c r="AS2359" i="3"/>
  <c r="BA2359" i="3"/>
  <c r="AU2359" i="3"/>
  <c r="AU2351" i="3"/>
  <c r="AV2351" i="3"/>
  <c r="AW2351" i="3"/>
  <c r="AX2351" i="3"/>
  <c r="AY2351" i="3"/>
  <c r="AS2351" i="3"/>
  <c r="BA2351" i="3"/>
  <c r="AS2343" i="3"/>
  <c r="BA2343" i="3"/>
  <c r="AT2343" i="3"/>
  <c r="AU2343" i="3"/>
  <c r="AV2343" i="3"/>
  <c r="AW2343" i="3"/>
  <c r="AY2343" i="3"/>
  <c r="AY2335" i="3"/>
  <c r="AR2335" i="3"/>
  <c r="AZ2335" i="3"/>
  <c r="AS2335" i="3"/>
  <c r="BA2335" i="3"/>
  <c r="AT2335" i="3"/>
  <c r="AU2335" i="3"/>
  <c r="AW2335" i="3"/>
  <c r="AW2327" i="3"/>
  <c r="AX2327" i="3"/>
  <c r="AY2327" i="3"/>
  <c r="AR2327" i="3"/>
  <c r="AZ2327" i="3"/>
  <c r="AS2327" i="3"/>
  <c r="BA2327" i="3"/>
  <c r="AU2327" i="3"/>
  <c r="AU2319" i="3"/>
  <c r="AV2319" i="3"/>
  <c r="AW2319" i="3"/>
  <c r="AX2319" i="3"/>
  <c r="AY2319" i="3"/>
  <c r="AS2319" i="3"/>
  <c r="BA2319" i="3"/>
  <c r="AS2311" i="3"/>
  <c r="BA2311" i="3"/>
  <c r="AT2311" i="3"/>
  <c r="AU2311" i="3"/>
  <c r="AV2311" i="3"/>
  <c r="AW2311" i="3"/>
  <c r="AX2311" i="3"/>
  <c r="AY2311" i="3"/>
  <c r="AY2303" i="3"/>
  <c r="AR2303" i="3"/>
  <c r="AZ2303" i="3"/>
  <c r="AS2303" i="3"/>
  <c r="BA2303" i="3"/>
  <c r="AT2303" i="3"/>
  <c r="AU2303" i="3"/>
  <c r="AV2303" i="3"/>
  <c r="AW2303" i="3"/>
  <c r="AW2295" i="3"/>
  <c r="AX2295" i="3"/>
  <c r="AY2295" i="3"/>
  <c r="AR2295" i="3"/>
  <c r="AZ2295" i="3"/>
  <c r="AS2295" i="3"/>
  <c r="BA2295" i="3"/>
  <c r="AT2295" i="3"/>
  <c r="AU2295" i="3"/>
  <c r="AU2287" i="3"/>
  <c r="AV2287" i="3"/>
  <c r="AW2287" i="3"/>
  <c r="AX2287" i="3"/>
  <c r="AY2287" i="3"/>
  <c r="AR2287" i="3"/>
  <c r="AZ2287" i="3"/>
  <c r="AS2287" i="3"/>
  <c r="BA2287" i="3"/>
  <c r="AS2279" i="3"/>
  <c r="BA2279" i="3"/>
  <c r="AT2279" i="3"/>
  <c r="AU2279" i="3"/>
  <c r="AV2279" i="3"/>
  <c r="AW2279" i="3"/>
  <c r="AX2279" i="3"/>
  <c r="AY2279" i="3"/>
  <c r="AY2271" i="3"/>
  <c r="AR2271" i="3"/>
  <c r="AZ2271" i="3"/>
  <c r="AS2271" i="3"/>
  <c r="BA2271" i="3"/>
  <c r="AT2271" i="3"/>
  <c r="AU2271" i="3"/>
  <c r="AV2271" i="3"/>
  <c r="AW2271" i="3"/>
  <c r="AW2263" i="3"/>
  <c r="AX2263" i="3"/>
  <c r="AY2263" i="3"/>
  <c r="AR2263" i="3"/>
  <c r="AZ2263" i="3"/>
  <c r="AS2263" i="3"/>
  <c r="BA2263" i="3"/>
  <c r="AT2263" i="3"/>
  <c r="AU2263" i="3"/>
  <c r="AU2255" i="3"/>
  <c r="AV2255" i="3"/>
  <c r="AW2255" i="3"/>
  <c r="AX2255" i="3"/>
  <c r="AY2255" i="3"/>
  <c r="AR2255" i="3"/>
  <c r="AZ2255" i="3"/>
  <c r="AS2255" i="3"/>
  <c r="BA2255" i="3"/>
  <c r="AS2247" i="3"/>
  <c r="BA2247" i="3"/>
  <c r="AT2247" i="3"/>
  <c r="AU2247" i="3"/>
  <c r="AV2247" i="3"/>
  <c r="AW2247" i="3"/>
  <c r="AX2247" i="3"/>
  <c r="AY2247" i="3"/>
  <c r="AY2239" i="3"/>
  <c r="AR2239" i="3"/>
  <c r="AZ2239" i="3"/>
  <c r="AS2239" i="3"/>
  <c r="BA2239" i="3"/>
  <c r="AT2239" i="3"/>
  <c r="AU2239" i="3"/>
  <c r="AV2239" i="3"/>
  <c r="AW2239" i="3"/>
  <c r="AW2231" i="3"/>
  <c r="AX2231" i="3"/>
  <c r="AY2231" i="3"/>
  <c r="AR2231" i="3"/>
  <c r="AZ2231" i="3"/>
  <c r="AS2231" i="3"/>
  <c r="BA2231" i="3"/>
  <c r="AT2231" i="3"/>
  <c r="AU2231" i="3"/>
  <c r="AU2223" i="3"/>
  <c r="AV2223" i="3"/>
  <c r="AW2223" i="3"/>
  <c r="AX2223" i="3"/>
  <c r="AY2223" i="3"/>
  <c r="AR2223" i="3"/>
  <c r="AZ2223" i="3"/>
  <c r="AS2223" i="3"/>
  <c r="BA2223" i="3"/>
  <c r="AS2215" i="3"/>
  <c r="BA2215" i="3"/>
  <c r="AT2215" i="3"/>
  <c r="AU2215" i="3"/>
  <c r="AV2215" i="3"/>
  <c r="AW2215" i="3"/>
  <c r="AX2215" i="3"/>
  <c r="AY2215" i="3"/>
  <c r="AR2207" i="3"/>
  <c r="AZ2207" i="3"/>
  <c r="AS2207" i="3"/>
  <c r="BA2207" i="3"/>
  <c r="AT2207" i="3"/>
  <c r="AU2207" i="3"/>
  <c r="AV2207" i="3"/>
  <c r="AW2207" i="3"/>
  <c r="AX2207" i="3"/>
  <c r="AX2199" i="3"/>
  <c r="AY2199" i="3"/>
  <c r="AR2199" i="3"/>
  <c r="AZ2199" i="3"/>
  <c r="AS2199" i="3"/>
  <c r="BA2199" i="3"/>
  <c r="AT2199" i="3"/>
  <c r="AU2199" i="3"/>
  <c r="AV2199" i="3"/>
  <c r="AV2191" i="3"/>
  <c r="AW2191" i="3"/>
  <c r="AX2191" i="3"/>
  <c r="AY2191" i="3"/>
  <c r="AR2191" i="3"/>
  <c r="AZ2191" i="3"/>
  <c r="AS2191" i="3"/>
  <c r="BA2191" i="3"/>
  <c r="AT2191" i="3"/>
  <c r="AT2183" i="3"/>
  <c r="AU2183" i="3"/>
  <c r="AV2183" i="3"/>
  <c r="AW2183" i="3"/>
  <c r="AX2183" i="3"/>
  <c r="AY2183" i="3"/>
  <c r="AR2183" i="3"/>
  <c r="AZ2183" i="3"/>
  <c r="AR2175" i="3"/>
  <c r="AZ2175" i="3"/>
  <c r="AS2175" i="3"/>
  <c r="BA2175" i="3"/>
  <c r="AT2175" i="3"/>
  <c r="AU2175" i="3"/>
  <c r="AV2175" i="3"/>
  <c r="AW2175" i="3"/>
  <c r="AX2175" i="3"/>
  <c r="AX2167" i="3"/>
  <c r="AY2167" i="3"/>
  <c r="AR2167" i="3"/>
  <c r="AZ2167" i="3"/>
  <c r="AS2167" i="3"/>
  <c r="BA2167" i="3"/>
  <c r="AT2167" i="3"/>
  <c r="AU2167" i="3"/>
  <c r="AV2167" i="3"/>
  <c r="AV2159" i="3"/>
  <c r="AW2159" i="3"/>
  <c r="AX2159" i="3"/>
  <c r="AY2159" i="3"/>
  <c r="AR2159" i="3"/>
  <c r="AZ2159" i="3"/>
  <c r="AS2159" i="3"/>
  <c r="BA2159" i="3"/>
  <c r="AT2159" i="3"/>
  <c r="AU2151" i="3"/>
  <c r="AV2151" i="3"/>
  <c r="AW2151" i="3"/>
  <c r="AX2151" i="3"/>
  <c r="AY2151" i="3"/>
  <c r="AR2151" i="3"/>
  <c r="AZ2151" i="3"/>
  <c r="AS2151" i="3"/>
  <c r="BA2151" i="3"/>
  <c r="AS2143" i="3"/>
  <c r="BA2143" i="3"/>
  <c r="AT2143" i="3"/>
  <c r="AU2143" i="3"/>
  <c r="AV2143" i="3"/>
  <c r="AW2143" i="3"/>
  <c r="AX2143" i="3"/>
  <c r="AY2143" i="3"/>
  <c r="AY2135" i="3"/>
  <c r="AR2135" i="3"/>
  <c r="AZ2135" i="3"/>
  <c r="AS2135" i="3"/>
  <c r="BA2135" i="3"/>
  <c r="AT2135" i="3"/>
  <c r="AU2135" i="3"/>
  <c r="AV2135" i="3"/>
  <c r="AW2135" i="3"/>
  <c r="AW2127" i="3"/>
  <c r="AX2127" i="3"/>
  <c r="AY2127" i="3"/>
  <c r="AR2127" i="3"/>
  <c r="AZ2127" i="3"/>
  <c r="AS2127" i="3"/>
  <c r="BA2127" i="3"/>
  <c r="AT2127" i="3"/>
  <c r="AU2127" i="3"/>
  <c r="AV2119" i="3"/>
  <c r="AT2119" i="3"/>
  <c r="AU2119" i="3"/>
  <c r="AW2119" i="3"/>
  <c r="AX2119" i="3"/>
  <c r="AY2119" i="3"/>
  <c r="AZ2119" i="3"/>
  <c r="AR2119" i="3"/>
  <c r="BA2119" i="3"/>
  <c r="AT2111" i="3"/>
  <c r="AZ2111" i="3"/>
  <c r="AR2111" i="3"/>
  <c r="BA2111" i="3"/>
  <c r="AS2111" i="3"/>
  <c r="AU2111" i="3"/>
  <c r="AV2111" i="3"/>
  <c r="AW2111" i="3"/>
  <c r="AX2111" i="3"/>
  <c r="AR2103" i="3"/>
  <c r="AV2103" i="3"/>
  <c r="AW2103" i="3"/>
  <c r="AX2103" i="3"/>
  <c r="AY2103" i="3"/>
  <c r="BA2103" i="3"/>
  <c r="AS2103" i="3"/>
  <c r="AT2103" i="3"/>
  <c r="AX2095" i="3"/>
  <c r="AR2095" i="3"/>
  <c r="BA2095" i="3"/>
  <c r="AS2095" i="3"/>
  <c r="AT2095" i="3"/>
  <c r="AU2095" i="3"/>
  <c r="AV2095" i="3"/>
  <c r="AW2095" i="3"/>
  <c r="AY2095" i="3"/>
  <c r="AY2087" i="3"/>
  <c r="AV2087" i="3"/>
  <c r="AW2087" i="3"/>
  <c r="AX2087" i="3"/>
  <c r="AZ2087" i="3"/>
  <c r="BA2087" i="3"/>
  <c r="AR2087" i="3"/>
  <c r="AS2087" i="3"/>
  <c r="AV2079" i="3"/>
  <c r="AY2079" i="3"/>
  <c r="BA2079" i="3"/>
  <c r="AS2079" i="3"/>
  <c r="AT2079" i="3"/>
  <c r="AU2079" i="3"/>
  <c r="AW2079" i="3"/>
  <c r="AS2071" i="3"/>
  <c r="AR2071" i="3"/>
  <c r="AT2071" i="3"/>
  <c r="AV2071" i="3"/>
  <c r="AX2071" i="3"/>
  <c r="AY2071" i="3"/>
  <c r="AX2063" i="3"/>
  <c r="AS2063" i="3"/>
  <c r="AU2063" i="3"/>
  <c r="AV2063" i="3"/>
  <c r="AW2063" i="3"/>
  <c r="AY2063" i="3"/>
  <c r="BA2063" i="3"/>
  <c r="AU2055" i="3"/>
  <c r="AS2055" i="3"/>
  <c r="AT2055" i="3"/>
  <c r="AV2055" i="3"/>
  <c r="AX2055" i="3"/>
  <c r="AZ2055" i="3"/>
  <c r="BA2055" i="3"/>
  <c r="AR2047" i="3"/>
  <c r="AU2047" i="3"/>
  <c r="AW2047" i="3"/>
  <c r="AY2047" i="3"/>
  <c r="BA2047" i="3"/>
  <c r="AV2039" i="3"/>
  <c r="AS2039" i="3"/>
  <c r="AU2039" i="3"/>
  <c r="AW2039" i="3"/>
  <c r="AY2039" i="3"/>
  <c r="BA2039" i="3"/>
  <c r="AR2031" i="3"/>
  <c r="AS2031" i="3"/>
  <c r="AU2031" i="3"/>
  <c r="AW2031" i="3"/>
  <c r="AY2031" i="3"/>
  <c r="BA2031" i="3"/>
  <c r="AV2023" i="3"/>
  <c r="AS2023" i="3"/>
  <c r="AU2023" i="3"/>
  <c r="AW2023" i="3"/>
  <c r="AY2023" i="3"/>
  <c r="BA2023" i="3"/>
  <c r="AR2015" i="3"/>
  <c r="AS2015" i="3"/>
  <c r="AU2015" i="3"/>
  <c r="AW2015" i="3"/>
  <c r="AY2015" i="3"/>
  <c r="AV2007" i="3"/>
  <c r="BA2007" i="3"/>
  <c r="AS2007" i="3"/>
  <c r="AU2007" i="3"/>
  <c r="AW2007" i="3"/>
  <c r="AR1999" i="3"/>
  <c r="AY1999" i="3"/>
  <c r="BA1999" i="3"/>
  <c r="AS1999" i="3"/>
  <c r="AU1999" i="3"/>
  <c r="AU1991" i="3"/>
  <c r="AR1991" i="3"/>
  <c r="AT1991" i="3"/>
  <c r="AV1991" i="3"/>
  <c r="AZ1991" i="3"/>
  <c r="AU1983" i="3"/>
  <c r="AT1983" i="3"/>
  <c r="AW1983" i="3"/>
  <c r="AY1983" i="3"/>
  <c r="AY1975" i="3"/>
  <c r="AW1975" i="3"/>
  <c r="AZ1975" i="3"/>
  <c r="AU1967" i="3"/>
  <c r="AR1967" i="3"/>
  <c r="AT1967" i="3"/>
  <c r="AZ1967" i="3"/>
  <c r="AX1959" i="3"/>
  <c r="AZ1959" i="3"/>
  <c r="AR1951" i="3"/>
  <c r="AX1951" i="3"/>
  <c r="AV1943" i="3"/>
  <c r="AT1943" i="3"/>
  <c r="AY1943" i="3"/>
  <c r="AX1935" i="3"/>
  <c r="AV1935" i="3"/>
  <c r="AX1927" i="3"/>
  <c r="AW1927" i="3"/>
  <c r="AX1919" i="3"/>
  <c r="BA1919" i="3"/>
  <c r="AX1911" i="3"/>
  <c r="AU1911" i="3"/>
  <c r="AW1903" i="3"/>
  <c r="AR1903" i="3"/>
  <c r="AV1903" i="3"/>
  <c r="AV1895" i="3"/>
  <c r="AU1895" i="3"/>
  <c r="BA1895" i="3"/>
  <c r="AS1887" i="3"/>
  <c r="AR1887" i="3"/>
  <c r="AV1879" i="3"/>
  <c r="BA1879" i="3"/>
  <c r="AX1871" i="3"/>
  <c r="AU1871" i="3"/>
  <c r="BA1871" i="3"/>
  <c r="AW1863" i="3"/>
  <c r="AX1863" i="3"/>
  <c r="AV1855" i="3"/>
  <c r="AR1855" i="3"/>
  <c r="AT1847" i="3"/>
  <c r="AU1847" i="3"/>
  <c r="BA1847" i="3"/>
  <c r="AX1823" i="3"/>
  <c r="AV1823" i="3"/>
  <c r="AV1815" i="3"/>
  <c r="AX1815" i="3"/>
  <c r="AV1807" i="3"/>
  <c r="AW1807" i="3"/>
  <c r="BA1807" i="3"/>
  <c r="AU1799" i="3"/>
  <c r="AW1799" i="3"/>
  <c r="AT1791" i="3"/>
  <c r="AR1791" i="3"/>
  <c r="AW1791" i="3"/>
  <c r="AX1783" i="3"/>
  <c r="AU1783" i="3"/>
  <c r="AZ1783" i="3"/>
  <c r="AX1767" i="3"/>
  <c r="AT1767" i="3"/>
  <c r="AZ1767" i="3"/>
  <c r="AW1751" i="3"/>
  <c r="AS1751" i="3"/>
  <c r="AU1743" i="3"/>
  <c r="AS1743" i="3"/>
  <c r="BA1735" i="3"/>
  <c r="AS1735" i="3"/>
  <c r="AW1671" i="3"/>
  <c r="AU1671" i="3"/>
  <c r="AR1663" i="3"/>
  <c r="AX1663" i="3"/>
  <c r="BA1519" i="3"/>
  <c r="AV1519" i="3"/>
  <c r="AT1431" i="3"/>
  <c r="AS1431" i="3"/>
  <c r="AT1327" i="3"/>
  <c r="AX1327" i="3"/>
  <c r="AT1303" i="3"/>
  <c r="AW1303" i="3"/>
  <c r="AX1199" i="3"/>
  <c r="AR1199" i="3"/>
  <c r="BA919" i="3"/>
  <c r="AV919" i="3"/>
  <c r="AZ887" i="3"/>
  <c r="AX887" i="3"/>
  <c r="AZ2559" i="3"/>
  <c r="BA2527" i="3"/>
  <c r="AU2503" i="3"/>
  <c r="AZ2495" i="3"/>
  <c r="AV2487" i="3"/>
  <c r="AS2479" i="3"/>
  <c r="AX2471" i="3"/>
  <c r="AS2463" i="3"/>
  <c r="AV2455" i="3"/>
  <c r="AV2391" i="3"/>
  <c r="AR2383" i="3"/>
  <c r="AZ2351" i="3"/>
  <c r="AX2343" i="3"/>
  <c r="AZ2215" i="3"/>
  <c r="AZ2095" i="3"/>
  <c r="AX2079" i="3"/>
  <c r="BA2015" i="3"/>
  <c r="AZ2862" i="3"/>
  <c r="AZ3016" i="3"/>
  <c r="AR3016" i="3"/>
  <c r="AS2947" i="3"/>
  <c r="BA2861" i="3"/>
  <c r="AX2862" i="3"/>
  <c r="AW2861" i="3"/>
  <c r="W1159" i="13"/>
  <c r="AV2861" i="3"/>
  <c r="AU2862" i="3"/>
  <c r="AT2861" i="3"/>
  <c r="AT2862" i="3"/>
  <c r="AR2861" i="3"/>
  <c r="AX1627" i="3"/>
  <c r="AZ1595" i="3"/>
  <c r="AY1539" i="3"/>
  <c r="AY1515" i="3"/>
  <c r="AT1451" i="3"/>
  <c r="AX2861" i="3"/>
  <c r="AU1771" i="3"/>
  <c r="AW1731" i="3"/>
  <c r="AT1683" i="3"/>
  <c r="AT1539" i="3"/>
  <c r="AV1507" i="3"/>
  <c r="AX1491" i="3"/>
  <c r="BA1467" i="3"/>
  <c r="AU2861" i="3"/>
  <c r="AR1587" i="3"/>
  <c r="BA2983" i="3"/>
  <c r="AR2983" i="3"/>
  <c r="AR2947" i="3"/>
  <c r="AZ2983" i="3"/>
  <c r="AX2983" i="3"/>
  <c r="BA2947" i="3"/>
  <c r="AU2983" i="3"/>
  <c r="AZ2947" i="3"/>
  <c r="AT2983" i="3"/>
  <c r="AY2947" i="3"/>
  <c r="AT2947" i="3"/>
  <c r="AD1192" i="13"/>
  <c r="AX2947" i="3"/>
  <c r="AY2983" i="3"/>
  <c r="AU1576" i="3"/>
  <c r="AX1568" i="3"/>
  <c r="AY1560" i="3"/>
  <c r="BA1552" i="3"/>
  <c r="AS1552" i="3"/>
  <c r="AV1544" i="3"/>
  <c r="AW1536" i="3"/>
  <c r="AS1528" i="3"/>
  <c r="AY1520" i="3"/>
  <c r="AV1512" i="3"/>
  <c r="AS1504" i="3"/>
  <c r="AW1496" i="3"/>
  <c r="AZ1488" i="3"/>
  <c r="AU1480" i="3"/>
  <c r="AW1472" i="3"/>
  <c r="BA1464" i="3"/>
  <c r="AT1456" i="3"/>
  <c r="AV1448" i="3"/>
  <c r="AY1440" i="3"/>
  <c r="AZ1432" i="3"/>
  <c r="BA1416" i="3"/>
  <c r="AU1408" i="3"/>
  <c r="AR1376" i="3"/>
  <c r="AY1368" i="3"/>
  <c r="AR1264" i="3"/>
  <c r="AS1248" i="3"/>
  <c r="AR944" i="3"/>
  <c r="AX904" i="3"/>
  <c r="AS688" i="3"/>
  <c r="AA1192" i="13"/>
  <c r="AW2947" i="3"/>
  <c r="Z1192" i="13"/>
  <c r="AV2947" i="3"/>
  <c r="AW2983" i="3"/>
  <c r="W1192" i="13"/>
  <c r="AV1584" i="3"/>
  <c r="AY1576" i="3"/>
  <c r="AT1568" i="3"/>
  <c r="AU1560" i="3"/>
  <c r="AW1552" i="3"/>
  <c r="BA1544" i="3"/>
  <c r="BA1536" i="3"/>
  <c r="AR1536" i="3"/>
  <c r="AX1528" i="3"/>
  <c r="AU1520" i="3"/>
  <c r="BA1512" i="3"/>
  <c r="AR1512" i="3"/>
  <c r="AW1504" i="3"/>
  <c r="BA1496" i="3"/>
  <c r="AR1496" i="3"/>
  <c r="AV1488" i="3"/>
  <c r="AZ1480" i="3"/>
  <c r="AR1472" i="3"/>
  <c r="AU1464" i="3"/>
  <c r="AX1456" i="3"/>
  <c r="BA1448" i="3"/>
  <c r="AS1440" i="3"/>
  <c r="AT1432" i="3"/>
  <c r="AV1424" i="3"/>
  <c r="AU1416" i="3"/>
  <c r="AW1400" i="3"/>
  <c r="AU1384" i="3"/>
  <c r="AY1376" i="3"/>
  <c r="AY1360" i="3"/>
  <c r="AS1344" i="3"/>
  <c r="BA1336" i="3"/>
  <c r="AW1320" i="3"/>
  <c r="BA1312" i="3"/>
  <c r="AT1280" i="3"/>
  <c r="AX1272" i="3"/>
  <c r="BA1264" i="3"/>
  <c r="AY1080" i="3"/>
  <c r="AX976" i="3"/>
  <c r="BA920" i="3"/>
  <c r="AV848" i="3"/>
  <c r="AZ1696" i="3"/>
  <c r="BA1680" i="3"/>
  <c r="BA1672" i="3"/>
  <c r="BA1664" i="3"/>
  <c r="BA1656" i="3"/>
  <c r="BA1624" i="3"/>
  <c r="BA1608" i="3"/>
  <c r="BA1568" i="3"/>
  <c r="AY1544" i="3"/>
  <c r="AZ1536" i="3"/>
  <c r="AW1528" i="3"/>
  <c r="AT1520" i="3"/>
  <c r="AZ1512" i="3"/>
  <c r="AV1504" i="3"/>
  <c r="AZ1496" i="3"/>
  <c r="AU1488" i="3"/>
  <c r="AY1480" i="3"/>
  <c r="BA1472" i="3"/>
  <c r="AT1464" i="3"/>
  <c r="AZ1448" i="3"/>
  <c r="AR1440" i="3"/>
  <c r="AS1432" i="3"/>
  <c r="BA1207" i="3"/>
  <c r="AY1192" i="3"/>
  <c r="AR976" i="3"/>
  <c r="V1145" i="13"/>
  <c r="AS2796" i="3"/>
  <c r="AV1622" i="3"/>
  <c r="AS1511" i="3"/>
  <c r="AW1454" i="3"/>
  <c r="AV1422" i="3"/>
  <c r="AX1359" i="3"/>
  <c r="AR1222" i="3"/>
  <c r="AS1198" i="3"/>
  <c r="AV1271" i="3"/>
  <c r="AW1055" i="3"/>
  <c r="AU2974" i="3"/>
  <c r="AC1192" i="13"/>
  <c r="AX2047" i="3"/>
  <c r="AT2039" i="3"/>
  <c r="AX2031" i="3"/>
  <c r="AT2023" i="3"/>
  <c r="AX2015" i="3"/>
  <c r="AT2007" i="3"/>
  <c r="AX1999" i="3"/>
  <c r="BA1991" i="3"/>
  <c r="AS1991" i="3"/>
  <c r="AV1983" i="3"/>
  <c r="AX1975" i="3"/>
  <c r="BA1967" i="3"/>
  <c r="AY1951" i="3"/>
  <c r="AU1943" i="3"/>
  <c r="AV1927" i="3"/>
  <c r="AS1895" i="3"/>
  <c r="AS1871" i="3"/>
  <c r="AR1847" i="3"/>
  <c r="AR1807" i="3"/>
  <c r="AT1799" i="3"/>
  <c r="AU1791" i="3"/>
  <c r="AW1743" i="3"/>
  <c r="AY1735" i="3"/>
  <c r="BA1671" i="3"/>
  <c r="AX1431" i="3"/>
  <c r="AT1343" i="3"/>
  <c r="AR1303" i="3"/>
  <c r="AR615" i="3"/>
  <c r="AZ2858" i="3"/>
  <c r="AB1192" i="13"/>
  <c r="AZ2103" i="3"/>
  <c r="AU2087" i="3"/>
  <c r="AZ2079" i="3"/>
  <c r="AR2079" i="3"/>
  <c r="AW2071" i="3"/>
  <c r="AT2063" i="3"/>
  <c r="AY2055" i="3"/>
  <c r="AV2047" i="3"/>
  <c r="AZ2039" i="3"/>
  <c r="AR2039" i="3"/>
  <c r="AV2031" i="3"/>
  <c r="AZ2023" i="3"/>
  <c r="AR2023" i="3"/>
  <c r="AV2015" i="3"/>
  <c r="AZ2007" i="3"/>
  <c r="AR2007" i="3"/>
  <c r="AV1999" i="3"/>
  <c r="AY1991" i="3"/>
  <c r="AS1983" i="3"/>
  <c r="AV1975" i="3"/>
  <c r="AY1967" i="3"/>
  <c r="AW1959" i="3"/>
  <c r="AW1951" i="3"/>
  <c r="AS1943" i="3"/>
  <c r="AS1927" i="3"/>
  <c r="AW1919" i="3"/>
  <c r="AY1879" i="3"/>
  <c r="AV1863" i="3"/>
  <c r="AU1839" i="3"/>
  <c r="AY1775" i="3"/>
  <c r="BA1759" i="3"/>
  <c r="AV1399" i="3"/>
  <c r="AY1383" i="3"/>
  <c r="AZ1295" i="3"/>
  <c r="AR1271" i="3"/>
  <c r="AV1143" i="3"/>
  <c r="AU1079" i="3"/>
  <c r="AX1991" i="3"/>
  <c r="BA1983" i="3"/>
  <c r="AR1983" i="3"/>
  <c r="AU1975" i="3"/>
  <c r="AW1967" i="3"/>
  <c r="AV1959" i="3"/>
  <c r="AU1951" i="3"/>
  <c r="BA1935" i="3"/>
  <c r="AU1919" i="3"/>
  <c r="BA1911" i="3"/>
  <c r="AU1879" i="3"/>
  <c r="AT1863" i="3"/>
  <c r="AW1855" i="3"/>
  <c r="AS1839" i="3"/>
  <c r="AW1831" i="3"/>
  <c r="AU1775" i="3"/>
  <c r="AX1759" i="3"/>
  <c r="AT1527" i="3"/>
  <c r="BA1423" i="3"/>
  <c r="AX1407" i="3"/>
  <c r="AR1399" i="3"/>
  <c r="AR1367" i="3"/>
  <c r="AS1335" i="3"/>
  <c r="AX1319" i="3"/>
  <c r="AZ1239" i="3"/>
  <c r="AS1015" i="3"/>
  <c r="AY999" i="3"/>
  <c r="AV823" i="3"/>
  <c r="Y1192" i="13"/>
  <c r="AU2071" i="3"/>
  <c r="AZ2063" i="3"/>
  <c r="AR2063" i="3"/>
  <c r="AW2055" i="3"/>
  <c r="AT2047" i="3"/>
  <c r="AX2039" i="3"/>
  <c r="AT2031" i="3"/>
  <c r="AX2023" i="3"/>
  <c r="AT2015" i="3"/>
  <c r="AX2007" i="3"/>
  <c r="AT1999" i="3"/>
  <c r="AW1991" i="3"/>
  <c r="AZ1983" i="3"/>
  <c r="AS1975" i="3"/>
  <c r="AV1967" i="3"/>
  <c r="AU1959" i="3"/>
  <c r="AW1935" i="3"/>
  <c r="AS1919" i="3"/>
  <c r="AW1911" i="3"/>
  <c r="AZ1903" i="3"/>
  <c r="AZ1887" i="3"/>
  <c r="AS1879" i="3"/>
  <c r="AU1855" i="3"/>
  <c r="AU1831" i="3"/>
  <c r="BA1823" i="3"/>
  <c r="AZ1815" i="3"/>
  <c r="AT1759" i="3"/>
  <c r="AS1599" i="3"/>
  <c r="AS1567" i="3"/>
  <c r="AV1535" i="3"/>
  <c r="AY1423" i="3"/>
  <c r="AS1407" i="3"/>
  <c r="AT1351" i="3"/>
  <c r="AT1287" i="3"/>
  <c r="AV1255" i="3"/>
  <c r="AU1215" i="3"/>
  <c r="AR1183" i="3"/>
  <c r="AX1127" i="3"/>
  <c r="AR1047" i="3"/>
  <c r="AR344" i="4"/>
  <c r="AY1751" i="3"/>
  <c r="AS1503" i="3"/>
  <c r="AZ1415" i="3"/>
  <c r="BA1311" i="3"/>
  <c r="AR1287" i="3"/>
  <c r="AU1231" i="3"/>
  <c r="AW1223" i="3"/>
  <c r="AV1167" i="3"/>
  <c r="AT2870" i="3"/>
  <c r="BA2071" i="3"/>
  <c r="AZ2047" i="3"/>
  <c r="AZ2031" i="3"/>
  <c r="AZ2015" i="3"/>
  <c r="AZ1999" i="3"/>
  <c r="AX1983" i="3"/>
  <c r="BA1975" i="3"/>
  <c r="AS1967" i="3"/>
  <c r="AR1959" i="3"/>
  <c r="BA1943" i="3"/>
  <c r="AU1935" i="3"/>
  <c r="BA1927" i="3"/>
  <c r="AS1911" i="3"/>
  <c r="AT1903" i="3"/>
  <c r="AY1895" i="3"/>
  <c r="AV1887" i="3"/>
  <c r="AW1871" i="3"/>
  <c r="AW1847" i="3"/>
  <c r="AT1823" i="3"/>
  <c r="AS1815" i="3"/>
  <c r="AY1807" i="3"/>
  <c r="AY1799" i="3"/>
  <c r="BA1791" i="3"/>
  <c r="AW1783" i="3"/>
  <c r="AW1767" i="3"/>
  <c r="AV1751" i="3"/>
  <c r="AV1415" i="3"/>
  <c r="AS1375" i="3"/>
  <c r="AY1199" i="3"/>
  <c r="AY1191" i="3"/>
  <c r="AX1007" i="3"/>
  <c r="AZ2783" i="3"/>
  <c r="AZ1567" i="3"/>
  <c r="AZ1535" i="3"/>
  <c r="AX1503" i="3"/>
  <c r="AV1919" i="3"/>
  <c r="AV1911" i="3"/>
  <c r="AU1903" i="3"/>
  <c r="AT1895" i="3"/>
  <c r="AY1887" i="3"/>
  <c r="AT1879" i="3"/>
  <c r="AV1871" i="3"/>
  <c r="AV1847" i="3"/>
  <c r="AW1839" i="3"/>
  <c r="AV1831" i="3"/>
  <c r="AU1823" i="3"/>
  <c r="BA1815" i="3"/>
  <c r="AR1815" i="3"/>
  <c r="AZ1807" i="3"/>
  <c r="AX1799" i="3"/>
  <c r="AV1791" i="3"/>
  <c r="AR1863" i="3"/>
  <c r="AZ1863" i="3"/>
  <c r="AS1855" i="3"/>
  <c r="BA1855" i="3"/>
  <c r="AS1783" i="3"/>
  <c r="BA1783" i="3"/>
  <c r="AY1783" i="3"/>
  <c r="AX1775" i="3"/>
  <c r="AR1775" i="3"/>
  <c r="AZ1775" i="3"/>
  <c r="AV1775" i="3"/>
  <c r="AS1767" i="3"/>
  <c r="BA1767" i="3"/>
  <c r="AU1767" i="3"/>
  <c r="AY1767" i="3"/>
  <c r="AW1759" i="3"/>
  <c r="AY1759" i="3"/>
  <c r="AU1759" i="3"/>
  <c r="AR1751" i="3"/>
  <c r="AZ1751" i="3"/>
  <c r="AT1751" i="3"/>
  <c r="AX1751" i="3"/>
  <c r="AT1743" i="3"/>
  <c r="AV1743" i="3"/>
  <c r="AR1743" i="3"/>
  <c r="AZ1743" i="3"/>
  <c r="AT1735" i="3"/>
  <c r="AU1735" i="3"/>
  <c r="AV1735" i="3"/>
  <c r="AX1735" i="3"/>
  <c r="AR1735" i="3"/>
  <c r="AZ1735" i="3"/>
  <c r="AU1727" i="3"/>
  <c r="AV1727" i="3"/>
  <c r="AW1727" i="3"/>
  <c r="AY1727" i="3"/>
  <c r="AS1727" i="3"/>
  <c r="BA1727" i="3"/>
  <c r="AT1719" i="3"/>
  <c r="AU1719" i="3"/>
  <c r="AV1719" i="3"/>
  <c r="AX1719" i="3"/>
  <c r="AR1719" i="3"/>
  <c r="AZ1719" i="3"/>
  <c r="AR1711" i="3"/>
  <c r="AZ1711" i="3"/>
  <c r="AS1711" i="3"/>
  <c r="BA1711" i="3"/>
  <c r="AT1711" i="3"/>
  <c r="AV1711" i="3"/>
  <c r="AX1711" i="3"/>
  <c r="AW1703" i="3"/>
  <c r="AX1703" i="3"/>
  <c r="AY1703" i="3"/>
  <c r="AS1703" i="3"/>
  <c r="BA1703" i="3"/>
  <c r="AU1703" i="3"/>
  <c r="AV1695" i="3"/>
  <c r="AW1695" i="3"/>
  <c r="AX1695" i="3"/>
  <c r="AR1695" i="3"/>
  <c r="AZ1695" i="3"/>
  <c r="AT1695" i="3"/>
  <c r="AU1687" i="3"/>
  <c r="AV1687" i="3"/>
  <c r="AW1687" i="3"/>
  <c r="AY1687" i="3"/>
  <c r="AS1687" i="3"/>
  <c r="BA1687" i="3"/>
  <c r="AR1679" i="3"/>
  <c r="AS1679" i="3"/>
  <c r="BA1679" i="3"/>
  <c r="AT1679" i="3"/>
  <c r="AU1679" i="3"/>
  <c r="AW1679" i="3"/>
  <c r="AY1679" i="3"/>
  <c r="AS1671" i="3"/>
  <c r="AT1671" i="3"/>
  <c r="AV1671" i="3"/>
  <c r="AX1671" i="3"/>
  <c r="AY1663" i="3"/>
  <c r="AZ1663" i="3"/>
  <c r="AT1663" i="3"/>
  <c r="AW1663" i="3"/>
  <c r="AW1655" i="3"/>
  <c r="AX1655" i="3"/>
  <c r="AY1655" i="3"/>
  <c r="AT1655" i="3"/>
  <c r="AV1647" i="3"/>
  <c r="AR1647" i="3"/>
  <c r="AS1647" i="3"/>
  <c r="AX1647" i="3"/>
  <c r="AZ1647" i="3"/>
  <c r="AW1639" i="3"/>
  <c r="AT1639" i="3"/>
  <c r="AU1639" i="3"/>
  <c r="AV1639" i="3"/>
  <c r="BA1639" i="3"/>
  <c r="AR1639" i="3"/>
  <c r="AU1631" i="3"/>
  <c r="AW1631" i="3"/>
  <c r="AX1631" i="3"/>
  <c r="AY1631" i="3"/>
  <c r="AT1631" i="3"/>
  <c r="AZ1623" i="3"/>
  <c r="AV1623" i="3"/>
  <c r="AX1623" i="3"/>
  <c r="AR1615" i="3"/>
  <c r="AT1615" i="3"/>
  <c r="AX1615" i="3"/>
  <c r="AZ1615" i="3"/>
  <c r="AU1607" i="3"/>
  <c r="AX1607" i="3"/>
  <c r="AY1607" i="3"/>
  <c r="AS1607" i="3"/>
  <c r="AX1599" i="3"/>
  <c r="AY1599" i="3"/>
  <c r="AZ1599" i="3"/>
  <c r="BA1599" i="3"/>
  <c r="AR1599" i="3"/>
  <c r="AT1599" i="3"/>
  <c r="AW1591" i="3"/>
  <c r="BA1591" i="3"/>
  <c r="AR1591" i="3"/>
  <c r="AT1591" i="3"/>
  <c r="AV1591" i="3"/>
  <c r="AV1583" i="3"/>
  <c r="AW1583" i="3"/>
  <c r="AX1583" i="3"/>
  <c r="AY1583" i="3"/>
  <c r="AT1583" i="3"/>
  <c r="AU1575" i="3"/>
  <c r="AY1575" i="3"/>
  <c r="AZ1575" i="3"/>
  <c r="BA1575" i="3"/>
  <c r="AR1575" i="3"/>
  <c r="AW1575" i="3"/>
  <c r="AT1567" i="3"/>
  <c r="BA1567" i="3"/>
  <c r="AR1567" i="3"/>
  <c r="AU1567" i="3"/>
  <c r="AY1567" i="3"/>
  <c r="AS1559" i="3"/>
  <c r="AU1559" i="3"/>
  <c r="AY1559" i="3"/>
  <c r="AY1551" i="3"/>
  <c r="AR1551" i="3"/>
  <c r="AS1551" i="3"/>
  <c r="AT1551" i="3"/>
  <c r="AV1551" i="3"/>
  <c r="BA1551" i="3"/>
  <c r="AW1543" i="3"/>
  <c r="AS1543" i="3"/>
  <c r="AT1543" i="3"/>
  <c r="AV1543" i="3"/>
  <c r="AY1543" i="3"/>
  <c r="AT1535" i="3"/>
  <c r="AU1535" i="3"/>
  <c r="AW1535" i="3"/>
  <c r="AY1535" i="3"/>
  <c r="AW1527" i="3"/>
  <c r="AU1527" i="3"/>
  <c r="AV1527" i="3"/>
  <c r="AX1527" i="3"/>
  <c r="AS1527" i="3"/>
  <c r="AS1519" i="3"/>
  <c r="AU1519" i="3"/>
  <c r="AY1519" i="3"/>
  <c r="AT1511" i="3"/>
  <c r="AW1511" i="3"/>
  <c r="AX1511" i="3"/>
  <c r="AY1511" i="3"/>
  <c r="BA1511" i="3"/>
  <c r="AR1511" i="3"/>
  <c r="AU1503" i="3"/>
  <c r="AY1503" i="3"/>
  <c r="AT1503" i="3"/>
  <c r="AW1503" i="3"/>
  <c r="AV1495" i="3"/>
  <c r="AR1495" i="3"/>
  <c r="AS1495" i="3"/>
  <c r="AT1495" i="3"/>
  <c r="AY1495" i="3"/>
  <c r="BA1495" i="3"/>
  <c r="AW1487" i="3"/>
  <c r="AT1487" i="3"/>
  <c r="AU1487" i="3"/>
  <c r="AV1487" i="3"/>
  <c r="AY1487" i="3"/>
  <c r="AX1479" i="3"/>
  <c r="AY1479" i="3"/>
  <c r="AZ1479" i="3"/>
  <c r="BA1479" i="3"/>
  <c r="AR1479" i="3"/>
  <c r="AT1479" i="3"/>
  <c r="AW1471" i="3"/>
  <c r="AX1471" i="3"/>
  <c r="AZ1471" i="3"/>
  <c r="AU1471" i="3"/>
  <c r="AV1463" i="3"/>
  <c r="AW1463" i="3"/>
  <c r="BA1463" i="3"/>
  <c r="AT1463" i="3"/>
  <c r="AW1455" i="3"/>
  <c r="AX1455" i="3"/>
  <c r="AY1455" i="3"/>
  <c r="AR1455" i="3"/>
  <c r="AV1447" i="3"/>
  <c r="AW1447" i="3"/>
  <c r="BA1447" i="3"/>
  <c r="AS1447" i="3"/>
  <c r="AY1439" i="3"/>
  <c r="AZ1439" i="3"/>
  <c r="BA1439" i="3"/>
  <c r="AT1439" i="3"/>
  <c r="AT1975" i="3"/>
  <c r="AX1967" i="3"/>
  <c r="BA1959" i="3"/>
  <c r="AS1959" i="3"/>
  <c r="AV1951" i="3"/>
  <c r="AZ1943" i="3"/>
  <c r="AR1943" i="3"/>
  <c r="AT1935" i="3"/>
  <c r="AT1927" i="3"/>
  <c r="AT1919" i="3"/>
  <c r="AT1911" i="3"/>
  <c r="BA1903" i="3"/>
  <c r="AS1903" i="3"/>
  <c r="AZ1895" i="3"/>
  <c r="AR1895" i="3"/>
  <c r="AW1887" i="3"/>
  <c r="AZ1879" i="3"/>
  <c r="AR1879" i="3"/>
  <c r="AT1871" i="3"/>
  <c r="AU1863" i="3"/>
  <c r="AT1855" i="3"/>
  <c r="AS1847" i="3"/>
  <c r="AT1839" i="3"/>
  <c r="AT1831" i="3"/>
  <c r="AS1823" i="3"/>
  <c r="AY1815" i="3"/>
  <c r="AX1807" i="3"/>
  <c r="AV1799" i="3"/>
  <c r="AS1791" i="3"/>
  <c r="AV1783" i="3"/>
  <c r="AW1775" i="3"/>
  <c r="AV1767" i="3"/>
  <c r="AV1759" i="3"/>
  <c r="AU1751" i="3"/>
  <c r="AW1735" i="3"/>
  <c r="AZ1703" i="3"/>
  <c r="AV1663" i="3"/>
  <c r="AX1639" i="3"/>
  <c r="AX1575" i="3"/>
  <c r="AU1551" i="3"/>
  <c r="AR1527" i="3"/>
  <c r="AT1519" i="3"/>
  <c r="AS1479" i="3"/>
  <c r="AS1463" i="3"/>
  <c r="AR1447" i="3"/>
  <c r="AR1837" i="3"/>
  <c r="AX1837" i="3"/>
  <c r="AU1781" i="3"/>
  <c r="AT1781" i="3"/>
  <c r="AY1757" i="3"/>
  <c r="AW1757" i="3"/>
  <c r="AX1589" i="3"/>
  <c r="AV1589" i="3"/>
  <c r="AY1959" i="3"/>
  <c r="AT1951" i="3"/>
  <c r="AX1943" i="3"/>
  <c r="AZ1935" i="3"/>
  <c r="AR1935" i="3"/>
  <c r="AZ1927" i="3"/>
  <c r="AR1927" i="3"/>
  <c r="AZ1919" i="3"/>
  <c r="AR1919" i="3"/>
  <c r="AZ1911" i="3"/>
  <c r="AR1911" i="3"/>
  <c r="AY1903" i="3"/>
  <c r="AX1895" i="3"/>
  <c r="AU1887" i="3"/>
  <c r="AX1879" i="3"/>
  <c r="AZ1871" i="3"/>
  <c r="AR1871" i="3"/>
  <c r="AS1863" i="3"/>
  <c r="AZ1855" i="3"/>
  <c r="AZ1847" i="3"/>
  <c r="BA1839" i="3"/>
  <c r="AR1839" i="3"/>
  <c r="BA1831" i="3"/>
  <c r="AR1831" i="3"/>
  <c r="AZ1823" i="3"/>
  <c r="AW1815" i="3"/>
  <c r="AU1807" i="3"/>
  <c r="AS1799" i="3"/>
  <c r="AZ1791" i="3"/>
  <c r="AT1783" i="3"/>
  <c r="AT1775" i="3"/>
  <c r="AR1767" i="3"/>
  <c r="AS1759" i="3"/>
  <c r="BA1743" i="3"/>
  <c r="AX1727" i="3"/>
  <c r="BA1719" i="3"/>
  <c r="AY1711" i="3"/>
  <c r="AT1703" i="3"/>
  <c r="AY1695" i="3"/>
  <c r="AZ1687" i="3"/>
  <c r="AZ1679" i="3"/>
  <c r="AU1655" i="3"/>
  <c r="AY1647" i="3"/>
  <c r="AY1615" i="3"/>
  <c r="AT1607" i="3"/>
  <c r="BA1559" i="3"/>
  <c r="AX1543" i="3"/>
  <c r="AS1487" i="3"/>
  <c r="AV1471" i="3"/>
  <c r="AZ1455" i="3"/>
  <c r="BA1951" i="3"/>
  <c r="AS1951" i="3"/>
  <c r="AW1943" i="3"/>
  <c r="AY1935" i="3"/>
  <c r="AY1927" i="3"/>
  <c r="AY1919" i="3"/>
  <c r="AY1911" i="3"/>
  <c r="AX1903" i="3"/>
  <c r="AW1895" i="3"/>
  <c r="AT1887" i="3"/>
  <c r="AW1879" i="3"/>
  <c r="AY1871" i="3"/>
  <c r="BA1863" i="3"/>
  <c r="AY1855" i="3"/>
  <c r="AY1847" i="3"/>
  <c r="AZ1839" i="3"/>
  <c r="AZ1831" i="3"/>
  <c r="AY1823" i="3"/>
  <c r="AU1815" i="3"/>
  <c r="AT1807" i="3"/>
  <c r="BA1799" i="3"/>
  <c r="AR1799" i="3"/>
  <c r="AY1791" i="3"/>
  <c r="AR1783" i="3"/>
  <c r="AS1775" i="3"/>
  <c r="AR1759" i="3"/>
  <c r="AY1743" i="3"/>
  <c r="AT1727" i="3"/>
  <c r="AY1719" i="3"/>
  <c r="AW1711" i="3"/>
  <c r="AR1703" i="3"/>
  <c r="AU1695" i="3"/>
  <c r="AX1687" i="3"/>
  <c r="AX1679" i="3"/>
  <c r="AS1655" i="3"/>
  <c r="AW1647" i="3"/>
  <c r="AY1623" i="3"/>
  <c r="AW1615" i="3"/>
  <c r="AX1591" i="3"/>
  <c r="AZ1583" i="3"/>
  <c r="AV1559" i="3"/>
  <c r="AU1543" i="3"/>
  <c r="AR1471" i="3"/>
  <c r="AV1455" i="3"/>
  <c r="AX1439" i="3"/>
  <c r="AZ1951" i="3"/>
  <c r="BA1887" i="3"/>
  <c r="AY1863" i="3"/>
  <c r="AX1855" i="3"/>
  <c r="AX1847" i="3"/>
  <c r="AY1839" i="3"/>
  <c r="AY1831" i="3"/>
  <c r="AW1823" i="3"/>
  <c r="AT1815" i="3"/>
  <c r="AS1807" i="3"/>
  <c r="AZ1799" i="3"/>
  <c r="AX1791" i="3"/>
  <c r="BA1751" i="3"/>
  <c r="AX1743" i="3"/>
  <c r="AR1727" i="3"/>
  <c r="AW1719" i="3"/>
  <c r="AU1711" i="3"/>
  <c r="AS1695" i="3"/>
  <c r="AT1687" i="3"/>
  <c r="AV1679" i="3"/>
  <c r="AZ1631" i="3"/>
  <c r="AW1623" i="3"/>
  <c r="AU1591" i="3"/>
  <c r="AU1583" i="3"/>
  <c r="AT1559" i="3"/>
  <c r="AZ1495" i="3"/>
  <c r="AR1439" i="3"/>
  <c r="AS1557" i="3"/>
  <c r="AV1407" i="3"/>
  <c r="AW1343" i="3"/>
  <c r="AS1287" i="3"/>
  <c r="AZ1271" i="3"/>
  <c r="AX1239" i="3"/>
  <c r="AS1199" i="3"/>
  <c r="AR823" i="3"/>
  <c r="AY631" i="3"/>
  <c r="AZ2873" i="3"/>
  <c r="AE1129" i="13"/>
  <c r="AS344" i="4"/>
  <c r="X1162" i="13"/>
  <c r="AZ1423" i="3"/>
  <c r="AZ1383" i="3"/>
  <c r="AX1351" i="3"/>
  <c r="AT1207" i="3"/>
  <c r="AZ1007" i="3"/>
  <c r="AS999" i="3"/>
  <c r="AW727" i="3"/>
  <c r="AR391" i="3"/>
  <c r="BA2873" i="3"/>
  <c r="AS2873" i="3"/>
  <c r="AV2870" i="3"/>
  <c r="X1177" i="13"/>
  <c r="AZ2989" i="3"/>
  <c r="BA2926" i="3"/>
  <c r="AD1127" i="13"/>
  <c r="AY2870" i="3"/>
  <c r="AW1431" i="3"/>
  <c r="AX1423" i="3"/>
  <c r="AZ1391" i="3"/>
  <c r="AV1359" i="3"/>
  <c r="AR1351" i="3"/>
  <c r="AZ1311" i="3"/>
  <c r="BA1279" i="3"/>
  <c r="AR1215" i="3"/>
  <c r="AX1175" i="3"/>
  <c r="AX1151" i="3"/>
  <c r="AU1143" i="3"/>
  <c r="AR1087" i="3"/>
  <c r="AR1007" i="3"/>
  <c r="AR887" i="3"/>
  <c r="AW344" i="4"/>
  <c r="AX355" i="4"/>
  <c r="X1171" i="13"/>
  <c r="AX2989" i="3"/>
  <c r="AA1183" i="13"/>
  <c r="AU1431" i="3"/>
  <c r="AT1423" i="3"/>
  <c r="BA1335" i="3"/>
  <c r="AW1279" i="3"/>
  <c r="AZ1255" i="3"/>
  <c r="AW1151" i="3"/>
  <c r="AT1111" i="3"/>
  <c r="AY2866" i="3"/>
  <c r="AV2988" i="3"/>
  <c r="AW927" i="3"/>
  <c r="AC1115" i="13"/>
  <c r="AU363" i="4"/>
  <c r="AY2988" i="3"/>
  <c r="V1105" i="13"/>
  <c r="AC1105" i="13"/>
  <c r="AE1105" i="13"/>
  <c r="V1089" i="13"/>
  <c r="AC1089" i="13"/>
  <c r="AE1089" i="13"/>
  <c r="V1065" i="13"/>
  <c r="AC1065" i="13"/>
  <c r="AE1065" i="13"/>
  <c r="V1041" i="13"/>
  <c r="AC1041" i="13"/>
  <c r="AE1041" i="13"/>
  <c r="V1025" i="13"/>
  <c r="AC1025" i="13"/>
  <c r="AE1025" i="13"/>
  <c r="V1001" i="13"/>
  <c r="AC1001" i="13"/>
  <c r="AE1001" i="13"/>
  <c r="V977" i="13"/>
  <c r="AE977" i="13"/>
  <c r="AA977" i="13"/>
  <c r="V953" i="13"/>
  <c r="AE953" i="13"/>
  <c r="AA953" i="13"/>
  <c r="V929" i="13"/>
  <c r="AC929" i="13"/>
  <c r="X929" i="13"/>
  <c r="Y929" i="13"/>
  <c r="AE929" i="13"/>
  <c r="AA929" i="13"/>
  <c r="V905" i="13"/>
  <c r="AC905" i="13"/>
  <c r="AE905" i="13"/>
  <c r="V881" i="13"/>
  <c r="AA881" i="13"/>
  <c r="AB881" i="13"/>
  <c r="AE881" i="13"/>
  <c r="V857" i="13"/>
  <c r="AC857" i="13"/>
  <c r="X857" i="13"/>
  <c r="AE857" i="13"/>
  <c r="Y857" i="13"/>
  <c r="AA857" i="13"/>
  <c r="V833" i="13"/>
  <c r="AA833" i="13"/>
  <c r="AB833" i="13"/>
  <c r="AE833" i="13"/>
  <c r="V809" i="13"/>
  <c r="AA809" i="13"/>
  <c r="AB809" i="13"/>
  <c r="AE809" i="13"/>
  <c r="V777" i="13"/>
  <c r="AA777" i="13"/>
  <c r="AB777" i="13"/>
  <c r="AE777" i="13"/>
  <c r="V753" i="13"/>
  <c r="AE753" i="13"/>
  <c r="AA753" i="13"/>
  <c r="X753" i="13"/>
  <c r="AB753" i="13"/>
  <c r="Y753" i="13"/>
  <c r="AC753" i="13"/>
  <c r="V729" i="13"/>
  <c r="AA729" i="13"/>
  <c r="AB729" i="13"/>
  <c r="AE729" i="13"/>
  <c r="V705" i="13"/>
  <c r="AA705" i="13"/>
  <c r="AB705" i="13"/>
  <c r="AE705" i="13"/>
  <c r="V681" i="13"/>
  <c r="AB681" i="13"/>
  <c r="X681" i="13"/>
  <c r="AC681" i="13"/>
  <c r="Y681" i="13"/>
  <c r="V657" i="13"/>
  <c r="AE657" i="13"/>
  <c r="AA657" i="13"/>
  <c r="AC657" i="13"/>
  <c r="V633" i="13"/>
  <c r="AA633" i="13"/>
  <c r="AB633" i="13"/>
  <c r="V609" i="13"/>
  <c r="X609" i="13"/>
  <c r="AA609" i="13"/>
  <c r="AB609" i="13"/>
  <c r="V585" i="13"/>
  <c r="X585" i="13"/>
  <c r="AA585" i="13"/>
  <c r="AB585" i="13"/>
  <c r="V561" i="13"/>
  <c r="AB561" i="13"/>
  <c r="AC561" i="13"/>
  <c r="V537" i="13"/>
  <c r="X537" i="13"/>
  <c r="AA537" i="13"/>
  <c r="Y537" i="13"/>
  <c r="AB537" i="13"/>
  <c r="AE537" i="13"/>
  <c r="V513" i="13"/>
  <c r="X513" i="13"/>
  <c r="AA513" i="13"/>
  <c r="Y513" i="13"/>
  <c r="AB513" i="13"/>
  <c r="AE513" i="13"/>
  <c r="V489" i="13"/>
  <c r="X489" i="13"/>
  <c r="AA489" i="13"/>
  <c r="Y489" i="13"/>
  <c r="AB489" i="13"/>
  <c r="AE489" i="13"/>
  <c r="V456" i="13"/>
  <c r="AA456" i="13"/>
  <c r="X456" i="13"/>
  <c r="AB456" i="13"/>
  <c r="Y456" i="13"/>
  <c r="AE456" i="13"/>
  <c r="AC456" i="13"/>
  <c r="V432" i="13"/>
  <c r="X432" i="13"/>
  <c r="AA432" i="13"/>
  <c r="Y432" i="13"/>
  <c r="AB432" i="13"/>
  <c r="AE432" i="13"/>
  <c r="V408" i="13"/>
  <c r="X408" i="13"/>
  <c r="AA408" i="13"/>
  <c r="Y408" i="13"/>
  <c r="AB408" i="13"/>
  <c r="AE408" i="13"/>
  <c r="V384" i="13"/>
  <c r="AA384" i="13"/>
  <c r="X384" i="13"/>
  <c r="AE384" i="13"/>
  <c r="AB384" i="13"/>
  <c r="Y384" i="13"/>
  <c r="AC384" i="13"/>
  <c r="V360" i="13"/>
  <c r="AC360" i="13"/>
  <c r="X360" i="13"/>
  <c r="Y360" i="13"/>
  <c r="AA360" i="13"/>
  <c r="V336" i="13"/>
  <c r="AC336" i="13"/>
  <c r="X336" i="13"/>
  <c r="Y336" i="13"/>
  <c r="AA336" i="13"/>
  <c r="V312" i="13"/>
  <c r="AC312" i="13"/>
  <c r="X312" i="13"/>
  <c r="Y312" i="13"/>
  <c r="AA312" i="13"/>
  <c r="V296" i="13"/>
  <c r="AC296" i="13"/>
  <c r="X296" i="13"/>
  <c r="Y296" i="13"/>
  <c r="AA296" i="13"/>
  <c r="V272" i="13"/>
  <c r="AC272" i="13"/>
  <c r="X272" i="13"/>
  <c r="Y272" i="13"/>
  <c r="AA272" i="13"/>
  <c r="V248" i="13"/>
  <c r="AC248" i="13"/>
  <c r="X248" i="13"/>
  <c r="Y248" i="13"/>
  <c r="AA248" i="13"/>
  <c r="V224" i="13"/>
  <c r="AA224" i="13"/>
  <c r="AB224" i="13"/>
  <c r="AE224" i="13"/>
  <c r="AC224" i="13"/>
  <c r="V200" i="13"/>
  <c r="AE200" i="13"/>
  <c r="AA200" i="13"/>
  <c r="V184" i="13"/>
  <c r="X184" i="13"/>
  <c r="Y184" i="13"/>
  <c r="AE184" i="13"/>
  <c r="AB184" i="13"/>
  <c r="AC184" i="13"/>
  <c r="V160" i="13"/>
  <c r="X160" i="13"/>
  <c r="Y160" i="13"/>
  <c r="AE160" i="13"/>
  <c r="AB160" i="13"/>
  <c r="AC160" i="13"/>
  <c r="V136" i="13"/>
  <c r="AA136" i="13"/>
  <c r="AC136" i="13"/>
  <c r="X136" i="13"/>
  <c r="Y136" i="13"/>
  <c r="V112" i="13"/>
  <c r="AE112" i="13"/>
  <c r="X112" i="13"/>
  <c r="Y112" i="13"/>
  <c r="AA112" i="13"/>
  <c r="AB112" i="13"/>
  <c r="V88" i="13"/>
  <c r="X88" i="13"/>
  <c r="Y88" i="13"/>
  <c r="AE88" i="13"/>
  <c r="AB88" i="13"/>
  <c r="AC88" i="13"/>
  <c r="V64" i="13"/>
  <c r="X64" i="13"/>
  <c r="Y64" i="13"/>
  <c r="AE64" i="13"/>
  <c r="AB64" i="13"/>
  <c r="AC64" i="13"/>
  <c r="V40" i="13"/>
  <c r="AB40" i="13"/>
  <c r="AC40" i="13"/>
  <c r="V24" i="13"/>
  <c r="AC24" i="13"/>
  <c r="X24" i="13"/>
  <c r="Y24" i="13"/>
  <c r="AA24" i="13"/>
  <c r="AS2761" i="3"/>
  <c r="BA2761" i="3"/>
  <c r="AT2761" i="3"/>
  <c r="AU2761" i="3"/>
  <c r="AW2761" i="3"/>
  <c r="AX2761" i="3"/>
  <c r="AY2761" i="3"/>
  <c r="AS2737" i="3"/>
  <c r="BA2737" i="3"/>
  <c r="AT2737" i="3"/>
  <c r="AU2737" i="3"/>
  <c r="AW2737" i="3"/>
  <c r="AX2737" i="3"/>
  <c r="AY2737" i="3"/>
  <c r="AS2713" i="3"/>
  <c r="BA2713" i="3"/>
  <c r="AT2713" i="3"/>
  <c r="AU2713" i="3"/>
  <c r="AW2713" i="3"/>
  <c r="AX2713" i="3"/>
  <c r="AY2713" i="3"/>
  <c r="AS2689" i="3"/>
  <c r="BA2689" i="3"/>
  <c r="AT2689" i="3"/>
  <c r="AU2689" i="3"/>
  <c r="AW2689" i="3"/>
  <c r="AX2689" i="3"/>
  <c r="AY2689" i="3"/>
  <c r="AS2665" i="3"/>
  <c r="BA2665" i="3"/>
  <c r="AT2665" i="3"/>
  <c r="AU2665" i="3"/>
  <c r="AW2665" i="3"/>
  <c r="AX2665" i="3"/>
  <c r="AY2665" i="3"/>
  <c r="AS2641" i="3"/>
  <c r="BA2641" i="3"/>
  <c r="AT2641" i="3"/>
  <c r="AU2641" i="3"/>
  <c r="AW2641" i="3"/>
  <c r="AX2641" i="3"/>
  <c r="AY2641" i="3"/>
  <c r="AR2617" i="3"/>
  <c r="AZ2617" i="3"/>
  <c r="BA2617" i="3"/>
  <c r="AS2617" i="3"/>
  <c r="AT2617" i="3"/>
  <c r="AV2617" i="3"/>
  <c r="AW2617" i="3"/>
  <c r="AX2617" i="3"/>
  <c r="AR2593" i="3"/>
  <c r="AZ2593" i="3"/>
  <c r="AT2593" i="3"/>
  <c r="AU2593" i="3"/>
  <c r="AV2593" i="3"/>
  <c r="AX2593" i="3"/>
  <c r="AY2593" i="3"/>
  <c r="BA2593" i="3"/>
  <c r="AR2569" i="3"/>
  <c r="AZ2569" i="3"/>
  <c r="AV2569" i="3"/>
  <c r="AW2569" i="3"/>
  <c r="AX2569" i="3"/>
  <c r="BA2569" i="3"/>
  <c r="AS2569" i="3"/>
  <c r="AT2569" i="3"/>
  <c r="AR2545" i="3"/>
  <c r="AZ2545" i="3"/>
  <c r="AS2545" i="3"/>
  <c r="AX2545" i="3"/>
  <c r="AY2545" i="3"/>
  <c r="BA2545" i="3"/>
  <c r="AT2545" i="3"/>
  <c r="AU2545" i="3"/>
  <c r="AV2545" i="3"/>
  <c r="AW2521" i="3"/>
  <c r="AR2521" i="3"/>
  <c r="AZ2521" i="3"/>
  <c r="AS2521" i="3"/>
  <c r="BA2521" i="3"/>
  <c r="AT2521" i="3"/>
  <c r="AU2521" i="3"/>
  <c r="AX2521" i="3"/>
  <c r="AY2521" i="3"/>
  <c r="AW2497" i="3"/>
  <c r="AR2497" i="3"/>
  <c r="AZ2497" i="3"/>
  <c r="AS2497" i="3"/>
  <c r="BA2497" i="3"/>
  <c r="AT2497" i="3"/>
  <c r="AU2497" i="3"/>
  <c r="AV2497" i="3"/>
  <c r="AX2497" i="3"/>
  <c r="AV2473" i="3"/>
  <c r="AW2473" i="3"/>
  <c r="AR2473" i="3"/>
  <c r="AZ2473" i="3"/>
  <c r="AS2473" i="3"/>
  <c r="BA2473" i="3"/>
  <c r="AT2473" i="3"/>
  <c r="AU2473" i="3"/>
  <c r="AX2473" i="3"/>
  <c r="AV2449" i="3"/>
  <c r="AW2449" i="3"/>
  <c r="AR2449" i="3"/>
  <c r="AZ2449" i="3"/>
  <c r="AS2449" i="3"/>
  <c r="BA2449" i="3"/>
  <c r="AT2449" i="3"/>
  <c r="AY2449" i="3"/>
  <c r="AU2449" i="3"/>
  <c r="AV2425" i="3"/>
  <c r="AW2425" i="3"/>
  <c r="AR2425" i="3"/>
  <c r="AZ2425" i="3"/>
  <c r="AS2425" i="3"/>
  <c r="BA2425" i="3"/>
  <c r="AT2425" i="3"/>
  <c r="AX2425" i="3"/>
  <c r="AY2425" i="3"/>
  <c r="AV2401" i="3"/>
  <c r="AW2401" i="3"/>
  <c r="AR2401" i="3"/>
  <c r="AZ2401" i="3"/>
  <c r="AS2401" i="3"/>
  <c r="BA2401" i="3"/>
  <c r="AT2401" i="3"/>
  <c r="AU2401" i="3"/>
  <c r="AX2401" i="3"/>
  <c r="AY2401" i="3"/>
  <c r="AV2377" i="3"/>
  <c r="AW2377" i="3"/>
  <c r="AR2377" i="3"/>
  <c r="AZ2377" i="3"/>
  <c r="AS2377" i="3"/>
  <c r="BA2377" i="3"/>
  <c r="AT2377" i="3"/>
  <c r="AU2377" i="3"/>
  <c r="AX2377" i="3"/>
  <c r="AY2353" i="3"/>
  <c r="AU2353" i="3"/>
  <c r="AV2353" i="3"/>
  <c r="AZ2353" i="3"/>
  <c r="AR2353" i="3"/>
  <c r="BA2353" i="3"/>
  <c r="AS2353" i="3"/>
  <c r="AT2353" i="3"/>
  <c r="AX2353" i="3"/>
  <c r="AY2329" i="3"/>
  <c r="AR2329" i="3"/>
  <c r="BA2329" i="3"/>
  <c r="AS2329" i="3"/>
  <c r="AV2329" i="3"/>
  <c r="AW2329" i="3"/>
  <c r="AX2329" i="3"/>
  <c r="AZ2329" i="3"/>
  <c r="AT2329" i="3"/>
  <c r="AT2305" i="3"/>
  <c r="AX2305" i="3"/>
  <c r="AY2305" i="3"/>
  <c r="AR2305" i="3"/>
  <c r="AZ2305" i="3"/>
  <c r="AU2305" i="3"/>
  <c r="AV2305" i="3"/>
  <c r="AW2305" i="3"/>
  <c r="AS2305" i="3"/>
  <c r="BA2305" i="3"/>
  <c r="AT2289" i="3"/>
  <c r="AX2289" i="3"/>
  <c r="AY2289" i="3"/>
  <c r="AR2289" i="3"/>
  <c r="AZ2289" i="3"/>
  <c r="AW2289" i="3"/>
  <c r="BA2289" i="3"/>
  <c r="AS2289" i="3"/>
  <c r="AU2289" i="3"/>
  <c r="AV2289" i="3"/>
  <c r="AT2265" i="3"/>
  <c r="AX2265" i="3"/>
  <c r="AY2265" i="3"/>
  <c r="AR2265" i="3"/>
  <c r="AZ2265" i="3"/>
  <c r="BA2265" i="3"/>
  <c r="AS2265" i="3"/>
  <c r="AU2265" i="3"/>
  <c r="AV2265" i="3"/>
  <c r="AW2265" i="3"/>
  <c r="AT2241" i="3"/>
  <c r="AX2241" i="3"/>
  <c r="AY2241" i="3"/>
  <c r="AR2241" i="3"/>
  <c r="AZ2241" i="3"/>
  <c r="AU2241" i="3"/>
  <c r="AV2241" i="3"/>
  <c r="AW2241" i="3"/>
  <c r="AS2241" i="3"/>
  <c r="BA2241" i="3"/>
  <c r="AT2217" i="3"/>
  <c r="AX2217" i="3"/>
  <c r="AY2217" i="3"/>
  <c r="AR2217" i="3"/>
  <c r="AZ2217" i="3"/>
  <c r="AV2217" i="3"/>
  <c r="AW2217" i="3"/>
  <c r="BA2217" i="3"/>
  <c r="AS2217" i="3"/>
  <c r="AT2193" i="3"/>
  <c r="AX2193" i="3"/>
  <c r="AY2193" i="3"/>
  <c r="AR2193" i="3"/>
  <c r="AZ2193" i="3"/>
  <c r="AS2193" i="3"/>
  <c r="AW2193" i="3"/>
  <c r="BA2193" i="3"/>
  <c r="AU2193" i="3"/>
  <c r="AT2169" i="3"/>
  <c r="AX2169" i="3"/>
  <c r="AY2169" i="3"/>
  <c r="AR2169" i="3"/>
  <c r="AZ2169" i="3"/>
  <c r="AS2169" i="3"/>
  <c r="AU2169" i="3"/>
  <c r="BA2169" i="3"/>
  <c r="AV2169" i="3"/>
  <c r="AT2145" i="3"/>
  <c r="AX2145" i="3"/>
  <c r="AY2145" i="3"/>
  <c r="AR2145" i="3"/>
  <c r="AZ2145" i="3"/>
  <c r="AU2145" i="3"/>
  <c r="AV2145" i="3"/>
  <c r="BA2145" i="3"/>
  <c r="AS2145" i="3"/>
  <c r="AX2121" i="3"/>
  <c r="AR2121" i="3"/>
  <c r="BA2121" i="3"/>
  <c r="AV2121" i="3"/>
  <c r="AW2121" i="3"/>
  <c r="AY2121" i="3"/>
  <c r="AT2121" i="3"/>
  <c r="AU2121" i="3"/>
  <c r="AZ2121" i="3"/>
  <c r="AX2097" i="3"/>
  <c r="AW2097" i="3"/>
  <c r="AS2097" i="3"/>
  <c r="AT2097" i="3"/>
  <c r="AU2097" i="3"/>
  <c r="AY2097" i="3"/>
  <c r="AZ2097" i="3"/>
  <c r="AR2097" i="3"/>
  <c r="AV2097" i="3"/>
  <c r="BA2097" i="3"/>
  <c r="AY2073" i="3"/>
  <c r="AU2073" i="3"/>
  <c r="AT2073" i="3"/>
  <c r="AZ2073" i="3"/>
  <c r="BA2073" i="3"/>
  <c r="AR2073" i="3"/>
  <c r="AS2073" i="3"/>
  <c r="AV2073" i="3"/>
  <c r="AW2073" i="3"/>
  <c r="AX2073" i="3"/>
  <c r="AV2049" i="3"/>
  <c r="AR2049" i="3"/>
  <c r="AZ2049" i="3"/>
  <c r="AW2049" i="3"/>
  <c r="AX2049" i="3"/>
  <c r="AY2049" i="3"/>
  <c r="AS2049" i="3"/>
  <c r="BA2049" i="3"/>
  <c r="AT2049" i="3"/>
  <c r="AV2017" i="3"/>
  <c r="AR2017" i="3"/>
  <c r="AZ2017" i="3"/>
  <c r="AY2017" i="3"/>
  <c r="AT2017" i="3"/>
  <c r="AU2017" i="3"/>
  <c r="AW2017" i="3"/>
  <c r="AX2017" i="3"/>
  <c r="BA2017" i="3"/>
  <c r="AT1993" i="3"/>
  <c r="AV1993" i="3"/>
  <c r="AW1993" i="3"/>
  <c r="AZ1993" i="3"/>
  <c r="AX1993" i="3"/>
  <c r="AR1993" i="3"/>
  <c r="AS1993" i="3"/>
  <c r="BA1993" i="3"/>
  <c r="AU1993" i="3"/>
  <c r="AY1993" i="3"/>
  <c r="AT1969" i="3"/>
  <c r="AS1969" i="3"/>
  <c r="AU1969" i="3"/>
  <c r="AX1969" i="3"/>
  <c r="AY1969" i="3"/>
  <c r="AZ1969" i="3"/>
  <c r="BA1969" i="3"/>
  <c r="AR1969" i="3"/>
  <c r="AV1969" i="3"/>
  <c r="AW1969" i="3"/>
  <c r="AT1945" i="3"/>
  <c r="AY1945" i="3"/>
  <c r="AZ1945" i="3"/>
  <c r="AU1945" i="3"/>
  <c r="AV1945" i="3"/>
  <c r="AW1945" i="3"/>
  <c r="AS1945" i="3"/>
  <c r="AR1945" i="3"/>
  <c r="AX1945" i="3"/>
  <c r="BA1945" i="3"/>
  <c r="AT1921" i="3"/>
  <c r="AV1921" i="3"/>
  <c r="AW1921" i="3"/>
  <c r="AZ1921" i="3"/>
  <c r="AR1921" i="3"/>
  <c r="BA1921" i="3"/>
  <c r="AS1921" i="3"/>
  <c r="AX1921" i="3"/>
  <c r="AY1921" i="3"/>
  <c r="AU1921" i="3"/>
  <c r="AT1897" i="3"/>
  <c r="AW1897" i="3"/>
  <c r="AX1897" i="3"/>
  <c r="AR1897" i="3"/>
  <c r="BA1897" i="3"/>
  <c r="AS1897" i="3"/>
  <c r="AU1897" i="3"/>
  <c r="AV1897" i="3"/>
  <c r="AY1897" i="3"/>
  <c r="AZ1897" i="3"/>
  <c r="AT1881" i="3"/>
  <c r="AY1881" i="3"/>
  <c r="AZ1881" i="3"/>
  <c r="AU1881" i="3"/>
  <c r="AV1881" i="3"/>
  <c r="AW1881" i="3"/>
  <c r="BA1881" i="3"/>
  <c r="AR1881" i="3"/>
  <c r="AS1881" i="3"/>
  <c r="AX1881" i="3"/>
  <c r="AT1857" i="3"/>
  <c r="AY1857" i="3"/>
  <c r="AZ1857" i="3"/>
  <c r="AU1857" i="3"/>
  <c r="AV1857" i="3"/>
  <c r="AW1857" i="3"/>
  <c r="BA1857" i="3"/>
  <c r="AR1857" i="3"/>
  <c r="AS1857" i="3"/>
  <c r="AX1857" i="3"/>
  <c r="AT1833" i="3"/>
  <c r="AY1833" i="3"/>
  <c r="AZ1833" i="3"/>
  <c r="AU1833" i="3"/>
  <c r="AV1833" i="3"/>
  <c r="AW1833" i="3"/>
  <c r="AX1833" i="3"/>
  <c r="BA1833" i="3"/>
  <c r="AR1833" i="3"/>
  <c r="AS1833" i="3"/>
  <c r="AW1809" i="3"/>
  <c r="AX1809" i="3"/>
  <c r="AR1809" i="3"/>
  <c r="AS1809" i="3"/>
  <c r="AZ1809" i="3"/>
  <c r="BA1809" i="3"/>
  <c r="AU1809" i="3"/>
  <c r="AS1785" i="3"/>
  <c r="AU1785" i="3"/>
  <c r="AW1785" i="3"/>
  <c r="BA1785" i="3"/>
  <c r="AR1745" i="3"/>
  <c r="AU1745" i="3"/>
  <c r="AW1745" i="3"/>
  <c r="AX1745" i="3"/>
  <c r="BA1593" i="3"/>
  <c r="AX1593" i="3"/>
  <c r="AU1585" i="3"/>
  <c r="BA1585" i="3"/>
  <c r="AX1577" i="3"/>
  <c r="BA1577" i="3"/>
  <c r="AU1569" i="3"/>
  <c r="AT1569" i="3"/>
  <c r="BA1569" i="3"/>
  <c r="AZ1553" i="3"/>
  <c r="AT1553" i="3"/>
  <c r="AW1553" i="3"/>
  <c r="AS1553" i="3"/>
  <c r="AR1473" i="3"/>
  <c r="AV1473" i="3"/>
  <c r="AR1465" i="3"/>
  <c r="AS1465" i="3"/>
  <c r="AS1457" i="3"/>
  <c r="AZ1457" i="3"/>
  <c r="AV1449" i="3"/>
  <c r="AS1449" i="3"/>
  <c r="AY1433" i="3"/>
  <c r="BA1433" i="3"/>
  <c r="AX1433" i="3"/>
  <c r="AV1417" i="3"/>
  <c r="AY1417" i="3"/>
  <c r="BA1417" i="3"/>
  <c r="AW1297" i="3"/>
  <c r="AT1297" i="3"/>
  <c r="AD921" i="13"/>
  <c r="AD897" i="13"/>
  <c r="AD64" i="13"/>
  <c r="X977" i="13"/>
  <c r="X1049" i="13"/>
  <c r="X961" i="13"/>
  <c r="X937" i="13"/>
  <c r="X200" i="13"/>
  <c r="X889" i="13"/>
  <c r="X881" i="13"/>
  <c r="X985" i="13"/>
  <c r="X865" i="13"/>
  <c r="X841" i="13"/>
  <c r="X833" i="13"/>
  <c r="X817" i="13"/>
  <c r="X561" i="13"/>
  <c r="X40" i="13"/>
  <c r="X809" i="13"/>
  <c r="X777" i="13"/>
  <c r="X769" i="13"/>
  <c r="X953" i="13"/>
  <c r="X745" i="13"/>
  <c r="X729" i="13"/>
  <c r="W713" i="13"/>
  <c r="W705" i="13"/>
  <c r="W753" i="13"/>
  <c r="Y609" i="13"/>
  <c r="W601" i="13"/>
  <c r="W440" i="13"/>
  <c r="W408" i="13"/>
  <c r="W280" i="13"/>
  <c r="W320" i="13"/>
  <c r="W304" i="13"/>
  <c r="W160" i="13"/>
  <c r="W88" i="13"/>
  <c r="AB1065" i="13"/>
  <c r="AB1009" i="13"/>
  <c r="AA1001" i="13"/>
  <c r="AC889" i="13"/>
  <c r="AB905" i="13"/>
  <c r="AC833" i="13"/>
  <c r="AA561" i="13"/>
  <c r="AC777" i="13"/>
  <c r="AC953" i="13"/>
  <c r="AA192" i="13"/>
  <c r="AV2761" i="3"/>
  <c r="AZ2753" i="3"/>
  <c r="AV2697" i="3"/>
  <c r="AZ2689" i="3"/>
  <c r="AR2641" i="3"/>
  <c r="AZ2625" i="3"/>
  <c r="AY2473" i="3"/>
  <c r="AU2425" i="3"/>
  <c r="AU2217" i="3"/>
  <c r="V1097" i="13"/>
  <c r="AC1097" i="13"/>
  <c r="AE1097" i="13"/>
  <c r="V1073" i="13"/>
  <c r="AA1073" i="13"/>
  <c r="AB1073" i="13"/>
  <c r="AE1073" i="13"/>
  <c r="AC1073" i="13"/>
  <c r="V1049" i="13"/>
  <c r="AE1049" i="13"/>
  <c r="AA1049" i="13"/>
  <c r="V1017" i="13"/>
  <c r="AC1017" i="13"/>
  <c r="AE1017" i="13"/>
  <c r="V993" i="13"/>
  <c r="AC993" i="13"/>
  <c r="AE993" i="13"/>
  <c r="V969" i="13"/>
  <c r="AC969" i="13"/>
  <c r="AE969" i="13"/>
  <c r="V945" i="13"/>
  <c r="AB945" i="13"/>
  <c r="AC945" i="13"/>
  <c r="V921" i="13"/>
  <c r="AA921" i="13"/>
  <c r="AB921" i="13"/>
  <c r="AE921" i="13"/>
  <c r="V897" i="13"/>
  <c r="AB897" i="13"/>
  <c r="X897" i="13"/>
  <c r="AE897" i="13"/>
  <c r="AC897" i="13"/>
  <c r="V873" i="13"/>
  <c r="AA873" i="13"/>
  <c r="AB873" i="13"/>
  <c r="AE873" i="13"/>
  <c r="V849" i="13"/>
  <c r="AE849" i="13"/>
  <c r="AA849" i="13"/>
  <c r="AC849" i="13"/>
  <c r="X849" i="13"/>
  <c r="Y849" i="13"/>
  <c r="V825" i="13"/>
  <c r="AA825" i="13"/>
  <c r="AB825" i="13"/>
  <c r="AE825" i="13"/>
  <c r="V801" i="13"/>
  <c r="AA801" i="13"/>
  <c r="AB801" i="13"/>
  <c r="AE801" i="13"/>
  <c r="V785" i="13"/>
  <c r="AA785" i="13"/>
  <c r="AB785" i="13"/>
  <c r="AE785" i="13"/>
  <c r="V761" i="13"/>
  <c r="AA761" i="13"/>
  <c r="AE761" i="13"/>
  <c r="V737" i="13"/>
  <c r="AA737" i="13"/>
  <c r="AB737" i="13"/>
  <c r="AE737" i="13"/>
  <c r="V713" i="13"/>
  <c r="AA713" i="13"/>
  <c r="AB713" i="13"/>
  <c r="AE713" i="13"/>
  <c r="V689" i="13"/>
  <c r="AC689" i="13"/>
  <c r="AE689" i="13"/>
  <c r="X689" i="13"/>
  <c r="Y689" i="13"/>
  <c r="AA689" i="13"/>
  <c r="V665" i="13"/>
  <c r="AA665" i="13"/>
  <c r="AB665" i="13"/>
  <c r="V641" i="13"/>
  <c r="AA641" i="13"/>
  <c r="AB641" i="13"/>
  <c r="V617" i="13"/>
  <c r="AA617" i="13"/>
  <c r="AB617" i="13"/>
  <c r="Y617" i="13"/>
  <c r="AE617" i="13"/>
  <c r="AC617" i="13"/>
  <c r="V593" i="13"/>
  <c r="X593" i="13"/>
  <c r="AA593" i="13"/>
  <c r="AB593" i="13"/>
  <c r="V569" i="13"/>
  <c r="X569" i="13"/>
  <c r="AA569" i="13"/>
  <c r="AB569" i="13"/>
  <c r="AE569" i="13"/>
  <c r="V545" i="13"/>
  <c r="X545" i="13"/>
  <c r="AA545" i="13"/>
  <c r="Y545" i="13"/>
  <c r="AB545" i="13"/>
  <c r="AE545" i="13"/>
  <c r="V521" i="13"/>
  <c r="X521" i="13"/>
  <c r="AA521" i="13"/>
  <c r="Y521" i="13"/>
  <c r="AB521" i="13"/>
  <c r="AE521" i="13"/>
  <c r="V497" i="13"/>
  <c r="X497" i="13"/>
  <c r="AA497" i="13"/>
  <c r="Y497" i="13"/>
  <c r="AB497" i="13"/>
  <c r="AE497" i="13"/>
  <c r="V472" i="13"/>
  <c r="X472" i="13"/>
  <c r="AA472" i="13"/>
  <c r="Y472" i="13"/>
  <c r="AB472" i="13"/>
  <c r="AE472" i="13"/>
  <c r="V448" i="13"/>
  <c r="AA448" i="13"/>
  <c r="X448" i="13"/>
  <c r="AB448" i="13"/>
  <c r="Y448" i="13"/>
  <c r="AE448" i="13"/>
  <c r="AC448" i="13"/>
  <c r="V424" i="13"/>
  <c r="X424" i="13"/>
  <c r="AA424" i="13"/>
  <c r="Y424" i="13"/>
  <c r="AB424" i="13"/>
  <c r="AE424" i="13"/>
  <c r="V400" i="13"/>
  <c r="X400" i="13"/>
  <c r="AA400" i="13"/>
  <c r="Y400" i="13"/>
  <c r="AB400" i="13"/>
  <c r="AE400" i="13"/>
  <c r="V376" i="13"/>
  <c r="X376" i="13"/>
  <c r="AA376" i="13"/>
  <c r="Y376" i="13"/>
  <c r="AB376" i="13"/>
  <c r="AE376" i="13"/>
  <c r="V352" i="13"/>
  <c r="AC352" i="13"/>
  <c r="X352" i="13"/>
  <c r="Y352" i="13"/>
  <c r="AA352" i="13"/>
  <c r="V328" i="13"/>
  <c r="AC328" i="13"/>
  <c r="X328" i="13"/>
  <c r="Y328" i="13"/>
  <c r="AA328" i="13"/>
  <c r="V288" i="13"/>
  <c r="AB288" i="13"/>
  <c r="X288" i="13"/>
  <c r="AC288" i="13"/>
  <c r="Y288" i="13"/>
  <c r="AE288" i="13"/>
  <c r="V264" i="13"/>
  <c r="AC264" i="13"/>
  <c r="X264" i="13"/>
  <c r="Y264" i="13"/>
  <c r="AA264" i="13"/>
  <c r="V240" i="13"/>
  <c r="AC240" i="13"/>
  <c r="X240" i="13"/>
  <c r="Y240" i="13"/>
  <c r="AA240" i="13"/>
  <c r="V216" i="13"/>
  <c r="X216" i="13"/>
  <c r="Y216" i="13"/>
  <c r="AE216" i="13"/>
  <c r="AB216" i="13"/>
  <c r="AC216" i="13"/>
  <c r="V176" i="13"/>
  <c r="AE176" i="13"/>
  <c r="AA176" i="13"/>
  <c r="V152" i="13"/>
  <c r="X152" i="13"/>
  <c r="Y152" i="13"/>
  <c r="AE152" i="13"/>
  <c r="AB152" i="13"/>
  <c r="AC152" i="13"/>
  <c r="V128" i="13"/>
  <c r="X128" i="13"/>
  <c r="Y128" i="13"/>
  <c r="AE128" i="13"/>
  <c r="AB128" i="13"/>
  <c r="AC128" i="13"/>
  <c r="V104" i="13"/>
  <c r="AA104" i="13"/>
  <c r="AE104" i="13"/>
  <c r="AB104" i="13"/>
  <c r="AC104" i="13"/>
  <c r="X104" i="13"/>
  <c r="Y104" i="13"/>
  <c r="V80" i="13"/>
  <c r="X80" i="13"/>
  <c r="Y80" i="13"/>
  <c r="AE80" i="13"/>
  <c r="AB80" i="13"/>
  <c r="AC80" i="13"/>
  <c r="V56" i="13"/>
  <c r="X56" i="13"/>
  <c r="Y56" i="13"/>
  <c r="AE56" i="13"/>
  <c r="AB56" i="13"/>
  <c r="AC56" i="13"/>
  <c r="V16" i="13"/>
  <c r="AC16" i="13"/>
  <c r="X16" i="13"/>
  <c r="Y16" i="13"/>
  <c r="AA16" i="13"/>
  <c r="AS2777" i="3"/>
  <c r="BA2777" i="3"/>
  <c r="AT2777" i="3"/>
  <c r="AU2777" i="3"/>
  <c r="AW2777" i="3"/>
  <c r="AX2777" i="3"/>
  <c r="AY2777" i="3"/>
  <c r="AS2745" i="3"/>
  <c r="BA2745" i="3"/>
  <c r="AT2745" i="3"/>
  <c r="AU2745" i="3"/>
  <c r="AW2745" i="3"/>
  <c r="AX2745" i="3"/>
  <c r="AY2745" i="3"/>
  <c r="AS2721" i="3"/>
  <c r="BA2721" i="3"/>
  <c r="AT2721" i="3"/>
  <c r="AU2721" i="3"/>
  <c r="AW2721" i="3"/>
  <c r="AX2721" i="3"/>
  <c r="AY2721" i="3"/>
  <c r="AS2705" i="3"/>
  <c r="BA2705" i="3"/>
  <c r="AT2705" i="3"/>
  <c r="AU2705" i="3"/>
  <c r="AW2705" i="3"/>
  <c r="AX2705" i="3"/>
  <c r="AY2705" i="3"/>
  <c r="AS2681" i="3"/>
  <c r="BA2681" i="3"/>
  <c r="AT2681" i="3"/>
  <c r="AU2681" i="3"/>
  <c r="AW2681" i="3"/>
  <c r="AX2681" i="3"/>
  <c r="AY2681" i="3"/>
  <c r="AS2657" i="3"/>
  <c r="BA2657" i="3"/>
  <c r="AT2657" i="3"/>
  <c r="AU2657" i="3"/>
  <c r="AW2657" i="3"/>
  <c r="AX2657" i="3"/>
  <c r="AY2657" i="3"/>
  <c r="AS2633" i="3"/>
  <c r="BA2633" i="3"/>
  <c r="AT2633" i="3"/>
  <c r="AU2633" i="3"/>
  <c r="AW2633" i="3"/>
  <c r="AX2633" i="3"/>
  <c r="AY2633" i="3"/>
  <c r="AR2609" i="3"/>
  <c r="AZ2609" i="3"/>
  <c r="AX2609" i="3"/>
  <c r="AY2609" i="3"/>
  <c r="BA2609" i="3"/>
  <c r="AT2609" i="3"/>
  <c r="AU2609" i="3"/>
  <c r="AV2609" i="3"/>
  <c r="AR2585" i="3"/>
  <c r="AZ2585" i="3"/>
  <c r="BA2585" i="3"/>
  <c r="AS2585" i="3"/>
  <c r="AT2585" i="3"/>
  <c r="AV2585" i="3"/>
  <c r="AW2585" i="3"/>
  <c r="AX2585" i="3"/>
  <c r="AR2561" i="3"/>
  <c r="AZ2561" i="3"/>
  <c r="AT2561" i="3"/>
  <c r="AU2561" i="3"/>
  <c r="AV2561" i="3"/>
  <c r="AX2561" i="3"/>
  <c r="AY2561" i="3"/>
  <c r="BA2561" i="3"/>
  <c r="AR2537" i="3"/>
  <c r="AZ2537" i="3"/>
  <c r="AS2537" i="3"/>
  <c r="BA2537" i="3"/>
  <c r="AT2537" i="3"/>
  <c r="AU2537" i="3"/>
  <c r="AV2537" i="3"/>
  <c r="AX2537" i="3"/>
  <c r="AY2537" i="3"/>
  <c r="AW2513" i="3"/>
  <c r="AR2513" i="3"/>
  <c r="AZ2513" i="3"/>
  <c r="AS2513" i="3"/>
  <c r="BA2513" i="3"/>
  <c r="AT2513" i="3"/>
  <c r="AU2513" i="3"/>
  <c r="AV2513" i="3"/>
  <c r="AX2513" i="3"/>
  <c r="AV2489" i="3"/>
  <c r="AW2489" i="3"/>
  <c r="AR2489" i="3"/>
  <c r="AZ2489" i="3"/>
  <c r="AS2489" i="3"/>
  <c r="BA2489" i="3"/>
  <c r="AT2489" i="3"/>
  <c r="AX2489" i="3"/>
  <c r="AY2489" i="3"/>
  <c r="AV2465" i="3"/>
  <c r="AW2465" i="3"/>
  <c r="AR2465" i="3"/>
  <c r="AZ2465" i="3"/>
  <c r="AS2465" i="3"/>
  <c r="BA2465" i="3"/>
  <c r="AT2465" i="3"/>
  <c r="AU2465" i="3"/>
  <c r="AX2465" i="3"/>
  <c r="AY2465" i="3"/>
  <c r="AV2441" i="3"/>
  <c r="AW2441" i="3"/>
  <c r="AR2441" i="3"/>
  <c r="AZ2441" i="3"/>
  <c r="AS2441" i="3"/>
  <c r="BA2441" i="3"/>
  <c r="AT2441" i="3"/>
  <c r="AU2441" i="3"/>
  <c r="AX2441" i="3"/>
  <c r="AV2417" i="3"/>
  <c r="AW2417" i="3"/>
  <c r="AR2417" i="3"/>
  <c r="AZ2417" i="3"/>
  <c r="AS2417" i="3"/>
  <c r="BA2417" i="3"/>
  <c r="AT2417" i="3"/>
  <c r="AU2417" i="3"/>
  <c r="AY2417" i="3"/>
  <c r="AV2393" i="3"/>
  <c r="AW2393" i="3"/>
  <c r="AR2393" i="3"/>
  <c r="AZ2393" i="3"/>
  <c r="AS2393" i="3"/>
  <c r="BA2393" i="3"/>
  <c r="AT2393" i="3"/>
  <c r="AX2393" i="3"/>
  <c r="AY2393" i="3"/>
  <c r="AV2361" i="3"/>
  <c r="AW2361" i="3"/>
  <c r="AR2361" i="3"/>
  <c r="AZ2361" i="3"/>
  <c r="AS2361" i="3"/>
  <c r="BA2361" i="3"/>
  <c r="AT2361" i="3"/>
  <c r="AX2361" i="3"/>
  <c r="AY2361" i="3"/>
  <c r="AY2337" i="3"/>
  <c r="AS2337" i="3"/>
  <c r="AT2337" i="3"/>
  <c r="AW2337" i="3"/>
  <c r="AX2337" i="3"/>
  <c r="AZ2337" i="3"/>
  <c r="AU2337" i="3"/>
  <c r="AV2337" i="3"/>
  <c r="BA2337" i="3"/>
  <c r="AX2313" i="3"/>
  <c r="AY2313" i="3"/>
  <c r="AR2313" i="3"/>
  <c r="AZ2313" i="3"/>
  <c r="AU2313" i="3"/>
  <c r="AV2313" i="3"/>
  <c r="AS2313" i="3"/>
  <c r="AT2313" i="3"/>
  <c r="AW2313" i="3"/>
  <c r="BA2313" i="3"/>
  <c r="AT2281" i="3"/>
  <c r="AX2281" i="3"/>
  <c r="AY2281" i="3"/>
  <c r="AR2281" i="3"/>
  <c r="AZ2281" i="3"/>
  <c r="AV2281" i="3"/>
  <c r="AW2281" i="3"/>
  <c r="BA2281" i="3"/>
  <c r="AS2281" i="3"/>
  <c r="AU2281" i="3"/>
  <c r="AT2257" i="3"/>
  <c r="AX2257" i="3"/>
  <c r="AY2257" i="3"/>
  <c r="AR2257" i="3"/>
  <c r="AZ2257" i="3"/>
  <c r="AS2257" i="3"/>
  <c r="AW2257" i="3"/>
  <c r="BA2257" i="3"/>
  <c r="AU2257" i="3"/>
  <c r="AV2257" i="3"/>
  <c r="AT2233" i="3"/>
  <c r="AX2233" i="3"/>
  <c r="AY2233" i="3"/>
  <c r="AR2233" i="3"/>
  <c r="AZ2233" i="3"/>
  <c r="AS2233" i="3"/>
  <c r="AU2233" i="3"/>
  <c r="BA2233" i="3"/>
  <c r="AV2233" i="3"/>
  <c r="AW2233" i="3"/>
  <c r="AT2209" i="3"/>
  <c r="AX2209" i="3"/>
  <c r="AY2209" i="3"/>
  <c r="AR2209" i="3"/>
  <c r="AZ2209" i="3"/>
  <c r="AU2209" i="3"/>
  <c r="AV2209" i="3"/>
  <c r="AS2209" i="3"/>
  <c r="AW2209" i="3"/>
  <c r="AT2185" i="3"/>
  <c r="AX2185" i="3"/>
  <c r="AY2185" i="3"/>
  <c r="AR2185" i="3"/>
  <c r="AZ2185" i="3"/>
  <c r="AV2185" i="3"/>
  <c r="AW2185" i="3"/>
  <c r="AS2185" i="3"/>
  <c r="AU2185" i="3"/>
  <c r="AT2161" i="3"/>
  <c r="AX2161" i="3"/>
  <c r="AY2161" i="3"/>
  <c r="AR2161" i="3"/>
  <c r="AZ2161" i="3"/>
  <c r="AW2161" i="3"/>
  <c r="BA2161" i="3"/>
  <c r="AS2161" i="3"/>
  <c r="AU2161" i="3"/>
  <c r="AT2137" i="3"/>
  <c r="AX2137" i="3"/>
  <c r="AY2137" i="3"/>
  <c r="AR2137" i="3"/>
  <c r="AZ2137" i="3"/>
  <c r="BA2137" i="3"/>
  <c r="AS2137" i="3"/>
  <c r="AU2137" i="3"/>
  <c r="AV2137" i="3"/>
  <c r="AX2113" i="3"/>
  <c r="AZ2113" i="3"/>
  <c r="AU2113" i="3"/>
  <c r="AV2113" i="3"/>
  <c r="AW2113" i="3"/>
  <c r="BA2113" i="3"/>
  <c r="AR2113" i="3"/>
  <c r="AS2113" i="3"/>
  <c r="AT2113" i="3"/>
  <c r="AY2113" i="3"/>
  <c r="AS2089" i="3"/>
  <c r="BA2089" i="3"/>
  <c r="AW2089" i="3"/>
  <c r="AT2089" i="3"/>
  <c r="AY2089" i="3"/>
  <c r="AZ2089" i="3"/>
  <c r="AX2089" i="3"/>
  <c r="AR2089" i="3"/>
  <c r="AU2089" i="3"/>
  <c r="AV2089" i="3"/>
  <c r="AX2065" i="3"/>
  <c r="AT2065" i="3"/>
  <c r="BA2065" i="3"/>
  <c r="AV2065" i="3"/>
  <c r="AW2065" i="3"/>
  <c r="AY2065" i="3"/>
  <c r="AS2065" i="3"/>
  <c r="AU2065" i="3"/>
  <c r="AZ2065" i="3"/>
  <c r="AR2065" i="3"/>
  <c r="AT2041" i="3"/>
  <c r="AX2041" i="3"/>
  <c r="AV2041" i="3"/>
  <c r="BA2041" i="3"/>
  <c r="AR2041" i="3"/>
  <c r="AS2041" i="3"/>
  <c r="AU2041" i="3"/>
  <c r="AZ2041" i="3"/>
  <c r="AW2041" i="3"/>
  <c r="AY2041" i="3"/>
  <c r="AX2025" i="3"/>
  <c r="AT2025" i="3"/>
  <c r="AU2025" i="3"/>
  <c r="AZ2025" i="3"/>
  <c r="BA2025" i="3"/>
  <c r="AR2025" i="3"/>
  <c r="AW2025" i="3"/>
  <c r="AY2025" i="3"/>
  <c r="AS2025" i="3"/>
  <c r="AV2025" i="3"/>
  <c r="AT2001" i="3"/>
  <c r="AZ2001" i="3"/>
  <c r="AR2001" i="3"/>
  <c r="BA2001" i="3"/>
  <c r="AV2001" i="3"/>
  <c r="AW2001" i="3"/>
  <c r="AS2001" i="3"/>
  <c r="AU2001" i="3"/>
  <c r="AX2001" i="3"/>
  <c r="AY2001" i="3"/>
  <c r="AT1977" i="3"/>
  <c r="AW1977" i="3"/>
  <c r="AX1977" i="3"/>
  <c r="AR1977" i="3"/>
  <c r="BA1977" i="3"/>
  <c r="AU1977" i="3"/>
  <c r="AZ1977" i="3"/>
  <c r="AS1977" i="3"/>
  <c r="AV1977" i="3"/>
  <c r="AY1977" i="3"/>
  <c r="AT1953" i="3"/>
  <c r="AS1953" i="3"/>
  <c r="AU1953" i="3"/>
  <c r="AX1953" i="3"/>
  <c r="AY1953" i="3"/>
  <c r="AZ1953" i="3"/>
  <c r="AV1953" i="3"/>
  <c r="AR1953" i="3"/>
  <c r="AW1953" i="3"/>
  <c r="BA1953" i="3"/>
  <c r="AT1929" i="3"/>
  <c r="AU1929" i="3"/>
  <c r="AV1929" i="3"/>
  <c r="AY1929" i="3"/>
  <c r="AZ1929" i="3"/>
  <c r="AR1929" i="3"/>
  <c r="BA1929" i="3"/>
  <c r="AX1929" i="3"/>
  <c r="AS1929" i="3"/>
  <c r="AW1929" i="3"/>
  <c r="AT1905" i="3"/>
  <c r="AW1905" i="3"/>
  <c r="AX1905" i="3"/>
  <c r="AR1905" i="3"/>
  <c r="BA1905" i="3"/>
  <c r="AS1905" i="3"/>
  <c r="AU1905" i="3"/>
  <c r="AZ1905" i="3"/>
  <c r="AV1905" i="3"/>
  <c r="AY1905" i="3"/>
  <c r="AT1865" i="3"/>
  <c r="AW1865" i="3"/>
  <c r="AX1865" i="3"/>
  <c r="AR1865" i="3"/>
  <c r="BA1865" i="3"/>
  <c r="AS1865" i="3"/>
  <c r="AU1865" i="3"/>
  <c r="AZ1865" i="3"/>
  <c r="AY1865" i="3"/>
  <c r="AV1865" i="3"/>
  <c r="AT1841" i="3"/>
  <c r="AV1841" i="3"/>
  <c r="AW1841" i="3"/>
  <c r="AZ1841" i="3"/>
  <c r="AR1841" i="3"/>
  <c r="BA1841" i="3"/>
  <c r="AS1841" i="3"/>
  <c r="AU1841" i="3"/>
  <c r="AX1841" i="3"/>
  <c r="AY1841" i="3"/>
  <c r="AW1817" i="3"/>
  <c r="AX1817" i="3"/>
  <c r="AR1817" i="3"/>
  <c r="AS1817" i="3"/>
  <c r="AU1817" i="3"/>
  <c r="BA1817" i="3"/>
  <c r="AV1817" i="3"/>
  <c r="AZ1817" i="3"/>
  <c r="AR1793" i="3"/>
  <c r="AW1793" i="3"/>
  <c r="AX1793" i="3"/>
  <c r="AZ1793" i="3"/>
  <c r="AU1793" i="3"/>
  <c r="BA1793" i="3"/>
  <c r="AS1793" i="3"/>
  <c r="AS1769" i="3"/>
  <c r="AW1769" i="3"/>
  <c r="AX1769" i="3"/>
  <c r="AZ1769" i="3"/>
  <c r="AZ1753" i="3"/>
  <c r="BA1753" i="3"/>
  <c r="AR1753" i="3"/>
  <c r="AX1753" i="3"/>
  <c r="AR1729" i="3"/>
  <c r="AS1729" i="3"/>
  <c r="AU1729" i="3"/>
  <c r="BA1729" i="3"/>
  <c r="AX1713" i="3"/>
  <c r="AZ1713" i="3"/>
  <c r="AW1713" i="3"/>
  <c r="AU1697" i="3"/>
  <c r="AW1697" i="3"/>
  <c r="AZ1697" i="3"/>
  <c r="AS1697" i="3"/>
  <c r="AX1681" i="3"/>
  <c r="AZ1681" i="3"/>
  <c r="BA1681" i="3"/>
  <c r="AR1681" i="3"/>
  <c r="BA1665" i="3"/>
  <c r="AU1665" i="3"/>
  <c r="AW1665" i="3"/>
  <c r="AW1641" i="3"/>
  <c r="AY1641" i="3"/>
  <c r="BA1545" i="3"/>
  <c r="AS1545" i="3"/>
  <c r="AX1545" i="3"/>
  <c r="AV1537" i="3"/>
  <c r="AX1537" i="3"/>
  <c r="AS1537" i="3"/>
  <c r="AR1529" i="3"/>
  <c r="AV1529" i="3"/>
  <c r="AD937" i="13"/>
  <c r="AD88" i="13"/>
  <c r="AD264" i="13"/>
  <c r="AD56" i="13"/>
  <c r="AD288" i="13"/>
  <c r="AD464" i="13"/>
  <c r="AD753" i="13"/>
  <c r="AD905" i="13"/>
  <c r="AD272" i="13"/>
  <c r="AD777" i="13"/>
  <c r="AD200" i="13"/>
  <c r="AD384" i="13"/>
  <c r="AD456" i="13"/>
  <c r="AD873" i="13"/>
  <c r="AD24" i="13"/>
  <c r="AD513" i="13"/>
  <c r="AD192" i="13"/>
  <c r="AD497" i="13"/>
  <c r="AD985" i="13"/>
  <c r="AD657" i="13"/>
  <c r="AD617" i="13"/>
  <c r="W977" i="13"/>
  <c r="W1049" i="13"/>
  <c r="W761" i="13"/>
  <c r="W961" i="13"/>
  <c r="W200" i="13"/>
  <c r="W921" i="13"/>
  <c r="W176" i="13"/>
  <c r="W881" i="13"/>
  <c r="W873" i="13"/>
  <c r="W833" i="13"/>
  <c r="W825" i="13"/>
  <c r="W561" i="13"/>
  <c r="W40" i="13"/>
  <c r="W809" i="13"/>
  <c r="W801" i="13"/>
  <c r="W785" i="13"/>
  <c r="W777" i="13"/>
  <c r="W953" i="13"/>
  <c r="W945" i="13"/>
  <c r="W745" i="13"/>
  <c r="W737" i="13"/>
  <c r="W729" i="13"/>
  <c r="Z929" i="13"/>
  <c r="Z641" i="13"/>
  <c r="Z633" i="13"/>
  <c r="Y897" i="13"/>
  <c r="W609" i="13"/>
  <c r="Z537" i="13"/>
  <c r="Z513" i="13"/>
  <c r="Z681" i="13"/>
  <c r="Z336" i="13"/>
  <c r="Z296" i="13"/>
  <c r="Z248" i="13"/>
  <c r="Z128" i="13"/>
  <c r="Z136" i="13"/>
  <c r="Z64" i="13"/>
  <c r="Z16" i="13"/>
  <c r="AA1065" i="13"/>
  <c r="AB1049" i="13"/>
  <c r="AC761" i="13"/>
  <c r="AB1017" i="13"/>
  <c r="AC921" i="13"/>
  <c r="AA905" i="13"/>
  <c r="AB953" i="13"/>
  <c r="AC633" i="13"/>
  <c r="AC569" i="13"/>
  <c r="AC545" i="13"/>
  <c r="AC521" i="13"/>
  <c r="AC489" i="13"/>
  <c r="AA681" i="13"/>
  <c r="AC424" i="13"/>
  <c r="AB328" i="13"/>
  <c r="AB240" i="13"/>
  <c r="AB24" i="13"/>
  <c r="AR2761" i="3"/>
  <c r="AZ2745" i="3"/>
  <c r="AV2689" i="3"/>
  <c r="AZ2681" i="3"/>
  <c r="AR2633" i="3"/>
  <c r="AY2617" i="3"/>
  <c r="AW2609" i="3"/>
  <c r="AW2593" i="3"/>
  <c r="AY2585" i="3"/>
  <c r="AY2569" i="3"/>
  <c r="AW2561" i="3"/>
  <c r="AW2545" i="3"/>
  <c r="AY2377" i="3"/>
  <c r="AW2169" i="3"/>
  <c r="V1081" i="13"/>
  <c r="AC1081" i="13"/>
  <c r="AE1081" i="13"/>
  <c r="V1057" i="13"/>
  <c r="AC1057" i="13"/>
  <c r="AE1057" i="13"/>
  <c r="V1033" i="13"/>
  <c r="AC1033" i="13"/>
  <c r="AE1033" i="13"/>
  <c r="V1009" i="13"/>
  <c r="AC1009" i="13"/>
  <c r="AE1009" i="13"/>
  <c r="V985" i="13"/>
  <c r="AB985" i="13"/>
  <c r="AC985" i="13"/>
  <c r="V961" i="13"/>
  <c r="AA961" i="13"/>
  <c r="AB961" i="13"/>
  <c r="AE961" i="13"/>
  <c r="V937" i="13"/>
  <c r="AA937" i="13"/>
  <c r="AB937" i="13"/>
  <c r="AE937" i="13"/>
  <c r="V913" i="13"/>
  <c r="AA913" i="13"/>
  <c r="AC913" i="13"/>
  <c r="X913" i="13"/>
  <c r="Y913" i="13"/>
  <c r="V889" i="13"/>
  <c r="AA889" i="13"/>
  <c r="AB889" i="13"/>
  <c r="AE889" i="13"/>
  <c r="V865" i="13"/>
  <c r="AB865" i="13"/>
  <c r="AC865" i="13"/>
  <c r="V841" i="13"/>
  <c r="AA841" i="13"/>
  <c r="AB841" i="13"/>
  <c r="AE841" i="13"/>
  <c r="V817" i="13"/>
  <c r="AA817" i="13"/>
  <c r="AB817" i="13"/>
  <c r="AE817" i="13"/>
  <c r="V793" i="13"/>
  <c r="X793" i="13"/>
  <c r="Y793" i="13"/>
  <c r="AE793" i="13"/>
  <c r="AB793" i="13"/>
  <c r="AC793" i="13"/>
  <c r="V769" i="13"/>
  <c r="AA769" i="13"/>
  <c r="AB769" i="13"/>
  <c r="AE769" i="13"/>
  <c r="V745" i="13"/>
  <c r="AA745" i="13"/>
  <c r="AB745" i="13"/>
  <c r="AE745" i="13"/>
  <c r="V721" i="13"/>
  <c r="AE721" i="13"/>
  <c r="AB721" i="13"/>
  <c r="X721" i="13"/>
  <c r="AC721" i="13"/>
  <c r="Y721" i="13"/>
  <c r="V697" i="13"/>
  <c r="AE697" i="13"/>
  <c r="AA697" i="13"/>
  <c r="AC697" i="13"/>
  <c r="X697" i="13"/>
  <c r="Y697" i="13"/>
  <c r="V673" i="13"/>
  <c r="AA673" i="13"/>
  <c r="AB673" i="13"/>
  <c r="V649" i="13"/>
  <c r="AA649" i="13"/>
  <c r="AB649" i="13"/>
  <c r="AE649" i="13"/>
  <c r="V625" i="13"/>
  <c r="X625" i="13"/>
  <c r="AA625" i="13"/>
  <c r="AB625" i="13"/>
  <c r="V601" i="13"/>
  <c r="X601" i="13"/>
  <c r="AA601" i="13"/>
  <c r="AB601" i="13"/>
  <c r="V577" i="13"/>
  <c r="X577" i="13"/>
  <c r="AA577" i="13"/>
  <c r="AB577" i="13"/>
  <c r="AE577" i="13"/>
  <c r="V553" i="13"/>
  <c r="AA553" i="13"/>
  <c r="X553" i="13"/>
  <c r="AB553" i="13"/>
  <c r="Y553" i="13"/>
  <c r="AE553" i="13"/>
  <c r="AC553" i="13"/>
  <c r="V529" i="13"/>
  <c r="X529" i="13"/>
  <c r="AA529" i="13"/>
  <c r="Y529" i="13"/>
  <c r="AB529" i="13"/>
  <c r="AE529" i="13"/>
  <c r="V505" i="13"/>
  <c r="X505" i="13"/>
  <c r="AA505" i="13"/>
  <c r="Y505" i="13"/>
  <c r="AB505" i="13"/>
  <c r="AE505" i="13"/>
  <c r="V481" i="13"/>
  <c r="X481" i="13"/>
  <c r="AA481" i="13"/>
  <c r="Y481" i="13"/>
  <c r="AB481" i="13"/>
  <c r="AE481" i="13"/>
  <c r="V464" i="13"/>
  <c r="X464" i="13"/>
  <c r="Y464" i="13"/>
  <c r="AE464" i="13"/>
  <c r="AB464" i="13"/>
  <c r="AC464" i="13"/>
  <c r="V440" i="13"/>
  <c r="X440" i="13"/>
  <c r="AA440" i="13"/>
  <c r="Y440" i="13"/>
  <c r="AB440" i="13"/>
  <c r="AE440" i="13"/>
  <c r="V416" i="13"/>
  <c r="X416" i="13"/>
  <c r="AA416" i="13"/>
  <c r="Y416" i="13"/>
  <c r="AB416" i="13"/>
  <c r="AE416" i="13"/>
  <c r="V392" i="13"/>
  <c r="AA392" i="13"/>
  <c r="AB392" i="13"/>
  <c r="AE392" i="13"/>
  <c r="V368" i="13"/>
  <c r="X368" i="13"/>
  <c r="AA368" i="13"/>
  <c r="Y368" i="13"/>
  <c r="AB368" i="13"/>
  <c r="AE368" i="13"/>
  <c r="V344" i="13"/>
  <c r="AA344" i="13"/>
  <c r="X344" i="13"/>
  <c r="AE344" i="13"/>
  <c r="AB344" i="13"/>
  <c r="Y344" i="13"/>
  <c r="AC344" i="13"/>
  <c r="V320" i="13"/>
  <c r="AA320" i="13"/>
  <c r="AC320" i="13"/>
  <c r="X320" i="13"/>
  <c r="Y320" i="13"/>
  <c r="V304" i="13"/>
  <c r="X304" i="13"/>
  <c r="AA304" i="13"/>
  <c r="Y304" i="13"/>
  <c r="AB304" i="13"/>
  <c r="AE304" i="13"/>
  <c r="V280" i="13"/>
  <c r="AC280" i="13"/>
  <c r="X280" i="13"/>
  <c r="Y280" i="13"/>
  <c r="AA280" i="13"/>
  <c r="V256" i="13"/>
  <c r="AC256" i="13"/>
  <c r="X256" i="13"/>
  <c r="Y256" i="13"/>
  <c r="AA256" i="13"/>
  <c r="V232" i="13"/>
  <c r="X232" i="13"/>
  <c r="Y232" i="13"/>
  <c r="AE232" i="13"/>
  <c r="AB232" i="13"/>
  <c r="AC232" i="13"/>
  <c r="V208" i="13"/>
  <c r="X208" i="13"/>
  <c r="Y208" i="13"/>
  <c r="AE208" i="13"/>
  <c r="AB208" i="13"/>
  <c r="AC208" i="13"/>
  <c r="V192" i="13"/>
  <c r="X192" i="13"/>
  <c r="Y192" i="13"/>
  <c r="AE192" i="13"/>
  <c r="AB192" i="13"/>
  <c r="AC192" i="13"/>
  <c r="V168" i="13"/>
  <c r="X168" i="13"/>
  <c r="Y168" i="13"/>
  <c r="AE168" i="13"/>
  <c r="AB168" i="13"/>
  <c r="AC168" i="13"/>
  <c r="V144" i="13"/>
  <c r="X144" i="13"/>
  <c r="Y144" i="13"/>
  <c r="AE144" i="13"/>
  <c r="AB144" i="13"/>
  <c r="AC144" i="13"/>
  <c r="V120" i="13"/>
  <c r="X120" i="13"/>
  <c r="Y120" i="13"/>
  <c r="AE120" i="13"/>
  <c r="AB120" i="13"/>
  <c r="AC120" i="13"/>
  <c r="V96" i="13"/>
  <c r="AA96" i="13"/>
  <c r="AE96" i="13"/>
  <c r="AB96" i="13"/>
  <c r="AC96" i="13"/>
  <c r="X96" i="13"/>
  <c r="Y96" i="13"/>
  <c r="V72" i="13"/>
  <c r="X72" i="13"/>
  <c r="Y72" i="13"/>
  <c r="AE72" i="13"/>
  <c r="AB72" i="13"/>
  <c r="AC72" i="13"/>
  <c r="V48" i="13"/>
  <c r="X48" i="13"/>
  <c r="Y48" i="13"/>
  <c r="AE48" i="13"/>
  <c r="AB48" i="13"/>
  <c r="AC48" i="13"/>
  <c r="V32" i="13"/>
  <c r="AC32" i="13"/>
  <c r="X32" i="13"/>
  <c r="Y32" i="13"/>
  <c r="AA32" i="13"/>
  <c r="AS2769" i="3"/>
  <c r="BA2769" i="3"/>
  <c r="AT2769" i="3"/>
  <c r="AU2769" i="3"/>
  <c r="AW2769" i="3"/>
  <c r="AX2769" i="3"/>
  <c r="AY2769" i="3"/>
  <c r="AS2753" i="3"/>
  <c r="BA2753" i="3"/>
  <c r="AT2753" i="3"/>
  <c r="AU2753" i="3"/>
  <c r="AW2753" i="3"/>
  <c r="AX2753" i="3"/>
  <c r="AY2753" i="3"/>
  <c r="AS2729" i="3"/>
  <c r="BA2729" i="3"/>
  <c r="AT2729" i="3"/>
  <c r="AU2729" i="3"/>
  <c r="AW2729" i="3"/>
  <c r="AX2729" i="3"/>
  <c r="AY2729" i="3"/>
  <c r="AS2697" i="3"/>
  <c r="BA2697" i="3"/>
  <c r="AT2697" i="3"/>
  <c r="AU2697" i="3"/>
  <c r="AW2697" i="3"/>
  <c r="AX2697" i="3"/>
  <c r="AY2697" i="3"/>
  <c r="AS2673" i="3"/>
  <c r="BA2673" i="3"/>
  <c r="AT2673" i="3"/>
  <c r="AU2673" i="3"/>
  <c r="AW2673" i="3"/>
  <c r="AX2673" i="3"/>
  <c r="AY2673" i="3"/>
  <c r="AS2649" i="3"/>
  <c r="BA2649" i="3"/>
  <c r="AT2649" i="3"/>
  <c r="AU2649" i="3"/>
  <c r="AW2649" i="3"/>
  <c r="AX2649" i="3"/>
  <c r="AY2649" i="3"/>
  <c r="AS2625" i="3"/>
  <c r="BA2625" i="3"/>
  <c r="AT2625" i="3"/>
  <c r="AU2625" i="3"/>
  <c r="AW2625" i="3"/>
  <c r="AX2625" i="3"/>
  <c r="AY2625" i="3"/>
  <c r="AR2601" i="3"/>
  <c r="AZ2601" i="3"/>
  <c r="AV2601" i="3"/>
  <c r="AW2601" i="3"/>
  <c r="AX2601" i="3"/>
  <c r="BA2601" i="3"/>
  <c r="AS2601" i="3"/>
  <c r="AT2601" i="3"/>
  <c r="AR2577" i="3"/>
  <c r="AZ2577" i="3"/>
  <c r="AX2577" i="3"/>
  <c r="AY2577" i="3"/>
  <c r="BA2577" i="3"/>
  <c r="AT2577" i="3"/>
  <c r="AU2577" i="3"/>
  <c r="AV2577" i="3"/>
  <c r="AR2553" i="3"/>
  <c r="AZ2553" i="3"/>
  <c r="BA2553" i="3"/>
  <c r="AS2553" i="3"/>
  <c r="AT2553" i="3"/>
  <c r="AV2553" i="3"/>
  <c r="AW2553" i="3"/>
  <c r="AX2553" i="3"/>
  <c r="AR2529" i="3"/>
  <c r="AZ2529" i="3"/>
  <c r="AS2529" i="3"/>
  <c r="BA2529" i="3"/>
  <c r="AX2529" i="3"/>
  <c r="AY2529" i="3"/>
  <c r="AT2529" i="3"/>
  <c r="AU2529" i="3"/>
  <c r="AV2529" i="3"/>
  <c r="AW2505" i="3"/>
  <c r="AR2505" i="3"/>
  <c r="AZ2505" i="3"/>
  <c r="AS2505" i="3"/>
  <c r="BA2505" i="3"/>
  <c r="AT2505" i="3"/>
  <c r="AX2505" i="3"/>
  <c r="AY2505" i="3"/>
  <c r="AU2505" i="3"/>
  <c r="AV2481" i="3"/>
  <c r="AW2481" i="3"/>
  <c r="AR2481" i="3"/>
  <c r="AZ2481" i="3"/>
  <c r="AS2481" i="3"/>
  <c r="BA2481" i="3"/>
  <c r="AT2481" i="3"/>
  <c r="AU2481" i="3"/>
  <c r="AY2481" i="3"/>
  <c r="AV2457" i="3"/>
  <c r="AW2457" i="3"/>
  <c r="AR2457" i="3"/>
  <c r="AZ2457" i="3"/>
  <c r="AS2457" i="3"/>
  <c r="BA2457" i="3"/>
  <c r="AT2457" i="3"/>
  <c r="AX2457" i="3"/>
  <c r="AY2457" i="3"/>
  <c r="AV2433" i="3"/>
  <c r="AW2433" i="3"/>
  <c r="AR2433" i="3"/>
  <c r="AZ2433" i="3"/>
  <c r="AS2433" i="3"/>
  <c r="BA2433" i="3"/>
  <c r="AT2433" i="3"/>
  <c r="AU2433" i="3"/>
  <c r="AX2433" i="3"/>
  <c r="AY2433" i="3"/>
  <c r="AV2409" i="3"/>
  <c r="AW2409" i="3"/>
  <c r="AR2409" i="3"/>
  <c r="AZ2409" i="3"/>
  <c r="AS2409" i="3"/>
  <c r="BA2409" i="3"/>
  <c r="AT2409" i="3"/>
  <c r="AU2409" i="3"/>
  <c r="AX2409" i="3"/>
  <c r="AV2385" i="3"/>
  <c r="AW2385" i="3"/>
  <c r="AR2385" i="3"/>
  <c r="AZ2385" i="3"/>
  <c r="AS2385" i="3"/>
  <c r="BA2385" i="3"/>
  <c r="AT2385" i="3"/>
  <c r="AY2385" i="3"/>
  <c r="AU2385" i="3"/>
  <c r="AV2369" i="3"/>
  <c r="AW2369" i="3"/>
  <c r="AR2369" i="3"/>
  <c r="AZ2369" i="3"/>
  <c r="AS2369" i="3"/>
  <c r="BA2369" i="3"/>
  <c r="AT2369" i="3"/>
  <c r="AU2369" i="3"/>
  <c r="AX2369" i="3"/>
  <c r="AY2369" i="3"/>
  <c r="AY2345" i="3"/>
  <c r="AT2345" i="3"/>
  <c r="AU2345" i="3"/>
  <c r="AX2345" i="3"/>
  <c r="AZ2345" i="3"/>
  <c r="AR2345" i="3"/>
  <c r="BA2345" i="3"/>
  <c r="AS2345" i="3"/>
  <c r="AV2345" i="3"/>
  <c r="AY2321" i="3"/>
  <c r="AR2321" i="3"/>
  <c r="AZ2321" i="3"/>
  <c r="BA2321" i="3"/>
  <c r="AU2321" i="3"/>
  <c r="AV2321" i="3"/>
  <c r="AW2321" i="3"/>
  <c r="AS2321" i="3"/>
  <c r="AT2321" i="3"/>
  <c r="AT2297" i="3"/>
  <c r="AX2297" i="3"/>
  <c r="AY2297" i="3"/>
  <c r="AR2297" i="3"/>
  <c r="AZ2297" i="3"/>
  <c r="AS2297" i="3"/>
  <c r="AU2297" i="3"/>
  <c r="BA2297" i="3"/>
  <c r="AV2297" i="3"/>
  <c r="AW2297" i="3"/>
  <c r="AT2273" i="3"/>
  <c r="AX2273" i="3"/>
  <c r="AY2273" i="3"/>
  <c r="AR2273" i="3"/>
  <c r="AZ2273" i="3"/>
  <c r="AU2273" i="3"/>
  <c r="AV2273" i="3"/>
  <c r="AS2273" i="3"/>
  <c r="AW2273" i="3"/>
  <c r="BA2273" i="3"/>
  <c r="AT2249" i="3"/>
  <c r="AX2249" i="3"/>
  <c r="AY2249" i="3"/>
  <c r="AR2249" i="3"/>
  <c r="AZ2249" i="3"/>
  <c r="AV2249" i="3"/>
  <c r="AW2249" i="3"/>
  <c r="AS2249" i="3"/>
  <c r="AU2249" i="3"/>
  <c r="BA2249" i="3"/>
  <c r="AT2225" i="3"/>
  <c r="AX2225" i="3"/>
  <c r="AY2225" i="3"/>
  <c r="AR2225" i="3"/>
  <c r="AZ2225" i="3"/>
  <c r="AW2225" i="3"/>
  <c r="BA2225" i="3"/>
  <c r="AS2225" i="3"/>
  <c r="AU2225" i="3"/>
  <c r="AV2225" i="3"/>
  <c r="AT2201" i="3"/>
  <c r="AX2201" i="3"/>
  <c r="AY2201" i="3"/>
  <c r="AR2201" i="3"/>
  <c r="AZ2201" i="3"/>
  <c r="BA2201" i="3"/>
  <c r="AS2201" i="3"/>
  <c r="AU2201" i="3"/>
  <c r="AV2201" i="3"/>
  <c r="AW2201" i="3"/>
  <c r="AT2177" i="3"/>
  <c r="AX2177" i="3"/>
  <c r="AY2177" i="3"/>
  <c r="AR2177" i="3"/>
  <c r="AZ2177" i="3"/>
  <c r="AU2177" i="3"/>
  <c r="AV2177" i="3"/>
  <c r="AW2177" i="3"/>
  <c r="AS2177" i="3"/>
  <c r="AT2153" i="3"/>
  <c r="AX2153" i="3"/>
  <c r="AY2153" i="3"/>
  <c r="AR2153" i="3"/>
  <c r="AZ2153" i="3"/>
  <c r="AV2153" i="3"/>
  <c r="AW2153" i="3"/>
  <c r="BA2153" i="3"/>
  <c r="AU2153" i="3"/>
  <c r="AX2129" i="3"/>
  <c r="AS2129" i="3"/>
  <c r="AW2129" i="3"/>
  <c r="AY2129" i="3"/>
  <c r="AZ2129" i="3"/>
  <c r="AR2129" i="3"/>
  <c r="AV2129" i="3"/>
  <c r="BA2129" i="3"/>
  <c r="AU2129" i="3"/>
  <c r="AX2105" i="3"/>
  <c r="AY2105" i="3"/>
  <c r="AT2105" i="3"/>
  <c r="AU2105" i="3"/>
  <c r="AV2105" i="3"/>
  <c r="AR2105" i="3"/>
  <c r="AZ2105" i="3"/>
  <c r="BA2105" i="3"/>
  <c r="AS2105" i="3"/>
  <c r="AW2105" i="3"/>
  <c r="AR2081" i="3"/>
  <c r="AZ2081" i="3"/>
  <c r="AV2081" i="3"/>
  <c r="AY2081" i="3"/>
  <c r="AT2081" i="3"/>
  <c r="AU2081" i="3"/>
  <c r="AW2081" i="3"/>
  <c r="AS2081" i="3"/>
  <c r="AX2081" i="3"/>
  <c r="BA2081" i="3"/>
  <c r="AW2057" i="3"/>
  <c r="AS2057" i="3"/>
  <c r="BA2057" i="3"/>
  <c r="AV2057" i="3"/>
  <c r="AR2057" i="3"/>
  <c r="AT2057" i="3"/>
  <c r="AY2057" i="3"/>
  <c r="AZ2057" i="3"/>
  <c r="AU2057" i="3"/>
  <c r="AX2057" i="3"/>
  <c r="AR2033" i="3"/>
  <c r="AZ2033" i="3"/>
  <c r="AV2033" i="3"/>
  <c r="BA2033" i="3"/>
  <c r="AU2033" i="3"/>
  <c r="AW2033" i="3"/>
  <c r="AX2033" i="3"/>
  <c r="AY2033" i="3"/>
  <c r="AS2033" i="3"/>
  <c r="AT2009" i="3"/>
  <c r="AX2009" i="3"/>
  <c r="AS2009" i="3"/>
  <c r="AY2009" i="3"/>
  <c r="AZ2009" i="3"/>
  <c r="BA2009" i="3"/>
  <c r="AU2009" i="3"/>
  <c r="AV2009" i="3"/>
  <c r="AW2009" i="3"/>
  <c r="AR2009" i="3"/>
  <c r="AT1985" i="3"/>
  <c r="AZ1985" i="3"/>
  <c r="AR1985" i="3"/>
  <c r="BA1985" i="3"/>
  <c r="AV1985" i="3"/>
  <c r="AX1985" i="3"/>
  <c r="AS1985" i="3"/>
  <c r="AU1985" i="3"/>
  <c r="AW1985" i="3"/>
  <c r="AY1985" i="3"/>
  <c r="AT1961" i="3"/>
  <c r="AX1961" i="3"/>
  <c r="AY1961" i="3"/>
  <c r="AS1961" i="3"/>
  <c r="AU1961" i="3"/>
  <c r="AV1961" i="3"/>
  <c r="AZ1961" i="3"/>
  <c r="AR1961" i="3"/>
  <c r="AW1961" i="3"/>
  <c r="BA1961" i="3"/>
  <c r="AT1937" i="3"/>
  <c r="AS1937" i="3"/>
  <c r="AU1937" i="3"/>
  <c r="AX1937" i="3"/>
  <c r="AY1937" i="3"/>
  <c r="AZ1937" i="3"/>
  <c r="BA1937" i="3"/>
  <c r="AR1937" i="3"/>
  <c r="AV1937" i="3"/>
  <c r="AW1937" i="3"/>
  <c r="AT1913" i="3"/>
  <c r="AW1913" i="3"/>
  <c r="AX1913" i="3"/>
  <c r="AR1913" i="3"/>
  <c r="BA1913" i="3"/>
  <c r="AS1913" i="3"/>
  <c r="AU1913" i="3"/>
  <c r="AV1913" i="3"/>
  <c r="AY1913" i="3"/>
  <c r="AZ1913" i="3"/>
  <c r="AT1889" i="3"/>
  <c r="AU1889" i="3"/>
  <c r="AV1889" i="3"/>
  <c r="AY1889" i="3"/>
  <c r="AZ1889" i="3"/>
  <c r="AR1889" i="3"/>
  <c r="BA1889" i="3"/>
  <c r="AS1889" i="3"/>
  <c r="AW1889" i="3"/>
  <c r="AX1889" i="3"/>
  <c r="AT1873" i="3"/>
  <c r="AS1873" i="3"/>
  <c r="AU1873" i="3"/>
  <c r="AX1873" i="3"/>
  <c r="AY1873" i="3"/>
  <c r="AZ1873" i="3"/>
  <c r="AV1873" i="3"/>
  <c r="AW1873" i="3"/>
  <c r="BA1873" i="3"/>
  <c r="AT1849" i="3"/>
  <c r="AR1849" i="3"/>
  <c r="BA1849" i="3"/>
  <c r="AS1849" i="3"/>
  <c r="AW1849" i="3"/>
  <c r="AX1849" i="3"/>
  <c r="AY1849" i="3"/>
  <c r="AU1849" i="3"/>
  <c r="AV1849" i="3"/>
  <c r="AZ1849" i="3"/>
  <c r="AZ1825" i="3"/>
  <c r="BA1825" i="3"/>
  <c r="AU1825" i="3"/>
  <c r="AV1825" i="3"/>
  <c r="AW1825" i="3"/>
  <c r="AS1825" i="3"/>
  <c r="AX1825" i="3"/>
  <c r="AR1825" i="3"/>
  <c r="AS1801" i="3"/>
  <c r="AU1801" i="3"/>
  <c r="AZ1801" i="3"/>
  <c r="BA1801" i="3"/>
  <c r="AR1801" i="3"/>
  <c r="AW1801" i="3"/>
  <c r="AX1801" i="3"/>
  <c r="AW1777" i="3"/>
  <c r="AX1777" i="3"/>
  <c r="AS1777" i="3"/>
  <c r="BA1777" i="3"/>
  <c r="AS1761" i="3"/>
  <c r="AU1761" i="3"/>
  <c r="AW1761" i="3"/>
  <c r="AW1737" i="3"/>
  <c r="AX1737" i="3"/>
  <c r="AZ1737" i="3"/>
  <c r="AR1721" i="3"/>
  <c r="AS1721" i="3"/>
  <c r="AZ1721" i="3"/>
  <c r="AU1721" i="3"/>
  <c r="AX1721" i="3"/>
  <c r="AZ1705" i="3"/>
  <c r="BA1705" i="3"/>
  <c r="AR1705" i="3"/>
  <c r="AU1705" i="3"/>
  <c r="AW1689" i="3"/>
  <c r="AZ1689" i="3"/>
  <c r="AX1689" i="3"/>
  <c r="AU1673" i="3"/>
  <c r="AW1673" i="3"/>
  <c r="AR1673" i="3"/>
  <c r="AR1657" i="3"/>
  <c r="AZ1657" i="3"/>
  <c r="BA1657" i="3"/>
  <c r="BA1649" i="3"/>
  <c r="AY1649" i="3"/>
  <c r="AT1633" i="3"/>
  <c r="BA1633" i="3"/>
  <c r="AU1633" i="3"/>
  <c r="AT1625" i="3"/>
  <c r="AU1625" i="3"/>
  <c r="AX1625" i="3"/>
  <c r="BA1625" i="3"/>
  <c r="AT1617" i="3"/>
  <c r="AX1617" i="3"/>
  <c r="BA1617" i="3"/>
  <c r="BA1513" i="3"/>
  <c r="AW1513" i="3"/>
  <c r="AX1505" i="3"/>
  <c r="AZ1505" i="3"/>
  <c r="AU1505" i="3"/>
  <c r="AS1497" i="3"/>
  <c r="AY1497" i="3"/>
  <c r="BA1497" i="3"/>
  <c r="AR1489" i="3"/>
  <c r="AX1489" i="3"/>
  <c r="BA1489" i="3"/>
  <c r="AS1401" i="3"/>
  <c r="AR1401" i="3"/>
  <c r="AV1401" i="3"/>
  <c r="AV1393" i="3"/>
  <c r="AS1393" i="3"/>
  <c r="AV1385" i="3"/>
  <c r="BA1385" i="3"/>
  <c r="AD208" i="13"/>
  <c r="AD360" i="13"/>
  <c r="AD216" i="13"/>
  <c r="AD376" i="13"/>
  <c r="AD256" i="13"/>
  <c r="AD176" i="13"/>
  <c r="AD601" i="13"/>
  <c r="AD472" i="13"/>
  <c r="AD80" i="13"/>
  <c r="AD152" i="13"/>
  <c r="AD416" i="13"/>
  <c r="AD1001" i="13"/>
  <c r="AD160" i="13"/>
  <c r="AD280" i="13"/>
  <c r="AD553" i="13"/>
  <c r="AD977" i="13"/>
  <c r="AD352" i="13"/>
  <c r="AD537" i="13"/>
  <c r="AD761" i="13"/>
  <c r="AD697" i="13"/>
  <c r="AD681" i="13"/>
  <c r="AD665" i="13"/>
  <c r="Z1105" i="13"/>
  <c r="Z1097" i="13"/>
  <c r="Z1089" i="13"/>
  <c r="Z1081" i="13"/>
  <c r="Z1065" i="13"/>
  <c r="Z1057" i="13"/>
  <c r="Z1041" i="13"/>
  <c r="Z1033" i="13"/>
  <c r="Z1025" i="13"/>
  <c r="Z1017" i="13"/>
  <c r="Z1009" i="13"/>
  <c r="Z1001" i="13"/>
  <c r="Z993" i="13"/>
  <c r="Z969" i="13"/>
  <c r="Z224" i="13"/>
  <c r="Z392" i="13"/>
  <c r="Z657" i="13"/>
  <c r="Z649" i="13"/>
  <c r="Z1073" i="13"/>
  <c r="Z905" i="13"/>
  <c r="Z617" i="13"/>
  <c r="W929" i="13"/>
  <c r="Y641" i="13"/>
  <c r="Y633" i="13"/>
  <c r="Y625" i="13"/>
  <c r="W897" i="13"/>
  <c r="Z569" i="13"/>
  <c r="W537" i="13"/>
  <c r="W513" i="13"/>
  <c r="W481" i="13"/>
  <c r="W697" i="13"/>
  <c r="W681" i="13"/>
  <c r="W416" i="13"/>
  <c r="W553" i="13"/>
  <c r="W336" i="13"/>
  <c r="W464" i="13"/>
  <c r="W296" i="13"/>
  <c r="W248" i="13"/>
  <c r="W192" i="13"/>
  <c r="W128" i="13"/>
  <c r="W136" i="13"/>
  <c r="W64" i="13"/>
  <c r="W16" i="13"/>
  <c r="AB1081" i="13"/>
  <c r="AC977" i="13"/>
  <c r="AB761" i="13"/>
  <c r="AB1025" i="13"/>
  <c r="AA1017" i="13"/>
  <c r="AA865" i="13"/>
  <c r="AC841" i="13"/>
  <c r="AA40" i="13"/>
  <c r="AC785" i="13"/>
  <c r="AC673" i="13"/>
  <c r="AB857" i="13"/>
  <c r="AB697" i="13"/>
  <c r="AA464" i="13"/>
  <c r="AA168" i="13"/>
  <c r="AA144" i="13"/>
  <c r="AA80" i="13"/>
  <c r="AA48" i="13"/>
  <c r="AE681" i="13"/>
  <c r="AE312" i="13"/>
  <c r="AE296" i="13"/>
  <c r="AE280" i="13"/>
  <c r="AE272" i="13"/>
  <c r="AE256" i="13"/>
  <c r="AE248" i="13"/>
  <c r="AE240" i="13"/>
  <c r="AE32" i="13"/>
  <c r="AE24" i="13"/>
  <c r="AE16" i="13"/>
  <c r="AR2753" i="3"/>
  <c r="AV2745" i="3"/>
  <c r="AZ2737" i="3"/>
  <c r="AR2689" i="3"/>
  <c r="AV2681" i="3"/>
  <c r="AZ2673" i="3"/>
  <c r="AR2625" i="3"/>
  <c r="AU2617" i="3"/>
  <c r="AS2609" i="3"/>
  <c r="AU2601" i="3"/>
  <c r="AS2593" i="3"/>
  <c r="AU2585" i="3"/>
  <c r="AS2577" i="3"/>
  <c r="AU2569" i="3"/>
  <c r="AS2561" i="3"/>
  <c r="AU2553" i="3"/>
  <c r="AU2489" i="3"/>
  <c r="AX2385" i="3"/>
  <c r="AU2329" i="3"/>
  <c r="BA2177" i="3"/>
  <c r="Y1097" i="13"/>
  <c r="Y1065" i="13"/>
  <c r="Y1057" i="13"/>
  <c r="Y1041" i="13"/>
  <c r="Y1033" i="13"/>
  <c r="Y1009" i="13"/>
  <c r="Y1001" i="13"/>
  <c r="Y224" i="13"/>
  <c r="Y392" i="13"/>
  <c r="X617" i="13"/>
  <c r="X641" i="13"/>
  <c r="W625" i="13"/>
  <c r="Z577" i="13"/>
  <c r="Z545" i="13"/>
  <c r="Z424" i="13"/>
  <c r="Z352" i="13"/>
  <c r="Z256" i="13"/>
  <c r="Z384" i="13"/>
  <c r="AB1089" i="13"/>
  <c r="AB1033" i="13"/>
  <c r="AC609" i="13"/>
  <c r="AA216" i="13"/>
  <c r="AE352" i="13"/>
  <c r="AV2737" i="3"/>
  <c r="AZ2729" i="3"/>
  <c r="AR2681" i="3"/>
  <c r="AV2673" i="3"/>
  <c r="AZ2665" i="3"/>
  <c r="AY2497" i="3"/>
  <c r="AY2441" i="3"/>
  <c r="AU2393" i="3"/>
  <c r="AR2337" i="3"/>
  <c r="BA2185" i="3"/>
  <c r="AS2121" i="3"/>
  <c r="Y1105" i="13"/>
  <c r="Y1081" i="13"/>
  <c r="Y905" i="13"/>
  <c r="Z665" i="13"/>
  <c r="Y569" i="13"/>
  <c r="Z849" i="13"/>
  <c r="Z400" i="13"/>
  <c r="Z216" i="13"/>
  <c r="AA1081" i="13"/>
  <c r="AB977" i="13"/>
  <c r="AA1025" i="13"/>
  <c r="AC641" i="13"/>
  <c r="AC529" i="13"/>
  <c r="AB336" i="13"/>
  <c r="AB296" i="13"/>
  <c r="AB248" i="13"/>
  <c r="AB913" i="13"/>
  <c r="AB320" i="13"/>
  <c r="AB32" i="13"/>
  <c r="AE865" i="13"/>
  <c r="AE40" i="13"/>
  <c r="AD953" i="13"/>
  <c r="AD625" i="13"/>
  <c r="AD633" i="13"/>
  <c r="AD1033" i="13"/>
  <c r="AD881" i="13"/>
  <c r="AD1089" i="13"/>
  <c r="AD1065" i="13"/>
  <c r="AD392" i="13"/>
  <c r="AD296" i="13"/>
  <c r="AD1081" i="13"/>
  <c r="X1105" i="13"/>
  <c r="X1097" i="13"/>
  <c r="X1089" i="13"/>
  <c r="X1081" i="13"/>
  <c r="X1065" i="13"/>
  <c r="X1057" i="13"/>
  <c r="X1041" i="13"/>
  <c r="X1033" i="13"/>
  <c r="X1025" i="13"/>
  <c r="X1017" i="13"/>
  <c r="X1009" i="13"/>
  <c r="X1001" i="13"/>
  <c r="X993" i="13"/>
  <c r="X969" i="13"/>
  <c r="X224" i="13"/>
  <c r="X392" i="13"/>
  <c r="X657" i="13"/>
  <c r="X649" i="13"/>
  <c r="X1073" i="13"/>
  <c r="X905" i="13"/>
  <c r="W617" i="13"/>
  <c r="Y673" i="13"/>
  <c r="Y665" i="13"/>
  <c r="W641" i="13"/>
  <c r="W633" i="13"/>
  <c r="Z585" i="13"/>
  <c r="Y577" i="13"/>
  <c r="W569" i="13"/>
  <c r="W849" i="13"/>
  <c r="W545" i="13"/>
  <c r="W521" i="13"/>
  <c r="W489" i="13"/>
  <c r="W424" i="13"/>
  <c r="W400" i="13"/>
  <c r="W448" i="13"/>
  <c r="W368" i="13"/>
  <c r="W352" i="13"/>
  <c r="W312" i="13"/>
  <c r="W256" i="13"/>
  <c r="W384" i="13"/>
  <c r="W216" i="13"/>
  <c r="W168" i="13"/>
  <c r="W144" i="13"/>
  <c r="W72" i="13"/>
  <c r="W112" i="13"/>
  <c r="W24" i="13"/>
  <c r="AB1097" i="13"/>
  <c r="AA1089" i="13"/>
  <c r="AA1033" i="13"/>
  <c r="AB176" i="13"/>
  <c r="AC873" i="13"/>
  <c r="AC817" i="13"/>
  <c r="AC801" i="13"/>
  <c r="AB849" i="13"/>
  <c r="AB689" i="13"/>
  <c r="AA184" i="13"/>
  <c r="AA152" i="13"/>
  <c r="AA88" i="13"/>
  <c r="AA56" i="13"/>
  <c r="AE985" i="13"/>
  <c r="AE609" i="13"/>
  <c r="AE601" i="13"/>
  <c r="AE593" i="13"/>
  <c r="AE585" i="13"/>
  <c r="AR2737" i="3"/>
  <c r="AV2729" i="3"/>
  <c r="AZ2721" i="3"/>
  <c r="AR2673" i="3"/>
  <c r="AV2665" i="3"/>
  <c r="AZ2657" i="3"/>
  <c r="AV2505" i="3"/>
  <c r="AX2449" i="3"/>
  <c r="AW2345" i="3"/>
  <c r="AV2193" i="3"/>
  <c r="AT2129" i="3"/>
  <c r="AU2049" i="3"/>
  <c r="Y1025" i="13"/>
  <c r="Y1017" i="13"/>
  <c r="Y969" i="13"/>
  <c r="Y649" i="13"/>
  <c r="Z673" i="13"/>
  <c r="X633" i="13"/>
  <c r="Z521" i="13"/>
  <c r="Z368" i="13"/>
  <c r="Z168" i="13"/>
  <c r="Z72" i="13"/>
  <c r="Z112" i="13"/>
  <c r="Z24" i="13"/>
  <c r="AC577" i="13"/>
  <c r="AC432" i="13"/>
  <c r="AE360" i="13"/>
  <c r="AR2745" i="3"/>
  <c r="AD713" i="13"/>
  <c r="AD368" i="13"/>
  <c r="AD304" i="13"/>
  <c r="AD785" i="13"/>
  <c r="AD737" i="13"/>
  <c r="AD320" i="13"/>
  <c r="AD561" i="13"/>
  <c r="AD889" i="13"/>
  <c r="AD424" i="13"/>
  <c r="AD993" i="13"/>
  <c r="AD224" i="13"/>
  <c r="AD120" i="13"/>
  <c r="AD833" i="13"/>
  <c r="AD1057" i="13"/>
  <c r="AD48" i="13"/>
  <c r="AD136" i="13"/>
  <c r="AD104" i="13"/>
  <c r="AD312" i="13"/>
  <c r="AD641" i="13"/>
  <c r="AD801" i="13"/>
  <c r="AD1097" i="13"/>
  <c r="AD961" i="13"/>
  <c r="AD168" i="13"/>
  <c r="AD232" i="13"/>
  <c r="AD689" i="13"/>
  <c r="AD929" i="13"/>
  <c r="AD649" i="13"/>
  <c r="AD336" i="13"/>
  <c r="W1105" i="13"/>
  <c r="W1097" i="13"/>
  <c r="W1089" i="13"/>
  <c r="W1081" i="13"/>
  <c r="W1065" i="13"/>
  <c r="W1057" i="13"/>
  <c r="W1041" i="13"/>
  <c r="W1033" i="13"/>
  <c r="W1025" i="13"/>
  <c r="W1017" i="13"/>
  <c r="W1009" i="13"/>
  <c r="W1001" i="13"/>
  <c r="W993" i="13"/>
  <c r="W969" i="13"/>
  <c r="W224" i="13"/>
  <c r="W392" i="13"/>
  <c r="W657" i="13"/>
  <c r="W649" i="13"/>
  <c r="W1073" i="13"/>
  <c r="W905" i="13"/>
  <c r="Z713" i="13"/>
  <c r="Z705" i="13"/>
  <c r="X673" i="13"/>
  <c r="X665" i="13"/>
  <c r="Z593" i="13"/>
  <c r="Y585" i="13"/>
  <c r="W577" i="13"/>
  <c r="Z857" i="13"/>
  <c r="Z793" i="13"/>
  <c r="Z529" i="13"/>
  <c r="Z497" i="13"/>
  <c r="Z432" i="13"/>
  <c r="Z456" i="13"/>
  <c r="Z376" i="13"/>
  <c r="Z360" i="13"/>
  <c r="Z272" i="13"/>
  <c r="Z913" i="13"/>
  <c r="Z232" i="13"/>
  <c r="Z344" i="13"/>
  <c r="Z288" i="13"/>
  <c r="Z184" i="13"/>
  <c r="Z264" i="13"/>
  <c r="Z152" i="13"/>
  <c r="Z96" i="13"/>
  <c r="Z80" i="13"/>
  <c r="Z48" i="13"/>
  <c r="Z32" i="13"/>
  <c r="AB1105" i="13"/>
  <c r="AA1097" i="13"/>
  <c r="AB1041" i="13"/>
  <c r="AB969" i="13"/>
  <c r="AA985" i="13"/>
  <c r="AA945" i="13"/>
  <c r="AC729" i="13"/>
  <c r="AC585" i="13"/>
  <c r="AC505" i="13"/>
  <c r="AC472" i="13"/>
  <c r="AC440" i="13"/>
  <c r="AC408" i="13"/>
  <c r="AB352" i="13"/>
  <c r="AB312" i="13"/>
  <c r="AB256" i="13"/>
  <c r="AA232" i="13"/>
  <c r="AB264" i="13"/>
  <c r="AB136" i="13"/>
  <c r="AE945" i="13"/>
  <c r="AE641" i="13"/>
  <c r="AE633" i="13"/>
  <c r="AE625" i="13"/>
  <c r="AZ2777" i="3"/>
  <c r="AR2729" i="3"/>
  <c r="AV2721" i="3"/>
  <c r="AZ2713" i="3"/>
  <c r="AR2665" i="3"/>
  <c r="AV2657" i="3"/>
  <c r="AZ2649" i="3"/>
  <c r="AY2513" i="3"/>
  <c r="AU2457" i="3"/>
  <c r="AW2353" i="3"/>
  <c r="AW2137" i="3"/>
  <c r="AT2033" i="3"/>
  <c r="Y1089" i="13"/>
  <c r="Y993" i="13"/>
  <c r="Y657" i="13"/>
  <c r="Y1073" i="13"/>
  <c r="Z489" i="13"/>
  <c r="Z448" i="13"/>
  <c r="Z312" i="13"/>
  <c r="Z144" i="13"/>
  <c r="AC176" i="13"/>
  <c r="AC392" i="13"/>
  <c r="AB657" i="13"/>
  <c r="AC497" i="13"/>
  <c r="AE336" i="13"/>
  <c r="AE328" i="13"/>
  <c r="AD809" i="13"/>
  <c r="AD825" i="13"/>
  <c r="AD432" i="13"/>
  <c r="AD817" i="13"/>
  <c r="AD505" i="13"/>
  <c r="AD144" i="13"/>
  <c r="AD793" i="13"/>
  <c r="AD545" i="13"/>
  <c r="AD705" i="13"/>
  <c r="AD945" i="13"/>
  <c r="AD1105" i="13"/>
  <c r="AD521" i="13"/>
  <c r="AD184" i="13"/>
  <c r="AD481" i="13"/>
  <c r="AD112" i="13"/>
  <c r="AD585" i="13"/>
  <c r="AD721" i="13"/>
  <c r="AD72" i="13"/>
  <c r="AD248" i="13"/>
  <c r="AD857" i="13"/>
  <c r="Z977" i="13"/>
  <c r="Z1049" i="13"/>
  <c r="Z761" i="13"/>
  <c r="Z961" i="13"/>
  <c r="Z937" i="13"/>
  <c r="Z200" i="13"/>
  <c r="Z921" i="13"/>
  <c r="Z176" i="13"/>
  <c r="Z889" i="13"/>
  <c r="Z881" i="13"/>
  <c r="Z873" i="13"/>
  <c r="Z985" i="13"/>
  <c r="Z865" i="13"/>
  <c r="Z841" i="13"/>
  <c r="Z833" i="13"/>
  <c r="Z825" i="13"/>
  <c r="Z817" i="13"/>
  <c r="Z561" i="13"/>
  <c r="Z40" i="13"/>
  <c r="Z809" i="13"/>
  <c r="Z801" i="13"/>
  <c r="Z785" i="13"/>
  <c r="Z777" i="13"/>
  <c r="Z769" i="13"/>
  <c r="Z953" i="13"/>
  <c r="Z945" i="13"/>
  <c r="Z745" i="13"/>
  <c r="Z737" i="13"/>
  <c r="Z729" i="13"/>
  <c r="Y713" i="13"/>
  <c r="Y705" i="13"/>
  <c r="W673" i="13"/>
  <c r="W665" i="13"/>
  <c r="Z601" i="13"/>
  <c r="Y593" i="13"/>
  <c r="W585" i="13"/>
  <c r="W857" i="13"/>
  <c r="W793" i="13"/>
  <c r="W529" i="13"/>
  <c r="W497" i="13"/>
  <c r="W432" i="13"/>
  <c r="W456" i="13"/>
  <c r="W376" i="13"/>
  <c r="W360" i="13"/>
  <c r="W272" i="13"/>
  <c r="W913" i="13"/>
  <c r="W232" i="13"/>
  <c r="W344" i="13"/>
  <c r="W288" i="13"/>
  <c r="W184" i="13"/>
  <c r="W264" i="13"/>
  <c r="W152" i="13"/>
  <c r="W96" i="13"/>
  <c r="W80" i="13"/>
  <c r="W48" i="13"/>
  <c r="W32" i="13"/>
  <c r="AA1105" i="13"/>
  <c r="AB1057" i="13"/>
  <c r="AA1041" i="13"/>
  <c r="AB993" i="13"/>
  <c r="AA969" i="13"/>
  <c r="AC200" i="13"/>
  <c r="AC881" i="13"/>
  <c r="AC825" i="13"/>
  <c r="AC809" i="13"/>
  <c r="AC769" i="13"/>
  <c r="AC705" i="13"/>
  <c r="AC368" i="13"/>
  <c r="AA208" i="13"/>
  <c r="AA160" i="13"/>
  <c r="AA120" i="13"/>
  <c r="AA64" i="13"/>
  <c r="AC112" i="13"/>
  <c r="AE673" i="13"/>
  <c r="AE665" i="13"/>
  <c r="AE913" i="13"/>
  <c r="AV2777" i="3"/>
  <c r="AZ2769" i="3"/>
  <c r="AR2721" i="3"/>
  <c r="AV2713" i="3"/>
  <c r="AZ2705" i="3"/>
  <c r="AR2657" i="3"/>
  <c r="AV2649" i="3"/>
  <c r="AZ2641" i="3"/>
  <c r="AV2521" i="3"/>
  <c r="AY2409" i="3"/>
  <c r="AU2361" i="3"/>
  <c r="AW2145" i="3"/>
  <c r="AS2017" i="3"/>
  <c r="L526" i="12"/>
  <c r="M526" i="12" s="1"/>
  <c r="AS1456" i="3"/>
  <c r="BA1456" i="3"/>
  <c r="AS1424" i="3"/>
  <c r="BA1424" i="3"/>
  <c r="AT1416" i="3"/>
  <c r="AV1416" i="3"/>
  <c r="AS1408" i="3"/>
  <c r="BA1408" i="3"/>
  <c r="AZ1408" i="3"/>
  <c r="AV1400" i="3"/>
  <c r="AY1400" i="3"/>
  <c r="BA1400" i="3"/>
  <c r="AV1392" i="3"/>
  <c r="AY1392" i="3"/>
  <c r="AU1392" i="3"/>
  <c r="AY1384" i="3"/>
  <c r="AT1384" i="3"/>
  <c r="AW1384" i="3"/>
  <c r="AZ1384" i="3"/>
  <c r="AW1376" i="3"/>
  <c r="AZ1376" i="3"/>
  <c r="AT1376" i="3"/>
  <c r="BA1376" i="3"/>
  <c r="AT1368" i="3"/>
  <c r="AW1368" i="3"/>
  <c r="AZ1368" i="3"/>
  <c r="AS1360" i="3"/>
  <c r="AV1360" i="3"/>
  <c r="AY1352" i="3"/>
  <c r="AX1352" i="3"/>
  <c r="AS1352" i="3"/>
  <c r="AU1352" i="3"/>
  <c r="AV1344" i="3"/>
  <c r="AT1344" i="3"/>
  <c r="AX1344" i="3"/>
  <c r="AW1344" i="3"/>
  <c r="AT1336" i="3"/>
  <c r="AU1336" i="3"/>
  <c r="AZ1336" i="3"/>
  <c r="AS1336" i="3"/>
  <c r="AX1336" i="3"/>
  <c r="AX1328" i="3"/>
  <c r="AS1328" i="3"/>
  <c r="AU1328" i="3"/>
  <c r="AY1328" i="3"/>
  <c r="AZ1328" i="3"/>
  <c r="AT1320" i="3"/>
  <c r="AY1320" i="3"/>
  <c r="AZ1320" i="3"/>
  <c r="AS1320" i="3"/>
  <c r="BA1320" i="3"/>
  <c r="AV1312" i="3"/>
  <c r="AT1312" i="3"/>
  <c r="AR1312" i="3"/>
  <c r="AW1312" i="3"/>
  <c r="AZ1312" i="3"/>
  <c r="AY1304" i="3"/>
  <c r="AZ1304" i="3"/>
  <c r="AU1304" i="3"/>
  <c r="AX1304" i="3"/>
  <c r="AW1304" i="3"/>
  <c r="AY1296" i="3"/>
  <c r="AV1296" i="3"/>
  <c r="AZ1296" i="3"/>
  <c r="AS1296" i="3"/>
  <c r="AW1296" i="3"/>
  <c r="AZ1288" i="3"/>
  <c r="AU1288" i="3"/>
  <c r="AT1288" i="3"/>
  <c r="AV1280" i="3"/>
  <c r="AX1280" i="3"/>
  <c r="AU1280" i="3"/>
  <c r="AZ1280" i="3"/>
  <c r="AS1280" i="3"/>
  <c r="AW1272" i="3"/>
  <c r="AS1272" i="3"/>
  <c r="AY1272" i="3"/>
  <c r="AR1272" i="3"/>
  <c r="AW1264" i="3"/>
  <c r="AT1264" i="3"/>
  <c r="AU1256" i="3"/>
  <c r="AZ1256" i="3"/>
  <c r="BA1256" i="3"/>
  <c r="AR1256" i="3"/>
  <c r="AW1256" i="3"/>
  <c r="AR1248" i="3"/>
  <c r="BA1248" i="3"/>
  <c r="AX1248" i="3"/>
  <c r="AV1240" i="3"/>
  <c r="AZ1240" i="3"/>
  <c r="AU1240" i="3"/>
  <c r="AY1240" i="3"/>
  <c r="AT1240" i="3"/>
  <c r="AR1232" i="3"/>
  <c r="AT1232" i="3"/>
  <c r="AZ1232" i="3"/>
  <c r="AR1224" i="3"/>
  <c r="AV1224" i="3"/>
  <c r="AU1224" i="3"/>
  <c r="AW1216" i="3"/>
  <c r="AV1216" i="3"/>
  <c r="AX1216" i="3"/>
  <c r="AX1208" i="3"/>
  <c r="AR1208" i="3"/>
  <c r="AV1208" i="3"/>
  <c r="AU1200" i="3"/>
  <c r="AS1200" i="3"/>
  <c r="AX1200" i="3"/>
  <c r="BA1200" i="3"/>
  <c r="AW1184" i="3"/>
  <c r="AV1184" i="3"/>
  <c r="AV1176" i="3"/>
  <c r="AZ1176" i="3"/>
  <c r="BA1176" i="3"/>
  <c r="AX1168" i="3"/>
  <c r="AY1168" i="3"/>
  <c r="AZ1168" i="3"/>
  <c r="AU1160" i="3"/>
  <c r="AZ1160" i="3"/>
  <c r="AW1152" i="3"/>
  <c r="AX1152" i="3"/>
  <c r="AV1152" i="3"/>
  <c r="AS1144" i="3"/>
  <c r="AV1144" i="3"/>
  <c r="AT1144" i="3"/>
  <c r="AU1144" i="3"/>
  <c r="AZ1136" i="3"/>
  <c r="AY1136" i="3"/>
  <c r="AT1136" i="3"/>
  <c r="AY1128" i="3"/>
  <c r="AR1128" i="3"/>
  <c r="AX1128" i="3"/>
  <c r="AS1120" i="3"/>
  <c r="AY1120" i="3"/>
  <c r="AV1120" i="3"/>
  <c r="AT1120" i="3"/>
  <c r="AR1112" i="3"/>
  <c r="AU1112" i="3"/>
  <c r="AY1112" i="3"/>
  <c r="AX1104" i="3"/>
  <c r="AY1104" i="3"/>
  <c r="AW1104" i="3"/>
  <c r="BA1096" i="3"/>
  <c r="AW1096" i="3"/>
  <c r="AS1096" i="3"/>
  <c r="AX1088" i="3"/>
  <c r="AV1088" i="3"/>
  <c r="AW1080" i="3"/>
  <c r="AS1080" i="3"/>
  <c r="AY1064" i="3"/>
  <c r="AT1064" i="3"/>
  <c r="AV1056" i="3"/>
  <c r="AW1056" i="3"/>
  <c r="BA1056" i="3"/>
  <c r="AW1048" i="3"/>
  <c r="AV1048" i="3"/>
  <c r="AR1048" i="3"/>
  <c r="AV1040" i="3"/>
  <c r="AZ1040" i="3"/>
  <c r="AY1040" i="3"/>
  <c r="BA1032" i="3"/>
  <c r="AU1032" i="3"/>
  <c r="AT1032" i="3"/>
  <c r="AZ1032" i="3"/>
  <c r="AU1024" i="3"/>
  <c r="BA1024" i="3"/>
  <c r="AV1024" i="3"/>
  <c r="AW1016" i="3"/>
  <c r="AZ1016" i="3"/>
  <c r="AS1016" i="3"/>
  <c r="BA1008" i="3"/>
  <c r="AU1008" i="3"/>
  <c r="AZ1008" i="3"/>
  <c r="AW1000" i="3"/>
  <c r="AV1000" i="3"/>
  <c r="AR992" i="3"/>
  <c r="AY992" i="3"/>
  <c r="AW984" i="3"/>
  <c r="AX984" i="3"/>
  <c r="AV984" i="3"/>
  <c r="AR968" i="3"/>
  <c r="AS968" i="3"/>
  <c r="AZ968" i="3"/>
  <c r="AY960" i="3"/>
  <c r="AV960" i="3"/>
  <c r="AT952" i="3"/>
  <c r="AU952" i="3"/>
  <c r="AX952" i="3"/>
  <c r="AS936" i="3"/>
  <c r="AV936" i="3"/>
  <c r="AT936" i="3"/>
  <c r="AW912" i="3"/>
  <c r="AT912" i="3"/>
  <c r="AX912" i="3"/>
  <c r="AV856" i="3"/>
  <c r="AT856" i="3"/>
  <c r="AU832" i="3"/>
  <c r="AZ832" i="3"/>
  <c r="AT816" i="3"/>
  <c r="AU816" i="3"/>
  <c r="AV808" i="3"/>
  <c r="AR808" i="3"/>
  <c r="AY800" i="3"/>
  <c r="AU800" i="3"/>
  <c r="AY1471" i="3"/>
  <c r="BA1471" i="3"/>
  <c r="AT1447" i="3"/>
  <c r="AX1447" i="3"/>
  <c r="AU1439" i="3"/>
  <c r="AS1439" i="3"/>
  <c r="AV1431" i="3"/>
  <c r="AY1431" i="3"/>
  <c r="AW1423" i="3"/>
  <c r="AR1423" i="3"/>
  <c r="AX1415" i="3"/>
  <c r="AT1415" i="3"/>
  <c r="AU1415" i="3"/>
  <c r="AW1407" i="3"/>
  <c r="AR1407" i="3"/>
  <c r="BA1407" i="3"/>
  <c r="AW1399" i="3"/>
  <c r="AU1399" i="3"/>
  <c r="BA1399" i="3"/>
  <c r="AZ1399" i="3"/>
  <c r="AS1391" i="3"/>
  <c r="AY1391" i="3"/>
  <c r="AX1383" i="3"/>
  <c r="AW1383" i="3"/>
  <c r="BA1375" i="3"/>
  <c r="AR1375" i="3"/>
  <c r="AV1375" i="3"/>
  <c r="AX1367" i="3"/>
  <c r="BA1367" i="3"/>
  <c r="AZ1367" i="3"/>
  <c r="AS1359" i="3"/>
  <c r="BA1359" i="3"/>
  <c r="AS1343" i="3"/>
  <c r="AV1343" i="3"/>
  <c r="AR1335" i="3"/>
  <c r="AZ1335" i="3"/>
  <c r="AV1327" i="3"/>
  <c r="AS1327" i="3"/>
  <c r="AZ1319" i="3"/>
  <c r="AY1319" i="3"/>
  <c r="AW1319" i="3"/>
  <c r="AR1311" i="3"/>
  <c r="AS1311" i="3"/>
  <c r="AT1311" i="3"/>
  <c r="AZ1303" i="3"/>
  <c r="AU1303" i="3"/>
  <c r="AT1295" i="3"/>
  <c r="AV1295" i="3"/>
  <c r="BA1287" i="3"/>
  <c r="AX1287" i="3"/>
  <c r="AY1279" i="3"/>
  <c r="AU1279" i="3"/>
  <c r="AZ1279" i="3"/>
  <c r="AX1271" i="3"/>
  <c r="BA1271" i="3"/>
  <c r="AY1263" i="3"/>
  <c r="AW1263" i="3"/>
  <c r="AZ1263" i="3"/>
  <c r="AX1263" i="3"/>
  <c r="AR1255" i="3"/>
  <c r="AX1255" i="3"/>
  <c r="AW1255" i="3"/>
  <c r="AY1247" i="3"/>
  <c r="AZ1247" i="3"/>
  <c r="AU1247" i="3"/>
  <c r="AV1239" i="3"/>
  <c r="AY1239" i="3"/>
  <c r="AW1239" i="3"/>
  <c r="BA1231" i="3"/>
  <c r="AR1231" i="3"/>
  <c r="AX1223" i="3"/>
  <c r="AY1223" i="3"/>
  <c r="BA1191" i="3"/>
  <c r="AX1191" i="3"/>
  <c r="AZ1175" i="3"/>
  <c r="AW1175" i="3"/>
  <c r="AU1167" i="3"/>
  <c r="AZ1167" i="3"/>
  <c r="AT1159" i="3"/>
  <c r="AR1159" i="3"/>
  <c r="AS1159" i="3"/>
  <c r="BA1151" i="3"/>
  <c r="AY1151" i="3"/>
  <c r="AR1135" i="3"/>
  <c r="AW1135" i="3"/>
  <c r="AW1127" i="3"/>
  <c r="BA1127" i="3"/>
  <c r="AR1119" i="3"/>
  <c r="AY1119" i="3"/>
  <c r="AZ1111" i="3"/>
  <c r="AR1111" i="3"/>
  <c r="AR1063" i="3"/>
  <c r="AX1063" i="3"/>
  <c r="AV1055" i="3"/>
  <c r="AX1055" i="3"/>
  <c r="AY1039" i="3"/>
  <c r="BA1039" i="3"/>
  <c r="AR1031" i="3"/>
  <c r="AU1031" i="3"/>
  <c r="AT895" i="3"/>
  <c r="AR895" i="3"/>
  <c r="AS879" i="3"/>
  <c r="AU879" i="3"/>
  <c r="AY879" i="3"/>
  <c r="AX359" i="3"/>
  <c r="AY359" i="3"/>
  <c r="AR319" i="3"/>
  <c r="AS319" i="3"/>
  <c r="AZ1544" i="3"/>
  <c r="BA1520" i="3"/>
  <c r="AS1472" i="3"/>
  <c r="AX1464" i="3"/>
  <c r="AY1456" i="3"/>
  <c r="AT1448" i="3"/>
  <c r="AV1440" i="3"/>
  <c r="AX1432" i="3"/>
  <c r="AX1424" i="3"/>
  <c r="AY1416" i="3"/>
  <c r="AW1415" i="3"/>
  <c r="AZ1407" i="3"/>
  <c r="AX1400" i="3"/>
  <c r="AS1399" i="3"/>
  <c r="AV1391" i="3"/>
  <c r="AR1384" i="3"/>
  <c r="AW1375" i="3"/>
  <c r="AY1367" i="3"/>
  <c r="AW1359" i="3"/>
  <c r="AZ1351" i="3"/>
  <c r="AY1343" i="3"/>
  <c r="AY1335" i="3"/>
  <c r="AW1327" i="3"/>
  <c r="AR1319" i="3"/>
  <c r="AX1312" i="3"/>
  <c r="AR1304" i="3"/>
  <c r="AU1295" i="3"/>
  <c r="AX1288" i="3"/>
  <c r="AW1280" i="3"/>
  <c r="AT1272" i="3"/>
  <c r="AR1263" i="3"/>
  <c r="AT1256" i="3"/>
  <c r="AV1232" i="3"/>
  <c r="BA1224" i="3"/>
  <c r="BA1208" i="3"/>
  <c r="AZ1200" i="3"/>
  <c r="AZ1192" i="3"/>
  <c r="BA1184" i="3"/>
  <c r="AX1176" i="3"/>
  <c r="AS1168" i="3"/>
  <c r="AZ1128" i="3"/>
  <c r="AR1120" i="3"/>
  <c r="BA1111" i="3"/>
  <c r="AZ1103" i="3"/>
  <c r="AT1088" i="3"/>
  <c r="AX1080" i="3"/>
  <c r="AS1072" i="3"/>
  <c r="AU1048" i="3"/>
  <c r="BA1040" i="3"/>
  <c r="AS1031" i="3"/>
  <c r="AW1008" i="3"/>
  <c r="AS1000" i="3"/>
  <c r="AS976" i="3"/>
  <c r="AU960" i="3"/>
  <c r="AZ943" i="3"/>
  <c r="BA888" i="3"/>
  <c r="AZ856" i="3"/>
  <c r="AW768" i="3"/>
  <c r="BA600" i="3"/>
  <c r="M516" i="12"/>
  <c r="L516" i="12"/>
  <c r="AV1408" i="3"/>
  <c r="AS1400" i="3"/>
  <c r="AW1392" i="3"/>
  <c r="AX1384" i="3"/>
  <c r="AV1376" i="3"/>
  <c r="AV1368" i="3"/>
  <c r="AW1360" i="3"/>
  <c r="AW1352" i="3"/>
  <c r="AY1344" i="3"/>
  <c r="AW1336" i="3"/>
  <c r="AV1328" i="3"/>
  <c r="AU1320" i="3"/>
  <c r="BA1304" i="3"/>
  <c r="AU1296" i="3"/>
  <c r="AZ1272" i="3"/>
  <c r="AV1264" i="3"/>
  <c r="AT1248" i="3"/>
  <c r="AW1240" i="3"/>
  <c r="BA1160" i="3"/>
  <c r="AS1152" i="3"/>
  <c r="AT1096" i="3"/>
  <c r="AS1064" i="3"/>
  <c r="AR1016" i="3"/>
  <c r="AY984" i="3"/>
  <c r="AY968" i="3"/>
  <c r="AW800" i="3"/>
  <c r="AX736" i="3"/>
  <c r="AS1302" i="3"/>
  <c r="AT1302" i="3"/>
  <c r="BA1286" i="3"/>
  <c r="AX1286" i="3"/>
  <c r="AY1270" i="3"/>
  <c r="AT1270" i="3"/>
  <c r="AX1246" i="3"/>
  <c r="AR1246" i="3"/>
  <c r="AZ1230" i="3"/>
  <c r="AR1230" i="3"/>
  <c r="AZ1214" i="3"/>
  <c r="AW1214" i="3"/>
  <c r="AY1235" i="3"/>
  <c r="AU1235" i="3"/>
  <c r="BA1211" i="3"/>
  <c r="AW1211" i="3"/>
  <c r="AZ571" i="3"/>
  <c r="AX571" i="3"/>
  <c r="AY1330" i="3"/>
  <c r="AW1330" i="3"/>
  <c r="AT1941" i="3"/>
  <c r="BA1933" i="3"/>
  <c r="AS1933" i="3"/>
  <c r="AY1925" i="3"/>
  <c r="AV1917" i="3"/>
  <c r="AS1909" i="3"/>
  <c r="AY1901" i="3"/>
  <c r="AT1883" i="3"/>
  <c r="AR1877" i="3"/>
  <c r="AV1875" i="3"/>
  <c r="AV1869" i="3"/>
  <c r="AW1867" i="3"/>
  <c r="AX1861" i="3"/>
  <c r="AW1859" i="3"/>
  <c r="AW1853" i="3"/>
  <c r="AW1851" i="3"/>
  <c r="AU1845" i="3"/>
  <c r="AW1843" i="3"/>
  <c r="AT1837" i="3"/>
  <c r="AW1835" i="3"/>
  <c r="AT1821" i="3"/>
  <c r="AT1819" i="3"/>
  <c r="AV1811" i="3"/>
  <c r="BA1803" i="3"/>
  <c r="AS1795" i="3"/>
  <c r="AU1789" i="3"/>
  <c r="AW1555" i="3"/>
  <c r="AR1483" i="3"/>
  <c r="AV1459" i="3"/>
  <c r="AT1419" i="3"/>
  <c r="AS1347" i="3"/>
  <c r="AW1131" i="3"/>
  <c r="AX1782" i="3"/>
  <c r="AT1782" i="3"/>
  <c r="AX1774" i="3"/>
  <c r="AT1774" i="3"/>
  <c r="AY1766" i="3"/>
  <c r="AU1766" i="3"/>
  <c r="AX1758" i="3"/>
  <c r="AT1758" i="3"/>
  <c r="AU1750" i="3"/>
  <c r="AY1750" i="3"/>
  <c r="AS1742" i="3"/>
  <c r="AY1742" i="3"/>
  <c r="AW1734" i="3"/>
  <c r="AR1734" i="3"/>
  <c r="BA1726" i="3"/>
  <c r="AU1726" i="3"/>
  <c r="AU1718" i="3"/>
  <c r="AZ1718" i="3"/>
  <c r="AW1710" i="3"/>
  <c r="AR1710" i="3"/>
  <c r="AX1702" i="3"/>
  <c r="AS1702" i="3"/>
  <c r="AR1670" i="3"/>
  <c r="AZ1670" i="3"/>
  <c r="AT1366" i="3"/>
  <c r="AU1366" i="3"/>
  <c r="BA1366" i="3"/>
  <c r="AR1358" i="3"/>
  <c r="AY1358" i="3"/>
  <c r="AR1342" i="3"/>
  <c r="AU1342" i="3"/>
  <c r="AV1334" i="3"/>
  <c r="BA1334" i="3"/>
  <c r="AW1326" i="3"/>
  <c r="AX1326" i="3"/>
  <c r="AZ1318" i="3"/>
  <c r="AR1318" i="3"/>
  <c r="AW1318" i="3"/>
  <c r="AZ1294" i="3"/>
  <c r="AT1294" i="3"/>
  <c r="AX1126" i="3"/>
  <c r="AY1126" i="3"/>
  <c r="AR910" i="3"/>
  <c r="BA910" i="3"/>
  <c r="AU886" i="3"/>
  <c r="AV886" i="3"/>
  <c r="L58" i="12"/>
  <c r="AY1749" i="3"/>
  <c r="AW1749" i="3"/>
  <c r="AR1787" i="3"/>
  <c r="AX1787" i="3"/>
  <c r="AR1779" i="3"/>
  <c r="AX1779" i="3"/>
  <c r="AS1771" i="3"/>
  <c r="AW1771" i="3"/>
  <c r="AS1763" i="3"/>
  <c r="AY1763" i="3"/>
  <c r="AY1747" i="3"/>
  <c r="AS1747" i="3"/>
  <c r="AU1739" i="3"/>
  <c r="AY1739" i="3"/>
  <c r="AX1731" i="3"/>
  <c r="AR1731" i="3"/>
  <c r="BA1723" i="3"/>
  <c r="AU1723" i="3"/>
  <c r="AT1715" i="3"/>
  <c r="AX1715" i="3"/>
  <c r="AV1707" i="3"/>
  <c r="AZ1707" i="3"/>
  <c r="AV1699" i="3"/>
  <c r="AR1699" i="3"/>
  <c r="BA1691" i="3"/>
  <c r="AT1691" i="3"/>
  <c r="AZ1675" i="3"/>
  <c r="AY1675" i="3"/>
  <c r="AT1667" i="3"/>
  <c r="AX1667" i="3"/>
  <c r="AR1643" i="3"/>
  <c r="AW1643" i="3"/>
  <c r="AX1635" i="3"/>
  <c r="AR1635" i="3"/>
  <c r="AZ1627" i="3"/>
  <c r="AU1627" i="3"/>
  <c r="AS1603" i="3"/>
  <c r="AV1603" i="3"/>
  <c r="AR1595" i="3"/>
  <c r="BA1595" i="3"/>
  <c r="AX1571" i="3"/>
  <c r="AW1571" i="3"/>
  <c r="AX1563" i="3"/>
  <c r="AV1563" i="3"/>
  <c r="BA1547" i="3"/>
  <c r="AW1547" i="3"/>
  <c r="AR1531" i="3"/>
  <c r="AU1531" i="3"/>
  <c r="BA1523" i="3"/>
  <c r="AS1523" i="3"/>
  <c r="BA1475" i="3"/>
  <c r="AZ1475" i="3"/>
  <c r="AW1387" i="3"/>
  <c r="AU1387" i="3"/>
  <c r="BA1251" i="3"/>
  <c r="AX1251" i="3"/>
  <c r="AV1147" i="3"/>
  <c r="AS1147" i="3"/>
  <c r="BA1995" i="3"/>
  <c r="AZ1987" i="3"/>
  <c r="BA1965" i="3"/>
  <c r="AZ1957" i="3"/>
  <c r="AX1941" i="3"/>
  <c r="AW1933" i="3"/>
  <c r="BA1931" i="3"/>
  <c r="AU1925" i="3"/>
  <c r="BA1917" i="3"/>
  <c r="AR1917" i="3"/>
  <c r="AY1909" i="3"/>
  <c r="BA1907" i="3"/>
  <c r="AR1901" i="3"/>
  <c r="AU1893" i="3"/>
  <c r="AX1885" i="3"/>
  <c r="AX1883" i="3"/>
  <c r="BA1877" i="3"/>
  <c r="AZ1875" i="3"/>
  <c r="AR1875" i="3"/>
  <c r="BA1867" i="3"/>
  <c r="AS1867" i="3"/>
  <c r="BA1859" i="3"/>
  <c r="AS1859" i="3"/>
  <c r="BA1851" i="3"/>
  <c r="AR1851" i="3"/>
  <c r="BA1843" i="3"/>
  <c r="AR1843" i="3"/>
  <c r="BA1835" i="3"/>
  <c r="AW1827" i="3"/>
  <c r="AX1819" i="3"/>
  <c r="AR1811" i="3"/>
  <c r="AZ1805" i="3"/>
  <c r="AW1803" i="3"/>
  <c r="AW1795" i="3"/>
  <c r="AZ1787" i="3"/>
  <c r="AT1771" i="3"/>
  <c r="AX1763" i="3"/>
  <c r="AX1755" i="3"/>
  <c r="AZ1747" i="3"/>
  <c r="AW1739" i="3"/>
  <c r="AZ1723" i="3"/>
  <c r="AV1715" i="3"/>
  <c r="BA1707" i="3"/>
  <c r="AU1699" i="3"/>
  <c r="AR1653" i="3"/>
  <c r="AV1651" i="3"/>
  <c r="AR1579" i="3"/>
  <c r="AT1507" i="3"/>
  <c r="AX1475" i="3"/>
  <c r="AY1443" i="3"/>
  <c r="AU1417" i="3"/>
  <c r="AX1377" i="3"/>
  <c r="AR1374" i="3"/>
  <c r="AR1254" i="3"/>
  <c r="AW1190" i="3"/>
  <c r="AU934" i="3"/>
  <c r="AT1925" i="3"/>
  <c r="AZ1917" i="3"/>
  <c r="AW1909" i="3"/>
  <c r="AT1893" i="3"/>
  <c r="AT1885" i="3"/>
  <c r="AZ1877" i="3"/>
  <c r="AZ1867" i="3"/>
  <c r="AZ1859" i="3"/>
  <c r="AZ1851" i="3"/>
  <c r="AZ1843" i="3"/>
  <c r="AY1829" i="3"/>
  <c r="AR1805" i="3"/>
  <c r="AY1787" i="3"/>
  <c r="AR1773" i="3"/>
  <c r="AR1771" i="3"/>
  <c r="AW1763" i="3"/>
  <c r="AW1755" i="3"/>
  <c r="AV1747" i="3"/>
  <c r="AV1739" i="3"/>
  <c r="AY1723" i="3"/>
  <c r="AU1715" i="3"/>
  <c r="AY1707" i="3"/>
  <c r="AT1699" i="3"/>
  <c r="AR1651" i="3"/>
  <c r="AW1619" i="3"/>
  <c r="AY1603" i="3"/>
  <c r="AW1563" i="3"/>
  <c r="AY1531" i="3"/>
  <c r="AZ1523" i="3"/>
  <c r="AR1475" i="3"/>
  <c r="AW1451" i="3"/>
  <c r="AS1427" i="3"/>
  <c r="AS931" i="3"/>
  <c r="AZ1785" i="3"/>
  <c r="AR1785" i="3"/>
  <c r="AX1785" i="3"/>
  <c r="AU1777" i="3"/>
  <c r="AR1777" i="3"/>
  <c r="AZ1777" i="3"/>
  <c r="AR1769" i="3"/>
  <c r="AU1769" i="3"/>
  <c r="BA1769" i="3"/>
  <c r="AX1761" i="3"/>
  <c r="AR1761" i="3"/>
  <c r="BA1761" i="3"/>
  <c r="AS1753" i="3"/>
  <c r="AW1753" i="3"/>
  <c r="BA1745" i="3"/>
  <c r="AZ1745" i="3"/>
  <c r="AS1745" i="3"/>
  <c r="AS1737" i="3"/>
  <c r="AR1737" i="3"/>
  <c r="BA1737" i="3"/>
  <c r="AX1729" i="3"/>
  <c r="AW1729" i="3"/>
  <c r="BA1721" i="3"/>
  <c r="AW1721" i="3"/>
  <c r="AR1713" i="3"/>
  <c r="AU1713" i="3"/>
  <c r="BA1713" i="3"/>
  <c r="AW1705" i="3"/>
  <c r="AS1705" i="3"/>
  <c r="BA1697" i="3"/>
  <c r="AX1697" i="3"/>
  <c r="AR1697" i="3"/>
  <c r="AR1689" i="3"/>
  <c r="BA1689" i="3"/>
  <c r="AU1689" i="3"/>
  <c r="AS1681" i="3"/>
  <c r="AW1681" i="3"/>
  <c r="AX1673" i="3"/>
  <c r="AS1673" i="3"/>
  <c r="AZ1665" i="3"/>
  <c r="AX1665" i="3"/>
  <c r="AX1657" i="3"/>
  <c r="AW1657" i="3"/>
  <c r="AT1649" i="3"/>
  <c r="AW1649" i="3"/>
  <c r="AU1641" i="3"/>
  <c r="AT1641" i="3"/>
  <c r="AU1609" i="3"/>
  <c r="AT1609" i="3"/>
  <c r="AX1601" i="3"/>
  <c r="AT1601" i="3"/>
  <c r="AU1593" i="3"/>
  <c r="AT1593" i="3"/>
  <c r="AT1585" i="3"/>
  <c r="AX1585" i="3"/>
  <c r="AT1577" i="3"/>
  <c r="AU1577" i="3"/>
  <c r="AX1561" i="3"/>
  <c r="AU1561" i="3"/>
  <c r="AU1545" i="3"/>
  <c r="AZ1545" i="3"/>
  <c r="AZ1537" i="3"/>
  <c r="AR1537" i="3"/>
  <c r="AU1529" i="3"/>
  <c r="AY1529" i="3"/>
  <c r="AV1521" i="3"/>
  <c r="AU1521" i="3"/>
  <c r="AT1513" i="3"/>
  <c r="AX1513" i="3"/>
  <c r="BA1505" i="3"/>
  <c r="AS1505" i="3"/>
  <c r="AU1489" i="3"/>
  <c r="AY1489" i="3"/>
  <c r="AV1481" i="3"/>
  <c r="BA1481" i="3"/>
  <c r="AY1473" i="3"/>
  <c r="AZ1473" i="3"/>
  <c r="AZ1465" i="3"/>
  <c r="AV1465" i="3"/>
  <c r="AV1457" i="3"/>
  <c r="AX1457" i="3"/>
  <c r="AZ1449" i="3"/>
  <c r="AX1449" i="3"/>
  <c r="AZ1441" i="3"/>
  <c r="BA1441" i="3"/>
  <c r="AS1433" i="3"/>
  <c r="AU1433" i="3"/>
  <c r="AU1425" i="3"/>
  <c r="AY1425" i="3"/>
  <c r="AU1409" i="3"/>
  <c r="AV1409" i="3"/>
  <c r="AZ1393" i="3"/>
  <c r="AX1393" i="3"/>
  <c r="AR1393" i="3"/>
  <c r="AU1353" i="3"/>
  <c r="AV1353" i="3"/>
  <c r="AU1313" i="3"/>
  <c r="AV1313" i="3"/>
  <c r="AZ1313" i="3"/>
  <c r="BA1305" i="3"/>
  <c r="AT1305" i="3"/>
  <c r="AV1281" i="3"/>
  <c r="BA1281" i="3"/>
  <c r="AU1265" i="3"/>
  <c r="AW1265" i="3"/>
  <c r="AY1233" i="3"/>
  <c r="AR1233" i="3"/>
  <c r="AS1268" i="3"/>
  <c r="BA1268" i="3"/>
  <c r="AR1260" i="3"/>
  <c r="AY1260" i="3"/>
  <c r="AT1244" i="3"/>
  <c r="AZ1244" i="3"/>
  <c r="AX1220" i="3"/>
  <c r="AS1220" i="3"/>
  <c r="AS1196" i="3"/>
  <c r="BA1196" i="3"/>
  <c r="AZ1180" i="3"/>
  <c r="AX1180" i="3"/>
  <c r="AW1164" i="3"/>
  <c r="AU1164" i="3"/>
  <c r="AR1148" i="3"/>
  <c r="AX1148" i="3"/>
  <c r="AV1100" i="3"/>
  <c r="AS1100" i="3"/>
  <c r="AY1092" i="3"/>
  <c r="AV1092" i="3"/>
  <c r="AR1068" i="3"/>
  <c r="AW1068" i="3"/>
  <c r="AR1012" i="3"/>
  <c r="AS1012" i="3"/>
  <c r="M220" i="12"/>
  <c r="M360" i="12"/>
  <c r="L360" i="12"/>
  <c r="AY1264" i="3"/>
  <c r="AX1264" i="3"/>
  <c r="AY599" i="3"/>
  <c r="AR599" i="3"/>
  <c r="L152" i="12"/>
  <c r="BA1901" i="3"/>
  <c r="AS1901" i="3"/>
  <c r="AZ1893" i="3"/>
  <c r="AR1893" i="3"/>
  <c r="AY1885" i="3"/>
  <c r="AX1877" i="3"/>
  <c r="AW1869" i="3"/>
  <c r="AV1861" i="3"/>
  <c r="AU1853" i="3"/>
  <c r="BA1845" i="3"/>
  <c r="AS1845" i="3"/>
  <c r="AY1837" i="3"/>
  <c r="AV1829" i="3"/>
  <c r="AY1821" i="3"/>
  <c r="AT1813" i="3"/>
  <c r="AW1805" i="3"/>
  <c r="AY1797" i="3"/>
  <c r="AZ1789" i="3"/>
  <c r="BA1781" i="3"/>
  <c r="AZ1773" i="3"/>
  <c r="AV1765" i="3"/>
  <c r="AT1741" i="3"/>
  <c r="AR1733" i="3"/>
  <c r="AS1693" i="3"/>
  <c r="AZ1669" i="3"/>
  <c r="AV1645" i="3"/>
  <c r="AU1829" i="3"/>
  <c r="AX1821" i="3"/>
  <c r="BA1813" i="3"/>
  <c r="AS1813" i="3"/>
  <c r="AV1805" i="3"/>
  <c r="AX1797" i="3"/>
  <c r="AY1789" i="3"/>
  <c r="AZ1781" i="3"/>
  <c r="AX1773" i="3"/>
  <c r="AU1765" i="3"/>
  <c r="BA1685" i="3"/>
  <c r="AY1669" i="3"/>
  <c r="AW1885" i="3"/>
  <c r="AV1877" i="3"/>
  <c r="AU1869" i="3"/>
  <c r="AT1861" i="3"/>
  <c r="BA1853" i="3"/>
  <c r="AS1853" i="3"/>
  <c r="AY1845" i="3"/>
  <c r="AW1837" i="3"/>
  <c r="AT1829" i="3"/>
  <c r="AW1821" i="3"/>
  <c r="AZ1813" i="3"/>
  <c r="AR1813" i="3"/>
  <c r="AU1805" i="3"/>
  <c r="AW1797" i="3"/>
  <c r="AX1789" i="3"/>
  <c r="AY1781" i="3"/>
  <c r="AV1773" i="3"/>
  <c r="AT1765" i="3"/>
  <c r="BA1725" i="3"/>
  <c r="AX1717" i="3"/>
  <c r="AW1701" i="3"/>
  <c r="AT1685" i="3"/>
  <c r="BA1653" i="3"/>
  <c r="AU1637" i="3"/>
  <c r="AY1597" i="3"/>
  <c r="AW1893" i="3"/>
  <c r="AV1885" i="3"/>
  <c r="AU1877" i="3"/>
  <c r="AT1869" i="3"/>
  <c r="BA1861" i="3"/>
  <c r="AS1861" i="3"/>
  <c r="AZ1853" i="3"/>
  <c r="AR1853" i="3"/>
  <c r="AX1845" i="3"/>
  <c r="AV1837" i="3"/>
  <c r="BA1829" i="3"/>
  <c r="AS1829" i="3"/>
  <c r="AV1821" i="3"/>
  <c r="AY1813" i="3"/>
  <c r="AT1805" i="3"/>
  <c r="AV1797" i="3"/>
  <c r="AW1789" i="3"/>
  <c r="AW1781" i="3"/>
  <c r="AT1773" i="3"/>
  <c r="BA1757" i="3"/>
  <c r="AZ1725" i="3"/>
  <c r="AZ1653" i="3"/>
  <c r="AZ1549" i="3"/>
  <c r="AZ1925" i="3"/>
  <c r="AX1909" i="3"/>
  <c r="AW1901" i="3"/>
  <c r="AV1893" i="3"/>
  <c r="AU1885" i="3"/>
  <c r="AT1877" i="3"/>
  <c r="BA1869" i="3"/>
  <c r="AS1869" i="3"/>
  <c r="AZ1861" i="3"/>
  <c r="AR1861" i="3"/>
  <c r="AY1853" i="3"/>
  <c r="AW1845" i="3"/>
  <c r="AU1837" i="3"/>
  <c r="AZ1829" i="3"/>
  <c r="AR1829" i="3"/>
  <c r="AU1821" i="3"/>
  <c r="AX1813" i="3"/>
  <c r="BA1805" i="3"/>
  <c r="AS1805" i="3"/>
  <c r="AV1789" i="3"/>
  <c r="AR1797" i="3"/>
  <c r="AZ1797" i="3"/>
  <c r="AV1781" i="3"/>
  <c r="AX1781" i="3"/>
  <c r="AW1773" i="3"/>
  <c r="AY1773" i="3"/>
  <c r="AU1773" i="3"/>
  <c r="AY1765" i="3"/>
  <c r="AS1765" i="3"/>
  <c r="BA1765" i="3"/>
  <c r="AW1765" i="3"/>
  <c r="AR1757" i="3"/>
  <c r="AZ1757" i="3"/>
  <c r="AT1757" i="3"/>
  <c r="AU1757" i="3"/>
  <c r="AX1757" i="3"/>
  <c r="AX1749" i="3"/>
  <c r="AR1749" i="3"/>
  <c r="AZ1749" i="3"/>
  <c r="AS1749" i="3"/>
  <c r="BA1749" i="3"/>
  <c r="AV1749" i="3"/>
  <c r="AW1741" i="3"/>
  <c r="AY1741" i="3"/>
  <c r="AR1741" i="3"/>
  <c r="AZ1741" i="3"/>
  <c r="AU1741" i="3"/>
  <c r="AS1733" i="3"/>
  <c r="BA1733" i="3"/>
  <c r="AU1733" i="3"/>
  <c r="AV1733" i="3"/>
  <c r="AY1733" i="3"/>
  <c r="AV1725" i="3"/>
  <c r="AX1725" i="3"/>
  <c r="AY1725" i="3"/>
  <c r="AT1725" i="3"/>
  <c r="AU1725" i="3"/>
  <c r="AS1717" i="3"/>
  <c r="BA1717" i="3"/>
  <c r="AT1717" i="3"/>
  <c r="AU1717" i="3"/>
  <c r="AV1717" i="3"/>
  <c r="AY1717" i="3"/>
  <c r="AR1717" i="3"/>
  <c r="AZ1717" i="3"/>
  <c r="AW1709" i="3"/>
  <c r="AX1709" i="3"/>
  <c r="AY1709" i="3"/>
  <c r="AR1709" i="3"/>
  <c r="AZ1709" i="3"/>
  <c r="AU1709" i="3"/>
  <c r="AV1709" i="3"/>
  <c r="AR1701" i="3"/>
  <c r="AZ1701" i="3"/>
  <c r="AS1701" i="3"/>
  <c r="BA1701" i="3"/>
  <c r="AT1701" i="3"/>
  <c r="AU1701" i="3"/>
  <c r="AX1701" i="3"/>
  <c r="AY1701" i="3"/>
  <c r="AV1693" i="3"/>
  <c r="AW1693" i="3"/>
  <c r="AX1693" i="3"/>
  <c r="AY1693" i="3"/>
  <c r="AT1693" i="3"/>
  <c r="AU1693" i="3"/>
  <c r="AW1685" i="3"/>
  <c r="AX1685" i="3"/>
  <c r="AY1685" i="3"/>
  <c r="AR1685" i="3"/>
  <c r="AZ1685" i="3"/>
  <c r="AU1685" i="3"/>
  <c r="AV1685" i="3"/>
  <c r="AT1677" i="3"/>
  <c r="AU1677" i="3"/>
  <c r="AV1677" i="3"/>
  <c r="AW1677" i="3"/>
  <c r="AR1677" i="3"/>
  <c r="AZ1677" i="3"/>
  <c r="AS1677" i="3"/>
  <c r="BA1677" i="3"/>
  <c r="AU1669" i="3"/>
  <c r="AV1669" i="3"/>
  <c r="AW1669" i="3"/>
  <c r="AX1669" i="3"/>
  <c r="AS1669" i="3"/>
  <c r="BA1669" i="3"/>
  <c r="AT1669" i="3"/>
  <c r="AR1661" i="3"/>
  <c r="AZ1661" i="3"/>
  <c r="AS1661" i="3"/>
  <c r="BA1661" i="3"/>
  <c r="AT1661" i="3"/>
  <c r="AU1661" i="3"/>
  <c r="AX1661" i="3"/>
  <c r="AY1661" i="3"/>
  <c r="AV1653" i="3"/>
  <c r="AW1653" i="3"/>
  <c r="AX1653" i="3"/>
  <c r="AY1653" i="3"/>
  <c r="AT1653" i="3"/>
  <c r="AU1653" i="3"/>
  <c r="AY1645" i="3"/>
  <c r="BA1645" i="3"/>
  <c r="AS1645" i="3"/>
  <c r="AT1645" i="3"/>
  <c r="AW1645" i="3"/>
  <c r="AX1645" i="3"/>
  <c r="AY1637" i="3"/>
  <c r="BA1637" i="3"/>
  <c r="AS1637" i="3"/>
  <c r="AV1637" i="3"/>
  <c r="AX1637" i="3"/>
  <c r="AV1629" i="3"/>
  <c r="AX1629" i="3"/>
  <c r="AY1629" i="3"/>
  <c r="BA1629" i="3"/>
  <c r="AT1629" i="3"/>
  <c r="AU1629" i="3"/>
  <c r="AX1621" i="3"/>
  <c r="AY1621" i="3"/>
  <c r="BA1621" i="3"/>
  <c r="AU1621" i="3"/>
  <c r="AV1621" i="3"/>
  <c r="AS1613" i="3"/>
  <c r="AT1613" i="3"/>
  <c r="AU1613" i="3"/>
  <c r="AV1613" i="3"/>
  <c r="BA1613" i="3"/>
  <c r="AV1605" i="3"/>
  <c r="AX1605" i="3"/>
  <c r="AY1605" i="3"/>
  <c r="BA1605" i="3"/>
  <c r="AT1605" i="3"/>
  <c r="AU1605" i="3"/>
  <c r="AS1597" i="3"/>
  <c r="AT1597" i="3"/>
  <c r="AU1597" i="3"/>
  <c r="AV1597" i="3"/>
  <c r="BA1597" i="3"/>
  <c r="AS1589" i="3"/>
  <c r="AT1589" i="3"/>
  <c r="AU1589" i="3"/>
  <c r="AY1589" i="3"/>
  <c r="BA1589" i="3"/>
  <c r="AY1581" i="3"/>
  <c r="BA1581" i="3"/>
  <c r="AS1581" i="3"/>
  <c r="AV1581" i="3"/>
  <c r="AX1581" i="3"/>
  <c r="AV1573" i="3"/>
  <c r="AX1573" i="3"/>
  <c r="AY1573" i="3"/>
  <c r="BA1573" i="3"/>
  <c r="AT1573" i="3"/>
  <c r="AU1573" i="3"/>
  <c r="AS1565" i="3"/>
  <c r="AT1565" i="3"/>
  <c r="AU1565" i="3"/>
  <c r="AV1565" i="3"/>
  <c r="BA1565" i="3"/>
  <c r="AX1557" i="3"/>
  <c r="AY1557" i="3"/>
  <c r="BA1557" i="3"/>
  <c r="AU1557" i="3"/>
  <c r="AV1557" i="3"/>
  <c r="AS1549" i="3"/>
  <c r="AT1549" i="3"/>
  <c r="AU1549" i="3"/>
  <c r="AW1549" i="3"/>
  <c r="BA1549" i="3"/>
  <c r="AR1549" i="3"/>
  <c r="BA1541" i="3"/>
  <c r="AR1541" i="3"/>
  <c r="AS1541" i="3"/>
  <c r="AU1541" i="3"/>
  <c r="AV1541" i="3"/>
  <c r="AY1541" i="3"/>
  <c r="AZ1541" i="3"/>
  <c r="AX1533" i="3"/>
  <c r="AZ1533" i="3"/>
  <c r="BA1533" i="3"/>
  <c r="AR1533" i="3"/>
  <c r="AS1533" i="3"/>
  <c r="AV1533" i="3"/>
  <c r="AW1533" i="3"/>
  <c r="AR1525" i="3"/>
  <c r="AS1525" i="3"/>
  <c r="AU1525" i="3"/>
  <c r="AV1525" i="3"/>
  <c r="AX1525" i="3"/>
  <c r="AZ1525" i="3"/>
  <c r="BA1525" i="3"/>
  <c r="AT1517" i="3"/>
  <c r="AU1517" i="3"/>
  <c r="AV1517" i="3"/>
  <c r="AX1517" i="3"/>
  <c r="AY1517" i="3"/>
  <c r="AS1517" i="3"/>
  <c r="AT1509" i="3"/>
  <c r="AV1509" i="3"/>
  <c r="AW1509" i="3"/>
  <c r="AX1509" i="3"/>
  <c r="AY1509" i="3"/>
  <c r="AS1509" i="3"/>
  <c r="AV1501" i="3"/>
  <c r="AX1501" i="3"/>
  <c r="AY1501" i="3"/>
  <c r="AZ1501" i="3"/>
  <c r="BA1501" i="3"/>
  <c r="AS1501" i="3"/>
  <c r="AU1501" i="3"/>
  <c r="AU1493" i="3"/>
  <c r="AV1493" i="3"/>
  <c r="AX1493" i="3"/>
  <c r="AY1493" i="3"/>
  <c r="AZ1493" i="3"/>
  <c r="AR1493" i="3"/>
  <c r="AS1493" i="3"/>
  <c r="AS1485" i="3"/>
  <c r="AU1485" i="3"/>
  <c r="AV1485" i="3"/>
  <c r="AX1485" i="3"/>
  <c r="AY1485" i="3"/>
  <c r="BA1485" i="3"/>
  <c r="AR1485" i="3"/>
  <c r="AS1477" i="3"/>
  <c r="AU1477" i="3"/>
  <c r="AV1477" i="3"/>
  <c r="AX1477" i="3"/>
  <c r="AY1477" i="3"/>
  <c r="BA1477" i="3"/>
  <c r="AR1477" i="3"/>
  <c r="AU1469" i="3"/>
  <c r="AV1469" i="3"/>
  <c r="AX1469" i="3"/>
  <c r="AY1469" i="3"/>
  <c r="AZ1469" i="3"/>
  <c r="AR1469" i="3"/>
  <c r="AS1469" i="3"/>
  <c r="AS1461" i="3"/>
  <c r="AU1461" i="3"/>
  <c r="AV1461" i="3"/>
  <c r="AX1461" i="3"/>
  <c r="AY1461" i="3"/>
  <c r="BA1461" i="3"/>
  <c r="AR1461" i="3"/>
  <c r="AR1453" i="3"/>
  <c r="AS1453" i="3"/>
  <c r="AU1453" i="3"/>
  <c r="AV1453" i="3"/>
  <c r="AX1453" i="3"/>
  <c r="AZ1453" i="3"/>
  <c r="BA1453" i="3"/>
  <c r="AU1445" i="3"/>
  <c r="AV1445" i="3"/>
  <c r="AX1445" i="3"/>
  <c r="AY1445" i="3"/>
  <c r="AZ1445" i="3"/>
  <c r="AR1445" i="3"/>
  <c r="AS1445" i="3"/>
  <c r="AS1437" i="3"/>
  <c r="AU1437" i="3"/>
  <c r="AV1437" i="3"/>
  <c r="AX1437" i="3"/>
  <c r="AY1437" i="3"/>
  <c r="BA1437" i="3"/>
  <c r="AR1437" i="3"/>
  <c r="BA1429" i="3"/>
  <c r="AR1429" i="3"/>
  <c r="AS1429" i="3"/>
  <c r="AU1429" i="3"/>
  <c r="AV1429" i="3"/>
  <c r="AY1429" i="3"/>
  <c r="AZ1429" i="3"/>
  <c r="AX1421" i="3"/>
  <c r="AY1421" i="3"/>
  <c r="AZ1421" i="3"/>
  <c r="BA1421" i="3"/>
  <c r="AR1421" i="3"/>
  <c r="AU1421" i="3"/>
  <c r="AV1421" i="3"/>
  <c r="AR1413" i="3"/>
  <c r="AS1413" i="3"/>
  <c r="AU1413" i="3"/>
  <c r="AV1413" i="3"/>
  <c r="AX1413" i="3"/>
  <c r="AZ1413" i="3"/>
  <c r="BA1413" i="3"/>
  <c r="AV1405" i="3"/>
  <c r="AX1405" i="3"/>
  <c r="AY1405" i="3"/>
  <c r="AZ1405" i="3"/>
  <c r="BA1405" i="3"/>
  <c r="AS1405" i="3"/>
  <c r="AU1405" i="3"/>
  <c r="AY1397" i="3"/>
  <c r="AZ1397" i="3"/>
  <c r="BA1397" i="3"/>
  <c r="AR1397" i="3"/>
  <c r="AS1397" i="3"/>
  <c r="AV1397" i="3"/>
  <c r="AX1397" i="3"/>
  <c r="AZ1389" i="3"/>
  <c r="BA1389" i="3"/>
  <c r="AR1389" i="3"/>
  <c r="AS1389" i="3"/>
  <c r="AU1389" i="3"/>
  <c r="AX1389" i="3"/>
  <c r="AY1389" i="3"/>
  <c r="AZ1381" i="3"/>
  <c r="BA1381" i="3"/>
  <c r="AR1381" i="3"/>
  <c r="AS1381" i="3"/>
  <c r="AU1381" i="3"/>
  <c r="AX1381" i="3"/>
  <c r="AY1381" i="3"/>
  <c r="AY1373" i="3"/>
  <c r="AZ1373" i="3"/>
  <c r="BA1373" i="3"/>
  <c r="AR1373" i="3"/>
  <c r="AS1373" i="3"/>
  <c r="AV1373" i="3"/>
  <c r="AX1373" i="3"/>
  <c r="AX1365" i="3"/>
  <c r="AY1365" i="3"/>
  <c r="AZ1365" i="3"/>
  <c r="BA1365" i="3"/>
  <c r="AR1365" i="3"/>
  <c r="AU1365" i="3"/>
  <c r="AV1365" i="3"/>
  <c r="AX1357" i="3"/>
  <c r="AY1357" i="3"/>
  <c r="AZ1357" i="3"/>
  <c r="BA1357" i="3"/>
  <c r="AR1357" i="3"/>
  <c r="AU1357" i="3"/>
  <c r="AV1357" i="3"/>
  <c r="AV1349" i="3"/>
  <c r="AX1349" i="3"/>
  <c r="AY1349" i="3"/>
  <c r="AZ1349" i="3"/>
  <c r="BA1349" i="3"/>
  <c r="AS1349" i="3"/>
  <c r="AU1349" i="3"/>
  <c r="AW1341" i="3"/>
  <c r="AX1341" i="3"/>
  <c r="AZ1341" i="3"/>
  <c r="BA1341" i="3"/>
  <c r="AT1341" i="3"/>
  <c r="AU1341" i="3"/>
  <c r="AU1333" i="3"/>
  <c r="AW1333" i="3"/>
  <c r="AZ1333" i="3"/>
  <c r="BA1333" i="3"/>
  <c r="AS1333" i="3"/>
  <c r="AT1333" i="3"/>
  <c r="AR1325" i="3"/>
  <c r="AT1325" i="3"/>
  <c r="AU1325" i="3"/>
  <c r="AX1325" i="3"/>
  <c r="BA1325" i="3"/>
  <c r="BA1317" i="3"/>
  <c r="AS1317" i="3"/>
  <c r="AT1317" i="3"/>
  <c r="AW1317" i="3"/>
  <c r="AZ1317" i="3"/>
  <c r="AX1309" i="3"/>
  <c r="AY1309" i="3"/>
  <c r="AZ1309" i="3"/>
  <c r="AS1309" i="3"/>
  <c r="AV1309" i="3"/>
  <c r="AS1301" i="3"/>
  <c r="AT1301" i="3"/>
  <c r="AW1301" i="3"/>
  <c r="AY1301" i="3"/>
  <c r="BA1301" i="3"/>
  <c r="AT1293" i="3"/>
  <c r="AV1293" i="3"/>
  <c r="AW1293" i="3"/>
  <c r="AY1293" i="3"/>
  <c r="AZ1293" i="3"/>
  <c r="AR1293" i="3"/>
  <c r="AR1285" i="3"/>
  <c r="AT1285" i="3"/>
  <c r="AU1285" i="3"/>
  <c r="AZ1285" i="3"/>
  <c r="BA1285" i="3"/>
  <c r="AU1277" i="3"/>
  <c r="AX1277" i="3"/>
  <c r="AY1277" i="3"/>
  <c r="BA1277" i="3"/>
  <c r="AR1277" i="3"/>
  <c r="AS1277" i="3"/>
  <c r="AS1269" i="3"/>
  <c r="AT1269" i="3"/>
  <c r="AX1269" i="3"/>
  <c r="AY1269" i="3"/>
  <c r="AS1261" i="3"/>
  <c r="AT1261" i="3"/>
  <c r="AV1261" i="3"/>
  <c r="AX1261" i="3"/>
  <c r="BA1261" i="3"/>
  <c r="AY1253" i="3"/>
  <c r="BA1253" i="3"/>
  <c r="AV1253" i="3"/>
  <c r="AX1253" i="3"/>
  <c r="AY1245" i="3"/>
  <c r="BA1245" i="3"/>
  <c r="AR1245" i="3"/>
  <c r="AV1245" i="3"/>
  <c r="AX1245" i="3"/>
  <c r="BA1237" i="3"/>
  <c r="AS1237" i="3"/>
  <c r="AT1237" i="3"/>
  <c r="AW1237" i="3"/>
  <c r="AZ1237" i="3"/>
  <c r="AS1229" i="3"/>
  <c r="AU1229" i="3"/>
  <c r="AV1229" i="3"/>
  <c r="AZ1229" i="3"/>
  <c r="BA1229" i="3"/>
  <c r="BA1221" i="3"/>
  <c r="AR1221" i="3"/>
  <c r="AS1221" i="3"/>
  <c r="AW1221" i="3"/>
  <c r="AZ1221" i="3"/>
  <c r="AS1213" i="3"/>
  <c r="AV1213" i="3"/>
  <c r="AW1213" i="3"/>
  <c r="AX1213" i="3"/>
  <c r="AZ1213" i="3"/>
  <c r="AR1213" i="3"/>
  <c r="AY1205" i="3"/>
  <c r="BA1205" i="3"/>
  <c r="AU1205" i="3"/>
  <c r="AV1205" i="3"/>
  <c r="AR1197" i="3"/>
  <c r="AS1197" i="3"/>
  <c r="AU1197" i="3"/>
  <c r="AV1197" i="3"/>
  <c r="AZ1197" i="3"/>
  <c r="AV1189" i="3"/>
  <c r="AW1189" i="3"/>
  <c r="AX1189" i="3"/>
  <c r="AY1189" i="3"/>
  <c r="AS1189" i="3"/>
  <c r="AT1181" i="3"/>
  <c r="AV1181" i="3"/>
  <c r="AX1181" i="3"/>
  <c r="AY1181" i="3"/>
  <c r="BA1181" i="3"/>
  <c r="AS1181" i="3"/>
  <c r="AZ1173" i="3"/>
  <c r="BA1173" i="3"/>
  <c r="AR1173" i="3"/>
  <c r="AV1173" i="3"/>
  <c r="AX1173" i="3"/>
  <c r="AS1165" i="3"/>
  <c r="AU1165" i="3"/>
  <c r="AV1165" i="3"/>
  <c r="AZ1165" i="3"/>
  <c r="BA1165" i="3"/>
  <c r="AS1157" i="3"/>
  <c r="AT1157" i="3"/>
  <c r="AW1157" i="3"/>
  <c r="AX1157" i="3"/>
  <c r="BA1157" i="3"/>
  <c r="AT1149" i="3"/>
  <c r="AW1149" i="3"/>
  <c r="AX1149" i="3"/>
  <c r="AZ1149" i="3"/>
  <c r="AR1149" i="3"/>
  <c r="BA1141" i="3"/>
  <c r="AR1141" i="3"/>
  <c r="AU1141" i="3"/>
  <c r="AW1141" i="3"/>
  <c r="AX1141" i="3"/>
  <c r="AR1133" i="3"/>
  <c r="AT1133" i="3"/>
  <c r="AU1133" i="3"/>
  <c r="AZ1133" i="3"/>
  <c r="BA1133" i="3"/>
  <c r="AX1125" i="3"/>
  <c r="AY1125" i="3"/>
  <c r="AT1125" i="3"/>
  <c r="AU1125" i="3"/>
  <c r="AT1117" i="3"/>
  <c r="AU1117" i="3"/>
  <c r="AV1117" i="3"/>
  <c r="AZ1117" i="3"/>
  <c r="AW1109" i="3"/>
  <c r="AY1109" i="3"/>
  <c r="AZ1109" i="3"/>
  <c r="BA1109" i="3"/>
  <c r="AS1109" i="3"/>
  <c r="AT1109" i="3"/>
  <c r="AV1101" i="3"/>
  <c r="AW1101" i="3"/>
  <c r="AY1101" i="3"/>
  <c r="BA1101" i="3"/>
  <c r="AS1101" i="3"/>
  <c r="AS1093" i="3"/>
  <c r="AT1093" i="3"/>
  <c r="AV1093" i="3"/>
  <c r="AX1093" i="3"/>
  <c r="AS1085" i="3"/>
  <c r="AU1085" i="3"/>
  <c r="AV1085" i="3"/>
  <c r="AX1085" i="3"/>
  <c r="BA1085" i="3"/>
  <c r="AT1077" i="3"/>
  <c r="AU1077" i="3"/>
  <c r="AV1077" i="3"/>
  <c r="AX1077" i="3"/>
  <c r="BA1069" i="3"/>
  <c r="AV1069" i="3"/>
  <c r="AX1069" i="3"/>
  <c r="AS1061" i="3"/>
  <c r="AV1061" i="3"/>
  <c r="AX1061" i="3"/>
  <c r="AX1053" i="3"/>
  <c r="AS1053" i="3"/>
  <c r="AX1037" i="3"/>
  <c r="AS1037" i="3"/>
  <c r="AS1029" i="3"/>
  <c r="AX1029" i="3"/>
  <c r="BA989" i="3"/>
  <c r="AS989" i="3"/>
  <c r="AU949" i="3"/>
  <c r="AX949" i="3"/>
  <c r="BA1821" i="3"/>
  <c r="AS1821" i="3"/>
  <c r="AV1813" i="3"/>
  <c r="AY1805" i="3"/>
  <c r="AS1797" i="3"/>
  <c r="AS1789" i="3"/>
  <c r="AS1781" i="3"/>
  <c r="AZ1765" i="3"/>
  <c r="AV1757" i="3"/>
  <c r="AU1749" i="3"/>
  <c r="AX1741" i="3"/>
  <c r="AW1733" i="3"/>
  <c r="AR1725" i="3"/>
  <c r="BA1709" i="3"/>
  <c r="BA1693" i="3"/>
  <c r="AW1661" i="3"/>
  <c r="AT1621" i="3"/>
  <c r="AX1613" i="3"/>
  <c r="AT1581" i="3"/>
  <c r="AS1573" i="3"/>
  <c r="AX1565" i="3"/>
  <c r="AY1525" i="3"/>
  <c r="AR1501" i="3"/>
  <c r="BA1493" i="3"/>
  <c r="AZ1485" i="3"/>
  <c r="AY1413" i="3"/>
  <c r="AR1309" i="3"/>
  <c r="AV1269" i="3"/>
  <c r="AW1165" i="3"/>
  <c r="AV1141" i="3"/>
  <c r="BA1893" i="3"/>
  <c r="AZ1885" i="3"/>
  <c r="AZ1837" i="3"/>
  <c r="AZ1821" i="3"/>
  <c r="BA1797" i="3"/>
  <c r="BA1789" i="3"/>
  <c r="AR1789" i="3"/>
  <c r="AR1781" i="3"/>
  <c r="BA1773" i="3"/>
  <c r="AX1765" i="3"/>
  <c r="AS1757" i="3"/>
  <c r="AT1749" i="3"/>
  <c r="AV1741" i="3"/>
  <c r="AT1733" i="3"/>
  <c r="AT1709" i="3"/>
  <c r="AZ1693" i="3"/>
  <c r="AY1677" i="3"/>
  <c r="AV1661" i="3"/>
  <c r="AS1621" i="3"/>
  <c r="AZ1477" i="3"/>
  <c r="AV1389" i="3"/>
  <c r="AU1245" i="3"/>
  <c r="AW1229" i="3"/>
  <c r="AZ1085" i="3"/>
  <c r="AD1163" i="13"/>
  <c r="AE1163" i="13"/>
  <c r="AV2810" i="3"/>
  <c r="BA1675" i="3"/>
  <c r="AU1667" i="3"/>
  <c r="AX1659" i="3"/>
  <c r="AY1651" i="3"/>
  <c r="AT1643" i="3"/>
  <c r="AZ1635" i="3"/>
  <c r="AU1619" i="3"/>
  <c r="AU1611" i="3"/>
  <c r="AX1587" i="3"/>
  <c r="AY1579" i="3"/>
  <c r="BA1555" i="3"/>
  <c r="BA1483" i="3"/>
  <c r="AV1467" i="3"/>
  <c r="AT1443" i="3"/>
  <c r="AX1435" i="3"/>
  <c r="AY1411" i="3"/>
  <c r="AW1403" i="3"/>
  <c r="AY1371" i="3"/>
  <c r="AV1355" i="3"/>
  <c r="AT1331" i="3"/>
  <c r="AX1323" i="3"/>
  <c r="BA1299" i="3"/>
  <c r="AX1291" i="3"/>
  <c r="AW1283" i="3"/>
  <c r="AX1275" i="3"/>
  <c r="AV1267" i="3"/>
  <c r="AX1243" i="3"/>
  <c r="BA1203" i="3"/>
  <c r="AW1067" i="3"/>
  <c r="AY779" i="3"/>
  <c r="AU539" i="3"/>
  <c r="AW1659" i="3"/>
  <c r="AX1651" i="3"/>
  <c r="AY1635" i="3"/>
  <c r="AT1587" i="3"/>
  <c r="AV1579" i="3"/>
  <c r="BA1571" i="3"/>
  <c r="AY1563" i="3"/>
  <c r="AZ1555" i="3"/>
  <c r="BA1507" i="3"/>
  <c r="AY1483" i="3"/>
  <c r="AT1467" i="3"/>
  <c r="BA1459" i="3"/>
  <c r="AV1435" i="3"/>
  <c r="AZ1427" i="3"/>
  <c r="AZ1419" i="3"/>
  <c r="AW1411" i="3"/>
  <c r="AV1403" i="3"/>
  <c r="AW1371" i="3"/>
  <c r="BA1347" i="3"/>
  <c r="AU1323" i="3"/>
  <c r="BA1315" i="3"/>
  <c r="AY1307" i="3"/>
  <c r="AY1299" i="3"/>
  <c r="AT1291" i="3"/>
  <c r="AV1283" i="3"/>
  <c r="AV1275" i="3"/>
  <c r="D444" i="12"/>
  <c r="AX1427" i="3"/>
  <c r="AY1419" i="3"/>
  <c r="AS1411" i="3"/>
  <c r="BA1387" i="3"/>
  <c r="AT1371" i="3"/>
  <c r="AZ1363" i="3"/>
  <c r="AW1347" i="3"/>
  <c r="AX1315" i="3"/>
  <c r="AW1307" i="3"/>
  <c r="AT1299" i="3"/>
  <c r="AW1147" i="3"/>
  <c r="BA1107" i="3"/>
  <c r="AX787" i="3"/>
  <c r="D453" i="12"/>
  <c r="AT1835" i="3"/>
  <c r="AU1835" i="3"/>
  <c r="AS1827" i="3"/>
  <c r="BA1827" i="3"/>
  <c r="AT1827" i="3"/>
  <c r="AY1819" i="3"/>
  <c r="AR1819" i="3"/>
  <c r="AZ1819" i="3"/>
  <c r="AW1811" i="3"/>
  <c r="AX1811" i="3"/>
  <c r="AT1803" i="3"/>
  <c r="AU1803" i="3"/>
  <c r="AY1795" i="3"/>
  <c r="AR1795" i="3"/>
  <c r="AZ1795" i="3"/>
  <c r="AV1787" i="3"/>
  <c r="AW1787" i="3"/>
  <c r="AS1779" i="3"/>
  <c r="BA1779" i="3"/>
  <c r="AT1779" i="3"/>
  <c r="AX1771" i="3"/>
  <c r="AY1771" i="3"/>
  <c r="AU1763" i="3"/>
  <c r="AV1763" i="3"/>
  <c r="AR1755" i="3"/>
  <c r="AZ1755" i="3"/>
  <c r="AS1755" i="3"/>
  <c r="BA1755" i="3"/>
  <c r="AW1747" i="3"/>
  <c r="AX1747" i="3"/>
  <c r="AR1739" i="3"/>
  <c r="AZ1739" i="3"/>
  <c r="AS1739" i="3"/>
  <c r="BA1739" i="3"/>
  <c r="AU1731" i="3"/>
  <c r="AV1731" i="3"/>
  <c r="AW1723" i="3"/>
  <c r="AX1723" i="3"/>
  <c r="AY1715" i="3"/>
  <c r="AR1715" i="3"/>
  <c r="AZ1715" i="3"/>
  <c r="AT1707" i="3"/>
  <c r="AU1707" i="3"/>
  <c r="AW1699" i="3"/>
  <c r="AX1699" i="3"/>
  <c r="AY1691" i="3"/>
  <c r="AR1691" i="3"/>
  <c r="AZ1691" i="3"/>
  <c r="AR1683" i="3"/>
  <c r="AZ1683" i="3"/>
  <c r="AS1683" i="3"/>
  <c r="BA1683" i="3"/>
  <c r="AU1675" i="3"/>
  <c r="AW1675" i="3"/>
  <c r="AX1675" i="3"/>
  <c r="AV1667" i="3"/>
  <c r="AR1667" i="3"/>
  <c r="BA1667" i="3"/>
  <c r="AS1667" i="3"/>
  <c r="AU1659" i="3"/>
  <c r="AS1659" i="3"/>
  <c r="AT1659" i="3"/>
  <c r="AS1651" i="3"/>
  <c r="BA1651" i="3"/>
  <c r="AT1651" i="3"/>
  <c r="AU1651" i="3"/>
  <c r="AU1643" i="3"/>
  <c r="AS1643" i="3"/>
  <c r="AY1643" i="3"/>
  <c r="AZ1643" i="3"/>
  <c r="AU1635" i="3"/>
  <c r="AW1635" i="3"/>
  <c r="AS1635" i="3"/>
  <c r="AT1635" i="3"/>
  <c r="AS1627" i="3"/>
  <c r="BA1627" i="3"/>
  <c r="AY1627" i="3"/>
  <c r="AV1627" i="3"/>
  <c r="AW1627" i="3"/>
  <c r="AS1619" i="3"/>
  <c r="BA1619" i="3"/>
  <c r="AR1619" i="3"/>
  <c r="AX1619" i="3"/>
  <c r="AY1619" i="3"/>
  <c r="AR1611" i="3"/>
  <c r="AZ1611" i="3"/>
  <c r="AT1611" i="3"/>
  <c r="AY1611" i="3"/>
  <c r="BA1611" i="3"/>
  <c r="AX1603" i="3"/>
  <c r="AT1603" i="3"/>
  <c r="AZ1603" i="3"/>
  <c r="AR1603" i="3"/>
  <c r="BA1603" i="3"/>
  <c r="AW1595" i="3"/>
  <c r="AV1595" i="3"/>
  <c r="AS1595" i="3"/>
  <c r="AT1595" i="3"/>
  <c r="AV1587" i="3"/>
  <c r="AY1587" i="3"/>
  <c r="AU1587" i="3"/>
  <c r="AW1587" i="3"/>
  <c r="AU1579" i="3"/>
  <c r="AZ1579" i="3"/>
  <c r="AW1579" i="3"/>
  <c r="AX1579" i="3"/>
  <c r="AT1571" i="3"/>
  <c r="AS1571" i="3"/>
  <c r="AY1571" i="3"/>
  <c r="AZ1571" i="3"/>
  <c r="AR1563" i="3"/>
  <c r="AZ1563" i="3"/>
  <c r="AU1563" i="3"/>
  <c r="BA1563" i="3"/>
  <c r="AS1563" i="3"/>
  <c r="AY1555" i="3"/>
  <c r="AV1555" i="3"/>
  <c r="AS1555" i="3"/>
  <c r="AT1555" i="3"/>
  <c r="AX1547" i="3"/>
  <c r="AY1547" i="3"/>
  <c r="AU1547" i="3"/>
  <c r="AV1547" i="3"/>
  <c r="AV1539" i="3"/>
  <c r="AZ1539" i="3"/>
  <c r="AW1539" i="3"/>
  <c r="AX1539" i="3"/>
  <c r="AS1531" i="3"/>
  <c r="BA1531" i="3"/>
  <c r="AZ1531" i="3"/>
  <c r="AW1531" i="3"/>
  <c r="AX1531" i="3"/>
  <c r="AV1523" i="3"/>
  <c r="AY1523" i="3"/>
  <c r="AU1523" i="3"/>
  <c r="AW1523" i="3"/>
  <c r="AX1515" i="3"/>
  <c r="AU1515" i="3"/>
  <c r="AW1515" i="3"/>
  <c r="AR1515" i="3"/>
  <c r="BA1515" i="3"/>
  <c r="AS1515" i="3"/>
  <c r="AR1507" i="3"/>
  <c r="AZ1507" i="3"/>
  <c r="AS1507" i="3"/>
  <c r="AU1507" i="3"/>
  <c r="AX1507" i="3"/>
  <c r="AY1507" i="3"/>
  <c r="AT1499" i="3"/>
  <c r="AY1499" i="3"/>
  <c r="AR1499" i="3"/>
  <c r="BA1499" i="3"/>
  <c r="AV1499" i="3"/>
  <c r="AW1499" i="3"/>
  <c r="AU1491" i="3"/>
  <c r="AT1491" i="3"/>
  <c r="AW1491" i="3"/>
  <c r="AZ1491" i="3"/>
  <c r="AR1491" i="3"/>
  <c r="BA1491" i="3"/>
  <c r="AV1483" i="3"/>
  <c r="AZ1483" i="3"/>
  <c r="AS1483" i="3"/>
  <c r="AW1483" i="3"/>
  <c r="AX1483" i="3"/>
  <c r="AW1475" i="3"/>
  <c r="AV1475" i="3"/>
  <c r="AY1475" i="3"/>
  <c r="AS1475" i="3"/>
  <c r="AT1475" i="3"/>
  <c r="AX1467" i="3"/>
  <c r="AS1467" i="3"/>
  <c r="AU1467" i="3"/>
  <c r="AY1467" i="3"/>
  <c r="AZ1467" i="3"/>
  <c r="AY1459" i="3"/>
  <c r="AW1459" i="3"/>
  <c r="AZ1459" i="3"/>
  <c r="AT1459" i="3"/>
  <c r="AU1459" i="3"/>
  <c r="AR1451" i="3"/>
  <c r="AZ1451" i="3"/>
  <c r="AS1451" i="3"/>
  <c r="AU1451" i="3"/>
  <c r="AX1451" i="3"/>
  <c r="AY1451" i="3"/>
  <c r="AS1443" i="3"/>
  <c r="BA1443" i="3"/>
  <c r="AX1443" i="3"/>
  <c r="AZ1443" i="3"/>
  <c r="AU1443" i="3"/>
  <c r="AV1443" i="3"/>
  <c r="AT1435" i="3"/>
  <c r="AU1435" i="3"/>
  <c r="AW1435" i="3"/>
  <c r="AZ1435" i="3"/>
  <c r="AR1435" i="3"/>
  <c r="BA1435" i="3"/>
  <c r="AU1427" i="3"/>
  <c r="AY1427" i="3"/>
  <c r="AR1427" i="3"/>
  <c r="BA1427" i="3"/>
  <c r="AV1427" i="3"/>
  <c r="AW1427" i="3"/>
  <c r="AV1419" i="3"/>
  <c r="AU1419" i="3"/>
  <c r="AX1419" i="3"/>
  <c r="AR1419" i="3"/>
  <c r="BA1419" i="3"/>
  <c r="AS1419" i="3"/>
  <c r="AU1411" i="3"/>
  <c r="AX1411" i="3"/>
  <c r="AZ1411" i="3"/>
  <c r="AT1411" i="3"/>
  <c r="AV1411" i="3"/>
  <c r="AU1403" i="3"/>
  <c r="AR1403" i="3"/>
  <c r="BA1403" i="3"/>
  <c r="AT1403" i="3"/>
  <c r="AX1403" i="3"/>
  <c r="AY1403" i="3"/>
  <c r="AR1395" i="3"/>
  <c r="AT1395" i="3"/>
  <c r="AU1395" i="3"/>
  <c r="AW1395" i="3"/>
  <c r="AZ1395" i="3"/>
  <c r="BA1395" i="3"/>
  <c r="AR1387" i="3"/>
  <c r="AZ1387" i="3"/>
  <c r="AV1387" i="3"/>
  <c r="AT1387" i="3"/>
  <c r="AX1387" i="3"/>
  <c r="AY1387" i="3"/>
  <c r="AY1379" i="3"/>
  <c r="AW1379" i="3"/>
  <c r="AX1379" i="3"/>
  <c r="BA1379" i="3"/>
  <c r="AT1379" i="3"/>
  <c r="AU1379" i="3"/>
  <c r="AV1371" i="3"/>
  <c r="AX1371" i="3"/>
  <c r="AS1371" i="3"/>
  <c r="AU1371" i="3"/>
  <c r="AZ1371" i="3"/>
  <c r="BA1371" i="3"/>
  <c r="AT1363" i="3"/>
  <c r="AX1363" i="3"/>
  <c r="AY1363" i="3"/>
  <c r="BA1363" i="3"/>
  <c r="AU1363" i="3"/>
  <c r="AV1363" i="3"/>
  <c r="AS1355" i="3"/>
  <c r="BA1355" i="3"/>
  <c r="AY1355" i="3"/>
  <c r="AU1355" i="3"/>
  <c r="AW1355" i="3"/>
  <c r="AR1355" i="3"/>
  <c r="AX1347" i="3"/>
  <c r="AY1347" i="3"/>
  <c r="AZ1347" i="3"/>
  <c r="AR1347" i="3"/>
  <c r="AU1347" i="3"/>
  <c r="AV1347" i="3"/>
  <c r="AV1339" i="3"/>
  <c r="AZ1339" i="3"/>
  <c r="AU1339" i="3"/>
  <c r="AX1339" i="3"/>
  <c r="AR1339" i="3"/>
  <c r="AS1339" i="3"/>
  <c r="AR1331" i="3"/>
  <c r="AZ1331" i="3"/>
  <c r="AX1331" i="3"/>
  <c r="AY1331" i="3"/>
  <c r="AU1331" i="3"/>
  <c r="AV1331" i="3"/>
  <c r="AV1323" i="3"/>
  <c r="AW1323" i="3"/>
  <c r="AR1323" i="3"/>
  <c r="AT1323" i="3"/>
  <c r="AY1323" i="3"/>
  <c r="AZ1323" i="3"/>
  <c r="AR1315" i="3"/>
  <c r="AZ1315" i="3"/>
  <c r="AU1315" i="3"/>
  <c r="AW1315" i="3"/>
  <c r="AY1315" i="3"/>
  <c r="AS1315" i="3"/>
  <c r="AT1315" i="3"/>
  <c r="AT1307" i="3"/>
  <c r="AZ1307" i="3"/>
  <c r="AX1307" i="3"/>
  <c r="BA1307" i="3"/>
  <c r="AU1307" i="3"/>
  <c r="AV1307" i="3"/>
  <c r="AV1299" i="3"/>
  <c r="AW1299" i="3"/>
  <c r="AZ1299" i="3"/>
  <c r="AR1299" i="3"/>
  <c r="AU1299" i="3"/>
  <c r="AX1299" i="3"/>
  <c r="AV1291" i="3"/>
  <c r="AZ1291" i="3"/>
  <c r="AY1291" i="3"/>
  <c r="AR1291" i="3"/>
  <c r="AU1291" i="3"/>
  <c r="AW1291" i="3"/>
  <c r="AR1283" i="3"/>
  <c r="AZ1283" i="3"/>
  <c r="AX1283" i="3"/>
  <c r="AS1283" i="3"/>
  <c r="AU1283" i="3"/>
  <c r="AY1283" i="3"/>
  <c r="BA1283" i="3"/>
  <c r="AS1275" i="3"/>
  <c r="BA1275" i="3"/>
  <c r="AT1275" i="3"/>
  <c r="AU1275" i="3"/>
  <c r="AW1275" i="3"/>
  <c r="AZ1275" i="3"/>
  <c r="AT1267" i="3"/>
  <c r="AX1267" i="3"/>
  <c r="AU1267" i="3"/>
  <c r="AW1267" i="3"/>
  <c r="BA1267" i="3"/>
  <c r="AR1267" i="3"/>
  <c r="AV1259" i="3"/>
  <c r="AT1259" i="3"/>
  <c r="AW1259" i="3"/>
  <c r="AY1259" i="3"/>
  <c r="AR1259" i="3"/>
  <c r="AS1259" i="3"/>
  <c r="AW1251" i="3"/>
  <c r="AU1251" i="3"/>
  <c r="AS1251" i="3"/>
  <c r="AT1251" i="3"/>
  <c r="AY1251" i="3"/>
  <c r="AZ1251" i="3"/>
  <c r="AW1243" i="3"/>
  <c r="AY1243" i="3"/>
  <c r="AR1243" i="3"/>
  <c r="AV1243" i="3"/>
  <c r="AZ1243" i="3"/>
  <c r="AS1243" i="3"/>
  <c r="AT1243" i="3"/>
  <c r="AX1235" i="3"/>
  <c r="AS1235" i="3"/>
  <c r="AT1235" i="3"/>
  <c r="AZ1235" i="3"/>
  <c r="BA1235" i="3"/>
  <c r="AV1235" i="3"/>
  <c r="AW1235" i="3"/>
  <c r="AR1227" i="3"/>
  <c r="AZ1227" i="3"/>
  <c r="AX1227" i="3"/>
  <c r="AY1227" i="3"/>
  <c r="AT1227" i="3"/>
  <c r="AS1227" i="3"/>
  <c r="AW1227" i="3"/>
  <c r="BA1227" i="3"/>
  <c r="AY1219" i="3"/>
  <c r="AZ1219" i="3"/>
  <c r="AX1219" i="3"/>
  <c r="BA1219" i="3"/>
  <c r="AS1219" i="3"/>
  <c r="AW1219" i="3"/>
  <c r="AT1219" i="3"/>
  <c r="AU1219" i="3"/>
  <c r="AR1211" i="3"/>
  <c r="AZ1211" i="3"/>
  <c r="AU1211" i="3"/>
  <c r="AX1211" i="3"/>
  <c r="AY1211" i="3"/>
  <c r="AS1211" i="3"/>
  <c r="AV1211" i="3"/>
  <c r="AY1203" i="3"/>
  <c r="AW1203" i="3"/>
  <c r="AU1203" i="3"/>
  <c r="AV1203" i="3"/>
  <c r="AZ1203" i="3"/>
  <c r="AS1203" i="3"/>
  <c r="AT1203" i="3"/>
  <c r="AX1203" i="3"/>
  <c r="AY1195" i="3"/>
  <c r="AR1195" i="3"/>
  <c r="BA1195" i="3"/>
  <c r="AT1195" i="3"/>
  <c r="AU1195" i="3"/>
  <c r="AZ1195" i="3"/>
  <c r="AS1195" i="3"/>
  <c r="AW1195" i="3"/>
  <c r="AW1187" i="3"/>
  <c r="AS1187" i="3"/>
  <c r="AY1187" i="3"/>
  <c r="AZ1187" i="3"/>
  <c r="AR1187" i="3"/>
  <c r="AV1187" i="3"/>
  <c r="BA1187" i="3"/>
  <c r="AT1187" i="3"/>
  <c r="AU1187" i="3"/>
  <c r="AU1179" i="3"/>
  <c r="AS1179" i="3"/>
  <c r="AT1179" i="3"/>
  <c r="AV1179" i="3"/>
  <c r="AZ1179" i="3"/>
  <c r="BA1179" i="3"/>
  <c r="AW1179" i="3"/>
  <c r="AX1179" i="3"/>
  <c r="AY1179" i="3"/>
  <c r="AS1171" i="3"/>
  <c r="BA1171" i="3"/>
  <c r="AU1171" i="3"/>
  <c r="AZ1171" i="3"/>
  <c r="AV1171" i="3"/>
  <c r="AT1171" i="3"/>
  <c r="AY1171" i="3"/>
  <c r="AR1163" i="3"/>
  <c r="AZ1163" i="3"/>
  <c r="AW1163" i="3"/>
  <c r="AX1163" i="3"/>
  <c r="AY1163" i="3"/>
  <c r="AV1163" i="3"/>
  <c r="AS1163" i="3"/>
  <c r="AT1163" i="3"/>
  <c r="AU1163" i="3"/>
  <c r="AX1155" i="3"/>
  <c r="AY1155" i="3"/>
  <c r="AT1155" i="3"/>
  <c r="AU1155" i="3"/>
  <c r="BA1155" i="3"/>
  <c r="AS1155" i="3"/>
  <c r="AZ1155" i="3"/>
  <c r="AU1147" i="3"/>
  <c r="AX1147" i="3"/>
  <c r="AY1147" i="3"/>
  <c r="AZ1147" i="3"/>
  <c r="AR1147" i="3"/>
  <c r="AT1147" i="3"/>
  <c r="BA1147" i="3"/>
  <c r="AU1139" i="3"/>
  <c r="AZ1139" i="3"/>
  <c r="AV1139" i="3"/>
  <c r="AW1139" i="3"/>
  <c r="AX1139" i="3"/>
  <c r="BA1139" i="3"/>
  <c r="AR1139" i="3"/>
  <c r="AS1139" i="3"/>
  <c r="AT1139" i="3"/>
  <c r="AT1131" i="3"/>
  <c r="AS1131" i="3"/>
  <c r="AR1131" i="3"/>
  <c r="AU1131" i="3"/>
  <c r="AY1131" i="3"/>
  <c r="AV1131" i="3"/>
  <c r="AZ1131" i="3"/>
  <c r="BA1131" i="3"/>
  <c r="AS1123" i="3"/>
  <c r="BA1123" i="3"/>
  <c r="AV1123" i="3"/>
  <c r="AZ1123" i="3"/>
  <c r="AU1123" i="3"/>
  <c r="AW1123" i="3"/>
  <c r="AY1123" i="3"/>
  <c r="AR1123" i="3"/>
  <c r="AT1123" i="3"/>
  <c r="AY1115" i="3"/>
  <c r="AW1115" i="3"/>
  <c r="AV1115" i="3"/>
  <c r="AX1115" i="3"/>
  <c r="AR1115" i="3"/>
  <c r="AS1115" i="3"/>
  <c r="AZ1115" i="3"/>
  <c r="BA1115" i="3"/>
  <c r="AX1107" i="3"/>
  <c r="AZ1107" i="3"/>
  <c r="AT1107" i="3"/>
  <c r="AU1107" i="3"/>
  <c r="AV1107" i="3"/>
  <c r="AY1107" i="3"/>
  <c r="AR1107" i="3"/>
  <c r="AS1107" i="3"/>
  <c r="AV1099" i="3"/>
  <c r="AR1099" i="3"/>
  <c r="BA1099" i="3"/>
  <c r="AY1099" i="3"/>
  <c r="AZ1099" i="3"/>
  <c r="AT1099" i="3"/>
  <c r="AW1099" i="3"/>
  <c r="AS1099" i="3"/>
  <c r="AU1099" i="3"/>
  <c r="AR1091" i="3"/>
  <c r="AZ1091" i="3"/>
  <c r="AX1091" i="3"/>
  <c r="AY1091" i="3"/>
  <c r="AW1091" i="3"/>
  <c r="AV1091" i="3"/>
  <c r="AS1091" i="3"/>
  <c r="AT1091" i="3"/>
  <c r="AU1091" i="3"/>
  <c r="AX1083" i="3"/>
  <c r="AZ1083" i="3"/>
  <c r="AU1083" i="3"/>
  <c r="AR1083" i="3"/>
  <c r="AS1083" i="3"/>
  <c r="BA1083" i="3"/>
  <c r="AV1083" i="3"/>
  <c r="AW1083" i="3"/>
  <c r="AY1083" i="3"/>
  <c r="AS1075" i="3"/>
  <c r="BA1075" i="3"/>
  <c r="AW1075" i="3"/>
  <c r="AX1075" i="3"/>
  <c r="AZ1075" i="3"/>
  <c r="AV1075" i="3"/>
  <c r="AR1075" i="3"/>
  <c r="AT1075" i="3"/>
  <c r="AU1075" i="3"/>
  <c r="AV1067" i="3"/>
  <c r="AU1067" i="3"/>
  <c r="BA1067" i="3"/>
  <c r="AX1067" i="3"/>
  <c r="AY1067" i="3"/>
  <c r="AR1067" i="3"/>
  <c r="AT1067" i="3"/>
  <c r="AX1059" i="3"/>
  <c r="AS1059" i="3"/>
  <c r="AR1059" i="3"/>
  <c r="AU1059" i="3"/>
  <c r="AV1059" i="3"/>
  <c r="AZ1059" i="3"/>
  <c r="AW1059" i="3"/>
  <c r="AY1059" i="3"/>
  <c r="BA1059" i="3"/>
  <c r="AY1051" i="3"/>
  <c r="AW1051" i="3"/>
  <c r="AR1051" i="3"/>
  <c r="BA1051" i="3"/>
  <c r="AX1051" i="3"/>
  <c r="AZ1051" i="3"/>
  <c r="AT1051" i="3"/>
  <c r="AU1051" i="3"/>
  <c r="AV1051" i="3"/>
  <c r="AS1043" i="3"/>
  <c r="BA1043" i="3"/>
  <c r="AT1043" i="3"/>
  <c r="AR1043" i="3"/>
  <c r="AX1043" i="3"/>
  <c r="AY1043" i="3"/>
  <c r="AV1043" i="3"/>
  <c r="AU1043" i="3"/>
  <c r="AZ1043" i="3"/>
  <c r="AT1035" i="3"/>
  <c r="AX1035" i="3"/>
  <c r="AR1035" i="3"/>
  <c r="AS1035" i="3"/>
  <c r="AU1035" i="3"/>
  <c r="AZ1035" i="3"/>
  <c r="AV1035" i="3"/>
  <c r="AW1035" i="3"/>
  <c r="AY1035" i="3"/>
  <c r="AU1027" i="3"/>
  <c r="AS1027" i="3"/>
  <c r="AR1027" i="3"/>
  <c r="AZ1027" i="3"/>
  <c r="BA1027" i="3"/>
  <c r="AW1027" i="3"/>
  <c r="AY1027" i="3"/>
  <c r="AT1027" i="3"/>
  <c r="AV1027" i="3"/>
  <c r="AS1019" i="3"/>
  <c r="BA1019" i="3"/>
  <c r="AU1019" i="3"/>
  <c r="AY1019" i="3"/>
  <c r="AR1019" i="3"/>
  <c r="AW1019" i="3"/>
  <c r="AZ1019" i="3"/>
  <c r="AT1019" i="3"/>
  <c r="AV1019" i="3"/>
  <c r="AX1019" i="3"/>
  <c r="AX1011" i="3"/>
  <c r="AR1011" i="3"/>
  <c r="BA1011" i="3"/>
  <c r="AW1011" i="3"/>
  <c r="AV1011" i="3"/>
  <c r="AT1011" i="3"/>
  <c r="AU1011" i="3"/>
  <c r="AZ1011" i="3"/>
  <c r="AX1003" i="3"/>
  <c r="AY1003" i="3"/>
  <c r="AR1003" i="3"/>
  <c r="AV1003" i="3"/>
  <c r="AW1003" i="3"/>
  <c r="AU1003" i="3"/>
  <c r="AT1003" i="3"/>
  <c r="AV995" i="3"/>
  <c r="AT995" i="3"/>
  <c r="AZ995" i="3"/>
  <c r="AY995" i="3"/>
  <c r="AX995" i="3"/>
  <c r="BA995" i="3"/>
  <c r="AS995" i="3"/>
  <c r="AU995" i="3"/>
  <c r="AW995" i="3"/>
  <c r="AY987" i="3"/>
  <c r="AZ987" i="3"/>
  <c r="BA987" i="3"/>
  <c r="AS987" i="3"/>
  <c r="AT987" i="3"/>
  <c r="AU987" i="3"/>
  <c r="AV987" i="3"/>
  <c r="AW987" i="3"/>
  <c r="AX987" i="3"/>
  <c r="AU979" i="3"/>
  <c r="AY979" i="3"/>
  <c r="AW979" i="3"/>
  <c r="AX979" i="3"/>
  <c r="AS979" i="3"/>
  <c r="AT979" i="3"/>
  <c r="AV979" i="3"/>
  <c r="BA979" i="3"/>
  <c r="AW971" i="3"/>
  <c r="AT971" i="3"/>
  <c r="AS971" i="3"/>
  <c r="AX971" i="3"/>
  <c r="AY971" i="3"/>
  <c r="AR971" i="3"/>
  <c r="AU971" i="3"/>
  <c r="AZ971" i="3"/>
  <c r="AW963" i="3"/>
  <c r="AV963" i="3"/>
  <c r="AR963" i="3"/>
  <c r="AS963" i="3"/>
  <c r="AT963" i="3"/>
  <c r="AX963" i="3"/>
  <c r="AZ963" i="3"/>
  <c r="AU963" i="3"/>
  <c r="AY963" i="3"/>
  <c r="AW955" i="3"/>
  <c r="AY955" i="3"/>
  <c r="BA955" i="3"/>
  <c r="AV955" i="3"/>
  <c r="AX955" i="3"/>
  <c r="AR955" i="3"/>
  <c r="AU955" i="3"/>
  <c r="AZ955" i="3"/>
  <c r="AW947" i="3"/>
  <c r="AT947" i="3"/>
  <c r="AR947" i="3"/>
  <c r="AU947" i="3"/>
  <c r="AV947" i="3"/>
  <c r="AY947" i="3"/>
  <c r="AX947" i="3"/>
  <c r="BA947" i="3"/>
  <c r="AS947" i="3"/>
  <c r="AW939" i="3"/>
  <c r="AV939" i="3"/>
  <c r="BA939" i="3"/>
  <c r="AZ939" i="3"/>
  <c r="AR939" i="3"/>
  <c r="AY939" i="3"/>
  <c r="AT939" i="3"/>
  <c r="AU939" i="3"/>
  <c r="AX939" i="3"/>
  <c r="AV931" i="3"/>
  <c r="AZ931" i="3"/>
  <c r="BA931" i="3"/>
  <c r="AU931" i="3"/>
  <c r="AW931" i="3"/>
  <c r="AX931" i="3"/>
  <c r="AR931" i="3"/>
  <c r="AT931" i="3"/>
  <c r="AU923" i="3"/>
  <c r="AX923" i="3"/>
  <c r="AR923" i="3"/>
  <c r="AY923" i="3"/>
  <c r="BA923" i="3"/>
  <c r="AW923" i="3"/>
  <c r="AS923" i="3"/>
  <c r="AT923" i="3"/>
  <c r="AV923" i="3"/>
  <c r="AU915" i="3"/>
  <c r="AZ915" i="3"/>
  <c r="BA915" i="3"/>
  <c r="AS915" i="3"/>
  <c r="AR915" i="3"/>
  <c r="AW915" i="3"/>
  <c r="AX915" i="3"/>
  <c r="AT915" i="3"/>
  <c r="AV915" i="3"/>
  <c r="AY915" i="3"/>
  <c r="AT907" i="3"/>
  <c r="AZ907" i="3"/>
  <c r="AY907" i="3"/>
  <c r="AU907" i="3"/>
  <c r="AV907" i="3"/>
  <c r="AR907" i="3"/>
  <c r="AX907" i="3"/>
  <c r="AX899" i="3"/>
  <c r="AU899" i="3"/>
  <c r="AZ899" i="3"/>
  <c r="AT899" i="3"/>
  <c r="AW899" i="3"/>
  <c r="AY899" i="3"/>
  <c r="AR899" i="3"/>
  <c r="AV899" i="3"/>
  <c r="AU891" i="3"/>
  <c r="AV891" i="3"/>
  <c r="AW891" i="3"/>
  <c r="AY891" i="3"/>
  <c r="AX891" i="3"/>
  <c r="AZ891" i="3"/>
  <c r="AS891" i="3"/>
  <c r="AT891" i="3"/>
  <c r="AR891" i="3"/>
  <c r="AY883" i="3"/>
  <c r="AU883" i="3"/>
  <c r="AR883" i="3"/>
  <c r="AZ883" i="3"/>
  <c r="BA883" i="3"/>
  <c r="AS883" i="3"/>
  <c r="AW883" i="3"/>
  <c r="AX883" i="3"/>
  <c r="AT883" i="3"/>
  <c r="AV883" i="3"/>
  <c r="AW875" i="3"/>
  <c r="AY875" i="3"/>
  <c r="AR875" i="3"/>
  <c r="AV875" i="3"/>
  <c r="AX875" i="3"/>
  <c r="AT875" i="3"/>
  <c r="AU875" i="3"/>
  <c r="AZ875" i="3"/>
  <c r="AR867" i="3"/>
  <c r="AU867" i="3"/>
  <c r="AZ867" i="3"/>
  <c r="AY867" i="3"/>
  <c r="AX867" i="3"/>
  <c r="AV859" i="3"/>
  <c r="AY859" i="3"/>
  <c r="AT859" i="3"/>
  <c r="AS859" i="3"/>
  <c r="AW859" i="3"/>
  <c r="AZ859" i="3"/>
  <c r="BA859" i="3"/>
  <c r="AR859" i="3"/>
  <c r="AV851" i="3"/>
  <c r="AT851" i="3"/>
  <c r="AW851" i="3"/>
  <c r="AR851" i="3"/>
  <c r="AS851" i="3"/>
  <c r="BA851" i="3"/>
  <c r="AU851" i="3"/>
  <c r="AY851" i="3"/>
  <c r="AZ851" i="3"/>
  <c r="AT843" i="3"/>
  <c r="AW843" i="3"/>
  <c r="AV843" i="3"/>
  <c r="AT835" i="3"/>
  <c r="AZ835" i="3"/>
  <c r="AR835" i="3"/>
  <c r="AY835" i="3"/>
  <c r="AV835" i="3"/>
  <c r="AW835" i="3"/>
  <c r="AX835" i="3"/>
  <c r="AW827" i="3"/>
  <c r="AS827" i="3"/>
  <c r="AX827" i="3"/>
  <c r="AY827" i="3"/>
  <c r="AV827" i="3"/>
  <c r="AZ827" i="3"/>
  <c r="AT827" i="3"/>
  <c r="AU827" i="3"/>
  <c r="AR827" i="3"/>
  <c r="BA827" i="3"/>
  <c r="AR819" i="3"/>
  <c r="AU819" i="3"/>
  <c r="AX819" i="3"/>
  <c r="AV819" i="3"/>
  <c r="AU811" i="3"/>
  <c r="AW811" i="3"/>
  <c r="AV811" i="3"/>
  <c r="AT811" i="3"/>
  <c r="AX811" i="3"/>
  <c r="AY811" i="3"/>
  <c r="AZ811" i="3"/>
  <c r="AR811" i="3"/>
  <c r="BA811" i="3"/>
  <c r="AV803" i="3"/>
  <c r="AU803" i="3"/>
  <c r="AR803" i="3"/>
  <c r="AW803" i="3"/>
  <c r="AS803" i="3"/>
  <c r="AX803" i="3"/>
  <c r="AY803" i="3"/>
  <c r="AT803" i="3"/>
  <c r="BA803" i="3"/>
  <c r="AS787" i="3"/>
  <c r="AV787" i="3"/>
  <c r="AU787" i="3"/>
  <c r="BA787" i="3"/>
  <c r="AY787" i="3"/>
  <c r="AR779" i="3"/>
  <c r="AT779" i="3"/>
  <c r="AW779" i="3"/>
  <c r="AV779" i="3"/>
  <c r="AZ779" i="3"/>
  <c r="BA779" i="3"/>
  <c r="AS763" i="3"/>
  <c r="AX763" i="3"/>
  <c r="AY763" i="3"/>
  <c r="BA763" i="3"/>
  <c r="AV763" i="3"/>
  <c r="AZ755" i="3"/>
  <c r="AT755" i="3"/>
  <c r="AX755" i="3"/>
  <c r="AS755" i="3"/>
  <c r="AU755" i="3"/>
  <c r="AR755" i="3"/>
  <c r="AW755" i="3"/>
  <c r="BA739" i="3"/>
  <c r="AR739" i="3"/>
  <c r="AT739" i="3"/>
  <c r="AZ739" i="3"/>
  <c r="AX739" i="3"/>
  <c r="AU739" i="3"/>
  <c r="AW739" i="3"/>
  <c r="AZ731" i="3"/>
  <c r="AY731" i="3"/>
  <c r="AX731" i="3"/>
  <c r="AU731" i="3"/>
  <c r="AS731" i="3"/>
  <c r="AV715" i="3"/>
  <c r="AR715" i="3"/>
  <c r="AY715" i="3"/>
  <c r="AX715" i="3"/>
  <c r="AT715" i="3"/>
  <c r="AR707" i="3"/>
  <c r="AW707" i="3"/>
  <c r="AZ707" i="3"/>
  <c r="BA707" i="3"/>
  <c r="AV707" i="3"/>
  <c r="BA691" i="3"/>
  <c r="AR691" i="3"/>
  <c r="AS691" i="3"/>
  <c r="AT691" i="3"/>
  <c r="AV691" i="3"/>
  <c r="AW691" i="3"/>
  <c r="AW683" i="3"/>
  <c r="AT683" i="3"/>
  <c r="AS683" i="3"/>
  <c r="AZ683" i="3"/>
  <c r="BA683" i="3"/>
  <c r="AX683" i="3"/>
  <c r="AV675" i="3"/>
  <c r="AY675" i="3"/>
  <c r="AU667" i="3"/>
  <c r="AX667" i="3"/>
  <c r="AZ667" i="3"/>
  <c r="AW667" i="3"/>
  <c r="BA659" i="3"/>
  <c r="AT659" i="3"/>
  <c r="AZ659" i="3"/>
  <c r="AX659" i="3"/>
  <c r="AR659" i="3"/>
  <c r="AW659" i="3"/>
  <c r="AS651" i="3"/>
  <c r="AX651" i="3"/>
  <c r="AT643" i="3"/>
  <c r="AV643" i="3"/>
  <c r="AX643" i="3"/>
  <c r="AZ643" i="3"/>
  <c r="AS643" i="3"/>
  <c r="AW643" i="3"/>
  <c r="AV635" i="3"/>
  <c r="AT635" i="3"/>
  <c r="AW635" i="3"/>
  <c r="AR635" i="3"/>
  <c r="AZ635" i="3"/>
  <c r="AY619" i="3"/>
  <c r="AX619" i="3"/>
  <c r="AR619" i="3"/>
  <c r="BA619" i="3"/>
  <c r="BA611" i="3"/>
  <c r="AS611" i="3"/>
  <c r="AR611" i="3"/>
  <c r="AX611" i="3"/>
  <c r="AZ611" i="3"/>
  <c r="AX603" i="3"/>
  <c r="AR603" i="3"/>
  <c r="AY595" i="3"/>
  <c r="AZ595" i="3"/>
  <c r="AS595" i="3"/>
  <c r="AT595" i="3"/>
  <c r="AV587" i="3"/>
  <c r="AU587" i="3"/>
  <c r="AW587" i="3"/>
  <c r="AZ587" i="3"/>
  <c r="AT587" i="3"/>
  <c r="AR571" i="3"/>
  <c r="AY571" i="3"/>
  <c r="AS571" i="3"/>
  <c r="AT571" i="3"/>
  <c r="AT563" i="3"/>
  <c r="AV563" i="3"/>
  <c r="AS563" i="3"/>
  <c r="AU563" i="3"/>
  <c r="BA563" i="3"/>
  <c r="AU547" i="3"/>
  <c r="AS547" i="3"/>
  <c r="AX547" i="3"/>
  <c r="AZ547" i="3"/>
  <c r="AT547" i="3"/>
  <c r="BA547" i="3"/>
  <c r="AX539" i="3"/>
  <c r="BA539" i="3"/>
  <c r="AV539" i="3"/>
  <c r="AW523" i="3"/>
  <c r="AS523" i="3"/>
  <c r="AX523" i="3"/>
  <c r="AY523" i="3"/>
  <c r="AR515" i="3"/>
  <c r="AY515" i="3"/>
  <c r="AX515" i="3"/>
  <c r="AS515" i="3"/>
  <c r="AZ515" i="3"/>
  <c r="AT515" i="3"/>
  <c r="AV499" i="3"/>
  <c r="AX499" i="3"/>
  <c r="AS499" i="3"/>
  <c r="AU491" i="3"/>
  <c r="AY491" i="3"/>
  <c r="BA491" i="3"/>
  <c r="AS491" i="3"/>
  <c r="AY475" i="3"/>
  <c r="AZ475" i="3"/>
  <c r="AT475" i="3"/>
  <c r="AR475" i="3"/>
  <c r="AR467" i="3"/>
  <c r="BA467" i="3"/>
  <c r="AS467" i="3"/>
  <c r="AU467" i="3"/>
  <c r="AZ467" i="3"/>
  <c r="AW451" i="3"/>
  <c r="AT451" i="3"/>
  <c r="AT443" i="3"/>
  <c r="AR443" i="3"/>
  <c r="AV443" i="3"/>
  <c r="AX443" i="3"/>
  <c r="AW427" i="3"/>
  <c r="AY427" i="3"/>
  <c r="AZ419" i="3"/>
  <c r="AR419" i="3"/>
  <c r="AU419" i="3"/>
  <c r="AV419" i="3"/>
  <c r="AT419" i="3"/>
  <c r="AR403" i="3"/>
  <c r="AS403" i="3"/>
  <c r="AX403" i="3"/>
  <c r="AV403" i="3"/>
  <c r="AT395" i="3"/>
  <c r="AS395" i="3"/>
  <c r="AW379" i="3"/>
  <c r="AX379" i="3"/>
  <c r="AR379" i="3"/>
  <c r="AT371" i="3"/>
  <c r="AU371" i="3"/>
  <c r="AY371" i="3"/>
  <c r="AV355" i="3"/>
  <c r="AZ355" i="3"/>
  <c r="AT355" i="3"/>
  <c r="AX347" i="3"/>
  <c r="AT347" i="3"/>
  <c r="AS347" i="3"/>
  <c r="BA331" i="3"/>
  <c r="AX331" i="3"/>
  <c r="AZ331" i="3"/>
  <c r="AT331" i="3"/>
  <c r="AW307" i="3"/>
  <c r="AY307" i="3"/>
  <c r="AS307" i="3"/>
  <c r="AR299" i="3"/>
  <c r="AZ299" i="3"/>
  <c r="AW283" i="3"/>
  <c r="AV283" i="3"/>
  <c r="AS259" i="3"/>
  <c r="BA259" i="3"/>
  <c r="AX251" i="3"/>
  <c r="AY251" i="3"/>
  <c r="AS227" i="3"/>
  <c r="AX227" i="3"/>
  <c r="BA203" i="3"/>
  <c r="AU203" i="3"/>
  <c r="AS163" i="3"/>
  <c r="AU163" i="3"/>
  <c r="AU155" i="3"/>
  <c r="BA155" i="3"/>
  <c r="AU139" i="3"/>
  <c r="BA139" i="3"/>
  <c r="AU115" i="3"/>
  <c r="AS115" i="3"/>
  <c r="AR107" i="3"/>
  <c r="AX107" i="3"/>
  <c r="AV91" i="3"/>
  <c r="AZ91" i="3"/>
  <c r="AU67" i="3"/>
  <c r="AW67" i="3"/>
  <c r="AO268" i="4"/>
  <c r="AQ268" i="4"/>
  <c r="AW116" i="4"/>
  <c r="AP116" i="4"/>
  <c r="AZ1699" i="3"/>
  <c r="AU1691" i="3"/>
  <c r="AW1683" i="3"/>
  <c r="AS1675" i="3"/>
  <c r="AY1667" i="3"/>
  <c r="BA1659" i="3"/>
  <c r="AX1643" i="3"/>
  <c r="AT1627" i="3"/>
  <c r="AZ1619" i="3"/>
  <c r="AX1611" i="3"/>
  <c r="AW1603" i="3"/>
  <c r="AY1595" i="3"/>
  <c r="AU1571" i="3"/>
  <c r="AT1563" i="3"/>
  <c r="AR1555" i="3"/>
  <c r="AT1547" i="3"/>
  <c r="AU1539" i="3"/>
  <c r="AV1531" i="3"/>
  <c r="AT1523" i="3"/>
  <c r="AZ1515" i="3"/>
  <c r="AX1499" i="3"/>
  <c r="AY1491" i="3"/>
  <c r="AU1475" i="3"/>
  <c r="AR1459" i="3"/>
  <c r="AV1451" i="3"/>
  <c r="AY1395" i="3"/>
  <c r="AS1387" i="3"/>
  <c r="AZ1379" i="3"/>
  <c r="AR1363" i="3"/>
  <c r="AY1339" i="3"/>
  <c r="BA1259" i="3"/>
  <c r="AV1251" i="3"/>
  <c r="AR1235" i="3"/>
  <c r="AT1211" i="3"/>
  <c r="AU1115" i="3"/>
  <c r="AY1011" i="3"/>
  <c r="AV971" i="3"/>
  <c r="BA963" i="3"/>
  <c r="AS955" i="3"/>
  <c r="AX851" i="3"/>
  <c r="AZ803" i="3"/>
  <c r="AS707" i="3"/>
  <c r="AW563" i="3"/>
  <c r="AX1395" i="3"/>
  <c r="AV1379" i="3"/>
  <c r="AZ1355" i="3"/>
  <c r="AW1339" i="3"/>
  <c r="BA1331" i="3"/>
  <c r="AZ1267" i="3"/>
  <c r="AZ1259" i="3"/>
  <c r="AR1251" i="3"/>
  <c r="AX1195" i="3"/>
  <c r="AX1171" i="3"/>
  <c r="AW1155" i="3"/>
  <c r="AT1115" i="3"/>
  <c r="AS1051" i="3"/>
  <c r="AS1011" i="3"/>
  <c r="AW907" i="3"/>
  <c r="BA899" i="3"/>
  <c r="AS675" i="3"/>
  <c r="AU499" i="3"/>
  <c r="BA347" i="3"/>
  <c r="AU1683" i="3"/>
  <c r="AW1667" i="3"/>
  <c r="AY1659" i="3"/>
  <c r="AZ1651" i="3"/>
  <c r="AV1643" i="3"/>
  <c r="BA1635" i="3"/>
  <c r="AV1619" i="3"/>
  <c r="AV1611" i="3"/>
  <c r="AU1603" i="3"/>
  <c r="AU1595" i="3"/>
  <c r="AZ1587" i="3"/>
  <c r="BA1579" i="3"/>
  <c r="AR1547" i="3"/>
  <c r="AS1539" i="3"/>
  <c r="AT1531" i="3"/>
  <c r="AR1523" i="3"/>
  <c r="AV1515" i="3"/>
  <c r="AS1499" i="3"/>
  <c r="AV1491" i="3"/>
  <c r="AW1467" i="3"/>
  <c r="AW1443" i="3"/>
  <c r="AY1435" i="3"/>
  <c r="BA1411" i="3"/>
  <c r="AZ1403" i="3"/>
  <c r="AV1395" i="3"/>
  <c r="AS1379" i="3"/>
  <c r="AX1355" i="3"/>
  <c r="AT1339" i="3"/>
  <c r="AW1331" i="3"/>
  <c r="BA1323" i="3"/>
  <c r="BA1291" i="3"/>
  <c r="AY1275" i="3"/>
  <c r="AY1267" i="3"/>
  <c r="AX1259" i="3"/>
  <c r="BA1243" i="3"/>
  <c r="AV1227" i="3"/>
  <c r="AV1219" i="3"/>
  <c r="AV1195" i="3"/>
  <c r="AW1171" i="3"/>
  <c r="AV1155" i="3"/>
  <c r="AZ1067" i="3"/>
  <c r="AT1059" i="3"/>
  <c r="AS899" i="3"/>
  <c r="AX859" i="3"/>
  <c r="AW763" i="3"/>
  <c r="BA667" i="3"/>
  <c r="AT499" i="3"/>
  <c r="AR1671" i="3"/>
  <c r="AZ1671" i="3"/>
  <c r="AS1663" i="3"/>
  <c r="BA1663" i="3"/>
  <c r="AR1655" i="3"/>
  <c r="AZ1655" i="3"/>
  <c r="AS1623" i="3"/>
  <c r="BA1623" i="3"/>
  <c r="AS1615" i="3"/>
  <c r="BA1615" i="3"/>
  <c r="AR1607" i="3"/>
  <c r="AZ1607" i="3"/>
  <c r="AR1559" i="3"/>
  <c r="AZ1559" i="3"/>
  <c r="AR1519" i="3"/>
  <c r="AZ1519" i="3"/>
  <c r="AR1463" i="3"/>
  <c r="AZ1463" i="3"/>
  <c r="AS1455" i="3"/>
  <c r="BA1455" i="3"/>
  <c r="AT1391" i="3"/>
  <c r="AR1391" i="3"/>
  <c r="BA1391" i="3"/>
  <c r="AS1383" i="3"/>
  <c r="BA1383" i="3"/>
  <c r="AT1383" i="3"/>
  <c r="AY1375" i="3"/>
  <c r="AT1375" i="3"/>
  <c r="AV1367" i="3"/>
  <c r="AT1367" i="3"/>
  <c r="AT1359" i="3"/>
  <c r="AU1359" i="3"/>
  <c r="AS1351" i="3"/>
  <c r="BA1351" i="3"/>
  <c r="AV1351" i="3"/>
  <c r="AX1343" i="3"/>
  <c r="AU1343" i="3"/>
  <c r="AV1335" i="3"/>
  <c r="AW1335" i="3"/>
  <c r="AR1327" i="3"/>
  <c r="AZ1327" i="3"/>
  <c r="AU1327" i="3"/>
  <c r="AV1319" i="3"/>
  <c r="AS1319" i="3"/>
  <c r="AX1311" i="3"/>
  <c r="AY1311" i="3"/>
  <c r="AS1303" i="3"/>
  <c r="BA1303" i="3"/>
  <c r="AV1303" i="3"/>
  <c r="AS1295" i="3"/>
  <c r="BA1295" i="3"/>
  <c r="AY1295" i="3"/>
  <c r="AU1287" i="3"/>
  <c r="AV1287" i="3"/>
  <c r="AX1279" i="3"/>
  <c r="AS1279" i="3"/>
  <c r="AY1271" i="3"/>
  <c r="AW1271" i="3"/>
  <c r="AS1263" i="3"/>
  <c r="BA1263" i="3"/>
  <c r="AT1263" i="3"/>
  <c r="AS1255" i="3"/>
  <c r="BA1255" i="3"/>
  <c r="AT1255" i="3"/>
  <c r="AU1255" i="3"/>
  <c r="AS1247" i="3"/>
  <c r="BA1247" i="3"/>
  <c r="AW1247" i="3"/>
  <c r="AR1247" i="3"/>
  <c r="AU1239" i="3"/>
  <c r="AS1239" i="3"/>
  <c r="AR1239" i="3"/>
  <c r="AW1231" i="3"/>
  <c r="AX1231" i="3"/>
  <c r="AY1231" i="3"/>
  <c r="AZ1231" i="3"/>
  <c r="AV1223" i="3"/>
  <c r="AZ1223" i="3"/>
  <c r="AR1223" i="3"/>
  <c r="BA1223" i="3"/>
  <c r="AV1215" i="3"/>
  <c r="AS1215" i="3"/>
  <c r="AY1215" i="3"/>
  <c r="AZ1215" i="3"/>
  <c r="AX1215" i="3"/>
  <c r="AW1207" i="3"/>
  <c r="AX1207" i="3"/>
  <c r="AY1207" i="3"/>
  <c r="AZ1207" i="3"/>
  <c r="AV1207" i="3"/>
  <c r="AV1199" i="3"/>
  <c r="AZ1199" i="3"/>
  <c r="AU1199" i="3"/>
  <c r="AW1199" i="3"/>
  <c r="AT1199" i="3"/>
  <c r="AU1191" i="3"/>
  <c r="AS1191" i="3"/>
  <c r="AR1191" i="3"/>
  <c r="AT1191" i="3"/>
  <c r="AS1183" i="3"/>
  <c r="BA1183" i="3"/>
  <c r="AU1183" i="3"/>
  <c r="AX1183" i="3"/>
  <c r="AY1183" i="3"/>
  <c r="AW1183" i="3"/>
  <c r="AY1175" i="3"/>
  <c r="AU1175" i="3"/>
  <c r="AS1175" i="3"/>
  <c r="AT1175" i="3"/>
  <c r="AR1175" i="3"/>
  <c r="AX1167" i="3"/>
  <c r="AW1167" i="3"/>
  <c r="BA1167" i="3"/>
  <c r="AR1167" i="3"/>
  <c r="AV1159" i="3"/>
  <c r="AY1159" i="3"/>
  <c r="AW1159" i="3"/>
  <c r="AX1159" i="3"/>
  <c r="AU1159" i="3"/>
  <c r="AT1151" i="3"/>
  <c r="AZ1151" i="3"/>
  <c r="AS1151" i="3"/>
  <c r="AU1151" i="3"/>
  <c r="AR1151" i="3"/>
  <c r="AR1143" i="3"/>
  <c r="AZ1143" i="3"/>
  <c r="BA1143" i="3"/>
  <c r="AX1143" i="3"/>
  <c r="AY1143" i="3"/>
  <c r="AW1143" i="3"/>
  <c r="AY1135" i="3"/>
  <c r="AS1135" i="3"/>
  <c r="AU1135" i="3"/>
  <c r="AV1135" i="3"/>
  <c r="AT1135" i="3"/>
  <c r="AY1127" i="3"/>
  <c r="AV1127" i="3"/>
  <c r="AS1127" i="3"/>
  <c r="AT1127" i="3"/>
  <c r="AR1127" i="3"/>
  <c r="AW1119" i="3"/>
  <c r="AX1119" i="3"/>
  <c r="AZ1119" i="3"/>
  <c r="BA1119" i="3"/>
  <c r="AU1111" i="3"/>
  <c r="AY1111" i="3"/>
  <c r="AV1111" i="3"/>
  <c r="AW1111" i="3"/>
  <c r="AX1111" i="3"/>
  <c r="AT1103" i="3"/>
  <c r="AR1103" i="3"/>
  <c r="BA1103" i="3"/>
  <c r="AS1103" i="3"/>
  <c r="AU1103" i="3"/>
  <c r="AV1103" i="3"/>
  <c r="AX1095" i="3"/>
  <c r="AY1095" i="3"/>
  <c r="AR1095" i="3"/>
  <c r="AV1095" i="3"/>
  <c r="AW1095" i="3"/>
  <c r="AZ1095" i="3"/>
  <c r="AV1087" i="3"/>
  <c r="AW1087" i="3"/>
  <c r="BA1087" i="3"/>
  <c r="AY1087" i="3"/>
  <c r="AX1087" i="3"/>
  <c r="AZ1087" i="3"/>
  <c r="AV1079" i="3"/>
  <c r="AS1079" i="3"/>
  <c r="BA1079" i="3"/>
  <c r="AT1079" i="3"/>
  <c r="AY1079" i="3"/>
  <c r="AZ1079" i="3"/>
  <c r="AR1079" i="3"/>
  <c r="AT1071" i="3"/>
  <c r="AW1071" i="3"/>
  <c r="AY1071" i="3"/>
  <c r="AV1071" i="3"/>
  <c r="AU1071" i="3"/>
  <c r="AX1071" i="3"/>
  <c r="AR1071" i="3"/>
  <c r="AY1063" i="3"/>
  <c r="AZ1063" i="3"/>
  <c r="AV1063" i="3"/>
  <c r="BA1063" i="3"/>
  <c r="AS1063" i="3"/>
  <c r="AT1063" i="3"/>
  <c r="AU1055" i="3"/>
  <c r="AS1055" i="3"/>
  <c r="AT1055" i="3"/>
  <c r="BA1055" i="3"/>
  <c r="AY1047" i="3"/>
  <c r="AT1047" i="3"/>
  <c r="AX1047" i="3"/>
  <c r="BA1047" i="3"/>
  <c r="AV1047" i="3"/>
  <c r="AW1047" i="3"/>
  <c r="AT1039" i="3"/>
  <c r="AW1039" i="3"/>
  <c r="AU1039" i="3"/>
  <c r="AS1039" i="3"/>
  <c r="AV1039" i="3"/>
  <c r="AZ1039" i="3"/>
  <c r="AW1031" i="3"/>
  <c r="AX1031" i="3"/>
  <c r="AZ1031" i="3"/>
  <c r="BA1031" i="3"/>
  <c r="AT1031" i="3"/>
  <c r="AR1023" i="3"/>
  <c r="AX1023" i="3"/>
  <c r="AT1023" i="3"/>
  <c r="AV1023" i="3"/>
  <c r="AW1023" i="3"/>
  <c r="AS1023" i="3"/>
  <c r="AT1015" i="3"/>
  <c r="AW1015" i="3"/>
  <c r="AV1015" i="3"/>
  <c r="AY1015" i="3"/>
  <c r="AZ1015" i="3"/>
  <c r="BA1015" i="3"/>
  <c r="AT1007" i="3"/>
  <c r="AV1007" i="3"/>
  <c r="AY1007" i="3"/>
  <c r="AS1007" i="3"/>
  <c r="AW999" i="3"/>
  <c r="AZ999" i="3"/>
  <c r="AX999" i="3"/>
  <c r="AV999" i="3"/>
  <c r="AY991" i="3"/>
  <c r="AV991" i="3"/>
  <c r="BA991" i="3"/>
  <c r="AT991" i="3"/>
  <c r="AU991" i="3"/>
  <c r="AY983" i="3"/>
  <c r="AT983" i="3"/>
  <c r="AZ983" i="3"/>
  <c r="BA983" i="3"/>
  <c r="AR983" i="3"/>
  <c r="AR975" i="3"/>
  <c r="AX975" i="3"/>
  <c r="AZ975" i="3"/>
  <c r="AS975" i="3"/>
  <c r="AT975" i="3"/>
  <c r="AV975" i="3"/>
  <c r="AS967" i="3"/>
  <c r="AV967" i="3"/>
  <c r="AT967" i="3"/>
  <c r="AU967" i="3"/>
  <c r="AY967" i="3"/>
  <c r="AZ967" i="3"/>
  <c r="AW959" i="3"/>
  <c r="AX959" i="3"/>
  <c r="AZ959" i="3"/>
  <c r="AT959" i="3"/>
  <c r="AU959" i="3"/>
  <c r="AS959" i="3"/>
  <c r="BA951" i="3"/>
  <c r="AY951" i="3"/>
  <c r="AT951" i="3"/>
  <c r="AU951" i="3"/>
  <c r="AV951" i="3"/>
  <c r="AX943" i="3"/>
  <c r="AV943" i="3"/>
  <c r="AT943" i="3"/>
  <c r="AW943" i="3"/>
  <c r="AY943" i="3"/>
  <c r="AS935" i="3"/>
  <c r="AY935" i="3"/>
  <c r="AV935" i="3"/>
  <c r="AX935" i="3"/>
  <c r="AT935" i="3"/>
  <c r="AU927" i="3"/>
  <c r="AT927" i="3"/>
  <c r="AZ927" i="3"/>
  <c r="AR927" i="3"/>
  <c r="AV927" i="3"/>
  <c r="AZ919" i="3"/>
  <c r="AY919" i="3"/>
  <c r="AS919" i="3"/>
  <c r="AR919" i="3"/>
  <c r="AT919" i="3"/>
  <c r="AW911" i="3"/>
  <c r="AY911" i="3"/>
  <c r="BA911" i="3"/>
  <c r="AU911" i="3"/>
  <c r="AV911" i="3"/>
  <c r="AX911" i="3"/>
  <c r="AU903" i="3"/>
  <c r="AW903" i="3"/>
  <c r="AR903" i="3"/>
  <c r="AX903" i="3"/>
  <c r="AZ903" i="3"/>
  <c r="AT903" i="3"/>
  <c r="AV895" i="3"/>
  <c r="AS895" i="3"/>
  <c r="AU895" i="3"/>
  <c r="BA895" i="3"/>
  <c r="AY887" i="3"/>
  <c r="AS887" i="3"/>
  <c r="BA887" i="3"/>
  <c r="AT887" i="3"/>
  <c r="AW887" i="3"/>
  <c r="AX879" i="3"/>
  <c r="AV879" i="3"/>
  <c r="AT879" i="3"/>
  <c r="AT871" i="3"/>
  <c r="AR871" i="3"/>
  <c r="AV871" i="3"/>
  <c r="AW871" i="3"/>
  <c r="AX871" i="3"/>
  <c r="AY863" i="3"/>
  <c r="AW863" i="3"/>
  <c r="AS863" i="3"/>
  <c r="AT863" i="3"/>
  <c r="BA863" i="3"/>
  <c r="AR863" i="3"/>
  <c r="AR855" i="3"/>
  <c r="AS855" i="3"/>
  <c r="AY855" i="3"/>
  <c r="AU855" i="3"/>
  <c r="AV855" i="3"/>
  <c r="AZ855" i="3"/>
  <c r="AS847" i="3"/>
  <c r="BA847" i="3"/>
  <c r="AV847" i="3"/>
  <c r="AY847" i="3"/>
  <c r="AZ847" i="3"/>
  <c r="AY839" i="3"/>
  <c r="AR839" i="3"/>
  <c r="AU839" i="3"/>
  <c r="AT839" i="3"/>
  <c r="AW831" i="3"/>
  <c r="AT831" i="3"/>
  <c r="AT823" i="3"/>
  <c r="AZ823" i="3"/>
  <c r="AW823" i="3"/>
  <c r="AY823" i="3"/>
  <c r="BA815" i="3"/>
  <c r="AS815" i="3"/>
  <c r="AU815" i="3"/>
  <c r="AY815" i="3"/>
  <c r="AZ815" i="3"/>
  <c r="BA799" i="3"/>
  <c r="AV799" i="3"/>
  <c r="AX799" i="3"/>
  <c r="AR799" i="3"/>
  <c r="AS799" i="3"/>
  <c r="AW799" i="3"/>
  <c r="AS791" i="3"/>
  <c r="AY791" i="3"/>
  <c r="AZ775" i="3"/>
  <c r="AR775" i="3"/>
  <c r="AW767" i="3"/>
  <c r="AV767" i="3"/>
  <c r="AY767" i="3"/>
  <c r="AZ767" i="3"/>
  <c r="AZ751" i="3"/>
  <c r="AX751" i="3"/>
  <c r="AX743" i="3"/>
  <c r="AV743" i="3"/>
  <c r="AW743" i="3"/>
  <c r="AY743" i="3"/>
  <c r="AT735" i="3"/>
  <c r="AW735" i="3"/>
  <c r="AW719" i="3"/>
  <c r="AZ719" i="3"/>
  <c r="AY719" i="3"/>
  <c r="AU703" i="3"/>
  <c r="AZ703" i="3"/>
  <c r="AV703" i="3"/>
  <c r="AR695" i="3"/>
  <c r="AY695" i="3"/>
  <c r="AZ695" i="3"/>
  <c r="AY679" i="3"/>
  <c r="AV679" i="3"/>
  <c r="AR671" i="3"/>
  <c r="AZ671" i="3"/>
  <c r="AU671" i="3"/>
  <c r="AX671" i="3"/>
  <c r="AW671" i="3"/>
  <c r="AV663" i="3"/>
  <c r="AY663" i="3"/>
  <c r="AR655" i="3"/>
  <c r="AW655" i="3"/>
  <c r="AU655" i="3"/>
  <c r="AU647" i="3"/>
  <c r="AX647" i="3"/>
  <c r="AU607" i="3"/>
  <c r="AZ607" i="3"/>
  <c r="AY607" i="3"/>
  <c r="AW575" i="3"/>
  <c r="AZ575" i="3"/>
  <c r="AR575" i="3"/>
  <c r="AZ551" i="3"/>
  <c r="AY551" i="3"/>
  <c r="AV551" i="3"/>
  <c r="AX535" i="3"/>
  <c r="AU535" i="3"/>
  <c r="AR527" i="3"/>
  <c r="AZ527" i="3"/>
  <c r="AW527" i="3"/>
  <c r="AZ503" i="3"/>
  <c r="AV503" i="3"/>
  <c r="AU503" i="3"/>
  <c r="AX503" i="3"/>
  <c r="AV487" i="3"/>
  <c r="AZ487" i="3"/>
  <c r="AW487" i="3"/>
  <c r="AZ479" i="3"/>
  <c r="AU479" i="3"/>
  <c r="AZ463" i="3"/>
  <c r="AX463" i="3"/>
  <c r="AX455" i="3"/>
  <c r="AU455" i="3"/>
  <c r="AW439" i="3"/>
  <c r="AZ439" i="3"/>
  <c r="AX431" i="3"/>
  <c r="AU431" i="3"/>
  <c r="AZ431" i="3"/>
  <c r="AU407" i="3"/>
  <c r="AX407" i="3"/>
  <c r="AV407" i="3"/>
  <c r="AW383" i="3"/>
  <c r="AR383" i="3"/>
  <c r="AW367" i="3"/>
  <c r="AX367" i="3"/>
  <c r="AW343" i="3"/>
  <c r="AY343" i="3"/>
  <c r="AX343" i="3"/>
  <c r="AZ343" i="3"/>
  <c r="AR271" i="3"/>
  <c r="AY271" i="3"/>
  <c r="AU271" i="3"/>
  <c r="AX143" i="3"/>
  <c r="BA143" i="3"/>
  <c r="AW71" i="3"/>
  <c r="AS71" i="3"/>
  <c r="AZ1761" i="3"/>
  <c r="AU1753" i="3"/>
  <c r="AU1737" i="3"/>
  <c r="AT1732" i="3"/>
  <c r="AZ1729" i="3"/>
  <c r="AV1724" i="3"/>
  <c r="AX1716" i="3"/>
  <c r="AS1713" i="3"/>
  <c r="BA1708" i="3"/>
  <c r="AS1708" i="3"/>
  <c r="AX1705" i="3"/>
  <c r="AV1700" i="3"/>
  <c r="AX1692" i="3"/>
  <c r="AS1689" i="3"/>
  <c r="AY1684" i="3"/>
  <c r="AU1681" i="3"/>
  <c r="AW1676" i="3"/>
  <c r="BA1673" i="3"/>
  <c r="BA1668" i="3"/>
  <c r="AR1668" i="3"/>
  <c r="AS1665" i="3"/>
  <c r="AT1660" i="3"/>
  <c r="AU1657" i="3"/>
  <c r="AT1652" i="3"/>
  <c r="AV1649" i="3"/>
  <c r="AU1647" i="3"/>
  <c r="AY1644" i="3"/>
  <c r="AZ1639" i="3"/>
  <c r="AT1636" i="3"/>
  <c r="AS1631" i="3"/>
  <c r="AV1628" i="3"/>
  <c r="AT1623" i="3"/>
  <c r="AX1620" i="3"/>
  <c r="AU1617" i="3"/>
  <c r="AV1615" i="3"/>
  <c r="AZ1612" i="3"/>
  <c r="AX1609" i="3"/>
  <c r="AW1607" i="3"/>
  <c r="AZ1604" i="3"/>
  <c r="BA1601" i="3"/>
  <c r="AW1599" i="3"/>
  <c r="AS1596" i="3"/>
  <c r="AZ1591" i="3"/>
  <c r="AV1588" i="3"/>
  <c r="AS1583" i="3"/>
  <c r="AW1580" i="3"/>
  <c r="AV1575" i="3"/>
  <c r="AY1572" i="3"/>
  <c r="AX1569" i="3"/>
  <c r="AX1567" i="3"/>
  <c r="BA1564" i="3"/>
  <c r="AR1564" i="3"/>
  <c r="BA1561" i="3"/>
  <c r="AX1559" i="3"/>
  <c r="AS1556" i="3"/>
  <c r="AZ1551" i="3"/>
  <c r="AU1548" i="3"/>
  <c r="BA1543" i="3"/>
  <c r="AR1543" i="3"/>
  <c r="AW1540" i="3"/>
  <c r="AS1535" i="3"/>
  <c r="AW1532" i="3"/>
  <c r="AZ1527" i="3"/>
  <c r="AV1524" i="3"/>
  <c r="AY1521" i="3"/>
  <c r="AX1519" i="3"/>
  <c r="BA1516" i="3"/>
  <c r="AR1516" i="3"/>
  <c r="AV1511" i="3"/>
  <c r="AY1508" i="3"/>
  <c r="BA1503" i="3"/>
  <c r="AR1503" i="3"/>
  <c r="AV1500" i="3"/>
  <c r="AX1497" i="3"/>
  <c r="AW1495" i="3"/>
  <c r="AZ1492" i="3"/>
  <c r="BA1487" i="3"/>
  <c r="AR1487" i="3"/>
  <c r="AW1484" i="3"/>
  <c r="AY1481" i="3"/>
  <c r="AW1479" i="3"/>
  <c r="AS1476" i="3"/>
  <c r="AT1471" i="3"/>
  <c r="AY1468" i="3"/>
  <c r="AY1463" i="3"/>
  <c r="AT1460" i="3"/>
  <c r="AR1457" i="3"/>
  <c r="AU1455" i="3"/>
  <c r="AY1452" i="3"/>
  <c r="BA1449" i="3"/>
  <c r="AZ1447" i="3"/>
  <c r="AU1444" i="3"/>
  <c r="AU1441" i="3"/>
  <c r="AW1439" i="3"/>
  <c r="BA1436" i="3"/>
  <c r="BA1431" i="3"/>
  <c r="AR1431" i="3"/>
  <c r="AV1428" i="3"/>
  <c r="AX1425" i="3"/>
  <c r="AV1423" i="3"/>
  <c r="BA1420" i="3"/>
  <c r="AR1420" i="3"/>
  <c r="AS1415" i="3"/>
  <c r="AU1412" i="3"/>
  <c r="AR1409" i="3"/>
  <c r="AU1407" i="3"/>
  <c r="AX1404" i="3"/>
  <c r="AZ1401" i="3"/>
  <c r="AY1399" i="3"/>
  <c r="BA1396" i="3"/>
  <c r="AX1391" i="3"/>
  <c r="AZ1388" i="3"/>
  <c r="AZ1385" i="3"/>
  <c r="AU1383" i="3"/>
  <c r="AU1380" i="3"/>
  <c r="AZ1375" i="3"/>
  <c r="BA1372" i="3"/>
  <c r="AU1367" i="3"/>
  <c r="AV1364" i="3"/>
  <c r="AZ1359" i="3"/>
  <c r="AS1356" i="3"/>
  <c r="AW1351" i="3"/>
  <c r="AW1348" i="3"/>
  <c r="BA1343" i="3"/>
  <c r="AS1340" i="3"/>
  <c r="AX1335" i="3"/>
  <c r="AV1332" i="3"/>
  <c r="BA1327" i="3"/>
  <c r="AZ1324" i="3"/>
  <c r="AU1319" i="3"/>
  <c r="AU1316" i="3"/>
  <c r="AV1311" i="3"/>
  <c r="AV1308" i="3"/>
  <c r="AY1303" i="3"/>
  <c r="AX1300" i="3"/>
  <c r="AX1295" i="3"/>
  <c r="AW1292" i="3"/>
  <c r="AZ1287" i="3"/>
  <c r="BA1284" i="3"/>
  <c r="AS1281" i="3"/>
  <c r="AT1279" i="3"/>
  <c r="AR1276" i="3"/>
  <c r="AY1273" i="3"/>
  <c r="AT1271" i="3"/>
  <c r="AV1263" i="3"/>
  <c r="AU1260" i="3"/>
  <c r="BA1252" i="3"/>
  <c r="AX1247" i="3"/>
  <c r="AV1244" i="3"/>
  <c r="AT1239" i="3"/>
  <c r="AZ1236" i="3"/>
  <c r="AT1231" i="3"/>
  <c r="AT1223" i="3"/>
  <c r="BA1215" i="3"/>
  <c r="AS1212" i="3"/>
  <c r="AS1207" i="3"/>
  <c r="BA1204" i="3"/>
  <c r="AV1196" i="3"/>
  <c r="AW1191" i="3"/>
  <c r="AX1188" i="3"/>
  <c r="AV1183" i="3"/>
  <c r="AT1167" i="3"/>
  <c r="BA1164" i="3"/>
  <c r="BA1159" i="3"/>
  <c r="AS1143" i="3"/>
  <c r="AZ1140" i="3"/>
  <c r="AZ1135" i="3"/>
  <c r="AU1127" i="3"/>
  <c r="AW1124" i="3"/>
  <c r="AV1119" i="3"/>
  <c r="AX1108" i="3"/>
  <c r="AX1103" i="3"/>
  <c r="AX1100" i="3"/>
  <c r="AT1095" i="3"/>
  <c r="BA1092" i="3"/>
  <c r="AU1087" i="3"/>
  <c r="BA1076" i="3"/>
  <c r="AZ1071" i="3"/>
  <c r="AV1068" i="3"/>
  <c r="AZ1055" i="3"/>
  <c r="BA1052" i="3"/>
  <c r="AZ1047" i="3"/>
  <c r="AW1044" i="3"/>
  <c r="AY1031" i="3"/>
  <c r="AY1028" i="3"/>
  <c r="AU1023" i="3"/>
  <c r="AX1015" i="3"/>
  <c r="AX1004" i="3"/>
  <c r="AW991" i="3"/>
  <c r="AX983" i="3"/>
  <c r="AX951" i="3"/>
  <c r="AU935" i="3"/>
  <c r="AZ895" i="3"/>
  <c r="BA871" i="3"/>
  <c r="AX863" i="3"/>
  <c r="AZ839" i="3"/>
  <c r="AV791" i="3"/>
  <c r="AV727" i="3"/>
  <c r="AW679" i="3"/>
  <c r="AZ583" i="3"/>
  <c r="AR551" i="3"/>
  <c r="AU383" i="3"/>
  <c r="BA1732" i="3"/>
  <c r="AZ1708" i="3"/>
  <c r="AZ1673" i="3"/>
  <c r="AY1671" i="3"/>
  <c r="AZ1668" i="3"/>
  <c r="AR1665" i="3"/>
  <c r="AU1663" i="3"/>
  <c r="AS1657" i="3"/>
  <c r="AV1655" i="3"/>
  <c r="AS1652" i="3"/>
  <c r="AT1647" i="3"/>
  <c r="BA1641" i="3"/>
  <c r="AY1639" i="3"/>
  <c r="BA1631" i="3"/>
  <c r="AR1631" i="3"/>
  <c r="AU1628" i="3"/>
  <c r="AR1623" i="3"/>
  <c r="AW1620" i="3"/>
  <c r="AU1615" i="3"/>
  <c r="AY1612" i="3"/>
  <c r="AV1607" i="3"/>
  <c r="AY1604" i="3"/>
  <c r="AU1601" i="3"/>
  <c r="AV1599" i="3"/>
  <c r="BA1596" i="3"/>
  <c r="AR1596" i="3"/>
  <c r="AY1591" i="3"/>
  <c r="AU1588" i="3"/>
  <c r="BA1583" i="3"/>
  <c r="AR1583" i="3"/>
  <c r="AT1575" i="3"/>
  <c r="AW1567" i="3"/>
  <c r="AZ1564" i="3"/>
  <c r="AW1559" i="3"/>
  <c r="BA1556" i="3"/>
  <c r="AR1556" i="3"/>
  <c r="BA1553" i="3"/>
  <c r="AX1551" i="3"/>
  <c r="AT1548" i="3"/>
  <c r="AZ1543" i="3"/>
  <c r="AV1540" i="3"/>
  <c r="BA1535" i="3"/>
  <c r="AR1535" i="3"/>
  <c r="AV1532" i="3"/>
  <c r="AZ1529" i="3"/>
  <c r="AY1527" i="3"/>
  <c r="AU1524" i="3"/>
  <c r="AW1519" i="3"/>
  <c r="AZ1516" i="3"/>
  <c r="AU1511" i="3"/>
  <c r="AW1508" i="3"/>
  <c r="AZ1503" i="3"/>
  <c r="AU1497" i="3"/>
  <c r="AU1495" i="3"/>
  <c r="AZ1487" i="3"/>
  <c r="AV1484" i="3"/>
  <c r="AU1481" i="3"/>
  <c r="AV1479" i="3"/>
  <c r="BA1476" i="3"/>
  <c r="AR1476" i="3"/>
  <c r="AS1471" i="3"/>
  <c r="AX1468" i="3"/>
  <c r="AY1465" i="3"/>
  <c r="AX1463" i="3"/>
  <c r="AS1460" i="3"/>
  <c r="AT1455" i="3"/>
  <c r="AW1452" i="3"/>
  <c r="AY1447" i="3"/>
  <c r="AT1444" i="3"/>
  <c r="AS1441" i="3"/>
  <c r="AV1439" i="3"/>
  <c r="AZ1431" i="3"/>
  <c r="AR1425" i="3"/>
  <c r="AU1423" i="3"/>
  <c r="AZ1420" i="3"/>
  <c r="BA1415" i="3"/>
  <c r="AR1415" i="3"/>
  <c r="AT1407" i="3"/>
  <c r="AY1401" i="3"/>
  <c r="AX1399" i="3"/>
  <c r="AW1391" i="3"/>
  <c r="AX1385" i="3"/>
  <c r="AR1383" i="3"/>
  <c r="AX1375" i="3"/>
  <c r="AS1367" i="3"/>
  <c r="AY1359" i="3"/>
  <c r="AU1351" i="3"/>
  <c r="AZ1343" i="3"/>
  <c r="AU1335" i="3"/>
  <c r="AY1327" i="3"/>
  <c r="AX1321" i="3"/>
  <c r="AT1319" i="3"/>
  <c r="AU1311" i="3"/>
  <c r="AX1303" i="3"/>
  <c r="AW1295" i="3"/>
  <c r="AY1287" i="3"/>
  <c r="AR1279" i="3"/>
  <c r="AS1273" i="3"/>
  <c r="AS1271" i="3"/>
  <c r="AY1265" i="3"/>
  <c r="AU1263" i="3"/>
  <c r="AV1247" i="3"/>
  <c r="AS1231" i="3"/>
  <c r="AS1223" i="3"/>
  <c r="AW1215" i="3"/>
  <c r="AR1207" i="3"/>
  <c r="BA1199" i="3"/>
  <c r="AV1191" i="3"/>
  <c r="AT1183" i="3"/>
  <c r="BA1175" i="3"/>
  <c r="AS1167" i="3"/>
  <c r="AZ1159" i="3"/>
  <c r="AX1135" i="3"/>
  <c r="AU1119" i="3"/>
  <c r="AW1103" i="3"/>
  <c r="AS1095" i="3"/>
  <c r="AT1087" i="3"/>
  <c r="AX1079" i="3"/>
  <c r="AS1071" i="3"/>
  <c r="AY1055" i="3"/>
  <c r="AU1047" i="3"/>
  <c r="AV1031" i="3"/>
  <c r="AU1015" i="3"/>
  <c r="BA1007" i="3"/>
  <c r="AS991" i="3"/>
  <c r="AW983" i="3"/>
  <c r="AW951" i="3"/>
  <c r="BA927" i="3"/>
  <c r="AX895" i="3"/>
  <c r="BA879" i="3"/>
  <c r="AY871" i="3"/>
  <c r="AU863" i="3"/>
  <c r="AX839" i="3"/>
  <c r="AV815" i="3"/>
  <c r="AU791" i="3"/>
  <c r="AT767" i="3"/>
  <c r="AT679" i="3"/>
  <c r="AW639" i="3"/>
  <c r="AY455" i="3"/>
  <c r="AS1676" i="3"/>
  <c r="BA1676" i="3"/>
  <c r="AS1660" i="3"/>
  <c r="BA1660" i="3"/>
  <c r="AS1644" i="3"/>
  <c r="BA1644" i="3"/>
  <c r="AS1636" i="3"/>
  <c r="BA1636" i="3"/>
  <c r="AS1580" i="3"/>
  <c r="BA1580" i="3"/>
  <c r="AR1572" i="3"/>
  <c r="AZ1572" i="3"/>
  <c r="AR1500" i="3"/>
  <c r="AZ1500" i="3"/>
  <c r="AS1492" i="3"/>
  <c r="BA1492" i="3"/>
  <c r="AR1436" i="3"/>
  <c r="AZ1436" i="3"/>
  <c r="AS1428" i="3"/>
  <c r="BA1428" i="3"/>
  <c r="AS1412" i="3"/>
  <c r="BA1412" i="3"/>
  <c r="AS1404" i="3"/>
  <c r="BA1404" i="3"/>
  <c r="AR1396" i="3"/>
  <c r="AZ1396" i="3"/>
  <c r="AX1388" i="3"/>
  <c r="AU1388" i="3"/>
  <c r="AW1380" i="3"/>
  <c r="AV1380" i="3"/>
  <c r="AT1372" i="3"/>
  <c r="AW1372" i="3"/>
  <c r="AR1364" i="3"/>
  <c r="AZ1364" i="3"/>
  <c r="AW1364" i="3"/>
  <c r="AY1356" i="3"/>
  <c r="AX1356" i="3"/>
  <c r="AV1348" i="3"/>
  <c r="AX1348" i="3"/>
  <c r="AT1340" i="3"/>
  <c r="AY1340" i="3"/>
  <c r="AX1332" i="3"/>
  <c r="AW1332" i="3"/>
  <c r="AT1324" i="3"/>
  <c r="AV1324" i="3"/>
  <c r="AX1316" i="3"/>
  <c r="AT1316" i="3"/>
  <c r="AR1308" i="3"/>
  <c r="AZ1308" i="3"/>
  <c r="AY1308" i="3"/>
  <c r="AT1300" i="3"/>
  <c r="AV1300" i="3"/>
  <c r="AT1292" i="3"/>
  <c r="AY1292" i="3"/>
  <c r="AX1284" i="3"/>
  <c r="AW1284" i="3"/>
  <c r="AY1276" i="3"/>
  <c r="AS1276" i="3"/>
  <c r="AR1268" i="3"/>
  <c r="AZ1268" i="3"/>
  <c r="AW1268" i="3"/>
  <c r="AT1260" i="3"/>
  <c r="AS1260" i="3"/>
  <c r="AU1252" i="3"/>
  <c r="AT1252" i="3"/>
  <c r="AS1252" i="3"/>
  <c r="AU1244" i="3"/>
  <c r="AX1244" i="3"/>
  <c r="AR1244" i="3"/>
  <c r="AV1236" i="3"/>
  <c r="AR1236" i="3"/>
  <c r="AS1236" i="3"/>
  <c r="BA1236" i="3"/>
  <c r="AX1228" i="3"/>
  <c r="AW1228" i="3"/>
  <c r="AY1228" i="3"/>
  <c r="AU1228" i="3"/>
  <c r="AW1220" i="3"/>
  <c r="AY1220" i="3"/>
  <c r="AZ1220" i="3"/>
  <c r="BA1220" i="3"/>
  <c r="AU1220" i="3"/>
  <c r="AX1212" i="3"/>
  <c r="AT1212" i="3"/>
  <c r="AY1212" i="3"/>
  <c r="AZ1212" i="3"/>
  <c r="AU1212" i="3"/>
  <c r="AW1204" i="3"/>
  <c r="AV1204" i="3"/>
  <c r="AU1204" i="3"/>
  <c r="AX1204" i="3"/>
  <c r="AR1204" i="3"/>
  <c r="AW1196" i="3"/>
  <c r="AZ1196" i="3"/>
  <c r="AT1196" i="3"/>
  <c r="AU1196" i="3"/>
  <c r="AU1188" i="3"/>
  <c r="AR1188" i="3"/>
  <c r="BA1188" i="3"/>
  <c r="AY1188" i="3"/>
  <c r="AZ1188" i="3"/>
  <c r="AV1188" i="3"/>
  <c r="AS1180" i="3"/>
  <c r="BA1180" i="3"/>
  <c r="AR1180" i="3"/>
  <c r="AU1180" i="3"/>
  <c r="AV1180" i="3"/>
  <c r="AY1172" i="3"/>
  <c r="AT1172" i="3"/>
  <c r="BA1172" i="3"/>
  <c r="AR1172" i="3"/>
  <c r="AX1172" i="3"/>
  <c r="AX1164" i="3"/>
  <c r="AV1164" i="3"/>
  <c r="AY1164" i="3"/>
  <c r="AZ1164" i="3"/>
  <c r="AT1164" i="3"/>
  <c r="AV1156" i="3"/>
  <c r="AX1156" i="3"/>
  <c r="AT1156" i="3"/>
  <c r="AU1156" i="3"/>
  <c r="AS1148" i="3"/>
  <c r="BA1148" i="3"/>
  <c r="AW1148" i="3"/>
  <c r="AY1148" i="3"/>
  <c r="AZ1148" i="3"/>
  <c r="AU1148" i="3"/>
  <c r="AS1140" i="3"/>
  <c r="BA1140" i="3"/>
  <c r="AY1140" i="3"/>
  <c r="AV1140" i="3"/>
  <c r="AW1140" i="3"/>
  <c r="AR1140" i="3"/>
  <c r="AR1132" i="3"/>
  <c r="AZ1132" i="3"/>
  <c r="AS1132" i="3"/>
  <c r="AT1132" i="3"/>
  <c r="AU1132" i="3"/>
  <c r="AY1124" i="3"/>
  <c r="AU1124" i="3"/>
  <c r="BA1124" i="3"/>
  <c r="AR1124" i="3"/>
  <c r="AX1124" i="3"/>
  <c r="AW1116" i="3"/>
  <c r="AV1116" i="3"/>
  <c r="AX1116" i="3"/>
  <c r="AY1116" i="3"/>
  <c r="AT1116" i="3"/>
  <c r="AV1108" i="3"/>
  <c r="AY1108" i="3"/>
  <c r="AT1108" i="3"/>
  <c r="AU1108" i="3"/>
  <c r="AR1108" i="3"/>
  <c r="AT1100" i="3"/>
  <c r="AZ1100" i="3"/>
  <c r="AY1100" i="3"/>
  <c r="BA1100" i="3"/>
  <c r="AW1100" i="3"/>
  <c r="AX1092" i="3"/>
  <c r="AW1092" i="3"/>
  <c r="AZ1092" i="3"/>
  <c r="AR1092" i="3"/>
  <c r="AS1092" i="3"/>
  <c r="AV1084" i="3"/>
  <c r="AY1084" i="3"/>
  <c r="AU1084" i="3"/>
  <c r="AS1084" i="3"/>
  <c r="AT1084" i="3"/>
  <c r="AW1084" i="3"/>
  <c r="AY1076" i="3"/>
  <c r="AV1076" i="3"/>
  <c r="AX1076" i="3"/>
  <c r="AR1076" i="3"/>
  <c r="AU1076" i="3"/>
  <c r="AT1068" i="3"/>
  <c r="AU1068" i="3"/>
  <c r="BA1068" i="3"/>
  <c r="AY1068" i="3"/>
  <c r="AZ1068" i="3"/>
  <c r="AS1068" i="3"/>
  <c r="AV1060" i="3"/>
  <c r="AR1060" i="3"/>
  <c r="BA1060" i="3"/>
  <c r="AS1060" i="3"/>
  <c r="AW1060" i="3"/>
  <c r="AX1060" i="3"/>
  <c r="AW1052" i="3"/>
  <c r="AV1052" i="3"/>
  <c r="AR1052" i="3"/>
  <c r="AS1052" i="3"/>
  <c r="AY1044" i="3"/>
  <c r="AS1044" i="3"/>
  <c r="AT1044" i="3"/>
  <c r="AZ1044" i="3"/>
  <c r="BA1044" i="3"/>
  <c r="AR1036" i="3"/>
  <c r="AZ1036" i="3"/>
  <c r="AW1036" i="3"/>
  <c r="AS1036" i="3"/>
  <c r="AU1036" i="3"/>
  <c r="AV1036" i="3"/>
  <c r="AX1036" i="3"/>
  <c r="AS1028" i="3"/>
  <c r="BA1028" i="3"/>
  <c r="AR1028" i="3"/>
  <c r="AT1028" i="3"/>
  <c r="AW1028" i="3"/>
  <c r="AY1020" i="3"/>
  <c r="AT1020" i="3"/>
  <c r="AZ1020" i="3"/>
  <c r="AS1020" i="3"/>
  <c r="AU1020" i="3"/>
  <c r="AY1012" i="3"/>
  <c r="AW1012" i="3"/>
  <c r="AX1012" i="3"/>
  <c r="AV1012" i="3"/>
  <c r="AZ1012" i="3"/>
  <c r="AT1012" i="3"/>
  <c r="AY1004" i="3"/>
  <c r="AW1004" i="3"/>
  <c r="AZ1004" i="3"/>
  <c r="AT1004" i="3"/>
  <c r="BA1004" i="3"/>
  <c r="AT996" i="3"/>
  <c r="AS996" i="3"/>
  <c r="AZ996" i="3"/>
  <c r="BA996" i="3"/>
  <c r="AW996" i="3"/>
  <c r="AW988" i="3"/>
  <c r="AY988" i="3"/>
  <c r="BA988" i="3"/>
  <c r="AT988" i="3"/>
  <c r="AU988" i="3"/>
  <c r="AZ988" i="3"/>
  <c r="AX980" i="3"/>
  <c r="AT980" i="3"/>
  <c r="BA980" i="3"/>
  <c r="AZ980" i="3"/>
  <c r="AU980" i="3"/>
  <c r="AV980" i="3"/>
  <c r="AY972" i="3"/>
  <c r="AU972" i="3"/>
  <c r="AV972" i="3"/>
  <c r="BA972" i="3"/>
  <c r="AW964" i="3"/>
  <c r="AU964" i="3"/>
  <c r="AW948" i="3"/>
  <c r="AU948" i="3"/>
  <c r="AW940" i="3"/>
  <c r="AU940" i="3"/>
  <c r="AV924" i="3"/>
  <c r="AT924" i="3"/>
  <c r="AR908" i="3"/>
  <c r="AX908" i="3"/>
  <c r="AV860" i="3"/>
  <c r="AT860" i="3"/>
  <c r="AX796" i="3"/>
  <c r="AV796" i="3"/>
  <c r="AY788" i="3"/>
  <c r="AW788" i="3"/>
  <c r="AW756" i="3"/>
  <c r="AU756" i="3"/>
  <c r="AY732" i="3"/>
  <c r="AW732" i="3"/>
  <c r="AW580" i="3"/>
  <c r="AS580" i="3"/>
  <c r="BA516" i="3"/>
  <c r="AS516" i="3"/>
  <c r="AW1305" i="3"/>
  <c r="AW1180" i="3"/>
  <c r="AZ1172" i="3"/>
  <c r="AR1164" i="3"/>
  <c r="AZ1156" i="3"/>
  <c r="AY1132" i="3"/>
  <c r="AZ1116" i="3"/>
  <c r="AR1100" i="3"/>
  <c r="AT1092" i="3"/>
  <c r="AX1084" i="3"/>
  <c r="AS1076" i="3"/>
  <c r="AY1060" i="3"/>
  <c r="AU1052" i="3"/>
  <c r="AT1036" i="3"/>
  <c r="AV1020" i="3"/>
  <c r="AR1004" i="3"/>
  <c r="AV996" i="3"/>
  <c r="AX988" i="3"/>
  <c r="AW980" i="3"/>
  <c r="AU892" i="3"/>
  <c r="AV596" i="3"/>
  <c r="BA1377" i="3"/>
  <c r="AU1377" i="3"/>
  <c r="BA1369" i="3"/>
  <c r="AU1369" i="3"/>
  <c r="AX1369" i="3"/>
  <c r="BA1361" i="3"/>
  <c r="AX1361" i="3"/>
  <c r="BA1353" i="3"/>
  <c r="AY1353" i="3"/>
  <c r="AZ1345" i="3"/>
  <c r="AY1345" i="3"/>
  <c r="AV1345" i="3"/>
  <c r="AX1337" i="3"/>
  <c r="AS1337" i="3"/>
  <c r="AX1329" i="3"/>
  <c r="AW1329" i="3"/>
  <c r="AX1289" i="3"/>
  <c r="BA1289" i="3"/>
  <c r="AU1257" i="3"/>
  <c r="AZ1257" i="3"/>
  <c r="AR1241" i="3"/>
  <c r="AV1241" i="3"/>
  <c r="AT1209" i="3"/>
  <c r="AX1209" i="3"/>
  <c r="AU1473" i="3"/>
  <c r="BA1425" i="3"/>
  <c r="AR1417" i="3"/>
  <c r="AW1412" i="3"/>
  <c r="AY1409" i="3"/>
  <c r="AZ1404" i="3"/>
  <c r="AT1396" i="3"/>
  <c r="AR1388" i="3"/>
  <c r="AY1380" i="3"/>
  <c r="AS1372" i="3"/>
  <c r="AY1364" i="3"/>
  <c r="AU1361" i="3"/>
  <c r="AU1356" i="3"/>
  <c r="AZ1348" i="3"/>
  <c r="AU1345" i="3"/>
  <c r="AV1340" i="3"/>
  <c r="AZ1332" i="3"/>
  <c r="AS1329" i="3"/>
  <c r="AR1324" i="3"/>
  <c r="AW1316" i="3"/>
  <c r="AX1308" i="3"/>
  <c r="AZ1300" i="3"/>
  <c r="AZ1292" i="3"/>
  <c r="AS1289" i="3"/>
  <c r="AS1284" i="3"/>
  <c r="AU1276" i="3"/>
  <c r="AU1268" i="3"/>
  <c r="AW1260" i="3"/>
  <c r="AR1252" i="3"/>
  <c r="AY1244" i="3"/>
  <c r="AS1228" i="3"/>
  <c r="AW1212" i="3"/>
  <c r="AY1196" i="3"/>
  <c r="AV1172" i="3"/>
  <c r="AW1156" i="3"/>
  <c r="AV1148" i="3"/>
  <c r="AW1132" i="3"/>
  <c r="AS1116" i="3"/>
  <c r="BA1108" i="3"/>
  <c r="BA1095" i="3"/>
  <c r="AX1068" i="3"/>
  <c r="AU1063" i="3"/>
  <c r="AT1060" i="3"/>
  <c r="AX1039" i="3"/>
  <c r="BA1023" i="3"/>
  <c r="AU1012" i="3"/>
  <c r="AT999" i="3"/>
  <c r="AR996" i="3"/>
  <c r="AS988" i="3"/>
  <c r="AR980" i="3"/>
  <c r="BA975" i="3"/>
  <c r="AV959" i="3"/>
  <c r="AU919" i="3"/>
  <c r="AS911" i="3"/>
  <c r="BA903" i="3"/>
  <c r="AR847" i="3"/>
  <c r="AY799" i="3"/>
  <c r="AU775" i="3"/>
  <c r="AX703" i="3"/>
  <c r="AR647" i="3"/>
  <c r="AY1338" i="3"/>
  <c r="AR1392" i="3"/>
  <c r="AZ1392" i="3"/>
  <c r="AR1360" i="3"/>
  <c r="AZ1360" i="3"/>
  <c r="AS1288" i="3"/>
  <c r="BA1288" i="3"/>
  <c r="AY1256" i="3"/>
  <c r="AS1256" i="3"/>
  <c r="AY1248" i="3"/>
  <c r="AV1248" i="3"/>
  <c r="AS1240" i="3"/>
  <c r="BA1240" i="3"/>
  <c r="AR1240" i="3"/>
  <c r="AU1232" i="3"/>
  <c r="AW1232" i="3"/>
  <c r="AX1232" i="3"/>
  <c r="AT1224" i="3"/>
  <c r="AY1224" i="3"/>
  <c r="AZ1224" i="3"/>
  <c r="AT1216" i="3"/>
  <c r="AR1216" i="3"/>
  <c r="BA1216" i="3"/>
  <c r="AY1216" i="3"/>
  <c r="AZ1216" i="3"/>
  <c r="AU1208" i="3"/>
  <c r="AW1208" i="3"/>
  <c r="AY1208" i="3"/>
  <c r="AZ1208" i="3"/>
  <c r="AT1200" i="3"/>
  <c r="AY1200" i="3"/>
  <c r="AV1200" i="3"/>
  <c r="AW1200" i="3"/>
  <c r="AS1192" i="3"/>
  <c r="BA1192" i="3"/>
  <c r="AR1192" i="3"/>
  <c r="AT1192" i="3"/>
  <c r="AU1192" i="3"/>
  <c r="AY1184" i="3"/>
  <c r="AT1184" i="3"/>
  <c r="AX1184" i="3"/>
  <c r="AZ1184" i="3"/>
  <c r="AW1176" i="3"/>
  <c r="AT1176" i="3"/>
  <c r="AS1176" i="3"/>
  <c r="AU1176" i="3"/>
  <c r="AV1168" i="3"/>
  <c r="AW1168" i="3"/>
  <c r="BA1168" i="3"/>
  <c r="AR1168" i="3"/>
  <c r="AT1160" i="3"/>
  <c r="AX1160" i="3"/>
  <c r="AW1160" i="3"/>
  <c r="AY1160" i="3"/>
  <c r="AR1152" i="3"/>
  <c r="AZ1152" i="3"/>
  <c r="AY1152" i="3"/>
  <c r="AT1152" i="3"/>
  <c r="AU1152" i="3"/>
  <c r="AX1144" i="3"/>
  <c r="AZ1144" i="3"/>
  <c r="AY1144" i="3"/>
  <c r="BA1144" i="3"/>
  <c r="AW1136" i="3"/>
  <c r="AR1136" i="3"/>
  <c r="BA1136" i="3"/>
  <c r="AU1136" i="3"/>
  <c r="AV1136" i="3"/>
  <c r="AW1128" i="3"/>
  <c r="AU1128" i="3"/>
  <c r="AS1128" i="3"/>
  <c r="AT1128" i="3"/>
  <c r="AU1120" i="3"/>
  <c r="AW1120" i="3"/>
  <c r="AZ1120" i="3"/>
  <c r="BA1120" i="3"/>
  <c r="AS1112" i="3"/>
  <c r="BA1112" i="3"/>
  <c r="AX1112" i="3"/>
  <c r="AV1112" i="3"/>
  <c r="AW1112" i="3"/>
  <c r="AR1104" i="3"/>
  <c r="AZ1104" i="3"/>
  <c r="BA1104" i="3"/>
  <c r="AT1104" i="3"/>
  <c r="AU1104" i="3"/>
  <c r="AV1096" i="3"/>
  <c r="AX1096" i="3"/>
  <c r="AR1096" i="3"/>
  <c r="AY1096" i="3"/>
  <c r="AZ1096" i="3"/>
  <c r="AU1088" i="3"/>
  <c r="AZ1088" i="3"/>
  <c r="AY1088" i="3"/>
  <c r="BA1088" i="3"/>
  <c r="AR1080" i="3"/>
  <c r="AZ1080" i="3"/>
  <c r="BA1080" i="3"/>
  <c r="AU1080" i="3"/>
  <c r="AU1072" i="3"/>
  <c r="AX1072" i="3"/>
  <c r="AW1072" i="3"/>
  <c r="AY1072" i="3"/>
  <c r="AZ1072" i="3"/>
  <c r="AX1064" i="3"/>
  <c r="AV1064" i="3"/>
  <c r="BA1064" i="3"/>
  <c r="AU1064" i="3"/>
  <c r="AW1064" i="3"/>
  <c r="AR1056" i="3"/>
  <c r="AZ1056" i="3"/>
  <c r="AT1056" i="3"/>
  <c r="AS1056" i="3"/>
  <c r="AU1056" i="3"/>
  <c r="AS1048" i="3"/>
  <c r="BA1048" i="3"/>
  <c r="AX1048" i="3"/>
  <c r="AY1048" i="3"/>
  <c r="AZ1048" i="3"/>
  <c r="AU1040" i="3"/>
  <c r="AT1040" i="3"/>
  <c r="AR1040" i="3"/>
  <c r="AW1040" i="3"/>
  <c r="AX1040" i="3"/>
  <c r="AV1032" i="3"/>
  <c r="AY1032" i="3"/>
  <c r="AR1032" i="3"/>
  <c r="AS1032" i="3"/>
  <c r="AW1024" i="3"/>
  <c r="AT1024" i="3"/>
  <c r="AR1024" i="3"/>
  <c r="AY1024" i="3"/>
  <c r="AZ1024" i="3"/>
  <c r="AU1016" i="3"/>
  <c r="AV1016" i="3"/>
  <c r="AY1016" i="3"/>
  <c r="BA1016" i="3"/>
  <c r="AT1008" i="3"/>
  <c r="AX1008" i="3"/>
  <c r="AV1008" i="3"/>
  <c r="AR1008" i="3"/>
  <c r="AS1008" i="3"/>
  <c r="AY1000" i="3"/>
  <c r="AX1000" i="3"/>
  <c r="AR1000" i="3"/>
  <c r="AT1000" i="3"/>
  <c r="AU1000" i="3"/>
  <c r="AV992" i="3"/>
  <c r="AZ992" i="3"/>
  <c r="AW992" i="3"/>
  <c r="AX992" i="3"/>
  <c r="AT992" i="3"/>
  <c r="AU992" i="3"/>
  <c r="AT984" i="3"/>
  <c r="AR984" i="3"/>
  <c r="BA984" i="3"/>
  <c r="AS984" i="3"/>
  <c r="AU984" i="3"/>
  <c r="AV976" i="3"/>
  <c r="AY976" i="3"/>
  <c r="AU976" i="3"/>
  <c r="AW976" i="3"/>
  <c r="AZ976" i="3"/>
  <c r="BA976" i="3"/>
  <c r="AV968" i="3"/>
  <c r="AT968" i="3"/>
  <c r="AW968" i="3"/>
  <c r="AX968" i="3"/>
  <c r="AX960" i="3"/>
  <c r="AS960" i="3"/>
  <c r="BA960" i="3"/>
  <c r="AR960" i="3"/>
  <c r="AZ960" i="3"/>
  <c r="AR952" i="3"/>
  <c r="AZ952" i="3"/>
  <c r="BA952" i="3"/>
  <c r="AV952" i="3"/>
  <c r="AW952" i="3"/>
  <c r="AY952" i="3"/>
  <c r="AV944" i="3"/>
  <c r="AS944" i="3"/>
  <c r="AT944" i="3"/>
  <c r="AU944" i="3"/>
  <c r="AZ944" i="3"/>
  <c r="BA944" i="3"/>
  <c r="AX936" i="3"/>
  <c r="AR936" i="3"/>
  <c r="BA936" i="3"/>
  <c r="AY936" i="3"/>
  <c r="AZ936" i="3"/>
  <c r="AW936" i="3"/>
  <c r="AV928" i="3"/>
  <c r="AR928" i="3"/>
  <c r="BA928" i="3"/>
  <c r="AZ928" i="3"/>
  <c r="AT928" i="3"/>
  <c r="AU928" i="3"/>
  <c r="AX928" i="3"/>
  <c r="AY928" i="3"/>
  <c r="AV920" i="3"/>
  <c r="AY920" i="3"/>
  <c r="AR920" i="3"/>
  <c r="AW920" i="3"/>
  <c r="AX920" i="3"/>
  <c r="AZ920" i="3"/>
  <c r="AT920" i="3"/>
  <c r="AU920" i="3"/>
  <c r="AV912" i="3"/>
  <c r="AR912" i="3"/>
  <c r="BA912" i="3"/>
  <c r="AZ912" i="3"/>
  <c r="AY912" i="3"/>
  <c r="AS912" i="3"/>
  <c r="AS904" i="3"/>
  <c r="AY904" i="3"/>
  <c r="AW904" i="3"/>
  <c r="BA904" i="3"/>
  <c r="AU896" i="3"/>
  <c r="AY896" i="3"/>
  <c r="AS896" i="3"/>
  <c r="AT896" i="3"/>
  <c r="AV896" i="3"/>
  <c r="AW896" i="3"/>
  <c r="AT888" i="3"/>
  <c r="AS888" i="3"/>
  <c r="AV888" i="3"/>
  <c r="AR888" i="3"/>
  <c r="AZ880" i="3"/>
  <c r="AR880" i="3"/>
  <c r="AX880" i="3"/>
  <c r="AU880" i="3"/>
  <c r="AV880" i="3"/>
  <c r="AW880" i="3"/>
  <c r="AT872" i="3"/>
  <c r="AV872" i="3"/>
  <c r="AR872" i="3"/>
  <c r="AX864" i="3"/>
  <c r="AV864" i="3"/>
  <c r="AZ864" i="3"/>
  <c r="AY856" i="3"/>
  <c r="AR856" i="3"/>
  <c r="AR848" i="3"/>
  <c r="AZ848" i="3"/>
  <c r="AX848" i="3"/>
  <c r="AY840" i="3"/>
  <c r="AV840" i="3"/>
  <c r="AX832" i="3"/>
  <c r="AR832" i="3"/>
  <c r="AT824" i="3"/>
  <c r="AR824" i="3"/>
  <c r="AZ824" i="3"/>
  <c r="AW816" i="3"/>
  <c r="AY816" i="3"/>
  <c r="AU808" i="3"/>
  <c r="AZ808" i="3"/>
  <c r="AX808" i="3"/>
  <c r="AS792" i="3"/>
  <c r="AV792" i="3"/>
  <c r="AX792" i="3"/>
  <c r="AS784" i="3"/>
  <c r="AR784" i="3"/>
  <c r="AU784" i="3"/>
  <c r="AW784" i="3"/>
  <c r="AY776" i="3"/>
  <c r="AW776" i="3"/>
  <c r="BA776" i="3"/>
  <c r="AV776" i="3"/>
  <c r="AU768" i="3"/>
  <c r="BA768" i="3"/>
  <c r="AY760" i="3"/>
  <c r="AW760" i="3"/>
  <c r="BA760" i="3"/>
  <c r="AZ752" i="3"/>
  <c r="AU752" i="3"/>
  <c r="AR752" i="3"/>
  <c r="AW752" i="3"/>
  <c r="BA752" i="3"/>
  <c r="AR744" i="3"/>
  <c r="AV744" i="3"/>
  <c r="AY736" i="3"/>
  <c r="AS736" i="3"/>
  <c r="AU736" i="3"/>
  <c r="AW728" i="3"/>
  <c r="AU728" i="3"/>
  <c r="AR728" i="3"/>
  <c r="BA728" i="3"/>
  <c r="AS728" i="3"/>
  <c r="AZ728" i="3"/>
  <c r="AW720" i="3"/>
  <c r="AU720" i="3"/>
  <c r="AR712" i="3"/>
  <c r="AV712" i="3"/>
  <c r="AY712" i="3"/>
  <c r="AW712" i="3"/>
  <c r="AX704" i="3"/>
  <c r="AZ704" i="3"/>
  <c r="AV696" i="3"/>
  <c r="AT696" i="3"/>
  <c r="AX696" i="3"/>
  <c r="AZ696" i="3"/>
  <c r="AY688" i="3"/>
  <c r="AT688" i="3"/>
  <c r="AT680" i="3"/>
  <c r="AW680" i="3"/>
  <c r="AY680" i="3"/>
  <c r="AW672" i="3"/>
  <c r="BA672" i="3"/>
  <c r="AR672" i="3"/>
  <c r="AT672" i="3"/>
  <c r="AZ672" i="3"/>
  <c r="AV664" i="3"/>
  <c r="AR664" i="3"/>
  <c r="AS656" i="3"/>
  <c r="AU656" i="3"/>
  <c r="AR656" i="3"/>
  <c r="AR648" i="3"/>
  <c r="AY648" i="3"/>
  <c r="AS640" i="3"/>
  <c r="AU640" i="3"/>
  <c r="AY640" i="3"/>
  <c r="AX632" i="3"/>
  <c r="AS632" i="3"/>
  <c r="AV632" i="3"/>
  <c r="AS608" i="3"/>
  <c r="BA608" i="3"/>
  <c r="AY592" i="3"/>
  <c r="AR592" i="3"/>
  <c r="C121" i="17"/>
  <c r="C2495" i="3"/>
  <c r="C2500" i="3"/>
  <c r="C2497" i="3"/>
  <c r="C2499" i="3"/>
  <c r="C2494" i="3"/>
  <c r="C873" i="13"/>
  <c r="C2502" i="3"/>
  <c r="C2489" i="3"/>
  <c r="C2533" i="3"/>
  <c r="C2487" i="3"/>
  <c r="C2541" i="3"/>
  <c r="C750" i="13"/>
  <c r="C2542" i="3"/>
  <c r="C1098" i="13"/>
  <c r="C2460" i="3"/>
  <c r="C2488" i="3"/>
  <c r="C946" i="13"/>
  <c r="C2486" i="3"/>
  <c r="C2544" i="3"/>
  <c r="C2059" i="3"/>
  <c r="C2066" i="3"/>
  <c r="C2062" i="3"/>
  <c r="C2060" i="3"/>
  <c r="C728" i="13"/>
  <c r="C1388" i="3"/>
  <c r="C1386" i="3"/>
  <c r="C764" i="13"/>
  <c r="C1144" i="3"/>
  <c r="C1141" i="3"/>
  <c r="C2431" i="3"/>
  <c r="C257" i="13"/>
  <c r="C1149" i="3"/>
  <c r="C685" i="13"/>
  <c r="C2632" i="3"/>
  <c r="C831" i="13"/>
  <c r="C1696" i="3"/>
  <c r="C1868" i="3"/>
  <c r="C2537" i="3"/>
  <c r="C147" i="13"/>
  <c r="C2578" i="3"/>
  <c r="C647" i="3"/>
  <c r="C995" i="3"/>
  <c r="C117" i="17"/>
  <c r="C1505" i="3"/>
  <c r="C1459" i="3"/>
  <c r="D539" i="12"/>
  <c r="C2274" i="3"/>
  <c r="C2287" i="3"/>
  <c r="C796" i="13"/>
  <c r="C786" i="13"/>
  <c r="C957" i="13"/>
  <c r="C2272" i="3"/>
  <c r="C964" i="13"/>
  <c r="C2285" i="3"/>
  <c r="C2271" i="3"/>
  <c r="C2281" i="3"/>
  <c r="C960" i="13"/>
  <c r="C2283" i="3"/>
  <c r="C797" i="13"/>
  <c r="C965" i="13"/>
  <c r="C2278" i="3"/>
  <c r="C2273" i="3"/>
  <c r="C966" i="13"/>
  <c r="C967" i="13"/>
  <c r="C272" i="4"/>
  <c r="C1883" i="3"/>
  <c r="C854" i="13"/>
  <c r="C273" i="4"/>
  <c r="C1872" i="3"/>
  <c r="C1880" i="3"/>
  <c r="C99" i="17"/>
  <c r="C1657" i="3"/>
  <c r="C1654" i="3"/>
  <c r="C1692" i="3"/>
  <c r="C1690" i="3"/>
  <c r="C1069" i="13"/>
  <c r="C1227" i="3"/>
  <c r="C613" i="13"/>
  <c r="C329" i="3"/>
  <c r="C130" i="13"/>
  <c r="C87" i="4"/>
  <c r="C666" i="3"/>
  <c r="C230" i="13"/>
  <c r="D460" i="12"/>
  <c r="D392" i="12"/>
  <c r="D474" i="12"/>
  <c r="C704" i="13"/>
  <c r="C2266" i="3"/>
  <c r="C11" i="3"/>
  <c r="C32" i="3"/>
  <c r="C993" i="13"/>
  <c r="C23" i="4"/>
  <c r="C243" i="13"/>
  <c r="C277" i="3"/>
  <c r="C370" i="3"/>
  <c r="C387" i="3"/>
  <c r="C339" i="3"/>
  <c r="C1637" i="3"/>
  <c r="C220" i="4"/>
  <c r="C2080" i="3"/>
  <c r="C2070" i="3"/>
  <c r="C20" i="13"/>
  <c r="C42" i="13"/>
  <c r="C63" i="3"/>
  <c r="C61" i="3"/>
  <c r="C10" i="17"/>
  <c r="C111" i="3"/>
  <c r="C88" i="13"/>
  <c r="C940" i="13"/>
  <c r="C451" i="3"/>
  <c r="C461" i="3"/>
  <c r="C450" i="3"/>
  <c r="C126" i="17"/>
  <c r="C891" i="3"/>
  <c r="C674" i="3"/>
  <c r="C89" i="4"/>
  <c r="C520" i="13"/>
  <c r="C477" i="13"/>
  <c r="C1076" i="3"/>
  <c r="C113" i="4"/>
  <c r="C943" i="3"/>
  <c r="C1180" i="3"/>
  <c r="C1132" i="3"/>
  <c r="C1032" i="3"/>
  <c r="C325" i="3"/>
  <c r="C1681" i="3"/>
  <c r="C442" i="13"/>
  <c r="C157" i="4"/>
  <c r="C646" i="13"/>
  <c r="C242" i="4"/>
  <c r="C180" i="4"/>
  <c r="C1390" i="3"/>
  <c r="C72" i="17"/>
  <c r="C82" i="17"/>
  <c r="C1693" i="3"/>
  <c r="C1618" i="3"/>
  <c r="C1655" i="3"/>
  <c r="C2440" i="3"/>
  <c r="C2395" i="3"/>
  <c r="C876" i="13"/>
  <c r="C212" i="13"/>
  <c r="C777" i="3"/>
  <c r="C710" i="3"/>
  <c r="C707" i="3"/>
  <c r="C256" i="13"/>
  <c r="C340" i="13"/>
  <c r="C1102" i="3"/>
  <c r="C1148" i="3"/>
  <c r="C1152" i="3"/>
  <c r="C1220" i="3"/>
  <c r="C154" i="4"/>
  <c r="C680" i="13"/>
  <c r="C683" i="13"/>
  <c r="C2633" i="3"/>
  <c r="C1532" i="3"/>
  <c r="C85" i="17"/>
  <c r="C1387" i="3"/>
  <c r="C818" i="13"/>
  <c r="C2765" i="3"/>
  <c r="C2772" i="3"/>
  <c r="C336" i="4"/>
  <c r="C1704" i="3"/>
  <c r="C1497" i="3"/>
  <c r="C906" i="13"/>
  <c r="C1887" i="3"/>
  <c r="C271" i="4"/>
  <c r="C2000" i="3"/>
  <c r="C785" i="13"/>
  <c r="C2275" i="3"/>
  <c r="C885" i="13"/>
  <c r="C727" i="13"/>
  <c r="C2296" i="3"/>
  <c r="C677" i="13"/>
  <c r="C266" i="4"/>
  <c r="C2538" i="3"/>
  <c r="C2727" i="3"/>
  <c r="C2730" i="3"/>
  <c r="C2501" i="3"/>
  <c r="C33" i="13"/>
  <c r="C59" i="13"/>
  <c r="C108" i="13"/>
  <c r="C93" i="3"/>
  <c r="C2447" i="3"/>
  <c r="C1013" i="13"/>
  <c r="C213" i="13"/>
  <c r="C662" i="3"/>
  <c r="C644" i="3"/>
  <c r="C100" i="4"/>
  <c r="C1008" i="3"/>
  <c r="C971" i="3"/>
  <c r="C962" i="3"/>
  <c r="C369" i="13"/>
  <c r="C2712" i="3"/>
  <c r="C2692" i="3"/>
  <c r="C298" i="13"/>
  <c r="C1018" i="3"/>
  <c r="C260" i="4"/>
  <c r="C1513" i="3"/>
  <c r="C1436" i="3"/>
  <c r="C1506" i="3"/>
  <c r="C1401" i="3"/>
  <c r="C1976" i="3"/>
  <c r="C544" i="13"/>
  <c r="C1451" i="3"/>
  <c r="C947" i="13"/>
  <c r="C118" i="34"/>
  <c r="C67" i="34"/>
  <c r="D269" i="12"/>
  <c r="D461" i="12"/>
  <c r="C2177" i="3"/>
  <c r="C301" i="4"/>
  <c r="C1867" i="3"/>
  <c r="C1866" i="3"/>
  <c r="C104" i="34"/>
  <c r="C1871" i="3"/>
  <c r="C1869" i="3"/>
  <c r="C619" i="13"/>
  <c r="C1650" i="3"/>
  <c r="C1729" i="3"/>
  <c r="C1728" i="3"/>
  <c r="C705" i="13"/>
  <c r="C9" i="13"/>
  <c r="C1636" i="3"/>
  <c r="C2074" i="3"/>
  <c r="C21" i="3"/>
  <c r="C65" i="3"/>
  <c r="C107" i="3"/>
  <c r="C462" i="3"/>
  <c r="C128" i="17"/>
  <c r="C2508" i="3"/>
  <c r="C705" i="3"/>
  <c r="C611" i="13"/>
  <c r="C1528" i="3"/>
  <c r="C978" i="13"/>
  <c r="C863" i="13"/>
  <c r="C2221" i="3"/>
  <c r="C984" i="13"/>
  <c r="C315" i="4"/>
  <c r="C2458" i="3"/>
  <c r="C648" i="3"/>
  <c r="C966" i="3"/>
  <c r="C458" i="13"/>
  <c r="C719" i="13"/>
  <c r="C722" i="13"/>
  <c r="C2223" i="3"/>
  <c r="C2222" i="3"/>
  <c r="C718" i="3"/>
  <c r="C721" i="3"/>
  <c r="C715" i="3"/>
  <c r="C108" i="34"/>
  <c r="C720" i="3"/>
  <c r="C1391" i="3"/>
  <c r="C92" i="34"/>
  <c r="D417" i="12"/>
  <c r="D92" i="34" s="1"/>
  <c r="C1047" i="3"/>
  <c r="C1049" i="3"/>
  <c r="C1124" i="3"/>
  <c r="C1187" i="3"/>
  <c r="C37" i="34"/>
  <c r="C889" i="3"/>
  <c r="C887" i="3"/>
  <c r="C10" i="3"/>
  <c r="C45" i="13"/>
  <c r="C280" i="3"/>
  <c r="C373" i="3"/>
  <c r="C336" i="3"/>
  <c r="C2072" i="3"/>
  <c r="C289" i="4"/>
  <c r="C66" i="3"/>
  <c r="C134" i="13"/>
  <c r="C244" i="3"/>
  <c r="C443" i="3"/>
  <c r="C446" i="3"/>
  <c r="C886" i="3"/>
  <c r="C669" i="3"/>
  <c r="C119" i="4"/>
  <c r="C1125" i="3"/>
  <c r="C1045" i="3"/>
  <c r="C587" i="13"/>
  <c r="C1679" i="3"/>
  <c r="C156" i="4"/>
  <c r="C473" i="13"/>
  <c r="C1614" i="3"/>
  <c r="C2401" i="3"/>
  <c r="C2504" i="3"/>
  <c r="C714" i="3"/>
  <c r="C268" i="13"/>
  <c r="C346" i="13"/>
  <c r="C1151" i="3"/>
  <c r="C1221" i="3"/>
  <c r="C2634" i="3"/>
  <c r="C175" i="4"/>
  <c r="C848" i="13"/>
  <c r="C2768" i="3"/>
  <c r="C1647" i="3"/>
  <c r="C1879" i="3"/>
  <c r="C958" i="13"/>
  <c r="C2061" i="3"/>
  <c r="C930" i="13"/>
  <c r="C2534" i="3"/>
  <c r="C2718" i="3"/>
  <c r="C2333" i="3"/>
  <c r="C92" i="13"/>
  <c r="C104" i="13"/>
  <c r="C82" i="4"/>
  <c r="C1000" i="3"/>
  <c r="C428" i="13"/>
  <c r="C2683" i="3"/>
  <c r="C469" i="13"/>
  <c r="C1442" i="3"/>
  <c r="C1460" i="3"/>
  <c r="C799" i="13"/>
  <c r="D251" i="12"/>
  <c r="C106" i="34"/>
  <c r="C107" i="34"/>
  <c r="D430" i="12"/>
  <c r="D304" i="12"/>
  <c r="D422" i="12"/>
  <c r="D296" i="12"/>
  <c r="D358" i="12"/>
  <c r="D431" i="12"/>
  <c r="D99" i="34" s="1"/>
  <c r="D246" i="12"/>
  <c r="D259" i="12"/>
  <c r="C61" i="34"/>
  <c r="C62" i="34"/>
  <c r="C561" i="3"/>
  <c r="C210" i="13"/>
  <c r="C564" i="3"/>
  <c r="C562" i="3"/>
  <c r="C153" i="13"/>
  <c r="C385" i="3"/>
  <c r="C234" i="3"/>
  <c r="C233" i="3"/>
  <c r="C22" i="17"/>
  <c r="C87" i="13"/>
  <c r="C229" i="3"/>
  <c r="C33" i="4"/>
  <c r="C1112" i="13"/>
  <c r="C56" i="13"/>
  <c r="C2306" i="3"/>
  <c r="C2305" i="3"/>
  <c r="C2299" i="3"/>
  <c r="C36" i="13"/>
  <c r="C2304" i="3"/>
  <c r="C2308" i="3"/>
  <c r="C2310" i="3"/>
  <c r="C803" i="13"/>
  <c r="C887" i="13"/>
  <c r="C2528" i="3"/>
  <c r="C285" i="4"/>
  <c r="C286" i="4"/>
  <c r="C1989" i="3"/>
  <c r="C283" i="4"/>
  <c r="C284" i="4"/>
  <c r="C1661" i="3"/>
  <c r="C623" i="13"/>
  <c r="C624" i="13"/>
  <c r="C1699" i="3"/>
  <c r="C1070" i="13"/>
  <c r="C1698" i="3"/>
  <c r="C563" i="13"/>
  <c r="C2877" i="3"/>
  <c r="C1140" i="13"/>
  <c r="C698" i="13"/>
  <c r="C702" i="13"/>
  <c r="C710" i="13"/>
  <c r="C714" i="13"/>
  <c r="C681" i="13"/>
  <c r="C137" i="13"/>
  <c r="C581" i="13"/>
  <c r="C1104" i="3"/>
  <c r="C1105" i="3"/>
  <c r="C1037" i="13"/>
  <c r="C2076" i="3"/>
  <c r="C68" i="3"/>
  <c r="C939" i="13"/>
  <c r="C699" i="3"/>
  <c r="C1145" i="3"/>
  <c r="C151" i="4"/>
  <c r="C172" i="4"/>
  <c r="C2762" i="3"/>
  <c r="C2226" i="3"/>
  <c r="C2734" i="3"/>
  <c r="C2336" i="3"/>
  <c r="C513" i="3"/>
  <c r="C746" i="3"/>
  <c r="C2687" i="3"/>
  <c r="C1965" i="3"/>
  <c r="C119" i="34"/>
  <c r="C1820" i="3"/>
  <c r="D31" i="12"/>
  <c r="C1821" i="3"/>
  <c r="C1996" i="3"/>
  <c r="C1999" i="3"/>
  <c r="C2001" i="3"/>
  <c r="C1994" i="3"/>
  <c r="C918" i="13"/>
  <c r="C2002" i="3"/>
  <c r="C73" i="17"/>
  <c r="C1279" i="3"/>
  <c r="C83" i="17"/>
  <c r="C1278" i="3"/>
  <c r="C184" i="4"/>
  <c r="C509" i="13"/>
  <c r="C1081" i="3"/>
  <c r="C57" i="34"/>
  <c r="C703" i="13"/>
  <c r="C27" i="3"/>
  <c r="C111" i="13"/>
  <c r="C273" i="3"/>
  <c r="C388" i="3"/>
  <c r="C1632" i="3"/>
  <c r="C2069" i="3"/>
  <c r="C18" i="13"/>
  <c r="C55" i="3"/>
  <c r="C57" i="3"/>
  <c r="C110" i="3"/>
  <c r="C2636" i="3"/>
  <c r="C457" i="3"/>
  <c r="C367" i="3"/>
  <c r="C892" i="3"/>
  <c r="C88" i="4"/>
  <c r="C1031" i="13"/>
  <c r="C1078" i="3"/>
  <c r="C531" i="13"/>
  <c r="C1130" i="3"/>
  <c r="C1051" i="3"/>
  <c r="C33" i="17"/>
  <c r="C1229" i="3"/>
  <c r="C645" i="13"/>
  <c r="C183" i="4"/>
  <c r="C76" i="17"/>
  <c r="C1695" i="3"/>
  <c r="C1658" i="3"/>
  <c r="C2391" i="3"/>
  <c r="C775" i="3"/>
  <c r="C788" i="3"/>
  <c r="C712" i="3"/>
  <c r="C1109" i="3"/>
  <c r="C1143" i="3"/>
  <c r="C46" i="4"/>
  <c r="C1054" i="13"/>
  <c r="C682" i="13"/>
  <c r="C1535" i="3"/>
  <c r="C1383" i="3"/>
  <c r="C2769" i="3"/>
  <c r="C333" i="4"/>
  <c r="C1500" i="3"/>
  <c r="C905" i="13"/>
  <c r="C274" i="4"/>
  <c r="C767" i="13"/>
  <c r="C2286" i="3"/>
  <c r="C1992" i="3"/>
  <c r="C2292" i="3"/>
  <c r="C2543" i="3"/>
  <c r="C2731" i="3"/>
  <c r="C2493" i="3"/>
  <c r="C2347" i="3"/>
  <c r="C119" i="13"/>
  <c r="C2450" i="3"/>
  <c r="C329" i="13"/>
  <c r="C646" i="3"/>
  <c r="C967" i="3"/>
  <c r="C2699" i="3"/>
  <c r="C2700" i="3"/>
  <c r="C297" i="13"/>
  <c r="C610" i="13"/>
  <c r="C1425" i="3"/>
  <c r="C1397" i="3"/>
  <c r="C1961" i="3"/>
  <c r="C1462" i="3"/>
  <c r="C630" i="13"/>
  <c r="C51" i="34"/>
  <c r="C130" i="34"/>
  <c r="C102" i="34"/>
  <c r="C2875" i="3"/>
  <c r="D265" i="12"/>
  <c r="C376" i="3"/>
  <c r="C20" i="17"/>
  <c r="C393" i="3"/>
  <c r="C160" i="3"/>
  <c r="C157" i="3"/>
  <c r="C483" i="3"/>
  <c r="C481" i="3"/>
  <c r="C472" i="3"/>
  <c r="C66" i="4"/>
  <c r="C517" i="3"/>
  <c r="C807" i="3"/>
  <c r="C819" i="3"/>
  <c r="C805" i="3"/>
  <c r="C800" i="3"/>
  <c r="C756" i="3"/>
  <c r="C951" i="3"/>
  <c r="C2357" i="3"/>
  <c r="C467" i="13"/>
  <c r="C466" i="13"/>
  <c r="C935" i="3"/>
  <c r="C238" i="13"/>
  <c r="C312" i="13"/>
  <c r="C1022" i="3"/>
  <c r="C561" i="13"/>
  <c r="C1035" i="3"/>
  <c r="C418" i="13"/>
  <c r="C434" i="13"/>
  <c r="C2056" i="3"/>
  <c r="C2041" i="3"/>
  <c r="C2048" i="3"/>
  <c r="C2035" i="3"/>
  <c r="C2038" i="3"/>
  <c r="C1333" i="3"/>
  <c r="C783" i="13"/>
  <c r="C791" i="13"/>
  <c r="C1471" i="3"/>
  <c r="C207" i="4"/>
  <c r="C872" i="13"/>
  <c r="C1627" i="3"/>
  <c r="C989" i="13"/>
  <c r="C31" i="3"/>
  <c r="C21" i="4"/>
  <c r="C279" i="3"/>
  <c r="C128" i="13"/>
  <c r="C369" i="3"/>
  <c r="C40" i="17"/>
  <c r="C340" i="3"/>
  <c r="C852" i="13"/>
  <c r="C1673" i="3"/>
  <c r="C1789" i="3"/>
  <c r="C1791" i="3"/>
  <c r="C1782" i="3"/>
  <c r="C1006" i="13"/>
  <c r="C1890" i="3"/>
  <c r="C1862" i="3"/>
  <c r="C2205" i="3"/>
  <c r="C2217" i="3"/>
  <c r="C2204" i="3"/>
  <c r="C2165" i="3"/>
  <c r="C2203" i="3"/>
  <c r="C2111" i="3"/>
  <c r="C2158" i="3"/>
  <c r="C742" i="13"/>
  <c r="C2405" i="3"/>
  <c r="C318" i="4"/>
  <c r="C982" i="13"/>
  <c r="C2471" i="3"/>
  <c r="C871" i="13"/>
  <c r="C2377" i="3"/>
  <c r="C2378" i="3"/>
  <c r="C1633" i="3"/>
  <c r="C2077" i="3"/>
  <c r="C2079" i="3"/>
  <c r="C290" i="4"/>
  <c r="C21" i="13"/>
  <c r="C67" i="3"/>
  <c r="C62" i="3"/>
  <c r="C53" i="3"/>
  <c r="C961" i="13"/>
  <c r="C106" i="3"/>
  <c r="C23" i="17"/>
  <c r="C893" i="13"/>
  <c r="C459" i="3"/>
  <c r="C452" i="3"/>
  <c r="C449" i="3"/>
  <c r="C366" i="3"/>
  <c r="C1012" i="13"/>
  <c r="C895" i="3"/>
  <c r="C888" i="3"/>
  <c r="C673" i="3"/>
  <c r="C48" i="17"/>
  <c r="C1032" i="13"/>
  <c r="C474" i="13"/>
  <c r="C1074" i="3"/>
  <c r="C115" i="4"/>
  <c r="C535" i="13"/>
  <c r="C1184" i="3"/>
  <c r="C1126" i="3"/>
  <c r="C1033" i="3"/>
  <c r="C1043" i="3"/>
  <c r="C129" i="13"/>
  <c r="C44" i="4"/>
  <c r="C1682" i="3"/>
  <c r="C1224" i="3"/>
  <c r="C155" i="4"/>
  <c r="C1741" i="3"/>
  <c r="C508" i="13"/>
  <c r="C179" i="4"/>
  <c r="C472" i="13"/>
  <c r="C80" i="17"/>
  <c r="C74" i="17"/>
  <c r="C1691" i="3"/>
  <c r="C219" i="4"/>
  <c r="C222" i="4"/>
  <c r="C2393" i="3"/>
  <c r="C2396" i="3"/>
  <c r="C2507" i="3"/>
  <c r="C786" i="3"/>
  <c r="C784" i="3"/>
  <c r="C703" i="3"/>
  <c r="C700" i="3"/>
  <c r="C869" i="3"/>
  <c r="C1108" i="3"/>
  <c r="C347" i="13"/>
  <c r="C1147" i="3"/>
  <c r="C1150" i="3"/>
  <c r="C641" i="13"/>
  <c r="C1217" i="3"/>
  <c r="C688" i="13"/>
  <c r="C679" i="13"/>
  <c r="C1424" i="3"/>
  <c r="C1531" i="3"/>
  <c r="C86" i="17"/>
  <c r="C1382" i="3"/>
  <c r="C2777" i="3"/>
  <c r="C980" i="13"/>
  <c r="C2764" i="3"/>
  <c r="C335" i="4"/>
  <c r="C1703" i="3"/>
  <c r="C1499" i="3"/>
  <c r="C1885" i="3"/>
  <c r="C1875" i="3"/>
  <c r="C913" i="13"/>
  <c r="C1998" i="3"/>
  <c r="C306" i="4"/>
  <c r="C956" i="13"/>
  <c r="C2282" i="3"/>
  <c r="C2065" i="3"/>
  <c r="C1991" i="3"/>
  <c r="C2225" i="3"/>
  <c r="C1085" i="13"/>
  <c r="C2536" i="3"/>
  <c r="C2461" i="3"/>
  <c r="C844" i="13"/>
  <c r="C2492" i="3"/>
  <c r="C886" i="13"/>
  <c r="C54" i="13"/>
  <c r="C2339" i="3"/>
  <c r="C268" i="3"/>
  <c r="C380" i="13"/>
  <c r="C366" i="13"/>
  <c r="C988" i="3"/>
  <c r="C431" i="13"/>
  <c r="C454" i="13"/>
  <c r="C2691" i="3"/>
  <c r="C2706" i="3"/>
  <c r="C300" i="13"/>
  <c r="C1433" i="3"/>
  <c r="C1523" i="3"/>
  <c r="C1399" i="3"/>
  <c r="C1461" i="3"/>
  <c r="C223" i="4"/>
  <c r="C74" i="3"/>
  <c r="C384" i="3"/>
  <c r="C48" i="34"/>
  <c r="C11" i="34"/>
  <c r="C76" i="34"/>
  <c r="C123" i="34"/>
  <c r="D352" i="12"/>
  <c r="C883" i="13"/>
  <c r="D182" i="12"/>
  <c r="D340" i="12"/>
  <c r="C749" i="13"/>
  <c r="C2140" i="3"/>
  <c r="C2141" i="3"/>
  <c r="C2398" i="3"/>
  <c r="C2435" i="3"/>
  <c r="C2433" i="3"/>
  <c r="C2436" i="3"/>
  <c r="C2399" i="3"/>
  <c r="C924" i="13"/>
  <c r="C103" i="34"/>
  <c r="C672" i="13"/>
  <c r="C835" i="13"/>
  <c r="C1610" i="3"/>
  <c r="C98" i="34"/>
  <c r="C1609" i="3"/>
  <c r="C594" i="13"/>
  <c r="C97" i="34"/>
  <c r="C2654" i="3"/>
  <c r="C1066" i="13"/>
  <c r="C94" i="34"/>
  <c r="C2648" i="3"/>
  <c r="C2655" i="3"/>
  <c r="C201" i="4"/>
  <c r="C2653" i="3"/>
  <c r="C2651" i="3"/>
  <c r="C1959" i="3"/>
  <c r="C1977" i="3"/>
  <c r="C1963" i="3"/>
  <c r="C751" i="13"/>
  <c r="C1966" i="3"/>
  <c r="C1960" i="3"/>
  <c r="C1975" i="3"/>
  <c r="C648" i="13"/>
  <c r="C1964" i="3"/>
  <c r="C484" i="13"/>
  <c r="C171" i="4"/>
  <c r="C1434" i="3"/>
  <c r="C1526" i="3"/>
  <c r="C1515" i="3"/>
  <c r="C1432" i="3"/>
  <c r="C1524" i="3"/>
  <c r="C720" i="13"/>
  <c r="C68" i="17"/>
  <c r="C1518" i="3"/>
  <c r="C1511" i="3"/>
  <c r="C1437" i="3"/>
  <c r="C1508" i="3"/>
  <c r="C1438" i="3"/>
  <c r="C1435" i="3"/>
  <c r="C1441" i="3"/>
  <c r="C1525" i="3"/>
  <c r="C67" i="17"/>
  <c r="C1510" i="3"/>
  <c r="C1507" i="3"/>
  <c r="C1512" i="3"/>
  <c r="C1428" i="3"/>
  <c r="C69" i="17"/>
  <c r="C1522" i="3"/>
  <c r="C1527" i="3"/>
  <c r="C1429" i="3"/>
  <c r="C1055" i="13"/>
  <c r="C427" i="13"/>
  <c r="C1174" i="3"/>
  <c r="C1050" i="13"/>
  <c r="C148" i="4"/>
  <c r="C1176" i="3"/>
  <c r="C606" i="13"/>
  <c r="C144" i="4"/>
  <c r="C411" i="13"/>
  <c r="C1019" i="3"/>
  <c r="C128" i="4"/>
  <c r="C1017" i="3"/>
  <c r="C1040" i="13"/>
  <c r="C127" i="4"/>
  <c r="C994" i="3"/>
  <c r="C963" i="3"/>
  <c r="C1011" i="3"/>
  <c r="C992" i="3"/>
  <c r="C997" i="3"/>
  <c r="C957" i="3"/>
  <c r="C1002" i="3"/>
  <c r="C987" i="3"/>
  <c r="C964" i="3"/>
  <c r="C1016" i="3"/>
  <c r="C1013" i="3"/>
  <c r="C970" i="3"/>
  <c r="C959" i="3"/>
  <c r="C956" i="3"/>
  <c r="C1012" i="3"/>
  <c r="C365" i="13"/>
  <c r="C998" i="3"/>
  <c r="C991" i="3"/>
  <c r="C972" i="3"/>
  <c r="C961" i="3"/>
  <c r="C958" i="3"/>
  <c r="C1010" i="3"/>
  <c r="C999" i="3"/>
  <c r="C996" i="3"/>
  <c r="C969" i="3"/>
  <c r="C735" i="3"/>
  <c r="C242" i="13"/>
  <c r="C656" i="3"/>
  <c r="C658" i="3"/>
  <c r="C653" i="3"/>
  <c r="C281" i="13"/>
  <c r="C664" i="3"/>
  <c r="C663" i="3"/>
  <c r="C655" i="3"/>
  <c r="C83" i="4"/>
  <c r="C85" i="4"/>
  <c r="C659" i="3"/>
  <c r="C652" i="3"/>
  <c r="C654" i="3"/>
  <c r="C661" i="3"/>
  <c r="C84" i="4"/>
  <c r="C651" i="3"/>
  <c r="C382" i="13"/>
  <c r="C2448" i="3"/>
  <c r="C1095" i="13"/>
  <c r="C2446" i="3"/>
  <c r="C2444" i="3"/>
  <c r="C2449" i="3"/>
  <c r="C2443" i="3"/>
  <c r="C2441" i="3"/>
  <c r="C2459" i="3"/>
  <c r="C284" i="3"/>
  <c r="C29" i="17"/>
  <c r="C148" i="13"/>
  <c r="C282" i="3"/>
  <c r="C136" i="13"/>
  <c r="C118" i="13"/>
  <c r="C293" i="3"/>
  <c r="C122" i="13"/>
  <c r="C294" i="3"/>
  <c r="C121" i="13"/>
  <c r="C120" i="13"/>
  <c r="C89" i="3"/>
  <c r="C100" i="3"/>
  <c r="C93" i="13"/>
  <c r="C91" i="3"/>
  <c r="C963" i="13"/>
  <c r="C101" i="3"/>
  <c r="C99" i="3"/>
  <c r="C98" i="3"/>
  <c r="C107" i="13"/>
  <c r="C96" i="3"/>
  <c r="C780" i="13"/>
  <c r="C26" i="3"/>
  <c r="C95" i="13"/>
  <c r="C371" i="3"/>
  <c r="C386" i="3"/>
  <c r="C618" i="13"/>
  <c r="C2073" i="3"/>
  <c r="C846" i="13"/>
  <c r="C56" i="3"/>
  <c r="C16" i="4"/>
  <c r="C113" i="3"/>
  <c r="C455" i="3"/>
  <c r="C464" i="3"/>
  <c r="C165" i="13"/>
  <c r="C181" i="13"/>
  <c r="C1020" i="13"/>
  <c r="C86" i="4"/>
  <c r="C1077" i="3"/>
  <c r="C118" i="4"/>
  <c r="C1188" i="3"/>
  <c r="C1052" i="3"/>
  <c r="C327" i="3"/>
  <c r="C1052" i="13"/>
  <c r="C439" i="13"/>
  <c r="C1329" i="3"/>
  <c r="C788" i="13"/>
  <c r="C1544" i="3"/>
  <c r="C1075" i="13"/>
  <c r="C2429" i="3"/>
  <c r="C2430" i="3"/>
  <c r="C783" i="3"/>
  <c r="C701" i="3"/>
  <c r="C277" i="13"/>
  <c r="C400" i="13"/>
  <c r="C323" i="3"/>
  <c r="C1222" i="3"/>
  <c r="C678" i="13"/>
  <c r="C490" i="13"/>
  <c r="C762" i="13"/>
  <c r="C1111" i="13"/>
  <c r="C2775" i="3"/>
  <c r="C858" i="13"/>
  <c r="C669" i="13"/>
  <c r="C1882" i="3"/>
  <c r="C736" i="3"/>
  <c r="C2276" i="3"/>
  <c r="C2456" i="3"/>
  <c r="C287" i="4"/>
  <c r="C1852" i="3"/>
  <c r="C2176" i="3"/>
  <c r="C2496" i="3"/>
  <c r="C43" i="4"/>
  <c r="C381" i="13"/>
  <c r="C241" i="13"/>
  <c r="C960" i="3"/>
  <c r="C430" i="13"/>
  <c r="C2511" i="3"/>
  <c r="C2505" i="3"/>
  <c r="C875" i="13"/>
  <c r="C129" i="34"/>
  <c r="C120" i="34"/>
  <c r="C2575" i="3"/>
  <c r="C2576" i="3"/>
  <c r="C2570" i="3"/>
  <c r="C2577" i="3"/>
  <c r="C2573" i="3"/>
  <c r="C2572" i="3"/>
  <c r="C2190" i="3"/>
  <c r="C952" i="13"/>
  <c r="C2192" i="3"/>
  <c r="C760" i="13"/>
  <c r="C2194" i="3"/>
  <c r="C2191" i="3"/>
  <c r="C498" i="13"/>
  <c r="D409" i="12"/>
  <c r="C1320" i="3"/>
  <c r="C1316" i="3"/>
  <c r="C782" i="13"/>
  <c r="C1319" i="3"/>
  <c r="C1466" i="3"/>
  <c r="C1468" i="3"/>
  <c r="C542" i="13"/>
  <c r="C1454" i="3"/>
  <c r="C1452" i="3"/>
  <c r="C1465" i="3"/>
  <c r="C1455" i="3"/>
  <c r="C1456" i="3"/>
  <c r="C1467" i="3"/>
  <c r="C543" i="13"/>
  <c r="C1458" i="3"/>
  <c r="C1448" i="3"/>
  <c r="C1449" i="3"/>
  <c r="C1400" i="3"/>
  <c r="C538" i="13"/>
  <c r="C1398" i="3"/>
  <c r="C721" i="13"/>
  <c r="C1402" i="3"/>
  <c r="C723" i="13"/>
  <c r="C1403" i="3"/>
  <c r="C1396" i="3"/>
  <c r="C1814" i="3"/>
  <c r="C259" i="4"/>
  <c r="C1813" i="3"/>
  <c r="D470" i="12"/>
  <c r="C656" i="13"/>
  <c r="C575" i="13"/>
  <c r="C829" i="13"/>
  <c r="C906" i="3"/>
  <c r="C905" i="3"/>
  <c r="C306" i="13"/>
  <c r="C52" i="34"/>
  <c r="C115" i="17"/>
  <c r="C2690" i="3"/>
  <c r="C2701" i="3"/>
  <c r="C2675" i="3"/>
  <c r="C2695" i="3"/>
  <c r="C444" i="13"/>
  <c r="C455" i="13"/>
  <c r="C449" i="13"/>
  <c r="C401" i="13"/>
  <c r="C119" i="17"/>
  <c r="C2698" i="3"/>
  <c r="C522" i="13"/>
  <c r="C2677" i="3"/>
  <c r="C443" i="13"/>
  <c r="C2680" i="3"/>
  <c r="C429" i="13"/>
  <c r="C459" i="13"/>
  <c r="C49" i="34"/>
  <c r="C2682" i="3"/>
  <c r="C450" i="13"/>
  <c r="C2707" i="3"/>
  <c r="C452" i="13"/>
  <c r="C2704" i="3"/>
  <c r="C456" i="13"/>
  <c r="C47" i="34"/>
  <c r="C118" i="17"/>
  <c r="C2702" i="3"/>
  <c r="C2688" i="3"/>
  <c r="C2709" i="3"/>
  <c r="C2685" i="3"/>
  <c r="C447" i="13"/>
  <c r="C457" i="13"/>
  <c r="C116" i="17"/>
  <c r="C2710" i="3"/>
  <c r="C2711" i="3"/>
  <c r="C451" i="13"/>
  <c r="C2708" i="3"/>
  <c r="C448" i="13"/>
  <c r="C247" i="13"/>
  <c r="C248" i="13"/>
  <c r="C744" i="3"/>
  <c r="C745" i="3"/>
  <c r="C678" i="3"/>
  <c r="C234" i="13"/>
  <c r="C679" i="3"/>
  <c r="C791" i="3"/>
  <c r="C789" i="3"/>
  <c r="C1017" i="13"/>
  <c r="C45" i="17"/>
  <c r="C193" i="13"/>
  <c r="C322" i="13"/>
  <c r="C523" i="3"/>
  <c r="C330" i="13"/>
  <c r="C522" i="3"/>
  <c r="C331" i="13"/>
  <c r="C520" i="3"/>
  <c r="C338" i="13"/>
  <c r="C417" i="3"/>
  <c r="C172" i="13"/>
  <c r="C418" i="3"/>
  <c r="C271" i="13"/>
  <c r="C422" i="3"/>
  <c r="C419" i="3"/>
  <c r="C2342" i="3"/>
  <c r="C2351" i="3"/>
  <c r="C2329" i="3"/>
  <c r="C2340" i="3"/>
  <c r="C2331" i="3"/>
  <c r="C2341" i="3"/>
  <c r="C40" i="13"/>
  <c r="C2338" i="3"/>
  <c r="C2325" i="3"/>
  <c r="C2345" i="3"/>
  <c r="C2335" i="3"/>
  <c r="C2337" i="3"/>
  <c r="C809" i="13"/>
  <c r="C16" i="34"/>
  <c r="C316" i="4"/>
  <c r="C2343" i="3"/>
  <c r="C2349" i="3"/>
  <c r="C23" i="3"/>
  <c r="C22" i="4"/>
  <c r="C276" i="3"/>
  <c r="C266" i="13"/>
  <c r="C341" i="3"/>
  <c r="C1635" i="3"/>
  <c r="C2071" i="3"/>
  <c r="C19" i="3"/>
  <c r="C54" i="3"/>
  <c r="C103" i="3"/>
  <c r="C97" i="13"/>
  <c r="C37" i="4"/>
  <c r="C129" i="17"/>
  <c r="C894" i="3"/>
  <c r="C675" i="3"/>
  <c r="C1084" i="3"/>
  <c r="C872" i="3"/>
  <c r="C1131" i="3"/>
  <c r="C373" i="13"/>
  <c r="C1050" i="3"/>
  <c r="C34" i="17"/>
  <c r="C1231" i="3"/>
  <c r="C244" i="4"/>
  <c r="C488" i="13"/>
  <c r="C77" i="17"/>
  <c r="C608" i="13"/>
  <c r="C2432" i="3"/>
  <c r="C47" i="17"/>
  <c r="C95" i="4"/>
  <c r="C1103" i="3"/>
  <c r="C1142" i="3"/>
  <c r="C1726" i="3"/>
  <c r="C697" i="13"/>
  <c r="C160" i="4"/>
  <c r="C176" i="4"/>
  <c r="C787" i="13"/>
  <c r="C2773" i="3"/>
  <c r="C334" i="4"/>
  <c r="C1074" i="13"/>
  <c r="C1876" i="3"/>
  <c r="C717" i="3"/>
  <c r="C955" i="13"/>
  <c r="C2063" i="3"/>
  <c r="C2363" i="3"/>
  <c r="C2539" i="3"/>
  <c r="C2725" i="3"/>
  <c r="C1835" i="3"/>
  <c r="C2346" i="3"/>
  <c r="C95" i="3"/>
  <c r="C2457" i="3"/>
  <c r="C800" i="13"/>
  <c r="C80" i="4"/>
  <c r="C657" i="3"/>
  <c r="C1001" i="3"/>
  <c r="C1006" i="3"/>
  <c r="C453" i="13"/>
  <c r="C2684" i="3"/>
  <c r="C904" i="3"/>
  <c r="C1154" i="3"/>
  <c r="C1175" i="3"/>
  <c r="C1440" i="3"/>
  <c r="C1439" i="3"/>
  <c r="C71" i="17"/>
  <c r="C1967" i="3"/>
  <c r="C1453" i="3"/>
  <c r="C781" i="13"/>
  <c r="C2650" i="3"/>
  <c r="C2527" i="3"/>
  <c r="C50" i="34"/>
  <c r="C26" i="34"/>
  <c r="C89" i="34"/>
  <c r="C476" i="13"/>
  <c r="D127" i="12"/>
  <c r="D476" i="12"/>
  <c r="C392" i="3"/>
  <c r="C62" i="13"/>
  <c r="C779" i="13"/>
  <c r="C308" i="13"/>
  <c r="C475" i="3"/>
  <c r="C469" i="3"/>
  <c r="C221" i="13"/>
  <c r="C795" i="3"/>
  <c r="C798" i="3"/>
  <c r="C2361" i="3"/>
  <c r="C463" i="13"/>
  <c r="C933" i="3"/>
  <c r="C919" i="3"/>
  <c r="C359" i="13"/>
  <c r="C635" i="13"/>
  <c r="C2049" i="3"/>
  <c r="C2055" i="3"/>
  <c r="C2023" i="3"/>
  <c r="C1334" i="3"/>
  <c r="C605" i="13"/>
  <c r="C1622" i="3"/>
  <c r="C28" i="3"/>
  <c r="C33" i="3"/>
  <c r="C13" i="17"/>
  <c r="C265" i="13"/>
  <c r="C1788" i="3"/>
  <c r="C1779" i="3"/>
  <c r="C1892" i="3"/>
  <c r="C1865" i="3"/>
  <c r="C2168" i="3"/>
  <c r="C2164" i="3"/>
  <c r="C2156" i="3"/>
  <c r="C2112" i="3"/>
  <c r="C2163" i="3"/>
  <c r="C2210" i="3"/>
  <c r="C976" i="13"/>
  <c r="C2470" i="3"/>
  <c r="C2741" i="3"/>
  <c r="C897" i="13"/>
  <c r="C1631" i="3"/>
  <c r="C2068" i="3"/>
  <c r="C2067" i="3"/>
  <c r="C20" i="3"/>
  <c r="C64" i="3"/>
  <c r="C12" i="17"/>
  <c r="C11" i="17"/>
  <c r="C108" i="3"/>
  <c r="C444" i="3"/>
  <c r="C463" i="3"/>
  <c r="C460" i="3"/>
  <c r="C883" i="3"/>
  <c r="C231" i="13"/>
  <c r="C676" i="3"/>
  <c r="C50" i="17"/>
  <c r="C1079" i="3"/>
  <c r="C1075" i="3"/>
  <c r="C112" i="4"/>
  <c r="C1181" i="3"/>
  <c r="C1183" i="3"/>
  <c r="C1031" i="3"/>
  <c r="C1048" i="3"/>
  <c r="C1046" i="3"/>
  <c r="C32" i="17"/>
  <c r="C30" i="17"/>
  <c r="C440" i="13"/>
  <c r="C1223" i="3"/>
  <c r="C1215" i="3"/>
  <c r="C247" i="4"/>
  <c r="C1331" i="3"/>
  <c r="C1280" i="3"/>
  <c r="C163" i="4"/>
  <c r="C856" i="13"/>
  <c r="C1653" i="3"/>
  <c r="C2392" i="3"/>
  <c r="C2400" i="3"/>
  <c r="C2394" i="3"/>
  <c r="C2509" i="3"/>
  <c r="C90" i="4"/>
  <c r="C709" i="3"/>
  <c r="C461" i="13"/>
  <c r="C1107" i="3"/>
  <c r="C399" i="13"/>
  <c r="C320" i="3"/>
  <c r="C1053" i="13"/>
  <c r="C696" i="13"/>
  <c r="C715" i="13"/>
  <c r="C159" i="4"/>
  <c r="C1529" i="3"/>
  <c r="C1385" i="3"/>
  <c r="C479" i="13"/>
  <c r="C821" i="13"/>
  <c r="C2774" i="3"/>
  <c r="C1700" i="3"/>
  <c r="C892" i="13"/>
  <c r="C1834" i="3"/>
  <c r="C1884" i="3"/>
  <c r="C1878" i="3"/>
  <c r="C716" i="3"/>
  <c r="C962" i="13"/>
  <c r="C2284" i="3"/>
  <c r="C2202" i="3"/>
  <c r="C2058" i="3"/>
  <c r="C701" i="13"/>
  <c r="C2540" i="3"/>
  <c r="C2491" i="3"/>
  <c r="C748" i="13"/>
  <c r="C2348" i="3"/>
  <c r="C2334" i="3"/>
  <c r="C94" i="3"/>
  <c r="C146" i="13"/>
  <c r="C2445" i="3"/>
  <c r="C420" i="3"/>
  <c r="C2309" i="3"/>
  <c r="C2568" i="3"/>
  <c r="C521" i="3"/>
  <c r="C650" i="3"/>
  <c r="C643" i="3"/>
  <c r="C733" i="3"/>
  <c r="C993" i="3"/>
  <c r="C1015" i="3"/>
  <c r="C990" i="3"/>
  <c r="C2676" i="3"/>
  <c r="C2696" i="3"/>
  <c r="C2697" i="3"/>
  <c r="C2678" i="3"/>
  <c r="C355" i="13"/>
  <c r="C145" i="4"/>
  <c r="C1178" i="3"/>
  <c r="C1517" i="3"/>
  <c r="C1431" i="3"/>
  <c r="C70" i="17"/>
  <c r="C485" i="13"/>
  <c r="C1970" i="3"/>
  <c r="C1457" i="3"/>
  <c r="C499" i="13"/>
  <c r="C200" i="4"/>
  <c r="C231" i="3"/>
  <c r="C565" i="3"/>
  <c r="C93" i="34"/>
  <c r="C127" i="34"/>
  <c r="C81" i="34"/>
  <c r="D452" i="12"/>
  <c r="C2714" i="3"/>
  <c r="C2733" i="3"/>
  <c r="C2713" i="3"/>
  <c r="C2728" i="3"/>
  <c r="C2722" i="3"/>
  <c r="C2716" i="3"/>
  <c r="C2721" i="3"/>
  <c r="C2715" i="3"/>
  <c r="C2719" i="3"/>
  <c r="C2729" i="3"/>
  <c r="C2717" i="3"/>
  <c r="C2726" i="3"/>
  <c r="C2723" i="3"/>
  <c r="C1106" i="13"/>
  <c r="C1846" i="3"/>
  <c r="C932" i="13"/>
  <c r="C1850" i="3"/>
  <c r="C676" i="13"/>
  <c r="C1851" i="3"/>
  <c r="C931" i="13"/>
  <c r="C1844" i="3"/>
  <c r="C267" i="4"/>
  <c r="C1848" i="3"/>
  <c r="C1501" i="3"/>
  <c r="C1502" i="3"/>
  <c r="C174" i="4"/>
  <c r="C1530" i="3"/>
  <c r="C489" i="13"/>
  <c r="C84" i="17"/>
  <c r="C1059" i="13"/>
  <c r="C90" i="34"/>
  <c r="C88" i="34"/>
  <c r="C152" i="4"/>
  <c r="C1232" i="3"/>
  <c r="C150" i="4"/>
  <c r="C1216" i="3"/>
  <c r="C708" i="3"/>
  <c r="C706" i="3"/>
  <c r="C704" i="3"/>
  <c r="C702" i="3"/>
  <c r="C453" i="3"/>
  <c r="C447" i="3"/>
  <c r="C448" i="3"/>
  <c r="C466" i="3"/>
  <c r="C25" i="34"/>
  <c r="C2290" i="3"/>
  <c r="C2288" i="3"/>
  <c r="C2365" i="3"/>
  <c r="C2227" i="3"/>
  <c r="C2364" i="3"/>
  <c r="C2224" i="3"/>
  <c r="C1029" i="13"/>
  <c r="C2294" i="3"/>
  <c r="C2289" i="3"/>
  <c r="C2291" i="3"/>
  <c r="C2297" i="3"/>
  <c r="C2763" i="3"/>
  <c r="C2776" i="3"/>
  <c r="C2761" i="3"/>
  <c r="C845" i="13"/>
  <c r="C2767" i="3"/>
  <c r="C2766" i="3"/>
  <c r="C819" i="13"/>
  <c r="C827" i="13"/>
  <c r="C937" i="13"/>
  <c r="C2635" i="3"/>
  <c r="C77" i="34"/>
  <c r="C407" i="13"/>
  <c r="C74" i="34"/>
  <c r="C1048" i="13"/>
  <c r="C75" i="34"/>
  <c r="C785" i="3"/>
  <c r="C1016" i="13"/>
  <c r="C776" i="3"/>
  <c r="C778" i="3"/>
  <c r="C465" i="3"/>
  <c r="C39" i="4"/>
  <c r="C730" i="13"/>
  <c r="C781" i="3"/>
  <c r="C322" i="3"/>
  <c r="C691" i="13"/>
  <c r="C1384" i="3"/>
  <c r="C332" i="4"/>
  <c r="C1648" i="3"/>
  <c r="C268" i="4"/>
  <c r="C2490" i="3"/>
  <c r="C97" i="3"/>
  <c r="C81" i="4"/>
  <c r="C1009" i="3"/>
  <c r="C460" i="13"/>
  <c r="C1020" i="3"/>
  <c r="C1514" i="3"/>
  <c r="C1958" i="3"/>
  <c r="C1608" i="3"/>
  <c r="C2454" i="3"/>
  <c r="C1089" i="13"/>
  <c r="C2455" i="3"/>
  <c r="C2452" i="3"/>
  <c r="C2182" i="3"/>
  <c r="C934" i="13"/>
  <c r="C758" i="13"/>
  <c r="C2178" i="3"/>
  <c r="C2181" i="3"/>
  <c r="C1619" i="3"/>
  <c r="C218" i="4"/>
  <c r="C120" i="4"/>
  <c r="C870" i="3"/>
  <c r="C274" i="13"/>
  <c r="C2231" i="3"/>
  <c r="C773" i="13"/>
  <c r="C2228" i="3"/>
  <c r="C1643" i="3"/>
  <c r="C1641" i="3"/>
  <c r="C865" i="13"/>
  <c r="C96" i="17"/>
  <c r="C1283" i="3"/>
  <c r="C169" i="4"/>
  <c r="D267" i="12"/>
  <c r="D78" i="34" s="1"/>
  <c r="C1270" i="3"/>
  <c r="C1242" i="3"/>
  <c r="C1261" i="3"/>
  <c r="C1209" i="3"/>
  <c r="C1207" i="3"/>
  <c r="C735" i="13"/>
  <c r="C736" i="13"/>
  <c r="C147" i="3"/>
  <c r="C145" i="3"/>
  <c r="C2591" i="3"/>
  <c r="C2627" i="3"/>
  <c r="AZ1182" i="3"/>
  <c r="BA1166" i="3"/>
  <c r="AX1158" i="3"/>
  <c r="AV958" i="3"/>
  <c r="BA918" i="3"/>
  <c r="BA638" i="3"/>
  <c r="D469" i="12"/>
  <c r="D368" i="12"/>
  <c r="D482" i="12"/>
  <c r="D143" i="34" s="1"/>
  <c r="M26" i="12"/>
  <c r="L26" i="12"/>
  <c r="M36" i="12"/>
  <c r="L36" i="12"/>
  <c r="AT1742" i="3"/>
  <c r="AX1742" i="3"/>
  <c r="AY1734" i="3"/>
  <c r="AU1734" i="3"/>
  <c r="AV1726" i="3"/>
  <c r="AR1726" i="3"/>
  <c r="AZ1726" i="3"/>
  <c r="AS1718" i="3"/>
  <c r="BA1718" i="3"/>
  <c r="AW1718" i="3"/>
  <c r="AX1710" i="3"/>
  <c r="AT1710" i="3"/>
  <c r="AU1702" i="3"/>
  <c r="AY1702" i="3"/>
  <c r="AR1694" i="3"/>
  <c r="AZ1694" i="3"/>
  <c r="AV1694" i="3"/>
  <c r="AW1686" i="3"/>
  <c r="AS1686" i="3"/>
  <c r="BA1686" i="3"/>
  <c r="AT1686" i="3"/>
  <c r="AS1678" i="3"/>
  <c r="BA1678" i="3"/>
  <c r="AT1678" i="3"/>
  <c r="AX1678" i="3"/>
  <c r="AY1678" i="3"/>
  <c r="AX1670" i="3"/>
  <c r="AY1670" i="3"/>
  <c r="AU1670" i="3"/>
  <c r="AV1670" i="3"/>
  <c r="AU1662" i="3"/>
  <c r="AV1662" i="3"/>
  <c r="AR1662" i="3"/>
  <c r="AZ1662" i="3"/>
  <c r="AS1662" i="3"/>
  <c r="BA1662" i="3"/>
  <c r="AR1654" i="3"/>
  <c r="AZ1654" i="3"/>
  <c r="AS1654" i="3"/>
  <c r="BA1654" i="3"/>
  <c r="AT1654" i="3"/>
  <c r="AW1654" i="3"/>
  <c r="AX1654" i="3"/>
  <c r="AU1646" i="3"/>
  <c r="AV1646" i="3"/>
  <c r="AW1646" i="3"/>
  <c r="AR1646" i="3"/>
  <c r="AZ1646" i="3"/>
  <c r="AS1646" i="3"/>
  <c r="BA1646" i="3"/>
  <c r="AU1638" i="3"/>
  <c r="AV1638" i="3"/>
  <c r="AW1638" i="3"/>
  <c r="AR1638" i="3"/>
  <c r="AZ1638" i="3"/>
  <c r="AS1638" i="3"/>
  <c r="BA1638" i="3"/>
  <c r="AR1630" i="3"/>
  <c r="AZ1630" i="3"/>
  <c r="AS1630" i="3"/>
  <c r="BA1630" i="3"/>
  <c r="AT1630" i="3"/>
  <c r="AW1630" i="3"/>
  <c r="AX1630" i="3"/>
  <c r="AW1622" i="3"/>
  <c r="AX1622" i="3"/>
  <c r="AY1622" i="3"/>
  <c r="AT1622" i="3"/>
  <c r="AU1622" i="3"/>
  <c r="AT1614" i="3"/>
  <c r="AU1614" i="3"/>
  <c r="AV1614" i="3"/>
  <c r="AY1614" i="3"/>
  <c r="AR1614" i="3"/>
  <c r="AZ1614" i="3"/>
  <c r="AR1606" i="3"/>
  <c r="AZ1606" i="3"/>
  <c r="AX1606" i="3"/>
  <c r="AY1606" i="3"/>
  <c r="BA1606" i="3"/>
  <c r="AU1606" i="3"/>
  <c r="AV1606" i="3"/>
  <c r="AW1598" i="3"/>
  <c r="AS1598" i="3"/>
  <c r="AT1598" i="3"/>
  <c r="AU1598" i="3"/>
  <c r="AY1598" i="3"/>
  <c r="AZ1598" i="3"/>
  <c r="AT1590" i="3"/>
  <c r="AX1590" i="3"/>
  <c r="AY1590" i="3"/>
  <c r="AZ1590" i="3"/>
  <c r="AU1590" i="3"/>
  <c r="AV1590" i="3"/>
  <c r="AY1582" i="3"/>
  <c r="AS1582" i="3"/>
  <c r="AT1582" i="3"/>
  <c r="AU1582" i="3"/>
  <c r="AX1582" i="3"/>
  <c r="AZ1582" i="3"/>
  <c r="AV1574" i="3"/>
  <c r="AX1574" i="3"/>
  <c r="AY1574" i="3"/>
  <c r="AZ1574" i="3"/>
  <c r="AT1574" i="3"/>
  <c r="AU1574" i="3"/>
  <c r="AS1566" i="3"/>
  <c r="BA1566" i="3"/>
  <c r="AR1566" i="3"/>
  <c r="AT1566" i="3"/>
  <c r="AU1566" i="3"/>
  <c r="AX1566" i="3"/>
  <c r="AY1566" i="3"/>
  <c r="AX1558" i="3"/>
  <c r="AV1558" i="3"/>
  <c r="AW1558" i="3"/>
  <c r="AY1558" i="3"/>
  <c r="AS1558" i="3"/>
  <c r="AT1558" i="3"/>
  <c r="AU1550" i="3"/>
  <c r="AR1550" i="3"/>
  <c r="BA1550" i="3"/>
  <c r="AS1550" i="3"/>
  <c r="AT1550" i="3"/>
  <c r="AX1550" i="3"/>
  <c r="AY1550" i="3"/>
  <c r="AR1542" i="3"/>
  <c r="AZ1542" i="3"/>
  <c r="AV1542" i="3"/>
  <c r="AW1542" i="3"/>
  <c r="AX1542" i="3"/>
  <c r="AS1542" i="3"/>
  <c r="AT1542" i="3"/>
  <c r="AV1534" i="3"/>
  <c r="AY1534" i="3"/>
  <c r="AZ1534" i="3"/>
  <c r="AR1534" i="3"/>
  <c r="BA1534" i="3"/>
  <c r="AU1534" i="3"/>
  <c r="AW1534" i="3"/>
  <c r="AX1526" i="3"/>
  <c r="AZ1526" i="3"/>
  <c r="AR1526" i="3"/>
  <c r="BA1526" i="3"/>
  <c r="AS1526" i="3"/>
  <c r="AV1526" i="3"/>
  <c r="AW1526" i="3"/>
  <c r="AR1518" i="3"/>
  <c r="AZ1518" i="3"/>
  <c r="BA1518" i="3"/>
  <c r="AS1518" i="3"/>
  <c r="AT1518" i="3"/>
  <c r="AW1518" i="3"/>
  <c r="AX1518" i="3"/>
  <c r="AS1510" i="3"/>
  <c r="BA1510" i="3"/>
  <c r="AY1510" i="3"/>
  <c r="AZ1510" i="3"/>
  <c r="AR1510" i="3"/>
  <c r="AV1510" i="3"/>
  <c r="AW1510" i="3"/>
  <c r="AS1502" i="3"/>
  <c r="BA1502" i="3"/>
  <c r="AW1502" i="3"/>
  <c r="AX1502" i="3"/>
  <c r="AY1502" i="3"/>
  <c r="AT1502" i="3"/>
  <c r="AU1502" i="3"/>
  <c r="AS1494" i="3"/>
  <c r="BA1494" i="3"/>
  <c r="AU1494" i="3"/>
  <c r="AV1494" i="3"/>
  <c r="AW1494" i="3"/>
  <c r="AZ1494" i="3"/>
  <c r="AR1494" i="3"/>
  <c r="AS1486" i="3"/>
  <c r="BA1486" i="3"/>
  <c r="AR1486" i="3"/>
  <c r="AT1486" i="3"/>
  <c r="AU1486" i="3"/>
  <c r="AX1486" i="3"/>
  <c r="AY1486" i="3"/>
  <c r="AS1478" i="3"/>
  <c r="BA1478" i="3"/>
  <c r="AY1478" i="3"/>
  <c r="AZ1478" i="3"/>
  <c r="AR1478" i="3"/>
  <c r="AV1478" i="3"/>
  <c r="AW1478" i="3"/>
  <c r="AS1470" i="3"/>
  <c r="BA1470" i="3"/>
  <c r="AW1470" i="3"/>
  <c r="AX1470" i="3"/>
  <c r="AY1470" i="3"/>
  <c r="AT1470" i="3"/>
  <c r="AU1470" i="3"/>
  <c r="AS1462" i="3"/>
  <c r="BA1462" i="3"/>
  <c r="AU1462" i="3"/>
  <c r="AV1462" i="3"/>
  <c r="AW1462" i="3"/>
  <c r="AZ1462" i="3"/>
  <c r="AR1462" i="3"/>
  <c r="AS1454" i="3"/>
  <c r="BA1454" i="3"/>
  <c r="AR1454" i="3"/>
  <c r="AT1454" i="3"/>
  <c r="AU1454" i="3"/>
  <c r="AX1454" i="3"/>
  <c r="AY1454" i="3"/>
  <c r="AS1446" i="3"/>
  <c r="BA1446" i="3"/>
  <c r="AY1446" i="3"/>
  <c r="AZ1446" i="3"/>
  <c r="AR1446" i="3"/>
  <c r="AV1446" i="3"/>
  <c r="AW1446" i="3"/>
  <c r="AS1438" i="3"/>
  <c r="BA1438" i="3"/>
  <c r="AW1438" i="3"/>
  <c r="AX1438" i="3"/>
  <c r="AY1438" i="3"/>
  <c r="AT1438" i="3"/>
  <c r="AU1438" i="3"/>
  <c r="AS1430" i="3"/>
  <c r="BA1430" i="3"/>
  <c r="AU1430" i="3"/>
  <c r="AV1430" i="3"/>
  <c r="AW1430" i="3"/>
  <c r="AZ1430" i="3"/>
  <c r="AR1430" i="3"/>
  <c r="AW1422" i="3"/>
  <c r="AS1422" i="3"/>
  <c r="BA1422" i="3"/>
  <c r="AR1422" i="3"/>
  <c r="AT1422" i="3"/>
  <c r="AX1422" i="3"/>
  <c r="AY1422" i="3"/>
  <c r="AV1414" i="3"/>
  <c r="AW1414" i="3"/>
  <c r="AS1414" i="3"/>
  <c r="BA1414" i="3"/>
  <c r="AX1414" i="3"/>
  <c r="AY1414" i="3"/>
  <c r="AZ1414" i="3"/>
  <c r="AR1414" i="3"/>
  <c r="AT1414" i="3"/>
  <c r="AV1406" i="3"/>
  <c r="AW1406" i="3"/>
  <c r="AS1406" i="3"/>
  <c r="BA1406" i="3"/>
  <c r="AR1406" i="3"/>
  <c r="AT1406" i="3"/>
  <c r="AY1406" i="3"/>
  <c r="AZ1406" i="3"/>
  <c r="AV1398" i="3"/>
  <c r="AW1398" i="3"/>
  <c r="AS1398" i="3"/>
  <c r="BA1398" i="3"/>
  <c r="AX1398" i="3"/>
  <c r="AY1398" i="3"/>
  <c r="AZ1398" i="3"/>
  <c r="AR1398" i="3"/>
  <c r="AT1398" i="3"/>
  <c r="AV1390" i="3"/>
  <c r="AW1390" i="3"/>
  <c r="AS1390" i="3"/>
  <c r="BA1390" i="3"/>
  <c r="AR1390" i="3"/>
  <c r="AT1390" i="3"/>
  <c r="AY1390" i="3"/>
  <c r="AZ1390" i="3"/>
  <c r="AU1382" i="3"/>
  <c r="AV1382" i="3"/>
  <c r="AR1382" i="3"/>
  <c r="AZ1382" i="3"/>
  <c r="AW1382" i="3"/>
  <c r="AX1382" i="3"/>
  <c r="AY1382" i="3"/>
  <c r="AS1382" i="3"/>
  <c r="AS1374" i="3"/>
  <c r="BA1374" i="3"/>
  <c r="AT1374" i="3"/>
  <c r="AX1374" i="3"/>
  <c r="AY1374" i="3"/>
  <c r="AZ1374" i="3"/>
  <c r="AU1374" i="3"/>
  <c r="AV1374" i="3"/>
  <c r="AY1366" i="3"/>
  <c r="AR1366" i="3"/>
  <c r="AZ1366" i="3"/>
  <c r="AV1366" i="3"/>
  <c r="AS1366" i="3"/>
  <c r="AW1366" i="3"/>
  <c r="AX1366" i="3"/>
  <c r="AW1358" i="3"/>
  <c r="AX1358" i="3"/>
  <c r="AT1358" i="3"/>
  <c r="AS1358" i="3"/>
  <c r="AU1358" i="3"/>
  <c r="AV1358" i="3"/>
  <c r="BA1358" i="3"/>
  <c r="AU1350" i="3"/>
  <c r="AV1350" i="3"/>
  <c r="AR1350" i="3"/>
  <c r="AZ1350" i="3"/>
  <c r="AX1350" i="3"/>
  <c r="AY1350" i="3"/>
  <c r="BA1350" i="3"/>
  <c r="AS1350" i="3"/>
  <c r="AT1350" i="3"/>
  <c r="AS1342" i="3"/>
  <c r="BA1342" i="3"/>
  <c r="AT1342" i="3"/>
  <c r="AX1342" i="3"/>
  <c r="AZ1342" i="3"/>
  <c r="AV1342" i="3"/>
  <c r="AW1342" i="3"/>
  <c r="AX1334" i="3"/>
  <c r="AY1334" i="3"/>
  <c r="AU1334" i="3"/>
  <c r="AR1334" i="3"/>
  <c r="AS1334" i="3"/>
  <c r="AW1334" i="3"/>
  <c r="AZ1334" i="3"/>
  <c r="AT1326" i="3"/>
  <c r="AU1326" i="3"/>
  <c r="AY1326" i="3"/>
  <c r="AR1326" i="3"/>
  <c r="AS1326" i="3"/>
  <c r="AV1326" i="3"/>
  <c r="AZ1326" i="3"/>
  <c r="BA1326" i="3"/>
  <c r="AX1318" i="3"/>
  <c r="AY1318" i="3"/>
  <c r="AU1318" i="3"/>
  <c r="AS1318" i="3"/>
  <c r="AT1318" i="3"/>
  <c r="AV1318" i="3"/>
  <c r="BA1318" i="3"/>
  <c r="AR1310" i="3"/>
  <c r="AZ1310" i="3"/>
  <c r="AS1310" i="3"/>
  <c r="BA1310" i="3"/>
  <c r="AW1310" i="3"/>
  <c r="AT1310" i="3"/>
  <c r="AX1310" i="3"/>
  <c r="AY1310" i="3"/>
  <c r="AU1302" i="3"/>
  <c r="AV1302" i="3"/>
  <c r="AR1302" i="3"/>
  <c r="AZ1302" i="3"/>
  <c r="BA1302" i="3"/>
  <c r="AW1302" i="3"/>
  <c r="AX1302" i="3"/>
  <c r="AV1294" i="3"/>
  <c r="AW1294" i="3"/>
  <c r="AS1294" i="3"/>
  <c r="BA1294" i="3"/>
  <c r="AU1294" i="3"/>
  <c r="AX1294" i="3"/>
  <c r="AY1294" i="3"/>
  <c r="AR1294" i="3"/>
  <c r="AY1286" i="3"/>
  <c r="AR1286" i="3"/>
  <c r="AZ1286" i="3"/>
  <c r="AV1286" i="3"/>
  <c r="AT1286" i="3"/>
  <c r="AU1286" i="3"/>
  <c r="AW1286" i="3"/>
  <c r="AS1278" i="3"/>
  <c r="BA1278" i="3"/>
  <c r="AT1278" i="3"/>
  <c r="AX1278" i="3"/>
  <c r="AR1278" i="3"/>
  <c r="AU1278" i="3"/>
  <c r="AY1278" i="3"/>
  <c r="AZ1278" i="3"/>
  <c r="AU1270" i="3"/>
  <c r="AV1270" i="3"/>
  <c r="AR1270" i="3"/>
  <c r="AZ1270" i="3"/>
  <c r="BA1270" i="3"/>
  <c r="AW1270" i="3"/>
  <c r="AX1270" i="3"/>
  <c r="AW1262" i="3"/>
  <c r="AX1262" i="3"/>
  <c r="AT1262" i="3"/>
  <c r="AY1262" i="3"/>
  <c r="AZ1262" i="3"/>
  <c r="BA1262" i="3"/>
  <c r="AS1262" i="3"/>
  <c r="AU1262" i="3"/>
  <c r="AW1254" i="3"/>
  <c r="AX1254" i="3"/>
  <c r="AT1254" i="3"/>
  <c r="AS1254" i="3"/>
  <c r="AU1254" i="3"/>
  <c r="AV1254" i="3"/>
  <c r="BA1254" i="3"/>
  <c r="AV1246" i="3"/>
  <c r="AW1246" i="3"/>
  <c r="AS1246" i="3"/>
  <c r="BA1246" i="3"/>
  <c r="AY1246" i="3"/>
  <c r="AZ1246" i="3"/>
  <c r="AT1246" i="3"/>
  <c r="AU1246" i="3"/>
  <c r="AX1238" i="3"/>
  <c r="AY1238" i="3"/>
  <c r="AU1238" i="3"/>
  <c r="AV1238" i="3"/>
  <c r="AW1238" i="3"/>
  <c r="AZ1238" i="3"/>
  <c r="AR1238" i="3"/>
  <c r="AS1238" i="3"/>
  <c r="AS1230" i="3"/>
  <c r="BA1230" i="3"/>
  <c r="AT1230" i="3"/>
  <c r="AW1230" i="3"/>
  <c r="AX1230" i="3"/>
  <c r="AU1230" i="3"/>
  <c r="AV1230" i="3"/>
  <c r="AY1230" i="3"/>
  <c r="AS1222" i="3"/>
  <c r="BA1222" i="3"/>
  <c r="AT1222" i="3"/>
  <c r="AW1222" i="3"/>
  <c r="AX1222" i="3"/>
  <c r="AZ1222" i="3"/>
  <c r="AU1222" i="3"/>
  <c r="AV1222" i="3"/>
  <c r="AS1214" i="3"/>
  <c r="BA1214" i="3"/>
  <c r="AT1214" i="3"/>
  <c r="AU1214" i="3"/>
  <c r="AX1214" i="3"/>
  <c r="AY1214" i="3"/>
  <c r="AR1214" i="3"/>
  <c r="AV1214" i="3"/>
  <c r="AT1206" i="3"/>
  <c r="AU1206" i="3"/>
  <c r="AV1206" i="3"/>
  <c r="AY1206" i="3"/>
  <c r="AR1206" i="3"/>
  <c r="AZ1206" i="3"/>
  <c r="AX1206" i="3"/>
  <c r="BA1206" i="3"/>
  <c r="AS1206" i="3"/>
  <c r="AT1198" i="3"/>
  <c r="AU1198" i="3"/>
  <c r="AV1198" i="3"/>
  <c r="AY1198" i="3"/>
  <c r="AR1198" i="3"/>
  <c r="AZ1198" i="3"/>
  <c r="AW1198" i="3"/>
  <c r="AX1198" i="3"/>
  <c r="AT1190" i="3"/>
  <c r="AU1190" i="3"/>
  <c r="AV1190" i="3"/>
  <c r="AY1190" i="3"/>
  <c r="AR1190" i="3"/>
  <c r="AZ1190" i="3"/>
  <c r="AS1190" i="3"/>
  <c r="BA1190" i="3"/>
  <c r="AS1182" i="3"/>
  <c r="BA1182" i="3"/>
  <c r="AT1182" i="3"/>
  <c r="AU1182" i="3"/>
  <c r="AX1182" i="3"/>
  <c r="AY1182" i="3"/>
  <c r="AR1182" i="3"/>
  <c r="AV1182" i="3"/>
  <c r="AS1174" i="3"/>
  <c r="BA1174" i="3"/>
  <c r="AT1174" i="3"/>
  <c r="AU1174" i="3"/>
  <c r="AX1174" i="3"/>
  <c r="AY1174" i="3"/>
  <c r="AV1174" i="3"/>
  <c r="AW1174" i="3"/>
  <c r="AZ1174" i="3"/>
  <c r="AT1166" i="3"/>
  <c r="AU1166" i="3"/>
  <c r="AV1166" i="3"/>
  <c r="AY1166" i="3"/>
  <c r="AR1166" i="3"/>
  <c r="AZ1166" i="3"/>
  <c r="AW1166" i="3"/>
  <c r="AX1166" i="3"/>
  <c r="AT1158" i="3"/>
  <c r="AU1158" i="3"/>
  <c r="AV1158" i="3"/>
  <c r="AY1158" i="3"/>
  <c r="AR1158" i="3"/>
  <c r="AZ1158" i="3"/>
  <c r="AS1158" i="3"/>
  <c r="BA1158" i="3"/>
  <c r="AT1150" i="3"/>
  <c r="AU1150" i="3"/>
  <c r="AV1150" i="3"/>
  <c r="AY1150" i="3"/>
  <c r="AR1150" i="3"/>
  <c r="AZ1150" i="3"/>
  <c r="AS1150" i="3"/>
  <c r="AW1150" i="3"/>
  <c r="AX1150" i="3"/>
  <c r="AT1142" i="3"/>
  <c r="AU1142" i="3"/>
  <c r="AV1142" i="3"/>
  <c r="AY1142" i="3"/>
  <c r="AR1142" i="3"/>
  <c r="AZ1142" i="3"/>
  <c r="AX1142" i="3"/>
  <c r="BA1142" i="3"/>
  <c r="AS1142" i="3"/>
  <c r="AT1134" i="3"/>
  <c r="AU1134" i="3"/>
  <c r="AV1134" i="3"/>
  <c r="AY1134" i="3"/>
  <c r="AR1134" i="3"/>
  <c r="AZ1134" i="3"/>
  <c r="AW1134" i="3"/>
  <c r="AX1134" i="3"/>
  <c r="AU1126" i="3"/>
  <c r="AV1126" i="3"/>
  <c r="AW1126" i="3"/>
  <c r="AR1126" i="3"/>
  <c r="AZ1126" i="3"/>
  <c r="AS1126" i="3"/>
  <c r="BA1126" i="3"/>
  <c r="AT1126" i="3"/>
  <c r="AT1118" i="3"/>
  <c r="AU1118" i="3"/>
  <c r="AV1118" i="3"/>
  <c r="AY1118" i="3"/>
  <c r="AR1118" i="3"/>
  <c r="AZ1118" i="3"/>
  <c r="AS1118" i="3"/>
  <c r="AW1118" i="3"/>
  <c r="AS1110" i="3"/>
  <c r="BA1110" i="3"/>
  <c r="AT1110" i="3"/>
  <c r="AU1110" i="3"/>
  <c r="AX1110" i="3"/>
  <c r="AY1110" i="3"/>
  <c r="AR1110" i="3"/>
  <c r="AV1110" i="3"/>
  <c r="AW1110" i="3"/>
  <c r="AS1102" i="3"/>
  <c r="BA1102" i="3"/>
  <c r="AT1102" i="3"/>
  <c r="AU1102" i="3"/>
  <c r="AX1102" i="3"/>
  <c r="AY1102" i="3"/>
  <c r="AW1102" i="3"/>
  <c r="AZ1102" i="3"/>
  <c r="AR1102" i="3"/>
  <c r="AR1094" i="3"/>
  <c r="AZ1094" i="3"/>
  <c r="AS1094" i="3"/>
  <c r="BA1094" i="3"/>
  <c r="AT1094" i="3"/>
  <c r="AW1094" i="3"/>
  <c r="AX1094" i="3"/>
  <c r="AY1094" i="3"/>
  <c r="AU1094" i="3"/>
  <c r="AR1086" i="3"/>
  <c r="AZ1086" i="3"/>
  <c r="AS1086" i="3"/>
  <c r="BA1086" i="3"/>
  <c r="AT1086" i="3"/>
  <c r="AW1086" i="3"/>
  <c r="AX1086" i="3"/>
  <c r="AY1086" i="3"/>
  <c r="AU1086" i="3"/>
  <c r="AR1078" i="3"/>
  <c r="AZ1078" i="3"/>
  <c r="AS1078" i="3"/>
  <c r="BA1078" i="3"/>
  <c r="AT1078" i="3"/>
  <c r="AW1078" i="3"/>
  <c r="AX1078" i="3"/>
  <c r="AY1078" i="3"/>
  <c r="AU1078" i="3"/>
  <c r="AX1070" i="3"/>
  <c r="AY1070" i="3"/>
  <c r="AR1070" i="3"/>
  <c r="AZ1070" i="3"/>
  <c r="AU1070" i="3"/>
  <c r="AV1070" i="3"/>
  <c r="AT1070" i="3"/>
  <c r="AW1070" i="3"/>
  <c r="BA1070" i="3"/>
  <c r="AU1062" i="3"/>
  <c r="AV1062" i="3"/>
  <c r="AW1062" i="3"/>
  <c r="AR1062" i="3"/>
  <c r="AZ1062" i="3"/>
  <c r="AS1062" i="3"/>
  <c r="BA1062" i="3"/>
  <c r="AT1062" i="3"/>
  <c r="AY1054" i="3"/>
  <c r="AR1054" i="3"/>
  <c r="AZ1054" i="3"/>
  <c r="AS1054" i="3"/>
  <c r="BA1054" i="3"/>
  <c r="AV1054" i="3"/>
  <c r="AW1054" i="3"/>
  <c r="AX1054" i="3"/>
  <c r="AT1054" i="3"/>
  <c r="AU1046" i="3"/>
  <c r="AV1046" i="3"/>
  <c r="AW1046" i="3"/>
  <c r="AR1046" i="3"/>
  <c r="AZ1046" i="3"/>
  <c r="AS1046" i="3"/>
  <c r="BA1046" i="3"/>
  <c r="AT1046" i="3"/>
  <c r="AX1038" i="3"/>
  <c r="AY1038" i="3"/>
  <c r="AR1038" i="3"/>
  <c r="AZ1038" i="3"/>
  <c r="AU1038" i="3"/>
  <c r="AV1038" i="3"/>
  <c r="AW1038" i="3"/>
  <c r="BA1038" i="3"/>
  <c r="AS1038" i="3"/>
  <c r="AS1030" i="3"/>
  <c r="BA1030" i="3"/>
  <c r="AT1030" i="3"/>
  <c r="AU1030" i="3"/>
  <c r="AX1030" i="3"/>
  <c r="AY1030" i="3"/>
  <c r="AR1030" i="3"/>
  <c r="AZ1030" i="3"/>
  <c r="AV1022" i="3"/>
  <c r="AW1022" i="3"/>
  <c r="AX1022" i="3"/>
  <c r="AS1022" i="3"/>
  <c r="BA1022" i="3"/>
  <c r="AT1022" i="3"/>
  <c r="AU1022" i="3"/>
  <c r="AY1022" i="3"/>
  <c r="AZ1022" i="3"/>
  <c r="AX1014" i="3"/>
  <c r="AY1014" i="3"/>
  <c r="AR1014" i="3"/>
  <c r="AZ1014" i="3"/>
  <c r="AU1014" i="3"/>
  <c r="AV1014" i="3"/>
  <c r="AT1014" i="3"/>
  <c r="AW1014" i="3"/>
  <c r="AV1006" i="3"/>
  <c r="AX1006" i="3"/>
  <c r="AY1006" i="3"/>
  <c r="AZ1006" i="3"/>
  <c r="AT1006" i="3"/>
  <c r="AU1006" i="3"/>
  <c r="AW1006" i="3"/>
  <c r="BA1006" i="3"/>
  <c r="AY998" i="3"/>
  <c r="AU998" i="3"/>
  <c r="AV998" i="3"/>
  <c r="AW998" i="3"/>
  <c r="AR998" i="3"/>
  <c r="BA998" i="3"/>
  <c r="AS998" i="3"/>
  <c r="AT998" i="3"/>
  <c r="AX998" i="3"/>
  <c r="AT990" i="3"/>
  <c r="AS990" i="3"/>
  <c r="AU990" i="3"/>
  <c r="AV990" i="3"/>
  <c r="AY990" i="3"/>
  <c r="AZ990" i="3"/>
  <c r="BA990" i="3"/>
  <c r="AR990" i="3"/>
  <c r="AW990" i="3"/>
  <c r="AW982" i="3"/>
  <c r="AR982" i="3"/>
  <c r="BA982" i="3"/>
  <c r="AS982" i="3"/>
  <c r="AT982" i="3"/>
  <c r="AX982" i="3"/>
  <c r="AY982" i="3"/>
  <c r="AU982" i="3"/>
  <c r="AV982" i="3"/>
  <c r="AW974" i="3"/>
  <c r="AU974" i="3"/>
  <c r="AV974" i="3"/>
  <c r="AX974" i="3"/>
  <c r="AR974" i="3"/>
  <c r="BA974" i="3"/>
  <c r="AS974" i="3"/>
  <c r="AT974" i="3"/>
  <c r="AY974" i="3"/>
  <c r="AT966" i="3"/>
  <c r="AV966" i="3"/>
  <c r="AW966" i="3"/>
  <c r="AX966" i="3"/>
  <c r="AR966" i="3"/>
  <c r="BA966" i="3"/>
  <c r="AS966" i="3"/>
  <c r="AU966" i="3"/>
  <c r="AY966" i="3"/>
  <c r="AZ966" i="3"/>
  <c r="AT958" i="3"/>
  <c r="AZ958" i="3"/>
  <c r="AR958" i="3"/>
  <c r="BA958" i="3"/>
  <c r="AS958" i="3"/>
  <c r="AW958" i="3"/>
  <c r="AX958" i="3"/>
  <c r="AY958" i="3"/>
  <c r="AS950" i="3"/>
  <c r="BA950" i="3"/>
  <c r="AU950" i="3"/>
  <c r="AV950" i="3"/>
  <c r="AW950" i="3"/>
  <c r="AZ950" i="3"/>
  <c r="AR950" i="3"/>
  <c r="AY950" i="3"/>
  <c r="AT950" i="3"/>
  <c r="AT942" i="3"/>
  <c r="AZ942" i="3"/>
  <c r="AR942" i="3"/>
  <c r="BA942" i="3"/>
  <c r="AS942" i="3"/>
  <c r="AW942" i="3"/>
  <c r="AX942" i="3"/>
  <c r="AU942" i="3"/>
  <c r="AV942" i="3"/>
  <c r="AY942" i="3"/>
  <c r="AT934" i="3"/>
  <c r="AV934" i="3"/>
  <c r="AW934" i="3"/>
  <c r="AX934" i="3"/>
  <c r="AR934" i="3"/>
  <c r="BA934" i="3"/>
  <c r="AS934" i="3"/>
  <c r="AZ934" i="3"/>
  <c r="AR926" i="3"/>
  <c r="AZ926" i="3"/>
  <c r="AX926" i="3"/>
  <c r="AY926" i="3"/>
  <c r="BA926" i="3"/>
  <c r="AU926" i="3"/>
  <c r="AV926" i="3"/>
  <c r="AT926" i="3"/>
  <c r="AW926" i="3"/>
  <c r="AY918" i="3"/>
  <c r="AS918" i="3"/>
  <c r="AT918" i="3"/>
  <c r="AU918" i="3"/>
  <c r="AX918" i="3"/>
  <c r="AZ918" i="3"/>
  <c r="AR918" i="3"/>
  <c r="AV918" i="3"/>
  <c r="AX910" i="3"/>
  <c r="AV910" i="3"/>
  <c r="AW910" i="3"/>
  <c r="AY910" i="3"/>
  <c r="AS910" i="3"/>
  <c r="AT910" i="3"/>
  <c r="AU910" i="3"/>
  <c r="AZ910" i="3"/>
  <c r="AU902" i="3"/>
  <c r="AX902" i="3"/>
  <c r="AY902" i="3"/>
  <c r="AZ902" i="3"/>
  <c r="AT902" i="3"/>
  <c r="AV902" i="3"/>
  <c r="AR902" i="3"/>
  <c r="AS902" i="3"/>
  <c r="AR894" i="3"/>
  <c r="AZ894" i="3"/>
  <c r="AY894" i="3"/>
  <c r="BA894" i="3"/>
  <c r="AS894" i="3"/>
  <c r="AV894" i="3"/>
  <c r="AW894" i="3"/>
  <c r="AX894" i="3"/>
  <c r="AT894" i="3"/>
  <c r="AW886" i="3"/>
  <c r="AR886" i="3"/>
  <c r="BA886" i="3"/>
  <c r="AS886" i="3"/>
  <c r="AT886" i="3"/>
  <c r="AX886" i="3"/>
  <c r="AY886" i="3"/>
  <c r="AZ886" i="3"/>
  <c r="AY878" i="3"/>
  <c r="AZ878" i="3"/>
  <c r="AR878" i="3"/>
  <c r="BA878" i="3"/>
  <c r="AS878" i="3"/>
  <c r="AV878" i="3"/>
  <c r="AW878" i="3"/>
  <c r="AX878" i="3"/>
  <c r="AS870" i="3"/>
  <c r="BA870" i="3"/>
  <c r="AW870" i="3"/>
  <c r="AX870" i="3"/>
  <c r="AY870" i="3"/>
  <c r="AT870" i="3"/>
  <c r="AU870" i="3"/>
  <c r="AV870" i="3"/>
  <c r="AZ870" i="3"/>
  <c r="AS862" i="3"/>
  <c r="BA862" i="3"/>
  <c r="AR862" i="3"/>
  <c r="AT862" i="3"/>
  <c r="AU862" i="3"/>
  <c r="AX862" i="3"/>
  <c r="AY862" i="3"/>
  <c r="AZ862" i="3"/>
  <c r="AV862" i="3"/>
  <c r="AT854" i="3"/>
  <c r="AY854" i="3"/>
  <c r="AZ854" i="3"/>
  <c r="AR854" i="3"/>
  <c r="BA854" i="3"/>
  <c r="AV854" i="3"/>
  <c r="AW854" i="3"/>
  <c r="AU854" i="3"/>
  <c r="AX854" i="3"/>
  <c r="AT846" i="3"/>
  <c r="AV846" i="3"/>
  <c r="AW846" i="3"/>
  <c r="AS846" i="3"/>
  <c r="AY846" i="3"/>
  <c r="AZ846" i="3"/>
  <c r="AY838" i="3"/>
  <c r="AX838" i="3"/>
  <c r="AZ838" i="3"/>
  <c r="AR838" i="3"/>
  <c r="BA838" i="3"/>
  <c r="AU838" i="3"/>
  <c r="AV838" i="3"/>
  <c r="AS838" i="3"/>
  <c r="AU830" i="3"/>
  <c r="AY830" i="3"/>
  <c r="AZ830" i="3"/>
  <c r="AR830" i="3"/>
  <c r="BA830" i="3"/>
  <c r="AV830" i="3"/>
  <c r="AW830" i="3"/>
  <c r="AS830" i="3"/>
  <c r="AT830" i="3"/>
  <c r="AX830" i="3"/>
  <c r="AT822" i="3"/>
  <c r="AU822" i="3"/>
  <c r="AW822" i="3"/>
  <c r="AX822" i="3"/>
  <c r="AR822" i="3"/>
  <c r="AZ822" i="3"/>
  <c r="AY814" i="3"/>
  <c r="AR814" i="3"/>
  <c r="BA814" i="3"/>
  <c r="AX814" i="3"/>
  <c r="AZ814" i="3"/>
  <c r="AU814" i="3"/>
  <c r="AV814" i="3"/>
  <c r="AS814" i="3"/>
  <c r="AT806" i="3"/>
  <c r="AU806" i="3"/>
  <c r="AY806" i="3"/>
  <c r="AZ806" i="3"/>
  <c r="BA806" i="3"/>
  <c r="AV806" i="3"/>
  <c r="AW806" i="3"/>
  <c r="AS806" i="3"/>
  <c r="AX806" i="3"/>
  <c r="BA798" i="3"/>
  <c r="AR798" i="3"/>
  <c r="AX798" i="3"/>
  <c r="AY798" i="3"/>
  <c r="AT798" i="3"/>
  <c r="AU798" i="3"/>
  <c r="AX790" i="3"/>
  <c r="AS790" i="3"/>
  <c r="AT790" i="3"/>
  <c r="AW790" i="3"/>
  <c r="AY790" i="3"/>
  <c r="AV790" i="3"/>
  <c r="BA790" i="3"/>
  <c r="AU782" i="3"/>
  <c r="AR782" i="3"/>
  <c r="BA782" i="3"/>
  <c r="AW782" i="3"/>
  <c r="AX782" i="3"/>
  <c r="AY782" i="3"/>
  <c r="AS782" i="3"/>
  <c r="AT782" i="3"/>
  <c r="AZ782" i="3"/>
  <c r="AW774" i="3"/>
  <c r="AX774" i="3"/>
  <c r="AT774" i="3"/>
  <c r="AZ774" i="3"/>
  <c r="BA774" i="3"/>
  <c r="AS774" i="3"/>
  <c r="AU766" i="3"/>
  <c r="AZ766" i="3"/>
  <c r="AY766" i="3"/>
  <c r="AT766" i="3"/>
  <c r="AS766" i="3"/>
  <c r="AV766" i="3"/>
  <c r="AW766" i="3"/>
  <c r="BA766" i="3"/>
  <c r="AR766" i="3"/>
  <c r="AU758" i="3"/>
  <c r="AS758" i="3"/>
  <c r="AX758" i="3"/>
  <c r="BA758" i="3"/>
  <c r="AW758" i="3"/>
  <c r="AY758" i="3"/>
  <c r="AZ758" i="3"/>
  <c r="AR758" i="3"/>
  <c r="AT758" i="3"/>
  <c r="AV758" i="3"/>
  <c r="AT750" i="3"/>
  <c r="AW750" i="3"/>
  <c r="AY750" i="3"/>
  <c r="AZ750" i="3"/>
  <c r="AS742" i="3"/>
  <c r="AY742" i="3"/>
  <c r="AR742" i="3"/>
  <c r="AT742" i="3"/>
  <c r="AX742" i="3"/>
  <c r="BA742" i="3"/>
  <c r="AV742" i="3"/>
  <c r="AW742" i="3"/>
  <c r="AS734" i="3"/>
  <c r="BA734" i="3"/>
  <c r="AR734" i="3"/>
  <c r="AW734" i="3"/>
  <c r="AX734" i="3"/>
  <c r="AY734" i="3"/>
  <c r="AR726" i="3"/>
  <c r="AX726" i="3"/>
  <c r="BA726" i="3"/>
  <c r="AV726" i="3"/>
  <c r="AZ718" i="3"/>
  <c r="AS718" i="3"/>
  <c r="AW718" i="3"/>
  <c r="AX718" i="3"/>
  <c r="AY718" i="3"/>
  <c r="BA718" i="3"/>
  <c r="AW710" i="3"/>
  <c r="AS710" i="3"/>
  <c r="AT710" i="3"/>
  <c r="AV710" i="3"/>
  <c r="AX710" i="3"/>
  <c r="AS702" i="3"/>
  <c r="AZ702" i="3"/>
  <c r="AR702" i="3"/>
  <c r="AX694" i="3"/>
  <c r="AS694" i="3"/>
  <c r="AW694" i="3"/>
  <c r="AT694" i="3"/>
  <c r="AS686" i="3"/>
  <c r="AX686" i="3"/>
  <c r="AR686" i="3"/>
  <c r="BA686" i="3"/>
  <c r="AY686" i="3"/>
  <c r="AZ686" i="3"/>
  <c r="AV678" i="3"/>
  <c r="AT678" i="3"/>
  <c r="AX678" i="3"/>
  <c r="AY670" i="3"/>
  <c r="AT670" i="3"/>
  <c r="AX670" i="3"/>
  <c r="AZ670" i="3"/>
  <c r="AX662" i="3"/>
  <c r="AY662" i="3"/>
  <c r="AW662" i="3"/>
  <c r="BA662" i="3"/>
  <c r="AR654" i="3"/>
  <c r="AX654" i="3"/>
  <c r="BA654" i="3"/>
  <c r="BA646" i="3"/>
  <c r="AZ646" i="3"/>
  <c r="AY646" i="3"/>
  <c r="AR646" i="3"/>
  <c r="AS646" i="3"/>
  <c r="AR638" i="3"/>
  <c r="AT638" i="3"/>
  <c r="AS638" i="3"/>
  <c r="AT630" i="3"/>
  <c r="AW630" i="3"/>
  <c r="AS622" i="3"/>
  <c r="AX622" i="3"/>
  <c r="AR622" i="3"/>
  <c r="AT622" i="3"/>
  <c r="AW622" i="3"/>
  <c r="AW614" i="3"/>
  <c r="AY614" i="3"/>
  <c r="AX614" i="3"/>
  <c r="AZ606" i="3"/>
  <c r="AW606" i="3"/>
  <c r="AW598" i="3"/>
  <c r="AX598" i="3"/>
  <c r="AY598" i="3"/>
  <c r="AX590" i="3"/>
  <c r="AZ590" i="3"/>
  <c r="AY590" i="3"/>
  <c r="AT550" i="3"/>
  <c r="AS550" i="3"/>
  <c r="AX542" i="3"/>
  <c r="AZ542" i="3"/>
  <c r="AW542" i="3"/>
  <c r="AS502" i="3"/>
  <c r="BA502" i="3"/>
  <c r="AS486" i="3"/>
  <c r="AT486" i="3"/>
  <c r="AX470" i="3"/>
  <c r="BA470" i="3"/>
  <c r="BA390" i="3"/>
  <c r="AY390" i="3"/>
  <c r="AW374" i="3"/>
  <c r="BA374" i="3"/>
  <c r="AR207" i="4"/>
  <c r="AV207" i="4"/>
  <c r="U102" i="17"/>
  <c r="N102" i="17"/>
  <c r="AY1302" i="3"/>
  <c r="AW1278" i="3"/>
  <c r="AT1238" i="3"/>
  <c r="BA1134" i="3"/>
  <c r="BA1118" i="3"/>
  <c r="AV1078" i="3"/>
  <c r="AX1062" i="3"/>
  <c r="AV1030" i="3"/>
  <c r="AR1022" i="3"/>
  <c r="BA1014" i="3"/>
  <c r="AR1006" i="3"/>
  <c r="AU894" i="3"/>
  <c r="AU878" i="3"/>
  <c r="AT838" i="3"/>
  <c r="AW670" i="3"/>
  <c r="AT606" i="3"/>
  <c r="AZ1023" i="3"/>
  <c r="AU1007" i="3"/>
  <c r="BA999" i="3"/>
  <c r="AR999" i="3"/>
  <c r="AS951" i="3"/>
  <c r="AT911" i="3"/>
  <c r="AW879" i="3"/>
  <c r="AW855" i="3"/>
  <c r="AU847" i="3"/>
  <c r="AW839" i="3"/>
  <c r="AS823" i="3"/>
  <c r="AX815" i="3"/>
  <c r="AU767" i="3"/>
  <c r="AV431" i="3"/>
  <c r="AR991" i="3"/>
  <c r="AZ991" i="3"/>
  <c r="AS983" i="3"/>
  <c r="AV983" i="3"/>
  <c r="AW975" i="3"/>
  <c r="AU975" i="3"/>
  <c r="AW967" i="3"/>
  <c r="AR967" i="3"/>
  <c r="BA967" i="3"/>
  <c r="AY959" i="3"/>
  <c r="AR959" i="3"/>
  <c r="BA959" i="3"/>
  <c r="AU943" i="3"/>
  <c r="AR943" i="3"/>
  <c r="BA943" i="3"/>
  <c r="AW935" i="3"/>
  <c r="AR935" i="3"/>
  <c r="BA935" i="3"/>
  <c r="AX927" i="3"/>
  <c r="AY927" i="3"/>
  <c r="AX919" i="3"/>
  <c r="AW919" i="3"/>
  <c r="AY903" i="3"/>
  <c r="AS903" i="3"/>
  <c r="AW895" i="3"/>
  <c r="AY895" i="3"/>
  <c r="AV887" i="3"/>
  <c r="AU887" i="3"/>
  <c r="AU871" i="3"/>
  <c r="AZ871" i="3"/>
  <c r="AV863" i="3"/>
  <c r="AZ863" i="3"/>
  <c r="AZ791" i="3"/>
  <c r="AT791" i="3"/>
  <c r="AY775" i="3"/>
  <c r="AX775" i="3"/>
  <c r="AR751" i="3"/>
  <c r="AU751" i="3"/>
  <c r="AW751" i="3"/>
  <c r="AT743" i="3"/>
  <c r="AR743" i="3"/>
  <c r="AT727" i="3"/>
  <c r="AY727" i="3"/>
  <c r="AZ727" i="3"/>
  <c r="AT719" i="3"/>
  <c r="AU719" i="3"/>
  <c r="AR703" i="3"/>
  <c r="AY703" i="3"/>
  <c r="AV695" i="3"/>
  <c r="AW695" i="3"/>
  <c r="AZ679" i="3"/>
  <c r="AU679" i="3"/>
  <c r="AV671" i="3"/>
  <c r="AY671" i="3"/>
  <c r="AW647" i="3"/>
  <c r="AZ647" i="3"/>
  <c r="AU631" i="3"/>
  <c r="AZ631" i="3"/>
  <c r="AZ623" i="3"/>
  <c r="AR623" i="3"/>
  <c r="AV623" i="3"/>
  <c r="AR607" i="3"/>
  <c r="AV607" i="3"/>
  <c r="AV599" i="3"/>
  <c r="AX599" i="3"/>
  <c r="AU599" i="3"/>
  <c r="AW599" i="3"/>
  <c r="AX583" i="3"/>
  <c r="AV583" i="3"/>
  <c r="AV575" i="3"/>
  <c r="AY575" i="3"/>
  <c r="AX559" i="3"/>
  <c r="AV559" i="3"/>
  <c r="AZ559" i="3"/>
  <c r="AU559" i="3"/>
  <c r="AX551" i="3"/>
  <c r="AU551" i="3"/>
  <c r="AY535" i="3"/>
  <c r="AZ535" i="3"/>
  <c r="AV527" i="3"/>
  <c r="AU527" i="3"/>
  <c r="AX527" i="3"/>
  <c r="AY527" i="3"/>
  <c r="AU511" i="3"/>
  <c r="AY511" i="3"/>
  <c r="AZ511" i="3"/>
  <c r="AY479" i="3"/>
  <c r="AW479" i="3"/>
  <c r="AU463" i="3"/>
  <c r="AV463" i="3"/>
  <c r="AU439" i="3"/>
  <c r="AR439" i="3"/>
  <c r="AV439" i="3"/>
  <c r="AV415" i="3"/>
  <c r="AY415" i="3"/>
  <c r="AZ415" i="3"/>
  <c r="AR415" i="3"/>
  <c r="AU391" i="3"/>
  <c r="AX391" i="3"/>
  <c r="AS367" i="3"/>
  <c r="AV367" i="3"/>
  <c r="AS359" i="3"/>
  <c r="BA359" i="3"/>
  <c r="AZ335" i="3"/>
  <c r="AU335" i="3"/>
  <c r="AW311" i="3"/>
  <c r="BA311" i="3"/>
  <c r="AS311" i="3"/>
  <c r="AR247" i="3"/>
  <c r="AS247" i="3"/>
  <c r="AR191" i="3"/>
  <c r="AU191" i="3"/>
  <c r="AS1003" i="3"/>
  <c r="BA1003" i="3"/>
  <c r="AR979" i="3"/>
  <c r="AZ979" i="3"/>
  <c r="AS907" i="3"/>
  <c r="BA907" i="3"/>
  <c r="AS875" i="3"/>
  <c r="BA875" i="3"/>
  <c r="AS867" i="3"/>
  <c r="AT867" i="3"/>
  <c r="AS843" i="3"/>
  <c r="AZ843" i="3"/>
  <c r="AS835" i="3"/>
  <c r="BA835" i="3"/>
  <c r="AV795" i="3"/>
  <c r="AX795" i="3"/>
  <c r="AR787" i="3"/>
  <c r="AZ787" i="3"/>
  <c r="AT787" i="3"/>
  <c r="AU779" i="3"/>
  <c r="AS779" i="3"/>
  <c r="AW771" i="3"/>
  <c r="AY771" i="3"/>
  <c r="AT763" i="3"/>
  <c r="AZ763" i="3"/>
  <c r="AU763" i="3"/>
  <c r="AV755" i="3"/>
  <c r="AY755" i="3"/>
  <c r="BA755" i="3"/>
  <c r="AW747" i="3"/>
  <c r="AU747" i="3"/>
  <c r="AX747" i="3"/>
  <c r="AV739" i="3"/>
  <c r="AS739" i="3"/>
  <c r="AY739" i="3"/>
  <c r="AW731" i="3"/>
  <c r="AR731" i="3"/>
  <c r="BA731" i="3"/>
  <c r="AT731" i="3"/>
  <c r="AX723" i="3"/>
  <c r="AU723" i="3"/>
  <c r="BA723" i="3"/>
  <c r="AS715" i="3"/>
  <c r="BA715" i="3"/>
  <c r="AZ715" i="3"/>
  <c r="AW715" i="3"/>
  <c r="AX707" i="3"/>
  <c r="AT707" i="3"/>
  <c r="AY707" i="3"/>
  <c r="AU699" i="3"/>
  <c r="AX699" i="3"/>
  <c r="AX691" i="3"/>
  <c r="AZ691" i="3"/>
  <c r="AY691" i="3"/>
  <c r="AV683" i="3"/>
  <c r="AU683" i="3"/>
  <c r="AR683" i="3"/>
  <c r="AY667" i="3"/>
  <c r="AV667" i="3"/>
  <c r="AR667" i="3"/>
  <c r="AS667" i="3"/>
  <c r="AV659" i="3"/>
  <c r="AY659" i="3"/>
  <c r="AS659" i="3"/>
  <c r="AY643" i="3"/>
  <c r="AR643" i="3"/>
  <c r="BA643" i="3"/>
  <c r="AU643" i="3"/>
  <c r="AU635" i="3"/>
  <c r="AY635" i="3"/>
  <c r="AU619" i="3"/>
  <c r="AW619" i="3"/>
  <c r="AZ619" i="3"/>
  <c r="AT619" i="3"/>
  <c r="AS619" i="3"/>
  <c r="AU611" i="3"/>
  <c r="AT611" i="3"/>
  <c r="AV611" i="3"/>
  <c r="AY611" i="3"/>
  <c r="AW611" i="3"/>
  <c r="AX595" i="3"/>
  <c r="AR595" i="3"/>
  <c r="BA595" i="3"/>
  <c r="AW595" i="3"/>
  <c r="AV595" i="3"/>
  <c r="AX587" i="3"/>
  <c r="AY587" i="3"/>
  <c r="AS587" i="3"/>
  <c r="BA587" i="3"/>
  <c r="AR587" i="3"/>
  <c r="AU571" i="3"/>
  <c r="AV571" i="3"/>
  <c r="AW571" i="3"/>
  <c r="BA571" i="3"/>
  <c r="AY563" i="3"/>
  <c r="AX563" i="3"/>
  <c r="AV547" i="3"/>
  <c r="AW547" i="3"/>
  <c r="AR547" i="3"/>
  <c r="AY547" i="3"/>
  <c r="AY539" i="3"/>
  <c r="AT539" i="3"/>
  <c r="AW539" i="3"/>
  <c r="AT523" i="3"/>
  <c r="AU523" i="3"/>
  <c r="AV523" i="3"/>
  <c r="BA523" i="3"/>
  <c r="AR523" i="3"/>
  <c r="AW515" i="3"/>
  <c r="AV515" i="3"/>
  <c r="AU515" i="3"/>
  <c r="BA515" i="3"/>
  <c r="BA499" i="3"/>
  <c r="AW499" i="3"/>
  <c r="AY499" i="3"/>
  <c r="AR491" i="3"/>
  <c r="AX491" i="3"/>
  <c r="AZ491" i="3"/>
  <c r="AV491" i="3"/>
  <c r="AV475" i="3"/>
  <c r="AU475" i="3"/>
  <c r="AX475" i="3"/>
  <c r="AW475" i="3"/>
  <c r="AV467" i="3"/>
  <c r="AW467" i="3"/>
  <c r="AT467" i="3"/>
  <c r="AY451" i="3"/>
  <c r="AX451" i="3"/>
  <c r="AU451" i="3"/>
  <c r="AS451" i="3"/>
  <c r="AZ443" i="3"/>
  <c r="AW443" i="3"/>
  <c r="AS443" i="3"/>
  <c r="BA443" i="3"/>
  <c r="AX427" i="3"/>
  <c r="BA427" i="3"/>
  <c r="AS427" i="3"/>
  <c r="AU427" i="3"/>
  <c r="AT427" i="3"/>
  <c r="AX419" i="3"/>
  <c r="AY419" i="3"/>
  <c r="AW403" i="3"/>
  <c r="BA403" i="3"/>
  <c r="AZ403" i="3"/>
  <c r="AT403" i="3"/>
  <c r="AX395" i="3"/>
  <c r="BA395" i="3"/>
  <c r="AY395" i="3"/>
  <c r="AU395" i="3"/>
  <c r="BA379" i="3"/>
  <c r="AT379" i="3"/>
  <c r="AS379" i="3"/>
  <c r="AZ371" i="3"/>
  <c r="AR371" i="3"/>
  <c r="BA355" i="3"/>
  <c r="AX355" i="3"/>
  <c r="AS355" i="3"/>
  <c r="AV347" i="3"/>
  <c r="AZ347" i="3"/>
  <c r="AX323" i="3"/>
  <c r="AW323" i="3"/>
  <c r="AR323" i="3"/>
  <c r="AY299" i="3"/>
  <c r="AT299" i="3"/>
  <c r="AX299" i="3"/>
  <c r="AY283" i="3"/>
  <c r="AS283" i="3"/>
  <c r="AY980" i="3"/>
  <c r="AW972" i="3"/>
  <c r="BA916" i="3"/>
  <c r="AT684" i="3"/>
  <c r="AX652" i="3"/>
  <c r="AY604" i="3"/>
  <c r="AW572" i="3"/>
  <c r="AW564" i="3"/>
  <c r="L97" i="12"/>
  <c r="M97" i="12"/>
  <c r="AX764" i="3"/>
  <c r="AV764" i="3"/>
  <c r="AX676" i="3"/>
  <c r="AV676" i="3"/>
  <c r="AU644" i="3"/>
  <c r="AX644" i="3"/>
  <c r="AU275" i="3"/>
  <c r="AS275" i="3"/>
  <c r="AY211" i="3"/>
  <c r="AS211" i="3"/>
  <c r="AU131" i="3"/>
  <c r="BA131" i="3"/>
  <c r="AW83" i="3"/>
  <c r="AU83" i="3"/>
  <c r="BA328" i="3"/>
  <c r="AZ328" i="3"/>
  <c r="E475" i="13"/>
  <c r="E2822" i="3"/>
  <c r="E2853" i="3"/>
  <c r="E1139" i="13"/>
  <c r="C2933" i="3"/>
  <c r="AW2814" i="3"/>
  <c r="E1172" i="13"/>
  <c r="E1173" i="13"/>
  <c r="E1175" i="13"/>
  <c r="E2863" i="3"/>
  <c r="E376" i="4"/>
  <c r="E2859" i="3"/>
  <c r="C2953" i="3"/>
  <c r="AT2814" i="3"/>
  <c r="E1170" i="13"/>
  <c r="E1166" i="13"/>
  <c r="E2866" i="3"/>
  <c r="E1186" i="13"/>
  <c r="E2836" i="3"/>
  <c r="E2829" i="3"/>
  <c r="E2831" i="3"/>
  <c r="E1188" i="13"/>
  <c r="C146" i="34"/>
  <c r="E2950" i="3"/>
  <c r="E135" i="17"/>
  <c r="C147" i="17"/>
  <c r="C1187" i="13"/>
  <c r="E2837" i="3"/>
  <c r="E1184" i="13"/>
  <c r="E2976" i="3"/>
  <c r="E3014" i="3"/>
  <c r="E149" i="17"/>
  <c r="E2793" i="3"/>
  <c r="C1189" i="13"/>
  <c r="E30" i="4"/>
  <c r="E1131" i="13"/>
  <c r="V1138" i="13"/>
  <c r="Y1144" i="13"/>
  <c r="C2997" i="3"/>
  <c r="W1163" i="13"/>
  <c r="AZ2867" i="3"/>
  <c r="E2981" i="3"/>
  <c r="E2794" i="3"/>
  <c r="E2824" i="3"/>
  <c r="E2832" i="3"/>
  <c r="E2828" i="3"/>
  <c r="E2825" i="3"/>
  <c r="E2979" i="3"/>
  <c r="E798" i="13"/>
  <c r="E897" i="13"/>
  <c r="L362" i="12"/>
  <c r="AY2910" i="3"/>
  <c r="E2803" i="3"/>
  <c r="E1162" i="13"/>
  <c r="E2812" i="3"/>
  <c r="E2811" i="3"/>
  <c r="AX2831" i="3"/>
  <c r="E2978" i="3"/>
  <c r="E3013" i="3"/>
  <c r="E2975" i="3"/>
  <c r="E2790" i="3"/>
  <c r="E2965" i="3"/>
  <c r="E2969" i="3"/>
  <c r="E2804" i="3"/>
  <c r="C1101" i="13"/>
  <c r="C801" i="13"/>
  <c r="D339" i="12"/>
  <c r="C279" i="4"/>
  <c r="C1973" i="3"/>
  <c r="C709" i="13"/>
  <c r="C1076" i="13"/>
  <c r="C628" i="13"/>
  <c r="C66" i="34"/>
  <c r="C551" i="13"/>
  <c r="C1027" i="3"/>
  <c r="C690" i="13"/>
  <c r="D406" i="12"/>
  <c r="C326" i="13"/>
  <c r="C42" i="34"/>
  <c r="C46" i="34"/>
  <c r="C824" i="3"/>
  <c r="C389" i="13"/>
  <c r="C44" i="34"/>
  <c r="C43" i="34"/>
  <c r="C829" i="3"/>
  <c r="C394" i="13"/>
  <c r="C103" i="4"/>
  <c r="C831" i="3"/>
  <c r="C391" i="13"/>
  <c r="C289" i="3"/>
  <c r="C113" i="13"/>
  <c r="D268" i="12"/>
  <c r="C290" i="3"/>
  <c r="C114" i="13"/>
  <c r="C25" i="17"/>
  <c r="C28" i="17"/>
  <c r="C43" i="3"/>
  <c r="C31" i="13"/>
  <c r="C2590" i="3"/>
  <c r="C162" i="13"/>
  <c r="C433" i="3"/>
  <c r="C919" i="13"/>
  <c r="C1292" i="3"/>
  <c r="C1300" i="3"/>
  <c r="D403" i="12"/>
  <c r="D454" i="12"/>
  <c r="D97" i="34" s="1"/>
  <c r="C2424" i="3"/>
  <c r="C843" i="13"/>
  <c r="C2426" i="3"/>
  <c r="C2428" i="3"/>
  <c r="C1843" i="3"/>
  <c r="C1840" i="3"/>
  <c r="C927" i="13"/>
  <c r="C1839" i="3"/>
  <c r="C933" i="13"/>
  <c r="C141" i="17"/>
  <c r="C2642" i="3"/>
  <c r="C2644" i="3"/>
  <c r="C216" i="4"/>
  <c r="C2647" i="3"/>
  <c r="C2640" i="3"/>
  <c r="C213" i="4"/>
  <c r="C868" i="13"/>
  <c r="C2641" i="3"/>
  <c r="C194" i="4"/>
  <c r="C1446" i="3"/>
  <c r="D421" i="12"/>
  <c r="C765" i="13"/>
  <c r="C550" i="13"/>
  <c r="D370" i="12"/>
  <c r="C1030" i="3"/>
  <c r="C602" i="13"/>
  <c r="C548" i="13"/>
  <c r="C59" i="17"/>
  <c r="C337" i="13"/>
  <c r="C109" i="4"/>
  <c r="C908" i="3"/>
  <c r="C913" i="3"/>
  <c r="C874" i="3"/>
  <c r="C898" i="3"/>
  <c r="D314" i="12"/>
  <c r="C860" i="3"/>
  <c r="C861" i="3"/>
  <c r="C899" i="3"/>
  <c r="C875" i="3"/>
  <c r="C108" i="4"/>
  <c r="C880" i="3"/>
  <c r="C881" i="3"/>
  <c r="C858" i="3"/>
  <c r="C855" i="3"/>
  <c r="C298" i="3"/>
  <c r="C319" i="3"/>
  <c r="C311" i="3"/>
  <c r="C301" i="3"/>
  <c r="C310" i="3"/>
  <c r="C315" i="3"/>
  <c r="C188" i="13"/>
  <c r="C313" i="3"/>
  <c r="C303" i="3"/>
  <c r="C316" i="3"/>
  <c r="C224" i="13"/>
  <c r="C199" i="13"/>
  <c r="C2605" i="3"/>
  <c r="C103" i="13"/>
  <c r="C351" i="3"/>
  <c r="C275" i="13"/>
  <c r="C574" i="3"/>
  <c r="C552" i="3"/>
  <c r="C12" i="4"/>
  <c r="C2663" i="3"/>
  <c r="C2584" i="3"/>
  <c r="C2656" i="3"/>
  <c r="C2658" i="3"/>
  <c r="C287" i="3"/>
  <c r="C266" i="3"/>
  <c r="C737" i="13"/>
  <c r="C300" i="3"/>
  <c r="C317" i="3"/>
  <c r="C687" i="3"/>
  <c r="C910" i="3"/>
  <c r="C873" i="3"/>
  <c r="C104" i="4"/>
  <c r="C475" i="13"/>
  <c r="C977" i="3"/>
  <c r="C600" i="13"/>
  <c r="C1161" i="3"/>
  <c r="C1669" i="3"/>
  <c r="C746" i="13"/>
  <c r="C1571" i="3"/>
  <c r="C480" i="13"/>
  <c r="C1723" i="3"/>
  <c r="C870" i="13"/>
  <c r="C212" i="4"/>
  <c r="C392" i="13"/>
  <c r="C134" i="17"/>
  <c r="C123" i="4"/>
  <c r="C1208" i="3"/>
  <c r="C825" i="13"/>
  <c r="C1305" i="3"/>
  <c r="C1293" i="3"/>
  <c r="C1295" i="3"/>
  <c r="C141" i="4"/>
  <c r="C1443" i="3"/>
  <c r="C1904" i="3"/>
  <c r="C928" i="13"/>
  <c r="C2252" i="3"/>
  <c r="C1829" i="3"/>
  <c r="C2366" i="3"/>
  <c r="C2552" i="3"/>
  <c r="C303" i="4"/>
  <c r="C59" i="34"/>
  <c r="C115" i="34"/>
  <c r="D345" i="12"/>
  <c r="D38" i="34" s="1"/>
  <c r="D540" i="12"/>
  <c r="D121" i="34" s="1"/>
  <c r="D319" i="12"/>
  <c r="D341" i="12"/>
  <c r="M520" i="12"/>
  <c r="L520" i="12"/>
  <c r="C1822" i="3"/>
  <c r="C1823" i="3"/>
  <c r="C2143" i="3"/>
  <c r="C2144" i="3"/>
  <c r="C1404" i="3"/>
  <c r="C533" i="13"/>
  <c r="C1409" i="3"/>
  <c r="C724" i="13"/>
  <c r="C1414" i="3"/>
  <c r="C1408" i="3"/>
  <c r="C1415" i="3"/>
  <c r="C532" i="13"/>
  <c r="C73" i="34"/>
  <c r="C1250" i="3"/>
  <c r="C1306" i="3"/>
  <c r="C1259" i="3"/>
  <c r="C1311" i="3"/>
  <c r="C1240" i="3"/>
  <c r="C72" i="34"/>
  <c r="C138" i="4"/>
  <c r="C1254" i="3"/>
  <c r="C1310" i="3"/>
  <c r="C1263" i="3"/>
  <c r="C1244" i="3"/>
  <c r="C1245" i="3"/>
  <c r="C1248" i="3"/>
  <c r="C1241" i="3"/>
  <c r="C559" i="13"/>
  <c r="C1234" i="3"/>
  <c r="C1266" i="3"/>
  <c r="C1243" i="3"/>
  <c r="C1291" i="3"/>
  <c r="C1265" i="3"/>
  <c r="C1272" i="3"/>
  <c r="C1269" i="3"/>
  <c r="C1273" i="3"/>
  <c r="C693" i="13"/>
  <c r="D377" i="12"/>
  <c r="D71" i="34" s="1"/>
  <c r="C69" i="34"/>
  <c r="C1246" i="3"/>
  <c r="C1294" i="3"/>
  <c r="C1255" i="3"/>
  <c r="C1307" i="3"/>
  <c r="C1313" i="3"/>
  <c r="C1309" i="3"/>
  <c r="C1268" i="3"/>
  <c r="C1236" i="3"/>
  <c r="C826" i="13"/>
  <c r="C812" i="3"/>
  <c r="C261" i="13"/>
  <c r="C246" i="3"/>
  <c r="C252" i="3"/>
  <c r="C249" i="3"/>
  <c r="C91" i="13"/>
  <c r="C2416" i="3"/>
  <c r="C2421" i="3"/>
  <c r="C2418" i="3"/>
  <c r="C2417" i="3"/>
  <c r="C2422" i="3"/>
  <c r="C2413" i="3"/>
  <c r="C2419" i="3"/>
  <c r="C842" i="13"/>
  <c r="C1819" i="3"/>
  <c r="C660" i="13"/>
  <c r="C2878" i="3"/>
  <c r="C55" i="34"/>
  <c r="C1103" i="13"/>
  <c r="C635" i="3"/>
  <c r="C223" i="13"/>
  <c r="C437" i="3"/>
  <c r="C436" i="3"/>
  <c r="C1009" i="13"/>
  <c r="D381" i="12"/>
  <c r="C430" i="3"/>
  <c r="C439" i="3"/>
  <c r="C429" i="3"/>
  <c r="C442" i="3"/>
  <c r="C428" i="3"/>
  <c r="C250" i="3"/>
  <c r="C680" i="3"/>
  <c r="C558" i="13"/>
  <c r="C1817" i="3"/>
  <c r="C837" i="13"/>
  <c r="C2414" i="3"/>
  <c r="D245" i="12"/>
  <c r="D21" i="34" s="1"/>
  <c r="D239" i="12"/>
  <c r="C2146" i="3"/>
  <c r="C2153" i="3"/>
  <c r="C2150" i="3"/>
  <c r="C2152" i="3"/>
  <c r="C2151" i="3"/>
  <c r="C945" i="13"/>
  <c r="C2148" i="3"/>
  <c r="D197" i="12"/>
  <c r="D519" i="12"/>
  <c r="D333" i="12"/>
  <c r="D355" i="12"/>
  <c r="D458" i="12"/>
  <c r="D287" i="12"/>
  <c r="D34" i="34" s="1"/>
  <c r="D547" i="12"/>
  <c r="D134" i="12"/>
  <c r="D343" i="12"/>
  <c r="C1645" i="3"/>
  <c r="D418" i="12"/>
  <c r="D83" i="34" s="1"/>
  <c r="C1662" i="3"/>
  <c r="C1683" i="3"/>
  <c r="C1605" i="3"/>
  <c r="C1065" i="13"/>
  <c r="C82" i="34"/>
  <c r="C83" i="34"/>
  <c r="C1603" i="3"/>
  <c r="C1612" i="3"/>
  <c r="C1685" i="3"/>
  <c r="C1602" i="3"/>
  <c r="C1663" i="3"/>
  <c r="C1688" i="3"/>
  <c r="C1689" i="3"/>
  <c r="C1157" i="3"/>
  <c r="C1158" i="3"/>
  <c r="C1164" i="3"/>
  <c r="C1156" i="3"/>
  <c r="C867" i="3"/>
  <c r="C269" i="13"/>
  <c r="C55" i="17"/>
  <c r="C410" i="3"/>
  <c r="C2602" i="3"/>
  <c r="C2601" i="3"/>
  <c r="C2604" i="3"/>
  <c r="C2603" i="3"/>
  <c r="C2617" i="3"/>
  <c r="C409" i="3"/>
  <c r="C408" i="3"/>
  <c r="C2614" i="3"/>
  <c r="C2611" i="3"/>
  <c r="C207" i="13"/>
  <c r="C205" i="13"/>
  <c r="C198" i="13"/>
  <c r="C402" i="3"/>
  <c r="C403" i="3"/>
  <c r="C201" i="13"/>
  <c r="C411" i="3"/>
  <c r="C2608" i="3"/>
  <c r="C206" i="13"/>
  <c r="C2607" i="3"/>
  <c r="C138" i="34"/>
  <c r="C135" i="34"/>
  <c r="C2522" i="3"/>
  <c r="C880" i="13"/>
  <c r="C133" i="34"/>
  <c r="C139" i="34"/>
  <c r="C2526" i="3"/>
  <c r="C881" i="13"/>
  <c r="C141" i="34"/>
  <c r="C326" i="4"/>
  <c r="C2520" i="3"/>
  <c r="C132" i="34"/>
  <c r="C325" i="4"/>
  <c r="C2524" i="3"/>
  <c r="C134" i="34"/>
  <c r="C131" i="34"/>
  <c r="C2518" i="3"/>
  <c r="C879" i="13"/>
  <c r="C2122" i="3"/>
  <c r="C2126" i="3"/>
  <c r="C2127" i="3"/>
  <c r="C2128" i="3"/>
  <c r="C292" i="4"/>
  <c r="C2125" i="3"/>
  <c r="C100" i="34"/>
  <c r="C652" i="13"/>
  <c r="C1566" i="3"/>
  <c r="C813" i="13"/>
  <c r="C1563" i="3"/>
  <c r="C815" i="13"/>
  <c r="D436" i="12"/>
  <c r="D95" i="34" s="1"/>
  <c r="C579" i="13"/>
  <c r="C1562" i="3"/>
  <c r="C578" i="13"/>
  <c r="C167" i="4"/>
  <c r="C1284" i="3"/>
  <c r="C168" i="4"/>
  <c r="C1058" i="13"/>
  <c r="C1286" i="3"/>
  <c r="C166" i="4"/>
  <c r="C483" i="13"/>
  <c r="C78" i="34"/>
  <c r="C410" i="13"/>
  <c r="C143" i="4"/>
  <c r="C409" i="13"/>
  <c r="C2594" i="3"/>
  <c r="C2670" i="3"/>
  <c r="C2592" i="3"/>
  <c r="C2661" i="3"/>
  <c r="C2631" i="3"/>
  <c r="C2580" i="3"/>
  <c r="C69" i="13"/>
  <c r="C2671" i="3"/>
  <c r="C2626" i="3"/>
  <c r="C2628" i="3"/>
  <c r="C2665" i="3"/>
  <c r="C2581" i="3"/>
  <c r="C2672" i="3"/>
  <c r="C65" i="13"/>
  <c r="C2623" i="3"/>
  <c r="C2586" i="3"/>
  <c r="C2662" i="3"/>
  <c r="C66" i="13"/>
  <c r="C2620" i="3"/>
  <c r="C2668" i="3"/>
  <c r="C2667" i="3"/>
  <c r="C2593" i="3"/>
  <c r="C85" i="13"/>
  <c r="C2660" i="3"/>
  <c r="C825" i="3"/>
  <c r="C1264" i="3"/>
  <c r="C1407" i="3"/>
  <c r="C2235" i="3"/>
  <c r="C136" i="34"/>
  <c r="C112" i="34"/>
  <c r="C2269" i="3"/>
  <c r="C971" i="13"/>
  <c r="C2270" i="3"/>
  <c r="C798" i="13"/>
  <c r="C1982" i="3"/>
  <c r="C1981" i="3"/>
  <c r="C1986" i="3"/>
  <c r="C653" i="13"/>
  <c r="C2003" i="3"/>
  <c r="C1978" i="3"/>
  <c r="C1985" i="3"/>
  <c r="C1486" i="3"/>
  <c r="C1489" i="3"/>
  <c r="C1483" i="3"/>
  <c r="C1488" i="3"/>
  <c r="C1495" i="3"/>
  <c r="C1492" i="3"/>
  <c r="C61" i="17"/>
  <c r="C403" i="13"/>
  <c r="C1137" i="3"/>
  <c r="C1135" i="3"/>
  <c r="C692" i="3"/>
  <c r="C691" i="3"/>
  <c r="C91" i="4"/>
  <c r="C698" i="3"/>
  <c r="C693" i="3"/>
  <c r="C684" i="3"/>
  <c r="C695" i="3"/>
  <c r="C384" i="13"/>
  <c r="D336" i="12"/>
  <c r="D266" i="12"/>
  <c r="D385" i="12"/>
  <c r="D125" i="34" s="1"/>
  <c r="D465" i="12"/>
  <c r="D86" i="34" s="1"/>
  <c r="D307" i="12"/>
  <c r="D419" i="12"/>
  <c r="D32" i="34" s="1"/>
  <c r="D383" i="12"/>
  <c r="D389" i="12"/>
  <c r="D401" i="12"/>
  <c r="D522" i="12"/>
  <c r="D226" i="12"/>
  <c r="D447" i="12"/>
  <c r="D243" i="12"/>
  <c r="D525" i="12"/>
  <c r="D410" i="12"/>
  <c r="D371" i="12"/>
  <c r="D111" i="34" s="1"/>
  <c r="D235" i="12"/>
  <c r="D24" i="34" s="1"/>
  <c r="D546" i="12"/>
  <c r="D464" i="12"/>
  <c r="D119" i="34" s="1"/>
  <c r="D174" i="12"/>
  <c r="D302" i="12"/>
  <c r="D514" i="12"/>
  <c r="D102" i="34" s="1"/>
  <c r="D297" i="12"/>
  <c r="D67" i="34" s="1"/>
  <c r="D325" i="12"/>
  <c r="C18" i="3"/>
  <c r="D548" i="12"/>
  <c r="D338" i="12"/>
  <c r="D485" i="12"/>
  <c r="D263" i="12"/>
  <c r="D234" i="12"/>
  <c r="D101" i="34" s="1"/>
  <c r="D227" i="12"/>
  <c r="D247" i="12"/>
  <c r="D220" i="12"/>
  <c r="D109" i="34" s="1"/>
  <c r="D344" i="12"/>
  <c r="D303" i="12"/>
  <c r="D542" i="12"/>
  <c r="D376" i="12"/>
  <c r="D309" i="12"/>
  <c r="D537" i="12"/>
  <c r="D299" i="12"/>
  <c r="D108" i="12"/>
  <c r="D346" i="12"/>
  <c r="D348" i="12"/>
  <c r="D63" i="34" s="1"/>
  <c r="D306" i="12"/>
  <c r="D257" i="12"/>
  <c r="D434" i="12"/>
  <c r="D475" i="12"/>
  <c r="D20" i="12"/>
  <c r="D236" i="12"/>
  <c r="D399" i="12"/>
  <c r="D186" i="12"/>
  <c r="D359" i="12"/>
  <c r="D479" i="12"/>
  <c r="D76" i="34" s="1"/>
  <c r="D321" i="12"/>
  <c r="D108" i="34" s="1"/>
  <c r="D467" i="12"/>
  <c r="D250" i="12"/>
  <c r="C79" i="4"/>
  <c r="C185" i="13"/>
  <c r="C78" i="4"/>
  <c r="C258" i="3"/>
  <c r="C1000" i="13"/>
  <c r="C260" i="3"/>
  <c r="C261" i="3"/>
  <c r="C259" i="3"/>
  <c r="D398" i="12"/>
  <c r="C79" i="13"/>
  <c r="D255" i="12"/>
  <c r="D520" i="12"/>
  <c r="D120" i="34" s="1"/>
  <c r="D400" i="12"/>
  <c r="D81" i="34" s="1"/>
  <c r="D252" i="12"/>
  <c r="D351" i="12"/>
  <c r="D57" i="34" s="1"/>
  <c r="D364" i="12"/>
  <c r="D237" i="12"/>
  <c r="D138" i="12"/>
  <c r="D17" i="34" s="1"/>
  <c r="D219" i="12"/>
  <c r="D379" i="12"/>
  <c r="D527" i="12"/>
  <c r="D144" i="34" s="1"/>
  <c r="D394" i="12"/>
  <c r="D292" i="12"/>
  <c r="C416" i="3"/>
  <c r="D429" i="12"/>
  <c r="D387" i="12"/>
  <c r="D238" i="12"/>
  <c r="D424" i="12"/>
  <c r="D276" i="12"/>
  <c r="D213" i="12"/>
  <c r="D535" i="12"/>
  <c r="D53" i="34" s="1"/>
  <c r="D194" i="12"/>
  <c r="D538" i="12"/>
  <c r="D123" i="34" s="1"/>
  <c r="D440" i="12"/>
  <c r="D334" i="12"/>
  <c r="D478" i="12"/>
  <c r="D205" i="12"/>
  <c r="D451" i="12"/>
  <c r="D415" i="12"/>
  <c r="D378" i="12"/>
  <c r="C86" i="3"/>
  <c r="C50" i="13"/>
  <c r="C994" i="13"/>
  <c r="C922" i="13"/>
  <c r="C202" i="13"/>
  <c r="C2597" i="3"/>
  <c r="C407" i="3"/>
  <c r="C401" i="3"/>
  <c r="C256" i="3"/>
  <c r="C364" i="3"/>
  <c r="C547" i="3"/>
  <c r="C545" i="3"/>
  <c r="C30" i="13"/>
  <c r="C70" i="13"/>
  <c r="C2585" i="3"/>
  <c r="C2629" i="3"/>
  <c r="C2619" i="3"/>
  <c r="C2582" i="3"/>
  <c r="C161" i="13"/>
  <c r="C26" i="17"/>
  <c r="C253" i="3"/>
  <c r="C432" i="3"/>
  <c r="C425" i="3"/>
  <c r="C309" i="13"/>
  <c r="C314" i="3"/>
  <c r="C11" i="4"/>
  <c r="C689" i="3"/>
  <c r="C907" i="3"/>
  <c r="C862" i="3"/>
  <c r="C864" i="3"/>
  <c r="C865" i="3"/>
  <c r="C527" i="13"/>
  <c r="C402" i="13"/>
  <c r="C414" i="13"/>
  <c r="C1684" i="3"/>
  <c r="C1601" i="3"/>
  <c r="C471" i="13"/>
  <c r="C1445" i="3"/>
  <c r="C1753" i="3"/>
  <c r="C1496" i="3"/>
  <c r="C869" i="13"/>
  <c r="C2646" i="3"/>
  <c r="C2529" i="3"/>
  <c r="C44" i="17"/>
  <c r="C390" i="13"/>
  <c r="C828" i="3"/>
  <c r="C293" i="13"/>
  <c r="C536" i="13"/>
  <c r="C1202" i="3"/>
  <c r="C556" i="13"/>
  <c r="C1253" i="3"/>
  <c r="C1260" i="3"/>
  <c r="C1239" i="3"/>
  <c r="C137" i="4"/>
  <c r="C1815" i="3"/>
  <c r="C1410" i="3"/>
  <c r="C1565" i="3"/>
  <c r="C866" i="13"/>
  <c r="C1660" i="3"/>
  <c r="C276" i="4"/>
  <c r="C944" i="13"/>
  <c r="C954" i="13"/>
  <c r="C2410" i="3"/>
  <c r="C744" i="13"/>
  <c r="C2555" i="3"/>
  <c r="C1110" i="13"/>
  <c r="C137" i="34"/>
  <c r="C95" i="34"/>
  <c r="D433" i="12"/>
  <c r="D272" i="12"/>
  <c r="D29" i="12"/>
  <c r="D432" i="12"/>
  <c r="D20" i="34" s="1"/>
  <c r="D517" i="12"/>
  <c r="D515" i="12"/>
  <c r="D328" i="12"/>
  <c r="D41" i="34" s="1"/>
  <c r="D361" i="12"/>
  <c r="D536" i="12"/>
  <c r="D145" i="34" s="1"/>
  <c r="C2229" i="3"/>
  <c r="C2236" i="3"/>
  <c r="C2234" i="3"/>
  <c r="C2233" i="3"/>
  <c r="C2238" i="3"/>
  <c r="C2237" i="3"/>
  <c r="C2239" i="3"/>
  <c r="C612" i="13"/>
  <c r="C900" i="13"/>
  <c r="C221" i="4"/>
  <c r="C898" i="13"/>
  <c r="C1642" i="3"/>
  <c r="C899" i="13"/>
  <c r="C1640" i="3"/>
  <c r="C89" i="17"/>
  <c r="C204" i="4"/>
  <c r="C1480" i="3"/>
  <c r="C203" i="4"/>
  <c r="C1302" i="3"/>
  <c r="C1299" i="3"/>
  <c r="C497" i="13"/>
  <c r="C1298" i="3"/>
  <c r="C1155" i="3"/>
  <c r="C413" i="13"/>
  <c r="C949" i="13"/>
  <c r="C27" i="17"/>
  <c r="C1201" i="3"/>
  <c r="C1238" i="3"/>
  <c r="C2547" i="3"/>
  <c r="D472" i="12"/>
  <c r="D142" i="34" s="1"/>
  <c r="D395" i="12"/>
  <c r="C2746" i="3"/>
  <c r="C2750" i="3"/>
  <c r="C891" i="13"/>
  <c r="C2251" i="3"/>
  <c r="C1091" i="13"/>
  <c r="C2255" i="3"/>
  <c r="C2253" i="3"/>
  <c r="D526" i="12"/>
  <c r="C2250" i="3"/>
  <c r="C2241" i="3"/>
  <c r="C1100" i="13"/>
  <c r="C2247" i="3"/>
  <c r="C2249" i="3"/>
  <c r="C262" i="4"/>
  <c r="C1832" i="3"/>
  <c r="C1538" i="3"/>
  <c r="C1576" i="3"/>
  <c r="C494" i="13"/>
  <c r="C1567" i="3"/>
  <c r="C1573" i="3"/>
  <c r="C1537" i="3"/>
  <c r="C492" i="13"/>
  <c r="C979" i="3"/>
  <c r="C981" i="3"/>
  <c r="C980" i="3"/>
  <c r="C982" i="3"/>
  <c r="C985" i="3"/>
  <c r="C39" i="17"/>
  <c r="C358" i="3"/>
  <c r="C359" i="3"/>
  <c r="C357" i="3"/>
  <c r="C356" i="3"/>
  <c r="C360" i="3"/>
  <c r="C350" i="3"/>
  <c r="C363" i="3"/>
  <c r="C2612" i="3"/>
  <c r="C226" i="13"/>
  <c r="C2615" i="3"/>
  <c r="C412" i="3"/>
  <c r="C415" i="3"/>
  <c r="C255" i="3"/>
  <c r="C352" i="3"/>
  <c r="C349" i="3"/>
  <c r="C581" i="3"/>
  <c r="C44" i="3"/>
  <c r="C2657" i="3"/>
  <c r="C2625" i="3"/>
  <c r="C2588" i="3"/>
  <c r="C2587" i="3"/>
  <c r="C143" i="17"/>
  <c r="C291" i="3"/>
  <c r="C30" i="4"/>
  <c r="C245" i="3"/>
  <c r="C435" i="3"/>
  <c r="C184" i="13"/>
  <c r="C312" i="3"/>
  <c r="C306" i="3"/>
  <c r="C683" i="3"/>
  <c r="C696" i="3"/>
  <c r="C911" i="3"/>
  <c r="C897" i="3"/>
  <c r="C856" i="3"/>
  <c r="C279" i="13"/>
  <c r="C351" i="13"/>
  <c r="C974" i="3"/>
  <c r="C1136" i="3"/>
  <c r="C1163" i="3"/>
  <c r="C1668" i="3"/>
  <c r="C1687" i="3"/>
  <c r="C1276" i="3"/>
  <c r="C1569" i="3"/>
  <c r="C196" i="4"/>
  <c r="C1485" i="3"/>
  <c r="C943" i="13"/>
  <c r="C2638" i="3"/>
  <c r="C296" i="3"/>
  <c r="C1022" i="13"/>
  <c r="C133" i="17"/>
  <c r="C1026" i="3"/>
  <c r="C1257" i="3"/>
  <c r="C1237" i="3"/>
  <c r="C1249" i="3"/>
  <c r="C1235" i="3"/>
  <c r="C139" i="4"/>
  <c r="C1818" i="3"/>
  <c r="C1406" i="3"/>
  <c r="C1297" i="3"/>
  <c r="C1564" i="3"/>
  <c r="C1082" i="13"/>
  <c r="C666" i="13"/>
  <c r="C745" i="13"/>
  <c r="C2248" i="3"/>
  <c r="C2242" i="3"/>
  <c r="C2747" i="3"/>
  <c r="C743" i="13"/>
  <c r="C2230" i="3"/>
  <c r="C2519" i="3"/>
  <c r="C45" i="34"/>
  <c r="C665" i="13"/>
  <c r="D279" i="12"/>
  <c r="D30" i="34" s="1"/>
  <c r="D468" i="12"/>
  <c r="D518" i="12"/>
  <c r="D342" i="12"/>
  <c r="D532" i="12"/>
  <c r="D484" i="12"/>
  <c r="D438" i="12"/>
  <c r="D531" i="12"/>
  <c r="C112" i="17"/>
  <c r="C2558" i="3"/>
  <c r="C2563" i="3"/>
  <c r="C951" i="13"/>
  <c r="C302" i="4"/>
  <c r="C2562" i="3"/>
  <c r="C2561" i="3"/>
  <c r="C2553" i="3"/>
  <c r="C113" i="34"/>
  <c r="C304" i="4"/>
  <c r="C2551" i="3"/>
  <c r="C2545" i="3"/>
  <c r="C117" i="34"/>
  <c r="C305" i="4"/>
  <c r="C2560" i="3"/>
  <c r="C2557" i="3"/>
  <c r="D524" i="12"/>
  <c r="D113" i="34" s="1"/>
  <c r="C113" i="17"/>
  <c r="C2554" i="3"/>
  <c r="C2549" i="3"/>
  <c r="C2559" i="3"/>
  <c r="C909" i="13"/>
  <c r="D481" i="12"/>
  <c r="C911" i="13"/>
  <c r="C138" i="17"/>
  <c r="C910" i="13"/>
  <c r="C838" i="13"/>
  <c r="C94" i="17"/>
  <c r="C851" i="13"/>
  <c r="D441" i="12"/>
  <c r="C1906" i="3"/>
  <c r="C867" i="13"/>
  <c r="C836" i="13"/>
  <c r="C136" i="4"/>
  <c r="C1200" i="3"/>
  <c r="C1205" i="3"/>
  <c r="C1203" i="3"/>
  <c r="D393" i="12"/>
  <c r="D59" i="34" s="1"/>
  <c r="C294" i="13"/>
  <c r="C58" i="34"/>
  <c r="C60" i="34"/>
  <c r="C292" i="13"/>
  <c r="C508" i="3"/>
  <c r="C187" i="13"/>
  <c r="C148" i="3"/>
  <c r="C149" i="3"/>
  <c r="C68" i="13"/>
  <c r="C427" i="3"/>
  <c r="C295" i="13"/>
  <c r="C1247" i="3"/>
  <c r="C580" i="13"/>
  <c r="C1644" i="3"/>
  <c r="D316" i="12"/>
  <c r="D457" i="12"/>
  <c r="C1826" i="3"/>
  <c r="C1083" i="13"/>
  <c r="C1830" i="3"/>
  <c r="C662" i="13"/>
  <c r="C142" i="34"/>
  <c r="C1824" i="3"/>
  <c r="C1828" i="3"/>
  <c r="C1722" i="3"/>
  <c r="C1748" i="3"/>
  <c r="C1751" i="3"/>
  <c r="C811" i="13"/>
  <c r="C1749" i="3"/>
  <c r="C583" i="3"/>
  <c r="C559" i="3"/>
  <c r="C582" i="3"/>
  <c r="C548" i="3"/>
  <c r="C553" i="3"/>
  <c r="C555" i="3"/>
  <c r="C578" i="3"/>
  <c r="D286" i="12"/>
  <c r="C575" i="3"/>
  <c r="C580" i="3"/>
  <c r="C551" i="3"/>
  <c r="C273" i="13"/>
  <c r="C55" i="13"/>
  <c r="C921" i="13"/>
  <c r="C200" i="13"/>
  <c r="C225" i="13"/>
  <c r="C404" i="3"/>
  <c r="C80" i="13"/>
  <c r="C262" i="3"/>
  <c r="C347" i="3"/>
  <c r="C38" i="17"/>
  <c r="C550" i="3"/>
  <c r="C556" i="3"/>
  <c r="C45" i="3"/>
  <c r="C67" i="13"/>
  <c r="C86" i="13"/>
  <c r="C2579" i="3"/>
  <c r="C2666" i="3"/>
  <c r="C43" i="13"/>
  <c r="C58" i="13"/>
  <c r="C288" i="3"/>
  <c r="C1001" i="13"/>
  <c r="C36" i="4"/>
  <c r="C431" i="3"/>
  <c r="C510" i="3"/>
  <c r="C307" i="3"/>
  <c r="C302" i="3"/>
  <c r="C694" i="3"/>
  <c r="C688" i="3"/>
  <c r="C859" i="3"/>
  <c r="C877" i="3"/>
  <c r="C105" i="4"/>
  <c r="C280" i="13"/>
  <c r="C973" i="3"/>
  <c r="C601" i="13"/>
  <c r="C1139" i="3"/>
  <c r="C1159" i="3"/>
  <c r="C1604" i="3"/>
  <c r="C1667" i="3"/>
  <c r="C1274" i="3"/>
  <c r="C1575" i="3"/>
  <c r="C195" i="4"/>
  <c r="C1724" i="3"/>
  <c r="C1484" i="3"/>
  <c r="C942" i="13"/>
  <c r="C217" i="4"/>
  <c r="C222" i="13"/>
  <c r="C393" i="13"/>
  <c r="C102" i="4"/>
  <c r="C296" i="13"/>
  <c r="C1204" i="3"/>
  <c r="C139" i="17"/>
  <c r="C1252" i="3"/>
  <c r="C1304" i="3"/>
  <c r="C1303" i="3"/>
  <c r="C1290" i="3"/>
  <c r="C1153" i="3"/>
  <c r="C1412" i="3"/>
  <c r="C1285" i="3"/>
  <c r="C541" i="13"/>
  <c r="C1067" i="13"/>
  <c r="C1905" i="3"/>
  <c r="C1980" i="3"/>
  <c r="C929" i="13"/>
  <c r="C2145" i="3"/>
  <c r="C2244" i="3"/>
  <c r="C2268" i="3"/>
  <c r="C1825" i="3"/>
  <c r="C908" i="13"/>
  <c r="C2548" i="3"/>
  <c r="C2546" i="3"/>
  <c r="C2409" i="3"/>
  <c r="C2523" i="3"/>
  <c r="C54" i="34"/>
  <c r="D244" i="12"/>
  <c r="D516" i="12"/>
  <c r="D104" i="12"/>
  <c r="D125" i="12"/>
  <c r="D192" i="12"/>
  <c r="D486" i="12"/>
  <c r="D79" i="34" s="1"/>
  <c r="D448" i="12"/>
  <c r="D284" i="12"/>
  <c r="BA1313" i="3"/>
  <c r="M105" i="12"/>
  <c r="L105" i="12"/>
  <c r="M59" i="12"/>
  <c r="L59" i="12"/>
  <c r="L538" i="12"/>
  <c r="M538" i="12" s="1"/>
  <c r="AT1825" i="3"/>
  <c r="AY1825" i="3"/>
  <c r="AT1817" i="3"/>
  <c r="AY1817" i="3"/>
  <c r="AT1809" i="3"/>
  <c r="AV1809" i="3"/>
  <c r="AY1809" i="3"/>
  <c r="AT1801" i="3"/>
  <c r="AV1801" i="3"/>
  <c r="AY1801" i="3"/>
  <c r="AT1793" i="3"/>
  <c r="AV1793" i="3"/>
  <c r="AY1793" i="3"/>
  <c r="AT1785" i="3"/>
  <c r="AV1785" i="3"/>
  <c r="AY1785" i="3"/>
  <c r="AT1777" i="3"/>
  <c r="AV1777" i="3"/>
  <c r="AY1777" i="3"/>
  <c r="AT1769" i="3"/>
  <c r="AV1769" i="3"/>
  <c r="AY1769" i="3"/>
  <c r="AT1761" i="3"/>
  <c r="AV1761" i="3"/>
  <c r="AY1761" i="3"/>
  <c r="AT1753" i="3"/>
  <c r="AV1753" i="3"/>
  <c r="AY1753" i="3"/>
  <c r="AT1745" i="3"/>
  <c r="AV1745" i="3"/>
  <c r="AY1745" i="3"/>
  <c r="AT1737" i="3"/>
  <c r="AV1737" i="3"/>
  <c r="AY1737" i="3"/>
  <c r="AT1729" i="3"/>
  <c r="AV1729" i="3"/>
  <c r="AY1729" i="3"/>
  <c r="AT1721" i="3"/>
  <c r="AV1721" i="3"/>
  <c r="AY1721" i="3"/>
  <c r="AT1713" i="3"/>
  <c r="AV1713" i="3"/>
  <c r="AY1713" i="3"/>
  <c r="AT1705" i="3"/>
  <c r="AV1705" i="3"/>
  <c r="AY1705" i="3"/>
  <c r="AT1697" i="3"/>
  <c r="AV1697" i="3"/>
  <c r="AY1697" i="3"/>
  <c r="AT1689" i="3"/>
  <c r="AV1689" i="3"/>
  <c r="AY1689" i="3"/>
  <c r="AT1681" i="3"/>
  <c r="AV1681" i="3"/>
  <c r="AY1681" i="3"/>
  <c r="AT1673" i="3"/>
  <c r="AV1673" i="3"/>
  <c r="AY1673" i="3"/>
  <c r="AT1665" i="3"/>
  <c r="AV1665" i="3"/>
  <c r="AY1665" i="3"/>
  <c r="AT1657" i="3"/>
  <c r="AV1657" i="3"/>
  <c r="AY1657" i="3"/>
  <c r="AR1649" i="3"/>
  <c r="AZ1649" i="3"/>
  <c r="AS1649" i="3"/>
  <c r="AU1649" i="3"/>
  <c r="AX1649" i="3"/>
  <c r="AR1641" i="3"/>
  <c r="AZ1641" i="3"/>
  <c r="AV1641" i="3"/>
  <c r="AX1641" i="3"/>
  <c r="AS1641" i="3"/>
  <c r="AR1633" i="3"/>
  <c r="AZ1633" i="3"/>
  <c r="AW1633" i="3"/>
  <c r="AV1633" i="3"/>
  <c r="AY1633" i="3"/>
  <c r="AS1633" i="3"/>
  <c r="AR1625" i="3"/>
  <c r="AZ1625" i="3"/>
  <c r="AW1625" i="3"/>
  <c r="AV1625" i="3"/>
  <c r="AY1625" i="3"/>
  <c r="AS1625" i="3"/>
  <c r="AR1617" i="3"/>
  <c r="AZ1617" i="3"/>
  <c r="AW1617" i="3"/>
  <c r="AV1617" i="3"/>
  <c r="AY1617" i="3"/>
  <c r="AS1617" i="3"/>
  <c r="AR1609" i="3"/>
  <c r="AZ1609" i="3"/>
  <c r="AW1609" i="3"/>
  <c r="AV1609" i="3"/>
  <c r="AY1609" i="3"/>
  <c r="AS1609" i="3"/>
  <c r="AR1601" i="3"/>
  <c r="AZ1601" i="3"/>
  <c r="AW1601" i="3"/>
  <c r="AV1601" i="3"/>
  <c r="AY1601" i="3"/>
  <c r="AS1601" i="3"/>
  <c r="AR1593" i="3"/>
  <c r="AZ1593" i="3"/>
  <c r="AW1593" i="3"/>
  <c r="AV1593" i="3"/>
  <c r="AY1593" i="3"/>
  <c r="AS1593" i="3"/>
  <c r="AR1585" i="3"/>
  <c r="AZ1585" i="3"/>
  <c r="AW1585" i="3"/>
  <c r="AV1585" i="3"/>
  <c r="AY1585" i="3"/>
  <c r="AS1585" i="3"/>
  <c r="AR1577" i="3"/>
  <c r="AZ1577" i="3"/>
  <c r="AW1577" i="3"/>
  <c r="AV1577" i="3"/>
  <c r="AY1577" i="3"/>
  <c r="AS1577" i="3"/>
  <c r="AR1569" i="3"/>
  <c r="AZ1569" i="3"/>
  <c r="AW1569" i="3"/>
  <c r="AV1569" i="3"/>
  <c r="AY1569" i="3"/>
  <c r="AS1569" i="3"/>
  <c r="AR1561" i="3"/>
  <c r="AZ1561" i="3"/>
  <c r="AW1561" i="3"/>
  <c r="AV1561" i="3"/>
  <c r="AY1561" i="3"/>
  <c r="AS1561" i="3"/>
  <c r="AY1553" i="3"/>
  <c r="AV1553" i="3"/>
  <c r="AU1553" i="3"/>
  <c r="AX1553" i="3"/>
  <c r="AR1553" i="3"/>
  <c r="AW1545" i="3"/>
  <c r="AT1545" i="3"/>
  <c r="AV1545" i="3"/>
  <c r="AY1545" i="3"/>
  <c r="AR1545" i="3"/>
  <c r="AT1537" i="3"/>
  <c r="AY1537" i="3"/>
  <c r="AU1537" i="3"/>
  <c r="AW1537" i="3"/>
  <c r="BA1537" i="3"/>
  <c r="AW1529" i="3"/>
  <c r="AT1529" i="3"/>
  <c r="BA1529" i="3"/>
  <c r="AS1529" i="3"/>
  <c r="AX1529" i="3"/>
  <c r="AR1521" i="3"/>
  <c r="AZ1521" i="3"/>
  <c r="AW1521" i="3"/>
  <c r="AX1521" i="3"/>
  <c r="BA1521" i="3"/>
  <c r="AT1521" i="3"/>
  <c r="AU1513" i="3"/>
  <c r="AR1513" i="3"/>
  <c r="AZ1513" i="3"/>
  <c r="AS1513" i="3"/>
  <c r="AV1513" i="3"/>
  <c r="AY1513" i="3"/>
  <c r="AW1505" i="3"/>
  <c r="AT1505" i="3"/>
  <c r="AV1505" i="3"/>
  <c r="AY1505" i="3"/>
  <c r="AR1505" i="3"/>
  <c r="AW1497" i="3"/>
  <c r="AT1497" i="3"/>
  <c r="AZ1497" i="3"/>
  <c r="AR1497" i="3"/>
  <c r="AV1497" i="3"/>
  <c r="AW1489" i="3"/>
  <c r="AT1489" i="3"/>
  <c r="AS1489" i="3"/>
  <c r="AV1489" i="3"/>
  <c r="AZ1489" i="3"/>
  <c r="AW1481" i="3"/>
  <c r="AT1481" i="3"/>
  <c r="AX1481" i="3"/>
  <c r="AZ1481" i="3"/>
  <c r="AS1481" i="3"/>
  <c r="AW1473" i="3"/>
  <c r="AT1473" i="3"/>
  <c r="BA1473" i="3"/>
  <c r="AS1473" i="3"/>
  <c r="AX1473" i="3"/>
  <c r="AW1465" i="3"/>
  <c r="AT1465" i="3"/>
  <c r="AU1465" i="3"/>
  <c r="AX1465" i="3"/>
  <c r="BA1465" i="3"/>
  <c r="AW1457" i="3"/>
  <c r="AT1457" i="3"/>
  <c r="AY1457" i="3"/>
  <c r="BA1457" i="3"/>
  <c r="AU1457" i="3"/>
  <c r="AW1449" i="3"/>
  <c r="AT1449" i="3"/>
  <c r="AR1449" i="3"/>
  <c r="AU1449" i="3"/>
  <c r="AY1449" i="3"/>
  <c r="AW1441" i="3"/>
  <c r="AT1441" i="3"/>
  <c r="AV1441" i="3"/>
  <c r="AY1441" i="3"/>
  <c r="AR1441" i="3"/>
  <c r="AW1433" i="3"/>
  <c r="AT1433" i="3"/>
  <c r="AZ1433" i="3"/>
  <c r="AR1433" i="3"/>
  <c r="AV1433" i="3"/>
  <c r="AW1425" i="3"/>
  <c r="AT1425" i="3"/>
  <c r="AS1425" i="3"/>
  <c r="AV1425" i="3"/>
  <c r="AZ1425" i="3"/>
  <c r="AW1417" i="3"/>
  <c r="AT1417" i="3"/>
  <c r="AX1417" i="3"/>
  <c r="AZ1417" i="3"/>
  <c r="AS1417" i="3"/>
  <c r="AW1409" i="3"/>
  <c r="AT1409" i="3"/>
  <c r="BA1409" i="3"/>
  <c r="AS1409" i="3"/>
  <c r="AX1409" i="3"/>
  <c r="AW1401" i="3"/>
  <c r="AT1401" i="3"/>
  <c r="AU1401" i="3"/>
  <c r="AX1401" i="3"/>
  <c r="BA1401" i="3"/>
  <c r="AW1393" i="3"/>
  <c r="AT1393" i="3"/>
  <c r="AY1393" i="3"/>
  <c r="BA1393" i="3"/>
  <c r="AU1393" i="3"/>
  <c r="AW1385" i="3"/>
  <c r="AT1385" i="3"/>
  <c r="AR1385" i="3"/>
  <c r="AU1385" i="3"/>
  <c r="AY1385" i="3"/>
  <c r="AW1377" i="3"/>
  <c r="AT1377" i="3"/>
  <c r="AV1377" i="3"/>
  <c r="AY1377" i="3"/>
  <c r="AR1377" i="3"/>
  <c r="AW1369" i="3"/>
  <c r="AT1369" i="3"/>
  <c r="AZ1369" i="3"/>
  <c r="AR1369" i="3"/>
  <c r="AV1369" i="3"/>
  <c r="AW1361" i="3"/>
  <c r="AT1361" i="3"/>
  <c r="AS1361" i="3"/>
  <c r="AV1361" i="3"/>
  <c r="AZ1361" i="3"/>
  <c r="AW1353" i="3"/>
  <c r="AT1353" i="3"/>
  <c r="AX1353" i="3"/>
  <c r="AZ1353" i="3"/>
  <c r="AS1353" i="3"/>
  <c r="AW1345" i="3"/>
  <c r="AT1345" i="3"/>
  <c r="BA1345" i="3"/>
  <c r="AS1345" i="3"/>
  <c r="AX1345" i="3"/>
  <c r="AY1337" i="3"/>
  <c r="AV1337" i="3"/>
  <c r="AT1337" i="3"/>
  <c r="BA1337" i="3"/>
  <c r="AR1337" i="3"/>
  <c r="AU1337" i="3"/>
  <c r="AZ1337" i="3"/>
  <c r="AY1329" i="3"/>
  <c r="AV1329" i="3"/>
  <c r="AZ1329" i="3"/>
  <c r="AU1329" i="3"/>
  <c r="AR1329" i="3"/>
  <c r="AT1329" i="3"/>
  <c r="BA1329" i="3"/>
  <c r="AY1321" i="3"/>
  <c r="AV1321" i="3"/>
  <c r="AT1321" i="3"/>
  <c r="BA1321" i="3"/>
  <c r="AR1321" i="3"/>
  <c r="AU1321" i="3"/>
  <c r="AZ1321" i="3"/>
  <c r="AW1313" i="3"/>
  <c r="AT1313" i="3"/>
  <c r="AX1313" i="3"/>
  <c r="AS1313" i="3"/>
  <c r="AR1313" i="3"/>
  <c r="AY1313" i="3"/>
  <c r="AU1305" i="3"/>
  <c r="AR1305" i="3"/>
  <c r="AZ1305" i="3"/>
  <c r="AY1305" i="3"/>
  <c r="AV1305" i="3"/>
  <c r="AX1305" i="3"/>
  <c r="AS1305" i="3"/>
  <c r="AS1297" i="3"/>
  <c r="BA1297" i="3"/>
  <c r="AX1297" i="3"/>
  <c r="AY1297" i="3"/>
  <c r="AU1297" i="3"/>
  <c r="AR1297" i="3"/>
  <c r="AV1297" i="3"/>
  <c r="AY1289" i="3"/>
  <c r="AV1289" i="3"/>
  <c r="AZ1289" i="3"/>
  <c r="AU1289" i="3"/>
  <c r="AR1289" i="3"/>
  <c r="AW1289" i="3"/>
  <c r="AW1281" i="3"/>
  <c r="AT1281" i="3"/>
  <c r="AR1281" i="3"/>
  <c r="AY1281" i="3"/>
  <c r="AZ1281" i="3"/>
  <c r="AU1281" i="3"/>
  <c r="AU1273" i="3"/>
  <c r="AR1273" i="3"/>
  <c r="AZ1273" i="3"/>
  <c r="AT1273" i="3"/>
  <c r="BA1273" i="3"/>
  <c r="AV1273" i="3"/>
  <c r="AX1273" i="3"/>
  <c r="AR1265" i="3"/>
  <c r="AX1265" i="3"/>
  <c r="AT1265" i="3"/>
  <c r="AZ1265" i="3"/>
  <c r="AV1265" i="3"/>
  <c r="AW1257" i="3"/>
  <c r="AT1257" i="3"/>
  <c r="AY1257" i="3"/>
  <c r="AV1257" i="3"/>
  <c r="AZ1249" i="3"/>
  <c r="AV1249" i="3"/>
  <c r="AX1249" i="3"/>
  <c r="AT1249" i="3"/>
  <c r="AU1249" i="3"/>
  <c r="AX1241" i="3"/>
  <c r="AU1241" i="3"/>
  <c r="AT1241" i="3"/>
  <c r="AV1233" i="3"/>
  <c r="AX1233" i="3"/>
  <c r="AT1233" i="3"/>
  <c r="AZ1233" i="3"/>
  <c r="AX1225" i="3"/>
  <c r="AV1225" i="3"/>
  <c r="AX1217" i="3"/>
  <c r="AV1217" i="3"/>
  <c r="AT1217" i="3"/>
  <c r="AT1193" i="3"/>
  <c r="AX1193" i="3"/>
  <c r="AS241" i="3"/>
  <c r="AX241" i="3"/>
  <c r="D530" i="12"/>
  <c r="AS1385" i="3"/>
  <c r="AS1377" i="3"/>
  <c r="AS1369" i="3"/>
  <c r="AR1361" i="3"/>
  <c r="AR1353" i="3"/>
  <c r="AR1345" i="3"/>
  <c r="AS1321" i="3"/>
  <c r="AZ1297" i="3"/>
  <c r="AX1281" i="3"/>
  <c r="AX1257" i="3"/>
  <c r="AZ1225" i="3"/>
  <c r="AR1645" i="3"/>
  <c r="AZ1645" i="3"/>
  <c r="AR1637" i="3"/>
  <c r="AZ1637" i="3"/>
  <c r="AW1637" i="3"/>
  <c r="AR1629" i="3"/>
  <c r="AZ1629" i="3"/>
  <c r="AW1629" i="3"/>
  <c r="AR1621" i="3"/>
  <c r="AZ1621" i="3"/>
  <c r="AW1621" i="3"/>
  <c r="AR1613" i="3"/>
  <c r="AZ1613" i="3"/>
  <c r="AW1613" i="3"/>
  <c r="AR1605" i="3"/>
  <c r="AZ1605" i="3"/>
  <c r="AW1605" i="3"/>
  <c r="AR1597" i="3"/>
  <c r="AZ1597" i="3"/>
  <c r="AW1597" i="3"/>
  <c r="AR1589" i="3"/>
  <c r="AZ1589" i="3"/>
  <c r="AW1589" i="3"/>
  <c r="AR1581" i="3"/>
  <c r="AZ1581" i="3"/>
  <c r="AW1581" i="3"/>
  <c r="AR1573" i="3"/>
  <c r="AZ1573" i="3"/>
  <c r="AW1573" i="3"/>
  <c r="AR1565" i="3"/>
  <c r="AZ1565" i="3"/>
  <c r="AW1565" i="3"/>
  <c r="AR1557" i="3"/>
  <c r="AZ1557" i="3"/>
  <c r="AW1557" i="3"/>
  <c r="AY1549" i="3"/>
  <c r="AV1549" i="3"/>
  <c r="AW1541" i="3"/>
  <c r="AT1541" i="3"/>
  <c r="AT1533" i="3"/>
  <c r="AY1533" i="3"/>
  <c r="AW1525" i="3"/>
  <c r="AT1525" i="3"/>
  <c r="AR1517" i="3"/>
  <c r="AZ1517" i="3"/>
  <c r="AW1517" i="3"/>
  <c r="AU1509" i="3"/>
  <c r="AR1509" i="3"/>
  <c r="AZ1509" i="3"/>
  <c r="AW1501" i="3"/>
  <c r="AT1501" i="3"/>
  <c r="AW1493" i="3"/>
  <c r="AT1493" i="3"/>
  <c r="AW1485" i="3"/>
  <c r="AT1485" i="3"/>
  <c r="AW1477" i="3"/>
  <c r="AT1477" i="3"/>
  <c r="AW1469" i="3"/>
  <c r="AT1469" i="3"/>
  <c r="AW1461" i="3"/>
  <c r="AT1461" i="3"/>
  <c r="AW1453" i="3"/>
  <c r="AT1453" i="3"/>
  <c r="AW1445" i="3"/>
  <c r="AT1445" i="3"/>
  <c r="AW1437" i="3"/>
  <c r="AT1437" i="3"/>
  <c r="AW1429" i="3"/>
  <c r="AT1429" i="3"/>
  <c r="AW1421" i="3"/>
  <c r="AT1421" i="3"/>
  <c r="AW1413" i="3"/>
  <c r="AT1413" i="3"/>
  <c r="AW1405" i="3"/>
  <c r="AT1405" i="3"/>
  <c r="AW1397" i="3"/>
  <c r="AT1397" i="3"/>
  <c r="AW1389" i="3"/>
  <c r="AT1389" i="3"/>
  <c r="AW1381" i="3"/>
  <c r="AT1381" i="3"/>
  <c r="AW1373" i="3"/>
  <c r="AT1373" i="3"/>
  <c r="AW1365" i="3"/>
  <c r="AT1365" i="3"/>
  <c r="AW1357" i="3"/>
  <c r="AT1357" i="3"/>
  <c r="AW1349" i="3"/>
  <c r="AT1349" i="3"/>
  <c r="AY1341" i="3"/>
  <c r="AV1341" i="3"/>
  <c r="AS1341" i="3"/>
  <c r="AY1333" i="3"/>
  <c r="AV1333" i="3"/>
  <c r="AR1333" i="3"/>
  <c r="AX1333" i="3"/>
  <c r="AY1325" i="3"/>
  <c r="AV1325" i="3"/>
  <c r="AW1325" i="3"/>
  <c r="AS1325" i="3"/>
  <c r="AY1317" i="3"/>
  <c r="AV1317" i="3"/>
  <c r="AR1317" i="3"/>
  <c r="AX1317" i="3"/>
  <c r="AW1309" i="3"/>
  <c r="AT1309" i="3"/>
  <c r="AU1309" i="3"/>
  <c r="BA1309" i="3"/>
  <c r="AU1301" i="3"/>
  <c r="AR1301" i="3"/>
  <c r="AZ1301" i="3"/>
  <c r="AV1301" i="3"/>
  <c r="AS1293" i="3"/>
  <c r="BA1293" i="3"/>
  <c r="AX1293" i="3"/>
  <c r="AU1293" i="3"/>
  <c r="AY1285" i="3"/>
  <c r="AV1285" i="3"/>
  <c r="AW1285" i="3"/>
  <c r="AS1285" i="3"/>
  <c r="AW1277" i="3"/>
  <c r="AT1277" i="3"/>
  <c r="AZ1277" i="3"/>
  <c r="AV1277" i="3"/>
  <c r="AU1269" i="3"/>
  <c r="AR1269" i="3"/>
  <c r="AZ1269" i="3"/>
  <c r="BA1269" i="3"/>
  <c r="AW1269" i="3"/>
  <c r="AR1261" i="3"/>
  <c r="AZ1261" i="3"/>
  <c r="AW1261" i="3"/>
  <c r="AY1261" i="3"/>
  <c r="AU1261" i="3"/>
  <c r="AU1253" i="3"/>
  <c r="AR1253" i="3"/>
  <c r="AZ1253" i="3"/>
  <c r="AW1253" i="3"/>
  <c r="AS1253" i="3"/>
  <c r="AW1245" i="3"/>
  <c r="AT1245" i="3"/>
  <c r="AS1245" i="3"/>
  <c r="AZ1245" i="3"/>
  <c r="AY1237" i="3"/>
  <c r="AV1237" i="3"/>
  <c r="AR1237" i="3"/>
  <c r="AX1237" i="3"/>
  <c r="AT1229" i="3"/>
  <c r="AY1229" i="3"/>
  <c r="AR1229" i="3"/>
  <c r="AX1229" i="3"/>
  <c r="AT1221" i="3"/>
  <c r="AY1221" i="3"/>
  <c r="AX1221" i="3"/>
  <c r="AU1221" i="3"/>
  <c r="AT1213" i="3"/>
  <c r="AY1213" i="3"/>
  <c r="AU1213" i="3"/>
  <c r="BA1213" i="3"/>
  <c r="AR1205" i="3"/>
  <c r="AZ1205" i="3"/>
  <c r="AW1205" i="3"/>
  <c r="AX1205" i="3"/>
  <c r="AT1205" i="3"/>
  <c r="AW1197" i="3"/>
  <c r="AT1197" i="3"/>
  <c r="BA1197" i="3"/>
  <c r="AX1197" i="3"/>
  <c r="AU1189" i="3"/>
  <c r="AR1189" i="3"/>
  <c r="AZ1189" i="3"/>
  <c r="AT1189" i="3"/>
  <c r="BA1189" i="3"/>
  <c r="AR1181" i="3"/>
  <c r="AZ1181" i="3"/>
  <c r="AW1181" i="3"/>
  <c r="AU1181" i="3"/>
  <c r="AW1173" i="3"/>
  <c r="AT1173" i="3"/>
  <c r="AY1173" i="3"/>
  <c r="AU1173" i="3"/>
  <c r="AT1165" i="3"/>
  <c r="AY1165" i="3"/>
  <c r="AR1165" i="3"/>
  <c r="AX1165" i="3"/>
  <c r="AY1157" i="3"/>
  <c r="AV1157" i="3"/>
  <c r="AU1157" i="3"/>
  <c r="AR1157" i="3"/>
  <c r="AV1149" i="3"/>
  <c r="AS1149" i="3"/>
  <c r="BA1149" i="3"/>
  <c r="AY1149" i="3"/>
  <c r="AU1149" i="3"/>
  <c r="AT1141" i="3"/>
  <c r="AY1141" i="3"/>
  <c r="AS1141" i="3"/>
  <c r="AZ1141" i="3"/>
  <c r="AY1133" i="3"/>
  <c r="AV1133" i="3"/>
  <c r="AW1133" i="3"/>
  <c r="AS1133" i="3"/>
  <c r="AV1125" i="3"/>
  <c r="AS1125" i="3"/>
  <c r="BA1125" i="3"/>
  <c r="AZ1125" i="3"/>
  <c r="AW1125" i="3"/>
  <c r="AS1117" i="3"/>
  <c r="BA1117" i="3"/>
  <c r="AX1117" i="3"/>
  <c r="AR1117" i="3"/>
  <c r="AY1117" i="3"/>
  <c r="AX1109" i="3"/>
  <c r="AU1109" i="3"/>
  <c r="AV1109" i="3"/>
  <c r="AR1109" i="3"/>
  <c r="AU1101" i="3"/>
  <c r="AR1101" i="3"/>
  <c r="AZ1101" i="3"/>
  <c r="AX1101" i="3"/>
  <c r="AT1101" i="3"/>
  <c r="AR1093" i="3"/>
  <c r="AZ1093" i="3"/>
  <c r="AW1093" i="3"/>
  <c r="AY1093" i="3"/>
  <c r="AU1093" i="3"/>
  <c r="AW1085" i="3"/>
  <c r="AT1085" i="3"/>
  <c r="AR1085" i="3"/>
  <c r="AY1085" i="3"/>
  <c r="BA1077" i="3"/>
  <c r="AW1077" i="3"/>
  <c r="AS1077" i="3"/>
  <c r="AZ1077" i="3"/>
  <c r="AX1045" i="3"/>
  <c r="AS1045" i="3"/>
  <c r="AX1021" i="3"/>
  <c r="AV1021" i="3"/>
  <c r="AS981" i="3"/>
  <c r="AX981" i="3"/>
  <c r="AS973" i="3"/>
  <c r="BA973" i="3"/>
  <c r="AY965" i="3"/>
  <c r="AT965" i="3"/>
  <c r="M177" i="12"/>
  <c r="L177" i="12"/>
  <c r="AX1634" i="3"/>
  <c r="AU1634" i="3"/>
  <c r="AX1626" i="3"/>
  <c r="AU1626" i="3"/>
  <c r="AX1618" i="3"/>
  <c r="AU1618" i="3"/>
  <c r="AX1610" i="3"/>
  <c r="AU1610" i="3"/>
  <c r="AX1602" i="3"/>
  <c r="AU1602" i="3"/>
  <c r="AX1594" i="3"/>
  <c r="AU1594" i="3"/>
  <c r="AX1586" i="3"/>
  <c r="AU1586" i="3"/>
  <c r="AX1578" i="3"/>
  <c r="AU1578" i="3"/>
  <c r="AX1570" i="3"/>
  <c r="AU1570" i="3"/>
  <c r="AX1562" i="3"/>
  <c r="AU1562" i="3"/>
  <c r="AT1554" i="3"/>
  <c r="AX1554" i="3"/>
  <c r="AU1554" i="3"/>
  <c r="AT1546" i="3"/>
  <c r="AW1546" i="3"/>
  <c r="AR1546" i="3"/>
  <c r="AT1538" i="3"/>
  <c r="AR1538" i="3"/>
  <c r="AZ1538" i="3"/>
  <c r="AR1530" i="3"/>
  <c r="AY1530" i="3"/>
  <c r="AS1530" i="3"/>
  <c r="AR1522" i="3"/>
  <c r="AY1522" i="3"/>
  <c r="AR1514" i="3"/>
  <c r="AU1514" i="3"/>
  <c r="AR1506" i="3"/>
  <c r="BA1506" i="3"/>
  <c r="AS1506" i="3"/>
  <c r="AR1498" i="3"/>
  <c r="AX1498" i="3"/>
  <c r="AR1490" i="3"/>
  <c r="AX1490" i="3"/>
  <c r="AR1482" i="3"/>
  <c r="AX1482" i="3"/>
  <c r="AR1474" i="3"/>
  <c r="AX1474" i="3"/>
  <c r="AR1466" i="3"/>
  <c r="AX1466" i="3"/>
  <c r="AR1458" i="3"/>
  <c r="AX1458" i="3"/>
  <c r="AR1450" i="3"/>
  <c r="AX1450" i="3"/>
  <c r="AR1442" i="3"/>
  <c r="AX1442" i="3"/>
  <c r="AR1434" i="3"/>
  <c r="AX1434" i="3"/>
  <c r="AR1426" i="3"/>
  <c r="AX1426" i="3"/>
  <c r="AR1418" i="3"/>
  <c r="AX1418" i="3"/>
  <c r="AR1410" i="3"/>
  <c r="AX1410" i="3"/>
  <c r="AR1402" i="3"/>
  <c r="AX1402" i="3"/>
  <c r="AR1394" i="3"/>
  <c r="AX1394" i="3"/>
  <c r="AR1386" i="3"/>
  <c r="AX1386" i="3"/>
  <c r="AR1378" i="3"/>
  <c r="AX1378" i="3"/>
  <c r="AR1370" i="3"/>
  <c r="AX1370" i="3"/>
  <c r="AR1362" i="3"/>
  <c r="AX1362" i="3"/>
  <c r="AR1354" i="3"/>
  <c r="AX1354" i="3"/>
  <c r="AR1346" i="3"/>
  <c r="AX1346" i="3"/>
  <c r="AV1266" i="3"/>
  <c r="AU1266" i="3"/>
  <c r="AT1042" i="3"/>
  <c r="AS1042" i="3"/>
  <c r="AW932" i="3"/>
  <c r="AU932" i="3"/>
  <c r="AT812" i="3"/>
  <c r="AR812" i="3"/>
  <c r="AT740" i="3"/>
  <c r="AZ740" i="3"/>
  <c r="AS716" i="3"/>
  <c r="AY716" i="3"/>
  <c r="AS692" i="3"/>
  <c r="AY692" i="3"/>
  <c r="AY668" i="3"/>
  <c r="AW668" i="3"/>
  <c r="AY660" i="3"/>
  <c r="AW660" i="3"/>
  <c r="AR951" i="3"/>
  <c r="AZ951" i="3"/>
  <c r="AR911" i="3"/>
  <c r="AZ911" i="3"/>
  <c r="AR879" i="3"/>
  <c r="AZ879" i="3"/>
  <c r="AT855" i="3"/>
  <c r="BA855" i="3"/>
  <c r="AW847" i="3"/>
  <c r="AT847" i="3"/>
  <c r="AV839" i="3"/>
  <c r="AS839" i="3"/>
  <c r="BA839" i="3"/>
  <c r="AU831" i="3"/>
  <c r="AX831" i="3"/>
  <c r="AR831" i="3"/>
  <c r="AX823" i="3"/>
  <c r="AU823" i="3"/>
  <c r="AW815" i="3"/>
  <c r="AT815" i="3"/>
  <c r="AX807" i="3"/>
  <c r="AY807" i="3"/>
  <c r="AU799" i="3"/>
  <c r="AT799" i="3"/>
  <c r="AZ799" i="3"/>
  <c r="AX791" i="3"/>
  <c r="AR791" i="3"/>
  <c r="BA791" i="3"/>
  <c r="AW791" i="3"/>
  <c r="AR783" i="3"/>
  <c r="AV783" i="3"/>
  <c r="AW775" i="3"/>
  <c r="AT775" i="3"/>
  <c r="AR767" i="3"/>
  <c r="AX767" i="3"/>
  <c r="AR759" i="3"/>
  <c r="AT759" i="3"/>
  <c r="AY751" i="3"/>
  <c r="AV751" i="3"/>
  <c r="AU743" i="3"/>
  <c r="AZ743" i="3"/>
  <c r="AX727" i="3"/>
  <c r="AU727" i="3"/>
  <c r="AR719" i="3"/>
  <c r="AX719" i="3"/>
  <c r="AT711" i="3"/>
  <c r="AW711" i="3"/>
  <c r="AW703" i="3"/>
  <c r="AT703" i="3"/>
  <c r="AX695" i="3"/>
  <c r="AU695" i="3"/>
  <c r="AU687" i="3"/>
  <c r="AX687" i="3"/>
  <c r="AR679" i="3"/>
  <c r="AX679" i="3"/>
  <c r="AZ655" i="3"/>
  <c r="AY655" i="3"/>
  <c r="AV655" i="3"/>
  <c r="AY647" i="3"/>
  <c r="AV647" i="3"/>
  <c r="AV631" i="3"/>
  <c r="AX631" i="3"/>
  <c r="AR631" i="3"/>
  <c r="AX623" i="3"/>
  <c r="AY623" i="3"/>
  <c r="AU623" i="3"/>
  <c r="AW607" i="3"/>
  <c r="AX607" i="3"/>
  <c r="AY583" i="3"/>
  <c r="AW583" i="3"/>
  <c r="AR583" i="3"/>
  <c r="AX575" i="3"/>
  <c r="AU575" i="3"/>
  <c r="AR559" i="3"/>
  <c r="AY559" i="3"/>
  <c r="AW535" i="3"/>
  <c r="AR535" i="3"/>
  <c r="AX511" i="3"/>
  <c r="AW511" i="3"/>
  <c r="AR511" i="3"/>
  <c r="AY503" i="3"/>
  <c r="AW503" i="3"/>
  <c r="AR503" i="3"/>
  <c r="AU487" i="3"/>
  <c r="AX487" i="3"/>
  <c r="AR487" i="3"/>
  <c r="AV479" i="3"/>
  <c r="AX479" i="3"/>
  <c r="AR479" i="3"/>
  <c r="AY463" i="3"/>
  <c r="AW463" i="3"/>
  <c r="AR463" i="3"/>
  <c r="AZ455" i="3"/>
  <c r="AW455" i="3"/>
  <c r="AR455" i="3"/>
  <c r="AY439" i="3"/>
  <c r="AX439" i="3"/>
  <c r="AY431" i="3"/>
  <c r="AW431" i="3"/>
  <c r="AW415" i="3"/>
  <c r="AU415" i="3"/>
  <c r="AW407" i="3"/>
  <c r="AR407" i="3"/>
  <c r="AZ407" i="3"/>
  <c r="AW391" i="3"/>
  <c r="AZ391" i="3"/>
  <c r="AV391" i="3"/>
  <c r="AX383" i="3"/>
  <c r="AZ383" i="3"/>
  <c r="AV383" i="3"/>
  <c r="AU367" i="3"/>
  <c r="AR367" i="3"/>
  <c r="BA367" i="3"/>
  <c r="AW359" i="3"/>
  <c r="AZ359" i="3"/>
  <c r="BA343" i="3"/>
  <c r="AR343" i="3"/>
  <c r="AY335" i="3"/>
  <c r="AV335" i="3"/>
  <c r="AU319" i="3"/>
  <c r="BA319" i="3"/>
  <c r="AR295" i="3"/>
  <c r="AS295" i="3"/>
  <c r="AR287" i="3"/>
  <c r="AS287" i="3"/>
  <c r="AT271" i="3"/>
  <c r="AW271" i="3"/>
  <c r="AX263" i="3"/>
  <c r="BA263" i="3"/>
  <c r="BA239" i="3"/>
  <c r="AV239" i="3"/>
  <c r="AX239" i="3"/>
  <c r="AX127" i="3"/>
  <c r="AV127" i="3"/>
  <c r="AU103" i="3"/>
  <c r="AV103" i="3"/>
  <c r="M182" i="12"/>
  <c r="M262" i="12"/>
  <c r="L262" i="12"/>
  <c r="AS635" i="3"/>
  <c r="BA635" i="3"/>
  <c r="AT579" i="3"/>
  <c r="AZ579" i="3"/>
  <c r="AR563" i="3"/>
  <c r="AZ563" i="3"/>
  <c r="AR539" i="3"/>
  <c r="AZ539" i="3"/>
  <c r="BA531" i="3"/>
  <c r="AR531" i="3"/>
  <c r="AR499" i="3"/>
  <c r="AZ499" i="3"/>
  <c r="AW491" i="3"/>
  <c r="AT491" i="3"/>
  <c r="AY467" i="3"/>
  <c r="AX467" i="3"/>
  <c r="AZ379" i="3"/>
  <c r="AV379" i="3"/>
  <c r="AV371" i="3"/>
  <c r="AX371" i="3"/>
  <c r="AS331" i="3"/>
  <c r="AV331" i="3"/>
  <c r="AU307" i="3"/>
  <c r="BA307" i="3"/>
  <c r="AS179" i="3"/>
  <c r="AY179" i="3"/>
  <c r="AR132" i="4"/>
  <c r="AO132" i="4"/>
  <c r="AY654" i="3"/>
  <c r="AZ654" i="3"/>
  <c r="AS614" i="3"/>
  <c r="AT614" i="3"/>
  <c r="BA598" i="3"/>
  <c r="AZ598" i="3"/>
  <c r="BA574" i="3"/>
  <c r="AZ574" i="3"/>
  <c r="AU1274" i="3"/>
  <c r="AW1186" i="3"/>
  <c r="BA1154" i="3"/>
  <c r="AR1146" i="3"/>
  <c r="AV1114" i="3"/>
  <c r="AT1050" i="3"/>
  <c r="AZ2952" i="3"/>
  <c r="BA3020" i="3"/>
  <c r="AE1152" i="13"/>
  <c r="AU2781" i="3"/>
  <c r="AT2781" i="3"/>
  <c r="AR343" i="4"/>
  <c r="AW2952" i="3"/>
  <c r="AW2810" i="3"/>
  <c r="AW1538" i="3"/>
  <c r="AW1530" i="3"/>
  <c r="AW1522" i="3"/>
  <c r="AW1514" i="3"/>
  <c r="AW1506" i="3"/>
  <c r="AW1498" i="3"/>
  <c r="AW1490" i="3"/>
  <c r="AW1482" i="3"/>
  <c r="AW1474" i="3"/>
  <c r="AW1466" i="3"/>
  <c r="AW1458" i="3"/>
  <c r="AW1450" i="3"/>
  <c r="AW1442" i="3"/>
  <c r="AW1434" i="3"/>
  <c r="AW1426" i="3"/>
  <c r="AW1418" i="3"/>
  <c r="AW1410" i="3"/>
  <c r="AW1402" i="3"/>
  <c r="AW1394" i="3"/>
  <c r="AW1386" i="3"/>
  <c r="AW1378" i="3"/>
  <c r="AW1370" i="3"/>
  <c r="AW1362" i="3"/>
  <c r="AW1354" i="3"/>
  <c r="AW1346" i="3"/>
  <c r="AW1338" i="3"/>
  <c r="AV1330" i="3"/>
  <c r="AT1322" i="3"/>
  <c r="AV1314" i="3"/>
  <c r="AU1282" i="3"/>
  <c r="AX1250" i="3"/>
  <c r="AW1194" i="3"/>
  <c r="AS1154" i="3"/>
  <c r="AZ1082" i="3"/>
  <c r="BA2855" i="3"/>
  <c r="AV2781" i="3"/>
  <c r="AY2952" i="3"/>
  <c r="AV2823" i="3"/>
  <c r="AX2810" i="3"/>
  <c r="AV1546" i="3"/>
  <c r="AV1538" i="3"/>
  <c r="AV1530" i="3"/>
  <c r="AV1522" i="3"/>
  <c r="AV1514" i="3"/>
  <c r="AV1506" i="3"/>
  <c r="AV1498" i="3"/>
  <c r="AV1490" i="3"/>
  <c r="AV1482" i="3"/>
  <c r="AV1474" i="3"/>
  <c r="AV1466" i="3"/>
  <c r="AV1458" i="3"/>
  <c r="AV1450" i="3"/>
  <c r="AV1442" i="3"/>
  <c r="AV1434" i="3"/>
  <c r="AV1426" i="3"/>
  <c r="AV1418" i="3"/>
  <c r="AV1410" i="3"/>
  <c r="AV1402" i="3"/>
  <c r="AV1394" i="3"/>
  <c r="AV1386" i="3"/>
  <c r="AV1378" i="3"/>
  <c r="AV1370" i="3"/>
  <c r="AV1362" i="3"/>
  <c r="AV1354" i="3"/>
  <c r="AV1346" i="3"/>
  <c r="AV1338" i="3"/>
  <c r="AU1330" i="3"/>
  <c r="AS1322" i="3"/>
  <c r="AU1314" i="3"/>
  <c r="AV1306" i="3"/>
  <c r="AV1298" i="3"/>
  <c r="AU1290" i="3"/>
  <c r="AT1226" i="3"/>
  <c r="AT1162" i="3"/>
  <c r="AW1122" i="3"/>
  <c r="BA1090" i="3"/>
  <c r="AR1082" i="3"/>
  <c r="AU1058" i="3"/>
  <c r="AZ2781" i="3"/>
  <c r="BA2808" i="3"/>
  <c r="AZ2850" i="3"/>
  <c r="AZ2779" i="3"/>
  <c r="AW2781" i="3"/>
  <c r="AR369" i="4"/>
  <c r="AS2977" i="3"/>
  <c r="AW2823" i="3"/>
  <c r="AY2810" i="3"/>
  <c r="AU1506" i="3"/>
  <c r="AU1498" i="3"/>
  <c r="AU1490" i="3"/>
  <c r="AU1482" i="3"/>
  <c r="AU1474" i="3"/>
  <c r="AU1466" i="3"/>
  <c r="AU1458" i="3"/>
  <c r="AU1450" i="3"/>
  <c r="AU1442" i="3"/>
  <c r="AU1434" i="3"/>
  <c r="AU1426" i="3"/>
  <c r="AU1418" i="3"/>
  <c r="AU1410" i="3"/>
  <c r="AU1402" i="3"/>
  <c r="AU1394" i="3"/>
  <c r="AU1386" i="3"/>
  <c r="AU1378" i="3"/>
  <c r="AU1370" i="3"/>
  <c r="AU1362" i="3"/>
  <c r="AU1354" i="3"/>
  <c r="AU1346" i="3"/>
  <c r="AU1338" i="3"/>
  <c r="AT1330" i="3"/>
  <c r="AT1314" i="3"/>
  <c r="AU1306" i="3"/>
  <c r="AU1298" i="3"/>
  <c r="AV1218" i="3"/>
  <c r="AX1202" i="3"/>
  <c r="AS1090" i="3"/>
  <c r="BA2952" i="3"/>
  <c r="AU2977" i="3"/>
  <c r="AX2823" i="3"/>
  <c r="AT1530" i="3"/>
  <c r="AT1522" i="3"/>
  <c r="AT1514" i="3"/>
  <c r="AT1506" i="3"/>
  <c r="AT1498" i="3"/>
  <c r="AT1490" i="3"/>
  <c r="AT1482" i="3"/>
  <c r="AT1474" i="3"/>
  <c r="AT1466" i="3"/>
  <c r="AT1458" i="3"/>
  <c r="AT1450" i="3"/>
  <c r="AT1442" i="3"/>
  <c r="AT1434" i="3"/>
  <c r="AT1426" i="3"/>
  <c r="AT1418" i="3"/>
  <c r="AT1410" i="3"/>
  <c r="AT1402" i="3"/>
  <c r="AT1394" i="3"/>
  <c r="AT1386" i="3"/>
  <c r="AT1378" i="3"/>
  <c r="AT1370" i="3"/>
  <c r="AT1362" i="3"/>
  <c r="AT1354" i="3"/>
  <c r="AT1346" i="3"/>
  <c r="AT1338" i="3"/>
  <c r="AS1330" i="3"/>
  <c r="BA1322" i="3"/>
  <c r="BA1258" i="3"/>
  <c r="AT1242" i="3"/>
  <c r="AX1210" i="3"/>
  <c r="AU1170" i="3"/>
  <c r="AX1130" i="3"/>
  <c r="AT1098" i="3"/>
  <c r="AW343" i="4"/>
  <c r="AD1134" i="13"/>
  <c r="AS2781" i="3"/>
  <c r="AV2977" i="3"/>
  <c r="AY2823" i="3"/>
  <c r="BA1498" i="3"/>
  <c r="AS1498" i="3"/>
  <c r="BA1490" i="3"/>
  <c r="AS1490" i="3"/>
  <c r="BA1482" i="3"/>
  <c r="AS1482" i="3"/>
  <c r="BA1474" i="3"/>
  <c r="AS1474" i="3"/>
  <c r="BA1466" i="3"/>
  <c r="AS1466" i="3"/>
  <c r="BA1458" i="3"/>
  <c r="AS1458" i="3"/>
  <c r="BA1450" i="3"/>
  <c r="AS1450" i="3"/>
  <c r="BA1442" i="3"/>
  <c r="AS1442" i="3"/>
  <c r="BA1434" i="3"/>
  <c r="AS1434" i="3"/>
  <c r="BA1426" i="3"/>
  <c r="AS1426" i="3"/>
  <c r="BA1418" i="3"/>
  <c r="AS1418" i="3"/>
  <c r="BA1410" i="3"/>
  <c r="AS1410" i="3"/>
  <c r="BA1402" i="3"/>
  <c r="AS1402" i="3"/>
  <c r="BA1394" i="3"/>
  <c r="AS1394" i="3"/>
  <c r="BA1386" i="3"/>
  <c r="AS1386" i="3"/>
  <c r="BA1378" i="3"/>
  <c r="AS1378" i="3"/>
  <c r="BA1370" i="3"/>
  <c r="AS1370" i="3"/>
  <c r="BA1362" i="3"/>
  <c r="AS1362" i="3"/>
  <c r="BA1354" i="3"/>
  <c r="AS1354" i="3"/>
  <c r="BA1346" i="3"/>
  <c r="AS1346" i="3"/>
  <c r="BA1338" i="3"/>
  <c r="AS1338" i="3"/>
  <c r="BA1330" i="3"/>
  <c r="AR1330" i="3"/>
  <c r="AX1322" i="3"/>
  <c r="AS1258" i="3"/>
  <c r="AV1074" i="3"/>
  <c r="AW1066" i="3"/>
  <c r="AX343" i="4"/>
  <c r="BA2779" i="3"/>
  <c r="AT2908" i="3"/>
  <c r="AX2977" i="3"/>
  <c r="AZ2823" i="3"/>
  <c r="AZ1530" i="3"/>
  <c r="AZ1522" i="3"/>
  <c r="AZ1514" i="3"/>
  <c r="AZ1506" i="3"/>
  <c r="AZ1498" i="3"/>
  <c r="AZ1490" i="3"/>
  <c r="AZ1482" i="3"/>
  <c r="AZ1474" i="3"/>
  <c r="AZ1466" i="3"/>
  <c r="AZ1458" i="3"/>
  <c r="AZ1450" i="3"/>
  <c r="AZ1442" i="3"/>
  <c r="AZ1434" i="3"/>
  <c r="AZ1426" i="3"/>
  <c r="AZ1418" i="3"/>
  <c r="AZ1410" i="3"/>
  <c r="AZ1402" i="3"/>
  <c r="AZ1394" i="3"/>
  <c r="AZ1386" i="3"/>
  <c r="AZ1378" i="3"/>
  <c r="AZ1370" i="3"/>
  <c r="AZ1362" i="3"/>
  <c r="AZ1354" i="3"/>
  <c r="AZ1346" i="3"/>
  <c r="AZ1338" i="3"/>
  <c r="AZ1330" i="3"/>
  <c r="AW1322" i="3"/>
  <c r="AV1178" i="3"/>
  <c r="AY1138" i="3"/>
  <c r="AU1106" i="3"/>
  <c r="BA1042" i="3"/>
  <c r="AZ2855" i="3"/>
  <c r="AR2781" i="3"/>
  <c r="AU2952" i="3"/>
  <c r="BA2977" i="3"/>
  <c r="AU2810" i="3"/>
  <c r="AU1034" i="3"/>
  <c r="AX1034" i="3"/>
  <c r="AR1026" i="3"/>
  <c r="AZ1026" i="3"/>
  <c r="AU1026" i="3"/>
  <c r="AX1018" i="3"/>
  <c r="AY1018" i="3"/>
  <c r="AS1018" i="3"/>
  <c r="BA1018" i="3"/>
  <c r="AU1018" i="3"/>
  <c r="AV1018" i="3"/>
  <c r="AU1010" i="3"/>
  <c r="AV1010" i="3"/>
  <c r="AX1010" i="3"/>
  <c r="AY1010" i="3"/>
  <c r="AR1010" i="3"/>
  <c r="AZ1010" i="3"/>
  <c r="AS1010" i="3"/>
  <c r="BA1010" i="3"/>
  <c r="AR1002" i="3"/>
  <c r="AZ1002" i="3"/>
  <c r="AS1002" i="3"/>
  <c r="BA1002" i="3"/>
  <c r="AU1002" i="3"/>
  <c r="AV1002" i="3"/>
  <c r="AW1002" i="3"/>
  <c r="AX1002" i="3"/>
  <c r="AW994" i="3"/>
  <c r="AX994" i="3"/>
  <c r="AY994" i="3"/>
  <c r="AR994" i="3"/>
  <c r="AZ994" i="3"/>
  <c r="AS994" i="3"/>
  <c r="BA994" i="3"/>
  <c r="AT994" i="3"/>
  <c r="AU994" i="3"/>
  <c r="AU986" i="3"/>
  <c r="AV986" i="3"/>
  <c r="AW986" i="3"/>
  <c r="AX986" i="3"/>
  <c r="AY986" i="3"/>
  <c r="AR986" i="3"/>
  <c r="AZ986" i="3"/>
  <c r="AS986" i="3"/>
  <c r="BA986" i="3"/>
  <c r="AS978" i="3"/>
  <c r="BA978" i="3"/>
  <c r="AT978" i="3"/>
  <c r="AU978" i="3"/>
  <c r="AV978" i="3"/>
  <c r="AW978" i="3"/>
  <c r="AX978" i="3"/>
  <c r="AY978" i="3"/>
  <c r="AU970" i="3"/>
  <c r="AV970" i="3"/>
  <c r="AW970" i="3"/>
  <c r="AX970" i="3"/>
  <c r="AY970" i="3"/>
  <c r="AR970" i="3"/>
  <c r="AZ970" i="3"/>
  <c r="AS970" i="3"/>
  <c r="BA970" i="3"/>
  <c r="AR962" i="3"/>
  <c r="AZ962" i="3"/>
  <c r="AS962" i="3"/>
  <c r="BA962" i="3"/>
  <c r="AT962" i="3"/>
  <c r="AU962" i="3"/>
  <c r="AV962" i="3"/>
  <c r="AW962" i="3"/>
  <c r="AX962" i="3"/>
  <c r="AU954" i="3"/>
  <c r="AV954" i="3"/>
  <c r="AW954" i="3"/>
  <c r="AX954" i="3"/>
  <c r="AY954" i="3"/>
  <c r="AR954" i="3"/>
  <c r="AZ954" i="3"/>
  <c r="AS954" i="3"/>
  <c r="BA954" i="3"/>
  <c r="AY946" i="3"/>
  <c r="AR946" i="3"/>
  <c r="AZ946" i="3"/>
  <c r="AS946" i="3"/>
  <c r="BA946" i="3"/>
  <c r="AT946" i="3"/>
  <c r="AU946" i="3"/>
  <c r="AV946" i="3"/>
  <c r="AW946" i="3"/>
  <c r="AU938" i="3"/>
  <c r="AV938" i="3"/>
  <c r="AW938" i="3"/>
  <c r="AX938" i="3"/>
  <c r="AY938" i="3"/>
  <c r="AR938" i="3"/>
  <c r="AZ938" i="3"/>
  <c r="AS938" i="3"/>
  <c r="BA938" i="3"/>
  <c r="AY930" i="3"/>
  <c r="AR930" i="3"/>
  <c r="AZ930" i="3"/>
  <c r="AS930" i="3"/>
  <c r="BA930" i="3"/>
  <c r="AT930" i="3"/>
  <c r="AU930" i="3"/>
  <c r="AV930" i="3"/>
  <c r="AW930" i="3"/>
  <c r="AT922" i="3"/>
  <c r="AU922" i="3"/>
  <c r="AV922" i="3"/>
  <c r="AW922" i="3"/>
  <c r="AX922" i="3"/>
  <c r="AY922" i="3"/>
  <c r="AR922" i="3"/>
  <c r="AZ922" i="3"/>
  <c r="AX914" i="3"/>
  <c r="AY914" i="3"/>
  <c r="AR914" i="3"/>
  <c r="AZ914" i="3"/>
  <c r="AS914" i="3"/>
  <c r="BA914" i="3"/>
  <c r="AT914" i="3"/>
  <c r="AU914" i="3"/>
  <c r="AV914" i="3"/>
  <c r="AS906" i="3"/>
  <c r="BA906" i="3"/>
  <c r="AT906" i="3"/>
  <c r="AU906" i="3"/>
  <c r="AV906" i="3"/>
  <c r="AW906" i="3"/>
  <c r="AX906" i="3"/>
  <c r="AY906" i="3"/>
  <c r="AS898" i="3"/>
  <c r="BA898" i="3"/>
  <c r="AT898" i="3"/>
  <c r="AU898" i="3"/>
  <c r="AV898" i="3"/>
  <c r="AW898" i="3"/>
  <c r="AX898" i="3"/>
  <c r="AY898" i="3"/>
  <c r="AT890" i="3"/>
  <c r="AU890" i="3"/>
  <c r="AV890" i="3"/>
  <c r="AW890" i="3"/>
  <c r="AX890" i="3"/>
  <c r="AY890" i="3"/>
  <c r="AR890" i="3"/>
  <c r="AZ890" i="3"/>
  <c r="AS882" i="3"/>
  <c r="BA882" i="3"/>
  <c r="AT882" i="3"/>
  <c r="AU882" i="3"/>
  <c r="AV882" i="3"/>
  <c r="AW882" i="3"/>
  <c r="AX882" i="3"/>
  <c r="AY882" i="3"/>
  <c r="AY874" i="3"/>
  <c r="AR874" i="3"/>
  <c r="AZ874" i="3"/>
  <c r="AS874" i="3"/>
  <c r="BA874" i="3"/>
  <c r="AT874" i="3"/>
  <c r="AU874" i="3"/>
  <c r="AV874" i="3"/>
  <c r="AW874" i="3"/>
  <c r="AT866" i="3"/>
  <c r="AU866" i="3"/>
  <c r="AV866" i="3"/>
  <c r="AW866" i="3"/>
  <c r="AX866" i="3"/>
  <c r="AY866" i="3"/>
  <c r="AR866" i="3"/>
  <c r="AZ866" i="3"/>
  <c r="AR858" i="3"/>
  <c r="AZ858" i="3"/>
  <c r="AS858" i="3"/>
  <c r="BA858" i="3"/>
  <c r="AT858" i="3"/>
  <c r="AU858" i="3"/>
  <c r="AV858" i="3"/>
  <c r="AW858" i="3"/>
  <c r="AX858" i="3"/>
  <c r="AV850" i="3"/>
  <c r="AW850" i="3"/>
  <c r="AX850" i="3"/>
  <c r="AY850" i="3"/>
  <c r="AR850" i="3"/>
  <c r="AZ850" i="3"/>
  <c r="AS850" i="3"/>
  <c r="BA850" i="3"/>
  <c r="AT850" i="3"/>
  <c r="AY842" i="3"/>
  <c r="AR842" i="3"/>
  <c r="AZ842" i="3"/>
  <c r="AS842" i="3"/>
  <c r="BA842" i="3"/>
  <c r="AT842" i="3"/>
  <c r="AU842" i="3"/>
  <c r="AV842" i="3"/>
  <c r="AW842" i="3"/>
  <c r="AS834" i="3"/>
  <c r="AT834" i="3"/>
  <c r="AV834" i="3"/>
  <c r="AW834" i="3"/>
  <c r="AY834" i="3"/>
  <c r="AY826" i="3"/>
  <c r="AR826" i="3"/>
  <c r="AZ826" i="3"/>
  <c r="AS826" i="3"/>
  <c r="BA826" i="3"/>
  <c r="AT826" i="3"/>
  <c r="AU826" i="3"/>
  <c r="AV826" i="3"/>
  <c r="AW826" i="3"/>
  <c r="AT818" i="3"/>
  <c r="AU818" i="3"/>
  <c r="AV818" i="3"/>
  <c r="AW818" i="3"/>
  <c r="AX818" i="3"/>
  <c r="AY818" i="3"/>
  <c r="AR818" i="3"/>
  <c r="AZ818" i="3"/>
  <c r="AV810" i="3"/>
  <c r="AW810" i="3"/>
  <c r="AY810" i="3"/>
  <c r="AZ810" i="3"/>
  <c r="AR810" i="3"/>
  <c r="AW802" i="3"/>
  <c r="AY802" i="3"/>
  <c r="AZ802" i="3"/>
  <c r="AR802" i="3"/>
  <c r="BA802" i="3"/>
  <c r="AS802" i="3"/>
  <c r="AT802" i="3"/>
  <c r="AU802" i="3"/>
  <c r="AV802" i="3"/>
  <c r="AX794" i="3"/>
  <c r="AY794" i="3"/>
  <c r="BA794" i="3"/>
  <c r="AS794" i="3"/>
  <c r="AT794" i="3"/>
  <c r="AU794" i="3"/>
  <c r="AV794" i="3"/>
  <c r="AV786" i="3"/>
  <c r="AX786" i="3"/>
  <c r="AY786" i="3"/>
  <c r="BA786" i="3"/>
  <c r="AR786" i="3"/>
  <c r="AU778" i="3"/>
  <c r="AZ778" i="3"/>
  <c r="AR778" i="3"/>
  <c r="BA778" i="3"/>
  <c r="AS778" i="3"/>
  <c r="AT778" i="3"/>
  <c r="AV778" i="3"/>
  <c r="AW778" i="3"/>
  <c r="AX778" i="3"/>
  <c r="AU770" i="3"/>
  <c r="AX770" i="3"/>
  <c r="AY770" i="3"/>
  <c r="AZ770" i="3"/>
  <c r="AR770" i="3"/>
  <c r="BA770" i="3"/>
  <c r="AS770" i="3"/>
  <c r="AT770" i="3"/>
  <c r="AV770" i="3"/>
  <c r="AX762" i="3"/>
  <c r="AZ762" i="3"/>
  <c r="BA762" i="3"/>
  <c r="AS762" i="3"/>
  <c r="AT762" i="3"/>
  <c r="AU754" i="3"/>
  <c r="AZ754" i="3"/>
  <c r="AR754" i="3"/>
  <c r="BA754" i="3"/>
  <c r="AS754" i="3"/>
  <c r="AT754" i="3"/>
  <c r="AV754" i="3"/>
  <c r="AW754" i="3"/>
  <c r="AX754" i="3"/>
  <c r="AU746" i="3"/>
  <c r="AZ746" i="3"/>
  <c r="AR746" i="3"/>
  <c r="BA746" i="3"/>
  <c r="AS746" i="3"/>
  <c r="AT746" i="3"/>
  <c r="AV746" i="3"/>
  <c r="AW746" i="3"/>
  <c r="AX746" i="3"/>
  <c r="BA738" i="3"/>
  <c r="AS738" i="3"/>
  <c r="AT738" i="3"/>
  <c r="AW738" i="3"/>
  <c r="AX738" i="3"/>
  <c r="AU730" i="3"/>
  <c r="AZ730" i="3"/>
  <c r="AR730" i="3"/>
  <c r="BA730" i="3"/>
  <c r="AS730" i="3"/>
  <c r="AT730" i="3"/>
  <c r="AV730" i="3"/>
  <c r="AW730" i="3"/>
  <c r="AX730" i="3"/>
  <c r="AU722" i="3"/>
  <c r="AY722" i="3"/>
  <c r="AZ722" i="3"/>
  <c r="AR722" i="3"/>
  <c r="BA722" i="3"/>
  <c r="AS722" i="3"/>
  <c r="AT722" i="3"/>
  <c r="AV722" i="3"/>
  <c r="AW722" i="3"/>
  <c r="AT714" i="3"/>
  <c r="AW714" i="3"/>
  <c r="AX714" i="3"/>
  <c r="AZ714" i="3"/>
  <c r="BA714" i="3"/>
  <c r="AU706" i="3"/>
  <c r="AR706" i="3"/>
  <c r="BA706" i="3"/>
  <c r="AS706" i="3"/>
  <c r="AT706" i="3"/>
  <c r="AV706" i="3"/>
  <c r="AW706" i="3"/>
  <c r="AX706" i="3"/>
  <c r="AY706" i="3"/>
  <c r="AU698" i="3"/>
  <c r="AV698" i="3"/>
  <c r="AW698" i="3"/>
  <c r="AX698" i="3"/>
  <c r="AY698" i="3"/>
  <c r="AZ698" i="3"/>
  <c r="AR698" i="3"/>
  <c r="BA698" i="3"/>
  <c r="AS698" i="3"/>
  <c r="AY690" i="3"/>
  <c r="AZ690" i="3"/>
  <c r="AR690" i="3"/>
  <c r="AS690" i="3"/>
  <c r="AV690" i="3"/>
  <c r="AU682" i="3"/>
  <c r="AW682" i="3"/>
  <c r="AX682" i="3"/>
  <c r="AY682" i="3"/>
  <c r="AZ682" i="3"/>
  <c r="AR682" i="3"/>
  <c r="BA682" i="3"/>
  <c r="AS682" i="3"/>
  <c r="AT682" i="3"/>
  <c r="BA674" i="3"/>
  <c r="AR674" i="3"/>
  <c r="AS674" i="3"/>
  <c r="AT674" i="3"/>
  <c r="AW674" i="3"/>
  <c r="AX674" i="3"/>
  <c r="AY674" i="3"/>
  <c r="AR666" i="3"/>
  <c r="AT666" i="3"/>
  <c r="AW666" i="3"/>
  <c r="AY666" i="3"/>
  <c r="AZ666" i="3"/>
  <c r="AX658" i="3"/>
  <c r="AY658" i="3"/>
  <c r="AZ658" i="3"/>
  <c r="BA658" i="3"/>
  <c r="AR658" i="3"/>
  <c r="AS658" i="3"/>
  <c r="AT658" i="3"/>
  <c r="AY650" i="3"/>
  <c r="AZ650" i="3"/>
  <c r="BA650" i="3"/>
  <c r="AR650" i="3"/>
  <c r="AS650" i="3"/>
  <c r="AT650" i="3"/>
  <c r="AW650" i="3"/>
  <c r="BA642" i="3"/>
  <c r="AS642" i="3"/>
  <c r="AT642" i="3"/>
  <c r="AX642" i="3"/>
  <c r="AZ634" i="3"/>
  <c r="BA634" i="3"/>
  <c r="AR634" i="3"/>
  <c r="AT634" i="3"/>
  <c r="AW634" i="3"/>
  <c r="AX634" i="3"/>
  <c r="AR626" i="3"/>
  <c r="AS626" i="3"/>
  <c r="AW626" i="3"/>
  <c r="AX626" i="3"/>
  <c r="AY626" i="3"/>
  <c r="AZ626" i="3"/>
  <c r="BA626" i="3"/>
  <c r="AY618" i="3"/>
  <c r="AZ618" i="3"/>
  <c r="AR618" i="3"/>
  <c r="AR610" i="3"/>
  <c r="AS610" i="3"/>
  <c r="AT610" i="3"/>
  <c r="AW610" i="3"/>
  <c r="AZ610" i="3"/>
  <c r="BA610" i="3"/>
  <c r="AT602" i="3"/>
  <c r="AW602" i="3"/>
  <c r="AX602" i="3"/>
  <c r="BA602" i="3"/>
  <c r="AR602" i="3"/>
  <c r="AR594" i="3"/>
  <c r="AT594" i="3"/>
  <c r="AW594" i="3"/>
  <c r="AY594" i="3"/>
  <c r="AX586" i="3"/>
  <c r="AY586" i="3"/>
  <c r="AZ586" i="3"/>
  <c r="AS586" i="3"/>
  <c r="AT586" i="3"/>
  <c r="AY578" i="3"/>
  <c r="AZ578" i="3"/>
  <c r="BA578" i="3"/>
  <c r="AT578" i="3"/>
  <c r="AW578" i="3"/>
  <c r="AY570" i="3"/>
  <c r="BA570" i="3"/>
  <c r="AR570" i="3"/>
  <c r="BA562" i="3"/>
  <c r="AR562" i="3"/>
  <c r="AS562" i="3"/>
  <c r="AX562" i="3"/>
  <c r="AY562" i="3"/>
  <c r="AT554" i="3"/>
  <c r="AZ554" i="3"/>
  <c r="BA554" i="3"/>
  <c r="AR554" i="3"/>
  <c r="AR546" i="3"/>
  <c r="AT546" i="3"/>
  <c r="AS538" i="3"/>
  <c r="AT538" i="3"/>
  <c r="AW538" i="3"/>
  <c r="AX538" i="3"/>
  <c r="AS530" i="3"/>
  <c r="AT530" i="3"/>
  <c r="AW530" i="3"/>
  <c r="AX530" i="3"/>
  <c r="AY530" i="3"/>
  <c r="AY514" i="3"/>
  <c r="AZ514" i="3"/>
  <c r="BA514" i="3"/>
  <c r="AW514" i="3"/>
  <c r="AR506" i="3"/>
  <c r="AX506" i="3"/>
  <c r="AY506" i="3"/>
  <c r="AZ506" i="3"/>
  <c r="BA506" i="3"/>
  <c r="AR498" i="3"/>
  <c r="AZ498" i="3"/>
  <c r="BA498" i="3"/>
  <c r="BA490" i="3"/>
  <c r="AR490" i="3"/>
  <c r="AS490" i="3"/>
  <c r="AT490" i="3"/>
  <c r="AT482" i="3"/>
  <c r="AW482" i="3"/>
  <c r="BA482" i="3"/>
  <c r="AR482" i="3"/>
  <c r="AT474" i="3"/>
  <c r="AX474" i="3"/>
  <c r="AY466" i="3"/>
  <c r="AS466" i="3"/>
  <c r="AT466" i="3"/>
  <c r="AW466" i="3"/>
  <c r="AW458" i="3"/>
  <c r="AX458" i="3"/>
  <c r="AY458" i="3"/>
  <c r="AZ458" i="3"/>
  <c r="AR442" i="3"/>
  <c r="AX442" i="3"/>
  <c r="AY442" i="3"/>
  <c r="AZ442" i="3"/>
  <c r="BA442" i="3"/>
  <c r="AR434" i="3"/>
  <c r="AS434" i="3"/>
  <c r="AY434" i="3"/>
  <c r="AZ434" i="3"/>
  <c r="AT426" i="3"/>
  <c r="BA426" i="3"/>
  <c r="AT418" i="3"/>
  <c r="AW418" i="3"/>
  <c r="BA418" i="3"/>
  <c r="AR418" i="3"/>
  <c r="AR410" i="3"/>
  <c r="AS410" i="3"/>
  <c r="AT410" i="3"/>
  <c r="AW410" i="3"/>
  <c r="AX410" i="3"/>
  <c r="AT394" i="3"/>
  <c r="AW394" i="3"/>
  <c r="AX394" i="3"/>
  <c r="AY394" i="3"/>
  <c r="AZ394" i="3"/>
  <c r="BA386" i="3"/>
  <c r="AW386" i="3"/>
  <c r="AX386" i="3"/>
  <c r="AY386" i="3"/>
  <c r="AR378" i="3"/>
  <c r="AZ378" i="3"/>
  <c r="AR370" i="3"/>
  <c r="AY370" i="3"/>
  <c r="AZ370" i="3"/>
  <c r="BA370" i="3"/>
  <c r="AS362" i="3"/>
  <c r="AT362" i="3"/>
  <c r="AU362" i="3"/>
  <c r="AR346" i="3"/>
  <c r="AW346" i="3"/>
  <c r="AX346" i="3"/>
  <c r="BA346" i="3"/>
  <c r="AV338" i="3"/>
  <c r="AW338" i="3"/>
  <c r="AX338" i="3"/>
  <c r="AZ338" i="3"/>
  <c r="AS322" i="3"/>
  <c r="AT322" i="3"/>
  <c r="AW314" i="3"/>
  <c r="AR314" i="3"/>
  <c r="AU314" i="3"/>
  <c r="AT306" i="3"/>
  <c r="AR306" i="3"/>
  <c r="AR298" i="3"/>
  <c r="AY298" i="3"/>
  <c r="AU290" i="3"/>
  <c r="AW290" i="3"/>
  <c r="AV226" i="3"/>
  <c r="AW226" i="3"/>
  <c r="BA202" i="3"/>
  <c r="AX202" i="3"/>
  <c r="AU186" i="3"/>
  <c r="AW186" i="3"/>
  <c r="AS178" i="3"/>
  <c r="AZ178" i="3"/>
  <c r="AY154" i="3"/>
  <c r="AZ154" i="3"/>
  <c r="AZ130" i="3"/>
  <c r="AY130" i="3"/>
  <c r="AW122" i="3"/>
  <c r="AV122" i="3"/>
  <c r="AS34" i="3"/>
  <c r="AU34" i="3"/>
  <c r="Q98" i="17"/>
  <c r="U98" i="17"/>
  <c r="AT1306" i="3"/>
  <c r="AT1298" i="3"/>
  <c r="AT1290" i="3"/>
  <c r="AT1282" i="3"/>
  <c r="AT1274" i="3"/>
  <c r="AT1266" i="3"/>
  <c r="AZ1258" i="3"/>
  <c r="AR1258" i="3"/>
  <c r="AW1250" i="3"/>
  <c r="BA1242" i="3"/>
  <c r="AS1242" i="3"/>
  <c r="AW1234" i="3"/>
  <c r="BA1226" i="3"/>
  <c r="AS1226" i="3"/>
  <c r="AU1218" i="3"/>
  <c r="AW1210" i="3"/>
  <c r="AW1202" i="3"/>
  <c r="AV1194" i="3"/>
  <c r="AV1186" i="3"/>
  <c r="AU1178" i="3"/>
  <c r="AT1170" i="3"/>
  <c r="BA1162" i="3"/>
  <c r="AS1162" i="3"/>
  <c r="AZ1154" i="3"/>
  <c r="AR1154" i="3"/>
  <c r="AY1146" i="3"/>
  <c r="AX1138" i="3"/>
  <c r="AW1130" i="3"/>
  <c r="AV1122" i="3"/>
  <c r="AU1114" i="3"/>
  <c r="AT1106" i="3"/>
  <c r="BA1098" i="3"/>
  <c r="AS1098" i="3"/>
  <c r="AZ1090" i="3"/>
  <c r="AR1090" i="3"/>
  <c r="AY1082" i="3"/>
  <c r="AU1074" i="3"/>
  <c r="AV1066" i="3"/>
  <c r="AT1058" i="3"/>
  <c r="BA1050" i="3"/>
  <c r="AS1050" i="3"/>
  <c r="AZ1042" i="3"/>
  <c r="AR1042" i="3"/>
  <c r="AW1034" i="3"/>
  <c r="BA1026" i="3"/>
  <c r="AT1002" i="3"/>
  <c r="AT970" i="3"/>
  <c r="AR906" i="3"/>
  <c r="AR898" i="3"/>
  <c r="BA890" i="3"/>
  <c r="AR882" i="3"/>
  <c r="AS866" i="3"/>
  <c r="AU850" i="3"/>
  <c r="AX722" i="3"/>
  <c r="AT698" i="3"/>
  <c r="AZ674" i="3"/>
  <c r="AX570" i="3"/>
  <c r="AR538" i="3"/>
  <c r="AZ386" i="3"/>
  <c r="AY170" i="3"/>
  <c r="BA1314" i="3"/>
  <c r="AS1314" i="3"/>
  <c r="BA1306" i="3"/>
  <c r="AS1306" i="3"/>
  <c r="BA1298" i="3"/>
  <c r="AS1298" i="3"/>
  <c r="BA1290" i="3"/>
  <c r="AS1290" i="3"/>
  <c r="BA1282" i="3"/>
  <c r="AS1282" i="3"/>
  <c r="BA1274" i="3"/>
  <c r="AS1274" i="3"/>
  <c r="BA1266" i="3"/>
  <c r="AS1266" i="3"/>
  <c r="AY1258" i="3"/>
  <c r="AV1250" i="3"/>
  <c r="AZ1242" i="3"/>
  <c r="AR1242" i="3"/>
  <c r="AV1234" i="3"/>
  <c r="AZ1226" i="3"/>
  <c r="AR1226" i="3"/>
  <c r="AT1218" i="3"/>
  <c r="AV1210" i="3"/>
  <c r="AV1202" i="3"/>
  <c r="AU1194" i="3"/>
  <c r="AU1186" i="3"/>
  <c r="AT1178" i="3"/>
  <c r="BA1170" i="3"/>
  <c r="AS1170" i="3"/>
  <c r="AZ1162" i="3"/>
  <c r="AR1162" i="3"/>
  <c r="AY1154" i="3"/>
  <c r="AX1146" i="3"/>
  <c r="AW1138" i="3"/>
  <c r="AV1130" i="3"/>
  <c r="AU1122" i="3"/>
  <c r="AT1114" i="3"/>
  <c r="BA1106" i="3"/>
  <c r="AS1106" i="3"/>
  <c r="AZ1098" i="3"/>
  <c r="AR1098" i="3"/>
  <c r="AY1090" i="3"/>
  <c r="AX1082" i="3"/>
  <c r="AT1074" i="3"/>
  <c r="AU1066" i="3"/>
  <c r="BA1058" i="3"/>
  <c r="AS1058" i="3"/>
  <c r="AZ1050" i="3"/>
  <c r="AR1050" i="3"/>
  <c r="AY1042" i="3"/>
  <c r="AV1034" i="3"/>
  <c r="AY1026" i="3"/>
  <c r="AT986" i="3"/>
  <c r="AX946" i="3"/>
  <c r="BA922" i="3"/>
  <c r="AS890" i="3"/>
  <c r="AW770" i="3"/>
  <c r="AY730" i="3"/>
  <c r="AW658" i="3"/>
  <c r="AY634" i="3"/>
  <c r="AS602" i="3"/>
  <c r="AW586" i="3"/>
  <c r="AZ1322" i="3"/>
  <c r="AR1322" i="3"/>
  <c r="AZ1314" i="3"/>
  <c r="AR1314" i="3"/>
  <c r="AZ1306" i="3"/>
  <c r="AR1306" i="3"/>
  <c r="AZ1298" i="3"/>
  <c r="AR1298" i="3"/>
  <c r="AZ1290" i="3"/>
  <c r="AR1290" i="3"/>
  <c r="AZ1282" i="3"/>
  <c r="AR1282" i="3"/>
  <c r="AZ1274" i="3"/>
  <c r="AR1274" i="3"/>
  <c r="AZ1266" i="3"/>
  <c r="AR1266" i="3"/>
  <c r="AX1258" i="3"/>
  <c r="AU1250" i="3"/>
  <c r="AY1242" i="3"/>
  <c r="AU1234" i="3"/>
  <c r="AY1226" i="3"/>
  <c r="BA1218" i="3"/>
  <c r="AS1218" i="3"/>
  <c r="AU1210" i="3"/>
  <c r="AU1202" i="3"/>
  <c r="AT1194" i="3"/>
  <c r="AT1186" i="3"/>
  <c r="BA1178" i="3"/>
  <c r="AS1178" i="3"/>
  <c r="AZ1170" i="3"/>
  <c r="AR1170" i="3"/>
  <c r="AY1162" i="3"/>
  <c r="AX1154" i="3"/>
  <c r="AW1146" i="3"/>
  <c r="AV1138" i="3"/>
  <c r="AU1130" i="3"/>
  <c r="AT1122" i="3"/>
  <c r="BA1114" i="3"/>
  <c r="AS1114" i="3"/>
  <c r="AZ1106" i="3"/>
  <c r="AR1106" i="3"/>
  <c r="AY1098" i="3"/>
  <c r="AX1090" i="3"/>
  <c r="AW1082" i="3"/>
  <c r="BA1074" i="3"/>
  <c r="AS1074" i="3"/>
  <c r="AT1066" i="3"/>
  <c r="AZ1058" i="3"/>
  <c r="AR1058" i="3"/>
  <c r="AY1050" i="3"/>
  <c r="AX1042" i="3"/>
  <c r="AT1034" i="3"/>
  <c r="AX1026" i="3"/>
  <c r="AW1010" i="3"/>
  <c r="AS922" i="3"/>
  <c r="AX842" i="3"/>
  <c r="AS810" i="3"/>
  <c r="AW762" i="3"/>
  <c r="AX50" i="3"/>
  <c r="AY1314" i="3"/>
  <c r="AY1306" i="3"/>
  <c r="AY1298" i="3"/>
  <c r="AY1290" i="3"/>
  <c r="AY1282" i="3"/>
  <c r="AY1274" i="3"/>
  <c r="AY1266" i="3"/>
  <c r="AW1258" i="3"/>
  <c r="AT1250" i="3"/>
  <c r="AX1242" i="3"/>
  <c r="AT1234" i="3"/>
  <c r="AX1226" i="3"/>
  <c r="AZ1218" i="3"/>
  <c r="AR1218" i="3"/>
  <c r="AT1210" i="3"/>
  <c r="AT1202" i="3"/>
  <c r="BA1194" i="3"/>
  <c r="AS1194" i="3"/>
  <c r="BA1186" i="3"/>
  <c r="AS1186" i="3"/>
  <c r="AZ1178" i="3"/>
  <c r="AR1178" i="3"/>
  <c r="AY1170" i="3"/>
  <c r="AX1162" i="3"/>
  <c r="AW1154" i="3"/>
  <c r="AV1146" i="3"/>
  <c r="AU1138" i="3"/>
  <c r="AT1130" i="3"/>
  <c r="BA1122" i="3"/>
  <c r="AS1122" i="3"/>
  <c r="AZ1114" i="3"/>
  <c r="AR1114" i="3"/>
  <c r="AY1106" i="3"/>
  <c r="AX1098" i="3"/>
  <c r="AW1090" i="3"/>
  <c r="AV1082" i="3"/>
  <c r="AZ1074" i="3"/>
  <c r="AR1074" i="3"/>
  <c r="BA1066" i="3"/>
  <c r="AS1066" i="3"/>
  <c r="AY1058" i="3"/>
  <c r="AX1050" i="3"/>
  <c r="AW1042" i="3"/>
  <c r="AS1034" i="3"/>
  <c r="AW1026" i="3"/>
  <c r="AZ1018" i="3"/>
  <c r="AT1010" i="3"/>
  <c r="AY778" i="3"/>
  <c r="AX650" i="3"/>
  <c r="AX522" i="3"/>
  <c r="AX466" i="3"/>
  <c r="AX1314" i="3"/>
  <c r="AX1306" i="3"/>
  <c r="AX1298" i="3"/>
  <c r="AX1290" i="3"/>
  <c r="AX1282" i="3"/>
  <c r="AX1274" i="3"/>
  <c r="AX1266" i="3"/>
  <c r="AV1258" i="3"/>
  <c r="BA1250" i="3"/>
  <c r="AS1250" i="3"/>
  <c r="AW1242" i="3"/>
  <c r="BA1234" i="3"/>
  <c r="AS1234" i="3"/>
  <c r="AW1226" i="3"/>
  <c r="AY1218" i="3"/>
  <c r="BA1210" i="3"/>
  <c r="AS1210" i="3"/>
  <c r="BA1202" i="3"/>
  <c r="AS1202" i="3"/>
  <c r="AZ1194" i="3"/>
  <c r="AR1194" i="3"/>
  <c r="AZ1186" i="3"/>
  <c r="AR1186" i="3"/>
  <c r="AY1178" i="3"/>
  <c r="AX1170" i="3"/>
  <c r="AW1162" i="3"/>
  <c r="AV1154" i="3"/>
  <c r="AU1146" i="3"/>
  <c r="AT1138" i="3"/>
  <c r="BA1130" i="3"/>
  <c r="AS1130" i="3"/>
  <c r="AZ1122" i="3"/>
  <c r="AR1122" i="3"/>
  <c r="AY1114" i="3"/>
  <c r="AX1106" i="3"/>
  <c r="AW1098" i="3"/>
  <c r="AV1090" i="3"/>
  <c r="AU1082" i="3"/>
  <c r="AY1074" i="3"/>
  <c r="AZ1066" i="3"/>
  <c r="AR1066" i="3"/>
  <c r="AX1058" i="3"/>
  <c r="AW1050" i="3"/>
  <c r="AV1042" i="3"/>
  <c r="AR1034" i="3"/>
  <c r="AV1026" i="3"/>
  <c r="AW1018" i="3"/>
  <c r="AV994" i="3"/>
  <c r="AY962" i="3"/>
  <c r="AT938" i="3"/>
  <c r="AZ834" i="3"/>
  <c r="AX826" i="3"/>
  <c r="AW690" i="3"/>
  <c r="AV682" i="3"/>
  <c r="AS618" i="3"/>
  <c r="AX578" i="3"/>
  <c r="AT458" i="3"/>
  <c r="AZ450" i="3"/>
  <c r="AX322" i="3"/>
  <c r="AW1290" i="3"/>
  <c r="AW1282" i="3"/>
  <c r="AW1274" i="3"/>
  <c r="AW1266" i="3"/>
  <c r="AU1258" i="3"/>
  <c r="AZ1250" i="3"/>
  <c r="AR1250" i="3"/>
  <c r="AV1242" i="3"/>
  <c r="AZ1234" i="3"/>
  <c r="AR1234" i="3"/>
  <c r="AV1226" i="3"/>
  <c r="AX1218" i="3"/>
  <c r="AZ1210" i="3"/>
  <c r="AR1210" i="3"/>
  <c r="AZ1202" i="3"/>
  <c r="AR1202" i="3"/>
  <c r="AY1194" i="3"/>
  <c r="AY1186" i="3"/>
  <c r="AX1178" i="3"/>
  <c r="AW1170" i="3"/>
  <c r="AV1162" i="3"/>
  <c r="AU1154" i="3"/>
  <c r="AT1146" i="3"/>
  <c r="BA1138" i="3"/>
  <c r="AS1138" i="3"/>
  <c r="AZ1130" i="3"/>
  <c r="AR1130" i="3"/>
  <c r="AY1122" i="3"/>
  <c r="AX1114" i="3"/>
  <c r="AW1106" i="3"/>
  <c r="AV1098" i="3"/>
  <c r="AU1090" i="3"/>
  <c r="AT1082" i="3"/>
  <c r="AX1074" i="3"/>
  <c r="AY1066" i="3"/>
  <c r="AW1058" i="3"/>
  <c r="AV1050" i="3"/>
  <c r="AU1042" i="3"/>
  <c r="BA1034" i="3"/>
  <c r="AT1026" i="3"/>
  <c r="AT1018" i="3"/>
  <c r="AW914" i="3"/>
  <c r="AX874" i="3"/>
  <c r="AY858" i="3"/>
  <c r="AZ706" i="3"/>
  <c r="AZ490" i="3"/>
  <c r="AS418" i="3"/>
  <c r="BA1146" i="3"/>
  <c r="AZ1138" i="3"/>
  <c r="BA1082" i="3"/>
  <c r="AZ1034" i="3"/>
  <c r="AS1026" i="3"/>
  <c r="AR1018" i="3"/>
  <c r="AZ978" i="3"/>
  <c r="AT954" i="3"/>
  <c r="BA818" i="3"/>
  <c r="AX802" i="3"/>
  <c r="AW794" i="3"/>
  <c r="AT786" i="3"/>
  <c r="AY754" i="3"/>
  <c r="AY746" i="3"/>
  <c r="AS714" i="3"/>
  <c r="AY642" i="3"/>
  <c r="AZ562" i="3"/>
  <c r="BA434" i="3"/>
  <c r="AW402" i="3"/>
  <c r="AS298" i="3"/>
  <c r="AU3002" i="3"/>
  <c r="AS1265" i="3"/>
  <c r="BA1265" i="3"/>
  <c r="AS1257" i="3"/>
  <c r="BA1257" i="3"/>
  <c r="AS1249" i="3"/>
  <c r="BA1249" i="3"/>
  <c r="AS1241" i="3"/>
  <c r="BA1241" i="3"/>
  <c r="AS1233" i="3"/>
  <c r="BA1233" i="3"/>
  <c r="AS1225" i="3"/>
  <c r="BA1225" i="3"/>
  <c r="AS1217" i="3"/>
  <c r="BA1217" i="3"/>
  <c r="AS1209" i="3"/>
  <c r="BA1209" i="3"/>
  <c r="AV1209" i="3"/>
  <c r="AW1209" i="3"/>
  <c r="AY1209" i="3"/>
  <c r="AR1209" i="3"/>
  <c r="AZ1209" i="3"/>
  <c r="AS1201" i="3"/>
  <c r="BA1201" i="3"/>
  <c r="AV1201" i="3"/>
  <c r="AW1201" i="3"/>
  <c r="AY1201" i="3"/>
  <c r="AR1201" i="3"/>
  <c r="AZ1201" i="3"/>
  <c r="AS1193" i="3"/>
  <c r="BA1193" i="3"/>
  <c r="AV1193" i="3"/>
  <c r="AW1193" i="3"/>
  <c r="AY1193" i="3"/>
  <c r="AR1193" i="3"/>
  <c r="AZ1193" i="3"/>
  <c r="AT1185" i="3"/>
  <c r="AR1185" i="3"/>
  <c r="BA1185" i="3"/>
  <c r="AU1185" i="3"/>
  <c r="AV1185" i="3"/>
  <c r="AW1185" i="3"/>
  <c r="AY1185" i="3"/>
  <c r="AZ1185" i="3"/>
  <c r="AT1177" i="3"/>
  <c r="AZ1177" i="3"/>
  <c r="AS1177" i="3"/>
  <c r="AU1177" i="3"/>
  <c r="AV1177" i="3"/>
  <c r="AX1177" i="3"/>
  <c r="AY1177" i="3"/>
  <c r="AT1169" i="3"/>
  <c r="AY1169" i="3"/>
  <c r="AR1169" i="3"/>
  <c r="BA1169" i="3"/>
  <c r="AS1169" i="3"/>
  <c r="AU1169" i="3"/>
  <c r="AW1169" i="3"/>
  <c r="AX1169" i="3"/>
  <c r="AT1161" i="3"/>
  <c r="AX1161" i="3"/>
  <c r="AZ1161" i="3"/>
  <c r="AR1161" i="3"/>
  <c r="BA1161" i="3"/>
  <c r="AS1161" i="3"/>
  <c r="AV1161" i="3"/>
  <c r="AW1161" i="3"/>
  <c r="AT1153" i="3"/>
  <c r="AW1153" i="3"/>
  <c r="AY1153" i="3"/>
  <c r="AZ1153" i="3"/>
  <c r="AR1153" i="3"/>
  <c r="BA1153" i="3"/>
  <c r="AU1153" i="3"/>
  <c r="AV1153" i="3"/>
  <c r="AV1145" i="3"/>
  <c r="AX1145" i="3"/>
  <c r="AY1145" i="3"/>
  <c r="AZ1145" i="3"/>
  <c r="AR1145" i="3"/>
  <c r="AS1145" i="3"/>
  <c r="AR1137" i="3"/>
  <c r="AV1137" i="3"/>
  <c r="AW1137" i="3"/>
  <c r="AX1137" i="3"/>
  <c r="AZ1137" i="3"/>
  <c r="BA1137" i="3"/>
  <c r="AZ1129" i="3"/>
  <c r="AR1129" i="3"/>
  <c r="AS1129" i="3"/>
  <c r="AV1129" i="3"/>
  <c r="AX1129" i="3"/>
  <c r="AY1129" i="3"/>
  <c r="AX1121" i="3"/>
  <c r="AZ1121" i="3"/>
  <c r="BA1121" i="3"/>
  <c r="AR1121" i="3"/>
  <c r="AV1121" i="3"/>
  <c r="AW1121" i="3"/>
  <c r="AV1113" i="3"/>
  <c r="AX1113" i="3"/>
  <c r="AY1113" i="3"/>
  <c r="AZ1113" i="3"/>
  <c r="AR1113" i="3"/>
  <c r="AS1113" i="3"/>
  <c r="AR1105" i="3"/>
  <c r="AV1105" i="3"/>
  <c r="AW1105" i="3"/>
  <c r="AX1105" i="3"/>
  <c r="AZ1105" i="3"/>
  <c r="BA1105" i="3"/>
  <c r="AZ1097" i="3"/>
  <c r="AR1097" i="3"/>
  <c r="AS1097" i="3"/>
  <c r="AV1097" i="3"/>
  <c r="AX1097" i="3"/>
  <c r="AY1097" i="3"/>
  <c r="AX1089" i="3"/>
  <c r="AZ1089" i="3"/>
  <c r="BA1089" i="3"/>
  <c r="AR1089" i="3"/>
  <c r="AS1089" i="3"/>
  <c r="AV1089" i="3"/>
  <c r="AW1089" i="3"/>
  <c r="AV1081" i="3"/>
  <c r="AX1081" i="3"/>
  <c r="AY1081" i="3"/>
  <c r="AZ1081" i="3"/>
  <c r="BA1081" i="3"/>
  <c r="AR1081" i="3"/>
  <c r="AS1081" i="3"/>
  <c r="AX1073" i="3"/>
  <c r="AT1073" i="3"/>
  <c r="AU1073" i="3"/>
  <c r="AV1073" i="3"/>
  <c r="AW1073" i="3"/>
  <c r="AX1065" i="3"/>
  <c r="AZ1065" i="3"/>
  <c r="BA1065" i="3"/>
  <c r="AR1065" i="3"/>
  <c r="AS1065" i="3"/>
  <c r="AV1065" i="3"/>
  <c r="AW1065" i="3"/>
  <c r="AV1057" i="3"/>
  <c r="AX1057" i="3"/>
  <c r="AY1057" i="3"/>
  <c r="AZ1057" i="3"/>
  <c r="BA1057" i="3"/>
  <c r="AR1057" i="3"/>
  <c r="AS1057" i="3"/>
  <c r="AR1049" i="3"/>
  <c r="AV1049" i="3"/>
  <c r="AW1049" i="3"/>
  <c r="AX1049" i="3"/>
  <c r="AY1049" i="3"/>
  <c r="AZ1049" i="3"/>
  <c r="BA1049" i="3"/>
  <c r="BA1041" i="3"/>
  <c r="AS1041" i="3"/>
  <c r="AT1041" i="3"/>
  <c r="AW1041" i="3"/>
  <c r="AX1041" i="3"/>
  <c r="AY1041" i="3"/>
  <c r="AZ1041" i="3"/>
  <c r="AY1033" i="3"/>
  <c r="BA1033" i="3"/>
  <c r="AR1033" i="3"/>
  <c r="AS1033" i="3"/>
  <c r="AT1033" i="3"/>
  <c r="AW1033" i="3"/>
  <c r="AX1033" i="3"/>
  <c r="AV1025" i="3"/>
  <c r="AX1025" i="3"/>
  <c r="AY1025" i="3"/>
  <c r="AZ1025" i="3"/>
  <c r="BA1025" i="3"/>
  <c r="AR1025" i="3"/>
  <c r="AS1025" i="3"/>
  <c r="AZ1017" i="3"/>
  <c r="AR1017" i="3"/>
  <c r="AU1017" i="3"/>
  <c r="AV1017" i="3"/>
  <c r="AW1017" i="3"/>
  <c r="AX1017" i="3"/>
  <c r="AY1017" i="3"/>
  <c r="AU1009" i="3"/>
  <c r="AW1009" i="3"/>
  <c r="AX1009" i="3"/>
  <c r="AY1009" i="3"/>
  <c r="AT1009" i="3"/>
  <c r="AX1001" i="3"/>
  <c r="AS1001" i="3"/>
  <c r="AT1001" i="3"/>
  <c r="AU1001" i="3"/>
  <c r="AV1001" i="3"/>
  <c r="AW1001" i="3"/>
  <c r="AT993" i="3"/>
  <c r="AV993" i="3"/>
  <c r="AW993" i="3"/>
  <c r="AZ993" i="3"/>
  <c r="BA993" i="3"/>
  <c r="AR993" i="3"/>
  <c r="AS993" i="3"/>
  <c r="AR985" i="3"/>
  <c r="AT985" i="3"/>
  <c r="AU985" i="3"/>
  <c r="AV985" i="3"/>
  <c r="AW985" i="3"/>
  <c r="AZ985" i="3"/>
  <c r="BA985" i="3"/>
  <c r="AY977" i="3"/>
  <c r="BA977" i="3"/>
  <c r="AR977" i="3"/>
  <c r="AS977" i="3"/>
  <c r="AT977" i="3"/>
  <c r="AU977" i="3"/>
  <c r="AV977" i="3"/>
  <c r="AW969" i="3"/>
  <c r="AS969" i="3"/>
  <c r="AT969" i="3"/>
  <c r="AU969" i="3"/>
  <c r="BA961" i="3"/>
  <c r="AS961" i="3"/>
  <c r="AT961" i="3"/>
  <c r="AW961" i="3"/>
  <c r="AX961" i="3"/>
  <c r="AY961" i="3"/>
  <c r="AZ961" i="3"/>
  <c r="AT953" i="3"/>
  <c r="AV953" i="3"/>
  <c r="AW953" i="3"/>
  <c r="AX953" i="3"/>
  <c r="AY953" i="3"/>
  <c r="AT945" i="3"/>
  <c r="AY945" i="3"/>
  <c r="AZ945" i="3"/>
  <c r="AR945" i="3"/>
  <c r="AV937" i="3"/>
  <c r="AX937" i="3"/>
  <c r="AY937" i="3"/>
  <c r="AT937" i="3"/>
  <c r="AU937" i="3"/>
  <c r="AY929" i="3"/>
  <c r="BA929" i="3"/>
  <c r="AR929" i="3"/>
  <c r="AS929" i="3"/>
  <c r="AT929" i="3"/>
  <c r="AU929" i="3"/>
  <c r="AV929" i="3"/>
  <c r="AX921" i="3"/>
  <c r="AR921" i="3"/>
  <c r="AT921" i="3"/>
  <c r="AV921" i="3"/>
  <c r="BA913" i="3"/>
  <c r="AS913" i="3"/>
  <c r="AV913" i="3"/>
  <c r="AW913" i="3"/>
  <c r="AX913" i="3"/>
  <c r="AY913" i="3"/>
  <c r="AZ913" i="3"/>
  <c r="AS905" i="3"/>
  <c r="AV905" i="3"/>
  <c r="AW905" i="3"/>
  <c r="AX905" i="3"/>
  <c r="BA905" i="3"/>
  <c r="AR905" i="3"/>
  <c r="AR897" i="3"/>
  <c r="AV897" i="3"/>
  <c r="AT889" i="3"/>
  <c r="AZ889" i="3"/>
  <c r="BA889" i="3"/>
  <c r="AR889" i="3"/>
  <c r="AS889" i="3"/>
  <c r="AU881" i="3"/>
  <c r="AV881" i="3"/>
  <c r="AY881" i="3"/>
  <c r="AZ881" i="3"/>
  <c r="BA865" i="3"/>
  <c r="AS865" i="3"/>
  <c r="AT865" i="3"/>
  <c r="AX865" i="3"/>
  <c r="AT857" i="3"/>
  <c r="AV857" i="3"/>
  <c r="AW857" i="3"/>
  <c r="AX857" i="3"/>
  <c r="BA857" i="3"/>
  <c r="AR849" i="3"/>
  <c r="AY849" i="3"/>
  <c r="BA849" i="3"/>
  <c r="AT841" i="3"/>
  <c r="AU841" i="3"/>
  <c r="AW841" i="3"/>
  <c r="AX841" i="3"/>
  <c r="AR833" i="3"/>
  <c r="AY833" i="3"/>
  <c r="AZ833" i="3"/>
  <c r="BA833" i="3"/>
  <c r="AS825" i="3"/>
  <c r="AZ825" i="3"/>
  <c r="AW817" i="3"/>
  <c r="AZ817" i="3"/>
  <c r="AR817" i="3"/>
  <c r="AS817" i="3"/>
  <c r="AT817" i="3"/>
  <c r="AT809" i="3"/>
  <c r="AU809" i="3"/>
  <c r="AV809" i="3"/>
  <c r="AT793" i="3"/>
  <c r="AV793" i="3"/>
  <c r="AY793" i="3"/>
  <c r="AZ793" i="3"/>
  <c r="AR793" i="3"/>
  <c r="AY785" i="3"/>
  <c r="AS785" i="3"/>
  <c r="AX785" i="3"/>
  <c r="AT769" i="3"/>
  <c r="AV769" i="3"/>
  <c r="AR769" i="3"/>
  <c r="AZ761" i="3"/>
  <c r="AV761" i="3"/>
  <c r="AY761" i="3"/>
  <c r="AT745" i="3"/>
  <c r="AR745" i="3"/>
  <c r="AY737" i="3"/>
  <c r="AT737" i="3"/>
  <c r="AU737" i="3"/>
  <c r="AX737" i="3"/>
  <c r="AU721" i="3"/>
  <c r="AX721" i="3"/>
  <c r="AY721" i="3"/>
  <c r="AR721" i="3"/>
  <c r="AT713" i="3"/>
  <c r="AU713" i="3"/>
  <c r="AV713" i="3"/>
  <c r="AU697" i="3"/>
  <c r="AX697" i="3"/>
  <c r="AY697" i="3"/>
  <c r="BA697" i="3"/>
  <c r="AW689" i="3"/>
  <c r="AT689" i="3"/>
  <c r="AV689" i="3"/>
  <c r="AU673" i="3"/>
  <c r="AT673" i="3"/>
  <c r="AV673" i="3"/>
  <c r="AT665" i="3"/>
  <c r="AS665" i="3"/>
  <c r="AW657" i="3"/>
  <c r="AT657" i="3"/>
  <c r="AR649" i="3"/>
  <c r="AZ649" i="3"/>
  <c r="AY641" i="3"/>
  <c r="AW641" i="3"/>
  <c r="AZ641" i="3"/>
  <c r="BA625" i="3"/>
  <c r="AR625" i="3"/>
  <c r="AV601" i="3"/>
  <c r="AX601" i="3"/>
  <c r="BA601" i="3"/>
  <c r="AZ593" i="3"/>
  <c r="BA593" i="3"/>
  <c r="AV569" i="3"/>
  <c r="AX569" i="3"/>
  <c r="AZ569" i="3"/>
  <c r="AS553" i="3"/>
  <c r="AT553" i="3"/>
  <c r="AU545" i="3"/>
  <c r="AV545" i="3"/>
  <c r="BA545" i="3"/>
  <c r="AS505" i="3"/>
  <c r="AR505" i="3"/>
  <c r="BA497" i="3"/>
  <c r="AV497" i="3"/>
  <c r="AY473" i="3"/>
  <c r="AZ473" i="3"/>
  <c r="AZ433" i="3"/>
  <c r="AY433" i="3"/>
  <c r="AR425" i="3"/>
  <c r="AS425" i="3"/>
  <c r="AT425" i="3"/>
  <c r="AT385" i="3"/>
  <c r="AZ385" i="3"/>
  <c r="AR193" i="3"/>
  <c r="AZ193" i="3"/>
  <c r="AW97" i="3"/>
  <c r="AV97" i="3"/>
  <c r="AR1257" i="3"/>
  <c r="AY1249" i="3"/>
  <c r="AW1241" i="3"/>
  <c r="AU1233" i="3"/>
  <c r="AR1225" i="3"/>
  <c r="AY1217" i="3"/>
  <c r="AT1201" i="3"/>
  <c r="AU1193" i="3"/>
  <c r="AX1185" i="3"/>
  <c r="BA1177" i="3"/>
  <c r="AW1081" i="3"/>
  <c r="AU993" i="3"/>
  <c r="AU953" i="3"/>
  <c r="AT905" i="3"/>
  <c r="AU793" i="3"/>
  <c r="AR713" i="3"/>
  <c r="AV665" i="3"/>
  <c r="AX497" i="3"/>
  <c r="AY1225" i="3"/>
  <c r="AW1217" i="3"/>
  <c r="AR1177" i="3"/>
  <c r="AV1169" i="3"/>
  <c r="AU1161" i="3"/>
  <c r="AS1153" i="3"/>
  <c r="AW1145" i="3"/>
  <c r="AS1137" i="3"/>
  <c r="AW1129" i="3"/>
  <c r="AS1121" i="3"/>
  <c r="AW1113" i="3"/>
  <c r="AS1105" i="3"/>
  <c r="AW1097" i="3"/>
  <c r="BA1001" i="3"/>
  <c r="AX889" i="3"/>
  <c r="AU769" i="3"/>
  <c r="BA2923" i="3"/>
  <c r="AZ2923" i="3"/>
  <c r="AR2865" i="3"/>
  <c r="AS2865" i="3"/>
  <c r="AR3017" i="3"/>
  <c r="AS3017" i="3"/>
  <c r="AZ1033" i="3"/>
  <c r="AX817" i="3"/>
  <c r="BA737" i="3"/>
  <c r="AW1225" i="3"/>
  <c r="AU1217" i="3"/>
  <c r="AS1049" i="3"/>
  <c r="AR1041" i="3"/>
  <c r="AV1009" i="3"/>
  <c r="AR961" i="3"/>
  <c r="AR913" i="3"/>
  <c r="AR809" i="3"/>
  <c r="AR2845" i="3"/>
  <c r="AV2845" i="3"/>
  <c r="BA2845" i="3"/>
  <c r="AZ2845" i="3"/>
  <c r="AT2856" i="3"/>
  <c r="BA2856" i="3"/>
  <c r="Z1139" i="13"/>
  <c r="AE1139" i="13"/>
  <c r="AD1139" i="13"/>
  <c r="AR2918" i="3"/>
  <c r="BA2918" i="3"/>
  <c r="AT2894" i="3"/>
  <c r="AZ2894" i="3"/>
  <c r="AS2907" i="3"/>
  <c r="BA2907" i="3"/>
  <c r="AO362" i="4"/>
  <c r="AX362" i="4"/>
  <c r="AO370" i="4"/>
  <c r="AW370" i="4"/>
  <c r="AX370" i="4"/>
  <c r="Y1116" i="13"/>
  <c r="AC1116" i="13"/>
  <c r="AB1116" i="13"/>
  <c r="AD1116" i="13"/>
  <c r="AE1116" i="13"/>
  <c r="AA1116" i="13"/>
  <c r="Z1116" i="13"/>
  <c r="X1116" i="13"/>
  <c r="W1116" i="13"/>
  <c r="AR2992" i="3"/>
  <c r="AW2992" i="3"/>
  <c r="AZ2992" i="3"/>
  <c r="AY2992" i="3"/>
  <c r="AU2992" i="3"/>
  <c r="AT2992" i="3"/>
  <c r="AS2992" i="3"/>
  <c r="AX2992" i="3"/>
  <c r="BA2992" i="3"/>
  <c r="AR2928" i="3"/>
  <c r="AY2928" i="3"/>
  <c r="AU2928" i="3"/>
  <c r="AT2928" i="3"/>
  <c r="AS2928" i="3"/>
  <c r="AW2928" i="3"/>
  <c r="BA2928" i="3"/>
  <c r="AV2928" i="3"/>
  <c r="E2744" i="3"/>
  <c r="E2743" i="3"/>
  <c r="E1109" i="13"/>
  <c r="E871" i="13"/>
  <c r="E1078" i="13"/>
  <c r="E2741" i="3"/>
  <c r="AV339" i="4"/>
  <c r="AU339" i="4"/>
  <c r="AS339" i="4"/>
  <c r="AW339" i="4"/>
  <c r="AX339" i="4"/>
  <c r="AR339" i="4"/>
  <c r="AQ339" i="4"/>
  <c r="AP339" i="4"/>
  <c r="AO339" i="4"/>
  <c r="AR2927" i="3"/>
  <c r="AW2927" i="3"/>
  <c r="AU2927" i="3"/>
  <c r="AT2927" i="3"/>
  <c r="AS2927" i="3"/>
  <c r="BA2927" i="3"/>
  <c r="AY2927" i="3"/>
  <c r="AX2927" i="3"/>
  <c r="AZ2927" i="3"/>
  <c r="BA2964" i="3"/>
  <c r="AZ2964" i="3"/>
  <c r="AR2837" i="3"/>
  <c r="AU2837" i="3"/>
  <c r="AR1249" i="3"/>
  <c r="AY1241" i="3"/>
  <c r="AW1233" i="3"/>
  <c r="AU1225" i="3"/>
  <c r="AR1217" i="3"/>
  <c r="AU1209" i="3"/>
  <c r="AX1201" i="3"/>
  <c r="AY1065" i="3"/>
  <c r="BA785" i="3"/>
  <c r="AZ657" i="3"/>
  <c r="BA449" i="3"/>
  <c r="AW2977" i="3"/>
  <c r="AS2823" i="3"/>
  <c r="BA2823" i="3"/>
  <c r="AZ2810" i="3"/>
  <c r="AY2977" i="3"/>
  <c r="AT2823" i="3"/>
  <c r="AS2810" i="3"/>
  <c r="BA2810" i="3"/>
  <c r="AZ2977" i="3"/>
  <c r="AU2823" i="3"/>
  <c r="AT2810" i="3"/>
  <c r="AV2831" i="3"/>
  <c r="AY673" i="3"/>
  <c r="BA641" i="3"/>
  <c r="AT1145" i="3"/>
  <c r="AU1145" i="3"/>
  <c r="AT1137" i="3"/>
  <c r="AU1137" i="3"/>
  <c r="AT1129" i="3"/>
  <c r="AU1129" i="3"/>
  <c r="AT1121" i="3"/>
  <c r="AU1121" i="3"/>
  <c r="AT1113" i="3"/>
  <c r="AU1113" i="3"/>
  <c r="AT1105" i="3"/>
  <c r="AU1105" i="3"/>
  <c r="AT1097" i="3"/>
  <c r="AU1097" i="3"/>
  <c r="AT1089" i="3"/>
  <c r="AU1089" i="3"/>
  <c r="AT1081" i="3"/>
  <c r="AU1081" i="3"/>
  <c r="AR1073" i="3"/>
  <c r="AZ1073" i="3"/>
  <c r="AS1073" i="3"/>
  <c r="BA1073" i="3"/>
  <c r="AT1065" i="3"/>
  <c r="AU1065" i="3"/>
  <c r="AT1057" i="3"/>
  <c r="AU1057" i="3"/>
  <c r="AT1049" i="3"/>
  <c r="AU1049" i="3"/>
  <c r="AU1041" i="3"/>
  <c r="AV1041" i="3"/>
  <c r="AU1033" i="3"/>
  <c r="AV1033" i="3"/>
  <c r="AT1025" i="3"/>
  <c r="AU1025" i="3"/>
  <c r="AS1017" i="3"/>
  <c r="BA1017" i="3"/>
  <c r="AT1017" i="3"/>
  <c r="AR1009" i="3"/>
  <c r="AZ1009" i="3"/>
  <c r="AS1009" i="3"/>
  <c r="BA1009" i="3"/>
  <c r="AY1001" i="3"/>
  <c r="AR1001" i="3"/>
  <c r="AZ1001" i="3"/>
  <c r="AX993" i="3"/>
  <c r="AY993" i="3"/>
  <c r="AX985" i="3"/>
  <c r="AY985" i="3"/>
  <c r="AW977" i="3"/>
  <c r="AX977" i="3"/>
  <c r="AR969" i="3"/>
  <c r="AY969" i="3"/>
  <c r="BA969" i="3"/>
  <c r="AU961" i="3"/>
  <c r="AV961" i="3"/>
  <c r="AR953" i="3"/>
  <c r="AZ953" i="3"/>
  <c r="AS953" i="3"/>
  <c r="BA953" i="3"/>
  <c r="AS945" i="3"/>
  <c r="AV945" i="3"/>
  <c r="AX945" i="3"/>
  <c r="AR937" i="3"/>
  <c r="AZ937" i="3"/>
  <c r="AS937" i="3"/>
  <c r="BA937" i="3"/>
  <c r="AW929" i="3"/>
  <c r="AX929" i="3"/>
  <c r="AS921" i="3"/>
  <c r="AZ921" i="3"/>
  <c r="AT913" i="3"/>
  <c r="AU913" i="3"/>
  <c r="AU905" i="3"/>
  <c r="AY905" i="3"/>
  <c r="AZ905" i="3"/>
  <c r="AU897" i="3"/>
  <c r="AT897" i="3"/>
  <c r="AX897" i="3"/>
  <c r="AZ897" i="3"/>
  <c r="AY889" i="3"/>
  <c r="AV889" i="3"/>
  <c r="AU889" i="3"/>
  <c r="AW889" i="3"/>
  <c r="AS881" i="3"/>
  <c r="BA881" i="3"/>
  <c r="AW881" i="3"/>
  <c r="AX881" i="3"/>
  <c r="AR881" i="3"/>
  <c r="AT881" i="3"/>
  <c r="AU873" i="3"/>
  <c r="AT873" i="3"/>
  <c r="AV873" i="3"/>
  <c r="AX873" i="3"/>
  <c r="AZ873" i="3"/>
  <c r="AU865" i="3"/>
  <c r="AY865" i="3"/>
  <c r="AR865" i="3"/>
  <c r="AZ865" i="3"/>
  <c r="AV865" i="3"/>
  <c r="AW865" i="3"/>
  <c r="AU857" i="3"/>
  <c r="AY857" i="3"/>
  <c r="AR857" i="3"/>
  <c r="AZ857" i="3"/>
  <c r="AT849" i="3"/>
  <c r="AU849" i="3"/>
  <c r="AW849" i="3"/>
  <c r="AV841" i="3"/>
  <c r="AR841" i="3"/>
  <c r="AZ841" i="3"/>
  <c r="AS841" i="3"/>
  <c r="BA841" i="3"/>
  <c r="AY841" i="3"/>
  <c r="AX833" i="3"/>
  <c r="AT833" i="3"/>
  <c r="AU833" i="3"/>
  <c r="AV833" i="3"/>
  <c r="AW833" i="3"/>
  <c r="AT825" i="3"/>
  <c r="AW825" i="3"/>
  <c r="AY817" i="3"/>
  <c r="AU817" i="3"/>
  <c r="AV817" i="3"/>
  <c r="BA817" i="3"/>
  <c r="AS809" i="3"/>
  <c r="BA809" i="3"/>
  <c r="AW809" i="3"/>
  <c r="AX809" i="3"/>
  <c r="AY809" i="3"/>
  <c r="AZ809" i="3"/>
  <c r="AW801" i="3"/>
  <c r="AV801" i="3"/>
  <c r="AS793" i="3"/>
  <c r="BA793" i="3"/>
  <c r="AW793" i="3"/>
  <c r="AX793" i="3"/>
  <c r="AR785" i="3"/>
  <c r="AZ785" i="3"/>
  <c r="AV785" i="3"/>
  <c r="AW785" i="3"/>
  <c r="AT785" i="3"/>
  <c r="AU785" i="3"/>
  <c r="AS777" i="3"/>
  <c r="AR777" i="3"/>
  <c r="AV777" i="3"/>
  <c r="AY777" i="3"/>
  <c r="AS769" i="3"/>
  <c r="BA769" i="3"/>
  <c r="AW769" i="3"/>
  <c r="AX769" i="3"/>
  <c r="AY769" i="3"/>
  <c r="AZ769" i="3"/>
  <c r="AS761" i="3"/>
  <c r="BA761" i="3"/>
  <c r="AW761" i="3"/>
  <c r="AX761" i="3"/>
  <c r="AR761" i="3"/>
  <c r="AT761" i="3"/>
  <c r="AU761" i="3"/>
  <c r="AV753" i="3"/>
  <c r="AT753" i="3"/>
  <c r="AS745" i="3"/>
  <c r="BA745" i="3"/>
  <c r="AW745" i="3"/>
  <c r="AX745" i="3"/>
  <c r="AV745" i="3"/>
  <c r="AY745" i="3"/>
  <c r="AZ745" i="3"/>
  <c r="AR737" i="3"/>
  <c r="AZ737" i="3"/>
  <c r="AV737" i="3"/>
  <c r="AW737" i="3"/>
  <c r="AS737" i="3"/>
  <c r="AZ729" i="3"/>
  <c r="AW729" i="3"/>
  <c r="AW721" i="3"/>
  <c r="AS721" i="3"/>
  <c r="BA721" i="3"/>
  <c r="AT721" i="3"/>
  <c r="AZ721" i="3"/>
  <c r="AS713" i="3"/>
  <c r="BA713" i="3"/>
  <c r="AW713" i="3"/>
  <c r="AX713" i="3"/>
  <c r="AY713" i="3"/>
  <c r="AZ713" i="3"/>
  <c r="AR705" i="3"/>
  <c r="AU705" i="3"/>
  <c r="AR697" i="3"/>
  <c r="AZ697" i="3"/>
  <c r="AV697" i="3"/>
  <c r="AW697" i="3"/>
  <c r="AS697" i="3"/>
  <c r="AT697" i="3"/>
  <c r="AU689" i="3"/>
  <c r="AY689" i="3"/>
  <c r="AR689" i="3"/>
  <c r="AZ689" i="3"/>
  <c r="BA689" i="3"/>
  <c r="AS689" i="3"/>
  <c r="AX681" i="3"/>
  <c r="AU681" i="3"/>
  <c r="BA681" i="3"/>
  <c r="AS673" i="3"/>
  <c r="BA673" i="3"/>
  <c r="AW673" i="3"/>
  <c r="AX673" i="3"/>
  <c r="AZ673" i="3"/>
  <c r="AR673" i="3"/>
  <c r="AU665" i="3"/>
  <c r="AY665" i="3"/>
  <c r="AR665" i="3"/>
  <c r="AZ665" i="3"/>
  <c r="AW665" i="3"/>
  <c r="AX665" i="3"/>
  <c r="BA665" i="3"/>
  <c r="AW649" i="3"/>
  <c r="AS649" i="3"/>
  <c r="BA649" i="3"/>
  <c r="AT649" i="3"/>
  <c r="AU649" i="3"/>
  <c r="AV649" i="3"/>
  <c r="AX649" i="3"/>
  <c r="AY649" i="3"/>
  <c r="AX641" i="3"/>
  <c r="AT641" i="3"/>
  <c r="AU641" i="3"/>
  <c r="AR641" i="3"/>
  <c r="AS641" i="3"/>
  <c r="AV641" i="3"/>
  <c r="AS633" i="3"/>
  <c r="AV633" i="3"/>
  <c r="AV625" i="3"/>
  <c r="AX625" i="3"/>
  <c r="AS625" i="3"/>
  <c r="AT625" i="3"/>
  <c r="AU625" i="3"/>
  <c r="AW625" i="3"/>
  <c r="AY625" i="3"/>
  <c r="AZ625" i="3"/>
  <c r="AU617" i="3"/>
  <c r="AR617" i="3"/>
  <c r="BA617" i="3"/>
  <c r="AW617" i="3"/>
  <c r="AX617" i="3"/>
  <c r="AS617" i="3"/>
  <c r="AT617" i="3"/>
  <c r="AV617" i="3"/>
  <c r="AY617" i="3"/>
  <c r="AW601" i="3"/>
  <c r="AT601" i="3"/>
  <c r="AY601" i="3"/>
  <c r="AZ601" i="3"/>
  <c r="AR601" i="3"/>
  <c r="AS601" i="3"/>
  <c r="AU601" i="3"/>
  <c r="AY593" i="3"/>
  <c r="AS593" i="3"/>
  <c r="AU593" i="3"/>
  <c r="AR593" i="3"/>
  <c r="AW593" i="3"/>
  <c r="AX593" i="3"/>
  <c r="AX577" i="3"/>
  <c r="AR577" i="3"/>
  <c r="AS577" i="3"/>
  <c r="AV577" i="3"/>
  <c r="AY577" i="3"/>
  <c r="AZ577" i="3"/>
  <c r="BA577" i="3"/>
  <c r="AU569" i="3"/>
  <c r="BA569" i="3"/>
  <c r="AR569" i="3"/>
  <c r="AS569" i="3"/>
  <c r="AT569" i="3"/>
  <c r="AU553" i="3"/>
  <c r="BA553" i="3"/>
  <c r="AR553" i="3"/>
  <c r="AV553" i="3"/>
  <c r="AX553" i="3"/>
  <c r="AZ553" i="3"/>
  <c r="AS545" i="3"/>
  <c r="AW545" i="3"/>
  <c r="AY545" i="3"/>
  <c r="AT545" i="3"/>
  <c r="AS529" i="3"/>
  <c r="AW529" i="3"/>
  <c r="AY529" i="3"/>
  <c r="AT529" i="3"/>
  <c r="AU529" i="3"/>
  <c r="AV529" i="3"/>
  <c r="AV521" i="3"/>
  <c r="AR521" i="3"/>
  <c r="AS521" i="3"/>
  <c r="AT521" i="3"/>
  <c r="AU521" i="3"/>
  <c r="AX521" i="3"/>
  <c r="AZ521" i="3"/>
  <c r="AU505" i="3"/>
  <c r="AZ505" i="3"/>
  <c r="BA505" i="3"/>
  <c r="AW505" i="3"/>
  <c r="AX505" i="3"/>
  <c r="AY505" i="3"/>
  <c r="AS497" i="3"/>
  <c r="AY497" i="3"/>
  <c r="AZ497" i="3"/>
  <c r="AR497" i="3"/>
  <c r="AT497" i="3"/>
  <c r="AZ481" i="3"/>
  <c r="AT481" i="3"/>
  <c r="AU481" i="3"/>
  <c r="AR481" i="3"/>
  <c r="AS481" i="3"/>
  <c r="AV481" i="3"/>
  <c r="AX481" i="3"/>
  <c r="AW473" i="3"/>
  <c r="AX473" i="3"/>
  <c r="AR473" i="3"/>
  <c r="AT473" i="3"/>
  <c r="AV473" i="3"/>
  <c r="AW457" i="3"/>
  <c r="AS457" i="3"/>
  <c r="AU457" i="3"/>
  <c r="AV457" i="3"/>
  <c r="AX457" i="3"/>
  <c r="AY457" i="3"/>
  <c r="BA457" i="3"/>
  <c r="AW449" i="3"/>
  <c r="AR449" i="3"/>
  <c r="AS449" i="3"/>
  <c r="AT449" i="3"/>
  <c r="AU449" i="3"/>
  <c r="AY449" i="3"/>
  <c r="BA441" i="3"/>
  <c r="AR441" i="3"/>
  <c r="AW433" i="3"/>
  <c r="AX433" i="3"/>
  <c r="AR433" i="3"/>
  <c r="AT433" i="3"/>
  <c r="AV433" i="3"/>
  <c r="BA425" i="3"/>
  <c r="AV425" i="3"/>
  <c r="AX425" i="3"/>
  <c r="AY425" i="3"/>
  <c r="AZ425" i="3"/>
  <c r="AS409" i="3"/>
  <c r="AT409" i="3"/>
  <c r="AX409" i="3"/>
  <c r="AZ409" i="3"/>
  <c r="AU409" i="3"/>
  <c r="AV409" i="3"/>
  <c r="BA409" i="3"/>
  <c r="AU401" i="3"/>
  <c r="AW401" i="3"/>
  <c r="AZ401" i="3"/>
  <c r="AR401" i="3"/>
  <c r="AX401" i="3"/>
  <c r="AY401" i="3"/>
  <c r="AX385" i="3"/>
  <c r="AY385" i="3"/>
  <c r="AR385" i="3"/>
  <c r="AR377" i="3"/>
  <c r="AY377" i="3"/>
  <c r="AZ377" i="3"/>
  <c r="AT377" i="3"/>
  <c r="AX377" i="3"/>
  <c r="AR361" i="3"/>
  <c r="AS361" i="3"/>
  <c r="AT361" i="3"/>
  <c r="AU361" i="3"/>
  <c r="AY353" i="3"/>
  <c r="AZ353" i="3"/>
  <c r="AR353" i="3"/>
  <c r="BA353" i="3"/>
  <c r="AU337" i="3"/>
  <c r="AV337" i="3"/>
  <c r="AX337" i="3"/>
  <c r="AZ337" i="3"/>
  <c r="AW329" i="3"/>
  <c r="AX329" i="3"/>
  <c r="AZ329" i="3"/>
  <c r="AW305" i="3"/>
  <c r="AZ305" i="3"/>
  <c r="AV305" i="3"/>
  <c r="BA305" i="3"/>
  <c r="AZ289" i="3"/>
  <c r="AS289" i="3"/>
  <c r="AW289" i="3"/>
  <c r="AX289" i="3"/>
  <c r="AT281" i="3"/>
  <c r="BA281" i="3"/>
  <c r="AR281" i="3"/>
  <c r="AU265" i="3"/>
  <c r="AV265" i="3"/>
  <c r="AS265" i="3"/>
  <c r="AX265" i="3"/>
  <c r="AY257" i="3"/>
  <c r="BA257" i="3"/>
  <c r="AY241" i="3"/>
  <c r="AZ241" i="3"/>
  <c r="AR241" i="3"/>
  <c r="AV233" i="3"/>
  <c r="AY233" i="3"/>
  <c r="AR233" i="3"/>
  <c r="AS233" i="3"/>
  <c r="AZ233" i="3"/>
  <c r="AV209" i="3"/>
  <c r="AS209" i="3"/>
  <c r="AW209" i="3"/>
  <c r="AY209" i="3"/>
  <c r="AV193" i="3"/>
  <c r="AX193" i="3"/>
  <c r="AY193" i="3"/>
  <c r="BA185" i="3"/>
  <c r="AV185" i="3"/>
  <c r="AY185" i="3"/>
  <c r="AU169" i="3"/>
  <c r="AY169" i="3"/>
  <c r="AS169" i="3"/>
  <c r="AT169" i="3"/>
  <c r="AS161" i="3"/>
  <c r="AX161" i="3"/>
  <c r="AZ161" i="3"/>
  <c r="AW121" i="3"/>
  <c r="AU121" i="3"/>
  <c r="AR113" i="3"/>
  <c r="AS113" i="3"/>
  <c r="AZ89" i="3"/>
  <c r="AX89" i="3"/>
  <c r="AR73" i="3"/>
  <c r="AZ73" i="3"/>
  <c r="AY73" i="3"/>
  <c r="AR49" i="3"/>
  <c r="AS49" i="3"/>
  <c r="AY49" i="3"/>
  <c r="AX17" i="3"/>
  <c r="AZ17" i="3"/>
  <c r="AY2995" i="3"/>
  <c r="BA2995" i="3"/>
  <c r="AY2934" i="3"/>
  <c r="AZ2934" i="3"/>
  <c r="BA2934" i="3"/>
  <c r="AA1158" i="13"/>
  <c r="AD1158" i="13"/>
  <c r="AS2945" i="3"/>
  <c r="AW2945" i="3"/>
  <c r="AZ2945" i="3"/>
  <c r="AD1165" i="13"/>
  <c r="AA1165" i="13"/>
  <c r="AR2798" i="3"/>
  <c r="AY2798" i="3"/>
  <c r="AT2798" i="3"/>
  <c r="AX375" i="4"/>
  <c r="AU375" i="4"/>
  <c r="AV375" i="4"/>
  <c r="AZ2995" i="3"/>
  <c r="AP210" i="4"/>
  <c r="AS2871" i="3"/>
  <c r="AU900" i="3"/>
  <c r="AS900" i="3"/>
  <c r="AX884" i="3"/>
  <c r="AV884" i="3"/>
  <c r="AX876" i="3"/>
  <c r="AV876" i="3"/>
  <c r="AW868" i="3"/>
  <c r="AU868" i="3"/>
  <c r="AU852" i="3"/>
  <c r="AS852" i="3"/>
  <c r="BA852" i="3"/>
  <c r="AT844" i="3"/>
  <c r="AR844" i="3"/>
  <c r="AZ844" i="3"/>
  <c r="AS836" i="3"/>
  <c r="AY836" i="3"/>
  <c r="AX820" i="3"/>
  <c r="AV820" i="3"/>
  <c r="AV804" i="3"/>
  <c r="AT804" i="3"/>
  <c r="AX772" i="3"/>
  <c r="AV772" i="3"/>
  <c r="AV748" i="3"/>
  <c r="AT748" i="3"/>
  <c r="AW724" i="3"/>
  <c r="AU724" i="3"/>
  <c r="AY700" i="3"/>
  <c r="AW700" i="3"/>
  <c r="AX628" i="3"/>
  <c r="AW628" i="3"/>
  <c r="AV69" i="4"/>
  <c r="AT69" i="4"/>
  <c r="AV2945" i="3"/>
  <c r="V1118" i="13"/>
  <c r="Z1118" i="13"/>
  <c r="AE1118" i="13"/>
  <c r="Y1118" i="13"/>
  <c r="X1118" i="13"/>
  <c r="W1118" i="13"/>
  <c r="AC1118" i="13"/>
  <c r="AB1118" i="13"/>
  <c r="AR2871" i="3"/>
  <c r="AY2871" i="3"/>
  <c r="AX2871" i="3"/>
  <c r="AW2871" i="3"/>
  <c r="AZ2871" i="3"/>
  <c r="AU2871" i="3"/>
  <c r="BA2871" i="3"/>
  <c r="AT2871" i="3"/>
  <c r="AA1121" i="13"/>
  <c r="AD1121" i="13"/>
  <c r="AE1121" i="13"/>
  <c r="AC1121" i="13"/>
  <c r="Z1121" i="13"/>
  <c r="X1121" i="13"/>
  <c r="AX2786" i="3"/>
  <c r="BA2786" i="3"/>
  <c r="AP352" i="4"/>
  <c r="AV352" i="4"/>
  <c r="AO352" i="4"/>
  <c r="AW352" i="4"/>
  <c r="AX352" i="4"/>
  <c r="AX3025" i="3"/>
  <c r="BA3025" i="3"/>
  <c r="AY2939" i="3"/>
  <c r="AW2939" i="3"/>
  <c r="BA2939" i="3"/>
  <c r="AX2939" i="3"/>
  <c r="AR2954" i="3"/>
  <c r="AT2954" i="3"/>
  <c r="AY2954" i="3"/>
  <c r="AV2954" i="3"/>
  <c r="AZ2954" i="3"/>
  <c r="AS2954" i="3"/>
  <c r="BA2954" i="3"/>
  <c r="AU2877" i="3"/>
  <c r="AR2877" i="3"/>
  <c r="BA2877" i="3"/>
  <c r="AS2877" i="3"/>
  <c r="AU2879" i="3"/>
  <c r="BA2879" i="3"/>
  <c r="AR2879" i="3"/>
  <c r="AZ2879" i="3"/>
  <c r="AT2879" i="3"/>
  <c r="AX2879" i="3"/>
  <c r="BA2881" i="3"/>
  <c r="AZ2881" i="3"/>
  <c r="AR2883" i="3"/>
  <c r="AZ2883" i="3"/>
  <c r="AY2883" i="3"/>
  <c r="AX2890" i="3"/>
  <c r="BA2890" i="3"/>
  <c r="AY2905" i="3"/>
  <c r="BA2905" i="3"/>
  <c r="AW356" i="4"/>
  <c r="AX356" i="4"/>
  <c r="AP364" i="4"/>
  <c r="AW364" i="4"/>
  <c r="AZ2831" i="3"/>
  <c r="AY2831" i="3"/>
  <c r="BA2831" i="3"/>
  <c r="AT2831" i="3"/>
  <c r="AS2864" i="3"/>
  <c r="AU2831" i="3"/>
  <c r="AU2950" i="3"/>
  <c r="AT374" i="4"/>
  <c r="BA1053" i="3"/>
  <c r="AV1029" i="3"/>
  <c r="BA1021" i="3"/>
  <c r="AX973" i="3"/>
  <c r="BA957" i="3"/>
  <c r="AX813" i="3"/>
  <c r="AY1077" i="3"/>
  <c r="AR1077" i="3"/>
  <c r="AT1069" i="3"/>
  <c r="AW1069" i="3"/>
  <c r="AY1069" i="3"/>
  <c r="AR1069" i="3"/>
  <c r="AZ1069" i="3"/>
  <c r="AT1061" i="3"/>
  <c r="AU1061" i="3"/>
  <c r="AW1061" i="3"/>
  <c r="AY1061" i="3"/>
  <c r="AR1061" i="3"/>
  <c r="AZ1061" i="3"/>
  <c r="AT1053" i="3"/>
  <c r="AU1053" i="3"/>
  <c r="AW1053" i="3"/>
  <c r="AY1053" i="3"/>
  <c r="AR1053" i="3"/>
  <c r="AZ1053" i="3"/>
  <c r="AT1045" i="3"/>
  <c r="AU1045" i="3"/>
  <c r="AW1045" i="3"/>
  <c r="AY1045" i="3"/>
  <c r="AR1045" i="3"/>
  <c r="AZ1045" i="3"/>
  <c r="AT1037" i="3"/>
  <c r="AU1037" i="3"/>
  <c r="AW1037" i="3"/>
  <c r="AY1037" i="3"/>
  <c r="AR1037" i="3"/>
  <c r="AZ1037" i="3"/>
  <c r="AT1029" i="3"/>
  <c r="AU1029" i="3"/>
  <c r="AW1029" i="3"/>
  <c r="AY1029" i="3"/>
  <c r="AR1029" i="3"/>
  <c r="AZ1029" i="3"/>
  <c r="AT1021" i="3"/>
  <c r="AU1021" i="3"/>
  <c r="AW1021" i="3"/>
  <c r="AY1021" i="3"/>
  <c r="AR1021" i="3"/>
  <c r="AZ1021" i="3"/>
  <c r="AT1013" i="3"/>
  <c r="AU1013" i="3"/>
  <c r="AV1013" i="3"/>
  <c r="AW1013" i="3"/>
  <c r="AY1013" i="3"/>
  <c r="AR1013" i="3"/>
  <c r="AZ1013" i="3"/>
  <c r="AT1005" i="3"/>
  <c r="AU1005" i="3"/>
  <c r="AV1005" i="3"/>
  <c r="AW1005" i="3"/>
  <c r="AY1005" i="3"/>
  <c r="AR1005" i="3"/>
  <c r="AZ1005" i="3"/>
  <c r="AT997" i="3"/>
  <c r="AU997" i="3"/>
  <c r="AV997" i="3"/>
  <c r="AW997" i="3"/>
  <c r="AY997" i="3"/>
  <c r="AR997" i="3"/>
  <c r="AZ997" i="3"/>
  <c r="AT989" i="3"/>
  <c r="AU989" i="3"/>
  <c r="AV989" i="3"/>
  <c r="AW989" i="3"/>
  <c r="AY989" i="3"/>
  <c r="AR989" i="3"/>
  <c r="AZ989" i="3"/>
  <c r="AT981" i="3"/>
  <c r="AU981" i="3"/>
  <c r="AV981" i="3"/>
  <c r="AW981" i="3"/>
  <c r="AY981" i="3"/>
  <c r="AR981" i="3"/>
  <c r="AZ981" i="3"/>
  <c r="AT973" i="3"/>
  <c r="AU973" i="3"/>
  <c r="AV973" i="3"/>
  <c r="AW973" i="3"/>
  <c r="AY973" i="3"/>
  <c r="AR973" i="3"/>
  <c r="AZ973" i="3"/>
  <c r="AU965" i="3"/>
  <c r="AV965" i="3"/>
  <c r="AW965" i="3"/>
  <c r="AX965" i="3"/>
  <c r="AR965" i="3"/>
  <c r="AZ965" i="3"/>
  <c r="AS965" i="3"/>
  <c r="BA965" i="3"/>
  <c r="AU957" i="3"/>
  <c r="AR957" i="3"/>
  <c r="AS957" i="3"/>
  <c r="AT957" i="3"/>
  <c r="AV957" i="3"/>
  <c r="AX957" i="3"/>
  <c r="AZ957" i="3"/>
  <c r="AY949" i="3"/>
  <c r="AR949" i="3"/>
  <c r="AZ949" i="3"/>
  <c r="AS949" i="3"/>
  <c r="BA949" i="3"/>
  <c r="AT949" i="3"/>
  <c r="AV949" i="3"/>
  <c r="AW949" i="3"/>
  <c r="AU941" i="3"/>
  <c r="AV941" i="3"/>
  <c r="AW941" i="3"/>
  <c r="AX941" i="3"/>
  <c r="AR941" i="3"/>
  <c r="AZ941" i="3"/>
  <c r="AS941" i="3"/>
  <c r="BA941" i="3"/>
  <c r="AT941" i="3"/>
  <c r="AR933" i="3"/>
  <c r="AS933" i="3"/>
  <c r="AW933" i="3"/>
  <c r="AY933" i="3"/>
  <c r="BA933" i="3"/>
  <c r="AU925" i="3"/>
  <c r="AV925" i="3"/>
  <c r="AW925" i="3"/>
  <c r="AX925" i="3"/>
  <c r="AR925" i="3"/>
  <c r="AZ925" i="3"/>
  <c r="AS925" i="3"/>
  <c r="BA925" i="3"/>
  <c r="AT925" i="3"/>
  <c r="AV917" i="3"/>
  <c r="AW917" i="3"/>
  <c r="AX917" i="3"/>
  <c r="AY917" i="3"/>
  <c r="AS917" i="3"/>
  <c r="BA917" i="3"/>
  <c r="AT917" i="3"/>
  <c r="AU917" i="3"/>
  <c r="AR909" i="3"/>
  <c r="AS909" i="3"/>
  <c r="AW909" i="3"/>
  <c r="AY909" i="3"/>
  <c r="AR901" i="3"/>
  <c r="BA901" i="3"/>
  <c r="AS901" i="3"/>
  <c r="AT901" i="3"/>
  <c r="AU901" i="3"/>
  <c r="AW901" i="3"/>
  <c r="AX901" i="3"/>
  <c r="AY901" i="3"/>
  <c r="AR893" i="3"/>
  <c r="AX893" i="3"/>
  <c r="AY893" i="3"/>
  <c r="BA893" i="3"/>
  <c r="AT893" i="3"/>
  <c r="AV893" i="3"/>
  <c r="AW893" i="3"/>
  <c r="AR885" i="3"/>
  <c r="AW885" i="3"/>
  <c r="AY885" i="3"/>
  <c r="AS885" i="3"/>
  <c r="AR877" i="3"/>
  <c r="AS877" i="3"/>
  <c r="AV877" i="3"/>
  <c r="AW877" i="3"/>
  <c r="AX877" i="3"/>
  <c r="BA877" i="3"/>
  <c r="AR869" i="3"/>
  <c r="AV869" i="3"/>
  <c r="AW869" i="3"/>
  <c r="AX869" i="3"/>
  <c r="AY869" i="3"/>
  <c r="AS869" i="3"/>
  <c r="AR861" i="3"/>
  <c r="AX861" i="3"/>
  <c r="BA861" i="3"/>
  <c r="AV861" i="3"/>
  <c r="AR853" i="3"/>
  <c r="BA853" i="3"/>
  <c r="AS853" i="3"/>
  <c r="AW853" i="3"/>
  <c r="AX853" i="3"/>
  <c r="AY853" i="3"/>
  <c r="AR845" i="3"/>
  <c r="AX845" i="3"/>
  <c r="AY845" i="3"/>
  <c r="BA845" i="3"/>
  <c r="AS845" i="3"/>
  <c r="AV845" i="3"/>
  <c r="AW845" i="3"/>
  <c r="AW837" i="3"/>
  <c r="AV837" i="3"/>
  <c r="AY837" i="3"/>
  <c r="AR829" i="3"/>
  <c r="AX829" i="3"/>
  <c r="AY829" i="3"/>
  <c r="BA829" i="3"/>
  <c r="AS829" i="3"/>
  <c r="AV829" i="3"/>
  <c r="AW829" i="3"/>
  <c r="AY821" i="3"/>
  <c r="AS821" i="3"/>
  <c r="AW821" i="3"/>
  <c r="AX821" i="3"/>
  <c r="BA821" i="3"/>
  <c r="AY805" i="3"/>
  <c r="AS805" i="3"/>
  <c r="AV805" i="3"/>
  <c r="AX805" i="3"/>
  <c r="BA805" i="3"/>
  <c r="AY797" i="3"/>
  <c r="BA797" i="3"/>
  <c r="AV797" i="3"/>
  <c r="AW797" i="3"/>
  <c r="AX797" i="3"/>
  <c r="AV789" i="3"/>
  <c r="AS789" i="3"/>
  <c r="AX789" i="3"/>
  <c r="AW781" i="3"/>
  <c r="AX781" i="3"/>
  <c r="AY781" i="3"/>
  <c r="AR781" i="3"/>
  <c r="AZ781" i="3"/>
  <c r="AT781" i="3"/>
  <c r="AU781" i="3"/>
  <c r="AV781" i="3"/>
  <c r="AR773" i="3"/>
  <c r="AZ773" i="3"/>
  <c r="AS773" i="3"/>
  <c r="BA773" i="3"/>
  <c r="AT773" i="3"/>
  <c r="AU773" i="3"/>
  <c r="AW773" i="3"/>
  <c r="AX773" i="3"/>
  <c r="AY773" i="3"/>
  <c r="AU765" i="3"/>
  <c r="AR765" i="3"/>
  <c r="AW765" i="3"/>
  <c r="AU757" i="3"/>
  <c r="AV757" i="3"/>
  <c r="AW757" i="3"/>
  <c r="AX757" i="3"/>
  <c r="AR757" i="3"/>
  <c r="AZ757" i="3"/>
  <c r="AS757" i="3"/>
  <c r="BA757" i="3"/>
  <c r="AT757" i="3"/>
  <c r="AX749" i="3"/>
  <c r="AY749" i="3"/>
  <c r="AR749" i="3"/>
  <c r="AZ749" i="3"/>
  <c r="AS749" i="3"/>
  <c r="BA749" i="3"/>
  <c r="AU749" i="3"/>
  <c r="AV749" i="3"/>
  <c r="AW749" i="3"/>
  <c r="AW741" i="3"/>
  <c r="AY741" i="3"/>
  <c r="AV741" i="3"/>
  <c r="AV733" i="3"/>
  <c r="AW733" i="3"/>
  <c r="AX733" i="3"/>
  <c r="AY733" i="3"/>
  <c r="AS733" i="3"/>
  <c r="BA733" i="3"/>
  <c r="AT733" i="3"/>
  <c r="AU733" i="3"/>
  <c r="AX725" i="3"/>
  <c r="AY725" i="3"/>
  <c r="AR725" i="3"/>
  <c r="AZ725" i="3"/>
  <c r="AS725" i="3"/>
  <c r="BA725" i="3"/>
  <c r="AU725" i="3"/>
  <c r="AV725" i="3"/>
  <c r="AW725" i="3"/>
  <c r="AT717" i="3"/>
  <c r="AZ717" i="3"/>
  <c r="AY709" i="3"/>
  <c r="AR709" i="3"/>
  <c r="AZ709" i="3"/>
  <c r="AS709" i="3"/>
  <c r="BA709" i="3"/>
  <c r="AT709" i="3"/>
  <c r="AV709" i="3"/>
  <c r="AW709" i="3"/>
  <c r="AX709" i="3"/>
  <c r="AX701" i="3"/>
  <c r="AY701" i="3"/>
  <c r="AR701" i="3"/>
  <c r="AZ701" i="3"/>
  <c r="AS701" i="3"/>
  <c r="BA701" i="3"/>
  <c r="AU701" i="3"/>
  <c r="AV701" i="3"/>
  <c r="AW701" i="3"/>
  <c r="AW693" i="3"/>
  <c r="AT693" i="3"/>
  <c r="AZ693" i="3"/>
  <c r="AX685" i="3"/>
  <c r="AY685" i="3"/>
  <c r="AR685" i="3"/>
  <c r="AZ685" i="3"/>
  <c r="AS685" i="3"/>
  <c r="BA685" i="3"/>
  <c r="AU685" i="3"/>
  <c r="AV685" i="3"/>
  <c r="AW685" i="3"/>
  <c r="AW677" i="3"/>
  <c r="AX677" i="3"/>
  <c r="AY677" i="3"/>
  <c r="AR677" i="3"/>
  <c r="AZ677" i="3"/>
  <c r="AT677" i="3"/>
  <c r="AU677" i="3"/>
  <c r="AV677" i="3"/>
  <c r="AS669" i="3"/>
  <c r="AV669" i="3"/>
  <c r="AS661" i="3"/>
  <c r="BA661" i="3"/>
  <c r="AT661" i="3"/>
  <c r="AU661" i="3"/>
  <c r="AV661" i="3"/>
  <c r="AX661" i="3"/>
  <c r="AY661" i="3"/>
  <c r="AR661" i="3"/>
  <c r="AZ661" i="3"/>
  <c r="AX653" i="3"/>
  <c r="AY653" i="3"/>
  <c r="AR653" i="3"/>
  <c r="AZ653" i="3"/>
  <c r="AS653" i="3"/>
  <c r="BA653" i="3"/>
  <c r="AU653" i="3"/>
  <c r="AV653" i="3"/>
  <c r="AW653" i="3"/>
  <c r="AX645" i="3"/>
  <c r="AS645" i="3"/>
  <c r="AW637" i="3"/>
  <c r="AX637" i="3"/>
  <c r="AY637" i="3"/>
  <c r="BA637" i="3"/>
  <c r="AT637" i="3"/>
  <c r="AU637" i="3"/>
  <c r="AV637" i="3"/>
  <c r="AT629" i="3"/>
  <c r="AU629" i="3"/>
  <c r="AV629" i="3"/>
  <c r="AW629" i="3"/>
  <c r="AY629" i="3"/>
  <c r="AZ629" i="3"/>
  <c r="AR629" i="3"/>
  <c r="AU613" i="3"/>
  <c r="AX613" i="3"/>
  <c r="AY613" i="3"/>
  <c r="AZ613" i="3"/>
  <c r="AR613" i="3"/>
  <c r="BA613" i="3"/>
  <c r="AT613" i="3"/>
  <c r="AV613" i="3"/>
  <c r="AW613" i="3"/>
  <c r="AU605" i="3"/>
  <c r="AT605" i="3"/>
  <c r="AV605" i="3"/>
  <c r="AW605" i="3"/>
  <c r="AX605" i="3"/>
  <c r="AZ605" i="3"/>
  <c r="AR605" i="3"/>
  <c r="BA605" i="3"/>
  <c r="AS605" i="3"/>
  <c r="AY589" i="3"/>
  <c r="AZ589" i="3"/>
  <c r="BA589" i="3"/>
  <c r="AR589" i="3"/>
  <c r="AT589" i="3"/>
  <c r="AU589" i="3"/>
  <c r="AW589" i="3"/>
  <c r="AY581" i="3"/>
  <c r="AZ581" i="3"/>
  <c r="AR581" i="3"/>
  <c r="AV581" i="3"/>
  <c r="AW581" i="3"/>
  <c r="AX581" i="3"/>
  <c r="AR573" i="3"/>
  <c r="AX573" i="3"/>
  <c r="BA565" i="3"/>
  <c r="AR565" i="3"/>
  <c r="AS565" i="3"/>
  <c r="AU565" i="3"/>
  <c r="AX565" i="3"/>
  <c r="AY565" i="3"/>
  <c r="AZ565" i="3"/>
  <c r="BA557" i="3"/>
  <c r="AR557" i="3"/>
  <c r="AS557" i="3"/>
  <c r="AT557" i="3"/>
  <c r="AV557" i="3"/>
  <c r="AX557" i="3"/>
  <c r="AZ557" i="3"/>
  <c r="AY541" i="3"/>
  <c r="AZ541" i="3"/>
  <c r="BA541" i="3"/>
  <c r="AT541" i="3"/>
  <c r="AV541" i="3"/>
  <c r="AX541" i="3"/>
  <c r="AV533" i="3"/>
  <c r="AW533" i="3"/>
  <c r="AY533" i="3"/>
  <c r="BA533" i="3"/>
  <c r="AS533" i="3"/>
  <c r="AU533" i="3"/>
  <c r="AU517" i="3"/>
  <c r="AW517" i="3"/>
  <c r="AY517" i="3"/>
  <c r="BA517" i="3"/>
  <c r="AS517" i="3"/>
  <c r="AZ509" i="3"/>
  <c r="AR509" i="3"/>
  <c r="AY509" i="3"/>
  <c r="BA509" i="3"/>
  <c r="AV493" i="3"/>
  <c r="AU493" i="3"/>
  <c r="AW493" i="3"/>
  <c r="AS485" i="3"/>
  <c r="AR485" i="3"/>
  <c r="AT485" i="3"/>
  <c r="AU485" i="3"/>
  <c r="AV485" i="3"/>
  <c r="AS469" i="3"/>
  <c r="AR469" i="3"/>
  <c r="AV469" i="3"/>
  <c r="AX469" i="3"/>
  <c r="AY461" i="3"/>
  <c r="AZ461" i="3"/>
  <c r="AR445" i="3"/>
  <c r="AT445" i="3"/>
  <c r="AY437" i="3"/>
  <c r="AX437" i="3"/>
  <c r="AR421" i="3"/>
  <c r="AS421" i="3"/>
  <c r="AY413" i="3"/>
  <c r="AS413" i="3"/>
  <c r="AT413" i="3"/>
  <c r="AV397" i="3"/>
  <c r="BA397" i="3"/>
  <c r="AS397" i="3"/>
  <c r="BA389" i="3"/>
  <c r="AW389" i="3"/>
  <c r="AU373" i="3"/>
  <c r="BA373" i="3"/>
  <c r="BA301" i="3"/>
  <c r="AZ301" i="3"/>
  <c r="AY301" i="3"/>
  <c r="BA37" i="3"/>
  <c r="AU37" i="3"/>
  <c r="AS1021" i="3"/>
  <c r="AX1013" i="3"/>
  <c r="BA1005" i="3"/>
  <c r="AY941" i="3"/>
  <c r="AY877" i="3"/>
  <c r="AV853" i="3"/>
  <c r="AT701" i="3"/>
  <c r="AS637" i="3"/>
  <c r="AV1045" i="3"/>
  <c r="BA1037" i="3"/>
  <c r="AS1013" i="3"/>
  <c r="AX1005" i="3"/>
  <c r="BA997" i="3"/>
  <c r="BA765" i="3"/>
  <c r="AS613" i="3"/>
  <c r="AS589" i="3"/>
  <c r="AU1069" i="3"/>
  <c r="BA1061" i="3"/>
  <c r="AV1037" i="3"/>
  <c r="BA1029" i="3"/>
  <c r="AS997" i="3"/>
  <c r="AX989" i="3"/>
  <c r="BA981" i="3"/>
  <c r="AY925" i="3"/>
  <c r="AZ917" i="3"/>
  <c r="AS781" i="3"/>
  <c r="AR733" i="3"/>
  <c r="BA677" i="3"/>
  <c r="AT581" i="3"/>
  <c r="AX461" i="3"/>
  <c r="AX371" i="4"/>
  <c r="AZ2919" i="3"/>
  <c r="AD1156" i="13"/>
  <c r="AU345" i="4"/>
  <c r="AW2865" i="3"/>
  <c r="AT2956" i="3"/>
  <c r="AZ2903" i="3"/>
  <c r="AE1154" i="13"/>
  <c r="AD1154" i="13"/>
  <c r="AP363" i="4"/>
  <c r="AY2865" i="3"/>
  <c r="AZ3017" i="3"/>
  <c r="AT2950" i="3"/>
  <c r="BA2900" i="3"/>
  <c r="AX2865" i="3"/>
  <c r="BA3017" i="3"/>
  <c r="N151" i="17"/>
  <c r="AS2950" i="3"/>
  <c r="BA3018" i="3"/>
  <c r="AX363" i="4"/>
  <c r="AT2865" i="3"/>
  <c r="AT3017" i="3"/>
  <c r="AW363" i="4"/>
  <c r="AW353" i="4"/>
  <c r="BA2912" i="3"/>
  <c r="AZ2932" i="3"/>
  <c r="Z1169" i="13"/>
  <c r="BA2865" i="3"/>
  <c r="AV3017" i="3"/>
  <c r="AW371" i="4"/>
  <c r="AZ2912" i="3"/>
  <c r="BA2903" i="3"/>
  <c r="AX2932" i="3"/>
  <c r="AU2865" i="3"/>
  <c r="AW3017" i="3"/>
  <c r="AR2956" i="3"/>
  <c r="AE1156" i="13"/>
  <c r="BA2932" i="3"/>
  <c r="AS2903" i="3"/>
  <c r="AV2865" i="3"/>
  <c r="AX3017" i="3"/>
  <c r="AZ2950" i="3"/>
  <c r="C996" i="13"/>
  <c r="C774" i="13"/>
  <c r="AS408" i="3"/>
  <c r="BA408" i="3"/>
  <c r="AV320" i="3"/>
  <c r="AR320" i="3"/>
  <c r="AS445" i="3"/>
  <c r="AZ437" i="3"/>
  <c r="AX397" i="3"/>
  <c r="AW325" i="3"/>
  <c r="AS301" i="3"/>
  <c r="AU33" i="4"/>
  <c r="AW656" i="3"/>
  <c r="AW640" i="3"/>
  <c r="AY389" i="3"/>
  <c r="AV256" i="3"/>
  <c r="AR637" i="3"/>
  <c r="AZ637" i="3"/>
  <c r="AS629" i="3"/>
  <c r="BA629" i="3"/>
  <c r="AV589" i="3"/>
  <c r="AX589" i="3"/>
  <c r="AS581" i="3"/>
  <c r="BA581" i="3"/>
  <c r="AU581" i="3"/>
  <c r="AT565" i="3"/>
  <c r="AV565" i="3"/>
  <c r="AW557" i="3"/>
  <c r="AY557" i="3"/>
  <c r="AU541" i="3"/>
  <c r="AW541" i="3"/>
  <c r="AX533" i="3"/>
  <c r="AR533" i="3"/>
  <c r="AZ533" i="3"/>
  <c r="AR517" i="3"/>
  <c r="AZ517" i="3"/>
  <c r="AT517" i="3"/>
  <c r="AT509" i="3"/>
  <c r="AV509" i="3"/>
  <c r="AX493" i="3"/>
  <c r="AZ493" i="3"/>
  <c r="AY485" i="3"/>
  <c r="AW485" i="3"/>
  <c r="AZ485" i="3"/>
  <c r="AU469" i="3"/>
  <c r="AW469" i="3"/>
  <c r="AZ469" i="3"/>
  <c r="AR461" i="3"/>
  <c r="AV461" i="3"/>
  <c r="AW445" i="3"/>
  <c r="BA445" i="3"/>
  <c r="AT437" i="3"/>
  <c r="AV437" i="3"/>
  <c r="AV421" i="3"/>
  <c r="AX421" i="3"/>
  <c r="AR397" i="3"/>
  <c r="AT397" i="3"/>
  <c r="AR373" i="3"/>
  <c r="AV373" i="3"/>
  <c r="AW373" i="3"/>
  <c r="AZ373" i="3"/>
  <c r="AR365" i="3"/>
  <c r="AS365" i="3"/>
  <c r="AT365" i="3"/>
  <c r="AY365" i="3"/>
  <c r="AU349" i="3"/>
  <c r="AT349" i="3"/>
  <c r="AX341" i="3"/>
  <c r="AZ341" i="3"/>
  <c r="AS317" i="3"/>
  <c r="AT317" i="3"/>
  <c r="AW317" i="3"/>
  <c r="BA317" i="3"/>
  <c r="AU293" i="3"/>
  <c r="AR293" i="3"/>
  <c r="AR277" i="3"/>
  <c r="AY277" i="3"/>
  <c r="AV269" i="3"/>
  <c r="AY269" i="3"/>
  <c r="AT245" i="3"/>
  <c r="AU245" i="3"/>
  <c r="AY237" i="3"/>
  <c r="AT237" i="3"/>
  <c r="AT229" i="3"/>
  <c r="AR229" i="3"/>
  <c r="AY205" i="3"/>
  <c r="AX205" i="3"/>
  <c r="AT181" i="3"/>
  <c r="AZ181" i="3"/>
  <c r="AS173" i="3"/>
  <c r="AW173" i="3"/>
  <c r="BA173" i="3"/>
  <c r="AV157" i="3"/>
  <c r="AU157" i="3"/>
  <c r="AZ624" i="3"/>
  <c r="AU608" i="3"/>
  <c r="AX517" i="3"/>
  <c r="AX509" i="3"/>
  <c r="AT493" i="3"/>
  <c r="AW461" i="3"/>
  <c r="AU437" i="3"/>
  <c r="AZ421" i="3"/>
  <c r="AX413" i="3"/>
  <c r="AV389" i="3"/>
  <c r="AV349" i="3"/>
  <c r="BA277" i="3"/>
  <c r="BA632" i="3"/>
  <c r="AZ592" i="3"/>
  <c r="AY544" i="3"/>
  <c r="AW509" i="3"/>
  <c r="AR493" i="3"/>
  <c r="BA485" i="3"/>
  <c r="AU461" i="3"/>
  <c r="AT448" i="3"/>
  <c r="AR437" i="3"/>
  <c r="AW421" i="3"/>
  <c r="AW413" i="3"/>
  <c r="AT389" i="3"/>
  <c r="AZ365" i="3"/>
  <c r="AT341" i="3"/>
  <c r="AZ277" i="3"/>
  <c r="AU269" i="3"/>
  <c r="AT149" i="3"/>
  <c r="AT584" i="3"/>
  <c r="AS541" i="3"/>
  <c r="AT533" i="3"/>
  <c r="AV517" i="3"/>
  <c r="AU509" i="3"/>
  <c r="AX485" i="3"/>
  <c r="BA469" i="3"/>
  <c r="AX445" i="3"/>
  <c r="AT421" i="3"/>
  <c r="AU413" i="3"/>
  <c r="AS389" i="3"/>
  <c r="AR341" i="3"/>
  <c r="AV205" i="3"/>
  <c r="AV133" i="3"/>
  <c r="AT593" i="3"/>
  <c r="AV593" i="3"/>
  <c r="AU577" i="3"/>
  <c r="AW577" i="3"/>
  <c r="AW569" i="3"/>
  <c r="AY569" i="3"/>
  <c r="AW553" i="3"/>
  <c r="AY553" i="3"/>
  <c r="AX545" i="3"/>
  <c r="AR545" i="3"/>
  <c r="AZ545" i="3"/>
  <c r="AX529" i="3"/>
  <c r="AR529" i="3"/>
  <c r="AZ529" i="3"/>
  <c r="AW521" i="3"/>
  <c r="AY521" i="3"/>
  <c r="AT505" i="3"/>
  <c r="AV505" i="3"/>
  <c r="AU497" i="3"/>
  <c r="AW497" i="3"/>
  <c r="AW481" i="3"/>
  <c r="AY481" i="3"/>
  <c r="AS473" i="3"/>
  <c r="BA473" i="3"/>
  <c r="AU473" i="3"/>
  <c r="AR457" i="3"/>
  <c r="AZ457" i="3"/>
  <c r="AT457" i="3"/>
  <c r="AV449" i="3"/>
  <c r="AX449" i="3"/>
  <c r="AS433" i="3"/>
  <c r="BA433" i="3"/>
  <c r="AU433" i="3"/>
  <c r="AU425" i="3"/>
  <c r="AW425" i="3"/>
  <c r="AW409" i="3"/>
  <c r="AY409" i="3"/>
  <c r="AT401" i="3"/>
  <c r="AV401" i="3"/>
  <c r="AU385" i="3"/>
  <c r="AV385" i="3"/>
  <c r="AW385" i="3"/>
  <c r="AU377" i="3"/>
  <c r="AV377" i="3"/>
  <c r="AW377" i="3"/>
  <c r="AY361" i="3"/>
  <c r="AV361" i="3"/>
  <c r="AZ361" i="3"/>
  <c r="BA361" i="3"/>
  <c r="AV353" i="3"/>
  <c r="AS353" i="3"/>
  <c r="AT353" i="3"/>
  <c r="AW353" i="3"/>
  <c r="AT337" i="3"/>
  <c r="BA337" i="3"/>
  <c r="AR337" i="3"/>
  <c r="AY329" i="3"/>
  <c r="AS329" i="3"/>
  <c r="AT329" i="3"/>
  <c r="AU329" i="3"/>
  <c r="AU313" i="3"/>
  <c r="AV313" i="3"/>
  <c r="AT313" i="3"/>
  <c r="AW313" i="3"/>
  <c r="AX313" i="3"/>
  <c r="AR305" i="3"/>
  <c r="AS305" i="3"/>
  <c r="AT305" i="3"/>
  <c r="AR289" i="3"/>
  <c r="AV289" i="3"/>
  <c r="BA289" i="3"/>
  <c r="AV281" i="3"/>
  <c r="AU281" i="3"/>
  <c r="AY281" i="3"/>
  <c r="AZ281" i="3"/>
  <c r="AY265" i="3"/>
  <c r="AW265" i="3"/>
  <c r="AV257" i="3"/>
  <c r="AU257" i="3"/>
  <c r="AW257" i="3"/>
  <c r="AW241" i="3"/>
  <c r="BA241" i="3"/>
  <c r="AU233" i="3"/>
  <c r="BA233" i="3"/>
  <c r="AV217" i="3"/>
  <c r="AT217" i="3"/>
  <c r="AU217" i="3"/>
  <c r="AZ169" i="3"/>
  <c r="AR169" i="3"/>
  <c r="AW145" i="3"/>
  <c r="AS145" i="3"/>
  <c r="AY145" i="3"/>
  <c r="AZ145" i="3"/>
  <c r="AV137" i="3"/>
  <c r="AR137" i="3"/>
  <c r="AU137" i="3"/>
  <c r="BA137" i="3"/>
  <c r="AZ121" i="3"/>
  <c r="AX121" i="3"/>
  <c r="AY121" i="3"/>
  <c r="AX113" i="3"/>
  <c r="AZ113" i="3"/>
  <c r="AX97" i="3"/>
  <c r="AY97" i="3"/>
  <c r="AR2926" i="3"/>
  <c r="AX2926" i="3"/>
  <c r="AS2926" i="3"/>
  <c r="AZ2926" i="3"/>
  <c r="AU2926" i="3"/>
  <c r="AT2926" i="3"/>
  <c r="AY2926" i="3"/>
  <c r="C2909" i="3"/>
  <c r="AS2835" i="3"/>
  <c r="W1150" i="13"/>
  <c r="AD1150" i="13"/>
  <c r="AE1150" i="13"/>
  <c r="W1151" i="13"/>
  <c r="V1151" i="13"/>
  <c r="Z1151" i="13"/>
  <c r="AE1151" i="13"/>
  <c r="AT2920" i="3"/>
  <c r="BA2920" i="3"/>
  <c r="AZ2920" i="3"/>
  <c r="AY2996" i="3"/>
  <c r="BA2996" i="3"/>
  <c r="AZ2996" i="3"/>
  <c r="AE1174" i="13"/>
  <c r="AA1174" i="13"/>
  <c r="V1174" i="13"/>
  <c r="AE1176" i="13"/>
  <c r="W1176" i="13"/>
  <c r="Z1176" i="13"/>
  <c r="X1176" i="13"/>
  <c r="C1183" i="13"/>
  <c r="C376" i="4"/>
  <c r="AB1191" i="13"/>
  <c r="V1191" i="13"/>
  <c r="L530" i="12"/>
  <c r="M530" i="12"/>
  <c r="C2998" i="3"/>
  <c r="C2935" i="3"/>
  <c r="C3000" i="3"/>
  <c r="AZ2936" i="3"/>
  <c r="BA2936" i="3"/>
  <c r="AX2937" i="3"/>
  <c r="BA2937" i="3"/>
  <c r="AT2816" i="3"/>
  <c r="BA2816" i="3"/>
  <c r="AT2999" i="3"/>
  <c r="BA2999" i="3"/>
  <c r="AU3001" i="3"/>
  <c r="AZ3001" i="3"/>
  <c r="AW2958" i="3"/>
  <c r="AZ2958" i="3"/>
  <c r="Z1131" i="13"/>
  <c r="AD1131" i="13"/>
  <c r="AE1131" i="13"/>
  <c r="C353" i="4"/>
  <c r="C2840" i="3"/>
  <c r="AS2840" i="3"/>
  <c r="AZ2840" i="3"/>
  <c r="AS2841" i="3"/>
  <c r="BA2841" i="3"/>
  <c r="BA2842" i="3"/>
  <c r="AZ2842" i="3"/>
  <c r="W1140" i="13"/>
  <c r="AD1140" i="13"/>
  <c r="AE1140" i="13"/>
  <c r="AT2806" i="3"/>
  <c r="BA2806" i="3"/>
  <c r="C2889" i="3"/>
  <c r="C2885" i="3"/>
  <c r="C2914" i="3"/>
  <c r="C2912" i="3"/>
  <c r="C2897" i="3"/>
  <c r="C2903" i="3"/>
  <c r="C359" i="4"/>
  <c r="C2892" i="3"/>
  <c r="C2895" i="3"/>
  <c r="C2900" i="3"/>
  <c r="C2884" i="3"/>
  <c r="C365" i="4"/>
  <c r="C2908" i="3"/>
  <c r="C357" i="4"/>
  <c r="C369" i="4"/>
  <c r="C2901" i="3"/>
  <c r="C2917" i="3"/>
  <c r="C2894" i="3"/>
  <c r="C1144" i="13"/>
  <c r="C2915" i="3"/>
  <c r="C2902" i="3"/>
  <c r="C2907" i="3"/>
  <c r="C2896" i="3"/>
  <c r="C2913" i="3"/>
  <c r="C2887" i="3"/>
  <c r="C362" i="4"/>
  <c r="C364" i="4"/>
  <c r="C2905" i="3"/>
  <c r="C358" i="4"/>
  <c r="C1147" i="13"/>
  <c r="C370" i="4"/>
  <c r="C1146" i="13"/>
  <c r="C2888" i="3"/>
  <c r="C368" i="4"/>
  <c r="C2899" i="3"/>
  <c r="C2916" i="3"/>
  <c r="C2891" i="3"/>
  <c r="C2911" i="3"/>
  <c r="AR2884" i="3"/>
  <c r="AT2884" i="3"/>
  <c r="AS2884" i="3"/>
  <c r="AY2884" i="3"/>
  <c r="BA2884" i="3"/>
  <c r="AX2884" i="3"/>
  <c r="AW2884" i="3"/>
  <c r="AZ2884" i="3"/>
  <c r="AU2884" i="3"/>
  <c r="AU2917" i="3"/>
  <c r="BA2917" i="3"/>
  <c r="AZ2917" i="3"/>
  <c r="AR2889" i="3"/>
  <c r="AY2889" i="3"/>
  <c r="AX2889" i="3"/>
  <c r="BA2889" i="3"/>
  <c r="AZ2889" i="3"/>
  <c r="AR2908" i="3"/>
  <c r="AW2908" i="3"/>
  <c r="AY2908" i="3"/>
  <c r="AX2908" i="3"/>
  <c r="AZ2908" i="3"/>
  <c r="AU2908" i="3"/>
  <c r="BA2908" i="3"/>
  <c r="AS2908" i="3"/>
  <c r="AY2914" i="3"/>
  <c r="AZ2914" i="3"/>
  <c r="BA2914" i="3"/>
  <c r="AW361" i="4"/>
  <c r="AX361" i="4"/>
  <c r="AO369" i="4"/>
  <c r="AP369" i="4"/>
  <c r="AW369" i="4"/>
  <c r="AV369" i="4"/>
  <c r="AX369" i="4"/>
  <c r="AT369" i="4"/>
  <c r="AQ369" i="4"/>
  <c r="AB1150" i="13"/>
  <c r="AX2832" i="3"/>
  <c r="AW2832" i="3"/>
  <c r="AU2832" i="3"/>
  <c r="AR2835" i="3"/>
  <c r="AZ2835" i="3"/>
  <c r="AV2835" i="3"/>
  <c r="AT2835" i="3"/>
  <c r="AC1122" i="13"/>
  <c r="AE1122" i="13"/>
  <c r="Y1122" i="13"/>
  <c r="X1122" i="13"/>
  <c r="W1122" i="13"/>
  <c r="AD1122" i="13"/>
  <c r="AY2820" i="3"/>
  <c r="BA2820" i="3"/>
  <c r="AT2821" i="3"/>
  <c r="BA2821" i="3"/>
  <c r="AY3008" i="3"/>
  <c r="AZ3008" i="3"/>
  <c r="AW3010" i="3"/>
  <c r="BA3010" i="3"/>
  <c r="AX2960" i="3"/>
  <c r="AZ2960" i="3"/>
  <c r="BA2960" i="3"/>
  <c r="AT2963" i="3"/>
  <c r="BA2963" i="3"/>
  <c r="AR347" i="4"/>
  <c r="AW347" i="4"/>
  <c r="AX347" i="4"/>
  <c r="C367" i="4"/>
  <c r="AW94" i="4"/>
  <c r="AO94" i="4"/>
  <c r="V1119" i="13"/>
  <c r="Y1119" i="13"/>
  <c r="AE1119" i="13"/>
  <c r="W1119" i="13"/>
  <c r="C2898" i="3"/>
  <c r="AW2801" i="3"/>
  <c r="AZ25" i="3"/>
  <c r="AV54" i="4"/>
  <c r="C144" i="17"/>
  <c r="C2922" i="3"/>
  <c r="C1152" i="13"/>
  <c r="C2923" i="3"/>
  <c r="AY2994" i="3"/>
  <c r="BA2994" i="3"/>
  <c r="AZ2994" i="3"/>
  <c r="AU2933" i="3"/>
  <c r="AZ2933" i="3"/>
  <c r="L145" i="17"/>
  <c r="T145" i="17"/>
  <c r="U145" i="17"/>
  <c r="BA2818" i="3"/>
  <c r="AV2818" i="3"/>
  <c r="C2988" i="3"/>
  <c r="C2799" i="3"/>
  <c r="C2800" i="3"/>
  <c r="C1178" i="13"/>
  <c r="AX65" i="3"/>
  <c r="AU41" i="3"/>
  <c r="AU25" i="3"/>
  <c r="BA2846" i="3"/>
  <c r="AZ2846" i="3"/>
  <c r="AV2899" i="3"/>
  <c r="BA2899" i="3"/>
  <c r="AY2895" i="3"/>
  <c r="AX2895" i="3"/>
  <c r="AU2895" i="3"/>
  <c r="AZ2895" i="3"/>
  <c r="AR2893" i="3"/>
  <c r="BA2893" i="3"/>
  <c r="AZ2893" i="3"/>
  <c r="AY2893" i="3"/>
  <c r="AR2909" i="3"/>
  <c r="AZ2909" i="3"/>
  <c r="AS365" i="4"/>
  <c r="AW365" i="4"/>
  <c r="AP365" i="4"/>
  <c r="C2990" i="3"/>
  <c r="AT65" i="3"/>
  <c r="AT2785" i="3"/>
  <c r="BA2785" i="3"/>
  <c r="AU3009" i="3"/>
  <c r="AZ3009" i="3"/>
  <c r="C3021" i="3"/>
  <c r="C1148" i="13"/>
  <c r="C1145" i="13"/>
  <c r="C2904" i="3"/>
  <c r="AZ2962" i="3"/>
  <c r="AD1147" i="13"/>
  <c r="AD1160" i="13"/>
  <c r="AT344" i="4"/>
  <c r="AX2870" i="3"/>
  <c r="AB1128" i="13"/>
  <c r="C2954" i="3"/>
  <c r="C3023" i="3"/>
  <c r="V1144" i="13"/>
  <c r="AW2904" i="3"/>
  <c r="AT2945" i="3"/>
  <c r="AB1165" i="13"/>
  <c r="AS2798" i="3"/>
  <c r="AR2868" i="3"/>
  <c r="AZ2864" i="3"/>
  <c r="BA2950" i="3"/>
  <c r="AX344" i="4"/>
  <c r="AZ2870" i="3"/>
  <c r="BA2962" i="3"/>
  <c r="AW350" i="4"/>
  <c r="AZ2931" i="3"/>
  <c r="AT2780" i="3"/>
  <c r="AU2870" i="3"/>
  <c r="AP350" i="4"/>
  <c r="C1143" i="13"/>
  <c r="AX2945" i="3"/>
  <c r="AU2798" i="3"/>
  <c r="C3011" i="3"/>
  <c r="C2976" i="3"/>
  <c r="AX2950" i="3"/>
  <c r="AZ2789" i="3"/>
  <c r="BA2870" i="3"/>
  <c r="AZ2780" i="3"/>
  <c r="AW358" i="4"/>
  <c r="AX350" i="4"/>
  <c r="BA2925" i="3"/>
  <c r="AE1158" i="13"/>
  <c r="BA2931" i="3"/>
  <c r="AU2780" i="3"/>
  <c r="AP344" i="4"/>
  <c r="AU344" i="4"/>
  <c r="C2785" i="3"/>
  <c r="AC1138" i="13"/>
  <c r="C3002" i="3"/>
  <c r="C2808" i="3"/>
  <c r="AY2945" i="3"/>
  <c r="C2965" i="3"/>
  <c r="C381" i="4"/>
  <c r="AW2950" i="3"/>
  <c r="BA2941" i="3"/>
  <c r="AE1138" i="13"/>
  <c r="AE1160" i="13"/>
  <c r="AW2780" i="3"/>
  <c r="AQ344" i="4"/>
  <c r="AR2870" i="3"/>
  <c r="C3004" i="3"/>
  <c r="BA2945" i="3"/>
  <c r="BA2798" i="3"/>
  <c r="AW375" i="4"/>
  <c r="C380" i="4"/>
  <c r="AY2824" i="3"/>
  <c r="AT2977" i="3"/>
  <c r="AS2831" i="3"/>
  <c r="AW2831" i="3"/>
  <c r="C1185" i="13"/>
  <c r="C2828" i="3"/>
  <c r="C2837" i="3"/>
  <c r="AE1144" i="13"/>
  <c r="AE1145" i="13"/>
  <c r="AZ2925" i="3"/>
  <c r="AV344" i="4"/>
  <c r="AW2870" i="3"/>
  <c r="C3006" i="3"/>
  <c r="AR3002" i="3"/>
  <c r="AA1144" i="13"/>
  <c r="C1168" i="13"/>
  <c r="AZ2798" i="3"/>
  <c r="C1179" i="13"/>
  <c r="C378" i="4"/>
  <c r="C149" i="17"/>
  <c r="C2972" i="3"/>
  <c r="C2975" i="3"/>
  <c r="AX933" i="3"/>
  <c r="AT933" i="3"/>
  <c r="AY921" i="3"/>
  <c r="AU921" i="3"/>
  <c r="BA909" i="3"/>
  <c r="AV909" i="3"/>
  <c r="BA897" i="3"/>
  <c r="AW897" i="3"/>
  <c r="AS897" i="3"/>
  <c r="AX885" i="3"/>
  <c r="BA873" i="3"/>
  <c r="AW873" i="3"/>
  <c r="AS873" i="3"/>
  <c r="AW861" i="3"/>
  <c r="AZ849" i="3"/>
  <c r="AV849" i="3"/>
  <c r="AS807" i="3"/>
  <c r="BA795" i="3"/>
  <c r="AR795" i="3"/>
  <c r="AX783" i="3"/>
  <c r="AZ771" i="3"/>
  <c r="AS771" i="3"/>
  <c r="AV759" i="3"/>
  <c r="BA747" i="3"/>
  <c r="AR747" i="3"/>
  <c r="AZ735" i="3"/>
  <c r="AR723" i="3"/>
  <c r="AZ711" i="3"/>
  <c r="BA699" i="3"/>
  <c r="AR837" i="3"/>
  <c r="AS837" i="3"/>
  <c r="AX837" i="3"/>
  <c r="AR825" i="3"/>
  <c r="AU825" i="3"/>
  <c r="AX825" i="3"/>
  <c r="BA825" i="3"/>
  <c r="AV825" i="3"/>
  <c r="AY813" i="3"/>
  <c r="AW813" i="3"/>
  <c r="BA813" i="3"/>
  <c r="AR801" i="3"/>
  <c r="AU801" i="3"/>
  <c r="AX801" i="3"/>
  <c r="BA801" i="3"/>
  <c r="AT801" i="3"/>
  <c r="AZ801" i="3"/>
  <c r="AY789" i="3"/>
  <c r="AW789" i="3"/>
  <c r="BA789" i="3"/>
  <c r="AT777" i="3"/>
  <c r="AW777" i="3"/>
  <c r="AZ777" i="3"/>
  <c r="AU777" i="3"/>
  <c r="BA777" i="3"/>
  <c r="AS765" i="3"/>
  <c r="AV765" i="3"/>
  <c r="AY765" i="3"/>
  <c r="AT765" i="3"/>
  <c r="AZ765" i="3"/>
  <c r="AR753" i="3"/>
  <c r="AU753" i="3"/>
  <c r="AX753" i="3"/>
  <c r="BA753" i="3"/>
  <c r="AS753" i="3"/>
  <c r="AY753" i="3"/>
  <c r="AR741" i="3"/>
  <c r="AU741" i="3"/>
  <c r="AX741" i="3"/>
  <c r="BA741" i="3"/>
  <c r="AT741" i="3"/>
  <c r="AZ741" i="3"/>
  <c r="AS729" i="3"/>
  <c r="AV729" i="3"/>
  <c r="AY729" i="3"/>
  <c r="AR729" i="3"/>
  <c r="AX729" i="3"/>
  <c r="AU729" i="3"/>
  <c r="BA729" i="3"/>
  <c r="AS717" i="3"/>
  <c r="AV717" i="3"/>
  <c r="AY717" i="3"/>
  <c r="AR717" i="3"/>
  <c r="AX717" i="3"/>
  <c r="AU717" i="3"/>
  <c r="BA717" i="3"/>
  <c r="AT705" i="3"/>
  <c r="AW705" i="3"/>
  <c r="AZ705" i="3"/>
  <c r="AV705" i="3"/>
  <c r="AS705" i="3"/>
  <c r="AY705" i="3"/>
  <c r="AR693" i="3"/>
  <c r="AU693" i="3"/>
  <c r="AX693" i="3"/>
  <c r="BA693" i="3"/>
  <c r="AV693" i="3"/>
  <c r="AS693" i="3"/>
  <c r="AY693" i="3"/>
  <c r="AS681" i="3"/>
  <c r="AV681" i="3"/>
  <c r="AY681" i="3"/>
  <c r="AT681" i="3"/>
  <c r="AZ681" i="3"/>
  <c r="AW681" i="3"/>
  <c r="AR669" i="3"/>
  <c r="AU669" i="3"/>
  <c r="AX669" i="3"/>
  <c r="BA669" i="3"/>
  <c r="AT669" i="3"/>
  <c r="AZ669" i="3"/>
  <c r="AW669" i="3"/>
  <c r="AR657" i="3"/>
  <c r="AU657" i="3"/>
  <c r="AX657" i="3"/>
  <c r="BA657" i="3"/>
  <c r="AS657" i="3"/>
  <c r="AY657" i="3"/>
  <c r="AV657" i="3"/>
  <c r="AT645" i="3"/>
  <c r="AW645" i="3"/>
  <c r="AZ645" i="3"/>
  <c r="AU645" i="3"/>
  <c r="BA645" i="3"/>
  <c r="AV645" i="3"/>
  <c r="AR645" i="3"/>
  <c r="AY645" i="3"/>
  <c r="AR633" i="3"/>
  <c r="AU633" i="3"/>
  <c r="AX633" i="3"/>
  <c r="BA633" i="3"/>
  <c r="AW633" i="3"/>
  <c r="AT633" i="3"/>
  <c r="AY633" i="3"/>
  <c r="AS621" i="3"/>
  <c r="AV621" i="3"/>
  <c r="AY621" i="3"/>
  <c r="AT621" i="3"/>
  <c r="AZ621" i="3"/>
  <c r="AW621" i="3"/>
  <c r="BA621" i="3"/>
  <c r="AU621" i="3"/>
  <c r="AS609" i="3"/>
  <c r="AV609" i="3"/>
  <c r="AY609" i="3"/>
  <c r="AT609" i="3"/>
  <c r="AZ609" i="3"/>
  <c r="AW609" i="3"/>
  <c r="AX609" i="3"/>
  <c r="AR609" i="3"/>
  <c r="AT597" i="3"/>
  <c r="AW597" i="3"/>
  <c r="AZ597" i="3"/>
  <c r="AV597" i="3"/>
  <c r="AS597" i="3"/>
  <c r="AY597" i="3"/>
  <c r="AX597" i="3"/>
  <c r="AR597" i="3"/>
  <c r="AT585" i="3"/>
  <c r="AW585" i="3"/>
  <c r="AZ585" i="3"/>
  <c r="AR585" i="3"/>
  <c r="AX585" i="3"/>
  <c r="AU585" i="3"/>
  <c r="BA585" i="3"/>
  <c r="AV585" i="3"/>
  <c r="AT573" i="3"/>
  <c r="AW573" i="3"/>
  <c r="AZ573" i="3"/>
  <c r="AV573" i="3"/>
  <c r="AS573" i="3"/>
  <c r="AY573" i="3"/>
  <c r="AU573" i="3"/>
  <c r="BA573" i="3"/>
  <c r="AR561" i="3"/>
  <c r="AU561" i="3"/>
  <c r="AX561" i="3"/>
  <c r="BA561" i="3"/>
  <c r="AS561" i="3"/>
  <c r="AY561" i="3"/>
  <c r="AV561" i="3"/>
  <c r="AT561" i="3"/>
  <c r="AZ561" i="3"/>
  <c r="AR549" i="3"/>
  <c r="AS549" i="3"/>
  <c r="AV549" i="3"/>
  <c r="AY549" i="3"/>
  <c r="AX549" i="3"/>
  <c r="AU549" i="3"/>
  <c r="BA549" i="3"/>
  <c r="AW549" i="3"/>
  <c r="AR537" i="3"/>
  <c r="AU537" i="3"/>
  <c r="AX537" i="3"/>
  <c r="BA537" i="3"/>
  <c r="AT537" i="3"/>
  <c r="AY537" i="3"/>
  <c r="AW537" i="3"/>
  <c r="AS537" i="3"/>
  <c r="AV537" i="3"/>
  <c r="AR525" i="3"/>
  <c r="AU525" i="3"/>
  <c r="AX525" i="3"/>
  <c r="BA525" i="3"/>
  <c r="AT525" i="3"/>
  <c r="AY525" i="3"/>
  <c r="AS525" i="3"/>
  <c r="AW525" i="3"/>
  <c r="AV525" i="3"/>
  <c r="AR513" i="3"/>
  <c r="AU513" i="3"/>
  <c r="AX513" i="3"/>
  <c r="BA513" i="3"/>
  <c r="AT513" i="3"/>
  <c r="AY513" i="3"/>
  <c r="AS513" i="3"/>
  <c r="AW513" i="3"/>
  <c r="AV513" i="3"/>
  <c r="AS501" i="3"/>
  <c r="AV501" i="3"/>
  <c r="AY501" i="3"/>
  <c r="AT501" i="3"/>
  <c r="AX501" i="3"/>
  <c r="AW501" i="3"/>
  <c r="AR501" i="3"/>
  <c r="BA501" i="3"/>
  <c r="AZ501" i="3"/>
  <c r="AT489" i="3"/>
  <c r="AW489" i="3"/>
  <c r="AZ489" i="3"/>
  <c r="AU489" i="3"/>
  <c r="AY489" i="3"/>
  <c r="AX489" i="3"/>
  <c r="AS489" i="3"/>
  <c r="AR489" i="3"/>
  <c r="BA489" i="3"/>
  <c r="AW477" i="3"/>
  <c r="AS477" i="3"/>
  <c r="AX477" i="3"/>
  <c r="BA477" i="3"/>
  <c r="AR477" i="3"/>
  <c r="AY477" i="3"/>
  <c r="AZ477" i="3"/>
  <c r="AT477" i="3"/>
  <c r="AS465" i="3"/>
  <c r="AV465" i="3"/>
  <c r="AY465" i="3"/>
  <c r="AU465" i="3"/>
  <c r="AZ465" i="3"/>
  <c r="AT465" i="3"/>
  <c r="AX465" i="3"/>
  <c r="BA465" i="3"/>
  <c r="AR465" i="3"/>
  <c r="AU453" i="3"/>
  <c r="BA453" i="3"/>
  <c r="AT453" i="3"/>
  <c r="AW453" i="3"/>
  <c r="AY453" i="3"/>
  <c r="AT441" i="3"/>
  <c r="AW441" i="3"/>
  <c r="AZ441" i="3"/>
  <c r="AS441" i="3"/>
  <c r="AX441" i="3"/>
  <c r="AU441" i="3"/>
  <c r="AY441" i="3"/>
  <c r="AV441" i="3"/>
  <c r="AR429" i="3"/>
  <c r="AV429" i="3"/>
  <c r="AZ429" i="3"/>
  <c r="AW429" i="3"/>
  <c r="AS429" i="3"/>
  <c r="AY429" i="3"/>
  <c r="AT417" i="3"/>
  <c r="AW417" i="3"/>
  <c r="AZ417" i="3"/>
  <c r="AU417" i="3"/>
  <c r="AY417" i="3"/>
  <c r="AV417" i="3"/>
  <c r="AR417" i="3"/>
  <c r="BA417" i="3"/>
  <c r="AX417" i="3"/>
  <c r="AU405" i="3"/>
  <c r="BA405" i="3"/>
  <c r="AR405" i="3"/>
  <c r="AZ405" i="3"/>
  <c r="AT405" i="3"/>
  <c r="AT393" i="3"/>
  <c r="AW393" i="3"/>
  <c r="BA393" i="3"/>
  <c r="AU393" i="3"/>
  <c r="AY393" i="3"/>
  <c r="AV393" i="3"/>
  <c r="AX393" i="3"/>
  <c r="AS381" i="3"/>
  <c r="AZ381" i="3"/>
  <c r="AU381" i="3"/>
  <c r="AW381" i="3"/>
  <c r="AS369" i="3"/>
  <c r="AV369" i="3"/>
  <c r="BA369" i="3"/>
  <c r="AR369" i="3"/>
  <c r="AW369" i="3"/>
  <c r="AU369" i="3"/>
  <c r="AT369" i="3"/>
  <c r="AW357" i="3"/>
  <c r="AV357" i="3"/>
  <c r="AU345" i="3"/>
  <c r="AY345" i="3"/>
  <c r="AT345" i="3"/>
  <c r="AZ345" i="3"/>
  <c r="AV345" i="3"/>
  <c r="BA345" i="3"/>
  <c r="AR345" i="3"/>
  <c r="AS333" i="3"/>
  <c r="AX333" i="3"/>
  <c r="AW333" i="3"/>
  <c r="AT333" i="3"/>
  <c r="AW321" i="3"/>
  <c r="AR321" i="3"/>
  <c r="AX321" i="3"/>
  <c r="BA321" i="3"/>
  <c r="AY321" i="3"/>
  <c r="AV321" i="3"/>
  <c r="AS321" i="3"/>
  <c r="AZ321" i="3"/>
  <c r="AV309" i="3"/>
  <c r="AR309" i="3"/>
  <c r="AZ309" i="3"/>
  <c r="AW309" i="3"/>
  <c r="AS297" i="3"/>
  <c r="AU297" i="3"/>
  <c r="AZ297" i="3"/>
  <c r="AR297" i="3"/>
  <c r="AY297" i="3"/>
  <c r="AX297" i="3"/>
  <c r="AT297" i="3"/>
  <c r="AW285" i="3"/>
  <c r="AU285" i="3"/>
  <c r="AZ285" i="3"/>
  <c r="AY273" i="3"/>
  <c r="AT273" i="3"/>
  <c r="AZ273" i="3"/>
  <c r="AU273" i="3"/>
  <c r="AS273" i="3"/>
  <c r="BA273" i="3"/>
  <c r="AR273" i="3"/>
  <c r="AV273" i="3"/>
  <c r="AS261" i="3"/>
  <c r="BA261" i="3"/>
  <c r="AX261" i="3"/>
  <c r="AX249" i="3"/>
  <c r="AT249" i="3"/>
  <c r="AY249" i="3"/>
  <c r="AW249" i="3"/>
  <c r="AU249" i="3"/>
  <c r="AV225" i="3"/>
  <c r="AR225" i="3"/>
  <c r="AX225" i="3"/>
  <c r="AU225" i="3"/>
  <c r="AS201" i="3"/>
  <c r="AX201" i="3"/>
  <c r="AW201" i="3"/>
  <c r="AT201" i="3"/>
  <c r="AX189" i="3"/>
  <c r="AR189" i="3"/>
  <c r="AU189" i="3"/>
  <c r="AX177" i="3"/>
  <c r="AW177" i="3"/>
  <c r="AT177" i="3"/>
  <c r="BA177" i="3"/>
  <c r="BA165" i="3"/>
  <c r="AS165" i="3"/>
  <c r="AT165" i="3"/>
  <c r="AU153" i="3"/>
  <c r="BA153" i="3"/>
  <c r="AZ153" i="3"/>
  <c r="AT153" i="3"/>
  <c r="AS129" i="3"/>
  <c r="AZ129" i="3"/>
  <c r="AY129" i="3"/>
  <c r="AX129" i="3"/>
  <c r="AT117" i="3"/>
  <c r="AV117" i="3"/>
  <c r="AU105" i="3"/>
  <c r="AV105" i="3"/>
  <c r="BA105" i="3"/>
  <c r="AT105" i="3"/>
  <c r="AW105" i="3"/>
  <c r="AW81" i="3"/>
  <c r="AS81" i="3"/>
  <c r="AV81" i="3"/>
  <c r="BA81" i="3"/>
  <c r="AU57" i="3"/>
  <c r="AZ57" i="3"/>
  <c r="AX57" i="3"/>
  <c r="AW57" i="3"/>
  <c r="AS33" i="3"/>
  <c r="AV33" i="3"/>
  <c r="AW33" i="3"/>
  <c r="AT33" i="3"/>
  <c r="AX21" i="3"/>
  <c r="AT21" i="3"/>
  <c r="AT326" i="4"/>
  <c r="AP326" i="4"/>
  <c r="P29" i="17"/>
  <c r="S29" i="17"/>
  <c r="AZ969" i="3"/>
  <c r="AV969" i="3"/>
  <c r="AY957" i="3"/>
  <c r="BA945" i="3"/>
  <c r="AW945" i="3"/>
  <c r="AZ933" i="3"/>
  <c r="AV933" i="3"/>
  <c r="BA921" i="3"/>
  <c r="AW921" i="3"/>
  <c r="AX909" i="3"/>
  <c r="AT909" i="3"/>
  <c r="AY897" i="3"/>
  <c r="BA885" i="3"/>
  <c r="AV885" i="3"/>
  <c r="AY873" i="3"/>
  <c r="BA867" i="3"/>
  <c r="AW867" i="3"/>
  <c r="AY861" i="3"/>
  <c r="AS861" i="3"/>
  <c r="AX855" i="3"/>
  <c r="AX849" i="3"/>
  <c r="AS849" i="3"/>
  <c r="AY843" i="3"/>
  <c r="BA837" i="3"/>
  <c r="BA831" i="3"/>
  <c r="AY825" i="3"/>
  <c r="BA819" i="3"/>
  <c r="AV813" i="3"/>
  <c r="AS801" i="3"/>
  <c r="AX777" i="3"/>
  <c r="AX765" i="3"/>
  <c r="AZ759" i="3"/>
  <c r="AZ753" i="3"/>
  <c r="AS741" i="3"/>
  <c r="AT729" i="3"/>
  <c r="AW717" i="3"/>
  <c r="AX705" i="3"/>
  <c r="AR681" i="3"/>
  <c r="AY669" i="3"/>
  <c r="AZ633" i="3"/>
  <c r="AR621" i="3"/>
  <c r="AU609" i="3"/>
  <c r="AU597" i="3"/>
  <c r="AY585" i="3"/>
  <c r="AT549" i="3"/>
  <c r="AV489" i="3"/>
  <c r="AW345" i="3"/>
  <c r="AR843" i="3"/>
  <c r="AU843" i="3"/>
  <c r="AX843" i="3"/>
  <c r="BA843" i="3"/>
  <c r="AS831" i="3"/>
  <c r="AV831" i="3"/>
  <c r="AY831" i="3"/>
  <c r="AT819" i="3"/>
  <c r="AW819" i="3"/>
  <c r="AZ819" i="3"/>
  <c r="AS819" i="3"/>
  <c r="AY819" i="3"/>
  <c r="AT807" i="3"/>
  <c r="AW807" i="3"/>
  <c r="BA807" i="3"/>
  <c r="AU807" i="3"/>
  <c r="AT795" i="3"/>
  <c r="AW795" i="3"/>
  <c r="AZ795" i="3"/>
  <c r="AS795" i="3"/>
  <c r="AY795" i="3"/>
  <c r="AT783" i="3"/>
  <c r="AW783" i="3"/>
  <c r="AZ783" i="3"/>
  <c r="AU783" i="3"/>
  <c r="AR771" i="3"/>
  <c r="AU771" i="3"/>
  <c r="AX771" i="3"/>
  <c r="BA771" i="3"/>
  <c r="AV771" i="3"/>
  <c r="AU759" i="3"/>
  <c r="AX759" i="3"/>
  <c r="AW759" i="3"/>
  <c r="AS747" i="3"/>
  <c r="AV747" i="3"/>
  <c r="AY747" i="3"/>
  <c r="AT747" i="3"/>
  <c r="AZ747" i="3"/>
  <c r="AU735" i="3"/>
  <c r="AX735" i="3"/>
  <c r="AR735" i="3"/>
  <c r="AY735" i="3"/>
  <c r="AV735" i="3"/>
  <c r="AS723" i="3"/>
  <c r="AV723" i="3"/>
  <c r="AY723" i="3"/>
  <c r="AT723" i="3"/>
  <c r="AZ723" i="3"/>
  <c r="AW723" i="3"/>
  <c r="AU711" i="3"/>
  <c r="AX711" i="3"/>
  <c r="AV711" i="3"/>
  <c r="AR711" i="3"/>
  <c r="AY711" i="3"/>
  <c r="AT699" i="3"/>
  <c r="AW699" i="3"/>
  <c r="AZ699" i="3"/>
  <c r="AS699" i="3"/>
  <c r="AY699" i="3"/>
  <c r="AV699" i="3"/>
  <c r="AR687" i="3"/>
  <c r="AV687" i="3"/>
  <c r="AY687" i="3"/>
  <c r="AW687" i="3"/>
  <c r="AT687" i="3"/>
  <c r="AZ687" i="3"/>
  <c r="AR675" i="3"/>
  <c r="AU675" i="3"/>
  <c r="AX675" i="3"/>
  <c r="BA675" i="3"/>
  <c r="AT675" i="3"/>
  <c r="AZ675" i="3"/>
  <c r="AW675" i="3"/>
  <c r="AU663" i="3"/>
  <c r="AX663" i="3"/>
  <c r="AR663" i="3"/>
  <c r="AZ663" i="3"/>
  <c r="AW663" i="3"/>
  <c r="AT651" i="3"/>
  <c r="AW651" i="3"/>
  <c r="AZ651" i="3"/>
  <c r="AU651" i="3"/>
  <c r="BA651" i="3"/>
  <c r="AR651" i="3"/>
  <c r="AY651" i="3"/>
  <c r="AV651" i="3"/>
  <c r="AV639" i="3"/>
  <c r="AY639" i="3"/>
  <c r="AU639" i="3"/>
  <c r="AR639" i="3"/>
  <c r="AX639" i="3"/>
  <c r="AR627" i="3"/>
  <c r="AU627" i="3"/>
  <c r="AX627" i="3"/>
  <c r="BA627" i="3"/>
  <c r="AW627" i="3"/>
  <c r="AT627" i="3"/>
  <c r="AZ627" i="3"/>
  <c r="AS627" i="3"/>
  <c r="AY627" i="3"/>
  <c r="AV615" i="3"/>
  <c r="AY615" i="3"/>
  <c r="AX615" i="3"/>
  <c r="AU615" i="3"/>
  <c r="AW615" i="3"/>
  <c r="AT603" i="3"/>
  <c r="AW603" i="3"/>
  <c r="AZ603" i="3"/>
  <c r="AV603" i="3"/>
  <c r="AS603" i="3"/>
  <c r="AY603" i="3"/>
  <c r="AU603" i="3"/>
  <c r="BA603" i="3"/>
  <c r="AR591" i="3"/>
  <c r="AW591" i="3"/>
  <c r="AZ591" i="3"/>
  <c r="AY591" i="3"/>
  <c r="AV591" i="3"/>
  <c r="AU591" i="3"/>
  <c r="AS579" i="3"/>
  <c r="AV579" i="3"/>
  <c r="AY579" i="3"/>
  <c r="AR579" i="3"/>
  <c r="AX579" i="3"/>
  <c r="AU579" i="3"/>
  <c r="BA579" i="3"/>
  <c r="AW579" i="3"/>
  <c r="AU567" i="3"/>
  <c r="AX567" i="3"/>
  <c r="AW567" i="3"/>
  <c r="AR567" i="3"/>
  <c r="AZ567" i="3"/>
  <c r="AY567" i="3"/>
  <c r="AR555" i="3"/>
  <c r="AU555" i="3"/>
  <c r="AX555" i="3"/>
  <c r="BA555" i="3"/>
  <c r="AT555" i="3"/>
  <c r="AZ555" i="3"/>
  <c r="AW555" i="3"/>
  <c r="AY555" i="3"/>
  <c r="AS555" i="3"/>
  <c r="AU543" i="3"/>
  <c r="AX543" i="3"/>
  <c r="AR543" i="3"/>
  <c r="AY543" i="3"/>
  <c r="AZ543" i="3"/>
  <c r="AV543" i="3"/>
  <c r="AW543" i="3"/>
  <c r="AT531" i="3"/>
  <c r="AW531" i="3"/>
  <c r="AZ531" i="3"/>
  <c r="AU531" i="3"/>
  <c r="AY531" i="3"/>
  <c r="AS531" i="3"/>
  <c r="AX531" i="3"/>
  <c r="AV531" i="3"/>
  <c r="AR519" i="3"/>
  <c r="AW519" i="3"/>
  <c r="AZ519" i="3"/>
  <c r="AX519" i="3"/>
  <c r="AY519" i="3"/>
  <c r="AU519" i="3"/>
  <c r="AV519" i="3"/>
  <c r="AR507" i="3"/>
  <c r="AU507" i="3"/>
  <c r="AX507" i="3"/>
  <c r="BA507" i="3"/>
  <c r="AS507" i="3"/>
  <c r="AW507" i="3"/>
  <c r="AV507" i="3"/>
  <c r="AZ507" i="3"/>
  <c r="AY507" i="3"/>
  <c r="AV495" i="3"/>
  <c r="AY495" i="3"/>
  <c r="AW495" i="3"/>
  <c r="AZ495" i="3"/>
  <c r="AU495" i="3"/>
  <c r="AR495" i="3"/>
  <c r="AU483" i="3"/>
  <c r="AR483" i="3"/>
  <c r="AV483" i="3"/>
  <c r="AY483" i="3"/>
  <c r="AW483" i="3"/>
  <c r="BA483" i="3"/>
  <c r="AT483" i="3"/>
  <c r="AZ483" i="3"/>
  <c r="AS483" i="3"/>
  <c r="AU471" i="3"/>
  <c r="AX471" i="3"/>
  <c r="AW471" i="3"/>
  <c r="AV471" i="3"/>
  <c r="AZ471" i="3"/>
  <c r="AR471" i="3"/>
  <c r="AW459" i="3"/>
  <c r="AR459" i="3"/>
  <c r="AU459" i="3"/>
  <c r="AY459" i="3"/>
  <c r="AT459" i="3"/>
  <c r="AZ459" i="3"/>
  <c r="BA459" i="3"/>
  <c r="AV459" i="3"/>
  <c r="AS459" i="3"/>
  <c r="AV447" i="3"/>
  <c r="AY447" i="3"/>
  <c r="AU447" i="3"/>
  <c r="AZ447" i="3"/>
  <c r="AR447" i="3"/>
  <c r="AX447" i="3"/>
  <c r="AW447" i="3"/>
  <c r="AS435" i="3"/>
  <c r="AW435" i="3"/>
  <c r="BA435" i="3"/>
  <c r="AX435" i="3"/>
  <c r="AU435" i="3"/>
  <c r="AT435" i="3"/>
  <c r="AR423" i="3"/>
  <c r="AW423" i="3"/>
  <c r="AZ423" i="3"/>
  <c r="AU423" i="3"/>
  <c r="AY423" i="3"/>
  <c r="AV423" i="3"/>
  <c r="AX423" i="3"/>
  <c r="AR411" i="3"/>
  <c r="AV411" i="3"/>
  <c r="AZ411" i="3"/>
  <c r="AS411" i="3"/>
  <c r="AY411" i="3"/>
  <c r="AW411" i="3"/>
  <c r="BA411" i="3"/>
  <c r="AV399" i="3"/>
  <c r="AY399" i="3"/>
  <c r="AW399" i="3"/>
  <c r="AR399" i="3"/>
  <c r="AX399" i="3"/>
  <c r="AZ399" i="3"/>
  <c r="AS387" i="3"/>
  <c r="AW387" i="3"/>
  <c r="BA387" i="3"/>
  <c r="AT387" i="3"/>
  <c r="AZ387" i="3"/>
  <c r="AR387" i="3"/>
  <c r="AX387" i="3"/>
  <c r="AV387" i="3"/>
  <c r="AR375" i="3"/>
  <c r="AW375" i="3"/>
  <c r="AZ375" i="3"/>
  <c r="AX375" i="3"/>
  <c r="AV375" i="3"/>
  <c r="AY375" i="3"/>
  <c r="AT363" i="3"/>
  <c r="AW363" i="3"/>
  <c r="BA363" i="3"/>
  <c r="AX363" i="3"/>
  <c r="AU363" i="3"/>
  <c r="AY363" i="3"/>
  <c r="AS351" i="3"/>
  <c r="AW351" i="3"/>
  <c r="AV351" i="3"/>
  <c r="BA351" i="3"/>
  <c r="AU351" i="3"/>
  <c r="AR351" i="3"/>
  <c r="AW339" i="3"/>
  <c r="AT339" i="3"/>
  <c r="BA339" i="3"/>
  <c r="AY339" i="3"/>
  <c r="AS327" i="3"/>
  <c r="AW327" i="3"/>
  <c r="AR327" i="3"/>
  <c r="AV327" i="3"/>
  <c r="AU327" i="3"/>
  <c r="AU315" i="3"/>
  <c r="AV315" i="3"/>
  <c r="AZ315" i="3"/>
  <c r="AV303" i="3"/>
  <c r="AU303" i="3"/>
  <c r="AW303" i="3"/>
  <c r="AZ303" i="3"/>
  <c r="AV291" i="3"/>
  <c r="AY291" i="3"/>
  <c r="AZ291" i="3"/>
  <c r="AT291" i="3"/>
  <c r="AR291" i="3"/>
  <c r="AU279" i="3"/>
  <c r="AY279" i="3"/>
  <c r="AX279" i="3"/>
  <c r="AV279" i="3"/>
  <c r="AV267" i="3"/>
  <c r="AS267" i="3"/>
  <c r="AY267" i="3"/>
  <c r="AZ255" i="3"/>
  <c r="AV255" i="3"/>
  <c r="AW255" i="3"/>
  <c r="AY255" i="3"/>
  <c r="AX243" i="3"/>
  <c r="AY243" i="3"/>
  <c r="AS243" i="3"/>
  <c r="AY219" i="3"/>
  <c r="BA219" i="3"/>
  <c r="AX183" i="3"/>
  <c r="AY183" i="3"/>
  <c r="BA183" i="3"/>
  <c r="BA171" i="3"/>
  <c r="AU171" i="3"/>
  <c r="AS171" i="3"/>
  <c r="AU147" i="3"/>
  <c r="AS147" i="3"/>
  <c r="AT135" i="3"/>
  <c r="AZ135" i="3"/>
  <c r="AY123" i="3"/>
  <c r="AS123" i="3"/>
  <c r="AX75" i="3"/>
  <c r="AT75" i="3"/>
  <c r="AS63" i="3"/>
  <c r="AT63" i="3"/>
  <c r="BA51" i="3"/>
  <c r="AT51" i="3"/>
  <c r="AS39" i="3"/>
  <c r="AZ39" i="3"/>
  <c r="AP284" i="4"/>
  <c r="AR284" i="4"/>
  <c r="AS284" i="4"/>
  <c r="AS260" i="4"/>
  <c r="AU260" i="4"/>
  <c r="AS92" i="4"/>
  <c r="AP92" i="4"/>
  <c r="AR846" i="3"/>
  <c r="AU846" i="3"/>
  <c r="AX846" i="3"/>
  <c r="BA846" i="3"/>
  <c r="AR834" i="3"/>
  <c r="AU834" i="3"/>
  <c r="AX834" i="3"/>
  <c r="BA834" i="3"/>
  <c r="AS822" i="3"/>
  <c r="AV822" i="3"/>
  <c r="AY822" i="3"/>
  <c r="AT810" i="3"/>
  <c r="AU810" i="3"/>
  <c r="AX810" i="3"/>
  <c r="BA810" i="3"/>
  <c r="AW798" i="3"/>
  <c r="AS798" i="3"/>
  <c r="AV798" i="3"/>
  <c r="AZ798" i="3"/>
  <c r="AU786" i="3"/>
  <c r="AS786" i="3"/>
  <c r="AW786" i="3"/>
  <c r="AZ786" i="3"/>
  <c r="AU774" i="3"/>
  <c r="AR774" i="3"/>
  <c r="AV774" i="3"/>
  <c r="AY774" i="3"/>
  <c r="AU762" i="3"/>
  <c r="AR762" i="3"/>
  <c r="AV762" i="3"/>
  <c r="AY762" i="3"/>
  <c r="AS750" i="3"/>
  <c r="AX750" i="3"/>
  <c r="BA750" i="3"/>
  <c r="AU738" i="3"/>
  <c r="AR738" i="3"/>
  <c r="AV738" i="3"/>
  <c r="AY738" i="3"/>
  <c r="AS726" i="3"/>
  <c r="AW726" i="3"/>
  <c r="AU714" i="3"/>
  <c r="AR714" i="3"/>
  <c r="AV714" i="3"/>
  <c r="AY714" i="3"/>
  <c r="AX702" i="3"/>
  <c r="BA702" i="3"/>
  <c r="AU690" i="3"/>
  <c r="AT690" i="3"/>
  <c r="AX690" i="3"/>
  <c r="BA690" i="3"/>
  <c r="AS678" i="3"/>
  <c r="AW678" i="3"/>
  <c r="AS666" i="3"/>
  <c r="AX666" i="3"/>
  <c r="BA666" i="3"/>
  <c r="AW642" i="3"/>
  <c r="AZ642" i="3"/>
  <c r="AS630" i="3"/>
  <c r="AR630" i="3"/>
  <c r="BA630" i="3"/>
  <c r="AT618" i="3"/>
  <c r="BA618" i="3"/>
  <c r="AS594" i="3"/>
  <c r="AX594" i="3"/>
  <c r="AS582" i="3"/>
  <c r="BA582" i="3"/>
  <c r="AW570" i="3"/>
  <c r="AZ570" i="3"/>
  <c r="AS546" i="3"/>
  <c r="BA546" i="3"/>
  <c r="AW546" i="3"/>
  <c r="AY534" i="3"/>
  <c r="AX534" i="3"/>
  <c r="AT522" i="3"/>
  <c r="AY522" i="3"/>
  <c r="AZ522" i="3"/>
  <c r="AY498" i="3"/>
  <c r="AS498" i="3"/>
  <c r="AR474" i="3"/>
  <c r="AW474" i="3"/>
  <c r="AS474" i="3"/>
  <c r="AY450" i="3"/>
  <c r="AW450" i="3"/>
  <c r="BA450" i="3"/>
  <c r="AR426" i="3"/>
  <c r="AZ426" i="3"/>
  <c r="AS426" i="3"/>
  <c r="AT402" i="3"/>
  <c r="AY402" i="3"/>
  <c r="AS402" i="3"/>
  <c r="AY378" i="3"/>
  <c r="AX378" i="3"/>
  <c r="AR354" i="3"/>
  <c r="AS354" i="3"/>
  <c r="AS330" i="3"/>
  <c r="BA330" i="3"/>
  <c r="AZ330" i="3"/>
  <c r="AT282" i="3"/>
  <c r="AZ282" i="3"/>
  <c r="AU138" i="3"/>
  <c r="AV138" i="3"/>
  <c r="AX66" i="3"/>
  <c r="AU66" i="3"/>
  <c r="AY66" i="3"/>
  <c r="AW42" i="3"/>
  <c r="AZ42" i="3"/>
  <c r="O74" i="17"/>
  <c r="U74" i="17"/>
  <c r="P50" i="17"/>
  <c r="O50" i="17"/>
  <c r="AT840" i="3"/>
  <c r="AZ840" i="3"/>
  <c r="AR828" i="3"/>
  <c r="AX828" i="3"/>
  <c r="AT792" i="3"/>
  <c r="BA792" i="3"/>
  <c r="AY780" i="3"/>
  <c r="AW780" i="3"/>
  <c r="AS768" i="3"/>
  <c r="AZ768" i="3"/>
  <c r="AU744" i="3"/>
  <c r="AZ744" i="3"/>
  <c r="AT720" i="3"/>
  <c r="AY720" i="3"/>
  <c r="AV708" i="3"/>
  <c r="AT708" i="3"/>
  <c r="AT648" i="3"/>
  <c r="BA648" i="3"/>
  <c r="AV636" i="3"/>
  <c r="AU636" i="3"/>
  <c r="AT624" i="3"/>
  <c r="BA624" i="3"/>
  <c r="AZ588" i="3"/>
  <c r="AY588" i="3"/>
  <c r="AR257" i="4"/>
  <c r="AP257" i="4"/>
  <c r="AS161" i="4"/>
  <c r="AW161" i="4"/>
  <c r="L359" i="12"/>
  <c r="M359" i="12"/>
  <c r="AR185" i="3"/>
  <c r="AZ185" i="3"/>
  <c r="AT176" i="3"/>
  <c r="AV176" i="3"/>
  <c r="AU161" i="3"/>
  <c r="BA161" i="3"/>
  <c r="AV149" i="3"/>
  <c r="AU149" i="3"/>
  <c r="AX146" i="3"/>
  <c r="AW146" i="3"/>
  <c r="AX137" i="3"/>
  <c r="AS137" i="3"/>
  <c r="AW137" i="3"/>
  <c r="AT113" i="3"/>
  <c r="BA113" i="3"/>
  <c r="AT107" i="3"/>
  <c r="AZ107" i="3"/>
  <c r="AU101" i="3"/>
  <c r="AS101" i="3"/>
  <c r="AW89" i="3"/>
  <c r="AR89" i="3"/>
  <c r="BA89" i="3"/>
  <c r="AW77" i="3"/>
  <c r="BA77" i="3"/>
  <c r="AV41" i="3"/>
  <c r="AT41" i="3"/>
  <c r="AW70" i="4"/>
  <c r="AU70" i="4"/>
  <c r="AP70" i="4"/>
  <c r="AO46" i="4"/>
  <c r="AW46" i="4"/>
  <c r="E35" i="13"/>
  <c r="E2960" i="3"/>
  <c r="C2822" i="3"/>
  <c r="C3009" i="3"/>
  <c r="C2815" i="3"/>
  <c r="C3019" i="3"/>
  <c r="AT350" i="4"/>
  <c r="E1127" i="13"/>
  <c r="M392" i="12"/>
  <c r="C354" i="4"/>
  <c r="C3003" i="3"/>
  <c r="C3024" i="3"/>
  <c r="C2939" i="3"/>
  <c r="C2940" i="3"/>
  <c r="AY3024" i="3"/>
  <c r="C2806" i="3"/>
  <c r="Y1150" i="13"/>
  <c r="AW2925" i="3"/>
  <c r="C2924" i="3"/>
  <c r="AS2996" i="3"/>
  <c r="C1157" i="13"/>
  <c r="C2995" i="3"/>
  <c r="C2934" i="3"/>
  <c r="E903" i="3"/>
  <c r="C3010" i="3"/>
  <c r="C347" i="4"/>
  <c r="D528" i="12"/>
  <c r="D411" i="12"/>
  <c r="D543" i="12"/>
  <c r="D462" i="12"/>
  <c r="D137" i="34" s="1"/>
  <c r="D210" i="12"/>
  <c r="D471" i="12"/>
  <c r="D146" i="34" s="1"/>
  <c r="D390" i="12"/>
  <c r="D521" i="12"/>
  <c r="D529" i="12"/>
  <c r="D523" i="12"/>
  <c r="D477" i="12"/>
  <c r="D327" i="12"/>
  <c r="D44" i="34" s="1"/>
  <c r="D320" i="12"/>
  <c r="D463" i="12"/>
  <c r="D301" i="12"/>
  <c r="D324" i="12"/>
  <c r="D449" i="12"/>
  <c r="D96" i="34" s="1"/>
  <c r="D416" i="12"/>
  <c r="D483" i="12"/>
  <c r="D242" i="12"/>
  <c r="D25" i="34" s="1"/>
  <c r="D331" i="12"/>
  <c r="D335" i="12"/>
  <c r="D439" i="12"/>
  <c r="D397" i="12"/>
  <c r="D402" i="12"/>
  <c r="D89" i="34" s="1"/>
  <c r="D428" i="12"/>
  <c r="D396" i="12"/>
  <c r="D221" i="12"/>
  <c r="D22" i="34" s="1"/>
  <c r="D317" i="12"/>
  <c r="D271" i="12"/>
  <c r="D36" i="34" s="1"/>
  <c r="D357" i="12"/>
  <c r="D408" i="12"/>
  <c r="D405" i="12"/>
  <c r="D443" i="12"/>
  <c r="D332" i="12"/>
  <c r="D277" i="12"/>
  <c r="D312" i="12"/>
  <c r="D369" i="12"/>
  <c r="D347" i="12"/>
  <c r="D420" i="12"/>
  <c r="D365" i="12"/>
  <c r="D450" i="12"/>
  <c r="D308" i="12"/>
  <c r="D34" i="12"/>
  <c r="D310" i="12"/>
  <c r="D323" i="12"/>
  <c r="D446" i="12"/>
  <c r="D386" i="12"/>
  <c r="D427" i="12"/>
  <c r="D93" i="34" s="1"/>
  <c r="D10" i="12"/>
  <c r="D362" i="12"/>
  <c r="D218" i="12"/>
  <c r="D545" i="12"/>
  <c r="D544" i="12"/>
  <c r="D222" i="12"/>
  <c r="D423" i="12"/>
  <c r="D294" i="12"/>
  <c r="D349" i="12"/>
  <c r="D413" i="12"/>
  <c r="D274" i="12"/>
  <c r="D285" i="12"/>
  <c r="D293" i="12"/>
  <c r="D350" i="12"/>
  <c r="D231" i="12"/>
  <c r="D356" i="12"/>
  <c r="D337" i="12"/>
  <c r="D534" i="12"/>
  <c r="D184" i="12"/>
  <c r="D407" i="12"/>
  <c r="C2950" i="3"/>
  <c r="C2864" i="3"/>
  <c r="C2797" i="3"/>
  <c r="C1191" i="13"/>
  <c r="AS2797" i="3"/>
  <c r="AR2950" i="3"/>
  <c r="AV964" i="3"/>
  <c r="AV956" i="3"/>
  <c r="AV948" i="3"/>
  <c r="AV940" i="3"/>
  <c r="AV932" i="3"/>
  <c r="AU924" i="3"/>
  <c r="AT916" i="3"/>
  <c r="AY908" i="3"/>
  <c r="AT900" i="3"/>
  <c r="AV892" i="3"/>
  <c r="AW884" i="3"/>
  <c r="AW876" i="3"/>
  <c r="AV868" i="3"/>
  <c r="AU860" i="3"/>
  <c r="AT852" i="3"/>
  <c r="BA844" i="3"/>
  <c r="AS844" i="3"/>
  <c r="AZ836" i="3"/>
  <c r="AR836" i="3"/>
  <c r="AY828" i="3"/>
  <c r="AW820" i="3"/>
  <c r="BA812" i="3"/>
  <c r="AS812" i="3"/>
  <c r="AU804" i="3"/>
  <c r="AW796" i="3"/>
  <c r="AX788" i="3"/>
  <c r="AX780" i="3"/>
  <c r="AW772" i="3"/>
  <c r="AW764" i="3"/>
  <c r="AV756" i="3"/>
  <c r="AU748" i="3"/>
  <c r="BA740" i="3"/>
  <c r="AS740" i="3"/>
  <c r="AX732" i="3"/>
  <c r="AV724" i="3"/>
  <c r="AZ716" i="3"/>
  <c r="AR716" i="3"/>
  <c r="AU708" i="3"/>
  <c r="AX700" i="3"/>
  <c r="AZ692" i="3"/>
  <c r="AR692" i="3"/>
  <c r="AU684" i="3"/>
  <c r="AW676" i="3"/>
  <c r="AX668" i="3"/>
  <c r="AX660" i="3"/>
  <c r="AY652" i="3"/>
  <c r="AY644" i="3"/>
  <c r="AS636" i="3"/>
  <c r="BA636" i="3"/>
  <c r="AT636" i="3"/>
  <c r="AY628" i="3"/>
  <c r="AR628" i="3"/>
  <c r="AZ628" i="3"/>
  <c r="AX620" i="3"/>
  <c r="AY620" i="3"/>
  <c r="AS620" i="3"/>
  <c r="BA620" i="3"/>
  <c r="AR612" i="3"/>
  <c r="AZ612" i="3"/>
  <c r="AS612" i="3"/>
  <c r="BA612" i="3"/>
  <c r="AU612" i="3"/>
  <c r="AU604" i="3"/>
  <c r="AV604" i="3"/>
  <c r="AX604" i="3"/>
  <c r="AX596" i="3"/>
  <c r="AY596" i="3"/>
  <c r="AS596" i="3"/>
  <c r="BA596" i="3"/>
  <c r="AT588" i="3"/>
  <c r="AU588" i="3"/>
  <c r="AW588" i="3"/>
  <c r="AT580" i="3"/>
  <c r="AU580" i="3"/>
  <c r="AV580" i="3"/>
  <c r="AX580" i="3"/>
  <c r="AR572" i="3"/>
  <c r="AZ572" i="3"/>
  <c r="AS572" i="3"/>
  <c r="BA572" i="3"/>
  <c r="AT572" i="3"/>
  <c r="AV572" i="3"/>
  <c r="AY564" i="3"/>
  <c r="AR564" i="3"/>
  <c r="AZ564" i="3"/>
  <c r="AS564" i="3"/>
  <c r="BA564" i="3"/>
  <c r="AU564" i="3"/>
  <c r="AW556" i="3"/>
  <c r="AX556" i="3"/>
  <c r="AY556" i="3"/>
  <c r="AR556" i="3"/>
  <c r="AZ556" i="3"/>
  <c r="AT556" i="3"/>
  <c r="AT548" i="3"/>
  <c r="AU548" i="3"/>
  <c r="AV548" i="3"/>
  <c r="AW548" i="3"/>
  <c r="AX548" i="3"/>
  <c r="AR548" i="3"/>
  <c r="AZ548" i="3"/>
  <c r="AS540" i="3"/>
  <c r="BA540" i="3"/>
  <c r="AT540" i="3"/>
  <c r="AU540" i="3"/>
  <c r="AV540" i="3"/>
  <c r="AW540" i="3"/>
  <c r="AX540" i="3"/>
  <c r="AY540" i="3"/>
  <c r="AY532" i="3"/>
  <c r="AR532" i="3"/>
  <c r="AZ532" i="3"/>
  <c r="AS532" i="3"/>
  <c r="BA532" i="3"/>
  <c r="AT532" i="3"/>
  <c r="AU532" i="3"/>
  <c r="AV532" i="3"/>
  <c r="AW532" i="3"/>
  <c r="AW524" i="3"/>
  <c r="AX524" i="3"/>
  <c r="AY524" i="3"/>
  <c r="AR524" i="3"/>
  <c r="AZ524" i="3"/>
  <c r="AS524" i="3"/>
  <c r="BA524" i="3"/>
  <c r="AT524" i="3"/>
  <c r="AU524" i="3"/>
  <c r="AT516" i="3"/>
  <c r="AU516" i="3"/>
  <c r="AV516" i="3"/>
  <c r="AW516" i="3"/>
  <c r="AX516" i="3"/>
  <c r="AY516" i="3"/>
  <c r="AR516" i="3"/>
  <c r="AZ516" i="3"/>
  <c r="AX508" i="3"/>
  <c r="AY508" i="3"/>
  <c r="AR508" i="3"/>
  <c r="AZ508" i="3"/>
  <c r="AS508" i="3"/>
  <c r="BA508" i="3"/>
  <c r="AT508" i="3"/>
  <c r="AU508" i="3"/>
  <c r="AV508" i="3"/>
  <c r="AV500" i="3"/>
  <c r="AW500" i="3"/>
  <c r="AX500" i="3"/>
  <c r="AY500" i="3"/>
  <c r="AR500" i="3"/>
  <c r="AZ500" i="3"/>
  <c r="AS500" i="3"/>
  <c r="BA500" i="3"/>
  <c r="AT500" i="3"/>
  <c r="AR492" i="3"/>
  <c r="AZ492" i="3"/>
  <c r="AS492" i="3"/>
  <c r="BA492" i="3"/>
  <c r="AT492" i="3"/>
  <c r="AU492" i="3"/>
  <c r="AV492" i="3"/>
  <c r="AW492" i="3"/>
  <c r="AX492" i="3"/>
  <c r="AW484" i="3"/>
  <c r="AX484" i="3"/>
  <c r="AY484" i="3"/>
  <c r="AR484" i="3"/>
  <c r="AZ484" i="3"/>
  <c r="AS484" i="3"/>
  <c r="BA484" i="3"/>
  <c r="AT484" i="3"/>
  <c r="AU484" i="3"/>
  <c r="AY476" i="3"/>
  <c r="AR476" i="3"/>
  <c r="AZ476" i="3"/>
  <c r="AS476" i="3"/>
  <c r="BA476" i="3"/>
  <c r="AT476" i="3"/>
  <c r="AU476" i="3"/>
  <c r="AV476" i="3"/>
  <c r="AW476" i="3"/>
  <c r="AT468" i="3"/>
  <c r="AU468" i="3"/>
  <c r="AV468" i="3"/>
  <c r="AW468" i="3"/>
  <c r="AX468" i="3"/>
  <c r="AY468" i="3"/>
  <c r="AR468" i="3"/>
  <c r="AZ468" i="3"/>
  <c r="AT460" i="3"/>
  <c r="AU460" i="3"/>
  <c r="AV460" i="3"/>
  <c r="AW460" i="3"/>
  <c r="AX460" i="3"/>
  <c r="AY460" i="3"/>
  <c r="AR460" i="3"/>
  <c r="AZ460" i="3"/>
  <c r="AT452" i="3"/>
  <c r="AU452" i="3"/>
  <c r="AV452" i="3"/>
  <c r="AW452" i="3"/>
  <c r="AX452" i="3"/>
  <c r="AY452" i="3"/>
  <c r="AR452" i="3"/>
  <c r="AZ452" i="3"/>
  <c r="AS444" i="3"/>
  <c r="BA444" i="3"/>
  <c r="AT444" i="3"/>
  <c r="AU444" i="3"/>
  <c r="AV444" i="3"/>
  <c r="AW444" i="3"/>
  <c r="AX444" i="3"/>
  <c r="AY444" i="3"/>
  <c r="AR436" i="3"/>
  <c r="AS436" i="3"/>
  <c r="BA436" i="3"/>
  <c r="AT436" i="3"/>
  <c r="AU436" i="3"/>
  <c r="AV436" i="3"/>
  <c r="AW436" i="3"/>
  <c r="AX436" i="3"/>
  <c r="AY436" i="3"/>
  <c r="AY428" i="3"/>
  <c r="AZ428" i="3"/>
  <c r="BA428" i="3"/>
  <c r="AR428" i="3"/>
  <c r="AS428" i="3"/>
  <c r="AT428" i="3"/>
  <c r="AU428" i="3"/>
  <c r="AT420" i="3"/>
  <c r="AV420" i="3"/>
  <c r="AX420" i="3"/>
  <c r="AY420" i="3"/>
  <c r="AZ420" i="3"/>
  <c r="BA420" i="3"/>
  <c r="AR420" i="3"/>
  <c r="AZ412" i="3"/>
  <c r="BA412" i="3"/>
  <c r="AR412" i="3"/>
  <c r="AS412" i="3"/>
  <c r="AU412" i="3"/>
  <c r="AW412" i="3"/>
  <c r="AX412" i="3"/>
  <c r="AU404" i="3"/>
  <c r="AV404" i="3"/>
  <c r="AX404" i="3"/>
  <c r="AZ404" i="3"/>
  <c r="BA404" i="3"/>
  <c r="AR404" i="3"/>
  <c r="AS404" i="3"/>
  <c r="AZ396" i="3"/>
  <c r="BA396" i="3"/>
  <c r="AR396" i="3"/>
  <c r="AS396" i="3"/>
  <c r="AT396" i="3"/>
  <c r="AU396" i="3"/>
  <c r="AS388" i="3"/>
  <c r="AU388" i="3"/>
  <c r="AV388" i="3"/>
  <c r="AW388" i="3"/>
  <c r="AX388" i="3"/>
  <c r="BA388" i="3"/>
  <c r="AT380" i="3"/>
  <c r="AV380" i="3"/>
  <c r="AW380" i="3"/>
  <c r="AX380" i="3"/>
  <c r="AY380" i="3"/>
  <c r="AR372" i="3"/>
  <c r="AT372" i="3"/>
  <c r="AU372" i="3"/>
  <c r="AV372" i="3"/>
  <c r="AW372" i="3"/>
  <c r="AX364" i="3"/>
  <c r="AZ364" i="3"/>
  <c r="BA364" i="3"/>
  <c r="AR364" i="3"/>
  <c r="AS364" i="3"/>
  <c r="AT364" i="3"/>
  <c r="AR356" i="3"/>
  <c r="AS356" i="3"/>
  <c r="AT356" i="3"/>
  <c r="AW356" i="3"/>
  <c r="AY356" i="3"/>
  <c r="AZ356" i="3"/>
  <c r="BA356" i="3"/>
  <c r="AV348" i="3"/>
  <c r="AW348" i="3"/>
  <c r="AX348" i="3"/>
  <c r="AY348" i="3"/>
  <c r="AX340" i="3"/>
  <c r="AZ340" i="3"/>
  <c r="BA340" i="3"/>
  <c r="AR340" i="3"/>
  <c r="AS340" i="3"/>
  <c r="AT340" i="3"/>
  <c r="BA332" i="3"/>
  <c r="AS332" i="3"/>
  <c r="AU332" i="3"/>
  <c r="AV332" i="3"/>
  <c r="AW332" i="3"/>
  <c r="AX324" i="3"/>
  <c r="AY324" i="3"/>
  <c r="AZ324" i="3"/>
  <c r="BA324" i="3"/>
  <c r="AR324" i="3"/>
  <c r="AS324" i="3"/>
  <c r="AS316" i="3"/>
  <c r="AT316" i="3"/>
  <c r="AW316" i="3"/>
  <c r="AY316" i="3"/>
  <c r="AZ316" i="3"/>
  <c r="BA316" i="3"/>
  <c r="AV308" i="3"/>
  <c r="AX308" i="3"/>
  <c r="AY308" i="3"/>
  <c r="AZ308" i="3"/>
  <c r="BA308" i="3"/>
  <c r="AR308" i="3"/>
  <c r="BA300" i="3"/>
  <c r="AR300" i="3"/>
  <c r="AS300" i="3"/>
  <c r="AV300" i="3"/>
  <c r="AX300" i="3"/>
  <c r="AY300" i="3"/>
  <c r="AR292" i="3"/>
  <c r="AU292" i="3"/>
  <c r="AW292" i="3"/>
  <c r="AX292" i="3"/>
  <c r="AY292" i="3"/>
  <c r="AT284" i="3"/>
  <c r="AV284" i="3"/>
  <c r="AW284" i="3"/>
  <c r="AX284" i="3"/>
  <c r="AS276" i="3"/>
  <c r="AT276" i="3"/>
  <c r="AU276" i="3"/>
  <c r="AV276" i="3"/>
  <c r="AY276" i="3"/>
  <c r="BA276" i="3"/>
  <c r="AT268" i="3"/>
  <c r="AV268" i="3"/>
  <c r="AW268" i="3"/>
  <c r="AX268" i="3"/>
  <c r="AY268" i="3"/>
  <c r="AV260" i="3"/>
  <c r="AY260" i="3"/>
  <c r="BA260" i="3"/>
  <c r="AS260" i="3"/>
  <c r="AT260" i="3"/>
  <c r="AT252" i="3"/>
  <c r="AV252" i="3"/>
  <c r="AW252" i="3"/>
  <c r="AX252" i="3"/>
  <c r="AR244" i="3"/>
  <c r="AS244" i="3"/>
  <c r="AT244" i="3"/>
  <c r="AW244" i="3"/>
  <c r="BA244" i="3"/>
  <c r="AS236" i="3"/>
  <c r="AU236" i="3"/>
  <c r="AV236" i="3"/>
  <c r="AW236" i="3"/>
  <c r="BA236" i="3"/>
  <c r="AR228" i="3"/>
  <c r="AU228" i="3"/>
  <c r="AW228" i="3"/>
  <c r="AY228" i="3"/>
  <c r="AZ228" i="3"/>
  <c r="AR220" i="3"/>
  <c r="AV220" i="3"/>
  <c r="AY220" i="3"/>
  <c r="BA220" i="3"/>
  <c r="AR212" i="3"/>
  <c r="AT212" i="3"/>
  <c r="AX212" i="3"/>
  <c r="AV204" i="3"/>
  <c r="AX204" i="3"/>
  <c r="AS196" i="3"/>
  <c r="AW196" i="3"/>
  <c r="BA196" i="3"/>
  <c r="BA188" i="3"/>
  <c r="AS188" i="3"/>
  <c r="AT188" i="3"/>
  <c r="AU188" i="3"/>
  <c r="AZ180" i="3"/>
  <c r="AR180" i="3"/>
  <c r="AT180" i="3"/>
  <c r="AW180" i="3"/>
  <c r="AX172" i="3"/>
  <c r="BA172" i="3"/>
  <c r="AU172" i="3"/>
  <c r="AW164" i="3"/>
  <c r="AS164" i="3"/>
  <c r="AT164" i="3"/>
  <c r="AR156" i="3"/>
  <c r="AU156" i="3"/>
  <c r="AV156" i="3"/>
  <c r="AW156" i="3"/>
  <c r="AX156" i="3"/>
  <c r="AU148" i="3"/>
  <c r="AY148" i="3"/>
  <c r="AZ148" i="3"/>
  <c r="BA148" i="3"/>
  <c r="AR140" i="3"/>
  <c r="AS140" i="3"/>
  <c r="AT140" i="3"/>
  <c r="AY140" i="3"/>
  <c r="AU132" i="3"/>
  <c r="AX132" i="3"/>
  <c r="AY132" i="3"/>
  <c r="AS124" i="3"/>
  <c r="AV124" i="3"/>
  <c r="AX124" i="3"/>
  <c r="AY124" i="3"/>
  <c r="AZ124" i="3"/>
  <c r="AU116" i="3"/>
  <c r="AX116" i="3"/>
  <c r="AY116" i="3"/>
  <c r="AX108" i="3"/>
  <c r="AZ108" i="3"/>
  <c r="BA108" i="3"/>
  <c r="AR100" i="3"/>
  <c r="AS100" i="3"/>
  <c r="AX100" i="3"/>
  <c r="BA100" i="3"/>
  <c r="AS92" i="3"/>
  <c r="AY92" i="3"/>
  <c r="BA92" i="3"/>
  <c r="AR84" i="3"/>
  <c r="AS84" i="3"/>
  <c r="AW84" i="3"/>
  <c r="AW76" i="3"/>
  <c r="AX76" i="3"/>
  <c r="AY76" i="3"/>
  <c r="AV68" i="3"/>
  <c r="AZ68" i="3"/>
  <c r="AU60" i="3"/>
  <c r="AW60" i="3"/>
  <c r="AZ60" i="3"/>
  <c r="BA60" i="3"/>
  <c r="AW52" i="3"/>
  <c r="AX52" i="3"/>
  <c r="AT52" i="3"/>
  <c r="AR44" i="3"/>
  <c r="AU44" i="3"/>
  <c r="AZ44" i="3"/>
  <c r="AW36" i="3"/>
  <c r="AY36" i="3"/>
  <c r="AZ36" i="3"/>
  <c r="AT28" i="3"/>
  <c r="AZ28" i="3"/>
  <c r="AR20" i="3"/>
  <c r="AT20" i="3"/>
  <c r="AV20" i="3"/>
  <c r="BA12" i="3"/>
  <c r="AS12" i="3"/>
  <c r="AU12" i="3"/>
  <c r="AW12" i="3"/>
  <c r="AT325" i="4"/>
  <c r="AR325" i="4"/>
  <c r="AQ309" i="4"/>
  <c r="AV309" i="4"/>
  <c r="AQ301" i="4"/>
  <c r="AO301" i="4"/>
  <c r="AS285" i="4"/>
  <c r="AT285" i="4"/>
  <c r="AQ205" i="4"/>
  <c r="AW205" i="4"/>
  <c r="AR189" i="4"/>
  <c r="AV189" i="4"/>
  <c r="AV141" i="4"/>
  <c r="AQ141" i="4"/>
  <c r="AP141" i="4"/>
  <c r="AW93" i="4"/>
  <c r="AX93" i="4"/>
  <c r="AP77" i="4"/>
  <c r="AQ77" i="4"/>
  <c r="AV77" i="4"/>
  <c r="AR45" i="4"/>
  <c r="AQ45" i="4"/>
  <c r="AX45" i="4"/>
  <c r="AQ37" i="4"/>
  <c r="AR37" i="4"/>
  <c r="AX37" i="4"/>
  <c r="AP29" i="4"/>
  <c r="AW29" i="4"/>
  <c r="AT29" i="4"/>
  <c r="AV21" i="4"/>
  <c r="AQ21" i="4"/>
  <c r="AX21" i="4"/>
  <c r="AW21" i="4"/>
  <c r="AQ13" i="4"/>
  <c r="AR13" i="4"/>
  <c r="AP13" i="4"/>
  <c r="P140" i="17"/>
  <c r="R140" i="17"/>
  <c r="T132" i="17"/>
  <c r="L132" i="17"/>
  <c r="R132" i="17"/>
  <c r="P132" i="17"/>
  <c r="Q124" i="17"/>
  <c r="T124" i="17"/>
  <c r="P124" i="17"/>
  <c r="M116" i="17"/>
  <c r="U116" i="17"/>
  <c r="P116" i="17"/>
  <c r="O116" i="17"/>
  <c r="Q116" i="17"/>
  <c r="N116" i="17"/>
  <c r="T116" i="17"/>
  <c r="O92" i="17"/>
  <c r="L92" i="17"/>
  <c r="S92" i="17"/>
  <c r="O84" i="17"/>
  <c r="P84" i="17"/>
  <c r="R76" i="17"/>
  <c r="U76" i="17"/>
  <c r="P76" i="17"/>
  <c r="S68" i="17"/>
  <c r="U68" i="17"/>
  <c r="P68" i="17"/>
  <c r="Q68" i="17"/>
  <c r="T68" i="17"/>
  <c r="M60" i="17"/>
  <c r="O60" i="17"/>
  <c r="U60" i="17"/>
  <c r="R60" i="17"/>
  <c r="U52" i="17"/>
  <c r="P52" i="17"/>
  <c r="S52" i="17"/>
  <c r="Q52" i="17"/>
  <c r="L36" i="17"/>
  <c r="R36" i="17"/>
  <c r="U36" i="17"/>
  <c r="P36" i="17"/>
  <c r="M28" i="17"/>
  <c r="N28" i="17"/>
  <c r="L28" i="17"/>
  <c r="R28" i="17"/>
  <c r="U28" i="17"/>
  <c r="O20" i="17"/>
  <c r="T20" i="17"/>
  <c r="M20" i="17"/>
  <c r="S20" i="17"/>
  <c r="U12" i="17"/>
  <c r="R12" i="17"/>
  <c r="O12" i="17"/>
  <c r="M12" i="17"/>
  <c r="AT972" i="3"/>
  <c r="AT964" i="3"/>
  <c r="AT956" i="3"/>
  <c r="AT948" i="3"/>
  <c r="AT940" i="3"/>
  <c r="AT932" i="3"/>
  <c r="BA924" i="3"/>
  <c r="AS924" i="3"/>
  <c r="AZ916" i="3"/>
  <c r="AR916" i="3"/>
  <c r="AW908" i="3"/>
  <c r="AZ900" i="3"/>
  <c r="AR900" i="3"/>
  <c r="AT892" i="3"/>
  <c r="AU884" i="3"/>
  <c r="AU876" i="3"/>
  <c r="AT868" i="3"/>
  <c r="BA860" i="3"/>
  <c r="AS860" i="3"/>
  <c r="AZ852" i="3"/>
  <c r="AR852" i="3"/>
  <c r="AY844" i="3"/>
  <c r="AX836" i="3"/>
  <c r="AW828" i="3"/>
  <c r="AU820" i="3"/>
  <c r="AY812" i="3"/>
  <c r="BA804" i="3"/>
  <c r="AS804" i="3"/>
  <c r="AU796" i="3"/>
  <c r="AV788" i="3"/>
  <c r="AV780" i="3"/>
  <c r="AU772" i="3"/>
  <c r="AU764" i="3"/>
  <c r="AT756" i="3"/>
  <c r="BA748" i="3"/>
  <c r="AS748" i="3"/>
  <c r="AY740" i="3"/>
  <c r="AV732" i="3"/>
  <c r="AT724" i="3"/>
  <c r="AX716" i="3"/>
  <c r="BA708" i="3"/>
  <c r="AS708" i="3"/>
  <c r="AV700" i="3"/>
  <c r="AX692" i="3"/>
  <c r="BA684" i="3"/>
  <c r="AS684" i="3"/>
  <c r="AU676" i="3"/>
  <c r="AV668" i="3"/>
  <c r="AV660" i="3"/>
  <c r="AW652" i="3"/>
  <c r="AW644" i="3"/>
  <c r="AR636" i="3"/>
  <c r="AV628" i="3"/>
  <c r="AX612" i="3"/>
  <c r="AW604" i="3"/>
  <c r="AU596" i="3"/>
  <c r="AX588" i="3"/>
  <c r="AR580" i="3"/>
  <c r="AU572" i="3"/>
  <c r="AV564" i="3"/>
  <c r="AV556" i="3"/>
  <c r="AY548" i="3"/>
  <c r="AR540" i="3"/>
  <c r="AZ444" i="3"/>
  <c r="AZ436" i="3"/>
  <c r="AZ300" i="3"/>
  <c r="AY204" i="3"/>
  <c r="AZ12" i="3"/>
  <c r="BA964" i="3"/>
  <c r="AS964" i="3"/>
  <c r="BA956" i="3"/>
  <c r="AS956" i="3"/>
  <c r="BA948" i="3"/>
  <c r="AS948" i="3"/>
  <c r="BA940" i="3"/>
  <c r="AS940" i="3"/>
  <c r="BA932" i="3"/>
  <c r="AS932" i="3"/>
  <c r="AZ924" i="3"/>
  <c r="AR924" i="3"/>
  <c r="AY916" i="3"/>
  <c r="AV908" i="3"/>
  <c r="AY900" i="3"/>
  <c r="BA892" i="3"/>
  <c r="AS892" i="3"/>
  <c r="AT884" i="3"/>
  <c r="AT876" i="3"/>
  <c r="BA868" i="3"/>
  <c r="AS868" i="3"/>
  <c r="AZ860" i="3"/>
  <c r="AR860" i="3"/>
  <c r="AY852" i="3"/>
  <c r="AX844" i="3"/>
  <c r="AW836" i="3"/>
  <c r="AV828" i="3"/>
  <c r="AT820" i="3"/>
  <c r="AX812" i="3"/>
  <c r="AZ804" i="3"/>
  <c r="AR804" i="3"/>
  <c r="AT796" i="3"/>
  <c r="AU788" i="3"/>
  <c r="AU780" i="3"/>
  <c r="AT772" i="3"/>
  <c r="AT764" i="3"/>
  <c r="BA756" i="3"/>
  <c r="AS756" i="3"/>
  <c r="AZ748" i="3"/>
  <c r="AR748" i="3"/>
  <c r="AX740" i="3"/>
  <c r="AU732" i="3"/>
  <c r="BA724" i="3"/>
  <c r="AS724" i="3"/>
  <c r="AW716" i="3"/>
  <c r="AZ708" i="3"/>
  <c r="AR708" i="3"/>
  <c r="AU700" i="3"/>
  <c r="AW692" i="3"/>
  <c r="AZ684" i="3"/>
  <c r="AR684" i="3"/>
  <c r="AT676" i="3"/>
  <c r="AU668" i="3"/>
  <c r="AU660" i="3"/>
  <c r="AV652" i="3"/>
  <c r="AV644" i="3"/>
  <c r="AU628" i="3"/>
  <c r="AZ620" i="3"/>
  <c r="AW612" i="3"/>
  <c r="AT604" i="3"/>
  <c r="AT596" i="3"/>
  <c r="AV588" i="3"/>
  <c r="AT564" i="3"/>
  <c r="AU556" i="3"/>
  <c r="AS548" i="3"/>
  <c r="BA468" i="3"/>
  <c r="BA460" i="3"/>
  <c r="BA452" i="3"/>
  <c r="AR444" i="3"/>
  <c r="AY412" i="3"/>
  <c r="AW172" i="3"/>
  <c r="AU13" i="4"/>
  <c r="AZ972" i="3"/>
  <c r="AR972" i="3"/>
  <c r="AZ964" i="3"/>
  <c r="AR964" i="3"/>
  <c r="AZ956" i="3"/>
  <c r="AR956" i="3"/>
  <c r="AZ948" i="3"/>
  <c r="AR948" i="3"/>
  <c r="AZ940" i="3"/>
  <c r="AR940" i="3"/>
  <c r="AZ932" i="3"/>
  <c r="AR932" i="3"/>
  <c r="AY924" i="3"/>
  <c r="AX916" i="3"/>
  <c r="AU908" i="3"/>
  <c r="AX900" i="3"/>
  <c r="AZ892" i="3"/>
  <c r="AR892" i="3"/>
  <c r="BA884" i="3"/>
  <c r="AS884" i="3"/>
  <c r="BA876" i="3"/>
  <c r="AS876" i="3"/>
  <c r="AZ868" i="3"/>
  <c r="AR868" i="3"/>
  <c r="AY860" i="3"/>
  <c r="AX852" i="3"/>
  <c r="AW844" i="3"/>
  <c r="AV836" i="3"/>
  <c r="AU828" i="3"/>
  <c r="BA820" i="3"/>
  <c r="AS820" i="3"/>
  <c r="AW812" i="3"/>
  <c r="AY804" i="3"/>
  <c r="BA796" i="3"/>
  <c r="AS796" i="3"/>
  <c r="AT788" i="3"/>
  <c r="AT780" i="3"/>
  <c r="BA772" i="3"/>
  <c r="AS772" i="3"/>
  <c r="BA764" i="3"/>
  <c r="AS764" i="3"/>
  <c r="AZ756" i="3"/>
  <c r="AR756" i="3"/>
  <c r="AY748" i="3"/>
  <c r="AW740" i="3"/>
  <c r="AT732" i="3"/>
  <c r="AZ724" i="3"/>
  <c r="AR724" i="3"/>
  <c r="AV716" i="3"/>
  <c r="AY708" i="3"/>
  <c r="AT700" i="3"/>
  <c r="AV692" i="3"/>
  <c r="AY684" i="3"/>
  <c r="BA676" i="3"/>
  <c r="AS676" i="3"/>
  <c r="AT668" i="3"/>
  <c r="AT660" i="3"/>
  <c r="AU652" i="3"/>
  <c r="AT644" i="3"/>
  <c r="AZ636" i="3"/>
  <c r="AT628" i="3"/>
  <c r="AW620" i="3"/>
  <c r="AV612" i="3"/>
  <c r="AS604" i="3"/>
  <c r="AR596" i="3"/>
  <c r="AS588" i="3"/>
  <c r="AS556" i="3"/>
  <c r="AV524" i="3"/>
  <c r="AW508" i="3"/>
  <c r="AY492" i="3"/>
  <c r="AS468" i="3"/>
  <c r="AS460" i="3"/>
  <c r="AS452" i="3"/>
  <c r="AS308" i="3"/>
  <c r="AY252" i="3"/>
  <c r="AV188" i="3"/>
  <c r="AS108" i="3"/>
  <c r="AT189" i="4"/>
  <c r="AY964" i="3"/>
  <c r="AY956" i="3"/>
  <c r="AY948" i="3"/>
  <c r="AY940" i="3"/>
  <c r="AY932" i="3"/>
  <c r="AX924" i="3"/>
  <c r="AW916" i="3"/>
  <c r="AT908" i="3"/>
  <c r="AW900" i="3"/>
  <c r="AY892" i="3"/>
  <c r="AZ884" i="3"/>
  <c r="AR884" i="3"/>
  <c r="AZ876" i="3"/>
  <c r="AR876" i="3"/>
  <c r="AY868" i="3"/>
  <c r="AX860" i="3"/>
  <c r="AW852" i="3"/>
  <c r="AV844" i="3"/>
  <c r="AU836" i="3"/>
  <c r="AT828" i="3"/>
  <c r="AZ820" i="3"/>
  <c r="AR820" i="3"/>
  <c r="AV812" i="3"/>
  <c r="AX804" i="3"/>
  <c r="AZ796" i="3"/>
  <c r="AR796" i="3"/>
  <c r="BA788" i="3"/>
  <c r="AS788" i="3"/>
  <c r="BA780" i="3"/>
  <c r="AS780" i="3"/>
  <c r="AZ772" i="3"/>
  <c r="AR772" i="3"/>
  <c r="AZ764" i="3"/>
  <c r="AR764" i="3"/>
  <c r="AY756" i="3"/>
  <c r="AX748" i="3"/>
  <c r="AV740" i="3"/>
  <c r="BA732" i="3"/>
  <c r="AS732" i="3"/>
  <c r="AY724" i="3"/>
  <c r="AU716" i="3"/>
  <c r="AX708" i="3"/>
  <c r="BA700" i="3"/>
  <c r="AS700" i="3"/>
  <c r="AU692" i="3"/>
  <c r="AX684" i="3"/>
  <c r="AZ676" i="3"/>
  <c r="AR676" i="3"/>
  <c r="BA668" i="3"/>
  <c r="AS668" i="3"/>
  <c r="BA660" i="3"/>
  <c r="AS660" i="3"/>
  <c r="AS652" i="3"/>
  <c r="AS644" i="3"/>
  <c r="AY636" i="3"/>
  <c r="AS628" i="3"/>
  <c r="AV620" i="3"/>
  <c r="AT612" i="3"/>
  <c r="AR604" i="3"/>
  <c r="AR588" i="3"/>
  <c r="BA580" i="3"/>
  <c r="AX396" i="3"/>
  <c r="AU340" i="3"/>
  <c r="AZ292" i="3"/>
  <c r="AR92" i="3"/>
  <c r="BA84" i="3"/>
  <c r="Q132" i="17"/>
  <c r="S132" i="17"/>
  <c r="AS205" i="4"/>
  <c r="AX964" i="3"/>
  <c r="AX956" i="3"/>
  <c r="AX948" i="3"/>
  <c r="AX940" i="3"/>
  <c r="AX932" i="3"/>
  <c r="AW924" i="3"/>
  <c r="AV916" i="3"/>
  <c r="BA908" i="3"/>
  <c r="AS908" i="3"/>
  <c r="AV900" i="3"/>
  <c r="AX892" i="3"/>
  <c r="AY884" i="3"/>
  <c r="AY876" i="3"/>
  <c r="AX868" i="3"/>
  <c r="AW860" i="3"/>
  <c r="AV852" i="3"/>
  <c r="AU844" i="3"/>
  <c r="AT836" i="3"/>
  <c r="BA828" i="3"/>
  <c r="AS828" i="3"/>
  <c r="AY820" i="3"/>
  <c r="AU812" i="3"/>
  <c r="AW804" i="3"/>
  <c r="AY796" i="3"/>
  <c r="AZ788" i="3"/>
  <c r="AR788" i="3"/>
  <c r="AZ780" i="3"/>
  <c r="AR780" i="3"/>
  <c r="AY772" i="3"/>
  <c r="AY764" i="3"/>
  <c r="AX756" i="3"/>
  <c r="AW748" i="3"/>
  <c r="AU740" i="3"/>
  <c r="AZ732" i="3"/>
  <c r="AR732" i="3"/>
  <c r="AX724" i="3"/>
  <c r="AT716" i="3"/>
  <c r="AW708" i="3"/>
  <c r="AZ700" i="3"/>
  <c r="AR700" i="3"/>
  <c r="AT692" i="3"/>
  <c r="AW684" i="3"/>
  <c r="AY676" i="3"/>
  <c r="AZ668" i="3"/>
  <c r="AR668" i="3"/>
  <c r="AZ660" i="3"/>
  <c r="AR660" i="3"/>
  <c r="BA652" i="3"/>
  <c r="AR652" i="3"/>
  <c r="BA644" i="3"/>
  <c r="AR644" i="3"/>
  <c r="AX636" i="3"/>
  <c r="AU620" i="3"/>
  <c r="AZ580" i="3"/>
  <c r="AS420" i="3"/>
  <c r="AZ372" i="3"/>
  <c r="AU364" i="3"/>
  <c r="AU260" i="3"/>
  <c r="AR28" i="3"/>
  <c r="AW20" i="3"/>
  <c r="AZ908" i="3"/>
  <c r="BA836" i="3"/>
  <c r="AZ828" i="3"/>
  <c r="BA716" i="3"/>
  <c r="BA692" i="3"/>
  <c r="AZ652" i="3"/>
  <c r="AZ644" i="3"/>
  <c r="AW636" i="3"/>
  <c r="BA628" i="3"/>
  <c r="AT620" i="3"/>
  <c r="BA604" i="3"/>
  <c r="AZ596" i="3"/>
  <c r="BA588" i="3"/>
  <c r="AY580" i="3"/>
  <c r="AY572" i="3"/>
  <c r="AX532" i="3"/>
  <c r="AT132" i="3"/>
  <c r="AU76" i="3"/>
  <c r="BA68" i="3"/>
  <c r="AU52" i="3"/>
  <c r="AV45" i="4"/>
  <c r="L52" i="17"/>
  <c r="V1153" i="13"/>
  <c r="Y1172" i="13"/>
  <c r="S151" i="17"/>
  <c r="AE1191" i="13"/>
  <c r="AX2864" i="3"/>
  <c r="AY2950" i="3"/>
  <c r="AW2864" i="3"/>
  <c r="BA2797" i="3"/>
  <c r="AV2864" i="3"/>
  <c r="AB1172" i="13"/>
  <c r="AY2868" i="3"/>
  <c r="AZ2797" i="3"/>
  <c r="AU2864" i="3"/>
  <c r="AX2868" i="3"/>
  <c r="O149" i="17"/>
  <c r="AW2797" i="3"/>
  <c r="AT2864" i="3"/>
  <c r="AV2868" i="3"/>
  <c r="Q149" i="17"/>
  <c r="AZ2868" i="3"/>
  <c r="AU2824" i="3"/>
  <c r="AR2797" i="3"/>
  <c r="BA2864" i="3"/>
  <c r="AR2864" i="3"/>
  <c r="AR904" i="3"/>
  <c r="AZ904" i="3"/>
  <c r="AT904" i="3"/>
  <c r="AX896" i="3"/>
  <c r="AR896" i="3"/>
  <c r="AZ896" i="3"/>
  <c r="AU888" i="3"/>
  <c r="AW888" i="3"/>
  <c r="AX888" i="3"/>
  <c r="AY880" i="3"/>
  <c r="AS880" i="3"/>
  <c r="BA880" i="3"/>
  <c r="AT880" i="3"/>
  <c r="AS872" i="3"/>
  <c r="BA872" i="3"/>
  <c r="AU872" i="3"/>
  <c r="AW872" i="3"/>
  <c r="AX872" i="3"/>
  <c r="AW864" i="3"/>
  <c r="AY864" i="3"/>
  <c r="AS864" i="3"/>
  <c r="BA864" i="3"/>
  <c r="AT864" i="3"/>
  <c r="AS856" i="3"/>
  <c r="BA856" i="3"/>
  <c r="AU856" i="3"/>
  <c r="AW856" i="3"/>
  <c r="AX856" i="3"/>
  <c r="AW848" i="3"/>
  <c r="AY848" i="3"/>
  <c r="AS848" i="3"/>
  <c r="BA848" i="3"/>
  <c r="AT848" i="3"/>
  <c r="AS840" i="3"/>
  <c r="BA840" i="3"/>
  <c r="AU840" i="3"/>
  <c r="AW840" i="3"/>
  <c r="AX840" i="3"/>
  <c r="AW832" i="3"/>
  <c r="AY832" i="3"/>
  <c r="AS832" i="3"/>
  <c r="BA832" i="3"/>
  <c r="AT832" i="3"/>
  <c r="AS824" i="3"/>
  <c r="BA824" i="3"/>
  <c r="AU824" i="3"/>
  <c r="AW824" i="3"/>
  <c r="AX824" i="3"/>
  <c r="AV816" i="3"/>
  <c r="AX816" i="3"/>
  <c r="AR816" i="3"/>
  <c r="AZ816" i="3"/>
  <c r="AS816" i="3"/>
  <c r="BA816" i="3"/>
  <c r="AW808" i="3"/>
  <c r="AY808" i="3"/>
  <c r="AS808" i="3"/>
  <c r="BA808" i="3"/>
  <c r="AT808" i="3"/>
  <c r="AV800" i="3"/>
  <c r="AX800" i="3"/>
  <c r="AR800" i="3"/>
  <c r="AZ800" i="3"/>
  <c r="AS800" i="3"/>
  <c r="BA800" i="3"/>
  <c r="AU792" i="3"/>
  <c r="AW792" i="3"/>
  <c r="AY792" i="3"/>
  <c r="AR792" i="3"/>
  <c r="AZ792" i="3"/>
  <c r="AT784" i="3"/>
  <c r="AV784" i="3"/>
  <c r="AX784" i="3"/>
  <c r="AY784" i="3"/>
  <c r="AX776" i="3"/>
  <c r="AR776" i="3"/>
  <c r="AZ776" i="3"/>
  <c r="AT776" i="3"/>
  <c r="AU776" i="3"/>
  <c r="AT768" i="3"/>
  <c r="AV768" i="3"/>
  <c r="AX768" i="3"/>
  <c r="AY768" i="3"/>
  <c r="AX760" i="3"/>
  <c r="AR760" i="3"/>
  <c r="AZ760" i="3"/>
  <c r="AT760" i="3"/>
  <c r="AU760" i="3"/>
  <c r="AT752" i="3"/>
  <c r="AV752" i="3"/>
  <c r="AX752" i="3"/>
  <c r="AY752" i="3"/>
  <c r="AW744" i="3"/>
  <c r="AY744" i="3"/>
  <c r="AS744" i="3"/>
  <c r="BA744" i="3"/>
  <c r="AT744" i="3"/>
  <c r="AR736" i="3"/>
  <c r="AZ736" i="3"/>
  <c r="AT736" i="3"/>
  <c r="AV736" i="3"/>
  <c r="AW736" i="3"/>
  <c r="AT728" i="3"/>
  <c r="AV728" i="3"/>
  <c r="AX728" i="3"/>
  <c r="AY728" i="3"/>
  <c r="AV720" i="3"/>
  <c r="AX720" i="3"/>
  <c r="AR720" i="3"/>
  <c r="AZ720" i="3"/>
  <c r="AS720" i="3"/>
  <c r="BA720" i="3"/>
  <c r="AT712" i="3"/>
  <c r="AX712" i="3"/>
  <c r="AZ712" i="3"/>
  <c r="AS712" i="3"/>
  <c r="AU712" i="3"/>
  <c r="AT704" i="3"/>
  <c r="AW704" i="3"/>
  <c r="AY704" i="3"/>
  <c r="AR704" i="3"/>
  <c r="BA704" i="3"/>
  <c r="AS704" i="3"/>
  <c r="AU696" i="3"/>
  <c r="AW696" i="3"/>
  <c r="AY696" i="3"/>
  <c r="AR696" i="3"/>
  <c r="BA696" i="3"/>
  <c r="AS696" i="3"/>
  <c r="AU688" i="3"/>
  <c r="AV688" i="3"/>
  <c r="AX688" i="3"/>
  <c r="AZ688" i="3"/>
  <c r="AR688" i="3"/>
  <c r="BA688" i="3"/>
  <c r="AV680" i="3"/>
  <c r="AU680" i="3"/>
  <c r="AX680" i="3"/>
  <c r="AZ680" i="3"/>
  <c r="AR680" i="3"/>
  <c r="BA680" i="3"/>
  <c r="AU672" i="3"/>
  <c r="AS672" i="3"/>
  <c r="AV672" i="3"/>
  <c r="AX672" i="3"/>
  <c r="AY672" i="3"/>
  <c r="AX664" i="3"/>
  <c r="AZ664" i="3"/>
  <c r="AT664" i="3"/>
  <c r="AU664" i="3"/>
  <c r="AY656" i="3"/>
  <c r="AT656" i="3"/>
  <c r="AV656" i="3"/>
  <c r="AX656" i="3"/>
  <c r="AZ656" i="3"/>
  <c r="AW648" i="3"/>
  <c r="AZ648" i="3"/>
  <c r="AS648" i="3"/>
  <c r="AU648" i="3"/>
  <c r="AV648" i="3"/>
  <c r="AT640" i="3"/>
  <c r="AV640" i="3"/>
  <c r="AX640" i="3"/>
  <c r="AZ640" i="3"/>
  <c r="AR640" i="3"/>
  <c r="BA640" i="3"/>
  <c r="AY632" i="3"/>
  <c r="AW632" i="3"/>
  <c r="AZ632" i="3"/>
  <c r="AR632" i="3"/>
  <c r="AT632" i="3"/>
  <c r="AU632" i="3"/>
  <c r="AV624" i="3"/>
  <c r="AS624" i="3"/>
  <c r="AR624" i="3"/>
  <c r="AU624" i="3"/>
  <c r="AX624" i="3"/>
  <c r="AY624" i="3"/>
  <c r="AV616" i="3"/>
  <c r="AW616" i="3"/>
  <c r="AS616" i="3"/>
  <c r="AU616" i="3"/>
  <c r="AY616" i="3"/>
  <c r="BA616" i="3"/>
  <c r="AV608" i="3"/>
  <c r="AY608" i="3"/>
  <c r="AZ608" i="3"/>
  <c r="AR608" i="3"/>
  <c r="AT608" i="3"/>
  <c r="AW608" i="3"/>
  <c r="AX608" i="3"/>
  <c r="AS600" i="3"/>
  <c r="AT600" i="3"/>
  <c r="AU600" i="3"/>
  <c r="AW600" i="3"/>
  <c r="AX600" i="3"/>
  <c r="AV592" i="3"/>
  <c r="AS592" i="3"/>
  <c r="AU592" i="3"/>
  <c r="AW592" i="3"/>
  <c r="BA592" i="3"/>
  <c r="AT592" i="3"/>
  <c r="AX592" i="3"/>
  <c r="AU584" i="3"/>
  <c r="AV584" i="3"/>
  <c r="AW584" i="3"/>
  <c r="AX584" i="3"/>
  <c r="AZ584" i="3"/>
  <c r="AW576" i="3"/>
  <c r="AX576" i="3"/>
  <c r="AY576" i="3"/>
  <c r="AZ576" i="3"/>
  <c r="AR576" i="3"/>
  <c r="AU576" i="3"/>
  <c r="BA576" i="3"/>
  <c r="AV568" i="3"/>
  <c r="AX568" i="3"/>
  <c r="AZ568" i="3"/>
  <c r="BA568" i="3"/>
  <c r="AS568" i="3"/>
  <c r="AU568" i="3"/>
  <c r="AX560" i="3"/>
  <c r="AY560" i="3"/>
  <c r="BA560" i="3"/>
  <c r="AV560" i="3"/>
  <c r="AW560" i="3"/>
  <c r="AV552" i="3"/>
  <c r="AW552" i="3"/>
  <c r="AX552" i="3"/>
  <c r="AY552" i="3"/>
  <c r="AR552" i="3"/>
  <c r="AZ552" i="3"/>
  <c r="AS544" i="3"/>
  <c r="AU544" i="3"/>
  <c r="AW544" i="3"/>
  <c r="AX544" i="3"/>
  <c r="BA544" i="3"/>
  <c r="AZ544" i="3"/>
  <c r="AS536" i="3"/>
  <c r="AT536" i="3"/>
  <c r="AU536" i="3"/>
  <c r="AW536" i="3"/>
  <c r="BA536" i="3"/>
  <c r="AR536" i="3"/>
  <c r="AY536" i="3"/>
  <c r="AR528" i="3"/>
  <c r="AS528" i="3"/>
  <c r="AT528" i="3"/>
  <c r="AU528" i="3"/>
  <c r="AZ528" i="3"/>
  <c r="AX528" i="3"/>
  <c r="BA528" i="3"/>
  <c r="AZ520" i="3"/>
  <c r="BA520" i="3"/>
  <c r="AR520" i="3"/>
  <c r="AS520" i="3"/>
  <c r="AV520" i="3"/>
  <c r="AU520" i="3"/>
  <c r="AX520" i="3"/>
  <c r="AW512" i="3"/>
  <c r="AY512" i="3"/>
  <c r="BA512" i="3"/>
  <c r="AU512" i="3"/>
  <c r="AS512" i="3"/>
  <c r="AT512" i="3"/>
  <c r="AW504" i="3"/>
  <c r="AX504" i="3"/>
  <c r="AY504" i="3"/>
  <c r="BA504" i="3"/>
  <c r="AU504" i="3"/>
  <c r="AS504" i="3"/>
  <c r="AS496" i="3"/>
  <c r="AU496" i="3"/>
  <c r="AV496" i="3"/>
  <c r="AW496" i="3"/>
  <c r="BA496" i="3"/>
  <c r="AX496" i="3"/>
  <c r="AV488" i="3"/>
  <c r="AW488" i="3"/>
  <c r="AX488" i="3"/>
  <c r="AY488" i="3"/>
  <c r="AS488" i="3"/>
  <c r="BA488" i="3"/>
  <c r="AZ480" i="3"/>
  <c r="AR480" i="3"/>
  <c r="AT480" i="3"/>
  <c r="AX480" i="3"/>
  <c r="AV480" i="3"/>
  <c r="AY480" i="3"/>
  <c r="AS472" i="3"/>
  <c r="AU472" i="3"/>
  <c r="AW472" i="3"/>
  <c r="AX472" i="3"/>
  <c r="BA472" i="3"/>
  <c r="AY472" i="3"/>
  <c r="AX464" i="3"/>
  <c r="AY464" i="3"/>
  <c r="AZ464" i="3"/>
  <c r="BA464" i="3"/>
  <c r="AU464" i="3"/>
  <c r="AR464" i="3"/>
  <c r="AW464" i="3"/>
  <c r="AZ456" i="3"/>
  <c r="BA456" i="3"/>
  <c r="AR456" i="3"/>
  <c r="AS456" i="3"/>
  <c r="AX456" i="3"/>
  <c r="AY456" i="3"/>
  <c r="AZ448" i="3"/>
  <c r="BA448" i="3"/>
  <c r="AR448" i="3"/>
  <c r="AS448" i="3"/>
  <c r="AX448" i="3"/>
  <c r="AY448" i="3"/>
  <c r="AR440" i="3"/>
  <c r="AS440" i="3"/>
  <c r="AT440" i="3"/>
  <c r="AU440" i="3"/>
  <c r="AZ440" i="3"/>
  <c r="AW440" i="3"/>
  <c r="AY440" i="3"/>
  <c r="BA432" i="3"/>
  <c r="AR432" i="3"/>
  <c r="AS432" i="3"/>
  <c r="AT432" i="3"/>
  <c r="AY432" i="3"/>
  <c r="AW432" i="3"/>
  <c r="AZ432" i="3"/>
  <c r="AY424" i="3"/>
  <c r="AZ424" i="3"/>
  <c r="BA424" i="3"/>
  <c r="AR424" i="3"/>
  <c r="AU424" i="3"/>
  <c r="AS424" i="3"/>
  <c r="AT424" i="3"/>
  <c r="AV416" i="3"/>
  <c r="AX416" i="3"/>
  <c r="AZ416" i="3"/>
  <c r="BA416" i="3"/>
  <c r="AT416" i="3"/>
  <c r="AR416" i="3"/>
  <c r="AT408" i="3"/>
  <c r="AU408" i="3"/>
  <c r="AW408" i="3"/>
  <c r="AY408" i="3"/>
  <c r="AR408" i="3"/>
  <c r="AX400" i="3"/>
  <c r="AY400" i="3"/>
  <c r="AZ400" i="3"/>
  <c r="AV400" i="3"/>
  <c r="AS400" i="3"/>
  <c r="AW392" i="3"/>
  <c r="AY392" i="3"/>
  <c r="AZ392" i="3"/>
  <c r="BA392" i="3"/>
  <c r="AS392" i="3"/>
  <c r="AU392" i="3"/>
  <c r="AY384" i="3"/>
  <c r="AZ384" i="3"/>
  <c r="AW384" i="3"/>
  <c r="AS384" i="3"/>
  <c r="AX384" i="3"/>
  <c r="AS376" i="3"/>
  <c r="AV376" i="3"/>
  <c r="AX376" i="3"/>
  <c r="AY376" i="3"/>
  <c r="BA376" i="3"/>
  <c r="AZ368" i="3"/>
  <c r="AX368" i="3"/>
  <c r="AR368" i="3"/>
  <c r="AY368" i="3"/>
  <c r="AS360" i="3"/>
  <c r="AU360" i="3"/>
  <c r="AX360" i="3"/>
  <c r="AZ360" i="3"/>
  <c r="AR360" i="3"/>
  <c r="AU352" i="3"/>
  <c r="AX352" i="3"/>
  <c r="AZ352" i="3"/>
  <c r="BA352" i="3"/>
  <c r="AR352" i="3"/>
  <c r="AX344" i="3"/>
  <c r="AY344" i="3"/>
  <c r="AZ344" i="3"/>
  <c r="AS344" i="3"/>
  <c r="AV344" i="3"/>
  <c r="AX336" i="3"/>
  <c r="AY336" i="3"/>
  <c r="BA336" i="3"/>
  <c r="AV336" i="3"/>
  <c r="AW336" i="3"/>
  <c r="AR328" i="3"/>
  <c r="AS328" i="3"/>
  <c r="AV328" i="3"/>
  <c r="AX328" i="3"/>
  <c r="AY320" i="3"/>
  <c r="AZ320" i="3"/>
  <c r="AU320" i="3"/>
  <c r="AT320" i="3"/>
  <c r="AY312" i="3"/>
  <c r="AZ312" i="3"/>
  <c r="AW312" i="3"/>
  <c r="AS312" i="3"/>
  <c r="AX312" i="3"/>
  <c r="BA304" i="3"/>
  <c r="AR304" i="3"/>
  <c r="AY304" i="3"/>
  <c r="AU304" i="3"/>
  <c r="AX304" i="3"/>
  <c r="AR296" i="3"/>
  <c r="AT296" i="3"/>
  <c r="AY296" i="3"/>
  <c r="BA296" i="3"/>
  <c r="AV288" i="3"/>
  <c r="AX288" i="3"/>
  <c r="AZ288" i="3"/>
  <c r="AS288" i="3"/>
  <c r="AR280" i="3"/>
  <c r="AS280" i="3"/>
  <c r="AT280" i="3"/>
  <c r="AW280" i="3"/>
  <c r="AR272" i="3"/>
  <c r="AU272" i="3"/>
  <c r="AV272" i="3"/>
  <c r="AZ272" i="3"/>
  <c r="AW272" i="3"/>
  <c r="AX272" i="3"/>
  <c r="AW264" i="3"/>
  <c r="AX264" i="3"/>
  <c r="BA264" i="3"/>
  <c r="AT264" i="3"/>
  <c r="AR264" i="3"/>
  <c r="AZ256" i="3"/>
  <c r="AR256" i="3"/>
  <c r="AX256" i="3"/>
  <c r="AW256" i="3"/>
  <c r="AT248" i="3"/>
  <c r="AX248" i="3"/>
  <c r="AS248" i="3"/>
  <c r="AU240" i="3"/>
  <c r="AV240" i="3"/>
  <c r="AW240" i="3"/>
  <c r="AX240" i="3"/>
  <c r="AZ232" i="3"/>
  <c r="AR232" i="3"/>
  <c r="AR224" i="3"/>
  <c r="AX224" i="3"/>
  <c r="AT224" i="3"/>
  <c r="AZ216" i="3"/>
  <c r="BA216" i="3"/>
  <c r="AT208" i="3"/>
  <c r="AX208" i="3"/>
  <c r="AZ208" i="3"/>
  <c r="AR208" i="3"/>
  <c r="AU200" i="3"/>
  <c r="AY200" i="3"/>
  <c r="AZ200" i="3"/>
  <c r="BA200" i="3"/>
  <c r="AU192" i="3"/>
  <c r="AZ192" i="3"/>
  <c r="AU184" i="3"/>
  <c r="AZ184" i="3"/>
  <c r="BA184" i="3"/>
  <c r="AX176" i="3"/>
  <c r="AZ176" i="3"/>
  <c r="AV168" i="3"/>
  <c r="AW168" i="3"/>
  <c r="AT168" i="3"/>
  <c r="AU168" i="3"/>
  <c r="AX160" i="3"/>
  <c r="AT160" i="3"/>
  <c r="AZ152" i="3"/>
  <c r="AX152" i="3"/>
  <c r="AS144" i="3"/>
  <c r="AW144" i="3"/>
  <c r="AX144" i="3"/>
  <c r="AR136" i="3"/>
  <c r="AT136" i="3"/>
  <c r="BA128" i="3"/>
  <c r="AU128" i="3"/>
  <c r="AW128" i="3"/>
  <c r="AR120" i="3"/>
  <c r="AS120" i="3"/>
  <c r="AZ120" i="3"/>
  <c r="AU112" i="3"/>
  <c r="AY112" i="3"/>
  <c r="AY104" i="3"/>
  <c r="AZ104" i="3"/>
  <c r="AS96" i="3"/>
  <c r="AW96" i="3"/>
  <c r="AT96" i="3"/>
  <c r="AT80" i="3"/>
  <c r="AY80" i="3"/>
  <c r="AT72" i="3"/>
  <c r="AZ72" i="3"/>
  <c r="AW64" i="3"/>
  <c r="AT64" i="3"/>
  <c r="AZ64" i="3"/>
  <c r="AR56" i="3"/>
  <c r="AY56" i="3"/>
  <c r="BA56" i="3"/>
  <c r="AT48" i="3"/>
  <c r="AX48" i="3"/>
  <c r="BA40" i="3"/>
  <c r="AR40" i="3"/>
  <c r="AT32" i="3"/>
  <c r="AY32" i="3"/>
  <c r="AR24" i="3"/>
  <c r="AY24" i="3"/>
  <c r="AT24" i="3"/>
  <c r="AW16" i="3"/>
  <c r="BA16" i="3"/>
  <c r="AR305" i="4"/>
  <c r="AS305" i="4"/>
  <c r="AU217" i="4"/>
  <c r="AT217" i="4"/>
  <c r="AX217" i="4"/>
  <c r="AS209" i="4"/>
  <c r="AV209" i="4"/>
  <c r="AX201" i="4"/>
  <c r="AU201" i="4"/>
  <c r="AX169" i="4"/>
  <c r="AP169" i="4"/>
  <c r="AX161" i="4"/>
  <c r="AV161" i="4"/>
  <c r="AO137" i="4"/>
  <c r="AS137" i="4"/>
  <c r="AR129" i="4"/>
  <c r="AP129" i="4"/>
  <c r="AO129" i="4"/>
  <c r="AX121" i="4"/>
  <c r="AV121" i="4"/>
  <c r="AQ81" i="4"/>
  <c r="AU81" i="4"/>
  <c r="AO57" i="4"/>
  <c r="AV57" i="4"/>
  <c r="AX616" i="3"/>
  <c r="AV600" i="3"/>
  <c r="AR584" i="3"/>
  <c r="AS576" i="3"/>
  <c r="AR568" i="3"/>
  <c r="AS560" i="3"/>
  <c r="AU456" i="3"/>
  <c r="AS416" i="3"/>
  <c r="AV296" i="3"/>
  <c r="AR288" i="3"/>
  <c r="AZ280" i="3"/>
  <c r="AY152" i="3"/>
  <c r="AY582" i="3"/>
  <c r="AT542" i="3"/>
  <c r="BA534" i="3"/>
  <c r="AS438" i="3"/>
  <c r="AR198" i="3"/>
  <c r="AO340" i="4"/>
  <c r="AX340" i="4"/>
  <c r="AX398" i="3"/>
  <c r="AY366" i="3"/>
  <c r="L40" i="17"/>
  <c r="AO41" i="4"/>
  <c r="AP41" i="4"/>
  <c r="AV17" i="4"/>
  <c r="AR17" i="4"/>
  <c r="N88" i="17"/>
  <c r="R88" i="17"/>
  <c r="U80" i="17"/>
  <c r="S80" i="17"/>
  <c r="AX606" i="3"/>
  <c r="AY606" i="3"/>
  <c r="AR574" i="3"/>
  <c r="AT574" i="3"/>
  <c r="AR566" i="3"/>
  <c r="AS566" i="3"/>
  <c r="AW566" i="3"/>
  <c r="AR558" i="3"/>
  <c r="AS558" i="3"/>
  <c r="AT558" i="3"/>
  <c r="AW550" i="3"/>
  <c r="AY550" i="3"/>
  <c r="AR526" i="3"/>
  <c r="AZ526" i="3"/>
  <c r="AZ518" i="3"/>
  <c r="AS518" i="3"/>
  <c r="AY518" i="3"/>
  <c r="BA518" i="3"/>
  <c r="AR510" i="3"/>
  <c r="AT510" i="3"/>
  <c r="AZ510" i="3"/>
  <c r="AR494" i="3"/>
  <c r="AX494" i="3"/>
  <c r="AW486" i="3"/>
  <c r="AY486" i="3"/>
  <c r="AW478" i="3"/>
  <c r="AX478" i="3"/>
  <c r="AZ478" i="3"/>
  <c r="AR462" i="3"/>
  <c r="AX462" i="3"/>
  <c r="AZ454" i="3"/>
  <c r="AS454" i="3"/>
  <c r="AY454" i="3"/>
  <c r="BA454" i="3"/>
  <c r="AT446" i="3"/>
  <c r="AZ446" i="3"/>
  <c r="BA446" i="3"/>
  <c r="AR430" i="3"/>
  <c r="AS430" i="3"/>
  <c r="AX430" i="3"/>
  <c r="AW422" i="3"/>
  <c r="AS422" i="3"/>
  <c r="AT422" i="3"/>
  <c r="AY422" i="3"/>
  <c r="AW414" i="3"/>
  <c r="AX414" i="3"/>
  <c r="AZ390" i="3"/>
  <c r="AS390" i="3"/>
  <c r="AT382" i="3"/>
  <c r="AZ382" i="3"/>
  <c r="AY358" i="3"/>
  <c r="AX358" i="3"/>
  <c r="AW350" i="3"/>
  <c r="AT350" i="3"/>
  <c r="BA326" i="3"/>
  <c r="AV326" i="3"/>
  <c r="AW326" i="3"/>
  <c r="AW294" i="3"/>
  <c r="AX294" i="3"/>
  <c r="BA286" i="3"/>
  <c r="AR286" i="3"/>
  <c r="AT270" i="3"/>
  <c r="AR270" i="3"/>
  <c r="AX262" i="3"/>
  <c r="AY262" i="3"/>
  <c r="AT174" i="3"/>
  <c r="AU174" i="3"/>
  <c r="AX118" i="3"/>
  <c r="AY118" i="3"/>
  <c r="AR110" i="3"/>
  <c r="AW110" i="3"/>
  <c r="BA86" i="3"/>
  <c r="AY86" i="3"/>
  <c r="AU327" i="4"/>
  <c r="AT327" i="4"/>
  <c r="BA2859" i="3"/>
  <c r="AV3007" i="3"/>
  <c r="AV2895" i="3"/>
  <c r="AW2895" i="3"/>
  <c r="AX2797" i="3"/>
  <c r="AA1139" i="13"/>
  <c r="AT2893" i="3"/>
  <c r="AR2895" i="3"/>
  <c r="AA1191" i="13"/>
  <c r="AV2797" i="3"/>
  <c r="AE1130" i="13"/>
  <c r="BA2854" i="3"/>
  <c r="AZ2957" i="3"/>
  <c r="AU2893" i="3"/>
  <c r="AS2895" i="3"/>
  <c r="AT365" i="4"/>
  <c r="Y1191" i="13"/>
  <c r="AU2797" i="3"/>
  <c r="BA2848" i="3"/>
  <c r="AE1113" i="13"/>
  <c r="AZ3007" i="3"/>
  <c r="AZ2848" i="3"/>
  <c r="AU2845" i="3"/>
  <c r="AV2893" i="3"/>
  <c r="AV365" i="4"/>
  <c r="W1191" i="13"/>
  <c r="AT2797" i="3"/>
  <c r="AT2845" i="3"/>
  <c r="AW2854" i="3"/>
  <c r="X1139" i="13"/>
  <c r="AT2899" i="3"/>
  <c r="AY2845" i="3"/>
  <c r="Y1139" i="13"/>
  <c r="AX2893" i="3"/>
  <c r="AS493" i="3"/>
  <c r="BA493" i="3"/>
  <c r="AS461" i="3"/>
  <c r="BA461" i="3"/>
  <c r="AV453" i="3"/>
  <c r="AR453" i="3"/>
  <c r="AZ453" i="3"/>
  <c r="AU445" i="3"/>
  <c r="AY445" i="3"/>
  <c r="AS437" i="3"/>
  <c r="BA437" i="3"/>
  <c r="AW437" i="3"/>
  <c r="AX429" i="3"/>
  <c r="AT429" i="3"/>
  <c r="AU421" i="3"/>
  <c r="AY421" i="3"/>
  <c r="AR413" i="3"/>
  <c r="AZ413" i="3"/>
  <c r="AV413" i="3"/>
  <c r="AX405" i="3"/>
  <c r="AS405" i="3"/>
  <c r="AW405" i="3"/>
  <c r="AW397" i="3"/>
  <c r="AZ397" i="3"/>
  <c r="AU397" i="3"/>
  <c r="AX389" i="3"/>
  <c r="AZ389" i="3"/>
  <c r="AU389" i="3"/>
  <c r="AV381" i="3"/>
  <c r="AR381" i="3"/>
  <c r="AY373" i="3"/>
  <c r="AT373" i="3"/>
  <c r="BA365" i="3"/>
  <c r="AW365" i="3"/>
  <c r="AT357" i="3"/>
  <c r="AZ357" i="3"/>
  <c r="AS357" i="3"/>
  <c r="BA357" i="3"/>
  <c r="AW349" i="3"/>
  <c r="AS349" i="3"/>
  <c r="AX349" i="3"/>
  <c r="AV341" i="3"/>
  <c r="BA341" i="3"/>
  <c r="AU341" i="3"/>
  <c r="AV333" i="3"/>
  <c r="AU333" i="3"/>
  <c r="AR325" i="3"/>
  <c r="AT325" i="3"/>
  <c r="AZ325" i="3"/>
  <c r="AS325" i="3"/>
  <c r="BA325" i="3"/>
  <c r="AZ317" i="3"/>
  <c r="AR317" i="3"/>
  <c r="AX317" i="3"/>
  <c r="AY317" i="3"/>
  <c r="BA309" i="3"/>
  <c r="AS309" i="3"/>
  <c r="AX309" i="3"/>
  <c r="AU309" i="3"/>
  <c r="AV301" i="3"/>
  <c r="AX301" i="3"/>
  <c r="AR301" i="3"/>
  <c r="AW301" i="3"/>
  <c r="AV293" i="3"/>
  <c r="AY293" i="3"/>
  <c r="AT293" i="3"/>
  <c r="AZ293" i="3"/>
  <c r="AV285" i="3"/>
  <c r="AY285" i="3"/>
  <c r="AT285" i="3"/>
  <c r="AT277" i="3"/>
  <c r="AX277" i="3"/>
  <c r="AU277" i="3"/>
  <c r="AS269" i="3"/>
  <c r="AX269" i="3"/>
  <c r="AW269" i="3"/>
  <c r="AR261" i="3"/>
  <c r="AZ261" i="3"/>
  <c r="AY261" i="3"/>
  <c r="BA253" i="3"/>
  <c r="AX253" i="3"/>
  <c r="AR253" i="3"/>
  <c r="AY245" i="3"/>
  <c r="AV245" i="3"/>
  <c r="AR237" i="3"/>
  <c r="AV237" i="3"/>
  <c r="BA237" i="3"/>
  <c r="AS229" i="3"/>
  <c r="AZ229" i="3"/>
  <c r="AV221" i="3"/>
  <c r="BA221" i="3"/>
  <c r="AX213" i="3"/>
  <c r="AT213" i="3"/>
  <c r="AY213" i="3"/>
  <c r="AZ197" i="3"/>
  <c r="AV197" i="3"/>
  <c r="AY189" i="3"/>
  <c r="AS189" i="3"/>
  <c r="BA189" i="3"/>
  <c r="AW189" i="3"/>
  <c r="AZ141" i="3"/>
  <c r="AT141" i="3"/>
  <c r="AZ125" i="3"/>
  <c r="AU125" i="3"/>
  <c r="AZ109" i="3"/>
  <c r="AY109" i="3"/>
  <c r="AT109" i="3"/>
  <c r="AU85" i="3"/>
  <c r="AT85" i="3"/>
  <c r="AV85" i="3"/>
  <c r="AS61" i="3"/>
  <c r="AU61" i="3"/>
  <c r="AV53" i="3"/>
  <c r="AR53" i="3"/>
  <c r="AS45" i="3"/>
  <c r="BA45" i="3"/>
  <c r="AT45" i="3"/>
  <c r="AZ13" i="3"/>
  <c r="BA13" i="3"/>
  <c r="AU318" i="4"/>
  <c r="AR318" i="4"/>
  <c r="AT254" i="4"/>
  <c r="AV254" i="4"/>
  <c r="AO254" i="4"/>
  <c r="AX246" i="4"/>
  <c r="AV246" i="4"/>
  <c r="AT182" i="4"/>
  <c r="AS182" i="4"/>
  <c r="AV150" i="4"/>
  <c r="AX150" i="4"/>
  <c r="AW150" i="4"/>
  <c r="AX134" i="4"/>
  <c r="AU134" i="4"/>
  <c r="AR118" i="4"/>
  <c r="AX118" i="4"/>
  <c r="O117" i="17"/>
  <c r="S117" i="17"/>
  <c r="P13" i="17"/>
  <c r="U13" i="17"/>
  <c r="AU477" i="3"/>
  <c r="AY469" i="3"/>
  <c r="AT461" i="3"/>
  <c r="AX453" i="3"/>
  <c r="AZ445" i="3"/>
  <c r="BA429" i="3"/>
  <c r="BA421" i="3"/>
  <c r="BA413" i="3"/>
  <c r="AV405" i="3"/>
  <c r="AY397" i="3"/>
  <c r="AR389" i="3"/>
  <c r="AT381" i="3"/>
  <c r="AX365" i="3"/>
  <c r="AR357" i="3"/>
  <c r="AY349" i="3"/>
  <c r="AY341" i="3"/>
  <c r="AY333" i="3"/>
  <c r="AX325" i="3"/>
  <c r="AU253" i="3"/>
  <c r="AY171" i="3"/>
  <c r="AY117" i="3"/>
  <c r="AV101" i="3"/>
  <c r="AW93" i="3"/>
  <c r="AV75" i="3"/>
  <c r="BA61" i="3"/>
  <c r="AO140" i="4"/>
  <c r="AP238" i="4"/>
  <c r="AP270" i="4"/>
  <c r="AR294" i="4"/>
  <c r="AS475" i="3"/>
  <c r="BA475" i="3"/>
  <c r="AR451" i="3"/>
  <c r="AZ451" i="3"/>
  <c r="AV451" i="3"/>
  <c r="AY443" i="3"/>
  <c r="AU443" i="3"/>
  <c r="AV435" i="3"/>
  <c r="AR435" i="3"/>
  <c r="AZ435" i="3"/>
  <c r="AR427" i="3"/>
  <c r="AZ427" i="3"/>
  <c r="AV427" i="3"/>
  <c r="AW419" i="3"/>
  <c r="AS419" i="3"/>
  <c r="BA419" i="3"/>
  <c r="AT411" i="3"/>
  <c r="AX411" i="3"/>
  <c r="AU403" i="3"/>
  <c r="AY403" i="3"/>
  <c r="AR395" i="3"/>
  <c r="AZ395" i="3"/>
  <c r="AV395" i="3"/>
  <c r="AY387" i="3"/>
  <c r="AU387" i="3"/>
  <c r="AU379" i="3"/>
  <c r="AY379" i="3"/>
  <c r="AW371" i="3"/>
  <c r="AS371" i="3"/>
  <c r="BA371" i="3"/>
  <c r="AR363" i="3"/>
  <c r="AZ363" i="3"/>
  <c r="AV363" i="3"/>
  <c r="AU355" i="3"/>
  <c r="AY355" i="3"/>
  <c r="AR355" i="3"/>
  <c r="AW355" i="3"/>
  <c r="AU347" i="3"/>
  <c r="AY347" i="3"/>
  <c r="AW347" i="3"/>
  <c r="AR347" i="3"/>
  <c r="AV339" i="3"/>
  <c r="AR339" i="3"/>
  <c r="AZ339" i="3"/>
  <c r="AS339" i="3"/>
  <c r="AX339" i="3"/>
  <c r="AU331" i="3"/>
  <c r="AY331" i="3"/>
  <c r="AW331" i="3"/>
  <c r="AR331" i="3"/>
  <c r="AS323" i="3"/>
  <c r="BA323" i="3"/>
  <c r="AU323" i="3"/>
  <c r="AY323" i="3"/>
  <c r="AZ323" i="3"/>
  <c r="AT323" i="3"/>
  <c r="AY315" i="3"/>
  <c r="AS315" i="3"/>
  <c r="BA315" i="3"/>
  <c r="AW315" i="3"/>
  <c r="AX315" i="3"/>
  <c r="AR315" i="3"/>
  <c r="AR307" i="3"/>
  <c r="AZ307" i="3"/>
  <c r="AT307" i="3"/>
  <c r="AX307" i="3"/>
  <c r="AV307" i="3"/>
  <c r="AU299" i="3"/>
  <c r="AW299" i="3"/>
  <c r="AS299" i="3"/>
  <c r="BA299" i="3"/>
  <c r="AV299" i="3"/>
  <c r="AU291" i="3"/>
  <c r="AW291" i="3"/>
  <c r="AS291" i="3"/>
  <c r="BA291" i="3"/>
  <c r="AX291" i="3"/>
  <c r="BA283" i="3"/>
  <c r="AT283" i="3"/>
  <c r="AX283" i="3"/>
  <c r="AU283" i="3"/>
  <c r="BA275" i="3"/>
  <c r="AX275" i="3"/>
  <c r="AY275" i="3"/>
  <c r="AU267" i="3"/>
  <c r="AX267" i="3"/>
  <c r="BA267" i="3"/>
  <c r="AU259" i="3"/>
  <c r="AY259" i="3"/>
  <c r="AS251" i="3"/>
  <c r="BA251" i="3"/>
  <c r="AU251" i="3"/>
  <c r="AU243" i="3"/>
  <c r="BA243" i="3"/>
  <c r="AX235" i="3"/>
  <c r="BA235" i="3"/>
  <c r="AS235" i="3"/>
  <c r="AY235" i="3"/>
  <c r="AY227" i="3"/>
  <c r="AU227" i="3"/>
  <c r="BA227" i="3"/>
  <c r="AU219" i="3"/>
  <c r="AS219" i="3"/>
  <c r="AU211" i="3"/>
  <c r="BA211" i="3"/>
  <c r="AY203" i="3"/>
  <c r="AS203" i="3"/>
  <c r="AS195" i="3"/>
  <c r="AY195" i="3"/>
  <c r="BA195" i="3"/>
  <c r="AS187" i="3"/>
  <c r="AY187" i="3"/>
  <c r="BA187" i="3"/>
  <c r="AU179" i="3"/>
  <c r="BA179" i="3"/>
  <c r="BA163" i="3"/>
  <c r="AY163" i="3"/>
  <c r="AS155" i="3"/>
  <c r="AY155" i="3"/>
  <c r="BA147" i="3"/>
  <c r="AY147" i="3"/>
  <c r="AY139" i="3"/>
  <c r="AS139" i="3"/>
  <c r="AY131" i="3"/>
  <c r="AS131" i="3"/>
  <c r="AU123" i="3"/>
  <c r="BA123" i="3"/>
  <c r="AY115" i="3"/>
  <c r="BA115" i="3"/>
  <c r="BA99" i="3"/>
  <c r="AW99" i="3"/>
  <c r="AS99" i="3"/>
  <c r="AR91" i="3"/>
  <c r="AX91" i="3"/>
  <c r="BA67" i="3"/>
  <c r="AS67" i="3"/>
  <c r="AR59" i="3"/>
  <c r="AV59" i="3"/>
  <c r="AT59" i="3"/>
  <c r="AY51" i="3"/>
  <c r="AR51" i="3"/>
  <c r="BA43" i="3"/>
  <c r="AW43" i="3"/>
  <c r="AY43" i="3"/>
  <c r="AT35" i="3"/>
  <c r="AV35" i="3"/>
  <c r="AU27" i="3"/>
  <c r="AY27" i="3"/>
  <c r="AX19" i="3"/>
  <c r="BA19" i="3"/>
  <c r="AR19" i="3"/>
  <c r="AS11" i="3"/>
  <c r="AU11" i="3"/>
  <c r="AR324" i="4"/>
  <c r="AU324" i="4"/>
  <c r="AW292" i="4"/>
  <c r="AQ292" i="4"/>
  <c r="AX220" i="4"/>
  <c r="AR220" i="4"/>
  <c r="AV180" i="4"/>
  <c r="AS180" i="4"/>
  <c r="AQ172" i="4"/>
  <c r="AU172" i="4"/>
  <c r="AX172" i="4"/>
  <c r="AW172" i="4"/>
  <c r="AO148" i="4"/>
  <c r="AS148" i="4"/>
  <c r="AR124" i="4"/>
  <c r="AS124" i="4"/>
  <c r="AS108" i="4"/>
  <c r="AV108" i="4"/>
  <c r="AV100" i="4"/>
  <c r="AO100" i="4"/>
  <c r="AX100" i="4"/>
  <c r="AQ76" i="4"/>
  <c r="AR76" i="4"/>
  <c r="AV68" i="4"/>
  <c r="AO68" i="4"/>
  <c r="V1124" i="13"/>
  <c r="X1124" i="13"/>
  <c r="AR2805" i="3"/>
  <c r="AW2805" i="3"/>
  <c r="AR3022" i="3"/>
  <c r="BA3022" i="3"/>
  <c r="AU2959" i="3"/>
  <c r="AR2959" i="3"/>
  <c r="AE1133" i="13"/>
  <c r="AD1133" i="13"/>
  <c r="V1135" i="13"/>
  <c r="AE1135" i="13"/>
  <c r="AD1135" i="13"/>
  <c r="AT2847" i="3"/>
  <c r="AZ2847" i="3"/>
  <c r="AY2847" i="3"/>
  <c r="BA2847" i="3"/>
  <c r="AO354" i="4"/>
  <c r="AX354" i="4"/>
  <c r="AV3023" i="3"/>
  <c r="AZ3023" i="3"/>
  <c r="AY3023" i="3"/>
  <c r="BA3023" i="3"/>
  <c r="AT2809" i="3"/>
  <c r="AR2809" i="3"/>
  <c r="AZ2809" i="3"/>
  <c r="AR2916" i="3"/>
  <c r="AZ2916" i="3"/>
  <c r="AU2916" i="3"/>
  <c r="AX2888" i="3"/>
  <c r="AR2888" i="3"/>
  <c r="BA2888" i="3"/>
  <c r="AS2896" i="3"/>
  <c r="BA2896" i="3"/>
  <c r="AZ2896" i="3"/>
  <c r="AR2902" i="3"/>
  <c r="AX2902" i="3"/>
  <c r="AZ2902" i="3"/>
  <c r="AU2915" i="3"/>
  <c r="AZ2915" i="3"/>
  <c r="BA2915" i="3"/>
  <c r="AS2915" i="3"/>
  <c r="AU360" i="4"/>
  <c r="AS360" i="4"/>
  <c r="AP360" i="4"/>
  <c r="AX360" i="4"/>
  <c r="AP368" i="4"/>
  <c r="AW368" i="4"/>
  <c r="AU368" i="4"/>
  <c r="AB1149" i="13"/>
  <c r="AD1149" i="13"/>
  <c r="AR2872" i="3"/>
  <c r="AW2872" i="3"/>
  <c r="AO342" i="4"/>
  <c r="AX342" i="4"/>
  <c r="AZ2938" i="3"/>
  <c r="T147" i="17"/>
  <c r="AR2780" i="3"/>
  <c r="AV2926" i="3"/>
  <c r="AS343" i="4"/>
  <c r="AV343" i="4"/>
  <c r="AU352" i="4"/>
  <c r="AV2877" i="3"/>
  <c r="AX2877" i="3"/>
  <c r="AS2939" i="3"/>
  <c r="AY2803" i="3"/>
  <c r="BA2987" i="3"/>
  <c r="AD1191" i="13"/>
  <c r="AR2953" i="3"/>
  <c r="Z1170" i="13"/>
  <c r="AP355" i="4"/>
  <c r="W1156" i="13"/>
  <c r="AT2953" i="3"/>
  <c r="AE1171" i="13"/>
  <c r="AX2866" i="3"/>
  <c r="X1191" i="13"/>
  <c r="AX2780" i="3"/>
  <c r="AS2952" i="3"/>
  <c r="AW2879" i="3"/>
  <c r="AY2879" i="3"/>
  <c r="AT2877" i="3"/>
  <c r="Z1156" i="13"/>
  <c r="AW2953" i="3"/>
  <c r="AU2866" i="3"/>
  <c r="AV2987" i="3"/>
  <c r="AR352" i="4"/>
  <c r="AW2877" i="3"/>
  <c r="AY2877" i="3"/>
  <c r="AS2879" i="3"/>
  <c r="AB1156" i="13"/>
  <c r="AY2953" i="3"/>
  <c r="U147" i="17"/>
  <c r="BA2933" i="3"/>
  <c r="AY2780" i="3"/>
  <c r="AV2873" i="3"/>
  <c r="AQ343" i="4"/>
  <c r="AU343" i="4"/>
  <c r="AX2952" i="3"/>
  <c r="AS352" i="4"/>
  <c r="AS2803" i="3"/>
  <c r="BA226" i="3"/>
  <c r="BA170" i="3"/>
  <c r="BA154" i="3"/>
  <c r="AR130" i="3"/>
  <c r="AC1191" i="13"/>
  <c r="AV290" i="3"/>
  <c r="AZ242" i="3"/>
  <c r="AY162" i="3"/>
  <c r="BA90" i="3"/>
  <c r="AY18" i="3"/>
  <c r="S130" i="17"/>
  <c r="Z1191" i="13"/>
  <c r="AX162" i="3"/>
  <c r="AY90" i="3"/>
  <c r="AX58" i="3"/>
  <c r="Q138" i="17"/>
  <c r="AU114" i="3"/>
  <c r="AW90" i="3"/>
  <c r="AX122" i="3"/>
  <c r="AV98" i="3"/>
  <c r="AZ82" i="3"/>
  <c r="AV428" i="3"/>
  <c r="AX428" i="3"/>
  <c r="AU420" i="3"/>
  <c r="AW420" i="3"/>
  <c r="AT412" i="3"/>
  <c r="AV412" i="3"/>
  <c r="AW404" i="3"/>
  <c r="AY404" i="3"/>
  <c r="AV396" i="3"/>
  <c r="AW396" i="3"/>
  <c r="AY396" i="3"/>
  <c r="AY388" i="3"/>
  <c r="AR388" i="3"/>
  <c r="AZ388" i="3"/>
  <c r="AT388" i="3"/>
  <c r="AR380" i="3"/>
  <c r="AZ380" i="3"/>
  <c r="AS380" i="3"/>
  <c r="BA380" i="3"/>
  <c r="AU380" i="3"/>
  <c r="AX372" i="3"/>
  <c r="AY372" i="3"/>
  <c r="AS372" i="3"/>
  <c r="BA372" i="3"/>
  <c r="AV364" i="3"/>
  <c r="AW364" i="3"/>
  <c r="AY364" i="3"/>
  <c r="AU356" i="3"/>
  <c r="AV356" i="3"/>
  <c r="AX356" i="3"/>
  <c r="AR348" i="3"/>
  <c r="AZ348" i="3"/>
  <c r="AS348" i="3"/>
  <c r="BA348" i="3"/>
  <c r="AU348" i="3"/>
  <c r="AV340" i="3"/>
  <c r="AW340" i="3"/>
  <c r="AY340" i="3"/>
  <c r="AY332" i="3"/>
  <c r="AR332" i="3"/>
  <c r="AZ332" i="3"/>
  <c r="AT332" i="3"/>
  <c r="AT324" i="3"/>
  <c r="AU324" i="3"/>
  <c r="AW324" i="3"/>
  <c r="AU316" i="3"/>
  <c r="AV316" i="3"/>
  <c r="AX316" i="3"/>
  <c r="AT308" i="3"/>
  <c r="AU308" i="3"/>
  <c r="AW308" i="3"/>
  <c r="AT300" i="3"/>
  <c r="AU300" i="3"/>
  <c r="AW300" i="3"/>
  <c r="AS292" i="3"/>
  <c r="BA292" i="3"/>
  <c r="AT292" i="3"/>
  <c r="AV292" i="3"/>
  <c r="AR284" i="3"/>
  <c r="AZ284" i="3"/>
  <c r="AS284" i="3"/>
  <c r="BA284" i="3"/>
  <c r="AU284" i="3"/>
  <c r="AW276" i="3"/>
  <c r="AX276" i="3"/>
  <c r="AR276" i="3"/>
  <c r="AZ276" i="3"/>
  <c r="AR268" i="3"/>
  <c r="AZ268" i="3"/>
  <c r="AS268" i="3"/>
  <c r="BA268" i="3"/>
  <c r="AU268" i="3"/>
  <c r="AW260" i="3"/>
  <c r="AX260" i="3"/>
  <c r="AR260" i="3"/>
  <c r="AZ260" i="3"/>
  <c r="AR252" i="3"/>
  <c r="AZ252" i="3"/>
  <c r="BA252" i="3"/>
  <c r="AS252" i="3"/>
  <c r="AU252" i="3"/>
  <c r="AX244" i="3"/>
  <c r="AY244" i="3"/>
  <c r="AU244" i="3"/>
  <c r="AV244" i="3"/>
  <c r="AZ244" i="3"/>
  <c r="AT236" i="3"/>
  <c r="AX236" i="3"/>
  <c r="AY236" i="3"/>
  <c r="AV228" i="3"/>
  <c r="AX228" i="3"/>
  <c r="AT228" i="3"/>
  <c r="AS220" i="3"/>
  <c r="AW220" i="3"/>
  <c r="AX220" i="3"/>
  <c r="AZ220" i="3"/>
  <c r="AY212" i="3"/>
  <c r="AU212" i="3"/>
  <c r="AV212" i="3"/>
  <c r="AW212" i="3"/>
  <c r="AZ212" i="3"/>
  <c r="BA204" i="3"/>
  <c r="AU204" i="3"/>
  <c r="AS204" i="3"/>
  <c r="AT204" i="3"/>
  <c r="AW204" i="3"/>
  <c r="AV196" i="3"/>
  <c r="AX196" i="3"/>
  <c r="AT196" i="3"/>
  <c r="AU196" i="3"/>
  <c r="AY196" i="3"/>
  <c r="AY188" i="3"/>
  <c r="AW188" i="3"/>
  <c r="AX188" i="3"/>
  <c r="AU180" i="3"/>
  <c r="BA180" i="3"/>
  <c r="AS180" i="3"/>
  <c r="AZ172" i="3"/>
  <c r="AR172" i="3"/>
  <c r="AT172" i="3"/>
  <c r="AV172" i="3"/>
  <c r="AV164" i="3"/>
  <c r="AZ164" i="3"/>
  <c r="BA164" i="3"/>
  <c r="AR164" i="3"/>
  <c r="AZ156" i="3"/>
  <c r="BA156" i="3"/>
  <c r="AS156" i="3"/>
  <c r="AS148" i="3"/>
  <c r="AR148" i="3"/>
  <c r="AT148" i="3"/>
  <c r="AV148" i="3"/>
  <c r="AX140" i="3"/>
  <c r="AU140" i="3"/>
  <c r="AV140" i="3"/>
  <c r="BA140" i="3"/>
  <c r="AR132" i="3"/>
  <c r="AZ132" i="3"/>
  <c r="BA132" i="3"/>
  <c r="AS132" i="3"/>
  <c r="AW124" i="3"/>
  <c r="AU124" i="3"/>
  <c r="AV116" i="3"/>
  <c r="BA116" i="3"/>
  <c r="AS116" i="3"/>
  <c r="AT116" i="3"/>
  <c r="AW116" i="3"/>
  <c r="AR108" i="3"/>
  <c r="AT108" i="3"/>
  <c r="AW108" i="3"/>
  <c r="AY108" i="3"/>
  <c r="AT100" i="3"/>
  <c r="AU100" i="3"/>
  <c r="AW100" i="3"/>
  <c r="AZ100" i="3"/>
  <c r="AV92" i="3"/>
  <c r="AU92" i="3"/>
  <c r="AX92" i="3"/>
  <c r="AZ92" i="3"/>
  <c r="AV84" i="3"/>
  <c r="AT84" i="3"/>
  <c r="AU84" i="3"/>
  <c r="AZ84" i="3"/>
  <c r="AR76" i="3"/>
  <c r="AT76" i="3"/>
  <c r="AY68" i="3"/>
  <c r="AT68" i="3"/>
  <c r="AU68" i="3"/>
  <c r="AX68" i="3"/>
  <c r="AX60" i="3"/>
  <c r="AR60" i="3"/>
  <c r="AV60" i="3"/>
  <c r="AV52" i="3"/>
  <c r="AZ52" i="3"/>
  <c r="AT44" i="3"/>
  <c r="AW44" i="3"/>
  <c r="AX44" i="3"/>
  <c r="BA44" i="3"/>
  <c r="AU36" i="3"/>
  <c r="AV36" i="3"/>
  <c r="AX36" i="3"/>
  <c r="AU28" i="3"/>
  <c r="AX28" i="3"/>
  <c r="AY28" i="3"/>
  <c r="BA28" i="3"/>
  <c r="AY20" i="3"/>
  <c r="AX20" i="3"/>
  <c r="AR12" i="3"/>
  <c r="AT12" i="3"/>
  <c r="AQ333" i="4"/>
  <c r="AR333" i="4"/>
  <c r="AW333" i="4"/>
  <c r="AT333" i="4"/>
  <c r="AX317" i="4"/>
  <c r="AV317" i="4"/>
  <c r="AW317" i="4"/>
  <c r="AP301" i="4"/>
  <c r="AW301" i="4"/>
  <c r="AU293" i="4"/>
  <c r="AQ293" i="4"/>
  <c r="AV293" i="4"/>
  <c r="AR277" i="4"/>
  <c r="AW277" i="4"/>
  <c r="AQ269" i="4"/>
  <c r="AV269" i="4"/>
  <c r="AP261" i="4"/>
  <c r="AX261" i="4"/>
  <c r="AW261" i="4"/>
  <c r="AT253" i="4"/>
  <c r="AV253" i="4"/>
  <c r="AO245" i="4"/>
  <c r="AS245" i="4"/>
  <c r="AW237" i="4"/>
  <c r="AT237" i="4"/>
  <c r="AT229" i="4"/>
  <c r="AQ229" i="4"/>
  <c r="AV229" i="4"/>
  <c r="AQ221" i="4"/>
  <c r="AW221" i="4"/>
  <c r="AV221" i="4"/>
  <c r="AU213" i="4"/>
  <c r="AQ213" i="4"/>
  <c r="AS213" i="4"/>
  <c r="AR213" i="4"/>
  <c r="AT197" i="4"/>
  <c r="AV197" i="4"/>
  <c r="AP189" i="4"/>
  <c r="AS189" i="4"/>
  <c r="AV125" i="4"/>
  <c r="AW125" i="4"/>
  <c r="AP109" i="4"/>
  <c r="AX109" i="4"/>
  <c r="AX101" i="4"/>
  <c r="AO101" i="4"/>
  <c r="AR93" i="4"/>
  <c r="AO93" i="4"/>
  <c r="AQ93" i="4"/>
  <c r="AV93" i="4"/>
  <c r="AO69" i="4"/>
  <c r="AP69" i="4"/>
  <c r="AU69" i="4"/>
  <c r="AO61" i="4"/>
  <c r="AU61" i="4"/>
  <c r="AP45" i="4"/>
  <c r="AW45" i="4"/>
  <c r="AP37" i="4"/>
  <c r="AW37" i="4"/>
  <c r="AV37" i="4"/>
  <c r="AU37" i="4"/>
  <c r="AV29" i="4"/>
  <c r="AX29" i="4"/>
  <c r="AU29" i="4"/>
  <c r="AQ29" i="4"/>
  <c r="AU21" i="4"/>
  <c r="AT21" i="4"/>
  <c r="AO13" i="4"/>
  <c r="AT13" i="4"/>
  <c r="O140" i="17"/>
  <c r="L140" i="17"/>
  <c r="L124" i="17"/>
  <c r="O124" i="17"/>
  <c r="U124" i="17"/>
  <c r="P108" i="17"/>
  <c r="U108" i="17"/>
  <c r="R108" i="17"/>
  <c r="S108" i="17"/>
  <c r="O108" i="17"/>
  <c r="M100" i="17"/>
  <c r="T100" i="17"/>
  <c r="S100" i="17"/>
  <c r="P100" i="17"/>
  <c r="P92" i="17"/>
  <c r="T92" i="17"/>
  <c r="AO325" i="4"/>
  <c r="AU189" i="4"/>
  <c r="AO205" i="4"/>
  <c r="AQ237" i="4"/>
  <c r="AX229" i="4"/>
  <c r="AP221" i="4"/>
  <c r="AO269" i="4"/>
  <c r="AW245" i="4"/>
  <c r="AW309" i="4"/>
  <c r="L20" i="17"/>
  <c r="N20" i="17"/>
  <c r="U20" i="17"/>
  <c r="AZ311" i="3"/>
  <c r="AX303" i="3"/>
  <c r="AX295" i="3"/>
  <c r="AU287" i="3"/>
  <c r="AY239" i="3"/>
  <c r="AW127" i="3"/>
  <c r="AZ103" i="3"/>
  <c r="L84" i="17"/>
  <c r="S76" i="17"/>
  <c r="N60" i="17"/>
  <c r="Q28" i="17"/>
  <c r="R84" i="17"/>
  <c r="AW239" i="3"/>
  <c r="AU223" i="3"/>
  <c r="AV215" i="3"/>
  <c r="AS191" i="3"/>
  <c r="T12" i="17"/>
  <c r="L76" i="17"/>
  <c r="M52" i="17"/>
  <c r="AT87" i="3"/>
  <c r="AV47" i="3"/>
  <c r="P20" i="17"/>
  <c r="T76" i="17"/>
  <c r="P60" i="17"/>
  <c r="AO208" i="4"/>
  <c r="AW362" i="4"/>
  <c r="AE1127" i="13"/>
  <c r="BA2852" i="3"/>
  <c r="AZ2844" i="3"/>
  <c r="BA2898" i="3"/>
  <c r="AE1146" i="13"/>
  <c r="AE1161" i="13"/>
  <c r="AR355" i="4"/>
  <c r="AW2940" i="3"/>
  <c r="AY3002" i="3"/>
  <c r="AS2880" i="3"/>
  <c r="W1144" i="13"/>
  <c r="AV2898" i="3"/>
  <c r="AR363" i="4"/>
  <c r="AR366" i="4"/>
  <c r="AA1161" i="13"/>
  <c r="Y1162" i="13"/>
  <c r="AS2818" i="3"/>
  <c r="AT2818" i="3"/>
  <c r="AY2796" i="3"/>
  <c r="AW376" i="4"/>
  <c r="AU2969" i="3"/>
  <c r="AZ2886" i="3"/>
  <c r="AW349" i="4"/>
  <c r="AE1159" i="13"/>
  <c r="AD1161" i="13"/>
  <c r="AT340" i="4"/>
  <c r="Y1113" i="13"/>
  <c r="AY2882" i="3"/>
  <c r="AT3006" i="3"/>
  <c r="X1144" i="13"/>
  <c r="AR2818" i="3"/>
  <c r="BA2967" i="3"/>
  <c r="AY2993" i="3"/>
  <c r="AW3006" i="3"/>
  <c r="AY2880" i="3"/>
  <c r="AW2918" i="3"/>
  <c r="AX2912" i="3"/>
  <c r="AS363" i="4"/>
  <c r="Y1156" i="13"/>
  <c r="Z1162" i="13"/>
  <c r="AY2818" i="3"/>
  <c r="AV2967" i="3"/>
  <c r="BA2976" i="3"/>
  <c r="AY2792" i="3"/>
  <c r="AW340" i="4"/>
  <c r="AZ2875" i="3"/>
  <c r="AX349" i="4"/>
  <c r="AD1129" i="13"/>
  <c r="AP340" i="4"/>
  <c r="AX2993" i="3"/>
  <c r="AT2844" i="3"/>
  <c r="AD1162" i="13"/>
  <c r="BA2792" i="3"/>
  <c r="BA2844" i="3"/>
  <c r="AW355" i="4"/>
  <c r="V1129" i="13"/>
  <c r="AV2844" i="3"/>
  <c r="AP362" i="4"/>
  <c r="AX2818" i="3"/>
  <c r="BA2993" i="3"/>
  <c r="AZ2911" i="3"/>
  <c r="AZ2892" i="3"/>
  <c r="AZ2907" i="3"/>
  <c r="BA2911" i="3"/>
  <c r="BA2886" i="3"/>
  <c r="AR2782" i="3"/>
  <c r="AY2869" i="3"/>
  <c r="AX2844" i="3"/>
  <c r="AX2940" i="3"/>
  <c r="AR3006" i="3"/>
  <c r="AS3006" i="3"/>
  <c r="AT2940" i="3"/>
  <c r="AC1156" i="13"/>
  <c r="W1162" i="13"/>
  <c r="AW2818" i="3"/>
  <c r="BA2929" i="3"/>
  <c r="AZ2993" i="3"/>
  <c r="AD1146" i="13"/>
  <c r="BA2892" i="3"/>
  <c r="AZ2921" i="3"/>
  <c r="AV2817" i="3"/>
  <c r="AV2848" i="3"/>
  <c r="AY2844" i="3"/>
  <c r="AS2854" i="3"/>
  <c r="AY3006" i="3"/>
  <c r="AR3024" i="3"/>
  <c r="AS3024" i="3"/>
  <c r="AB1145" i="13"/>
  <c r="AT2903" i="3"/>
  <c r="AS371" i="4"/>
  <c r="AV2982" i="3"/>
  <c r="M116" i="12"/>
  <c r="L116" i="12"/>
  <c r="AT289" i="4"/>
  <c r="AU41" i="4"/>
  <c r="L462" i="12"/>
  <c r="M462" i="12"/>
  <c r="M475" i="12"/>
  <c r="L475" i="12"/>
  <c r="AS664" i="3"/>
  <c r="BA664" i="3"/>
  <c r="AR616" i="3"/>
  <c r="AZ616" i="3"/>
  <c r="AR600" i="3"/>
  <c r="AZ600" i="3"/>
  <c r="AS584" i="3"/>
  <c r="AY584" i="3"/>
  <c r="AV576" i="3"/>
  <c r="AT576" i="3"/>
  <c r="AY568" i="3"/>
  <c r="AW568" i="3"/>
  <c r="AT560" i="3"/>
  <c r="AR560" i="3"/>
  <c r="AZ560" i="3"/>
  <c r="AU552" i="3"/>
  <c r="AS552" i="3"/>
  <c r="BA552" i="3"/>
  <c r="AV544" i="3"/>
  <c r="AT544" i="3"/>
  <c r="AX536" i="3"/>
  <c r="AV536" i="3"/>
  <c r="AY528" i="3"/>
  <c r="AW528" i="3"/>
  <c r="AY520" i="3"/>
  <c r="AW520" i="3"/>
  <c r="AR512" i="3"/>
  <c r="AZ512" i="3"/>
  <c r="AX512" i="3"/>
  <c r="AT504" i="3"/>
  <c r="AR504" i="3"/>
  <c r="AZ504" i="3"/>
  <c r="AT496" i="3"/>
  <c r="AR496" i="3"/>
  <c r="AZ496" i="3"/>
  <c r="AT488" i="3"/>
  <c r="AR488" i="3"/>
  <c r="AZ488" i="3"/>
  <c r="AU480" i="3"/>
  <c r="AS480" i="3"/>
  <c r="BA480" i="3"/>
  <c r="AV472" i="3"/>
  <c r="AT472" i="3"/>
  <c r="AV464" i="3"/>
  <c r="AT464" i="3"/>
  <c r="AV456" i="3"/>
  <c r="AT456" i="3"/>
  <c r="AW448" i="3"/>
  <c r="AU448" i="3"/>
  <c r="AX440" i="3"/>
  <c r="AV440" i="3"/>
  <c r="AX432" i="3"/>
  <c r="AV432" i="3"/>
  <c r="AX424" i="3"/>
  <c r="AV424" i="3"/>
  <c r="AY416" i="3"/>
  <c r="AW416" i="3"/>
  <c r="AV408" i="3"/>
  <c r="AZ408" i="3"/>
  <c r="AX408" i="3"/>
  <c r="AU400" i="3"/>
  <c r="AT400" i="3"/>
  <c r="AR400" i="3"/>
  <c r="BA400" i="3"/>
  <c r="AT392" i="3"/>
  <c r="AX392" i="3"/>
  <c r="AV392" i="3"/>
  <c r="AU384" i="3"/>
  <c r="AT384" i="3"/>
  <c r="AR384" i="3"/>
  <c r="BA384" i="3"/>
  <c r="AU376" i="3"/>
  <c r="AZ376" i="3"/>
  <c r="AW376" i="3"/>
  <c r="AT376" i="3"/>
  <c r="AS368" i="3"/>
  <c r="BA368" i="3"/>
  <c r="AT368" i="3"/>
  <c r="AW368" i="3"/>
  <c r="AU368" i="3"/>
  <c r="AY360" i="3"/>
  <c r="AV360" i="3"/>
  <c r="AW360" i="3"/>
  <c r="AT360" i="3"/>
  <c r="AW352" i="3"/>
  <c r="AY352" i="3"/>
  <c r="AV352" i="3"/>
  <c r="AT352" i="3"/>
  <c r="AU344" i="3"/>
  <c r="AR344" i="3"/>
  <c r="BA344" i="3"/>
  <c r="AW344" i="3"/>
  <c r="AT344" i="3"/>
  <c r="AR336" i="3"/>
  <c r="AZ336" i="3"/>
  <c r="AT336" i="3"/>
  <c r="AU336" i="3"/>
  <c r="AT328" i="3"/>
  <c r="AY328" i="3"/>
  <c r="AW328" i="3"/>
  <c r="AU328" i="3"/>
  <c r="AW320" i="3"/>
  <c r="AX320" i="3"/>
  <c r="AS320" i="3"/>
  <c r="BA320" i="3"/>
  <c r="AU312" i="3"/>
  <c r="AR312" i="3"/>
  <c r="BA312" i="3"/>
  <c r="AT312" i="3"/>
  <c r="AT304" i="3"/>
  <c r="AW304" i="3"/>
  <c r="AV304" i="3"/>
  <c r="AS304" i="3"/>
  <c r="AU296" i="3"/>
  <c r="AS296" i="3"/>
  <c r="AZ296" i="3"/>
  <c r="AX296" i="3"/>
  <c r="AT288" i="3"/>
  <c r="AW288" i="3"/>
  <c r="BA288" i="3"/>
  <c r="AY288" i="3"/>
  <c r="AX280" i="3"/>
  <c r="AV280" i="3"/>
  <c r="AY280" i="3"/>
  <c r="AU280" i="3"/>
  <c r="AY272" i="3"/>
  <c r="AT272" i="3"/>
  <c r="AS272" i="3"/>
  <c r="BA272" i="3"/>
  <c r="AY264" i="3"/>
  <c r="AZ264" i="3"/>
  <c r="AU264" i="3"/>
  <c r="AS264" i="3"/>
  <c r="AT256" i="3"/>
  <c r="AU256" i="3"/>
  <c r="BA256" i="3"/>
  <c r="AS256" i="3"/>
  <c r="AV248" i="3"/>
  <c r="AY248" i="3"/>
  <c r="BA248" i="3"/>
  <c r="AW248" i="3"/>
  <c r="AT240" i="3"/>
  <c r="AR240" i="3"/>
  <c r="AZ240" i="3"/>
  <c r="AX232" i="3"/>
  <c r="AS232" i="3"/>
  <c r="BA232" i="3"/>
  <c r="AT232" i="3"/>
  <c r="AW232" i="3"/>
  <c r="AS224" i="3"/>
  <c r="AU224" i="3"/>
  <c r="AY224" i="3"/>
  <c r="BA224" i="3"/>
  <c r="AY216" i="3"/>
  <c r="AU216" i="3"/>
  <c r="AS216" i="3"/>
  <c r="AW216" i="3"/>
  <c r="AX216" i="3"/>
  <c r="AS208" i="3"/>
  <c r="AW208" i="3"/>
  <c r="BA208" i="3"/>
  <c r="AY208" i="3"/>
  <c r="AV200" i="3"/>
  <c r="AS200" i="3"/>
  <c r="AW200" i="3"/>
  <c r="AR200" i="3"/>
  <c r="AY192" i="3"/>
  <c r="AV192" i="3"/>
  <c r="AW192" i="3"/>
  <c r="AS192" i="3"/>
  <c r="AW184" i="3"/>
  <c r="AS184" i="3"/>
  <c r="AX184" i="3"/>
  <c r="AY184" i="3"/>
  <c r="AR184" i="3"/>
  <c r="AU176" i="3"/>
  <c r="AY176" i="3"/>
  <c r="AR176" i="3"/>
  <c r="AZ168" i="3"/>
  <c r="AX168" i="3"/>
  <c r="AR168" i="3"/>
  <c r="AW160" i="3"/>
  <c r="AY160" i="3"/>
  <c r="AZ160" i="3"/>
  <c r="AV160" i="3"/>
  <c r="AW152" i="3"/>
  <c r="AT152" i="3"/>
  <c r="AV152" i="3"/>
  <c r="AU144" i="3"/>
  <c r="AY144" i="3"/>
  <c r="AX136" i="3"/>
  <c r="BA136" i="3"/>
  <c r="AV136" i="3"/>
  <c r="AZ136" i="3"/>
  <c r="AS136" i="3"/>
  <c r="AS128" i="3"/>
  <c r="AZ128" i="3"/>
  <c r="AR128" i="3"/>
  <c r="AT128" i="3"/>
  <c r="AX120" i="3"/>
  <c r="BA120" i="3"/>
  <c r="AT120" i="3"/>
  <c r="AU120" i="3"/>
  <c r="AZ112" i="3"/>
  <c r="AX112" i="3"/>
  <c r="AS112" i="3"/>
  <c r="AX104" i="3"/>
  <c r="AR104" i="3"/>
  <c r="AT104" i="3"/>
  <c r="AW104" i="3"/>
  <c r="AR96" i="3"/>
  <c r="AZ96" i="3"/>
  <c r="AZ88" i="3"/>
  <c r="AX88" i="3"/>
  <c r="AU88" i="3"/>
  <c r="BA88" i="3"/>
  <c r="AR88" i="3"/>
  <c r="AZ80" i="3"/>
  <c r="AR80" i="3"/>
  <c r="BA80" i="3"/>
  <c r="AW80" i="3"/>
  <c r="AU72" i="3"/>
  <c r="AX72" i="3"/>
  <c r="AS72" i="3"/>
  <c r="AU64" i="3"/>
  <c r="AS64" i="3"/>
  <c r="AR64" i="3"/>
  <c r="AW56" i="3"/>
  <c r="AS56" i="3"/>
  <c r="AU56" i="3"/>
  <c r="AS48" i="3"/>
  <c r="AR48" i="3"/>
  <c r="BA48" i="3"/>
  <c r="AU48" i="3"/>
  <c r="AS40" i="3"/>
  <c r="AZ40" i="3"/>
  <c r="AT40" i="3"/>
  <c r="AX40" i="3"/>
  <c r="AZ32" i="3"/>
  <c r="AW32" i="3"/>
  <c r="AX32" i="3"/>
  <c r="AX24" i="3"/>
  <c r="AZ24" i="3"/>
  <c r="AU16" i="3"/>
  <c r="AT16" i="3"/>
  <c r="AX16" i="3"/>
  <c r="AY16" i="3"/>
  <c r="AV313" i="4"/>
  <c r="AX313" i="4"/>
  <c r="AP313" i="4"/>
  <c r="AR297" i="4"/>
  <c r="AX297" i="4"/>
  <c r="AQ281" i="4"/>
  <c r="AO281" i="4"/>
  <c r="AX281" i="4"/>
  <c r="AS273" i="4"/>
  <c r="AX273" i="4"/>
  <c r="AV273" i="4"/>
  <c r="AP265" i="4"/>
  <c r="AU265" i="4"/>
  <c r="AV249" i="4"/>
  <c r="AO249" i="4"/>
  <c r="AV241" i="4"/>
  <c r="AX241" i="4"/>
  <c r="AP241" i="4"/>
  <c r="AS233" i="4"/>
  <c r="AX233" i="4"/>
  <c r="AO225" i="4"/>
  <c r="AV225" i="4"/>
  <c r="AT209" i="4"/>
  <c r="AX209" i="4"/>
  <c r="AP209" i="4"/>
  <c r="AQ193" i="4"/>
  <c r="AW193" i="4"/>
  <c r="AV193" i="4"/>
  <c r="AR193" i="4"/>
  <c r="AT185" i="4"/>
  <c r="AQ185" i="4"/>
  <c r="AS177" i="4"/>
  <c r="AO177" i="4"/>
  <c r="AV177" i="4"/>
  <c r="AW169" i="4"/>
  <c r="AT169" i="4"/>
  <c r="AQ153" i="4"/>
  <c r="AO153" i="4"/>
  <c r="AT153" i="4"/>
  <c r="AP153" i="4"/>
  <c r="AU153" i="4"/>
  <c r="AT145" i="4"/>
  <c r="AS145" i="4"/>
  <c r="AV137" i="4"/>
  <c r="AX137" i="4"/>
  <c r="AT137" i="4"/>
  <c r="AW121" i="4"/>
  <c r="AR121" i="4"/>
  <c r="AO121" i="4"/>
  <c r="AP113" i="4"/>
  <c r="AV113" i="4"/>
  <c r="AT113" i="4"/>
  <c r="AO105" i="4"/>
  <c r="AP105" i="4"/>
  <c r="AS105" i="4"/>
  <c r="AV105" i="4"/>
  <c r="AQ97" i="4"/>
  <c r="AS97" i="4"/>
  <c r="AX97" i="4"/>
  <c r="AW89" i="4"/>
  <c r="AX89" i="4"/>
  <c r="AU89" i="4"/>
  <c r="AV89" i="4"/>
  <c r="AQ89" i="4"/>
  <c r="AT73" i="4"/>
  <c r="AX73" i="4"/>
  <c r="AW65" i="4"/>
  <c r="AP65" i="4"/>
  <c r="AQ65" i="4"/>
  <c r="AX49" i="4"/>
  <c r="AU49" i="4"/>
  <c r="AO49" i="4"/>
  <c r="AW49" i="4"/>
  <c r="AO33" i="4"/>
  <c r="AX33" i="4"/>
  <c r="AS25" i="4"/>
  <c r="AW25" i="4"/>
  <c r="AU25" i="4"/>
  <c r="AR25" i="4"/>
  <c r="N9" i="17"/>
  <c r="R9" i="17"/>
  <c r="L9" i="17"/>
  <c r="U9" i="17"/>
  <c r="O136" i="17"/>
  <c r="P136" i="17"/>
  <c r="Q128" i="17"/>
  <c r="O128" i="17"/>
  <c r="U104" i="17"/>
  <c r="M104" i="17"/>
  <c r="S104" i="17"/>
  <c r="R104" i="17"/>
  <c r="N96" i="17"/>
  <c r="R96" i="17"/>
  <c r="U56" i="17"/>
  <c r="Q56" i="17"/>
  <c r="O48" i="17"/>
  <c r="P48" i="17"/>
  <c r="T40" i="17"/>
  <c r="P40" i="17"/>
  <c r="R40" i="17"/>
  <c r="M32" i="17"/>
  <c r="R32" i="17"/>
  <c r="Q32" i="17"/>
  <c r="N32" i="17"/>
  <c r="T32" i="17"/>
  <c r="O32" i="17"/>
  <c r="M188" i="12"/>
  <c r="L188" i="12"/>
  <c r="AY342" i="3"/>
  <c r="AR342" i="3"/>
  <c r="AW302" i="3"/>
  <c r="AX302" i="3"/>
  <c r="AV174" i="3"/>
  <c r="AY174" i="3"/>
  <c r="BA166" i="3"/>
  <c r="AZ166" i="3"/>
  <c r="AS295" i="4"/>
  <c r="AT295" i="4"/>
  <c r="AY381" i="3"/>
  <c r="AX381" i="3"/>
  <c r="AX373" i="3"/>
  <c r="AS373" i="3"/>
  <c r="AV365" i="3"/>
  <c r="AU365" i="3"/>
  <c r="AU357" i="3"/>
  <c r="AY357" i="3"/>
  <c r="AR349" i="3"/>
  <c r="AZ349" i="3"/>
  <c r="BA349" i="3"/>
  <c r="AW341" i="3"/>
  <c r="AS341" i="3"/>
  <c r="AR333" i="3"/>
  <c r="AZ333" i="3"/>
  <c r="BA333" i="3"/>
  <c r="AV325" i="3"/>
  <c r="AY325" i="3"/>
  <c r="AV317" i="3"/>
  <c r="AU317" i="3"/>
  <c r="AT309" i="3"/>
  <c r="AY309" i="3"/>
  <c r="AT301" i="3"/>
  <c r="AU301" i="3"/>
  <c r="AS293" i="3"/>
  <c r="BA293" i="3"/>
  <c r="AX293" i="3"/>
  <c r="AX285" i="3"/>
  <c r="AR285" i="3"/>
  <c r="BA285" i="3"/>
  <c r="AS285" i="3"/>
  <c r="AV277" i="3"/>
  <c r="AW277" i="3"/>
  <c r="AS277" i="3"/>
  <c r="AR269" i="3"/>
  <c r="BA269" i="3"/>
  <c r="AT269" i="3"/>
  <c r="AT261" i="3"/>
  <c r="AW261" i="3"/>
  <c r="AU261" i="3"/>
  <c r="AW253" i="3"/>
  <c r="AZ253" i="3"/>
  <c r="AT253" i="3"/>
  <c r="AR245" i="3"/>
  <c r="AW245" i="3"/>
  <c r="BA245" i="3"/>
  <c r="AU237" i="3"/>
  <c r="AZ237" i="3"/>
  <c r="AX237" i="3"/>
  <c r="AV229" i="3"/>
  <c r="AU229" i="3"/>
  <c r="AY229" i="3"/>
  <c r="AY221" i="3"/>
  <c r="AT221" i="3"/>
  <c r="AU221" i="3"/>
  <c r="AW221" i="3"/>
  <c r="AU213" i="3"/>
  <c r="AV213" i="3"/>
  <c r="AR213" i="3"/>
  <c r="AU205" i="3"/>
  <c r="AT205" i="3"/>
  <c r="AZ205" i="3"/>
  <c r="AW197" i="3"/>
  <c r="AX197" i="3"/>
  <c r="AR197" i="3"/>
  <c r="AT197" i="3"/>
  <c r="AY181" i="3"/>
  <c r="AX181" i="3"/>
  <c r="AR181" i="3"/>
  <c r="AU173" i="3"/>
  <c r="AR173" i="3"/>
  <c r="AT173" i="3"/>
  <c r="AZ173" i="3"/>
  <c r="AW165" i="3"/>
  <c r="AX165" i="3"/>
  <c r="AU165" i="3"/>
  <c r="AY157" i="3"/>
  <c r="AT157" i="3"/>
  <c r="AZ157" i="3"/>
  <c r="AR157" i="3"/>
  <c r="BA133" i="3"/>
  <c r="AZ133" i="3"/>
  <c r="AR117" i="3"/>
  <c r="AZ117" i="3"/>
  <c r="BA101" i="3"/>
  <c r="AY101" i="3"/>
  <c r="AZ93" i="3"/>
  <c r="AX93" i="3"/>
  <c r="AR69" i="3"/>
  <c r="AT69" i="3"/>
  <c r="BA69" i="3"/>
  <c r="AS37" i="3"/>
  <c r="AX37" i="3"/>
  <c r="AY29" i="3"/>
  <c r="AS29" i="3"/>
  <c r="AT29" i="3"/>
  <c r="BA21" i="3"/>
  <c r="AZ21" i="3"/>
  <c r="AW13" i="3"/>
  <c r="AX13" i="3"/>
  <c r="AU310" i="4"/>
  <c r="AO310" i="4"/>
  <c r="AP302" i="4"/>
  <c r="AW302" i="4"/>
  <c r="AV302" i="4"/>
  <c r="AT302" i="4"/>
  <c r="AV294" i="4"/>
  <c r="AO294" i="4"/>
  <c r="AQ198" i="4"/>
  <c r="AS198" i="4"/>
  <c r="AV198" i="4"/>
  <c r="AW158" i="4"/>
  <c r="AX158" i="4"/>
  <c r="AO142" i="4"/>
  <c r="AV142" i="4"/>
  <c r="AU142" i="4"/>
  <c r="AP110" i="4"/>
  <c r="AU110" i="4"/>
  <c r="AQ102" i="4"/>
  <c r="AR102" i="4"/>
  <c r="AX86" i="4"/>
  <c r="AQ86" i="4"/>
  <c r="O69" i="17"/>
  <c r="S69" i="17"/>
  <c r="AS401" i="3"/>
  <c r="BA401" i="3"/>
  <c r="AR393" i="3"/>
  <c r="AZ393" i="3"/>
  <c r="AS385" i="3"/>
  <c r="BA385" i="3"/>
  <c r="AS377" i="3"/>
  <c r="BA377" i="3"/>
  <c r="AX369" i="3"/>
  <c r="AZ369" i="3"/>
  <c r="AX361" i="3"/>
  <c r="AW361" i="3"/>
  <c r="AX353" i="3"/>
  <c r="AU353" i="3"/>
  <c r="AX345" i="3"/>
  <c r="AS345" i="3"/>
  <c r="AW337" i="3"/>
  <c r="AY337" i="3"/>
  <c r="AV329" i="3"/>
  <c r="AR329" i="3"/>
  <c r="BA329" i="3"/>
  <c r="AT225" i="3"/>
  <c r="AW225" i="3"/>
  <c r="AZ217" i="3"/>
  <c r="AW217" i="3"/>
  <c r="AT209" i="3"/>
  <c r="AX209" i="3"/>
  <c r="AV201" i="3"/>
  <c r="AU201" i="3"/>
  <c r="BA193" i="3"/>
  <c r="AU193" i="3"/>
  <c r="AX185" i="3"/>
  <c r="AW185" i="3"/>
  <c r="AS177" i="3"/>
  <c r="AY177" i="3"/>
  <c r="AY161" i="3"/>
  <c r="AR161" i="3"/>
  <c r="AR153" i="3"/>
  <c r="AS153" i="3"/>
  <c r="AX145" i="3"/>
  <c r="AR145" i="3"/>
  <c r="AT129" i="3"/>
  <c r="AR129" i="3"/>
  <c r="AT97" i="3"/>
  <c r="AU97" i="3"/>
  <c r="AU81" i="3"/>
  <c r="AX81" i="3"/>
  <c r="BA73" i="3"/>
  <c r="AS73" i="3"/>
  <c r="AZ65" i="3"/>
  <c r="AY65" i="3"/>
  <c r="BA57" i="3"/>
  <c r="AT57" i="3"/>
  <c r="AX49" i="3"/>
  <c r="AU49" i="3"/>
  <c r="AV25" i="3"/>
  <c r="AY25" i="3"/>
  <c r="AV17" i="3"/>
  <c r="BA17" i="3"/>
  <c r="AU17" i="3"/>
  <c r="AW282" i="4"/>
  <c r="AV282" i="4"/>
  <c r="AU266" i="4"/>
  <c r="AR266" i="4"/>
  <c r="AO202" i="4"/>
  <c r="AT202" i="4"/>
  <c r="AR82" i="4"/>
  <c r="AX82" i="4"/>
  <c r="AS50" i="4"/>
  <c r="AQ50" i="4"/>
  <c r="AQ26" i="4"/>
  <c r="AP26" i="4"/>
  <c r="AX18" i="4"/>
  <c r="AU18" i="4"/>
  <c r="N97" i="17"/>
  <c r="L97" i="17"/>
  <c r="S97" i="17"/>
  <c r="R57" i="17"/>
  <c r="T57" i="17"/>
  <c r="O57" i="17"/>
  <c r="AT220" i="3"/>
  <c r="AU220" i="3"/>
  <c r="AY180" i="3"/>
  <c r="AV180" i="3"/>
  <c r="AY172" i="3"/>
  <c r="AS172" i="3"/>
  <c r="AY164" i="3"/>
  <c r="AX164" i="3"/>
  <c r="AY156" i="3"/>
  <c r="AT156" i="3"/>
  <c r="AX148" i="3"/>
  <c r="AW148" i="3"/>
  <c r="AW140" i="3"/>
  <c r="AZ140" i="3"/>
  <c r="AV132" i="3"/>
  <c r="AW132" i="3"/>
  <c r="AT124" i="3"/>
  <c r="AR124" i="3"/>
  <c r="BA124" i="3"/>
  <c r="AV108" i="3"/>
  <c r="AU108" i="3"/>
  <c r="AY100" i="3"/>
  <c r="AV100" i="3"/>
  <c r="AT92" i="3"/>
  <c r="AW92" i="3"/>
  <c r="AX84" i="3"/>
  <c r="AY84" i="3"/>
  <c r="AV76" i="3"/>
  <c r="AZ76" i="3"/>
  <c r="AW68" i="3"/>
  <c r="AS68" i="3"/>
  <c r="AR68" i="3"/>
  <c r="AT60" i="3"/>
  <c r="AS60" i="3"/>
  <c r="AY60" i="3"/>
  <c r="AY52" i="3"/>
  <c r="AR52" i="3"/>
  <c r="BA52" i="3"/>
  <c r="AS52" i="3"/>
  <c r="AV44" i="3"/>
  <c r="AS44" i="3"/>
  <c r="AY44" i="3"/>
  <c r="AR36" i="3"/>
  <c r="AT36" i="3"/>
  <c r="AW28" i="3"/>
  <c r="AV28" i="3"/>
  <c r="AS28" i="3"/>
  <c r="AZ20" i="3"/>
  <c r="AU20" i="3"/>
  <c r="AV12" i="3"/>
  <c r="AX12" i="3"/>
  <c r="AY12" i="3"/>
  <c r="AX325" i="4"/>
  <c r="AU325" i="4"/>
  <c r="AP325" i="4"/>
  <c r="AR317" i="4"/>
  <c r="AQ317" i="4"/>
  <c r="AU285" i="4"/>
  <c r="AR285" i="4"/>
  <c r="AQ285" i="4"/>
  <c r="AO285" i="4"/>
  <c r="AO277" i="4"/>
  <c r="AU277" i="4"/>
  <c r="AS277" i="4"/>
  <c r="AS269" i="4"/>
  <c r="AR269" i="4"/>
  <c r="AR261" i="4"/>
  <c r="AS261" i="4"/>
  <c r="AR253" i="4"/>
  <c r="AS253" i="4"/>
  <c r="AQ253" i="4"/>
  <c r="AR245" i="4"/>
  <c r="AQ245" i="4"/>
  <c r="AP237" i="4"/>
  <c r="AU237" i="4"/>
  <c r="AS229" i="4"/>
  <c r="AW229" i="4"/>
  <c r="AT205" i="4"/>
  <c r="AU205" i="4"/>
  <c r="AX205" i="4"/>
  <c r="AO197" i="4"/>
  <c r="AQ197" i="4"/>
  <c r="AS197" i="4"/>
  <c r="AS125" i="4"/>
  <c r="AT125" i="4"/>
  <c r="AP125" i="4"/>
  <c r="AO125" i="4"/>
  <c r="AQ125" i="4"/>
  <c r="AR125" i="4"/>
  <c r="AX125" i="4"/>
  <c r="AU109" i="4"/>
  <c r="AT109" i="4"/>
  <c r="AW101" i="4"/>
  <c r="AR101" i="4"/>
  <c r="AX85" i="4"/>
  <c r="AV85" i="4"/>
  <c r="AS77" i="4"/>
  <c r="AU77" i="4"/>
  <c r="AT77" i="4"/>
  <c r="AO77" i="4"/>
  <c r="AR77" i="4"/>
  <c r="AT37" i="4"/>
  <c r="AS37" i="4"/>
  <c r="AO37" i="4"/>
  <c r="AP21" i="4"/>
  <c r="AR21" i="4"/>
  <c r="AV13" i="4"/>
  <c r="AW13" i="4"/>
  <c r="AX13" i="4"/>
  <c r="Q140" i="17"/>
  <c r="T140" i="17"/>
  <c r="N140" i="17"/>
  <c r="M140" i="17"/>
  <c r="O132" i="17"/>
  <c r="N132" i="17"/>
  <c r="M132" i="17"/>
  <c r="M124" i="17"/>
  <c r="R124" i="17"/>
  <c r="S124" i="17"/>
  <c r="N124" i="17"/>
  <c r="S116" i="17"/>
  <c r="R116" i="17"/>
  <c r="Q108" i="17"/>
  <c r="N108" i="17"/>
  <c r="M108" i="17"/>
  <c r="O100" i="17"/>
  <c r="L100" i="17"/>
  <c r="Q100" i="17"/>
  <c r="R100" i="17"/>
  <c r="M92" i="17"/>
  <c r="N92" i="17"/>
  <c r="R92" i="17"/>
  <c r="U92" i="17"/>
  <c r="S84" i="17"/>
  <c r="N84" i="17"/>
  <c r="M84" i="17"/>
  <c r="Q76" i="17"/>
  <c r="M76" i="17"/>
  <c r="M68" i="17"/>
  <c r="N68" i="17"/>
  <c r="S60" i="17"/>
  <c r="Q60" i="17"/>
  <c r="L60" i="17"/>
  <c r="O52" i="17"/>
  <c r="T52" i="17"/>
  <c r="N52" i="17"/>
  <c r="S44" i="17"/>
  <c r="U44" i="17"/>
  <c r="O36" i="17"/>
  <c r="T36" i="17"/>
  <c r="S36" i="17"/>
  <c r="S28" i="17"/>
  <c r="T28" i="17"/>
  <c r="R20" i="17"/>
  <c r="Q20" i="17"/>
  <c r="S12" i="17"/>
  <c r="Q12" i="17"/>
  <c r="N12" i="17"/>
  <c r="L300" i="12"/>
  <c r="M300" i="12"/>
  <c r="L523" i="12"/>
  <c r="M523" i="12" s="1"/>
  <c r="L511" i="12"/>
  <c r="M503" i="12"/>
  <c r="L503" i="12"/>
  <c r="M412" i="12"/>
  <c r="L412" i="12"/>
  <c r="L80" i="12"/>
  <c r="M80" i="12"/>
  <c r="M474" i="12"/>
  <c r="X1150" i="13"/>
  <c r="AS2994" i="3"/>
  <c r="AS2933" i="3"/>
  <c r="AW2981" i="3"/>
  <c r="AA1172" i="13"/>
  <c r="AS2867" i="3"/>
  <c r="AV2867" i="3"/>
  <c r="BA2867" i="3"/>
  <c r="AC1113" i="13"/>
  <c r="AU2994" i="3"/>
  <c r="AV2933" i="3"/>
  <c r="AT2867" i="3"/>
  <c r="AS2967" i="3"/>
  <c r="AR2974" i="3"/>
  <c r="AS2792" i="3"/>
  <c r="Z1128" i="13"/>
  <c r="AW2845" i="3"/>
  <c r="AW2844" i="3"/>
  <c r="AW2856" i="3"/>
  <c r="AV3006" i="3"/>
  <c r="AX3006" i="3"/>
  <c r="AV2806" i="3"/>
  <c r="AQ363" i="4"/>
  <c r="AT363" i="4"/>
  <c r="AW2994" i="3"/>
  <c r="AX2933" i="3"/>
  <c r="AU2867" i="3"/>
  <c r="AW2867" i="3"/>
  <c r="AX2867" i="3"/>
  <c r="BA2824" i="3"/>
  <c r="AS2974" i="3"/>
  <c r="AY2933" i="3"/>
  <c r="P145" i="17"/>
  <c r="M284" i="12"/>
  <c r="AV3002" i="3"/>
  <c r="AW3024" i="3"/>
  <c r="AX3024" i="3"/>
  <c r="AY2940" i="3"/>
  <c r="AT2912" i="3"/>
  <c r="AV363" i="4"/>
  <c r="AR2925" i="3"/>
  <c r="S145" i="17"/>
  <c r="W1172" i="13"/>
  <c r="AD1172" i="13"/>
  <c r="AY2867" i="3"/>
  <c r="BA2826" i="3"/>
  <c r="AZ2824" i="3"/>
  <c r="AW2974" i="3"/>
  <c r="AZ2833" i="3"/>
  <c r="M546" i="12"/>
  <c r="W1128" i="13"/>
  <c r="AT352" i="4"/>
  <c r="AY2848" i="3"/>
  <c r="AW2848" i="3"/>
  <c r="AU2844" i="3"/>
  <c r="AV2879" i="3"/>
  <c r="AW3002" i="3"/>
  <c r="AX3002" i="3"/>
  <c r="AR2940" i="3"/>
  <c r="AS2940" i="3"/>
  <c r="AT3024" i="3"/>
  <c r="AV2886" i="3"/>
  <c r="AT2898" i="3"/>
  <c r="AW2893" i="3"/>
  <c r="AT2895" i="3"/>
  <c r="AQ365" i="4"/>
  <c r="AS369" i="4"/>
  <c r="Z1150" i="13"/>
  <c r="AT2925" i="3"/>
  <c r="AV2803" i="3"/>
  <c r="AS2953" i="3"/>
  <c r="AY2997" i="3"/>
  <c r="V1162" i="13"/>
  <c r="AB1162" i="13"/>
  <c r="X1172" i="13"/>
  <c r="AE1172" i="13"/>
  <c r="AZ2865" i="3"/>
  <c r="AU3017" i="3"/>
  <c r="AY3017" i="3"/>
  <c r="AZ2988" i="3"/>
  <c r="AV3014" i="3"/>
  <c r="AY2974" i="3"/>
  <c r="AW2837" i="3"/>
  <c r="AW3014" i="3"/>
  <c r="AW2976" i="3"/>
  <c r="BA2837" i="3"/>
  <c r="AU2958" i="3"/>
  <c r="AR2848" i="3"/>
  <c r="AS2848" i="3"/>
  <c r="AV2854" i="3"/>
  <c r="AC1150" i="13"/>
  <c r="AX2925" i="3"/>
  <c r="AR2994" i="3"/>
  <c r="AU2953" i="3"/>
  <c r="Z1172" i="13"/>
  <c r="AC1172" i="13"/>
  <c r="AR790" i="3"/>
  <c r="AZ790" i="3"/>
  <c r="AU750" i="3"/>
  <c r="AV750" i="3"/>
  <c r="AU742" i="3"/>
  <c r="AZ742" i="3"/>
  <c r="AU734" i="3"/>
  <c r="AT734" i="3"/>
  <c r="AV734" i="3"/>
  <c r="AU726" i="3"/>
  <c r="AY726" i="3"/>
  <c r="AZ726" i="3"/>
  <c r="AU718" i="3"/>
  <c r="AT718" i="3"/>
  <c r="AV718" i="3"/>
  <c r="AU710" i="3"/>
  <c r="AY710" i="3"/>
  <c r="AZ710" i="3"/>
  <c r="AR710" i="3"/>
  <c r="BA710" i="3"/>
  <c r="AU702" i="3"/>
  <c r="AT702" i="3"/>
  <c r="AV702" i="3"/>
  <c r="AW702" i="3"/>
  <c r="AU694" i="3"/>
  <c r="AY694" i="3"/>
  <c r="AZ694" i="3"/>
  <c r="AR694" i="3"/>
  <c r="BA694" i="3"/>
  <c r="AU686" i="3"/>
  <c r="AT686" i="3"/>
  <c r="AV686" i="3"/>
  <c r="AW686" i="3"/>
  <c r="AU678" i="3"/>
  <c r="AY678" i="3"/>
  <c r="AZ678" i="3"/>
  <c r="AR678" i="3"/>
  <c r="BA678" i="3"/>
  <c r="AU670" i="3"/>
  <c r="AV670" i="3"/>
  <c r="BA670" i="3"/>
  <c r="AR670" i="3"/>
  <c r="AS670" i="3"/>
  <c r="AU662" i="3"/>
  <c r="AV662" i="3"/>
  <c r="AR662" i="3"/>
  <c r="AS662" i="3"/>
  <c r="AT662" i="3"/>
  <c r="AU654" i="3"/>
  <c r="AV654" i="3"/>
  <c r="AS654" i="3"/>
  <c r="AT654" i="3"/>
  <c r="AW654" i="3"/>
  <c r="AU646" i="3"/>
  <c r="AV646" i="3"/>
  <c r="AT646" i="3"/>
  <c r="AW646" i="3"/>
  <c r="AX646" i="3"/>
  <c r="AU638" i="3"/>
  <c r="AV638" i="3"/>
  <c r="AW638" i="3"/>
  <c r="AX638" i="3"/>
  <c r="AY638" i="3"/>
  <c r="AU630" i="3"/>
  <c r="AV630" i="3"/>
  <c r="AX630" i="3"/>
  <c r="AY630" i="3"/>
  <c r="AZ630" i="3"/>
  <c r="AU622" i="3"/>
  <c r="AV622" i="3"/>
  <c r="AY622" i="3"/>
  <c r="AZ622" i="3"/>
  <c r="BA622" i="3"/>
  <c r="AU614" i="3"/>
  <c r="AV614" i="3"/>
  <c r="AZ614" i="3"/>
  <c r="BA614" i="3"/>
  <c r="AR614" i="3"/>
  <c r="AU606" i="3"/>
  <c r="AV606" i="3"/>
  <c r="BA606" i="3"/>
  <c r="AR606" i="3"/>
  <c r="AS606" i="3"/>
  <c r="AU598" i="3"/>
  <c r="AV598" i="3"/>
  <c r="AR598" i="3"/>
  <c r="AS598" i="3"/>
  <c r="AT598" i="3"/>
  <c r="AU590" i="3"/>
  <c r="AV590" i="3"/>
  <c r="AS590" i="3"/>
  <c r="AT590" i="3"/>
  <c r="AW590" i="3"/>
  <c r="BA590" i="3"/>
  <c r="AU582" i="3"/>
  <c r="AV582" i="3"/>
  <c r="AT582" i="3"/>
  <c r="AW582" i="3"/>
  <c r="AX582" i="3"/>
  <c r="AR582" i="3"/>
  <c r="AU574" i="3"/>
  <c r="AV574" i="3"/>
  <c r="AW574" i="3"/>
  <c r="AX574" i="3"/>
  <c r="AY574" i="3"/>
  <c r="AS574" i="3"/>
  <c r="AU566" i="3"/>
  <c r="AV566" i="3"/>
  <c r="AX566" i="3"/>
  <c r="AY566" i="3"/>
  <c r="AZ566" i="3"/>
  <c r="AT566" i="3"/>
  <c r="AU558" i="3"/>
  <c r="AV558" i="3"/>
  <c r="AY558" i="3"/>
  <c r="AZ558" i="3"/>
  <c r="BA558" i="3"/>
  <c r="AW558" i="3"/>
  <c r="AU550" i="3"/>
  <c r="AV550" i="3"/>
  <c r="AZ550" i="3"/>
  <c r="BA550" i="3"/>
  <c r="AR550" i="3"/>
  <c r="AX550" i="3"/>
  <c r="AU542" i="3"/>
  <c r="AV542" i="3"/>
  <c r="BA542" i="3"/>
  <c r="AR542" i="3"/>
  <c r="AS542" i="3"/>
  <c r="AY542" i="3"/>
  <c r="AU534" i="3"/>
  <c r="AV534" i="3"/>
  <c r="AR534" i="3"/>
  <c r="AS534" i="3"/>
  <c r="AT534" i="3"/>
  <c r="AZ534" i="3"/>
  <c r="AU526" i="3"/>
  <c r="AV526" i="3"/>
  <c r="AS526" i="3"/>
  <c r="AT526" i="3"/>
  <c r="AW526" i="3"/>
  <c r="BA526" i="3"/>
  <c r="AU518" i="3"/>
  <c r="AV518" i="3"/>
  <c r="AT518" i="3"/>
  <c r="AW518" i="3"/>
  <c r="AX518" i="3"/>
  <c r="AR518" i="3"/>
  <c r="AU510" i="3"/>
  <c r="AV510" i="3"/>
  <c r="AW510" i="3"/>
  <c r="AX510" i="3"/>
  <c r="AY510" i="3"/>
  <c r="AS510" i="3"/>
  <c r="AU502" i="3"/>
  <c r="AV502" i="3"/>
  <c r="AX502" i="3"/>
  <c r="AY502" i="3"/>
  <c r="AZ502" i="3"/>
  <c r="AT502" i="3"/>
  <c r="AU494" i="3"/>
  <c r="AV494" i="3"/>
  <c r="AY494" i="3"/>
  <c r="AZ494" i="3"/>
  <c r="BA494" i="3"/>
  <c r="AW494" i="3"/>
  <c r="AU486" i="3"/>
  <c r="AV486" i="3"/>
  <c r="AZ486" i="3"/>
  <c r="BA486" i="3"/>
  <c r="AR486" i="3"/>
  <c r="AX486" i="3"/>
  <c r="AU478" i="3"/>
  <c r="AV478" i="3"/>
  <c r="BA478" i="3"/>
  <c r="AR478" i="3"/>
  <c r="AS478" i="3"/>
  <c r="AY478" i="3"/>
  <c r="AU470" i="3"/>
  <c r="AV470" i="3"/>
  <c r="AR470" i="3"/>
  <c r="AS470" i="3"/>
  <c r="AT470" i="3"/>
  <c r="AZ470" i="3"/>
  <c r="AU462" i="3"/>
  <c r="AV462" i="3"/>
  <c r="AS462" i="3"/>
  <c r="AT462" i="3"/>
  <c r="AW462" i="3"/>
  <c r="BA462" i="3"/>
  <c r="AU454" i="3"/>
  <c r="AV454" i="3"/>
  <c r="AT454" i="3"/>
  <c r="AW454" i="3"/>
  <c r="AX454" i="3"/>
  <c r="AR454" i="3"/>
  <c r="AU446" i="3"/>
  <c r="AV446" i="3"/>
  <c r="AW446" i="3"/>
  <c r="AX446" i="3"/>
  <c r="AY446" i="3"/>
  <c r="AS446" i="3"/>
  <c r="AU438" i="3"/>
  <c r="AV438" i="3"/>
  <c r="AX438" i="3"/>
  <c r="AY438" i="3"/>
  <c r="AZ438" i="3"/>
  <c r="AT438" i="3"/>
  <c r="AU430" i="3"/>
  <c r="AV430" i="3"/>
  <c r="AY430" i="3"/>
  <c r="AZ430" i="3"/>
  <c r="BA430" i="3"/>
  <c r="AW430" i="3"/>
  <c r="AU422" i="3"/>
  <c r="AV422" i="3"/>
  <c r="AZ422" i="3"/>
  <c r="BA422" i="3"/>
  <c r="AR422" i="3"/>
  <c r="AX422" i="3"/>
  <c r="AU414" i="3"/>
  <c r="AV414" i="3"/>
  <c r="BA414" i="3"/>
  <c r="AR414" i="3"/>
  <c r="AS414" i="3"/>
  <c r="AY414" i="3"/>
  <c r="AU406" i="3"/>
  <c r="AV406" i="3"/>
  <c r="AR406" i="3"/>
  <c r="AS406" i="3"/>
  <c r="AT406" i="3"/>
  <c r="AZ406" i="3"/>
  <c r="AU398" i="3"/>
  <c r="AV398" i="3"/>
  <c r="AS398" i="3"/>
  <c r="AT398" i="3"/>
  <c r="AW398" i="3"/>
  <c r="BA398" i="3"/>
  <c r="AU390" i="3"/>
  <c r="AV390" i="3"/>
  <c r="AT390" i="3"/>
  <c r="AW390" i="3"/>
  <c r="AX390" i="3"/>
  <c r="AR390" i="3"/>
  <c r="AU382" i="3"/>
  <c r="AV382" i="3"/>
  <c r="AW382" i="3"/>
  <c r="AX382" i="3"/>
  <c r="AY382" i="3"/>
  <c r="AS382" i="3"/>
  <c r="AU374" i="3"/>
  <c r="AV374" i="3"/>
  <c r="AX374" i="3"/>
  <c r="AY374" i="3"/>
  <c r="AZ374" i="3"/>
  <c r="AT374" i="3"/>
  <c r="AV366" i="3"/>
  <c r="AZ366" i="3"/>
  <c r="AR366" i="3"/>
  <c r="BA366" i="3"/>
  <c r="AT366" i="3"/>
  <c r="AU366" i="3"/>
  <c r="AW366" i="3"/>
  <c r="AV358" i="3"/>
  <c r="AU358" i="3"/>
  <c r="AW358" i="3"/>
  <c r="AR358" i="3"/>
  <c r="AS358" i="3"/>
  <c r="AZ358" i="3"/>
  <c r="AV350" i="3"/>
  <c r="AZ350" i="3"/>
  <c r="AR350" i="3"/>
  <c r="BA350" i="3"/>
  <c r="AX350" i="3"/>
  <c r="AY350" i="3"/>
  <c r="AU350" i="3"/>
  <c r="AU342" i="3"/>
  <c r="AT342" i="3"/>
  <c r="AV342" i="3"/>
  <c r="AS342" i="3"/>
  <c r="AW342" i="3"/>
  <c r="AX342" i="3"/>
  <c r="AT334" i="3"/>
  <c r="AW334" i="3"/>
  <c r="AX334" i="3"/>
  <c r="AZ334" i="3"/>
  <c r="BA334" i="3"/>
  <c r="AV334" i="3"/>
  <c r="AR326" i="3"/>
  <c r="AZ326" i="3"/>
  <c r="AX326" i="3"/>
  <c r="AY326" i="3"/>
  <c r="AS326" i="3"/>
  <c r="AT326" i="3"/>
  <c r="AU326" i="3"/>
  <c r="AX318" i="3"/>
  <c r="AY318" i="3"/>
  <c r="AU318" i="3"/>
  <c r="AV318" i="3"/>
  <c r="AR318" i="3"/>
  <c r="AS318" i="3"/>
  <c r="AT318" i="3"/>
  <c r="AV310" i="3"/>
  <c r="AW310" i="3"/>
  <c r="BA310" i="3"/>
  <c r="AR310" i="3"/>
  <c r="AS310" i="3"/>
  <c r="AT310" i="3"/>
  <c r="AZ310" i="3"/>
  <c r="AT302" i="3"/>
  <c r="AU302" i="3"/>
  <c r="AY302" i="3"/>
  <c r="AZ302" i="3"/>
  <c r="AR302" i="3"/>
  <c r="AS302" i="3"/>
  <c r="AV302" i="3"/>
  <c r="AR294" i="3"/>
  <c r="AZ294" i="3"/>
  <c r="AS294" i="3"/>
  <c r="BA294" i="3"/>
  <c r="AT294" i="3"/>
  <c r="AU294" i="3"/>
  <c r="AV294" i="3"/>
  <c r="AY294" i="3"/>
  <c r="AX286" i="3"/>
  <c r="AY286" i="3"/>
  <c r="AV286" i="3"/>
  <c r="AW286" i="3"/>
  <c r="AZ286" i="3"/>
  <c r="AS286" i="3"/>
  <c r="AT286" i="3"/>
  <c r="AU286" i="3"/>
  <c r="AR278" i="3"/>
  <c r="AZ278" i="3"/>
  <c r="AS278" i="3"/>
  <c r="BA278" i="3"/>
  <c r="AY278" i="3"/>
  <c r="AX278" i="3"/>
  <c r="AV278" i="3"/>
  <c r="AX270" i="3"/>
  <c r="AY270" i="3"/>
  <c r="AZ270" i="3"/>
  <c r="AV270" i="3"/>
  <c r="AW270" i="3"/>
  <c r="BA270" i="3"/>
  <c r="AU270" i="3"/>
  <c r="AW262" i="3"/>
  <c r="AR262" i="3"/>
  <c r="BA262" i="3"/>
  <c r="AS262" i="3"/>
  <c r="AZ262" i="3"/>
  <c r="AT262" i="3"/>
  <c r="AU262" i="3"/>
  <c r="AV262" i="3"/>
  <c r="AT254" i="3"/>
  <c r="AR254" i="3"/>
  <c r="BA254" i="3"/>
  <c r="AS254" i="3"/>
  <c r="AY254" i="3"/>
  <c r="AZ254" i="3"/>
  <c r="AV254" i="3"/>
  <c r="AW254" i="3"/>
  <c r="AX254" i="3"/>
  <c r="AV246" i="3"/>
  <c r="AU246" i="3"/>
  <c r="AY246" i="3"/>
  <c r="AZ246" i="3"/>
  <c r="AR246" i="3"/>
  <c r="AS246" i="3"/>
  <c r="AT246" i="3"/>
  <c r="BA246" i="3"/>
  <c r="AW238" i="3"/>
  <c r="AT238" i="3"/>
  <c r="BA238" i="3"/>
  <c r="AR238" i="3"/>
  <c r="AX238" i="3"/>
  <c r="AY238" i="3"/>
  <c r="AZ238" i="3"/>
  <c r="AU238" i="3"/>
  <c r="AV238" i="3"/>
  <c r="AY230" i="3"/>
  <c r="AT230" i="3"/>
  <c r="AU230" i="3"/>
  <c r="AV230" i="3"/>
  <c r="AR230" i="3"/>
  <c r="AS230" i="3"/>
  <c r="AW230" i="3"/>
  <c r="AS222" i="3"/>
  <c r="AW222" i="3"/>
  <c r="AX222" i="3"/>
  <c r="AT222" i="3"/>
  <c r="AU222" i="3"/>
  <c r="AY222" i="3"/>
  <c r="BA222" i="3"/>
  <c r="AX214" i="3"/>
  <c r="AW214" i="3"/>
  <c r="AY214" i="3"/>
  <c r="AS214" i="3"/>
  <c r="AT214" i="3"/>
  <c r="AU214" i="3"/>
  <c r="AV214" i="3"/>
  <c r="AY206" i="3"/>
  <c r="AT206" i="3"/>
  <c r="AW206" i="3"/>
  <c r="AX206" i="3"/>
  <c r="AR206" i="3"/>
  <c r="AS206" i="3"/>
  <c r="AU206" i="3"/>
  <c r="BA206" i="3"/>
  <c r="AV206" i="3"/>
  <c r="AX198" i="3"/>
  <c r="AZ198" i="3"/>
  <c r="AW198" i="3"/>
  <c r="AY198" i="3"/>
  <c r="AS198" i="3"/>
  <c r="AT198" i="3"/>
  <c r="AU198" i="3"/>
  <c r="AV198" i="3"/>
  <c r="AX190" i="3"/>
  <c r="AV190" i="3"/>
  <c r="AZ190" i="3"/>
  <c r="BA190" i="3"/>
  <c r="AU190" i="3"/>
  <c r="AW190" i="3"/>
  <c r="AY190" i="3"/>
  <c r="AR190" i="3"/>
  <c r="AX182" i="3"/>
  <c r="AT182" i="3"/>
  <c r="BA182" i="3"/>
  <c r="AR182" i="3"/>
  <c r="AZ182" i="3"/>
  <c r="AV182" i="3"/>
  <c r="AW182" i="3"/>
  <c r="AY182" i="3"/>
  <c r="AS182" i="3"/>
  <c r="AW174" i="3"/>
  <c r="AZ174" i="3"/>
  <c r="BA174" i="3"/>
  <c r="AR174" i="3"/>
  <c r="AS174" i="3"/>
  <c r="AX174" i="3"/>
  <c r="AW166" i="3"/>
  <c r="AV166" i="3"/>
  <c r="AR166" i="3"/>
  <c r="AS166" i="3"/>
  <c r="AT166" i="3"/>
  <c r="AU166" i="3"/>
  <c r="AX166" i="3"/>
  <c r="AY166" i="3"/>
  <c r="AW158" i="3"/>
  <c r="AS158" i="3"/>
  <c r="AR158" i="3"/>
  <c r="AT158" i="3"/>
  <c r="AU158" i="3"/>
  <c r="AV158" i="3"/>
  <c r="AX158" i="3"/>
  <c r="AY158" i="3"/>
  <c r="AZ158" i="3"/>
  <c r="AW150" i="3"/>
  <c r="AX150" i="3"/>
  <c r="AR150" i="3"/>
  <c r="AS150" i="3"/>
  <c r="AT150" i="3"/>
  <c r="AU150" i="3"/>
  <c r="AV150" i="3"/>
  <c r="AY150" i="3"/>
  <c r="AZ150" i="3"/>
  <c r="AV142" i="3"/>
  <c r="AY142" i="3"/>
  <c r="AX142" i="3"/>
  <c r="AZ142" i="3"/>
  <c r="AR142" i="3"/>
  <c r="AU142" i="3"/>
  <c r="AW142" i="3"/>
  <c r="BA142" i="3"/>
  <c r="AS142" i="3"/>
  <c r="AU134" i="3"/>
  <c r="AY134" i="3"/>
  <c r="AS134" i="3"/>
  <c r="AT134" i="3"/>
  <c r="AW134" i="3"/>
  <c r="AX134" i="3"/>
  <c r="AZ134" i="3"/>
  <c r="AV134" i="3"/>
  <c r="BA134" i="3"/>
  <c r="AT126" i="3"/>
  <c r="AR126" i="3"/>
  <c r="BA126" i="3"/>
  <c r="AZ126" i="3"/>
  <c r="AU126" i="3"/>
  <c r="AV126" i="3"/>
  <c r="AW126" i="3"/>
  <c r="AX126" i="3"/>
  <c r="AY126" i="3"/>
  <c r="AS118" i="3"/>
  <c r="AV118" i="3"/>
  <c r="AW118" i="3"/>
  <c r="BA118" i="3"/>
  <c r="AT118" i="3"/>
  <c r="AU118" i="3"/>
  <c r="AV110" i="3"/>
  <c r="AY110" i="3"/>
  <c r="AX110" i="3"/>
  <c r="AZ110" i="3"/>
  <c r="AS110" i="3"/>
  <c r="AT110" i="3"/>
  <c r="AU110" i="3"/>
  <c r="BA110" i="3"/>
  <c r="AY102" i="3"/>
  <c r="AV102" i="3"/>
  <c r="AZ102" i="3"/>
  <c r="BA102" i="3"/>
  <c r="AW102" i="3"/>
  <c r="AX102" i="3"/>
  <c r="AT102" i="3"/>
  <c r="AU102" i="3"/>
  <c r="AR102" i="3"/>
  <c r="AT94" i="3"/>
  <c r="AV94" i="3"/>
  <c r="AS94" i="3"/>
  <c r="AU94" i="3"/>
  <c r="AR94" i="3"/>
  <c r="AW94" i="3"/>
  <c r="AX94" i="3"/>
  <c r="AY94" i="3"/>
  <c r="AX86" i="3"/>
  <c r="AW86" i="3"/>
  <c r="AZ86" i="3"/>
  <c r="AS86" i="3"/>
  <c r="AT86" i="3"/>
  <c r="AR86" i="3"/>
  <c r="AU86" i="3"/>
  <c r="AV86" i="3"/>
  <c r="AT78" i="3"/>
  <c r="AZ78" i="3"/>
  <c r="AR78" i="3"/>
  <c r="AU78" i="3"/>
  <c r="AV78" i="3"/>
  <c r="AW78" i="3"/>
  <c r="AX78" i="3"/>
  <c r="AY78" i="3"/>
  <c r="AV70" i="3"/>
  <c r="AX70" i="3"/>
  <c r="AZ70" i="3"/>
  <c r="AU70" i="3"/>
  <c r="AW70" i="3"/>
  <c r="AR70" i="3"/>
  <c r="AS70" i="3"/>
  <c r="AY70" i="3"/>
  <c r="BA70" i="3"/>
  <c r="AV62" i="3"/>
  <c r="AT62" i="3"/>
  <c r="AU62" i="3"/>
  <c r="AR62" i="3"/>
  <c r="AW62" i="3"/>
  <c r="AX62" i="3"/>
  <c r="AY62" i="3"/>
  <c r="AX54" i="3"/>
  <c r="AS54" i="3"/>
  <c r="AT54" i="3"/>
  <c r="BA54" i="3"/>
  <c r="AR54" i="3"/>
  <c r="AU54" i="3"/>
  <c r="AY54" i="3"/>
  <c r="AU46" i="3"/>
  <c r="AZ46" i="3"/>
  <c r="AW46" i="3"/>
  <c r="BA46" i="3"/>
  <c r="AS46" i="3"/>
  <c r="AT46" i="3"/>
  <c r="AV46" i="3"/>
  <c r="AY46" i="3"/>
  <c r="AR46" i="3"/>
  <c r="AT38" i="3"/>
  <c r="AU38" i="3"/>
  <c r="AW38" i="3"/>
  <c r="AV38" i="3"/>
  <c r="AX38" i="3"/>
  <c r="AS38" i="3"/>
  <c r="AY38" i="3"/>
  <c r="AV30" i="3"/>
  <c r="AX30" i="3"/>
  <c r="AS30" i="3"/>
  <c r="AZ30" i="3"/>
  <c r="AU30" i="3"/>
  <c r="AW30" i="3"/>
  <c r="BA30" i="3"/>
  <c r="AT30" i="3"/>
  <c r="AY30" i="3"/>
  <c r="AU22" i="3"/>
  <c r="AT22" i="3"/>
  <c r="AV22" i="3"/>
  <c r="AY22" i="3"/>
  <c r="BA22" i="3"/>
  <c r="AS22" i="3"/>
  <c r="AW22" i="3"/>
  <c r="AX22" i="3"/>
  <c r="AZ14" i="3"/>
  <c r="AT14" i="3"/>
  <c r="BA14" i="3"/>
  <c r="AY14" i="3"/>
  <c r="AV14" i="3"/>
  <c r="AX14" i="3"/>
  <c r="AR14" i="3"/>
  <c r="AV335" i="4"/>
  <c r="AX335" i="4"/>
  <c r="AP311" i="4"/>
  <c r="AT311" i="4"/>
  <c r="AV311" i="4"/>
  <c r="AS287" i="4"/>
  <c r="AU287" i="4"/>
  <c r="AR287" i="4"/>
  <c r="AW263" i="4"/>
  <c r="AX263" i="4"/>
  <c r="AT263" i="4"/>
  <c r="AU255" i="4"/>
  <c r="AV255" i="4"/>
  <c r="AW255" i="4"/>
  <c r="AX255" i="4"/>
  <c r="AT247" i="4"/>
  <c r="AU247" i="4"/>
  <c r="AR247" i="4"/>
  <c r="AW247" i="4"/>
  <c r="AW239" i="4"/>
  <c r="AO239" i="4"/>
  <c r="AV239" i="4"/>
  <c r="AO231" i="4"/>
  <c r="AR231" i="4"/>
  <c r="AU223" i="4"/>
  <c r="AX223" i="4"/>
  <c r="AT223" i="4"/>
  <c r="AT215" i="4"/>
  <c r="AU215" i="4"/>
  <c r="AW215" i="4"/>
  <c r="AX215" i="4"/>
  <c r="AR199" i="4"/>
  <c r="AX199" i="4"/>
  <c r="AO199" i="4"/>
  <c r="AW199" i="4"/>
  <c r="AP199" i="4"/>
  <c r="AR191" i="4"/>
  <c r="AU191" i="4"/>
  <c r="AX191" i="4"/>
  <c r="AO183" i="4"/>
  <c r="AV183" i="4"/>
  <c r="AP183" i="4"/>
  <c r="AS183" i="4"/>
  <c r="AX167" i="4"/>
  <c r="AQ167" i="4"/>
  <c r="AP167" i="4"/>
  <c r="AS167" i="4"/>
  <c r="AV167" i="4"/>
  <c r="AW159" i="4"/>
  <c r="AO159" i="4"/>
  <c r="AQ159" i="4"/>
  <c r="AR63" i="4"/>
  <c r="AX63" i="4"/>
  <c r="AO63" i="4"/>
  <c r="AP55" i="4"/>
  <c r="AR55" i="4"/>
  <c r="AV39" i="4"/>
  <c r="AX39" i="4"/>
  <c r="AR39" i="4"/>
  <c r="AU39" i="4"/>
  <c r="AS39" i="4"/>
  <c r="AP31" i="4"/>
  <c r="AU31" i="4"/>
  <c r="AQ31" i="4"/>
  <c r="AX31" i="4"/>
  <c r="AW31" i="4"/>
  <c r="AS31" i="4"/>
  <c r="AR31" i="4"/>
  <c r="AV31" i="4"/>
  <c r="AQ23" i="4"/>
  <c r="AR23" i="4"/>
  <c r="AV23" i="4"/>
  <c r="AP23" i="4"/>
  <c r="AS23" i="4"/>
  <c r="AO23" i="4"/>
  <c r="P134" i="17"/>
  <c r="N134" i="17"/>
  <c r="S134" i="17"/>
  <c r="S126" i="17"/>
  <c r="P126" i="17"/>
  <c r="M126" i="17"/>
  <c r="O110" i="17"/>
  <c r="U110" i="17"/>
  <c r="M110" i="17"/>
  <c r="L110" i="17"/>
  <c r="U94" i="17"/>
  <c r="N94" i="17"/>
  <c r="R94" i="17"/>
  <c r="L86" i="17"/>
  <c r="M86" i="17"/>
  <c r="P78" i="17"/>
  <c r="M78" i="17"/>
  <c r="T78" i="17"/>
  <c r="N78" i="17"/>
  <c r="O78" i="17"/>
  <c r="U78" i="17"/>
  <c r="S78" i="17"/>
  <c r="T70" i="17"/>
  <c r="R70" i="17"/>
  <c r="U70" i="17"/>
  <c r="S70" i="17"/>
  <c r="L70" i="17"/>
  <c r="P70" i="17"/>
  <c r="N70" i="17"/>
  <c r="S62" i="17"/>
  <c r="Q62" i="17"/>
  <c r="M62" i="17"/>
  <c r="O62" i="17"/>
  <c r="N62" i="17"/>
  <c r="P62" i="17"/>
  <c r="S54" i="17"/>
  <c r="P54" i="17"/>
  <c r="T54" i="17"/>
  <c r="N54" i="17"/>
  <c r="Q54" i="17"/>
  <c r="R54" i="17"/>
  <c r="M54" i="17"/>
  <c r="U46" i="17"/>
  <c r="T46" i="17"/>
  <c r="M46" i="17"/>
  <c r="R46" i="17"/>
  <c r="O46" i="17"/>
  <c r="O38" i="17"/>
  <c r="L38" i="17"/>
  <c r="M38" i="17"/>
  <c r="U38" i="17"/>
  <c r="P38" i="17"/>
  <c r="P30" i="17"/>
  <c r="Q30" i="17"/>
  <c r="S30" i="17"/>
  <c r="O30" i="17"/>
  <c r="T30" i="17"/>
  <c r="N22" i="17"/>
  <c r="M22" i="17"/>
  <c r="O22" i="17"/>
  <c r="S22" i="17"/>
  <c r="P22" i="17"/>
  <c r="L22" i="17"/>
  <c r="R22" i="17"/>
  <c r="Q22" i="17"/>
  <c r="N14" i="17"/>
  <c r="S14" i="17"/>
  <c r="P14" i="17"/>
  <c r="O14" i="17"/>
  <c r="M14" i="17"/>
  <c r="AW502" i="3"/>
  <c r="AT478" i="3"/>
  <c r="AY470" i="3"/>
  <c r="AR446" i="3"/>
  <c r="AW438" i="3"/>
  <c r="AT414" i="3"/>
  <c r="AY406" i="3"/>
  <c r="AR382" i="3"/>
  <c r="AS374" i="3"/>
  <c r="AS366" i="3"/>
  <c r="AT358" i="3"/>
  <c r="AY334" i="3"/>
  <c r="AZ318" i="3"/>
  <c r="AY310" i="3"/>
  <c r="AU254" i="3"/>
  <c r="AW246" i="3"/>
  <c r="BA230" i="3"/>
  <c r="BA94" i="3"/>
  <c r="AT70" i="3"/>
  <c r="R30" i="17"/>
  <c r="AX406" i="3"/>
  <c r="AZ398" i="3"/>
  <c r="AR374" i="3"/>
  <c r="AU334" i="3"/>
  <c r="AW318" i="3"/>
  <c r="AX310" i="3"/>
  <c r="AW278" i="3"/>
  <c r="AZ230" i="3"/>
  <c r="AV222" i="3"/>
  <c r="AZ206" i="3"/>
  <c r="AT190" i="3"/>
  <c r="AU182" i="3"/>
  <c r="AZ94" i="3"/>
  <c r="AZ54" i="3"/>
  <c r="N46" i="17"/>
  <c r="Q14" i="17"/>
  <c r="AW534" i="3"/>
  <c r="AY526" i="3"/>
  <c r="AR502" i="3"/>
  <c r="AT494" i="3"/>
  <c r="AW470" i="3"/>
  <c r="AY462" i="3"/>
  <c r="AR438" i="3"/>
  <c r="AT430" i="3"/>
  <c r="AW406" i="3"/>
  <c r="AY398" i="3"/>
  <c r="BA342" i="3"/>
  <c r="AS334" i="3"/>
  <c r="AU310" i="3"/>
  <c r="BA302" i="3"/>
  <c r="AU278" i="3"/>
  <c r="AS238" i="3"/>
  <c r="AX230" i="3"/>
  <c r="AS190" i="3"/>
  <c r="BA158" i="3"/>
  <c r="AT142" i="3"/>
  <c r="AZ62" i="3"/>
  <c r="AW54" i="3"/>
  <c r="T62" i="17"/>
  <c r="AR794" i="3"/>
  <c r="AZ794" i="3"/>
  <c r="AU674" i="3"/>
  <c r="AV674" i="3"/>
  <c r="AU666" i="3"/>
  <c r="AV666" i="3"/>
  <c r="AU658" i="3"/>
  <c r="AV658" i="3"/>
  <c r="AU650" i="3"/>
  <c r="AV650" i="3"/>
  <c r="AU642" i="3"/>
  <c r="AV642" i="3"/>
  <c r="AU634" i="3"/>
  <c r="AV634" i="3"/>
  <c r="AU626" i="3"/>
  <c r="AV626" i="3"/>
  <c r="AU618" i="3"/>
  <c r="AV618" i="3"/>
  <c r="AU610" i="3"/>
  <c r="AV610" i="3"/>
  <c r="AU602" i="3"/>
  <c r="AV602" i="3"/>
  <c r="AU594" i="3"/>
  <c r="AV594" i="3"/>
  <c r="AU586" i="3"/>
  <c r="AV586" i="3"/>
  <c r="AU578" i="3"/>
  <c r="AV578" i="3"/>
  <c r="AU570" i="3"/>
  <c r="AV570" i="3"/>
  <c r="AU562" i="3"/>
  <c r="AV562" i="3"/>
  <c r="AU554" i="3"/>
  <c r="AV554" i="3"/>
  <c r="AU546" i="3"/>
  <c r="AV546" i="3"/>
  <c r="AU538" i="3"/>
  <c r="AV538" i="3"/>
  <c r="AU530" i="3"/>
  <c r="AV530" i="3"/>
  <c r="AU522" i="3"/>
  <c r="AV522" i="3"/>
  <c r="AU514" i="3"/>
  <c r="AV514" i="3"/>
  <c r="AU506" i="3"/>
  <c r="AV506" i="3"/>
  <c r="AU498" i="3"/>
  <c r="AV498" i="3"/>
  <c r="AU490" i="3"/>
  <c r="AV490" i="3"/>
  <c r="AU482" i="3"/>
  <c r="AV482" i="3"/>
  <c r="AU474" i="3"/>
  <c r="AV474" i="3"/>
  <c r="AU466" i="3"/>
  <c r="AV466" i="3"/>
  <c r="AU458" i="3"/>
  <c r="AV458" i="3"/>
  <c r="AU450" i="3"/>
  <c r="AV450" i="3"/>
  <c r="AU442" i="3"/>
  <c r="AV442" i="3"/>
  <c r="AU434" i="3"/>
  <c r="AV434" i="3"/>
  <c r="AU426" i="3"/>
  <c r="AV426" i="3"/>
  <c r="AU418" i="3"/>
  <c r="AV418" i="3"/>
  <c r="AU410" i="3"/>
  <c r="AV410" i="3"/>
  <c r="AU402" i="3"/>
  <c r="AV402" i="3"/>
  <c r="AU394" i="3"/>
  <c r="AV394" i="3"/>
  <c r="AU386" i="3"/>
  <c r="AV386" i="3"/>
  <c r="AU378" i="3"/>
  <c r="AV378" i="3"/>
  <c r="AV370" i="3"/>
  <c r="AT370" i="3"/>
  <c r="AU370" i="3"/>
  <c r="AV362" i="3"/>
  <c r="AY362" i="3"/>
  <c r="AZ362" i="3"/>
  <c r="AV354" i="3"/>
  <c r="AT354" i="3"/>
  <c r="AU354" i="3"/>
  <c r="AV346" i="3"/>
  <c r="AY346" i="3"/>
  <c r="AZ346" i="3"/>
  <c r="AU338" i="3"/>
  <c r="AS338" i="3"/>
  <c r="AT338" i="3"/>
  <c r="AT330" i="3"/>
  <c r="AV330" i="3"/>
  <c r="AW330" i="3"/>
  <c r="AR322" i="3"/>
  <c r="AZ322" i="3"/>
  <c r="AV322" i="3"/>
  <c r="AW322" i="3"/>
  <c r="AX314" i="3"/>
  <c r="AY314" i="3"/>
  <c r="AS314" i="3"/>
  <c r="AT314" i="3"/>
  <c r="AV306" i="3"/>
  <c r="AW306" i="3"/>
  <c r="AY306" i="3"/>
  <c r="AZ306" i="3"/>
  <c r="AT298" i="3"/>
  <c r="AU298" i="3"/>
  <c r="AW298" i="3"/>
  <c r="AX298" i="3"/>
  <c r="AR290" i="3"/>
  <c r="AZ290" i="3"/>
  <c r="AS290" i="3"/>
  <c r="BA290" i="3"/>
  <c r="AX290" i="3"/>
  <c r="AY290" i="3"/>
  <c r="AU282" i="3"/>
  <c r="AV282" i="3"/>
  <c r="BA282" i="3"/>
  <c r="AR282" i="3"/>
  <c r="AS282" i="3"/>
  <c r="AU274" i="3"/>
  <c r="AV274" i="3"/>
  <c r="AZ274" i="3"/>
  <c r="BA274" i="3"/>
  <c r="AR274" i="3"/>
  <c r="AR266" i="3"/>
  <c r="AZ266" i="3"/>
  <c r="AY266" i="3"/>
  <c r="BA266" i="3"/>
  <c r="AU266" i="3"/>
  <c r="AV266" i="3"/>
  <c r="AW266" i="3"/>
  <c r="AX258" i="3"/>
  <c r="AR258" i="3"/>
  <c r="BA258" i="3"/>
  <c r="AS258" i="3"/>
  <c r="AV258" i="3"/>
  <c r="AW258" i="3"/>
  <c r="AY258" i="3"/>
  <c r="AT250" i="3"/>
  <c r="AZ250" i="3"/>
  <c r="AR250" i="3"/>
  <c r="BA250" i="3"/>
  <c r="AS250" i="3"/>
  <c r="AU250" i="3"/>
  <c r="AV250" i="3"/>
  <c r="AS242" i="3"/>
  <c r="BA242" i="3"/>
  <c r="AT242" i="3"/>
  <c r="AU242" i="3"/>
  <c r="AW242" i="3"/>
  <c r="AX242" i="3"/>
  <c r="AY242" i="3"/>
  <c r="AR234" i="3"/>
  <c r="AZ234" i="3"/>
  <c r="AV234" i="3"/>
  <c r="AW234" i="3"/>
  <c r="BA234" i="3"/>
  <c r="AY226" i="3"/>
  <c r="AX226" i="3"/>
  <c r="AZ226" i="3"/>
  <c r="AR226" i="3"/>
  <c r="AS226" i="3"/>
  <c r="AT226" i="3"/>
  <c r="AW218" i="3"/>
  <c r="AZ218" i="3"/>
  <c r="AR218" i="3"/>
  <c r="BA218" i="3"/>
  <c r="AS218" i="3"/>
  <c r="AT218" i="3"/>
  <c r="AU218" i="3"/>
  <c r="AS210" i="3"/>
  <c r="BA210" i="3"/>
  <c r="AY210" i="3"/>
  <c r="AZ210" i="3"/>
  <c r="AR210" i="3"/>
  <c r="AT210" i="3"/>
  <c r="AU210" i="3"/>
  <c r="AW202" i="3"/>
  <c r="AY202" i="3"/>
  <c r="AZ202" i="3"/>
  <c r="AR202" i="3"/>
  <c r="AS202" i="3"/>
  <c r="AT202" i="3"/>
  <c r="AU194" i="3"/>
  <c r="AR194" i="3"/>
  <c r="BA194" i="3"/>
  <c r="AS194" i="3"/>
  <c r="AV194" i="3"/>
  <c r="AW194" i="3"/>
  <c r="AX194" i="3"/>
  <c r="AR186" i="3"/>
  <c r="AZ186" i="3"/>
  <c r="AS186" i="3"/>
  <c r="AT186" i="3"/>
  <c r="AX186" i="3"/>
  <c r="AY186" i="3"/>
  <c r="BA186" i="3"/>
  <c r="AX178" i="3"/>
  <c r="AT178" i="3"/>
  <c r="AU178" i="3"/>
  <c r="BA178" i="3"/>
  <c r="AR178" i="3"/>
  <c r="AV170" i="3"/>
  <c r="AU170" i="3"/>
  <c r="AW170" i="3"/>
  <c r="AR170" i="3"/>
  <c r="AS170" i="3"/>
  <c r="AT170" i="3"/>
  <c r="AR162" i="3"/>
  <c r="AZ162" i="3"/>
  <c r="AU162" i="3"/>
  <c r="AV162" i="3"/>
  <c r="AS162" i="3"/>
  <c r="AT162" i="3"/>
  <c r="AW154" i="3"/>
  <c r="AU154" i="3"/>
  <c r="AV154" i="3"/>
  <c r="AR154" i="3"/>
  <c r="AS154" i="3"/>
  <c r="AT154" i="3"/>
  <c r="AR146" i="3"/>
  <c r="AZ146" i="3"/>
  <c r="AT146" i="3"/>
  <c r="AU146" i="3"/>
  <c r="AS146" i="3"/>
  <c r="AR138" i="3"/>
  <c r="AZ138" i="3"/>
  <c r="AX138" i="3"/>
  <c r="AY138" i="3"/>
  <c r="AW138" i="3"/>
  <c r="BA138" i="3"/>
  <c r="AS130" i="3"/>
  <c r="BA130" i="3"/>
  <c r="AU130" i="3"/>
  <c r="AV130" i="3"/>
  <c r="AT130" i="3"/>
  <c r="AW130" i="3"/>
  <c r="AX130" i="3"/>
  <c r="AT122" i="3"/>
  <c r="AZ122" i="3"/>
  <c r="AR122" i="3"/>
  <c r="BA122" i="3"/>
  <c r="AS122" i="3"/>
  <c r="AU122" i="3"/>
  <c r="AT114" i="3"/>
  <c r="AV114" i="3"/>
  <c r="AW114" i="3"/>
  <c r="AX114" i="3"/>
  <c r="AY114" i="3"/>
  <c r="AZ114" i="3"/>
  <c r="AR106" i="3"/>
  <c r="AZ106" i="3"/>
  <c r="AX106" i="3"/>
  <c r="AY106" i="3"/>
  <c r="AS106" i="3"/>
  <c r="AT106" i="3"/>
  <c r="AY98" i="3"/>
  <c r="AR98" i="3"/>
  <c r="BA98" i="3"/>
  <c r="AS98" i="3"/>
  <c r="AW98" i="3"/>
  <c r="AX98" i="3"/>
  <c r="AZ98" i="3"/>
  <c r="AT90" i="3"/>
  <c r="AX90" i="3"/>
  <c r="AU90" i="3"/>
  <c r="AV90" i="3"/>
  <c r="AR90" i="3"/>
  <c r="AX82" i="3"/>
  <c r="AY82" i="3"/>
  <c r="AR82" i="3"/>
  <c r="AS82" i="3"/>
  <c r="BA82" i="3"/>
  <c r="AS74" i="3"/>
  <c r="BA74" i="3"/>
  <c r="AW74" i="3"/>
  <c r="AV74" i="3"/>
  <c r="AX74" i="3"/>
  <c r="AY74" i="3"/>
  <c r="AZ74" i="3"/>
  <c r="AR66" i="3"/>
  <c r="AZ66" i="3"/>
  <c r="BA66" i="3"/>
  <c r="AV66" i="3"/>
  <c r="AW66" i="3"/>
  <c r="AW58" i="3"/>
  <c r="AR58" i="3"/>
  <c r="BA58" i="3"/>
  <c r="AS58" i="3"/>
  <c r="AT58" i="3"/>
  <c r="AZ58" i="3"/>
  <c r="AU50" i="3"/>
  <c r="AT50" i="3"/>
  <c r="AZ50" i="3"/>
  <c r="BA50" i="3"/>
  <c r="AY50" i="3"/>
  <c r="AX42" i="3"/>
  <c r="AS42" i="3"/>
  <c r="AY42" i="3"/>
  <c r="BA42" i="3"/>
  <c r="AR42" i="3"/>
  <c r="AT42" i="3"/>
  <c r="AU42" i="3"/>
  <c r="AT34" i="3"/>
  <c r="AR34" i="3"/>
  <c r="BA34" i="3"/>
  <c r="AZ34" i="3"/>
  <c r="AW34" i="3"/>
  <c r="AX34" i="3"/>
  <c r="AY34" i="3"/>
  <c r="AY26" i="3"/>
  <c r="AT26" i="3"/>
  <c r="AX26" i="3"/>
  <c r="AS26" i="3"/>
  <c r="AU26" i="3"/>
  <c r="AR26" i="3"/>
  <c r="AV26" i="3"/>
  <c r="AW26" i="3"/>
  <c r="AV18" i="3"/>
  <c r="AS18" i="3"/>
  <c r="AR18" i="3"/>
  <c r="AU18" i="3"/>
  <c r="AW18" i="3"/>
  <c r="BA18" i="3"/>
  <c r="AY10" i="3"/>
  <c r="AS10" i="3"/>
  <c r="AW10" i="3"/>
  <c r="AV10" i="3"/>
  <c r="AX10" i="3"/>
  <c r="AR10" i="3"/>
  <c r="AT10" i="3"/>
  <c r="AU10" i="3"/>
  <c r="AU331" i="4"/>
  <c r="AQ331" i="4"/>
  <c r="AX331" i="4"/>
  <c r="AS331" i="4"/>
  <c r="AW331" i="4"/>
  <c r="AX323" i="4"/>
  <c r="AO323" i="4"/>
  <c r="AU323" i="4"/>
  <c r="AQ323" i="4"/>
  <c r="AS315" i="4"/>
  <c r="AO315" i="4"/>
  <c r="AQ315" i="4"/>
  <c r="AT315" i="4"/>
  <c r="AU179" i="4"/>
  <c r="AO179" i="4"/>
  <c r="AR179" i="4"/>
  <c r="AX179" i="4"/>
  <c r="AQ171" i="4"/>
  <c r="AS171" i="4"/>
  <c r="AV163" i="4"/>
  <c r="AO163" i="4"/>
  <c r="AR163" i="4"/>
  <c r="AS163" i="4"/>
  <c r="AT163" i="4"/>
  <c r="AU147" i="4"/>
  <c r="AS147" i="4"/>
  <c r="AX147" i="4"/>
  <c r="AO147" i="4"/>
  <c r="AP147" i="4"/>
  <c r="AT139" i="4"/>
  <c r="AP139" i="4"/>
  <c r="AQ139" i="4"/>
  <c r="AS139" i="4"/>
  <c r="AX139" i="4"/>
  <c r="AV131" i="4"/>
  <c r="AW131" i="4"/>
  <c r="AT131" i="4"/>
  <c r="AU115" i="4"/>
  <c r="AV115" i="4"/>
  <c r="AW115" i="4"/>
  <c r="AS115" i="4"/>
  <c r="AP115" i="4"/>
  <c r="AS107" i="4"/>
  <c r="AW107" i="4"/>
  <c r="AX107" i="4"/>
  <c r="AP107" i="4"/>
  <c r="AU107" i="4"/>
  <c r="AR99" i="4"/>
  <c r="AW99" i="4"/>
  <c r="AU99" i="4"/>
  <c r="AP99" i="4"/>
  <c r="AS99" i="4"/>
  <c r="AO99" i="4"/>
  <c r="AS83" i="4"/>
  <c r="AW83" i="4"/>
  <c r="AR83" i="4"/>
  <c r="AX83" i="4"/>
  <c r="AT75" i="4"/>
  <c r="AX75" i="4"/>
  <c r="AO75" i="4"/>
  <c r="AS75" i="4"/>
  <c r="AR75" i="4"/>
  <c r="AW75" i="4"/>
  <c r="AV75" i="4"/>
  <c r="AP75" i="4"/>
  <c r="AT67" i="4"/>
  <c r="AW67" i="4"/>
  <c r="AP67" i="4"/>
  <c r="AR67" i="4"/>
  <c r="AT51" i="4"/>
  <c r="AQ51" i="4"/>
  <c r="AR51" i="4"/>
  <c r="AO51" i="4"/>
  <c r="AO43" i="4"/>
  <c r="AX43" i="4"/>
  <c r="AR43" i="4"/>
  <c r="AU43" i="4"/>
  <c r="AS43" i="4"/>
  <c r="AT35" i="4"/>
  <c r="AV35" i="4"/>
  <c r="AX35" i="4"/>
  <c r="AR35" i="4"/>
  <c r="AW35" i="4"/>
  <c r="AU35" i="4"/>
  <c r="AS35" i="4"/>
  <c r="AX19" i="4"/>
  <c r="AP19" i="4"/>
  <c r="AO19" i="4"/>
  <c r="AV19" i="4"/>
  <c r="AU19" i="4"/>
  <c r="AR11" i="4"/>
  <c r="AT11" i="4"/>
  <c r="AU11" i="4"/>
  <c r="AS11" i="4"/>
  <c r="AO11" i="4"/>
  <c r="AQ11" i="4"/>
  <c r="AW11" i="4"/>
  <c r="AP11" i="4"/>
  <c r="AV11" i="4"/>
  <c r="AX11" i="4"/>
  <c r="N138" i="17"/>
  <c r="P138" i="17"/>
  <c r="R138" i="17"/>
  <c r="T138" i="17"/>
  <c r="S138" i="17"/>
  <c r="L138" i="17"/>
  <c r="U138" i="17"/>
  <c r="M130" i="17"/>
  <c r="T130" i="17"/>
  <c r="R122" i="17"/>
  <c r="T122" i="17"/>
  <c r="U122" i="17"/>
  <c r="O122" i="17"/>
  <c r="P122" i="17"/>
  <c r="S114" i="17"/>
  <c r="P114" i="17"/>
  <c r="L114" i="17"/>
  <c r="Q114" i="17"/>
  <c r="R114" i="17"/>
  <c r="O114" i="17"/>
  <c r="S106" i="17"/>
  <c r="N106" i="17"/>
  <c r="R106" i="17"/>
  <c r="Q106" i="17"/>
  <c r="O106" i="17"/>
  <c r="L106" i="17"/>
  <c r="M106" i="17"/>
  <c r="P106" i="17"/>
  <c r="U106" i="17"/>
  <c r="T106" i="17"/>
  <c r="R98" i="17"/>
  <c r="L98" i="17"/>
  <c r="N98" i="17"/>
  <c r="M98" i="17"/>
  <c r="T98" i="17"/>
  <c r="U90" i="17"/>
  <c r="O90" i="17"/>
  <c r="Q90" i="17"/>
  <c r="P90" i="17"/>
  <c r="R90" i="17"/>
  <c r="L90" i="17"/>
  <c r="Q82" i="17"/>
  <c r="T82" i="17"/>
  <c r="P82" i="17"/>
  <c r="L82" i="17"/>
  <c r="R82" i="17"/>
  <c r="U82" i="17"/>
  <c r="O82" i="17"/>
  <c r="N82" i="17"/>
  <c r="M82" i="17"/>
  <c r="L74" i="17"/>
  <c r="S74" i="17"/>
  <c r="N74" i="17"/>
  <c r="M74" i="17"/>
  <c r="Q74" i="17"/>
  <c r="R74" i="17"/>
  <c r="O66" i="17"/>
  <c r="S66" i="17"/>
  <c r="Q66" i="17"/>
  <c r="U66" i="17"/>
  <c r="N66" i="17"/>
  <c r="P58" i="17"/>
  <c r="T58" i="17"/>
  <c r="N58" i="17"/>
  <c r="U58" i="17"/>
  <c r="S58" i="17"/>
  <c r="L58" i="17"/>
  <c r="Q58" i="17"/>
  <c r="R50" i="17"/>
  <c r="N50" i="17"/>
  <c r="U50" i="17"/>
  <c r="M50" i="17"/>
  <c r="U42" i="17"/>
  <c r="L42" i="17"/>
  <c r="R42" i="17"/>
  <c r="S42" i="17"/>
  <c r="N42" i="17"/>
  <c r="Q42" i="17"/>
  <c r="S34" i="17"/>
  <c r="T34" i="17"/>
  <c r="P34" i="17"/>
  <c r="Q34" i="17"/>
  <c r="M34" i="17"/>
  <c r="O34" i="17"/>
  <c r="Q26" i="17"/>
  <c r="N26" i="17"/>
  <c r="M26" i="17"/>
  <c r="P26" i="17"/>
  <c r="R26" i="17"/>
  <c r="L26" i="17"/>
  <c r="S26" i="17"/>
  <c r="T26" i="17"/>
  <c r="R18" i="17"/>
  <c r="N18" i="17"/>
  <c r="U18" i="17"/>
  <c r="P18" i="17"/>
  <c r="O18" i="17"/>
  <c r="S18" i="17"/>
  <c r="M18" i="17"/>
  <c r="T18" i="17"/>
  <c r="O10" i="17"/>
  <c r="T10" i="17"/>
  <c r="R10" i="17"/>
  <c r="S10" i="17"/>
  <c r="P10" i="17"/>
  <c r="L10" i="17"/>
  <c r="N10" i="17"/>
  <c r="BA378" i="3"/>
  <c r="AW362" i="3"/>
  <c r="AW354" i="3"/>
  <c r="AY338" i="3"/>
  <c r="AR330" i="3"/>
  <c r="AU322" i="3"/>
  <c r="AV314" i="3"/>
  <c r="AS306" i="3"/>
  <c r="AV298" i="3"/>
  <c r="AS274" i="3"/>
  <c r="AT258" i="3"/>
  <c r="AW250" i="3"/>
  <c r="AV242" i="3"/>
  <c r="AS234" i="3"/>
  <c r="AV186" i="3"/>
  <c r="AZ170" i="3"/>
  <c r="BA162" i="3"/>
  <c r="BA146" i="3"/>
  <c r="AY122" i="3"/>
  <c r="AS114" i="3"/>
  <c r="AZ90" i="3"/>
  <c r="AV58" i="3"/>
  <c r="AV34" i="3"/>
  <c r="BA26" i="3"/>
  <c r="AX18" i="3"/>
  <c r="BA10" i="3"/>
  <c r="M114" i="17"/>
  <c r="N34" i="17"/>
  <c r="M122" i="17"/>
  <c r="L66" i="17"/>
  <c r="AP315" i="4"/>
  <c r="AX163" i="4"/>
  <c r="AR807" i="3"/>
  <c r="AZ807" i="3"/>
  <c r="AS783" i="3"/>
  <c r="BA783" i="3"/>
  <c r="AS775" i="3"/>
  <c r="BA775" i="3"/>
  <c r="AS767" i="3"/>
  <c r="BA767" i="3"/>
  <c r="AS759" i="3"/>
  <c r="BA759" i="3"/>
  <c r="AS751" i="3"/>
  <c r="BA751" i="3"/>
  <c r="AS743" i="3"/>
  <c r="BA743" i="3"/>
  <c r="AS735" i="3"/>
  <c r="BA735" i="3"/>
  <c r="AS727" i="3"/>
  <c r="BA727" i="3"/>
  <c r="AS719" i="3"/>
  <c r="BA719" i="3"/>
  <c r="AS711" i="3"/>
  <c r="BA711" i="3"/>
  <c r="AS703" i="3"/>
  <c r="BA703" i="3"/>
  <c r="AS695" i="3"/>
  <c r="BA695" i="3"/>
  <c r="AS687" i="3"/>
  <c r="BA687" i="3"/>
  <c r="AS679" i="3"/>
  <c r="BA679" i="3"/>
  <c r="AS671" i="3"/>
  <c r="BA671" i="3"/>
  <c r="AT671" i="3"/>
  <c r="AS663" i="3"/>
  <c r="BA663" i="3"/>
  <c r="AT663" i="3"/>
  <c r="AS655" i="3"/>
  <c r="BA655" i="3"/>
  <c r="AT655" i="3"/>
  <c r="AS647" i="3"/>
  <c r="BA647" i="3"/>
  <c r="AT647" i="3"/>
  <c r="AS639" i="3"/>
  <c r="BA639" i="3"/>
  <c r="AT639" i="3"/>
  <c r="AS631" i="3"/>
  <c r="BA631" i="3"/>
  <c r="AT631" i="3"/>
  <c r="AS623" i="3"/>
  <c r="BA623" i="3"/>
  <c r="AT623" i="3"/>
  <c r="AS615" i="3"/>
  <c r="BA615" i="3"/>
  <c r="AT615" i="3"/>
  <c r="AS607" i="3"/>
  <c r="BA607" i="3"/>
  <c r="AT607" i="3"/>
  <c r="AS599" i="3"/>
  <c r="BA599" i="3"/>
  <c r="AT599" i="3"/>
  <c r="AS591" i="3"/>
  <c r="BA591" i="3"/>
  <c r="AT591" i="3"/>
  <c r="AS583" i="3"/>
  <c r="BA583" i="3"/>
  <c r="AT583" i="3"/>
  <c r="AS575" i="3"/>
  <c r="BA575" i="3"/>
  <c r="AT575" i="3"/>
  <c r="AS567" i="3"/>
  <c r="BA567" i="3"/>
  <c r="AT567" i="3"/>
  <c r="AS559" i="3"/>
  <c r="BA559" i="3"/>
  <c r="AT559" i="3"/>
  <c r="AS551" i="3"/>
  <c r="BA551" i="3"/>
  <c r="AT551" i="3"/>
  <c r="AS543" i="3"/>
  <c r="BA543" i="3"/>
  <c r="AT543" i="3"/>
  <c r="AS535" i="3"/>
  <c r="BA535" i="3"/>
  <c r="AT535" i="3"/>
  <c r="AS527" i="3"/>
  <c r="BA527" i="3"/>
  <c r="AT527" i="3"/>
  <c r="AS519" i="3"/>
  <c r="BA519" i="3"/>
  <c r="AT519" i="3"/>
  <c r="AS511" i="3"/>
  <c r="BA511" i="3"/>
  <c r="AT511" i="3"/>
  <c r="AS503" i="3"/>
  <c r="BA503" i="3"/>
  <c r="AT503" i="3"/>
  <c r="AS495" i="3"/>
  <c r="BA495" i="3"/>
  <c r="AT495" i="3"/>
  <c r="AS487" i="3"/>
  <c r="BA487" i="3"/>
  <c r="AT487" i="3"/>
  <c r="AS479" i="3"/>
  <c r="BA479" i="3"/>
  <c r="AT479" i="3"/>
  <c r="AS471" i="3"/>
  <c r="BA471" i="3"/>
  <c r="AT471" i="3"/>
  <c r="AS463" i="3"/>
  <c r="BA463" i="3"/>
  <c r="AT463" i="3"/>
  <c r="AS455" i="3"/>
  <c r="BA455" i="3"/>
  <c r="AT455" i="3"/>
  <c r="AS447" i="3"/>
  <c r="BA447" i="3"/>
  <c r="AT447" i="3"/>
  <c r="AS439" i="3"/>
  <c r="BA439" i="3"/>
  <c r="AT439" i="3"/>
  <c r="AS431" i="3"/>
  <c r="BA431" i="3"/>
  <c r="AT431" i="3"/>
  <c r="AS423" i="3"/>
  <c r="BA423" i="3"/>
  <c r="AT423" i="3"/>
  <c r="AS415" i="3"/>
  <c r="BA415" i="3"/>
  <c r="AT415" i="3"/>
  <c r="AS407" i="3"/>
  <c r="BA407" i="3"/>
  <c r="AT407" i="3"/>
  <c r="AS399" i="3"/>
  <c r="BA399" i="3"/>
  <c r="AT399" i="3"/>
  <c r="AS391" i="3"/>
  <c r="BA391" i="3"/>
  <c r="AT391" i="3"/>
  <c r="AS383" i="3"/>
  <c r="BA383" i="3"/>
  <c r="AT383" i="3"/>
  <c r="AS375" i="3"/>
  <c r="BA375" i="3"/>
  <c r="AT375" i="3"/>
  <c r="AT367" i="3"/>
  <c r="AY367" i="3"/>
  <c r="AZ367" i="3"/>
  <c r="AT359" i="3"/>
  <c r="AU359" i="3"/>
  <c r="AV359" i="3"/>
  <c r="AT351" i="3"/>
  <c r="AY351" i="3"/>
  <c r="AZ351" i="3"/>
  <c r="AT343" i="3"/>
  <c r="AS343" i="3"/>
  <c r="AU343" i="3"/>
  <c r="AV343" i="3"/>
  <c r="AT335" i="3"/>
  <c r="AR335" i="3"/>
  <c r="BA335" i="3"/>
  <c r="AW335" i="3"/>
  <c r="AX335" i="3"/>
  <c r="AY327" i="3"/>
  <c r="AZ327" i="3"/>
  <c r="AX327" i="3"/>
  <c r="BA327" i="3"/>
  <c r="AY319" i="3"/>
  <c r="AW319" i="3"/>
  <c r="AX319" i="3"/>
  <c r="AV319" i="3"/>
  <c r="AZ319" i="3"/>
  <c r="AY311" i="3"/>
  <c r="AU311" i="3"/>
  <c r="AV311" i="3"/>
  <c r="AR311" i="3"/>
  <c r="AY303" i="3"/>
  <c r="AR303" i="3"/>
  <c r="AS303" i="3"/>
  <c r="BA303" i="3"/>
  <c r="AY295" i="3"/>
  <c r="AZ295" i="3"/>
  <c r="BA295" i="3"/>
  <c r="AU295" i="3"/>
  <c r="AV295" i="3"/>
  <c r="AW295" i="3"/>
  <c r="AY287" i="3"/>
  <c r="AW287" i="3"/>
  <c r="AX287" i="3"/>
  <c r="AZ287" i="3"/>
  <c r="BA287" i="3"/>
  <c r="AW279" i="3"/>
  <c r="BA279" i="3"/>
  <c r="AS279" i="3"/>
  <c r="AT279" i="3"/>
  <c r="AS271" i="3"/>
  <c r="AX271" i="3"/>
  <c r="AZ271" i="3"/>
  <c r="AW263" i="3"/>
  <c r="AV263" i="3"/>
  <c r="AS263" i="3"/>
  <c r="AT263" i="3"/>
  <c r="AU263" i="3"/>
  <c r="AX255" i="3"/>
  <c r="AR255" i="3"/>
  <c r="AT255" i="3"/>
  <c r="AU255" i="3"/>
  <c r="AT247" i="3"/>
  <c r="AU247" i="3"/>
  <c r="BA247" i="3"/>
  <c r="AV247" i="3"/>
  <c r="AX247" i="3"/>
  <c r="AY247" i="3"/>
  <c r="AU239" i="3"/>
  <c r="AS239" i="3"/>
  <c r="AR239" i="3"/>
  <c r="AW231" i="3"/>
  <c r="AS231" i="3"/>
  <c r="AV231" i="3"/>
  <c r="AX231" i="3"/>
  <c r="AR231" i="3"/>
  <c r="AT231" i="3"/>
  <c r="AZ231" i="3"/>
  <c r="AX223" i="3"/>
  <c r="AR223" i="3"/>
  <c r="AZ223" i="3"/>
  <c r="BA223" i="3"/>
  <c r="AV223" i="3"/>
  <c r="AW223" i="3"/>
  <c r="AX215" i="3"/>
  <c r="AZ215" i="3"/>
  <c r="AW215" i="3"/>
  <c r="AY215" i="3"/>
  <c r="AW207" i="3"/>
  <c r="AT207" i="3"/>
  <c r="AZ207" i="3"/>
  <c r="AX207" i="3"/>
  <c r="AY207" i="3"/>
  <c r="AV199" i="3"/>
  <c r="BA199" i="3"/>
  <c r="AZ199" i="3"/>
  <c r="AX199" i="3"/>
  <c r="AY199" i="3"/>
  <c r="AV191" i="3"/>
  <c r="AW191" i="3"/>
  <c r="BA191" i="3"/>
  <c r="AV183" i="3"/>
  <c r="AS183" i="3"/>
  <c r="AR183" i="3"/>
  <c r="AT183" i="3"/>
  <c r="AU183" i="3"/>
  <c r="AU175" i="3"/>
  <c r="BA175" i="3"/>
  <c r="AR175" i="3"/>
  <c r="AS175" i="3"/>
  <c r="AT175" i="3"/>
  <c r="AV175" i="3"/>
  <c r="AU167" i="3"/>
  <c r="AW167" i="3"/>
  <c r="AS167" i="3"/>
  <c r="AT167" i="3"/>
  <c r="AY167" i="3"/>
  <c r="AZ167" i="3"/>
  <c r="AU159" i="3"/>
  <c r="AR159" i="3"/>
  <c r="AT159" i="3"/>
  <c r="AV159" i="3"/>
  <c r="AX159" i="3"/>
  <c r="AZ159" i="3"/>
  <c r="BA159" i="3"/>
  <c r="AU151" i="3"/>
  <c r="AX151" i="3"/>
  <c r="AR151" i="3"/>
  <c r="AT151" i="3"/>
  <c r="AW151" i="3"/>
  <c r="AZ151" i="3"/>
  <c r="BA151" i="3"/>
  <c r="AV143" i="3"/>
  <c r="AR143" i="3"/>
  <c r="AS143" i="3"/>
  <c r="AU143" i="3"/>
  <c r="AV135" i="3"/>
  <c r="AX135" i="3"/>
  <c r="AY135" i="3"/>
  <c r="AU127" i="3"/>
  <c r="AT127" i="3"/>
  <c r="BA127" i="3"/>
  <c r="AU119" i="3"/>
  <c r="AR119" i="3"/>
  <c r="BA119" i="3"/>
  <c r="AT119" i="3"/>
  <c r="AV119" i="3"/>
  <c r="AX111" i="3"/>
  <c r="AV111" i="3"/>
  <c r="AY111" i="3"/>
  <c r="AY103" i="3"/>
  <c r="AX103" i="3"/>
  <c r="AT103" i="3"/>
  <c r="AV95" i="3"/>
  <c r="AX95" i="3"/>
  <c r="AW95" i="3"/>
  <c r="AY95" i="3"/>
  <c r="BA95" i="3"/>
  <c r="AS87" i="3"/>
  <c r="AZ87" i="3"/>
  <c r="AS79" i="3"/>
  <c r="AU79" i="3"/>
  <c r="AR79" i="3"/>
  <c r="AZ79" i="3"/>
  <c r="AR71" i="3"/>
  <c r="AY71" i="3"/>
  <c r="BA71" i="3"/>
  <c r="AV63" i="3"/>
  <c r="AX63" i="3"/>
  <c r="AR63" i="3"/>
  <c r="AX55" i="3"/>
  <c r="AS55" i="3"/>
  <c r="AW55" i="3"/>
  <c r="AU55" i="3"/>
  <c r="AY47" i="3"/>
  <c r="AT47" i="3"/>
  <c r="AR39" i="3"/>
  <c r="AY39" i="3"/>
  <c r="BA39" i="3"/>
  <c r="AS31" i="3"/>
  <c r="AW31" i="3"/>
  <c r="AV31" i="3"/>
  <c r="AX31" i="3"/>
  <c r="AR23" i="3"/>
  <c r="AZ23" i="3"/>
  <c r="BA23" i="3"/>
  <c r="AS15" i="3"/>
  <c r="AZ15" i="3"/>
  <c r="AV15" i="3"/>
  <c r="AY15" i="3"/>
  <c r="AP296" i="4"/>
  <c r="AR296" i="4"/>
  <c r="M169" i="12"/>
  <c r="L169" i="12"/>
  <c r="AY554" i="3"/>
  <c r="AZ546" i="3"/>
  <c r="BA538" i="3"/>
  <c r="AR530" i="3"/>
  <c r="AS522" i="3"/>
  <c r="AT514" i="3"/>
  <c r="AW506" i="3"/>
  <c r="AX498" i="3"/>
  <c r="AY490" i="3"/>
  <c r="AZ482" i="3"/>
  <c r="BA474" i="3"/>
  <c r="AR466" i="3"/>
  <c r="AS458" i="3"/>
  <c r="AT450" i="3"/>
  <c r="AW442" i="3"/>
  <c r="AX434" i="3"/>
  <c r="AY426" i="3"/>
  <c r="AZ418" i="3"/>
  <c r="BA410" i="3"/>
  <c r="AR402" i="3"/>
  <c r="AS394" i="3"/>
  <c r="AT386" i="3"/>
  <c r="AW378" i="3"/>
  <c r="AX370" i="3"/>
  <c r="AR362" i="3"/>
  <c r="BA354" i="3"/>
  <c r="AU346" i="3"/>
  <c r="AR338" i="3"/>
  <c r="AY330" i="3"/>
  <c r="BA306" i="3"/>
  <c r="AT290" i="3"/>
  <c r="AY282" i="3"/>
  <c r="AY274" i="3"/>
  <c r="AX266" i="3"/>
  <c r="AY234" i="3"/>
  <c r="AU226" i="3"/>
  <c r="AX218" i="3"/>
  <c r="AW210" i="3"/>
  <c r="AV202" i="3"/>
  <c r="AZ194" i="3"/>
  <c r="AY178" i="3"/>
  <c r="AX154" i="3"/>
  <c r="AV146" i="3"/>
  <c r="AS138" i="3"/>
  <c r="AW106" i="3"/>
  <c r="AT98" i="3"/>
  <c r="AV82" i="3"/>
  <c r="AT66" i="3"/>
  <c r="AW50" i="3"/>
  <c r="AV42" i="3"/>
  <c r="L18" i="17"/>
  <c r="U34" i="17"/>
  <c r="S82" i="17"/>
  <c r="AW43" i="4"/>
  <c r="M10" i="17"/>
  <c r="AQ35" i="4"/>
  <c r="R58" i="17"/>
  <c r="AW51" i="4"/>
  <c r="AO131" i="4"/>
  <c r="AX618" i="3"/>
  <c r="AY610" i="3"/>
  <c r="AZ602" i="3"/>
  <c r="BA594" i="3"/>
  <c r="AR586" i="3"/>
  <c r="AS578" i="3"/>
  <c r="AT570" i="3"/>
  <c r="AW562" i="3"/>
  <c r="AX554" i="3"/>
  <c r="AY546" i="3"/>
  <c r="AZ538" i="3"/>
  <c r="BA530" i="3"/>
  <c r="AR522" i="3"/>
  <c r="AS514" i="3"/>
  <c r="AT506" i="3"/>
  <c r="AW498" i="3"/>
  <c r="AX490" i="3"/>
  <c r="AY482" i="3"/>
  <c r="AZ474" i="3"/>
  <c r="BA466" i="3"/>
  <c r="AR458" i="3"/>
  <c r="AS450" i="3"/>
  <c r="AT442" i="3"/>
  <c r="AW434" i="3"/>
  <c r="AX426" i="3"/>
  <c r="AY418" i="3"/>
  <c r="AZ410" i="3"/>
  <c r="BA402" i="3"/>
  <c r="AR394" i="3"/>
  <c r="AS386" i="3"/>
  <c r="AT378" i="3"/>
  <c r="AW370" i="3"/>
  <c r="AZ354" i="3"/>
  <c r="AT346" i="3"/>
  <c r="AX330" i="3"/>
  <c r="BA322" i="3"/>
  <c r="BA314" i="3"/>
  <c r="AX306" i="3"/>
  <c r="BA298" i="3"/>
  <c r="AX282" i="3"/>
  <c r="AX274" i="3"/>
  <c r="AT266" i="3"/>
  <c r="AX234" i="3"/>
  <c r="AV218" i="3"/>
  <c r="AV210" i="3"/>
  <c r="AS207" i="3"/>
  <c r="AU202" i="3"/>
  <c r="AT199" i="3"/>
  <c r="AY194" i="3"/>
  <c r="AZ191" i="3"/>
  <c r="AW178" i="3"/>
  <c r="AY175" i="3"/>
  <c r="AU111" i="3"/>
  <c r="AV106" i="3"/>
  <c r="AU82" i="3"/>
  <c r="AU74" i="3"/>
  <c r="AS66" i="3"/>
  <c r="AV50" i="3"/>
  <c r="AU47" i="3"/>
  <c r="AY23" i="3"/>
  <c r="U26" i="17"/>
  <c r="O42" i="17"/>
  <c r="U130" i="17"/>
  <c r="N90" i="17"/>
  <c r="S50" i="17"/>
  <c r="AT43" i="4"/>
  <c r="AQ67" i="4"/>
  <c r="AR642" i="3"/>
  <c r="AS634" i="3"/>
  <c r="AT626" i="3"/>
  <c r="AW618" i="3"/>
  <c r="AX610" i="3"/>
  <c r="AY602" i="3"/>
  <c r="AZ594" i="3"/>
  <c r="BA586" i="3"/>
  <c r="AR578" i="3"/>
  <c r="AS570" i="3"/>
  <c r="AT562" i="3"/>
  <c r="AW554" i="3"/>
  <c r="AX546" i="3"/>
  <c r="AY538" i="3"/>
  <c r="AZ530" i="3"/>
  <c r="BA522" i="3"/>
  <c r="AR514" i="3"/>
  <c r="AS506" i="3"/>
  <c r="AT498" i="3"/>
  <c r="AW490" i="3"/>
  <c r="AX482" i="3"/>
  <c r="AY474" i="3"/>
  <c r="AZ466" i="3"/>
  <c r="BA458" i="3"/>
  <c r="AR450" i="3"/>
  <c r="AS442" i="3"/>
  <c r="AT434" i="3"/>
  <c r="AW426" i="3"/>
  <c r="AX418" i="3"/>
  <c r="AY410" i="3"/>
  <c r="AZ402" i="3"/>
  <c r="BA394" i="3"/>
  <c r="AR386" i="3"/>
  <c r="AS378" i="3"/>
  <c r="AS370" i="3"/>
  <c r="BA362" i="3"/>
  <c r="AY354" i="3"/>
  <c r="AS346" i="3"/>
  <c r="BA338" i="3"/>
  <c r="AU330" i="3"/>
  <c r="AY322" i="3"/>
  <c r="AZ314" i="3"/>
  <c r="AU306" i="3"/>
  <c r="AZ298" i="3"/>
  <c r="AW282" i="3"/>
  <c r="AW274" i="3"/>
  <c r="AS266" i="3"/>
  <c r="AZ258" i="3"/>
  <c r="AY250" i="3"/>
  <c r="AU234" i="3"/>
  <c r="AS215" i="3"/>
  <c r="AR199" i="3"/>
  <c r="AT194" i="3"/>
  <c r="AY191" i="3"/>
  <c r="AV178" i="3"/>
  <c r="AX175" i="3"/>
  <c r="BA114" i="3"/>
  <c r="AS111" i="3"/>
  <c r="AU106" i="3"/>
  <c r="AT82" i="3"/>
  <c r="AT74" i="3"/>
  <c r="AY58" i="3"/>
  <c r="AY55" i="3"/>
  <c r="AS50" i="3"/>
  <c r="AS23" i="3"/>
  <c r="AZ18" i="3"/>
  <c r="M90" i="17"/>
  <c r="R66" i="17"/>
  <c r="Q10" i="17"/>
  <c r="S90" i="17"/>
  <c r="Q50" i="17"/>
  <c r="AQ43" i="4"/>
  <c r="AQ99" i="4"/>
  <c r="AS51" i="4"/>
  <c r="L137" i="12"/>
  <c r="M137" i="12"/>
  <c r="AT321" i="3"/>
  <c r="AU321" i="3"/>
  <c r="AR313" i="3"/>
  <c r="AZ313" i="3"/>
  <c r="AS313" i="3"/>
  <c r="BA313" i="3"/>
  <c r="AX305" i="3"/>
  <c r="AY305" i="3"/>
  <c r="AV297" i="3"/>
  <c r="AW297" i="3"/>
  <c r="AT289" i="3"/>
  <c r="AU289" i="3"/>
  <c r="AW281" i="3"/>
  <c r="AX281" i="3"/>
  <c r="AW273" i="3"/>
  <c r="AX273" i="3"/>
  <c r="AT265" i="3"/>
  <c r="AZ265" i="3"/>
  <c r="AR265" i="3"/>
  <c r="BA265" i="3"/>
  <c r="AR257" i="3"/>
  <c r="AZ257" i="3"/>
  <c r="AS257" i="3"/>
  <c r="AT257" i="3"/>
  <c r="AV249" i="3"/>
  <c r="AR249" i="3"/>
  <c r="BA249" i="3"/>
  <c r="AS249" i="3"/>
  <c r="AU241" i="3"/>
  <c r="AT241" i="3"/>
  <c r="AV241" i="3"/>
  <c r="AT233" i="3"/>
  <c r="AW233" i="3"/>
  <c r="AX233" i="3"/>
  <c r="AS225" i="3"/>
  <c r="BA225" i="3"/>
  <c r="AY225" i="3"/>
  <c r="AZ225" i="3"/>
  <c r="AY217" i="3"/>
  <c r="AR217" i="3"/>
  <c r="BA217" i="3"/>
  <c r="AS217" i="3"/>
  <c r="AU209" i="3"/>
  <c r="AZ209" i="3"/>
  <c r="AR209" i="3"/>
  <c r="BA209" i="3"/>
  <c r="AY201" i="3"/>
  <c r="AZ201" i="3"/>
  <c r="AR201" i="3"/>
  <c r="BA201" i="3"/>
  <c r="AW193" i="3"/>
  <c r="AS193" i="3"/>
  <c r="AT193" i="3"/>
  <c r="AT185" i="3"/>
  <c r="AS185" i="3"/>
  <c r="AU185" i="3"/>
  <c r="AR177" i="3"/>
  <c r="AZ177" i="3"/>
  <c r="AU177" i="3"/>
  <c r="AV177" i="3"/>
  <c r="AX169" i="3"/>
  <c r="AV169" i="3"/>
  <c r="AW169" i="3"/>
  <c r="AT161" i="3"/>
  <c r="AV161" i="3"/>
  <c r="AW161" i="3"/>
  <c r="AY153" i="3"/>
  <c r="AV153" i="3"/>
  <c r="AW153" i="3"/>
  <c r="AT145" i="3"/>
  <c r="AU145" i="3"/>
  <c r="AV145" i="3"/>
  <c r="AT137" i="3"/>
  <c r="AY137" i="3"/>
  <c r="AZ137" i="3"/>
  <c r="AU129" i="3"/>
  <c r="AV129" i="3"/>
  <c r="AW129" i="3"/>
  <c r="AV121" i="3"/>
  <c r="AR121" i="3"/>
  <c r="BA121" i="3"/>
  <c r="AS121" i="3"/>
  <c r="AY113" i="3"/>
  <c r="AU113" i="3"/>
  <c r="AV113" i="3"/>
  <c r="AW113" i="3"/>
  <c r="AS105" i="3"/>
  <c r="AX105" i="3"/>
  <c r="AY105" i="3"/>
  <c r="AZ97" i="3"/>
  <c r="AR97" i="3"/>
  <c r="AT89" i="3"/>
  <c r="AV89" i="3"/>
  <c r="AY89" i="3"/>
  <c r="AS89" i="3"/>
  <c r="AU89" i="3"/>
  <c r="AT81" i="3"/>
  <c r="AZ81" i="3"/>
  <c r="AY81" i="3"/>
  <c r="AR81" i="3"/>
  <c r="AT73" i="3"/>
  <c r="AU73" i="3"/>
  <c r="AX73" i="3"/>
  <c r="AV73" i="3"/>
  <c r="AW73" i="3"/>
  <c r="AU65" i="3"/>
  <c r="AS65" i="3"/>
  <c r="BA65" i="3"/>
  <c r="AV65" i="3"/>
  <c r="AW65" i="3"/>
  <c r="AV57" i="3"/>
  <c r="AY57" i="3"/>
  <c r="AR57" i="3"/>
  <c r="AS57" i="3"/>
  <c r="AW49" i="3"/>
  <c r="AV49" i="3"/>
  <c r="AT49" i="3"/>
  <c r="AZ49" i="3"/>
  <c r="BA49" i="3"/>
  <c r="AX41" i="3"/>
  <c r="AZ41" i="3"/>
  <c r="AS41" i="3"/>
  <c r="AW41" i="3"/>
  <c r="AY41" i="3"/>
  <c r="BA41" i="3"/>
  <c r="AX33" i="3"/>
  <c r="AU33" i="3"/>
  <c r="AR33" i="3"/>
  <c r="BA33" i="3"/>
  <c r="AY33" i="3"/>
  <c r="AZ33" i="3"/>
  <c r="AX25" i="3"/>
  <c r="AR25" i="3"/>
  <c r="BA25" i="3"/>
  <c r="AT25" i="3"/>
  <c r="AW25" i="3"/>
  <c r="AY17" i="3"/>
  <c r="AW17" i="3"/>
  <c r="AS17" i="3"/>
  <c r="AR17" i="3"/>
  <c r="AT17" i="3"/>
  <c r="AO266" i="4"/>
  <c r="AV266" i="4"/>
  <c r="AW266" i="4"/>
  <c r="AW258" i="4"/>
  <c r="AV258" i="4"/>
  <c r="AS250" i="4"/>
  <c r="AW250" i="4"/>
  <c r="AQ154" i="4"/>
  <c r="AV154" i="4"/>
  <c r="AS146" i="4"/>
  <c r="AV146" i="4"/>
  <c r="AS122" i="4"/>
  <c r="AW122" i="4"/>
  <c r="AO106" i="4"/>
  <c r="AU106" i="4"/>
  <c r="AT106" i="4"/>
  <c r="AR106" i="4"/>
  <c r="AQ106" i="4"/>
  <c r="AV98" i="4"/>
  <c r="AT98" i="4"/>
  <c r="AQ42" i="4"/>
  <c r="AO42" i="4"/>
  <c r="AU42" i="4"/>
  <c r="AO10" i="4"/>
  <c r="AV10" i="4"/>
  <c r="AQ10" i="4"/>
  <c r="R137" i="17"/>
  <c r="L137" i="17"/>
  <c r="N129" i="17"/>
  <c r="Q129" i="17"/>
  <c r="M121" i="17"/>
  <c r="N121" i="17"/>
  <c r="P113" i="17"/>
  <c r="Q113" i="17"/>
  <c r="T113" i="17"/>
  <c r="M105" i="17"/>
  <c r="Q105" i="17"/>
  <c r="O89" i="17"/>
  <c r="N89" i="17"/>
  <c r="P81" i="17"/>
  <c r="L81" i="17"/>
  <c r="N73" i="17"/>
  <c r="T73" i="17"/>
  <c r="L63" i="17"/>
  <c r="T63" i="17"/>
  <c r="M305" i="12"/>
  <c r="L305" i="12"/>
  <c r="L57" i="17"/>
  <c r="M385" i="12"/>
  <c r="L385" i="12"/>
  <c r="M179" i="12"/>
  <c r="L179" i="12"/>
  <c r="L445" i="12"/>
  <c r="M445" i="12"/>
  <c r="L442" i="12"/>
  <c r="M442" i="12" s="1"/>
  <c r="M384" i="12"/>
  <c r="M525" i="12"/>
  <c r="L39" i="12"/>
  <c r="M39" i="12"/>
  <c r="L515" i="12"/>
  <c r="M515" i="12" s="1"/>
  <c r="L212" i="12"/>
  <c r="M212" i="12"/>
  <c r="AW225" i="4"/>
  <c r="AU225" i="4"/>
  <c r="AP201" i="4"/>
  <c r="AO201" i="4"/>
  <c r="AW177" i="4"/>
  <c r="AQ177" i="4"/>
  <c r="AU137" i="4"/>
  <c r="AR137" i="4"/>
  <c r="AP73" i="4"/>
  <c r="AS73" i="4"/>
  <c r="AX57" i="4"/>
  <c r="AP57" i="4"/>
  <c r="U112" i="17"/>
  <c r="Q112" i="17"/>
  <c r="O112" i="17"/>
  <c r="U88" i="17"/>
  <c r="M88" i="17"/>
  <c r="L56" i="17"/>
  <c r="R56" i="17"/>
  <c r="M313" i="12"/>
  <c r="L313" i="12"/>
  <c r="L438" i="12"/>
  <c r="M438" i="12"/>
  <c r="AR309" i="4"/>
  <c r="AS309" i="4"/>
  <c r="AP309" i="4"/>
  <c r="AP157" i="4"/>
  <c r="AV157" i="4"/>
  <c r="AX141" i="4"/>
  <c r="AO141" i="4"/>
  <c r="AT133" i="4"/>
  <c r="AO133" i="4"/>
  <c r="AW117" i="4"/>
  <c r="AU117" i="4"/>
  <c r="AS45" i="4"/>
  <c r="AT45" i="4"/>
  <c r="AU45" i="4"/>
  <c r="AR29" i="4"/>
  <c r="AO29" i="4"/>
  <c r="L464" i="12"/>
  <c r="M464" i="12"/>
  <c r="M430" i="12"/>
  <c r="L430" i="12"/>
  <c r="L486" i="12"/>
  <c r="M486" i="12" s="1"/>
  <c r="AW149" i="3"/>
  <c r="AY149" i="3"/>
  <c r="AV141" i="3"/>
  <c r="AX141" i="3"/>
  <c r="AT133" i="3"/>
  <c r="AU133" i="3"/>
  <c r="AR125" i="3"/>
  <c r="AT125" i="3"/>
  <c r="AW109" i="3"/>
  <c r="AX109" i="3"/>
  <c r="AT93" i="3"/>
  <c r="AV93" i="3"/>
  <c r="AW85" i="3"/>
  <c r="AZ85" i="3"/>
  <c r="AS77" i="3"/>
  <c r="AV77" i="3"/>
  <c r="AU69" i="3"/>
  <c r="AX69" i="3"/>
  <c r="AR61" i="3"/>
  <c r="AT61" i="3"/>
  <c r="AX61" i="3"/>
  <c r="AZ53" i="3"/>
  <c r="AS53" i="3"/>
  <c r="AU45" i="3"/>
  <c r="AZ45" i="3"/>
  <c r="AT37" i="3"/>
  <c r="AV37" i="3"/>
  <c r="AW29" i="3"/>
  <c r="BA29" i="3"/>
  <c r="AV21" i="3"/>
  <c r="AY21" i="3"/>
  <c r="AX334" i="4"/>
  <c r="AO334" i="4"/>
  <c r="AX318" i="4"/>
  <c r="AQ318" i="4"/>
  <c r="AT318" i="4"/>
  <c r="AP310" i="4"/>
  <c r="AV310" i="4"/>
  <c r="AU302" i="4"/>
  <c r="AR302" i="4"/>
  <c r="AX302" i="4"/>
  <c r="AP294" i="4"/>
  <c r="AW294" i="4"/>
  <c r="AP278" i="4"/>
  <c r="AR278" i="4"/>
  <c r="AV278" i="4"/>
  <c r="AW270" i="4"/>
  <c r="AV270" i="4"/>
  <c r="AU262" i="4"/>
  <c r="AO262" i="4"/>
  <c r="AP246" i="4"/>
  <c r="AT246" i="4"/>
  <c r="AQ246" i="4"/>
  <c r="AO238" i="4"/>
  <c r="AS238" i="4"/>
  <c r="AO230" i="4"/>
  <c r="AV230" i="4"/>
  <c r="AS230" i="4"/>
  <c r="AR230" i="4"/>
  <c r="AT222" i="4"/>
  <c r="AR222" i="4"/>
  <c r="AQ222" i="4"/>
  <c r="AO214" i="4"/>
  <c r="AR214" i="4"/>
  <c r="AT214" i="4"/>
  <c r="AS214" i="4"/>
  <c r="AX214" i="4"/>
  <c r="AS206" i="4"/>
  <c r="AR206" i="4"/>
  <c r="AW206" i="4"/>
  <c r="AQ190" i="4"/>
  <c r="AO190" i="4"/>
  <c r="AS190" i="4"/>
  <c r="AR190" i="4"/>
  <c r="AW190" i="4"/>
  <c r="AW182" i="4"/>
  <c r="AR182" i="4"/>
  <c r="AT174" i="4"/>
  <c r="AX174" i="4"/>
  <c r="AV174" i="4"/>
  <c r="AP174" i="4"/>
  <c r="AT166" i="4"/>
  <c r="AO166" i="4"/>
  <c r="AU150" i="4"/>
  <c r="AP150" i="4"/>
  <c r="AR150" i="4"/>
  <c r="AO126" i="4"/>
  <c r="AV126" i="4"/>
  <c r="AQ126" i="4"/>
  <c r="AR126" i="4"/>
  <c r="AP118" i="4"/>
  <c r="AS118" i="4"/>
  <c r="AV94" i="4"/>
  <c r="AT94" i="4"/>
  <c r="AP78" i="4"/>
  <c r="AT78" i="4"/>
  <c r="AR78" i="4"/>
  <c r="AX78" i="4"/>
  <c r="AV70" i="4"/>
  <c r="AO70" i="4"/>
  <c r="AO62" i="4"/>
  <c r="AU62" i="4"/>
  <c r="AP62" i="4"/>
  <c r="AX62" i="4"/>
  <c r="AQ54" i="4"/>
  <c r="AX54" i="4"/>
  <c r="AW54" i="4"/>
  <c r="AS54" i="4"/>
  <c r="AV46" i="4"/>
  <c r="AT46" i="4"/>
  <c r="AR46" i="4"/>
  <c r="AP22" i="4"/>
  <c r="AV22" i="4"/>
  <c r="AQ14" i="4"/>
  <c r="AW14" i="4"/>
  <c r="Q61" i="17"/>
  <c r="N61" i="17"/>
  <c r="L61" i="17"/>
  <c r="T53" i="17"/>
  <c r="N53" i="17"/>
  <c r="S53" i="17"/>
  <c r="S37" i="17"/>
  <c r="U37" i="17"/>
  <c r="AC1112" i="13"/>
  <c r="AB1112" i="13"/>
  <c r="AA1112" i="13"/>
  <c r="AU280" i="4"/>
  <c r="AV192" i="4"/>
  <c r="N15" i="17"/>
  <c r="AT327" i="3"/>
  <c r="AT319" i="3"/>
  <c r="AT311" i="3"/>
  <c r="AT303" i="3"/>
  <c r="AT295" i="3"/>
  <c r="AT287" i="3"/>
  <c r="AZ279" i="3"/>
  <c r="AR279" i="3"/>
  <c r="AV271" i="3"/>
  <c r="AZ269" i="3"/>
  <c r="AZ263" i="3"/>
  <c r="AR263" i="3"/>
  <c r="AV261" i="3"/>
  <c r="BA255" i="3"/>
  <c r="AS255" i="3"/>
  <c r="AV253" i="3"/>
  <c r="AZ247" i="3"/>
  <c r="AS245" i="3"/>
  <c r="AT239" i="3"/>
  <c r="AW237" i="3"/>
  <c r="AY231" i="3"/>
  <c r="BA229" i="3"/>
  <c r="AS223" i="3"/>
  <c r="AS221" i="3"/>
  <c r="AU215" i="3"/>
  <c r="AU207" i="3"/>
  <c r="AW205" i="3"/>
  <c r="AW199" i="3"/>
  <c r="AY197" i="3"/>
  <c r="AX191" i="3"/>
  <c r="AZ189" i="3"/>
  <c r="AZ183" i="3"/>
  <c r="AZ175" i="3"/>
  <c r="BA167" i="3"/>
  <c r="AR167" i="3"/>
  <c r="AR165" i="3"/>
  <c r="AS159" i="3"/>
  <c r="AS157" i="3"/>
  <c r="AS151" i="3"/>
  <c r="AZ143" i="3"/>
  <c r="BA141" i="3"/>
  <c r="AW135" i="3"/>
  <c r="AS133" i="3"/>
  <c r="AS127" i="3"/>
  <c r="AY119" i="3"/>
  <c r="AX117" i="3"/>
  <c r="BA111" i="3"/>
  <c r="AS103" i="3"/>
  <c r="AU95" i="3"/>
  <c r="AW87" i="3"/>
  <c r="AR85" i="3"/>
  <c r="AX79" i="3"/>
  <c r="AU77" i="3"/>
  <c r="AV71" i="3"/>
  <c r="AS69" i="3"/>
  <c r="BA63" i="3"/>
  <c r="AZ61" i="3"/>
  <c r="BA53" i="3"/>
  <c r="AR47" i="3"/>
  <c r="AV39" i="3"/>
  <c r="AR37" i="3"/>
  <c r="AU31" i="3"/>
  <c r="AV23" i="3"/>
  <c r="AS21" i="3"/>
  <c r="AX15" i="3"/>
  <c r="AR13" i="3"/>
  <c r="U29" i="17"/>
  <c r="AW102" i="4"/>
  <c r="AW254" i="4"/>
  <c r="AX70" i="4"/>
  <c r="AX254" i="4"/>
  <c r="AP262" i="4"/>
  <c r="AW198" i="4"/>
  <c r="AT118" i="4"/>
  <c r="AV182" i="4"/>
  <c r="AP286" i="4"/>
  <c r="AX142" i="4"/>
  <c r="Y1112" i="13"/>
  <c r="AU320" i="4"/>
  <c r="AQ216" i="4"/>
  <c r="AP88" i="4"/>
  <c r="AX216" i="4"/>
  <c r="AV208" i="4"/>
  <c r="O93" i="17"/>
  <c r="AY143" i="3"/>
  <c r="AU135" i="3"/>
  <c r="AW119" i="3"/>
  <c r="AZ111" i="3"/>
  <c r="AT95" i="3"/>
  <c r="AU87" i="3"/>
  <c r="AW79" i="3"/>
  <c r="AU71" i="3"/>
  <c r="AZ63" i="3"/>
  <c r="AZ55" i="3"/>
  <c r="AT39" i="3"/>
  <c r="AT23" i="3"/>
  <c r="AW15" i="3"/>
  <c r="AQ118" i="4"/>
  <c r="AT286" i="4"/>
  <c r="AP94" i="4"/>
  <c r="AV286" i="4"/>
  <c r="AO270" i="4"/>
  <c r="AP214" i="4"/>
  <c r="AU166" i="4"/>
  <c r="AT238" i="4"/>
  <c r="AS158" i="4"/>
  <c r="AT270" i="4"/>
  <c r="BA271" i="3"/>
  <c r="AS253" i="3"/>
  <c r="AW247" i="3"/>
  <c r="AX245" i="3"/>
  <c r="AZ239" i="3"/>
  <c r="AS237" i="3"/>
  <c r="AU231" i="3"/>
  <c r="AW229" i="3"/>
  <c r="AY223" i="3"/>
  <c r="AX221" i="3"/>
  <c r="BA215" i="3"/>
  <c r="AR215" i="3"/>
  <c r="BA207" i="3"/>
  <c r="AR207" i="3"/>
  <c r="AS205" i="3"/>
  <c r="AS199" i="3"/>
  <c r="AU197" i="3"/>
  <c r="AT191" i="3"/>
  <c r="AV189" i="3"/>
  <c r="AW183" i="3"/>
  <c r="AW181" i="3"/>
  <c r="AW175" i="3"/>
  <c r="AX173" i="3"/>
  <c r="AX167" i="3"/>
  <c r="AZ165" i="3"/>
  <c r="AY159" i="3"/>
  <c r="BA157" i="3"/>
  <c r="AY151" i="3"/>
  <c r="AZ149" i="3"/>
  <c r="AS141" i="3"/>
  <c r="AR135" i="3"/>
  <c r="AY127" i="3"/>
  <c r="AX125" i="3"/>
  <c r="AV109" i="3"/>
  <c r="AW101" i="3"/>
  <c r="AU53" i="3"/>
  <c r="AX45" i="3"/>
  <c r="AZ29" i="3"/>
  <c r="P45" i="17"/>
  <c r="S133" i="17"/>
  <c r="AQ182" i="4"/>
  <c r="AU334" i="4"/>
  <c r="AV134" i="4"/>
  <c r="AW134" i="4"/>
  <c r="AX46" i="4"/>
  <c r="AW286" i="4"/>
  <c r="AT62" i="4"/>
  <c r="AQ94" i="4"/>
  <c r="AS334" i="4"/>
  <c r="AR216" i="4"/>
  <c r="AT143" i="3"/>
  <c r="AW143" i="3"/>
  <c r="AX119" i="3"/>
  <c r="AS119" i="3"/>
  <c r="AT111" i="3"/>
  <c r="AW111" i="3"/>
  <c r="AW103" i="3"/>
  <c r="AR103" i="3"/>
  <c r="BA103" i="3"/>
  <c r="AV87" i="3"/>
  <c r="AY87" i="3"/>
  <c r="AR87" i="3"/>
  <c r="BA87" i="3"/>
  <c r="AY79" i="3"/>
  <c r="AT79" i="3"/>
  <c r="AV79" i="3"/>
  <c r="AT71" i="3"/>
  <c r="AX71" i="3"/>
  <c r="AZ71" i="3"/>
  <c r="AY63" i="3"/>
  <c r="AU63" i="3"/>
  <c r="AW63" i="3"/>
  <c r="AV55" i="3"/>
  <c r="AR55" i="3"/>
  <c r="BA55" i="3"/>
  <c r="AT55" i="3"/>
  <c r="AX47" i="3"/>
  <c r="AZ47" i="3"/>
  <c r="AX39" i="3"/>
  <c r="AU39" i="3"/>
  <c r="AW39" i="3"/>
  <c r="AT31" i="3"/>
  <c r="AY31" i="3"/>
  <c r="AR31" i="3"/>
  <c r="BA31" i="3"/>
  <c r="AX23" i="3"/>
  <c r="AU23" i="3"/>
  <c r="AW23" i="3"/>
  <c r="AU15" i="3"/>
  <c r="AR15" i="3"/>
  <c r="BA15" i="3"/>
  <c r="AT15" i="3"/>
  <c r="AX320" i="4"/>
  <c r="AP320" i="4"/>
  <c r="AX312" i="4"/>
  <c r="AW312" i="4"/>
  <c r="AT304" i="4"/>
  <c r="AV304" i="4"/>
  <c r="AU304" i="4"/>
  <c r="AQ304" i="4"/>
  <c r="AT288" i="4"/>
  <c r="AX288" i="4"/>
  <c r="AQ288" i="4"/>
  <c r="AW280" i="4"/>
  <c r="AQ280" i="4"/>
  <c r="AX280" i="4"/>
  <c r="AR280" i="4"/>
  <c r="AP280" i="4"/>
  <c r="AW272" i="4"/>
  <c r="AO272" i="4"/>
  <c r="AV256" i="4"/>
  <c r="AR256" i="4"/>
  <c r="AX256" i="4"/>
  <c r="AU256" i="4"/>
  <c r="AP256" i="4"/>
  <c r="AW256" i="4"/>
  <c r="AQ256" i="4"/>
  <c r="AR248" i="4"/>
  <c r="AQ248" i="4"/>
  <c r="AX248" i="4"/>
  <c r="AW248" i="4"/>
  <c r="AP248" i="4"/>
  <c r="AR232" i="4"/>
  <c r="AO232" i="4"/>
  <c r="AS232" i="4"/>
  <c r="AT232" i="4"/>
  <c r="AX232" i="4"/>
  <c r="AU232" i="4"/>
  <c r="AP224" i="4"/>
  <c r="AO224" i="4"/>
  <c r="AT224" i="4"/>
  <c r="AU224" i="4"/>
  <c r="AT200" i="4"/>
  <c r="AX200" i="4"/>
  <c r="AR200" i="4"/>
  <c r="AS192" i="4"/>
  <c r="AX192" i="4"/>
  <c r="AU192" i="4"/>
  <c r="AW192" i="4"/>
  <c r="AT192" i="4"/>
  <c r="AV184" i="4"/>
  <c r="AO184" i="4"/>
  <c r="AW184" i="4"/>
  <c r="AU184" i="4"/>
  <c r="AT184" i="4"/>
  <c r="AU176" i="4"/>
  <c r="AS176" i="4"/>
  <c r="AP176" i="4"/>
  <c r="AW176" i="4"/>
  <c r="AX160" i="4"/>
  <c r="AP160" i="4"/>
  <c r="AU160" i="4"/>
  <c r="AU152" i="4"/>
  <c r="AW152" i="4"/>
  <c r="AP144" i="4"/>
  <c r="AQ144" i="4"/>
  <c r="AS144" i="4"/>
  <c r="AQ136" i="4"/>
  <c r="AX136" i="4"/>
  <c r="AS128" i="4"/>
  <c r="AW128" i="4"/>
  <c r="AR120" i="4"/>
  <c r="AT120" i="4"/>
  <c r="AO120" i="4"/>
  <c r="AQ120" i="4"/>
  <c r="AO96" i="4"/>
  <c r="AU96" i="4"/>
  <c r="AT96" i="4"/>
  <c r="AS80" i="4"/>
  <c r="AR80" i="4"/>
  <c r="AQ80" i="4"/>
  <c r="P95" i="17"/>
  <c r="M95" i="17"/>
  <c r="T71" i="17"/>
  <c r="Q71" i="17"/>
  <c r="S71" i="17"/>
  <c r="T55" i="17"/>
  <c r="L55" i="17"/>
  <c r="O47" i="17"/>
  <c r="Q47" i="17"/>
  <c r="T39" i="17"/>
  <c r="P39" i="17"/>
  <c r="N23" i="17"/>
  <c r="O23" i="17"/>
  <c r="R23" i="17"/>
  <c r="S23" i="17"/>
  <c r="M15" i="17"/>
  <c r="U15" i="17"/>
  <c r="T15" i="17"/>
  <c r="BA2930" i="3"/>
  <c r="AZ2999" i="3"/>
  <c r="Z1119" i="13"/>
  <c r="AS3018" i="3"/>
  <c r="AY3018" i="3"/>
  <c r="AS2999" i="3"/>
  <c r="X1131" i="13"/>
  <c r="AS2958" i="3"/>
  <c r="AA1170" i="13"/>
  <c r="AS2811" i="3"/>
  <c r="AA1119" i="13"/>
  <c r="AT3018" i="3"/>
  <c r="AR2958" i="3"/>
  <c r="AV2855" i="3"/>
  <c r="V1140" i="13"/>
  <c r="AY2890" i="3"/>
  <c r="AB1170" i="13"/>
  <c r="AT2811" i="3"/>
  <c r="AZ2817" i="3"/>
  <c r="AB1119" i="13"/>
  <c r="AU3018" i="3"/>
  <c r="AV338" i="4"/>
  <c r="AS2930" i="3"/>
  <c r="AX2958" i="3"/>
  <c r="AA1140" i="13"/>
  <c r="AT2890" i="3"/>
  <c r="AT364" i="4"/>
  <c r="X1170" i="13"/>
  <c r="AV3018" i="3"/>
  <c r="AV2958" i="3"/>
  <c r="AV2890" i="3"/>
  <c r="AD1119" i="13"/>
  <c r="AZ3020" i="3"/>
  <c r="AC1119" i="13"/>
  <c r="AW3018" i="3"/>
  <c r="AW2890" i="3"/>
  <c r="Z1166" i="13"/>
  <c r="AC1170" i="13"/>
  <c r="AT2937" i="3"/>
  <c r="AT2958" i="3"/>
  <c r="AA1166" i="13"/>
  <c r="AE1170" i="13"/>
  <c r="AZ3018" i="3"/>
  <c r="AZ2937" i="3"/>
  <c r="X1119" i="13"/>
  <c r="AX3018" i="3"/>
  <c r="AV2937" i="3"/>
  <c r="AY2958" i="3"/>
  <c r="AC1166" i="13"/>
  <c r="Y1170" i="13"/>
  <c r="D9" i="34"/>
  <c r="D12" i="34"/>
  <c r="AQ225" i="4"/>
  <c r="AP281" i="4"/>
  <c r="AW281" i="4"/>
  <c r="AO209" i="4"/>
  <c r="O9" i="17"/>
  <c r="Q40" i="17"/>
  <c r="AR248" i="3"/>
  <c r="AZ248" i="3"/>
  <c r="AU248" i="3"/>
  <c r="AS240" i="3"/>
  <c r="BA240" i="3"/>
  <c r="AY240" i="3"/>
  <c r="AU232" i="3"/>
  <c r="AV232" i="3"/>
  <c r="AV224" i="3"/>
  <c r="AZ224" i="3"/>
  <c r="AV216" i="3"/>
  <c r="AT216" i="3"/>
  <c r="AU208" i="3"/>
  <c r="AV208" i="3"/>
  <c r="AT200" i="3"/>
  <c r="AX200" i="3"/>
  <c r="AT192" i="3"/>
  <c r="AR192" i="3"/>
  <c r="BA192" i="3"/>
  <c r="AT184" i="3"/>
  <c r="AV184" i="3"/>
  <c r="AS176" i="3"/>
  <c r="BA176" i="3"/>
  <c r="AW176" i="3"/>
  <c r="AS168" i="3"/>
  <c r="BA168" i="3"/>
  <c r="AY168" i="3"/>
  <c r="AS160" i="3"/>
  <c r="BA160" i="3"/>
  <c r="AR160" i="3"/>
  <c r="AS152" i="3"/>
  <c r="BA152" i="3"/>
  <c r="AR152" i="3"/>
  <c r="AU152" i="3"/>
  <c r="AR144" i="3"/>
  <c r="AZ144" i="3"/>
  <c r="AT144" i="3"/>
  <c r="AV144" i="3"/>
  <c r="AY136" i="3"/>
  <c r="AU136" i="3"/>
  <c r="AW136" i="3"/>
  <c r="AX128" i="3"/>
  <c r="AV128" i="3"/>
  <c r="AY128" i="3"/>
  <c r="AV120" i="3"/>
  <c r="AW120" i="3"/>
  <c r="AY120" i="3"/>
  <c r="AV112" i="3"/>
  <c r="AR112" i="3"/>
  <c r="BA112" i="3"/>
  <c r="AT112" i="3"/>
  <c r="AW112" i="3"/>
  <c r="AV104" i="3"/>
  <c r="AU104" i="3"/>
  <c r="BA104" i="3"/>
  <c r="AS104" i="3"/>
  <c r="AV96" i="3"/>
  <c r="AY96" i="3"/>
  <c r="AX96" i="3"/>
  <c r="BA96" i="3"/>
  <c r="AV88" i="3"/>
  <c r="AT88" i="3"/>
  <c r="AW88" i="3"/>
  <c r="AY88" i="3"/>
  <c r="AV80" i="3"/>
  <c r="AX80" i="3"/>
  <c r="AS80" i="3"/>
  <c r="AU80" i="3"/>
  <c r="AV72" i="3"/>
  <c r="AR72" i="3"/>
  <c r="BA72" i="3"/>
  <c r="AY72" i="3"/>
  <c r="AV64" i="3"/>
  <c r="AX64" i="3"/>
  <c r="AY64" i="3"/>
  <c r="BA64" i="3"/>
  <c r="AV56" i="3"/>
  <c r="AT56" i="3"/>
  <c r="AX56" i="3"/>
  <c r="AZ56" i="3"/>
  <c r="AV48" i="3"/>
  <c r="AZ48" i="3"/>
  <c r="AW48" i="3"/>
  <c r="AY48" i="3"/>
  <c r="AV40" i="3"/>
  <c r="AW40" i="3"/>
  <c r="AU40" i="3"/>
  <c r="AY40" i="3"/>
  <c r="AV32" i="3"/>
  <c r="AR32" i="3"/>
  <c r="BA32" i="3"/>
  <c r="AS32" i="3"/>
  <c r="AU32" i="3"/>
  <c r="AV24" i="3"/>
  <c r="AW24" i="3"/>
  <c r="BA24" i="3"/>
  <c r="AS24" i="3"/>
  <c r="AV16" i="3"/>
  <c r="AS16" i="3"/>
  <c r="AZ16" i="3"/>
  <c r="AR16" i="3"/>
  <c r="AW305" i="4"/>
  <c r="AP305" i="4"/>
  <c r="AT305" i="4"/>
  <c r="AV305" i="4"/>
  <c r="AO297" i="4"/>
  <c r="AV297" i="4"/>
  <c r="AP297" i="4"/>
  <c r="AQ297" i="4"/>
  <c r="AO289" i="4"/>
  <c r="AX289" i="4"/>
  <c r="AU289" i="4"/>
  <c r="AT273" i="4"/>
  <c r="AO273" i="4"/>
  <c r="AQ265" i="4"/>
  <c r="AR265" i="4"/>
  <c r="AT265" i="4"/>
  <c r="AV265" i="4"/>
  <c r="AX265" i="4"/>
  <c r="AO241" i="4"/>
  <c r="AW241" i="4"/>
  <c r="AU241" i="4"/>
  <c r="AR241" i="4"/>
  <c r="AV233" i="4"/>
  <c r="AP233" i="4"/>
  <c r="AW233" i="4"/>
  <c r="AU233" i="4"/>
  <c r="AQ233" i="4"/>
  <c r="AO217" i="4"/>
  <c r="AS217" i="4"/>
  <c r="AP217" i="4"/>
  <c r="AQ217" i="4"/>
  <c r="AR201" i="4"/>
  <c r="AS201" i="4"/>
  <c r="AW201" i="4"/>
  <c r="AV201" i="4"/>
  <c r="AQ201" i="4"/>
  <c r="AO193" i="4"/>
  <c r="AX193" i="4"/>
  <c r="AU193" i="4"/>
  <c r="AP185" i="4"/>
  <c r="AW185" i="4"/>
  <c r="AR185" i="4"/>
  <c r="AO185" i="4"/>
  <c r="AU185" i="4"/>
  <c r="AS185" i="4"/>
  <c r="AR177" i="4"/>
  <c r="AU177" i="4"/>
  <c r="AS169" i="4"/>
  <c r="AQ169" i="4"/>
  <c r="AR169" i="4"/>
  <c r="AV169" i="4"/>
  <c r="AU161" i="4"/>
  <c r="AT161" i="4"/>
  <c r="AP161" i="4"/>
  <c r="AR161" i="4"/>
  <c r="AR153" i="4"/>
  <c r="AS153" i="4"/>
  <c r="AW153" i="4"/>
  <c r="AV153" i="4"/>
  <c r="AX153" i="4"/>
  <c r="AO145" i="4"/>
  <c r="AQ145" i="4"/>
  <c r="AX145" i="4"/>
  <c r="AU145" i="4"/>
  <c r="AV145" i="4"/>
  <c r="AR145" i="4"/>
  <c r="AQ137" i="4"/>
  <c r="AP137" i="4"/>
  <c r="AW129" i="4"/>
  <c r="AU129" i="4"/>
  <c r="AT129" i="4"/>
  <c r="AV129" i="4"/>
  <c r="AX129" i="4"/>
  <c r="AQ121" i="4"/>
  <c r="AP121" i="4"/>
  <c r="AT121" i="4"/>
  <c r="AX113" i="4"/>
  <c r="AW113" i="4"/>
  <c r="AU113" i="4"/>
  <c r="AO113" i="4"/>
  <c r="AQ105" i="4"/>
  <c r="AR105" i="4"/>
  <c r="AX105" i="4"/>
  <c r="AW105" i="4"/>
  <c r="AT105" i="4"/>
  <c r="AV97" i="4"/>
  <c r="AO97" i="4"/>
  <c r="AW97" i="4"/>
  <c r="AU97" i="4"/>
  <c r="AT89" i="4"/>
  <c r="AO89" i="4"/>
  <c r="AV81" i="4"/>
  <c r="AT81" i="4"/>
  <c r="AX81" i="4"/>
  <c r="AO81" i="4"/>
  <c r="AW81" i="4"/>
  <c r="AS81" i="4"/>
  <c r="AW73" i="4"/>
  <c r="AV73" i="4"/>
  <c r="AU73" i="4"/>
  <c r="AO73" i="4"/>
  <c r="AR73" i="4"/>
  <c r="AT65" i="4"/>
  <c r="AV65" i="4"/>
  <c r="AU65" i="4"/>
  <c r="AX65" i="4"/>
  <c r="AS65" i="4"/>
  <c r="AS57" i="4"/>
  <c r="AT57" i="4"/>
  <c r="AW57" i="4"/>
  <c r="AU57" i="4"/>
  <c r="AR57" i="4"/>
  <c r="AT49" i="4"/>
  <c r="AP49" i="4"/>
  <c r="AQ49" i="4"/>
  <c r="AV49" i="4"/>
  <c r="AS41" i="4"/>
  <c r="AR41" i="4"/>
  <c r="AV41" i="4"/>
  <c r="AT41" i="4"/>
  <c r="AW41" i="4"/>
  <c r="AR33" i="4"/>
  <c r="AW33" i="4"/>
  <c r="AQ33" i="4"/>
  <c r="AT33" i="4"/>
  <c r="AQ25" i="4"/>
  <c r="AX25" i="4"/>
  <c r="AV25" i="4"/>
  <c r="AQ17" i="4"/>
  <c r="AP17" i="4"/>
  <c r="AX17" i="4"/>
  <c r="AW17" i="4"/>
  <c r="Q136" i="17"/>
  <c r="S136" i="17"/>
  <c r="M136" i="17"/>
  <c r="T128" i="17"/>
  <c r="U128" i="17"/>
  <c r="N128" i="17"/>
  <c r="R128" i="17"/>
  <c r="M128" i="17"/>
  <c r="P128" i="17"/>
  <c r="P120" i="17"/>
  <c r="U120" i="17"/>
  <c r="S120" i="17"/>
  <c r="M120" i="17"/>
  <c r="L104" i="17"/>
  <c r="N104" i="17"/>
  <c r="P104" i="17"/>
  <c r="O96" i="17"/>
  <c r="T96" i="17"/>
  <c r="P96" i="17"/>
  <c r="S88" i="17"/>
  <c r="L88" i="17"/>
  <c r="N80" i="17"/>
  <c r="T80" i="17"/>
  <c r="P80" i="17"/>
  <c r="R80" i="17"/>
  <c r="S56" i="17"/>
  <c r="P56" i="17"/>
  <c r="T56" i="17"/>
  <c r="O56" i="17"/>
  <c r="M56" i="17"/>
  <c r="N56" i="17"/>
  <c r="U48" i="17"/>
  <c r="N48" i="17"/>
  <c r="R48" i="17"/>
  <c r="Q48" i="17"/>
  <c r="M48" i="17"/>
  <c r="T48" i="17"/>
  <c r="S48" i="17"/>
  <c r="M40" i="17"/>
  <c r="S40" i="17"/>
  <c r="O40" i="17"/>
  <c r="U40" i="17"/>
  <c r="S32" i="17"/>
  <c r="U32" i="17"/>
  <c r="L32" i="17"/>
  <c r="AS135" i="3"/>
  <c r="BA135" i="3"/>
  <c r="AR127" i="3"/>
  <c r="AZ127" i="3"/>
  <c r="AR95" i="3"/>
  <c r="AZ95" i="3"/>
  <c r="AS47" i="3"/>
  <c r="BA47" i="3"/>
  <c r="AQ320" i="4"/>
  <c r="AV320" i="4"/>
  <c r="AQ312" i="4"/>
  <c r="AU312" i="4"/>
  <c r="AP312" i="4"/>
  <c r="AQ296" i="4"/>
  <c r="AS296" i="4"/>
  <c r="AP288" i="4"/>
  <c r="AO288" i="4"/>
  <c r="AW288" i="4"/>
  <c r="AV288" i="4"/>
  <c r="AW240" i="4"/>
  <c r="AX240" i="4"/>
  <c r="AS240" i="4"/>
  <c r="AX224" i="4"/>
  <c r="AS224" i="4"/>
  <c r="AV224" i="4"/>
  <c r="AR224" i="4"/>
  <c r="AW224" i="4"/>
  <c r="AQ224" i="4"/>
  <c r="AO216" i="4"/>
  <c r="AU216" i="4"/>
  <c r="AU208" i="4"/>
  <c r="AR208" i="4"/>
  <c r="AW208" i="4"/>
  <c r="AT208" i="4"/>
  <c r="AS208" i="4"/>
  <c r="AR192" i="4"/>
  <c r="AQ192" i="4"/>
  <c r="AP192" i="4"/>
  <c r="AO168" i="4"/>
  <c r="AS168" i="4"/>
  <c r="AP168" i="4"/>
  <c r="AT160" i="4"/>
  <c r="AV160" i="4"/>
  <c r="AQ160" i="4"/>
  <c r="AS160" i="4"/>
  <c r="AO160" i="4"/>
  <c r="AV152" i="4"/>
  <c r="AX152" i="4"/>
  <c r="AO152" i="4"/>
  <c r="AX144" i="4"/>
  <c r="AT144" i="4"/>
  <c r="AU144" i="4"/>
  <c r="AP112" i="4"/>
  <c r="AW112" i="4"/>
  <c r="AV112" i="4"/>
  <c r="AR112" i="4"/>
  <c r="AX112" i="4"/>
  <c r="AQ96" i="4"/>
  <c r="AW96" i="4"/>
  <c r="AU88" i="4"/>
  <c r="AR88" i="4"/>
  <c r="AS88" i="4"/>
  <c r="AV88" i="4"/>
  <c r="AO88" i="4"/>
  <c r="AP80" i="4"/>
  <c r="AT80" i="4"/>
  <c r="AO80" i="4"/>
  <c r="AV80" i="4"/>
  <c r="AU80" i="4"/>
  <c r="AS64" i="4"/>
  <c r="AW64" i="4"/>
  <c r="AT64" i="4"/>
  <c r="N71" i="17"/>
  <c r="M71" i="17"/>
  <c r="R71" i="17"/>
  <c r="O63" i="17"/>
  <c r="N63" i="17"/>
  <c r="U63" i="17"/>
  <c r="R63" i="17"/>
  <c r="M55" i="17"/>
  <c r="Q55" i="17"/>
  <c r="S47" i="17"/>
  <c r="U47" i="17"/>
  <c r="M39" i="17"/>
  <c r="Q39" i="17"/>
  <c r="L39" i="17"/>
  <c r="T31" i="17"/>
  <c r="N31" i="17"/>
  <c r="M23" i="17"/>
  <c r="U23" i="17"/>
  <c r="P15" i="17"/>
  <c r="S15" i="17"/>
  <c r="AR222" i="3"/>
  <c r="AZ222" i="3"/>
  <c r="AR214" i="3"/>
  <c r="AZ214" i="3"/>
  <c r="AR118" i="3"/>
  <c r="AZ118" i="3"/>
  <c r="AS78" i="3"/>
  <c r="BA78" i="3"/>
  <c r="AS62" i="3"/>
  <c r="BA62" i="3"/>
  <c r="AR38" i="3"/>
  <c r="AZ38" i="3"/>
  <c r="AR22" i="3"/>
  <c r="AZ22" i="3"/>
  <c r="AS14" i="3"/>
  <c r="AW14" i="3"/>
  <c r="AW335" i="4"/>
  <c r="AT335" i="4"/>
  <c r="AR335" i="4"/>
  <c r="AP327" i="4"/>
  <c r="AX327" i="4"/>
  <c r="AV327" i="4"/>
  <c r="AR319" i="4"/>
  <c r="AX319" i="4"/>
  <c r="AQ319" i="4"/>
  <c r="AP319" i="4"/>
  <c r="AU319" i="4"/>
  <c r="AO319" i="4"/>
  <c r="AO311" i="4"/>
  <c r="AU311" i="4"/>
  <c r="AS303" i="4"/>
  <c r="AP303" i="4"/>
  <c r="AO303" i="4"/>
  <c r="AX295" i="4"/>
  <c r="AP295" i="4"/>
  <c r="AW295" i="4"/>
  <c r="AR295" i="4"/>
  <c r="AP287" i="4"/>
  <c r="AO287" i="4"/>
  <c r="AW287" i="4"/>
  <c r="AQ287" i="4"/>
  <c r="AO271" i="4"/>
  <c r="AV271" i="4"/>
  <c r="AS271" i="4"/>
  <c r="AP271" i="4"/>
  <c r="AS263" i="4"/>
  <c r="AR263" i="4"/>
  <c r="AQ255" i="4"/>
  <c r="AS255" i="4"/>
  <c r="AU239" i="4"/>
  <c r="AQ239" i="4"/>
  <c r="AX231" i="4"/>
  <c r="AT231" i="4"/>
  <c r="AV231" i="4"/>
  <c r="AR223" i="4"/>
  <c r="AQ223" i="4"/>
  <c r="AS223" i="4"/>
  <c r="AV223" i="4"/>
  <c r="AP223" i="4"/>
  <c r="AO215" i="4"/>
  <c r="AQ215" i="4"/>
  <c r="AX207" i="4"/>
  <c r="AT207" i="4"/>
  <c r="AU207" i="4"/>
  <c r="AO191" i="4"/>
  <c r="AQ191" i="4"/>
  <c r="AV191" i="4"/>
  <c r="AT191" i="4"/>
  <c r="AR183" i="4"/>
  <c r="AQ183" i="4"/>
  <c r="AX183" i="4"/>
  <c r="AV159" i="4"/>
  <c r="AX159" i="4"/>
  <c r="AU159" i="4"/>
  <c r="AX151" i="4"/>
  <c r="AS151" i="4"/>
  <c r="AV151" i="4"/>
  <c r="AP63" i="4"/>
  <c r="AV63" i="4"/>
  <c r="AU63" i="4"/>
  <c r="U142" i="17"/>
  <c r="T142" i="17"/>
  <c r="L102" i="17"/>
  <c r="T102" i="17"/>
  <c r="L78" i="17"/>
  <c r="Q78" i="17"/>
  <c r="O54" i="17"/>
  <c r="U54" i="17"/>
  <c r="S38" i="17"/>
  <c r="N38" i="17"/>
  <c r="M30" i="17"/>
  <c r="N30" i="17"/>
  <c r="L30" i="17"/>
  <c r="T14" i="17"/>
  <c r="L14" i="17"/>
  <c r="AR236" i="3"/>
  <c r="AZ236" i="3"/>
  <c r="AS228" i="3"/>
  <c r="BA228" i="3"/>
  <c r="AS212" i="3"/>
  <c r="BA212" i="3"/>
  <c r="AR204" i="3"/>
  <c r="AZ204" i="3"/>
  <c r="AR196" i="3"/>
  <c r="AZ196" i="3"/>
  <c r="AR188" i="3"/>
  <c r="AZ188" i="3"/>
  <c r="AR116" i="3"/>
  <c r="AZ116" i="3"/>
  <c r="AS76" i="3"/>
  <c r="BA76" i="3"/>
  <c r="AS36" i="3"/>
  <c r="BA36" i="3"/>
  <c r="AS20" i="3"/>
  <c r="BA20" i="3"/>
  <c r="AS333" i="4"/>
  <c r="AO333" i="4"/>
  <c r="AX333" i="4"/>
  <c r="AP333" i="4"/>
  <c r="AV333" i="4"/>
  <c r="AU333" i="4"/>
  <c r="AS325" i="4"/>
  <c r="AV325" i="4"/>
  <c r="AQ325" i="4"/>
  <c r="AW325" i="4"/>
  <c r="AP317" i="4"/>
  <c r="AS317" i="4"/>
  <c r="AU317" i="4"/>
  <c r="AO317" i="4"/>
  <c r="AT317" i="4"/>
  <c r="AO309" i="4"/>
  <c r="AT309" i="4"/>
  <c r="AU309" i="4"/>
  <c r="AX309" i="4"/>
  <c r="AT301" i="4"/>
  <c r="AR301" i="4"/>
  <c r="AX301" i="4"/>
  <c r="AV301" i="4"/>
  <c r="AU301" i="4"/>
  <c r="AS301" i="4"/>
  <c r="AP293" i="4"/>
  <c r="AW293" i="4"/>
  <c r="AT293" i="4"/>
  <c r="AR293" i="4"/>
  <c r="AX293" i="4"/>
  <c r="AO293" i="4"/>
  <c r="AV285" i="4"/>
  <c r="AP285" i="4"/>
  <c r="AX285" i="4"/>
  <c r="AW285" i="4"/>
  <c r="AV277" i="4"/>
  <c r="AX277" i="4"/>
  <c r="AQ277" i="4"/>
  <c r="AP277" i="4"/>
  <c r="AU269" i="4"/>
  <c r="AW269" i="4"/>
  <c r="AT269" i="4"/>
  <c r="AX269" i="4"/>
  <c r="AO261" i="4"/>
  <c r="AT261" i="4"/>
  <c r="AU261" i="4"/>
  <c r="AQ261" i="4"/>
  <c r="AV261" i="4"/>
  <c r="AU253" i="4"/>
  <c r="AW253" i="4"/>
  <c r="AX253" i="4"/>
  <c r="AP253" i="4"/>
  <c r="AO253" i="4"/>
  <c r="AT245" i="4"/>
  <c r="AU245" i="4"/>
  <c r="AP245" i="4"/>
  <c r="AX245" i="4"/>
  <c r="AV245" i="4"/>
  <c r="AR237" i="4"/>
  <c r="AX237" i="4"/>
  <c r="AS237" i="4"/>
  <c r="AO237" i="4"/>
  <c r="AR229" i="4"/>
  <c r="AP229" i="4"/>
  <c r="AU229" i="4"/>
  <c r="AO229" i="4"/>
  <c r="AX221" i="4"/>
  <c r="AU221" i="4"/>
  <c r="AT221" i="4"/>
  <c r="AR221" i="4"/>
  <c r="AS221" i="4"/>
  <c r="AW213" i="4"/>
  <c r="AX213" i="4"/>
  <c r="AV213" i="4"/>
  <c r="AT213" i="4"/>
  <c r="AO213" i="4"/>
  <c r="AP213" i="4"/>
  <c r="AV205" i="4"/>
  <c r="AR205" i="4"/>
  <c r="AP205" i="4"/>
  <c r="AR197" i="4"/>
  <c r="AU197" i="4"/>
  <c r="AW197" i="4"/>
  <c r="AP197" i="4"/>
  <c r="AX197" i="4"/>
  <c r="AX189" i="4"/>
  <c r="AO189" i="4"/>
  <c r="AW189" i="4"/>
  <c r="AQ189" i="4"/>
  <c r="U86" i="17"/>
  <c r="R78" i="17"/>
  <c r="U62" i="17"/>
  <c r="L46" i="17"/>
  <c r="T23" i="17"/>
  <c r="AW88" i="4"/>
  <c r="AW200" i="4"/>
  <c r="AW80" i="4"/>
  <c r="AO200" i="4"/>
  <c r="AS312" i="4"/>
  <c r="AR176" i="4"/>
  <c r="AR312" i="4"/>
  <c r="AU128" i="4"/>
  <c r="AS280" i="4"/>
  <c r="AO112" i="4"/>
  <c r="AV176" i="4"/>
  <c r="AW160" i="4"/>
  <c r="R39" i="17"/>
  <c r="N47" i="17"/>
  <c r="AR24" i="4"/>
  <c r="AT199" i="4"/>
  <c r="AQ263" i="4"/>
  <c r="AP255" i="4"/>
  <c r="AQ271" i="4"/>
  <c r="S63" i="17"/>
  <c r="AW303" i="4"/>
  <c r="P63" i="17"/>
  <c r="AQ303" i="4"/>
  <c r="AX239" i="4"/>
  <c r="AP247" i="4"/>
  <c r="AQ247" i="4"/>
  <c r="P46" i="17"/>
  <c r="T47" i="17"/>
  <c r="AP120" i="4"/>
  <c r="AX208" i="4"/>
  <c r="AO296" i="4"/>
  <c r="AP200" i="4"/>
  <c r="AS248" i="4"/>
  <c r="AT128" i="4"/>
  <c r="AT112" i="4"/>
  <c r="AP208" i="4"/>
  <c r="AP96" i="4"/>
  <c r="AS216" i="4"/>
  <c r="AW320" i="4"/>
  <c r="AV120" i="4"/>
  <c r="AU120" i="4"/>
  <c r="AT256" i="4"/>
  <c r="AW216" i="4"/>
  <c r="AV232" i="4"/>
  <c r="AX80" i="4"/>
  <c r="O15" i="17"/>
  <c r="O55" i="17"/>
  <c r="AS63" i="4"/>
  <c r="AS207" i="4"/>
  <c r="AP263" i="4"/>
  <c r="AR303" i="4"/>
  <c r="Q23" i="17"/>
  <c r="U55" i="17"/>
  <c r="AR239" i="4"/>
  <c r="AT183" i="4"/>
  <c r="AR159" i="4"/>
  <c r="AQ327" i="4"/>
  <c r="AR167" i="4"/>
  <c r="AP159" i="4"/>
  <c r="M10" i="12"/>
  <c r="L10" i="12"/>
  <c r="AX30" i="4"/>
  <c r="AW30" i="4"/>
  <c r="M85" i="17"/>
  <c r="O85" i="17"/>
  <c r="AS141" i="4"/>
  <c r="AR141" i="4"/>
  <c r="AW141" i="4"/>
  <c r="AU141" i="4"/>
  <c r="AT141" i="4"/>
  <c r="AS133" i="4"/>
  <c r="AW133" i="4"/>
  <c r="AP133" i="4"/>
  <c r="AU133" i="4"/>
  <c r="AQ133" i="4"/>
  <c r="AR133" i="4"/>
  <c r="AX133" i="4"/>
  <c r="AS109" i="4"/>
  <c r="AO109" i="4"/>
  <c r="AS101" i="4"/>
  <c r="AT101" i="4"/>
  <c r="AQ101" i="4"/>
  <c r="AV101" i="4"/>
  <c r="AS93" i="4"/>
  <c r="AU93" i="4"/>
  <c r="AT93" i="4"/>
  <c r="AP93" i="4"/>
  <c r="AS69" i="4"/>
  <c r="AW69" i="4"/>
  <c r="AR69" i="4"/>
  <c r="AX69" i="4"/>
  <c r="AQ69" i="4"/>
  <c r="AS61" i="4"/>
  <c r="AT61" i="4"/>
  <c r="AP61" i="4"/>
  <c r="AX61" i="4"/>
  <c r="AW61" i="4"/>
  <c r="AQ61" i="4"/>
  <c r="O68" i="17"/>
  <c r="L68" i="17"/>
  <c r="L200" i="12"/>
  <c r="AY173" i="3"/>
  <c r="AY165" i="3"/>
  <c r="AX157" i="3"/>
  <c r="AV61" i="4"/>
  <c r="L12" i="17"/>
  <c r="T60" i="17"/>
  <c r="L116" i="17"/>
  <c r="AS29" i="4"/>
  <c r="Q36" i="17"/>
  <c r="U84" i="17"/>
  <c r="S140" i="17"/>
  <c r="R52" i="17"/>
  <c r="L108" i="17"/>
  <c r="AS21" i="4"/>
  <c r="O28" i="17"/>
  <c r="Q92" i="17"/>
  <c r="U140" i="17"/>
  <c r="M36" i="17"/>
  <c r="Q84" i="17"/>
  <c r="U132" i="17"/>
  <c r="N36" i="17"/>
  <c r="N100" i="17"/>
  <c r="AO21" i="4"/>
  <c r="AS110" i="4"/>
  <c r="AS94" i="4"/>
  <c r="AS174" i="4"/>
  <c r="AX278" i="4"/>
  <c r="AS262" i="4"/>
  <c r="N76" i="17"/>
  <c r="P12" i="17"/>
  <c r="P28" i="17"/>
  <c r="AS13" i="4"/>
  <c r="O138" i="17"/>
  <c r="R53" i="17"/>
  <c r="AU125" i="4"/>
  <c r="AP101" i="4"/>
  <c r="AR107" i="4"/>
  <c r="AP51" i="4"/>
  <c r="AR109" i="4"/>
  <c r="AR157" i="4"/>
  <c r="AO45" i="4"/>
  <c r="AW77" i="4"/>
  <c r="AQ109" i="4"/>
  <c r="AX77" i="4"/>
  <c r="AW109" i="4"/>
  <c r="AT331" i="4"/>
  <c r="AP331" i="4"/>
  <c r="AR331" i="4"/>
  <c r="AO331" i="4"/>
  <c r="AV331" i="4"/>
  <c r="AT323" i="4"/>
  <c r="AP323" i="4"/>
  <c r="AV323" i="4"/>
  <c r="AS323" i="4"/>
  <c r="AR323" i="4"/>
  <c r="AU315" i="4"/>
  <c r="AX315" i="4"/>
  <c r="AW315" i="4"/>
  <c r="AR315" i="4"/>
  <c r="AP243" i="4"/>
  <c r="AV243" i="4"/>
  <c r="AQ163" i="4"/>
  <c r="AP163" i="4"/>
  <c r="AW163" i="4"/>
  <c r="AU163" i="4"/>
  <c r="AR147" i="4"/>
  <c r="AQ147" i="4"/>
  <c r="AW147" i="4"/>
  <c r="AV147" i="4"/>
  <c r="AT147" i="4"/>
  <c r="AV139" i="4"/>
  <c r="AU139" i="4"/>
  <c r="AW139" i="4"/>
  <c r="AO139" i="4"/>
  <c r="AR139" i="4"/>
  <c r="AR131" i="4"/>
  <c r="AX131" i="4"/>
  <c r="AQ131" i="4"/>
  <c r="AP131" i="4"/>
  <c r="AU131" i="4"/>
  <c r="AS131" i="4"/>
  <c r="AO115" i="4"/>
  <c r="AR115" i="4"/>
  <c r="AT115" i="4"/>
  <c r="AQ115" i="4"/>
  <c r="AQ107" i="4"/>
  <c r="AO107" i="4"/>
  <c r="AV107" i="4"/>
  <c r="AV99" i="4"/>
  <c r="AX99" i="4"/>
  <c r="AT83" i="4"/>
  <c r="AQ83" i="4"/>
  <c r="AV83" i="4"/>
  <c r="AU83" i="4"/>
  <c r="AO83" i="4"/>
  <c r="AU75" i="4"/>
  <c r="AQ75" i="4"/>
  <c r="AO67" i="4"/>
  <c r="AU67" i="4"/>
  <c r="AS67" i="4"/>
  <c r="AX67" i="4"/>
  <c r="AV67" i="4"/>
  <c r="AU51" i="4"/>
  <c r="AX51" i="4"/>
  <c r="AV51" i="4"/>
  <c r="AV43" i="4"/>
  <c r="AP43" i="4"/>
  <c r="AP35" i="4"/>
  <c r="AO35" i="4"/>
  <c r="AS19" i="4"/>
  <c r="AT19" i="4"/>
  <c r="AQ19" i="4"/>
  <c r="AW19" i="4"/>
  <c r="L130" i="17"/>
  <c r="O130" i="17"/>
  <c r="N130" i="17"/>
  <c r="Q130" i="17"/>
  <c r="P130" i="17"/>
  <c r="L122" i="17"/>
  <c r="Q122" i="17"/>
  <c r="S122" i="17"/>
  <c r="N122" i="17"/>
  <c r="U114" i="17"/>
  <c r="T114" i="17"/>
  <c r="P98" i="17"/>
  <c r="S98" i="17"/>
  <c r="O98" i="17"/>
  <c r="P74" i="17"/>
  <c r="T74" i="17"/>
  <c r="M66" i="17"/>
  <c r="P66" i="17"/>
  <c r="T66" i="17"/>
  <c r="M58" i="17"/>
  <c r="O58" i="17"/>
  <c r="T50" i="17"/>
  <c r="L50" i="17"/>
  <c r="T42" i="17"/>
  <c r="M42" i="17"/>
  <c r="R34" i="17"/>
  <c r="L34" i="17"/>
  <c r="L187" i="12"/>
  <c r="L336" i="12"/>
  <c r="M336" i="12"/>
  <c r="L356" i="12"/>
  <c r="M356" i="12"/>
  <c r="L275" i="12"/>
  <c r="M275" i="12" s="1"/>
  <c r="M437" i="12"/>
  <c r="L437" i="12"/>
  <c r="M95" i="12"/>
  <c r="L95" i="12"/>
  <c r="M420" i="12"/>
  <c r="M121" i="12"/>
  <c r="L340" i="12"/>
  <c r="M340" i="12"/>
  <c r="M18" i="12"/>
  <c r="L18" i="12"/>
  <c r="M500" i="12"/>
  <c r="L500" i="12"/>
  <c r="M461" i="12"/>
  <c r="L461" i="12"/>
  <c r="M354" i="12"/>
  <c r="L354" i="12"/>
  <c r="M413" i="12"/>
  <c r="M289" i="12"/>
  <c r="L289" i="12"/>
  <c r="M488" i="12"/>
  <c r="L488" i="12"/>
  <c r="M512" i="12"/>
  <c r="L512" i="12"/>
  <c r="M296" i="12"/>
  <c r="L296" i="12"/>
  <c r="M89" i="12"/>
  <c r="L89" i="12"/>
  <c r="M111" i="12"/>
  <c r="L246" i="12"/>
  <c r="M541" i="12"/>
  <c r="L541" i="12"/>
  <c r="L452" i="12"/>
  <c r="E350" i="4"/>
  <c r="AR2936" i="3"/>
  <c r="AU2936" i="3"/>
  <c r="AX2999" i="3"/>
  <c r="AW2999" i="3"/>
  <c r="AR3020" i="3"/>
  <c r="AV3020" i="3"/>
  <c r="V1133" i="13"/>
  <c r="AC1133" i="13"/>
  <c r="AT2922" i="3"/>
  <c r="E2961" i="3"/>
  <c r="C2784" i="3"/>
  <c r="AT2936" i="3"/>
  <c r="AW2817" i="3"/>
  <c r="AY3000" i="3"/>
  <c r="AT3020" i="3"/>
  <c r="E1130" i="13"/>
  <c r="E3007" i="3"/>
  <c r="AU350" i="4"/>
  <c r="E3020" i="3"/>
  <c r="C3020" i="3"/>
  <c r="C2843" i="3"/>
  <c r="E351" i="4"/>
  <c r="Z1140" i="13"/>
  <c r="E102" i="13"/>
  <c r="E2963" i="3"/>
  <c r="E348" i="4"/>
  <c r="AW2936" i="3"/>
  <c r="AX2817" i="3"/>
  <c r="C2936" i="3"/>
  <c r="E2815" i="3"/>
  <c r="E1126" i="13"/>
  <c r="C3022" i="3"/>
  <c r="E2783" i="3"/>
  <c r="V1113" i="13"/>
  <c r="C2849" i="3"/>
  <c r="AT2854" i="3"/>
  <c r="E352" i="4"/>
  <c r="C1124" i="13"/>
  <c r="E2528" i="3"/>
  <c r="E603" i="13"/>
  <c r="E3010" i="3"/>
  <c r="E347" i="4"/>
  <c r="AY2936" i="3"/>
  <c r="AU2815" i="3"/>
  <c r="E3021" i="3"/>
  <c r="C2805" i="3"/>
  <c r="AS2959" i="3"/>
  <c r="C2938" i="3"/>
  <c r="E2958" i="3"/>
  <c r="C3001" i="3"/>
  <c r="X1113" i="13"/>
  <c r="C2842" i="3"/>
  <c r="X1140" i="13"/>
  <c r="AU2939" i="3"/>
  <c r="AT2939" i="3"/>
  <c r="AU2954" i="3"/>
  <c r="AX2954" i="3"/>
  <c r="AW2954" i="3"/>
  <c r="AR2922" i="3"/>
  <c r="L545" i="12"/>
  <c r="M545" i="12" s="1"/>
  <c r="AR3019" i="3"/>
  <c r="AX3019" i="3"/>
  <c r="V1128" i="13"/>
  <c r="Y1128" i="13"/>
  <c r="AO350" i="4"/>
  <c r="AS350" i="4"/>
  <c r="AU2808" i="3"/>
  <c r="AV2808" i="3"/>
  <c r="E2898" i="3"/>
  <c r="E2900" i="3"/>
  <c r="E357" i="4"/>
  <c r="AS356" i="4"/>
  <c r="AR356" i="4"/>
  <c r="E2997" i="3"/>
  <c r="E145" i="17"/>
  <c r="E2813" i="3"/>
  <c r="E2934" i="3"/>
  <c r="E2814" i="3"/>
  <c r="E2994" i="3"/>
  <c r="E1158" i="13"/>
  <c r="E2951" i="3"/>
  <c r="E1161" i="13"/>
  <c r="E1159" i="13"/>
  <c r="E349" i="4"/>
  <c r="E2957" i="3"/>
  <c r="E1128" i="13"/>
  <c r="AY2922" i="3"/>
  <c r="AW2922" i="3"/>
  <c r="AV2922" i="3"/>
  <c r="AX2922" i="3"/>
  <c r="L539" i="12"/>
  <c r="M539" i="12" s="1"/>
  <c r="E767" i="13"/>
  <c r="E915" i="13"/>
  <c r="E75" i="13"/>
  <c r="AY2998" i="3"/>
  <c r="AS2805" i="3"/>
  <c r="C2816" i="3"/>
  <c r="AS3020" i="3"/>
  <c r="AY3022" i="3"/>
  <c r="X1128" i="13"/>
  <c r="AQ350" i="4"/>
  <c r="E2819" i="3"/>
  <c r="C1133" i="13"/>
  <c r="C2852" i="3"/>
  <c r="E3006" i="3"/>
  <c r="E2807" i="3"/>
  <c r="Z1144" i="13"/>
  <c r="AB1144" i="13"/>
  <c r="M451" i="12"/>
  <c r="E1152" i="13"/>
  <c r="E144" i="17"/>
  <c r="E2920" i="3"/>
  <c r="E2921" i="3"/>
  <c r="E2922" i="3"/>
  <c r="E2923" i="3"/>
  <c r="E2919" i="3"/>
  <c r="E2789" i="3"/>
  <c r="E2788" i="3"/>
  <c r="AS2935" i="3"/>
  <c r="AT2817" i="3"/>
  <c r="C2937" i="3"/>
  <c r="C2999" i="3"/>
  <c r="AA1128" i="13"/>
  <c r="E2959" i="3"/>
  <c r="AR350" i="4"/>
  <c r="C2817" i="3"/>
  <c r="C1135" i="13"/>
  <c r="AY2854" i="3"/>
  <c r="AR2854" i="3"/>
  <c r="AX2854" i="3"/>
  <c r="AU2922" i="3"/>
  <c r="L407" i="12"/>
  <c r="M407" i="12"/>
  <c r="C2868" i="3"/>
  <c r="Y1151" i="13"/>
  <c r="AE1162" i="13"/>
  <c r="AA1162" i="13"/>
  <c r="AT2982" i="3"/>
  <c r="AZ2866" i="3"/>
  <c r="E3017" i="3"/>
  <c r="AZ2818" i="3"/>
  <c r="AU2818" i="3"/>
  <c r="AU2868" i="3"/>
  <c r="C2801" i="3"/>
  <c r="AU3014" i="3"/>
  <c r="AX2967" i="3"/>
  <c r="AZ2832" i="3"/>
  <c r="AV2974" i="3"/>
  <c r="AW2835" i="3"/>
  <c r="AZ2837" i="3"/>
  <c r="C150" i="17"/>
  <c r="C3014" i="3"/>
  <c r="C2974" i="3"/>
  <c r="C2793" i="3"/>
  <c r="AC1151" i="13"/>
  <c r="C1160" i="13"/>
  <c r="AY2799" i="3"/>
  <c r="C2987" i="3"/>
  <c r="C1180" i="13"/>
  <c r="E2818" i="3"/>
  <c r="BA2832" i="3"/>
  <c r="C1161" i="13"/>
  <c r="BA2946" i="3"/>
  <c r="AX2799" i="3"/>
  <c r="C2989" i="3"/>
  <c r="C2986" i="3"/>
  <c r="X1151" i="13"/>
  <c r="C2920" i="3"/>
  <c r="AV2994" i="3"/>
  <c r="AT2933" i="3"/>
  <c r="AV2953" i="3"/>
  <c r="C1155" i="13"/>
  <c r="C145" i="17"/>
  <c r="AX2814" i="3"/>
  <c r="AX2981" i="3"/>
  <c r="C1164" i="13"/>
  <c r="AV2798" i="3"/>
  <c r="E2798" i="3"/>
  <c r="E374" i="4"/>
  <c r="E2867" i="3"/>
  <c r="AD1174" i="13"/>
  <c r="E2956" i="3"/>
  <c r="AS2868" i="3"/>
  <c r="C2985" i="3"/>
  <c r="AX3014" i="3"/>
  <c r="BA2974" i="3"/>
  <c r="AS2837" i="3"/>
  <c r="C2827" i="3"/>
  <c r="C3013" i="3"/>
  <c r="C2970" i="3"/>
  <c r="C2794" i="3"/>
  <c r="C2810" i="3"/>
  <c r="E2967" i="3"/>
  <c r="E2971" i="3"/>
  <c r="E2972" i="3"/>
  <c r="E2795" i="3"/>
  <c r="E2826" i="3"/>
  <c r="BA3014" i="3"/>
  <c r="AR2832" i="3"/>
  <c r="AT2837" i="3"/>
  <c r="C2826" i="3"/>
  <c r="C3012" i="3"/>
  <c r="C3015" i="3"/>
  <c r="C2836" i="3"/>
  <c r="AS213" i="3"/>
  <c r="BA213" i="3"/>
  <c r="AS181" i="3"/>
  <c r="BA181" i="3"/>
  <c r="AS149" i="3"/>
  <c r="BA149" i="3"/>
  <c r="AW141" i="3"/>
  <c r="AU141" i="3"/>
  <c r="AY133" i="3"/>
  <c r="AW133" i="3"/>
  <c r="AS125" i="3"/>
  <c r="BA125" i="3"/>
  <c r="AY125" i="3"/>
  <c r="AU117" i="3"/>
  <c r="AS117" i="3"/>
  <c r="BA117" i="3"/>
  <c r="AU109" i="3"/>
  <c r="AS109" i="3"/>
  <c r="BA109" i="3"/>
  <c r="AT101" i="3"/>
  <c r="AR101" i="3"/>
  <c r="AZ101" i="3"/>
  <c r="AS93" i="3"/>
  <c r="BA93" i="3"/>
  <c r="AY93" i="3"/>
  <c r="AS85" i="3"/>
  <c r="BA85" i="3"/>
  <c r="AY85" i="3"/>
  <c r="AR77" i="3"/>
  <c r="AZ77" i="3"/>
  <c r="AX77" i="3"/>
  <c r="AY69" i="3"/>
  <c r="AW69" i="3"/>
  <c r="AY61" i="3"/>
  <c r="AW61" i="3"/>
  <c r="AY53" i="3"/>
  <c r="AW53" i="3"/>
  <c r="AY45" i="3"/>
  <c r="AW45" i="3"/>
  <c r="AY37" i="3"/>
  <c r="AW37" i="3"/>
  <c r="AX29" i="3"/>
  <c r="AV29" i="3"/>
  <c r="AW21" i="3"/>
  <c r="AU21" i="3"/>
  <c r="AU13" i="3"/>
  <c r="AV13" i="3"/>
  <c r="AS13" i="3"/>
  <c r="AT334" i="4"/>
  <c r="AV334" i="4"/>
  <c r="AP334" i="4"/>
  <c r="AR334" i="4"/>
  <c r="AW334" i="4"/>
  <c r="AV326" i="4"/>
  <c r="AU326" i="4"/>
  <c r="AR326" i="4"/>
  <c r="AX326" i="4"/>
  <c r="AO326" i="4"/>
  <c r="AS326" i="4"/>
  <c r="AQ326" i="4"/>
  <c r="AP318" i="4"/>
  <c r="AO318" i="4"/>
  <c r="AV318" i="4"/>
  <c r="AS318" i="4"/>
  <c r="AW318" i="4"/>
  <c r="AS310" i="4"/>
  <c r="AW310" i="4"/>
  <c r="AX310" i="4"/>
  <c r="AR310" i="4"/>
  <c r="AT310" i="4"/>
  <c r="AT294" i="4"/>
  <c r="AU294" i="4"/>
  <c r="AS294" i="4"/>
  <c r="AQ286" i="4"/>
  <c r="AU286" i="4"/>
  <c r="AS286" i="4"/>
  <c r="AO286" i="4"/>
  <c r="AS278" i="4"/>
  <c r="AW278" i="4"/>
  <c r="AU278" i="4"/>
  <c r="AT278" i="4"/>
  <c r="AO278" i="4"/>
  <c r="AU270" i="4"/>
  <c r="AQ270" i="4"/>
  <c r="AS270" i="4"/>
  <c r="AT262" i="4"/>
  <c r="AQ262" i="4"/>
  <c r="AX262" i="4"/>
  <c r="AV262" i="4"/>
  <c r="AR262" i="4"/>
  <c r="AQ254" i="4"/>
  <c r="AU254" i="4"/>
  <c r="AR254" i="4"/>
  <c r="AP254" i="4"/>
  <c r="AS246" i="4"/>
  <c r="AW246" i="4"/>
  <c r="AU238" i="4"/>
  <c r="AW238" i="4"/>
  <c r="AR238" i="4"/>
  <c r="AX238" i="4"/>
  <c r="AQ238" i="4"/>
  <c r="AU230" i="4"/>
  <c r="AW230" i="4"/>
  <c r="AT230" i="4"/>
  <c r="AX230" i="4"/>
  <c r="AU222" i="4"/>
  <c r="AP222" i="4"/>
  <c r="AX222" i="4"/>
  <c r="AW222" i="4"/>
  <c r="AS222" i="4"/>
  <c r="AU214" i="4"/>
  <c r="AW214" i="4"/>
  <c r="AV214" i="4"/>
  <c r="AQ214" i="4"/>
  <c r="AU206" i="4"/>
  <c r="AQ206" i="4"/>
  <c r="AP206" i="4"/>
  <c r="AO206" i="4"/>
  <c r="AX206" i="4"/>
  <c r="AU198" i="4"/>
  <c r="AP198" i="4"/>
  <c r="AO198" i="4"/>
  <c r="AU190" i="4"/>
  <c r="AP190" i="4"/>
  <c r="AV190" i="4"/>
  <c r="AT190" i="4"/>
  <c r="AU182" i="4"/>
  <c r="AP182" i="4"/>
  <c r="AX182" i="4"/>
  <c r="AU174" i="4"/>
  <c r="AW174" i="4"/>
  <c r="AR174" i="4"/>
  <c r="AQ174" i="4"/>
  <c r="AS166" i="4"/>
  <c r="AP166" i="4"/>
  <c r="AR166" i="4"/>
  <c r="AX166" i="4"/>
  <c r="AT150" i="4"/>
  <c r="AQ150" i="4"/>
  <c r="AS150" i="4"/>
  <c r="AO150" i="4"/>
  <c r="AT142" i="4"/>
  <c r="AW142" i="4"/>
  <c r="AR142" i="4"/>
  <c r="AQ142" i="4"/>
  <c r="AP142" i="4"/>
  <c r="AR134" i="4"/>
  <c r="AO134" i="4"/>
  <c r="AT134" i="4"/>
  <c r="AS134" i="4"/>
  <c r="AP134" i="4"/>
  <c r="AP126" i="4"/>
  <c r="AW126" i="4"/>
  <c r="AU126" i="4"/>
  <c r="AX126" i="4"/>
  <c r="AT126" i="4"/>
  <c r="AV118" i="4"/>
  <c r="AW118" i="4"/>
  <c r="AU118" i="4"/>
  <c r="AO110" i="4"/>
  <c r="AQ110" i="4"/>
  <c r="AV110" i="4"/>
  <c r="AX110" i="4"/>
  <c r="AW110" i="4"/>
  <c r="AO102" i="4"/>
  <c r="AS102" i="4"/>
  <c r="AV102" i="4"/>
  <c r="AU102" i="4"/>
  <c r="AT102" i="4"/>
  <c r="AX94" i="4"/>
  <c r="AR94" i="4"/>
  <c r="AU94" i="4"/>
  <c r="AS86" i="4"/>
  <c r="AU86" i="4"/>
  <c r="AT86" i="4"/>
  <c r="AV86" i="4"/>
  <c r="AP86" i="4"/>
  <c r="AO86" i="4"/>
  <c r="AR86" i="4"/>
  <c r="AO78" i="4"/>
  <c r="AS78" i="4"/>
  <c r="AU78" i="4"/>
  <c r="AW78" i="4"/>
  <c r="AQ78" i="4"/>
  <c r="AV78" i="4"/>
  <c r="AS70" i="4"/>
  <c r="AT70" i="4"/>
  <c r="AQ70" i="4"/>
  <c r="AQ62" i="4"/>
  <c r="AW62" i="4"/>
  <c r="AV62" i="4"/>
  <c r="AO54" i="4"/>
  <c r="AR54" i="4"/>
  <c r="AP54" i="4"/>
  <c r="AU54" i="4"/>
  <c r="AP46" i="4"/>
  <c r="AU46" i="4"/>
  <c r="AS46" i="4"/>
  <c r="AS38" i="4"/>
  <c r="AR38" i="4"/>
  <c r="AU38" i="4"/>
  <c r="AP38" i="4"/>
  <c r="AO38" i="4"/>
  <c r="AT38" i="4"/>
  <c r="AX38" i="4"/>
  <c r="AS30" i="4"/>
  <c r="AU30" i="4"/>
  <c r="AP30" i="4"/>
  <c r="AR30" i="4"/>
  <c r="AT30" i="4"/>
  <c r="AV30" i="4"/>
  <c r="AS22" i="4"/>
  <c r="AW22" i="4"/>
  <c r="AT22" i="4"/>
  <c r="AO22" i="4"/>
  <c r="AX22" i="4"/>
  <c r="AS14" i="4"/>
  <c r="AO14" i="4"/>
  <c r="AU14" i="4"/>
  <c r="AP14" i="4"/>
  <c r="AR14" i="4"/>
  <c r="AX14" i="4"/>
  <c r="U141" i="17"/>
  <c r="N141" i="17"/>
  <c r="T141" i="17"/>
  <c r="Q133" i="17"/>
  <c r="T133" i="17"/>
  <c r="U133" i="17"/>
  <c r="O125" i="17"/>
  <c r="S125" i="17"/>
  <c r="M125" i="17"/>
  <c r="L125" i="17"/>
  <c r="Q117" i="17"/>
  <c r="M117" i="17"/>
  <c r="L117" i="17"/>
  <c r="N109" i="17"/>
  <c r="O109" i="17"/>
  <c r="L109" i="17"/>
  <c r="S109" i="17"/>
  <c r="M101" i="17"/>
  <c r="U101" i="17"/>
  <c r="O101" i="17"/>
  <c r="N101" i="17"/>
  <c r="L93" i="17"/>
  <c r="M93" i="17"/>
  <c r="T93" i="17"/>
  <c r="S93" i="17"/>
  <c r="P85" i="17"/>
  <c r="R85" i="17"/>
  <c r="N85" i="17"/>
  <c r="Q85" i="17"/>
  <c r="L85" i="17"/>
  <c r="P77" i="17"/>
  <c r="L77" i="17"/>
  <c r="R77" i="17"/>
  <c r="M77" i="17"/>
  <c r="Q77" i="17"/>
  <c r="T77" i="17"/>
  <c r="O77" i="17"/>
  <c r="N77" i="17"/>
  <c r="P69" i="17"/>
  <c r="U69" i="17"/>
  <c r="R69" i="17"/>
  <c r="L69" i="17"/>
  <c r="N69" i="17"/>
  <c r="T69" i="17"/>
  <c r="Q69" i="17"/>
  <c r="M61" i="17"/>
  <c r="S61" i="17"/>
  <c r="U61" i="17"/>
  <c r="O61" i="17"/>
  <c r="T61" i="17"/>
  <c r="M53" i="17"/>
  <c r="P53" i="17"/>
  <c r="Q53" i="17"/>
  <c r="O53" i="17"/>
  <c r="L53" i="17"/>
  <c r="M45" i="17"/>
  <c r="Q45" i="17"/>
  <c r="U45" i="17"/>
  <c r="L45" i="17"/>
  <c r="O45" i="17"/>
  <c r="N45" i="17"/>
  <c r="M29" i="17"/>
  <c r="O29" i="17"/>
  <c r="N29" i="17"/>
  <c r="Q29" i="17"/>
  <c r="T29" i="17"/>
  <c r="M21" i="17"/>
  <c r="Q21" i="17"/>
  <c r="L21" i="17"/>
  <c r="T21" i="17"/>
  <c r="R21" i="17"/>
  <c r="O21" i="17"/>
  <c r="S21" i="17"/>
  <c r="P21" i="17"/>
  <c r="M13" i="17"/>
  <c r="T13" i="17"/>
  <c r="R13" i="17"/>
  <c r="Q13" i="17"/>
  <c r="O13" i="17"/>
  <c r="N13" i="17"/>
  <c r="L13" i="17"/>
  <c r="V1112" i="13"/>
  <c r="AE1112" i="13"/>
  <c r="X1112" i="13"/>
  <c r="Z1112" i="13"/>
  <c r="L528" i="12"/>
  <c r="L101" i="17"/>
  <c r="N21" i="17"/>
  <c r="T125" i="17"/>
  <c r="M69" i="17"/>
  <c r="AU22" i="4"/>
  <c r="L128" i="12"/>
  <c r="M128" i="12"/>
  <c r="L133" i="17"/>
  <c r="L29" i="17"/>
  <c r="U125" i="17"/>
  <c r="R29" i="17"/>
  <c r="AO30" i="4"/>
  <c r="T85" i="17"/>
  <c r="L141" i="17"/>
  <c r="R61" i="17"/>
  <c r="AW38" i="4"/>
  <c r="R125" i="17"/>
  <c r="T45" i="17"/>
  <c r="U85" i="17"/>
  <c r="AZ245" i="3"/>
  <c r="AX229" i="3"/>
  <c r="AZ221" i="3"/>
  <c r="AZ213" i="3"/>
  <c r="BA205" i="3"/>
  <c r="AR205" i="3"/>
  <c r="AS197" i="3"/>
  <c r="AT189" i="3"/>
  <c r="AU181" i="3"/>
  <c r="AV173" i="3"/>
  <c r="AV165" i="3"/>
  <c r="AW157" i="3"/>
  <c r="AX149" i="3"/>
  <c r="AY141" i="3"/>
  <c r="AX133" i="3"/>
  <c r="AW125" i="3"/>
  <c r="AW117" i="3"/>
  <c r="AR109" i="3"/>
  <c r="AX101" i="3"/>
  <c r="AR93" i="3"/>
  <c r="AX85" i="3"/>
  <c r="AT77" i="3"/>
  <c r="AZ69" i="3"/>
  <c r="AV61" i="3"/>
  <c r="AT53" i="3"/>
  <c r="AR45" i="3"/>
  <c r="AZ37" i="3"/>
  <c r="AU29" i="3"/>
  <c r="AR21" i="3"/>
  <c r="AY13" i="3"/>
  <c r="U53" i="17"/>
  <c r="S45" i="17"/>
  <c r="S141" i="17"/>
  <c r="AV158" i="4"/>
  <c r="AO246" i="4"/>
  <c r="AW326" i="4"/>
  <c r="AW86" i="4"/>
  <c r="AT110" i="4"/>
  <c r="AV206" i="4"/>
  <c r="AS302" i="4"/>
  <c r="AX102" i="4"/>
  <c r="AS142" i="4"/>
  <c r="AQ230" i="4"/>
  <c r="AS62" i="4"/>
  <c r="AQ166" i="4"/>
  <c r="AR246" i="4"/>
  <c r="AO302" i="4"/>
  <c r="AO118" i="4"/>
  <c r="AR62" i="4"/>
  <c r="AX198" i="4"/>
  <c r="AX294" i="4"/>
  <c r="AR270" i="4"/>
  <c r="AQ134" i="4"/>
  <c r="AQ278" i="4"/>
  <c r="AQ46" i="4"/>
  <c r="AO182" i="4"/>
  <c r="AR286" i="4"/>
  <c r="AV222" i="4"/>
  <c r="AR198" i="4"/>
  <c r="AW166" i="4"/>
  <c r="AD1112" i="13"/>
  <c r="AR22" i="4"/>
  <c r="U77" i="17"/>
  <c r="AT14" i="4"/>
  <c r="AQ38" i="4"/>
  <c r="R141" i="17"/>
  <c r="R133" i="17"/>
  <c r="L353" i="12"/>
  <c r="M353" i="12" s="1"/>
  <c r="M60" i="12"/>
  <c r="L60" i="12"/>
  <c r="AO194" i="4"/>
  <c r="AT194" i="4"/>
  <c r="M337" i="12"/>
  <c r="L337" i="12"/>
  <c r="M190" i="12"/>
  <c r="L190" i="12"/>
  <c r="AT320" i="4"/>
  <c r="AR320" i="4"/>
  <c r="AS320" i="4"/>
  <c r="AO312" i="4"/>
  <c r="AT312" i="4"/>
  <c r="AV312" i="4"/>
  <c r="AX304" i="4"/>
  <c r="AR304" i="4"/>
  <c r="AO304" i="4"/>
  <c r="AR288" i="4"/>
  <c r="AS288" i="4"/>
  <c r="AT280" i="4"/>
  <c r="AO280" i="4"/>
  <c r="AO256" i="4"/>
  <c r="AS256" i="4"/>
  <c r="AO248" i="4"/>
  <c r="AV248" i="4"/>
  <c r="AU248" i="4"/>
  <c r="AT248" i="4"/>
  <c r="AP240" i="4"/>
  <c r="AV240" i="4"/>
  <c r="AO240" i="4"/>
  <c r="AQ240" i="4"/>
  <c r="AT240" i="4"/>
  <c r="AR240" i="4"/>
  <c r="AQ232" i="4"/>
  <c r="AP232" i="4"/>
  <c r="AT216" i="4"/>
  <c r="AV216" i="4"/>
  <c r="AV200" i="4"/>
  <c r="AU200" i="4"/>
  <c r="AQ200" i="4"/>
  <c r="AX184" i="4"/>
  <c r="AP184" i="4"/>
  <c r="AQ184" i="4"/>
  <c r="AS184" i="4"/>
  <c r="AT176" i="4"/>
  <c r="AO176" i="4"/>
  <c r="AX176" i="4"/>
  <c r="AS152" i="4"/>
  <c r="AQ152" i="4"/>
  <c r="AT152" i="4"/>
  <c r="AR152" i="4"/>
  <c r="AP152" i="4"/>
  <c r="AR144" i="4"/>
  <c r="AO144" i="4"/>
  <c r="AV144" i="4"/>
  <c r="AX120" i="4"/>
  <c r="AS120" i="4"/>
  <c r="AU112" i="4"/>
  <c r="AQ112" i="4"/>
  <c r="AS96" i="4"/>
  <c r="AR96" i="4"/>
  <c r="AX96" i="4"/>
  <c r="AT88" i="4"/>
  <c r="AX88" i="4"/>
  <c r="U71" i="17"/>
  <c r="O71" i="17"/>
  <c r="P71" i="17"/>
  <c r="Q63" i="17"/>
  <c r="M63" i="17"/>
  <c r="R55" i="17"/>
  <c r="P55" i="17"/>
  <c r="N55" i="17"/>
  <c r="P47" i="17"/>
  <c r="R47" i="17"/>
  <c r="M47" i="17"/>
  <c r="U39" i="17"/>
  <c r="S39" i="17"/>
  <c r="O39" i="17"/>
  <c r="P23" i="17"/>
  <c r="L23" i="17"/>
  <c r="L15" i="17"/>
  <c r="Q15" i="17"/>
  <c r="M396" i="12"/>
  <c r="L396" i="12"/>
  <c r="L543" i="12"/>
  <c r="M543" i="12" s="1"/>
  <c r="M98" i="12"/>
  <c r="L98" i="12"/>
  <c r="AU335" i="4"/>
  <c r="AQ335" i="4"/>
  <c r="AS335" i="4"/>
  <c r="AO335" i="4"/>
  <c r="AR327" i="4"/>
  <c r="AO327" i="4"/>
  <c r="AW327" i="4"/>
  <c r="AS327" i="4"/>
  <c r="AS319" i="4"/>
  <c r="AV319" i="4"/>
  <c r="AT319" i="4"/>
  <c r="AR311" i="4"/>
  <c r="AX311" i="4"/>
  <c r="AW311" i="4"/>
  <c r="AS311" i="4"/>
  <c r="AV303" i="4"/>
  <c r="AX303" i="4"/>
  <c r="AT303" i="4"/>
  <c r="AQ295" i="4"/>
  <c r="AO295" i="4"/>
  <c r="AU295" i="4"/>
  <c r="AV295" i="4"/>
  <c r="AT287" i="4"/>
  <c r="AV287" i="4"/>
  <c r="AX287" i="4"/>
  <c r="AR271" i="4"/>
  <c r="AX271" i="4"/>
  <c r="AU271" i="4"/>
  <c r="AT271" i="4"/>
  <c r="AW271" i="4"/>
  <c r="AU263" i="4"/>
  <c r="AV263" i="4"/>
  <c r="AO255" i="4"/>
  <c r="AT255" i="4"/>
  <c r="AV247" i="4"/>
  <c r="AX247" i="4"/>
  <c r="AO247" i="4"/>
  <c r="AS247" i="4"/>
  <c r="AS239" i="4"/>
  <c r="AT239" i="4"/>
  <c r="AP239" i="4"/>
  <c r="AQ231" i="4"/>
  <c r="AP231" i="4"/>
  <c r="AS231" i="4"/>
  <c r="AU231" i="4"/>
  <c r="AO223" i="4"/>
  <c r="AW223" i="4"/>
  <c r="AV215" i="4"/>
  <c r="AR215" i="4"/>
  <c r="AS215" i="4"/>
  <c r="AP207" i="4"/>
  <c r="AW207" i="4"/>
  <c r="AO207" i="4"/>
  <c r="AQ207" i="4"/>
  <c r="AV199" i="4"/>
  <c r="AQ199" i="4"/>
  <c r="AU199" i="4"/>
  <c r="AP191" i="4"/>
  <c r="AW191" i="4"/>
  <c r="AS191" i="4"/>
  <c r="AW183" i="4"/>
  <c r="AU183" i="4"/>
  <c r="AO167" i="4"/>
  <c r="AW167" i="4"/>
  <c r="AT167" i="4"/>
  <c r="AU167" i="4"/>
  <c r="AS159" i="4"/>
  <c r="AT159" i="4"/>
  <c r="AQ63" i="4"/>
  <c r="AW63" i="4"/>
  <c r="AT63" i="4"/>
  <c r="AP39" i="4"/>
  <c r="AT39" i="4"/>
  <c r="AQ39" i="4"/>
  <c r="AO39" i="4"/>
  <c r="AO31" i="4"/>
  <c r="AT31" i="4"/>
  <c r="AW23" i="4"/>
  <c r="AX23" i="4"/>
  <c r="AU23" i="4"/>
  <c r="AT23" i="4"/>
  <c r="O118" i="17"/>
  <c r="M118" i="17"/>
  <c r="O94" i="17"/>
  <c r="S94" i="17"/>
  <c r="Q70" i="17"/>
  <c r="O70" i="17"/>
  <c r="R62" i="17"/>
  <c r="L62" i="17"/>
  <c r="Q46" i="17"/>
  <c r="S46" i="17"/>
  <c r="Q38" i="17"/>
  <c r="T38" i="17"/>
  <c r="U22" i="17"/>
  <c r="T22" i="17"/>
  <c r="U14" i="17"/>
  <c r="R14" i="17"/>
  <c r="AQ244" i="4"/>
  <c r="AV244" i="4"/>
  <c r="AT244" i="4"/>
  <c r="AP164" i="4"/>
  <c r="AS164" i="4"/>
  <c r="AR225" i="4"/>
  <c r="AX225" i="4"/>
  <c r="AU209" i="4"/>
  <c r="AQ209" i="4"/>
  <c r="M480" i="12"/>
  <c r="M477" i="12"/>
  <c r="M542" i="12"/>
  <c r="M463" i="12"/>
  <c r="M443" i="12"/>
  <c r="M249" i="12"/>
  <c r="L249" i="12"/>
  <c r="L418" i="12"/>
  <c r="M418" i="12"/>
  <c r="X1129" i="13"/>
  <c r="AB1129" i="13"/>
  <c r="X1127" i="13"/>
  <c r="W1135" i="13"/>
  <c r="AU2847" i="3"/>
  <c r="AS2844" i="3"/>
  <c r="AP354" i="4"/>
  <c r="AT3023" i="3"/>
  <c r="AW3023" i="3"/>
  <c r="AV2916" i="3"/>
  <c r="AS2888" i="3"/>
  <c r="AU2902" i="3"/>
  <c r="AS2902" i="3"/>
  <c r="AV2915" i="3"/>
  <c r="AW2915" i="3"/>
  <c r="AV360" i="4"/>
  <c r="M144" i="17"/>
  <c r="AS2934" i="3"/>
  <c r="AZ2811" i="3"/>
  <c r="AZ2799" i="3"/>
  <c r="Y1127" i="13"/>
  <c r="X1133" i="13"/>
  <c r="X1135" i="13"/>
  <c r="AR354" i="4"/>
  <c r="AT354" i="4"/>
  <c r="AV2809" i="3"/>
  <c r="AW2916" i="3"/>
  <c r="AT2888" i="3"/>
  <c r="AY2902" i="3"/>
  <c r="AW2902" i="3"/>
  <c r="AQ360" i="4"/>
  <c r="X1149" i="13"/>
  <c r="N144" i="17"/>
  <c r="AT2934" i="3"/>
  <c r="AR2811" i="3"/>
  <c r="Z1127" i="13"/>
  <c r="Y1133" i="13"/>
  <c r="Y1135" i="13"/>
  <c r="AV2847" i="3"/>
  <c r="AQ354" i="4"/>
  <c r="AS3023" i="3"/>
  <c r="AY2809" i="3"/>
  <c r="AX2916" i="3"/>
  <c r="AU2888" i="3"/>
  <c r="AX2915" i="3"/>
  <c r="AR360" i="4"/>
  <c r="S144" i="17"/>
  <c r="AU2934" i="3"/>
  <c r="AY2811" i="3"/>
  <c r="W1129" i="13"/>
  <c r="AA1129" i="13"/>
  <c r="AC1129" i="13"/>
  <c r="AA1127" i="13"/>
  <c r="W1133" i="13"/>
  <c r="Z1135" i="13"/>
  <c r="AX2847" i="3"/>
  <c r="AW2847" i="3"/>
  <c r="AS354" i="4"/>
  <c r="AS2809" i="3"/>
  <c r="AX2809" i="3"/>
  <c r="AX3023" i="3"/>
  <c r="AV2888" i="3"/>
  <c r="AT2921" i="3"/>
  <c r="R144" i="17"/>
  <c r="AU2995" i="3"/>
  <c r="AV2934" i="3"/>
  <c r="AX2811" i="3"/>
  <c r="V1127" i="13"/>
  <c r="AB1127" i="13"/>
  <c r="Z1133" i="13"/>
  <c r="AA1135" i="13"/>
  <c r="AU354" i="4"/>
  <c r="AR3023" i="3"/>
  <c r="AY2916" i="3"/>
  <c r="AW2888" i="3"/>
  <c r="AY2915" i="3"/>
  <c r="AC1149" i="13"/>
  <c r="AU2921" i="3"/>
  <c r="AX2934" i="3"/>
  <c r="AW2811" i="3"/>
  <c r="AA1133" i="13"/>
  <c r="AB1135" i="13"/>
  <c r="AV354" i="4"/>
  <c r="AA1137" i="13"/>
  <c r="AU3023" i="3"/>
  <c r="AU2809" i="3"/>
  <c r="AS2916" i="3"/>
  <c r="AY2888" i="3"/>
  <c r="Y1149" i="13"/>
  <c r="AX2921" i="3"/>
  <c r="P144" i="17"/>
  <c r="AD1168" i="13"/>
  <c r="AV2811" i="3"/>
  <c r="AS2801" i="3"/>
  <c r="Z1129" i="13"/>
  <c r="W1127" i="13"/>
  <c r="AB1133" i="13"/>
  <c r="AC1135" i="13"/>
  <c r="AS2847" i="3"/>
  <c r="AR2847" i="3"/>
  <c r="AW2809" i="3"/>
  <c r="AT2916" i="3"/>
  <c r="AV2902" i="3"/>
  <c r="AT2902" i="3"/>
  <c r="AR2915" i="3"/>
  <c r="AT2915" i="3"/>
  <c r="Z1149" i="13"/>
  <c r="AE1168" i="13"/>
  <c r="AU2811" i="3"/>
  <c r="AX2801" i="3"/>
  <c r="E665" i="13"/>
  <c r="E223" i="4"/>
  <c r="E629" i="13"/>
  <c r="L247" i="12"/>
  <c r="C1122" i="13"/>
  <c r="C2786" i="3"/>
  <c r="C1123" i="13"/>
  <c r="C2964" i="3"/>
  <c r="C2820" i="3"/>
  <c r="C2787" i="3"/>
  <c r="C2963" i="3"/>
  <c r="C2941" i="3"/>
  <c r="C2961" i="3"/>
  <c r="C3008" i="3"/>
  <c r="C2962" i="3"/>
  <c r="C2788" i="3"/>
  <c r="C2821" i="3"/>
  <c r="C2789" i="3"/>
  <c r="C348" i="4"/>
  <c r="C346" i="4"/>
  <c r="M547" i="12"/>
  <c r="L547" i="12"/>
  <c r="E346" i="4"/>
  <c r="E3008" i="3"/>
  <c r="E3009" i="3"/>
  <c r="E2787" i="3"/>
  <c r="E2784" i="3"/>
  <c r="C2851" i="3"/>
  <c r="C2848" i="3"/>
  <c r="C1134" i="13"/>
  <c r="C2850" i="3"/>
  <c r="C2844" i="3"/>
  <c r="C2846" i="3"/>
  <c r="C2845" i="3"/>
  <c r="V1134" i="13"/>
  <c r="X1134" i="13"/>
  <c r="AR2842" i="3"/>
  <c r="AW2842" i="3"/>
  <c r="AV2850" i="3"/>
  <c r="AW2850" i="3"/>
  <c r="AS2850" i="3"/>
  <c r="AW3007" i="3"/>
  <c r="AS3007" i="3"/>
  <c r="AR2957" i="3"/>
  <c r="AV2957" i="3"/>
  <c r="AU3007" i="3"/>
  <c r="E3003" i="3"/>
  <c r="E3002" i="3"/>
  <c r="E1124" i="13"/>
  <c r="E2936" i="3"/>
  <c r="E2816" i="3"/>
  <c r="E2999" i="3"/>
  <c r="E2937" i="3"/>
  <c r="E2938" i="3"/>
  <c r="E3001" i="3"/>
  <c r="E2817" i="3"/>
  <c r="AS2957" i="3"/>
  <c r="E2805" i="3"/>
  <c r="AU2848" i="3"/>
  <c r="AX2848" i="3"/>
  <c r="W1113" i="13"/>
  <c r="AA1113" i="13"/>
  <c r="Z1113" i="13"/>
  <c r="AS367" i="4"/>
  <c r="AR367" i="4"/>
  <c r="M519" i="12"/>
  <c r="M537" i="12"/>
  <c r="L537" i="12"/>
  <c r="E1143" i="13"/>
  <c r="E2939" i="3"/>
  <c r="E3023" i="3"/>
  <c r="E3004" i="3"/>
  <c r="E2808" i="3"/>
  <c r="E2885" i="3"/>
  <c r="E1148" i="13"/>
  <c r="E2895" i="3"/>
  <c r="E1147" i="13"/>
  <c r="E361" i="4"/>
  <c r="E2905" i="3"/>
  <c r="E358" i="4"/>
  <c r="E2892" i="3"/>
  <c r="E2894" i="3"/>
  <c r="E2907" i="3"/>
  <c r="E2902" i="3"/>
  <c r="E2914" i="3"/>
  <c r="E2887" i="3"/>
  <c r="E2897" i="3"/>
  <c r="E2911" i="3"/>
  <c r="E1145" i="13"/>
  <c r="E363" i="4"/>
  <c r="E364" i="4"/>
  <c r="E1146" i="13"/>
  <c r="E1144" i="13"/>
  <c r="E2890" i="3"/>
  <c r="E2888" i="3"/>
  <c r="E365" i="4"/>
  <c r="E2893" i="3"/>
  <c r="E366" i="4"/>
  <c r="AU2890" i="3"/>
  <c r="AS2890" i="3"/>
  <c r="AR2890" i="3"/>
  <c r="E2935" i="3"/>
  <c r="E3019" i="3"/>
  <c r="AC1134" i="13"/>
  <c r="C2841" i="3"/>
  <c r="E3025" i="3"/>
  <c r="Y1137" i="13"/>
  <c r="AB1137" i="13"/>
  <c r="AU2857" i="3"/>
  <c r="AT2857" i="3"/>
  <c r="Z1141" i="13"/>
  <c r="Y1141" i="13"/>
  <c r="E937" i="13"/>
  <c r="E2785" i="3"/>
  <c r="E1123" i="13"/>
  <c r="E2941" i="3"/>
  <c r="E2964" i="3"/>
  <c r="W1130" i="13"/>
  <c r="E3022" i="3"/>
  <c r="C2847" i="3"/>
  <c r="W1141" i="13"/>
  <c r="E353" i="4"/>
  <c r="E2849" i="3"/>
  <c r="E2852" i="3"/>
  <c r="E355" i="4"/>
  <c r="E2847" i="3"/>
  <c r="E2843" i="3"/>
  <c r="E2846" i="3"/>
  <c r="E2851" i="3"/>
  <c r="M534" i="12"/>
  <c r="L534" i="12"/>
  <c r="L531" i="12"/>
  <c r="M531" i="12" s="1"/>
  <c r="AO360" i="4"/>
  <c r="AT360" i="4"/>
  <c r="AX2996" i="3"/>
  <c r="AV2996" i="3"/>
  <c r="E2945" i="3"/>
  <c r="E2860" i="3"/>
  <c r="BA2955" i="3"/>
  <c r="AU2955" i="3"/>
  <c r="AO365" i="4"/>
  <c r="AR365" i="4"/>
  <c r="AB1151" i="13"/>
  <c r="M145" i="17"/>
  <c r="Q147" i="17"/>
  <c r="C2803" i="3"/>
  <c r="C146" i="17"/>
  <c r="E1156" i="13"/>
  <c r="E2932" i="3"/>
  <c r="E1171" i="13"/>
  <c r="E2982" i="3"/>
  <c r="E2865" i="3"/>
  <c r="E1179" i="13"/>
  <c r="E378" i="4"/>
  <c r="V1150" i="13"/>
  <c r="AA1150" i="13"/>
  <c r="AR2934" i="3"/>
  <c r="AW2934" i="3"/>
  <c r="BA2868" i="3"/>
  <c r="AW2868" i="3"/>
  <c r="C2996" i="3"/>
  <c r="C2931" i="3"/>
  <c r="V1157" i="13"/>
  <c r="Z1157" i="13"/>
  <c r="V1166" i="13"/>
  <c r="W1166" i="13"/>
  <c r="V1170" i="13"/>
  <c r="AD1170" i="13"/>
  <c r="AY2979" i="3"/>
  <c r="BA2979" i="3"/>
  <c r="AZ2979" i="3"/>
  <c r="AX2979" i="3"/>
  <c r="AT2979" i="3"/>
  <c r="AU2979" i="3"/>
  <c r="L471" i="12"/>
  <c r="M471" i="12"/>
  <c r="AY2919" i="3"/>
  <c r="AU2919" i="3"/>
  <c r="V1182" i="13"/>
  <c r="AB1182" i="13"/>
  <c r="AX2994" i="3"/>
  <c r="AT2994" i="3"/>
  <c r="AR2933" i="3"/>
  <c r="AW2933" i="3"/>
  <c r="E2800" i="3"/>
  <c r="E2986" i="3"/>
  <c r="E2989" i="3"/>
  <c r="AQ352" i="4"/>
  <c r="AX2845" i="3"/>
  <c r="AS2845" i="3"/>
  <c r="E1138" i="13"/>
  <c r="C366" i="4"/>
  <c r="C2906" i="3"/>
  <c r="C363" i="4"/>
  <c r="C2893" i="3"/>
  <c r="C360" i="4"/>
  <c r="C144" i="34"/>
  <c r="C2886" i="3"/>
  <c r="C2910" i="3"/>
  <c r="C1149" i="13"/>
  <c r="C1151" i="13"/>
  <c r="C2921" i="3"/>
  <c r="AU2813" i="3"/>
  <c r="E2996" i="3"/>
  <c r="E2953" i="3"/>
  <c r="E1167" i="13"/>
  <c r="E1164" i="13"/>
  <c r="E2946" i="3"/>
  <c r="C2951" i="3"/>
  <c r="E148" i="17"/>
  <c r="AA1149" i="13"/>
  <c r="V1149" i="13"/>
  <c r="AY2925" i="3"/>
  <c r="AS2925" i="3"/>
  <c r="AV2925" i="3"/>
  <c r="E2984" i="3"/>
  <c r="AA1154" i="13"/>
  <c r="C2925" i="3"/>
  <c r="E2933" i="3"/>
  <c r="E1157" i="13"/>
  <c r="M184" i="12"/>
  <c r="E1168" i="13"/>
  <c r="C1158" i="13"/>
  <c r="E1169" i="13"/>
  <c r="W1149" i="13"/>
  <c r="AA1151" i="13"/>
  <c r="C2919" i="3"/>
  <c r="C1153" i="13"/>
  <c r="AR2996" i="3"/>
  <c r="C1156" i="13"/>
  <c r="C2804" i="3"/>
  <c r="E2995" i="3"/>
  <c r="E146" i="17"/>
  <c r="E2931" i="3"/>
  <c r="E1150" i="13"/>
  <c r="L144" i="17"/>
  <c r="Q144" i="17"/>
  <c r="E147" i="17"/>
  <c r="V1156" i="13"/>
  <c r="X1156" i="13"/>
  <c r="AR2945" i="3"/>
  <c r="AU2945" i="3"/>
  <c r="AO372" i="4"/>
  <c r="AX372" i="4"/>
  <c r="V1185" i="13"/>
  <c r="Y1185" i="13"/>
  <c r="AD1185" i="13"/>
  <c r="W1185" i="13"/>
  <c r="L150" i="17"/>
  <c r="R150" i="17"/>
  <c r="U150" i="17"/>
  <c r="N150" i="17"/>
  <c r="M150" i="17"/>
  <c r="AY2972" i="3"/>
  <c r="AR2972" i="3"/>
  <c r="AU2972" i="3"/>
  <c r="AX2972" i="3"/>
  <c r="AZ2972" i="3"/>
  <c r="AV2972" i="3"/>
  <c r="AT2972" i="3"/>
  <c r="BA2972" i="3"/>
  <c r="AS2972" i="3"/>
  <c r="D533" i="12"/>
  <c r="AV2824" i="3"/>
  <c r="AZ3014" i="3"/>
  <c r="AW2829" i="3"/>
  <c r="AZ2974" i="3"/>
  <c r="AV2837" i="3"/>
  <c r="C2791" i="3"/>
  <c r="C152" i="17"/>
  <c r="C2968" i="3"/>
  <c r="C2831" i="3"/>
  <c r="C2977" i="3"/>
  <c r="C2792" i="3"/>
  <c r="AS3014" i="3"/>
  <c r="AX2837" i="3"/>
  <c r="C2790" i="3"/>
  <c r="C2967" i="3"/>
  <c r="C2969" i="3"/>
  <c r="C2971" i="3"/>
  <c r="C2978" i="3"/>
  <c r="C1188" i="13"/>
  <c r="AT3014" i="3"/>
  <c r="AY3014" i="3"/>
  <c r="AT2974" i="3"/>
  <c r="AY2837" i="3"/>
  <c r="C1184" i="13"/>
  <c r="C1186" i="13"/>
  <c r="C2966" i="3"/>
  <c r="C2829" i="3"/>
  <c r="C2832" i="3"/>
  <c r="C2835" i="3"/>
  <c r="AR105" i="3"/>
  <c r="AZ105" i="3"/>
  <c r="AS97" i="3"/>
  <c r="BA97" i="3"/>
  <c r="AW9" i="4"/>
  <c r="AX9" i="4"/>
  <c r="AT9" i="4"/>
  <c r="AP9" i="4"/>
  <c r="AO9" i="4"/>
  <c r="AQ9" i="4"/>
  <c r="AS9" i="4"/>
  <c r="AV9" i="4"/>
  <c r="AR9" i="4"/>
  <c r="AQ330" i="4"/>
  <c r="AV330" i="4"/>
  <c r="AT330" i="4"/>
  <c r="AW330" i="4"/>
  <c r="AP330" i="4"/>
  <c r="AU330" i="4"/>
  <c r="AX330" i="4"/>
  <c r="AR330" i="4"/>
  <c r="AO330" i="4"/>
  <c r="AS330" i="4"/>
  <c r="AQ322" i="4"/>
  <c r="AO322" i="4"/>
  <c r="AT322" i="4"/>
  <c r="AS322" i="4"/>
  <c r="AR322" i="4"/>
  <c r="AW322" i="4"/>
  <c r="AX322" i="4"/>
  <c r="AV322" i="4"/>
  <c r="AU322" i="4"/>
  <c r="AQ298" i="4"/>
  <c r="AX298" i="4"/>
  <c r="AS298" i="4"/>
  <c r="AW298" i="4"/>
  <c r="AU298" i="4"/>
  <c r="AV298" i="4"/>
  <c r="AR298" i="4"/>
  <c r="AO298" i="4"/>
  <c r="AT298" i="4"/>
  <c r="AW290" i="4"/>
  <c r="AO290" i="4"/>
  <c r="AU290" i="4"/>
  <c r="AQ290" i="4"/>
  <c r="AP290" i="4"/>
  <c r="AX290" i="4"/>
  <c r="AV290" i="4"/>
  <c r="AR290" i="4"/>
  <c r="AT282" i="4"/>
  <c r="AR282" i="4"/>
  <c r="AP282" i="4"/>
  <c r="AX282" i="4"/>
  <c r="AO282" i="4"/>
  <c r="AQ282" i="4"/>
  <c r="AU282" i="4"/>
  <c r="AS282" i="4"/>
  <c r="AQ274" i="4"/>
  <c r="AR274" i="4"/>
  <c r="AS274" i="4"/>
  <c r="AT274" i="4"/>
  <c r="AO274" i="4"/>
  <c r="AV274" i="4"/>
  <c r="AX274" i="4"/>
  <c r="AP274" i="4"/>
  <c r="AQ266" i="4"/>
  <c r="AP266" i="4"/>
  <c r="AX266" i="4"/>
  <c r="AT266" i="4"/>
  <c r="AS266" i="4"/>
  <c r="AR258" i="4"/>
  <c r="AU258" i="4"/>
  <c r="AS258" i="4"/>
  <c r="AO258" i="4"/>
  <c r="AP258" i="4"/>
  <c r="AT258" i="4"/>
  <c r="AQ258" i="4"/>
  <c r="AX258" i="4"/>
  <c r="AU250" i="4"/>
  <c r="AT250" i="4"/>
  <c r="AX250" i="4"/>
  <c r="AP250" i="4"/>
  <c r="AV250" i="4"/>
  <c r="AR250" i="4"/>
  <c r="AQ250" i="4"/>
  <c r="AO250" i="4"/>
  <c r="AR234" i="4"/>
  <c r="AP234" i="4"/>
  <c r="AU234" i="4"/>
  <c r="AX234" i="4"/>
  <c r="AX226" i="4"/>
  <c r="AU226" i="4"/>
  <c r="AP226" i="4"/>
  <c r="AQ226" i="4"/>
  <c r="AV226" i="4"/>
  <c r="AT218" i="4"/>
  <c r="AX218" i="4"/>
  <c r="AU218" i="4"/>
  <c r="AV218" i="4"/>
  <c r="AW218" i="4"/>
  <c r="AR218" i="4"/>
  <c r="AO210" i="4"/>
  <c r="AV210" i="4"/>
  <c r="AS210" i="4"/>
  <c r="AU210" i="4"/>
  <c r="AW210" i="4"/>
  <c r="AR210" i="4"/>
  <c r="AV202" i="4"/>
  <c r="AW202" i="4"/>
  <c r="AP202" i="4"/>
  <c r="AU202" i="4"/>
  <c r="AR202" i="4"/>
  <c r="AV194" i="4"/>
  <c r="AR194" i="4"/>
  <c r="AQ194" i="4"/>
  <c r="AX194" i="4"/>
  <c r="AW194" i="4"/>
  <c r="AT186" i="4"/>
  <c r="AR186" i="4"/>
  <c r="AV186" i="4"/>
  <c r="AU186" i="4"/>
  <c r="AO186" i="4"/>
  <c r="AS186" i="4"/>
  <c r="AV178" i="4"/>
  <c r="AS178" i="4"/>
  <c r="AU178" i="4"/>
  <c r="AO178" i="4"/>
  <c r="AP178" i="4"/>
  <c r="AW178" i="4"/>
  <c r="AX178" i="4"/>
  <c r="AT178" i="4"/>
  <c r="AQ178" i="4"/>
  <c r="AV170" i="4"/>
  <c r="AU170" i="4"/>
  <c r="AO170" i="4"/>
  <c r="AW170" i="4"/>
  <c r="AP170" i="4"/>
  <c r="AX170" i="4"/>
  <c r="AS170" i="4"/>
  <c r="AT170" i="4"/>
  <c r="AQ170" i="4"/>
  <c r="AR154" i="4"/>
  <c r="AP154" i="4"/>
  <c r="AS154" i="4"/>
  <c r="AW154" i="4"/>
  <c r="AU154" i="4"/>
  <c r="AT154" i="4"/>
  <c r="AO154" i="4"/>
  <c r="AX154" i="4"/>
  <c r="AX146" i="4"/>
  <c r="AQ146" i="4"/>
  <c r="AP146" i="4"/>
  <c r="AU146" i="4"/>
  <c r="AR146" i="4"/>
  <c r="AO146" i="4"/>
  <c r="AT146" i="4"/>
  <c r="AW146" i="4"/>
  <c r="AS138" i="4"/>
  <c r="AO138" i="4"/>
  <c r="AX138" i="4"/>
  <c r="AP138" i="4"/>
  <c r="AQ138" i="4"/>
  <c r="AR138" i="4"/>
  <c r="AW138" i="4"/>
  <c r="AT138" i="4"/>
  <c r="AU138" i="4"/>
  <c r="AS130" i="4"/>
  <c r="AP130" i="4"/>
  <c r="AW130" i="4"/>
  <c r="AU122" i="4"/>
  <c r="AP122" i="4"/>
  <c r="AO122" i="4"/>
  <c r="AV122" i="4"/>
  <c r="AX122" i="4"/>
  <c r="AR122" i="4"/>
  <c r="AQ122" i="4"/>
  <c r="AT122" i="4"/>
  <c r="AQ114" i="4"/>
  <c r="AW114" i="4"/>
  <c r="AU114" i="4"/>
  <c r="AV114" i="4"/>
  <c r="AX114" i="4"/>
  <c r="AS114" i="4"/>
  <c r="AR114" i="4"/>
  <c r="AP114" i="4"/>
  <c r="AT114" i="4"/>
  <c r="AV106" i="4"/>
  <c r="AS106" i="4"/>
  <c r="AP106" i="4"/>
  <c r="AW106" i="4"/>
  <c r="AX106" i="4"/>
  <c r="AT90" i="4"/>
  <c r="AO90" i="4"/>
  <c r="AP90" i="4"/>
  <c r="AV90" i="4"/>
  <c r="AQ90" i="4"/>
  <c r="AX90" i="4"/>
  <c r="AS90" i="4"/>
  <c r="AW90" i="4"/>
  <c r="AU90" i="4"/>
  <c r="AU82" i="4"/>
  <c r="AS82" i="4"/>
  <c r="AP82" i="4"/>
  <c r="AO82" i="4"/>
  <c r="AW82" i="4"/>
  <c r="AQ82" i="4"/>
  <c r="AT82" i="4"/>
  <c r="AS74" i="4"/>
  <c r="AO74" i="4"/>
  <c r="AW74" i="4"/>
  <c r="AR74" i="4"/>
  <c r="AP74" i="4"/>
  <c r="AU74" i="4"/>
  <c r="AQ74" i="4"/>
  <c r="AX74" i="4"/>
  <c r="AV74" i="4"/>
  <c r="AR66" i="4"/>
  <c r="AX66" i="4"/>
  <c r="AO66" i="4"/>
  <c r="AS66" i="4"/>
  <c r="AW58" i="4"/>
  <c r="AX58" i="4"/>
  <c r="AU58" i="4"/>
  <c r="AT58" i="4"/>
  <c r="AR58" i="4"/>
  <c r="AO58" i="4"/>
  <c r="AQ58" i="4"/>
  <c r="AS58" i="4"/>
  <c r="AP58" i="4"/>
  <c r="AX50" i="4"/>
  <c r="AT50" i="4"/>
  <c r="AU50" i="4"/>
  <c r="AP50" i="4"/>
  <c r="AR50" i="4"/>
  <c r="AW50" i="4"/>
  <c r="AV50" i="4"/>
  <c r="AV42" i="4"/>
  <c r="AR42" i="4"/>
  <c r="AS42" i="4"/>
  <c r="AX42" i="4"/>
  <c r="AT42" i="4"/>
  <c r="AP42" i="4"/>
  <c r="AW42" i="4"/>
  <c r="AU34" i="4"/>
  <c r="AO34" i="4"/>
  <c r="AW34" i="4"/>
  <c r="AT26" i="4"/>
  <c r="AS26" i="4"/>
  <c r="AR26" i="4"/>
  <c r="AU26" i="4"/>
  <c r="AV26" i="4"/>
  <c r="AO26" i="4"/>
  <c r="AW26" i="4"/>
  <c r="AX26" i="4"/>
  <c r="AO18" i="4"/>
  <c r="AR18" i="4"/>
  <c r="AT18" i="4"/>
  <c r="AW18" i="4"/>
  <c r="AQ18" i="4"/>
  <c r="AS18" i="4"/>
  <c r="AP18" i="4"/>
  <c r="AP10" i="4"/>
  <c r="AR10" i="4"/>
  <c r="AT10" i="4"/>
  <c r="AS10" i="4"/>
  <c r="AX10" i="4"/>
  <c r="AW10" i="4"/>
  <c r="Q137" i="17"/>
  <c r="M137" i="17"/>
  <c r="U137" i="17"/>
  <c r="N137" i="17"/>
  <c r="S137" i="17"/>
  <c r="P137" i="17"/>
  <c r="O137" i="17"/>
  <c r="T137" i="17"/>
  <c r="L129" i="17"/>
  <c r="T129" i="17"/>
  <c r="S129" i="17"/>
  <c r="M129" i="17"/>
  <c r="U129" i="17"/>
  <c r="O129" i="17"/>
  <c r="P129" i="17"/>
  <c r="Q121" i="17"/>
  <c r="P121" i="17"/>
  <c r="R121" i="17"/>
  <c r="L121" i="17"/>
  <c r="T121" i="17"/>
  <c r="O121" i="17"/>
  <c r="U121" i="17"/>
  <c r="N113" i="17"/>
  <c r="U113" i="17"/>
  <c r="O113" i="17"/>
  <c r="R113" i="17"/>
  <c r="L113" i="17"/>
  <c r="S113" i="17"/>
  <c r="N105" i="17"/>
  <c r="S105" i="17"/>
  <c r="L105" i="17"/>
  <c r="P105" i="17"/>
  <c r="T105" i="17"/>
  <c r="R105" i="17"/>
  <c r="O105" i="17"/>
  <c r="M97" i="17"/>
  <c r="Q97" i="17"/>
  <c r="O97" i="17"/>
  <c r="P97" i="17"/>
  <c r="R97" i="17"/>
  <c r="U97" i="17"/>
  <c r="T97" i="17"/>
  <c r="L89" i="17"/>
  <c r="R89" i="17"/>
  <c r="S89" i="17"/>
  <c r="T89" i="17"/>
  <c r="M89" i="17"/>
  <c r="U89" i="17"/>
  <c r="P89" i="17"/>
  <c r="Q89" i="17"/>
  <c r="N81" i="17"/>
  <c r="R81" i="17"/>
  <c r="T81" i="17"/>
  <c r="M81" i="17"/>
  <c r="U81" i="17"/>
  <c r="O81" i="17"/>
  <c r="S81" i="17"/>
  <c r="P73" i="17"/>
  <c r="R73" i="17"/>
  <c r="S73" i="17"/>
  <c r="L73" i="17"/>
  <c r="U73" i="17"/>
  <c r="N65" i="17"/>
  <c r="O65" i="17"/>
  <c r="P65" i="17"/>
  <c r="R65" i="17"/>
  <c r="S65" i="17"/>
  <c r="P57" i="17"/>
  <c r="Q57" i="17"/>
  <c r="S57" i="17"/>
  <c r="M57" i="17"/>
  <c r="R49" i="17"/>
  <c r="M49" i="17"/>
  <c r="U41" i="17"/>
  <c r="O41" i="17"/>
  <c r="P33" i="17"/>
  <c r="Q33" i="17"/>
  <c r="O25" i="17"/>
  <c r="R25" i="17"/>
  <c r="Q17" i="17"/>
  <c r="P17" i="17"/>
  <c r="AS290" i="4"/>
  <c r="AU274" i="4"/>
  <c r="D15" i="34"/>
  <c r="D13" i="34"/>
  <c r="AE1124" i="13"/>
  <c r="BA2938" i="3"/>
  <c r="AZ2815" i="3"/>
  <c r="Y1124" i="13"/>
  <c r="AT2935" i="3"/>
  <c r="AX2805" i="3"/>
  <c r="AV2815" i="3"/>
  <c r="AV3000" i="3"/>
  <c r="AY2938" i="3"/>
  <c r="AW2938" i="3"/>
  <c r="AX2783" i="3"/>
  <c r="AR2783" i="3"/>
  <c r="BA2971" i="3"/>
  <c r="BA3019" i="3"/>
  <c r="AZ2935" i="3"/>
  <c r="X1115" i="13"/>
  <c r="AS2872" i="3"/>
  <c r="AX2872" i="3"/>
  <c r="Z1124" i="13"/>
  <c r="AU2935" i="3"/>
  <c r="AY2815" i="3"/>
  <c r="AS3021" i="3"/>
  <c r="AS3022" i="3"/>
  <c r="W1158" i="13"/>
  <c r="AY2989" i="3"/>
  <c r="AR2979" i="3"/>
  <c r="AE1115" i="13"/>
  <c r="BA3021" i="3"/>
  <c r="AZ2805" i="3"/>
  <c r="AD1124" i="13"/>
  <c r="AA1115" i="13"/>
  <c r="V1115" i="13"/>
  <c r="AU2872" i="3"/>
  <c r="AT2872" i="3"/>
  <c r="AA1124" i="13"/>
  <c r="AV2935" i="3"/>
  <c r="AW2935" i="3"/>
  <c r="AS3019" i="3"/>
  <c r="AT3021" i="3"/>
  <c r="AR2815" i="3"/>
  <c r="AW3000" i="3"/>
  <c r="AR2938" i="3"/>
  <c r="AU3022" i="3"/>
  <c r="AD1115" i="13"/>
  <c r="BA2783" i="3"/>
  <c r="BA3000" i="3"/>
  <c r="BA2815" i="3"/>
  <c r="AZ3019" i="3"/>
  <c r="AZ3022" i="3"/>
  <c r="Z1115" i="13"/>
  <c r="AY2872" i="3"/>
  <c r="AB1124" i="13"/>
  <c r="AY2935" i="3"/>
  <c r="AU3019" i="3"/>
  <c r="AW3019" i="3"/>
  <c r="AV3021" i="3"/>
  <c r="AS3000" i="3"/>
  <c r="AS2938" i="3"/>
  <c r="AT3022" i="3"/>
  <c r="AW2989" i="3"/>
  <c r="BA2872" i="3"/>
  <c r="BA2805" i="3"/>
  <c r="BA2935" i="3"/>
  <c r="AZ3000" i="3"/>
  <c r="Y1115" i="13"/>
  <c r="AC1124" i="13"/>
  <c r="AT2805" i="3"/>
  <c r="AT3019" i="3"/>
  <c r="AT2815" i="3"/>
  <c r="AW3021" i="3"/>
  <c r="AT3000" i="3"/>
  <c r="AT2938" i="3"/>
  <c r="AV3022" i="3"/>
  <c r="AS2985" i="3"/>
  <c r="AV2989" i="3"/>
  <c r="AZ2872" i="3"/>
  <c r="AV2872" i="3"/>
  <c r="AU2805" i="3"/>
  <c r="AY2805" i="3"/>
  <c r="AW2815" i="3"/>
  <c r="AU3000" i="3"/>
  <c r="AX3000" i="3"/>
  <c r="AU2938" i="3"/>
  <c r="AW3022" i="3"/>
  <c r="AW2783" i="3"/>
  <c r="AT2783" i="3"/>
  <c r="AV2783" i="3"/>
  <c r="AU2804" i="3"/>
  <c r="AU2989" i="3"/>
  <c r="AU2978" i="3"/>
  <c r="W1115" i="13"/>
  <c r="W1124" i="13"/>
  <c r="AR2935" i="3"/>
  <c r="AV2805" i="3"/>
  <c r="AV3019" i="3"/>
  <c r="AY3019" i="3"/>
  <c r="AX2815" i="3"/>
  <c r="AV2938" i="3"/>
  <c r="AX3022" i="3"/>
  <c r="AS2783" i="3"/>
  <c r="AU2783" i="3"/>
  <c r="AS2989" i="3"/>
  <c r="AT2989" i="3"/>
  <c r="S148" i="17"/>
  <c r="AC476" i="13"/>
  <c r="V476" i="13"/>
  <c r="AB476" i="13"/>
  <c r="W476" i="13"/>
  <c r="Z476" i="13"/>
  <c r="AD476" i="13"/>
  <c r="AE476" i="13"/>
  <c r="X476" i="13"/>
  <c r="Y476" i="13"/>
  <c r="AA476" i="13"/>
  <c r="AR283" i="3"/>
  <c r="AZ283" i="3"/>
  <c r="AR275" i="3"/>
  <c r="AZ275" i="3"/>
  <c r="AT275" i="3"/>
  <c r="AW275" i="3"/>
  <c r="AR267" i="3"/>
  <c r="AZ267" i="3"/>
  <c r="AT267" i="3"/>
  <c r="AW267" i="3"/>
  <c r="AR259" i="3"/>
  <c r="AZ259" i="3"/>
  <c r="AT259" i="3"/>
  <c r="AV259" i="3"/>
  <c r="AW259" i="3"/>
  <c r="AR251" i="3"/>
  <c r="AZ251" i="3"/>
  <c r="AT251" i="3"/>
  <c r="AV251" i="3"/>
  <c r="AW251" i="3"/>
  <c r="AR243" i="3"/>
  <c r="AZ243" i="3"/>
  <c r="AT243" i="3"/>
  <c r="AV243" i="3"/>
  <c r="AW243" i="3"/>
  <c r="AR235" i="3"/>
  <c r="AZ235" i="3"/>
  <c r="AT235" i="3"/>
  <c r="AV235" i="3"/>
  <c r="AW235" i="3"/>
  <c r="AR227" i="3"/>
  <c r="AZ227" i="3"/>
  <c r="AT227" i="3"/>
  <c r="AV227" i="3"/>
  <c r="AW227" i="3"/>
  <c r="AR219" i="3"/>
  <c r="AZ219" i="3"/>
  <c r="AT219" i="3"/>
  <c r="AV219" i="3"/>
  <c r="AW219" i="3"/>
  <c r="AX219" i="3"/>
  <c r="AR211" i="3"/>
  <c r="AZ211" i="3"/>
  <c r="AT211" i="3"/>
  <c r="AV211" i="3"/>
  <c r="AW211" i="3"/>
  <c r="AX211" i="3"/>
  <c r="AR203" i="3"/>
  <c r="AZ203" i="3"/>
  <c r="AT203" i="3"/>
  <c r="AV203" i="3"/>
  <c r="AW203" i="3"/>
  <c r="AX203" i="3"/>
  <c r="AR195" i="3"/>
  <c r="AZ195" i="3"/>
  <c r="AT195" i="3"/>
  <c r="AV195" i="3"/>
  <c r="AW195" i="3"/>
  <c r="AX195" i="3"/>
  <c r="AR187" i="3"/>
  <c r="AZ187" i="3"/>
  <c r="AT187" i="3"/>
  <c r="AV187" i="3"/>
  <c r="AW187" i="3"/>
  <c r="AX187" i="3"/>
  <c r="AR179" i="3"/>
  <c r="AZ179" i="3"/>
  <c r="AT179" i="3"/>
  <c r="AV179" i="3"/>
  <c r="AW179" i="3"/>
  <c r="AX179" i="3"/>
  <c r="AR171" i="3"/>
  <c r="AZ171" i="3"/>
  <c r="AT171" i="3"/>
  <c r="AV171" i="3"/>
  <c r="AW171" i="3"/>
  <c r="AX171" i="3"/>
  <c r="AR163" i="3"/>
  <c r="AZ163" i="3"/>
  <c r="AT163" i="3"/>
  <c r="AV163" i="3"/>
  <c r="AW163" i="3"/>
  <c r="AX163" i="3"/>
  <c r="AR155" i="3"/>
  <c r="AZ155" i="3"/>
  <c r="AT155" i="3"/>
  <c r="AV155" i="3"/>
  <c r="AW155" i="3"/>
  <c r="AX155" i="3"/>
  <c r="AR147" i="3"/>
  <c r="AZ147" i="3"/>
  <c r="AT147" i="3"/>
  <c r="AV147" i="3"/>
  <c r="AW147" i="3"/>
  <c r="AX147" i="3"/>
  <c r="AR139" i="3"/>
  <c r="AZ139" i="3"/>
  <c r="AT139" i="3"/>
  <c r="AV139" i="3"/>
  <c r="AW139" i="3"/>
  <c r="AX139" i="3"/>
  <c r="AR131" i="3"/>
  <c r="AZ131" i="3"/>
  <c r="AT131" i="3"/>
  <c r="AV131" i="3"/>
  <c r="AW131" i="3"/>
  <c r="AX131" i="3"/>
  <c r="AR123" i="3"/>
  <c r="AZ123" i="3"/>
  <c r="AT123" i="3"/>
  <c r="AV123" i="3"/>
  <c r="AW123" i="3"/>
  <c r="AX123" i="3"/>
  <c r="AR115" i="3"/>
  <c r="AZ115" i="3"/>
  <c r="AT115" i="3"/>
  <c r="AV115" i="3"/>
  <c r="AW115" i="3"/>
  <c r="AX115" i="3"/>
  <c r="AY107" i="3"/>
  <c r="AS107" i="3"/>
  <c r="BA107" i="3"/>
  <c r="AU107" i="3"/>
  <c r="AV107" i="3"/>
  <c r="AW107" i="3"/>
  <c r="AX99" i="3"/>
  <c r="AR99" i="3"/>
  <c r="AZ99" i="3"/>
  <c r="AT99" i="3"/>
  <c r="AU99" i="3"/>
  <c r="AV99" i="3"/>
  <c r="AW91" i="3"/>
  <c r="AY91" i="3"/>
  <c r="AS91" i="3"/>
  <c r="BA91" i="3"/>
  <c r="AT91" i="3"/>
  <c r="AU91" i="3"/>
  <c r="AV83" i="3"/>
  <c r="AX83" i="3"/>
  <c r="AR83" i="3"/>
  <c r="AZ83" i="3"/>
  <c r="AS83" i="3"/>
  <c r="BA83" i="3"/>
  <c r="AT83" i="3"/>
  <c r="AU75" i="3"/>
  <c r="AW75" i="3"/>
  <c r="AY75" i="3"/>
  <c r="AR75" i="3"/>
  <c r="AZ75" i="3"/>
  <c r="AS75" i="3"/>
  <c r="BA75" i="3"/>
  <c r="AT67" i="3"/>
  <c r="AV67" i="3"/>
  <c r="AX67" i="3"/>
  <c r="AY67" i="3"/>
  <c r="AR67" i="3"/>
  <c r="AZ67" i="3"/>
  <c r="AS59" i="3"/>
  <c r="BA59" i="3"/>
  <c r="AU59" i="3"/>
  <c r="AW59" i="3"/>
  <c r="AX59" i="3"/>
  <c r="AY59" i="3"/>
  <c r="AU51" i="3"/>
  <c r="AZ51" i="3"/>
  <c r="AS51" i="3"/>
  <c r="AV51" i="3"/>
  <c r="AW51" i="3"/>
  <c r="AX51" i="3"/>
  <c r="AT43" i="3"/>
  <c r="AX43" i="3"/>
  <c r="AZ43" i="3"/>
  <c r="AS43" i="3"/>
  <c r="AU43" i="3"/>
  <c r="AV43" i="3"/>
  <c r="AS35" i="3"/>
  <c r="BA35" i="3"/>
  <c r="AU35" i="3"/>
  <c r="AW35" i="3"/>
  <c r="AY35" i="3"/>
  <c r="AZ35" i="3"/>
  <c r="AR35" i="3"/>
  <c r="AR27" i="3"/>
  <c r="AZ27" i="3"/>
  <c r="BA27" i="3"/>
  <c r="AT27" i="3"/>
  <c r="AV27" i="3"/>
  <c r="AW27" i="3"/>
  <c r="AX27" i="3"/>
  <c r="AY19" i="3"/>
  <c r="AW19" i="3"/>
  <c r="AZ19" i="3"/>
  <c r="AS19" i="3"/>
  <c r="AT19" i="3"/>
  <c r="AU19" i="3"/>
  <c r="AW11" i="3"/>
  <c r="AT11" i="3"/>
  <c r="AV11" i="3"/>
  <c r="AY11" i="3"/>
  <c r="AZ11" i="3"/>
  <c r="AR11" i="3"/>
  <c r="AR332" i="4"/>
  <c r="AS332" i="4"/>
  <c r="AU332" i="4"/>
  <c r="AW332" i="4"/>
  <c r="AO332" i="4"/>
  <c r="AX332" i="4"/>
  <c r="AP332" i="4"/>
  <c r="AQ332" i="4"/>
  <c r="AT332" i="4"/>
  <c r="AS324" i="4"/>
  <c r="AX324" i="4"/>
  <c r="AW324" i="4"/>
  <c r="AV324" i="4"/>
  <c r="AQ324" i="4"/>
  <c r="AP324" i="4"/>
  <c r="AO324" i="4"/>
  <c r="AT324" i="4"/>
  <c r="AR316" i="4"/>
  <c r="AP316" i="4"/>
  <c r="AT316" i="4"/>
  <c r="AQ316" i="4"/>
  <c r="AV316" i="4"/>
  <c r="AX316" i="4"/>
  <c r="AW316" i="4"/>
  <c r="AU316" i="4"/>
  <c r="AO316" i="4"/>
  <c r="AS316" i="4"/>
  <c r="AT308" i="4"/>
  <c r="AS308" i="4"/>
  <c r="AP308" i="4"/>
  <c r="AX308" i="4"/>
  <c r="AW308" i="4"/>
  <c r="AO308" i="4"/>
  <c r="AR308" i="4"/>
  <c r="AV308" i="4"/>
  <c r="AQ308" i="4"/>
  <c r="AT300" i="4"/>
  <c r="AX300" i="4"/>
  <c r="AW300" i="4"/>
  <c r="AU300" i="4"/>
  <c r="AP300" i="4"/>
  <c r="AQ300" i="4"/>
  <c r="AV300" i="4"/>
  <c r="AS300" i="4"/>
  <c r="AS292" i="4"/>
  <c r="AO292" i="4"/>
  <c r="AR292" i="4"/>
  <c r="AP292" i="4"/>
  <c r="AU292" i="4"/>
  <c r="AT292" i="4"/>
  <c r="AX292" i="4"/>
  <c r="AT284" i="4"/>
  <c r="AQ284" i="4"/>
  <c r="AV284" i="4"/>
  <c r="AW284" i="4"/>
  <c r="AO284" i="4"/>
  <c r="AX284" i="4"/>
  <c r="AU284" i="4"/>
  <c r="AR276" i="4"/>
  <c r="AP276" i="4"/>
  <c r="AW276" i="4"/>
  <c r="AO276" i="4"/>
  <c r="AQ276" i="4"/>
  <c r="AS276" i="4"/>
  <c r="AV276" i="4"/>
  <c r="AX276" i="4"/>
  <c r="AU276" i="4"/>
  <c r="AS268" i="4"/>
  <c r="AX268" i="4"/>
  <c r="AU268" i="4"/>
  <c r="AP268" i="4"/>
  <c r="AW268" i="4"/>
  <c r="AR268" i="4"/>
  <c r="AV268" i="4"/>
  <c r="AT268" i="4"/>
  <c r="AR260" i="4"/>
  <c r="AO260" i="4"/>
  <c r="AX260" i="4"/>
  <c r="AP260" i="4"/>
  <c r="AW260" i="4"/>
  <c r="AT260" i="4"/>
  <c r="AQ260" i="4"/>
  <c r="AV260" i="4"/>
  <c r="AT252" i="4"/>
  <c r="AW252" i="4"/>
  <c r="AO252" i="4"/>
  <c r="AX252" i="4"/>
  <c r="AQ252" i="4"/>
  <c r="AV252" i="4"/>
  <c r="AP252" i="4"/>
  <c r="AU252" i="4"/>
  <c r="AR252" i="4"/>
  <c r="AS252" i="4"/>
  <c r="AR244" i="4"/>
  <c r="AW244" i="4"/>
  <c r="AO244" i="4"/>
  <c r="AX244" i="4"/>
  <c r="AP244" i="4"/>
  <c r="AS244" i="4"/>
  <c r="AS236" i="4"/>
  <c r="AR236" i="4"/>
  <c r="AW236" i="4"/>
  <c r="AU236" i="4"/>
  <c r="AO236" i="4"/>
  <c r="AQ236" i="4"/>
  <c r="AX236" i="4"/>
  <c r="AV236" i="4"/>
  <c r="AP236" i="4"/>
  <c r="AT236" i="4"/>
  <c r="AP228" i="4"/>
  <c r="AT228" i="4"/>
  <c r="AV228" i="4"/>
  <c r="AU228" i="4"/>
  <c r="AQ228" i="4"/>
  <c r="AS228" i="4"/>
  <c r="AV220" i="4"/>
  <c r="AW220" i="4"/>
  <c r="AP220" i="4"/>
  <c r="AT220" i="4"/>
  <c r="AS212" i="4"/>
  <c r="AO212" i="4"/>
  <c r="AU212" i="4"/>
  <c r="AX212" i="4"/>
  <c r="AQ204" i="4"/>
  <c r="AU204" i="4"/>
  <c r="AP204" i="4"/>
  <c r="AW204" i="4"/>
  <c r="AT204" i="4"/>
  <c r="AV196" i="4"/>
  <c r="AU196" i="4"/>
  <c r="AP196" i="4"/>
  <c r="AW188" i="4"/>
  <c r="AT188" i="4"/>
  <c r="AX188" i="4"/>
  <c r="AQ188" i="4"/>
  <c r="AR180" i="4"/>
  <c r="AX180" i="4"/>
  <c r="AW180" i="4"/>
  <c r="AP180" i="4"/>
  <c r="AT180" i="4"/>
  <c r="AO180" i="4"/>
  <c r="AQ180" i="4"/>
  <c r="AU180" i="4"/>
  <c r="AR172" i="4"/>
  <c r="AV172" i="4"/>
  <c r="AO172" i="4"/>
  <c r="AS172" i="4"/>
  <c r="AP172" i="4"/>
  <c r="AR164" i="4"/>
  <c r="AQ164" i="4"/>
  <c r="AX164" i="4"/>
  <c r="AU164" i="4"/>
  <c r="AW164" i="4"/>
  <c r="AV164" i="4"/>
  <c r="AT164" i="4"/>
  <c r="AR156" i="4"/>
  <c r="AT156" i="4"/>
  <c r="AW156" i="4"/>
  <c r="AO156" i="4"/>
  <c r="AX156" i="4"/>
  <c r="AV156" i="4"/>
  <c r="AQ156" i="4"/>
  <c r="AU156" i="4"/>
  <c r="AS156" i="4"/>
  <c r="AP156" i="4"/>
  <c r="AR148" i="4"/>
  <c r="AX148" i="4"/>
  <c r="AW148" i="4"/>
  <c r="AQ148" i="4"/>
  <c r="AP148" i="4"/>
  <c r="AV148" i="4"/>
  <c r="AT148" i="4"/>
  <c r="AQ140" i="4"/>
  <c r="AV140" i="4"/>
  <c r="AP140" i="4"/>
  <c r="AU140" i="4"/>
  <c r="AT140" i="4"/>
  <c r="AR140" i="4"/>
  <c r="AW140" i="4"/>
  <c r="AS140" i="4"/>
  <c r="AP132" i="4"/>
  <c r="AS132" i="4"/>
  <c r="AX132" i="4"/>
  <c r="AU132" i="4"/>
  <c r="AV132" i="4"/>
  <c r="AW132" i="4"/>
  <c r="AQ132" i="4"/>
  <c r="AT132" i="4"/>
  <c r="AO124" i="4"/>
  <c r="AX124" i="4"/>
  <c r="AT124" i="4"/>
  <c r="AQ124" i="4"/>
  <c r="AU124" i="4"/>
  <c r="AV124" i="4"/>
  <c r="AW124" i="4"/>
  <c r="AP124" i="4"/>
  <c r="AV116" i="4"/>
  <c r="AS116" i="4"/>
  <c r="AU116" i="4"/>
  <c r="AT116" i="4"/>
  <c r="AR116" i="4"/>
  <c r="AX116" i="4"/>
  <c r="AO116" i="4"/>
  <c r="AQ116" i="4"/>
  <c r="AU108" i="4"/>
  <c r="AO108" i="4"/>
  <c r="AQ108" i="4"/>
  <c r="AP108" i="4"/>
  <c r="AR108" i="4"/>
  <c r="AW108" i="4"/>
  <c r="AT108" i="4"/>
  <c r="AX108" i="4"/>
  <c r="AT100" i="4"/>
  <c r="AR100" i="4"/>
  <c r="AQ100" i="4"/>
  <c r="AS100" i="4"/>
  <c r="AP100" i="4"/>
  <c r="AU100" i="4"/>
  <c r="AW100" i="4"/>
  <c r="AR92" i="4"/>
  <c r="AW92" i="4"/>
  <c r="AO92" i="4"/>
  <c r="AU92" i="4"/>
  <c r="AX92" i="4"/>
  <c r="AV92" i="4"/>
  <c r="AT92" i="4"/>
  <c r="AQ92" i="4"/>
  <c r="AP84" i="4"/>
  <c r="AW84" i="4"/>
  <c r="AT84" i="4"/>
  <c r="AS84" i="4"/>
  <c r="AU84" i="4"/>
  <c r="AV84" i="4"/>
  <c r="AQ84" i="4"/>
  <c r="AR84" i="4"/>
  <c r="AX84" i="4"/>
  <c r="AV76" i="4"/>
  <c r="AW76" i="4"/>
  <c r="AS76" i="4"/>
  <c r="AT76" i="4"/>
  <c r="AX76" i="4"/>
  <c r="AU76" i="4"/>
  <c r="AO76" i="4"/>
  <c r="AP76" i="4"/>
  <c r="AT68" i="4"/>
  <c r="AW68" i="4"/>
  <c r="AQ68" i="4"/>
  <c r="AX68" i="4"/>
  <c r="AR68" i="4"/>
  <c r="AP68" i="4"/>
  <c r="AU68" i="4"/>
  <c r="AR60" i="4"/>
  <c r="AQ60" i="4"/>
  <c r="AV60" i="4"/>
  <c r="AU60" i="4"/>
  <c r="AO60" i="4"/>
  <c r="AX60" i="4"/>
  <c r="AT60" i="4"/>
  <c r="AW60" i="4"/>
  <c r="AP60" i="4"/>
  <c r="AP52" i="4"/>
  <c r="AV52" i="4"/>
  <c r="AR52" i="4"/>
  <c r="AU52" i="4"/>
  <c r="AO52" i="4"/>
  <c r="AQ52" i="4"/>
  <c r="AW52" i="4"/>
  <c r="AS52" i="4"/>
  <c r="AT52" i="4"/>
  <c r="AX52" i="4"/>
  <c r="AQ44" i="4"/>
  <c r="AS44" i="4"/>
  <c r="AU44" i="4"/>
  <c r="AP44" i="4"/>
  <c r="AX44" i="4"/>
  <c r="AR44" i="4"/>
  <c r="AW44" i="4"/>
  <c r="AV44" i="4"/>
  <c r="AT44" i="4"/>
  <c r="AO44" i="4"/>
  <c r="AU36" i="4"/>
  <c r="AS36" i="4"/>
  <c r="AP36" i="4"/>
  <c r="AW36" i="4"/>
  <c r="AO36" i="4"/>
  <c r="AQ36" i="4"/>
  <c r="AT36" i="4"/>
  <c r="AV36" i="4"/>
  <c r="AX36" i="4"/>
  <c r="AR36" i="4"/>
  <c r="AO28" i="4"/>
  <c r="AT28" i="4"/>
  <c r="AP28" i="4"/>
  <c r="AU28" i="4"/>
  <c r="AR28" i="4"/>
  <c r="AQ28" i="4"/>
  <c r="AS28" i="4"/>
  <c r="AW28" i="4"/>
  <c r="AV28" i="4"/>
  <c r="AP20" i="4"/>
  <c r="AW20" i="4"/>
  <c r="AU20" i="4"/>
  <c r="AQ20" i="4"/>
  <c r="AV20" i="4"/>
  <c r="AS20" i="4"/>
  <c r="AR20" i="4"/>
  <c r="AO20" i="4"/>
  <c r="AT20" i="4"/>
  <c r="AX20" i="4"/>
  <c r="AS12" i="4"/>
  <c r="AP12" i="4"/>
  <c r="AW12" i="4"/>
  <c r="AQ12" i="4"/>
  <c r="AO12" i="4"/>
  <c r="AX12" i="4"/>
  <c r="AU12" i="4"/>
  <c r="AR12" i="4"/>
  <c r="AT12" i="4"/>
  <c r="AV12" i="4"/>
  <c r="Q139" i="17"/>
  <c r="S139" i="17"/>
  <c r="T139" i="17"/>
  <c r="M139" i="17"/>
  <c r="U139" i="17"/>
  <c r="L139" i="17"/>
  <c r="N139" i="17"/>
  <c r="O139" i="17"/>
  <c r="P139" i="17"/>
  <c r="S131" i="17"/>
  <c r="R131" i="17"/>
  <c r="L131" i="17"/>
  <c r="U131" i="17"/>
  <c r="M131" i="17"/>
  <c r="N131" i="17"/>
  <c r="O131" i="17"/>
  <c r="P131" i="17"/>
  <c r="T131" i="17"/>
  <c r="Q131" i="17"/>
  <c r="N123" i="17"/>
  <c r="Q123" i="17"/>
  <c r="T123" i="17"/>
  <c r="O123" i="17"/>
  <c r="L123" i="17"/>
  <c r="P123" i="17"/>
  <c r="U123" i="17"/>
  <c r="R123" i="17"/>
  <c r="M123" i="17"/>
  <c r="S123" i="17"/>
  <c r="P115" i="17"/>
  <c r="U115" i="17"/>
  <c r="M115" i="17"/>
  <c r="Q115" i="17"/>
  <c r="O115" i="17"/>
  <c r="S115" i="17"/>
  <c r="T115" i="17"/>
  <c r="N115" i="17"/>
  <c r="R115" i="17"/>
  <c r="L115" i="17"/>
  <c r="P107" i="17"/>
  <c r="R107" i="17"/>
  <c r="L107" i="17"/>
  <c r="S107" i="17"/>
  <c r="O107" i="17"/>
  <c r="N107" i="17"/>
  <c r="U107" i="17"/>
  <c r="Q107" i="17"/>
  <c r="M107" i="17"/>
  <c r="T107" i="17"/>
  <c r="R99" i="17"/>
  <c r="Q99" i="17"/>
  <c r="L99" i="17"/>
  <c r="M99" i="17"/>
  <c r="S99" i="17"/>
  <c r="O99" i="17"/>
  <c r="T99" i="17"/>
  <c r="N99" i="17"/>
  <c r="U99" i="17"/>
  <c r="P99" i="17"/>
  <c r="L91" i="17"/>
  <c r="O91" i="17"/>
  <c r="P91" i="17"/>
  <c r="R91" i="17"/>
  <c r="U91" i="17"/>
  <c r="Q91" i="17"/>
  <c r="M91" i="17"/>
  <c r="S91" i="17"/>
  <c r="T91" i="17"/>
  <c r="M83" i="17"/>
  <c r="T83" i="17"/>
  <c r="S83" i="17"/>
  <c r="N83" i="17"/>
  <c r="Q83" i="17"/>
  <c r="O83" i="17"/>
  <c r="L83" i="17"/>
  <c r="R83" i="17"/>
  <c r="P83" i="17"/>
  <c r="U83" i="17"/>
  <c r="O75" i="17"/>
  <c r="L75" i="17"/>
  <c r="Q75" i="17"/>
  <c r="N75" i="17"/>
  <c r="S75" i="17"/>
  <c r="R75" i="17"/>
  <c r="P75" i="17"/>
  <c r="U75" i="17"/>
  <c r="M75" i="17"/>
  <c r="T75" i="17"/>
  <c r="P67" i="17"/>
  <c r="R67" i="17"/>
  <c r="S67" i="17"/>
  <c r="N67" i="17"/>
  <c r="U67" i="17"/>
  <c r="T67" i="17"/>
  <c r="M67" i="17"/>
  <c r="O67" i="17"/>
  <c r="L67" i="17"/>
  <c r="Q67" i="17"/>
  <c r="O59" i="17"/>
  <c r="S59" i="17"/>
  <c r="U59" i="17"/>
  <c r="Q59" i="17"/>
  <c r="N59" i="17"/>
  <c r="M59" i="17"/>
  <c r="T59" i="17"/>
  <c r="P59" i="17"/>
  <c r="R59" i="17"/>
  <c r="L59" i="17"/>
  <c r="U43" i="17"/>
  <c r="T43" i="17"/>
  <c r="O43" i="17"/>
  <c r="S43" i="17"/>
  <c r="P43" i="17"/>
  <c r="Q35" i="17"/>
  <c r="U35" i="17"/>
  <c r="P35" i="17"/>
  <c r="L27" i="17"/>
  <c r="P27" i="17"/>
  <c r="S11" i="17"/>
  <c r="P11" i="17"/>
  <c r="N11" i="17"/>
  <c r="M11" i="17"/>
  <c r="AO164" i="4"/>
  <c r="AZ2910" i="3"/>
  <c r="BA2849" i="3"/>
  <c r="AD1132" i="13"/>
  <c r="AZ2819" i="3"/>
  <c r="AD1136" i="13"/>
  <c r="AZ2851" i="3"/>
  <c r="AX359" i="4"/>
  <c r="BA2885" i="3"/>
  <c r="X1117" i="13"/>
  <c r="AV2885" i="3"/>
  <c r="AW2897" i="3"/>
  <c r="AS2910" i="3"/>
  <c r="X1148" i="13"/>
  <c r="AX377" i="4"/>
  <c r="AZ2971" i="3"/>
  <c r="AE1132" i="13"/>
  <c r="AE1136" i="13"/>
  <c r="AU2929" i="3"/>
  <c r="AV2851" i="3"/>
  <c r="AB1136" i="13"/>
  <c r="AW2885" i="3"/>
  <c r="AS2897" i="3"/>
  <c r="AO359" i="4"/>
  <c r="AS377" i="4"/>
  <c r="AZ2869" i="3"/>
  <c r="AW367" i="4"/>
  <c r="Y1117" i="13"/>
  <c r="AV2869" i="3"/>
  <c r="AY2885" i="3"/>
  <c r="AR2897" i="3"/>
  <c r="AT2897" i="3"/>
  <c r="AU2910" i="3"/>
  <c r="AP359" i="4"/>
  <c r="AA1148" i="13"/>
  <c r="AR377" i="4"/>
  <c r="AR2827" i="3"/>
  <c r="AE1117" i="13"/>
  <c r="AD1117" i="13"/>
  <c r="AZ2891" i="3"/>
  <c r="AW359" i="4"/>
  <c r="BA2876" i="3"/>
  <c r="BA2897" i="3"/>
  <c r="BA2906" i="3"/>
  <c r="Z1117" i="13"/>
  <c r="AR2869" i="3"/>
  <c r="AV2897" i="3"/>
  <c r="AV2910" i="3"/>
  <c r="AX2910" i="3"/>
  <c r="AQ359" i="4"/>
  <c r="AS359" i="4"/>
  <c r="AZ2827" i="3"/>
  <c r="BA2978" i="3"/>
  <c r="AZ2876" i="3"/>
  <c r="AZ2906" i="3"/>
  <c r="AD1148" i="13"/>
  <c r="BA2910" i="3"/>
  <c r="AA1117" i="13"/>
  <c r="AS2869" i="3"/>
  <c r="AX2897" i="3"/>
  <c r="AW2910" i="3"/>
  <c r="AR359" i="4"/>
  <c r="AT359" i="4"/>
  <c r="W1148" i="13"/>
  <c r="AS2827" i="3"/>
  <c r="AW2830" i="3"/>
  <c r="BA2869" i="3"/>
  <c r="AZ2897" i="3"/>
  <c r="BA2819" i="3"/>
  <c r="BA2851" i="3"/>
  <c r="AX367" i="4"/>
  <c r="BA2891" i="3"/>
  <c r="AB1117" i="13"/>
  <c r="AT2869" i="3"/>
  <c r="AW2869" i="3"/>
  <c r="AR2910" i="3"/>
  <c r="AU359" i="4"/>
  <c r="AX2830" i="3"/>
  <c r="AZ2849" i="3"/>
  <c r="W1117" i="13"/>
  <c r="AC1117" i="13"/>
  <c r="AU2869" i="3"/>
  <c r="Z1120" i="13"/>
  <c r="AV2929" i="3"/>
  <c r="AR2874" i="3"/>
  <c r="AY2897" i="3"/>
  <c r="AU2827" i="3"/>
  <c r="AZ2830" i="3"/>
  <c r="AY2957" i="3"/>
  <c r="AA1134" i="13"/>
  <c r="AY2842" i="3"/>
  <c r="AS2859" i="3"/>
  <c r="AS2936" i="3"/>
  <c r="AV2936" i="3"/>
  <c r="AU2937" i="3"/>
  <c r="AU2817" i="3"/>
  <c r="AY2817" i="3"/>
  <c r="AR2999" i="3"/>
  <c r="AY3020" i="3"/>
  <c r="AT3007" i="3"/>
  <c r="X1130" i="13"/>
  <c r="AB1134" i="13"/>
  <c r="AV2842" i="3"/>
  <c r="AX2856" i="3"/>
  <c r="AW2859" i="3"/>
  <c r="AU2779" i="3"/>
  <c r="AU2859" i="3"/>
  <c r="AY2937" i="3"/>
  <c r="AR2937" i="3"/>
  <c r="AW2937" i="3"/>
  <c r="AU2999" i="3"/>
  <c r="AC1130" i="13"/>
  <c r="AB1130" i="13"/>
  <c r="AT2957" i="3"/>
  <c r="AX2842" i="3"/>
  <c r="AT2850" i="3"/>
  <c r="AX2779" i="3"/>
  <c r="AV2859" i="3"/>
  <c r="AB1141" i="13"/>
  <c r="AW2798" i="3"/>
  <c r="AX2936" i="3"/>
  <c r="AV2999" i="3"/>
  <c r="AU3020" i="3"/>
  <c r="AX3020" i="3"/>
  <c r="Z1130" i="13"/>
  <c r="AX3007" i="3"/>
  <c r="AU2957" i="3"/>
  <c r="W1134" i="13"/>
  <c r="AS2842" i="3"/>
  <c r="AU2850" i="3"/>
  <c r="AY2779" i="3"/>
  <c r="AS2856" i="3"/>
  <c r="AR2857" i="3"/>
  <c r="AX2798" i="3"/>
  <c r="AT2794" i="3"/>
  <c r="AS2937" i="3"/>
  <c r="AS2817" i="3"/>
  <c r="AY2999" i="3"/>
  <c r="V1130" i="13"/>
  <c r="AR3007" i="3"/>
  <c r="AW2957" i="3"/>
  <c r="Z1134" i="13"/>
  <c r="AU2842" i="3"/>
  <c r="AT2842" i="3"/>
  <c r="AX2850" i="3"/>
  <c r="AU2856" i="3"/>
  <c r="AT2779" i="3"/>
  <c r="AR2859" i="3"/>
  <c r="AB1157" i="13"/>
  <c r="AU2996" i="3"/>
  <c r="Z1163" i="13"/>
  <c r="AS375" i="4"/>
  <c r="AA1176" i="13"/>
  <c r="AV2799" i="3"/>
  <c r="AT2799" i="3"/>
  <c r="W1182" i="13"/>
  <c r="AU378" i="4"/>
  <c r="U151" i="17"/>
  <c r="AU2792" i="3"/>
  <c r="AA1163" i="13"/>
  <c r="AV2984" i="3"/>
  <c r="AR375" i="4"/>
  <c r="Y1176" i="13"/>
  <c r="AU2799" i="3"/>
  <c r="AU2987" i="3"/>
  <c r="X1182" i="13"/>
  <c r="AW378" i="4"/>
  <c r="O150" i="17"/>
  <c r="AS2790" i="3"/>
  <c r="AX2965" i="3"/>
  <c r="AS2829" i="3"/>
  <c r="AY2829" i="3"/>
  <c r="AV2832" i="3"/>
  <c r="AU2835" i="3"/>
  <c r="AV2792" i="3"/>
  <c r="AA1130" i="13"/>
  <c r="AX2957" i="3"/>
  <c r="Y1134" i="13"/>
  <c r="AU365" i="4"/>
  <c r="W1157" i="13"/>
  <c r="AC1157" i="13"/>
  <c r="AB1163" i="13"/>
  <c r="AC1163" i="13"/>
  <c r="AW2984" i="3"/>
  <c r="AQ372" i="4"/>
  <c r="AP375" i="4"/>
  <c r="AB1176" i="13"/>
  <c r="AS2799" i="3"/>
  <c r="AX2987" i="3"/>
  <c r="Y1182" i="13"/>
  <c r="AA1182" i="13"/>
  <c r="AQ378" i="4"/>
  <c r="N149" i="17"/>
  <c r="AC1187" i="13"/>
  <c r="BA3012" i="3"/>
  <c r="AT2829" i="3"/>
  <c r="AW2792" i="3"/>
  <c r="Y1157" i="13"/>
  <c r="AW2996" i="3"/>
  <c r="AS372" i="4"/>
  <c r="AW372" i="4"/>
  <c r="AO375" i="4"/>
  <c r="AQ375" i="4"/>
  <c r="AR2799" i="3"/>
  <c r="AS2987" i="3"/>
  <c r="Z1182" i="13"/>
  <c r="AE1182" i="13"/>
  <c r="P149" i="17"/>
  <c r="M151" i="17"/>
  <c r="AY2832" i="3"/>
  <c r="AX2835" i="3"/>
  <c r="AZ2792" i="3"/>
  <c r="AA1157" i="13"/>
  <c r="X1163" i="13"/>
  <c r="AU372" i="4"/>
  <c r="AD1176" i="13"/>
  <c r="AR2987" i="3"/>
  <c r="AC1182" i="13"/>
  <c r="AT2996" i="3"/>
  <c r="Q146" i="17"/>
  <c r="Y1163" i="13"/>
  <c r="AV372" i="4"/>
  <c r="AT375" i="4"/>
  <c r="V1176" i="13"/>
  <c r="AW2799" i="3"/>
  <c r="T151" i="17"/>
  <c r="AX2829" i="3"/>
  <c r="AT2792" i="3"/>
  <c r="AU377" i="4"/>
  <c r="AT378" i="4"/>
  <c r="AC1185" i="13"/>
  <c r="R149" i="17"/>
  <c r="P150" i="17"/>
  <c r="P151" i="17"/>
  <c r="AW2965" i="3"/>
  <c r="AS2965" i="3"/>
  <c r="AS2830" i="3"/>
  <c r="AY2830" i="3"/>
  <c r="AQ346" i="4"/>
  <c r="AR2984" i="3"/>
  <c r="AR378" i="4"/>
  <c r="AP378" i="4"/>
  <c r="AE1185" i="13"/>
  <c r="S149" i="17"/>
  <c r="Q150" i="17"/>
  <c r="Q151" i="17"/>
  <c r="P152" i="17"/>
  <c r="AZ2965" i="3"/>
  <c r="AV2965" i="3"/>
  <c r="AT2827" i="3"/>
  <c r="AV2827" i="3"/>
  <c r="AT2830" i="3"/>
  <c r="AS378" i="4"/>
  <c r="T149" i="17"/>
  <c r="S150" i="17"/>
  <c r="O151" i="17"/>
  <c r="AR2965" i="3"/>
  <c r="AY2965" i="3"/>
  <c r="BA2827" i="3"/>
  <c r="AU2830" i="3"/>
  <c r="BA2830" i="3"/>
  <c r="AD1182" i="13"/>
  <c r="AX378" i="4"/>
  <c r="M149" i="17"/>
  <c r="U149" i="17"/>
  <c r="T150" i="17"/>
  <c r="R151" i="17"/>
  <c r="AU2965" i="3"/>
  <c r="AY2967" i="3"/>
  <c r="AW2827" i="3"/>
  <c r="AV2829" i="3"/>
  <c r="AV2830" i="3"/>
  <c r="AS2832" i="3"/>
  <c r="AY2835" i="3"/>
  <c r="AP377" i="4"/>
  <c r="AV378" i="4"/>
  <c r="BA2965" i="3"/>
  <c r="AY2827" i="3"/>
  <c r="AX177" i="4"/>
  <c r="AV217" i="4"/>
  <c r="AQ305" i="4"/>
  <c r="AW209" i="4"/>
  <c r="AW137" i="4"/>
  <c r="AS193" i="4"/>
  <c r="AP81" i="4"/>
  <c r="AX305" i="4"/>
  <c r="AX348" i="4"/>
  <c r="AP345" i="4"/>
  <c r="AV345" i="4"/>
  <c r="AV342" i="4"/>
  <c r="AV2819" i="3"/>
  <c r="AR2849" i="3"/>
  <c r="AW2851" i="3"/>
  <c r="AC1136" i="13"/>
  <c r="AX2808" i="3"/>
  <c r="AR2806" i="3"/>
  <c r="AW2886" i="3"/>
  <c r="AX2918" i="3"/>
  <c r="AY2898" i="3"/>
  <c r="AV2894" i="3"/>
  <c r="AS2892" i="3"/>
  <c r="AT2892" i="3"/>
  <c r="AQ362" i="4"/>
  <c r="AS370" i="4"/>
  <c r="AW2919" i="3"/>
  <c r="AW2813" i="3"/>
  <c r="AX376" i="4"/>
  <c r="AS297" i="4"/>
  <c r="AO233" i="4"/>
  <c r="AT177" i="4"/>
  <c r="AW342" i="4"/>
  <c r="AQ345" i="4"/>
  <c r="AC1132" i="13"/>
  <c r="Z1132" i="13"/>
  <c r="X1132" i="13"/>
  <c r="W1132" i="13"/>
  <c r="W1136" i="13"/>
  <c r="AW2806" i="3"/>
  <c r="AX2886" i="3"/>
  <c r="AY2918" i="3"/>
  <c r="AR2898" i="3"/>
  <c r="AS2894" i="3"/>
  <c r="AY2894" i="3"/>
  <c r="AY2907" i="3"/>
  <c r="AR362" i="4"/>
  <c r="AT362" i="4"/>
  <c r="AT370" i="4"/>
  <c r="AS2919" i="3"/>
  <c r="V1154" i="13"/>
  <c r="Y1154" i="13"/>
  <c r="AU105" i="4"/>
  <c r="AU297" i="4"/>
  <c r="AQ161" i="4"/>
  <c r="AW297" i="4"/>
  <c r="AP177" i="4"/>
  <c r="AR89" i="4"/>
  <c r="AR345" i="4"/>
  <c r="AW2819" i="3"/>
  <c r="V1132" i="13"/>
  <c r="AX2849" i="3"/>
  <c r="AU2849" i="3"/>
  <c r="AW2808" i="3"/>
  <c r="AX2806" i="3"/>
  <c r="AY2886" i="3"/>
  <c r="AU2894" i="3"/>
  <c r="AX2892" i="3"/>
  <c r="AW2898" i="3"/>
  <c r="AW2894" i="3"/>
  <c r="W1154" i="13"/>
  <c r="AX2813" i="3"/>
  <c r="AY2990" i="3"/>
  <c r="AP376" i="4"/>
  <c r="AX41" i="4"/>
  <c r="AR81" i="4"/>
  <c r="AU169" i="4"/>
  <c r="AO305" i="4"/>
  <c r="AP193" i="4"/>
  <c r="AW145" i="4"/>
  <c r="AQ129" i="4"/>
  <c r="AP225" i="4"/>
  <c r="AX345" i="4"/>
  <c r="AQ342" i="4"/>
  <c r="AS2821" i="3"/>
  <c r="AB1132" i="13"/>
  <c r="AS2819" i="3"/>
  <c r="AU2819" i="3"/>
  <c r="AW2849" i="3"/>
  <c r="AS2849" i="3"/>
  <c r="AR2851" i="3"/>
  <c r="AY2851" i="3"/>
  <c r="Z1136" i="13"/>
  <c r="AS2808" i="3"/>
  <c r="AY2808" i="3"/>
  <c r="AR2808" i="3"/>
  <c r="AS2918" i="3"/>
  <c r="AA1146" i="13"/>
  <c r="AV2892" i="3"/>
  <c r="AR2894" i="3"/>
  <c r="AV2907" i="3"/>
  <c r="AU362" i="4"/>
  <c r="AU370" i="4"/>
  <c r="AV370" i="4"/>
  <c r="AT2919" i="3"/>
  <c r="AY2813" i="3"/>
  <c r="W1160" i="13"/>
  <c r="AQ376" i="4"/>
  <c r="AP33" i="4"/>
  <c r="AP89" i="4"/>
  <c r="AR209" i="4"/>
  <c r="AR65" i="4"/>
  <c r="AR49" i="4"/>
  <c r="AT201" i="4"/>
  <c r="AX185" i="4"/>
  <c r="AR217" i="4"/>
  <c r="AW345" i="4"/>
  <c r="AS345" i="4"/>
  <c r="AR342" i="4"/>
  <c r="AA1132" i="13"/>
  <c r="AS2851" i="3"/>
  <c r="AA1136" i="13"/>
  <c r="AY2806" i="3"/>
  <c r="AT2808" i="3"/>
  <c r="AU2806" i="3"/>
  <c r="AS2886" i="3"/>
  <c r="AT2918" i="3"/>
  <c r="AV362" i="4"/>
  <c r="AP370" i="4"/>
  <c r="AR2919" i="3"/>
  <c r="AC1154" i="13"/>
  <c r="AV376" i="4"/>
  <c r="AR97" i="4"/>
  <c r="AW217" i="4"/>
  <c r="AQ73" i="4"/>
  <c r="AU305" i="4"/>
  <c r="AW265" i="4"/>
  <c r="AS225" i="4"/>
  <c r="AS342" i="4"/>
  <c r="AT2819" i="3"/>
  <c r="AY2819" i="3"/>
  <c r="AY2849" i="3"/>
  <c r="AV2849" i="3"/>
  <c r="AT2851" i="3"/>
  <c r="V1136" i="13"/>
  <c r="AS2806" i="3"/>
  <c r="AT2886" i="3"/>
  <c r="AU2918" i="3"/>
  <c r="AX2894" i="3"/>
  <c r="AR2907" i="3"/>
  <c r="AQ370" i="4"/>
  <c r="AV2919" i="3"/>
  <c r="AT2813" i="3"/>
  <c r="AA1175" i="13"/>
  <c r="AZ2812" i="3"/>
  <c r="AS376" i="4"/>
  <c r="AS33" i="4"/>
  <c r="AS129" i="4"/>
  <c r="AO169" i="4"/>
  <c r="AO161" i="4"/>
  <c r="AT97" i="4"/>
  <c r="AQ57" i="4"/>
  <c r="AT345" i="4"/>
  <c r="AT342" i="4"/>
  <c r="AR2819" i="3"/>
  <c r="AU2851" i="3"/>
  <c r="Y1136" i="13"/>
  <c r="AU2886" i="3"/>
  <c r="AV2918" i="3"/>
  <c r="AS2898" i="3"/>
  <c r="AX2898" i="3"/>
  <c r="AS362" i="4"/>
  <c r="AR370" i="4"/>
  <c r="AX2919" i="3"/>
  <c r="Z1154" i="13"/>
  <c r="X1154" i="13"/>
  <c r="AS2813" i="3"/>
  <c r="AV2813" i="3"/>
  <c r="AT2825" i="3"/>
  <c r="AV3008" i="3"/>
  <c r="AO64" i="4"/>
  <c r="AQ64" i="4"/>
  <c r="AX64" i="4"/>
  <c r="AR64" i="4"/>
  <c r="AV64" i="4"/>
  <c r="AU64" i="4"/>
  <c r="AS56" i="4"/>
  <c r="AV56" i="4"/>
  <c r="AT56" i="4"/>
  <c r="AX56" i="4"/>
  <c r="AR56" i="4"/>
  <c r="AU56" i="4"/>
  <c r="AO56" i="4"/>
  <c r="AW56" i="4"/>
  <c r="AP56" i="4"/>
  <c r="AT48" i="4"/>
  <c r="AX48" i="4"/>
  <c r="AV48" i="4"/>
  <c r="AS48" i="4"/>
  <c r="AQ48" i="4"/>
  <c r="AW48" i="4"/>
  <c r="AO48" i="4"/>
  <c r="AU48" i="4"/>
  <c r="AR48" i="4"/>
  <c r="AT24" i="4"/>
  <c r="AS24" i="4"/>
  <c r="AV24" i="4"/>
  <c r="AP24" i="4"/>
  <c r="AX24" i="4"/>
  <c r="AO24" i="4"/>
  <c r="AW24" i="4"/>
  <c r="AQ24" i="4"/>
  <c r="AR16" i="4"/>
  <c r="AU16" i="4"/>
  <c r="AS16" i="4"/>
  <c r="AV16" i="4"/>
  <c r="AT16" i="4"/>
  <c r="AO16" i="4"/>
  <c r="AW16" i="4"/>
  <c r="AP16" i="4"/>
  <c r="AX16" i="4"/>
  <c r="N143" i="17"/>
  <c r="S143" i="17"/>
  <c r="O143" i="17"/>
  <c r="U143" i="17"/>
  <c r="P143" i="17"/>
  <c r="M143" i="17"/>
  <c r="L143" i="17"/>
  <c r="T143" i="17"/>
  <c r="Q143" i="17"/>
  <c r="T135" i="17"/>
  <c r="M135" i="17"/>
  <c r="Q135" i="17"/>
  <c r="U135" i="17"/>
  <c r="R135" i="17"/>
  <c r="O135" i="17"/>
  <c r="S135" i="17"/>
  <c r="P135" i="17"/>
  <c r="L135" i="17"/>
  <c r="U127" i="17"/>
  <c r="L127" i="17"/>
  <c r="S127" i="17"/>
  <c r="O127" i="17"/>
  <c r="M127" i="17"/>
  <c r="P127" i="17"/>
  <c r="N127" i="17"/>
  <c r="Q127" i="17"/>
  <c r="R127" i="17"/>
  <c r="S119" i="17"/>
  <c r="L119" i="17"/>
  <c r="P119" i="17"/>
  <c r="R119" i="17"/>
  <c r="U119" i="17"/>
  <c r="N119" i="17"/>
  <c r="Q119" i="17"/>
  <c r="O119" i="17"/>
  <c r="T119" i="17"/>
  <c r="P111" i="17"/>
  <c r="O111" i="17"/>
  <c r="R111" i="17"/>
  <c r="Q111" i="17"/>
  <c r="N111" i="17"/>
  <c r="S111" i="17"/>
  <c r="L111" i="17"/>
  <c r="T111" i="17"/>
  <c r="M111" i="17"/>
  <c r="L103" i="17"/>
  <c r="Q103" i="17"/>
  <c r="U103" i="17"/>
  <c r="P103" i="17"/>
  <c r="T103" i="17"/>
  <c r="R103" i="17"/>
  <c r="M103" i="17"/>
  <c r="S103" i="17"/>
  <c r="O103" i="17"/>
  <c r="N103" i="17"/>
  <c r="O95" i="17"/>
  <c r="N95" i="17"/>
  <c r="Q95" i="17"/>
  <c r="T95" i="17"/>
  <c r="R95" i="17"/>
  <c r="S95" i="17"/>
  <c r="L95" i="17"/>
  <c r="U95" i="17"/>
  <c r="N87" i="17"/>
  <c r="M87" i="17"/>
  <c r="Q87" i="17"/>
  <c r="T87" i="17"/>
  <c r="O87" i="17"/>
  <c r="L87" i="17"/>
  <c r="P87" i="17"/>
  <c r="R87" i="17"/>
  <c r="S87" i="17"/>
  <c r="L64" i="17"/>
  <c r="M64" i="17"/>
  <c r="U64" i="17"/>
  <c r="P64" i="17"/>
  <c r="O64" i="17"/>
  <c r="T64" i="17"/>
  <c r="N64" i="17"/>
  <c r="Q64" i="17"/>
  <c r="R64" i="17"/>
  <c r="N49" i="17"/>
  <c r="U49" i="17"/>
  <c r="P49" i="17"/>
  <c r="Q49" i="17"/>
  <c r="S49" i="17"/>
  <c r="L49" i="17"/>
  <c r="T49" i="17"/>
  <c r="M41" i="17"/>
  <c r="N41" i="17"/>
  <c r="Q41" i="17"/>
  <c r="P41" i="17"/>
  <c r="R41" i="17"/>
  <c r="S41" i="17"/>
  <c r="L41" i="17"/>
  <c r="M33" i="17"/>
  <c r="O33" i="17"/>
  <c r="R33" i="17"/>
  <c r="U33" i="17"/>
  <c r="S33" i="17"/>
  <c r="L33" i="17"/>
  <c r="T33" i="17"/>
  <c r="Q25" i="17"/>
  <c r="P25" i="17"/>
  <c r="U25" i="17"/>
  <c r="S25" i="17"/>
  <c r="M25" i="17"/>
  <c r="L25" i="17"/>
  <c r="T25" i="17"/>
  <c r="N25" i="17"/>
  <c r="U17" i="17"/>
  <c r="R17" i="17"/>
  <c r="M17" i="17"/>
  <c r="S17" i="17"/>
  <c r="L17" i="17"/>
  <c r="T17" i="17"/>
  <c r="N17" i="17"/>
  <c r="O17" i="17"/>
  <c r="AQ151" i="4"/>
  <c r="AO151" i="4"/>
  <c r="AU151" i="4"/>
  <c r="AW151" i="4"/>
  <c r="AT151" i="4"/>
  <c r="AR151" i="4"/>
  <c r="AP151" i="4"/>
  <c r="AQ135" i="4"/>
  <c r="AO135" i="4"/>
  <c r="AW135" i="4"/>
  <c r="AP135" i="4"/>
  <c r="AT135" i="4"/>
  <c r="AU135" i="4"/>
  <c r="AV135" i="4"/>
  <c r="AR135" i="4"/>
  <c r="AS135" i="4"/>
  <c r="AX135" i="4"/>
  <c r="AW127" i="4"/>
  <c r="AP127" i="4"/>
  <c r="AU127" i="4"/>
  <c r="AO127" i="4"/>
  <c r="AR127" i="4"/>
  <c r="AS127" i="4"/>
  <c r="AX127" i="4"/>
  <c r="AT127" i="4"/>
  <c r="AP119" i="4"/>
  <c r="AW119" i="4"/>
  <c r="AU119" i="4"/>
  <c r="AO119" i="4"/>
  <c r="AV119" i="4"/>
  <c r="AQ119" i="4"/>
  <c r="AR119" i="4"/>
  <c r="AX119" i="4"/>
  <c r="AS119" i="4"/>
  <c r="AW103" i="4"/>
  <c r="AP103" i="4"/>
  <c r="AS103" i="4"/>
  <c r="AO103" i="4"/>
  <c r="AX103" i="4"/>
  <c r="AV103" i="4"/>
  <c r="AU103" i="4"/>
  <c r="AQ103" i="4"/>
  <c r="AT103" i="4"/>
  <c r="AR103" i="4"/>
  <c r="AR95" i="4"/>
  <c r="AX95" i="4"/>
  <c r="AQ95" i="4"/>
  <c r="AS95" i="4"/>
  <c r="AT95" i="4"/>
  <c r="AV95" i="4"/>
  <c r="AO95" i="4"/>
  <c r="AW95" i="4"/>
  <c r="AP87" i="4"/>
  <c r="AR87" i="4"/>
  <c r="AX87" i="4"/>
  <c r="AT87" i="4"/>
  <c r="AW87" i="4"/>
  <c r="AU87" i="4"/>
  <c r="AQ87" i="4"/>
  <c r="AV87" i="4"/>
  <c r="AS87" i="4"/>
  <c r="AO87" i="4"/>
  <c r="AR71" i="4"/>
  <c r="AQ71" i="4"/>
  <c r="AP71" i="4"/>
  <c r="AX71" i="4"/>
  <c r="AS71" i="4"/>
  <c r="AV71" i="4"/>
  <c r="AT71" i="4"/>
  <c r="AU71" i="4"/>
  <c r="AO71" i="4"/>
  <c r="AQ158" i="4"/>
  <c r="AR158" i="4"/>
  <c r="AU158" i="4"/>
  <c r="AT158" i="4"/>
  <c r="AP158" i="4"/>
  <c r="AO158" i="4"/>
  <c r="AS181" i="4"/>
  <c r="AV181" i="4"/>
  <c r="AV173" i="4"/>
  <c r="AP173" i="4"/>
  <c r="AO173" i="4"/>
  <c r="AQ173" i="4"/>
  <c r="AR173" i="4"/>
  <c r="AX173" i="4"/>
  <c r="AS173" i="4"/>
  <c r="AU173" i="4"/>
  <c r="AW173" i="4"/>
  <c r="AP165" i="4"/>
  <c r="AT165" i="4"/>
  <c r="AW165" i="4"/>
  <c r="AS165" i="4"/>
  <c r="AQ165" i="4"/>
  <c r="AX165" i="4"/>
  <c r="AU165" i="4"/>
  <c r="AO165" i="4"/>
  <c r="AR165" i="4"/>
  <c r="AR228" i="4"/>
  <c r="AO228" i="4"/>
  <c r="AW228" i="4"/>
  <c r="AX228" i="4"/>
  <c r="AS220" i="4"/>
  <c r="AQ220" i="4"/>
  <c r="AO220" i="4"/>
  <c r="AR212" i="4"/>
  <c r="AP212" i="4"/>
  <c r="AV212" i="4"/>
  <c r="AQ212" i="4"/>
  <c r="AW212" i="4"/>
  <c r="AS204" i="4"/>
  <c r="AR204" i="4"/>
  <c r="AX204" i="4"/>
  <c r="AO204" i="4"/>
  <c r="AR196" i="4"/>
  <c r="AW196" i="4"/>
  <c r="AO196" i="4"/>
  <c r="AQ196" i="4"/>
  <c r="AX196" i="4"/>
  <c r="AS196" i="4"/>
  <c r="AR188" i="4"/>
  <c r="AS188" i="4"/>
  <c r="AO188" i="4"/>
  <c r="AV188" i="4"/>
  <c r="AU188" i="4"/>
  <c r="AS337" i="4"/>
  <c r="AV337" i="4"/>
  <c r="AT337" i="4"/>
  <c r="AR337" i="4"/>
  <c r="AU337" i="4"/>
  <c r="AQ337" i="4"/>
  <c r="AP337" i="4"/>
  <c r="AO337" i="4"/>
  <c r="AX337" i="4"/>
  <c r="AW329" i="4"/>
  <c r="AS329" i="4"/>
  <c r="AX329" i="4"/>
  <c r="AV329" i="4"/>
  <c r="AQ329" i="4"/>
  <c r="AO329" i="4"/>
  <c r="AP329" i="4"/>
  <c r="AR329" i="4"/>
  <c r="AT329" i="4"/>
  <c r="AS313" i="4"/>
  <c r="AR313" i="4"/>
  <c r="AQ313" i="4"/>
  <c r="AU313" i="4"/>
  <c r="AT313" i="4"/>
  <c r="AO313" i="4"/>
  <c r="AW313" i="4"/>
  <c r="AT306" i="4"/>
  <c r="AV306" i="4"/>
  <c r="AS306" i="4"/>
  <c r="AU306" i="4"/>
  <c r="AP306" i="4"/>
  <c r="AW306" i="4"/>
  <c r="AX306" i="4"/>
  <c r="AO306" i="4"/>
  <c r="AR306" i="4"/>
  <c r="AQ306" i="4"/>
  <c r="AO299" i="4"/>
  <c r="AQ299" i="4"/>
  <c r="AX299" i="4"/>
  <c r="AU299" i="4"/>
  <c r="AP299" i="4"/>
  <c r="AW299" i="4"/>
  <c r="AR299" i="4"/>
  <c r="AV299" i="4"/>
  <c r="AT299" i="4"/>
  <c r="AO291" i="4"/>
  <c r="AS291" i="4"/>
  <c r="AQ291" i="4"/>
  <c r="AV291" i="4"/>
  <c r="AX291" i="4"/>
  <c r="AW291" i="4"/>
  <c r="AP291" i="4"/>
  <c r="AR291" i="4"/>
  <c r="AU291" i="4"/>
  <c r="AU283" i="4"/>
  <c r="AR283" i="4"/>
  <c r="AP283" i="4"/>
  <c r="AQ283" i="4"/>
  <c r="AT283" i="4"/>
  <c r="AW283" i="4"/>
  <c r="AO283" i="4"/>
  <c r="AS283" i="4"/>
  <c r="AV283" i="4"/>
  <c r="AU275" i="4"/>
  <c r="AR275" i="4"/>
  <c r="AX275" i="4"/>
  <c r="AQ275" i="4"/>
  <c r="AP275" i="4"/>
  <c r="AW275" i="4"/>
  <c r="AO275" i="4"/>
  <c r="AT275" i="4"/>
  <c r="AV275" i="4"/>
  <c r="AR267" i="4"/>
  <c r="AV267" i="4"/>
  <c r="AW267" i="4"/>
  <c r="AX267" i="4"/>
  <c r="AO267" i="4"/>
  <c r="AU267" i="4"/>
  <c r="AQ267" i="4"/>
  <c r="AP267" i="4"/>
  <c r="AT267" i="4"/>
  <c r="AO259" i="4"/>
  <c r="AX259" i="4"/>
  <c r="AP259" i="4"/>
  <c r="AV259" i="4"/>
  <c r="AS259" i="4"/>
  <c r="AT259" i="4"/>
  <c r="AR259" i="4"/>
  <c r="AW259" i="4"/>
  <c r="AU259" i="4"/>
  <c r="AT251" i="4"/>
  <c r="AV251" i="4"/>
  <c r="AU251" i="4"/>
  <c r="AX251" i="4"/>
  <c r="AP251" i="4"/>
  <c r="AS251" i="4"/>
  <c r="AQ251" i="4"/>
  <c r="AW251" i="4"/>
  <c r="AO251" i="4"/>
  <c r="AS243" i="4"/>
  <c r="AU243" i="4"/>
  <c r="AR243" i="4"/>
  <c r="AT243" i="4"/>
  <c r="AQ243" i="4"/>
  <c r="AW243" i="4"/>
  <c r="AX243" i="4"/>
  <c r="AO243" i="4"/>
  <c r="AQ235" i="4"/>
  <c r="AV235" i="4"/>
  <c r="AW235" i="4"/>
  <c r="AT235" i="4"/>
  <c r="AO235" i="4"/>
  <c r="AS235" i="4"/>
  <c r="AP235" i="4"/>
  <c r="AU235" i="4"/>
  <c r="AR235" i="4"/>
  <c r="AX235" i="4"/>
  <c r="AZ2786" i="3"/>
  <c r="AX338" i="4"/>
  <c r="BA2991" i="3"/>
  <c r="BA2959" i="3"/>
  <c r="AW2991" i="3"/>
  <c r="AT2930" i="3"/>
  <c r="AT2959" i="3"/>
  <c r="V1142" i="13"/>
  <c r="AZ2784" i="3"/>
  <c r="BA2784" i="3"/>
  <c r="AW351" i="4"/>
  <c r="AZ2853" i="3"/>
  <c r="AT2782" i="3"/>
  <c r="AY2991" i="3"/>
  <c r="AU2930" i="3"/>
  <c r="AW2959" i="3"/>
  <c r="Y1125" i="13"/>
  <c r="AV351" i="4"/>
  <c r="AC1142" i="13"/>
  <c r="AY2987" i="3"/>
  <c r="AT376" i="4"/>
  <c r="AU379" i="4"/>
  <c r="AV2825" i="3"/>
  <c r="AZ2787" i="3"/>
  <c r="AZ2991" i="3"/>
  <c r="AW2782" i="3"/>
  <c r="AO338" i="4"/>
  <c r="AV2930" i="3"/>
  <c r="AY2941" i="3"/>
  <c r="Z1125" i="13"/>
  <c r="AC1125" i="13"/>
  <c r="X1125" i="13"/>
  <c r="Z1142" i="13"/>
  <c r="AZ2959" i="3"/>
  <c r="AV2782" i="3"/>
  <c r="AR2991" i="3"/>
  <c r="AQ338" i="4"/>
  <c r="AP338" i="4"/>
  <c r="AW2930" i="3"/>
  <c r="V1125" i="13"/>
  <c r="AB1125" i="13"/>
  <c r="AX2959" i="3"/>
  <c r="AV2959" i="3"/>
  <c r="Y1142" i="13"/>
  <c r="AU376" i="4"/>
  <c r="AX379" i="4"/>
  <c r="AE1123" i="13"/>
  <c r="AX351" i="4"/>
  <c r="AE1142" i="13"/>
  <c r="AS2991" i="3"/>
  <c r="AS338" i="4"/>
  <c r="AY2930" i="3"/>
  <c r="AY2959" i="3"/>
  <c r="X1142" i="13"/>
  <c r="AY2825" i="3"/>
  <c r="AQ377" i="4"/>
  <c r="AD1123" i="13"/>
  <c r="BA2782" i="3"/>
  <c r="AW338" i="4"/>
  <c r="BA2787" i="3"/>
  <c r="BA3009" i="3"/>
  <c r="AU2782" i="3"/>
  <c r="AS2782" i="3"/>
  <c r="AT2991" i="3"/>
  <c r="AU338" i="4"/>
  <c r="AR338" i="4"/>
  <c r="AA1125" i="13"/>
  <c r="AZ2785" i="3"/>
  <c r="AZ2782" i="3"/>
  <c r="AE1125" i="13"/>
  <c r="AD1125" i="13"/>
  <c r="AX2782" i="3"/>
  <c r="AU2991" i="3"/>
  <c r="AR2930" i="3"/>
  <c r="AU3008" i="3"/>
  <c r="AR2803" i="3"/>
  <c r="M147" i="17"/>
  <c r="S147" i="17"/>
  <c r="AP372" i="4"/>
  <c r="AC1176" i="13"/>
  <c r="AZ2987" i="3"/>
  <c r="AW2987" i="3"/>
  <c r="AR376" i="4"/>
  <c r="AE1184" i="13"/>
  <c r="AO32" i="4"/>
  <c r="AQ32" i="4"/>
  <c r="AS32" i="4"/>
  <c r="AX32" i="4"/>
  <c r="AP32" i="4"/>
  <c r="AT32" i="4"/>
  <c r="AU32" i="4"/>
  <c r="AW32" i="4"/>
  <c r="AV32" i="4"/>
  <c r="D69" i="34"/>
  <c r="AU893" i="3"/>
  <c r="AU885" i="3"/>
  <c r="AU877" i="3"/>
  <c r="AU869" i="3"/>
  <c r="AU861" i="3"/>
  <c r="AU853" i="3"/>
  <c r="AU845" i="3"/>
  <c r="AU837" i="3"/>
  <c r="AU829" i="3"/>
  <c r="AU821" i="3"/>
  <c r="AU813" i="3"/>
  <c r="AU805" i="3"/>
  <c r="AU797" i="3"/>
  <c r="AU789" i="3"/>
  <c r="AS157" i="4"/>
  <c r="AQ157" i="4"/>
  <c r="AU157" i="4"/>
  <c r="AW157" i="4"/>
  <c r="AX157" i="4"/>
  <c r="AO157" i="4"/>
  <c r="AT157" i="4"/>
  <c r="AW55" i="4"/>
  <c r="AX55" i="4"/>
  <c r="AS55" i="4"/>
  <c r="AU55" i="4"/>
  <c r="AV55" i="4"/>
  <c r="AT55" i="4"/>
  <c r="AO55" i="4"/>
  <c r="AQ55" i="4"/>
  <c r="AT885" i="3"/>
  <c r="AT877" i="3"/>
  <c r="AT869" i="3"/>
  <c r="AT861" i="3"/>
  <c r="AT853" i="3"/>
  <c r="AT845" i="3"/>
  <c r="AT837" i="3"/>
  <c r="AT829" i="3"/>
  <c r="AT821" i="3"/>
  <c r="AT813" i="3"/>
  <c r="AT805" i="3"/>
  <c r="AT797" i="3"/>
  <c r="AT789" i="3"/>
  <c r="AQ289" i="4"/>
  <c r="AP289" i="4"/>
  <c r="AW289" i="4"/>
  <c r="AS289" i="4"/>
  <c r="AR289" i="4"/>
  <c r="AT281" i="4"/>
  <c r="AS281" i="4"/>
  <c r="AU281" i="4"/>
  <c r="AR281" i="4"/>
  <c r="AV281" i="4"/>
  <c r="AR273" i="4"/>
  <c r="AQ273" i="4"/>
  <c r="AU273" i="4"/>
  <c r="AP273" i="4"/>
  <c r="AW273" i="4"/>
  <c r="AO265" i="4"/>
  <c r="AS265" i="4"/>
  <c r="AQ241" i="4"/>
  <c r="AS241" i="4"/>
  <c r="AT241" i="4"/>
  <c r="AT233" i="4"/>
  <c r="AR233" i="4"/>
  <c r="AW226" i="4"/>
  <c r="AT226" i="4"/>
  <c r="AO226" i="4"/>
  <c r="AR226" i="4"/>
  <c r="AP218" i="4"/>
  <c r="AQ218" i="4"/>
  <c r="AS218" i="4"/>
  <c r="AQ210" i="4"/>
  <c r="AX210" i="4"/>
  <c r="AS202" i="4"/>
  <c r="AX202" i="4"/>
  <c r="AQ202" i="4"/>
  <c r="AS194" i="4"/>
  <c r="AP194" i="4"/>
  <c r="AU194" i="4"/>
  <c r="AW186" i="4"/>
  <c r="AX186" i="4"/>
  <c r="AQ186" i="4"/>
  <c r="AP179" i="4"/>
  <c r="AW179" i="4"/>
  <c r="AS179" i="4"/>
  <c r="AQ179" i="4"/>
  <c r="AV179" i="4"/>
  <c r="AT179" i="4"/>
  <c r="AU171" i="4"/>
  <c r="AR171" i="4"/>
  <c r="AW171" i="4"/>
  <c r="AT171" i="4"/>
  <c r="AO171" i="4"/>
  <c r="AX171" i="4"/>
  <c r="AP171" i="4"/>
  <c r="AV171" i="4"/>
  <c r="AS304" i="4"/>
  <c r="AW304" i="4"/>
  <c r="AP304" i="4"/>
  <c r="AV296" i="4"/>
  <c r="AU296" i="4"/>
  <c r="AT296" i="4"/>
  <c r="AX296" i="4"/>
  <c r="AW296" i="4"/>
  <c r="AZ909" i="3"/>
  <c r="AZ901" i="3"/>
  <c r="AZ893" i="3"/>
  <c r="AZ885" i="3"/>
  <c r="AZ877" i="3"/>
  <c r="AZ869" i="3"/>
  <c r="AZ861" i="3"/>
  <c r="AZ853" i="3"/>
  <c r="AZ845" i="3"/>
  <c r="AZ837" i="3"/>
  <c r="AZ829" i="3"/>
  <c r="AZ821" i="3"/>
  <c r="AR821" i="3"/>
  <c r="AZ813" i="3"/>
  <c r="AR813" i="3"/>
  <c r="AZ805" i="3"/>
  <c r="AR805" i="3"/>
  <c r="AZ797" i="3"/>
  <c r="AR797" i="3"/>
  <c r="AZ789" i="3"/>
  <c r="AR789" i="3"/>
  <c r="AS121" i="4"/>
  <c r="AU121" i="4"/>
  <c r="AQ113" i="4"/>
  <c r="AS113" i="4"/>
  <c r="N51" i="17"/>
  <c r="R51" i="17"/>
  <c r="U51" i="17"/>
  <c r="P51" i="17"/>
  <c r="S51" i="17"/>
  <c r="M51" i="17"/>
  <c r="T51" i="17"/>
  <c r="L51" i="17"/>
  <c r="O51" i="17"/>
  <c r="N43" i="17"/>
  <c r="L43" i="17"/>
  <c r="Q43" i="17"/>
  <c r="M43" i="17"/>
  <c r="R43" i="17"/>
  <c r="M35" i="17"/>
  <c r="N35" i="17"/>
  <c r="S35" i="17"/>
  <c r="T35" i="17"/>
  <c r="O35" i="17"/>
  <c r="L35" i="17"/>
  <c r="R35" i="17"/>
  <c r="M27" i="17"/>
  <c r="Q27" i="17"/>
  <c r="U27" i="17"/>
  <c r="N27" i="17"/>
  <c r="S27" i="17"/>
  <c r="T27" i="17"/>
  <c r="O27" i="17"/>
  <c r="R27" i="17"/>
  <c r="M19" i="17"/>
  <c r="Q19" i="17"/>
  <c r="U19" i="17"/>
  <c r="N19" i="17"/>
  <c r="P19" i="17"/>
  <c r="O19" i="17"/>
  <c r="L19" i="17"/>
  <c r="S19" i="17"/>
  <c r="T19" i="17"/>
  <c r="L11" i="17"/>
  <c r="Q11" i="17"/>
  <c r="T11" i="17"/>
  <c r="U11" i="17"/>
  <c r="O11" i="17"/>
  <c r="R11" i="17"/>
  <c r="AP128" i="4"/>
  <c r="AV128" i="4"/>
  <c r="AR128" i="4"/>
  <c r="AQ128" i="4"/>
  <c r="AO128" i="4"/>
  <c r="AX128" i="4"/>
  <c r="AO25" i="4"/>
  <c r="AT25" i="4"/>
  <c r="AP25" i="4"/>
  <c r="AU17" i="4"/>
  <c r="AS17" i="4"/>
  <c r="AT17" i="4"/>
  <c r="AO17" i="4"/>
  <c r="Q9" i="17"/>
  <c r="S9" i="17"/>
  <c r="M9" i="17"/>
  <c r="P9" i="17"/>
  <c r="T9" i="17"/>
  <c r="T136" i="17"/>
  <c r="U136" i="17"/>
  <c r="R136" i="17"/>
  <c r="N136" i="17"/>
  <c r="L136" i="17"/>
  <c r="S128" i="17"/>
  <c r="L128" i="17"/>
  <c r="N120" i="17"/>
  <c r="T120" i="17"/>
  <c r="Q120" i="17"/>
  <c r="R120" i="17"/>
  <c r="L120" i="17"/>
  <c r="N112" i="17"/>
  <c r="P112" i="17"/>
  <c r="S112" i="17"/>
  <c r="M112" i="17"/>
  <c r="L112" i="17"/>
  <c r="T112" i="17"/>
  <c r="T104" i="17"/>
  <c r="Q104" i="17"/>
  <c r="O104" i="17"/>
  <c r="U96" i="17"/>
  <c r="M96" i="17"/>
  <c r="L96" i="17"/>
  <c r="S96" i="17"/>
  <c r="O88" i="17"/>
  <c r="T88" i="17"/>
  <c r="Q88" i="17"/>
  <c r="P88" i="17"/>
  <c r="Q80" i="17"/>
  <c r="M80" i="17"/>
  <c r="L80" i="17"/>
  <c r="O80" i="17"/>
  <c r="Q73" i="17"/>
  <c r="M73" i="17"/>
  <c r="BA2887" i="3"/>
  <c r="BA2997" i="3"/>
  <c r="AX2929" i="3"/>
  <c r="AU341" i="4"/>
  <c r="AU2874" i="3"/>
  <c r="AB1126" i="13"/>
  <c r="X1126" i="13"/>
  <c r="AP366" i="4"/>
  <c r="Z1152" i="13"/>
  <c r="AU2982" i="3"/>
  <c r="AU374" i="4"/>
  <c r="AS2955" i="3"/>
  <c r="AT2955" i="3"/>
  <c r="AZ2985" i="3"/>
  <c r="M148" i="17"/>
  <c r="V1184" i="13"/>
  <c r="BA2825" i="3"/>
  <c r="AZ2825" i="3"/>
  <c r="BA2874" i="3"/>
  <c r="AW341" i="4"/>
  <c r="AZ2874" i="3"/>
  <c r="AW366" i="4"/>
  <c r="AE1143" i="13"/>
  <c r="AZ2843" i="3"/>
  <c r="AZ3003" i="3"/>
  <c r="BA2875" i="3"/>
  <c r="X1120" i="13"/>
  <c r="AW2802" i="3"/>
  <c r="AP341" i="4"/>
  <c r="AV2874" i="3"/>
  <c r="AS2962" i="3"/>
  <c r="AR2785" i="3"/>
  <c r="AQ366" i="4"/>
  <c r="AV366" i="4"/>
  <c r="AS366" i="4"/>
  <c r="AS2997" i="3"/>
  <c r="AZ2982" i="3"/>
  <c r="AV374" i="4"/>
  <c r="AZ2955" i="3"/>
  <c r="AR2985" i="3"/>
  <c r="T148" i="17"/>
  <c r="W1184" i="13"/>
  <c r="AC1186" i="13"/>
  <c r="AD1187" i="13"/>
  <c r="AT2793" i="3"/>
  <c r="AA1189" i="13"/>
  <c r="AZ2822" i="3"/>
  <c r="AZ2802" i="3"/>
  <c r="AZ2929" i="3"/>
  <c r="AZ2901" i="3"/>
  <c r="AE1126" i="13"/>
  <c r="BA2998" i="3"/>
  <c r="AZ2924" i="3"/>
  <c r="Y1120" i="13"/>
  <c r="AQ341" i="4"/>
  <c r="AV341" i="4"/>
  <c r="AW2874" i="3"/>
  <c r="AS2998" i="3"/>
  <c r="AV2843" i="3"/>
  <c r="Z1137" i="13"/>
  <c r="AW2875" i="3"/>
  <c r="AT366" i="4"/>
  <c r="AA1152" i="13"/>
  <c r="AT2997" i="3"/>
  <c r="AW2982" i="3"/>
  <c r="AS374" i="4"/>
  <c r="AR2955" i="3"/>
  <c r="AY2985" i="3"/>
  <c r="AT2985" i="3"/>
  <c r="N148" i="17"/>
  <c r="U148" i="17"/>
  <c r="X1184" i="13"/>
  <c r="AX2825" i="3"/>
  <c r="W1187" i="13"/>
  <c r="AS3015" i="3"/>
  <c r="AX341" i="4"/>
  <c r="AZ2904" i="3"/>
  <c r="AE1137" i="13"/>
  <c r="BA2843" i="3"/>
  <c r="AD1126" i="13"/>
  <c r="AD1137" i="13"/>
  <c r="BA2904" i="3"/>
  <c r="BA2901" i="3"/>
  <c r="AZ2997" i="3"/>
  <c r="AB1120" i="13"/>
  <c r="AW2929" i="3"/>
  <c r="AR341" i="4"/>
  <c r="AU2998" i="3"/>
  <c r="AA1126" i="13"/>
  <c r="AY2843" i="3"/>
  <c r="AC1137" i="13"/>
  <c r="AU366" i="4"/>
  <c r="AC1152" i="13"/>
  <c r="AU2997" i="3"/>
  <c r="AP374" i="4"/>
  <c r="AW374" i="4"/>
  <c r="AY2955" i="3"/>
  <c r="AX2985" i="3"/>
  <c r="O148" i="17"/>
  <c r="Y1184" i="13"/>
  <c r="AS2825" i="3"/>
  <c r="X1187" i="13"/>
  <c r="AZ2961" i="3"/>
  <c r="AD1120" i="13"/>
  <c r="BA2788" i="3"/>
  <c r="BA2961" i="3"/>
  <c r="AZ2913" i="3"/>
  <c r="AT341" i="4"/>
  <c r="AY2874" i="3"/>
  <c r="AY2789" i="3"/>
  <c r="AV2998" i="3"/>
  <c r="Z1126" i="13"/>
  <c r="W1126" i="13"/>
  <c r="W1137" i="13"/>
  <c r="AV2904" i="3"/>
  <c r="AY2904" i="3"/>
  <c r="X1152" i="13"/>
  <c r="AR2997" i="3"/>
  <c r="AX2982" i="3"/>
  <c r="BA2982" i="3"/>
  <c r="AQ374" i="4"/>
  <c r="AX374" i="4"/>
  <c r="AX2955" i="3"/>
  <c r="AW2985" i="3"/>
  <c r="P148" i="17"/>
  <c r="AC1184" i="13"/>
  <c r="X1186" i="13"/>
  <c r="AW2825" i="3"/>
  <c r="Y1187" i="13"/>
  <c r="AE1120" i="13"/>
  <c r="BA2802" i="3"/>
  <c r="BA3004" i="3"/>
  <c r="BA2924" i="3"/>
  <c r="AZ3025" i="3"/>
  <c r="AZ2998" i="3"/>
  <c r="AD1152" i="13"/>
  <c r="AS2802" i="3"/>
  <c r="V1120" i="13"/>
  <c r="AT2802" i="3"/>
  <c r="AY2802" i="3"/>
  <c r="AS2929" i="3"/>
  <c r="AS341" i="4"/>
  <c r="AS2874" i="3"/>
  <c r="AV2785" i="3"/>
  <c r="V1126" i="13"/>
  <c r="W1143" i="13"/>
  <c r="V1152" i="13"/>
  <c r="AV2997" i="3"/>
  <c r="AY2982" i="3"/>
  <c r="AR374" i="4"/>
  <c r="AW2955" i="3"/>
  <c r="AV2985" i="3"/>
  <c r="Q148" i="17"/>
  <c r="AB1184" i="13"/>
  <c r="Z1184" i="13"/>
  <c r="Z1187" i="13"/>
  <c r="BA2822" i="3"/>
  <c r="AD1143" i="13"/>
  <c r="AX366" i="4"/>
  <c r="AU2802" i="3"/>
  <c r="W1120" i="13"/>
  <c r="AC1120" i="13"/>
  <c r="AR2929" i="3"/>
  <c r="AT2929" i="3"/>
  <c r="AT2874" i="3"/>
  <c r="Y1126" i="13"/>
  <c r="X1137" i="13"/>
  <c r="Y1152" i="13"/>
  <c r="W1152" i="13"/>
  <c r="AW2997" i="3"/>
  <c r="AS2982" i="3"/>
  <c r="AV2955" i="3"/>
  <c r="AU2985" i="3"/>
  <c r="R148" i="17"/>
  <c r="AD1184" i="13"/>
  <c r="AU2825" i="3"/>
  <c r="O86" i="17"/>
  <c r="P86" i="17"/>
  <c r="O102" i="17"/>
  <c r="S142" i="17"/>
  <c r="P94" i="17"/>
  <c r="N86" i="17"/>
  <c r="U118" i="17"/>
  <c r="N110" i="17"/>
  <c r="AP98" i="4"/>
  <c r="AO98" i="4"/>
  <c r="AQ98" i="4"/>
  <c r="AS98" i="4"/>
  <c r="AR98" i="4"/>
  <c r="AX98" i="4"/>
  <c r="AU98" i="4"/>
  <c r="AO47" i="4"/>
  <c r="AQ47" i="4"/>
  <c r="M65" i="17"/>
  <c r="U65" i="17"/>
  <c r="Q65" i="17"/>
  <c r="T65" i="17"/>
  <c r="N57" i="17"/>
  <c r="U57" i="17"/>
  <c r="AV272" i="4"/>
  <c r="AS272" i="4"/>
  <c r="AR272" i="4"/>
  <c r="AQ272" i="4"/>
  <c r="AX272" i="4"/>
  <c r="AT272" i="4"/>
  <c r="AP272" i="4"/>
  <c r="AU272" i="4"/>
  <c r="AV264" i="4"/>
  <c r="AR264" i="4"/>
  <c r="AQ264" i="4"/>
  <c r="AW264" i="4"/>
  <c r="AT264" i="4"/>
  <c r="AX264" i="4"/>
  <c r="AO264" i="4"/>
  <c r="AU264" i="4"/>
  <c r="AP264" i="4"/>
  <c r="AS264" i="4"/>
  <c r="AU149" i="4"/>
  <c r="AQ149" i="4"/>
  <c r="AO149" i="4"/>
  <c r="AX149" i="4"/>
  <c r="AW149" i="4"/>
  <c r="AS149" i="4"/>
  <c r="AT149" i="4"/>
  <c r="AP149" i="4"/>
  <c r="AW104" i="4"/>
  <c r="AX104" i="4"/>
  <c r="AP104" i="4"/>
  <c r="AV104" i="4"/>
  <c r="AU104" i="4"/>
  <c r="AO104" i="4"/>
  <c r="AR104" i="4"/>
  <c r="AQ104" i="4"/>
  <c r="S72" i="17"/>
  <c r="Q72" i="17"/>
  <c r="O72" i="17"/>
  <c r="N72" i="17"/>
  <c r="L72" i="17"/>
  <c r="T72" i="17"/>
  <c r="R72" i="17"/>
  <c r="U72" i="17"/>
  <c r="P72" i="17"/>
  <c r="AT279" i="4"/>
  <c r="AS279" i="4"/>
  <c r="AR279" i="4"/>
  <c r="AP279" i="4"/>
  <c r="AX279" i="4"/>
  <c r="AO279" i="4"/>
  <c r="AW279" i="4"/>
  <c r="AU279" i="4"/>
  <c r="AV279" i="4"/>
  <c r="AQ279" i="4"/>
  <c r="AR162" i="4"/>
  <c r="AT162" i="4"/>
  <c r="AV162" i="4"/>
  <c r="AX162" i="4"/>
  <c r="AU162" i="4"/>
  <c r="AP162" i="4"/>
  <c r="AQ162" i="4"/>
  <c r="AS162" i="4"/>
  <c r="AV155" i="4"/>
  <c r="AS155" i="4"/>
  <c r="AP155" i="4"/>
  <c r="AV111" i="4"/>
  <c r="AQ111" i="4"/>
  <c r="AS53" i="4"/>
  <c r="AT53" i="4"/>
  <c r="AO53" i="4"/>
  <c r="AX53" i="4"/>
  <c r="AW53" i="4"/>
  <c r="AP53" i="4"/>
  <c r="AQ53" i="4"/>
  <c r="AU53" i="4"/>
  <c r="L142" i="17"/>
  <c r="N142" i="17"/>
  <c r="N126" i="17"/>
  <c r="Q126" i="17"/>
  <c r="T110" i="17"/>
  <c r="R142" i="17"/>
  <c r="M94" i="17"/>
  <c r="S86" i="17"/>
  <c r="N118" i="17"/>
  <c r="L118" i="17"/>
  <c r="O126" i="17"/>
  <c r="S110" i="17"/>
  <c r="U134" i="17"/>
  <c r="AO162" i="4"/>
  <c r="AS104" i="4"/>
  <c r="AV149" i="4"/>
  <c r="AV168" i="4"/>
  <c r="AQ168" i="4"/>
  <c r="AT168" i="4"/>
  <c r="AR168" i="4"/>
  <c r="AU168" i="4"/>
  <c r="AX168" i="4"/>
  <c r="AW66" i="4"/>
  <c r="AT66" i="4"/>
  <c r="AP66" i="4"/>
  <c r="AV66" i="4"/>
  <c r="AQ66" i="4"/>
  <c r="AQ59" i="4"/>
  <c r="AS59" i="4"/>
  <c r="L24" i="17"/>
  <c r="P24" i="17"/>
  <c r="R24" i="17"/>
  <c r="S24" i="17"/>
  <c r="M24" i="17"/>
  <c r="U24" i="17"/>
  <c r="O24" i="17"/>
  <c r="Q24" i="17"/>
  <c r="N24" i="17"/>
  <c r="P16" i="17"/>
  <c r="U16" i="17"/>
  <c r="L16" i="17"/>
  <c r="S16" i="17"/>
  <c r="N16" i="17"/>
  <c r="M16" i="17"/>
  <c r="T16" i="17"/>
  <c r="R16" i="17"/>
  <c r="O16" i="17"/>
  <c r="Q16" i="17"/>
  <c r="U126" i="17"/>
  <c r="T94" i="17"/>
  <c r="R86" i="17"/>
  <c r="AX15" i="4"/>
  <c r="L134" i="17"/>
  <c r="R110" i="17"/>
  <c r="M134" i="17"/>
  <c r="Q102" i="17"/>
  <c r="M72" i="17"/>
  <c r="AO314" i="4"/>
  <c r="AR314" i="4"/>
  <c r="AS314" i="4"/>
  <c r="AV314" i="4"/>
  <c r="AQ314" i="4"/>
  <c r="AU314" i="4"/>
  <c r="AP314" i="4"/>
  <c r="AX314" i="4"/>
  <c r="AW314" i="4"/>
  <c r="AT314" i="4"/>
  <c r="AO307" i="4"/>
  <c r="AR307" i="4"/>
  <c r="AW307" i="4"/>
  <c r="AQ307" i="4"/>
  <c r="AU307" i="4"/>
  <c r="AX307" i="4"/>
  <c r="AP307" i="4"/>
  <c r="AS307" i="4"/>
  <c r="AT307" i="4"/>
  <c r="AR300" i="4"/>
  <c r="AO300" i="4"/>
  <c r="AS117" i="4"/>
  <c r="AR117" i="4"/>
  <c r="AV117" i="4"/>
  <c r="AP117" i="4"/>
  <c r="AT117" i="4"/>
  <c r="AX117" i="4"/>
  <c r="AO117" i="4"/>
  <c r="AR72" i="4"/>
  <c r="AS72" i="4"/>
  <c r="AV72" i="4"/>
  <c r="AX72" i="4"/>
  <c r="AW72" i="4"/>
  <c r="AQ72" i="4"/>
  <c r="AP72" i="4"/>
  <c r="AU72" i="4"/>
  <c r="AO72" i="4"/>
  <c r="AT72" i="4"/>
  <c r="Q31" i="17"/>
  <c r="S31" i="17"/>
  <c r="O31" i="17"/>
  <c r="R31" i="17"/>
  <c r="P31" i="17"/>
  <c r="U31" i="17"/>
  <c r="L31" i="17"/>
  <c r="M31" i="17"/>
  <c r="Q134" i="17"/>
  <c r="S102" i="17"/>
  <c r="L94" i="17"/>
  <c r="Q86" i="17"/>
  <c r="Q110" i="17"/>
  <c r="M102" i="17"/>
  <c r="R134" i="17"/>
  <c r="S118" i="17"/>
  <c r="R126" i="17"/>
  <c r="AP321" i="4"/>
  <c r="AR321" i="4"/>
  <c r="AV321" i="4"/>
  <c r="AS321" i="4"/>
  <c r="AO321" i="4"/>
  <c r="AU321" i="4"/>
  <c r="AW321" i="4"/>
  <c r="AX321" i="4"/>
  <c r="AT321" i="4"/>
  <c r="AT130" i="4"/>
  <c r="AR130" i="4"/>
  <c r="AU130" i="4"/>
  <c r="AQ130" i="4"/>
  <c r="AX130" i="4"/>
  <c r="AV130" i="4"/>
  <c r="AU123" i="4"/>
  <c r="AX123" i="4"/>
  <c r="AT79" i="4"/>
  <c r="AU79" i="4"/>
  <c r="AQ79" i="4"/>
  <c r="AV34" i="4"/>
  <c r="AT34" i="4"/>
  <c r="AX34" i="4"/>
  <c r="AR34" i="4"/>
  <c r="AS34" i="4"/>
  <c r="AP34" i="4"/>
  <c r="AW27" i="4"/>
  <c r="AR27" i="4"/>
  <c r="D65" i="34"/>
  <c r="O142" i="17"/>
  <c r="R102" i="17"/>
  <c r="T86" i="17"/>
  <c r="T126" i="17"/>
  <c r="Q118" i="17"/>
  <c r="Q142" i="17"/>
  <c r="R118" i="17"/>
  <c r="AR53" i="4"/>
  <c r="R79" i="17"/>
  <c r="AO336" i="4"/>
  <c r="AT336" i="4"/>
  <c r="AS336" i="4"/>
  <c r="AW336" i="4"/>
  <c r="AV336" i="4"/>
  <c r="AR336" i="4"/>
  <c r="AU336" i="4"/>
  <c r="AQ336" i="4"/>
  <c r="AX336" i="4"/>
  <c r="AP336" i="4"/>
  <c r="AV328" i="4"/>
  <c r="AQ328" i="4"/>
  <c r="AR328" i="4"/>
  <c r="AX328" i="4"/>
  <c r="AU328" i="4"/>
  <c r="AP328" i="4"/>
  <c r="AW328" i="4"/>
  <c r="AO328" i="4"/>
  <c r="AT328" i="4"/>
  <c r="AR181" i="4"/>
  <c r="AP181" i="4"/>
  <c r="AX181" i="4"/>
  <c r="AU181" i="4"/>
  <c r="AT181" i="4"/>
  <c r="AO181" i="4"/>
  <c r="AW181" i="4"/>
  <c r="AQ181" i="4"/>
  <c r="AT136" i="4"/>
  <c r="AU136" i="4"/>
  <c r="AO136" i="4"/>
  <c r="AW136" i="4"/>
  <c r="AV136" i="4"/>
  <c r="AR136" i="4"/>
  <c r="AP136" i="4"/>
  <c r="AS136" i="4"/>
  <c r="M37" i="17"/>
  <c r="O37" i="17"/>
  <c r="T37" i="17"/>
  <c r="N37" i="17"/>
  <c r="Q37" i="17"/>
  <c r="L37" i="17"/>
  <c r="R37" i="17"/>
  <c r="AV53" i="4"/>
  <c r="P102" i="17"/>
  <c r="T134" i="17"/>
  <c r="Q94" i="17"/>
  <c r="L126" i="17"/>
  <c r="P118" i="17"/>
  <c r="P142" i="17"/>
  <c r="O134" i="17"/>
  <c r="P110" i="17"/>
  <c r="AX242" i="4"/>
  <c r="AU242" i="4"/>
  <c r="AR242" i="4"/>
  <c r="AS242" i="4"/>
  <c r="AT242" i="4"/>
  <c r="AQ242" i="4"/>
  <c r="AW242" i="4"/>
  <c r="AP242" i="4"/>
  <c r="AV242" i="4"/>
  <c r="AO234" i="4"/>
  <c r="AV234" i="4"/>
  <c r="AT234" i="4"/>
  <c r="AW234" i="4"/>
  <c r="AS234" i="4"/>
  <c r="AQ234" i="4"/>
  <c r="AQ227" i="4"/>
  <c r="AR227" i="4"/>
  <c r="AX227" i="4"/>
  <c r="AP227" i="4"/>
  <c r="AV227" i="4"/>
  <c r="AU227" i="4"/>
  <c r="AW227" i="4"/>
  <c r="AT227" i="4"/>
  <c r="AS227" i="4"/>
  <c r="AP219" i="4"/>
  <c r="AQ219" i="4"/>
  <c r="AW219" i="4"/>
  <c r="AO211" i="4"/>
  <c r="AT211" i="4"/>
  <c r="AS211" i="4"/>
  <c r="AR195" i="4"/>
  <c r="AP195" i="4"/>
  <c r="AX143" i="4"/>
  <c r="AO143" i="4"/>
  <c r="AQ143" i="4"/>
  <c r="AS85" i="4"/>
  <c r="AP85" i="4"/>
  <c r="AT85" i="4"/>
  <c r="AW85" i="4"/>
  <c r="AO85" i="4"/>
  <c r="AU85" i="4"/>
  <c r="AR85" i="4"/>
  <c r="AT40" i="4"/>
  <c r="AQ40" i="4"/>
  <c r="AV40" i="4"/>
  <c r="AR40" i="4"/>
  <c r="AO40" i="4"/>
  <c r="AU40" i="4"/>
  <c r="AW40" i="4"/>
  <c r="AP40" i="4"/>
  <c r="AS40" i="4"/>
  <c r="AX40" i="4"/>
  <c r="AU2966" i="3"/>
  <c r="AT3015" i="3"/>
  <c r="AU2793" i="3"/>
  <c r="Z1189" i="13"/>
  <c r="AA1186" i="13"/>
  <c r="AW3015" i="3"/>
  <c r="AV2793" i="3"/>
  <c r="AB1189" i="13"/>
  <c r="AT3009" i="3"/>
  <c r="AY2966" i="3"/>
  <c r="AX3015" i="3"/>
  <c r="AZ2973" i="3"/>
  <c r="AW2793" i="3"/>
  <c r="Y1189" i="13"/>
  <c r="AA1123" i="13"/>
  <c r="AB1186" i="13"/>
  <c r="AU2828" i="3"/>
  <c r="AY3015" i="3"/>
  <c r="AY2793" i="3"/>
  <c r="AC1189" i="13"/>
  <c r="AY2786" i="3"/>
  <c r="AD1186" i="13"/>
  <c r="AT2966" i="3"/>
  <c r="AZ3015" i="3"/>
  <c r="AZ2793" i="3"/>
  <c r="AE1189" i="13"/>
  <c r="AV2966" i="3"/>
  <c r="AW2966" i="3"/>
  <c r="AR2793" i="3"/>
  <c r="BA2793" i="3"/>
  <c r="W1189" i="13"/>
  <c r="AD1189" i="13"/>
  <c r="AX2785" i="3"/>
  <c r="W1186" i="13"/>
  <c r="AX2966" i="3"/>
  <c r="AS2793" i="3"/>
  <c r="X1189" i="13"/>
  <c r="AR2791" i="3"/>
  <c r="V1186" i="13"/>
  <c r="D47" i="34"/>
  <c r="D105" i="34"/>
  <c r="D106" i="34"/>
  <c r="D107" i="34"/>
  <c r="D117" i="34"/>
  <c r="L44" i="17"/>
  <c r="AW15" i="4"/>
  <c r="AU249" i="4"/>
  <c r="AX47" i="4"/>
  <c r="AV143" i="4"/>
  <c r="AV175" i="4"/>
  <c r="AW79" i="4"/>
  <c r="AW211" i="4"/>
  <c r="AV123" i="4"/>
  <c r="AX155" i="4"/>
  <c r="AO203" i="4"/>
  <c r="AP187" i="4"/>
  <c r="AU91" i="4"/>
  <c r="AR155" i="4"/>
  <c r="AT219" i="4"/>
  <c r="AU219" i="4"/>
  <c r="AO59" i="4"/>
  <c r="AX195" i="4"/>
  <c r="AT123" i="4"/>
  <c r="T44" i="17"/>
  <c r="AR15" i="4"/>
  <c r="AO15" i="4"/>
  <c r="AX27" i="4"/>
  <c r="AS249" i="4"/>
  <c r="AP47" i="4"/>
  <c r="AU175" i="4"/>
  <c r="AT249" i="4"/>
  <c r="AW111" i="4"/>
  <c r="S79" i="17"/>
  <c r="AX219" i="4"/>
  <c r="AO123" i="4"/>
  <c r="AW203" i="4"/>
  <c r="AX187" i="4"/>
  <c r="AV59" i="4"/>
  <c r="AR123" i="4"/>
  <c r="AW59" i="4"/>
  <c r="AT155" i="4"/>
  <c r="AS203" i="4"/>
  <c r="AS143" i="4"/>
  <c r="D73" i="34"/>
  <c r="AV15" i="4"/>
  <c r="AP27" i="4"/>
  <c r="AR249" i="4"/>
  <c r="N79" i="17"/>
  <c r="AO257" i="4"/>
  <c r="AT257" i="4"/>
  <c r="AT143" i="4"/>
  <c r="AU143" i="4"/>
  <c r="AR91" i="4"/>
  <c r="AV187" i="4"/>
  <c r="AW123" i="4"/>
  <c r="AQ211" i="4"/>
  <c r="AT91" i="4"/>
  <c r="AU195" i="4"/>
  <c r="AU211" i="4"/>
  <c r="AV211" i="4"/>
  <c r="AX59" i="4"/>
  <c r="AR143" i="4"/>
  <c r="N44" i="17"/>
  <c r="AQ15" i="4"/>
  <c r="AS15" i="4"/>
  <c r="AO27" i="4"/>
  <c r="AU27" i="4"/>
  <c r="AU257" i="4"/>
  <c r="AQ27" i="4"/>
  <c r="M79" i="17"/>
  <c r="AP79" i="4"/>
  <c r="AX175" i="4"/>
  <c r="AU111" i="4"/>
  <c r="AS195" i="4"/>
  <c r="AR219" i="4"/>
  <c r="AQ155" i="4"/>
  <c r="AP203" i="4"/>
  <c r="AU59" i="4"/>
  <c r="AR187" i="4"/>
  <c r="AS123" i="4"/>
  <c r="AX91" i="4"/>
  <c r="AU155" i="4"/>
  <c r="AQ195" i="4"/>
  <c r="AP175" i="4"/>
  <c r="AD1070" i="13"/>
  <c r="Q44" i="17"/>
  <c r="P44" i="17"/>
  <c r="AS257" i="4"/>
  <c r="AP249" i="4"/>
  <c r="U79" i="17"/>
  <c r="AT111" i="4"/>
  <c r="AP143" i="4"/>
  <c r="AW47" i="4"/>
  <c r="AO79" i="4"/>
  <c r="AX249" i="4"/>
  <c r="AV203" i="4"/>
  <c r="AS91" i="4"/>
  <c r="AT59" i="4"/>
  <c r="AX203" i="4"/>
  <c r="AQ123" i="4"/>
  <c r="AQ187" i="4"/>
  <c r="AO195" i="4"/>
  <c r="AT203" i="4"/>
  <c r="Q79" i="17"/>
  <c r="AV47" i="4"/>
  <c r="O44" i="17"/>
  <c r="R44" i="17"/>
  <c r="AU15" i="4"/>
  <c r="AP15" i="4"/>
  <c r="AV27" i="4"/>
  <c r="AQ257" i="4"/>
  <c r="AV257" i="4"/>
  <c r="L79" i="17"/>
  <c r="AS79" i="4"/>
  <c r="AS111" i="4"/>
  <c r="AQ249" i="4"/>
  <c r="AP111" i="4"/>
  <c r="AS47" i="4"/>
  <c r="T79" i="17"/>
  <c r="AV79" i="4"/>
  <c r="AR59" i="4"/>
  <c r="AO155" i="4"/>
  <c r="AP211" i="4"/>
  <c r="AO187" i="4"/>
  <c r="AR211" i="4"/>
  <c r="AV195" i="4"/>
  <c r="AV91" i="4"/>
  <c r="AW195" i="4"/>
  <c r="AO91" i="4"/>
  <c r="AP91" i="4"/>
  <c r="AO219" i="4"/>
  <c r="M44" i="17"/>
  <c r="AW249" i="4"/>
  <c r="AX257" i="4"/>
  <c r="AT27" i="4"/>
  <c r="AS27" i="4"/>
  <c r="O79" i="17"/>
  <c r="AR47" i="4"/>
  <c r="AR79" i="4"/>
  <c r="AR111" i="4"/>
  <c r="AW143" i="4"/>
  <c r="AW257" i="4"/>
  <c r="AT175" i="4"/>
  <c r="AR175" i="4"/>
  <c r="AO111" i="4"/>
  <c r="AW175" i="4"/>
  <c r="AW155" i="4"/>
  <c r="AX211" i="4"/>
  <c r="AW187" i="4"/>
  <c r="AP123" i="4"/>
  <c r="AS219" i="4"/>
  <c r="AQ203" i="4"/>
  <c r="AR203" i="4"/>
  <c r="AV219" i="4"/>
  <c r="AW91" i="4"/>
  <c r="AS187" i="4"/>
  <c r="AT187" i="4"/>
  <c r="AU47" i="4"/>
  <c r="AW2785" i="3"/>
  <c r="AW3009" i="3"/>
  <c r="AV2962" i="3"/>
  <c r="AW2789" i="3"/>
  <c r="AT347" i="4"/>
  <c r="V1143" i="13"/>
  <c r="AZ2800" i="3"/>
  <c r="AS2800" i="3"/>
  <c r="AU2800" i="3"/>
  <c r="BA2990" i="3"/>
  <c r="AZ2990" i="3"/>
  <c r="AT2990" i="3"/>
  <c r="AS2990" i="3"/>
  <c r="AV2990" i="3"/>
  <c r="AW2990" i="3"/>
  <c r="AX2990" i="3"/>
  <c r="AR2990" i="3"/>
  <c r="AV2980" i="3"/>
  <c r="AZ2980" i="3"/>
  <c r="AT2973" i="3"/>
  <c r="AS2973" i="3"/>
  <c r="AX2973" i="3"/>
  <c r="BA2973" i="3"/>
  <c r="AW2973" i="3"/>
  <c r="AR2973" i="3"/>
  <c r="AY2973" i="3"/>
  <c r="AU2973" i="3"/>
  <c r="AX2911" i="3"/>
  <c r="AW2911" i="3"/>
  <c r="AY2911" i="3"/>
  <c r="AV2911" i="3"/>
  <c r="AS2911" i="3"/>
  <c r="AT2911" i="3"/>
  <c r="AV357" i="4"/>
  <c r="AU357" i="4"/>
  <c r="AO357" i="4"/>
  <c r="AT357" i="4"/>
  <c r="AR357" i="4"/>
  <c r="AQ357" i="4"/>
  <c r="AB1173" i="13"/>
  <c r="X1173" i="13"/>
  <c r="AV2942" i="3"/>
  <c r="AU2942" i="3"/>
  <c r="AR2942" i="3"/>
  <c r="AY2942" i="3"/>
  <c r="AS2942" i="3"/>
  <c r="BA2942" i="3"/>
  <c r="AX2942" i="3"/>
  <c r="AW2942" i="3"/>
  <c r="AW2795" i="3"/>
  <c r="AR2795" i="3"/>
  <c r="BA2795" i="3"/>
  <c r="AU2795" i="3"/>
  <c r="AZ2795" i="3"/>
  <c r="AT2795" i="3"/>
  <c r="AS2795" i="3"/>
  <c r="AX2795" i="3"/>
  <c r="AR2833" i="3"/>
  <c r="AU2833" i="3"/>
  <c r="BA2833" i="3"/>
  <c r="AS2833" i="3"/>
  <c r="AX2833" i="3"/>
  <c r="AY2833" i="3"/>
  <c r="AW2833" i="3"/>
  <c r="AT2833" i="3"/>
  <c r="AB1188" i="13"/>
  <c r="AE1188" i="13"/>
  <c r="W1188" i="13"/>
  <c r="AD1188" i="13"/>
  <c r="AC1188" i="13"/>
  <c r="V1188" i="13"/>
  <c r="AA1188" i="13"/>
  <c r="X1188" i="13"/>
  <c r="L533" i="12"/>
  <c r="M533" i="12"/>
  <c r="AT2873" i="3"/>
  <c r="AY2873" i="3"/>
  <c r="AQ340" i="4"/>
  <c r="Y1123" i="13"/>
  <c r="AY2785" i="3"/>
  <c r="AT2786" i="3"/>
  <c r="AO347" i="4"/>
  <c r="Y1143" i="13"/>
  <c r="X1143" i="13"/>
  <c r="AW2905" i="3"/>
  <c r="AX2905" i="3"/>
  <c r="AU2905" i="3"/>
  <c r="AS2905" i="3"/>
  <c r="AR2905" i="3"/>
  <c r="AV2905" i="3"/>
  <c r="AT2905" i="3"/>
  <c r="Y1188" i="13"/>
  <c r="AS3011" i="3"/>
  <c r="AX3011" i="3"/>
  <c r="BA3011" i="3"/>
  <c r="AY2794" i="3"/>
  <c r="AZ2794" i="3"/>
  <c r="AR2794" i="3"/>
  <c r="AW2794" i="3"/>
  <c r="AV2794" i="3"/>
  <c r="AU2794" i="3"/>
  <c r="BA2794" i="3"/>
  <c r="AS2794" i="3"/>
  <c r="AU2873" i="3"/>
  <c r="AX2873" i="3"/>
  <c r="AS340" i="4"/>
  <c r="AU340" i="4"/>
  <c r="AS2993" i="3"/>
  <c r="AR2941" i="3"/>
  <c r="AS347" i="4"/>
  <c r="AB1140" i="13"/>
  <c r="Y1140" i="13"/>
  <c r="AC1140" i="13"/>
  <c r="AB1139" i="13"/>
  <c r="V1139" i="13"/>
  <c r="W1139" i="13"/>
  <c r="AC1139" i="13"/>
  <c r="AY2903" i="3"/>
  <c r="AX2903" i="3"/>
  <c r="AW2903" i="3"/>
  <c r="AV2903" i="3"/>
  <c r="AR2903" i="3"/>
  <c r="AP367" i="4"/>
  <c r="AO367" i="4"/>
  <c r="AU367" i="4"/>
  <c r="AQ367" i="4"/>
  <c r="AV367" i="4"/>
  <c r="V1148" i="13"/>
  <c r="Z1148" i="13"/>
  <c r="Y1148" i="13"/>
  <c r="AC1148" i="13"/>
  <c r="AB1148" i="13"/>
  <c r="AR2931" i="3"/>
  <c r="AT2931" i="3"/>
  <c r="AS2931" i="3"/>
  <c r="AY2931" i="3"/>
  <c r="AX2931" i="3"/>
  <c r="AW2931" i="3"/>
  <c r="AU2931" i="3"/>
  <c r="AR2995" i="3"/>
  <c r="AW2995" i="3"/>
  <c r="AV2995" i="3"/>
  <c r="AT2995" i="3"/>
  <c r="AS2995" i="3"/>
  <c r="AX2995" i="3"/>
  <c r="X1159" i="13"/>
  <c r="Y1159" i="13"/>
  <c r="AB1159" i="13"/>
  <c r="AC1159" i="13"/>
  <c r="V1159" i="13"/>
  <c r="Z1159" i="13"/>
  <c r="Y1161" i="13"/>
  <c r="Z1161" i="13"/>
  <c r="AB1161" i="13"/>
  <c r="AC1161" i="13"/>
  <c r="V1161" i="13"/>
  <c r="X1161" i="13"/>
  <c r="X1164" i="13"/>
  <c r="Z1164" i="13"/>
  <c r="AE1164" i="13"/>
  <c r="Y1164" i="13"/>
  <c r="W1164" i="13"/>
  <c r="AD1164" i="13"/>
  <c r="V1164" i="13"/>
  <c r="AC1164" i="13"/>
  <c r="AB1164" i="13"/>
  <c r="AR2946" i="3"/>
  <c r="AT2946" i="3"/>
  <c r="AS2946" i="3"/>
  <c r="AZ2946" i="3"/>
  <c r="AY2946" i="3"/>
  <c r="AX2946" i="3"/>
  <c r="AW2946" i="3"/>
  <c r="AU2946" i="3"/>
  <c r="AV2795" i="3"/>
  <c r="Z1188" i="13"/>
  <c r="AS2970" i="3"/>
  <c r="AU2970" i="3"/>
  <c r="AT2970" i="3"/>
  <c r="AZ2970" i="3"/>
  <c r="AR2970" i="3"/>
  <c r="AV2970" i="3"/>
  <c r="AR340" i="4"/>
  <c r="AT2993" i="3"/>
  <c r="AP347" i="4"/>
  <c r="AT367" i="4"/>
  <c r="AU2880" i="3"/>
  <c r="AT2880" i="3"/>
  <c r="AW2880" i="3"/>
  <c r="AR2880" i="3"/>
  <c r="AX2880" i="3"/>
  <c r="AU2882" i="3"/>
  <c r="AS2882" i="3"/>
  <c r="AT2882" i="3"/>
  <c r="AR2882" i="3"/>
  <c r="AV2882" i="3"/>
  <c r="AX2882" i="3"/>
  <c r="AT2896" i="3"/>
  <c r="AW2896" i="3"/>
  <c r="AY2896" i="3"/>
  <c r="AU364" i="4"/>
  <c r="AO364" i="4"/>
  <c r="AS364" i="4"/>
  <c r="AR364" i="4"/>
  <c r="AV364" i="4"/>
  <c r="AQ364" i="4"/>
  <c r="AY2923" i="3"/>
  <c r="AW2923" i="3"/>
  <c r="BA2956" i="3"/>
  <c r="AX2956" i="3"/>
  <c r="AS2956" i="3"/>
  <c r="AU2956" i="3"/>
  <c r="AV2956" i="3"/>
  <c r="AY2956" i="3"/>
  <c r="AZ2956" i="3"/>
  <c r="V1183" i="13"/>
  <c r="AE1183" i="13"/>
  <c r="Y1183" i="13"/>
  <c r="AD1183" i="13"/>
  <c r="AC1183" i="13"/>
  <c r="W1183" i="13"/>
  <c r="AB1183" i="13"/>
  <c r="Z1183" i="13"/>
  <c r="AP379" i="4"/>
  <c r="AT379" i="4"/>
  <c r="AW379" i="4"/>
  <c r="AS379" i="4"/>
  <c r="AR379" i="4"/>
  <c r="AV379" i="4"/>
  <c r="AO379" i="4"/>
  <c r="AW2873" i="3"/>
  <c r="Y1121" i="13"/>
  <c r="AV340" i="4"/>
  <c r="AU2993" i="3"/>
  <c r="AU347" i="4"/>
  <c r="AR2911" i="3"/>
  <c r="AA1143" i="13"/>
  <c r="AC1143" i="13"/>
  <c r="AB1143" i="13"/>
  <c r="AR2885" i="3"/>
  <c r="AX2885" i="3"/>
  <c r="AU2885" i="3"/>
  <c r="AT2885" i="3"/>
  <c r="AS2885" i="3"/>
  <c r="AU2892" i="3"/>
  <c r="AY2892" i="3"/>
  <c r="AR2892" i="3"/>
  <c r="AV2914" i="3"/>
  <c r="AU2914" i="3"/>
  <c r="AX2914" i="3"/>
  <c r="AT2914" i="3"/>
  <c r="AS2914" i="3"/>
  <c r="AR2914" i="3"/>
  <c r="AW2914" i="3"/>
  <c r="AO373" i="4"/>
  <c r="AW373" i="4"/>
  <c r="AR373" i="4"/>
  <c r="AX373" i="4"/>
  <c r="AQ373" i="4"/>
  <c r="AU373" i="4"/>
  <c r="AS373" i="4"/>
  <c r="AY2795" i="3"/>
  <c r="AY2968" i="3"/>
  <c r="AU2968" i="3"/>
  <c r="AR2975" i="3"/>
  <c r="AX2975" i="3"/>
  <c r="BA2975" i="3"/>
  <c r="AW2975" i="3"/>
  <c r="AZ2975" i="3"/>
  <c r="AU2975" i="3"/>
  <c r="AT2975" i="3"/>
  <c r="AY2975" i="3"/>
  <c r="AS2975" i="3"/>
  <c r="V1121" i="13"/>
  <c r="AV2993" i="3"/>
  <c r="AU2785" i="3"/>
  <c r="AS3009" i="3"/>
  <c r="AS2963" i="3"/>
  <c r="AT2789" i="3"/>
  <c r="AV347" i="4"/>
  <c r="AP357" i="4"/>
  <c r="AS357" i="4"/>
  <c r="AR2850" i="3"/>
  <c r="AY2850" i="3"/>
  <c r="AR2779" i="3"/>
  <c r="AW2779" i="3"/>
  <c r="AS2779" i="3"/>
  <c r="AV2856" i="3"/>
  <c r="AR2856" i="3"/>
  <c r="AY2856" i="3"/>
  <c r="AY2857" i="3"/>
  <c r="AX2857" i="3"/>
  <c r="AW2857" i="3"/>
  <c r="AV2857" i="3"/>
  <c r="AY2859" i="3"/>
  <c r="AT2859" i="3"/>
  <c r="X1141" i="13"/>
  <c r="V1141" i="13"/>
  <c r="AA1141" i="13"/>
  <c r="AR2939" i="3"/>
  <c r="AV2939" i="3"/>
  <c r="AY2875" i="3"/>
  <c r="AT2875" i="3"/>
  <c r="AX2875" i="3"/>
  <c r="AV2875" i="3"/>
  <c r="AS2875" i="3"/>
  <c r="AU2875" i="3"/>
  <c r="AP373" i="4"/>
  <c r="X1165" i="13"/>
  <c r="W1165" i="13"/>
  <c r="Y1165" i="13"/>
  <c r="AC1165" i="13"/>
  <c r="V1165" i="13"/>
  <c r="AE1165" i="13"/>
  <c r="Z1165" i="13"/>
  <c r="V1171" i="13"/>
  <c r="AC1171" i="13"/>
  <c r="Z1171" i="13"/>
  <c r="Y1171" i="13"/>
  <c r="W1171" i="13"/>
  <c r="AD1171" i="13"/>
  <c r="AA1171" i="13"/>
  <c r="AT2942" i="3"/>
  <c r="AV2975" i="3"/>
  <c r="AX3013" i="3"/>
  <c r="BA3013" i="3"/>
  <c r="AS3013" i="3"/>
  <c r="AU3013" i="3"/>
  <c r="AZ3013" i="3"/>
  <c r="AR2971" i="3"/>
  <c r="AS2971" i="3"/>
  <c r="AT2971" i="3"/>
  <c r="AU2971" i="3"/>
  <c r="AV2971" i="3"/>
  <c r="AX2971" i="3"/>
  <c r="AY2971" i="3"/>
  <c r="W1121" i="13"/>
  <c r="AB1121" i="13"/>
  <c r="AW2993" i="3"/>
  <c r="AX2962" i="3"/>
  <c r="AU2789" i="3"/>
  <c r="W1142" i="13"/>
  <c r="AA1142" i="13"/>
  <c r="AB1142" i="13"/>
  <c r="AU2907" i="3"/>
  <c r="AX2907" i="3"/>
  <c r="AT2907" i="3"/>
  <c r="AW2907" i="3"/>
  <c r="AT373" i="4"/>
  <c r="W1155" i="13"/>
  <c r="AC1155" i="13"/>
  <c r="Z1158" i="13"/>
  <c r="Y1158" i="13"/>
  <c r="AB1158" i="13"/>
  <c r="AC1158" i="13"/>
  <c r="V1158" i="13"/>
  <c r="X1158" i="13"/>
  <c r="Y1160" i="13"/>
  <c r="Z1160" i="13"/>
  <c r="AB1160" i="13"/>
  <c r="AC1160" i="13"/>
  <c r="V1160" i="13"/>
  <c r="X1160" i="13"/>
  <c r="V1167" i="13"/>
  <c r="Z1167" i="13"/>
  <c r="Y1167" i="13"/>
  <c r="AB1167" i="13"/>
  <c r="AE1167" i="13"/>
  <c r="AC1167" i="13"/>
  <c r="AD1167" i="13"/>
  <c r="AA1167" i="13"/>
  <c r="W1167" i="13"/>
  <c r="AY2969" i="3"/>
  <c r="AX2969" i="3"/>
  <c r="AW2969" i="3"/>
  <c r="AR2969" i="3"/>
  <c r="AV2969" i="3"/>
  <c r="AT2969" i="3"/>
  <c r="AU2976" i="3"/>
  <c r="AT2976" i="3"/>
  <c r="AZ2976" i="3"/>
  <c r="AY2976" i="3"/>
  <c r="AX2976" i="3"/>
  <c r="AR2976" i="3"/>
  <c r="AV2976" i="3"/>
  <c r="AR2978" i="3"/>
  <c r="AX2978" i="3"/>
  <c r="AT2978" i="3"/>
  <c r="AS2978" i="3"/>
  <c r="AW2978" i="3"/>
  <c r="AV2978" i="3"/>
  <c r="AY2978" i="3"/>
  <c r="AW2921" i="3"/>
  <c r="AU2803" i="3"/>
  <c r="AW2803" i="3"/>
  <c r="O145" i="17"/>
  <c r="AU2814" i="3"/>
  <c r="X1166" i="13"/>
  <c r="AE1166" i="13"/>
  <c r="AU2981" i="3"/>
  <c r="AT2866" i="3"/>
  <c r="AW2866" i="3"/>
  <c r="AY2984" i="3"/>
  <c r="AB1174" i="13"/>
  <c r="AU2801" i="3"/>
  <c r="AU2796" i="3"/>
  <c r="Q145" i="17"/>
  <c r="N147" i="17"/>
  <c r="AS2814" i="3"/>
  <c r="AB1166" i="13"/>
  <c r="AD1166" i="13"/>
  <c r="AT2981" i="3"/>
  <c r="AZ2981" i="3"/>
  <c r="AS2984" i="3"/>
  <c r="AZ2984" i="3"/>
  <c r="Z1174" i="13"/>
  <c r="AD1178" i="13"/>
  <c r="AZ2801" i="3"/>
  <c r="AR2796" i="3"/>
  <c r="AV2796" i="3"/>
  <c r="AX2796" i="3"/>
  <c r="AT377" i="4"/>
  <c r="BA2951" i="3"/>
  <c r="Z1185" i="13"/>
  <c r="Y1186" i="13"/>
  <c r="AW2824" i="3"/>
  <c r="AX2824" i="3"/>
  <c r="AZ2966" i="3"/>
  <c r="AR2824" i="3"/>
  <c r="AR2967" i="3"/>
  <c r="AZ2829" i="3"/>
  <c r="BA3015" i="3"/>
  <c r="AX2924" i="3"/>
  <c r="O147" i="17"/>
  <c r="R147" i="17"/>
  <c r="AR2814" i="3"/>
  <c r="AV2981" i="3"/>
  <c r="AV2866" i="3"/>
  <c r="BA2866" i="3"/>
  <c r="AT2984" i="3"/>
  <c r="BA2984" i="3"/>
  <c r="Y1174" i="13"/>
  <c r="AR2801" i="3"/>
  <c r="AV377" i="4"/>
  <c r="AA1185" i="13"/>
  <c r="AA1187" i="13"/>
  <c r="AT2824" i="3"/>
  <c r="AS2966" i="3"/>
  <c r="AW2967" i="3"/>
  <c r="AU2829" i="3"/>
  <c r="AT2791" i="3"/>
  <c r="BA2829" i="3"/>
  <c r="AU3015" i="3"/>
  <c r="Y1190" i="13"/>
  <c r="AR2921" i="3"/>
  <c r="R145" i="17"/>
  <c r="P147" i="17"/>
  <c r="AY2814" i="3"/>
  <c r="BA2981" i="3"/>
  <c r="AU2984" i="3"/>
  <c r="W1174" i="13"/>
  <c r="X1174" i="13"/>
  <c r="AY2801" i="3"/>
  <c r="AT2801" i="3"/>
  <c r="AW2796" i="3"/>
  <c r="AW377" i="4"/>
  <c r="AB1185" i="13"/>
  <c r="Z1186" i="13"/>
  <c r="AB1187" i="13"/>
  <c r="AE1187" i="13"/>
  <c r="BA2966" i="3"/>
  <c r="AZ2967" i="3"/>
  <c r="AU2967" i="3"/>
  <c r="AV3015" i="3"/>
  <c r="AU2791" i="3"/>
  <c r="AV2921" i="3"/>
  <c r="AS2921" i="3"/>
  <c r="AT2803" i="3"/>
  <c r="N145" i="17"/>
  <c r="AS2981" i="3"/>
  <c r="AY2981" i="3"/>
  <c r="AS2866" i="3"/>
  <c r="AC1174" i="13"/>
  <c r="AV2801" i="3"/>
  <c r="AZ2863" i="3"/>
  <c r="BA2796" i="3"/>
  <c r="AT2796" i="3"/>
  <c r="X1185" i="13"/>
  <c r="AT47" i="4"/>
  <c r="AQ127" i="4"/>
  <c r="AO175" i="4"/>
  <c r="AU95" i="4"/>
  <c r="AX79" i="4"/>
  <c r="AQ175" i="4"/>
  <c r="AX111" i="4"/>
  <c r="AS2822" i="3"/>
  <c r="AW2820" i="3"/>
  <c r="AU2820" i="3"/>
  <c r="AR2820" i="3"/>
  <c r="AY3003" i="3"/>
  <c r="AS3003" i="3"/>
  <c r="AX3003" i="3"/>
  <c r="AT3003" i="3"/>
  <c r="AR3003" i="3"/>
  <c r="AW3003" i="3"/>
  <c r="AU3004" i="3"/>
  <c r="AT3004" i="3"/>
  <c r="AV3004" i="3"/>
  <c r="AY3004" i="3"/>
  <c r="AS3004" i="3"/>
  <c r="AX3004" i="3"/>
  <c r="AU3025" i="3"/>
  <c r="AR3025" i="3"/>
  <c r="AW3025" i="3"/>
  <c r="AV3025" i="3"/>
  <c r="AY3025" i="3"/>
  <c r="AS3025" i="3"/>
  <c r="AY2913" i="3"/>
  <c r="AT2913" i="3"/>
  <c r="AS358" i="4"/>
  <c r="AR358" i="4"/>
  <c r="AQ358" i="4"/>
  <c r="AO358" i="4"/>
  <c r="AP358" i="4"/>
  <c r="AB1122" i="13"/>
  <c r="Z1123" i="13"/>
  <c r="AS2784" i="3"/>
  <c r="AS2786" i="3"/>
  <c r="AR3008" i="3"/>
  <c r="AW3008" i="3"/>
  <c r="AS3008" i="3"/>
  <c r="AR3010" i="3"/>
  <c r="AY3010" i="3"/>
  <c r="AW2960" i="3"/>
  <c r="AR2960" i="3"/>
  <c r="AS2960" i="3"/>
  <c r="AY2960" i="3"/>
  <c r="AV2960" i="3"/>
  <c r="AV3003" i="3"/>
  <c r="AR3021" i="3"/>
  <c r="AU3021" i="3"/>
  <c r="AY3021" i="3"/>
  <c r="AX3021" i="3"/>
  <c r="AX2901" i="3"/>
  <c r="AV2901" i="3"/>
  <c r="AY2901" i="3"/>
  <c r="AW2901" i="3"/>
  <c r="AU2901" i="3"/>
  <c r="AT2901" i="3"/>
  <c r="AS2901" i="3"/>
  <c r="AU2904" i="3"/>
  <c r="AR2904" i="3"/>
  <c r="AS2904" i="3"/>
  <c r="AX2904" i="3"/>
  <c r="AX2906" i="3"/>
  <c r="AW2906" i="3"/>
  <c r="AT2906" i="3"/>
  <c r="AR2906" i="3"/>
  <c r="AV2906" i="3"/>
  <c r="AS2906" i="3"/>
  <c r="AY2906" i="3"/>
  <c r="AX2909" i="3"/>
  <c r="AV2909" i="3"/>
  <c r="AU2909" i="3"/>
  <c r="AT2909" i="3"/>
  <c r="AW2909" i="3"/>
  <c r="AS2909" i="3"/>
  <c r="AY2909" i="3"/>
  <c r="AU2912" i="3"/>
  <c r="AW2912" i="3"/>
  <c r="AS2912" i="3"/>
  <c r="AR2912" i="3"/>
  <c r="AY2912" i="3"/>
  <c r="AS2961" i="3"/>
  <c r="AV2961" i="3"/>
  <c r="AX2961" i="3"/>
  <c r="AY2822" i="3"/>
  <c r="AT2822" i="3"/>
  <c r="AV2822" i="3"/>
  <c r="Z1138" i="13"/>
  <c r="X1138" i="13"/>
  <c r="AA1138" i="13"/>
  <c r="W1138" i="13"/>
  <c r="Y1138" i="13"/>
  <c r="AU2855" i="3"/>
  <c r="AX2855" i="3"/>
  <c r="AS2855" i="3"/>
  <c r="AT2855" i="3"/>
  <c r="AW2855" i="3"/>
  <c r="AR2855" i="3"/>
  <c r="AR2899" i="3"/>
  <c r="AW2899" i="3"/>
  <c r="AY2899" i="3"/>
  <c r="AS2899" i="3"/>
  <c r="AU2899" i="3"/>
  <c r="AX2899" i="3"/>
  <c r="AR2900" i="3"/>
  <c r="AX2900" i="3"/>
  <c r="AV2900" i="3"/>
  <c r="AU2900" i="3"/>
  <c r="AT2900" i="3"/>
  <c r="AY2900" i="3"/>
  <c r="AW2900" i="3"/>
  <c r="AS2900" i="3"/>
  <c r="AX3008" i="3"/>
  <c r="AV2786" i="3"/>
  <c r="AX2963" i="3"/>
  <c r="AR3004" i="3"/>
  <c r="AT358" i="4"/>
  <c r="AR2998" i="3"/>
  <c r="AT2998" i="3"/>
  <c r="AX2998" i="3"/>
  <c r="AR2840" i="3"/>
  <c r="AY2840" i="3"/>
  <c r="AX2840" i="3"/>
  <c r="AW2840" i="3"/>
  <c r="AV2840" i="3"/>
  <c r="AU2840" i="3"/>
  <c r="AT2840" i="3"/>
  <c r="AR2843" i="3"/>
  <c r="AS2843" i="3"/>
  <c r="AW2843" i="3"/>
  <c r="AT2843" i="3"/>
  <c r="AX2843" i="3"/>
  <c r="AU355" i="4"/>
  <c r="AQ355" i="4"/>
  <c r="AO355" i="4"/>
  <c r="AV355" i="4"/>
  <c r="AT355" i="4"/>
  <c r="AU2891" i="3"/>
  <c r="AW2891" i="3"/>
  <c r="AX2891" i="3"/>
  <c r="AT2891" i="3"/>
  <c r="AS2891" i="3"/>
  <c r="AR2891" i="3"/>
  <c r="AV2891" i="3"/>
  <c r="AV2896" i="3"/>
  <c r="AR2896" i="3"/>
  <c r="AU2896" i="3"/>
  <c r="AX2896" i="3"/>
  <c r="AO371" i="4"/>
  <c r="AQ371" i="4"/>
  <c r="AU371" i="4"/>
  <c r="AT371" i="4"/>
  <c r="AV371" i="4"/>
  <c r="AR371" i="4"/>
  <c r="AS2820" i="3"/>
  <c r="AY2961" i="3"/>
  <c r="V1123" i="13"/>
  <c r="AC1123" i="13"/>
  <c r="AW3004" i="3"/>
  <c r="AT3025" i="3"/>
  <c r="AU358" i="4"/>
  <c r="AU2881" i="3"/>
  <c r="AS2881" i="3"/>
  <c r="AX2881" i="3"/>
  <c r="AW2881" i="3"/>
  <c r="AT2881" i="3"/>
  <c r="AV2881" i="3"/>
  <c r="AR2881" i="3"/>
  <c r="AY2881" i="3"/>
  <c r="AU2883" i="3"/>
  <c r="AT2883" i="3"/>
  <c r="AS2883" i="3"/>
  <c r="AX2883" i="3"/>
  <c r="AW2883" i="3"/>
  <c r="AV2883" i="3"/>
  <c r="AA1145" i="13"/>
  <c r="Y1145" i="13"/>
  <c r="X1145" i="13"/>
  <c r="AC1145" i="13"/>
  <c r="W1145" i="13"/>
  <c r="AA1147" i="13"/>
  <c r="X1147" i="13"/>
  <c r="W1147" i="13"/>
  <c r="AB1147" i="13"/>
  <c r="AC1147" i="13"/>
  <c r="V1147" i="13"/>
  <c r="Z1147" i="13"/>
  <c r="AO368" i="4"/>
  <c r="AT368" i="4"/>
  <c r="AS368" i="4"/>
  <c r="AV368" i="4"/>
  <c r="AR368" i="4"/>
  <c r="AQ368" i="4"/>
  <c r="AT2820" i="3"/>
  <c r="AW2961" i="3"/>
  <c r="AX2822" i="3"/>
  <c r="AW2786" i="3"/>
  <c r="AR2786" i="3"/>
  <c r="AU2786" i="3"/>
  <c r="AX2876" i="3"/>
  <c r="AU2876" i="3"/>
  <c r="AT2876" i="3"/>
  <c r="AS2876" i="3"/>
  <c r="AR2876" i="3"/>
  <c r="AX2887" i="3"/>
  <c r="AW2887" i="3"/>
  <c r="AU2889" i="3"/>
  <c r="AT2889" i="3"/>
  <c r="AS2889" i="3"/>
  <c r="AW2889" i="3"/>
  <c r="AV2889" i="3"/>
  <c r="AV2802" i="3"/>
  <c r="AX2802" i="3"/>
  <c r="AT343" i="4"/>
  <c r="AT2952" i="3"/>
  <c r="AP342" i="4"/>
  <c r="W1123" i="13"/>
  <c r="AV2820" i="3"/>
  <c r="AT2960" i="3"/>
  <c r="AU2961" i="3"/>
  <c r="AW2822" i="3"/>
  <c r="AY2962" i="3"/>
  <c r="AU2962" i="3"/>
  <c r="AW2962" i="3"/>
  <c r="AT2941" i="3"/>
  <c r="AU2941" i="3"/>
  <c r="AV2876" i="3"/>
  <c r="Y1131" i="13"/>
  <c r="AB1131" i="13"/>
  <c r="V1131" i="13"/>
  <c r="AC1131" i="13"/>
  <c r="AA1131" i="13"/>
  <c r="W1131" i="13"/>
  <c r="AU2807" i="3"/>
  <c r="AY2807" i="3"/>
  <c r="AT2807" i="3"/>
  <c r="AS2807" i="3"/>
  <c r="AX2807" i="3"/>
  <c r="AR2807" i="3"/>
  <c r="AW2807" i="3"/>
  <c r="AU2878" i="3"/>
  <c r="AV2878" i="3"/>
  <c r="AR2878" i="3"/>
  <c r="AY2878" i="3"/>
  <c r="AS2878" i="3"/>
  <c r="AX2878" i="3"/>
  <c r="X1123" i="13"/>
  <c r="AX2820" i="3"/>
  <c r="AU2960" i="3"/>
  <c r="AT2961" i="3"/>
  <c r="AU2822" i="3"/>
  <c r="AO346" i="4"/>
  <c r="AP346" i="4"/>
  <c r="AV346" i="4"/>
  <c r="AS2789" i="3"/>
  <c r="AX2789" i="3"/>
  <c r="AV2789" i="3"/>
  <c r="AW2876" i="3"/>
  <c r="AV358" i="4"/>
  <c r="AU3003" i="3"/>
  <c r="AO361" i="4"/>
  <c r="AV361" i="4"/>
  <c r="AS361" i="4"/>
  <c r="AU361" i="4"/>
  <c r="AT361" i="4"/>
  <c r="AQ361" i="4"/>
  <c r="AP361" i="4"/>
  <c r="V1168" i="13"/>
  <c r="Y1173" i="13"/>
  <c r="Z1175" i="13"/>
  <c r="W1177" i="13"/>
  <c r="Z1177" i="13"/>
  <c r="V1178" i="13"/>
  <c r="AZ2986" i="3"/>
  <c r="AR2980" i="3"/>
  <c r="AV2828" i="3"/>
  <c r="AZ2828" i="3"/>
  <c r="AR3011" i="3"/>
  <c r="AS2834" i="3"/>
  <c r="AX2834" i="3"/>
  <c r="AU381" i="4"/>
  <c r="AX2836" i="3"/>
  <c r="Z1190" i="13"/>
  <c r="AS2860" i="3"/>
  <c r="AW2860" i="3"/>
  <c r="AA1169" i="13"/>
  <c r="AB1168" i="13"/>
  <c r="W1175" i="13"/>
  <c r="Y1175" i="13"/>
  <c r="AD1177" i="13"/>
  <c r="AC1178" i="13"/>
  <c r="AS2988" i="3"/>
  <c r="AX2980" i="3"/>
  <c r="AS2951" i="3"/>
  <c r="AW2828" i="3"/>
  <c r="AR3013" i="3"/>
  <c r="AX2791" i="3"/>
  <c r="BA2791" i="3"/>
  <c r="AT2834" i="3"/>
  <c r="AY2834" i="3"/>
  <c r="AP381" i="4"/>
  <c r="AR381" i="4"/>
  <c r="AC1190" i="13"/>
  <c r="AU2923" i="3"/>
  <c r="AT2860" i="3"/>
  <c r="BA2860" i="3"/>
  <c r="W1168" i="13"/>
  <c r="AC1173" i="13"/>
  <c r="AD1175" i="13"/>
  <c r="X1175" i="13"/>
  <c r="V1177" i="13"/>
  <c r="AB1178" i="13"/>
  <c r="BA2988" i="3"/>
  <c r="BA2980" i="3"/>
  <c r="AT2951" i="3"/>
  <c r="AY2951" i="3"/>
  <c r="AX2828" i="3"/>
  <c r="AT3013" i="3"/>
  <c r="AW3013" i="3"/>
  <c r="AX2970" i="3"/>
  <c r="AU2834" i="3"/>
  <c r="AS2791" i="3"/>
  <c r="AQ381" i="4"/>
  <c r="AV381" i="4"/>
  <c r="AS2836" i="3"/>
  <c r="AY2836" i="3"/>
  <c r="BA2836" i="3"/>
  <c r="AB1190" i="13"/>
  <c r="AD1190" i="13"/>
  <c r="AV3009" i="3"/>
  <c r="AX2923" i="3"/>
  <c r="AU2860" i="3"/>
  <c r="AV2860" i="3"/>
  <c r="AE1169" i="13"/>
  <c r="AC1169" i="13"/>
  <c r="Y1168" i="13"/>
  <c r="AC1168" i="13"/>
  <c r="V1173" i="13"/>
  <c r="Z1173" i="13"/>
  <c r="V1175" i="13"/>
  <c r="AB1177" i="13"/>
  <c r="AA1178" i="13"/>
  <c r="AT2988" i="3"/>
  <c r="AW2988" i="3"/>
  <c r="AS2980" i="3"/>
  <c r="AT2980" i="3"/>
  <c r="AU2951" i="3"/>
  <c r="AZ2951" i="3"/>
  <c r="AY2828" i="3"/>
  <c r="AV3013" i="3"/>
  <c r="AZ2969" i="3"/>
  <c r="AY2970" i="3"/>
  <c r="BA2970" i="3"/>
  <c r="AV2834" i="3"/>
  <c r="AZ2834" i="3"/>
  <c r="AW381" i="4"/>
  <c r="AT2836" i="3"/>
  <c r="AZ2836" i="3"/>
  <c r="V1190" i="13"/>
  <c r="AE1190" i="13"/>
  <c r="AV2923" i="3"/>
  <c r="AS2923" i="3"/>
  <c r="AX2860" i="3"/>
  <c r="AZ2860" i="3"/>
  <c r="X1168" i="13"/>
  <c r="Z1168" i="13"/>
  <c r="W1173" i="13"/>
  <c r="AA1173" i="13"/>
  <c r="AC1175" i="13"/>
  <c r="AA1177" i="13"/>
  <c r="Z1178" i="13"/>
  <c r="AU2988" i="3"/>
  <c r="AY2980" i="3"/>
  <c r="AW2980" i="3"/>
  <c r="AV2951" i="3"/>
  <c r="BA2828" i="3"/>
  <c r="AS2969" i="3"/>
  <c r="AZ2791" i="3"/>
  <c r="AU3011" i="3"/>
  <c r="BA2834" i="3"/>
  <c r="AS381" i="4"/>
  <c r="AX381" i="4"/>
  <c r="AU2836" i="3"/>
  <c r="AS2979" i="3"/>
  <c r="AW2979" i="3"/>
  <c r="X1169" i="13"/>
  <c r="W1169" i="13"/>
  <c r="AD1169" i="13"/>
  <c r="AD1173" i="13"/>
  <c r="AC1177" i="13"/>
  <c r="Y1178" i="13"/>
  <c r="AW2951" i="3"/>
  <c r="AS2828" i="3"/>
  <c r="AV3011" i="3"/>
  <c r="AW3011" i="3"/>
  <c r="AT3011" i="3"/>
  <c r="AW2834" i="3"/>
  <c r="AV2791" i="3"/>
  <c r="AV2836" i="3"/>
  <c r="W1190" i="13"/>
  <c r="AR2923" i="3"/>
  <c r="AT2923" i="3"/>
  <c r="Y1169" i="13"/>
  <c r="AY2860" i="3"/>
  <c r="AB1169" i="13"/>
  <c r="AE1173" i="13"/>
  <c r="AB1175" i="13"/>
  <c r="Y1177" i="13"/>
  <c r="W1178" i="13"/>
  <c r="X1178" i="13"/>
  <c r="AX2988" i="3"/>
  <c r="AU2980" i="3"/>
  <c r="AR380" i="4"/>
  <c r="AX2951" i="3"/>
  <c r="AT2828" i="3"/>
  <c r="AY3011" i="3"/>
  <c r="AZ3011" i="3"/>
  <c r="AY2791" i="3"/>
  <c r="AT381" i="4"/>
  <c r="AW2836" i="3"/>
  <c r="AV2979" i="3"/>
  <c r="X1190" i="13"/>
  <c r="P141" i="17"/>
  <c r="Q141" i="17"/>
  <c r="P133" i="17"/>
  <c r="N133" i="17"/>
  <c r="M133" i="17"/>
  <c r="P125" i="17"/>
  <c r="N125" i="17"/>
  <c r="P117" i="17"/>
  <c r="T117" i="17"/>
  <c r="N117" i="17"/>
  <c r="R117" i="17"/>
  <c r="P109" i="17"/>
  <c r="T109" i="17"/>
  <c r="R109" i="17"/>
  <c r="M109" i="17"/>
  <c r="Q109" i="17"/>
  <c r="P101" i="17"/>
  <c r="R101" i="17"/>
  <c r="T101" i="17"/>
  <c r="Q101" i="17"/>
  <c r="P93" i="17"/>
  <c r="Q93" i="17"/>
  <c r="M141" i="17"/>
  <c r="U109" i="17"/>
  <c r="U117" i="17"/>
  <c r="Q125" i="17"/>
  <c r="N93" i="17"/>
  <c r="U93" i="17"/>
  <c r="AT2964" i="3"/>
  <c r="AS2964" i="3"/>
  <c r="AY2964" i="3"/>
  <c r="AX2964" i="3"/>
  <c r="AW2964" i="3"/>
  <c r="AV2788" i="3"/>
  <c r="AU2788" i="3"/>
  <c r="AS2788" i="3"/>
  <c r="AY2788" i="3"/>
  <c r="AX2788" i="3"/>
  <c r="AU2964" i="3"/>
  <c r="AY2821" i="3"/>
  <c r="AR2821" i="3"/>
  <c r="AW2821" i="3"/>
  <c r="AV2821" i="3"/>
  <c r="AU2821" i="3"/>
  <c r="AR2787" i="3"/>
  <c r="AY2787" i="3"/>
  <c r="AX2787" i="3"/>
  <c r="AV2787" i="3"/>
  <c r="AU2787" i="3"/>
  <c r="AT2787" i="3"/>
  <c r="AR2841" i="3"/>
  <c r="AT2841" i="3"/>
  <c r="AW2841" i="3"/>
  <c r="AX2841" i="3"/>
  <c r="AV2841" i="3"/>
  <c r="AY2841" i="3"/>
  <c r="AU2841" i="3"/>
  <c r="AY2852" i="3"/>
  <c r="AX2852" i="3"/>
  <c r="AR2852" i="3"/>
  <c r="AV2852" i="3"/>
  <c r="AU2852" i="3"/>
  <c r="AT2852" i="3"/>
  <c r="AS2852" i="3"/>
  <c r="AX2821" i="3"/>
  <c r="AT3010" i="3"/>
  <c r="AS2787" i="3"/>
  <c r="AV2964" i="3"/>
  <c r="AX2858" i="3"/>
  <c r="AT2858" i="3"/>
  <c r="AY2858" i="3"/>
  <c r="AU2858" i="3"/>
  <c r="AW2858" i="3"/>
  <c r="AV2858" i="3"/>
  <c r="AS2858" i="3"/>
  <c r="AR2858" i="3"/>
  <c r="AX3010" i="3"/>
  <c r="AV3010" i="3"/>
  <c r="AU3010" i="3"/>
  <c r="AS3010" i="3"/>
  <c r="AU348" i="4"/>
  <c r="AT348" i="4"/>
  <c r="AO348" i="4"/>
  <c r="AR348" i="4"/>
  <c r="AQ348" i="4"/>
  <c r="AP348" i="4"/>
  <c r="AW2816" i="3"/>
  <c r="AY2816" i="3"/>
  <c r="AR2816" i="3"/>
  <c r="AV2816" i="3"/>
  <c r="AX2816" i="3"/>
  <c r="AU2816" i="3"/>
  <c r="AS2816" i="3"/>
  <c r="AS348" i="4"/>
  <c r="AR2784" i="3"/>
  <c r="AY2784" i="3"/>
  <c r="AX2784" i="3"/>
  <c r="AV2784" i="3"/>
  <c r="AU2784" i="3"/>
  <c r="AT2784" i="3"/>
  <c r="AY2963" i="3"/>
  <c r="AR2963" i="3"/>
  <c r="AW2963" i="3"/>
  <c r="AV2963" i="3"/>
  <c r="AU2963" i="3"/>
  <c r="AW2852" i="3"/>
  <c r="AU353" i="4"/>
  <c r="AR353" i="4"/>
  <c r="AO353" i="4"/>
  <c r="AP353" i="4"/>
  <c r="AT353" i="4"/>
  <c r="AS353" i="4"/>
  <c r="AV353" i="4"/>
  <c r="AT3005" i="3"/>
  <c r="AU3005" i="3"/>
  <c r="AR3005" i="3"/>
  <c r="AW3005" i="3"/>
  <c r="AS3005" i="3"/>
  <c r="AY3005" i="3"/>
  <c r="AV3005" i="3"/>
  <c r="AT2788" i="3"/>
  <c r="AV348" i="4"/>
  <c r="AT3001" i="3"/>
  <c r="AV3001" i="3"/>
  <c r="AR3001" i="3"/>
  <c r="AS3001" i="3"/>
  <c r="AY3001" i="3"/>
  <c r="AX3001" i="3"/>
  <c r="AW3001" i="3"/>
  <c r="AT351" i="4"/>
  <c r="AS351" i="4"/>
  <c r="AO351" i="4"/>
  <c r="AQ351" i="4"/>
  <c r="AP351" i="4"/>
  <c r="AU351" i="4"/>
  <c r="AY2853" i="3"/>
  <c r="AW2853" i="3"/>
  <c r="AR2853" i="3"/>
  <c r="AV2853" i="3"/>
  <c r="AU2853" i="3"/>
  <c r="AS2853" i="3"/>
  <c r="AT2853" i="3"/>
  <c r="AX2853" i="3"/>
  <c r="AW2788" i="3"/>
  <c r="Z1122" i="13"/>
  <c r="AA1122" i="13"/>
  <c r="AR2964" i="3"/>
  <c r="AR2788" i="3"/>
  <c r="AQ349" i="4"/>
  <c r="AS349" i="4"/>
  <c r="AP349" i="4"/>
  <c r="AU349" i="4"/>
  <c r="AV349" i="4"/>
  <c r="AT349" i="4"/>
  <c r="AR349" i="4"/>
  <c r="AW2846" i="3"/>
  <c r="AU2846" i="3"/>
  <c r="AS2846" i="3"/>
  <c r="AT2846" i="3"/>
  <c r="AR2846" i="3"/>
  <c r="AY2846" i="3"/>
  <c r="AV2846" i="3"/>
  <c r="AX2846" i="3"/>
  <c r="AS2887" i="3"/>
  <c r="AV2917" i="3"/>
  <c r="W1146" i="13"/>
  <c r="AV356" i="4"/>
  <c r="AU356" i="4"/>
  <c r="AA1153" i="13"/>
  <c r="AU2920" i="3"/>
  <c r="AV2920" i="3"/>
  <c r="AU2924" i="3"/>
  <c r="X1155" i="13"/>
  <c r="AS2932" i="3"/>
  <c r="AW2804" i="3"/>
  <c r="AY2812" i="3"/>
  <c r="AT2812" i="3"/>
  <c r="AR2800" i="3"/>
  <c r="AX2863" i="3"/>
  <c r="AU2944" i="3"/>
  <c r="AX380" i="4"/>
  <c r="AS2826" i="3"/>
  <c r="BA2790" i="3"/>
  <c r="Q152" i="17"/>
  <c r="AV2968" i="3"/>
  <c r="AS3012" i="3"/>
  <c r="AT2887" i="3"/>
  <c r="AY2887" i="3"/>
  <c r="AW2917" i="3"/>
  <c r="X1146" i="13"/>
  <c r="Y1146" i="13"/>
  <c r="AP356" i="4"/>
  <c r="AR2913" i="3"/>
  <c r="AC1153" i="13"/>
  <c r="X1153" i="13"/>
  <c r="AW2920" i="3"/>
  <c r="AV2924" i="3"/>
  <c r="Y1155" i="13"/>
  <c r="AU2932" i="3"/>
  <c r="AX2804" i="3"/>
  <c r="M146" i="17"/>
  <c r="AX2812" i="3"/>
  <c r="BA2986" i="3"/>
  <c r="AY2800" i="3"/>
  <c r="AW2863" i="3"/>
  <c r="AU380" i="4"/>
  <c r="AZ2826" i="3"/>
  <c r="AR2790" i="3"/>
  <c r="AW2790" i="3"/>
  <c r="AW3012" i="3"/>
  <c r="AX3009" i="3"/>
  <c r="AR346" i="4"/>
  <c r="AW2941" i="3"/>
  <c r="AU2887" i="3"/>
  <c r="AW2913" i="3"/>
  <c r="AT356" i="4"/>
  <c r="AU2913" i="3"/>
  <c r="Y1153" i="13"/>
  <c r="AX2920" i="3"/>
  <c r="Z1155" i="13"/>
  <c r="AT2932" i="3"/>
  <c r="AY2804" i="3"/>
  <c r="N146" i="17"/>
  <c r="AW2812" i="3"/>
  <c r="AS2986" i="3"/>
  <c r="AY2986" i="3"/>
  <c r="AX2800" i="3"/>
  <c r="AT2800" i="3"/>
  <c r="AV2863" i="3"/>
  <c r="AU2790" i="3"/>
  <c r="M152" i="17"/>
  <c r="R152" i="17"/>
  <c r="AW2968" i="3"/>
  <c r="AY2790" i="3"/>
  <c r="AV3012" i="3"/>
  <c r="AT3012" i="3"/>
  <c r="AY3009" i="3"/>
  <c r="AS346" i="4"/>
  <c r="AX2941" i="3"/>
  <c r="AR3009" i="3"/>
  <c r="AU346" i="4"/>
  <c r="AV2887" i="3"/>
  <c r="AX2917" i="3"/>
  <c r="Z1146" i="13"/>
  <c r="AQ356" i="4"/>
  <c r="AS2913" i="3"/>
  <c r="AW2924" i="3"/>
  <c r="AA1155" i="13"/>
  <c r="AV2932" i="3"/>
  <c r="O146" i="17"/>
  <c r="AV2812" i="3"/>
  <c r="AW2986" i="3"/>
  <c r="AW2800" i="3"/>
  <c r="AU2863" i="3"/>
  <c r="AV2944" i="3"/>
  <c r="BA2944" i="3"/>
  <c r="AP380" i="4"/>
  <c r="AV380" i="4"/>
  <c r="AY2826" i="3"/>
  <c r="AU2826" i="3"/>
  <c r="AW2826" i="3"/>
  <c r="AV2790" i="3"/>
  <c r="N152" i="17"/>
  <c r="AT2790" i="3"/>
  <c r="AU3012" i="3"/>
  <c r="AY3012" i="3"/>
  <c r="AY2917" i="3"/>
  <c r="AC1146" i="13"/>
  <c r="AX2913" i="3"/>
  <c r="AR2887" i="3"/>
  <c r="AR2917" i="3"/>
  <c r="AB1146" i="13"/>
  <c r="AV2913" i="3"/>
  <c r="AO356" i="4"/>
  <c r="W1153" i="13"/>
  <c r="AR2920" i="3"/>
  <c r="AS2920" i="3"/>
  <c r="AB1155" i="13"/>
  <c r="AW2932" i="3"/>
  <c r="AT2804" i="3"/>
  <c r="P146" i="17"/>
  <c r="AS2812" i="3"/>
  <c r="AU2812" i="3"/>
  <c r="AV2986" i="3"/>
  <c r="AV2800" i="3"/>
  <c r="AS2863" i="3"/>
  <c r="AT2863" i="3"/>
  <c r="AS2944" i="3"/>
  <c r="AY2944" i="3"/>
  <c r="AX2944" i="3"/>
  <c r="AB1153" i="13"/>
  <c r="AY2920" i="3"/>
  <c r="AR2924" i="3"/>
  <c r="V1155" i="13"/>
  <c r="AR2932" i="3"/>
  <c r="AR2804" i="3"/>
  <c r="L146" i="17"/>
  <c r="BA2812" i="3"/>
  <c r="AU2986" i="3"/>
  <c r="BA2800" i="3"/>
  <c r="BA2863" i="3"/>
  <c r="AR2944" i="3"/>
  <c r="AQ380" i="4"/>
  <c r="AT2826" i="3"/>
  <c r="O152" i="17"/>
  <c r="S152" i="17"/>
  <c r="AS2968" i="3"/>
  <c r="AX2968" i="3"/>
  <c r="AZ2968" i="3"/>
  <c r="AX3012" i="3"/>
  <c r="AZ3012" i="3"/>
  <c r="AO380" i="4"/>
  <c r="AR2826" i="3"/>
  <c r="AX2790" i="3"/>
  <c r="L152" i="17"/>
  <c r="AR2968" i="3"/>
  <c r="AS2785" i="3"/>
  <c r="AT3008" i="3"/>
  <c r="AR2962" i="3"/>
  <c r="AS2941" i="3"/>
  <c r="AQ347" i="4"/>
  <c r="AT2917" i="3"/>
  <c r="AS2924" i="3"/>
  <c r="AY2924" i="3"/>
  <c r="AS2804" i="3"/>
  <c r="R146" i="17"/>
  <c r="AR2986" i="3"/>
  <c r="AT2986" i="3"/>
  <c r="AR2863" i="3"/>
  <c r="AT2944" i="3"/>
  <c r="AS380" i="4"/>
  <c r="AW380" i="4"/>
  <c r="AV2826" i="3"/>
  <c r="T152" i="17"/>
  <c r="BA2968" i="3"/>
  <c r="AW2944" i="3"/>
  <c r="AT2968" i="3"/>
  <c r="D23" i="34" l="1"/>
  <c r="D116" i="34"/>
  <c r="D82" i="34"/>
  <c r="D70" i="34"/>
  <c r="D52" i="34"/>
  <c r="D27" i="34"/>
  <c r="D40" i="34"/>
  <c r="D115" i="34"/>
  <c r="D114" i="34"/>
  <c r="D48" i="34"/>
  <c r="D110" i="34"/>
  <c r="D28" i="34"/>
  <c r="D29" i="34"/>
  <c r="D33" i="34"/>
  <c r="D94" i="34"/>
  <c r="D85" i="34"/>
  <c r="D39" i="34"/>
  <c r="D87" i="34"/>
  <c r="D88" i="34"/>
  <c r="D80" i="34"/>
  <c r="D49" i="34"/>
  <c r="D64" i="34"/>
  <c r="D35" i="34"/>
  <c r="D58" i="34"/>
  <c r="D98" i="34"/>
  <c r="D50" i="34"/>
  <c r="D51" i="34"/>
  <c r="D56" i="34"/>
  <c r="D124" i="34"/>
  <c r="D118" i="34"/>
  <c r="D126" i="34"/>
  <c r="D60" i="34"/>
  <c r="D18" i="34"/>
  <c r="D31" i="34"/>
  <c r="D26" i="34"/>
  <c r="M246" i="12"/>
  <c r="D75" i="34"/>
  <c r="D72" i="34"/>
  <c r="D74" i="34"/>
  <c r="D77" i="34"/>
  <c r="D43" i="34"/>
  <c r="D45" i="34"/>
  <c r="D134" i="34"/>
  <c r="D139" i="34"/>
  <c r="D132" i="34"/>
  <c r="D133" i="34"/>
  <c r="D141" i="34"/>
  <c r="D46" i="34"/>
  <c r="D138" i="34"/>
  <c r="D135" i="34"/>
  <c r="D136" i="34"/>
  <c r="D140" i="34"/>
  <c r="D42" i="34"/>
  <c r="D131" i="34"/>
  <c r="D91" i="34"/>
  <c r="D90" i="34"/>
  <c r="D127" i="34"/>
  <c r="D128" i="34"/>
  <c r="M24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tc={790D2348-AA55-4179-89B0-E3F042978381}</author>
  </authors>
  <commentList>
    <comment ref="K8" authorId="0" shapeId="0" xr:uid="{790D2348-AA55-4179-89B0-E3F0429783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(WB definition excl. Malta)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tc={C50824E8-4B0B-435B-82AF-98F4FA34C940}</author>
  </authors>
  <commentList>
    <comment ref="V38" authorId="0" shapeId="0" xr:uid="{C50824E8-4B0B-435B-82AF-98F4FA34C94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@Taeger, Nadja GIZ I do not understand the database well enough to fix this short-term. I believe the code means that the formule is referencing a non-existing value/ cell)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tc={D89A5F3D-F242-4672-86CB-85F9D3A4B9E3}</author>
    <author>tc={4897AF2C-9E83-498C-A9D2-9F5F729B6BD0}</author>
    <author>tc={1A4349A7-834C-47D9-8925-7120A44FCE4A}</author>
    <author>tc={C8C782B4-05B0-4AFA-83CE-D30DD7B85645}</author>
    <author>tc={00D3B419-0F70-4551-826F-B044803E1723}</author>
    <author>tc={3008BEBB-37F5-4109-B58D-BDCF118A8664}</author>
    <author>tc={1CF53150-FA34-4D4F-BA2F-DD68F5779A9C}</author>
    <author>tc={B2A74AC8-F4D2-41CF-8A07-EF0A91406FCF}</author>
  </authors>
  <commentList>
    <comment ref="AD8" authorId="0" shapeId="0" xr:uid="{D89A5F3D-F242-4672-86CB-85F9D3A4B9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AE8" authorId="1" shapeId="0" xr:uid="{4897AF2C-9E83-498C-A9D2-9F5F729B6B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O23" authorId="2" shapeId="0" xr:uid="{1A4349A7-834C-47D9-8925-7120A44FCE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page number wrong:
It is page 11 in the pdf and page 21 as numbered in the document</t>
      </text>
    </comment>
    <comment ref="Q23" authorId="3" shapeId="0" xr:uid="{C8C782B4-05B0-4AFA-83CE-D30DD7B8564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T_BAU</t>
      </text>
    </comment>
    <comment ref="Q197" authorId="4" shapeId="0" xr:uid="{00D3B419-0F70-4551-826F-B044803E17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to T_BAU
Text from NDC (page 36): Targets reference reductions against a baseline (business as usual) projected to 2030.</t>
      </text>
    </comment>
    <comment ref="N635" authorId="5" shapeId="0" xr:uid="{3008BEBB-37F5-4109-B58D-BDCF118A866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duplicate</t>
      </text>
    </comment>
    <comment ref="Q783" authorId="6" shapeId="0" xr:uid="{1CF53150-FA34-4D4F-BA2F-DD68F5779A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be T_BAU as the 40% reduction is against BAU (this should also be included in the quote:
The quantified mitigation target is equivalent to 40% reduction of GHG emissions by 2030 compared to the BAU scenario. The contribution by each sector to the 40% mitigation target in terms of avoided emissions (ktCO2eq) is as it follows:</t>
      </text>
    </comment>
    <comment ref="N1083" authorId="7" shapeId="0" xr:uid="{B2A74AC8-F4D2-41CF-8A07-EF0A91406F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Quote not complete (reference missing):
To ensure accuracy against GHG emissions reported in 2007, the energy sector includes the electricity, land transport, maritime transport, and tourism sub-sectors. While emissions from these sub-sectors were not reported in a way that would allow Samoa to form sub-sector targets relative to the 2007 emissions inventory baseline, Samoa would like to put forward to following mass-based sub-sector GHG emissions reduction targets that can be applied relative to the new reference year once the GHG emissions inventory is updated: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tc={0AD6A05E-964C-42D5-980E-D57B9362B401}</author>
    <author>tc={AE657676-88EE-4EA7-93F3-A336B162493F}</author>
    <author>tc={13D3B32C-D4A6-4680-B246-F7B42C96C990}</author>
    <author>tc={C44E3134-729A-4C2E-B102-52B690D38444}</author>
    <author>tc={CB1A3248-D92C-4B16-9F02-6ED320E3991F}</author>
    <author>tc={389D6CE0-1059-4557-818E-4C30B6CC6044}</author>
    <author>tc={4FCD3527-B9EC-4B6F-BFF7-EF59CA10B6E3}</author>
    <author>tc={99A1A211-DFB6-4DC2-9C8C-679EA4A57FBA}</author>
    <author>tc={43133B8F-D7F3-4ADE-ACA8-FFE4C3DD8FC7}</author>
  </authors>
  <commentList>
    <comment ref="AZ8" authorId="0" shapeId="0" xr:uid="{0AD6A05E-964C-42D5-980E-D57B9362B4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BA8" authorId="1" shapeId="0" xr:uid="{AE657676-88EE-4EA7-93F3-A336B16249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A54" authorId="2" shapeId="0" xr:uid="{13D3B32C-D4A6-4680-B246-F7B42C96C9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this is just a general statement and not an actual measure, I would delete or define a dedicated parameter for such general statements
Antwort:
    This indicator is to be used for general transport infrastructure measures. If you still think it doesn't add value, please delete.</t>
      </text>
    </comment>
    <comment ref="B54" authorId="3" shapeId="0" xr:uid="{C44E3134-729A-4C2E-B102-52B690D384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this is just a general statement and not an actual measure, I would delete or define a dedicated parameter for such general statements
Antwort:
    This indicator is to be used for general transport infrastructure measures. If you still think it doesn't add value, please delete.</t>
      </text>
    </comment>
    <comment ref="A386" authorId="4" shapeId="0" xr:uid="{CB1A3248-D92C-4B16-9F02-6ED320E3991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move to targets?
Antwort:
    decision made to keep such target like measures under measures and only include specified targets in target section --&gt; cf. To Do</t>
      </text>
    </comment>
    <comment ref="B386" authorId="5" shapeId="0" xr:uid="{389D6CE0-1059-4557-818E-4C30B6CC60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move to targets?
Antwort:
    decision made to keep such target like measures under measures and only include specified targets in target section --&gt; cf. To Do</t>
      </text>
    </comment>
    <comment ref="K745" authorId="6" shapeId="0" xr:uid="{4FCD3527-B9EC-4B6F-BFF7-EF59CA10B6E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be I_Emobility ?
Antwort:
    done</t>
      </text>
    </comment>
    <comment ref="K937" authorId="7" shapeId="0" xr:uid="{99A1A211-DFB6-4DC2-9C8C-679EA4A57F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split into one BRT (S_BRT) and one light rail (S_PublicTransport) measure? I don't see any integration here
Antwort:
    cf. definition of integration indicator also includes expansion</t>
      </text>
    </comment>
    <comment ref="K2403" authorId="8" shapeId="0" xr:uid="{43133B8F-D7F3-4ADE-ACA8-FFE4C3DD8FC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be S_PublicTransport ?
Antwort:
    cf. indicator definition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tc={27D27FFF-4BB2-4100-BA9E-210AEAEA2FB6}</author>
    <author>tc={36DB0195-5647-46F4-A912-E4621318A649}</author>
    <author>tc={2F1B0A56-032D-4DC1-97BB-61E44704A960}</author>
  </authors>
  <commentList>
    <comment ref="AW8" authorId="0" shapeId="0" xr:uid="{27D27FFF-4BB2-4100-BA9E-210AEAEA2F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AX8" authorId="1" shapeId="0" xr:uid="{36DB0195-5647-46F4-A912-E4621318A6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 ref="L107" authorId="2" shapeId="0" xr:uid="{2F1B0A56-032D-4DC1-97BB-61E44704A9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road and rail?
Antwort:
    Where does it explicitely mention rail and road?
Antwort:
    I assume it's land transport but as we don't have that as mode I would also refrain from defining the mode as road or rail</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tc={99FCBC95-D03B-462D-B7D6-3A7699EA041C}</author>
    <author>tc={BC2BC0A8-BFA8-43F1-8E48-37E89BBB102B}</author>
  </authors>
  <commentList>
    <comment ref="T8" authorId="0" shapeId="0" xr:uid="{99FCBC95-D03B-462D-B7D6-3A7699EA04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Total GHG emissions of the country - adding up only possible for unique key entries!
</t>
      </text>
    </comment>
    <comment ref="U8" authorId="1" shapeId="0" xr:uid="{BC2BC0A8-BFA8-43F1-8E48-37E89BBB1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Transport sector GHG emissions of the country - adding up only possible for unique key entries!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tc={A21DDDC8-E05F-4CFC-8AAB-314D5BC6BD5C}</author>
  </authors>
  <commentList>
    <comment ref="H98" authorId="0" shapeId="0" xr:uid="{A21DDDC8-E05F-4CFC-8AAB-314D5BC6BD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 included this here because it gives information about where to find more detailed info on measures, despite not mentioning a specific strategy.</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51F85C2-F540-4D35-A37F-7BA616194F49}" keepAlive="1" name="Abfrage - Adaptation" description="Verbindung mit der Abfrage 'Adaptation' in der Arbeitsmappe." type="5" refreshedVersion="0" background="1" saveData="1">
    <dbPr connection="Provider=Microsoft.Mashup.OleDb.1;Data Source=$Workbook$;Location=Adaptation;Extended Properties=&quot;&quot;" command="SELECT * FROM [Adaptation]"/>
  </connection>
  <connection id="2" xr16:uid="{754CCA3B-6814-43AD-9020-97B47D7BE3CC}" keepAlive="1" name="Abfrage - ImportSheet_Measures" description="Verbindung mit der Abfrage 'ImportSheet_Measures' in der Arbeitsmappe." type="5" refreshedVersion="8" background="1" saveData="1">
    <dbPr connection="Provider=Microsoft.Mashup.OleDb.1;Data Source=$Workbook$;Location=ImportSheet_Measures;Extended Properties=&quot;&quot;" command="SELECT * FROM [ImportSheet_Measures]"/>
  </connection>
  <connection id="3" xr16:uid="{2A4AA43F-1F64-4C99-ADC7-F27534977088}" keepAlive="1" name="Abfrage - ImportSheet_Targets" description="Verbindung mit der Abfrage 'ImportSheet_Targets' in der Arbeitsmappe." type="5" refreshedVersion="8" background="1" saveData="1">
    <dbPr connection="Provider=Microsoft.Mashup.OleDb.1;Data Source=$Workbook$;Location=ImportSheet_Targets;Extended Properties=&quot;&quot;" command="SELECT * FROM [ImportSheet_Targets]"/>
  </connection>
  <connection id="4" xr16:uid="{1CAD4D69-C79D-4452-800D-00A9BA14D332}" keepAlive="1" name="Abfrage - Mapping_Activity-Type" description="Verbindung mit der Abfrage 'Mapping_Activity-Type' in der Arbeitsmappe." type="5" refreshedVersion="8" background="1" saveData="1">
    <dbPr connection="Provider=Microsoft.Mashup.OleDb.1;Data Source=$Workbook$;Location=Mapping_Activity-Type;Extended Properties=&quot;&quot;" command="SELECT * FROM [Mapping_Activity-Type]"/>
  </connection>
  <connection id="5" xr16:uid="{C871FEB3-67B9-4448-8DF5-13CF5E95169D}" keepAlive="1" name="Query - Main Analysis &amp; Results" description="Connection to the 'Main Analysis &amp; Results' query in the workbook." type="5" refreshedVersion="8" background="1" saveData="1">
    <dbPr connection="Provider=Microsoft.Mashup.OleDb.1;Data Source=$Workbook$;Location=&quot;Main Analysis &amp; Results&quot;;Extended Properties=&quot;&quot;" command="SELECT * FROM [Main Analysis &amp; Results]"/>
  </connection>
  <connection id="6" xr16:uid="{0EBE6766-A800-4FCF-8C74-3ECB886568C0}" name="Table8" type="102" refreshedVersion="8" minRefreshableVersion="5" saveData="1">
    <extLst>
      <ext xmlns:x15="http://schemas.microsoft.com/office/spreadsheetml/2010/11/main" uri="{DE250136-89BD-433C-8126-D09CA5730AF9}">
        <x15:connection id="Table8-ec662f81-dc6d-408f-bb78-da2cc99918d7">
          <x15:rangePr sourceName="_xlcn.Table81"/>
        </x15:connection>
      </ext>
    </extLst>
  </connection>
  <connection id="7" xr16:uid="{9C4C832B-4556-4CB3-B700-846977D65BE3}"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8" xr16:uid="{789827B9-508F-41A3-91CE-5A3594AC4730}" name="WorksheetConnection_NDC-Database-Analysis_current.xlsx!Table1" type="102" refreshedVersion="8" minRefreshableVersion="5">
    <extLst>
      <ext xmlns:x15="http://schemas.microsoft.com/office/spreadsheetml/2010/11/main" uri="{DE250136-89BD-433C-8126-D09CA5730AF9}">
        <x15:connection id="Table1">
          <x15:rangePr sourceName="_xlcn.WorksheetConnection_NDCDatabaseAnalysis_current.xlsxTable11"/>
        </x15:connection>
      </ext>
    </extLst>
  </connection>
  <connection id="9" xr16:uid="{3E80D07B-3D79-4324-B478-0FDC9976EF0A}" name="WorksheetConnection_NDC-Database-Analysis_current.xlsx!Table10" type="102" refreshedVersion="8" minRefreshableVersion="5">
    <extLst>
      <ext xmlns:x15="http://schemas.microsoft.com/office/spreadsheetml/2010/11/main" uri="{DE250136-89BD-433C-8126-D09CA5730AF9}">
        <x15:connection id="Table10">
          <x15:rangePr sourceName="_xlcn.WorksheetConnection_NDCDatabaseAnalysis_current.xlsxTable101"/>
        </x15:connection>
      </ext>
    </extLst>
  </connection>
  <connection id="10" xr16:uid="{C75CB41D-90FD-4740-A7D7-75579927FF08}" name="WorksheetConnection_NDC-Database-Analysis_current.xlsx!Table12" type="102" refreshedVersion="8" minRefreshableVersion="5">
    <extLst>
      <ext xmlns:x15="http://schemas.microsoft.com/office/spreadsheetml/2010/11/main" uri="{DE250136-89BD-433C-8126-D09CA5730AF9}">
        <x15:connection id="Table12">
          <x15:rangePr sourceName="_xlcn.WorksheetConnection_NDCDatabaseAnalysis_current.xlsxTable121"/>
        </x15:connection>
      </ext>
    </extLst>
  </connection>
  <connection id="11" xr16:uid="{D085E756-36B8-48EA-B27B-EFB4B8A082E6}" name="WorksheetConnection_NDC-Database-Analysis_current.xlsx!Table18" type="102" refreshedVersion="8" minRefreshableVersion="5">
    <extLst>
      <ext xmlns:x15="http://schemas.microsoft.com/office/spreadsheetml/2010/11/main" uri="{DE250136-89BD-433C-8126-D09CA5730AF9}">
        <x15:connection id="Table18">
          <x15:rangePr sourceName="_xlcn.WorksheetConnection_NDCDatabaseAnalysis_current.xlsxTable181"/>
        </x15:connection>
      </ext>
    </extLst>
  </connection>
  <connection id="12" xr16:uid="{B23465C6-8F95-4940-9998-F02E3ACE943D}" name="WorksheetConnection_NDC-Database-Analysis_current.xlsx!Table2" type="102" refreshedVersion="8" minRefreshableVersion="5">
    <extLst>
      <ext xmlns:x15="http://schemas.microsoft.com/office/spreadsheetml/2010/11/main" uri="{DE250136-89BD-433C-8126-D09CA5730AF9}">
        <x15:connection id="Table2">
          <x15:rangePr sourceName="_xlcn.WorksheetConnection_NDCDatabaseAnalysis_current.xlsxTable21"/>
        </x15:connection>
      </ext>
    </extLst>
  </connection>
  <connection id="13" xr16:uid="{FE6D4F40-F15D-46C2-B670-D19639B2379B}" name="WorksheetConnection_NDC-Database-Analysis_current.xlsx!Table3" type="102" refreshedVersion="8" minRefreshableVersion="5">
    <extLst>
      <ext xmlns:x15="http://schemas.microsoft.com/office/spreadsheetml/2010/11/main" uri="{DE250136-89BD-433C-8126-D09CA5730AF9}">
        <x15:connection id="Table3">
          <x15:rangePr sourceName="_xlcn.WorksheetConnection_NDCDatabaseAnalysis_current.xlsxTable31"/>
        </x15:connection>
      </ext>
    </extLst>
  </connection>
  <connection id="14" xr16:uid="{BA16A742-0986-407A-9BAF-8F3A550D38CC}" name="WorksheetConnection_NDC-Database-Analysis_current.xlsx!Table5" type="102" refreshedVersion="8" minRefreshableVersion="5">
    <extLst>
      <ext xmlns:x15="http://schemas.microsoft.com/office/spreadsheetml/2010/11/main" uri="{DE250136-89BD-433C-8126-D09CA5730AF9}">
        <x15:connection id="Table5">
          <x15:rangePr sourceName="_xlcn.WorksheetConnection_NDCDatabaseAnalysis_current.xlsxTable51"/>
        </x15:connection>
      </ext>
    </extLst>
  </connection>
  <connection id="15" xr16:uid="{2363A333-5CC8-4CC7-8270-059EB0912B91}" name="WorksheetConnection_NDC-Database-Analysis_current.xlsx!Table9" type="102" refreshedVersion="8" minRefreshableVersion="5">
    <extLst>
      <ext xmlns:x15="http://schemas.microsoft.com/office/spreadsheetml/2010/11/main" uri="{DE250136-89BD-433C-8126-D09CA5730AF9}">
        <x15:connection id="Table9">
          <x15:rangePr sourceName="_xlcn.WorksheetConnection_NDCDatabaseAnalysis_current.xlsxTable9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<sst xmlns="http://schemas.openxmlformats.org/spreadsheetml/2006/main" count="46779" uniqueCount="6451">
  <si>
    <t>NDC Transport Tracker</t>
  </si>
  <si>
    <t>The NDC Transport Tracker enables you to get a clear picture of ambition, targets and policies in Nationally Determined Contributions and Long-Term Strategies by countries in support of sustainable, low-carbon transport.
The NDC Transport Tracker was developed by SLOCAT and the Advancing Transport Climate Strategies in Rapidly Motorising Countries (TraCS) project that is implemented by the Deutsche Gesellschaft für Internationale Zusammenarbeit (GIZ) and financed by the International Climate Initiative (IKI) of the German Federal Ministry for the Environment, Nature Conservation and Nuclear Safety.</t>
  </si>
  <si>
    <t xml:space="preserve">Content of tracker </t>
  </si>
  <si>
    <t xml:space="preserve">With the NDC Transport Tracker, you can keep track of national-level climate policies and targets in transport. In particular, it provides information on the role of transport in Nationally Determined Contributions (NDCs) and Long-term Low Greenhouse Gas Emission Development Strategies (LTS) – the two major reporting mechanisms of the Paris Agreement on Climate Change.  
The tracker will be updated constantly. The newest NDCs and LTS will be added once published on the submissions portal of the United Nations Framework Convention on Climate Change (UNFCCC). The original NDC can be found in the NDC Registry and the LTS are compiled here. The NDC Transport Tracker will be updated in the future with other major national strategies, starting with the relevant transport documents references in the LTS and NDCs. </t>
  </si>
  <si>
    <t>Usage</t>
  </si>
  <si>
    <t>The database and content included in this document fall under the creative commons license  CC BY 4.0. You are free to share (copy and redistribute data in any form) and adapt (build upon the data for any purpose) as long as appropriate credit is provided. Please cite the database as follows:</t>
  </si>
  <si>
    <t xml:space="preserve">GIZ and SLOCAT (2025). NDC Transport Tracker (vers. 4.0). Available from: www.changing-transport.org/tracker.  </t>
  </si>
  <si>
    <t>Please be aware that the database is still work-in-progress and not all features/information might work correctly.</t>
  </si>
  <si>
    <t>Country-specific</t>
  </si>
  <si>
    <t>This sheet contains basic information about the countries, including regional groupings, whether they are part of any transport-related initiatives and if they have a net-zero emission target and/or an ICE phase-out target</t>
  </si>
  <si>
    <t>Source:</t>
  </si>
  <si>
    <t>Column L to R was last updated in mid-2022</t>
  </si>
  <si>
    <t>UNFCCC, Parties, https://unfccc.int/process/parties-non-party-stakeholders/parties-convention-and-observer-states</t>
  </si>
  <si>
    <t>UN Statistical Commission, Methodology, https://unstats.un.org/unsd/methodology/m49/</t>
  </si>
  <si>
    <t>World Bank, World Bank Country and Lending Groups, https://datahelpdesk.worldbank.org/knowledgebase/articles/906519-world-bank-country-and-lending-groups</t>
  </si>
  <si>
    <t>https://ukcop26.org/cop26-declaration-on-accelerating-the-transition-to-100-zero-emission-cars-and-vans/</t>
  </si>
  <si>
    <t>https://ukcop26.org/cop-26-declaration-international-aviation-climate-ambition-coalition/</t>
  </si>
  <si>
    <t>https://ukcop26.org/cop-26-clydebank-declaration-for-green-shipping-corridors/</t>
  </si>
  <si>
    <t>https://globaldrivetozero.org/mou-nations/</t>
  </si>
  <si>
    <t>https://beyondoilandgasalliance.com/who-we-are/</t>
  </si>
  <si>
    <t>https://tda-mobility.org/charge-to-move-and-accelerate/</t>
  </si>
  <si>
    <t>Country Codes</t>
  </si>
  <si>
    <t>Country</t>
  </si>
  <si>
    <t>Annex I or Non-Annex I</t>
  </si>
  <si>
    <t>Region</t>
  </si>
  <si>
    <t>Income Level Group</t>
  </si>
  <si>
    <t>G20</t>
  </si>
  <si>
    <t>G7</t>
  </si>
  <si>
    <t>OECD</t>
  </si>
  <si>
    <t>EU27</t>
  </si>
  <si>
    <t xml:space="preserve">MENA region </t>
  </si>
  <si>
    <t>Declaration on accelerating the transition to 100% zero emission cars and vans</t>
  </si>
  <si>
    <t>Breakthrough agenda - road transport</t>
  </si>
  <si>
    <t>International aviation climate ambition coalition</t>
  </si>
  <si>
    <t>Clydebank declaration for green shipping corridors</t>
  </si>
  <si>
    <t xml:space="preserve">Memorandum of understanding on zero-emission medium- and heavy-duty vehicles </t>
  </si>
  <si>
    <t>Beyond oil and gas alliance</t>
  </si>
  <si>
    <t>Charge forward to zero emissions transportation</t>
  </si>
  <si>
    <t>Net-zero target</t>
  </si>
  <si>
    <t>ICE phase-out target</t>
  </si>
  <si>
    <t>ICE phase-out target type</t>
  </si>
  <si>
    <t>ICE phase-out target year</t>
  </si>
  <si>
    <t>Source ICE phase-out target</t>
  </si>
  <si>
    <t>GHG total 2023 (Mt)</t>
  </si>
  <si>
    <t>GHG transport 2023 (Mt)</t>
  </si>
  <si>
    <t>AFG</t>
  </si>
  <si>
    <t>Afghanistan</t>
  </si>
  <si>
    <t>Non-Annex I</t>
  </si>
  <si>
    <t>Asia</t>
  </si>
  <si>
    <t>Low-income</t>
  </si>
  <si>
    <t>no</t>
  </si>
  <si>
    <t>non-OECD</t>
  </si>
  <si>
    <t>NA</t>
  </si>
  <si>
    <t>ALB</t>
  </si>
  <si>
    <t>Albania</t>
  </si>
  <si>
    <t>Europe</t>
  </si>
  <si>
    <t>Middle-income</t>
  </si>
  <si>
    <t>DZA</t>
  </si>
  <si>
    <t>Algeria</t>
  </si>
  <si>
    <t>Africa</t>
  </si>
  <si>
    <t>MENA</t>
  </si>
  <si>
    <t>AND</t>
  </si>
  <si>
    <t>Andorra</t>
  </si>
  <si>
    <t>High-income</t>
  </si>
  <si>
    <t>yes</t>
  </si>
  <si>
    <t>AGO</t>
  </si>
  <si>
    <t>Angola</t>
  </si>
  <si>
    <t>ATG</t>
  </si>
  <si>
    <t>Antigua and Barbuda</t>
  </si>
  <si>
    <t>Latin America and the Caribbean</t>
  </si>
  <si>
    <t>Sales all vehicles</t>
  </si>
  <si>
    <t>NDC</t>
  </si>
  <si>
    <t>ARG</t>
  </si>
  <si>
    <t>Argentina</t>
  </si>
  <si>
    <t>ARM</t>
  </si>
  <si>
    <t>Armenia</t>
  </si>
  <si>
    <t>AUS</t>
  </si>
  <si>
    <t>Australia</t>
  </si>
  <si>
    <t>Annex I</t>
  </si>
  <si>
    <t>Oceania</t>
  </si>
  <si>
    <t>Yes</t>
  </si>
  <si>
    <t>AUT</t>
  </si>
  <si>
    <t>Austria</t>
  </si>
  <si>
    <t>Sales cars</t>
  </si>
  <si>
    <t>EU NDC</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</si>
  <si>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</si>
  <si>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</si>
  <si>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</si>
  <si>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</si>
  <si>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</si>
  <si>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</si>
  <si>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</si>
  <si>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</si>
  <si>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</si>
  <si>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</si>
  <si>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</si>
  <si>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</si>
  <si>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</si>
  <si>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</si>
  <si>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</si>
  <si>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</si>
  <si>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</si>
  <si>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</si>
  <si>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</si>
  <si>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</si>
  <si>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</si>
  <si>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Bolivia (Plurinational State of)</t>
  </si>
  <si>
    <t>BIH</t>
  </si>
  <si>
    <t>Bosnia and Herzegovina</t>
  </si>
  <si>
    <t>BWA</t>
  </si>
  <si>
    <t>Botswana</t>
  </si>
  <si>
    <t>BRA</t>
  </si>
  <si>
    <t>Brazil</t>
  </si>
  <si>
    <t>BRN</t>
  </si>
  <si>
    <t>Brunei Darussalam</t>
  </si>
  <si>
    <t>BGR</t>
  </si>
  <si>
    <t>Bulgaria</t>
  </si>
  <si>
    <t>BFA</t>
  </si>
  <si>
    <t>Burkina Faso</t>
  </si>
  <si>
    <t>BDI</t>
  </si>
  <si>
    <t>Burundi</t>
  </si>
  <si>
    <t>CPV</t>
  </si>
  <si>
    <t>Cabo Verde</t>
  </si>
  <si>
    <t>KHM</t>
  </si>
  <si>
    <t>Cambodia</t>
  </si>
  <si>
    <t>CMR</t>
  </si>
  <si>
    <t>Cameroon</t>
  </si>
  <si>
    <t>CAN</t>
  </si>
  <si>
    <t>Canada</t>
  </si>
  <si>
    <t>Northern America</t>
  </si>
  <si>
    <t>LTS (MHDV by 2040)</t>
  </si>
  <si>
    <t>CAF</t>
  </si>
  <si>
    <t>Central African Republic</t>
  </si>
  <si>
    <t>TCD</t>
  </si>
  <si>
    <t>Chad</t>
  </si>
  <si>
    <t>CHL</t>
  </si>
  <si>
    <t>Chile</t>
  </si>
  <si>
    <t>CHN</t>
  </si>
  <si>
    <t>China</t>
  </si>
  <si>
    <t>COL</t>
  </si>
  <si>
    <t>Colombia</t>
  </si>
  <si>
    <t>COM</t>
  </si>
  <si>
    <t>Comoros</t>
  </si>
  <si>
    <t>COG</t>
  </si>
  <si>
    <t>Congo</t>
  </si>
  <si>
    <t>COK</t>
  </si>
  <si>
    <t>Cook Islands</t>
  </si>
  <si>
    <t>N/A</t>
  </si>
  <si>
    <t>CRI</t>
  </si>
  <si>
    <t>Costa Rica</t>
  </si>
  <si>
    <t>CIV</t>
  </si>
  <si>
    <t>Côte D'Ivoire</t>
  </si>
  <si>
    <t>HRV</t>
  </si>
  <si>
    <t>Croatia</t>
  </si>
  <si>
    <t>CUB</t>
  </si>
  <si>
    <t>Cuba</t>
  </si>
  <si>
    <t>CYP</t>
  </si>
  <si>
    <t>Cyprus</t>
  </si>
  <si>
    <t>CZE</t>
  </si>
  <si>
    <t>Czech Republic</t>
  </si>
  <si>
    <t>PRK</t>
  </si>
  <si>
    <t>Democratic People's Republic of Korea</t>
  </si>
  <si>
    <t>COD</t>
  </si>
  <si>
    <t>Democratic Republic of the Congo</t>
  </si>
  <si>
    <t>DNK</t>
  </si>
  <si>
    <t>Denmark</t>
  </si>
  <si>
    <t>DJI</t>
  </si>
  <si>
    <t>Djibouti</t>
  </si>
  <si>
    <t>DMA</t>
  </si>
  <si>
    <t>Dominica</t>
  </si>
  <si>
    <t>2035-2050</t>
  </si>
  <si>
    <t>DOM</t>
  </si>
  <si>
    <t>Dominican Republic</t>
  </si>
  <si>
    <t>ECU</t>
  </si>
  <si>
    <t>Ecuador</t>
  </si>
  <si>
    <t>EGY</t>
  </si>
  <si>
    <t>Egypt</t>
  </si>
  <si>
    <t>SLV</t>
  </si>
  <si>
    <t>El Salvador</t>
  </si>
  <si>
    <t>GNQ</t>
  </si>
  <si>
    <t>Equatorial Guinea</t>
  </si>
  <si>
    <t>ERI</t>
  </si>
  <si>
    <t>Eritrea</t>
  </si>
  <si>
    <t>EST</t>
  </si>
  <si>
    <t>Estonia</t>
  </si>
  <si>
    <t>SWZ</t>
  </si>
  <si>
    <t>Eswatini</t>
  </si>
  <si>
    <t>ETH</t>
  </si>
  <si>
    <t>Ethiopia</t>
  </si>
  <si>
    <t>EEU</t>
  </si>
  <si>
    <t>European Union</t>
  </si>
  <si>
    <t>FJI</t>
  </si>
  <si>
    <t>Fiji</t>
  </si>
  <si>
    <t>FIN</t>
  </si>
  <si>
    <t>Finland</t>
  </si>
  <si>
    <t>FRA</t>
  </si>
  <si>
    <t>France</t>
  </si>
  <si>
    <t>GAB</t>
  </si>
  <si>
    <t>Gabon</t>
  </si>
  <si>
    <t>GMB</t>
  </si>
  <si>
    <t>Gambia (Republic of The)</t>
  </si>
  <si>
    <t>GEO</t>
  </si>
  <si>
    <t>Georgia</t>
  </si>
  <si>
    <t>DEU</t>
  </si>
  <si>
    <t>Germany</t>
  </si>
  <si>
    <t>GHA</t>
  </si>
  <si>
    <t>Ghana</t>
  </si>
  <si>
    <t>GRC</t>
  </si>
  <si>
    <t>Greece</t>
  </si>
  <si>
    <t>GRD</t>
  </si>
  <si>
    <t>Grenada</t>
  </si>
  <si>
    <t>GTM</t>
  </si>
  <si>
    <t>Guatemala</t>
  </si>
  <si>
    <t>GIN</t>
  </si>
  <si>
    <t>Guinea</t>
  </si>
  <si>
    <t>GNB</t>
  </si>
  <si>
    <t>Guinea Bissau</t>
  </si>
  <si>
    <t>GUY</t>
  </si>
  <si>
    <t>Guyana</t>
  </si>
  <si>
    <t>HTI</t>
  </si>
  <si>
    <t>Haiti</t>
  </si>
  <si>
    <t>HND</t>
  </si>
  <si>
    <t>Honduras</t>
  </si>
  <si>
    <t>HUN</t>
  </si>
  <si>
    <t>Hungary</t>
  </si>
  <si>
    <t>ISL</t>
  </si>
  <si>
    <t>Iceland</t>
  </si>
  <si>
    <t>LTS</t>
  </si>
  <si>
    <t>IND</t>
  </si>
  <si>
    <t>India</t>
  </si>
  <si>
    <t>IDN</t>
  </si>
  <si>
    <t>Indonesia</t>
  </si>
  <si>
    <t>IRN</t>
  </si>
  <si>
    <t>Iran (Islamic Republic of)</t>
  </si>
  <si>
    <t>IRQ</t>
  </si>
  <si>
    <t>Iraq</t>
  </si>
  <si>
    <t>IRL</t>
  </si>
  <si>
    <t>Ireland</t>
  </si>
  <si>
    <t>ISR</t>
  </si>
  <si>
    <t>Israel</t>
  </si>
  <si>
    <t>Sales public transport</t>
  </si>
  <si>
    <t>ITA</t>
  </si>
  <si>
    <t>Italy</t>
  </si>
  <si>
    <t>JAM</t>
  </si>
  <si>
    <t>Jamaica</t>
  </si>
  <si>
    <t>JPN</t>
  </si>
  <si>
    <t>Japan</t>
  </si>
  <si>
    <t>JOR</t>
  </si>
  <si>
    <t>Jordan</t>
  </si>
  <si>
    <t>KAZ</t>
  </si>
  <si>
    <t>Kazakhstan</t>
  </si>
  <si>
    <t>KEN</t>
  </si>
  <si>
    <t>Kenya</t>
  </si>
  <si>
    <t>KIR</t>
  </si>
  <si>
    <t>Kiribati</t>
  </si>
  <si>
    <t>XKX</t>
  </si>
  <si>
    <t>Kosovo</t>
  </si>
  <si>
    <t>Non-Member</t>
  </si>
  <si>
    <t>KWT</t>
  </si>
  <si>
    <t>Kuwait</t>
  </si>
  <si>
    <t>KGZ</t>
  </si>
  <si>
    <t>Kyrgyzstan</t>
  </si>
  <si>
    <t>LAO</t>
  </si>
  <si>
    <t>Lao People’s Democratic Republic</t>
  </si>
  <si>
    <t>LVA</t>
  </si>
  <si>
    <t>Latvia</t>
  </si>
  <si>
    <t>LBN</t>
  </si>
  <si>
    <t>Lebanon</t>
  </si>
  <si>
    <t>LSO</t>
  </si>
  <si>
    <t>Lesotho</t>
  </si>
  <si>
    <t>LBR</t>
  </si>
  <si>
    <t>Liberia</t>
  </si>
  <si>
    <t>LBY</t>
  </si>
  <si>
    <t>Libya</t>
  </si>
  <si>
    <t>LIE</t>
  </si>
  <si>
    <t>Liechtenstein</t>
  </si>
  <si>
    <t>LTU</t>
  </si>
  <si>
    <t>Lithuania</t>
  </si>
  <si>
    <t>LUX</t>
  </si>
  <si>
    <t>Luxembourg</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</si>
  <si>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</si>
  <si>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</si>
  <si>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</si>
  <si>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</si>
  <si>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</si>
  <si>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</si>
  <si>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</si>
  <si>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</si>
  <si>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</si>
  <si>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</si>
  <si>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</si>
  <si>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</si>
  <si>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</si>
  <si>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</si>
  <si>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</si>
  <si>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</si>
  <si>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</si>
  <si>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</si>
  <si>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</si>
  <si>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</si>
  <si>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</si>
  <si>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Micronesia (Federated States of)</t>
  </si>
  <si>
    <t>MCO</t>
  </si>
  <si>
    <t>Monaco</t>
  </si>
  <si>
    <t>Fleet public transport</t>
  </si>
  <si>
    <t>MNG</t>
  </si>
  <si>
    <t>Mongolia</t>
  </si>
  <si>
    <t>MNE</t>
  </si>
  <si>
    <t>Montenegro</t>
  </si>
  <si>
    <t>MAR</t>
  </si>
  <si>
    <t>Morocco</t>
  </si>
  <si>
    <t>MOZ</t>
  </si>
  <si>
    <t>Mozambique</t>
  </si>
  <si>
    <t>MMR</t>
  </si>
  <si>
    <t>Myanmar</t>
  </si>
  <si>
    <t>NAM</t>
  </si>
  <si>
    <t>Namibia</t>
  </si>
  <si>
    <t>NRU</t>
  </si>
  <si>
    <t>Nauru</t>
  </si>
  <si>
    <t>NPL</t>
  </si>
  <si>
    <t>Nepal</t>
  </si>
  <si>
    <t>NLD</t>
  </si>
  <si>
    <t>Netherlands</t>
  </si>
  <si>
    <t>NZL</t>
  </si>
  <si>
    <t>New Zealand</t>
  </si>
  <si>
    <t>NIC</t>
  </si>
  <si>
    <t>Nicaragua</t>
  </si>
  <si>
    <t>NER</t>
  </si>
  <si>
    <t>Niger</t>
  </si>
  <si>
    <t>NGA</t>
  </si>
  <si>
    <t>Nigeria</t>
  </si>
  <si>
    <t>NIU</t>
  </si>
  <si>
    <t>Niue</t>
  </si>
  <si>
    <t>NOR</t>
  </si>
  <si>
    <t>Norway</t>
  </si>
  <si>
    <t>OMN</t>
  </si>
  <si>
    <t>Oman</t>
  </si>
  <si>
    <t>Fleet unclear scope</t>
  </si>
  <si>
    <t>PAK</t>
  </si>
  <si>
    <t>Pakistan</t>
  </si>
  <si>
    <t>PLW</t>
  </si>
  <si>
    <t>Palau</t>
  </si>
  <si>
    <t>PSE</t>
  </si>
  <si>
    <t>Palestine</t>
  </si>
  <si>
    <t>PAN</t>
  </si>
  <si>
    <t>Panama</t>
  </si>
  <si>
    <t>PNG</t>
  </si>
  <si>
    <t>Papua New Guinea</t>
  </si>
  <si>
    <t>PRY</t>
  </si>
  <si>
    <t>Paraguay</t>
  </si>
  <si>
    <t>PER</t>
  </si>
  <si>
    <t>Peru</t>
  </si>
  <si>
    <t>PHL</t>
  </si>
  <si>
    <t>Philippines</t>
  </si>
  <si>
    <t>POL</t>
  </si>
  <si>
    <t>Poland</t>
  </si>
  <si>
    <t>PRT</t>
  </si>
  <si>
    <t>Portugal</t>
  </si>
  <si>
    <t>QAT</t>
  </si>
  <si>
    <t>Qatar</t>
  </si>
  <si>
    <t>KOR</t>
  </si>
  <si>
    <t>Republic of Korea</t>
  </si>
  <si>
    <t>MDA</t>
  </si>
  <si>
    <t>Republic of Moldova</t>
  </si>
  <si>
    <t>MKD</t>
  </si>
  <si>
    <t>Republic of North Macedonia</t>
  </si>
  <si>
    <t>ROU</t>
  </si>
  <si>
    <t>Romania</t>
  </si>
  <si>
    <t>RUS</t>
  </si>
  <si>
    <t>Russian Federation</t>
  </si>
  <si>
    <t>RWA</t>
  </si>
  <si>
    <t>Rwanda</t>
  </si>
  <si>
    <t>KNA</t>
  </si>
  <si>
    <t>Saint Kitts and Nevis</t>
  </si>
  <si>
    <t>LCA</t>
  </si>
  <si>
    <t>Saint Lucia</t>
  </si>
  <si>
    <t>VCT</t>
  </si>
  <si>
    <t>Saint Vincent and the Grenadines</t>
  </si>
  <si>
    <t>WSM</t>
  </si>
  <si>
    <t>Samoa</t>
  </si>
  <si>
    <t>SMR</t>
  </si>
  <si>
    <t>San Marino</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</si>
  <si>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</si>
  <si>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</si>
  <si>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</si>
  <si>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</si>
  <si>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</si>
  <si>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</si>
  <si>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</si>
  <si>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</si>
  <si>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</si>
  <si>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</si>
  <si>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</si>
  <si>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</si>
  <si>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</si>
  <si>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</si>
  <si>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</si>
  <si>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</si>
  <si>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</si>
  <si>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</si>
  <si>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</si>
  <si>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</si>
  <si>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</si>
  <si>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</si>
  <si>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</si>
  <si>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</si>
  <si>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SSD</t>
  </si>
  <si>
    <t>South Sudan</t>
  </si>
  <si>
    <t>ESP</t>
  </si>
  <si>
    <t>Spain</t>
  </si>
  <si>
    <t>LKA</t>
  </si>
  <si>
    <t>Sri Lanka</t>
  </si>
  <si>
    <t>SDN</t>
  </si>
  <si>
    <t>Sudan</t>
  </si>
  <si>
    <t>SUR</t>
  </si>
  <si>
    <t>Suriname</t>
  </si>
  <si>
    <t>SWE</t>
  </si>
  <si>
    <t>Sweden</t>
  </si>
  <si>
    <t>CHE</t>
  </si>
  <si>
    <t>Switzerland</t>
  </si>
  <si>
    <t>SYR</t>
  </si>
  <si>
    <t>Syrian Arab Republic</t>
  </si>
  <si>
    <t>TJK</t>
  </si>
  <si>
    <t>Tajikistan</t>
  </si>
  <si>
    <t>THA</t>
  </si>
  <si>
    <t>Thailand</t>
  </si>
  <si>
    <t>TLS</t>
  </si>
  <si>
    <t>Timor-Leste</t>
  </si>
  <si>
    <t>TGO</t>
  </si>
  <si>
    <t>Togo</t>
  </si>
  <si>
    <t>TON</t>
  </si>
  <si>
    <t>Tonga</t>
  </si>
  <si>
    <t>TTO</t>
  </si>
  <si>
    <t>Trinidad and Tobago</t>
  </si>
  <si>
    <t>TUN</t>
  </si>
  <si>
    <t>Tunisia</t>
  </si>
  <si>
    <t>TUR</t>
  </si>
  <si>
    <t>Türkiye</t>
  </si>
  <si>
    <t>TKM</t>
  </si>
  <si>
    <t>Turkmenistan</t>
  </si>
  <si>
    <t>TUV</t>
  </si>
  <si>
    <t>Tuvalu</t>
  </si>
  <si>
    <t>UGA</t>
  </si>
  <si>
    <t>Uganda</t>
  </si>
  <si>
    <t>UKR</t>
  </si>
  <si>
    <t>Ukraine</t>
  </si>
  <si>
    <t>ARE</t>
  </si>
  <si>
    <t>United Arab Emirates</t>
  </si>
  <si>
    <t>GBR</t>
  </si>
  <si>
    <t>United Kingdom</t>
  </si>
  <si>
    <t>TZA</t>
  </si>
  <si>
    <t>United Republic of Tanzania</t>
  </si>
  <si>
    <t>USA</t>
  </si>
  <si>
    <t>United States of America</t>
  </si>
  <si>
    <t>URY</t>
  </si>
  <si>
    <t>Uruguay</t>
  </si>
  <si>
    <t>UZB</t>
  </si>
  <si>
    <t>Uzbekistan</t>
  </si>
  <si>
    <t>VUT</t>
  </si>
  <si>
    <t>Vanuatu</t>
  </si>
  <si>
    <t>VAT</t>
  </si>
  <si>
    <t>Vatican</t>
  </si>
  <si>
    <t>VEN</t>
  </si>
  <si>
    <t>Venezuela, Bolivarian Republic of</t>
  </si>
  <si>
    <t>VNM</t>
  </si>
  <si>
    <t>Viet Nam</t>
  </si>
  <si>
    <t>YEM</t>
  </si>
  <si>
    <t>Yemen</t>
  </si>
  <si>
    <t>ZMB</t>
  </si>
  <si>
    <t>Zambia</t>
  </si>
  <si>
    <t>ZWE</t>
  </si>
  <si>
    <t>Zimbabwe</t>
  </si>
  <si>
    <t>Documents</t>
  </si>
  <si>
    <t>This sheet contains basic information about the documents analysed, including date of submission / publication and links to the documents</t>
  </si>
  <si>
    <t>Transport mitigation targets</t>
  </si>
  <si>
    <t>Document ID</t>
  </si>
  <si>
    <t>Country Code</t>
  </si>
  <si>
    <t xml:space="preserve">Check active </t>
  </si>
  <si>
    <t>Type of document</t>
  </si>
  <si>
    <t>Document name</t>
  </si>
  <si>
    <t>Last submission</t>
  </si>
  <si>
    <t>Version number</t>
  </si>
  <si>
    <t>Date</t>
  </si>
  <si>
    <t>Status</t>
  </si>
  <si>
    <t>Contains transport mitigation target</t>
  </si>
  <si>
    <t xml:space="preserve">Summary transport target </t>
  </si>
  <si>
    <t>GHG transport target type</t>
  </si>
  <si>
    <t>Contains transport adaptation target</t>
  </si>
  <si>
    <t>Contains transport mitigation measures</t>
  </si>
  <si>
    <t>Contains transport adaptation measures</t>
  </si>
  <si>
    <t>Contains benefits</t>
  </si>
  <si>
    <t>Contains reference to just transition</t>
  </si>
  <si>
    <t>Comments</t>
  </si>
  <si>
    <t>Backend status</t>
  </si>
  <si>
    <t>URL</t>
  </si>
  <si>
    <t>Income Group</t>
  </si>
  <si>
    <t>Entered by / Revisions</t>
  </si>
  <si>
    <t>Entry date</t>
  </si>
  <si>
    <t>1st NDC</t>
  </si>
  <si>
    <t>NDC 1.0</t>
  </si>
  <si>
    <t>Archived</t>
  </si>
  <si>
    <t>uploaded</t>
  </si>
  <si>
    <t>https://unfccc.int/sites/default/files/NDC/2022-06/Philippines%20-%20NDC.pdf</t>
  </si>
  <si>
    <t>To do:</t>
  </si>
  <si>
    <t>Transfer document-based info from targets/measures tabs</t>
  </si>
  <si>
    <t>Active</t>
  </si>
  <si>
    <t>https://www4.unfccc.int/sites/submissions/INDC/Published%20Documents/Yemen/1/Yemen%20INDC%2021%20Nov.%202015.pdf</t>
  </si>
  <si>
    <t>Update rules to cover EU member state entries, incl. document ID logic</t>
  </si>
  <si>
    <t>https://www4.unfccc.int/sites/submissions/INDC/Published%20Documents/Brunei/1/Brunei%20Darussalam%20INDC_FINAL_30%20November%202015.pdf</t>
  </si>
  <si>
    <t>https://unfccc.int/sites/default/files/NDC/2022-06/PNG_INDC%20to%20the%20UNFCCC.pdf</t>
  </si>
  <si>
    <t>https://unfccc.int/sites/default/files/NDC/2022-06/Nauru_NDC.pdf</t>
  </si>
  <si>
    <t>https://unfccc.int/sites/default/files/NDC/2022-06/PANAMA%20NDC.pdf</t>
  </si>
  <si>
    <t>https://unfccc.int/sites/default/files/NDC/2022-06/BELIZE%27s%20%20NDC.pdf</t>
  </si>
  <si>
    <t>https://unfccc.int/sites/default/files/NDC/2022-06/Barbados%20INDC%20FINAL%20September%20%2028%2C%202015.pdf</t>
  </si>
  <si>
    <t>https://unfccc.int/sites/default/files/NDC/2022-06/FIJI_iNDC_Final_051115.pdf</t>
  </si>
  <si>
    <t>https://unfccc.int/sites/default/files/NDC/2022-06/Maldives%20INDC.pdf</t>
  </si>
  <si>
    <t>https://unfccc.int/sites/default/files/NDC/2022-06/Final%20INDC%20for%20Mauritius%2028%20Sept%202015.pdf</t>
  </si>
  <si>
    <t>https://unfccc.int/sites/default/files/NDC/2022-06/Palau_INDC.Final%20Copy.pdf</t>
  </si>
  <si>
    <t>https://unfccc.int/sites/default/files/NDC/2022-06/St.%20Kitts%20and%20Nevis%20INDC.pdf</t>
  </si>
  <si>
    <t>https://unfccc.int/sites/default/files/Saint%20Lucia%20INDC%2018th%20November%202015.pdf</t>
  </si>
  <si>
    <t>https://unfccc.int/sites/default/files/NDC/2022-06/Samoa%20INDC_Submission%20to%20UNFCCC.pdf</t>
  </si>
  <si>
    <t>https://unfccc.int/sites/default/files/NDC/2022-06/Somalia%27s%20INDCs.pdf</t>
  </si>
  <si>
    <t>https://unfccc.int/sites/default/files/NDC/2022-06/Grenada%20INDC.pdf</t>
  </si>
  <si>
    <t>https://unfccc.int/sites/default/files/NDC/2022-06/TUVALU%20INDC.pdf</t>
  </si>
  <si>
    <t>https://unfccc.int/sites/default/files/NDC/2022-06/150721%20RMI%20INDC%20JULY%202015%20FINAL%20SUBMITTED.pdf</t>
  </si>
  <si>
    <t>Archived NDC 1.1</t>
  </si>
  <si>
    <t>GHG unconditional only</t>
  </si>
  <si>
    <t>https://unfccc.int/sites/default/files/NDC/2022-06/INDC%20of%20Seychelles.pdf</t>
  </si>
  <si>
    <t>Updated NDC</t>
  </si>
  <si>
    <t>https://unfccc.int/sites/default/files/NDC/2022-06/Guyana%27s%20revised%20NDC%20-%20Final.pdf</t>
  </si>
  <si>
    <t>Archived LTS 1.0</t>
  </si>
  <si>
    <t>https://unfccc.int/sites/default/files/NorwayINDC.pdf</t>
  </si>
  <si>
    <t>GHG conditional &amp; unconditional</t>
  </si>
  <si>
    <t>https://unfccc.int/sites/default/files/NDC/2022-06/Saint%20Vincent%20and%20the%20Grenadines_NDC.pdf</t>
  </si>
  <si>
    <t>https://unfccc.int/sites/default/files/NDC/2022-06/iNDC%20Per%C3%BA%20english.pdf</t>
  </si>
  <si>
    <t>https://unfccc.int/sites/default/files/NDC/2022-06/CPDN%20CMR%20Final.pdf</t>
  </si>
  <si>
    <t>https://unfccc.int/sites/default/files/NDC/2022-06/Cook%20Islands%20INDCsFINAL7Nov.pdf</t>
  </si>
  <si>
    <t>https://unfccc.int/sites/default/files/NDC/2022-06/China%27s%20First%20NDC%20Submission.pdf</t>
  </si>
  <si>
    <t>https://unfccc.int/sites/default/files/NDC/2022-06/U.S.A.%20First%20NDC%20Submission.pdf</t>
  </si>
  <si>
    <t>GHG conditional only</t>
  </si>
  <si>
    <t>https://unfccc.int/sites/default/files/NDC/2022-06/Lao%20People%27s%20Democratic%20Republic%20First%20NDC.pdf</t>
  </si>
  <si>
    <t>https://unfccc.int/sites/default/files/NDC/2022-06/Micronesia%20%28Federated%20State%20of%29%20First%20NDC.pdf</t>
  </si>
  <si>
    <t>https://unfccc.int/sites/default/files/NDC/2022-06/Ukraine%20First%20NDC.pdf</t>
  </si>
  <si>
    <t>https://unfccc.int/sites/default/files/NDC/2022-06/Morocco%20First%20NDC.pdf</t>
  </si>
  <si>
    <t>https://unfccc.int/sites/default/files/NDC/2022-06/Albania%20First.pdf</t>
  </si>
  <si>
    <t>https://unfccc.int/sites/default/files/NDC/2022-06/Antigua%20and%20Barbuda%20First.pdf</t>
  </si>
  <si>
    <t>Côte d'Ivoire</t>
  </si>
  <si>
    <t>https://unfccc.int/sites/default/files/NDC/2022-06/Belarus_INDC_Rus_25.09.2015.pdf</t>
  </si>
  <si>
    <t>https://unfccc.int/sites/default/files/BRAZIL%20iNDC%20english%20FINAL.pdf</t>
  </si>
  <si>
    <t>https://unfccc.int/sites/default/files/NDC/2022-06/INDC_2015_of_Bangladesh.pdf</t>
  </si>
  <si>
    <t>https://unfccc.int/sites/default/files/NDC/2022-06/GH_INDC_2392015.pdf</t>
  </si>
  <si>
    <t>https://unfccc.int/sites/default/files/NDC/2022-06/INDC_Guinea_english_version%20UNFCCC.pdf</t>
  </si>
  <si>
    <t>https://unfccc.int/sites/default/files/NDC/2022-06/Honduras%20INDC_esp.pdf</t>
  </si>
  <si>
    <t>https://unfccc.int/sites/default/files/NDC/2022-06/INDC-ICELAND.pdf</t>
  </si>
  <si>
    <t>https://unfccc.int/sites/default/files/NDC/2022-06/INDC_KIRIBATI.pdf</t>
  </si>
  <si>
    <t>2nd NDC</t>
  </si>
  <si>
    <t>https://unfccc.int/sites/default/files/NDC/2022-06/Madagascar%20INDC%20Eng.pdf</t>
  </si>
  <si>
    <t>https://unfccc.int/sites/default/files/NDC/2022-06/MEXICO%20INDC%2003.30.2015.pdf</t>
  </si>
  <si>
    <t>Archived LTS</t>
  </si>
  <si>
    <t>https://unfccc.int/sites/default/files/NDC/2022-06/Commonwealth%20of%20Dominica-%20Intended%20Nationally%20Determined%20Contributions%20%28INDC%29.pdf</t>
  </si>
  <si>
    <t>https://unfccc.int/sites/default/files/NDC/2022-06/Niger-INDC-final_Eng.pdf</t>
  </si>
  <si>
    <t>https://unfccc.int/sites/default/files/NDC/2022-06/Eswatini%27s%20INDC.pdf</t>
  </si>
  <si>
    <t>https://unfccc.int/sites/default/files/NDC/2022-06/Singapore%20INDC.pdf</t>
  </si>
  <si>
    <t>https://unfccc.int/sites/default/files/NDC/2022-06/SOLOMON%20ISLANDS%20INDC.pdf</t>
  </si>
  <si>
    <t>https://unfccc.int/sites/default/files/NDC/2022-06/Thailand_INDC.pdf</t>
  </si>
  <si>
    <t>https://unfccc.int/sites/default/files/NDC/2022-06/Tonga%20INDC.pdf</t>
  </si>
  <si>
    <t>https://unfccc.int/sites/default/files/NDC/2022-06/VANUATU%20%20INDC%20UNFCCC%20Submission.pdf</t>
  </si>
  <si>
    <t>https://unfccc.int/sites/default/files/NDC/2022-06/150924_INDCs%20of%20Mongolia.pdf</t>
  </si>
  <si>
    <t>https://unfccc.int/sites/default/files/NDC/2022-06/INDC%20of%20Namibia%20Final%20pdf.pdf</t>
  </si>
  <si>
    <t>https://unfccc.int/sites/default/files/NDC/2022-06/UAE%20INDC%20-%2022%20October.pdf</t>
  </si>
  <si>
    <t>https://unfccc.int/sites/default/files/NDC/2022-06/Mali_revised%20NDC.pdf</t>
  </si>
  <si>
    <t>https://unfccc.int/sites/default/files/NDC/2022-06/INDIA%20INDC%20TO%20UNFCCC.pdf</t>
  </si>
  <si>
    <t>https://unfccc.int/sites/default/files/NDC/2022-06/DPRK-INDC%20by%202030.pdf</t>
  </si>
  <si>
    <t>17589AUT</t>
  </si>
  <si>
    <t>Covered by EU archived</t>
  </si>
  <si>
    <t>https://unfccc.int/sites/default/files/LV-03-06-EU%20INDC.pdf</t>
  </si>
  <si>
    <t>17589BEL</t>
  </si>
  <si>
    <t>https://unfccc.int/sites/default/files/NDC/2022-06/ESTADO%20PLURINACIONAL%20DE%20BOLIVIA1.pdf</t>
  </si>
  <si>
    <t>17589BGR</t>
  </si>
  <si>
    <t>17589HRV</t>
  </si>
  <si>
    <t>17589CYP</t>
  </si>
  <si>
    <t>17589CZE</t>
  </si>
  <si>
    <t>17589DNK</t>
  </si>
  <si>
    <t>Covered by EU</t>
  </si>
  <si>
    <t>17589EST</t>
  </si>
  <si>
    <t>17589FIN</t>
  </si>
  <si>
    <t>17589FRA</t>
  </si>
  <si>
    <t>17589DEU</t>
  </si>
  <si>
    <t>17589GRC</t>
  </si>
  <si>
    <t>17589HUN</t>
  </si>
  <si>
    <t>17589IRL</t>
  </si>
  <si>
    <t>17589ITA</t>
  </si>
  <si>
    <t>17589LVA</t>
  </si>
  <si>
    <t>17589LTU</t>
  </si>
  <si>
    <t>17589LUX</t>
  </si>
  <si>
    <t>17589MLT</t>
  </si>
  <si>
    <t>17589NLD</t>
  </si>
  <si>
    <t>NDC reference document</t>
  </si>
  <si>
    <t>https://unfccc.int/sites/default/files/NDC/2022-06/New%20Zealand%20first%20NDC%20%28Archived%29.pdf</t>
  </si>
  <si>
    <t>17589POL</t>
  </si>
  <si>
    <t>17589PRT</t>
  </si>
  <si>
    <t>Archived NDC 2.1</t>
  </si>
  <si>
    <t>17589ROU</t>
  </si>
  <si>
    <t>17589SVK</t>
  </si>
  <si>
    <t>17589SVN</t>
  </si>
  <si>
    <t>17589ESP</t>
  </si>
  <si>
    <t>17589SWE</t>
  </si>
  <si>
    <t>17589GBR</t>
  </si>
  <si>
    <t>https://unfccc.int/sites/default/files/NDC/2022-06/Nepal%20First%20NDC.pdf</t>
  </si>
  <si>
    <t>https://unfccc.int/sites/default/files/NDC/2022-06/INDC_Rwanda_Nov.2015.pdf</t>
  </si>
  <si>
    <t>https://unfccc.int/sites/default/files/NDC/2022-06/INDC_R%C3%A9publique%20Centrafricaine_EN.pdf</t>
  </si>
  <si>
    <t>https://unfccc.int/sites/default/files/NDC/2022-06/INDC%20Costa%20Rica%20Version%202%200%20final%20ENG.pdf</t>
  </si>
  <si>
    <t>https://unfccc.int/sites/default/files/NDC/2022-06/Documento%20INDC%20Paraguay%2001-10-15.pdf</t>
  </si>
  <si>
    <t>https://unfccc.int/sites/default/files/NDC/2022-06/Algérie%20-INDC-%2003%20septembre%202015.pdf</t>
  </si>
  <si>
    <t>https://unfccc.int/sites/default/files/NDC/2022-06/INDC_Turkmenistan.pdf</t>
  </si>
  <si>
    <t>https://unfccc.int/sites/default/files/NDC/2022-06/INDC_CI_22092015.pdf</t>
  </si>
  <si>
    <t>https://unfccc.int/sites/default/files/NDC/2022-06/Morocco%20First%20NDC-English.pdf</t>
  </si>
  <si>
    <t>https://unfccc.int/sites/default/files/NDC/2022-06/Niue%20INDC%20Final.pdf</t>
  </si>
  <si>
    <t>https://unfccc.int/sites/default/files/NDC/2022-06/Bahamas_COP-22%20UNFCCC.pdf</t>
  </si>
  <si>
    <t>https://unfccc.int/sites/default/files/NDC/2022-06/SIERRA%20LEONE%20INDC.pdf</t>
  </si>
  <si>
    <t>https://unfccc.int/sites/default/files/NDC/2022-06/South%20Africa.pdf</t>
  </si>
  <si>
    <t>https://unfccc.int/sites/default/files/NDC/2022-06/STP_INDC%20_Ingles_30.09.pdf</t>
  </si>
  <si>
    <t>https://unfccc.int/sites/default/files/NDC/2022-06/20150331%20INDC%20Gabon.pdf</t>
  </si>
  <si>
    <t>https://unfccc.int/sites/default/files/NDC/2022-06/INDC%20Submission%20by%20the%20Republic%20of%20Korea%20on%20June%2030.pdf</t>
  </si>
  <si>
    <t>https://unfccc.int/sites/default/files/NDC/2022-06/KSA-INDCs%20English.pdf</t>
  </si>
  <si>
    <t>https://unfccc.int/sites/default/files/NDC/2022-06/VIETNAM%27S%20INDC.pdf</t>
  </si>
  <si>
    <t>https://unfccc.int/sites/default/files/NDC/2022-06/Jordan%20INDCs%20Final.pdf</t>
  </si>
  <si>
    <t>https://unfccc.int/sites/default/files/NDC/2022-06/First%20NDC%20Indonesia_submitted%20to%20UNFCCC%20Set_November%20%202016.pdf</t>
  </si>
  <si>
    <t>https://unfccc.int/sites/default/files/NDC/2022-06/NDCs%20of%20Sri%20Lanka.pdf</t>
  </si>
  <si>
    <t>https://unfccc.int/sites/default/files/NDC/2022-06/The%20INDC%20OF%20THE%20GAMBIA.pdf</t>
  </si>
  <si>
    <t>https://unfccc.int/sites/default/files/NDC/2022-06/20150717_Japan%27s%20INDC.pdf</t>
  </si>
  <si>
    <t>https://unfccc.int/sites/default/files/NDC/2022-06/Australias%20Intended%20Nationally%20Determined%20Contribution%20to%20a%20new%20Climate%20Change%20Agreement%20-%20August%202015.pdf</t>
  </si>
  <si>
    <t>https://unfccc.int/sites/default/files/NDC/2022-06/Pak-INDC.pdf</t>
  </si>
  <si>
    <t>https://unfccc.int/sites/default/files/NDC/2022-06/BOTSWANA.pdf</t>
  </si>
  <si>
    <t>https://unfccc.int/sites/default/files/NDC/2022-06/INDC-Djibouti_ENG.pdf</t>
  </si>
  <si>
    <t>https://unfccc.int/sites/default/files/NDC/2022-06/INDC%20BURKINA%20FASO%20280915.pdf</t>
  </si>
  <si>
    <t>LTS 1.0</t>
  </si>
  <si>
    <t>https://unfccc.int/sites/default/files/resource/AND_LTS_Nov2021.pdf</t>
  </si>
  <si>
    <t>https://unfccc.int/files/focus/long-term_strategies/application/pdf/mid_century_strategy_report-final_red.pdf</t>
  </si>
  <si>
    <t>https://unfccc.int/sites/default/files/NDC/2022-06/INDC%20Malaysia%20Final%2027%20November%202015%20Revised%20Final%20UNFCCC.pdf</t>
  </si>
  <si>
    <t>https://unfccc.int/sites/default/files/resource/Canada's%20Mid-Century%20Long-Term%20Low-GHG%20Strategy.pdf</t>
  </si>
  <si>
    <t>https://unfccc.int/sites/default/files/resource/Klimaschutzplan_2050_eng_bf.pdf</t>
  </si>
  <si>
    <t>https://unfccc.int/sites/default/files/17112016%20NDC%20Revisada%202016.pdf</t>
  </si>
  <si>
    <t>https://unfccc.int/sites/default/files/NDC/2022-06/Israel%20INDC.pdf</t>
  </si>
  <si>
    <t>https://unfccc.int/sites/default/files/NDC/2022-06/INDC_AFG_20150927_FINAL.pdf</t>
  </si>
  <si>
    <t>https://unfccc.int/sites/default/files/NDC/2022-06/INDC_Comores_Version_Francaise.pdf</t>
  </si>
  <si>
    <t>https://unfccc.int/sites/default/files/NDC/2022-06/INDC%20Kz_eng.pdf</t>
  </si>
  <si>
    <t>https://unfccc.int/sites/default/files/NDC/2022-06/Zambia_Provisional_Updated_NDC_2020.pdf</t>
  </si>
  <si>
    <t>https://unfccc.int/sites/default/files/resource/Estrategia%20de%20desarrollo%20resiliente%20con%20bajas%20emisiones%20a%20largo%20plazo%20a%202050.pdf</t>
  </si>
  <si>
    <t>https://unfccc.int/sites/default/files/NDC/2022-06/Kenya_NDC_20150723.pdf</t>
  </si>
  <si>
    <t>https://unfccc.int/sites/default/files/NDC/2022-06/INDC_Kingdom_of_Bahrain.pdf</t>
  </si>
  <si>
    <t>https://unfccc.int/sites/default/files/NDC/2022-06/Republic%20of%20Cuba-NDCs-Nov2015.pdf</t>
  </si>
  <si>
    <t>https://unfccc.int/sites/default/files/NDC/2022-06/INDC%20Azerbaijan.pdf</t>
  </si>
  <si>
    <t>https://unfccc.int/sites/default/files/NDC/2022-06/INDC%20Chad_Official%20version_English.pdf</t>
  </si>
  <si>
    <t>https://unfccc.int/sites/default/files/NDC/2022-06/Lesotho%27s%20INDC%20Report%20%20-%20September%202015.pdf</t>
  </si>
  <si>
    <t>https://unfccc.int/sites/default/files/NDC/2022-06/Contribuci%C3%B3n%20Nacionalmente%20Determinada%20Guatemala.pdf</t>
  </si>
  <si>
    <t>https://unfccc.int/sites/default/files/NDC/2022-06/Cambodia%27s%20INDC%20to%20the%20UNFCCC.pdf</t>
  </si>
  <si>
    <t>https://unfccc.int/sites/default/files/NDC/2022-06/INDC%20Chile%20english%20version.pdf</t>
  </si>
  <si>
    <t>https://unfccc.int/sites/default/files/NDC/2022-06/INDC-Tunisia-English%20Version.pdf</t>
  </si>
  <si>
    <t>https://unfccc.int/sites/default/files/NDC/2022-06/INDC%20MAURITANIA.pdf</t>
  </si>
  <si>
    <t>https://unfccc.int/sites/default/files/NDC/2022-06/INDC-Ethiopia-100615.pdf</t>
  </si>
  <si>
    <t>https://unfccc.int/sites/default/files/NDC/2022-06/INDC%20Bosnia%20and%20Herzegovina.pdf</t>
  </si>
  <si>
    <t>https://unfccc.int/sites/default/files/NDC/2022-06/INDC-TJK%20final%20ENG.pdf</t>
  </si>
  <si>
    <t>https://unfccc.int/sites/default/files/NDC/2022-06/NDC%20of%20Republic%20of%20Armenia%20%202021-2030.pdf</t>
  </si>
  <si>
    <t>https://unfccc.int/sites/default/files/NDC/2022-06/Andorra%20INDC-CPDN.pdf</t>
  </si>
  <si>
    <t>https://unfccc.int/sites/default/files/NDC/2022-06/EL%20SALVADOR-INTENDED%20NATIONALLY%20DETERMINED%20CONTRIBUTION.pdf</t>
  </si>
  <si>
    <t>https://unfccc.int/sites/default/files/NDC/2022-06/Jamaica%27s%20INDC_2015-11-25.pdf</t>
  </si>
  <si>
    <t>https://unfccc.int/sites/default/files/NDC/2022-06/NDC_Congo_RAPPORT.pdf</t>
  </si>
  <si>
    <t>https://unfccc.int/sites/default/files/NDC/2022-06/INDC_of_Georgia.pdf</t>
  </si>
  <si>
    <t>https://unfccc.int/sites/default/files/NDC/2022-06/INDC%20-%20Canada%20-%20English.pdf</t>
  </si>
  <si>
    <t>https://unfccc.int/sites/default/files/NDC/2022-06/Approved%20Nigeria%27s%20INDC_271115.pdf</t>
  </si>
  <si>
    <t>https://unfccc.int/sites/default/files/NDC/2022-06/Qatar%20INDCs%20Report%20-%20Arabic.pdf</t>
  </si>
  <si>
    <t>https://unfccc.int/sites/default/files/NDC/2022-06/INDC%20Togo_english%20version.pdf</t>
  </si>
  <si>
    <t>https://unfccc.int/sites/default/files/NDC/2022-06/Egyptian%20INDC.pdf</t>
  </si>
  <si>
    <t>https://unfccc.int/sites/default/files/NDC/2022-06/MALAWI%20INDC%20SUBMITTED%20TO%20UNFCCC%20REV.pdf</t>
  </si>
  <si>
    <t>https://unfccc.int/sites/default/files/NDC/2022-06/Republic_of_Serbia.pdf</t>
  </si>
  <si>
    <t>https://unfccc.int/sites/default/files/NDC/2022-06/CPDN_Republique%20d%27Haiti.pdf</t>
  </si>
  <si>
    <t>https://unfccc.int/sites/default/files/NDC/2022-10/Sudan%20Updated%20First%20NDC-12102021.pdf</t>
  </si>
  <si>
    <t>https://unfccc.int/sites/default/files/NDC/2022-06/Zimbabwe%20First%20NDC.pdf</t>
  </si>
  <si>
    <t>https://unfccc.int/sites/default/files/NDC/2022-06/Timor-Leste%20First%20NDC.pdf</t>
  </si>
  <si>
    <t>https://unfccc.int/sites/default/files/NDC/2022-06/Updated%20NDC_%20State%20of%20Palestine_2021_FINAL.pdf</t>
  </si>
  <si>
    <t>https://unfccc.int/sites/default/files/NDC/2022-06/Bhutan-INDC-20150930.pdf</t>
  </si>
  <si>
    <t>https://unfccc.int/sites/default/files/NDC/2022-06/Myanmar%27s%20INDC.pdf</t>
  </si>
  <si>
    <t>https://unfccc.int/sites/default/files/NDC/2022-06/150422_INDC_FL.pdf</t>
  </si>
  <si>
    <t>https://unfccc.int/sites/default/files/NDC/2022-06/Cabo_Verde_INDC_.pdf</t>
  </si>
  <si>
    <t>https://unfccc.int/sites/default/files/NDC/2022-06/INDC-RD%20Agosto%202015%20%28espa%C3%B1ol%29.pdf</t>
  </si>
  <si>
    <t>https://unfccc.int/sites/default/files/NDC/2022-06/15%2002%2027_INDC%20Contribution%20of%20Switzerland.pdf</t>
  </si>
  <si>
    <t>https://unfccc.int/sites/default/files/NDC/2022-06/CDN_BENIN_VERSION%20FINALE.pdf</t>
  </si>
  <si>
    <t>https://unfccc.int/sites/default/files/NDC/2022-06/Uruguay_First%20Nationally%20Determined%20Contribution.pdf</t>
  </si>
  <si>
    <t>https://unfccc.int/sites/default/files/NDC/2022-06/CPDN%20-%20R%C3%A9p%20D%C3%A9m%20du%20Congo.pdf</t>
  </si>
  <si>
    <t>https://unfccc.int/sites/default/files/NDC/2022-06/INDCSubmission_%20Montenegro.pdf</t>
  </si>
  <si>
    <t>NDC 1.1</t>
  </si>
  <si>
    <t>https://unfccc.int/sites/default/files/2022-08/Albania%20Revised%20NDC.pdf</t>
  </si>
  <si>
    <t>https://unfccc.int/sites/default/files/NDC/2022-06/Submission_Republic_of_Macedonia_20150805144001_135181.pdf</t>
  </si>
  <si>
    <t>3rd NDC</t>
  </si>
  <si>
    <t>NDC 3.0</t>
  </si>
  <si>
    <t>05 February 2025</t>
  </si>
  <si>
    <t>https://unfccc.int/sites/default/files/2025-02/NDC%203.0%20ANDORRA.pdf</t>
  </si>
  <si>
    <t>https://unfccc.int/sites/default/files/NDC/2022-06/CPDN%20BURUNDI.pdf</t>
  </si>
  <si>
    <t>https://unfccc.int/sites/default/files/NDC/2022-06/ATG%20-%20UNFCCC%20NDC%20-%202021-09-02%20-%20Final.pdf</t>
  </si>
  <si>
    <t>https://unfccc.int/sites/default/files/NDC/2022-06/Primera%20%20NDC%20Venezuela.pdf</t>
  </si>
  <si>
    <t>https://unfccc.int/sites/default/files/resource/clean-growth-strategy-amended-april-2018.pdf</t>
  </si>
  <si>
    <t>https://unfccc.int/sites/default/files/NDC/2022-06/Kuwait%20First%20NDC_English.pdf</t>
  </si>
  <si>
    <t>https://unfccc.int/sites/default/files/NDC/2022-06/The%20United%20Republic%20of%20Tanzania%20First%20NDC.pdf</t>
  </si>
  <si>
    <t>https://unfccc.int/sites/default/files/NDC/2022-06/MOZ_INDC_Final_Version.pdf</t>
  </si>
  <si>
    <t>https://unfccc.int/sites/default/files/NDC/2022-06/NRC%20Eritrea.pdf</t>
  </si>
  <si>
    <t>https://unfccc.int/sites/default/files/NDC/2022-06/Colombia%20iNDC%20Unofficial%20translation%20Eng.pdf</t>
  </si>
  <si>
    <t>https://unfccc.int/sites/default/files/resource/UNDP%20LT_LEDS_ARMENIA.pdf</t>
  </si>
  <si>
    <t>https://unfccc.int/sites/default/files/NDC/2022-06/INDC%20Final%20Submission%20Sept%2030%202015%20Liberia.pdf</t>
  </si>
  <si>
    <t>https://unfccc.int/sites/default/files/NDC/2022-06/Contribucion%20Nacionalmente%20Determinada%20Nicaragua.pdf</t>
  </si>
  <si>
    <t>https://unfccc.int/sites/default/files/NDC/2022-06/SAN%20MARINO%20INDC%20EN.pdf</t>
  </si>
  <si>
    <t>https://unfccc.int/sites/default/files/NDC/2022-06/GUINEA-BISSAU_INDC_Version%20to%20the%20UNFCCC%20%28eng%29.pdf</t>
  </si>
  <si>
    <t>https://unfccc.int/sites/default/files/NDC/2022-06/Rep%C3%BAblica%20de%20Guinea%20Ecuatorial_INDC.pdf</t>
  </si>
  <si>
    <t>https://unfccc.int/sites/default/files/NDC/2022-06/INDC%20Uzbekistan%2018-04-2017_Eng.pdf</t>
  </si>
  <si>
    <t>NDC 2.0</t>
  </si>
  <si>
    <t>https://unfccc.int/sites/default/files/NDC/2022-06/20181122%20Marshall%20Islands%20NDC%20to%20UNFCCC%2022%20November%202018%20FINAL.pdf</t>
  </si>
  <si>
    <t>17590BGR</t>
  </si>
  <si>
    <t>EU-LTS</t>
  </si>
  <si>
    <t>https://unfccc.int/sites/default/files/resource/HR-03-06-2020%20EU%20Submission%20on%20Long%20term%20strategy.pdf</t>
  </si>
  <si>
    <t>added by Marion for LTS stats</t>
  </si>
  <si>
    <t>17590HRV</t>
  </si>
  <si>
    <t>17590EST</t>
  </si>
  <si>
    <t>LTS 1.1</t>
  </si>
  <si>
    <t>https://unfccc.int/sites/default/files/resource/annual-climate-change-statement-2023.pdf</t>
  </si>
  <si>
    <t>17590GRC</t>
  </si>
  <si>
    <t>17590ITA</t>
  </si>
  <si>
    <t>17590POL</t>
  </si>
  <si>
    <t>17590ROU</t>
  </si>
  <si>
    <t>https://unfccc.int/sites/default/files/NDC/2022-06/FirstNDC-Eng-Syrian%20Arab%20Republic.pdf</t>
  </si>
  <si>
    <t>https://unfccc.int/sites/default/files/NDC/2022-06/Suriname%20First%20NDC.pdf</t>
  </si>
  <si>
    <t>https://unfccc.int/sites/default/files/resource/LTS1_Austria.pdf</t>
  </si>
  <si>
    <t>https://unfccc.int/sites/default/files/NDC/2022-06/Primera%20NDC%20Ecuador.pdf</t>
  </si>
  <si>
    <t>https://unfccc.int/sites/default/files/NDC/2022-06/OMAN%20INDCs.pdf</t>
  </si>
  <si>
    <t>https://unfccc.int/sites/default/files/resource/The%20Long-term%20Strategy%20under%20the%20Paris%20Agreement.pdf</t>
  </si>
  <si>
    <t>https://unfccc.int/sites/default/files/NDC/2022-06/2019.09.19_DPRK%20letter%20to%20SG%20special%20envoy%20for%20NDC.pdf</t>
  </si>
  <si>
    <t>https://unfccc.int/files/focus/long-term_strategies/application/pdf/benin_long-term_strategy.pdf</t>
  </si>
  <si>
    <t>https://unfccc.int/sites/default/files/NDC/2022-06/Suriname%20Second%20NDC.pdf</t>
  </si>
  <si>
    <t>https://unfccc.int/sites/default/files/NDC/2023-10/Second%20NDC_Azerbaijan_ENG_Final%20%281%29.pdf</t>
  </si>
  <si>
    <t>https://unfccc.int/sites/default/files/NDC/2022-11/Bahamas%20Updated%20Nationally%20Determined%20Contributio</t>
  </si>
  <si>
    <t>https://unfccc.int/sites/default/files/NDC/2022-06/Republic%20of%20Lebanon%20-%20INDC%20-%20September%202015.pdf</t>
  </si>
  <si>
    <t>https://unfccc.int/sites/default/files/NDC/2022-06/Norway_updatedNDC_2020%20(Updated%20submission).pdf</t>
  </si>
  <si>
    <t>https://unfccc.int/sites/default/files/NDC/2022-06/Kyrgyzstan%20INDC%20_ENG_%20final.pdf</t>
  </si>
  <si>
    <t>https://unfccc.int/sites/default/files/NDC/2022-06/MD_Updated_NDC_final_version_EN.pdf</t>
  </si>
  <si>
    <t>NDC 1.2</t>
  </si>
  <si>
    <t>https://unfccc.int/sites/default/files/NDC/2022-06/NDC_submission_20210826revised.pdf</t>
  </si>
  <si>
    <t>https://unfccc.int/sites/default/files/resource/SingaporeLongtermlowemissionsdevelopmentstrategy.pdf</t>
  </si>
  <si>
    <t>https://unfccc.int/sites/default/files/NDC/2022-06/SUBMISSION%20OF%20JAPAN'S%20NATIONALLY%20DETERMINED%20CONTRIBUTION%20(NDC).PDF</t>
  </si>
  <si>
    <t>https://unfccc.int/sites/default/files/NDC/2022-06/Singapore's%20Update%20of%201st%20NDC.pdf</t>
  </si>
  <si>
    <t>National policy document</t>
  </si>
  <si>
    <t>https://cdn.climatepolicyradar.org/navigator/DMA/2020/dominica-climate-resilience-and-recovery-plan-2020-2030_6be7778ae868a2a1e7bd2e46e1e94a19.pdf</t>
  </si>
  <si>
    <t>added to backend on 04/06/2024</t>
  </si>
  <si>
    <t>https://unfccc.int/sites/default/files/NDC/2022-06/NEW%20ZEALAND%20NDC%20update%2022%2004%202020.pdf</t>
  </si>
  <si>
    <t>https://unfccc.int/sites/default/files/NDC/2022-06/20200514-%20Actualitzaci%C3%B3%20NDC.pdf</t>
  </si>
  <si>
    <t>https://unfccc.int/sites/default/files/NDC/2022-06/Rwanda_Updated_NDC_May_2020.pdf</t>
  </si>
  <si>
    <t>https://unfccc.int/sites/default/files/NDC/2022-06/2021%20Barbados%20NDC%20update%20-%2021%20July%202021.pdf</t>
  </si>
  <si>
    <t>https://unfccc.int/sites/default/files/NDC/2022-06/Updated%20NDC%20Jamaica%20-%20ICTU%20Guidance.pdf</t>
  </si>
  <si>
    <t>https://unfccc.int/sites/default/files/resource/2020-02-19_lts_be_fr.pdf</t>
  </si>
  <si>
    <t>https://unfccc.int/sites/default/files/resource/Belize%20LEDS.pdf</t>
  </si>
  <si>
    <t>https://unfccc.int/sites/default/files/NDC/2022-06/Belize%20Updated%20NDC.pdf</t>
  </si>
  <si>
    <t>https://unfccc.int/sites/default/files/NDC/2022-06/Updated%20-%20First%20NDC%20-%20%20FINAL%20-%20PDF.pdf</t>
  </si>
  <si>
    <t>https://unfccc.int/sites/default/files/NDC/2022-06/Switzerland_Full%20NDC%20Communication%202021-2030%20incl%20ICTU.pdf</t>
  </si>
  <si>
    <t>https://unfccc.int/sites/default/files/resource/LTS%20Report_final%20print_copy.pdf</t>
  </si>
  <si>
    <t>added by Nikola (17/10/2023)</t>
  </si>
  <si>
    <t>https://unfccc.int/sites/default/files/NDC/2022-06/NDC_Bolivia-2021-2030_UNFCCC_en.pdf</t>
  </si>
  <si>
    <t>https://unfccc.int/sites/default/files/resource/CHL_LTS_2021.pdf</t>
  </si>
  <si>
    <t>https://unfccc.int/sites/default/files/resource/ENG_CC%20adaptation%20and%20Low%20emission%20development%20Strategy%20BiH%202020-2030.pdf</t>
  </si>
  <si>
    <t>added by Marion (18/10/2023)</t>
  </si>
  <si>
    <t>https://unfccc.int/sites/default/files/2024-12/BOTSWANA_NDC_2%20REPORT.pdf</t>
  </si>
  <si>
    <t>https://unfccc.int/sites/default/files/2024-11/Brazil_Second%20Nationally%20Determined%20Contribution%20%28NDC%29_November2024.pdf</t>
  </si>
  <si>
    <t>https://unfccc.int/sites/default/files/NDC/2022-06/Thailand%20Updated%20NDC.pdf</t>
  </si>
  <si>
    <t>https://unfccc.int/sites/default/files/NDC/2022-06/Viet%20Nam_NDC_2020_Eng.pdf</t>
  </si>
  <si>
    <t>https://unfccc.int/sites/default/files/NDC/2022-06/Brunei%20Darussalam's%20NDC%202020.pdf</t>
  </si>
  <si>
    <t>https://unfccc.int/sites/default/files/resource/2022_lts_final_cyprus.pdf</t>
  </si>
  <si>
    <t>https://unfccc.int/files/na/application/pdf/cze_climate_protection_policy_summary.pdf</t>
  </si>
  <si>
    <t>Other</t>
  </si>
  <si>
    <t>Climate Change Response (Zero Carbon) Amendment Act 2019</t>
  </si>
  <si>
    <t>http://www.legislation.govt.nz/act/public/2019/0061/latest/LMS183736.html</t>
  </si>
  <si>
    <t>https://unfccc.int/sites/default/files/NDC/2022-06/INDC%20Angola%20deposito.pdf</t>
  </si>
  <si>
    <t>https://unfccc.int/sites/default/files/resource/ClimateProgramme2020-Denmarks-LTS-under-the%20ParisAgreement_December2020_.pdf</t>
  </si>
  <si>
    <t>https://unfccc.int/sites/default/files/NDC/2022-06/NDC_RF_eng.pdf</t>
  </si>
  <si>
    <t>WRI Net Zero Tracker</t>
  </si>
  <si>
    <t>https://www.climatewatchdata.org/net-zero-tracker?showEUCountries=true</t>
  </si>
  <si>
    <t>https://unfccc.int/sites/default/files/NDC/2022-06/UK%20Nationally%20Determined%20Contribution.pdf</t>
  </si>
  <si>
    <t>https://unfccc.int/sites/default/files/NDC/2022-06/PNG%20Second%20NDC.pdf</t>
  </si>
  <si>
    <t>https://unfccc.int/sites/default/files/NDC/2022-06/EU_NDC_Submission_December%202020.pdf</t>
  </si>
  <si>
    <t>https://unfccc.int/sites/default/files/NDC/2022-06/Reporte%20de%20Actualizacio%CC%81n%20de%20las%20NDC%20del%20Peru%CC%81.pdf</t>
  </si>
  <si>
    <t>https://unfccc.int/sites/default/files/NDC/2022-06/Contribuciones_Nacionales_Determinadas_Nicaragua.pdf</t>
  </si>
  <si>
    <t>https://unfccc.int/sites/default/files/NDC/2022-06/Kenya's%20First%20%20NDC%20(updated%20version).pdf</t>
  </si>
  <si>
    <t>https://unfccc.int/sites/default/files/NDC/2022-06/Rapport%20CDN_BKFA.pdf</t>
  </si>
  <si>
    <t>https://unfccc.int/sites/default/files/NDC/2022-06/Maldives%20Nationally%20Determined%20Contribution%202020.pdf</t>
  </si>
  <si>
    <t>https://unfccc.int/sites/default/files/NDC/2022-06/CDN1%20Actualizada%20Rep%C3%BAblica%20de%20Panam%C3%A1.pdf</t>
  </si>
  <si>
    <t>https://unfccc.int/sites/default/files/NDC/2022-06/Cabo%20Verde_NDC%20Update%202021.pdf</t>
  </si>
  <si>
    <t>https://unfccc.int/sites/default/files/NDC/2022-06/Dominican%20Republic%20First%20NDC%20(Updated%20Submission).pdf</t>
  </si>
  <si>
    <t>https://unfccc.int/sites/default/files/NDC/2022-06/CDNSenegal%20approuv%C3%A9e-pdf-.pdf</t>
  </si>
  <si>
    <t>Archived NDC 2.0</t>
  </si>
  <si>
    <t>https://unfccc.int/sites/default/files/NDC/2022-06/UAE%20Second%20NDC%20-%20UNFCCC%20Submission%20-%20English%20-%20FINAL.pdf</t>
  </si>
  <si>
    <t>https://unfccc.int/sites/default/files/resource/KHM_LTS_Dec2021.pdf</t>
  </si>
  <si>
    <t>https://unfccc.int/sites/default/files/NDC/2022-06/20201231_NDC_Update_Cambodia.pdf</t>
  </si>
  <si>
    <t>https://unfccc.int/sites/default/files/NDC/2022-06/Argentina_Segunda%20Contribuci%C3%B3n%20Nacional.pdf</t>
  </si>
  <si>
    <t>LTS 2.0</t>
  </si>
  <si>
    <t>https://unfccc.int/sites/default/files/resource/LTS%20Full%20Draft_Final%20version_oct31.pdf</t>
  </si>
  <si>
    <t>https://unfccc.int/sites/default/files/NDC/2022-06/NDC-Eng-Dec30.pdf</t>
  </si>
  <si>
    <t>https://unfccc.int/sites/default/files/NDC/2022-06/201230_ROK's%20Update%20of%20its%20First%20NDC_editorial%20change.pdf</t>
  </si>
  <si>
    <t>https://unfccc.int/sites/default/files/NDC/2022-06/Australia%20NDC%20recommunication%20FINAL.PDF</t>
  </si>
  <si>
    <t>https://unfccc.int/sites/default/files/NDC/2022-06/Updated_NDC_of_Bangladesh.pdf</t>
  </si>
  <si>
    <t>https://unfccc.int/sites/default/files/2025-02/Canada%27s%202035%20Nationally%20Determined%20Contribution_ENc.pdf</t>
  </si>
  <si>
    <t>added by Nikola (14/02/2025)</t>
  </si>
  <si>
    <t>https://unfccc.int/sites/default/files/NDC/2022-06/Chile's_NDC_2020_english.pdf</t>
  </si>
  <si>
    <t>https://unfccc.int/sites/default/files/resource/China%E2%80%99s%20Mid-Century%20Long-Term%20Low%20Greenhouse%20Gas%20Emission%20Development%20Strategy.pdf</t>
  </si>
  <si>
    <t>https://unfccc.int/sites/default/files/resource/COL_LTS_Nov2021.pdf</t>
  </si>
  <si>
    <t>https://unfccc.int/sites/default/files/NDC/2022-06/Saint%20Lucia%20First%20NDC%20(Updated%20submission).pdf</t>
  </si>
  <si>
    <t>https://unfccc.int/sites/default/files/NDC/2022-06/NDC%20actualizada%20de%20Colombia.pdf</t>
  </si>
  <si>
    <t>https://unfccc.int/sites/default/files/resource/NationalDecarbonizationPlan.pdf</t>
  </si>
  <si>
    <t>https://unfccc.int/sites/default/files/NDC/2022-06/Iceland_updated_NDC_Submission_Feb_2021.pdf</t>
  </si>
  <si>
    <t>https://unfccc.int/sites/default/files/NDC/2022-06/South%20Sudan's%20Second%20Nationally%20Determined%20Contribution.pdf</t>
  </si>
  <si>
    <t>https://unfccc.int/sites/default/files/NDC/2022-06/Lebanon's%202020%20Nationally%20Determined%20Contribution%20Update.pdf</t>
  </si>
  <si>
    <t>https://unfccc.int/sites/default/files/NDC/2022-06/Vanuatu%E2%80%99s%20First%20Nationally%20Determined%20Contribution%20(NDC)%20(Updated%20Submission%202020).pdf</t>
  </si>
  <si>
    <t>https://unfccc.int/sites/default/files/NDC/2022-06/Contribucio%CC%81n%20Nacionalmente%20Determinada%20de%20Costa%20Rica%202020%20-%20Versio%CC%81n%20Completa.pdf</t>
  </si>
  <si>
    <t>https://unfccc.int/sites/default/files/NDC/2022-06/NDC%20BiH_November%202020%20FINAL%20DRAFT%2005%20Nov%20ENG%20LR.pdf</t>
  </si>
  <si>
    <t>https://unfccc.int/sites/default/files/NDC/2022-06/United%20States%20NDC%20April%2021%202021%20Final.pdf</t>
  </si>
  <si>
    <t>https://unfccc.int/sites/default/files/NDC/2022-06/CDN_CIV_2022.pdf</t>
  </si>
  <si>
    <t>https://unfccc.int/sites/default/files/NDC/2022-06/CDN%20%20%20Burundi%20ANNEXE%201.pdf</t>
  </si>
  <si>
    <t>https://unfccc.int/sites/default/files/NDC/2022-06/Cuban%20First%20NDC%20Summary%20(Updated%20submission).pdf</t>
  </si>
  <si>
    <t>https://unfccc.int/sites/default/files/2022-07/The%20Commonwealth%20of%20Dominica%20updated%20NDC%20July%204%20%2C.pdf</t>
  </si>
  <si>
    <t>https://unfccc.int/sites/default/files/NDC/2022-06/NDC%20INTERIM%20REPORT%20SUBMISSION%20-%20NIGERIA.pdf</t>
  </si>
  <si>
    <t>https://unfccc.int/sites/default/files/NDC/2022-06/NDC%20Angola.pdf</t>
  </si>
  <si>
    <t>https://unfccc.int/sites/default/files/NDC/2022-06/Sudan%20Updated%20First%20NDC-Interim%20Submission.pdf</t>
  </si>
  <si>
    <t>https://unfccc.int/sites/default/files/resource/Fiji_Low%20Emission%20Development%20%20Strategy%202018%20-%202050.pdf</t>
  </si>
  <si>
    <t>https://unfccc.int/sites/default/files/NDC/2022-06/Updated%20NDC%20for%20Montenegro.pdf</t>
  </si>
  <si>
    <t>https://unfccc.int/sites/default/files/NDC/2023-06/Egypts%20Updated%20First%20Nationally%20Determined%20Contribution%202030%20%28Second%20Update%29.pdf</t>
  </si>
  <si>
    <t>https://unfccc.int/sites/default/files/NDC/2022-06/Second%20NDC%20Bhutan.pdf</t>
  </si>
  <si>
    <t>https://unfccc.int/sites/default/files/NDC/2022-06/Actualizaci%C3%B3n-NDC%20VF%20PAG.%20WEB_MADES%20Mayo%202022.pdf</t>
  </si>
  <si>
    <t>https://unfccc.int/sites/default/files/NDC/2022-06/NDC%20Report%202021%20Final%20Solomon%20Islands%20(1).pdf</t>
  </si>
  <si>
    <t>https://unfccc.int/sites/default/files/NDC/2022-06/El%20Salvador%20NDC-%20Updated%20Dic.2021.pdf</t>
  </si>
  <si>
    <t>https://unfccc.int/sites/default/files/NDC/2022-06/Updated%20NDC%20Indonesia%202021%20-%20corrected%20version.pdf</t>
  </si>
  <si>
    <t>https://unfccc.int/sites/default/files/NDC/2022-06/Ethiopia's%20updated%20NDC%20JULY%202021%20Submission_.pdf</t>
  </si>
  <si>
    <t>Visión a Largo Plazo como paso previo a la elaboración de su LTLEDS</t>
  </si>
  <si>
    <t>https://unfccc.int/sites/default/files/resource/Documento_Vision_LT_LEDs.pdf</t>
  </si>
  <si>
    <t>added by Nicolas (23/05/2024)</t>
  </si>
  <si>
    <t>https://unfccc.int/sites/default/files/NDC/2022-06/Eswatini's%20Revised%20NDC%2012%20Oct%202021.docx</t>
  </si>
  <si>
    <t>https://unfccc.int/sites/default/files/NDC/2022-06/Second%20NDC%20Report%20Oman.pdf</t>
  </si>
  <si>
    <t>https://unfccc.int/sites/default/files/resource/ETHIOPIA_%20LONG%20TERM%20LOW%20EMISSION%20AND%20CLIMATE%20RESILIENT%20DEVELOPMENT%20STRATEGY.pdf</t>
  </si>
  <si>
    <t xml:space="preserve">https://unfccc.int/sites/default/files/NDC/2023-10/ES-2023-10-17%20EU%20submission%20NDC%20update.pdf </t>
  </si>
  <si>
    <t>added by Marion (26/10/2023)</t>
  </si>
  <si>
    <t>https://unfccc.int/sites/default/files/NDC/2022-06/Malaysia%20NDC%20Updated%20Submission%20to%20UNFCCC%20July%202021%20final.pdf</t>
  </si>
  <si>
    <t>https://unfccc.int/sites/default/files/NDC/2022-06/Namibia's%20Updated%20NDC_%20FINAL%2025%20July%202021.pdf</t>
  </si>
  <si>
    <t>https://unfccc.int/sites/default/files/NDC/2022-06/Republic%20of%20Fiji's%20Updated%20NDC%2020201.pdf</t>
  </si>
  <si>
    <t>https://unfccc.int/sites/default/files/NDC/2022-06/Updated_NDC_STP_2021_EN_.pdf</t>
  </si>
  <si>
    <t>https://unfccc.int/sites/default/files/resource/LTS_Finland_Oct2020.pdf</t>
  </si>
  <si>
    <t>https://unfccc.int/sites/default/files/resource/Long_Term_Climate_Change_Strategy_of_The_Gambia_Final.pdf</t>
  </si>
  <si>
    <t>https://unfccc.int/sites/default/files/NDC/2022-06/Second%20NDC%20of%20The%20Republic%20of%20The%20Gambia-16-12-2021.pdf</t>
  </si>
  <si>
    <t>https://unfccc.int/sites/default/files/NDC/2022-06/TANZANIA_NDC_SUBMISSION_30%20JULY%202021.pdf</t>
  </si>
  <si>
    <t>https://unfccc.int/sites/default/files/NDC/2022-06/Final%20Zambia_Revised%20and%20Updated_NDC_2021_.pdf</t>
  </si>
  <si>
    <t>https://unfccc.int/sites/default/files/NDC/2022-06/210804%202125%20SL%20NDC%20(1).pdf</t>
  </si>
  <si>
    <t>https://unfccc.int/sites/default/files/NDC/2022-06/Final%20Updated%20NDC%20for%20Somalia%202021.pdf</t>
  </si>
  <si>
    <t>https://unfccc.int/sites/default/files/NDC/2022-06/Ukraine%20NDC_July%2031.pdf</t>
  </si>
  <si>
    <t>https://unfccc.int/sites/default/files/resource/en_SNBC-2_complete.pdf</t>
  </si>
  <si>
    <t>https://unfccc.int/sites/default/files/NDC/2022-06/CDN_Congo.pdf</t>
  </si>
  <si>
    <t>https://unfccc.int/sites/default/files/NDC/2022-06/Myanmar%20Updated%20%20NDC%20July%202021.pdf</t>
  </si>
  <si>
    <t>https://unfccc.int/sites/default/files/NDC/2022-06/NDC%20Georgia_ENG%20WEB-approved.pdf</t>
  </si>
  <si>
    <t>https://unfccc.int/sites/default/files/resource/Anlage%202_Update%20to%20the%20long-term%20strategy%20for%20climate%20action%20of%20the%20Federal%20Republic%20of%20Germany_02Nov2022_0.pdf</t>
  </si>
  <si>
    <t>https://unfccc.int/sites/default/files/NDC/2022-06/Qatar%20NDC.pdf</t>
  </si>
  <si>
    <t>https://unfccc.int/sites/default/files/NDC/2022-06/GrenadaSecondNDC2020%20-%2001-12-20.pdf</t>
  </si>
  <si>
    <t>https://unfccc.int/sites/default/files/2022-06/NDC%20-%20Guatemala%202021.pdf</t>
  </si>
  <si>
    <t>https://unfccc.int/sites/default/files/NDC/2022-06/%D0%9E%D0%9D%D0%A3%D0%92%20ENG%20%D0%BE%D1%82%2008102021.pdf</t>
  </si>
  <si>
    <t>https://unfccc.int/sites/default/files/NDC/2022-06/CDN%20GUINEE%202021_REVISION_VF.pdf</t>
  </si>
  <si>
    <t>https://unfccc.int/sites/default/files/resource/Georgia%27s%20LT-LEDS%202023-eng.pdf</t>
  </si>
  <si>
    <t>https://unfccc.int/sites/default/files/NDC/2022-06/CDN%20Revisee%20Haiti%202022.pdf</t>
  </si>
  <si>
    <t>https://unfccc.int/sites/default/files/NDC/2022-06/Zimbabwe%20Revised%20Nationally%20Determined%20Contribution%202021%20Final.pdf</t>
  </si>
  <si>
    <t>https://rmke12.epu.gov.my/en</t>
  </si>
  <si>
    <t>https://unfccc.int/sites/default/files/NDC/2022-06/South%20Africa%20updated%20first%20NDC%20September%202021.pdf</t>
  </si>
  <si>
    <t>UAE Net Zero by 2050 strategic initiative</t>
  </si>
  <si>
    <t>https://u.ae/en/information-and-services/environment-and-energy/climate-change/theuaesresponsetoclimatechange</t>
  </si>
  <si>
    <t>https://unfccc.int/sites/default/files/NDC/2022-06/NDC%20de%20Honduras_%20Primera%20Actualizaci%C3%B3n.pdf</t>
  </si>
  <si>
    <t>https://unfccc.int/sites/default/files/resource/Iceland_LTS1_2021.pdf</t>
  </si>
  <si>
    <t>https://unfccc.int/sites/default/files/NDC/2022-06/Tunisia%20Update%20NDC-french.pdf</t>
  </si>
  <si>
    <t>https://unfccc.int/sites/default/files/NDC/2022-06/The_INDC_of_TURKEY_v.15.19.30.pdf</t>
  </si>
  <si>
    <t>https://unfccc.int/sites/default/files/resource/India_LTLEDS.pdf</t>
  </si>
  <si>
    <t>Archived NDC 1.2</t>
  </si>
  <si>
    <t>https://unfccc.int/sites/default/files/NDC/2022-06/JAPAN_FIRST%20NDC%20(INTERIM-UPDATED%20SUBMISSION).pdf</t>
  </si>
  <si>
    <t>https://unfccc.int/documents/640306</t>
  </si>
  <si>
    <t>https://unfccc.int/sites/default/files/NDC/2022-06/Nauru%20Updated%20NDC%20pdf.pdf</t>
  </si>
  <si>
    <t>https://unfccc.int/sites/default/files/NDC/2022-06/Ghana_Transmittal%20Letter_Interim%20Updated%20NDC.pdf</t>
  </si>
  <si>
    <t>https://unfccc.int/sites/default/files/NDC/2022-06/Iraq%20NDC%20Document.docx</t>
  </si>
  <si>
    <t>https://unfccc.int/sites/default/files/NDC/2022-06/NDC%20of%20the%20Kingdom%20of%20Bahrain%20under%20UNFCCC.pdf</t>
  </si>
  <si>
    <t>https://unfccc.int/sites/default/files/NDC/2022-06/NDC%20update%20as%20submitted%20to%20the%20UNFCCC.docx</t>
  </si>
  <si>
    <t>https://unfccc.int/sites/default/files/NDC/2022-06/CDN%20ACTUALISEE%20DU%20TCHAD.pdf</t>
  </si>
  <si>
    <t>https://cdn.climatepolicyradar.org/navigator/NGA/2021/nigeria-s-climate-change-act_6c83884695bbf609fcd795a49d196e89.pdf</t>
  </si>
  <si>
    <t>https://unfccc.int/sites/default/files/NDC/2022-06/Pakistan%20Updated%20NDC%202021.pdf</t>
  </si>
  <si>
    <t>NDC 1.3</t>
  </si>
  <si>
    <t>https://unfccc.int/sites/default/files/NDC/2022-06/JAPAN_FIRST%20NDC%20(UPDATED%20SUBMISSION).pdf</t>
  </si>
  <si>
    <t>https://unfccc.int/sites/default/files/resource/202203111154---KSA%20NDC%202021.pdf</t>
  </si>
  <si>
    <t>https://unfccc.int/sites/default/files/resource/Japan_LTS2021.pdf</t>
  </si>
  <si>
    <t>https://unfccc.int/sites/default/files/resource/LTS1_Guatemala.pdf</t>
  </si>
  <si>
    <t>https://unfccc.int/sites/default/files/resource/LTS_1_Hungary_2021_EN.pdf</t>
  </si>
  <si>
    <t>https://unfccc.int/sites/default/files/NDC/2022-06/Australia%20Nationally%20Determined%20Contribution%20Update%20October%202021%20WEB.pdf</t>
  </si>
  <si>
    <t>https://unfccc.int/sites/default/files/NDC/2022-06/China%E2%80%99s%20Achievements,%20New%20Goals%20and%20New%20Measures%20for%20Nationally%20Determined%20Contributions.pdf</t>
  </si>
  <si>
    <t>https://unfccc.int/sites/default/files/resource/Australias_LTS_WEB.pdf</t>
  </si>
  <si>
    <t>https://unfccc.int/sites/default/files/NDC/2022-06/UPDATED%20SUBMISSION%20OF%20JORDANS.pdf</t>
  </si>
  <si>
    <t>https://unfccc.int/sites/default/files/resource/Thailand_LTS1.pdf</t>
  </si>
  <si>
    <t>https://unfccc.int/sites/default/files/NDC/2022-06/Uzbekistan_Updated%20NDC_2021_EN.pdf</t>
  </si>
  <si>
    <t>https://unfccc.int/sites/default/files/NDC/2022-06/NDC%202020%20of%20Lao%20PDR%20(English),%2009%20April%202021%20(1).pdf</t>
  </si>
  <si>
    <t>https://unfccc.int/sites/default/files/resource/Indonesia_LTS-LCCR_2021.pdf</t>
  </si>
  <si>
    <t>https://unfccc.int/sites/default/files/2025-02/REPUBLICA%20DE%20CUBA%20CND3.0.pdf</t>
  </si>
  <si>
    <t>NDC 2.1</t>
  </si>
  <si>
    <t>https://unfccc.int/sites/default/files/NDC/2022-05/Actualizacio%CC%81n%20meta%20de%20emisiones%202030.pdf</t>
  </si>
  <si>
    <t>https://unfccc.int/sites/default/files/NDC/2022-06/Liberia's%20Updated%20NDC_RL_FINAL%20(002).pdf</t>
  </si>
  <si>
    <t>https://unfccc.int/sites/default/files/NDC/2022-06/New%20Zealand%20NDC%20November%202021.pdf</t>
  </si>
  <si>
    <t>https://unfccc.int/sites/default/files/resource/Carbon_Neutrlaity_Strategy_Kazakhstan_Eng_Oct2024.pdf</t>
  </si>
  <si>
    <t>https://unfccc.int/sites/default/files/NDC/2022-06/Ghana's%20Updated%20Nationally%20Determined%20Contribution%20to%20the%20UNFCCC_2021.pdf</t>
  </si>
  <si>
    <t>https://unfccc.int/sites/default/files/resource/LTS1_Latvia.pdf</t>
  </si>
  <si>
    <t>https://unfccc.int/sites/default/files/NDC/2022-06/CDN_r%C3%A9vis%C3%A9e_Comores_vf.pdf</t>
  </si>
  <si>
    <t>https://unfccc.int/sites/default/files/NDC/2022-06/Actualizacion%20NDC%20Venezuela.pdf</t>
  </si>
  <si>
    <t>https://unfccc.int/sites/default/files/resource/Lithuanian%20Climate%20Change%20Management%20Agenda%202021%20EN.docx</t>
  </si>
  <si>
    <t>https://unfccc.int/sites/default/files/NDC/2022-06/Belarus_NDC_English.pdf</t>
  </si>
  <si>
    <t>https://unfccc.int/sites/default/files/NDC/2022-06/CDN%20r%C3%A9vis%C3%A9e%20CMR%20finale%20sept%202021.pdf</t>
  </si>
  <si>
    <t>https://unfccc.int/sites/default/files/resource/LUX_LTS_2021.pdf</t>
  </si>
  <si>
    <t>https://unfccc.int/sites/default/files/NDC/2022-06/Malawi%20Updated%20NDC%20July%202021%20submitted.pdf</t>
  </si>
  <si>
    <t>https://unfccc.int/sites/default/files/resource/MLT_LTS_Nov2021.pdf</t>
  </si>
  <si>
    <t>https://unfccc.int/sites/default/files/NDC/2022-06/MALI%20First%20NDC%20update.pdf</t>
  </si>
  <si>
    <t>https://unfccc.int/sites/default/files/resource/Nigeria_LTS1.pdf</t>
  </si>
  <si>
    <t>https://unfccc.int/sites/default/files/NDC/2022-06/NDC-Guinea%20Bissau-12102021.Final.pdf</t>
  </si>
  <si>
    <t>https://unfccc.int/sites/default/files/2025-02/Segunda%20NDC%20de%20Ecuador.pdf</t>
  </si>
  <si>
    <t>https://unfccc.int/sites/default/files/NDC/2022-06/Kuwait%20updating%20the%20first%20NDC-English.pdf</t>
  </si>
  <si>
    <t>https://unfccc.int/sites/default/files/NDC/2022-06/CDN-actualis%C3%A9%202021_%20Mauritania.pdf</t>
  </si>
  <si>
    <t>https://unfccc.int/sites/default/files/NDC/2022-06/Final%20Updated%20NDC%20for%20the%20Republic%20of%20Mauritius%2001%20October%202021.docx</t>
  </si>
  <si>
    <t>https://unfccc.int/sites/default/files/NDC/2022-06/NDC_TAJIKISTAN_ENG.pdf</t>
  </si>
  <si>
    <t>https://unfccc.int/sites/default/files/NDC/2022-06/Uganda%20interim%20NDC%20submission_.pdf</t>
  </si>
  <si>
    <t>https://unfccc.int/sites/default/files/NDC/2022-06/Monaco_NDC_2020.pdf</t>
  </si>
  <si>
    <t>https://unfccc.int/sites/default/files/NDC/2022-06/Swiss%20NDC%202021-2030%20incl%20ICTU_December%202021.pdf</t>
  </si>
  <si>
    <t>https://unfccc.int/files/focus/long-term_strategies/application/pdf/mexico_mcs_final_cop22nov16_red.pdf</t>
  </si>
  <si>
    <t>https://unfccc.int/sites/default/files/NDC/2022-06/211223_The%20Republic%20of%20Korea's%20Enhanced%20Update%20of%20its%20First%20Nationally%20Determined%20Contribution_211227_editorial%20change.pdf</t>
  </si>
  <si>
    <t>https://unfccc.int/sites/default/files/NDC/2022-06/First%20Submission%20of%20Mongolia's%20NDC.pdf</t>
  </si>
  <si>
    <t>https://unfccc.int/sites/default/files/resource/MAR_LTS_Dec2021.pdf</t>
  </si>
  <si>
    <t>https://unfccc.int/sites/default/files/NDC/2022-06/CDN%20Revis%C3%A9e%20de%20la%20RDC.pdf</t>
  </si>
  <si>
    <t>https://unfccc.int/sites/default/files/NDC/2022-06/Moroccan%20updated%20NDC%202021%20_Fr.pdf</t>
  </si>
  <si>
    <t>https://unfccc.int/sites/default/files/NDC/2022-06/NDC_EN_Final.pdf</t>
  </si>
  <si>
    <t>https://unfccc.int/sites/default/files/NDC/2022-06/CDN%20Revis%C3%A9e%20RCA.pdf</t>
  </si>
  <si>
    <t>https://unfccc.int/sites/default/files/resource/LTS1_Netherlands.pdf</t>
  </si>
  <si>
    <t>https://unfccc.int/sites/default/files/NDC/2024-01/FINAL%20UPDATED%20NAMIBIA%20NDC%202023.pdf</t>
  </si>
  <si>
    <t>https://unfccc.int/sites/default/files/NDC/2022-06/Second%20Nationally%20Determined%20Contribution%20(NDC)%20-%202020.pdf</t>
  </si>
  <si>
    <t>https://unfccc.int/sites/default/files/resource/NepalLTLEDS.pdf</t>
  </si>
  <si>
    <t>https://www.climatecommission.org.za/just-transition-framework</t>
  </si>
  <si>
    <t>https://unfccc.int/sites/default/files/resource/NZL_LTS_2021.pdf</t>
  </si>
  <si>
    <t>https://unfccc.int/sites/default/files/NDC/2022-06/Australias%20NDC%20June%202022%20Update%20%283%29.pdf</t>
  </si>
  <si>
    <t>https://unfccc.int/sites/default/files/NDC/2022-06/CDN_Niger_R%C3%A9vis%C3%A9e_2021.pdf</t>
  </si>
  <si>
    <t>https://unfccc.int/sites/default/files/NDC/2022-07/20220706_Gabon_Updated%20NDC.pdf</t>
  </si>
  <si>
    <t>https://unfccc.int/sites/default/files/NDC/2022-07/Egypt%20Updated%20NDC.pdf.pdf</t>
  </si>
  <si>
    <t>https://unfccc.int/sites/default/files/NDC/2022-06/NDC_File%20Amended%20_11222.pdf</t>
  </si>
  <si>
    <t>https://unfccc.int/sites/default/files/NDC/2022-08/NDC%20Final_Serbia%20english.pdf</t>
  </si>
  <si>
    <t>https://unfccc.int/sites/default/files/NDC/2022-08/India%20Updated%20First%20Nationally%20Determined%20Contrib.pdf</t>
  </si>
  <si>
    <t>https://unfccc.int/sites/default/files/resource/Nigeria_LT-LEDS_01122023_240425_094617.pdf</t>
  </si>
  <si>
    <t>https://unfccc.int/sites/default/files/resource/Oman.pdf</t>
  </si>
  <si>
    <t>added by Marion (28/09/2023)</t>
  </si>
  <si>
    <t>https://unfccc.int/sites/default/files/NDC/2022-09/UpdateNDC-EN-2022.pdf</t>
  </si>
  <si>
    <t>https://unfccc.int/sites/default/files/NDC/2023-11/Oman%201st%20Update%20of%20the%202nd%20NDC%20-%20Optimized%20Size%20%281%29.pdf</t>
  </si>
  <si>
    <t>https://unfccc.int/sites/default/files/NDC/2022-06/Abridged%20Version%20of%20Updated%20Pakistan%20NDCs.docx</t>
  </si>
  <si>
    <t>https://unfccc.int/sites/default/files/NDC/2022-09/UK%20NDC%20ICTU%202022.pdf</t>
  </si>
  <si>
    <t>https://unfccc.int/sites/default/files/NDC/2022-09/ENDC%20Indonesia.pdf</t>
  </si>
  <si>
    <t>https://unfccc.int/sites/default/files/NDC/2022-10/Updated%20NDC%20of%20the%20MICRONESIA.pdf</t>
  </si>
  <si>
    <t>https://unfccc.int/sites/default/files/NDC/2022-10/CND-GuineaEcuatorial-Version2022-Actualizada.pdf</t>
  </si>
  <si>
    <t>https://unfccc.int/sites/default/files/resource/LTS1_Norway_Oct2020.pdf</t>
  </si>
  <si>
    <t>https://unfccc.int/sites/default/files/NDC/2022-06/State%20of%20Palestine%20First%20NDC.pdf</t>
  </si>
  <si>
    <t>https://unfccc.int/sites/default/files/resource/LTLEDS_PANAMA_2024.pdf</t>
  </si>
  <si>
    <t>https://unfccc.int/sites/default/files/NDC/2024-06/Segunda%20Contribuci%C3%B3n%20Determinada%20a%20Nivel%20Nacional_CDN2.pdf</t>
  </si>
  <si>
    <t>NDC Norway_second update.pdf (unfccc.int)</t>
  </si>
  <si>
    <t>https://unfccc.int/sites/default/files/NDC/2022-11/Singapore%20Second%20Update%20of%20First%20NDC.pdf</t>
  </si>
  <si>
    <t>https://unfccc.int/sites/default/files/resource/LTS1_RKorea.pdf</t>
  </si>
  <si>
    <t>https://unfccc.int/sites/default/files/resource/RNC2050_EN_PT%20Long%20Term%20Strategy.pdf</t>
  </si>
  <si>
    <t>https://unfccc.int/sites/default/files/NDC/2022-06/Macedonian%20enhanced%20NDC%20(002).pdf</t>
  </si>
  <si>
    <t>https://unfccc.int/sites/default/files/NDC/2022-11/20222410_Actualitzacio%20NDC.pdf</t>
  </si>
  <si>
    <t>https://unfccc.int/sites/default/files/resource/Strategy%20of%20Socio-Economic%20Development%20of%20the%20Russian%20Federation%20with%20Low%20GHG%20Emissions%20EN.pdf</t>
  </si>
  <si>
    <t>https://unfccc.int/sites/default/files/NDC/2022-11/Timor_Leste%20Updated%20NDC%202022_2030.pdf</t>
  </si>
  <si>
    <t>https://unfccc.int/sites/default/files/NDC/2022-11/Viet%20Nam%20NDC%202022%20Update.pdf</t>
  </si>
  <si>
    <t>https://unfccc.int/sites/default/files/resource/MKD_LTS_Nov2021.pdf</t>
  </si>
  <si>
    <t>https://unfccc.int/sites/default/files/NDC/2023-02/Tuvalus%20Updated%20NDC%20for%20UNFCCC%20Submission.pdf</t>
  </si>
  <si>
    <t>added by Marion (25/09/2023)</t>
  </si>
  <si>
    <t>https://unfccc.int/sites/default/files/NDC/2022-11/Mexico_NDC_UNFCCC_update2022_FINAL.pdf</t>
  </si>
  <si>
    <t>https://unfccc.int/sites/default/files/NDC/2022-12/Uruguay%20Segunda%20CDN.pdf</t>
  </si>
  <si>
    <t>https://unfccc.int/sites/default/files/NDC/2023-01/NDC_Turkmenistan_12-05-2022_approv.%20by%20Decree_Eng.pdf</t>
  </si>
  <si>
    <t>https://unfccc.int/sites/default/files/resource/Addendum%20to%20Singapore%27s%20Long-Term%20Low-Emissions%20Development%20Strategy.pdf</t>
  </si>
  <si>
    <t>https://unfccc.int/sites/default/files/NDC/2023-03/221213%20Kiribati%20NDC%20Web%20Quality.pdf</t>
  </si>
  <si>
    <t>https://unfccc.int/sites/default/files/NDC/2022-06/St.%20Kitts%20and%20Nevis%20Revised%20NDC_Updated.pdf</t>
  </si>
  <si>
    <t>https://unfccc.int/sites/default/files/2025-02/Japans%202035-2040%20NDC.pdf</t>
  </si>
  <si>
    <t>added by Nikola (19/02/2025)</t>
  </si>
  <si>
    <t>https://unfccc.int/sites/default/files/NDC/2022-06/Samoa's%20Second%20NDC%20for%20UNFCCC%20Submission.pdf</t>
  </si>
  <si>
    <t>https://unfccc.int/sites/default/files/resource/Ireland%20LTS.pdf</t>
  </si>
  <si>
    <t>added by Marion (20/10/2023)</t>
  </si>
  <si>
    <t>https://unfccc.int/sites/default/files/resource/Low_Carbon_Development_Strategy_Serbia_2023-2030_with_2050_Projections.pdf</t>
  </si>
  <si>
    <t>https://unfccc.int/sites/default/files/NDC/2023-05/Vatican%20City%20State%20NDCs%20-%20May%202023.pdf</t>
  </si>
  <si>
    <t>https://unfccc.int/sites/default/files/NDC/2022-06/Seychelles%20-%20NDC_Jul30th%202021%20_Final.pdf</t>
  </si>
  <si>
    <t>https://unfccc.int/sites/default/files/resource/LTS%20SK%20eng.pdf</t>
  </si>
  <si>
    <t>https://unfccc.int/sites/default/files/resource/LTS1_SLOVENIA_EN.pdf</t>
  </si>
  <si>
    <t>https://unfccc.int/sites/default/files/NDC/2023-06/12updated%20NDC%20KAZ_Gov%20Decree313_19042023_en_cover%20page.pdf</t>
  </si>
  <si>
    <t>NDC 2.2</t>
  </si>
  <si>
    <t>https://unfccc.int/sites/default/files/NDC/2023-07/Third%20Update%20of%20Second%20NDC%20for%20the%20UAE_v15.pdf</t>
  </si>
  <si>
    <t>https://unfccc.int/sites/default/files/resource/SOLOMON%20ISLANDS%20LEDS.pdf</t>
  </si>
  <si>
    <t>https://unfccc.int/sites/default/files/resource/South%20Africa%27s%20Low%20Emission%20Development%20Strategy.pdf</t>
  </si>
  <si>
    <t>https://unfccc.int/sites/default/files/NDC/2022-06/South%20Sudan%20Intended%20Nationally%20Determined%20%20%20%20Contribution.pdf</t>
  </si>
  <si>
    <t>https://unfccc.int/sites/default/files/resource/LTS1_Spain_0.pdf</t>
  </si>
  <si>
    <t>https://unfccc.int/sites/default/files/NDC/2022-06/NDCs%20of%20Sri%20Lanka-2021.pdf</t>
  </si>
  <si>
    <t>https://unfccc.int/sites/default/files/resource/SriLanka_LTLEDS.pdf</t>
  </si>
  <si>
    <t>added by Nikola (18/10/2023)</t>
  </si>
  <si>
    <t>39443AUT</t>
  </si>
  <si>
    <t>39443BEL</t>
  </si>
  <si>
    <t>39443BGR</t>
  </si>
  <si>
    <t>39443HRV</t>
  </si>
  <si>
    <t>39443CYP</t>
  </si>
  <si>
    <t>39443CZE</t>
  </si>
  <si>
    <t>39443EST</t>
  </si>
  <si>
    <t>39443FIN</t>
  </si>
  <si>
    <t>39443FRA</t>
  </si>
  <si>
    <t>39443DEU</t>
  </si>
  <si>
    <t>39443GRC</t>
  </si>
  <si>
    <t>39443HUN</t>
  </si>
  <si>
    <t>39443IRL</t>
  </si>
  <si>
    <t>39443ITA</t>
  </si>
  <si>
    <t>39443LVA</t>
  </si>
  <si>
    <t>39443LTU</t>
  </si>
  <si>
    <t>39443LUX</t>
  </si>
  <si>
    <t>39443MLT</t>
  </si>
  <si>
    <t>39443NLD</t>
  </si>
  <si>
    <t>39443POL</t>
  </si>
  <si>
    <t>39443PRT</t>
  </si>
  <si>
    <t>39443ROU</t>
  </si>
  <si>
    <t>39443SVK</t>
  </si>
  <si>
    <t>39443SVN</t>
  </si>
  <si>
    <t>39443ESP</t>
  </si>
  <si>
    <t>39443SWE</t>
  </si>
  <si>
    <t>https://unfccc.int/sites/default/files/NDC/2023-11/Brazil%20First%20NDC%202023%20adjustment.pdf</t>
  </si>
  <si>
    <t>https://unfccc.int/sites/default/files/resource/LTS1_Sweden.pdf</t>
  </si>
  <si>
    <t>https://unfccc.int/sites/default/files/resource/Strat%C3%A9gie%20de%20d%C3%A9veloppement%20neutre%20en%20carbone%20et%20r%C3%A9silient%20-%20Tunisie.pdf</t>
  </si>
  <si>
    <t>https://unfccc.int/sites/default/files/resource/LTS1_Switzerland.pdf</t>
  </si>
  <si>
    <t>https://unfccc.int/sites/default/files/NDC/2024-01/NDC%202%20MADAGASCAR.pdf</t>
  </si>
  <si>
    <t>https://unfccc.int/sites/default/files/2025-02/Lesotho%20SECOND%20NDC.pdf</t>
  </si>
  <si>
    <t>added by Nikola (07/02/2025)</t>
  </si>
  <si>
    <t>https://unfccc.int/sites/default/files/resource/Ukraine_LEDS_en.pdf</t>
  </si>
  <si>
    <t>https://unfccc.int/sites/default/files/resource/Thailand%20LT-LEDS%20%28Revised%20Version%29_08Nov2022.pdf</t>
  </si>
  <si>
    <t>https://unfccc.int/sites/default/files/NDC/2022-06/CDN%20Revis%C3%A9es_Togo_Document%20int%C3%A9rimaire_rv_11%2010%2021.pdf</t>
  </si>
  <si>
    <t>https://unfccc.int/sites/default/files/NDC/2022-06/Tonga's%20Second%20NDC.pdf</t>
  </si>
  <si>
    <t>https://unfccc.int/sites/default/files/resource/TON_LTS_Nov2021.pdf</t>
  </si>
  <si>
    <t>https://unfccc.int/sites/default/files/NDC/2022-06/Trinidad%20and%20Tobago%20Final%20INDC.pdf</t>
  </si>
  <si>
    <t>https://unfccc.int/sites/default/files/NDC/2023-04/T%C3%9CRK%C4%B0YE_UPDATED%201st%20NDC_EN.pdf</t>
  </si>
  <si>
    <t>https://unfccc.int/sites/default/files/resource/Turkiye_Long_Term_Climate_Strategy.pdf</t>
  </si>
  <si>
    <t>added by Nikola (22/01/2025)</t>
  </si>
  <si>
    <t>https://unfccc.int/sites/default/files/resource/Zimbabwe%20LEDS_08Nov2022.pdf</t>
  </si>
  <si>
    <t>https://unfccc.int/sites/default/files/NDC/2022-09/Updated%20NDC%20_Uganda_2022%20Final.pdf</t>
  </si>
  <si>
    <t>10 February 2025</t>
  </si>
  <si>
    <t>https://unfccc.int/sites/default/files/2025-02/Republic%20of%20the%20Marshall%20Islands%20NDC%203.0.pdf</t>
  </si>
  <si>
    <t>https://unfccc.int/sites/default/files/resource/UAE_LTLEDS.pdf?download</t>
  </si>
  <si>
    <t>21 February 2025</t>
  </si>
  <si>
    <t>https://unfccc.int/sites/default/files/2025-01/New%20Zealand%27s%20second%20Nationally%20Determined%20Contribution.pdf</t>
  </si>
  <si>
    <t>https://unfccc.int/sites/default/files/resource/UK%20Net%20Zero%20Strategy%20-%20Build%20Back%20Greener.pdf</t>
  </si>
  <si>
    <t>https://unfccc.int/sites/default/files/2025-02/Saint%20Lucias%20Third%20Nationally%20Determined%20Contribution.pdf</t>
  </si>
  <si>
    <t>https://unfccc.int/sites/default/files/2025-02/Singapore%20Second%20Nationally%20Determined%20Contribution.pdf</t>
  </si>
  <si>
    <t>added by Nikola (11/02/2025)</t>
  </si>
  <si>
    <t>https://unfccc.int/sites/default/files/resource/US-LongTermStrategy-2021.pdf</t>
  </si>
  <si>
    <t>https://unfccc.int/sites/default/files/2025-01/Switzerland%20second%20NDC%202031-2035.pdf</t>
  </si>
  <si>
    <t>https://unfccc.int/sites/default/files/resource/URY_LTS_Dec2021.pdf</t>
  </si>
  <si>
    <t>https://unfccc.int/sites/default/files/2024-11/Switzerlands%20First%20NDC_2021_2030_Update%202024_including%20ICTUs.pdf</t>
  </si>
  <si>
    <t>https://unfccc.int/sites/default/files/NDC/2022-08/Vanuatu%20NDC%20Revised%20and%20Enhanced.pdf</t>
  </si>
  <si>
    <t>https://unfccc.int/sites/default/files/resource/Vanuatu-Low-Emission_v06_RC_LQ_compressed%201.pdf</t>
  </si>
  <si>
    <t>https://unfccc.int/sites/default/files/2024-11/UAE-NDC3.0.pdf</t>
  </si>
  <si>
    <t>added by Nikola (08/01/2024)</t>
  </si>
  <si>
    <t>https://unfccc.int/sites/default/files/2025-01/UK%27s%202035%20NDC%20ICTU.pdf</t>
  </si>
  <si>
    <t>added by Nikola (04/02/2025)</t>
  </si>
  <si>
    <t>https://unfccc.int/sites/default/files/2024-12/United%20States%202035%20NDC.pdf</t>
  </si>
  <si>
    <t>https://unfccc.int/sites/default/files/2025-01/20241220_Uruguay_NDC3.pdf</t>
  </si>
  <si>
    <t>https://unfccc.int/sites/default/files/2025-02/Zimbabwe%20NDC3.0%20Country%20Statement_2025_35.pdf</t>
  </si>
  <si>
    <t>added by Nikola (12/02/2025)</t>
  </si>
  <si>
    <t>Targets</t>
  </si>
  <si>
    <t>This sheet contains all information related to general economy-wide and transport specific GHG, energy and adaptation targets submitted in the context of countries' NDCs and targets included in Long Term Strategies and other policy document</t>
  </si>
  <si>
    <t xml:space="preserve">Type of Document </t>
  </si>
  <si>
    <t>Target area</t>
  </si>
  <si>
    <t>Target scope</t>
  </si>
  <si>
    <t>GHG target?</t>
  </si>
  <si>
    <t>Target type</t>
  </si>
  <si>
    <t>Conditionality</t>
  </si>
  <si>
    <t>Target Year</t>
  </si>
  <si>
    <t>Content</t>
  </si>
  <si>
    <t>Page Number</t>
  </si>
  <si>
    <t>Parameter</t>
  </si>
  <si>
    <t>Target type ID</t>
  </si>
  <si>
    <t>Country summary transport targets</t>
  </si>
  <si>
    <t>Country has a net-zero target</t>
  </si>
  <si>
    <t>ICE phase-out</t>
  </si>
  <si>
    <t>GHG total 2023</t>
  </si>
  <si>
    <t>GHG transport 2023</t>
  </si>
  <si>
    <t>Revisions</t>
  </si>
  <si>
    <t>Overall mitigation target</t>
  </si>
  <si>
    <t>GHG</t>
  </si>
  <si>
    <t>GHG: BAU</t>
  </si>
  <si>
    <t>Conditional</t>
  </si>
  <si>
    <t>13.6% below 2030 business as usual (BAU) scenario</t>
  </si>
  <si>
    <t>n/a</t>
  </si>
  <si>
    <t>Transport sector mitigation target</t>
  </si>
  <si>
    <t>Subsector targets</t>
  </si>
  <si>
    <t>Non GHG</t>
  </si>
  <si>
    <t>Mode share targets</t>
  </si>
  <si>
    <t>Unconditional</t>
  </si>
  <si>
    <t>Efficient transport system:  
Increasing the share of public transport for passengers and freight (roads, railways and waterways). Up to 2030, 30% of the road transport of over 300 km shall be shifted to other transport modalities, like the rail. Up to 2050 the goal to be achieved is 50%</t>
  </si>
  <si>
    <t>Transport non-GHG targets</t>
  </si>
  <si>
    <t>Biofuel targets</t>
  </si>
  <si>
    <t xml:space="preserve">Renewable energy sources in transport:  
Goal for the share of the biofuels vs. total fuel consumption in transport sector 10% in 2020, 10% in 2025 and 10% in 2030 as compared to 3.55% in 2015. </t>
  </si>
  <si>
    <t>Zero emission vehicle targets</t>
  </si>
  <si>
    <t xml:space="preserve">The share of electrical vehicles (EV) is increasing in the passenger cars fleet (up to 10%  of passenger.km in 2030).  </t>
  </si>
  <si>
    <t>Bicycle as Passenger travel mode is increasing  (up to 5% of passenger.km in 2030).</t>
  </si>
  <si>
    <t xml:space="preserve"> The difference, in 2030, with the BAU scenario, is -3,170 kt CO2e, which represents a mitigation impact of -20.9%.</t>
  </si>
  <si>
    <t>11.5% below 2030 BAU scenario</t>
  </si>
  <si>
    <t>7% below 2030 BAU scenario</t>
  </si>
  <si>
    <t>Up to 22% reduction by 2030</t>
  </si>
  <si>
    <t>Los niveles de reducción del escenario a mediano plazo se concretan en un 37% (193,73 Gg CO2 eq.) de las emisiones anuales no absorbidas respecto al escenario Business as usual, de aquí al 2030</t>
  </si>
  <si>
    <t>Transport GHG targets</t>
  </si>
  <si>
    <t>x</t>
  </si>
  <si>
    <t>Energy sector target</t>
  </si>
  <si>
    <t>Sector-wide</t>
  </si>
  <si>
    <t>Unclear conditionality</t>
  </si>
  <si>
    <t>Las acciones que han de permitir conseguir a mediano plazo (2030) la reducción de las emisiones para los 3 sectores clave en cuanto a GEI en Andorras son: 
Sector energía, y más concretamente acciones sobre el sector eléctrico, la movilidad y la edificación. En este sentido se prevé reducir la intensidad energética en un mínimo de un 20%, con un incremento de la producción eléctrica nacional (que será de más del 75% proveniente de fuentes renovables) del 33% de la demanda eléctrica. Más concretamente en el subsector de actividades de combustión de combustibles, para el transporte por carretera la reducción fijada es del 50% de las emisiones de GEI producidas por el transporte interno. Para ello, entre algunas de las acciones previstas, se establece a través de la Ley 21/2018, de 13 de setiembre, de impulso de la transición energética y del cambio climático, la reducción de las emisiones de GEI por el incremento del porcentaje de vehículos a propulsión eléctrica del parque automovilístico nacional de turismos hasta el 20% para el año 2030. 
Para el compromiso a largo plazo (2050), las acciones previstas para los 3 sectores clave en cuanto a GEI son las que se presentan a continuación.
Sector energía, y más concretamente acciones sobre el sector eléctrico, la movilidad y la edificación. Se reducirá la intensidad energética en un mínimo de un 30%, con un incremento de la producción eléctrica nacional (que será de más del 85% proveniente de fuentes renovables) del 50% de la demanda eléctrica. Más concretamente en el subsector de actividades de combustión de combustibles, para el transporte por carretera la reducción no se fija a largo plazo, pero se continuará con el incremento del porcentaje de vehículos a propulsión eléctrica del parque automovilístico nacional de turismos hasta el 50%.  Complementariamente a estas acciones, se implementarán mecanismos de compensación para alcanzar la meta en caso que sea necesario: 
Que las emisiones de GEI se reduzcan como mínimo un 32% cuanto a la energía eléctrica y una reducción del 7% en cuanto a la energía térmica. 
Reducir la intensidad energética un mínimo del 20%. [until 2030] 
Producción eléctrica nacional con más del 75% proveniente de fuentes renovables [until 2030]</t>
  </si>
  <si>
    <t>Renewable energy</t>
  </si>
  <si>
    <t>Que la producción eléctrica nacional provenga en un 80% de energías renovables, fomentando así la energía hidráulica, la solar, la eólica, la geotermia y la biomasa. [until 2050]
Reducir la intensidad energética un mínimo del 30%. [until 2050]</t>
  </si>
  <si>
    <t xml:space="preserve">Más concretamente en el subsector de actividades de combustión de combustibles, para el transporte por carretera la reducción fijada es del 50% de las emisiones de GEI producidas por el transporte interno. </t>
  </si>
  <si>
    <t>GHG: Fixed level</t>
  </si>
  <si>
    <t>no date provided</t>
  </si>
  <si>
    <t>Andorra therefore supports the implementation of the actions envisaged in the Paris Agreement entailing a reduction in domestic greenhouse gas (GHG) emissions until carbon neutrality is achieved</t>
  </si>
  <si>
    <t>Más concretamente en el subsector de actividades de combustión de combustibles, para el transporte por carretera la reducción fijada es del 50% de las emisiones de GEI producidas por el transporte interno</t>
  </si>
  <si>
    <t>Transport GHG and non-GHG targets</t>
  </si>
  <si>
    <t>la reducción de las emisiones de GEI por el incremento del porcentaje de vehículos a propulsión eléctrica del parque automovilístico nacional de turismos hasta el 20% para el año 2030.</t>
  </si>
  <si>
    <t>para el transporte por carretera la reducción no se fija a largo plazo, pero se continuará con el incremento del porcentaje de vehículos a propulsión eléctrica del parque automovilístico nacional de turismos hasta el 50%.</t>
  </si>
  <si>
    <t>Descarbonización del sector transprote [sic!]</t>
  </si>
  <si>
    <t>37% below 2030 BAU scenario</t>
  </si>
  <si>
    <t>pasando del objetivo previamente asumido de una reducción del 37% a una reducción del 55% para el 2030 respecto un escenario inmovilista (BAU).</t>
  </si>
  <si>
    <t>Other non-GHG energy targets</t>
  </si>
  <si>
    <t>Se prevé reducir la intensidad energética en un mínimo de un 20%, con un incremento de la producción eléctrica nacional (que será de más del 70% proveniente de fuentes renovables) del 33% de la demanda eléctrica</t>
  </si>
  <si>
    <t>14% reduction compared to BAU by 2025</t>
  </si>
  <si>
    <t>additional 10% reduction (so total 24%) compared to BAU by 2025</t>
  </si>
  <si>
    <t>Up to 35% by 2030 as compared to the Business as Usual (BAU) scenario</t>
  </si>
  <si>
    <t>An additional 15% below BAU emission levels by 2030</t>
  </si>
  <si>
    <t>Vehicle efficiency targets</t>
  </si>
  <si>
    <t>the Emirate of Abu Dhabi has also set targets to shift 25% of government vehicle fleets to compressed natural gas</t>
  </si>
  <si>
    <t>Transport sector adaptation target</t>
  </si>
  <si>
    <t>General adaptation targets</t>
  </si>
  <si>
    <t>All waterways are protected to reduce the risks of flooding and health impacts by 2030</t>
  </si>
  <si>
    <t xml:space="preserve">The Dubai Green Mobility Strategy targets a 2% share of electric and hybrid cars in Dubai’s road fleet by 2030, and a 30% share in Dubai’s government-procured vehicles by the same year. 
</t>
  </si>
  <si>
    <t>14% reduction in total emissions from the transport sector by 2030 primarily due to enhanced vehicle standards in road transport</t>
  </si>
  <si>
    <t>The Dubai Green Mobility Strategy 2030 targets a 30% share of electric and hybrid cars among Dubai’s government-procured vehicles by the same year. In 2016, the UAE set a 10% penetration target for electric and hybrid cars in the government fleet by 2021. To support this target, the government introduced 10% annual purchase/lease of hybrids and EVs in its fleet to drive the market shift.</t>
  </si>
  <si>
    <t>Transport emissions to have 1% reduction from 2019 to 2030, staying at 42 million tonnes CO2e</t>
  </si>
  <si>
    <t>The goal is to make 25% of all transport trips in Dubai smart and driverless by 2030.</t>
  </si>
  <si>
    <t>Net zero target</t>
  </si>
  <si>
    <t>The UAE Net Zero by 2050 strategic initiative is a national drive to achieve net-zero emissions by 2050 (https://u.ae/en/information-and-services/environment-and-energy/climate-change/theuaesresponsetoclimatechange)</t>
  </si>
  <si>
    <t>de no exceder la emisión neta de 359 MtCO2e en el año 2030 (equivalente una disminución total del 19% de las emisiones hacia 2030 en comparación con el máximo histórico de emisiones alcanzado en el año 2007)</t>
  </si>
  <si>
    <t xml:space="preserve"> Argentina shall not exceed a net emission of 483 million tons of carbon dioxide equivalent (tCO2eq) by the year 2030.</t>
  </si>
  <si>
    <t xml:space="preserve"> impact of conditional measures, which if jointly implemented could bring emissions to 369 million tCO2eq for 2030. </t>
  </si>
  <si>
    <t>Hacer esfuerzos en pos de alcanzar la neutralidad en emisiones de GEI para el año 2050. Esta meta es aplicable a todos los sectores de la economía e incluye las emisiones y absorciones de todos los GEI reportados por el país. La meta se alcanzará mediante la reducción progresiva de las emisiones de GEI y la promoción y fortalecimiento de los sumideros.</t>
  </si>
  <si>
    <t>GHG: Base year</t>
  </si>
  <si>
    <t>40% reduction from 1990 levels by 2030</t>
  </si>
  <si>
    <t>By 2030, Armenia is going to double its share of renewables in energy generation on the path to achieve climate neutrality in the second half of this century</t>
  </si>
  <si>
    <t>Limit to 633 MtCO2e by 2050</t>
  </si>
  <si>
    <t>26 to 28 % below 2005 levels by 2030, to be implemented as an emissions budget covering the period 2021-2030</t>
  </si>
  <si>
    <t>Australia adopts a target of net zero emissions by 2050. This is an economy-wide target, covering all sectors and gases included in Australia’s national inventory.</t>
  </si>
  <si>
    <t>Australia reaffirms its ambitious economy-wide target to reduce greenhouse emissions to by 26 - 28% below 2005 levels by 2030, and will exceed it by up to 9 percentage points.</t>
  </si>
  <si>
    <t>26 to 28 per cent below 2005 levels by 2030, implemented as an emissions budget covering the period 2021–2030</t>
  </si>
  <si>
    <t>This analysis shows that achieving the Technology Investment Roadmap stretch goals, coupled with other emerging global trends like electrification of transport, can reduce Australia's emissions by as much as 85% by 2050. Our Plan, with additional priority technologies over time, will close the gap.</t>
  </si>
  <si>
    <t>Infrastructure targets</t>
  </si>
  <si>
    <t>Lastly, 262 km of metro tracks will be constructed across the rest of the UAE, with 50% of these in Abu Dhabi and 50% in urban hubs in the northern emirates. By 2030, 142 km of these metro lines will be operational.</t>
  </si>
  <si>
    <t>Australia is increasing the ambition of its 2030 target, committing to reduce greenhouse gas emissions 43% below 2005 levels by 2030</t>
  </si>
  <si>
    <t>26 to 28 per cent below 2005 levels by 2030</t>
  </si>
  <si>
    <t>Austria has set the goal of being climate-neutral by no later than 2050 – this is our vision</t>
  </si>
  <si>
    <t>35% below 1990 levels by 2030</t>
  </si>
  <si>
    <t>By 2027, all taxis in Dubai will be hybrid-, electric-, or hydrogen-powered</t>
  </si>
  <si>
    <t>Reducing its GHG emission by 30% compared to its BaU scenario. This covers gases and sectors included in The Bahamas National Inventory (by 2030)</t>
  </si>
  <si>
    <t>Having at least 30% of renewables in the country’s energy mix</t>
  </si>
  <si>
    <t>30% below 2030 BAU</t>
  </si>
  <si>
    <t>GHG emissions would be reduced by 27.56 Mt CO2e (6.73%) below BAU in 2030</t>
  </si>
  <si>
    <t>GHG emissions would be reduced by 89.47 Mt CO2e (21.85%) below BAU in 2030</t>
  </si>
  <si>
    <t>Compared to 2019 levels: 1% reduction by 2030 (42 Mt CO2e), 40% reduction by 2040 (25 Mt CO2e),  100% reduction by 2050 (zero emissons)</t>
  </si>
  <si>
    <t>Avoid targets</t>
  </si>
  <si>
    <t>Mix-Use development should yield a yearly reduction in passenger kilometres (passenger-km) travelled by vehicle of 4% by 2040, and 7% by 2050</t>
  </si>
  <si>
    <t>An increase in walking and cycling will also decrease passenger-km travelled through the years, up to a 1% reduction by 2050</t>
  </si>
  <si>
    <t>Car-pooling and ride sharing in the UAE will increase the occupation levels of vehicles by 0.2% year-over-year, decreasing the number of private passenger cars on the road.</t>
  </si>
  <si>
    <t>the stock of public buses will be higher in net zero versus a business-as-usual scenario, by roughly 5,000 in 2050</t>
  </si>
  <si>
    <t>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t>
  </si>
  <si>
    <t>An unconditional contribution to reduce GHG emissions by 5% from Business as Usual (BAU) levels by 2030 in the power, transport and industry sectors</t>
  </si>
  <si>
    <t>A conditional 15% reduction in GHG emissions from BAU levels by 2030 in the power, transport, and industry sectors</t>
  </si>
  <si>
    <t>20% reduction relative to business-as-usual emissions in 2025 without international support (unconditional). 35% reduction relative to business-as-usual emissions in 2030 without international support (unconditional).</t>
  </si>
  <si>
    <t>35% reduction relative to the business-as-usual emissions in 2025 conditional upon international support, 70% reduction relative to business-as-usual emissions in 2030 conditional upon international support.</t>
  </si>
  <si>
    <t>A 95% share of renewable energy in the electricity mix</t>
  </si>
  <si>
    <t>BEVs will likely cover the vast majority, reaching 99% uptake by 2050, and FCEVs will likely reach 1%.
BEV taxis will reach 95% uptake by 2050, and FCEVs will account for the remaining 5%.
Buses to represent roughly 10% of total stock by 2050.
Motorcycles - full electrification will be reached in 2050.</t>
  </si>
  <si>
    <t>An increase in freight train stock is expected to enable this measure, with 25 units added by 2035, 42 by 2040, 63 by 2045, and 86 by 2050,</t>
  </si>
  <si>
    <t>Intention to reduce GHG emissions by 44% below BAU levels by 2030 
Intention to reduce GHG emissions by 37% below BAU levels by 2025</t>
  </si>
  <si>
    <t>to reduce greenhouse gas emissions by at least 35 per cent from the 1990 level by 2030, inclusive of the LULUCF sector</t>
  </si>
  <si>
    <t>The new conditional economy-wide target is to reduce greenhouse gas emissions by at least 40 per cent from the 1990 level by 2030, inclusive of the LULUCF sector</t>
  </si>
  <si>
    <t>28% below 1990 levels by 2030</t>
  </si>
  <si>
    <t>La stratégie à long terme wallonne vise à atteindre la neutralité carbone d'ici 2050 par une réduction des émissions de gaz à effet de serre de 95 % par rapport à 1990. La stratégie à long terme flamande vise à réduire les émissions de gaz à effet de serre des secteurs qui ne sont pas couverts par l’ETS (les secteurs dits non-ETS) de 85 % d’ici 2050 par rapport à 2005.</t>
  </si>
  <si>
    <t>Electricity for coastal ships is expected to replace marine bunker fuel progressively, reaching 100% electrification in 2050.</t>
  </si>
  <si>
    <t xml:space="preserve">The mitigation actions included in the updated  NDC are estimated to result in over 5.6 MTCO2e in cumulative avoided emissions by 2030, and a reduction of 1.0 MTCO2e in annual emissions by 2030 (not including additional deforestation targets) </t>
  </si>
  <si>
    <t>The UAE plans to supply the international aviation fuel demand with e-kerosene (one type of SAF) at 1% in 2030 growing to over 50% by 2050.</t>
  </si>
  <si>
    <t>Similarly, the nation plans to increase production of green or blue ammonia or methanol from 1% in 2030 to 75% in 2050, a key element of decarbonising international shipping.</t>
  </si>
  <si>
    <t>Reduction of 24 million metric tons of CO2e over the period 2014-2033.</t>
  </si>
  <si>
    <t>3.5% below 2030 BAU scenario</t>
  </si>
  <si>
    <t>17.9% below 2030 BAU scenario</t>
  </si>
  <si>
    <t>Bhutan maintains the commitment to remain carbon-neutral where emission of greenhouse gases will not exceed carbon sequestration by our forests and sinks as first pledged in 2009</t>
  </si>
  <si>
    <t>Remain carbon neutral where emission of greenhouse gases will not exceed carbon sequestration by forests, estimated at 6.3 MtCO2e</t>
  </si>
  <si>
    <t>The NDC goal for the tranport sector for 2050 is to achieve GHG emission levels of 4,492 Gg CO2eq (with measures-scenario) or 2,769 Gg CO2eq (with additional measures-scenario).</t>
  </si>
  <si>
    <t>In the transport subsector the increase in the number of electric cars is of key importance. According to the WM scenario 50,000 new electric cars are expected to be imported by 2030. By 2050 it is planned to gradually increase the number of electric cars to 200,000, which will reduce emissions by 6,620 Gg CO2 eq during 2030-2050.</t>
  </si>
  <si>
    <t>To reduce GHG emission by 12.8% compared to 2014 or 33.2% compared to 1990 levels by 2030</t>
  </si>
  <si>
    <t>17.5% compared to 2014 or 36.8% compared to 1990 by 2030</t>
  </si>
  <si>
    <t>GHG emissions reduction target for 2050 is 50.0% (unconditional) and 55.0% (conditional) compared to 2014, that is, 61.7% (unconditional) and 65.6% (conditional) compared to modelling 1990.</t>
  </si>
  <si>
    <t>2% below 2030 BAU scenario</t>
  </si>
  <si>
    <t>23% below 2030 BAU scenario</t>
  </si>
  <si>
    <t>15% below 2010 by 2030</t>
  </si>
  <si>
    <t>To reduce greenhouse gas emissions by 37% below 2005 levels in 2025, and by 43% below 2005 levels in 2030.</t>
  </si>
  <si>
    <t>Through this communication, Brazil confirms its commitment to reduce its greenhouse gas emissions in 2025 by 37%, compared with 2005</t>
  </si>
  <si>
    <t>Brazil commits to reduce its emissions in 2030 by 50%, compared with 2005.</t>
  </si>
  <si>
    <t>Brazil´s commitments also include a long-term objective to achieve climate neutrality by 2050.</t>
  </si>
  <si>
    <t>43% below 2005 levels in 2030</t>
  </si>
  <si>
    <t>BNCCP Strategy 4 on Renewable Energy - Increase total share of renewable energy to at least 30% of total capacity in the power generation mix by 2035.</t>
  </si>
  <si>
    <t>To reduce GHG emissions by 20% relative to BAU levels in 2030</t>
  </si>
  <si>
    <t>In addition, the expansion of the hybrid format of work will provide a 10% reduction in the number of natural fuel powered cars and will lead to a total emission reduction of 3,099 Gg CO2 eq within 10 years during 2041-2050.</t>
  </si>
  <si>
    <t>For the WAM scenario the replacement by 400,000 electric vehicles by 2050 is expected to provide a total of 11,034 Gg CO2 eq emissions reduction.</t>
  </si>
  <si>
    <t>63% reduction in total energy consumption by 2035 BAU</t>
  </si>
  <si>
    <t xml:space="preserve">100% all new vehicle sales to be electric vehicles by 2030  </t>
  </si>
  <si>
    <t>ICE_SALES_ALL</t>
  </si>
  <si>
    <t>Antigua and Barbuda aims to, by 2020, establish efficiency standards for the importation of all vehicles and appliances</t>
  </si>
  <si>
    <t>Renewable energy in transport targets</t>
  </si>
  <si>
    <t>Change fiscal policies on fossil fuel by 2025 to enable the transition to 100% renewable energy generation in the transportation sector</t>
  </si>
  <si>
    <t>Cet engagement est de 21074,94 Gg CO2eq pour le scenario inconditionnel soit 19,60%</t>
  </si>
  <si>
    <t>VIII</t>
  </si>
  <si>
    <t>de 10557,91 Gg CO2eq pour le scenario conditionnel soit 9,82%</t>
  </si>
  <si>
    <t>Ban on the importation of new internal combustion engine vehicles (with an indicative start year of 2025) by 2030</t>
  </si>
  <si>
    <t>100% of government vehicles will be electric vehicles by 2035</t>
  </si>
  <si>
    <t>6.6% below 2030 BAU scenario</t>
  </si>
  <si>
    <t>11.6% below 2030 BAU scenario</t>
  </si>
  <si>
    <t>Concernant l’atténuation, le Burundi s’était engagé à réduire de 23% à l’horizon 2030 les émissions de 
gaz à effet de serre par rapport au scénario de référence (BAU), ce qui correspondait à une réduction de 
3% (1 958 Gg ECO2)</t>
  </si>
  <si>
    <t>de 20% (14 897 Gg ECO2) dans le cadre de son objectif conditionnel</t>
  </si>
  <si>
    <t>D’ici 2027, 7.5 km seront aménagés pour le transport non motorisé</t>
  </si>
  <si>
    <t>Mitigation</t>
  </si>
  <si>
    <t xml:space="preserve">D’ici 2027, 42.5 km seront aménagés pour le transport non motorisé 
D’ici 2027, 3 ports modernes seront aménagés et 6 bateaux disponibles 
Aménager les ports sur le lac Tanganyika et acquérir 6 bateaux </t>
  </si>
  <si>
    <t>3% below 2030 BAU scenario</t>
  </si>
  <si>
    <t>20% by 2030 relative to BAU scenario</t>
  </si>
  <si>
    <t>the targets are aligned with the Government of Antigua and Barbuda’s (GoAB) goal of net-zero by 2040</t>
  </si>
  <si>
    <t>2030 sales</t>
  </si>
  <si>
    <t>Emissions abatement pathway consistent with net emissions falling by 80% in 2050 from 2005 levels</t>
  </si>
  <si>
    <t>reduce emissions by 40-45% below 2005 levels by 2030</t>
  </si>
  <si>
    <t>Canada is committed to reducing its emissions to net-zero by 2050</t>
  </si>
  <si>
    <t>2040 sales</t>
  </si>
  <si>
    <t xml:space="preserve">One guidebook on climate proofing roads with design standards will be developed by 2022   
Monitoring and evaluation framework develop for climate proofing standard road by 2023 
All repair and new road construction will follow the climate proofing design standard by 2030  </t>
  </si>
  <si>
    <t>The estimated emissions reduction with the FOLU by 2030 under the NDC scenario will be approximately 64.6 million tCO2e/year (41.7% reduction) as compared to BAU.</t>
  </si>
  <si>
    <t>Establish efficiency standards for the importation of all vehicles by 2020</t>
  </si>
  <si>
    <t>The LTS4CN modelling suggests that Cambodia could achieve carbon neutrality in 2050 with the FOLU sector providing a total carbon sink of 50 megatons of carbon dioxide equivalent (MtCO2e).</t>
  </si>
  <si>
    <t>Modelled reduction in national net emissions from transport are 53-71% below 2005 levels by 2050 [from Figure ES.3]</t>
  </si>
  <si>
    <t xml:space="preserve">To address transport sector emissions, the Transport and Infrastructure Net Zero Roadmap and Action Plan will identify pathways to net zero by 2050 across all modes, including light and heavy vehicles, rail, maritime and aviation. </t>
  </si>
  <si>
    <t>Expected transport emission at 0 by 2050, 100% reduction
Les trois régions visent à réduire à zéro les émissions du secteur des transports d'ici 2050, tant pour le transport de personnes que de marchandises</t>
  </si>
  <si>
    <t>4, 6</t>
  </si>
  <si>
    <t xml:space="preserve">Substitution of biofuels for hydrocarbons: biodiesel production units (replace 5% of diesel consumption in 2030)
Substitution of biofuels for hydrocarbons: bioethanol production units (replace 10% of super grade petrol consumption in 2030) </t>
  </si>
  <si>
    <t>27% below 2030 BAU scenario</t>
  </si>
  <si>
    <t>Le niveau de réduction de GES à l’horizon 2030 est de 35% réparti ainsi qu’il suit: 12% inconditionnel</t>
  </si>
  <si>
    <t>23% dans un scénario conditionnel</t>
  </si>
  <si>
    <t>Reduce GHG emissions by 32% compared to 2035 BAU</t>
  </si>
  <si>
    <t>Emitir como máximo 169.44 millones de t CO2 eq en 2030 (equivalente a una reducción del 51% de las emisiones)</t>
  </si>
  <si>
    <t>A 2050 Colombia ambiciona transformarse en una sociedad y una economía resiliente al clima, es decir, carbono neutral y con alta capacidad adaptativa en sus territorios y sectores.</t>
  </si>
  <si>
    <t>30% below 2005 levels by 2030</t>
  </si>
  <si>
    <t>adopting a 2030 greenhouse gas (GHG) emissions reduction target of 40-45 per cent below 2005 levels as Canada’s enhanced Nationally Determined Contribution (NDC)</t>
  </si>
  <si>
    <t>Achieving a net-zero electricity grid by 2035 will be key to powering Canada's economy with clean energy.</t>
  </si>
  <si>
    <t xml:space="preserve">More rapid improvement in the stock of vehicles (30% reduction in fuel consumption in 2025 instead of 20% for 2030) </t>
  </si>
  <si>
    <t>0.42% below BAU by 2030 [from table]</t>
  </si>
  <si>
    <t>GHG unconditional and conditional</t>
  </si>
  <si>
    <t>42% below BAU by 2030 (conditional)</t>
  </si>
  <si>
    <t xml:space="preserve">Les mesures d’atténuation prises généreront, selon le scenario inconditionnel, une réduction des émissions de gaz à effet de serre respectivement de 9,03% et 11,82% aux horizons 2025 et 2030 par rapport à la situation de référence </t>
  </si>
  <si>
    <t>et selon le scenario conditionnel 14,64% et 24,28% aux horizons 2025 et 2030 par rapport à la situation de référence</t>
  </si>
  <si>
    <t>Reduce emissions by 5% compared to the 2030 BAU reference level</t>
  </si>
  <si>
    <t xml:space="preserve">25% below the 2050 BAU level, within the framework of conditional implementation </t>
  </si>
  <si>
    <t>La présente CDN prévoit la réduction cumulée des émissions des GES d’ici à 2030 à 88 350 kt CO2eq 
(mesures inconditionnelles et conditionnelles) avec un objectif d’atténuation global de 19,3 % par 
rapport au scénario de référence</t>
  </si>
  <si>
    <t xml:space="preserve">Emissions from the energy sector in kt CO2eq
Reference scenario 2018: 2 834 
Reference scenario 2030: 4 299 
Unconditional scenario 2030: 3 909
Conditional scenario 2030: 2 320
[all data from table]  </t>
  </si>
  <si>
    <t>18.2% below 2030 BAU levels</t>
  </si>
  <si>
    <t>71% level 2030 BAU</t>
  </si>
  <si>
    <t>Chile commits to a GHG emission budget not exceeding 1,100 MtCO2eq between 2020 and 2030, with a GHG emissions maximum (peak) by 2025, and a GHG emissions level of 95 MtCO2eq by 2030</t>
  </si>
  <si>
    <t>Chile se ha comprometido a alcanzar la neutralidad de emisiones de GEI y aumentar su resiliencia a más tardar al 2050</t>
  </si>
  <si>
    <t>Dans le secteur du transport les actions inconditionnelles et les actions dont leur mise en œuvre nécessite une recherche de financement (conditionnel), ont des potentiels de réduction des émissions de GES respectivement évalués à 1 210 Gg CO2eq et 267Gg CO2eq en 2025. Le total du potentiel de séquestration des émissions de CO2 dans le secteur est de 1 477 Gg CO2eq en 2025.</t>
  </si>
  <si>
    <t xml:space="preserve"> 267Gg CO2eq en 2025</t>
  </si>
  <si>
    <t>A shift in passenger traffic from road to rail of up to around 20% by 2030 compared to the business as usual</t>
  </si>
  <si>
    <t>15% improvement in the efficiency of vehicles due to more efficient running.</t>
  </si>
  <si>
    <t>CO2 emissions per unit of GDP reduced by 30% by 2030 over the 2007 level achieved</t>
  </si>
  <si>
    <t>Reduction of CO2 emissions per unit of GDP between 35% to 45% over the level reached in 2007 by 2030</t>
  </si>
  <si>
    <t>GHG emissions reduction of 24% compared to 2030 BAU</t>
  </si>
  <si>
    <t xml:space="preserve">aims to have CO2 emissions peak before 2030 and achieve carbon neutrality before 2060; to lower CO2 emissions per unit of GDP by over 65% from the 2005 level, </t>
  </si>
  <si>
    <t>GHG emissions reduction of 9% compared to 2030 BAU</t>
  </si>
  <si>
    <t>Transport GHG reduction of 3.39 Mt CO2e compared to BAU of 36.28 Mt CO2e</t>
  </si>
  <si>
    <t>Transport GHG reduction of 6.33 Mt CO2e compared to BAU</t>
  </si>
  <si>
    <t>To achieve the peaking of carbon dioxide emissions around 2030 and making best efforts to peak early
To lower carbon dioxide emissions per unit of GDP by 60% to 65% from the 2005 level by 2030</t>
  </si>
  <si>
    <t>GHG: Trajectory</t>
  </si>
  <si>
    <t>Para alcanzar la carbono neutralidad en 2050 es necesario alcanzar la meta de emisiones presentada en la más reciente NDC de Colombia. Para esto, es fundamental que antes de 2030 las emisiones nacionales alcancen su nivel más alto (pico), e inicien una trayectoria de decrecimiento.</t>
  </si>
  <si>
    <t>X</t>
  </si>
  <si>
    <t>Para cumplir con lo requerido por la ciencia (1.5 a 2 °C), al 2050 Colombia requiere reducir las emisiones GEI en al rededor del 90 % respecto de las emisiones del 2015, y balancear el 10 % restante con absorciones nacionales proporcionales (10 %), para alcanzar un balance neto cero entre emisiones y absorciones de gases de efecto invernadero (carbono equivalentes) a partir del año 2050.</t>
  </si>
  <si>
    <t>Electric and hybrid vehicles represent 35% and 15% of total vehicle sales, respectively (by 2030)</t>
  </si>
  <si>
    <t>Increasing the share of rail transport: increase in passenger kilometres by 50% by 2030 compared to 2015</t>
  </si>
  <si>
    <t>20% below BAU by 2030</t>
  </si>
  <si>
    <t>30% below BAU by 2030</t>
  </si>
  <si>
    <t>iniciando un decrecimiento en las emisiones entre 2027 y 2030 tendiente hacia la carbono-neutralidad a mediados de siglo</t>
  </si>
  <si>
    <t>2035 sales</t>
  </si>
  <si>
    <t xml:space="preserve">L’union des Comores prévoit, à travers cette CDN révisée, une réduction nette de ces émissions de GES, hors UTCAT, de 23% et une augmentation de son puits net d’absorptions de CO2 de 47% à l’horizon 2030 par rapport au scénario de référence. </t>
  </si>
  <si>
    <t>Sur la période 2015-2030, 843 kt CO2eq d’émissions cumulées sont évitées par mise en œuvre des actions d’atténuation.</t>
  </si>
  <si>
    <t>84% reduction from 2030 BAU scenario</t>
  </si>
  <si>
    <t xml:space="preserve">17,09% dans le scénario inconditionnel en 2025; 21,46% dans le scénario inconditionnel en 2030. </t>
  </si>
  <si>
    <t>39,88% dans le scénario conditionnel en 2025; 32,19% dans le scénario conditionnel en 2030</t>
  </si>
  <si>
    <t>Increasing the share of rail transport: increase of tonne-kilometres by 20% by 2030 compared to 2015</t>
  </si>
  <si>
    <t>48% below BAU scenario by 2025</t>
  </si>
  <si>
    <t>to reduce economy-wide GHG emissions by 18% BAU</t>
  </si>
  <si>
    <t>increase to 24% reduction below 2030 BAU</t>
  </si>
  <si>
    <t>Increasing the share and modernising public transport: increase of passenger kilometres in public transport by 20% by 2030 compared to 2015</t>
  </si>
  <si>
    <t>Increasing the share and modernising public transport: share of passenger kilometres achieved by electric means of transport 20% in 2030</t>
  </si>
  <si>
    <t>The long-term commitment to achieve a decarbonised economy by 2050</t>
  </si>
  <si>
    <t>un máximo absoluto de emisiones netas en el 2030 de 9.11 millones de toneladas de dióxido de CO2e (un presupuesto máximo absoluto de emisiones para el periodo 2021 al 2030 de 106.53 millones de toneladas de CO2e)</t>
  </si>
  <si>
    <t>To be a net-zero emissions economy by 2050</t>
  </si>
  <si>
    <t>share of environmentally-friendly passenger vehicles 3% in 2030 (about 30,000 vehicles)</t>
  </si>
  <si>
    <t>[…] at least a 20% reduction in conventional transportation fuel use by 2030</t>
  </si>
  <si>
    <t>Avoid 117 KtCO2e/year from the transport sector by 2030 through a 15% reduction in conventional transportation fuel use by 2030 and achieve 15% efficiency per passenger- and tonne-kilometre through appropriate policies and investments</t>
  </si>
  <si>
    <t>Reduction in fuel consumption/ passenger for regular buses (% 2020 level) to record 2.5% in high ambition scenarion and 5% in very high ambition scenario by 2050</t>
  </si>
  <si>
    <t>Share of intra-district electric buses (% of total) to record 17.5% in high ambition scenarion and 35% in very high ambition scenario by 2050</t>
  </si>
  <si>
    <t>Share of inter-district electric buses (% of total) to record 30% in high ambition scenarion and 60% in very high ambition scenario by 2050</t>
  </si>
  <si>
    <t>Share of car drivers that switch to public transport (% of total)  to record 10% in high ambition scenarion and 20% in very high ambition scenario by 2050</t>
  </si>
  <si>
    <t>Reduction of ICE cars fuel consumption (% 2020 level) to record 10% in high ambition scenarion and 20% in very high ambition scenario by 2050</t>
  </si>
  <si>
    <t>Share of electric cars (% of total) to record 46% in high ambition scenarion and 90% in very high ambition scenario by 2050</t>
  </si>
  <si>
    <t>Share of electric scooters/ motorcycles (% of total) to record 38% in high ambition scenarion and 75% in very high ambition scenario by 2050</t>
  </si>
  <si>
    <t>Share of diesel replaced by biodiesel (blend %) to record 5% in high ambition scenarion and 10% in very high ambition scenario by 2050</t>
  </si>
  <si>
    <t>Share of gasoline replaced by ethanol (blend %) to record 12.5% in high ambition scenarion and 25% in very high ambition scenario by 2050</t>
  </si>
  <si>
    <t>Reduction of fuel emissions (% 2020 level) to record 3% in high ambition scenarion and 5% in very high ambition scenario by 2050</t>
  </si>
  <si>
    <t>Les CDN révisées présentent un objectif inconditionnel d’atténuation de 30.41% correspondant à un abattement de trente-sept (37) millions de tonnes équivalent CO2  à l’horizon 2030 par rapport au scénario de référence</t>
  </si>
  <si>
    <t>l’objectif conditionnel est porté à 98.95% (mesures inconditionnelles et conditionnelles) à l’horizon 2030 par rapport au scénario de référence</t>
  </si>
  <si>
    <t>28% reduction from 2030 BAU scenario</t>
  </si>
  <si>
    <t>Reduction of trucks fuel consumption (% 2020 level) to record 8% in high ambition scenarion and 15% in very high ambition scenario by 2050</t>
  </si>
  <si>
    <t>The European Climate Law sets a legally binding target of net zero greenhouse gas emissions by 2050. (...) EU has set a new target for 2030 of reducing net greenhouse gas emissions by at least 55% compared to levels in 1990. The new EU 2030 target is included in the Law</t>
  </si>
  <si>
    <t>to pursue the indicative level of 70 Mt CO2-eq of emissions in 2040; to pursue the indicative level of 39 Mt CO2-eq of emissions in 2050.</t>
  </si>
  <si>
    <t>To reduce 35,800,000 tons of GHG per year by 2030 (a reduction of GHG emissions by 16.4% compared to BAU scenario)</t>
  </si>
  <si>
    <t>To reduce 78,800,000 tons of GHG additionally by 2030 in case of the positive collaboration with the international community (GHG reduction rate will increase by 36% and the total GHG reduction ceiling will be over 52%)</t>
  </si>
  <si>
    <t xml:space="preserve">DPR Korea will reduce GHG emissions by 8.0% compared to BAU scenario, by 2030 with domestic resources. </t>
  </si>
  <si>
    <t>DPR Korea could achieve the additional contribution equivalent to 32.25% of the GHG emission in the BAU scenario by 2030 if international support is received</t>
  </si>
  <si>
    <t>La contribution inconditionnelle et conditionnelle combinée est ainsi une réduction de 21% des émissions totales des GES par rapport au BAU en 2030 (dont 19% conditionnel et 2% 10 inconditionnel); cela équivaut à un niveau d'atténuation estimé jusqu'à 650 Mt CO2e à l’horizon 2030</t>
  </si>
  <si>
    <t>9f.</t>
  </si>
  <si>
    <t>17% below BAU by 2030</t>
  </si>
  <si>
    <t>GHG emissions to reduce by 70% by 2030 compared to the 1990 level and longterm target of achieving climate neutrality by 2050 at the latest</t>
  </si>
  <si>
    <t>40% below BAU by 2030</t>
  </si>
  <si>
    <t>60% below BAU by 2030</t>
  </si>
  <si>
    <t>Share of passenger travels switched to bike (% total) to reach 5% in high ambition scenarion and 10% in very high ambition scenario by 2050</t>
  </si>
  <si>
    <t>Share of electric golf carts (% golf carts) to reach 38% in high ambition scenarion and 75% in very high ambition scenario by 2050</t>
  </si>
  <si>
    <t>Mitigation actions in the transport sector could lead the sector to virtual carbon neutrality by 2050. Under BAU scenario, sector emissions should expect relevant growth, more than doubling in absolute terms in the 2020-50 period. Under VHA, sector emissions could be reduced by 95% over BAU by 2050,</t>
  </si>
  <si>
    <t>By 2030, an annual growth of 10% in the share of electric vehicles in the Bolivian public transportation fleet has been achieved.</t>
  </si>
  <si>
    <t>44% below BAU by 2030</t>
  </si>
  <si>
    <t>2050 sales</t>
  </si>
  <si>
    <t>27% below 2030 BAU as conditional target</t>
  </si>
  <si>
    <t>7% below 2030 BAU (Incondicionado a finanzas domésticas siendo este distribuido en un 5 % correspondiente al sector privado y un 2 % al sector público)</t>
  </si>
  <si>
    <t>25% below 2010 levels by 2030</t>
  </si>
  <si>
    <t>4% reduction compared to 2025 BAU</t>
  </si>
  <si>
    <t>additional 16% (total 20%) reduction compared to 2025 BAU</t>
  </si>
  <si>
    <t>29% reduction in non-electric energy consumption including transport, compared to a BAU scenario in 2029</t>
  </si>
  <si>
    <t xml:space="preserve">100% electric or alternatively-fueled vehicles in the passenger fleet </t>
  </si>
  <si>
    <t>La ambición de Guinea Ecuatorial en su CDN actualizada se ha aumentado y tiene el objetivo de reducir las emisiones en un 35% para el año 2030, con la meta de alcanzar el 50% para el 2050, con una reducción total de 379.291,54 Gg CO2eq, con referencia al año 2019 (446.215,38 Gg CO2eq). La próxima actualización será en el año 2027.</t>
  </si>
  <si>
    <t>con la meta de alcanzar el 50% para el 2050,</t>
  </si>
  <si>
    <t>20% below 2030 BAU</t>
  </si>
  <si>
    <t>La ambición de Guinea Ecuatorial es reducir en un 20% de sus emisiones para el año 2030, con respecto a los niveles de 2010; a fin de alcanzar una reducción de 50% para el año 2050.</t>
  </si>
  <si>
    <t>The government of Eritrea is committed to reduce the CO2 emissions from fossil fuels by 4.2% in 2020, 6.2% by 2025 and 12.0% by 2030 compared to the projected BAU of the reference year of 2010</t>
  </si>
  <si>
    <t xml:space="preserve">If additional support is availed, it can further be reduced by 12.6% in 2020, 24.9% by 2025 and 38.5 by the year 2030. </t>
  </si>
  <si>
    <t xml:space="preserve">BNCCP Strategy 3 on Electric Vehicles - Increase total share of electric vehicles (EV) to 60% of the total annual vehicle sales by 2035. </t>
  </si>
  <si>
    <t>an economy wide GHG emissions reduction target of 5% by 2030 compared to the baseline scenario</t>
  </si>
  <si>
    <t>reduction can increase to 14%</t>
  </si>
  <si>
    <t>BNCCP Strategy 3 on Electric Vehicles - Increase total share of electric vehicles (EV) to 60% of the total annual vehicle sales by 2035</t>
  </si>
  <si>
    <t>-14% below 2030 BAU</t>
  </si>
  <si>
    <t>in total -68.8% below 2030 BAU</t>
  </si>
  <si>
    <t>To minimize the GHG emissions of the surface transport sector through both demand and supply side management by upgradation of the emission norms of ICE vehicles, adoption of electric vehicles (100% light vehicle and bus sales to be EVs by 2045 and 25% heavy vehicles (freight) imports to be EVs by 2050) and use of shared mobility, public transport, and non-motorized transport.</t>
  </si>
  <si>
    <t>255 MtCO2e (or 64% compared to BAU emissions) in 2030</t>
  </si>
  <si>
    <t>To reduce at least 55% of domestic GHG emissions by 2030 compared to 1990 levels</t>
  </si>
  <si>
    <t>To reduce GHG emissions by 80 to 95% by 2050 compared to 1990 levels</t>
  </si>
  <si>
    <t>To accelerate the transition to ZEVs, Canada is developing a mandatory sales target that at least 60 per cent of all new Light Duty Vehicle (LDV) sales be zero-emissions by 2030</t>
  </si>
  <si>
    <t>To accelerate the transition to ZEVs, Canada is developing a mandatory sales target that at least 60 per cent of all new Light Duty Vehicle (LDV) sales be zero-emissions by 2030, as an interim step to achieving 100 per cent by 2035</t>
  </si>
  <si>
    <t>For medium-and heavy-duty vehicles (MHDVs), Canada will develop a Medium and Heavy Duty Vehicle ZEV regulation to require 100% MHDV sales to be ZEVs by 2040 for a subset of vehicle types based on feasibility, 
with interim 2030 regulated sales requirements</t>
  </si>
  <si>
    <t>Reduce 10% of BAU CO2 emissions from the energy sector by 2030</t>
  </si>
  <si>
    <t>Additional reduction of 20% of BAU CO2 emissions from energy sector by 2030</t>
  </si>
  <si>
    <t>As a contribution to Target 1, to reach close to 100% renewable energy power generation (gridconnected) by 2030, thus reducing an expected 20% of energy sector CO2 emissions under a BAU scenario.</t>
  </si>
  <si>
    <t>To reach net zero carbon emissions by 2050 across all sectors</t>
  </si>
  <si>
    <t>Domestic transport 2050 target: Land transport does not generate any more greenhouse gas emissions in 2050 with few exceptions.
Aviation 2050 target: International aviation from Switzerland should no longer generate climate-impacting emis-sions in net terms by 2050 as far as possible. This means:
• Fossil CO2 emissions amount to net zero.
• The other climate impacts decline or are offset with other measures.</t>
  </si>
  <si>
    <t>34, 37</t>
  </si>
  <si>
    <t xml:space="preserve"> 10% from BAU by 2030</t>
  </si>
  <si>
    <t>Additional 20% from BAU by 2030</t>
  </si>
  <si>
    <t>2035 carbon neutrality target, GHG emission reduction target is 87.5% compared to 1990 levels (Continuous Growth scenario) or 90% (Savings scenario)</t>
  </si>
  <si>
    <t>100% electric taxis, Public transportation-MR, Public transportation - Regions</t>
  </si>
  <si>
    <t>Reduce total black carbon emissions by at least 25% by 2030, with respect to 2016 levels</t>
  </si>
  <si>
    <t>58% private vehicles by 2050 to be electrified</t>
  </si>
  <si>
    <t xml:space="preserve">Hydrogen to provide 71% in cargo transportation by 2050 </t>
  </si>
  <si>
    <t>Ainsi, en scénario maitrisé, les émissions brutes des secteurs de l’énergie et de l’agriculture s’élèveront à 3 798
GgCO2eq en 2030 contre 4 137 GgCO2eq en 2005.
• En 2030, pour le secteur de l’énergie, les émissions brutes seront de 3 322 GgCO2eq en scénario maîtrisé.</t>
  </si>
  <si>
    <t>At least 50% reduction from BAU by 2025</t>
  </si>
  <si>
    <t>reduction from BAU 2030 is 49.7%</t>
  </si>
  <si>
    <t>To promote the share of public transport in motorized travel in big-andmedium-sized cities reaching 30% by 2020</t>
  </si>
  <si>
    <t>emissions will be reduced by about 44.4% in 2025 and 45.4% in 2030 baseline</t>
  </si>
  <si>
    <t xml:space="preserve">By 2030, the proportion of new energy and clean energy-powered vehicles will reach about 40% of all the vehicles sold in that year, </t>
  </si>
  <si>
    <t>Net-zero by 2050: With the mitigation actions identified in the LTS, about 56% of the energy needs of the country can be addressed by hydro-power. The remaining 44%, which is equivalent to 161 GWh can
be provided by wind and solar power, which will lead to the country achieving a net zero GHG emission scenario in this sector by 2050.</t>
  </si>
  <si>
    <t xml:space="preserve">(By 2030) the carbon emission intensity of converted turnover of commercial vehicles will decrease about 9.5% from 2020 level, and the comprehensive energy consumption per unit of converted turnover of railways will drop by 10% from 2020 level, </t>
  </si>
  <si>
    <t>35% below 1990 level of its domestic total GHG emissions by 2030</t>
  </si>
  <si>
    <t>50-57% of its total greenhouse gas emissions by 2030 compared to 1990</t>
  </si>
  <si>
    <t>Other non-GHG transport targets</t>
  </si>
  <si>
    <t>(By 2030) oil consumption by land transportation strives to peak</t>
  </si>
  <si>
    <t>15% below the Business as usual scenario (BAU) for the year 2030</t>
  </si>
  <si>
    <t>25% below the Business as usual scenario (BAU) for the year 2030</t>
  </si>
  <si>
    <t>This is a total emissions reduction target from the baseline year (2014) and involves progressive
reduction of total greenhouse gases for each of the target years:
- 39% by 2025
- 45% by 2030</t>
  </si>
  <si>
    <t>ICE_SALES_CAR</t>
  </si>
  <si>
    <t>100% renewable energy usage by 2030, mainly from geothermal sources, also from synthetic fuels</t>
  </si>
  <si>
    <t>The act stipulates that greenhouse gas emissions are to be reduced • by at least 65% by 2030 […] relative to the emission levels of 1990.</t>
  </si>
  <si>
    <t>The act stipulates that greenhouse gas emissions are to be reduced […] • by at least 88% by 2040, relative to the emission levels of 1990.</t>
  </si>
  <si>
    <t>5,7% below BAU in 2030</t>
  </si>
  <si>
    <t>By 2030, at least 80% of Germany’s gross electricity consumption is to be covered by renewable sources.</t>
  </si>
  <si>
    <t>Upon completing its phase-out of coal-fired power, Germany will aim for a power supply that is greenhouse gas neutral. Here, the use of fossil gas to generate power will be gradually cut back and partly replaced by green hydrogen.</t>
  </si>
  <si>
    <t>10% du parc automobile est électrique d'ici 2030</t>
  </si>
  <si>
    <t>25% du parc automobile est électrique d'ici 2030</t>
  </si>
  <si>
    <t>Mettre en oeuvre les normes Euro VI d'ici 2030 pour les véhicules particuliers; taxi et véhicules utilitaires; d'ici 2050 pour les poids lourds</t>
  </si>
  <si>
    <t>Mettre en place des carburants à très faible teneur en soufre d'ici 2024</t>
  </si>
  <si>
    <t>Ghana expects that implementing the 19 policy actions will achieve the following by 2030: 
• Generate absolute greenhouse gas (GHG) emission reductions of 64 MtCO2e.</t>
  </si>
  <si>
    <t>Ghana aims to implement nine unconditional programmes of action that would result in 8.5 MtCO2e GHG reductions by 2025 and a further 24.6 MtCO2e by 2030 compared to the 2020-2030 cumulative emissions in a baseline scenario.</t>
  </si>
  <si>
    <t>Ghana can also adopt additional 25 conditional programmes of action that have the potential to achieve 16.7 MtCO2e by 2025 and 39.4 MtCO2e by 2030 if financial support from the international and private sector is made available to cover the full cost for implementation.</t>
  </si>
  <si>
    <t>For the 34 irritigation measures. Ghana aims to implement nine unconditional programmes of action that would result in 8.5 MtCO:e GHG reductions by 2025 [...] compared to the 2020-2030 cumulative emissions in a baseline scenario</t>
  </si>
  <si>
    <t>For the 34 irritigation measures. Ghana aims to implement nine unconditional programmes of action that would result in [...] 24.6 MtCO:e by 2030 compared to the 2020-2030 cumulative emissions in a baseline scenario</t>
  </si>
  <si>
    <t>Ghana can also adopt additional 25 conditional programmes of action that have the potential to achieve 16.7 MtCOze by 2025 and 39.4 MtCO2e by 2030 if financial support from the international and private sector is made available to cover the full cost for implementation.</t>
  </si>
  <si>
    <t>1f.</t>
  </si>
  <si>
    <t>15% below 2030 BAU scenario</t>
  </si>
  <si>
    <t>45% below 2030 BAU</t>
  </si>
  <si>
    <t>40% reduction of 2010 emissions levels by 2030</t>
  </si>
  <si>
    <t>Dans un scénario bas-carbone conditionnel, il est proposé de maîtriser la hausse des consommations d’énergie liées au transport à 70% du scénario tendanciel en 2025, avec une option « carburant renouvelable » (pour 21 à 43% des consommations).</t>
  </si>
  <si>
    <t>En 2050, entre el 40 % y 50 % de la población de las ciudades capitales se moviliza en medios de transportes inclusivos y alternativos para desplazarse a sitios de trabajo o estudio</t>
  </si>
  <si>
    <t>30% below 2010 levels by 2025</t>
  </si>
  <si>
    <t>La implementación de la Estrategia de Desarrollo con Bajas Emisiones al año 2050, implicaría una reducción del 59% de las emisiones proyectadas,  bajando de 203 a 83 millones de toneladas de CO2e</t>
  </si>
  <si>
    <t>4.041.987 t CO2eq *Impacto de medida individual modelada en LEAP. 600.000 vehículos eléctricos registrados en el RUNT de las categorías: taxi, vehículos de pasajeros (Bus, Buseta, Microbús, Padrón, Articulado y Biarticulado), vehículos ligeros, camiones ligeros, vehículos oficiales.</t>
  </si>
  <si>
    <t>45 (Annex)</t>
  </si>
  <si>
    <t>electrify at least 25% of its land-borne transport fleet (new vehicles) by 2030 by resorting to RE sources</t>
  </si>
  <si>
    <t>Al 2030, se ha reducido el 11.2 % de las emisiones de GEI con respecto al escenario tendencial (BAU), lo cual conlleva reducir las emisiones a 64.9 millones de toneladas de CO2-eq</t>
  </si>
  <si>
    <t>Al 2030 se ha reducido el 22.6 % de las emisiones de GEI con respecto al escenario tendencial (BAU), lo cual conlleva reducir las emisiones hasta 56.6 millones de toneladas de CO2-eq</t>
  </si>
  <si>
    <t>11.2% below 2005 levels by 2030</t>
  </si>
  <si>
    <t>La République de Guinée établit son objectif inconditionnel (CDN) à 2 056 ktCO2eq/an soit 9,7% de réduction de ses émissions en 2030 par rapport au scenario tendanciel, soit une croissance des émissions de 5% par an sur la période 2020-2030.</t>
  </si>
  <si>
    <t>L’objectif conditionnel (CDN+) s’établit à 3929 ktCO2 eq/an, soit 17,0% par rapport au scenario tendanciel, soit une croissance des émissions de 4% par an sur la période 2020-2030.</t>
  </si>
  <si>
    <t>shares per vehicle category could increase to 50% in favor of public, collective high-passenger load vehicles</t>
  </si>
  <si>
    <t>In 2035, 30% of the public transport fleet will be zero-emissions and the Passenger Electric Train will be in operation, running 100% on electricity.</t>
  </si>
  <si>
    <t>In 2050, the public transport system (Buses, Taxis, Passenger Electric Train) will operate in an integrated way, replacing the private automobile as the first option of mobility for the population in the GMA.</t>
  </si>
  <si>
    <t>In 2050, 85% of the public transport fleet will be zero-emissions.</t>
  </si>
  <si>
    <t>In 2050, Compact Cities will have been consolidated in the main urban areas of the GMA and main secondary cities of the country, with an increase of 10% of non-motorized journeys</t>
  </si>
  <si>
    <t>En el año 2030, al menos el 8% de la flota de transporte público del país será cero emisiones.</t>
  </si>
  <si>
    <t>En el año 2030, se habrá ampliado y mejorado la infraestructura para aumentar en al menos un 5% los viajes en movilidad no motorizada (incluyendo movilidad peatonal y en bicicleta) con respecto a la trayectoria actual.</t>
  </si>
  <si>
    <t>Para el año 2025, el país habrá adoptado estándares para migrar hacia una flota de motocicletas cero emisiones y la estabilización del crecimiento de flota de motocicletas.</t>
  </si>
  <si>
    <t>13% below 2030 BAU</t>
  </si>
  <si>
    <t>reduce GHG emissions by 10% by 2030, compared to 2030 BAU</t>
  </si>
  <si>
    <t>reduce GHG emissions by additional 20% by 2030, compared to 2030 BAU</t>
  </si>
  <si>
    <t>Mitigate 52 MtCO2 by 2025</t>
  </si>
  <si>
    <t>En el año 2030, al menos el 8% de la flota de vehículos ligeros —privados e institucionales— será eléctrica.</t>
  </si>
  <si>
    <t>En el año 2025 se habrá iniciado el establecimiento de modelos de logística sostenible en los principales puertos, zonas urbanas y centros de consolidación logística del país, en consonancia con el Plan Estratégico Nacional Costa Rica 2050.</t>
  </si>
  <si>
    <t>Al año 2030, el país habrá reducido significativamente su brecha digital y tecnológica, con particular énfasis en poblaciones social y económicamente vulnerables, mediante un modelo solidario, contemplando aspectos como conectividad a Internet, equipamiento y apropiación digital. Esto será un habilitador para cerrar las brechas sociales y económicas mediante prácticas digitales como teletrabajo, comercio electrónico y turismo virtual (que reducen la necesidad de desplazamientos), aumentando la eficiencia y el dinamismo económico nacional.</t>
  </si>
  <si>
    <t>Réduction de 6032 ktCO2e à l’horizon 2030 de manière conditionnelle, représentant une réduction nette de 32% par rapport au scénario de référence. Ce qui représente une progression par rapport au CDN initial qui était de 31%</t>
  </si>
  <si>
    <t>Réduction de 1196 ktCO2e de manière inconditionnelle, représentant une réduction de 6.32% par rapport au scénario de référence</t>
  </si>
  <si>
    <t xml:space="preserve">5% below 2030 BAU </t>
  </si>
  <si>
    <t>26% below 2030 BAU</t>
  </si>
  <si>
    <t>the Vatican City State commits itself to reduce greenhouse gases to 20% below 2011 level by 2030</t>
  </si>
  <si>
    <t>Honduras se compromete a una reducción de un 16% de las emisiones respecto al escenario “business as usual” (BaU) para el 2030 para todos los sectores sin incluir UTCUTS.</t>
  </si>
  <si>
    <t>Para el año 2030, las medidas de sustitución tecnológica y de eficiencia energética en los sectores de transporte de pasajeros, de carga e industrial reducirán las emisiones de carbono negro un 20% con respecto a las emisiones del 2018.</t>
  </si>
  <si>
    <t>15% below 2030 BAU</t>
  </si>
  <si>
    <t>According to both climate neutrality scenarios, net zero emissions will be reached by mid-century</t>
  </si>
  <si>
    <t>44.7% below 2014 levels by 2030</t>
  </si>
  <si>
    <t>The EU and its Member States, acting jointly, are committed to a legally binding target of a domestic6 reduction of net greenhouse gas emissions by at least 55% compared to 1990 by 2030.</t>
  </si>
  <si>
    <t>Reduction of fossil fuel use in ground transportation by 50% in 2030 (2018 base year)</t>
  </si>
  <si>
    <t>Transport emission to be around 95 to 98 million tonnes CO2eq by 2030, a 40 to 42% reduction compared to 1990</t>
  </si>
  <si>
    <t>To reduce Emissions Intensity of its GDP by 45 percent by 2030, from 2005 level</t>
  </si>
  <si>
    <t>To achieve about 50 percent cumulative electric power installed capacity from non-fossil fuel-based energy resources by 2030, with the help of transfer of technology and low-cost international finance including from Green Climate Fund (GCF) [UPDATED].</t>
  </si>
  <si>
    <t>Permitted annual emission volumes for different sectors were stipulated in the Federal Climate Change Act for the years 2020 to 2030: […] Transport: in 2020, 150 million tonnes CO2-equivalent; in 2030 85 million tonnes CO2-equivalent [table]</t>
  </si>
  <si>
    <t>The target of at least 15 million electric cars in 2030, as set out in the coalition agreement, can raise the proportion of kilometres travelled by electric vehicles to such an extent that much of the shortfall in Germany’s efforts to meet its climate target can be overcome.</t>
  </si>
  <si>
    <t>With regard to heavy freight transport on the roads, the aim is for roughly one-third of the kilometres travelled to take place on the basis of electrical drives or eFuels by 2030</t>
  </si>
  <si>
    <t>Reduce emissions intensity of GDP by 33 to 35 percent by 2030 from 2005 levels</t>
  </si>
  <si>
    <t>reduce unconditionally 29% of its GHG emissions against BAU of 2030</t>
  </si>
  <si>
    <t>up to 41% reduction of emissions by 2030</t>
  </si>
  <si>
    <t>emission will decrease rapidly after 2030 reaching 540 Mton CO2e in  2050 or equivalent to about 1.61 ton CO2e per capita.</t>
  </si>
  <si>
    <t>The Enhanced NDC increases unconditional emission reduction target of 31.89% (against 2030 BAU)</t>
  </si>
  <si>
    <t>Indonesia can increase its contribution up to 43.20% reduction of emissions in 2030 conditionally (against 2030 BAU)</t>
  </si>
  <si>
    <t>26% below BAU scenario by 2020</t>
  </si>
  <si>
    <t>Additional 15% reduction (below BAU scenario by 2020)</t>
  </si>
  <si>
    <t>Iraq aspires to implement its nationally limited contributions for the period from 2021 to 2030  to  achieve an expected reduction of between 1%  and  2%  of its total  emissions in accordance with the national greenhouse gas packages by national effort</t>
  </si>
  <si>
    <t xml:space="preserve">and 15% when international financial and technical support is available and security and peace are achieved in accordance with the courses and trends that have been achieved in accordance with the national greenhouse gas packages. </t>
  </si>
  <si>
    <t>Speech during COP26 World Leaders Summit</t>
  </si>
  <si>
    <t>To achieve net-zero GHG emissions by 2050 through a socially-fair transition in a cost-efficient manner.</t>
  </si>
  <si>
    <t>el objetivo de esta Estrategia a Largo Plazo (en adelante ELP o Estrategia) es articular una respuesta coherente e integrada frente a la crisis climática, que aproveche las oportunidades para la modernización y competitividad de nuestra economía y sea socialmente justa e inclusiva. Se trata de una hoja de ruta para avanzar hacia la neutralidad climática en el horizonte 2050</t>
  </si>
  <si>
    <t>At least 40% reduction in 2030 compared to 1990</t>
  </si>
  <si>
    <t>Achieving carbon neutrality by 2050</t>
  </si>
  <si>
    <t xml:space="preserve">To reduce economy-wide GHG emissions by at least 68% by 2030, compared to 1990 levels. </t>
  </si>
  <si>
    <t>To reduce GHG emissions by at least 80% by 2050 when compared to 1990 levels</t>
  </si>
  <si>
    <t>This strategy sets out this Government’s long_x0002_term plan to finish the job and end the UK’s domestic contribution to man-made climate change by 2050</t>
  </si>
  <si>
    <t xml:space="preserve">25.4% reduction relative to business-as-usual emissions in 2030 (reduction of 7.2Mt CO2e) </t>
  </si>
  <si>
    <t>3f.</t>
  </si>
  <si>
    <t>28.5% reduction to BAU emissions in 2030 (7.2MtCO2e less in 2030)</t>
  </si>
  <si>
    <t>Business-as-usual emissions in the energy sector in 2030: 8.2MtCO2e 
25.4% reduction relative to business-as-usual emissions in 2030 without international support (unconditional)
28.5% reduction relative to business-as-usual emissions in 2030 conditional upon international support</t>
  </si>
  <si>
    <t>7.8% below BAU by 2030; 2025: 12,370 kT CO2 eq; 2030: 13,368 kT CO2 eq</t>
  </si>
  <si>
    <t>Contingent on international; support:; 10% below BAU by 2030; 2025:12,099 kT CO2 eq; 2030:13,043 kT CO2 eq</t>
  </si>
  <si>
    <t>To reduce GHG emissions by 26% by FY2030 compared to FY 2013 (25.4% reduction compared to FY 2005)</t>
  </si>
  <si>
    <t>The coalition agreement sets a target of having one million public charging points with non-discriminatory access installed in Germany by 2030, with a focus on developing the fast-charging infrastructure</t>
  </si>
  <si>
    <t>This requires an acceleration of infrastructure expansion, with around 100,000 new public charging points being installed each year as early as 2025.</t>
  </si>
  <si>
    <t>16,9% below BAU in 2030 (0,012 Mt CO2e)</t>
  </si>
  <si>
    <t>A target of 20% emissions reduction by 2030 has been set for the transport sector (compared to 2014 levels)</t>
  </si>
  <si>
    <t>Dominica has set a target for 100% emissions reduction in the shipping sub-sector by 2030 (compared to 2014 levels)</t>
  </si>
  <si>
    <t>Last fossil fuel passenger car sold by 2035–2050</t>
  </si>
  <si>
    <t>The EU has reviewed and amended its legislation setting a new target to reduce emissions from the existing EU ETS sectors and from maritime of 62% by 2030, compared to 2005 levels. The extension of the EU ETS to maritime emissions will cover CO2, methane and nitrous oxide emissions from ships above 5000 gross tonnage and will apply to 50% of emissions from voyages starting or ending outside the EU, and all emissions from voyages within the EU and emissions from ships within EU ports.</t>
  </si>
  <si>
    <t>Transport sector, BAU GHG Emissions by 2030 = 124,360 Gg CO2e, Mitigation Target by 2030 = 8,960 Gg CO2e, 
GHG reduction % compared to BAU in 2030 = 7%</t>
  </si>
  <si>
    <t>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t>
  </si>
  <si>
    <t>En el año 2030, como resultado de medidas previstas en el PNIEC, como el cambio en los modelos de movilidad, el incremento de la electrificación y los combustibles renovables, se prevé alcanzar una cuota del 28% de energía renovable en el transporte-movilidad, así como una reducción de las emisiones de más de un 30% en esa misma década</t>
  </si>
  <si>
    <t>25% below BAU in 2030 (10 Mt CO2e)</t>
  </si>
  <si>
    <t>Railway network by 2030 +3,297 km (+366%)</t>
  </si>
  <si>
    <t>Increase rural transport service coverage from 67% to 100%</t>
  </si>
  <si>
    <t>Increase urban mass transport services from 34% to 70%</t>
  </si>
  <si>
    <t>Expand bus routes and increase the number of buses by 89,680</t>
  </si>
  <si>
    <t>Increase electric vehicle infrastructure by 10%</t>
  </si>
  <si>
    <t>Ban on import of used vehicles by 2030</t>
  </si>
  <si>
    <t>share of biofuels in road transport energy consumption at 13.5% of the energy content part in 2020 and at 30% in 2030 (linear growth)</t>
  </si>
  <si>
    <t xml:space="preserve"> the number of electric vehicles at least 250,000 (full electric vehicles, hydrogen-powered vehicles, plug-in hybrids) and, correspondingly, that of gas-powered vehicles at least 50,000 by 2030;</t>
  </si>
  <si>
    <t>As a contribution to Target 1, to reduce domestic maritime shipping emissions by 40%.</t>
  </si>
  <si>
    <t>20% below BAU in 2025</t>
  </si>
  <si>
    <t>Unconditional target: 5%</t>
  </si>
  <si>
    <t>Conditional target: 26% (so total 31%)</t>
  </si>
  <si>
    <t xml:space="preserve">End the sale of new petrol and diesel cars and vans from 2030; </t>
  </si>
  <si>
    <t>1.5% below 2030 BAU emissions</t>
  </si>
  <si>
    <t>14% below 2030 BAU emissions</t>
  </si>
  <si>
    <t>15% reduction from 1990 levels by 2030</t>
  </si>
  <si>
    <t>25% reduction from 1990 levels by 2030</t>
  </si>
  <si>
    <t>Reduction of GHG emissions by 25% by the end of 2030 relative to 1990 base year, subject to significant additional international investments and significant grant assistance; access to an international technology transfer mechanism; co_x0002_financing and participation in international research projects, development of promising low-carbon technologies and initiatives to build local expertise.</t>
  </si>
  <si>
    <t>Reduction of GHG emissions by 15% by the end of 2030 relative to 1990 base year.</t>
  </si>
  <si>
    <t>long-term goals are being set, such as reducing the energy intensity of GDP from the 2008 level by 50% by 2050, and increasing the share of alternative sources in electricity generation to 50% by 2050.</t>
  </si>
  <si>
    <t>To abate GHG emissions by 32% by 2030 relative to the BAU scenario of 143 MTCO2eq</t>
  </si>
  <si>
    <t>Promote the use of appropriate designs and building materials to enhance resilience of, at least 4500 km of roads to climate risk</t>
  </si>
  <si>
    <t>30% by 2030 relative to the BAU scenario of 143 MtCO2eq</t>
  </si>
  <si>
    <t>12.8% by 2030 compared to BaU projection</t>
  </si>
  <si>
    <t>Reduce emissions more than 60% (61.8%) by 2030  BAU</t>
  </si>
  <si>
    <t>To unconditionally reduce 9.5% (11.3 ktCO2e) of BAU GHG emissions by 2025, 8% (11 ktCO2e) by 2030</t>
  </si>
  <si>
    <t>conditionally reduce by 16.7% of BAU GHG emissions by 2025 and 23.8% (32.9 ktCO2e) by 2030</t>
  </si>
  <si>
    <t xml:space="preserve">Reduction of 7.4% in 2035 relative to BAU, with total GHG emissions capped to 131,715,950 MTCO2e in 2035, with amount of reduction of 10,574,800 MTCO2e </t>
  </si>
  <si>
    <t>I</t>
  </si>
  <si>
    <t xml:space="preserve">Kyrgyz Republic will reduce GHG emissions in the range of 11.49 -13.75% below BAU in 2030. </t>
  </si>
  <si>
    <t>Additionally, under the international support Kyrgyz Republic could implement the mitigation measures to achieve total reduction in the range of 29.00 - 30.89% below BAU in 2030.</t>
  </si>
  <si>
    <t>Kyrgyz Republic will reduce GHG emissions in the range of 12.67 -15.69% below BAU in 2050.</t>
  </si>
  <si>
    <t>Additionally, under the international support Kyrgyz Republic could implement the mitigation measures to achieve total reduction in the range of 35.06 - 36.75% below BAU in 2050</t>
  </si>
  <si>
    <t>Other GHG targets</t>
  </si>
  <si>
    <t>Limiting the per capita GHG emissions to maximum of 1.23 t/CO2, or 1.58 t/CO2 in 2050</t>
  </si>
  <si>
    <t xml:space="preserve"> to unconditionally reduce GHG emissions by 16.63% by 2025 and by 15.97% by 2030</t>
  </si>
  <si>
    <t>reduced by 2025 by 36.61% and by 2030 by 43.62%, under the business-as-usual scenario</t>
  </si>
  <si>
    <t>13.75% below BAU in 2030</t>
  </si>
  <si>
    <t>30.89% below BAU in 2030</t>
  </si>
  <si>
    <t xml:space="preserve">Kyrgyz Republic will reduce GHG emissions in the range of 12.67 15.69% below BAU in 2050. Additionally, under the international support Kyrgyz Republic could implement the mitigation measures to achieve total reduction in the range of 35.06 - 36.75% below BAU in 2050.  </t>
  </si>
  <si>
    <t>60% GHG emission reductions by 2030 compared to baseline scenario (BAU), or around 62,000 ktCO2e in absolute term</t>
  </si>
  <si>
    <t>from 2035, all new cars and vans must be zero emission at the tailpipe.</t>
  </si>
  <si>
    <t>Introduce a zero emission vehicle mandate setting targets for a percentage of manufacturers’ new car and van sales to be zero emission each year from 2024.</t>
  </si>
  <si>
    <t>Take forward our pledge to end the sale of all new, non-zero emission road vehicles by 2040, from motorcycles to buses and HGVs, subject to consultation.</t>
  </si>
  <si>
    <t>Lead by example with 25% of the government car fleet ultra low emission by December 2022 and all the government car and van fleet zero emission by 2027</t>
  </si>
  <si>
    <t>Cumulative energy sector reduction to 2025 of 1468 MtCO2eq</t>
  </si>
  <si>
    <t>-65 % (in comparison with 1990) without LULUCF, -38% with LULUCF by 2030
-85 % (in comparison with 1990) without LULUCF, -76% with LULUCF by 2040
Climate neutrality (non-reducible GHG emissions are compensated by removals in the LULUCF sector) by 2050</t>
  </si>
  <si>
    <t>GHG emission reduction of 20% compared to the BAU scenario in 2030, (amounting to 7,790Gg. CO2eq.)</t>
  </si>
  <si>
    <t>GHG emission reduction of 31% compared to the BAU scenario in 2030 (amounting to 12,075Gg. CO2eq.).</t>
  </si>
  <si>
    <t>Up to 30% reduction compared to the BAU scenario in 2030</t>
  </si>
  <si>
    <t>10% below 2030 BAU scenario</t>
  </si>
  <si>
    <t>Up to 35% by 2030 BAU</t>
  </si>
  <si>
    <t>Unconditional, 10% GHG emissions reductions target (compared to 2030 BAU), level by 2030: 11,186.83 Gg CO2e</t>
  </si>
  <si>
    <t>Conditional, additional 54% GHG emissions reduction target  (compared to 2030 BAU), level by 2030: 4,536.64 Gg CO2e</t>
  </si>
  <si>
    <t xml:space="preserve">In the Transport sector, Liberia commits to the following adaptation targets: 
• Support the implementation of infrastructure that foster the development of a bus public transport network for Monrovia 
o Ensure low-income population to reach jobs, education and healthcare services, improving their access to economic and social opportunities. </t>
  </si>
  <si>
    <t>Lead by example with [...] all the government car and van fleet zero emission by 2027</t>
  </si>
  <si>
    <t>As announced in the Transport Decarbonisation Plan, we will create at least one zero emission transport city</t>
  </si>
  <si>
    <t>Reduce GHGs by at least 10% by 2030 from BAU scenario</t>
  </si>
  <si>
    <t>40% compared to 1990 by 2030</t>
  </si>
  <si>
    <t>the aim that half of all journeys in towns and cities will be cycled or walked by 2030.</t>
  </si>
  <si>
    <t>Electrify more railway lines as part of plans to deliver a net zero rail network by 2050, with the ambition to remove all diesel-only trains by 2040</t>
  </si>
  <si>
    <t>Before 2050</t>
  </si>
  <si>
    <t>Every place in the UK will have its own net zero emission transport network before 2050</t>
  </si>
  <si>
    <t>UK aviation and shipping will achieve net zero emissions by 2050.</t>
  </si>
  <si>
    <t>We will deliver a world class cycling and walking network in England by 2040</t>
  </si>
  <si>
    <t>We will deliver a net zero rail network by 2050, with sustained carbon reductions in rail along the way</t>
  </si>
  <si>
    <t>Our ambition is to remove all diesel-only trains (passenger and freight) from the network by 2040</t>
  </si>
  <si>
    <t xml:space="preserve">We will end the sale of new petrol and diesel cars and vans by 2030. </t>
  </si>
  <si>
    <t>From 2035 all new cars and vans must be fully zero emission at the tailpipe</t>
  </si>
  <si>
    <t>We will lead by example with 25% of the government car fleet ultra low emission by December 2022 and all the government car and van fleet zero emission by 2027</t>
  </si>
  <si>
    <t>We will plot a course to net zero for the UK domestic maritime sector, with indicative targets from 2030 and net zero as early as is feasible</t>
  </si>
  <si>
    <t>Our ambition is to enable delivery of 10% SAF by 2030</t>
  </si>
  <si>
    <t>By  2030, Georgia plans to mitigate the  GHG  emissions from  the transport sector by 15% from the reference level</t>
  </si>
  <si>
    <t>Emission level of 4142 kt CO2 compared to BAU level of 4335 kt CO2</t>
  </si>
  <si>
    <t>Emission level of 3879 kt CO2 compared to BAU level of 4335 kt CO2</t>
  </si>
  <si>
    <t>Application de l’interdiction d’importation de véhicules de plus de 8 ans à horizon 2025 (norme CEDEAO)</t>
  </si>
  <si>
    <t>mise en œuvre à l’horizon 2030 de l’interdiction d’importation de véhicules de plus de 5 ans (préconisation de la Commission de la CEDEAO de 2020). Soit 500 000 voitures plus efficaces entre 2025 et 2030.</t>
  </si>
  <si>
    <t>31f.</t>
  </si>
  <si>
    <t>Construction à horizon 2025 de 910 km de voie ferrée pour le transport de minerais dont 650 km pour le Transguinéen en substitution au transport routier. Ajout de 390 km entre 2025 et 2030</t>
  </si>
  <si>
    <t xml:space="preserve">Application de l’interdiction des voitures de plus de 8 ans (norme CEDEAO) dès 2022 soit 500 000 voitures plus efficaces d’ici 2025 </t>
  </si>
  <si>
    <t>Application de l’interdiction des voitures de plus de 8 ans (norme CEDEAO) dès 2022 soit […] 1 000 000 voitures d’ici 2030</t>
  </si>
  <si>
    <t xml:space="preserve">l’objectif de la neutralité climatique à l’horizon 2050 </t>
  </si>
  <si>
    <t>Mise en œuvre du scénario intégré du PDU de Conakry
- Une ligne BRT Le Prince Kaloum / Sonfonya par corniche de 33,5km. 
- Une ligne HRT Kaloum / Kagbelen de 33,5 km.
Ces travaux sont estimés à un coût de 422 millions d’euros d’ici 2030 pour un bilan cumulé de - 919 ktC02
d'ici 2030.</t>
  </si>
  <si>
    <t>14% below 2030 BAU scenario, and an increase of GHG absorption of at least 32% compared to BAU scenario</t>
  </si>
  <si>
    <t>A reduction of 6 per cent relative to BAU in the year 2040</t>
  </si>
  <si>
    <t>IX</t>
  </si>
  <si>
    <t>An additional reduction of 45 per cent relative to BAU in the year 2040</t>
  </si>
  <si>
    <t>22.2% decrease compared to the expected baseline level in 2030</t>
  </si>
  <si>
    <t xml:space="preserve">Only one conditional mitigation option was analyzed under the Transport Sector. As shown in Figure 6, deployment of energy efficient vehicles will produce greenhouse gas emission reductions of 40.8 GgCO2e in 2020, 114.5 GgCO2e in 2025 and 193.3 GgCO2e in 2030. </t>
  </si>
  <si>
    <t xml:space="preserve">The long term strategy is to reduce GHG emissions by introducing energy-efficient modes of transports, which have a GHG emission reduction target of 193.3 GgCO2e in 2030. </t>
  </si>
  <si>
    <t>The implementation of the planned mitigation actions will help in reducing GHG emissions in the transport sub-sector from 1,026 GgCO2e to 315 GgCO2e in 2050. This shows that the implementation of the mitigation actions within the transport sub-sector will not lead to the achievement of a net-zero mitigation scenario by 2050. This calls for the need to implement more rigorous mitigation actions in the other sectors in order to achieve a net sink mitigation scenario.</t>
  </si>
  <si>
    <t>El mayor uso del transporte colectivo reduce la utilización de los vehículos privados al 50% del total de viajes en 2050</t>
  </si>
  <si>
    <t>0.7 to 0.8t CO2e per capita in 2030</t>
  </si>
  <si>
    <t>Malaysia intends to reduce its economy-wide carbon intensity1 (against GDP) of 45% in 2030 compared to 2005 level […] (a) The 45% of carbon intensity reduction is unconditional;
(b) This target is an increase of 10% from the earlier submission</t>
  </si>
  <si>
    <t>GHG emission intensity of GDP 35% below 2005 by 2030</t>
  </si>
  <si>
    <t>Additional GHG emission intensity of GDP 10% below 2005 by 2030</t>
  </si>
  <si>
    <t>26% reduction of emissions in 2030 (under a BAU) in a conditional manner, aims to reach net-zero by 2030 provided on condition that it gets the extensive support and assistance from the international community</t>
  </si>
  <si>
    <t>10% below BAU by 2030</t>
  </si>
  <si>
    <t>Up to 24% below BAU by 2030</t>
  </si>
  <si>
    <t>En 2050, la totalidad de los vehículos públicos son no emisores netos de GEI, así como un porcentaje significativo de los vehículos privados.</t>
  </si>
  <si>
    <t>20% reduction by 2025</t>
  </si>
  <si>
    <t>31.6% reduction from 2030 BAU scenario</t>
  </si>
  <si>
    <t>The Strategy aims to move towards climate neutrality by 2050 in line with Malta’s contribution to EU-wide goals</t>
  </si>
  <si>
    <t>Commitment to reduce GHG emissions to at least 32% below 2010 levels by 2025 and to at least 45% below 2010 levels by 2030.</t>
  </si>
  <si>
    <t>to reduce its emissions of GHGs by 2025 to  be at least 32% below 2010 levels;</t>
  </si>
  <si>
    <t xml:space="preserve">to reduce its emissions of GHGs at least 45% below 2010 levels by 2030; </t>
  </si>
  <si>
    <t>indicative  target to reduce its emissions of GHGs by at  least 58% below 2010 levels by 2035</t>
  </si>
  <si>
    <t>100% decarbonization vision by 2050</t>
  </si>
  <si>
    <t>Vehicle sales have increased significantly than projected since the first NDC. In
2018, the number of registered vehicles was 51% higher than in 2010. As a
result, the measures proposed in the first NDC for the transport sector
(introduction of gasoline taxes, biofuel blends, and fuel efficiency standards) will
be insufficient to achieve the 20% reductions anticipated from this sector by
2025, much less to achieve further reductions by 2030</t>
  </si>
  <si>
    <t>Para ello, se propone implementar un programa de renovación del parque vehicular privado hacia alternativas más eficientes, con lo cual se sustituirá el 24.3 % de los vehículos de gasolina por eléctricos al 2032 (Henríquez, 2021).</t>
  </si>
  <si>
    <t>32% below 2010 levels by 2025</t>
  </si>
  <si>
    <t xml:space="preserve">Ainsi, la CDN actualisée de la Mauritanie prévoit une réduction nette des émissions de GES à l’échelle de l’économie de 11% en 2030 par rapport au scénario de référence avec les moyens propres du pays soutenu par un appui international comparable à celui reçu jusqu’à 2020. </t>
  </si>
  <si>
    <t>Avec un appui plus conséquent, la Mauritanie pourrait assurer sa neutralité carbone, allant jusqu’à une réduction de 92% conditionnelle par rapport au BAU.</t>
  </si>
  <si>
    <t>Por su parte, se promoverá la sustitución parcial de gasolina por
medio del uso del 10 % de etanol avanzado a nivel nacional. (2032)</t>
  </si>
  <si>
    <t>Objectivo 6 - Electromovilidad
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t>
  </si>
  <si>
    <t>22.3% below 2030 BAU levels</t>
  </si>
  <si>
    <t>Mauritius aims to reduce overall GHG emissions by 40% in 2030 compared to the Business as Usual (BAU) scenario of around 6,900 ktCO2eq (including LULUCF) in 2030</t>
  </si>
  <si>
    <t>Meilleur entretien et utilisation des motos, 1000*200 motos d'ici 2030 (conditionnelle).</t>
  </si>
  <si>
    <t>30% below 2030 BAU scenario</t>
  </si>
  <si>
    <t>Reduction of 22% of GHG emissions and 51% of black carbon emissions by 2030 as compared to the BAU scenario</t>
  </si>
  <si>
    <t>Up to 36% reduction of GHG emissions and 70% of black carbon emissions by 2030 compared to the BAU scenario</t>
  </si>
  <si>
    <t>22% reduction of GHG for 2030 compared with BAU scenario</t>
  </si>
  <si>
    <t>36% reduction of GHG for 2030 compared with BAU scenario</t>
  </si>
  <si>
    <t>50% of emissions by the year 2050, with respect to the year 2000</t>
  </si>
  <si>
    <t>México aumenta su meta de reducción de gases de efecto invernadero de 22% a 35% en 2030, con respecto a su línea base, con recursos nacionales que aportarán al menos un 30% y 5% con cooperación y financiamiento internacional previsto para energías limpias. [...] La reducción de emisiones de 35% al 2030 implica 347 MtCO2e reducidas en dicho año</t>
  </si>
  <si>
    <t>México aumenta su meta de reducción de gases de efecto invernadero de 22% a 35% en 2030, con respecto a su línea base, con recursos nacionales que aportarán al menos un 30% y 5% con cooperación y financiamiento internacional previsto para energías limpias. De forma condicionada, México puede aumentar su meta al 2030 hasta 40%, con respecto a su línea base en 2030, si se escala el financiamiento internacional, la innovación y transferencia tecnológica, y si otros países, principalmente los mayores emisores, realizan esfuerzos conmensurados a los objetivos más ambiciosos del Acuerdo de París. [...] el cumplimiento de los compromisos condicionados asciende a 397 MtCO2e</t>
  </si>
  <si>
    <t>Finalmente, se ratifica la meta de reducción de las emisiones de carbono negro de 51% de forma no condicionada en 2030, y 70% de forma condicionada.</t>
  </si>
  <si>
    <t>la meta de integrar 40 GW de capacidad de energías limpias</t>
  </si>
  <si>
    <t>By 2030, climate-proof all major island ring roads, airport access roads, and arterial roads</t>
  </si>
  <si>
    <t>By 2030, complete climate-proofing of major ports (larger and more resilient docks meeting ISPS standards)</t>
  </si>
  <si>
    <t>By 2030, increase electricity generation from renewable energy to more than 70% of total generation</t>
  </si>
  <si>
    <t>Commits to unconditionally reduce by 2025 a 28% its GHGs emissions below emissions in year 2000</t>
  </si>
  <si>
    <t xml:space="preserve">Could achieve by 2025 an additional reduction up to 35% below emissions in the 2000 base year. </t>
  </si>
  <si>
    <t>the UK commits to reducing economy-wide greenhouse gas emissions by at least 68%
by 2030, compared to 1990 levels</t>
  </si>
  <si>
    <t>As part of the EU, Ireland shares the climate ambition expressed in the European Commission's European Green Deal (2019) for the EU to become climate neutral by 2050.</t>
  </si>
  <si>
    <t xml:space="preserve">To mitigate its greenhouse gas emissions by 22.7% by 2030, compared to the business as usual scenario, excluding LULUCF. </t>
  </si>
  <si>
    <t>Restriction à l'importation de voitures d'occasion, 1000*30 voitures d'ici 2025 et 1000*30 voitures d'ici 2030.</t>
  </si>
  <si>
    <t>Meilleur entretien et utilisation des motocyclettes, 1000*75 motocyclettes d'ici 2030.</t>
  </si>
  <si>
    <t>Increase the share of railways in total land transport from 36% to 45%</t>
  </si>
  <si>
    <t>14% below 2030 BAU levels</t>
  </si>
  <si>
    <t>At least a 35% reduction in total national GHG emissions (excl. LULUCF) by 2030 compared to 1990 (base year)</t>
  </si>
  <si>
    <t xml:space="preserve">30 % reduction by 2030 compared to 1990 </t>
  </si>
  <si>
    <t>Indicative 2025 target: 20% ethanol blending in petrol, with a savings potential of approximately INR 30,000 crore/yr.</t>
  </si>
  <si>
    <t xml:space="preserve">Une réduction nette des émissions de GES à l’échelle de l’économie de 18,3% en 2030 par rapport au scénario de référence  </t>
  </si>
  <si>
    <t>Avec un soutien plus conséquent le Maroc pourrait aller jusqu’à une réduction des émissions de 45,5% par rapport au CNA.</t>
  </si>
  <si>
    <r>
      <t>Indian Railways to become net-zero by 2030, leading to annual mitigation of 60 million tonnes of CO</t>
    </r>
    <r>
      <rPr>
        <sz val="8"/>
        <rFont val="Calibri"/>
        <family val="2"/>
      </rPr>
      <t>2</t>
    </r>
    <r>
      <rPr>
        <sz val="11"/>
        <rFont val="Calibri"/>
        <family val="2"/>
      </rPr>
      <t>.</t>
    </r>
  </si>
  <si>
    <t>National Logistic Policy aspires to reduce cost of logistics in India to be comparable to global benchmarks by 2030</t>
  </si>
  <si>
    <t>2030 target emissions 6 MtCO2eq. or 50% reduction relative to 2018</t>
  </si>
  <si>
    <t>13% reduction from 2030 BAU scenario</t>
  </si>
  <si>
    <t>34% below BAU emission levels by 2030</t>
  </si>
  <si>
    <t xml:space="preserve">Mozambique proposes to carry out a series of mitigation actions that in aggregate expect to achieve a reduction of GHG emissions by about 40 million tCO2 eq between 2020 and 2025. </t>
  </si>
  <si>
    <t>48-48</t>
  </si>
  <si>
    <t>Ban on new registration of diesel and gasoline vehicles after 2030</t>
  </si>
  <si>
    <t>Total reduction of about 76,5 MtCO2eq in the period from 2020 to 2030</t>
  </si>
  <si>
    <t>Total Emissions Avoided/Reduced over the period 2021-2030 will amount to 244,525,968 tCO2e.</t>
  </si>
  <si>
    <t>conditional target for Total Emissions Avoided/Reduced over the period 2021-2030 of 414,760,604 tCO2e.</t>
  </si>
  <si>
    <t>Myanmar commits to an unconditional target for new renewable energy of 11% (2000MW) by 2030</t>
  </si>
  <si>
    <t>The updated NDC presents a progressive shift above the 2015 pledge to reduce emissions from 89% to 91% by 2030. […] In the BAU scenario, overall GHG emissions in 2030 are expected to rise by up to 24.167 MtCO2e. The estimated emissions reduction will be 21.996  tCO2e through 2030 (91% reduction of which 78.7% is from the AFOLU)</t>
  </si>
  <si>
    <t>Namibia commits to reduce its GHG emissions conditionally by 14% (under limited domestic and international support) and towards 77% (with substantial international support) in 2030 compared to the Business As Usual levels, corresponding to a total reduction by 21.996 MtCO2e.</t>
  </si>
  <si>
    <t>No direct quote possible, see table 2.4: 11.6% emission reduction in the energy sector in comparison to BAU scenario in 2030. Transport as part of energy sector.</t>
  </si>
  <si>
    <t>Limit the increase in greenhouse gas emissions from transportation by 2030, so that the total increase in emissions will be only 3.3% compared to emissions measured in 2015, which were 17.6 MtCO2e. 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t>
  </si>
  <si>
    <r>
      <rPr>
        <sz val="12"/>
        <rFont val="Calibri"/>
        <family val="2"/>
        <scheme val="minor"/>
      </rPr>
      <t>Reduction of greenhouse gas emissions from transport by 2050 by at least 96% compared to emissions measured in 2015</t>
    </r>
    <r>
      <rPr>
        <sz val="12"/>
        <rFont val="Arial"/>
        <family val="2"/>
      </rPr>
      <t>.</t>
    </r>
  </si>
  <si>
    <t>As of 2026, all new municipal buses purchased will be clean vehicles as defined in section 77A of the Transport Ordinance [New Version].</t>
  </si>
  <si>
    <t>20% shift from private to public transportation</t>
  </si>
  <si>
    <t>Increasing the total number of commuters using public transport as a percentage of the total number to 25 % by 2025</t>
  </si>
  <si>
    <t xml:space="preserve">Promoting hybrid and electric cars at national level -including 50% of the Public fleet will be EVs- and assuming annual increase in private cars adoption by 2% </t>
  </si>
  <si>
    <t>9% reduction from 2030 BAU</t>
  </si>
  <si>
    <t>89% reduction from 2030 BAU</t>
  </si>
  <si>
    <t>Comprehensive measures will be taken to achieve 100% electrified vehicles in new passenger car sales by 2035</t>
  </si>
  <si>
    <t>Nepal aspires to minimize emissions and sustainably achieve net-zero emissions by the year 2045.
In the with existing measures (WEM) scenario, the net CO2 emissions will be reduced by 30 mMtCO2 in 2030 and 50 mMtCO2 in 2050. In this scenario, the energy sector will be one of the most important contributors to emission reductions. LULUCF will contribute significantly to carbon removal in the first 10 years. However, the sink potential of LULUCF will decrease overtime  per  the  assumptions used in this scenario. As a result,  after  2030, net carbon emissions will rise at an annual rate of 11 per cent.  
In the additional  measures (WAM) scenario ambitious interventions in the energy sector combined with ongoing and additional carbon removal interventions indicate that Nepal’s net  CO2 emissions will be lower than ‘zero’ in the period 2020 to 2030, then hovering around ‘zero’ throughout 2035 to 2045. Sequestration increases from 2045 onwards reaching -5.7 mMT in 2050.</t>
  </si>
  <si>
    <t>iv</t>
  </si>
  <si>
    <t>aim that the electrified vehicles will account for 20–30% of new vehicle sales by 2030</t>
  </si>
  <si>
    <t>electrified vehicles and vehicles suitable for use of decarbonized fuels such as synthetic fuels will together account for 100% of new vehicle sales by 2040 for light-duty vehicles of 8 tons or less</t>
  </si>
  <si>
    <t>In the 2020s</t>
  </si>
  <si>
    <t>As for large vehicles over 8 tons, the Government aims to introduce 5,000 units of electrified vehicles in advance in the 2020s</t>
  </si>
  <si>
    <t>Transport emissions to be at 163 million tCO2 by 2030, 27% below 2013 levels (continuation from first NDC)</t>
  </si>
  <si>
    <t>(1) Future vision
Challenging for “Well-to-Wheel Zero Emission”（e.g. achieving the world’s highest level of environmental performance of Japanese cars supplied worldwide by 2050)
(2) Direction of policies and measures for the future vision
Enhanced international policy coordination on electrified vehicles, including automotive environmental performance assessment on ”Well-to-Wheel“ base, promotion of open innovation for the next-generation electrification-related technologies, road/transport systems using big data and IoT.</t>
  </si>
  <si>
    <t>Pursuant to the national Climate Act, the Netherlands needs to reduce its greenhouse gas emissions by 95% by 2050 compared to 1990.</t>
  </si>
  <si>
    <t>New Zealand confirmed its commitment to ambitious national action through legislation enacted in late 2019 that set a new domestic target to reduce net emissions of greenhouse gases (other than biogenic methane) to zero by 2050.</t>
  </si>
  <si>
    <t>Speech during Climate Ambition Summit 2020</t>
  </si>
  <si>
    <t>Emissions will be reduced by 50 per cent below gross 2005 levels by 2030, which corresponds to a 41 per cent reduction when managed using a multi-year emissions budget</t>
  </si>
  <si>
    <t>By 2050, long-lived greenhouse gases are net zero and biogenic methane emissions are 24–47% below 2017 levels, and 10% below by 2030</t>
  </si>
  <si>
    <t>As such, in a long-term goal by 2050, Japanese cars supplied worldwide will achieve the world's highest level of environmental performance; specifically, GHG emissions will be reduced by approximately 80% per vehicle compared to 2010.</t>
  </si>
  <si>
    <t>Energia: Al 2030, el 65% de la capacidad instalada de la matriz eléctrica de-berá provenir de fuentes de energías renovables</t>
  </si>
  <si>
    <t>AFOLU: 4,50% (BAU 2025) et 12,57% (BAU 2030)
Energy: 11,20% (BAU-2025) et 10,60% (BAU-2030)</t>
  </si>
  <si>
    <t>AFOLU: 14,60% (BAU-2025) et 22,75% (BAU 2030)
Energy: 48% (BAU-2025) et 45% (BAU-2030)</t>
  </si>
  <si>
    <t>Estimated emissions of transport sector in FY 2030: 163 million t-CO2 as compared to 279 million t-CO2 in FY 2013</t>
  </si>
  <si>
    <t xml:space="preserve"> </t>
  </si>
  <si>
    <t>146 mio t CO2 in the year 2030, in comparison to 224 mio t CO2 emissions in the year 2013 [from table]</t>
  </si>
  <si>
    <t>34.6% below 2030 BAU</t>
  </si>
  <si>
    <t>2030 emissions to be at 453 million connes CO2-eq; Limit growth to 31% between 2018 and 2030 (2.6% per year)</t>
  </si>
  <si>
    <t>This updated NDC has an unconditional contribution of 20% below business-as-usual by 2030</t>
  </si>
  <si>
    <t>iii</t>
  </si>
  <si>
    <t>This updated NDC (...) has a 47% contribution conditional on international support.</t>
  </si>
  <si>
    <t>3% below BAU by 2030 (0,4 Mt CO2e)</t>
  </si>
  <si>
    <t>Under the LTS4CN scenario, 70 percent of motorcycles and 40 percent of cars and urban buses are expected to be electric vehicles by 2050.</t>
  </si>
  <si>
    <t>CNG penetration of 80 percent for interregional buses and 80 percent for trucks until 2050</t>
  </si>
  <si>
    <t>In the updated NDC, Nigeria recommits to its unconditional contribution of 20% below businessas-usual by 2030</t>
  </si>
  <si>
    <t>In the updated NDC, Nigeria recommits to its [...] conditional contribution from 45% to 47% below business-asusual by 2030, provided that sufficient international support is forthcoming</t>
  </si>
  <si>
    <t>More use of public transportation – 30 percent modal share in urban areas by 2050</t>
  </si>
  <si>
    <t xml:space="preserve">20 or 30 vehicle inspection centers will be in operation by 2030. 1 million vehicles are expected to be inspected by 2030
</t>
  </si>
  <si>
    <t>increasing the share of electric vehicles in the vehicle fleet to at least 2%</t>
  </si>
  <si>
    <t>To reduce emissions by at least 50% and towards 55% compared to 1990 levels by 2030.</t>
  </si>
  <si>
    <t>Norway’s target of becoming a low-emission society must therefore be made an integral part of the basis for decision making from now onwards.</t>
  </si>
  <si>
    <t>40% reduction in 2030 compared to 1990 levels.</t>
  </si>
  <si>
    <t>The updated NDC is to reduce emissions by at least 55 per cent by 2030, compared to 1990 levels.</t>
  </si>
  <si>
    <t>55% net reduction of GHG by 2030 compared to 1990</t>
  </si>
  <si>
    <t xml:space="preserve">Iceland is committed to reducing its overall greenhouse gas emissions and reaching climate neutrality no later than 2040 and become fossil fuel free in 2050, which should set Iceland on a path to net negative emissions. </t>
  </si>
  <si>
    <t xml:space="preserve">Republic of Korea has set the target of deploying 3 million units of electric vehicles and 850,000 hydrogen vehicles by 2030 with a view to scaling up the deployment of zero-emission vehicles. </t>
  </si>
  <si>
    <t>40% reduction of greenhouse gas emissions by 2030 compared to 1990 levels</t>
  </si>
  <si>
    <t>Unlike Israel's original NDC, this new Decision includes an unconditional absolute greenhouse gas (GHG) emissions reduction goal for 2030 of 27% relative to 2015. […] Whereas our INDC submitted in 2015 projected 2030 emissions would be 81.65 MtCO2e, under this update they are projected to be 58 MtCO2e by 2030.</t>
  </si>
  <si>
    <t xml:space="preserve">Unlike Israel's original NDC, this new Decision includes an […] unconditional absolute GHG emissions reduction goal for 2050 of 85% relative to 2015. […] The updated target presented in this NDC is 58 MtCO2e, which corresponds to a reduction of 23 MtCO2e or 29% in Israel' s total emissions. </t>
  </si>
  <si>
    <t>Government Decision 171 detailed above also includes targets for 2050 in furtherance of Article 4, paragraph 19, of the Paris Agreement, and paragraph 35 of decision 1/CP.21 and constitutes Israel's current low greenhouse gas emission development strategy. GHG reductions will be reduced from 79.4 MtCO2e emissions in 2019 to 58 MtCO2e in 2030 and 12 MtCO2e in 2050.</t>
  </si>
  <si>
    <t xml:space="preserve">For transport fuels the objective is to increase the share of biofuels to meet 10% of the demand for transport fuels by 2025. </t>
  </si>
  <si>
    <t>Pakistan intends to set a cumulative ambitious aim of conditional and voluntary contributions of overall 50% reduction of its projected emissions by 2030, with a 15% drop below business as usual (BAU) from the country’s  own  resources,</t>
  </si>
  <si>
    <t xml:space="preserve"> and an additional 35% drop below BAU subject to international financial support.</t>
  </si>
  <si>
    <t>New Bus Rapid Transit system in Vientiane Capital and associated Non-Motorized Transport (NMT) component
Lao-China Railway</t>
  </si>
  <si>
    <t>30% Electric Vehicles penetration for 2-wheelers and passengers' cars in national vehicles mix</t>
  </si>
  <si>
    <t>Pakistan intends to reduce up to 20% of its 2030 projected GHG emissions subject to availability of international grants</t>
  </si>
  <si>
    <t>reducing emissions by half as against BAU in 2025, the equivalent of 22% under 2005 emissions levels</t>
  </si>
  <si>
    <t>Biofuels to meet 10% of transport fuels</t>
  </si>
  <si>
    <t>Blend up to 5% of palm oil biodiesel with both gasoline and diesel by 2030 for vehicles. (only through provision of means of implementation by international community)</t>
  </si>
  <si>
    <t>The State of Palestine, therefore, increases its commitment to reduce its GHG emissions by 17.5% by 2040 relative to the business-as-usual (BAU) levels under a scenario where the Israeli occupation continues (Status-quo Scenario), and by 26.6% by 2040 under a scenario where the Israeli occupation ends (Independence Scenario).</t>
  </si>
  <si>
    <t>the Transport sector, Liberia commits to reducing GHG emissions by 15.1% below BAU levels by 2030</t>
  </si>
  <si>
    <t>It is expected that the implementation of updated NDCs will result in GHG emissions reduction against BAU scenario by 4.0% in the transport sector (1.0% unconditionally and 3.0% conditionally) equivalent to an estimated mitigation level of 1,337,000 MT unconditionally and 4,011,000 MT conditionally (total of 5,348,000 MT) of carbon dioxide equivalent during the period of 2021-2030</t>
  </si>
  <si>
    <t>Reduce unproductive vehicles by 25% in 2025 unconditionally</t>
  </si>
  <si>
    <t>Reduce unproductive vehicles by 50% in 2025 conditionally</t>
  </si>
  <si>
    <t xml:space="preserve">NDCs for Mitigation intends to reduce the GHG emissions against BAU scenario by 10% in other sectors (transport, industry, forests and waste) by 3% unconditionally and 7% conditionally by 2030. </t>
  </si>
  <si>
    <t>Independence: 24.4% below 2040 BAU
Status Quo: 12.8% below 2040 BAU</t>
  </si>
  <si>
    <t>reducción de las emisionestotales del sector energía del país en al menos el 24% y en almenos 11.5% al 2030, con respecto al escenariotendencial (60 millones de toneladas de CO2 equivalentes a cumuladas entre 2022-2050 y hasta 10 millones de toneladas de CO2 equivalentes acumuladas entre 2022-2030)</t>
  </si>
  <si>
    <t>l 2050, Panamá logrará una reducción de las emisionestotales del sector energía delpaís en al menos el 24%; que representan un estimado de 60 millones de toneladas de CO2 equivalentesacumuladas entre 2022-2050</t>
  </si>
  <si>
    <t>US$1.2b (PGK 4.2b) value of transport (air, sea, and land) infrastructure and assets built/rehabilitated according to climate-resilient codes and standards</t>
  </si>
  <si>
    <t>Meta Unilateral: 10% de reducción de emisiones proyectadas al 2030</t>
  </si>
  <si>
    <t xml:space="preserve">Meta Condicionada: 10% de reducción de emisiones proyectadas al 2030 </t>
  </si>
  <si>
    <t>10% by 2030 relative to BAU scenario</t>
  </si>
  <si>
    <t>A further 10% by 2030 relative to BAU scenario</t>
  </si>
  <si>
    <t>Sus emisiones ne-tas de gases de efecto invernadero no excedan las 208,8 MtCO2eq en el año 2030.</t>
  </si>
  <si>
    <t>Adicio-nalmente, el  Estado    Peruano    considera que   las  emisiones de  gases   de  efecto    invernadero podrían    alcanzar    un  nivel  máximo    de 179,0  MtCO2eq2en  función    a  la  disponibilidad de  financiamiento externo    internacional y  a  la  existencia de  condiciones favorables (meta condicionada).</t>
  </si>
  <si>
    <t xml:space="preserve">30% by 2030 relative to BAU scenario </t>
  </si>
  <si>
    <t>to a projected GHG emissions reduction and avoidance of 75%, of which 2.71% is unconditional (by 2030)</t>
  </si>
  <si>
    <t>72.29% is conditional (by 2030)</t>
  </si>
  <si>
    <t>Reduction of about 70% by 2030 relative to BAU</t>
  </si>
  <si>
    <t>Carbon neutrality by 2050, Emissions reduction trajectory from 85% to 90% by 2050 compared to 2005</t>
  </si>
  <si>
    <t>reduction of 25% in GHG emissions for the year 2030, relative to BAU scenario</t>
  </si>
  <si>
    <t>The updated target is to reduce 24.4% from the total national GHG emissions in 2017, which is 709.1 MtCO2eq, by 2030.</t>
  </si>
  <si>
    <t>Reduction by 45% from 2010 levels by 2030, and reach net zero around 2050</t>
  </si>
  <si>
    <t>50% of new road vehicles are electric or hybrid by 2030, 90-100% of new road vehicles are electric or hybrid by 2035.</t>
  </si>
  <si>
    <t>The updated and enhanced target is to reduce total national GHG emissions by 40% from the 2018 level, which is 727.6 MtCO2eq, by 2030. 40% reduction target is more enhanced because it is below its linear reduction pathways from 2018 to 2050.</t>
  </si>
  <si>
    <t>37% below 2030 BAU</t>
  </si>
  <si>
    <t>An unconditional target of 70% reduction of its net greenhouse gas emissions by 2030 as compared to 1990 levels, instead of 64-67% committed in NDC1.</t>
  </si>
  <si>
    <t>GHG emission can be reduced up to 88% of 1990 level</t>
  </si>
  <si>
    <t>50% by 2030 and 100% by 2035 of public transportation, including suburban railway, is electrified including through retrofitting.</t>
  </si>
  <si>
    <t>64-67% reduction by 2030 compared to 1990 levels</t>
  </si>
  <si>
    <t>Up to 78% reduction below 1990 levels by 2030</t>
  </si>
  <si>
    <t>In 2030, 51% reduction in GHG emissions compared to 1990 levels.</t>
  </si>
  <si>
    <t>Reduction of national net GHG emissions (including Forestry and Other Land Use and excluding MEMO items*) of 72% by 2050 compared to 1990 levels (or GHG emission reduction of 42% by 2050 compared to 1990, excluding FOLU and MEMO items) and increased resilience of North Macedonia’s society, economy and ecosystems to the impacts of climate change.</t>
  </si>
  <si>
    <t>5km of bike lanes integrated into relevant roads in 10 key urban locations</t>
  </si>
  <si>
    <t>50% of relevant roads include bike lane by 2030, 90-100% of relevant roads include bike lane by 2035</t>
  </si>
  <si>
    <t>Reduction of greenhouse gas emissions by 2030 by up to 70% compared to the 1990 level</t>
  </si>
  <si>
    <t>Limit anthropogenic greenhouse gases to 70-75% of 1990 levels by 2030</t>
  </si>
  <si>
    <t>The target (intensive) scenario aims to reduce emissions to 630 million tons CO2eq by 2050</t>
  </si>
  <si>
    <t>A reduction of 16% relative to BAU in the year 2030 (1.9 million tonnes CO2e mitigated in 2030).</t>
  </si>
  <si>
    <t>An additional reduction of 22% relative to BAU in the year 2030 (2.7 million tCO2e in that year).</t>
  </si>
  <si>
    <t>2f.</t>
  </si>
  <si>
    <t>reducing economy-wide CO2 emissions by 61% by 2030, compared to the base year 2010</t>
  </si>
  <si>
    <t>Promotion of non-motorized transportation in key urban centers.</t>
  </si>
  <si>
    <t>22% below 2025 BAU,
35% below 2030 BAU</t>
  </si>
  <si>
    <t>7.2% GHG emissions reduction in the energy sector relative to 2010 by 2030, (equivalent to 37 GgCO2eq)</t>
  </si>
  <si>
    <t>16% reduction relative to BAU projection by 2025, 23% reduction by 2030</t>
  </si>
  <si>
    <t xml:space="preserve">22% compared to BAU scenario by 2025. </t>
  </si>
  <si>
    <t>Samoa aims to reduce overall GHG emissions by 26 percent in 2030 compared to 2007 levels (or by 91 Gg CO2 e compared to the new reference year4 once Samoa’s GHG emissions inventory has been updated). […] The economy-wide target accounts for
emissions reductions from adaptation actions, therefore it is greater than the sum of the energy, waste, and AFOLU sector mitigation targets.</t>
  </si>
  <si>
    <t>Energy - reduce GHG emissions in the energy sector6 by 30 percent in 2030 compared to 2007 levels (or by 53 Gg CO2 e compared to the new reference year once the GHG emissions inventory is updated).7</t>
  </si>
  <si>
    <t xml:space="preserve">Share of non-motorized transportation increases to 20% of all road trips by 2030 and 30% by 2035 </t>
  </si>
  <si>
    <t>20% below 2005 levels by 2030</t>
  </si>
  <si>
    <t>27% of emissions reduction by 2030 (compared to 2012 levels)</t>
  </si>
  <si>
    <t>24% emission reduction by 2030 relative to 2005</t>
  </si>
  <si>
    <t xml:space="preserve">The Kingdom will implement actions, projects, and plans outlined in this submission that aim at reducing, avoiding, and removing GHG emissions by 278 million tons of CO2eq annually by 2030, with the year 2019 designated as the base year for this NDC. </t>
  </si>
  <si>
    <t>130 million tons of CO2eq avoided by 2030</t>
  </si>
  <si>
    <t>5 et 7% de réduction des émissions de GES respectivement en 2025 et 2030</t>
  </si>
  <si>
    <t>23.7 et 29.5 % de réduction des émissions de GES respectivement en 2025 et 2030</t>
  </si>
  <si>
    <t>5% below 2030 BAU scenario</t>
  </si>
  <si>
    <t>21% below 2030 BAU scenario</t>
  </si>
  <si>
    <t>economy-wide target - reduction of GHG emissions by 2030:
- 13.2 % compared to 2010
- 33.3% compared to 1990</t>
  </si>
  <si>
    <t>9.8% below 1990 levels by 2030</t>
  </si>
  <si>
    <t>Reduce economy wide absolute GHG emissions by 293.8 ktCO2e in 2030 (26.4%) compared to BAU</t>
  </si>
  <si>
    <t>Conditional target emission is 73.7% (820.7 ktCO2e) relative to BAU emissions in 2030</t>
  </si>
  <si>
    <t>aiming for a reduction of GHG emissions of at least 14 % by 2030 compared to 2005</t>
  </si>
  <si>
    <t>by 2050, to reduce GHG emissions in the transport sector by 90 % compared to 1990;</t>
  </si>
  <si>
    <t>to increase energy efficiency, the use of RES, alternative fuels and promote zero-emission, interconnected, digitalised and sustainable mobility in multimodal transport</t>
  </si>
  <si>
    <t>to achieve that energy consumption from RES in the transport sector accounts for 15 %, of which 5 % from gaseous fuels from RES</t>
  </si>
  <si>
    <t>by 2023, municipal councils in cities are to designate low-emission zones</t>
  </si>
  <si>
    <t>by 2027, to achieve that all public transport, taxis and transport for ride hailing services in major cities use only RES energy</t>
  </si>
  <si>
    <t>The Republic of Seychelles will reduce its economy-wide absolute GHG emissions by 122.5 ktCO2e (21.4%) in 2025 and estimated 188 ktCO2e in 2030 (29.0%) relative to baseline emissions</t>
  </si>
  <si>
    <t>to achieve that a minimum of 60 % of urban travel is made by public transport, cycling and walking</t>
  </si>
  <si>
    <t>reduce its domestic GHG emissions of 10% by 2030 as compared to a no-policy scenario of 2015 to 2030, with an intermediary indicative mitigation target of 5% reduction by 2025</t>
  </si>
  <si>
    <t>Maintain emission levels close to the world average of 7.58 MtCO2e by 2035</t>
  </si>
  <si>
    <t>to ensure the development of infrastructure for cycling and walking by creating an attractive, safe network of cycle and pedestrian paths, integrated into the overall transport system, with at least 600 km of new or reconstructed cycle and pedestrian paths</t>
  </si>
  <si>
    <t>to promote the production of advanced biofuels and achieve that their share in the final energy consumption of the transport sector accounts for at least 3.5 %</t>
  </si>
  <si>
    <t>Israel intends to achieve an economy-wide unconditional target of reducing its per capita greenhouse gas emissions to 7.7 tCO2e by 2030 which constitutes a reduction of 26% below the level in 2005 of 10.4 tCO2e per capita. An interim target of 8.8 tCO2e per capita is expected by 2025</t>
  </si>
  <si>
    <t>to electrify at least 35 % of Lithuania’s rail network (8 % electrified in 2021)</t>
  </si>
  <si>
    <t>Becoming carbon neutral through 100% domestic renewable energy production, and an increase of protected forest areas to 67% of Dominica’s land mass</t>
  </si>
  <si>
    <t>The non-fossil power ratio is expected to reach approximately 59% of the energy mix 7 in FY2030 by promoting the introduction of renewable energy and restarting nuclear power plants that are recognized to have met the world's strictest regulatory standards set by the Nuclear Regulation Authority (NRA) etc.</t>
  </si>
  <si>
    <t>In the above-mentioned energy mix, the final energy consumption in FY2030 is forecast to be approx. 280 million kl: a reduction of about 62 million kl expected with rigorous energy efficiency measures.</t>
  </si>
  <si>
    <t>to achieve a 20 % reduction in the use of fossil fuels in inland waterway transport</t>
  </si>
  <si>
    <t xml:space="preserve">to achieve that electric and zero-emission vehicles account for at least 20 % of the light duty vehicle fleet and ensure the development of the necessary charging and refuelling infrastructure; by 2025, the number of electric vehicles of category M1 accounts for at least 10 % and electric vehicles of category N1 for at least 30 % of annual purchases;
by 2030, the number of electric vehicles of category M1 accounts for at least 50 % and electric vehicles of category N1 for 100 % of annual purchases;
as of 1 January 2030, electric vehicles of category N1 with internal combustion engines, except for electric vehicles of category N1 powered by alternative fuels, are not registered;
</t>
  </si>
  <si>
    <t xml:space="preserve">by 31 December 2030, to achieve that road vehicles publicly procured or used for the provision of services are zero-emission and, compared to the total number of road vehicles procured or used for the provision of services, account for:
1. 100 % of vehicles of category M1, M2, M3 and N1;
2. 16 % of vehicles of category N2 and N3;
to equip at least 60,000 charging points for electric vehicles, including 6,000 public and semi-public charging points for electric vehicles;
to ensure that, from 2023, all petrol stations, bus and railway stations, airports and seaports, whether under construction or reconstructed, must have at least one public charging point for electric vehicles with high or very high capacity;
</t>
  </si>
  <si>
    <t>to increase energy efficiency, the use of RES and alternative fuels, to promote zero-emission, interconnected, digitalised and sustainable mobility in multimodal transport, ensuring a 50 % reduction in the use of fossil fuels in road transport by 2035;</t>
  </si>
  <si>
    <t>A maximum of 90% emission reductions compared to 1990</t>
  </si>
  <si>
    <t>6, 15</t>
  </si>
  <si>
    <t>by 2035, to ensure that passenger transport and logistics services in cities are provided only by zero-emission vehicles</t>
  </si>
  <si>
    <t>By 2050, Slovenia will reduce GHG emissions and improve sinks. It will reduce GHG emissions by 80 to 90 per cent in comparison to 2005</t>
  </si>
  <si>
    <t>the infrastructure for charging and refuelling vehicles is consistently expanded, taking into account the increasing number of zero-emission vehicles</t>
  </si>
  <si>
    <t>to reduce its emissions by 14% by 2025 below 2015 and by 33% below 2015 by 2030 compared to a BAU</t>
  </si>
  <si>
    <t>a further 27% reduction in GHG emissions by 2025, and a further 45% reduction in GHG emissions by 2030, compared to BaU projection</t>
  </si>
  <si>
    <t>With appropriate international assistance, Solomon Islands can achieve net zero emissions by 2050</t>
  </si>
  <si>
    <t>30% below 2015 level by 2030</t>
  </si>
  <si>
    <t>45% reduction in GHG emissions by 2030, compared to BAU</t>
  </si>
  <si>
    <t>With appropriate international assistance, Solomon Islands can reduce its emissions by more than 50% by 2050.</t>
  </si>
  <si>
    <t>Somalia committed to reduce and avoid its emissions 30% by 2030 compared to BAU scenario (107.40MtCO2eq in 2030)</t>
  </si>
  <si>
    <t>the attractiveness of comprehensively integrated travel modes as alternatives to the private car is developed not only in cities but also nationally, such as multi-modal public transport, non-polluting ridesharing services, cycle and pedestrian path infrastructure</t>
  </si>
  <si>
    <t>to ensure that the use of fossil fuels in inland waterway transport is reduced by 50 %;</t>
  </si>
  <si>
    <t>South Africa’s annual GHG emissions will be in a range from  398-510 Mt CO2-eq. from 2021-2025 and in a range from 350-420 Mt CO2-eq.  from 2026 to 2030</t>
  </si>
  <si>
    <t>Limit emissions to maximum 614 MTCO2eq by 2030</t>
  </si>
  <si>
    <t>by 2050:
to phase out fossil fuels in road transport by 2045;
to achieve a share of RES in the energy consumption of the transport sector of at least 90 %;</t>
  </si>
  <si>
    <t>to ensure that at least 50 % of road freight traffic over a distance of more than 300 km is transported by non-polluting rail or inland waterway transport, ensuring sustainable infrastructure development</t>
  </si>
  <si>
    <t>to ensure that 100 % of rail passengers on domestic routes are carried on trains powered by RES.</t>
  </si>
  <si>
    <t>4.0% of GHG emissions reduction with respective to BAU scenario for the period 2021-2030, for the six sectors covered in this revision (power, transport, industry, waste, agriculture &amp; livestock, forestry)</t>
  </si>
  <si>
    <t>additional 10.5% of GHG emissions reduction respective to the BAU scenario for the period 2021-2030</t>
  </si>
  <si>
    <t>La mission consiste à parvenir une décarbonisation complète du parc automobile national à l’horizon 2050</t>
  </si>
  <si>
    <t xml:space="preserve"> l’objectif d’aboutir à zéro émission sur le réseau RGTR d’ici 2030</t>
  </si>
  <si>
    <t>Reduce energy consumption of transport by 23% by 2030</t>
  </si>
  <si>
    <t>Create a USD 200 million support fund for urban road transportation</t>
  </si>
  <si>
    <t>Reduce energy consumption in buildings, industry and transport by 12% by 2020 and 15% by 2030. Expected energy savings in transport sector: 23%</t>
  </si>
  <si>
    <t>Pour l’année 2030, les économies d’énergie par secteur seraient (...) 24,5% pour le transport (Stratégie Nationale Énergétique)</t>
  </si>
  <si>
    <t>NDCs for Mitigation intends to reduce the GHG emissions against BAU scenario by 20% in the energy sector (4% unconditionally and 16% conditionally)</t>
  </si>
  <si>
    <t>The updated Sudan NDC defines mitigation targets as fixed level GHG emission reductions in 2030 relative to the BAU level in that year, as summarized below: • Energy: 12,458,008 tCO2e • Forestry: 13,384,246 tCO2e • Waste: 1,278,822 tCO2e</t>
  </si>
  <si>
    <t>For non-biomass energy: In 2030 38 % reduction of emissions in comparison to BAU [table]</t>
  </si>
  <si>
    <t>to ensure the share of renewable energy stays above 25% by 2025 and 30% by 2030</t>
  </si>
  <si>
    <t>By 2045, GHG emissions to be at least 85% lower than emissions in 1990</t>
  </si>
  <si>
    <t>Les transports publics seront progressivement remplacés pour atteindre 0 émission de CO2en 2030.</t>
  </si>
  <si>
    <t>ICE_FLEET_PT</t>
  </si>
  <si>
    <t>To reduce its GHG emissions by at least 50% by 2030 compared with 1990 levels.</t>
  </si>
  <si>
    <t>Switzerland should achieve balanced greenhouse gas performance by 2050 at the latest (net zero).</t>
  </si>
  <si>
    <t>Transport and waste sectors – 15 per cent GHG emissions reduction compared to BAU scenario has to be achieved by 2020</t>
  </si>
  <si>
    <t>In view of its climate neutrality target by 2050, Switzerland’s NDC is to reduce its greenhouse gas emissions by at least 50 percent by 2030 compared with 1990 levels, corresponding to an average reduction of greenhouse gas emissions by at least 35 percent over the period 2021–2030.</t>
  </si>
  <si>
    <t>By 2025, a reduction of greenhouse gases by at least 35 percent compared with 1990 levels is anticipated</t>
  </si>
  <si>
    <t>50% by 2030 compared to 1990 levels</t>
  </si>
  <si>
    <t>unconditional target which is an emissions cap of 60 to 70% of existing GHG emissions in 1990 (not goes beyond 21.32 to 24.87 MtCO2eq emitted in 2030)</t>
  </si>
  <si>
    <t>conditional target would be an emission cap of 50 to 60% of GHG emissions occurred in 1990.</t>
  </si>
  <si>
    <t>Not to exceed 80-90% of 1990 levels by 2030</t>
  </si>
  <si>
    <t>65-75% of 1990 level by 2030</t>
  </si>
  <si>
    <t>20% below projected BAU level by 2030</t>
  </si>
  <si>
    <t>2030 target could be increased up to 25%</t>
  </si>
  <si>
    <t>In line with the Paris Agreement, Thailand aims to peak its greenhouse gas emissions in 2030, with the ambition to move towards net-zero greenhouse gas emissions as early as possible within the second half of this century, and towards carbon neutrality by 2065</t>
  </si>
  <si>
    <t>ii</t>
  </si>
  <si>
    <t>Assumptions: 20%  efficiency  improvement  in  vehicles  to  2050  (per  US  CAFE standards), RMI will shift to using 100% electric vehicles.</t>
  </si>
  <si>
    <t>16% below BAU in 2025 (27% below BAU in 2030)</t>
  </si>
  <si>
    <t>20% below 2030 BAU scenario</t>
  </si>
  <si>
    <t>Up to 25% below 2030 BAU scenario</t>
  </si>
  <si>
    <t xml:space="preserve">carbon neutrality in 2050 (0 CO2) and net zero GHG emission in 2065 (0 CO2eq) </t>
  </si>
  <si>
    <t>The RES share of the Transport sector of Republic of North Macedonia is projected to sharply increase from 2% in 2020 to 17% by 2030, and 20% by 2050. Taking into account that the projected RES share above 10% is predominately driven by the penetration of electric and hydrogen powered vehicles, and considering the fact that the penetration of these technologies is driven by consumer purchase power, it can be concluded that the achievement of the RES goal for the Transport sector will be challenging</t>
  </si>
  <si>
    <t>Timor-Leste’s NDC is an economy-wide commitment to establishing a ‘nature-positive’ resilient development pathway.</t>
  </si>
  <si>
    <t xml:space="preserve">Renewable energy sources: 10% in final energy consumption in transport </t>
  </si>
  <si>
    <t>dans une contribution inconditionnelle de réduction de ses émissions de gaz à effet de serre (GES) de 20,51% à l’horizon 2030, soit 6 236,02 Gg CO2-eq</t>
  </si>
  <si>
    <t>de réaliser une diminution supplémentaire de 30,06% des émissions de GES</t>
  </si>
  <si>
    <t>11% de l'essence remplacee par du bioethanol d'ici a 2030</t>
  </si>
  <si>
    <t>5.4% du diesel remplace par du biodiesel d'ici 2030</t>
  </si>
  <si>
    <t>11.4% below 2030 BAU</t>
  </si>
  <si>
    <t>31.14% below 2030 BAU</t>
  </si>
  <si>
    <t>13% (16 Gg) reduction in GHG emissions from energy by 2030 compared to 2006 levels.</t>
  </si>
  <si>
    <t>As a country, we are fully committed to achieving zero net carbon emissions by 2070. But we shall also have to take steps to accelerate the production and utilization of our oil and gas reserves for economic development (speech by Vice President Mahamudu Bawumia)</t>
  </si>
  <si>
    <t>Upgrading/Paving 8000 km by 2016, 11000 km by 2021</t>
  </si>
  <si>
    <t>Improve Ulaanbaatar city road network to decrease all traffic by 30-40% by 2023</t>
  </si>
  <si>
    <t>Increase the share of private hybrid road vehicles from approximately 6.5% in 2014 to approximately 13% by 2030</t>
  </si>
  <si>
    <t>Massification of Natural Gas Use: o Construction of ten (10) Compressed Natural Gas Supply Stations,
• Importation of one hundred and fifty (150) CNG Buses
• Import of one thousand (1000) kits and respective conversion Cylinders for Natural Gas.
• Conversion of 1000 cars to NG</t>
  </si>
  <si>
    <t>15% below 2030 BAU emission levels.</t>
  </si>
  <si>
    <t>une baisse de l’intensité carbone de 27 % en 2030 par rapport à celle de l’année de référence 2010</t>
  </si>
  <si>
    <t>La contribution conditionnelle permet une baisse additionnelle de l’intensité carbone en 2030 de 18 % par rapport à l’année de référence 2010</t>
  </si>
  <si>
    <t>unconditional contribution corresponds to a 13 per cent reduction in carbon intensity (to GDP), with 2010 as the base year</t>
  </si>
  <si>
    <t>conditional contribution allows for an additional decrease of 28 per cent in carbon intensity, with 2010 as the base year (by 2030)</t>
  </si>
  <si>
    <t xml:space="preserve">Dans sa SNBC la Tunisie a opté pour l’ambition d’atteindre la neutralité carbone à l’horizon 2050. </t>
  </si>
  <si>
    <t>Already achieved and commit to maintain</t>
  </si>
  <si>
    <t>Vicepresidental announcement</t>
  </si>
  <si>
    <t>21% reduction in GHG emissions from BAU by 2030</t>
  </si>
  <si>
    <t>1% below 2035 BAU</t>
  </si>
  <si>
    <t>Stabilize or begin to reduce GHG emissions by 2030</t>
  </si>
  <si>
    <t>to reduce its GHG emissions in 2030 under the BAU scenario by 20% compared to the level of emissions in 2010</t>
  </si>
  <si>
    <t>A reduction in total emissions of GHGs from the entire energy sector to 60% below 2010 levels by 2025.</t>
  </si>
  <si>
    <t>Tuvalu’s indicative quantified economy-wide target to reduce total GHG emissions from the entire energy sector to 60% below 2010 levels by 2030</t>
  </si>
  <si>
    <t>Tuvalu commits to the reduction of greenhouse gas (GHG) emissions from the electricity (power) sector by 100%, i.e., almost zero emissions by 2030</t>
  </si>
  <si>
    <t>Increase energy efficiency in Funafuti by 30%.</t>
  </si>
  <si>
    <t xml:space="preserve">–92,65 Gg Eq-CO2 dont 5,21% inconditionnel </t>
  </si>
  <si>
    <t>The contribution by each sector to the 40% mitigation target in terms of avoided emissions (ktCO2eq) is as it follows:
Transport: 129 ktCO2eq</t>
  </si>
  <si>
    <t>Increase number of passengers using mass transport by 1% (unconditional)</t>
  </si>
  <si>
    <t xml:space="preserve">Economy wide emissions reduction of 24.7% in 2030 below the BAU conditions. </t>
  </si>
  <si>
    <t>Of which, Uganda’s unconditional efforts will result into reduction of 5.9% in 2030 below the BAU conditions</t>
  </si>
  <si>
    <t>Increase number of passengers using mass transport by 30% (conditional)</t>
  </si>
  <si>
    <t>Modal shift: private to passenger transport - Increasing the share of passenger transport from around 10% at present to around 30% in 2040, reducing GHG emissions from gasoline and diesel use.</t>
  </si>
  <si>
    <t>Achieving an average national blend rate of 20% ethanol</t>
  </si>
  <si>
    <t xml:space="preserve">(…) reduce the number of light load vehicles by about 20% </t>
  </si>
  <si>
    <t>Commission of a mass transport system in City of Windhoek to reduce number of cars (taxis and private) by about 40%</t>
  </si>
  <si>
    <t>2.3 % below BAU in 2030</t>
  </si>
  <si>
    <t>10 000 Electric Vehicles - replacing gasoline</t>
  </si>
  <si>
    <t>Promote passenger vehicle fuel efficiency standards (in 80 % of total passenger vehicle population)</t>
  </si>
  <si>
    <t>Light-duty vehicles (LDV) – reducing fuel use by 20%</t>
  </si>
  <si>
    <t>Build climate-resilient roads, bridges, water, and Rail transport infrastructure systems. 
Paved National Roads (Kms): Baseline: 4971, 2025 target: 7600
Paved urban roads (Kms):  Baseline: 1253, 2025 target: 1848
Permanent way /railway road (Kms): Baseline: 262, 2025 target: 7600</t>
  </si>
  <si>
    <t>Revise design codes, regulations and guidelines to climate proof strategic transport infrastructure
Proportional of national road reserves with green infrastructure and vegetative reinforcement
Baseline: 1%
2025 target: 30%
2030 target: 50%</t>
  </si>
  <si>
    <t>22% reduction of national greenhouse gas emissions in 2030 compared to BAU</t>
  </si>
  <si>
    <t>Convert from ICEVs to BEVs (96,500 Light vehicles)
Convert from ICEVs to BEVs (7,000 Heavy vehicles)
Convert from ICEVs to Green H2 (96,500 Light vehicles)
Convert from ICEVs to Green H2 (7,000 Heavy vehicles)
Convert all diesel locomotives to use green H2
Use of solar powered street lighting – 25,000 units of 60W installed over 5 years
Substitute diesel with green H2 in 200 fishing vessels</t>
  </si>
  <si>
    <t>Indicative GHG emissions target of 31-34% by 2050 compared to 1990 level</t>
  </si>
  <si>
    <t>reducing GHG emissions of 65% by 2030, compared to 1990 (including LULUCF)</t>
  </si>
  <si>
    <t>Not to exceed 60% of 1990 emissions (2021 - 2030)</t>
  </si>
  <si>
    <t>Reduction of 23.5% in GHG emissions for the year 2030, relative to BAU.</t>
  </si>
  <si>
    <t>8000 Voitures à essence plus efficaces</t>
  </si>
  <si>
    <t>5000 Voitures diesel plus efficaces</t>
  </si>
  <si>
    <t>Reduction of 31% in GHG emissions, measured in CO2eq, relative to BAU in 2030.</t>
  </si>
  <si>
    <t>Restriction à l'importation de voitures d'occasionL 35000 vehicles</t>
  </si>
  <si>
    <t>Blending 10% by volume of Fuel-Ethanol with Gasoline (E10) and 20% by volume of Biodiesel with Petroleum Diesel (B20) for Transportation Fuels</t>
  </si>
  <si>
    <t>Base year target: 19% reduction below 2019 net GHG emission level in 2030
Fixed level target: 182 MtCO2e in 2030</t>
  </si>
  <si>
    <t>reducing GHG emissions by about 4MtCO2e by year by 2030</t>
  </si>
  <si>
    <t>The long-term vision in the transport sector that can move the country toward carbon neutrality is 
a national transportation system by 2050 with all having access to a range of affordable 
transportation choices in which not more than 50% of all journeys are by cars, at least 40% of 
all journeys are by public transport (including trains and BRT) and at least 10% of all journeys 
are by active travel (e. g. cycling, walking) to generate little to no GHG, keep the air clean, 
reduce vehicle distance traveled while increasing access and grow the economy</t>
  </si>
  <si>
    <t>100,000 extra buses by 2030</t>
  </si>
  <si>
    <t>Bus Rapid Transport (BRT) will account for 22.1% of passenger-km by 2035</t>
  </si>
  <si>
    <t>as close as possible to 2050</t>
  </si>
  <si>
    <t>As for the long-term, Japan submitted its Long-term Strategy under the Paris Agreement as Growth Strategy to the UNFCCC Secretariat in June 2019. In this strategy, Japan proclaims a "decarbonized society" and aims to accomplish it as early as possible in the second half of this century, based on the basic principle of “a virtuous cycle of environment and growth”. Japan will strive to achieve a "decarbonized society" as close as possible to 2050 with disruptive innovations, such as artificial photosynthesis and other CCUS technologies and realization of a hydrogen society.</t>
  </si>
  <si>
    <t>25 % of trucks and buses using CNG by 2030</t>
  </si>
  <si>
    <t>as early as possible in the second half of this century</t>
  </si>
  <si>
    <t>Proclaiming a “decarbonized society” as the ultimate goal and aiming to accomplish it ambitiously as early as possible in the second half of this century</t>
  </si>
  <si>
    <t>Proclaiming a “decarbonized society” ..., while boldly taking measures towards the reduction of GHGs emissions by 80% by 2050.</t>
  </si>
  <si>
    <t>Introducing EURO IV efficiency standards for all road vehicles by 2030.</t>
  </si>
  <si>
    <t>By 2060, the shift to buses and three-wheelers will be 50 and 20%, respectively.</t>
  </si>
  <si>
    <t>displace 205.62 mtCO2e and 51.34 mtCO2e recorded in the GES and CPS scenarios by 2060, respectively</t>
  </si>
  <si>
    <t>40% of the buses are fully electric</t>
  </si>
  <si>
    <t>which implies 27% below 2013 levels in 2030</t>
  </si>
  <si>
    <t>Japan aims to reduce its greenhouse gas emissions by 46 percent, equivalent to reducing emissions to 760 million t-CO2, in fiscal year 2030 from its fiscal year 2013 levels. Furthermore, Japan will continue strenuous efforts in its challenge to meet the lofty goal of cutting its emission by 50 percent from its fiscal year 2013 levels.</t>
  </si>
  <si>
    <t xml:space="preserve">Japan aims to reduce its greenhouse gas emissions by 46 percent in fiscal year 2030 from its fiscal year 2013 levels, setting an ambitious target which is aligned with the longterm goal of achieving net-zero by 2050. </t>
  </si>
  <si>
    <t>Japan aims to reduce GHGs to net-zero, that is, to realize carbon neutrality by 2050</t>
  </si>
  <si>
    <t>Japan aims to reduce its GHG emissions by 46 percent in FY 2030 from its FY2013 levels, setting an ambitious target which is aligned with the long-term goal of achieving net-zero by 2050.</t>
  </si>
  <si>
    <t>80% of the remaining road passenger vehicles are expected to be electrified</t>
  </si>
  <si>
    <t>26% by fiscal year 2030 compared to 2013</t>
  </si>
  <si>
    <t>De réduire ses émissions de gaz à effet de serre de 55% en 2030.</t>
  </si>
  <si>
    <t>40% of buses will be powered by ethanol before 2060</t>
  </si>
  <si>
    <t>Carbon-neutral by 2050</t>
  </si>
  <si>
    <t>2030 sales PT</t>
  </si>
  <si>
    <t>reduce GHG emission by 7% in 2030, compared to the Business-As-Usual (BAU) scenario, which is predicted at about 125.254 MTCO2e. 4% of the GHG reduction commitment will be based on national efforts,</t>
  </si>
  <si>
    <t>reduce GHG emission by 7% in 2030, compared to the Business-As-Usual (BAU) scenario, which is predicted at about  125.254  MTCO2e. (...) the  remaining 3% would necessitate grants and other forms of concessional financing and assistance with capacity building and institutional strengthening, and access to appropriate technologies.</t>
  </si>
  <si>
    <t>emissions abatement by 2030 would be ~6% (relative to the 90 Mt CO2e 2021 baseline determined during Oman’s Carbon Management Lab), however, ~20% relative to Oman’s 2030 business-as-usual scenario</t>
  </si>
  <si>
    <t>54% by 2040… compared to the 2021 baseline</t>
  </si>
  <si>
    <t>Oman has announced its commitment to achieve net zero emissions by 2050</t>
  </si>
  <si>
    <t>Tanzania will reduce greenhouse gas emissions economy-wide between 30- 35% relative to the Business-As-Usual (BAU) scenario by 2030, whereby about 138 - 153 Million tons of Carbon dioxide equivalent (MtCO2e)-gross emissions is expected to be reduced</t>
  </si>
  <si>
    <t>10% by 2030 relative to the BAU scenario</t>
  </si>
  <si>
    <t>20% by 2030 relative to the BAU scenario</t>
  </si>
  <si>
    <t>Reductions of 80% or more below 2005 levels by 2050</t>
  </si>
  <si>
    <t>50-52 percent below 2005 levelsin 2030</t>
  </si>
  <si>
    <t>This 2021 Long-Term Strategy represents the next step: it lays out how the United States can reach its ultimate goal of net-zero emissions no later than 2050.</t>
  </si>
  <si>
    <t>Encouraging and promoting the use of electric and ethanol vehicles by at least 55%
and 45%, respectively, of light-duty vehicles by 2060</t>
  </si>
  <si>
    <t>Reduce emissions by 26-28% below 2005 levels in 2025</t>
  </si>
  <si>
    <t>The use of electric and ethanol-powered motorcycles and three-wheelers to substitute gasoline motorcycles and three-wheelers 100% by 2060</t>
  </si>
  <si>
    <t>Shifting 50% of road passenger car transport to BRT buses.</t>
  </si>
  <si>
    <t>Increase the share of electric vehicle up to 20% by 2020</t>
  </si>
  <si>
    <t>2% below 2030 BAU</t>
  </si>
  <si>
    <t>2050 fleet</t>
  </si>
  <si>
    <t>Emissions level (in terms of CO2e) in 2030: ≤65million tonnes (Mt) CO2e</t>
  </si>
  <si>
    <t>to halve emissions from its peak to 33 MtCO2e by 2050, with a view to achieving net-zero emissions as soon as viable in the second half of the century.</t>
  </si>
  <si>
    <t>In 2025, electric vehicles (e-vehicles) will account for 25 per cent of all private passenger vehicle sales (including two-wheelers) and 20 per cent of all four-wheeler public passenger vehicle sales (excluding electric rickshaws and electric three-wheelers). ii) Increase e-vehicle sales to 90 percent of all private passenger vehicle sales (including two-wheelers) and 60 percent of all four-wheeler public passenger vehicle sales by 2030. (excluding electric-rickshaws and electric three-wheelers).</t>
  </si>
  <si>
    <t>iii) Develop a 200-kilometer electric rail network by 2030 to support public transportation and mass transportation of goods.</t>
  </si>
  <si>
    <t>Sales of electric vehicles (e-vehicles) in 2025 will be 25% of all private passenger vehicles sales, including two-wheelers and 20% of all four-wheeler public passenger vehicle sales (this public passenger target does not take into account electric-rickshaws and electric-tempos) in 2025</t>
  </si>
  <si>
    <t>By 2030, increase sales of e-vehicles to cover 90% of all private passenger vehicle sales, including two-wheelers and 60% of all four-wheeler public passenger vehicle sales.
By 2030, develop 200 km of the electric rail network to support public commuting and mass transportation of goods</t>
  </si>
  <si>
    <t>The Republic of Uzbekistan has increased its commitments in the updated natio nally determined contribution (NDC) and intends to reduce specific gree nhouse gas emissions per unit of GDP by 35% by 2030 from the level of 2010 instead of 10% specified in the NDC1.</t>
  </si>
  <si>
    <t>decrease GHG per unit of
GDP by 10% by 2030 from level of 2010</t>
  </si>
  <si>
    <t>By 2030, Renewable Energy Capacity Addition and substituting (replacement) of fossil fuels with Coconut (Copra) Oil based Electricity Generation: transitioning to close to 100% renewable energy in the electricity generation sector</t>
  </si>
  <si>
    <t>30% reduction in energy sector below 2030 BAU scenario</t>
  </si>
  <si>
    <t>By 2030, develop 200 km of the electric rail network to support public commuting and mass transportation of goods</t>
  </si>
  <si>
    <t>Aotearoa will reduce transport emissions to net zero by 2050, while building a healthy, safe, equitable and accessible transport system</t>
  </si>
  <si>
    <t>3% from transport by 2030 compared to 2021 baseline (based on graphs on page 28)</t>
  </si>
  <si>
    <t>34% from transport by 2040 compared to 2021 baseline (based on graphs on page 28)</t>
  </si>
  <si>
    <t>100% from transport by 2050 compared to 2021 baseline (based on graphs on page 28)</t>
  </si>
  <si>
    <t>19% below 2030 BAU (BAU levels are 18.62 Mt CO2e in 2030), additionally 54% reduction by 2040 and 100% by 2050</t>
  </si>
  <si>
    <t>The Sustainable Transport Master Plan aims to reduce the carbon intensity of the transport sector by 20% (...)</t>
  </si>
  <si>
    <t>The Sustainable Transport Master Plan aims to (...) electrify 34% of its cars by 2030.</t>
  </si>
  <si>
    <t>Vanuatu’s own pathway of sustained net negative emissions in this LEDS demonstrates the commitment needed at a global level</t>
  </si>
  <si>
    <t xml:space="preserve">30% Electric Vehicles by 2030 </t>
  </si>
  <si>
    <t>La República Bolivariana de Venezuela ratifica su compromiso en reducir sus emisiones de GEI en un 20% al año 2030 con relación al escenario inercial. [...] El grado en que se alcance esta meta dependerá del cumplimiento de los compromisos de los países desarrollados en cuanto a provisión de financiamiento, transferencia de tecnología y formación de capacidades de acuerdo a lo previsto en el Artículo 4.7 de la Convención.</t>
  </si>
  <si>
    <t>20% GHG emission reduction target by 2030 below BAU.</t>
  </si>
  <si>
    <t>Viet Nam will have reduced its GHG emissions by 9% compared to the BAU scenario by 2030 with its own domestic resources.</t>
  </si>
  <si>
    <t>2030 reduction target can be raised to 27% with international support</t>
  </si>
  <si>
    <t>With domestic resources, by 2030 Viet Nam will reduce GHG emissions by 8% compared to BAU</t>
  </si>
  <si>
    <t>25% below 2030 BAU scenario</t>
  </si>
  <si>
    <t>Viet Nam aims to reduce 15.8% of total GHG emissions by 2030 compared to BAU, equivalent to 146.3 Mt CO2eq</t>
  </si>
  <si>
    <t>With the above resources and additional international financing in adequate and appropriate manner […] Viet Nam aims to reduce 43.5% of total GHG emissions by 2030 compared to BAU, equivalent to 403.7 Mt CO2eq.</t>
  </si>
  <si>
    <t>Unconditional GHG emission reduction of 7% compared to BAU scenario, equal to 64.8 Mt CO2eq reduction, by 2030 [from table] plus conditional GHG  emission reduction of 17.5% compared to BAU, equal to 162.2 Mt CO2 eq, by 20230 [from table]</t>
  </si>
  <si>
    <t xml:space="preserve"> 1% below 2030 BAU</t>
  </si>
  <si>
    <t>14% GHG emission reduction target by 2030 below BAU</t>
  </si>
  <si>
    <t xml:space="preserve">At least 25% (20,000 Gg CO2 eq.) by 2030 against a base year of 2010 under the business as usual scenario with limited international support </t>
  </si>
  <si>
    <t>By 47% (38,000 Gg CO2 eq.) with substantial international support</t>
  </si>
  <si>
    <t>47% below 2030 BAU scenario</t>
  </si>
  <si>
    <t>40% reduction in GHG emissions per capita compared to BAU by 2030, conditional on international support.</t>
  </si>
  <si>
    <t>33% below the projected Business As Usual energy emissions per capita by 2030 (conditional)</t>
  </si>
  <si>
    <t>By 2030, 30 % of all new vehicles sold in Pakistan in various categories will be Electric Vehicles (EVs). 
30% shift to electric passenger vehicles and 50% shift to electric two/three wheelers and buses by 2030;
90% shift to electric passenger vehicles and 90% shift to electric two/three wheelers and buses by 2040</t>
  </si>
  <si>
    <t>14/35</t>
  </si>
  <si>
    <t>57% reduction against 2050 BAU (emission to reach 16.2 million tons CO2eq by 205)</t>
  </si>
  <si>
    <t xml:space="preserve">Al 2030 el escenario alternativo incluye:
En terminus de movilidad electrica, incluye metas conservadoras de ENME y la evolucion de transporte publico segun PIMUS, MIBUS y METRO. Especificamente, vehiculos electricos en 10% en flotas privadas, 25% en vehiculos particulares, 20% transporte publico y 30% en flotas oficiales. </t>
  </si>
  <si>
    <t>To make Bhutan a dynamic, prosperous, resilient, inclusive, and sustainable economy by 2050 while continuing to be carbon neutral, where the aspirations for gross national happiness of the present and future generations are secured under a changing climate with a strong emphasis on low carbon and climate resilient approaches to development.</t>
  </si>
  <si>
    <t>Potential transport emissions reduction in relation to 2005 resulting from the modelling exercise: 43-46% by 2030, 84-85% by 2040 and 98% by 2050</t>
  </si>
  <si>
    <t>Sri Lanka renewable energy production exceeds 100% of domestic power needs by 2040
Sri Lanka a net energy exporter by 2025</t>
  </si>
  <si>
    <t>20% Trucks and buses using CNG by 2040</t>
  </si>
  <si>
    <t xml:space="preserve">25% shift from private cars to public buses by 2030 </t>
  </si>
  <si>
    <t>Reducing the emissions of the passenger vehicle fleet by 8% by 2030, and 24% by 2040</t>
  </si>
  <si>
    <t>Scrapping 60% of vehicles older than 20 years by 2030 and scrapping all vehicles older than 20 years by 2040</t>
  </si>
  <si>
    <t>Conducting statutory tests on 30% of on-road vehicles by 2030, and 60% by 2040</t>
  </si>
  <si>
    <t>20% of all small transit vehicles are replaced with larger capacity buses by 2030, and 40% by 2040</t>
  </si>
  <si>
    <t>In the prosperity scenario the annual CO2e emissions amounts 35.5 million tons GHG (2022), 21.9 million tons GHG (2030), 10.2 million tons GHG (2040) and -1.4 million tons GHG (2050). The implementation of the prosperity measures then allows a dynamic of -48.7% (2030), -79.4% (2040), -102.4% (2050) compared to the baseline. This means an average of -26.4% change between 2022 and 2030 and -65.5% between 2022 and 2050 of the annual co2e emissions.</t>
  </si>
  <si>
    <t>The overall number of vehicles is reduced by 20% by 2030 and 40% by 2040.</t>
  </si>
  <si>
    <t>Zero private vehicle growth</t>
  </si>
  <si>
    <t>9 in 10 peak period journeys on “Walk-Cycle-Ride” by 2040</t>
  </si>
  <si>
    <t>Cleaner vehicles by 2040</t>
  </si>
  <si>
    <t>phase out internal combustion engine vehicles by 2040</t>
  </si>
  <si>
    <t xml:space="preserve">Solomon Islands agreed to work towards reducing GHG emissions from domestic shipping by 40 per cent in 2030 </t>
  </si>
  <si>
    <t>Solomon Islands agreed to work towards reducing GHG emissions from domestic shipping by ...100 per cent in 2050</t>
  </si>
  <si>
    <t>Zero emissions vessels meet 50 per cent of domestic maritime transport demand by 2050.</t>
  </si>
  <si>
    <t>Electric vehicles and charging infrastructure available in Honiara from 2035.</t>
  </si>
  <si>
    <t>Standards and verification system for second-hand vehicle imports operational from 2030.</t>
  </si>
  <si>
    <t>Esto representa un menor crecimiento en comparación al Escenario BAU que para 2030, esta actividad, sin introducción de electromovilidad en el parque vehicular, implicaría emisiones anuales de 5,265 Kton CO2Eq, correspondientes a un crecimiento de 37 % de emisión de GEI respecto a 2019. Lo anterior significa una reducción de las emisiones anuales de 334 Kton CO2 Eq, en 2030, con respecto al escenario BAU (Fig. III.4).</t>
  </si>
  <si>
    <t>Within this specific objective, the following sectoral targets, compared to 2010, are defined: …, Limit GHG emissions growth in the transportation sector by 10% until 2030 and reduce emissions by 30% to 54% by 2050;
Reduce GHG emissions from the transport sector from 2015 baseline value of 5,995 ktCO2e to a range of 4,731 - 3,091 ktCO2e by 2050</t>
  </si>
  <si>
    <t>17-18</t>
  </si>
  <si>
    <t>Reduce carbon intensity of road transport from 3.0 tCO2/toe in 2015 to 2.9 by 2030, and 2.7-2.5 by 2050</t>
  </si>
  <si>
    <t>Freight transport efficiency from 25.4 toe/Mtkm in 2015 baseline to 22.6 in 2030, and 19.0 - 15.6 by 2050</t>
  </si>
  <si>
    <t>An increase in the use of public transportation (33 % until 2030 compared to 2010), is fundamental in order to limit the emissions growth up to 2030.</t>
  </si>
  <si>
    <t>44% reduction in GHG emissions compared to baseline (2030 BAU)</t>
  </si>
  <si>
    <t>The Climate Act also provides for a 51% reduction in greenhouse gases by 2030 compared to 2018 levels</t>
  </si>
  <si>
    <t>14% renewable energy share target in the transport by 2030</t>
  </si>
  <si>
    <t>The Republic of Azerbaijan, subject to its sustainable socio-economic development, will seek to reduce greenhouse gas emissions by 40% compared to 1990 (base year) level by 2050 if international support is provided through financing, technology transfer and capacity building</t>
  </si>
  <si>
    <t>The LEDS estimates that Belize’s gross emissions would grow more than 40% in the 2020-2050 period under BAU
scenario to 7.2 MtCO2e. In relation to this scenario, gross emissions could drop by 45% under the High Ambition scenario and could be reduced by 86% under Very High Ambition scenario by mid-century.</t>
  </si>
  <si>
    <t>The target in the transport sector is to reduce emissions by 90 to 99 per cent by 2050 in comparison to 2005.</t>
  </si>
  <si>
    <t>Emissions from domestic transport (excluding domestic aviation, which is part of the EU ETS) are to be reduced by at least 70 per cent by 2030 compared with 2010</t>
  </si>
  <si>
    <t>10% ethanol blend in petrol for use in all vehicles by 2030</t>
  </si>
  <si>
    <t>Introducing commercial use of 10% ethanol blend in petrol by 2030</t>
  </si>
  <si>
    <t>30% of private vehicles are electric by 2030</t>
  </si>
  <si>
    <t>15.8 MW of solar PV for meeting the energy demand of electric vehicles</t>
  </si>
  <si>
    <t>In transport, 15-30% reduced oil imports against BAU in 2030</t>
  </si>
  <si>
    <t xml:space="preserve">Target emissions in the transport sector (due to gasoline vehicle) in 2030: 169.1 ktCO2e (30% reduction = 72.5 ktCO2e) </t>
  </si>
  <si>
    <t xml:space="preserve">The 30% electric target is hence revised to 72.5kt ktCO2 GHG, being more ambitious than in the previous NDC. </t>
  </si>
  <si>
    <t>By 2025 mechanism(s) to facilitate importation (pending an appropriate tax regime of electric transport 
infrastructure must be in place such as electric charging power stations 
By 2030, 30% of large tourism businesses (DMCs, taxis, etc) must have electric transport in their fleet. 
By 2030, small and medium tourism businesses (omnibuses, taxis) must have 20% electric transport.</t>
  </si>
  <si>
    <t xml:space="preserve">From land transport, emission reductions by 26.5 ktCO2e in 2025 and 50.13 ktCO2e in 2030 relative to baseline emissions </t>
  </si>
  <si>
    <t>In terms of road transport, the planned actions aim to reduce the consumption of fossil fuels in Togo by 20% by 2030</t>
  </si>
  <si>
    <t>Dans la catégorie des transports, l’amélioration et l’extension des infrastructures routières (en cours et prévue dans la Feuille de Route Gouvernementale 2025) et la promotion des transports en commun à faible émission permettra de réduire l’intensité énergétique finale de 10% pour les motos et de 20% pour les voitures et les camions ;</t>
  </si>
  <si>
    <t xml:space="preserve">Porter à 3% la part des véhicule électriques dans l’acquisition des véhicules neuf d’ici à 2025 </t>
  </si>
  <si>
    <t xml:space="preserve">En 2030, Madagascar vise à réduire ses émissions à 48 403 Gg éq. CO2, soit une baisse de 28 % par rapport au scénario cours normal des affaires. </t>
  </si>
  <si>
    <t>Le secteur Energie va tendre vers une transition énergétique avec du mix de production pour l’électricité et l’éclairage utilisant 80% de ressources renouvelables en 2030.</t>
  </si>
  <si>
    <t>Through this communication, Brazil confirms its absolute net greenhouse gas emission target in 2025 of 1.32 GtCO2e, consistent with a reduction of 48.4% in comparison with 2005, according to the latest inventory data.</t>
  </si>
  <si>
    <t>Additionally, Brazil commits to an absolute net greenhouse gas emission target in 2030 of 1.20 GtCO2e, consistent with a reduction of 53.1% in comparison with 2005, according to the latest inventory data.</t>
  </si>
  <si>
    <t>The Government of Brazil further reiterates its long-term objective to achieve climate neutrality by 2050.</t>
  </si>
  <si>
    <t xml:space="preserve">Reduction of 21% (7% committed and 14% conditional) by 2030 (equivalent to 22.46 MtCO2e) relative to BAU, with total GHG emissions, capped at 84.25 Mt CO2e in 2030. </t>
  </si>
  <si>
    <t>Under Thailand’s LEDS, the transport sector needs to increase the energy efficiency to 68% of total final energy consumption in 2050.</t>
  </si>
  <si>
    <t>the share of liquid biofuel use will have to increase from 8% in 2030 to 34% of total final energy consumption in 2050.</t>
  </si>
  <si>
    <t>new vehicles in the market will be electric vehicles, including Battery Electric Vehicles (BEVs) and Plug-in Hybrid Electric Vehicles (PHEVs) with the share of 69% by 2035</t>
  </si>
  <si>
    <t>Namibia aims at reducing its greenhouse gas emissions by 24 percent compared to the BAU scenario by the year 2030 from its base year 2010 levels, keeping an ambitious target which will concurrently also maintain the country’s sink status.</t>
  </si>
  <si>
    <t>The Tonga Climate Change Policy sets the targets of ‘a transport system that is not reliant on fossil fuels’ and ‘100 per cent renewable energy’. This LT-LEDS aligns with this aim as well as with the aims of Tonga’s Second NDC which states a target of reducing GHG emissions from the combustion of fossil fuels by 13 percent (16 Gg) by 2030, compared to 2006.</t>
  </si>
  <si>
    <t>Compared to 2019 levels: 19% reduction by 2030 (182 Mt CO2e), 62% reduction by 2040 (86 Mt CO2e),  100% reduction by 2050 (zero emissons)</t>
  </si>
  <si>
    <t>The NDC specifies a Transport sector measure of 2 percent efficiency gain per year for newly purchased light duty vehicles to contribute to the NDC emission reduction target. The LT-LEDS pathway for transport supports this NDC aim</t>
  </si>
  <si>
    <t>2030 to 2050</t>
  </si>
  <si>
    <t>Public adoption of 50 percent electric vehicles (EVs).</t>
  </si>
  <si>
    <t>The 2020 Energy Efficiency Master Plan —in its current draft versions —does not propose a target that quantifies the reduction of GHG emissions from transport. However, the plan suggests that a combination of targets would lead to an estimated reduction of 28% compared to GHG emission levels in 2030 under a business as usual scenario.</t>
  </si>
  <si>
    <t>Unconditionally reduce its public transportation emissions by 30% or one million, seven hundred thousand tonnes (1,700,000) CO2e compared to 2013 levels by December 31, 2030</t>
  </si>
  <si>
    <t>It is planned to construct a total of 4690 km of railway routes, including 4088 km of high-speed train routes. Railway Passenger transportation share will increase from 0.96% to 4.15% and railway freight transportation share will increase from 5.08% to 11.24%. Annual railway passenger transport will increase from 19.5 million to 98 million. Annual railway freight transportation will reach 146 million tonnes from 55 million tonnes. By 2030, a total of 29 billion Dollars (with 2019 prices) of railway investment is foreseen. The share of highways in annual freight transportation will be reduced from 71% to 67%.</t>
  </si>
  <si>
    <t>Transport sector GHG emissions under Business-As-Usual conditions will more than double from 4.2 MtCO2e in 2015 to 9.6 MtCO2e in 2030. If all the main mitigation measures under the NDC scenario are implemented fully, they have the potential to limit the growth of the emissions by 29% to 6.8 MtCO2e in 2030 as illustrated in the figure 3-6.</t>
  </si>
  <si>
    <t>Implement 1,412 km of fully electrified standard gauge rail by 2050.</t>
  </si>
  <si>
    <t>Rehabilitation of 634 km of meter gauge railway by 2026 to facilitate modal shift of freight from road to rail. 22% fuel economy improvement of diesel locomotives achieved in 2030 relative to 2015.</t>
  </si>
  <si>
    <t>Implement 100 km of fully electrified passenger LRT rail by 2040.</t>
  </si>
  <si>
    <t>Implement 75 km of fully electrified passenger metro rail by 2040.</t>
  </si>
  <si>
    <t>Implement 61 km of passenger MGR rail in 2030. 22% fuel economy improvement of diesel locomotives achieved in 2030 relative to 2015.</t>
  </si>
  <si>
    <t>The Climate Change Act 2022 legislated our emissions reduction targets of 43% below 2005 levels by 2030 and net zero by 2050.</t>
  </si>
  <si>
    <t>Implement 101 km of BRT in GKMA in 2030</t>
  </si>
  <si>
    <t>By Intended nationally determined contributions 2015 (INDC), the Government has set a long-term target for GHG emissions reduction until 2050, declaring the intention to achieve ecosystem climate neutrality. In 2021 the implementation period by the revised 2021-2030 NDC was fixed 2030 and mitigation target to 40% below 1990 levels was set at the same time ensuring that the 2015 long-term target set by the INDC is maintained. For the long term, the RA Government has set a target to reduce GHG emissions to 2.07 t CO2 eq/capita by 2050.</t>
  </si>
  <si>
    <t>TOD reduces motorised travel demand by 5% in 2050.</t>
  </si>
  <si>
    <t>5% reduction in VKM and 5% increase in load factor from improved organisation of urban public transport.</t>
  </si>
  <si>
    <t>100 km of complete streets or dedicated NMT corridors, constructed in greater Kampala area in 2030 leading to 10% shift in PKM by mode from other passenger modes.
Construct 100 km of NMT facilities in secondary cities in 2030.</t>
  </si>
  <si>
    <t>1% per year increase in alternative fuel use for all road vehicles
- 60% of the increase comes from natural gas.
- 20% from ethanol (E10).
- 20% from biodiesel.</t>
  </si>
  <si>
    <t>Introduction of at least 200 e-buses in GKMA in 2030.</t>
  </si>
  <si>
    <t>…, the general objective of this Strategy is: Reduction of national GHG emissions (excluding LULUCF) by 13%, up to 2030, and at least by 55% to 69% up to 2050 compared to 2010.</t>
  </si>
  <si>
    <t>16-17</t>
  </si>
  <si>
    <t>Global Fuel Economy Initiative (GFEI) 50 by 50 targets, improvement of fuel economy with 10-year time-lag:
2030: 20%
2040: -35%
2060: -50%</t>
  </si>
  <si>
    <t>Reductions of between 24% and 34% of Business As Usual projections for road transport</t>
  </si>
  <si>
    <t>A 2035 todos los vehículos nuevos de pasajeros son cero emisiones [Tabla 01: Principales hipótesis para el escenario aspiracional en los distintos sectores 
del consumo]</t>
  </si>
  <si>
    <t>A 2040 los vehículos nuevos de carga de menor capacidad(d) son cero emisiones [Tabla 01: Principales hipótesis para el escenario aspiracional en los distintos sectores del consumo]</t>
  </si>
  <si>
    <t>ICE_SALES_LDV</t>
  </si>
  <si>
    <t>Reducción de un mínimo del 50% de las emisiones de GEI asociados a la cadena de valor de los sectores del petróleo y gas antes del 2050.</t>
  </si>
  <si>
    <t>A 2045 todos los vehículos nuevos de carga son cero emisiones [Tabla 01: Principales hipótesis para el escenario aspiracional en los distintos sectores del consumo]</t>
  </si>
  <si>
    <t>ICE_SALES_HDV</t>
  </si>
  <si>
    <t>A 2030 el 30% de las ventas de vehículos livianos de pasajeros 0 km corresponde a vehículos eléctricos.</t>
  </si>
  <si>
    <t>A 2030 se han incorporado alternativas renovables en el gasoil a través del co-procesamiento de grasas y aceites en refinería y/o mezclas de biocombustibles hasta un 7%</t>
  </si>
  <si>
    <t>The BAU, CPS, GES, and RES emissions by 2030 stood at 514, 416, 327, and 242 MtCO 2e,
respectively</t>
  </si>
  <si>
    <t>The results indicate that the CPS, GES, and RES, respectively, could be 24.5%, 38.3%, and 61.5% lower than base-year
emissions in 2050 and 37%, 7%, and 97% in 2060</t>
  </si>
  <si>
    <t>Increasing the renewable energy mix in the power sector to a minimum of 60%.</t>
  </si>
  <si>
    <t>A 2030 se ha aumentado el porcentaje de mezcla de bioetanol en gasolinas hasta 11%</t>
  </si>
  <si>
    <t>A 2030 se han incorporado al parque automotor 600 vehículos de transporte de carga que funcionan con celdas de hidrógeno.</t>
  </si>
  <si>
    <t>A 2026 se ha elaborado el Plan de Movilidad Eléctrica que integra las distintas líneas de acción en equipos e infraestructura y alinea los esfuerzos con la Estrategia Climática de Largo Plazo</t>
  </si>
  <si>
    <t>the United States set a goal for half of all new light-duty cars sold in 2030 to be zero-emission vehicles</t>
  </si>
  <si>
    <t>By 2030, 10% improvement in transport (land and marine) energy efficiency</t>
  </si>
  <si>
    <t>Electric Vehicles (e-Mobility): by 2030, (a) Introduce Electric Vehicles (e-buses) for public transportation (10% of total Public Buses); (b) Introduce Electric Cars (e-Cars) in Vanuatu (10% of government fleet); and(c) 1000 Electric Two wheelers (e-bikes) /Three Wheelers (e-rickshaw)</t>
  </si>
  <si>
    <t>By 2030, 20 % Bio-diesel (bio-fuel) Blending in Diesel</t>
  </si>
  <si>
    <t>By 2030, Milage and Emission Standards for Vehicles</t>
  </si>
  <si>
    <t>The Strategy seeks carbon neutrality by 2050.</t>
  </si>
  <si>
    <t>La actualización que ahora se presenta responde al Pacto por el Clima de Glasgow anteriormente comentado, y refuerza el compromiso a medio plazo para asegurar conseguir la neutralidad en el 2050.</t>
  </si>
  <si>
    <t>Neutralidad en carbono</t>
  </si>
  <si>
    <t>36% below 2005 levels by 2030, and stabilize emissions with the aim of peaking around 2030</t>
  </si>
  <si>
    <t>Hacer esfuerzos en pos de alcanzar la neutralidad en emisiones de GEI para el año 2050. Esta meta es aplicable a todos los sectores de la economía e incluye las emisiones y absorciones de todos los GEI reportados por el paí</t>
  </si>
  <si>
    <t>Additional 13% below 2035 BAU</t>
  </si>
  <si>
    <t>As part of the EU, Belgium shares the climate ambition expressed in the European Commission's European Green Deal (2019) for the EU to become climate neutral by 2050.</t>
  </si>
  <si>
    <t>Belize is committed to developing a long-term strategy aligned with achieving net zero global emissions by 2050</t>
  </si>
  <si>
    <t>Brazil’s Nationally Determined Contribution is compatible with an indicative longterm objective of reaching climate neutrality in 2060. The final determination of any long-term strategy for the country, in particular the year in which climate neutrality may be achieved, will, however, depend on the proper functioning of the market mechanisms provided for in the Paris Agreement  (UPDATE: Brought forward to 2050 in official letter).</t>
  </si>
  <si>
    <t>As part of the EU, Bulgaria shares the climate ambition expressed in the European Commission's European Green Deal (2019) for the EU to become climate neutral by 2050.</t>
  </si>
  <si>
    <t>The overall goal of the strategy is to describe a pathway towards a country-wide carbon neutral economy by 2050</t>
  </si>
  <si>
    <t>Singapore’s NDC is an economy-wide absolute GHG emissions limitation target to reduce its GHG emissions to around 60 MtCO2e in 2030 after peaking emissions earlier.</t>
  </si>
  <si>
    <t>the Canadian Net-Zero Emissions Accountability Act (the Act) received Royal Assent, legislating Canada’s 2030 NDC and target of net-zero emissions by 2050</t>
  </si>
  <si>
    <t>achieve carbon neutrality before 2060;</t>
  </si>
  <si>
    <t>Singapore has achieved its 2020 solar target of 350 megawatt-peak (MWp), and aims to achieve at least 2 gigawatt-peak (GWp) by 2030. Singapore is also deploying Energy Storage System (ESS) with 200MWh of 
energy storage capacity and 200MW of discharge capacity, to enhance the resilience of its energy supply and power grid</t>
  </si>
  <si>
    <t>To achieve net zero emissions by 2050.</t>
  </si>
  <si>
    <t>L’Union des Comores présente un bilan net, neutre en carbone, selon le scénario CNA,  d’environ -1 260 ktCO2eq en 2030 : le puits de carbone compense toutes les émissions des autres secteurs.</t>
  </si>
  <si>
    <t>Las metas de mitigación están alineadas con la trayectoria de la Estrategia de Largo Plazo de Costa Rica, el Plan Nacional de Descarbonización, presentada por Costa Rica en 2019 y que busca emisiones netas cero en 2050 y es consistente con la trayectoria 1.5 °C.</t>
  </si>
  <si>
    <t>As part of the EU, Croatia shares the climate ambition expressed in the European Commission's European Green Deal (2019) for the EU to become climate neutral by 2050.</t>
  </si>
  <si>
    <t>As part of the EU, Cyprus shares the climate ambition expressed in the European Commission's European Green Deal (2019) for the EU to become climate neutral by 2050.</t>
  </si>
  <si>
    <t>As part of the EU, the Czech Republic shares the climate ambition expressed in the European Commission's European Green Deal (2019) for the EU to become climate neutral by 2050.</t>
  </si>
  <si>
    <t>Singapore will also aim to achieve net zero emissions by 2050</t>
  </si>
  <si>
    <t>Compatible con el Cambio Climático (Plan DECCC-2011) para preparar y comunicar estrategias sectoriales, planes y medidas para un desarrollo con bajas emisiones de gases de efecto invernadero que reflejen sus circunstancias especiales al 2030 y su aspiración de carbono neutralidad al 2050</t>
  </si>
  <si>
    <t>As part of the EU, Estonia shares the climate ambition expressed in the European Commission's European Green Deal (2019) for the EU to become climate neutral by 2050.</t>
  </si>
  <si>
    <t>this long-term low emissions development strategy (LT_x0002_LEDS) represents clear progress in ambition with net zero emissions 
reached by 2050</t>
  </si>
  <si>
    <t>In December 2019, the European Council (heads of state or government of the EU Member States,
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it to the UNFCCC Secretariat.</t>
  </si>
  <si>
    <t>In December 2019, the European Council (heads of state or government of the EU Member States,
The European Council President and the President of the European Commission) endorsed the objective of achieving a climate-neutral EU by 2050. The Council of the European Union adopted a long-term low greenhouse gas emission development strategy of the EU and its Member States, reflecting this climate neutrality objective and submitted this to the UNFCCC Secretariat.</t>
  </si>
  <si>
    <t>see comment: seems to be missing in backend</t>
  </si>
  <si>
    <t>to reduce its emissions by 80-95% by 2050 compared to 1990</t>
  </si>
  <si>
    <t>the Republic of Slovenia sets a clear objective, i.e. to attain net zero emissions or climate neutrality by 2050</t>
  </si>
  <si>
    <t xml:space="preserve">Le Gabon va tout faire pour garantir ses absorptions nettes à au moins 100 millions de tonnes d'équivalent CO2 par an, au-delà de 2050. </t>
  </si>
  <si>
    <t>The Gambia has developed an ambitious plan for achieving net-zero greenhouse gas emissions by 2050 called THE GAMBIA`S LONG-TERM CLIMATE-NEUTRAL DEVELOPMENT STRATEGY 2050, or LTS for short.</t>
  </si>
  <si>
    <t>Georgia aims to achieve the goal of climate neutrality by 2050</t>
  </si>
  <si>
    <t>Germany has committed to becoming greenhouse gas neutral by 2045. After 2050, the greenhouse gas balance is to be negative</t>
  </si>
  <si>
    <t>Kuwait is working on several environmental projects to help reach “carbon neutrality within the middle of the current century.” (speech of Crown Prince Sheikh Meshal Al-Ahmad Al-Sabah at the Middle East Green Initiative Summit)</t>
  </si>
  <si>
    <t>As part of the EU, Greece shares the climate ambition expressed in the European Commission's European Green Deal (2019) for the EU to become climate neutral by 2050.</t>
  </si>
  <si>
    <t>The climate policy framework’s long-term climate goal establishes that, by 2045 at the latest, Sweden is to have zero net emissions of greenhouse gases into the atmosphere and should thereafter achieve negative emissions.</t>
  </si>
  <si>
    <t>This update to India’s existing NDC is a step forward towards our long term goal of reaching net-zero by 2070</t>
  </si>
  <si>
    <t>Under the scenario compatible with 1.5 0 C goals (LCCP), greenhouse gas emissions will peak in 2030 at 1.24 GtCO2- eq of CO2- eq and then decline and continue to decline to reach 0.54 GtCO2- eq in 2050. It is expected that net zero emissions (NZE) will be achieved by 2060 or sooner.</t>
  </si>
  <si>
    <t>Para aportar al objetivo de limitar el aumento de la temperatura media global del Acuerdo de París, la Estrategia de Uruguay incluye un escenario aspiracional de neutralidad de CO2 al 2050 y escenarios de estabilidad en la emisiones de CH4 y N2O, estos dos últimos gases fuertemente ligados a la producción de alimentos.</t>
  </si>
  <si>
    <t>By 2030, 10% improvement in transport (land and marine) energy efficiency.</t>
  </si>
  <si>
    <t>As part of the EU, Italy shares the climate ambition expressed in the European Commission's European Green Deal (2019) for the EU to become climate neutral by 2050.</t>
  </si>
  <si>
    <t>Electric Vehicles (e-mobility): by 2030, (a) Introduce e-buses for public transportation (10% of total public buses); (b) Introduce e-cars in Vanuatu (10% of government fleet); and (c) 1000 electric two wheelers (e-bikes)/three wheelers (e-rickshaw).</t>
  </si>
  <si>
    <t>long-term goal of achieving net-zero by 2050</t>
  </si>
  <si>
    <t>The Republic of Kazakhstan aims to achieve carbon neutrality by 2060</t>
  </si>
  <si>
    <t>towards achieving net zero GHG emissions by 2050</t>
  </si>
  <si>
    <t>with a long-term goal of carbon neutrality by 2050, conditional upon international support</t>
  </si>
  <si>
    <t>The long-term strategy of Liberia is to achieve carbon neutrality by 2050</t>
  </si>
  <si>
    <t>As part of the EU, Lithuania shares the climate ambition expressed in the European Commission's European Green Deal (2019) for the EU to become climate neutral by 2050.</t>
  </si>
  <si>
    <t>"…we are moving towards climate neutrality by 2050" (speach at 2020 Climate Ambition Summit: https://www.climateambitionsummit2020.org/ondemand.php)</t>
  </si>
  <si>
    <t>2050 at earliest</t>
  </si>
  <si>
    <t>can't find the info in the referenced document</t>
  </si>
  <si>
    <t>we will strive to achieve net zero by 2030, if we receive adequate international support and assistance</t>
  </si>
  <si>
    <t>Foreword</t>
  </si>
  <si>
    <t>reaffirms its aspiration to achieve net zero GHG emissions by 2050 at the latest</t>
  </si>
  <si>
    <t>2050-2070</t>
  </si>
  <si>
    <t>setting a target for year 2050 - 2070 for the attainment of a net_x0002_zero GHG emission (Climate Change Act 2021)</t>
  </si>
  <si>
    <t>The target for emissions reduction (the 2050 target) requires that net accounting emissions of greenhouse gases in a calendar year, other than biogenic methane, are zero by the calendar year beginning on 1 January 2050 and for each subsequent calendar year.</t>
  </si>
  <si>
    <t>By 2030, 20 % bio-diesel (bio-fuel) blending in diesel.</t>
  </si>
  <si>
    <t>L’autre objectif de la LT-LEDS est, in fine, de rehausser l’ambition climatique au-delà des objectifs de court terme affichés dans les NDC et consacrer son leadership climatique au niveau mondial en se joignant aux efforts internationaux de neutralité carbone à l’horizon 2050.</t>
  </si>
  <si>
    <t>This update presents an improvement in the commitment of the devotion of Namibia to meeting the Paris Agreement goal and following the road to net zero emissions by 2050</t>
  </si>
  <si>
    <t>This updated NDC sets the beginning of the path for Nauru to progress towards our aspiration of achieving net zero greenhouse gas emissions by 2050.</t>
  </si>
  <si>
    <t>Nepal is formulating a long-term low greenhouse gas emission development strategy by 2021. The strategy aims to achieve net-zero greenhouse gas emission by 2050</t>
  </si>
  <si>
    <t>As part of the EU, the Netherlands shares the climate ambition expressed in the European Commission's European Green Deal (2019) for the EU to become climate neutral by 2050.</t>
  </si>
  <si>
    <t>New Zealand’s domestic 2050 target  under the CCRA  places an emphasis on long-lived gases. The target is to reduce greenhouse gas emissions to net zero by 2050 (excluding biogenic methane for which the target is 24-47 per cent below 2017 levels).</t>
  </si>
  <si>
    <t>Crown Prince's speech at Saudi Green Initiative Forum</t>
  </si>
  <si>
    <t>By 2030, Mileage and Emission Standards for Vehicles.</t>
  </si>
  <si>
    <t>En seguimiento a los compromisos adquiridos por el país en el marco del Acuerdo de Paris (AP), la actualización de la primera Contribución Determinada a Nivel Nacional de Panamá (CDN1) es innovadora, justa y ambiciosa, toda vez que se fundamenta en un enfoque integrado, en el cual las acciones para la adaptación y mitigación se complementan para la construcción de resiliencia y avanzar hacia la neutralidad en carbono del país al 2050</t>
  </si>
  <si>
    <t>The commitments were adduced from the National Climate Compatible Development Management Policy (NCCDMP), under which PNG aspires to reduce its emission to 50 percent by 2030 and to be carbon neutral by 2050.</t>
  </si>
  <si>
    <t>las metas de nuestras contribuciones nacionales están alineadas con una visión de largo plazo destinadas a que nuestras emisiones alcancen su punto máximo lo antes posible, y, partir de ese momento, se reduzcan rápidamente con el objetivo de alcanzar el equilibrio entre las emisiones antropogénicas por las fuentes y la absorción antropogénicas por los sumideros en el año 2050.</t>
  </si>
  <si>
    <t>As part of the EU, Poland shares the climate ambition expressed in the European Commission's European Green Deal (2019) for the EU to become climate neutral by 2050.</t>
  </si>
  <si>
    <t>around 50% reduction below BAU by 2050 (Figure 19)</t>
  </si>
  <si>
    <t>The Act clearly defines 2050 carbon neutrality as the Republic of Korea’s national vision and stipulates the minimum level of its NDC target for 2030.</t>
  </si>
  <si>
    <t>As part of the EU, Romania shares the climate ambition expressed in the European Commission's European Green Deal (2019) for the EU to become climate neutral by 2050.</t>
  </si>
  <si>
    <t>no later than 2060</t>
  </si>
  <si>
    <t>implementation of the target (intensive) scenario will allow the Russian Federation to achieve a balance between anthropogenic emissions of greenhouse gases and their absorption no later than 2060</t>
  </si>
  <si>
    <t>Samoa would like to put forward to following mass-based sub-sector GHG emissions reduction targets that 
can be applied relative to the new reference year once the GHG emissions inventory is updated:
-  Land transport 5.2 Gg CO2e 
-  Maritime transport 3.0 Gg CO2e</t>
  </si>
  <si>
    <t>20% reduction in the average vehicle energy intensity (measured in MJ/km) of the South African road vehicle fleet, by 2030.</t>
  </si>
  <si>
    <t>The long-term commitment to achieve a decarbonized net-zero emissions economy by 2050</t>
  </si>
  <si>
    <t>Hybrid electric vehicles: 20% by 2030</t>
  </si>
  <si>
    <t>Transport fuel economy policy / Fuel efficiency improvement 2025-2030: Motorcycles: 2.2% per year; LDVs: 2.9%/year; Buses: 2.6%/year; HDVs: 2.5%/year</t>
  </si>
  <si>
    <t>This Strategy aims to identify measures, including additional measures, to achieve climate neutrality in Slovakia by 2050. This ambitious target was formally defined only at the last stage of preparation for this Strategy</t>
  </si>
  <si>
    <t>Unconditional: Reduce CO2 emissions by 24%, CH4 by 57% and N2O by 48% per unit GDP by 2025</t>
  </si>
  <si>
    <t>Türkiye confirms to reduce its greenhouse gas (GHG) emissions by 41% through 2030 (695 Mt CO2 eq in year 2030) compared to the Business as Usual (BAU) scenario given in Türkiye’s first NDC (also INDC) considering 2012 as the base year (reference year)</t>
  </si>
  <si>
    <t>Conditional: Reduce CO2 emissions by 29%, CH4 by 59% and N2O by 52% per unit GDP by 2030</t>
  </si>
  <si>
    <t xml:space="preserve">Sri Lanka expects to achieve its Carbon Neutrality by 2060 </t>
  </si>
  <si>
    <t>Public transport. 5% shift from private car to public transport in 2030</t>
  </si>
  <si>
    <t>Switzerland aims to reduce its greenhouse gas emissions to net zero by 2050. This target lays the foundations for Switzerland’s 2050 climate strategy, which is to be transmitted to the UNFCCC Secretariat within a few weeks of this submission.</t>
  </si>
  <si>
    <t xml:space="preserve">Reduce emissions by 2050 by 70 to 85 % compared to 1990 including use of international credits </t>
  </si>
  <si>
    <t>Dans la composante transition bas-carbone, la Tunisie a opté pour l’ambition d’atteindre la neutralité carbone à l’horizon 2050</t>
  </si>
  <si>
    <t>long-term objective of achieving a net zero target by 2053</t>
  </si>
  <si>
    <t>Ukraine’s NDC is consistent with a trajectory to achieve net zero GHG emissions not later than 2060.</t>
  </si>
  <si>
    <t>A just transition aims to achieve a quality life for all South Africans, in the context of increasing the ability to adapt to the adverse impacts of climate, fostering climate resilience, and reaching net-zero greenhouse gas emissions by 2050</t>
  </si>
  <si>
    <t xml:space="preserve">Ahead of COP26, the UK intends to publish a comprehensive Net Zero Strategy, setting out the government’s vision for transitioning to a net zero economy by 2050, making the most of new growth and employment opportunities across the UK. The Net Zero Strategy will constitute the UK’s revised Long-Term Low Emission Development Strategy to the UNFCCC. </t>
  </si>
  <si>
    <t>No superar el siguiente nivel de emisiones (Gg de gas): CO2 9267, CH4 818, N2O 32; reducción en el consumo en relación a una línea de base: HFV reducir 10%</t>
  </si>
  <si>
    <t>Economy-wide emission reductions of 80% or more by 2050, relative to 2005</t>
  </si>
  <si>
    <t>con el objetivo de aumentar la capacidad de adaptación a los efectos adversos del cambio climático y promover la resiliencia al clima y un desarrollo con bajas emisiones de gases de efecto invernadero, de un modo que no comprometa la producción de alimentos y basado en el principio de las responsabilidades comunes pero diferenciadas y respectivas capacidades, que incluya una meta aspiracional de neutralidad de CO2 hacia 2050</t>
  </si>
  <si>
    <t>At COP26, Viet Nam stated that it “will develop and implement strong greenhouse gas emission reduction measures with its own resources along with the cooperation and support of the international community, especially developed countries, both in terms of finance and technology transfer, including implementing mechanisms under the Paris Agreement, to achieve net zero emissions by 2050”.</t>
  </si>
  <si>
    <t>By 2060, Nigeria will be a country of net-zero emissions across all sectors of its development and climate-resilient with high-growth circular economy in a gender-responsive manner.</t>
  </si>
  <si>
    <t>We will implement the 28 per cent target should circumstances allow, taking into account opportunities to reduce emissions and factors such as the costs of technology.</t>
  </si>
  <si>
    <t>Added by Nicolas 25/06/2024</t>
  </si>
  <si>
    <t>Al 2027, el 7 % - 18 % del total de la flota de vehículos privados serán eléctricos.
Al 2027, el 15 % - 30 % de las ventas de vehículos privados serán de vehículos eléctricos.
Al 2027, el 14 % - 25 % de los autobuses de las flotas de concesiones autorizadas serán eléctricos.
Al 2027, el 21 % - 35% de las flotas públicas estarán compuestas de vehículos eléctricos.
Al 2027, el 2 % de los vehículos de transporte de carga pesada y maquinaria deberán utilizar como energético para su funcionamiento hidrógeno verde y/o sus derivados.</t>
  </si>
  <si>
    <t>Al 2030, el 10 % - 20 % del total de la flota de vehículos privados serán eléctricos.
Al 2030, el 25 % - 40 % de las ventas de vehículos privados serán de vehículos eléctricos.
Nota – El cumplimiento de este hito está condicionado al recibimiento de financiamiento climático y el comportamiento del mercado internacional.
Al 2030, el 15 % - 35 % de los autobuses de las flotas de concesiones autorizadas serán eléctricos. 
Nota – El cumplimiento de este hito está condicionado al recibimiento de financiamiento climático y el 
comportamiento del mercado internacional.
Al 2030, el 25 % - 50 % de las flotas públicas estarán compuestas de vehículos eléctricos.
Nota – El cumplimiento de este hito está condicionado al recibimiento de financiamiento climático y el 
comportamiento del mercado internacional.</t>
  </si>
  <si>
    <t>se validó que Panamá es uno de los ocho países del mundo cuyo balance entre emisiones de gases de efecto invernadero, y la capacidad de absorción de los ecosistemas panameños, da como resultado que el país es un sumidero neto, es decir, que es carbono negativo.</t>
  </si>
  <si>
    <t>The UAE is committed to achieving a 47% reduction in GHG emissions by 2035, compared to the 2019 levels of 196.3 MtCO2e, thereby reducing the anticipated emissions to 103.5 MtCO2e.</t>
  </si>
  <si>
    <t>the UAE plans to reduce emissions from the transport sector by 20% by 2035, compared to 2019 levels, reaching 24.2 MtCO2e.</t>
  </si>
  <si>
    <t>the policy aims to develop the EV market, with a goal of increasing the share of electric vehicles to 50% of total car sales by 2050</t>
  </si>
  <si>
    <t>the policy aims to develop the EV market, (…) contributing to a 40% reduction in energy consumption in the transportation sector by 2050</t>
  </si>
  <si>
    <t>the UAE has developed a national policy for biofuel (...)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t>
  </si>
  <si>
    <t>DEWA PJSC plans to expand the number of EV charging stations in the Emirate to over 1,000 by 2025.</t>
  </si>
  <si>
    <t>Brazil is setting an economy-wide target of reducing its net greenhouse gas emissions by 59 to 67 percent below 2005 levels by 2035, which is consistent, in absolute terms, with an emission level of 1.05 to 0.85 GtCO2e</t>
  </si>
  <si>
    <t>The “New Industry Brazil” program, Brazil’s new industrial policy launched in January 2024 (…)  to increase the share of biofuels in the transport energy matrix by 50% [by 2033].</t>
  </si>
  <si>
    <t>the United States is communicating an economy-wide target of reducing its net greenhouse gas emissions by 61-66 percent below 2005 levels in 2035</t>
  </si>
  <si>
    <t xml:space="preserve">Switzerland is committed to follow the recommendations of science in order to limit warming to 1.5 degrees Celsius. In view of its climate target of net zero greenhouse gas emissions by 2050, Switzerland’s first NDC is to reduce its net greenhouse gas emissions by at least 50 per cent by 2030 compared with 1990 levels, corresponding to an average reduction of net greenhouse gas emissions by at least 35 per cent over the period 2021–2030. By 2025, a reduction of net greenhouse gas emissions by at least 35 per cent compared with 1990 levels is anticipated. </t>
  </si>
  <si>
    <t>The combined mitigation target (unconditional and conditional elements) equates to 15% compared to the BAU projection by 2030. The unconditional component foresees emission reductions of 5% and the conditional 13% by 2030</t>
  </si>
  <si>
    <t>The unconditional component foresees emission reductions of 5% (…)  by 2030 [compared to the BAU].</t>
  </si>
  <si>
    <t>Shift to rail; Target 2030: 30%;  GHG reductions by 2030 (Gg CO2eq) : 13.97; Conditionality: Unconditional</t>
  </si>
  <si>
    <t>Improve public transport; Target 2030: 30%;  GHG reductions by 2030 (Gg CO2eq) : 230.29; Conditionality: Unconditional</t>
  </si>
  <si>
    <t>Improve ICT to reduce demand; GHG reductions by 2030 (Gg CO2eq) : 37.3; Conditionality: Unconditional</t>
  </si>
  <si>
    <t>Increase share of renewables ; GHG reductions by 2030 (Gg CO2eq) : 146.78; Conditionality: Conditional [increase the share of renewable energy sources in the transport sector by 10% each decade.]</t>
  </si>
  <si>
    <t>18/19</t>
  </si>
  <si>
    <t>Increase share of hybrid; GHG reductions by 2030 (Gg CO2eq) : 1.1; Conditionality: Unconditional</t>
  </si>
  <si>
    <t>The key goal of the Strategy is to make Kazakhstan’s economy resilient to climate change and achieve carbon neutrality by 2060</t>
  </si>
  <si>
    <t>The mid-term aim of the Strategy (according to the country’s NDC) is to reduce GHG emissions by 2030 by 15% relative to 1990 emissions (unconditional aim) and achieve reduction by 25% subject to international support to decarbonization of the economy (conditional aim).</t>
  </si>
  <si>
    <t>Thailand intends to reduce its greenhouse gas emissions by 30 percent from the projected business-as-usual (BAU) level by 2030.</t>
  </si>
  <si>
    <t>Thailand intends to reduce its greenhouse gas emissions by 30 percent from the projected business-as-usual (BAU) level by 2030. The level of contribution could increase up to 40 percent, subject to adequate and enhanced access to technology development and transfer, financial resources and capacity building support.</t>
  </si>
  <si>
    <t>Furthermore, Thailand will continue vigorous efforts in its challenge to meet the long-term goal of carbon neutrality by 2050 and net-zero greenhouse gas emission by 2065.</t>
  </si>
  <si>
    <t>Pour les années à venir, les mesures envisagées dans la CDN révisée, dans les secteurs Energie, Agriculture et Déchets (voir tableaux 5, 6, 7 et 8 ci-dessous) sont susceptibles de contribuer à réduire les émissions cumulées de GES (hors UTCATF) d’environ 48,75 Mt E-CO2 par rapport au scénario de référence, soit une réduction de l’ordre de 20,15 % sur la période 2021-2030.</t>
  </si>
  <si>
    <t>27% GHG emission reduction by 2030 below 2010 levels for the transport sector</t>
  </si>
  <si>
    <t xml:space="preserve">1,048.8 Gg СО2-eq. emissions reduction by 2030 based on 2010 levels </t>
  </si>
  <si>
    <t xml:space="preserve">6,449,582 t CO2e emissions avoided between 2021 and 2030 for the transport sector </t>
  </si>
  <si>
    <t>GHG: Base year intensity</t>
  </si>
  <si>
    <t>No superar el siguiente nivel de emisiones (Gg de gas): 
CO₂ - 9.267 Gg de gas 21,0% de las emisiones de GEI INGEI 2022 en GWP100 AR5 (Energía, IPPU, AFOLU y Desechos).
CH₄ - 818 Gg de gas 56,7% de las emisiones de GEI INGEI 2022 en GWP100 AR5 (Energía, AFOLU y Desechos)
N₂O - 32 Gg de gas 20,5% de las emisiones de GEI INGEI 2022 en GWP100 AR5 (Energía, IPPU, AFOLU -excepto subcategorías 3.C.4. y 3.C.5 fuente F5own-, Desechos)</t>
  </si>
  <si>
    <t xml:space="preserve">target of achieving net-zero emissions by 2053 </t>
  </si>
  <si>
    <t>Prioritizing More Sustainable Modes of Maritime and Railway Transport: A total of 8,554 km of railway lines are planned for construction by 2053, including 6,425 km of high-speed train lines, 1,474 km of conventional train lines, 393 km of high-speed train lines, and 262 km of very high-speed train lines.
by 2035: A 75% localization rate for electric vehicles will be achieved
by 2053: 7,000 km of High-Speed Train (HST) and Fast Train (FT) lines will be constructed</t>
  </si>
  <si>
    <t>Plans to construct 31 new ports aim to advance international maritime freight transportation while identifying routes with emission reduction potential for national freight transport</t>
  </si>
  <si>
    <t>The goal of establishing "more than one domestic manufacturer of electric passenger and light commercial vehicles" aims to achieve a domestic content ratio of at least 75% in electric vehicles by 2030 [44]. Under high-growth scenario estimates, the number of electric vehicles is projected to reach 4.2 million by 2035. Additionally, by 2053, it is planned to complete the electrification of railway lines, increase the use of hybrid rail vehicles during this transition, and support the electrification of maritime transport systems, vessels, and ground services in air transportation.</t>
  </si>
  <si>
    <t>The share of railways in logistics will increase from 5% to 22% by 2053</t>
  </si>
  <si>
    <t>Para el 2050 se proyecta una reducción en el consumo energético del transporte de pasajeros del 50%… 55%… en comparación con el BAU.</t>
  </si>
  <si>
    <t>En lo que respecta a las emisiones de GEI de la subcategoría de ‘Transporte de carga’, para el 2050, se espera una disminución del 70% bajo el E2 y del 79%  bajo el E3, en comparación con el BAU</t>
  </si>
  <si>
    <t>51% reduction in greenhouse gases by 2030 compared to 2018 levels</t>
  </si>
  <si>
    <t>climate neutral economy by no later than the end of the year 2050</t>
  </si>
  <si>
    <t>the Transport sector has been set a binding carbon budget of 91 MtCO2eq. over the period from 2021 to 2030, which corresponds with a 50% reduction in greenhouse gas emissions by 2030, relative to the baseline year of 2018.</t>
  </si>
  <si>
    <t>56/57</t>
  </si>
  <si>
    <t>Our vision is that Ireland’s transport sector will be carbon neutral by 2050</t>
  </si>
  <si>
    <t>to reduce all greenhouse gas emissions by at least 81% by 2035, compared to 1990 levels (excluding international aviation and shipping emissions)</t>
  </si>
  <si>
    <t>the UK is committed to transitioning away from fossil fuels to achieve net zero by 2050.</t>
  </si>
  <si>
    <t>6/7</t>
  </si>
  <si>
    <t>annual minimum targets for the proportion of new cars and vans sold in the UK from 2024 rising to 80% of cars and 70% of vans by 2030 on a pathway to 100% by 2035.</t>
  </si>
  <si>
    <t>the Swiss population has inscribed in law the goal to reach net zero greenhouse gas emissions 
by 2050</t>
  </si>
  <si>
    <t>Switzerland’s second NDC is to reduce its greenhouse gas emissions by at least 65 percent by 2035  compared to 1990 levels, to be implemented as an emission budget covering 2031–2035. Thus, the target corresponds to a greenhouse gas budget of 106.8 million tonnes of CO2 equivalents, which is equivalent to an average reduction of greenhouse gas emissions by at least 59 percent over the period 2031–2035.</t>
  </si>
  <si>
    <t>• Between 2031 and 2040: minus at least 64 percent 
on average;
• Until 2040: minus at least 75 percent;
• Between 2041 and 2050: minus at least 89 percent 
on average.
[compared to 1990 levels]</t>
  </si>
  <si>
    <t>in the transport sector (excluding international aviation):
• By 2035: minus 41 percent;
• Through 2040: minus 57 percent;
• Until 2050: minus 100 percent.
[compared to 1990 levels]</t>
  </si>
  <si>
    <t>an unconditional reduction of GHG emissions of 6% (419 ktCO2eq) from the BAU by the year 20230</t>
  </si>
  <si>
    <t>an additional conditional reduction of GHG emissions by 18% (1,270 kt CO2eq) from the 2021 baseline by the year 2030 (…), bringing the total emission reductions to 24% or 1,689 ktCO2eq below BAU emission levels in 2030</t>
  </si>
  <si>
    <t xml:space="preserve">Improve the fuel efficiency of road vehicles
Gasoline vehicles: 21,838 efficient vehicles by 2030 - GHG reduction 9 kt CO2eq/year in 2030
Diesel vehicles: 4,368 efficient vehicles by 2030 - GHG reduction 1 kt CO2eq/year in 2030 </t>
  </si>
  <si>
    <t xml:space="preserve">Improve the fuel efficiency of road vehicles
Gasoline vehicles: 43,677 efficient vehicles by 2030 - GHG reduction 18 kt CO2eq/year in 2030
Diesel vehicles: 8,735 efficient vehicles by 2030 - GHG reduction 2 kt CO2eq/year in 2030 </t>
  </si>
  <si>
    <t>Regulation of imported used cars. Regulations to reduce the number of poor performing vehicles entering the country.</t>
  </si>
  <si>
    <t>New bicycle lanes: 15 km by 2030, GHG reduction 10 kt CO2eq/year in 20230</t>
  </si>
  <si>
    <t>New bicycle lanes: 30 km by 2030, GHG reduction 21 kt CO2eq/year in 20230</t>
  </si>
  <si>
    <t>Electrification of motorcycles: 910 electric two wheelers by 2030, GHG reduction 0.2 kt CO2eq/year in 2030</t>
  </si>
  <si>
    <t>Modal shift: Private to passenger transport: Increasing the share of passenger transport from around 10% at present to 30% in 2030</t>
  </si>
  <si>
    <t>Energy sector emissions: 14.7% reduction in 2030 (from 505 to 435 GgCO 2 eq) and 22% reduction in 2035 without geothermal (505 to 398 GgCO 2 eq) or 32% reduction with geothermal in 2035 (505 to 338 GgCO 2eq), relative to 2010.</t>
  </si>
  <si>
    <t>Saint Lucia pledges to further reduce greenhouse gas emissions from the energy and transport sectors by 22% in 2035, through enhanced deployment of wind and solar energy with battery storage, upgrades to the grid infrastructure, continued efforts to improve energy efficiency, and enhanced uptake of electric vehicles.</t>
  </si>
  <si>
    <t>Transportation decarbonisation is expected to be another cornerstone of Saint Lucia’s mitigation efforts in NDC 3.0. The Government has set an ambitious target to achieve 30% electric vehicle (EV) sales by 2030, increasing to 40% by 2035.</t>
  </si>
  <si>
    <t>para 2035 […] la reducción del 63% de sus emisiones netas de GEI respecto a los niveles de 2005.</t>
  </si>
  <si>
    <t>disminuir en un 50% las emisiones procedentes de la movilidad interna para 2030</t>
  </si>
  <si>
    <t>absolute reduction in GHG emissions of at least 58% below 2010 levels by 2035, covering 
all major gases and sector.</t>
  </si>
  <si>
    <t xml:space="preserve">As part of the Pacific Blue Shipping Partnership, RMI already has a national vision to reduce domestic shipping emissions by 40% below 2010 levels by 2030 and full decarbonization of the sector by 2050. </t>
  </si>
  <si>
    <t>Singapore intends to reduce emissions to between 45 to 50 million tonnes of carbon dioxide equivalent (MtCO2e) in 2035</t>
  </si>
  <si>
    <t>To reduce net greenhouse gas emissions to 51–55 per cent below gross 2005 levels by 2035 (between 38.98 and 42.44 Mt CO2-e).</t>
  </si>
  <si>
    <t>A system of emissions budgets and emissions reduction plans to act as stepping stones toward the 2050 target and to provide a framework for planning.</t>
  </si>
  <si>
    <t>Ecuador se compromete en su escenario incondicional a alcanzar una reducción proyectada de emisiones de GEI en el 2035 de aproximadamente 8.800kt CO2-eq, 7% con respecto al escenario tendencial año base 2010 entre todos los sectores de mitigación.</t>
  </si>
  <si>
    <t>Adicionalmente, se plantea una meta condicional, con la cual se podría alcanzar una reducción del 8%, aproximadamente 10.600 kt CO2-eq sujeto al apoyo de la cooperación internacional.</t>
  </si>
  <si>
    <t>The assessed mitigation measures in all sectors are expected to reduce the 2035 BAU emissions by 49,945.40 Gg CO2eq. through a total of 27 economy-wide mitigation measures (Table 5). The projected trends in the BAU and mitigation scenarios are given in Figure 6. Emissions removals are projected to increase from 19% in 2023 to 40% in 2035.</t>
  </si>
  <si>
    <t>Canada’s 2035 NDC is to reduce emissions by 45-50% below 2005 levels by 2035, building on the 2030 target of 40-45% below 2005 levels.</t>
  </si>
  <si>
    <t>These positive outcomes lay the foundation for Canada to achieve its 2035 target and net-zero emissions by 2050.</t>
  </si>
  <si>
    <t xml:space="preserve">Accelerating the reduction of emissions from road transport. Canada is working to decarbonize the transport sector through a range of actions. Canada is investing in charging infrastructure and finalized the Electric Vehicle Availability Standard (regulated targets for zero-emission vehicles) in December 2023, which requires 100% of new light-duty vehicles (LDVs) offered for sale in Canada to be ZEVs by 2035. </t>
  </si>
  <si>
    <t>and in July 2024, the federal government announced the Canada Public Transit Fund (CPTF); starting in 2026-27, the CPTF will contribute an average of $3 billion per year with the aim of providing stable and predictable funding to address active transportation and long-term public transit goals.</t>
  </si>
  <si>
    <t>Increased B.C.’s light-duty zero-emission vehicles (ZEV) sales target, to 90% by 2030 and 100% by 2035</t>
  </si>
  <si>
    <t>Japan aims to reduce its greenhouse gas emissions by 60 percent in FY 2035 and by 73 percent in FY 2040, respectively, from its FY 2013 levels, as ambitious targets aligned with the global 1.5°C goal and on a straight pathway towards the achievement of net zero by 2050.</t>
  </si>
  <si>
    <t>(…) straight pathway towards the achievement of net zero by 2050. (…) In October 2020, Japan declared that it would aim to achieve net zero greenhouse gas emission by 2050.</t>
  </si>
  <si>
    <t>Economy-wide net domestic reduction in GHG emissions of at least 55% by 2030 and 60% by 2035, compared to 1990 levels.</t>
  </si>
  <si>
    <t>The Maldives is committed to reduce 1.52 million tonnes of CO2 eq in 2035, conditional on receiving adequate support and financial resources, technology, capacity building, and other means of implementation in the context of sustainable development. Achieving this target will require significant international support to provide the necessary financing required to implement the mitigation actions required to achieve the target.</t>
  </si>
  <si>
    <t>Lograr un 26% de la generación de electricidad en base a FRE en la matriz eléctrica de Cuba para el año 2035.</t>
  </si>
  <si>
    <t>Transporte terrestre automotor menos intenso en carbono: 15% del total de vehículos de la flota vehicular son eléctricos en el año 2035; 70% del total de vehículos matriculados son eléctricos en el año 2035.Reducción de emisiones 0.5 MtCO2eq by 2035.</t>
  </si>
  <si>
    <t>This sheet contains all information related to  areas for action as well as concrete mitigation actions and policies in the transport sector included in the respective documents</t>
  </si>
  <si>
    <t>Transport mode</t>
  </si>
  <si>
    <t>Geography</t>
  </si>
  <si>
    <t>Category</t>
  </si>
  <si>
    <t>Purpose</t>
  </si>
  <si>
    <t>Instrument</t>
  </si>
  <si>
    <t>Quote</t>
  </si>
  <si>
    <t>A-S-I</t>
  </si>
  <si>
    <t>Mode: Not defined</t>
  </si>
  <si>
    <t>Informal transport</t>
  </si>
  <si>
    <t>Active mobility</t>
  </si>
  <si>
    <t>Walking</t>
  </si>
  <si>
    <t>Cycling</t>
  </si>
  <si>
    <t>Road</t>
  </si>
  <si>
    <t>Two-/Three-wheelers</t>
  </si>
  <si>
    <t>Cars</t>
  </si>
  <si>
    <t>Private cars</t>
  </si>
  <si>
    <t>Taxis</t>
  </si>
  <si>
    <t>Truck</t>
  </si>
  <si>
    <t>Bus</t>
  </si>
  <si>
    <t>Rail</t>
  </si>
  <si>
    <t>Heavy rail</t>
  </si>
  <si>
    <t>High-speed rail</t>
  </si>
  <si>
    <t>Transit rail</t>
  </si>
  <si>
    <t>Water</t>
  </si>
  <si>
    <t>Coastal shipping</t>
  </si>
  <si>
    <t>Inland shipping</t>
  </si>
  <si>
    <t>International maritime</t>
  </si>
  <si>
    <t>Aviation</t>
  </si>
  <si>
    <t>Domestic aviation</t>
  </si>
  <si>
    <t>International aviation</t>
  </si>
  <si>
    <t>Geography: Not defined</t>
  </si>
  <si>
    <t>Urban</t>
  </si>
  <si>
    <t>Rural</t>
  </si>
  <si>
    <t>Inter-city</t>
  </si>
  <si>
    <t>Activity type</t>
  </si>
  <si>
    <t>Status of measure</t>
  </si>
  <si>
    <t>Alternative fuels</t>
  </si>
  <si>
    <t>Promote alternative fuels</t>
  </si>
  <si>
    <t>General alternative fuels measures</t>
  </si>
  <si>
    <t>alternative fuels</t>
  </si>
  <si>
    <t>Improve</t>
  </si>
  <si>
    <t>Not defined</t>
  </si>
  <si>
    <t>Transfer document IDs</t>
  </si>
  <si>
    <t>clean fuels</t>
  </si>
  <si>
    <t>Include formulas to transfer document info from document tab based on ID</t>
  </si>
  <si>
    <t>Energy efficiency</t>
  </si>
  <si>
    <t>Promote vehicle improvements</t>
  </si>
  <si>
    <t>General vehicle improvement measures</t>
  </si>
  <si>
    <t>more efficient vehicles</t>
  </si>
  <si>
    <t>Complete missing and unclear cells (dark orange)</t>
  </si>
  <si>
    <t>Mode shift and demand management</t>
  </si>
  <si>
    <t>Public transport improvement</t>
  </si>
  <si>
    <t>General public transport improvement</t>
  </si>
  <si>
    <t xml:space="preserve">Efficient transport system:  
Increasing the share of public transport for passengers and freight (roads, railways and waterways). </t>
  </si>
  <si>
    <t>Shift</t>
  </si>
  <si>
    <t>Passenger transport</t>
  </si>
  <si>
    <t>Complete purpose &amp; instrument columns (once indicator set is finalised)</t>
  </si>
  <si>
    <t>Transport system improvements</t>
  </si>
  <si>
    <t>Freight efficiency improvements</t>
  </si>
  <si>
    <t>Freight transport shifting to rail of inland waterways</t>
  </si>
  <si>
    <t>Freight</t>
  </si>
  <si>
    <t>Include formulas that assign parameter based on instrument</t>
  </si>
  <si>
    <t>Labelling requirements</t>
  </si>
  <si>
    <t>Energy labelling of new vehicles.</t>
  </si>
  <si>
    <t>Biofuels support measures</t>
  </si>
  <si>
    <t>Electrification</t>
  </si>
  <si>
    <t>Promote electric mobility</t>
  </si>
  <si>
    <t>General e-mobility measures</t>
  </si>
  <si>
    <t>Promote active mobility</t>
  </si>
  <si>
    <t>Cycling measures</t>
  </si>
  <si>
    <t>LPG/CNG/LNG support measures</t>
  </si>
  <si>
    <t>Increased share of liquefied petroleum gas and natural gas in fuel consumption between 2021 and 2030.</t>
  </si>
  <si>
    <t xml:space="preserve">privilegiar el transporte público </t>
  </si>
  <si>
    <t>General active mobility</t>
  </si>
  <si>
    <t>impulsar la movilidad no motorizada o asistida</t>
  </si>
  <si>
    <t>promover la movilidad motorizada eléctrica</t>
  </si>
  <si>
    <t>promover la movilidad  […] de una fuente baja en emisiones de GEI</t>
  </si>
  <si>
    <t>Enhance comprehensive transport planning</t>
  </si>
  <si>
    <t>National mobility plans</t>
  </si>
  <si>
    <t>it will be necessary to develop a national mobility strategy with the aim of reducing emissions and respecting the hierarchy in the prioritisation of transport systems established in the Litecc</t>
  </si>
  <si>
    <t>Avoid, Shift, Improve</t>
  </si>
  <si>
    <t xml:space="preserve">it will be essential to prioritise public transport </t>
  </si>
  <si>
    <t>promote motorised or assisted non-public mobility (walking, cycling, etc.)</t>
  </si>
  <si>
    <t>electric motorised mobility without a source of GHG emissions</t>
  </si>
  <si>
    <t>Transport demand management</t>
  </si>
  <si>
    <t>Commuter trip reduction policies</t>
  </si>
  <si>
    <t>In addition, according to the Litecc, the administrations, public entities and companies with more than one hundred workers must have a sustainable mobility plan for their workers, according to the hierarchical criteria mentioned above.</t>
  </si>
  <si>
    <t>Avoid</t>
  </si>
  <si>
    <t>General renewable energy support measures</t>
  </si>
  <si>
    <t>The promotion of electric mobility should facilitate the energy transition with a reduction in dependence on fossil fuel consumption; therefore, these actions must be accompanied by an increase in the percentage of renewable sources in the country’s energy mix</t>
  </si>
  <si>
    <t>EV charging infrastructure measures</t>
  </si>
  <si>
    <t>implementation and management of the charging infrastructures for these vehicles must be continued</t>
  </si>
  <si>
    <t>the possibility of modifying the urban planning regulations governing public car parks must be studied to increase the degree of demand for the availability of spaces for new constructions, in keeping with the aim of introducing electric vehicles</t>
  </si>
  <si>
    <t>Economic conditions for sustainable transport</t>
  </si>
  <si>
    <t>Green public procurement</t>
  </si>
  <si>
    <t>With regard to the Administration’s fleet of vehicles, care must be taken to ensure that 100% of the cars purchased are EVs or ones that don’t produce GHG emissions, with the exception of those that cannot be adapted due to service safety requirements</t>
  </si>
  <si>
    <t>EV purchase incentives</t>
  </si>
  <si>
    <t>in 2014 the Government approved the Engega Plan, an aid programme which has assigned financial support to the acquisition of rechargeable electric and hybrid vehicles since 2016</t>
  </si>
  <si>
    <t>Hydrogen support measures</t>
  </si>
  <si>
    <t>it will be necessary to ensure a transition to a model with fewer or zero emissions, using other technologies such as those based on green hydrogen</t>
  </si>
  <si>
    <t>Para promover este cambio y dar impulso al rol ejemplar de la administración se ha definido normativamente la obligación de que cualquier Administración pública o entidad dependiente cuando adquiera un nuevo vehículos, o deba reponer los existentes, se realice con vehículos cero emisiones (Z) y ECO (E) [...] Estos criterios también son aplicables en las 
modalidades de leasing o renting, y en cualquier caso, antes una nueva 
adquisición, los ministerios anteriormente comentados deben racionalizar y 
redistribuir los vehículos ya existentes, con el fin de optimizar su uso en 
función de su eficiencia energética.</t>
  </si>
  <si>
    <t>Transport demand management measures</t>
  </si>
  <si>
    <t>antes de finalizar este año 2022 todas las admisnitraciones y entitades privadas deben disponer de un plan de mobilidad de su personal</t>
  </si>
  <si>
    <t>Avoid, Shift</t>
  </si>
  <si>
    <t>Financial instruments to support decarbonisation</t>
  </si>
  <si>
    <t>Al ser una tasa finalista, ésta ha servido para rebajar el precio del abono mensual para utilizar el transporte público en todo el país</t>
  </si>
  <si>
    <t>Al ser una tasa finalista, ésta ha servido para rebajar el precio del abono mensual para utilizar el transporte público en todo el país […] a partir de este año 2022 se ha podido 
ofrecer gratuitamente el transporte público nacional, suponiendo un incremento de 
usuario de más del 100%</t>
  </si>
  <si>
    <t>También se han rebajado las tarifas del transporte escolar, así como otras tarifas de ahorro para los más jóvenes.</t>
  </si>
  <si>
    <t>Aumentar el porcentaje de vehículos a propulsión eléctrica del parque automovilístico nacional de turismos hasta el 20% y del 30% de la flota de la administración pública [2030]</t>
  </si>
  <si>
    <t>Aumentar el porcentaje de vehículos a propulsión 
eléctrica del parque automovilístico nacional de 
turismos hasta el 50% y del 70% de la flota de la administración pública. [2050]</t>
  </si>
  <si>
    <t>Reducir el 84% de los desplazamientos con vehículo privado en el Valle Central y posicionar la movilidad a pue o vehículos de movilidad personal como los mayoritarios. [2030]</t>
  </si>
  <si>
    <t>Incrementar al máximo los usuarios del transporte público sin incrementar las emisiones de GEI a partir del 2030.</t>
  </si>
  <si>
    <t>Public transport integration and expansion</t>
  </si>
  <si>
    <t>Natural gas buses – 2000 buses</t>
  </si>
  <si>
    <t>Education and behavioral change</t>
  </si>
  <si>
    <t>General education and behavior change</t>
  </si>
  <si>
    <t>Awareness raising and communication campaigns about use of public transportation</t>
  </si>
  <si>
    <t>Vehicle restrictions (import, age, access, sale, taxation)</t>
  </si>
  <si>
    <t>By 2020, establish efficiency standards for the importation of all vehicles and appliances</t>
  </si>
  <si>
    <t>General economic instruments</t>
  </si>
  <si>
    <t>Vehicle efficiency standards</t>
  </si>
  <si>
    <t>ICE (gasoline and diesel) bans</t>
  </si>
  <si>
    <t>100% all new vehicle sales to be electric vehicles  by 2030</t>
  </si>
  <si>
    <t>Vehicle scrappage scheme</t>
  </si>
  <si>
    <t>renovación de flota con chatarrización de camiones (Plan Vial Nacional para 2025 velocidad máxima limitada para camiones</t>
  </si>
  <si>
    <t>General transport and land use planning</t>
  </si>
  <si>
    <t>Para la promoción de sistemas de transporte sostenible, se habrán implementado políticas derivadas del enfoque Evitar-Cambiar-Mejorar</t>
  </si>
  <si>
    <t>fomentado en particular, la eficiencia energética y la mayor utilización de gas natural, hidrógeno, electricidad y biocombustibles</t>
  </si>
  <si>
    <t>Etiquetado de eficiencia energética de vehículos</t>
  </si>
  <si>
    <t>promoción de colectivos con energías alternativas</t>
  </si>
  <si>
    <t>promoción de la movilidad activa</t>
  </si>
  <si>
    <t>promoción de vehículos livianos con tecnologías de bajas emisiones (híbridas o eléctricas)</t>
  </si>
  <si>
    <t>Vehicle air pollution emission standards</t>
  </si>
  <si>
    <t>renovación de la Flota de Colectivos (Euro 3 a Euro 5)</t>
  </si>
  <si>
    <t>Improving load</t>
  </si>
  <si>
    <t>Bi-trenes y escalados</t>
  </si>
  <si>
    <t>Digital solutions</t>
  </si>
  <si>
    <t>Intelligent transport systems</t>
  </si>
  <si>
    <t xml:space="preserve">Programa Transporte Inteligente (que incluye la capacitación de conductores), </t>
  </si>
  <si>
    <t>Reducción de emisiones del transporte de cargas a través del diseño de un Plan de Inversión Ferroviaria de Cargas y transporte ferroviario sostenible.</t>
  </si>
  <si>
    <t>Renovación de la flota fluvial con energías alternativas.</t>
  </si>
  <si>
    <t>planificación basándose en el enfoque evitar–cambiar–mejorar</t>
  </si>
  <si>
    <t>Development of electric transport</t>
  </si>
  <si>
    <t>increased efficiency of public transport</t>
  </si>
  <si>
    <t>Transport Strategy: use of renewable energy</t>
  </si>
  <si>
    <t>stimulation and support in uptake of electric vehicles</t>
  </si>
  <si>
    <t>investigation of opportunities to improve the efficiency of light and heavy vehicles</t>
  </si>
  <si>
    <t xml:space="preserve">Future Fuels Package and Technology Co-Investment Fund </t>
  </si>
  <si>
    <t>2, 3</t>
  </si>
  <si>
    <t>In transport – particularly heavy road freight, aviation and shipping – hydrogen, ammonia, biofuels and synthetic fuels will provide additional and alternative pathways.</t>
  </si>
  <si>
    <t>Clean hydrogen will help decarbonise Australia’s industry, transport and mining sectors. It can be used across a range of applications including:  to power vehicles.
Both CEFC and ARENA have invested in projects demonstrating hydrogen use in heavy transport.</t>
  </si>
  <si>
    <t>McKinsey analysis found electric vehicles could reduce emissions by up to 80 Mt CO₂-e across the economy between 2019 and 2050, contributing around 15% of Australia’s overall 2050 abatement task.</t>
  </si>
  <si>
    <t>Over the long term, public charging and refuelling infrastructure will need to be widely available</t>
  </si>
  <si>
    <t>The Australian Government is tackling these issues through the forthcoming Future Fuels Strategy and a range of Government investments (Box 3.3). It will also develop a new ERF method to further incentivise the rollout of low emissions transport infrastructure. States and territories are also making substantial investments towards recharging networks.</t>
  </si>
  <si>
    <t>General freight efficiency improvements</t>
  </si>
  <si>
    <t xml:space="preserve">Australia is also helping the heavy vehicle fleet to reduce emissions. The $24.5 million Freight Energy Productivity Program will increase the use of new truck technology and improve knowledge sharing for heavy vehicle freight operators. </t>
  </si>
  <si>
    <t>Australia’s first National Electric Vehicle Strategy, to reduce emissions and accelerate
the uptake of electric vehicles,</t>
  </si>
  <si>
    <t xml:space="preserve"> The Australian Government will also introduce an electric car tax discount and </t>
  </si>
  <si>
    <t>Inspection and maintenance</t>
  </si>
  <si>
    <t>establish a real-world emissions testing program to help consumers make more informed choices about the fuel efficiency of their vehicles.</t>
  </si>
  <si>
    <t>Key factors for such trends are the structural changes in economy towards ..., significant increase in the use of natural gas in the transport sector, which replaced diesel and gasoline,...</t>
  </si>
  <si>
    <t xml:space="preserve"> According to the data of the first half of 2022 the share of electric vehicles in the structure of the vehicle fleet is less than 3%; there are more than 100 charging stations for electric vehicles.</t>
  </si>
  <si>
    <t>Modernization and popularization of public transport,... are pivotal in terms of decarbonization of the transport sector.</t>
  </si>
  <si>
    <t>Improve infrastructure</t>
  </si>
  <si>
    <t>Infrastructure improvements</t>
  </si>
  <si>
    <t>Improvement of passenger flow management and transport infrastructure;</t>
  </si>
  <si>
    <t>Gradual decline of 1% or 4% per annum in the traditional fuel vehicles market due to popularization of the hybrid format of work and reduction in need for daily transportation to the workplace</t>
  </si>
  <si>
    <t xml:space="preserve">…, creation, and expansion of infrastructure for bicycles, </t>
  </si>
  <si>
    <t>General micromobility</t>
  </si>
  <si>
    <t xml:space="preserve">…,creation and expansion of infrastructure for..., electric scooters, </t>
  </si>
  <si>
    <t>Walking measures</t>
  </si>
  <si>
    <t>…,creation and expansion of infrastructure for...,and walking;</t>
  </si>
  <si>
    <t>Ensuring renewal and modernization of the vehicle fleet, including the bus fleet, with a gradual transition to vehicles using alternative energy sources/carriers (electricity, gas, biofuels, hydrogen).</t>
  </si>
  <si>
    <t>Expansion of infrastructure</t>
  </si>
  <si>
    <t>Infrastructure constructuction investment above 420,000 million AMD</t>
  </si>
  <si>
    <t>…, Improvement of passenger flow management and transport infrastructure;</t>
  </si>
  <si>
    <t>to be deleted (mvg, 30.5.24) - duplication</t>
  </si>
  <si>
    <t>…, Expansion of the electric public transport network and improvement of the existing system;</t>
  </si>
  <si>
    <t>Shift, Improve</t>
  </si>
  <si>
    <t>General innovations and digitalization</t>
  </si>
  <si>
    <t>…, Enhancement of digitalisation and online services;</t>
  </si>
  <si>
    <t>…, expansion of electric vehicles usage, … are pivotal in terms of decarbonization of the transport sector.</t>
  </si>
  <si>
    <t>10, 25</t>
  </si>
  <si>
    <t>To address transport sector emissions, the Transport and Infrastructure Net Zero Roadmap and Action Plan will identify pathways to net zero by 2050 across all modes, including light and heavy vehicles, rail, maritime and aviation. It will also explore how to enable low emission transport infrastructure and the movement of people and freight.</t>
  </si>
  <si>
    <t>Both passenger and freight</t>
  </si>
  <si>
    <t xml:space="preserve">A key priority for the Government is the introduction of a light vehicle fuel efficiency standard. Because Australia is one of the few developed nations in the world without a fuel efficiency standard, Australian consumers are missing out on the ability to choose more efficient, low‑ and zero‑emissions vehicles – such as battery electric or hydrogen fuel cell electric vehicles – powered by renewable energy. </t>
  </si>
  <si>
    <t>The FES will incentivise manufacturers to supply more low‑ or zero‑emissions vehicles to Australia, reducing Australia’s road transport emissions while helping to reduce air pollution, public health costs and fuel bills. The Government has consulted extensively on the design of the FES and will release its preferred model for further consultation.</t>
  </si>
  <si>
    <t>The National Electric Vehicle Strategy, released in April 2023, aims to increase the supply of affordable EVs, establish the systems and infrastructure needed to support rapid EV uptake, and encourage increased demand. Under the NEVS, a national mapping tool will be developed to support optimal investment and deployment of, EV charging infrastructure. The NEVS will help to cut Australia’s emissions and will see opportunities created in domestic manufacturing and recycling.</t>
  </si>
  <si>
    <t>The Government will report annually on progress against outcomes of the NEVS, including the progress of the rollout of EV charging infrastructure, in line with the Climate Change Authority’s advice. The $500 million Driving the Nations Fund will roll out EV charging and hydrogen refuelling infrastructure and support investment in EV fleets.</t>
  </si>
  <si>
    <t>The $500 million Driving the Nations Fund will roll out EV charging and hydrogen refuelling infrastructure and support investment in EV fleets.</t>
  </si>
  <si>
    <t>EV uptake is also being encouraged by the Electric Car Discount, which helps to reduce the cost of EVs, and the $14 million Real‑World Testing of Vehicle Efficiency program and Green Vehicle Guide website, which provide fuel efficiency information for consumers.</t>
  </si>
  <si>
    <t>Aviation and maritime</t>
  </si>
  <si>
    <t>Promote improvements in shipping</t>
  </si>
  <si>
    <t>General shipping improvement</t>
  </si>
  <si>
    <t>the Maritime Emissions Reduction National Action Plan will help to guide the decarbonisation of our domestic maritime sector and clarify Australia’s role in reducing international shipping emissions. It is expected to be finalised in 2024</t>
  </si>
  <si>
    <t>Promote improvements in aviation</t>
  </si>
  <si>
    <t>General aviation improvements</t>
  </si>
  <si>
    <t>the Aviation White Paper will examine how to achieve net zero in the sector, including through sustainable aviation fuel and emerging technologies</t>
  </si>
  <si>
    <t>several rail strategies and projects to promote low emissions technology and infrastructure, including the National Rail Manufacturing Plan and high‑speed rail.</t>
  </si>
  <si>
    <t>Low carbon liquid fuels offer a decarbonisation pathway for these sectors. The Government is investigating the implementation of new fuel standards for renewable diesel and B20 (5.1‑20% biodiesel and 80% diesel) and is considering policy and regulatory options to increase the uptake of low carbon liquid fuels.</t>
  </si>
  <si>
    <t>The objective is to strive for the highest possible energy efficiency and a switch to renewable energy sources. In practice, this means that vehicles powered by electricity from renewable sources and green hydrogen are used on the roads while vehicles powered by fossil fuels are a thing of the past in 2050.</t>
  </si>
  <si>
    <t xml:space="preserve">The CO2 fleet targets require automobile manufacturers to reduce the average emissions of their new passenger cars and light commercial vehicles by 15% from 2025 and by 37.5% from 2030 (31% for light commercial vehicles) compared with 2021 levels. </t>
  </si>
  <si>
    <t>Substantial emission reductions need to be achieved for transport and buildings by 2050. This will be achieved through technical measures (such as increased energy efficiency and electrification)</t>
  </si>
  <si>
    <t>lifestyle changes that lead to reduced energy consumption (such as using bicycles and walking).</t>
  </si>
  <si>
    <t>A change in the modal split in terms of passenger and freight traffic towards environmentally friendly transport modes and vehicles that lead to a substantial reduction in the annual distance travelled by car,</t>
  </si>
  <si>
    <t>Fuel taxation</t>
  </si>
  <si>
    <t>Further measures for more effective CO2 pricing in air traffic and for creating a competition-neutral taxation situation in relation to other modes of transport.</t>
  </si>
  <si>
    <t>The EU-wide expansion of the charging infrastructure for electromobility (including through the EFSI successor InvestEU).</t>
  </si>
  <si>
    <t>Measures supporting autonomous vehicles</t>
  </si>
  <si>
    <t>Promotion of the automation and networking of sustainable mobility through the Digital Europe programme</t>
  </si>
  <si>
    <t xml:space="preserve">E-mobility on the basis of renewable energy sources; </t>
  </si>
  <si>
    <t>fuel cell vehicles with hydrogen as a renewable energy source for the applications that are difficult to electrify</t>
  </si>
  <si>
    <t>46, 47</t>
  </si>
  <si>
    <t>alternative drives and fuels</t>
  </si>
  <si>
    <t>increased use of public transport</t>
  </si>
  <si>
    <t>active mobility (bicycle and foot traffic) promoted by corresponding infrastructure and made accessible by attractive mobility services</t>
  </si>
  <si>
    <t>shift in freight traffic to rail and expansion of combined transport.</t>
  </si>
  <si>
    <t>this holistic approach must also include measures on the demand side and behavioural changes and make optimum use of synergies between them</t>
  </si>
  <si>
    <t>Traffic management improvements</t>
  </si>
  <si>
    <t>improved offers in local and regional transport, traffic flow optimisation to make more efficient use of infrastructure, mobility management for companies, towns, and tourism, and the use of digitalisation for mobility services such as car and ride sharing, as well as on improved pedestrian and bicycle infrastructure</t>
  </si>
  <si>
    <t>Shared mobility</t>
  </si>
  <si>
    <t>The bicycle as a climate-neutral vehicle closes the crucial gap between public transportation and the “last mile” in a decarbonised transport system. The bicycle is an ideal complement to public rail transport especially in urban areas thanks to its flexibility, and is a good alternative to a motor vehicle thanks to the little space that it requires</t>
  </si>
  <si>
    <t>Fossil fuel subsidy elimination</t>
  </si>
  <si>
    <t>The selection of where to live and work and the quality and energy consumption intensity of the chosen means of transport are based on the economic conditions. The elimination of counterproductive financial measures, especially the sending of correct price signals to market participants, is a key prerequisite for achieving a sustainable and decarbonised transport system</t>
  </si>
  <si>
    <t>The increased digitalisation of work is bringing the workplace and home closer together again, and mobility management will help to avoid unnecessary travel. The previously long commutes to work will be replaced by short trips close to home.  This trend will increase the potential for the use of bicycles as a quick mode of transport for short distances.</t>
  </si>
  <si>
    <t>Access improvement instruments (density, mixed use)</t>
  </si>
  <si>
    <t>The town structures in rural areas will have a higher density in 2050, which will make walking more attractive and will shift a certain share of transport to foot and bicycle traffic. Accompanying measures will revitalise town centres, this is shown e.g. by the fact that there are more small shops and grocers in towns. This will shorten the distances that need to be covered, and traffic will be effectively avoided.</t>
  </si>
  <si>
    <t>Modern urban and land use planning will focus on minimising the use of resources and avoiding traffic. For example, the requirement for developers to provide parking spaces for cars when erecting new residential buildings has been replaced with measures for accessing public transport.</t>
  </si>
  <si>
    <t>Car access restriction and low emission zones</t>
  </si>
  <si>
    <t>These and further measures (such as zones with combined motor vehicle, bicycle, and foot traffic) are leading to a reduction of motorised traffic in cities.</t>
  </si>
  <si>
    <t xml:space="preserve">Individual motorised traffic is less common in 2050 than today – the modal split has shifted to public transport and active mobility. This has been effected above all by increased environmental awareness among the population thanks to targeted measures. </t>
  </si>
  <si>
    <t>Enhancement of the use of electric vehicles for public transport</t>
  </si>
  <si>
    <t>Electrification of railway lines and the transition to alternative current system in traction</t>
  </si>
  <si>
    <t>Development of metro transport and increase in number of metro stations</t>
  </si>
  <si>
    <t>Improvement and expansion of the scope of intellectual transport management system</t>
  </si>
  <si>
    <t>Elimination of traffic jams through construction of road junctions and underground and surface pedestrian crossings.</t>
  </si>
  <si>
    <t>Discourage the importation of inefficient motor vehicles by linking tax regime to mileage per gallon and engine capacity,</t>
  </si>
  <si>
    <t>Vehicle taxation</t>
  </si>
  <si>
    <t>lowering duties on hybrid and electric cars</t>
  </si>
  <si>
    <t>Promote vehicle maintenance programmes</t>
  </si>
  <si>
    <t>Encourage development and implementation of (…) efficient traffic management</t>
  </si>
  <si>
    <t>Encourage development and implementation of (…) carpooling</t>
  </si>
  <si>
    <t>Parking measures</t>
  </si>
  <si>
    <t>Encourage development and implementation of (…) park and ride</t>
  </si>
  <si>
    <t>Encourage development and implementation of (…) use of clean fuels to minimize pollution</t>
  </si>
  <si>
    <t>Encourage development and implementation of (…) flexi working hours and tele-commuting</t>
  </si>
  <si>
    <t>Encourage development and implementation of (…) efficient public / urban mass transit transport system</t>
  </si>
  <si>
    <t>encourage non-motorized transport</t>
  </si>
  <si>
    <t>Promote road maintenance programmes</t>
  </si>
  <si>
    <t>Support legislation and infrastructure for use of biofuels will be put in place</t>
  </si>
  <si>
    <t>Promotion of the use of Public Transport</t>
  </si>
  <si>
    <t xml:space="preserve">Standards implemented for vehicle fuel efficiency </t>
  </si>
  <si>
    <t>Improved Incentives for the purchase of electric vehicles</t>
  </si>
  <si>
    <t>Assessment of Government vehicles and program for replacement of suitable vehicles with electric vehicles</t>
  </si>
  <si>
    <t>Introduction of electric vehicles to Government Fleet</t>
  </si>
  <si>
    <t>Installation of charging stations for electric vehicles</t>
  </si>
  <si>
    <t>BRT</t>
  </si>
  <si>
    <t>implementation of several Mass Rapid Transit (MRT) and Bus Rapid Transit (BRT) in Capital Dhaka City</t>
  </si>
  <si>
    <t>implementation of several Mass Rapid Transit (MRT) in Capital Dhaka City</t>
  </si>
  <si>
    <t>expansion of rail networks</t>
  </si>
  <si>
    <t xml:space="preserve">The recent implementation of the Padma Bridge will further reduce traffic congestion and emission from transport sector. </t>
  </si>
  <si>
    <t>10000 hybrid and electric vehicles are planned to be introduced</t>
  </si>
  <si>
    <t>introduction of broad gauge and electric locomotives</t>
  </si>
  <si>
    <t>Fuel quality improvements</t>
  </si>
  <si>
    <t>introducing good quality fuel</t>
  </si>
  <si>
    <t>introducing Euro III and IV engines</t>
  </si>
  <si>
    <t>completing all highways with four lanes</t>
  </si>
  <si>
    <t xml:space="preserve">withdrawal of 86,000 unfit vehicles from the roads </t>
  </si>
  <si>
    <t xml:space="preserve">introducing Lithium-ion battery in all motor cycles and cars </t>
  </si>
  <si>
    <t>Reduced congestion and improved running of traffic. This will be achieved by a number of measures, including building of expressways to relieve congestion and public transport measures</t>
  </si>
  <si>
    <t>Modal shift from road to rail delivered through a range of measures including underground metro systems and bus rapid transit systems in urban areas.</t>
  </si>
  <si>
    <t>Express lanes/ public transport priority</t>
  </si>
  <si>
    <t>Reduced congestion and improved running of traffic. This will be achieved by a number of measures, including (…) public transport measures
Modal shift from road to rail delivered through a range of measures including underground metro systems (...)</t>
  </si>
  <si>
    <t xml:space="preserve">Improvement of road traffic congestion (5% improvement in fuel efficiency in unconditional scenario, 15% in conditional scenario) </t>
  </si>
  <si>
    <t xml:space="preserve">Widening of roads (2 to 4 lanes) and improving road quality </t>
  </si>
  <si>
    <t xml:space="preserve">Construct NMT and bicycle lanes </t>
  </si>
  <si>
    <t>Road charging and tolls</t>
  </si>
  <si>
    <t xml:space="preserve">Electronic Road Pricing (ERP) or congestion charging </t>
  </si>
  <si>
    <t xml:space="preserve">Reduction of private cars and encourage electric and hybrid vehicles </t>
  </si>
  <si>
    <t>Avoid, Improve</t>
  </si>
  <si>
    <t xml:space="preserve">Development of Urban Transport Master Plans (UTMP) to improve transport systems in line with the Urban Plan/ City Plan for all major cities and urban area </t>
  </si>
  <si>
    <t xml:space="preserve">Introducing Intelligent Transport System (ITS) based public transport management system to ensure better performance, enhance reliability, safety and service </t>
  </si>
  <si>
    <t xml:space="preserve">Modal shift from road to rail (10% modal shift of passenger-km in unconditional scenario, 25% in conditional scenario) through different Transport projects such as BRT, MRT in major cities, Multi-modal hub creation, Padma Bridge etc. </t>
  </si>
  <si>
    <t xml:space="preserve">Purchase of modern rolling stock and signaling system for railway </t>
  </si>
  <si>
    <t xml:space="preserve">Electrification of the railway system and double-track construction </t>
  </si>
  <si>
    <t>Improved and enhanced Inland Water Transport (IWT) system (Improve navigation for regional, sub-regional, and local routes, improve maintenance of water vessel to enhance engine performance, introduce electric water vessel etc.)</t>
  </si>
  <si>
    <t>Investigate alternative vehicles and fuels such as compressed natural gas, liquid petroleum gas, ethanol, natural gas, hybrid and electric vehicles, and encouraging their adoption through tax incentives.</t>
  </si>
  <si>
    <t>The government’s commitment to a fossil fuel-free energy system extends to the transport sector, starting with public buses and light duty/passenger vehicles. Effective April 2021, the government's procurement policy is to prioritize the purchase of electric or hybrid vehicles, where possible. The government-owned transport fleet is currently operating 35 EV buses. The Barbados Transport Board’s intention is to operate a fully-electrified fleet by 2030.</t>
  </si>
  <si>
    <t>Sustainable urban mobility plans</t>
  </si>
  <si>
    <t>Under the aegis of the Physical Development Plan, described above, a Sustainable Urban Mobility Plan for the Greater Bridgetown Area and the Urban Corridor has been prepared. This plan aims at upgrading the public transport system (fleet renovation, payment systems, tracking systems and demand management), introducing bicycle lanes, connected sidewalks and accessibility measures, as well as parking management policies.</t>
  </si>
  <si>
    <t>This (SUMP) aims at upgrading the public transport system (fleet renovation, payment systems, tracking systems and demand management), introducing bicycle lanes, connected sidewalks and accessibility measures, as well as parking management policies.</t>
  </si>
  <si>
    <t>Initiatives such as the urban renewal investments in Pile Bay to Harts Gap corridor, the Bridgetown Public Market and Fishing Harbor and the Greater Carlisle Bay incorporate low-carbon transportation measures. These measures may not have been devised as part of the NDC, they contribute to the regulatory, financial and behavioral changes that are required towards a low-carbon climate resilient transportation and mobility system in Barbados.</t>
  </si>
  <si>
    <t>The government’s commitment to a fossil fuel-free energy system extends to the transport sector, starting with public buses and light duty/passenger vehicles.</t>
  </si>
  <si>
    <t>Innovative, holistic mobility solutions will also cover the last mile, for example tailored mobility management, on-demand buses, electric taxis, car sharing, and the massive expansion of public transport.</t>
  </si>
  <si>
    <t>Public transport intervals are considerably shorter, and customer-friendly service planning and information provision make rail and bus travel more attractive.</t>
  </si>
  <si>
    <t xml:space="preserve">Freight transport by rail has profited from the reduction of regulatory hurdles. </t>
  </si>
  <si>
    <t>The external costs of all modes of transport will be internalised during the mobility transformation.</t>
  </si>
  <si>
    <t>For passenger cars and light commercial vehicles, this will primarily be achieved by a switch to electric vehicles powered entirely by electricity from renewable sources. Increasing electrification is also being pursued for heavy-duty vehicles</t>
  </si>
  <si>
    <t>Fuel cell vehicles using hydrogen from renewable sources are an important option especially for applications that are difficult to electrify (such as heavy goods vehicles for long-haul transport).</t>
  </si>
  <si>
    <t>Ecodriving</t>
  </si>
  <si>
    <t>Eco-driving training teaches drivers how to use and operate their vehicles as efficiently as possible.</t>
  </si>
  <si>
    <t xml:space="preserve">The rail infrastructure is 100% electrified and powers the trains entirely with electricity from renewable sources. </t>
  </si>
  <si>
    <t xml:space="preserve">The majority of freight transport has been shifted to the rails, and the remaining goods transports are handled with non-fossil drives (electromobility, in part with overhead-line lorries, and with hydrogen). </t>
  </si>
  <si>
    <t>Undertaking a traffic management study that aims at reducing traffic congestion in urban areas and along the Philip Goldson Highway into Belize City.</t>
  </si>
  <si>
    <t>Improving public transport</t>
  </si>
  <si>
    <t>Upgrading maintenance of bus fleet</t>
  </si>
  <si>
    <t>Improving scheduling</t>
  </si>
  <si>
    <t>Promoting the use of bio-fuels</t>
  </si>
  <si>
    <t>Upgrading the industrial fleet</t>
  </si>
  <si>
    <t>Improve efficiency in the public transit system through the deployment of 77 hybrid and electric buses by 2030</t>
  </si>
  <si>
    <t xml:space="preserve">Implement a policy framework to promote more efficient vehicles and alternative fuels/blends through incorporation of fuel economy labels; </t>
  </si>
  <si>
    <t xml:space="preserve">emissions testing; </t>
  </si>
  <si>
    <t xml:space="preserve">fuel economy standards, </t>
  </si>
  <si>
    <t>limitations and emissions-based taxes/feebates for imported vehicles by 2025</t>
  </si>
  <si>
    <t xml:space="preserve">Improve efficiency in the public transit system through the deployment of 77 hybrid and electric buses by 2030; Facilitate adoption of electric vehicles in the passenger fleet by conducting a feasibility study for EV penetration, including assessment of potential incentives, </t>
  </si>
  <si>
    <t>investing in EV charging infrastructure</t>
  </si>
  <si>
    <t>The role of inland shipping, which is to switch to renewable energy, has increased considerably.</t>
  </si>
  <si>
    <t>Data and modelling improvements</t>
  </si>
  <si>
    <t>Conducting a domestic survey to supplement the information available regarding vehicle fleet by collecting data on daily fuel consumptions for categories and various uses of vehicles</t>
  </si>
  <si>
    <t>Improving efficiency and emissions from existing vehicles through standards and capacity building</t>
  </si>
  <si>
    <t>Promoting use of appropriate intelligent transport systems</t>
  </si>
  <si>
    <t>Improving efficiency in freight transport</t>
  </si>
  <si>
    <t>Promoting (…) non‐fossil fuel powered transport such as electric and fuel cell vehicles</t>
  </si>
  <si>
    <t>Promoting non‐motorized transport</t>
  </si>
  <si>
    <t>Exploring alternative modes of transport to road transport such as rail, water and gravity ropeways</t>
  </si>
  <si>
    <t>Improving (…) demand side management of personal modes of transport</t>
  </si>
  <si>
    <t>Improving mass transit</t>
  </si>
  <si>
    <t>Mass transit through improvements in bus systems</t>
  </si>
  <si>
    <t xml:space="preserve">introduction of open-bus rapid transit (BRT) network (electric and diesel) and light rail transit. </t>
  </si>
  <si>
    <t>Promotion of electric passenger vehicles (taxi, two wheelers, light vehicles, buses)</t>
  </si>
  <si>
    <t>Low emission freight transport system for heavy and commercial trucks and freight trains</t>
  </si>
  <si>
    <t>Non-motorized transport system through public bicycle systems and improved sidewalks, crosswalks</t>
  </si>
  <si>
    <t>Improve fuel-efficiency in internal combustion engines through stringent vehicle and emission standards</t>
  </si>
  <si>
    <t xml:space="preserve">Private vehicle demand management through (…) traffic system management </t>
  </si>
  <si>
    <t>shared mobility, (…) carpooling, ride sharing and rental services</t>
  </si>
  <si>
    <t>import restriction on internal combustion engine cars from 2030 and introducing annual import quota system</t>
  </si>
  <si>
    <t>The measure is considered due to its inclusion within the national development plans that seek to promote the introduction of electric vehicles in the vehicle fleet and has as a goal that the adoption of the new technology (electric mobility) allows to achieve a gradual penetration that reaches 10% of the growth of vehicles in the public transport sector in Bolivia until 2030</t>
  </si>
  <si>
    <t>Specifically, the goal is to implement at the national level the pilot experiences developed at the subnational level of replacing conventional street lighting fixtures with LED technology. The national goal to date, until 2030, is to replace a total of 38,108 conventional luminaires 12 (6% of the national inventory) with LED technology.</t>
  </si>
  <si>
    <t>Production of biofuels for transport (Renovabio Program)</t>
  </si>
  <si>
    <t>promote efficiency measures, and improve infrastructure for transport and public transport in urban areas.</t>
  </si>
  <si>
    <t>Availability of infrastructures, e.g. charging stations</t>
  </si>
  <si>
    <t xml:space="preserve">price of fuel and electricity; low EV prices (e.g. through excise duty incentives); </t>
  </si>
  <si>
    <t>annual Vehicle License (VL) fees;</t>
  </si>
  <si>
    <t>A transport fuel-economy regulation is currently under development in Brunei Darussalam to improve the emissions performances of vehicles on the road.
The Government of Brunei Darussalam is considering setting fuel consumption targets for new vehicles that are similar to those in the EU, such as 17.2 kilometre/litre by 2020 (EU 2016 target equivalent) and at 21.3 kilometre/litre by 2025 (EU 2020 target equivalent)</t>
  </si>
  <si>
    <t>Improve public transportation in urban areas (expand the bus fleet from 105 to 275 buses, creating a national school bus system, creating separate bus rapid transit (BRT) infrastructure)</t>
  </si>
  <si>
    <t>Integrated walking and cycling networks are planned for Bandar Seri Begawan and other areas</t>
  </si>
  <si>
    <t>Technologies such as electric, hybrid and more fuel-efficient conventional engine vehicles are also being promoted</t>
  </si>
  <si>
    <t>parking policies and intelligent transport systems are also improved</t>
  </si>
  <si>
    <t>An Urban Smart Travel Zone is proposed for the capital city</t>
  </si>
  <si>
    <t xml:space="preserve">Conditional: More rapid improvement in the stock of vehicles (30% reduction in fuel consumption in 2025 instead of 20% for 2030) </t>
  </si>
  <si>
    <t>Intermodality measures</t>
  </si>
  <si>
    <t xml:space="preserve">Unconditional
1. Modal transfer
2. Enhancement of the modal transfer project in the city of Ouagadougou (for 20 km) </t>
  </si>
  <si>
    <t>Conditional:
Substitution of biofuels for hydrocarbons: bioethanol production units (replace 10% of super grade petrol consumption in 2030)
Substitution of biofuels for hydrocarbons: biodiesel production units (replace 5% of diesel consumption in 2030)</t>
  </si>
  <si>
    <t>Projet d'appui à la modernisation du secteur des transports (PAMOSET-FC) composante " Mise en place d'un système de renouvellement pérenne du parc".</t>
  </si>
  <si>
    <t>v</t>
  </si>
  <si>
    <t>Projet de mobilité urbaine du Grand Ouagadougou.</t>
  </si>
  <si>
    <t>Projet de réalisation de l’interconnexion ferroviaire Accra-Ouagadougou.</t>
  </si>
  <si>
    <t>Projet de réhabilitation de la ligne ferroviaire Frontière Côte d’Ivoire-Ouaga-Kaya.</t>
  </si>
  <si>
    <t>Projet de transport urbain de Bobo-Dioulasso.</t>
  </si>
  <si>
    <t>Projet de construction du chemin de fer Kaya-Frontière Niger.</t>
  </si>
  <si>
    <t>Projet de mise en place d’une desserte ferroviaire urbaine et périurbaine lourde de la ville d’Ouagadougou à partir de la ligne existante.</t>
  </si>
  <si>
    <t>Urban transit with low GHG emissions</t>
  </si>
  <si>
    <t>Les stratégies d’atténuation prévues dans ces documents sont principalement la promotion du véhicule électrique, le transport en commun par grands bus et l’aménagement des pistes piétonnes et cyclables.</t>
  </si>
  <si>
    <t>Amélioration et augmentation du parc automobile de transport en commun (focus on buses)</t>
  </si>
  <si>
    <t>This NAMA will also consider options for expanding hybrid and electric fleets in the country, in particular, the feasibility of making government vehicles electrically powered by 2030</t>
  </si>
  <si>
    <t>Seek to develop a NAMA that increases energy efficiency of the transport sector, including domestic shipping and domestic air travel, and evaluates options for policies and actions available to reduce the impact of GHG emissions originating from this sector. The NAMA will initially be focused on the collection of relevant data for the sector, including, among others, fuel type and consumption per transport mode, technology performance, fuel substitution possibilities, estimation of costs, and an updated GHG emissions profile for light-duty vehicles as well as for freight and passenger transport services.</t>
  </si>
  <si>
    <t>Reduce the necessity of high-carbon mobility through urban planning</t>
  </si>
  <si>
    <t>digitilisation</t>
  </si>
  <si>
    <t>car-free areas</t>
  </si>
  <si>
    <t>cycling and pedestrian lanes</t>
  </si>
  <si>
    <t>functional mix and spatial density to bring living and working closer together</t>
  </si>
  <si>
    <t>incentives for home-office</t>
  </si>
  <si>
    <t>apps for car-sharing and taxi hailing</t>
  </si>
  <si>
    <t>Create secured and attractive home-work urban cycling and walking networks with bicycle repair and equipment businesses in Praia and Mindelo, to promote low carbon mobility, convivial cities and local youth employment;</t>
  </si>
  <si>
    <t>home-work urban cycling and walking networks</t>
  </si>
  <si>
    <t>By 2023, quantify the national GHG reductions possible by swifting to lower carbon international 
maritime transport (i.e.sails or solar vessels, engine efficiency improvement, lower carbon fuels, optimise 
logistics and operating processes or avoidance strategies etc.)</t>
  </si>
  <si>
    <t>Ship efficiency improvements</t>
  </si>
  <si>
    <t>By 2023, finalise a policy and targets on reducing GHG emissions in domestic maritime transport (passenger-, cargo- and tourist-vessels, ports, fuel storage, supply chains, logistics), based on a detailed feasibility assessment</t>
  </si>
  <si>
    <t>Electrify the vehicles fleet with a priority for public, collective, high-passenger load, duty and commercial vehicles over private, individual, low-passenger load vehicles, so as to make this mobility shift socially inclusive and create public adherence and local jobs;</t>
  </si>
  <si>
    <t>By 2050, fully replace all residual thermal vehicles (gasoline/diesel) for Electric Vehicles (EV)</t>
  </si>
  <si>
    <t>Implement the NAMA “Promotion of EV in Cabo Verde" and the Electric Mobility Action Plan involving: By 2025, establish the procurement rules for the acquisition of 100% EV by institutional entities and have at least 50% of EV in the new acquisition of urban collective transport</t>
  </si>
  <si>
    <t>Gradually install of a wide-reaching network of recharging stations, with priority to public, collective, grouped charging stations at bus/taxi/company stations benefiting the greatest number of users, complemented by private stations; starting in the main urban centers of Cabo Verde and along strategic road corridors; By 2030, the national public recharge infrastructure is fully implemented;</t>
  </si>
  <si>
    <t>Improve operation and maintenance of vehicles through motor vehicle inspection and eco-driving</t>
  </si>
  <si>
    <t>increased use of hybrid cars, electric vehicles and bicycles</t>
  </si>
  <si>
    <t>Promote mass public transport</t>
  </si>
  <si>
    <t>Shift long distance freight movement from trucks to train</t>
  </si>
  <si>
    <t>Promote integrated public transport systems in main cities</t>
  </si>
  <si>
    <t xml:space="preserve">Enhance maintenance and inspection of vehicle (Piloting maintenance and emission inspections of vehicles) - Passenger transport
30 vehicle inspection centres in operation by 2030 </t>
  </si>
  <si>
    <t>E-mobility</t>
  </si>
  <si>
    <t xml:space="preserve">Establish green belts along major roads for climate change mitigation </t>
  </si>
  <si>
    <t>E-fuels produced in the EU through new and innovative technologies</t>
  </si>
  <si>
    <t>Jet fuel policies</t>
  </si>
  <si>
    <t>second-generation biofuels will especially be used in aviation</t>
  </si>
  <si>
    <t>The time required for the relevant approval processes (especially for passenger and freight transport by rail) is to be shortened so that the efficiency gains can be realised rapidly enough</t>
  </si>
  <si>
    <t>Future land use planning can substantially reduce mobility pressure.</t>
  </si>
  <si>
    <t xml:space="preserve">The surface space required in cities for vehicle parking and traffic has been decreased substantially through a wide range of measures (expansion of public transport, sharing offers, etc.), which has been very well received by the population. </t>
  </si>
  <si>
    <t>Rural areas are well serviced by an intelligent combination of micro public transport systems, intermodal interfaces in larger towns, and a robust public transport network.</t>
  </si>
  <si>
    <t>Encourage the purchase of low-emission vehicles and scrapping of high-emission vehicles through standards, incentives or obligations</t>
  </si>
  <si>
    <t>Low emission vehicle purchase incentives</t>
  </si>
  <si>
    <t>Support state and local authorities in the development of public transit and inter- and intra-city low carbon development plans (e.g. tramways in Yaounde and Douala)</t>
  </si>
  <si>
    <t>Promote an integrated approach to the sector and the development of low-carbon transport through a national transport infrastructure scheme; Integrate climate in territorial planning documents to limit distances and propose efficient transport policies</t>
  </si>
  <si>
    <t>Limit mobility constraints and develop low-carbon transport offerings</t>
  </si>
  <si>
    <t>Favorisation de l'achat de véhicules peu polluants et mise au rebut des véhicules plus polluants via des normes, incitations ou obligations ;</t>
  </si>
  <si>
    <t>Promotion des modes de transport à faible émission carbone.</t>
  </si>
  <si>
    <t>Services d’autobus Express: Mise en circulation dans les villes de Douala et Yaoundé des Service d'Autobus Express (BRT)</t>
  </si>
  <si>
    <t>Electrification has been identified as an essential
step in all deep GHG mitigation analyses. The
electrification of end use applications that are
currently using fossil fuels is fundamental, for
example, using electricity to power certain cars,
trucks, building appliances and heating systems,
and energy requirements for some industries.</t>
  </si>
  <si>
    <t>Behavioural changes will also contribute to a
low-GHG economy. For example, innovative
approaches to moving people and freight are
likely to become more widely adopted over
the next 35 years, as well as changes in the way
people live, work, and consume.</t>
  </si>
  <si>
    <t>innovative approaches to moving people and freight are likely to become more widely adopted over the next 35 years, as well as changes in the way people live, work, and consume.</t>
  </si>
  <si>
    <t>Electrification of the transportation sector
presents the potential for significant
emission reductions; for personal vehicles,
electric vehicle technology is commercially
available and continues to improve.</t>
  </si>
  <si>
    <t>Greater uptake and broad use of electric vehicles will require more widespread acceptance of the technology supported by information and understanding around: cost of ownership and performance, charging availability and times, and range expectations. All of which are expected to improved significantly over the coming years.</t>
  </si>
  <si>
    <t>Low-carbon and renewable fuels are consistent with low-GHG scenarios, particularly in areas that face challenges with electrification</t>
  </si>
  <si>
    <t>Emerging technologies such as energy storage or advanced lightweight materials will increase energy efficiency and decrease emissions; innovative approaches to moving people and freight are likely to become more widely adopted by mid-century.</t>
  </si>
  <si>
    <t>Modal shifts, such as moving passengers and freight to less GHG intensive modes, could offer notable emissions reductions, which would be further strengthened through clean technology deployment, such as electrified passenger rail.</t>
  </si>
  <si>
    <t>electrified passenger rail</t>
  </si>
  <si>
    <t xml:space="preserve">Canada will continue to encourage cities to improve public transit and bike lanes, </t>
  </si>
  <si>
    <t xml:space="preserve">Canada will
continue to encourage cities to improve public
transit and bike lanes, </t>
  </si>
  <si>
    <t>and design urban spaces that reduce the need for vehicle transportation</t>
  </si>
  <si>
    <t>In addition, there are significant efforts put in place
to increase fast charging infrastructure in some
Canadian jurisdictions, which can allow the average
electric car to charge 80% of its battery capacity
in 30 minutes.</t>
  </si>
  <si>
    <t>Fuel blends contain varying renewable content, and environmental benefits expand when second-generation biofuels are used.</t>
  </si>
  <si>
    <t>Air traffic management</t>
  </si>
  <si>
    <t>Unlike other modes of transportation, the aviation industry has few options available for reducing GHG emissions.
Improved technological and operational measures will have their role,</t>
  </si>
  <si>
    <t xml:space="preserve"> but only low-carbon alternative
fuels (biojet) have the potential to offer significant
life-cycle GHG emission reductions.</t>
  </si>
  <si>
    <t>Renewable natural gas offers the potential to
achieve considerably greater emissions reductions than natural gas.</t>
  </si>
  <si>
    <t>Hydrogen fuel cell technology can also help
decarbonise the transportation sector.</t>
  </si>
  <si>
    <t>With quicker reaction times than humans, connected and
autonomous vehicles can circulate with less distance
between cars, allowing for much more efficient
traffic movement</t>
  </si>
  <si>
    <t>Transportation sector regulations establish progressively more stringent GHG emission standards for heavy-duty vehicles (model years 2014-2018)
The federal government is currently developing additional regulatory measures that will establish more stringent standards in the transportation sector for heavy-duty vehicles of post-2018 model years; ...and for passenger automobiles and light trucks (2011-2025)</t>
  </si>
  <si>
    <t>The federal government is also taking action to address transportation emissions from the rail, marine, and aviation subsectors</t>
  </si>
  <si>
    <t>Require 100 % of new light-duty vehicle and passenger trucks sold in Canada to be zero-emissions by 2035, a commitment supported by pursuing a combination of supportive investments and regulations.</t>
  </si>
  <si>
    <t>Invest $287 million to extend the Incentives for Zero-Emissions Vehicles program beyond its $300 million initial investment</t>
  </si>
  <si>
    <t>invest an additional $150 million in charging and refueling stations across Canada.</t>
  </si>
  <si>
    <t>Advance the national active transportation strategy by investing $400 million for Canada’s first active transportation fund</t>
  </si>
  <si>
    <t xml:space="preserve">$3 billion annually in permanent public transit funding beginning in 2026-27. </t>
  </si>
  <si>
    <t>Work with the United States to align with the most ambitious light-duty and heavy-duty vehicle standards whether at the state or federal level</t>
  </si>
  <si>
    <t xml:space="preserve">Chaque stratégie se focalise principalement sur la gestion/rationalisation de la demande de transport, en mettant l'accent sur la numérisation, </t>
  </si>
  <si>
    <t>l'aménagement efficace du territoire</t>
  </si>
  <si>
    <t xml:space="preserve"> une économie circulaire avec des chaînes de valeur locales plus courtes, ce qui réduit le besoin de transport de marchandises.</t>
  </si>
  <si>
    <t>En outre, chacune des stratégies régionales souligne l'importance du transfert modal comme pierre angulaire pour atteindre les ambitions climatiques fixées, avec des avantages supplémentaires en termes de qualité de l'air, de mobilité et d'occupation de l'espace public.</t>
  </si>
  <si>
    <t xml:space="preserve">En ce qui concerne le transport de personnes, chaque région vise à limiter la part de la voiture individuelle dans la répartition modale, en faveur de modes de transport alternatifs tels que le transport actif (marche et vélo), les véhicules électriques légers (vélos électriques, speedelecs, trottinettes électriques, etc.) et les modes de transport partagés (transports en commun et véhicules partagés). </t>
  </si>
  <si>
    <t>elles mettent l’accent sur une offre de qualité de modes alternatifs, des infrastructures adéquates et la promotion de la mobilité combinée.</t>
  </si>
  <si>
    <t xml:space="preserve">Le concept de Mobility-as-a-Service est également reconnu comme levier important pour atteindre l’objectif de la mobilité combinée et pour augmenter le taux d'occupation des véhicules (ce qui se traduit par une réduction du nombre de kilomètres parcourus par véhicule). </t>
  </si>
  <si>
    <t>The Central African Republic will put in place an appropriate national measurement, notification and verification system for the Programme for the reduction of short-lived climate pollutants</t>
  </si>
  <si>
    <t>100% electric taxis, Public transportation-MR, Public transportation - Regions, Private vehicles 60%, Commercial vehicles 60%</t>
  </si>
  <si>
    <t>Change transportation mode, decrease of private motor transportation due to the transfer to buses and bicycles</t>
  </si>
  <si>
    <t>Hydrogen - Cargo transportation - the use of hydrogen produced from renewable energy sources for cargo transportation will play a crucial role in reaching the emissions neutrality goal, and it would be economically convenient. However, this technology remains in a development stage and may be commercially competitive only from 2030.</t>
  </si>
  <si>
    <t xml:space="preserve">Tax on the sale of lightweight vehicles </t>
  </si>
  <si>
    <t>En ce qui concerne le transport de marchandises, les stratégies wallonne et flamande visent toutes deux un transfert de la route vers le rail et les voies navigables.</t>
  </si>
  <si>
    <t>les stratégies régionales prévoient un passage à des véhicules et des vecteurs énergétiques à émissions zéro. En ce qui concerne le transport de personnes, les stratégies wallonne et flamande se concentrent principalement sur les véhicules sans émissions (à batterie ou à hydrogène)</t>
  </si>
  <si>
    <t xml:space="preserve">Pour le transport de marchandises également, les deux régions aspirent à la décarbonation complète du trafic, bien qu’elles reconnaissent que le défi est plus important et nécessitera de nouveaux développements technologiques. Outre l'électrification et l'hydrogène, les carburants alternatifs, notamment les biocarburants et les carburants synthétiques, se voient attribuer un rôle important, en particulier pour le transport lourd de marchandises. </t>
  </si>
  <si>
    <t>La stratégie de Bruxelles-Capitale mentionne les plans visant à interdire le trafic de voitures diesel à partir de 2030, et de voitures à essence et à GPL à partir de 2035, de sorte que les transports seront également largement décarbonisés d'ici 2050.</t>
  </si>
  <si>
    <t>Enfin, les stratégies wallonne et flamande reconnaissent la nécessité de réduire les émissions de gaz à effet de serre provenant de l'aviation et du transport maritime internationaux, notamment par des carburants alternatifs respectueux du climat.</t>
  </si>
  <si>
    <t>Le niveau fédéral assurera, entre autres, un réseau ferroviaire performant disposant d’interconnexions suffisantes avec les pays voisins afin de permettre une augmentation de la part du rail dans le transport de personnes et de marchandises.</t>
  </si>
  <si>
    <t>il peut soutenir, grâce à ses compétences en matière de fiscalité et de normalisation des produits, la transition vers des modes de transport alternatifs et vers des véhicules à émissions nulles.</t>
  </si>
  <si>
    <t>1.1. Optimization of transit system: redesign of urban routes, replacement of larger buses by minibuses/ vans</t>
  </si>
  <si>
    <t>1.2. Increasing fuel efficiency and fleet renewal</t>
  </si>
  <si>
    <t>1.3. Replacement of conventional (ICE) with electrical buses (intra-district)</t>
  </si>
  <si>
    <t>1.4. Replacement of conventional (ICE) with electrical buses (inter-district)</t>
  </si>
  <si>
    <t>1.5. Attracting individual commuters to public transportation</t>
  </si>
  <si>
    <t>2.1. Reducing the energy consumption in cars through fuel standards/ labels, tax incentives</t>
  </si>
  <si>
    <t>2.2. Replacing combustion cars with electric via import incentives</t>
  </si>
  <si>
    <t>2.3. Replacing combustion motorcycles with electric via import incentives</t>
  </si>
  <si>
    <t>3.1. Blend of biodiesel in regular diesel</t>
  </si>
  <si>
    <t>3.2. Blend of ethanol in regular gasoline</t>
  </si>
  <si>
    <t>3.3. Introduction of fuel standards in diesel and gasoline</t>
  </si>
  <si>
    <t>4.1. Implementing regulations/ standards and fleet renewal for road freight vehicles</t>
  </si>
  <si>
    <t>5.1. Increased uptake of bikes for urban transportation</t>
  </si>
  <si>
    <t>5.2. Adoption of electric golf carts</t>
  </si>
  <si>
    <t>Le développement du sous-secteur des énergies renouvelables ainsi que celui des biocarburants.</t>
  </si>
  <si>
    <t>L’accroissement des capacités de production, des moyens de transport et de distribution de l’énergie électrique et la promotion de l’électrification rurale ;</t>
  </si>
  <si>
    <t>Improve the quality of gasoline and new types of alternative fuels</t>
  </si>
  <si>
    <t>Promote the development of dedicated transport system for pedestrians and bicycles in cities</t>
  </si>
  <si>
    <t>Advocate green travel and accelerate development of smart transport and green freight transport</t>
  </si>
  <si>
    <t>Integrate low-carbon development in the entire process of urban planning</t>
  </si>
  <si>
    <t>Promote the share of public transport in motorized travel in large- and medium-sized cities (targeting 30% mode share by 2020);</t>
  </si>
  <si>
    <t xml:space="preserve">accelerate the construction of a comprehensive transportation network, </t>
  </si>
  <si>
    <t xml:space="preserve">channel energy into multi-modal transportation, </t>
  </si>
  <si>
    <t>and increase the share of railways and waterways in the integrated  transportation</t>
  </si>
  <si>
    <t>China will optimize passenger transport, and guide the scale-up and intensive operation of those passenger transport enterprises</t>
  </si>
  <si>
    <t>Green logistics will be developed speedily, transport resources will be optimized and the overall utilization efficiency will be advanced.</t>
  </si>
  <si>
    <t xml:space="preserve">Measures will be taken for expediting vehicles and vessels that are powered by new energy and clean energy, </t>
  </si>
  <si>
    <t xml:space="preserve">popularizing intelligent transportation, </t>
  </si>
  <si>
    <t xml:space="preserve">pushing forward the electrification of railways, </t>
  </si>
  <si>
    <t xml:space="preserve">giving impetus to constructing hydrogen filling stations, </t>
  </si>
  <si>
    <t>Support on-shore power and electric charging facilities in ports</t>
  </si>
  <si>
    <t>and normalizing the utilization of shore-end cable for vessels at ports.</t>
  </si>
  <si>
    <t xml:space="preserve">China will move faster to put in place a convenient, efficient and moderately advanced  network system for battery charging and swap. </t>
  </si>
  <si>
    <t xml:space="preserve">Energy efficiency standards for fuel-powered vehicles and vessels will be upgraded, </t>
  </si>
  <si>
    <t>energy efficiency labeling system for transport equipment will be improved,</t>
  </si>
  <si>
    <t>and timeworn vehicles and vessels that are highly energy-consuming and of high emissions will be phased out.</t>
  </si>
  <si>
    <t xml:space="preserve">China will further actively guide low-carbon travel. China will quicken the construction of large-capacity public transport infrastructure including urban railways, special traffic lanes and bus rapid transit systems, </t>
  </si>
  <si>
    <t xml:space="preserve">China will quicken the construction of large-capacity public transport infrastructure including urban railways, special traffic lanes and bus rapid transit systems, </t>
  </si>
  <si>
    <t>and strengthen the construction of urban slow traffic systems, namely, special bicycle lanes, pedestrian walkways, etc.</t>
  </si>
  <si>
    <t>By making comprehensive use of legal, economic, administrative and other management measures, China will put particular emphasis on combating urban traffic congestion.</t>
  </si>
  <si>
    <t>Stringent Fuel Efficiency Standards
The introduction of fuel efficiency measures in the form of vehicular emission standards and fuel quality standards would help to reduce emissions from road transport.</t>
  </si>
  <si>
    <t>The introduction of fuel efficiency measures in the form of vehicular emission standards and fuel quality standards would help to reduce emissions from road transport.</t>
  </si>
  <si>
    <t>The government could further provide incentives for the introduction of clean fuel technologies like electric vehicles and hydrogen vehicles, along with exploring options for retrofitting engines for light vehicles as well as trucks.</t>
  </si>
  <si>
    <t>The stringent enforcement of vehicular emission standard and fuel quality standards must be accompanied by a scrapping policy to ensure that inefficient vehicles are scraped off and the vehicular fleet on the roads are compliant with the standards.</t>
  </si>
  <si>
    <t>The government could also introduce fiscal incentives to promote the import of energy-efficient vehicles.</t>
  </si>
  <si>
    <t>Promotion of Low-Emission Vehicles
Fossil fuel-based vehicles would have certain limitations after a point where vehicle efficiency will keep deteriorating. These vehicles will also continue to pollute the environment despite improvements in design and standards. To combat climate change, alternative technologies like electric vehicles and hydrogen vehicles are perceived as game-changing technologies to reduce carbon footprints over the years and to meet global commitments.
While emissions from these vehicles are highly dependent on the grid emission factors, electric and hydrogen vehicles are considered low-emission and energy-efficient vehicles as
the electricity source in Bhutan is 100% renewables.</t>
  </si>
  <si>
    <t>In this intervention, following the success of the Bhutan Low Emission Transport Project, the focus is on promoting battery electric, hydrogen fuel cell, and plug-in hybrid vehicles
as an alternative to the import of conventional vehicles based on the internal combustion engine (ICE) technology.</t>
  </si>
  <si>
    <t>The success of this intervention would be dependent on the provision of adequate fiscal measures (estimated at USD.1000.00 subsidy per passenger vehicle) and non-fiscal measures such as designated parking spaces at concessional rates, reduced rates of vehicle registration/ renewal fees, and availability of stable grid electricity as well as public charging infrastructure.</t>
  </si>
  <si>
    <t>Further, minimum standards for EVs pertaining to safety and performance are needed while a guideline on the collection and disposal/transfer to manufacturers of used EV batteries needs to be developed</t>
  </si>
  <si>
    <t xml:space="preserve">Non-Motorized Transport
Non-motorized transport (NMT) is being pursued as an alternative and sustainable mode of transport in urban and major settlement areas. The benefits of the NMT include the reduction of vehicular emissions, lifestyle diseases (NCD), reduction of nuisance related to traffic congestion, noise pollution, and extra cost of road maintenance.
For the purpose of this strategy, NMT refers to walking, bicycling, and Public Bicycling Sharing as identified in the LEDS for Surface Transport. NMT is a significant option for low-emission transportation in urban areas. It is estimated that more than 75% of trips within 1-2 km are performed by walking or non- otorized vehicles. Promoting walking and bicycling would require the development of related infrastructure including overhead passes, bicycling, and pedestrian lanes as well as campaigns to change the mindset of people. </t>
  </si>
  <si>
    <t xml:space="preserve">Promoting walking and bicycling would require the development of related infrastructure including overhead passes, bicycling, and pedestrian lanes as well as campaigns to change the mindset of people. </t>
  </si>
  <si>
    <t>Fiscal Incentives to promote bicycling and PBS:</t>
  </si>
  <si>
    <t>Public Bicycle Sharing (PBS) can play a vital role in promoting bicycling in the country. This concept allows the users to pick up a cycle from any station and return it to any other station, thereby encouraging the use of cycles for short-distance travels, point-to-point, and one-way trips. It can also serve as an alternative transport mode to address the challenges related to “last mile” connectivity. PBS has the potential to prove attractive to students and tourists alike. PBS would require investments in the Public-Private Partnership with associated subsidies and support from the government or facilitated by the government.</t>
  </si>
  <si>
    <t>Shared Mobility and Alternative Transport Modes
Any mode of transportation that is shared by users on an as-needed basis, from motorcycles to 4-wheelers to mass transit constitutes shared mobility. Shared mobility provides an opportunity for the government to redefine personal mobility in a country having high private vehicle ownership. It is observed that, in Bhutan, the average vehicle occupancy for personal vehicles is 30% and 50% for taxis. Thus, the shared mobility concept has the potential to improve average vehicle occupancy (fleet utilization) by allowing more passengers and goods to travel in the same vehicle. This also makes transportation more affordable as cost is shared among users/goods. While buses and trams also come under shared mobility, for the purpose of this document shared mobility refers to ride sharing in taxis and personal vehicles, and alternative transport modes refer to cable cars and ropeways. Given the rough geographical terrain in Bhutan and the hazards from landslides and monsoon rains, it may be more efficient to connect remote communities with ropeways and cable cars than with farm roads in the long term.</t>
  </si>
  <si>
    <t>Additionally, urban areas like Thimphu are constrained with space for expansion of road lanes and it may be a better alternative to connect high-density traffic points with elevated cable cars to reduce pressure on the road traffic.</t>
  </si>
  <si>
    <t>Discouraging private vehicle use is one of the optimum solutions available to policymakers. It is a package of short-term measures to make the optimum and cost-effective use of existing transportation infrastructure and facilities. The number of vehicles doubled in Bhutan from 57618 in 2010-11 to 114646 in 2020-21, with the highest growth of vehicles in the Thimphu region as evidenced by the RSTA annual reports. Left unchecked, the growth of vehicle population is expected to cross 200,000 by 2030 and this can present additional road congestion, safety, and environmental problems. This can be prevented by presenting more efficient alternative transport modes in the form of mass transit, ride sharing, NMTs, etc while regulating the number of vehicles to be imported based on the carrying capacity of the road infrastructure through controlled import quotas. A portion of the import quotas could be distributed to sections of the society without any vehicles registered while the balance could be auctioned to investment in improving the transport infrastructure.</t>
  </si>
  <si>
    <t>65, 66</t>
  </si>
  <si>
    <t>Feasibility studies and piloting electric and hydrogen fuel cell trucks for freight transport
Fiscal Incentives for electric freight transport</t>
  </si>
  <si>
    <t>Sustainable Freight Transport
Electric-powered Heavy and medium commercial trucks are less polluting freight transport alternatives and possible interventions to reduce climate pollution (greenhouse gas emissions) and local air pollution stemming from the rising use of fossil-fuel-powered trucks being used for freight/logistics operations. In 2020, the registered number of heavy and medium vehicles (of 7.5 tonnes to 16 tonne Gross Vehicle Weight and an approximate payload of 4 to 10 tonnes) in Bhutan stood at 11,800. Each of these vehicles, under business-as-usual (BAU) conditions, emits 14.8 metric tonnes of CO2e per year. Seen collectively, in 2020, heavy vehicles resulted in climate pollution levels of 173,759 metric tonnes of CO2e. While current technology development and affordability of EV and hydrogen fuel cell trucks may not seem attractive for Bhutan, it is expected that both the technology and affordability will be relevant to Bhutan post-2025. Therefore, the scenario refers to the plausible outcomes from approximately 14% of the truck fleet in Bhutan becoming electric trucks by 2050 starting at 0.05% fleet conversion in 2026 and growing at 0.2 to 0.4% in the intervening years.</t>
  </si>
  <si>
    <t>66, 67</t>
  </si>
  <si>
    <t>Fiscal Incentives for Electric BRT system: 
Electric-powered BRT buses are a less polluting public transport alternative and possible intervention to reduce greenhouse gas emissions and local air pollution stemming from the anticipated reduction in import, and subsequent use, of fossil-fuel-powered private passenger vehicles and taxis. Compared to Diesel-powered BRT buses, electric buses lead to even lower per-passenger-km GHG emissions due to the significantly lower climate impacts of its electricity-generating source.</t>
  </si>
  <si>
    <t>Public transport systems, such as a bus rapid transit system, provide a compelling
and direct means to drastically reduce GHG emission per passenger transported
for the same distance traveled relative to personal transport vehicles. On a per-
passenger-km basis, the GHG emission from a light vehicle in Bhutan in 2050 is
estimated to be 109 grams CO2e/passenger-km. In contrast, the emissions for the
same person traveling in a public electric-powered bus are significantly lower at
2 grams CO2e/passenger-km. Therefore, in effect, an electric public bus is
approximately 54 times more efficient than a petrol- or diesel-powered private
car and creates 98% less climate and air pollution.
Thimphu City Bus Service has plans to introduce electric buses by 2023 and data
from the operation of these electric buses could be used in planning the
interventions.</t>
  </si>
  <si>
    <t>Thimphu City Bus Service has plans to introduce electric buses by 2023 and data
from the operation of these electric buses could be used in planning the
interventions.</t>
  </si>
  <si>
    <t xml:space="preserve">
This intervention would require subsidies from the government to meet the top-
up cost of electric buses as compared with conventional buses and taxis</t>
  </si>
  <si>
    <t>Se pretende crear un entorno normativo y financiero que permita acelerar la transición hacia la movilidad eléctrica , diseñando e implementando políticas;</t>
  </si>
  <si>
    <t>45 in Annex</t>
  </si>
  <si>
    <t>Desarrollo normativo, técnico y regulatorio, incluyendo estándares técnicos de los vehículos y estaciones de carga, condiciones de ordenamiento territorial necesarias para establecer puntos de carga privados y públicos.</t>
  </si>
  <si>
    <t>, condiciones de ordenamiento territorial necesarias para establecer puntos de carga privados y públicos.</t>
  </si>
  <si>
    <t>Desarrollar dos instrumentos financieros específicos para los segmentos de vehículos considerados para el desarrollo de este mercado, aplicables hasta el punto de que exista paridad de precio con tecnologías tradicionales: 1. Un esquema de subsidio cruzado entre vehículos del mismo segmento altos en emisiones y vehículos eléctricos. 2. Una línea de financiación con tasa compensada, inicialmente para vehículos de transporte público.</t>
  </si>
  <si>
    <t>Una línea de financiación con tasa compensada, inicialmente para vehículos de transporte público.</t>
  </si>
  <si>
    <t>Movilidad Eléctrica (MoVE): Creación de un entorno normativo y financiero que permita acelerar la transición hacia la movilidad eléctrica, con el fin de establecer estándares regulatorios y técnicos para la comercialización y operación de vehículos eléctricos. Además, implementar estrategias de comunicación y desarrollo de capacidades, definir un esquema de tarifas eléctricas para el transporte, y establecer paridad de la tecnología con el fin de generar demanda en el mercado.</t>
  </si>
  <si>
    <t>xlii</t>
  </si>
  <si>
    <t>Navegación Basada en Desempeño – PBN: Propiciar las condiciones necesarias para el aprovechamiento de la capacidad RNAV (Navegación de Área) y RNP (Performance de Navegación Requerida), aplicadas a las operaciones de aeronaves, involucrando Aproximaciones por Instrumentos, Rutas Normalizadas de Salida (SID), Rutas Estándares de Llegada (STAR) y Rutas ATS en áreas Oceánicas y Continentales.</t>
  </si>
  <si>
    <t>Programa de Modernización de Transporte Automotor de Carga en vehículos de más de 10.5 toneladas de peso bruto vehicular y más de 20 años de antigüedad.</t>
  </si>
  <si>
    <t>Cambio a modo transporte de carga carretero a Fluvial - Río Magdalena: Actividades de dragado del Río Magdalena para mantener la navegabilidad a lo largo del río.</t>
  </si>
  <si>
    <t>NAMA Transporte Activo y gestión de la Demanda (TAnDem): Incrementar la participación modal de la bicicleta en todas las ciudades sujetas a la NAMA mediante ocho (8) medidas de mitigación directa con base en el Enfoque Push-Pull</t>
  </si>
  <si>
    <t>xliii</t>
  </si>
  <si>
    <t>Consolidación y conservación de ciudades densas con mezclas en usos del suelo</t>
  </si>
  <si>
    <t>Consolidación y conservación de ciudades densas con mezclas en usos del suelo, alta circulación de peatones y ciclistas , cobertura plena de servicios de transporte público colectivo o masivo y con un fuerte tejido social cimentado en la cercanía, la noción de vecindad y la accesibilidad a bienes y servicios urbanos a escala y velocidad humana.</t>
  </si>
  <si>
    <t>Rehabilitación del corredor férreo La Dorada - Chiriguaná - Santa Marta: rehabilitación de la infraestructura existente para mejorar sus condiciones técnicas, operacionales, de viabilidad comercial y sostenibilidad ambiental y social.</t>
  </si>
  <si>
    <t xml:space="preserve">Reducir la actividad del transporte de carga (vehículos livianos) mediante estrategias de optimización de la logística, con impacto en la reducción de emisiones y en la reducción de consumo de combustibles </t>
  </si>
  <si>
    <t>Implementación estándares de emisiones Euro IV y Euro VI para nuevos vehículos diésel</t>
  </si>
  <si>
    <t>lxi</t>
  </si>
  <si>
    <t>Maquinaria nueva con estándar de emisiones Tier 4I para rubros de construcción e industria</t>
  </si>
  <si>
    <t>Desarrollo normativo, técnico y regulatorio, incluyendo estándares técnicos de los vehículos y estaciones de carga</t>
  </si>
  <si>
    <t>Moderate penetration of electric vehicles – 70 percent for motorcycles and 40 percent for cars and urban buses by 2050</t>
  </si>
  <si>
    <t>Increased fuel efficiency for internal combustion engine vehicles</t>
  </si>
  <si>
    <t>Rail for freight and passengers</t>
  </si>
  <si>
    <t>CNG penetration of 80 percent for interregional buses and 80
percent for trucks until 2050</t>
  </si>
  <si>
    <t>increased use of renewable and alternative fuels</t>
  </si>
  <si>
    <t>Efforts are ongoing to make zero-emission vehicles (ZEVs) more affordable and accessible for all Canadians through rebates</t>
  </si>
  <si>
    <t>Efforts are ongoing to make zero-emission vehicles (ZEVs) more affordable and accessible for all Canadians through rebates and investments in charging infrastructure</t>
  </si>
  <si>
    <t>Canada is also investing in public and active transportation</t>
  </si>
  <si>
    <t>pursuing efforts to decarbonize air</t>
  </si>
  <si>
    <t>pursuing efforts to decarbonize [...] rail,</t>
  </si>
  <si>
    <t>pursuing efforts to decarbonize [...] marine transportation</t>
  </si>
  <si>
    <t>Electromovilidad</t>
  </si>
  <si>
    <t>Hidrógeno en transporte de carga</t>
  </si>
  <si>
    <t>Al 2021, contar con una metodología y procesos para medir la Huella de Carbono del Transporte Ferroviario</t>
  </si>
  <si>
    <t>Al año 2023, lograr incluir normativa y metodológicamente la di_x0002_mensión de movilidad sostenible en la planificación territorial, así como en la formulación de los planes de infraestructura y de ordenamiento te_x0002_rritorial.</t>
  </si>
  <si>
    <t>Al 2025, construir comunidades de prácticas interinstitucionales y colaborativas para el fomento de la movilidad de baja o nula emisión, entre el gobierno nacional, los gobiernos locales, gobiernos regionales, sociedad civil, academia e instituciones privadas. Al 2025, generar programas de capacitación en movilidad soste_x0002_nible dirigido a policías encargados de tránsito, personal municipal de las 
Direcciones de Tránsito y Planificación, Corporaciones Municipales de Edu_x0002_cación, Salud, Deporte, Cultura y Departamentos de Medioambiente, en_x0002_tre otros.</t>
  </si>
  <si>
    <t>Develop public transport services (particularly in Brazzaville and Pointe-Noire) to fight against congestion</t>
  </si>
  <si>
    <t>introduce changes in legislation (e.g. prohibit import of vehicles older than 5 years)</t>
  </si>
  <si>
    <t>In a conditional low carbon scenario, it is proposed to control the rise in transport-related energy consumption to 70% of baseline scenario in 2025 with an option for renewable fuel to account for 21-43% of consumption</t>
  </si>
  <si>
    <t>Autobus électriques de 18m (1000 autobus)</t>
  </si>
  <si>
    <t>Voiture électrique (1000 voitures)</t>
  </si>
  <si>
    <t>exploring the most effective incentives for promotion of transition towards clean energy transportation</t>
  </si>
  <si>
    <t>embrace proven low carbon transport technologies</t>
  </si>
  <si>
    <t>Establishing noteworthy duty rates on the importation of motor vehicles</t>
  </si>
  <si>
    <t>Develop an integrated public transport system where routes are improved, train service strengthened, and availability of non-motorized transport enhanced</t>
  </si>
  <si>
    <t xml:space="preserve">Develop an integrated public transport system where routes are improved, train service strengthened, and availability of non-motorized transport enhanced
</t>
  </si>
  <si>
    <t>Develop an integrated public transport system where routes are improved, train service strengthened, and availability of non-motorized transport enhanced
Public Transportation Integration and Decongestion</t>
  </si>
  <si>
    <t>Costa Rica has made the intercity electric train a priority, which will provide a significant contribution to the country’s emission mitigation goals, creating new employment and low emissions mobility.</t>
  </si>
  <si>
    <t>Improve the freight sector through multi-modal options</t>
  </si>
  <si>
    <t>Fuel switching in end-uses (Buildings, transport, industry)</t>
  </si>
  <si>
    <t>Durante el periodo de cumplimiento de esta NDC entrará en operación el Tren Eléctrico de Pasajeros en el Gran Área Metropolitana, impulsado por energía eléctrica renovable.</t>
  </si>
  <si>
    <t>En el 2021 se renovarán las concesiones de autobuses públicos con criterios de descarbonización, incluyendo la sectorización, el pago electrónico y la integración multimodal de medios de transporte público y activo.</t>
  </si>
  <si>
    <t>Durante el periodo de cumplimiento de esta NDC, el Tren Eléctrico Limonense de Carga (TELCA) estará en operación para el año 2022.</t>
  </si>
  <si>
    <t>Al 2030, lograr que todas las instituciones del Estado que elaboran Instrumentos de Planificación Territorial y/o desarrollan el planea_x0002_miento de obras de infraestructura vial urbanas e interurbanas, incluyan objetivos de movilidad sostenible y promuevan un ordenamiento territo_x0002_rial que ayude a mejorar la accesibilidad, reduciendo tiempos y distancias de viaj</t>
  </si>
  <si>
    <t>Al 2030, reducir las tasas de emisiones en Transporte marítimo de manera progresiva, partiendo de un 5% el año 2023 hasta un 11% al año 2026, reducciones estimadas sobre línea base año 2008</t>
  </si>
  <si>
    <t>Al 2040, el 100% del consumo eléctrico de Empresa de Ferroca_x0002_rriles del Estado será carbono neutral</t>
  </si>
  <si>
    <t>Incorporar en los procesos de formulación de los instrumentos de ordenamiento territo_x0002_rial y planificación urbana, objetivos de movilidad sostenible y de cambio climático (ej., planificación integrada considerando componentes de movilidad y transporte, incentivar el desarrollo de ciudades compactas, policéntricas y con mixtura de usos de suelo, y con patrones de viajes más eficientes)</t>
  </si>
  <si>
    <t>Promover iniciativas de fortalecimiento del transporte público y modos de transporte activo, eficientes y sostenibles para su priorización por sobre el uso de vehículos particulares.</t>
  </si>
  <si>
    <t>Al 2025, haber desarrollado en conjunto con MINVU, en las prin_x0002_cipales ciudades del país (sobre 50 mil habitantes) los Planes Maestros de Infraestructura Ciclo-inclusiva y con el MOP redes interurbanas que per_x0002_mitan conectar estas ciudades con las localidades cercanas y otras ciudades que pertenecen a su área de influencia funcional.</t>
  </si>
  <si>
    <t>Al 2030, haber desarrollado y mantener actualizados Planes Maestros de Movilidad en 28 capitales regionales y ciudades intermedias sobre 80.000 habitantes y haber desarrollado y actualizado Planes de Ges_x0002_tión de Tránsito en 23 ciudades intermedias menores a 80.000 habitantes, concebidos bajo enfoque de movilidad sostenible y con metas específicas de reducción de emisiones</t>
  </si>
  <si>
    <t>Al 2030, haber generado e implementado Planes de Movilidad Peatonal en las ciudades y barrios que presenten las mayores limitantes y barreras al modo peatón.</t>
  </si>
  <si>
    <t>: Al 2030, haber consolidado sistemas de bicicletas públicas en to - das las áreas metropolitas potencialmentente existentes a la fecha: Iqui - que - Alto Hospicio, Gran Concepción, Puerto Montt-Puerto Varas; Rancagua Machalí; La Serena Coquimbo; Valparaíso</t>
  </si>
  <si>
    <t>Al 2030, haber fortalecido los mecanismos de recolección, alma - cenamiento y difusión de información de movilidad, por medios pasivos y digitales, que permitan el tratamiento y analítica de datos masivos, estan - darizados y continuos, así como la generación de información en formatos y plataformas abiertas para todo el ecosistema de movilidad. Meta 5.2: Al 2030, haber mejorado la disponibilidad de información y analítica de movilidad para usuarios y operadores, avanzado hacia la transformación digital de la gestión de la movilidad, a través de la automatización de procesos y mediante la aplicación de sistemas predictivos, gestionados desde Observatorios de Movilidad ya sean público o privados.</t>
  </si>
  <si>
    <t>Al 2050, haber optimizado la operación de las redes viales en las ciudades principales, haber mejorado las condiciones de desplazamiento y la eficiencia de la infraestructura vial, mediante la integración de la red de semáforos a centros de control de tránsito.</t>
  </si>
  <si>
    <t>umentar el uso de tecnologías limpias (baja o cero emisión de carbono) en el trans_x0002_porte público urbano, transporte privado, transporte interurbano de pasajeros y transporte de carga urbano e interurbano.</t>
  </si>
  <si>
    <t>Al 2030, haber dado inicio a un programa de cambio a tecnologías limpias en la Logística Urbana, mediante experiencias piloto en electromo_x0002_vilidad e hidrógeno verde, certificación de vehículos, campañas de promo_x0002_ción e información, gestión y difusión de datos y coordinación internacional Holanda y H2 /Chile para el Hidrógeno Verde</t>
  </si>
  <si>
    <t>Al 2030, tener actualizada la información de la actividad del transporte a nivel urbano (MTT): flujos y velocidades habilitante para el cálculo de estimaciones anuales de emisiones de las fuentes móviles que realiza MMA para las 28 principales ciudades de Chile, a fin de dispo_x0002_ner del monitoreo, seguimiento y control de la evolución de las emisiones contaminantes en el ámbito urbano (MRV). 6</t>
  </si>
  <si>
    <t>Al 2030, disponer de normativa habilitante para los procesos de reconversión de vehículos a tecnologías de bajas emisiones, como apoyo a los procesos de reconversión tecnología.</t>
  </si>
  <si>
    <t>Al 2040, contar con sistemas de transporte público urbano ba_x0002_sados 100% en tecnologías cero emisión, en todas las regiones del país</t>
  </si>
  <si>
    <t>Al 2040, alcanzar la reconversión del 100% de los taxis básicos y taxis colectivos a un modelo de cero emisiones.</t>
  </si>
  <si>
    <t>Al 2050, alcanzar un porcentaje de reconversión de un 71% de los vehículos de carga en base a vehículos cero emisión</t>
  </si>
  <si>
    <t>Al 2030, generar espacios de articulación público-privada (Minis_x0002_terio de Energía, Ministerio de Transportes) para fomentar la electromovili_x0002_dad en el transporte turístico.</t>
  </si>
  <si>
    <t>Build a comprehensive three-dimensional transportation network, integrate the concept of green development throughout the entire process of transportation infrastructure planning, design, construction, operation, and maintenance, and actively promote the construction of green railways, green highways, green waterways, green ports, green airports, and green hubs.</t>
  </si>
  <si>
    <t>Accelerate the optimization and adjustment of the transportation structure, continue to deepen the construction of special railways and special railway lines, actively develop direct river-sea and river-sea combined transportation, strive to increase the proportion of combined iron and water transportation, accelerate the promotion of the "revolution to rail" and "revolution to water" of bulk cargo in coastal ports,</t>
  </si>
  <si>
    <t>vigorously develop multi-modal high-efficiency transportation organization modes such as combined transportation, drop-and-pull transportation and joint distribution,</t>
  </si>
  <si>
    <t>improve the efficiency of transportation operations, promote the standardization of freight vehicles, and accelerate the application of recyclable standardized logistics turnover boxes.</t>
  </si>
  <si>
    <t>Promote the development of smart transportation, and actively develop new technologies, new business formats,</t>
  </si>
  <si>
    <t>new models such as autonomous driving and shared cars.</t>
  </si>
  <si>
    <t>Accelerate the development, promotion and application of key energy-saving and low-carbon technologies and products in the transportation sector.</t>
  </si>
  <si>
    <t>Continue to increase the retention rate of new energy vehicles.</t>
  </si>
  <si>
    <t>Promote the realization of electrification, new energy and cleanness of urban public transportation and urban logistics and distribution vehicles and promote the use of new energy for private cars and trucks.</t>
  </si>
  <si>
    <t>Promote the application of low-carbon energy ships</t>
  </si>
  <si>
    <t>explore the application of biomass fuels and other synthetic fuels in civil aviation.</t>
  </si>
  <si>
    <t>Increase the application of renewable energy such as solar energy, wind energy and geothermal energy in transportation infrastructure</t>
  </si>
  <si>
    <t>accelerate the improvement of the LNG and hydrogen energy supply (filling) system,</t>
  </si>
  <si>
    <t>Facilitate purchase of low-emission vehicles</t>
  </si>
  <si>
    <t>Scrapping of high-emission vehicles through standards, incentives or obligations</t>
  </si>
  <si>
    <t>Integrate climate in territorial planning documents in order to limit travel distances</t>
  </si>
  <si>
    <t>Advance urban transport plan development (e.g. urban train in the district of Abidjan)</t>
  </si>
  <si>
    <t>Propose efficient transport policies</t>
  </si>
  <si>
    <t>Facilitate purchase of low-emission vehicles and scrapping of high-emission vehicles through standards, incentives or obligations</t>
  </si>
  <si>
    <t>Promouvoir le transport de masse</t>
  </si>
  <si>
    <t>Renouveler et diversifier le parc automobile ivoirien</t>
  </si>
  <si>
    <t>10% du parc automobile est électrique d'ici 2030 (inconditionnelle) et 25% du parc automobile est électrique d'ici 2030 (conditionnelle)</t>
  </si>
  <si>
    <t>29-30</t>
  </si>
  <si>
    <t>Mettre en oeuvre les projets de BRT</t>
  </si>
  <si>
    <t>de Train Urbain au niveau de la ville d'Abidjan</t>
  </si>
  <si>
    <t>Mettre en oeuvre des mesures initiatives à l'achat des véhicules plus économiques (bonus-malus)</t>
  </si>
  <si>
    <t>focus on solving the problems of difficult approval, construction, and operation of marine LNG refueling stations.</t>
  </si>
  <si>
    <t>Build (near) zero-carbon hubs, stations and ports (port areas). Speed up the construction of a green travel system.</t>
  </si>
  <si>
    <t>Strengthen the comprehensive management of urban traffic congestion,</t>
  </si>
  <si>
    <t>give priority to the development of urban public transportation,</t>
  </si>
  <si>
    <t>encourage the public to preferentially choose urban public transportation to travel,</t>
  </si>
  <si>
    <t>improve the urban slow traffic system, and increase the proportion of green travel.</t>
  </si>
  <si>
    <t>Actively develop large-capacity and high-efficiency inter-regional rapid passenger transport services with high-speed rail and aviation as the mainstay,</t>
  </si>
  <si>
    <t>improve the level of rail transit commuting in urban agglomerations,</t>
  </si>
  <si>
    <t>encourage the mass transit form operation of intercity road transportation in areas with high passenger demand.</t>
  </si>
  <si>
    <t>Para los usos que con las tecnologías disponibles hoy (2021) no pueden ser electrificados como la aviación y el transporte de carga pesado de larga distancia, debe ser satisfecha con una combinación de combustibles fósiles, combustibles sintéticos a partir de hidrógeno, syngas y biocombustibles sostenibles de segunda y tercera generación.</t>
  </si>
  <si>
    <t>La movilidad sostenible deberá jugar un rol central en la carbono neutrali_x0002_dad. Para ello se deberán electrificar los modos de transporte terrestre,</t>
  </si>
  <si>
    <t>, a la vez que se acelera la construcción de infraestructura de recarga</t>
  </si>
  <si>
    <t>se actualiza la normatividad para la adopción de diversos tipos de vehículos eléctricos</t>
  </si>
  <si>
    <t>mientras que los servicios de transporte descarbonizado deberán proporcionarse para los sistemas de transporte público que crecen para atender más del 70 % de la demanda total de movilidad por carretera para 2050</t>
  </si>
  <si>
    <t>Improve the fuel-economics of the vehicles</t>
  </si>
  <si>
    <t>To introduce the Bus Rapid Transit systems in large cities</t>
  </si>
  <si>
    <t>Expand and encourage public transport facilities</t>
  </si>
  <si>
    <t>Restrict excessive use of the private transportation by the permitting system of car service by day of the week and a day’s interval</t>
  </si>
  <si>
    <t>Improvement of public transport</t>
  </si>
  <si>
    <t>Assurer le développement du secteur de transport avec un accent sur le transports de masse et ce, à travers le tramway, autobus, train…</t>
  </si>
  <si>
    <t>deux leviers d’atténuation contribuant à hauteur de 27 à 37 Mt CO2e (McKinsey et al.,2009) au potentiel total d’atténuation se focaliseront sur l’amélioration du transport public urbain et interurbain tout en développant des plans directeurs de transport et la promotion du transport multimodal pour les passagers et les marchandises.</t>
  </si>
  <si>
    <t>développant des plans directeurs de transport</t>
  </si>
  <si>
    <t>promotion du transport multimodal pour les passagers et les marchandises.</t>
  </si>
  <si>
    <t xml:space="preserve">Au 10 centres urbains (cités et villes) dotés de : plan directeur de circulation </t>
  </si>
  <si>
    <t xml:space="preserve">Nouveau système de transport public (Bus, Rail, etc.) </t>
  </si>
  <si>
    <t>Nombre de infrastructures voies de communication routière, ferroviaire (interconnexion), fluviales et lacustres construites/réhabilitées</t>
  </si>
  <si>
    <t>Nombre d’unités de montage de véhicules neufs à faibles émissions localement (en termes de transfert de technologies</t>
  </si>
  <si>
    <t>Además, para 2050 el 64 % de los sistemas de transporte público necesitarán ser alimentados por electrici_x0002_dad, mientras que el resto de la energía será una mezcla de gas natural, líquidos fósiles y biocom_x0002_bustibles (Universidad de los Andes et al., 2021).</t>
  </si>
  <si>
    <t>Promover alternativas de movilidad sostenible (transporte público, bicicleta, ve_x0002_hículos eléctricos)</t>
  </si>
  <si>
    <t>ciclorutas</t>
  </si>
  <si>
    <t>esta_x0002_ciones de carga eléctrica para vehículos</t>
  </si>
  <si>
    <t>Los proyectos de revitalización de la ciudad y desarrollo de nuevas áreas utilizan un enfoque de desarrollo orientado al transporte para alcanzar un porcentaje de participación del 70 % de los modos de transporte activo, compartido (incluy_x0002_endo el transporte público colectivo y masivo) y de micromovilidad y la reducción del VKT (vehí_x0002_culo kilómetro viajado) en vehículos privados</t>
  </si>
  <si>
    <t>Entre el 80 % y 100 % de las grandes e inter_x0002_medias ciudades (primera categoría y especial) optimizan la logística de la carga urbana</t>
  </si>
  <si>
    <t>Entre el 80 % y 100 % de los vehículos en las cat_x0002_egorías: vehículos de pasajeros urbano (bus, buse_x0002_ta, microbús, padrón, articulado y biarticulado) y vehículos oficiales tienen tecnología cero o bajas emisiones27 (eléctrico, hidrógeno, biogás, etcétera)</t>
  </si>
  <si>
    <t>Restricción de operación de aviones que superen emisiones de CO2 respecto a un límite definido acorde con la vigilancia tecnológica</t>
  </si>
  <si>
    <t>En el 2050 los corredores interurbanos conformados por vías secundarias ofrecerán estaciones de carga rápida cada 100 km</t>
  </si>
  <si>
    <t>Adopción de nuevas tecnologías de cero y muy bajas emisiones para camiones de carga</t>
  </si>
  <si>
    <t>Al menos el 70 % de los vehículos en cir_x0002_culación en todas las modalidades habrán sido adquiridos después del año 2035</t>
  </si>
  <si>
    <t>Red de vías primarias y secund_x0002_arias actualizadas como vías in_x0002_teligentes (Smart Roads) que reduzcan el riesgo climático, au_x0002_menten la seguridad vial y me_x0002_joren la eficiencia energética</t>
  </si>
  <si>
    <t>Consolidación de la multimodalidad con logística en la interfaz río mar y puertos interiores, pasarelas portuarias y cooperación entre puer_x0002_tos marítimos e interiores, con diseños flexibl</t>
  </si>
  <si>
    <t>To launch vehicle scrapping pilot program</t>
  </si>
  <si>
    <t>To improve and update the energy efficiency regulations for the transport sector by updating the standards for the import and circulation of internal combustion engine vehicles, improving fleet standards.</t>
  </si>
  <si>
    <t>To implement the sectorization of the public transport services,
in bus modality, in a manner aligned with the mobility needs of the
citizens and firstly focused on the GMA.</t>
  </si>
  <si>
    <t>To establish and operate an efficient and accessible Electronic Payment system for bus and train services.</t>
  </si>
  <si>
    <t>To adopt measures that promote intermodality</t>
  </si>
  <si>
    <t>To establish a governance model under the sustainable mobility
system approach.</t>
  </si>
  <si>
    <t>To progress in the construction of the Electric Train under the
most feasible model, connecting Cartago, San José, Heredia and
Alajuela.</t>
  </si>
  <si>
    <t>To implement campaigns that promotes the use of public
transport and intermodality</t>
  </si>
  <si>
    <t>To establish the electrification of public transport program, which will include the implementation of three electric buses pilots, financing alternatives and incentives to test the process at the level of transportation companies, considering tariffs that facilitate the inclusion of the technology in the model of service provision</t>
  </si>
  <si>
    <t>To identify and evaluate the best options to electrify the taxi fleet.</t>
  </si>
  <si>
    <t>To explore the technical and financial feasibility of creating a public fund to improve the conditions of the transition to electric public transport.</t>
  </si>
  <si>
    <t>To design a plan to promote hydrogen and other zero-emissions
technologies.</t>
  </si>
  <si>
    <t>To analyze the options for new undertakings and business models to promote shared mobility schemes in the country</t>
  </si>
  <si>
    <t>To launch communication campaigns that promotes public transport and zero-emissions.</t>
  </si>
  <si>
    <t>To review and adjust the Regulatory Plans and other territorial management tools in order to promote low-emissions development oriented to transport.</t>
  </si>
  <si>
    <t>To promote dense and compact city models.</t>
  </si>
  <si>
    <t>Set up a maintenance service for two-wheel vehicles and raise awareness about their use</t>
  </si>
  <si>
    <t>Construct a 752-km railway line between Djibouti City and Addis Ababa</t>
  </si>
  <si>
    <t>Eliminate the import of 10,000 old cars that produce excessive pollution</t>
  </si>
  <si>
    <t>Introduce environmental tax on imported vehicles, ranging from 1% of total value (including freight charges) on vehicles less than 5 yrs, to EC$3,000 on vehicles older than 5 yrs</t>
  </si>
  <si>
    <t xml:space="preserve">
Introduce market-based mechanisms to motivate the private sector to buy hybrid vehicles when replacing current vehicles
Introduce a policy requiring that all government vehicles, at their time of replacement, will be replaced by hybrids vehicles</t>
  </si>
  <si>
    <t>Replace Streetlights in Portsmouth with Off-grid Light Emitting Diode (LED) Fixtures</t>
  </si>
  <si>
    <t>Aggressive switch to green transportation, focusing on electric vehicles and possibly fuel cell vehicles.</t>
  </si>
  <si>
    <t xml:space="preserve">A few rapid charging stations can be setup around the island powered by hydro or wind to
provide the daily charging requirement, with solar PV reserved for top-up at bus stops and parking garages. </t>
  </si>
  <si>
    <t xml:space="preserve">A combination of improved public transportation,
</t>
  </si>
  <si>
    <t>enhanced pedestrian walkways, routes and sidewalks, and public awareness on the cross benefit of exercise.</t>
  </si>
  <si>
    <t>the introduction of a policy mandating that all government vehicles, at their time of replacement, be replaced with hybrid vehicles;</t>
  </si>
  <si>
    <t>the introduction of market-based mechanisms to motivate the private sector to purchase hybrid vehicles when replacing current vehicles.</t>
  </si>
  <si>
    <t>Airport CO2 certification</t>
  </si>
  <si>
    <t>Although Dominica does not own or operate any airline and has little influence on the fuel used by airplanes, Dominica Air and Sea Port Authority (DASPA) has embarked on a program to augment airport and</t>
  </si>
  <si>
    <t>Port infrastructure improvements</t>
  </si>
  <si>
    <t>sea port facilities with off-grid electricity using solar PV and possible hydro</t>
  </si>
  <si>
    <t xml:space="preserve">Establishment of legislative support to facilitate introduction of biofuels for vehicles and generators </t>
  </si>
  <si>
    <t xml:space="preserve">Upgrading of roads to improve connectivity, reduce travel time and vehicle emissions </t>
  </si>
  <si>
    <t>Conversion to solar powered LED street lights</t>
  </si>
  <si>
    <t xml:space="preserve">Establishment of vehicle upgrade and maintenance programs to phase in the conversion to fuel efficient and  </t>
  </si>
  <si>
    <t>low-carbon vehicles (solar powered, electrical, biofuel powered, hydrogen powered)</t>
  </si>
  <si>
    <t>identification of options and impacts of fostering public transport</t>
  </si>
  <si>
    <t>options of non-motorised transport/transit-oriented development and micromobility schemes including shared mobility eg. electric bicycles, scooters and motorcycles,</t>
  </si>
  <si>
    <t>options for emobility for different vehicle categories including buses, cargo delivery vehicles, passenger cars and vessels, a systems analysis is made including vehicles,</t>
  </si>
  <si>
    <t xml:space="preserve">charging infrastructure, grid impacts and grid adjustments </t>
  </si>
  <si>
    <t xml:space="preserve">or upgrades required and options for (decentralized) renewable energy supply, assessment of the usage of EVs for increasing climate resilience to extreme weather events as back-up grid and storage, </t>
  </si>
  <si>
    <t>options for hydrogen vessels including assessment of the entire hydrogen value chain (hydrogen production based on electrolysis using RE, hydrogen logistics, hydrogen filling stations and hydrogen vehicles) with a special focus on hydrogen-based vessel</t>
  </si>
  <si>
    <t>Development of policy instruments and business models to incentivize low-carbon transportation options. This also includes the formulation of a low-carbon transportation and EV roadmap. Assessment of finance options for low-carbon transportation. Finance options to be considered include upcoming e-mobility funds currently under design by the IDB and by a consortium of AFD, GIZ, KFW and CAF.</t>
  </si>
  <si>
    <t>Líneas nuevas y adicionales del Metro de Santo Domingo.</t>
  </si>
  <si>
    <t>Nueva línea de teleférico.</t>
  </si>
  <si>
    <t>Creación y adecuación del sistema BRT en las grandes ciudades (Santo Domingo y Santiago de los Caballeros)</t>
  </si>
  <si>
    <t>Renovación del parque de autobuses de diésel por unidades eléctricas 100 %.
Modernización del parque vehicular público por unidades eléctricas e híbridas.
Adecuación de un servicio de transporte escolar seguro y eficiente con buses eléctricos.</t>
  </si>
  <si>
    <t>Diseño e implementación de la red de bus alimentadores, en complemento del transporte masivo y la red de bus principal</t>
  </si>
  <si>
    <t>Nuevas unidades a gas natural.</t>
  </si>
  <si>
    <t>Introducción de marcos habilitantes para la modernización del parque de vehículos privados (sustitución por vehículos híbridos y 100 % eléctricos).</t>
  </si>
  <si>
    <t>Adecuación de red para ciclo vías con la implementación de las bicicletas en las grandes ciudades</t>
  </si>
  <si>
    <t>Creación de líneas de bus express para grandes ciudades (carriles expresos). (Cualitativa)</t>
  </si>
  <si>
    <t>Implementación del programa de inspecciones técnicas a todos los vehículos en circulación (medición de parámetros). (Cualitativa)</t>
  </si>
  <si>
    <t>Definición y aplicación de una política de renovación de taxis y conchos</t>
  </si>
  <si>
    <t>Develop electric rail (Trans-amazonian)</t>
  </si>
  <si>
    <t>Acciones de reducción de emisiones de GEI en transporte de carga.</t>
  </si>
  <si>
    <t>Acciones de reducción de emisiones de GEI en transporte de pasajeros en Quito, Guayaquil y Cuenca</t>
  </si>
  <si>
    <t>Freight: Switch from road to river transport; Freight: Switch from road to rail transport</t>
  </si>
  <si>
    <t>Passenger transport:
Increase Share of Railways Pass.
Increase Share of Buses Pass.
Increase Share of Microbuses Pass.
Increase Share of River Pass.
Cairo metro (Line 3 phase 3&amp; 4 + Line 4)</t>
  </si>
  <si>
    <t>Passenger transport: Improve road transport efficiency</t>
  </si>
  <si>
    <t>Low Carbon Transport: The further expansion in the Greater Cairo underground metro
network included the operation of stage 4 of length 11.5 km (Phase I: 2019, Phase II: 2020)
of the third Cairo metro line as a progress towards achieving the modal shift to low carbon
mass transit. The third line is the first metro to link east and west Cairo and is expected to
serve 2 million passenger trips per day.</t>
  </si>
  <si>
    <t>The concept of high quality service buses has been
introduced to Egypt targeting car owners to use the newly public transportation system
that is integrated with the existing mass transit systems. It is offered by the private sector
and is expanding rapidly with more than 200 smart buses linked to mobile applications.</t>
  </si>
  <si>
    <t>It is offered by the private sector
and is expanding rapidly with more than 200 smart buses linked to mobile applications.</t>
  </si>
  <si>
    <t>Green Finance: Mobilizing national and international green finance through multiple
mechanisms and initiatives. The launch of the first Sovereign Green Bonds (September
2020) in Middle East and North Africa region by Egypt’s Ministry of Finance at a value
of 750 million listed in London Stock Exchange to attract foreign investors. Egypt’s
portfolio of eligible green projects is worth $1.9 billion, 16% in renewable energy, 19% in
clean transportation, 26% in sustainable water and wastewater management, and 39% in
pollution reduction and control.</t>
  </si>
  <si>
    <t>Since road transport is by far the largest GHGs contributor in the transport sector in Egypt,
it is planned to drive low carbon modal shift from private passenger and freight vehicles
into mass transit, primarily through:
• The expansion in Cairo metro network through the construction and operation of
stage 3 of Line 3 (17.7 km); Line 4 (42 km) that extends from Nasr City, Abbassia
and Giza; Line 5 (25 km) that starts from Nasr City passes Heliopolis and ends at
Shubra El Kheima;and Line 6 (35 km) that connects Maadi, Old City Centre, Shubra
El Kheima. The GHG emission reductions from Cairo metro network includes the
rehabilitation of existing lines 1, 2, and 3.
• The development of Alexandria Metro (Abu Qir – Alexandria railway line) and
rehabilitation of the Raml tram line. The two projects would transport 61,000
passengers/hour/direction and 13,800 passengersz/hour/direction respectively                                    • The operation of New Capital monorail at the length of 56.5 km (22 stations) and
6th October monorail at the length of 42 km (12 stations)</t>
  </si>
  <si>
    <t>16, 17</t>
  </si>
  <si>
    <t>The operation of the Light Rail Transit (LRT) electric train (Al Salam – 10th of Ramadan
– New Capital) at the length of 103 km (19 stations). In addition, operation of the
rapid electric train (Ain Sokhna – New Capital – Borg El Arab – Alamein – Matrouh)
at the length of 660 km (20 stations). Others include the rapid electric train (6th
October – Luxor – Aswan) at the length of 925 km (28 stations), the rapid electric
train (Luxor – Qena – Safaga – Hurghada), and the rapid electric train (West Port
Said - Abu Qir).23</t>
  </si>
  <si>
    <t xml:space="preserve">The transformation of public buses to operate on lower carbon intensive fuels (i.e. natural gas), </t>
  </si>
  <si>
    <t xml:space="preserve">efficient routes through the adoption of Bus Rapid Transit (BRT) systems. </t>
  </si>
  <si>
    <t>Moreover, the encouragement of use of bicycles and construction of designated lanes and other infrastructure</t>
  </si>
  <si>
    <t>Implement the National Road Project that aims to develop new roads of 7,000 km
length to sum up the total roads network to 30,000 km and upgrade 10,000 km of
the current road infrastructure. Moreover, establish 34 new road axes on the Nile,
construct 1,000 bridges and tunnels, construct paved roads within the governorates,
and utilize modern asphalt recycling technologies to reduce environmental impacts.
This would improve interconnections between cities and decrease commuting time
and fuel consumption for road vehicles.</t>
  </si>
  <si>
    <t xml:space="preserve">Greening of the civil aviation sector through introducing 2% biofuels to airplanes,
</t>
  </si>
  <si>
    <t xml:space="preserve">convert passenger buses and other vehicles to operate on cleaner fuels, </t>
  </si>
  <si>
    <t>install PV in airports and improve energy efficiency of its facilities, and other resource efficiency measures</t>
  </si>
  <si>
    <t xml:space="preserve">Adopt the National Active Mobility Strategy to encourage citizens to use bicycles and walking in designated paths, and </t>
  </si>
  <si>
    <t>shift gradually to electric vehicles using clean energy sources and the establishment of the necessary infrastructure inside cities</t>
  </si>
  <si>
    <t>Installing energy efficient and/or solar-operated street lighting and advertisements
in internal roads and in highways between cities.</t>
  </si>
  <si>
    <t>Introducción de electro-movilidad en el parque vehicular con atención primaria al transporte de pasajeros, público y privado</t>
  </si>
  <si>
    <t>transporte público masivo</t>
  </si>
  <si>
    <t>uso de bicicleta</t>
  </si>
  <si>
    <t>gestión del tráfico; en consideración de la seguridad vial y promoción de los espacios públicos</t>
  </si>
  <si>
    <t>zonas de velocidad restringida</t>
  </si>
  <si>
    <t>considerar pilotos regionales, como los ejecutados por el Área Metropolitana de San Salvador (AMSS), sobre ciclovías, Redes Ambientales Peatonales Seguras (RAPS) y urbanismo táctico.</t>
  </si>
  <si>
    <t>Improvement of (..) road traffic (...) infrastructures</t>
  </si>
  <si>
    <t>Acquisition of aircraft equipped with high technology
Continuation of the modernization of airport infrastructures</t>
  </si>
  <si>
    <t>Continuation of the modernization (…) port infrastructures</t>
  </si>
  <si>
    <t>Promotion of collective urban and interurban transport for the reduction of Emissions due to the proliferation of individual transport</t>
  </si>
  <si>
    <t>Improvement of air, land and maritime traffic management</t>
  </si>
  <si>
    <t>Improvement of  air, land and maritime traffic management</t>
  </si>
  <si>
    <t>Adquisición y construcción del uso de autobuses y estaciones del transporte colectivo urbano e interurbano para la reducción de emisiones debidas a la proliferación de transporte individual.</t>
  </si>
  <si>
    <t>Al menos adquirir 100 autobuses eléctricos para el ámbito nacional</t>
  </si>
  <si>
    <t>Al menos 8 estaciones de cargas de baterías y otros usos construidos</t>
  </si>
  <si>
    <t>Mejora de la gestión del tráfico aéreo, terrestre y marítimo, con inclusión de las reglamentaciones necesarias para la eficaz gestión del subsector y teniendo en cuenta lo estipulado en el Convenio de MARPOL</t>
  </si>
  <si>
    <t>Continuación de la modernización de las infraestructuras aeroportuarias, del tráfico rodado y las infraestructuras portuarias</t>
  </si>
  <si>
    <t>Biodiesel from MSW</t>
  </si>
  <si>
    <t>Construction of 400 km rail transportation</t>
  </si>
  <si>
    <t>Restriction on import of used cars</t>
  </si>
  <si>
    <t>Target 10% ethanol blend in petrol by 2030</t>
  </si>
  <si>
    <t>Introducing commercial use of 10% ethanol blend in petrol by 2030 and</t>
  </si>
  <si>
    <t>Conducting studies to assess the adoption of electric mobility options.</t>
  </si>
  <si>
    <t>Investments in improved transportation systems (e.g. railway) that utilize clean and renewable energy</t>
  </si>
  <si>
    <t>Urban planning transition towards mixed use, compact and polycentric cities, resulting in shorter distances travelled</t>
  </si>
  <si>
    <t>Transport electrification: Shifting transport energy demand from petroleum to electricity
Increasing the share of electric vehicles</t>
  </si>
  <si>
    <t>Public transport: Shifting transport energy demand from petroleum to electricity</t>
  </si>
  <si>
    <t>Increasing the share of public transport, including railways</t>
  </si>
  <si>
    <t>With regard to new cars and vans, the EU adopted legislation to reduce 55% of CO2 emissions for new cars and 50% for new vans from 2030 until 2034 and 100% CO2 emissions reductions from 2035 for new cars and vans.</t>
  </si>
  <si>
    <t>Emissions trading and carbon pricing</t>
  </si>
  <si>
    <t>The revision of the EU ETS Directive also applies a separate carbon pricing framework to fuel combustion in road transport and buildings and additional sectors (ETS2) and is designed to price emissions from 20274 without free allocation and to contribute to 42% emission reductions by 2030 compared to 2005 in the sectors covered.</t>
  </si>
  <si>
    <t>Avoid, shift, Improve</t>
  </si>
  <si>
    <t>With regard to commercial aviation, the EU ETS will continue to apply effective carbon pricing for intra-European flights and departing flights to the United Kingdom and to Switzerland.</t>
  </si>
  <si>
    <t>legislation is in place to apply the Carbon Offsetting and Reduction Scheme for International Aviation of the International Civil Aviation Organization (CORSIA)</t>
  </si>
  <si>
    <t>In March and April 2023 respectively, the Council of the European Union and the European Parliament reached an agreement on the FuelEU maritime and the RefuelEU aviation proposals to increase the uptake of sustainable fuels by aircraft and ships and reduce their environmental footprint.</t>
  </si>
  <si>
    <t>A regulation on the deployment of alternative fuels infrastructure to ensure that the public has access to a sufficient infrastructure network for recharging or refuelling road vehicles or ships with alternative fuels has been adopted</t>
  </si>
  <si>
    <t>New, binding targets will reduce CO2 emissions from road transport. CO2 emissions per kilometre from passenger cars sold in the EU must be reduced, on average by 37.5% from 2021 levels by 2030, and new vans on average by 31% from 2021 levels by 2030.</t>
  </si>
  <si>
    <t>CO2 emissions per kilometre from new large lorries must be reduced on average by 30% from 2019/2020 reference period levels.</t>
  </si>
  <si>
    <t>As part of a mandated review in 2022, targets may be revised and/or extended to smaller lorries, buses, coaches and trailers.</t>
  </si>
  <si>
    <t>Emissions from aviation are included in the EU ETS; however, currently, the scope of the EU ETS is limited to flights within the European Economic Area</t>
  </si>
  <si>
    <t>To promote sustainable mobility in cities, with special emphasis on the promotion of active modes</t>
  </si>
  <si>
    <t>To implement demand management measures</t>
  </si>
  <si>
    <t>To publish a National Electric Transportation Plan and generate complementary regulations (guidelines, regulations and standards) to operationalize Law 9518 on incentives and promotion of the electric transport.</t>
  </si>
  <si>
    <t>To implement transition plans for zero-emissions transport in institutional fleets.</t>
  </si>
  <si>
    <t>To consolidate programs for the repair and maintenance of zeroemissions vehicles</t>
  </si>
  <si>
    <t>To consolidate the "Fast Charge Network" for electric transport</t>
  </si>
  <si>
    <t>To launch zero-emissions transport promotion campaigns.
To develop educational campaigns to cut down myths associated
with electric technology in vehicles.</t>
  </si>
  <si>
    <t>To design a roadmap for the efficient management of electric
vehicle batteries at the end of their life cycle.</t>
  </si>
  <si>
    <t>To consolidate the development of the national biofuels industry.</t>
  </si>
  <si>
    <t>To design LPG Use Roadmap for specific niches coherent with
global decarbonization goals.</t>
  </si>
  <si>
    <t>To update regulations to improve the quality of fuels</t>
  </si>
  <si>
    <t>To implement measures that improve the distribution of cargo in
agreement with the Logistics and Cargo Plan.</t>
  </si>
  <si>
    <t>To generate open data to improve the planning of light and heavy cargo transport</t>
  </si>
  <si>
    <t>To integrate the intensive use of rail transportation for the mobilization of merchandise in the major routes and demand in the distribution model and Pre-investment Study registered in MIDEPLAN cargo commercialization</t>
  </si>
  <si>
    <t>To design a plan for the technological efficiency improvement
of the cargo transport sector, which will consider aspects such as
technological improvement (LPG, for example), the use of filters,
biofuels and other efficiency improvements.</t>
  </si>
  <si>
    <t>To implement a pilot project of efficiency improvement of the cargo transport.</t>
  </si>
  <si>
    <t>To adjust Law 9518 so that fiscal incentives also apply for electric light-duty vehicles.</t>
  </si>
  <si>
    <t>To establish a Pilot Plan to involve companies in the cargo transport sector in the Carbon Neutrality Country Program 2.0</t>
  </si>
  <si>
    <t>To address the lack of emissions reductions in road transport and buildings, a separate new emissions trading system is set up for fuel distribution for road transport and buildings.</t>
  </si>
  <si>
    <t>A dedicated part of the revenues from the new system for road transport and buildings should address the possible social impact on vulnerable households, microenterprises and transport users</t>
  </si>
  <si>
    <t>The Renewable Energy Directive will set an increased target to produce 40% of our energy from renewable sources by 2030. All Member States will contribute to this goal, and specific targets are proposed for renewable energy use in transport,</t>
  </si>
  <si>
    <t xml:space="preserve">Stronger CO2 emissions standards for cars and vans will accelerate the transition to zero-emission mobility by requiring average emissions of new cars to come down by 55% from 2030 and 100% from 2035 compared to 2021 levels. </t>
  </si>
  <si>
    <t>As a result, all new cars registered as of 2035 will be zero-emission.</t>
  </si>
  <si>
    <t>To ensure that drivers are able to charge or fuel their vehicles at a reliable network across Europe, the revised Alternative Fuels Infrastructure Regulation will require Member States to expand charging capacity in line with zero-emission car sales, and to install charging and fuelling points at regular intervals on major highways: every 60 kilometres for electric charging and every 150 kilometres for hydrogen refuelling.</t>
  </si>
  <si>
    <t xml:space="preserve">Aviation and maritime fuels cause significant pollution and also require dedicated action to complement emissions trading. The Alternative Fuels Infrastructure Regulation requires that aircraft and ships have access to clean electricity supply in major ports and airports. </t>
  </si>
  <si>
    <t xml:space="preserve">The ReFuelEU Aviation Initiative will oblige fuel suppliers to blend increasing levels of sustainable aviation fuels in jet fuel taken on-board at EU airports, including synthetic low carbon fuels, known as e-fuels. </t>
  </si>
  <si>
    <t>Similarly, the FuelEU Maritime Initiative will stimulate the uptake of sustainable maritime fuels and zero-emission technologies by setting a maximum limit on the greenhouse gas content of energy used by ships calling at European ports.</t>
  </si>
  <si>
    <t>Regarding the passenger car fleet, the number of diesel vehicles are expected to reduce over time, and these are replaced by gasoline, gasoline hybrid and battery electric vehicles. It is worth highlighting that a significant penetration of new electric vehicles appears in the fleet in the late 2030’s, which brings full electrification of private passenger transport in 2050.</t>
  </si>
  <si>
    <t>Smart charging policies</t>
  </si>
  <si>
    <t>Smart charging of vehicles and potential use of vehicle-to-grid systems, in which vehicle batteries can be used as additional supporting infrastructure by the grid operator, can offer demand response services that in turn can add flexibility and have an enabling effect for intermittent renewable energy technologies, subject to wider regulatory and market developments such as the introduction of Time-of-Use or dynamic pricing retail contracts.</t>
  </si>
  <si>
    <t>It is important to highlight the drastic reduction in overall energy demand of the transport sector through the promotion of sustainable transport modes. It is estimated that additional cumulative investments in public transport for this scenario amount to 800-900 million EUR2016 to develop a tram line in Nicosia and increase the bus fleet, and an additional 500 million EUR2016 for creating the necessary infrastructure for sustainable transport until 2030.</t>
  </si>
  <si>
    <t xml:space="preserve">The forecast for the transport sector foresees penetration of alternative fuels and technologies such as LPG and electric. </t>
  </si>
  <si>
    <t>Introduction of carbon tax (as an transport decarbonisation option)</t>
  </si>
  <si>
    <t xml:space="preserve">At the national level, emissions reduction is addressed by the Transport Policy of the Czech Republic (for the period 2014–2020, with a perspective until 2050) and the Action Plan for Clean Mobility. These strategies envisage a gradual increase in the share of alternative propulsion and fuels in road transport </t>
  </si>
  <si>
    <t>further electrification of railways,</t>
  </si>
  <si>
    <t>a gradual shift of freight transportation from road to rail or water transport.</t>
  </si>
  <si>
    <t>vehicle replacement</t>
  </si>
  <si>
    <t xml:space="preserve">changed transportation habits </t>
  </si>
  <si>
    <t>In addition, the Government is working for higher EU climate ambitions, which are expected to support greenhouse gas reductions in Denmark. The European Commission proposes to increase EU’s climate target to at least 55% greenhouse gas emissions reductions by 2030 compared to 1990, implemented by means of a strengthened and possibly expanded emission trading system (ETS) and by supportive sector legislations such as increased CO2 standards for light and heavy vehicles Depending on how a possibly higher target will be implemented, this could lead to reductions in Denmark through for instance</t>
  </si>
  <si>
    <t>higher emission allowances prices and more energy-efficient vehicles</t>
  </si>
  <si>
    <t xml:space="preserve">This includes a blend in requirement for the use of renewable energy fuels in 2021, </t>
  </si>
  <si>
    <t>future taxation of passenger cars and vans</t>
  </si>
  <si>
    <t xml:space="preserve">a displacement requirement concerning renewable energy fuels in the transport sector. </t>
  </si>
  <si>
    <t xml:space="preserve">With the changes in taxation in the transport sector, the increase in incentives for buying and using zero or low-emission vehicles is expected to lead to 775.000 zero or low -emission passenger cars and vans in the Danish vehicles fleet by 2030. </t>
  </si>
  <si>
    <t>Furthermore, it has been decided to implement a distance-based toll for heavy-duty vehicles from 2025 that is expected to be based on a differentiation according to CO2e-emissions. In conjunction with the displacement requirement of 7 % in 2030, the agreement is expected to reduce CO2e-emissions by 2.1 million tonnes by 2030</t>
  </si>
  <si>
    <t>Transport emissions can be reduced both through a greener selection of fuels</t>
  </si>
  <si>
    <t>There is also a similar potential for biofuels, which are being promoted through measures such as the Government’s proposed CO2 displacement requirements for fuels and strategy for renewable energy and biofuels.</t>
  </si>
  <si>
    <t>At European level, the Government is working to strengthening and extending the EU Emission Trading System to road transport and buildings to ensure a more uniform price signal across sectors and a more cost-effective climate regulation</t>
  </si>
  <si>
    <t>Establishment of the world's first offshore renewable energy hubs. Establishment of offshore wind farms of 3 GW and 2 GW. Green power from the hubs and other sources will be used directly but eventually also converted into sustainable fuels (Power-to-X) that can decarbonise sectors which cannot be directly electrified, e.g. aviation, heavy-duty transport, certain industrial processes, etc</t>
  </si>
  <si>
    <t>Green mission: PtX – Development of green fuels for transport and industry. Develop solutions to convert power generated by renewable sources into products that can be used to reduce emissions from segments of the transport and industrial sector that have no cost-effective alternatives to fossil energy.</t>
  </si>
  <si>
    <t>DKK 180 million to cancel tax increases on electric vehicles and reduce the process energy tax on EV electricity.</t>
  </si>
  <si>
    <t>DKK 25 million to introduce a deduction in the tax basis for green company cars to reduce the price of green driving to and from work.</t>
  </si>
  <si>
    <t>DKK 75 million to accelerate the transition to green buses.</t>
  </si>
  <si>
    <t>DKK 100 million to promote cycling and a pool of DKK 50 million from which municipalities can apply for cycling project funding in return for a 50% co-funding.</t>
  </si>
  <si>
    <t>Implementation of DKK 50 million for charging points</t>
  </si>
  <si>
    <t>Fuel switching (either biofuels or electricity) rather than mode changing for instance to improved public transport systems</t>
  </si>
  <si>
    <t>DKK 24 million to promote commercial carriage and DKK 1 million to analyse the potential for transitioning domestic ferries to renewable energy as part of the realisation of the green transport pool in 2020 and an analysis of the pricing structure for publicly accessible charging points.</t>
  </si>
  <si>
    <t>Advancement of the remaining implementation of the green transport pool for 2020 and 2021, as well as enlarging the pool by an additional DKK 50 million, so that total priorities amount to DKK 425 million in 2020 and 2020 for charging points, promotion of green commercial carriage and transitioning to green ferries.</t>
  </si>
  <si>
    <t>The Government’s climate initiative for road transport defines the framework for the future regulation of road transport that will generate a total reduction of one million tonnes of CO2e across initiatives in the area of passenger cars and heavy transport.</t>
  </si>
  <si>
    <t>The Government will work out a strategy for the further development of the renewable fuels market in Denmark as a transitional scheme towards 2035</t>
  </si>
  <si>
    <t>The Government is working for a strengthened emission trading (ETS) system that will be expanded to include road transport</t>
  </si>
  <si>
    <t>The Government has encouraged the Commission to present a strategy for how the EU can promote the green transition of the transport sector, including a clear plan for phasing out petrol and diesel cars in the EU. 
The Government is working to adjust the European rules to support phasing out of petrol and diesel cars from 2030, including more ambitious CO2 emissions standards for light and heavy vehicles, inclusion of road transport in the ETS sector, the necessary infrastructure, promotion of alternative fuels, including Power-to-X, and an ambitious approach to batteries. The Government will also work to forge an alliance between like-minded EU member states that can promote the phase-out agenda in the EU</t>
  </si>
  <si>
    <t>Among the Government’s initiatives to reduce aviation emissions is a call for the Commission to submit proposals for putting a price tag on aviation emissions, possibly including duties to ensure more sustainable air transport, and for the European Commission to analyse the possibility of reducing free allocations across sectors without leading to carbon leakage.</t>
  </si>
  <si>
    <t>The Government is actively working to ensure that potential future EU initiatives in the maritime sector will benefit the climate without jeopardising the competitiveness of Europe’s maritime sector.</t>
  </si>
  <si>
    <t>The Green Research Strategy also singles out a mission on e-fuels – Power-to-X – which will develop solutions to convert electricity from renewable sources to products that can be used to reduce emissions from segments of the transport and industrial sectors that have no cost-effective alternatives to fossil energy.</t>
  </si>
  <si>
    <t>The Green Research Strategy lists a number of themes for green research and innovation. The selection of themes is guided by green research requirements and potentials as well as business and research strengths and potentials. The themes include transport, etc. The Green Research Strategy also singles out a mission on e-fuels – Power-to-X – which will develop solutions to convert electricity from renewable sources to products that can be used to reduce emissions from segments of the transport and industrial sectors that have no cost-effective alternatives to fossil energy.</t>
  </si>
  <si>
    <t>shift from petroleum to hybrid and electric vehicles</t>
  </si>
  <si>
    <t>added</t>
  </si>
  <si>
    <t>Enhance NMT (bicycle, walking)</t>
  </si>
  <si>
    <t>Improve mass transport (BRT, rail, trolley bus)</t>
  </si>
  <si>
    <t>Fuel quality and efficiency: This policy intervention will be achieved
through sustained development of biofuels, such as
ethanol-blended gasoline and biodiesel</t>
  </si>
  <si>
    <t>Vehicle age limit</t>
  </si>
  <si>
    <t>Improve transport mobility (reduce congestion, parking, pricing)</t>
  </si>
  <si>
    <t>Increase share of rail transport (freight)</t>
  </si>
  <si>
    <t>Increase share of rail transport (passenger)</t>
  </si>
  <si>
    <t>Just as for renewable energy in the previous decade, the automotive industry already today heavily invests in the emergence of zero and low emission vehicle technologies, such as electric vehicles. A combination of decarbonised, decentralised and digitalised power, more efficient and sustainable batteries, highly efficient electric powertrains, connectivity and autonomous driving offers prospects to decarbonise road transport with strong overall benefits including clean air, reduced noise, accident-free traffic, altogether generating major health benefits for citizens and the European economy.</t>
  </si>
  <si>
    <t xml:space="preserve">A combination of decarbonised, decentralised and digitalised power, more efficient and sustainable batteries, highly efficient electric powertrains, connectivity and autonomous driving </t>
  </si>
  <si>
    <t>Electrification of short sea shipping and inland waterways is also an option, where the power to weight ratio makes it feasible.</t>
  </si>
  <si>
    <t>rail freight should become more competitive compared to road transport by eliminating operational and technical barriers between national networks and by fostering innovation and efficiency across the board</t>
  </si>
  <si>
    <t>Until we see emerge new technologies that will allow to electrify more modes than today, alternative fuels will be important</t>
  </si>
  <si>
    <t>hydrogen-based technologies (such as electric vehicles and vessels based on fuel cells) may become competitive in the medium to long-term.</t>
  </si>
  <si>
    <t>Liquefied natural gas with high blends of bio-methane could also be a short-term alternative for long-distance haul.</t>
  </si>
  <si>
    <t>Aviation must see a shift to advanced biofuels and carbon-free e-fuels, with hybridisation and other improvement in aircraft technology having a role in improving efficiency.</t>
  </si>
  <si>
    <t>In long distance shipping and heavy-duty vehicles, not only bio-fuels and bio-gas but also e-fuels can have a role provided that they are carbon-free throughout their production chain. E-fuels can be used in conventional vehicle engines, relying on the existing refuelling infrastructure.</t>
  </si>
  <si>
    <t xml:space="preserve">a more efficient organisation of the entire mobility system based on digitalisation, data sharing and interoperable standards is of utmost importance to make mobility cleaner. </t>
  </si>
  <si>
    <t>Regional infrastructure and spatial planning should be improved to realise the full benefits of increased use of public transport</t>
  </si>
  <si>
    <t>Urban areas and smart cities will be the first centres of innovation in mobility not least because of the predominance of short-distance journeys and air quality considerations. With 75% of our population living in urban areas, city planning, safe cycling and walking paths, clean local public transport, the introduction of new delivery technologies such as drones, and mobility as a service, including the advent of car and bike sharing services, will alter mobility.</t>
  </si>
  <si>
    <t xml:space="preserve">Behavioural changes by individuals and companies must underpin this evolution. </t>
  </si>
  <si>
    <t xml:space="preserve">For long distance travel, developments in digital technologies and video conferencing may well mean that for certain purposes like business travel, preferences will change and demand for travel may be reduced compared to what is expected today. </t>
  </si>
  <si>
    <t>Well-informed travellers and shippers will make better decision, especially when all transport modes are put on an equal footing, including in regulatory and fiscal terms.</t>
  </si>
  <si>
    <t>Internalising the external costs of transport is a prerequisite for making the most efficient choices in terms of technology and transport mode.</t>
  </si>
  <si>
    <t>The transition towards net-zero in 2050 also requires the necessary infrastructure, i.e. the completion of the Trans-European core network (TEN-T) by 2030 and the comprehensive network by 2050</t>
  </si>
  <si>
    <t>Future investments need to focus on the least polluting modes, promote synergies between transport, digital and electricity networks to enable innovations such as vehicle-to-grid services, and include smart features such as the European Railway Traffic Management System (ERTM) upfront. That would enable for instance high-speed train connections to become a real alternative to aviation for short and medium distance passenger travel within the EU.</t>
  </si>
  <si>
    <t>Low and zero emission vehicles with highly efficient alternative powertrains in all modes is the first prong of this approach.</t>
  </si>
  <si>
    <t>Demonstration Vessels. An integrated series of ‘proof of concept’ demonstration low carbon government department vessels at various scales from village to inter-island transport. This will be accompanied by GSS 30-year fleet replacement strategy with addition of low carbon vessels over time.</t>
  </si>
  <si>
    <t>New policies will be needed to promote transport mode shifts, and
simultaneously to promote EVs as well as PT and NMT.</t>
  </si>
  <si>
    <t>The increase in NMT can be achieved with demand management measures (e.g., vehicle-free zones) which have a very low cost and/or with supply measures such as bike lanes and bike sharing facilities.</t>
  </si>
  <si>
    <t>Power Supply. As referenced in section 4.1, broad measures to increase investment in renewable energy will be essential for effectively transitioning the land transport sector</t>
  </si>
  <si>
    <t>Instruments to achieve this include dynamic tariffs that incentivise customers to charge EVs when optimal, assisted by smart charging
applications that can facilitate the choice of customers by allowing them to take advantage of a dynamic tariff. Fiji will also consider new policies to allow for EV owners to support bi-directional V2G capabilities where power can flow from the grid to the vehicle and vice-versa.</t>
  </si>
  <si>
    <t>Promoting Adoption of HEVs and EVs</t>
  </si>
  <si>
    <t>Fiji will consider ways that PT systems can recover investments with
user charges and by collecting part of the windfall profit from increased land prices around core routes through taxation e.g., through parking fees and property taxes.</t>
  </si>
  <si>
    <t>Changes in legislation (e.g. prohibition of the import of vehicles more than 3 years old)</t>
  </si>
  <si>
    <t>Development of public transport services (especially in Libreville, against congestion)</t>
  </si>
  <si>
    <t>Many infrastructure projects planned</t>
  </si>
  <si>
    <t>L’amélioration de l’efficacité énergétique dans le transport,</t>
  </si>
  <si>
    <t>des ménages et de l’industrie (installation de lampadaires solaires et LED etc.) aura également un impact significatif sur la réduction des émissions</t>
  </si>
  <si>
    <t>Implementation of vehicle fuel efficiency standards</t>
  </si>
  <si>
    <t>Strengthening public transport systems</t>
  </si>
  <si>
    <t>Increasing use of blended fuel in road transport</t>
  </si>
  <si>
    <t>Promoting More Efficient Trucks.</t>
  </si>
  <si>
    <t>Promoting Biofuels</t>
  </si>
  <si>
    <t>National Action Plan for decarbonisation of
maritime transport. Design of a long-term National
Action Plan for decarbonisation of the maritime
transport sector in Fiji to 2050.</t>
  </si>
  <si>
    <t>Maritime Data Collection and Analysis. Domestic maritime data collection, storage, and analysis</t>
  </si>
  <si>
    <t>4-Stroke Engines. Implementation of a national
program of transition from 2-stroke to 4-stroke to
electric outboard motors</t>
  </si>
  <si>
    <t>Research, Education, and capacity Building.
Adoption and implementation of a long-term research, education, and capacity building strategy to underpin a successful domestic low carbon maritime transition</t>
  </si>
  <si>
    <t>Vertically Integrated NAMA (V-NAMA) for the Urban Transport Sector.</t>
  </si>
  <si>
    <t>Financing modalities for first phase of investments in proven technologies. Identification and development of financing modalities to support private sector uptake of commercial proven measures at scale</t>
  </si>
  <si>
    <t>Economic Opportunities. Identification of the
long-term positive economic opportunities for Fiji’s
maritime service delivery industry, tourism industry,
manufacturing, and finance sectors from positioning
Fiji as the Pacific hub for low carbon maritime
transition.</t>
  </si>
  <si>
    <t>Policy Incentives. Economic instruments (e.g., tax incentives) to drive transition of all small motors from fossil fuel to sail or RE powered small motors (e.g., electric outboards)</t>
  </si>
  <si>
    <t>The government’s existing funding programmes designed
to shift transport from the road to the railways
or inland waterways will be strengthened.</t>
  </si>
  <si>
    <t>To sustainably boost investments in climate-friendly local public transport, funds from the federal programme provided for in the Community Transport Financing Act will be continued on a permanent basis. New technological developments in bus and rail transport and further integration of transport services will continue to be funded.</t>
  </si>
  <si>
    <t>The German government is developing a concept for rail transport 2030/2050 to ensure that the potential for shifting road traffic onto the railways is fully exploited.
In this context, the possibility of introducing network-wide coordination of connections between mainline and local rail passenger transport will be considered.</t>
  </si>
  <si>
    <t>The extent to which accelerating work to
upgrade infrastructure can shift freight transport onto
the railways is also being explored (including control
command and signalling technology and combined
transport terminals).</t>
  </si>
  <si>
    <t>Within the possibilities provided
for by the law, government and non-government
actors involved in promoting cycling as a means of
transport will receive continued support, for example
by implementing integrated model projects to trial innovative
measures.</t>
  </si>
  <si>
    <t>The government intends to become
even more closely involved in building cycle expressways
within the framework of opportunities provided
for under constitutional law</t>
  </si>
  <si>
    <t>The German government will address the current research
need and – depending on the outcome of the
research – will present a concept for expanding the use
of electricity-based fuels in national and international
air and maritime transport and launching them on the
market.</t>
  </si>
  <si>
    <t>The role of waste and residue-based biofuels
should also be explored in this context</t>
  </si>
  <si>
    <t>It will explore how this can take place in connection with work to make its digital agenda more specific. In addition to this, standards for smart
roads are to be trialled</t>
  </si>
  <si>
    <t>The German government will work at the national, European and international levels to ensure that environmentally harmful subsidies are eliminated with due regard for the interests of consumers and other aspects of the national economy. Alternatively, those subsidies may be diverted into futureoriented investments that will benefit society and the environment.</t>
  </si>
  <si>
    <t>The fuel used for aviation and maritime shipping is subsidised
and/or mostly exempt from taxation. Germany should
advocate the elimination of subsidies and appropriate
taxation in this area. Principles of sustainability should
also play a greater role in trade agreements.</t>
  </si>
  <si>
    <t>Fuel Efficiency Standards. Vessel imports subject to
increasingly stringent efficiency standards and fossil
fuel powered vessels increasingly penalized</t>
  </si>
  <si>
    <t>Financing modalities for second phase of investments established to support uptake of new technologies. Vessel financing modality programme established and implemented to support public and private sector uptake of new technologies including wind hybrid, battery hybrid, Wing-in-Ground</t>
  </si>
  <si>
    <t>Financing modalities for second phase of
investments established to support uptake of new
technologies. Vessel financing modality programme
established and implemented to support public and
private sector uptake of new technologies including
wind hybrid, battery hybrid, Wing-in-Ground</t>
  </si>
  <si>
    <t>Shipping Franchise and Sea Route Licensing.
Review of Shipping Franchise and Sea Route
licensing in favour of low/zero carbon vessels and
operational efficiencies</t>
  </si>
  <si>
    <t>Expansion of (…) intra city mass transportation modes (… bus transit system) in 4 cities (conditional)
Expansion of inter (…) city mass transportation modes (Rail … system)</t>
  </si>
  <si>
    <t>Building standards for strategic infrastructure in [...] transport [...] adopted in 10 urban administrative regions (conditional)</t>
  </si>
  <si>
    <t>Expansion of inter-and-intra-city transportation modes</t>
  </si>
  <si>
    <t>Implementation of(…) fuel efficiency standards for vehicles through incentives</t>
  </si>
  <si>
    <t>Introduction of biofuel blends</t>
  </si>
  <si>
    <t>Implementation of gasoline and diesel taxes</t>
  </si>
  <si>
    <t>Traditional Sailing. Revitalisation of Traditional
sailing culture.</t>
  </si>
  <si>
    <t>Aircraft fleet renovation</t>
  </si>
  <si>
    <t>Efficient Aircraft. 40% of domestic fleet activity
replaced with efficient aircraft by 2030 and increases
to 80% by 2050. Efficient Aircraft. 100% domestic fleet replaced with
efficient aircraft</t>
  </si>
  <si>
    <t>Off-Grid Airports. All off-grid airports are 100%
powered by solar PV</t>
  </si>
  <si>
    <t>Gate Power. All aircraft at off-grid airports rely on dedicated solar PV systems for auxiliary power while at gate (replacing diesel generators)</t>
  </si>
  <si>
    <t>Biojet Fuel. 20% of flight activity using biojet by 2040
which increases to 40% by 2050.</t>
  </si>
  <si>
    <t>Energy efficiency. Improved load factor and aircraft
traffic management at all airports, single engine
taxiing, continuous descent</t>
  </si>
  <si>
    <t>Electric Aircraft. 20% of all passenger activity is via electric planes</t>
  </si>
  <si>
    <t>Efficiency Improvements in Vehicles</t>
  </si>
  <si>
    <t>Movilidad sostenible (electro_x0002_movilidad y biocombustibles)</t>
  </si>
  <si>
    <t>Esta medida trata de abordar un programa de renovación del parque vehicular privado hacia alternativas más eficientes. Combinará medidas regulatorias (reglamento de gases vehiculares)</t>
  </si>
  <si>
    <t>Esta medida trata de abordar un programa de renovación del parque vehicular privado hacia alternativas más eficientes. Combinará medidas regulatorias (reglamento de gases vehiculares) con incentivos (créditos de impuestos u otras medidas fiscales)</t>
  </si>
  <si>
    <t>reemplazo por vehículos más eficientes (híbridos y eléctricos), además del establecimiento de la infraestructura necesaria para su funcionamiento</t>
  </si>
  <si>
    <t>También considera la puesta en marcha de un programa para promover el uso del etanol avanzado en la gasolina en Guatemala. Ese programa combinará medidas regulatorias como una nueva ley para disminuir emisiones en los carros que usan gasolina.</t>
  </si>
  <si>
    <t>Esta medida trata de abordar un programa de renovación
del parque vehicular privado hacia alternativas más eficientes.</t>
  </si>
  <si>
    <t>Combinará medidas regulatorias (reglamento de gases vehiculares)</t>
  </si>
  <si>
    <t>con incentivos (créditos de impuestos u otras medidas fiscales)</t>
  </si>
  <si>
    <t>con incentivos (créditos de impuestos u otras medidas fiscales) para la compra y reemplazo por vehículos más eficientes (híbridos y eléctricos),</t>
  </si>
  <si>
    <t>además del establecimiento de la infraestructura
necesaria para su funcionamiento.</t>
  </si>
  <si>
    <t>También considera la puesta en marcha de un programa para
promover el uso del etanol avanzado en la gasolina en Guatemala.</t>
  </si>
  <si>
    <t>Ese programa combinará medidas regulatorias como una nueva ley
para disminuir emisiones en los carros que usan gasolina.</t>
  </si>
  <si>
    <t>promotion of public transport</t>
  </si>
  <si>
    <t>Improve the quality of the transport fleet</t>
  </si>
  <si>
    <t>La modernisation du parc de véhicules est en cours avec l’interdiction d’importation de véhicules de 
plus de 13 ans depuis 2021. Des marges de progression très importantes subsistent pour contrôler et 
réduire les émissions du transport</t>
  </si>
  <si>
    <t>Il s’agit aussi de moderniser et développer les transports en commun publics et privés</t>
  </si>
  <si>
    <t>Il s’agit aussi […] d’étudier et promouvoir les expérimentations pour une mobilité durable</t>
  </si>
  <si>
    <t>Il s’agit aussi […]  de développer le transport ferroviaire de personnes et marchandises</t>
  </si>
  <si>
    <t>De nombreux projet de lignes ferroviaires pour le transport de minerais 
sont à l’étude ou en cours de développement.</t>
  </si>
  <si>
    <t>Le déploiement du Plan de Développement Urbain de Conakry avec notamment une ligne de bus BRT et 
une ligne de train est un atout essentiel pour réduire les émissions de CO2 mais aussi améliorer les 
conditions de vie des millions de personnes de la capitale.</t>
  </si>
  <si>
    <t>Modernisation et rationalisation des voies de circulation</t>
  </si>
  <si>
    <t>Renforcement du contrôle technique et du recensement du parc de véhicules, des moyens de 
contrôle mobiles et des mesures dissuasives antipollution</t>
  </si>
  <si>
    <t>promouvoir l’importation et encourager la mobilité électrique</t>
  </si>
  <si>
    <t>la conversion au gaz</t>
  </si>
  <si>
    <t>la conversion au [...] biocarburant (éthanol)</t>
  </si>
  <si>
    <t>Contrôler, réglementer l’importation des véhicules usagés (inconditionnelle)</t>
  </si>
  <si>
    <t>Elaborer et mettre en œuvre les MAAN du secteur du transport (conditionnelle)</t>
  </si>
  <si>
    <t>Fomentar la movilidad con bajas emisiones a través de la generación de políticas, estrategias, marco regulatorio, esquemas e incentivos, programas y proyectos para la adopción de la movilidad eléctrica en Honduras; que contribuyan a la mitigación de gases de efecto invernadero, mejoras sostenidas del transporte público y transporte particular, centrándose en la reducción del consumo de hidrocarburos, y la promoción del uso de recursos renovables existentes en el país; acompañado con la adecuada y articulada planificación a mediano y largo plazo de los sistemas eléctricos, fomentando las líneas de expansión y distribución; integrando las políticas y estrategias del sector energía con las sectoriales de transporte y ambiente e impulsar acciones para el fomento de la electromovilidad a nivel regional y con alianzas multiactor; favoreciendo la generación de empleo, mejora de la calidad de vida hacia una economía verde y sostenible.</t>
  </si>
  <si>
    <t xml:space="preserve">The share of biofuels in transport modelled under the WEM scenario will account for about 16% of final consumption in 2030, while the figure will stand as high as at about 35% under the Continuous Growth scenario and at about 30% under the Savings scenario. In 2050, the share of biofuels will stand at 41% under the Continuous Growth scenario and at 53% under the Savings scenario. It would indeed be technically possible to replace fossil petrol and diesel in transport fuels almost fully with biofuels </t>
  </si>
  <si>
    <t>by switching to electric, gas-powered or fuel cell electric vehicles</t>
  </si>
  <si>
    <t>The scenarios considered here assume that the share of ethanol can only rise to 10% of traditional motor petrol, but it will nevertheless be complemented with the market entry of second-generation biopetrol, which can practically replace fossil petrol in full, just as fossil diesel oil can be substituted with renewable diesel.</t>
  </si>
  <si>
    <t>In air transport, it is likewise assumed that biokerosine will enter the market at production costs comparable to renewable diesel</t>
  </si>
  <si>
    <t>Significant efforts should also be made in terms of vehicle efficiency, particularly for thermal vehicles. In particular, the scenario targets a level of 4L/100km in real consumption for new vehicles sold in 2030. New electric vehicles should reach a performance level of 12.5 kWh/100 km by 2050 (about 40% less consumption in comparison to current levels).</t>
  </si>
  <si>
    <t>Set ambitious energy efficiency targets at national level and take these to the European level, in order to decrease pressure on carbon-free resources created by the carbon neutrality goal. for cars, aim for an actual consumption level of:
▪ Approximately 4 l/100 km for new thermal vehicles sold after 203071;
▪ 12.5 kWh/100 km for new electric vehicles by 2050;
◦ for heavy goods vehicles, aim for a consumption in 2040 of:
▪ 21 l/100 km for new vehicles running on diesel;
▪ 15 kg/100 km for new vehicles running on natural gas for vehicles (NGV);
▪ 129 kWh/100 km for vehicles running on electricity.</t>
  </si>
  <si>
    <t>Support vehicle renewal to accelerate the energy transition, while taking the economicimpacts of this into account and paying particular attention to the most precarious and geographically isolated members of the population</t>
  </si>
  <si>
    <t>Set ambitious decarbonisation goals for vehicles, including two-wheeled vehicles (in gCO2/km rather than gCO2/kWh) and public health objectives, by prioritising a life cycle approach, incorporating the various environmental criteria (pollution, resources etc.).</t>
  </si>
  <si>
    <t>The objective of neutrality by 2050 implies a near-total decarbonisation of the transport sector by switching to electric motors</t>
  </si>
  <si>
    <t xml:space="preserve">biofuel </t>
  </si>
  <si>
    <t>biogas depending on the mode of transport. A share of non-bio-based fuels is however reserved in 2050 for air transport and international marine bunkers.</t>
  </si>
  <si>
    <t>Electrification is approximately two to three times more efficient than thermal solutions in terms of fuel efficiency for vehicles. This option is prioritised in the long term, particularly for cars (100% of sales for new cars will be electric after 2040). This option should be developed ambitiously since it requires a five-fold multiplication of electric vehicle sales by 2022 (corresponding to the commitment in the Contrat stratégique de la filière Automobile 2018-2022, Strategic Contract for the Automobile sector 2018-2022). In 2030, the scenario attains a 35% share for private electric cars and a 10% share for private rechargeable hybrid cars in sales of new vehicles.</t>
  </si>
  <si>
    <t>A more balanced mix (renewable gas, electricity, biofuels) is sought for goods transport because of the greater constraints in the engines used in this type of transport. Electrification for these vehicles will be slower than for cars. Significant efforts in energy efficiency will also be made for heavy goods vehicles: depending on the type of engine, improvements in efficiency of 35-40% will be obtained by 2050.</t>
  </si>
  <si>
    <t>The scenario notably envisages a progressive development of biofuels in aviation to reach 50% by 2050.</t>
  </si>
  <si>
    <t>19, 20</t>
  </si>
  <si>
    <t>Sea and river transport will be entirely carbon-free for domestic emissions by 2050 and 50% decarbonised for the international bunkers</t>
  </si>
  <si>
    <t xml:space="preserve">rise in traffic both for the transport of people and for the transport of goods will be controlled, </t>
  </si>
  <si>
    <t>that a modal shift will occur towards active means of transport,</t>
  </si>
  <si>
    <t>public transport and bulk transportation and that vehicle use will be optimised.</t>
  </si>
  <si>
    <t>Develop highly dense urban forms structured around transport routes, services, businesses and jobs. Encourage different functions on a same plot of land to avoid urban sprawling.</t>
  </si>
  <si>
    <t>Optimize land use by industrial spaces, transport infrastructures and large infrastructures (logistics, ports, airports etc.) that cannot be located in urban areas, and diversify their uses.</t>
  </si>
  <si>
    <t>provide the sector with incentive price signals</t>
  </si>
  <si>
    <t>Set passenger vehicle fuel-efficiency standards</t>
  </si>
  <si>
    <t>Promote growth of coastal shipping and inland water transport</t>
  </si>
  <si>
    <t>Accelerate manufacturing and adoption of hybrid and electric vehicles</t>
  </si>
  <si>
    <t>Develop national policy on biofuels</t>
  </si>
  <si>
    <t>Reduction in subsidies on fossil fuels including diesel, kerosene and domestic LPG</t>
  </si>
  <si>
    <t>Construct solar powered toll plazas</t>
  </si>
  <si>
    <t>Develop Green Highways Policy</t>
  </si>
  <si>
    <t>Construct 550 km plus 600 km of metro lines</t>
  </si>
  <si>
    <t>Approve construction of 39 urban transport and mass rapid transport projects</t>
  </si>
  <si>
    <t>Construct two dedicated freight corridors: 1520 km Mumbai-Delhi (Western Dedicated Freight Corridor) and 1856 km Ludhiana-Dankuni (Eastern Dedicated Freight Corridor)</t>
  </si>
  <si>
    <t>Constructing about 5,000 km of road network all along the coastal areas</t>
  </si>
  <si>
    <t>standardise fuel tax rates at European level or within a group of neighbouring Member States,</t>
  </si>
  <si>
    <t>Enable the internalisation of the external costs of road use (climatic, environmental, health and use) and charge a fair price for road modes, both over long distances and in urban areas.</t>
  </si>
  <si>
    <t>For air transport, support a significant increase in the share of alternative fuels</t>
  </si>
  <si>
    <t>Support changes in actual fleet energy efficiency by improving vehicle use through an awareness campaign for all citizens and professionals about eco-driving</t>
  </si>
  <si>
    <t>Establish a pathway for renewing the fleet which is consistent with carbon neutrality and, for light vehicles, with the objective of ending sales of new light vehicles using fossil fuels in 2040, in line with the mobility guidance law.</t>
  </si>
  <si>
    <t>facilitate the deployment of a permanent network of recharging facilities that is open to the public and spread evenly across the whole of the country (proximity network) and higher power recharges on the major roads and junctions. Facilitate recharging at home and at work, particularly by supporting the deployment of recharging facilities in collective housing through legislative and regulatory measures and financial aid.</t>
  </si>
  <si>
    <t>Define transition trajectories for maritime and river fleets by type of fleet (commercial, pleasure craft, fishing, government, etc.) with the sectors, aiming in particular for total decarbonisation of domestic journeys by 2050</t>
  </si>
  <si>
    <t>Develop the infrastructures, including ports and airports, serving other fuel alternatives, by facilitating - for example for gas - connections to NGV refuelling infrastructures in the transport network or by supporting bio-NGV not injected into the network when this is produced in regions far from the network infrastructure.</t>
  </si>
  <si>
    <t>Progressively deploy low emissions zones or congestion charges, as a priority in the French agglomerations that are the most exposed to pollution</t>
  </si>
  <si>
    <t>Encourage these agglomerations to set up incentives for using clean and shared modes (with for example routes, access zones, timetables and reserved parking depending on the vehicles).</t>
  </si>
  <si>
    <t>Encourage companies to draw up action plans to reduce their emissions and renew their fleets, through for example reinforcing staff mobility plans, increasing the participation of companies and user representatives in transport policy decision-making on a regional scale</t>
  </si>
  <si>
    <t>strengthening the fiscal tools and advantages for sustainable commuting</t>
  </si>
  <si>
    <t>Supporting active modes Set an ambitious trajectory for the development of bicycle use that is consistent with the objectives of the 2018 cycling plan: increasing the modal share (in number of short-distance trips) from 3% to 12% by 2030 and to 15% by 2050</t>
  </si>
  <si>
    <t>Implement a package of actions that contribute to meeting these objectives: developing secure cycle parks, creating bike paths, supporting the use of bicycles, constructing pedestrian and cycle spaces during renovation and/or extension work on roads.</t>
  </si>
  <si>
    <t>Support the development of public transport: for daily journeys, increase the range of public transport options in the urban, interurban and rail transport networks (transilien, TER, RER); for long-distance rail options the emphasis should be put on improving network performance, particularly with a view to encouraging a modal shift from air to rail. As a reminder, the baseline scenario aims to increase the modal share of public transport by 7 points between 2015 and 2050.</t>
  </si>
  <si>
    <t>Implementation of biofuel in transportation sector</t>
  </si>
  <si>
    <t>Compressed Natural Gas consumption (CNG fuelling station)</t>
  </si>
  <si>
    <t xml:space="preserve">To effectively and sustainably reduce freight emissions, encourage a more pronounced modal shift for goods transport and boost the competitiveness of rail freight (install rail motorways), boost the competitiveness of river transport, encourage a shift towards alternatives to road use (aide à la pince), </t>
  </si>
  <si>
    <t xml:space="preserve">develop the competitiveness and attractiveness of port and maritime sectors, make modes of transport and networks more green, </t>
  </si>
  <si>
    <t xml:space="preserve">optimize the weight and volume of loads, </t>
  </si>
  <si>
    <t>promote research and innovation and help urban transport flow more freely and cleanly</t>
  </si>
  <si>
    <t>Encourage new ways of working: particularly with ambitious objectives for teleworking (for example: 50% of French teleworkers work at home on average 20% of the time, that is 10% of home-worked hours on the national scale);</t>
  </si>
  <si>
    <t>by introducing measures that support the development of third places, including shared work spaces and on-site services for workers.</t>
  </si>
  <si>
    <t>Support the rise in car sharing and other shared mobility services (carpooling etc.)</t>
  </si>
  <si>
    <t>Support the circular economy and short supply circuits so as to uncouple growth in traffic and freight from GDP.</t>
  </si>
  <si>
    <t>For all new infrastructure projects, take the impact of traffic generated into account in public decision-making in order to achieve a “carbon audit” (construction/use/maintenance) that is coherent with the climate policies</t>
  </si>
  <si>
    <t>set clear and coherent goals with targeted objectives for the energy transition of fleets</t>
  </si>
  <si>
    <t>Set ambitious targets for greening the public vehicle fleet and some private fleets, including at a European scale.</t>
  </si>
  <si>
    <t>Oil Fuel Switching (from RON 88 to Higher RON)</t>
  </si>
  <si>
    <t>Kerosene to LPG Conversion</t>
  </si>
  <si>
    <t>CNG for public transport</t>
  </si>
  <si>
    <t>Implementation of biofuel in transportation sector:
The main feedstock for the biofuel production will be palm oil</t>
  </si>
  <si>
    <t>The use of advanced and sustainable public transport and environmentally friendly technologies such as the construction of the suspended train project and the gradual shift towards sustainable transport.</t>
  </si>
  <si>
    <t>Gradual shift towards hybrid and environmentally friendly vehicles.</t>
  </si>
  <si>
    <t>Use aircraft with more fuel-efficient engines and a more efficient operating system.</t>
  </si>
  <si>
    <t>Review and update existing laws and identify the need for new laws with regard to trade, industrial investment and tariff laws.</t>
  </si>
  <si>
    <t>Supporting the participation of the private sector in the development of the public transport system in accordance with participatory mechanisms with the public sector.</t>
  </si>
  <si>
    <t>20% shift from private to public transport</t>
  </si>
  <si>
    <t>Further development of public transport systems in major metropolitan areas, such as the construction of the Tel Aviv metropolitan light rail, the extension of the intercity rail system and the Jerusalem light rail</t>
  </si>
  <si>
    <t>Limit the amount of greenhouse gas emissions from new vehicles, weighing up to 3.5 tonnes, registered from 2030, to an amount equal to 5% of the average greenhouse gas emissions for a new vehicle, weighing up to 3.5 tonnes, registered in 2020. This target will be reexamined in 2025, and will be updated as necessary, having regard to technological developments, the extent of the penetration of electric vehicles in Israel and globally, electricity infrastructure and the deployment of charging stations in Israel.</t>
  </si>
  <si>
    <t>deployment of charging stations in Israel.</t>
  </si>
  <si>
    <t>expansion of energy efficiency initiatives in the (...) transportation sectors</t>
  </si>
  <si>
    <t>traffic flow improvement</t>
  </si>
  <si>
    <t>Promotion of automatic driving, eco -driving and car sharing</t>
  </si>
  <si>
    <t>Improvement of fuel efficiency</t>
  </si>
  <si>
    <t>Utilization of the special zones system for structural reform for global warming measures</t>
  </si>
  <si>
    <t>Promotion of inter-ministry collaborative measures following roadmap of global warming measures, etc.</t>
  </si>
  <si>
    <t>Development of traffic safety facilities (e.g. improvement of traffic signals, and promotion of the use of LED traffic lights)</t>
  </si>
  <si>
    <t>Promotion of Intelligent Transport Systems ITS (e.g. centralized control of traffic signals)</t>
  </si>
  <si>
    <t>Making vehicle transport business more eco-friendly by eco-driving and promotion of collective shipments</t>
  </si>
  <si>
    <t>Optimization of truck transport</t>
  </si>
  <si>
    <t>accelerated promotion of energy saving ships</t>
  </si>
  <si>
    <t>energy consumption efficiency improvement of aviation</t>
  </si>
  <si>
    <t>Reduction of land transport distance by selecting nearest port</t>
  </si>
  <si>
    <t>other measures in transport sector (e.g. traffic flow improvement)</t>
  </si>
  <si>
    <t>comprehensive low-carbonization at ports</t>
  </si>
  <si>
    <t>Promotion of public transport</t>
  </si>
  <si>
    <t>modal shift to railway</t>
  </si>
  <si>
    <t>comprehensive measures for eco -friendly ship transport</t>
  </si>
  <si>
    <t>Improvement of fuel efficiency, promotion of next-generation automobiles, and other measures in transport sector (e.g. traffic flow improvement)</t>
  </si>
  <si>
    <t>With regards to long-distance transportation methods such as railways, ships and aviation, the Government will facilitate the introduction of energy-efficient vehicles through weight reduction and high insulation, the operational efficiency using IoT technology and satellites and CO2 emission reductions at related facilities.</t>
  </si>
  <si>
    <t>The Government will clarify the policy for improving corporate average fuel efficiency and a comprehensive CO2 reductions on Well-to-Wheel base, while encouraging technology-neutral investment in corporate electrified vehicles and investment in fuel combustion efficiency</t>
  </si>
  <si>
    <t>The Government will realize a social system in which environmental technologies such as electrification and LNG are introduced to the maximum extent, depending on a variety of applications (short-distance delivery, route buses, long-distance buses, long-distance trucks) of commercial vehicles (buses and trucks). Large-sized vehicles (trucks and buses) are mainly for commercial use, and there are strong demands for "usability in line with previous models" and "securing economic competitiveness."</t>
  </si>
  <si>
    <t>Promotion of open innovation (structural changes such as electrified and autonomous driving)
Promotion of next-generation automobiles</t>
  </si>
  <si>
    <t>The Government will make efforts, while recognizing the induced and converted traffic arising from road development, to ensure the smart use of roads such as the improvement of ring roads and other arterial road networks, which also help reduce CO2 emissions, and pinpoint measures to reduce traffic bottlenecks based on scientific data such as the big-data gathered with ETC2.0 and AI camera.</t>
  </si>
  <si>
    <t>The Government aims to decarbonize coastal shipping with the use of alternative fuels, fuel cell ships and vessels with innovative energy efficient technologies</t>
  </si>
  <si>
    <t xml:space="preserve">Government will promote the revitalization of private bus services through restructuring of the bus routes of the operators in the private sector and the effective introduction of community buses and demand responsive public transport. </t>
  </si>
  <si>
    <t>the Government will promote the use of micro mobility vehicles that enables energy efficient transportation according to various needs of all generations.</t>
  </si>
  <si>
    <t>improving public transport such as railways; improving connection between transport modes through public-private partnership for development of transport hubs (modal connectiveness); utilizing existing public transport; computerization; improvements in transfer points, introducing park and ride,</t>
  </si>
  <si>
    <t>Mobility as a Service (MaaS)</t>
  </si>
  <si>
    <t>Logistics revolution: modal shift from automobile transportation to coastal shipping or rail transportation</t>
  </si>
  <si>
    <t>promote the development of international marine container terminals and international logistics terminals, and high standardization that incorporates the ICT and IoT technology</t>
  </si>
  <si>
    <t>The Government will aim to reduce CO2 emissions in and streamline logistics by utilizing new technologies such as drones, together with platforms for sharing and setting information among operators.</t>
  </si>
  <si>
    <t>The Government will also take initiatives to reduce CO2 emissions by encouraging cooperation between shippers and logistics companies carrying out deliveries, to improve efficiencies in transportation and loading.</t>
  </si>
  <si>
    <t>The Government will pursue the possibility of reducing CO2 emissions on highways with the commercialization of truck convoys and using double-trailers.</t>
  </si>
  <si>
    <t>aim to improve the efficiency of truck transportation with operations management support using ETC 2.0, as well as reviewing the special vehicle-priority permission system that enables route changes according to traffic conditions.</t>
  </si>
  <si>
    <t>The Government will also promote CO2 emissions reductions in these new public transportation methods.</t>
  </si>
  <si>
    <t>Vehicle Fuel Efficiency Standards improved by introducing eco-driving training centres and promotion of vehicles using low emission fuel and hybrid electric vehicles</t>
  </si>
  <si>
    <t>Roll out annual Vehicle Emission Testing by building and equipping 7 centres in every administrative region</t>
  </si>
  <si>
    <t>Strengthen public transport system by increasing fleet size of Governemt-owned buses, whilst maximizing comfort, speed and reliability</t>
  </si>
  <si>
    <t>Construct new roads and improve existing roads to have designated lanes for public transport, bicycles and pedestrians as well as flyovers to ease choke points</t>
  </si>
  <si>
    <t>Introduce age limit for imported vehicles to a maximum of 3 years</t>
  </si>
  <si>
    <t>Unlock the full transit potential of Georgia</t>
  </si>
  <si>
    <t>Develop logistics centers and value-added services</t>
  </si>
  <si>
    <t>Improve the level of security and service</t>
  </si>
  <si>
    <t>Improve pedestrian and bicycle networks</t>
  </si>
  <si>
    <t>Enhance the efficiency of passenger transportation by railway</t>
  </si>
  <si>
    <t>Promote biodiesel production</t>
  </si>
  <si>
    <t>Due to the central importance of electric mobility in
reducing GHG emissions from motorised road traffic,
the German government will review its funding measures
at regular intervals and adapt them to developments.</t>
  </si>
  <si>
    <t>To meet the targets set in the Climate Action Plan 2050, it will be necessary to consider all the options for revenue-neutral modification of levies and surcharges in the transport sector, with the aim of creating clear financial incentives to choose environmentally friendly modes of transport and vehicles and to use electricity from renewable energy sources in the transport sector.</t>
  </si>
  <si>
    <t>to use electricity from renewable energy sources in the transport sector</t>
  </si>
  <si>
    <t>The national Emissions Trading System (nETS) for heating and transport covers the emissions from the combustion of fossil heating and motor fuels (in particular heating oil, liquefied gas, natural gas, coal, gasoline, diesel, fuel from waste products)</t>
  </si>
  <si>
    <t>Electric vehicles first registered by the end of 2025 will be exempted from the motor vehicle tax, and this exemption can apply up to the end of 2030 at the latest. A reduced tax rate also applies to the private use of battery-electric and plug-in 
hybrid company cars until 2030.</t>
  </si>
  <si>
    <t>The Charging Infrastructure Master Plan is currently being revised. The activities to expand the charging infrastructure are being coordinated in a National Charging Infrastructure Coordination Office, which was set up in December 2019. The expansion of the charging infrastructure is also being boosted by various funding programmes.</t>
  </si>
  <si>
    <t>Commercial vehicles with climate-friendly drives are to become competitive with conventional vehicles as quickly as possible. The guidelines on the funding of commercial vehicles with alternative, climate-friendly drives and related fuelling and charging infrastructure (KsNI) make a significant contribution towards reducing additional spending on the procurement of vehicles and infrastructure</t>
  </si>
  <si>
    <t xml:space="preserve">Expandir la infraestructura de transporte público del AMCG mediante la construcción del tren de cercanía MetroRiel </t>
  </si>
  <si>
    <t>Mejorar el equipamiento de transporte público extraurbano</t>
  </si>
  <si>
    <t xml:space="preserve">Incrementar el nivel de servicio del transporte público urbano BRT del municipio de Guatemala </t>
  </si>
  <si>
    <t>Mejoramiento de la infraestructura vial del país en los libramientos de Chimaltenango y Barberena</t>
  </si>
  <si>
    <t xml:space="preserve">Renovación del parque vehicular privado automóvil hacia alternativas más eficientes </t>
  </si>
  <si>
    <t>Promover el uso del etanol en la gasolina en Guatemala</t>
  </si>
  <si>
    <t>Plantear un modelo de Estructura Urbana Territorial con bajas emisiones en la Política Nacional de Desarrollo Urbano</t>
  </si>
  <si>
    <t>Plan de movilidad metropolitana sostenible de la ciudad de Guatemala</t>
  </si>
  <si>
    <t>e-mobility (electric vehicles, e-charging, smart charging)</t>
  </si>
  <si>
    <t>hydrogen, fuel cell, hydrogen fueling stations</t>
  </si>
  <si>
    <t xml:space="preserve">Renewable energy-based energy use </t>
  </si>
  <si>
    <t>second-generation (advanced) biofuels</t>
  </si>
  <si>
    <t>fuel efficiency</t>
  </si>
  <si>
    <t>technologies and solutions that make the operation of public transport systems more efficient</t>
  </si>
  <si>
    <t>new composite material for vehicle manufacturing</t>
  </si>
  <si>
    <t>innovative pavement technologies</t>
  </si>
  <si>
    <t>Infrastructure for active mobility</t>
  </si>
  <si>
    <t>Incentives for active mobility</t>
  </si>
  <si>
    <t>Encouraging public transport</t>
  </si>
  <si>
    <t>Incentives for low- and zero emissions vehicles</t>
  </si>
  <si>
    <t>Infrastructure for low- and zero emissions vehicles</t>
  </si>
  <si>
    <t>Energy transition legislation and regulations (focus on transport)</t>
  </si>
  <si>
    <t>Energy transition in heavy transport</t>
  </si>
  <si>
    <t>Low emissions rental cars</t>
  </si>
  <si>
    <t>Low emissions vehicles in government and state enterprise</t>
  </si>
  <si>
    <t>Electrical infrastructure in ports</t>
  </si>
  <si>
    <t>Ban on use of heavy fuel oil (ships and ports)</t>
  </si>
  <si>
    <t>Energy transition of ferries and state-owned vessels</t>
  </si>
  <si>
    <t>Participation in international system for reducing air transport emission (EU ETS on air transport)</t>
  </si>
  <si>
    <t>Improving fuel efficiency
Fuel efficiency regulation, combined with electrification and expanding the adoption of clean fuels, can prove crucial in slowing down the rise in oil demand in the country. Fuel efficiency is also an important tool for achieving India’s Nationally Determined Contribution (NDC) commitment. It is also pivotal in reducing oil import costs and enhancing energy security. Improving fuel efficiency can reduce overall growth in demand for fuel and consequently help in reducing GHG emissions as compared to scenarios where such actions for efficiency improvement are not embedded in plans and policies for the sector.</t>
  </si>
  <si>
    <t>Phased transition to cleaner fuels
1. Usage of ethanol, compressed natural gas (CBG), biodiesel and liquified natural gas (LNG) as short- term fuel alternatives.
2. Biodiesel and methanol/dimethyl ether (DME) supplemented by pipeline biogas (Bio-PNG) as medium-term fuel alternatives.</t>
  </si>
  <si>
    <t>Modal shift towards public and less polluting modes of transport
India has introduced several initiatives to encourage a modal shift in both passenger and freight transport. The goal is to avoid higher per-capita emissions by encouraging public transport. Within public transport, the goal is to expand the use of less polluting modes with the order of preference being rail over road over airways.</t>
  </si>
  <si>
    <t>Electrification across multiple modes
By 2050, both the rail and road transport will be encouraged to achieve high rates of electrification through policies designed to encourage electrification in this sector. Electrification of railways is already well on course with over 80% of the broad-gauge network already electrified till March 2022 (CORE, 2022). With the expansion of electricity generation through non-fossil fuel sources, electric transportation will also become less carbon-intensive in the medium and long term.</t>
  </si>
  <si>
    <t>Demand side management</t>
  </si>
  <si>
    <t>Traffic management and intelligent transport systems</t>
  </si>
  <si>
    <t>Reducing fuel demand and GHG emissions through improved fuel efficiency: India will achieve this through raised standards, optimized networks, improved technologies, and fleet modernization</t>
  </si>
  <si>
    <t>Utilization of ‘special zones system’ for structural reform of global warming measures</t>
  </si>
  <si>
    <t>Launch the Ministry of Transport’s long term national transport strategy in 2014 with sustainable transport as a key strategy</t>
  </si>
  <si>
    <t>Implement the railway system, which would be a cornerstone of the planned multimodal network and would play a major role in the transport of goods within the country and the surrounding region</t>
  </si>
  <si>
    <t>Implement a national BRT system</t>
  </si>
  <si>
    <t>Reduce vehicle kilometers at national levels and in densely populated areas by type of vehicle (i.e. car, HGV, LGV)</t>
  </si>
  <si>
    <t>Reduce percentage of fuel consumption achieved through the implementation of the transport strategy</t>
  </si>
  <si>
    <t>Increase the total number of commuters using public transport as a percentage of the total number to 25% by 2025</t>
  </si>
  <si>
    <t>Adopt and implement policies related to fleet characteristics to enhance efficiency and reduce emissions</t>
  </si>
  <si>
    <t>Key activities include construction of four additional BRT lines (as there are already two under construction), followed by implementation of fare-collection systems.</t>
  </si>
  <si>
    <t>Future electric bus fleet: According to Cost Benefit Analysis Report of the priority actions contributing to Jordan’s NDC, this project aims to provide new bus services for the cities of Irbid and Zarqa with a public sector funded model. Each city will have  a  public  sector  organization  to  oversee  the  operation  of  the  system,  be responsible for funding and to plan service changes. The new buses will be of the latest design, which will be reliable, accessible, efficient and safe, and will include some electric vehicles. The total number of buses is expected to be approximately 73 depending on the number of electric buses.</t>
  </si>
  <si>
    <t>Intelligent transport systems (ITS)</t>
  </si>
  <si>
    <t>There are contestability/competition issues in freight and transport of passengers that undermine incentives to modernize the fleet and make it more adequate to the needs of various sectors, including tourism. There could be different actions undertaken to create better incentive system for operators / owners of trucks and buses, from minimum emission standards to providing financing for renewal of fleets, to resolving the market entry barriers</t>
  </si>
  <si>
    <t>Having similar properties as natural gas, hydrogen is especially useful in replacing carbon-intense fuels in sectors that are hard to electrify, such as maritime transport, aviation, and heavy land transport.</t>
  </si>
  <si>
    <t>Adopting a “compact city” planning approach (e.g. developing within the urban boundaries (i.e. infill development close to jobs and public transport) as opposed to rapid urban expansion on the fringes which will add to more transport and infrastructure needs) could lead to a reduction in GHG emissions by 13.8% in Amman (compared to BAU); 11.5% in Irbid; 6.3% in Mafraq; 2.9% in Russeifa; and, 2% in Zarqa.</t>
  </si>
  <si>
    <t>Complementing the point above, some municipalities show the potential to increase green spaces through planting trees and through implementing neighborhood-level solutions to address better walkability and use of non-motorized forms of transportation, use of urban design, and adoption of more greenery/green/nature-based infrastructure/solutions that not only helps with issues such as flooding, but can also mitigate heat islands and energy load etc. at an urban design scale.</t>
  </si>
  <si>
    <t>development of sustainable transport</t>
  </si>
  <si>
    <t>infrastructure for electric and gas vehicles</t>
  </si>
  <si>
    <t>smart traffic management systems</t>
  </si>
  <si>
    <t>Promotion and implementation of low carbon and efficient transport systems</t>
  </si>
  <si>
    <t>Low carbon and efficient transport systems.</t>
  </si>
  <si>
    <t>Use of coconut oil as biodiesel for transport</t>
  </si>
  <si>
    <t>Out board motor transition</t>
  </si>
  <si>
    <t>Bicycle/e-bike financing initiative</t>
  </si>
  <si>
    <t>Aviation operational training progamme</t>
  </si>
  <si>
    <t>National maritime action plan</t>
  </si>
  <si>
    <t>Low carbon mini-container ship</t>
  </si>
  <si>
    <t>Small low carbon cargo/passenger freighter</t>
  </si>
  <si>
    <t>Biofuel blends in land and maritime transport</t>
  </si>
  <si>
    <t>Multi-modal transit initiative</t>
  </si>
  <si>
    <t>Zero-impact cruise liner (small)</t>
  </si>
  <si>
    <t>Railway project that links ports of the State of Kuwait in order to achieve an integrated and sustainable development for transporting goods and passengers in Kuwait and abroad
Mass transit systems project (metro system)</t>
  </si>
  <si>
    <t xml:space="preserve">Replacement of light vehicles with internal combustion engines for electric vehicles </t>
  </si>
  <si>
    <t>Improving Traffic Management and Cycling Infrastructure Development</t>
  </si>
  <si>
    <t>Replacement of buses with diesel/gasoline fuel engines by buses with gas-powered engines in Bishkek and Osh city, and suburban routes in Bishkek</t>
  </si>
  <si>
    <t>Expansion of the trolleybus fleet by replacing buses with internal combustion engines in Bishkek</t>
  </si>
  <si>
    <t>Increase the share of biofuels to meet 10% of the demand for transport fuels by 2025</t>
  </si>
  <si>
    <t xml:space="preserve">In one NAMA feasibility study, road network development is identified as a first objective, which will reduce the number of kilometers traveled. </t>
  </si>
  <si>
    <t>The second objective is to increase the use of public transport compared to business as usual (BAU)</t>
  </si>
  <si>
    <t>New Bus Rapid Transit system in Vientiane</t>
  </si>
  <si>
    <t>Non-Motorized Transport (NMT) component</t>
  </si>
  <si>
    <t>construction and operation of a Lao-China railway, which will displace the use of internal combustion engine private vehicles</t>
  </si>
  <si>
    <t>to increase the share of biofuels to meet 10% of the transport fuels by 2030</t>
  </si>
  <si>
    <t>Phased adoption of cleaner fuels: There will be continuation of a gradually increased blending of cleaner fuels while managing socio-economic and development of the skilling aspects required for the same. Hydrogen will be used as an energy carrier and alternate fuel in the transportation sector</t>
  </si>
  <si>
    <t>Modal shift towards public and less polluting modes of transport: India will seek to integrate transport with urban planning, multi-modal connectivity, and enhanced railway capacity</t>
  </si>
  <si>
    <t>Electrification across multiple modes: A comprehensive package of programmes, policies, and measures for the domestic manufacturing of electric vehicles and batteries and the electrification of railways will be taken up.</t>
  </si>
  <si>
    <t>Hydrogen as a long-term alternative: green hydrogen is expected to become a significant fuel in India’s transport sector in the medium term, although the scale of its use will be contingent on the availability of low-cost finance to spur innovation in this sector. India is also aiming to emerge as a green hydrogen fuelling hub for maritime transport, with connectivity between ports and hydrogen producing facilities.</t>
  </si>
  <si>
    <t>India has a key goal to significantly expand the market share of electric vehicles (EVs) for passenger transport.
In addition to increasing the domestic manufacturing of EVs and batteries through production-linked incentives (PLI) schemes, India will explore the implementation of vehicle-grid integration options, to enable planning of increased load on the electricity grid (Das &amp; Deb, 2020; FICCI, 2020). Increasing decarbonization of the grid and establishment of off-grid renewable hybrid charging / swapping stations for batteries are planned to keep pace with increasing electric mobility. In the short to medium-term, India will also consider policies related to the management of EV-related waste, and circular economy principles for the EV sector. As the EV industry grows, there will be a requirement for re-skilling of the workforce for manufacture and operation of new technologies and related infrastructure</t>
  </si>
  <si>
    <t>Radical new aircraft designs (e.g., the ‘blended wing’ concept) that could improve fuel efficiency by 25% compared to the most efficient planes today.</t>
  </si>
  <si>
    <t>Biofuel-powered planes have been proven to be technically feasible and blending of up to 50% is now allowed for commercial use.</t>
  </si>
  <si>
    <t>New engine designs that can cope with the low aromatics’ composition of biofuels</t>
  </si>
  <si>
    <t>Hydrogen powered aircraft, which however face significant technical challenges for commercial scale use to become a reality.</t>
  </si>
  <si>
    <t>Transport distance of non-constrained transport (leisure, social or family visits) in metropolitan is around 10 km. Travel distance of constrained transport (home-to-work/school) is around 40 km (in Jakarta).</t>
  </si>
  <si>
    <t>Some fraction of the workforces are working from home (tele working) by opening businesses at their homes such as small shops, maintenance and repair services and restaurants.</t>
  </si>
  <si>
    <t>The breakdown of transport energy in 2050 are: biofuels (46%), oil fuels (20%), electricity (30%) and natural gas (4%). The biofuel (CPO-based) programme is considered successful and will be continued to 2050 by supplying biofuel with higher biodiesel proportions (B30, B40, B50), which will be produced from sustainable sources.</t>
  </si>
  <si>
    <t>“Mobility as a service” will continue to grow.</t>
  </si>
  <si>
    <t>Household expenditure for transport is around 20% of total household spending.</t>
  </si>
  <si>
    <t>Choice of mode of transport is affected by cost, comfort level and social status.</t>
  </si>
  <si>
    <t>Many cities are connected by inter-city trains especially in Java. Existing plan shows that 3,200 km of train tracks will be built to serve transport in Sumatra, Java, Kalimantan, and Sulawesi.</t>
  </si>
  <si>
    <t>Develop more efficient transport system (promote mass public transport), electrification of vehicles and other equipment at end-users (residential and commercial) with decarbonized electricity</t>
  </si>
  <si>
    <t>Develop renewable energy (hydro, geothermal, solar PV and wind, including capacity development to produce solar PV and batteries) in power, transport and industry, which will consequently reduce coal for power.</t>
  </si>
  <si>
    <t>core technology-based measures to achieve a fully decarbonised transport system by 2050 will be the electrification of passenger cars light trucks and buses and, with a longer time lag, HGVs.</t>
  </si>
  <si>
    <t>Further technology measures that will contribute to full decarbonisation of Ireland’s transport system will be deployment of alternative zero carbon fuels in heavy duty and long-distance freight transport</t>
  </si>
  <si>
    <t>the development of electrification and other zero carbon fuel alternatives for domestic aviation, navigation and railways</t>
  </si>
  <si>
    <t>in the shorter-term a contributing technology will be biofuels, in particular advanced biofuels from a wider range of waste feedstocks</t>
  </si>
  <si>
    <t>promoting high density residential development with greater urban densities, helping to reduce commuting travel distances. Widespread development of the 15-minute neighbourhood concept in major cities and urbans centres will be a key factor</t>
  </si>
  <si>
    <t>promoting a higher modal share for ... active travel</t>
  </si>
  <si>
    <t>Modal shift will play a key role in decarbonisation by 2050. Our cities will be leaders in transport innovation due to the predominance of short-distance journeys, existing availability of public transport alternatives</t>
  </si>
  <si>
    <t>The implementation of the National Broadband Plan, and the establishment of remote working hubs, will underpin a significant shift in commuting patterns away from journeys between rural and urban areas for employment purposes</t>
  </si>
  <si>
    <t>significant ramping up in public charging sites (including fast motorway chargers) along with continued reliance on private / home charging by 2050</t>
  </si>
  <si>
    <t>the main Irish airlines have also introduced voluntary initiatives and long-term sustainability targets, with Aer Lingus, (as part of IAG) committed to reach net zero CO2 emissions by 2050 and Ryanair having recently announced its decarbonisation strategy – Pathway to Net Zero outlining its similar goal of net zero emissions by 2050</t>
  </si>
  <si>
    <t>Restructuring of transport is planned through a number of large infrastructure initiatives aiming to revive the role of public transport</t>
  </si>
  <si>
    <t>achieving a significant share of fuel-efficient vehicles</t>
  </si>
  <si>
    <t>This will entail policy and fiscal reforms to enable the improvement of the energy and transport sectors through energy efficiency</t>
  </si>
  <si>
    <t>III</t>
  </si>
  <si>
    <t>tax exemptions for electric vehicles
tax reductions for hybrid vehicles</t>
  </si>
  <si>
    <t>modal shift from private to public transport</t>
  </si>
  <si>
    <t>vehicle efficiency
investments in fuel-efficient vehicles</t>
  </si>
  <si>
    <t>Blend up to 5% of palm oil biodiesel with both gasoline and diesel by 2030</t>
  </si>
  <si>
    <t>Develop emission reduction and tracking systems of pollutants from vehicles</t>
  </si>
  <si>
    <t>Improve the quality and reliability of transport infrastructure and services</t>
  </si>
  <si>
    <t xml:space="preserve">Develop technical and safety standards </t>
  </si>
  <si>
    <t>Strengthen institutional capacity for developing strategies for integrated transport services</t>
  </si>
  <si>
    <t>Mainstream climate change into existing transport management plans to strengthen emission controls</t>
  </si>
  <si>
    <t>enforcement of policies including emission control</t>
  </si>
  <si>
    <t>Financial measures through: the implementation of a vehicle labelling system which is an information system which registers the level of GHG emissions for each vehicle by 2025</t>
  </si>
  <si>
    <t xml:space="preserve">Financial measures through: the implementation of a fee bate / rebate programme through which the government levies fees on relatively high GHG emitting vehicles and provides rebates on lower emitting vehicles by 2025.  Financial measures through: the enforcement and adaptation of registration taxes, in particular with and the enforcement of the 10% tax on luxury vehicles and the integration of a tax on transit vehicles by 2025. </t>
  </si>
  <si>
    <t>Consumer information campaigns through heightened driver awareness about better ways of driving cars through eco-driving, speed reduction and use of well-adjusted motors, electric and Compressed Natural Gas vehicles and promotion of public transport through the use of bus transport network and car sharing; (Linked to Health sector)</t>
  </si>
  <si>
    <t>Promote diesel particulate filters for road and off-road vehicles.</t>
  </si>
  <si>
    <t>Continuation of road upgrading and construction.</t>
  </si>
  <si>
    <t>Support the implementation of infrastructure that foster the development of a bus public transport network for Monrovia.</t>
  </si>
  <si>
    <t>Design a transport interchange hub program by 2025.</t>
  </si>
  <si>
    <t>Review of the institutional framework by 2025; Setting up of a sustainable transport policy by 2025.</t>
  </si>
  <si>
    <t>Charging policy must be designed to facilitate bi-directional EV charging to facilitate the development of commercial grid balancing services</t>
  </si>
  <si>
    <t>the Government will proactively support the efforts, for instance, by intermediate and small to medium-sized suppliers which have formerly produced derailleurs for gasoline engines, to embark on a new challenge to produce motor parts for electric vehicles (EVs)</t>
  </si>
  <si>
    <t>In the transport sector, decarbonization will be promoted through the expanded introduction of EVs and fuel cell vehicles (FCVs), along with the use of synthetic fuels that utilize CO2.</t>
  </si>
  <si>
    <t>In the industrial, commercial, residential, and transport sectors, in addition to improving energy consumption efficiency by thorough energy efficiency measures, it is necessary to promote electrification in areas where electrification by decarbonized power sources is possible.</t>
  </si>
  <si>
    <t>hydrogen, synthetic methane, synthetic fuels, etc. and the implementation of innovative technologies will be essential for heat demand and manufacturing processes where electrification is difficult. For example, hydrogen can also contribute to decarbonization through sector coupling by converting surplus renewable energy and other electricity into hydrogen and using it in the industrial, commercial, residential, and transport sectors.</t>
  </si>
  <si>
    <t>development of large transport vessels etc</t>
  </si>
  <si>
    <t>applying new technologies such as automated driving and digital technology to electrified vehicles,</t>
  </si>
  <si>
    <t>considering the diverse needs of local transportation for low-speed driving</t>
  </si>
  <si>
    <t>new services such as downsizing (downsizing of vehicles, review of routes and frequencies, etc.).</t>
  </si>
  <si>
    <t>It is also required to promote the spread of EVs by devising multifaceted ways to use them, taking advantage of their functions as storage batteries and mobile power sources in times of disaster.</t>
  </si>
  <si>
    <t>In order to smoothen road traffic flow, it is necessary to strengthen efforts in terms of both non-structural measures, such as the use of ICT technology and measures for toll systems</t>
  </si>
  <si>
    <t>structural measures that contribute to combating traffic congestion</t>
  </si>
  <si>
    <t>36f.</t>
  </si>
  <si>
    <t>it is necessary to decarbonize, and further promote, the use of public transportation</t>
  </si>
  <si>
    <t>the Government will promote incorporating the consideration of environmental load reduction into regional public transportation plans based on the revised Regional Public Transportation Revitalization and Reconstruction Law (enacted in November 2020)</t>
  </si>
  <si>
    <t>In cooperation with urban development, it is necessary to promote the use of transportation systems with low CO2 emissions, such as LRT (Light Rail Transit 23 ), BRT (Bus Rail Transit 24 ), EV and FCV.</t>
  </si>
  <si>
    <t>It is also necessary to improve the convenience of public transportation services by socially implementing MaaS (Mobility as a Service 25 )</t>
  </si>
  <si>
    <t>It is also necessary to improve the convenience of public transportation services by [...] utilizing big data.</t>
  </si>
  <si>
    <t>It is also necessary to improve the convenience of public transportation services by [...] promoting the Compact Plus Network, and providing seamless transportation services through the improvement of transportation hub functions, thereby creating an enabling environment that encourages behavioral change for people to choose public transportation.</t>
  </si>
  <si>
    <t>based on Bicycle Use Promotion Act (Law No. 113 of 2016), which clearly states that the degree of dependence on automobiles in transportation should be reduced, it is necessary to promote the use of bicycles by increasing bicycle sharing for commuting purposes.</t>
  </si>
  <si>
    <t>, it is a challenge to improve the efficiency in freight transportation and to shift to the mode of transportation with a lower CO2 emission intensity.</t>
  </si>
  <si>
    <t xml:space="preserve">The shipping, aviation, and railway sectors account for approx. 5%, 5%, and 4%, respectively, of CO2 emissions in the transportation sector. To further reduce these emissions, it is necessary to accelerate the shift from fossil fuels to carbon_x0002_free alternative fuels, </t>
  </si>
  <si>
    <t>The shipping, aviation, and railway sectors account for approx. 5%, 5%, and 4%, respectively, of CO2 emissions in the transportation sector. To further reduce these emissions, it is necessary to [...] promote the development and introduction of next_x0002_generation green transportation systems that contribute to energy conservation and CO2 reduction</t>
  </si>
  <si>
    <t>expanding hydrogen supply and upgrading port functions in line with decarbonization</t>
  </si>
  <si>
    <t>the Government will build a new mobility service through green logistics initiatives, such as realization of more efficient and energy-saving transportation in the entire supply chain</t>
  </si>
  <si>
    <t>promotion of logistics DX28 using AI, IoT,</t>
  </si>
  <si>
    <t>, enhancement of efficient logistics networks using technology like automated driving</t>
  </si>
  <si>
    <t>improvement of truck transportation efficiency including advanced logistics systems with cooperation among related businesses using digital technology from the perspective of logistics MaaS</t>
  </si>
  <si>
    <t>further promotion of modal shifts to shipping and rail.</t>
  </si>
  <si>
    <t>Japan aims to start a demonstration project of zero_x0002_emission ships by 2025, realize the commercial operation of zero-emission ships before 2028, and further spread zero-emission ships towards 2030. In 2050, the fuel used for ships is expected to be converted into alternative fuels such as hydrogen and ammonia.</t>
  </si>
  <si>
    <t>the Government will encourage automobile manufacturers, etc. to improve the fuel efficiency of new vehicles by meeting new fuel efficiency standards with a target year of FY2030</t>
  </si>
  <si>
    <t>electrification of intra-regional transportation</t>
  </si>
  <si>
    <t>Unconditionally produce 2 million liters of biodiesel/year, conditionally increase this to 20 million liters/year</t>
  </si>
  <si>
    <t>Unconditionally produce 18 million liters of ethanol/year, conditionally increase this to 40 million liters/year</t>
  </si>
  <si>
    <t>Unconditionally increase passengers using mass transport by 1%, conditionally increase this to 30%.</t>
  </si>
  <si>
    <t>Increase number of passengers using mass transport by 30% (conditional)
Increase number of passengers using mass transport by 1% (UC)</t>
  </si>
  <si>
    <t xml:space="preserve">Modal shift: private to passenger transport - Increasing the share of passenger transport from around 10% at present to around 30% in 2040, reducing GHG emissions from gasoline and diesel use. </t>
  </si>
  <si>
    <t>Modal shift: road to rail freight - Increased use of rail under the National Transport Master Plan, resulting in reduced diesel consumptions and GHG emissions from road freight transport</t>
  </si>
  <si>
    <t xml:space="preserve">Increasing ethanol blending with gasoline as a transportation fuel - Achieving an average national blend rate of 20% ethanol, resulting in reduced GHG emissions from gasoline  consumption in road transport. </t>
  </si>
  <si>
    <t>Blending biodiesel with diesel as a transportation fuel  Commercial production of biodiesel fuel reaching 55 million litres and resulting in reduced GHG emissions from diesel 
consumption in road transport</t>
  </si>
  <si>
    <t xml:space="preserve">Promote sustainable fisheries by increasing efficiency of fishing vessels, promoting technologies that have potential for reducing GHGs </t>
  </si>
  <si>
    <t>Establishment of vehicle/vessels emissions standard</t>
  </si>
  <si>
    <t>establishment of efficient transport management system</t>
  </si>
  <si>
    <t>promotion of hybrid-vehicles</t>
  </si>
  <si>
    <t>Replace more than one-third of fossil fuels (with renewables) for electricity and transport by 2030.</t>
  </si>
  <si>
    <t>11% de l'essence remplacee par du bioethanol d'ici a 2030; 5.4% du diesel remplace par du biodiesel d'ici 2030</t>
  </si>
  <si>
    <t>delivery and the development and diffusion of fuel cell trucks for long-distance transportation</t>
  </si>
  <si>
    <t xml:space="preserve">the Government will promote the introduction of new mobility services such as green slow mobility 30 , which utilizes electrified vehicles that run at speeds of less than 20 km/h, and ultra_x0002_compact mobility </t>
  </si>
  <si>
    <t>Government will promote setting up signs to guide people to recharging facilities on arterial roads in areas where there are few EV recharging facilities, conduct social experiments to install EV rechargers on public roads, and promote R&amp;D support for the electric road system32 , with aim of starting the experiments in the mid-2020s</t>
  </si>
  <si>
    <t>The Government will promote initiatives such as pinpointing congestion bottlenecks based on scientific analysis of big data obtained by using ETC2.0</t>
  </si>
  <si>
    <t>the Government will build a road transport network that increases productivity, such as by focusing on the construction of beltways in three metropolitan areas, while reducing the load on intra-city roads and reorganizing them into people-friendly road spaces.</t>
  </si>
  <si>
    <t>The Government will also promote the development of fuel-cell railway vehicles that use hydrogen as their fuel</t>
  </si>
  <si>
    <t>the Government will improve the introduction of solar power generation that utilizes railway facilities.</t>
  </si>
  <si>
    <t xml:space="preserve">the Government will promote development, demonstration, and introduction of ships that contribute to the modernization of coastal shipping </t>
  </si>
  <si>
    <t>Introduction of emission standards for current vehicles</t>
  </si>
  <si>
    <t>Replanting and expansion of coconut oil production for use in electricity and transport sectors blended with diesel</t>
  </si>
  <si>
    <t>Introduction of solar-charged electric lagoon transport</t>
  </si>
  <si>
    <t>Introduction of electric vehicles</t>
  </si>
  <si>
    <t>Vehicle inspections and maintenance</t>
  </si>
  <si>
    <t>the Government will promote […] the improvement of ship operation, utilizing innovative energy-saving technologies and digital technologies, including LNG-fueled ships and ships with hydrogen fuel systems or battery propulsion systems.</t>
  </si>
  <si>
    <t>introduction of new technologies into aircraft and equipment</t>
  </si>
  <si>
    <t>mprovement of flight operation methods by upgrading air traffic control,</t>
  </si>
  <si>
    <t>promotion of the introduction of sustainable aviation fuel (SAF),</t>
  </si>
  <si>
    <t>reduction of CO2 emissions from airport facilities and vehicles. At the same time, the
Government will study and initiate measures to turn airports into renewable
energy hubs and promote public-private partnerships</t>
  </si>
  <si>
    <t>The Government will promote the CNP initiative through upgrading port functions, taking account of decarbonization, such as stopping idling of ships by introducing onshore power supply to ships at anchor, introducing independent hydrogen power sources, promoting the use of hydrogen fuel for cargo handling machinery as well as large vehicles entering and leaving ports, and establishing
digital logistics systems such as Cyber Port and AI terminals which support human workforces</t>
  </si>
  <si>
    <t>44f.</t>
  </si>
  <si>
    <t>In order to make it easier to transport without private vehicles the shift to public transportation of low CO2 emissions, such as railways and buses, and further use of bicycles will be promoted through initiatives such as commuting traffic management by the operators and public awareness activities.</t>
  </si>
  <si>
    <t>The Government will promote compact cities</t>
  </si>
  <si>
    <t>The Government will promote compact cities, the creation of spaces that are "Comfortable and Walkable" by combining with the Improving Pedestrian Convenience Road System (Hokomichi) and comfort improvement zones,</t>
  </si>
  <si>
    <t>the Government will promote the development of spaces and environments that are safe, comfortable, and attractive for people to travel on foot or by bicycle, thereby increasing the percentage of travel by foot or bicycle and reducing CO2 emissions from travel</t>
  </si>
  <si>
    <t>in order to promote bicycle use, the Government will promote activities to support the formulation of the Bicycle Use Promotion Plans by local governments, the development of bicycle traffic space networks, the improvement of bicycle parking lots, and the use of bicycle sharing in coordination with safety measures, thereby contributing to the reduction of CO2 emissions.</t>
  </si>
  <si>
    <t>ensure optimum transport infrastructure, to change the travel behaviour of inhabitants, to increase the use of resource-efficient and environmentally friendly types of vehicles</t>
  </si>
  <si>
    <t>Also, in relation to the transport sector, it is assumed that in the future renewable electricity, developed biofuels, and different technologies of electrification, including electric cars, will dominate in the transport energy</t>
  </si>
  <si>
    <t xml:space="preserve">Réalisation  du  projet  de  tramway  de  Nouakchott.  En  phase  étude  </t>
  </si>
  <si>
    <t>Restriction à l'importation de voitures d'occasion: La  mise  en  application  des restrictions pour limiter l’importation  des  véhicules de plus de 8 années en plus d’un  système  du  bonus-malus exonérant les voiturespeu émettrices de CO2 et pénalisant les modèles dépassant  l’âge  limite  ainsi les modèles polluants.</t>
  </si>
  <si>
    <t>Voitures à essence plus efficaces; Voitures diesel plus efficaces</t>
  </si>
  <si>
    <t>Voitures au gaz naturel</t>
  </si>
  <si>
    <t>Voiture électrique</t>
  </si>
  <si>
    <t>Train du sahel (marchandise) + (passagers); Réalisation  du  projet  du  train  de  Sahel,  G5  Sahel,  tronçon  Nouakchott  – Sélibabi-Kayes. Phase étude</t>
  </si>
  <si>
    <t>promotion of energy efficient mass transportation systems based on hybrid technologies and cleaner energy sources</t>
  </si>
  <si>
    <t>promotion of energy efficient mass transportation systems based on hybrid technologies and cleaner energy sources
Acquisition of hybrid and electric means of mass transportation</t>
  </si>
  <si>
    <t>Extension of the light rail network as part of the national strategy to modernise and upscale the public transport system by 2022</t>
  </si>
  <si>
    <t>phasing out of subsidies and incentives for the importation of diesel buses</t>
  </si>
  <si>
    <t>increase of subsidy for the purchase of electric vehicles</t>
  </si>
  <si>
    <t>Electric Vehicle Integration Road map 2020.</t>
  </si>
  <si>
    <t>development of clean public transport</t>
  </si>
  <si>
    <t>development of electric mobility</t>
  </si>
  <si>
    <t>development of soft modes (pedestrian walkways, bicycle trips)</t>
  </si>
  <si>
    <t>the encouragement of alternative transportation systems,</t>
  </si>
  <si>
    <t xml:space="preserve">the promotion of clean transportation programs,  </t>
  </si>
  <si>
    <t>the development and implementation of the National Electric Mobility Strategy</t>
  </si>
  <si>
    <t>urban planning oriented towards efficient public transportation systems.</t>
  </si>
  <si>
    <t>Road transport is mainly electrified</t>
  </si>
  <si>
    <t>charging infrastructure is widely accessible</t>
  </si>
  <si>
    <t>Air transport efficiently uses modern biofuels and energy-efficient solutions are integrated into aircraft and airports</t>
  </si>
  <si>
    <t>Rail transport is mainly electrified and/or other alternative fuels are used for the performance of carriage</t>
  </si>
  <si>
    <t>Part of the rail lines are high-speed lines, ensuring fast, efficient, and environmentally friendly carriage of freights and passengers</t>
  </si>
  <si>
    <t>Alternative fuels and energy-efficient solutions for the reduction of fuel consumption are used in water transport</t>
  </si>
  <si>
    <t>Sustainable and environmentally friendly mobility of inhabitants has been ensured. The public transport system is efficient and sustainable, thus successfully competing with the private transport</t>
  </si>
  <si>
    <t xml:space="preserve">The park and ride system has significantly expanded, the use of bicycles, scooters, segways, and other inventory has increased, and attractive circumstances for pedestrians have been created, introducing green infrastructure solutions in urban environment. </t>
  </si>
  <si>
    <t>Mainly railway is used in intercity carriage because it uses less energy per passenger-kilometre than road transport.</t>
  </si>
  <si>
    <t>The public transport is conveniently linked to the international transport (connections with airports and ports).</t>
  </si>
  <si>
    <t>The sharing culture has been developed, allowing to use vehicles individually or jointly for a specific fee.</t>
  </si>
  <si>
    <t>Freight carriage is performed using an interlinked, efficient, and smart transport system, as well as multi-modal carriage</t>
  </si>
  <si>
    <t>developed port infrastructure allows for efficient servicing of the incoming freight ships.</t>
  </si>
  <si>
    <t>Logistics algorithms are widely used for planning of routes. The use of multi-modal carriage allows to choose the most optimal and environmentally friendly mode of transport in individual distances</t>
  </si>
  <si>
    <t>A unified and modern road network is ensured, allowing for safe and fast movement in the territory of Latvia</t>
  </si>
  <si>
    <t>equipped with such charging/filling infrastructure of vehicles which has been integrated into the European transport system and conveniently allows continuation of the travel outside the country</t>
  </si>
  <si>
    <t>The use of intelligent transport systems both in the infrastructure and vehicles themselves allows for the reduction of GHG emissions, concurrently improving traffic safety. The data of such systems are available for re-use with the intermediation of the national access point of transport of traffic information.</t>
  </si>
  <si>
    <t>The road infrastructure is planned so that inhabitants can conveniently and safely arrive at their final destination using public transport, shared transport, bicycle, or on foot. Safety of less protected traffic participants is ensured, as well as attention is paid to reduction of the impact of road building on the environment and climate, including by introducing green infrastructure solutions.</t>
  </si>
  <si>
    <t>Different new, sustainable, and environmentally friendly mobility solutions allow to increase efficiency and safety of transportation, concurrently without reducing economic attraction. The development of innovations allows the export of new technological solutions also in the field of transport, for example, the development of unmanned aircraft, etc.</t>
  </si>
  <si>
    <t>Extensive use of digital solutions has reduced the necessity for business movement for inhabitants
Movement of inhabitants has been optimised owing to the possibilities of remote work, studies, shopping, etc. High performance and safe Internet network throughout the territory of Latvia allows the inhabitants to fulfil their work duties fully also remotely. Comprehensive introduction of e-services has allowed to reduce the necessity for inhabitants to visit authorities for the receipt of services.</t>
  </si>
  <si>
    <t>strengthening of regulations applicable to motor vehicles,</t>
  </si>
  <si>
    <t>México trabaja en la consolidación de una Estrategia Nacional de Movilidad Eléctrica</t>
  </si>
  <si>
    <t>promover primordialmente la transformación en el transporte público</t>
  </si>
  <si>
    <t>se fortalecerá la normatividad referente a la eficiencia energética vehicular, tanto de vehículos ligeros como de pesados</t>
  </si>
  <si>
    <t>el fomento de programas de transporte limpio</t>
  </si>
  <si>
    <t>México contempla la expansión y rehabilitación de la red ferroviaria nacional.</t>
  </si>
  <si>
    <t>Estrategia Nacional de Trabajo Remoto que se impulsa de forma colaborativa con industrias y autoridades para, capitalizando los aprendizajes del confinamiento por la pandemia del COVID 19</t>
  </si>
  <si>
    <t xml:space="preserve">la estrategia para el sector transporte conlleva una mejora en la vinculación de la planeación urbana con criterios de cambio climático </t>
  </si>
  <si>
    <t>By 2030, update vessels and/or secure additional vessels for inter-state transportation and emergency response operations, incorporating renewable energy technology</t>
  </si>
  <si>
    <t>The AW-REP is also intended to kickstart the transition to electric-powered transport across the Federation in the next 5-10 years.</t>
  </si>
  <si>
    <t>Reduction of emissions from idling vessels waiting to dock</t>
  </si>
  <si>
    <t>Reduction of emissions from large transportation idling vessels waiting to dock by incorporating renewable energy technology for powering their auxiliary equipmen</t>
  </si>
  <si>
    <t>La priorité d’action se situe dans la diminution absolue des kilomètres parcourus en transports individuels motorisés, au bénéfice des modes actifs et des transports publics.</t>
  </si>
  <si>
    <t xml:space="preserve">Les actions structurantes  consisteront notamment en la création de parkingsrelais auxfrontières </t>
  </si>
  <si>
    <t xml:space="preserve">à la multiplicité des solutions alternatives de mobilité (télécabines, soutien à la marcheà pied et à la pratique du vélo par le renforcement des équipementset des offres de e-services). </t>
  </si>
  <si>
    <t xml:space="preserve">Les actions structurantes consisteront notamment en la création de parkingsrelais auxfrontières et à la multiplicité des solutions alternatives de mobilité (télécabines, soutien à la marcheà pied et à la pratique du vélo par le renforcement des équipementset des offres de e-services). </t>
  </si>
  <si>
    <t>En complément, le Gouvernement soutient la substitution des véhicules thermiques par des véhicules électriques. Si elle améliore la situation en termes d’émissions directes de CO2et de polluants atmosphériques, cette substitutionne résout pas les problèmes de congestion des axes de déplacement (qui conditionnent en premier lieu les possibilités de développement des modes alternatifs) et est difficilement généralisable (consommation et puissance électrique trèsimportante, risque d’incendie en parkings collectifs...).</t>
  </si>
  <si>
    <t>Dans le cadre du transport aérien des efforts sont engagés pour limiter la consommation de carburant des aéronefs. L’héliport de Monaco poursuit une démarche de certification Airport Carbon Accreditation.</t>
  </si>
  <si>
    <t>Des hélicoptères électriques pourraient être mis en service à horizon 2030 pour assurer les lignes régulières Monaco –Nice (France).</t>
  </si>
  <si>
    <t xml:space="preserve">Enfin s’agissant de la navigation, la Principauté a interdit l’utilisation de fioul lourd dans ses eaux territoriales </t>
  </si>
  <si>
    <t>et déploie des dispositifs pour l’alimentation électrique des navires dans les ports.</t>
  </si>
  <si>
    <t>Des réflexions sont menées pour le recours à l’hydrogène par les navires.Ces politiques seront soutenues par une décarbonation progressive des carburants en lien avec les politiques européennes en la matière</t>
  </si>
  <si>
    <t>Improve national paved road network (upgrade/pave 8000 km by 2016, 11000 km by 2021)</t>
  </si>
  <si>
    <t>Shift from liquid fuel to LPG for vehicles in Ulaanbaatar and provincial centers by improving taxation and environmental fee systems</t>
  </si>
  <si>
    <t>Development of a Bus Rapid Transit (BRT) system</t>
  </si>
  <si>
    <t>Improvement of the public transport system in Ulaanbaatar</t>
  </si>
  <si>
    <t>Improve enforcement mechanism of standards for road vehicles and non-road based transport</t>
  </si>
  <si>
    <t xml:space="preserve">Switch the coal export transportation to rail transport from auto transportation </t>
  </si>
  <si>
    <t>Switch the heating of passenger train to electric heating</t>
  </si>
  <si>
    <t xml:space="preserve">Switch to Euro-5 standard fuel </t>
  </si>
  <si>
    <t>Electric cars - This measure foresees the development of a whole set of e-mobility elements,such as: standards, regulatory frameworks, environmental and energy policies, established practices, products and services, user experiences and needs,</t>
  </si>
  <si>
    <t xml:space="preserve"> and charging infrastructure.</t>
  </si>
  <si>
    <t>Financial incentives for electric, plug-in hybrid and full hybrid vehicles, both for citizens and companies/entrepreneurs</t>
  </si>
  <si>
    <t>Create a Taxi Fleet Renewal Program</t>
  </si>
  <si>
    <t>Creation of a model, low-carbon city centered on energy efficiency actions, transport and waste management</t>
  </si>
  <si>
    <t>modal shift from road to rail</t>
  </si>
  <si>
    <t>improvement of maintenance and technical control of transport vehicles</t>
  </si>
  <si>
    <t>eco-driving training of truck drivers</t>
  </si>
  <si>
    <t>Upgrade utility vehicles of 20 years and older to lower their fuel consumption,between 2025 and 2030</t>
  </si>
  <si>
    <t>Implement large-scale public transit in major urban centers powered by renewable energy</t>
  </si>
  <si>
    <t xml:space="preserve">Réduire les coûts logistiques au profit des consommateurs et de la compétitivité des opérateurs économiques et par une gestion optimisée, sécurisée et massifiée des flux de marchandises
Accélérer la croissance du PIB par l’augmentation de la valeur ajoutée induite par la baisse des coûts logistiques; 
Contribuer au développement durable par la réduction des nuisances.
</t>
  </si>
  <si>
    <t>Doter les grandes agglomérations de moyens de transport public de grande capacité utilisant les énergies renouvelables</t>
  </si>
  <si>
    <t>Mettre sur pied un programme de renouvellement du parc des taxis</t>
  </si>
  <si>
    <t>Mettre sur pied un fonds d’accompagnement routier de transport urbain, capitaliséà hauteur de 200 millions de dollars américains</t>
  </si>
  <si>
    <t>Transport du phosphate par slurry pipeline en remplacement des trains.</t>
  </si>
  <si>
    <t>Extension du tramway, qui apporte une solution de choix dans le transport de Rabat/Casablanca</t>
  </si>
  <si>
    <t>Amélioration des normes environnementales des véhicules - Limitation des émissions de certains gaz polluants provenant des émissions de véhicules. À partir de 2023, la norme oblige les constructeurs à produire des voitures plus propres, avec le respect, notamment, des taux d’émissions de particules fines et d’oxydes d’azote...</t>
  </si>
  <si>
    <t>Ainsi, à partir de janvier 2023, tous les véhicules particuliers et utilitaires (de catégories M et N) neufs mis sur le marché marocain devront être conformes à la norme Euro 6.</t>
  </si>
  <si>
    <t>Le système du bonus-malus vise à favoriser le choix d’un véhicule peu émetteur de CO2 et à pénaliser l’achat des modèles les plus polluants.</t>
  </si>
  <si>
    <t>Programme de renouvellement et de casse - Le programme vise à remédier à la vétusté qui caractérise le parc professionnel du transport routier au Maroc à travers l’octroi de primes de renouvellement et de casse selon des conditions d’admissibilité définies dans le cadre des lois de finances.</t>
  </si>
  <si>
    <t>Eco conduit - L’adoption des bonnes pratiques de l’écoconduite vise à réduire la facture de consommation de carburant et les frais d’entretien des véhicules, à polluer moins l’environnement et contribuer à améliorer la sécurité routière</t>
  </si>
  <si>
    <t>Application des normes de performance en matière d’émissions de CO2 pour les véhicules particuliers neufs et pour les véhicules utilitaires légers neufs - Cette action vise la convergence, avec un décalage de 10 ans en 2030, vers l’application du Règlement européen établissant des normes de performance en matière d’émissions de CO2 pour les véhicules particuliers neufs et pour les véhicules utilitaires légers neufs. Cette action permettrait de drainer un potentiel d’atténuation des émissions de CO2 plus important.</t>
  </si>
  <si>
    <t>Transport infrastructure in cities and municipalities is smart and optimised</t>
  </si>
  <si>
    <t>A developed park and ride infrastructure, as well as multi-modal centres provide an opportunity to choose the mode of transportation that is most appropriate for the distance and route necessary. The route network of the public transport system is extensive and comprehensive, it offers the necessary level of comfort to the customers and is extensively used.</t>
  </si>
  <si>
    <t>Streets in cities are planned so that people have convenient and safe alternatives for reaching the final destination with public transport, shared vehicle, bicycle, on foot, leaving the private vehicle at a conveniently available site in case of necessity.</t>
  </si>
  <si>
    <t>The infrastructure of non-motorised vehicles is being developed and pedestrian zones are being expanded. The infrastructure of bicycle routes is available and extensively used.</t>
  </si>
  <si>
    <t>to make the Government climate neutral from 2024 and make the entire public sector climate neutral from 2027; to obligate public bodies, from 2023, to use only green electricity and heat, to use only zero-emission transport, and to purchase goods and services only through green procurement;</t>
  </si>
  <si>
    <t>to ensure the development of RDI that contributes to a transition to low-emissions in all sectors of the economy in the following areas: (...) transport</t>
  </si>
  <si>
    <t xml:space="preserve"> réviser la taxation des navires battant pavillon luxembourgeois (taxe d’immatriculation) en vertu du concept de « Green Shipping &gt;&gt;</t>
  </si>
  <si>
    <t>promouvoir les véhicules propres, notamment l’électrification des flottes privées de véhicules utilitaires légers ou les vélos cargo</t>
  </si>
  <si>
    <t>mise en place de zones à basses/zéro émissions</t>
  </si>
  <si>
    <t>Sur base de la stratégie pour une mobilité durable Modu 2.0151, un plan national de mobilité pour 2035 est en cours d’élaboration et visera à mettre en place les mesures et les infrastructures requises pour une mobilité durable dans toutes les régions du pays, en prenant en compte la mobilité transfrontalière. Ce plan sera actualisé à un rythme quinquennal.</t>
  </si>
  <si>
    <t>massification de marchandises dans un ou plusieurs centres de distribution pour permettre une distribution fine capable d’augmenter le taux de remplissage des véhicules et réduire les mouvements</t>
  </si>
  <si>
    <t>Ainsi, le Gouvernement projette de plus que doubler la longueur du réseau national des pistes cyclables d’ici quelques années, en desservant les points d’intérêts majeurs tels que les gares ferroviaires ou des pôles générateurs d’emplois, de faire les raccordements de ce réseau vers les réseaux communaux et aussi de supprimer les points dangereux. En parallèle, les réseaux communaux doivent être étendus très sensiblement et le vélo doit être promu plus activement comme solution pour la mobilité quotidienne. L’amélioration de l’attractivité des transports en commun passe essentiellement par des te</t>
  </si>
  <si>
    <t>Concernant le transport de marchandises à moyenne ou longue distance, notamment l’import et l’export de marchandises : favoriser le report modal vers les modes de transport à faible intensité de carbone tels que le rail et les voies navigables</t>
  </si>
  <si>
    <t>67f.</t>
  </si>
  <si>
    <t>Concernant le transport de marchandises à moyenne ou longue distance, notamment l’import et l’export de marchandises :[…] continuer à renforcer le transport de fret multimodal, en valorisant et développant le terminal multimodal de 
Bettembourg/Dudelange et le site tri-modal du port de Mertert,</t>
  </si>
  <si>
    <t>Il s’agit donc d’étendre ce mode de travail de façon optimale et de profiter ainsi des potentiels de réduction considérables du trafic pendulaire et professionnel. De même, l’établissement d’espaces de travail partagé (« coworking spaces »), notamment dans les zones frontalières, permet de raccourcir les trajets des travailleurs.</t>
  </si>
  <si>
    <t>en fonction de l’évolution technologique des véhicules utilitaires lourds, déployer l’infrastructure de ravitaillement nécessaire pour les carburants alternatifs (électricité, hydrogène, …) ;</t>
  </si>
  <si>
    <t>Tirer parti de la numérisation pour amplifier l’utilisation de systèmes de gestion intelligente 
de la chaîne logistique ;</t>
  </si>
  <si>
    <t>promouvoir et étoffer des programmes pour encourager les entreprises et le secteur de la logistique à réduire leur empreinte carbone, par exemple le programme « Lean &amp; Green »</t>
  </si>
  <si>
    <t>4 milliards d’euros engagés pour la période de 2013 à 2025 sont investis dans l’extension et la modernisation des infrastructures (nouvelles lignes, voies supplémentaires, quais additionnels, etc.) et l’achat de matériel roulant, augmentant ainsi la capacité du réseau ferroviaire.</t>
  </si>
  <si>
    <t>Par ailleurs, une première ligne de tram reliant les centres les plus importants de la Ville de Luxembourg est en construction. Après la mise en service d’un premier tronçon de ligne, la partiecentrale complète a suivi fin 2020, tandis que les extensions sont prévues pour 2023/2024.</t>
  </si>
  <si>
    <t>63f.</t>
  </si>
  <si>
    <t>Adapter les redevances et taxes pour tenir compte des coûts d’infrastructure et des externalités négatives, notamment en planifiant avec au moins un des pays voisins ou au sein du Benelux l’introduction d’un système basé sur le kilométrage (en remplacement du système Eurovignette).</t>
  </si>
  <si>
    <t xml:space="preserve">En ce qui concerne le réseau de bus RGTR152 desservant toutes les communes du pays et reliant des localités des 3 pays voisins avec des centres urbains luxembourgeois, une réorganisation complète est progressivement mise en place jusqu’en 2021 sur base d’une étroite collaboration avec les communes et les citoyens. A noter que les contrats de concession du RGTR contiennent des incitations et exigences au niveau de l’exploitation (maîtrise et optimisation des consommations ou formation à l’éco-conduite) et du matériel roulant. </t>
  </si>
  <si>
    <t>NDC refers to: The Maputo Urban Mobility Project consists of a BRT (Bus Rapid Transit) line of Phase 1 (…) supplemented by a secondary line (…)
https://www.quadrante-engenharia.pt/en/projects/transports/maputo-urban-mobility-project/</t>
  </si>
  <si>
    <t>Repair of 150 NG buses for public transport</t>
  </si>
  <si>
    <t>Expansion of Metrobus to the country's main capitals</t>
  </si>
  <si>
    <t>Cities (e.g. Yangon) are studying options for sustainable transport development for example, and CSOs are engaged in proposing solutions to challenges for implementation.</t>
  </si>
  <si>
    <t>Myanmar is interested in exploring future mitigation actions in the various transport sectors, including understanding mitigation potential, creating required databases (e.g. monitoring, reporting and verification) and informing policy reform to meet future climate mitigation targets.</t>
  </si>
  <si>
    <t>Myanmar also lacks a national government framework that guides intra-urban transport. A Regional and Urban Development Planning and Intra-Urban Transport law could include transport related policy tools that would guide low carbon, transport-oriented development, which also contributes to the development of compact, sustainable cities.</t>
  </si>
  <si>
    <t>Integrated transport measures must be developed in order to reduce this, including increased use of public transport. This is possible through Bus Rapid Transit (BRT) and Mass Rapid Transit (MRT) development as well as through the use of E-vehicles (EVs).</t>
  </si>
  <si>
    <t>In urban environments especially, improvements falling under the umbrella term of “sustainable mobility” – which includes public transport, walking, and cycling – contribute to both environmental and public health outcomes. City design must encourage walking, cycling, and other forms of “active” transport through features such as bus lanes, bike lanes, and pedestrian-centered streetscape improvements as part of an overall city transport strategy</t>
  </si>
  <si>
    <t>City design must encourage walking, cycling, and other forms of “active” transport through features such as bus lanes, bike lanes, and pedestrian-centered streetscape improvements as part of an overall city transport strategy</t>
  </si>
  <si>
    <t>Consistent with the commitment of developed and developing counties to end the use of fossil fuel vehicles by 2035 or earlier, Myanmar is interested in introducing EVs for both personal use and (MRT)</t>
  </si>
  <si>
    <t>incentives for EVs include tax exemptions on import registration fees</t>
  </si>
  <si>
    <t>only new vehicles that meet Euro 4 standards will be allowed in Myanmar. Emissions testing of new private vehicles take place three years after registration, whereas commercial vehicles have to be tested annually. However, emissions testing facilities are limited. Of the 55 national Road Transport Offices only 20 have multi-testing systems, of which one is a mobile system, while 8 only have exhaust emissions testing systems.</t>
  </si>
  <si>
    <t>Based on how markets for EVs progress, Myanmar will develop both infrastructure and policies to further support the sector under bilateral partnerships or public-private partnerships.</t>
  </si>
  <si>
    <t>MRT projects, either private sector or public-private sector partnerships, and light commercial vehicles including vehicles for personal use, will be highly encouraged</t>
  </si>
  <si>
    <t>In coordination with the Vehicle Import Steering Committee and under the guidance of the MOI, vehicle standards will also be developed to ensure the country has a recycling system in place</t>
  </si>
  <si>
    <t>Myanmar’s Road Transport Administration Department would also like to develop projects with the private sector to improve and increase vehicle testing systems and work with CSOs on vehicle efficiency and standards to decrease fossil fuel consumption.</t>
  </si>
  <si>
    <t>Myanmar is in the process of upgrading its existing network of 6100 km, including expanding railway lines across the country.</t>
  </si>
  <si>
    <t>Current upgrades will use electric-diesel hybrid locomotives which are 50% more efficient than existing locomotives, and so use less fossil fuel.</t>
  </si>
  <si>
    <t>The railway network will play a key role in Urban MRT in Myanmar as more trains will be introduced.</t>
  </si>
  <si>
    <t>High speed trains and monorails are also planned to depend on feasibility studies and ensuring social and environmental standards are met, including designing wildlife friendly infrastructure.</t>
  </si>
  <si>
    <t>The Department of Marine Administration (DMA) has outlined the following project objectives to reduce fossil fuel consumption and facilitate development of Myanmar’s future NDCs targeting actions associated with GHG emissions reductions in the Inland Marine Sector and for development of a Green Ship Strategy (see Annex V).</t>
  </si>
  <si>
    <t>Myanmar is interested in enhancing its capacities to engage with the aviation sector (the International Civil Aviation Organisation) regarding climate change, specifically the Carbon Offsetting and Reduction Scheme in International Aviation.</t>
  </si>
  <si>
    <t>In some city types that are experiencing rapid industrial growth such as Bago, projects target opportunities to enhance energy use efficiencies and manage growing energy demand through projects supporting as improved transport planning or on the use of rooftop solar in Industrial areas.</t>
  </si>
  <si>
    <t>Improve freight transport to reduce the number of light load vehicles by about 20%</t>
  </si>
  <si>
    <t>Implement a car pooling system to reduce fossil fuel consumption</t>
  </si>
  <si>
    <t>Commission of a mass transport system in City of Windhoek to reduce number of taxis and private cars by about 40%</t>
  </si>
  <si>
    <t>Fuel economy (FE) and greenhouse gas (GHG) emission standards regulations will be used as one of the main instruments available to Namibia to achieve significant improvements in fuel consumption and GHG emissions from light-duty vehicles (LDVs).</t>
  </si>
  <si>
    <t>Fuel switching - Hydrogen replacing diesel, Green hydrogen will play a crucial role in reaching the emissions neutrality goal, and it would be economically convenient. Opportunities exist today to pilot both green hydrogen for low-emission transport solutions and fuel cells for remote power provision.</t>
  </si>
  <si>
    <t>14f.</t>
  </si>
  <si>
    <t>Green hydrogen will play a crucial role in reaching the emissions neutrality goal, and it would be economically convenient. Opportunities exist today to pilot both green hydrogen for low-emission transport solutions and fuel cells for remote power provision. Namibia is in the process of building the means towards clean energy sources. Currently, a feasibility study to explore whether Namibia can become a leading global contributor to green hydrogen is underway 18. The study will investigate the costs to produce, process and transport the hydrogen</t>
  </si>
  <si>
    <t>Construction of pilot Smart Village residential units on Topside, with mitigation benefits on reduced dependency on automobile transport</t>
  </si>
  <si>
    <t>Conduct technical assessment of low-carbon transport options</t>
  </si>
  <si>
    <t>Induce behavioral change to encourage energy efficient behavior via education campaigns for the general public and within the government</t>
  </si>
  <si>
    <t xml:space="preserve">In addition to increasing Nauru’s resilience to climate change, the new port facility will also significantly reduce greenhouse gas emissions.  Ships will spend considerably less time at sea, and the need to operate a ferry for loading and unloading will be eliminated. Over the 50 years of the port’s lifetime, estimated reductions in CO2 emissions are 535,400 tons. This will also result in large financial savings, not only from a reduction in fuel consumption, but also late penalties incurred when it is not safe to load and unload  moored  shipping  vessels.  These  savings  can  then  be  repurposed  toward  the  delivery  of  other essential services. </t>
  </si>
  <si>
    <t>Promote the transformation of other regular vehicle to electric vehicle</t>
  </si>
  <si>
    <t>Provide subsidy scheme for the promotion of electric and non-motorized vehicles</t>
  </si>
  <si>
    <t>Provide subsidy scheme (…) non-motorized vehicles
promotion of non-motorised transport (in urban areas)</t>
  </si>
  <si>
    <t>a strategic approach to avoid unnecessary travel, reduce trip distance (…)</t>
  </si>
  <si>
    <t>Diversifying towards electricity, hybrid and natural gases</t>
  </si>
  <si>
    <t>Promoting progressive and affordable standards for fuel quality</t>
  </si>
  <si>
    <t>Promotion of public transport system and bicycle use
Nepal will develop its electrical (hydro-powered) rail network by 2040 to support mass transportation of goods and public commuting</t>
  </si>
  <si>
    <t>Nepal will develop its electrical (hydro-powered) rail network by 2040 to support mass transportation of goods and public commuting</t>
  </si>
  <si>
    <t>Promotion of public transport system and bicycle use</t>
  </si>
  <si>
    <t>introduction of fuel tax used in Kathmandu Valley</t>
  </si>
  <si>
    <t>Regulating vehicle emissions in order to ensure compliance with air quality</t>
  </si>
  <si>
    <t>Sales of electric vehicles (e-vehicles) in 2025 will be 25% of all private passenger vehicles sales, including two-wheelers and 20% of all four-wheeler public passenger vehicle sales (this public passenger target does not take into account electric-rickshaws and electric-tempos) in 2025. Due to this e-vehicle sales target, fossil fuel energy demand for the transportation sector will decrease from approximately 40 million GJ in the Business As Usual (BAU) scenario in 2025 to 36 million GJ. This would be around a 9% decrease in fossil fuel dependency. This target will reduce emissions from a projected BAU of 2,988 Gg CO2eq. in 2025to 2,734 Gg CO2 eq., which is around 8% decrease in emissions.
By 2030, increase sales of e-vehicles to cover 90% of all private passenger vehicle sales, including two-wheelers and 60% of all four-wheeler public passenger vehicle sales (the public passenger target does not take into account electric-rickshaws and electric-tempos). As a consequence, energy demand for fossil fuels will decrease from approximately 48 million GJ in the 2030 BAU scenario to 34.5 million GJ, which is around 28% decrease in fossil fuel dependency. This target will reduce emissions from a projected BAU of 3,640 Gg CO2eq. in 2030 to 2,619 Gg CO2 eq., which is around 28% decrease in emissions 
By 2030, develop 200 km of the electric rail network to support public commuting and mass transportation of goods.</t>
  </si>
  <si>
    <t>By 2030, develop 200 km of the electric rail network to support public commuting and mass transportation of goods.</t>
  </si>
  <si>
    <t>three provinces establish vehicle fitness test centres to monitor and regulate vehicular emissions,</t>
  </si>
  <si>
    <t>all metropolitan cities have roads paved with bicycle and pedestrian lanes.</t>
  </si>
  <si>
    <t xml:space="preserve"> Suite à des retours positifs avec des autobus électriques, l’accord de coalition prévoit l’objectif d’aboutir à zéro émission sur le réseau RGTR d’ici 2030</t>
  </si>
  <si>
    <t>Luxembourg poursuit une feuille de route ambitieuse qui table sur une électrification de près de la moitié du parc automobile d’ici 2030</t>
  </si>
  <si>
    <t>Il importe donc de soutenir la digitalisation de la mobilité et de créer un cadre propice pour le développement et la mise en œuvre de services de mobilité innovants (« mobility-as-a-service »), comme des applications digitales (notamment une plateforme digitale regroupant tous les modes/services de transport avec des informations en temps réel), des services de partage de voitures (électriques) et vélos ou encore le covoiturage</t>
  </si>
  <si>
    <t>des extensions supplémentaires du réseau de tram dans la Ville de Luxembourg et au-delà (par exemple tram express entre Luxembourg-Ville et Esch-sur-Alzette), un perfectionnement au niveau de l’organisation et des infrastructures du réseau de bus ainsi que la facilitation accrue de l’échange intermodal sont à viser</t>
  </si>
  <si>
    <t>Le Luxembourg a opté pour l’aménagement d’une infrastructure nationale commune de bornes de charge publiques pour véhicules électriques</t>
  </si>
  <si>
    <t xml:space="preserve">Luxembourg soutient l’initiative du Benelux pour un espace unique de l’électromobilité visant à faciliter, pour les conducteurs de véhicules électriques, les recharges et leur paiement à l’étranger. </t>
  </si>
  <si>
    <t>Pour certains immeubles à appartements l’installation d’un système collectif de gestion intelligente de charge est requis. Et des exigences minimales sont introduites concernant l’installation de points de charge pour certains bâtiments fonctionnels ayant plus de 10 emplacements de stationnement, combiné avec l’exigence d’installer un système de gestion intelligente de charge pour certains bâtiments ayant plus de 20 emplacements. A plus long terme, la mise en place de bornes de charge bidirectionnelles pourra valoriser les batteries des véhicules électriques comme stockage intégré aux réseaux électriques intelligents</t>
  </si>
  <si>
    <t>, il est impératif de recourir uniquement à de l’électricité provenant de sources d’énergies renouvelables pour tout type de recharge</t>
  </si>
  <si>
    <t>planification territoriale et urbaine</t>
  </si>
  <si>
    <t>diminution des écarts de prix de carburants avec les pays voisins</t>
  </si>
  <si>
    <t>Dans le but de promouvoir l’électromobilité, le Luxembourg est amené par une approche équilibrée à inciter à l’achat ou à la détention de véhicules électriques en remplacement ou au détriment de véhicules thermiques par le biais de primes d’achat appropriées, d’une taxation des véhicules favorable et encore d’aides financières pour bornes de charge privées</t>
  </si>
  <si>
    <t>Planification de la mobilité favorisant les transports publics et la mobilité active</t>
  </si>
  <si>
    <t>Déploiement accéléré de véhicules à zéro émissions (électrification du parc automobile, infrastructure de recharge)</t>
  </si>
  <si>
    <t>électrification du parc automobile</t>
  </si>
  <si>
    <t>The Clean Car Discount will support New Zealanders to buy cleaner vehicles by addressing their high upfront cost through incentives.</t>
  </si>
  <si>
    <t>From 1 January 2022, a charge on high-emitting vehicles will apply at point of first registration in New Zealand, to discourage purchase.</t>
  </si>
  <si>
    <t>The Clean Car Standard will be implemented in 2022 and support a cleaner vehicle fleet by improving the efficiency of imported new and used light vehicles.</t>
  </si>
  <si>
    <t>infrastructure de recharge</t>
  </si>
  <si>
    <t>Décarbonisation du transport de marchandises et du secteur logistique (stratégie de 
décarbonisation du secteur logistique)</t>
  </si>
  <si>
    <t>Des mesures incitatives complémentaires à considérer consistent dans le droit de stationner gratuitement sur des emplacements publics payants ou de bénéficier de bornes de charges publiques gratuites</t>
  </si>
  <si>
    <t>Les pouvoirs publics doivent montrer l’exemple en électrifiant leurs propres flottes de véhicules ou en imposant des véhicules électriques par la voie de contrats de service public. Depuis 2018, l’acquisition de voitures électriques est prescrite pour les voitures de service ou de direction de l’Etat, l’achat de véhiculesthermiques étantseulement autorisé dans des cas très exceptionnelssur base d’une justification détaillée</t>
  </si>
  <si>
    <t>Le Gouvernement poursuit une politique technologiquement neutre en matière de carburants alternatifs pour autant que la technologie puisse contribuer à rendre le transport routier plus propre en termes d’émissions de GES et de polluants atmosphériques.</t>
  </si>
  <si>
    <t>A court terme, l’installation d’au moins une station d’approvisionnement en hydrogène est prévue au Luxembourg</t>
  </si>
  <si>
    <t>Support for the electrification transition: this is further supported by strengthening the grant scheme currently in place to incentivise the purchase of EVs and plug-in hybrid vehicles</t>
  </si>
  <si>
    <t>The installation of an extended network of EV charging points</t>
  </si>
  <si>
    <t>Electrification of government fleet, with government leading by example</t>
  </si>
  <si>
    <t>Electrification of scheduled public transport buses</t>
  </si>
  <si>
    <t>Support to drive a significant further increase in public transport usage: this is assumed to arise from a suite of measures, including the extension of free public transport services, and improvements in public transport services..</t>
  </si>
  <si>
    <t>Support for active transport: sustained investment taking place throughout the strategy period in infrastructure to support cycling (e.g. bikes, e-bikes, pedelecs) and walking</t>
  </si>
  <si>
    <t>Encouraging teleworking, and remote working and further promotion of Government online services to reduce and avoid the need to travel, especially to and from specific ‘traffic hotspots’, and especially during peak hours</t>
  </si>
  <si>
    <t>The decarbonisation of road freight was assumed to take place through the electrification of heavy goods vehicles</t>
  </si>
  <si>
    <t>changes to ship design and operations</t>
  </si>
  <si>
    <t>Continue electric vehicles pilots, and form a partnership with vehicle to grid storage software/hardware vendors, and pilot this aspect as well</t>
  </si>
  <si>
    <t>tax incentives for the importation of electric vehicles</t>
  </si>
  <si>
    <t>The project "Promotion of Environmentally Sustainable Transportation in Metropolitan Managua" is being implemented, within the priorities to reform the public transport system in the Metropolitan area of Managua, as reflected in the Comprehensive Transportation Plan</t>
  </si>
  <si>
    <t>Transporte: Se está  implementando el  proyecto “Promoción de Transporte Ambientalmente Sostenible en la Managua Metropolitana”, dentro de las prioridades para reformar el sistema de transporte público en el área Metropolitana de Managua, tal como se refleja en el Plan Integral de Transporte. Obteniendo una reducción directa de 892,000 toneladas de emisiones de CO2 a lo largo de los próximos 20 años.</t>
  </si>
  <si>
    <t>Diseño detallado de una propuesta NAMA en la transición del sector energético hacia transporte más limpio en Nicaragua.</t>
  </si>
  <si>
    <t>Diseño de una estrategia de electro movilidad para el transporte público en la ciudad de Managua.</t>
  </si>
  <si>
    <t xml:space="preserve">Improving energy efficiency in […] transport </t>
  </si>
  <si>
    <t>Voitures à essence plus efficaces/ Voitures diesel plus efficaces</t>
  </si>
  <si>
    <t>Restriction à l'importation de voitures d'occasion</t>
  </si>
  <si>
    <t>introduction of fuel efficiency standards (…) for buses and taxis</t>
  </si>
  <si>
    <t>Modal shift from air to high speed rail</t>
  </si>
  <si>
    <t>Transport shift from car to bus (key measure)</t>
  </si>
  <si>
    <t>Moving freight to rail</t>
  </si>
  <si>
    <t>improved maintenance (…) for cargo</t>
  </si>
  <si>
    <t>Upgrading roads</t>
  </si>
  <si>
    <t>Urban transit
Improvements in urban transit systems are difficult to quantify</t>
  </si>
  <si>
    <t xml:space="preserve">Toll roads/ road pricing </t>
  </si>
  <si>
    <t>Increasing use of CNG
Use of LPG / CNG for buses and taxis</t>
  </si>
  <si>
    <t xml:space="preserve">Reform petrol/ diesel subsidies </t>
  </si>
  <si>
    <t>Significant investments are being made to revive rail transport, which also has the potential to carry a share of the fast-growing cargo load.
High Speed Rail (HSR) in Nigeria</t>
  </si>
  <si>
    <t>Measures to increase the efficiency of existing vehicles and the transport system</t>
  </si>
  <si>
    <t>Since submitting the 1st NDC, a number of new specific policy commitments have been made […]. These include […] a greater uptake of bus rapid transit.</t>
  </si>
  <si>
    <t>All vehicles meet EURO III emission limits by 2023 and EURO IV by 2030</t>
  </si>
  <si>
    <t>transitioning the Government fleet to electric vehicles, transitioning the taxi fleet to electric vehicles</t>
  </si>
  <si>
    <t>the use of golf carts–as is the case with the US military base on Kwajalein</t>
  </si>
  <si>
    <t>Walking and cycling measures: improved urban  planning –such  as  clearly  demarcated cycling and walking paths with shade; public and school education programs; school cycle training programs; cycle hire schemes; cycle to work schemes, where the Government  and  private sector workers could have the up-front cost of cycle purchase deferred;xencouraging Government workers to use Government cycles  to  travel between different departments.</t>
  </si>
  <si>
    <t>Multi-modal initiatives: Regular Island Shuttles</t>
  </si>
  <si>
    <t>Electric Bikes</t>
  </si>
  <si>
    <t>fuel switching</t>
  </si>
  <si>
    <t>improved  docking  facilities  to  reduce  the  amount  of  time  (and  fuel) required to load and unload ships</t>
  </si>
  <si>
    <t>Land Transport Efficiency Improvements</t>
  </si>
  <si>
    <t>environmentally friendly shipping</t>
  </si>
  <si>
    <t>Specific schemes are developed to incentivize clean energy, energy efficiency and saving, and sustainable public transportation, reducing our use of fossil fuels.</t>
  </si>
  <si>
    <t>Both public and private sectors adopt sustainable mobility systems.</t>
  </si>
  <si>
    <t>Socio-economic schemes encourage the use of sustainable transportation.</t>
  </si>
  <si>
    <t>Common use of electric vehicles in public transportation.</t>
  </si>
  <si>
    <t>Freight transportation is multimodal, efficient and low emissions. Cargo transportation is multimodal, efficient, and low emission.</t>
  </si>
  <si>
    <t>Common use of trains and electric vehicles</t>
  </si>
  <si>
    <t>To align land-use planning, urban development, sustainable buildings, housing, energy, transport, mobility, green areas, coastlines, comprehensive waste management, and water policies, in order to reduce the carbon footprint of human settlements</t>
  </si>
  <si>
    <t>To create and strengthen local institutions for the regulation and planning of regional and metropolitan transportation, particularly in terms of mobility, infrastructure optimization, transportation routes, and maximized efficiency</t>
  </si>
  <si>
    <t>To redirect fossil fuel subsidies in order to strengthen sustainable, efficient, and safe public transportation such as the railway system, among others.</t>
  </si>
  <si>
    <t>To increase planned and efficient land-use by diminishing urban sprawl and guaranteeing access to intra-urban land; to promote mixed-use development and vertical buildings; to incentivize densification instead of greenfield development; to connect urban forests; and to define urban growth limits</t>
  </si>
  <si>
    <t>To encourage the evolution towards safe, clean, low-emission, accessible, and comfortable public transportation systems. This is to be accomplished by strengthening regional and national interconnectivity through the generation of multimodal efficient networks supported by the Federal Government. Greater interconnectivity will take place in a context of urban development and transportation policy that reduces travel times and distances.</t>
  </si>
  <si>
    <t>To develop transport regulatory entities with understanding of national and regional demand. The regulatory entity will optimize transportation systems to reduce travel times and distances</t>
  </si>
  <si>
    <t>To encourage programs which reduce the need for transportation, such as: telework, housing exchange or leasing to bring people closer to their academic or work placess, collective transportation services for companies, and flexible work schedules. To accomplish this, Mexico will diversify and prioritize urban services and equipment in areas with mixed—use development</t>
  </si>
  <si>
    <t>To promote efficient and low-emission transportation systems, and to modify the regulatory and pricing framework in order to foster reinvestment and continuous improvement</t>
  </si>
  <si>
    <t>To generate incentives, infrastructure, and programs for non-motorized
transportation as part of integrated transportation systems in which the pedestrian and the cyclist are given priority. This will create immediate environmental and health benefits.</t>
  </si>
  <si>
    <t>To implement clean transportation systems in freight corridors</t>
  </si>
  <si>
    <t>To encourage the implementation of emission reduction and operational
efficiency programs focused on operational, administrative, technological, and financial characteristics within the freight sector. This will be balanced by the needs of the owner-operator and small truckers.</t>
  </si>
  <si>
    <t>Hausser l’électrification des usages dans les secteurs de l’industrie, du bâtiment et du transport</t>
  </si>
  <si>
    <t>et évaluer le potentiel de développement de l’hydrogène vert pour décarboner l’industrie et le fret routier ;</t>
  </si>
  <si>
    <t>Mettre en place des plans de transports et de logistique favorisant la multi-modalité et l’investissement massif dans le développement de nouvelles infrastructures de transport</t>
  </si>
  <si>
    <t>de simplifier la gouvernance de l’aménagement urbain et d’adopter une politique de l’habitat, [...] avec des moyens de transport adaptés aux besoins de mobilité des populations</t>
  </si>
  <si>
    <t xml:space="preserve">L’augmentation de la part d’électricité renouvelable et l’électrification accrue des usages finaux constituent les principaux leviers de décarbonation des mix énergétiques des secteurs de l’industrie, du bâtiment, des transports et de l’agriculture. </t>
  </si>
  <si>
    <t xml:space="preserve">en privilégiant la densification des tissus existants lors des opérations de renouvellement  urbain, en modulant la densité en fonction de la desserte en transports en commun </t>
  </si>
  <si>
    <t>la transformation digitale, parce qu’elle permet de réduire les besoins de déplacement et d’optimiser les systèmes de transport, est porteuse d’une plus grande efficacité globale du système</t>
  </si>
  <si>
    <t>The EU Emission Trading System (ETS) regulates emissions from industrial plants, power plants, the petroleum industry and commercial aviation within the European Economic Area. About half of Norwegian greenhouse gas emissions are covered by the ETS. N</t>
  </si>
  <si>
    <t>The Effort Sharing Regulation (ESR) regulates emissions from transport, agriculture, buildings and waste management and emissions from industry and petroleum not covered by the ETS</t>
  </si>
  <si>
    <t xml:space="preserve">the Sultanate of Oman's priority over the next few years will be to perform studies that will create frameworks and plans of action with realistic strategies to ensure transportation sustainability and decarbonization. </t>
  </si>
  <si>
    <t>véhicules électriques (vélos, scooters, automobiles)</t>
  </si>
  <si>
    <t>développement progressif des infrastructures de recharge/distribution</t>
  </si>
  <si>
    <t>et au-delà véhicules à hydrogène</t>
  </si>
  <si>
    <t>Upgrading and development of efficient public transport systems
Improvement of urban public transport systems, especially Bus Rapid Transport at Lahore, Rawalpindi-Islamabad and Multan, and urban rail transport (Orange Line) at Lahore</t>
  </si>
  <si>
    <t>Improvement of urban public transport systems, especially Bus Rapid Transport at Lahore, Rawalpindi-Islamabad and Multan, and urban rail transport (Orange Line) at Lahore</t>
  </si>
  <si>
    <t>Upgrading and modernization of rail services</t>
  </si>
  <si>
    <t>Training of technical staff to operate modern rail systems</t>
  </si>
  <si>
    <t>Training of government officials at the national, regional and city levels on monitoring and evaluating mitigation programs</t>
  </si>
  <si>
    <t>Awareness raising and provision of incentives for efficient vehicle operations</t>
  </si>
  <si>
    <t>Policy for two and three wheelers as well as heavy vehicles will target a 30% shift in sale of EVs by 2030</t>
  </si>
  <si>
    <t>Pakistan follows the European (Euro) emissions standards, and while the recent switch to Euro 5 still has a limited share of the market, it is expected to have long-term benefits in terms of urban air quality and lowering vehicular emissions from combustion.</t>
  </si>
  <si>
    <t>Bus Rapid Transit  (BRT): System has been introduced in five  cities—Islamabad, Lahore, Peshawar, and Multan, while a bus rapid transit zero emission metro-line was initiated in 2018 for the city of Karachi. Presently under implementation, the project which will also turn cow-dung to methane as a fuel for the metro-line is under implementation</t>
  </si>
  <si>
    <t xml:space="preserve">A 40 km Karachi Circular Railway is under development to provide mass transportation while reducing emissions in the city. </t>
  </si>
  <si>
    <t>the project which will also turn cow-dung to methane as a fuel for the metro-line is under implementation</t>
  </si>
  <si>
    <t>Tax exemptions for hybrid and EVs</t>
  </si>
  <si>
    <t>Establishing recharging network for EV adoption</t>
  </si>
  <si>
    <t xml:space="preserve">CARBON PRICING INSTRUMENT: Under the Collaborative Instruments for Ambitious Climate Action (CIACA) program, Pakistan has received support to establish Carbon Pricing Instrument (CPI). A range of activities have commenced including capacity building on carbon pricing, national consultation on carbon pricing, and scoping of pricing instruments in Pakistani context. The aim is to explore options for the introduction of domestic CPIs to manage the cohort of large-scale emitting installations, representing around 27% of domestic emissions, as well as an opportunity for similar or related economic instruments for the transport sector that. </t>
  </si>
  <si>
    <t>public school buses and a potential public bus route</t>
  </si>
  <si>
    <t>biofuel for diesel vehicles</t>
  </si>
  <si>
    <t>Currently there is a pending national legislation that would mandate the use and commercial sale of four-stroke outboard motor engines to reduce emissions</t>
  </si>
  <si>
    <t xml:space="preserve">Control the technical condition of vehicles and periodic maintenance (MOT) to improve fuel efficiency and reduce emissions </t>
  </si>
  <si>
    <t>Reduce traffic jams</t>
  </si>
  <si>
    <t>Encourage the use of public transport</t>
  </si>
  <si>
    <t xml:space="preserve">Conversion of 1,000 taxis to CNG-powered vehicles </t>
  </si>
  <si>
    <t xml:space="preserve">Conversion of 1,000 vehicle to electric vehicles </t>
  </si>
  <si>
    <t>Creation and maintenance of bus rapid transit lanes</t>
  </si>
  <si>
    <t>disposing of old vehicles</t>
  </si>
  <si>
    <t>promoting and encouraging the use of efficient vehicles</t>
  </si>
  <si>
    <t>Improve the efficiency of the road vehicles by updating the vehicle fleet</t>
  </si>
  <si>
    <t>Electrification of public transport</t>
  </si>
  <si>
    <t>expand current subway system in Panama City</t>
  </si>
  <si>
    <t>Al 2030 el escenario alternativo incluye:
En terminus de movilidad electrica, incluye metas conservadoras de ENME y la evolucion de transporte publico segun PIMUS, MIBUS y METRO. Especificamente, vehiculos electricos en 10% en flotas privadas, 25% en vehiculos particulares, 20% transporte publico y 30% en flotas oficiales. MiBus, la empresa encargada de la operación del servicio de público masivo en la ciudad de Panamá, espera contar con 15% y 30% de buses eléctricos en 2030.</t>
  </si>
  <si>
    <t xml:space="preserve"> En términos de movilidad eléctrica...Incluye incentivos no fiscales.</t>
  </si>
  <si>
    <t>la evolución del sistema de transporte público se establece de acuerdo al Plan Integrado de Movilidad Urbana Sostenible (PIMUS).</t>
  </si>
  <si>
    <t>Introduce future infrastructure for more sophisticated modes of public transport, such as trains and trams</t>
  </si>
  <si>
    <t>Improve public transport by introducing energy efficient buses in the main urban centers</t>
  </si>
  <si>
    <t>Encourage the introduction of fuel-efficient transport equipment</t>
  </si>
  <si>
    <t>Reduce vehicle-miles through more compact development patterns</t>
  </si>
  <si>
    <t>Encourage sustainable substitution of fossil fuels with biofuels</t>
  </si>
  <si>
    <t>Establish low carbon fuel standards</t>
  </si>
  <si>
    <t>Encourage the introduction of hybrid and electric vehicles</t>
  </si>
  <si>
    <t>Monitor vehicle fleet-weighted fuel and CO2 efficiency</t>
  </si>
  <si>
    <t>Eliminate high emission vehicles</t>
  </si>
  <si>
    <t>Establish multimodal transport
Use multi-modal transport patterns</t>
  </si>
  <si>
    <t xml:space="preserve">transporte multimodal eficiente </t>
  </si>
  <si>
    <t xml:space="preserve"> Le développement d’infrastructures urbaines propices à une bonne accessibilité aux services publics et commerciaux </t>
  </si>
  <si>
    <t>Des politiques pour l’amélioration des performances, l’intensification de l’usage des véhicules
(intermodalité, taxis, VTC, covoiturage, autopartage)</t>
  </si>
  <si>
    <t xml:space="preserve">la diffusion des véhicules zéro émission </t>
  </si>
  <si>
    <t xml:space="preserve"> La construction des capacités industrielles pour la production des véhicules du futur et de leurs composants</t>
  </si>
  <si>
    <t>Des systèmes d’incitation combinant information-sensibilisation et incitations économiques (politique de prix de l’essence)</t>
  </si>
  <si>
    <t>La stratégie de déploiement des BHNS et des tramways est aussi essentielle : pour être attractifs, les transports en commun doivent être confortables et sûrs. Pour l’interurbain, le réseau ferré doit assurer le développement des TGV, des trains intercités et du fret</t>
  </si>
  <si>
    <t>expressway programs that would enhance the traffic flow and divert it outside the cities</t>
  </si>
  <si>
    <t>Qatar introduced public transportation to reduce the demand on private vehicles and direct the nation towards the use of the public transportation</t>
  </si>
  <si>
    <t xml:space="preserve">In Qatar, Vehicles Inspection Services regulates the emissions of vehicles. </t>
  </si>
  <si>
    <t>Qatar continues to improve the emission standards for new motor vehicles, in accordance with regional and global emission standards.</t>
  </si>
  <si>
    <t xml:space="preserve">The Doha Metro and Lusail Tram are major milestones in the development of public transportation and subsequent reduction of emissions from this sector. </t>
  </si>
  <si>
    <t xml:space="preserve">The level 3 accreditation status for Hamad International Airport is another major initiative towards sustainability. </t>
  </si>
  <si>
    <t xml:space="preserve">The country has also taken significant strides to adopt electrification of on-road vehicles by committing to electrify its public transport system </t>
  </si>
  <si>
    <t xml:space="preserve">investing in installation of charging infrastructure across the country. </t>
  </si>
  <si>
    <t>The Phase 3 Allocation Plan for 2021-2025, introduced in September 2020, specifies the emissions cap as well as allocation standards and methods by sector and sub-sector, based on the principle of contributing to achieving the NDC. The scope of allocation has been expanded by including the transportation and construction sectors</t>
  </si>
  <si>
    <t>Republic of Korea has set the target of deploying 3 million units of electric vehiclesby 2030</t>
  </si>
  <si>
    <t>850,000 hydrogen vehicles by 2030 with a view to scaling up the deployment of zero-emission vehicles</t>
  </si>
  <si>
    <t>The government is also pursuing a modal shift in freight transport from road to rail and shipping</t>
  </si>
  <si>
    <t>expanding eco-friendly ships fueled by LNG</t>
  </si>
  <si>
    <t>Pour l’interurbain, le réseau ferré doit assurer le développement des TGV, des trains intercités et du fret</t>
  </si>
  <si>
    <t>Mais à moyen terme, il convient d’élaborer une stratégie d’électrification de tous les types de véhicules : scooters, automobiles, véhicules utilitaires légers, bus.</t>
  </si>
  <si>
    <t>Alors que le Maroc déploie une stratégie ambitieuse pour l’hydrogène, à plus long terme (2030) se posera la question de l’introduction de l’hydrogène dans les transports et de l’arbitrage entre cette utilisation et des autres valorisations possibles de l’hydrogène (industrie, équilibrage du réseau électrique, exportation)</t>
  </si>
  <si>
    <t>38-39</t>
  </si>
  <si>
    <t>C’est une condition pour, d’une part, contrôler la croissance de la demande, et d’autre part, laisser toute leur place aux modes « actifs » et « collectifs », dans le cadre d’approches multimodales. Un exemple d’approche intégrée est donné dans le schéma fonctionnel du modèle TRANUS.</t>
  </si>
  <si>
    <t>sur les industries manufacturières pour l’assemblage, la production des pièces et, in fine, celle des véhicules zéro émissions (électriques, voire hydrogène).</t>
  </si>
  <si>
    <t>Que ce soit dans le bâtiment ou les transports, la perspective du cycle de vie doit être adoptée pour le développement de solutions adaptées, dans une perspective « d’économie circulaire », dont les  temps-clé peuvent être présentés comme une approche 3R : Reduce-Reuse-Recycle</t>
  </si>
  <si>
    <t>Promotion of electric mass passenger transport</t>
  </si>
  <si>
    <t xml:space="preserve">Switching fuel to clean energy (electricity, fuel cells, </t>
  </si>
  <si>
    <t>synthetic fuels/biofuels in aviation</t>
  </si>
  <si>
    <t xml:space="preserve">Electrification in freight transport </t>
  </si>
  <si>
    <t>Installation and expansion of charging stations</t>
  </si>
  <si>
    <t>This means that, in time, sustainable biomass will be used only in sectors where no cost-efficient alternative is available, such as aviation and shipping.</t>
  </si>
  <si>
    <t>Efforts will concentrate on reducing car use by making alternative modes of transport more attractive.</t>
  </si>
  <si>
    <t>Another point for attention is to increase the availability of emission-free energy sources.</t>
  </si>
  <si>
    <t>the charging infrastructure for electric vehicles will be brought up to standard</t>
  </si>
  <si>
    <t>legislation and subsidies will be deployed to increase the production of hydrogen, sustainable advanced biofuels and renewable synthetic fuels.</t>
  </si>
  <si>
    <t>the purchase and use of emission-free vehicles will be stimulated</t>
  </si>
  <si>
    <t>the use of emission-producing vehicles will be discouraged through zero-emission zones, amended policies for delivery vans and research into a potential transition to a payment according to use model after 2025</t>
  </si>
  <si>
    <t>Through innovation programmes, the government will continue to work on social innovation and behavioural change, digitalisation and improved sustainability for vehicles, battery technology and energy carriers.</t>
  </si>
  <si>
    <t>integrate climate objectives into the reformed planning legislation with the necessary levers to drive down emissions.</t>
  </si>
  <si>
    <t>extending the light electric vehicle (EV) exemption from road user charges to 2024, which will continue to encourage New Zealanders to buy light EVs</t>
  </si>
  <si>
    <t>the Low Emissions Transport Fund (scope and funding increased from 2021). Co-funding will help industries and groups to demonstrate and adopt low-emissions transport technology, vehicles, innovation and infrastructure</t>
  </si>
  <si>
    <t>the Clean Car Discount (implementation underway), which will encourage New Zealanders to buy cleaner vehicles, by addressing the high upfront cost with incentives. In early 2022, a charge on high-emitting vehicles will apply at point of first registration in Aotearoa, to discourage purchase</t>
  </si>
  <si>
    <t>the Clean Car Standard (to be implemented in 2022), which will support a cleaner vehicle fleet by improving the efficiency of imported new and used light vehicles. It will be strengthened over tim</t>
  </si>
  <si>
    <t>transitioning to a low-emissions government fleet (implemented), with the aim of cleaning up the Government’s fleet by reducing its number of vehicles and choosing electric or hybrid vehicles unless operational requirements prevent this</t>
  </si>
  <si>
    <t>the zero-emissions vehicle (ZEV) mandate. The Government has created a mechanism to ensure there is a minimum percentage of ZEVs in the imported light vehicle supply. It will be used if the Clean Car Standard and Clean Car Discount do not prompt enough supply of ZEV</t>
  </si>
  <si>
    <t>extending heavy EV exemption from road user charges, which will encourage businesses to buy heavy EVs. We are looking to amend current legislation (the Road User Charges Act 2012) to expand the duration of the exemption and bring in differential charging based on fuel or emissions</t>
  </si>
  <si>
    <t>decarbonising public transport to reduce emissions and improve air quality in towns and cities. We have committed to requiring only zero-emissions public transport buses to be purchased by 2025, and to a target of decarbonising the public transport bus fleet by 2035</t>
  </si>
  <si>
    <t>the New Zealand Rail Plan, which lays out a 10-year vision to increase investment and resilience in the rail network</t>
  </si>
  <si>
    <t>coastal shipping investment, which allocates $30–45 million from the National Land Transport Fund to identify opportunities for coastal shipping and promote a shift to this lower_x0002_emissions mode</t>
  </si>
  <si>
    <t>acceding to Annex VI of the International Convention for the Prevention of Pollution from Ships (MARPOL). Aotearoa will ratify this in 2022 and apply new measures to reduce ship emissions. We have agreed to prepare a national action plan to reduce maritime emissions, and to research ways to speed the uptake of alternative low- and zero-carbon fuels for shipping</t>
  </si>
  <si>
    <t>ensuring planning helps to reduce car dependency by leveraging opportunities associated with resource management reform and the Urban Growth Agenda.</t>
  </si>
  <si>
    <t>reducing reliance on cars and supporting people to walk, cycle and use public transport</t>
  </si>
  <si>
    <t>rapidly adopting EVs (and low-emission fuels)</t>
  </si>
  <si>
    <t>decarbonising heavy transport and freight</t>
  </si>
  <si>
    <t>a fast, safe, efficient, affordable, integrated, and inter_x0002_modal transport system for goods and people</t>
  </si>
  <si>
    <t>expand rail infrastructure</t>
  </si>
  <si>
    <t>improve road construction and maintenance</t>
  </si>
  <si>
    <t>expand urban collective transportation</t>
  </si>
  <si>
    <t>Strengthen the average emission standard from 140g/km in 2015 to 97g/km in 2020</t>
  </si>
  <si>
    <t>Expand infrastructure for environmentally friendly public transport</t>
  </si>
  <si>
    <t>Create incentives, including tax reductions, for electric and hybrid vehicles</t>
  </si>
  <si>
    <t>introducing low-carbon standards for fuel efficiency and emissions produced from automobiles</t>
  </si>
  <si>
    <t>The Republic of Korea has markedly raised its 2030 target on the deployment of zero-emission vehicles such as the ones powered by electricity and hydrogen.</t>
  </si>
  <si>
    <t>In tandem with this, the Korean government is seeking to reduce trips by car, including through the improvement of public transportation services.</t>
  </si>
  <si>
    <t>In the shipping and aviation sectors, emission reduction efforts will be focused on distributing eco-friendly ships and enhancing the operational efficiency of aircraf</t>
  </si>
  <si>
    <t>The  new  (2019) Railway  Transport  Code sets  out  concrete  rules  regarding  the  state's contribution for the development of the railway infrastructure that will allow the creation of an investment climate in the branch and the development of competitiveness on the international market for freight services.</t>
  </si>
  <si>
    <t>Shift, improve</t>
  </si>
  <si>
    <t>Ensure the access of citizens to safe transport systems with fair, accessible and sustainable prices for all, as well as improving road safety, in particular by expanding the public transport system</t>
  </si>
  <si>
    <t>fair, accessible and sustainable prices for all</t>
  </si>
  <si>
    <t>expanding the public transport system</t>
  </si>
  <si>
    <t>Promote a well-developed cycling path network,</t>
  </si>
  <si>
    <t xml:space="preserve"> accessible pedestrian routes</t>
  </si>
  <si>
    <t>Promote more sustainable consumer behavior in using transport</t>
  </si>
  <si>
    <t>Reforms and adoption of new technical and normative standards in transport</t>
  </si>
  <si>
    <t>Increased use of railway and extension to Bulgaria</t>
  </si>
  <si>
    <t>Introduction of a parking policy</t>
  </si>
  <si>
    <t>Increased use of bicycles and walking</t>
  </si>
  <si>
    <t>Electrification of transport</t>
  </si>
  <si>
    <t>Renewal of the vehicle fleet</t>
  </si>
  <si>
    <t>adoption of integrated land use and transportation systems that will connect housing, jobs, schools, and communities through a variety of integrated low-carbon mobility solutions.</t>
  </si>
  <si>
    <t>expansive adoption of mass transit system such as the Rail and Bus Rapid Transport (BRT)</t>
  </si>
  <si>
    <t>encouraging the acquisition and use of zero-emission vehicles such as electric cars.</t>
  </si>
  <si>
    <t>a green transportation strategy that will require the institutionalization of appropriate behavioural and social modifications among Nigerians</t>
  </si>
  <si>
    <t>the development of technological capacities in the area of clean technologies such as zero emission vehicles (ZEVs).</t>
  </si>
  <si>
    <t xml:space="preserve">A low-emission pathway in the transport sector will require greater use of zero-emission solutions such as biogas, hydrogen and electrification. The transition can be helped by reducing transport needs and improving efficiency. </t>
  </si>
  <si>
    <t>Sound land-use planning, more effective goods transport, greater use of public transport, cycling and walking and new innovative mobility solutions will all be needed as part of the approach.</t>
  </si>
  <si>
    <t>Behaviour patterns and lifestyle choices are important drivers of emissions globally. A sustainable lifestyle and behavioural patterns, including lower material consumption, a healthy diet and lower demand for transport, will reduce emissions and ease the transition to a low-emission pathway</t>
  </si>
  <si>
    <t xml:space="preserve">As a result of technological advances, the transport sector is using zero- and low-emission solutions for passenger cars, public transport and heavy goods vehicles. </t>
  </si>
  <si>
    <t>Transport needs have been reduced by developing more compact cities and communities and new digital communication solutions. Passenger and freight transport has been made more effective. Sound land-use planning, greater use of public transport, cycling and walking and new, innovative transport solutions have all played a part in this. There have been similar developments in the shipping and maritime transport sector</t>
  </si>
  <si>
    <t>Norway is also still an important maritime nation, and has industries that supply high-tech low- or zero-emission maritime transport solutions.</t>
  </si>
  <si>
    <t>Footpaths and cycle paths, green spaces and outdoor recreation areas have been combined with easy access to cultural activities, workplaces, school and other activities. Even though it is not possible for everyone to walk or cycle to work and school, zero-emission vehicles and better public transport have more or less eliminated emissions from passenger transport.</t>
  </si>
  <si>
    <t>More widespread use of digital communication allows more flexibility in where people work from, reduces the need for transport and gives people more free time.</t>
  </si>
  <si>
    <t>Central Government Planning Guidelines for coordinated housing, land-use and transport planning, which highlight the importance of coordinating development patterns and transport systems. They encourage the development of compact towns and urban areas and steps to promote green forms of transport. They also include guidance for finding a balance between different interests when designing towns and urban communities. In addition, they are intended to play a part in reducing transport needs and the conversion of cultivated and environmentally valuable areas for other purposes.</t>
  </si>
  <si>
    <t>33, 34</t>
  </si>
  <si>
    <t>Other important elements of the plan include phasing in new technology, the development of infrastructure for zero-emission vehicles, and tax policy.</t>
  </si>
  <si>
    <t>Use of higher fuel efficiencies and low carbon technologies for new vehicles</t>
  </si>
  <si>
    <t>Setting emission standards (equivalent to Euro standards) for new vehicles</t>
  </si>
  <si>
    <t>Establish an integrated multi-modal urban transport system</t>
  </si>
  <si>
    <t>Promote new technologies to reduce transport emissions</t>
  </si>
  <si>
    <t xml:space="preserve">
Use of higher fuel efficiencies and low carbon technologies for new vehicles</t>
  </si>
  <si>
    <t>Improve vehicle efficiency through vehicle and fuel quality regulations and taxation policies</t>
  </si>
  <si>
    <t>Develop efficient resilient transport systems
Improvement of transport infrastructure</t>
  </si>
  <si>
    <t>Construction of central Bus Terminal(s) and Customer Service in Kigali</t>
  </si>
  <si>
    <t>Standardized Route Optimization planning and implementation</t>
  </si>
  <si>
    <t>Planning, rehabilitation and construction of intra-modal passenger terminals</t>
  </si>
  <si>
    <t>Construction of 17 km BRT main corridor and 6 modern interchanges (...)</t>
  </si>
  <si>
    <t>Construction of dedicated “rush hour” high speed bus lanes</t>
  </si>
  <si>
    <t>Improvement of traffic and pedestrian controls</t>
  </si>
  <si>
    <t>street lighting using solar pannels</t>
  </si>
  <si>
    <t>Standardized compliance and inspections for non-Rwandan registered vehicles</t>
  </si>
  <si>
    <t>Integration with International Airport and convention/business center</t>
  </si>
  <si>
    <t>integrated national transportation planning</t>
  </si>
  <si>
    <t>Enforcing Fleet renewal and scrappage (heavy, medium, minibus)</t>
  </si>
  <si>
    <t>inspection</t>
  </si>
  <si>
    <t>Measures introduced to increase vehicle emissions performance of national vehicle fleet, including tax incentives</t>
  </si>
  <si>
    <t>Reduction of GHG and local emissions from gasoline and diesel use.</t>
  </si>
  <si>
    <t>bus rapid transport (BRT) project</t>
  </si>
  <si>
    <t>bus lanes</t>
  </si>
  <si>
    <t>non-motorised transport lanes</t>
  </si>
  <si>
    <t>other modal shift projects contained in the Transport Sector Strategic Plan as part of the NST1</t>
  </si>
  <si>
    <t>adoption of electric buses, passenger vehicles (cars), motorcycles</t>
  </si>
  <si>
    <t>scrappage of older vehicles</t>
  </si>
  <si>
    <t>tax on vehicle with high fuel consumption</t>
  </si>
  <si>
    <t>retrofitting inefficient vehicles</t>
  </si>
  <si>
    <t>more efficient public transport</t>
  </si>
  <si>
    <t>(transport - public infrastructure and planning) new alternative infrastructure</t>
  </si>
  <si>
    <t>road repair/creation of new roads</t>
  </si>
  <si>
    <t>parking and transit regulation</t>
  </si>
  <si>
    <t>incentives for more efficient vehicles</t>
  </si>
  <si>
    <t xml:space="preserve">Electrification of 2% of the total vehicle  </t>
  </si>
  <si>
    <t xml:space="preserve">Development of EV infrastructure </t>
  </si>
  <si>
    <t>Introduced a new levy to control importation of used vehicles</t>
  </si>
  <si>
    <t>Escalating taxes on higher engine capacity vehicles</t>
  </si>
  <si>
    <t>Improved and Expanded Public Transit</t>
  </si>
  <si>
    <t>Reduction of excise tax and duty for importers of fuel efficient vehicles and alternative energy vehicles</t>
  </si>
  <si>
    <t>Efficient Vehicles</t>
  </si>
  <si>
    <t>Significant potential for greater reductions (e.g. improved public transport) is achievable if international finance can be made available</t>
  </si>
  <si>
    <t>new policies to reduce the import duty paid on low emission vehicles are in the process of being introduced to encourage their use</t>
  </si>
  <si>
    <t xml:space="preserve">Regulation in place to restrict emissions from vehicles to a certain level. </t>
  </si>
  <si>
    <t>technological capacity and financial resources. Enforcement of this regulation will have significant impact on reducing emissions from this sector.</t>
  </si>
  <si>
    <t xml:space="preserve">Electrification of vehicles </t>
  </si>
  <si>
    <t>Shared electric micro mobility</t>
  </si>
  <si>
    <t>Develop shore side electricity supply for vessels and reviewing the energy efficiency of maritime transport</t>
  </si>
  <si>
    <t>Expand Samoa’s efforts to install solar panels on vessels</t>
  </si>
  <si>
    <t>Pilot the use of biodiesel on one of Samoa’s freight or passenger vessels</t>
  </si>
  <si>
    <t>Conduct studies to understand viability of low carbon maritime transport options</t>
  </si>
  <si>
    <t xml:space="preserve">a significant reduction in the transport sector’s carbon footprint.  </t>
  </si>
  <si>
    <t>introduction of efficiency standards in the  transportation sectors</t>
  </si>
  <si>
    <t>Encourage actions that promote the development and use of mass transport systems in urban areas. Take the necessary actions to expedite the development of the metro system in Riyadh. In addition support and expedite the planning and development of metro systems in Jeddah and Dammam.</t>
  </si>
  <si>
    <t>Implement Bus Rapid Transit (BRT) pilot in Dakar/Guédiawaye</t>
  </si>
  <si>
    <t>Démultiplication du transport en commun durable (Bus Rapide Transit, Train Express Régional)</t>
  </si>
  <si>
    <t>Promotion des voitures hybrides</t>
  </si>
  <si>
    <t>Maintain a high penetration of public transport</t>
  </si>
  <si>
    <t>targeting biofuels in import regulation</t>
  </si>
  <si>
    <t>targeting fuel efficiency in import regulation</t>
  </si>
  <si>
    <t>targeting fuel efficiency in import regulation, targeting biofuels in import regulation</t>
  </si>
  <si>
    <t>move towards electric vehicles and two-wheelers, with potential to reduce oil imports for transport purposes by 15% to 30% (or more) by 2030 compared to BAU</t>
  </si>
  <si>
    <t>Reduce high-carbon mobility by urban planning</t>
  </si>
  <si>
    <t>Reduce high-carbon mobility by (...) use of TIC</t>
  </si>
  <si>
    <t>Create secure and attractive urban cycling</t>
  </si>
  <si>
    <t>walking pathways and routes</t>
  </si>
  <si>
    <t>Reduce GHG emissions in domestic maritime transport</t>
  </si>
  <si>
    <t>Electrify the vehicles fleet with a priority for public transportation, collective, high-passenger load, duty and commercial vehicles over private, individual, low-passenger load vehicles, to make mobility shift socially inclusive and create public adherence and local jobs. 
By 2030, 30% of large tourism businesses (DMCs, taxis, etc) must have electric transport in their fleet. 
By 2030, small and medium tourism businesses (omnibuses, taxis) must have 20% electric transport.</t>
  </si>
  <si>
    <t>Promote EV mobility in Seychelles</t>
  </si>
  <si>
    <t xml:space="preserve">By 2025 mechanism(s) to facilitate importation (pending an appropriate tax regime of electric transport infrastructure must be in place such as electric charging power stations </t>
  </si>
  <si>
    <t>Diversify economic growth through strengthened transport sub-sector (particularly infrastructure) to reduce regional and global emissions and build a stable economy.</t>
  </si>
  <si>
    <t>Improve and promote use of public transport (e.g. road, rail and water) for passengers and cargo to reduce traffic congestion and GHG emissions</t>
  </si>
  <si>
    <t>Formulate transport plans</t>
  </si>
  <si>
    <t>Develop and enforce regulations on regular maintenance of vehicles and vehicle emission testing</t>
  </si>
  <si>
    <t>Mass transportation (rail, road and water) for passengers and cargoes using clean alternative energy sources</t>
  </si>
  <si>
    <t>Improvement of the water transport system</t>
  </si>
  <si>
    <t>Quality control for spare parts for all types of vehicles</t>
  </si>
  <si>
    <t>Promote emission testing for all heavy types of machinery and vehicles</t>
  </si>
  <si>
    <t>Development of transport infrastructure to incorporate walkways and bicycle tracks</t>
  </si>
  <si>
    <t>Introduce E-mobility programme and plans to promote the use of electric buses, passenger vehicles (cars) and motor tricycles, resulting in displaced conventional vehicle sales, transport fuel imports and associated GHG emissions.</t>
  </si>
  <si>
    <t>Develop strategy on the age limit of vehicles imported into Sierra Leone</t>
  </si>
  <si>
    <t>promote the adoption of cleaner and greener vehicles, such as electric vehicles;</t>
  </si>
  <si>
    <t>Singapore is taking steps to make public and shared transport and active mobility the preferred mode of travel;</t>
  </si>
  <si>
    <t>phase out internal combustion engine vehicles</t>
  </si>
  <si>
    <t>and enhance the environmental friendliness of its transport infrastructure.</t>
  </si>
  <si>
    <t>Reducing emissions through Walk-Cycle-Ride 
Increasing the public transport modal share has been a key strategy to reducing emissions in Singapore. We are a global pioneer in controlling vehicle population and reducing traffic congestion.
By 2040, Singapore aims to establish WCR, comprising active mobility21 as well as public and shared transport modes, as the preferred way to travel. All journeys to the nearest neighbourhood centre using WCR modes of transport will take no more than 20 minutes, while nine in ten of peak period WCR journeys, such as between the home and workplace, will be completed in less than 45 minutes. By expanding and improving our transport infrastructure to reduce travel times and encourage more people to take WCR transport modes, we can reduce our vehicular emissions footprint further.</t>
  </si>
  <si>
    <t xml:space="preserve">Expanding the Active Mobility Network
Singapore will accelerate the building of cycling paths and active mobility infrastructure to make cycling and walking more convenient and attractive.  </t>
  </si>
  <si>
    <t>By 2040, our cycling path network will be extended to more than 1,000 km from 440 km in 2019.</t>
  </si>
  <si>
    <t>Under the Walk2Ride programme, which was introduced in the 2013 Land Transport Master Plan, the Government built 200 km of sheltered walkways from transport nodes to homes and public amenities. A further 150km of these covered linkways will be added by 2040. In addition, private developers will have to submit
walking and cycling plans as part of development applications. These measures will help facilitate safe and convenient first-and-last mile connections between homes, public amenities and key public transport nodes, therefore encouraging more commuters to walk or cycle as opposed to taking private transport.</t>
  </si>
  <si>
    <t>Expanding and improving mass public transport and shared transport</t>
  </si>
  <si>
    <t>Expanding the rail network from 230km in 2017 to 360km by 2030, with eight in ten households to be within a ten-minute walk from a train station;</t>
  </si>
  <si>
    <t>Progressively implementing Transit Priority Corridors that serve as dedicated and continuous bus lanes and deploying smarter traffic control solutions to reduce passengers’ commute times</t>
  </si>
  <si>
    <t>Maintaining an open and contestable point-to-point market to allow people to have access to taxis and private hire cars, and encouraging car-sharing to give commuters more choices for their journeys without having to own a car.</t>
  </si>
  <si>
    <t>Cleaner and greener vehicles on our roads
Singapore is working to enhance the overall carbon efficiency of our land transport system through the large-scale adoption of green vehicles. By 2040, we aim to phase out internal combustion engine vehicles and have all vehicles running on cleaner energy. We will introduce policies and initiatives to encourage the adoption of EVs. The public sector itself will take the lead and progressively procure and use cleaner vehicles.</t>
  </si>
  <si>
    <t>To promote the adoption of cleaner and more environmentally friendly vehicles, the Government will implement an EV Early Adoption Incentive scheme from 2021 to 2023 to encourage the early adoption of cleaner vehicles. Under this incentive, drivers and businesses who purchase fully electric cars and taxis will receive a rebate of up to 45% off the vehicle’s Additional Registration Fee, capped at S$20,000.</t>
  </si>
  <si>
    <t>In addition, based on the promising results of the Vehicular Emissions Scheme that provides rebates to car owners and taxi operators who use cleaner car models, the Government will introduce a similar scheme, the Commercial Vehicle Emissions Scheme, for light goods vehicles.</t>
  </si>
  <si>
    <t>To make EVs more accessible and promote their adoption, Singapore will expand the public charging infrastructure for EVs. The Government will work with the private sector to improve charging provisions in public and private carparks. By 2030, we aim to have up to 28,000 chargers in public carparks island-wide, from around 1,600 today.</t>
  </si>
  <si>
    <t>These efforts are expected to make a significant difference. Technological advancements on EV charging and the availability of attractive, costeffective EV models in the market will also be important factors that will influence how quickly we can achieve these goals.</t>
  </si>
  <si>
    <t>Greener transport infrastructure
We are also enhancing our existing transport infrastructure and building new transport facilities that are more energy-efficient and sustainable.</t>
  </si>
  <si>
    <t>Energy efficiency improvements at Changi Airport
Singapore has proactively taken measures to develop Changi Airport as a world-class air hub that champions sustainability. To improve its energy efficiency, a series of equipment replacement and service improvement projects have taken place throughout the airport, such as modernising existing lifts, upgrading to energyefficient chillers and replacing conventional lighting in terminal buildings with LED lights.
The new Terminal 5 will also be designed and built according to stringent energy efficiency standards and is anticipated to achieve Green Mark Platinum standards. As Terminal 5’s development will extend well into the 2020s, the adoption of new emerging technologies may result in further improvements in the terminal’s energy efficiency.
Greening airport operations
With the support of ground handling partners, Changi Airport Group (CAG) has introduced clean-energy tractors within the baggage handling areas, starting with Terminal 4 in November 2017. CAG has also installed 114 charging points for its 80 electric baggage tractors at the airside of its passenger terminals. The fleet of electric baggage tractors will grow to over 300 tractors by end-2020. This will support the Changi Airport community’s goal of reducing airside emissions and creating a better work environment.</t>
  </si>
  <si>
    <t>Green innovation and emission reductions in Singapore’s maritime sector
The Government has been working with stakeholders to improve the sustainability of our port infrastructure. Singapore’s main commercial port terminal operators, PSA Corporation Limited and Jurong Port Pte Ltd, have deployed solar PV systems at their terminals and embarked on other electrification projects at existing terminals.
Tuas Port – Port of the Future
Expected to be fully completed in 2040, the new Tuas Port will be the world’s largest fully automated terminal in a single location. It will have a fleet of over 1,000 fully electric automated guided vehicles that have a carbon footprint of 25% less than that of conventional diesel-powered prime movers. The port will also feature electric automated rail-mounted gantry cranes to be more energy-efficient.</t>
  </si>
  <si>
    <t>Singapore was also the first country to impose a vehicle quota system to cap vehicle growth, and the only country to set a zero-growth rate for cars and motorcycles</t>
  </si>
  <si>
    <t>Singapore is taking steps to make public and shared transport, and active mobility the preferred mode of travel</t>
  </si>
  <si>
    <t>Promote the adoption of cleaner and greener vehicles such as electric vehicles</t>
  </si>
  <si>
    <t>19f</t>
  </si>
  <si>
    <t>enhance the environmental friendliness of its transport infrastructure</t>
  </si>
  <si>
    <t>The Ministry of Climate and Environment tasked Enova with establishing a zero-emission fund, which was launched in summer 2019. This is a funding instrument including several types of grants to reduce emissions from commercial transport through effective deployment of zero-emission solutions.</t>
  </si>
  <si>
    <t>Integrated urban land-use and transport agreements involving central government, county and municipal bodies are being negotiated for Norway’s largest urban areas. So far, only the agreement for Trondheim and its surroundings has been concluded. These agreements are intended to play a part in achieving the target of zero growth in passenger car traffic for the largest urban areas, and to ensure coordination of land-use planning and the development of public transport and pedestrian and cycle paths.</t>
  </si>
  <si>
    <t>By 2022, more than one third of the country’s car ferries will use electric propulsion systems. The Yara Birkeland is due to be launched in 2020, and will be the world’s first autonomous fully electric container vessel.</t>
  </si>
  <si>
    <t xml:space="preserve">The grocery wholesaler ASKO is planning to use autonomous vessels for emission-free transport of goods across the Oslofjord. </t>
  </si>
  <si>
    <t>The first hydrogen-powered car ferry will be put into operation in Norway in 2021, and this may prepare the way for longer range emission-free shipping.</t>
  </si>
  <si>
    <t>The Government will take steps to encourage the emergence of Norwegian winners during the green transition in the shipping sector, and will play a part in developing a sustainable shipping sector for the 21st century</t>
  </si>
  <si>
    <t>The Government will provide a framework that enables the Norwegian maritime industry to acquire experience and expertise that will put it in a good position to be an important supplier for the forthcoming restructuring of the domestic and global shipping sector.</t>
  </si>
  <si>
    <t>full electrification of light vehicles and shortdistance heavy vehicles</t>
  </si>
  <si>
    <t>transition to hydrogen fuel cells for longdistance heavy vehicles</t>
  </si>
  <si>
    <t>Behavioral changes such as increased use of public transit and car-pooling are expected to reduce car usage resulting in 10% lower emissions</t>
  </si>
  <si>
    <t>Greater efficiency</t>
  </si>
  <si>
    <t>Greater efficiency and reinforcement of public transport systems</t>
  </si>
  <si>
    <t>Active and low-impact mobility</t>
  </si>
  <si>
    <t xml:space="preserve"> associated to shared mobility</t>
  </si>
  <si>
    <t>autonomous vehicles</t>
  </si>
  <si>
    <t>Electrification;</t>
  </si>
  <si>
    <t>Biofuels</t>
  </si>
  <si>
    <t>hydrogen</t>
  </si>
  <si>
    <t>Forced by increasingly stringent regulatory standards to control vehicle emissions and accelerated by technology innovations from the Fourth Industrial Revolution (also known as Industry 4.0), the global automotive industry in the 21st century is rapidly becoming green, smart, and service-oriented. As one of the world’s major car manufacturing countries, Korea is striving to be agile in responding to future demand and cutting GHG emissions from the transportation sector.</t>
  </si>
  <si>
    <t>Promote eco-friendly vehicles and improve average fuel efficiency</t>
  </si>
  <si>
    <t>Emissions regulation is also an essential strategy to make carmakers increase their fuel efficiency of internal combustion vehicles while selling more eco-friendly cars. Currently emissions regulation is only applied to passenger cars, vans and trucks, but medium- and heavy-duty vehicles will also be subject to emissions regulation in the coming years</t>
  </si>
  <si>
    <t>we are intensively investing in technology innovations in green vehicle production while coming up with various incentive programs to boost domestic demands for eco-friendly vehicles.</t>
  </si>
  <si>
    <t xml:space="preserve">The environment-friendly vehicle deployment target scheme requires automakers to produce and sell a certain percentage (15% in 2020) of eco-friendly vehicles of their new car sales. </t>
  </si>
  <si>
    <t xml:space="preserve">i) promote the use of public transportation; </t>
  </si>
  <si>
    <t>ii) expand shared mobility;</t>
  </si>
  <si>
    <t>iii) build systems for traffic demand management and intelligent transportation;</t>
  </si>
  <si>
    <t>iv) reduce energy consumption by promoting commercial use of autonomous vehicles</t>
  </si>
  <si>
    <t>v) promote the modal shift from road to rail or shipping, the low-carbon modes of transportation</t>
  </si>
  <si>
    <t>From 2020, the public sector can purchase eco-friendly vehicles only.</t>
  </si>
  <si>
    <t>We are providing eco-friendly vehicle subsidies for different type of vehicles ranging from passenger cars, to buses, trucks, and two-wheelers.</t>
  </si>
  <si>
    <t>The Government is focusing on building necessary infrastructure to ensure EV drivers could easily find charging stations available nationwide.</t>
  </si>
  <si>
    <t>Korea introduced a requirement of renewable fuel (biodiesel) content in transportation fuel (diesel) at a certain rate. Produced mainly from waste cooking oil, biodiesel is a green alternative fuel that contributes to preventing environmental pollution as well as reducing GHG emissions.</t>
  </si>
  <si>
    <t xml:space="preserve">On the freight system, we are promoting a modal shift from road to lower emissions alternatives such as railway and marine transport. </t>
  </si>
  <si>
    <t>Various measures to cut emissions from freight transportation are in place targeting rail, shipping, and aviation industry, for example, by introducing LNG-fueled ships</t>
  </si>
  <si>
    <t>expanding shore-side electricity in the marine transport.</t>
  </si>
  <si>
    <t>Mix biofuels for road transportation; the mandatory biodiesel content has been raised from 0.5% in 2007 to current 3%.</t>
  </si>
  <si>
    <t>42, 51</t>
  </si>
  <si>
    <t>Advance railway system</t>
  </si>
  <si>
    <t>Advance aviation system</t>
  </si>
  <si>
    <t>Advance shipping system</t>
  </si>
  <si>
    <t>Promote traffic demand management</t>
  </si>
  <si>
    <t>modal transformation that has focused on increasing convenience and shortening travel time, eco-friendliness and smart intelligence are the two keys to the ongoing paradigm shift</t>
  </si>
  <si>
    <t>Korea has already set an ambitious target of deploying such clean vehicles. According to the target, EVs and hydrogen vehicles will account for 1/3 of new vehicle sales in 2030. The target aims to deploy 3 million units of EV and 0.85 million units of hydrogen vehicle by 2030 and when other types of hybrid vehicles are counted, the number of clean vehicles is likely to increase.</t>
  </si>
  <si>
    <t xml:space="preserve">Korea adopted the Renewable Fuel Standards (RFS) for transportation fuels in 2015. The standards require a certain level of renewable energy sources to be mixed in transportation fuels, e.g. using 3% or more biodiesels for passenger vehicle diesels. </t>
  </si>
  <si>
    <t>The scope of RFS is planned to be expanded to cover gasoline, ship/jet fuel, and the minimum percentage of renewables is to be increased as well.</t>
  </si>
  <si>
    <t xml:space="preserve">Short-term mitigation strategies include expanding Alternative Maritime Power (AMP), </t>
  </si>
  <si>
    <t xml:space="preserve">increasing the use of biofuel- and LNG-powered ships and improving efficiency through economic operation. </t>
  </si>
  <si>
    <t xml:space="preserve">Deployment of electricity- and hydrogen-powered aircrafts and ships
will serve as a core mitigation strategy in the longer-term. </t>
  </si>
  <si>
    <t>Hydrogen-powered transportation is one of the key pillars of Korea’s future mobility. National-level R&amp;D is underway for the commercial deployment of hydrogen-powered trains, ships and drones in Korea by 2030.</t>
  </si>
  <si>
    <t>Changing people’s behavioral patterns and improving social infrastructure could be an important mitigation strategy as well. The prime example is measures to limit people’s driving to reduce energy consumption, and to optimize traffic operation to make energy consumption more efficient.</t>
  </si>
  <si>
    <t>Strategies to make people drive less include improving the existing mass transit infrastructure, creating a walking and rideable living environment, and expanding shared mobility.</t>
  </si>
  <si>
    <t>Expanding car sharing service in remote areas without access to public transportation is likely to have a positive effect of controlling demand as the service is expected to reduce the number of cars owned and restrain driving.</t>
  </si>
  <si>
    <t>optimization of car operation and reduced energy consumption within existing road system could be achieved with the development of a Cooperative Intelligent Transport System) and commercial deployment of autonomous vehicles (AVs). Korea has already put in place the advanced intelligent transport system that offers users real-time information on road traffic demands and accidents. The system is closely connected to individual car navigation systems, which help drivers find optimal routes to maximize vehicle operational efficiency.</t>
  </si>
  <si>
    <t xml:space="preserve">AVs are another valid opportunity for reducing GHG emissions. The AV technology also aims to maximize car operational efficiency and improve energy efficiency as well. </t>
  </si>
  <si>
    <t>Policies for traffic demand management and optimized car operation are expected to improve energy efficiency, which will contribute to achieving the transportation sector’s vision by 2050</t>
  </si>
  <si>
    <t>modal shift of freight from road to low-carbon alternatives such as rail and shipping is necessary to solve this problem.</t>
  </si>
  <si>
    <t>The Government will continue to scale up its effort to construct the charging station infrastructure. In fact, a significant amount of government funding has been already spent on building the infrastructure: 5,936 EV fast charging stations and 34 hydrogen-charging stations have been already built as of 2019. The Government will also
continue to scale up its investment in these infrastructures to achieve the targets of building 10,000 EV charging stations and 310 hydrogen-fueling stations by 2022.</t>
  </si>
  <si>
    <t>improved drone capabilities could reduce the demand for deliveries by freight trucks. Electric personal mobility vehicles such as e-scooters or e-mopeds could also play a significant role. Some of the future mobilities such as Urban Air Mobility), subsonic capsule trains) and hydrails are still in their infancy and therefore it is too early to predict their mitigation effects and technological feasibility. The Government will continue to provide investments in these technologies in the long-term as part of its effort to identify optimal solutions to reduce GHG emissions.</t>
  </si>
  <si>
    <t>Promote eco-friendly vehicles and improve
average fuel efficiency</t>
  </si>
  <si>
    <t xml:space="preserve">In addition to reductions achieved in households and tertiary sector, reduction of GHG emissions in the transport sector is to be achieved mostly through an increase of energy efficiency and through the renewal of the fleet. </t>
  </si>
  <si>
    <t>In this context, the introduction of hybrid and electric vehicles will play an important role, but, in the short term, not as important as the reduction of fuel consumption in traditional combustion vehicles, which will, by 2030, remain as the typical vehicle in Republic of North Macedonia.</t>
  </si>
  <si>
    <t>higher penetration of biodiesel and CNG</t>
  </si>
  <si>
    <t>deployment of hydrogen for HDV</t>
  </si>
  <si>
    <t>greater penetration of hybrid vehicles in light and heavy freight transport</t>
  </si>
  <si>
    <t xml:space="preserve">Increased use of the railway through raising awareness campaigns </t>
  </si>
  <si>
    <t>77/137</t>
  </si>
  <si>
    <t>invest in stations and improve the “access to the stations”</t>
  </si>
  <si>
    <t>increase the network security and expand the network coverage</t>
  </si>
  <si>
    <t xml:space="preserve">Advanced mobility (walking, cycling and electric scooters) </t>
  </si>
  <si>
    <t xml:space="preserve">Construction of the railway to the Republic of Bulgaria </t>
  </si>
  <si>
    <t xml:space="preserve">Reduction of VAT from 18% to 5% for hybrid and electric vehicles; Direct subsidizing of hybrid vehicles, </t>
  </si>
  <si>
    <t>promote renewable energy and energy efficient technologies in the sea and land transport sub-sectors</t>
  </si>
  <si>
    <t>IV</t>
  </si>
  <si>
    <t>Improvement of road conditions through investments in road infrastructure</t>
  </si>
  <si>
    <t>Improved vehicle stock efficiency including for the three wheeled Tuk-tuks</t>
  </si>
  <si>
    <t>Integrate electric vehicles and target 20% hybrid-electric vehicles by 2030</t>
  </si>
  <si>
    <t>Excise duties of diesel fuel and petrol need to be gradually equalled.</t>
  </si>
  <si>
    <t>Renewing of other national road fleet; Description: This measure anticipates introduction of a regulation that will enable renewal of the vehicle fleet of light duty and heavy goods vehicles and buses</t>
  </si>
  <si>
    <t xml:space="preserve">Obligation to place fast chargers at all gas stations on motorways </t>
  </si>
  <si>
    <t>a large-scale change in the structure of freight and passenger traffic in favor of less carbon-intensive modes of transport</t>
  </si>
  <si>
    <t>the use of new energy-efficient vehicles, large-scale electrification and gasification of public transport, the transition of road transport to hybrid power plants, the promotion of the transition to the use of models with zero emissions of greenhouse gases and pollutants,</t>
  </si>
  <si>
    <t>the promotion of the use of public transport</t>
  </si>
  <si>
    <t>construction of a gas engine and electric charging infrastructure for various categories of transport, providing simplified access for vehicles to fuel with a lower carbon footprint;</t>
  </si>
  <si>
    <t>introduction of new transport and information technologies for control and positioning, development and implementation of intelligent information systems for monitoring and control in transport;</t>
  </si>
  <si>
    <t>development of transport infrastructure and logistics,</t>
  </si>
  <si>
    <t xml:space="preserve">allowing to optimize the management of traffic flows, </t>
  </si>
  <si>
    <t>increase the capacity of the transport infrastructure, the average speed of movement;</t>
  </si>
  <si>
    <t>development of production of new types of energy carriers, including hydrogen, "green" ammonia, biodiesel from wood raw materials for use in diesel engines and biomethane for use in gas transport infrastructure; the use of new energy carriers, including hydrogen and biodiesel;</t>
  </si>
  <si>
    <t>a range of green transport measures including electric and hybrid vehicles</t>
  </si>
  <si>
    <t>mode shifting and the enhanced provision of safe and affordable public transport.</t>
  </si>
  <si>
    <t>Establish emissions standards for vehicles</t>
  </si>
  <si>
    <t>Consider measures to restrict importation of vehicles that do not adhere to allowable emissions levels</t>
  </si>
  <si>
    <t>Establish exhaust testing centers and cars that fail the tests by emitting fumes above allowable emissions levels will be subjected to mandatory repairs or scrapped</t>
  </si>
  <si>
    <t xml:space="preserve">Establish exhaust testing centers and cars that fail  the tests by emitting fumes above allowable emissionslevels will be subjected to mandatory repairs or scrapped. </t>
  </si>
  <si>
    <t>Incentivize the importation and use of EVs: Introduce tax rebate or lower import duty on EVs.</t>
  </si>
  <si>
    <t>Introduce electric railways and improve the rail network: South Sudan will invest in improving the existing rail network and will also introduce electric railways into the country.</t>
  </si>
  <si>
    <t>Develop guidelines and standards to control vehicular air pollution: Establish exhaust testing centres: vehicles that fail tests by emitting fumes above allowable emissions levels will be subjected to mandatory repairs or scrapped.</t>
  </si>
  <si>
    <t>Promote high volume transportation: The government will explore policies encouraging high volume transport options such as buses and carpooling. Increase awareness among the general public regarding benefits associated with using mass transportation. Increase awareness among the general public regarding benefits associated with using mass transportation.</t>
  </si>
  <si>
    <t>Coordinate the development plans of the transport and renewable energy sectors.</t>
  </si>
  <si>
    <t>Regulate importation of inefficient vehicles: Review import policies to include criteria for types of vehicles that can be imported.</t>
  </si>
  <si>
    <t>Use low-carbon transport for tourism and recreational activities: Use EVs, particularly for transit to and from airports, and using buses to pick up a large number of passengers at one time instead of individual cars</t>
  </si>
  <si>
    <t>Efficiency improvements of vehicle fleet and usage of vehicles;…</t>
  </si>
  <si>
    <t>…, Promotion of public transport</t>
  </si>
  <si>
    <t xml:space="preserve">…, Promotion of non-motorised transport; </t>
  </si>
  <si>
    <t>…, Promotion of usage of alternative fuels and bio-fuels</t>
  </si>
  <si>
    <t>Renewal of the freight fleet and promotion of sustainable freight transport</t>
  </si>
  <si>
    <t xml:space="preserve">Introduction of BRT system to encourage public transport
Introduce the BRT system for Galle Road Corridor  </t>
  </si>
  <si>
    <t>Introduction of ITS (Intelligent Transport System) based bus management system</t>
  </si>
  <si>
    <t xml:space="preserve">Introduce Park &amp; Ride system </t>
  </si>
  <si>
    <t xml:space="preserve">Development of Urban Transport Master Plans (UTMP) </t>
  </si>
  <si>
    <t>Upgrading of Fuel Quality Standards in order to reduce GHG emission</t>
  </si>
  <si>
    <t>Inspection and monitoring of Vehicle Emission Testing Centers (vehicles on road)</t>
  </si>
  <si>
    <t xml:space="preserve">Rehabilitation of Kalani valley Railway line
Purchase new rolling stock for Sri Lanka Railway </t>
  </si>
  <si>
    <t xml:space="preserve">Introduce electrified boat service using inland water canal for public transportation to reduce the congestion in roads as well as GHG emission
Electrification of three - wheelers to reduce emissions
Electrify railway from Weyangoda to Panadura 
</t>
  </si>
  <si>
    <t>Launching of electric buses as a pilot project</t>
  </si>
  <si>
    <t xml:space="preserve">Introduce electrified boat service using inland water canal for public transportation to reduce the congestion in roads as well as GHG emission </t>
  </si>
  <si>
    <t xml:space="preserve">Maintain international standards in maritime transportation
Implement international laws and regulations on Maritime Safety and Security in collaboration with Merchant Shipping Secretariat </t>
  </si>
  <si>
    <t>Encourage and introduce low emission vehicles such as Electric and Hybrid into the system</t>
  </si>
  <si>
    <t xml:space="preserve">Heavy smoke vehicles spotter programme (vehicles on road) </t>
  </si>
  <si>
    <t xml:space="preserve">Road side vehicle emission testing programme </t>
  </si>
  <si>
    <t>Avoid the need to travel</t>
  </si>
  <si>
    <t>Reduce commuting distances and travel time</t>
  </si>
  <si>
    <t>Improve traffic and traffic light management</t>
  </si>
  <si>
    <t>Improve parking management</t>
  </si>
  <si>
    <t>Introduce intelligent transport management systems</t>
  </si>
  <si>
    <t>Improve road architecture (road designs, road signs, signaling, signage, etc.)</t>
  </si>
  <si>
    <t xml:space="preserve">Improve public road transport for reliability, affordability, accessibility, availability, comfort and safety </t>
  </si>
  <si>
    <t>Improve railway transport for reliability, affordability, accessibility, availability, comfort and safety</t>
  </si>
  <si>
    <t>Integrate transport modes, Improve last mile connectivity</t>
  </si>
  <si>
    <t>Switch back to rail from road transport (shift freight to efficient modes), Promote transporting petroleum products by pipeline</t>
  </si>
  <si>
    <t>Introduce rail-based transport system with inland container depots</t>
  </si>
  <si>
    <t>Introduce Light Rail Transport in Colombo city</t>
  </si>
  <si>
    <t>Promote the use of bicycles</t>
  </si>
  <si>
    <t>Improve the facilities for pedestrian walkways</t>
  </si>
  <si>
    <t>Change the existing vehicle emission charging system from the present vehicle based to vehicle type, fuel used and emission-based system plus the total km travel</t>
  </si>
  <si>
    <t>Restrict the entry of individual modes of transport to sensitive areas and congested areas of major cities during peak hours through a levy</t>
  </si>
  <si>
    <t>Develop park and ride infrastructure developments combined with Corden based pricing mechanism</t>
  </si>
  <si>
    <t>Introduce canal-based water transport using diesel or grid electricity-powered boat service for selected canal routes</t>
  </si>
  <si>
    <t>Electrification of railway lines</t>
  </si>
  <si>
    <t>Develop new railway lines and expansion of existing railway network</t>
  </si>
  <si>
    <t>Increase tax concessions for electric &amp; hybrid vehicles; Tax &amp; Duty concessions for batteries used for electric and hybrid vehicles after introducing a specific HS code</t>
  </si>
  <si>
    <t xml:space="preserve">Facilitate supportive infrastructure developments such as charging stations, battery swapping &amp; replacements </t>
  </si>
  <si>
    <t xml:space="preserve">Improve efficiencies of the existing vehicle fleet </t>
  </si>
  <si>
    <t>Promote the import of fuel-efficient vehicles</t>
  </si>
  <si>
    <t>Introduce programmes to change driver behaviours</t>
  </si>
  <si>
    <t>Development of provincial and rural road infrastructure for improved mobility, Expansion of expressway network</t>
  </si>
  <si>
    <t>Ratify Annex VI of MARPOL convention to enforce provisions in Sri Lanka (reduce GHG emissions from the marine sector)</t>
  </si>
  <si>
    <t xml:space="preserve">Study the impact of shipping on GHG emissions (coastal traffic and ports) depending on evidence-based information and introduce measures to address the issues </t>
  </si>
  <si>
    <t>Promote sea transportation</t>
  </si>
  <si>
    <t>Introduce energy efficiency measures and fuel quality improvement programmes to coastal shipping and fishing boats and vessels</t>
  </si>
  <si>
    <t>Introduce new national policy or make amendments to relevant existing policies to promote environmentally sustainable transport modes including electric mobility and hybrid vehicles</t>
  </si>
  <si>
    <t>Introduce fuel-based carbon tax</t>
  </si>
  <si>
    <t>Include climate change measures in maritime policy making</t>
  </si>
  <si>
    <t>Inner-city private cars model switching to bus in Khartoum</t>
  </si>
  <si>
    <t>Blending fossil fuel by 10 biofuel</t>
  </si>
  <si>
    <t>promotion of fuel efficiency</t>
  </si>
  <si>
    <t>Good trucks switching to rail transport</t>
  </si>
  <si>
    <t>mode switching - cars to buses in Khartoum</t>
  </si>
  <si>
    <t>mode switching - cars to […] river transport</t>
  </si>
  <si>
    <t>trucks to rail</t>
  </si>
  <si>
    <t>use of biofuels (10%)</t>
  </si>
  <si>
    <t>light duty vehicle fuel economy improvements</t>
  </si>
  <si>
    <t>tighten import to vehicles less than five years old, in order to reduce emissions under this NDC</t>
  </si>
  <si>
    <t>An unconditional contribution will be made to update the Transport Master Plan (ISTS 2011).</t>
  </si>
  <si>
    <t>This includes restructuring the existing road system to allow smoother and shorter travel time and constructing alternative North-South and East-West transfer roads.</t>
  </si>
  <si>
    <t>To encourage people to use transit, the public transport system needs improvement (with extra transfer stations, shuttle bus  system,  public  transport  corridors)</t>
  </si>
  <si>
    <t>Improve public transport: Improve the public transport system, including adding separate bus lanes, public bus hubs outside the city center and shuttle bus inside the city center</t>
  </si>
  <si>
    <t>Introduce a low or no emissions limits to exhaust gases/emissions from public and private vehicles such as cars, trucks, buses and other vehicles.</t>
  </si>
  <si>
    <t>Limit the age of used vehicles for import to &gt;5 years old (Foreign Motor Vehicle Import Requirements</t>
  </si>
  <si>
    <t>Improve traffic management, planning &amp; Infrastructure: Improve traffic management, planning together with urban planning</t>
  </si>
  <si>
    <t>Increase public green: Increase public roads and walkaways of Suriname by enhancing the “green component” as well as green terraces and parks (Green City)</t>
  </si>
  <si>
    <t>Improve road conditions: The objective of this project is to rehabilitate main roads, protect roads from flooding and decrease travel time and increase safety</t>
  </si>
  <si>
    <t>Adapting urban planning and incorporating measures to reduce GHGs (such as reduce traffic congestion and reuse road material);</t>
  </si>
  <si>
    <t>Reduce emissions by amending the current legislation to regulate levels from exhaust gases.</t>
  </si>
  <si>
    <t xml:space="preserve">Suriname commits to introduce by 2027 vehicle emissions controls </t>
  </si>
  <si>
    <t>Biofuel project that could realize the introduction of ethanol in gasoline with 60% of vehicles utilizing the blend</t>
  </si>
  <si>
    <t>Concerning the improvement of the efficiency of vehicles, it is important that the Republic of Serbia controls the import of used cars and their use, especially regarding very old vehicles…</t>
  </si>
  <si>
    <t xml:space="preserve">Tax on the use of motor vehicles is paid for motor vehicles covered by the mentioned law, however, data on greenhouse gas emissions is currently not considered as one of the elements of the criteria for taxation. Discount for older cars needs to be gradually removed, since they have much greater negative impact on the environment than new cars. Therefore, the use of motor vehicles whose impact on the environment is more favourable and which contribute less to the greenhouse effect should be encouraged. </t>
  </si>
  <si>
    <t xml:space="preserve">...For a faster introduction of electric vehicles, subsidies would need to be offered, at least in the early stage of market development. </t>
  </si>
  <si>
    <t xml:space="preserve"> The Republic of Serbia will have to invest in charging infrastructure for electric vehicles, as well as charging infrastructure for other vehicles that run on alternative fuels (natural gas).</t>
  </si>
  <si>
    <t xml:space="preserve"> In that regard, a package of measures is needed, including improved planning,…</t>
  </si>
  <si>
    <t>changing commuting habits.</t>
  </si>
  <si>
    <t xml:space="preserve">Furthermore, regional/local low-carbon transport strategies and sustainable mobility urban plans are to be developed with the focus on improvement of non-motorised transport infrastructure. </t>
  </si>
  <si>
    <t>Investments in infrastructure (railway) have already started and need to continue, in accordance with the National plan for public railway infrastructure.</t>
  </si>
  <si>
    <t>Promotion of use of alternative fuels and biofuels</t>
  </si>
  <si>
    <t>Therefore, in order to support promotion of sustainable freight transport it is important to review and adapt annual fees for HDV infrastructure in accordance with CO2 emission performance standards,</t>
  </si>
  <si>
    <t>…, and implement road tolls for freight vehicles based on the EURO emission standard.</t>
  </si>
  <si>
    <t>Furthermore, the new Transport Development Strategy of the Republic of Serbia for the period 2023-2030 (currently in drafting phase) has to be prepared to assess different aspects of transport development as well as Serbia’s needs and capabilities relating to defining an optimal infrastructure development path for the future in order to ease the subsequent pressure on road infrastructure.</t>
  </si>
  <si>
    <t>The Government aims to phase out internal combustion engine vehicles and have all vehicles running on cleaner energy by 2040.</t>
  </si>
  <si>
    <t>To encourage the adoption of electric vehicles (EVs), we have various incentives to lower the upfront and running costs of an EV.</t>
  </si>
  <si>
    <t>We are also expanding our public EV charging infrastructure, with a target of 60,000 charging points nationwide by 2030.</t>
  </si>
  <si>
    <t>At the same time, we are continuing to invest significantly in our public transport and active mobility infrastructure to encourage Walk-Cycle-Ride (WCR) modes of travel. Our target is for 9 in 10 peak period journeys to be WCR journeys by 2040, with 9 in 10 of these WCR journeys to be completed in less than 45 minutes.</t>
  </si>
  <si>
    <t>Introduce measures to reduce emissions in transport in fiscal policy, in line with the forthcoming revision of Council Directive 2003/96/EC36 and according to the OECD Recommendations and the Progress Report of the Environmental Performance of OECD Recommendations, unless they are in contradiction with Council Directive 2003/96/EC, whereas the measures will take into account price competitiveness and elasticity of consumption.</t>
  </si>
  <si>
    <t>Prepare and strictly implement the revised Directive 2009/33 on the promotion of clean and energy-efficient road transport vehicles.</t>
  </si>
  <si>
    <t>CO2 emission standards for passenger cars and light commercial vehicles, efficiency standards for trucks, together with the electrification of transport in force since 2007. This has the effect of increasing the efficiency of cars, reducing fuel consumption and reducing greenhouse gas emissions from passenger cars, light commercial vehicles and trucks thanks to the increased efficiency of engines and production.</t>
  </si>
  <si>
    <t>In addition, Switzerland is aware of the importance of the removal of fossil fuel subsidies, due to their major impact on greenhouse gas emissions. At the national level, Switzerland is actively reviewing its remaining fossil fuel subsidies. At the international level,  Switzerland,  to-gether with Costa Rica, Denmark, Ethiopia, Finland, New Zealand, Norway, Sweden and Uru-guay, is engaged in the Friends of Fossil Fuel Subsidies Reform who promote the removal of fossil fuel subsidies, in particular in G20-countries.</t>
  </si>
  <si>
    <t xml:space="preserve">Change passenger car registration fees to reflect CO2 emissions or Euro emission standards, or a combination of these, or other factors that reflect environmental criteria in the calculation of fees. </t>
  </si>
  <si>
    <t>Measures in accordance with the Ecodesign Directive. The purpose of these measures is to reduce the environmental impact at all stages of the product life cycle. The challenge in the application of ecodesign in the automotive industry is the complex interaction of various, partly conflicting influencing factors. The automotive industry is forced to take into account the entire life cycle of cars. In addition to reducing fuel consumption and emissions, production as well as the end-of-life phase of a car must be taken into account</t>
  </si>
  <si>
    <t>Supporting biofuels in road transport since 2010. The Slovak Republic plans to speed up the implementation of second-generation biofuels made from non-food crops such as wood, organic waste, waste from food crops and specific biomass crops. After 2020 operators are obliged to blend biofuels with fossil fuels with a minimum energy content as follows: 7.6% in 2020, 8.0% in 2021 and 8.2% in 2022 – 2030. The energy share of advanced biofuel must be at least:
0.5% in 2020 – 2024 and 0.75% in 2025 – 2030</t>
  </si>
  <si>
    <t>The transport sector is mainly subject to EU-wide regulation. In general, a trend towards the gradual electrification of transport is generally visible after 2020, which has been most reflected in the models after 2030, and in practice will mean a higher share of electric vehicles and fuel cell vehicles which will replace vehicles with internal combustion engines.</t>
  </si>
  <si>
    <t xml:space="preserve"> in practice will mean a higher share of electric vehicles and fuel cell vehicles which will replace vehicles with internal combustion engines.</t>
  </si>
  <si>
    <t>Changing the distribution of traffic, which will result in a reduction in the performance of road freight transport for roads over 300 km, of which 30% should be transferred to railway or waterway transport.</t>
  </si>
  <si>
    <t>Economic and tax instruments, which will result in a change in the projected energy consumption, environmentally friendly fuels will dominate, which should be with a lower tax.</t>
  </si>
  <si>
    <t>Increased road charging, which will result in a change in demand for road freight transport.</t>
  </si>
  <si>
    <t>Increase the attractiveness and comfort of public transport at all levels: - Enable the arrival of private rail carriers on national routes</t>
  </si>
  <si>
    <t>Renew the rail carrier’s train fleet</t>
  </si>
  <si>
    <t>Support the development of public passenger rail transport (trams and trolleybuses), support the development of alternative-fuelled bus public passenger transport and support regular alternative-fuelled passenger ship transport</t>
  </si>
  <si>
    <t>Gradually reduce the procurement of public transport vehicles using fossil fuels with high greenhouse gas emissions, from public funds</t>
  </si>
  <si>
    <t>Updating and activating the technical inspection procedures in order to comply with the permitted percentages of the gas emission by the car exhausts, and rehabilitating the technical inspection lanes in the transport directorates, especially the modern and advanced equipment needed, such as exhaust gases.</t>
  </si>
  <si>
    <t>Developing urban transportation systems and encouraging sustainable transportation</t>
  </si>
  <si>
    <t>as well as rehabilitating and developing of railways, taking into account the role of railways to reduce the rates of pollution caused by other means of transportation.</t>
  </si>
  <si>
    <t>Improving the quality of fuel used in transportation</t>
  </si>
  <si>
    <t>as well as the use of green fuel and blue gasoline.</t>
  </si>
  <si>
    <t>Encouraging the use of gas-powered buses and environmentally-vehicles powered operated by modern technology (gas, electricity, and hybrid).</t>
  </si>
  <si>
    <t>Freezing the importation or introduction of used cars more than 3 years, as well as following-up studies on the replacement of old vehicles currently in the transportation fleet</t>
  </si>
  <si>
    <t>Switch to cleaner and environmentally friendly fuels for vehicles. Further expansion in use of vehicles having high fuel efficiency, corresponding to the world standards;</t>
  </si>
  <si>
    <t>Measures to encourage transition from polluting fuels to other less polluting energy or fuels, or biofuels, as well as transition to a modern energy efficient transport working on energies like gasoline to liquefied gas, hybrid vehicles (gasoline/electricity), electric vehicles and etc;</t>
  </si>
  <si>
    <t>Building facilities for car manufacturing as well as for disposal and recycling of old vehicles;</t>
  </si>
  <si>
    <t>Planting of protective tree rows along roads on the roadsides;</t>
  </si>
  <si>
    <t>Altering modes of urban transportation: priority to public urban transportation, non-motorized transport (bicycles, skateboards and pedestrians);</t>
  </si>
  <si>
    <t>Development of transport and urban planning (multipurpose land use, pedestrian communities, multimodal and intermodal transport, etc.) that helps to reduce the use of cars;</t>
  </si>
  <si>
    <t>Encouraging railway transportation, which allows to move the freight and/or passenger flows from road to rail; improvement of existing lines or construction of new railways and electrification of railway lines.</t>
  </si>
  <si>
    <t>A vehicle tax scheme based on CO2 emissions will become effective beginning 2016</t>
  </si>
  <si>
    <t>promote road-to-rail modal shift for freight, construction of double-track railways</t>
  </si>
  <si>
    <t>promote road-to-rail modal shift for passenger transport, including extensions of mass rapid transit lines</t>
  </si>
  <si>
    <t>improvement of bus transit in the Bangkok Metro area</t>
  </si>
  <si>
    <t>The Environmentally Sustainable Transport System Plan promotes road-to-rail modal shift for both freight and passenger transport.</t>
  </si>
  <si>
    <t>A vehicle tax scheme based on CO2 emissions was introduced in 2016 to promote low carbon vehicles.</t>
  </si>
  <si>
    <t xml:space="preserve">The energy efficiency improvement will be achieved by behavioral changes, </t>
  </si>
  <si>
    <t xml:space="preserve">road surface improvement </t>
  </si>
  <si>
    <t xml:space="preserve">engine performance improvement. </t>
  </si>
  <si>
    <t xml:space="preserve">Currently, the proportion of new efficient vehicle fleets is increasing, including hybrid, plug-in hybrid, and battery electric vehicles. </t>
  </si>
  <si>
    <t>Liquid biofuels have been promoted as clean alternative fuels in the transport sector. To achieve the targets under Thailand’s LEDS, the share of liquid biofuel use will have to increase from 8% in 2030 to 34% of total final energy consumption in 2050.</t>
  </si>
  <si>
    <t>Public transport infrastructure and networks will be priorities to decarbonize the transport sector.</t>
  </si>
  <si>
    <t>A complete transformation of the vehicle fleet, the development of public EV fast charging networks, and hydrogen fueling stations are required as early as possible.</t>
  </si>
  <si>
    <t>Framework of energy system transformation in natural gas includes (i) promoting liquefied natural gas (LNG) in industries and transportation</t>
  </si>
  <si>
    <t>Framework of energy system transformation in oil includes (i) improving petroleum distillation process to meet EURO5 and EURO 6 standard</t>
  </si>
  <si>
    <t>Harmonize national and local public passenger transport timetables</t>
  </si>
  <si>
    <t>Expand the Integrated transport system (IDS) to other regions</t>
  </si>
  <si>
    <t>Introduce and support flexible public passenger transport systems (bus on demand or with flexible routes), particularly in areas with low population density</t>
  </si>
  <si>
    <t>Develop Park&amp;Ride facilities</t>
  </si>
  <si>
    <t>Carpooling</t>
  </si>
  <si>
    <t>Introduce financial and support measures to make public transport more financially attractive to the public than individual car transport</t>
  </si>
  <si>
    <t>Fully electrify the railway network and make rail freight transport more attractive (including increasing its capacity) to carry goods.</t>
  </si>
  <si>
    <t>Support the development of intermodal transport, the completion of intermodal transport terminals, and diverting transit and traffic over a certain number of kilometres compulsorily to railway or waterway transport, use of alternative fuels as a priority.</t>
  </si>
  <si>
    <t>Lower the carbon footprint of urban public transport with available technology (electrification, bioCNG, liquid biofuels, hydrogen).</t>
  </si>
  <si>
    <t>Support cycling in the form of subsidies for the emergence of new cycling infrastructure and plan cycle paths in advance and support in the urban road infrastructure as one of the pillars of passenger transport in cities.</t>
  </si>
  <si>
    <t>Introduce bikesharing in cities and villages and its integration into the public passenger transport system.</t>
  </si>
  <si>
    <t>Educate on the benefits of green transport and support sustainable mobility campaigns (Riding a bicycle to work, Riding a bicycle to school, Riding a bicycle to shops, European Mobility Week).</t>
  </si>
  <si>
    <t>Create safe bicycle stands near public buildings.</t>
  </si>
  <si>
    <t>Offer convenient transport of bicycles and of passengers with reduced mobility in public transport facilities</t>
  </si>
  <si>
    <t>Remove obstacles in public spaces as a tool to promote pedestrian traffic</t>
  </si>
  <si>
    <t>Support the institutional background for sustainable mobility within self-governments.</t>
  </si>
  <si>
    <t>to promote and implement the current Decree Law on used vehicles which are imported into Timro-Leste to be less than 5 years of factory production
public transport:</t>
  </si>
  <si>
    <t>promote use of public transport by enabling convenient (routes to all areas) and reliable access to bus or micro-bus, constructing appropriate facilities such as proper bus stops, terminals, and establish necessary regulations to control the transportation system</t>
  </si>
  <si>
    <t>Vehicle Standards - Decree-Law (No. 30/2011) prohibits the import of light passenger and mixed vehicles that are more than 5 years old (from the date of their original manufacture to the date of import) with exceptions in place for particular circumstances and vehicles. Timor-Leste will continue to use these standards to control vehicle imports and revise them as required to suit national policies and priorities.</t>
  </si>
  <si>
    <t>Transport System Master Plan - A transport master plan will be developed to build sector resilience and reduce emissions derived from the transport sector. This plan will create policy entry points for promoting and supporting climate-friendly public transport options and non-motorised transport solutions where possible.</t>
  </si>
  <si>
    <t>Promote active transport (bicycles, walking, bike path development)</t>
  </si>
  <si>
    <t>Limit age of imported vehicles to 5-7 years
Quality standard for the imported used vehicles</t>
  </si>
  <si>
    <t>Improvement of the road network (in the main urban centres)</t>
  </si>
  <si>
    <t xml:space="preserve">Extension  du  réseau  routier  rural –  Construction  de 4000  km  de  voies  rurales  ciblant  les  zones  agricoles  à fort potentiel d'exportation afin de connecter les agriculteurs au marché ; </t>
  </si>
  <si>
    <t xml:space="preserve">Construction de l’Autoroute de l’Unité –  Accélération du projet  de  développement  de  la  RN1  reliant  l'hinterland productif à l'agglomération de Lomé et au port </t>
  </si>
  <si>
    <t xml:space="preserve">Exonération des taxes sur les véhicules neufs </t>
  </si>
  <si>
    <t>La mise en œuvre programme national d’efficacité énergétique dans le transport, le contrôle technique obligatoire et les formations en éco-conduite sont des mesures qui participent à atteindre des objectifs de la CDN.</t>
  </si>
  <si>
    <t>Interested in developing biofuels for both transport and electricity generation</t>
  </si>
  <si>
    <t>incentives for purchasing more efficient vehicles through (...) import tariffs</t>
  </si>
  <si>
    <t>Reducing consumption from 10.1 litres per 100 km in 2016 to 7 litres per 100 km in 2030, through registration fees</t>
  </si>
  <si>
    <t>10% of all newly registered light-duty vehicles to be electric or hybrid vehicles by 2030.</t>
  </si>
  <si>
    <t>fuel economy standards</t>
  </si>
  <si>
    <t>achieving a 2% efficiency gain per year for newly purchased light duty vehicles either requires establishing mandatory vehicle standards</t>
  </si>
  <si>
    <t>30% improvement in fuel efficiency for newly registered light-duty vehicles</t>
  </si>
  <si>
    <t>undertaking training and public awareness actions on vehicle maintenance, public transport and bicycle usage</t>
  </si>
  <si>
    <t>Developing transport sector measures to include in the Tonga Energy Road Map (TERM) strategies</t>
  </si>
  <si>
    <t>Solar Vehicle Public Awareness Tour Project</t>
  </si>
  <si>
    <t>Diesel Engines Fuel Efficiency Services Training</t>
  </si>
  <si>
    <t>incentives for purchasing more efficient vehicles through taxes, fees</t>
  </si>
  <si>
    <t>Reassess the system of excise duty on energy products in transport so that products are taxed on the basis of their adverse impact on the environment, while allowing the possibilities of Directive 2003/96 EC to be fully applied</t>
  </si>
  <si>
    <t>Toll charges will also include an environmental element in passenger transport and will analyse other ways of using economic instruments in accordance with the Polluter Pays principle.</t>
  </si>
  <si>
    <t>Support individual automobile transport regulations, in particular in the form of a parking policy (charges for parking, ban on parking on pavements) through the standardization of parking policy throughout the Slovak Republic, while respecting technical standards governing the construction of parking places STN 73 6110 /Z1/O1.</t>
  </si>
  <si>
    <t>Introduce low-emission zones in municipalities, including charging for entry into these zones and traffic calming in settlements (the introduction of functional 30 zones and cycling streets, including transport-technical facilities).</t>
  </si>
  <si>
    <t>Increase the use of alternative fuels but ensure that there is no increase in imports of crops with a high risk of indirect land use change (ILUC).</t>
  </si>
  <si>
    <t>Take greenhouse gas emissions from the whole fuel life cycle into account when adopting measures to promote individual fuels in order to achieve low-emission transport solutions.</t>
  </si>
  <si>
    <t>Develop infrastructure for alternative fuels more quickly and reconstruct the road network to reduce fuel consumption in order to increase support for the development of alternative-fuel cars.</t>
  </si>
  <si>
    <t>Set up financial support mechanisms from the EU and Slovakia so that they can finance as many decarbonisation measures in the transport sector as possible, including reducing the administrative burden when submitting projects</t>
  </si>
  <si>
    <t>Remove legislative barriers to the use of underground car parks for CNG, LPG, and hydrogen vehicles (the Fire Act, amendment to the Building Act, etc.).</t>
  </si>
  <si>
    <t>Promote the application of green public procurement</t>
  </si>
  <si>
    <t>Reduce aviation emissions.</t>
  </si>
  <si>
    <t>Support the construction of infrastructure for waterway transport enabling the operation of alternative fuel vessels in inland waterway transport and encourage carriers/operators of inland waterway vessels to remotorise their alternative-fuel vessels.</t>
  </si>
  <si>
    <t>Raise awareness of eco-driving (so-called eco-driving).</t>
  </si>
  <si>
    <t>Initiate a debate on a complete change in the concept of mobility, exploring ways to reduce the number of people commuting to school or work and increase support for home office.</t>
  </si>
  <si>
    <t>Meet the need for education, awareness-raising and awareness for the general public of the need for additional measures in this sector.</t>
  </si>
  <si>
    <t>Consider introducing a reduction target for the whole transport sector (whether for 2030 or later) as part of updating this Strategy.</t>
  </si>
  <si>
    <t>upgrade the railway infrastructure (preparation by 2025, implementation by 2030); upgrade and enhance capacities on the corridors Kamnik–Ljubljana (including electrification), Ljubljana–Kranj (double track), corridor south-east of Ljubljana, area of Ljubljana railway stations and stop facilities; upgrade tracks to attain TEN-T standards and increase the capacities on the lines Koper–Ljubljana (new Koper–Divača line, upgrade of the Divača–Ljubljana section), Maribor–Šentilj, Pragersko–Maribor (increase in permissible loads), Zidani Most–Pragersko, Ljubljana–Jesenice (the Karavanke Tunnel);</t>
  </si>
  <si>
    <t>Le secteur des transports vient tout juste après (37%), principalement grâce à l’organisation des déplacements urbains dans les grandes villes ainsi qu’à  l’introduction des véhicules électriques.</t>
  </si>
  <si>
    <t>further develop integrated public transport (harmonisation of timetables, integration of urban transport, establishment of a single/suitable public passenger transport operator, development of shared mobility, introduction of prioritisation of public transport vehicles, integration of cableway installations);</t>
  </si>
  <si>
    <t>promote sustainable modes of transport within the calculation of travel costs;</t>
  </si>
  <si>
    <t>Ensure balanced utilization of transport modes in freight and passenger transport by reducing the share of road transport and increasing the share of maritime and rail transport</t>
  </si>
  <si>
    <t>Implement sustainable transport approaches in urban areas</t>
  </si>
  <si>
    <t>Reduce fuel consumption and emissions of road transport with National Intelligent Transport Systems Strategy Document (2014-2023) and Action Plan (2014-2016);</t>
  </si>
  <si>
    <t>Implement special consumption tax exemptions for maritime transport</t>
  </si>
  <si>
    <t>Implement green port and green airport projects to ensure energy efficiency</t>
  </si>
  <si>
    <t>Achieve fuel savings through tunnel projects</t>
  </si>
  <si>
    <t>Expand urban railway systems</t>
  </si>
  <si>
    <t>Complete high speed railway projects</t>
  </si>
  <si>
    <t>Promote clean vehicles</t>
  </si>
  <si>
    <t>Scrapping old vehicles</t>
  </si>
  <si>
    <t>To ensure balanced utilization of transport modes in freight and passenger transport by reducing the share of road transport and increasing the share of maritime and rail transport;</t>
  </si>
  <si>
    <t>To develop low or zero emission, energy-efficient, and alternative clean fuel transportation options and expand urban passenger and freight transportation by rail for international and intercity</t>
  </si>
  <si>
    <t>To increase the use of electricity and alternative energy resources instead of fossil fuels on highways,</t>
  </si>
  <si>
    <t>To promote electric vehicles by establishing a national fast charging station network,</t>
  </si>
  <si>
    <t>To increase the efficiency and coverage of the intercity rail network and its
electrification,</t>
  </si>
  <si>
    <t>To implement sustainable transport approaches in urban areas;</t>
  </si>
  <si>
    <t>To promote sustainable aviation fuel production via national sources</t>
  </si>
  <si>
    <t>To support and incentivize sustainable aviation fuels at international airports,</t>
  </si>
  <si>
    <t>To expand green port implementations</t>
  </si>
  <si>
    <t>To implement Ship Scrap Regulation</t>
  </si>
  <si>
    <t>To enhance combined transport</t>
  </si>
  <si>
    <t>To promote alternative fuels and clean vehicles</t>
  </si>
  <si>
    <t>A sustainable, liberalized, economically profitable, high-technology railway sector will be developed.</t>
  </si>
  <si>
    <t>Railway infrastructure will be developed in line with the changing mega trends in the sector and based on sector dynamics.</t>
  </si>
  <si>
    <t>Highly renewable energy resources will be used in ports.</t>
  </si>
  <si>
    <t>Emission monitoring, reporting, and verification infrastructure will be established, and
carbon emissions will be strategically managed in air transportation</t>
  </si>
  <si>
    <t>Support for the development of public transport;</t>
  </si>
  <si>
    <t>Optimization of traffic flows to prevent congestion;</t>
  </si>
  <si>
    <t>Development of transport infrastructure, including new interchanges, exploring the needs of opportunities for multi-tiered traffic;</t>
  </si>
  <si>
    <t>Renewal of the vehicle fleet, control over its timely repair, expansion of mechanisms for regulating the import of vehicles taking into account energy efficiency;</t>
  </si>
  <si>
    <t>Exploring a phased transition to other cleaner and more economical fuels, including compressed natural gas or liquefied petroleum gas;</t>
  </si>
  <si>
    <t>Reducing the empty run of railway transport, ensuring efficient loading and studying the gradual transition of railway transport to electric traction.</t>
  </si>
  <si>
    <t>Planning to address growing emissions in the transport sector, as evidenced from the increased numbers of vehicles on land and vessels for sea transport, through technological innovations</t>
  </si>
  <si>
    <t>Alternative transports such as solar-powered e-bikes</t>
  </si>
  <si>
    <t>relevant decarbonization options in the domestic maritime sector</t>
  </si>
  <si>
    <t>Fuel Efficiency Initiative National Appropriate Mitigation Action</t>
  </si>
  <si>
    <t>promote cleaner fuels, and more fuel efficient vehicle technology</t>
  </si>
  <si>
    <t>Update transport codes and regulations and implement measures to ensure compliance with them</t>
  </si>
  <si>
    <t>promote cleaner fuels, and more fuel efficient vehicle technology; Update transport codes and regulations and implement measures to ensure compliance with them</t>
  </si>
  <si>
    <t>Road transport fuel efficiency - This measure aims to improve national fleet database, frameworks, and fuel standards so that regulation of the sub-sector can be enhanced, including regulations of imported vehicles. This measure can reduce the emissions by approximately 1.86 MtCO2e by 2030.</t>
  </si>
  <si>
    <t>Alternative fuel switch - This measure intends to improve fuel standards and efficiency in the country. Cleaner fuels will be promoted. This measure has potential to reduce emissions by approximately 0.54 MtCO2e by 2030.</t>
  </si>
  <si>
    <t>Development of Non-Motorized Transport (NMT) infrastructure - This measure aims to use the planned NMT corridors in the GKMA as well as in other urban areas across Uganda as its basis. The measure has a potential to reduce the emissions by approximately 0.66 MtCO2e by 2030.</t>
  </si>
  <si>
    <t>MGR – Meter Gauge Railway rehabilitation for freight transit - This measure intends to implement 61 km of passenger rail by 2030 and to achieve 22% of fuel economy improvement of diesel locomotives. This measure has a potential to reduce the emissions by approximately 0.0005 MtCO2e by 2030</t>
  </si>
  <si>
    <t>Efficient operation of public transportation</t>
  </si>
  <si>
    <t>Residential trip avoidance through town planning and transport orientated development</t>
  </si>
  <si>
    <t>BRT – Bus Rapid Transit</t>
  </si>
  <si>
    <t>GKMA Passenger service</t>
  </si>
  <si>
    <t>Metro rail</t>
  </si>
  <si>
    <t>LRT – Light Rail Transit</t>
  </si>
  <si>
    <t>SGR – Standard Gauge Railway</t>
  </si>
  <si>
    <t xml:space="preserve">Road improvement projects - Improvement of road infrastructure, including roads, bridges, etc </t>
  </si>
  <si>
    <t>Electric road vehicles - Electric boda-boda or buses</t>
  </si>
  <si>
    <t>Electrification of rail - Plans for electric traction of passenger rail</t>
  </si>
  <si>
    <t xml:space="preserve">Oil pipeline - Pipeline to transfer oil internally in Uganda, replacing road freight </t>
  </si>
  <si>
    <t xml:space="preserve">Utilisation of water transport - Increased water-borne transport </t>
  </si>
  <si>
    <t>E-commuting - Increased use of remote working</t>
  </si>
  <si>
    <t>reduce the needs for personal vehicle usage (work from home, change in parking policy, etc.): this will improve the integration of spatial and transport planning (legal arrangements of comprehensive planning, reduce the suburbanisation trend, improve the management of daily migrations in broader urban areas and other functionally linked areas, enhance the compactness of towns, enhance the renovation and reactivation of poorly utilised or degraded areas in rural settlements for activities enabling an increase in local employment and a reduction in daily migrations to towns) and accordingly arrange micromobility hubs on city arterial roads and along motorways;</t>
  </si>
  <si>
    <t>actively promote the construction of an infrastructure for walking and cycling for daily users, including suitable infrastructure for charging stations and promotion of the use of electric bicycles;</t>
  </si>
  <si>
    <t>change the excise duty policy and adjust the toll policy in accordance with the guidelines of the EU legislation:</t>
  </si>
  <si>
    <t>ensure suitable support environment for a comprehensive electrification of the Port of Koper;</t>
  </si>
  <si>
    <t>provide suitable support environment for the use of alternative fuels such as electricity, liquefied and compressed natural gas, which will be gradually replaced by synthetic gas (syngas), hydrogen (H2) and liquefied petroleum gas (LPG) which is of transitory nature, and biofuels,</t>
  </si>
  <si>
    <t>Aimed at supporting the economy and encouraging smart mobility choices, in 2015, the UAE introduced far-reaching fuel pricing reform, linking gasoline and diesel prices to international market prices.</t>
  </si>
  <si>
    <t>Standards for electric, hydrogen and autonomous vehicles are under development.</t>
  </si>
  <si>
    <t xml:space="preserve">As part of its shift to cleaner vehicle technologies, the UAE has taken up wide-scale conversion of conventional gasoline and diesel vehicles to Compressed Natural Gas, with a particular focus on taxis, buses, government vehicles and commercial vehicles. </t>
  </si>
  <si>
    <t xml:space="preserve">In addition, regulations and incentive schemes, have been put in place to power a larger share of road transport with electricity. </t>
  </si>
  <si>
    <t xml:space="preserve">advances in electrification through standards and strategies:
The Dubai Green Mobility Strategy targets a 2% share of electric and hybrid cars in Dubai’s road fleet by 2030, and a 30% share in Dubai’s government-procured vehicles by the same year. 
</t>
  </si>
  <si>
    <t>The country has seen a rapid expansion of charging infrastructure, and plans are afoot to further increase the number of vehicle charging stations across Emirates.</t>
  </si>
  <si>
    <t xml:space="preserve">While making road transport smarter, the UAE is steadfast in its commitment to build a railway network in the country to provide faster and cleaner mobility options. The 1,200 km-long Etihad Rail network is being built in stages, with the 264 km Stage One route operational for freight movement since January 2016. A single train journey on this line removes approximately 300 trucks from the road, reducing CO2emissions by 70-80%. </t>
  </si>
  <si>
    <t xml:space="preserve">Stage Two of Etihad Rail is slated to begin operations in 2023 and will extend over 605 km. On completion, the network will link all major UAE industrial ports and trading centers. </t>
  </si>
  <si>
    <t>Further, in the Dubai Metro network, the UAE has a world-class rapid transit rail system. The Dubai Metro is now complemented by a short-range tram network, providing sustainable transport options to residents and tourists alike. Further expansion of the metro network is underway. Complemented by bus service enhancements, this will increase the share of public transport in passenger journeys.</t>
  </si>
  <si>
    <t xml:space="preserve">According to fuel quality standards being currently implemented in the UAE, diesel consumed in the country must comply with 10 ppm sulphur content and Euro 5 standards. In terms of technology standards, new motor vehicles in the UAE are compliant with Euro 4 emission performance standards and a gradual move to Euro 5/6 is planned. </t>
  </si>
  <si>
    <t>Improvement of emission standards for new motor vehicles</t>
  </si>
  <si>
    <t>a federal freight rail network crossing the country and eventually integrated into the GCC network</t>
  </si>
  <si>
    <t>Comprehensive regulations for electric vehicles, so as to facilitate their uptake domestically</t>
  </si>
  <si>
    <t>the Emirate of Dubai has invested in a multi-billion dollar light-rail and metro system, which will continue to add new lines</t>
  </si>
  <si>
    <t>the introduction of a new fuel pricing policy, which will put the UAE in line with global prices</t>
  </si>
  <si>
    <t>With the aim of supporting the economy and encouraging smart mobility choices, in 2015, the UAE initiated a far-reaching fuel pricing reform, linking gasoline and diesel prices to international market prices.</t>
  </si>
  <si>
    <t>Ambitious public transport projects, such as the construction of passenger and freight rail networks connecting all emirates, are under way.</t>
  </si>
  <si>
    <t>One example is the UAE National Smart Mobility Strategy, which aims to elevate the UAE to one of the world’s leading countries in smart intermodal mobility. It is structured around the pillars of compatible infrastructure, integrated mobility systems, and dynamic policies and regulations and has five main objectives: safety, sustainability, efficiency, reliability, and a seamless experience</t>
  </si>
  <si>
    <t>In 2022, the UAE also announced the launch of a national BEV national roadmap in 2022 to develop BEV infrastructure and stimulate the uptake of BEVs</t>
  </si>
  <si>
    <t>In 2015, the country introduced far-reaching fuel price reforms by removing subsidies linking gasoline and diesel prices to international market prices</t>
  </si>
  <si>
    <t>Furthermore, a new fuel standards rule requires that diesel comply with 10 ppm sulphur content and Euro 5 standards.79 New motor vehicles must comply with Euro 4 performance standards; a gradual move to Euro 5/6 is planned</t>
  </si>
  <si>
    <t>To reduce private vehicle usage, emirate-level governments also promote sustainable urban growth focused on mixed-use developments and active transport (e.g., cycling and walking). This is outlined in urban master planning strategies such as Dubai 2040 Urban Master Plan, Dubai’s First and Last Mile Strategy, Abu Dhabi’s Surface Transport Masterplan, or Rafah Ras Al Khaimah’s sustainable community guideline.</t>
  </si>
  <si>
    <t xml:space="preserve">To reduce private vehicle usage, emirate-level governments also promote sustainable urban growth focused on mixed-use developments and active transport (e.g., cycling and walking). </t>
  </si>
  <si>
    <t xml:space="preserve">Dubai’s First and Last Mile Strategy encourages the shift to public transport by providing multiple mobility options for the first and last part of a journey leading to or from a public transport station such as buses on-demand, taxis, carpooling, electric scooters, and bicycles. </t>
  </si>
  <si>
    <t>Abu Dhabi’s Surface Transport Masterplan also provides policy directions promoting multi-modal transport networks and enhancing pedestrian accessibility</t>
  </si>
  <si>
    <t>A comprehensive policy package will focus on further expanding public transportation systems (such as metro and tram) and freight rail infrastructure across the country. In parallel, public transport will be improved through inter-modality initiatives connecting multiple types of transport together. This might be achieved by expanding existing first and last mile mobility solutions and introducing a unifying smartphone application that includes real-time information about transport options, among other possibilities</t>
  </si>
  <si>
    <t>Publicity and awareness campaigns will inform the public about the availability of public transport and promote its usage.</t>
  </si>
  <si>
    <t>The UAE will also provide priority lanes for buses and toll adjustments to benefit group transports and to incentivise the uptake of public and shared transportation.</t>
  </si>
  <si>
    <t xml:space="preserve">Incentives for Battery Electric Vehicle (BEV) and Fuel Cell Electric Vehicles (FCEV) owners that currently only apply in some emirates, such as free parking in Dubai, will possibly be rolled out across the country. This policy package will also include BEV and FCEV subsidies, such as CAPEX grants, lower registration fees and tolls for BEVs and FCEV, and additional road privileges, such as priority lanes and dedicated parking. </t>
  </si>
  <si>
    <t>The policy package will furthermore include policies supporting the creation of a comprehensive charging infrastructure network spanning the entire UAE, including policies for utility companies and gas station operators to build a country-wide BEV infrastructure, mandates for real estate developers to install BEV charging stations in parking lots, and subsidies for private companies to cover costs for charging stations in less economically viable locations.</t>
  </si>
  <si>
    <t>26/27</t>
  </si>
  <si>
    <t>The UAE also prepares to phase out internal combustion engine vehicles and plans to restrict usage of new ICE vehicles.</t>
  </si>
  <si>
    <t>As part of the policy package, a national guideline on the construction of BEV infrastructure has already been developed and the required specs for BEV charging stations on federal roads have been defined. At the emirate level, Abu Dhabi also issued a BEV charging infrastructure policy to set out stipulations and criteria for establishing a charging network across the emirate.</t>
  </si>
  <si>
    <t>Furthermore, the nation is in the process of establishing a policy for BEVs, and a platform for BEV chargers that also includes a mobile application is in development.</t>
  </si>
  <si>
    <t>The UAE is proactively driving the decarbonisation of the transport sector through a series of initiatives, beginning with the construction of a 1,200 km freight rail network in 2014. Stage one of the network, encompassing 264 km, has been operational since January 2016, while stage two will begin operations in 2023 and will extend to more than 605 km. Each train carries the freight equivalent of approximately 300 trucks, thereby leading to CO2e reductions of 70- 80% per tonne of freight.</t>
  </si>
  <si>
    <t>In Dubai, as per the currently approved Rail Master Plan, the self-driving metro network will be ultimately expanded from the current 89 kilometres to around 379 kilometres85. This plan is reviewed and updated periodically considering Dubai’s urban and economic development trends. Dubai also currently investigates the feasibility of constructing a new line that will expand the network by around 30 kilometres by 2030. The number of metro ridership in the year 2030 is expected to rise to around 300 million passengers compared to the 225 million passengers in 2022.</t>
  </si>
  <si>
    <t>The Road and Transport Authority Dubai (RTA Dubai) is also working on autonomous, first-mile/last-mile shuttles and Bus Rapid Transit (BRT) to facilitate inter-modality (the connection of different modes of transport).</t>
  </si>
  <si>
    <t>Expo City Dubai provides shade for 80% of primary walkways and 60% of hardscaped areas and public open spaces to protect against the heat of UAE’s arid climate and promote pedestrianisation</t>
  </si>
  <si>
    <t>Moreover, there is an increased emphasis placed on connecting city areas without vehicles; in Dubai, the bicycle tracks network exceeded 540 km by the end of 2022 and is planned to exceed 820 by the end of 202688, and three pedestrian footbridges across the canal have been completed, further connecting various city parts.</t>
  </si>
  <si>
    <t>Decarbonisation of Passenger Transport - By 2027, all taxis in Dubai will be hybrid-, electric-, or hydrogen-powered.89 Moreover, Dubai started to operate its first electric Abra boats in 2009. In March 2023 Abu Dhabi also added electric vehicles to its taxi fleet. In January 2023, ADNOC announced a partnership with TAQA to create a mobility joint venture called E2GO. E2GO will build and operate BEV infrastructure in Abu Dhabi and the broader UAE.90 To accelerate the uptake of BEVs in the private sector, Ras Al Khaimah Insurance is offering reduced rates for BEVs.9</t>
  </si>
  <si>
    <t>22. End the sale of new conventional petrol and diesel cars and vans by 2040</t>
  </si>
  <si>
    <t>24. Develop one of the best electric vehicle charging networks in the world by:•    Investing an additional £80 million, alongside £15 million from Highways England, to support charging infrastructure deployment•   Taking  new  powers  under  the  Automated  and  Electric  Vehicles  Bill,  allowing  the  Government to set requirements for the provision of charging points</t>
  </si>
  <si>
    <t>23.Spend £1 billion supporting the take-up of ultra low emission vehicles (ULEV), including helping consumers to overcome the upfront cost of an electric car
25. Accelerate the uptake of low emission taxis and buses by:•    Providing £50 million for the Plug-in Taxi programme, which gives taxi drivers up to £7,500 off the purchase price of a new ULEV taxi, alongside £14 million to support 10 local areas to deliver dedicated charge points for taxis•   Providing £100 million for a national programme of support for retrofitting and new low emission buses in England and Wales</t>
  </si>
  <si>
    <t>26. Work with industry as they develop an Automotive Sector Deal to accelerate the transition to zero emission vehicles</t>
  </si>
  <si>
    <t>27.  Announce  plans  for  the  public  sector  to  lead  the  way  in  transitioning  to  zero  emissions  vehicles</t>
  </si>
  <si>
    <t>28. Invest £1.2 billion to make cycling and walking the natural choice for shorter journeys</t>
  </si>
  <si>
    <t xml:space="preserve">29.  Work  to  enable  cost-effective  options  for  shifting  more  freight  from  road  to  rail,  including  using  low  emission  rail  freight  for  deliveries  into  urban  areas,  with  zero  emission  last  mile  deliveries </t>
  </si>
  <si>
    <t>30.  Position  the  UK  at  the  forefront  of  research,  development  and  demonstration  of  Connected and  Autonomous  Vehicle  technologies,  including  through  the  establishment  of  the  Centre  for  Connected  and  Autonomous  Vehicles  and  investment  of  over  £250  million,  matched  by  industry</t>
  </si>
  <si>
    <t xml:space="preserve">31. Innovation: Invest around £841 million of public funds in innovation in low carbon transport technology and fuels including:•    Ensuring  the  UK  builds  on  its  strengths  and  leads  the  world  in  the  design,  development  and manufacture of electric batteries through investment of up to £246 million in the Faraday Challenge•   </t>
  </si>
  <si>
    <t>Delivering trials of Heavy Goods Vehicle (HGV) platoons, which could deliver significant fuel and emissions savings.</t>
  </si>
  <si>
    <t>simplify administrative procedures in transport electrification.</t>
  </si>
  <si>
    <t>Introduce standards system for second-hand vehicle imports and tax on inefficient vehicles.</t>
  </si>
  <si>
    <t>Develop fuel efficiency standards for light and heavy vehicles to improve the overall efficiency of the vehicle stock</t>
  </si>
  <si>
    <t>The continued use of fuel economy norms and standards for fuel efficiency and GHG emissions of vehicles. Baseline studies on the adoption of more stringent fuel standards will help to provide a platform for introducing cleaner fuel standards</t>
  </si>
  <si>
    <t>Promotion of cleaner mobility: Emissions from energy supply in the transport sector are addressed through a number of policy documents. The 2007 Public Transport Strategy sets out an action plan for accelerated modal shifts and for the development of integrated rapid public transport networks. 
In 2018 the Green Transport Strategy (GTS) to 2050 was launched. The GTS provides the strategic direction for the transport sector regarding the reduction of GHG emissions, the contribution of transport to the green economy and the promotion of sustainable mobility. The Strategy aims to support reductions in the contribution of the transport sector to national greenhouse gas emissions through interventions that include local electric vehicle and battery production and roll out of solar powered charging stations; continued use of fuel economy norms and standards for fuel efficiency and GHG emissions of vehicles; and facilitating a shift of freight from road to rail. In September 2010 a CO2 tax was introduced on the selling price of new motor vehicles that exceed a certain emissions limit.</t>
  </si>
  <si>
    <t>Since then, the successful implementation of the bus rapid transport (BRT) system in Johannesburg has led to it being adapted and implemented in other major South African cities, with further roll-outs being planned.</t>
  </si>
  <si>
    <t>Improve systems for ensuring road worthiness</t>
  </si>
  <si>
    <t>Roll-out the provision of energy and activity data from the transport sector
Developing robust data on the long-term implications of implementing mitigation policies and measures across the sectors, where such information does not exist. Notable here are the transport, waste and AFOLU sectors</t>
  </si>
  <si>
    <t>Exploring the potential for local electric vehicle and battery production</t>
  </si>
  <si>
    <t>growing the number of public charging stations, powered by solar panels, by 40 stations per year</t>
  </si>
  <si>
    <t>Facilitating a shift of freight from road to rail. This is in recognition that freight transport was previously moved off rail onto road as a result of constraints in the country's rail service, with road-based freight transport currently accounting for around 75% of total freight moved.</t>
  </si>
  <si>
    <t>The road-to-rail shift will be supported by the implementation of Transnet's Market Demand Strategy. The Market Demand Strategy aims to create a more balanced and appropriate market between road and rail freight transport, thereby reducing overloading of the road network and road infrastructure deterioration and contributing to a reduction in GHGs associated with rail transport</t>
  </si>
  <si>
    <t>In September 2010 a CO2 tax was introduced on the selling price of new motor vehicles that exceed a certain emissions limit, in order to increase the move towards lower emissions vehicles. The levy has grown incrementally over time, and offers an established instrument that government could use for ratcheting up ambition in the transport sector</t>
  </si>
  <si>
    <t>The Hydrogen South Africa (HySA) Research Programme, that aims to make South Africa a global player in fuel cell technology, through prototyping, demonstration and commercialisation of fuel cell technologies</t>
  </si>
  <si>
    <t xml:space="preserve"> Las medidas de eficiencia energética y cambios en los modelos y necesidades de movilidad. Se continuará fomentando el cambio modal de los medios de transporte individuales más contaminantes y consumidores de energía hacia los colectivos, otros individuales más respetuosos, como la bicicleta o los vehículos eléctricos, y la movilidad a pie.</t>
  </si>
  <si>
    <t>La electrificación continuará siendo una tecnología clave en el sector por carretera para vehículos ligeros.</t>
  </si>
  <si>
    <t>Los combustibles renovables serán especialmente importantes para el transporte pesado de mercancías por carretera, la aviación y la navegación.</t>
  </si>
  <si>
    <t>Los gases renovables y el acoplamiento de sectores pueden proporcionar importantes ventajas, comoel hidrógeno renovable, importante vector energético para contribuir a la descarbonización.</t>
  </si>
  <si>
    <t>La digitalización e innovación permitirá un mejor aprovechamiento de todos los recursos energéticos.</t>
  </si>
  <si>
    <t xml:space="preserve">La planificación urbanística deberá integrarse con el sector del transporte. </t>
  </si>
  <si>
    <t>Set up a tax break to bring forward the benefits of electric mobility through incentivizing the purchase of electric vehicles over fossil-fuelled vehicles - Accelerating the shift towards electric vehicles through the provision of tax incentives for electric vehicle purchasers</t>
  </si>
  <si>
    <t>Develop light rail transportation in Colombo - Expanding and electrifying the public transportation network, notably through the Colombo Light Rail Transit (LRT) Project</t>
  </si>
  <si>
    <t>Set up bike lanes in relevant roads - Incentivizing non-motorized transportation through the expansion of the bike lanes network</t>
  </si>
  <si>
    <t>shift to less carbon intensive fuels (from oil to gas)</t>
  </si>
  <si>
    <t>Support the transition towards a RE-based, resilient mobility network, promoting sustainable lifestyles and sustainable mobility.</t>
  </si>
  <si>
    <t>Emission reduction targets for new vehicles: From 2021, phased in from 2020, the EU fleet-wide average emission target for new cars will be 95 g CO2/km and 147g CO2/km for new vans. These requirements have a major impact on emissions in Sweden, as they considerably affect the composition of the vehicle fleet.</t>
  </si>
  <si>
    <t>energy-efficient and climate-smart vehicles and ships
Energy-efficient and fossil-free vehicles reduces emissions and the need for fossil fuels. Much of the technology required to lower emissions is already available, and the range of energy-efficient and fossil-free vehicles is increasing at an even faster pace. Today the share of chargeable cars is 30 percent of the sales of new cars in Sweden, a duplication compared to the year before. But the conversion of the vehicle fleet will take time, as it will take time to fully phase out the older vehicles.</t>
  </si>
  <si>
    <t xml:space="preserve">In the transport sector, renewable alternatives are favoured through a reduction obligation scheme, which consists of an obligation for suppliers of gasoline and diesel to gradually reduce the climate impact of the delivered fuels by blending in more biofuels. </t>
  </si>
  <si>
    <t>27f.</t>
  </si>
  <si>
    <t>Bonus-malus system
A bonus–malus-system has been applied in Sweden since July 2018. Under this system, vehicles with low carbon dioxide emissions can qualify for a bonus on purchase, while vehicles with high carbon dioxide emissions in their first three years have a higher vehicle tax. From year four onwards, the ordinary vehicle tax is applied based on carbon dioxide emissions (see below). The system covers all new passenger cars and vans. Since 1 January 2020, the new cars and vans are taxed on WLTP values (Worldwide Harmonised Light Vehicle Test Procedure). In general, the WLTP has led to higher emission values and thus contributed to make the rules stricter</t>
  </si>
  <si>
    <t>Tax reduction for eco-friendly cars
Company cars account for a large part of new vehicles registered in Sweden, and a large proportion of these can be used privately by the employees who drive them. The benefit of using a vehicle provided by one’s employer for private journeys is, as a rule, taxable, and the value of the benefit is calculated according to a particular formula. To encourage the introduction of new eco-friendly cars on the market, the taxable value of eco-friendly cars is set at a lower level, equivalent to the price of the nearest comparable car without environmental technology. For electric cars, plug-in hybrids and cars run on gas (apart from liquefied petroleum gas - LPG), the taxable value of the company car benefit may be further reduced. From 1 January 2021 the further reduction will be abolished</t>
  </si>
  <si>
    <t>Carbon dioxide-based vehicle tax
To provide incentives to car buyers to choose cars, vans and caravans with low greenhouse gas emissions, Sweden applies a differentiated annual vehicle tax based on the vehicle’s carbon dioxide emissions per kilometre. Accordingly, vehicles with lower carbon dioxide emissions are taxed lower than vehicles with higher emissions. This tax applies to vehicles bought before the bonus–malus-system was implemented in July 2018 (see above) and will continue to apply to vehicles that “exit” the bonus-malus system three years after purchase.</t>
  </si>
  <si>
    <t>Klimatklivet (local investment grants)
The Climate Leap is a cross-sectoral policy instrument, but it is specifically important for the transport sector. Important measures supported by this instrument are installing charging points for electric vehicles and investing in biogas plants. The investment aid programme eases the transition to a fossil-free vehicle fleet (more information on The Climate Leap is provided in section 4.2 on cross-sectoral policy instruments).</t>
  </si>
  <si>
    <t>Climate premium
Regional public transport authorities, municipalities and companies to which the regional public transport authorities have outsourced the right to enter into agreements on public transport, and traffic companies that are public transport operators can apply for an electric bus premium. The premium applies to electric buses, charging hybrid buses, trolleybuses and fuel cell buses for public transport. The size of the premium depends on the number of passengers and whether the bus is solely powered by electricity or if it is a hybrid. The premium seeks to support the introduction of electric buses on the market. The budget for the electric bus premium is SEK 80 million for 2019.
From 2020 onwards, the electric bus premium will be converted into a climate premium. This means that besides electric buses, it will also be possible to apply for funding for electric lorries and other eco-friendly lorries, as well as non-road mobile machinery powered by electricity, which combined with the continuing funding for electric buses seeks to encourage the introduction of these vehicles to the market.</t>
  </si>
  <si>
    <t>Act on the Obligation to Supply Renewable Fuels</t>
  </si>
  <si>
    <t xml:space="preserve">Urban environment agreements are a programme for investment in public transport, cycling infrastructure and sustainable goods transport solutions in urban environments. Municipalities can apply for grants to cover part of the infrastructure investment costs. The investment is often combined with other measures seeking greater long-term sustainability in urban environments or transport systems. These measures may cover greater accessibility through public transport, urban planning to encourage more cycling and walking, lower vehicle speeds, and parking regulations and pricing. </t>
  </si>
  <si>
    <t>47, 48</t>
  </si>
  <si>
    <t>Financing has been in place for urban environment agreements since 2015 and from 2018 onwards has been part of the economic framework for developing the transport system, amounting to SEK 1 billion a year in 2018–2029.</t>
  </si>
  <si>
    <t>Long-term infrastructure planning
In May 2018, the Government decided on a new national plan for transport infrastructure in the period 2018–2029 across all modes of transport. The Swedish Transport Administration is responsible for long-term planning for all modes of transport and is responsible for implementing the plan. Planning is conducted in dialogue with municipalities and regions, among others.</t>
  </si>
  <si>
    <t>Rapid transport and mass marine transport systems are being improved; Investments in air, rail, marine and road infrastructures</t>
  </si>
  <si>
    <t>Promoting low emission transport systems through deployment of mass rapid transport system</t>
  </si>
  <si>
    <t>investments in rail, maritime and road infrastructures, including high quality transport system</t>
  </si>
  <si>
    <t>expansion/scaling up of BRT infrastructures.</t>
  </si>
  <si>
    <t>Promoting the use of renewable (clean) energy in transportation systems.</t>
  </si>
  <si>
    <t>Introduction and promotion of Non-Motorized Transport system and facilities and networks in both mega cities and metropolitan cities by 2030</t>
  </si>
  <si>
    <t>Introduce fuel economy standards for light-duty vehicles for model years 2012-2025 and for heavy-duty vehicles for model years 2014-2018</t>
  </si>
  <si>
    <t>Increasing fuel efficiency. Continuing to increase vehicle efficiency and fuel production efficiency will drive down
energy use and emissions. Efficiency improvements may be particularly important for transportation modes that are the
most difficult to electrify, such as airplanes, ships, and long-haul trucks. In addition to providing emissions reductions,
transportation efficiency measures save money for individuals and businesses over the lifetimes of their equipment and
reduce our reliance on oil imports.</t>
  </si>
  <si>
    <t>tailpipe emissions and efficiency standards</t>
  </si>
  <si>
    <t>Electric vehicles (EVs): With a decarbonized electric power sector, EVs are effectively carbon-free vehicles. In addition,
the electric drive in an EV is far more efficient than a conventional engine and transmission, meaning EVs consume less
energy to drive a given distance than gasoline-powered vehicles. As technologies improve, allowing these vehicles to
travel farther on a single charge, the vehicle types and uses will diversify, leading to greater market penetration. Both
battery electric vehicles (BEVs) and plug-in electric vehicles provide unique opportunities</t>
  </si>
  <si>
    <t>Fuel cell electric vehicles (FCEVs): Like BEVs, FCEVs are low-carbon alternatives when powered by hydrogen generated
from low-carbon sources, and they have much higher efficiencies than gasoline/diesel-powered vehicles, as well as a
comparable range of driving distance.</t>
  </si>
  <si>
    <t>Biomass-fueled vehicles: When combined with carbon beneficial forms of biomass, “drop-in” biofuels would have a key
advantage in that they can be deployed without major changes to existing vehicles or fuel infrastructure (DOE 2015a).</t>
  </si>
  <si>
    <t>Reducing vehicle miles traveled. Transportation energy demand is influenced not only by available technology but also by societal trends. Improved and highly utilized mass transit,</t>
  </si>
  <si>
    <t xml:space="preserve"> higher-density</t>
  </si>
  <si>
    <t xml:space="preserve"> mixed-use development</t>
  </si>
  <si>
    <t>walkable and bikeable neighborhoods</t>
  </si>
  <si>
    <t>advances in IT and the sharing economy are initiating a shift from a vehicle ownership society to one of shared mobility, where mobility is purchased by the mile rather than by the vehicle.
 increased and efficient ridesharing</t>
  </si>
  <si>
    <t>Smart urban planning can capitalize on this shift, freeing up land that is now needed to house vehicles for alternative
and more societally beneficial uses, including more compact, walkable cities.</t>
  </si>
  <si>
    <t>improved freight logistics and modal shifting of freight from long-haul trucks to rail have the potential to drive down the distance traveled and corresponding emissions from heavy-duty vehicles.</t>
  </si>
  <si>
    <t>incentives for zero emission personal vehicles</t>
  </si>
  <si>
    <t>funding for charging infrastructure to support multi-unit dwellings, public charging, and long-distance travel</t>
  </si>
  <si>
    <t>research, development, demonstration, and deployment efforts to support advances in very low carbon new-generation renewable fuels for applications like aviation, and other cutting-edge transportation technologies across modes</t>
  </si>
  <si>
    <t>Investment in a wider array of transportation infrastructure will also make more choices available to travelers, including transit, rail, biking, and pedestrian improvements to reduce the need for vehicle miles traveled</t>
  </si>
  <si>
    <t>Eco bonus for shipping
Since 2018, the Government has allocated funding for an eco-bonus system to stimulate switching goods traffic from road to sea transport. The purpose of the system is to mitigate greenhouse gas emissions from goods transport. The Government is budgeting SEK 50 million a year for the system in the period up to 2022.</t>
  </si>
  <si>
    <t>Tax on air travel
On 1 April 2018, Sweden introduced a tax on air travel with the aim to help reduce the climate impact of aviation28. The tax is designed as a tax on commercial flights and is paid for passengers travelling from an airport in Sweden. The airline that carries out the flight is liable to the tax. Different amounts are to be paid depending on the final destination of the passenger</t>
  </si>
  <si>
    <t>EU ETS (aviation)</t>
  </si>
  <si>
    <t>In the initiative for a Fossil Free Sweden instigated by the Swedish Government, a considerable number of sectors and industries have themselves drawn up roadmaps towards very low or zero emissions. The initiative is an important platform for dialogue and cooperation between key actors for a competitive climate transition.</t>
  </si>
  <si>
    <t>In the transport sector, renewable alternatives are favoured through a reduction obligation scheme, which consists of an obligation for suppliers of gasoline and diesel to gradually reduce the climate impact of the delivered fuels by blending in more biofuels. Policy instruments such as the electricity certificate system, support to research, etc. are other reasons that explain the growing proportion of renewable energy in the transport sector</t>
  </si>
  <si>
    <t>27, 28</t>
  </si>
  <si>
    <t>In the transport sector, digitalisation has the potential to contribute to cost efficiency improvements, foster changes in behaviour and optimise traffic levels, resulting in a reduced environmental and climate footprint</t>
  </si>
  <si>
    <t>A more transport-efficient society demands measures in several sectors and by different actors. The location of homes, services and workplaces is important, as it affects the distances and transportation between them. A large proportion of Sweden’s urban planning, e.g. planning homes, businesses and public transport, takes place at local and regional level. Creating long-term sustainable and robust structures capable of increasing transport efficiency will mean local, regional and national levels will need to coordinate their planning processes to a greater extent.</t>
  </si>
  <si>
    <t>Densely populated areas offer better opportunities for walking, cycling and using public transport instead of travelling by car, while the car will continue to be important in sparsely populated areas.</t>
  </si>
  <si>
    <t xml:space="preserve">sustainable renewable fuels and infrastructure for alternative fuels including electrification, </t>
  </si>
  <si>
    <t>A more transport-efficient society will be achieved through measures including urban planning, access to efficient, punctual and reliable public transport, coordinated goods transport, a shift to less energy-intensive means of transport and vehicles, higher use of vehicle capacity, greater opportunities for longer and heavier trains, greater opportunities for longer and heavier trucks where switching to rail and sea is not a realistic option, route optimisation, greater use of digital solutions, and innovative local and regional transport and mobility solutions. In some cases, journeys can be shortened or replaced entirely. Developing and using technological infrastructure for virtual meetings and remote working are additional examples of how traffic can be reduced without impairing accessibility.</t>
  </si>
  <si>
    <t>43, 45</t>
  </si>
  <si>
    <t>A CO2 emissions target value of 130 grams of CO2 per kilometre on average applied to new cars from 2013 in line with EU regulations. A target value of 95 grams of CO2 per kilometre on average has applied since 2020. Delivery vehicles and light articulated vehicles are also subject to emissions regulations for the first time (average target value of 147 grams of CO2 per kilometre; target values according to the New European Driving Cycle (NEDC)). With the complete revision of the CO2 Act, target values for cars and light commercial vehicles will fall in line with the EU from 2025 by a further 15 per cent, from 2030 by 37.5 per cent for cars and 31 per cent for light commercial vehicles. Emis-sions regulations for heavy commercial vehicles will also apply from 2025 also based on EU regu-lations. Vehicle importers who fail to meet the target values must make compensation payments.</t>
  </si>
  <si>
    <t>also includes the emissions from international aviation and shipping attributable to Switzerland;</t>
  </si>
  <si>
    <t>A Climate Fund will be set up to finance climate protection measures. They will include measures to cut CO2 emissions from buildings and the funding of technologies and other measures to reduce greenhouse gas emissions. This covers the promotion of measures aimed at innovative and direct reduction of the climate impacts of aviation, climate-friendly cross-border passenger transport (such as night trains) and measures undertaken by the cantons and communes.</t>
  </si>
  <si>
    <t>Biogenic fuels can replace gasoline and diesel, thus reducing CO2 emissions from transport.</t>
  </si>
  <si>
    <t>Mineral oil tax relief will continue to be granted on biogenic fuels until the end of 2023 provided environmental and social requirements are met.</t>
  </si>
  <si>
    <t>In public transport, disincentives to switch from diesel-fuelled buses to buses with lower greenhouse gas emissions will be eliminated as the partial mineral oil tax rebate for licensed transport companies gradually expires: initially in local transport from 2026, and also in regional passenger transport from 2030 unless topographical conditions prevent climate-friendly alternatives. The additional revenues from the mineral oil tax are earmarked for promoting CO2-neutral, renewable drive technologies</t>
  </si>
  <si>
    <t>Two new steering levies are provided for in aviation. At least half of the revenues will be redistributed to the population and economy. Up to 90 per cent of the population could benefit depending on the structure. A ticket levy will be introduced on scheduled and charter flights where the level can be varied within a range of 30 to 120 Swiss francs depending on distance and class of travel. A levy of 500 to 3,000 francs will be levied for business and private flights. The levy amount depends on the flight distance, take-off weight and competitiveness of the airports. Airlines which achieve significant emissions reductions can benefit from a lower rate for both levies. This provides them with an in-centive to use more renewable fuel, for example. Support with innovative measures to reduce cli-mate impact in aviation can also be provided by the Climate Fund which will receive less than half of the revenues from the flight levies.</t>
  </si>
  <si>
    <t>To drive forward the electrification of transport, the Swiss Confederation, together with the cantons, communes and various industry representatives, signed a joint roadmap to promote electric mobility on 18 December 2018. This aims to increase the share of electric vehicles amongst newly registered cars to 15 per cent by 2022</t>
  </si>
  <si>
    <t>traffic avoidance and the modal shift also play a key role in the decarbonisation of transport.  This also includes improved harmonisation of urban development and transport. Spatial planning coordinated with public transport infrastructure and the intelligent networking of all individual systems will enable the further promotion of lower-CO2 mobility.</t>
  </si>
  <si>
    <t>Implement BRT corridors for metropolitan public transport</t>
  </si>
  <si>
    <t>Introduce electric and hybrid private and public vehicles</t>
  </si>
  <si>
    <t>Introduce public and private vehicles that support a higher percentage of biofuel blends
Increase the percentage of biofuels in gasoline and diesel oil blends</t>
  </si>
  <si>
    <t>Improve cargo transport, through the incorporation of new multimodal systems, and increased use of railroad and inland waterway transport</t>
  </si>
  <si>
    <t>Enhance vehicle fleet through higher power efficiency standards and lower emissions</t>
  </si>
  <si>
    <t>This also contributes to optimal efficiency of the overall transport system which DETEC has set itself as a target for 2040. The approval of the counterproposal to the 'Bike Initiative' by the Swiss people on 23 September 2018 also gave the Federal Council a mandate to lay down the key principles for cycle path networks. Responsibility for planning, construction and maintenance remains with the cantons while the Swiss Confederation can provide support through subsidiary measures</t>
  </si>
  <si>
    <t>Decarbonization opportunities in the transport sector include cleaner and more efficient technologies such as hybrid, plug-in hybrid, electric and fuel cell electric vehicles (FCEVs), with fuel-cell technology as a more attractive option for long-haul truck segments.</t>
  </si>
  <si>
    <t>It should also be noted that electrification of the transport sector would first require decarbonization of the power sector. (...) The electrification of the transport sector without increasing the share of cleaner and renewable technologies in the power sector might lead to insignificant GHG reduction or even higher GHG emissions</t>
  </si>
  <si>
    <t>Efficiency improvements for ICE vehicles include shifting to EURO5 and EURO6 standards</t>
  </si>
  <si>
    <t>continuar incorporando vehículos eléctricos en los sectores de buses, taxis y remises, carga y particulares, en el marco general de la movilidad sostenible</t>
  </si>
  <si>
    <t>se profundizará también la infraestructura de cargadores necesaria, la que ya cuenta con una cobertura relativamente amplia en todo el territorio nacional, y que requiere acelerar la incorporación de cargadores rápidos y ultrarrápidos</t>
  </si>
  <si>
    <t>la aprobación e implementación de la Política de Movilidad Urbana Sostenible que incluye la planificación de la movilidad en el territorio, el cambio modal, la reducción de emisiones, la accesibilidad y asequibilidad del transporte público, entre otros</t>
  </si>
  <si>
    <t>la aprobación e implementación de la Política de Movilidad Urbana Sostenible que incluye […] la accesibilidad y asequibilidad del transporte público, entre otros</t>
  </si>
  <si>
    <t>la aprobación e implementación de la Política de Movilidad Urbana Sostenible que incluye la planificación de la movilidad en el territorio</t>
  </si>
  <si>
    <t>A 2030 se ha profundizado la incorporación de vehículos eléctricos y la infraestructura de carga correspondiente acelerando la disponibilidad de cargadores rápidos y ultrarrápidos.</t>
  </si>
  <si>
    <t>En el caso del transporte colectivo de pasajeros, se modifica el subsidio a la tarifa de forma de dar mayor impulso a la movilidad cero emisiones.</t>
  </si>
  <si>
    <t>Expansion of measures on motor vehicles change over to run on alternative fuel</t>
  </si>
  <si>
    <t>Extension of transport and logistics communication systems, ensuring efficient energy resources use (including optimization of transportation routes, improvement of motor roads quality, etc.)</t>
  </si>
  <si>
    <t>increasing the share of renewable energy in power generation to 25%, through construction of solar, wind and small hydropower plants;</t>
  </si>
  <si>
    <t>introducing alternative fuels in transportation</t>
  </si>
  <si>
    <t>The Ministry of Transport implements the gradual transition of public transport to natural gas and electric traction</t>
  </si>
  <si>
    <t>The Ministry of Transport implements the gradual transition of public transport to natural gas and electric traction, and conducts measures to expand the production and use of vehicles with improved energy efficiency and environmental friendliness;</t>
  </si>
  <si>
    <t xml:space="preserve">By 2030, 10% improvement in transport (land and marine) energy efficiency
</t>
  </si>
  <si>
    <t>Milage and Emission Standards for Vehicles</t>
  </si>
  <si>
    <t xml:space="preserve">Electric Vehicles (e-Mobility): by 2030, (a) Introduce Electric Vehicles (e-buses) for public transportation (10% of total Public Buses); (b) Introduce Electric Cars (e-Cars) in Vanuatu (10% of government fleet); and(c) 1000 Electric Two wheelers (e-bikes) /Three Wheelers (e-rickshaw)
</t>
  </si>
  <si>
    <t>promoting liquid biofuels</t>
  </si>
  <si>
    <t>removing petroleum subsidies</t>
  </si>
  <si>
    <t>energy efficiency improvement in the transport sector can be achieved by behavioral changes</t>
  </si>
  <si>
    <t>road surface improvement</t>
  </si>
  <si>
    <t>Garantizar el servicio de transporte público masivo, mediante la operación permanente y efectiva del sistema, prestando el servicio de forma permanente, puntual, solidaria, cómoda, segura y ecológica [...] Realizar planes para la adquisición y mantenimiento de equipos e 
instalaciones a fin de garantizar la prestación permanente, continua y eficaz del servicio y preservar el medio ambiente ofreciendo tecnologías limpias</t>
  </si>
  <si>
    <t>Culminación de etapa CKD de la Planta de Autobuses Yutong para el ensamblaje de unidades diésel y a gas cumpliendo con los estándares de calidad de la Euro 5.</t>
  </si>
  <si>
    <t>Efectuar mantenimientos preventivos de la Flota Yutong a nivel nacional ajustados a las normativas de la Euro 5, en cuanto al uso del combustible y los filtros.</t>
  </si>
  <si>
    <t>Garantizar los mantenimientos preventivos y correctivos a las unidades de gas natural vehicular (GNV), de la Flota Yutong a nivel nacional.</t>
  </si>
  <si>
    <t>Creación de Sistemas BRT (Bus de Tránsito Rápido) en las ciudades de Maracay, Barquisimeto, Barcelona, Maracaibo, Puerto la Cruz, Mérida y Caracas.</t>
  </si>
  <si>
    <t>63, 64</t>
  </si>
  <si>
    <t>Proyecto Tren Caracas: Se han realizado a la fecha de la emisión de este documento cinco (5) trenes. Se tiene programado para el año 2022 once (11) Trenes del SurOeste del Área Metropolitana de Caracas. El total de trenes a recuperar son veintidós (22)</t>
  </si>
  <si>
    <t>Línea 5. Plaza Venezuela - Miranda II: Comprende la construcción y puesta en servicio de 7,5 km de vía férrea y sistema integral con 5 estaciones: Bello Monte, Tamanaco, Chuao, Bello Campo y Miranda II. Esa línea permitirá la movilización de más de 300.000 usuarios y la descongestión de la Línea 1, además de constituirse en una alternativa de conexión expedita para los usuarios de los Altos Mirandinos 
que llegan a Las Adjuntas, con el Este de la Ciudad Capital.</t>
  </si>
  <si>
    <t>El Plan de modernización de flotas con aeronaves del sector público y privado.</t>
  </si>
  <si>
    <t>Se proyecta realizar un Plan de Gestión de eficiencia energética, atendiendo la planificación de las travesías, la mayor frecuencia de la limpieza de las partes sumergidas del buque y la hélice, la introducción de medidas técnicas como los sistemas de recuperación de calor residual o incluso instalación de nuevas hélices, para lo cual se requiere de inversiones en el sector.</t>
  </si>
  <si>
    <t>la provisión de suministro de energía en los puertos a los buques mediante fuentes renovables</t>
  </si>
  <si>
    <t>la infraestructura de apoyo al suministro de combustibles alternativos bajos en carbonos y de carbono cero,</t>
  </si>
  <si>
    <t>los programas de incentivos para buques ecológicos y la reducción de velocidad de los buques. Reducción de velocidad de la flota actual en sus operaciones, tomando en cuenta aspectos de seguridad, distancia recorrida, impacto comercial.</t>
  </si>
  <si>
    <t>Se recomienda realizar sinergia con entes gubernamentales para la implementación de biocombustibles, la ventaja de los biocombustibles es su capacidad para ser utilizados fácilmente en la flota existente, lo que significa que pueden reemplazar de forma rápida los combustibles hidrocarburos líquidos.</t>
  </si>
  <si>
    <t>los sistemas de limpieza de los gases de escape que ayudan a limpiar las emisiones antes de que sean liberadas en la atmósfera.</t>
  </si>
  <si>
    <t>Applying energy efficiency measures in transport</t>
  </si>
  <si>
    <t>Changing freight transportation models; restructuring the transportation market;</t>
  </si>
  <si>
    <t>Shifting from private to public means of transport</t>
  </si>
  <si>
    <t>Shifting from conventional fuels to biofuel, natural gas and electricity;</t>
  </si>
  <si>
    <t>shifting to electricity;</t>
  </si>
  <si>
    <t>Improving the energy efficiency of transport vehicles</t>
  </si>
  <si>
    <t>Implement management solutions for fuel quality, emissions standards, and vehicle maintenance</t>
  </si>
  <si>
    <t>Restructure freight to reduce share of road transport and increase share of transport via rail and inland waterways</t>
  </si>
  <si>
    <t>Encourage buses and taxis to use compressed natural gas and liquefied petroleum gas</t>
  </si>
  <si>
    <t>Develop public passenger transport, especially rapid transit in large urban centres</t>
  </si>
  <si>
    <t>In the transportation sector, the goal of reducing GHG emissions has been integrated in the process of updating, adjusting and developing sector strategies and planning;</t>
  </si>
  <si>
    <t>Action Program on Green Energy Transition and Reduction of Carbon and Methane Emissions of the Transportation Sector has been implemented,</t>
  </si>
  <si>
    <t>efficient use of energy in transportation</t>
  </si>
  <si>
    <t>limitation of fuel consumption for motor vehicles</t>
  </si>
  <si>
    <t>conversion of modes of transportation of passengers and goods</t>
  </si>
  <si>
    <t>increase of the load factor of cars</t>
  </si>
  <si>
    <t>use of CNG</t>
  </si>
  <si>
    <t>use of […] biofuels</t>
  </si>
  <si>
    <t>use of electric motorbikes, cars, and buses.</t>
  </si>
  <si>
    <t>Improving energy use efficiency in transportation sector</t>
  </si>
  <si>
    <t>Promote fuel switching (e.g. diesel to biodiesel).</t>
  </si>
  <si>
    <t>Refurbishment and Electrification of the rail system</t>
  </si>
  <si>
    <t>2% biodiesel in fuel by 2030</t>
  </si>
  <si>
    <t>engine performance improvement</t>
  </si>
  <si>
    <t>Renewable energy (E10, E20, E85, B10, B20) by 2025</t>
  </si>
  <si>
    <t>Further potential mitigation measures in the transport sector from relevant plans include Travel Demand Management (TDM), Transit-Oriented Development (TOD)</t>
  </si>
  <si>
    <t>expansion of the railway network into double track</t>
  </si>
  <si>
    <t>expansion of mass-rapid transit</t>
  </si>
  <si>
    <t>high-speed trains</t>
  </si>
  <si>
    <t>Single Rail Transfer Operation (SRTO) at Laem Chabang Port</t>
  </si>
  <si>
    <t>improved river logistics efficiency</t>
  </si>
  <si>
    <t>a ferry to connect East-West from Pattaya to Hua-Hin</t>
  </si>
  <si>
    <t xml:space="preserve">adjustment of excise and annual vehicle tax collection rates according to the amount of CO2 emission </t>
  </si>
  <si>
    <t>promotion of electric and hybrid intercity and public buses, and minibus and delivery motorcycle fleet upgrades</t>
  </si>
  <si>
    <t>The Electric Vehicle (EV) Board recently approved the 30@30 Policy Plan, which establishes a target for zero-emission vehicles (ZEVs) to account for at least 30% of total automotive production by 2030, according to a three-phase development plan for the EV industry.
Phase 1 (2021-2022): the government will promote electric motorcycles and support infrastructure nationwide.
Phase 2 (2023-2025): the EV industry will be developed to produce 225,000 cars and pick-up trucks, 360,000 motorcycles and 18,000 buses/trucks by 2025, including the production of batteries. This first milestone is designed to deliver cost advantages via economies of scale.
Phase 3 (2026-2030): is driven by the “30@30 policy” to produce 725,000 EV cars and pick-ups plus 675,000 EV motorcycles. This will account for 30% of all auto production in 2030 and includes domestic manufacture of batteries.</t>
  </si>
  <si>
    <t>This action involves improved data collection across all areas of the Transport sector, including consumption behaviour and transport preferences, breakdown of fuel use for land, maritime and aviation, and separation and classification of transport waste [...] 2025 with a phased approach across all of Tongatapu only for vehicle waste; 2030 for improving data collection.</t>
  </si>
  <si>
    <t>Policies to operationalise this will include bans on certains types of vehicles</t>
  </si>
  <si>
    <t>regulations on imported vehicles to meet low sulfur standards (e.g. Euro 4),</t>
  </si>
  <si>
    <t>high import tariffs on inefficient vehicles and lower tariffs for efficient vehicles</t>
  </si>
  <si>
    <t>a maximum age of imported vehicles of 5 years</t>
  </si>
  <si>
    <t>An awareness raising campaign will support behavioural change and promote the benefits of this approach, as well as raise awareness of enforcement and penalties</t>
  </si>
  <si>
    <t>This action refers to improved road maintenance focusing on pothole repair and road resurfacing.</t>
  </si>
  <si>
    <t>focusing on decentralisation of services from urban to rural areas in order to decrease traffic congestion around Tongatapu, but it is also applicable to the centre of island districts</t>
  </si>
  <si>
    <t>Mandatory vehicle standards for newly purchased light duty vehicles (private cars, taxis, minivans, etc.) with incentives through taxes, fees and import tariffs.</t>
  </si>
  <si>
    <t>Introducing electric vehicles (EVs) in the municipal government fleet.</t>
  </si>
  <si>
    <t>This action focuses on overhaul and maintenance services for all types of vehicles, and enforcement of related regulations for both public and government vehicle fleets</t>
  </si>
  <si>
    <t>This action focuses on the expansion and creation of new cycling and pedestrian pathways/sidewalks both within and outside the central business district of Nuku’alofa. It includes the development of an integrated urban planning program (homes, employment, transport), dedicated cycle lanes, pedestrians-only city centre areas (cyclist and pedestrians only paths /roads) and permanent removal of import duties for bicycles. This will be brought together under a green cities program with a sustained 5-year awareness raising campaign on health benefits of cycling and walking.</t>
  </si>
  <si>
    <t>It includes the development of an integrated urban planning program (homes, employment, transport)</t>
  </si>
  <si>
    <t>dedicated cycle lanes</t>
  </si>
  <si>
    <t xml:space="preserve">pedestrians-only city centre areas (cyclist and pedestrians only paths /roads) </t>
  </si>
  <si>
    <t>permanent removal of import duties for bicycles</t>
  </si>
  <si>
    <t>This will be brought together under a green cities program with a sustained 5-year awareness raising campaign on health benefits of cycling and walking.</t>
  </si>
  <si>
    <t>Note that renewable energy generation would need to increase significantly to cater for demand from EVs, in order to achieve emission reductions</t>
  </si>
  <si>
    <t xml:space="preserve">Plusieurs solutions sont envisageables, notamment l’amélioration de la performance énergétique des véhicules légers et lourds d’ici 2030, puis leur électrification systématique. </t>
  </si>
  <si>
    <t xml:space="preserve">L’Etat, les agglomérations urbaines, voire les entreprises peuvent lancer des projets de mobilité durable d’envergure. </t>
  </si>
  <si>
    <t>Concernant les transports publics, une attention essentielle doit être accordée aux besoins des voyageurs afin de donner aux transports publics un avantage concurrentiel sur les modes individuels.</t>
  </si>
  <si>
    <t xml:space="preserve">Promotion the use of transport vehicle which may use different types of motor fuels (for example, petrol and gas or use biofuel and bio component additives), </t>
  </si>
  <si>
    <t xml:space="preserve">electric, </t>
  </si>
  <si>
    <t xml:space="preserve">hydrogen cars, cars using fuel cells, </t>
  </si>
  <si>
    <t>as well as public electric transport development</t>
  </si>
  <si>
    <t>Incentivizing Ukrainians to reduce the share of their use of outdated cars. To create advantages for old cars scrappage. For example, provision of rewards, introduction of car vouchers etc</t>
  </si>
  <si>
    <t>Increase the number of high-speed trains used to carry the same as before number of passenger by railways, it should be underscored, that due to optimized routes and less time required to reach destinations point the park of such trains will be smaller compared to conventional trains</t>
  </si>
  <si>
    <t>More efficient planning of public transport network and routes, which among other things, include better logistics, minimized number of traffic jams in the cities etc…. Improvement of transport system management technologies, including smart system implementation.</t>
  </si>
  <si>
    <t>Introduction of inter -mode load carrying transport technologies. Policy which aims to improve railway infrastructure and infrastructure of inland water ways to promote wider use of railways and water transport</t>
  </si>
  <si>
    <t>Stimulation of modernization the water and river ports in order to incentivize implementation of more energy efficient technologies, and take energy saving measures throughout the entire technological chain</t>
  </si>
  <si>
    <t>To create conditions favorable to improvement the organization of labor relations at the national and local level in order to reduce the need for employees travel by transport vehicles</t>
  </si>
  <si>
    <t>Promotion or introduction of requirements to producers of transport vehicles using combustion engines to increase efficiency and environmental friendliness of traditional transport vehicles</t>
  </si>
  <si>
    <t>1.1 Mixed-Use Development
Mixed-use development will reduce travel distances by blending multiple-use facilities into individual buildings and neighbourhoods. This measure will not imply direct costs for the transport sector, as investments are linked to the development of buildings. Mixed-use development is already being embedded in emirates’ development plans and will scale up by 2050. It should yield a yearly reduction in passenger kilometres (passenger-km) travelled by vehicle of 4% by 2040, and 7% by 2050.</t>
  </si>
  <si>
    <t>1.2 Rise of Walking and Cycling
An increase in walking and cycling will also decrease passenger-km travelled through the years, up to a 1% reduction by 2050.204 This measure can also help combat obesity and physical inactivity, which are responsible for over one million deaths per year. It will generate a long-term positive business case, despite requiring initial investments in walking and cycling lanes.</t>
  </si>
  <si>
    <t>1.3 Car-Pooling and Ride Sharing
Car-pooling and ride sharing in the UAE will increase the occupation levels of vehicles by 0.2% year-over-year, decreasing the number of private passenger cars on the road. This measure will require road developments, such as road painting for high-occupancy vehicle lanes.</t>
  </si>
  <si>
    <t>1.4 Higher Use of Public transportation
The nation will build out the infrastructure and promote the use of urban public transport (including metro, trams, and public buses) over cars and taxis. This will require expanding the coverage of public transport (metro and tram) infrastructure across emirates, as well as adding new public buses, including dedicated lanes. Due to these measures, the stock of public buses will be higher in net zero versus a business-as-usual scenario, by roughly 5,000 in 2050. Deployed kilometres of metro and tram will also be higher.206 This measure implies significant investment and is associated with a negative business case. Even so, investments are expected to start before 2030.</t>
  </si>
  <si>
    <t>1.5 Shift to Rail
A shift to rail will also play a part in reducing private vehicle usage. The UAE expects to invest in 1000 km of rail infrastructure between 2025 and 2030 to accommodate increased passenger travel. The number of passenger trains will rise from 2025 onwards, with a progressive increase in stock up to 2050 (128 in 2035, 224 in 2040, 324 in 2045, and 460 in 2050).</t>
  </si>
  <si>
    <t>2.1 Decarbonisation of Private Light-Duty Cars
Private internal combustion engine (ICE) light-duty cars will be replaced by battery electric vehicles (BEVs) and fuel cell electric vehicles (FCEVs). This will accelerate since BEVs are already cost-efficient in comparison to ICE vehicles. BEVs will likely cover the vast majority, reaching 99% uptake by 2050, and FCEVs will likely reach 1%.</t>
  </si>
  <si>
    <t>2.2 Decarbonisation of Taxis
ICE taxis will also be replaced by BEVs and FCEVs, following ongoing actions. BEV taxis will reach 95% uptake by 2050, and FCEVs will account for the remaining 5%.</t>
  </si>
  <si>
    <t>2.3 Decarbonisation of Buses
BEV and FCEV deployment as public and private buses will ramp-up more slowly, as the economics are still not as favourable. Electrification of both private and public buses is expected to increase post 2040, when the business case of BEVs versus ICE vehicles becomes positive. The UAE will target 90% electrification for buses by 2050. FCEV buses are also expected to be introduced by 2040 to accommodate driving patterns of long-haul buses. These are expected to represent roughly 10% of total stock by 2050.</t>
  </si>
  <si>
    <t>2.4 Decarbonisation of motorcycles
Adoption of BEVs will also affect motorcycles. Uptake in the UAE is expected to start before 2025, and full electrification will be reached in 2050.</t>
  </si>
  <si>
    <t>2.5 Decarbonisation of Passenger Rail
Lastly, the UAE will deploy electrified passenger trains and convert diesel trains to hydrogen. Both measures are expected to start in 2025, which is the anticipated year of activation of passenger rail for high-speed routes.</t>
  </si>
  <si>
    <t>3.1 Shift Freight to Rail
The UAE will increase the use of rail for freight transportation over heavy-duty trucks. An increase in freight train stock is expected to enable this measure, with 25 units added by 2035, 42 by 2040, 63 by 2045, and 86 by 2050, versus a business-as-usual (non-net zero) scenario. This measure will generate savings due to the reductions in the use of heavy-duty trucks as freight is hauled via rail rather than by road.</t>
  </si>
  <si>
    <t>3.2 Decarbonise Heavy-Duty Trucks
Heavy-duty ICE trucks will be replaced by BEVs and FCEVs in the UAE. These will accommodate different travel needs; BEVs will be used for shorter distances and FCEVs for longer-haul trucks. BEV adoption is expected to rise before 2030, while the percentage of FCEVs on the road will grow post 2040. Eventually, post 2040, due to cost reductions of BEVs and FCEVs, they will become cheaper to own than ICE trucks.</t>
  </si>
  <si>
    <t>Furthermore, a Memorandum of Understanding was signed with BP on the assessment of capacity and conditions required for large-scale decarbonised and integrated power and transport systems, including renewable energy projects in the regions and cities of Azerbaijan" along with an Implementation Agreement on the joint implementation of the 240 MW solar power plant project.</t>
  </si>
  <si>
    <t>Expanding the use of environmentally friendly modes of transport,</t>
  </si>
  <si>
    <t>improving the intelligent transport management system,</t>
  </si>
  <si>
    <t>increasing the use of public transport;</t>
  </si>
  <si>
    <t>Over the past decade, Azerbaijan has undertaken a number of measures to develop and improve its transportation system. In order to turn Azerbaijan into an attractive transit and trade centre, special attention has been paid to the restoration and construction of road and railway infrastructure along the country's north-south and east-west transport corridors.</t>
  </si>
  <si>
    <t>A new International Sea Trade Port complex has been built in Alat settlement outside the city to improve the ecological condition of the port zone located in the central part of Baku and partially eliminate traffic congestion.</t>
  </si>
  <si>
    <t>The Baku port was awarded the “EcoPorts” certificate of the European Sea Ports Organization.</t>
  </si>
  <si>
    <t>Compressed natural gas buses and taxis with electric motors have been put
into operation in Baku.</t>
  </si>
  <si>
    <t>Construction of special traffic lanes for shuttle buses and bicycle paths has started in Baku and other major cities.</t>
  </si>
  <si>
    <t>Overall, it should be noted that according to the government relevant decision, passenger buses running in the administrative area of Baku city shall be equipped with a compressed natural gas or electric motor and this requirement will come into force from 1 January 2025.</t>
  </si>
  <si>
    <t>In order to increase the use of environmentally friendly modes of transport, promoting measures with tax incentives have been launched since 2019. Import and sale of electric vehicles, as well as their chargers are exempt from VAT. Import and sale of hybrid cars with a production period of no more than 3 years and engine volume not exceeding 2,500 cubic centimetres – are exempted from VAT for 3 years from 1 January 2022. The import duty rate is 0% only for electric passenger cars with a factory production period of up to 3 years, as well as the import duty rate (tariff) for second and third level electric chargers for electric cars is set at 0%. For the renewal of the transport fleet, an increased excise coefficient is applied to the import of passenger cars with gasoline and diesel engines with the production period of more than 7 years</t>
  </si>
  <si>
    <t>Since 2023, the import of passenger cars older than 10 years has been restricted.</t>
  </si>
  <si>
    <t>An online information resource has been created which provides information about electric vehicle charging points (EV charging stations) on an interactive map.</t>
  </si>
  <si>
    <t>The “Socio-economic development strategy of the Republic of Azerbaijan for 2022-2026” approved by the Decree of the President of the Republic of Azerbaijan dated 22 July 2022, set out measures for the “Preparation of the National Plan on Electromobility” and “Promotion of circulation of environmentally friendly and safe vehicles (cars, buses, etc.) and creation of necessary infrastructure”.</t>
  </si>
  <si>
    <t>One of the strategic documents related to the above-mentioned field is the “State Program on Road Safety in the Republic of Azerbaijan for 2019-2023” approved by the Presidential Decree of 27 December 2018. The main purpose of this document is to take measures aimed at reducing the negative impact of the transport sector on the environment. The action plan for the implementation of the state program provides the necessary preventive measures for the creation of a relevant basis for fuel quality and the phased implementation of the process of introducing Euro-4 and higher standards.</t>
  </si>
  <si>
    <t>the phased implementation of the process of introducing Euro-4 and higher standards.</t>
  </si>
  <si>
    <t>In addition to the above, there are planned expanding the use of environmentally friendly transport</t>
  </si>
  <si>
    <t>electrification of railway lines and transition to an alternating current (AC) traction system,</t>
  </si>
  <si>
    <t>improvement of intelligent transport management systems and expansion of its application,</t>
  </si>
  <si>
    <t>development of metro mode of transport and increasing the number of stations, prioritisation of public transport</t>
  </si>
  <si>
    <t>improvement of highways and street-road network,</t>
  </si>
  <si>
    <t>creating conditions for the use of personal transport (bicycles and scooters) and pedestrian zones for walking in residential areas and introducing a sustainable transport system as a whole.</t>
  </si>
  <si>
    <t>3.3 Decarbonise Freight Rail
The progressive substitution of diesel trains with hydrogen-powered trains is projected to commence from 2025 (vs baseline with 100% diesel trains by 2050) in order to achieve Net Zero by 2050 (considering 30 years lifetime of trains). The possibility of electrification of trains has not been considered given low frequency and long distances of the trips.</t>
  </si>
  <si>
    <t>4.1 Light-Duty Mechanical Vehicles
Light-duty mechanical vehicles are expected to start shifting to BEVs and FCEVs already at or before 2025. These will progressively replace ICE vehicles, until there is no ICE stock left in 2050. BEVs are expected to have higher uptake than hydrogen due to economics, but for some use-cases FCEVs are superior.</t>
  </si>
  <si>
    <t>4.2 Heavy-Duty Mechanical Vehicles
Heavy-duty vehicles will be replaced by BEVs and FCEVs later than light-duty ones. BEVs usage is expected to rise in the 2030s, and FCEVs come in after 2040.</t>
  </si>
  <si>
    <t>5.1 Electrify Ferries and Abras
The UAE will introduce electric ferries and abras before 2030. This is expected to lead to full electrification by 2050 and to generate savings, given that electric ferries and abras will be more cost-efficient and have lower maintenance costs.</t>
  </si>
  <si>
    <t>5.2 Electrify Domestic Shipping and Aviation
The UAE will increase the use of electric ships to decarbonise domestic coastal shipping. Electricity for coastal ships is expected to replace marine bunker fuel progressively, reaching 100% electrification in 2050, subject to global achievement of international shipping emissions reduction targets.
This will entail a higher power cost compared to marine bunker fuel.</t>
  </si>
  <si>
    <t xml:space="preserve"> Some portion of the domestic shipping may require alternative, low-carbon fuels such as green or blue ammonia.</t>
  </si>
  <si>
    <t>The UAE will also increase the use of electric planes for short-haul (domestic) flights. Electric planes are expected to bring higher power costs than jet fuel, yet nevertheless the UAE expects to reach full electrification for short-haul flights by 2050</t>
  </si>
  <si>
    <t xml:space="preserve">Increasing demand for SAFs is triggered by the International Air Transport Association (IATA) and International Civil Aviation Organization (ICAO) targets and commitments of large airline companies towards mid-term decarbonisation in the lead up to 2030. The UAE plans to supply the international aviation fuel demand with e-kerosene (one type of SAF) at 1% in 2030 growing to over 50% by 2050. </t>
  </si>
  <si>
    <t>Management of New ICE Vehicles Post 2035/2040
The UAE prepares to phase down ICE vehicles. This is an effective incentive to prime consumers for the adoption of BEVs, as they become the best and cheapest alternative. This policy can only be enacted after charging infrastructure is widely available and OEMs offer electric versions of most vehicle classes.</t>
  </si>
  <si>
    <t>Incentives for BEVs and FCEVs
The UAE plans to increase the annual registration fees for vehicles depending on their CO2 intensity. The existing annual registration system can be leveraged for rapid implementation. This policy directly impacts consumer expenditures without interfering with free market dynamics. Tolls in the UAE will also either be decreased for BEVs and FCEVs or increased for ICE vehicles. This policy will work in a similar way to that described under ‘Toll Adjustments to Benefit Group Transport.’ The UAE also plans to provide incentives for BEVs and FCEVs such as CAPEX grants, and lower registration feeds and tolls.</t>
  </si>
  <si>
    <t>72/73</t>
  </si>
  <si>
    <t>Procurement of BEVs and FCEVs as Government-Owned Vehicles
The UAE plans to introduce a policy to ensure newly purchased government vehicles after a certain date are all BEVs. This can be progressively rolled-out in line with accompanying charging infrastructure investments beginning in 2025, allows access to many vehicles, and is similar to regulations introduced internationally.</t>
  </si>
  <si>
    <t>Élaborer des cadres juridico-institutionnels pour la réduction des émissions vis-à-vis du secteur énergie, transport et biomasse pour l’efficacité énergétique ;</t>
  </si>
  <si>
    <t>Mettre à jour et renforcer les cadres et référentiels sur le transport et la mobilité urbaine ;</t>
  </si>
  <si>
    <t>Développer des projets et programmes favorisant les innovations vertes en appuyant la production de biodiesel, en développant des projets minigrid hydroélectriques, en progressant vers les voitures électriques, en basculant vers l’éolienne et le solaire ;</t>
  </si>
  <si>
    <t>Apporter des innovations technologiques à moindre émission dans le secteur du transport incluant le transport par câble, tramway de Tana ;</t>
  </si>
  <si>
    <t>In the electricity demand mix, the share of renewables accounted for 84.8%. As for the transport mix, it represents 25% of the sources. The production of biofuels for the transport sector has substantially increased due to RenovaBio, which uses market incentives to promote the decarbonisation of the sector and to incentivize these kinds of fuels.</t>
  </si>
  <si>
    <t>The Sustainable Transport Master Plan aims to reduce the carbon intensity of the transport sector by 20% and electrify 34% of its cars by 2030. The plan includes a number of initiatives to promote sustainable transportation, such as the development of public transportation systems (...)</t>
  </si>
  <si>
    <t>The Sustainable Transport Master Plan aims to reduce the carbon intensity of the transport sector by 20% and electrify 34% of its cars by 2030. The plan includes a number of initiatives to promote sustainable transportation, such as (...) the promotion of EV (...)</t>
  </si>
  <si>
    <t>The Sustainable Transport Master Plan aims to reduce the carbon intensity of the transport sector by 20% and electrify 34% of its cars by 2030. The plan includes a number of initiatives to promote sustainable transportation, such (...) creating a bus lane on Sultan Qaboos Street, which reduce 0.85 tons CO2e per capita per year).</t>
  </si>
  <si>
    <t>The efforts are focused on GHG reduction measures in ports to mitigate emissions, including but not limited to studying the viability of solar power at Oman Airport</t>
  </si>
  <si>
    <t>The government of Oman is leading in early technology adoption, including the establishment of 350 charging stations throughout Oman</t>
  </si>
  <si>
    <t>The Ministry of Transportation is leading the efforts in transitioning to biofuels as a sustainable approach to lower carbon footprint through a pilot project for incorporating biofuels blending (B5) to reduce emissions from ICE vehicles by 5%</t>
  </si>
  <si>
    <t>Policy revisions and infrastructure investments to facilitate BEVs and FCEVs adoption by 2050</t>
  </si>
  <si>
    <t>Passing import laws that make EVs and FCEVs cost-competitive with Internal Combustion Engine (ICE) vehicles</t>
  </si>
  <si>
    <t>Exploration of Sustainable Aviation Fuel (SAF) to reduce carbon emissions in aviation</t>
  </si>
  <si>
    <t>Continued efforts to promote biofuels blending as a means to reduce emissions from traditional ICE vehicles through establishing action plans to align transportation sector with current initiatives in waste digestion</t>
  </si>
  <si>
    <t>Wide transition to EVs2 and H2-fuel cells for long-distance trucks and buses, behavioral changes reducing car usage, biofuels blending for lower for lower emissions from ICE3 vehicles</t>
  </si>
  <si>
    <t>Convert from ICEVs to BEVs (96,500 Light vehicles)</t>
  </si>
  <si>
    <t>Convert from ICEVs to BEVs (7,000 Heavy vehicles)</t>
  </si>
  <si>
    <t>Convert from ICEVs to Green H2 (96,500 Light vehicles)</t>
  </si>
  <si>
    <t xml:space="preserve">Convert from ICEVs to Green H2 (7,000 Heavy vehicles) </t>
  </si>
  <si>
    <t>Convert all diesel locomotives to use green H2</t>
  </si>
  <si>
    <t>Use of solar powered street lighting – 25,000 units of 60W installed over 5 years</t>
  </si>
  <si>
    <t>Substitute diesel with green H2 in 200 fishing vessels</t>
  </si>
  <si>
    <t>The Environmental Management Act is a key piece of environmental legislation, including the tax on road fuels.</t>
  </si>
  <si>
    <t>The UAE expects to install 10,000 destination chargers by 2030, increasing to 30,000 destination chargers installed by 2050.</t>
  </si>
  <si>
    <t>Provision of Road Privileges to BEVs
The UAE will grant road privileges to BEVs, such as priority lanes, dedicated parking in busy areas, and removed road circulation restrictions for low-carbon trucks.</t>
  </si>
  <si>
    <t>Policy for Private Players to Construct a Charging Infrastructure Network
The UAE will implement a policy for private players such as utility companies and national oil companies to build a BEV infrastructure network, potentially supported by incentives to install BEV charging stations in economically unattractive locations. This policy guarantees relatively high control and central planning of charging networks for private and public vehicles and leverages private players’ know-how and capabilities to deploy this infrastructure.
Policy for Real Estate Developers to Accommodate BEV Infrastructure
Real estate developers will follow a policy to accommodate BEV infrastructure in parking lots (at locations like shopping malls, office buildings, and residential buildings). This helps to guarantee that the foundations of charging infrastructure are built-out in the UAE.
National EV Charging Network
The National Electric Vehicles Policy aims to foster collaboration with federal and local partners, as well as, the private sector, in order to establish a national network of electric vehicle (EV) chargers throughout the UAE. The network will cater to the needs of electric vehicle owners, while also regulating the electric vehicle market in the UAE.</t>
  </si>
  <si>
    <t>Global EV Market
In May 2023, Ministry of Energy and Infrastructure launched the ‘Global EV Market’, a transformational project to turn the UAE into a global market for electric vehicles. The project supports the shift to green mobility and aims to increase the share of EVs to 50 per cent of total vehicles on the UAE’s roads by 2050.</t>
  </si>
  <si>
    <t>Provision of Road Privileges to Public Buses
The UAE will introduce road privileges (e.g., priority lanes and dedicated parking) for public buses, which will demand infrastructure adjustments while guaranteeing smooth traffic circulation. This policy will increase the level of comfort of public transport by decreasing commuting time.</t>
  </si>
  <si>
    <t>Improvement of Public Transport ‘Inter-Modality’
‘Last mile’ offerings, such as autonomous EV buses, ‘trackless trams,’ and scooters will run as shuttles to and from stations to facilitate easy access to public transport and thus enable modal shifts to rail, metro, and buses. Simultaneously, an overarching pass/app for all transport options across all emirates will support passengers.</t>
  </si>
  <si>
    <t>Promotion of Public Transport through Advertising Campaigns
The UAE will run advertising campaigns to improve the image of public transport. These will be organised in conjunction with key UAE flagship events like COP28. The UAE expects to run these campaigns in parallel with the deployment of other measures to promote public transportation.</t>
  </si>
  <si>
    <t>Etihad’s National Rail Network
The UAE completed construction of its first national rail network in 2023. It extends across the UAE from the border of the Kingdom of Saudi Arabi to Fujairah. The 1,200 km rail network connects centres of trade and industry between Abu Dhabi, Dubai, Sharjah, Fujairah, and Ras Al Khaimah. Each train carries the freight equivalent of approximately 300 trucks, thereby leading to CO2e reductions of 70-80% per tonne of freight.213 Considering the future expansion plans, Etihad Rail would connectall emirates and all cities within the country.</t>
  </si>
  <si>
    <t>RTA’s Metro Network Expansion
Dubai’s self-driving metro system will ultimately be expanded from the current 89 kilometres to around 379 kilometres. This plan is reviewed and updated periodically considering Dubai’s urban and economic development trends. Dubai is also currently investigating the feasibility of constructing a new line that will expand the network by around 30 kilometres by 2030. By 2030 metro ridership is expected to rise to around 300 million passengers compared to 225 million passengers in 2022.
Abu Dhabi is also planning to build a metro system comprised of four lines extending a total of 131 km. The construction is expected to be completed by 2030. Another metro transit network is planned to connect urban hubs in the northern emirates.</t>
  </si>
  <si>
    <t>RTA’s 100% Taxi Electrification by 2027
RTA expects 100% of its taxis in Dubai to be 100% eco-friendly by 2027 (Dubai Taxi and franchise company taxis). The agency plans to use a mix of hybrid, electric and hydrogen-powered vehicles to reach its target.</t>
  </si>
  <si>
    <t>Apart from these, other significant initiatives are ongoing. For example, TAQA cooperates with ADNOC on establishing a mobility joint venture “E2GO” to build and operate electric vehicle infrastructure across UAE.</t>
  </si>
  <si>
    <t>The UAE government has been at the forefront of digitalisation efforts in the MENA region, and aims to create a more efficient, transparent, and innovative public sector. Besides these advantages, digitalisation supports GHG emissions reductions. Artificial Intelligence (AI) can be used to track and predict GHG emissions. By providing insight along the entire value chain, AI can also optimize efficiency in production and transportation, thereby reducing GHG emissions and costs at the same time.</t>
  </si>
  <si>
    <t>The UAE has made significant investments in experimental transportation technologies, including electric self-driving transport (SDT), hyperloops, electric flying taxis and others. In particular, the emirate of Dubai launched the Dubai Autonomous Transportation Strategy to assess the possibility of using these technologies, following Sheikh Mohamed bin Rashid Al Maktoum’s objective of having 25% of all transport journeys in Dubai smart and driverless by 2030. This study has concluded that smart mobility solutions can cut transportation costs by 44%, reduce environmental pollution by 12%, and save 386 million hours on transportation annually in the emirate of Dubai alone.</t>
  </si>
  <si>
    <t>The UAE is a region with high potential for autonomous vehicle usage, with over half its residents mentioning they would likely own a self-driving car in the next five years if the technology was available to them. The UAE is already working with various manufacturers to speed up the development of this technology. Autonomous vehicles can support decarbonisation, as a recent study pointed out that their control systems can reduce fuel consumption by 18% and CO2 emissions by 25%.</t>
  </si>
  <si>
    <t>Hyperloops
Hyperloops are high-speed transportation systems that use magnetic levitation to propel passengers in pods through vacuum-sealed tunnels. The UAE has been a major investor in this technology and already has a flagship project — Abu Dhabi Hyperloop — under development. The project aims to connect Abu Dhabi to Dubai in just 12 minutes, compared to the current travel time of about 90 minutes by car. This will likely attract UAE citizens to use public transport, further reducing demand for private cars.</t>
  </si>
  <si>
    <t>Flying Taxis
The UAE has also been exploring electric flying taxis. These vehicles — also known as vertical take-off and landing (VTOL) aircraft — are designed to transport passengers through the air in urban environments, avoiding traffic on the ground. The most well-known example of this technology is the Uber Air service, which is being developed in partnership with the city of Dubai. Additionally, Dubai plans to deploy electric flying taxis (or eVTOL) beginning in 2026.</t>
  </si>
  <si>
    <t>Smart Pods and Sky Pods
Smart pods and sky pods are autonomous solutions to move passengers across short distances to connect the city’s homes and businesses with its public transport network. They will be powered by solar panels, which further increases their contribution to emissions reduction</t>
  </si>
  <si>
    <t>SkyWay Dubai
SkyWay Dubai is being developed to carry passengers and freight on a specially designed elevated string-rail overpass between skyscrapers in Dubai. This new solution will have around 15 kilometres of length and is expected to be able to carry up to 8,400 passengers per hour in each direction. This will significantly increase Dubai’s passenger transport capacity and free up space in the main roads.</t>
  </si>
  <si>
    <t>115/116</t>
  </si>
  <si>
    <t>Ensure the UK’s charging infrastructure network is reliable, accessible, and meets the demands of all motorists.</t>
  </si>
  <si>
    <t>Build a globally competitive zero emission vehicle supply chain and ensure our automotive sector is at the forefront of the transition to net zero</t>
  </si>
  <si>
    <t xml:space="preserve">Take action to increase average road vehicle occupancy by 2030 </t>
  </si>
  <si>
    <t>and reduce the barriers to data sharing across the transport sector.</t>
  </si>
  <si>
    <t>Maximise carbon savings from the use of low carbon fuels, including by increasing the main Renewable Transport Fuel Obligation (RTFO) target</t>
  </si>
  <si>
    <t>Increase the share of journeys taken by public transport, cycling and walking</t>
  </si>
  <si>
    <t>Invest £2 billion in cycling and walking, building first hundreds, then thousands of miles of segregated cycle lane and more low-traffic neighbourhoods with the aim that half of all journeys in towns and cities will be cycled or walked by 2030</t>
  </si>
  <si>
    <t>National Bus Strategy, creating integrated networks, more frequent services, and bus lanes to speed journeys, and support delivery of 4,000 new zero emission buses and the infrastructure needed to support them.</t>
  </si>
  <si>
    <t>Plot a course to net zero for the UK domestic maritime sector, phase out the sale of new non-zero emission domestic shipping vessels and accelerate the development of zero emission technology and infrastructure in the UK. We will engage with industry to explore establishing a UK Shipping Office for Reducing Emissions (UK_x0002_SHORE) to transform the UK into a global leader in the design and manufacturing of clean maritime technology.</t>
  </si>
  <si>
    <t>improve</t>
  </si>
  <si>
    <t>Become a leader in zero-emission flight, kick-starting commercialisation of UK sustainable aviation fuels (SAF), and developing a UK SAF mandate, to enable the delivery of 10% SAF by 2030, and we will be supporting UK industry with a £180m funding to support the development of SAF plants.</t>
  </si>
  <si>
    <t>Over time, the use of zero emission vehicles will become even cleaner, as the use of renewable energy in the UK’s electricity mix continues to increase.</t>
  </si>
  <si>
    <t>s low carbon hydrogen, which is likely to be fundamental to achieving net zero in heavy transport applications</t>
  </si>
  <si>
    <t>We will support and encourage modal shift of freight from road to more sustainable alternatives, such as rail, cargo bikes and inland waterways</t>
  </si>
  <si>
    <t>We will transform last mile deliveries, with zero emission HGVs and decarbonised deliveries made possible through the adoption of new delivery models,</t>
  </si>
  <si>
    <t>We will transform last mile deliveries […] supported by accurate data and digital innovations which drive greater efficiencies</t>
  </si>
  <si>
    <t>The rail network will be net zero emissions by 2050 through a sustained, long-term programme of investment in rail electrification, supported by deployment of battery and hydrogen-powered trains</t>
  </si>
  <si>
    <t>We will address aviation emissions through new technology such as electric and hydrogen aircraft, the commercialisation of sustainable aviation fuels, increasing operational efficiencies, developing and implementing market-based measures and GHG removal methods, while influencing consumers to make more sustainable choices when flying.</t>
  </si>
  <si>
    <t>We will address aviation emissions through new technology such as electric and hydrogen aircraft</t>
  </si>
  <si>
    <t>We will address aviation emissions through new technology such as electric and hydrogen aircraft, the commercialisation of sustainable aviation fuels</t>
  </si>
  <si>
    <t>The UK will play an important role in developing zero emission maritime technology, such as alternative fuel powered vessels using ammonia or methanol produced from low carbon hydrogen, or highly efficient batteries, particularly where we can build on domestic expertise to capture early market share</t>
  </si>
  <si>
    <t>we need to ensure that the taxation of motoring keeps pace with the change to electric vehicles t</t>
  </si>
  <si>
    <t>We will build extra capacity on our rail network to meet growing passenger and freight demand and support significant shifts from road and air to rail.</t>
  </si>
  <si>
    <t>This includes new high-speed lines</t>
  </si>
  <si>
    <t>significant improvement to regional city public transport networks with the aim of making them as good as London’s.</t>
  </si>
  <si>
    <t>We are working with industry to modernise fares ticketing and retail and encourage a shift to rail and cleaner and greener transport journeys.</t>
  </si>
  <si>
    <t>Greater provision of walking and cycling routes to and from stations, and supporting infrastructure</t>
  </si>
  <si>
    <t>Between 2030 and 2035, new cars and vans will only be able to be sold if they offer significant zero emission capability</t>
  </si>
  <si>
    <t>we will introduce a zero emission vehicle mandate setting targets requiring a percentage of manufacturers’ new car and van sales to be zero emission each year from 2024</t>
  </si>
  <si>
    <t>We will extend the Renewable Transport Fuel Obligation to the maritime sector</t>
  </si>
  <si>
    <t>We will embed transport decarbonisation principles in spatial planning and across transport policy making</t>
  </si>
  <si>
    <t>We can affordably and efficiently electrify most of the economy, from cars to buildings and industrial processes.</t>
  </si>
  <si>
    <t>In areas where electrification presents technology challenges—for instance aviation, shipping, and some industrial processes— we can prioritize clean fuels like carbon-free hydrogen and sustainable biofuels</t>
  </si>
  <si>
    <t>shifting to low-carbon or carbon-free biofuels and hydrogen in applications like long-distance shipping and aviation</t>
  </si>
  <si>
    <t>to produce 3 billion gallons of sustainable aviation fuel by 2030</t>
  </si>
  <si>
    <t>to accelerate deployment and reduce costs in every mode of transportation. This will occur through lower vehicle costs;</t>
  </si>
  <si>
    <t>; fuel economy and emissions standards in light-, medium- and heavy-duty vehicles</t>
  </si>
  <si>
    <t>; incentives for zeroemission vehicles and clean fuels</t>
  </si>
  <si>
    <t>; investment in a new charging infrastructure to support multi-unit dwellings, public charging, and long-distance travel</t>
  </si>
  <si>
    <t>scaling up biorefineries</t>
  </si>
  <si>
    <t>comprehensive innovation investments to reduce hydrogen costs</t>
  </si>
  <si>
    <t>investment in infrastructure that supports all modes of clean transportation—such as transit, rail, biking, micro mobility, and pedestrian options</t>
  </si>
  <si>
    <t>d deployment of electrification and zero- or low-carbon fuels for aviation and shipping will ensure we have the technology to continue reducing emissions across the entire transportation sector in the years leading to 2050</t>
  </si>
  <si>
    <t>The United States will continue to increase the use of electricity and sustainably produced low-carbon fuels in the transportation sector while shifting away from fossil sources</t>
  </si>
  <si>
    <t>Over time, electricity, carbon beneficial biofuels, and hydrogen will become increasingly clean.</t>
  </si>
  <si>
    <t>An expanded network of public transit options and infrastructure will increase urban mobility, helping to reduce emissions and increase equity in mobility.</t>
  </si>
  <si>
    <t>Electrifying segments of the rail system will decarbonize the existing rail system with the added benefit of enabling a more robust electric grid along railroad “right of way.”</t>
  </si>
  <si>
    <t>“vehicle to grid” innovations may provide support for grid services.</t>
  </si>
  <si>
    <t>Accelerated research, development, demonstration, and deployment of lower_x0002_carbon fuels, such as clean hydrogen and sustainable biofuels, will contribute to the decarbonization of applications that may be more difficult to electrify including aviation and marine transportation and some medium- and heavy-duty trucking segments.</t>
  </si>
  <si>
    <t>En cuanto a la utilización de Hidrógeno, se está trabajando en un piloto para vehículos de carga y buses de larga distancia.</t>
  </si>
  <si>
    <t>La movilidad activa y el transporte público, junto con la electromovilidad, son claves en la planificación de la movilidad sostenible.</t>
  </si>
  <si>
    <t>En el transporte, la transformación se basa en un impulso a los vehículos eléctricos a batería (BEV) y la incorporación de vehículos FCEV (Hidrógeno verde).</t>
  </si>
  <si>
    <t>Para el sector ferroviario se considera la introducción del ferrocarril central, considerando que operará a capacidad plena en el año 2035.</t>
  </si>
  <si>
    <t>Develop national vehicle and fuel standards (2025)</t>
  </si>
  <si>
    <t>Development of a national transport sector policy and accompanying institutional arrangements (2025-2030)</t>
  </si>
  <si>
    <t>Industry skills development and capacity building within the electric transport sector (2025-2040)</t>
  </si>
  <si>
    <t>Coordination of e-mobility pilots (2025-2040)</t>
  </si>
  <si>
    <t>Local biofuel production - Reducing fossil fuel component in the energy mix through blending</t>
  </si>
  <si>
    <t>Fuel economy policy - Reduction in gasoline and diesel consumption</t>
  </si>
  <si>
    <t>Electric- and hydrogen vehicles - Reduction of gasoline and diesel demand by Internal Combustion Engines (ICE) vehicles through the uptake of electric and hydrogen vehicles</t>
  </si>
  <si>
    <t>Public transport (modal shift) - Reduced carbon intensity of travel system by shifting away from passenger car use to modern buses and non-motorised transport (NMT)</t>
  </si>
  <si>
    <t>Rail refurbishment and electrification - Displaced diesel consumption (rail + road) by less CO2- intensive electricity provided from the grid</t>
  </si>
  <si>
    <t>Mejora en la eficiencia de los medios de transporte rodado, aéreo y marítimo, tanto de
personas como mercancías, y sustitución gradual por vehículos no emisores netos de GEI.
, en paralelo
a una sustitución progresiva por vehículos no emisores netos de GEI, focalizada en primera
instancia en los vehículos de transporte público</t>
  </si>
  <si>
    <t>Mejora en la eficiencia de los medios de transporte rodado, aéreo y marítimo, tanto de
personas como mercancías, y sustitución gradual por vehículos no emisores netos de GEI.</t>
  </si>
  <si>
    <t>Incremento de los estándares de emisiones y eficiencia de los vehículos rodados</t>
  </si>
  <si>
    <t>la sustitución gradual por vehículos no emisores de GEI con un foco puesto en el transporte público</t>
  </si>
  <si>
    <t>Con anterioridad al 2050 se implementa un mercado de precios al carbono</t>
  </si>
  <si>
    <t>Promoción de los métodos activos de movilidad.</t>
  </si>
  <si>
    <t>Potenciación del transporte colectivo urbano e interurbano</t>
  </si>
  <si>
    <t>Wide adoption of electric vehicles (EVs) and ethanol vehicles.</t>
  </si>
  <si>
    <t>Promoting the massive deployment of CNG and LPG vehicles up to 2060.</t>
  </si>
  <si>
    <t>Promoting the aggressive adoption of measures to reduce or avoid travel.</t>
  </si>
  <si>
    <t>Promoting the shift to low-carbon modes of transport.</t>
  </si>
  <si>
    <t>Adopting up-to-date Transport Information Technology for efficient management of
transport infrastructures.</t>
  </si>
  <si>
    <t>Strengthening the adoption of Circular Economy principles, such as sharing, leasing,
reusing, repairing, refurbishing, and recycling existing materials and products as long as
possible.</t>
  </si>
  <si>
    <t>The implementation of the national plan on electric vehicles (EVs), the National
Vehicular Emission Control Programme (NVECP).</t>
  </si>
  <si>
    <t>The implementation of the Nigerian biofuel policy to support the adoption of ethanol
vehicles</t>
  </si>
  <si>
    <t>Providing charging infrastructure along major roads and designated public places.</t>
  </si>
  <si>
    <t>Providing incentives for private investment in EVs.</t>
  </si>
  <si>
    <t>Making city centres ‘Car-less’ by encouraging the use of mass transit options such as
waterways, rail, and air.</t>
  </si>
  <si>
    <t>Focusing on Non-Motorised Transport (NMT) in the planning, design, managing and
budgeting stages of transport projects, including the use of animal-cart in rural areas,
cycling, etc.</t>
  </si>
  <si>
    <t>Encouraging the use of bicycles as a green and environmentally friendly means of transportation by mapping out dedicated cycling routes in urban centres.</t>
  </si>
  <si>
    <t>Improving vehicle standards, inspection, and enforcement of relevant regulations for
behavioural change</t>
  </si>
  <si>
    <t>ETS will be fully deployed in the implementation of the LT -LEDS</t>
  </si>
  <si>
    <t>Investment in sustainable infrastructure, such as public transportation, green buildings, and
sustainable urban planning, that is critical to enabling the implementation of LT -LEDS will be
promoted through public-private partnerships.</t>
  </si>
  <si>
    <t>Al 2027, el 7 % - 18 % del total de la flota de vehículos privados serán eléctricos.
Al 2030, el 10 % - 20 % del total de la flota de vehículos privados serán eléctricos.</t>
  </si>
  <si>
    <t>Planned</t>
  </si>
  <si>
    <t>Al 2027, el 15 % - 30 % de las ventas de vehículos privados serán de vehículos eléctricos.
Al 2030, el 25 % - 40 % de las ventas de vehículos privados serán de vehículos eléctricos.
Nota – El cumplimiento de este hito está condicionado al recibimiento de financiamiento climático y el comportamiento del mercado internacional.</t>
  </si>
  <si>
    <t>Al 2027, el 14 % - 25 % de los autobuses de las flotas de concesiones autorizadas serán eléctricos.
Al 2030, el 15 % - 35 % de los autobuses de las flotas de concesiones autorizadas serán eléctricos. 
Nota – El cumplimiento de este hito está condicionado al recibimiento de financiamiento climático y el 
comportamiento del mercado internacional.</t>
  </si>
  <si>
    <t>Al 2027, el 21 % - 35% de las flotas públicas estarán compuestas de vehículos eléctricos.
Al 2030, el 25 % - 50 % de las flotas públicas estarán compuestas de vehículos eléctricos.
Nota – El cumplimiento de este hito está condicionado al recibimiento de financiamiento climático y el 
comportamiento del mercado internacional.</t>
  </si>
  <si>
    <t>Al 2027, el 2 % de los vehículos de transporte de carga pesada y maquinaria deberán utilizar como energético para su funcionamiento hidrógeno verde y/o sus derivados.</t>
  </si>
  <si>
    <t>the National Integrated Transport Policy, which aims to increase the share of renewable energy sources in the transport sector by 10% each decade.</t>
  </si>
  <si>
    <t>In the transportation sector, Brazil will seek to mitigate greenhouse gas emissions in line with the energy sector, by replacing fossil fuels with electricity and biofuels.</t>
  </si>
  <si>
    <t>In addition to electrification and biofuels, hydrogen is expected to be used as an alternative in the transport sector by 2035, requiring investment in specific infrastructure.</t>
  </si>
  <si>
    <t>The transportation sector encompasses the national and interstate transportation of passengers and cargo and is therefore intrinsically linked to the energy sector through the use of fuels and electricity.</t>
  </si>
  <si>
    <t>In parallel, the trends observed for urban mobility follow the logic of electrification and increased use of biofuels.</t>
  </si>
  <si>
    <t>In this sense, it is worth highlighting the main legal and regulatory frameworks recently established by Brazil:
- the approval of the Legal Framework for Low-Emission Hydrogen (Law No. 14.948 of August 2, 2024), which provides for the National Low-Emission Hydrogen Policy, its principles, objectives, concepts, governance and instruments, establishes incentives for the low-emission hydrogen industry, establishes the Special Incentive Regime for Low-Emission Hydrogen Production (Rehidro), creates the Low-Emission Hydrogen Development Program (PHBC);</t>
  </si>
  <si>
    <t>Implemented or adopted</t>
  </si>
  <si>
    <t>In this sense, it is worth highlighting the main legal and regulatory frameworks recently established by Brazil:
- the approval of the Fuel for the Future Law (Law No. 14.993, of October 8, 2024), which provides for the promotion of sustainable low-carbon mobility and the capture and geological storage of carbon dioxide; establishes the National Program for Sustainable Aviation Fuel (ProBioQAV), the National Green Diesel Program (PNDV) and the National Program for Decarbonization of Producers and Importers of Natural Gas and Incentives for Biomethane.</t>
  </si>
  <si>
    <t>31/32</t>
  </si>
  <si>
    <t>Through core regulations, Canada is supporting transformative actions in the transportation sector. For instance, the Clean Fuel Regulations are lowering the carbon intensity of liquid fuels used in Canada.</t>
  </si>
  <si>
    <t xml:space="preserve">Canada is also investing in transitory and long-term clean fuels for all transportation modes, including established fuels for small ground transportation, sustainable aviation fuel for air travel, and biofuels for the marine and rail sectors. </t>
  </si>
  <si>
    <t>Expanding the charging network with home, work and public fast-charging stations and additional hydrogen fueling stations</t>
  </si>
  <si>
    <t>Continue partnership and co-funding for electric vehicles and charging stations; invest in B.C.’s electric charging and hydrogen fueling infrastructure to ensure geographic coverage; work with B.C. to expand
funding partnerships and streamline federal funding administration through the CleanBC Go Electric program (i.e., in lieu of separate federal funding calls, enter into a bilateral agreement with B.C. on ZEV infrastructure
funding)</t>
  </si>
  <si>
    <t>Northwest Territories: Using suitable liquid biofuels for any remaining conventional technologies (e.g., thermal generation in remote communities, heavy duty transportation, building heating)</t>
  </si>
  <si>
    <t>For other transportation such as heavy-duty transport truck, marine transport, rail and aviation, which constitute the bulk of transport emissions, there are few immediately available solutions for use in the NWT, given long distances and colder winter climates. Drop-in ready renewable diesel and aviation fuel may be options going forward, but only have very limited commercial availability at the moment and have not been adequately tested to meet arctic cold climate standards as of yet.</t>
  </si>
  <si>
    <t>Las líneas de acción establecidas para el componente de mitigación se enfocan en expandir la matriz energética hacia fuentes renovables convencionales y no convencionales. Además, impulsa acciones de eficiencia energética priorizando tecnologías limpias, especialmente en el transporte y asegurando una transición justa que considere las particularidades locales y la mejora de las condiciones de la población hacia un desarrollo bajo en emisiones.</t>
  </si>
  <si>
    <t>Under the With Additional Measures (WAM) scenario […] sustainable transport, following CO₂ emission standards for vehicles, the Fit for 55 Package, and the Alternative Fuels Infrastructure Regulation;</t>
  </si>
  <si>
    <t>NDC 3.0 enhances the 2030 target to a 14.7% reduction in energy sector emissions by 2030, relative to 2010, achieved through a 40% renewable energy penetration from a mix of solar and wind plus battery storage, increased energy efficiency and electric vehicle uptake.</t>
  </si>
  <si>
    <t>Unclear</t>
  </si>
  <si>
    <t>We launched our National Hydrogen Strategy in 2022 to chart a pathway towards potential adoption of low-carbon hydrogen as an energy source and feedstock by 2050. The Campus for Research Excellence and Technological Enterprise under the National Research Foundation of Singapore recently launched a new Decarbonisation Programme to grow Singapore’s capabilities in areas such as hydrogen utilisation, carbon conversion and utilisation to produce biofuel and low carbon speciality chemicals, and ammonia-ready fuel cells for power generation.</t>
  </si>
  <si>
    <t>We remain committed to phasing out pure internal combustion engine vehicles by 2040 and enabling the adoption of cleaner energy vehicles such as electric vehicles. Since 2020, all new public buses purchased have been cleaner energy buses, including electric and diesel-hybrid buses.</t>
  </si>
  <si>
    <t>the UAE has developed a national policy for biofuel, which serves as a framework to enhance UAE biofuel competitiveness, and reduce emissions in the transportation sector. The main targets of this policy include Determination of approved standards for biofuels, Achieving sound management of biofuel production and circulation operations in the country, and Optimal utilization of industrial waste. Also, the policy aims to shift a part of diesel consumption on land transportation sector into biodiesel, by introducing (B7) which is a mixture of 7% of biodiesel with 93% conventional diesel on 2030 and (B20) which is a mixture 20% of biodiesel with 80% conventional diesel on 2050. This target reflects the country's commitment to supports the circular economy by recycling Industrial waste and reducing its environmental impact.</t>
  </si>
  <si>
    <t>The UK is also committed to phasing out new cars relying solely on internal combustion engines by 2030, and on 24 December 2024 published a consultation seeking views on which type of hybrid car can be sold from 2030-20353</t>
  </si>
  <si>
    <t>The Isle of Man has a statutory emissions reduction target of 45% by 2035, (…) Headline actions include 100% decarbonisation of the Island’s fossil fuel electricity supply by 2030 and a ban on the registration of Internal Combustion Engine vehicles in 2030 and hybrids in 2035.</t>
  </si>
  <si>
    <t>Avoid, improve</t>
  </si>
  <si>
    <t>other refueling stations such as for clean hydrogen</t>
  </si>
  <si>
    <t>electrificación vehicular de los distintos modos (aprovechando la matriz de generación eléctrica renovable)</t>
  </si>
  <si>
    <t xml:space="preserve"> impulso a otras alternativas tecnológicas de transporte eficientes y de bajas emisiones, como biocombustibles, e-fuels y celdas de hidrógeno</t>
  </si>
  <si>
    <t>Consequently, the country is actively working on zero and low-emission technologies for low carbon sea transport. For example, with the bilateral pilot project Low Carbon Sea 
transport, RMI has partnered with the German International Cooperation (GIZ) which has provided a prototype low emission vessel, designed by the University of Applied Sciences Emden-Leer (HEL) in joint partnership with MCST. The Juren Ae is a hybrid vessel designed to reduce carbon emissions in providing services for RMI’s inter-island transport needs. She was launched in 2024 and combines wind-assisted propulsion, fuel-efficient engines, and solar power, making it a pioneering innovative solution tailored to the needs of RMI and SIDS</t>
  </si>
  <si>
    <t>NGO Waan Aelõñ in Majel (WAM)-Canoes is also spearheading an initiative to decarbonise transport inside atoll lagoons. This initiative focuses on developing sustainable, traditional vessels like the WAM Catamaran and WAM Proa prototypes. These designs incorporate indigenous eco-friendly materials and skills alongside modern technologies, promoting both cultural preservation and environmental sustainability, while WAM is training Marshallese youth in boatbuilding skills to take back to their home atolls so this initiative can expand across the Marshall Islands</t>
  </si>
  <si>
    <t>Emissions from IAS are not included in the scope of this NDC, in line with advice from the Climate
Change Committee (CCC), the UK’s independent advisory body for tackling climate change. The UK
currently reports these emissions as a memo item in the UK’s GHG Inventory in line with IPCC
guidance. The UK is supportive of efforts to reduce these emissions through action under the
International Civil Aviation Organization (ICAO) and the International Maritime Organization (IMO) and
has played a leading role in securing positive negotiated outcomes in these fora in recent years. This
includes ICAO’s 2022 adoption of a long-term aspirational goal (LTAG) for international aviation8, and
agreement of the 2023 IMO Greenhouse Gas Strategy9. The UK is fully committed to contributing to
urgent global action at ICAO and IMO to address these emissions and put both sectors on pathways
aligned with their respective net zero goals. The UK government is clear that aviation and shipping must contribute to achieving net zero like the rest of the UK economy. The UK’s share of international aviation and shipping emissions will be within scope of the UK’s domestic legally binding Carbon Budget 6 (2033-37) as we approach our economy-wide target of net zero by 2050.</t>
  </si>
  <si>
    <t>further investing in low-carbon transportation fuels, including sustainable aviation fuels and clean marine fuels</t>
  </si>
  <si>
    <t>invest in clean port infrastructure</t>
  </si>
  <si>
    <t>Por otro lado, el programa de ayudas Engega lleva desde 2014 fomentando la adquisición de vehículos eléctricos o híbridos enchufables. El Gobierno de Andorra ha ayudado a financiar más de 1.681 vehículos eléctricos, híbridos o de bajas emisiones a lo largo de estos años.</t>
  </si>
  <si>
    <t>Provide incentives to promote renewable energy vehicles and trains</t>
  </si>
  <si>
    <t>Electrification will also be a strong trend in this sector, requiring technological advances to adapt routes and expand the charging network.</t>
  </si>
  <si>
    <t>The Electric Vehicle Availability Standard will help increase vehicle choices for Canadians and meet annual zero-emission vehicle sales targets, with the goal of gradually switching to a 100 percent zero-emission future. This is reducing air pollution on our streets and protecting a healthy environment for all.</t>
  </si>
  <si>
    <t>These include initiatives to make zero-emission vehicles more affordable, such as the Incentives for Medium- and Heavy-Duty Zero-Emission Vehicles Program and the accelerated capital cost allowance for businesses that purchase zero-emission vehicles. In addition, the Incentives for Zero-Emission Vehicles (iZEV) Program, which ran from 2019 to early 2025, supported the purchase of over 546,000 vehicles and helped Canada reach a new ZEV market share of 11.7% in 2023.</t>
  </si>
  <si>
    <t>Planning to develop new ZEV targets for medium- and heavy-duty vehicles in alignment with leading jurisdictions such as California</t>
  </si>
  <si>
    <t>Provided rebates for light-duty ZEVs and expanded incentives for clean bus and heavy-duty ZEV purchases</t>
  </si>
  <si>
    <t>Ensuring geographic coverage of public charging stations throughout B.C.</t>
  </si>
  <si>
    <t>Work directly with B.C. on regulations for ZEVs, including on-road (light-, medium- and heavy-duty) and non-road (including off-road, rail, marine, air)</t>
  </si>
  <si>
    <t>Progress towards electrification of the school bus fleet.</t>
  </si>
  <si>
    <t>Electric Vehicle (EV) Incentive coupled with a drastic major expansion of EV charging network throughout the province.</t>
  </si>
  <si>
    <t>Examining the feasibility of a medium/heavy fleet EV rebate, looking at sector-specific programing such as fisheries and aquaculture.</t>
  </si>
  <si>
    <t>Various public stakeholders continue to emphasize the importance of further increasing the accessibility and availability of charging infrastructure for electric vehicles throughout the territory.</t>
  </si>
  <si>
    <t>Northwest Territories: Electrifying end-uses such as transportation and heating with clean power.</t>
  </si>
  <si>
    <t xml:space="preserve">The GNWT is advancing a plan to address these limitations by building the charging infrastructure and encouraging residents and businesses to adopt electric vehicles – which will come with significant cost to upgrade electricity systems and generate the low carbon electricity needed going forward. </t>
  </si>
  <si>
    <t>La nueva política de comercialización de vehículos donde se prioriza la adquisición de vehículos eléctricos con excepción de aranceles a la importación de tecnologías baja en emisiones</t>
  </si>
  <si>
    <t>La Estrategia Nacional de Transición Energética y El Programa para la Integración de la industria nacional a la electrificación del transporte en Cuba.</t>
  </si>
  <si>
    <t>Urban planning and transport infrastructure will be improved to achieve decarbonization in the transport sector.</t>
  </si>
  <si>
    <t>Sustainable urban mobility and public transport will be promoted through optimization of passenger operations, extensive electrification and gasification</t>
  </si>
  <si>
    <t>Electrification of railways and optimization of freight traffic will continue.</t>
  </si>
  <si>
    <t>Shift to transport which uses alternative and renewable energy sources will be encouraged through creation of the respective infrastructure and other incentives.</t>
  </si>
  <si>
    <t>Development of local manufacturing of vehicles using alternative and renewable energy sources will play an important role in decarbonization of transport</t>
  </si>
  <si>
    <t>Other approaches from international practice of transport decarbonization will be used as well.</t>
  </si>
  <si>
    <t>International standards will be introduced to enhance investment attractiveness, including standards related to green building, green transport, energy efficiency of buildings and dwellings and environmental management.</t>
  </si>
  <si>
    <t>Avoid, shift, improve</t>
  </si>
  <si>
    <t>Biofuel and hydrogen can be used in modes of transport that are difficult or impossible to fully electrify (e.g. water and air transport).</t>
  </si>
  <si>
    <t xml:space="preserve">The Environmentally Sustainable Transport System Plan promotes a road-to-rail modal shift for both freight and passenger transport. </t>
  </si>
  <si>
    <t>A vehicle tax scheme based on CO2 emission was introduced in 2016 to promote low carbon vehicles.</t>
  </si>
  <si>
    <t>Enhancement of electrification of transport, and technical support for battery charging technologies.</t>
  </si>
  <si>
    <t xml:space="preserve">Elaboration et mise en place d’une stratégie et plan de déplacement intra et interurbain Cotonou, Porto-Novo et Parakou en vue d'impacter sur la consommation des produits pétroliers dans le secteur des transports </t>
  </si>
  <si>
    <t>Bateaux-bus pour transport fluvio-lagunaire et infrastructures associées (embarcadères/débarcadères) ; Mettre en place un service de transport fluvio-lagunaire sur les trajets Calavi- Cotonou et Porto Novo – Cotonou avec pour objectif de détourner au moins 30 % du trafic routier actuel dans les mêmes directions. La réalisation de cet objectif nécessitera la mise en place d’une flotte de 20 bateaux-bus d’au moins 217 places chacun.</t>
  </si>
  <si>
    <t>Trains diesel-électrique légers pour transport interurbain et réseau ferroviaire Ouidah-Cotonou-Porto Novo réhabilité. Promouvoir un service de transport interurbain rapide par trains diesel-électrique légers sur les trajets Ouidah –Pahou-Godomey-Cotonou et Porto Novo – Cotonou. La réalisation de cet objectif nécessitera la mise ne place d’une flotte de transport d’au moins 4 trains composés chacun d’une rame de deux locomotives et de 8 wagons passagers.</t>
  </si>
  <si>
    <t>Electrification of motorcycles</t>
  </si>
  <si>
    <t>Introduce incentives to promote electric (EV) and hybrid vehicles.</t>
  </si>
  <si>
    <t>Promote technologies for electric vehicle deployment by expanding charging infrastructure, introducing battery-swapping solutions, and supporting other innovative technologies to accelerate the transition to electric mobility.</t>
  </si>
  <si>
    <t>Moreover, as depicted in Rebbelib 2050 and Tile Til Eo 2050 Climate Strategy, RMI seeks to decarbonize its land transport, to further reduce its dependence on fuels. For example, a pilot project supported by the World Bank is underway to test electric vehicles in Majuro</t>
  </si>
  <si>
    <t>With Existing Measures (WEM) promotion of electric vehicles, financial incentives for electric, plug-in hybrid, and full hybrid vehicles for both citizens and businesses</t>
  </si>
  <si>
    <t>enhanced uptake of electric vehicles</t>
  </si>
  <si>
    <t>This will be supported by investments in charging infrastructure, fiscal incentives, pilot demonstrations, capacity building and public sensitisation and buy-in campaigns.</t>
  </si>
  <si>
    <t>Our land transport plans are aligned with the 1st GST’s call to accelerate the reduction of emissions from road transport on a range of pathways, including through development of active mobility and public transport infrastructure and rapid deployment of zero-and low-emission vehicles.</t>
  </si>
  <si>
    <t>the UAE is developing a national policy for electric vehicles (EV), which serves as a framework to align standards for EV charging infrastructure, enhance UAE competitiveness, and reduce energy consumption in the transportation sector. The main targets of this policy include unifying infrastructure standards for EV charging stations across the UAE, supporting the national roadmap for EV charging stations, and coordinating with federal authorities on the registration of electric vehicles.</t>
  </si>
  <si>
    <t>Additionally, the policy aims to develop the EV market, with a goal of increasing the share of electric vehicles to 50% of total car sales by 2050, and contributing to a 40% reduction in energy consumption in the transportation sector by 2050.</t>
  </si>
  <si>
    <t xml:space="preserve">The policy also supports the circular economy by establishing a unified charging fee for public stations and developing a legislative and technical framework for recycling EV batteries. </t>
  </si>
  <si>
    <t>At COP28, UAE Alliance for Climate Action (UACA), a non-state actor programme for UAE coordinated and led by Emirates Nature-WWF, launched the Road 2.0 initiative in support of UAE’s Net Zero by 2050 Strategic initiative, marking a crucial step towards reducing transport emissions in the UAE by building a more developed ecosystem for transition to Zero Emission Vehicles. The initiative is initially focusing on the deployment of commercial Battery Electric Vehicles (BEVs) into business operations complemented by broader opportunities to increase operational efficiencies of commercial transport to reduce emissions. The Road 2.0 Initiative is working with the full UAE transport ecosystem to reduce emissions from the sector, by integrating Zero Emission Vehicles (ZEVs) within commercial fleets over time and sending a market signal that can incentivize faster uptake of new technologies.</t>
  </si>
  <si>
    <t>c</t>
  </si>
  <si>
    <t>Moreover, Cabinet Resolution (50) for 2024 regarding the Technical Requirements for Electric Vehicles in the UAE, prepares the regulatory infrastructure in the UAE to safely operate electrical vehicles through defining the technical requirements for all vehicles with a speed of over 25 km/hr. Similarly, there is the UAE Regulations Scheme for Hydrogen and Fuel Cell vehicles (2021) which defines the technical requirements to ensure the readiness of the quality infrastructure for the safe and efficient use of hydrogen and fuel cell vehicles.</t>
  </si>
  <si>
    <t>Abu Dhabi actively supports sustainable transport through the Integrated Transport Centre (ITC) of the Department of Municipalities and Transport (DMT). (...) The strategy emphasizes the use of alternative clean energy sources in public transport, aiming to modernize the public bus fleet with eco-friendly buses and develop hydrogen- powered bus infrastructure. Additionally, 80% of Abu Dhabi's taxi fleet consists of eco-friendly vehicles, including hybrid, electric, and natural gas-powered taxis.</t>
  </si>
  <si>
    <t>Implement energy efficiency through supply side loss reduction, develop energy auditing, equipment standards and labelling, regulatory reform and fuel substitution for transport.</t>
  </si>
  <si>
    <t>Transport sector transition away from fossil fuels.</t>
  </si>
  <si>
    <t>A Framework … focusing on maritime, air, and land transport … with data, policy, economic analysis, and financing</t>
  </si>
  <si>
    <t>Committed to ending the sale of new petrol and diesel vehicles by 2030, and for all new cars and vans to be fully zero emission at the tailpipe by 2035.</t>
  </si>
  <si>
    <t>Improving transportation fleet fuel economy</t>
  </si>
  <si>
    <t>Phasing out inefficient used light-duty vehicles</t>
  </si>
  <si>
    <t>Implementing aerodynamic regulation for heavy-duty vehicles</t>
  </si>
  <si>
    <t>Developing metro and bus networks in Riyadh, Jeddah, Dammam</t>
  </si>
  <si>
    <t>Expanding the Saudi Railway network</t>
  </si>
  <si>
    <t>Prioritizing More Sustainable Modes of Maritime and Railway Transport
Efforts to increase the share of the railway and maritime sectors will continue to achieve a more
balanced transportation system, reducing the dominance of road-based services.</t>
  </si>
  <si>
    <t>Expanding the high-speed train (HST) and conventional train (CT) networks aims to boost the share of railway passenger transportation. Planned HST projects target a significant modal shift from road and air transport to railways by 2053. The “2053 Türkiye National Transportation and Logistics Master Plan”, the primary policy document for transportation, reiterates the goal of increasing the share of railways.</t>
  </si>
  <si>
    <t>Additionally, constructing new ports with railway connections is expected to promote more sustainable and environmentally friendly transportation.</t>
  </si>
  <si>
    <t>Investments in expanding high-speed and conventional train networks will increase capacity for both passenger and freight transport. To enable a modal shift to railways, addressing bottlenecks by converting single-track sections to “double tracks”, enhancing signaling systems, and increasing train capacity are critical. In addition to these investments, "freight-priority" railway lines will be developed to improve connections to ports, logistics hubs, and organized industrial zones.</t>
  </si>
  <si>
    <t>In addition to these investments, "freight-priority" railway lines will be developed to improve connections to ports, logistics hubs, and organized industrial zones.</t>
  </si>
  <si>
    <t>Plans to construct 31 new ports aim to advance international maritime freight transportation while identifying routes with emission reduction potential for national freight transport.</t>
  </si>
  <si>
    <t>Urban rail system investments, including suburban rail and urban transit systems (metros, light rail, and trams), will integrate public transport systems to create a seamless network capable of competing with private automobiles.</t>
  </si>
  <si>
    <t>Similarly, in coastal cities, the share of maritime transport will be increased through integration with urban public transport systems and intercity passenger transport.</t>
  </si>
  <si>
    <t>Enhancing Efficiency in the Transportation Sector
Roadmaps will be developed to increase the load or passenger ratio per vehicle in road transportation to improve efficiency.</t>
  </si>
  <si>
    <t>The prioritization of effective public transportation systems will continue, and cities will be divided into sustainable mobility districts, with strengthened public transport connections between these districts encouraged.</t>
  </si>
  <si>
    <t>To reduce private vehicle ownership and usage, the establishment of car-sharing systems will be supported during this planning process.</t>
  </si>
  <si>
    <t>36/37</t>
  </si>
  <si>
    <t>Efficiency in road transportation will be further enhanced through eco-driving practices and routing support, supported by the development of physical and technological “”Intelligent Transportation Systems (IT)” infrastructure.</t>
  </si>
  <si>
    <t>Efforts will also be made to expand energy-efficient driving practices, which have been piloted in railway passenger transport, to all railway routes across Türkiye.</t>
  </si>
  <si>
    <t xml:space="preserve">In addition to motorized vehicles, a long-term urban "re-planning" strategy will be developed to support sustainable modes of transport such as public transportation, walking, and cycling. This will include the development of "sustainable transportation districts/regions" and low/zero-emission mobility plans that address daily mobility needs through micromobility solutions. </t>
  </si>
  <si>
    <t>After 2030, improvements will be made to enhance the efficiency of existing technologies in air transportation, with measures introduced to modernize aircraft fleets.</t>
  </si>
  <si>
    <t>Similarly, outdated technology in maritime and road vehicles will be phased out to align with sustainability goals.</t>
  </si>
  <si>
    <t>Promoting the Use of Sustainable/Clean Energy Sources in the Transportation Sector
The transition to electric vehicles will be encouraged, with a focus on expanding the charging infrastructure in line with the sector's growth. By 2035, the number of registered hybrid (currently 317,000) and electric (currently 137,000) vehicles is projected to reach 1.8 million under a low scenario and 4.2 million under a high scenario.</t>
  </si>
  <si>
    <t>To support this growth, it is estimated that the total number of publicly accessible charging sockets will need to reach 147,000 under the low scenario and 348,000 under the high scenario, 35% of which are expected to be DC chargers [42]. The Ministry of Transport and Infrastructure has conducted spatial analyses of electric vehicle charging demand and supply for intercity travel, focusing on transportation infrastructure such as highways, railway stations, and ports [43]. Based on this analysis, the number of charging sockets required on the national highway network was estimated for the years 2029, 2035, and 2053. The total required number of sockets, which was 3,378 in 2023, is expected to increase to 5,624 by 2029, 14,250 by 2035, and 39,944 by 2053.</t>
  </si>
  <si>
    <t>Given Türkiye's geopolitical position as a key hub for international transportation routes, efforts are underway to develop charging infrastructure for heavy commercial electric vehicles. A support program for this purpose is expected to be implemented starting in 2025.</t>
  </si>
  <si>
    <t>The development of a national electric vehicle brand and charging infrastructure, along with the electrification of shared vehicles, has the potential to contribute significantly to emission reductions.</t>
  </si>
  <si>
    <t>Additionally, by 2053, it is planned to complete the electrification of railway lines, increase the use of hybrid rail vehicles during this transition, and support the electrification of maritime transport systems, vessels, and ground services in air transportation.</t>
  </si>
  <si>
    <t>Although electrification is the most prominent measure for emission reduction in the transportation sector, a critical factor is ensuring that the electricity used in transportation is derived from renewable energy sources. Therefore, the electrification process in transportation must be supported by a transition to renewable energy. Decarbonizing the electricity sector forms the foundation for decarbonizing transportation. In this context, the commitment to renewable energy in the electricity sector also addresses the increasing electricity demand caused by transportation electrification, ensuring that this demand is met through renewable sources [20].</t>
  </si>
  <si>
    <t xml:space="preserve">Research and investments in hydrogen-based fuel/engine technologies for large and heavy road vehicles (e.g., buses, trucks) will be increased. </t>
  </si>
  <si>
    <t>In air transportation, the use of "sustainable aviation fuel (SAF)" and synthetic fuels, as defined under ICAO LTAG 2050, CAAF/3 Global Framework decisions, and CORSIA, will be promoted. Efforts are underway to produce and incentivize these fuels domestically, with the aim of significantly reducing the trade deficit caused by jet fuel imports.</t>
  </si>
  <si>
    <t>Implementing Digital Infrastructure Activities in the Transportation Sector
A transportation emissions database will be established to monitor demand and emissions data by transportation mode for passenger and freight transportation, as well as for long- and short-distance transportation services across road, maritime, air, and rail systems.</t>
  </si>
  <si>
    <t>Developments in methodologies and standards for voluntary emissions reporting and comparisons, as outlined in the European Green Deal, will be closely followed, and alignment with national emissions data will be ensured. Additionally, studies will be initiated to determine demand and mobility for tracking the emissions from sectors categorized under "Agriculture/Forestry/Fisheries (Off-road Vehicles and Other Machinery)" within total transportation emissions.</t>
  </si>
  <si>
    <t>To implement strategies beyond 2030, the institutionalization of port operators and logistics companies will be encouraged. Furthermore, an electronic freight system will be established to manage freight transportation demand, enabling the monitoring of vehicle-km and freight metrics within this framework.</t>
  </si>
  <si>
    <t>In the transportation sector, where electrification will play a critical role, the following activities will be implemented: development of a national integrated interface for smart electric vehicle charging and parking management, preparation of regulations for the market supply and recycling of electric vehicle batteries, provision of research support for electric vehicle battery recycling, and enabling passenger and freight transport to calculate transportation-based carbon footprints on a per-person or per-product basis.</t>
  </si>
  <si>
    <t>In the transportation and logistics sector, priority will be given to railway and maritime transport to minimize environmental impacts and enhance energy efficiency, establishing a safe, uninterrupted, effective, integrated, and sustainable transportation network.</t>
  </si>
  <si>
    <t xml:space="preserve">Roads will be developed with new smart routes suitable for electric vehicles, intelligent transportation systems, and autonomous systems. Cooperative Intelligent Transportation Systems, utilizing Vehicle-to-Vehicle (V2V) and Vehicle-to-Infrastructure (V2I) communication technologies, will be established to enhance traffic safety, optimize signal durations based on traffic density at signalized intersections, reduce unnecessary waiting times, stops, fuel consumption, and harmful emissions, while shortening travel times and increasing traffic safety, road capacity, and service levels. </t>
  </si>
  <si>
    <t>Türkiye's maritime trade fleet will be developed, and the number of green ports will be increased based on digitalization and energy efficiency</t>
  </si>
  <si>
    <t>transformative behavioural and systemic changes will be required in relation to reducing our demand for travel and changing how our residual travel needs are met</t>
  </si>
  <si>
    <t>Key drivers for mitigation in this decade will focus on demand reduction, a shift away from the car to more sustainable modes (walking, cycling, public transport) and the continuing electrification of transport fleets. Demand reduction coupled with sustainable and shared mobility will be delivered over time by progressing integrated transport and spatial planning as well as the necessary infrastructure and services to support a shift from car use to sustainable and accessible mobility, both at the national level and in co-operation with local authorities.</t>
  </si>
  <si>
    <t>While the sector will continue to rely mainly on diesel in the interim, there will be an increasing use of biofuels as a transitional measure going forward.</t>
  </si>
  <si>
    <t>demand reduction with modal shift will play an important role in the development of a more sustainable transport system over the next decade. Government investment in public transport, cycling and walking infrastructure, along-side the provision of increased public transport services and shared mobility options, will help to reduce reliance on private cars and address congestion in our cities. This investment is essential if we are to meet the level of system and behavioural change required to deliver on our climate ambition (including targets of a 50% increase in daily active travel journeys and a 130% increase in daily public transport journeys by 2030).</t>
  </si>
  <si>
    <t>Dubai is implementing the Dubai Green Mobility Strategy 2030 through the Dubai Supreme Council of Energy (DSCE). The strategy aims to increase the number of electric and hybrid vehicles in the Dubai Roads and Transport Authority (RTA) fleet, aligning with national plans to reduce carbon emissions from public transport, including buses, taxis, and the metro. A roadmap with annual programmes and initiatives has been developed to transform all public transport means to be carbon-free by 2050. In the past five years, Dubai has seen a significant increase in electric and hybrid vehicles within the RTA fleet, reflecting the city's commitment to eco-friendly transportation.</t>
  </si>
  <si>
    <t>29/30</t>
  </si>
  <si>
    <t>DEWA PJSC plans to expand the number of EV charging stations in the Emirate to over 1,000 by 2025. By the end of 2023, DEWA PJSC had successfully installed more than 700 charging points across Dubai, attracting 13,959 registered customers in the EV Green Charger programme, in addition to the daily “Guest Mode” feature users. These users collectively covered approximately 117 million kilometres through electric vehicle travel. Simultaneously, the initiative contributed to the growth of EVs in Dubai, reaching over 25,700 by end of Q4 2023.</t>
  </si>
  <si>
    <t xml:space="preserve">Ras Al Khaimah and Sharjah are also making strides in sustainable transport. Ras Al Khaimah has launched new generation solar-powered bus shelters, using locally sourced materials, as part of the RAKTA plan 2023-2030. These shelters aim to encourage public transportation use and promote sustainable mobility. </t>
  </si>
  <si>
    <t>To accelerate the uptake of BEVs in the private sector, Ras Al Khaimah Insurance is offering reduced rates for BEVs.</t>
  </si>
  <si>
    <t>Sharjah has integrated 83% of hybrid and eco-friendly vehicles into its taxi fleet, targeting 100% by 2027.</t>
  </si>
  <si>
    <t>The UK’s Zero Emission Vehicle (ZEV) mandate34 is the world’s most ambitious national level regulatory framework of its kind, with annual minimum targets for the proportion of new cars and vans sold in the UK from 2024 rising to 80% of cars and 70% of vans by 2030 on a pathway to 100% by 2035.</t>
  </si>
  <si>
    <t>The UK continues to engage with a number of international initiatives dedicated to accelerating climate action, including: the Breakthrough Agenda - accelerating international collaboration to deliver clean energy by 2030 through Breakthroughs in the road transport, (...) the Zero Emission Vehicles Transition Council; (...) linked to which the UK continues to implement its policy on aligning international public support for the clean energy transition</t>
  </si>
  <si>
    <t xml:space="preserve">In January 2025, Northern Ireland introduced the Vehicle Emissions Trading Schemes (VETS) Order 2023, aligning with England, Scotland and Wales. (…) The VETS legislation is seen as the single most important measure to deliver net zero for the automotive sector. </t>
  </si>
  <si>
    <t>21/22</t>
  </si>
  <si>
    <t>The UK is fully committed to the outcomes of Paragraph 28 and 33 of the GST [accelerating the reduction of emissions from road transport]. As set out in section 4a(i), the UK’s Zero Emission Vehicle (ZEV) mandate is the world’s most ambitious national level regulatory framework of its kind, with annual minimum targets for the proportion of new cars and vans sold in the UK from 2024 rising to 80% of cars and 70% of vans by 2030 on a pathway to 100% by 2035. The UK is also committed to phasing out new cars relying solely on internal combustion engines by 2030, and on 24 December 2024 published a consultation seeking views on which type of hybrid car can be sold from 2030-2035.</t>
  </si>
  <si>
    <t>53, 56</t>
  </si>
  <si>
    <t>prioritizing investments in EV supply chains and manufacturing</t>
  </si>
  <si>
    <t>working with electric utilities and other infrastructure providers at the State, local, and Tribal levels to integrate Evs with the grid and deploy electric charging ports</t>
  </si>
  <si>
    <t>implementing incentives and standards at all levels of government to deploy low- or zero-emission solutions for non-road modes of transportation</t>
  </si>
  <si>
    <t>incentivizing adoption of zero- and low-emission vehicles</t>
  </si>
  <si>
    <t xml:space="preserve"> ampliación de la red de carga eléctrica pública y privada, analizando el aprovechamiento de 
infraestructuras existentes (ej. estaciones de servicio que en un futuro podrían tener hidrogeneras)</t>
  </si>
  <si>
    <t>In this sense, it is worth highlighting the main legal and regulatory frameworks recently established by Brazil:
- the creation of the Green Mobility and Innovation Program - Mover Program (Law No. 14.902, of June 27, 2024), which aims to support technological development, global competitiveness, integration into global value chains, decarbonization, alignment with a low-carbon economy in the productive and innovative ecosystem of cars, trucks and their road equipment, buses, chassis with engines, self-propelled machinery and auto parts;</t>
  </si>
  <si>
    <t>Identify federal actions to eliminate light-duty and heavy-duty vehicle emissions control tampering</t>
  </si>
  <si>
    <t>El Programa de desarrollo del transporte resiliente y bajo en carbono</t>
  </si>
  <si>
    <t>Improve the fuel efficiency of road vehicles</t>
  </si>
  <si>
    <t xml:space="preserve">Introduce national vehicle emissions standards.
</t>
  </si>
  <si>
    <t>replacement of inefficient transport fleets through different approaches</t>
  </si>
  <si>
    <t>introduction of appropriate policies and guidelines to promote fuel and energy efficiency.</t>
  </si>
  <si>
    <t>A number of measures have been set in place to achieve this objective. Namely, the new CO2 law foresees that vehicle importers and manufacturers must limit the average CO2 emissions of their vehicles that are put on the road for the first time to a specific target value.</t>
  </si>
  <si>
    <t>Annex-4</t>
  </si>
  <si>
    <t>A new fuel standard rule requires diesel to comply with 10 ppm Sulphur content and Euro 5 standards, while new motor vehicles must meet Euro 4 performance standards, with a gradual move to Euro 5/6 planned.</t>
  </si>
  <si>
    <t>Jersey's decarbonisation policies are described in the Carbon Neutral Roadmap (2022). The focus is on the electrification of on-Island heating and transport, including proposed legislation to prohibit both the importation and registration of fossil fuel vehicles new to the Island and the installation of fossil fuel boilers as well as incentive schemes for low carbon heating, electric vehicles and the installation of charging points</t>
  </si>
  <si>
    <t xml:space="preserve"> impulso a la eficiencia energética, construyendo sobre avances realizados como el etiquetado vehicular</t>
  </si>
  <si>
    <t>Desde 2022, el transporte público es gratuito en Andorra.</t>
  </si>
  <si>
    <t xml:space="preserve">Entre estas acciones destacan la optimización de la línea Andorra-La Seu d’Urgell, que conecta el país con el territorio vecino en el que viven más de 1.800 trabajadores transfronterizos (en 2023), y la ampliación de los horarios de los autobuses nocturnos, facilitando la movilidad durante horas no convencionales y dando respuesta al colectivo de trabajadores vinculado al sector de los servicios. </t>
  </si>
  <si>
    <t>Improved public transport by enforcing vehicle standards and training the public providers of good service delivery</t>
  </si>
  <si>
    <t>Improve ICT to replace transport demand</t>
  </si>
  <si>
    <t>The National Integrated Transport Policy aims to increase public transport's share of total transport use to 30% by 2030.</t>
  </si>
  <si>
    <t>In the cities and urban mobility sector, mitigation will involve sustainable urban development, active mobility and improving public transport, with the strong aim of reducing dependence on individual transportation.</t>
  </si>
  <si>
    <t>Avoid, shift</t>
  </si>
  <si>
    <t>Existing public policy instruments focus on modal shift towards public transportation and active mobility, as well as on promoting integrated and sustainable urban planning, such as the Green and Resilient Cities Plan.</t>
  </si>
  <si>
    <t>The instruments of the ETP aimed at promoting the implementation of the Climate Plan include: (…)
- Climate Fund: created by Law No. 12,114/2009, the Climate Fund was reformulated in 2023 to expand new lines of financing aimed at accelerating renewable energy, promoting sustainable urban mobility, encouraging energy efficiency in strategic sectors, developing clean technologies and protecting biodiversity.
- Brazil Platform for Climate Investments and Ecological Transformation (BIP): an initiative coordinated by the Ministry of Finance in partnership with the BNDES and other ministries, BIP aims to boost the financing of projects linked to the country’s ecological transformation. BIP is structured around three key sectors: (i) Natural Climate Solutions; (ii) Industry and Mobility; and (iii) Energy.</t>
  </si>
  <si>
    <t>Investing in commercial ZEVs, public transit, and active transportation</t>
  </si>
  <si>
    <t>Supporting Indigenous and local governments with cost-share funding to develop local active transportation network plans and construct active transportation facilities</t>
  </si>
  <si>
    <t>Providing income-tested rebates for e-bikes and complementary training</t>
  </si>
  <si>
    <t>Working with Metro Vancouver to reduce light-duty vehicle GHG emissions and transition to low-carbon transit</t>
  </si>
  <si>
    <t>Supporting Indigenous communities by offering a rolling intake for active transportation infrastructure funding</t>
  </si>
  <si>
    <t>Work with B.C. to identify further federal actions to support B.C.’s Clean Transportation Action Plan, transportation energy intensity, mode share, and vehicle kilometre travelled targets</t>
  </si>
  <si>
    <t>Provide funding for investments in clean infrastructure and low carbon transportation options such as active transportation and public transportation.</t>
  </si>
  <si>
    <t>Continue to work with B.C.’s public transit agencies as they transition to low carbon fleets through BC Transit’s Low Carbon Fleet Program and TransLink’s Low Carbon Fleet Strategy</t>
  </si>
  <si>
    <t>Continued investment in both urban and rural transit.</t>
  </si>
  <si>
    <t>In response to these challenges, the government has made efforts to improve the transit system, introduce rural transit options, increase active transportation infrastructure and projects, and enhance the universal EV incentive program.</t>
  </si>
  <si>
    <t>Subnational target for Prince Edward Island:
Pillar 1: Transform the way people and goods move. Target: Reduce transportation emissions by 25-30% by 2030.</t>
  </si>
  <si>
    <t xml:space="preserve">Yukon's target:
reducing road transportation emissions by 30 per cent below 2010 levels by 2030; </t>
  </si>
  <si>
    <t>While there are numerous funding opportunities for increasing the adoption of various electric transportation options (EVs, e-bikes, e-snowmobiles, and other e-mobility options), there is still a need to further develop low carbon, public, and active transportation options.</t>
  </si>
  <si>
    <t>Fomentar, implementar y desarrollarla movilidad sostenible para todos los tipos de transporte.</t>
  </si>
  <si>
    <t>New bicycle lanes: Create secure and attractive urban cycling</t>
  </si>
  <si>
    <t>Expand public transport networks throughout the entire country.</t>
  </si>
  <si>
    <t>We do not subsidise the use of fossil fuels and instead tax the use of fossil fuels (e.g., through petrol duties) to reflect their negative externalities</t>
  </si>
  <si>
    <t xml:space="preserve">Singapore continues to invest in making “Walk-Cycle-Ride” (WCR) — comprising active mobility, and public and shared transport modes – the preferred mode of travel. To encourage the use of public transport, we are expanding our rail network from about 270 km today to 360 km in the early 2030s, putting 8 in 10 households within a 10-minute walk from a train station. </t>
  </si>
  <si>
    <t>14/15</t>
  </si>
  <si>
    <t>We are also accelerating the building of active mobility infrastructure to make cycling and walking more convenient and attractive.
Our cycling path network will be extended from over 600 km today to around 1,300 km by 2030. Our aim is for all journeys to the nearest neighbourhood centre using WCR modes of transport to take no more than 20 minutes, and 9 in 10 peak period WCR journeys to be completed in less than 45 minutes, by 2040.</t>
  </si>
  <si>
    <t>In 2024, we raised the carbon tax from S$5 per tCO2e to S$25 per tCO2e. It will be further raised to S$45 per
tCO2e in 2026, with a view to reach S$50 to S$80 per tCO2e by 2030, making our carbon tax level one of the highest in Asia. Today, around 80% of our total emissions are covered by carbon tax and fuel excise duties on our transport fuels. 70% of our emissions is covered by the carbon tax and this coverage is one of the most comprehensive globally.</t>
  </si>
  <si>
    <t>In 2015, the UAE implemented fuel price reforms by removing subsidies and linking gasoline and diesel prices to international market prices.</t>
  </si>
  <si>
    <t>Abu Dhabi actively supports sustainable transport through the Integrated Transport Centre (ITC) of the Department of Municipalities and Transport (DMT). The ITC focuses on establishing infrastructure for smart and sustainable transport solutions, including electric and hybrid vehicles, smart electric buses, bicycles, and scooters.</t>
  </si>
  <si>
    <t>Abu Dhabi actively supports sustainable transport through the Integrated Transport Centre (ITC) of the Department of Municipalities and Transport (DMT). (...) The ITC is also advancing smart mobility projects with self-driving vehicles and electric charging stations to enhance sustainable transport options.</t>
  </si>
  <si>
    <t>Delivering greener transport is a priority for the UK Department for Transport, including beginning the overhaul of public transport services and better integrating transport networks to make the sustainable choice the most convenient choice through the Passenger Railway Services (Public Ownership) Act and Bus Services Bill</t>
  </si>
  <si>
    <t>Guernsey’s Integrated Transport Strategy aims to reduce the number of car journeys and increase participation in active travel</t>
  </si>
  <si>
    <t>Gibraltar's Climate Change Strategy looks to reduce emissions across the energy, buildings, waste and transport sectors. the introduction of a carbon tax to discourage multiple vehicle ownership and to only allow first registration of electric vehicles as from 2035.</t>
  </si>
  <si>
    <t>Phasing out inefficient fossil fuel subsidies: At COP29, the UK joined the international Coalition on Phasing Out Fossil Fuel Incentives Including Subsidies (COFFIS) which commits the UK to being transparent on fossil fuel subsidies (FFS) by publishing a national inventory on the UK’s FFS and incentives by COP30. It also commits the UK to contributing to international efforts to develop a ‘comprehensive methodological framework’ for defining a FFS as well as identifying international barriers preventing the phase-out of FFS, and contributing to international dialogue to share lessons learned.</t>
  </si>
  <si>
    <t>The combination of catalytic public investments from the IRA and BIL and smart federal standards to limit greenhouse gas emissions and boost fuel economy, are spurring a historic turn toward decarbonization in the U.S. transportation sector. This powerful combination is driving EV sales and growing the public charging network. Together, this approach is helping to scale manufacturing, strengthen the domestic workforce and supply chains, increase adoption of clean transportation fuels, and advance progress toward zero-emission freight. BIL provided
transformational investments in U.S. public transportation and passenger rail that are expanding these low-carbon options for all Americans. By engaging stakeholders across the sector, the United States developed durable public incentives to support private investment in the low- or zero-emission fuels future and cut emissions across transportation modes, including rail, maritime and aviation, all while growing new jobs in clean fuels through innovations such as climate-smart agriculture.</t>
  </si>
  <si>
    <t>increasing active transportation options such as walking, cycling, and electric micro-mobility</t>
  </si>
  <si>
    <t>investing in affordable, accessible, reliable options like public transportation and rail to reduce emissions and promote benefits for communities with environmental justice concerns.</t>
  </si>
  <si>
    <t>supporting research into new technologies</t>
  </si>
  <si>
    <t>Movilidad activa, incluyendo infraestructura adecuada y segura (caminata, bicicleta)</t>
  </si>
  <si>
    <t>reducción de viajes innecesarios a través de la planificación de las ciudades, la virtualidad, etc.</t>
  </si>
  <si>
    <t>desestímulo al uso del automóvil</t>
  </si>
  <si>
    <t>optimización del servicio de transporte público colectivo, así como su accesibilidad y asequibilidad</t>
  </si>
  <si>
    <t>impulso a modos eficientes de transporte, como trenes y buses de tránsito rápido</t>
  </si>
  <si>
    <t>Moreover, improving infrastructure and adopting efficient driving practices will contribute to an immediate reduction in fuel consumption</t>
  </si>
  <si>
    <t>For each sub-sector - Civil Aviation, Railway Transport, Road Transport, Maritime Transport and Waterway Transport - Brazil has a set of specific instruments, involving regulatory agents and other bodies related to each of the transport categories.</t>
  </si>
  <si>
    <t>Preparing B.C.’s workforce for ZEV transition through the Go Electric Training Program</t>
  </si>
  <si>
    <t>Enacting a Clean Transportation Act on Plan to map out additional system-wide actions to meet the transportation emission reduction targets</t>
  </si>
  <si>
    <t>Providing active transportation education and encouragement programs, including in-school cycling training</t>
  </si>
  <si>
    <t>Working with communities across B.C. to address electric vehicle (EV) myths and raise awareness on EVs, including on cold-weather operation, driving distance</t>
  </si>
  <si>
    <t>Explore prioritizing transportation infrastructure planning and investment to the most energy efficient modes. Ensure transportation and land use considerations in ICIP investments include increasing eligibility of tactical urbanism projects</t>
  </si>
  <si>
    <t>Scale-up energy-efficient and low-emission public transport systems by enhancing infrastructure and integrating clean energy solutions.</t>
  </si>
  <si>
    <t>The UAE National Smart Mobility Strategy further aims to position the UAE as a leader in intermodal mobility by developing compatible infrastructure, integrated mobility systems, and adaptive policies and regulations.</t>
  </si>
  <si>
    <t>collaborating with stakeholders to expand intermodal freight, establish zero-emission freight hubs and corridors</t>
  </si>
  <si>
    <t>To increase convenience and efficiency, subnational and Tribal governments will improve land use by deploying strategies including transit-oriented development</t>
  </si>
  <si>
    <t>investing in the infrastructure needed for the rapid scaling of zero emission road transportation, as well as in rail, shipping, and aviation.</t>
  </si>
  <si>
    <t>campañas de sensibilización, comunicación y educación que aporten al cambio cultural hacia la movilidad sostenible</t>
  </si>
  <si>
    <t>inter-modalidad en carga y pasajeros</t>
  </si>
  <si>
    <t>Adaptation</t>
  </si>
  <si>
    <t>This sheet contains all information related to adaptation efforts or plans related to the transport sector included in the respective documents</t>
  </si>
  <si>
    <t>Measure</t>
  </si>
  <si>
    <t>Structural and Technical</t>
  </si>
  <si>
    <t>Transport System Adaptation</t>
  </si>
  <si>
    <t>Climate proofing transport infrastructure</t>
  </si>
  <si>
    <t>E_Notdefined</t>
  </si>
  <si>
    <t>Institutional and Regulatory</t>
  </si>
  <si>
    <t>Transport Planning</t>
  </si>
  <si>
    <t>Strengthen the institutional framework</t>
  </si>
  <si>
    <t>Transport adaptation regulation</t>
  </si>
  <si>
    <t>Integrate the effects of climate change in sectoral policies, in particular agriculture, hydropower, human health and transport;
Integrate climate change effects on political stability and national security.</t>
  </si>
  <si>
    <t> </t>
  </si>
  <si>
    <t>Risk assessment</t>
  </si>
  <si>
    <t>Infrastructure: Map human settlements at risk of flooding and erosion.</t>
  </si>
  <si>
    <t>By 2030, all waterways are protected to reduce the risks of flooding and health impacts.</t>
  </si>
  <si>
    <t>Desarrollar infraestructura de transporte fluvial y marítimo sostenible y resiliente al clima</t>
  </si>
  <si>
    <t>Informational and Educational</t>
  </si>
  <si>
    <t>Education and Training</t>
  </si>
  <si>
    <t>el desarrollo de capacidades aún incipientes en materia de adaptación;</t>
  </si>
  <si>
    <t>Design Standards and updates</t>
  </si>
  <si>
    <t>Fortalecer el diseño y mantenimiento de infraestructuras de transporte sostenibles y resilientes al clima, incluidos ferrocarriles, carreteras (incluyendo puentes y túneles), caminos rurales, puertos y aeropuertos</t>
  </si>
  <si>
    <t>Repair and maintenance</t>
  </si>
  <si>
    <t>Evaluar los impactos a corto, mediano y largo plazo sobre los sistemas de transporte como consecuencia del cambio climático</t>
  </si>
  <si>
    <t>mejorar la infraestructura portuaria y de protección costera</t>
  </si>
  <si>
    <t>mejorar la transitabilidad y la conectividad física de personas, insumos y servicios ante eventos extremos</t>
  </si>
  <si>
    <t>Transformación del sistema de transporte: […] el aumento de su resiliencia</t>
  </si>
  <si>
    <t>There is more green space, and this has made cities more resilient against the increasing number of heat waves and nights with high temperatures. The air and noise pollution from traffic has been drastically reduced.</t>
  </si>
  <si>
    <t xml:space="preserve">Resilient transport technologies </t>
  </si>
  <si>
    <t>Increase resiliency of energy infrastructure and diversify the Bahamian energy matrix with a focus on
renewable - Increase the percentage of electric vehicles to Government Fleet</t>
  </si>
  <si>
    <t>Increase resiliency of energy infrastructure and diversify the Bahamian energy matrix with a focus on
renewable - Develop incentives to encourage the purchase of electric vehicles</t>
  </si>
  <si>
    <t>Climate-Resilient Infrastructure Development
Projects underway through the Inland Water Transport Authority and the Ministry of Road Transport and Bridges</t>
  </si>
  <si>
    <t xml:space="preserve">additional work to improve resilience of the sector, particularly under more climate variability, transport congestion and mobility disruptions that can affect the tourism value chain and the competitiveness of the country. </t>
  </si>
  <si>
    <t>2017-2030 programmes of adaptation actions and practices will be developed as part of planning of transport infrastructure, development of urban planning</t>
  </si>
  <si>
    <t xml:space="preserve">National Climate Resilience Investment Plan: determined.
Enhance resiliency of Transportation sector: Several of Belize’s roads and bridges are vulnerable to seasonal floods. Belize’s waterways also become un-navigable during certain periods. In the absence of a transport policy, it is imperative that a vulnerability assessment is undertaken with greater focus being placed on assessing the vulnerability of the transport infrastructure, particularly in urban areas and other areas which are critical in sustaining the country’s productive sectors (tourism, agriculture and ports). An improved and energy efficient transport sector will not only reduce the country vulnerability to storm surges and floods, but also assist in reducing GHG emission. </t>
  </si>
  <si>
    <t>Implement Land Use Policy and Policy Framework to incorporate responsible and climate-sensitive (and water-sensitive) development and land use. In implementation, promote and enhance land stewardship practices underway in local and indigenous communities</t>
  </si>
  <si>
    <t>Adaptation programme (incl. inland navigation) in the valley of the Niger river</t>
  </si>
  <si>
    <t>Climate proof transport infrastructure against landslides and flash floods, particularly for
critical roads, bridges, tunnel and trails.</t>
  </si>
  <si>
    <t>(a) Capacity Building to carry out vulnerability assessment and design of climate resilient transport infrastructure</t>
  </si>
  <si>
    <t>(b) Redesigning and mitigating climate risks to transport infrastructure</t>
  </si>
  <si>
    <t>adaptation plans for the urban landscape in Brazil to ensure the resilience of the population and infrastructure</t>
  </si>
  <si>
    <t xml:space="preserve">Projet régional de Corridor économique Lomé-Ouagadougou-Niamey (LON). </t>
  </si>
  <si>
    <t>xii</t>
  </si>
  <si>
    <t>Développer les infrastructures pour le transport non motorisé à Bujumbura
D’ici 2027, 7.5 km seront aménagés pour le transport non motorisé</t>
  </si>
  <si>
    <t xml:space="preserve">Développer le corridor de transport sur le Lac Tanganyika 
D’ici 2027, 3 ports modernes seront aménagés et 6 bateaux disponibles 
Aménager les ports sur le lac Tanganyika et acquérir 6 bateaux </t>
  </si>
  <si>
    <t xml:space="preserve">Develop national road construction and maintenance design standards for national and provincial roads, considering climate change impacts, including developing an M&amp;E framework for climate proofing and low-carbon technology roads  </t>
  </si>
  <si>
    <t>Building climate resilient livelihood and public infrastructures in social land concession for vulnerable communities (includes road infrastructure)</t>
  </si>
  <si>
    <t>Implementation of Climate Change Action Plan for Public Works and Transport (2014-2018)</t>
  </si>
  <si>
    <t>Redundancy</t>
  </si>
  <si>
    <t>Increased use of public transportation can provide additional transportation options and reduce redundancy in transportation systems during emergency events.</t>
  </si>
  <si>
    <t>E_Passenger</t>
  </si>
  <si>
    <t>Relocation</t>
  </si>
  <si>
    <t>Electric vehicles as additional emergency transportation for large populations in the event of evacuations or other major climatic events</t>
  </si>
  <si>
    <t>Electric vehicles can potentially be utilized as back-up batteries in emergency situations.</t>
  </si>
  <si>
    <t xml:space="preserve">Construire des infrastructures, y compris des systèmes ferroviaires, des aéroports et des ports maritimes, qui résistent au climat grâce à l'intégration de mesures d'adaptation et de résilience pour améliorer la durabilité. </t>
  </si>
  <si>
    <t xml:space="preserve">Soutenir les infrastructures régionales et améliorer le commerce  </t>
  </si>
  <si>
    <t xml:space="preserve">Renforcer la résilience des corridors de transport régionaux </t>
  </si>
  <si>
    <t>Assurer la résilience des systèmes de transport urbain et rural</t>
  </si>
  <si>
    <t>Early warning &amp; emergency planning</t>
  </si>
  <si>
    <t>Les options prioritaires amélioreront la préparation des communautés et incluront l'intégration de mesures de réduction des risques telles que des mécanismes d'alerte précoce pour les inondations et les sécheresses</t>
  </si>
  <si>
    <t>Les mesures d'adaptation profiteront aux établissements urbains en réduisant leur vulnérabilité aux effets des phénomènes météorologiques extrêmes grâce à la cartographie des risques, aux codes de construction résistants au climat et à la réhabilitation des infrastructures.</t>
  </si>
  <si>
    <t>Monitoring</t>
  </si>
  <si>
    <t>Georreferenciación como aspecto fundamental para el análisis de datos geoespaciales, base para la correcta localización de la información de mapa y adecuada fusión y comparación de datos procedentes de diferentes sensores en diferentes localizaciones espaciales y temporales</t>
  </si>
  <si>
    <t>viii</t>
  </si>
  <si>
    <t>Aplicaciones móviles diseñados para ser ejecutados en teléfonos, tabletas y otros dispositivos móviles, que permiten a los administradores viales y Direcciones Territoriales suministrar información relacionada con variables previamente establecidas para gestionar el riesgo y posibilitar acciones de adaptación al Cambio Climático, con el menor índice de incertidumbre</t>
  </si>
  <si>
    <t>Desarrollo web para consulta de información</t>
  </si>
  <si>
    <t>Incluir la gestión del riesgo de desastres y la adaptación del cambio climático en los instrumentos de planificación y desarrollo del sector transporte.</t>
  </si>
  <si>
    <t>Fortalecimiento de alertas tempranas – Generación del conocimiento</t>
  </si>
  <si>
    <t>xviii</t>
  </si>
  <si>
    <t>Guía metodológica con enfoque multiamenaza para el cálculo cuantitativo del Riesgo en la infraestructura carretera</t>
  </si>
  <si>
    <t>xxvi</t>
  </si>
  <si>
    <t>Implementación del programa de creación de capacidades del sector transporte</t>
  </si>
  <si>
    <t>Programa de Georreferenciación y captura de datos desde la fuente</t>
  </si>
  <si>
    <t>Fortalecimiento de alertas tempranas – Generación de conocimiento</t>
  </si>
  <si>
    <t>xxvii</t>
  </si>
  <si>
    <t>Generación de lineamientos técnicos para realizar estudios de riesgo en la infraestructura de transporte (carretero y aéreo) y una Guía metodológica con enfoque multiamenaza para el cálculo cuantitativo del Riesgo en la infraestructura carretera</t>
  </si>
  <si>
    <t>xix</t>
  </si>
  <si>
    <t>la mejora de los sistemas de información geográfica de la infraestructura de transporte</t>
  </si>
  <si>
    <t>National Adaptation Plan for Climate Change has transport as a priority sector</t>
  </si>
  <si>
    <t>Aumento en el conocimiento para apoyar la gestión del riesgo por cam_x0002_bio climático y así reducir los daños y pérdidas […] en las infraestructuras de energía y transporte</t>
  </si>
  <si>
    <t>Sistemas de monitoreo climático y alertas tempranas con participación</t>
  </si>
  <si>
    <t>Consolidación de sistemas de infor_x0002_mación que articulen el conocimiento en_x0002_torno al riesgo de los diferentes sectores, personas y territorios (ejemplo, SIIVRA).</t>
  </si>
  <si>
    <t>Identificación y análisis de información que permita la creación de medidas eficaces y el diseño de protocolos y rutas de atención con en_x0002_foque diferencial para la atención y respuesta a las afectaciones causadas a poblaciones vulnerables</t>
  </si>
  <si>
    <t>La infraestructura de transporte urbana y peri_x0002_urbana incorpora lineamientos de gestión del ries_x0002_go y cambio climático e implementa soluciones basadas en la naturaleza (SbN) en sitios críticos para reducir los daños y pérdidas por cambio climático y fenómenos meteorológicos extremo</t>
  </si>
  <si>
    <t>El 100 % de la infraestructura aeronáutica y aeroportuaria del país reduce el riesgo climátic</t>
  </si>
  <si>
    <t>Sistema de información robusto que in_x0002_corpore datos e información para la gestión del riesgo y la adaptación al cambio climáti_x0002_co en el 100 % de los modos de transpo</t>
  </si>
  <si>
    <t xml:space="preserve">Réhabilitation des infrastructures routières actuelles </t>
  </si>
  <si>
    <t>Un soutien au projet a été reçu pour créer un secteur des transports plus résilient au changement climatique</t>
  </si>
  <si>
    <t>Assistance conseil à l'ingénierie de conception de projets routiers et d'infrastructures en utilisant les directives climatiques des partenaires de développement</t>
  </si>
  <si>
    <t>Al 2030, se habrán desarrollado aplicaciones de lineamientos con criterios de adaptación, esfuerzos de articulación institucional y mejoras en la capacidad de respuesta, entre otros, que permitan garantizar la protección de la infraestructura y la continuidad de los servicios públicos vitales (salud, educación, agua y saneamiento, energía, transporte) ante eventos hidrometeorológicos extremos</t>
  </si>
  <si>
    <t>Construction of coastal and river defences; slope stabilisation; retrofitting houses, roads, bridges and critical infrastructure</t>
  </si>
  <si>
    <t>Resilience integrated into development and investment planning, supported by legislation, policies and regulations and enforcement mechanisms</t>
  </si>
  <si>
    <t>Centre of Excellence for Data in Resilience decision-making (refer to Well-Planned and Durable Infrastructure)</t>
  </si>
  <si>
    <t>Robust economy - Reduced economic losses due to disasters
&lt; 20 days post event until cruise ship returns by 2025
&lt; 3 months until critical trade infrastructure functions at pre-event levels by 2025
Ports and airports functioning within one week by 2030</t>
  </si>
  <si>
    <t>infraestructura urbana resiliente para reducir la exposición a los riesgos climáticos</t>
  </si>
  <si>
    <t>aumentar la resiliencia climática de la infraestructura de transporte (carreteras, puentes, viaductos, ferrocarriles, vías)</t>
  </si>
  <si>
    <t>adopción de códigos y estándares de resiliencia climática</t>
  </si>
  <si>
    <t>el acceso de la población rural a un sistema de carreteras resiliente al clima que tenga en cuenta las cuestiones sociales, de edad y de género</t>
  </si>
  <si>
    <t>Infrastructure as part of strategic plan for adaptation</t>
  </si>
  <si>
    <t xml:space="preserve">Review of the road network to determine potential areas vulnerable to flooding,
redirection of floodways away from roads, </t>
  </si>
  <si>
    <t xml:space="preserve">construction of obstructive dams to slow
down the flow of floods, protection and diversion dams to direct floods to the main
drainage basins, and construction of bridges over waterways to allow floodwater to
flow unimpeded. </t>
  </si>
  <si>
    <t>Develop a climate resilient Integrated Coastal Zone Management (ICZM) Plan for the
North Coast of Egypt that links land use development plans with the costly coastal
protection works over the next 10-15 years</t>
  </si>
  <si>
    <t xml:space="preserve">construction of obstructive dams to slow down the flow of floods, protection and diversion dams to direct floods to the main drainage basins, and construction of bridges over waterways to allow floodwater to flow unimpeded. </t>
  </si>
  <si>
    <t>Improve evidence base of climate change impacts on infrastructure to support decision making</t>
  </si>
  <si>
    <t>Build capacity at institutional level and community level for mainstreaming climate change into infrastructure</t>
  </si>
  <si>
    <t>Climate proof existing infrastructure, particularly critical infrastructure</t>
  </si>
  <si>
    <t>Build sustainable transport systems (non-motorised transport infrastructure) for resilience through enhanced access to mobility</t>
  </si>
  <si>
    <t xml:space="preserve">Increase climate resilient designs and safety standards for transport systems </t>
  </si>
  <si>
    <r>
      <t xml:space="preserve">The climate-resilient transport sector strategy also envisages the contributions of the transport sector to the resilient development pathway through the transport long-term strategies of building sustainable transport systems for resilience through enhanced access to mobility and increasing </t>
    </r>
    <r>
      <rPr>
        <b/>
        <sz val="11"/>
        <rFont val="Calibri"/>
        <family val="2"/>
        <scheme val="minor"/>
      </rPr>
      <t>climate-resilient designs</t>
    </r>
    <r>
      <rPr>
        <sz val="11"/>
        <rFont val="Calibri"/>
        <family val="2"/>
        <scheme val="minor"/>
      </rPr>
      <t xml:space="preserve"> and safety standards for transport systems.</t>
    </r>
  </si>
  <si>
    <r>
      <t xml:space="preserve">The climate-resilient transport sector strategy also envisages the contributions of the transport sector to the resilient development pathway through the transport long-term strategies of building sustainable transport systems for resilience through enhanced access to mobility and increasing climate-resilient designs and </t>
    </r>
    <r>
      <rPr>
        <b/>
        <sz val="11"/>
        <rFont val="Calibri"/>
        <family val="2"/>
        <scheme val="minor"/>
      </rPr>
      <t>safety standards for transport systems</t>
    </r>
    <r>
      <rPr>
        <sz val="11"/>
        <rFont val="Calibri"/>
        <family val="2"/>
        <scheme val="minor"/>
      </rPr>
      <t>.</t>
    </r>
  </si>
  <si>
    <t>conduct road inspections</t>
  </si>
  <si>
    <t>renew and upgrade road infrastructure to address current and future risks</t>
  </si>
  <si>
    <t>address the impacts of overloaded trucks on sealed road pavement and bridges and to enforce load restrictions</t>
  </si>
  <si>
    <t>work to renew and upgrade priority water crossings to withstand climate impacts.</t>
  </si>
  <si>
    <t>new or upgraded climate resilient jetties and landings and repairs and upgrades to lighthouses, beacons, and other navigation aids</t>
  </si>
  <si>
    <t>Smaller vessels and technology, such as WiG craft and dirigibles, also have potential to allow more direct access to communities and reduce reliance on vulnerable shoreside infrastructure.</t>
  </si>
  <si>
    <t xml:space="preserve">Adaptation Proposal:
Improved resilience of road networks under changing climate. </t>
  </si>
  <si>
    <t>Developing climate-resilient infrastructure, services and energy systems - addressing the associated need for climate-resilient roads</t>
  </si>
  <si>
    <t>Use of alternate energy operated motor vehicles, including cars and motorcycle</t>
  </si>
  <si>
    <t>Vehicle fuel efficiency standards</t>
  </si>
  <si>
    <t>Use of electric vehicles</t>
  </si>
  <si>
    <t>Introduction of vehicles using low emission fuel</t>
  </si>
  <si>
    <t>Vehicle emission testing</t>
  </si>
  <si>
    <t>Strengthen vehicle emission testing</t>
  </si>
  <si>
    <t>Strengthen public transport system</t>
  </si>
  <si>
    <t>Designated lane for public transport, bicycles, and pedestrians</t>
  </si>
  <si>
    <t>Encourage Car sharing mechanism</t>
  </si>
  <si>
    <t>The application of vehicle age limit for importation (maximum 10 years) in 2030</t>
  </si>
  <si>
    <t>City-wide resilient infrastructure planning</t>
  </si>
  <si>
    <t>City-wide resilient infrastructure planning.</t>
  </si>
  <si>
    <t xml:space="preserve">The long-term objectives embodied in the introduction of "climate proofing" in sectors of activity through outlets/introduction: […] Infrastructure (roads, bridges, houses, etc. </t>
  </si>
  <si>
    <t xml:space="preserve">Upgrading infrastructure and other assets to protect against flooding </t>
  </si>
  <si>
    <t>Integrating adaptation in infrastructure development and maintenance</t>
  </si>
  <si>
    <t>Increase compliance to carrying capacity related regulations in infrastructure development</t>
  </si>
  <si>
    <t xml:space="preserve">Promote development of climate proof cities.  </t>
  </si>
  <si>
    <t>Improving the efficiency of transportation, distribution and following modern technological methods that help adapt to rising temperatures.</t>
  </si>
  <si>
    <t xml:space="preserve">E_Notdefined </t>
  </si>
  <si>
    <t>Achieving balance and integration between different means of transport and making it an integrated system to maximize the volume of transport in Iraq and establish regulations governing it.</t>
  </si>
  <si>
    <t xml:space="preserve">Develop and provide mass public transport and infrastructure to avoid traffic congestion and improve living patterns, including providing railway lines to transport passengers, goods and equipment between provinces and improving their efficiency. </t>
  </si>
  <si>
    <t>E_Passenger, E_Freight</t>
  </si>
  <si>
    <t>Provide advanced transport technologies that are flexible and resilient to the negative effects of climate change.</t>
  </si>
  <si>
    <t>Seeking to develop airports, land, sea and river transport centers and to walk modern, environmentally friendly trains such as electric-powered trains.</t>
  </si>
  <si>
    <t>Supporting shipping and its importance by linking Iraq to the world and its impact on international trade and raising the standard of living of the individual.</t>
  </si>
  <si>
    <t>Conduct comprehensive studies to assess the impact of climate change  and rising temperatures on the transport  sector.</t>
  </si>
  <si>
    <t>The NAF (National Adaptation Framework) identifies 12 key sectors requiring sectoral adaptation plans, including Transport Infrastructure, that were approved by Government and published in October 2019</t>
  </si>
  <si>
    <t>It is necessary to make the transportation and logistics system more resilient to climate change risks so that transportation and logistics services as essential services will not be disrupted for a long time in the event of a disaster.</t>
  </si>
  <si>
    <t>E_Freight</t>
  </si>
  <si>
    <t>strengthen the initial response system of local transportation bureaus, etc., enhance proactive measures such as transportation disaster prevention management to promote the improvement of disaster response capabilities of transportation businesses.</t>
  </si>
  <si>
    <t>The Government will appropriately promote the control of human flow and logistics during disasters by deepening the planned suspension of railways and promoting the prevention of airport isolation and so on, in order to suppress traffic during disasters from the perspective of saving lives, etc</t>
  </si>
  <si>
    <t>The 2021-2030 Action Plan contains several measures linked to adaptation to climate change, […] development of sustainable transport</t>
  </si>
  <si>
    <t>Upscale the construction of roads to systematically harvest water and reduce flooding</t>
  </si>
  <si>
    <t>Enhance institutional capacities on climate proofing vulnerable road infrastructure through vulnerability assessments</t>
  </si>
  <si>
    <t>Climate proofing of infrastructure (energy, transport, buildings, ICT)</t>
  </si>
  <si>
    <t>Kenya will ensure enhanced resilience to climate change towards the attainment of Vision 2030 by mainstreaming climate change adaptation into the Medium Term Plans (MTPs) and implementing adaptation actions.</t>
  </si>
  <si>
    <t xml:space="preserve">Increasing the Resilience of Urban Development and Infrastructure to Climate Change </t>
  </si>
  <si>
    <t>Increase the resilience of urban development and infrastructure to climate change, including through the use of green infrastructure and nature-based solutions</t>
  </si>
  <si>
    <t>Promote ecosystem-based adaptation solutions for transport and urban development</t>
  </si>
  <si>
    <t>Enhance the resilience of the infrastructure, urban and rural areas to subsist climate-related disasters</t>
  </si>
  <si>
    <t>Implement and reinforce design standards and planning codes for roads and other infrastructure to cope with flooding, sea level rise and windstorm</t>
  </si>
  <si>
    <t>Strengthen early warning systems and evacuation planning for intense rainfall events and floods</t>
  </si>
  <si>
    <t>Install signs high above the ground that can alert pedestrians and motorists of unsafe zones, such as low-lying areas.</t>
  </si>
  <si>
    <t>Maintain and upgrade roads with appropriate drainage systems to cope with flooding</t>
  </si>
  <si>
    <t>Improve and enhance public transport services.</t>
  </si>
  <si>
    <t xml:space="preserve">Design and implement green-gray infrastructure approaches along 60% of Liberia’s highly vulnerable coastline by 2030 (Link to Transport sector) </t>
  </si>
  <si>
    <t>Continuation of road upgrading and construction: Risk mapping of climate stress vulnerability of transport infrastructure – future investment should be guided by such risk mapping</t>
  </si>
  <si>
    <t>Continuation of road upgrading and construction: Updating design and construction standards and materials to ensure that future infrastructure is more resilient to anticipated climate and extreme weather events.
Integration of climate change into infrastructure design practices</t>
  </si>
  <si>
    <t xml:space="preserve">Review of the institutional framework by 2025: Include in the sectoral strategies and policies at the national level climate adaptation strategies and policies. </t>
  </si>
  <si>
    <t>to increase the resilience of road transport infrastructure to temperature changes and flooding;</t>
  </si>
  <si>
    <t>to provide for climate-resilient municipal and sustainable mobility infrastructure, green spaces and other measures in spatial planning documents</t>
  </si>
  <si>
    <t>Promotion de pratiques résilientes, de la valorisation durable des ressources, et renforcement
de la protection des infrastructures littorales et côtier et les activités économiques</t>
  </si>
  <si>
    <t>Construct Infrastructure for flood control, transport etc.</t>
  </si>
  <si>
    <t>Integrating DRM risk assessment and monitoring in all sectors and programmes, including Risk reduction/early warning systems in public works, transport infrastructure.</t>
  </si>
  <si>
    <t>Revision of existing building standards to incorporate climate change considerations. Integrate flood risk management in the design and construction of public and private infrastructure: Passive cooling measures, Mini-piled underpinning, including pile and beam, cantilever pile caps and piled rafts; Raising roads, road re-alignment, pavements and adding additional drainage capacity; Realigning natural water courses etc.</t>
  </si>
  <si>
    <t>In managing future risks and potential loss from climate change, Malaysia is mainstreaming climate resilience into urban planning and development of infrastructures. This will include emphasising infrastructure integrity assessments and revisions of the existing manuals and guidelines.</t>
  </si>
  <si>
    <t xml:space="preserve">Enhancing the resilience and climate proofing of critical infrastructure such as airports, ports, powerhouses and other utilities etc.
</t>
  </si>
  <si>
    <t>Increase resiliency through better spatial planning and increased connectivity between the islands</t>
  </si>
  <si>
    <t>Strengthen the legislative framework by establishment of a National Planning Act and Physical Planning Act. The legislation will facilitate integration of climate change into development planning while considering the economies of scale for public services, land use planning and population consolidation</t>
  </si>
  <si>
    <t>coastal protection measure would be carried out to protect the shoreline of Hulhule (the Airport Island) as well as for other air and sea ports.</t>
  </si>
  <si>
    <t xml:space="preserve">Malé Commercial Port that handles more than 90 percent of the imported cargo. To increase the capacity and reduce the impacts of high winds and seas to the operation of the port, the commercial port would be relocated to a different island called Thilafushi. </t>
  </si>
  <si>
    <t>Study on green infrastructure in Malta</t>
  </si>
  <si>
    <t>Ongoing assessment to optimise flooding pathways and “emergency water ways”</t>
  </si>
  <si>
    <t>Modify standards for road materials to be able to cope with higher temperatures and extreme precipitation events</t>
  </si>
  <si>
    <t>Identify and screen critical risks and concerns for i) the aviation sector and airports; ii) maritime sector and ports</t>
  </si>
  <si>
    <t>Introduce maritime weather stations in ports to record trends of major parameters</t>
  </si>
  <si>
    <t>Identify high risk/vulnerability areas in Malta and apply appropriate treatment</t>
  </si>
  <si>
    <t>Protection of infrastructure will be enhanced against climate change calamities</t>
  </si>
  <si>
    <t>it is necessary to incorporate climate change criteria as part of its design, construction and throughout its useful life span, in order to reduce its vulnerability and increment its resilience.</t>
  </si>
  <si>
    <t>Other adaptation measures</t>
  </si>
  <si>
    <t>Incorporate adaptation criteria for public investment projects that include infrastructure construction and maintenance.</t>
  </si>
  <si>
    <t>Guarantee the security of dams and strategic hydraulic infrastructure, as well as communications and transportation strategic infrastructure.</t>
  </si>
  <si>
    <t>Transportation technologies that are resilient to the adverse effects of climate change in particular for roads and massive transportation</t>
  </si>
  <si>
    <t>Technologies for the protection of coastal and river infrastructure.</t>
  </si>
  <si>
    <t>Incorporar criterios de adaptación al cambio climático y gestión integral del riesgo de desastres en proyectos de inversión de infraestructura estratégica</t>
  </si>
  <si>
    <t>Incrementar la seguridad estructural y funcional de la infraestructura estratégica actual y por desarrollar ante eventos asociados al cambio climático</t>
  </si>
  <si>
    <t>Improving the capacity and resilience of the transport network and ports of entry is essential for building the country’s broader economic resilience to climate change and its impacts on global supply chains. The FSM is considering the use of battery powered land, sea, and air transportation powered by renewable energy</t>
  </si>
  <si>
    <t>Maintenance of public and commercial services during weather related emergencies</t>
  </si>
  <si>
    <t>Enhancement of emergency management and disaster response to extreme weather events, including improved delivery of essential supplies and services (e.g., food, water, medical, transportation)</t>
  </si>
  <si>
    <t>By 2030, update vessels and/or secure additional vessels for inter-state transportation and emergency
response operations</t>
  </si>
  <si>
    <t>Infrastructure &amp; transport: Adaptation activities in infrastructure to resist extreme heat or precipitation will also promote a modal shift towards a lower fossil fuel intensity inthe transport sector.</t>
  </si>
  <si>
    <t>Protecting coastal areas from rising sea levels in order to safeguard households, as well as industrial and urban infrastructure</t>
  </si>
  <si>
    <t>Develop resilient climate resilience mechanisms for infrastructures, urban areas and other human settlements and tourist and coastal zones</t>
  </si>
  <si>
    <t>Drafting and updating climate-robust planning and spatial planning instruments and strengthening their implementation</t>
  </si>
  <si>
    <t xml:space="preserve">Mapping of vulnerable infrastructure or infrastructure at risk according to the type of climatic phenomenon (floods, cyclones, sea level rise) </t>
  </si>
  <si>
    <t xml:space="preserve">Reformulation of building codes for transport, telecommunications, energy distribution, buildings, water and wastewater treatment infrastructures to make them climate resilient </t>
  </si>
  <si>
    <t>PROPOSED FUTURE ADAPTATION ACTIVITIES IN NAMIBIA’S BLUE ECONOMY: Improve climate-resilient engineering and building standards for infrastructure in housing, rail, transport, coastal, waste management, telecoms, refrigeration, and energy.</t>
  </si>
  <si>
    <t>Undertake a national study to define vulnerability of infrastructure and enable more informed decisions for planning adaptation</t>
  </si>
  <si>
    <t>Upgrade 100 km of roads usually flooded</t>
  </si>
  <si>
    <t>Build drains to evacuate rainwater and prevent flooding of roads</t>
  </si>
  <si>
    <t>Develop Master Land Use Plan for relocation of homes and critical infrastructure to Topside as part of Higher Ground Initiative</t>
  </si>
  <si>
    <t>Reducing Coastal Erosion 
Almost all homes and critical infrastructure in Nauru, including schools, the hospital, and the airport, are 
located along the low-lying coastal perimeter of the island, typically only a few meters above sea level, 
leaving them highly vulnerable to coastal flooding and storm surge. Coastal erosion, which is clearly 
visible in many locations around the island and appears to be accelerating, exacerbates this risk.</t>
  </si>
  <si>
    <t>Resilient Port Facility 
he new design comprises (i) a channel through which oceangoing ships can pass between the sea and the shore, (ii) a stable wharf with a turning berth, (iii) a breakwater to shelter the wharf and the berth from waves, and (iv) port buildings, container terminal, and port security provisions complying United Nation conventions. The project will also help reform port governance  and  build  the  capacity  of  the  Nauru  Port  Authority  to  ensure  financial,  economic,  and institutional sustainability</t>
  </si>
  <si>
    <t>Transporte: El Ministerio de Transportes e Infraestructuras con el apoyo de diversas instituciones financieras (BID, el Banco Mundial y el Fondo Nórdico para el Desarrollo) está implementado un conjunto de medidas para reducir la vulnerabilidad de la red de carreteras ante el cambio climático. Este es otro hito en el intento del MTI de integrar la adaptación al cambio climático desde la planificación.</t>
  </si>
  <si>
    <t>Este es otro hito en el intento del MTI de integrar la adaptación al cambio climático desde la planificación.</t>
  </si>
  <si>
    <t>Medidas para el desarrollo de infraestructuras y sistemas de drenaje en la ciudad capital y otras ciudades del pacífico de Nicaragua que son altamente vulnerables a inundaciones. El costo de estas inversiones es de aproximadamente 450 millones de dólares para la ciudad capital.</t>
  </si>
  <si>
    <t>increased protective margins in construction and placement of transportation and communications infrastructure (i.e. higher standards and specifications)</t>
  </si>
  <si>
    <t>Undertake risk assessment and risk reduction measures to increase the resilience of the transportation and communication sectors.</t>
  </si>
  <si>
    <t xml:space="preserve">
Strengthen existing transportation and communications infrastructure, in part through early efforts to identify and implement all possible ‘no regret’ actions.;</t>
  </si>
  <si>
    <t>Undertake risk assessment and risk reduction measures to increase the resilience of the transportation and communication sectors</t>
  </si>
  <si>
    <t>As part of its urban planning adaptation efforts, Oman is actively promoting the adoption of electric vehicles to reduce carbon emissions. The Minister of Energy and Minerals is leading an initiative to incentivize electric vehicle usage, in line with the Net Zero 2050 Agenda's annual target of 0.85 tons per capita carbon emissions. These measures include integrating self-driving electric vehicles and establishing charging infrastructure to lower Oman's urban carbon footprint.</t>
  </si>
  <si>
    <t>Develop urban transportation plans to reduce emissions and promote public transportation options. These efforts aim to reduce traffic congestion and improve air quality in urban areas.</t>
  </si>
  <si>
    <t>development and upgrade of state of the art integrated road network</t>
  </si>
  <si>
    <t>The Civil Aviation Authority performs accurate weather forecasting and employs advanced techniques to predict weather patterns and extreme events.</t>
  </si>
  <si>
    <t>Oman is working to ensure that its infrastructure; roads, buildings, communication systems, and more, can withstand extreme events. This includes designing structures that can endure flooding or cyclonic winds.</t>
  </si>
  <si>
    <t>Oman has invested in early warning systems that use satellite data and other technological tools to provide timely alerts to vulnerable communities.</t>
  </si>
  <si>
    <t>Building climate-resilient infrastructure with focus on improved and safe operation of water-related infrastructure and better management of transport operations and energy transmission, supported by innovations in urban planning for synergistic implementation of mitigation and adaptation actions</t>
  </si>
  <si>
    <t>Rehabilitation of resilient road infrastructure</t>
  </si>
  <si>
    <t>US$ 1.7 billion value of transport, building and utility infrastructure and assets is built and or rehabilitated according to climate-resilient codes and standards.</t>
  </si>
  <si>
    <t xml:space="preserve">five crosscutting areas, where action must be taken in order to address adaptation effectively, are identified: […] resilient infrastructure </t>
  </si>
  <si>
    <t>The State of Qatar has undertaken/planned several projects to enhance the overall infrastructure in 
the country with a strong focus on sustainability. Besides the sustainable stadiums being developed 
for the FIFA World Cup 2022, several other projects such as the Qatar integrated rail project, 
expressway program, roads and drainage program, development of sustainable residential complexes 
(Lusail city, Msheireb downtown), development of parking bays, inter alia hold key to Qatar’s plans 
of sustainable infrastructure development.</t>
  </si>
  <si>
    <t>resilient  urban  infrastructure  to  reduce  exposure  to  climate  risks;</t>
  </si>
  <si>
    <t xml:space="preserve"> increasing climate resilience of transport infrastructure (roads, bridges, viaducts, railways, tracks); </t>
  </si>
  <si>
    <t xml:space="preserve">adoption of climate resilience codes and standards; </t>
  </si>
  <si>
    <t>access of the rural population to a climate-resilient road system that takes into account social, age and gender issues.</t>
  </si>
  <si>
    <t>Provide training to decision-makers managing the construction of transport infrastructure on climate risk impacts</t>
  </si>
  <si>
    <t>Undertake periodic assessments of the level of resilience to climate change impact of the transport infrastructure</t>
  </si>
  <si>
    <t>Produce a research-analysis-assessment platform on climate change risks with impact on transport infrastructure, involving insurance companies;</t>
  </si>
  <si>
    <t>Communicate transport sector climate risks to the targeted audience and general pubic using georeferenced data on climate hazards, social and gender vulnerabilities, risk mapping covering different scenarios of threats, other tools.</t>
  </si>
  <si>
    <t>Carry out research on the design and development of advanced materials and technologies aimed at increasing the resistance of roads, railways, aerodromes, ports to climate hazards</t>
  </si>
  <si>
    <t>Adjust urban and land-use planning to future climate change-related risks for transport infrastructure (roads, bridges, railways, waterways, aerodromes)</t>
  </si>
  <si>
    <t>Promote funding schemes to support climate action that fit specific transport sector related needs, geographic area, other specifics.</t>
  </si>
  <si>
    <t>Implement adaptation measures to combat the effect of temperature variation: heat-tolerant streets  and  highways, landscape protection, heat-resilient paving materials; milling outruts; shifting construction schedules to cooler parts ofthe day; design for higher maximum temperatures in replacement or new construction; adaptation of cooling systems</t>
  </si>
  <si>
    <t>Promote and implement adaptation solutions for extreme precipitations such as climate-resilient paving materials and overlay with more rut-resilient asphalt; use of the most efficient technologies to assure sealing and renewal of asphalt concrete; wider use of efficient road maintenance methods, including preventive and corrective maintenance; improve flood protection; greater use of sensors for monitoring waterflows; upgrading of road drainage systems and improved collection and disposal of rainwater from the roads; pavement grooving and sloping; implement increased standards for drainage capacity for new transportation infrastructure and major rehabilitation projects;</t>
  </si>
  <si>
    <t>Identification and implementation of corporate management and advanced technological models for the management of transport infrastructure in response to the impact of climate change</t>
  </si>
  <si>
    <t>Purchase the necessary equipment for cleaning and  widening riverbeds, and the development of a system for navigation monitoring, etc</t>
  </si>
  <si>
    <t>Contribute to the development of a robust project pipeline for climate-smart infrastructure</t>
  </si>
  <si>
    <t>The adaptation measures to reduce losses/risks in Transport Sector are outlined as following:
1) In case of significant variations of temperatures, including heat waves:
b) greater use of heat-tolerant streets and highways landscape protection;
2) In case of increases in extreme precipitation events:
c) using the most efficient technologies to assure sealing and renewal of asphalt concrete (for example, those that combine impregnation and surface treatment of asphalt concrete and
which, respectively, assures the revitalisation and renewal of bituminous binder quality, reducing the fragility of the upper asphalt layer, increasing its elasticity and flexibility, and its resilience to water and chemicals);
h) upgrading of road drainage systems;
i) pavement grooving and sloping;</t>
  </si>
  <si>
    <t>The adaptation measures to reduce losses/risks in Transport Sector are outlined as following:
2) In case of increases in extreme precipitation events:
d) wider use of efficient road maintenance methods (preventive maintenance: include coatings, repairs, sealing by spraying cationic emulsions, crushed stone seals, sealing cracks with suspensions, etc.; corrective maintenance: include patching, repair of surface and surface treatments with sealants);</t>
  </si>
  <si>
    <t>The adaptation measures to reduce losses/risks in Transport Sector are outlined as following:
1) In case of significant variations of temperatures, including heat waves:
c) proper design/construction, milling out ruts;
e) designing for higher maximum temperatures in replacement or new construction;
2) In case of increases in extreme precipitation events:
j) increases in the standard for drainage capacity for new transportation infrastructure and major rehabilitation projects</t>
  </si>
  <si>
    <t>The adaptation measures to reduce losses/risks in Transport Sector are outlined as following:
1) In case of significant variations of temperatures, including heat waves:
d) shifting construction schedules to cooler parts of day;
f) adaptation of cooling systems.
2) In case of increases in extreme precipitation events:
f) improve flood protection;</t>
  </si>
  <si>
    <t>The adaptation measures to reduce losses/risks in Transport Sector are outlined as following:
2) In case of increases in extreme precipitation events:
g) greater use of sensors for monitoring water flows;
k) engineering solutions, increase warnings and updates to dispatch centres, crews and stations.</t>
  </si>
  <si>
    <t>The adaptation measures to reduce losses/risks in Transport Sector are outlined as following:
2) In case of increases in extreme precipitation events:
e) conduct risk assessments for all new roads;</t>
  </si>
  <si>
    <t>The adaptation measures to reduce losses/risks in Transport Sector are outlined as following:
1) In case of significant variations of temperatures, including heat waves:
a) develop new, heat-resilient paving materials;
b) greater use of heat-tolerant streets and highways landscape protection;
e) designing for higher maximum temperatures in replacement or new construction;
2) In case of increases in extreme precipitation events:
a) develop new, adverse climate conditions-resilient paving materials;
b) overlay with more rut-resilient asphalt;
c) using the most efficient technologies to assure sealing and renewal of asphalt concrete (for example, those that combine impregnation and surface treatment of asphalt concrete and
which, respectively, assures the revitalisation and renewal of bituminous binder quality, reducing the fragility of the upper asphalt layer, increasing its elasticity and flexibility, and its resilience to water and chemicals);</t>
  </si>
  <si>
    <t>Improved transport infrastructure and services</t>
  </si>
  <si>
    <t>Environmental and engineering guidelines developed (for climate resilient road infrastructure)</t>
  </si>
  <si>
    <t>Reduction of length of roads vulnerable to flood and landslides</t>
  </si>
  <si>
    <t>Disaster risk monitoring</t>
  </si>
  <si>
    <t xml:space="preserve"> disaster response plans</t>
  </si>
  <si>
    <t>Institutional capacity building and development for cross-sector NDC implementation</t>
  </si>
  <si>
    <t>Establish an integrated early warning system</t>
  </si>
  <si>
    <t>Increase of climate resilience by creating affordable, reliable and accessible transport services to the community.</t>
  </si>
  <si>
    <t xml:space="preserve">Specific risk and vulnerability assessments are key for better planning and implementation of relevant adaptation actions. In addition to the countrywide vulnerability index that was completed recently, Rwanda will conduct risk assessments and initiate vulnerability mapping to develop effective disaster management systems. Risk assessments will be conducted and completed countrywide by 2030. </t>
  </si>
  <si>
    <t xml:space="preserve">In addition to existing disaster management initiatives mainly focusing on preparedness, assessment, mitigation and disaster reduction, Rwanda will establish and early warning system in order to prevent the impact of natural climate disasters on humans. </t>
  </si>
  <si>
    <t>Rwanda will also improve its capacity in disaster preparedness and mobilization and distribution of relief to populations affected by specific disaster events</t>
  </si>
  <si>
    <t xml:space="preserve">Develop and implement national land development policy </t>
  </si>
  <si>
    <t xml:space="preserve">Protect key natural and built assets in low-lying areas </t>
  </si>
  <si>
    <t>Retrofit public buildings and infrastructure with climate-smart technology</t>
  </si>
  <si>
    <t xml:space="preserve">Strengthening of infrastructure, equipment, and sustainable techniques: 
- Adoption of fiberglass boats over traditional wooden boats; </t>
  </si>
  <si>
    <t>Collaboration on […] transportation technologies that are resilient to the adverse effects of climate change while reducing and/or capturing transportation-related emissions</t>
  </si>
  <si>
    <t>Improvement of the system for observation, data collection and early warning systems</t>
  </si>
  <si>
    <t>Climate change adaptation needs mainstreamed into all sectors with critical infrastructure</t>
  </si>
  <si>
    <t>Seychelles plans to develop a comprehensive road transport strategy to reduce vehicular congestion and fuel consumption with co-benefits for climate change mitigation and health. The strategy will include infrastructure development for bicycles and expansion of public walkways to encourage walking and cycling in selected areas. These actions will be complemented with a review of urban development in Victoria, the need to divert vehicular traffic from the city centre and adapting nature-based solutions to keeping urban areas cool.</t>
  </si>
  <si>
    <t>Undertake the risk assessment of existing and future road networks and construction of retaining walls and drains are important adaptation actions, which need to be further developed and implemented in collaboration with key partners.</t>
  </si>
  <si>
    <t>Develop a Port Development Master Plan, which caters for growth and integrate climate change considerations.</t>
  </si>
  <si>
    <t>Designing and improvement of provincial and feeder roads using Climate resilient surfacing materials.</t>
  </si>
  <si>
    <t>Support the construction of appropriate roads particularly feeder roads in the rural areas as a climate resilience strategy</t>
  </si>
  <si>
    <t>These coastal protection plans may include a combination of conventional engineering technologies such as sea walls, tidal gates, pumping stations as well as nature-based solutions.</t>
  </si>
  <si>
    <t>CCRS has set aside S$10 million for a National Sea Level Research Programme to develop more robust projections of sea level rise and improve our knowledge on how rising sea levels will affect Singapore.</t>
  </si>
  <si>
    <t>We have raised the minimum platform levels for new developments from 3m to 4m above the Singapore Height Datum (SHD) since 2011.</t>
  </si>
  <si>
    <t>Presently, critical infrastructure on existing coastal land, notably Changi Airport Terminal 5 and Tuas Port, will be constructed with platform levels at least 5m above SHD.</t>
  </si>
  <si>
    <t>Low-lying roads near coastal areas such as Changi have also been raised to protect them from rising sea levels.</t>
  </si>
  <si>
    <t xml:space="preserve">All road and rail structures also undergo regular inspections by registered professional engineers. </t>
  </si>
  <si>
    <t>To protect critical transport infrastructure from flood risks, flood barriers have been installed at subway stations that may be affected, with ongoing work to do so for the remaining ones.</t>
  </si>
  <si>
    <t xml:space="preserve">climate proofing infrastructure </t>
  </si>
  <si>
    <t>Establish road infrastructure networks and drainage systems. Maintain and upgrade roads and other infrastructure with appropriate drainage systems to cope with flooding</t>
  </si>
  <si>
    <t>Ensure the development and deployment of climate-resilient infrastructure that enhance water and energy security.</t>
  </si>
  <si>
    <t>Integration of climate information into infrastructure development planning.</t>
  </si>
  <si>
    <t>South Africa should ensure that climate-proof of all new infrastructure development projects and facilities retrofitting of old infrastructure to achieve climate-resilient society.</t>
  </si>
  <si>
    <t>Strategic infrastructure–including communications, transport, tourism, energy, sanitation, water and waste management–is vulnerable to the effects of climate change. Therefore, it is necessary to incorporate climate change criteria as part of its design, construction and throughout its useful life span, in order to reduce its vulnerability and increase its resilience.</t>
  </si>
  <si>
    <t>At the institutional and policy level, there is a need to coordinate climate change actions and mainstream  climate change concerns into all sectors through capacity building and the development of policies, strategies and action plans to adapt to climate change.</t>
  </si>
  <si>
    <t xml:space="preserve">To support decision-making for climate change adaptation, South Sudan will implement actions to assemble, analyze, predict and disseminate climate information through improve climate monitoring and data management systems. </t>
  </si>
  <si>
    <t>Based on this, the relevant data and information will be used to develop early warning systems and inform appropriate responses to extreme climatic events.</t>
  </si>
  <si>
    <t xml:space="preserve">Technology transfer needed: Transportation technologies that are resilient to the adverse effects of climate change in particular for roads and large-scale transportation of goods. Technologies for the protection of infrastructure, particularly infrastructure in flood-prone areas </t>
  </si>
  <si>
    <t>flood protection, improving the road and drainage infrastructure</t>
  </si>
  <si>
    <t>Revising design criteria to make future infrastructure more resilient to climate change;</t>
  </si>
  <si>
    <t xml:space="preserve">Parallel to the retreat of glaciers, the perma-nently frozen subsoil (permafrost) in the high mountains also continues to thaw. More frequent mountain and rock falls as well as debris slides that can endanger transport links,infrastructure and human life in the high mountains are a result of this. Already today, large investments are necessary to secure infrastructures at higher elevations. </t>
  </si>
  <si>
    <t>protection of coastal infrastructure, such as roads, buildings, port</t>
  </si>
  <si>
    <t xml:space="preserve">The reduction of vulnerability to the impacts of climate change by means of full-scale integration of the climate resilience and adaptation measures into the planning and development of the green infrastructure in the following sectors: transport and housing infrastructures </t>
  </si>
  <si>
    <t>improving the protection and long-term maintenance of transport infrastructure;</t>
  </si>
  <si>
    <t>updating national building codes for the construction of bridges;</t>
  </si>
  <si>
    <t>providing support to improve infrastructure and access roads in the country, in particular in hazardous and vulnerable areas;</t>
  </si>
  <si>
    <t>adapting rail, road, air and all modes of transport, including non-traditional and special modes of transport, to the requirements under international standards;</t>
  </si>
  <si>
    <t>promoting the implementation of incentives and regulations for fuel-efficient vehicles</t>
  </si>
  <si>
    <t>Improve physical infrastructure/civil engineering and natural vegetation methods to prevent landslides in hill sites, roads and river banks</t>
  </si>
  <si>
    <t>Integrate stormwater drainage infrastructure into urban road network</t>
  </si>
  <si>
    <t>maintenance regime to enhance longevity of infrastructure.</t>
  </si>
  <si>
    <t>The action requires the systematic integration of stormwater planning in the design and construction of roads and pavements in urban areas</t>
  </si>
  <si>
    <t>there is a need for more systematic monitoring and maintenance of transportation assets in Tongatapu and beyond</t>
  </si>
  <si>
    <t>Engager, en concertation avec les parties prenantes, des études prospectives sur les vulnérabilités, les coûts de l’inaction et les pistes d’adaptation des principales filières économiques vulnérables (tourisme, bâtiments/constructions, banques et finances, transports, énergie, numérique, etc.)</t>
  </si>
  <si>
    <t>Updating transport codes and regulations and implementing measures to ensure compliance with them</t>
  </si>
  <si>
    <t>Supplemented by coastal zoning and monitoring, urban masterplans that lay guidelines for operation and maintenance of existing infrastructure, and design and construction of planned infrastructure, are serving as a foundation for effective adaptation plans for the UAE infrastructure sector.</t>
  </si>
  <si>
    <t xml:space="preserve">Across the UAE, green building design and construction is being promoted, minimum requirements for protection of new coastal developments from sea level rise are being set, existing buildings and facilities are being refurbished, and flood monitoring and management systems are being enhanced. </t>
  </si>
  <si>
    <t xml:space="preserve">Public infrastructure is being continuously upgraded and enhanced to harness benefits of new technologies and practices. </t>
  </si>
  <si>
    <t>Fog detection and warning systems are in use, and efforts are being made to incorporate climate-induced hazards in road safety plans.</t>
  </si>
  <si>
    <t>Even while the UAE climate proofs its infrastructure and communities, relevant contingency and disaster response plans are being put in place to ensure preparedness for emergencies and to maintain continued access to infrastructure services.</t>
  </si>
  <si>
    <t>For example, the Abu Dhabi 2030 Urban Structure Framework Plan — currently being reviewed and updated to account for climate change impacts — sets out the vision for the future development of the capital and integrates environmental and social considerations into all the principles it establishes for the growth of the city. The plan recognises that reliable infrastructure is fundamental to fostering economic advancement and managing the transport of energy, water, and waste within the urban system, and is key to protecting the city’s urban and natural environment. Similarly, the Fujairah 2040 Plan — developed to account for a significant increase in population — is also focusing on enhancing housing and transportation facilities with road improvements, and the construction of water barriers, ports, and additional healthcare facilities.</t>
  </si>
  <si>
    <t>The emirate is also developing strategies to face increased temperatures. Ras Al Khaimah has recently adopted Rafah, its first Sustainable Community Guidelines, for the design and construction of new infrastructure. Rafah specifies several design changes to public infrastructure aimed at improving livability and walkability of communities, while also mitigating the urban heat island effect through greenery, shading over walkways, and materials with high reflectivity.</t>
  </si>
  <si>
    <t>Promoting climate proofing of existing and new critical infrastructure for energy, transport, water supply, health, and other relevant sectors</t>
  </si>
  <si>
    <t>Promoting the use of climate service during the designing and development of new infrastructure.</t>
  </si>
  <si>
    <t>Mainstreaming of climate change in the engineering and architecture curricula</t>
  </si>
  <si>
    <t>Strengthening early warning system and weather forecasting and dissemination infrastructure.</t>
  </si>
  <si>
    <t>Al 2030 se han incorporado parámetros con la dimensión de adaptación al cambio y variabilidad climática en los cuerpos normativos departamentales, en referencia al diseño, construcción y mantenimiento de viviendas, infraestructuras y equipamientos, considerando las particularidades territoriales.</t>
  </si>
  <si>
    <t>Vanuatu commits to assessing, for all new government infrastructure investments, the “Resilience of Project Assets to Climate Change and Natural Disaster Risk”, and build to high climate change and disaster risk reduction standards, with backup, failover, low vulnerability location, etc.</t>
  </si>
  <si>
    <t>Vanuatu commits to ensuring that the design and construction of public and other major infrastructure and development projects consider current and projected risks to minimise loss and damage, especially by developing and adhering to climate-proofed building codes, environmental impact assessments, regulations and development guidelines.</t>
  </si>
  <si>
    <t>Upgrading transport facilities in areas with high disaster risk and vulnerability to climate change; developing and completing the expressway network and the inter-regional transport system</t>
  </si>
  <si>
    <t>building and upgrading the anchorage area for ships and boats to avoid storms</t>
  </si>
  <si>
    <t>Improve monitoring systems for infrastructure at all administrative levels</t>
  </si>
  <si>
    <t>provide the means and incentives for new infrastructure to be planned, designed, built and operated while accounting for future climate change, including extreme-weather events (applied to roads)</t>
  </si>
  <si>
    <t>facilitate retro-fitting of previously built infrastructure to ensure it is resilient to future climate events (applied to roads)</t>
  </si>
  <si>
    <t>Se promueve la formación especializada e investigación en el campo de mitigación y
adaptación al cambio climático, focalizados en el contexto de Guinea Ecuatorial. Se facilita la
creación y promoción de grados y postgrados universitarios relacionados con el cambio
climático, se fomenta la atracción de talento técnico y de comunicación, así como la
cooperación internacional en investigación.</t>
  </si>
  <si>
    <t>Strengthening existing transportation and communications infrastructure for climate-resilience</t>
  </si>
  <si>
    <t>Provision of diverse transportation options, such as pedestrian, bicycle, and transit routes</t>
  </si>
  <si>
    <t>E_Pedestrian</t>
  </si>
  <si>
    <t>Mainstream adaptation into transport planning, decision-making and implementation</t>
  </si>
  <si>
    <t>Improved public and private-sector investment in climate-proofed and climate-resilient transport infrastructure</t>
  </si>
  <si>
    <t>Diversification of transport modes with appropriate adaptive capacities</t>
  </si>
  <si>
    <t>Include increased protective margins in the construction and
placement of transportation infrastructure (i.e., higher standards and
specifications for greener technology)</t>
  </si>
  <si>
    <t>Undertake risk assessment and risk reduction measures to increase
the resilience of the transportation and communication sectors.</t>
  </si>
  <si>
    <t>To expand climate-resilient infrastructure, the UAE is promoting the design and construction of green buildings and the refurbishment of existing ones. The country is working on a comprehensive roadmap that covers all aspects of the urban environment, including sustainability guidelines for buildings and roads.</t>
  </si>
  <si>
    <t>The UAE is also investing in R&amp;D projects for climate resilient construction materials, such as
pavement and concrete, and developing infrastructure proofed against sea-level rise.</t>
  </si>
  <si>
    <t>Recognizing the vulnerability of the coastline and the projected increase in sea levels due to climate
change, the UAE is taking proactive measures to address the potential impacts of sea level rise on coastal infrastructure. In collaboration with New York University - Abu Dhabi, the Ministry of Energy and Infrastructure is conducting a comprehensive study to safeguard the coastal regions. This initiative focuses on developing sophisticated models to assess hydrodynamic interactions along the UAE coastline, identifying critical areas at risk, and proposing optimal solutions for various scenarios. By measuring the economic and environmental impacts of sea level rise, the study equips decision-makers with the tools to build adaptive and resilient infrastructure.</t>
  </si>
  <si>
    <t>Similarly, the UAE has launched a ground-breaking project, the Dam Flood Alert System, which is the first of its kind in the Middle East. This system is designed to predict dam floods by monitoring rainwater flow through specialized cameras installed in key valleys and connected to the Federal Infrastructure Control Room. These cameras continuously monitor rainwater flow, analyse the data, predict the likely timing of flooding, and send warning notifications to the specialized entities.</t>
  </si>
  <si>
    <t>the UAE is considering developing design specifications for environmentally friendly concrete pavement surfaces. These specifications aim to reduce surface temperatures at night and mitigate rainwater drainage issues, contributing to infrastructure resilience against climate impacts. Recognizing the recent frequent heavy rains and subsequent floods, an ongoing hydrological study in 22 basins across the northern and eastern coasts is being considered to reduce flood risks and maximize the benefits of rainwater. These studies would support the development of various surface water projects, including dams, channels, dikes, and breakers, to enhance water recharge and flood management.</t>
  </si>
  <si>
    <t>Transport Infrastructure Resilience</t>
  </si>
  <si>
    <t>the Fujairah 2040 Plan — developed to account for a significant increase in population — is also
focusing on enhancing housing and transportation facilities with road improvements, and the construction
of water barriers, ports, and additional healthcare facilities.</t>
  </si>
  <si>
    <t xml:space="preserve">as Al Khaimah has recently adopted Rafah, its first Sustainable Community Guidelines, for the design and construction of new infrastructure. Rafah specifies several design changes to public infrastructure aimed at improving liveability and walkability of communities, while also mitigating the urban heat island effect through greenery, shading over walkways, and materials with high reflectivity. These measures are expected to improve outdoor thermal comfort of residents. </t>
  </si>
  <si>
    <t>47/48</t>
  </si>
  <si>
    <t>Brazil will disseminate knowledge and decision-making related to climate adaptation through the AdaptaBrasil platform, which plays a key role in analyzing increasingly integrated and up-to-date information on climate and climate risks. AdaptaBrasil already has eight strategic sectors available (Water Resources, Food Security, Energy Security, Health, Port Infrastructure, Geo-hydrological Disasters, Railway Infrastructure and Road Infrastructure) and three under development (Biodiversity, Indigenous Peoples and Coastal Zones), with present and future climate risk analyses covering risk indicators and their dimensions (Threat, Vulnerability and Exposure) also at sub-national level.</t>
  </si>
  <si>
    <t>After concluding the National Adaptation and Mitigation Strategies, Brazil will elaborate specific sectorial plans (16 for adaptation and 7 for mitigation), together with cross-cutting plans, which are intended to be finalized around the mid 2025. These plans will include sector-by-sector contributions to national efforts towards the implementation of Brazil’s 2035 NDC target. Sectorial plans will also include detailed action plans and necessary means of implementation. As with the national climate strategies, the sectorial plans will be elaborated in a highly participatory manner. [(viii) transportation]</t>
  </si>
  <si>
    <t>11/12</t>
  </si>
  <si>
    <t>Use of building materials that withstand extreme climate events</t>
  </si>
  <si>
    <t>Improve design to enhance infrastructure resistance to climate extremes</t>
  </si>
  <si>
    <t>Adhere to engineering maintenance</t>
  </si>
  <si>
    <t>Timely inspection and maintenance of infrastructure</t>
  </si>
  <si>
    <t>Infrastructure investment in improving resilience to climate change of roads can mitigate the impact of extreme precipitation and floods, while shorter transit time due road quality can reduce transport costs.</t>
  </si>
  <si>
    <t>Planning and implementation of climate adaptation for low-carbon development will be institutionalized, which includes expansion of the control of government organizations and establishment of mechanisms for financing adaptation as part of national planning and budgeting processes.</t>
  </si>
  <si>
    <t>The system to collect and distribute relevant and accessible climate data, including data on physical and economic damages due to climate change, will be improved. The data collection system will enable the assessment of risks and vulnerabilities in different sectors and facilitate decision-making at different levels.</t>
  </si>
  <si>
    <t>Enhancing the Resilience of Critical Infrastructures
In line with climate projections, critical transportation infrastructures in our country will be prioritized based on their exposure level, usage intensity, and regional characteristics. Technological advancements and engineering solutions will be implemented to enhance their preparedness and resilience against climate change hazards. The design criteria and technical specifications that these infrastructures must comply with will be updated according to additional loads and capacity needs arising from climate change.</t>
  </si>
  <si>
    <t>Resilience against floods and inundations caused by heavy rainfall, which most affect railways, will be increased. Protective barriers and embankments will be constructed where necessary on high-speed trains (HST) and conventional high-speed lines based on future climate projections. In the maritime sector, measures will be taken against risks such as flooding, inundation, strong winds, and storms at ports, considering usage intensity or vulnerability.</t>
  </si>
  <si>
    <t>Evaluations will be conducted on the technical equipment of vehicles used in domestic and international ferry services to enhance climate resilience. Infrastructure measures will also be implemented at airports to protect against risks related to heavy rainfall, winds, and storms.</t>
  </si>
  <si>
    <t>The resilience of urban transportation infrastructures will be improved. To this end, additional structural elements will be constructed at river crossings for vehicles and pedestrian paths to address the risk of heavy rainfall, and drainage pumps will be installed at multi-level intersections. Drainage systems on roadways will be enhanced, and the use of materials resilient to heatwaves will be encouraged to bolster the resilience of urban transportation infrastructures. In coastal cities, protective barriers and embankments will be implemented to safeguard roads from storm surges and sea waves. Additionally, urban rail systems such as metros, light rail, and trams will be made resilient to all effects of climate change.</t>
  </si>
  <si>
    <t>65/66</t>
  </si>
  <si>
    <t>Charging stations for electric vehicles will also be adapted to withstand the impacts of climate change as part of the transition to sustainable and clean energy</t>
  </si>
  <si>
    <t>Protective measures will be implemented against risks such as landslides, avalanches, rockfalls, erosion of road fill materials, and damage to tunnel entrances to enhance the safety of roads against extreme weather events. This will involve establishing barriers and net systems against mass movements, strengthening road infrastructure, and using materials that are resistant to wear. Furthermore, reinforcement works will be carried out at tunnel entrances to prevent potential damages, and drainage systems in these areas will be improved.</t>
  </si>
  <si>
    <t>Reducing Vulnerability Levels to Ensure Transportation and Passenger Safety
To reduce the vulnerability levels of passengers and transportation activities by mitigating the effects of climate hazards, various engineering measures, along with nature-based "green" solutions, will be implemented to ensure passenger safety and provide uninterrupted services in transportation.</t>
  </si>
  <si>
    <t>In urban settlements, permeable paving materials will be used on the hard surfaces of roads, sidewalks, squares, and parking areas, provided they do not adversely affect road stabilization conditions.</t>
  </si>
  <si>
    <t>To protect against heatwaves, tree-lined and sheltered pathways will be constructed for vehicles, pedestrians, and cyclists. Safe and shaded areas will be created at intersections and crossings where cyclists and pedestrians can wait, as well as at public transport stops, utilizing materials that incorporate natural landscape elements and green roof features.</t>
  </si>
  <si>
    <t>Improving Accessibility and Evacuation Options in Disasters and Emergencies, and Enhancing Response Capacity
To enhance disaster and emergency management and response capacity during climate change-related disasters, a flexible transportation system will be developed, providing infrastructure for various modes of transport, along with the implementation of multimodal transportation.
By improving the diversity of transport modes and intermodal integration opportunities in urban areas, the capacity for intervention and evacuation in emergencies will be increased, making emergency traffic management more effective and efficient</t>
  </si>
  <si>
    <t>Transportation infrastructure will be made suitable for the evacuation of vulnerable groups (such as people with disabilities, the elderly, children, and pregnant women), and early warning systems will be designed to be comprehensible to all user groups. Particularly in the face of climate hazards such as heatwaves, rail systems that offer relatively healthier transportation options and a high level of service will be planned and implemented, supported by urban transport demand forecasts.</t>
  </si>
  <si>
    <t>In addition to rail systems, dedicated bus lanes and bus corridors will be promoted as quick and effective alternatives in urban transportation during emergencies. Bicycle transportation infrastructure will be developed and integrated with public transport in all cities, while also ensuring the integration of private vehicles with public transport.</t>
  </si>
  <si>
    <t>In coastal settlements, alternatives for maritime transportation will be developed as part of urban transportation. Maritime transport will be integrated with terrestrial public transport systems and micromobility options, such as bicycles and e-scooters</t>
  </si>
  <si>
    <t>Taking transportation and communication infrastructure into account, early warning and information systems for climate hazards will be developed. Long-term (15-day), medium-term (weekly), and short-term (daily/hourly) weather forecasts will be differentiated to create early warning and information systems for all types of climate hazards.</t>
  </si>
  <si>
    <t>As part of enhancing early warning capacity, the deployment of wind and other climate sensors along critical transportation routes will be ensured.</t>
  </si>
  <si>
    <t>Smart City Applications and Intelligent Transportation Systems will also serve as important tools for early warning and information. Applications related to travel routes and options will be developed to include climate hazards and emergency information, featuring functionalities to direct travel requests accordingly.</t>
  </si>
  <si>
    <t xml:space="preserve">Strengthening transportation networks through improved drainage systems and climate-proofing coastal roads is also a key focus. </t>
  </si>
  <si>
    <t>Flood management systems, including early warning mechanisms and flood defences, are critical to reducing risks in urban centres like the capital city of Castries.</t>
  </si>
  <si>
    <t>Aumento del uso de la refrigeración así cómo variación del rendimiento de las baterías de los vehículos eléctricos e híbridos</t>
  </si>
  <si>
    <t>Climate resilient infrastructure standards developed and adopted</t>
  </si>
  <si>
    <t>Design standards and updates</t>
  </si>
  <si>
    <t>Strengthen standards to climate proof roads and critical public infrastructure</t>
  </si>
  <si>
    <t>Improve infrastructure for flood controls and minimize flooding impacts on communities - design standards and explanatory notes for bridges, culverts, and low-level structures</t>
  </si>
  <si>
    <t>20/21</t>
  </si>
  <si>
    <t>Improve integrated risk (multi-hazard) assessment and vulnerability mapping for response planning</t>
  </si>
  <si>
    <t>Strengthening Climate Services in Lesotho for Climate Resilient Development and Adaptation to Climate Change (EWS II) aiming at expanding the coverage area and reach more communities</t>
  </si>
  <si>
    <t>As we take action to reduce emissions, we also seek opportunities to make energy and transportation systems, our communities, and buildings more resilient to climate change, supporting our target for Yukon to be resilient to the impacts of climate change by 2030.</t>
  </si>
  <si>
    <t>Furthermore, critical infrastructure such as public utilities, healthcare facilities, telecommunication and transport systems are exposed to coastal hazards and extreme events, requiring additional investments to climate-proof such infrastructure and facilities.</t>
  </si>
  <si>
    <t>Enhance the resilience and climate-proofing of critical infrastructure such as airports, ports, powerhouses, and utilities to better withstand extreme weather events and sea level rise caused by climate change.</t>
  </si>
  <si>
    <t>Benefits</t>
  </si>
  <si>
    <t>This sheet contains information related to non-climate benefits of transport-related measures and mentions of SDG targets related to transport that are included in the respective documents</t>
  </si>
  <si>
    <t>Type of benefit</t>
  </si>
  <si>
    <t>GHG total</t>
  </si>
  <si>
    <t>GHG transport</t>
  </si>
  <si>
    <t>Air pollution reduction</t>
  </si>
  <si>
    <t>This reduction in GHG emissions is accompanied by an improvement in air quality, especially with the reduction of NO2 levels, with values 70% lower than usual. A</t>
  </si>
  <si>
    <t>B_Airpollution</t>
  </si>
  <si>
    <t>Better social inclusion</t>
  </si>
  <si>
    <t>Contribuye al abordaje de distintos componentes de la gestión del riesgo climático: la reducción de inequidades y desigualdades socioeconómicas, incluidas las de género;</t>
  </si>
  <si>
    <t>B_Social</t>
  </si>
  <si>
    <t>Road safety improvements</t>
  </si>
  <si>
    <t>la seguridad en la navegabilidad ante el aumento en las alturas de marea y los cambios en las condiciones oceánicas; - la seguridad en la navegabilidad por la alta frecuencia de precipitaciones extremas e inundaciones que generan caudales altos en los ríos; y - la seguridad en la navegabilidad por eventos de sequía y por el retroceso de caudales medios en ríos de la Cuenca del Plata.</t>
  </si>
  <si>
    <t>B_Safety</t>
  </si>
  <si>
    <t>Improved accessibility</t>
  </si>
  <si>
    <t>La resiliencia y sostenibilidad de las infraestructuras de transporte permite una mayor accesibilidad al territorio con menores recorridos, menos interrupciones de la llegada justo a tiempo de mercancías y pasajeros, a la vez que reducen la intensidad de emisiones por unidad transportada</t>
  </si>
  <si>
    <t>B_Access</t>
  </si>
  <si>
    <t>Economic benefits</t>
  </si>
  <si>
    <t>implica la reducción de diferencias socioeconómicas estructurales y la mejora de la calidad de vida</t>
  </si>
  <si>
    <t>B_Econ</t>
  </si>
  <si>
    <t>Health Benefits</t>
  </si>
  <si>
    <t>The positive effects that active mobility has on health are also important in this context, and are economically relevant. The transformation of the mobility system will lead to the increased use of active mobility forms (walking and bicycling). This will reduce the number of sick days of people, and will increase their life expectancy.</t>
  </si>
  <si>
    <t>B_Health</t>
  </si>
  <si>
    <t>Congestion reduction</t>
  </si>
  <si>
    <t>Elimination of traffic jams due to the construction of road junctions</t>
  </si>
  <si>
    <t>B_Congestion</t>
  </si>
  <si>
    <t xml:space="preserve">Co-benefits will include reduced congestion, improved air quality and improved traffic safety. </t>
  </si>
  <si>
    <t>A more efficient, reliable, affordable and resilient transportation system represents a substantial commitment to climate action with important impacts for the entire Barbadian economy, improving its competitiveness and productivity, reducing costs, and impacting the achievement of the Sustainable Development Goals.</t>
  </si>
  <si>
    <t>SDG referenced in NDC transport measures</t>
  </si>
  <si>
    <t>SDG 7, SDG 11, SDG 11, SDG 13</t>
  </si>
  <si>
    <t>B_SDG</t>
  </si>
  <si>
    <t>Likewise, many of the proposed actions in the waste, transport and electricity sectors are expected to produce additional adaptation co-benefits such as reduced water and air pollution.</t>
  </si>
  <si>
    <t>Strenghtening  air-pollution measuring stations</t>
  </si>
  <si>
    <t>SDG 7, SDG 8, SDG 9, SDG 11, SDG 12, SDG 13</t>
  </si>
  <si>
    <t>SDG 5, SDG 9, SDG 11, SDG 13</t>
  </si>
  <si>
    <t>xv</t>
  </si>
  <si>
    <t>la baisse des émissions de GES dans le secteur des transports à long terme, entraînant une amélioration de la santé des populations (maladies liées à la pollution réduites)</t>
  </si>
  <si>
    <t>xiii</t>
  </si>
  <si>
    <t>l’économie de temps des voyages au profit des activités économiques ou aux loisirs ; la création d’emplois temporaires et permanents</t>
  </si>
  <si>
    <t>la diminution du nombre de sinistrés des inondations</t>
  </si>
  <si>
    <t>Cobenefits of renewable energy: It makes it possible to mitigate the pollution generated by the use of fossil fuels in transportation and electricity production</t>
  </si>
  <si>
    <t>Mitigation priority actions, including energy, waste, and transport, all have linkages to gender equality and social inclusion and the potential to contribute to several gender-based indicators</t>
  </si>
  <si>
    <t xml:space="preserve">In the transport sector, women generally use public transport more than men. Ensuring safe, efficient and comfortable transport for women may increase their access to higher education centres, skills development centres and other resources in urban areas.  </t>
  </si>
  <si>
    <t xml:space="preserve">In relation to mitigation measure 'Enhance maintenance and inspection of vehicle ': Reduce traffic accident, injury and fatality  </t>
  </si>
  <si>
    <t xml:space="preserve">In relation to mitigation measure 'Enhance maintenance and inspection of vehicle ': Reduce air pollution </t>
  </si>
  <si>
    <t>SDG 3, SDG 5, SDG 8, SDG 9, SDG 13</t>
  </si>
  <si>
    <t>90 - 125</t>
  </si>
  <si>
    <t>The main wider benefits from energy and transportation relate to the health benefits from reduced pollution. Global studies provide some indications of the average national cost of pollution linked to emissions. When these are adjusted to reflect Cambodia’s per capita income, they suggest an average of $4.6 per tCO2e. Economic analysis uses this figure for power generation. Emissions from transportation are likely to have significantly higher health costs because people are much more exposed to concentrated levels of pollution.</t>
  </si>
  <si>
    <t>Public transportation benefits arise from reduced vehicle operation costs, and time savings among commuters on all modes of transportation due to
lower congestion.</t>
  </si>
  <si>
    <t>SDG 9</t>
  </si>
  <si>
    <t>62% of Canada’s black carbon emissions
arise from the Transportation sector.
In addition to being linked to climate
warming, black carbon emissions are
also a public health concern. Canada
continues to take complementary action
to reduce black carbon emissions.</t>
  </si>
  <si>
    <t>Investing in public transit, green infrastructure, social infrastructure, Canada’s trade and
transportation corridors, as well as rural and northern communities, will provide a strong
foundation for more inclusive and sustainable cities, and can also help to both address
greenhouse gas emissions and enhance resilience to the impacts of climate change.</t>
  </si>
  <si>
    <t>Transport mitigation target linked to SDG 7, SDG 8, SDG 9</t>
  </si>
  <si>
    <t>Black carbon target linked to SDG 3, SDG 11, SDG 13</t>
  </si>
  <si>
    <t>In addition, these (mitigation) actions have known concomitant benefits, in terms of reducing the levels of local atmospheric pollution in urban centers.</t>
  </si>
  <si>
    <t>SDG 5, SDG 8, SDG 12, SDG 13</t>
  </si>
  <si>
    <t>En termes de transport, de nombreux projets sont prévus, qu’il s’agisse de projets d’infrastructures, le développement de services de transport en commun (notamment à Brazzaville et Pointe-Noire), pour lutter contre la congestion ou des évolutions de la législation.</t>
  </si>
  <si>
    <t>SDG 1, SDG 3, SDG 4, SDG 5, SDG 8, SDG 9, SDG 10, SDG 11, SDG 12, SDG 13, SDG 17</t>
  </si>
  <si>
    <t>Public Transportation Integration and Decongestion prioritized</t>
  </si>
  <si>
    <t>In the fuel and motor vehicle import sectors, employment impacts will depend on the pace at which electric cars will enter the market and on whether public transport will replace car mobility. People employed in sectors such as fuel stations and maintenance of vehicles may need to be employed in other similar activities that are expected to grow, such as operation and maintenance of public transport systems and electric vehicles.</t>
  </si>
  <si>
    <t>El PAGCC contempla objetivos, acciones e indicadores para nueve sectores priorizados: energía + transporte + infraestructura, agricultura y seguridad alimentaria, residuos, forestal, agua, salud, costero marino, turismo y gestión de riesgo.</t>
  </si>
  <si>
    <t>Con la publicación del Plan de la República Dominicana para el Desarrollo Económico Compatible con el Cambio Climático (DECCC-2011) se identificó que en caso de implementar los planes de acción de este instrumento de políticas públicas en los sectores identificados (energía, transporte y forestal), se proporcionarán beneficios de desarrollo, tales como la creación de más de 100,000 nuevos empleos fijos y la generación de un impacto económico de 2 mil millones de dólares por año en forma de ahorros provenientes de un menor consumo de electricidad y combustibles</t>
  </si>
  <si>
    <t>SDG 11</t>
  </si>
  <si>
    <t>SDG 6, SDG 7, SDG 9, SDG 11, SDG 12, SDG 13</t>
  </si>
  <si>
    <t xml:space="preserve">A combination of decarbonised, decentralised and digitalised power, more efficient and sustainable batteries, highly efficient electric powertrains, connectivity and autonomous driving offers prospects to decarbonise road transport with strong overall benefits including clean air, reduced noise, accident-free traffic, altogether generating major health benefits for citizens and the European economy. </t>
  </si>
  <si>
    <t>developments of public transport services (particularly in Libreville, to combat congestion)</t>
  </si>
  <si>
    <t xml:space="preserve">La opción para de vehículos eléctricos (T-5), presenta impactos positivos en costo respecto a la tendencia, gastos evitados en energía, cambio hacia combustibles locales, fortalecimiento de cadenas de suministro locales y generación de empleo. </t>
  </si>
  <si>
    <t>Otras opciones como la implementación del Plan de Movilidad Metropolitana  (U-2),  representa  un  incremento  en  costo  respecto  a  la  tendencia actual, aunque con impactos positivos al reducir la canti-dad de capital para importaciones, los gastos en energía, impulsan la generación de empleo y estimula las cadenas de suministro locales.</t>
  </si>
  <si>
    <t>SDG 5, SDG 7, SDG 8, SDG 12, SDG 13</t>
  </si>
  <si>
    <t>30, 33</t>
  </si>
  <si>
    <t>Fortalecimiento de las capacidades de las mujeres PIAH y jóvenes por medio de escuelas de campo de formación técnica y de modelos de negocio en el marco de movilidad eléctrica y tecnologías de energía renovables.
Estrategias de mitigación de sistemas de transporte urbano teniendo en cuenta las necesidades y acceso diferenciado de hombres y mujeres.
Establecimiento y reconocimiento de servicios de transporte bajos en emisiones que incorporen a las mujeres y reconozcan su valor agregado (p.ej., taxis rosas).</t>
  </si>
  <si>
    <t>15, 16</t>
  </si>
  <si>
    <t>SDG 7, SDG 8, SDG 9, SDG 13</t>
  </si>
  <si>
    <t>Adopting more effective and rapid electronic exchange of surveillance data for rapid intervention, and establish, with the relevant ministry(ies), access to real-time air quality monitoring data to establish the link between respiratory diseases and air pollution and climate change</t>
  </si>
  <si>
    <t>-</t>
  </si>
  <si>
    <t xml:space="preserve">In addition to a reduction in GHG emissions the activity (Implementation of transport focused NAMAs) will lead to a reduction in NOX and SOx emissions which will have significant co-benefits such as improvement in air quality which in turn will have positive impacts on human health. </t>
  </si>
  <si>
    <t>Convenient, fast, economically advantageous, environment-friendly vehicles, as well as safe transport connections among the countries and inside them are accessible to the society</t>
  </si>
  <si>
    <t>The public transport is co-modal64 and sustainable, thus successfully competing with the private transport. It has reduced traffic jams and GHG emissions generated by road transport, significantly improved air quality in cities and the attractiveness of urban environment.</t>
  </si>
  <si>
    <t xml:space="preserve"> générant ainsi des bienfaits pour la santé et des améliorations de la qualité de la vie des citoyens.</t>
  </si>
  <si>
    <t>Les efforts à consentir seront très substantiels, mais apporteront également d’importants avantages supplémentaires comme une meilleure qualité de l’air, une réduction de la congestion routière</t>
  </si>
  <si>
    <t xml:space="preserve">Les efforts à consentir seront très substantiels, mais apporteront également d’importants avantages supplémentaires comme une meilleure qualité de l’air, </t>
  </si>
  <si>
    <r>
      <t xml:space="preserve">Les efforts à consentir seront très substantiels, mais apporteront également d’importants avantages supplémentaires comme </t>
    </r>
    <r>
      <rPr>
        <strike/>
        <sz val="11"/>
        <rFont val="Calibri"/>
        <family val="2"/>
        <scheme val="minor"/>
      </rPr>
      <t>(...)</t>
    </r>
    <r>
      <rPr>
        <sz val="11"/>
        <rFont val="Calibri"/>
        <family val="2"/>
        <scheme val="minor"/>
      </rPr>
      <t xml:space="preserve"> une réduction (...) du nombre d’accidents </t>
    </r>
  </si>
  <si>
    <t>Should this be on the mitigation tab? (mvg, 28.5.24)</t>
  </si>
  <si>
    <t>SDG 3, SDG 11, SDG 12, SDG 13</t>
  </si>
  <si>
    <t>SDG 3, SDG 7, SDG 11, SDG 13</t>
  </si>
  <si>
    <t>SDG 1, SDG 2, SDG 3, SDG 5, SDG 6, SDG 13</t>
  </si>
  <si>
    <t>Improved health and reduction of harmful local air pollutants, enhacing resilience of population to disease and adverse climate impacts</t>
  </si>
  <si>
    <t>Increased flexibility for employees  Travel time reductions for individuals and businesses  Improved travel for non_x0002_vehicle owners, enabling social and economic participation  Enhancing the efficiency of local components of the TEN-T network  Facilitated access to cultural sites and improved preservation as a result of lower traffic emissions</t>
  </si>
  <si>
    <t>Health benefits from reduced air and noise pollution, potentially lower traffic accidents and more regular exercising</t>
  </si>
  <si>
    <t>Incremental investment in the EV market  Reduced traffic congestion contributing to economic productivity and competitiveness, investment/ employment/ job attractiveness and facilitating trade logistics  New R&amp;I spurred in connection with EV transition implementation and efficient/ safe active transport infrastructure  Facilitation of labour geographical mobility and labour market matching efficiency  Possible reduced costs of operating and managing offices</t>
  </si>
  <si>
    <t>SDG 1, SDG 2, SDG 3, SDG 6, SDG 7, SDG 8</t>
  </si>
  <si>
    <t>SDG 8, SDG 10, SDG 11, SDG 13, SDG 17</t>
  </si>
  <si>
    <t>SDG 2, SDG 5, SDG 6, SDG 7, SDG 8, SDG 9, SDG 11, SDG 12, SDG 13, SDG 14, SDG 15, SDG 16, SDG 17</t>
  </si>
  <si>
    <t xml:space="preserve">Promotion of public transport system and bicycle use, introduction of fuel tax used in Kathmandu Valley for air quality improvement and further promotion of non-motorised transport would contribute to the reduction of pollution in urban areas. </t>
  </si>
  <si>
    <t>SDG 11, SDG 13</t>
  </si>
  <si>
    <t xml:space="preserve">Many of the mitigation options can be summarized as “modal shift” – moving passengers or freight from one form or mode of transport to another, less polluting, one. Air pollution in major urban areas is severe and the health benefits of these measures immediate. </t>
  </si>
  <si>
    <t>an orderly transition could increase total employment in Oman by 20-30%,</t>
  </si>
  <si>
    <t>An orderly transition could contribute an additional 50% to GDP by 2050</t>
  </si>
  <si>
    <t>~20-25% average reduction in cost of owning a car by 2050</t>
  </si>
  <si>
    <t>Goal is to lower vehicular emissions from combustion and improving urban air quality - Improve air quality standards as well as monitoring in provincial capital and other major cities</t>
  </si>
  <si>
    <t>Availability   of   safe,   affordable, energy-efficient  transportation  will  increase  access to  employment,  markets,  education,  health,  and other services.</t>
  </si>
  <si>
    <t>reducing air pollution by 30% by developing sustainable transport</t>
  </si>
  <si>
    <t>Ensure  the  access  of  citizens  to  safe transport  systems  with  fair,  accessible  and sustainable prices for all</t>
  </si>
  <si>
    <t>improving road safety, in particular by expanding the public transport system</t>
  </si>
  <si>
    <t>SDG1, SDG 3, SDG 5, SDG 7, SDG 11, SDG 12, SDG 13</t>
  </si>
  <si>
    <t>there are also positive effects where, as a result of the electrification and modernization of transport, all sectors (as shown in Figure 23) will save more than half a billion euros on fuels and in 2050 almost EUR 2 billion.</t>
  </si>
  <si>
    <t>All of these (transport) measures will be accompanied by just transition programmes to ensure that the costs of these measures to workers and communities are minimised and the benefits maximized.</t>
  </si>
  <si>
    <t>Future job creation potential will remain uncertain if adoption of EVs in South Sudan is largely dependent on imports, with no focus on local market development. Nevertheless, increasing adoption of EVs could have a positive impact on indirect and induced jobs. While it is difficult to estimate the net impact of planned policies, it is likely that effective implementation strategies, such as vehicular emission standards, will generate additional jobs in automobile maintenance and exhaust testing centres.</t>
  </si>
  <si>
    <t>SDG 1, SDG 2, SDG 3, SDG 5, SDG 6, SDG 7, SDG 8, SDG 9, SDG 11, SDG 12, SDG 14, SDG 15</t>
  </si>
  <si>
    <t>Amélioration des infrastructures routières décongestionnant les centres urbains</t>
  </si>
  <si>
    <t>The sector also has close linkages with health and healthier lifestyle choices, such as cycling and walking, which could deliver added benefits such as reduced obesity and incidence of non-communicable diseases in Tonga.</t>
  </si>
  <si>
    <t>This is likely to boost access to services and facilitate improved transport options for low-income families, families without cars / access to private transport, women, the elderly and vulnerable groups</t>
  </si>
  <si>
    <t>To optimize the work of the transport sector, the following measures are the priority areas for reducing the impact of transport on the climate, as well as maintaining air quality in cities and large settlements:</t>
  </si>
  <si>
    <t>People everywhere will feel the benefits – villages, towns, cities, and countryside will be cleaner, greener, healthier, and more prosperous and pleasant environments in which to live, work and enjoy.</t>
  </si>
  <si>
    <t>As more journeys are cycled or walked, and taken by public transport, the carbon, air quality, noise and congestion benefits will be complemented by significant improvements in public health and wellbeing</t>
  </si>
  <si>
    <t>Decarbonising the transport sector will regenerate communities and open up new employment opportunities right around the UK</t>
  </si>
  <si>
    <t>It will improve health by removing a source of air pollution. There will still be particulate emissions associated with road, rail, tyre, and brake wear, and we are working to tackle those too, but the toxic by-products of burning hydrocarbon fuels will be eliminated from the roadside and rail; Physical inactivity costs the NHS up to £1 billion per annum, with further indirect  costs of £8.2 billion – active travel can 
reduce that;</t>
  </si>
  <si>
    <t>Over half the UK population is exposed to daytime noise levels above recommended limits. Zero emission vehicles – extremely quiet at low, urban speeds – will help address this</t>
  </si>
  <si>
    <t>SDG 7, SDG 9</t>
  </si>
  <si>
    <t>SDG 13</t>
  </si>
  <si>
    <t>In the energy sector, measures for supply side and some for consumption side such as to use biofuels, electric vehicles and high efficiency electrical equipment in commercial services are assessed to be deliver co-benefits with socio-economic development at high to very high level</t>
  </si>
  <si>
    <t>Increased public transport will lead to increased mobility for low-income populations</t>
  </si>
  <si>
    <t>Improved fuel efficiency will lead to reduced fuel imports, improving Zimbabwe’s balance of trade and macroeconomic stability.</t>
  </si>
  <si>
    <t>Additional jobs created through Sale, maintenance, and repair of motor vehicles and motorcycles; retail sale of fuel: 14787.7 up to 2030, 29575.39 up to 2040, 73938.48 up to 2050</t>
  </si>
  <si>
    <t>Additional jobs created through inland transport: 210.23 up to 2030, 420.45 up to 2040, 1051.13 up to 2050</t>
  </si>
  <si>
    <t>Additional GDP generated in USD million by inland transport: 6.06 up to 2030, 12.13 up to 2040, 30.32 up to 2050</t>
  </si>
  <si>
    <t>Additional GDP generated in USD million by Sale, maintenance, and repair of motor vehicles
and motorcycles; retail sale of fuel: 6.03 up to 2030, 12.06 up to 2040, 30.16 up to 2050</t>
  </si>
  <si>
    <t>Additional net exports generated in million USD through Sale, maintenance, and repair of motor vehicles and motorcycles; retail sale of fuel: 2.23 by 2040</t>
  </si>
  <si>
    <t>Shifting the transportation sector towards a greener, low-carbon alternative will not only have efficiency benefits for the economy, but also includes health co-benefits as a result of reduced air pollution and increased physical activity. The development of the LRT in Colombo will also generate opportunities for job creation.
The health benefits of NMT entail a reduction in the relative risk for diabetes and overall mortality of 39%, while the relative risk for cardiovascular diseases and cancer-related mortality declines by 33% respectively, compared to the BAU scenario.</t>
  </si>
  <si>
    <t>40, 46</t>
  </si>
  <si>
    <t>Shifting the transportation sector towards a greener, low-carbon alternative will not only have efficiency benefits for the economy, but also includes health co-benefits as a result of reduced air pollution and increased physical activity. The development of the LRT in Colombo will also generate opportunities for job creation.</t>
  </si>
  <si>
    <t>SDG 7</t>
  </si>
  <si>
    <t xml:space="preserve">Avoided costs through electrification </t>
  </si>
  <si>
    <t>the low-carbon transport scenario has a number of other benefits such as air pollution reduction (especially in urban areas)</t>
  </si>
  <si>
    <t>the low-carbon transport scenario has a number of other benefits such as ... a reduction in liquid fuel consumption which means a reduction in imports</t>
  </si>
  <si>
    <t>the low-carbon transport scenario has a number of other benefits such as … noise reduction</t>
  </si>
  <si>
    <t>There are benefits from using vehicle and vessel batteries to stabilise electricity grids</t>
  </si>
  <si>
    <t>Our cities will be leaders in transport innovation due to the predominance of short-distance journeys, existing availability of public transport alternatives, air quality considerations…</t>
  </si>
  <si>
    <t>Transport actions are estimated to create 92 jobs (out of a total of 30,982 created through mitigation actions)</t>
  </si>
  <si>
    <t>Households are expected to benefit from net gains thanks to energy and transportation savings (e.g., more energy efficient buildings demand less energy consumption, which generates savings in energy costs even after considering cost reflective energy prices), leaving them with a buffer to absorb green premium price pressures.</t>
  </si>
  <si>
    <t>a growth in current transport activity and demand will further diminish our national competitiveness, quality of life, and decarbonisation goals.</t>
  </si>
  <si>
    <t>Isle of Man’s electricity and transport decarbonisation plans are
expected to improve air quality which is currently monitored under the 2023-2025 Air Quality Monitoring
Plan</t>
  </si>
  <si>
    <t>Gibraltar has a well-established air quality monitoring network in place which shows that there has been a steady decline in concentrations of all pollutants since its inception. Roll out of the Active Travel Strategy is intended to lower pollution levels and improve public health more generally.</t>
  </si>
  <si>
    <t>SDG 3, SDG 7, SDG 11, SDG 12, SDG 13</t>
  </si>
  <si>
    <t>51-53</t>
  </si>
  <si>
    <t>Through core regulations, Canada is supporting transformative actions in the transportation sector. For instance, the Clean Fuel Regulations are lowering the carbon intensity of liquid fuels used in Canada. The Electric Vehicle Availability Standard will help increase vehicle choices for Canadians and meet annual zero-emission vehicle sales targets, with the goal of gradually switching to a 100 percent zero-emission future. This is reducing air pollution on our streets and protecting a healthy environment for all.</t>
  </si>
  <si>
    <t>Moving forward, the Government of Canada will focus on preparing the workforce to supply the green skills that are already in high demand and prepare for the jobs of the future, while seizing immediate economic opportunities from growing net-zero-ready industries (e.g., batteries, electric vehicles, clean electricity).</t>
  </si>
  <si>
    <t>More ambitious decarbonization is also expected to benefit all Canadians in the long-term through lower electricity bills and lower costs for transportation, relative to fossil-fuel-based alternatives. However, the transition to net-zero by 2050 does present some affordability risks in the near to medium term. Low-income households, which are disproportionately comprised of single parents, those living in rural and remote communities, Indigenous Peoples, persons with disabilities, recent immigrants, racialized Canadians, and seniors, could be disproportionately impacted by such a change, given that energy needs tend to make up a larger portion of income relative to higher-earning households. Canada will need to monitor and address these impacts to ensure the transition doesn’t entrench existing inequalities.</t>
  </si>
  <si>
    <t>Extreme weather events also affect women disproportionately, such as access to maternal health services being hindered due to disruptions in sea transport between outer islands as tertiary healthcare facilities are not available on every island.</t>
  </si>
  <si>
    <t>References</t>
  </si>
  <si>
    <t>This sheet contains quotes and information to documents references in NDCs and LTS.</t>
  </si>
  <si>
    <t>Further document type</t>
  </si>
  <si>
    <t>URL to further document</t>
  </si>
  <si>
    <t>File name in folder: F - II.1 Tracker and Text Mining/NDC Transport Tracker/Tracker/Policy docs_not LTS-NDC</t>
  </si>
  <si>
    <t>Estrategia energética nacional y de lucha contra el cambio climático, aprobada el 3 de febrero del 2021, consta de 5 programas de acción y de 17 actividades, es la herramienta o hoja de ruta para alcanzar la neutralidad; […] Las acciones que recoge la estrategia se dirigen a sectores concretos como el de 
la energía, la movilidad, la agricultura y la gestión de residuos (Ley 21/2018)</t>
  </si>
  <si>
    <t>National Climate Change Strategy</t>
  </si>
  <si>
    <t>El sector del transporte representa el 59% de las emisiones de GEI, según datos del año 2017. Por este motivo se elabora la Estrategia nacional de movilidad con el objetivo de disminuir las emisiones y respetando la jerarquía en la priorización de los sistemas de transporte establecida en la Ley 21/2018, del 13 de septiembre, de impulso de la transición energética y del cambio climático: en primer lugar, privilegiar el transporte público e impulsar la movilidad no motorizada o asistida;, en segundo lugar, promover la movilidad motorizada eléctrica o de una fuente baja en emisiones de GEI.</t>
  </si>
  <si>
    <t xml:space="preserve">National Transport Strategy </t>
  </si>
  <si>
    <t>Plan sectorial de infraestructuras energéticas (2016)</t>
  </si>
  <si>
    <t>Declaración del estado de emergencia climática y ecológica, aprobada por el parlamento el 23 de enero del 2020, la cual solicita al Gobierno que impulse la transición hacia la •E 2n •1a Update NDC 2020 2a Update NDC 2022 3a Update NDC 2025 •1a revisió • E 2n 2026 4a Update NDC 2030 23 neutralidad en carbono de acuerdo con el Objetivo de desarrollo sostenible 13 (Acción por el clima).</t>
  </si>
  <si>
    <t>22f</t>
  </si>
  <si>
    <t>El sector del transporte representa el 57% de las emisiones de GEI, según datos del año 2019. Por este motivo se ha aprobado en setiembre del 2021 la Estrategia nacional de movilidad con el objetivo de disminuir las emisiones y respetando la jerarquía en la priorización de los sistemas de transporte establecida en la Ley 21/2018, del 13 de septiembre, de impulso de la transición energética y del cambio climático:</t>
  </si>
  <si>
    <t>Plan sectorial de infraestructuras energéticas de Andorra (Decreto del 16-05-2018), la herramienta urbanística para identificar y planificar la ejecución de las infraestruc</t>
  </si>
  <si>
    <t>forma parte de la Coalición por la Neutralidad de Carbono</t>
  </si>
  <si>
    <t>Membership</t>
  </si>
  <si>
    <t>In 2017, the UAE adopted the National Climate Change Plan 2017-2050 which sets a framework for management of greenhouse gas (GHG) emissions, climate change adaptation, and private sector-driven innovative economic diversification.</t>
  </si>
  <si>
    <t>National Climate Change  Plan</t>
  </si>
  <si>
    <t>https://u.ae/en/about-the-uae/strategies-initiatives-and-awards/federal-governments-strategies-and-plans/national-climate-change-plan-of-the-uae</t>
  </si>
  <si>
    <t>United Arab Emirates_2017_Updated-NCCP 2017-2050_Vers.1</t>
  </si>
  <si>
    <t>El 20 de noviembre de 2019, se sancionó la Ley Nacional n. o 27520 de Presupuestos Mínimos de Adaptación y Mitigación al Cambio Climático Global</t>
  </si>
  <si>
    <t>El marco para la acción de la ELP se correlaciona con el propuesto para el Plan Nacional de Adaptación y Mitigación al Cambio Climático (PNAyMCC), instrumento doméstico en el que se integra la política climática nacional.</t>
  </si>
  <si>
    <t>the National Energy Productivity Plan is on track to ensure energy productivity improves by 40 per cent over the period 2015 to 2030.</t>
  </si>
  <si>
    <t xml:space="preserve">National Energy Productivity Plan </t>
  </si>
  <si>
    <t>National Energy Productivity Plan release version FINAL_0.pdf (archive.org.au)</t>
  </si>
  <si>
    <t>Australia_2015_National-Energy-Productivity-Plan_Vers.1</t>
  </si>
  <si>
    <t>Australia’s new National Climate Resilience and Adaptation Strategy sets out what the Australian Government will do to support efforts across all levels of government, business and the community, to better anticipate, manage and adapt to the impacts of climate change.</t>
  </si>
  <si>
    <t>National Climate Resilience and Adaptation Strategy</t>
  </si>
  <si>
    <t>National Climate Resilience and Adaptation Strategy 2021 to 2025 (awe.gov.au)</t>
  </si>
  <si>
    <t>Australia_2021_National-Climate-Resilience-And-Adaptation-Strategy_Vers.1</t>
  </si>
  <si>
    <t>Bosnia and Herzegovina Framework Transport Strategy</t>
  </si>
  <si>
    <t>The next revision of the Master Transportation plan should propose regulatory revisions to introduce new standards, improve the enforceability of new and existing metrics, and support incentivization schemas. Some examples include setting operational standards for public transit to enhance ridership and tourism, developing regulatory proposals to align loan programs for public and private operators with licensing timeframes, and clarifying universal registration requirements that support new vehicle data collection processes.</t>
  </si>
  <si>
    <t>The 2021 Physical Development Plan Amendment has undergone wide consultation and will provide the framework for government decision-making across a number of key areas of development with a direct impact on climate change mitigation and adaptation. […] It addresses the urgency of climate change and reframes planning for steady state growth by redefining the island’s urban structure. It addresses scarcity and irreplaceable resources, including through the shift from car-centric</t>
  </si>
  <si>
    <t>Physical Development Plan Amendment</t>
  </si>
  <si>
    <t>02_Barbados_Physical_Development_Plan_Amendment_Pa.aspx (cip-icu.ca)</t>
  </si>
  <si>
    <t>Barbados_2017_Physical-Development-Plan-Amendment_Vers.1</t>
  </si>
  <si>
    <t>With the 2019 Barbados National Energy Policy (BNEP), the Government signaled its unwavering commitment to a clean energy future by setting the target of a fossil fuel-free electricity sector by 2030. […] The BNEP aims to extend the use of solar, wind, biofuels and energy storage. The energy policy includes
the transport sector, starting with the objective of full electrification of or use of biofuels by the passenger
vehicle fleet by 2030.</t>
  </si>
  <si>
    <t xml:space="preserve">National Energy Policy </t>
  </si>
  <si>
    <t>https://sandbox.7scorp.com/nrd2020/download/national-energy-policy-2019-2030/?wpdmdl=3330&amp;refresh=61dc10208469f1641812000</t>
  </si>
  <si>
    <t>Barbados_2019_National-Energy-Policy_Vers.4</t>
  </si>
  <si>
    <t>National Transport Policy (2006)
The National Transport Policy of Bhutan covers policy objectives and a framework for institutional arrangements. It also introduces financing mechanisms and a framework for monitoring and evaluating the outcomes of this policy. As a result, it addresses many of the existing policy gaps in Bhutan’s transport sector. In particular, it provides the rationale and guiding principles for sub-sector policies. For example, it describes the existing landscape for important transport sub-sectors (roads and road transport; urban transport; civil aviation; regional connectivity) and details policy objectives. It also provides policy statements as benchmarks for meeting the objectives.</t>
  </si>
  <si>
    <t>29, 30</t>
  </si>
  <si>
    <t>Transport 2040: Integrated Strategic Vision
The overall transport vision is to provide the entire population with a safe, reliable, affordable, convenient, cost-effective, and environment-friendly transport system. The vision supports strategies for socio-economic development, which includes the goals of accessibility to activities and supplies needed by people and enterprises, efficient use of economic resources, environmental sustainability, and transport safety, especially on roads. It contains nine transport strategies and the first eight strategies cover the main transport sectors, in terms of physical infrastructure, services, and regulation. The final strategy concerns the coordination and management of the overall transport sector. Transport Vision 2040 and the set of supporting transport strategies constitute an integrated approach to the three modes of transport: road transport, urban transportation, and civil aviation.</t>
  </si>
  <si>
    <t>, the Canadian Net-Zero Emissions Accountability Act (the Act) received Royal Assent, legislating Canada’s 2030 NDC and target of net-zero emissions by 2050</t>
  </si>
  <si>
    <t>In March 2022, Canada released its climate plan – the 2030 Emissions Reduction Plan (ERP) – which provides a detailed sector-by-sector road map that identifies the measures and strategies needed</t>
  </si>
  <si>
    <t>2f</t>
  </si>
  <si>
    <t>Canada’s first-ever national climate plan, the Pan-Canadian Framework on Clean Growth and Climate Change (PCF), was adopted in 2016 – just after the release of the Mid-Century Strategy.</t>
  </si>
  <si>
    <t>https://www.canada.ca/en/services/environment/weather/climatechange/pan-canadian-framework.html</t>
  </si>
  <si>
    <t>In December 2020, Canada introduced a strengthened federal climate plan – A Healthy Environment and a Healthy Economy.</t>
  </si>
  <si>
    <t>https://www.canada.ca/content/dam/eccc/documents/pdf/climate-change/climate-plan/healthy_environment_healthy_economy_plan.pdf</t>
  </si>
  <si>
    <t>Plan National Stratégique de Développement (PNSD 2019-2023)</t>
  </si>
  <si>
    <t>Aussi, la RDC compte mettre en œuvre une politique énergétique nationale cadre en matière d’énergie visant spécifiquement les stratégies de cuisson propre (GPL, cuisinière électrique, etc.), 
tout en y associant les préoccupations de l’augmentation de la part des énergies renouvelables dans son mix énergétique, de la promotion de l’efficacité énergétique, de l’amélioration des transports  publics, et de la valorisation énergétique des déchets.</t>
  </si>
  <si>
    <t>Planes Integrales de Gestión del Cambio Climático Sectoriales (PIGCCS) […] Se encuentra formulado el PIGCC del sector agricultura y en proceso de finalización en su formulación los planes de los sector</t>
  </si>
  <si>
    <t>Integrated Sectoral Climate Change Management Plans</t>
  </si>
  <si>
    <t>https://www.minvivienda.gov.co/sites/default/files/2021-02/anexo-resolucion-0431-2020.pdf</t>
  </si>
  <si>
    <t>Only available in Spanish: 
Colombia_2020_Plan-Integral-de-Gestión-del-Cambio-Climático-Sectoral_Vers.1</t>
  </si>
  <si>
    <t>Política Nacional de Cambio Climático</t>
  </si>
  <si>
    <t>37?</t>
  </si>
  <si>
    <t>Ley de Cambio Climático</t>
  </si>
  <si>
    <t>develop a policy framework and national action plan as a measure under the International Maritime Organisation. Encourage the international community to bring ocean transport decarbonisation technologies to scale</t>
  </si>
  <si>
    <t>National Action Plan Maritime Transport</t>
  </si>
  <si>
    <t xml:space="preserve">Not available </t>
  </si>
  <si>
    <t xml:space="preserve">A climate strategy for road transport will outline how greenhouse gas emissions can be reduced by 2030, taking into consideration the corresponding proposals made at EU level. The strategy will address emissions from cars, light and heavy commercial vehicles and issues related to GHG-(Greenhouse gas-) free energy supply, the requisite infrastructure and the interlinking of sectors (through electric mobility). </t>
  </si>
  <si>
    <t>Klimaschutzprogramm 2030</t>
  </si>
  <si>
    <t>Klimaschutzprogramm 2030 der Bundesregierung zur Umsetzung des Klimaschutzplans 2050</t>
  </si>
  <si>
    <t>Germany_2019_Klimaschutzprogramm2030_Vers.1</t>
  </si>
  <si>
    <t>Climate Action Act, which includes mandatory reduction targets, monitoring schemes and a mechanism for fine-tuning</t>
  </si>
  <si>
    <t>Federal Climate Change Act.</t>
  </si>
  <si>
    <t>European Climate Law</t>
  </si>
  <si>
    <t>Climate change law</t>
  </si>
  <si>
    <t>Fit for 55%' legislative framework</t>
  </si>
  <si>
    <t>Climate Resilience Transport Sector Strategy</t>
  </si>
  <si>
    <t>National Transport Policy</t>
  </si>
  <si>
    <t>National Non-Motorised Transport Strategy</t>
  </si>
  <si>
    <t>Ten-Year Development Plan: A Pathway to Prosperity 2021–2030 (10YDP)</t>
  </si>
  <si>
    <t>Climate Resilient Green Economy (CRGE) strategy</t>
  </si>
  <si>
    <t>Later this year, we will publish an EV infrastructure strategy, setting out our vision for infrastructure rollout, and roles for the public and private sectors in achieving it.</t>
  </si>
  <si>
    <t xml:space="preserve">EV infrastructure Strategy </t>
  </si>
  <si>
    <t>https://researchbriefings.files.parliament.uk/documents/CBP-7480/CBP-7480.pdf</t>
  </si>
  <si>
    <t>United Kingdom_2021_Electric-Vehicle-and-Infrastructure_Vers.1</t>
  </si>
  <si>
    <t>Alongside the Transport Decarbonisation Plan, we published the 2035 Delivery Plan outlining the key timelines, milestones, and progress towards the Ten Point Plan commitment to accelerate the shift to zero emission vehicles</t>
  </si>
  <si>
    <t xml:space="preserve">Delivery Plan </t>
  </si>
  <si>
    <t>https://assets.publishing.service.gov.uk/government/uploads/system/uploads/attachment_data/file/1005301/transitioning-to-zero-emission-cars-vans-2035-delivery-plan.pdf</t>
  </si>
  <si>
    <t>United Kingdom_2021_Transitioning-to-Zero-Emission-Cars-Vans-2035-Delivery-Plan_Vers.1</t>
  </si>
  <si>
    <t>For public transport, our National Bus Strategy for England, published in March, sets out a vision of a transformed bus industry and a green bus revolution</t>
  </si>
  <si>
    <t xml:space="preserve">National Bus Strategy </t>
  </si>
  <si>
    <t>https://assets.publishing.service.gov.uk/government/uploads/system/uploads/attachment_data/file/980227/DfT-Bus-Back-Better-national-bus-strategy-for-England.pdf</t>
  </si>
  <si>
    <t>United Kingdom_2021_Bus-Back-Better-National-Bus-Strategy-for-England_Vers.1</t>
  </si>
  <si>
    <t>Great British Railways White Paper in May</t>
  </si>
  <si>
    <t>Railway White Paper</t>
  </si>
  <si>
    <t>https://assets.publishing.service.gov.uk/government/uploads/system/uploads/attachment_data/file/994603/gbr-williams-shapps-plan-for-rail.pdf</t>
  </si>
  <si>
    <t>United Kingdom_2021_Great-British-Railways_Vers.1</t>
  </si>
  <si>
    <t>Our approach on green jobs and skills is set out in the Green Jobs, Skills and Industries chapter of the Net Zero Strategy</t>
  </si>
  <si>
    <t xml:space="preserve">Net Zero Strategy </t>
  </si>
  <si>
    <t>https://assets.publishing.service.gov.uk/government/uploads/system/uploads/attachment_data/file/1033990/net-zero-strategy-beis.pdf</t>
  </si>
  <si>
    <t>United Kingdom_2021_Net-Zero-Strategy_Vers.1</t>
  </si>
  <si>
    <t>Hydrogen Strategy and Transport Decarbonisation Plan, hydrogen is likely to play a significant role in transport applications,</t>
  </si>
  <si>
    <t xml:space="preserve">Hydrogen Strategy </t>
  </si>
  <si>
    <t>https://assets.publishing.service.gov.uk/government/uploads/system/uploads/attachment_data/file/1011283/UK-Hydrogen-Strategy_web.pdf</t>
  </si>
  <si>
    <t>United Kingdom_ 2021_Hydrogen-Strategy_Vers.1</t>
  </si>
  <si>
    <t>Transport Decarbonisation Plan</t>
  </si>
  <si>
    <t>https://assets.publishing.service.gov.uk/government/uploads/system/uploads/attachment_data/file/1009448/decarbonising-transport-a-better-greener-britain.pdf</t>
  </si>
  <si>
    <t>United Kingdom_2021_Decarbonising-Transport_Vers.1</t>
  </si>
  <si>
    <t>The UK also intends to publish ambitious individual plans across key sectors of the economy, including an Energy White Paper, Transport Decarbonisation Plan, England Peat Strategy and Heat and Buildings Strategy ahead of COP26</t>
  </si>
  <si>
    <t xml:space="preserve">Energy White Paper </t>
  </si>
  <si>
    <t>Energy White Paper (publishing.service.gov.uk)</t>
  </si>
  <si>
    <t>Decarbonising Transport – A Better, Greener Britain (publishing.service.gov.uk)</t>
  </si>
  <si>
    <t>Climate Change Strategy for 2030</t>
  </si>
  <si>
    <t>Climage change strategy</t>
  </si>
  <si>
    <t>Action Plan for 2021- 2023 (CSAP) along with the detailed target indicators and measures for seven sectors of the economy.</t>
  </si>
  <si>
    <t>Climate action plan</t>
  </si>
  <si>
    <t>https://matsne.gov.ge/ka/document/
view/5147380?publication=0</t>
  </si>
  <si>
    <t>The updated and enhanced nationally determined contribution responds to the sustainability priorities in the following national policy documents: • Ghana @ 100 frameworks and the accompanying national Infrastructure plan. • Coordinated Programme of Economic and Social Development Policy. • 2022 to 2025 Medium-Term Development Policy Framework. • Ghana Beyond Aid Charter Strategy Document. • COVID-19 Alleviation and Revitalisation of Enterprises Support</t>
  </si>
  <si>
    <t>Coordinated Programme of Economic and Social Development Policy</t>
  </si>
  <si>
    <t>Coordinated-Programme-Of-Economic-And-Social-Development-Policies.pdf (mop.gov.gh)</t>
  </si>
  <si>
    <t>Ghana_2017_Coordinated-Programme-Of-Economic-And-Social-Development-Policies_Vers.1</t>
  </si>
  <si>
    <t>Medium-Term Development Policy Framework</t>
  </si>
  <si>
    <t xml:space="preserve">Beyond Aid Charter Strategy Document </t>
  </si>
  <si>
    <t>Ghana-Beyond-Aid-Charter-and-Strategy-Document.pdf (thinknovate.org)</t>
  </si>
  <si>
    <t>Ghana_2019_Beyond-Aid-Charter-and-Strategy-Document_Vers.1</t>
  </si>
  <si>
    <t>la Política Nacional de Cambio Climático (PNCC)</t>
  </si>
  <si>
    <t>la Estrategia Nacional de Desarrollo con Bajas Emisiones de Gases de Efecto Invernadero (Gobierno de la República de Guatemala, 2018a)</t>
  </si>
  <si>
    <t>Henríquez, W. A. (2021). Producto 3 – Propuesta de Contribución Nacional Determinada para el
sector energético de Guatemala.</t>
  </si>
  <si>
    <t>Ireland’s Climate Action and Low Carbon Development (Amendment) Act 2021</t>
  </si>
  <si>
    <t>An updated Climate Action Plan was published in June 2020, with 48 mitigation actions in different sectors aiming to meet the commitments on net emissions reduction.</t>
  </si>
  <si>
    <t xml:space="preserve">Climate Action Plan </t>
  </si>
  <si>
    <t>https://www.government.is/library/01-Ministries/Ministry-for-The-Environment/201004%20Umhverfisraduneytid%20Adgerdaaaetlun%20EN%20V2.pdf</t>
  </si>
  <si>
    <t>Iceland_2020_Climate-Action-Plan_Vers.1</t>
  </si>
  <si>
    <t>Based on the “MLIT’s Green Challenge (decided by Ministry of Land, Infrastructure, Transport and Tourism on July 6th, 2021),” Japan will steadily carry out efforts in cross-sectoral decarbonization in national land, urban and regional spheres.</t>
  </si>
  <si>
    <t>MLIT’s Green Challenge</t>
  </si>
  <si>
    <t>Regional Public Transportation Revitalization and Reconstruction Law (enacted in November 2020)</t>
  </si>
  <si>
    <t>Bicycle Use Promotion Act</t>
  </si>
  <si>
    <t>with a view to the transformation of the mobility society in 2050 as depicted in the Green Growth Strategy</t>
  </si>
  <si>
    <t xml:space="preserve">Green Growth Strategy </t>
  </si>
  <si>
    <t>https://www.meti.go.jp/english/policy/energy_environment/global_warming/ggs2050/pdf/ggs_full_en1013.pdf</t>
  </si>
  <si>
    <t>Japan_2021_Green-Growth-Strategy_Vers.1</t>
  </si>
  <si>
    <t>Comprehensive Urban and Regional Transportation Strategy</t>
  </si>
  <si>
    <t>The Government will formulate a roadmap for promoting greener coastal shipping by the end of 2021 to achieve carbon neutrality</t>
  </si>
  <si>
    <t>roadmap for promoting greener coastal shipping</t>
  </si>
  <si>
    <t>Development Strategy of the Republic of Kazakhstan until 2050</t>
  </si>
  <si>
    <t>Concept for the transition of the Republic of Kazakhstan to a green economy (hereinafter – Concept) (Decree of the President of the Republic of Kazakhstan #577 dated 30 May 2013)</t>
  </si>
  <si>
    <t>National Development Plan of the Republic of Kazakhstan until 2025 (Decree of the President of the Republic of Kazakhstan #636 dated 15 February 2018)</t>
  </si>
  <si>
    <t>Action Plan for the implementation of the Concept for the Transition of the Republic of Kazakhstan to a "green economy" for 2021-2030 (Enactment of the Government of the Republic of Kazakhstan #479 dated 29 July 2020)</t>
  </si>
  <si>
    <t>Kenya will implement and periodically update the National Climate Change Action Plans (NCCAPs) to achieve this target.</t>
  </si>
  <si>
    <t>National Climate Change Action Plan</t>
  </si>
  <si>
    <t>https://www.kenyamarkets.org/wp-content/uploads/2019/02/NCCAP-2018-2022-Online-.pdf</t>
  </si>
  <si>
    <t>Kenya_2018_NCCAP-2018-2022_Vers.1</t>
  </si>
  <si>
    <t>ADB Sri Lanka: Country Operations Business Plan
More efficient, sustainable, and integrated transport infrastructure and better connectivity</t>
  </si>
  <si>
    <t>https://www.adb.org/documents/sri-lanka-country-operations-business-plan-2021-2023</t>
  </si>
  <si>
    <t>World Bank: Inclusive Connectivity and Development Project for Sri Lanka</t>
  </si>
  <si>
    <t>https://projects.worldbank.org/en/projects-operations/project-detail/P176164</t>
  </si>
  <si>
    <t>En effet, l’objectif retenu dans le PNEC correspond à une part de 49% de véhicules électriques (tout électrique et hybride rechargeable) du parc automobile en 2030</t>
  </si>
  <si>
    <t>PLAN NATIONAL INTÉGRÉ EN MATIÈRE D’ÉNERGIE ET DE CLIMAT</t>
  </si>
  <si>
    <t>https://ec.europa.eu/energy/sites/ener/files/documents/lu_final_necp_main_fr.pdf</t>
  </si>
  <si>
    <t>Luxembourg_2018_PNEC_Vers.1</t>
  </si>
  <si>
    <t>La feuille de route “Mobilité durable pour le Maroc” trouve son origine dans le Processus de Paris pour la Mobilité et le Climat (PPMC). Elle s’inscrit dans différents dispositifs nationaux tels que : la Stratégie Nationale du Développement Durable (enjeux : gouvernance, économie verte, politique de lutte contre le changement climatique) ; la Contribution Déterminée au niveau National 2030 (2018) ; la loi cadre 99-12 portant sur la Charte nationale de l’environnement et du développement durable ; la Stratégie marocaine pour la logistique de 2018; la Stratégie d’efficacité énergétique et la Stratégie énergie à 2030 ; la programmation des investissements en infrastructures de transport ; le Plan National d’Adaptation ; la Stratégie sécurité routière 2017-2026 ; le Plan d’accélération industrielle 2020 ; la régionalisation avancée et la modernisation de la fonction publique ; le Pacte pour l’exemplarité de l’administration.</t>
  </si>
  <si>
    <t>La révision peut être menée dans le cadre de l’élaboration des Plans rail 2040 et Plan route 2040.</t>
  </si>
  <si>
    <t>Rail 2040 and Road 2040 Plans</t>
  </si>
  <si>
    <t>National Strategy for Electric Mobility</t>
  </si>
  <si>
    <t xml:space="preserve">National Strategy for Electric Mobility </t>
  </si>
  <si>
    <t>México trabaja en la consolidación de una Estrategia Nacional de Movilidad Eléctrica para lograr estos objetivos y para implementar mecanismos justos y seguros, además de promover primordialmente la transformación en el transporte público, puesto que es el sector con mayor impacto social.</t>
  </si>
  <si>
    <t>Ley General de Cambio Climático (LGCC) fue reformada en el año 2018</t>
  </si>
  <si>
    <t>Malta also adopted its Climate Action Act (2015) and a Climate Emergency Resolution (2019) which provide nationally binding legal obligations for coherent and coordinated governance to deal with the climate crisis.</t>
  </si>
  <si>
    <t>Climate Action Act</t>
  </si>
  <si>
    <t>https://legislation.mt/eli/cap/543/eng/pdf</t>
  </si>
  <si>
    <t>Malta_2015_Climate-Action-Act_Vers.1</t>
  </si>
  <si>
    <t xml:space="preserve">Climate Emergency Resolution </t>
  </si>
  <si>
    <t>National Energy and Climate Plan</t>
  </si>
  <si>
    <t xml:space="preserve">National Energy and Climate Plan </t>
  </si>
  <si>
    <t>https://www.energywateragency.gov.mt/wp-content/uploads/2021/10/MT-NECP-FINAL-2020-10-05_Corrigendum.pdf</t>
  </si>
  <si>
    <t>Malta_2019_National-Energy-and-Climate-Plan_Vers.1</t>
  </si>
  <si>
    <t>a draft national strategy for EV charging infrastructure has been launched which looks at the installation of charging facilities at multiple venues - publically, at home, en route and at the final destination.</t>
  </si>
  <si>
    <t xml:space="preserve">Strategy for EV charging infrastructure </t>
  </si>
  <si>
    <t>https://meae.gov.mt/en/Public_Consultations/MEW/Documents/ELECTRIC%20CARS%20INFRASTRUCTURE%20DOC_rev1.pdf</t>
  </si>
  <si>
    <t>Malta_2021_Electric-Vehicle-Public-Charging-Infrastructure_Vers.1</t>
  </si>
  <si>
    <t>One of the advantages of the NDC is that the principle targets presented in the NDC are in line with the national development policy documents such as  the  Vision-2050,  which  covers  the  development  framework reflected in the following documents: ....</t>
  </si>
  <si>
    <t>LONG-TERM DEVELOPMENT POLICY</t>
  </si>
  <si>
    <t>https://cabinet.gov.mn/wp-content/uploads/2050_VISION_LONG-TERM-DEVELOPMENT-POLICY.pdf</t>
  </si>
  <si>
    <t>Mongolia_2020_LONG-TERM-DEVELOPMENT-POLICY- Vision2050_Vers.1</t>
  </si>
  <si>
    <t>Namibia developed a national climate change strategy and action plan for the period 2013-2020, with two mitigation themes: sustainable energy and prioritized low carbon development, and transportation.</t>
  </si>
  <si>
    <t>National Climate Change Strategy and Action Plan</t>
  </si>
  <si>
    <t>National Climate Change Strategy and Action Plan brochure 2013 - 2020.pdf (gov.na)</t>
  </si>
  <si>
    <t>Namibia_2013_National-Climate-Change-Strategy-and-Action-Plan-2013-2020_Vers.1</t>
  </si>
  <si>
    <t>The NCCSAP will be replaced by the NDC Implementation Strategy and Action Plan for 2021-2030. This document will clarify national goals and objectives regarding climate change and lay out a plan for implementing, reporting and monitoring a series of priority activities to implement the updated NDC</t>
  </si>
  <si>
    <t>NDC Implementation Strategy and Action Plan</t>
  </si>
  <si>
    <t>The Clean Energy Transport Scheme in major Nigerian cities involves the introduction of compressed natural gas (CNG) for buses in public transport. Ratification of the ECOWAS fuel quality standards and vehicle emission standards, alongside the development of a National Vehicular Emission Control Programme and National Generator Emission Control Programme.</t>
  </si>
  <si>
    <t>Clean Energy Transport Scheme</t>
  </si>
  <si>
    <t>The transport sector will be important in Norway’s transformation
 to a low-emission society. The white paper Norwegian National Transport Plan 2018–2029 (Meld. St. 33 (2016–2017)) sets out the financial framework for central government investments in the transport sector.</t>
  </si>
  <si>
    <t xml:space="preserve">National Transport Plan </t>
  </si>
  <si>
    <t>https://www.regjeringen.no/contentassets/7c52fd2938ca42209e4286fe86bb28bd/en-gb/pdfs/stm201620170033000engpdfs.pdf</t>
  </si>
  <si>
    <t>Norway_2017_National-Transport-Plan-2018-2029_Vers.1</t>
  </si>
  <si>
    <t>Norway’s climate target for 20301 and 2050 is established by law in the Norwegian Climate Change Act</t>
  </si>
  <si>
    <t>Climate Change Act</t>
  </si>
  <si>
    <t>More information on policies and measures in place are described in Norway's reporting under the UNFCCC and will be updated in the reporting under the Paris Agreement</t>
  </si>
  <si>
    <t>Climate Change Response Act 2002: Our primary legal framework for climate action in Aotearoa, which includes:</t>
  </si>
  <si>
    <t>Climate Change Response Act</t>
  </si>
  <si>
    <t>https://www.legislation.govt.nz/act/public/2002/0040/latest/whole.html#DLM158584</t>
  </si>
  <si>
    <t>New Zealand_2002_Climate-Change-Response-Act-2002_Vers.1</t>
  </si>
  <si>
    <t>The National Action Plan for the first stage of adaptation to climate change, approved by the order of the Government of the Russian Federation</t>
  </si>
  <si>
    <t xml:space="preserve">National Action Plan </t>
  </si>
  <si>
    <t>http://static.government.ru/media/files/OTrFMr1Z1sORh5NIx4gLUsdgGHyWIAqy.pdf</t>
  </si>
  <si>
    <t>Only available in Russian: 
Russian Federation_2019_National-Action-Plan_Vers.1</t>
  </si>
  <si>
    <t>Wide range of measures including bus rapid transport (BRT) project, bus lanes, non-motorised transport lanes, and other modal shift projects contained in the Transport Sector Strategic Plan as part of the NST1</t>
  </si>
  <si>
    <t xml:space="preserve">Transport Sector strategic Plan </t>
  </si>
  <si>
    <t>Rwanda_2013_Transport-Sector-Strategic-Plan_Vers.2_.pdf</t>
  </si>
  <si>
    <t>Rwanda_2013_Transport-Sector-Strategic-Plan_Vers.2</t>
  </si>
  <si>
    <t>Miscellaneous Amendments Law (MAL) in 2020</t>
  </si>
  <si>
    <t>La stratégie décennale 2014-2023 du PSE sous son Pilier 1 repose sur « un secteur des transports efficace pour soutenir la transformation de la production et de la croissance »</t>
  </si>
  <si>
    <t xml:space="preserve">La stratégie décennale </t>
  </si>
  <si>
    <t>A key focus of the planning processes for Singapore’s NDC is to develop a comprehensive suite of mitigation measures to achieve its NDC target.These measures are described in Singapore'sClimate Action Plan: Take Action Today, for a Sustainable Future, published in 2016.</t>
  </si>
  <si>
    <t>take-action-today-for-a-carbon-efficient-singapore.pdf (nccs.gov.sg)</t>
  </si>
  <si>
    <t>Singapore_2016_Climate-Action-Plan_Vers.1</t>
  </si>
  <si>
    <t>Singapore has developed a comprehensive suite of mitigation measures to achieve its NDC target which is outlined in the Singapore Green Plan 2030</t>
  </si>
  <si>
    <t>Apart from the Singapore Green Plan 2030, Singapore’s climate strategies are reflected, inter alia, in the National Climate Change Strategy 2012, the Sustainable Singapore Blueprint 2015, Singapore's Climate Action Plan: Take Action Today, for a Sustainable Future (published in 2016), Charting Singapore’s Low-Carbon and Climate Resilient Future (published in 2020 and updated in 2022), and various sectoral roadmaps and masterplans published by the respective government agencies</t>
  </si>
  <si>
    <t>Singapore will also aim to achieve net zero emissions by 2050, as outlined in Charting Singapore’s Low-Carbon and Climate Resilient Future</t>
  </si>
  <si>
    <t>promover las modalidades de transporte sostenible y en vinculación a la Política Energética Nacional 2020-2050</t>
  </si>
  <si>
    <t>Política Energética Nacional 2020-2050</t>
  </si>
  <si>
    <t>https://www.cne.gob.sv/wp-content/uploads/2021/12/PEN2050.pdf</t>
  </si>
  <si>
    <t>The plan contained a proposal for a transport network based on long term plans and growth rates and integrated with a spatial planning model for Paramaribo.</t>
  </si>
  <si>
    <t xml:space="preserve">Transport Master Plan </t>
  </si>
  <si>
    <t>With the adoption of the National Adaptation Plan (NAP) (Government of Suriname 2019) and this 2020-2030 NDC, Suriname introduces a more systematic approach to addressing both mitigation and adaption that will enable strengthening resilience, maintaining the carbon stock, reducing emissions while sustainably developing Suriname’s economy, and limiting impacts and adaptation costs.</t>
  </si>
  <si>
    <t xml:space="preserve">National Adaptation Plan </t>
  </si>
  <si>
    <t>https://www4.unfccc.int/sites/NAPC/Documents/Parties/Suriname%20Final%20NAP_apr%202020.pdf</t>
  </si>
  <si>
    <t>Suriname_2019_National-Adaptation-Plan_Vers.1</t>
  </si>
  <si>
    <t>Le Plan national d'investissement pour le secteur rural du Tchad (2016 - 2022), la Stratégie nationale de lutte contre le changement climatique (2017), la Politique Nationale de l’Environnement (2017) en cours de validation, le Plan d'action pour la mise en œuvre du Cadre national des services climatiques au Tchad (2016-2020) et le Schéma Directeur pour le développement des Énergies Renouvelables au Tchad (2018) sont autant d’autres cadres pour la mise en œuvre de cette vision</t>
  </si>
  <si>
    <t>National Investment Plan for the rural sector</t>
  </si>
  <si>
    <t>http://extwprlegs1.fao.org/docs/pdf/Cha173116.pdf</t>
  </si>
  <si>
    <t>Only available in French: 
Chad_2016_Plan-National-D'Investissement-du-Secteur-Rural_Vers.1</t>
  </si>
  <si>
    <t>Environmentally Sustainable Transport System Plan 2013-2030</t>
  </si>
  <si>
    <t>The NIIP II outlines these priorities for the maritime space: (i) reduce the cost of services to reduce transport costs and improve Tonga’s international competitiveness; (ii) improve the sustainability of maritime infrastructure by ensuring adequate maintenance, so as to minimise long term costs and maximise availability; (iii) enhance inter-island shipping services to help improve socioeconomic conditions; (iv) increase the safety of the transport system, and its resilience to climate change and natural disasters, to minimise disruptions; (v) strengthen and reform the institutional framework that governs the management, maintenance, and financing of maritime infrastructure and services; and (vi) promote and better use a competitive private sector</t>
  </si>
  <si>
    <t>National Infrastructure Investment Plan</t>
  </si>
  <si>
    <t>TONGA NATIONAL INFASTRUCTURE INVESTMENT PLAN (sprep.org)</t>
  </si>
  <si>
    <t>Tonga_2021_national-infrastructure-investment-plan_Vers. 2</t>
  </si>
  <si>
    <t>Tonga Strategic Development Framework 2015-2025 (TSDF II) provides an overarching framework for Tonga’s development including the LT-LEDS</t>
  </si>
  <si>
    <t>Strategic Development Framework</t>
  </si>
  <si>
    <t>https://www.adb.org/sites/default/files/linked-documents/cobp-ton-2017-2019-ld-03.pdf</t>
  </si>
  <si>
    <t>Tonga_2015_Strategic-Development-Framework-2015-2025_Vers.1</t>
  </si>
  <si>
    <t>Tonga Climate Change Policy (TCCP, 2016) intends to make Tonga climateresilient by 2035 and enhance mitigation efforts</t>
  </si>
  <si>
    <t xml:space="preserve">Climate Change Policy </t>
  </si>
  <si>
    <t>Tonga climate change Policy - A Resilient Tonga by 2035 (lse.ac.uk)</t>
  </si>
  <si>
    <t>Tonga_2016_Climate-Change-Policy_Vers.1</t>
  </si>
  <si>
    <t>Joint National Action Plan 2 Climate Change and Disaster Risk Management (JNAP2) 2018-2028 provides the strategic action plan for both the TSDF II and TCCP.</t>
  </si>
  <si>
    <t xml:space="preserve">Joint National Action Plan </t>
  </si>
  <si>
    <t>https://policy.asiapacificenergy.org/sites/default/files/JNAP%202%20%282018-2028%29.pdf</t>
  </si>
  <si>
    <t>Tonga_2018_Joint-National-Action-Plan-2018-2028_Vers.2</t>
  </si>
  <si>
    <t>An additional action arising which has not been prioritised but is currently underway is the completion of a maritime transport low GHG emissions strategy.</t>
  </si>
  <si>
    <t>Maritime Transport Law</t>
  </si>
  <si>
    <t>Infrastructure Strategy and Investment Plan 2016–2025 (TISIP)</t>
  </si>
  <si>
    <t>Te Kaniva: Tuvalu National Climate Change Policy 2012-2021</t>
  </si>
  <si>
    <t>Draft of Ukraine's National 2030 transport strategy, which aims to comprehensively incorporate global priorities in transport policy, specifically, it envisions to reduce GHG from mobile sources by 60% compared to 1990, increase in the share of electric transport and electro cars vehicles usage, and to increase alternative fuels use share</t>
  </si>
  <si>
    <t>National Transport Strategy of Ukraine 2030 (mtu.gov.ua)</t>
  </si>
  <si>
    <t>Ukraine_2018_National-Transport-Strategy_Vers.1</t>
  </si>
  <si>
    <t>En esta ECLP, el sector Energía se plantea el desafío de iniciar una segunda transformación que, junto con la Política Nacional de Movilidad Urbana Sostenible que está en proceso de elaboración, permita transitar sendas de descarbonización de aquellos sectores que aún siguen teniendo un peso relativo importante en las emisiones de CO2.</t>
  </si>
  <si>
    <t>NUMP</t>
  </si>
  <si>
    <t>Política Energética Nacional</t>
  </si>
  <si>
    <t>The U.S. National Climate Strategy details how we will deliver our U.S. NDC for 2030</t>
  </si>
  <si>
    <t xml:space="preserve">National Climate Stategy </t>
  </si>
  <si>
    <t>Executive Order on Tackling the Climate Crisis at Home and Abroad | The White House</t>
  </si>
  <si>
    <t>Action Strategy on Five Priority Areas for Development of the Republic of Uzbekistan in 2017-2021</t>
  </si>
  <si>
    <t xml:space="preserve">Strategy of Action </t>
  </si>
  <si>
    <t>https://strategy.uz/files/news/45467/eng.pdf</t>
  </si>
  <si>
    <t>Uzbekistan_2017_Stategy-of-Actions-2017-2021_Vers.1</t>
  </si>
  <si>
    <t>The country is implementing a national strategy for transition to a green economy through the development of a roadmap to 2030 and strives to achieve the following targets: [...] − expand the production and use of motor fuels and vehicles with improved energyefficiency and environmental performance, as well as develop electric transport; [...]</t>
  </si>
  <si>
    <t xml:space="preserve">7f. </t>
  </si>
  <si>
    <t>Strategy for the Transition to a Green Economy</t>
  </si>
  <si>
    <t>https://policy.asiapacificenergy.org/sites/default/files/Strategy%20on%20the%20Transition%20of%20the%20Republic%20of%20the%20Republic%20of%20Uzbekistan%20to%20a%20%2522Green%2522%20Economy%20for%20the%20Period%202019%20-%202030%20%28RU%29.pdf</t>
  </si>
  <si>
    <t>Only available in Russian: 
Uzbekistan_2019_Strategy-on-the-Transition-to-a-Green-Economy_Vers.1</t>
  </si>
  <si>
    <t>Activities related to climate change mitigation and adaptation measures are reflected in almost all sectoral strategies, plans and the country's development programs, in particular: Innovative Development Strategy for 2019-2021, Solid Waste Management Strategy for 2019-2028, 4 PP-4422 dated 22.08.2019 "On Accelerated Measures to Improve Energy Efficiency in Sectors of the Economy and Social Sphere, Introduction of Energy-Saving Technologies and Development of Renewable Energy Sources". 5 PP-4477 dated 04.10.2019 "On approval of the Strategy for Transition of the Republic of Uzbekistan to a Green Economy for 2019-2030". 9 Agriculture Development Strategy for 2020-2030, Environmental Protection Concept-2030, Concept on Electricity Supply in 2020-2030, etc</t>
  </si>
  <si>
    <t>Actualmente, las actividades de transporte están bajo la competencia del Ministerio del Poder Popular para el Transporte, institución orientada a la optimización del servicio de transporte terrestre, aéreo, acuático, infraestructura vial y sus servicios conexos. Una herramienta fundamental para alcanzar este objetivo fue la creación, en el año 2014, de la Misión Transporte, que ha alcanzado numerosos logros.</t>
  </si>
  <si>
    <t>http://www.mppt.gob.ve/mision-transporte/</t>
  </si>
  <si>
    <t>Plan de La Patria (2019 - 2025) 3. Convertir a Venezuela en un país potencia en lo social, lo económico y lo político dentro de la gran potencia naciente de América latina y el Caribe, que garantice la conformación de una zona de paz en nuestra América. Este plan enmarca la conectividad de la movilidad a nivel local, regional y nacional, con énfasis en la reducción del impacto ambiental, utilizando tecnologías limpias y garantizando la optimización y su mantenimiento.</t>
  </si>
  <si>
    <t xml:space="preserve">Plan de la Patria </t>
  </si>
  <si>
    <t>http://www.mppp.gob.ve/wp-content/uploads/2019/04/Plan-Patria-2019-2025.pdf</t>
  </si>
  <si>
    <t>Only available in Spanish: 
Venezuela_2017_Plan-de-la-Patria-2019-2025_Vers.1</t>
  </si>
  <si>
    <t>In the transport sector, climate change responses have been mainstreamed into the process of updating, adjusting and developing sectoral strategies and planning, including detailed planning of seaport groups; development planning of Viet Nam’s dry port system; detailed planning of the dry portsystem to 2020with orientation to 2030; the master plan for inland waterway transport development;  railway transport development strategy  and  planning; and the planning of Long Thanh Airport and other airports. The use of renewable energy in public lighting and trafficlightsystems hasalso increased</t>
  </si>
  <si>
    <t xml:space="preserve">Master Plan on Development of Railway Transport </t>
  </si>
  <si>
    <t>Adjusted master plan on development of railway transport of Vietnam to 2020 with a vision to 2030 (asemconnectvietnam.gov.vn)</t>
  </si>
  <si>
    <t>Viet Nam Transport Development Strategy to 2020 with a vision to 2030 (2013),</t>
  </si>
  <si>
    <t>National Plan for the implementation of the Paris Agreement in 2016</t>
  </si>
  <si>
    <t>Decree on reducing greenhouse gas emissions and protecting the ozone layer</t>
  </si>
  <si>
    <t>National Climate Change Strategy to 2050</t>
  </si>
  <si>
    <t>Scheme on Tasks and Solutions to Implement the Results of COP26;</t>
  </si>
  <si>
    <t>Action Program on Green Energy Transition and Reduction of Carbon and Methane Emissions of the Transportation Sector;</t>
  </si>
  <si>
    <t>National Action Plan on Green Growth for the period 2021-2030</t>
  </si>
  <si>
    <t>Resolution No. 24-NQ/TW of the Central Committee of the Communist Party of Viet Nam on proactive response to climate change, strengthening natural resource management and environmental protection (2013); Resolution No. 55-NQ/TW of the Politburo on strategic orientations for Viet Nam’s national energy development to 2030, with a vision to 2045 (2020); Conclusion No. 56-KL/TW of the Politburo on further implementing the Resolution of the 7th Party Central Committee, term XI on promoting proactive response to climate change, strengthening natural resource management and environmental protection (2019)</t>
  </si>
  <si>
    <t>: Law on Environmental Protection (2020); Law on Forestry (2017); Law on Economical and Efficient Use of Energy (2011); National Climate Change Strategy to 2050 (2022); National Strategy on Green Growth for the period 2021-2030 (2021);</t>
  </si>
  <si>
    <t>; Viet Nam’s Transportation Development Strategy to 2020, with a vision to 2030 (2013);</t>
  </si>
  <si>
    <t>the Transport Sector Plan 2013-2018 (2013),</t>
  </si>
  <si>
    <t>Transport Sector Plan</t>
  </si>
  <si>
    <t>Transport Sector Plan (mof.gov.ws)</t>
  </si>
  <si>
    <t>Samoa_2013_Transport-Sector-Plan-2013-2018_Vers.1</t>
  </si>
  <si>
    <t>In 2018 the Green Transport Strategy (GTS) for 2018 to 2050 was launched (DoT, 2018). The GTS provides the strategic direction for the transport sector regarding the reduction of GHG emissions, the contribution of transport to the green economy and the promotion of sustainable mobility. The Strategy aims to support reductions in the contribution of the transport sector to national greenhouse gas emissions by at least 5% by 2050.</t>
  </si>
  <si>
    <t xml:space="preserve">Green Transport Strategy </t>
  </si>
  <si>
    <t>https://www.transport.gov.za/documents/11623/89294/Green_Transport_Strategy_2018_2050_onlineversion.pdf/71e19f1d-259e-4c55-9b27-30db418f105a</t>
  </si>
  <si>
    <t>South Africa_2018_Green-Transport-Strategy-2018-2050</t>
  </si>
  <si>
    <t>2053 Transport and Logistics Master Plan</t>
  </si>
  <si>
    <t>Additionally, Saint Lucia is advancing decarbonization in the transport sector to support the transition to a low-carbon economy through two transformative projects,2 with several others coming on stream from 2025, including a Transport Policy and Sustainable Safe Passenger Mobility Policy.</t>
  </si>
  <si>
    <t>Transport Policy and Sustainable Safe Passenger Mobility Policy</t>
  </si>
  <si>
    <t>The details of the action policy as well as targets and estimates by greenhouse gases and other classifications are described in the Plan for Global Warming Countermeasures, which is a comprehensive implementation plan for achieving Japan's NDCs2, and in its related materials.</t>
  </si>
  <si>
    <t>Plan for Global Warming Countermeasures</t>
  </si>
  <si>
    <t>https://www.env.go.jp/earth/ondanka/keikaku/250218.html</t>
  </si>
  <si>
    <t xml:space="preserve">Transport GHG emissions in Mt </t>
  </si>
  <si>
    <t>This sheet contains transport sector emissions for each country. Source: Emissions Database for Global Atmospheric Research (EDGAR)</t>
  </si>
  <si>
    <t>Transport GHG emissions (2023)</t>
  </si>
  <si>
    <t>Total GHG emissions (2023))</t>
  </si>
  <si>
    <t>Per capita transport GHG emissions (2023)</t>
  </si>
  <si>
    <t>Bolivia</t>
  </si>
  <si>
    <t>Gambia</t>
  </si>
  <si>
    <t>Iran</t>
  </si>
  <si>
    <t>Laos</t>
  </si>
  <si>
    <t>Micronesia</t>
  </si>
  <si>
    <t>North Macedonia</t>
  </si>
  <si>
    <t>Venezuela</t>
  </si>
  <si>
    <t>North America</t>
  </si>
  <si>
    <t>OECD Countries</t>
  </si>
  <si>
    <t>Non-OECD Countries</t>
  </si>
  <si>
    <t>Low-income countries</t>
  </si>
  <si>
    <t>Middle-income countries</t>
  </si>
  <si>
    <t>High-income countries</t>
  </si>
  <si>
    <t>Lower-middle-income countries</t>
  </si>
  <si>
    <t>Upper-middle-income countries</t>
  </si>
  <si>
    <t>Least-developed countries</t>
  </si>
  <si>
    <t>G20 countries</t>
  </si>
  <si>
    <t>World</t>
  </si>
  <si>
    <t>Source: EDGAR</t>
  </si>
  <si>
    <t>Drop down lists</t>
  </si>
  <si>
    <t>This sheet contains some of the drop down lists used in the content sheets where they cannot be taken directly from other sheets</t>
  </si>
  <si>
    <t>Target area and target scope</t>
  </si>
  <si>
    <t>Unclear scope</t>
  </si>
  <si>
    <t>GHG target and target type</t>
  </si>
  <si>
    <t>Categories and purposes</t>
  </si>
  <si>
    <t>Purposes and measures</t>
  </si>
  <si>
    <t>Adaptation categories and measures</t>
  </si>
  <si>
    <t>For automatic assignment of target parameter</t>
  </si>
  <si>
    <t xml:space="preserve">Technical </t>
  </si>
  <si>
    <t>Assigned parameter</t>
  </si>
  <si>
    <t>T_Netzero_Unc</t>
  </si>
  <si>
    <t>new</t>
  </si>
  <si>
    <t>T_Netzero_C</t>
  </si>
  <si>
    <t>T_Netzero</t>
  </si>
  <si>
    <t>T_Economy_Unc</t>
  </si>
  <si>
    <t>T_Economy_C</t>
  </si>
  <si>
    <t>T_Economy</t>
  </si>
  <si>
    <t>T_Transport_O_Unc</t>
  </si>
  <si>
    <t>T_Transport_O_C</t>
  </si>
  <si>
    <t>T_Transport_O</t>
  </si>
  <si>
    <t>T_Transport_Unc</t>
  </si>
  <si>
    <t>T_Transport_C</t>
  </si>
  <si>
    <t>T_Transport</t>
  </si>
  <si>
    <t>T_Adaptation_Unc</t>
  </si>
  <si>
    <t>T_Adaptation_C</t>
  </si>
  <si>
    <t>T_Adaptation</t>
  </si>
  <si>
    <t>T_Energy_Unc</t>
  </si>
  <si>
    <t>T_Energy_C</t>
  </si>
  <si>
    <t>T_Energy</t>
  </si>
  <si>
    <t>T_Energy_O_Unc</t>
  </si>
  <si>
    <t>T_Energy_O_C</t>
  </si>
  <si>
    <t>T_Energy_O</t>
  </si>
  <si>
    <t>Target area and GHG target (not possible as drop-down restriction)</t>
  </si>
  <si>
    <t>Text Mining models</t>
  </si>
  <si>
    <t>GPT 3.5 Turbo</t>
  </si>
  <si>
    <t>GPT 4o mini</t>
  </si>
  <si>
    <t>Transport Mode Parameters</t>
  </si>
  <si>
    <t>Indicators</t>
  </si>
  <si>
    <t xml:space="preserve">This sheet contains information on the indicators used in the analysis </t>
  </si>
  <si>
    <t>IMPORTANT: Any changes in value names must also be transferred to the "drop down" tab and existing entries need to be re-assigned. There is no automatism!</t>
  </si>
  <si>
    <t>Type of indicator</t>
  </si>
  <si>
    <t>Indicator</t>
  </si>
  <si>
    <t>Value name</t>
  </si>
  <si>
    <t>Value idenifyer</t>
  </si>
  <si>
    <t>Related target area</t>
  </si>
  <si>
    <t>Related GHG target?</t>
  </si>
  <si>
    <t>Definition</t>
  </si>
  <si>
    <t>This parameter captures any economy-wide net zero targets.</t>
  </si>
  <si>
    <t xml:space="preserve">A reduction target for greenhouse gas emissions (covering CO2 and other relevant greenhouse gases) has been set for the whole economy or collectively for all sectors covered in the document. </t>
  </si>
  <si>
    <t xml:space="preserve">Transport sector mitigation target </t>
  </si>
  <si>
    <t>A greenhouse gas emission mitigation target has been set for transport or a transport subsector on the national level.</t>
  </si>
  <si>
    <t xml:space="preserve">A quantifiable target has been set for transport adaptation and resilience on the national level. </t>
  </si>
  <si>
    <t>A mitigation target for the energy sector (and thus indirectly for transport) has been adopted on the national.</t>
  </si>
  <si>
    <t>T_Unconditional</t>
  </si>
  <si>
    <t>This target is not conditional or contingent upon any other developments.</t>
  </si>
  <si>
    <t>T_Conditional</t>
  </si>
  <si>
    <t>This target is conditional or contingent upon international/external support.</t>
  </si>
  <si>
    <t>T_Unclear</t>
  </si>
  <si>
    <t>The document is not clear whether the target is unconditional or conditional.</t>
  </si>
  <si>
    <t>T_GHG</t>
  </si>
  <si>
    <t xml:space="preserve">The target specifies a value in terms of GHG that will be reduced or avoided  </t>
  </si>
  <si>
    <t>Non-GHG</t>
  </si>
  <si>
    <t>T_NONGHG</t>
  </si>
  <si>
    <t xml:space="preserve">The target DOES NOT specifiy a value in terms of GHG that will be reduced or avoided  </t>
  </si>
  <si>
    <t>T_BYE</t>
  </si>
  <si>
    <t>A commitment to reduce, or control the increase of, emissions by a specified quantity relative to a historical base year. For example, a 25% reduction from 1990 levels by 2020. These are sometimes referred to as “absolute” targets.</t>
  </si>
  <si>
    <t>T_BAU</t>
  </si>
  <si>
    <t>A commitment to reduce emissions by a specified quantity relative to a projected emissions baseline scenario</t>
  </si>
  <si>
    <t>T_FL</t>
  </si>
  <si>
    <t>A commitment to reduce, or control the increase of, emissions to a specified emissions quantity in a target year/period. Fixed-level target include carbon neutrality targets or phase-out targets, which aim to reach zero net emissions by a specified date. For example, zero net emissions by 2050.</t>
  </si>
  <si>
    <t>T_BYI</t>
  </si>
  <si>
    <t>A commitment to reduce emissions intensity (emissions per unit of another variable, typically GDP) by a specified quantity relative to a historical base year. For example, a 40% reduction below 1990 base year intensity by 2020.</t>
  </si>
  <si>
    <t>T_TRA</t>
  </si>
  <si>
    <t>A commitment to reduce, or control the increase of, emissions to specified emissions quantities in multiple target years or periods over a long time period (such as targets for 2020, 2030, and 2040 over the period 2020- 2050). Trajectory targets also include “peak-and decline” targets.</t>
  </si>
  <si>
    <t>T_Other</t>
  </si>
  <si>
    <t>GHG targets that do not fit in any other indicator</t>
  </si>
  <si>
    <t>T_E_REN</t>
  </si>
  <si>
    <t>A mitigation target for renewable energy such as capacity or production targets</t>
  </si>
  <si>
    <t>T_E_ENERGY</t>
  </si>
  <si>
    <t>T_O_AVOID</t>
  </si>
  <si>
    <t>Non-GHG transport targets only: targets related to avoided travel</t>
  </si>
  <si>
    <t>T_O_MODE</t>
  </si>
  <si>
    <t>Non-GHG transport targets only: targets related to changes in mode share</t>
  </si>
  <si>
    <t>T_O_INFRA</t>
  </si>
  <si>
    <t>Non-GHG transport targets only: targets related to infrastructure investment or specific amounts of infrastructure constructed</t>
  </si>
  <si>
    <t>T_O_EFF</t>
  </si>
  <si>
    <t>Non-GHG transport targets only: targets related to changes in vehicle efficiency</t>
  </si>
  <si>
    <t>T_O_ZERO</t>
  </si>
  <si>
    <t>Non-GHG transport targets only: targets related to electrification of vehicles and introduction of zero emission vehicles</t>
  </si>
  <si>
    <t>T_O_BIO</t>
  </si>
  <si>
    <t>Non-GHG transport targets only: targets related to biofuel</t>
  </si>
  <si>
    <t>T_O_REN</t>
  </si>
  <si>
    <t>Non-GHG transport targets only: targets related to renewable energy use in transport in general</t>
  </si>
  <si>
    <t>Non-national transport GHG mitigation target</t>
  </si>
  <si>
    <t>T_O_SUBGHG</t>
  </si>
  <si>
    <t>Non-GHG transport targets only: targets focusing on transport GHG mitigation reduction on a subnational level (NEW)</t>
  </si>
  <si>
    <t>T_O_Other</t>
  </si>
  <si>
    <t>Non-GHG transport targets that do not fit in any other indicator</t>
  </si>
  <si>
    <t>T_A_GEN</t>
  </si>
  <si>
    <t>All adaptation targets (could be further refined)</t>
  </si>
  <si>
    <t>T_ALL_E</t>
  </si>
  <si>
    <t>T_Netzero, T_Economy</t>
  </si>
  <si>
    <t>Targets that cover the whole economy</t>
  </si>
  <si>
    <t>T_ALL_S</t>
  </si>
  <si>
    <t>T_Transport, T_Adaptation, T_Energy</t>
  </si>
  <si>
    <t>Targets that cover the total sector for transport, energy, renewables and adaptation targets</t>
  </si>
  <si>
    <t>T_SUB_S</t>
  </si>
  <si>
    <t>Targets that cover one sector more specified sub-subsectors of the transport, energy or renewables sector or for adaptation</t>
  </si>
  <si>
    <t xml:space="preserve">T_UNCL </t>
  </si>
  <si>
    <t>T_Netzero, T_Economy, T_Transport, T_Adaptation, T_Energy</t>
  </si>
  <si>
    <t>Targets where the scope is not clear</t>
  </si>
  <si>
    <r>
      <t xml:space="preserve">Targets that declare a general ban to </t>
    </r>
    <r>
      <rPr>
        <u/>
        <sz val="10"/>
        <color theme="1"/>
        <rFont val="Calibri"/>
        <family val="2"/>
        <scheme val="minor"/>
      </rPr>
      <t>sell</t>
    </r>
    <r>
      <rPr>
        <sz val="10"/>
        <color theme="1"/>
        <rFont val="Calibri"/>
        <family val="2"/>
        <scheme val="minor"/>
      </rPr>
      <t xml:space="preserve"> of new ICE vehicles in a market  by a specific point of time. </t>
    </r>
  </si>
  <si>
    <r>
      <t xml:space="preserve">Targets that declare a ban to </t>
    </r>
    <r>
      <rPr>
        <u/>
        <sz val="10"/>
        <color theme="1"/>
        <rFont val="Calibri"/>
        <family val="2"/>
        <scheme val="minor"/>
      </rPr>
      <t>sell</t>
    </r>
    <r>
      <rPr>
        <sz val="10"/>
        <color theme="1"/>
        <rFont val="Calibri"/>
        <family val="2"/>
        <scheme val="minor"/>
      </rPr>
      <t xml:space="preserve"> new ICE cars in the market by a specific point of time. </t>
    </r>
  </si>
  <si>
    <t>ICE_SALES_PT</t>
  </si>
  <si>
    <r>
      <t xml:space="preserve">Targets that declare a ban to </t>
    </r>
    <r>
      <rPr>
        <u/>
        <sz val="10"/>
        <color theme="1"/>
        <rFont val="Calibri"/>
        <family val="2"/>
        <scheme val="minor"/>
      </rPr>
      <t>sell</t>
    </r>
    <r>
      <rPr>
        <sz val="10"/>
        <color theme="1"/>
        <rFont val="Calibri"/>
        <family val="2"/>
        <scheme val="minor"/>
      </rPr>
      <t xml:space="preserve"> new ICE public transport vehicles in the market  by a specific point of time. </t>
    </r>
  </si>
  <si>
    <t>Sales unclear scope</t>
  </si>
  <si>
    <t>ICE_SALES_U</t>
  </si>
  <si>
    <r>
      <t xml:space="preserve">Targets that declare a ban to </t>
    </r>
    <r>
      <rPr>
        <u/>
        <sz val="10"/>
        <color theme="1"/>
        <rFont val="Calibri"/>
        <family val="2"/>
        <scheme val="minor"/>
      </rPr>
      <t>sell</t>
    </r>
    <r>
      <rPr>
        <sz val="10"/>
        <color theme="1"/>
        <rFont val="Calibri"/>
        <family val="2"/>
        <scheme val="minor"/>
      </rPr>
      <t xml:space="preserve"> new ICE vehicles in the market  by a specific point of time. The scope of vehicles targeted is not clear. </t>
    </r>
  </si>
  <si>
    <t>Fleet all vehicles</t>
  </si>
  <si>
    <t>ICE_FLEET_ALL</t>
  </si>
  <si>
    <r>
      <t xml:space="preserve">Targets that declare a general ban to </t>
    </r>
    <r>
      <rPr>
        <u/>
        <sz val="10"/>
        <color theme="1"/>
        <rFont val="Calibri"/>
        <family val="2"/>
        <scheme val="minor"/>
      </rPr>
      <t>use</t>
    </r>
    <r>
      <rPr>
        <sz val="10"/>
        <color theme="1"/>
        <rFont val="Calibri"/>
        <family val="2"/>
        <scheme val="minor"/>
      </rPr>
      <t xml:space="preserve"> of ICE vehicles as part of a fleet  by a specific point of time. </t>
    </r>
  </si>
  <si>
    <t>Fleet cars</t>
  </si>
  <si>
    <t>ICE_FLEET_CAR</t>
  </si>
  <si>
    <r>
      <t xml:space="preserve">Targets that declare a ban to </t>
    </r>
    <r>
      <rPr>
        <u/>
        <sz val="10"/>
        <color theme="1"/>
        <rFont val="Calibri"/>
        <family val="2"/>
        <scheme val="minor"/>
      </rPr>
      <t>use</t>
    </r>
    <r>
      <rPr>
        <sz val="10"/>
        <color theme="1"/>
        <rFont val="Calibri"/>
        <family val="2"/>
        <scheme val="minor"/>
      </rPr>
      <t xml:space="preserve"> ICE cars as part of a fleet  by a specific point of time. </t>
    </r>
  </si>
  <si>
    <r>
      <t xml:space="preserve">Targets that declare a  ban to </t>
    </r>
    <r>
      <rPr>
        <u/>
        <sz val="10"/>
        <color theme="1"/>
        <rFont val="Calibri"/>
        <family val="2"/>
        <scheme val="minor"/>
      </rPr>
      <t>use</t>
    </r>
    <r>
      <rPr>
        <sz val="10"/>
        <color theme="1"/>
        <rFont val="Calibri"/>
        <family val="2"/>
        <scheme val="minor"/>
      </rPr>
      <t xml:space="preserve"> ICE public transport vehicles as part of a fleet  by a specific point of time. </t>
    </r>
  </si>
  <si>
    <t>ICE_FLEET_U</t>
  </si>
  <si>
    <r>
      <t xml:space="preserve">Targets that declare a  ban to </t>
    </r>
    <r>
      <rPr>
        <u/>
        <sz val="10"/>
        <color theme="1"/>
        <rFont val="Calibri"/>
        <family val="2"/>
        <scheme val="minor"/>
      </rPr>
      <t>use</t>
    </r>
    <r>
      <rPr>
        <sz val="10"/>
        <color theme="1"/>
        <rFont val="Calibri"/>
        <family val="2"/>
        <scheme val="minor"/>
      </rPr>
      <t xml:space="preserve"> ICE  vehicles as part of a fleet  by a specific point of time. The scope of vehicles targeted is not clear. </t>
    </r>
  </si>
  <si>
    <t>Other ICE phase-out targets</t>
  </si>
  <si>
    <t>ICE_OTHER</t>
  </si>
  <si>
    <t>Document</t>
  </si>
  <si>
    <t>Summary transport target</t>
  </si>
  <si>
    <t>GHG target</t>
  </si>
  <si>
    <t>non-GHG target</t>
  </si>
  <si>
    <t>GHG and non-GHG target</t>
  </si>
  <si>
    <t>No transport target</t>
  </si>
  <si>
    <t>Conditionality unclear</t>
  </si>
  <si>
    <t>No GHG transport target</t>
  </si>
  <si>
    <t xml:space="preserve">Indicator </t>
  </si>
  <si>
    <t>Value identifyer</t>
  </si>
  <si>
    <t>Related category</t>
  </si>
  <si>
    <t>Related purpose</t>
  </si>
  <si>
    <t>Type of measure: category</t>
  </si>
  <si>
    <t>C_Mode</t>
  </si>
  <si>
    <t>This category is for measures that encourage more environmentally friendly transport modes or that reduce overall demand for motorised transport. It includes several pricing-related measures (taxes, subsidies and other economic instruments). </t>
  </si>
  <si>
    <t>C_System</t>
  </si>
  <si>
    <t>This category is for mitigation measures that address the entire transport system and closely related sectors. It covers planning, land use and infrastructure measures, but also considers transport system improvements, intelligent transport systems,  freight demand management and transport-related education activities.   </t>
  </si>
  <si>
    <t>C_Efficiency</t>
  </si>
  <si>
    <t xml:space="preserve">This category is used for measures that seek to improve the energy efficiency of vehicles and the transport system as a whole. </t>
  </si>
  <si>
    <t>C_Electrification</t>
  </si>
  <si>
    <t>This category includes mitigation measures that focus on the electrification of transport, including electric vehicle uptake, purchase incentives and charging</t>
  </si>
  <si>
    <t>C_Fuels</t>
  </si>
  <si>
    <r>
      <rPr>
        <sz val="11"/>
        <color rgb="FF000000"/>
        <rFont val="Calibri"/>
        <family val="2"/>
        <scheme val="minor"/>
      </rPr>
      <t>This category considers measures related to the use of alternative fuels (e.g. ethanol, hydrogen, LPG) </t>
    </r>
    <r>
      <rPr>
        <b/>
        <sz val="11"/>
        <color rgb="FF000000"/>
        <rFont val="Calibri"/>
        <family val="2"/>
        <scheme val="minor"/>
      </rPr>
      <t>except for electric mobility</t>
    </r>
  </si>
  <si>
    <t>C_Innovation</t>
  </si>
  <si>
    <t>This category includes innovations in aviation, shipping. They are treated as a category apart because they represent areas, for which few mitigation options exist. </t>
  </si>
  <si>
    <t>Type of measure: purpose</t>
  </si>
  <si>
    <t>P_TDM</t>
  </si>
  <si>
    <t>This purpose covers various strategies that address transport demand. Such measures aim to act on the transport demand (km traveled) and the choice of modes by encouraging low-carbon modes (such as walking, cycling or public transport) and discouraging the use of high-emission modes.</t>
  </si>
  <si>
    <t>P_Sustainable</t>
  </si>
  <si>
    <t>This purpose refers to the overarching economic structures and conditions in which people make transport-related choices (such as buying a vehicle, chosing a mode to travel). It covers green procurement, carbon-related pricing and finance mechanisms as well as taxes and subsidies for transport decarbonization. </t>
  </si>
  <si>
    <t>P_DigitalEff</t>
  </si>
  <si>
    <t xml:space="preserve">This purpose groups measures that enhance the efficiency of modes/transport systems through digital solutions </t>
  </si>
  <si>
    <t>P_Active</t>
  </si>
  <si>
    <t xml:space="preserve">This purpose groups measures that contribute to promoting active mobiliy (also called non-motorised transport), such as cycling and warlking, wheelchair movement </t>
  </si>
  <si>
    <t>P_Public</t>
  </si>
  <si>
    <t>The purporse  covers all measures designed to improve or further develop the public transport system.</t>
  </si>
  <si>
    <t>P_Planning</t>
  </si>
  <si>
    <t>This purpose considers planning tools and overall planning frameworks to support sustainable transport. </t>
  </si>
  <si>
    <t>P_Infrastructure</t>
  </si>
  <si>
    <t xml:space="preserve">This purpose covers measures that focus on improving and expanding infrastructure and its utilization and ensure intermodality by interlinking different modes of transport. </t>
  </si>
  <si>
    <t>P_Freight</t>
  </si>
  <si>
    <t>This purpose covers measures for the improvement of the freight transport system. </t>
  </si>
  <si>
    <t>P_Education</t>
  </si>
  <si>
    <t xml:space="preserve">This purpose covers measures targeting a change of behaviour through education and awareness </t>
  </si>
  <si>
    <t>P_Vehicles</t>
  </si>
  <si>
    <t>This purpose refers to  improvements that enhance the energy efficiency of  vehicles.</t>
  </si>
  <si>
    <t>P_Electric</t>
  </si>
  <si>
    <t>This purpose covers measures that seek to foster the transition to electric mobility.</t>
  </si>
  <si>
    <t>P_Altfuel</t>
  </si>
  <si>
    <t>This purpose considers measures aimed at promoting the use of alternative fuels.</t>
  </si>
  <si>
    <t>P_Aviation</t>
  </si>
  <si>
    <t xml:space="preserve">This purpose considers measures aimed at promoting technical improvement in the aviation sector. </t>
  </si>
  <si>
    <t>P_Shipping</t>
  </si>
  <si>
    <t xml:space="preserve">This purpose considers measures aimed at promoting technical improvement in the shipping sector. </t>
  </si>
  <si>
    <t>Type of measure: instruments</t>
  </si>
  <si>
    <t>A_TDM</t>
  </si>
  <si>
    <t>This parameter records any general mention of activities focusing on reducing demand for motorized transport. </t>
  </si>
  <si>
    <t>A_Caraccess</t>
  </si>
  <si>
    <t xml:space="preserve">This parameter refers to car access measures that restrict the physical access of certain types of vehicles to certain places (e.g. city centres). An example are Low Emission Zones. By resticting access based on certain criteria (type of propulsion technique, euro-Standards, age etc) access limitations can have differentiated impact such as GHG emissions reductions, air pollutants reduction and congestion prevention. They can encourage the use of low-carbon modes like cycling and public transport and/or support technological shift to cleaner technologies. </t>
  </si>
  <si>
    <t>A_Commute</t>
  </si>
  <si>
    <t>This parameter refers to the management of circumstances and incentives for employee commuter travel and working arrangements to reduce traffic and automobile use. </t>
  </si>
  <si>
    <t>S_Parking</t>
  </si>
  <si>
    <t xml:space="preserve">This parameter refers to actions that aim to improve parking management such as pricing, quantity restrictions, parking reform etc. which then also contribute to a reduced demand of motorised travel. </t>
  </si>
  <si>
    <t>A_Economic</t>
  </si>
  <si>
    <t>This parameter records any general mention of economic instruments, such as taxes&amp; tax breaks, fees, duties and subsidies, which contribute to integrating  environmental costs and benefits into the budgets of households and firms.  </t>
  </si>
  <si>
    <t>A_Emistrad</t>
  </si>
  <si>
    <t>This parameter refers to emissions trading systems (ETS) or cap-and-trade systems:  a pricing mechanism for emitted greenhouse gas emissions. Unlike a direct carbon tax, where the unit price of CO2 is fixed, under an emissions trading scheme, the price per tonne of CO2 varies. The overall amount of emissions is fixed for a given period of time (e.g. annually). Entities are allocated a set amount of CO2 emissions allowances, or quotas, and trade emissions with each another. Those able to reduce their emissions below their allowance level can trade them with those emitting in excess of their allowance.  </t>
  </si>
  <si>
    <t>A_Finance</t>
  </si>
  <si>
    <r>
      <t>This parameter records financing instruments used to pay for technologies, projects and programmes that reduce GHG emissions. Financing instruments that aim to support decarbonization include climate finance solutions, investments in EVs, green bonds, etc. </t>
    </r>
    <r>
      <rPr>
        <b/>
        <sz val="11"/>
        <color theme="1"/>
        <rFont val="Calibri"/>
        <family val="2"/>
        <scheme val="minor"/>
      </rPr>
      <t xml:space="preserve">Not to confound with economic instruments! </t>
    </r>
  </si>
  <si>
    <t>A_Fossilfuelsubs</t>
  </si>
  <si>
    <t xml:space="preserve">This parameter refers to policies and decisions that eliminate or reduce subsidies for fossil fuels. Energy subsidies are used by governments to lower the cost of producing or consuming fossil fuels. Eliminating such subsidies can help to reduce reliance on fossil fuels. </t>
  </si>
  <si>
    <t>A_Fueltax</t>
  </si>
  <si>
    <t>This parameter records national or local taxes on the sale of fuel. Every fuel type is taxed differently. One target of taxing fuel is to reduce fuel consumption and encourage more efficient transport modes. </t>
  </si>
  <si>
    <t>A_Procurement</t>
  </si>
  <si>
    <t>This parameter refers to stakeholders to taking into account environmental impacts when procuring goods and services. Applied to transport, it means that a public authority can develop green procurement regulations that, for example, only allow the purchase of zero-emission vehicles. Such measures can support the transition to cleaner public vehicle fleets and more sustainable consumption. </t>
  </si>
  <si>
    <t>A_Roadcharging</t>
  </si>
  <si>
    <t>This parameter refers to surcharges applied to general or specific road use, including in particular highway tolls. This includes congestion pricing.</t>
  </si>
  <si>
    <t>A_Vehicletax</t>
  </si>
  <si>
    <t xml:space="preserve">This parameter refers to  taxes on vehicle pruchase and/or ownership </t>
  </si>
  <si>
    <t>I_Autonomous</t>
  </si>
  <si>
    <t>This parameter identifies measures that promote self-driving vehicles, artificial intelligence and any other mechanisms that support the automation of passenger and freight transport. </t>
  </si>
  <si>
    <t>Data &amp; modelling improvements</t>
  </si>
  <si>
    <t>I_DataModelling</t>
  </si>
  <si>
    <t>This parameter identifies any measures related to transport data (e.g. collection, analysis or application) as well as models designed to predict traffic flows or transport demand growth. </t>
  </si>
  <si>
    <t>I_Other</t>
  </si>
  <si>
    <t>This parameter includes activities that mention the use of innovation and digitalization to improve the efficiency of transport.</t>
  </si>
  <si>
    <t>I_ITS</t>
  </si>
  <si>
    <t>This parameter refers to intelligent transport systems that  harness technology to improve the management and operation of transport services. Relevant technologies include sensors, wireless communications, notification systems and other ICT solutions.  </t>
  </si>
  <si>
    <t>S_Sharedmob</t>
  </si>
  <si>
    <t>This parameter includes general measures in the area of shared mobility, such as bike sharing, car-sharing, shared scooters etc.. </t>
  </si>
  <si>
    <t>S_Activemobility</t>
  </si>
  <si>
    <t>This parameter is used for general measures that refer to walking and cycling are included here. </t>
  </si>
  <si>
    <t>S_Cycling</t>
  </si>
  <si>
    <t>This parameter covers any action that specifically mentions improving cycling is included here. </t>
  </si>
  <si>
    <t>S_Walking</t>
  </si>
  <si>
    <t>This parameter covers any action that specifically mentions improving walking is included here. </t>
  </si>
  <si>
    <t>S_BRT</t>
  </si>
  <si>
    <t>This parameter refers to Bus rapid transit (BRT): a bus system with high speed, capacity, punctuality and operating flexibility. Common characteristics of a BRT system include the use of bus-only lanes, advance ticketing, and articulated buses.</t>
  </si>
  <si>
    <t>S_PTIntegration</t>
  </si>
  <si>
    <t>This parameter covers activities that aim to expand public transport or integrate different public transport services into a single system.</t>
  </si>
  <si>
    <t>S_PTPriority</t>
  </si>
  <si>
    <t>This parameter looks at actions that give priority to public transport over other modes. Examples include transit signal priorities, access priority, intelligent transport systems and express lanes. </t>
  </si>
  <si>
    <t>S_PublicTransport</t>
  </si>
  <si>
    <t>This parameter covers all activities that aim to improve the public transport system. </t>
  </si>
  <si>
    <t>A_Complan</t>
  </si>
  <si>
    <t>This parameter records any general mention of transport planning.</t>
  </si>
  <si>
    <t>A_LATM</t>
  </si>
  <si>
    <t>This parameter looks at management, infrarstructure and techonlogical approaches with the goal of improving traffic flow. </t>
  </si>
  <si>
    <t>A_Natmobplan</t>
  </si>
  <si>
    <t>A national mobility plan provides a comprehensive long-term planning framework for the transport sector. It features a vision and timeframes for action at the national level. This parameter records these planning activities that focus on nationwide transport. </t>
  </si>
  <si>
    <t>A_SUMP</t>
  </si>
  <si>
    <t>A sustainable urban mobility plan (SUMP) is “a strategic plan designed to satisfy the mobility needs of people and businesses in cities and their surroundings for a better quality of life. It builds on existing planning practices and takes due consideration of integration, participation and evaluation principles”. If the document refers to a SUMP or an integrated approach on urban mobility, this is captured here. </t>
  </si>
  <si>
    <t>A_Mixuse</t>
  </si>
  <si>
    <t xml:space="preserve">This parameter captures different features of the urban built environment that contribute to low mileage and sustainble travel patterns. This inclues urban density, land-use diversity "mixed used" and enhanced accessibility. </t>
  </si>
  <si>
    <t>S_Infraexpansion</t>
  </si>
  <si>
    <t>This parameter refers to activities that aim to introduce new infrastructure or expand infrastructure for transport . If a measure is dedicated to a specific transport mode, then it might be captured under that specific parameter. Any general mention of expanding transport infrastructure is collected here. </t>
  </si>
  <si>
    <t>S_Infraimprove</t>
  </si>
  <si>
    <t>This parameter is for measures that outline general improvements in transport infrastructure or the transport system as a whole, without providing details about specific measures. </t>
  </si>
  <si>
    <t>S_Intermodality</t>
  </si>
  <si>
    <t>Intermodality is the combination of different transport modes with the goal of enabling convenient, seamless transfer between them. Any general activities that highlight intermodality but do not specify actions are included here. </t>
  </si>
  <si>
    <t>I_Freighteff</t>
  </si>
  <si>
    <t>This parameter records general efficiency improvements in freight. If the document does not specify a specific activity or action that belongs to the other freight efficiency activities, then it is captured here. </t>
  </si>
  <si>
    <t>I_Load</t>
  </si>
  <si>
    <t>This parameter is for measures that encourage reliance on high-capacity vehicles (trains, ships, etc.) in order to achieve lower carbon intensity per ton transported.  </t>
  </si>
  <si>
    <t>S_Railfreight</t>
  </si>
  <si>
    <t>In freight transport, intermodality often entails a shift to less carbon-intensive transport modes (e.g. rail and waterborne transport). This parameter records any actions that support a shift of road freight to rail or waterways. </t>
  </si>
  <si>
    <t>I_Ecodriving</t>
  </si>
  <si>
    <t>Ecodriving refers to educational measures that encourage more efficient driving practices. Such practices can reduce fuel consumption and are captured in this parameter. </t>
  </si>
  <si>
    <t>I_Education</t>
  </si>
  <si>
    <t>This parameter is for general educational activities and behavioral change related to transport, e.g. concerning the environmental impacts of private vehicle use, the benefits of electric vehicles, etc. </t>
  </si>
  <si>
    <t>I_Vehiclelabel</t>
  </si>
  <si>
    <t xml:space="preserve">This parameter refers to measures requiring publication of information on environment impacts, this environmental impact can be GHG emissions, fuel consumption, carbon intesntiy of a fuel or local pollutants. All of the different labels are captured under this parameter. </t>
  </si>
  <si>
    <t>I_Efficiencystd</t>
  </si>
  <si>
    <r>
      <t>This parameter captures emission standards that regulate air pollution exhaust emission(such as NOx) such as the EURO standards Euro1-6 </t>
    </r>
    <r>
      <rPr>
        <b/>
        <sz val="11"/>
        <color rgb="FF000000"/>
        <rFont val="Calibri"/>
        <family val="2"/>
        <scheme val="minor"/>
      </rPr>
      <t xml:space="preserve">(not referring to CO2 standards) </t>
    </r>
  </si>
  <si>
    <t>I_Fuelqualimprove</t>
  </si>
  <si>
    <t>A high-quality fuel contains very low levels of sulfur. Countries set fuel quality standards in order to guarantee fuel quality. This parameter covers any mention of clean fuels or better fuel quality in the transport sector</t>
  </si>
  <si>
    <t>I_Inspection</t>
  </si>
  <si>
    <t>A well-maintained vehicle can ensure higher energy efficiency. This parameter considers measures that pertain to vehicle inspections or maintenance. </t>
  </si>
  <si>
    <t>I_Vehicleeff</t>
  </si>
  <si>
    <t xml:space="preserve">This parameter captures measures designed to improve vehicle efficiency or lower transport emissions. This is done through fuel economy  (or CO2) standards, which regulate how far a vehicle must travel when consuming a given quantity of fuel (e.g. in liters per 100 km or miles per gallon or CO2/100km). </t>
  </si>
  <si>
    <t>I_Vehicleimprove</t>
  </si>
  <si>
    <t>This parameter identifies any general vehicle improvement measures that are included in the document. </t>
  </si>
  <si>
    <t>I_VehicleRestrictions</t>
  </si>
  <si>
    <t>This parameter encompasses various restrictions to vehicle ownership or purchase, including import bans on older vehicles or sale restrictions on particularly polluting vehicles. </t>
  </si>
  <si>
    <t>I_Vehiclescrappage</t>
  </si>
  <si>
    <t>In order to support the transition to cleaner, more efficient vehicles, governments may provide incentives when an owner scraps their current, old vehicle (rather than reselling it). </t>
  </si>
  <si>
    <t>I_Emobility</t>
  </si>
  <si>
    <t>Any general policies that refer to electric mobility without specifying a transport mode or specific measure are covered by this parameter. </t>
  </si>
  <si>
    <t>I_Emobilitycharging</t>
  </si>
  <si>
    <t>Electric vehicle charging infrastructure is needed to promote the adoption of electric vehicles. Measures that seek to increase the number of public charging stations or facilitate more private/public charging points are covered here</t>
  </si>
  <si>
    <t>I_Emobilitypurchase</t>
  </si>
  <si>
    <t>National and local governments can support the transition to e-mobility by providing financial incentives for the purchase of electric vehicles.  </t>
  </si>
  <si>
    <t>I_Smartcharging</t>
  </si>
  <si>
    <t>Smart charging refers to systems that optimize electric vehicle charging by prioritizing off-peak hours or times of high variable renewable feed-in.  </t>
  </si>
  <si>
    <t>S_Micromobility</t>
  </si>
  <si>
    <t>Micromobility refers to electric personal transportation devices, such as electric kick-scooters and other electric-powered devices, not covered under shared mobility. </t>
  </si>
  <si>
    <t>I_Altfuels</t>
  </si>
  <si>
    <t>Any general reference to the use of alternative fuels in the transport sector is recorded here. </t>
  </si>
  <si>
    <t>I_Lowemissionincentive</t>
  </si>
  <si>
    <r>
      <t>This parameter refers to purchase incentives granted to consumers for lower emission vehicles (</t>
    </r>
    <r>
      <rPr>
        <b/>
        <sz val="11"/>
        <rFont val="Calibri"/>
        <family val="2"/>
        <scheme val="minor"/>
      </rPr>
      <t>excluding electric and hybrid vehicles</t>
    </r>
    <r>
      <rPr>
        <sz val="11"/>
        <rFont val="Calibri"/>
        <family val="2"/>
        <scheme val="minor"/>
      </rPr>
      <t>). </t>
    </r>
  </si>
  <si>
    <t>I_Biofuel</t>
  </si>
  <si>
    <t>Conventional diesel and gasoline can be mixed with less carbon-intense fuels. Many national governments set blending mandates (for example, 10% or 20% of diesel has to be biofuel). The most common biofule is ethanol. Any general biofuel blending mandates as well as specific methons of ethanol (or other biofuls) are covered here. </t>
  </si>
  <si>
    <t>I_Hydrogen</t>
  </si>
  <si>
    <t>This parameter refers to this  relatively new fuel in the transport sector; hydrogen is used in fuel-cell electric vehicles. Green hydrogen that is produced using renewable electricity is seen as one important component of the energy transition in transport. </t>
  </si>
  <si>
    <t>I_LPGCNGLNG</t>
  </si>
  <si>
    <t>This parameter is for measures that refer to liquified petroleum gas (LPG), compressed natural gas (CNG) or liquified natural gas (LNG) in the transport sector. </t>
  </si>
  <si>
    <t>I_ICEdiesel</t>
  </si>
  <si>
    <t>This parameter identifies efforts to phase-out of fossil fuel vehicles. The most common policy is a sales ban on new diesel or gasoline vehicles starting in a specific year. Such policies seek to accelerate the adoption of electric vehicles</t>
  </si>
  <si>
    <t>I_RE</t>
  </si>
  <si>
    <t>Renewable energy for transport looks at the use of biofuels, green hydrogen and green electricity. This parameter captures any actions that make a direct link between transport and renewables.</t>
  </si>
  <si>
    <t>I_Aircraftfleet</t>
  </si>
  <si>
    <t>Newer aircraft are generally more energy efficient. This parameter refers to activities designed to renew the aircraft fleet or only allow newer aircraft to operate. </t>
  </si>
  <si>
    <t>I_Airtraffic</t>
  </si>
  <si>
    <t>Any measures that focus on improving air traffic are referred to here. </t>
  </si>
  <si>
    <t>I_Aviation</t>
  </si>
  <si>
    <t>Any general measures that focus on the aviation sector are referred to here. </t>
  </si>
  <si>
    <t>I_CO2certificate</t>
  </si>
  <si>
    <t>CO2 certification systems aim to mitigate greenhouse gas emissions by airports and ground operations. This parameter is for initiatives designed to improve the energy efficiency and carbon footprint of airports. </t>
  </si>
  <si>
    <t>I_Jetfuel</t>
  </si>
  <si>
    <t>This parameter refers to policies designed to lower the carbon intensity of fuels for aviation or to introduce alternative fuel sources, including biofuel blending mandates. </t>
  </si>
  <si>
    <t>I_Onshorepower</t>
  </si>
  <si>
    <t>While low-carbon fuels for ships are still being explored, there are already several solutions for providing electricity to vessel when docked. This is also commonly known as “cold ironing”. </t>
  </si>
  <si>
    <t>I_PortInfra</t>
  </si>
  <si>
    <t>This parameter refers to improvements to ports and other shore-based facilities.  </t>
  </si>
  <si>
    <t>I_Shipefficiency</t>
  </si>
  <si>
    <t>The parameter identifies actions that aim to improve the energy efficiency of ships.  </t>
  </si>
  <si>
    <t>I_Shipping</t>
  </si>
  <si>
    <t>This parameter refers to any general measure that targets shipping, maritime transport or inland navigation. </t>
  </si>
  <si>
    <t>No concrete instrument</t>
  </si>
  <si>
    <t>S_Noinstrument</t>
  </si>
  <si>
    <t>NEW! Can apply to all categories &amp; purposes</t>
  </si>
  <si>
    <t xml:space="preserve">Avoid measures reduce the need to travel and shorten travel distances through spatial proximity and accessiblity and as well as non-spatial measures such as digital access or telework </t>
  </si>
  <si>
    <t xml:space="preserve">Stands for measures that shift transport demand from high-emission modes (such as private cars, air travel) to low-emission modes (walking, cycling, public transport). Shift measures can furthermore be divided in push and pull measures (discouragining  and encouraging the use of  desired/undesired modes of transport) </t>
  </si>
  <si>
    <t xml:space="preserve">Improve measures seek to increase the energy efficiency and GHG footprint of vehicles and transport systems as a whole. Formerly this was mostly achieved through incremental energy efficiency gains thanks to improved vehicle design. Nowadays improve measures mostely relate to the transition from ICE to zero-emission propulsion technologies. </t>
  </si>
  <si>
    <t xml:space="preserve">Measures that have at the same time an "avoid" and a "shift" effect on transport. This could be e.g. the design of a high-density walkable neighbourhood which reduces travel distance and encourages mode shift to walking. </t>
  </si>
  <si>
    <t xml:space="preserve">Measures that have at the same time an "avoid" and a "improve" effect on transport. </t>
  </si>
  <si>
    <t xml:space="preserve">Measures that have at the same time an "shift" and a "improve" effect on transport. This could be a public transport investment programme that substitutes diesel by electric buses and seeks to increase ridership e.g. through higher frequencies or an increase of the commercial speed. </t>
  </si>
  <si>
    <t xml:space="preserve">Measures that have at the same time an "avoid", "shift" and an "improve" effect on transport. This is often the case in comprehensive planning approaches such as SUMPs. </t>
  </si>
  <si>
    <t>Activity</t>
  </si>
  <si>
    <t xml:space="preserve">Measures where it it not clear whether the focus is on the transport of people or of goods </t>
  </si>
  <si>
    <t xml:space="preserve">Measures targeting the transport of persons. </t>
  </si>
  <si>
    <t>Measures targeting the transport of goods</t>
  </si>
  <si>
    <t>E_Passenger&amp;Freight</t>
  </si>
  <si>
    <t xml:space="preserve">Measures targeting the transport of people and of goods. </t>
  </si>
  <si>
    <t>S_Implemented</t>
  </si>
  <si>
    <t>Added</t>
  </si>
  <si>
    <t>S_Planned</t>
  </si>
  <si>
    <t>S_Unclear</t>
  </si>
  <si>
    <t>A_TECH</t>
  </si>
  <si>
    <t>The category addresses structural solutions (infrastructure development and refurbishment) and technical solutions (risk modelling and other technologies) designed to address climate change risks or impacts.</t>
  </si>
  <si>
    <t>A_INFO</t>
  </si>
  <si>
    <t>Adaptation measures related to monitoring and warning systems, disaster planning, and education and training.</t>
  </si>
  <si>
    <t>A_REG</t>
  </si>
  <si>
    <t xml:space="preserve">This category covers measures in the fiels of regulations (laws, norms, policies) and institutions (creation of an authority, extension of responsbilities etc.) </t>
  </si>
  <si>
    <t>A_OTHER</t>
  </si>
  <si>
    <t xml:space="preserve">This category groups measures that do not fit in the previous categories </t>
  </si>
  <si>
    <t>R_Infrares</t>
  </si>
  <si>
    <t>This parameter identifies efforts to adapt transport infrastructure to climate change impacts and to increase its resilience</t>
  </si>
  <si>
    <t>R_System</t>
  </si>
  <si>
    <t>This parameter identifies efforts to adapt to climate change impacts to transport infrastructure and to increase ist resilience</t>
  </si>
  <si>
    <t>R_Risk</t>
  </si>
  <si>
    <t>This parameter identifies efforts to understand risks and impacts to the transport system (e.g. through modelling).</t>
  </si>
  <si>
    <t>R_Tech</t>
  </si>
  <si>
    <t>This parameter identifies efforts to adopt resilient transport technologies (e.g. climate resilient materials for streets or cars).</t>
  </si>
  <si>
    <t>R_Maintain</t>
  </si>
  <si>
    <t>This parameter identifies any efforts to maintain and repair infrastructure and transport systems.</t>
  </si>
  <si>
    <t>R_Monitoring</t>
  </si>
  <si>
    <t>This parameter identifies efforts to adopt  monitoring systems, e.g. to detect risks early on.</t>
  </si>
  <si>
    <t>R_Education</t>
  </si>
  <si>
    <t>This parameter records efforts to educate and train transport officials  regarding the vulnerability of transport systems and infrastructure to climate change.</t>
  </si>
  <si>
    <t>R_Emergency</t>
  </si>
  <si>
    <t>This parameter covers explicit mentions of an early warning system.</t>
  </si>
  <si>
    <t>R_Planning</t>
  </si>
  <si>
    <t>This parameter records any activities designed to raise the importance of resilience and adaptation in transport planning.</t>
  </si>
  <si>
    <t>R_Relocation</t>
  </si>
  <si>
    <t>This parameter refers to efforts to relocate infrastructure or populations due to current or anticipated threats.</t>
  </si>
  <si>
    <t>R_Redundancy</t>
  </si>
  <si>
    <t>This refers to the construction of redundant infrastructure/facilities, to prepare for the possible failure of existing systems.</t>
  </si>
  <si>
    <t>R_Laws</t>
  </si>
  <si>
    <t>This parameter identifies laws or regulations that focus on climate change adaptation in the transport sector.</t>
  </si>
  <si>
    <t>R_Design</t>
  </si>
  <si>
    <t>This parameter refers to the adoption of  improved, more resilient design standards to effectively protect or reinforce transport facilities or infrastructure.</t>
  </si>
  <si>
    <t>R_Other</t>
  </si>
  <si>
    <t>Other adaptation measures for transport not falling under the categories listed above.</t>
  </si>
  <si>
    <t>Any policy content that makes a direct link between climate action on transport and air pollution as well as air quality improvements.</t>
  </si>
  <si>
    <t>Any policy references linking transport measures explicitly to improvements in traffic and less congestion.</t>
  </si>
  <si>
    <t xml:space="preserve">Policy content explicitly linking transport actions with social aspects, such as inclusion, equity or access to social services. </t>
  </si>
  <si>
    <t>This parameter identifies health benefits that are attributable to transport measures in the document. It captures any policy content that establishes a direct connection between transport policy and human health.</t>
  </si>
  <si>
    <t>Transport measures that explicitly mention improved access or accessibility are captured here. The accessibility improvements can aim to promote jobs, education or essential services.</t>
  </si>
  <si>
    <t>The transport measure is captured by this parameter if it creates a direct linkage to road safety, accidents and road fatalities.</t>
  </si>
  <si>
    <t>List all related SDGs in a single Cell, for example "SDG 1, SDG 3, SDG 9, SDG 11"</t>
  </si>
  <si>
    <t xml:space="preserve">Reference to benefits for consumers or the national economy (e.g. positive impacts on the national trade balance through reduced imports of fossil fuels) </t>
  </si>
  <si>
    <t>Definition indicators</t>
  </si>
  <si>
    <t xml:space="preserve">This sheet contains more detailed definitions for mitigation indicators used in the analysis </t>
  </si>
  <si>
    <t>MITIGATION</t>
  </si>
  <si>
    <t>Category level</t>
  </si>
  <si>
    <t>Source (Definition)</t>
  </si>
  <si>
    <t>This category is for mitigation measures that address the entire transport system and closely related sectors. It covers planning, land use and infrastructure measures, but also considers transport system improvements, such as parking management, freight demand management and transport-related education activities.   </t>
  </si>
  <si>
    <t>This subcategory considers planning tools and overall planning frameworks to support sustainable transport.  </t>
  </si>
  <si>
    <t>This parameter records any general mention of transport planning. </t>
  </si>
  <si>
    <t>VTI (215): Comprehensive Transport Planning </t>
  </si>
  <si>
    <t>A national mobility plan provides a comprehensive long-term planning framework for the transport sector. It features a vision and timeframes for action at the national level. This parameter records any activities that focus on nationwide transport. </t>
  </si>
  <si>
    <r>
      <t>A sustainable urban mobility plan (SUMP) is “</t>
    </r>
    <r>
      <rPr>
        <i/>
        <sz val="10"/>
        <color rgb="FF000000"/>
        <rFont val="Arial"/>
        <family val="2"/>
      </rPr>
      <t>a strategic plan designed to satisfy the mobility needs of people and businesses in cities and their surroundings for a better quality of life. It builds on existing planning practices and takes due consideration of integration, participation and evaluation principles</t>
    </r>
    <r>
      <rPr>
        <sz val="10"/>
        <color rgb="FF000000"/>
        <rFont val="Arial"/>
        <family val="2"/>
      </rPr>
      <t>”. If the document refers to a SUMP or an integrated approach on urban mobility, this is captured here. </t>
    </r>
  </si>
  <si>
    <t>European Commission (n.d.) </t>
  </si>
  <si>
    <t>It looks at transport or a specific transport method with the goal of improving traffic flow. </t>
  </si>
  <si>
    <t>Land use</t>
  </si>
  <si>
    <t>The subcategory on land use assesses density and mixed use as well as standards for urban mobility planning and street design. </t>
  </si>
  <si>
    <t>General land use</t>
  </si>
  <si>
    <t>A_Landuse</t>
  </si>
  <si>
    <t>This parameter captures land-use planning related to transport. The most important land use elements are density (of population and/or jobs), diversity (mix of uses), design (pedestrian quality, street network density), and distance to public transport.  </t>
  </si>
  <si>
    <t>ITF (2020): Land use planning </t>
  </si>
  <si>
    <t>Development density or intensiveness</t>
  </si>
  <si>
    <t>A_Density</t>
  </si>
  <si>
    <t>This measure intends to develop compact cities by achieving high density, usage diversity and accessibility. It tries to avoid or reduce urban sprawl. </t>
  </si>
  <si>
    <t>Mixed use</t>
  </si>
  <si>
    <t>“Mixed-use” is an urban planning approach that combines several urban functions (living, working and shopping) in close proximity. One goal is to encourage short travel distances. </t>
  </si>
  <si>
    <t>This subcategory covers measures that focus on improving and expanding infrastructure and its utilization and ensure intermodality by interlinking different transport modes. </t>
  </si>
  <si>
    <t>General infrastructure improvements</t>
  </si>
  <si>
    <t>Activities that aim to introduce new infrastructure or expand infrastructure for transport are captured by this parameter. If a measure is dedicated to a specific transport mode, then it might be captured under that specific parameter. Any general mention of expanding transport infrastructure is collected here. This can lead to rebound effects, in particular by causing an increase in traffic activity </t>
  </si>
  <si>
    <t>Intermodality is the combination of different transport modes with the goal of enabling convenient, seamless transfer between them. Any general activities that highlight intermodality but do not specify specific actions are included here. </t>
  </si>
  <si>
    <t>Freight efficiency improvement</t>
  </si>
  <si>
    <t>This subcategory covers measures for the improvement of the freight transport system. </t>
  </si>
  <si>
    <t>Freight transport shifting to rail or inland waterways</t>
  </si>
  <si>
    <t>Ecodriving refers to educational measures that encourage more efficient driving practices. Such practices can reduce fuel consumption. </t>
  </si>
  <si>
    <t>Sustainable transport capacity building</t>
  </si>
  <si>
    <t>I_Capacity</t>
  </si>
  <si>
    <t>“Capacity building” refers in general to the training of individuals and organizations to acquire new skills and knowledge on a specific topic. “Sustainable transport capacity building” refers more specifically to the acquisition of skills to plan and implement safe, sustainable, affordable and resilient mobility systems. </t>
  </si>
  <si>
    <t>This subcategory covers various strategies that address transport demand. Such measures aim to increase transport system efficiency by encouraging more efficient modes (such as walking, cycling or public transport). </t>
  </si>
  <si>
    <t>VTI (2015): Transportation Demand Management (TDM) </t>
  </si>
  <si>
    <t>General transport demand management</t>
  </si>
  <si>
    <t>General parking measures</t>
  </si>
  <si>
    <t>This measure refers to actions that aim to improve parking management. </t>
  </si>
  <si>
    <t>Parking Pricing</t>
  </si>
  <si>
    <t>A_Parkingprice</t>
  </si>
  <si>
    <t>The demand for mobility can be influenced by introducing parking pricing. A fee for on-street parking can motivate people to leave their cars at home or to use park-and-ride facilities outside the city. </t>
  </si>
  <si>
    <t>Car access restriction zones</t>
  </si>
  <si>
    <t>This parameter covers measures that restrict vehicle use in designated zones. One method is to restrict operation to certain weekdays based on license plate number.</t>
  </si>
  <si>
    <t>ITDP (2013), p. 32 </t>
  </si>
  <si>
    <t>Alternative work schedules (flextime, staggered shifts, compressed work week)</t>
  </si>
  <si>
    <t>A_Work</t>
  </si>
  <si>
    <t>This measure looks at implementing variable work hours in order to reduce traffic congestion during rush hour and reduce commuting times. Any mention of flexible work hours, alternative work approaches and staggered shifts are included under this parameter. </t>
  </si>
  <si>
    <t>VTI (2011): Alternative Work Schedules </t>
  </si>
  <si>
    <t>Teleworking</t>
  </si>
  <si>
    <t>A_Teleworking</t>
  </si>
  <si>
    <t>The use of telecommunications for remote work as a substitute for physical travel is captured under this parameter. </t>
  </si>
  <si>
    <t>VTI (2011): Telework (Telecommuting, Distance-Learning etc.) </t>
  </si>
  <si>
    <t>Economic instruments</t>
  </si>
  <si>
    <t>This subcategory refers to economic instruments in transport. It covers green procurement, carbon-related pricing and finance mechanisms as well as taxes and subsidies for transport decarbonization. </t>
  </si>
  <si>
    <t>Economic instruments, taxes and subsidies are incentives to integrate environmental costs and benefits into the budgets of households and firms.  </t>
  </si>
  <si>
    <t>OECD, Glossary of Statistical Terms </t>
  </si>
  <si>
    <t>An emissions trading system (ETS) or cap-and-trade system is a pricing mechanism for emitted greenhouse gas emissions. Unlike a direct carbon tax, where the unit price of CO2 is fixed, under an emissions trading scheme, the price per tonne of CO2 varies. The overall amount of emissions is fixed for a given period of time (e.g. annually). Entities are allocated a set amount of CO2 emissions allowances, or quotas, and trade emissions with each another. Those able to reduce their emissions below their allowance level can trade them with those emitting in excess of their allowance.  </t>
  </si>
  <si>
    <t>ITF (2020): Emissions trading (aviation) </t>
  </si>
  <si>
    <t>This parameter records GHG emission reductions resulting from the use of any financial instruments. Financial instruments that aim to support decarbonization include climate finance solutions, investments in EVs, green bonds, etc. </t>
  </si>
  <si>
    <t>ITF (2020): Financial instruments to support decarbonisation </t>
  </si>
  <si>
    <t>Green procurement refers to activities by stakeholders to take environmental impacts into account when procuring goods and services. Applied to transport, it means that a public authority can develop green procurement regulations that, for example, only allow the purchase of zero-emission vehicles. Such measures can support the transition to cleaner public vehicle fleets and more sustainable consumption. </t>
  </si>
  <si>
    <t>ITF (2020): Green public procurement </t>
  </si>
  <si>
    <t>Energy subsidies are used by governments to lower the cost of producing or consuming fossil fuels. Eliminating such subsidies can help to reduce reliance on fossil fuels. This parameter records measures and actions in this area. </t>
  </si>
  <si>
    <t>Fuel tax</t>
  </si>
  <si>
    <t>National and state governments impose taxes on the sale of fuel. Every fuel type is taxed differently. One aim of higher fuel taxes is to reduce fuel consumption and encourage more efficient transport modes. </t>
  </si>
  <si>
    <t>Vehicle taxes</t>
  </si>
  <si>
    <t>This parameter refers to measures that link taxes on vehicle purchase and ownership to carbon emissions. </t>
  </si>
  <si>
    <t>ITF (2020): Vehicle purchase and ownership taxes </t>
  </si>
  <si>
    <t>This parameter refers to surcharges applied to general or specific road use, including in particular highway tolls. This includes congestion pricing </t>
  </si>
  <si>
    <t>The subcategory on public transport covers all measures designed to improve or further develop the public transport system. </t>
  </si>
  <si>
    <t>Public transit integration and expansion</t>
  </si>
  <si>
    <t>Activities that aim to expand public transport or integrate different public transport services into a single system are covered under this parameter. </t>
  </si>
  <si>
    <t>ITF (2020): Express lanes/public transport priority </t>
  </si>
  <si>
    <r>
      <t>Bus rapid transit (BRT) is a bus system with high speed, capacity, punctuality and operating flexibility. Common characteristics of a BRT system include the use of bus-only lanes, advance ticketing, and articulated buses.</t>
    </r>
    <r>
      <rPr>
        <sz val="10"/>
        <color rgb="FF333333"/>
        <rFont val="Segoe UI"/>
        <family val="2"/>
      </rPr>
      <t>  </t>
    </r>
  </si>
  <si>
    <t>ITF (2020): Bus rapid transit network </t>
  </si>
  <si>
    <t>Walking and cycling represent the two main elements of active mobility. </t>
  </si>
  <si>
    <t>General measures that refer to walking and cycling are included here. </t>
  </si>
  <si>
    <t>Any action that specifically mentions improving walking is included here. </t>
  </si>
  <si>
    <t>Any action that specifically mentions improving cycling is included here. </t>
  </si>
  <si>
    <t>This subcategory identifies digital solutions, among them shared mobility technologies and others. </t>
  </si>
  <si>
    <t>General shared mobility</t>
  </si>
  <si>
    <t>On-demand transport</t>
  </si>
  <si>
    <t>S_Ondemand</t>
  </si>
  <si>
    <t>This parameter identifies actions that support the implementation of collective on-demand services. </t>
  </si>
  <si>
    <t>Mobility as a Service</t>
  </si>
  <si>
    <t>S_Maas</t>
  </si>
  <si>
    <t>Mobility-as-a-Service (MaaS) refers to solutions that integrate several mobility options through a digital platform that allows trips to be planned, booked and paid for. This is especially relevant for ticket integration and electronic payment. </t>
  </si>
  <si>
    <t>This parameter includes activities that mention the use of innovation and digitalization to improve the efficiency of transport. </t>
  </si>
  <si>
    <t>Intelligent transport systems harness technology to improve the management and operation of transport services. Relevant technologies include sensors, wireless communications, notification systems and other ICT solutions.  </t>
  </si>
  <si>
    <t>Autonomous vehicles</t>
  </si>
  <si>
    <t>This parameter identifies measures that discuss self-driving vehicles, artificial intelligence and any other mechanisms that support the automation of passenger and freight transport. </t>
  </si>
  <si>
    <t>This category is for mitigation measures related to vehicle fuel policies, vehicle improvements or alternative fuels.  </t>
  </si>
  <si>
    <t>This subcategory refers to vehicle improvements, including weight standards, maintenance standards or efficiency-related measures.  </t>
  </si>
  <si>
    <t>General vehicle improvements</t>
  </si>
  <si>
    <t>A high-quality fuel contains very low levels of sulfur. Countries set fuel quality standards in order to guarantee fuel quality. This parameter covers any mention of clean fuels or better fuel quality in the transport sector. </t>
  </si>
  <si>
    <t>This parameter captures more stringent emission standards that regulate air pollution exhaust emission such as the EURO standards Euro1-6 </t>
  </si>
  <si>
    <t xml:space="preserve">This parameter captures measures designed to improve vehicle efficiency or lower transport emissions. This is done through fuel economy standards, which regulate how far a vehicle must travel when consuming a given quantity of fuel (e.g. in liters per 100 km or miles per gallon). </t>
  </si>
  <si>
    <t>Low emission zones</t>
  </si>
  <si>
    <t>A_LEZ</t>
  </si>
  <si>
    <t>Low emission zones are areas that limit vehicle operation based on their emission of pollutants. Such zones, which are often in urban areas, may prohibit such vehicles entirely or assess a fee. </t>
  </si>
  <si>
    <t>Urban Access Regulations </t>
  </si>
  <si>
    <t>This parameter refers to purchase incentives granted to consumers for lower emission vehicles (excluding electric and hybrid vehicles). </t>
  </si>
  <si>
    <t>Labels</t>
  </si>
  <si>
    <t>General transport labels</t>
  </si>
  <si>
    <t>I_Transportlabel</t>
  </si>
  <si>
    <t>This parameter refers to measures requiring publication of information on environment impacts. The goal is to create transparency about the greenhouse gas emissions caused by a vehicle, fuel or activity. This parameter encompasses any general measures that do not describe a specific labeling requirement. </t>
  </si>
  <si>
    <t>Efficiency labels</t>
  </si>
  <si>
    <t>I_Efficiencylabel</t>
  </si>
  <si>
    <t>This parameter refers to labels that show the carbon intensity of new vehicles. </t>
  </si>
  <si>
    <t>Green freight labels</t>
  </si>
  <si>
    <t>I_Freightlabel</t>
  </si>
  <si>
    <t>This parameter identifies measures designed to introduce or expand the labeling of goods (for example, where they come from and how they have been transported). </t>
  </si>
  <si>
    <t>Vehicle labelling</t>
  </si>
  <si>
    <t>Vehicle labels are placed on new vehicles in order to show expected average fuel consumption. </t>
  </si>
  <si>
    <t>Fuel labelling</t>
  </si>
  <si>
    <t>I_Fuellabel</t>
  </si>
  <si>
    <t>Fuel labels show the carbon intensity and quality of a given fuel. </t>
  </si>
  <si>
    <t>The subcategory considers measures related to the use of alternative fuels (e.g. ethanol, hydrogen, LPG) except for electric mobility</t>
  </si>
  <si>
    <t>General alternative fuels</t>
  </si>
  <si>
    <t>Considered a renewable energy to reduce the carbon intensity of the fuel. Conventional diesel and gasoline can be mixed with less carbon-intense fuels. Many national governments set blending mandates (for example, 10% or 20% of diesel has to be biofuel).</t>
  </si>
  <si>
    <t>A relatively new fuel in the transport sector, hydrogen is used in fuel-cell electric vehicles. Green hydrogen that is produced using renewable electricity is seen as one important component of the energy transition in transport. </t>
  </si>
  <si>
    <t>Renewable energy for transport looks at the use of biofuels, green hydrogen and green electricity. This parameter captures any actions that make a direct link between transport and renewables. </t>
  </si>
  <si>
    <t>This parameter identifies efforts to phase-out of fossil fuel vehicles. The most common policy is a sales ban on new diesel or gasoline vehicles starting in a specific year. Such policies seek to accelerate the adoption of electric vehicles.  </t>
  </si>
  <si>
    <t>This category includes mitigation measures that focus on the electrification of transport, including electric vehicle uptake, purchase subsidies and charging infrastructure. </t>
  </si>
  <si>
    <t>General e-mobility</t>
  </si>
  <si>
    <t>EV charging infrastructure</t>
  </si>
  <si>
    <t>Electric vehicle charging infrastructure is needed to promote the adoption of electric vehicles. Measures that seek to increase the number of public charging stations or facilitate more private/public charging points are covered here. </t>
  </si>
  <si>
    <t>Smart charging refers to systems that optimize electric vehicle charging by prioritizing off-peak hours or times of high variable renewable feed-in.   </t>
  </si>
  <si>
    <t>Micromobility refers to electric personal transportation devices, such as electric kick-scooters and other electric-powered devices, not covered under shared mobility.  </t>
  </si>
  <si>
    <t>This category includes mitigation measures in aviation and shipping. It is treated as a separate category as they require separate solutions.</t>
  </si>
  <si>
    <t>This parameter refers to any general measures that target shipping, maritime transport or inland navigation. </t>
  </si>
  <si>
    <t>Tim</t>
  </si>
  <si>
    <t>Type</t>
  </si>
  <si>
    <t>Type Parameter</t>
  </si>
  <si>
    <t>Update as of  13 March 2025</t>
  </si>
  <si>
    <t>https://unfccc.int/sites/default/files/2025-03/Provisional%20NDC%20Submission_Zambia_Revised%20and%20Updated_NDC_100325.pdf</t>
  </si>
  <si>
    <t>At least 25% (20,000 Gg CO2 eq.) by 2030 against a base year of 2010 under the business-as-usual scenario with limited international support or by 47% (38,000 Gg CO2 eq.) with substantial international support.</t>
  </si>
  <si>
    <t>Increasing the resilience of infrastructure and human settlements to climate change impacts to ensure basic and continuous essential services for all, and minimizing climate_x0002_related impacts on infrastructure and human settlements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</si>
</sst>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d\ mmmm\ yyyy;@"/>
  </numFmts>
  <fonts count="66" x14ac:knownFonts="1">
    <font>
      <sz val="11"/>
      <color theme="1"/>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i/>
      <sz val="11"/>
      <color theme="1"/>
      <name val="Calibri"/>
      <family val="2"/>
      <scheme val="minor"/>
    </font>
    <font>
      <b/>
      <sz val="12"/>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b/>
      <sz val="16"/>
      <color theme="1"/>
      <name val="GIZ Gravur TT Cond"/>
    </font>
    <font>
      <sz val="11"/>
      <color theme="1" tint="4.9989318521683403E-2"/>
      <name val="Calibri"/>
      <family val="2"/>
      <scheme val="minor"/>
    </font>
    <font>
      <sz val="11"/>
      <color theme="9"/>
      <name val="Calibri"/>
      <family val="2"/>
      <scheme val="minor"/>
    </font>
    <font>
      <sz val="8"/>
      <name val="Calibri"/>
      <family val="2"/>
      <scheme val="minor"/>
    </font>
    <font>
      <sz val="11"/>
      <name val="Arial"/>
      <family val="2"/>
    </font>
    <font>
      <sz val="11"/>
      <name val="Calibri"/>
      <family val="2"/>
      <scheme val="minor"/>
    </font>
    <font>
      <sz val="11"/>
      <name val="Calibri"/>
      <family val="2"/>
    </font>
    <font>
      <sz val="10"/>
      <name val="Calibri"/>
      <family val="2"/>
    </font>
    <font>
      <b/>
      <sz val="18"/>
      <color theme="1"/>
      <name val="GIZ Gravur TT Cond"/>
    </font>
    <font>
      <b/>
      <sz val="11"/>
      <name val="Calibri"/>
      <family val="2"/>
      <scheme val="minor"/>
    </font>
    <font>
      <b/>
      <sz val="11"/>
      <name val="Calibri"/>
      <family val="2"/>
    </font>
    <font>
      <b/>
      <sz val="14"/>
      <color theme="1"/>
      <name val="Calibri"/>
      <family val="2"/>
      <scheme val="minor"/>
    </font>
    <font>
      <sz val="9"/>
      <color theme="1"/>
      <name val="Calibri"/>
      <family val="2"/>
      <scheme val="minor"/>
    </font>
    <font>
      <sz val="8"/>
      <color theme="1" tint="0.499984740745262"/>
      <name val="Calibri"/>
      <family val="2"/>
      <scheme val="minor"/>
    </font>
    <font>
      <sz val="10"/>
      <color theme="1"/>
      <name val="Calibri"/>
      <family val="2"/>
      <scheme val="minor"/>
    </font>
    <font>
      <b/>
      <sz val="10"/>
      <color theme="1"/>
      <name val="Calibri"/>
      <family val="2"/>
      <scheme val="minor"/>
    </font>
    <font>
      <sz val="11"/>
      <color theme="1"/>
      <name val="Calibri"/>
      <family val="2"/>
    </font>
    <font>
      <sz val="11"/>
      <color rgb="FF000000"/>
      <name val="Calibri"/>
      <family val="2"/>
      <charset val="1"/>
    </font>
    <font>
      <sz val="10"/>
      <color rgb="FF000000"/>
      <name val="Arial"/>
      <family val="2"/>
    </font>
    <font>
      <i/>
      <sz val="10"/>
      <color rgb="FF000000"/>
      <name val="Arial"/>
      <family val="2"/>
    </font>
    <font>
      <u/>
      <sz val="10"/>
      <color theme="10"/>
      <name val="Calibri"/>
      <family val="2"/>
      <scheme val="minor"/>
    </font>
    <font>
      <sz val="10"/>
      <color rgb="FF333333"/>
      <name val="Segoe UI"/>
      <family val="2"/>
    </font>
    <font>
      <sz val="10"/>
      <color theme="1"/>
      <name val="Calibri Light"/>
      <family val="2"/>
      <scheme val="major"/>
    </font>
    <font>
      <b/>
      <sz val="10"/>
      <color theme="1"/>
      <name val="Calibri Light"/>
      <family val="2"/>
      <scheme val="major"/>
    </font>
    <font>
      <sz val="8"/>
      <color rgb="FF000000"/>
      <name val="Calibri"/>
      <family val="2"/>
      <scheme val="minor"/>
    </font>
    <font>
      <strike/>
      <sz val="11"/>
      <name val="Calibri"/>
      <family val="2"/>
      <scheme val="minor"/>
    </font>
    <font>
      <sz val="11"/>
      <color rgb="FF444444"/>
      <name val="Calibri"/>
      <family val="2"/>
      <charset val="1"/>
    </font>
    <font>
      <sz val="11"/>
      <color theme="0"/>
      <name val="Calibri"/>
      <family val="2"/>
      <scheme val="minor"/>
    </font>
    <font>
      <u/>
      <sz val="11"/>
      <name val="Calibri"/>
      <family val="2"/>
      <scheme val="minor"/>
    </font>
    <font>
      <sz val="8"/>
      <name val="Calibri"/>
      <family val="2"/>
    </font>
    <font>
      <sz val="11"/>
      <name val="Calibri"/>
      <family val="2"/>
      <charset val="1"/>
    </font>
    <font>
      <sz val="12"/>
      <name val="Calibri"/>
      <family val="2"/>
      <scheme val="minor"/>
    </font>
    <font>
      <sz val="12"/>
      <name val="Arial"/>
      <family val="2"/>
    </font>
    <font>
      <sz val="10"/>
      <name val="Calibri"/>
      <family val="2"/>
      <scheme val="minor"/>
    </font>
    <font>
      <b/>
      <sz val="11"/>
      <color theme="0"/>
      <name val="Calibri"/>
      <family val="2"/>
      <scheme val="minor"/>
    </font>
    <font>
      <b/>
      <sz val="12"/>
      <name val="Calibri"/>
      <family val="2"/>
      <scheme val="minor"/>
    </font>
    <font>
      <b/>
      <sz val="18"/>
      <name val="GIZ Gravur TT Cond"/>
    </font>
    <font>
      <sz val="9"/>
      <name val="Calibri"/>
      <family val="2"/>
      <scheme val="minor"/>
    </font>
    <font>
      <b/>
      <sz val="11"/>
      <color theme="1" tint="0.499984740745262"/>
      <name val="Calibri"/>
      <family val="2"/>
      <scheme val="minor"/>
    </font>
    <font>
      <sz val="11"/>
      <color theme="1" tint="0.499984740745262"/>
      <name val="Calibri"/>
      <family val="2"/>
      <scheme val="minor"/>
    </font>
    <font>
      <sz val="10"/>
      <color rgb="FFFF0000"/>
      <name val="Calibri"/>
      <family val="2"/>
      <scheme val="minor"/>
    </font>
    <font>
      <sz val="10"/>
      <color rgb="FF000000"/>
      <name val="Calibri"/>
      <family val="2"/>
    </font>
    <font>
      <sz val="11"/>
      <color theme="1" tint="0.499984740745262"/>
      <name val="Calibri"/>
      <family val="2"/>
    </font>
    <font>
      <b/>
      <sz val="18"/>
      <color theme="1" tint="0.499984740745262"/>
      <name val="Calibri"/>
      <family val="2"/>
      <scheme val="minor"/>
    </font>
    <font>
      <sz val="9"/>
      <color theme="1" tint="0.499984740745262"/>
      <name val="Calibri"/>
      <family val="2"/>
      <scheme val="minor"/>
    </font>
    <font>
      <b/>
      <sz val="9"/>
      <name val="Calibri"/>
      <family val="2"/>
      <scheme val="minor"/>
    </font>
    <font>
      <sz val="10"/>
      <color theme="6" tint="-0.249977111117893"/>
      <name val="Calibri"/>
      <family val="2"/>
      <scheme val="minor"/>
    </font>
    <font>
      <b/>
      <sz val="10"/>
      <color theme="6" tint="-0.249977111117893"/>
      <name val="Calibri"/>
      <family val="2"/>
      <scheme val="minor"/>
    </font>
    <font>
      <b/>
      <sz val="18"/>
      <name val="Calibri"/>
      <family val="2"/>
      <scheme val="minor"/>
    </font>
    <font>
      <b/>
      <sz val="18"/>
      <color theme="1" tint="0.499984740745262"/>
      <name val="GIZ Gravur TT Cond"/>
    </font>
    <font>
      <sz val="10"/>
      <color theme="1" tint="0.499984740745262"/>
      <name val="Calibri"/>
      <family val="2"/>
    </font>
    <font>
      <sz val="11"/>
      <color theme="8"/>
      <name val="Calibri"/>
      <family val="2"/>
      <scheme val="minor"/>
    </font>
    <font>
      <b/>
      <sz val="8"/>
      <color theme="0"/>
      <name val="Calibri"/>
      <family val="2"/>
      <scheme val="minor"/>
    </font>
    <font>
      <u/>
      <sz val="10"/>
      <color theme="1"/>
      <name val="Calibri"/>
      <family val="2"/>
      <scheme val="minor"/>
    </font>
    <font>
      <sz val="11"/>
      <name val="Calibri"/>
    </font>
  </fonts>
  <fills count="45">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6" tint="0.79998168889431442"/>
        <bgColor theme="6" tint="0.79998168889431442"/>
      </patternFill>
    </fill>
    <fill>
      <patternFill patternType="solid">
        <fgColor rgb="FFEDEDED"/>
        <bgColor rgb="FFEDEDED"/>
      </patternFill>
    </fill>
    <fill>
      <patternFill patternType="solid">
        <fgColor rgb="FFFF0000"/>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8"/>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rgb="FFEDEDED"/>
        <bgColor indexed="64"/>
      </patternFill>
    </fill>
    <fill>
      <patternFill patternType="solid">
        <fgColor rgb="FFD9D9D9"/>
        <bgColor rgb="FFD9D9D9"/>
      </patternFill>
    </fill>
    <fill>
      <patternFill patternType="solid">
        <fgColor rgb="FFBD8ED1"/>
        <bgColor indexed="64"/>
      </patternFill>
    </fill>
    <fill>
      <patternFill patternType="solid">
        <fgColor rgb="FFA9D08E"/>
        <bgColor indexed="64"/>
      </patternFill>
    </fill>
    <fill>
      <patternFill patternType="solid">
        <fgColor theme="7" tint="0.59999389629810485"/>
        <bgColor indexed="64"/>
      </patternFill>
    </fill>
    <fill>
      <patternFill patternType="solid">
        <fgColor theme="2"/>
        <bgColor theme="0" tint="-0.14999847407452621"/>
      </patternFill>
    </fill>
    <fill>
      <patternFill patternType="solid">
        <fgColor theme="7" tint="0.39997558519241921"/>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5" tint="0.59999389629810485"/>
        <bgColor theme="0" tint="-0.14999847407452621"/>
      </patternFill>
    </fill>
    <fill>
      <patternFill patternType="solid">
        <fgColor theme="5" tint="0.59999389629810485"/>
        <bgColor indexed="64"/>
      </patternFill>
    </fill>
    <fill>
      <patternFill patternType="solid">
        <fgColor theme="9" tint="0.39997558519241921"/>
        <bgColor theme="0" tint="-0.14999847407452621"/>
      </patternFill>
    </fill>
    <fill>
      <patternFill patternType="solid">
        <fgColor theme="9" tint="0.59999389629810485"/>
        <bgColor indexed="64"/>
      </patternFill>
    </fill>
    <fill>
      <patternFill patternType="solid">
        <fgColor theme="0" tint="-0.249977111117893"/>
        <bgColor indexed="64"/>
      </patternFill>
    </fill>
    <fill>
      <patternFill patternType="solid">
        <fgColor theme="4" tint="0.39997558519241921"/>
        <bgColor theme="0" tint="-0.14999847407452621"/>
      </patternFill>
    </fill>
    <fill>
      <patternFill patternType="solid">
        <fgColor theme="4" tint="0.39997558519241921"/>
        <bgColor indexed="64"/>
      </patternFill>
    </fill>
    <fill>
      <patternFill patternType="solid">
        <fgColor theme="7" tint="0.39997558519241921"/>
        <bgColor theme="0" tint="-0.14999847407452621"/>
      </patternFill>
    </fill>
    <fill>
      <patternFill patternType="solid">
        <fgColor theme="0" tint="-0.34998626667073579"/>
        <bgColor theme="0" tint="-0.14999847407452621"/>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tint="0.59999389629810485"/>
        <bgColor theme="0" tint="-0.14999847407452621"/>
      </patternFill>
    </fill>
    <fill>
      <patternFill patternType="solid">
        <fgColor rgb="FFF2D5F7"/>
        <bgColor indexed="64"/>
      </patternFill>
    </fill>
    <fill>
      <patternFill patternType="solid">
        <fgColor rgb="FFF7E2FA"/>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right/>
      <top/>
      <bottom style="thin">
        <color theme="6"/>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6"/>
      </top>
      <bottom/>
      <diagonal/>
    </border>
    <border>
      <left style="thin">
        <color rgb="FFC9C9C9"/>
      </left>
      <right/>
      <top style="thin">
        <color rgb="FFC9C9C9"/>
      </top>
      <bottom/>
      <diagonal/>
    </border>
    <border>
      <left/>
      <right/>
      <top style="thin">
        <color rgb="FFC9C9C9"/>
      </top>
      <bottom/>
      <diagonal/>
    </border>
    <border>
      <left/>
      <right/>
      <top style="thin">
        <color indexed="64"/>
      </top>
      <bottom style="thin">
        <color indexed="64"/>
      </bottom>
      <diagonal/>
    </border>
    <border>
      <left/>
      <right/>
      <top style="thin">
        <color theme="6" tint="0.39997558519241921"/>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right/>
      <top/>
      <bottom style="thin">
        <color rgb="FF000000"/>
      </bottom>
      <diagonal/>
    </border>
    <border>
      <left style="thin">
        <color theme="6" tint="0.39997558519241921"/>
      </left>
      <right/>
      <top style="thin">
        <color theme="6" tint="0.39997558519241921"/>
      </top>
      <bottom style="thin">
        <color theme="6"/>
      </bottom>
      <diagonal/>
    </border>
    <border>
      <left/>
      <right/>
      <top style="thin">
        <color theme="6" tint="0.39997558519241921"/>
      </top>
      <bottom style="thin">
        <color theme="6"/>
      </bottom>
      <diagonal/>
    </border>
    <border>
      <left/>
      <right/>
      <top style="thin">
        <color rgb="FFC9C9C9"/>
      </top>
      <bottom style="thin">
        <color rgb="FFA5A5A5"/>
      </bottom>
      <diagonal/>
    </border>
    <border>
      <left/>
      <right/>
      <top style="thin">
        <color rgb="FFC9C9C9"/>
      </top>
      <bottom style="thin">
        <color rgb="FFC9C9C9"/>
      </bottom>
      <diagonal/>
    </border>
    <border>
      <left style="thin">
        <color rgb="FFC9C9C9"/>
      </left>
      <right/>
      <top style="thin">
        <color rgb="FFC9C9C9"/>
      </top>
      <bottom style="thin">
        <color rgb="FFA5A5A5"/>
      </bottom>
      <diagonal/>
    </border>
    <border>
      <left/>
      <right/>
      <top/>
      <bottom style="thin">
        <color theme="1"/>
      </bottom>
      <diagonal/>
    </border>
    <border>
      <left style="thin">
        <color rgb="FFC9C9C9"/>
      </left>
      <right/>
      <top/>
      <bottom style="thin">
        <color rgb="FFA5A5A5"/>
      </bottom>
      <diagonal/>
    </border>
    <border>
      <left style="thin">
        <color rgb="FFC9C9C9"/>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xf numFmtId="0" fontId="52" fillId="0" borderId="0"/>
  </cellStyleXfs>
  <cellXfs count="623">
    <xf numFmtId="0" fontId="0" fillId="0" borderId="0" xfId="0"/>
    <xf numFmtId="0" fontId="1" fillId="0" borderId="0" xfId="0" applyFont="1"/>
    <xf numFmtId="0" fontId="0" fillId="0" borderId="0" xfId="0" applyAlignment="1">
      <alignment wrapText="1"/>
    </xf>
    <xf numFmtId="0" fontId="0" fillId="0" borderId="0" xfId="0" applyAlignment="1">
      <alignment horizontal="center" vertical="center"/>
    </xf>
    <xf numFmtId="0" fontId="4" fillId="0" borderId="0" xfId="0" applyFont="1"/>
    <xf numFmtId="0" fontId="1" fillId="0" borderId="0" xfId="0" applyFont="1" applyAlignment="1">
      <alignment horizontal="left" vertical="center"/>
    </xf>
    <xf numFmtId="0" fontId="1" fillId="0" borderId="0" xfId="0" applyFont="1" applyAlignment="1">
      <alignment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left"/>
    </xf>
    <xf numFmtId="0" fontId="0" fillId="10" borderId="0" xfId="0" applyFill="1"/>
    <xf numFmtId="0" fontId="2" fillId="0" borderId="0" xfId="0" applyFont="1"/>
    <xf numFmtId="0" fontId="8" fillId="0" borderId="0" xfId="0" applyFont="1"/>
    <xf numFmtId="0" fontId="0" fillId="11" borderId="0" xfId="0" applyFill="1"/>
    <xf numFmtId="0" fontId="11" fillId="10" borderId="0" xfId="0" applyFont="1" applyFill="1"/>
    <xf numFmtId="0" fontId="13" fillId="0" borderId="0" xfId="0" applyFont="1"/>
    <xf numFmtId="0" fontId="0" fillId="0" borderId="0" xfId="0" applyAlignment="1">
      <alignment horizontal="right" vertical="center"/>
    </xf>
    <xf numFmtId="0" fontId="16" fillId="0" borderId="0" xfId="0" applyFont="1"/>
    <xf numFmtId="0" fontId="16" fillId="0" borderId="0" xfId="0" applyFont="1" applyAlignment="1">
      <alignment wrapText="1"/>
    </xf>
    <xf numFmtId="0" fontId="17" fillId="0" borderId="0" xfId="0" applyFont="1"/>
    <xf numFmtId="0" fontId="16" fillId="0" borderId="0" xfId="0" applyFont="1" applyAlignment="1">
      <alignment horizontal="left" vertical="center" wrapText="1"/>
    </xf>
    <xf numFmtId="0" fontId="17" fillId="0" borderId="0" xfId="0" applyFont="1" applyAlignment="1">
      <alignment wrapText="1"/>
    </xf>
    <xf numFmtId="0" fontId="16" fillId="0" borderId="0" xfId="0" applyFont="1" applyAlignment="1">
      <alignment vertical="center" wrapText="1"/>
    </xf>
    <xf numFmtId="0" fontId="16" fillId="0" borderId="0" xfId="0" applyFont="1" applyAlignment="1">
      <alignment vertical="center"/>
    </xf>
    <xf numFmtId="0" fontId="17" fillId="0" borderId="0" xfId="0" applyFont="1" applyAlignment="1">
      <alignment vertical="center" wrapText="1"/>
    </xf>
    <xf numFmtId="0" fontId="19" fillId="10" borderId="0" xfId="0" applyFont="1" applyFill="1"/>
    <xf numFmtId="0" fontId="13"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0" fillId="19" borderId="0" xfId="0" applyFill="1"/>
    <xf numFmtId="0" fontId="19" fillId="19" borderId="0" xfId="0" applyFont="1" applyFill="1"/>
    <xf numFmtId="0" fontId="0" fillId="18" borderId="0" xfId="0" applyFill="1"/>
    <xf numFmtId="0" fontId="19" fillId="18" borderId="0" xfId="0" applyFont="1" applyFill="1"/>
    <xf numFmtId="0" fontId="23" fillId="18" borderId="0" xfId="0" applyFont="1" applyFill="1"/>
    <xf numFmtId="0" fontId="0" fillId="16" borderId="0" xfId="0" applyFill="1"/>
    <xf numFmtId="0" fontId="19" fillId="16" borderId="0" xfId="0" applyFont="1" applyFill="1"/>
    <xf numFmtId="0" fontId="23" fillId="16" borderId="0" xfId="0" applyFont="1" applyFill="1"/>
    <xf numFmtId="0" fontId="0" fillId="19" borderId="0" xfId="0" applyFill="1" applyAlignment="1">
      <alignment vertical="top"/>
    </xf>
    <xf numFmtId="0" fontId="19" fillId="19" borderId="0" xfId="0" applyFont="1" applyFill="1" applyAlignment="1">
      <alignment vertical="top"/>
    </xf>
    <xf numFmtId="0" fontId="24" fillId="0" borderId="0" xfId="0" applyFont="1" applyAlignment="1">
      <alignment vertical="top"/>
    </xf>
    <xf numFmtId="0" fontId="24" fillId="0" borderId="0" xfId="0" applyFont="1" applyAlignment="1">
      <alignment vertical="top" wrapText="1"/>
    </xf>
    <xf numFmtId="0" fontId="0" fillId="9" borderId="0" xfId="0" applyFill="1"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top" wrapText="1"/>
    </xf>
    <xf numFmtId="0" fontId="17" fillId="0" borderId="0" xfId="0" applyFont="1" applyAlignment="1">
      <alignment horizontal="left" vertical="top" wrapText="1"/>
    </xf>
    <xf numFmtId="0" fontId="0" fillId="19" borderId="0" xfId="0" applyFill="1" applyAlignment="1">
      <alignment horizontal="center"/>
    </xf>
    <xf numFmtId="0" fontId="0" fillId="0" borderId="0" xfId="0" applyAlignment="1">
      <alignment horizontal="center"/>
    </xf>
    <xf numFmtId="0" fontId="4" fillId="0" borderId="0" xfId="0" applyFont="1" applyAlignment="1">
      <alignment vertical="top"/>
    </xf>
    <xf numFmtId="0" fontId="16" fillId="0" borderId="0" xfId="0" applyFont="1" applyAlignment="1">
      <alignment horizontal="left"/>
    </xf>
    <xf numFmtId="0" fontId="16" fillId="0" borderId="0" xfId="0" applyFont="1" applyAlignment="1">
      <alignment horizontal="left" vertical="center"/>
    </xf>
    <xf numFmtId="0" fontId="25" fillId="0" borderId="0" xfId="0" applyFont="1" applyAlignment="1">
      <alignment vertical="top"/>
    </xf>
    <xf numFmtId="0" fontId="27" fillId="0" borderId="0" xfId="0" applyFont="1"/>
    <xf numFmtId="0" fontId="17" fillId="0" borderId="0" xfId="0" applyFont="1" applyAlignment="1">
      <alignment horizontal="left" vertical="top"/>
    </xf>
    <xf numFmtId="0" fontId="29" fillId="0" borderId="0" xfId="0" applyFont="1" applyAlignment="1">
      <alignment wrapText="1"/>
    </xf>
    <xf numFmtId="0" fontId="29" fillId="0" borderId="1" xfId="0" applyFont="1" applyBorder="1" applyAlignment="1">
      <alignment wrapText="1"/>
    </xf>
    <xf numFmtId="0" fontId="29" fillId="0" borderId="1" xfId="0" applyFont="1" applyBorder="1" applyAlignment="1">
      <alignment horizontal="left" vertical="top" wrapText="1"/>
    </xf>
    <xf numFmtId="0" fontId="29" fillId="7" borderId="1" xfId="0" applyFont="1" applyFill="1" applyBorder="1" applyAlignment="1">
      <alignment wrapText="1"/>
    </xf>
    <xf numFmtId="0" fontId="29" fillId="6" borderId="1" xfId="0" applyFont="1" applyFill="1" applyBorder="1" applyAlignment="1">
      <alignment horizontal="left" vertical="top" wrapText="1"/>
    </xf>
    <xf numFmtId="0" fontId="29" fillId="7" borderId="1" xfId="0" applyFont="1" applyFill="1" applyBorder="1" applyAlignment="1">
      <alignment horizontal="left" vertical="top" wrapText="1"/>
    </xf>
    <xf numFmtId="0" fontId="29" fillId="2" borderId="10" xfId="0" applyFont="1" applyFill="1" applyBorder="1" applyAlignment="1">
      <alignment horizontal="left" vertical="top" wrapText="1"/>
    </xf>
    <xf numFmtId="0" fontId="29" fillId="0" borderId="1" xfId="0" applyFont="1" applyBorder="1"/>
    <xf numFmtId="0" fontId="29" fillId="4" borderId="1" xfId="0" applyFont="1" applyFill="1" applyBorder="1" applyAlignment="1">
      <alignment wrapText="1"/>
    </xf>
    <xf numFmtId="0" fontId="29" fillId="6" borderId="0" xfId="0" applyFont="1" applyFill="1" applyAlignment="1">
      <alignment wrapText="1"/>
    </xf>
    <xf numFmtId="0" fontId="29" fillId="6" borderId="1" xfId="0" applyFont="1" applyFill="1" applyBorder="1" applyAlignment="1">
      <alignment wrapText="1"/>
    </xf>
    <xf numFmtId="0" fontId="25" fillId="0" borderId="0" xfId="0" applyFont="1" applyAlignment="1">
      <alignment horizontal="left" vertical="top" wrapText="1"/>
    </xf>
    <xf numFmtId="0" fontId="25" fillId="5" borderId="1" xfId="0" applyFont="1" applyFill="1" applyBorder="1" applyAlignment="1">
      <alignment horizontal="left" vertical="top" wrapText="1"/>
    </xf>
    <xf numFmtId="0" fontId="25" fillId="6" borderId="1" xfId="0" applyFont="1" applyFill="1" applyBorder="1" applyAlignment="1">
      <alignment horizontal="left" vertical="top" wrapText="1"/>
    </xf>
    <xf numFmtId="0" fontId="25" fillId="0" borderId="1" xfId="0" applyFont="1" applyBorder="1" applyAlignment="1">
      <alignment horizontal="left" vertical="top" wrapText="1"/>
    </xf>
    <xf numFmtId="0" fontId="29" fillId="10" borderId="1" xfId="0" applyFont="1" applyFill="1" applyBorder="1" applyAlignment="1">
      <alignment wrapText="1"/>
    </xf>
    <xf numFmtId="0" fontId="26" fillId="0" borderId="0" xfId="0" applyFont="1"/>
    <xf numFmtId="0" fontId="25" fillId="0" borderId="0" xfId="0" applyFont="1"/>
    <xf numFmtId="0" fontId="25" fillId="0" borderId="1" xfId="0" applyFont="1" applyBorder="1"/>
    <xf numFmtId="0" fontId="25" fillId="5" borderId="1"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 xfId="0" applyFont="1" applyFill="1" applyBorder="1"/>
    <xf numFmtId="0" fontId="25" fillId="6" borderId="1" xfId="0" applyFont="1" applyFill="1" applyBorder="1" applyAlignment="1">
      <alignment horizontal="center" vertical="center" wrapText="1"/>
    </xf>
    <xf numFmtId="0" fontId="25" fillId="6" borderId="1" xfId="0" applyFont="1" applyFill="1" applyBorder="1"/>
    <xf numFmtId="0" fontId="25" fillId="0" borderId="1" xfId="0" applyFont="1" applyBorder="1" applyAlignment="1">
      <alignment horizontal="left" vertical="top"/>
    </xf>
    <xf numFmtId="0" fontId="31" fillId="0" borderId="1" xfId="1" applyFont="1" applyBorder="1" applyAlignment="1"/>
    <xf numFmtId="0" fontId="31" fillId="0" borderId="1" xfId="1" applyFont="1" applyBorder="1"/>
    <xf numFmtId="0" fontId="25" fillId="7" borderId="1" xfId="0" applyFont="1" applyFill="1" applyBorder="1" applyAlignment="1">
      <alignment horizontal="center" vertical="center" wrapText="1"/>
    </xf>
    <xf numFmtId="0" fontId="25" fillId="7" borderId="1" xfId="0" applyFont="1" applyFill="1" applyBorder="1"/>
    <xf numFmtId="0" fontId="25" fillId="0" borderId="1" xfId="0" applyFont="1" applyBorder="1" applyAlignment="1">
      <alignment vertical="center" wrapText="1"/>
    </xf>
    <xf numFmtId="0" fontId="25" fillId="0" borderId="1" xfId="0" applyFont="1" applyBorder="1" applyAlignment="1">
      <alignment vertical="center"/>
    </xf>
    <xf numFmtId="0" fontId="25" fillId="6" borderId="1" xfId="0" applyFont="1" applyFill="1" applyBorder="1" applyAlignment="1">
      <alignment horizontal="center" vertical="top" wrapText="1"/>
    </xf>
    <xf numFmtId="0" fontId="25" fillId="6" borderId="1" xfId="0" applyFont="1" applyFill="1" applyBorder="1" applyAlignment="1">
      <alignment vertical="center" wrapText="1"/>
    </xf>
    <xf numFmtId="0" fontId="25" fillId="6" borderId="1" xfId="0" applyFont="1" applyFill="1" applyBorder="1" applyAlignment="1">
      <alignment vertical="center"/>
    </xf>
    <xf numFmtId="0" fontId="26" fillId="4" borderId="1"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31" fillId="6" borderId="1" xfId="1" applyFont="1" applyFill="1" applyBorder="1"/>
    <xf numFmtId="0" fontId="25" fillId="7" borderId="1" xfId="0" applyFont="1" applyFill="1" applyBorder="1" applyAlignment="1">
      <alignment vertical="center" wrapText="1"/>
    </xf>
    <xf numFmtId="0" fontId="25" fillId="7" borderId="1" xfId="0" applyFont="1" applyFill="1" applyBorder="1" applyAlignment="1">
      <alignment vertical="center"/>
    </xf>
    <xf numFmtId="0" fontId="31" fillId="7" borderId="1" xfId="1" applyFont="1" applyFill="1" applyBorder="1"/>
    <xf numFmtId="0" fontId="25" fillId="10" borderId="1" xfId="0" applyFont="1" applyFill="1" applyBorder="1"/>
    <xf numFmtId="0" fontId="25" fillId="7" borderId="1" xfId="0" applyFont="1" applyFill="1" applyBorder="1" applyAlignment="1">
      <alignment wrapText="1"/>
    </xf>
    <xf numFmtId="0" fontId="25" fillId="0" borderId="1" xfId="0" applyFont="1" applyBorder="1" applyAlignment="1">
      <alignment wrapText="1"/>
    </xf>
    <xf numFmtId="0" fontId="31" fillId="0" borderId="0" xfId="1" applyFont="1"/>
    <xf numFmtId="0" fontId="25" fillId="6" borderId="10" xfId="0" applyFont="1" applyFill="1" applyBorder="1" applyAlignment="1">
      <alignment horizontal="left" vertical="top" wrapText="1"/>
    </xf>
    <xf numFmtId="0" fontId="25" fillId="6" borderId="10" xfId="0" applyFont="1" applyFill="1" applyBorder="1" applyAlignment="1">
      <alignment horizontal="left" vertical="top"/>
    </xf>
    <xf numFmtId="0" fontId="25" fillId="6" borderId="10" xfId="0" applyFont="1" applyFill="1" applyBorder="1"/>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xf>
    <xf numFmtId="0" fontId="25" fillId="4" borderId="1" xfId="0" applyFont="1" applyFill="1" applyBorder="1" applyAlignment="1">
      <alignment horizontal="left" vertical="top" wrapText="1"/>
    </xf>
    <xf numFmtId="0" fontId="25" fillId="4" borderId="1" xfId="0" applyFont="1" applyFill="1" applyBorder="1" applyAlignment="1">
      <alignment horizontal="left" vertical="top"/>
    </xf>
    <xf numFmtId="0" fontId="25" fillId="4" borderId="1" xfId="0" applyFont="1" applyFill="1" applyBorder="1"/>
    <xf numFmtId="0" fontId="26" fillId="10" borderId="1" xfId="0" applyFont="1" applyFill="1" applyBorder="1" applyAlignment="1">
      <alignment horizontal="left" vertical="top"/>
    </xf>
    <xf numFmtId="0" fontId="25" fillId="10" borderId="1" xfId="0" applyFont="1" applyFill="1" applyBorder="1" applyAlignment="1">
      <alignment vertical="center" wrapText="1"/>
    </xf>
    <xf numFmtId="0" fontId="25" fillId="10" borderId="1" xfId="0" applyFont="1" applyFill="1" applyBorder="1" applyAlignment="1">
      <alignment vertical="center"/>
    </xf>
    <xf numFmtId="0" fontId="25" fillId="6" borderId="1" xfId="0" applyFont="1" applyFill="1" applyBorder="1" applyAlignment="1">
      <alignment horizontal="left" vertical="top"/>
    </xf>
    <xf numFmtId="0" fontId="26" fillId="4" borderId="1" xfId="0" applyFont="1" applyFill="1" applyBorder="1" applyAlignment="1">
      <alignment horizontal="left" vertical="top"/>
    </xf>
    <xf numFmtId="0" fontId="29" fillId="4" borderId="0" xfId="0" applyFont="1" applyFill="1" applyAlignment="1">
      <alignment wrapText="1"/>
    </xf>
    <xf numFmtId="0" fontId="29" fillId="10" borderId="0" xfId="0" applyFont="1" applyFill="1" applyAlignment="1">
      <alignment wrapText="1"/>
    </xf>
    <xf numFmtId="0" fontId="16" fillId="0" borderId="0" xfId="0" applyFont="1" applyAlignment="1">
      <alignment horizontal="center" vertical="top"/>
    </xf>
    <xf numFmtId="0" fontId="0" fillId="0" borderId="0" xfId="0" applyAlignment="1">
      <alignment horizontal="center" vertical="top"/>
    </xf>
    <xf numFmtId="0" fontId="24" fillId="0" borderId="0" xfId="0" applyFont="1" applyAlignment="1">
      <alignment horizontal="center" vertical="top"/>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0" xfId="0" applyFont="1"/>
    <xf numFmtId="2" fontId="34" fillId="0" borderId="0" xfId="0" applyNumberFormat="1" applyFont="1"/>
    <xf numFmtId="0" fontId="33" fillId="0" borderId="0" xfId="0" applyFont="1" applyAlignment="1">
      <alignment horizontal="left" vertical="center"/>
    </xf>
    <xf numFmtId="4" fontId="33" fillId="0" borderId="0" xfId="0" applyNumberFormat="1" applyFont="1"/>
    <xf numFmtId="4" fontId="34" fillId="0" borderId="0" xfId="0" applyNumberFormat="1" applyFont="1"/>
    <xf numFmtId="4" fontId="34" fillId="0" borderId="0" xfId="0" applyNumberFormat="1" applyFont="1" applyAlignment="1">
      <alignment horizontal="right"/>
    </xf>
    <xf numFmtId="1" fontId="24" fillId="0" borderId="0" xfId="0" applyNumberFormat="1" applyFont="1" applyAlignment="1">
      <alignment vertical="top"/>
    </xf>
    <xf numFmtId="4" fontId="0" fillId="0" borderId="0" xfId="0" applyNumberFormat="1"/>
    <xf numFmtId="0" fontId="8" fillId="21" borderId="0" xfId="0" applyFont="1" applyFill="1"/>
    <xf numFmtId="0" fontId="5" fillId="0" borderId="0" xfId="0" applyFont="1"/>
    <xf numFmtId="0" fontId="26" fillId="0" borderId="3" xfId="0" applyFont="1" applyBorder="1" applyAlignment="1">
      <alignment horizontal="center" vertical="top" wrapText="1"/>
    </xf>
    <xf numFmtId="0" fontId="26" fillId="0" borderId="14" xfId="0" applyFont="1" applyBorder="1" applyAlignment="1">
      <alignment horizontal="center" vertical="top" wrapText="1"/>
    </xf>
    <xf numFmtId="0" fontId="2" fillId="19" borderId="0" xfId="0" applyFont="1" applyFill="1"/>
    <xf numFmtId="49" fontId="2" fillId="19" borderId="0" xfId="0" applyNumberFormat="1" applyFont="1" applyFill="1"/>
    <xf numFmtId="49" fontId="2" fillId="0" borderId="0" xfId="0" applyNumberFormat="1" applyFont="1"/>
    <xf numFmtId="0" fontId="35" fillId="0" borderId="0" xfId="0" applyFont="1" applyAlignment="1">
      <alignment vertical="top" wrapText="1"/>
    </xf>
    <xf numFmtId="49" fontId="35" fillId="0" borderId="0" xfId="0" applyNumberFormat="1" applyFont="1" applyAlignment="1">
      <alignment vertical="top" wrapText="1"/>
    </xf>
    <xf numFmtId="0" fontId="3" fillId="0" borderId="0" xfId="1"/>
    <xf numFmtId="164" fontId="0" fillId="19" borderId="0" xfId="0" applyNumberFormat="1" applyFill="1" applyAlignment="1">
      <alignment wrapText="1"/>
    </xf>
    <xf numFmtId="164" fontId="0" fillId="0" borderId="0" xfId="0" applyNumberFormat="1" applyAlignment="1">
      <alignment wrapText="1"/>
    </xf>
    <xf numFmtId="164" fontId="24" fillId="0" borderId="0" xfId="0" applyNumberFormat="1" applyFont="1" applyAlignment="1">
      <alignment vertical="top" wrapText="1"/>
    </xf>
    <xf numFmtId="0" fontId="1" fillId="0" borderId="0" xfId="0" applyFont="1" applyAlignment="1">
      <alignment horizontal="right"/>
    </xf>
    <xf numFmtId="0" fontId="3" fillId="0" borderId="0" xfId="1" applyBorder="1" applyAlignment="1">
      <alignment readingOrder="1"/>
    </xf>
    <xf numFmtId="0" fontId="0" fillId="0" borderId="0" xfId="0" applyAlignment="1">
      <alignment horizontal="left" vertical="top"/>
    </xf>
    <xf numFmtId="0" fontId="27" fillId="0" borderId="0" xfId="0" applyFont="1" applyAlignment="1">
      <alignment readingOrder="1"/>
    </xf>
    <xf numFmtId="0" fontId="1" fillId="0" borderId="0" xfId="0" applyFont="1" applyAlignment="1">
      <alignment vertical="center"/>
    </xf>
    <xf numFmtId="0" fontId="5" fillId="0" borderId="0" xfId="0" applyFont="1" applyAlignment="1">
      <alignment vertical="center"/>
    </xf>
    <xf numFmtId="0" fontId="0" fillId="0" borderId="0" xfId="0" applyAlignment="1">
      <alignment horizontal="right" vertical="top"/>
    </xf>
    <xf numFmtId="0" fontId="4" fillId="0" borderId="0" xfId="0" applyFont="1" applyAlignment="1">
      <alignment vertical="top" wrapText="1"/>
    </xf>
    <xf numFmtId="0" fontId="12" fillId="0" borderId="0" xfId="0" applyFont="1" applyAlignment="1">
      <alignment vertical="center" wrapText="1"/>
    </xf>
    <xf numFmtId="49" fontId="16" fillId="0" borderId="0" xfId="0" applyNumberFormat="1" applyFont="1"/>
    <xf numFmtId="164" fontId="16" fillId="0" borderId="0" xfId="0" applyNumberFormat="1" applyFont="1" applyAlignment="1">
      <alignment horizontal="left"/>
    </xf>
    <xf numFmtId="0" fontId="13" fillId="0" borderId="0" xfId="0" applyFont="1" applyAlignment="1">
      <alignment vertical="top"/>
    </xf>
    <xf numFmtId="0" fontId="0" fillId="19" borderId="0" xfId="0" applyFill="1" applyAlignment="1">
      <alignment wrapText="1"/>
    </xf>
    <xf numFmtId="0" fontId="0" fillId="0" borderId="0" xfId="0" applyAlignment="1">
      <alignment horizontal="left" vertical="center"/>
    </xf>
    <xf numFmtId="0" fontId="0" fillId="9" borderId="0" xfId="0" applyFill="1"/>
    <xf numFmtId="0" fontId="0" fillId="25" borderId="0" xfId="0" applyFill="1"/>
    <xf numFmtId="164" fontId="0" fillId="25" borderId="0" xfId="0" applyNumberFormat="1" applyFill="1"/>
    <xf numFmtId="0" fontId="2" fillId="25" borderId="0" xfId="0" applyFont="1" applyFill="1"/>
    <xf numFmtId="0" fontId="2" fillId="25" borderId="0" xfId="0" applyFont="1" applyFill="1" applyAlignment="1">
      <alignment horizontal="center"/>
    </xf>
    <xf numFmtId="49" fontId="2" fillId="25" borderId="0" xfId="0" applyNumberFormat="1" applyFont="1" applyFill="1"/>
    <xf numFmtId="0" fontId="19" fillId="25" borderId="0" xfId="0" applyFont="1" applyFill="1"/>
    <xf numFmtId="0" fontId="23" fillId="25" borderId="0" xfId="0" applyFont="1" applyFill="1" applyAlignment="1">
      <alignment vertical="top"/>
    </xf>
    <xf numFmtId="2" fontId="16" fillId="0" borderId="0" xfId="0" applyNumberFormat="1" applyFont="1" applyAlignment="1">
      <alignment horizontal="center" vertical="top"/>
    </xf>
    <xf numFmtId="164" fontId="3" fillId="0" borderId="0" xfId="1" applyNumberFormat="1" applyBorder="1" applyAlignment="1">
      <alignment horizontal="left"/>
    </xf>
    <xf numFmtId="164" fontId="16" fillId="0" borderId="0" xfId="0" applyNumberFormat="1" applyFont="1" applyAlignment="1">
      <alignment horizontal="left" wrapText="1"/>
    </xf>
    <xf numFmtId="49" fontId="3" fillId="0" borderId="0" xfId="1" applyNumberFormat="1" applyBorder="1" applyAlignment="1">
      <alignment horizontal="left"/>
    </xf>
    <xf numFmtId="0" fontId="16" fillId="13" borderId="0" xfId="0" applyFont="1" applyFill="1"/>
    <xf numFmtId="0" fontId="3" fillId="0" borderId="0" xfId="1" applyAlignment="1">
      <alignment horizontal="left"/>
    </xf>
    <xf numFmtId="0" fontId="3" fillId="0" borderId="0" xfId="1" applyFill="1"/>
    <xf numFmtId="0" fontId="3" fillId="0" borderId="0" xfId="1" applyFill="1" applyAlignment="1">
      <alignment horizontal="left"/>
    </xf>
    <xf numFmtId="49" fontId="3" fillId="0" borderId="0" xfId="1" applyNumberFormat="1" applyFill="1" applyAlignment="1"/>
    <xf numFmtId="0" fontId="0" fillId="19" borderId="0" xfId="0" applyFill="1" applyAlignment="1">
      <alignment horizontal="right" vertical="top"/>
    </xf>
    <xf numFmtId="49" fontId="3" fillId="0" borderId="0" xfId="1" applyNumberFormat="1" applyAlignment="1"/>
    <xf numFmtId="49" fontId="39" fillId="0" borderId="0" xfId="1" applyNumberFormat="1" applyFont="1" applyFill="1" applyAlignment="1"/>
    <xf numFmtId="0" fontId="16" fillId="14" borderId="0" xfId="0" applyFont="1" applyFill="1" applyAlignment="1">
      <alignment vertical="top"/>
    </xf>
    <xf numFmtId="49" fontId="3" fillId="0" borderId="0" xfId="1" applyNumberFormat="1" applyFill="1" applyBorder="1" applyAlignment="1"/>
    <xf numFmtId="0" fontId="0" fillId="8" borderId="0" xfId="0" applyFill="1" applyAlignment="1">
      <alignment vertical="top"/>
    </xf>
    <xf numFmtId="0" fontId="16" fillId="0" borderId="0" xfId="0" applyFont="1" applyAlignment="1">
      <alignment horizontal="left" vertical="top" wrapText="1"/>
    </xf>
    <xf numFmtId="0" fontId="1" fillId="15" borderId="0" xfId="0" applyFont="1" applyFill="1" applyAlignment="1">
      <alignment horizontal="center" vertical="center" wrapText="1"/>
    </xf>
    <xf numFmtId="0" fontId="20" fillId="15" borderId="0" xfId="0" applyFont="1" applyFill="1" applyAlignment="1">
      <alignment horizontal="center" vertical="center" wrapText="1"/>
    </xf>
    <xf numFmtId="0" fontId="7" fillId="0" borderId="0" xfId="0" applyFont="1" applyAlignment="1">
      <alignment horizontal="left" vertical="center"/>
    </xf>
    <xf numFmtId="0" fontId="16" fillId="10" borderId="0" xfId="0" applyFont="1" applyFill="1" applyAlignment="1">
      <alignment horizontal="left" vertical="center" wrapText="1"/>
    </xf>
    <xf numFmtId="0" fontId="46" fillId="0" borderId="0" xfId="0" applyFont="1" applyAlignment="1">
      <alignment horizontal="left" vertical="center"/>
    </xf>
    <xf numFmtId="0" fontId="0" fillId="0" borderId="0" xfId="0" applyAlignment="1">
      <alignment horizontal="left" vertical="center" wrapText="1"/>
    </xf>
    <xf numFmtId="0" fontId="0" fillId="10" borderId="0" xfId="0" applyFill="1" applyAlignment="1">
      <alignment horizontal="left" vertical="center" wrapText="1"/>
    </xf>
    <xf numFmtId="0" fontId="0" fillId="21" borderId="0" xfId="0" applyFill="1" applyAlignment="1">
      <alignment vertical="top" wrapText="1"/>
    </xf>
    <xf numFmtId="0" fontId="22" fillId="0" borderId="0" xfId="0" applyFont="1" applyAlignment="1">
      <alignment horizontal="left" vertical="center"/>
    </xf>
    <xf numFmtId="0" fontId="0" fillId="10" borderId="0" xfId="0" applyFill="1" applyAlignment="1">
      <alignment horizontal="left" vertical="center"/>
    </xf>
    <xf numFmtId="49" fontId="16" fillId="0" borderId="0" xfId="0" applyNumberFormat="1" applyFont="1" applyAlignment="1">
      <alignment horizontal="left"/>
    </xf>
    <xf numFmtId="0" fontId="16" fillId="25" borderId="0" xfId="0" applyFont="1" applyFill="1"/>
    <xf numFmtId="0" fontId="47" fillId="25" borderId="0" xfId="0" applyFont="1" applyFill="1"/>
    <xf numFmtId="49" fontId="16" fillId="25" borderId="0" xfId="0" applyNumberFormat="1" applyFont="1" applyFill="1"/>
    <xf numFmtId="164" fontId="16" fillId="25" borderId="0" xfId="0" applyNumberFormat="1" applyFont="1" applyFill="1"/>
    <xf numFmtId="0" fontId="48" fillId="25" borderId="0" xfId="0" applyFont="1" applyFill="1" applyAlignment="1">
      <alignment vertical="top"/>
    </xf>
    <xf numFmtId="0" fontId="44" fillId="0" borderId="0" xfId="0" applyFont="1" applyAlignment="1">
      <alignment vertical="top"/>
    </xf>
    <xf numFmtId="164" fontId="16" fillId="0" borderId="0" xfId="0" applyNumberFormat="1" applyFont="1"/>
    <xf numFmtId="0" fontId="14" fillId="0" borderId="0" xfId="0" applyFont="1" applyAlignment="1">
      <alignment vertical="top"/>
    </xf>
    <xf numFmtId="49" fontId="14" fillId="0" borderId="0" xfId="0" applyNumberFormat="1" applyFont="1" applyAlignment="1">
      <alignment vertical="top" wrapText="1"/>
    </xf>
    <xf numFmtId="164" fontId="14" fillId="0" borderId="0" xfId="0" applyNumberFormat="1" applyFont="1" applyAlignment="1">
      <alignment vertical="top"/>
    </xf>
    <xf numFmtId="0" fontId="14" fillId="0" borderId="0" xfId="0" applyFont="1" applyAlignment="1">
      <alignment horizontal="center" vertical="top" wrapText="1"/>
    </xf>
    <xf numFmtId="0" fontId="22" fillId="0" borderId="0" xfId="0" applyFont="1" applyAlignment="1">
      <alignment vertical="top"/>
    </xf>
    <xf numFmtId="0" fontId="25" fillId="0" borderId="0" xfId="0" applyFont="1" applyAlignment="1">
      <alignment vertical="top" wrapText="1"/>
    </xf>
    <xf numFmtId="0" fontId="51" fillId="0" borderId="0" xfId="0" applyFont="1" applyAlignment="1">
      <alignment vertical="top" wrapText="1"/>
    </xf>
    <xf numFmtId="0" fontId="1" fillId="0" borderId="24" xfId="0" applyFont="1" applyBorder="1" applyAlignment="1">
      <alignment vertical="center" wrapText="1"/>
    </xf>
    <xf numFmtId="0" fontId="1" fillId="0" borderId="24" xfId="0" applyFont="1" applyBorder="1" applyAlignment="1">
      <alignment vertical="center"/>
    </xf>
    <xf numFmtId="0" fontId="0" fillId="21" borderId="0" xfId="0" applyFill="1" applyAlignment="1">
      <alignment vertical="center" wrapText="1"/>
    </xf>
    <xf numFmtId="0" fontId="4" fillId="0" borderId="0" xfId="0" applyFont="1" applyAlignment="1">
      <alignment vertical="center"/>
    </xf>
    <xf numFmtId="0" fontId="50" fillId="0" borderId="0" xfId="0" applyFont="1" applyAlignment="1">
      <alignment horizontal="left" vertical="center" wrapText="1"/>
    </xf>
    <xf numFmtId="0" fontId="50" fillId="0" borderId="0" xfId="0" applyFont="1"/>
    <xf numFmtId="0" fontId="8" fillId="0" borderId="0" xfId="0" applyFont="1" applyAlignment="1">
      <alignment vertical="top"/>
    </xf>
    <xf numFmtId="0" fontId="17" fillId="0" borderId="0" xfId="0" applyFont="1" applyAlignment="1">
      <alignment vertical="top" wrapText="1"/>
    </xf>
    <xf numFmtId="0" fontId="0" fillId="21" borderId="0" xfId="0" applyFill="1" applyAlignment="1">
      <alignment vertical="center"/>
    </xf>
    <xf numFmtId="0" fontId="0" fillId="25" borderId="0" xfId="0" applyFill="1" applyAlignment="1">
      <alignment horizontal="left" vertical="center"/>
    </xf>
    <xf numFmtId="0" fontId="20" fillId="15" borderId="0" xfId="0" applyFont="1" applyFill="1" applyAlignment="1">
      <alignment horizontal="left" vertical="center" wrapText="1"/>
    </xf>
    <xf numFmtId="0" fontId="0" fillId="25" borderId="0" xfId="0" applyFill="1" applyAlignment="1">
      <alignment horizontal="left"/>
    </xf>
    <xf numFmtId="0" fontId="0" fillId="27" borderId="0" xfId="0" applyFill="1" applyAlignment="1">
      <alignment vertical="top" wrapText="1"/>
    </xf>
    <xf numFmtId="0" fontId="0" fillId="10" borderId="0" xfId="0" applyFill="1" applyAlignment="1">
      <alignment vertical="top" wrapText="1"/>
    </xf>
    <xf numFmtId="0" fontId="16" fillId="0" borderId="11" xfId="0" applyFont="1" applyBorder="1" applyAlignment="1">
      <alignment vertical="top"/>
    </xf>
    <xf numFmtId="0" fontId="17" fillId="0" borderId="11" xfId="0" applyFont="1" applyBorder="1" applyAlignment="1">
      <alignment vertical="top" wrapText="1"/>
    </xf>
    <xf numFmtId="0" fontId="16" fillId="0" borderId="11" xfId="0" applyFont="1" applyBorder="1" applyAlignment="1">
      <alignment horizontal="left" vertical="top" wrapText="1"/>
    </xf>
    <xf numFmtId="0" fontId="17" fillId="0" borderId="0" xfId="0" applyFont="1" applyAlignment="1">
      <alignment horizontal="center" vertical="top"/>
    </xf>
    <xf numFmtId="0" fontId="41" fillId="0" borderId="0" xfId="0" applyFont="1"/>
    <xf numFmtId="0" fontId="16" fillId="0" borderId="0" xfId="0" applyFont="1" applyAlignment="1">
      <alignment horizontal="right" vertical="top"/>
    </xf>
    <xf numFmtId="0" fontId="15" fillId="0" borderId="0" xfId="0" applyFont="1" applyAlignment="1">
      <alignment vertical="center"/>
    </xf>
    <xf numFmtId="9" fontId="16" fillId="0" borderId="0" xfId="0" applyNumberFormat="1" applyFont="1" applyAlignment="1">
      <alignment vertical="top" wrapText="1"/>
    </xf>
    <xf numFmtId="0" fontId="16" fillId="0" borderId="7" xfId="0" applyFont="1" applyBorder="1" applyAlignment="1">
      <alignment vertical="top" wrapText="1"/>
    </xf>
    <xf numFmtId="0" fontId="16" fillId="0" borderId="21" xfId="0" applyFont="1" applyBorder="1" applyAlignment="1">
      <alignment horizontal="left" vertical="top" wrapText="1"/>
    </xf>
    <xf numFmtId="0" fontId="17" fillId="0" borderId="22" xfId="0" applyFont="1" applyBorder="1" applyAlignment="1">
      <alignment vertical="top" wrapText="1"/>
    </xf>
    <xf numFmtId="0" fontId="17" fillId="0" borderId="13" xfId="0" applyFont="1" applyBorder="1" applyAlignment="1">
      <alignment vertical="top" wrapText="1"/>
    </xf>
    <xf numFmtId="0" fontId="16" fillId="14" borderId="0" xfId="0" applyFont="1" applyFill="1" applyAlignment="1">
      <alignment vertical="top" wrapText="1"/>
    </xf>
    <xf numFmtId="0" fontId="5" fillId="0" borderId="0" xfId="0" applyFont="1" applyAlignment="1">
      <alignment vertical="top"/>
    </xf>
    <xf numFmtId="0" fontId="50" fillId="19" borderId="0" xfId="0" applyFont="1" applyFill="1" applyAlignment="1">
      <alignment vertical="top"/>
    </xf>
    <xf numFmtId="0" fontId="50" fillId="19" borderId="0" xfId="0" applyFont="1" applyFill="1" applyAlignment="1">
      <alignment horizontal="center" vertical="top"/>
    </xf>
    <xf numFmtId="2" fontId="50" fillId="19" borderId="0" xfId="0" applyNumberFormat="1" applyFont="1" applyFill="1" applyAlignment="1">
      <alignment vertical="top"/>
    </xf>
    <xf numFmtId="0" fontId="50" fillId="0" borderId="0" xfId="0" applyFont="1" applyAlignment="1">
      <alignment vertical="top"/>
    </xf>
    <xf numFmtId="0" fontId="50" fillId="0" borderId="0" xfId="0" applyFont="1" applyAlignment="1">
      <alignment horizontal="center" vertical="top"/>
    </xf>
    <xf numFmtId="2" fontId="50" fillId="0" borderId="0" xfId="0" applyNumberFormat="1" applyFont="1" applyAlignment="1">
      <alignment vertical="top"/>
    </xf>
    <xf numFmtId="0" fontId="50" fillId="0" borderId="0" xfId="0" applyFont="1" applyAlignment="1">
      <alignment vertical="top" wrapText="1"/>
    </xf>
    <xf numFmtId="0" fontId="50" fillId="0" borderId="15" xfId="0" applyFont="1" applyBorder="1" applyAlignment="1">
      <alignment vertical="top"/>
    </xf>
    <xf numFmtId="0" fontId="53" fillId="0" borderId="11" xfId="0" applyFont="1" applyBorder="1" applyAlignment="1">
      <alignment vertical="top"/>
    </xf>
    <xf numFmtId="0" fontId="50" fillId="0" borderId="11" xfId="0" applyFont="1" applyBorder="1" applyAlignment="1">
      <alignment vertical="top"/>
    </xf>
    <xf numFmtId="0" fontId="53" fillId="0" borderId="0" xfId="0" applyFont="1" applyAlignment="1">
      <alignment horizontal="center" vertical="top"/>
    </xf>
    <xf numFmtId="0" fontId="53" fillId="0" borderId="0" xfId="0" applyFont="1" applyAlignment="1">
      <alignment vertical="top"/>
    </xf>
    <xf numFmtId="0" fontId="50" fillId="0" borderId="0" xfId="0" applyFont="1" applyAlignment="1">
      <alignment horizontal="left" vertical="top"/>
    </xf>
    <xf numFmtId="0" fontId="50" fillId="0" borderId="0" xfId="0" applyFont="1" applyAlignment="1">
      <alignment horizontal="left" vertical="top" wrapText="1"/>
    </xf>
    <xf numFmtId="0" fontId="50" fillId="14" borderId="0" xfId="0" applyFont="1" applyFill="1" applyAlignment="1">
      <alignment vertical="top"/>
    </xf>
    <xf numFmtId="2" fontId="50" fillId="14" borderId="0" xfId="0" applyNumberFormat="1" applyFont="1" applyFill="1" applyAlignment="1">
      <alignment vertical="top"/>
    </xf>
    <xf numFmtId="0" fontId="53" fillId="0" borderId="22" xfId="0" applyFont="1" applyBorder="1" applyAlignment="1">
      <alignment vertical="top"/>
    </xf>
    <xf numFmtId="0" fontId="50" fillId="0" borderId="22" xfId="0" applyFont="1" applyBorder="1" applyAlignment="1">
      <alignment vertical="top"/>
    </xf>
    <xf numFmtId="0" fontId="53" fillId="0" borderId="22" xfId="0" applyFont="1" applyBorder="1" applyAlignment="1">
      <alignment horizontal="center" vertical="top"/>
    </xf>
    <xf numFmtId="0" fontId="53" fillId="0" borderId="13" xfId="0" applyFont="1" applyBorder="1" applyAlignment="1">
      <alignment vertical="top"/>
    </xf>
    <xf numFmtId="0" fontId="50" fillId="0" borderId="13" xfId="0" applyFont="1" applyBorder="1" applyAlignment="1">
      <alignment vertical="top"/>
    </xf>
    <xf numFmtId="0" fontId="53" fillId="0" borderId="13" xfId="0" applyFont="1" applyBorder="1" applyAlignment="1">
      <alignment horizontal="center" vertical="top"/>
    </xf>
    <xf numFmtId="0" fontId="53" fillId="0" borderId="0" xfId="0" applyFont="1" applyAlignment="1">
      <alignment vertical="top" wrapText="1"/>
    </xf>
    <xf numFmtId="0" fontId="50" fillId="0" borderId="0" xfId="0" applyFont="1" applyAlignment="1">
      <alignment vertical="center"/>
    </xf>
    <xf numFmtId="0" fontId="53" fillId="0" borderId="0" xfId="0" applyFont="1" applyAlignment="1">
      <alignment horizontal="left" vertical="top" wrapText="1"/>
    </xf>
    <xf numFmtId="0" fontId="24" fillId="0" borderId="0" xfId="0" applyFont="1" applyAlignment="1">
      <alignment horizontal="right" vertical="top"/>
    </xf>
    <xf numFmtId="0" fontId="16" fillId="0" borderId="11" xfId="0" applyFont="1" applyBorder="1" applyAlignment="1">
      <alignment horizontal="right" vertical="top" wrapText="1"/>
    </xf>
    <xf numFmtId="0" fontId="17" fillId="0" borderId="0" xfId="0" applyFont="1" applyAlignment="1">
      <alignment horizontal="right" vertical="top" wrapText="1"/>
    </xf>
    <xf numFmtId="0" fontId="16" fillId="0" borderId="0" xfId="0" applyFont="1" applyAlignment="1">
      <alignment horizontal="right" vertical="top" wrapText="1"/>
    </xf>
    <xf numFmtId="0" fontId="17" fillId="0" borderId="0" xfId="0" applyFont="1" applyAlignment="1">
      <alignment horizontal="right" vertical="top"/>
    </xf>
    <xf numFmtId="0" fontId="16" fillId="0" borderId="22" xfId="0" applyFont="1" applyBorder="1" applyAlignment="1">
      <alignment horizontal="right" vertical="top" wrapText="1"/>
    </xf>
    <xf numFmtId="0" fontId="16" fillId="0" borderId="13" xfId="0" applyFont="1" applyBorder="1" applyAlignment="1">
      <alignment horizontal="right" vertical="top" wrapText="1"/>
    </xf>
    <xf numFmtId="0" fontId="0" fillId="0" borderId="0" xfId="0" applyAlignment="1">
      <alignment horizontal="right" vertical="top" wrapText="1"/>
    </xf>
    <xf numFmtId="0" fontId="9" fillId="0" borderId="0" xfId="0" applyFont="1"/>
    <xf numFmtId="0" fontId="0" fillId="15" borderId="0" xfId="0" applyFill="1" applyAlignment="1">
      <alignment wrapText="1"/>
    </xf>
    <xf numFmtId="0" fontId="16" fillId="15" borderId="0" xfId="0" applyFont="1" applyFill="1" applyAlignment="1">
      <alignment wrapText="1"/>
    </xf>
    <xf numFmtId="0" fontId="38" fillId="3" borderId="0" xfId="0" applyFont="1" applyFill="1" applyAlignment="1">
      <alignment wrapText="1"/>
    </xf>
    <xf numFmtId="49" fontId="16" fillId="15" borderId="0" xfId="0" applyNumberFormat="1" applyFont="1" applyFill="1" applyAlignment="1">
      <alignment wrapText="1"/>
    </xf>
    <xf numFmtId="164" fontId="16" fillId="15" borderId="0" xfId="0" applyNumberFormat="1" applyFont="1" applyFill="1" applyAlignment="1">
      <alignment wrapText="1"/>
    </xf>
    <xf numFmtId="0" fontId="16" fillId="15" borderId="0" xfId="0" applyFont="1" applyFill="1" applyAlignment="1">
      <alignment horizontal="left" wrapText="1"/>
    </xf>
    <xf numFmtId="49" fontId="2" fillId="15" borderId="0" xfId="0" applyNumberFormat="1" applyFont="1" applyFill="1" applyAlignment="1">
      <alignment wrapText="1"/>
    </xf>
    <xf numFmtId="0" fontId="45" fillId="3" borderId="0" xfId="0" applyFont="1" applyFill="1" applyAlignment="1">
      <alignment horizontal="left" wrapText="1"/>
    </xf>
    <xf numFmtId="0" fontId="50" fillId="19" borderId="0" xfId="0" applyFont="1" applyFill="1"/>
    <xf numFmtId="0" fontId="54" fillId="19" borderId="0" xfId="0" applyFont="1" applyFill="1"/>
    <xf numFmtId="0" fontId="55" fillId="19" borderId="0" xfId="0" applyFont="1" applyFill="1" applyAlignment="1">
      <alignment vertical="top"/>
    </xf>
    <xf numFmtId="0" fontId="50" fillId="0" borderId="0" xfId="0" applyFont="1" applyAlignment="1">
      <alignment horizontal="left" vertical="center"/>
    </xf>
    <xf numFmtId="0" fontId="16" fillId="15" borderId="0" xfId="0" applyFont="1" applyFill="1" applyAlignment="1">
      <alignment vertical="center" wrapText="1"/>
    </xf>
    <xf numFmtId="0" fontId="45" fillId="3" borderId="0" xfId="0" applyFont="1" applyFill="1" applyAlignment="1">
      <alignment vertical="center"/>
    </xf>
    <xf numFmtId="0" fontId="38" fillId="3" borderId="0" xfId="0" applyFont="1" applyFill="1" applyAlignment="1">
      <alignment vertical="center" wrapText="1"/>
    </xf>
    <xf numFmtId="49" fontId="38" fillId="3" borderId="0" xfId="0" applyNumberFormat="1" applyFont="1" applyFill="1" applyAlignment="1">
      <alignment vertical="center" wrapText="1"/>
    </xf>
    <xf numFmtId="0" fontId="45" fillId="3" borderId="0" xfId="0" applyFont="1" applyFill="1" applyAlignment="1">
      <alignment vertical="center" wrapText="1"/>
    </xf>
    <xf numFmtId="0" fontId="20" fillId="15" borderId="0" xfId="0" applyFont="1" applyFill="1" applyAlignment="1">
      <alignment vertical="center" wrapText="1"/>
    </xf>
    <xf numFmtId="0" fontId="20" fillId="15" borderId="0" xfId="0" applyFont="1" applyFill="1" applyAlignment="1">
      <alignment horizontal="right" vertical="center" wrapText="1"/>
    </xf>
    <xf numFmtId="0" fontId="20" fillId="15" borderId="0" xfId="0" applyFont="1" applyFill="1" applyAlignment="1">
      <alignment vertical="center"/>
    </xf>
    <xf numFmtId="0" fontId="56" fillId="15" borderId="0" xfId="0" applyFont="1" applyFill="1" applyAlignment="1">
      <alignment vertical="center" wrapText="1"/>
    </xf>
    <xf numFmtId="0" fontId="50" fillId="19" borderId="0" xfId="0" applyFont="1" applyFill="1" applyAlignment="1">
      <alignment horizontal="left" vertical="center"/>
    </xf>
    <xf numFmtId="0" fontId="50" fillId="19" borderId="0" xfId="0" applyFont="1" applyFill="1" applyAlignment="1">
      <alignment vertical="center"/>
    </xf>
    <xf numFmtId="0" fontId="49" fillId="0" borderId="0" xfId="0" applyFont="1" applyAlignment="1">
      <alignment vertical="center"/>
    </xf>
    <xf numFmtId="0" fontId="16" fillId="19" borderId="0" xfId="0" applyFont="1" applyFill="1"/>
    <xf numFmtId="0" fontId="0" fillId="14" borderId="0" xfId="0" applyFill="1" applyAlignment="1">
      <alignment vertical="top"/>
    </xf>
    <xf numFmtId="0" fontId="50" fillId="20" borderId="0" xfId="0" applyFont="1" applyFill="1" applyAlignment="1">
      <alignment vertical="top"/>
    </xf>
    <xf numFmtId="0" fontId="16" fillId="20" borderId="0" xfId="0" applyFont="1" applyFill="1" applyAlignment="1">
      <alignment vertical="top"/>
    </xf>
    <xf numFmtId="0" fontId="0" fillId="20" borderId="0" xfId="0" applyFill="1" applyAlignment="1">
      <alignment vertical="top" wrapText="1"/>
    </xf>
    <xf numFmtId="0" fontId="17" fillId="20" borderId="0" xfId="0" applyFont="1" applyFill="1" applyAlignment="1">
      <alignment vertical="top" wrapText="1"/>
    </xf>
    <xf numFmtId="0" fontId="16" fillId="20" borderId="0" xfId="0" applyFont="1" applyFill="1" applyAlignment="1">
      <alignment vertical="top" wrapText="1"/>
    </xf>
    <xf numFmtId="0" fontId="16" fillId="20" borderId="0" xfId="0" applyFont="1" applyFill="1" applyAlignment="1">
      <alignment horizontal="right" vertical="top" wrapText="1"/>
    </xf>
    <xf numFmtId="0" fontId="53" fillId="20" borderId="0" xfId="0" applyFont="1" applyFill="1" applyAlignment="1">
      <alignment vertical="top"/>
    </xf>
    <xf numFmtId="0" fontId="50" fillId="20" borderId="0" xfId="0" applyFont="1" applyFill="1" applyAlignment="1">
      <alignment horizontal="center" vertical="top"/>
    </xf>
    <xf numFmtId="2" fontId="50" fillId="20" borderId="0" xfId="0" applyNumberFormat="1" applyFont="1" applyFill="1" applyAlignment="1">
      <alignment vertical="top"/>
    </xf>
    <xf numFmtId="0" fontId="0" fillId="20" borderId="0" xfId="0" applyFill="1" applyAlignment="1">
      <alignment vertical="top"/>
    </xf>
    <xf numFmtId="0" fontId="48" fillId="19" borderId="0" xfId="0" applyFont="1" applyFill="1" applyAlignment="1">
      <alignment vertical="top"/>
    </xf>
    <xf numFmtId="0" fontId="59" fillId="19" borderId="0" xfId="0" applyFont="1" applyFill="1"/>
    <xf numFmtId="0" fontId="60" fillId="19" borderId="0" xfId="0" applyFont="1" applyFill="1"/>
    <xf numFmtId="0" fontId="47" fillId="19" borderId="0" xfId="0" applyFont="1" applyFill="1"/>
    <xf numFmtId="0" fontId="57" fillId="26" borderId="0" xfId="0" applyFont="1" applyFill="1" applyAlignment="1">
      <alignment horizontal="center" vertical="top" textRotation="90" wrapText="1"/>
    </xf>
    <xf numFmtId="0" fontId="58" fillId="28" borderId="0" xfId="0" applyFont="1" applyFill="1" applyAlignment="1">
      <alignment horizontal="center" vertical="top" textRotation="90"/>
    </xf>
    <xf numFmtId="0" fontId="57" fillId="26" borderId="0" xfId="0" applyFont="1" applyFill="1" applyAlignment="1">
      <alignment horizontal="center" vertical="top" textRotation="90"/>
    </xf>
    <xf numFmtId="0" fontId="57" fillId="28" borderId="0" xfId="0" applyFont="1" applyFill="1" applyAlignment="1">
      <alignment horizontal="center" vertical="top" textRotation="90"/>
    </xf>
    <xf numFmtId="0" fontId="57" fillId="15" borderId="0" xfId="0" applyFont="1" applyFill="1" applyAlignment="1">
      <alignment horizontal="center" vertical="top" textRotation="90"/>
    </xf>
    <xf numFmtId="0" fontId="0" fillId="19" borderId="0" xfId="0" applyFill="1" applyAlignment="1">
      <alignment horizontal="right"/>
    </xf>
    <xf numFmtId="0" fontId="56" fillId="15" borderId="0" xfId="0" applyFont="1" applyFill="1" applyAlignment="1">
      <alignment horizontal="right" vertical="center" wrapText="1"/>
    </xf>
    <xf numFmtId="0" fontId="0" fillId="20" borderId="0" xfId="0" applyFill="1"/>
    <xf numFmtId="0" fontId="3" fillId="0" borderId="0" xfId="1" applyAlignment="1">
      <alignment vertical="top"/>
    </xf>
    <xf numFmtId="0" fontId="37" fillId="0" borderId="0" xfId="0" applyFont="1" applyAlignment="1">
      <alignment vertical="top" wrapText="1"/>
    </xf>
    <xf numFmtId="0" fontId="27" fillId="0" borderId="0" xfId="0" applyFont="1" applyAlignment="1">
      <alignment vertical="top"/>
    </xf>
    <xf numFmtId="0" fontId="0" fillId="0" borderId="0" xfId="0" quotePrefix="1" applyAlignment="1">
      <alignment vertical="top"/>
    </xf>
    <xf numFmtId="0" fontId="8" fillId="0" borderId="0" xfId="0" applyFont="1" applyAlignment="1">
      <alignment vertical="top" wrapText="1"/>
    </xf>
    <xf numFmtId="0" fontId="0" fillId="0" borderId="7" xfId="0" applyBorder="1" applyAlignment="1">
      <alignment vertical="top" wrapText="1"/>
    </xf>
    <xf numFmtId="0" fontId="8" fillId="0" borderId="7" xfId="0" applyFont="1" applyBorder="1" applyAlignment="1">
      <alignment vertical="top" wrapText="1"/>
    </xf>
    <xf numFmtId="0" fontId="16" fillId="0" borderId="0" xfId="0" applyFont="1" applyAlignment="1">
      <alignment horizontal="center" vertical="top" wrapText="1"/>
    </xf>
    <xf numFmtId="0" fontId="16" fillId="0" borderId="0" xfId="0" applyFont="1" applyAlignment="1">
      <alignment horizontal="left" vertical="top"/>
    </xf>
    <xf numFmtId="0" fontId="16" fillId="0" borderId="18" xfId="0" applyFont="1" applyBorder="1" applyAlignment="1">
      <alignment vertical="top" wrapText="1"/>
    </xf>
    <xf numFmtId="0" fontId="44" fillId="0" borderId="0" xfId="0" applyFont="1" applyAlignment="1">
      <alignment vertical="top" wrapText="1"/>
    </xf>
    <xf numFmtId="0" fontId="16" fillId="0" borderId="8" xfId="0" applyFont="1" applyBorder="1" applyAlignment="1">
      <alignment vertical="top" wrapText="1"/>
    </xf>
    <xf numFmtId="0" fontId="17" fillId="0" borderId="0" xfId="0" quotePrefix="1" applyFont="1" applyAlignment="1">
      <alignment vertical="top" wrapText="1" readingOrder="1"/>
    </xf>
    <xf numFmtId="0" fontId="17" fillId="0" borderId="0" xfId="0" quotePrefix="1" applyFont="1" applyAlignment="1">
      <alignment vertical="top" wrapText="1"/>
    </xf>
    <xf numFmtId="0" fontId="17" fillId="0" borderId="0" xfId="0" applyFont="1" applyAlignment="1">
      <alignment horizontal="center" vertical="top" wrapText="1"/>
    </xf>
    <xf numFmtId="0" fontId="18" fillId="0" borderId="0" xfId="0" applyFont="1" applyAlignment="1">
      <alignment vertical="top" wrapText="1"/>
    </xf>
    <xf numFmtId="0" fontId="61" fillId="0" borderId="0" xfId="0" applyFont="1" applyAlignment="1">
      <alignment vertical="top" wrapText="1"/>
    </xf>
    <xf numFmtId="0" fontId="18" fillId="0" borderId="0" xfId="0" applyFont="1" applyAlignment="1">
      <alignment horizontal="center" vertical="top" wrapText="1"/>
    </xf>
    <xf numFmtId="0" fontId="2" fillId="0" borderId="0" xfId="0" applyFont="1" applyAlignment="1">
      <alignment vertical="top" wrapText="1"/>
    </xf>
    <xf numFmtId="0" fontId="16" fillId="9" borderId="0" xfId="0" applyFont="1" applyFill="1" applyAlignment="1">
      <alignment vertical="top" wrapText="1"/>
    </xf>
    <xf numFmtId="0" fontId="53" fillId="13" borderId="0" xfId="0" applyFont="1" applyFill="1" applyAlignment="1">
      <alignment vertical="top" wrapText="1"/>
    </xf>
    <xf numFmtId="0" fontId="53" fillId="13" borderId="0" xfId="0" applyFont="1" applyFill="1" applyAlignment="1">
      <alignment vertical="top"/>
    </xf>
    <xf numFmtId="0" fontId="17" fillId="13" borderId="0" xfId="0" applyFont="1" applyFill="1" applyAlignment="1">
      <alignment vertical="top"/>
    </xf>
    <xf numFmtId="0" fontId="17" fillId="13" borderId="0" xfId="0" applyFont="1" applyFill="1" applyAlignment="1">
      <alignment vertical="top" wrapText="1"/>
    </xf>
    <xf numFmtId="0" fontId="17" fillId="13" borderId="0" xfId="0" applyFont="1" applyFill="1" applyAlignment="1">
      <alignment horizontal="right" vertical="top"/>
    </xf>
    <xf numFmtId="0" fontId="17" fillId="13" borderId="0" xfId="0" applyFont="1" applyFill="1" applyAlignment="1">
      <alignment horizontal="center" vertical="top"/>
    </xf>
    <xf numFmtId="0" fontId="17" fillId="13" borderId="0" xfId="0" applyFont="1" applyFill="1" applyAlignment="1">
      <alignment horizontal="center" vertical="top" wrapText="1"/>
    </xf>
    <xf numFmtId="0" fontId="17" fillId="9" borderId="0" xfId="0" quotePrefix="1" applyFont="1" applyFill="1" applyAlignment="1">
      <alignment vertical="top" wrapText="1"/>
    </xf>
    <xf numFmtId="0" fontId="53" fillId="0" borderId="20" xfId="0" applyFont="1" applyBorder="1" applyAlignment="1">
      <alignment horizontal="left" vertical="top" wrapText="1"/>
    </xf>
    <xf numFmtId="0" fontId="53" fillId="0" borderId="17" xfId="0" applyFont="1" applyBorder="1" applyAlignment="1">
      <alignment horizontal="left" vertical="top" wrapText="1"/>
    </xf>
    <xf numFmtId="0" fontId="16" fillId="22" borderId="0" xfId="0" applyFont="1" applyFill="1" applyAlignment="1">
      <alignment vertical="top" wrapText="1"/>
    </xf>
    <xf numFmtId="0" fontId="28" fillId="0" borderId="0" xfId="0" applyFont="1" applyAlignment="1">
      <alignment vertical="top" wrapText="1"/>
    </xf>
    <xf numFmtId="0" fontId="17" fillId="12" borderId="0" xfId="0" applyFont="1" applyFill="1" applyAlignment="1">
      <alignment vertical="top"/>
    </xf>
    <xf numFmtId="0" fontId="17" fillId="0" borderId="0" xfId="0" applyFont="1" applyAlignment="1">
      <alignment vertical="top" wrapText="1" readingOrder="1"/>
    </xf>
    <xf numFmtId="0" fontId="8" fillId="0" borderId="0" xfId="0" applyFont="1" applyAlignment="1">
      <alignment horizontal="right" vertical="top"/>
    </xf>
    <xf numFmtId="0" fontId="17" fillId="20" borderId="0" xfId="0" applyFont="1" applyFill="1" applyAlignment="1">
      <alignment horizontal="left" vertical="top" wrapText="1"/>
    </xf>
    <xf numFmtId="0" fontId="17" fillId="20" borderId="0" xfId="0" applyFont="1" applyFill="1" applyAlignment="1">
      <alignment vertical="top"/>
    </xf>
    <xf numFmtId="0" fontId="17" fillId="20" borderId="0" xfId="0" applyFont="1" applyFill="1" applyAlignment="1">
      <alignment horizontal="right" vertical="top"/>
    </xf>
    <xf numFmtId="49" fontId="16" fillId="0" borderId="0" xfId="0" applyNumberFormat="1" applyFont="1" applyAlignment="1">
      <alignment vertical="top"/>
    </xf>
    <xf numFmtId="164" fontId="16" fillId="0" borderId="0" xfId="0" applyNumberFormat="1" applyFont="1" applyAlignment="1">
      <alignment horizontal="left" vertical="top"/>
    </xf>
    <xf numFmtId="49" fontId="16" fillId="0" borderId="0" xfId="0" applyNumberFormat="1" applyFont="1" applyAlignment="1">
      <alignment horizontal="left" vertical="top"/>
    </xf>
    <xf numFmtId="0" fontId="3" fillId="23" borderId="0" xfId="1" applyFill="1" applyAlignment="1">
      <alignment horizontal="left" vertical="top"/>
    </xf>
    <xf numFmtId="49" fontId="3" fillId="0" borderId="0" xfId="1" applyNumberFormat="1" applyFill="1" applyBorder="1" applyAlignment="1">
      <alignment vertical="top"/>
    </xf>
    <xf numFmtId="164" fontId="16" fillId="0" borderId="0" xfId="0" applyNumberFormat="1" applyFont="1" applyAlignment="1">
      <alignment horizontal="left" vertical="top" wrapText="1"/>
    </xf>
    <xf numFmtId="49" fontId="3" fillId="0" borderId="0" xfId="1" applyNumberFormat="1" applyAlignment="1">
      <alignment vertical="top"/>
    </xf>
    <xf numFmtId="0" fontId="3" fillId="0" borderId="0" xfId="1" applyBorder="1" applyAlignment="1">
      <alignment horizontal="left" vertical="top"/>
    </xf>
    <xf numFmtId="0" fontId="3" fillId="0" borderId="0" xfId="1" applyFill="1" applyAlignment="1">
      <alignment horizontal="left" vertical="top"/>
    </xf>
    <xf numFmtId="164" fontId="3" fillId="0" borderId="0" xfId="1" applyNumberFormat="1" applyFill="1" applyAlignment="1">
      <alignment horizontal="left" vertical="top"/>
    </xf>
    <xf numFmtId="0" fontId="20" fillId="0" borderId="0" xfId="0" applyFont="1" applyAlignment="1">
      <alignment horizontal="right" vertical="top"/>
    </xf>
    <xf numFmtId="164" fontId="3" fillId="0" borderId="0" xfId="1" applyNumberFormat="1" applyAlignment="1">
      <alignment horizontal="left" vertical="top"/>
    </xf>
    <xf numFmtId="0" fontId="3" fillId="0" borderId="0" xfId="1" applyAlignment="1">
      <alignment horizontal="left" vertical="top"/>
    </xf>
    <xf numFmtId="0" fontId="3" fillId="0" borderId="0" xfId="1" applyFill="1" applyAlignment="1">
      <alignment vertical="top"/>
    </xf>
    <xf numFmtId="0" fontId="16" fillId="13" borderId="0" xfId="0" applyFont="1" applyFill="1" applyAlignment="1">
      <alignment vertical="top"/>
    </xf>
    <xf numFmtId="0" fontId="0" fillId="17" borderId="0" xfId="0" applyFill="1" applyAlignment="1">
      <alignment horizontal="left" vertical="top"/>
    </xf>
    <xf numFmtId="0" fontId="0" fillId="17" borderId="0" xfId="0" applyFill="1" applyAlignment="1">
      <alignment horizontal="center" vertical="top"/>
    </xf>
    <xf numFmtId="0" fontId="21" fillId="0" borderId="0" xfId="0" applyFont="1" applyAlignment="1">
      <alignment horizontal="right" vertical="top" wrapText="1"/>
    </xf>
    <xf numFmtId="0" fontId="21" fillId="0" borderId="0" xfId="0" applyFont="1" applyAlignment="1">
      <alignment horizontal="right" vertical="top"/>
    </xf>
    <xf numFmtId="0" fontId="21" fillId="13" borderId="0" xfId="0" applyFont="1" applyFill="1" applyAlignment="1">
      <alignment horizontal="right" vertical="top" wrapText="1"/>
    </xf>
    <xf numFmtId="0" fontId="21" fillId="0" borderId="19" xfId="0" applyFont="1" applyBorder="1" applyAlignment="1">
      <alignment horizontal="right" vertical="top" wrapText="1"/>
    </xf>
    <xf numFmtId="0" fontId="21" fillId="0" borderId="16" xfId="0" applyFont="1" applyBorder="1" applyAlignment="1">
      <alignment horizontal="right" vertical="top" wrapText="1"/>
    </xf>
    <xf numFmtId="0" fontId="9" fillId="0" borderId="0" xfId="0" applyFont="1" applyAlignment="1">
      <alignment horizontal="right" vertical="top"/>
    </xf>
    <xf numFmtId="0" fontId="20" fillId="0" borderId="0" xfId="0" applyFont="1" applyAlignment="1">
      <alignment horizontal="right" vertical="top" wrapText="1"/>
    </xf>
    <xf numFmtId="0" fontId="17" fillId="0" borderId="8" xfId="0" applyFont="1" applyBorder="1" applyAlignment="1">
      <alignment horizontal="right" vertical="top" wrapText="1"/>
    </xf>
    <xf numFmtId="0" fontId="17" fillId="20" borderId="0" xfId="0" applyFont="1" applyFill="1" applyAlignment="1">
      <alignment horizontal="right" vertical="top" wrapText="1"/>
    </xf>
    <xf numFmtId="0" fontId="17" fillId="12" borderId="0" xfId="0" applyFont="1" applyFill="1" applyAlignment="1">
      <alignment horizontal="right" vertical="top" wrapText="1"/>
    </xf>
    <xf numFmtId="0" fontId="17" fillId="13" borderId="0" xfId="0" applyFont="1" applyFill="1" applyAlignment="1">
      <alignment horizontal="right" vertical="top" wrapText="1"/>
    </xf>
    <xf numFmtId="0" fontId="20" fillId="0" borderId="0" xfId="0" applyFont="1" applyAlignment="1">
      <alignment horizontal="center" vertical="top"/>
    </xf>
    <xf numFmtId="0" fontId="16" fillId="14" borderId="0" xfId="0" applyFont="1" applyFill="1" applyAlignment="1">
      <alignment horizontal="left" vertical="top"/>
    </xf>
    <xf numFmtId="0" fontId="50" fillId="14" borderId="0" xfId="0" applyFont="1" applyFill="1" applyAlignment="1">
      <alignment horizontal="left" vertical="top" wrapText="1"/>
    </xf>
    <xf numFmtId="0" fontId="0" fillId="14" borderId="0" xfId="0" applyFill="1"/>
    <xf numFmtId="0" fontId="20" fillId="0" borderId="11" xfId="0" applyFont="1" applyBorder="1" applyAlignment="1">
      <alignment horizontal="right" vertical="top"/>
    </xf>
    <xf numFmtId="0" fontId="20" fillId="0" borderId="0" xfId="0" applyFont="1" applyAlignment="1">
      <alignment horizontal="right" vertical="center" wrapText="1"/>
    </xf>
    <xf numFmtId="0" fontId="20" fillId="0" borderId="0" xfId="0" applyFont="1" applyAlignment="1">
      <alignment horizontal="right" vertical="center"/>
    </xf>
    <xf numFmtId="0" fontId="20" fillId="0" borderId="23" xfId="0" applyFont="1" applyBorder="1" applyAlignment="1">
      <alignment horizontal="right" vertical="top"/>
    </xf>
    <xf numFmtId="0" fontId="20" fillId="0" borderId="23" xfId="0" applyFont="1" applyBorder="1" applyAlignment="1">
      <alignment horizontal="right" vertical="top" wrapText="1"/>
    </xf>
    <xf numFmtId="0" fontId="50" fillId="0" borderId="22" xfId="0" applyFont="1" applyBorder="1" applyAlignment="1">
      <alignment vertical="center"/>
    </xf>
    <xf numFmtId="0" fontId="16" fillId="0" borderId="22" xfId="0" applyFont="1" applyBorder="1" applyAlignment="1">
      <alignment vertical="top"/>
    </xf>
    <xf numFmtId="0" fontId="17" fillId="0" borderId="11" xfId="0" applyFont="1" applyBorder="1" applyAlignment="1">
      <alignment vertical="top"/>
    </xf>
    <xf numFmtId="0" fontId="16" fillId="0" borderId="22" xfId="0" applyFont="1" applyBorder="1" applyAlignment="1">
      <alignment vertical="top" wrapText="1"/>
    </xf>
    <xf numFmtId="0" fontId="16" fillId="0" borderId="13" xfId="0" applyFont="1" applyBorder="1" applyAlignment="1">
      <alignment vertical="top" wrapText="1"/>
    </xf>
    <xf numFmtId="0" fontId="0" fillId="0" borderId="22" xfId="0" applyBorder="1" applyAlignment="1">
      <alignment horizontal="left" vertical="center" wrapText="1" indent="1"/>
    </xf>
    <xf numFmtId="0" fontId="16" fillId="0" borderId="0" xfId="0" quotePrefix="1" applyFont="1" applyAlignment="1">
      <alignment vertical="top" wrapText="1"/>
    </xf>
    <xf numFmtId="0" fontId="17" fillId="0" borderId="22" xfId="0" applyFont="1" applyBorder="1" applyAlignment="1">
      <alignment horizontal="right" vertical="top" wrapText="1"/>
    </xf>
    <xf numFmtId="0" fontId="17" fillId="0" borderId="13" xfId="0" applyFont="1" applyBorder="1" applyAlignment="1">
      <alignment horizontal="right" vertical="top" wrapText="1"/>
    </xf>
    <xf numFmtId="0" fontId="16" fillId="0" borderId="22" xfId="0" applyFont="1" applyBorder="1" applyAlignment="1">
      <alignment horizontal="right" vertical="top"/>
    </xf>
    <xf numFmtId="0" fontId="50" fillId="0" borderId="22" xfId="0" applyFont="1" applyBorder="1" applyAlignment="1">
      <alignment horizontal="center" vertical="top"/>
    </xf>
    <xf numFmtId="0" fontId="20" fillId="0" borderId="12" xfId="0" applyFont="1" applyBorder="1" applyAlignment="1">
      <alignment horizontal="right" vertical="top" wrapText="1"/>
    </xf>
    <xf numFmtId="0" fontId="20" fillId="0" borderId="16" xfId="0" applyFont="1" applyBorder="1" applyAlignment="1">
      <alignment horizontal="right" vertical="top" wrapText="1"/>
    </xf>
    <xf numFmtId="0" fontId="20" fillId="0" borderId="25" xfId="0" applyFont="1" applyBorder="1" applyAlignment="1">
      <alignment horizontal="right" vertical="top" wrapText="1"/>
    </xf>
    <xf numFmtId="0" fontId="20" fillId="14" borderId="0" xfId="0" applyFont="1" applyFill="1" applyAlignment="1">
      <alignment horizontal="right" vertical="top" wrapText="1"/>
    </xf>
    <xf numFmtId="0" fontId="16" fillId="14" borderId="0" xfId="0" applyFont="1" applyFill="1" applyAlignment="1">
      <alignment horizontal="center" vertical="top"/>
    </xf>
    <xf numFmtId="0" fontId="16" fillId="14" borderId="0" xfId="0" applyFont="1" applyFill="1" applyAlignment="1">
      <alignment horizontal="center" vertical="top" wrapText="1"/>
    </xf>
    <xf numFmtId="0" fontId="20" fillId="0" borderId="0" xfId="0" applyFont="1"/>
    <xf numFmtId="0" fontId="20" fillId="0" borderId="0" xfId="0" applyFont="1" applyAlignment="1">
      <alignment horizontal="right"/>
    </xf>
    <xf numFmtId="49" fontId="3" fillId="0" borderId="0" xfId="1" applyNumberFormat="1" applyFill="1"/>
    <xf numFmtId="0" fontId="16" fillId="3" borderId="0" xfId="0" applyFont="1" applyFill="1" applyAlignment="1">
      <alignment vertical="center" wrapText="1"/>
    </xf>
    <xf numFmtId="0" fontId="16" fillId="29" borderId="0" xfId="0" applyFont="1" applyFill="1" applyAlignment="1">
      <alignment vertical="center" wrapText="1"/>
    </xf>
    <xf numFmtId="0" fontId="62" fillId="0" borderId="0" xfId="0" applyFont="1" applyAlignment="1">
      <alignment horizontal="left" vertical="center" wrapText="1"/>
    </xf>
    <xf numFmtId="0" fontId="16" fillId="10" borderId="0" xfId="0" applyFont="1" applyFill="1" applyAlignment="1">
      <alignment horizontal="left" vertical="center"/>
    </xf>
    <xf numFmtId="49" fontId="3" fillId="0" borderId="0" xfId="1" applyNumberFormat="1"/>
    <xf numFmtId="0" fontId="21" fillId="0" borderId="26" xfId="0" applyFont="1" applyBorder="1" applyAlignment="1">
      <alignment horizontal="right" vertical="top" wrapText="1"/>
    </xf>
    <xf numFmtId="0" fontId="47" fillId="16" borderId="0" xfId="0" applyFont="1" applyFill="1"/>
    <xf numFmtId="4" fontId="0" fillId="16" borderId="0" xfId="0" applyNumberFormat="1" applyFill="1"/>
    <xf numFmtId="4" fontId="0" fillId="0" borderId="0" xfId="0" applyNumberFormat="1" applyAlignment="1">
      <alignment wrapText="1"/>
    </xf>
    <xf numFmtId="4" fontId="1" fillId="0" borderId="0" xfId="0" applyNumberFormat="1" applyFont="1" applyAlignment="1">
      <alignment wrapText="1"/>
    </xf>
    <xf numFmtId="4" fontId="1" fillId="0" borderId="0" xfId="0" applyNumberFormat="1" applyFont="1"/>
    <xf numFmtId="4" fontId="50" fillId="25" borderId="0" xfId="0" applyNumberFormat="1" applyFont="1" applyFill="1" applyAlignment="1">
      <alignment horizontal="right"/>
    </xf>
    <xf numFmtId="4" fontId="50" fillId="0" borderId="0" xfId="0" applyNumberFormat="1" applyFont="1" applyAlignment="1">
      <alignment horizontal="right"/>
    </xf>
    <xf numFmtId="4" fontId="45" fillId="0" borderId="0" xfId="0" applyNumberFormat="1" applyFont="1" applyAlignment="1">
      <alignment horizontal="right" wrapText="1"/>
    </xf>
    <xf numFmtId="4" fontId="50" fillId="0" borderId="0" xfId="0" applyNumberFormat="1" applyFont="1" applyAlignment="1">
      <alignment horizontal="right" vertical="top"/>
    </xf>
    <xf numFmtId="0" fontId="4" fillId="0" borderId="0" xfId="0" applyFont="1" applyAlignment="1">
      <alignment horizontal="left" vertical="center"/>
    </xf>
    <xf numFmtId="0" fontId="6" fillId="11" borderId="0" xfId="0" applyFont="1" applyFill="1"/>
    <xf numFmtId="0" fontId="5" fillId="11" borderId="0" xfId="0" applyFont="1" applyFill="1"/>
    <xf numFmtId="0" fontId="38" fillId="29" borderId="0" xfId="0" applyFont="1" applyFill="1" applyAlignment="1">
      <alignment wrapText="1"/>
    </xf>
    <xf numFmtId="0" fontId="16" fillId="21" borderId="0" xfId="0" applyFont="1" applyFill="1" applyAlignment="1">
      <alignment vertical="center"/>
    </xf>
    <xf numFmtId="0" fontId="0" fillId="5" borderId="0" xfId="0" applyFill="1" applyAlignment="1">
      <alignment vertical="center"/>
    </xf>
    <xf numFmtId="0" fontId="0" fillId="31" borderId="0" xfId="0" applyFill="1" applyAlignment="1">
      <alignment vertical="center" wrapText="1"/>
    </xf>
    <xf numFmtId="0" fontId="0" fillId="32" borderId="0" xfId="0" applyFill="1" applyAlignment="1">
      <alignment vertical="center"/>
    </xf>
    <xf numFmtId="0" fontId="16" fillId="31" borderId="0" xfId="0" applyFont="1" applyFill="1" applyAlignment="1">
      <alignment vertical="center" wrapText="1"/>
    </xf>
    <xf numFmtId="0" fontId="0" fillId="28" borderId="0" xfId="0" applyFill="1" applyAlignment="1">
      <alignment vertical="center" wrapText="1"/>
    </xf>
    <xf numFmtId="0" fontId="0" fillId="28" borderId="0" xfId="0" applyFill="1" applyAlignment="1">
      <alignment vertical="center"/>
    </xf>
    <xf numFmtId="0" fontId="16" fillId="28" borderId="0" xfId="0" applyFont="1" applyFill="1" applyAlignment="1">
      <alignment vertical="center" wrapText="1"/>
    </xf>
    <xf numFmtId="0" fontId="0" fillId="26" borderId="0" xfId="0" applyFill="1" applyAlignment="1">
      <alignment vertical="center"/>
    </xf>
    <xf numFmtId="0" fontId="0" fillId="26" borderId="0" xfId="0" applyFill="1" applyAlignment="1">
      <alignment vertical="center" wrapText="1"/>
    </xf>
    <xf numFmtId="0" fontId="0" fillId="34" borderId="0" xfId="0" applyFill="1" applyAlignment="1">
      <alignment vertical="center"/>
    </xf>
    <xf numFmtId="0" fontId="0" fillId="34" borderId="0" xfId="0" applyFill="1" applyAlignment="1">
      <alignment vertical="center" wrapText="1"/>
    </xf>
    <xf numFmtId="0" fontId="0" fillId="33" borderId="0" xfId="0" applyFill="1" applyAlignment="1">
      <alignment vertical="center" wrapText="1"/>
    </xf>
    <xf numFmtId="0" fontId="0" fillId="19" borderId="0" xfId="0" applyFill="1" applyAlignment="1">
      <alignment vertical="center"/>
    </xf>
    <xf numFmtId="0" fontId="16" fillId="33" borderId="0" xfId="0" applyFont="1" applyFill="1" applyAlignment="1">
      <alignment vertical="center" wrapText="1"/>
    </xf>
    <xf numFmtId="0" fontId="0" fillId="35" borderId="27" xfId="0" applyFill="1" applyBorder="1" applyAlignment="1">
      <alignment vertical="center"/>
    </xf>
    <xf numFmtId="0" fontId="16" fillId="35" borderId="27" xfId="0" applyFont="1" applyFill="1" applyBorder="1" applyAlignment="1">
      <alignment vertical="center" wrapText="1"/>
    </xf>
    <xf numFmtId="0" fontId="1" fillId="31" borderId="0" xfId="0" applyFont="1" applyFill="1" applyAlignment="1">
      <alignment vertical="center" wrapText="1"/>
    </xf>
    <xf numFmtId="0" fontId="1" fillId="28" borderId="0" xfId="0" applyFont="1" applyFill="1" applyAlignment="1">
      <alignment vertical="center" wrapText="1"/>
    </xf>
    <xf numFmtId="0" fontId="1" fillId="33" borderId="0" xfId="0" applyFont="1" applyFill="1" applyAlignment="1">
      <alignment vertical="center" wrapText="1"/>
    </xf>
    <xf numFmtId="0" fontId="1" fillId="35" borderId="27" xfId="0" applyFont="1" applyFill="1" applyBorder="1" applyAlignment="1">
      <alignment vertical="center"/>
    </xf>
    <xf numFmtId="0" fontId="1" fillId="5" borderId="0" xfId="0" applyFont="1" applyFill="1" applyAlignment="1">
      <alignment vertical="center"/>
    </xf>
    <xf numFmtId="0" fontId="1" fillId="26" borderId="0" xfId="0" applyFont="1" applyFill="1" applyAlignment="1">
      <alignment vertical="center"/>
    </xf>
    <xf numFmtId="0" fontId="1" fillId="34" borderId="0" xfId="0" applyFont="1" applyFill="1" applyAlignment="1">
      <alignment vertical="center"/>
    </xf>
    <xf numFmtId="0" fontId="7" fillId="0" borderId="0" xfId="0" applyFont="1" applyAlignment="1">
      <alignment vertical="center"/>
    </xf>
    <xf numFmtId="0" fontId="7" fillId="0" borderId="0" xfId="0" applyFont="1" applyAlignment="1">
      <alignment vertical="center" wrapText="1"/>
    </xf>
    <xf numFmtId="0" fontId="16" fillId="36" borderId="1" xfId="0" applyFont="1" applyFill="1" applyBorder="1" applyAlignment="1">
      <alignment vertical="center" wrapText="1"/>
    </xf>
    <xf numFmtId="0" fontId="20" fillId="36" borderId="1" xfId="0" applyFont="1" applyFill="1" applyBorder="1" applyAlignment="1">
      <alignment vertical="center" wrapText="1"/>
    </xf>
    <xf numFmtId="0" fontId="0" fillId="36" borderId="1" xfId="0" applyFill="1" applyBorder="1" applyAlignment="1">
      <alignment vertical="center" wrapText="1"/>
    </xf>
    <xf numFmtId="0" fontId="0" fillId="37" borderId="1" xfId="0" applyFill="1" applyBorder="1" applyAlignment="1">
      <alignment vertical="center" wrapText="1"/>
    </xf>
    <xf numFmtId="0" fontId="16" fillId="19" borderId="1" xfId="0" applyFont="1" applyFill="1" applyBorder="1" applyAlignment="1">
      <alignment vertical="center" wrapText="1"/>
    </xf>
    <xf numFmtId="0" fontId="20" fillId="19" borderId="1" xfId="0" applyFont="1" applyFill="1" applyBorder="1" applyAlignment="1">
      <alignment vertical="center" wrapText="1"/>
    </xf>
    <xf numFmtId="0" fontId="0" fillId="19" borderId="1" xfId="0" applyFill="1" applyBorder="1" applyAlignment="1">
      <alignment vertical="center" wrapText="1"/>
    </xf>
    <xf numFmtId="0" fontId="16" fillId="30" borderId="1" xfId="0" applyFont="1" applyFill="1" applyBorder="1" applyAlignment="1">
      <alignment vertical="center" wrapText="1"/>
    </xf>
    <xf numFmtId="0" fontId="16" fillId="39" borderId="1" xfId="0" applyFont="1" applyFill="1" applyBorder="1" applyAlignment="1">
      <alignment vertical="center" wrapText="1"/>
    </xf>
    <xf numFmtId="0" fontId="20" fillId="40" borderId="1" xfId="0" applyFont="1" applyFill="1" applyBorder="1" applyAlignment="1">
      <alignment vertical="center" wrapText="1"/>
    </xf>
    <xf numFmtId="0" fontId="16" fillId="40" borderId="1" xfId="0" applyFont="1" applyFill="1" applyBorder="1" applyAlignment="1">
      <alignment vertical="center" wrapText="1"/>
    </xf>
    <xf numFmtId="0" fontId="0" fillId="39" borderId="1" xfId="0" applyFill="1" applyBorder="1" applyAlignment="1">
      <alignment vertical="center" wrapText="1"/>
    </xf>
    <xf numFmtId="0" fontId="0" fillId="40" borderId="1" xfId="0" applyFill="1" applyBorder="1" applyAlignment="1">
      <alignment vertical="center" wrapText="1"/>
    </xf>
    <xf numFmtId="0" fontId="0" fillId="41" borderId="1" xfId="0" applyFill="1" applyBorder="1" applyAlignment="1">
      <alignment vertical="center" wrapText="1"/>
    </xf>
    <xf numFmtId="0" fontId="20" fillId="41" borderId="1" xfId="0" applyFont="1" applyFill="1" applyBorder="1" applyAlignment="1">
      <alignment vertical="center" wrapText="1"/>
    </xf>
    <xf numFmtId="0" fontId="16" fillId="41" borderId="1" xfId="0" applyFont="1" applyFill="1" applyBorder="1" applyAlignment="1">
      <alignment vertical="center" wrapText="1"/>
    </xf>
    <xf numFmtId="0" fontId="0" fillId="34" borderId="1" xfId="0" applyFill="1" applyBorder="1" applyAlignment="1">
      <alignment vertical="center" wrapText="1"/>
    </xf>
    <xf numFmtId="0" fontId="20" fillId="34" borderId="1" xfId="0" applyFont="1" applyFill="1" applyBorder="1" applyAlignment="1">
      <alignment vertical="center" wrapText="1"/>
    </xf>
    <xf numFmtId="0" fontId="16" fillId="34" borderId="1" xfId="0" applyFont="1" applyFill="1" applyBorder="1" applyAlignment="1">
      <alignment vertical="center" wrapText="1"/>
    </xf>
    <xf numFmtId="0" fontId="0" fillId="26" borderId="1" xfId="0" applyFill="1" applyBorder="1" applyAlignment="1">
      <alignment vertical="center" wrapText="1"/>
    </xf>
    <xf numFmtId="0" fontId="20" fillId="26" borderId="1" xfId="0" applyFont="1" applyFill="1" applyBorder="1" applyAlignment="1">
      <alignment vertical="center" wrapText="1"/>
    </xf>
    <xf numFmtId="0" fontId="16" fillId="26" borderId="1" xfId="0" applyFont="1" applyFill="1" applyBorder="1" applyAlignment="1">
      <alignment vertical="center" wrapText="1"/>
    </xf>
    <xf numFmtId="0" fontId="62" fillId="42" borderId="1" xfId="0" applyFont="1" applyFill="1" applyBorder="1" applyAlignment="1">
      <alignment vertical="center" wrapText="1"/>
    </xf>
    <xf numFmtId="0" fontId="0" fillId="32" borderId="1" xfId="0" applyFill="1" applyBorder="1" applyAlignment="1">
      <alignment vertical="center" wrapText="1"/>
    </xf>
    <xf numFmtId="0" fontId="20" fillId="32" borderId="1" xfId="0" applyFont="1" applyFill="1" applyBorder="1" applyAlignment="1">
      <alignment vertical="center" wrapText="1"/>
    </xf>
    <xf numFmtId="0" fontId="16" fillId="32" borderId="1" xfId="0" applyFont="1" applyFill="1" applyBorder="1" applyAlignment="1">
      <alignment vertical="center" wrapText="1"/>
    </xf>
    <xf numFmtId="0" fontId="62" fillId="31" borderId="1" xfId="0" applyFont="1" applyFill="1" applyBorder="1" applyAlignment="1">
      <alignment vertical="center" wrapText="1"/>
    </xf>
    <xf numFmtId="0" fontId="0" fillId="0" borderId="1" xfId="0" applyBorder="1" applyAlignment="1">
      <alignment vertical="center" wrapText="1"/>
    </xf>
    <xf numFmtId="0" fontId="20" fillId="0" borderId="1" xfId="0" applyFont="1" applyBorder="1" applyAlignment="1">
      <alignment vertical="center" wrapText="1"/>
    </xf>
    <xf numFmtId="0" fontId="16" fillId="0" borderId="1" xfId="0" applyFont="1" applyBorder="1" applyAlignment="1">
      <alignment vertical="center" wrapText="1"/>
    </xf>
    <xf numFmtId="0" fontId="0" fillId="43" borderId="1" xfId="0" applyFill="1" applyBorder="1" applyAlignment="1">
      <alignment vertical="center" wrapText="1"/>
    </xf>
    <xf numFmtId="0" fontId="20" fillId="43" borderId="1" xfId="0" applyFont="1" applyFill="1" applyBorder="1" applyAlignment="1">
      <alignment vertical="center" wrapText="1"/>
    </xf>
    <xf numFmtId="0" fontId="16" fillId="43" borderId="1" xfId="0" applyFont="1" applyFill="1" applyBorder="1" applyAlignment="1">
      <alignment vertical="center" wrapText="1"/>
    </xf>
    <xf numFmtId="0" fontId="0" fillId="4" borderId="1" xfId="0" applyFill="1" applyBorder="1" applyAlignment="1">
      <alignment vertical="center" wrapText="1"/>
    </xf>
    <xf numFmtId="0" fontId="1" fillId="4" borderId="1" xfId="0" applyFont="1" applyFill="1" applyBorder="1" applyAlignment="1">
      <alignment vertical="center" wrapText="1"/>
    </xf>
    <xf numFmtId="0" fontId="16" fillId="4" borderId="1" xfId="0" applyFont="1" applyFill="1" applyBorder="1" applyAlignment="1">
      <alignment vertical="center" wrapText="1"/>
    </xf>
    <xf numFmtId="0" fontId="0" fillId="7" borderId="1" xfId="0" applyFill="1" applyBorder="1" applyAlignment="1">
      <alignment vertical="center" wrapText="1"/>
    </xf>
    <xf numFmtId="0" fontId="1" fillId="7" borderId="1" xfId="0" applyFont="1" applyFill="1" applyBorder="1" applyAlignment="1">
      <alignment vertical="center" wrapText="1"/>
    </xf>
    <xf numFmtId="0" fontId="16" fillId="7" borderId="1" xfId="0" applyFont="1" applyFill="1" applyBorder="1" applyAlignment="1">
      <alignment vertical="center" wrapText="1"/>
    </xf>
    <xf numFmtId="0" fontId="0" fillId="6" borderId="1" xfId="0" applyFill="1" applyBorder="1" applyAlignment="1">
      <alignment vertical="center" wrapText="1"/>
    </xf>
    <xf numFmtId="0" fontId="1" fillId="6" borderId="1" xfId="0" applyFont="1" applyFill="1" applyBorder="1" applyAlignment="1">
      <alignment vertical="center" wrapText="1"/>
    </xf>
    <xf numFmtId="0" fontId="0" fillId="6" borderId="1" xfId="0" applyFill="1" applyBorder="1" applyAlignment="1">
      <alignment horizontal="left" vertical="center" wrapText="1"/>
    </xf>
    <xf numFmtId="0" fontId="0" fillId="5" borderId="1" xfId="0" applyFill="1" applyBorder="1" applyAlignment="1">
      <alignment vertical="center" wrapText="1"/>
    </xf>
    <xf numFmtId="0" fontId="1" fillId="5" borderId="1" xfId="0" applyFont="1" applyFill="1" applyBorder="1" applyAlignment="1">
      <alignment vertical="center" wrapText="1"/>
    </xf>
    <xf numFmtId="0" fontId="0" fillId="2" borderId="1" xfId="0" applyFill="1" applyBorder="1" applyAlignment="1">
      <alignment vertical="center" wrapText="1"/>
    </xf>
    <xf numFmtId="0" fontId="1" fillId="2" borderId="1" xfId="0" applyFont="1" applyFill="1" applyBorder="1" applyAlignment="1">
      <alignment vertical="center" wrapText="1"/>
    </xf>
    <xf numFmtId="0" fontId="0" fillId="2" borderId="1" xfId="0" applyFill="1" applyBorder="1" applyAlignment="1">
      <alignment horizontal="left" vertical="center" wrapText="1"/>
    </xf>
    <xf numFmtId="0" fontId="16" fillId="2" borderId="1" xfId="0" applyFont="1" applyFill="1" applyBorder="1" applyAlignment="1">
      <alignment vertical="center" wrapText="1"/>
    </xf>
    <xf numFmtId="0" fontId="0" fillId="44" borderId="1" xfId="0" applyFill="1" applyBorder="1" applyAlignment="1">
      <alignment vertical="center" wrapText="1"/>
    </xf>
    <xf numFmtId="0" fontId="1" fillId="44" borderId="1" xfId="0" applyFont="1" applyFill="1" applyBorder="1" applyAlignment="1">
      <alignment vertical="center" wrapText="1"/>
    </xf>
    <xf numFmtId="0" fontId="4" fillId="0" borderId="1" xfId="0" applyFont="1" applyBorder="1" applyAlignment="1">
      <alignment vertical="center" wrapText="1"/>
    </xf>
    <xf numFmtId="0" fontId="5" fillId="0" borderId="1" xfId="0" applyFont="1" applyBorder="1" applyAlignment="1">
      <alignment vertical="center" wrapText="1"/>
    </xf>
    <xf numFmtId="0" fontId="1" fillId="0" borderId="1" xfId="0" applyFont="1" applyBorder="1" applyAlignment="1">
      <alignment vertical="center" wrapText="1"/>
    </xf>
    <xf numFmtId="0" fontId="0" fillId="41" borderId="10" xfId="0" applyFill="1" applyBorder="1" applyAlignment="1">
      <alignment vertical="center" wrapText="1"/>
    </xf>
    <xf numFmtId="0" fontId="20" fillId="41" borderId="10" xfId="0" applyFont="1" applyFill="1" applyBorder="1" applyAlignment="1">
      <alignment vertical="center" wrapText="1"/>
    </xf>
    <xf numFmtId="0" fontId="16" fillId="41" borderId="10" xfId="0" applyFont="1" applyFill="1" applyBorder="1" applyAlignment="1">
      <alignment vertical="center" wrapText="1"/>
    </xf>
    <xf numFmtId="0" fontId="16" fillId="24" borderId="28" xfId="0" applyFont="1" applyFill="1" applyBorder="1" applyAlignment="1">
      <alignment vertical="center" wrapText="1"/>
    </xf>
    <xf numFmtId="0" fontId="20" fillId="24" borderId="28" xfId="0" applyFont="1" applyFill="1" applyBorder="1" applyAlignment="1">
      <alignment vertical="center" wrapText="1"/>
    </xf>
    <xf numFmtId="0" fontId="0" fillId="24" borderId="28" xfId="0" applyFill="1" applyBorder="1" applyAlignment="1">
      <alignment vertical="center" wrapText="1"/>
    </xf>
    <xf numFmtId="0" fontId="0" fillId="4" borderId="10" xfId="0" applyFill="1" applyBorder="1" applyAlignment="1">
      <alignment vertical="center" wrapText="1"/>
    </xf>
    <xf numFmtId="0" fontId="1" fillId="4" borderId="10" xfId="0" applyFont="1" applyFill="1" applyBorder="1" applyAlignment="1">
      <alignment vertical="center" wrapText="1"/>
    </xf>
    <xf numFmtId="0" fontId="0" fillId="43" borderId="28" xfId="0" applyFill="1" applyBorder="1" applyAlignment="1">
      <alignment vertical="center" wrapText="1"/>
    </xf>
    <xf numFmtId="0" fontId="20" fillId="43" borderId="28" xfId="0" applyFont="1" applyFill="1" applyBorder="1" applyAlignment="1">
      <alignment vertical="center" wrapText="1"/>
    </xf>
    <xf numFmtId="0" fontId="16" fillId="43" borderId="28" xfId="0" applyFont="1" applyFill="1" applyBorder="1" applyAlignment="1">
      <alignment vertical="center" wrapText="1"/>
    </xf>
    <xf numFmtId="0" fontId="16" fillId="38" borderId="1" xfId="0" applyFont="1" applyFill="1" applyBorder="1" applyAlignment="1">
      <alignment vertical="center" wrapText="1"/>
    </xf>
    <xf numFmtId="0" fontId="20" fillId="28" borderId="1" xfId="0" applyFont="1" applyFill="1" applyBorder="1" applyAlignment="1">
      <alignment vertical="center" wrapText="1"/>
    </xf>
    <xf numFmtId="0" fontId="16" fillId="28" borderId="1" xfId="0" applyFont="1" applyFill="1" applyBorder="1" applyAlignment="1">
      <alignment vertical="center" wrapText="1"/>
    </xf>
    <xf numFmtId="0" fontId="20" fillId="30" borderId="1" xfId="0" applyFont="1" applyFill="1" applyBorder="1" applyAlignment="1">
      <alignment vertical="center" wrapText="1"/>
    </xf>
    <xf numFmtId="0" fontId="16" fillId="30" borderId="1" xfId="0" applyFont="1" applyFill="1" applyBorder="1" applyAlignment="1">
      <alignment vertical="center"/>
    </xf>
    <xf numFmtId="0" fontId="0" fillId="44" borderId="2" xfId="0" applyFill="1" applyBorder="1" applyAlignment="1">
      <alignment vertical="center" wrapText="1"/>
    </xf>
    <xf numFmtId="0" fontId="1" fillId="44" borderId="2" xfId="0" applyFont="1" applyFill="1" applyBorder="1" applyAlignment="1">
      <alignment vertical="center" wrapText="1"/>
    </xf>
    <xf numFmtId="0" fontId="0" fillId="0" borderId="10" xfId="0" applyBorder="1" applyAlignment="1">
      <alignment vertical="center" wrapText="1"/>
    </xf>
    <xf numFmtId="0" fontId="1" fillId="0" borderId="10" xfId="0" applyFont="1" applyBorder="1" applyAlignment="1">
      <alignment vertical="center" wrapText="1"/>
    </xf>
    <xf numFmtId="0" fontId="4" fillId="0" borderId="28" xfId="0" applyFont="1" applyBorder="1" applyAlignment="1">
      <alignment vertical="center" wrapText="1"/>
    </xf>
    <xf numFmtId="0" fontId="5" fillId="0" borderId="28" xfId="0" applyFont="1" applyBorder="1" applyAlignment="1">
      <alignment vertical="center" wrapText="1"/>
    </xf>
    <xf numFmtId="0" fontId="16" fillId="4" borderId="10" xfId="0" applyFont="1" applyFill="1" applyBorder="1" applyAlignment="1">
      <alignment vertical="center" wrapText="1"/>
    </xf>
    <xf numFmtId="0" fontId="2" fillId="6" borderId="1" xfId="0" applyFont="1" applyFill="1" applyBorder="1" applyAlignment="1">
      <alignment wrapText="1"/>
    </xf>
    <xf numFmtId="0" fontId="16" fillId="6" borderId="1" xfId="0" applyFont="1" applyFill="1" applyBorder="1" applyAlignment="1">
      <alignment horizontal="left" vertical="center" wrapText="1"/>
    </xf>
    <xf numFmtId="0" fontId="16" fillId="5" borderId="1" xfId="0" applyFont="1" applyFill="1" applyBorder="1" applyAlignment="1">
      <alignment vertical="center" wrapText="1"/>
    </xf>
    <xf numFmtId="0" fontId="38" fillId="34" borderId="0" xfId="0" applyFont="1" applyFill="1" applyAlignment="1">
      <alignment wrapText="1"/>
    </xf>
    <xf numFmtId="0" fontId="0" fillId="8" borderId="0" xfId="0" applyFill="1" applyAlignment="1">
      <alignment vertical="top" wrapText="1"/>
    </xf>
    <xf numFmtId="0" fontId="25" fillId="8" borderId="0" xfId="0" applyFont="1" applyFill="1" applyAlignment="1">
      <alignment vertical="top" wrapText="1"/>
    </xf>
    <xf numFmtId="2" fontId="53" fillId="0" borderId="0" xfId="0" applyNumberFormat="1" applyFont="1" applyAlignment="1">
      <alignment vertical="top"/>
    </xf>
    <xf numFmtId="0" fontId="16" fillId="8" borderId="0" xfId="0" applyFont="1" applyFill="1" applyAlignment="1">
      <alignment vertical="top" wrapText="1"/>
    </xf>
    <xf numFmtId="16" fontId="16" fillId="0" borderId="0" xfId="0" quotePrefix="1" applyNumberFormat="1" applyFont="1" applyAlignment="1">
      <alignment horizontal="right" vertical="top"/>
    </xf>
    <xf numFmtId="0" fontId="20" fillId="13" borderId="0" xfId="0" applyFont="1" applyFill="1" applyAlignment="1">
      <alignment horizontal="right" vertical="top" wrapText="1"/>
    </xf>
    <xf numFmtId="0" fontId="26" fillId="6" borderId="10" xfId="0" applyFont="1" applyFill="1" applyBorder="1" applyAlignment="1">
      <alignment horizontal="left" vertical="top"/>
    </xf>
    <xf numFmtId="0" fontId="50" fillId="0" borderId="15" xfId="0" applyFont="1" applyBorder="1" applyAlignment="1">
      <alignment horizontal="left" vertical="center" wrapText="1"/>
    </xf>
    <xf numFmtId="0" fontId="13" fillId="0" borderId="0" xfId="0" applyFont="1" applyAlignment="1">
      <alignment horizontal="left" vertical="center" wrapText="1"/>
    </xf>
    <xf numFmtId="0" fontId="13" fillId="10" borderId="0" xfId="0" applyFont="1" applyFill="1" applyAlignment="1">
      <alignment horizontal="left" vertical="center" wrapText="1"/>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29" borderId="0" xfId="0" applyFont="1" applyFill="1" applyAlignment="1">
      <alignment horizontal="left" vertical="center" wrapText="1"/>
    </xf>
    <xf numFmtId="0" fontId="26" fillId="10" borderId="5" xfId="0" applyFont="1" applyFill="1" applyBorder="1" applyAlignment="1">
      <alignment horizontal="center" vertical="top" wrapText="1"/>
    </xf>
    <xf numFmtId="0" fontId="26" fillId="7" borderId="6" xfId="0" applyFont="1" applyFill="1" applyBorder="1" applyAlignment="1">
      <alignment horizontal="left" vertical="top"/>
    </xf>
    <xf numFmtId="0" fontId="25" fillId="0" borderId="14" xfId="0" applyFont="1" applyBorder="1" applyAlignment="1">
      <alignment horizontal="left" vertical="top" wrapText="1"/>
    </xf>
    <xf numFmtId="0" fontId="25" fillId="0" borderId="14" xfId="0" applyFont="1" applyBorder="1" applyAlignment="1">
      <alignment horizontal="left" vertical="top"/>
    </xf>
    <xf numFmtId="0" fontId="25" fillId="0" borderId="4" xfId="0" applyFont="1" applyBorder="1"/>
    <xf numFmtId="0" fontId="26" fillId="10" borderId="2" xfId="0" applyFont="1" applyFill="1" applyBorder="1" applyAlignment="1">
      <alignment vertical="top" wrapText="1"/>
    </xf>
    <xf numFmtId="0" fontId="26" fillId="10" borderId="9" xfId="0" applyFont="1" applyFill="1" applyBorder="1" applyAlignment="1">
      <alignment vertical="top" wrapText="1"/>
    </xf>
    <xf numFmtId="0" fontId="26" fillId="10" borderId="10" xfId="0" applyFont="1" applyFill="1" applyBorder="1" applyAlignment="1">
      <alignment vertical="top" wrapText="1"/>
    </xf>
    <xf numFmtId="0" fontId="13" fillId="10" borderId="0" xfId="0" applyFont="1" applyFill="1" applyAlignment="1">
      <alignment vertical="center" wrapText="1"/>
    </xf>
    <xf numFmtId="0" fontId="13" fillId="0" borderId="0" xfId="0" applyFont="1" applyAlignment="1">
      <alignment vertical="center" wrapText="1"/>
    </xf>
    <xf numFmtId="2" fontId="16" fillId="0" borderId="0" xfId="0" applyNumberFormat="1" applyFont="1" applyAlignment="1">
      <alignment horizontal="left" vertical="top"/>
    </xf>
    <xf numFmtId="16" fontId="16" fillId="0" borderId="0" xfId="0" quotePrefix="1" applyNumberFormat="1" applyFont="1" applyAlignment="1">
      <alignment horizontal="right" vertical="top" wrapText="1"/>
    </xf>
    <xf numFmtId="0" fontId="16" fillId="0" borderId="0" xfId="0" quotePrefix="1" applyFont="1" applyAlignment="1">
      <alignment vertical="top"/>
    </xf>
    <xf numFmtId="0" fontId="16" fillId="0" borderId="15" xfId="0" applyFont="1" applyBorder="1" applyAlignment="1">
      <alignment horizontal="left" vertical="center" wrapText="1"/>
    </xf>
    <xf numFmtId="0" fontId="0" fillId="11" borderId="0" xfId="0" quotePrefix="1" applyFill="1"/>
    <xf numFmtId="0" fontId="2" fillId="40" borderId="1" xfId="0" applyFont="1" applyFill="1" applyBorder="1" applyAlignment="1">
      <alignment vertical="center" wrapText="1"/>
    </xf>
    <xf numFmtId="0" fontId="16" fillId="0" borderId="0" xfId="0" quotePrefix="1" applyFont="1" applyAlignment="1">
      <alignment horizontal="right" vertical="top"/>
    </xf>
    <xf numFmtId="0" fontId="20" fillId="13" borderId="23" xfId="0" applyFont="1" applyFill="1" applyBorder="1" applyAlignment="1">
      <alignment horizontal="right" vertical="top"/>
    </xf>
    <xf numFmtId="0" fontId="20" fillId="13" borderId="12" xfId="0" applyFont="1" applyFill="1" applyBorder="1" applyAlignment="1">
      <alignment horizontal="right" vertical="top"/>
    </xf>
    <xf numFmtId="0" fontId="13" fillId="10" borderId="0" xfId="0" applyFont="1" applyFill="1" applyAlignment="1">
      <alignment horizontal="left" vertical="center"/>
    </xf>
    <xf numFmtId="0" fontId="4" fillId="6" borderId="1" xfId="0" applyFont="1" applyFill="1" applyBorder="1" applyAlignment="1">
      <alignment horizontal="left" vertical="center" wrapText="1"/>
    </xf>
    <xf numFmtId="0" fontId="5" fillId="26" borderId="0" xfId="0" applyFont="1" applyFill="1" applyAlignment="1">
      <alignment vertical="center"/>
    </xf>
    <xf numFmtId="0" fontId="2" fillId="25" borderId="0" xfId="0" applyFont="1" applyFill="1" applyAlignment="1">
      <alignment horizontal="right"/>
    </xf>
    <xf numFmtId="0" fontId="2" fillId="0" borderId="0" xfId="0" applyFont="1" applyAlignment="1">
      <alignment horizontal="right"/>
    </xf>
    <xf numFmtId="0" fontId="0" fillId="15" borderId="0" xfId="0" applyFill="1" applyAlignment="1">
      <alignment horizontal="center" wrapText="1"/>
    </xf>
    <xf numFmtId="0" fontId="65" fillId="0" borderId="0" xfId="0" applyFont="1" applyAlignment="1">
      <alignment horizontal="center" vertical="top" wrapText="1"/>
    </xf>
    <xf numFmtId="0" fontId="20" fillId="0" borderId="0" xfId="0" applyFont="1" applyFill="1" applyAlignment="1">
      <alignment horizontal="right"/>
    </xf>
    <xf numFmtId="0" fontId="50" fillId="0" borderId="0" xfId="0" applyNumberFormat="1" applyFont="1" applyAlignment="1">
      <alignment horizontal="left" vertical="center" wrapText="1"/>
    </xf>
    <xf numFmtId="0" fontId="16" fillId="0" borderId="0" xfId="0" applyNumberFormat="1" applyFont="1"/>
    <xf numFmtId="0" fontId="16" fillId="0" borderId="0" xfId="0" applyNumberFormat="1" applyFont="1" applyAlignment="1">
      <alignment horizontal="left"/>
    </xf>
    <xf numFmtId="0" fontId="50" fillId="0" borderId="0" xfId="0" applyNumberFormat="1" applyFont="1"/>
    <xf numFmtId="0" fontId="0" fillId="10" borderId="0" xfId="0" applyFill="1" applyAlignment="1">
      <alignment horizontal="left" vertical="top" wrapText="1"/>
    </xf>
    <xf numFmtId="0" fontId="63" fillId="29" borderId="0" xfId="0" applyFont="1" applyFill="1" applyAlignment="1">
      <alignment horizontal="center" vertical="center" wrapText="1"/>
    </xf>
    <xf numFmtId="0" fontId="20" fillId="15" borderId="0" xfId="0" applyFont="1" applyFill="1" applyAlignment="1">
      <alignment horizontal="center"/>
    </xf>
    <xf numFmtId="0" fontId="20" fillId="28" borderId="0" xfId="0" applyFont="1" applyFill="1" applyAlignment="1">
      <alignment horizontal="center"/>
    </xf>
    <xf numFmtId="0" fontId="26" fillId="6" borderId="1" xfId="0" applyFont="1" applyFill="1" applyBorder="1" applyAlignment="1">
      <alignment horizontal="center" vertical="top" wrapText="1"/>
    </xf>
    <xf numFmtId="0" fontId="26" fillId="7" borderId="2" xfId="0" applyFont="1" applyFill="1" applyBorder="1" applyAlignment="1">
      <alignment horizontal="center" vertical="top" wrapText="1"/>
    </xf>
    <xf numFmtId="0" fontId="26" fillId="7" borderId="9" xfId="0" applyFont="1" applyFill="1" applyBorder="1" applyAlignment="1">
      <alignment horizontal="center" vertical="top" wrapText="1"/>
    </xf>
    <xf numFmtId="0" fontId="26" fillId="7" borderId="10" xfId="0" applyFont="1" applyFill="1" applyBorder="1" applyAlignment="1">
      <alignment horizontal="center" vertical="top" wrapText="1"/>
    </xf>
    <xf numFmtId="0" fontId="26" fillId="6" borderId="2" xfId="0" applyFont="1" applyFill="1" applyBorder="1" applyAlignment="1">
      <alignment horizontal="center" vertical="top"/>
    </xf>
    <xf numFmtId="0" fontId="26" fillId="6" borderId="9" xfId="0" applyFont="1" applyFill="1" applyBorder="1" applyAlignment="1">
      <alignment horizontal="center" vertical="top"/>
    </xf>
    <xf numFmtId="0" fontId="26" fillId="2" borderId="9" xfId="0" applyFont="1" applyFill="1" applyBorder="1" applyAlignment="1">
      <alignment horizontal="center" vertical="top" wrapText="1"/>
    </xf>
    <xf numFmtId="0" fontId="26" fillId="0" borderId="1" xfId="0" applyFont="1" applyBorder="1" applyAlignment="1">
      <alignment horizontal="center"/>
    </xf>
    <xf numFmtId="0" fontId="26" fillId="7" borderId="1" xfId="0" applyFont="1" applyFill="1" applyBorder="1" applyAlignment="1">
      <alignment horizontal="center" vertical="top" wrapText="1"/>
    </xf>
    <xf numFmtId="0" fontId="25"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4" xfId="0" applyFont="1" applyBorder="1" applyAlignment="1">
      <alignment horizontal="center" vertical="center" wrapText="1"/>
    </xf>
    <xf numFmtId="0" fontId="26" fillId="7" borderId="1" xfId="0" applyFont="1" applyFill="1" applyBorder="1" applyAlignment="1">
      <alignment horizontal="left" vertical="top" wrapText="1"/>
    </xf>
    <xf numFmtId="0" fontId="26" fillId="6" borderId="2" xfId="0" applyFont="1" applyFill="1" applyBorder="1" applyAlignment="1">
      <alignment horizontal="left" vertical="top"/>
    </xf>
    <xf numFmtId="0" fontId="26" fillId="6" borderId="9" xfId="0" applyFont="1" applyFill="1" applyBorder="1" applyAlignment="1">
      <alignment horizontal="left" vertical="top"/>
    </xf>
    <xf numFmtId="0" fontId="26" fillId="6" borderId="10" xfId="0" applyFont="1" applyFill="1" applyBorder="1" applyAlignment="1">
      <alignment horizontal="left" vertical="top"/>
    </xf>
    <xf numFmtId="0" fontId="26" fillId="6" borderId="1" xfId="0" applyFont="1" applyFill="1" applyBorder="1" applyAlignment="1">
      <alignment horizontal="left" vertical="top"/>
    </xf>
    <xf numFmtId="0" fontId="26" fillId="4" borderId="1" xfId="0" applyFont="1" applyFill="1" applyBorder="1" applyAlignment="1">
      <alignment horizontal="center" vertical="top" wrapText="1"/>
    </xf>
    <xf numFmtId="0" fontId="25" fillId="0" borderId="1" xfId="0" applyFont="1" applyBorder="1" applyAlignment="1">
      <alignment horizontal="center"/>
    </xf>
    <xf numFmtId="0" fontId="26" fillId="7" borderId="2" xfId="0" applyFont="1" applyFill="1" applyBorder="1" applyAlignment="1">
      <alignment horizontal="left" vertical="top"/>
    </xf>
    <xf numFmtId="0" fontId="26" fillId="7" borderId="9" xfId="0" applyFont="1" applyFill="1" applyBorder="1" applyAlignment="1">
      <alignment horizontal="left" vertical="top"/>
    </xf>
    <xf numFmtId="0" fontId="26" fillId="7" borderId="10" xfId="0" applyFont="1" applyFill="1" applyBorder="1" applyAlignment="1">
      <alignment horizontal="left" vertical="top"/>
    </xf>
    <xf numFmtId="0" fontId="26" fillId="10" borderId="2" xfId="0" applyFont="1" applyFill="1" applyBorder="1" applyAlignment="1">
      <alignment horizontal="center" vertical="top" wrapText="1"/>
    </xf>
    <xf numFmtId="0" fontId="26" fillId="10" borderId="9" xfId="0" applyFont="1" applyFill="1" applyBorder="1" applyAlignment="1">
      <alignment horizontal="center" vertical="top" wrapText="1"/>
    </xf>
    <xf numFmtId="0" fontId="26" fillId="10" borderId="10" xfId="0" applyFont="1" applyFill="1" applyBorder="1" applyAlignment="1">
      <alignment horizontal="center" vertical="top" wrapText="1"/>
    </xf>
    <xf numFmtId="0" fontId="26" fillId="10" borderId="1" xfId="0" applyFont="1" applyFill="1" applyBorder="1" applyAlignment="1">
      <alignment horizontal="center" vertical="top" wrapText="1"/>
    </xf>
    <xf numFmtId="0" fontId="26" fillId="6" borderId="1" xfId="0" applyFont="1" applyFill="1" applyBorder="1" applyAlignment="1">
      <alignment horizontal="center" vertical="top"/>
    </xf>
    <xf numFmtId="0" fontId="20" fillId="0" borderId="0" xfId="0" applyNumberFormat="1" applyFont="1" applyFill="1" applyAlignment="1">
      <alignment horizontal="right" vertical="top"/>
    </xf>
    <xf numFmtId="0" fontId="50" fillId="0" borderId="0" xfId="0" applyFont="1" applyFill="1" applyAlignment="1">
      <alignment vertical="top"/>
    </xf>
    <xf numFmtId="0" fontId="50" fillId="0" borderId="0" xfId="0" applyNumberFormat="1" applyFont="1" applyFill="1" applyAlignment="1">
      <alignment vertical="top"/>
    </xf>
    <xf numFmtId="0" fontId="16" fillId="0" borderId="0" xfId="0" applyFont="1" applyFill="1" applyAlignment="1">
      <alignment vertical="top"/>
    </xf>
    <xf numFmtId="0" fontId="17" fillId="0" borderId="0" xfId="0" applyFont="1" applyFill="1" applyAlignment="1">
      <alignment vertical="top" wrapText="1"/>
    </xf>
    <xf numFmtId="0" fontId="16" fillId="0" borderId="0" xfId="0" applyFont="1" applyFill="1" applyAlignment="1">
      <alignment vertical="top" wrapText="1"/>
    </xf>
    <xf numFmtId="0" fontId="16" fillId="0" borderId="0" xfId="0" applyFont="1" applyFill="1" applyAlignment="1">
      <alignment horizontal="right" vertical="top" wrapText="1"/>
    </xf>
    <xf numFmtId="0" fontId="53" fillId="0" borderId="0" xfId="0" applyFont="1" applyFill="1" applyAlignment="1">
      <alignment vertical="top"/>
    </xf>
    <xf numFmtId="0" fontId="50" fillId="0" borderId="0" xfId="0" applyNumberFormat="1" applyFont="1" applyFill="1" applyAlignment="1">
      <alignment horizontal="center" vertical="top"/>
    </xf>
    <xf numFmtId="2" fontId="50" fillId="0" borderId="0" xfId="0" applyNumberFormat="1" applyFont="1" applyFill="1" applyAlignment="1">
      <alignment vertical="top"/>
    </xf>
    <xf numFmtId="0" fontId="16" fillId="0" borderId="0" xfId="0" applyNumberFormat="1" applyFont="1" applyFill="1" applyAlignment="1">
      <alignment vertical="top"/>
    </xf>
    <xf numFmtId="0" fontId="61" fillId="0" borderId="0" xfId="0" applyNumberFormat="1" applyFont="1" applyAlignment="1">
      <alignment vertical="top" wrapText="1"/>
    </xf>
    <xf numFmtId="0" fontId="50" fillId="0" borderId="0" xfId="0" applyNumberFormat="1" applyFont="1" applyAlignment="1">
      <alignment vertical="top"/>
    </xf>
    <xf numFmtId="0" fontId="16" fillId="0" borderId="0" xfId="0" applyFont="1" applyFill="1" applyAlignment="1">
      <alignment horizontal="right" vertical="top"/>
    </xf>
    <xf numFmtId="0" fontId="16" fillId="0" borderId="0" xfId="0" applyFont="1" applyFill="1" applyAlignment="1">
      <alignment horizontal="center" vertical="top"/>
    </xf>
  </cellXfs>
  <cellStyles count="3">
    <cellStyle name="Link" xfId="1" builtinId="8"/>
    <cellStyle name="Normal 2" xfId="2" xr:uid="{34728347-CF44-4935-8583-4177E242E3E2}"/>
    <cellStyle name="Standard" xfId="0" builtinId="0"/>
  </cellStyles>
  <dxfs count="309">
    <dxf>
      <font>
        <color rgb="FF9C0006"/>
      </font>
      <fill>
        <patternFill>
          <bgColor rgb="FFFFC7CE"/>
        </patternFill>
      </fill>
    </dxf>
    <dxf>
      <numFmt numFmtId="0" formatCode="General"/>
    </dxf>
    <dxf>
      <numFmt numFmtId="0" formatCode="Genera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rgb="FF000000"/>
        </top>
      </border>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alignment horizontal="general" vertical="center" textRotation="0" indent="0" justifyLastLine="0" shrinkToFit="0" readingOrder="0"/>
    </dxf>
    <dxf>
      <font>
        <b/>
      </font>
      <alignment horizontal="general" vertical="center" textRotation="0" indent="0" justifyLastLine="0" shrinkToFit="0" readingOrder="0"/>
    </dxf>
    <dxf>
      <alignment horizontal="general" vertical="center" textRotation="0" indent="0" justifyLastLine="0" shrinkToFit="0" readingOrder="0"/>
    </dxf>
    <dxf>
      <border outline="0">
        <top style="thin">
          <color rgb="FF000000"/>
        </top>
      </border>
    </dxf>
    <dxf>
      <alignment horizontal="general"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rgb="FF000000"/>
          <bgColor rgb="FFFFFFFF"/>
        </patternFill>
      </fill>
      <alignment horizontal="general" vertical="top"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theme="1"/>
        <name val="Calibri Light"/>
        <family val="2"/>
        <scheme val="major"/>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numFmt numFmtId="4" formatCode="#,##0.00"/>
    </dxf>
    <dxf>
      <font>
        <b val="0"/>
        <i val="0"/>
        <strike val="0"/>
        <condense val="0"/>
        <extend val="0"/>
        <outline val="0"/>
        <shadow val="0"/>
        <u val="none"/>
        <vertAlign val="baseline"/>
        <sz val="10"/>
        <color theme="1"/>
        <name val="Calibri Light"/>
        <family val="2"/>
        <scheme val="major"/>
      </font>
    </dxf>
    <dxf>
      <font>
        <b val="0"/>
        <i val="0"/>
        <strike val="0"/>
        <condense val="0"/>
        <extend val="0"/>
        <outline val="0"/>
        <shadow val="0"/>
        <u val="none"/>
        <vertAlign val="baseline"/>
        <sz val="10"/>
        <color theme="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Light"/>
        <family val="2"/>
        <scheme val="major"/>
      </font>
    </dxf>
    <dxf>
      <font>
        <b/>
        <i val="0"/>
        <strike val="0"/>
        <condense val="0"/>
        <extend val="0"/>
        <outline val="0"/>
        <shadow val="0"/>
        <u val="none"/>
        <vertAlign val="baseline"/>
        <sz val="10"/>
        <color theme="0"/>
        <name val="Calibri Light"/>
        <family val="2"/>
        <scheme val="major"/>
      </font>
      <fill>
        <patternFill patternType="solid">
          <fgColor theme="6"/>
          <bgColor theme="6"/>
        </patternFill>
      </fill>
      <alignment horizontal="general" vertical="bottom"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strike val="0"/>
        <outline val="0"/>
        <shadow val="0"/>
        <u val="none"/>
        <vertAlign val="baseline"/>
        <sz val="11"/>
        <color theme="1" tint="0.499984740745262"/>
        <name val="Calibri"/>
        <family val="2"/>
      </font>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strike val="0"/>
        <outline val="0"/>
        <shadow val="0"/>
        <u val="none"/>
        <vertAlign val="baseline"/>
        <sz val="11"/>
        <color theme="1" tint="0.499984740745262"/>
        <name val="Calibri"/>
        <family val="2"/>
      </font>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strike val="0"/>
        <outline val="0"/>
        <shadow val="0"/>
        <u val="none"/>
        <vertAlign val="baseline"/>
        <sz val="11"/>
        <color auto="1"/>
        <name val="Calibri"/>
        <family val="2"/>
      </font>
      <numFmt numFmtId="0" formatCode="General"/>
      <alignment horizontal="right" vertical="top" textRotation="0" indent="0" justifyLastLine="0" shrinkToFit="0" readingOrder="0"/>
    </dxf>
    <dxf>
      <alignment vertical="top" textRotation="0" indent="0" justifyLastLine="0" shrinkToFit="0" readingOrder="0"/>
    </dxf>
    <dxf>
      <font>
        <color rgb="FFFFFFFF"/>
      </font>
      <fill>
        <patternFill patternType="solid">
          <fgColor indexed="64"/>
          <bgColor rgb="FFA9D08E"/>
        </patternFill>
      </fill>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numFmt numFmtId="0" formatCode="General"/>
      <alignment vertical="top" textRotation="0" indent="0" justifyLastLine="0" shrinkToFit="0"/>
    </dxf>
    <dxf>
      <font>
        <b val="0"/>
        <i val="0"/>
        <strike val="0"/>
        <condense val="0"/>
        <extend val="0"/>
        <outline val="0"/>
        <shadow val="0"/>
        <u val="none"/>
        <vertAlign val="baseline"/>
        <sz val="11"/>
        <color auto="1"/>
        <name val="Calibri"/>
        <family val="2"/>
        <scheme val="none"/>
      </font>
      <alignment vertical="top" textRotation="0" indent="0" justifyLastLine="0" shrinkToFit="0"/>
    </dxf>
    <dxf>
      <font>
        <strike val="0"/>
        <outline val="0"/>
        <shadow val="0"/>
        <u val="none"/>
        <vertAlign val="baseline"/>
        <sz val="11"/>
        <color auto="1"/>
        <name val="Calibri"/>
        <family val="2"/>
      </font>
      <alignment horizontal="right" vertical="top" textRotation="0" indent="0" justifyLastLine="0" shrinkToFit="0" readingOrder="0"/>
    </dxf>
    <dxf>
      <font>
        <strike val="0"/>
        <outline val="0"/>
        <shadow val="0"/>
        <u val="none"/>
        <vertAlign val="baseline"/>
        <sz val="11"/>
        <color auto="1"/>
        <name val="Calibri"/>
        <family val="2"/>
      </font>
      <alignment vertical="top" textRotation="0" wrapText="1" indent="0" justifyLastLine="0" shrinkToFit="0"/>
    </dxf>
    <dxf>
      <font>
        <strike val="0"/>
        <outline val="0"/>
        <shadow val="0"/>
        <u val="none"/>
        <vertAlign val="baseline"/>
        <sz val="11"/>
        <color auto="1"/>
        <name val="Calibri"/>
        <family val="2"/>
      </font>
      <alignment vertical="top" textRotation="0" indent="0" justifyLastLine="0" shrinkToFit="0"/>
    </dxf>
    <dxf>
      <numFmt numFmtId="0" formatCode="General"/>
      <alignment vertical="top" textRotation="0" indent="0" justifyLastLine="0" shrinkToFit="0"/>
    </dxf>
    <dxf>
      <numFmt numFmtId="0" formatCode="General"/>
      <alignment vertical="top" textRotation="0" indent="0" justifyLastLine="0" shrinkToFit="0"/>
    </dxf>
    <dxf>
      <font>
        <strike val="0"/>
        <outline val="0"/>
        <shadow val="0"/>
        <u val="none"/>
        <vertAlign val="baseline"/>
        <sz val="11"/>
        <color auto="1"/>
        <name val="Calibri"/>
        <family val="2"/>
      </font>
      <alignment vertical="top" textRotation="0" indent="0" justifyLastLine="0" shrinkToFit="0"/>
    </dxf>
    <dxf>
      <numFmt numFmtId="0" formatCode="General"/>
      <alignment vertical="top" textRotation="0" indent="0" justifyLastLine="0" shrinkToFit="0"/>
    </dxf>
    <dxf>
      <font>
        <strike val="0"/>
        <outline val="0"/>
        <shadow val="0"/>
        <u val="none"/>
        <vertAlign val="baseline"/>
        <sz val="11"/>
        <color auto="1"/>
        <name val="Calibri"/>
        <family val="2"/>
      </font>
      <alignment vertical="top" textRotation="0" indent="0" justifyLastLine="0" shrinkToFit="0"/>
    </dxf>
    <dxf>
      <alignment vertical="top" textRotation="0" indent="0" justifyLastLine="0" shrinkToFit="0"/>
    </dxf>
    <dxf>
      <font>
        <strike val="0"/>
        <outline val="0"/>
        <shadow val="0"/>
        <u val="none"/>
        <vertAlign val="baseline"/>
        <sz val="11"/>
        <color auto="1"/>
        <name val="Calibri"/>
        <family val="2"/>
      </font>
      <numFmt numFmtId="0" formatCode="General"/>
      <alignment horizontal="right" vertical="top" textRotation="0" indent="0" justifyLastLine="0" shrinkToFit="0" readingOrder="0"/>
    </dxf>
    <dxf>
      <font>
        <strike val="0"/>
        <outline val="0"/>
        <shadow val="0"/>
        <u val="none"/>
        <vertAlign val="baseline"/>
        <sz val="11"/>
        <color auto="1"/>
        <name val="Calibri"/>
        <family val="2"/>
      </font>
      <alignment vertical="top" textRotation="0" indent="0" justifyLastLine="0" shrinkToFit="0"/>
    </dxf>
    <dxf>
      <alignment horizontal="general" vertical="bottom" textRotation="0" wrapText="1" indent="0" justifyLastLine="0" shrinkToFit="0" readingOrder="0"/>
    </dxf>
    <dxf>
      <font>
        <b val="0"/>
        <strike val="0"/>
        <outline val="0"/>
        <shadow val="0"/>
        <u val="none"/>
        <vertAlign val="baseline"/>
        <color auto="1"/>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strike val="0"/>
        <outline val="0"/>
        <shadow val="0"/>
        <u val="none"/>
        <vertAlign val="baseline"/>
        <sz val="11"/>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none"/>
      </font>
      <alignment horizontal="general" vertical="top" textRotation="0" wrapText="0" indent="0" justifyLastLine="0" shrinkToFit="0" readingOrder="0"/>
    </dxf>
    <dxf>
      <font>
        <b val="0"/>
        <strike val="0"/>
        <outline val="0"/>
        <shadow val="0"/>
        <u val="none"/>
        <vertAlign val="baseline"/>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none"/>
      </font>
      <alignment horizontal="center" vertical="top" textRotation="0" wrapText="1" indent="0" justifyLastLine="0" shrinkToFit="0" readingOrder="0"/>
    </dxf>
    <dxf>
      <font>
        <b val="0"/>
        <strike val="0"/>
        <outline val="0"/>
        <shadow val="0"/>
        <u val="none"/>
        <vertAlign val="baseline"/>
        <color auto="1"/>
        <name val="Calibri"/>
        <family val="2"/>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strike val="0"/>
        <outline val="0"/>
        <shadow val="0"/>
        <u val="none"/>
        <vertAlign val="baseline"/>
        <color auto="1"/>
        <name val="Calibri"/>
        <family val="2"/>
      </font>
      <fill>
        <patternFill patternType="none">
          <bgColor auto="1"/>
        </patternFill>
      </fill>
      <alignment horizontal="center"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horizontal="right"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strike val="0"/>
        <outline val="0"/>
        <shadow val="0"/>
        <u val="none"/>
        <vertAlign val="baseline"/>
        <sz val="11"/>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strike val="0"/>
        <outline val="0"/>
        <shadow val="0"/>
        <u val="none"/>
        <vertAlign val="baseline"/>
        <color theme="1" tint="0.499984740745262"/>
        <name val="Calibri"/>
        <family val="2"/>
      </font>
      <numFmt numFmtId="0" formatCode="General"/>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0"/>
        <color theme="1" tint="0.499984740745262"/>
        <name val="Calibri"/>
        <family val="2"/>
        <scheme val="none"/>
      </font>
      <numFmt numFmtId="0" formatCode="General"/>
      <alignment horizontal="general" vertical="top" textRotation="0" wrapText="1" indent="0" justifyLastLine="0" shrinkToFit="0" readingOrder="0"/>
    </dxf>
    <dxf>
      <font>
        <b val="0"/>
        <strike val="0"/>
        <outline val="0"/>
        <shadow val="0"/>
        <u val="none"/>
        <vertAlign val="baseline"/>
        <color theme="1" tint="0.499984740745262"/>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none"/>
      </font>
      <alignment horizontal="general" vertical="top" textRotation="0" wrapText="1" indent="0" justifyLastLine="0" shrinkToFit="0" readingOrder="0"/>
    </dxf>
    <dxf>
      <font>
        <b/>
        <strike val="0"/>
        <outline val="0"/>
        <shadow val="0"/>
        <u val="none"/>
        <vertAlign val="baseline"/>
        <color auto="1"/>
        <name val="Calibri"/>
        <family val="2"/>
      </font>
      <numFmt numFmtId="0" formatCode="General"/>
      <fill>
        <patternFill patternType="none">
          <bgColor auto="1"/>
        </patternFill>
      </fill>
      <alignment horizontal="right" vertical="top" textRotation="0" indent="0" justifyLastLine="0" shrinkToFit="0" readingOrder="0"/>
    </dxf>
    <dxf>
      <font>
        <b val="0"/>
        <strike val="0"/>
        <outline val="0"/>
        <shadow val="0"/>
        <u val="none"/>
        <vertAlign val="baseline"/>
        <color auto="1"/>
        <name val="Calibri"/>
        <family val="2"/>
      </font>
      <fill>
        <patternFill patternType="none">
          <bgColor auto="1"/>
        </patternFill>
      </fill>
      <alignment vertical="top" textRotation="0" indent="0" justifyLastLine="0" shrinkToFit="0" readingOrder="0"/>
    </dxf>
    <dxf>
      <font>
        <b val="0"/>
        <i val="0"/>
        <strike val="0"/>
        <condense val="0"/>
        <extend val="0"/>
        <outline val="0"/>
        <shadow val="0"/>
        <u val="none"/>
        <vertAlign val="baseline"/>
        <sz val="11"/>
        <color theme="1"/>
        <name val="Calibri"/>
        <family val="2"/>
        <scheme val="minor"/>
      </font>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strike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strike val="0"/>
        <outline val="0"/>
        <shadow val="0"/>
        <u val="none"/>
        <vertAlign val="baseline"/>
        <sz val="11"/>
        <color auto="1"/>
        <name val="Calibri"/>
        <family val="2"/>
        <scheme val="minor"/>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alignment horizontal="left" vertical="top" textRotation="0" wrapText="1" indent="0" justifyLastLine="0" shrinkToFit="0" readingOrder="0"/>
    </dxf>
    <dxf>
      <font>
        <b/>
        <i val="0"/>
        <strike val="0"/>
        <condense val="0"/>
        <extend val="0"/>
        <outline val="0"/>
        <shadow val="0"/>
        <u val="none"/>
        <vertAlign val="baseline"/>
        <sz val="11"/>
        <color auto="1"/>
        <name val="Calibri"/>
        <family val="2"/>
        <scheme val="minor"/>
      </font>
      <numFmt numFmtId="0" formatCode="General"/>
      <fill>
        <patternFill patternType="none">
          <bgColor auto="1"/>
        </patternFill>
      </fill>
      <alignment horizontal="right" vertical="top" textRotation="0" wrapText="1" indent="0" justifyLastLine="0" shrinkToFit="0" readingOrder="0"/>
    </dxf>
    <dxf>
      <border outline="0">
        <top style="thin">
          <color theme="6"/>
        </top>
        <bottom style="thin">
          <color theme="6"/>
        </bottom>
      </border>
    </dxf>
    <dxf>
      <font>
        <strike val="0"/>
        <outline val="0"/>
        <shadow val="0"/>
        <u val="none"/>
        <vertAlign val="baseline"/>
        <sz val="11"/>
        <color auto="1"/>
        <name val="Calibri"/>
        <family val="2"/>
        <scheme val="minor"/>
      </font>
      <fill>
        <patternFill patternType="none">
          <bgColor auto="1"/>
        </patternFill>
      </fill>
      <alignment vertical="top" textRotation="0" indent="0" justifyLastLine="0" shrinkToFit="0"/>
    </dxf>
    <dxf>
      <font>
        <strike val="0"/>
        <outline val="0"/>
        <shadow val="0"/>
        <u val="none"/>
        <vertAlign val="baseline"/>
        <name val="Calibri"/>
        <family val="2"/>
        <scheme val="minor"/>
      </font>
      <alignment vertical="center"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auto="1"/>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2" formatCode="0.0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2" formatCode="0.0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rgb="FFBD8ED1"/>
        </patternFill>
      </fill>
      <alignment horizontal="center"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right" vertical="top" textRotation="0" wrapText="1" indent="0" justifyLastLine="0" shrinkToFit="0" readingOrder="0"/>
    </dxf>
    <dxf>
      <font>
        <strike val="0"/>
        <outline val="0"/>
        <shadow val="0"/>
        <u val="none"/>
        <vertAlign val="baseline"/>
        <sz val="11"/>
        <color auto="1"/>
        <name val="Calibri"/>
        <family val="2"/>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1"/>
        <color theme="1" tint="0.499984740745262"/>
        <name val="Calibri"/>
        <family val="2"/>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tint="0.499984740745262"/>
        <name val="Calibri"/>
        <family val="2"/>
        <scheme val="minor"/>
      </font>
      <fill>
        <patternFill patternType="none">
          <bgColor auto="1"/>
        </patternFill>
      </fill>
      <alignment horizontal="general" vertical="top" textRotation="0" wrapText="0" indent="0" justifyLastLine="0" shrinkToFit="0" readingOrder="0"/>
    </dxf>
    <dxf>
      <font>
        <b/>
        <strike val="0"/>
        <outline val="0"/>
        <shadow val="0"/>
        <u val="none"/>
        <vertAlign val="baseline"/>
        <sz val="11"/>
        <color auto="1"/>
        <name val="Calibri"/>
        <family val="2"/>
      </font>
      <numFmt numFmtId="0" formatCode="General"/>
      <fill>
        <patternFill patternType="none">
          <fgColor indexed="64"/>
          <bgColor theme="5"/>
        </patternFill>
      </fill>
      <alignment horizontal="right" vertical="top" textRotation="0" indent="0" justifyLastLine="0" shrinkToFit="0" readingOrder="0"/>
    </dxf>
    <dxf>
      <border outline="0">
        <top style="thin">
          <color theme="6"/>
        </top>
        <bottom style="thin">
          <color theme="6"/>
        </bottom>
      </border>
    </dxf>
    <dxf>
      <font>
        <strike val="0"/>
        <outline val="0"/>
        <shadow val="0"/>
        <u val="none"/>
        <vertAlign val="baseline"/>
        <sz val="11"/>
        <color auto="1"/>
        <name val="Calibri"/>
        <family val="2"/>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1"/>
        <color theme="6" tint="-0.249977111117893"/>
        <name val="Calibri"/>
        <family val="2"/>
        <scheme val="minor"/>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1"/>
        <color auto="1"/>
      </font>
    </dxf>
    <dxf>
      <font>
        <strike val="0"/>
        <outline val="0"/>
        <shadow val="0"/>
        <vertAlign val="baseline"/>
        <sz val="11"/>
        <color auto="1"/>
      </font>
    </dxf>
    <dxf>
      <font>
        <strike val="0"/>
        <outline val="0"/>
        <shadow val="0"/>
        <u val="none"/>
        <vertAlign val="baseline"/>
        <sz val="11"/>
        <color theme="1" tint="0.499984740745262"/>
        <name val="Calibri"/>
        <family val="2"/>
        <scheme val="minor"/>
      </font>
      <numFmt numFmtId="0" formatCode="General"/>
    </dxf>
    <dxf>
      <font>
        <b val="0"/>
        <i val="0"/>
        <strike val="0"/>
        <condense val="0"/>
        <extend val="0"/>
        <outline val="0"/>
        <shadow val="0"/>
        <u val="none"/>
        <vertAlign val="baseline"/>
        <sz val="11"/>
        <color theme="1" tint="0.499984740745262"/>
        <name val="Calibri"/>
        <family val="2"/>
        <scheme val="minor"/>
      </font>
    </dxf>
    <dxf>
      <font>
        <strike val="0"/>
        <outline val="0"/>
        <shadow val="0"/>
        <u val="none"/>
        <vertAlign val="baseline"/>
        <sz val="11"/>
        <color theme="1" tint="0.499984740745262"/>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30" formatCode="@"/>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numFmt numFmtId="0" formatCode="General"/>
    </dxf>
    <dxf>
      <font>
        <strike val="0"/>
        <outline val="0"/>
        <shadow val="0"/>
        <vertAlign val="baseline"/>
        <sz val="11"/>
        <color auto="1"/>
      </font>
      <numFmt numFmtId="0" formatCode="General"/>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strike val="0"/>
        <outline val="0"/>
        <shadow val="0"/>
        <u val="none"/>
        <vertAlign val="baseline"/>
        <sz val="11"/>
        <color auto="1"/>
      </font>
      <alignment horizontal="left"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0" formatCode="General"/>
    </dxf>
    <dxf>
      <font>
        <strike val="0"/>
        <outline val="0"/>
        <shadow val="0"/>
        <u val="none"/>
        <vertAlign val="baseline"/>
        <sz val="11"/>
        <color auto="1"/>
      </font>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tint="0.499984740745262"/>
        <name val="Calibri"/>
        <family val="2"/>
        <scheme val="minor"/>
      </font>
      <numFmt numFmtId="0" formatCode="General"/>
      <alignment horizontal="left" vertical="center" textRotation="0" wrapText="1" indent="0" justifyLastLine="0" shrinkToFit="0" readingOrder="0"/>
    </dxf>
    <dxf>
      <font>
        <strike val="0"/>
        <outline val="0"/>
        <shadow val="0"/>
        <u val="none"/>
        <vertAlign val="baseline"/>
        <sz val="11"/>
        <color theme="1" tint="0.499984740745262"/>
        <name val="Calibri"/>
        <family val="2"/>
        <scheme val="minor"/>
      </font>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strike val="0"/>
        <outline val="0"/>
        <shadow val="0"/>
        <vertAlign val="baseline"/>
        <sz val="11"/>
        <color auto="1"/>
      </font>
      <fill>
        <patternFill patternType="none">
          <fgColor indexed="64"/>
          <bgColor auto="1"/>
        </patternFill>
      </fill>
      <alignment horizontal="right" textRotation="0" indent="0" justifyLastLine="0" shrinkToFit="0" readingOrder="0"/>
    </dxf>
    <dxf>
      <font>
        <strike val="0"/>
        <outline val="0"/>
        <shadow val="0"/>
        <vertAlign val="baseline"/>
        <sz val="11"/>
        <color auto="1"/>
      </font>
    </dxf>
    <dxf>
      <alignment textRotation="0" wrapText="1" indent="0" justifyLastLine="0" shrinkToFit="0" readingOrder="0"/>
    </dxf>
    <dxf>
      <font>
        <strike val="0"/>
        <outline val="0"/>
        <shadow val="0"/>
        <u val="none"/>
        <vertAlign val="baseline"/>
        <sz val="11"/>
        <color theme="1" tint="0.499984740745262"/>
        <name val="Calibri"/>
        <family val="2"/>
        <scheme val="minor"/>
      </font>
      <numFmt numFmtId="4" formatCode="#,##0.00"/>
      <alignment horizontal="right" vertical="top" textRotation="0" wrapText="0" indent="0" justifyLastLine="0" shrinkToFit="0" readingOrder="0"/>
    </dxf>
    <dxf>
      <font>
        <strike val="0"/>
        <outline val="0"/>
        <shadow val="0"/>
        <u val="none"/>
        <vertAlign val="baseline"/>
        <sz val="11"/>
        <color theme="1" tint="0.499984740745262"/>
        <name val="Calibri"/>
        <family val="2"/>
        <scheme val="minor"/>
      </font>
      <numFmt numFmtId="4" formatCode="#,##0.00"/>
      <alignment horizontal="righ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font>
        <b/>
      </font>
    </dxf>
    <dxf>
      <font>
        <b/>
        <i val="0"/>
        <strike val="0"/>
        <condense val="0"/>
        <extend val="0"/>
        <outline val="0"/>
        <shadow val="0"/>
        <u val="none"/>
        <vertAlign val="baseline"/>
        <sz val="11"/>
        <color theme="1"/>
        <name val="Calibri"/>
        <family val="2"/>
        <scheme val="minor"/>
      </font>
      <alignment textRotation="0" wrapText="1" indent="0" justifyLastLine="0" shrinkToFit="0" readingOrder="0"/>
    </dxf>
  </dxfs>
  <tableStyles count="0" defaultTableStyle="TableStyleMedium2" defaultPivotStyle="PivotStyleLight16"/>
  <colors>
    <mruColors>
      <color rgb="FFF7E2FA"/>
      <color rgb="FFF2D5F7"/>
      <color rgb="FFBD8ED1"/>
      <color rgb="FFFFFFCC"/>
      <color rgb="FFCCCC00"/>
      <color rgb="FF00B0F0"/>
      <color rgb="FF4BBED2"/>
      <color rgb="FF2DA0DA"/>
      <color rgb="FF80BA28"/>
      <color rgb="FFACD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5.xml"/><Relationship Id="rId39" Type="http://schemas.openxmlformats.org/officeDocument/2006/relationships/customXml" Target="../customXml/item18.xml"/><Relationship Id="rId21" Type="http://schemas.openxmlformats.org/officeDocument/2006/relationships/calcChain" Target="calcChain.xml"/><Relationship Id="rId34" Type="http://schemas.openxmlformats.org/officeDocument/2006/relationships/customXml" Target="../customXml/item13.xml"/><Relationship Id="rId42" Type="http://schemas.openxmlformats.org/officeDocument/2006/relationships/customXml" Target="../customXml/item21.xml"/><Relationship Id="rId47" Type="http://schemas.openxmlformats.org/officeDocument/2006/relationships/customXml" Target="../customXml/item2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32" Type="http://schemas.openxmlformats.org/officeDocument/2006/relationships/customXml" Target="../customXml/item11.xml"/><Relationship Id="rId37" Type="http://schemas.openxmlformats.org/officeDocument/2006/relationships/customXml" Target="../customXml/item16.xml"/><Relationship Id="rId40" Type="http://schemas.openxmlformats.org/officeDocument/2006/relationships/customXml" Target="../customXml/item19.xml"/><Relationship Id="rId45"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2.xml"/><Relationship Id="rId28" Type="http://schemas.openxmlformats.org/officeDocument/2006/relationships/customXml" Target="../customXml/item7.xml"/><Relationship Id="rId36"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0.xml"/><Relationship Id="rId4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 Id="rId27" Type="http://schemas.openxmlformats.org/officeDocument/2006/relationships/customXml" Target="../customXml/item6.xml"/><Relationship Id="rId30" Type="http://schemas.openxmlformats.org/officeDocument/2006/relationships/customXml" Target="../customXml/item9.xml"/><Relationship Id="rId35" Type="http://schemas.openxmlformats.org/officeDocument/2006/relationships/customXml" Target="../customXml/item14.xml"/><Relationship Id="rId43" Type="http://schemas.openxmlformats.org/officeDocument/2006/relationships/customXml" Target="../customXml/item22.xml"/><Relationship Id="rId48" Type="http://schemas.openxmlformats.org/officeDocument/2006/relationships/customXml" Target="../customXml/item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4.xml"/><Relationship Id="rId33" Type="http://schemas.openxmlformats.org/officeDocument/2006/relationships/customXml" Target="../customXml/item12.xml"/><Relationship Id="rId38" Type="http://schemas.openxmlformats.org/officeDocument/2006/relationships/customXml" Target="../customXml/item17.xml"/><Relationship Id="rId46" Type="http://schemas.openxmlformats.org/officeDocument/2006/relationships/customXml" Target="../customXml/item25.xml"/><Relationship Id="rId20" Type="http://schemas.microsoft.com/office/2017/10/relationships/person" Target="persons/person.xml"/><Relationship Id="rId41"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1</xdr:row>
      <xdr:rowOff>171450</xdr:rowOff>
    </xdr:from>
    <xdr:to>
      <xdr:col>8</xdr:col>
      <xdr:colOff>3174</xdr:colOff>
      <xdr:row>5</xdr:row>
      <xdr:rowOff>9525</xdr:rowOff>
    </xdr:to>
    <xdr:pic>
      <xdr:nvPicPr>
        <xdr:cNvPr id="3"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352425"/>
          <a:ext cx="3190875" cy="561975"/>
        </a:xfrm>
        <a:prstGeom prst="rect">
          <a:avLst/>
        </a:prstGeom>
      </xdr:spPr>
    </xdr:pic>
    <xdr:clientData/>
  </xdr:twoCellAnchor>
  <xdr:twoCellAnchor editAs="oneCell">
    <xdr:from>
      <xdr:col>0</xdr:col>
      <xdr:colOff>152400</xdr:colOff>
      <xdr:row>0</xdr:row>
      <xdr:rowOff>152400</xdr:rowOff>
    </xdr:from>
    <xdr:to>
      <xdr:col>2</xdr:col>
      <xdr:colOff>903008</xdr:colOff>
      <xdr:row>5</xdr:row>
      <xdr:rowOff>76200</xdr:rowOff>
    </xdr:to>
    <xdr:pic>
      <xdr:nvPicPr>
        <xdr:cNvPr id="7" name="Grafik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152400"/>
          <a:ext cx="1495425" cy="828675"/>
        </a:xfrm>
        <a:prstGeom prst="rect">
          <a:avLst/>
        </a:prstGeom>
      </xdr:spPr>
    </xdr:pic>
    <xdr:clientData/>
  </xdr:twoCellAnchor>
  <xdr:twoCellAnchor editAs="oneCell">
    <xdr:from>
      <xdr:col>8</xdr:col>
      <xdr:colOff>396875</xdr:colOff>
      <xdr:row>0</xdr:row>
      <xdr:rowOff>0</xdr:rowOff>
    </xdr:from>
    <xdr:to>
      <xdr:col>12</xdr:col>
      <xdr:colOff>101600</xdr:colOff>
      <xdr:row>6</xdr:row>
      <xdr:rowOff>67765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92875" y="0"/>
          <a:ext cx="2755900" cy="1150440"/>
        </a:xfrm>
        <a:prstGeom prst="rect">
          <a:avLst/>
        </a:prstGeom>
      </xdr:spPr>
    </xdr:pic>
    <xdr:clientData/>
  </xdr:twoCellAnchor>
  <xdr:twoCellAnchor editAs="oneCell">
    <xdr:from>
      <xdr:col>12</xdr:col>
      <xdr:colOff>135616</xdr:colOff>
      <xdr:row>0</xdr:row>
      <xdr:rowOff>89647</xdr:rowOff>
    </xdr:from>
    <xdr:to>
      <xdr:col>13</xdr:col>
      <xdr:colOff>592630</xdr:colOff>
      <xdr:row>7</xdr:row>
      <xdr:rowOff>36232</xdr:rowOff>
    </xdr:to>
    <xdr:pic>
      <xdr:nvPicPr>
        <xdr:cNvPr id="14" name="Grafik 4">
          <a:extLst>
            <a:ext uri="{FF2B5EF4-FFF2-40B4-BE49-F238E27FC236}">
              <a16:creationId xmlns:a16="http://schemas.microsoft.com/office/drawing/2014/main" id="{99BA816C-ABE2-7E5B-5F43-515F69F49D06}"/>
            </a:ext>
          </a:extLst>
        </xdr:cNvPr>
        <xdr:cNvPicPr>
          <a:picLocks noChangeAspect="1"/>
        </xdr:cNvPicPr>
      </xdr:nvPicPr>
      <xdr:blipFill>
        <a:blip xmlns:r="http://schemas.openxmlformats.org/officeDocument/2006/relationships" r:embed="rId4"/>
        <a:stretch>
          <a:fillRect/>
        </a:stretch>
      </xdr:blipFill>
      <xdr:spPr>
        <a:xfrm>
          <a:off x="8360734" y="89647"/>
          <a:ext cx="1193614" cy="121023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on Vieweg" id="{32A18DFA-5FCA-49B8-81D5-4E2627EB4A5E}" userId="Marion Vieweg" providerId="None"/>
  <person displayName="Marion Vieweg" id="{AF6C8E29-73D0-4857-86C6-5C16F596D63E}" userId="5704429a90010f85" providerId="Windows Live"/>
  <person displayName="Taeger, Nadja GIZ" id="{0522C636-7491-433F-9675-25801F3969BA}" userId="nadja.taeger@giz.de" providerId="PeoplePicker"/>
  <person displayName="Klann, Felix GIZ" id="{DB353C02-A96B-4DBA-9FEE-B137F3DAFA35}" userId="S::felix.klann@giz.de::bac0c6c5-4b19-437a-872c-8d1d9f14cd4b" providerId="AD"/>
  <person displayName="Taeger, Nadja GIZ" id="{4E057FD6-EDA0-440C-A581-BD4549D6AC40}" userId="S::nadja.taeger@giz.de::d7e4c572-8353-4195-b051-5a36d413a0e0" providerId="AD"/>
  <person displayName="Verena" id="{F9B1E208-CA76-4B8D-8C9D-F6BF88E47CA8}" userId="S::verena.knoell@giz.de::0ff6dc07-799a-4b5f-97c3-ae6166b0c3b6" providerId="AD"/>
  <person displayName="marion.vieweg" id="{6D418FFB-AE9A-4B6F-8669-62793E6241D8}" userId="S::marion.vieweg_current-future.org#ext#@gizonline.onmicrosoft.com::c55a5def-dd28-47b7-bd49-78fc8b8af6a8" providerId="AD"/>
  <person displayName="Nikola Medimorec" id="{E508A65D-6268-45C6-9F7F-CB8607B62599}" userId="S::nikola.medimorec_slocatpartnership.org#ext#@gizonline.onmicrosoft.com::55731e1a-9a27-46d2-86d3-8d1efa0883d3"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eDaten_2" connectionId="4" xr16:uid="{B3738B64-D42E-4610-A983-8EC612967829}" autoFormatId="16" applyNumberFormats="0" applyBorderFormats="0" applyFontFormats="0" applyPatternFormats="0" applyAlignmentFormats="0" applyWidthHeightFormats="0">
  <queryTableRefresh nextId="3">
    <queryTableFields count="2">
      <queryTableField id="1" name="Type" tableColumnId="1"/>
      <queryTableField id="2" name="Type Parameter" tableColumnId="2"/>
    </queryTableFields>
  </queryTableRefresh>
</queryTable>
</file>

<file path=xl/tables/_rels/table1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53B7874-A9D0-43BD-BFA0-98D32371972E}" name="Table29" displayName="Table29" ref="B8:Y207" totalsRowShown="0" headerRowDxfId="308">
  <autoFilter ref="B8:Y207" xr:uid="{D53B7874-A9D0-43BD-BFA0-98D32371972E}"/>
  <sortState xmlns:xlrd2="http://schemas.microsoft.com/office/spreadsheetml/2017/richdata2" ref="B9:Y207">
    <sortCondition ref="C8:C207"/>
  </sortState>
  <tableColumns count="24">
    <tableColumn id="1" xr3:uid="{7A7C6155-5781-4F58-87E9-B41DD54BB8D1}" name="Country Codes" dataDxfId="307"/>
    <tableColumn id="2" xr3:uid="{0F5C0836-7B88-4F9E-A4C0-0F052EBCDEDB}" name="Country"/>
    <tableColumn id="3" xr3:uid="{F516ABC1-E772-4CD3-8A9F-137DCF36B896}" name="Annex I or Non-Annex I"/>
    <tableColumn id="4" xr3:uid="{AAF1AB79-589C-43D9-817A-FB9AF11DE4FA}" name="Region" dataDxfId="306"/>
    <tableColumn id="5" xr3:uid="{E41FBC22-808A-4883-B626-3F1200280F3E}" name="Income Level Group" dataDxfId="305"/>
    <tableColumn id="6" xr3:uid="{586E4C14-81A9-46D7-AD1D-2A57947F56C3}" name="G20" dataDxfId="304"/>
    <tableColumn id="7" xr3:uid="{4DFB06BE-EDEC-4600-81D5-48C85D4F5E09}" name="G7" dataDxfId="303"/>
    <tableColumn id="8" xr3:uid="{25A4C0BA-E73E-484C-BBE7-4982A66C0764}" name="OECD" dataDxfId="302"/>
    <tableColumn id="9" xr3:uid="{68FE3841-3C2C-4B15-B294-27C7B78600F5}" name="EU27" dataDxfId="301"/>
    <tableColumn id="18" xr3:uid="{83012EB4-7323-4493-9C29-F4EC11F94573}" name="MENA region " dataDxfId="300"/>
    <tableColumn id="10" xr3:uid="{2986EC01-9950-4D45-98F0-0385FB8B6424}" name="Declaration on accelerating the transition to 100% zero emission cars and vans" dataDxfId="299"/>
    <tableColumn id="11" xr3:uid="{A3A3D419-FEF2-415F-9AA6-A5AA0DAC748C}" name="Breakthrough agenda - road transport" dataDxfId="298"/>
    <tableColumn id="12" xr3:uid="{92B79876-265B-40F7-B57C-01F64075D827}" name="International aviation climate ambition coalition" dataDxfId="297"/>
    <tableColumn id="13" xr3:uid="{93C8C5DD-CE4A-43B8-ABD9-9D070A398E20}" name="Clydebank declaration for green shipping corridors" dataDxfId="296"/>
    <tableColumn id="14" xr3:uid="{9D3647C7-90A1-463D-9ECE-1A8307CC37D2}" name="Memorandum of understanding on zero-emission medium- and heavy-duty vehicles " dataDxfId="295"/>
    <tableColumn id="15" xr3:uid="{B9749BD1-3F87-4874-8744-4813C46C9A59}" name="Beyond oil and gas alliance" dataDxfId="294"/>
    <tableColumn id="16" xr3:uid="{6A63C292-26B8-4BDF-AE6F-F7F16C3026BB}" name="Charge forward to zero emissions transportation" dataDxfId="293"/>
    <tableColumn id="17" xr3:uid="{36B3C131-B74C-4BC7-8C1C-93273A4C1EB5}" name="Net-zero target" dataDxfId="292"/>
    <tableColumn id="19" xr3:uid="{FA7E0BBD-45C2-440E-B2DF-98A46DB6232D}" name="ICE phase-out target" dataDxfId="291">
      <calculatedColumnFormula>VLOOKUP(Table29[[#This Row],[Country Codes]],$AA$9:$AB$33,1,FALSE)</calculatedColumnFormula>
    </tableColumn>
    <tableColumn id="22" xr3:uid="{92B48759-782B-4AEA-852C-3231B15FEFEF}" name="ICE phase-out target type" dataDxfId="290"/>
    <tableColumn id="23" xr3:uid="{EC48E0A1-2A77-4198-B3D1-F0F9B2C2C3DA}" name="ICE phase-out target year" dataDxfId="289"/>
    <tableColumn id="24" xr3:uid="{2343DE5C-E608-486B-9724-4E933642779F}" name="Source ICE phase-out target" dataDxfId="288"/>
    <tableColumn id="20" xr3:uid="{25F3A91D-EA06-4F3F-8142-910E33433461}" name="GHG total 2023 (Mt)" dataDxfId="287">
      <calculatedColumnFormula>VLOOKUP(Table29[[#This Row],[Country Codes]],GHG!$A$8:$E$203,4,FALSE)</calculatedColumnFormula>
    </tableColumn>
    <tableColumn id="21" xr3:uid="{35DEBFD6-F443-484B-B05D-BCC70C2E3D46}" name="GHG transport 2023 (Mt)" dataDxfId="286">
      <calculatedColumnFormula>VLOOKUP(Table29[[#This Row],[Country Codes]],GHG!$A$8:$E$203,3,FALSE)</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845E98-C8D5-41F5-9380-D38647B81D1E}" name="Table71322" displayName="Table71322" ref="B72:H173" totalsRowShown="0" headerRowDxfId="31" dataDxfId="29" headerRowBorderDxfId="30" tableBorderDxfId="28">
  <autoFilter ref="B72:H173" xr:uid="{A1845E98-C8D5-41F5-9380-D38647B81D1E}"/>
  <tableColumns count="7">
    <tableColumn id="1" xr3:uid="{3E81F17E-0542-4137-9560-74BAB85A3F1C}" name="Type of indicator" dataDxfId="27"/>
    <tableColumn id="2" xr3:uid="{CD753872-FEFB-4BDC-8617-7F780E748A43}" name="Indicator " dataDxfId="26"/>
    <tableColumn id="4" xr3:uid="{224540BA-A511-4088-A4BE-9AA1C595F78D}" name="Value name" dataDxfId="25"/>
    <tableColumn id="10" xr3:uid="{3CAECE61-A6DE-4A03-BD1E-D30C82B90A72}" name="Value identifyer" dataDxfId="24"/>
    <tableColumn id="7" xr3:uid="{0454A505-52A0-416C-A06C-DA642776519D}" name="Related category" dataDxfId="23"/>
    <tableColumn id="8" xr3:uid="{B4B14A7A-D4DF-497C-BC98-2B5466AD33FC}" name="Related purpose" dataDxfId="22"/>
    <tableColumn id="9" xr3:uid="{C00B9B62-6287-4D3B-BC55-9A3B6E1A7D04}" name="Definition" dataDxfId="21"/>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D197C28-6598-45F4-8820-DE925BEEA915}" name="Table1025" displayName="Table1025" ref="B180:H198" totalsRowShown="0" headerRowDxfId="20" dataDxfId="18" headerRowBorderDxfId="19" tableBorderDxfId="17">
  <autoFilter ref="B180:H198" xr:uid="{8D197C28-6598-45F4-8820-DE925BEEA915}"/>
  <tableColumns count="7">
    <tableColumn id="1" xr3:uid="{8FBF9F4F-BA68-4E48-ABBA-6F4A3C947928}" name="Type of indicator" dataDxfId="16"/>
    <tableColumn id="2" xr3:uid="{FDD7DF78-BF3D-41E2-BC29-BD81B1FAEF7C}" name="Indicator " dataDxfId="15"/>
    <tableColumn id="3" xr3:uid="{27357A32-5A26-4047-AE78-DB992926F96E}" name="Value name" dataDxfId="14"/>
    <tableColumn id="9" xr3:uid="{3BDFA247-329C-478A-AB7C-D1D65D55EE1A}" name="Value identifyer" dataDxfId="13"/>
    <tableColumn id="5" xr3:uid="{17B0FD22-BCD3-453C-876D-821BCB784E7E}" name="Related category" dataDxfId="12"/>
    <tableColumn id="6" xr3:uid="{1C0CC2A8-6F6F-4379-99FC-14DE2ABF48FD}" name="Related purpose" dataDxfId="11"/>
    <tableColumn id="7" xr3:uid="{A2DA954A-AAF3-49BB-9807-FE6D7A1999BE}" name="Definition" dataDxfId="10"/>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BCFC6CB-4824-4CD2-A726-A6B2B693F257}" name="Table22" displayName="Table22" ref="B205:H213" totalsRowShown="0" headerRowDxfId="9" headerRowBorderDxfId="8" tableBorderDxfId="7">
  <autoFilter ref="B205:H213" xr:uid="{7BCFC6CB-4824-4CD2-A726-A6B2B693F257}"/>
  <tableColumns count="7">
    <tableColumn id="1" xr3:uid="{1BBD1B55-625F-43FE-8E45-C042332B7EBE}" name="Type of indicator" dataDxfId="6"/>
    <tableColumn id="2" xr3:uid="{B2E30CE3-872F-460E-8289-3FA29EB61024}" name="Indicator " dataDxfId="5"/>
    <tableColumn id="3" xr3:uid="{57749FE8-E8DA-4F97-8C3C-7C243C17032C}" name="Value name"/>
    <tableColumn id="4" xr3:uid="{719F4C3F-0531-42C4-B97B-47B69A28E5C3}" name="Value identifyer"/>
    <tableColumn id="5" xr3:uid="{69B90C3B-C971-4BC7-9D2D-A8BF7BFAE908}" name="Related category" dataDxfId="4"/>
    <tableColumn id="6" xr3:uid="{078729F7-80EE-4DD9-AE15-4F730ACCAD16}" name="Related purpose" dataDxfId="3"/>
    <tableColumn id="7" xr3:uid="{3BE3760F-879B-40E0-9DF0-35A5FF534461}" name="Definitio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0B8751-D836-48D6-B0DF-79F74B4E697C}" name="Mapping_Activity_Type" displayName="Mapping_Activity_Type" ref="A1:B9" tableType="queryTable" totalsRowShown="0">
  <autoFilter ref="A1:B9" xr:uid="{A40B8751-D836-48D6-B0DF-79F74B4E697C}"/>
  <tableColumns count="2">
    <tableColumn id="1" xr3:uid="{6B805D92-FF59-4D4A-9C0F-218C428CEB0B}" uniqueName="1" name="Type" queryTableFieldId="1" dataDxfId="2"/>
    <tableColumn id="2" xr3:uid="{EC793209-07CE-4271-806A-E91F9CDC3329}" uniqueName="2" name="Type Parameter" queryTableFieldId="2"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121FD1-EF00-4ED3-9487-F9DD821D6F50}" name="Table1" displayName="Table1" ref="A8:Z549" totalsRowShown="0" headerRowDxfId="285" dataDxfId="284">
  <autoFilter ref="A8:Z549" xr:uid="{A201EB28-2BD0-4CF0-A16E-5CAD7DC3918D}"/>
  <sortState xmlns:xlrd2="http://schemas.microsoft.com/office/spreadsheetml/2017/richdata2" ref="A184:Z544">
    <sortCondition ref="C8:C548"/>
  </sortState>
  <tableColumns count="26">
    <tableColumn id="1" xr3:uid="{A921940C-0BCE-471B-84BA-430EB321139F}" name="Document ID" dataDxfId="283"/>
    <tableColumn id="19" xr3:uid="{A3162855-79B1-45C7-8700-0EF5AB9A2896}" name="Country Code" dataDxfId="282"/>
    <tableColumn id="26" xr3:uid="{E51B5E5C-3C67-4D15-957A-76EC6CFD374E}" name="Country" dataDxfId="281">
      <calculatedColumnFormula>VLOOKUP(Table1[[#This Row],[Country Code]],Table29[],2,FALSE)</calculatedColumnFormula>
    </tableColumn>
    <tableColumn id="6" xr3:uid="{A04518DF-C989-46F7-8ABE-37CC05A11E93}" name="Check active " dataDxfId="280">
      <calculatedColumnFormula>IF(J9&lt;&gt;"Active",
    "Good",
    IF(COUNTIFS(C:C, C9, E:E, E9, J:J, "Active")&gt;1,
       IF(E9="LTS", "Error: more than one LTS active",
          IF(E9="NDC", "Error: more than one NDC active", "Error")
       ),
       "Good"
    )
)</calculatedColumnFormula>
    </tableColumn>
    <tableColumn id="21" xr3:uid="{42E15866-8265-4BBB-8B87-1960260860D5}" name="Type of document" dataDxfId="279"/>
    <tableColumn id="3" xr3:uid="{17C83767-A887-4CE4-8D1F-E1BDE278EDF1}" name="Document name" dataDxfId="278"/>
    <tableColumn id="14" xr3:uid="{B8EE3B08-C458-4313-AB77-5EA22EDA5ABF}" name="Last submission" dataDxfId="277">
      <calculatedColumnFormula>IF(H9="NDC 1.0","First NDC",
IF(OR(H9="NDC 1.1",H9="NDC 1.2",H9="NDC 1.3"),"First NDC updated",
IF(H9="NDC 2.0","Second NDC",
IF(OR(H9="NDC 2.1",H9="NDC 2.2",H9="NDC 2.3"),"Second NDC updated",
IF(H9="NDC 3.0","Third NDC",
IF(OR(H9="NDC 3.1",H9="NDC 3.2",H9="NDC 3.3"),"Third NDC updated",
F9))))))</calculatedColumnFormula>
    </tableColumn>
    <tableColumn id="22" xr3:uid="{33D90F14-3BF4-4EC5-87F7-5DB30D45F76E}" name="Version number" dataDxfId="276"/>
    <tableColumn id="5" xr3:uid="{D88FF7BE-81B3-469A-9CD0-F64A22154EDE}" name="Date" dataDxfId="275"/>
    <tableColumn id="10" xr3:uid="{3BCD2774-38CC-41BB-B68A-EBBDB16E87A0}" name="Status" dataDxfId="274"/>
    <tableColumn id="28" xr3:uid="{E013C2F6-FA29-4BEC-A2BD-446D6344CC48}" name="Contains transport mitigation target" dataDxfId="273">
      <calculatedColumnFormula array="1">IF(ISNUMBER(MATCH("Transport sector mitigation target", _xlfn._xlws.FILTER(Targets!H:H, Targets!A:A =A9), 0)), "yes", "no")</calculatedColumnFormula>
    </tableColumn>
    <tableColumn id="7" xr3:uid="{7965E98D-89E4-4B53-B3D5-1E784D2B94C6}" name="Summary transport target " dataDxfId="272">
      <calculatedColumnFormula>IF(K9="no", "No transport target", IF(AND(COUNTIFS(Targets!A:A, A9, Targets!H:H, "Transport sector mitigation target", Targets!J:J, "GHG") &gt; 0, COUNTIFS(Targets!A:A, A9, Targets!H:H, "Transport sector mitigation target", Targets!J:J, "Non GHG") &gt; 0), "GHG and non-GHG target", IF(COUNTIFS(Targets!A:A, A9, Targets!H:H, "Transport sector mitigation target", Targets!J:J, "GHG") &gt; 0, "GHG target", IF(COUNTIFS(Targets!A:A, A9, Targets!H:H, "Transport sector mitigation target", Targets!J:J, "Non GHG") &gt; 0, "non-GHG target", ""))))</calculatedColumnFormula>
    </tableColumn>
    <tableColumn id="23" xr3:uid="{15AA8F1E-B257-41AA-9039-438C63ACB1DE}" name="GHG transport target type" dataDxfId="271">
      <calculatedColumnFormula>IF(K9="no","No transport target",IF(L9="non-GHG target","No GHG transport target",IF(AND(COUNTIFS(Targets!A:A,A9,Targets!H:H,"Transport sector mitigation target",Targets!J:J,"GHG",Targets!L:L,"Conditional")&gt;0,COUNTIFS(Targets!A:A,A9,Targets!H:H,"Transport sector mitigation target",Targets!J:J,"GHG",Targets!L:L,"Unconditional")&gt;0),"GHG unconditional and conditional",IF(COUNTIFS(Targets!A:A,A9,Targets!H:H,"Transport sector mitigation target",Targets!J:J,"GHG",Targets!L:L,"Conditional")&gt;0,"GHG conditional only",IF(COUNTIFS(Targets!A:A,A9,Targets!H:H,"Transport sector mitigation target",Targets!J:J,"GHG",Targets!L:L,"Unconditional")&gt;0,"GHG unconditional only",IF(COUNTIFS(Targets!A:A,A9,Targets!H:H,"Transport sector mitigation target",Targets!J:J,"GHG",Targets!L:L,"Unclear conditionality")&gt;0,"Conditionality unclear",""))))))</calculatedColumnFormula>
    </tableColumn>
    <tableColumn id="32" xr3:uid="{91BA0747-5290-44EE-BD76-234AE9BBEABE}" name="Contains transport adaptation target" dataDxfId="270">
      <calculatedColumnFormula array="1">IF(ISNUMBER(MATCH("Transport sector adaptation target", _xlfn._xlws.FILTER(Targets!H:H, Targets!A:A =A9), 0)), "yes", "no")</calculatedColumnFormula>
    </tableColumn>
    <tableColumn id="30" xr3:uid="{8A0E07F1-F97A-498E-A02D-8478846EDADF}" name="Contains transport mitigation measures" dataDxfId="269">
      <calculatedColumnFormula>IF(ISNA(MATCH(A9, Mitigation!A:A, 0)), "no", "yes")</calculatedColumnFormula>
    </tableColumn>
    <tableColumn id="4" xr3:uid="{5863FFDC-E7CC-4EE8-B165-0F0CCEFB4360}" name="Contains transport adaptation measures" dataDxfId="268">
      <calculatedColumnFormula>IF(ISNA(MATCH(A9, Adaptation!A:A, 0)), "no", "yes")</calculatedColumnFormula>
    </tableColumn>
    <tableColumn id="2" xr3:uid="{C6F88E3C-8D19-4A76-9E12-D61E02E0EE85}" name="Contains benefits" dataDxfId="267">
      <calculatedColumnFormula>IF(ISNA(MATCH(A9, Benefits!A:A, 0)), "no", "yes")</calculatedColumnFormula>
    </tableColumn>
    <tableColumn id="8" xr3:uid="{DC2AB748-43F4-4F30-90D4-4E6B7715A666}" name="Contains reference to just transition" dataDxfId="266"/>
    <tableColumn id="20" xr3:uid="{6D49853F-99AE-4FF0-AB21-C1E27931574A}" name="Comments" dataDxfId="265"/>
    <tableColumn id="24" xr3:uid="{9FCAAA3E-05A8-4D00-8879-A001D37F6A8D}" name="Backend status" dataDxfId="264"/>
    <tableColumn id="17" xr3:uid="{5B1D4C86-FD1B-4206-B480-2C2FD36F8328}" name="URL" dataDxfId="263"/>
    <tableColumn id="11" xr3:uid="{1B9B0486-F2D8-4216-A6DA-2499CC44D82C}" name="Annex I or Non-Annex I" dataDxfId="262">
      <calculatedColumnFormula>VLOOKUP(Table1[[#This Row],[Country Code]],Table29[],3,FALSE)</calculatedColumnFormula>
    </tableColumn>
    <tableColumn id="27" xr3:uid="{22C0443B-95D4-444A-A172-7B9D76C21B43}" name="Region" dataDxfId="261">
      <calculatedColumnFormula>VLOOKUP(Table1[[#This Row],[Country Code]],Table29[],4,FALSE)</calculatedColumnFormula>
    </tableColumn>
    <tableColumn id="12" xr3:uid="{57CD7C1E-44CC-4D94-8513-C522473AB927}" name="Income Group" dataDxfId="260">
      <calculatedColumnFormula>VLOOKUP(#REF!,#REF!,4,FALSE)</calculatedColumnFormula>
    </tableColumn>
    <tableColumn id="18" xr3:uid="{C458A5C2-068A-4DAE-B290-2EC8E81E3638}" name="Entered by / Revisions" dataDxfId="259"/>
    <tableColumn id="25" xr3:uid="{4ACBB927-264A-417E-AE4B-EAA968BA789E}" name="Entry date" dataDxfId="25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9A8680-6F4B-4494-A0B8-1992CC3E8805}" name="Table3" displayName="Table3" ref="A8:AF1196" totalsRowShown="0" headerRowDxfId="257" dataDxfId="256" tableBorderDxfId="255">
  <autoFilter ref="A8:AF1196" xr:uid="{029A8680-6F4B-4494-A0B8-1992CC3E8805}"/>
  <tableColumns count="32">
    <tableColumn id="1" xr3:uid="{F4F94BB3-1223-4C67-9736-49A56D17C4D9}" name="Document ID" dataDxfId="254"/>
    <tableColumn id="27" xr3:uid="{6C4FCC47-77CE-4FF1-906B-AC28FB944CE4}" name="Country Code" dataDxfId="253" totalsRowDxfId="252">
      <calculatedColumnFormula>VLOOKUP(Table3[[#This Row],[Document ID]],Table1[],2,FALSE)</calculatedColumnFormula>
    </tableColumn>
    <tableColumn id="2" xr3:uid="{8FADD25E-2570-4237-AF26-418491CBDD8F}" name="Country" dataDxfId="251" totalsRowDxfId="250">
      <calculatedColumnFormula>VLOOKUP(Table3[[#This Row],[Document ID]],Table1[],3,FALSE)</calculatedColumnFormula>
    </tableColumn>
    <tableColumn id="3" xr3:uid="{D1E39683-A890-4701-82F7-77C95F3099FD}" name="Type of Document " dataDxfId="249" totalsRowDxfId="248">
      <calculatedColumnFormula>VLOOKUP(Table3[[#This Row],[Document ID]],Table1[],5,FALSE)</calculatedColumnFormula>
    </tableColumn>
    <tableColumn id="28" xr3:uid="{3A340685-FCD5-47E8-B12F-A6960427CB0B}" name="Document name" dataDxfId="247" totalsRowDxfId="246">
      <calculatedColumnFormula>VLOOKUP(Table3[[#This Row],[Document ID]],Table1[],7,FALSE)</calculatedColumnFormula>
    </tableColumn>
    <tableColumn id="29" xr3:uid="{77F03C6C-EEE8-4686-955C-8BAB5F547642}" name="Version number" dataDxfId="245" totalsRowDxfId="244">
      <calculatedColumnFormula>VLOOKUP(Table3[[#This Row],[Document ID]],Table1[],8,FALSE)</calculatedColumnFormula>
    </tableColumn>
    <tableColumn id="30" xr3:uid="{65F24F43-F1DF-40F5-B6C7-E056FF46E1EF}" name="Status" dataDxfId="243" totalsRowDxfId="242">
      <calculatedColumnFormula>VLOOKUP(Table3[[#This Row],[Document ID]],Table1[],10,FALSE)</calculatedColumnFormula>
    </tableColumn>
    <tableColumn id="31" xr3:uid="{ACA4815D-21B5-419F-B4A8-F7A88A7B0CFB}" name="Target area" dataDxfId="241" totalsRowDxfId="240"/>
    <tableColumn id="32" xr3:uid="{978CB0F6-7B12-4288-B2A8-785574D01BAB}" name="Target scope" dataDxfId="239" totalsRowDxfId="238"/>
    <tableColumn id="33" xr3:uid="{06D552FF-48AD-49BF-B97F-E6D621013F6A}" name="GHG target?" dataDxfId="237" totalsRowDxfId="236"/>
    <tableColumn id="34" xr3:uid="{9A57C111-B248-4AC5-837A-DB8F8B550544}" name="Target type" dataDxfId="235" totalsRowDxfId="234"/>
    <tableColumn id="35" xr3:uid="{77C56C34-4DBB-4649-97E7-C326D3F726AA}" name="Conditionality" dataDxfId="233" totalsRowDxfId="232"/>
    <tableColumn id="8" xr3:uid="{CACC75F0-7CEC-4485-B36F-83FEDD6C63D6}" name="Target Year" dataDxfId="231" totalsRowDxfId="230"/>
    <tableColumn id="6" xr3:uid="{06C17D44-359F-425E-95A4-6A5F6B42F013}" name="Content" dataDxfId="229"/>
    <tableColumn id="24" xr3:uid="{A7ECD76B-45A9-4D80-9F6A-EDC8AF618BE8}" name="Page Number" dataDxfId="228"/>
    <tableColumn id="36" xr3:uid="{F1247B54-D368-43CD-9C05-5ADD95492950}" name="Parameter" dataDxfId="227">
      <calculatedColumnFormula>VLOOKUP(_xlfn.CONCAT(Table3[[#This Row],[Target area]],Table3[[#This Row],[GHG target?]],Table3[[#This Row],[Conditionality]]),'Drop down'!$E$81:$F$101,2,FALSE)</calculatedColumnFormula>
    </tableColumn>
    <tableColumn id="37" xr3:uid="{E0C5B69B-50EB-422B-87D6-D3D4E27A5BCC}" name="Target type ID" dataDxfId="226">
      <calculatedColumnFormula>VLOOKUP(Table3[[#This Row],[Target type]],Table418[[Value name]:[Value idenifyer]],2,FALSE)</calculatedColumnFormula>
    </tableColumn>
    <tableColumn id="26" xr3:uid="{A467D0CE-7BCA-4037-929B-00E83E187531}" name="GHG transport target type" dataDxfId="225" totalsRowDxfId="224"/>
    <tableColumn id="23" xr3:uid="{F66A6285-B254-485E-AE3A-629F9CAB5022}" name="Country summary transport targets" dataDxfId="223" totalsRowDxfId="222"/>
    <tableColumn id="14" xr3:uid="{9B890B1F-B2DD-4550-9182-9F2BA9CE73D7}" name="Country has a net-zero target" dataDxfId="221" totalsRowDxfId="220"/>
    <tableColumn id="22" xr3:uid="{AF649626-E213-4ED6-A95A-5845BDEA6BBE}" name="ICE phase-out" dataDxfId="219" totalsRowDxfId="218"/>
    <tableColumn id="10" xr3:uid="{2C78F520-44FB-4EFD-92BD-C6ED0A50B420}" name="Annex I or Non-Annex I" dataDxfId="217" totalsRowDxfId="216">
      <calculatedColumnFormula>VLOOKUP(Table3[[#This Row],[Country Code]],Table29[],3,FALSE)</calculatedColumnFormula>
    </tableColumn>
    <tableColumn id="38" xr3:uid="{23357684-3A47-4D58-8270-E6AA5FD913B8}" name="Region" dataDxfId="215" totalsRowDxfId="214">
      <calculatedColumnFormula>VLOOKUP(Table3[[#This Row],[Country Code]],Table29[],4,FALSE)</calculatedColumnFormula>
    </tableColumn>
    <tableColumn id="11" xr3:uid="{F5E37CED-312B-45FD-89EB-287A132370C4}" name="Income Group" dataDxfId="213" totalsRowDxfId="212">
      <calculatedColumnFormula>VLOOKUP(Table3[[#This Row],[Country Code]],Table29[],5,FALSE)</calculatedColumnFormula>
    </tableColumn>
    <tableColumn id="17" xr3:uid="{7CEF850A-6DF5-40C2-BBD2-384536834FE3}" name="G20" dataDxfId="211" totalsRowDxfId="210">
      <calculatedColumnFormula>VLOOKUP(Table3[[#This Row],[Country Code]],Table29[],6,FALSE)</calculatedColumnFormula>
    </tableColumn>
    <tableColumn id="18" xr3:uid="{1FF9E329-E58F-40DE-823D-0B8E4B28C6DC}" name="G7" dataDxfId="209" totalsRowDxfId="208">
      <calculatedColumnFormula>VLOOKUP(Table3[[#This Row],[Country Code]],Table29[],7,FALSE)</calculatedColumnFormula>
    </tableColumn>
    <tableColumn id="19" xr3:uid="{6924B77D-C10E-4551-B70A-1657B0DF4059}" name="OECD" dataDxfId="207" totalsRowDxfId="206">
      <calculatedColumnFormula>VLOOKUP(Table3[[#This Row],[Country Code]],Table29[],8,FALSE)</calculatedColumnFormula>
    </tableColumn>
    <tableColumn id="39" xr3:uid="{6C88374E-6DE3-4A13-8E9B-44F32DE55A3C}" name="EU27" dataDxfId="205" totalsRowDxfId="204">
      <calculatedColumnFormula>VLOOKUP(Table3[[#This Row],[Country Code]],Table29[],9,FALSE)</calculatedColumnFormula>
    </tableColumn>
    <tableColumn id="40" xr3:uid="{10D23AAC-F58B-447D-86A3-08400CE5503C}" name="MENA region " dataDxfId="203" totalsRowDxfId="202">
      <calculatedColumnFormula>VLOOKUP(Table3[[#This Row],[Country Code]],Table29[],10,FALSE)</calculatedColumnFormula>
    </tableColumn>
    <tableColumn id="20" xr3:uid="{8702E0AD-9FF8-4B7E-BC88-EBCA478BD386}" name="GHG total 2023" dataDxfId="201" totalsRowDxfId="200">
      <calculatedColumnFormula>VLOOKUP(Table3[[#This Row],[Country Code]],Table29[],23,FALSE)</calculatedColumnFormula>
    </tableColumn>
    <tableColumn id="21" xr3:uid="{0492C13F-310D-42DF-813F-B87C9749A35D}" name="GHG transport 2023" dataDxfId="199" totalsRowDxfId="198">
      <calculatedColumnFormula>VLOOKUP(Table3[[#This Row],[Country Code]],Table29[],24,FALSE)</calculatedColumnFormula>
    </tableColumn>
    <tableColumn id="7" xr3:uid="{24C32720-94ED-463A-A625-FF96095F37F7}" name="Revisions" dataDxfId="197" totalsRowDxfId="196"/>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8E15D9D-75B1-4EE3-A4F8-CBF70EE36497}" name="Table8" displayName="Table8" ref="A8:BB3025" totalsRowShown="0" headerRowDxfId="195" dataDxfId="194" tableBorderDxfId="193">
  <autoFilter ref="A8:BB3025" xr:uid="{2AFB2135-6F80-44B4-8E56-8672CFACA298}">
    <filterColumn colId="5">
      <filters>
        <filter val="NDC 3.0"/>
      </filters>
    </filterColumn>
  </autoFilter>
  <sortState xmlns:xlrd2="http://schemas.microsoft.com/office/spreadsheetml/2017/richdata2" ref="A2783:BB3025">
    <sortCondition ref="H8:H3025"/>
  </sortState>
  <tableColumns count="54">
    <tableColumn id="1" xr3:uid="{845AC760-FEDF-4F69-A6E6-4D1CE27B9FC4}" name="Document ID" dataDxfId="192"/>
    <tableColumn id="45" xr3:uid="{6AE404F9-7320-4AAB-8C34-140217448742}" name="Country Code" dataDxfId="191">
      <calculatedColumnFormula>VLOOKUP(Table8[[#This Row],[Document ID]],Table1[],2,FALSE)</calculatedColumnFormula>
    </tableColumn>
    <tableColumn id="2" xr3:uid="{F4676E21-15FE-4744-BCFA-28EA9FB62D94}" name="Country" dataDxfId="190">
      <calculatedColumnFormula>VLOOKUP(Table8[[#This Row],[Document ID]],Table1[],3,FALSE)</calculatedColumnFormula>
    </tableColumn>
    <tableColumn id="46" xr3:uid="{6F8ACBAD-39E5-4950-8BCC-904D3C3EDC24}" name="Type of Document " dataDxfId="189">
      <calculatedColumnFormula>VLOOKUP(Table8[[#This Row],[Document ID]],Table1[],5,FALSE)</calculatedColumnFormula>
    </tableColumn>
    <tableColumn id="3" xr3:uid="{2AB273A8-DD3F-465A-B4B6-7D3CE0A0FD04}" name="Document name" dataDxfId="188">
      <calculatedColumnFormula>VLOOKUP(Table8[[#This Row],[Document ID]],Table1[],7,FALSE)</calculatedColumnFormula>
    </tableColumn>
    <tableColumn id="47" xr3:uid="{E0925322-211B-4377-A187-2DB55EF1F823}" name="Version number" dataDxfId="187">
      <calculatedColumnFormula>VLOOKUP(Table8[[#This Row],[Document ID]],Table1[],8,FALSE)</calculatedColumnFormula>
    </tableColumn>
    <tableColumn id="48" xr3:uid="{2D561A6A-FEF3-4C77-ACB4-F173C4D62DAE}" name="Status" dataDxfId="186">
      <calculatedColumnFormula>VLOOKUP(Table8[[#This Row],[Document ID]],Table1[],10,FALSE)</calculatedColumnFormula>
    </tableColumn>
    <tableColumn id="50" xr3:uid="{FC674EEC-ACA8-4180-A99B-B4DCE5B10285}" name="Category" dataDxfId="185"/>
    <tableColumn id="51" xr3:uid="{2C149A74-529A-4CE3-A7CD-0F98C009D319}" name="Purpose" dataDxfId="184"/>
    <tableColumn id="52" xr3:uid="{F6222867-40F4-421D-A178-DB4FEC7ED82F}" name="Instrument" dataDxfId="183"/>
    <tableColumn id="5" xr3:uid="{28801274-5C98-4347-98D0-61555ACC6742}" name="Quote" dataDxfId="182"/>
    <tableColumn id="6" xr3:uid="{61100A5A-E2BC-451D-8CFC-0AD01DB1E783}" name="A-S-I" dataDxfId="181"/>
    <tableColumn id="7" xr3:uid="{4BB55600-1B29-4630-B075-2C92DE858DC4}" name="Page Number" dataDxfId="180"/>
    <tableColumn id="8" xr3:uid="{2C9CB87B-8B71-464F-8E1F-B773392BA6D1}" name="Mode: Not defined" dataDxfId="179"/>
    <tableColumn id="43" xr3:uid="{C65B173A-B106-4A6D-97B0-71D5F23EE84F}" name="Informal transport" dataDxfId="178"/>
    <tableColumn id="26" xr3:uid="{7023EAD1-B450-44B1-A622-383DCCE3CBD8}" name="Active mobility" dataDxfId="177"/>
    <tableColumn id="21" xr3:uid="{C39669D3-2D9D-4481-AFF8-8090A0FF1139}" name="Walking" dataDxfId="176"/>
    <tableColumn id="22" xr3:uid="{F9737AA8-4244-493F-8D48-83272351F7FB}" name="Cycling" dataDxfId="175"/>
    <tableColumn id="23" xr3:uid="{4E2809DD-9C50-4B58-900A-684C0305CDBF}" name="Road" dataDxfId="174"/>
    <tableColumn id="24" xr3:uid="{B37D1B55-92B5-4F74-B2CC-FCB25C1E6C92}" name="Two-/Three-wheelers" dataDxfId="173"/>
    <tableColumn id="27" xr3:uid="{C49E4B96-1299-42AF-9141-CFBB6AA33A44}" name="Cars" dataDxfId="172"/>
    <tableColumn id="25" xr3:uid="{A6EE300C-4A51-4393-9764-165C96D20C03}" name="Private cars" dataDxfId="171"/>
    <tableColumn id="16" xr3:uid="{0CB0AD9B-F7CD-492D-ABAC-34BBA48F5332}" name="Taxis" dataDxfId="170"/>
    <tableColumn id="17" xr3:uid="{8E91AAE5-E0EE-4E02-89F4-BDD582541520}" name="Truck" dataDxfId="169"/>
    <tableColumn id="18" xr3:uid="{6AE0E4CE-92DC-427B-80FD-21DE16E4FFDA}" name="Bus" dataDxfId="168"/>
    <tableColumn id="28" xr3:uid="{52967504-77F6-401A-83AC-452A9EB07D66}" name="Rail" dataDxfId="167"/>
    <tableColumn id="19" xr3:uid="{091C67FB-1306-4264-89C6-98CA15484898}" name="Heavy rail" dataDxfId="166"/>
    <tableColumn id="20" xr3:uid="{4C7435D3-FC36-44FE-9018-5C6192E5AB3C}" name="High-speed rail" dataDxfId="165"/>
    <tableColumn id="11" xr3:uid="{7B984F81-A2DB-43CF-A6A4-B5BF26E0FDAA}" name="Transit rail" dataDxfId="164"/>
    <tableColumn id="29" xr3:uid="{BCCCCB30-2A38-4046-B4B6-1D3C09E9ACD2}" name="Water" dataDxfId="163"/>
    <tableColumn id="12" xr3:uid="{53E23B2B-A7ED-490B-A0E9-0C979BC1A4B1}" name="Coastal shipping" dataDxfId="162"/>
    <tableColumn id="13" xr3:uid="{9CD5F24B-3D25-45E7-AF75-16264D2EEE30}" name="Inland shipping" dataDxfId="161"/>
    <tableColumn id="14" xr3:uid="{67FD991D-B4E0-4564-9718-654AF803274D}" name="International maritime" dataDxfId="160"/>
    <tableColumn id="15" xr3:uid="{34DC6366-C8CD-4C6E-85A7-59E58841020F}" name="Aviation" dataDxfId="159"/>
    <tableColumn id="55" xr3:uid="{C7384890-D5AC-4CE1-BB64-B43296A10C5B}" name="Domestic aviation" dataDxfId="158"/>
    <tableColumn id="56" xr3:uid="{165E2ED4-FE23-4924-B932-9A9B0941CA4E}" name="International aviation" dataDxfId="157"/>
    <tableColumn id="9" xr3:uid="{31A0B565-3F3D-4350-A545-F6C9DC7D3A3E}" name="Geography: Not defined" dataDxfId="156"/>
    <tableColumn id="30" xr3:uid="{89AD2AA1-E03B-4149-99A8-3F2DB78C80BC}" name="Urban" dataDxfId="155"/>
    <tableColumn id="31" xr3:uid="{CDD55685-4801-4B51-8F84-3370EB005CE1}" name="Rural" dataDxfId="154"/>
    <tableColumn id="32" xr3:uid="{E91ABA56-983A-4A5A-BB33-4BEDAFD7C366}" name="Inter-city" dataDxfId="153"/>
    <tableColumn id="10" xr3:uid="{491A70A7-5CAD-4D16-BCBE-284C99B208D1}" name="Activity type" dataDxfId="152"/>
    <tableColumn id="4" xr3:uid="{A92F6BF0-9047-44D3-BA5A-CC4B9D753419}" name="Status of measure" dataDxfId="151"/>
    <tableColumn id="49" xr3:uid="{4B0171E9-46A5-4FA2-9F98-0D59409F09DE}" name="Parameter" dataDxfId="150">
      <calculatedColumnFormula>VLOOKUP(Table8[[#This Row],[Instrument]],Def_Targets!$D$73:$E$159,2,FALSE)</calculatedColumnFormula>
    </tableColumn>
    <tableColumn id="33" xr3:uid="{BCE3402D-CB02-4C2A-B678-06C92BD7E251}" name="Annex I or Non-Annex I" dataDxfId="149">
      <calculatedColumnFormula>VLOOKUP(Table8[[#This Row],[Country Code]],Table29[],3,FALSE)</calculatedColumnFormula>
    </tableColumn>
    <tableColumn id="34" xr3:uid="{367A0EAD-8167-4F53-9024-60B55B6922B3}" name="Region" dataDxfId="148">
      <calculatedColumnFormula>VLOOKUP(Table8[[#This Row],[Country Code]],Table29[],4,FALSE)</calculatedColumnFormula>
    </tableColumn>
    <tableColumn id="35" xr3:uid="{5CAB7877-1B2D-4AE9-9C8D-EB07D6C573A6}" name="Income Group" dataDxfId="147">
      <calculatedColumnFormula>VLOOKUP(Table8[[#This Row],[Country Code]],Table29[],5,FALSE)</calculatedColumnFormula>
    </tableColumn>
    <tableColumn id="36" xr3:uid="{2352006E-F118-4A21-8939-2858079CB81C}" name="G20" dataDxfId="146">
      <calculatedColumnFormula>VLOOKUP(Table8[[#This Row],[Country Code]],Table29[],6,FALSE)</calculatedColumnFormula>
    </tableColumn>
    <tableColumn id="37" xr3:uid="{2DE28392-F554-40CB-81AE-6581D2B32AB2}" name="G7" dataDxfId="145">
      <calculatedColumnFormula>VLOOKUP(Table8[[#This Row],[Country Code]],Table29[],7,FALSE)</calculatedColumnFormula>
    </tableColumn>
    <tableColumn id="38" xr3:uid="{32222BE2-11A7-4095-AC5D-6EE5BF07CF38}" name="OECD" dataDxfId="144">
      <calculatedColumnFormula>VLOOKUP(Table8[[#This Row],[Country Code]],Table29[],8,FALSE)</calculatedColumnFormula>
    </tableColumn>
    <tableColumn id="39" xr3:uid="{F00A6A98-E29F-404E-8151-423708B69D0B}" name="EU27" dataDxfId="143">
      <calculatedColumnFormula>VLOOKUP(Table8[[#This Row],[Country Code]],Table29[],9,FALSE)</calculatedColumnFormula>
    </tableColumn>
    <tableColumn id="40" xr3:uid="{15536C7D-75CF-4A46-9B69-DBBB68858B7F}" name="MENA region " dataDxfId="142">
      <calculatedColumnFormula>VLOOKUP(Table8[[#This Row],[Country Code]],Table29[],10,FALSE)</calculatedColumnFormula>
    </tableColumn>
    <tableColumn id="41" xr3:uid="{28978074-9EFE-4547-92A5-CEAF1032BEF7}" name="GHG total 2023" dataDxfId="141">
      <calculatedColumnFormula>VLOOKUP(Table8[[#This Row],[Country Code]],Table29[],23,FALSE)</calculatedColumnFormula>
    </tableColumn>
    <tableColumn id="42" xr3:uid="{26AE3CFF-7ACB-4B33-B6D1-0443D0F6BA61}" name="GHG transport 2023" dataDxfId="140">
      <calculatedColumnFormula>VLOOKUP(Table8[[#This Row],[Country Code]],Table29[],24,FALSE)</calculatedColumnFormula>
    </tableColumn>
    <tableColumn id="44" xr3:uid="{9AE38E57-02E4-4331-AC37-DC89FC6B8B6A}" name="Revisions" dataDxfId="139"/>
  </tableColumns>
  <tableStyleInfo name="TableStyleLight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31FB41-CDF6-43C1-A595-DC39F080E6D3}" name="Table9" displayName="Table9" ref="A8:AY384" totalsRowShown="0" headerRowDxfId="138" dataDxfId="137">
  <autoFilter ref="A8:AY384" xr:uid="{97685878-5851-4055-87E8-F75748DDC9C8}"/>
  <tableColumns count="51">
    <tableColumn id="1" xr3:uid="{4E540811-CA91-4891-8AC2-3EB977BFA7F1}" name="Document ID" dataDxfId="136"/>
    <tableColumn id="41" xr3:uid="{9A9CC995-8102-4835-8A07-12216C20DB5C}" name="Country Code" dataDxfId="135">
      <calculatedColumnFormula>VLOOKUP(Table9[[#This Row],[Document ID]],Table1[],2,FALSE)</calculatedColumnFormula>
    </tableColumn>
    <tableColumn id="2" xr3:uid="{94A350D5-602A-4E00-AB8A-B3A3F1F25BA5}" name="Country" dataDxfId="134">
      <calculatedColumnFormula>VLOOKUP(Table9[[#This Row],[Document ID]],Table1[],3,FALSE)</calculatedColumnFormula>
    </tableColumn>
    <tableColumn id="42" xr3:uid="{78C0CC85-E737-4997-A07F-7DD84F928226}" name="Type of Document " dataDxfId="133">
      <calculatedColumnFormula>VLOOKUP(Table9[[#This Row],[Document ID]],Table1[],5,FALSE)</calculatedColumnFormula>
    </tableColumn>
    <tableColumn id="3" xr3:uid="{D97282C6-3E02-4839-88E1-3E7D4EE21F46}" name="Document name" dataDxfId="132">
      <calculatedColumnFormula>VLOOKUP(Table9[[#This Row],[Document ID]],Table1[],7,FALSE)</calculatedColumnFormula>
    </tableColumn>
    <tableColumn id="43" xr3:uid="{FB5B164B-AC57-41BB-8971-D605011DD8B3}" name="Version number" dataDxfId="131">
      <calculatedColumnFormula>VLOOKUP(Table9[[#This Row],[Document ID]],Table1[],8,FALSE)</calculatedColumnFormula>
    </tableColumn>
    <tableColumn id="44" xr3:uid="{F2406493-DD98-458D-8712-41EAA454604A}" name="Status" dataDxfId="130">
      <calculatedColumnFormula>VLOOKUP(Table9[[#This Row],[Document ID]],Table1[],10,FALSE)</calculatedColumnFormula>
    </tableColumn>
    <tableColumn id="4" xr3:uid="{66D059DC-086C-43EF-BC05-7D01B68781F5}" name="Category" dataDxfId="129"/>
    <tableColumn id="50" xr3:uid="{A47D900F-B0FC-4E5A-8B80-29BC09FC62CB}" name="Measure" dataDxfId="128"/>
    <tableColumn id="5" xr3:uid="{A83033EF-BBCA-4C58-9531-AE19FE6EB42C}" name="Quote" dataDxfId="127"/>
    <tableColumn id="6" xr3:uid="{EC3CB5E6-0FCD-49D5-9245-4F08E96FCAC0}" name="Page Number" dataDxfId="126"/>
    <tableColumn id="7" xr3:uid="{B98DD986-5762-46BA-B8F0-818C602114B8}" name="Mode: Not defined" dataDxfId="125"/>
    <tableColumn id="51" xr3:uid="{B9584193-D1BE-43E1-8B90-2D934EEB9F89}" name="Informal transport" dataDxfId="124"/>
    <tableColumn id="19" xr3:uid="{8DA590D4-6185-4A04-8E24-E3FE18845246}" name="Active mobility" dataDxfId="123"/>
    <tableColumn id="20" xr3:uid="{BAFCBB51-6C0C-4BFE-BB91-06EA27007F6B}" name="Walking" dataDxfId="122"/>
    <tableColumn id="21" xr3:uid="{D2677986-23B3-42F3-A561-3F3F80DBDB17}" name="Cycling" dataDxfId="121"/>
    <tableColumn id="22" xr3:uid="{DB52682A-A21A-4CF2-84BF-31025AD13BF1}" name="Road" dataDxfId="120"/>
    <tableColumn id="16" xr3:uid="{8A3307C2-D9B3-4581-948B-36450C4892CD}" name="Two-/Three-wheelers" dataDxfId="119"/>
    <tableColumn id="17" xr3:uid="{7FC30B2D-E3A8-44E9-A966-6D98FDF131BB}" name="Cars" dataDxfId="118"/>
    <tableColumn id="18" xr3:uid="{3E2205E4-671C-4E11-A7E8-02B1BB32D381}" name="Private cars" dataDxfId="117"/>
    <tableColumn id="15" xr3:uid="{B987E418-496D-41ED-8547-F3DD6268058F}" name="Taxis" dataDxfId="116"/>
    <tableColumn id="26" xr3:uid="{431B2A79-7872-44EB-B51A-126338E50328}" name="Truck" dataDxfId="115"/>
    <tableColumn id="27" xr3:uid="{6CD6E711-BA28-42D8-B624-AB2E9A111108}" name="Bus" dataDxfId="114"/>
    <tableColumn id="28" xr3:uid="{0D2C45EE-E92A-4ACD-9A87-30D4CF62E32F}" name="Rail" dataDxfId="113"/>
    <tableColumn id="23" xr3:uid="{3C528A6C-A6AC-4553-BFD1-702B94136356}" name="Heavy rail" dataDxfId="112"/>
    <tableColumn id="36" xr3:uid="{D449F191-26C8-4BFC-A8DC-575B1710AF3E}" name="High-speed rail" dataDxfId="111"/>
    <tableColumn id="24" xr3:uid="{DF3D4C71-741E-40E2-B376-B6703BF28CE6}" name="Transit rail" dataDxfId="110"/>
    <tableColumn id="25" xr3:uid="{2247A980-A605-4A75-AAF6-13A9AB46EBA7}" name="Water" dataDxfId="109"/>
    <tableColumn id="29" xr3:uid="{DE093E01-475D-4258-8001-7588F49FD33C}" name="Coastal shipping" dataDxfId="108"/>
    <tableColumn id="30" xr3:uid="{BC78717A-F820-4A73-A7FA-1E2395E9D2EA}" name="Inland shipping" dataDxfId="107"/>
    <tableColumn id="31" xr3:uid="{D1626727-B9AC-4DBD-BC87-FA2702EFA9DA}" name="International maritime" dataDxfId="106"/>
    <tableColumn id="32" xr3:uid="{733F53CE-D964-47F5-A2EF-65F5ECAC6592}" name="Aviation" dataDxfId="105"/>
    <tableColumn id="48" xr3:uid="{A8C65609-FA38-403F-B4E2-B8192800A5BA}" name="Domestic aviation" dataDxfId="104"/>
    <tableColumn id="49" xr3:uid="{6C280382-9001-463B-A517-19D5E1BFA92E}" name="International aviation" dataDxfId="103"/>
    <tableColumn id="8" xr3:uid="{2AC94A44-344D-43C9-99D4-33B6D0A3890D}" name="Geography: Not defined" dataDxfId="102"/>
    <tableColumn id="33" xr3:uid="{0FEE218A-8F8C-4636-B66A-55E70E081A27}" name="Urban" dataDxfId="101"/>
    <tableColumn id="34" xr3:uid="{E6AB4FDC-793F-453B-B323-361677030DB3}" name="Rural" dataDxfId="100"/>
    <tableColumn id="35" xr3:uid="{3104A5DB-56D2-45EE-9A29-3A2523C80088}" name="Inter-city" dataDxfId="99"/>
    <tableColumn id="9" xr3:uid="{5DC8D3CF-08EE-44E4-9FA0-227609118D70}" name="Activity type" dataDxfId="98"/>
    <tableColumn id="45" xr3:uid="{3486AA6C-9908-4301-8FA5-B6E025A43D17}" name="Parameter" dataDxfId="97">
      <calculatedColumnFormula>VLOOKUP(Table9[[#This Row],[Measure]],Table1025[[Value name]:[Value identifyer]],2,FALSE)</calculatedColumnFormula>
    </tableColumn>
    <tableColumn id="10" xr3:uid="{3C84FC66-1B2B-4685-ACEC-160C57D0CB77}" name="Annex I or Non-Annex I" dataDxfId="96">
      <calculatedColumnFormula>VLOOKUP(Table9[[#This Row],[Country Code]],Table29[],3,FALSE)</calculatedColumnFormula>
    </tableColumn>
    <tableColumn id="11" xr3:uid="{8572D903-FC5F-45EA-9AE0-516CCDCBA910}" name="Region" dataDxfId="95">
      <calculatedColumnFormula>VLOOKUP(Table9[[#This Row],[Country Code]],Table29[],4,FALSE)</calculatedColumnFormula>
    </tableColumn>
    <tableColumn id="12" xr3:uid="{787713DB-4863-47C9-99AB-ABDDD4BEB49C}" name="Income Group" dataDxfId="94">
      <calculatedColumnFormula>VLOOKUP(Table9[[#This Row],[Country Code]],Table29[],5,FALSE)</calculatedColumnFormula>
    </tableColumn>
    <tableColumn id="13" xr3:uid="{C72DD76B-E54B-471C-9050-14E79ADC9A3F}" name="G20" dataDxfId="93">
      <calculatedColumnFormula>VLOOKUP(Table9[[#This Row],[Country Code]],Table29[],6,FALSE)</calculatedColumnFormula>
    </tableColumn>
    <tableColumn id="14" xr3:uid="{B573ED2E-8CBE-453A-B2FB-55DB261B056F}" name="G7" dataDxfId="92">
      <calculatedColumnFormula>VLOOKUP(Table9[[#This Row],[Country Code]],Table29[],7,FALSE)</calculatedColumnFormula>
    </tableColumn>
    <tableColumn id="37" xr3:uid="{7445A9E1-EEE3-4E83-8DDC-1D0116F2B552}" name="OECD" dataDxfId="91">
      <calculatedColumnFormula>VLOOKUP(Table9[[#This Row],[Country Code]],Table29[],8,FALSE)</calculatedColumnFormula>
    </tableColumn>
    <tableColumn id="38" xr3:uid="{239B74B3-CDA9-41EB-B984-84132C4F354A}" name="EU27" dataDxfId="90">
      <calculatedColumnFormula>VLOOKUP(Table9[[#This Row],[Country Code]],Table29[],9,FALSE)</calculatedColumnFormula>
    </tableColumn>
    <tableColumn id="40" xr3:uid="{3A7963FF-074D-4EED-8E46-7C0C1BA7FCB4}" name="MENA region " dataDxfId="89">
      <calculatedColumnFormula>VLOOKUP(Table9[[#This Row],[Country Code]],Table29[],10,FALSE)</calculatedColumnFormula>
    </tableColumn>
    <tableColumn id="46" xr3:uid="{AA07DE84-76E4-4F84-A528-60895E23A0A6}" name="GHG total 2023" dataDxfId="88">
      <calculatedColumnFormula>VLOOKUP(Table9[[#This Row],[Country Code]],Table29[],23,FALSE)</calculatedColumnFormula>
    </tableColumn>
    <tableColumn id="39" xr3:uid="{C95C703E-7FE0-4B7F-A57C-26933CB57CF6}" name="GHG transport 2023" dataDxfId="87">
      <calculatedColumnFormula>VLOOKUP(Table9[[#This Row],[Country Code]],Table29[],24,FALSE)</calculatedColumnFormula>
    </tableColumn>
    <tableColumn id="47" xr3:uid="{90A60265-92CC-456D-BAE5-828E672717AB}" name="Revisions" dataDxfId="86"/>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5E6D8EB-C742-4EA7-BB89-85084DEECB6F}" name="Table10" displayName="Table10" ref="A8:V153" totalsRowShown="0" headerRowDxfId="85" dataDxfId="84">
  <autoFilter ref="A8:V153" xr:uid="{5DB711C7-8D19-480E-A6DE-6CC914371CA6}"/>
  <tableColumns count="22">
    <tableColumn id="1" xr3:uid="{71264616-324D-49B8-AF58-E01DACF608E9}" name="Document ID" dataDxfId="83"/>
    <tableColumn id="10" xr3:uid="{C930BB16-AD14-4B9E-A493-13E893328D47}" name="Country Code" dataDxfId="82">
      <calculatedColumnFormula>VLOOKUP(Table10[[#This Row],[Document ID]],Table1[],2,FALSE)</calculatedColumnFormula>
    </tableColumn>
    <tableColumn id="2" xr3:uid="{9B0C9325-5142-4B09-B9F1-0A3F306B40CB}" name="Country" dataDxfId="81">
      <calculatedColumnFormula>VLOOKUP(Table10[[#This Row],[Document ID]],Table1[],3,FALSE)</calculatedColumnFormula>
    </tableColumn>
    <tableColumn id="11" xr3:uid="{5A820776-B742-47B5-8E20-C5A97964FED1}" name="Type of Document " dataDxfId="80">
      <calculatedColumnFormula>VLOOKUP(Table10[[#This Row],[Document ID]],Table1[],5,FALSE)</calculatedColumnFormula>
    </tableColumn>
    <tableColumn id="3" xr3:uid="{3F071814-F56F-406F-953B-2A1D521F4A49}" name="Document name" dataDxfId="79">
      <calculatedColumnFormula>VLOOKUP(Table10[[#This Row],[Document ID]],Table1[],7,FALSE)</calculatedColumnFormula>
    </tableColumn>
    <tableColumn id="12" xr3:uid="{9EB8F87B-B433-4A98-9728-A6AA81DC71F6}" name="Version number" dataDxfId="78">
      <calculatedColumnFormula>VLOOKUP(Table10[[#This Row],[Document ID]],Table1[],8,FALSE)</calculatedColumnFormula>
    </tableColumn>
    <tableColumn id="13" xr3:uid="{D5915EBA-9005-4078-87F2-C8E001AD7B8A}" name="Status" dataDxfId="77">
      <calculatedColumnFormula>VLOOKUP(Table10[[#This Row],[Document ID]],Table1[],10,FALSE)</calculatedColumnFormula>
    </tableColumn>
    <tableColumn id="4" xr3:uid="{F80B83CA-FBBE-4D52-8BA6-D8A3E4278680}" name="Type of benefit" dataDxfId="76"/>
    <tableColumn id="5" xr3:uid="{ED781318-A167-4B59-8B01-A39F88FFDD23}" name="Quote" dataDxfId="75"/>
    <tableColumn id="6" xr3:uid="{397FE6BB-1474-4A80-9822-E9A0CE3DD2C2}" name="Page Number" dataDxfId="74"/>
    <tableColumn id="14" xr3:uid="{0DD7162D-B6CF-42F6-92EC-59A9A6B757A0}" name="Parameter" dataDxfId="73"/>
    <tableColumn id="7" xr3:uid="{6F5F460B-5B38-437C-802E-E71211D56DEB}" name="Annex I or Non-Annex I" dataDxfId="72">
      <calculatedColumnFormula>VLOOKUP(Table10[[#This Row],[Country Code]],Table29[],3,FALSE)</calculatedColumnFormula>
    </tableColumn>
    <tableColumn id="15" xr3:uid="{38DA37BF-F0DC-46E4-83B8-B4B0462F19EC}" name="Region" dataDxfId="71">
      <calculatedColumnFormula>VLOOKUP(Table10[[#This Row],[Country Code]],Table29[],4,FALSE)</calculatedColumnFormula>
    </tableColumn>
    <tableColumn id="16" xr3:uid="{462A69C4-1366-4FA6-B2BF-75668F4AF5BE}" name="Income Group" dataDxfId="70">
      <calculatedColumnFormula>VLOOKUP(Table10[[#This Row],[Country Code]],Table29[],5,FALSE)</calculatedColumnFormula>
    </tableColumn>
    <tableColumn id="17" xr3:uid="{C1B6BE58-CCA4-4965-8B52-13BFA375BF58}" name="G20" dataDxfId="69">
      <calculatedColumnFormula>VLOOKUP(Table10[[#This Row],[Country Code]],Table29[],6,FALSE)</calculatedColumnFormula>
    </tableColumn>
    <tableColumn id="18" xr3:uid="{356DF555-42BB-4E90-A9A3-83AD2814CEAE}" name="G7" dataDxfId="68">
      <calculatedColumnFormula>VLOOKUP(Table10[[#This Row],[Country Code]],Table29[],7,FALSE)</calculatedColumnFormula>
    </tableColumn>
    <tableColumn id="19" xr3:uid="{E36DA94D-027B-4E3A-A7DB-C1D4EE9ECE50}" name="OECD" dataDxfId="67">
      <calculatedColumnFormula>VLOOKUP(Table10[[#This Row],[Country Code]],Table29[],8,FALSE)</calculatedColumnFormula>
    </tableColumn>
    <tableColumn id="20" xr3:uid="{84A960FC-FE7A-431B-BC78-51175856DF1E}" name="EU27" dataDxfId="66">
      <calculatedColumnFormula>VLOOKUP(Table10[[#This Row],[Country Code]],Table29[],9,FALSE)</calculatedColumnFormula>
    </tableColumn>
    <tableColumn id="21" xr3:uid="{5A384856-8A8B-4698-B874-0F9BEB14F072}" name="MENA region " dataDxfId="65">
      <calculatedColumnFormula>VLOOKUP(Table10[[#This Row],[Country Code]],Table29[],10,FALSE)</calculatedColumnFormula>
    </tableColumn>
    <tableColumn id="8" xr3:uid="{31D03ED8-4F74-4A55-8018-DF1BE288D65C}" name="GHG total" dataDxfId="64">
      <calculatedColumnFormula>VLOOKUP(Table10[[#This Row],[Country Code]],Table29[],23,FALSE)</calculatedColumnFormula>
    </tableColumn>
    <tableColumn id="22" xr3:uid="{6037E2B9-A8C8-488F-8D9D-9802A85FC500}" name="GHG transport" dataDxfId="63">
      <calculatedColumnFormula>VLOOKUP(Table10[[#This Row],[Country Code]],Table29[],24,FALSE)</calculatedColumnFormula>
    </tableColumn>
    <tableColumn id="9" xr3:uid="{4AE6ABCB-C0F4-4F7A-91DB-75E02E183ED2}" name="Revisions" dataDxfId="62"/>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2030D5E-F5E3-4907-813D-462148839E79}" name="Table15" displayName="Table15" ref="A8:L146" totalsRowShown="0" headerRowDxfId="61" dataDxfId="60">
  <autoFilter ref="A8:L146" xr:uid="{52030D5E-F5E3-4907-813D-462148839E79}"/>
  <tableColumns count="12">
    <tableColumn id="1" xr3:uid="{CB2E2A0C-D83C-4BE9-B840-E273B1AA0B89}" name="Document ID" dataDxfId="59"/>
    <tableColumn id="9" xr3:uid="{5808F5A2-F1B5-4239-A861-000C4912AC48}" name="Country Code" dataDxfId="58"/>
    <tableColumn id="2" xr3:uid="{C54EE5E7-50A6-44BD-8BC8-455CFE1796F3}" name="Country" dataDxfId="57"/>
    <tableColumn id="10" xr3:uid="{1EC24628-8EFA-45F2-A6D3-DB3B18F4BFF5}" name="Type of Document " dataDxfId="56"/>
    <tableColumn id="3" xr3:uid="{7370E916-960D-4E26-9DFC-8E7A88788265}" name="Document name" dataDxfId="55"/>
    <tableColumn id="11" xr3:uid="{235B366A-04B4-4366-AF9C-C119AD195A2C}" name="Version number" dataDxfId="54"/>
    <tableColumn id="12" xr3:uid="{2D9B26FD-4CFA-4146-A643-CD162A1C52D9}" name="Status" dataDxfId="53"/>
    <tableColumn id="4" xr3:uid="{20708401-DC93-4062-86D4-9900D623CFCB}" name="Quote" dataDxfId="52"/>
    <tableColumn id="5" xr3:uid="{8B8B52FF-CB4D-451F-9556-E93D5A4080E0}" name="Page Number" dataDxfId="51"/>
    <tableColumn id="8" xr3:uid="{D0779426-A241-4297-B04C-E8A37C7E073B}" name="Further document type" dataDxfId="50"/>
    <tableColumn id="6" xr3:uid="{72D4B698-0810-46BF-AA32-9EDDFC70C851}" name="URL to further document" dataDxfId="49"/>
    <tableColumn id="7" xr3:uid="{E90E596B-6B57-4ACE-AA37-29331F7CDD0A}" name="File name in folder: F - II.1 Tracker and Text Mining/NDC Transport Tracker/Tracker/Policy docs_not LTS-NDC" dataDxfId="48"/>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F7A683-AD41-4580-9D8E-A7DD19BBB3CA}" name="Table14681" displayName="Table14681" ref="A7:E220" totalsRowShown="0" headerRowDxfId="47" dataDxfId="46">
  <autoFilter ref="A7:E220" xr:uid="{83049004-67AE-42E2-8FAD-72EBE417A6A2}"/>
  <tableColumns count="5">
    <tableColumn id="1" xr3:uid="{3CD6792D-E20B-4C69-B009-1D463B743019}" name="Country Code" dataDxfId="45"/>
    <tableColumn id="2" xr3:uid="{8ECBA5D6-4282-4AC3-9BE5-6D4456F8AD69}" name="Country" dataDxfId="44"/>
    <tableColumn id="6" xr3:uid="{DFD852B6-6939-4C81-8C26-0782DEE96843}" name="Transport GHG emissions (2023)" dataDxfId="43"/>
    <tableColumn id="8" xr3:uid="{99F3C470-01DA-46B8-B5D1-4AA4997BE45D}" name="Total GHG emissions (2023))" dataDxfId="42"/>
    <tableColumn id="11" xr3:uid="{0A7FF2C8-A761-4DCE-9B5E-04900FC3CB57}" name="Per capita transport GHG emissions (2023)" dataDxfId="41"/>
  </tableColumns>
  <tableStyleInfo name="TableStyleMedium1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42FE28A-B474-417C-9122-9F19591BB9C8}" name="Table418" displayName="Table418" ref="B10:H62" totalsRowShown="0" headerRowDxfId="40" dataDxfId="39">
  <autoFilter ref="B10:H62" xr:uid="{4C1EE6DB-631C-48C1-AAEC-7624BE2636AD}"/>
  <tableColumns count="7">
    <tableColumn id="1" xr3:uid="{4DA84359-4334-4792-BEB9-C6D02FCAB6F2}" name="Type of indicator" dataDxfId="38"/>
    <tableColumn id="2" xr3:uid="{ED4D6CD8-BA14-4487-8624-8990D7F2AB46}" name="Indicator" dataDxfId="37"/>
    <tableColumn id="4" xr3:uid="{12D555F1-B3D6-4139-8BA8-65C5D9005361}" name="Value name" dataDxfId="36"/>
    <tableColumn id="6" xr3:uid="{0A33E4AC-7C02-4538-A888-3155914CE75A}" name="Value idenifyer" dataDxfId="35"/>
    <tableColumn id="7" xr3:uid="{EEAB7920-0224-40B5-A088-0E66829F539D}" name="Related target area" dataDxfId="34"/>
    <tableColumn id="8" xr3:uid="{0A6D1FF8-B2C3-4A50-B545-6337818765CD}" name="Related GHG target?" dataDxfId="33"/>
    <tableColumn id="5" xr3:uid="{B35E54E4-F743-4145-BAE2-CF28A748E4FE}" name="Definition" dataDxfId="32"/>
  </tableColumns>
  <tableStyleInfo name="TableStyleLight1"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24-04-04T10:12:18.50" personId="{AF6C8E29-73D0-4857-86C6-5C16F596D63E}" id="{790D2348-AA55-4179-89B0-E3F042978381}">
    <text>(WB definition excl. Malta)</text>
  </threadedComment>
</ThreadedComments>
</file>

<file path=xl/threadedComments/threadedComment2.xml><?xml version="1.0" encoding="utf-8"?>
<ThreadedComments xmlns="http://schemas.microsoft.com/office/spreadsheetml/2018/threadedcomments" xmlns:x="http://schemas.openxmlformats.org/spreadsheetml/2006/main">
  <threadedComment ref="V38" dT="2023-03-28T14:07:23.90" personId="{DB353C02-A96B-4DBA-9FEE-B137F3DAFA35}" id="{C50824E8-4B0B-435B-82AF-98F4FA34C940}">
    <text>@Taeger, Nadja GIZ I do not understand the database well enough to fix this short-term. I believe the code means that the formule is referencing a non-existing value/ cell)</text>
    <mentions>
      <mention mentionpersonId="{0522C636-7491-433F-9675-25801F3969BA}" mentionId="{C27EF9AB-6337-467E-8929-4A2CA94E50AB}" startIndex="0" length="18"/>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D8" personId="{32A18DFA-5FCA-49B8-81D5-4E2627EB4A5E}" id="{D89A5F3D-F242-4672-86CB-85F9D3A4B9E3}">
    <text xml:space="preserve">Total GHG emissions of the country - adding up only possible for unique key entries!
</text>
  </threadedComment>
  <threadedComment ref="AE8" personId="{32A18DFA-5FCA-49B8-81D5-4E2627EB4A5E}" id="{4897AF2C-9E83-498C-A9D2-9F5F729B6BD0}">
    <text xml:space="preserve">Transport sector GHG emissions of the country - adding up only possible for unique key entries!
</text>
  </threadedComment>
  <threadedComment ref="O23" dT="2024-05-17T08:37:04.62" personId="{6D418FFB-AE9A-4B6F-8669-62793E6241D8}" id="{1A4349A7-834C-47D9-8925-7120A44FCE4A}">
    <text>page number wrong:
It is page 11 in the pdf and page 21 as numbered in the document</text>
  </threadedComment>
  <threadedComment ref="Q23" dT="2024-05-17T08:37:51.68" personId="{6D418FFB-AE9A-4B6F-8669-62793E6241D8}" id="{C8C782B4-05B0-4AFA-83CE-D30DD7B85645}">
    <text>T_BAU</text>
  </threadedComment>
  <threadedComment ref="Q197" dT="2024-05-17T08:26:34.69" personId="{6D418FFB-AE9A-4B6F-8669-62793E6241D8}" id="{00D3B419-0F70-4551-826F-B044803E1723}">
    <text>Needs to be changed to T_BAU
Text from NDC (page 36): Targets reference reductions against a baseline (business as usual) projected to 2030.</text>
  </threadedComment>
  <threadedComment ref="N635" dT="2024-05-17T08:51:52.41" personId="{6D418FFB-AE9A-4B6F-8669-62793E6241D8}" id="{3008BEBB-37F5-4109-B58D-BDCF118A8664}">
    <text>duplicate</text>
  </threadedComment>
  <threadedComment ref="Q783" dT="2024-05-17T08:21:33.47" personId="{6D418FFB-AE9A-4B6F-8669-62793E6241D8}" id="{1CF53150-FA34-4D4F-BA2F-DD68F5779A9C}">
    <text>Should be T_BAU as the 40% reduction is against BAU (this should also be included in the quote:
The quantified mitigation target is equivalent to 40% reduction of GHG emissions by 2030 compared to the BAU scenario. The contribution by each sector to the 40% mitigation target in terms of avoided emissions (ktCO2eq) is as it follows:</text>
  </threadedComment>
  <threadedComment ref="N1083" dT="2024-05-17T08:45:49.36" personId="{6D418FFB-AE9A-4B6F-8669-62793E6241D8}" id="{B2A74AC8-F4D2-41CF-8A07-EF0A91406FCF}">
    <text>Quote not complete (reference missing):
To ensure accuracy against GHG emissions reported in 2007, the energy sector includes the electricity, land transport, maritime transport, and tourism sub-sectors. While emissions from these sub-sectors were not reported in a way that would allow Samoa to form sub-sector targets relative to the 2007 emissions inventory baseline, Samoa would like to put forward to following mass-based sub-sector GHG emissions reduction targets that can be applied relative to the new reference year once the GHG emissions inventory is updated:</text>
  </threadedComment>
</ThreadedComments>
</file>

<file path=xl/threadedComments/threadedComment4.xml><?xml version="1.0" encoding="utf-8"?>
<ThreadedComments xmlns="http://schemas.microsoft.com/office/spreadsheetml/2018/threadedcomments" xmlns:x="http://schemas.openxmlformats.org/spreadsheetml/2006/main">
  <threadedComment ref="AZ8" personId="{32A18DFA-5FCA-49B8-81D5-4E2627EB4A5E}" id="{0AD6A05E-964C-42D5-980E-D57B9362B401}">
    <text xml:space="preserve">Total GHG emissions of the country - adding up only possible for unique key entries!
</text>
  </threadedComment>
  <threadedComment ref="BA8" personId="{32A18DFA-5FCA-49B8-81D5-4E2627EB4A5E}" id="{AE657676-88EE-4EA7-93F3-A336B162493F}">
    <text xml:space="preserve">Transport sector GHG emissions of the country - adding up only possible for unique key entries!
</text>
  </threadedComment>
  <threadedComment ref="A54" personId="{32A18DFA-5FCA-49B8-81D5-4E2627EB4A5E}" id="{13D3B32C-D4A6-4680-B246-F7B42C96C990}">
    <text>since this is just a general statement and not an actual measure, I would delete or define a dedicated parameter for such general statements</text>
  </threadedComment>
  <threadedComment ref="A54" dT="2021-08-18T00:56:01.07" personId="{E508A65D-6268-45C6-9F7F-CB8607B62599}" id="{0D13641F-D553-4175-9F65-DBF55250EA1B}" parentId="{13D3B32C-D4A6-4680-B246-F7B42C96C990}">
    <text>This indicator is to be used for general transport infrastructure measures. If you still think it doesn't add value, please delete.</text>
  </threadedComment>
  <threadedComment ref="B54" personId="{32A18DFA-5FCA-49B8-81D5-4E2627EB4A5E}" id="{C44E3134-729A-4C2E-B102-52B690D38444}">
    <text>since this is just a general statement and not an actual measure, I would delete or define a dedicated parameter for such general statements</text>
  </threadedComment>
  <threadedComment ref="B54" dT="2021-08-18T00:56:01.07" personId="{E508A65D-6268-45C6-9F7F-CB8607B62599}" id="{0429AE2F-E24B-4F85-9B56-8CA0B267583B}" parentId="{C44E3134-729A-4C2E-B102-52B690D38444}">
    <text>This indicator is to be used for general transport infrastructure measures. If you still think it doesn't add value, please delete.</text>
  </threadedComment>
  <threadedComment ref="A386" personId="{32A18DFA-5FCA-49B8-81D5-4E2627EB4A5E}" id="{CB1A3248-D92C-4B16-9F02-6ED320E3991F}">
    <text>move to targets?</text>
  </threadedComment>
  <threadedComment ref="A386" dT="2021-09-10T13:13:38.89" personId="{F9B1E208-CA76-4B8D-8C9D-F6BF88E47CA8}" id="{6C0A8514-5E8E-4FEB-B158-4329FF66B977}" parentId="{CB1A3248-D92C-4B16-9F02-6ED320E3991F}">
    <text>decision made to keep such target like measures under measures and only include specified targets in target section --&gt; cf. To Do</text>
  </threadedComment>
  <threadedComment ref="B386" personId="{32A18DFA-5FCA-49B8-81D5-4E2627EB4A5E}" id="{389D6CE0-1059-4557-818E-4C30B6CC6044}">
    <text>move to targets?</text>
  </threadedComment>
  <threadedComment ref="B386" dT="2021-09-10T13:13:38.89" personId="{F9B1E208-CA76-4B8D-8C9D-F6BF88E47CA8}" id="{E847D401-4C20-4CCE-BD16-497CCC16F2CB}" parentId="{389D6CE0-1059-4557-818E-4C30B6CC6044}">
    <text>decision made to keep such target like measures under measures and only include specified targets in target section --&gt; cf. To Do</text>
  </threadedComment>
  <threadedComment ref="K745" personId="{32A18DFA-5FCA-49B8-81D5-4E2627EB4A5E}" id="{4FCD3527-B9EC-4B6F-BFF7-EF59CA10B6E3}">
    <text>shouldn't this be I_Emobility ?</text>
  </threadedComment>
  <threadedComment ref="K745" dT="2021-09-10T13:49:34.31" personId="{F9B1E208-CA76-4B8D-8C9D-F6BF88E47CA8}" id="{0D9AC891-EF99-49AE-A6B9-9F7466A2AE13}" parentId="{4FCD3527-B9EC-4B6F-BFF7-EF59CA10B6E3}">
    <text>done</text>
  </threadedComment>
  <threadedComment ref="K937" personId="{32A18DFA-5FCA-49B8-81D5-4E2627EB4A5E}" id="{99A1A211-DFB6-4DC2-9C8C-679EA4A57FBA}">
    <text>should this be split into one BRT (S_BRT) and one light rail (S_PublicTransport) measure? I don't see any integration here</text>
  </threadedComment>
  <threadedComment ref="K937" dT="2021-09-10T13:37:07.01" personId="{F9B1E208-CA76-4B8D-8C9D-F6BF88E47CA8}" id="{032384DD-CB5D-4DE7-B6B7-A30319BDB251}" parentId="{99A1A211-DFB6-4DC2-9C8C-679EA4A57FBA}">
    <text>cf. definition of integration indicator also includes expansion</text>
  </threadedComment>
  <threadedComment ref="K2403" personId="{32A18DFA-5FCA-49B8-81D5-4E2627EB4A5E}" id="{43133B8F-D7F3-4ADE-ACA8-FFE4C3DD8FC7}">
    <text>shouldn't this be S_PublicTransport ?</text>
  </threadedComment>
  <threadedComment ref="K2403" dT="2021-09-10T13:37:25.13" personId="{F9B1E208-CA76-4B8D-8C9D-F6BF88E47CA8}" id="{DAC0509B-DA9E-41AF-AECE-ED941F22F076}" parentId="{43133B8F-D7F3-4ADE-ACA8-FFE4C3DD8FC7}">
    <text>cf. indicator definition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W8" personId="{32A18DFA-5FCA-49B8-81D5-4E2627EB4A5E}" id="{27D27FFF-4BB2-4100-BA9E-210AEAEA2FB6}">
    <text xml:space="preserve">Total GHG emissions of the country - adding up only possible for unique key entries!
</text>
  </threadedComment>
  <threadedComment ref="AX8" personId="{32A18DFA-5FCA-49B8-81D5-4E2627EB4A5E}" id="{36DB0195-5647-46F4-A912-E4621318A649}">
    <text xml:space="preserve">Transport sector GHG emissions of the country - adding up only possible for unique key entries!
</text>
  </threadedComment>
  <threadedComment ref="L107" personId="{32A18DFA-5FCA-49B8-81D5-4E2627EB4A5E}" id="{2F1B0A56-032D-4DC1-97BB-61E44704A960}">
    <text>should this be road and rail?</text>
  </threadedComment>
  <threadedComment ref="L107" dT="2021-08-19T01:39:21.27" personId="{E508A65D-6268-45C6-9F7F-CB8607B62599}" id="{7D51097A-8723-480E-9313-5361180EC633}" parentId="{2F1B0A56-032D-4DC1-97BB-61E44704A960}">
    <text>Where does it explicitely mention rail and road?</text>
  </threadedComment>
  <threadedComment ref="L107" dT="2021-12-09T17:32:23.54" personId="{4E057FD6-EDA0-440C-A581-BD4549D6AC40}" id="{36930489-6CFD-4A9E-B5D5-C5FAE39011E4}" parentId="{2F1B0A56-032D-4DC1-97BB-61E44704A960}">
    <text>I assume it's land transport but as we don't have that as mode I would also refrain from defining the mode as road or rail</text>
  </threadedComment>
</ThreadedComments>
</file>

<file path=xl/threadedComments/threadedComment6.xml><?xml version="1.0" encoding="utf-8"?>
<ThreadedComments xmlns="http://schemas.microsoft.com/office/spreadsheetml/2018/threadedcomments" xmlns:x="http://schemas.openxmlformats.org/spreadsheetml/2006/main">
  <threadedComment ref="T8" personId="{32A18DFA-5FCA-49B8-81D5-4E2627EB4A5E}" id="{99FCBC95-D03B-462D-B7D6-3A7699EA041C}">
    <text xml:space="preserve">Total GHG emissions of the country - adding up only possible for unique key entries!
</text>
  </threadedComment>
  <threadedComment ref="U8" personId="{32A18DFA-5FCA-49B8-81D5-4E2627EB4A5E}" id="{BC2BC0A8-BFA8-43F1-8E48-37E89BBB102B}">
    <text xml:space="preserve">Transport sector GHG emissions of the country - adding up only possible for unique key entries!
</text>
  </threadedComment>
</ThreadedComments>
</file>

<file path=xl/threadedComments/threadedComment7.xml><?xml version="1.0" encoding="utf-8"?>
<ThreadedComments xmlns="http://schemas.microsoft.com/office/spreadsheetml/2018/threadedcomments" xmlns:x="http://schemas.openxmlformats.org/spreadsheetml/2006/main">
  <threadedComment ref="H98" dT="2023-01-27T08:47:47.44" personId="{4E057FD6-EDA0-440C-A581-BD4549D6AC40}" id="{A21DDDC8-E05F-4CFC-8AAB-314D5BC6BD5C}">
    <text>I included this here because it gives information about where to find more detailed info on measures, despite not mentioning a specific strategy.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8.bin"/><Relationship Id="rId5" Type="http://schemas.openxmlformats.org/officeDocument/2006/relationships/table" Target="../tables/table12.xml"/><Relationship Id="rId4"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vtpi.org/tdm/tdm51.htm" TargetMode="External"/><Relationship Id="rId7" Type="http://schemas.openxmlformats.org/officeDocument/2006/relationships/hyperlink" Target="https://urbanaccessregulations.eu/low-emission-zones-main/what-are-low-emission-zones" TargetMode="External"/><Relationship Id="rId2" Type="http://schemas.openxmlformats.org/officeDocument/2006/relationships/hyperlink" Target="https://ec.europa.eu/transport/themes/urban/guidance-cycling-projects-eu/policy-development-and-evaluation-tools/sumps-and-cycling_en" TargetMode="External"/><Relationship Id="rId1" Type="http://schemas.openxmlformats.org/officeDocument/2006/relationships/hyperlink" Target="https://www.vtpi.org/tdm/tdm76.htm" TargetMode="External"/><Relationship Id="rId6" Type="http://schemas.openxmlformats.org/officeDocument/2006/relationships/hyperlink" Target="https://stats.oecd.org/glossary/detail.asp?ID=723" TargetMode="External"/><Relationship Id="rId5" Type="http://schemas.openxmlformats.org/officeDocument/2006/relationships/hyperlink" Target="https://www.vtpi.org/tdm/tdm43.htm" TargetMode="External"/><Relationship Id="rId4" Type="http://schemas.openxmlformats.org/officeDocument/2006/relationships/hyperlink" Target="https://www.vtpi.org/tdm/tdm15.htm" TargetMode="Externa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hyperlink" Target="https://ukcop26.org/cop26-declaration-on-accelerating-the-transition-to-100-zero-emission-cars-and-va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17" Type="http://schemas.openxmlformats.org/officeDocument/2006/relationships/hyperlink" Target="https://unfccc.int/sites/default/files/NDC/2022-06/INDC_of_Georgia.pdf" TargetMode="External"/><Relationship Id="rId21" Type="http://schemas.openxmlformats.org/officeDocument/2006/relationships/hyperlink" Target="https://unfccc.int/sites/default/files/NDC/2022-06/ATG%20-%20UNFCCC%20NDC%20-%202021-09-02%20-%20Final.pdf" TargetMode="External"/><Relationship Id="rId324" Type="http://schemas.openxmlformats.org/officeDocument/2006/relationships/hyperlink" Target="https://unfccc.int/sites/default/files/NDC/2022-12/Uruguay%20Segunda%20CDN.pdf" TargetMode="External"/><Relationship Id="rId170" Type="http://schemas.openxmlformats.org/officeDocument/2006/relationships/hyperlink" Target="https://unfccc.int/sites/default/files/NDC/2022-06/Madagascar%20INDC%20Eng.pdf" TargetMode="External"/><Relationship Id="rId268" Type="http://schemas.openxmlformats.org/officeDocument/2006/relationships/hyperlink" Target="https://unfccc.int/sites/default/files/NDC/2022-06/Seychelles%20-%20NDC_Jul30th%202021%20_Final.pdf" TargetMode="External"/><Relationship Id="rId475" Type="http://schemas.openxmlformats.org/officeDocument/2006/relationships/hyperlink" Target="https://unfccc.int/sites/default/files/LV-03-06-EU%20INDC.pdf" TargetMode="External"/><Relationship Id="rId32" Type="http://schemas.openxmlformats.org/officeDocument/2006/relationships/hyperlink" Target="https://unfccc.int/sites/default/files/NDC/2022-06/INDC_Kingdom_of_Bahrain.pdf" TargetMode="External"/><Relationship Id="rId74" Type="http://schemas.openxmlformats.org/officeDocument/2006/relationships/hyperlink" Target="https://unfccc.int/sites/default/files/NDC/2022-06/China%E2%80%99s%20Achievements,%20New%20Goals%20and%20New%20Measures%20for%20Nationally%20Determined%20Contributions.pdf" TargetMode="External"/><Relationship Id="rId128" Type="http://schemas.openxmlformats.org/officeDocument/2006/relationships/hyperlink" Target="https://unfccc.int/sites/default/files/NDC/2022-06/CDN%20GUINEE%202021_REVISION_VF.pdf" TargetMode="External"/><Relationship Id="rId335" Type="http://schemas.openxmlformats.org/officeDocument/2006/relationships/hyperlink" Target="https://unfccc.int/sites/default/files/NDC/2022-06/Viet%20Nam_NDC_2020_Eng.pdf" TargetMode="External"/><Relationship Id="rId377" Type="http://schemas.openxmlformats.org/officeDocument/2006/relationships/hyperlink" Target="https://unfccc.int/sites/default/files/resource/MKD_LTS_Nov2021.pdf" TargetMode="External"/><Relationship Id="rId500" Type="http://schemas.openxmlformats.org/officeDocument/2006/relationships/hyperlink" Target="https://unfccc.int/sites/default/files/resource/COL_LTS_Nov2021.pdf" TargetMode="External"/><Relationship Id="rId5" Type="http://schemas.openxmlformats.org/officeDocument/2006/relationships/hyperlink" Target="https://unfccc.int/sites/default/files/resource/Addendum%20to%20Singapore%27s%20Long-Term%20Low-Emissions%20Development%20Strategy.pdf" TargetMode="External"/><Relationship Id="rId181" Type="http://schemas.openxmlformats.org/officeDocument/2006/relationships/hyperlink" Target="https://unfccc.int/sites/default/files/NDC/2022-06/INDC%20MAURITANIA.pdf" TargetMode="External"/><Relationship Id="rId237" Type="http://schemas.openxmlformats.org/officeDocument/2006/relationships/hyperlink" Target="https://unfccc.int/sites/default/files/NDC/2022-06/Philippines%20-%20NDC.pdf" TargetMode="External"/><Relationship Id="rId402" Type="http://schemas.openxmlformats.org/officeDocument/2006/relationships/hyperlink" Target="https://unfccc.int/sites/default/files/NDC/2023-07/Third%20Update%20of%20Second%20NDC%20for%20the%20UAE_v15.pdf" TargetMode="External"/><Relationship Id="rId279" Type="http://schemas.openxmlformats.org/officeDocument/2006/relationships/hyperlink" Target="https://unfccc.int/sites/default/files/NDC/2022-06/South%20Sudan's%20Second%20Nationally%20Determined%20Contribution.pdf" TargetMode="External"/><Relationship Id="rId444" Type="http://schemas.openxmlformats.org/officeDocument/2006/relationships/hyperlink" Target="https://unfccc.int/sites/default/files/NDC/2023-10/ES-2023-10-17%20EU%20submission%20NDC%20update.pdf" TargetMode="External"/><Relationship Id="rId486" Type="http://schemas.openxmlformats.org/officeDocument/2006/relationships/hyperlink" Target="https://www.climatewatchdata.org/net-zero-tracker?showEUCountries=true" TargetMode="External"/><Relationship Id="rId43" Type="http://schemas.openxmlformats.org/officeDocument/2006/relationships/hyperlink" Target="https://unfccc.int/sites/default/files/NDC/2022-06/Bhutan-INDC-20150930.pdf" TargetMode="External"/><Relationship Id="rId139" Type="http://schemas.openxmlformats.org/officeDocument/2006/relationships/hyperlink" Target="https://unfccc.int/sites/default/files/NDC/2022-08/India%20Updated%20First%20Nationally%20Determined%20Contrib.pdf" TargetMode="External"/><Relationship Id="rId290" Type="http://schemas.openxmlformats.org/officeDocument/2006/relationships/hyperlink" Target="https://unfccc.int/sites/default/files/NDC/2022-06/Swiss%20NDC%202021-2030%20incl%20ICTU_December%202021.pdf" TargetMode="External"/><Relationship Id="rId304" Type="http://schemas.openxmlformats.org/officeDocument/2006/relationships/hyperlink" Target="https://unfccc.int/sites/default/files/NDC/2022-06/Trinidad%20and%20Tobago%20Final%20INDC.pdf" TargetMode="External"/><Relationship Id="rId346" Type="http://schemas.openxmlformats.org/officeDocument/2006/relationships/hyperlink" Target="https://unfccc.int/sites/default/files/resource/KHM_LTS_Dec2021.pdf" TargetMode="External"/><Relationship Id="rId388" Type="http://schemas.openxmlformats.org/officeDocument/2006/relationships/hyperlink" Target="https://unfccc.int/sites/default/files/resource/UK%20Net%20Zero%20Strategy%20-%20Build%20Back%20Greener.pdf" TargetMode="External"/><Relationship Id="rId511" Type="http://schemas.openxmlformats.org/officeDocument/2006/relationships/hyperlink" Target="https://unfccc.int/sites/default/files/2024-11/Brazil_Second%20Nationally%20Determined%20Contribution%20%28NDC%29_November2024.pdf" TargetMode="External"/><Relationship Id="rId85" Type="http://schemas.openxmlformats.org/officeDocument/2006/relationships/hyperlink" Target="https://unfccc.int/sites/default/files/NDC/2022-06/CDN_CIV_2022.pdf" TargetMode="External"/><Relationship Id="rId150" Type="http://schemas.openxmlformats.org/officeDocument/2006/relationships/hyperlink" Target="https://unfccc.int/sites/default/files/NDC/2022-06/JAPAN_FIRST%20NDC%20(INTERIM-UPDATED%20SUBMISSION).pdf" TargetMode="External"/><Relationship Id="rId192" Type="http://schemas.openxmlformats.org/officeDocument/2006/relationships/hyperlink" Target="https://unfccc.int/sites/default/files/NDC/2022-06/150924_INDCs%20of%20Mongolia.pdf" TargetMode="External"/><Relationship Id="rId206" Type="http://schemas.openxmlformats.org/officeDocument/2006/relationships/hyperlink" Target="https://unfccc.int/sites/default/files/NDC/2022-06/Nepal%20First%20NDC.pdf" TargetMode="External"/><Relationship Id="rId413" Type="http://schemas.openxmlformats.org/officeDocument/2006/relationships/hyperlink" Target="https://unfccc.int/sites/default/files/resource/Belize%20LEDS.pdf" TargetMode="External"/><Relationship Id="rId248" Type="http://schemas.openxmlformats.org/officeDocument/2006/relationships/hyperlink" Target="https://unfccc.int/sites/default/files/NDC/2022-06/NDC_RF_eng.pdf" TargetMode="External"/><Relationship Id="rId455" Type="http://schemas.openxmlformats.org/officeDocument/2006/relationships/hyperlink" Target="https://unfccc.int/sites/default/files/NDC/2023-10/ES-2023-10-17%20EU%20submission%20NDC%20update.pdf" TargetMode="External"/><Relationship Id="rId497" Type="http://schemas.openxmlformats.org/officeDocument/2006/relationships/hyperlink" Target="https://www.climatewatchdata.org/net-zero-tracker?showEUCountries=true" TargetMode="External"/><Relationship Id="rId12" Type="http://schemas.openxmlformats.org/officeDocument/2006/relationships/hyperlink" Target="https://unfccc.int/sites/default/files/resource/Thailand_LTS1.pdf" TargetMode="External"/><Relationship Id="rId108" Type="http://schemas.openxmlformats.org/officeDocument/2006/relationships/hyperlink" Target="https://unfccc.int/sites/default/files/NDC/2022-06/INDC-Ethiopia-100615.pdf" TargetMode="External"/><Relationship Id="rId315" Type="http://schemas.openxmlformats.org/officeDocument/2006/relationships/hyperlink" Target="https://unfccc.int/sites/default/files/NDC/2022-06/UAE%20INDC%20-%2022%20October.pdf" TargetMode="External"/><Relationship Id="rId357" Type="http://schemas.openxmlformats.org/officeDocument/2006/relationships/hyperlink" Target="https://unfccc.int/sites/default/files/resource/LTS_1_Hungary_2021_EN.pdf" TargetMode="External"/><Relationship Id="rId522" Type="http://schemas.microsoft.com/office/2017/10/relationships/threadedComment" Target="../threadedComments/threadedComment2.xml"/><Relationship Id="rId54" Type="http://schemas.openxmlformats.org/officeDocument/2006/relationships/hyperlink" Target="https://unfccc.int/sites/default/files/NDC/2022-06/Brunei%20Darussalam's%20NDC%202020.pdf" TargetMode="External"/><Relationship Id="rId96" Type="http://schemas.openxmlformats.org/officeDocument/2006/relationships/hyperlink" Target="https://unfccc.int/sites/default/files/NDC/2022-06/Dominican%20Republic%20First%20NDC%20(Updated%20Submission).pdf" TargetMode="External"/><Relationship Id="rId161" Type="http://schemas.openxmlformats.org/officeDocument/2006/relationships/hyperlink" Target="https://unfccc.int/sites/default/files/NDC/2022-06/Lao%20People%27s%20Democratic%20Republic%20First%20NDC.pdf" TargetMode="External"/><Relationship Id="rId217" Type="http://schemas.openxmlformats.org/officeDocument/2006/relationships/hyperlink" Target="https://unfccc.int/sites/default/files/NDC/2022-06/NDC_File%20Amended%20_11222.pdf" TargetMode="External"/><Relationship Id="rId399" Type="http://schemas.openxmlformats.org/officeDocument/2006/relationships/hyperlink" Target="https://unfccc.int/sites/default/files/NDC/2023-04/T%C3%9CRK%C4%B0YE_UPDATED%201st%20NDC_EN.pdf" TargetMode="External"/><Relationship Id="rId259" Type="http://schemas.openxmlformats.org/officeDocument/2006/relationships/hyperlink" Target="https://unfccc.int/sites/default/files/NDC/2022-06/STP_INDC%20_Ingles_30.09.pdf" TargetMode="External"/><Relationship Id="rId424" Type="http://schemas.openxmlformats.org/officeDocument/2006/relationships/hyperlink" Target="https://unfccc.int/sites/default/files/resource/Low_Carbon_Development_Strategy_Serbia_2023-2030_with_2050_Projections.pdf" TargetMode="External"/><Relationship Id="rId466" Type="http://schemas.openxmlformats.org/officeDocument/2006/relationships/hyperlink" Target="https://unfccc.int/sites/default/files/LV-03-06-EU%20INDC.pdf" TargetMode="External"/><Relationship Id="rId23" Type="http://schemas.openxmlformats.org/officeDocument/2006/relationships/hyperlink" Target="https://unfccc.int/sites/default/files/NDC/2022-06/NDC%20of%20Republic%20of%20Armenia%20%202021-2030.pdf" TargetMode="External"/><Relationship Id="rId119" Type="http://schemas.openxmlformats.org/officeDocument/2006/relationships/hyperlink" Target="https://unfccc.int/sites/default/files/NDC/2022-06/GH_INDC_2392015.pdf" TargetMode="External"/><Relationship Id="rId270" Type="http://schemas.openxmlformats.org/officeDocument/2006/relationships/hyperlink" Target="https://unfccc.int/sites/default/files/NDC/2022-06/210804%202125%20SL%20NDC%20(1).pdf" TargetMode="External"/><Relationship Id="rId326" Type="http://schemas.openxmlformats.org/officeDocument/2006/relationships/hyperlink" Target="https://unfccc.int/sites/default/files/NDC/2022-06/Uruguay_First%20Nationally%20Determined%20Contribution.pdf" TargetMode="External"/><Relationship Id="rId65" Type="http://schemas.openxmlformats.org/officeDocument/2006/relationships/hyperlink" Target="https://unfccc.int/sites/default/files/NDC/2022-06/INDC%20-%20Canada%20-%20English.pdf" TargetMode="External"/><Relationship Id="rId130" Type="http://schemas.openxmlformats.org/officeDocument/2006/relationships/hyperlink" Target="https://unfccc.int/sites/default/files/NDC/2022-06/NDC-Guinea%20Bissau-12102021.Final.pdf" TargetMode="External"/><Relationship Id="rId368" Type="http://schemas.openxmlformats.org/officeDocument/2006/relationships/hyperlink" Target="https://unfccc.int/files/focus/long-term_strategies/application/pdf/mexico_mcs_final_cop22nov16_red.pdf" TargetMode="External"/><Relationship Id="rId172" Type="http://schemas.openxmlformats.org/officeDocument/2006/relationships/hyperlink" Target="https://unfccc.int/sites/default/files/NDC/2022-06/Malawi%20Updated%20NDC%20July%202021%20submitted.pdf" TargetMode="External"/><Relationship Id="rId228" Type="http://schemas.openxmlformats.org/officeDocument/2006/relationships/hyperlink" Target="https://unfccc.int/sites/default/files/NDC/2022-06/PANAMA%20NDC.pdf" TargetMode="External"/><Relationship Id="rId435" Type="http://schemas.openxmlformats.org/officeDocument/2006/relationships/hyperlink" Target="https://unfccc.int/sites/default/files/NDC/2023-10/ES-2023-10-17%20EU%20submission%20NDC%20update.pdf" TargetMode="External"/><Relationship Id="rId477" Type="http://schemas.openxmlformats.org/officeDocument/2006/relationships/hyperlink" Target="https://unfccc.int/sites/default/files/LV-03-06-EU%20INDC.pdf" TargetMode="External"/><Relationship Id="rId281" Type="http://schemas.openxmlformats.org/officeDocument/2006/relationships/hyperlink" Target="https://unfccc.int/sites/default/files/NDC/2022-10/Sudan%20Updated%20First%20NDC-12102021.pdf" TargetMode="External"/><Relationship Id="rId337" Type="http://schemas.openxmlformats.org/officeDocument/2006/relationships/hyperlink" Target="https://unfccc.int/sites/default/files/NDC/2022-06/Zambia_Provisional_Updated_NDC_2020.pdf" TargetMode="External"/><Relationship Id="rId502" Type="http://schemas.openxmlformats.org/officeDocument/2006/relationships/hyperlink" Target="https://unfccc.int/sites/default/files/2024-11/UAE-NDC3.0.pdf" TargetMode="External"/><Relationship Id="rId34" Type="http://schemas.openxmlformats.org/officeDocument/2006/relationships/hyperlink" Target="https://unfccc.int/sites/default/files/NDC/2022-06/INDC_2015_of_Bangladesh.pdf" TargetMode="External"/><Relationship Id="rId76" Type="http://schemas.openxmlformats.org/officeDocument/2006/relationships/hyperlink" Target="https://unfccc.int/sites/default/files/NDC/2022-06/NDC%20actualizada%20de%20Colombia.pdf" TargetMode="External"/><Relationship Id="rId141" Type="http://schemas.openxmlformats.org/officeDocument/2006/relationships/hyperlink" Target="https://unfccc.int/sites/default/files/NDC/2022-06/Updated%20NDC%20Indonesia%202021%20-%20corrected%20version.pdf" TargetMode="External"/><Relationship Id="rId379" Type="http://schemas.openxmlformats.org/officeDocument/2006/relationships/hyperlink" Target="https://unfccc.int/sites/default/files/resource/LTS%20SK%20eng.pdf" TargetMode="External"/><Relationship Id="rId7" Type="http://schemas.openxmlformats.org/officeDocument/2006/relationships/hyperlink" Target="https://unfccc.int/sites/default/files/resource/2022_lts_final_cyprus.pdf" TargetMode="External"/><Relationship Id="rId183" Type="http://schemas.openxmlformats.org/officeDocument/2006/relationships/hyperlink" Target="https://unfccc.int/sites/default/files/NDC/2022-06/Final%20INDC%20for%20Mauritius%2028%20Sept%202015.pdf" TargetMode="External"/><Relationship Id="rId239" Type="http://schemas.openxmlformats.org/officeDocument/2006/relationships/hyperlink" Target="https://unfccc.int/sites/default/files/NDC/2022-06/Qatar%20INDCs%20Report%20-%20Arabic.pdf" TargetMode="External"/><Relationship Id="rId390" Type="http://schemas.openxmlformats.org/officeDocument/2006/relationships/hyperlink" Target="https://unfccc.int/sites/default/files/resource/US-LongTermStrategy-2021.pdf" TargetMode="External"/><Relationship Id="rId404" Type="http://schemas.openxmlformats.org/officeDocument/2006/relationships/hyperlink" Target="https://unfccc.int/sites/default/files/resource/ETHIOPIA_%20LONG%20TERM%20LOW%20EMISSION%20AND%20CLIMATE%20RESILIENT%20DEVELOPMENT%20STRATEGY.pdf" TargetMode="External"/><Relationship Id="rId446" Type="http://schemas.openxmlformats.org/officeDocument/2006/relationships/hyperlink" Target="https://unfccc.int/sites/default/files/NDC/2023-10/ES-2023-10-17%20EU%20submission%20NDC%20update.pdf" TargetMode="External"/><Relationship Id="rId250" Type="http://schemas.openxmlformats.org/officeDocument/2006/relationships/hyperlink" Target="https://unfccc.int/sites/default/files/NDC/2022-06/Rwanda_Updated_NDC_May_2020.pdf" TargetMode="External"/><Relationship Id="rId292" Type="http://schemas.openxmlformats.org/officeDocument/2006/relationships/hyperlink" Target="https://unfccc.int/sites/default/files/NDC/2022-06/FirstNDC-Eng-Syrian%20Arab%20Republic.pdf" TargetMode="External"/><Relationship Id="rId306" Type="http://schemas.openxmlformats.org/officeDocument/2006/relationships/hyperlink" Target="https://unfccc.int/sites/default/files/NDC/2022-06/The_INDC_of_TURKEY_v.15.19.30.pdf" TargetMode="External"/><Relationship Id="rId488" Type="http://schemas.openxmlformats.org/officeDocument/2006/relationships/hyperlink" Target="https://www.climatewatchdata.org/net-zero-tracker?showEUCountries=true" TargetMode="External"/><Relationship Id="rId45" Type="http://schemas.openxmlformats.org/officeDocument/2006/relationships/hyperlink" Target="https://unfccc.int/sites/default/files/NDC/2022-06/ESTADO%20PLURINACIONAL%20DE%20BOLIVIA1.pdf" TargetMode="External"/><Relationship Id="rId87" Type="http://schemas.openxmlformats.org/officeDocument/2006/relationships/hyperlink" Target="https://unfccc.int/sites/default/files/NDC/2022-06/Cuban%20First%20NDC%20Summary%20(Updated%20submission).pdf" TargetMode="External"/><Relationship Id="rId110" Type="http://schemas.openxmlformats.org/officeDocument/2006/relationships/hyperlink" Target="https://unfccc.int/sites/default/files/LV-03-06-EU%20INDC.pdf" TargetMode="External"/><Relationship Id="rId348" Type="http://schemas.openxmlformats.org/officeDocument/2006/relationships/hyperlink" Target="https://unfccc.int/sites/default/files/resource/China%E2%80%99s%20Mid-Century%20Long-Term%20Low%20Greenhouse%20Gas%20Emission%20Development%20Strategy.pdf" TargetMode="External"/><Relationship Id="rId513" Type="http://schemas.openxmlformats.org/officeDocument/2006/relationships/hyperlink" Target="https://unfccc.int/sites/default/files/resource/LTLEDS_PANAMA_2024.pdf" TargetMode="External"/><Relationship Id="rId152" Type="http://schemas.openxmlformats.org/officeDocument/2006/relationships/hyperlink" Target="https://unfccc.int/sites/default/files/NDC/2022-06/Jordan%20INDCs%20Final.pdf" TargetMode="External"/><Relationship Id="rId194" Type="http://schemas.openxmlformats.org/officeDocument/2006/relationships/hyperlink" Target="https://unfccc.int/sites/default/files/NDC/2022-06/INDCSubmission_%20Montenegro.pdf" TargetMode="External"/><Relationship Id="rId208" Type="http://schemas.openxmlformats.org/officeDocument/2006/relationships/hyperlink" Target="https://unfccc.int/sites/default/files/NDC/2022-06/New%20Zealand%20first%20NDC%20%28Archived%29.pdf" TargetMode="External"/><Relationship Id="rId415" Type="http://schemas.openxmlformats.org/officeDocument/2006/relationships/hyperlink" Target="https://unfccc.int/sites/default/files/NDC/2023-10/ES-2023-10-17%20EU%20submission%20NDC%20update.pdf" TargetMode="External"/><Relationship Id="rId457" Type="http://schemas.openxmlformats.org/officeDocument/2006/relationships/hyperlink" Target="https://unfccc.int/sites/default/files/NDC/2023-10/ES-2023-10-17%20EU%20submission%20NDC%20update.pdf" TargetMode="External"/><Relationship Id="rId261" Type="http://schemas.openxmlformats.org/officeDocument/2006/relationships/hyperlink" Target="https://unfccc.int/sites/default/files/NDC/2022-06/KSA-INDCs%20English.pdf" TargetMode="External"/><Relationship Id="rId499" Type="http://schemas.openxmlformats.org/officeDocument/2006/relationships/hyperlink" Target="https://unfccc.int/sites/default/files/NDC/2022-06/Andorra%20INDC-CPDN.pdf" TargetMode="External"/><Relationship Id="rId14" Type="http://schemas.openxmlformats.org/officeDocument/2006/relationships/hyperlink" Target="https://unfccc.int/sites/default/files/NDC/2022-06/Albania%20First.pdf" TargetMode="External"/><Relationship Id="rId56" Type="http://schemas.openxmlformats.org/officeDocument/2006/relationships/hyperlink" Target="https://unfccc.int/sites/default/files/NDC/2022-06/Rapport%20CDN_BKFA.pdf" TargetMode="External"/><Relationship Id="rId317" Type="http://schemas.openxmlformats.org/officeDocument/2006/relationships/hyperlink" Target="https://unfccc.int/sites/default/files/NDC/2022-06/UAE%20Second%20NDC%20-%20UNFCCC%20Submission%20-%20English%20-%20FINAL.pdf" TargetMode="External"/><Relationship Id="rId359" Type="http://schemas.openxmlformats.org/officeDocument/2006/relationships/hyperlink" Target="https://unfccc.int/sites/default/files/resource/India_LTLEDS.pdf" TargetMode="External"/><Relationship Id="rId98" Type="http://schemas.openxmlformats.org/officeDocument/2006/relationships/hyperlink" Target="https://unfccc.int/sites/default/files/NDC/2022-06/Primera%20NDC%20Ecuador.pdf" TargetMode="External"/><Relationship Id="rId121" Type="http://schemas.openxmlformats.org/officeDocument/2006/relationships/hyperlink" Target="https://unfccc.int/sites/default/files/NDC/2022-06/Ghana's%20Updated%20Nationally%20Determined%20Contribution%20to%20the%20UNFCCC_2021.pdf" TargetMode="External"/><Relationship Id="rId163" Type="http://schemas.openxmlformats.org/officeDocument/2006/relationships/hyperlink" Target="https://unfccc.int/sites/default/files/NDC/2022-06/NDC%202020%20of%20Lao%20PDR%20(English),%2009%20April%202021%20(1).pdf" TargetMode="External"/><Relationship Id="rId219" Type="http://schemas.openxmlformats.org/officeDocument/2006/relationships/hyperlink" Target="https://unfccc.int/sites/default/files/NorwayINDC.pdf" TargetMode="External"/><Relationship Id="rId370" Type="http://schemas.openxmlformats.org/officeDocument/2006/relationships/hyperlink" Target="https://unfccc.int/sites/default/files/resource/NepalLTLEDS.pdf" TargetMode="External"/><Relationship Id="rId426" Type="http://schemas.openxmlformats.org/officeDocument/2006/relationships/hyperlink" Target="https://unfccc.int/sites/default/files/resource/Nigeria_LT-LEDS_01122023_240425_094617.pdf" TargetMode="External"/><Relationship Id="rId230" Type="http://schemas.openxmlformats.org/officeDocument/2006/relationships/hyperlink" Target="https://unfccc.int/sites/default/files/NDC/2022-06/PNG_INDC%20to%20the%20UNFCCC.pdf" TargetMode="External"/><Relationship Id="rId468" Type="http://schemas.openxmlformats.org/officeDocument/2006/relationships/hyperlink" Target="https://unfccc.int/sites/default/files/LV-03-06-EU%20INDC.pdf" TargetMode="External"/><Relationship Id="rId25" Type="http://schemas.openxmlformats.org/officeDocument/2006/relationships/hyperlink" Target="https://unfccc.int/sites/default/files/NDC/2022-06/Australias%20Intended%20Nationally%20Determined%20Contribution%20to%20a%20new%20Climate%20Change%20Agreement%20-%20August%202015.pdf" TargetMode="External"/><Relationship Id="rId67" Type="http://schemas.openxmlformats.org/officeDocument/2006/relationships/hyperlink" Target="https://unfccc.int/sites/default/files/NDC/2022-06/INDC_R%C3%A9publique%20Centrafricaine_EN.pdf" TargetMode="External"/><Relationship Id="rId272" Type="http://schemas.openxmlformats.org/officeDocument/2006/relationships/hyperlink" Target="https://unfccc.int/sites/default/files/NDC/2022-06/Singapore's%20Update%20of%201st%20NDC.pdf" TargetMode="External"/><Relationship Id="rId328" Type="http://schemas.openxmlformats.org/officeDocument/2006/relationships/hyperlink" Target="https://unfccc.int/sites/default/files/NDC/2022-06/Uzbekistan_Updated%20NDC_2021_EN.pdf" TargetMode="External"/><Relationship Id="rId132" Type="http://schemas.openxmlformats.org/officeDocument/2006/relationships/hyperlink" Target="https://unfccc.int/sites/default/files/NDC/2022-06/CPDN_Republique%20d%27Haiti.pdf" TargetMode="External"/><Relationship Id="rId174" Type="http://schemas.openxmlformats.org/officeDocument/2006/relationships/hyperlink" Target="https://unfccc.int/sites/default/files/NDC/2022-06/Malaysia%20NDC%20Updated%20Submission%20to%20UNFCCC%20July%202021%20final.pdf" TargetMode="External"/><Relationship Id="rId381" Type="http://schemas.openxmlformats.org/officeDocument/2006/relationships/hyperlink" Target="https://unfccc.int/sites/default/files/resource/South%20Africa%27s%20Low%20Emission%20Development%20Strategy.pdf" TargetMode="External"/><Relationship Id="rId241" Type="http://schemas.openxmlformats.org/officeDocument/2006/relationships/hyperlink" Target="https://unfccc.int/sites/default/files/NDC/2022-06/INDC%20Submission%20by%20the%20Republic%20of%20Korea%20on%20June%2030.pdf" TargetMode="External"/><Relationship Id="rId437" Type="http://schemas.openxmlformats.org/officeDocument/2006/relationships/hyperlink" Target="https://unfccc.int/sites/default/files/NDC/2023-10/ES-2023-10-17%20EU%20submission%20NDC%20update.pdf" TargetMode="External"/><Relationship Id="rId479" Type="http://schemas.openxmlformats.org/officeDocument/2006/relationships/hyperlink" Target="https://unfccc.int/sites/default/files/LV-03-06-EU%20INDC.pdf" TargetMode="External"/><Relationship Id="rId36" Type="http://schemas.openxmlformats.org/officeDocument/2006/relationships/hyperlink" Target="https://unfccc.int/sites/default/files/NDC/2022-06/Barbados%20INDC%20FINAL%20September%20%2028%2C%202015.pdf" TargetMode="External"/><Relationship Id="rId283" Type="http://schemas.openxmlformats.org/officeDocument/2006/relationships/hyperlink" Target="https://unfccc.int/sites/default/files/NDC/2022-06/Sudan%20Updated%20First%20NDC-Interim%20Submission.pdf" TargetMode="External"/><Relationship Id="rId339" Type="http://schemas.openxmlformats.org/officeDocument/2006/relationships/hyperlink" Target="https://unfccc.int/sites/default/files/NDC/2022-06/Zimbabwe%20First%20NDC.pdf" TargetMode="External"/><Relationship Id="rId490" Type="http://schemas.openxmlformats.org/officeDocument/2006/relationships/hyperlink" Target="https://www.climatewatchdata.org/net-zero-tracker?showEUCountries=true" TargetMode="External"/><Relationship Id="rId504" Type="http://schemas.openxmlformats.org/officeDocument/2006/relationships/hyperlink" Target="https://unfccc.int/sites/default/files/2024-12/BOTSWANA_NDC_2%20REPORT.pdf" TargetMode="External"/><Relationship Id="rId78" Type="http://schemas.openxmlformats.org/officeDocument/2006/relationships/hyperlink" Target="https://unfccc.int/sites/default/files/NDC/2022-06/CDN_r%C3%A9vis%C3%A9e_Comores_vf.pdf" TargetMode="External"/><Relationship Id="rId101" Type="http://schemas.openxmlformats.org/officeDocument/2006/relationships/hyperlink" Target="https://unfccc.int/sites/default/files/NDC/2022-06/EL%20SALVADOR-INTENDED%20NATIONALLY%20DETERMINED%20CONTRIBUTION.pdf" TargetMode="External"/><Relationship Id="rId143" Type="http://schemas.openxmlformats.org/officeDocument/2006/relationships/hyperlink" Target="https://unfccc.int/sites/default/files/NDC/2022-06/Iraq%20NDC%20Document.docx" TargetMode="External"/><Relationship Id="rId185" Type="http://schemas.openxmlformats.org/officeDocument/2006/relationships/hyperlink" Target="https://unfccc.int/sites/default/files/NDC/2022-06/MEXICO%20INDC%2003.30.2015.pdf" TargetMode="External"/><Relationship Id="rId350" Type="http://schemas.openxmlformats.org/officeDocument/2006/relationships/hyperlink" Target="https://unfccc.int/files/na/application/pdf/cze_climate_protection_policy_summary.pdf" TargetMode="External"/><Relationship Id="rId406" Type="http://schemas.openxmlformats.org/officeDocument/2006/relationships/hyperlink" Target="https://unfccc.int/sites/default/files/resource/Oman.pdf" TargetMode="External"/><Relationship Id="rId9" Type="http://schemas.openxmlformats.org/officeDocument/2006/relationships/hyperlink" Target="https://unfccc.int/sites/default/files/2022-08/Albania%20Revised%20NDC.pdf" TargetMode="External"/><Relationship Id="rId210" Type="http://schemas.openxmlformats.org/officeDocument/2006/relationships/hyperlink" Target="https://unfccc.int/sites/default/files/NDC/2022-06/New%20Zealand%20NDC%20November%202021.pdf" TargetMode="External"/><Relationship Id="rId392" Type="http://schemas.openxmlformats.org/officeDocument/2006/relationships/hyperlink" Target="https://unfccc.int/sites/default/files/NDC/2022-05/Actualizacio%CC%81n%20meta%20de%20emisiones%202030.pdf" TargetMode="External"/><Relationship Id="rId448" Type="http://schemas.openxmlformats.org/officeDocument/2006/relationships/hyperlink" Target="https://unfccc.int/sites/default/files/NDC/2023-10/ES-2023-10-17%20EU%20submission%20NDC%20update.pdf" TargetMode="External"/><Relationship Id="rId252" Type="http://schemas.openxmlformats.org/officeDocument/2006/relationships/hyperlink" Target="https://unfccc.int/sites/default/files/NDC/2022-06/St.%20Kitts%20and%20Nevis%20Revised%20NDC_Updated.pdf" TargetMode="External"/><Relationship Id="rId294" Type="http://schemas.openxmlformats.org/officeDocument/2006/relationships/hyperlink" Target="https://unfccc.int/sites/default/files/NDC/2022-06/NDC_TAJIKISTAN_ENG.pdf" TargetMode="External"/><Relationship Id="rId308" Type="http://schemas.openxmlformats.org/officeDocument/2006/relationships/hyperlink" Target="https://unfccc.int/sites/default/files/NDC/2022-06/Uganda%20interim%20NDC%20submission_.pdf" TargetMode="External"/><Relationship Id="rId515" Type="http://schemas.openxmlformats.org/officeDocument/2006/relationships/hyperlink" Target="https://unfccc.int/sites/default/files/2025-02/Republic%20of%20the%20Marshall%20Islands%20NDC%203.0.pdf" TargetMode="External"/><Relationship Id="rId47" Type="http://schemas.openxmlformats.org/officeDocument/2006/relationships/hyperlink" Target="https://unfccc.int/sites/default/files/NDC/2022-06/INDC%20Bosnia%20and%20Herzegovina.pdf" TargetMode="External"/><Relationship Id="rId89" Type="http://schemas.openxmlformats.org/officeDocument/2006/relationships/hyperlink" Target="https://unfccc.int/sites/default/files/NDC/2022-06/CDN%20Revis%C3%A9e%20de%20la%20RDC.pdf" TargetMode="External"/><Relationship Id="rId112" Type="http://schemas.openxmlformats.org/officeDocument/2006/relationships/hyperlink" Target="https://unfccc.int/sites/default/files/NDC/2022-06/FIJI_iNDC_Final_051115.pdf" TargetMode="External"/><Relationship Id="rId154" Type="http://schemas.openxmlformats.org/officeDocument/2006/relationships/hyperlink" Target="https://unfccc.int/sites/default/files/NDC/2022-06/INDC%20Kz_eng.pdf" TargetMode="External"/><Relationship Id="rId361" Type="http://schemas.openxmlformats.org/officeDocument/2006/relationships/hyperlink" Target="https://unfccc.int/sites/default/files/resource/The%20Long-term%20Strategy%20under%20the%20Paris%20Agreement.pdf" TargetMode="External"/><Relationship Id="rId196" Type="http://schemas.openxmlformats.org/officeDocument/2006/relationships/hyperlink" Target="https://unfccc.int/sites/default/files/NDC/2022-06/Morocco%20First%20NDC.pdf" TargetMode="External"/><Relationship Id="rId417" Type="http://schemas.openxmlformats.org/officeDocument/2006/relationships/hyperlink" Target="https://unfccc.int/sites/default/files/NDC/2023-11/Oman%201st%20Update%20of%20the%202nd%20NDC%20-%20Optimized%20Size%20%281%29.pdf" TargetMode="External"/><Relationship Id="rId459" Type="http://schemas.openxmlformats.org/officeDocument/2006/relationships/hyperlink" Target="https://unfccc.int/sites/default/files/LV-03-06-EU%20INDC.pdf" TargetMode="External"/><Relationship Id="rId16" Type="http://schemas.openxmlformats.org/officeDocument/2006/relationships/hyperlink" Target="https://unfccc.int/sites/default/files/NDC/2022-06/20200514-%20Actualitzaci%C3%B3%20NDC.pdf" TargetMode="External"/><Relationship Id="rId221" Type="http://schemas.openxmlformats.org/officeDocument/2006/relationships/hyperlink" Target="https://unfccc.int/sites/default/files/NDC/2022-06/OMAN%20INDCs.pdf" TargetMode="External"/><Relationship Id="rId263" Type="http://schemas.openxmlformats.org/officeDocument/2006/relationships/hyperlink" Target="https://unfccc.int/sites/default/files/NDC/2022-06/CDNSenegal%20approuv%C3%A9e-pdf-.pdf" TargetMode="External"/><Relationship Id="rId319" Type="http://schemas.openxmlformats.org/officeDocument/2006/relationships/hyperlink" Target="https://unfccc.int/sites/default/files/NDC/2022-06/UK%20Nationally%20Determined%20Contribution.pdf" TargetMode="External"/><Relationship Id="rId470" Type="http://schemas.openxmlformats.org/officeDocument/2006/relationships/hyperlink" Target="https://unfccc.int/sites/default/files/LV-03-06-EU%20INDC.pdf" TargetMode="External"/><Relationship Id="rId58" Type="http://schemas.openxmlformats.org/officeDocument/2006/relationships/hyperlink" Target="https://unfccc.int/sites/default/files/NDC/2022-06/CDN%20%20%20Burundi%20ANNEXE%201.pdf" TargetMode="External"/><Relationship Id="rId123" Type="http://schemas.openxmlformats.org/officeDocument/2006/relationships/hyperlink" Target="https://unfccc.int/sites/default/files/NDC/2022-06/GrenadaSecondNDC2020%20-%2001-12-20.pdf" TargetMode="External"/><Relationship Id="rId330" Type="http://schemas.openxmlformats.org/officeDocument/2006/relationships/hyperlink" Target="https://unfccc.int/sites/default/files/NDC/2022-06/Vanuatu%E2%80%99s%20First%20Nationally%20Determined%20Contribution%20(NDC)%20(Updated%20Submission%202020).pdf" TargetMode="External"/><Relationship Id="rId165" Type="http://schemas.openxmlformats.org/officeDocument/2006/relationships/hyperlink" Target="https://unfccc.int/sites/default/files/NDC/2022-06/Lebanon's%202020%20Nationally%20Determined%20Contribution%20Update.pdf" TargetMode="External"/><Relationship Id="rId372" Type="http://schemas.openxmlformats.org/officeDocument/2006/relationships/hyperlink" Target="https://unfccc.int/sites/default/files/resource/NZL_LTS_2021.pdf" TargetMode="External"/><Relationship Id="rId428" Type="http://schemas.openxmlformats.org/officeDocument/2006/relationships/hyperlink" Target="https://rmke12.epu.gov.my/en" TargetMode="External"/><Relationship Id="rId232" Type="http://schemas.openxmlformats.org/officeDocument/2006/relationships/hyperlink" Target="https://unfccc.int/sites/default/files/NDC/2022-06/Documento%20INDC%20Paraguay%2001-10-15.pdf" TargetMode="External"/><Relationship Id="rId274" Type="http://schemas.openxmlformats.org/officeDocument/2006/relationships/hyperlink" Target="https://unfccc.int/sites/default/files/NDC/2022-06/NDC%20Report%202021%20Final%20Solomon%20Islands%20(1).pdf" TargetMode="External"/><Relationship Id="rId481" Type="http://schemas.openxmlformats.org/officeDocument/2006/relationships/hyperlink" Target="https://unfccc.int/sites/default/files/LV-03-06-EU%20INDC.pdf" TargetMode="External"/><Relationship Id="rId27" Type="http://schemas.openxmlformats.org/officeDocument/2006/relationships/hyperlink" Target="https://unfccc.int/sites/default/files/NDC/2022-06/Australia%20Nationally%20Determined%20Contribution%20Update%20October%202021%20WEB.pdf" TargetMode="External"/><Relationship Id="rId69" Type="http://schemas.openxmlformats.org/officeDocument/2006/relationships/hyperlink" Target="https://unfccc.int/sites/default/files/NDC/2022-06/INDC%20Chad_Official%20version_English.pdf" TargetMode="External"/><Relationship Id="rId134" Type="http://schemas.openxmlformats.org/officeDocument/2006/relationships/hyperlink" Target="https://unfccc.int/sites/default/files/NDC/2022-06/Honduras%20INDC_esp.pdf" TargetMode="External"/><Relationship Id="rId80" Type="http://schemas.openxmlformats.org/officeDocument/2006/relationships/hyperlink" Target="https://unfccc.int/sites/default/files/NDC/2022-06/CDN_Congo.pdf" TargetMode="External"/><Relationship Id="rId176" Type="http://schemas.openxmlformats.org/officeDocument/2006/relationships/hyperlink" Target="https://unfccc.int/sites/default/files/NDC/2022-06/Maldives%20Nationally%20Determined%20Contribution%202020.pdf" TargetMode="External"/><Relationship Id="rId341" Type="http://schemas.openxmlformats.org/officeDocument/2006/relationships/hyperlink" Target="https://unfccc.int/sites/default/files/resource/AND_LTS_Nov2021.pdf" TargetMode="External"/><Relationship Id="rId383" Type="http://schemas.openxmlformats.org/officeDocument/2006/relationships/hyperlink" Target="https://unfccc.int/sites/default/files/resource/LTS1_Sweden.pdf" TargetMode="External"/><Relationship Id="rId439" Type="http://schemas.openxmlformats.org/officeDocument/2006/relationships/hyperlink" Target="https://unfccc.int/sites/default/files/NDC/2023-10/ES-2023-10-17%20EU%20submission%20NDC%20update.pdf" TargetMode="External"/><Relationship Id="rId201" Type="http://schemas.openxmlformats.org/officeDocument/2006/relationships/hyperlink" Target="https://unfccc.int/sites/default/files/NDC/2022-06/Myanmar%20Updated%20%20NDC%20July%202021.pdf" TargetMode="External"/><Relationship Id="rId243" Type="http://schemas.openxmlformats.org/officeDocument/2006/relationships/hyperlink" Target="https://unfccc.int/sites/default/files/NDC/2022-06/211223_The%20Republic%20of%20Korea's%20Enhanced%20Update%20of%20its%20First%20Nationally%20Determined%20Contribution_211227_editorial%20change.pdf" TargetMode="External"/><Relationship Id="rId285" Type="http://schemas.openxmlformats.org/officeDocument/2006/relationships/hyperlink" Target="https://unfccc.int/sites/default/files/NDC/2022-10/Sudan%20Updated%20First%20NDC-12102021.pdf" TargetMode="External"/><Relationship Id="rId450" Type="http://schemas.openxmlformats.org/officeDocument/2006/relationships/hyperlink" Target="https://unfccc.int/sites/default/files/NDC/2023-10/ES-2023-10-17%20EU%20submission%20NDC%20update.pdf" TargetMode="External"/><Relationship Id="rId506" Type="http://schemas.openxmlformats.org/officeDocument/2006/relationships/hyperlink" Target="https://unfccc.int/sites/default/files/resource/Turkiye_Long_Term_Climate_Strategy.pdf" TargetMode="External"/><Relationship Id="rId38" Type="http://schemas.openxmlformats.org/officeDocument/2006/relationships/hyperlink" Target="https://unfccc.int/sites/default/files/NDC/2022-06/Belarus_INDC_Rus_25.09.2015.pdf" TargetMode="External"/><Relationship Id="rId103" Type="http://schemas.openxmlformats.org/officeDocument/2006/relationships/hyperlink" Target="https://unfccc.int/sites/default/files/NDC/2022-06/Rep%C3%BAblica%20de%20Guinea%20Ecuatorial_INDC.pdf" TargetMode="External"/><Relationship Id="rId310" Type="http://schemas.openxmlformats.org/officeDocument/2006/relationships/hyperlink" Target="https://unfccc.int/sites/default/files/NDC/2022-06/INDC_Turkmenistan.pdf" TargetMode="External"/><Relationship Id="rId492" Type="http://schemas.openxmlformats.org/officeDocument/2006/relationships/hyperlink" Target="https://www.climatewatchdata.org/net-zero-tracker?showEUCountries=true" TargetMode="External"/><Relationship Id="rId91" Type="http://schemas.openxmlformats.org/officeDocument/2006/relationships/hyperlink" Target="https://unfccc.int/sites/default/files/NDC/2022-06/2019.09.19_DPRK%20letter%20to%20SG%20special%20envoy%20for%20NDC.pdf" TargetMode="External"/><Relationship Id="rId145" Type="http://schemas.openxmlformats.org/officeDocument/2006/relationships/hyperlink" Target="https://unfccc.int/sites/default/files/NDC/2022-06/NDC%20update%20as%20submitted%20to%20the%20UNFCCC.docx" TargetMode="External"/><Relationship Id="rId187" Type="http://schemas.openxmlformats.org/officeDocument/2006/relationships/hyperlink" Target="https://unfccc.int/sites/default/files/NDC/2022-11/Mexico_NDC_UNFCCC_update2022_FINAL.pdf" TargetMode="External"/><Relationship Id="rId352" Type="http://schemas.openxmlformats.org/officeDocument/2006/relationships/hyperlink" Target="https://unfccc.int/sites/default/files/resource/Fiji_Low%20Emission%20Development%20%20Strategy%202018%20-%202050.pdf" TargetMode="External"/><Relationship Id="rId394" Type="http://schemas.openxmlformats.org/officeDocument/2006/relationships/hyperlink" Target="https://unfccc.int/sites/default/files/NDC/2023-03/221213%20Kiribati%20NDC%20Web%20Quality.pdf" TargetMode="External"/><Relationship Id="rId408" Type="http://schemas.openxmlformats.org/officeDocument/2006/relationships/hyperlink" Target="https://unfccc.int/sites/default/files/resource/SOLOMON%20ISLANDS%20LEDS.pdf" TargetMode="External"/><Relationship Id="rId212" Type="http://schemas.openxmlformats.org/officeDocument/2006/relationships/hyperlink" Target="https://unfccc.int/sites/default/files/NDC/2022-06/Contribuciones_Nacionales_Determinadas_Nicaragua.pdf" TargetMode="External"/><Relationship Id="rId254" Type="http://schemas.openxmlformats.org/officeDocument/2006/relationships/hyperlink" Target="https://unfccc.int/sites/default/files/NDC/2022-06/Saint%20Lucia%20First%20NDC%20(Updated%20submission).pdf" TargetMode="External"/><Relationship Id="rId49" Type="http://schemas.openxmlformats.org/officeDocument/2006/relationships/hyperlink" Target="https://unfccc.int/sites/default/files/NDC/2022-06/BOTSWANA.pdf" TargetMode="External"/><Relationship Id="rId114" Type="http://schemas.openxmlformats.org/officeDocument/2006/relationships/hyperlink" Target="https://unfccc.int/sites/default/files/NDC/2022-06/20150331%20INDC%20Gabon.pdf" TargetMode="External"/><Relationship Id="rId296" Type="http://schemas.openxmlformats.org/officeDocument/2006/relationships/hyperlink" Target="https://unfccc.int/sites/default/files/NDC/2022-06/Thailand%20Updated%20NDC.pdf" TargetMode="External"/><Relationship Id="rId461" Type="http://schemas.openxmlformats.org/officeDocument/2006/relationships/hyperlink" Target="https://unfccc.int/sites/default/files/LV-03-06-EU%20INDC.pdf" TargetMode="External"/><Relationship Id="rId517" Type="http://schemas.openxmlformats.org/officeDocument/2006/relationships/hyperlink" Target="https://unfccc.int/sites/default/files/2025-03/Provisional%20NDC%20Submission_Zambia_Revised%20and%20Updated_NDC_100325.pdf" TargetMode="External"/><Relationship Id="rId60" Type="http://schemas.openxmlformats.org/officeDocument/2006/relationships/hyperlink" Target="https://unfccc.int/sites/default/files/NDC/2022-06/Cabo%20Verde_NDC%20Update%202021.pdf" TargetMode="External"/><Relationship Id="rId156" Type="http://schemas.openxmlformats.org/officeDocument/2006/relationships/hyperlink" Target="https://unfccc.int/sites/default/files/NDC/2022-06/Kenya's%20First%20%20NDC%20(updated%20version).pdf" TargetMode="External"/><Relationship Id="rId198" Type="http://schemas.openxmlformats.org/officeDocument/2006/relationships/hyperlink" Target="https://unfccc.int/sites/default/files/NDC/2022-06/MOZ_INDC_Final_Version.pdf" TargetMode="External"/><Relationship Id="rId321" Type="http://schemas.openxmlformats.org/officeDocument/2006/relationships/hyperlink" Target="https://unfccc.int/sites/default/files/NDC/2022-06/TANZANIA_NDC_SUBMISSION_30%20JULY%202021.pdf" TargetMode="External"/><Relationship Id="rId363" Type="http://schemas.openxmlformats.org/officeDocument/2006/relationships/hyperlink" Target="https://unfccc.int/sites/default/files/resource/LTS1_Latvia.pdf" TargetMode="External"/><Relationship Id="rId419" Type="http://schemas.openxmlformats.org/officeDocument/2006/relationships/hyperlink" Target="https://unfccc.int/sites/default/files/NDC/2024-01/FINAL%20UPDATED%20NAMIBIA%20NDC%202023.pdf" TargetMode="External"/><Relationship Id="rId223" Type="http://schemas.openxmlformats.org/officeDocument/2006/relationships/hyperlink" Target="https://unfccc.int/sites/default/files/NDC/2022-06/Pak-INDC.pdf" TargetMode="External"/><Relationship Id="rId430" Type="http://schemas.openxmlformats.org/officeDocument/2006/relationships/hyperlink" Target="https://unfccc.int/sites/default/files/NDC/2022-06/Iraq%20NDC%20Document.docx" TargetMode="External"/><Relationship Id="rId18" Type="http://schemas.openxmlformats.org/officeDocument/2006/relationships/hyperlink" Target="https://unfccc.int/sites/default/files/NDC/2022-06/INDC%20Angola%20deposito.pdf" TargetMode="External"/><Relationship Id="rId265" Type="http://schemas.openxmlformats.org/officeDocument/2006/relationships/hyperlink" Target="https://unfccc.int/sites/default/files/NDC/2022-06/Republic_of_Serbia.pdf" TargetMode="External"/><Relationship Id="rId472" Type="http://schemas.openxmlformats.org/officeDocument/2006/relationships/hyperlink" Target="https://unfccc.int/sites/default/files/LV-03-06-EU%20INDC.pdf" TargetMode="External"/><Relationship Id="rId125" Type="http://schemas.openxmlformats.org/officeDocument/2006/relationships/hyperlink" Target="https://unfccc.int/sites/default/files/NDC/2022-06/Contribuci%C3%B3n%20Nacionalmente%20Determinada%20Guatemala.pdf" TargetMode="External"/><Relationship Id="rId167" Type="http://schemas.openxmlformats.org/officeDocument/2006/relationships/hyperlink" Target="https://unfccc.int/sites/default/files/NDC/2022-06/INDC%20Final%20Submission%20Sept%2030%202015%20Liberia.pdf" TargetMode="External"/><Relationship Id="rId332" Type="http://schemas.openxmlformats.org/officeDocument/2006/relationships/hyperlink" Target="https://unfccc.int/sites/default/files/NDC/2022-06/Primera%20%20NDC%20Venezuela.pdf" TargetMode="External"/><Relationship Id="rId374" Type="http://schemas.openxmlformats.org/officeDocument/2006/relationships/hyperlink" Target="https://unfccc.int/sites/default/files/resource/LTS1_Norway_Oct2020.pdf" TargetMode="External"/><Relationship Id="rId71" Type="http://schemas.openxmlformats.org/officeDocument/2006/relationships/hyperlink" Target="https://unfccc.int/sites/default/files/NDC/2022-06/INDC%20Chile%20english%20version.pdf" TargetMode="External"/><Relationship Id="rId234" Type="http://schemas.openxmlformats.org/officeDocument/2006/relationships/hyperlink" Target="https://unfccc.int/sites/default/files/NDC/2022-06/iNDC%20Per%C3%BA%20english.pdf" TargetMode="External"/><Relationship Id="rId2" Type="http://schemas.openxmlformats.org/officeDocument/2006/relationships/hyperlink" Target="https://unfccc.int/sites/default/files/resource/Strategy%20of%20Socio-Economic%20Development%20of%20the%20Russian%20Federation%20with%20Low%20GHG%20Emissions%20EN.pdf" TargetMode="External"/><Relationship Id="rId29" Type="http://schemas.openxmlformats.org/officeDocument/2006/relationships/hyperlink" Target="https://unfccc.int/sites/default/files/NDC/2022-06/INDC%20Azerbaijan.pdf" TargetMode="External"/><Relationship Id="rId276" Type="http://schemas.openxmlformats.org/officeDocument/2006/relationships/hyperlink" Target="https://unfccc.int/sites/default/files/NDC/2022-06/Final%20Updated%20NDC%20for%20Somalia%202021.pdf" TargetMode="External"/><Relationship Id="rId441" Type="http://schemas.openxmlformats.org/officeDocument/2006/relationships/hyperlink" Target="https://unfccc.int/sites/default/files/NDC/2023-10/ES-2023-10-17%20EU%20submission%20NDC%20update.pdf" TargetMode="External"/><Relationship Id="rId483" Type="http://schemas.openxmlformats.org/officeDocument/2006/relationships/hyperlink" Target="https://unfccc.int/sites/default/files/LV-03-06-EU%20INDC.pdf" TargetMode="External"/><Relationship Id="rId40" Type="http://schemas.openxmlformats.org/officeDocument/2006/relationships/hyperlink" Target="https://unfccc.int/sites/default/files/NDC/2022-06/BELIZE%27s%20%20NDC.pdf" TargetMode="External"/><Relationship Id="rId136" Type="http://schemas.openxmlformats.org/officeDocument/2006/relationships/hyperlink" Target="https://unfccc.int/sites/default/files/NDC/2022-06/INDC-ICELAND.pdf" TargetMode="External"/><Relationship Id="rId178" Type="http://schemas.openxmlformats.org/officeDocument/2006/relationships/hyperlink" Target="https://unfccc.int/sites/default/files/NDC/2022-06/MALI%20First%20NDC%20update.pdf" TargetMode="External"/><Relationship Id="rId301" Type="http://schemas.openxmlformats.org/officeDocument/2006/relationships/hyperlink" Target="https://unfccc.int/sites/default/files/NDC/2022-06/Tonga%20INDC.pdf" TargetMode="External"/><Relationship Id="rId343" Type="http://schemas.openxmlformats.org/officeDocument/2006/relationships/hyperlink" Target="https://unfccc.int/sites/default/files/resource/LTS1_Austria.pdf" TargetMode="External"/><Relationship Id="rId82" Type="http://schemas.openxmlformats.org/officeDocument/2006/relationships/hyperlink" Target="https://unfccc.int/sites/default/files/NDC/2022-06/INDC%20Costa%20Rica%20Version%202%200%20final%20ENG.pdf" TargetMode="External"/><Relationship Id="rId203" Type="http://schemas.openxmlformats.org/officeDocument/2006/relationships/hyperlink" Target="https://unfccc.int/sites/default/files/NDC/2022-06/Namibia's%20Updated%20NDC_%20FINAL%2025%20July%202021.pdf" TargetMode="External"/><Relationship Id="rId385" Type="http://schemas.openxmlformats.org/officeDocument/2006/relationships/hyperlink" Target="https://unfccc.int/sites/default/files/resource/TON_LTS_Nov2021.pdf" TargetMode="External"/><Relationship Id="rId245" Type="http://schemas.openxmlformats.org/officeDocument/2006/relationships/hyperlink" Target="https://unfccc.int/sites/default/files/NDC/2022-06/MD_Updated_NDC_final_version_EN.pdf" TargetMode="External"/><Relationship Id="rId287" Type="http://schemas.openxmlformats.org/officeDocument/2006/relationships/hyperlink" Target="https://unfccc.int/sites/default/files/NDC/2022-06/Suriname%20First%20NDC.pdf" TargetMode="External"/><Relationship Id="rId410" Type="http://schemas.openxmlformats.org/officeDocument/2006/relationships/hyperlink" Target="https://unfccc.int/sites/default/files/NDC/2023-02/Tuvalus%20Updated%20NDC%20for%20UNFCCC%20Submission.pdf" TargetMode="External"/><Relationship Id="rId452" Type="http://schemas.openxmlformats.org/officeDocument/2006/relationships/hyperlink" Target="https://unfccc.int/sites/default/files/NDC/2023-10/ES-2023-10-17%20EU%20submission%20NDC%20update.pdf" TargetMode="External"/><Relationship Id="rId494" Type="http://schemas.openxmlformats.org/officeDocument/2006/relationships/hyperlink" Target="https://www.climatewatchdata.org/net-zero-tracker?showEUCountries=true" TargetMode="External"/><Relationship Id="rId508" Type="http://schemas.openxmlformats.org/officeDocument/2006/relationships/hyperlink" Target="https://unfccc.int/sites/default/files/2025-01/Switzerland%20second%20NDC%202031-2035.pdf" TargetMode="External"/><Relationship Id="rId105" Type="http://schemas.openxmlformats.org/officeDocument/2006/relationships/hyperlink" Target="https://unfccc.int/sites/default/files/NDC/2022-06/NRC%20Eritrea.pdf" TargetMode="External"/><Relationship Id="rId147" Type="http://schemas.openxmlformats.org/officeDocument/2006/relationships/hyperlink" Target="https://unfccc.int/sites/default/files/NDC/2022-06/Updated%20NDC%20Jamaica%20-%20ICTU%20Guidance.pdf" TargetMode="External"/><Relationship Id="rId312" Type="http://schemas.openxmlformats.org/officeDocument/2006/relationships/hyperlink" Target="https://unfccc.int/sites/default/files/NDC/2022-09/Updated%20NDC%20_Uganda_2022%20Final.pdf" TargetMode="External"/><Relationship Id="rId354" Type="http://schemas.openxmlformats.org/officeDocument/2006/relationships/hyperlink" Target="https://unfccc.int/sites/default/files/resource/en_SNBC-2_complete.pdf" TargetMode="External"/><Relationship Id="rId51" Type="http://schemas.openxmlformats.org/officeDocument/2006/relationships/hyperlink" Target="https://unfccc.int/sites/default/files/resource/LTS%20Full%20Draft_Final%20version_oct31.pdf" TargetMode="External"/><Relationship Id="rId93" Type="http://schemas.openxmlformats.org/officeDocument/2006/relationships/hyperlink" Target="https://unfccc.int/sites/default/files/NDC/2022-06/Commonwealth%20of%20Dominica-%20Intended%20Nationally%20Determined%20Contributions%20%28INDC%29.pdf" TargetMode="External"/><Relationship Id="rId189" Type="http://schemas.openxmlformats.org/officeDocument/2006/relationships/hyperlink" Target="https://unfccc.int/sites/default/files/NDC/2022-10/Updated%20NDC%20of%20the%20MICRONESIA.pdf" TargetMode="External"/><Relationship Id="rId396" Type="http://schemas.openxmlformats.org/officeDocument/2006/relationships/hyperlink" Target="https://unfccc.int/sites/default/files/NDC/2022-06/Submission_Republic_of_Macedonia_20150805144001_135181.pdf" TargetMode="External"/><Relationship Id="rId214" Type="http://schemas.openxmlformats.org/officeDocument/2006/relationships/hyperlink" Target="https://unfccc.int/sites/default/files/NDC/2022-06/CDN_Niger_R%C3%A9vis%C3%A9e_2021.pdf" TargetMode="External"/><Relationship Id="rId256" Type="http://schemas.openxmlformats.org/officeDocument/2006/relationships/hyperlink" Target="https://unfccc.int/sites/default/files/NDC/2022-06/Samoa%20INDC_Submission%20to%20UNFCCC.pdf" TargetMode="External"/><Relationship Id="rId298" Type="http://schemas.openxmlformats.org/officeDocument/2006/relationships/hyperlink" Target="https://unfccc.int/sites/default/files/NDC/2022-06/INDC%20Togo_english%20version.pdf" TargetMode="External"/><Relationship Id="rId421" Type="http://schemas.openxmlformats.org/officeDocument/2006/relationships/hyperlink" Target="https://unfccc.int/sites/default/files/resource/UAE_LTLEDS.pdf?download" TargetMode="External"/><Relationship Id="rId463" Type="http://schemas.openxmlformats.org/officeDocument/2006/relationships/hyperlink" Target="https://unfccc.int/sites/default/files/LV-03-06-EU%20INDC.pdf" TargetMode="External"/><Relationship Id="rId519" Type="http://schemas.openxmlformats.org/officeDocument/2006/relationships/vmlDrawing" Target="../drawings/vmlDrawing2.vml"/><Relationship Id="rId116" Type="http://schemas.openxmlformats.org/officeDocument/2006/relationships/hyperlink" Target="https://unfccc.int/sites/default/files/NDC/2022-06/The%20INDC%20OF%20THE%20GAMBIA.pdf" TargetMode="External"/><Relationship Id="rId158" Type="http://schemas.openxmlformats.org/officeDocument/2006/relationships/hyperlink" Target="https://unfccc.int/sites/default/files/NDC/2022-06/Kuwait%20First%20NDC_English.pdf" TargetMode="External"/><Relationship Id="rId323" Type="http://schemas.openxmlformats.org/officeDocument/2006/relationships/hyperlink" Target="https://unfccc.int/sites/default/files/NDC/2022-06/United%20States%20NDC%20April%2021%202021%20Final.pdf" TargetMode="External"/><Relationship Id="rId20" Type="http://schemas.openxmlformats.org/officeDocument/2006/relationships/hyperlink" Target="https://unfccc.int/sites/default/files/NDC/2022-06/Antigua%20and%20Barbuda%20First.pdf" TargetMode="External"/><Relationship Id="rId62" Type="http://schemas.openxmlformats.org/officeDocument/2006/relationships/hyperlink" Target="https://unfccc.int/sites/default/files/NDC/2022-06/20201231_NDC_Update_Cambodia.pdf" TargetMode="External"/><Relationship Id="rId365" Type="http://schemas.openxmlformats.org/officeDocument/2006/relationships/hyperlink" Target="https://unfccc.int/sites/default/files/resource/LUX_LTS_2021.pdf" TargetMode="External"/><Relationship Id="rId225" Type="http://schemas.openxmlformats.org/officeDocument/2006/relationships/hyperlink" Target="https://unfccc.int/sites/default/files/NDC/2022-06/Abridged%20Version%20of%20Updated%20Pakistan%20NDCs.docx" TargetMode="External"/><Relationship Id="rId267" Type="http://schemas.openxmlformats.org/officeDocument/2006/relationships/hyperlink" Target="https://unfccc.int/sites/default/files/NDC/2022-06/INDC%20of%20Seychelles.pdf" TargetMode="External"/><Relationship Id="rId432" Type="http://schemas.openxmlformats.org/officeDocument/2006/relationships/hyperlink" Target="https://unfccc.int/sites/default/files/NDC/2023-10/ES-2023-10-17%20EU%20submission%20NDC%20update.pdf" TargetMode="External"/><Relationship Id="rId474" Type="http://schemas.openxmlformats.org/officeDocument/2006/relationships/hyperlink" Target="https://unfccc.int/sites/default/files/LV-03-06-EU%20INDC.pdf" TargetMode="External"/><Relationship Id="rId127" Type="http://schemas.openxmlformats.org/officeDocument/2006/relationships/hyperlink" Target="https://unfccc.int/sites/default/files/NDC/2022-06/INDC_Guinea_english_version%20UNFCCC.pdf" TargetMode="External"/><Relationship Id="rId31" Type="http://schemas.openxmlformats.org/officeDocument/2006/relationships/hyperlink" Target="https://unfccc.int/sites/default/files/NDC/2022-11/Bahamas%20Updated%20Nationally%20Determined%20Contributio" TargetMode="External"/><Relationship Id="rId73" Type="http://schemas.openxmlformats.org/officeDocument/2006/relationships/hyperlink" Target="https://unfccc.int/sites/default/files/NDC/2022-06/China%27s%20First%20NDC%20Submission.pdf" TargetMode="External"/><Relationship Id="rId169" Type="http://schemas.openxmlformats.org/officeDocument/2006/relationships/hyperlink" Target="https://unfccc.int/sites/default/files/NDC/2022-06/150422_INDC_FL.pdf" TargetMode="External"/><Relationship Id="rId334" Type="http://schemas.openxmlformats.org/officeDocument/2006/relationships/hyperlink" Target="https://unfccc.int/sites/default/files/NDC/2022-06/VIETNAM%27S%20INDC.pdf" TargetMode="External"/><Relationship Id="rId376" Type="http://schemas.openxmlformats.org/officeDocument/2006/relationships/hyperlink" Target="https://unfccc.int/sites/default/files/resource/LTS1_RKorea.pdf" TargetMode="External"/><Relationship Id="rId4" Type="http://schemas.openxmlformats.org/officeDocument/2006/relationships/hyperlink" Target="https://unfccc.int/sites/default/files/resource/Long_Term_Climate_Change_Strategy_of_The_Gambia_Final.pdf" TargetMode="External"/><Relationship Id="rId180" Type="http://schemas.openxmlformats.org/officeDocument/2006/relationships/hyperlink" Target="https://unfccc.int/sites/default/files/NDC/2022-06/20181122%20Marshall%20Islands%20NDC%20to%20UNFCCC%2022%20November%202018%20FINAL.pdf" TargetMode="External"/><Relationship Id="rId236" Type="http://schemas.openxmlformats.org/officeDocument/2006/relationships/hyperlink" Target="https://unfccc.int/sites/default/files/NDC/2022-06/Philippines%20-%20NDC.pdf" TargetMode="External"/><Relationship Id="rId278" Type="http://schemas.openxmlformats.org/officeDocument/2006/relationships/hyperlink" Target="https://unfccc.int/sites/default/files/NDC/2022-06/South%20Africa%20updated%20first%20NDC%20September%202021.pdf" TargetMode="External"/><Relationship Id="rId401" Type="http://schemas.openxmlformats.org/officeDocument/2006/relationships/hyperlink" Target="https://unfccc.int/sites/default/files/NDC/2023-06/Egypts%20Updated%20First%20Nationally%20Determined%20Contribution%202030%20%28Second%20Update%29.pdf" TargetMode="External"/><Relationship Id="rId443" Type="http://schemas.openxmlformats.org/officeDocument/2006/relationships/hyperlink" Target="https://unfccc.int/sites/default/files/NDC/2023-10/ES-2023-10-17%20EU%20submission%20NDC%20update.pdf" TargetMode="External"/><Relationship Id="rId303" Type="http://schemas.openxmlformats.org/officeDocument/2006/relationships/hyperlink" Target="https://unfccc.int/sites/default/files/resource/Strat%C3%A9gie%20de%20d%C3%A9veloppement%20neutre%20en%20carbone%20et%20r%C3%A9silient%20-%20Tunisie.pdf" TargetMode="External"/><Relationship Id="rId485" Type="http://schemas.openxmlformats.org/officeDocument/2006/relationships/hyperlink" Target="https://unfccc.int/sites/default/files/LV-03-06-EU%20INDC.pdf" TargetMode="External"/><Relationship Id="rId42" Type="http://schemas.openxmlformats.org/officeDocument/2006/relationships/hyperlink" Target="https://unfccc.int/sites/default/files/NDC/2022-06/CDN_BENIN_VERSION%20FINALE.pdf" TargetMode="External"/><Relationship Id="rId84" Type="http://schemas.openxmlformats.org/officeDocument/2006/relationships/hyperlink" Target="https://unfccc.int/sites/default/files/NDC/2022-06/INDC_CI_22092015.pdf" TargetMode="External"/><Relationship Id="rId138" Type="http://schemas.openxmlformats.org/officeDocument/2006/relationships/hyperlink" Target="https://unfccc.int/sites/default/files/NDC/2022-06/INDIA%20INDC%20TO%20UNFCCC.pdf" TargetMode="External"/><Relationship Id="rId345" Type="http://schemas.openxmlformats.org/officeDocument/2006/relationships/hyperlink" Target="https://unfccc.int/files/focus/long-term_strategies/application/pdf/benin_long-term_strategy.pdf" TargetMode="External"/><Relationship Id="rId387" Type="http://schemas.openxmlformats.org/officeDocument/2006/relationships/hyperlink" Target="https://unfccc.int/sites/default/files/resource/clean-growth-strategy-amended-april-2018.pdf" TargetMode="External"/><Relationship Id="rId510" Type="http://schemas.openxmlformats.org/officeDocument/2006/relationships/hyperlink" Target="https://unfccc.int/sites/default/files/2024-12/United%20States%202035%20NDC.pdf" TargetMode="External"/><Relationship Id="rId191" Type="http://schemas.openxmlformats.org/officeDocument/2006/relationships/hyperlink" Target="https://unfccc.int/sites/default/files/NDC/2022-06/Monaco_NDC_2020.pdf" TargetMode="External"/><Relationship Id="rId205" Type="http://schemas.openxmlformats.org/officeDocument/2006/relationships/hyperlink" Target="https://unfccc.int/sites/default/files/NDC/2022-06/Nauru%20Updated%20NDC%20pdf.pdf" TargetMode="External"/><Relationship Id="rId247" Type="http://schemas.openxmlformats.org/officeDocument/2006/relationships/hyperlink" Target="https://unfccc.int/sites/default/files/NDC/2022-06/NDC_RF_eng.pdf" TargetMode="External"/><Relationship Id="rId412" Type="http://schemas.openxmlformats.org/officeDocument/2006/relationships/hyperlink" Target="https://unfccc.int/sites/default/files/resource/SriLanka_LTLEDS.pdf" TargetMode="External"/><Relationship Id="rId107" Type="http://schemas.openxmlformats.org/officeDocument/2006/relationships/hyperlink" Target="https://unfccc.int/sites/default/files/NDC/2022-06/Eswatini's%20Revised%20NDC%2012%20Oct%202021.docx" TargetMode="External"/><Relationship Id="rId289" Type="http://schemas.openxmlformats.org/officeDocument/2006/relationships/hyperlink" Target="https://unfccc.int/sites/default/files/NDC/2022-06/Switzerland_Full%20NDC%20Communication%202021-2030%20incl%20ICTU.pdf" TargetMode="External"/><Relationship Id="rId454" Type="http://schemas.openxmlformats.org/officeDocument/2006/relationships/hyperlink" Target="https://unfccc.int/sites/default/files/NDC/2023-10/ES-2023-10-17%20EU%20submission%20NDC%20update.pdf" TargetMode="External"/><Relationship Id="rId496" Type="http://schemas.openxmlformats.org/officeDocument/2006/relationships/hyperlink" Target="https://www.climatewatchdata.org/net-zero-tracker?showEUCountries=true" TargetMode="External"/><Relationship Id="rId11" Type="http://schemas.openxmlformats.org/officeDocument/2006/relationships/hyperlink" Target="http://www.legislation.govt.nz/act/public/2019/0061/latest/LMS183736.html" TargetMode="External"/><Relationship Id="rId53" Type="http://schemas.openxmlformats.org/officeDocument/2006/relationships/hyperlink" Target="https://www4.unfccc.int/sites/submissions/INDC/Published%20Documents/Brunei/1/Brunei%20Darussalam%20INDC_FINAL_30%20November%202015.pdf" TargetMode="External"/><Relationship Id="rId149" Type="http://schemas.openxmlformats.org/officeDocument/2006/relationships/hyperlink" Target="https://unfccc.int/sites/default/files/NDC/2022-06/SUBMISSION%20OF%20JAPAN'S%20NATIONALLY%20DETERMINED%20CONTRIBUTION%20(NDC).PDF" TargetMode="External"/><Relationship Id="rId314" Type="http://schemas.openxmlformats.org/officeDocument/2006/relationships/hyperlink" Target="https://unfccc.int/sites/default/files/NDC/2022-06/Ukraine%20NDC_July%2031.pdf" TargetMode="External"/><Relationship Id="rId356" Type="http://schemas.openxmlformats.org/officeDocument/2006/relationships/hyperlink" Target="https://unfccc.int/sites/default/files/resource/LTS1_Guatemala.pdf" TargetMode="External"/><Relationship Id="rId398" Type="http://schemas.openxmlformats.org/officeDocument/2006/relationships/hyperlink" Target="https://unfccc.int/sites/default/files/NDC/2022-06/Updated_NDC_of_Bangladesh.pdf" TargetMode="External"/><Relationship Id="rId521" Type="http://schemas.openxmlformats.org/officeDocument/2006/relationships/comments" Target="../comments2.xml"/><Relationship Id="rId95" Type="http://schemas.openxmlformats.org/officeDocument/2006/relationships/hyperlink" Target="https://unfccc.int/sites/default/files/NDC/2022-06/INDC-RD%20Agosto%202015%20%28espa%C3%B1ol%29.pdf" TargetMode="External"/><Relationship Id="rId160" Type="http://schemas.openxmlformats.org/officeDocument/2006/relationships/hyperlink" Target="https://unfccc.int/sites/default/files/NDC/2022-06/Kyrgyzstan%20INDC%20_ENG_%20final.pdf" TargetMode="External"/><Relationship Id="rId216" Type="http://schemas.openxmlformats.org/officeDocument/2006/relationships/hyperlink" Target="https://unfccc.int/sites/default/files/NDC/2022-06/NDC%20INTERIM%20REPORT%20SUBMISSION%20-%20NIGERIA.pdf" TargetMode="External"/><Relationship Id="rId423" Type="http://schemas.openxmlformats.org/officeDocument/2006/relationships/hyperlink" Target="https://unfccc.int/sites/default/files/resource/UNDP%20LT_LEDS_ARMENIA.pdf" TargetMode="External"/><Relationship Id="rId258" Type="http://schemas.openxmlformats.org/officeDocument/2006/relationships/hyperlink" Target="https://unfccc.int/sites/default/files/NDC/2022-06/SAN%20MARINO%20INDC%20EN.pdf" TargetMode="External"/><Relationship Id="rId465" Type="http://schemas.openxmlformats.org/officeDocument/2006/relationships/hyperlink" Target="https://unfccc.int/sites/default/files/LV-03-06-EU%20INDC.pdf" TargetMode="External"/><Relationship Id="rId22" Type="http://schemas.openxmlformats.org/officeDocument/2006/relationships/hyperlink" Target="https://unfccc.int/sites/default/files/17112016%20NDC%20Revisada%202016.pdf" TargetMode="External"/><Relationship Id="rId64" Type="http://schemas.openxmlformats.org/officeDocument/2006/relationships/hyperlink" Target="https://unfccc.int/sites/default/files/NDC/2022-06/CDN%20r%C3%A9vis%C3%A9e%20CMR%20finale%20sept%202021.pdf" TargetMode="External"/><Relationship Id="rId118" Type="http://schemas.openxmlformats.org/officeDocument/2006/relationships/hyperlink" Target="https://unfccc.int/sites/default/files/NDC/2022-06/NDC%20Georgia_ENG%20WEB-approved.pdf" TargetMode="External"/><Relationship Id="rId325" Type="http://schemas.openxmlformats.org/officeDocument/2006/relationships/hyperlink" Target="https://unfccc.int/sites/default/files/NDC/2022-11/Viet%20Nam%20NDC%202022%20Update.pdf" TargetMode="External"/><Relationship Id="rId367" Type="http://schemas.openxmlformats.org/officeDocument/2006/relationships/hyperlink" Target="https://unfccc.int/sites/default/files/NDC/2022-06/20181122%20Marshall%20Islands%20NDC%20to%20UNFCCC%2022%20November%202018%20FINAL.pdf" TargetMode="External"/><Relationship Id="rId171" Type="http://schemas.openxmlformats.org/officeDocument/2006/relationships/hyperlink" Target="https://unfccc.int/sites/default/files/NDC/2022-06/MALAWI%20INDC%20SUBMITTED%20TO%20UNFCCC%20REV.pdf" TargetMode="External"/><Relationship Id="rId227" Type="http://schemas.openxmlformats.org/officeDocument/2006/relationships/hyperlink" Target="https://unfccc.int/sites/default/files/NDC/2022-06/State%20of%20Palestine%20First%20NDC.pdf" TargetMode="External"/><Relationship Id="rId269" Type="http://schemas.openxmlformats.org/officeDocument/2006/relationships/hyperlink" Target="https://unfccc.int/sites/default/files/NDC/2022-06/SIERRA%20LEONE%20INDC.pdf" TargetMode="External"/><Relationship Id="rId434" Type="http://schemas.openxmlformats.org/officeDocument/2006/relationships/hyperlink" Target="https://unfccc.int/sites/default/files/NDC/2023-10/ES-2023-10-17%20EU%20submission%20NDC%20update.pdf" TargetMode="External"/><Relationship Id="rId476" Type="http://schemas.openxmlformats.org/officeDocument/2006/relationships/hyperlink" Target="https://unfccc.int/sites/default/files/LV-03-06-EU%20INDC.pdf" TargetMode="External"/><Relationship Id="rId33" Type="http://schemas.openxmlformats.org/officeDocument/2006/relationships/hyperlink" Target="https://unfccc.int/sites/default/files/NDC/2022-06/NDC%20of%20the%20Kingdom%20of%20Bahrain%20under%20UNFCCC.pdf" TargetMode="External"/><Relationship Id="rId129" Type="http://schemas.openxmlformats.org/officeDocument/2006/relationships/hyperlink" Target="https://unfccc.int/sites/default/files/NDC/2022-06/GUINEA-BISSAU_INDC_Version%20to%20the%20UNFCCC%20%28eng%29.pdf" TargetMode="External"/><Relationship Id="rId280" Type="http://schemas.openxmlformats.org/officeDocument/2006/relationships/hyperlink" Target="https://unfccc.int/sites/default/files/NDC/2022-06/South%20Sudan%20Intended%20Nationally%20Determined%20%20%20%20Contribution.pdf" TargetMode="External"/><Relationship Id="rId336" Type="http://schemas.openxmlformats.org/officeDocument/2006/relationships/hyperlink" Target="https://www4.unfccc.int/sites/submissions/INDC/Published%20Documents/Yemen/1/Yemen%20INDC%2021%20Nov.%202015.pdf" TargetMode="External"/><Relationship Id="rId501" Type="http://schemas.openxmlformats.org/officeDocument/2006/relationships/hyperlink" Target="https://unfccc.int/sites/default/files/NDC/2024-06/Segunda%20Contribuci%C3%B3n%20Determinada%20a%20Nivel%20Nacional_CDN2.pdf" TargetMode="External"/><Relationship Id="rId75" Type="http://schemas.openxmlformats.org/officeDocument/2006/relationships/hyperlink" Target="https://unfccc.int/sites/default/files/NDC/2022-06/Colombia%20iNDC%20Unofficial%20translation%20Eng.pdf" TargetMode="External"/><Relationship Id="rId140" Type="http://schemas.openxmlformats.org/officeDocument/2006/relationships/hyperlink" Target="https://unfccc.int/sites/default/files/NDC/2022-06/First%20NDC%20Indonesia_submitted%20to%20UNFCCC%20Set_November%20%202016.pdf" TargetMode="External"/><Relationship Id="rId182" Type="http://schemas.openxmlformats.org/officeDocument/2006/relationships/hyperlink" Target="https://unfccc.int/sites/default/files/NDC/2022-06/CDN-actualis%C3%A9%202021_%20Mauritania.pdf" TargetMode="External"/><Relationship Id="rId378" Type="http://schemas.openxmlformats.org/officeDocument/2006/relationships/hyperlink" Target="https://unfccc.int/sites/default/files/resource/SingaporeLongtermlowemissionsdevelopmentstrategy.pdf" TargetMode="External"/><Relationship Id="rId403" Type="http://schemas.openxmlformats.org/officeDocument/2006/relationships/hyperlink" Target="https://unfccc.int/sites/default/files/NDC/2023-05/Vatican%20City%20State%20NDCs%20-%20May%202023.pdf" TargetMode="External"/><Relationship Id="rId6" Type="http://schemas.openxmlformats.org/officeDocument/2006/relationships/hyperlink" Target="https://unfccc.int/sites/default/files/resource/Thailand%20LT-LEDS%20%28Revised%20Version%29_08Nov2022.pdf" TargetMode="External"/><Relationship Id="rId238" Type="http://schemas.openxmlformats.org/officeDocument/2006/relationships/hyperlink" Target="https://unfccc.int/sites/default/files/NDC/2022-06/Palau_INDC.Final%20Copy.pdf" TargetMode="External"/><Relationship Id="rId445" Type="http://schemas.openxmlformats.org/officeDocument/2006/relationships/hyperlink" Target="https://unfccc.int/sites/default/files/NDC/2023-10/ES-2023-10-17%20EU%20submission%20NDC%20update.pdf" TargetMode="External"/><Relationship Id="rId487" Type="http://schemas.openxmlformats.org/officeDocument/2006/relationships/hyperlink" Target="https://www.climatewatchdata.org/net-zero-tracker?showEUCountries=true" TargetMode="External"/><Relationship Id="rId291" Type="http://schemas.openxmlformats.org/officeDocument/2006/relationships/hyperlink" Target="https://unfccc.int/sites/default/files/NDC/2022-06/FirstNDC-Eng-Syrian%20Arab%20Republic.pdf" TargetMode="External"/><Relationship Id="rId305" Type="http://schemas.openxmlformats.org/officeDocument/2006/relationships/hyperlink" Target="https://unfccc.int/sites/default/files/NDC/2022-06/INDC-Tunisia-English%20Version.pdf" TargetMode="External"/><Relationship Id="rId347" Type="http://schemas.openxmlformats.org/officeDocument/2006/relationships/hyperlink" Target="https://unfccc.int/sites/default/files/resource/CHL_LTS_2021.pdf" TargetMode="External"/><Relationship Id="rId512" Type="http://schemas.openxmlformats.org/officeDocument/2006/relationships/hyperlink" Target="https://unfccc.int/documents/640306" TargetMode="External"/><Relationship Id="rId44" Type="http://schemas.openxmlformats.org/officeDocument/2006/relationships/hyperlink" Target="https://unfccc.int/sites/default/files/NDC/2022-06/Second%20NDC%20Bhutan.pdf" TargetMode="External"/><Relationship Id="rId86" Type="http://schemas.openxmlformats.org/officeDocument/2006/relationships/hyperlink" Target="https://unfccc.int/sites/default/files/NDC/2022-06/Republic%20of%20Cuba-NDCs-Nov2015.pdf" TargetMode="External"/><Relationship Id="rId151" Type="http://schemas.openxmlformats.org/officeDocument/2006/relationships/hyperlink" Target="https://unfccc.int/sites/default/files/NDC/2022-06/JAPAN_FIRST%20NDC%20(UPDATED%20SUBMISSION).pdf" TargetMode="External"/><Relationship Id="rId389" Type="http://schemas.openxmlformats.org/officeDocument/2006/relationships/hyperlink" Target="https://unfccc.int/files/focus/long-term_strategies/application/pdf/mid_century_strategy_report-final_red.pdf" TargetMode="External"/><Relationship Id="rId193" Type="http://schemas.openxmlformats.org/officeDocument/2006/relationships/hyperlink" Target="https://unfccc.int/sites/default/files/NDC/2022-06/First%20Submission%20of%20Mongolia's%20NDC.pdf" TargetMode="External"/><Relationship Id="rId207" Type="http://schemas.openxmlformats.org/officeDocument/2006/relationships/hyperlink" Target="https://unfccc.int/sites/default/files/NDC/2022-06/Second%20Nationally%20Determined%20Contribution%20(NDC)%20-%202020.pdf" TargetMode="External"/><Relationship Id="rId249" Type="http://schemas.openxmlformats.org/officeDocument/2006/relationships/hyperlink" Target="https://unfccc.int/sites/default/files/NDC/2022-06/INDC_Rwanda_Nov.2015.pdf" TargetMode="External"/><Relationship Id="rId414" Type="http://schemas.openxmlformats.org/officeDocument/2006/relationships/hyperlink" Target="https://unfccc.int/sites/default/files/resource/Ireland%20LTS.pdf" TargetMode="External"/><Relationship Id="rId456" Type="http://schemas.openxmlformats.org/officeDocument/2006/relationships/hyperlink" Target="https://unfccc.int/sites/default/files/NDC/2023-10/ES-2023-10-17%20EU%20submission%20NDC%20update.pdf" TargetMode="External"/><Relationship Id="rId498" Type="http://schemas.openxmlformats.org/officeDocument/2006/relationships/hyperlink" Target="https://www.climatewatchdata.org/net-zero-tracker?showEUCountries=true" TargetMode="External"/><Relationship Id="rId13" Type="http://schemas.openxmlformats.org/officeDocument/2006/relationships/hyperlink" Target="https://unfccc.int/sites/default/files/NDC/2022-06/INDC_AFG_20150927_FINAL.pdf" TargetMode="External"/><Relationship Id="rId109" Type="http://schemas.openxmlformats.org/officeDocument/2006/relationships/hyperlink" Target="https://unfccc.int/sites/default/files/NDC/2022-06/Ethiopia's%20updated%20NDC%20JULY%202021%20Submission_.pdf" TargetMode="External"/><Relationship Id="rId260" Type="http://schemas.openxmlformats.org/officeDocument/2006/relationships/hyperlink" Target="https://unfccc.int/sites/default/files/NDC/2022-06/Updated_NDC_STP_2021_EN_.pdf" TargetMode="External"/><Relationship Id="rId316" Type="http://schemas.openxmlformats.org/officeDocument/2006/relationships/hyperlink" Target="https://unfccc.int/sites/default/files/NDC/2022-09/UpdateNDC-EN-2022.pdf" TargetMode="External"/><Relationship Id="rId55" Type="http://schemas.openxmlformats.org/officeDocument/2006/relationships/hyperlink" Target="https://unfccc.int/sites/default/files/NDC/2022-06/INDC%20BURKINA%20FASO%20280915.pdf" TargetMode="External"/><Relationship Id="rId97" Type="http://schemas.openxmlformats.org/officeDocument/2006/relationships/hyperlink" Target="https://unfccc.int/sites/default/files/NDC/2022-06/Primera%20NDC%20Ecuador.pdf" TargetMode="External"/><Relationship Id="rId120" Type="http://schemas.openxmlformats.org/officeDocument/2006/relationships/hyperlink" Target="https://unfccc.int/sites/default/files/NDC/2022-06/Ghana_Transmittal%20Letter_Interim%20Updated%20NDC.pdf" TargetMode="External"/><Relationship Id="rId358" Type="http://schemas.openxmlformats.org/officeDocument/2006/relationships/hyperlink" Target="https://unfccc.int/sites/default/files/resource/Iceland_LTS1_2021.pdf" TargetMode="External"/><Relationship Id="rId162" Type="http://schemas.openxmlformats.org/officeDocument/2006/relationships/hyperlink" Target="https://unfccc.int/sites/default/files/NDC/2022-06/%D0%9E%D0%9D%D0%A3%D0%92%20ENG%20%D0%BE%D1%82%2008102021.pdf" TargetMode="External"/><Relationship Id="rId218" Type="http://schemas.openxmlformats.org/officeDocument/2006/relationships/hyperlink" Target="https://unfccc.int/sites/default/files/NDC/2022-06/Niue%20INDC%20Final.pdf" TargetMode="External"/><Relationship Id="rId425" Type="http://schemas.openxmlformats.org/officeDocument/2006/relationships/hyperlink" Target="https://unfccc.int/sites/default/files/resource/Documento_Vision_LT_LEDs.pdf" TargetMode="External"/><Relationship Id="rId467" Type="http://schemas.openxmlformats.org/officeDocument/2006/relationships/hyperlink" Target="https://unfccc.int/sites/default/files/LV-03-06-EU%20INDC.pdf" TargetMode="External"/><Relationship Id="rId271" Type="http://schemas.openxmlformats.org/officeDocument/2006/relationships/hyperlink" Target="https://unfccc.int/sites/default/files/NDC/2022-06/Singapore%20INDC.pdf" TargetMode="External"/><Relationship Id="rId24" Type="http://schemas.openxmlformats.org/officeDocument/2006/relationships/hyperlink" Target="https://unfccc.int/sites/default/files/NDC/2022-06/NDC%20of%20Republic%20of%20Armenia%20%202021-2030.pdf" TargetMode="External"/><Relationship Id="rId66" Type="http://schemas.openxmlformats.org/officeDocument/2006/relationships/hyperlink" Target="https://unfccc.int/sites/default/files/resource/Canada's%20Mid-Century%20Long-Term%20Low-GHG%20Strategy.pdf" TargetMode="External"/><Relationship Id="rId131" Type="http://schemas.openxmlformats.org/officeDocument/2006/relationships/hyperlink" Target="https://unfccc.int/sites/default/files/NDC/2022-06/Guyana%27s%20revised%20NDC%20-%20Final.pdf" TargetMode="External"/><Relationship Id="rId327" Type="http://schemas.openxmlformats.org/officeDocument/2006/relationships/hyperlink" Target="https://unfccc.int/sites/default/files/NDC/2022-06/INDC%20Uzbekistan%2018-04-2017_Eng.pdf" TargetMode="External"/><Relationship Id="rId369" Type="http://schemas.openxmlformats.org/officeDocument/2006/relationships/hyperlink" Target="https://unfccc.int/sites/default/files/resource/MAR_LTS_Dec2021.pdf" TargetMode="External"/><Relationship Id="rId173" Type="http://schemas.openxmlformats.org/officeDocument/2006/relationships/hyperlink" Target="https://unfccc.int/sites/default/files/NDC/2022-06/INDC%20Malaysia%20Final%2027%20November%202015%20Revised%20Final%20UNFCCC.pdf" TargetMode="External"/><Relationship Id="rId229" Type="http://schemas.openxmlformats.org/officeDocument/2006/relationships/hyperlink" Target="https://unfccc.int/sites/default/files/NDC/2022-06/CDN1%20Actualizada%20Rep%C3%BAblica%20de%20Panam%C3%A1.pdf" TargetMode="External"/><Relationship Id="rId380" Type="http://schemas.openxmlformats.org/officeDocument/2006/relationships/hyperlink" Target="https://unfccc.int/sites/default/files/resource/LTS1_SLOVENIA_EN.pdf" TargetMode="External"/><Relationship Id="rId436" Type="http://schemas.openxmlformats.org/officeDocument/2006/relationships/hyperlink" Target="https://unfccc.int/sites/default/files/NDC/2023-10/ES-2023-10-17%20EU%20submission%20NDC%20update.pdf" TargetMode="External"/><Relationship Id="rId240" Type="http://schemas.openxmlformats.org/officeDocument/2006/relationships/hyperlink" Target="https://unfccc.int/sites/default/files/NDC/2022-06/Qatar%20NDC.pdf" TargetMode="External"/><Relationship Id="rId478" Type="http://schemas.openxmlformats.org/officeDocument/2006/relationships/hyperlink" Target="https://unfccc.int/sites/default/files/LV-03-06-EU%20INDC.pdf" TargetMode="External"/><Relationship Id="rId35" Type="http://schemas.openxmlformats.org/officeDocument/2006/relationships/hyperlink" Target="https://unfccc.int/sites/default/files/NDC/2022-06/NDC_submission_20210826revised.pdf" TargetMode="External"/><Relationship Id="rId77" Type="http://schemas.openxmlformats.org/officeDocument/2006/relationships/hyperlink" Target="https://unfccc.int/sites/default/files/NDC/2022-06/INDC_Comores_Version_Francaise.pdf" TargetMode="External"/><Relationship Id="rId100" Type="http://schemas.openxmlformats.org/officeDocument/2006/relationships/hyperlink" Target="https://unfccc.int/sites/default/files/NDC/2022-07/Egypt%20Updated%20NDC.pdf.pdf" TargetMode="External"/><Relationship Id="rId282" Type="http://schemas.openxmlformats.org/officeDocument/2006/relationships/hyperlink" Target="https://unfccc.int/sites/default/files/NDC/2022-06/NDCs%20of%20Sri%20Lanka-2021.pdf" TargetMode="External"/><Relationship Id="rId338" Type="http://schemas.openxmlformats.org/officeDocument/2006/relationships/hyperlink" Target="https://unfccc.int/sites/default/files/NDC/2022-06/Final%20Zambia_Revised%20and%20Updated_NDC_2021_.pdf" TargetMode="External"/><Relationship Id="rId503" Type="http://schemas.openxmlformats.org/officeDocument/2006/relationships/hyperlink" Target="https://unfccc.int/sites/default/files/2024-11/Switzerlands%20First%20NDC_2021_2030_Update%202024_including%20ICTUs.pdf" TargetMode="External"/><Relationship Id="rId8" Type="http://schemas.openxmlformats.org/officeDocument/2006/relationships/hyperlink" Target="https://unfccc.int/sites/default/files/resource/Estrategia%20de%20desarrollo%20resiliente%20con%20bajas%20emisiones%20a%20largo%20plazo%20a%202050.pdf" TargetMode="External"/><Relationship Id="rId142" Type="http://schemas.openxmlformats.org/officeDocument/2006/relationships/hyperlink" Target="https://unfccc.int/sites/default/files/NDC/2022-09/ENDC%20Indonesia.pdf" TargetMode="External"/><Relationship Id="rId184" Type="http://schemas.openxmlformats.org/officeDocument/2006/relationships/hyperlink" Target="https://unfccc.int/sites/default/files/NDC/2022-06/Final%20Updated%20NDC%20for%20the%20Republic%20of%20Mauritius%2001%20October%202021.docx" TargetMode="External"/><Relationship Id="rId391" Type="http://schemas.openxmlformats.org/officeDocument/2006/relationships/hyperlink" Target="https://unfccc.int/sites/default/files/resource/URY_LTS_Dec2021.pdf" TargetMode="External"/><Relationship Id="rId405" Type="http://schemas.openxmlformats.org/officeDocument/2006/relationships/hyperlink" Target="https://unfccc.int/sites/default/files/resource/Georgia%27s%20LT-LEDS%202023-eng.pdf" TargetMode="External"/><Relationship Id="rId447" Type="http://schemas.openxmlformats.org/officeDocument/2006/relationships/hyperlink" Target="https://unfccc.int/sites/default/files/NDC/2023-10/ES-2023-10-17%20EU%20submission%20NDC%20update.pdf" TargetMode="External"/><Relationship Id="rId251" Type="http://schemas.openxmlformats.org/officeDocument/2006/relationships/hyperlink" Target="https://unfccc.int/sites/default/files/NDC/2022-06/St.%20Kitts%20and%20Nevis%20INDC.pdf" TargetMode="External"/><Relationship Id="rId489" Type="http://schemas.openxmlformats.org/officeDocument/2006/relationships/hyperlink" Target="https://www.climatewatchdata.org/net-zero-tracker?showEUCountries=true" TargetMode="External"/><Relationship Id="rId46" Type="http://schemas.openxmlformats.org/officeDocument/2006/relationships/hyperlink" Target="https://unfccc.int/sites/default/files/NDC/2022-06/NDC_Bolivia-2021-2030_UNFCCC_en.pdf" TargetMode="External"/><Relationship Id="rId293" Type="http://schemas.openxmlformats.org/officeDocument/2006/relationships/hyperlink" Target="https://unfccc.int/sites/default/files/NDC/2022-06/INDC-TJK%20final%20ENG.pdf" TargetMode="External"/><Relationship Id="rId307" Type="http://schemas.openxmlformats.org/officeDocument/2006/relationships/hyperlink" Target="https://unfccc.int/sites/default/files/NDC/2022-06/TUVALU%20INDC.pdf" TargetMode="External"/><Relationship Id="rId349" Type="http://schemas.openxmlformats.org/officeDocument/2006/relationships/hyperlink" Target="https://unfccc.int/sites/default/files/resource/NationalDecarbonizationPlan.pdf" TargetMode="External"/><Relationship Id="rId514" Type="http://schemas.openxmlformats.org/officeDocument/2006/relationships/hyperlink" Target="https://unfccc.int/sites/default/files/2025-01/New%20Zealand%27s%20second%20Nationally%20Determined%20Contribution.pdf" TargetMode="External"/><Relationship Id="rId88" Type="http://schemas.openxmlformats.org/officeDocument/2006/relationships/hyperlink" Target="https://unfccc.int/sites/default/files/NDC/2022-06/CPDN%20-%20R%C3%A9p%20D%C3%A9m%20du%20Congo.pdf" TargetMode="External"/><Relationship Id="rId111" Type="http://schemas.openxmlformats.org/officeDocument/2006/relationships/hyperlink" Target="https://unfccc.int/sites/default/files/NDC/2022-06/EU_NDC_Submission_December%202020.pdf" TargetMode="External"/><Relationship Id="rId153" Type="http://schemas.openxmlformats.org/officeDocument/2006/relationships/hyperlink" Target="https://unfccc.int/sites/default/files/NDC/2022-06/UPDATED%20SUBMISSION%20OF%20JORDANS.pdf" TargetMode="External"/><Relationship Id="rId195" Type="http://schemas.openxmlformats.org/officeDocument/2006/relationships/hyperlink" Target="https://unfccc.int/sites/default/files/NDC/2022-06/Updated%20NDC%20for%20Montenegro.pdf" TargetMode="External"/><Relationship Id="rId209" Type="http://schemas.openxmlformats.org/officeDocument/2006/relationships/hyperlink" Target="https://unfccc.int/sites/default/files/NDC/2022-06/NEW%20ZEALAND%20NDC%20update%2022%2004%202020.pdf" TargetMode="External"/><Relationship Id="rId360" Type="http://schemas.openxmlformats.org/officeDocument/2006/relationships/hyperlink" Target="https://unfccc.int/sites/default/files/resource/Indonesia_LTS-LCCR_2021.pdf" TargetMode="External"/><Relationship Id="rId416" Type="http://schemas.openxmlformats.org/officeDocument/2006/relationships/hyperlink" Target="https://unfccc.int/sites/default/files/NDC/2023-10/Second%20NDC_Azerbaijan_ENG_Final%20%281%29.pdf" TargetMode="External"/><Relationship Id="rId220" Type="http://schemas.openxmlformats.org/officeDocument/2006/relationships/hyperlink" Target="https://unfccc.int/sites/default/files/NDC/2022-06/Norway_updatedNDC_2020%20(Updated%20submission).pdf" TargetMode="External"/><Relationship Id="rId458" Type="http://schemas.openxmlformats.org/officeDocument/2006/relationships/hyperlink" Target="https://unfccc.int/sites/default/files/LV-03-06-EU%20INDC.pdf" TargetMode="External"/><Relationship Id="rId15" Type="http://schemas.openxmlformats.org/officeDocument/2006/relationships/hyperlink" Target="https://unfccc.int/sites/default/files/NDC/2022-06/Alg&#233;rie%20-INDC-%2003%20septembre%202015.pdf" TargetMode="External"/><Relationship Id="rId57" Type="http://schemas.openxmlformats.org/officeDocument/2006/relationships/hyperlink" Target="https://unfccc.int/sites/default/files/NDC/2022-06/CPDN%20BURUNDI.pdf" TargetMode="External"/><Relationship Id="rId262" Type="http://schemas.openxmlformats.org/officeDocument/2006/relationships/hyperlink" Target="https://unfccc.int/sites/default/files/resource/202203111154---KSA%20NDC%202021.pdf" TargetMode="External"/><Relationship Id="rId318" Type="http://schemas.openxmlformats.org/officeDocument/2006/relationships/hyperlink" Target="https://unfccc.int/sites/default/files/NDC/2022-09/UK%20NDC%20ICTU%202022.pdf" TargetMode="External"/><Relationship Id="rId99" Type="http://schemas.openxmlformats.org/officeDocument/2006/relationships/hyperlink" Target="https://unfccc.int/sites/default/files/NDC/2022-06/Egyptian%20INDC.pdf" TargetMode="External"/><Relationship Id="rId122" Type="http://schemas.openxmlformats.org/officeDocument/2006/relationships/hyperlink" Target="https://unfccc.int/sites/default/files/NDC/2022-06/Grenada%20INDC.pdf" TargetMode="External"/><Relationship Id="rId164" Type="http://schemas.openxmlformats.org/officeDocument/2006/relationships/hyperlink" Target="https://unfccc.int/sites/default/files/NDC/2022-06/Republic%20of%20Lebanon%20-%20INDC%20-%20September%202015.pdf" TargetMode="External"/><Relationship Id="rId371" Type="http://schemas.openxmlformats.org/officeDocument/2006/relationships/hyperlink" Target="https://unfccc.int/sites/default/files/resource/LTS1_Netherlands.pdf" TargetMode="External"/><Relationship Id="rId427" Type="http://schemas.openxmlformats.org/officeDocument/2006/relationships/hyperlink" Target="https://cdn.climatepolicyradar.org/navigator/DMA/2020/dominica-climate-resilience-and-recovery-plan-2020-2030_6be7778ae868a2a1e7bd2e46e1e94a19.pdf" TargetMode="External"/><Relationship Id="rId469" Type="http://schemas.openxmlformats.org/officeDocument/2006/relationships/hyperlink" Target="https://unfccc.int/sites/default/files/LV-03-06-EU%20INDC.pdf" TargetMode="External"/><Relationship Id="rId26" Type="http://schemas.openxmlformats.org/officeDocument/2006/relationships/hyperlink" Target="https://unfccc.int/sites/default/files/NDC/2022-06/Australia%20NDC%20recommunication%20FINAL.PDF" TargetMode="External"/><Relationship Id="rId231" Type="http://schemas.openxmlformats.org/officeDocument/2006/relationships/hyperlink" Target="https://unfccc.int/sites/default/files/NDC/2022-06/PNG%20Second%20NDC.pdf" TargetMode="External"/><Relationship Id="rId273" Type="http://schemas.openxmlformats.org/officeDocument/2006/relationships/hyperlink" Target="https://unfccc.int/sites/default/files/NDC/2022-06/SOLOMON%20ISLANDS%20INDC.pdf" TargetMode="External"/><Relationship Id="rId329" Type="http://schemas.openxmlformats.org/officeDocument/2006/relationships/hyperlink" Target="https://unfccc.int/sites/default/files/NDC/2022-06/VANUATU%20%20INDC%20UNFCCC%20Submission.pdf" TargetMode="External"/><Relationship Id="rId480" Type="http://schemas.openxmlformats.org/officeDocument/2006/relationships/hyperlink" Target="https://unfccc.int/sites/default/files/LV-03-06-EU%20INDC.pdf" TargetMode="External"/><Relationship Id="rId68" Type="http://schemas.openxmlformats.org/officeDocument/2006/relationships/hyperlink" Target="https://unfccc.int/sites/default/files/NDC/2022-06/CDN%20Revis%C3%A9e%20RCA.pdf" TargetMode="External"/><Relationship Id="rId133" Type="http://schemas.openxmlformats.org/officeDocument/2006/relationships/hyperlink" Target="https://unfccc.int/sites/default/files/NDC/2022-06/CDN%20Revisee%20Haiti%202022.pdf" TargetMode="External"/><Relationship Id="rId175" Type="http://schemas.openxmlformats.org/officeDocument/2006/relationships/hyperlink" Target="https://unfccc.int/sites/default/files/NDC/2022-06/Maldives%20INDC.pdf" TargetMode="External"/><Relationship Id="rId340" Type="http://schemas.openxmlformats.org/officeDocument/2006/relationships/hyperlink" Target="https://unfccc.int/sites/default/files/NDC/2022-06/Zimbabwe%20Revised%20Nationally%20Determined%20Contribution%202021%20Final.pdf" TargetMode="External"/><Relationship Id="rId200" Type="http://schemas.openxmlformats.org/officeDocument/2006/relationships/hyperlink" Target="https://unfccc.int/sites/default/files/NDC/2022-06/Myanmar%27s%20INDC.pdf" TargetMode="External"/><Relationship Id="rId382" Type="http://schemas.openxmlformats.org/officeDocument/2006/relationships/hyperlink" Target="https://unfccc.int/sites/default/files/resource/LTS1_Spain_0.pdf" TargetMode="External"/><Relationship Id="rId438" Type="http://schemas.openxmlformats.org/officeDocument/2006/relationships/hyperlink" Target="https://unfccc.int/sites/default/files/NDC/2023-10/ES-2023-10-17%20EU%20submission%20NDC%20update.pdf" TargetMode="External"/><Relationship Id="rId242" Type="http://schemas.openxmlformats.org/officeDocument/2006/relationships/hyperlink" Target="https://unfccc.int/sites/default/files/NDC/2022-06/201230_ROK's%20Update%20of%20its%20First%20NDC_editorial%20change.pdf" TargetMode="External"/><Relationship Id="rId284" Type="http://schemas.openxmlformats.org/officeDocument/2006/relationships/hyperlink" Target="https://unfccc.int/sites/default/files/NDC/2022-06/NDCs%20of%20Sri%20Lanka.pdf" TargetMode="External"/><Relationship Id="rId491" Type="http://schemas.openxmlformats.org/officeDocument/2006/relationships/hyperlink" Target="https://www.climatewatchdata.org/net-zero-tracker?showEUCountries=true" TargetMode="External"/><Relationship Id="rId505" Type="http://schemas.openxmlformats.org/officeDocument/2006/relationships/hyperlink" Target="https://unfccc.int/sites/default/files/resource/Carbon_Neutrlaity_Strategy_Kazakhstan_Eng_Oct2024.pdf" TargetMode="External"/><Relationship Id="rId37" Type="http://schemas.openxmlformats.org/officeDocument/2006/relationships/hyperlink" Target="https://unfccc.int/sites/default/files/NDC/2022-06/2021%20Barbados%20NDC%20update%20-%2021%20July%202021.pdf" TargetMode="External"/><Relationship Id="rId79" Type="http://schemas.openxmlformats.org/officeDocument/2006/relationships/hyperlink" Target="https://unfccc.int/sites/default/files/NDC/2022-06/NDC_Congo_RAPPORT.pdf" TargetMode="External"/><Relationship Id="rId102" Type="http://schemas.openxmlformats.org/officeDocument/2006/relationships/hyperlink" Target="https://unfccc.int/sites/default/files/NDC/2022-06/El%20Salvador%20NDC-%20Updated%20Dic.2021.pdf" TargetMode="External"/><Relationship Id="rId144" Type="http://schemas.openxmlformats.org/officeDocument/2006/relationships/hyperlink" Target="https://unfccc.int/sites/default/files/NDC/2022-06/Israel%20INDC.pdf" TargetMode="External"/><Relationship Id="rId90" Type="http://schemas.openxmlformats.org/officeDocument/2006/relationships/hyperlink" Target="https://unfccc.int/sites/default/files/NDC/2022-06/DPRK-INDC%20by%202030.pdf" TargetMode="External"/><Relationship Id="rId186" Type="http://schemas.openxmlformats.org/officeDocument/2006/relationships/hyperlink" Target="https://unfccc.int/sites/default/files/NDC/2022-06/NDC-Eng-Dec30.pdf" TargetMode="External"/><Relationship Id="rId351" Type="http://schemas.openxmlformats.org/officeDocument/2006/relationships/hyperlink" Target="https://unfccc.int/sites/default/files/resource/ClimateProgramme2020-Denmarks-LTS-under-the%20ParisAgreement_December2020_.pdf" TargetMode="External"/><Relationship Id="rId393" Type="http://schemas.openxmlformats.org/officeDocument/2006/relationships/hyperlink" Target="https://unfccc.int/sites/default/files/NDC/2023-01/NDC_Turkmenistan_12-05-2022_approv.%20by%20Decree_Eng.pdf" TargetMode="External"/><Relationship Id="rId407" Type="http://schemas.openxmlformats.org/officeDocument/2006/relationships/hyperlink" Target="https://unfccc.int/sites/default/files/resource/Vanuatu-Low-Emission_v06_RC_LQ_compressed%201.pdf" TargetMode="External"/><Relationship Id="rId449" Type="http://schemas.openxmlformats.org/officeDocument/2006/relationships/hyperlink" Target="https://unfccc.int/sites/default/files/NDC/2023-10/ES-2023-10-17%20EU%20submission%20NDC%20update.pdf" TargetMode="External"/><Relationship Id="rId211" Type="http://schemas.openxmlformats.org/officeDocument/2006/relationships/hyperlink" Target="https://unfccc.int/sites/default/files/NDC/2022-06/Contribucion%20Nacionalmente%20Determinada%20Nicaragua.pdf" TargetMode="External"/><Relationship Id="rId253" Type="http://schemas.openxmlformats.org/officeDocument/2006/relationships/hyperlink" Target="https://unfccc.int/sites/default/files/Saint%20Lucia%20INDC%2018th%20November%202015.pdf" TargetMode="External"/><Relationship Id="rId295" Type="http://schemas.openxmlformats.org/officeDocument/2006/relationships/hyperlink" Target="https://unfccc.int/sites/default/files/NDC/2022-06/Thailand_INDC.pdf" TargetMode="External"/><Relationship Id="rId309" Type="http://schemas.openxmlformats.org/officeDocument/2006/relationships/hyperlink" Target="https://unfccc.int/sites/default/files/NDC/2022-06/Tunisia%20Update%20NDC-french.pdf" TargetMode="External"/><Relationship Id="rId460" Type="http://schemas.openxmlformats.org/officeDocument/2006/relationships/hyperlink" Target="https://unfccc.int/sites/default/files/LV-03-06-EU%20INDC.pdf" TargetMode="External"/><Relationship Id="rId516" Type="http://schemas.openxmlformats.org/officeDocument/2006/relationships/hyperlink" Target="https://unfccc.int/sites/default/files/2025-02/REPUBLICA%20DE%20CUBA%20CND3.0.pdf" TargetMode="External"/><Relationship Id="rId48" Type="http://schemas.openxmlformats.org/officeDocument/2006/relationships/hyperlink" Target="https://unfccc.int/sites/default/files/NDC/2022-06/NDC%20BiH_November%202020%20FINAL%20DRAFT%2005%20Nov%20ENG%20LR.pdf" TargetMode="External"/><Relationship Id="rId113" Type="http://schemas.openxmlformats.org/officeDocument/2006/relationships/hyperlink" Target="https://unfccc.int/sites/default/files/NDC/2022-06/Republic%20of%20Fiji's%20Updated%20NDC%2020201.pdf" TargetMode="External"/><Relationship Id="rId320" Type="http://schemas.openxmlformats.org/officeDocument/2006/relationships/hyperlink" Target="https://unfccc.int/sites/default/files/NDC/2022-06/The%20United%20Republic%20of%20Tanzania%20First%20NDC.pdf" TargetMode="External"/><Relationship Id="rId155" Type="http://schemas.openxmlformats.org/officeDocument/2006/relationships/hyperlink" Target="https://unfccc.int/sites/default/files/NDC/2022-06/Kenya_NDC_20150723.pdf" TargetMode="External"/><Relationship Id="rId197" Type="http://schemas.openxmlformats.org/officeDocument/2006/relationships/hyperlink" Target="https://unfccc.int/sites/default/files/NDC/2022-06/Moroccan%20updated%20NDC%202021%20_Fr.pdf" TargetMode="External"/><Relationship Id="rId362" Type="http://schemas.openxmlformats.org/officeDocument/2006/relationships/hyperlink" Target="https://unfccc.int/sites/default/files/resource/Japan_LTS2021.pdf" TargetMode="External"/><Relationship Id="rId418" Type="http://schemas.openxmlformats.org/officeDocument/2006/relationships/hyperlink" Target="https://unfccc.int/sites/default/files/NDC/2024-01/NDC%202%20MADAGASCAR.pdf" TargetMode="External"/><Relationship Id="rId222" Type="http://schemas.openxmlformats.org/officeDocument/2006/relationships/hyperlink" Target="https://unfccc.int/sites/default/files/NDC/2022-06/Second%20NDC%20Report%20Oman.pdf" TargetMode="External"/><Relationship Id="rId264" Type="http://schemas.openxmlformats.org/officeDocument/2006/relationships/hyperlink" Target="https://unfccc.int/sites/default/files/NDC/2022-06/CDNSenegal%20approuv%C3%A9e-pdf-.pdf" TargetMode="External"/><Relationship Id="rId471" Type="http://schemas.openxmlformats.org/officeDocument/2006/relationships/hyperlink" Target="https://unfccc.int/sites/default/files/LV-03-06-EU%20INDC.pdf" TargetMode="External"/><Relationship Id="rId17" Type="http://schemas.openxmlformats.org/officeDocument/2006/relationships/hyperlink" Target="https://unfccc.int/sites/default/files/NDC/2022-11/20222410_Actualitzacio%20NDC.pdf" TargetMode="External"/><Relationship Id="rId59" Type="http://schemas.openxmlformats.org/officeDocument/2006/relationships/hyperlink" Target="https://unfccc.int/sites/default/files/NDC/2022-06/Cabo_Verde_INDC_.pdf" TargetMode="External"/><Relationship Id="rId124" Type="http://schemas.openxmlformats.org/officeDocument/2006/relationships/hyperlink" Target="https://unfccc.int/sites/default/files/NDC/2022-06/Contribuci%C3%B3n%20Nacionalmente%20Determinada%20Guatemala.pdf" TargetMode="External"/><Relationship Id="rId70" Type="http://schemas.openxmlformats.org/officeDocument/2006/relationships/hyperlink" Target="https://unfccc.int/sites/default/files/NDC/2022-06/CDN%20ACTUALISEE%20DU%20TCHAD.pdf" TargetMode="External"/><Relationship Id="rId166" Type="http://schemas.openxmlformats.org/officeDocument/2006/relationships/hyperlink" Target="https://unfccc.int/sites/default/files/NDC/2022-06/Lesotho%27s%20INDC%20Report%20%20-%20September%202015.pdf" TargetMode="External"/><Relationship Id="rId331" Type="http://schemas.openxmlformats.org/officeDocument/2006/relationships/hyperlink" Target="https://unfccc.int/sites/default/files/NDC/2022-08/Vanuatu%20NDC%20Revised%20and%20Enhanced.pdf" TargetMode="External"/><Relationship Id="rId373" Type="http://schemas.openxmlformats.org/officeDocument/2006/relationships/hyperlink" Target="https://unfccc.int/sites/default/files/resource/Nigeria_LTS1.pdf" TargetMode="External"/><Relationship Id="rId429" Type="http://schemas.openxmlformats.org/officeDocument/2006/relationships/hyperlink" Target="https://www.climatecommission.org.za/just-transition-framework" TargetMode="External"/><Relationship Id="rId1" Type="http://schemas.openxmlformats.org/officeDocument/2006/relationships/hyperlink" Target="https://unfccc.int/sites/default/files/NDC/2022-11/NDC%20Norway_second%20update.pdf" TargetMode="External"/><Relationship Id="rId233" Type="http://schemas.openxmlformats.org/officeDocument/2006/relationships/hyperlink" Target="https://unfccc.int/sites/default/files/NDC/2022-06/Actualizaci%C3%B3n-NDC%20VF%20PAG.%20WEB_MADES%20Mayo%202022.pdf" TargetMode="External"/><Relationship Id="rId440" Type="http://schemas.openxmlformats.org/officeDocument/2006/relationships/hyperlink" Target="https://unfccc.int/sites/default/files/NDC/2023-10/ES-2023-10-17%20EU%20submission%20NDC%20update.pdf" TargetMode="External"/><Relationship Id="rId28" Type="http://schemas.openxmlformats.org/officeDocument/2006/relationships/hyperlink" Target="https://unfccc.int/sites/default/files/NDC/2022-06/Australias%20NDC%20June%202022%20Update%20%283%29.pdf" TargetMode="External"/><Relationship Id="rId275" Type="http://schemas.openxmlformats.org/officeDocument/2006/relationships/hyperlink" Target="https://unfccc.int/sites/default/files/NDC/2022-06/Somalia%27s%20INDCs.pdf" TargetMode="External"/><Relationship Id="rId300" Type="http://schemas.openxmlformats.org/officeDocument/2006/relationships/hyperlink" Target="https://unfccc.int/sites/default/files/NDC/2022-06/Timor-Leste%20First%20NDC.pdf" TargetMode="External"/><Relationship Id="rId482" Type="http://schemas.openxmlformats.org/officeDocument/2006/relationships/hyperlink" Target="https://unfccc.int/sites/default/files/LV-03-06-EU%20INDC.pdf" TargetMode="External"/><Relationship Id="rId81" Type="http://schemas.openxmlformats.org/officeDocument/2006/relationships/hyperlink" Target="https://unfccc.int/sites/default/files/NDC/2022-06/Cook%20Islands%20INDCsFINAL7Nov.pdf" TargetMode="External"/><Relationship Id="rId135" Type="http://schemas.openxmlformats.org/officeDocument/2006/relationships/hyperlink" Target="https://unfccc.int/sites/default/files/NDC/2022-06/NDC%20de%20Honduras_%20Primera%20Actualizaci%C3%B3n.pdf" TargetMode="External"/><Relationship Id="rId177" Type="http://schemas.openxmlformats.org/officeDocument/2006/relationships/hyperlink" Target="https://unfccc.int/sites/default/files/NDC/2022-06/Mali_revised%20NDC.pdf" TargetMode="External"/><Relationship Id="rId342" Type="http://schemas.openxmlformats.org/officeDocument/2006/relationships/hyperlink" Target="https://unfccc.int/sites/default/files/resource/Australias_LTS_WEB.pdf" TargetMode="External"/><Relationship Id="rId384" Type="http://schemas.openxmlformats.org/officeDocument/2006/relationships/hyperlink" Target="https://unfccc.int/sites/default/files/resource/LTS1_Switzerland.pdf" TargetMode="External"/><Relationship Id="rId202" Type="http://schemas.openxmlformats.org/officeDocument/2006/relationships/hyperlink" Target="https://unfccc.int/sites/default/files/NDC/2022-06/INDC%20of%20Namibia%20Final%20pdf.pdf" TargetMode="External"/><Relationship Id="rId244" Type="http://schemas.openxmlformats.org/officeDocument/2006/relationships/hyperlink" Target="https://unfccc.int/sites/default/files/NDC/2022-06/INDC%20Submission%20by%20the%20Republic%20of%20Korea%20on%20June%2030.pdf" TargetMode="External"/><Relationship Id="rId39" Type="http://schemas.openxmlformats.org/officeDocument/2006/relationships/hyperlink" Target="https://unfccc.int/sites/default/files/NDC/2022-06/Belarus_NDC_English.pdf" TargetMode="External"/><Relationship Id="rId286" Type="http://schemas.openxmlformats.org/officeDocument/2006/relationships/hyperlink" Target="https://unfccc.int/sites/default/files/NDC/2022-06/Suriname%20Second%20NDC.pdf" TargetMode="External"/><Relationship Id="rId451" Type="http://schemas.openxmlformats.org/officeDocument/2006/relationships/hyperlink" Target="https://unfccc.int/sites/default/files/NDC/2023-10/ES-2023-10-17%20EU%20submission%20NDC%20update.pdf" TargetMode="External"/><Relationship Id="rId493" Type="http://schemas.openxmlformats.org/officeDocument/2006/relationships/hyperlink" Target="https://www.climatewatchdata.org/net-zero-tracker?showEUCountries=true" TargetMode="External"/><Relationship Id="rId507" Type="http://schemas.openxmlformats.org/officeDocument/2006/relationships/hyperlink" Target="https://unfccc.int/sites/default/files/2025-01/UK%27s%202035%20NDC%20ICTU.pdf" TargetMode="External"/><Relationship Id="rId50" Type="http://schemas.openxmlformats.org/officeDocument/2006/relationships/hyperlink" Target="https://unfccc.int/sites/default/files/BRAZIL%20iNDC%20english%20FINAL.pdf" TargetMode="External"/><Relationship Id="rId104" Type="http://schemas.openxmlformats.org/officeDocument/2006/relationships/hyperlink" Target="https://unfccc.int/sites/default/files/NDC/2022-10/CND-GuineaEcuatorial-Version2022-Actualizada.pdf" TargetMode="External"/><Relationship Id="rId146" Type="http://schemas.openxmlformats.org/officeDocument/2006/relationships/hyperlink" Target="https://unfccc.int/sites/default/files/NDC/2022-06/Jamaica%27s%20INDC_2015-11-25.pdf" TargetMode="External"/><Relationship Id="rId188" Type="http://schemas.openxmlformats.org/officeDocument/2006/relationships/hyperlink" Target="https://unfccc.int/sites/default/files/NDC/2022-06/Micronesia%20%28Federated%20State%20of%29%20First%20NDC.pdf" TargetMode="External"/><Relationship Id="rId311" Type="http://schemas.openxmlformats.org/officeDocument/2006/relationships/hyperlink" Target="https://unfccc.int/sites/default/files/NDC/2022-06/Ukraine%20First%20NDC.pdf" TargetMode="External"/><Relationship Id="rId353" Type="http://schemas.openxmlformats.org/officeDocument/2006/relationships/hyperlink" Target="https://unfccc.int/sites/default/files/resource/LTS_Finland_Oct2020.pdf" TargetMode="External"/><Relationship Id="rId395" Type="http://schemas.openxmlformats.org/officeDocument/2006/relationships/hyperlink" Target="https://unfccc.int/sites/default/files/resource/Anlage%202_Update%20to%20the%20long-term%20strategy%20for%20climate%20action%20of%20the%20Federal%20Republic%20of%20Germany_02Nov2022_0.pdf" TargetMode="External"/><Relationship Id="rId409" Type="http://schemas.openxmlformats.org/officeDocument/2006/relationships/hyperlink" Target="https://unfccc.int/sites/default/files/resource/LTS%20Report_final%20print_copy.pdf" TargetMode="External"/><Relationship Id="rId92" Type="http://schemas.openxmlformats.org/officeDocument/2006/relationships/hyperlink" Target="https://unfccc.int/sites/default/files/NDC/2022-06/INDC-Djibouti_ENG.pdf" TargetMode="External"/><Relationship Id="rId213" Type="http://schemas.openxmlformats.org/officeDocument/2006/relationships/hyperlink" Target="https://unfccc.int/sites/default/files/NDC/2022-06/Niger-INDC-final_Eng.pdf" TargetMode="External"/><Relationship Id="rId420" Type="http://schemas.openxmlformats.org/officeDocument/2006/relationships/hyperlink" Target="https://unfccc.int/sites/default/files/NDC/2023-11/Brazil%20First%20NDC%202023%20adjustment.pdf" TargetMode="External"/><Relationship Id="rId255" Type="http://schemas.openxmlformats.org/officeDocument/2006/relationships/hyperlink" Target="https://unfccc.int/sites/default/files/NDC/2022-06/Saint%20Vincent%20and%20the%20Grenadines_NDC.pdf" TargetMode="External"/><Relationship Id="rId297" Type="http://schemas.openxmlformats.org/officeDocument/2006/relationships/hyperlink" Target="https://unfccc.int/sites/default/files/NDC/2022-11/Timor_Leste%20Updated%20NDC%202022_2030.pdf" TargetMode="External"/><Relationship Id="rId462" Type="http://schemas.openxmlformats.org/officeDocument/2006/relationships/hyperlink" Target="https://unfccc.int/sites/default/files/LV-03-06-EU%20INDC.pdf" TargetMode="External"/><Relationship Id="rId518" Type="http://schemas.openxmlformats.org/officeDocument/2006/relationships/printerSettings" Target="../printerSettings/printerSettings2.bin"/><Relationship Id="rId115" Type="http://schemas.openxmlformats.org/officeDocument/2006/relationships/hyperlink" Target="https://unfccc.int/sites/default/files/NDC/2022-07/20220706_Gabon_Updated%20NDC.pdf" TargetMode="External"/><Relationship Id="rId157" Type="http://schemas.openxmlformats.org/officeDocument/2006/relationships/hyperlink" Target="https://unfccc.int/sites/default/files/NDC/2022-06/INDC_KIRIBATI.pdf" TargetMode="External"/><Relationship Id="rId322" Type="http://schemas.openxmlformats.org/officeDocument/2006/relationships/hyperlink" Target="https://unfccc.int/sites/default/files/NDC/2022-06/U.S.A.%20First%20NDC%20Submission.pdf" TargetMode="External"/><Relationship Id="rId364" Type="http://schemas.openxmlformats.org/officeDocument/2006/relationships/hyperlink" Target="https://unfccc.int/sites/default/files/resource/Lithuanian%20Climate%20Change%20Management%20Agenda%202021%20EN.docx" TargetMode="External"/><Relationship Id="rId61" Type="http://schemas.openxmlformats.org/officeDocument/2006/relationships/hyperlink" Target="https://unfccc.int/sites/default/files/NDC/2022-06/Cambodia%27s%20INDC%20to%20the%20UNFCCC.pdf" TargetMode="External"/><Relationship Id="rId199" Type="http://schemas.openxmlformats.org/officeDocument/2006/relationships/hyperlink" Target="https://unfccc.int/sites/default/files/NDC/2022-06/NDC_EN_Final.pdf" TargetMode="External"/><Relationship Id="rId19" Type="http://schemas.openxmlformats.org/officeDocument/2006/relationships/hyperlink" Target="https://unfccc.int/sites/default/files/NDC/2022-06/NDC%20Angola.pdf" TargetMode="External"/><Relationship Id="rId224" Type="http://schemas.openxmlformats.org/officeDocument/2006/relationships/hyperlink" Target="https://unfccc.int/sites/default/files/NDC/2022-06/Pakistan%20Updated%20NDC%202021.pdf" TargetMode="External"/><Relationship Id="rId266" Type="http://schemas.openxmlformats.org/officeDocument/2006/relationships/hyperlink" Target="https://unfccc.int/sites/default/files/NDC/2022-08/NDC%20Final_Serbia%20english.pdf" TargetMode="External"/><Relationship Id="rId431" Type="http://schemas.openxmlformats.org/officeDocument/2006/relationships/hyperlink" Target="https://cdn.climatepolicyradar.org/navigator/NGA/2021/nigeria-s-climate-change-act_6c83884695bbf609fcd795a49d196e89.pdf" TargetMode="External"/><Relationship Id="rId473" Type="http://schemas.openxmlformats.org/officeDocument/2006/relationships/hyperlink" Target="https://unfccc.int/sites/default/files/LV-03-06-EU%20INDC.pdf" TargetMode="External"/><Relationship Id="rId30" Type="http://schemas.openxmlformats.org/officeDocument/2006/relationships/hyperlink" Target="https://unfccc.int/sites/default/files/NDC/2022-06/Bahamas_COP-22%20UNFCCC.pdf" TargetMode="External"/><Relationship Id="rId126" Type="http://schemas.openxmlformats.org/officeDocument/2006/relationships/hyperlink" Target="https://unfccc.int/sites/default/files/2022-06/NDC%20-%20Guatemala%202021.pdf" TargetMode="External"/><Relationship Id="rId168" Type="http://schemas.openxmlformats.org/officeDocument/2006/relationships/hyperlink" Target="https://unfccc.int/sites/default/files/NDC/2022-06/Liberia's%20Updated%20NDC_RL_FINAL%20(002).pdf" TargetMode="External"/><Relationship Id="rId333" Type="http://schemas.openxmlformats.org/officeDocument/2006/relationships/hyperlink" Target="https://unfccc.int/sites/default/files/NDC/2022-06/Actualizacion%20NDC%20Venezuela.pdf" TargetMode="External"/><Relationship Id="rId72" Type="http://schemas.openxmlformats.org/officeDocument/2006/relationships/hyperlink" Target="https://unfccc.int/sites/default/files/NDC/2022-06/Chile's_NDC_2020_english.pdf" TargetMode="External"/><Relationship Id="rId375" Type="http://schemas.openxmlformats.org/officeDocument/2006/relationships/hyperlink" Target="https://unfccc.int/sites/default/files/resource/RNC2050_EN_PT%20Long%20Term%20Strategy.pdf" TargetMode="External"/><Relationship Id="rId3" Type="http://schemas.openxmlformats.org/officeDocument/2006/relationships/hyperlink" Target="https://unfccc.int/sites/default/files/resource/Zimbabwe%20LEDS_08Nov2022.pdf" TargetMode="External"/><Relationship Id="rId235" Type="http://schemas.openxmlformats.org/officeDocument/2006/relationships/hyperlink" Target="https://unfccc.int/sites/default/files/NDC/2022-06/Reporte%20de%20Actualizacio%CC%81n%20de%20las%20NDC%20del%20Peru%CC%81.pdf" TargetMode="External"/><Relationship Id="rId277" Type="http://schemas.openxmlformats.org/officeDocument/2006/relationships/hyperlink" Target="https://unfccc.int/sites/default/files/NDC/2022-06/South%20Africa.pdf" TargetMode="External"/><Relationship Id="rId400" Type="http://schemas.openxmlformats.org/officeDocument/2006/relationships/hyperlink" Target="https://unfccc.int/sites/default/files/NDC/2023-06/12updated%20NDC%20KAZ_Gov%20Decree313_19042023_en_cover%20page.pdf" TargetMode="External"/><Relationship Id="rId442" Type="http://schemas.openxmlformats.org/officeDocument/2006/relationships/hyperlink" Target="https://unfccc.int/sites/default/files/NDC/2023-10/ES-2023-10-17%20EU%20submission%20NDC%20update.pdf" TargetMode="External"/><Relationship Id="rId484" Type="http://schemas.openxmlformats.org/officeDocument/2006/relationships/hyperlink" Target="https://unfccc.int/sites/default/files/LV-03-06-EU%20INDC.pdf" TargetMode="External"/><Relationship Id="rId137" Type="http://schemas.openxmlformats.org/officeDocument/2006/relationships/hyperlink" Target="https://unfccc.int/sites/default/files/NDC/2022-06/Iceland_updated_NDC_Submission_Feb_2021.pdf" TargetMode="External"/><Relationship Id="rId302" Type="http://schemas.openxmlformats.org/officeDocument/2006/relationships/hyperlink" Target="https://unfccc.int/sites/default/files/NDC/2022-06/Tonga's%20Second%20NDC.pdf" TargetMode="External"/><Relationship Id="rId344" Type="http://schemas.openxmlformats.org/officeDocument/2006/relationships/hyperlink" Target="https://unfccc.int/sites/default/files/resource/2020-02-19_lts_be_fr.pdf" TargetMode="External"/><Relationship Id="rId41" Type="http://schemas.openxmlformats.org/officeDocument/2006/relationships/hyperlink" Target="https://unfccc.int/sites/default/files/NDC/2022-06/Belize%20Updated%20NDC.pdf" TargetMode="External"/><Relationship Id="rId83" Type="http://schemas.openxmlformats.org/officeDocument/2006/relationships/hyperlink" Target="https://unfccc.int/sites/default/files/NDC/2022-06/Contribucio%CC%81n%20Nacionalmente%20Determinada%20de%20Costa%20Rica%202020%20-%20Versio%CC%81n%20Completa.pdf" TargetMode="External"/><Relationship Id="rId179" Type="http://schemas.openxmlformats.org/officeDocument/2006/relationships/hyperlink" Target="https://unfccc.int/sites/default/files/NDC/2022-06/150721%20RMI%20INDC%20JULY%202015%20FINAL%20SUBMITTED.pdf" TargetMode="External"/><Relationship Id="rId386" Type="http://schemas.openxmlformats.org/officeDocument/2006/relationships/hyperlink" Target="https://unfccc.int/sites/default/files/resource/Ukraine_LEDS_en.pdf" TargetMode="External"/><Relationship Id="rId190" Type="http://schemas.openxmlformats.org/officeDocument/2006/relationships/hyperlink" Target="https://unfccc.int/sites/default/files/NDC/2022-06/Morocco%20First%20NDC-English.pdf" TargetMode="External"/><Relationship Id="rId204" Type="http://schemas.openxmlformats.org/officeDocument/2006/relationships/hyperlink" Target="https://unfccc.int/sites/default/files/NDC/2022-06/Nauru_NDC.pdf" TargetMode="External"/><Relationship Id="rId246" Type="http://schemas.openxmlformats.org/officeDocument/2006/relationships/hyperlink" Target="https://unfccc.int/sites/default/files/NDC/2022-06/Macedonian%20enhanced%20NDC%20(002).pdf" TargetMode="External"/><Relationship Id="rId288" Type="http://schemas.openxmlformats.org/officeDocument/2006/relationships/hyperlink" Target="https://unfccc.int/sites/default/files/NDC/2022-06/15%2002%2027_INDC%20Contribution%20of%20Switzerland.pdf" TargetMode="External"/><Relationship Id="rId411" Type="http://schemas.openxmlformats.org/officeDocument/2006/relationships/hyperlink" Target="https://unfccc.int/sites/default/files/resource/ENG_CC%20adaptation%20and%20Low%20emission%20development%20Strategy%20BiH%202020-2030.pdf" TargetMode="External"/><Relationship Id="rId453" Type="http://schemas.openxmlformats.org/officeDocument/2006/relationships/hyperlink" Target="https://unfccc.int/sites/default/files/NDC/2023-10/ES-2023-10-17%20EU%20submission%20NDC%20update.pdf" TargetMode="External"/><Relationship Id="rId509" Type="http://schemas.openxmlformats.org/officeDocument/2006/relationships/hyperlink" Target="https://unfccc.int/sites/default/files/2025-01/20241220_Uruguay_NDC3.pdf" TargetMode="External"/><Relationship Id="rId106" Type="http://schemas.openxmlformats.org/officeDocument/2006/relationships/hyperlink" Target="https://unfccc.int/sites/default/files/NDC/2022-06/Eswatini%27s%20INDC.pdf" TargetMode="External"/><Relationship Id="rId313" Type="http://schemas.openxmlformats.org/officeDocument/2006/relationships/hyperlink" Target="https://unfccc.int/sites/default/files/NDC/2022-06/Ukraine%20First%20NDC.pdf" TargetMode="External"/><Relationship Id="rId495" Type="http://schemas.openxmlformats.org/officeDocument/2006/relationships/hyperlink" Target="https://www.climatewatchdata.org/net-zero-tracker?showEUCountries=true" TargetMode="External"/><Relationship Id="rId10" Type="http://schemas.openxmlformats.org/officeDocument/2006/relationships/hyperlink" Target="https://unfccc.int/sites/default/files/NDC/2022-06/Second%20NDC%20of%20The%20Republic%20of%20The%20Gambia-16-12-2021.pdf" TargetMode="External"/><Relationship Id="rId52" Type="http://schemas.openxmlformats.org/officeDocument/2006/relationships/hyperlink" Target="https://unfccc.int/sites/default/files/NDC/2022-06/Updated%20-%20First%20NDC%20-%20%20FINAL%20-%20PDF.pdf" TargetMode="External"/><Relationship Id="rId94" Type="http://schemas.openxmlformats.org/officeDocument/2006/relationships/hyperlink" Target="https://unfccc.int/sites/default/files/2022-07/The%20Commonwealth%20of%20Dominica%20updated%20NDC%20July%204%20%2C.pdf" TargetMode="External"/><Relationship Id="rId148" Type="http://schemas.openxmlformats.org/officeDocument/2006/relationships/hyperlink" Target="https://unfccc.int/sites/default/files/NDC/2022-06/20150717_Japan%27s%20INDC.pdf" TargetMode="External"/><Relationship Id="rId355" Type="http://schemas.openxmlformats.org/officeDocument/2006/relationships/hyperlink" Target="https://unfccc.int/sites/default/files/resource/Klimaschutzplan_2050_eng_bf.pdf" TargetMode="External"/><Relationship Id="rId397" Type="http://schemas.openxmlformats.org/officeDocument/2006/relationships/hyperlink" Target="https://unfccc.int/sites/default/files/NDC/2022-06/Updated%20-%20First%20NDC%20-%20%20FINAL%20-%20PDF.pdf" TargetMode="External"/><Relationship Id="rId520" Type="http://schemas.openxmlformats.org/officeDocument/2006/relationships/table" Target="../tables/table2.xml"/><Relationship Id="rId215" Type="http://schemas.openxmlformats.org/officeDocument/2006/relationships/hyperlink" Target="https://unfccc.int/sites/default/files/NDC/2022-06/Approved%20Nigeria%27s%20INDC_271115.pdf" TargetMode="External"/><Relationship Id="rId257" Type="http://schemas.openxmlformats.org/officeDocument/2006/relationships/hyperlink" Target="https://unfccc.int/sites/default/files/NDC/2022-06/Samoa's%20Second%20NDC%20for%20UNFCCC%20Submission.pdf" TargetMode="External"/><Relationship Id="rId422" Type="http://schemas.openxmlformats.org/officeDocument/2006/relationships/hyperlink" Target="https://unfccc.int/sites/default/files/resource/annual-climate-change-statement-2023.pdf" TargetMode="External"/><Relationship Id="rId464" Type="http://schemas.openxmlformats.org/officeDocument/2006/relationships/hyperlink" Target="https://unfccc.int/sites/default/files/LV-03-06-EU%20INDC.pdf" TargetMode="External"/><Relationship Id="rId299" Type="http://schemas.openxmlformats.org/officeDocument/2006/relationships/hyperlink" Target="https://unfccc.int/sites/default/files/NDC/2022-06/CDN%20Revis%C3%A9es_Togo_Document%20int%C3%A9rimaire_rv_11%2010%2021.pdf" TargetMode="External"/><Relationship Id="rId63" Type="http://schemas.openxmlformats.org/officeDocument/2006/relationships/hyperlink" Target="https://unfccc.int/sites/default/files/NDC/2022-06/CPDN%20CMR%20Final.pdf" TargetMode="External"/><Relationship Id="rId159" Type="http://schemas.openxmlformats.org/officeDocument/2006/relationships/hyperlink" Target="https://unfccc.int/sites/default/files/NDC/2022-06/Kuwait%20updating%20the%20first%20NDC-English.pdf" TargetMode="External"/><Relationship Id="rId366" Type="http://schemas.openxmlformats.org/officeDocument/2006/relationships/hyperlink" Target="https://unfccc.int/sites/default/files/resource/MLT_LTS_Nov2021.pdf" TargetMode="External"/><Relationship Id="rId226" Type="http://schemas.openxmlformats.org/officeDocument/2006/relationships/hyperlink" Target="https://unfccc.int/sites/default/files/NDC/2022-06/Updated%20NDC_%20State%20of%20Palestine_2021_FINAL.pdf" TargetMode="External"/><Relationship Id="rId433" Type="http://schemas.openxmlformats.org/officeDocument/2006/relationships/hyperlink" Target="https://unfccc.int/sites/default/files/NDC/2023-10/ES-2023-10-17%20EU%20submission%20NDC%20update.pdf"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3" Type="http://schemas.openxmlformats.org/officeDocument/2006/relationships/hyperlink" Target="https://www.met.gov.na/files/files/National%20Climate%20Change%20Strategy%20and%20Action%20Plan%20brochure%202013%20-%202020.pdf" TargetMode="External"/><Relationship Id="rId18" Type="http://schemas.openxmlformats.org/officeDocument/2006/relationships/hyperlink" Target="http://www.mop.gov.gh/wp-content/uploads/2018/04/Coordinated-Programme-Of-Economic-And-Social-Development-Policies.pdf" TargetMode="External"/><Relationship Id="rId26" Type="http://schemas.openxmlformats.org/officeDocument/2006/relationships/hyperlink" Target="https://www.meti.go.jp/english/policy/energy_environment/global_warming/ggs2050/pdf/ggs_full_en1013.pdf" TargetMode="External"/><Relationship Id="rId39" Type="http://schemas.openxmlformats.org/officeDocument/2006/relationships/hyperlink" Target="https://www.energywateragency.gov.mt/wp-content/uploads/2021/10/MT-NECP-FINAL-2020-10-05_Corrigendum.pdf" TargetMode="External"/><Relationship Id="rId21" Type="http://schemas.openxmlformats.org/officeDocument/2006/relationships/hyperlink" Target="https://policy.asiapacificenergy.org/sites/default/files/Strategy%20on%20the%20Transition%20of%20the%20Republic%20of%20the%20Republic%20of%20Uzbekistan%20to%20a%20%2522Green%2522%20Economy%20for%20the%20Period%202019%20-%202030%20%28RU%29.pdf" TargetMode="External"/><Relationship Id="rId34" Type="http://schemas.openxmlformats.org/officeDocument/2006/relationships/hyperlink" Target="https://assets.publishing.service.gov.uk/government/uploads/system/uploads/attachment_data/file/994603/gbr-williams-shapps-plan-for-rail.pdf" TargetMode="External"/><Relationship Id="rId42" Type="http://schemas.openxmlformats.org/officeDocument/2006/relationships/hyperlink" Target="https://www4.unfccc.int/sites/NAPC/Documents/Parties/Suriname%20Final%20NAP_apr%202020.pdf" TargetMode="External"/><Relationship Id="rId47" Type="http://schemas.openxmlformats.org/officeDocument/2006/relationships/hyperlink" Target="https://www.cne.gob.sv/wp-content/uploads/2021/12/PEN2050.pdf" TargetMode="External"/><Relationship Id="rId50" Type="http://schemas.openxmlformats.org/officeDocument/2006/relationships/hyperlink" Target="https://projects.worldbank.org/en/projects-operations/project-detail/P176164" TargetMode="External"/><Relationship Id="rId55" Type="http://schemas.openxmlformats.org/officeDocument/2006/relationships/comments" Target="../comments7.xml"/><Relationship Id="rId7" Type="http://schemas.openxmlformats.org/officeDocument/2006/relationships/hyperlink" Target="https://assets.publishing.service.gov.uk/government/uploads/system/uploads/attachment_data/file/945899/201216_BEIS_EWP_Command_Paper_Accessible.pdf" TargetMode="External"/><Relationship Id="rId2" Type="http://schemas.openxmlformats.org/officeDocument/2006/relationships/hyperlink" Target="file:///C:\meyer_mar4\Desktop\Further%20Dokuments\Rwanda_2013_Transport-Sector-Strategic-Plan_Vers.2_.pdf" TargetMode="External"/><Relationship Id="rId16" Type="http://schemas.openxmlformats.org/officeDocument/2006/relationships/hyperlink" Target="https://sandbox.7scorp.com/nrd2020/download/national-energy-policy-2019-2030/?wpdmdl=3330&amp;refresh=61dc10208469f1641812000" TargetMode="External"/><Relationship Id="rId29" Type="http://schemas.openxmlformats.org/officeDocument/2006/relationships/hyperlink" Target="https://www.lse.ac.uk/GranthamInstitute/wp-content/uploads/laws/4353.pdf" TargetMode="External"/><Relationship Id="rId11" Type="http://schemas.openxmlformats.org/officeDocument/2006/relationships/hyperlink" Target="https://www.transport.gov.za/documents/11623/89294/Green_Transport_Strategy_2018_2050_onlineversion.pdf/71e19f1d-259e-4c55-9b27-30db418f105a" TargetMode="External"/><Relationship Id="rId24" Type="http://schemas.openxmlformats.org/officeDocument/2006/relationships/hyperlink" Target="http://www.mppp.gob.ve/wp-content/uploads/2019/04/Plan-Patria-2019-2025.pdf" TargetMode="External"/><Relationship Id="rId32" Type="http://schemas.openxmlformats.org/officeDocument/2006/relationships/hyperlink" Target="https://assets.publishing.service.gov.uk/government/uploads/system/uploads/attachment_data/file/1005301/transitioning-to-zero-emission-cars-vans-2035-delivery-plan.pdf" TargetMode="External"/><Relationship Id="rId37" Type="http://schemas.openxmlformats.org/officeDocument/2006/relationships/hyperlink" Target="https://assets.publishing.service.gov.uk/government/uploads/system/uploads/attachment_data/file/1009448/decarbonising-transport-a-better-greener-britain.pdf" TargetMode="External"/><Relationship Id="rId40" Type="http://schemas.openxmlformats.org/officeDocument/2006/relationships/hyperlink" Target="https://meae.gov.mt/en/Public_Consultations/MEW/Documents/ELECTRIC%20CARS%20INFRASTRUCTURE%20DOC_rev1.pdf" TargetMode="External"/><Relationship Id="rId45" Type="http://schemas.openxmlformats.org/officeDocument/2006/relationships/hyperlink" Target="https://u.ae/en/about-the-uae/strategies-initiatives-and-awards/federal-governments-strategies-and-plans/national-climate-change-plan-of-the-uae" TargetMode="External"/><Relationship Id="rId53" Type="http://schemas.openxmlformats.org/officeDocument/2006/relationships/vmlDrawing" Target="../drawings/vmlDrawing7.vml"/><Relationship Id="rId5" Type="http://schemas.openxmlformats.org/officeDocument/2006/relationships/hyperlink" Target="https://cabinet.gov.mn/wp-content/uploads/2050_VISION_LONG-TERM-DEVELOPMENT-POLICY.pdf" TargetMode="External"/><Relationship Id="rId10" Type="http://schemas.openxmlformats.org/officeDocument/2006/relationships/hyperlink" Target="https://mtu.gov.ua/files/for_investors/230118/National%20Transport%20Strategy%20of%20Ukraine.pdf" TargetMode="External"/><Relationship Id="rId19" Type="http://schemas.openxmlformats.org/officeDocument/2006/relationships/hyperlink" Target="https://thinknovate.org/wp-content/uploads/2019/05/Ghana-Beyond-Aid-Charter-and-Strategy-Document.pdf" TargetMode="External"/><Relationship Id="rId31" Type="http://schemas.openxmlformats.org/officeDocument/2006/relationships/hyperlink" Target="https://researchbriefings.files.parliament.uk/documents/CBP-7480/CBP-7480.pdf" TargetMode="External"/><Relationship Id="rId44" Type="http://schemas.openxmlformats.org/officeDocument/2006/relationships/hyperlink" Target="https://www.kenyamarkets.org/wp-content/uploads/2019/02/NCCAP-2018-2022-Online-.pdf" TargetMode="External"/><Relationship Id="rId52" Type="http://schemas.openxmlformats.org/officeDocument/2006/relationships/hyperlink" Target="https://www.env.go.jp/earth/ondanka/keikaku/250218.html" TargetMode="External"/><Relationship Id="rId4" Type="http://schemas.openxmlformats.org/officeDocument/2006/relationships/hyperlink" Target="http://asemconnectvietnam.gov.vn/default.aspx?ID1=2&amp;ZID1=14&amp;ID8=42567" TargetMode="External"/><Relationship Id="rId9" Type="http://schemas.openxmlformats.org/officeDocument/2006/relationships/hyperlink" Target="https://www.bundesregierung.de/resource/blob/974430/1679914/e01d6bd855f09bf05cf7498e06d0a3ff/2019-10-09-klima-massnahmen-data.pdf?download=1" TargetMode="External"/><Relationship Id="rId14" Type="http://schemas.openxmlformats.org/officeDocument/2006/relationships/hyperlink" Target="https://www.mof.gov.ws/wp-content/uploads/2019/09/TSP-Volume-I-Final.pdf" TargetMode="External"/><Relationship Id="rId22" Type="http://schemas.openxmlformats.org/officeDocument/2006/relationships/hyperlink" Target="http://extwprlegs1.fao.org/docs/pdf/Cha173116.pdf" TargetMode="External"/><Relationship Id="rId27" Type="http://schemas.openxmlformats.org/officeDocument/2006/relationships/hyperlink" Target="https://www.legislation.govt.nz/act/public/2002/0040/latest/whole.html" TargetMode="External"/><Relationship Id="rId30" Type="http://schemas.openxmlformats.org/officeDocument/2006/relationships/hyperlink" Target="https://policy.asiapacificenergy.org/sites/default/files/JNAP%202%20%282018-2028%29.pdf" TargetMode="External"/><Relationship Id="rId35" Type="http://schemas.openxmlformats.org/officeDocument/2006/relationships/hyperlink" Target="https://assets.publishing.service.gov.uk/government/uploads/system/uploads/attachment_data/file/1033990/net-zero-strategy-beis.pdf" TargetMode="External"/><Relationship Id="rId43" Type="http://schemas.openxmlformats.org/officeDocument/2006/relationships/hyperlink" Target="http://static.government.ru/media/files/OTrFMr1Z1sORh5NIx4gLUsdgGHyWIAqy.pdf" TargetMode="External"/><Relationship Id="rId48" Type="http://schemas.openxmlformats.org/officeDocument/2006/relationships/hyperlink" Target="https://www.adb.org/sites/default/files/linked-documents/cobp-ton-2017-2019-ld-03.pdf" TargetMode="External"/><Relationship Id="rId56" Type="http://schemas.microsoft.com/office/2017/10/relationships/threadedComment" Target="../threadedComments/threadedComment7.xml"/><Relationship Id="rId8" Type="http://schemas.openxmlformats.org/officeDocument/2006/relationships/hyperlink" Target="https://web.archive.org.au/awa/20210603110239mp_/https:/energyministers.gov.au/sites/prod.energycouncil/files/publications/documents/National%20Energy%20Productivity%20Plan%20release%20version%20FINAL_0.pdf" TargetMode="External"/><Relationship Id="rId51" Type="http://schemas.openxmlformats.org/officeDocument/2006/relationships/hyperlink" Target="https://matsne.gov.ge/ka/document/view/5147380?publication=0" TargetMode="External"/><Relationship Id="rId3" Type="http://schemas.openxmlformats.org/officeDocument/2006/relationships/hyperlink" Target="https://www.nccs.gov.sg/docs/default-source/publications/take-action-today-for-a-carbon-efficient-singapore.pdf" TargetMode="External"/><Relationship Id="rId12" Type="http://schemas.openxmlformats.org/officeDocument/2006/relationships/hyperlink" Target="https://www.regjeringen.no/contentassets/7c52fd2938ca42209e4286fe86bb28bd/en-gb/pdfs/stm201620170033000engpdfs.pdf" TargetMode="External"/><Relationship Id="rId17" Type="http://schemas.openxmlformats.org/officeDocument/2006/relationships/hyperlink" Target="https://www.awe.gov.au/sites/default/files/documents/national-climate-resilience-and-adaptation-strategy.pdf" TargetMode="External"/><Relationship Id="rId25" Type="http://schemas.openxmlformats.org/officeDocument/2006/relationships/hyperlink" Target="https://www.whitehouse.gov/briefing-room/presidential-actions/2021/01/27/executive-order-on-tackling-the-climate-crisis-at-home-and-abroad/" TargetMode="External"/><Relationship Id="rId33" Type="http://schemas.openxmlformats.org/officeDocument/2006/relationships/hyperlink" Target="https://assets.publishing.service.gov.uk/government/uploads/system/uploads/attachment_data/file/980227/DfT-Bus-Back-Better-national-bus-strategy-for-England.pdf" TargetMode="External"/><Relationship Id="rId38" Type="http://schemas.openxmlformats.org/officeDocument/2006/relationships/hyperlink" Target="https://legislation.mt/eli/cap/543/eng/pdf" TargetMode="External"/><Relationship Id="rId46" Type="http://schemas.openxmlformats.org/officeDocument/2006/relationships/hyperlink" Target="https://www.government.is/library/01-Ministries/Ministry-for-The-Environment/201004%20Umhverfisraduneytid%20Adgerdaaaetlun%20EN%20V2.pdf" TargetMode="External"/><Relationship Id="rId20" Type="http://schemas.openxmlformats.org/officeDocument/2006/relationships/hyperlink" Target="https://strategy.uz/files/news/45467/eng.pdf" TargetMode="External"/><Relationship Id="rId41" Type="http://schemas.openxmlformats.org/officeDocument/2006/relationships/hyperlink" Target="https://ec.europa.eu/energy/sites/ener/files/documents/lu_final_necp_main_fr.pdf" TargetMode="External"/><Relationship Id="rId54" Type="http://schemas.openxmlformats.org/officeDocument/2006/relationships/table" Target="../tables/table7.xml"/><Relationship Id="rId1" Type="http://schemas.openxmlformats.org/officeDocument/2006/relationships/hyperlink" Target="https://tonga-data.sprep.org/system/files/national-infrastructure-investment-plan.pdf" TargetMode="External"/><Relationship Id="rId6" Type="http://schemas.openxmlformats.org/officeDocument/2006/relationships/hyperlink" Target="https://assets.publishing.service.gov.uk/government/uploads/system/uploads/attachment_data/file/1009448/decarbonising-transport-a-better-greener-britain.pdf" TargetMode="External"/><Relationship Id="rId15" Type="http://schemas.openxmlformats.org/officeDocument/2006/relationships/hyperlink" Target="https://www.cip-icu.ca/Files/APE-2018-Projects/02_Barbados_Physical_Development_Plan_Amendment_Pa.aspx" TargetMode="External"/><Relationship Id="rId23" Type="http://schemas.openxmlformats.org/officeDocument/2006/relationships/hyperlink" Target="http://www.mppt.gob.ve/mision-transporte/" TargetMode="External"/><Relationship Id="rId28" Type="http://schemas.openxmlformats.org/officeDocument/2006/relationships/hyperlink" Target="https://www.minvivienda.gov.co/sites/default/files/2021-02/anexo-resolucion-0431-2020.pdf" TargetMode="External"/><Relationship Id="rId36" Type="http://schemas.openxmlformats.org/officeDocument/2006/relationships/hyperlink" Target="https://assets.publishing.service.gov.uk/government/uploads/system/uploads/attachment_data/file/1011283/UK-Hydrogen-Strategy_web.pdf" TargetMode="External"/><Relationship Id="rId49" Type="http://schemas.openxmlformats.org/officeDocument/2006/relationships/hyperlink" Target="https://www.adb.org/documents/sri-lanka-country-operations-business-plan-2021-2023"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E0C1F-81D2-447F-BF36-C6FA2107FBBD}">
  <sheetPr codeName="Sheet1">
    <tabColor theme="9"/>
  </sheetPr>
  <dimension ref="B8:L37"/>
  <sheetViews>
    <sheetView zoomScale="85" zoomScaleNormal="85" workbookViewId="0">
      <selection activeCell="P19" sqref="P19"/>
    </sheetView>
  </sheetViews>
  <sheetFormatPr baseColWidth="10" defaultColWidth="10.5703125" defaultRowHeight="15" x14ac:dyDescent="0.25"/>
  <cols>
    <col min="1" max="1" width="10.5703125" style="13"/>
    <col min="2" max="2" width="1.5703125" style="13" hidden="1" customWidth="1"/>
    <col min="3" max="3" width="13.5703125" style="13" customWidth="1"/>
    <col min="4" max="16384" width="10.5703125" style="13"/>
  </cols>
  <sheetData>
    <row r="8" spans="3:12" x14ac:dyDescent="0.25">
      <c r="C8" s="13" t="s">
        <v>6447</v>
      </c>
    </row>
    <row r="11" spans="3:12" ht="22.5" x14ac:dyDescent="0.3">
      <c r="C11" s="25" t="s">
        <v>0</v>
      </c>
      <c r="D11" s="10"/>
      <c r="E11" s="10"/>
      <c r="F11" s="10"/>
      <c r="G11" s="10"/>
      <c r="H11" s="10"/>
      <c r="I11" s="10"/>
      <c r="J11" s="10"/>
      <c r="K11" s="10"/>
      <c r="L11" s="10"/>
    </row>
    <row r="12" spans="3:12" x14ac:dyDescent="0.25">
      <c r="C12" s="10"/>
      <c r="D12" s="10"/>
      <c r="E12" s="10"/>
      <c r="F12" s="10"/>
      <c r="G12" s="10"/>
      <c r="H12" s="10"/>
      <c r="I12" s="10"/>
      <c r="J12" s="10"/>
      <c r="K12" s="10"/>
      <c r="L12" s="10"/>
    </row>
    <row r="13" spans="3:12" x14ac:dyDescent="0.25">
      <c r="C13" s="576" t="s">
        <v>1</v>
      </c>
      <c r="D13" s="576"/>
      <c r="E13" s="576"/>
      <c r="F13" s="576"/>
      <c r="G13" s="576"/>
      <c r="H13" s="576"/>
      <c r="I13" s="576"/>
      <c r="J13" s="576"/>
      <c r="K13" s="576"/>
      <c r="L13" s="576"/>
    </row>
    <row r="14" spans="3:12" ht="28.5" customHeight="1" x14ac:dyDescent="0.25">
      <c r="C14" s="576"/>
      <c r="D14" s="576"/>
      <c r="E14" s="576"/>
      <c r="F14" s="576"/>
      <c r="G14" s="576"/>
      <c r="H14" s="576"/>
      <c r="I14" s="576"/>
      <c r="J14" s="576"/>
      <c r="K14" s="576"/>
      <c r="L14" s="576"/>
    </row>
    <row r="15" spans="3:12" x14ac:dyDescent="0.25">
      <c r="C15" s="576"/>
      <c r="D15" s="576"/>
      <c r="E15" s="576"/>
      <c r="F15" s="576"/>
      <c r="G15" s="576"/>
      <c r="H15" s="576"/>
      <c r="I15" s="576"/>
      <c r="J15" s="576"/>
      <c r="K15" s="576"/>
      <c r="L15" s="576"/>
    </row>
    <row r="16" spans="3:12" x14ac:dyDescent="0.25">
      <c r="C16" s="576"/>
      <c r="D16" s="576"/>
      <c r="E16" s="576"/>
      <c r="F16" s="576"/>
      <c r="G16" s="576"/>
      <c r="H16" s="576"/>
      <c r="I16" s="576"/>
      <c r="J16" s="576"/>
      <c r="K16" s="576"/>
      <c r="L16" s="576"/>
    </row>
    <row r="17" spans="3:12" ht="57.6" customHeight="1" x14ac:dyDescent="0.25">
      <c r="C17" s="576"/>
      <c r="D17" s="576"/>
      <c r="E17" s="576"/>
      <c r="F17" s="576"/>
      <c r="G17" s="576"/>
      <c r="H17" s="576"/>
      <c r="I17" s="576"/>
      <c r="J17" s="576"/>
      <c r="K17" s="576"/>
      <c r="L17" s="576"/>
    </row>
    <row r="18" spans="3:12" x14ac:dyDescent="0.25">
      <c r="C18" s="10"/>
      <c r="D18" s="10"/>
      <c r="E18" s="10"/>
      <c r="F18" s="10"/>
      <c r="G18" s="10"/>
      <c r="H18" s="10"/>
      <c r="I18" s="10"/>
      <c r="J18" s="10"/>
      <c r="K18" s="10"/>
      <c r="L18" s="10"/>
    </row>
    <row r="19" spans="3:12" ht="19.5" x14ac:dyDescent="0.25">
      <c r="C19" s="14" t="s">
        <v>2</v>
      </c>
      <c r="D19" s="10"/>
      <c r="E19" s="10"/>
      <c r="F19" s="10"/>
      <c r="G19" s="10"/>
      <c r="H19" s="10"/>
      <c r="I19" s="10"/>
      <c r="J19" s="10"/>
      <c r="K19" s="10"/>
      <c r="L19" s="10"/>
    </row>
    <row r="20" spans="3:12" x14ac:dyDescent="0.25">
      <c r="C20" s="10"/>
      <c r="D20" s="10"/>
      <c r="E20" s="10"/>
      <c r="F20" s="10"/>
      <c r="G20" s="10"/>
      <c r="H20" s="10"/>
      <c r="I20" s="10"/>
      <c r="J20" s="10"/>
      <c r="K20" s="10"/>
      <c r="L20" s="10"/>
    </row>
    <row r="21" spans="3:12" ht="14.85" customHeight="1" x14ac:dyDescent="0.25">
      <c r="C21" s="576" t="s">
        <v>3</v>
      </c>
      <c r="D21" s="576"/>
      <c r="E21" s="576"/>
      <c r="F21" s="576"/>
      <c r="G21" s="576"/>
      <c r="H21" s="576"/>
      <c r="I21" s="576"/>
      <c r="J21" s="576"/>
      <c r="K21" s="576"/>
      <c r="L21" s="576"/>
    </row>
    <row r="22" spans="3:12" ht="14.85" customHeight="1" x14ac:dyDescent="0.25">
      <c r="C22" s="576"/>
      <c r="D22" s="576"/>
      <c r="E22" s="576"/>
      <c r="F22" s="576"/>
      <c r="G22" s="576"/>
      <c r="H22" s="576"/>
      <c r="I22" s="576"/>
      <c r="J22" s="576"/>
      <c r="K22" s="576"/>
      <c r="L22" s="576"/>
    </row>
    <row r="23" spans="3:12" ht="14.85" customHeight="1" x14ac:dyDescent="0.25">
      <c r="C23" s="576"/>
      <c r="D23" s="576"/>
      <c r="E23" s="576"/>
      <c r="F23" s="576"/>
      <c r="G23" s="576"/>
      <c r="H23" s="576"/>
      <c r="I23" s="576"/>
      <c r="J23" s="576"/>
      <c r="K23" s="576"/>
      <c r="L23" s="576"/>
    </row>
    <row r="24" spans="3:12" ht="32.1" customHeight="1" x14ac:dyDescent="0.25">
      <c r="C24" s="576"/>
      <c r="D24" s="576"/>
      <c r="E24" s="576"/>
      <c r="F24" s="576"/>
      <c r="G24" s="576"/>
      <c r="H24" s="576"/>
      <c r="I24" s="576"/>
      <c r="J24" s="576"/>
      <c r="K24" s="576"/>
      <c r="L24" s="576"/>
    </row>
    <row r="25" spans="3:12" ht="38.85" customHeight="1" x14ac:dyDescent="0.25">
      <c r="C25" s="576"/>
      <c r="D25" s="576"/>
      <c r="E25" s="576"/>
      <c r="F25" s="576"/>
      <c r="G25" s="576"/>
      <c r="H25" s="576"/>
      <c r="I25" s="576"/>
      <c r="J25" s="576"/>
      <c r="K25" s="576"/>
      <c r="L25" s="576"/>
    </row>
    <row r="26" spans="3:12" ht="40.35" customHeight="1" x14ac:dyDescent="0.25">
      <c r="C26" s="576"/>
      <c r="D26" s="576"/>
      <c r="E26" s="576"/>
      <c r="F26" s="576"/>
      <c r="G26" s="576"/>
      <c r="H26" s="576"/>
      <c r="I26" s="576"/>
      <c r="J26" s="576"/>
      <c r="K26" s="576"/>
      <c r="L26" s="576"/>
    </row>
    <row r="27" spans="3:12" x14ac:dyDescent="0.25">
      <c r="C27" s="10"/>
      <c r="D27" s="10"/>
      <c r="E27" s="10"/>
      <c r="F27" s="10"/>
      <c r="G27" s="10"/>
      <c r="H27" s="10"/>
      <c r="I27" s="10"/>
      <c r="J27" s="10"/>
      <c r="K27" s="10"/>
      <c r="L27" s="10"/>
    </row>
    <row r="28" spans="3:12" ht="24" customHeight="1" x14ac:dyDescent="0.25">
      <c r="C28" s="14" t="s">
        <v>4</v>
      </c>
      <c r="D28" s="10"/>
      <c r="E28" s="10"/>
      <c r="F28" s="10"/>
      <c r="G28" s="10"/>
      <c r="H28" s="10"/>
      <c r="I28" s="10"/>
      <c r="J28" s="10"/>
      <c r="K28" s="10"/>
      <c r="L28" s="10"/>
    </row>
    <row r="29" spans="3:12" ht="14.85" customHeight="1" x14ac:dyDescent="0.25">
      <c r="C29" s="576" t="s">
        <v>5</v>
      </c>
      <c r="D29" s="576"/>
      <c r="E29" s="576"/>
      <c r="F29" s="576"/>
      <c r="G29" s="576"/>
      <c r="H29" s="576"/>
      <c r="I29" s="576"/>
      <c r="J29" s="576"/>
      <c r="K29" s="576"/>
      <c r="L29" s="576"/>
    </row>
    <row r="30" spans="3:12" ht="14.85" customHeight="1" x14ac:dyDescent="0.25">
      <c r="C30" s="576"/>
      <c r="D30" s="576"/>
      <c r="E30" s="576"/>
      <c r="F30" s="576"/>
      <c r="G30" s="576"/>
      <c r="H30" s="576"/>
      <c r="I30" s="576"/>
      <c r="J30" s="576"/>
      <c r="K30" s="576"/>
      <c r="L30" s="576"/>
    </row>
    <row r="31" spans="3:12" ht="14.85" customHeight="1" x14ac:dyDescent="0.25">
      <c r="C31" s="576"/>
      <c r="D31" s="576"/>
      <c r="E31" s="576"/>
      <c r="F31" s="576"/>
      <c r="G31" s="576"/>
      <c r="H31" s="576"/>
      <c r="I31" s="576"/>
      <c r="J31" s="576"/>
      <c r="K31" s="576"/>
      <c r="L31" s="576"/>
    </row>
    <row r="33" spans="3:4" x14ac:dyDescent="0.25">
      <c r="C33" s="423" t="s">
        <v>6</v>
      </c>
    </row>
    <row r="34" spans="3:4" x14ac:dyDescent="0.25">
      <c r="D34" s="559"/>
    </row>
    <row r="37" spans="3:4" x14ac:dyDescent="0.25">
      <c r="C37" s="424" t="s">
        <v>7</v>
      </c>
    </row>
  </sheetData>
  <mergeCells count="3">
    <mergeCell ref="C21:L26"/>
    <mergeCell ref="C29:L31"/>
    <mergeCell ref="C13:L17"/>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2AF0-1CB7-45FE-8DF7-259E3B6277E5}">
  <sheetPr>
    <tabColor theme="2" tint="-0.249977111117893"/>
    <outlinePr summaryBelow="0"/>
  </sheetPr>
  <dimension ref="B1:U119"/>
  <sheetViews>
    <sheetView topLeftCell="A38" zoomScale="110" zoomScaleNormal="85" workbookViewId="0">
      <selection activeCell="K43" sqref="K43"/>
    </sheetView>
  </sheetViews>
  <sheetFormatPr baseColWidth="10" defaultColWidth="8.85546875" defaultRowHeight="15" outlineLevelRow="1" x14ac:dyDescent="0.25"/>
  <cols>
    <col min="1" max="1" width="8.85546875" style="152"/>
    <col min="2" max="2" width="44.5703125" style="152" customWidth="1"/>
    <col min="3" max="3" width="24.140625" style="152" customWidth="1"/>
    <col min="4" max="4" width="26.85546875" style="152" customWidth="1"/>
    <col min="5" max="5" width="58.85546875" style="152" bestFit="1" customWidth="1"/>
    <col min="6" max="14" width="26.85546875" style="152" customWidth="1"/>
    <col min="15" max="21" width="13.85546875" style="152" customWidth="1"/>
    <col min="22" max="16384" width="8.85546875" style="152"/>
  </cols>
  <sheetData>
    <row r="1" spans="2:10" customFormat="1" x14ac:dyDescent="0.25"/>
    <row r="2" spans="2:10" s="34" customFormat="1" ht="22.5" x14ac:dyDescent="0.3">
      <c r="B2" s="35" t="s">
        <v>5929</v>
      </c>
    </row>
    <row r="3" spans="2:10" s="34" customFormat="1" x14ac:dyDescent="0.25">
      <c r="B3" s="34" t="s">
        <v>5930</v>
      </c>
    </row>
    <row r="4" spans="2:10" s="34" customFormat="1" x14ac:dyDescent="0.25">
      <c r="B4" s="36" t="str">
        <f>'Read me'!C8</f>
        <v>Update as of  13 March 2025</v>
      </c>
    </row>
    <row r="8" spans="2:10" ht="18.75" x14ac:dyDescent="0.25">
      <c r="B8" s="185" t="s">
        <v>1070</v>
      </c>
    </row>
    <row r="9" spans="2:10" ht="15.75" outlineLevel="1" x14ac:dyDescent="0.25">
      <c r="C9" s="181" t="s">
        <v>5931</v>
      </c>
      <c r="D9" s="50"/>
      <c r="E9" s="50"/>
      <c r="F9" s="50"/>
      <c r="G9" s="50"/>
      <c r="H9" s="50"/>
      <c r="I9" s="50"/>
      <c r="J9" s="50"/>
    </row>
    <row r="10" spans="2:10" outlineLevel="1" x14ac:dyDescent="0.25">
      <c r="C10" s="180" t="s">
        <v>1147</v>
      </c>
      <c r="D10" s="409" t="s">
        <v>1089</v>
      </c>
      <c r="E10" s="28"/>
      <c r="F10" s="182"/>
      <c r="G10" s="50"/>
      <c r="H10" s="50"/>
      <c r="I10" s="50"/>
      <c r="J10" s="50"/>
    </row>
    <row r="11" spans="2:10" outlineLevel="1" x14ac:dyDescent="0.25">
      <c r="C11" s="183" t="s">
        <v>1089</v>
      </c>
      <c r="D11" s="409" t="s">
        <v>1089</v>
      </c>
      <c r="E11" s="28"/>
      <c r="F11" s="182"/>
    </row>
    <row r="12" spans="2:10" ht="30" outlineLevel="1" x14ac:dyDescent="0.25">
      <c r="C12" s="183" t="s">
        <v>1095</v>
      </c>
      <c r="D12" s="182" t="s">
        <v>1115</v>
      </c>
      <c r="E12" s="182" t="s">
        <v>1096</v>
      </c>
      <c r="F12" s="182" t="s">
        <v>5932</v>
      </c>
    </row>
    <row r="13" spans="2:10" ht="30" outlineLevel="1" x14ac:dyDescent="0.25">
      <c r="C13" s="183" t="s">
        <v>1139</v>
      </c>
      <c r="D13" s="182" t="s">
        <v>1115</v>
      </c>
      <c r="E13" s="182" t="s">
        <v>1096</v>
      </c>
      <c r="F13" s="182" t="s">
        <v>5932</v>
      </c>
    </row>
    <row r="14" spans="2:10" outlineLevel="1" x14ac:dyDescent="0.25">
      <c r="C14" s="184" t="s">
        <v>1114</v>
      </c>
      <c r="D14" s="182" t="s">
        <v>1115</v>
      </c>
      <c r="E14" s="182" t="s">
        <v>1096</v>
      </c>
      <c r="F14" s="182" t="s">
        <v>5932</v>
      </c>
    </row>
    <row r="15" spans="2:10" outlineLevel="1" x14ac:dyDescent="0.25"/>
    <row r="16" spans="2:10" ht="15.75" outlineLevel="1" x14ac:dyDescent="0.25">
      <c r="C16" s="179" t="s">
        <v>5933</v>
      </c>
    </row>
    <row r="17" spans="2:21" outlineLevel="1" x14ac:dyDescent="0.25">
      <c r="C17" s="214" t="s">
        <v>1090</v>
      </c>
      <c r="D17" s="28" t="s">
        <v>1153</v>
      </c>
      <c r="E17" s="28" t="s">
        <v>1091</v>
      </c>
      <c r="F17" s="28" t="s">
        <v>1121</v>
      </c>
      <c r="G17" s="28" t="s">
        <v>2237</v>
      </c>
      <c r="H17" s="28" t="s">
        <v>1289</v>
      </c>
      <c r="I17" s="28" t="s">
        <v>1537</v>
      </c>
    </row>
    <row r="18" spans="2:21" ht="30" outlineLevel="1" x14ac:dyDescent="0.25">
      <c r="C18" s="215" t="s">
        <v>1097</v>
      </c>
      <c r="D18" s="28" t="s">
        <v>1118</v>
      </c>
      <c r="E18" s="28" t="s">
        <v>1131</v>
      </c>
      <c r="F18" s="28" t="s">
        <v>1175</v>
      </c>
      <c r="G18" s="28" t="s">
        <v>1098</v>
      </c>
      <c r="H18" s="28" t="s">
        <v>1162</v>
      </c>
      <c r="I18" s="28" t="s">
        <v>1137</v>
      </c>
      <c r="J18" s="28" t="s">
        <v>1104</v>
      </c>
      <c r="K18" s="28" t="s">
        <v>1102</v>
      </c>
      <c r="L18" s="28" t="s">
        <v>1223</v>
      </c>
      <c r="M18" s="28" t="s">
        <v>1397</v>
      </c>
      <c r="N18" s="28" t="s">
        <v>1140</v>
      </c>
    </row>
    <row r="19" spans="2:21" outlineLevel="1" x14ac:dyDescent="0.25">
      <c r="D19" s="28"/>
      <c r="E19" s="28"/>
      <c r="F19" s="28"/>
      <c r="G19" s="28"/>
      <c r="H19" s="28"/>
      <c r="I19" s="28"/>
      <c r="J19" s="28"/>
      <c r="K19" s="28"/>
      <c r="L19" s="28"/>
      <c r="M19" s="28"/>
      <c r="N19" s="28"/>
    </row>
    <row r="20" spans="2:21" outlineLevel="1" x14ac:dyDescent="0.25">
      <c r="F20" s="28"/>
      <c r="G20" s="28"/>
      <c r="H20" s="28"/>
      <c r="I20" s="28"/>
      <c r="J20" s="28"/>
      <c r="K20" s="28"/>
      <c r="L20" s="28"/>
      <c r="M20" s="28"/>
      <c r="N20" s="28"/>
    </row>
    <row r="24" spans="2:21" ht="18.75" x14ac:dyDescent="0.25">
      <c r="B24" s="185" t="s">
        <v>1235</v>
      </c>
    </row>
    <row r="25" spans="2:21" ht="15.75" outlineLevel="1" x14ac:dyDescent="0.25">
      <c r="C25" s="179" t="s">
        <v>5934</v>
      </c>
    </row>
    <row r="26" spans="2:21" ht="30" outlineLevel="1" x14ac:dyDescent="0.25">
      <c r="C26" s="541" t="s">
        <v>2343</v>
      </c>
      <c r="D26" s="540" t="s">
        <v>2377</v>
      </c>
      <c r="E26" s="554" t="s">
        <v>2386</v>
      </c>
      <c r="F26" s="540" t="s">
        <v>2429</v>
      </c>
      <c r="G26" s="540" t="s">
        <v>2361</v>
      </c>
      <c r="H26" s="540" t="s">
        <v>2344</v>
      </c>
      <c r="J26" s="50"/>
      <c r="K26" s="50"/>
      <c r="L26" s="50"/>
      <c r="M26" s="50"/>
      <c r="N26" s="50"/>
      <c r="O26" s="50"/>
      <c r="P26" s="50"/>
      <c r="Q26" s="50"/>
      <c r="R26" s="50"/>
      <c r="S26" s="50"/>
      <c r="T26" s="50"/>
      <c r="U26" s="50"/>
    </row>
    <row r="27" spans="2:21" ht="30" outlineLevel="1" x14ac:dyDescent="0.25">
      <c r="C27" s="541" t="s">
        <v>2350</v>
      </c>
      <c r="D27" s="540" t="s">
        <v>2370</v>
      </c>
      <c r="E27" s="540" t="s">
        <v>2456</v>
      </c>
      <c r="F27" s="540" t="s">
        <v>2351</v>
      </c>
      <c r="G27" s="540" t="s">
        <v>2407</v>
      </c>
      <c r="H27" s="50"/>
      <c r="I27" s="50"/>
      <c r="J27" s="50"/>
      <c r="K27" s="50"/>
      <c r="L27" s="50"/>
      <c r="M27" s="50"/>
      <c r="N27" s="50"/>
      <c r="O27" s="50"/>
      <c r="P27" s="50"/>
      <c r="Q27" s="50"/>
      <c r="R27" s="50"/>
      <c r="S27" s="50"/>
      <c r="T27" s="50"/>
      <c r="U27" s="50"/>
    </row>
    <row r="28" spans="2:21" ht="30" outlineLevel="1" x14ac:dyDescent="0.25">
      <c r="C28" s="541" t="s">
        <v>2338</v>
      </c>
      <c r="D28" s="540" t="s">
        <v>2339</v>
      </c>
      <c r="G28" s="50"/>
      <c r="H28" s="50"/>
      <c r="I28" s="50"/>
      <c r="J28" s="50"/>
      <c r="K28" s="50"/>
      <c r="L28" s="50"/>
      <c r="M28" s="50"/>
      <c r="N28" s="50"/>
      <c r="O28" s="50"/>
      <c r="P28" s="50"/>
      <c r="Q28" s="50"/>
      <c r="R28" s="50"/>
      <c r="S28" s="50"/>
      <c r="T28" s="50"/>
      <c r="U28" s="50"/>
    </row>
    <row r="29" spans="2:21" outlineLevel="1" x14ac:dyDescent="0.25">
      <c r="C29" s="541" t="s">
        <v>2329</v>
      </c>
      <c r="D29" s="540" t="s">
        <v>2330</v>
      </c>
      <c r="E29" s="20"/>
      <c r="F29" s="20"/>
      <c r="G29" s="50"/>
      <c r="H29" s="50"/>
      <c r="I29" s="50"/>
      <c r="J29" s="50"/>
      <c r="K29" s="50"/>
      <c r="L29" s="50"/>
      <c r="M29" s="50"/>
      <c r="N29" s="50"/>
      <c r="O29" s="50"/>
      <c r="P29" s="50"/>
      <c r="Q29" s="50"/>
      <c r="R29" s="50"/>
      <c r="S29" s="50"/>
      <c r="T29" s="50"/>
      <c r="U29" s="50"/>
    </row>
    <row r="30" spans="2:21" ht="30" outlineLevel="1" x14ac:dyDescent="0.25">
      <c r="C30" s="541" t="s">
        <v>2484</v>
      </c>
      <c r="D30" s="540" t="s">
        <v>2488</v>
      </c>
      <c r="E30" s="540" t="s">
        <v>2485</v>
      </c>
      <c r="F30" s="50"/>
      <c r="G30" s="50"/>
      <c r="H30" s="50"/>
      <c r="I30" s="50"/>
      <c r="J30" s="50"/>
      <c r="K30" s="50"/>
      <c r="L30" s="50"/>
      <c r="M30" s="50"/>
      <c r="N30" s="50"/>
      <c r="O30" s="50"/>
      <c r="P30" s="50"/>
      <c r="Q30" s="50"/>
      <c r="R30" s="50"/>
      <c r="S30" s="50"/>
      <c r="T30" s="50"/>
      <c r="U30" s="50"/>
    </row>
    <row r="31" spans="2:21" outlineLevel="1" x14ac:dyDescent="0.25">
      <c r="C31" s="541" t="s">
        <v>2358</v>
      </c>
      <c r="D31" s="540" t="s">
        <v>2359</v>
      </c>
      <c r="E31" s="540"/>
      <c r="F31" s="50"/>
      <c r="G31" s="50"/>
      <c r="H31" s="50"/>
      <c r="I31" s="50"/>
      <c r="J31" s="50"/>
      <c r="K31" s="50"/>
      <c r="L31" s="50"/>
      <c r="M31" s="50"/>
      <c r="N31" s="50"/>
      <c r="O31" s="50"/>
      <c r="P31" s="50"/>
      <c r="Q31" s="50"/>
      <c r="R31" s="50"/>
      <c r="S31" s="50"/>
      <c r="T31" s="50"/>
      <c r="U31" s="50"/>
    </row>
    <row r="32" spans="2:21" outlineLevel="1" x14ac:dyDescent="0.25"/>
    <row r="33" spans="2:21" ht="15.75" outlineLevel="1" x14ac:dyDescent="0.25">
      <c r="B33" s="5" t="s">
        <v>2295</v>
      </c>
      <c r="C33" s="181" t="s">
        <v>5935</v>
      </c>
      <c r="D33" s="50"/>
      <c r="E33" s="50"/>
      <c r="F33" s="50"/>
      <c r="G33" s="50"/>
      <c r="H33" s="50"/>
      <c r="I33" s="50"/>
      <c r="J33" s="50"/>
      <c r="K33" s="50"/>
      <c r="L33" s="50"/>
      <c r="M33" s="50"/>
      <c r="N33" s="50"/>
      <c r="O33" s="50"/>
      <c r="P33" s="50"/>
      <c r="Q33" s="50"/>
      <c r="R33" s="50"/>
      <c r="S33" s="50"/>
      <c r="T33" s="50"/>
      <c r="U33" s="50"/>
    </row>
    <row r="34" spans="2:21" ht="30" outlineLevel="1" x14ac:dyDescent="0.25">
      <c r="B34" s="408" t="s">
        <v>2343</v>
      </c>
      <c r="C34" s="543" t="s">
        <v>2377</v>
      </c>
      <c r="D34" s="553" t="s">
        <v>2521</v>
      </c>
      <c r="E34" s="541" t="s">
        <v>2378</v>
      </c>
      <c r="F34" s="541" t="s">
        <v>2394</v>
      </c>
      <c r="G34" s="541" t="s">
        <v>2535</v>
      </c>
      <c r="H34" s="410"/>
      <c r="I34" s="410"/>
      <c r="J34" s="410"/>
      <c r="K34" s="410"/>
      <c r="L34" s="50"/>
      <c r="M34" s="50"/>
      <c r="N34" s="50"/>
      <c r="O34" s="50"/>
      <c r="P34" s="50"/>
      <c r="Q34" s="50"/>
      <c r="R34" s="50"/>
      <c r="S34" s="50"/>
      <c r="T34" s="50"/>
      <c r="U34" s="50"/>
    </row>
    <row r="35" spans="2:21" ht="30" outlineLevel="1" x14ac:dyDescent="0.25">
      <c r="B35" s="408" t="s">
        <v>2343</v>
      </c>
      <c r="C35" s="542" t="s">
        <v>2386</v>
      </c>
      <c r="D35" s="541" t="s">
        <v>2412</v>
      </c>
      <c r="E35" s="541" t="s">
        <v>3055</v>
      </c>
      <c r="F35" s="541" t="s">
        <v>2397</v>
      </c>
      <c r="G35" s="541" t="s">
        <v>2515</v>
      </c>
      <c r="H35" s="541" t="s">
        <v>2498</v>
      </c>
      <c r="I35" s="541" t="s">
        <v>2387</v>
      </c>
      <c r="J35" s="541" t="s">
        <v>2569</v>
      </c>
      <c r="K35" s="541" t="s">
        <v>2530</v>
      </c>
      <c r="L35" s="50"/>
      <c r="M35" s="50"/>
      <c r="N35" s="50"/>
      <c r="O35" s="50"/>
      <c r="P35" s="50"/>
      <c r="Q35" s="50"/>
      <c r="R35" s="50"/>
      <c r="S35" s="50"/>
      <c r="T35" s="50"/>
      <c r="U35" s="50"/>
    </row>
    <row r="36" spans="2:21" ht="30" outlineLevel="1" x14ac:dyDescent="0.25">
      <c r="B36" s="408" t="s">
        <v>2343</v>
      </c>
      <c r="C36" s="543" t="s">
        <v>2429</v>
      </c>
      <c r="D36" s="541" t="s">
        <v>2501</v>
      </c>
      <c r="E36" s="541" t="s">
        <v>2610</v>
      </c>
      <c r="F36" s="541" t="s">
        <v>2472</v>
      </c>
      <c r="G36" s="564" t="s">
        <v>2430</v>
      </c>
      <c r="H36" s="564" t="s">
        <v>2513</v>
      </c>
      <c r="I36" s="410"/>
      <c r="J36" s="410"/>
      <c r="K36" s="410"/>
      <c r="L36" s="50"/>
      <c r="M36" s="50"/>
      <c r="N36" s="50"/>
      <c r="O36" s="50"/>
      <c r="P36" s="50"/>
      <c r="Q36" s="50"/>
      <c r="R36" s="50"/>
      <c r="S36" s="50"/>
      <c r="T36" s="50"/>
      <c r="U36" s="50"/>
    </row>
    <row r="37" spans="2:21" outlineLevel="1" x14ac:dyDescent="0.25">
      <c r="B37" s="408" t="s">
        <v>2343</v>
      </c>
      <c r="C37" s="543" t="s">
        <v>2361</v>
      </c>
      <c r="D37" s="541" t="s">
        <v>2366</v>
      </c>
      <c r="E37" s="541" t="s">
        <v>2362</v>
      </c>
      <c r="F37" s="541" t="s">
        <v>2463</v>
      </c>
      <c r="G37" s="410"/>
      <c r="H37" s="410"/>
      <c r="I37" s="410"/>
      <c r="J37" s="410"/>
      <c r="K37" s="410"/>
      <c r="L37" s="50"/>
      <c r="M37" s="50"/>
      <c r="N37" s="50"/>
      <c r="O37" s="50"/>
      <c r="P37" s="50"/>
      <c r="Q37" s="50"/>
      <c r="R37" s="50"/>
      <c r="S37" s="50"/>
      <c r="T37" s="50"/>
      <c r="U37" s="50"/>
    </row>
    <row r="38" spans="2:21" ht="30" outlineLevel="1" x14ac:dyDescent="0.25">
      <c r="B38" s="408" t="s">
        <v>2343</v>
      </c>
      <c r="C38" s="543" t="s">
        <v>2344</v>
      </c>
      <c r="D38" s="541" t="s">
        <v>2549</v>
      </c>
      <c r="E38" s="541" t="s">
        <v>2405</v>
      </c>
      <c r="F38" s="541" t="s">
        <v>2564</v>
      </c>
      <c r="G38" s="541" t="s">
        <v>2345</v>
      </c>
      <c r="H38" s="410"/>
      <c r="I38" s="410"/>
      <c r="J38" s="410"/>
      <c r="K38" s="410"/>
      <c r="L38" s="50"/>
      <c r="M38" s="50"/>
      <c r="N38" s="50"/>
      <c r="O38" s="50"/>
      <c r="P38" s="50"/>
      <c r="Q38" s="50"/>
      <c r="R38" s="50"/>
      <c r="S38" s="50"/>
      <c r="T38" s="50"/>
      <c r="U38" s="50"/>
    </row>
    <row r="39" spans="2:21" ht="45" outlineLevel="1" x14ac:dyDescent="0.25">
      <c r="B39" s="407" t="s">
        <v>2350</v>
      </c>
      <c r="C39" s="541" t="s">
        <v>2370</v>
      </c>
      <c r="D39" s="540" t="s">
        <v>2418</v>
      </c>
      <c r="E39" s="540" t="s">
        <v>2511</v>
      </c>
      <c r="F39" s="540" t="s">
        <v>2371</v>
      </c>
      <c r="G39" s="540" t="s">
        <v>2581</v>
      </c>
      <c r="H39" s="554" t="s">
        <v>2518</v>
      </c>
      <c r="I39" s="50"/>
      <c r="J39" s="50"/>
      <c r="K39" s="50"/>
      <c r="L39" s="50"/>
      <c r="M39" s="50"/>
      <c r="N39" s="50"/>
      <c r="O39" s="50"/>
      <c r="P39" s="50"/>
      <c r="Q39" s="50"/>
      <c r="R39" s="50"/>
      <c r="S39" s="50"/>
      <c r="T39" s="50"/>
      <c r="U39" s="50"/>
    </row>
    <row r="40" spans="2:21" outlineLevel="1" x14ac:dyDescent="0.25">
      <c r="B40" s="407" t="s">
        <v>2350</v>
      </c>
      <c r="C40" s="541" t="s">
        <v>2456</v>
      </c>
      <c r="D40" s="540" t="s">
        <v>2466</v>
      </c>
      <c r="E40" s="540" t="s">
        <v>2457</v>
      </c>
      <c r="F40" s="540" t="s">
        <v>2643</v>
      </c>
      <c r="G40" s="50"/>
      <c r="H40" s="50"/>
      <c r="I40" s="50"/>
      <c r="J40" s="50"/>
      <c r="K40" s="50"/>
      <c r="L40" s="50"/>
      <c r="M40" s="50"/>
      <c r="N40" s="50"/>
      <c r="O40" s="50"/>
      <c r="P40" s="50"/>
      <c r="Q40" s="50"/>
      <c r="R40" s="50"/>
      <c r="S40" s="50"/>
      <c r="T40" s="50"/>
      <c r="U40" s="50"/>
    </row>
    <row r="41" spans="2:21" ht="30" outlineLevel="1" x14ac:dyDescent="0.25">
      <c r="B41" s="407" t="s">
        <v>2350</v>
      </c>
      <c r="C41" s="541" t="s">
        <v>2351</v>
      </c>
      <c r="D41" s="540" t="s">
        <v>2447</v>
      </c>
      <c r="E41" s="540" t="s">
        <v>2427</v>
      </c>
      <c r="F41" s="540" t="s">
        <v>2352</v>
      </c>
      <c r="G41" s="50"/>
      <c r="H41" s="50"/>
      <c r="I41" s="50"/>
      <c r="J41" s="50"/>
      <c r="K41" s="50"/>
      <c r="L41" s="50"/>
      <c r="M41" s="50"/>
      <c r="N41" s="50"/>
      <c r="O41" s="50"/>
      <c r="P41" s="50"/>
      <c r="Q41" s="50"/>
      <c r="R41" s="50"/>
      <c r="S41" s="50"/>
      <c r="T41" s="50"/>
      <c r="U41" s="50"/>
    </row>
    <row r="42" spans="2:21" ht="30" outlineLevel="1" x14ac:dyDescent="0.25">
      <c r="B42" s="407" t="s">
        <v>2350</v>
      </c>
      <c r="C42" s="541" t="s">
        <v>2407</v>
      </c>
      <c r="D42" s="540" t="s">
        <v>2408</v>
      </c>
      <c r="E42" s="540" t="s">
        <v>2592</v>
      </c>
      <c r="G42" s="50"/>
      <c r="H42" s="50"/>
      <c r="I42" s="50"/>
      <c r="J42" s="50"/>
      <c r="K42" s="50"/>
      <c r="L42" s="50"/>
      <c r="M42" s="50"/>
      <c r="N42" s="50"/>
      <c r="O42" s="50"/>
      <c r="P42" s="50"/>
      <c r="Q42" s="50"/>
      <c r="R42" s="50"/>
      <c r="S42" s="50"/>
      <c r="T42" s="50"/>
      <c r="U42" s="50"/>
    </row>
    <row r="43" spans="2:21" ht="30" outlineLevel="1" x14ac:dyDescent="0.25">
      <c r="B43" s="544" t="s">
        <v>2338</v>
      </c>
      <c r="C43" s="543" t="s">
        <v>2339</v>
      </c>
      <c r="D43" s="541" t="s">
        <v>2340</v>
      </c>
      <c r="E43" s="541" t="s">
        <v>2413</v>
      </c>
      <c r="F43" s="541" t="s">
        <v>2410</v>
      </c>
      <c r="G43" s="541" t="s">
        <v>2416</v>
      </c>
      <c r="H43" s="541" t="s">
        <v>2355</v>
      </c>
      <c r="I43" s="541" t="s">
        <v>2451</v>
      </c>
      <c r="J43" s="541" t="s">
        <v>2556</v>
      </c>
      <c r="K43" s="541" t="s">
        <v>2425</v>
      </c>
      <c r="N43" s="20"/>
      <c r="O43" s="20"/>
      <c r="P43" s="20"/>
      <c r="S43" s="20"/>
    </row>
    <row r="44" spans="2:21" ht="30" outlineLevel="1" x14ac:dyDescent="0.25">
      <c r="B44" s="543" t="s">
        <v>2329</v>
      </c>
      <c r="C44" s="541" t="s">
        <v>2330</v>
      </c>
      <c r="D44" s="540" t="s">
        <v>2331</v>
      </c>
      <c r="E44" s="540" t="s">
        <v>2357</v>
      </c>
      <c r="F44" s="540" t="s">
        <v>2391</v>
      </c>
      <c r="G44" s="540" t="s">
        <v>2363</v>
      </c>
      <c r="H44" s="540" t="s">
        <v>2381</v>
      </c>
      <c r="I44" s="540" t="s">
        <v>2414</v>
      </c>
      <c r="J44" s="540" t="s">
        <v>2691</v>
      </c>
      <c r="K44" s="50"/>
      <c r="L44" s="50"/>
      <c r="M44" s="50"/>
      <c r="N44" s="50"/>
      <c r="O44" s="50"/>
      <c r="P44" s="50"/>
      <c r="Q44" s="50"/>
      <c r="R44" s="50"/>
      <c r="S44" s="50"/>
      <c r="T44" s="50"/>
      <c r="U44" s="50"/>
    </row>
    <row r="45" spans="2:21" ht="30" outlineLevel="1" x14ac:dyDescent="0.25">
      <c r="B45" s="544" t="s">
        <v>2358</v>
      </c>
      <c r="C45" s="543" t="s">
        <v>2359</v>
      </c>
      <c r="D45" s="541" t="s">
        <v>2360</v>
      </c>
      <c r="E45" s="541" t="s">
        <v>2383</v>
      </c>
      <c r="F45" s="541" t="s">
        <v>2389</v>
      </c>
      <c r="G45" s="541" t="s">
        <v>3094</v>
      </c>
      <c r="H45" s="541" t="s">
        <v>2461</v>
      </c>
      <c r="I45" s="410"/>
      <c r="J45" s="410"/>
      <c r="K45" s="410"/>
      <c r="L45" s="50"/>
      <c r="M45" s="50"/>
      <c r="N45" s="50"/>
      <c r="O45" s="50"/>
      <c r="P45" s="50"/>
      <c r="Q45" s="50"/>
      <c r="R45" s="50"/>
      <c r="S45" s="50"/>
      <c r="T45" s="50"/>
      <c r="U45" s="50"/>
    </row>
    <row r="46" spans="2:21" ht="30" outlineLevel="1" x14ac:dyDescent="0.25">
      <c r="B46" s="542" t="s">
        <v>2484</v>
      </c>
      <c r="C46" s="541" t="s">
        <v>2488</v>
      </c>
      <c r="D46" s="540" t="s">
        <v>2489</v>
      </c>
      <c r="E46" s="540" t="s">
        <v>3207</v>
      </c>
      <c r="F46" s="540" t="s">
        <v>2712</v>
      </c>
      <c r="G46" s="540" t="s">
        <v>2976</v>
      </c>
      <c r="H46" s="540" t="s">
        <v>2684</v>
      </c>
      <c r="I46" s="50"/>
      <c r="J46" s="50"/>
      <c r="K46" s="50"/>
      <c r="L46" s="50"/>
      <c r="M46" s="50"/>
      <c r="N46" s="50"/>
      <c r="O46" s="50"/>
      <c r="P46" s="50"/>
      <c r="Q46" s="50"/>
      <c r="R46" s="50"/>
      <c r="S46" s="50"/>
      <c r="T46" s="50"/>
      <c r="U46" s="50"/>
    </row>
    <row r="47" spans="2:21" ht="30" outlineLevel="1" x14ac:dyDescent="0.25">
      <c r="B47" s="542" t="s">
        <v>2484</v>
      </c>
      <c r="C47" s="541" t="s">
        <v>2485</v>
      </c>
      <c r="D47" s="540" t="s">
        <v>2486</v>
      </c>
      <c r="E47" s="540" t="s">
        <v>2775</v>
      </c>
      <c r="F47" s="540" t="s">
        <v>2978</v>
      </c>
      <c r="G47" s="540" t="s">
        <v>2669</v>
      </c>
      <c r="H47" s="50"/>
      <c r="I47" s="50"/>
      <c r="J47" s="50"/>
      <c r="K47" s="50"/>
      <c r="L47" s="50"/>
      <c r="M47" s="50"/>
      <c r="N47" s="50"/>
      <c r="O47" s="50"/>
      <c r="P47" s="50"/>
      <c r="Q47" s="50"/>
      <c r="R47" s="50"/>
      <c r="S47" s="50"/>
      <c r="T47" s="50"/>
      <c r="U47" s="50"/>
    </row>
    <row r="48" spans="2:21" x14ac:dyDescent="0.25">
      <c r="K48" s="50"/>
      <c r="L48" s="50"/>
      <c r="M48" s="50"/>
      <c r="N48" s="50"/>
      <c r="O48" s="50"/>
      <c r="P48" s="50"/>
      <c r="Q48" s="50"/>
      <c r="R48" s="50"/>
      <c r="S48" s="50"/>
      <c r="T48" s="50"/>
      <c r="U48" s="50"/>
    </row>
    <row r="49" spans="2:10" x14ac:dyDescent="0.25">
      <c r="C49"/>
      <c r="D49"/>
      <c r="E49"/>
      <c r="F49"/>
      <c r="G49"/>
      <c r="H49"/>
      <c r="I49"/>
    </row>
    <row r="51" spans="2:10" ht="18.75" x14ac:dyDescent="0.25">
      <c r="B51" s="185" t="s">
        <v>5069</v>
      </c>
    </row>
    <row r="52" spans="2:10" ht="15.75" outlineLevel="1" x14ac:dyDescent="0.25">
      <c r="C52" s="179" t="s">
        <v>5936</v>
      </c>
    </row>
    <row r="53" spans="2:10" ht="30" outlineLevel="1" x14ac:dyDescent="0.25">
      <c r="C53" s="541" t="s">
        <v>5072</v>
      </c>
      <c r="D53" s="540" t="s">
        <v>5411</v>
      </c>
      <c r="E53" s="540" t="s">
        <v>5073</v>
      </c>
      <c r="F53" s="540" t="s">
        <v>5082</v>
      </c>
      <c r="G53" s="540" t="s">
        <v>5097</v>
      </c>
      <c r="H53" s="540" t="s">
        <v>5091</v>
      </c>
    </row>
    <row r="54" spans="2:10" ht="30" outlineLevel="1" x14ac:dyDescent="0.25">
      <c r="C54" s="541" t="s">
        <v>5086</v>
      </c>
      <c r="D54" s="540" t="s">
        <v>5130</v>
      </c>
      <c r="E54" s="540" t="s">
        <v>5087</v>
      </c>
      <c r="F54" s="540" t="s">
        <v>5127</v>
      </c>
      <c r="G54" s="182"/>
      <c r="H54" s="182"/>
      <c r="J54" s="422"/>
    </row>
    <row r="55" spans="2:10" ht="30" outlineLevel="1" x14ac:dyDescent="0.25">
      <c r="C55" s="541" t="s">
        <v>5076</v>
      </c>
      <c r="D55" s="540" t="s">
        <v>5077</v>
      </c>
      <c r="E55" s="540" t="s">
        <v>5120</v>
      </c>
      <c r="F55" s="540" t="s">
        <v>5117</v>
      </c>
      <c r="G55" s="540" t="s">
        <v>5079</v>
      </c>
      <c r="H55" s="540" t="s">
        <v>5446</v>
      </c>
    </row>
    <row r="56" spans="2:10" ht="30" outlineLevel="1" x14ac:dyDescent="0.25">
      <c r="C56" s="541" t="s">
        <v>5256</v>
      </c>
      <c r="D56" s="540" t="s">
        <v>5256</v>
      </c>
      <c r="E56" s="182"/>
      <c r="F56" s="182"/>
      <c r="G56" s="182"/>
      <c r="H56" s="182"/>
    </row>
    <row r="60" spans="2:10" ht="18.75" x14ac:dyDescent="0.25">
      <c r="B60" s="185" t="s">
        <v>472</v>
      </c>
    </row>
    <row r="61" spans="2:10" outlineLevel="1" x14ac:dyDescent="0.25">
      <c r="C61" s="5" t="s">
        <v>483</v>
      </c>
    </row>
    <row r="62" spans="2:10" outlineLevel="1" x14ac:dyDescent="0.25">
      <c r="C62" s="186" t="s">
        <v>505</v>
      </c>
    </row>
    <row r="63" spans="2:10" outlineLevel="1" x14ac:dyDescent="0.25">
      <c r="C63" s="186" t="s">
        <v>500</v>
      </c>
    </row>
    <row r="64" spans="2:10" outlineLevel="1" x14ac:dyDescent="0.25">
      <c r="C64" s="186" t="s">
        <v>583</v>
      </c>
    </row>
    <row r="65" spans="2:6" outlineLevel="1" x14ac:dyDescent="0.25">
      <c r="C65" s="186" t="s">
        <v>574</v>
      </c>
    </row>
    <row r="66" spans="2:6" outlineLevel="1" x14ac:dyDescent="0.25"/>
    <row r="67" spans="2:6" outlineLevel="1" x14ac:dyDescent="0.25"/>
    <row r="68" spans="2:6" outlineLevel="1" x14ac:dyDescent="0.25">
      <c r="C68" s="5" t="s">
        <v>478</v>
      </c>
    </row>
    <row r="69" spans="2:6" outlineLevel="1" x14ac:dyDescent="0.25">
      <c r="C69" s="186" t="s">
        <v>71</v>
      </c>
    </row>
    <row r="70" spans="2:6" outlineLevel="1" x14ac:dyDescent="0.25">
      <c r="C70" s="186" t="s">
        <v>227</v>
      </c>
    </row>
    <row r="71" spans="2:6" outlineLevel="1" x14ac:dyDescent="0.25">
      <c r="C71" s="186" t="s">
        <v>748</v>
      </c>
    </row>
    <row r="72" spans="2:6" outlineLevel="1" x14ac:dyDescent="0.25">
      <c r="C72" s="186" t="s">
        <v>774</v>
      </c>
    </row>
    <row r="73" spans="2:6" outlineLevel="1" x14ac:dyDescent="0.25"/>
    <row r="74" spans="2:6" outlineLevel="1" x14ac:dyDescent="0.25"/>
    <row r="78" spans="2:6" ht="18.75" x14ac:dyDescent="0.25">
      <c r="B78" s="185" t="s">
        <v>5937</v>
      </c>
    </row>
    <row r="79" spans="2:6" outlineLevel="1" x14ac:dyDescent="0.25"/>
    <row r="80" spans="2:6" s="5" customFormat="1" outlineLevel="1" x14ac:dyDescent="0.25">
      <c r="B80" s="5" t="s">
        <v>1073</v>
      </c>
      <c r="C80" s="5" t="s">
        <v>1075</v>
      </c>
      <c r="D80" s="5" t="s">
        <v>1077</v>
      </c>
      <c r="E80" s="5" t="s">
        <v>5938</v>
      </c>
      <c r="F80" s="5" t="s">
        <v>5939</v>
      </c>
    </row>
    <row r="81" spans="2:7" outlineLevel="1" x14ac:dyDescent="0.25">
      <c r="B81" t="s">
        <v>1147</v>
      </c>
      <c r="C81" t="s">
        <v>1090</v>
      </c>
      <c r="D81" t="s">
        <v>1099</v>
      </c>
      <c r="E81" s="152" t="str">
        <f>_xlfn.CONCAT(B81,C81,D81)</f>
        <v>Net zero targetGHGUnconditional</v>
      </c>
      <c r="F81" s="422" t="s">
        <v>5940</v>
      </c>
      <c r="G81" s="422" t="s">
        <v>5941</v>
      </c>
    </row>
    <row r="82" spans="2:7" outlineLevel="1" x14ac:dyDescent="0.25">
      <c r="B82" t="s">
        <v>1147</v>
      </c>
      <c r="C82" t="s">
        <v>1090</v>
      </c>
      <c r="D82" t="s">
        <v>1092</v>
      </c>
      <c r="E82" s="152" t="str">
        <f t="shared" ref="E82:E101" si="0">_xlfn.CONCAT(B82,C82,D82)</f>
        <v>Net zero targetGHGConditional</v>
      </c>
      <c r="F82" s="422" t="s">
        <v>5942</v>
      </c>
      <c r="G82" s="422" t="s">
        <v>5941</v>
      </c>
    </row>
    <row r="83" spans="2:7" outlineLevel="1" x14ac:dyDescent="0.25">
      <c r="B83" t="s">
        <v>1147</v>
      </c>
      <c r="C83" t="s">
        <v>1090</v>
      </c>
      <c r="D83" t="s">
        <v>1116</v>
      </c>
      <c r="E83" s="152" t="str">
        <f t="shared" si="0"/>
        <v>Net zero targetGHGUnclear conditionality</v>
      </c>
      <c r="F83" s="152" t="s">
        <v>5943</v>
      </c>
    </row>
    <row r="84" spans="2:7" outlineLevel="1" x14ac:dyDescent="0.25">
      <c r="B84" t="s">
        <v>1089</v>
      </c>
      <c r="C84" t="s">
        <v>1090</v>
      </c>
      <c r="D84" t="s">
        <v>1099</v>
      </c>
      <c r="E84" s="152" t="str">
        <f t="shared" si="0"/>
        <v>Overall mitigation targetGHGUnconditional</v>
      </c>
      <c r="F84" s="152" t="s">
        <v>5944</v>
      </c>
    </row>
    <row r="85" spans="2:7" outlineLevel="1" x14ac:dyDescent="0.25">
      <c r="B85" t="s">
        <v>1089</v>
      </c>
      <c r="C85" t="s">
        <v>1090</v>
      </c>
      <c r="D85" t="s">
        <v>1092</v>
      </c>
      <c r="E85" s="152" t="str">
        <f t="shared" si="0"/>
        <v>Overall mitigation targetGHGConditional</v>
      </c>
      <c r="F85" s="152" t="s">
        <v>5945</v>
      </c>
    </row>
    <row r="86" spans="2:7" outlineLevel="1" x14ac:dyDescent="0.25">
      <c r="B86" t="s">
        <v>1089</v>
      </c>
      <c r="C86" t="s">
        <v>1090</v>
      </c>
      <c r="D86" t="s">
        <v>1116</v>
      </c>
      <c r="E86" s="152" t="str">
        <f t="shared" si="0"/>
        <v>Overall mitigation targetGHGUnclear conditionality</v>
      </c>
      <c r="F86" s="422" t="s">
        <v>5946</v>
      </c>
      <c r="G86" s="422" t="s">
        <v>5941</v>
      </c>
    </row>
    <row r="87" spans="2:7" outlineLevel="1" x14ac:dyDescent="0.25">
      <c r="B87" t="s">
        <v>1095</v>
      </c>
      <c r="C87" t="s">
        <v>1097</v>
      </c>
      <c r="D87" t="s">
        <v>1099</v>
      </c>
      <c r="E87" s="152" t="str">
        <f t="shared" si="0"/>
        <v>Transport sector mitigation targetNon GHGUnconditional</v>
      </c>
      <c r="F87" s="152" t="s">
        <v>5947</v>
      </c>
    </row>
    <row r="88" spans="2:7" outlineLevel="1" x14ac:dyDescent="0.25">
      <c r="B88" t="s">
        <v>1095</v>
      </c>
      <c r="C88" t="s">
        <v>1097</v>
      </c>
      <c r="D88" t="s">
        <v>1092</v>
      </c>
      <c r="E88" s="152" t="str">
        <f t="shared" si="0"/>
        <v>Transport sector mitigation targetNon GHGConditional</v>
      </c>
      <c r="F88" s="152" t="s">
        <v>5948</v>
      </c>
    </row>
    <row r="89" spans="2:7" outlineLevel="1" x14ac:dyDescent="0.25">
      <c r="B89" t="s">
        <v>1095</v>
      </c>
      <c r="C89" t="s">
        <v>1097</v>
      </c>
      <c r="D89" t="s">
        <v>1116</v>
      </c>
      <c r="E89" s="152" t="str">
        <f t="shared" si="0"/>
        <v>Transport sector mitigation targetNon GHGUnclear conditionality</v>
      </c>
      <c r="F89" s="422" t="s">
        <v>5949</v>
      </c>
      <c r="G89" s="422" t="s">
        <v>5941</v>
      </c>
    </row>
    <row r="90" spans="2:7" outlineLevel="1" x14ac:dyDescent="0.25">
      <c r="B90" t="s">
        <v>1095</v>
      </c>
      <c r="C90" t="s">
        <v>1090</v>
      </c>
      <c r="D90" t="s">
        <v>1099</v>
      </c>
      <c r="E90" s="152" t="str">
        <f t="shared" si="0"/>
        <v>Transport sector mitigation targetGHGUnconditional</v>
      </c>
      <c r="F90" s="152" t="s">
        <v>5950</v>
      </c>
    </row>
    <row r="91" spans="2:7" outlineLevel="1" x14ac:dyDescent="0.25">
      <c r="B91" t="s">
        <v>1095</v>
      </c>
      <c r="C91" t="s">
        <v>1090</v>
      </c>
      <c r="D91" t="s">
        <v>1092</v>
      </c>
      <c r="E91" s="152" t="str">
        <f t="shared" si="0"/>
        <v>Transport sector mitigation targetGHGConditional</v>
      </c>
      <c r="F91" s="152" t="s">
        <v>5951</v>
      </c>
    </row>
    <row r="92" spans="2:7" outlineLevel="1" x14ac:dyDescent="0.25">
      <c r="B92" t="s">
        <v>1095</v>
      </c>
      <c r="C92" t="s">
        <v>1090</v>
      </c>
      <c r="D92" t="s">
        <v>1116</v>
      </c>
      <c r="E92" s="152" t="str">
        <f t="shared" si="0"/>
        <v>Transport sector mitigation targetGHGUnclear conditionality</v>
      </c>
      <c r="F92" s="422" t="s">
        <v>5952</v>
      </c>
      <c r="G92" s="422" t="s">
        <v>5941</v>
      </c>
    </row>
    <row r="93" spans="2:7" outlineLevel="1" x14ac:dyDescent="0.25">
      <c r="B93" t="s">
        <v>1139</v>
      </c>
      <c r="C93" t="s">
        <v>1097</v>
      </c>
      <c r="D93" t="s">
        <v>1099</v>
      </c>
      <c r="E93" s="152" t="str">
        <f t="shared" si="0"/>
        <v>Transport sector adaptation targetNon GHGUnconditional</v>
      </c>
      <c r="F93" s="152" t="s">
        <v>5953</v>
      </c>
    </row>
    <row r="94" spans="2:7" outlineLevel="1" x14ac:dyDescent="0.25">
      <c r="B94" t="s">
        <v>1139</v>
      </c>
      <c r="C94" t="s">
        <v>1097</v>
      </c>
      <c r="D94" t="s">
        <v>1092</v>
      </c>
      <c r="E94" s="152" t="str">
        <f t="shared" si="0"/>
        <v>Transport sector adaptation targetNon GHGConditional</v>
      </c>
      <c r="F94" s="152" t="s">
        <v>5954</v>
      </c>
    </row>
    <row r="95" spans="2:7" outlineLevel="1" x14ac:dyDescent="0.25">
      <c r="B95" t="s">
        <v>1139</v>
      </c>
      <c r="C95" t="s">
        <v>1097</v>
      </c>
      <c r="D95" t="s">
        <v>1116</v>
      </c>
      <c r="E95" s="152" t="str">
        <f t="shared" si="0"/>
        <v>Transport sector adaptation targetNon GHGUnclear conditionality</v>
      </c>
      <c r="F95" s="422" t="s">
        <v>5955</v>
      </c>
      <c r="G95" s="422" t="s">
        <v>5941</v>
      </c>
    </row>
    <row r="96" spans="2:7" outlineLevel="1" x14ac:dyDescent="0.25">
      <c r="B96" t="s">
        <v>1114</v>
      </c>
      <c r="C96" t="s">
        <v>1090</v>
      </c>
      <c r="D96" t="s">
        <v>1099</v>
      </c>
      <c r="E96" s="152" t="str">
        <f t="shared" si="0"/>
        <v>Energy sector targetGHGUnconditional</v>
      </c>
      <c r="F96" s="422" t="s">
        <v>5956</v>
      </c>
      <c r="G96" s="422" t="s">
        <v>5941</v>
      </c>
    </row>
    <row r="97" spans="2:7" outlineLevel="1" x14ac:dyDescent="0.25">
      <c r="B97" t="s">
        <v>1114</v>
      </c>
      <c r="C97" t="s">
        <v>1090</v>
      </c>
      <c r="D97" t="s">
        <v>1092</v>
      </c>
      <c r="E97" s="152" t="str">
        <f t="shared" si="0"/>
        <v>Energy sector targetGHGConditional</v>
      </c>
      <c r="F97" s="422" t="s">
        <v>5957</v>
      </c>
      <c r="G97" s="422" t="s">
        <v>5941</v>
      </c>
    </row>
    <row r="98" spans="2:7" outlineLevel="1" x14ac:dyDescent="0.25">
      <c r="B98" t="s">
        <v>1114</v>
      </c>
      <c r="C98" t="s">
        <v>1090</v>
      </c>
      <c r="D98" t="s">
        <v>1116</v>
      </c>
      <c r="E98" s="152" t="str">
        <f t="shared" si="0"/>
        <v>Energy sector targetGHGUnclear conditionality</v>
      </c>
      <c r="F98" s="152" t="s">
        <v>5958</v>
      </c>
      <c r="G98" s="422"/>
    </row>
    <row r="99" spans="2:7" outlineLevel="1" x14ac:dyDescent="0.25">
      <c r="B99" t="s">
        <v>1114</v>
      </c>
      <c r="C99" t="s">
        <v>1097</v>
      </c>
      <c r="D99" t="s">
        <v>1099</v>
      </c>
      <c r="E99" s="152" t="str">
        <f t="shared" si="0"/>
        <v>Energy sector targetNon GHGUnconditional</v>
      </c>
      <c r="F99" s="422" t="s">
        <v>5959</v>
      </c>
      <c r="G99" s="422" t="s">
        <v>5941</v>
      </c>
    </row>
    <row r="100" spans="2:7" outlineLevel="1" x14ac:dyDescent="0.25">
      <c r="B100" t="s">
        <v>1114</v>
      </c>
      <c r="C100" t="s">
        <v>1097</v>
      </c>
      <c r="D100" t="s">
        <v>1092</v>
      </c>
      <c r="E100" s="152" t="str">
        <f t="shared" si="0"/>
        <v>Energy sector targetNon GHGConditional</v>
      </c>
      <c r="F100" s="422" t="s">
        <v>5960</v>
      </c>
      <c r="G100" s="422" t="s">
        <v>5941</v>
      </c>
    </row>
    <row r="101" spans="2:7" outlineLevel="1" x14ac:dyDescent="0.25">
      <c r="B101" t="s">
        <v>1114</v>
      </c>
      <c r="C101" t="s">
        <v>1097</v>
      </c>
      <c r="D101" t="s">
        <v>1116</v>
      </c>
      <c r="E101" s="152" t="str">
        <f t="shared" si="0"/>
        <v>Energy sector targetNon GHGUnclear conditionality</v>
      </c>
      <c r="F101" s="422" t="s">
        <v>5961</v>
      </c>
      <c r="G101" s="422" t="s">
        <v>5941</v>
      </c>
    </row>
    <row r="102" spans="2:7" outlineLevel="1" x14ac:dyDescent="0.25"/>
    <row r="103" spans="2:7" outlineLevel="1" x14ac:dyDescent="0.25"/>
    <row r="104" spans="2:7" outlineLevel="1" x14ac:dyDescent="0.25"/>
    <row r="105" spans="2:7" outlineLevel="1" x14ac:dyDescent="0.25">
      <c r="B105" s="5" t="s">
        <v>5962</v>
      </c>
      <c r="C105" s="28"/>
      <c r="D105" s="28"/>
    </row>
    <row r="106" spans="2:7" outlineLevel="1" x14ac:dyDescent="0.25">
      <c r="B106" s="180" t="s">
        <v>1147</v>
      </c>
      <c r="C106" s="28" t="s">
        <v>1090</v>
      </c>
      <c r="D106" s="28"/>
    </row>
    <row r="107" spans="2:7" outlineLevel="1" x14ac:dyDescent="0.25">
      <c r="B107" s="183" t="s">
        <v>1089</v>
      </c>
      <c r="C107" s="28" t="s">
        <v>1090</v>
      </c>
      <c r="D107" s="28"/>
    </row>
    <row r="108" spans="2:7" outlineLevel="1" x14ac:dyDescent="0.25">
      <c r="B108" s="183" t="s">
        <v>1095</v>
      </c>
      <c r="C108" s="28" t="s">
        <v>1090</v>
      </c>
      <c r="D108" s="28" t="s">
        <v>1097</v>
      </c>
    </row>
    <row r="109" spans="2:7" outlineLevel="1" x14ac:dyDescent="0.25">
      <c r="B109" s="183" t="s">
        <v>1139</v>
      </c>
      <c r="C109" s="28" t="s">
        <v>1097</v>
      </c>
      <c r="D109" s="28"/>
    </row>
    <row r="110" spans="2:7" outlineLevel="1" x14ac:dyDescent="0.25">
      <c r="B110" s="184" t="s">
        <v>1114</v>
      </c>
      <c r="C110" s="28" t="s">
        <v>1090</v>
      </c>
      <c r="D110" s="28" t="s">
        <v>1097</v>
      </c>
    </row>
    <row r="111" spans="2:7" outlineLevel="1" x14ac:dyDescent="0.25"/>
    <row r="114" spans="2:2" x14ac:dyDescent="0.25">
      <c r="B114" s="5" t="s">
        <v>5963</v>
      </c>
    </row>
    <row r="115" spans="2:2" x14ac:dyDescent="0.25">
      <c r="B115" s="152" t="s">
        <v>5964</v>
      </c>
    </row>
    <row r="116" spans="2:2" x14ac:dyDescent="0.25">
      <c r="B116" s="152" t="s">
        <v>5965</v>
      </c>
    </row>
    <row r="119" spans="2:2" x14ac:dyDescent="0.25">
      <c r="B119" s="5" t="s">
        <v>5966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3759-A548-42A5-9A32-DF9DCF683B48}">
  <sheetPr>
    <tabColor rgb="FF00B0F0"/>
    <outlinePr summaryBelow="0"/>
  </sheetPr>
  <dimension ref="B1:K215"/>
  <sheetViews>
    <sheetView topLeftCell="A124" zoomScaleNormal="100" workbookViewId="0">
      <selection activeCell="D131" sqref="D131"/>
    </sheetView>
  </sheetViews>
  <sheetFormatPr baseColWidth="10" defaultColWidth="8.85546875" defaultRowHeight="15" outlineLevelRow="1" x14ac:dyDescent="0.25"/>
  <cols>
    <col min="1" max="1" width="8.85546875" style="27"/>
    <col min="2" max="2" width="17.42578125" style="27" customWidth="1"/>
    <col min="3" max="3" width="27.5703125" style="27" customWidth="1"/>
    <col min="4" max="4" width="32.140625" style="27" customWidth="1"/>
    <col min="5" max="5" width="27.5703125" style="27" customWidth="1"/>
    <col min="6" max="6" width="22.140625" style="27" customWidth="1"/>
    <col min="7" max="7" width="22.85546875" style="27" customWidth="1"/>
    <col min="8" max="8" width="97.42578125" style="27" customWidth="1"/>
    <col min="9" max="16384" width="8.85546875" style="27"/>
  </cols>
  <sheetData>
    <row r="1" spans="2:11" customFormat="1" x14ac:dyDescent="0.25"/>
    <row r="2" spans="2:11" s="31" customFormat="1" ht="22.5" x14ac:dyDescent="0.3">
      <c r="B2" s="32" t="s">
        <v>5967</v>
      </c>
    </row>
    <row r="3" spans="2:11" s="31" customFormat="1" x14ac:dyDescent="0.25">
      <c r="B3" s="31" t="s">
        <v>5968</v>
      </c>
    </row>
    <row r="4" spans="2:11" s="31" customFormat="1" x14ac:dyDescent="0.25">
      <c r="B4" s="33" t="str">
        <f>'Read me'!C8</f>
        <v>Update as of  13 March 2025</v>
      </c>
    </row>
    <row r="6" spans="2:11" x14ac:dyDescent="0.25">
      <c r="B6" s="27" t="s">
        <v>5969</v>
      </c>
    </row>
    <row r="8" spans="2:11" ht="18.75" x14ac:dyDescent="0.25">
      <c r="B8" s="199" t="s">
        <v>1070</v>
      </c>
      <c r="J8" s="229"/>
      <c r="K8" s="48"/>
    </row>
    <row r="9" spans="2:11" outlineLevel="1" x14ac:dyDescent="0.25"/>
    <row r="10" spans="2:11" ht="31.5" outlineLevel="1" x14ac:dyDescent="0.25">
      <c r="B10" s="451" t="s">
        <v>5970</v>
      </c>
      <c r="C10" s="450" t="s">
        <v>5971</v>
      </c>
      <c r="D10" s="450" t="s">
        <v>5972</v>
      </c>
      <c r="E10" s="450" t="s">
        <v>5973</v>
      </c>
      <c r="F10" s="450" t="s">
        <v>5974</v>
      </c>
      <c r="G10" s="450" t="s">
        <v>5975</v>
      </c>
      <c r="H10" s="450" t="s">
        <v>5976</v>
      </c>
    </row>
    <row r="11" spans="2:11" outlineLevel="1" x14ac:dyDescent="0.25">
      <c r="B11" s="28" t="s">
        <v>1070</v>
      </c>
      <c r="C11" s="28" t="s">
        <v>1073</v>
      </c>
      <c r="D11" s="28" t="s">
        <v>1147</v>
      </c>
      <c r="E11" s="28" t="s">
        <v>5943</v>
      </c>
      <c r="F11" s="28" t="s">
        <v>52</v>
      </c>
      <c r="G11" s="28" t="s">
        <v>52</v>
      </c>
      <c r="H11" s="200" t="s">
        <v>5977</v>
      </c>
    </row>
    <row r="12" spans="2:11" ht="25.5" outlineLevel="1" x14ac:dyDescent="0.25">
      <c r="B12" s="28" t="s">
        <v>1070</v>
      </c>
      <c r="C12" s="28" t="s">
        <v>1073</v>
      </c>
      <c r="D12" s="44" t="s">
        <v>1089</v>
      </c>
      <c r="E12" s="28" t="s">
        <v>5946</v>
      </c>
      <c r="F12" s="28" t="s">
        <v>52</v>
      </c>
      <c r="G12" s="28" t="s">
        <v>52</v>
      </c>
      <c r="H12" s="200" t="s">
        <v>5978</v>
      </c>
    </row>
    <row r="13" spans="2:11" outlineLevel="1" x14ac:dyDescent="0.25">
      <c r="B13" s="28" t="s">
        <v>1070</v>
      </c>
      <c r="C13" s="28" t="s">
        <v>1073</v>
      </c>
      <c r="D13" s="28" t="s">
        <v>5979</v>
      </c>
      <c r="E13" s="28" t="s">
        <v>5952</v>
      </c>
      <c r="F13" s="28" t="s">
        <v>52</v>
      </c>
      <c r="G13" s="28" t="s">
        <v>52</v>
      </c>
      <c r="H13" s="200" t="s">
        <v>5980</v>
      </c>
    </row>
    <row r="14" spans="2:11" ht="21.6" customHeight="1" outlineLevel="1" x14ac:dyDescent="0.25">
      <c r="B14" s="28" t="s">
        <v>1070</v>
      </c>
      <c r="C14" s="28" t="s">
        <v>1073</v>
      </c>
      <c r="D14" s="28" t="s">
        <v>1139</v>
      </c>
      <c r="E14" s="28" t="s">
        <v>5955</v>
      </c>
      <c r="F14" s="28" t="s">
        <v>52</v>
      </c>
      <c r="G14" s="28" t="s">
        <v>52</v>
      </c>
      <c r="H14" s="200" t="s">
        <v>5981</v>
      </c>
    </row>
    <row r="15" spans="2:11" outlineLevel="1" x14ac:dyDescent="0.25">
      <c r="B15" s="28" t="s">
        <v>1070</v>
      </c>
      <c r="C15" s="28" t="s">
        <v>1073</v>
      </c>
      <c r="D15" s="28" t="s">
        <v>1114</v>
      </c>
      <c r="E15" s="28" t="s">
        <v>5958</v>
      </c>
      <c r="F15" s="28" t="s">
        <v>52</v>
      </c>
      <c r="G15" s="28" t="s">
        <v>52</v>
      </c>
      <c r="H15" s="200" t="s">
        <v>5982</v>
      </c>
    </row>
    <row r="16" spans="2:11" outlineLevel="1" x14ac:dyDescent="0.25">
      <c r="B16" s="28" t="s">
        <v>1070</v>
      </c>
      <c r="C16" s="28" t="s">
        <v>1077</v>
      </c>
      <c r="D16" s="28" t="s">
        <v>1099</v>
      </c>
      <c r="E16" s="28" t="s">
        <v>5983</v>
      </c>
      <c r="F16" s="28" t="s">
        <v>52</v>
      </c>
      <c r="G16" s="28" t="s">
        <v>52</v>
      </c>
      <c r="H16" s="200" t="s">
        <v>5984</v>
      </c>
    </row>
    <row r="17" spans="2:8" outlineLevel="1" x14ac:dyDescent="0.25">
      <c r="B17" s="28" t="s">
        <v>1070</v>
      </c>
      <c r="C17" s="28" t="s">
        <v>1077</v>
      </c>
      <c r="D17" s="28" t="s">
        <v>1092</v>
      </c>
      <c r="E17" s="28" t="s">
        <v>5985</v>
      </c>
      <c r="F17" s="28" t="s">
        <v>52</v>
      </c>
      <c r="G17" s="28" t="s">
        <v>52</v>
      </c>
      <c r="H17" s="200" t="s">
        <v>5986</v>
      </c>
    </row>
    <row r="18" spans="2:8" outlineLevel="1" x14ac:dyDescent="0.25">
      <c r="B18" s="28" t="s">
        <v>1070</v>
      </c>
      <c r="C18" s="28" t="s">
        <v>1077</v>
      </c>
      <c r="D18" s="28" t="s">
        <v>1116</v>
      </c>
      <c r="E18" s="28" t="s">
        <v>5987</v>
      </c>
      <c r="F18" s="28" t="s">
        <v>52</v>
      </c>
      <c r="G18" s="28" t="s">
        <v>52</v>
      </c>
      <c r="H18" s="200" t="s">
        <v>5988</v>
      </c>
    </row>
    <row r="19" spans="2:8" outlineLevel="1" x14ac:dyDescent="0.25">
      <c r="B19" s="28" t="s">
        <v>1070</v>
      </c>
      <c r="C19" s="28" t="s">
        <v>1075</v>
      </c>
      <c r="D19" s="28" t="s">
        <v>1090</v>
      </c>
      <c r="E19" s="28" t="s">
        <v>5989</v>
      </c>
      <c r="F19" s="28" t="s">
        <v>52</v>
      </c>
      <c r="G19" s="28" t="s">
        <v>52</v>
      </c>
      <c r="H19" s="200" t="s">
        <v>5990</v>
      </c>
    </row>
    <row r="20" spans="2:8" outlineLevel="1" x14ac:dyDescent="0.25">
      <c r="B20" s="28" t="s">
        <v>1070</v>
      </c>
      <c r="C20" s="28" t="s">
        <v>1075</v>
      </c>
      <c r="D20" s="28" t="s">
        <v>5991</v>
      </c>
      <c r="E20" s="28" t="s">
        <v>5992</v>
      </c>
      <c r="F20" s="28" t="s">
        <v>52</v>
      </c>
      <c r="G20" s="28" t="s">
        <v>52</v>
      </c>
      <c r="H20" s="200" t="s">
        <v>5993</v>
      </c>
    </row>
    <row r="21" spans="2:8" ht="25.5" outlineLevel="1" x14ac:dyDescent="0.25">
      <c r="B21" s="28" t="s">
        <v>1070</v>
      </c>
      <c r="C21" s="28" t="s">
        <v>1076</v>
      </c>
      <c r="D21" s="28" t="s">
        <v>1153</v>
      </c>
      <c r="E21" s="28" t="s">
        <v>5994</v>
      </c>
      <c r="F21" s="28"/>
      <c r="G21" s="28" t="s">
        <v>5989</v>
      </c>
      <c r="H21" s="200" t="s">
        <v>5995</v>
      </c>
    </row>
    <row r="22" spans="2:8" outlineLevel="1" x14ac:dyDescent="0.25">
      <c r="B22" s="28" t="s">
        <v>1070</v>
      </c>
      <c r="C22" s="28" t="s">
        <v>1076</v>
      </c>
      <c r="D22" s="28" t="s">
        <v>1091</v>
      </c>
      <c r="E22" s="28" t="s">
        <v>5996</v>
      </c>
      <c r="F22" s="28"/>
      <c r="G22" s="28" t="s">
        <v>5989</v>
      </c>
      <c r="H22" s="200" t="s">
        <v>5997</v>
      </c>
    </row>
    <row r="23" spans="2:8" ht="38.25" outlineLevel="1" x14ac:dyDescent="0.25">
      <c r="B23" s="28" t="s">
        <v>1070</v>
      </c>
      <c r="C23" s="28" t="s">
        <v>1076</v>
      </c>
      <c r="D23" s="28" t="s">
        <v>1121</v>
      </c>
      <c r="E23" s="28" t="s">
        <v>5998</v>
      </c>
      <c r="F23" s="28"/>
      <c r="G23" s="28" t="s">
        <v>5989</v>
      </c>
      <c r="H23" s="200" t="s">
        <v>5999</v>
      </c>
    </row>
    <row r="24" spans="2:8" ht="25.5" outlineLevel="1" x14ac:dyDescent="0.25">
      <c r="B24" s="28" t="s">
        <v>1070</v>
      </c>
      <c r="C24" s="28" t="s">
        <v>1076</v>
      </c>
      <c r="D24" s="28" t="s">
        <v>2237</v>
      </c>
      <c r="E24" s="28" t="s">
        <v>6000</v>
      </c>
      <c r="F24" s="28"/>
      <c r="G24" s="28" t="s">
        <v>5989</v>
      </c>
      <c r="H24" s="200" t="s">
        <v>6001</v>
      </c>
    </row>
    <row r="25" spans="2:8" ht="38.25" outlineLevel="1" x14ac:dyDescent="0.25">
      <c r="B25" s="28" t="s">
        <v>1070</v>
      </c>
      <c r="C25" s="28" t="s">
        <v>1076</v>
      </c>
      <c r="D25" s="28" t="s">
        <v>1289</v>
      </c>
      <c r="E25" s="28" t="s">
        <v>6002</v>
      </c>
      <c r="F25" s="28"/>
      <c r="G25" s="28" t="s">
        <v>5989</v>
      </c>
      <c r="H25" s="200" t="s">
        <v>6003</v>
      </c>
    </row>
    <row r="26" spans="2:8" outlineLevel="1" x14ac:dyDescent="0.25">
      <c r="B26" s="28" t="s">
        <v>1070</v>
      </c>
      <c r="C26" s="28" t="s">
        <v>1076</v>
      </c>
      <c r="D26" s="28" t="s">
        <v>1537</v>
      </c>
      <c r="E26" s="28" t="s">
        <v>6004</v>
      </c>
      <c r="F26" s="28"/>
      <c r="G26" s="28" t="s">
        <v>5989</v>
      </c>
      <c r="H26" s="200" t="s">
        <v>6005</v>
      </c>
    </row>
    <row r="27" spans="2:8" outlineLevel="1" x14ac:dyDescent="0.25">
      <c r="B27" s="28" t="s">
        <v>1070</v>
      </c>
      <c r="C27" s="28" t="s">
        <v>1076</v>
      </c>
      <c r="D27" s="28" t="s">
        <v>1118</v>
      </c>
      <c r="E27" s="28" t="s">
        <v>6006</v>
      </c>
      <c r="F27" s="28" t="s">
        <v>5958</v>
      </c>
      <c r="G27" s="28" t="s">
        <v>5992</v>
      </c>
      <c r="H27" s="200" t="s">
        <v>6007</v>
      </c>
    </row>
    <row r="28" spans="2:8" outlineLevel="1" x14ac:dyDescent="0.25">
      <c r="B28" s="28" t="s">
        <v>1070</v>
      </c>
      <c r="C28" s="28" t="s">
        <v>1076</v>
      </c>
      <c r="D28" s="28" t="s">
        <v>1131</v>
      </c>
      <c r="E28" s="28" t="s">
        <v>6008</v>
      </c>
      <c r="F28" s="28" t="s">
        <v>5958</v>
      </c>
      <c r="G28" s="28" t="s">
        <v>5992</v>
      </c>
      <c r="H28" s="200" t="s">
        <v>1131</v>
      </c>
    </row>
    <row r="29" spans="2:8" outlineLevel="1" x14ac:dyDescent="0.25">
      <c r="B29" s="28" t="s">
        <v>1070</v>
      </c>
      <c r="C29" s="28" t="s">
        <v>1076</v>
      </c>
      <c r="D29" s="28" t="s">
        <v>1175</v>
      </c>
      <c r="E29" s="28" t="s">
        <v>6009</v>
      </c>
      <c r="F29" s="28" t="s">
        <v>5952</v>
      </c>
      <c r="G29" s="28" t="s">
        <v>5992</v>
      </c>
      <c r="H29" s="200" t="s">
        <v>6010</v>
      </c>
    </row>
    <row r="30" spans="2:8" outlineLevel="1" x14ac:dyDescent="0.25">
      <c r="B30" s="28" t="s">
        <v>1070</v>
      </c>
      <c r="C30" s="28" t="s">
        <v>1076</v>
      </c>
      <c r="D30" s="28" t="s">
        <v>1098</v>
      </c>
      <c r="E30" s="28" t="s">
        <v>6011</v>
      </c>
      <c r="F30" s="28" t="s">
        <v>5952</v>
      </c>
      <c r="G30" s="28" t="s">
        <v>5992</v>
      </c>
      <c r="H30" s="200" t="s">
        <v>6012</v>
      </c>
    </row>
    <row r="31" spans="2:8" ht="25.5" outlineLevel="1" x14ac:dyDescent="0.25">
      <c r="B31" s="28" t="s">
        <v>1070</v>
      </c>
      <c r="C31" s="28" t="s">
        <v>1076</v>
      </c>
      <c r="D31" s="28" t="s">
        <v>1162</v>
      </c>
      <c r="E31" s="28" t="s">
        <v>6013</v>
      </c>
      <c r="F31" s="28" t="s">
        <v>5952</v>
      </c>
      <c r="G31" s="28" t="s">
        <v>5992</v>
      </c>
      <c r="H31" s="200" t="s">
        <v>6014</v>
      </c>
    </row>
    <row r="32" spans="2:8" outlineLevel="1" x14ac:dyDescent="0.25">
      <c r="B32" s="28" t="s">
        <v>1070</v>
      </c>
      <c r="C32" s="28" t="s">
        <v>1076</v>
      </c>
      <c r="D32" s="28" t="s">
        <v>1137</v>
      </c>
      <c r="E32" s="28" t="s">
        <v>6015</v>
      </c>
      <c r="F32" s="28" t="s">
        <v>5952</v>
      </c>
      <c r="G32" s="28" t="s">
        <v>5992</v>
      </c>
      <c r="H32" s="200" t="s">
        <v>6016</v>
      </c>
    </row>
    <row r="33" spans="2:8" ht="14.45" customHeight="1" outlineLevel="1" x14ac:dyDescent="0.25">
      <c r="B33" s="28" t="s">
        <v>1070</v>
      </c>
      <c r="C33" s="28" t="s">
        <v>1076</v>
      </c>
      <c r="D33" s="28" t="s">
        <v>1104</v>
      </c>
      <c r="E33" s="28" t="s">
        <v>6017</v>
      </c>
      <c r="F33" s="28" t="s">
        <v>5952</v>
      </c>
      <c r="G33" s="28" t="s">
        <v>5992</v>
      </c>
      <c r="H33" s="200" t="s">
        <v>6018</v>
      </c>
    </row>
    <row r="34" spans="2:8" outlineLevel="1" x14ac:dyDescent="0.25">
      <c r="B34" s="28" t="s">
        <v>1070</v>
      </c>
      <c r="C34" s="28" t="s">
        <v>1076</v>
      </c>
      <c r="D34" s="28" t="s">
        <v>1102</v>
      </c>
      <c r="E34" s="28" t="s">
        <v>6019</v>
      </c>
      <c r="F34" s="28" t="s">
        <v>5952</v>
      </c>
      <c r="G34" s="28" t="s">
        <v>5992</v>
      </c>
      <c r="H34" s="200" t="s">
        <v>6020</v>
      </c>
    </row>
    <row r="35" spans="2:8" ht="30" outlineLevel="1" x14ac:dyDescent="0.25">
      <c r="B35" s="28" t="s">
        <v>1070</v>
      </c>
      <c r="C35" s="28" t="s">
        <v>1076</v>
      </c>
      <c r="D35" s="28" t="s">
        <v>1223</v>
      </c>
      <c r="E35" s="28" t="s">
        <v>6021</v>
      </c>
      <c r="F35" s="28" t="s">
        <v>5952</v>
      </c>
      <c r="G35" s="28" t="s">
        <v>5992</v>
      </c>
      <c r="H35" s="200" t="s">
        <v>6022</v>
      </c>
    </row>
    <row r="36" spans="2:8" ht="30" outlineLevel="1" x14ac:dyDescent="0.25">
      <c r="B36" s="532" t="s">
        <v>1070</v>
      </c>
      <c r="C36" s="532" t="s">
        <v>1076</v>
      </c>
      <c r="D36" s="532" t="s">
        <v>6023</v>
      </c>
      <c r="E36" s="532" t="s">
        <v>6024</v>
      </c>
      <c r="F36" s="532" t="s">
        <v>5952</v>
      </c>
      <c r="G36" s="532" t="s">
        <v>5992</v>
      </c>
      <c r="H36" s="533" t="s">
        <v>6025</v>
      </c>
    </row>
    <row r="37" spans="2:8" outlineLevel="1" x14ac:dyDescent="0.25">
      <c r="B37" s="28" t="s">
        <v>1070</v>
      </c>
      <c r="C37" s="28" t="s">
        <v>1076</v>
      </c>
      <c r="D37" s="28" t="s">
        <v>1397</v>
      </c>
      <c r="E37" s="28" t="s">
        <v>6026</v>
      </c>
      <c r="F37" s="28" t="s">
        <v>5952</v>
      </c>
      <c r="G37" s="28" t="s">
        <v>5992</v>
      </c>
      <c r="H37" s="200" t="s">
        <v>6027</v>
      </c>
    </row>
    <row r="38" spans="2:8" outlineLevel="1" x14ac:dyDescent="0.25">
      <c r="B38" s="28" t="s">
        <v>1070</v>
      </c>
      <c r="C38" s="28" t="s">
        <v>1076</v>
      </c>
      <c r="D38" s="28" t="s">
        <v>1140</v>
      </c>
      <c r="E38" s="28" t="s">
        <v>6028</v>
      </c>
      <c r="F38" s="28" t="s">
        <v>5955</v>
      </c>
      <c r="G38" s="28" t="s">
        <v>5992</v>
      </c>
      <c r="H38" s="201" t="s">
        <v>6029</v>
      </c>
    </row>
    <row r="39" spans="2:8" outlineLevel="1" x14ac:dyDescent="0.25">
      <c r="B39" s="28" t="s">
        <v>1070</v>
      </c>
      <c r="C39" s="28" t="s">
        <v>1074</v>
      </c>
      <c r="D39" s="146" t="s">
        <v>1089</v>
      </c>
      <c r="E39" s="28" t="s">
        <v>6030</v>
      </c>
      <c r="F39" s="28" t="s">
        <v>6031</v>
      </c>
      <c r="G39" s="28"/>
      <c r="H39" s="200" t="s">
        <v>6032</v>
      </c>
    </row>
    <row r="40" spans="2:8" ht="30" outlineLevel="1" x14ac:dyDescent="0.25">
      <c r="B40" s="28" t="s">
        <v>1070</v>
      </c>
      <c r="C40" s="28" t="s">
        <v>1074</v>
      </c>
      <c r="D40" s="28" t="s">
        <v>1115</v>
      </c>
      <c r="E40" s="28" t="s">
        <v>6033</v>
      </c>
      <c r="F40" s="184" t="s">
        <v>6034</v>
      </c>
      <c r="G40" s="28"/>
      <c r="H40" s="200" t="s">
        <v>6035</v>
      </c>
    </row>
    <row r="41" spans="2:8" ht="30" outlineLevel="1" x14ac:dyDescent="0.25">
      <c r="B41" s="28" t="s">
        <v>1070</v>
      </c>
      <c r="C41" s="28" t="s">
        <v>1074</v>
      </c>
      <c r="D41" s="28" t="s">
        <v>1096</v>
      </c>
      <c r="E41" s="28" t="s">
        <v>6036</v>
      </c>
      <c r="F41" s="28" t="s">
        <v>6034</v>
      </c>
      <c r="G41" s="28"/>
      <c r="H41" s="200" t="s">
        <v>6037</v>
      </c>
    </row>
    <row r="42" spans="2:8" ht="45" outlineLevel="1" x14ac:dyDescent="0.25">
      <c r="B42" s="28" t="s">
        <v>1070</v>
      </c>
      <c r="C42" s="28" t="s">
        <v>1074</v>
      </c>
      <c r="D42" s="28" t="s">
        <v>5932</v>
      </c>
      <c r="E42" s="28" t="s">
        <v>6038</v>
      </c>
      <c r="F42" s="28" t="s">
        <v>6039</v>
      </c>
      <c r="G42" s="28"/>
      <c r="H42" s="200" t="s">
        <v>6040</v>
      </c>
    </row>
    <row r="43" spans="2:8" outlineLevel="1" x14ac:dyDescent="0.25">
      <c r="B43" s="28" t="s">
        <v>1070</v>
      </c>
      <c r="C43" s="28" t="s">
        <v>40</v>
      </c>
      <c r="D43" s="28" t="s">
        <v>70</v>
      </c>
      <c r="E43" s="27" t="s">
        <v>1221</v>
      </c>
      <c r="F43" s="28" t="s">
        <v>52</v>
      </c>
      <c r="G43" s="28" t="s">
        <v>52</v>
      </c>
      <c r="H43" s="200" t="s">
        <v>6041</v>
      </c>
    </row>
    <row r="44" spans="2:8" outlineLevel="1" x14ac:dyDescent="0.25">
      <c r="B44" s="28" t="s">
        <v>1070</v>
      </c>
      <c r="C44" s="28" t="s">
        <v>40</v>
      </c>
      <c r="D44" s="28" t="s">
        <v>83</v>
      </c>
      <c r="E44" s="27" t="s">
        <v>1402</v>
      </c>
      <c r="F44" s="28" t="s">
        <v>52</v>
      </c>
      <c r="G44" s="28" t="s">
        <v>52</v>
      </c>
      <c r="H44" s="200" t="s">
        <v>6042</v>
      </c>
    </row>
    <row r="45" spans="2:8" outlineLevel="1" x14ac:dyDescent="0.25">
      <c r="B45" s="28" t="s">
        <v>1070</v>
      </c>
      <c r="C45" s="28" t="s">
        <v>40</v>
      </c>
      <c r="D45" s="28" t="s">
        <v>240</v>
      </c>
      <c r="E45" s="27" t="s">
        <v>6043</v>
      </c>
      <c r="F45" s="28" t="s">
        <v>52</v>
      </c>
      <c r="G45" s="28" t="s">
        <v>52</v>
      </c>
      <c r="H45" s="200" t="s">
        <v>6044</v>
      </c>
    </row>
    <row r="46" spans="2:8" ht="25.5" outlineLevel="1" x14ac:dyDescent="0.25">
      <c r="B46" s="28" t="s">
        <v>1070</v>
      </c>
      <c r="C46" s="28" t="s">
        <v>40</v>
      </c>
      <c r="D46" s="28" t="s">
        <v>6045</v>
      </c>
      <c r="E46" s="27" t="s">
        <v>6046</v>
      </c>
      <c r="F46" s="28" t="s">
        <v>52</v>
      </c>
      <c r="G46" s="28" t="s">
        <v>52</v>
      </c>
      <c r="H46" s="200" t="s">
        <v>6047</v>
      </c>
    </row>
    <row r="47" spans="2:8" outlineLevel="1" x14ac:dyDescent="0.25">
      <c r="B47" s="28" t="s">
        <v>1070</v>
      </c>
      <c r="C47" s="28" t="s">
        <v>40</v>
      </c>
      <c r="D47" s="28" t="s">
        <v>6048</v>
      </c>
      <c r="E47" s="27" t="s">
        <v>6049</v>
      </c>
      <c r="F47" s="28" t="s">
        <v>52</v>
      </c>
      <c r="G47" s="28" t="s">
        <v>52</v>
      </c>
      <c r="H47" s="200" t="s">
        <v>6050</v>
      </c>
    </row>
    <row r="48" spans="2:8" outlineLevel="1" x14ac:dyDescent="0.25">
      <c r="B48" s="28" t="s">
        <v>1070</v>
      </c>
      <c r="C48" s="28" t="s">
        <v>40</v>
      </c>
      <c r="D48" s="28" t="s">
        <v>6051</v>
      </c>
      <c r="E48" s="27" t="s">
        <v>6052</v>
      </c>
      <c r="F48" s="28" t="s">
        <v>52</v>
      </c>
      <c r="G48" s="28" t="s">
        <v>52</v>
      </c>
      <c r="H48" s="200" t="s">
        <v>6053</v>
      </c>
    </row>
    <row r="49" spans="2:8" outlineLevel="1" x14ac:dyDescent="0.25">
      <c r="B49" s="28" t="s">
        <v>1070</v>
      </c>
      <c r="C49" s="28" t="s">
        <v>40</v>
      </c>
      <c r="D49" s="28" t="s">
        <v>304</v>
      </c>
      <c r="E49" s="27" t="s">
        <v>1844</v>
      </c>
      <c r="F49" s="28" t="s">
        <v>52</v>
      </c>
      <c r="G49" s="28" t="s">
        <v>52</v>
      </c>
      <c r="H49" s="200" t="s">
        <v>6054</v>
      </c>
    </row>
    <row r="50" spans="2:8" ht="25.5" outlineLevel="1" x14ac:dyDescent="0.25">
      <c r="B50" s="28" t="s">
        <v>1070</v>
      </c>
      <c r="C50" s="28" t="s">
        <v>40</v>
      </c>
      <c r="D50" s="28" t="s">
        <v>337</v>
      </c>
      <c r="E50" s="27" t="s">
        <v>6055</v>
      </c>
      <c r="F50" s="28" t="s">
        <v>52</v>
      </c>
      <c r="G50" s="28" t="s">
        <v>52</v>
      </c>
      <c r="H50" s="200" t="s">
        <v>6056</v>
      </c>
    </row>
    <row r="51" spans="2:8" outlineLevel="1" x14ac:dyDescent="0.25">
      <c r="B51" s="28" t="s">
        <v>1070</v>
      </c>
      <c r="C51" s="28" t="s">
        <v>40</v>
      </c>
      <c r="D51" s="28" t="s">
        <v>6057</v>
      </c>
      <c r="E51" s="27" t="s">
        <v>6058</v>
      </c>
      <c r="F51" s="28" t="s">
        <v>52</v>
      </c>
      <c r="G51" s="28" t="s">
        <v>52</v>
      </c>
      <c r="H51" s="200"/>
    </row>
    <row r="52" spans="2:8" outlineLevel="1" x14ac:dyDescent="0.25">
      <c r="B52" s="28" t="s">
        <v>1070</v>
      </c>
      <c r="C52" s="28" t="s">
        <v>40</v>
      </c>
      <c r="D52" s="28" t="s">
        <v>52</v>
      </c>
      <c r="E52" s="28" t="s">
        <v>52</v>
      </c>
      <c r="F52" s="28" t="s">
        <v>52</v>
      </c>
      <c r="G52" s="28" t="s">
        <v>52</v>
      </c>
      <c r="H52" s="200"/>
    </row>
    <row r="53" spans="2:8" outlineLevel="1" x14ac:dyDescent="0.25">
      <c r="B53" s="28" t="s">
        <v>6059</v>
      </c>
      <c r="C53" s="28" t="s">
        <v>6060</v>
      </c>
      <c r="D53" s="28" t="s">
        <v>6061</v>
      </c>
      <c r="E53" s="28" t="s">
        <v>52</v>
      </c>
      <c r="F53" s="28" t="s">
        <v>52</v>
      </c>
      <c r="G53" s="28" t="s">
        <v>52</v>
      </c>
      <c r="H53" s="200"/>
    </row>
    <row r="54" spans="2:8" outlineLevel="1" x14ac:dyDescent="0.25">
      <c r="B54" s="28" t="s">
        <v>6059</v>
      </c>
      <c r="C54" s="28" t="s">
        <v>6060</v>
      </c>
      <c r="D54" s="28" t="s">
        <v>6062</v>
      </c>
      <c r="E54" s="28" t="s">
        <v>52</v>
      </c>
      <c r="F54" s="28" t="s">
        <v>52</v>
      </c>
      <c r="G54" s="28" t="s">
        <v>52</v>
      </c>
      <c r="H54" s="200"/>
    </row>
    <row r="55" spans="2:8" outlineLevel="1" x14ac:dyDescent="0.25">
      <c r="B55" s="28" t="s">
        <v>6059</v>
      </c>
      <c r="C55" s="28" t="s">
        <v>6060</v>
      </c>
      <c r="D55" s="28" t="s">
        <v>6063</v>
      </c>
      <c r="E55" s="28" t="s">
        <v>52</v>
      </c>
      <c r="F55" s="28" t="s">
        <v>52</v>
      </c>
      <c r="G55" s="28" t="s">
        <v>52</v>
      </c>
      <c r="H55" s="200"/>
    </row>
    <row r="56" spans="2:8" outlineLevel="1" x14ac:dyDescent="0.25">
      <c r="B56" s="28" t="s">
        <v>6059</v>
      </c>
      <c r="C56" s="28" t="s">
        <v>6060</v>
      </c>
      <c r="D56" s="28" t="s">
        <v>6064</v>
      </c>
      <c r="E56" s="28" t="s">
        <v>52</v>
      </c>
      <c r="F56" s="28" t="s">
        <v>52</v>
      </c>
      <c r="G56" s="28" t="s">
        <v>52</v>
      </c>
      <c r="H56" s="200"/>
    </row>
    <row r="57" spans="2:8" ht="30" outlineLevel="1" x14ac:dyDescent="0.25">
      <c r="B57" s="28" t="s">
        <v>6059</v>
      </c>
      <c r="C57" s="28" t="s">
        <v>486</v>
      </c>
      <c r="D57" s="28" t="s">
        <v>1265</v>
      </c>
      <c r="E57" s="28" t="s">
        <v>52</v>
      </c>
      <c r="F57" s="28" t="s">
        <v>52</v>
      </c>
      <c r="G57" s="28" t="s">
        <v>52</v>
      </c>
      <c r="H57" s="200"/>
    </row>
    <row r="58" spans="2:8" outlineLevel="1" x14ac:dyDescent="0.25">
      <c r="B58" s="28" t="s">
        <v>6059</v>
      </c>
      <c r="C58" s="28" t="s">
        <v>486</v>
      </c>
      <c r="D58" s="28" t="s">
        <v>526</v>
      </c>
      <c r="E58" s="28" t="s">
        <v>52</v>
      </c>
      <c r="F58" s="28" t="s">
        <v>52</v>
      </c>
      <c r="G58" s="28" t="s">
        <v>52</v>
      </c>
      <c r="H58" s="200"/>
    </row>
    <row r="59" spans="2:8" outlineLevel="1" x14ac:dyDescent="0.25">
      <c r="B59" s="28" t="s">
        <v>6059</v>
      </c>
      <c r="C59" s="28" t="s">
        <v>486</v>
      </c>
      <c r="D59" s="28" t="s">
        <v>539</v>
      </c>
      <c r="E59" s="28" t="s">
        <v>52</v>
      </c>
      <c r="F59" s="28" t="s">
        <v>52</v>
      </c>
      <c r="G59" s="28" t="s">
        <v>52</v>
      </c>
      <c r="H59" s="200"/>
    </row>
    <row r="60" spans="2:8" outlineLevel="1" x14ac:dyDescent="0.25">
      <c r="B60" s="28" t="s">
        <v>6059</v>
      </c>
      <c r="C60" s="28" t="s">
        <v>486</v>
      </c>
      <c r="D60" s="28" t="s">
        <v>6065</v>
      </c>
      <c r="E60" s="28" t="s">
        <v>52</v>
      </c>
      <c r="F60" s="28" t="s">
        <v>52</v>
      </c>
      <c r="G60" s="28" t="s">
        <v>52</v>
      </c>
      <c r="H60" s="200"/>
    </row>
    <row r="61" spans="2:8" outlineLevel="1" x14ac:dyDescent="0.25">
      <c r="B61" s="28" t="s">
        <v>6059</v>
      </c>
      <c r="C61" s="28" t="s">
        <v>486</v>
      </c>
      <c r="D61" s="28" t="s">
        <v>6066</v>
      </c>
      <c r="E61" s="28" t="s">
        <v>52</v>
      </c>
      <c r="F61" s="28" t="s">
        <v>52</v>
      </c>
      <c r="G61" s="28" t="s">
        <v>52</v>
      </c>
      <c r="H61" s="200"/>
    </row>
    <row r="62" spans="2:8" outlineLevel="1" x14ac:dyDescent="0.25">
      <c r="B62" s="28" t="s">
        <v>6059</v>
      </c>
      <c r="C62" s="28" t="s">
        <v>486</v>
      </c>
      <c r="D62" s="28" t="s">
        <v>6064</v>
      </c>
      <c r="E62" s="28" t="s">
        <v>52</v>
      </c>
      <c r="F62" s="28" t="s">
        <v>52</v>
      </c>
      <c r="G62" s="28" t="s">
        <v>52</v>
      </c>
      <c r="H62" s="200"/>
    </row>
    <row r="63" spans="2:8" outlineLevel="1" x14ac:dyDescent="0.25">
      <c r="B63" s="28"/>
      <c r="C63" s="28"/>
      <c r="D63" s="28"/>
      <c r="E63" s="28"/>
      <c r="F63" s="28"/>
      <c r="G63" s="28"/>
      <c r="H63" s="200"/>
    </row>
    <row r="64" spans="2:8" outlineLevel="1" x14ac:dyDescent="0.25">
      <c r="B64" s="28"/>
      <c r="C64" s="28"/>
      <c r="D64" s="28"/>
      <c r="E64" s="28"/>
      <c r="F64" s="28"/>
      <c r="G64" s="28"/>
      <c r="H64" s="200"/>
    </row>
    <row r="65" spans="2:8" outlineLevel="1" x14ac:dyDescent="0.25">
      <c r="B65" s="28"/>
      <c r="C65" s="28"/>
      <c r="D65" s="28"/>
      <c r="E65" s="28"/>
      <c r="F65" s="28"/>
      <c r="G65" s="28"/>
      <c r="H65" s="200"/>
    </row>
    <row r="66" spans="2:8" outlineLevel="1" x14ac:dyDescent="0.25"/>
    <row r="67" spans="2:8" outlineLevel="1" x14ac:dyDescent="0.25"/>
    <row r="70" spans="2:8" ht="18.75" x14ac:dyDescent="0.25">
      <c r="B70" s="199" t="s">
        <v>1235</v>
      </c>
    </row>
    <row r="71" spans="2:8" outlineLevel="1" x14ac:dyDescent="0.25"/>
    <row r="72" spans="2:8" ht="31.5" outlineLevel="1" x14ac:dyDescent="0.25">
      <c r="B72" s="451" t="s">
        <v>5970</v>
      </c>
      <c r="C72" s="451" t="s">
        <v>6067</v>
      </c>
      <c r="D72" s="450" t="s">
        <v>5972</v>
      </c>
      <c r="E72" s="450" t="s">
        <v>6068</v>
      </c>
      <c r="F72" s="450" t="s">
        <v>6069</v>
      </c>
      <c r="G72" s="450" t="s">
        <v>6070</v>
      </c>
      <c r="H72" s="450" t="s">
        <v>5976</v>
      </c>
    </row>
    <row r="73" spans="2:8" ht="45" outlineLevel="1" x14ac:dyDescent="0.25">
      <c r="B73" s="452" t="s">
        <v>1235</v>
      </c>
      <c r="C73" s="453" t="s">
        <v>6071</v>
      </c>
      <c r="D73" s="452" t="s">
        <v>2343</v>
      </c>
      <c r="E73" s="454" t="s">
        <v>6072</v>
      </c>
      <c r="F73" s="455" t="s">
        <v>52</v>
      </c>
      <c r="G73" s="455" t="s">
        <v>52</v>
      </c>
      <c r="H73" s="455" t="s">
        <v>6073</v>
      </c>
    </row>
    <row r="74" spans="2:8" ht="55.5" customHeight="1" outlineLevel="1" x14ac:dyDescent="0.25">
      <c r="B74" s="456" t="s">
        <v>1235</v>
      </c>
      <c r="C74" s="457" t="s">
        <v>6071</v>
      </c>
      <c r="D74" s="456" t="s">
        <v>2350</v>
      </c>
      <c r="E74" s="458" t="s">
        <v>6074</v>
      </c>
      <c r="F74" s="458" t="s">
        <v>52</v>
      </c>
      <c r="G74" s="458" t="s">
        <v>52</v>
      </c>
      <c r="H74" s="458" t="s">
        <v>6075</v>
      </c>
    </row>
    <row r="75" spans="2:8" ht="30" outlineLevel="1" x14ac:dyDescent="0.25">
      <c r="B75" s="516" t="s">
        <v>1235</v>
      </c>
      <c r="C75" s="517" t="s">
        <v>6071</v>
      </c>
      <c r="D75" s="518" t="s">
        <v>2338</v>
      </c>
      <c r="E75" s="516" t="s">
        <v>6076</v>
      </c>
      <c r="F75" s="518" t="s">
        <v>52</v>
      </c>
      <c r="G75" s="518" t="s">
        <v>52</v>
      </c>
      <c r="H75" s="518" t="s">
        <v>6077</v>
      </c>
    </row>
    <row r="76" spans="2:8" ht="30" outlineLevel="1" x14ac:dyDescent="0.25">
      <c r="B76" s="459" t="s">
        <v>1235</v>
      </c>
      <c r="C76" s="519" t="s">
        <v>6071</v>
      </c>
      <c r="D76" s="520" t="s">
        <v>2358</v>
      </c>
      <c r="E76" s="459" t="s">
        <v>6078</v>
      </c>
      <c r="F76" s="459" t="s">
        <v>52</v>
      </c>
      <c r="G76" s="459" t="s">
        <v>52</v>
      </c>
      <c r="H76" s="459" t="s">
        <v>6079</v>
      </c>
    </row>
    <row r="77" spans="2:8" ht="30" outlineLevel="1" x14ac:dyDescent="0.25">
      <c r="B77" s="460" t="s">
        <v>1235</v>
      </c>
      <c r="C77" s="461" t="s">
        <v>6071</v>
      </c>
      <c r="D77" s="462" t="s">
        <v>2329</v>
      </c>
      <c r="E77" s="463" t="s">
        <v>6080</v>
      </c>
      <c r="F77" s="464" t="s">
        <v>52</v>
      </c>
      <c r="G77" s="464" t="s">
        <v>52</v>
      </c>
      <c r="H77" s="560" t="s">
        <v>6081</v>
      </c>
    </row>
    <row r="78" spans="2:8" ht="38.450000000000003" customHeight="1" outlineLevel="1" thickBot="1" x14ac:dyDescent="0.3">
      <c r="B78" s="508" t="s">
        <v>1235</v>
      </c>
      <c r="C78" s="509" t="s">
        <v>6071</v>
      </c>
      <c r="D78" s="508" t="s">
        <v>2484</v>
      </c>
      <c r="E78" s="510" t="s">
        <v>6082</v>
      </c>
      <c r="F78" s="510" t="s">
        <v>52</v>
      </c>
      <c r="G78" s="510" t="s">
        <v>52</v>
      </c>
      <c r="H78" s="510" t="s">
        <v>6083</v>
      </c>
    </row>
    <row r="79" spans="2:8" ht="45" outlineLevel="1" x14ac:dyDescent="0.25">
      <c r="B79" s="505" t="s">
        <v>1235</v>
      </c>
      <c r="C79" s="506" t="s">
        <v>6084</v>
      </c>
      <c r="D79" s="507" t="s">
        <v>2377</v>
      </c>
      <c r="E79" s="505" t="s">
        <v>6085</v>
      </c>
      <c r="F79" s="505" t="s">
        <v>6072</v>
      </c>
      <c r="G79" s="505" t="s">
        <v>52</v>
      </c>
      <c r="H79" s="505" t="s">
        <v>6086</v>
      </c>
    </row>
    <row r="80" spans="2:8" ht="45" outlineLevel="1" x14ac:dyDescent="0.25">
      <c r="B80" s="465" t="s">
        <v>1235</v>
      </c>
      <c r="C80" s="466" t="s">
        <v>6084</v>
      </c>
      <c r="D80" s="467" t="s">
        <v>2386</v>
      </c>
      <c r="E80" s="465" t="s">
        <v>6087</v>
      </c>
      <c r="F80" s="465" t="s">
        <v>6072</v>
      </c>
      <c r="G80" s="465" t="s">
        <v>52</v>
      </c>
      <c r="H80" s="467" t="s">
        <v>6088</v>
      </c>
    </row>
    <row r="81" spans="2:8" ht="30" outlineLevel="1" x14ac:dyDescent="0.25">
      <c r="B81" s="465" t="s">
        <v>1235</v>
      </c>
      <c r="C81" s="466" t="s">
        <v>6084</v>
      </c>
      <c r="D81" s="467" t="s">
        <v>2429</v>
      </c>
      <c r="E81" s="465" t="s">
        <v>6089</v>
      </c>
      <c r="F81" s="465" t="s">
        <v>6072</v>
      </c>
      <c r="G81" s="465" t="s">
        <v>52</v>
      </c>
      <c r="H81" s="465" t="s">
        <v>6090</v>
      </c>
    </row>
    <row r="82" spans="2:8" ht="30" outlineLevel="1" x14ac:dyDescent="0.25">
      <c r="B82" s="465" t="s">
        <v>1235</v>
      </c>
      <c r="C82" s="466" t="s">
        <v>6084</v>
      </c>
      <c r="D82" s="467" t="s">
        <v>2361</v>
      </c>
      <c r="E82" s="465" t="s">
        <v>6091</v>
      </c>
      <c r="F82" s="465" t="s">
        <v>6072</v>
      </c>
      <c r="G82" s="465" t="s">
        <v>52</v>
      </c>
      <c r="H82" s="465" t="s">
        <v>6092</v>
      </c>
    </row>
    <row r="83" spans="2:8" ht="23.1" customHeight="1" outlineLevel="1" x14ac:dyDescent="0.25">
      <c r="B83" s="465" t="s">
        <v>1235</v>
      </c>
      <c r="C83" s="466" t="s">
        <v>6084</v>
      </c>
      <c r="D83" s="467" t="s">
        <v>2344</v>
      </c>
      <c r="E83" s="465" t="s">
        <v>6093</v>
      </c>
      <c r="F83" s="465" t="s">
        <v>6072</v>
      </c>
      <c r="G83" s="465" t="s">
        <v>52</v>
      </c>
      <c r="H83" s="465" t="s">
        <v>6094</v>
      </c>
    </row>
    <row r="84" spans="2:8" ht="30" outlineLevel="1" x14ac:dyDescent="0.25">
      <c r="B84" s="468" t="s">
        <v>1235</v>
      </c>
      <c r="C84" s="469" t="s">
        <v>6084</v>
      </c>
      <c r="D84" s="470" t="s">
        <v>2370</v>
      </c>
      <c r="E84" s="468" t="s">
        <v>6095</v>
      </c>
      <c r="F84" s="468" t="s">
        <v>6074</v>
      </c>
      <c r="G84" s="468" t="s">
        <v>52</v>
      </c>
      <c r="H84" s="468" t="s">
        <v>6096</v>
      </c>
    </row>
    <row r="85" spans="2:8" ht="30" outlineLevel="1" x14ac:dyDescent="0.25">
      <c r="B85" s="468" t="s">
        <v>1235</v>
      </c>
      <c r="C85" s="469" t="s">
        <v>6084</v>
      </c>
      <c r="D85" s="470" t="s">
        <v>2456</v>
      </c>
      <c r="E85" s="468" t="s">
        <v>6097</v>
      </c>
      <c r="F85" s="468" t="s">
        <v>6074</v>
      </c>
      <c r="G85" s="468" t="s">
        <v>52</v>
      </c>
      <c r="H85" s="468" t="s">
        <v>6098</v>
      </c>
    </row>
    <row r="86" spans="2:8" ht="24.6" customHeight="1" outlineLevel="1" x14ac:dyDescent="0.25">
      <c r="B86" s="468" t="s">
        <v>1235</v>
      </c>
      <c r="C86" s="469" t="s">
        <v>6084</v>
      </c>
      <c r="D86" s="470" t="s">
        <v>2351</v>
      </c>
      <c r="E86" s="468" t="s">
        <v>6099</v>
      </c>
      <c r="F86" s="468" t="s">
        <v>6074</v>
      </c>
      <c r="G86" s="468" t="s">
        <v>52</v>
      </c>
      <c r="H86" s="468" t="s">
        <v>6100</v>
      </c>
    </row>
    <row r="87" spans="2:8" ht="26.45" customHeight="1" outlineLevel="1" x14ac:dyDescent="0.25">
      <c r="B87" s="468" t="s">
        <v>1235</v>
      </c>
      <c r="C87" s="469" t="s">
        <v>6084</v>
      </c>
      <c r="D87" s="470" t="s">
        <v>2407</v>
      </c>
      <c r="E87" s="468" t="s">
        <v>6101</v>
      </c>
      <c r="F87" s="468" t="s">
        <v>6074</v>
      </c>
      <c r="G87" s="468" t="s">
        <v>52</v>
      </c>
      <c r="H87" s="468" t="s">
        <v>6102</v>
      </c>
    </row>
    <row r="88" spans="2:8" ht="21.6" customHeight="1" outlineLevel="1" x14ac:dyDescent="0.25">
      <c r="B88" s="471" t="s">
        <v>1235</v>
      </c>
      <c r="C88" s="472" t="s">
        <v>6084</v>
      </c>
      <c r="D88" s="473" t="s">
        <v>2339</v>
      </c>
      <c r="E88" s="471" t="s">
        <v>6103</v>
      </c>
      <c r="F88" s="474" t="s">
        <v>6076</v>
      </c>
      <c r="G88" s="471" t="s">
        <v>52</v>
      </c>
      <c r="H88" s="473" t="s">
        <v>6104</v>
      </c>
    </row>
    <row r="89" spans="2:8" ht="21.95" customHeight="1" outlineLevel="1" x14ac:dyDescent="0.25">
      <c r="B89" s="475" t="s">
        <v>1235</v>
      </c>
      <c r="C89" s="476" t="s">
        <v>6084</v>
      </c>
      <c r="D89" s="477" t="s">
        <v>2359</v>
      </c>
      <c r="E89" s="475" t="s">
        <v>6105</v>
      </c>
      <c r="F89" s="478" t="s">
        <v>6078</v>
      </c>
      <c r="G89" s="475" t="s">
        <v>52</v>
      </c>
      <c r="H89" s="475" t="s">
        <v>6106</v>
      </c>
    </row>
    <row r="90" spans="2:8" ht="20.45" customHeight="1" outlineLevel="1" x14ac:dyDescent="0.25">
      <c r="B90" s="479" t="s">
        <v>1235</v>
      </c>
      <c r="C90" s="480" t="s">
        <v>6084</v>
      </c>
      <c r="D90" s="481" t="s">
        <v>2330</v>
      </c>
      <c r="E90" s="479" t="s">
        <v>6107</v>
      </c>
      <c r="F90" s="479" t="s">
        <v>6080</v>
      </c>
      <c r="G90" s="479" t="s">
        <v>52</v>
      </c>
      <c r="H90" s="479" t="s">
        <v>6108</v>
      </c>
    </row>
    <row r="91" spans="2:8" ht="21" customHeight="1" outlineLevel="1" x14ac:dyDescent="0.25">
      <c r="B91" s="482" t="s">
        <v>1235</v>
      </c>
      <c r="C91" s="483" t="s">
        <v>6084</v>
      </c>
      <c r="D91" s="484" t="s">
        <v>2488</v>
      </c>
      <c r="E91" s="482" t="s">
        <v>6109</v>
      </c>
      <c r="F91" s="482" t="s">
        <v>6082</v>
      </c>
      <c r="G91" s="482" t="s">
        <v>52</v>
      </c>
      <c r="H91" s="482" t="s">
        <v>6110</v>
      </c>
    </row>
    <row r="92" spans="2:8" ht="20.100000000000001" customHeight="1" outlineLevel="1" thickBot="1" x14ac:dyDescent="0.3">
      <c r="B92" s="513" t="s">
        <v>1235</v>
      </c>
      <c r="C92" s="514" t="s">
        <v>6084</v>
      </c>
      <c r="D92" s="515" t="s">
        <v>2485</v>
      </c>
      <c r="E92" s="513" t="s">
        <v>6111</v>
      </c>
      <c r="F92" s="513" t="s">
        <v>6082</v>
      </c>
      <c r="G92" s="513" t="s">
        <v>52</v>
      </c>
      <c r="H92" s="513" t="s">
        <v>6112</v>
      </c>
    </row>
    <row r="93" spans="2:8" ht="42" customHeight="1" outlineLevel="1" x14ac:dyDescent="0.25">
      <c r="B93" s="485" t="s">
        <v>1235</v>
      </c>
      <c r="C93" s="486" t="s">
        <v>6113</v>
      </c>
      <c r="D93" s="485" t="s">
        <v>2394</v>
      </c>
      <c r="E93" s="485" t="s">
        <v>6114</v>
      </c>
      <c r="F93" s="485" t="s">
        <v>6072</v>
      </c>
      <c r="G93" s="485" t="s">
        <v>6085</v>
      </c>
      <c r="H93" s="485" t="s">
        <v>6115</v>
      </c>
    </row>
    <row r="94" spans="2:8" ht="90" outlineLevel="1" x14ac:dyDescent="0.25">
      <c r="B94" s="511" t="s">
        <v>1235</v>
      </c>
      <c r="C94" s="512" t="s">
        <v>6113</v>
      </c>
      <c r="D94" s="527" t="s">
        <v>2521</v>
      </c>
      <c r="E94" s="511" t="s">
        <v>6116</v>
      </c>
      <c r="F94" s="511" t="s">
        <v>6072</v>
      </c>
      <c r="G94" s="511" t="s">
        <v>6085</v>
      </c>
      <c r="H94" s="527" t="s">
        <v>6117</v>
      </c>
    </row>
    <row r="95" spans="2:8" ht="30" outlineLevel="1" x14ac:dyDescent="0.25">
      <c r="B95" s="485" t="s">
        <v>1235</v>
      </c>
      <c r="C95" s="486" t="s">
        <v>6113</v>
      </c>
      <c r="D95" s="485" t="s">
        <v>2378</v>
      </c>
      <c r="E95" s="485" t="s">
        <v>6118</v>
      </c>
      <c r="F95" s="485" t="s">
        <v>6072</v>
      </c>
      <c r="G95" s="485" t="s">
        <v>6085</v>
      </c>
      <c r="H95" s="485" t="s">
        <v>6119</v>
      </c>
    </row>
    <row r="96" spans="2:8" ht="36.950000000000003" customHeight="1" outlineLevel="1" x14ac:dyDescent="0.25">
      <c r="B96" s="485" t="s">
        <v>1235</v>
      </c>
      <c r="C96" s="486" t="s">
        <v>6113</v>
      </c>
      <c r="D96" s="485" t="s">
        <v>2535</v>
      </c>
      <c r="E96" s="485" t="s">
        <v>6120</v>
      </c>
      <c r="F96" s="485" t="s">
        <v>6072</v>
      </c>
      <c r="G96" s="485" t="s">
        <v>6085</v>
      </c>
      <c r="H96" s="485" t="s">
        <v>6121</v>
      </c>
    </row>
    <row r="97" spans="2:8" ht="45" outlineLevel="1" x14ac:dyDescent="0.25">
      <c r="B97" s="485" t="s">
        <v>1235</v>
      </c>
      <c r="C97" s="486" t="s">
        <v>6113</v>
      </c>
      <c r="D97" s="485" t="s">
        <v>2412</v>
      </c>
      <c r="E97" s="485" t="s">
        <v>6122</v>
      </c>
      <c r="F97" s="485" t="s">
        <v>6072</v>
      </c>
      <c r="G97" s="485" t="s">
        <v>6087</v>
      </c>
      <c r="H97" s="485" t="s">
        <v>6123</v>
      </c>
    </row>
    <row r="98" spans="2:8" ht="76.5" customHeight="1" outlineLevel="1" x14ac:dyDescent="0.25">
      <c r="B98" s="485" t="s">
        <v>1235</v>
      </c>
      <c r="C98" s="486" t="s">
        <v>6113</v>
      </c>
      <c r="D98" s="485" t="s">
        <v>3055</v>
      </c>
      <c r="E98" s="485" t="s">
        <v>6124</v>
      </c>
      <c r="F98" s="485" t="s">
        <v>6072</v>
      </c>
      <c r="G98" s="485" t="s">
        <v>6087</v>
      </c>
      <c r="H98" s="485" t="s">
        <v>6125</v>
      </c>
    </row>
    <row r="99" spans="2:8" ht="44.45" customHeight="1" outlineLevel="1" x14ac:dyDescent="0.25">
      <c r="B99" s="485" t="s">
        <v>1235</v>
      </c>
      <c r="C99" s="486" t="s">
        <v>6113</v>
      </c>
      <c r="D99" s="485" t="s">
        <v>2397</v>
      </c>
      <c r="E99" s="485" t="s">
        <v>6126</v>
      </c>
      <c r="F99" s="485" t="s">
        <v>6072</v>
      </c>
      <c r="G99" s="485" t="s">
        <v>6087</v>
      </c>
      <c r="H99" s="485" t="s">
        <v>6127</v>
      </c>
    </row>
    <row r="100" spans="2:8" ht="44.45" customHeight="1" outlineLevel="1" x14ac:dyDescent="0.25">
      <c r="B100" s="485" t="s">
        <v>1235</v>
      </c>
      <c r="C100" s="486" t="s">
        <v>6113</v>
      </c>
      <c r="D100" s="485" t="s">
        <v>2515</v>
      </c>
      <c r="E100" s="485" t="s">
        <v>6128</v>
      </c>
      <c r="F100" s="485" t="s">
        <v>6072</v>
      </c>
      <c r="G100" s="485" t="s">
        <v>6087</v>
      </c>
      <c r="H100" s="485" t="s">
        <v>6129</v>
      </c>
    </row>
    <row r="101" spans="2:8" ht="62.1" customHeight="1" outlineLevel="1" x14ac:dyDescent="0.25">
      <c r="B101" s="485" t="s">
        <v>1235</v>
      </c>
      <c r="C101" s="486" t="s">
        <v>6113</v>
      </c>
      <c r="D101" s="485" t="s">
        <v>2498</v>
      </c>
      <c r="E101" s="485" t="s">
        <v>6130</v>
      </c>
      <c r="F101" s="485" t="s">
        <v>6072</v>
      </c>
      <c r="G101" s="485" t="s">
        <v>6087</v>
      </c>
      <c r="H101" s="485" t="s">
        <v>6131</v>
      </c>
    </row>
    <row r="102" spans="2:8" ht="62.1" customHeight="1" outlineLevel="1" x14ac:dyDescent="0.25">
      <c r="B102" s="485" t="s">
        <v>1235</v>
      </c>
      <c r="C102" s="486" t="s">
        <v>6113</v>
      </c>
      <c r="D102" s="485" t="s">
        <v>2387</v>
      </c>
      <c r="E102" s="485" t="s">
        <v>6132</v>
      </c>
      <c r="F102" s="485" t="s">
        <v>6072</v>
      </c>
      <c r="G102" s="485" t="s">
        <v>6087</v>
      </c>
      <c r="H102" s="485" t="s">
        <v>6133</v>
      </c>
    </row>
    <row r="103" spans="2:8" ht="36.950000000000003" customHeight="1" outlineLevel="1" x14ac:dyDescent="0.25">
      <c r="B103" s="485" t="s">
        <v>1235</v>
      </c>
      <c r="C103" s="486" t="s">
        <v>6113</v>
      </c>
      <c r="D103" s="485" t="s">
        <v>2569</v>
      </c>
      <c r="E103" s="485" t="s">
        <v>6134</v>
      </c>
      <c r="F103" s="485" t="s">
        <v>6072</v>
      </c>
      <c r="G103" s="485" t="s">
        <v>6087</v>
      </c>
      <c r="H103" s="485" t="s">
        <v>6135</v>
      </c>
    </row>
    <row r="104" spans="2:8" ht="20.100000000000001" customHeight="1" outlineLevel="1" x14ac:dyDescent="0.25">
      <c r="B104" s="485" t="s">
        <v>1235</v>
      </c>
      <c r="C104" s="486" t="s">
        <v>6113</v>
      </c>
      <c r="D104" s="485" t="s">
        <v>2530</v>
      </c>
      <c r="E104" s="485" t="s">
        <v>6136</v>
      </c>
      <c r="F104" s="485" t="s">
        <v>6072</v>
      </c>
      <c r="G104" s="485" t="s">
        <v>6087</v>
      </c>
      <c r="H104" s="485" t="s">
        <v>6137</v>
      </c>
    </row>
    <row r="105" spans="2:8" ht="31.5" customHeight="1" outlineLevel="1" x14ac:dyDescent="0.25">
      <c r="B105" s="485" t="s">
        <v>1235</v>
      </c>
      <c r="C105" s="486" t="s">
        <v>6113</v>
      </c>
      <c r="D105" s="485" t="s">
        <v>2501</v>
      </c>
      <c r="E105" s="485" t="s">
        <v>6138</v>
      </c>
      <c r="F105" s="485" t="s">
        <v>6072</v>
      </c>
      <c r="G105" s="485" t="s">
        <v>6089</v>
      </c>
      <c r="H105" s="485" t="s">
        <v>6139</v>
      </c>
    </row>
    <row r="106" spans="2:8" ht="30" outlineLevel="1" x14ac:dyDescent="0.25">
      <c r="B106" s="485" t="s">
        <v>1235</v>
      </c>
      <c r="C106" s="486" t="s">
        <v>6113</v>
      </c>
      <c r="D106" s="485" t="s">
        <v>6140</v>
      </c>
      <c r="E106" s="485" t="s">
        <v>6141</v>
      </c>
      <c r="F106" s="485" t="s">
        <v>6072</v>
      </c>
      <c r="G106" s="485" t="s">
        <v>6089</v>
      </c>
      <c r="H106" s="485" t="s">
        <v>6142</v>
      </c>
    </row>
    <row r="107" spans="2:8" ht="30" outlineLevel="1" x14ac:dyDescent="0.25">
      <c r="B107" s="485" t="s">
        <v>1235</v>
      </c>
      <c r="C107" s="486" t="s">
        <v>6113</v>
      </c>
      <c r="D107" s="485" t="s">
        <v>2472</v>
      </c>
      <c r="E107" s="485" t="s">
        <v>6143</v>
      </c>
      <c r="F107" s="485" t="s">
        <v>6072</v>
      </c>
      <c r="G107" s="485" t="s">
        <v>6089</v>
      </c>
      <c r="H107" s="485" t="s">
        <v>6144</v>
      </c>
    </row>
    <row r="108" spans="2:8" ht="39.6" customHeight="1" outlineLevel="1" x14ac:dyDescent="0.25">
      <c r="B108" s="485" t="s">
        <v>1235</v>
      </c>
      <c r="C108" s="486" t="s">
        <v>6113</v>
      </c>
      <c r="D108" s="485" t="s">
        <v>2430</v>
      </c>
      <c r="E108" s="485" t="s">
        <v>6145</v>
      </c>
      <c r="F108" s="485" t="s">
        <v>6072</v>
      </c>
      <c r="G108" s="485" t="s">
        <v>6089</v>
      </c>
      <c r="H108" s="485" t="s">
        <v>6146</v>
      </c>
    </row>
    <row r="109" spans="2:8" ht="30" outlineLevel="1" x14ac:dyDescent="0.25">
      <c r="B109" s="485" t="s">
        <v>1235</v>
      </c>
      <c r="C109" s="486" t="s">
        <v>6113</v>
      </c>
      <c r="D109" s="487" t="s">
        <v>2513</v>
      </c>
      <c r="E109" s="485" t="s">
        <v>6147</v>
      </c>
      <c r="F109" s="485" t="s">
        <v>6072</v>
      </c>
      <c r="G109" s="485" t="s">
        <v>6089</v>
      </c>
      <c r="H109" s="485" t="s">
        <v>6148</v>
      </c>
    </row>
    <row r="110" spans="2:8" ht="30" outlineLevel="1" x14ac:dyDescent="0.25">
      <c r="B110" s="485" t="s">
        <v>1235</v>
      </c>
      <c r="C110" s="486" t="s">
        <v>6113</v>
      </c>
      <c r="D110" s="485" t="s">
        <v>2366</v>
      </c>
      <c r="E110" s="485" t="s">
        <v>6149</v>
      </c>
      <c r="F110" s="485" t="s">
        <v>6072</v>
      </c>
      <c r="G110" s="485" t="s">
        <v>6091</v>
      </c>
      <c r="H110" s="485" t="s">
        <v>6150</v>
      </c>
    </row>
    <row r="111" spans="2:8" ht="30" outlineLevel="1" x14ac:dyDescent="0.25">
      <c r="B111" s="485" t="s">
        <v>1235</v>
      </c>
      <c r="C111" s="486" t="s">
        <v>6113</v>
      </c>
      <c r="D111" s="485" t="s">
        <v>2362</v>
      </c>
      <c r="E111" s="485" t="s">
        <v>6151</v>
      </c>
      <c r="F111" s="485" t="s">
        <v>6072</v>
      </c>
      <c r="G111" s="485" t="s">
        <v>6091</v>
      </c>
      <c r="H111" s="485" t="s">
        <v>6152</v>
      </c>
    </row>
    <row r="112" spans="2:8" ht="30" outlineLevel="1" x14ac:dyDescent="0.25">
      <c r="B112" s="485" t="s">
        <v>1235</v>
      </c>
      <c r="C112" s="486" t="s">
        <v>6113</v>
      </c>
      <c r="D112" s="485" t="s">
        <v>2463</v>
      </c>
      <c r="E112" s="485" t="s">
        <v>6153</v>
      </c>
      <c r="F112" s="485" t="s">
        <v>6072</v>
      </c>
      <c r="G112" s="485" t="s">
        <v>6091</v>
      </c>
      <c r="H112" s="485" t="s">
        <v>6154</v>
      </c>
    </row>
    <row r="113" spans="2:8" ht="39.6" customHeight="1" outlineLevel="1" x14ac:dyDescent="0.25">
      <c r="B113" s="485" t="s">
        <v>1235</v>
      </c>
      <c r="C113" s="486" t="s">
        <v>6113</v>
      </c>
      <c r="D113" s="485" t="s">
        <v>2549</v>
      </c>
      <c r="E113" s="485" t="s">
        <v>6155</v>
      </c>
      <c r="F113" s="485" t="s">
        <v>6072</v>
      </c>
      <c r="G113" s="485" t="s">
        <v>6093</v>
      </c>
      <c r="H113" s="485" t="s">
        <v>6156</v>
      </c>
    </row>
    <row r="114" spans="2:8" ht="30" outlineLevel="1" x14ac:dyDescent="0.25">
      <c r="B114" s="485" t="s">
        <v>1235</v>
      </c>
      <c r="C114" s="486" t="s">
        <v>6113</v>
      </c>
      <c r="D114" s="485" t="s">
        <v>2405</v>
      </c>
      <c r="E114" s="485" t="s">
        <v>6157</v>
      </c>
      <c r="F114" s="485" t="s">
        <v>6072</v>
      </c>
      <c r="G114" s="485" t="s">
        <v>6093</v>
      </c>
      <c r="H114" s="485" t="s">
        <v>6158</v>
      </c>
    </row>
    <row r="115" spans="2:8" ht="30" outlineLevel="1" x14ac:dyDescent="0.25">
      <c r="B115" s="485" t="s">
        <v>1235</v>
      </c>
      <c r="C115" s="486" t="s">
        <v>6113</v>
      </c>
      <c r="D115" s="485" t="s">
        <v>2564</v>
      </c>
      <c r="E115" s="485" t="s">
        <v>6159</v>
      </c>
      <c r="F115" s="485" t="s">
        <v>6072</v>
      </c>
      <c r="G115" s="485" t="s">
        <v>6093</v>
      </c>
      <c r="H115" s="485" t="s">
        <v>6160</v>
      </c>
    </row>
    <row r="116" spans="2:8" ht="30" outlineLevel="1" x14ac:dyDescent="0.25">
      <c r="B116" s="485" t="s">
        <v>1235</v>
      </c>
      <c r="C116" s="486" t="s">
        <v>6113</v>
      </c>
      <c r="D116" s="485" t="s">
        <v>2345</v>
      </c>
      <c r="E116" s="485" t="s">
        <v>6161</v>
      </c>
      <c r="F116" s="485" t="s">
        <v>6072</v>
      </c>
      <c r="G116" s="485" t="s">
        <v>6093</v>
      </c>
      <c r="H116" s="485" t="s">
        <v>6162</v>
      </c>
    </row>
    <row r="117" spans="2:8" ht="30" outlineLevel="1" x14ac:dyDescent="0.25">
      <c r="B117" s="488" t="s">
        <v>1235</v>
      </c>
      <c r="C117" s="489" t="s">
        <v>6113</v>
      </c>
      <c r="D117" s="488" t="s">
        <v>2418</v>
      </c>
      <c r="E117" s="488" t="s">
        <v>6163</v>
      </c>
      <c r="F117" s="488" t="s">
        <v>6074</v>
      </c>
      <c r="G117" s="488" t="s">
        <v>6095</v>
      </c>
      <c r="H117" s="488" t="s">
        <v>6164</v>
      </c>
    </row>
    <row r="118" spans="2:8" ht="35.1" customHeight="1" outlineLevel="1" x14ac:dyDescent="0.25">
      <c r="B118" s="488" t="s">
        <v>1235</v>
      </c>
      <c r="C118" s="489" t="s">
        <v>6113</v>
      </c>
      <c r="D118" s="488" t="s">
        <v>2511</v>
      </c>
      <c r="E118" s="488" t="s">
        <v>6165</v>
      </c>
      <c r="F118" s="488" t="s">
        <v>6074</v>
      </c>
      <c r="G118" s="488" t="s">
        <v>6095</v>
      </c>
      <c r="H118" s="488" t="s">
        <v>6166</v>
      </c>
    </row>
    <row r="119" spans="2:8" ht="43.5" customHeight="1" outlineLevel="1" x14ac:dyDescent="0.25">
      <c r="B119" s="488" t="s">
        <v>1235</v>
      </c>
      <c r="C119" s="489" t="s">
        <v>6113</v>
      </c>
      <c r="D119" s="488" t="s">
        <v>2371</v>
      </c>
      <c r="E119" s="488" t="s">
        <v>6167</v>
      </c>
      <c r="F119" s="488" t="s">
        <v>6074</v>
      </c>
      <c r="G119" s="488" t="s">
        <v>6095</v>
      </c>
      <c r="H119" s="488" t="s">
        <v>6168</v>
      </c>
    </row>
    <row r="120" spans="2:8" ht="64.5" customHeight="1" outlineLevel="1" x14ac:dyDescent="0.25">
      <c r="B120" s="488" t="s">
        <v>1235</v>
      </c>
      <c r="C120" s="489" t="s">
        <v>6113</v>
      </c>
      <c r="D120" s="488" t="s">
        <v>2581</v>
      </c>
      <c r="E120" s="488" t="s">
        <v>6169</v>
      </c>
      <c r="F120" s="488" t="s">
        <v>6074</v>
      </c>
      <c r="G120" s="488" t="s">
        <v>6095</v>
      </c>
      <c r="H120" s="488" t="s">
        <v>6170</v>
      </c>
    </row>
    <row r="121" spans="2:8" ht="39" customHeight="1" outlineLevel="1" x14ac:dyDescent="0.25">
      <c r="B121" s="488" t="s">
        <v>1235</v>
      </c>
      <c r="C121" s="489" t="s">
        <v>6113</v>
      </c>
      <c r="D121" s="490" t="s">
        <v>2518</v>
      </c>
      <c r="E121" s="490" t="s">
        <v>6171</v>
      </c>
      <c r="F121" s="488" t="s">
        <v>6074</v>
      </c>
      <c r="G121" s="488" t="s">
        <v>6095</v>
      </c>
      <c r="H121" s="488" t="s">
        <v>6172</v>
      </c>
    </row>
    <row r="122" spans="2:8" ht="48.6" customHeight="1" outlineLevel="1" x14ac:dyDescent="0.25">
      <c r="B122" s="488" t="s">
        <v>1235</v>
      </c>
      <c r="C122" s="489" t="s">
        <v>6113</v>
      </c>
      <c r="D122" s="488" t="s">
        <v>2466</v>
      </c>
      <c r="E122" s="488" t="s">
        <v>6173</v>
      </c>
      <c r="F122" s="488" t="s">
        <v>6074</v>
      </c>
      <c r="G122" s="488" t="s">
        <v>6097</v>
      </c>
      <c r="H122" s="488" t="s">
        <v>6174</v>
      </c>
    </row>
    <row r="123" spans="2:8" ht="29.45" customHeight="1" outlineLevel="1" x14ac:dyDescent="0.25">
      <c r="B123" s="488" t="s">
        <v>1235</v>
      </c>
      <c r="C123" s="489" t="s">
        <v>6113</v>
      </c>
      <c r="D123" s="488" t="s">
        <v>2457</v>
      </c>
      <c r="E123" s="488" t="s">
        <v>6175</v>
      </c>
      <c r="F123" s="488" t="s">
        <v>6074</v>
      </c>
      <c r="G123" s="488" t="s">
        <v>6097</v>
      </c>
      <c r="H123" s="488" t="s">
        <v>6176</v>
      </c>
    </row>
    <row r="124" spans="2:8" ht="44.1" customHeight="1" outlineLevel="1" x14ac:dyDescent="0.25">
      <c r="B124" s="488" t="s">
        <v>1235</v>
      </c>
      <c r="C124" s="489" t="s">
        <v>6113</v>
      </c>
      <c r="D124" s="488" t="s">
        <v>2643</v>
      </c>
      <c r="E124" s="488" t="s">
        <v>6177</v>
      </c>
      <c r="F124" s="488" t="s">
        <v>6074</v>
      </c>
      <c r="G124" s="488" t="s">
        <v>6097</v>
      </c>
      <c r="H124" s="488" t="s">
        <v>6178</v>
      </c>
    </row>
    <row r="125" spans="2:8" ht="30" outlineLevel="1" x14ac:dyDescent="0.25">
      <c r="B125" s="488" t="s">
        <v>1235</v>
      </c>
      <c r="C125" s="489" t="s">
        <v>6113</v>
      </c>
      <c r="D125" s="488" t="s">
        <v>2447</v>
      </c>
      <c r="E125" s="488" t="s">
        <v>6179</v>
      </c>
      <c r="F125" s="488" t="s">
        <v>6074</v>
      </c>
      <c r="G125" s="488" t="s">
        <v>6099</v>
      </c>
      <c r="H125" s="488" t="s">
        <v>6180</v>
      </c>
    </row>
    <row r="126" spans="2:8" ht="30" outlineLevel="1" x14ac:dyDescent="0.25">
      <c r="B126" s="488" t="s">
        <v>1235</v>
      </c>
      <c r="C126" s="489" t="s">
        <v>6113</v>
      </c>
      <c r="D126" s="488" t="s">
        <v>2427</v>
      </c>
      <c r="E126" s="488" t="s">
        <v>6181</v>
      </c>
      <c r="F126" s="488" t="s">
        <v>6074</v>
      </c>
      <c r="G126" s="488" t="s">
        <v>6099</v>
      </c>
      <c r="H126" s="488" t="s">
        <v>6182</v>
      </c>
    </row>
    <row r="127" spans="2:8" ht="32.450000000000003" customHeight="1" outlineLevel="1" x14ac:dyDescent="0.25">
      <c r="B127" s="488" t="s">
        <v>1235</v>
      </c>
      <c r="C127" s="489" t="s">
        <v>6113</v>
      </c>
      <c r="D127" s="488" t="s">
        <v>2352</v>
      </c>
      <c r="E127" s="488" t="s">
        <v>6183</v>
      </c>
      <c r="F127" s="488" t="s">
        <v>6074</v>
      </c>
      <c r="G127" s="488" t="s">
        <v>6099</v>
      </c>
      <c r="H127" s="488" t="s">
        <v>6184</v>
      </c>
    </row>
    <row r="128" spans="2:8" ht="27.6" customHeight="1" outlineLevel="1" x14ac:dyDescent="0.25">
      <c r="B128" s="488" t="s">
        <v>1235</v>
      </c>
      <c r="C128" s="489" t="s">
        <v>6113</v>
      </c>
      <c r="D128" s="488" t="s">
        <v>2592</v>
      </c>
      <c r="E128" s="488" t="s">
        <v>6185</v>
      </c>
      <c r="F128" s="488" t="s">
        <v>6074</v>
      </c>
      <c r="G128" s="488" t="s">
        <v>6101</v>
      </c>
      <c r="H128" s="488" t="s">
        <v>6186</v>
      </c>
    </row>
    <row r="129" spans="2:8" ht="36.6" customHeight="1" outlineLevel="1" x14ac:dyDescent="0.25">
      <c r="B129" s="488" t="s">
        <v>1235</v>
      </c>
      <c r="C129" s="489" t="s">
        <v>6113</v>
      </c>
      <c r="D129" s="488" t="s">
        <v>2408</v>
      </c>
      <c r="E129" s="488" t="s">
        <v>6187</v>
      </c>
      <c r="F129" s="488" t="s">
        <v>6074</v>
      </c>
      <c r="G129" s="488" t="s">
        <v>6101</v>
      </c>
      <c r="H129" s="488" t="s">
        <v>6188</v>
      </c>
    </row>
    <row r="130" spans="2:8" ht="45" outlineLevel="1" x14ac:dyDescent="0.25">
      <c r="B130" s="491" t="s">
        <v>1235</v>
      </c>
      <c r="C130" s="492" t="s">
        <v>6113</v>
      </c>
      <c r="D130" s="493" t="s">
        <v>2355</v>
      </c>
      <c r="E130" s="565" t="s">
        <v>6189</v>
      </c>
      <c r="F130" s="491" t="s">
        <v>6076</v>
      </c>
      <c r="G130" s="491" t="s">
        <v>6103</v>
      </c>
      <c r="H130" s="528" t="s">
        <v>6190</v>
      </c>
    </row>
    <row r="131" spans="2:8" ht="30" outlineLevel="1" x14ac:dyDescent="0.25">
      <c r="B131" s="491" t="s">
        <v>1235</v>
      </c>
      <c r="C131" s="492" t="s">
        <v>6113</v>
      </c>
      <c r="D131" s="529" t="s">
        <v>2425</v>
      </c>
      <c r="E131" s="493" t="s">
        <v>6191</v>
      </c>
      <c r="F131" s="491" t="s">
        <v>6076</v>
      </c>
      <c r="G131" s="491" t="s">
        <v>6103</v>
      </c>
      <c r="H131" s="528" t="s">
        <v>6192</v>
      </c>
    </row>
    <row r="132" spans="2:8" ht="32.450000000000003" customHeight="1" outlineLevel="1" x14ac:dyDescent="0.25">
      <c r="B132" s="491" t="s">
        <v>1235</v>
      </c>
      <c r="C132" s="492" t="s">
        <v>6113</v>
      </c>
      <c r="D132" s="493" t="s">
        <v>2556</v>
      </c>
      <c r="E132" s="493" t="s">
        <v>6193</v>
      </c>
      <c r="F132" s="491" t="s">
        <v>6076</v>
      </c>
      <c r="G132" s="491" t="s">
        <v>6103</v>
      </c>
      <c r="H132" s="528" t="s">
        <v>6194</v>
      </c>
    </row>
    <row r="133" spans="2:8" ht="33.950000000000003" customHeight="1" outlineLevel="1" x14ac:dyDescent="0.25">
      <c r="B133" s="491" t="s">
        <v>1235</v>
      </c>
      <c r="C133" s="492" t="s">
        <v>6113</v>
      </c>
      <c r="D133" s="493" t="s">
        <v>2451</v>
      </c>
      <c r="E133" s="493" t="s">
        <v>6195</v>
      </c>
      <c r="F133" s="491" t="s">
        <v>6076</v>
      </c>
      <c r="G133" s="491" t="s">
        <v>6103</v>
      </c>
      <c r="H133" s="528" t="s">
        <v>6196</v>
      </c>
    </row>
    <row r="134" spans="2:8" ht="45.6" customHeight="1" outlineLevel="1" x14ac:dyDescent="0.25">
      <c r="B134" s="491" t="s">
        <v>1235</v>
      </c>
      <c r="C134" s="492" t="s">
        <v>6113</v>
      </c>
      <c r="D134" s="493" t="s">
        <v>2413</v>
      </c>
      <c r="E134" s="493" t="s">
        <v>6197</v>
      </c>
      <c r="F134" s="491" t="s">
        <v>6076</v>
      </c>
      <c r="G134" s="491" t="s">
        <v>6103</v>
      </c>
      <c r="H134" s="491" t="s">
        <v>6198</v>
      </c>
    </row>
    <row r="135" spans="2:8" ht="30.6" customHeight="1" outlineLevel="1" x14ac:dyDescent="0.25">
      <c r="B135" s="491" t="s">
        <v>1235</v>
      </c>
      <c r="C135" s="492" t="s">
        <v>6113</v>
      </c>
      <c r="D135" s="493" t="s">
        <v>2340</v>
      </c>
      <c r="E135" s="493" t="s">
        <v>6199</v>
      </c>
      <c r="F135" s="491" t="s">
        <v>6076</v>
      </c>
      <c r="G135" s="491" t="s">
        <v>6103</v>
      </c>
      <c r="H135" s="491" t="s">
        <v>6200</v>
      </c>
    </row>
    <row r="136" spans="2:8" ht="30.6" customHeight="1" outlineLevel="1" x14ac:dyDescent="0.25">
      <c r="B136" s="491" t="s">
        <v>1235</v>
      </c>
      <c r="C136" s="492" t="s">
        <v>6113</v>
      </c>
      <c r="D136" s="493" t="s">
        <v>2410</v>
      </c>
      <c r="E136" s="493" t="s">
        <v>6201</v>
      </c>
      <c r="F136" s="491" t="s">
        <v>6076</v>
      </c>
      <c r="G136" s="491" t="s">
        <v>6103</v>
      </c>
      <c r="H136" s="491" t="s">
        <v>6202</v>
      </c>
    </row>
    <row r="137" spans="2:8" ht="30" outlineLevel="1" x14ac:dyDescent="0.25">
      <c r="B137" s="491" t="s">
        <v>1235</v>
      </c>
      <c r="C137" s="492" t="s">
        <v>6113</v>
      </c>
      <c r="D137" s="493" t="s">
        <v>2416</v>
      </c>
      <c r="E137" s="493" t="s">
        <v>6203</v>
      </c>
      <c r="F137" s="491" t="s">
        <v>6076</v>
      </c>
      <c r="G137" s="491" t="s">
        <v>6103</v>
      </c>
      <c r="H137" s="491" t="s">
        <v>6204</v>
      </c>
    </row>
    <row r="138" spans="2:8" ht="30" outlineLevel="1" x14ac:dyDescent="0.25">
      <c r="B138" s="494" t="s">
        <v>1235</v>
      </c>
      <c r="C138" s="495" t="s">
        <v>6113</v>
      </c>
      <c r="D138" s="494" t="s">
        <v>2360</v>
      </c>
      <c r="E138" s="494" t="s">
        <v>6205</v>
      </c>
      <c r="F138" s="530" t="s">
        <v>6078</v>
      </c>
      <c r="G138" s="494" t="s">
        <v>6105</v>
      </c>
      <c r="H138" s="494" t="s">
        <v>6206</v>
      </c>
    </row>
    <row r="139" spans="2:8" ht="45" outlineLevel="1" x14ac:dyDescent="0.25">
      <c r="B139" s="494" t="s">
        <v>1235</v>
      </c>
      <c r="C139" s="495" t="s">
        <v>6113</v>
      </c>
      <c r="D139" s="494" t="s">
        <v>2383</v>
      </c>
      <c r="E139" s="494" t="s">
        <v>6207</v>
      </c>
      <c r="F139" s="530" t="s">
        <v>6078</v>
      </c>
      <c r="G139" s="494" t="s">
        <v>6105</v>
      </c>
      <c r="H139" s="494" t="s">
        <v>6208</v>
      </c>
    </row>
    <row r="140" spans="2:8" ht="30" outlineLevel="1" x14ac:dyDescent="0.25">
      <c r="B140" s="494" t="s">
        <v>1235</v>
      </c>
      <c r="C140" s="495" t="s">
        <v>6113</v>
      </c>
      <c r="D140" s="494" t="s">
        <v>2389</v>
      </c>
      <c r="E140" s="494" t="s">
        <v>6209</v>
      </c>
      <c r="F140" s="530" t="s">
        <v>6078</v>
      </c>
      <c r="G140" s="494" t="s">
        <v>6105</v>
      </c>
      <c r="H140" s="494" t="s">
        <v>6210</v>
      </c>
    </row>
    <row r="141" spans="2:8" ht="30" outlineLevel="1" x14ac:dyDescent="0.25">
      <c r="B141" s="494" t="s">
        <v>1235</v>
      </c>
      <c r="C141" s="495" t="s">
        <v>6113</v>
      </c>
      <c r="D141" s="494" t="s">
        <v>3094</v>
      </c>
      <c r="E141" s="494" t="s">
        <v>6211</v>
      </c>
      <c r="F141" s="530" t="s">
        <v>6078</v>
      </c>
      <c r="G141" s="494" t="s">
        <v>6105</v>
      </c>
      <c r="H141" s="494" t="s">
        <v>6212</v>
      </c>
    </row>
    <row r="142" spans="2:8" ht="30" outlineLevel="1" x14ac:dyDescent="0.25">
      <c r="B142" s="494" t="s">
        <v>1235</v>
      </c>
      <c r="C142" s="495" t="s">
        <v>6113</v>
      </c>
      <c r="D142" s="494" t="s">
        <v>2461</v>
      </c>
      <c r="E142" s="494" t="s">
        <v>6213</v>
      </c>
      <c r="F142" s="530" t="s">
        <v>6078</v>
      </c>
      <c r="G142" s="494" t="s">
        <v>6105</v>
      </c>
      <c r="H142" s="494" t="s">
        <v>6214</v>
      </c>
    </row>
    <row r="143" spans="2:8" ht="30" outlineLevel="1" x14ac:dyDescent="0.25">
      <c r="B143" s="496" t="s">
        <v>1235</v>
      </c>
      <c r="C143" s="497" t="s">
        <v>6113</v>
      </c>
      <c r="D143" s="498" t="s">
        <v>2331</v>
      </c>
      <c r="E143" s="498" t="s">
        <v>6215</v>
      </c>
      <c r="F143" s="496" t="s">
        <v>6080</v>
      </c>
      <c r="G143" s="496" t="s">
        <v>6107</v>
      </c>
      <c r="H143" s="496" t="s">
        <v>6216</v>
      </c>
    </row>
    <row r="144" spans="2:8" ht="30" outlineLevel="1" x14ac:dyDescent="0.25">
      <c r="B144" s="496" t="s">
        <v>1235</v>
      </c>
      <c r="C144" s="497" t="s">
        <v>6113</v>
      </c>
      <c r="D144" s="498" t="s">
        <v>2691</v>
      </c>
      <c r="E144" s="498" t="s">
        <v>6217</v>
      </c>
      <c r="F144" s="498" t="s">
        <v>6080</v>
      </c>
      <c r="G144" s="498" t="s">
        <v>6107</v>
      </c>
      <c r="H144" s="499" t="s">
        <v>6218</v>
      </c>
    </row>
    <row r="145" spans="2:8" ht="60" outlineLevel="1" x14ac:dyDescent="0.25">
      <c r="B145" s="496" t="s">
        <v>1235</v>
      </c>
      <c r="C145" s="497" t="s">
        <v>6113</v>
      </c>
      <c r="D145" s="498" t="s">
        <v>2357</v>
      </c>
      <c r="E145" s="498" t="s">
        <v>6219</v>
      </c>
      <c r="F145" s="496" t="s">
        <v>6080</v>
      </c>
      <c r="G145" s="496" t="s">
        <v>6107</v>
      </c>
      <c r="H145" s="499" t="s">
        <v>6220</v>
      </c>
    </row>
    <row r="146" spans="2:8" ht="45" outlineLevel="1" x14ac:dyDescent="0.25">
      <c r="B146" s="496" t="s">
        <v>1235</v>
      </c>
      <c r="C146" s="497" t="s">
        <v>6113</v>
      </c>
      <c r="D146" s="498" t="s">
        <v>2391</v>
      </c>
      <c r="E146" s="498" t="s">
        <v>6221</v>
      </c>
      <c r="F146" s="496" t="s">
        <v>6080</v>
      </c>
      <c r="G146" s="496" t="s">
        <v>6107</v>
      </c>
      <c r="H146" s="499" t="s">
        <v>6222</v>
      </c>
    </row>
    <row r="147" spans="2:8" ht="30" outlineLevel="1" x14ac:dyDescent="0.25">
      <c r="B147" s="496" t="s">
        <v>1235</v>
      </c>
      <c r="C147" s="497" t="s">
        <v>6113</v>
      </c>
      <c r="D147" s="498" t="s">
        <v>2363</v>
      </c>
      <c r="E147" s="498" t="s">
        <v>6223</v>
      </c>
      <c r="F147" s="496" t="s">
        <v>6080</v>
      </c>
      <c r="G147" s="496" t="s">
        <v>6107</v>
      </c>
      <c r="H147" s="496" t="s">
        <v>6224</v>
      </c>
    </row>
    <row r="148" spans="2:8" ht="45" outlineLevel="1" x14ac:dyDescent="0.25">
      <c r="B148" s="496"/>
      <c r="C148" s="497" t="s">
        <v>6113</v>
      </c>
      <c r="D148" s="496" t="s">
        <v>2414</v>
      </c>
      <c r="E148" s="496" t="s">
        <v>6225</v>
      </c>
      <c r="F148" s="496" t="s">
        <v>6080</v>
      </c>
      <c r="G148" s="496" t="s">
        <v>6107</v>
      </c>
      <c r="H148" s="496" t="s">
        <v>6226</v>
      </c>
    </row>
    <row r="149" spans="2:8" ht="30" outlineLevel="1" x14ac:dyDescent="0.25">
      <c r="B149" s="496" t="s">
        <v>1235</v>
      </c>
      <c r="C149" s="497" t="s">
        <v>6113</v>
      </c>
      <c r="D149" s="498" t="s">
        <v>2381</v>
      </c>
      <c r="E149" s="498" t="s">
        <v>6227</v>
      </c>
      <c r="F149" s="496" t="s">
        <v>6080</v>
      </c>
      <c r="G149" s="496" t="s">
        <v>6107</v>
      </c>
      <c r="H149" s="499" t="s">
        <v>6228</v>
      </c>
    </row>
    <row r="150" spans="2:8" ht="30" outlineLevel="1" x14ac:dyDescent="0.25">
      <c r="B150" s="500" t="s">
        <v>1235</v>
      </c>
      <c r="C150" s="501" t="s">
        <v>6113</v>
      </c>
      <c r="D150" s="500" t="s">
        <v>3207</v>
      </c>
      <c r="E150" s="500" t="s">
        <v>6229</v>
      </c>
      <c r="F150" s="500" t="s">
        <v>6082</v>
      </c>
      <c r="G150" s="500" t="s">
        <v>6109</v>
      </c>
      <c r="H150" s="500" t="s">
        <v>6230</v>
      </c>
    </row>
    <row r="151" spans="2:8" ht="30" outlineLevel="1" x14ac:dyDescent="0.25">
      <c r="B151" s="500" t="s">
        <v>1235</v>
      </c>
      <c r="C151" s="501" t="s">
        <v>6113</v>
      </c>
      <c r="D151" s="500" t="s">
        <v>2712</v>
      </c>
      <c r="E151" s="500" t="s">
        <v>6231</v>
      </c>
      <c r="F151" s="500" t="s">
        <v>6082</v>
      </c>
      <c r="G151" s="500" t="s">
        <v>6109</v>
      </c>
      <c r="H151" s="500" t="s">
        <v>6232</v>
      </c>
    </row>
    <row r="152" spans="2:8" ht="30" outlineLevel="1" x14ac:dyDescent="0.25">
      <c r="B152" s="500" t="s">
        <v>1235</v>
      </c>
      <c r="C152" s="501" t="s">
        <v>6113</v>
      </c>
      <c r="D152" s="500" t="s">
        <v>2489</v>
      </c>
      <c r="E152" s="500" t="s">
        <v>6233</v>
      </c>
      <c r="F152" s="500" t="s">
        <v>6082</v>
      </c>
      <c r="G152" s="500" t="s">
        <v>6109</v>
      </c>
      <c r="H152" s="500" t="s">
        <v>6234</v>
      </c>
    </row>
    <row r="153" spans="2:8" ht="45" outlineLevel="1" x14ac:dyDescent="0.25">
      <c r="B153" s="500" t="s">
        <v>1235</v>
      </c>
      <c r="C153" s="501" t="s">
        <v>6113</v>
      </c>
      <c r="D153" s="500" t="s">
        <v>2976</v>
      </c>
      <c r="E153" s="500" t="s">
        <v>6235</v>
      </c>
      <c r="F153" s="500" t="s">
        <v>6082</v>
      </c>
      <c r="G153" s="500" t="s">
        <v>6109</v>
      </c>
      <c r="H153" s="500" t="s">
        <v>6236</v>
      </c>
    </row>
    <row r="154" spans="2:8" ht="30" outlineLevel="1" x14ac:dyDescent="0.25">
      <c r="B154" s="500" t="s">
        <v>1235</v>
      </c>
      <c r="C154" s="501" t="s">
        <v>6113</v>
      </c>
      <c r="D154" s="500" t="s">
        <v>2684</v>
      </c>
      <c r="E154" s="500" t="s">
        <v>6237</v>
      </c>
      <c r="F154" s="500" t="s">
        <v>6082</v>
      </c>
      <c r="G154" s="500" t="s">
        <v>6109</v>
      </c>
      <c r="H154" s="500" t="s">
        <v>6238</v>
      </c>
    </row>
    <row r="155" spans="2:8" ht="30" outlineLevel="1" x14ac:dyDescent="0.25">
      <c r="B155" s="500" t="s">
        <v>1235</v>
      </c>
      <c r="C155" s="501" t="s">
        <v>6113</v>
      </c>
      <c r="D155" s="500" t="s">
        <v>2775</v>
      </c>
      <c r="E155" s="500" t="s">
        <v>6239</v>
      </c>
      <c r="F155" s="500" t="s">
        <v>6082</v>
      </c>
      <c r="G155" s="500" t="s">
        <v>6111</v>
      </c>
      <c r="H155" s="500" t="s">
        <v>6240</v>
      </c>
    </row>
    <row r="156" spans="2:8" ht="30" outlineLevel="1" x14ac:dyDescent="0.25">
      <c r="B156" s="500" t="s">
        <v>1235</v>
      </c>
      <c r="C156" s="501" t="s">
        <v>6113</v>
      </c>
      <c r="D156" s="500" t="s">
        <v>2978</v>
      </c>
      <c r="E156" s="500" t="s">
        <v>6241</v>
      </c>
      <c r="F156" s="500" t="s">
        <v>6082</v>
      </c>
      <c r="G156" s="500" t="s">
        <v>6111</v>
      </c>
      <c r="H156" s="500" t="s">
        <v>6242</v>
      </c>
    </row>
    <row r="157" spans="2:8" ht="30" outlineLevel="1" x14ac:dyDescent="0.25">
      <c r="B157" s="500" t="s">
        <v>1235</v>
      </c>
      <c r="C157" s="501" t="s">
        <v>6113</v>
      </c>
      <c r="D157" s="500" t="s">
        <v>2669</v>
      </c>
      <c r="E157" s="500" t="s">
        <v>6243</v>
      </c>
      <c r="F157" s="500" t="s">
        <v>6082</v>
      </c>
      <c r="G157" s="500" t="s">
        <v>6111</v>
      </c>
      <c r="H157" s="500" t="s">
        <v>6244</v>
      </c>
    </row>
    <row r="158" spans="2:8" ht="30" outlineLevel="1" x14ac:dyDescent="0.25">
      <c r="B158" s="521" t="s">
        <v>1235</v>
      </c>
      <c r="C158" s="522" t="s">
        <v>6113</v>
      </c>
      <c r="D158" s="521" t="s">
        <v>2486</v>
      </c>
      <c r="E158" s="521" t="s">
        <v>6245</v>
      </c>
      <c r="F158" s="521" t="s">
        <v>6082</v>
      </c>
      <c r="G158" s="521" t="s">
        <v>6111</v>
      </c>
      <c r="H158" s="521" t="s">
        <v>6246</v>
      </c>
    </row>
    <row r="159" spans="2:8" s="48" customFormat="1" ht="30.75" outlineLevel="1" thickBot="1" x14ac:dyDescent="0.3">
      <c r="B159" s="525" t="s">
        <v>1235</v>
      </c>
      <c r="C159" s="526" t="s">
        <v>6113</v>
      </c>
      <c r="D159" s="525" t="s">
        <v>6247</v>
      </c>
      <c r="E159" s="525" t="s">
        <v>6248</v>
      </c>
      <c r="F159" s="525" t="s">
        <v>52</v>
      </c>
      <c r="G159" s="525" t="s">
        <v>52</v>
      </c>
      <c r="H159" s="525" t="s">
        <v>6249</v>
      </c>
    </row>
    <row r="160" spans="2:8" ht="30" outlineLevel="1" x14ac:dyDescent="0.25">
      <c r="B160" s="523" t="s">
        <v>1235</v>
      </c>
      <c r="C160" s="524" t="s">
        <v>2299</v>
      </c>
      <c r="D160" s="523"/>
      <c r="E160" s="523" t="s">
        <v>2380</v>
      </c>
      <c r="F160" s="523" t="s">
        <v>52</v>
      </c>
      <c r="G160" s="523" t="s">
        <v>52</v>
      </c>
      <c r="H160" s="523" t="s">
        <v>6250</v>
      </c>
    </row>
    <row r="161" spans="2:8" ht="49.5" customHeight="1" outlineLevel="1" x14ac:dyDescent="0.25">
      <c r="B161" s="479" t="s">
        <v>1235</v>
      </c>
      <c r="C161" s="504" t="s">
        <v>2299</v>
      </c>
      <c r="D161" s="479"/>
      <c r="E161" s="479" t="s">
        <v>2347</v>
      </c>
      <c r="F161" s="479" t="s">
        <v>52</v>
      </c>
      <c r="G161" s="479" t="s">
        <v>52</v>
      </c>
      <c r="H161" s="479" t="s">
        <v>6251</v>
      </c>
    </row>
    <row r="162" spans="2:8" ht="60" outlineLevel="1" x14ac:dyDescent="0.25">
      <c r="B162" s="479" t="s">
        <v>1235</v>
      </c>
      <c r="C162" s="504" t="s">
        <v>2299</v>
      </c>
      <c r="D162" s="479"/>
      <c r="E162" s="479" t="s">
        <v>2333</v>
      </c>
      <c r="F162" s="479" t="s">
        <v>52</v>
      </c>
      <c r="G162" s="479" t="s">
        <v>52</v>
      </c>
      <c r="H162" s="479" t="s">
        <v>6252</v>
      </c>
    </row>
    <row r="163" spans="2:8" ht="45" outlineLevel="1" x14ac:dyDescent="0.25">
      <c r="B163" s="479" t="s">
        <v>1235</v>
      </c>
      <c r="C163" s="504" t="s">
        <v>2299</v>
      </c>
      <c r="D163" s="479"/>
      <c r="E163" s="479" t="s">
        <v>5015</v>
      </c>
      <c r="F163" s="479" t="s">
        <v>52</v>
      </c>
      <c r="G163" s="479" t="s">
        <v>52</v>
      </c>
      <c r="H163" s="479" t="s">
        <v>6253</v>
      </c>
    </row>
    <row r="164" spans="2:8" outlineLevel="1" x14ac:dyDescent="0.25">
      <c r="B164" s="479" t="s">
        <v>1235</v>
      </c>
      <c r="C164" s="504" t="s">
        <v>2299</v>
      </c>
      <c r="D164" s="479"/>
      <c r="E164" s="479" t="s">
        <v>4879</v>
      </c>
      <c r="F164" s="479" t="s">
        <v>52</v>
      </c>
      <c r="G164" s="479" t="s">
        <v>52</v>
      </c>
      <c r="H164" s="479" t="s">
        <v>6254</v>
      </c>
    </row>
    <row r="165" spans="2:8" ht="45" outlineLevel="1" x14ac:dyDescent="0.25">
      <c r="B165" s="479" t="s">
        <v>1235</v>
      </c>
      <c r="C165" s="504" t="s">
        <v>2299</v>
      </c>
      <c r="D165" s="479"/>
      <c r="E165" s="479" t="s">
        <v>3939</v>
      </c>
      <c r="F165" s="479" t="s">
        <v>52</v>
      </c>
      <c r="G165" s="479" t="s">
        <v>52</v>
      </c>
      <c r="H165" s="479" t="s">
        <v>6255</v>
      </c>
    </row>
    <row r="166" spans="2:8" ht="30" outlineLevel="1" x14ac:dyDescent="0.25">
      <c r="B166" s="479" t="s">
        <v>1235</v>
      </c>
      <c r="C166" s="504" t="s">
        <v>2299</v>
      </c>
      <c r="D166" s="479"/>
      <c r="E166" s="479" t="s">
        <v>4912</v>
      </c>
      <c r="F166" s="479" t="s">
        <v>52</v>
      </c>
      <c r="G166" s="479" t="s">
        <v>52</v>
      </c>
      <c r="H166" s="479" t="s">
        <v>6256</v>
      </c>
    </row>
    <row r="167" spans="2:8" outlineLevel="1" x14ac:dyDescent="0.25">
      <c r="B167" s="479" t="s">
        <v>1235</v>
      </c>
      <c r="C167" s="504" t="s">
        <v>6257</v>
      </c>
      <c r="D167" s="479" t="s">
        <v>2334</v>
      </c>
      <c r="E167" s="479" t="s">
        <v>5075</v>
      </c>
      <c r="F167" s="479" t="s">
        <v>52</v>
      </c>
      <c r="G167" s="479" t="s">
        <v>52</v>
      </c>
      <c r="H167" s="479" t="s">
        <v>6258</v>
      </c>
    </row>
    <row r="168" spans="2:8" outlineLevel="1" x14ac:dyDescent="0.25">
      <c r="B168" s="479" t="s">
        <v>1235</v>
      </c>
      <c r="C168" s="504" t="s">
        <v>6257</v>
      </c>
      <c r="D168" s="479" t="s">
        <v>2348</v>
      </c>
      <c r="E168" s="479" t="s">
        <v>5119</v>
      </c>
      <c r="F168" s="479" t="s">
        <v>52</v>
      </c>
      <c r="G168" s="479" t="s">
        <v>52</v>
      </c>
      <c r="H168" s="479" t="s">
        <v>6259</v>
      </c>
    </row>
    <row r="169" spans="2:8" outlineLevel="1" x14ac:dyDescent="0.25">
      <c r="B169" s="479" t="s">
        <v>1235</v>
      </c>
      <c r="C169" s="504" t="s">
        <v>6257</v>
      </c>
      <c r="D169" s="479" t="s">
        <v>2353</v>
      </c>
      <c r="E169" s="479" t="s">
        <v>5215</v>
      </c>
      <c r="F169" s="479" t="s">
        <v>52</v>
      </c>
      <c r="G169" s="479" t="s">
        <v>52</v>
      </c>
      <c r="H169" s="479" t="s">
        <v>6260</v>
      </c>
    </row>
    <row r="170" spans="2:8" outlineLevel="1" x14ac:dyDescent="0.25">
      <c r="B170" s="479" t="s">
        <v>1235</v>
      </c>
      <c r="C170" s="504" t="s">
        <v>6257</v>
      </c>
      <c r="D170" s="479" t="s">
        <v>2477</v>
      </c>
      <c r="E170" s="479" t="s">
        <v>6261</v>
      </c>
      <c r="F170" s="479" t="s">
        <v>52</v>
      </c>
      <c r="G170" s="479" t="s">
        <v>52</v>
      </c>
      <c r="H170" s="479" t="s">
        <v>6262</v>
      </c>
    </row>
    <row r="171" spans="2:8" s="48" customFormat="1" outlineLevel="1" x14ac:dyDescent="0.25">
      <c r="B171" s="502" t="s">
        <v>1235</v>
      </c>
      <c r="C171" s="503" t="s">
        <v>2328</v>
      </c>
      <c r="D171" s="502" t="s">
        <v>4861</v>
      </c>
      <c r="E171" s="502" t="s">
        <v>6263</v>
      </c>
      <c r="F171" s="502" t="s">
        <v>52</v>
      </c>
      <c r="G171" s="502" t="s">
        <v>52</v>
      </c>
      <c r="H171" s="502" t="s">
        <v>6264</v>
      </c>
    </row>
    <row r="172" spans="2:8" s="48" customFormat="1" outlineLevel="1" x14ac:dyDescent="0.25">
      <c r="B172" s="502" t="s">
        <v>1235</v>
      </c>
      <c r="C172" s="503" t="s">
        <v>2328</v>
      </c>
      <c r="D172" s="502" t="s">
        <v>4850</v>
      </c>
      <c r="E172" s="502" t="s">
        <v>6265</v>
      </c>
      <c r="F172" s="502" t="s">
        <v>52</v>
      </c>
      <c r="G172" s="502" t="s">
        <v>52</v>
      </c>
      <c r="H172" s="502" t="s">
        <v>6264</v>
      </c>
    </row>
    <row r="173" spans="2:8" s="48" customFormat="1" outlineLevel="1" x14ac:dyDescent="0.25">
      <c r="B173" s="502" t="s">
        <v>1235</v>
      </c>
      <c r="C173" s="503" t="s">
        <v>2328</v>
      </c>
      <c r="D173" s="502" t="s">
        <v>4873</v>
      </c>
      <c r="E173" s="502" t="s">
        <v>6266</v>
      </c>
      <c r="F173" s="502" t="s">
        <v>52</v>
      </c>
      <c r="G173" s="502" t="s">
        <v>52</v>
      </c>
      <c r="H173" s="502" t="s">
        <v>6264</v>
      </c>
    </row>
    <row r="174" spans="2:8" outlineLevel="1" x14ac:dyDescent="0.25"/>
    <row r="178" spans="2:8" ht="18.75" x14ac:dyDescent="0.25">
      <c r="B178" s="199" t="s">
        <v>5069</v>
      </c>
    </row>
    <row r="179" spans="2:8" outlineLevel="1" x14ac:dyDescent="0.25"/>
    <row r="180" spans="2:8" outlineLevel="1" x14ac:dyDescent="0.25">
      <c r="B180" s="202" t="s">
        <v>5970</v>
      </c>
      <c r="C180" s="202" t="s">
        <v>6067</v>
      </c>
      <c r="D180" s="203" t="s">
        <v>5972</v>
      </c>
      <c r="E180" s="203" t="s">
        <v>6068</v>
      </c>
      <c r="F180" s="203" t="s">
        <v>6069</v>
      </c>
      <c r="G180" s="203" t="s">
        <v>6070</v>
      </c>
      <c r="H180" s="203" t="s">
        <v>5976</v>
      </c>
    </row>
    <row r="181" spans="2:8" ht="30" outlineLevel="1" x14ac:dyDescent="0.25">
      <c r="B181" s="428" t="s">
        <v>5069</v>
      </c>
      <c r="C181" s="443" t="s">
        <v>2295</v>
      </c>
      <c r="D181" s="429" t="s">
        <v>5072</v>
      </c>
      <c r="E181" s="443" t="s">
        <v>6267</v>
      </c>
      <c r="F181" s="428" t="s">
        <v>52</v>
      </c>
      <c r="G181" s="428" t="s">
        <v>52</v>
      </c>
      <c r="H181" s="430" t="s">
        <v>6268</v>
      </c>
    </row>
    <row r="182" spans="2:8" ht="18.600000000000001" customHeight="1" outlineLevel="1" x14ac:dyDescent="0.25">
      <c r="B182" s="431" t="s">
        <v>5069</v>
      </c>
      <c r="C182" s="444" t="s">
        <v>2295</v>
      </c>
      <c r="D182" s="432" t="s">
        <v>5086</v>
      </c>
      <c r="E182" s="444" t="s">
        <v>6269</v>
      </c>
      <c r="F182" s="431" t="s">
        <v>52</v>
      </c>
      <c r="G182" s="431" t="s">
        <v>52</v>
      </c>
      <c r="H182" s="433" t="s">
        <v>6270</v>
      </c>
    </row>
    <row r="183" spans="2:8" ht="30" outlineLevel="1" x14ac:dyDescent="0.25">
      <c r="B183" s="438" t="s">
        <v>5069</v>
      </c>
      <c r="C183" s="445" t="s">
        <v>2295</v>
      </c>
      <c r="D183" s="439" t="s">
        <v>5076</v>
      </c>
      <c r="E183" s="445" t="s">
        <v>6271</v>
      </c>
      <c r="F183" s="438" t="s">
        <v>52</v>
      </c>
      <c r="G183" s="438" t="s">
        <v>52</v>
      </c>
      <c r="H183" s="440" t="s">
        <v>6272</v>
      </c>
    </row>
    <row r="184" spans="2:8" ht="15.75" outlineLevel="1" thickBot="1" x14ac:dyDescent="0.3">
      <c r="B184" s="441" t="s">
        <v>5069</v>
      </c>
      <c r="C184" s="446" t="s">
        <v>2295</v>
      </c>
      <c r="D184" s="441" t="s">
        <v>5256</v>
      </c>
      <c r="E184" s="446" t="s">
        <v>6273</v>
      </c>
      <c r="F184" s="441" t="s">
        <v>52</v>
      </c>
      <c r="G184" s="441" t="s">
        <v>52</v>
      </c>
      <c r="H184" s="442" t="s">
        <v>6274</v>
      </c>
    </row>
    <row r="185" spans="2:8" outlineLevel="1" x14ac:dyDescent="0.25">
      <c r="B185" s="427" t="s">
        <v>5069</v>
      </c>
      <c r="C185" s="447" t="s">
        <v>5071</v>
      </c>
      <c r="D185" s="427" t="s">
        <v>5411</v>
      </c>
      <c r="E185" s="447" t="s">
        <v>6275</v>
      </c>
      <c r="F185" s="427" t="s">
        <v>6267</v>
      </c>
      <c r="G185" s="427" t="s">
        <v>52</v>
      </c>
      <c r="H185" s="427" t="s">
        <v>6276</v>
      </c>
    </row>
    <row r="186" spans="2:8" outlineLevel="1" x14ac:dyDescent="0.25">
      <c r="B186" s="427" t="s">
        <v>5069</v>
      </c>
      <c r="C186" s="447" t="s">
        <v>5071</v>
      </c>
      <c r="D186" s="427" t="s">
        <v>5073</v>
      </c>
      <c r="E186" s="447" t="s">
        <v>6277</v>
      </c>
      <c r="F186" s="427" t="s">
        <v>6267</v>
      </c>
      <c r="G186" s="427" t="s">
        <v>52</v>
      </c>
      <c r="H186" s="427" t="s">
        <v>6278</v>
      </c>
    </row>
    <row r="187" spans="2:8" outlineLevel="1" x14ac:dyDescent="0.25">
      <c r="B187" s="427" t="s">
        <v>5069</v>
      </c>
      <c r="C187" s="447" t="s">
        <v>5071</v>
      </c>
      <c r="D187" s="427" t="s">
        <v>5082</v>
      </c>
      <c r="E187" s="447" t="s">
        <v>6279</v>
      </c>
      <c r="F187" s="427" t="s">
        <v>6267</v>
      </c>
      <c r="G187" s="427" t="s">
        <v>52</v>
      </c>
      <c r="H187" s="427" t="s">
        <v>6280</v>
      </c>
    </row>
    <row r="188" spans="2:8" outlineLevel="1" x14ac:dyDescent="0.25">
      <c r="B188" s="427" t="s">
        <v>5069</v>
      </c>
      <c r="C188" s="447" t="s">
        <v>5071</v>
      </c>
      <c r="D188" s="427" t="s">
        <v>5097</v>
      </c>
      <c r="E188" s="447" t="s">
        <v>6281</v>
      </c>
      <c r="F188" s="427" t="s">
        <v>6267</v>
      </c>
      <c r="G188" s="427" t="s">
        <v>52</v>
      </c>
      <c r="H188" s="427" t="s">
        <v>6282</v>
      </c>
    </row>
    <row r="189" spans="2:8" outlineLevel="1" x14ac:dyDescent="0.25">
      <c r="B189" s="427" t="s">
        <v>5069</v>
      </c>
      <c r="C189" s="447" t="s">
        <v>5071</v>
      </c>
      <c r="D189" s="427" t="s">
        <v>5091</v>
      </c>
      <c r="E189" s="447" t="s">
        <v>6283</v>
      </c>
      <c r="F189" s="427" t="s">
        <v>6267</v>
      </c>
      <c r="G189" s="427" t="s">
        <v>52</v>
      </c>
      <c r="H189" s="427" t="s">
        <v>6284</v>
      </c>
    </row>
    <row r="190" spans="2:8" outlineLevel="1" x14ac:dyDescent="0.25">
      <c r="B190" s="434" t="s">
        <v>5069</v>
      </c>
      <c r="C190" s="448" t="s">
        <v>5071</v>
      </c>
      <c r="D190" s="434" t="s">
        <v>5130</v>
      </c>
      <c r="E190" s="448" t="s">
        <v>6285</v>
      </c>
      <c r="F190" s="434" t="s">
        <v>6269</v>
      </c>
      <c r="G190" s="434" t="s">
        <v>52</v>
      </c>
      <c r="H190" s="434" t="s">
        <v>6286</v>
      </c>
    </row>
    <row r="191" spans="2:8" ht="30" outlineLevel="1" x14ac:dyDescent="0.25">
      <c r="B191" s="434" t="s">
        <v>5069</v>
      </c>
      <c r="C191" s="448" t="s">
        <v>5071</v>
      </c>
      <c r="D191" s="434" t="s">
        <v>5087</v>
      </c>
      <c r="E191" s="448" t="s">
        <v>6287</v>
      </c>
      <c r="F191" s="434" t="s">
        <v>6269</v>
      </c>
      <c r="G191" s="434" t="s">
        <v>52</v>
      </c>
      <c r="H191" s="435" t="s">
        <v>6288</v>
      </c>
    </row>
    <row r="192" spans="2:8" outlineLevel="1" x14ac:dyDescent="0.25">
      <c r="B192" s="434" t="s">
        <v>5069</v>
      </c>
      <c r="C192" s="448" t="s">
        <v>5071</v>
      </c>
      <c r="D192" s="434" t="s">
        <v>5127</v>
      </c>
      <c r="E192" s="566" t="s">
        <v>6289</v>
      </c>
      <c r="F192" s="434" t="s">
        <v>6269</v>
      </c>
      <c r="G192" s="434" t="s">
        <v>52</v>
      </c>
      <c r="H192" s="434" t="s">
        <v>6290</v>
      </c>
    </row>
    <row r="193" spans="2:8" outlineLevel="1" x14ac:dyDescent="0.25">
      <c r="B193" s="436" t="s">
        <v>5069</v>
      </c>
      <c r="C193" s="449" t="s">
        <v>5071</v>
      </c>
      <c r="D193" s="436" t="s">
        <v>5077</v>
      </c>
      <c r="E193" s="449" t="s">
        <v>6291</v>
      </c>
      <c r="F193" s="436" t="s">
        <v>6271</v>
      </c>
      <c r="G193" s="436" t="s">
        <v>52</v>
      </c>
      <c r="H193" s="436" t="s">
        <v>6292</v>
      </c>
    </row>
    <row r="194" spans="2:8" outlineLevel="1" x14ac:dyDescent="0.25">
      <c r="B194" s="436" t="s">
        <v>5069</v>
      </c>
      <c r="C194" s="449" t="s">
        <v>5071</v>
      </c>
      <c r="D194" s="436" t="s">
        <v>5120</v>
      </c>
      <c r="E194" s="449" t="s">
        <v>6293</v>
      </c>
      <c r="F194" s="436" t="s">
        <v>6271</v>
      </c>
      <c r="G194" s="436" t="s">
        <v>52</v>
      </c>
      <c r="H194" s="436" t="s">
        <v>6294</v>
      </c>
    </row>
    <row r="195" spans="2:8" outlineLevel="1" x14ac:dyDescent="0.25">
      <c r="B195" s="436" t="s">
        <v>5069</v>
      </c>
      <c r="C195" s="449" t="s">
        <v>5071</v>
      </c>
      <c r="D195" s="436" t="s">
        <v>5117</v>
      </c>
      <c r="E195" s="449" t="s">
        <v>6295</v>
      </c>
      <c r="F195" s="436" t="s">
        <v>6271</v>
      </c>
      <c r="G195" s="436" t="s">
        <v>52</v>
      </c>
      <c r="H195" s="436" t="s">
        <v>6296</v>
      </c>
    </row>
    <row r="196" spans="2:8" outlineLevel="1" x14ac:dyDescent="0.25">
      <c r="B196" s="436" t="s">
        <v>5069</v>
      </c>
      <c r="C196" s="449" t="s">
        <v>5071</v>
      </c>
      <c r="D196" s="436" t="s">
        <v>5079</v>
      </c>
      <c r="E196" s="449" t="s">
        <v>6297</v>
      </c>
      <c r="F196" s="436" t="s">
        <v>6271</v>
      </c>
      <c r="G196" s="436" t="s">
        <v>52</v>
      </c>
      <c r="H196" s="436" t="s">
        <v>6298</v>
      </c>
    </row>
    <row r="197" spans="2:8" ht="30" outlineLevel="1" x14ac:dyDescent="0.25">
      <c r="B197" s="436" t="s">
        <v>5069</v>
      </c>
      <c r="C197" s="449" t="s">
        <v>5071</v>
      </c>
      <c r="D197" s="436" t="s">
        <v>5089</v>
      </c>
      <c r="E197" s="449" t="s">
        <v>6299</v>
      </c>
      <c r="F197" s="436" t="s">
        <v>6271</v>
      </c>
      <c r="G197" s="436" t="s">
        <v>52</v>
      </c>
      <c r="H197" s="437" t="s">
        <v>6300</v>
      </c>
    </row>
    <row r="198" spans="2:8" outlineLevel="1" x14ac:dyDescent="0.25">
      <c r="B198" s="8" t="s">
        <v>5069</v>
      </c>
      <c r="C198" s="143" t="s">
        <v>5071</v>
      </c>
      <c r="D198" s="8" t="s">
        <v>5256</v>
      </c>
      <c r="E198" s="143" t="s">
        <v>6301</v>
      </c>
      <c r="F198" s="8" t="s">
        <v>6273</v>
      </c>
      <c r="G198" s="8" t="s">
        <v>52</v>
      </c>
      <c r="H198" s="8" t="s">
        <v>6302</v>
      </c>
    </row>
    <row r="199" spans="2:8" outlineLevel="1" x14ac:dyDescent="0.25"/>
    <row r="200" spans="2:8" outlineLevel="1" x14ac:dyDescent="0.25"/>
    <row r="203" spans="2:8" ht="18.75" x14ac:dyDescent="0.25">
      <c r="B203" s="199" t="s">
        <v>5455</v>
      </c>
    </row>
    <row r="204" spans="2:8" outlineLevel="1" x14ac:dyDescent="0.25"/>
    <row r="205" spans="2:8" outlineLevel="1" x14ac:dyDescent="0.25">
      <c r="B205" s="202" t="s">
        <v>5970</v>
      </c>
      <c r="C205" s="202" t="s">
        <v>6067</v>
      </c>
      <c r="D205" s="203" t="s">
        <v>5972</v>
      </c>
      <c r="E205" s="203" t="s">
        <v>6068</v>
      </c>
      <c r="F205" s="203" t="s">
        <v>6069</v>
      </c>
      <c r="G205" s="203" t="s">
        <v>6070</v>
      </c>
      <c r="H205" s="203" t="s">
        <v>5976</v>
      </c>
    </row>
    <row r="206" spans="2:8" outlineLevel="1" x14ac:dyDescent="0.25">
      <c r="B206" s="7" t="s">
        <v>5455</v>
      </c>
      <c r="C206" s="7" t="s">
        <v>5457</v>
      </c>
      <c r="D206" s="210" t="s">
        <v>5460</v>
      </c>
      <c r="E206" s="204" t="s">
        <v>5462</v>
      </c>
      <c r="F206" s="7" t="s">
        <v>52</v>
      </c>
      <c r="G206" s="7" t="s">
        <v>52</v>
      </c>
      <c r="H206" s="426" t="s">
        <v>6303</v>
      </c>
    </row>
    <row r="207" spans="2:8" outlineLevel="1" x14ac:dyDescent="0.25">
      <c r="B207" s="7" t="s">
        <v>5455</v>
      </c>
      <c r="C207" s="7" t="s">
        <v>5457</v>
      </c>
      <c r="D207" s="8" t="s">
        <v>5478</v>
      </c>
      <c r="E207" s="7" t="s">
        <v>5480</v>
      </c>
      <c r="F207" s="7" t="s">
        <v>52</v>
      </c>
      <c r="G207" s="7" t="s">
        <v>52</v>
      </c>
      <c r="H207" s="28" t="s">
        <v>6304</v>
      </c>
    </row>
    <row r="208" spans="2:8" outlineLevel="1" x14ac:dyDescent="0.25">
      <c r="B208" s="7" t="s">
        <v>5455</v>
      </c>
      <c r="C208" s="7" t="s">
        <v>5457</v>
      </c>
      <c r="D208" s="210" t="s">
        <v>5463</v>
      </c>
      <c r="E208" s="204" t="s">
        <v>5465</v>
      </c>
      <c r="F208" s="7" t="s">
        <v>52</v>
      </c>
      <c r="G208" s="7" t="s">
        <v>52</v>
      </c>
      <c r="H208" s="27" t="s">
        <v>6305</v>
      </c>
    </row>
    <row r="209" spans="2:8" ht="45" outlineLevel="1" x14ac:dyDescent="0.25">
      <c r="B209" s="7" t="s">
        <v>5455</v>
      </c>
      <c r="C209" s="7" t="s">
        <v>5457</v>
      </c>
      <c r="D209" s="8" t="s">
        <v>5475</v>
      </c>
      <c r="E209" s="8" t="s">
        <v>5477</v>
      </c>
      <c r="F209" s="7" t="s">
        <v>52</v>
      </c>
      <c r="G209" s="7" t="s">
        <v>52</v>
      </c>
      <c r="H209" s="28" t="s">
        <v>6306</v>
      </c>
    </row>
    <row r="210" spans="2:8" ht="30" outlineLevel="1" x14ac:dyDescent="0.25">
      <c r="B210" s="7" t="s">
        <v>5455</v>
      </c>
      <c r="C210" s="7" t="s">
        <v>5457</v>
      </c>
      <c r="D210" s="27" t="s">
        <v>5469</v>
      </c>
      <c r="E210" s="27" t="s">
        <v>5471</v>
      </c>
      <c r="F210" s="7" t="s">
        <v>52</v>
      </c>
      <c r="G210" s="7" t="s">
        <v>52</v>
      </c>
      <c r="H210" s="28" t="s">
        <v>6307</v>
      </c>
    </row>
    <row r="211" spans="2:8" ht="30" outlineLevel="1" x14ac:dyDescent="0.25">
      <c r="B211" s="7" t="s">
        <v>5455</v>
      </c>
      <c r="C211" s="7" t="s">
        <v>5457</v>
      </c>
      <c r="D211" s="27" t="s">
        <v>5466</v>
      </c>
      <c r="E211" s="27" t="s">
        <v>5468</v>
      </c>
      <c r="F211" s="7" t="s">
        <v>52</v>
      </c>
      <c r="G211" s="7" t="s">
        <v>52</v>
      </c>
      <c r="H211" s="28" t="s">
        <v>6308</v>
      </c>
    </row>
    <row r="212" spans="2:8" outlineLevel="1" x14ac:dyDescent="0.25">
      <c r="B212" s="7" t="s">
        <v>5455</v>
      </c>
      <c r="C212" s="7" t="s">
        <v>5457</v>
      </c>
      <c r="D212" s="27" t="s">
        <v>5483</v>
      </c>
      <c r="E212" s="27" t="s">
        <v>5485</v>
      </c>
      <c r="F212" s="7" t="s">
        <v>52</v>
      </c>
      <c r="G212" s="7" t="s">
        <v>52</v>
      </c>
      <c r="H212" s="27" t="s">
        <v>6309</v>
      </c>
    </row>
    <row r="213" spans="2:8" ht="29.45" customHeight="1" outlineLevel="1" x14ac:dyDescent="0.25">
      <c r="B213" s="7" t="s">
        <v>5455</v>
      </c>
      <c r="C213" s="7" t="s">
        <v>5457</v>
      </c>
      <c r="D213" s="27" t="s">
        <v>5472</v>
      </c>
      <c r="E213" s="27" t="s">
        <v>5474</v>
      </c>
      <c r="F213" s="7" t="s">
        <v>52</v>
      </c>
      <c r="G213" s="7" t="s">
        <v>52</v>
      </c>
      <c r="H213" s="28" t="s">
        <v>6310</v>
      </c>
    </row>
    <row r="214" spans="2:8" outlineLevel="1" x14ac:dyDescent="0.25"/>
    <row r="215" spans="2:8" outlineLevel="1" x14ac:dyDescent="0.25"/>
  </sheetData>
  <pageMargins left="0.7" right="0.7" top="0.75" bottom="0.75" header="0.3" footer="0.3"/>
  <pageSetup paperSize="8" scale="70" fitToWidth="0" fitToHeight="0" orientation="landscape" r:id="rId1"/>
  <tableParts count="4">
    <tablePart r:id="rId2"/>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3D96-72F3-405F-BE8D-ED2B82AA9A1F}">
  <sheetPr codeName="Tabelle11">
    <tabColor rgb="FF00B0F0"/>
  </sheetPr>
  <dimension ref="A2:F122"/>
  <sheetViews>
    <sheetView topLeftCell="A15" zoomScale="115" zoomScaleNormal="115" workbookViewId="0">
      <selection activeCell="E18" sqref="E18"/>
    </sheetView>
  </sheetViews>
  <sheetFormatPr baseColWidth="10" defaultColWidth="11.42578125" defaultRowHeight="15" x14ac:dyDescent="0.25"/>
  <cols>
    <col min="1" max="1" width="19.42578125" style="71" bestFit="1" customWidth="1"/>
    <col min="2" max="2" width="30.5703125" style="71" bestFit="1" customWidth="1"/>
    <col min="3" max="3" width="27.42578125" style="71" bestFit="1" customWidth="1"/>
    <col min="4" max="4" width="21.5703125" style="71" bestFit="1" customWidth="1"/>
    <col min="5" max="5" width="52.5703125" style="65" customWidth="1"/>
    <col min="6" max="6" width="40.42578125" style="72" bestFit="1" customWidth="1"/>
  </cols>
  <sheetData>
    <row r="2" spans="1:6" s="31" customFormat="1" ht="22.5" x14ac:dyDescent="0.3">
      <c r="B2" s="32" t="s">
        <v>6311</v>
      </c>
    </row>
    <row r="3" spans="1:6" s="31" customFormat="1" x14ac:dyDescent="0.25">
      <c r="B3" s="31" t="s">
        <v>6312</v>
      </c>
    </row>
    <row r="4" spans="1:6" s="31" customFormat="1" x14ac:dyDescent="0.25">
      <c r="B4" s="33" t="str">
        <f>'Read me'!C8</f>
        <v>Update as of  13 March 2025</v>
      </c>
    </row>
    <row r="5" spans="1:6" x14ac:dyDescent="0.25">
      <c r="A5"/>
      <c r="B5"/>
      <c r="C5"/>
      <c r="D5"/>
      <c r="E5"/>
      <c r="F5"/>
    </row>
    <row r="7" spans="1:6" x14ac:dyDescent="0.25">
      <c r="A7" s="70" t="s">
        <v>6313</v>
      </c>
    </row>
    <row r="8" spans="1:6" x14ac:dyDescent="0.25">
      <c r="A8" s="587" t="s">
        <v>6314</v>
      </c>
      <c r="B8" s="587"/>
      <c r="C8" s="587"/>
    </row>
    <row r="9" spans="1:6" x14ac:dyDescent="0.25">
      <c r="A9" s="73" t="s">
        <v>2295</v>
      </c>
      <c r="B9" s="73" t="s">
        <v>2296</v>
      </c>
      <c r="C9" s="73" t="s">
        <v>5071</v>
      </c>
      <c r="D9" s="73" t="s">
        <v>1081</v>
      </c>
      <c r="E9" s="66" t="s">
        <v>5976</v>
      </c>
      <c r="F9" s="73" t="s">
        <v>6315</v>
      </c>
    </row>
    <row r="10" spans="1:6" ht="4.5" customHeight="1" x14ac:dyDescent="0.25">
      <c r="A10" s="589"/>
      <c r="B10" s="589"/>
      <c r="C10" s="589"/>
      <c r="D10" s="589"/>
      <c r="E10" s="589"/>
      <c r="F10" s="589"/>
    </row>
    <row r="11" spans="1:6" ht="89.25" x14ac:dyDescent="0.25">
      <c r="A11" s="586" t="s">
        <v>2350</v>
      </c>
      <c r="B11" s="74"/>
      <c r="C11" s="74"/>
      <c r="D11" s="74"/>
      <c r="E11" s="60" t="s">
        <v>6316</v>
      </c>
      <c r="F11" s="75"/>
    </row>
    <row r="12" spans="1:6" ht="25.5" x14ac:dyDescent="0.25">
      <c r="A12" s="586"/>
      <c r="B12" s="580" t="s">
        <v>2370</v>
      </c>
      <c r="C12" s="76"/>
      <c r="D12" s="76"/>
      <c r="E12" s="58" t="s">
        <v>6317</v>
      </c>
      <c r="F12" s="77"/>
    </row>
    <row r="13" spans="1:6" ht="25.5" x14ac:dyDescent="0.25">
      <c r="A13" s="586"/>
      <c r="B13" s="580"/>
      <c r="C13" s="68" t="s">
        <v>2418</v>
      </c>
      <c r="D13" s="78" t="s">
        <v>6163</v>
      </c>
      <c r="E13" s="56" t="s">
        <v>6318</v>
      </c>
      <c r="F13" s="79" t="s">
        <v>6319</v>
      </c>
    </row>
    <row r="14" spans="1:6" ht="63.75" x14ac:dyDescent="0.25">
      <c r="A14" s="586"/>
      <c r="B14" s="580"/>
      <c r="C14" s="68" t="s">
        <v>2371</v>
      </c>
      <c r="D14" s="78" t="s">
        <v>6167</v>
      </c>
      <c r="E14" s="56" t="s">
        <v>6320</v>
      </c>
    </row>
    <row r="15" spans="1:6" ht="102" x14ac:dyDescent="0.25">
      <c r="A15" s="586"/>
      <c r="B15" s="580"/>
      <c r="C15" s="68" t="s">
        <v>2581</v>
      </c>
      <c r="D15" s="78" t="s">
        <v>6169</v>
      </c>
      <c r="E15" s="56" t="s">
        <v>6321</v>
      </c>
      <c r="F15" s="80" t="s">
        <v>6322</v>
      </c>
    </row>
    <row r="16" spans="1:6" ht="25.5" x14ac:dyDescent="0.25">
      <c r="A16" s="586"/>
      <c r="B16" s="580"/>
      <c r="C16" s="68" t="s">
        <v>2511</v>
      </c>
      <c r="D16" s="78" t="s">
        <v>6165</v>
      </c>
      <c r="E16" s="56" t="s">
        <v>6323</v>
      </c>
      <c r="F16" s="80"/>
    </row>
    <row r="17" spans="1:6" ht="51" x14ac:dyDescent="0.25">
      <c r="A17" s="586"/>
      <c r="B17" s="580"/>
      <c r="C17" s="68" t="s">
        <v>2518</v>
      </c>
      <c r="D17" s="84" t="s">
        <v>6171</v>
      </c>
      <c r="E17" s="56" t="s">
        <v>6172</v>
      </c>
    </row>
    <row r="18" spans="1:6" ht="38.25" x14ac:dyDescent="0.25">
      <c r="A18" s="586"/>
      <c r="B18" s="588" t="s">
        <v>6324</v>
      </c>
      <c r="C18" s="81"/>
      <c r="D18" s="81"/>
      <c r="E18" s="59" t="s">
        <v>6325</v>
      </c>
      <c r="F18" s="82"/>
    </row>
    <row r="19" spans="1:6" ht="63.75" x14ac:dyDescent="0.25">
      <c r="A19" s="586"/>
      <c r="B19" s="588"/>
      <c r="C19" s="83" t="s">
        <v>6326</v>
      </c>
      <c r="D19" s="84" t="s">
        <v>6327</v>
      </c>
      <c r="E19" s="56" t="s">
        <v>6328</v>
      </c>
      <c r="F19" s="61" t="s">
        <v>6329</v>
      </c>
    </row>
    <row r="20" spans="1:6" ht="38.25" x14ac:dyDescent="0.25">
      <c r="A20" s="586"/>
      <c r="B20" s="588"/>
      <c r="C20" s="83" t="s">
        <v>6330</v>
      </c>
      <c r="D20" s="84" t="s">
        <v>6331</v>
      </c>
      <c r="E20" s="56" t="s">
        <v>6332</v>
      </c>
      <c r="F20" s="61" t="s">
        <v>6329</v>
      </c>
    </row>
    <row r="21" spans="1:6" ht="51" x14ac:dyDescent="0.25">
      <c r="A21" s="586"/>
      <c r="B21" s="588"/>
      <c r="C21" s="83" t="s">
        <v>6333</v>
      </c>
      <c r="D21" s="84" t="s">
        <v>6171</v>
      </c>
      <c r="E21" s="56" t="s">
        <v>6334</v>
      </c>
    </row>
    <row r="22" spans="1:6" ht="38.25" x14ac:dyDescent="0.25">
      <c r="A22" s="586"/>
      <c r="B22" s="580" t="s">
        <v>2456</v>
      </c>
      <c r="C22" s="76"/>
      <c r="D22" s="85"/>
      <c r="E22" s="58" t="s">
        <v>6335</v>
      </c>
      <c r="F22" s="77"/>
    </row>
    <row r="23" spans="1:6" ht="51.75" x14ac:dyDescent="0.25">
      <c r="A23" s="586"/>
      <c r="B23" s="580"/>
      <c r="C23" s="83" t="s">
        <v>6336</v>
      </c>
      <c r="D23" s="84" t="s">
        <v>6175</v>
      </c>
      <c r="E23" s="55" t="s">
        <v>6176</v>
      </c>
    </row>
    <row r="24" spans="1:6" ht="90" x14ac:dyDescent="0.25">
      <c r="A24" s="586"/>
      <c r="B24" s="580"/>
      <c r="C24" s="83" t="s">
        <v>2466</v>
      </c>
      <c r="D24" s="84" t="s">
        <v>6173</v>
      </c>
      <c r="E24" s="55" t="s">
        <v>6337</v>
      </c>
    </row>
    <row r="25" spans="1:6" ht="64.5" x14ac:dyDescent="0.25">
      <c r="A25" s="586"/>
      <c r="B25" s="580"/>
      <c r="C25" s="83" t="s">
        <v>2643</v>
      </c>
      <c r="D25" s="84" t="s">
        <v>6177</v>
      </c>
      <c r="E25" s="55" t="s">
        <v>6338</v>
      </c>
    </row>
    <row r="26" spans="1:6" ht="26.25" x14ac:dyDescent="0.25">
      <c r="A26" s="586"/>
      <c r="B26" s="581" t="s">
        <v>6339</v>
      </c>
      <c r="C26" s="81"/>
      <c r="D26" s="81"/>
      <c r="E26" s="57" t="s">
        <v>6340</v>
      </c>
      <c r="F26" s="82"/>
    </row>
    <row r="27" spans="1:6" ht="51.75" x14ac:dyDescent="0.25">
      <c r="A27" s="586"/>
      <c r="B27" s="582"/>
      <c r="C27" s="83" t="s">
        <v>2447</v>
      </c>
      <c r="D27" s="84" t="s">
        <v>6179</v>
      </c>
      <c r="E27" s="54" t="s">
        <v>6180</v>
      </c>
    </row>
    <row r="28" spans="1:6" ht="39" x14ac:dyDescent="0.25">
      <c r="A28" s="586"/>
      <c r="B28" s="582"/>
      <c r="C28" s="83" t="s">
        <v>2427</v>
      </c>
      <c r="D28" s="84" t="s">
        <v>6181</v>
      </c>
      <c r="E28" s="54" t="s">
        <v>6182</v>
      </c>
    </row>
    <row r="29" spans="1:6" ht="51.75" x14ac:dyDescent="0.25">
      <c r="A29" s="586"/>
      <c r="B29" s="583"/>
      <c r="C29" s="83" t="s">
        <v>6341</v>
      </c>
      <c r="D29" s="84" t="s">
        <v>6183</v>
      </c>
      <c r="E29" s="54" t="s">
        <v>6184</v>
      </c>
    </row>
    <row r="30" spans="1:6" x14ac:dyDescent="0.25">
      <c r="A30" s="586"/>
      <c r="B30" s="584" t="s">
        <v>2407</v>
      </c>
      <c r="C30" s="86"/>
      <c r="D30" s="87"/>
      <c r="E30" s="67"/>
      <c r="F30" s="77"/>
    </row>
    <row r="31" spans="1:6" ht="51.75" x14ac:dyDescent="0.25">
      <c r="A31" s="586"/>
      <c r="B31" s="585"/>
      <c r="C31" s="83" t="s">
        <v>2408</v>
      </c>
      <c r="D31" s="84" t="s">
        <v>6187</v>
      </c>
      <c r="E31" s="55" t="s">
        <v>6188</v>
      </c>
    </row>
    <row r="32" spans="1:6" ht="39" x14ac:dyDescent="0.25">
      <c r="A32" s="586"/>
      <c r="B32" s="585"/>
      <c r="C32" s="83" t="s">
        <v>2592</v>
      </c>
      <c r="D32" s="84" t="s">
        <v>6185</v>
      </c>
      <c r="E32" s="55" t="s">
        <v>6342</v>
      </c>
    </row>
    <row r="33" spans="1:6" ht="77.25" x14ac:dyDescent="0.25">
      <c r="A33" s="586"/>
      <c r="B33" s="585"/>
      <c r="C33" s="83" t="s">
        <v>6343</v>
      </c>
      <c r="D33" s="84" t="s">
        <v>6344</v>
      </c>
      <c r="E33" s="55" t="s">
        <v>6345</v>
      </c>
    </row>
    <row r="34" spans="1:6" x14ac:dyDescent="0.25">
      <c r="A34" s="590"/>
      <c r="B34" s="591"/>
      <c r="C34" s="591"/>
      <c r="D34" s="591"/>
      <c r="E34" s="591"/>
      <c r="F34" s="592"/>
    </row>
    <row r="35" spans="1:6" ht="64.5" x14ac:dyDescent="0.25">
      <c r="A35" s="598" t="s">
        <v>2343</v>
      </c>
      <c r="B35" s="88"/>
      <c r="C35" s="88"/>
      <c r="D35" s="88"/>
      <c r="E35" s="62" t="s">
        <v>6073</v>
      </c>
      <c r="F35" s="88"/>
    </row>
    <row r="36" spans="1:6" ht="64.5" x14ac:dyDescent="0.25">
      <c r="A36" s="598"/>
      <c r="B36" s="580" t="s">
        <v>2377</v>
      </c>
      <c r="C36" s="89"/>
      <c r="D36" s="89"/>
      <c r="E36" s="64" t="s">
        <v>6346</v>
      </c>
      <c r="F36" s="90" t="s">
        <v>6347</v>
      </c>
    </row>
    <row r="37" spans="1:6" ht="26.25" x14ac:dyDescent="0.25">
      <c r="A37" s="598"/>
      <c r="B37" s="580"/>
      <c r="C37" s="83" t="s">
        <v>6348</v>
      </c>
      <c r="D37" s="84" t="s">
        <v>6114</v>
      </c>
      <c r="E37" s="55" t="s">
        <v>6115</v>
      </c>
    </row>
    <row r="38" spans="1:6" ht="26.25" x14ac:dyDescent="0.25">
      <c r="A38" s="598"/>
      <c r="B38" s="580"/>
      <c r="C38" s="83" t="s">
        <v>6349</v>
      </c>
      <c r="D38" s="84" t="s">
        <v>6120</v>
      </c>
      <c r="E38" s="55" t="s">
        <v>6350</v>
      </c>
    </row>
    <row r="39" spans="1:6" ht="51.75" x14ac:dyDescent="0.25">
      <c r="A39" s="598"/>
      <c r="B39" s="580"/>
      <c r="C39" s="72" t="s">
        <v>6351</v>
      </c>
      <c r="D39" s="83" t="s">
        <v>6352</v>
      </c>
      <c r="E39" s="55" t="s">
        <v>6353</v>
      </c>
    </row>
    <row r="40" spans="1:6" ht="39" x14ac:dyDescent="0.25">
      <c r="A40" s="598"/>
      <c r="B40" s="580"/>
      <c r="C40" s="83" t="s">
        <v>6354</v>
      </c>
      <c r="D40" s="84" t="s">
        <v>6116</v>
      </c>
      <c r="E40" s="55" t="s">
        <v>6355</v>
      </c>
    </row>
    <row r="41" spans="1:6" ht="39" x14ac:dyDescent="0.25">
      <c r="A41" s="598"/>
      <c r="B41" s="580"/>
      <c r="C41" s="83" t="s">
        <v>2378</v>
      </c>
      <c r="D41" s="84" t="s">
        <v>6118</v>
      </c>
      <c r="E41" s="55" t="s">
        <v>6119</v>
      </c>
      <c r="F41" s="61" t="s">
        <v>6356</v>
      </c>
    </row>
    <row r="42" spans="1:6" ht="64.5" x14ac:dyDescent="0.25">
      <c r="A42" s="598"/>
      <c r="B42" s="580"/>
      <c r="C42" s="83" t="s">
        <v>6357</v>
      </c>
      <c r="D42" s="84" t="s">
        <v>6358</v>
      </c>
      <c r="E42" s="55" t="s">
        <v>6359</v>
      </c>
      <c r="F42" s="80" t="s">
        <v>6360</v>
      </c>
    </row>
    <row r="43" spans="1:6" ht="39" x14ac:dyDescent="0.25">
      <c r="A43" s="598"/>
      <c r="B43" s="580"/>
      <c r="C43" s="83" t="s">
        <v>6361</v>
      </c>
      <c r="D43" s="84" t="s">
        <v>6362</v>
      </c>
      <c r="E43" s="55" t="s">
        <v>6363</v>
      </c>
      <c r="F43" s="80" t="s">
        <v>6364</v>
      </c>
    </row>
    <row r="44" spans="1:6" ht="51.75" x14ac:dyDescent="0.25">
      <c r="A44" s="598"/>
      <c r="B44" s="593" t="s">
        <v>6365</v>
      </c>
      <c r="C44" s="91"/>
      <c r="D44" s="92"/>
      <c r="E44" s="57" t="s">
        <v>6366</v>
      </c>
      <c r="F44" s="93"/>
    </row>
    <row r="45" spans="1:6" ht="39" x14ac:dyDescent="0.25">
      <c r="A45" s="598"/>
      <c r="B45" s="593"/>
      <c r="C45" s="83" t="s">
        <v>2412</v>
      </c>
      <c r="D45" s="84" t="s">
        <v>6122</v>
      </c>
      <c r="E45" s="55" t="s">
        <v>6367</v>
      </c>
      <c r="F45" s="80" t="s">
        <v>6368</v>
      </c>
    </row>
    <row r="46" spans="1:6" ht="128.25" x14ac:dyDescent="0.25">
      <c r="A46" s="598"/>
      <c r="B46" s="593"/>
      <c r="C46" s="83" t="s">
        <v>3055</v>
      </c>
      <c r="D46" s="84" t="s">
        <v>6124</v>
      </c>
      <c r="E46" s="55" t="s">
        <v>6369</v>
      </c>
      <c r="F46" s="61" t="s">
        <v>6370</v>
      </c>
    </row>
    <row r="47" spans="1:6" ht="64.5" x14ac:dyDescent="0.25">
      <c r="A47" s="598"/>
      <c r="B47" s="593"/>
      <c r="C47" s="83" t="s">
        <v>2397</v>
      </c>
      <c r="D47" s="84" t="s">
        <v>6126</v>
      </c>
      <c r="E47" s="55" t="s">
        <v>6371</v>
      </c>
      <c r="F47" s="61" t="s">
        <v>6372</v>
      </c>
    </row>
    <row r="48" spans="1:6" ht="102.75" x14ac:dyDescent="0.25">
      <c r="A48" s="598"/>
      <c r="B48" s="593"/>
      <c r="C48" s="83" t="s">
        <v>2387</v>
      </c>
      <c r="D48" s="84" t="s">
        <v>6132</v>
      </c>
      <c r="E48" s="55" t="s">
        <v>6373</v>
      </c>
      <c r="F48" s="61" t="s">
        <v>6374</v>
      </c>
    </row>
    <row r="49" spans="1:6" ht="51.75" x14ac:dyDescent="0.25">
      <c r="A49" s="598"/>
      <c r="B49" s="593"/>
      <c r="C49" s="83" t="s">
        <v>2515</v>
      </c>
      <c r="D49" s="84" t="s">
        <v>6128</v>
      </c>
      <c r="E49" s="55" t="s">
        <v>6375</v>
      </c>
    </row>
    <row r="50" spans="1:6" ht="51.75" x14ac:dyDescent="0.25">
      <c r="A50" s="598"/>
      <c r="B50" s="593"/>
      <c r="C50" s="83" t="s">
        <v>6376</v>
      </c>
      <c r="D50" s="84" t="s">
        <v>6130</v>
      </c>
      <c r="E50" s="55" t="s">
        <v>6377</v>
      </c>
    </row>
    <row r="51" spans="1:6" ht="26.25" x14ac:dyDescent="0.25">
      <c r="A51" s="598"/>
      <c r="B51" s="593"/>
      <c r="C51" s="83" t="s">
        <v>6378</v>
      </c>
      <c r="D51" s="84" t="s">
        <v>6136</v>
      </c>
      <c r="E51" s="55" t="s">
        <v>6379</v>
      </c>
      <c r="F51" s="61" t="s">
        <v>6380</v>
      </c>
    </row>
    <row r="52" spans="1:6" ht="39" x14ac:dyDescent="0.25">
      <c r="A52" s="598"/>
      <c r="B52" s="593"/>
      <c r="C52" s="83" t="s">
        <v>2569</v>
      </c>
      <c r="D52" s="84" t="s">
        <v>6134</v>
      </c>
      <c r="E52" s="55" t="s">
        <v>6381</v>
      </c>
    </row>
    <row r="53" spans="1:6" ht="39" x14ac:dyDescent="0.25">
      <c r="A53" s="598"/>
      <c r="B53" s="580" t="s">
        <v>2344</v>
      </c>
      <c r="C53" s="86"/>
      <c r="D53" s="87"/>
      <c r="E53" s="64" t="s">
        <v>6382</v>
      </c>
      <c r="F53" s="77"/>
    </row>
    <row r="54" spans="1:6" ht="26.25" x14ac:dyDescent="0.25">
      <c r="A54" s="598"/>
      <c r="B54" s="580"/>
      <c r="C54" s="83" t="s">
        <v>2345</v>
      </c>
      <c r="D54" s="84" t="s">
        <v>6161</v>
      </c>
      <c r="E54" s="55" t="s">
        <v>6162</v>
      </c>
    </row>
    <row r="55" spans="1:6" ht="39" x14ac:dyDescent="0.25">
      <c r="A55" s="598"/>
      <c r="B55" s="580"/>
      <c r="C55" s="83" t="s">
        <v>6383</v>
      </c>
      <c r="D55" s="84" t="s">
        <v>6157</v>
      </c>
      <c r="E55" s="55" t="s">
        <v>6384</v>
      </c>
    </row>
    <row r="56" spans="1:6" ht="51.75" x14ac:dyDescent="0.25">
      <c r="A56" s="598"/>
      <c r="B56" s="580"/>
      <c r="C56" s="83" t="s">
        <v>2564</v>
      </c>
      <c r="D56" s="84" t="s">
        <v>6159</v>
      </c>
      <c r="E56" s="55" t="s">
        <v>6160</v>
      </c>
      <c r="F56" s="61" t="s">
        <v>6385</v>
      </c>
    </row>
    <row r="57" spans="1:6" ht="65.25" x14ac:dyDescent="0.25">
      <c r="A57" s="598"/>
      <c r="B57" s="580"/>
      <c r="C57" s="83" t="s">
        <v>2549</v>
      </c>
      <c r="D57" s="84" t="s">
        <v>6155</v>
      </c>
      <c r="E57" s="55" t="s">
        <v>6386</v>
      </c>
      <c r="F57" s="61" t="s">
        <v>6387</v>
      </c>
    </row>
    <row r="58" spans="1:6" ht="26.25" x14ac:dyDescent="0.25">
      <c r="A58" s="598"/>
      <c r="B58" s="593" t="s">
        <v>2302</v>
      </c>
      <c r="C58" s="91"/>
      <c r="D58" s="92"/>
      <c r="E58" s="57" t="s">
        <v>6388</v>
      </c>
      <c r="F58" s="82"/>
    </row>
    <row r="59" spans="1:6" ht="26.25" x14ac:dyDescent="0.25">
      <c r="A59" s="598"/>
      <c r="B59" s="593"/>
      <c r="C59" s="83" t="s">
        <v>2366</v>
      </c>
      <c r="D59" s="84" t="s">
        <v>6149</v>
      </c>
      <c r="E59" s="55" t="s">
        <v>6389</v>
      </c>
    </row>
    <row r="60" spans="1:6" ht="26.25" x14ac:dyDescent="0.25">
      <c r="A60" s="598"/>
      <c r="B60" s="593"/>
      <c r="C60" s="83" t="s">
        <v>2463</v>
      </c>
      <c r="D60" s="84" t="s">
        <v>6153</v>
      </c>
      <c r="E60" s="55" t="s">
        <v>6390</v>
      </c>
    </row>
    <row r="61" spans="1:6" ht="26.25" x14ac:dyDescent="0.25">
      <c r="A61" s="598"/>
      <c r="B61" s="593"/>
      <c r="C61" s="83" t="s">
        <v>2362</v>
      </c>
      <c r="D61" s="84" t="s">
        <v>6151</v>
      </c>
      <c r="E61" s="55" t="s">
        <v>6391</v>
      </c>
    </row>
    <row r="62" spans="1:6" ht="26.25" x14ac:dyDescent="0.25">
      <c r="A62" s="598"/>
      <c r="B62" s="597" t="s">
        <v>2429</v>
      </c>
      <c r="C62" s="86"/>
      <c r="D62" s="87"/>
      <c r="E62" s="64" t="s">
        <v>6392</v>
      </c>
      <c r="F62" s="77"/>
    </row>
    <row r="63" spans="1:6" ht="39" x14ac:dyDescent="0.25">
      <c r="A63" s="598"/>
      <c r="B63" s="597"/>
      <c r="C63" s="83" t="s">
        <v>6393</v>
      </c>
      <c r="D63" s="84" t="s">
        <v>6147</v>
      </c>
      <c r="E63" s="55" t="s">
        <v>6148</v>
      </c>
    </row>
    <row r="64" spans="1:6" ht="26.25" x14ac:dyDescent="0.25">
      <c r="A64" s="598"/>
      <c r="B64" s="597"/>
      <c r="C64" s="83" t="s">
        <v>6394</v>
      </c>
      <c r="D64" s="84" t="s">
        <v>6395</v>
      </c>
      <c r="E64" s="55" t="s">
        <v>6396</v>
      </c>
    </row>
    <row r="65" spans="1:6" ht="51.75" x14ac:dyDescent="0.25">
      <c r="A65" s="598"/>
      <c r="B65" s="597"/>
      <c r="C65" s="83" t="s">
        <v>6397</v>
      </c>
      <c r="D65" s="84" t="s">
        <v>6398</v>
      </c>
      <c r="E65" s="55" t="s">
        <v>6399</v>
      </c>
    </row>
    <row r="66" spans="1:6" ht="39" x14ac:dyDescent="0.25">
      <c r="A66" s="598"/>
      <c r="B66" s="597"/>
      <c r="C66" s="83" t="s">
        <v>2472</v>
      </c>
      <c r="D66" s="84" t="s">
        <v>6143</v>
      </c>
      <c r="E66" s="55" t="s">
        <v>6400</v>
      </c>
    </row>
    <row r="67" spans="1:6" ht="64.5" x14ac:dyDescent="0.25">
      <c r="A67" s="598"/>
      <c r="B67" s="597"/>
      <c r="C67" s="83" t="s">
        <v>2430</v>
      </c>
      <c r="D67" s="84" t="s">
        <v>6145</v>
      </c>
      <c r="E67" s="55" t="s">
        <v>6401</v>
      </c>
    </row>
    <row r="68" spans="1:6" ht="51.75" x14ac:dyDescent="0.25">
      <c r="A68" s="598"/>
      <c r="B68" s="597"/>
      <c r="C68" s="83" t="s">
        <v>6402</v>
      </c>
      <c r="D68" s="84" t="s">
        <v>6138</v>
      </c>
      <c r="E68" s="55" t="s">
        <v>6403</v>
      </c>
    </row>
    <row r="69" spans="1:6" ht="51.75" x14ac:dyDescent="0.25">
      <c r="A69" s="598"/>
      <c r="B69" s="597"/>
      <c r="C69" s="83" t="s">
        <v>6140</v>
      </c>
      <c r="D69" s="84" t="s">
        <v>6141</v>
      </c>
      <c r="E69" s="55" t="s">
        <v>6142</v>
      </c>
    </row>
    <row r="70" spans="1:6" ht="11.1" customHeight="1" x14ac:dyDescent="0.25">
      <c r="A70" s="599"/>
      <c r="B70" s="599"/>
      <c r="C70" s="599"/>
      <c r="D70" s="599"/>
      <c r="E70" s="599"/>
      <c r="F70" s="599"/>
    </row>
    <row r="71" spans="1:6" ht="27" customHeight="1" x14ac:dyDescent="0.25">
      <c r="A71" s="550" t="s">
        <v>2338</v>
      </c>
      <c r="B71" s="94"/>
      <c r="C71" s="94"/>
      <c r="D71" s="94"/>
      <c r="E71" s="69" t="s">
        <v>6404</v>
      </c>
      <c r="F71" s="94"/>
    </row>
    <row r="72" spans="1:6" ht="39" x14ac:dyDescent="0.25">
      <c r="A72" s="551"/>
      <c r="B72" s="588" t="s">
        <v>2339</v>
      </c>
      <c r="C72" s="95"/>
      <c r="D72" s="95"/>
      <c r="E72" s="57" t="s">
        <v>6405</v>
      </c>
      <c r="F72" s="95"/>
    </row>
    <row r="73" spans="1:6" ht="26.25" x14ac:dyDescent="0.25">
      <c r="A73" s="551"/>
      <c r="B73" s="588"/>
      <c r="C73" s="68" t="s">
        <v>6406</v>
      </c>
      <c r="D73" s="68" t="s">
        <v>6199</v>
      </c>
      <c r="E73" s="55" t="s">
        <v>6200</v>
      </c>
      <c r="F73" s="96"/>
    </row>
    <row r="74" spans="1:6" ht="51.75" x14ac:dyDescent="0.25">
      <c r="A74" s="551"/>
      <c r="B74" s="588"/>
      <c r="C74" s="68" t="s">
        <v>2556</v>
      </c>
      <c r="D74" s="68" t="s">
        <v>6193</v>
      </c>
      <c r="E74" s="55" t="s">
        <v>6407</v>
      </c>
      <c r="F74" s="96"/>
    </row>
    <row r="75" spans="1:6" ht="39" x14ac:dyDescent="0.25">
      <c r="A75" s="551"/>
      <c r="B75" s="588"/>
      <c r="C75" s="68" t="s">
        <v>2451</v>
      </c>
      <c r="D75" s="68" t="s">
        <v>6195</v>
      </c>
      <c r="E75" s="55" t="s">
        <v>6196</v>
      </c>
      <c r="F75" s="96"/>
    </row>
    <row r="76" spans="1:6" ht="39" x14ac:dyDescent="0.25">
      <c r="A76" s="551"/>
      <c r="B76" s="588"/>
      <c r="C76" s="68" t="s">
        <v>2425</v>
      </c>
      <c r="D76" s="68" t="s">
        <v>6191</v>
      </c>
      <c r="E76" s="55" t="s">
        <v>6408</v>
      </c>
      <c r="F76" s="96"/>
    </row>
    <row r="77" spans="1:6" ht="63.75" x14ac:dyDescent="0.25">
      <c r="A77" s="551"/>
      <c r="B77" s="588"/>
      <c r="C77" s="68" t="s">
        <v>2413</v>
      </c>
      <c r="D77" s="68" t="s">
        <v>6197</v>
      </c>
      <c r="E77" s="68" t="s">
        <v>6409</v>
      </c>
      <c r="F77" s="96"/>
    </row>
    <row r="78" spans="1:6" ht="51.75" x14ac:dyDescent="0.25">
      <c r="A78" s="551"/>
      <c r="B78" s="588"/>
      <c r="C78" s="68" t="s">
        <v>6410</v>
      </c>
      <c r="D78" s="68" t="s">
        <v>6411</v>
      </c>
      <c r="E78" s="55" t="s">
        <v>6412</v>
      </c>
      <c r="F78" s="97" t="s">
        <v>6413</v>
      </c>
    </row>
    <row r="79" spans="1:6" ht="51.75" x14ac:dyDescent="0.25">
      <c r="A79" s="551"/>
      <c r="B79" s="588"/>
      <c r="C79" s="68" t="s">
        <v>2410</v>
      </c>
      <c r="D79" s="68" t="s">
        <v>6201</v>
      </c>
      <c r="E79" s="55" t="s">
        <v>6202</v>
      </c>
      <c r="F79" s="96"/>
    </row>
    <row r="80" spans="1:6" ht="39" x14ac:dyDescent="0.25">
      <c r="A80" s="551"/>
      <c r="B80" s="588"/>
      <c r="C80" s="68" t="s">
        <v>2416</v>
      </c>
      <c r="D80" s="68" t="s">
        <v>6203</v>
      </c>
      <c r="E80" s="55" t="s">
        <v>6204</v>
      </c>
      <c r="F80" s="96"/>
    </row>
    <row r="81" spans="1:6" ht="39" x14ac:dyDescent="0.25">
      <c r="A81" s="551"/>
      <c r="B81" s="588"/>
      <c r="C81" s="68" t="s">
        <v>2691</v>
      </c>
      <c r="D81" s="68" t="s">
        <v>6217</v>
      </c>
      <c r="E81" s="55" t="s">
        <v>6414</v>
      </c>
      <c r="F81" s="96"/>
    </row>
    <row r="82" spans="1:6" x14ac:dyDescent="0.25">
      <c r="A82" s="551"/>
    </row>
    <row r="83" spans="1:6" x14ac:dyDescent="0.25">
      <c r="A83" s="551"/>
    </row>
    <row r="84" spans="1:6" x14ac:dyDescent="0.25">
      <c r="A84" s="551"/>
    </row>
    <row r="85" spans="1:6" x14ac:dyDescent="0.25">
      <c r="A85" s="551"/>
    </row>
    <row r="86" spans="1:6" x14ac:dyDescent="0.25">
      <c r="A86" s="551"/>
    </row>
    <row r="87" spans="1:6" x14ac:dyDescent="0.25">
      <c r="A87" s="551"/>
    </row>
    <row r="88" spans="1:6" x14ac:dyDescent="0.25">
      <c r="A88" s="551"/>
      <c r="B88" s="600" t="s">
        <v>6415</v>
      </c>
      <c r="C88" s="101"/>
      <c r="D88" s="102"/>
      <c r="E88" s="101"/>
      <c r="F88" s="82"/>
    </row>
    <row r="89" spans="1:6" ht="77.25" x14ac:dyDescent="0.25">
      <c r="A89" s="551"/>
      <c r="B89" s="601"/>
      <c r="C89" s="68" t="s">
        <v>6416</v>
      </c>
      <c r="D89" s="78" t="s">
        <v>6417</v>
      </c>
      <c r="E89" s="54" t="s">
        <v>6418</v>
      </c>
    </row>
    <row r="90" spans="1:6" ht="26.25" x14ac:dyDescent="0.25">
      <c r="A90" s="551"/>
      <c r="B90" s="601"/>
      <c r="C90" s="68" t="s">
        <v>6419</v>
      </c>
      <c r="D90" s="78" t="s">
        <v>6420</v>
      </c>
      <c r="E90" s="54" t="s">
        <v>6421</v>
      </c>
    </row>
    <row r="91" spans="1:6" ht="39" x14ac:dyDescent="0.25">
      <c r="A91" s="551"/>
      <c r="B91" s="601"/>
      <c r="C91" s="68" t="s">
        <v>6422</v>
      </c>
      <c r="D91" s="78" t="s">
        <v>6423</v>
      </c>
      <c r="E91" s="54" t="s">
        <v>6424</v>
      </c>
    </row>
    <row r="92" spans="1:6" ht="26.25" x14ac:dyDescent="0.25">
      <c r="A92" s="551"/>
      <c r="B92" s="601"/>
      <c r="C92" s="68" t="s">
        <v>6425</v>
      </c>
      <c r="D92" s="78" t="s">
        <v>6189</v>
      </c>
      <c r="E92" s="54" t="s">
        <v>6426</v>
      </c>
    </row>
    <row r="93" spans="1:6" ht="26.25" x14ac:dyDescent="0.25">
      <c r="A93" s="552"/>
      <c r="B93" s="602"/>
      <c r="C93" s="68" t="s">
        <v>6427</v>
      </c>
      <c r="D93" s="78" t="s">
        <v>6428</v>
      </c>
      <c r="E93" s="54" t="s">
        <v>6429</v>
      </c>
    </row>
    <row r="94" spans="1:6" x14ac:dyDescent="0.25">
      <c r="A94" s="545"/>
      <c r="B94" s="546"/>
      <c r="C94" s="547"/>
      <c r="D94" s="548"/>
      <c r="E94" s="54"/>
      <c r="F94" s="549"/>
    </row>
    <row r="95" spans="1:6" ht="39" x14ac:dyDescent="0.25">
      <c r="A95" s="603" t="s">
        <v>2329</v>
      </c>
      <c r="B95" s="594" t="s">
        <v>2330</v>
      </c>
      <c r="C95" s="98"/>
      <c r="D95" s="99"/>
      <c r="E95" s="63" t="s">
        <v>6430</v>
      </c>
      <c r="F95" s="100"/>
    </row>
    <row r="96" spans="1:6" ht="26.25" x14ac:dyDescent="0.25">
      <c r="A96" s="604"/>
      <c r="B96" s="595"/>
      <c r="C96" s="68" t="s">
        <v>6431</v>
      </c>
      <c r="D96" s="78" t="s">
        <v>6215</v>
      </c>
      <c r="E96" s="55" t="s">
        <v>6216</v>
      </c>
    </row>
    <row r="97" spans="1:6" ht="64.5" x14ac:dyDescent="0.25">
      <c r="A97" s="604"/>
      <c r="B97" s="595"/>
      <c r="C97" s="68" t="s">
        <v>2357</v>
      </c>
      <c r="D97" s="78" t="s">
        <v>6219</v>
      </c>
      <c r="E97" s="55" t="s">
        <v>6432</v>
      </c>
    </row>
    <row r="98" spans="1:6" ht="39" x14ac:dyDescent="0.25">
      <c r="A98" s="604"/>
      <c r="B98" s="595"/>
      <c r="C98" s="68" t="s">
        <v>2363</v>
      </c>
      <c r="D98" s="78" t="s">
        <v>6223</v>
      </c>
      <c r="E98" s="55" t="s">
        <v>6224</v>
      </c>
    </row>
    <row r="99" spans="1:6" ht="51.75" x14ac:dyDescent="0.25">
      <c r="A99" s="604"/>
      <c r="B99" s="595"/>
      <c r="C99" s="68" t="s">
        <v>2391</v>
      </c>
      <c r="D99" s="78" t="s">
        <v>6221</v>
      </c>
      <c r="E99" s="55" t="s">
        <v>6433</v>
      </c>
    </row>
    <row r="100" spans="1:6" ht="51.75" x14ac:dyDescent="0.25">
      <c r="A100" s="604"/>
      <c r="B100" s="595"/>
      <c r="C100" s="68" t="s">
        <v>2381</v>
      </c>
      <c r="D100" s="78" t="s">
        <v>6227</v>
      </c>
      <c r="E100" s="55" t="s">
        <v>6434</v>
      </c>
    </row>
    <row r="101" spans="1:6" ht="51.75" x14ac:dyDescent="0.25">
      <c r="A101" s="605"/>
      <c r="B101" s="596"/>
      <c r="C101" s="83" t="s">
        <v>2414</v>
      </c>
      <c r="D101" s="84" t="s">
        <v>6225</v>
      </c>
      <c r="E101" s="54" t="s">
        <v>6435</v>
      </c>
    </row>
    <row r="102" spans="1:6" x14ac:dyDescent="0.25">
      <c r="A102" s="128"/>
      <c r="B102" s="538"/>
      <c r="C102" s="68"/>
      <c r="D102" s="78"/>
      <c r="E102" s="54"/>
    </row>
    <row r="103" spans="1:6" ht="39" x14ac:dyDescent="0.25">
      <c r="A103" s="598" t="s">
        <v>2358</v>
      </c>
      <c r="B103" s="110"/>
      <c r="C103" s="103"/>
      <c r="D103" s="104"/>
      <c r="E103" s="111" t="s">
        <v>6436</v>
      </c>
      <c r="F103" s="105"/>
    </row>
    <row r="104" spans="1:6" x14ac:dyDescent="0.25">
      <c r="A104" s="598"/>
      <c r="B104" s="607" t="s">
        <v>2359</v>
      </c>
      <c r="C104" s="67"/>
      <c r="D104" s="109"/>
      <c r="E104" s="67"/>
    </row>
    <row r="105" spans="1:6" ht="39" x14ac:dyDescent="0.25">
      <c r="A105" s="598"/>
      <c r="B105" s="607"/>
      <c r="C105" s="83" t="s">
        <v>6437</v>
      </c>
      <c r="D105" s="84" t="s">
        <v>6205</v>
      </c>
      <c r="E105" s="54" t="s">
        <v>6206</v>
      </c>
    </row>
    <row r="106" spans="1:6" ht="64.5" x14ac:dyDescent="0.25">
      <c r="A106" s="598"/>
      <c r="B106" s="607"/>
      <c r="C106" s="83" t="s">
        <v>6438</v>
      </c>
      <c r="D106" s="84" t="s">
        <v>6207</v>
      </c>
      <c r="E106" s="54" t="s">
        <v>6439</v>
      </c>
    </row>
    <row r="107" spans="1:6" ht="39" x14ac:dyDescent="0.25">
      <c r="A107" s="598"/>
      <c r="B107" s="607"/>
      <c r="C107" s="83" t="s">
        <v>3094</v>
      </c>
      <c r="D107" s="84" t="s">
        <v>6211</v>
      </c>
      <c r="E107" s="54" t="s">
        <v>6440</v>
      </c>
    </row>
    <row r="108" spans="1:6" ht="39" x14ac:dyDescent="0.25">
      <c r="A108" s="598"/>
      <c r="B108" s="607"/>
      <c r="C108" s="83" t="s">
        <v>2389</v>
      </c>
      <c r="D108" s="84" t="s">
        <v>6209</v>
      </c>
      <c r="E108" s="54" t="s">
        <v>6210</v>
      </c>
    </row>
    <row r="109" spans="1:6" ht="39" x14ac:dyDescent="0.25">
      <c r="A109" s="598"/>
      <c r="B109" s="607"/>
      <c r="C109" s="83" t="s">
        <v>2461</v>
      </c>
      <c r="D109" s="84" t="s">
        <v>6213</v>
      </c>
      <c r="E109" s="54" t="s">
        <v>6441</v>
      </c>
    </row>
    <row r="110" spans="1:6" ht="14.85" customHeight="1" x14ac:dyDescent="0.25">
      <c r="A110" s="128"/>
      <c r="B110" s="129"/>
      <c r="C110" s="129"/>
      <c r="D110" s="129"/>
      <c r="E110" s="129"/>
    </row>
    <row r="111" spans="1:6" ht="39" x14ac:dyDescent="0.25">
      <c r="A111" s="606" t="s">
        <v>2484</v>
      </c>
      <c r="B111" s="106"/>
      <c r="C111" s="107"/>
      <c r="D111" s="108"/>
      <c r="E111" s="112" t="s">
        <v>6442</v>
      </c>
    </row>
    <row r="112" spans="1:6" x14ac:dyDescent="0.25">
      <c r="A112" s="606"/>
      <c r="B112" s="588" t="s">
        <v>2488</v>
      </c>
      <c r="C112" s="91"/>
      <c r="D112" s="92"/>
      <c r="E112" s="101"/>
    </row>
    <row r="113" spans="1:5" ht="26.25" x14ac:dyDescent="0.25">
      <c r="A113" s="606"/>
      <c r="B113" s="588"/>
      <c r="C113" s="83" t="s">
        <v>2489</v>
      </c>
      <c r="D113" s="84" t="s">
        <v>6233</v>
      </c>
      <c r="E113" s="54" t="s">
        <v>6234</v>
      </c>
    </row>
    <row r="114" spans="1:5" ht="39" x14ac:dyDescent="0.25">
      <c r="A114" s="606"/>
      <c r="B114" s="588"/>
      <c r="C114" s="83" t="s">
        <v>3207</v>
      </c>
      <c r="D114" s="84" t="s">
        <v>6229</v>
      </c>
      <c r="E114" s="54" t="s">
        <v>6230</v>
      </c>
    </row>
    <row r="115" spans="1:5" ht="51.75" x14ac:dyDescent="0.25">
      <c r="A115" s="606"/>
      <c r="B115" s="588"/>
      <c r="C115" s="83" t="s">
        <v>2976</v>
      </c>
      <c r="D115" s="84" t="s">
        <v>6235</v>
      </c>
      <c r="E115" s="54" t="s">
        <v>6236</v>
      </c>
    </row>
    <row r="116" spans="1:5" ht="39" x14ac:dyDescent="0.25">
      <c r="A116" s="606"/>
      <c r="B116" s="588"/>
      <c r="C116" s="83" t="s">
        <v>2684</v>
      </c>
      <c r="D116" s="84" t="s">
        <v>6237</v>
      </c>
      <c r="E116" s="54" t="s">
        <v>6238</v>
      </c>
    </row>
    <row r="117" spans="1:5" ht="26.25" x14ac:dyDescent="0.25">
      <c r="A117" s="606"/>
      <c r="B117" s="588"/>
      <c r="C117" s="83" t="s">
        <v>2712</v>
      </c>
      <c r="D117" s="84" t="s">
        <v>6231</v>
      </c>
      <c r="E117" s="54" t="s">
        <v>6232</v>
      </c>
    </row>
    <row r="118" spans="1:5" x14ac:dyDescent="0.25">
      <c r="A118" s="606"/>
      <c r="B118" s="580" t="s">
        <v>2485</v>
      </c>
      <c r="C118" s="86"/>
      <c r="D118" s="87"/>
      <c r="E118" s="67"/>
    </row>
    <row r="119" spans="1:5" ht="26.25" x14ac:dyDescent="0.25">
      <c r="A119" s="606"/>
      <c r="B119" s="580"/>
      <c r="C119" s="83" t="s">
        <v>2486</v>
      </c>
      <c r="D119" s="84" t="s">
        <v>6245</v>
      </c>
      <c r="E119" s="55" t="s">
        <v>6443</v>
      </c>
    </row>
    <row r="120" spans="1:5" ht="51.75" x14ac:dyDescent="0.25">
      <c r="A120" s="606"/>
      <c r="B120" s="580"/>
      <c r="C120" s="83" t="s">
        <v>2775</v>
      </c>
      <c r="D120" s="84" t="s">
        <v>6239</v>
      </c>
      <c r="E120" s="55" t="s">
        <v>6240</v>
      </c>
    </row>
    <row r="121" spans="1:5" ht="26.25" x14ac:dyDescent="0.25">
      <c r="A121" s="606"/>
      <c r="B121" s="580"/>
      <c r="C121" s="83" t="s">
        <v>2978</v>
      </c>
      <c r="D121" s="84" t="s">
        <v>6241</v>
      </c>
      <c r="E121" s="55" t="s">
        <v>6242</v>
      </c>
    </row>
    <row r="122" spans="1:5" ht="26.25" x14ac:dyDescent="0.25">
      <c r="A122" s="606"/>
      <c r="B122" s="580"/>
      <c r="C122" s="83" t="s">
        <v>2669</v>
      </c>
      <c r="D122" s="84" t="s">
        <v>6243</v>
      </c>
      <c r="E122" s="55" t="s">
        <v>6244</v>
      </c>
    </row>
  </sheetData>
  <mergeCells count="25">
    <mergeCell ref="B118:B122"/>
    <mergeCell ref="A111:A122"/>
    <mergeCell ref="B112:B117"/>
    <mergeCell ref="A103:A109"/>
    <mergeCell ref="B104:B109"/>
    <mergeCell ref="A34:F34"/>
    <mergeCell ref="B36:B43"/>
    <mergeCell ref="B44:B52"/>
    <mergeCell ref="B53:B57"/>
    <mergeCell ref="B95:B101"/>
    <mergeCell ref="B58:B61"/>
    <mergeCell ref="B62:B69"/>
    <mergeCell ref="A35:A69"/>
    <mergeCell ref="A70:F70"/>
    <mergeCell ref="B72:B81"/>
    <mergeCell ref="B88:B93"/>
    <mergeCell ref="A95:A101"/>
    <mergeCell ref="B22:B25"/>
    <mergeCell ref="B26:B29"/>
    <mergeCell ref="B30:B33"/>
    <mergeCell ref="A11:A33"/>
    <mergeCell ref="A8:C8"/>
    <mergeCell ref="B12:B17"/>
    <mergeCell ref="B18:B21"/>
    <mergeCell ref="A10:F10"/>
  </mergeCells>
  <hyperlinks>
    <hyperlink ref="F13" r:id="rId1" display="https://www.vtpi.org/tdm/tdm76.htm" xr:uid="{1E7C0E8F-34D9-4D40-A3C3-2FB7EB424C64}"/>
    <hyperlink ref="F15" r:id="rId2" display="https://ec.europa.eu/transport/themes/urban/guidance-cycling-projects-eu/policy-development-and-evaluation-tools/sumps-and-cycling_en" xr:uid="{3454AE7F-9D11-442A-AA6D-86E4D3901766}"/>
    <hyperlink ref="F36" r:id="rId3" display="https://www.vtpi.org/tdm/tdm51.htm" xr:uid="{C47413B2-B34E-4175-8CF0-6BF0947B547F}"/>
    <hyperlink ref="F42" r:id="rId4" display="https://www.vtpi.org/tdm/tdm15.htm" xr:uid="{C167B16E-6F35-4BE5-B0BC-1364915012A8}"/>
    <hyperlink ref="F43" r:id="rId5" display="https://www.vtpi.org/tdm/tdm43.htm" xr:uid="{2ACE5693-2606-45A3-A064-0C987F15DA13}"/>
    <hyperlink ref="F45" r:id="rId6" display="https://stats.oecd.org/glossary/detail.asp?ID=723" xr:uid="{9E1C9A68-8F29-458C-A05A-B335E68D8538}"/>
    <hyperlink ref="F78" r:id="rId7" display="https://urbanaccessregulations.eu/low-emission-zones-main/what-are-low-emission-zones" xr:uid="{1FD9402E-EE04-403B-8C87-A837ACBA6A4B}"/>
  </hyperlinks>
  <pageMargins left="0.7" right="0.7" top="0.78740157499999996" bottom="0.78740157499999996" header="0.3" footer="0.3"/>
  <pageSetup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5001-CCD5-41D8-B64F-CD503D66CE0B}">
  <sheetPr>
    <tabColor rgb="FF00B050"/>
  </sheetPr>
  <dimension ref="A1:B9"/>
  <sheetViews>
    <sheetView workbookViewId="0"/>
  </sheetViews>
  <sheetFormatPr baseColWidth="10" defaultColWidth="11.42578125" defaultRowHeight="15" x14ac:dyDescent="0.25"/>
  <cols>
    <col min="1" max="1" width="23.85546875" bestFit="1" customWidth="1"/>
    <col min="2" max="2" width="20.5703125" bestFit="1" customWidth="1"/>
  </cols>
  <sheetData>
    <row r="1" spans="1:2" x14ac:dyDescent="0.25">
      <c r="A1" t="s">
        <v>6445</v>
      </c>
      <c r="B1" t="s">
        <v>6446</v>
      </c>
    </row>
    <row r="2" spans="1:2" x14ac:dyDescent="0.25">
      <c r="A2" t="s">
        <v>2334</v>
      </c>
      <c r="B2" t="s">
        <v>5075</v>
      </c>
    </row>
    <row r="3" spans="1:2" x14ac:dyDescent="0.25">
      <c r="A3" t="s">
        <v>2348</v>
      </c>
      <c r="B3" t="s">
        <v>5119</v>
      </c>
    </row>
    <row r="4" spans="1:2" x14ac:dyDescent="0.25">
      <c r="A4" t="s">
        <v>2353</v>
      </c>
      <c r="B4" t="s">
        <v>5215</v>
      </c>
    </row>
    <row r="5" spans="1:2" x14ac:dyDescent="0.25">
      <c r="A5" t="s">
        <v>2477</v>
      </c>
      <c r="B5" t="s">
        <v>5208</v>
      </c>
    </row>
    <row r="6" spans="1:2" x14ac:dyDescent="0.25">
      <c r="A6" t="s">
        <v>5075</v>
      </c>
      <c r="B6" t="s">
        <v>5075</v>
      </c>
    </row>
    <row r="7" spans="1:2" x14ac:dyDescent="0.25">
      <c r="A7" t="s">
        <v>5119</v>
      </c>
      <c r="B7" t="s">
        <v>5119</v>
      </c>
    </row>
    <row r="8" spans="1:2" x14ac:dyDescent="0.25">
      <c r="A8" t="s">
        <v>5215</v>
      </c>
      <c r="B8" t="s">
        <v>5215</v>
      </c>
    </row>
    <row r="9" spans="1:2" x14ac:dyDescent="0.25">
      <c r="A9" t="s">
        <v>5208</v>
      </c>
      <c r="B9" t="s">
        <v>5208</v>
      </c>
    </row>
  </sheetData>
  <pageMargins left="0.7" right="0.7" top="0.78740157499999996" bottom="0.78740157499999996"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3915-63FE-45F6-91F5-98A6C97A9E4E}">
  <sheetPr>
    <tabColor theme="9" tint="0.39997558519241921"/>
  </sheetPr>
  <dimension ref="A1:AG217"/>
  <sheetViews>
    <sheetView topLeftCell="B1" zoomScaleNormal="100" workbookViewId="0">
      <selection activeCell="L15" sqref="L15"/>
    </sheetView>
  </sheetViews>
  <sheetFormatPr baseColWidth="10" defaultColWidth="8.5703125" defaultRowHeight="15" x14ac:dyDescent="0.25"/>
  <cols>
    <col min="3" max="3" width="18.42578125" customWidth="1"/>
    <col min="4" max="4" width="14.42578125" customWidth="1"/>
    <col min="5" max="5" width="13.42578125" customWidth="1"/>
    <col min="6" max="6" width="18.42578125" customWidth="1"/>
    <col min="7" max="7" width="6.5703125" customWidth="1"/>
    <col min="8" max="8" width="5.5703125" customWidth="1"/>
    <col min="9" max="9" width="9.5703125" customWidth="1"/>
    <col min="10" max="11" width="7.5703125" customWidth="1"/>
    <col min="12" max="12" width="21" customWidth="1"/>
    <col min="13" max="13" width="13.42578125" customWidth="1"/>
    <col min="14" max="14" width="16.85546875" customWidth="1"/>
    <col min="15" max="15" width="16.42578125" customWidth="1"/>
    <col min="16" max="16" width="20.42578125" customWidth="1"/>
    <col min="17" max="17" width="11.42578125" customWidth="1"/>
    <col min="18" max="18" width="16.5703125" customWidth="1"/>
    <col min="20" max="20" width="10.5703125" customWidth="1"/>
    <col min="21" max="21" width="17.5703125" style="9" bestFit="1" customWidth="1"/>
    <col min="22" max="22" width="10.5703125" customWidth="1"/>
    <col min="23" max="23" width="28.42578125" style="152" customWidth="1"/>
    <col min="24" max="24" width="12.42578125" style="419" bestFit="1" customWidth="1"/>
    <col min="25" max="25" width="9" style="419" bestFit="1" customWidth="1"/>
  </cols>
  <sheetData>
    <row r="1" spans="1:33" x14ac:dyDescent="0.25">
      <c r="A1" s="154"/>
      <c r="B1" s="154"/>
      <c r="C1" s="154"/>
      <c r="D1" s="155"/>
      <c r="E1" s="156"/>
      <c r="F1" s="157"/>
      <c r="G1" s="158"/>
      <c r="H1" s="158"/>
      <c r="I1" s="154"/>
      <c r="J1" s="154"/>
      <c r="K1" s="154"/>
      <c r="L1" s="154"/>
      <c r="M1" s="154"/>
      <c r="N1" s="154"/>
      <c r="O1" s="154"/>
      <c r="P1" s="154"/>
      <c r="Q1" s="154"/>
      <c r="R1" s="154"/>
      <c r="S1" s="154"/>
      <c r="T1" s="154"/>
      <c r="U1" s="213"/>
      <c r="V1" s="154"/>
      <c r="W1" s="211"/>
      <c r="X1" s="418"/>
      <c r="Y1" s="418"/>
      <c r="Z1" s="154"/>
      <c r="AA1" s="154"/>
      <c r="AB1" s="154"/>
      <c r="AC1" s="154"/>
      <c r="AD1" s="154"/>
      <c r="AE1" s="154"/>
      <c r="AF1" s="154"/>
      <c r="AG1" s="154"/>
    </row>
    <row r="2" spans="1:33" ht="22.5" x14ac:dyDescent="0.3">
      <c r="A2" s="154"/>
      <c r="B2" s="159" t="s">
        <v>8</v>
      </c>
      <c r="C2" s="154"/>
      <c r="D2" s="155"/>
      <c r="E2" s="156"/>
      <c r="F2" s="157"/>
      <c r="G2" s="158"/>
      <c r="H2" s="158"/>
      <c r="I2" s="154"/>
      <c r="J2" s="154"/>
      <c r="K2" s="154"/>
      <c r="L2" s="154"/>
      <c r="M2" s="154"/>
      <c r="N2" s="154"/>
      <c r="O2" s="154"/>
      <c r="P2" s="154"/>
      <c r="Q2" s="154"/>
      <c r="R2" s="154"/>
      <c r="S2" s="154"/>
      <c r="T2" s="154"/>
      <c r="U2" s="213"/>
      <c r="V2" s="154"/>
      <c r="W2" s="211"/>
      <c r="X2" s="418"/>
      <c r="Y2" s="418"/>
      <c r="Z2" s="154"/>
      <c r="AA2" s="154"/>
      <c r="AB2" s="154"/>
      <c r="AC2" s="154"/>
      <c r="AD2" s="154"/>
      <c r="AE2" s="154"/>
      <c r="AF2" s="154"/>
      <c r="AG2" s="154"/>
    </row>
    <row r="3" spans="1:33" x14ac:dyDescent="0.25">
      <c r="A3" s="154"/>
      <c r="B3" s="154" t="s">
        <v>9</v>
      </c>
      <c r="C3" s="154"/>
      <c r="D3" s="155"/>
      <c r="E3" s="156"/>
      <c r="F3" s="157"/>
      <c r="G3" s="158"/>
      <c r="H3" s="158"/>
      <c r="I3" s="154"/>
      <c r="J3" s="154"/>
      <c r="K3" s="154"/>
      <c r="L3" s="154"/>
      <c r="M3" s="154"/>
      <c r="N3" s="154"/>
      <c r="O3" s="154"/>
      <c r="P3" s="154"/>
      <c r="Q3" s="154"/>
      <c r="R3" s="154"/>
      <c r="S3" s="154"/>
      <c r="T3" s="154"/>
      <c r="U3" s="213"/>
      <c r="V3" s="154"/>
      <c r="W3" s="211"/>
      <c r="X3" s="418"/>
      <c r="Y3" s="418"/>
      <c r="Z3" s="154"/>
      <c r="AA3" s="154"/>
      <c r="AB3" s="154"/>
      <c r="AC3" s="154"/>
      <c r="AD3" s="154"/>
      <c r="AE3" s="154"/>
      <c r="AF3" s="154"/>
      <c r="AG3" s="154"/>
    </row>
    <row r="4" spans="1:33" x14ac:dyDescent="0.25">
      <c r="A4" s="154"/>
      <c r="B4" s="160" t="str">
        <f>'Read me'!C8</f>
        <v>Update as of  13 March 2025</v>
      </c>
      <c r="C4" s="154"/>
      <c r="D4" s="155"/>
      <c r="E4" s="156"/>
      <c r="F4" s="157"/>
      <c r="G4" s="158"/>
      <c r="H4" s="158"/>
      <c r="I4" s="154"/>
      <c r="J4" s="154"/>
      <c r="K4" s="154"/>
      <c r="L4" s="154"/>
      <c r="M4" s="154"/>
      <c r="N4" s="154"/>
      <c r="O4" s="154"/>
      <c r="P4" s="154"/>
      <c r="Q4" s="154"/>
      <c r="R4" s="154"/>
      <c r="S4" s="154"/>
      <c r="T4" s="154"/>
      <c r="U4" s="213"/>
      <c r="V4" s="154"/>
      <c r="W4" s="211"/>
      <c r="X4" s="418"/>
      <c r="Y4" s="418"/>
      <c r="Z4" s="154"/>
      <c r="AA4" s="154"/>
      <c r="AB4" s="154"/>
      <c r="AC4" s="154"/>
      <c r="AD4" s="154"/>
      <c r="AE4" s="154"/>
      <c r="AF4" s="154"/>
      <c r="AG4" s="154"/>
    </row>
    <row r="5" spans="1:33" x14ac:dyDescent="0.25">
      <c r="A5" s="51"/>
      <c r="B5" s="2"/>
      <c r="D5" s="1" t="s">
        <v>10</v>
      </c>
    </row>
    <row r="6" spans="1:33" x14ac:dyDescent="0.25">
      <c r="B6" s="1" t="s">
        <v>11</v>
      </c>
      <c r="D6" s="52" t="s">
        <v>12</v>
      </c>
      <c r="E6" s="12" t="s">
        <v>13</v>
      </c>
      <c r="F6" s="52" t="s">
        <v>14</v>
      </c>
      <c r="K6" s="140" t="s">
        <v>15</v>
      </c>
      <c r="L6" s="142"/>
      <c r="M6" s="142" t="s">
        <v>16</v>
      </c>
      <c r="N6" s="142" t="s">
        <v>17</v>
      </c>
      <c r="O6" s="142" t="s">
        <v>18</v>
      </c>
      <c r="P6" s="142" t="s">
        <v>19</v>
      </c>
      <c r="Q6" s="142" t="s">
        <v>20</v>
      </c>
      <c r="R6" s="142"/>
    </row>
    <row r="8" spans="1:33" s="2" customFormat="1" ht="75" x14ac:dyDescent="0.25">
      <c r="B8" s="6" t="s">
        <v>21</v>
      </c>
      <c r="C8" s="6" t="s">
        <v>22</v>
      </c>
      <c r="D8" s="6" t="s">
        <v>23</v>
      </c>
      <c r="E8" s="6" t="s">
        <v>24</v>
      </c>
      <c r="F8" s="6" t="s">
        <v>25</v>
      </c>
      <c r="G8" s="6" t="s">
        <v>26</v>
      </c>
      <c r="H8" s="6" t="s">
        <v>27</v>
      </c>
      <c r="I8" s="6" t="s">
        <v>28</v>
      </c>
      <c r="J8" s="6" t="s">
        <v>29</v>
      </c>
      <c r="K8" s="6" t="s">
        <v>30</v>
      </c>
      <c r="L8" s="177" t="s">
        <v>31</v>
      </c>
      <c r="M8" s="177" t="s">
        <v>32</v>
      </c>
      <c r="N8" s="177" t="s">
        <v>33</v>
      </c>
      <c r="O8" s="177" t="s">
        <v>34</v>
      </c>
      <c r="P8" s="177" t="s">
        <v>35</v>
      </c>
      <c r="Q8" s="177" t="s">
        <v>36</v>
      </c>
      <c r="R8" s="177" t="s">
        <v>37</v>
      </c>
      <c r="S8" s="178" t="s">
        <v>38</v>
      </c>
      <c r="T8" s="178" t="s">
        <v>39</v>
      </c>
      <c r="U8" s="212" t="s">
        <v>40</v>
      </c>
      <c r="V8" s="178" t="s">
        <v>41</v>
      </c>
      <c r="W8" s="212" t="s">
        <v>42</v>
      </c>
      <c r="X8" s="420" t="s">
        <v>43</v>
      </c>
      <c r="Y8" s="420" t="s">
        <v>44</v>
      </c>
    </row>
    <row r="9" spans="1:33" x14ac:dyDescent="0.25">
      <c r="B9" s="263" t="s">
        <v>45</v>
      </c>
      <c r="C9" s="12" t="s">
        <v>46</v>
      </c>
      <c r="D9" s="12" t="s">
        <v>47</v>
      </c>
      <c r="E9" s="208" t="s">
        <v>48</v>
      </c>
      <c r="F9" s="208" t="s">
        <v>49</v>
      </c>
      <c r="G9" s="27" t="s">
        <v>50</v>
      </c>
      <c r="H9" s="27" t="s">
        <v>50</v>
      </c>
      <c r="I9" s="27" t="s">
        <v>51</v>
      </c>
      <c r="J9" s="27" t="s">
        <v>50</v>
      </c>
      <c r="K9" s="27" t="s">
        <v>50</v>
      </c>
      <c r="L9" s="114"/>
      <c r="M9" s="114"/>
      <c r="N9" s="114"/>
      <c r="O9" s="114"/>
      <c r="P9" s="114"/>
      <c r="Q9" s="114"/>
      <c r="R9" s="114"/>
      <c r="S9" s="114" t="s">
        <v>50</v>
      </c>
      <c r="T9" s="114" t="s">
        <v>50</v>
      </c>
      <c r="U9" s="141" t="s">
        <v>52</v>
      </c>
      <c r="V9" s="114" t="s">
        <v>52</v>
      </c>
      <c r="W9" s="141" t="s">
        <v>52</v>
      </c>
      <c r="X9" s="421">
        <f>VLOOKUP(Table29[[#This Row],[Country Codes]],GHG!$A$8:$E$203,4,FALSE)</f>
        <v>29.460052109846</v>
      </c>
      <c r="Y9" s="421">
        <f>VLOOKUP(Table29[[#This Row],[Country Codes]],GHG!$A$8:$E$203,3,FALSE)</f>
        <v>2.3826400580310159</v>
      </c>
      <c r="AA9" s="229"/>
      <c r="AC9" s="43"/>
    </row>
    <row r="10" spans="1:33" x14ac:dyDescent="0.25">
      <c r="B10" s="263" t="s">
        <v>53</v>
      </c>
      <c r="C10" s="12" t="s">
        <v>54</v>
      </c>
      <c r="D10" s="12" t="s">
        <v>47</v>
      </c>
      <c r="E10" s="208" t="s">
        <v>55</v>
      </c>
      <c r="F10" s="208" t="s">
        <v>56</v>
      </c>
      <c r="G10" s="27" t="s">
        <v>50</v>
      </c>
      <c r="H10" s="27" t="s">
        <v>50</v>
      </c>
      <c r="I10" s="27" t="s">
        <v>51</v>
      </c>
      <c r="J10" s="27" t="s">
        <v>50</v>
      </c>
      <c r="K10" s="27" t="s">
        <v>50</v>
      </c>
      <c r="L10" s="114"/>
      <c r="M10" s="114"/>
      <c r="N10" s="114"/>
      <c r="O10" s="114"/>
      <c r="P10" s="114"/>
      <c r="Q10" s="114"/>
      <c r="R10" s="114"/>
      <c r="S10" s="114" t="s">
        <v>50</v>
      </c>
      <c r="T10" s="114" t="s">
        <v>50</v>
      </c>
      <c r="U10" s="141" t="s">
        <v>52</v>
      </c>
      <c r="V10" s="114" t="s">
        <v>52</v>
      </c>
      <c r="W10" s="141" t="s">
        <v>52</v>
      </c>
      <c r="X10" s="421">
        <f>VLOOKUP(Table29[[#This Row],[Country Codes]],GHG!$A$8:$E$203,4,FALSE)</f>
        <v>7.6736715330197001</v>
      </c>
      <c r="Y10" s="421">
        <f>VLOOKUP(Table29[[#This Row],[Country Codes]],GHG!$A$8:$E$203,3,FALSE)</f>
        <v>1.696761436354477</v>
      </c>
      <c r="AC10" s="43"/>
    </row>
    <row r="11" spans="1:33" x14ac:dyDescent="0.25">
      <c r="B11" s="263" t="s">
        <v>57</v>
      </c>
      <c r="C11" s="12" t="s">
        <v>58</v>
      </c>
      <c r="D11" s="12" t="s">
        <v>47</v>
      </c>
      <c r="E11" s="208" t="s">
        <v>59</v>
      </c>
      <c r="F11" s="208" t="s">
        <v>56</v>
      </c>
      <c r="G11" s="27" t="s">
        <v>50</v>
      </c>
      <c r="H11" s="27" t="s">
        <v>50</v>
      </c>
      <c r="I11" s="27" t="s">
        <v>51</v>
      </c>
      <c r="J11" s="27" t="s">
        <v>50</v>
      </c>
      <c r="K11" s="114" t="s">
        <v>60</v>
      </c>
      <c r="L11" s="114"/>
      <c r="M11" s="114"/>
      <c r="N11" s="114"/>
      <c r="O11" s="114"/>
      <c r="P11" s="114"/>
      <c r="Q11" s="114"/>
      <c r="R11" s="114"/>
      <c r="S11" s="114" t="s">
        <v>50</v>
      </c>
      <c r="T11" s="114" t="s">
        <v>50</v>
      </c>
      <c r="U11" s="141" t="s">
        <v>52</v>
      </c>
      <c r="V11" s="114" t="s">
        <v>52</v>
      </c>
      <c r="W11" s="141" t="s">
        <v>52</v>
      </c>
      <c r="X11" s="421">
        <f>VLOOKUP(Table29[[#This Row],[Country Codes]],GHG!$A$8:$E$203,4,FALSE)</f>
        <v>256.79213126858002</v>
      </c>
      <c r="Y11" s="421">
        <f>VLOOKUP(Table29[[#This Row],[Country Codes]],GHG!$A$8:$E$203,3,FALSE)</f>
        <v>47.384068350378769</v>
      </c>
      <c r="AC11" s="43"/>
    </row>
    <row r="12" spans="1:33" x14ac:dyDescent="0.25">
      <c r="B12" s="263" t="s">
        <v>61</v>
      </c>
      <c r="C12" s="12" t="s">
        <v>62</v>
      </c>
      <c r="D12" s="12" t="s">
        <v>47</v>
      </c>
      <c r="E12" s="208" t="s">
        <v>55</v>
      </c>
      <c r="F12" s="208" t="s">
        <v>63</v>
      </c>
      <c r="G12" s="27" t="s">
        <v>50</v>
      </c>
      <c r="H12" s="27" t="s">
        <v>50</v>
      </c>
      <c r="I12" s="27" t="s">
        <v>51</v>
      </c>
      <c r="J12" s="27" t="s">
        <v>50</v>
      </c>
      <c r="K12" s="27" t="s">
        <v>50</v>
      </c>
      <c r="L12" s="114"/>
      <c r="M12" s="114"/>
      <c r="N12" s="114"/>
      <c r="O12" s="114"/>
      <c r="P12" s="114"/>
      <c r="Q12" s="114"/>
      <c r="R12" s="114"/>
      <c r="S12" s="114" t="s">
        <v>64</v>
      </c>
      <c r="T12" s="114" t="s">
        <v>50</v>
      </c>
      <c r="U12" s="141" t="s">
        <v>52</v>
      </c>
      <c r="V12" s="114" t="s">
        <v>52</v>
      </c>
      <c r="W12" s="141" t="s">
        <v>52</v>
      </c>
      <c r="X12" s="421">
        <f>VLOOKUP(Table29[[#This Row],[Country Codes]],GHG!$A$8:$E$203,4,FALSE)</f>
        <v>0</v>
      </c>
      <c r="Y12" s="421">
        <f>VLOOKUP(Table29[[#This Row],[Country Codes]],GHG!$A$8:$E$203,3,FALSE)</f>
        <v>0</v>
      </c>
      <c r="AC12" s="43"/>
    </row>
    <row r="13" spans="1:33" x14ac:dyDescent="0.25">
      <c r="B13" s="263" t="s">
        <v>65</v>
      </c>
      <c r="C13" s="12" t="s">
        <v>66</v>
      </c>
      <c r="D13" s="12" t="s">
        <v>47</v>
      </c>
      <c r="E13" s="208" t="s">
        <v>59</v>
      </c>
      <c r="F13" s="208" t="s">
        <v>56</v>
      </c>
      <c r="G13" s="27" t="s">
        <v>50</v>
      </c>
      <c r="H13" s="27" t="s">
        <v>50</v>
      </c>
      <c r="I13" s="27" t="s">
        <v>51</v>
      </c>
      <c r="J13" s="27" t="s">
        <v>50</v>
      </c>
      <c r="K13" s="27" t="s">
        <v>50</v>
      </c>
      <c r="L13" s="114"/>
      <c r="M13" s="114"/>
      <c r="N13" s="114"/>
      <c r="O13" s="114"/>
      <c r="P13" s="114"/>
      <c r="Q13" s="114"/>
      <c r="R13" s="114"/>
      <c r="S13" s="114" t="s">
        <v>50</v>
      </c>
      <c r="T13" s="114" t="s">
        <v>50</v>
      </c>
      <c r="U13" s="141" t="s">
        <v>52</v>
      </c>
      <c r="V13" s="114" t="s">
        <v>52</v>
      </c>
      <c r="W13" s="141" t="s">
        <v>52</v>
      </c>
      <c r="X13" s="421">
        <f>VLOOKUP(Table29[[#This Row],[Country Codes]],GHG!$A$8:$E$203,4,FALSE)</f>
        <v>67.700756247715006</v>
      </c>
      <c r="Y13" s="421">
        <f>VLOOKUP(Table29[[#This Row],[Country Codes]],GHG!$A$8:$E$203,3,FALSE)</f>
        <v>8.6486128139959888</v>
      </c>
      <c r="AC13" s="42"/>
    </row>
    <row r="14" spans="1:33" x14ac:dyDescent="0.25">
      <c r="B14" s="263" t="s">
        <v>67</v>
      </c>
      <c r="C14" s="12" t="s">
        <v>68</v>
      </c>
      <c r="D14" s="12" t="s">
        <v>47</v>
      </c>
      <c r="E14" s="208" t="s">
        <v>69</v>
      </c>
      <c r="F14" s="208" t="s">
        <v>63</v>
      </c>
      <c r="G14" s="27" t="s">
        <v>50</v>
      </c>
      <c r="H14" s="27" t="s">
        <v>50</v>
      </c>
      <c r="I14" s="27" t="s">
        <v>51</v>
      </c>
      <c r="J14" s="27" t="s">
        <v>50</v>
      </c>
      <c r="K14" s="27" t="s">
        <v>50</v>
      </c>
      <c r="L14" s="114"/>
      <c r="M14" s="114"/>
      <c r="N14" s="114"/>
      <c r="O14" s="114"/>
      <c r="P14" s="114"/>
      <c r="Q14" s="114"/>
      <c r="R14" s="114"/>
      <c r="S14" s="114" t="s">
        <v>64</v>
      </c>
      <c r="T14" s="114" t="s">
        <v>64</v>
      </c>
      <c r="U14" s="141" t="s">
        <v>70</v>
      </c>
      <c r="V14" s="114">
        <v>2030</v>
      </c>
      <c r="W14" s="141" t="s">
        <v>71</v>
      </c>
      <c r="X14" s="421">
        <f>VLOOKUP(Table29[[#This Row],[Country Codes]],GHG!$A$8:$E$203,4,FALSE)</f>
        <v>0.38855617147726002</v>
      </c>
      <c r="Y14" s="421">
        <f>VLOOKUP(Table29[[#This Row],[Country Codes]],GHG!$A$8:$E$203,3,FALSE)</f>
        <v>0.1151781182188378</v>
      </c>
      <c r="AC14" s="43"/>
    </row>
    <row r="15" spans="1:33" x14ac:dyDescent="0.25">
      <c r="B15" s="263" t="s">
        <v>72</v>
      </c>
      <c r="C15" s="12" t="s">
        <v>73</v>
      </c>
      <c r="D15" s="12" t="s">
        <v>47</v>
      </c>
      <c r="E15" s="208" t="s">
        <v>69</v>
      </c>
      <c r="F15" s="208" t="s">
        <v>56</v>
      </c>
      <c r="G15" s="27" t="s">
        <v>26</v>
      </c>
      <c r="H15" s="27" t="s">
        <v>50</v>
      </c>
      <c r="I15" s="27" t="s">
        <v>51</v>
      </c>
      <c r="J15" s="27" t="s">
        <v>50</v>
      </c>
      <c r="K15" s="27" t="s">
        <v>50</v>
      </c>
      <c r="L15" s="114"/>
      <c r="M15" s="114"/>
      <c r="N15" s="114"/>
      <c r="O15" s="114"/>
      <c r="P15" s="114"/>
      <c r="Q15" s="114"/>
      <c r="R15" s="114"/>
      <c r="S15" s="114" t="s">
        <v>64</v>
      </c>
      <c r="T15" s="114" t="s">
        <v>50</v>
      </c>
      <c r="U15" s="141" t="s">
        <v>52</v>
      </c>
      <c r="V15" s="114" t="s">
        <v>52</v>
      </c>
      <c r="W15" s="141" t="s">
        <v>52</v>
      </c>
      <c r="X15" s="421">
        <f>VLOOKUP(Table29[[#This Row],[Country Codes]],GHG!$A$8:$E$203,4,FALSE)</f>
        <v>365.68461861929001</v>
      </c>
      <c r="Y15" s="421">
        <f>VLOOKUP(Table29[[#This Row],[Country Codes]],GHG!$A$8:$E$203,3,FALSE)</f>
        <v>48.339727076899749</v>
      </c>
      <c r="AC15" s="43"/>
    </row>
    <row r="16" spans="1:33" x14ac:dyDescent="0.25">
      <c r="B16" s="263" t="s">
        <v>74</v>
      </c>
      <c r="C16" s="12" t="s">
        <v>75</v>
      </c>
      <c r="D16" s="12" t="s">
        <v>47</v>
      </c>
      <c r="E16" s="208" t="s">
        <v>48</v>
      </c>
      <c r="F16" s="208" t="s">
        <v>56</v>
      </c>
      <c r="G16" s="27" t="s">
        <v>50</v>
      </c>
      <c r="H16" s="27" t="s">
        <v>50</v>
      </c>
      <c r="I16" s="27" t="s">
        <v>51</v>
      </c>
      <c r="J16" s="27" t="s">
        <v>50</v>
      </c>
      <c r="K16" s="27" t="s">
        <v>50</v>
      </c>
      <c r="L16" s="114"/>
      <c r="M16" s="114"/>
      <c r="N16" s="114"/>
      <c r="O16" s="114"/>
      <c r="P16" s="114"/>
      <c r="Q16" s="114"/>
      <c r="R16" s="114"/>
      <c r="S16" s="114" t="s">
        <v>50</v>
      </c>
      <c r="T16" s="114" t="s">
        <v>50</v>
      </c>
      <c r="U16" s="141" t="s">
        <v>52</v>
      </c>
      <c r="V16" s="114" t="s">
        <v>52</v>
      </c>
      <c r="W16" s="141" t="s">
        <v>52</v>
      </c>
      <c r="X16" s="421">
        <f>VLOOKUP(Table29[[#This Row],[Country Codes]],GHG!$A$8:$E$203,4,FALSE)</f>
        <v>10.836336950669001</v>
      </c>
      <c r="Y16" s="421">
        <f>VLOOKUP(Table29[[#This Row],[Country Codes]],GHG!$A$8:$E$203,3,FALSE)</f>
        <v>2.5418316945039221</v>
      </c>
      <c r="AC16" s="43"/>
    </row>
    <row r="17" spans="2:29" x14ac:dyDescent="0.25">
      <c r="B17" s="263" t="s">
        <v>76</v>
      </c>
      <c r="C17" s="12" t="s">
        <v>77</v>
      </c>
      <c r="D17" s="12" t="s">
        <v>78</v>
      </c>
      <c r="E17" s="208" t="s">
        <v>79</v>
      </c>
      <c r="F17" s="208" t="s">
        <v>63</v>
      </c>
      <c r="G17" s="27" t="s">
        <v>26</v>
      </c>
      <c r="H17" s="27" t="s">
        <v>50</v>
      </c>
      <c r="I17" s="27" t="s">
        <v>28</v>
      </c>
      <c r="J17" s="27" t="s">
        <v>50</v>
      </c>
      <c r="K17" s="27" t="s">
        <v>50</v>
      </c>
      <c r="L17" s="114"/>
      <c r="M17" s="114" t="s">
        <v>80</v>
      </c>
      <c r="N17" s="114"/>
      <c r="O17" s="114" t="s">
        <v>80</v>
      </c>
      <c r="P17" s="114"/>
      <c r="Q17" s="114"/>
      <c r="R17" s="114"/>
      <c r="S17" s="114" t="s">
        <v>64</v>
      </c>
      <c r="T17" s="114" t="s">
        <v>50</v>
      </c>
      <c r="U17" s="141" t="s">
        <v>52</v>
      </c>
      <c r="V17" s="114" t="s">
        <v>52</v>
      </c>
      <c r="W17" s="141" t="s">
        <v>52</v>
      </c>
      <c r="X17" s="421">
        <f>VLOOKUP(Table29[[#This Row],[Country Codes]],GHG!$A$8:$E$203,4,FALSE)</f>
        <v>571.83984854670996</v>
      </c>
      <c r="Y17" s="421">
        <f>VLOOKUP(Table29[[#This Row],[Country Codes]],GHG!$A$8:$E$203,3,FALSE)</f>
        <v>97.492958559878787</v>
      </c>
      <c r="AC17" s="43"/>
    </row>
    <row r="18" spans="2:29" x14ac:dyDescent="0.25">
      <c r="B18" s="263" t="s">
        <v>81</v>
      </c>
      <c r="C18" s="12" t="s">
        <v>82</v>
      </c>
      <c r="D18" s="12" t="s">
        <v>78</v>
      </c>
      <c r="E18" s="208" t="s">
        <v>55</v>
      </c>
      <c r="F18" s="208" t="s">
        <v>63</v>
      </c>
      <c r="G18" s="27" t="s">
        <v>50</v>
      </c>
      <c r="H18" s="27" t="s">
        <v>50</v>
      </c>
      <c r="I18" s="27" t="s">
        <v>28</v>
      </c>
      <c r="J18" s="27" t="s">
        <v>29</v>
      </c>
      <c r="K18" s="27" t="s">
        <v>50</v>
      </c>
      <c r="L18" s="114" t="s">
        <v>80</v>
      </c>
      <c r="M18" s="114"/>
      <c r="N18" s="114"/>
      <c r="O18" s="114"/>
      <c r="P18" s="114" t="s">
        <v>80</v>
      </c>
      <c r="Q18" s="114"/>
      <c r="R18" s="114"/>
      <c r="S18" s="114" t="s">
        <v>64</v>
      </c>
      <c r="T18" s="114" t="s">
        <v>64</v>
      </c>
      <c r="U18" s="141" t="s">
        <v>83</v>
      </c>
      <c r="V18" s="114">
        <v>2035</v>
      </c>
      <c r="W18" s="141" t="s">
        <v>84</v>
      </c>
      <c r="X18" s="421">
        <f>VLOOKUP(Table29[[#This Row],[Country Codes]],GHG!$A$8:$E$203,4,FALSE)</f>
        <v>72.921492529811999</v>
      </c>
      <c r="Y18" s="421">
        <f>VLOOKUP(Table29[[#This Row],[Country Codes]],GHG!$A$8:$E$203,3,FALSE)</f>
        <v>21.372731064834241</v>
      </c>
      <c r="AC18" s="42"/>
    </row>
    <row r="19" spans="2:29" x14ac:dyDescent="0.25">
      <c r="B19" s="263" t="s">
        <v>85</v>
      </c>
      <c r="C19" s="12" t="s">
        <v>86</v>
      </c>
      <c r="D19" s="12" t="s">
        <v>47</v>
      </c>
      <c r="E19" s="208" t="s">
        <v>48</v>
      </c>
      <c r="F19" s="208" t="s">
        <v>56</v>
      </c>
      <c r="G19" s="27" t="s">
        <v>50</v>
      </c>
      <c r="H19" s="27" t="s">
        <v>50</v>
      </c>
      <c r="I19" s="27" t="s">
        <v>51</v>
      </c>
      <c r="J19" s="27" t="s">
        <v>50</v>
      </c>
      <c r="K19" s="27" t="s">
        <v>50</v>
      </c>
      <c r="L19" s="114" t="s">
        <v>80</v>
      </c>
      <c r="M19" s="114"/>
      <c r="N19" s="114"/>
      <c r="O19" s="114"/>
      <c r="P19" s="114"/>
      <c r="Q19" s="114"/>
      <c r="R19" s="114"/>
      <c r="S19" s="114" t="s">
        <v>50</v>
      </c>
      <c r="T19" s="114" t="s">
        <v>50</v>
      </c>
      <c r="U19" s="141" t="s">
        <v>52</v>
      </c>
      <c r="V19" s="114" t="s">
        <v>52</v>
      </c>
      <c r="W19" s="141" t="s">
        <v>52</v>
      </c>
      <c r="X19" s="421">
        <f>VLOOKUP(Table29[[#This Row],[Country Codes]],GHG!$A$8:$E$203,4,FALSE)</f>
        <v>62.550294041306003</v>
      </c>
      <c r="Y19" s="421">
        <f>VLOOKUP(Table29[[#This Row],[Country Codes]],GHG!$A$8:$E$203,3,FALSE)</f>
        <v>8.4493328883147889</v>
      </c>
      <c r="AC19" s="43"/>
    </row>
    <row r="20" spans="2:29" x14ac:dyDescent="0.25">
      <c r="B20" s="263" t="s">
        <v>87</v>
      </c>
      <c r="C20" s="12" t="s">
        <v>88</v>
      </c>
      <c r="D20" s="12" t="s">
        <v>47</v>
      </c>
      <c r="E20" s="208" t="s">
        <v>69</v>
      </c>
      <c r="F20" s="208" t="s">
        <v>63</v>
      </c>
      <c r="G20" s="27" t="s">
        <v>50</v>
      </c>
      <c r="H20" s="27" t="s">
        <v>50</v>
      </c>
      <c r="I20" s="27" t="s">
        <v>51</v>
      </c>
      <c r="J20" s="27" t="s">
        <v>50</v>
      </c>
      <c r="K20" s="27" t="s">
        <v>50</v>
      </c>
      <c r="L20" s="114"/>
      <c r="M20" s="114"/>
      <c r="N20" s="114"/>
      <c r="O20" s="114"/>
      <c r="P20" s="114"/>
      <c r="Q20" s="114"/>
      <c r="R20" s="114"/>
      <c r="S20" s="114" t="s">
        <v>50</v>
      </c>
      <c r="T20" s="114" t="s">
        <v>50</v>
      </c>
      <c r="U20" s="141" t="s">
        <v>52</v>
      </c>
      <c r="V20" s="114" t="s">
        <v>52</v>
      </c>
      <c r="W20" s="141" t="s">
        <v>52</v>
      </c>
      <c r="X20" s="421">
        <f>VLOOKUP(Table29[[#This Row],[Country Codes]],GHG!$A$8:$E$203,4,FALSE)</f>
        <v>2.0502828926944998</v>
      </c>
      <c r="Y20" s="421">
        <f>VLOOKUP(Table29[[#This Row],[Country Codes]],GHG!$A$8:$E$203,3,FALSE)</f>
        <v>0.59970961940231238</v>
      </c>
      <c r="AC20" s="43"/>
    </row>
    <row r="21" spans="2:29" x14ac:dyDescent="0.25">
      <c r="B21" s="263" t="s">
        <v>89</v>
      </c>
      <c r="C21" s="12" t="s">
        <v>90</v>
      </c>
      <c r="D21" s="12" t="s">
        <v>47</v>
      </c>
      <c r="E21" s="208" t="s">
        <v>48</v>
      </c>
      <c r="F21" s="208" t="s">
        <v>63</v>
      </c>
      <c r="G21" s="27" t="s">
        <v>50</v>
      </c>
      <c r="H21" s="27" t="s">
        <v>50</v>
      </c>
      <c r="I21" s="27" t="s">
        <v>51</v>
      </c>
      <c r="J21" s="27" t="s">
        <v>50</v>
      </c>
      <c r="K21" s="114" t="s">
        <v>60</v>
      </c>
      <c r="L21" s="114"/>
      <c r="M21" s="114"/>
      <c r="N21" s="114"/>
      <c r="O21" s="114"/>
      <c r="P21" s="114"/>
      <c r="Q21" s="114"/>
      <c r="R21" s="114"/>
      <c r="S21" s="114" t="s">
        <v>64</v>
      </c>
      <c r="T21" s="114" t="s">
        <v>50</v>
      </c>
      <c r="U21" s="141" t="s">
        <v>52</v>
      </c>
      <c r="V21" s="114" t="s">
        <v>52</v>
      </c>
      <c r="W21" s="141" t="s">
        <v>52</v>
      </c>
      <c r="X21" s="421">
        <f>VLOOKUP(Table29[[#This Row],[Country Codes]],GHG!$A$8:$E$203,4,FALSE)</f>
        <v>63.733860649409003</v>
      </c>
      <c r="Y21" s="421">
        <f>VLOOKUP(Table29[[#This Row],[Country Codes]],GHG!$A$8:$E$203,3,FALSE)</f>
        <v>3.5591794715172291</v>
      </c>
      <c r="AC21" s="42"/>
    </row>
    <row r="22" spans="2:29" x14ac:dyDescent="0.25">
      <c r="B22" s="263" t="s">
        <v>91</v>
      </c>
      <c r="C22" s="12" t="s">
        <v>92</v>
      </c>
      <c r="D22" s="12" t="s">
        <v>47</v>
      </c>
      <c r="E22" s="208" t="s">
        <v>48</v>
      </c>
      <c r="F22" s="208" t="s">
        <v>56</v>
      </c>
      <c r="G22" s="27" t="s">
        <v>50</v>
      </c>
      <c r="H22" s="27" t="s">
        <v>50</v>
      </c>
      <c r="I22" s="27" t="s">
        <v>51</v>
      </c>
      <c r="J22" s="27" t="s">
        <v>50</v>
      </c>
      <c r="K22" s="27" t="s">
        <v>50</v>
      </c>
      <c r="L22" s="114"/>
      <c r="M22" s="114"/>
      <c r="N22" s="114"/>
      <c r="O22" s="114"/>
      <c r="P22" s="114"/>
      <c r="Q22" s="114"/>
      <c r="R22" s="114"/>
      <c r="S22" s="114" t="s">
        <v>50</v>
      </c>
      <c r="T22" s="114" t="s">
        <v>50</v>
      </c>
      <c r="U22" s="141" t="s">
        <v>52</v>
      </c>
      <c r="V22" s="114" t="s">
        <v>52</v>
      </c>
      <c r="W22" s="141" t="s">
        <v>52</v>
      </c>
      <c r="X22" s="421">
        <f>VLOOKUP(Table29[[#This Row],[Country Codes]],GHG!$A$8:$E$203,4,FALSE)</f>
        <v>281.38053496815002</v>
      </c>
      <c r="Y22" s="421">
        <f>VLOOKUP(Table29[[#This Row],[Country Codes]],GHG!$A$8:$E$203,3,FALSE)</f>
        <v>12.410696897609901</v>
      </c>
      <c r="AC22" s="43"/>
    </row>
    <row r="23" spans="2:29" x14ac:dyDescent="0.25">
      <c r="B23" s="263" t="s">
        <v>93</v>
      </c>
      <c r="C23" s="12" t="s">
        <v>94</v>
      </c>
      <c r="D23" s="12" t="s">
        <v>47</v>
      </c>
      <c r="E23" s="208" t="s">
        <v>69</v>
      </c>
      <c r="F23" s="208" t="s">
        <v>63</v>
      </c>
      <c r="G23" s="27" t="s">
        <v>50</v>
      </c>
      <c r="H23" s="27" t="s">
        <v>50</v>
      </c>
      <c r="I23" s="27" t="s">
        <v>51</v>
      </c>
      <c r="J23" s="27" t="s">
        <v>50</v>
      </c>
      <c r="K23" s="27" t="s">
        <v>50</v>
      </c>
      <c r="L23" s="114"/>
      <c r="M23" s="114"/>
      <c r="N23" s="114"/>
      <c r="O23" s="114"/>
      <c r="P23" s="114"/>
      <c r="Q23" s="114"/>
      <c r="R23" s="114"/>
      <c r="S23" s="114" t="s">
        <v>64</v>
      </c>
      <c r="T23" s="114" t="s">
        <v>50</v>
      </c>
      <c r="U23" s="141" t="s">
        <v>52</v>
      </c>
      <c r="V23" s="114" t="s">
        <v>52</v>
      </c>
      <c r="W23" s="141" t="s">
        <v>52</v>
      </c>
      <c r="X23" s="421">
        <f>VLOOKUP(Table29[[#This Row],[Country Codes]],GHG!$A$8:$E$203,4,FALSE)</f>
        <v>0.98904380539195003</v>
      </c>
      <c r="Y23" s="421">
        <f>VLOOKUP(Table29[[#This Row],[Country Codes]],GHG!$A$8:$E$203,3,FALSE)</f>
        <v>0.25128029300322258</v>
      </c>
      <c r="AC23" s="43"/>
    </row>
    <row r="24" spans="2:29" x14ac:dyDescent="0.25">
      <c r="B24" s="263" t="s">
        <v>95</v>
      </c>
      <c r="C24" s="12" t="s">
        <v>96</v>
      </c>
      <c r="D24" s="12" t="s">
        <v>78</v>
      </c>
      <c r="E24" s="208" t="s">
        <v>55</v>
      </c>
      <c r="F24" s="208" t="s">
        <v>56</v>
      </c>
      <c r="G24" s="27" t="s">
        <v>50</v>
      </c>
      <c r="H24" s="27" t="s">
        <v>50</v>
      </c>
      <c r="I24" s="27" t="s">
        <v>51</v>
      </c>
      <c r="J24" s="27" t="s">
        <v>50</v>
      </c>
      <c r="K24" s="27" t="s">
        <v>50</v>
      </c>
      <c r="L24" s="114"/>
      <c r="M24" s="114"/>
      <c r="N24" s="114"/>
      <c r="O24" s="114"/>
      <c r="P24" s="114"/>
      <c r="Q24" s="114"/>
      <c r="R24" s="114"/>
      <c r="S24" s="114" t="s">
        <v>50</v>
      </c>
      <c r="T24" s="114" t="s">
        <v>50</v>
      </c>
      <c r="U24" s="141" t="s">
        <v>52</v>
      </c>
      <c r="V24" s="114" t="s">
        <v>52</v>
      </c>
      <c r="W24" s="141" t="s">
        <v>52</v>
      </c>
      <c r="X24" s="421">
        <f>VLOOKUP(Table29[[#This Row],[Country Codes]],GHG!$A$8:$E$203,4,FALSE)</f>
        <v>84.277601484293001</v>
      </c>
      <c r="Y24" s="421">
        <f>VLOOKUP(Table29[[#This Row],[Country Codes]],GHG!$A$8:$E$203,3,FALSE)</f>
        <v>9.8730073698737328</v>
      </c>
      <c r="AC24" s="43"/>
    </row>
    <row r="25" spans="2:29" x14ac:dyDescent="0.25">
      <c r="B25" s="263" t="s">
        <v>97</v>
      </c>
      <c r="C25" s="12" t="s">
        <v>98</v>
      </c>
      <c r="D25" s="12" t="s">
        <v>78</v>
      </c>
      <c r="E25" s="208" t="s">
        <v>55</v>
      </c>
      <c r="F25" s="208" t="s">
        <v>63</v>
      </c>
      <c r="G25" s="27" t="s">
        <v>50</v>
      </c>
      <c r="H25" s="27" t="s">
        <v>50</v>
      </c>
      <c r="I25" s="27" t="s">
        <v>28</v>
      </c>
      <c r="J25" s="27" t="s">
        <v>29</v>
      </c>
      <c r="K25" s="27" t="s">
        <v>50</v>
      </c>
      <c r="L25" s="114" t="s">
        <v>80</v>
      </c>
      <c r="M25" s="114" t="s">
        <v>80</v>
      </c>
      <c r="N25" s="114"/>
      <c r="O25" s="114" t="s">
        <v>80</v>
      </c>
      <c r="P25" s="114"/>
      <c r="Q25" s="114"/>
      <c r="R25" s="114"/>
      <c r="S25" s="114" t="s">
        <v>64</v>
      </c>
      <c r="T25" s="114" t="s">
        <v>64</v>
      </c>
      <c r="U25" s="141" t="s">
        <v>83</v>
      </c>
      <c r="V25" s="114">
        <v>2035</v>
      </c>
      <c r="W25" s="141" t="s">
        <v>84</v>
      </c>
      <c r="X25" s="421">
        <f>VLOOKUP(Table29[[#This Row],[Country Codes]],GHG!$A$8:$E$203,4,FALSE)</f>
        <v>106.37018790875</v>
      </c>
      <c r="Y25" s="421">
        <f>VLOOKUP(Table29[[#This Row],[Country Codes]],GHG!$A$8:$E$203,3,FALSE)</f>
        <v>22.197662702188101</v>
      </c>
      <c r="AC25" s="42"/>
    </row>
    <row r="26" spans="2:29" x14ac:dyDescent="0.25">
      <c r="B26" s="263" t="s">
        <v>99</v>
      </c>
      <c r="C26" s="12" t="s">
        <v>100</v>
      </c>
      <c r="D26" s="12" t="s">
        <v>47</v>
      </c>
      <c r="E26" s="208" t="s">
        <v>69</v>
      </c>
      <c r="F26" s="208" t="s">
        <v>56</v>
      </c>
      <c r="G26" s="27" t="s">
        <v>50</v>
      </c>
      <c r="H26" s="27" t="s">
        <v>50</v>
      </c>
      <c r="I26" s="27" t="s">
        <v>51</v>
      </c>
      <c r="J26" s="27" t="s">
        <v>50</v>
      </c>
      <c r="K26" s="27" t="s">
        <v>50</v>
      </c>
      <c r="L26" s="114"/>
      <c r="M26" s="114"/>
      <c r="N26" s="114"/>
      <c r="O26" s="114"/>
      <c r="P26" s="114"/>
      <c r="Q26" s="114"/>
      <c r="R26" s="114"/>
      <c r="S26" s="114" t="s">
        <v>64</v>
      </c>
      <c r="T26" s="114" t="s">
        <v>50</v>
      </c>
      <c r="U26" s="141" t="s">
        <v>52</v>
      </c>
      <c r="V26" s="114" t="s">
        <v>52</v>
      </c>
      <c r="W26" s="141" t="s">
        <v>52</v>
      </c>
      <c r="X26" s="421">
        <f>VLOOKUP(Table29[[#This Row],[Country Codes]],GHG!$A$8:$E$203,4,FALSE)</f>
        <v>0.92034733748830999</v>
      </c>
      <c r="Y26" s="421">
        <f>VLOOKUP(Table29[[#This Row],[Country Codes]],GHG!$A$8:$E$203,3,FALSE)</f>
        <v>9.6336672952528554E-2</v>
      </c>
      <c r="AC26" s="43"/>
    </row>
    <row r="27" spans="2:29" x14ac:dyDescent="0.25">
      <c r="B27" s="263" t="s">
        <v>101</v>
      </c>
      <c r="C27" s="12" t="s">
        <v>102</v>
      </c>
      <c r="D27" s="12" t="s">
        <v>47</v>
      </c>
      <c r="E27" s="208" t="s">
        <v>59</v>
      </c>
      <c r="F27" s="208" t="s">
        <v>56</v>
      </c>
      <c r="G27" s="27" t="s">
        <v>50</v>
      </c>
      <c r="H27" s="27" t="s">
        <v>50</v>
      </c>
      <c r="I27" s="27" t="s">
        <v>51</v>
      </c>
      <c r="J27" s="27" t="s">
        <v>50</v>
      </c>
      <c r="K27" s="27" t="s">
        <v>50</v>
      </c>
      <c r="L27" s="114"/>
      <c r="M27" s="114"/>
      <c r="N27" s="114"/>
      <c r="O27" s="114"/>
      <c r="P27" s="114"/>
      <c r="Q27" s="114"/>
      <c r="R27" s="114"/>
      <c r="S27" s="114" t="s">
        <v>50</v>
      </c>
      <c r="T27" s="114" t="s">
        <v>50</v>
      </c>
      <c r="U27" s="141" t="s">
        <v>52</v>
      </c>
      <c r="V27" s="114" t="s">
        <v>52</v>
      </c>
      <c r="W27" s="141" t="s">
        <v>52</v>
      </c>
      <c r="X27" s="421">
        <f>VLOOKUP(Table29[[#This Row],[Country Codes]],GHG!$A$8:$E$203,4,FALSE)</f>
        <v>16.699491601106999</v>
      </c>
      <c r="Y27" s="421">
        <f>VLOOKUP(Table29[[#This Row],[Country Codes]],GHG!$A$8:$E$203,3,FALSE)</f>
        <v>4.358789566933627</v>
      </c>
      <c r="AC27" s="43"/>
    </row>
    <row r="28" spans="2:29" x14ac:dyDescent="0.25">
      <c r="B28" s="263" t="s">
        <v>103</v>
      </c>
      <c r="C28" s="12" t="s">
        <v>104</v>
      </c>
      <c r="D28" s="12" t="s">
        <v>47</v>
      </c>
      <c r="E28" s="208" t="s">
        <v>48</v>
      </c>
      <c r="F28" s="208" t="s">
        <v>56</v>
      </c>
      <c r="G28" s="27" t="s">
        <v>50</v>
      </c>
      <c r="H28" s="27" t="s">
        <v>50</v>
      </c>
      <c r="I28" s="27" t="s">
        <v>51</v>
      </c>
      <c r="J28" s="27" t="s">
        <v>50</v>
      </c>
      <c r="K28" s="27" t="s">
        <v>50</v>
      </c>
      <c r="L28" s="114"/>
      <c r="M28" s="114"/>
      <c r="N28" s="114"/>
      <c r="O28" s="114"/>
      <c r="P28" s="114"/>
      <c r="Q28" s="114"/>
      <c r="R28" s="114"/>
      <c r="S28" s="114" t="s">
        <v>64</v>
      </c>
      <c r="T28" s="114" t="s">
        <v>50</v>
      </c>
      <c r="U28" s="141" t="s">
        <v>52</v>
      </c>
      <c r="V28" s="114" t="s">
        <v>52</v>
      </c>
      <c r="W28" s="141" t="s">
        <v>52</v>
      </c>
      <c r="X28" s="421">
        <f>VLOOKUP(Table29[[#This Row],[Country Codes]],GHG!$A$8:$E$203,4,FALSE)</f>
        <v>3.2548573740653</v>
      </c>
      <c r="Y28" s="421">
        <f>VLOOKUP(Table29[[#This Row],[Country Codes]],GHG!$A$8:$E$203,3,FALSE)</f>
        <v>0.43507987337923443</v>
      </c>
      <c r="AC28" s="43"/>
    </row>
    <row r="29" spans="2:29" x14ac:dyDescent="0.25">
      <c r="B29" s="263" t="s">
        <v>105</v>
      </c>
      <c r="C29" s="12" t="s">
        <v>106</v>
      </c>
      <c r="D29" s="12" t="s">
        <v>47</v>
      </c>
      <c r="E29" s="208" t="s">
        <v>69</v>
      </c>
      <c r="F29" s="208" t="s">
        <v>56</v>
      </c>
      <c r="G29" s="27" t="s">
        <v>50</v>
      </c>
      <c r="H29" s="27" t="s">
        <v>50</v>
      </c>
      <c r="I29" s="27" t="s">
        <v>51</v>
      </c>
      <c r="J29" s="27" t="s">
        <v>50</v>
      </c>
      <c r="K29" s="27" t="s">
        <v>50</v>
      </c>
      <c r="L29" s="114"/>
      <c r="M29" s="114"/>
      <c r="N29" s="114"/>
      <c r="O29" s="114"/>
      <c r="P29" s="114"/>
      <c r="Q29" s="114"/>
      <c r="R29" s="114"/>
      <c r="S29" s="114" t="s">
        <v>50</v>
      </c>
      <c r="T29" s="114" t="s">
        <v>50</v>
      </c>
      <c r="U29" s="141" t="s">
        <v>52</v>
      </c>
      <c r="V29" s="114" t="s">
        <v>52</v>
      </c>
      <c r="W29" s="141" t="s">
        <v>52</v>
      </c>
      <c r="X29" s="421">
        <f>VLOOKUP(Table29[[#This Row],[Country Codes]],GHG!$A$8:$E$203,4,FALSE)</f>
        <v>55.185652756247002</v>
      </c>
      <c r="Y29" s="421">
        <f>VLOOKUP(Table29[[#This Row],[Country Codes]],GHG!$A$8:$E$203,3,FALSE)</f>
        <v>12.14226630499595</v>
      </c>
      <c r="AC29" s="43"/>
    </row>
    <row r="30" spans="2:29" x14ac:dyDescent="0.25">
      <c r="B30" s="263" t="s">
        <v>107</v>
      </c>
      <c r="C30" s="12" t="s">
        <v>108</v>
      </c>
      <c r="D30" s="12" t="s">
        <v>47</v>
      </c>
      <c r="E30" s="208" t="s">
        <v>55</v>
      </c>
      <c r="F30" s="208" t="s">
        <v>56</v>
      </c>
      <c r="G30" s="27" t="s">
        <v>50</v>
      </c>
      <c r="H30" s="27" t="s">
        <v>50</v>
      </c>
      <c r="I30" s="27" t="s">
        <v>51</v>
      </c>
      <c r="J30" s="27" t="s">
        <v>50</v>
      </c>
      <c r="K30" s="27" t="s">
        <v>50</v>
      </c>
      <c r="L30" s="114"/>
      <c r="M30" s="114"/>
      <c r="N30" s="114"/>
      <c r="O30" s="114"/>
      <c r="P30" s="114"/>
      <c r="Q30" s="114"/>
      <c r="R30" s="114"/>
      <c r="S30" s="114" t="s">
        <v>50</v>
      </c>
      <c r="T30" s="114" t="s">
        <v>50</v>
      </c>
      <c r="U30" s="141" t="s">
        <v>52</v>
      </c>
      <c r="V30" s="114" t="s">
        <v>52</v>
      </c>
      <c r="W30" s="141" t="s">
        <v>52</v>
      </c>
      <c r="X30" s="421">
        <f>VLOOKUP(Table29[[#This Row],[Country Codes]],GHG!$A$8:$E$203,4,FALSE)</f>
        <v>29.397991348245998</v>
      </c>
      <c r="Y30" s="421">
        <f>VLOOKUP(Table29[[#This Row],[Country Codes]],GHG!$A$8:$E$203,3,FALSE)</f>
        <v>4.4436076081737648</v>
      </c>
      <c r="AC30" s="43"/>
    </row>
    <row r="31" spans="2:29" x14ac:dyDescent="0.25">
      <c r="B31" s="263" t="s">
        <v>109</v>
      </c>
      <c r="C31" s="12" t="s">
        <v>110</v>
      </c>
      <c r="D31" s="12" t="s">
        <v>47</v>
      </c>
      <c r="E31" s="208" t="s">
        <v>59</v>
      </c>
      <c r="F31" s="208" t="s">
        <v>56</v>
      </c>
      <c r="G31" s="27" t="s">
        <v>50</v>
      </c>
      <c r="H31" s="27" t="s">
        <v>50</v>
      </c>
      <c r="I31" s="27" t="s">
        <v>51</v>
      </c>
      <c r="J31" s="27" t="s">
        <v>50</v>
      </c>
      <c r="K31" s="27" t="s">
        <v>50</v>
      </c>
      <c r="L31" s="114"/>
      <c r="M31" s="114"/>
      <c r="N31" s="114"/>
      <c r="O31" s="114"/>
      <c r="P31" s="114"/>
      <c r="Q31" s="114"/>
      <c r="R31" s="114"/>
      <c r="S31" s="114" t="s">
        <v>50</v>
      </c>
      <c r="T31" s="114" t="s">
        <v>50</v>
      </c>
      <c r="U31" s="141" t="s">
        <v>52</v>
      </c>
      <c r="V31" s="114" t="s">
        <v>52</v>
      </c>
      <c r="W31" s="141" t="s">
        <v>52</v>
      </c>
      <c r="X31" s="421">
        <f>VLOOKUP(Table29[[#This Row],[Country Codes]],GHG!$A$8:$E$203,4,FALSE)</f>
        <v>12.712755146957001</v>
      </c>
      <c r="Y31" s="421">
        <f>VLOOKUP(Table29[[#This Row],[Country Codes]],GHG!$A$8:$E$203,3,FALSE)</f>
        <v>2.440731678856535</v>
      </c>
      <c r="AC31" s="42"/>
    </row>
    <row r="32" spans="2:29" x14ac:dyDescent="0.25">
      <c r="B32" s="263" t="s">
        <v>111</v>
      </c>
      <c r="C32" s="12" t="s">
        <v>112</v>
      </c>
      <c r="D32" s="12" t="s">
        <v>47</v>
      </c>
      <c r="E32" s="208" t="s">
        <v>69</v>
      </c>
      <c r="F32" s="208" t="s">
        <v>56</v>
      </c>
      <c r="G32" s="27" t="s">
        <v>26</v>
      </c>
      <c r="H32" s="27" t="s">
        <v>50</v>
      </c>
      <c r="I32" s="27" t="s">
        <v>51</v>
      </c>
      <c r="J32" s="27" t="s">
        <v>50</v>
      </c>
      <c r="K32" s="27" t="s">
        <v>50</v>
      </c>
      <c r="L32" s="114"/>
      <c r="M32" s="114"/>
      <c r="N32" s="114"/>
      <c r="O32" s="114"/>
      <c r="P32" s="114"/>
      <c r="Q32" s="114"/>
      <c r="R32" s="114"/>
      <c r="S32" s="114" t="s">
        <v>64</v>
      </c>
      <c r="T32" s="114" t="s">
        <v>50</v>
      </c>
      <c r="U32" s="141" t="s">
        <v>52</v>
      </c>
      <c r="V32" s="114" t="s">
        <v>52</v>
      </c>
      <c r="W32" s="141" t="s">
        <v>52</v>
      </c>
      <c r="X32" s="421">
        <f>VLOOKUP(Table29[[#This Row],[Country Codes]],GHG!$A$8:$E$203,4,FALSE)</f>
        <v>1300.1688666752</v>
      </c>
      <c r="Y32" s="421">
        <f>VLOOKUP(Table29[[#This Row],[Country Codes]],GHG!$A$8:$E$203,3,FALSE)</f>
        <v>221.12609205884911</v>
      </c>
      <c r="AC32" s="43"/>
    </row>
    <row r="33" spans="2:29" x14ac:dyDescent="0.25">
      <c r="B33" s="263" t="s">
        <v>113</v>
      </c>
      <c r="C33" s="12" t="s">
        <v>114</v>
      </c>
      <c r="D33" s="12" t="s">
        <v>47</v>
      </c>
      <c r="E33" s="208" t="s">
        <v>48</v>
      </c>
      <c r="F33" s="208" t="s">
        <v>63</v>
      </c>
      <c r="G33" s="27" t="s">
        <v>50</v>
      </c>
      <c r="H33" s="27" t="s">
        <v>50</v>
      </c>
      <c r="I33" s="27" t="s">
        <v>51</v>
      </c>
      <c r="J33" s="27" t="s">
        <v>50</v>
      </c>
      <c r="K33" s="27" t="s">
        <v>50</v>
      </c>
      <c r="L33" s="114"/>
      <c r="M33" s="114"/>
      <c r="N33" s="114"/>
      <c r="O33" s="114"/>
      <c r="P33" s="114"/>
      <c r="Q33" s="114"/>
      <c r="R33" s="114"/>
      <c r="S33" s="114" t="s">
        <v>50</v>
      </c>
      <c r="T33" s="114" t="s">
        <v>50</v>
      </c>
      <c r="U33" s="141" t="s">
        <v>52</v>
      </c>
      <c r="V33" s="114" t="s">
        <v>52</v>
      </c>
      <c r="W33" s="141" t="s">
        <v>52</v>
      </c>
      <c r="X33" s="421">
        <f>VLOOKUP(Table29[[#This Row],[Country Codes]],GHG!$A$8:$E$203,4,FALSE)</f>
        <v>12.157942508343</v>
      </c>
      <c r="Y33" s="421">
        <f>VLOOKUP(Table29[[#This Row],[Country Codes]],GHG!$A$8:$E$203,3,FALSE)</f>
        <v>1.259434350959115</v>
      </c>
      <c r="AC33" s="43"/>
    </row>
    <row r="34" spans="2:29" x14ac:dyDescent="0.25">
      <c r="B34" s="263" t="s">
        <v>115</v>
      </c>
      <c r="C34" s="12" t="s">
        <v>116</v>
      </c>
      <c r="D34" s="12" t="s">
        <v>78</v>
      </c>
      <c r="E34" s="208" t="s">
        <v>55</v>
      </c>
      <c r="F34" s="208" t="s">
        <v>56</v>
      </c>
      <c r="G34" s="27" t="s">
        <v>50</v>
      </c>
      <c r="H34" s="27" t="s">
        <v>50</v>
      </c>
      <c r="I34" s="27" t="s">
        <v>51</v>
      </c>
      <c r="J34" s="27" t="s">
        <v>29</v>
      </c>
      <c r="K34" s="27" t="s">
        <v>50</v>
      </c>
      <c r="L34" s="114"/>
      <c r="M34" s="114"/>
      <c r="N34" s="114"/>
      <c r="O34" s="114"/>
      <c r="P34" s="114"/>
      <c r="Q34" s="114"/>
      <c r="R34" s="114"/>
      <c r="S34" s="114" t="s">
        <v>64</v>
      </c>
      <c r="T34" s="114" t="s">
        <v>64</v>
      </c>
      <c r="U34" s="141" t="s">
        <v>83</v>
      </c>
      <c r="V34" s="114">
        <v>2035</v>
      </c>
      <c r="W34" s="141" t="s">
        <v>84</v>
      </c>
      <c r="X34" s="421">
        <f>VLOOKUP(Table29[[#This Row],[Country Codes]],GHG!$A$8:$E$203,4,FALSE)</f>
        <v>53.372279020840999</v>
      </c>
      <c r="Y34" s="421">
        <f>VLOOKUP(Table29[[#This Row],[Country Codes]],GHG!$A$8:$E$203,3,FALSE)</f>
        <v>9.5338941105381814</v>
      </c>
      <c r="AC34" s="43"/>
    </row>
    <row r="35" spans="2:29" x14ac:dyDescent="0.25">
      <c r="B35" s="263" t="s">
        <v>117</v>
      </c>
      <c r="C35" s="12" t="s">
        <v>118</v>
      </c>
      <c r="D35" s="12" t="s">
        <v>47</v>
      </c>
      <c r="E35" s="208" t="s">
        <v>59</v>
      </c>
      <c r="F35" s="208" t="s">
        <v>49</v>
      </c>
      <c r="G35" s="27" t="s">
        <v>50</v>
      </c>
      <c r="H35" s="27" t="s">
        <v>50</v>
      </c>
      <c r="I35" s="27" t="s">
        <v>51</v>
      </c>
      <c r="J35" s="27" t="s">
        <v>50</v>
      </c>
      <c r="K35" s="27" t="s">
        <v>50</v>
      </c>
      <c r="L35" s="114"/>
      <c r="M35" s="114"/>
      <c r="N35" s="114" t="s">
        <v>80</v>
      </c>
      <c r="O35" s="114"/>
      <c r="P35" s="114"/>
      <c r="Q35" s="114"/>
      <c r="R35" s="114"/>
      <c r="S35" s="114" t="s">
        <v>50</v>
      </c>
      <c r="T35" s="114" t="s">
        <v>50</v>
      </c>
      <c r="U35" s="141" t="s">
        <v>52</v>
      </c>
      <c r="V35" s="114" t="s">
        <v>52</v>
      </c>
      <c r="W35" s="141" t="s">
        <v>52</v>
      </c>
      <c r="X35" s="421">
        <f>VLOOKUP(Table29[[#This Row],[Country Codes]],GHG!$A$8:$E$203,4,FALSE)</f>
        <v>34.456815083210998</v>
      </c>
      <c r="Y35" s="421">
        <f>VLOOKUP(Table29[[#This Row],[Country Codes]],GHG!$A$8:$E$203,3,FALSE)</f>
        <v>2.783932508886048</v>
      </c>
      <c r="AC35" s="43"/>
    </row>
    <row r="36" spans="2:29" x14ac:dyDescent="0.25">
      <c r="B36" s="263" t="s">
        <v>119</v>
      </c>
      <c r="C36" s="12" t="s">
        <v>120</v>
      </c>
      <c r="D36" s="12" t="s">
        <v>47</v>
      </c>
      <c r="E36" s="208" t="s">
        <v>59</v>
      </c>
      <c r="F36" s="208" t="s">
        <v>49</v>
      </c>
      <c r="G36" s="27" t="s">
        <v>50</v>
      </c>
      <c r="H36" s="27" t="s">
        <v>50</v>
      </c>
      <c r="I36" s="27" t="s">
        <v>51</v>
      </c>
      <c r="J36" s="27" t="s">
        <v>50</v>
      </c>
      <c r="K36" s="27" t="s">
        <v>50</v>
      </c>
      <c r="L36" s="114"/>
      <c r="M36" s="114"/>
      <c r="N36" s="114"/>
      <c r="O36" s="114"/>
      <c r="P36" s="114"/>
      <c r="Q36" s="114"/>
      <c r="R36" s="114"/>
      <c r="S36" s="114" t="s">
        <v>50</v>
      </c>
      <c r="T36" s="114" t="s">
        <v>50</v>
      </c>
      <c r="U36" s="141" t="s">
        <v>52</v>
      </c>
      <c r="V36" s="114" t="s">
        <v>52</v>
      </c>
      <c r="W36" s="141" t="s">
        <v>52</v>
      </c>
      <c r="X36" s="421">
        <f>VLOOKUP(Table29[[#This Row],[Country Codes]],GHG!$A$8:$E$203,4,FALSE)</f>
        <v>7.0491399156994001</v>
      </c>
      <c r="Y36" s="421">
        <f>VLOOKUP(Table29[[#This Row],[Country Codes]],GHG!$A$8:$E$203,3,FALSE)</f>
        <v>0.4150090900095818</v>
      </c>
      <c r="AC36" s="43"/>
    </row>
    <row r="37" spans="2:29" x14ac:dyDescent="0.25">
      <c r="B37" s="263" t="s">
        <v>121</v>
      </c>
      <c r="C37" s="12" t="s">
        <v>122</v>
      </c>
      <c r="D37" s="12" t="s">
        <v>47</v>
      </c>
      <c r="E37" s="208" t="s">
        <v>59</v>
      </c>
      <c r="F37" s="208" t="s">
        <v>56</v>
      </c>
      <c r="G37" s="27" t="s">
        <v>50</v>
      </c>
      <c r="H37" s="27" t="s">
        <v>50</v>
      </c>
      <c r="I37" s="27" t="s">
        <v>51</v>
      </c>
      <c r="J37" s="27" t="s">
        <v>50</v>
      </c>
      <c r="K37" s="27" t="s">
        <v>50</v>
      </c>
      <c r="L37" s="114" t="s">
        <v>80</v>
      </c>
      <c r="M37" s="114"/>
      <c r="N37" s="114"/>
      <c r="O37" s="114"/>
      <c r="P37" s="114"/>
      <c r="Q37" s="114"/>
      <c r="R37" s="114"/>
      <c r="S37" s="114" t="s">
        <v>64</v>
      </c>
      <c r="T37" s="114" t="s">
        <v>64</v>
      </c>
      <c r="U37" s="365"/>
      <c r="V37" s="114">
        <v>2035</v>
      </c>
      <c r="W37" s="365"/>
      <c r="X37" s="421">
        <f>VLOOKUP(Table29[[#This Row],[Country Codes]],GHG!$A$8:$E$203,4,FALSE)</f>
        <v>1.2315183876125</v>
      </c>
      <c r="Y37" s="421">
        <f>VLOOKUP(Table29[[#This Row],[Country Codes]],GHG!$A$8:$E$203,3,FALSE)</f>
        <v>0.58681111832995647</v>
      </c>
      <c r="AC37" s="43"/>
    </row>
    <row r="38" spans="2:29" x14ac:dyDescent="0.25">
      <c r="B38" s="263" t="s">
        <v>123</v>
      </c>
      <c r="C38" s="12" t="s">
        <v>124</v>
      </c>
      <c r="D38" s="12" t="s">
        <v>47</v>
      </c>
      <c r="E38" s="208" t="s">
        <v>48</v>
      </c>
      <c r="F38" s="208" t="s">
        <v>56</v>
      </c>
      <c r="G38" s="27" t="s">
        <v>50</v>
      </c>
      <c r="H38" s="27" t="s">
        <v>50</v>
      </c>
      <c r="I38" s="27" t="s">
        <v>51</v>
      </c>
      <c r="J38" s="27" t="s">
        <v>50</v>
      </c>
      <c r="K38" s="27" t="s">
        <v>50</v>
      </c>
      <c r="L38" s="114" t="s">
        <v>80</v>
      </c>
      <c r="M38" s="114"/>
      <c r="N38" s="114"/>
      <c r="O38" s="114"/>
      <c r="P38" s="114"/>
      <c r="Q38" s="114"/>
      <c r="R38" s="114"/>
      <c r="S38" s="114" t="s">
        <v>64</v>
      </c>
      <c r="T38" s="114" t="s">
        <v>50</v>
      </c>
      <c r="U38" s="141" t="s">
        <v>52</v>
      </c>
      <c r="V38" s="114" t="s">
        <v>52</v>
      </c>
      <c r="W38" s="141" t="s">
        <v>52</v>
      </c>
      <c r="X38" s="421">
        <f>VLOOKUP(Table29[[#This Row],[Country Codes]],GHG!$A$8:$E$203,4,FALSE)</f>
        <v>48.774832204749998</v>
      </c>
      <c r="Y38" s="421">
        <f>VLOOKUP(Table29[[#This Row],[Country Codes]],GHG!$A$8:$E$203,3,FALSE)</f>
        <v>7.547213161316451</v>
      </c>
      <c r="AC38" s="43"/>
    </row>
    <row r="39" spans="2:29" x14ac:dyDescent="0.25">
      <c r="B39" s="263" t="s">
        <v>125</v>
      </c>
      <c r="C39" s="12" t="s">
        <v>126</v>
      </c>
      <c r="D39" s="12" t="s">
        <v>47</v>
      </c>
      <c r="E39" s="208" t="s">
        <v>59</v>
      </c>
      <c r="F39" s="208" t="s">
        <v>56</v>
      </c>
      <c r="G39" s="27" t="s">
        <v>50</v>
      </c>
      <c r="H39" s="27" t="s">
        <v>50</v>
      </c>
      <c r="I39" s="27" t="s">
        <v>51</v>
      </c>
      <c r="J39" s="27" t="s">
        <v>50</v>
      </c>
      <c r="K39" s="27" t="s">
        <v>50</v>
      </c>
      <c r="L39" s="114"/>
      <c r="M39" s="114"/>
      <c r="N39" s="114"/>
      <c r="O39" s="114"/>
      <c r="P39" s="114"/>
      <c r="Q39" s="114"/>
      <c r="R39" s="114"/>
      <c r="S39" s="114" t="s">
        <v>50</v>
      </c>
      <c r="T39" s="114" t="s">
        <v>50</v>
      </c>
      <c r="U39" s="141" t="s">
        <v>52</v>
      </c>
      <c r="V39" s="114" t="s">
        <v>52</v>
      </c>
      <c r="W39" s="141" t="s">
        <v>52</v>
      </c>
      <c r="X39" s="421">
        <f>VLOOKUP(Table29[[#This Row],[Country Codes]],GHG!$A$8:$E$203,4,FALSE)</f>
        <v>39.377188823330997</v>
      </c>
      <c r="Y39" s="421">
        <f>VLOOKUP(Table29[[#This Row],[Country Codes]],GHG!$A$8:$E$203,3,FALSE)</f>
        <v>4.3438155341493783</v>
      </c>
      <c r="AC39" s="42"/>
    </row>
    <row r="40" spans="2:29" x14ac:dyDescent="0.25">
      <c r="B40" s="263" t="s">
        <v>127</v>
      </c>
      <c r="C40" s="12" t="s">
        <v>128</v>
      </c>
      <c r="D40" s="12" t="s">
        <v>78</v>
      </c>
      <c r="E40" s="208" t="s">
        <v>129</v>
      </c>
      <c r="F40" s="208" t="s">
        <v>63</v>
      </c>
      <c r="G40" s="27" t="s">
        <v>26</v>
      </c>
      <c r="H40" s="27" t="s">
        <v>27</v>
      </c>
      <c r="I40" s="27" t="s">
        <v>28</v>
      </c>
      <c r="J40" s="27" t="s">
        <v>50</v>
      </c>
      <c r="K40" s="27" t="s">
        <v>50</v>
      </c>
      <c r="L40" s="114" t="s">
        <v>80</v>
      </c>
      <c r="M40" s="114" t="s">
        <v>80</v>
      </c>
      <c r="N40" s="114" t="s">
        <v>80</v>
      </c>
      <c r="O40" s="114" t="s">
        <v>80</v>
      </c>
      <c r="P40" s="114" t="s">
        <v>80</v>
      </c>
      <c r="Q40" s="114"/>
      <c r="R40" s="114"/>
      <c r="S40" s="114" t="s">
        <v>64</v>
      </c>
      <c r="T40" s="114" t="s">
        <v>64</v>
      </c>
      <c r="U40" s="141" t="s">
        <v>83</v>
      </c>
      <c r="V40" s="114">
        <v>2035</v>
      </c>
      <c r="W40" s="141" t="s">
        <v>130</v>
      </c>
      <c r="X40" s="421">
        <f>VLOOKUP(Table29[[#This Row],[Country Codes]],GHG!$A$8:$E$203,4,FALSE)</f>
        <v>747.67802680902003</v>
      </c>
      <c r="Y40" s="421">
        <f>VLOOKUP(Table29[[#This Row],[Country Codes]],GHG!$A$8:$E$203,3,FALSE)</f>
        <v>169.021169926607</v>
      </c>
      <c r="AC40" s="43"/>
    </row>
    <row r="41" spans="2:29" x14ac:dyDescent="0.25">
      <c r="B41" s="263" t="s">
        <v>131</v>
      </c>
      <c r="C41" s="12" t="s">
        <v>132</v>
      </c>
      <c r="D41" s="12" t="s">
        <v>47</v>
      </c>
      <c r="E41" s="208" t="s">
        <v>59</v>
      </c>
      <c r="F41" s="208" t="s">
        <v>49</v>
      </c>
      <c r="G41" s="27" t="s">
        <v>50</v>
      </c>
      <c r="H41" s="27" t="s">
        <v>50</v>
      </c>
      <c r="I41" s="27" t="s">
        <v>51</v>
      </c>
      <c r="J41" s="27" t="s">
        <v>50</v>
      </c>
      <c r="K41" s="27" t="s">
        <v>50</v>
      </c>
      <c r="L41" s="114"/>
      <c r="M41" s="114"/>
      <c r="N41" s="114"/>
      <c r="O41" s="114"/>
      <c r="P41" s="114"/>
      <c r="Q41" s="114"/>
      <c r="R41" s="114"/>
      <c r="S41" s="114" t="s">
        <v>50</v>
      </c>
      <c r="T41" s="114" t="s">
        <v>50</v>
      </c>
      <c r="U41" s="141" t="s">
        <v>52</v>
      </c>
      <c r="V41" s="114" t="s">
        <v>52</v>
      </c>
      <c r="W41" s="141" t="s">
        <v>52</v>
      </c>
      <c r="X41" s="421">
        <f>VLOOKUP(Table29[[#This Row],[Country Codes]],GHG!$A$8:$E$203,4,FALSE)</f>
        <v>12.502621395350999</v>
      </c>
      <c r="Y41" s="421">
        <f>VLOOKUP(Table29[[#This Row],[Country Codes]],GHG!$A$8:$E$203,3,FALSE)</f>
        <v>0.20891867830184049</v>
      </c>
      <c r="AC41" s="43"/>
    </row>
    <row r="42" spans="2:29" x14ac:dyDescent="0.25">
      <c r="B42" s="263" t="s">
        <v>133</v>
      </c>
      <c r="C42" s="12" t="s">
        <v>134</v>
      </c>
      <c r="D42" s="12" t="s">
        <v>47</v>
      </c>
      <c r="E42" s="208" t="s">
        <v>59</v>
      </c>
      <c r="F42" s="208" t="s">
        <v>49</v>
      </c>
      <c r="G42" s="27" t="s">
        <v>50</v>
      </c>
      <c r="H42" s="27" t="s">
        <v>50</v>
      </c>
      <c r="I42" s="27" t="s">
        <v>51</v>
      </c>
      <c r="J42" s="27" t="s">
        <v>50</v>
      </c>
      <c r="K42" s="27" t="s">
        <v>50</v>
      </c>
      <c r="L42" s="114"/>
      <c r="M42" s="114"/>
      <c r="N42" s="114"/>
      <c r="O42" s="114"/>
      <c r="P42" s="114"/>
      <c r="Q42" s="114"/>
      <c r="R42" s="114"/>
      <c r="S42" s="114" t="s">
        <v>50</v>
      </c>
      <c r="T42" s="114" t="s">
        <v>50</v>
      </c>
      <c r="U42" s="141" t="s">
        <v>52</v>
      </c>
      <c r="V42" s="114" t="s">
        <v>52</v>
      </c>
      <c r="W42" s="141" t="s">
        <v>52</v>
      </c>
      <c r="X42" s="421">
        <f>VLOOKUP(Table29[[#This Row],[Country Codes]],GHG!$A$8:$E$203,4,FALSE)</f>
        <v>95.377319649135998</v>
      </c>
      <c r="Y42" s="421">
        <f>VLOOKUP(Table29[[#This Row],[Country Codes]],GHG!$A$8:$E$203,3,FALSE)</f>
        <v>1.0943243015239441</v>
      </c>
      <c r="AC42" s="43"/>
    </row>
    <row r="43" spans="2:29" x14ac:dyDescent="0.25">
      <c r="B43" s="263" t="s">
        <v>135</v>
      </c>
      <c r="C43" s="12" t="s">
        <v>136</v>
      </c>
      <c r="D43" s="12" t="s">
        <v>47</v>
      </c>
      <c r="E43" s="208" t="s">
        <v>69</v>
      </c>
      <c r="F43" s="208" t="s">
        <v>63</v>
      </c>
      <c r="G43" s="27" t="s">
        <v>50</v>
      </c>
      <c r="H43" s="27" t="s">
        <v>50</v>
      </c>
      <c r="I43" s="27" t="s">
        <v>28</v>
      </c>
      <c r="J43" s="27" t="s">
        <v>50</v>
      </c>
      <c r="K43" s="27" t="s">
        <v>50</v>
      </c>
      <c r="L43" s="114" t="s">
        <v>80</v>
      </c>
      <c r="M43" s="114"/>
      <c r="N43" s="114"/>
      <c r="O43" s="114" t="s">
        <v>80</v>
      </c>
      <c r="P43" s="114" t="s">
        <v>80</v>
      </c>
      <c r="Q43" s="114"/>
      <c r="R43" s="114"/>
      <c r="S43" s="114" t="s">
        <v>64</v>
      </c>
      <c r="T43" s="114" t="s">
        <v>50</v>
      </c>
      <c r="U43" s="141" t="s">
        <v>52</v>
      </c>
      <c r="V43" s="114" t="s">
        <v>52</v>
      </c>
      <c r="W43" s="141" t="s">
        <v>52</v>
      </c>
      <c r="X43" s="421">
        <f>VLOOKUP(Table29[[#This Row],[Country Codes]],GHG!$A$8:$E$203,4,FALSE)</f>
        <v>121.46313217391</v>
      </c>
      <c r="Y43" s="421">
        <f>VLOOKUP(Table29[[#This Row],[Country Codes]],GHG!$A$8:$E$203,3,FALSE)</f>
        <v>32.478801178832768</v>
      </c>
      <c r="AC43" s="43"/>
    </row>
    <row r="44" spans="2:29" x14ac:dyDescent="0.25">
      <c r="B44" s="263" t="s">
        <v>137</v>
      </c>
      <c r="C44" s="12" t="s">
        <v>138</v>
      </c>
      <c r="D44" s="12" t="s">
        <v>47</v>
      </c>
      <c r="E44" s="208" t="s">
        <v>48</v>
      </c>
      <c r="F44" s="208" t="s">
        <v>56</v>
      </c>
      <c r="G44" s="27" t="s">
        <v>26</v>
      </c>
      <c r="H44" s="27" t="s">
        <v>50</v>
      </c>
      <c r="I44" s="27" t="s">
        <v>51</v>
      </c>
      <c r="J44" s="27" t="s">
        <v>50</v>
      </c>
      <c r="K44" s="27" t="s">
        <v>50</v>
      </c>
      <c r="L44" s="114"/>
      <c r="M44" s="114"/>
      <c r="N44" s="114"/>
      <c r="O44" s="114"/>
      <c r="P44" s="114"/>
      <c r="Q44" s="114"/>
      <c r="R44" s="114"/>
      <c r="S44" s="114" t="s">
        <v>64</v>
      </c>
      <c r="T44" s="114" t="s">
        <v>50</v>
      </c>
      <c r="U44" s="141" t="s">
        <v>52</v>
      </c>
      <c r="V44" s="114" t="s">
        <v>52</v>
      </c>
      <c r="W44" s="141" t="s">
        <v>52</v>
      </c>
      <c r="X44" s="421">
        <f>VLOOKUP(Table29[[#This Row],[Country Codes]],GHG!$A$8:$E$203,4,FALSE)</f>
        <v>15943.986552905</v>
      </c>
      <c r="Y44" s="421">
        <f>VLOOKUP(Table29[[#This Row],[Country Codes]],GHG!$A$8:$E$203,3,FALSE)</f>
        <v>1110.1781062864729</v>
      </c>
      <c r="AC44" s="42"/>
    </row>
    <row r="45" spans="2:29" x14ac:dyDescent="0.25">
      <c r="B45" s="263" t="s">
        <v>139</v>
      </c>
      <c r="C45" s="12" t="s">
        <v>140</v>
      </c>
      <c r="D45" s="12" t="s">
        <v>47</v>
      </c>
      <c r="E45" s="208" t="s">
        <v>69</v>
      </c>
      <c r="F45" s="208" t="s">
        <v>56</v>
      </c>
      <c r="G45" s="27" t="s">
        <v>50</v>
      </c>
      <c r="H45" s="27" t="s">
        <v>50</v>
      </c>
      <c r="I45" s="27" t="s">
        <v>28</v>
      </c>
      <c r="J45" s="27" t="s">
        <v>50</v>
      </c>
      <c r="K45" s="27" t="s">
        <v>50</v>
      </c>
      <c r="L45" s="114"/>
      <c r="M45" s="114"/>
      <c r="N45" s="114"/>
      <c r="O45" s="114"/>
      <c r="P45" s="114"/>
      <c r="Q45" s="114"/>
      <c r="R45" s="114"/>
      <c r="S45" s="114" t="s">
        <v>64</v>
      </c>
      <c r="T45" s="114" t="s">
        <v>64</v>
      </c>
      <c r="U45" s="365"/>
      <c r="V45" s="366"/>
      <c r="W45" s="365"/>
      <c r="X45" s="421">
        <f>VLOOKUP(Table29[[#This Row],[Country Codes]],GHG!$A$8:$E$203,4,FALSE)</f>
        <v>223.96663405241</v>
      </c>
      <c r="Y45" s="421">
        <f>VLOOKUP(Table29[[#This Row],[Country Codes]],GHG!$A$8:$E$203,3,FALSE)</f>
        <v>37.36796885652894</v>
      </c>
      <c r="AC45" s="43"/>
    </row>
    <row r="46" spans="2:29" x14ac:dyDescent="0.25">
      <c r="B46" s="263" t="s">
        <v>141</v>
      </c>
      <c r="C46" s="12" t="s">
        <v>142</v>
      </c>
      <c r="D46" s="12" t="s">
        <v>47</v>
      </c>
      <c r="E46" s="208" t="s">
        <v>59</v>
      </c>
      <c r="F46" s="208" t="s">
        <v>56</v>
      </c>
      <c r="G46" s="27" t="s">
        <v>50</v>
      </c>
      <c r="H46" s="27" t="s">
        <v>50</v>
      </c>
      <c r="I46" s="27" t="s">
        <v>51</v>
      </c>
      <c r="J46" s="27" t="s">
        <v>50</v>
      </c>
      <c r="K46" s="27" t="s">
        <v>50</v>
      </c>
      <c r="L46" s="114"/>
      <c r="M46" s="114"/>
      <c r="N46" s="114"/>
      <c r="O46" s="114"/>
      <c r="P46" s="114"/>
      <c r="Q46" s="114"/>
      <c r="R46" s="114"/>
      <c r="S46" s="114" t="s">
        <v>64</v>
      </c>
      <c r="T46" s="114" t="s">
        <v>50</v>
      </c>
      <c r="U46" s="141" t="s">
        <v>52</v>
      </c>
      <c r="V46" s="114" t="s">
        <v>52</v>
      </c>
      <c r="W46" s="141" t="s">
        <v>52</v>
      </c>
      <c r="X46" s="421">
        <f>VLOOKUP(Table29[[#This Row],[Country Codes]],GHG!$A$8:$E$203,4,FALSE)</f>
        <v>0.76176779618891</v>
      </c>
      <c r="Y46" s="421">
        <f>VLOOKUP(Table29[[#This Row],[Country Codes]],GHG!$A$8:$E$203,3,FALSE)</f>
        <v>0.18466117087691569</v>
      </c>
      <c r="AC46" s="43"/>
    </row>
    <row r="47" spans="2:29" x14ac:dyDescent="0.25">
      <c r="B47" s="263" t="s">
        <v>143</v>
      </c>
      <c r="C47" s="12" t="s">
        <v>144</v>
      </c>
      <c r="D47" s="12" t="s">
        <v>47</v>
      </c>
      <c r="E47" s="208" t="s">
        <v>59</v>
      </c>
      <c r="F47" s="208" t="s">
        <v>56</v>
      </c>
      <c r="G47" s="27" t="s">
        <v>50</v>
      </c>
      <c r="H47" s="27" t="s">
        <v>50</v>
      </c>
      <c r="I47" s="27" t="s">
        <v>51</v>
      </c>
      <c r="J47" s="27" t="s">
        <v>50</v>
      </c>
      <c r="K47" s="27" t="s">
        <v>50</v>
      </c>
      <c r="L47" s="114"/>
      <c r="M47" s="114"/>
      <c r="N47" s="114"/>
      <c r="O47" s="114"/>
      <c r="P47" s="114"/>
      <c r="Q47" s="114"/>
      <c r="R47" s="114"/>
      <c r="S47" s="114" t="s">
        <v>50</v>
      </c>
      <c r="T47" s="114" t="s">
        <v>50</v>
      </c>
      <c r="U47" s="141" t="s">
        <v>52</v>
      </c>
      <c r="V47" s="114" t="s">
        <v>52</v>
      </c>
      <c r="W47" s="141" t="s">
        <v>52</v>
      </c>
      <c r="X47" s="421">
        <f>VLOOKUP(Table29[[#This Row],[Country Codes]],GHG!$A$8:$E$203,4,FALSE)</f>
        <v>23.702014388194002</v>
      </c>
      <c r="Y47" s="421">
        <f>VLOOKUP(Table29[[#This Row],[Country Codes]],GHG!$A$8:$E$203,3,FALSE)</f>
        <v>1.4878367477049981</v>
      </c>
      <c r="AC47" s="43"/>
    </row>
    <row r="48" spans="2:29" x14ac:dyDescent="0.25">
      <c r="B48" s="263" t="s">
        <v>145</v>
      </c>
      <c r="C48" s="12" t="s">
        <v>146</v>
      </c>
      <c r="D48" s="12" t="s">
        <v>47</v>
      </c>
      <c r="E48" s="208" t="s">
        <v>79</v>
      </c>
      <c r="F48" s="208" t="s">
        <v>147</v>
      </c>
      <c r="G48" s="27" t="s">
        <v>50</v>
      </c>
      <c r="H48" s="27" t="s">
        <v>50</v>
      </c>
      <c r="I48" s="27" t="s">
        <v>51</v>
      </c>
      <c r="J48" s="27" t="s">
        <v>50</v>
      </c>
      <c r="K48" s="27" t="s">
        <v>50</v>
      </c>
      <c r="L48" s="114"/>
      <c r="M48" s="114"/>
      <c r="N48" s="114"/>
      <c r="O48" s="114"/>
      <c r="P48" s="114"/>
      <c r="Q48" s="114"/>
      <c r="R48" s="114"/>
      <c r="S48" s="114" t="s">
        <v>50</v>
      </c>
      <c r="T48" s="114" t="s">
        <v>50</v>
      </c>
      <c r="U48" s="141" t="s">
        <v>52</v>
      </c>
      <c r="V48" s="114" t="s">
        <v>52</v>
      </c>
      <c r="W48" s="141" t="s">
        <v>52</v>
      </c>
      <c r="X48" s="421">
        <f>VLOOKUP(Table29[[#This Row],[Country Codes]],GHG!$A$8:$E$203,4,FALSE)</f>
        <v>0.15431817447160001</v>
      </c>
      <c r="Y48" s="421">
        <f>VLOOKUP(Table29[[#This Row],[Country Codes]],GHG!$A$8:$E$203,3,FALSE)</f>
        <v>7.3867712256084558E-2</v>
      </c>
      <c r="AC48" s="208"/>
    </row>
    <row r="49" spans="2:29" x14ac:dyDescent="0.25">
      <c r="B49" s="263" t="s">
        <v>148</v>
      </c>
      <c r="C49" s="12" t="s">
        <v>149</v>
      </c>
      <c r="D49" s="12" t="s">
        <v>47</v>
      </c>
      <c r="E49" s="208" t="s">
        <v>69</v>
      </c>
      <c r="F49" s="208" t="s">
        <v>56</v>
      </c>
      <c r="G49" s="27" t="s">
        <v>50</v>
      </c>
      <c r="H49" s="27" t="s">
        <v>50</v>
      </c>
      <c r="I49" s="27" t="s">
        <v>28</v>
      </c>
      <c r="J49" s="27" t="s">
        <v>50</v>
      </c>
      <c r="K49" s="27" t="s">
        <v>50</v>
      </c>
      <c r="L49" s="114"/>
      <c r="M49" s="114"/>
      <c r="N49" s="114" t="s">
        <v>80</v>
      </c>
      <c r="O49" s="114" t="s">
        <v>80</v>
      </c>
      <c r="P49" s="114"/>
      <c r="Q49" s="114" t="s">
        <v>80</v>
      </c>
      <c r="R49" s="114" t="s">
        <v>80</v>
      </c>
      <c r="S49" s="114" t="s">
        <v>64</v>
      </c>
      <c r="T49" s="114" t="s">
        <v>64</v>
      </c>
      <c r="U49" s="365"/>
      <c r="V49" s="366"/>
      <c r="W49" s="365"/>
      <c r="X49" s="421">
        <f>VLOOKUP(Table29[[#This Row],[Country Codes]],GHG!$A$8:$E$203,4,FALSE)</f>
        <v>16.468143919330998</v>
      </c>
      <c r="Y49" s="421">
        <f>VLOOKUP(Table29[[#This Row],[Country Codes]],GHG!$A$8:$E$203,3,FALSE)</f>
        <v>6.1699800179976929</v>
      </c>
      <c r="AC49" s="43"/>
    </row>
    <row r="50" spans="2:29" x14ac:dyDescent="0.25">
      <c r="B50" s="263" t="s">
        <v>150</v>
      </c>
      <c r="C50" s="12" t="s">
        <v>151</v>
      </c>
      <c r="D50" s="12" t="s">
        <v>47</v>
      </c>
      <c r="E50" s="208" t="s">
        <v>59</v>
      </c>
      <c r="F50" s="208" t="s">
        <v>56</v>
      </c>
      <c r="G50" s="27" t="s">
        <v>50</v>
      </c>
      <c r="H50" s="27" t="s">
        <v>50</v>
      </c>
      <c r="I50" s="27" t="s">
        <v>51</v>
      </c>
      <c r="J50" s="27" t="s">
        <v>50</v>
      </c>
      <c r="K50" s="27" t="s">
        <v>50</v>
      </c>
      <c r="L50" s="114"/>
      <c r="M50" s="114"/>
      <c r="N50" s="114"/>
      <c r="O50" s="114"/>
      <c r="P50" s="114"/>
      <c r="Q50" s="114"/>
      <c r="R50" s="114"/>
      <c r="S50" s="114" t="s">
        <v>50</v>
      </c>
      <c r="T50" s="114" t="s">
        <v>50</v>
      </c>
      <c r="U50" s="141" t="s">
        <v>52</v>
      </c>
      <c r="V50" s="114" t="s">
        <v>52</v>
      </c>
      <c r="W50" s="141" t="s">
        <v>52</v>
      </c>
      <c r="X50" s="421">
        <f>VLOOKUP(Table29[[#This Row],[Country Codes]],GHG!$A$8:$E$203,4,FALSE)</f>
        <v>32.184005493065001</v>
      </c>
      <c r="Y50" s="421">
        <f>VLOOKUP(Table29[[#This Row],[Country Codes]],GHG!$A$8:$E$203,3,FALSE)</f>
        <v>5.258263110860768</v>
      </c>
      <c r="AC50" s="43"/>
    </row>
    <row r="51" spans="2:29" x14ac:dyDescent="0.25">
      <c r="B51" s="263" t="s">
        <v>152</v>
      </c>
      <c r="C51" s="12" t="s">
        <v>153</v>
      </c>
      <c r="D51" s="12" t="s">
        <v>78</v>
      </c>
      <c r="E51" s="208" t="s">
        <v>55</v>
      </c>
      <c r="F51" s="208" t="s">
        <v>63</v>
      </c>
      <c r="G51" s="27" t="s">
        <v>50</v>
      </c>
      <c r="H51" s="27" t="s">
        <v>50</v>
      </c>
      <c r="I51" s="27" t="s">
        <v>51</v>
      </c>
      <c r="J51" s="27" t="s">
        <v>29</v>
      </c>
      <c r="K51" s="27" t="s">
        <v>50</v>
      </c>
      <c r="L51" s="114" t="s">
        <v>80</v>
      </c>
      <c r="M51" s="114"/>
      <c r="N51" s="114"/>
      <c r="O51" s="114"/>
      <c r="P51" s="114"/>
      <c r="Q51" s="114"/>
      <c r="R51" s="114"/>
      <c r="S51" s="114" t="s">
        <v>64</v>
      </c>
      <c r="T51" s="114" t="s">
        <v>64</v>
      </c>
      <c r="U51" s="141" t="s">
        <v>83</v>
      </c>
      <c r="V51" s="114">
        <v>2035</v>
      </c>
      <c r="W51" s="141" t="s">
        <v>84</v>
      </c>
      <c r="X51" s="421">
        <f>VLOOKUP(Table29[[#This Row],[Country Codes]],GHG!$A$8:$E$203,4,FALSE)</f>
        <v>25.013482276386998</v>
      </c>
      <c r="Y51" s="421">
        <f>VLOOKUP(Table29[[#This Row],[Country Codes]],GHG!$A$8:$E$203,3,FALSE)</f>
        <v>6.9744478684177764</v>
      </c>
      <c r="AC51" s="209"/>
    </row>
    <row r="52" spans="2:29" x14ac:dyDescent="0.25">
      <c r="B52" s="263" t="s">
        <v>154</v>
      </c>
      <c r="C52" s="12" t="s">
        <v>155</v>
      </c>
      <c r="D52" s="12" t="s">
        <v>47</v>
      </c>
      <c r="E52" s="208" t="s">
        <v>69</v>
      </c>
      <c r="F52" s="208" t="s">
        <v>56</v>
      </c>
      <c r="G52" s="27" t="s">
        <v>50</v>
      </c>
      <c r="H52" s="27" t="s">
        <v>50</v>
      </c>
      <c r="I52" s="27" t="s">
        <v>51</v>
      </c>
      <c r="J52" s="27" t="s">
        <v>50</v>
      </c>
      <c r="K52" s="27" t="s">
        <v>50</v>
      </c>
      <c r="L52" s="114"/>
      <c r="M52" s="114"/>
      <c r="N52" s="114"/>
      <c r="O52" s="114"/>
      <c r="P52" s="114"/>
      <c r="Q52" s="114"/>
      <c r="R52" s="114"/>
      <c r="S52" s="114" t="s">
        <v>50</v>
      </c>
      <c r="T52" s="114" t="s">
        <v>50</v>
      </c>
      <c r="U52" s="141" t="s">
        <v>52</v>
      </c>
      <c r="V52" s="114" t="s">
        <v>52</v>
      </c>
      <c r="W52" s="141" t="s">
        <v>52</v>
      </c>
      <c r="X52" s="421">
        <f>VLOOKUP(Table29[[#This Row],[Country Codes]],GHG!$A$8:$E$203,4,FALSE)</f>
        <v>39.400331633766001</v>
      </c>
      <c r="Y52" s="421">
        <f>VLOOKUP(Table29[[#This Row],[Country Codes]],GHG!$A$8:$E$203,3,FALSE)</f>
        <v>1.240586761635627</v>
      </c>
      <c r="AC52" s="42"/>
    </row>
    <row r="53" spans="2:29" x14ac:dyDescent="0.25">
      <c r="B53" s="263" t="s">
        <v>156</v>
      </c>
      <c r="C53" s="12" t="s">
        <v>157</v>
      </c>
      <c r="D53" s="12" t="s">
        <v>78</v>
      </c>
      <c r="E53" s="208" t="s">
        <v>48</v>
      </c>
      <c r="F53" s="208" t="s">
        <v>63</v>
      </c>
      <c r="G53" s="27" t="s">
        <v>50</v>
      </c>
      <c r="H53" s="27" t="s">
        <v>50</v>
      </c>
      <c r="I53" s="27" t="s">
        <v>51</v>
      </c>
      <c r="J53" s="27" t="s">
        <v>29</v>
      </c>
      <c r="K53" s="27" t="s">
        <v>50</v>
      </c>
      <c r="L53" s="114" t="s">
        <v>80</v>
      </c>
      <c r="M53" s="114"/>
      <c r="N53" s="114"/>
      <c r="O53" s="114"/>
      <c r="P53" s="114"/>
      <c r="Q53" s="114"/>
      <c r="R53" s="114"/>
      <c r="S53" s="114" t="s">
        <v>64</v>
      </c>
      <c r="T53" s="114" t="s">
        <v>64</v>
      </c>
      <c r="U53" s="141" t="s">
        <v>83</v>
      </c>
      <c r="V53" s="114">
        <v>2035</v>
      </c>
      <c r="W53" s="141" t="s">
        <v>84</v>
      </c>
      <c r="X53" s="421">
        <f>VLOOKUP(Table29[[#This Row],[Country Codes]],GHG!$A$8:$E$203,4,FALSE)</f>
        <v>10.324656394181</v>
      </c>
      <c r="Y53" s="421">
        <f>VLOOKUP(Table29[[#This Row],[Country Codes]],GHG!$A$8:$E$203,3,FALSE)</f>
        <v>1.897782414839597</v>
      </c>
      <c r="AC53" s="43"/>
    </row>
    <row r="54" spans="2:29" x14ac:dyDescent="0.25">
      <c r="B54" s="263" t="s">
        <v>158</v>
      </c>
      <c r="C54" s="12" t="s">
        <v>159</v>
      </c>
      <c r="D54" s="12" t="s">
        <v>78</v>
      </c>
      <c r="E54" s="208" t="s">
        <v>55</v>
      </c>
      <c r="F54" s="208" t="s">
        <v>63</v>
      </c>
      <c r="G54" s="27" t="s">
        <v>50</v>
      </c>
      <c r="H54" s="27" t="s">
        <v>50</v>
      </c>
      <c r="I54" s="27" t="s">
        <v>28</v>
      </c>
      <c r="J54" s="27" t="s">
        <v>29</v>
      </c>
      <c r="K54" s="27" t="s">
        <v>50</v>
      </c>
      <c r="L54" s="114"/>
      <c r="M54" s="114"/>
      <c r="N54" s="114"/>
      <c r="O54" s="114"/>
      <c r="P54" s="114"/>
      <c r="Q54" s="114"/>
      <c r="R54" s="114"/>
      <c r="S54" s="114" t="s">
        <v>64</v>
      </c>
      <c r="T54" s="114" t="s">
        <v>64</v>
      </c>
      <c r="U54" s="141" t="s">
        <v>83</v>
      </c>
      <c r="V54" s="114">
        <v>2035</v>
      </c>
      <c r="W54" s="141" t="s">
        <v>84</v>
      </c>
      <c r="X54" s="421">
        <f>VLOOKUP(Table29[[#This Row],[Country Codes]],GHG!$A$8:$E$203,4,FALSE)</f>
        <v>114.43841612935999</v>
      </c>
      <c r="Y54" s="421">
        <f>VLOOKUP(Table29[[#This Row],[Country Codes]],GHG!$A$8:$E$203,3,FALSE)</f>
        <v>19.612786549290181</v>
      </c>
      <c r="AC54" s="42"/>
    </row>
    <row r="55" spans="2:29" x14ac:dyDescent="0.25">
      <c r="B55" s="263" t="s">
        <v>160</v>
      </c>
      <c r="C55" s="12" t="s">
        <v>161</v>
      </c>
      <c r="D55" s="12" t="s">
        <v>47</v>
      </c>
      <c r="E55" s="208" t="s">
        <v>48</v>
      </c>
      <c r="F55" s="208" t="s">
        <v>49</v>
      </c>
      <c r="G55" s="27" t="s">
        <v>50</v>
      </c>
      <c r="H55" s="27" t="s">
        <v>50</v>
      </c>
      <c r="I55" s="27" t="s">
        <v>51</v>
      </c>
      <c r="J55" s="27" t="s">
        <v>50</v>
      </c>
      <c r="K55" s="27" t="s">
        <v>50</v>
      </c>
      <c r="L55" s="114"/>
      <c r="M55" s="114"/>
      <c r="N55" s="114"/>
      <c r="O55" s="114"/>
      <c r="P55" s="114"/>
      <c r="Q55" s="114"/>
      <c r="R55" s="114"/>
      <c r="S55" s="114" t="s">
        <v>50</v>
      </c>
      <c r="T55" s="114" t="s">
        <v>50</v>
      </c>
      <c r="U55" s="141" t="s">
        <v>52</v>
      </c>
      <c r="V55" s="114" t="s">
        <v>52</v>
      </c>
      <c r="W55" s="141" t="s">
        <v>52</v>
      </c>
      <c r="X55" s="421">
        <f>VLOOKUP(Table29[[#This Row],[Country Codes]],GHG!$A$8:$E$203,4,FALSE)</f>
        <v>90.148479942172997</v>
      </c>
      <c r="Y55" s="421">
        <f>VLOOKUP(Table29[[#This Row],[Country Codes]],GHG!$A$8:$E$203,3,FALSE)</f>
        <v>4.9656668892531348</v>
      </c>
      <c r="AC55" s="43"/>
    </row>
    <row r="56" spans="2:29" x14ac:dyDescent="0.25">
      <c r="B56" s="263" t="s">
        <v>162</v>
      </c>
      <c r="C56" s="12" t="s">
        <v>163</v>
      </c>
      <c r="D56" s="12" t="s">
        <v>47</v>
      </c>
      <c r="E56" s="208" t="s">
        <v>59</v>
      </c>
      <c r="F56" s="208" t="s">
        <v>49</v>
      </c>
      <c r="G56" s="27" t="s">
        <v>50</v>
      </c>
      <c r="H56" s="27" t="s">
        <v>50</v>
      </c>
      <c r="I56" s="27" t="s">
        <v>51</v>
      </c>
      <c r="J56" s="27" t="s">
        <v>50</v>
      </c>
      <c r="K56" s="27" t="s">
        <v>50</v>
      </c>
      <c r="L56" s="114"/>
      <c r="M56" s="114"/>
      <c r="N56" s="114"/>
      <c r="O56" s="114"/>
      <c r="P56" s="114"/>
      <c r="Q56" s="114"/>
      <c r="R56" s="114"/>
      <c r="S56" s="114" t="s">
        <v>50</v>
      </c>
      <c r="T56" s="114" t="s">
        <v>50</v>
      </c>
      <c r="U56" s="141" t="s">
        <v>52</v>
      </c>
      <c r="V56" s="114" t="s">
        <v>52</v>
      </c>
      <c r="W56" s="141" t="s">
        <v>52</v>
      </c>
      <c r="X56" s="421">
        <f>VLOOKUP(Table29[[#This Row],[Country Codes]],GHG!$A$8:$E$203,4,FALSE)</f>
        <v>56.105911645372998</v>
      </c>
      <c r="Y56" s="421">
        <f>VLOOKUP(Table29[[#This Row],[Country Codes]],GHG!$A$8:$E$203,3,FALSE)</f>
        <v>2.8181763967662752</v>
      </c>
      <c r="AC56" s="43"/>
    </row>
    <row r="57" spans="2:29" x14ac:dyDescent="0.25">
      <c r="B57" s="263" t="s">
        <v>164</v>
      </c>
      <c r="C57" s="12" t="s">
        <v>165</v>
      </c>
      <c r="D57" s="12" t="s">
        <v>78</v>
      </c>
      <c r="E57" s="208" t="s">
        <v>55</v>
      </c>
      <c r="F57" s="208" t="s">
        <v>63</v>
      </c>
      <c r="G57" s="27" t="s">
        <v>50</v>
      </c>
      <c r="H57" s="27" t="s">
        <v>50</v>
      </c>
      <c r="I57" s="27" t="s">
        <v>28</v>
      </c>
      <c r="J57" s="27" t="s">
        <v>29</v>
      </c>
      <c r="K57" s="27" t="s">
        <v>50</v>
      </c>
      <c r="L57" s="114" t="s">
        <v>80</v>
      </c>
      <c r="M57" s="114" t="s">
        <v>80</v>
      </c>
      <c r="N57" s="114" t="s">
        <v>80</v>
      </c>
      <c r="O57" s="114" t="s">
        <v>80</v>
      </c>
      <c r="P57" s="114" t="s">
        <v>80</v>
      </c>
      <c r="Q57" s="114" t="s">
        <v>80</v>
      </c>
      <c r="R57" s="114"/>
      <c r="S57" s="114" t="s">
        <v>64</v>
      </c>
      <c r="T57" s="114" t="s">
        <v>64</v>
      </c>
      <c r="U57" s="141" t="s">
        <v>83</v>
      </c>
      <c r="V57" s="114">
        <v>2035</v>
      </c>
      <c r="W57" s="141" t="s">
        <v>84</v>
      </c>
      <c r="X57" s="421">
        <f>VLOOKUP(Table29[[#This Row],[Country Codes]],GHG!$A$8:$E$203,4,FALSE)</f>
        <v>41.831473036828001</v>
      </c>
      <c r="Y57" s="421">
        <f>VLOOKUP(Table29[[#This Row],[Country Codes]],GHG!$A$8:$E$203,3,FALSE)</f>
        <v>11.369548725375189</v>
      </c>
      <c r="AC57" s="43"/>
    </row>
    <row r="58" spans="2:29" x14ac:dyDescent="0.25">
      <c r="B58" s="263" t="s">
        <v>166</v>
      </c>
      <c r="C58" s="12" t="s">
        <v>167</v>
      </c>
      <c r="D58" s="12" t="s">
        <v>47</v>
      </c>
      <c r="E58" s="208" t="s">
        <v>59</v>
      </c>
      <c r="F58" s="208" t="s">
        <v>56</v>
      </c>
      <c r="G58" s="27" t="s">
        <v>50</v>
      </c>
      <c r="H58" s="27" t="s">
        <v>50</v>
      </c>
      <c r="I58" s="27" t="s">
        <v>51</v>
      </c>
      <c r="J58" s="27" t="s">
        <v>50</v>
      </c>
      <c r="K58" s="114" t="s">
        <v>60</v>
      </c>
      <c r="L58" s="114"/>
      <c r="M58" s="114"/>
      <c r="N58" s="114"/>
      <c r="O58" s="114"/>
      <c r="P58" s="114"/>
      <c r="Q58" s="114"/>
      <c r="R58" s="114"/>
      <c r="S58" s="114" t="s">
        <v>50</v>
      </c>
      <c r="T58" s="114" t="s">
        <v>50</v>
      </c>
      <c r="U58" s="141" t="s">
        <v>52</v>
      </c>
      <c r="V58" s="114" t="s">
        <v>52</v>
      </c>
      <c r="W58" s="141" t="s">
        <v>52</v>
      </c>
      <c r="X58" s="421">
        <f>VLOOKUP(Table29[[#This Row],[Country Codes]],GHG!$A$8:$E$203,4,FALSE)</f>
        <v>2.1324079847021999</v>
      </c>
      <c r="Y58" s="421">
        <f>VLOOKUP(Table29[[#This Row],[Country Codes]],GHG!$A$8:$E$203,3,FALSE)</f>
        <v>0.3545557540757589</v>
      </c>
      <c r="AC58" s="43"/>
    </row>
    <row r="59" spans="2:29" x14ac:dyDescent="0.25">
      <c r="B59" s="263" t="s">
        <v>168</v>
      </c>
      <c r="C59" s="12" t="s">
        <v>169</v>
      </c>
      <c r="D59" s="12" t="s">
        <v>47</v>
      </c>
      <c r="E59" s="208" t="s">
        <v>69</v>
      </c>
      <c r="F59" s="208" t="s">
        <v>56</v>
      </c>
      <c r="G59" s="27" t="s">
        <v>50</v>
      </c>
      <c r="H59" s="27" t="s">
        <v>50</v>
      </c>
      <c r="I59" s="27" t="s">
        <v>51</v>
      </c>
      <c r="J59" s="27" t="s">
        <v>50</v>
      </c>
      <c r="K59" s="27" t="s">
        <v>50</v>
      </c>
      <c r="L59" s="114"/>
      <c r="M59" s="114"/>
      <c r="N59" s="114"/>
      <c r="O59" s="114"/>
      <c r="P59" s="114"/>
      <c r="Q59" s="114"/>
      <c r="R59" s="114"/>
      <c r="S59" s="114" t="s">
        <v>64</v>
      </c>
      <c r="T59" s="114" t="s">
        <v>64</v>
      </c>
      <c r="U59" s="141" t="s">
        <v>83</v>
      </c>
      <c r="V59" s="114" t="s">
        <v>170</v>
      </c>
      <c r="W59" s="141" t="s">
        <v>71</v>
      </c>
      <c r="X59" s="421">
        <f>VLOOKUP(Table29[[#This Row],[Country Codes]],GHG!$A$8:$E$203,4,FALSE)</f>
        <v>0.14691940907449</v>
      </c>
      <c r="Y59" s="421">
        <f>VLOOKUP(Table29[[#This Row],[Country Codes]],GHG!$A$8:$E$203,3,FALSE)</f>
        <v>2.8004429294222619E-2</v>
      </c>
      <c r="AC59" s="43"/>
    </row>
    <row r="60" spans="2:29" x14ac:dyDescent="0.25">
      <c r="B60" s="263" t="s">
        <v>171</v>
      </c>
      <c r="C60" s="12" t="s">
        <v>172</v>
      </c>
      <c r="D60" s="12" t="s">
        <v>47</v>
      </c>
      <c r="E60" s="208" t="s">
        <v>69</v>
      </c>
      <c r="F60" s="208" t="s">
        <v>56</v>
      </c>
      <c r="G60" s="27" t="s">
        <v>50</v>
      </c>
      <c r="H60" s="27" t="s">
        <v>50</v>
      </c>
      <c r="I60" s="27" t="s">
        <v>51</v>
      </c>
      <c r="J60" s="27" t="s">
        <v>50</v>
      </c>
      <c r="K60" s="27" t="s">
        <v>50</v>
      </c>
      <c r="L60" s="114" t="s">
        <v>80</v>
      </c>
      <c r="M60" s="114"/>
      <c r="N60" s="114"/>
      <c r="O60" s="114"/>
      <c r="P60" s="114"/>
      <c r="Q60" s="114"/>
      <c r="R60" s="114"/>
      <c r="S60" s="114" t="s">
        <v>64</v>
      </c>
      <c r="T60" s="114" t="s">
        <v>50</v>
      </c>
      <c r="U60" s="141" t="s">
        <v>52</v>
      </c>
      <c r="V60" s="114" t="s">
        <v>52</v>
      </c>
      <c r="W60" s="141" t="s">
        <v>52</v>
      </c>
      <c r="X60" s="421">
        <f>VLOOKUP(Table29[[#This Row],[Country Codes]],GHG!$A$8:$E$203,4,FALSE)</f>
        <v>48.396213040657997</v>
      </c>
      <c r="Y60" s="421">
        <f>VLOOKUP(Table29[[#This Row],[Country Codes]],GHG!$A$8:$E$203,3,FALSE)</f>
        <v>8.515708871390995</v>
      </c>
      <c r="AC60" s="43"/>
    </row>
    <row r="61" spans="2:29" x14ac:dyDescent="0.25">
      <c r="B61" s="263" t="s">
        <v>173</v>
      </c>
      <c r="C61" s="12" t="s">
        <v>174</v>
      </c>
      <c r="D61" s="12" t="s">
        <v>47</v>
      </c>
      <c r="E61" s="208" t="s">
        <v>69</v>
      </c>
      <c r="F61" s="208" t="s">
        <v>56</v>
      </c>
      <c r="G61" s="27" t="s">
        <v>50</v>
      </c>
      <c r="H61" s="27" t="s">
        <v>50</v>
      </c>
      <c r="I61" s="27" t="s">
        <v>51</v>
      </c>
      <c r="J61" s="27" t="s">
        <v>50</v>
      </c>
      <c r="K61" s="27" t="s">
        <v>50</v>
      </c>
      <c r="L61" s="114"/>
      <c r="M61" s="114"/>
      <c r="N61" s="114"/>
      <c r="O61" s="114"/>
      <c r="P61" s="114"/>
      <c r="Q61" s="114"/>
      <c r="R61" s="114"/>
      <c r="S61" s="114" t="s">
        <v>50</v>
      </c>
      <c r="T61" s="114" t="s">
        <v>50</v>
      </c>
      <c r="U61" s="141" t="s">
        <v>52</v>
      </c>
      <c r="V61" s="114" t="s">
        <v>52</v>
      </c>
      <c r="W61" s="141" t="s">
        <v>52</v>
      </c>
      <c r="X61" s="421">
        <f>VLOOKUP(Table29[[#This Row],[Country Codes]],GHG!$A$8:$E$203,4,FALSE)</f>
        <v>73.604607615068005</v>
      </c>
      <c r="Y61" s="421">
        <f>VLOOKUP(Table29[[#This Row],[Country Codes]],GHG!$A$8:$E$203,3,FALSE)</f>
        <v>22.250312638556871</v>
      </c>
      <c r="AC61" s="43"/>
    </row>
    <row r="62" spans="2:29" x14ac:dyDescent="0.25">
      <c r="B62" s="263" t="s">
        <v>175</v>
      </c>
      <c r="C62" s="12" t="s">
        <v>176</v>
      </c>
      <c r="D62" s="12" t="s">
        <v>47</v>
      </c>
      <c r="E62" s="208" t="s">
        <v>59</v>
      </c>
      <c r="F62" s="208" t="s">
        <v>56</v>
      </c>
      <c r="G62" s="27" t="s">
        <v>50</v>
      </c>
      <c r="H62" s="27" t="s">
        <v>50</v>
      </c>
      <c r="I62" s="27" t="s">
        <v>51</v>
      </c>
      <c r="J62" s="27" t="s">
        <v>50</v>
      </c>
      <c r="K62" s="114" t="s">
        <v>60</v>
      </c>
      <c r="L62" s="114"/>
      <c r="M62" s="114" t="s">
        <v>80</v>
      </c>
      <c r="N62" s="114"/>
      <c r="O62" s="114"/>
      <c r="P62" s="114"/>
      <c r="Q62" s="114"/>
      <c r="R62" s="114"/>
      <c r="S62" s="114" t="s">
        <v>50</v>
      </c>
      <c r="T62" s="114" t="s">
        <v>50</v>
      </c>
      <c r="U62" s="141" t="s">
        <v>52</v>
      </c>
      <c r="V62" s="114" t="s">
        <v>52</v>
      </c>
      <c r="W62" s="141" t="s">
        <v>52</v>
      </c>
      <c r="X62" s="421">
        <f>VLOOKUP(Table29[[#This Row],[Country Codes]],GHG!$A$8:$E$203,4,FALSE)</f>
        <v>335.96804878175999</v>
      </c>
      <c r="Y62" s="421">
        <f>VLOOKUP(Table29[[#This Row],[Country Codes]],GHG!$A$8:$E$203,3,FALSE)</f>
        <v>53.140796953162749</v>
      </c>
      <c r="AC62" s="43"/>
    </row>
    <row r="63" spans="2:29" x14ac:dyDescent="0.25">
      <c r="B63" s="263" t="s">
        <v>177</v>
      </c>
      <c r="C63" s="12" t="s">
        <v>178</v>
      </c>
      <c r="D63" s="12" t="s">
        <v>47</v>
      </c>
      <c r="E63" s="208" t="s">
        <v>69</v>
      </c>
      <c r="F63" s="208" t="s">
        <v>56</v>
      </c>
      <c r="G63" s="27" t="s">
        <v>50</v>
      </c>
      <c r="H63" s="27" t="s">
        <v>50</v>
      </c>
      <c r="I63" s="27" t="s">
        <v>51</v>
      </c>
      <c r="J63" s="27" t="s">
        <v>50</v>
      </c>
      <c r="K63" s="27" t="s">
        <v>50</v>
      </c>
      <c r="L63" s="114" t="s">
        <v>80</v>
      </c>
      <c r="M63" s="114"/>
      <c r="N63" s="114"/>
      <c r="O63" s="114"/>
      <c r="P63" s="114"/>
      <c r="Q63" s="114"/>
      <c r="R63" s="114"/>
      <c r="S63" s="114" t="s">
        <v>50</v>
      </c>
      <c r="T63" s="114" t="s">
        <v>50</v>
      </c>
      <c r="U63" s="141" t="s">
        <v>52</v>
      </c>
      <c r="V63" s="114" t="s">
        <v>52</v>
      </c>
      <c r="W63" s="141" t="s">
        <v>52</v>
      </c>
      <c r="X63" s="421">
        <f>VLOOKUP(Table29[[#This Row],[Country Codes]],GHG!$A$8:$E$203,4,FALSE)</f>
        <v>13.051313657078</v>
      </c>
      <c r="Y63" s="421">
        <f>VLOOKUP(Table29[[#This Row],[Country Codes]],GHG!$A$8:$E$203,3,FALSE)</f>
        <v>4.4777041118287633</v>
      </c>
      <c r="AC63" s="43"/>
    </row>
    <row r="64" spans="2:29" x14ac:dyDescent="0.25">
      <c r="B64" s="263" t="s">
        <v>179</v>
      </c>
      <c r="C64" s="12" t="s">
        <v>180</v>
      </c>
      <c r="D64" s="12" t="s">
        <v>47</v>
      </c>
      <c r="E64" s="208" t="s">
        <v>59</v>
      </c>
      <c r="F64" s="208" t="s">
        <v>56</v>
      </c>
      <c r="G64" s="27" t="s">
        <v>50</v>
      </c>
      <c r="H64" s="27" t="s">
        <v>50</v>
      </c>
      <c r="I64" s="27" t="s">
        <v>51</v>
      </c>
      <c r="J64" s="27" t="s">
        <v>50</v>
      </c>
      <c r="K64" s="27" t="s">
        <v>50</v>
      </c>
      <c r="L64" s="114"/>
      <c r="M64" s="114"/>
      <c r="N64" s="114"/>
      <c r="O64" s="114"/>
      <c r="P64" s="114"/>
      <c r="Q64" s="114"/>
      <c r="R64" s="114"/>
      <c r="S64" s="114" t="s">
        <v>50</v>
      </c>
      <c r="T64" s="114" t="s">
        <v>50</v>
      </c>
      <c r="U64" s="141" t="s">
        <v>52</v>
      </c>
      <c r="V64" s="114" t="s">
        <v>52</v>
      </c>
      <c r="W64" s="141" t="s">
        <v>52</v>
      </c>
      <c r="X64" s="421">
        <f>VLOOKUP(Table29[[#This Row],[Country Codes]],GHG!$A$8:$E$203,4,FALSE)</f>
        <v>6.9820980789903002</v>
      </c>
      <c r="Y64" s="421">
        <f>VLOOKUP(Table29[[#This Row],[Country Codes]],GHG!$A$8:$E$203,3,FALSE)</f>
        <v>0.54145530040743117</v>
      </c>
      <c r="AC64" s="43"/>
    </row>
    <row r="65" spans="2:29" x14ac:dyDescent="0.25">
      <c r="B65" s="263" t="s">
        <v>181</v>
      </c>
      <c r="C65" s="12" t="s">
        <v>182</v>
      </c>
      <c r="D65" s="12" t="s">
        <v>47</v>
      </c>
      <c r="E65" s="208" t="s">
        <v>59</v>
      </c>
      <c r="F65" s="208" t="s">
        <v>49</v>
      </c>
      <c r="G65" s="27" t="s">
        <v>50</v>
      </c>
      <c r="H65" s="27" t="s">
        <v>50</v>
      </c>
      <c r="I65" s="27" t="s">
        <v>51</v>
      </c>
      <c r="J65" s="27" t="s">
        <v>50</v>
      </c>
      <c r="K65" s="27" t="s">
        <v>50</v>
      </c>
      <c r="L65" s="114"/>
      <c r="M65" s="114"/>
      <c r="N65" s="114"/>
      <c r="O65" s="114"/>
      <c r="P65" s="114"/>
      <c r="Q65" s="114"/>
      <c r="R65" s="114"/>
      <c r="S65" s="114" t="s">
        <v>50</v>
      </c>
      <c r="T65" s="114" t="s">
        <v>50</v>
      </c>
      <c r="U65" s="141" t="s">
        <v>52</v>
      </c>
      <c r="V65" s="114" t="s">
        <v>52</v>
      </c>
      <c r="W65" s="141" t="s">
        <v>52</v>
      </c>
      <c r="X65" s="421">
        <f>VLOOKUP(Table29[[#This Row],[Country Codes]],GHG!$A$8:$E$203,4,FALSE)</f>
        <v>6.4018203690061002</v>
      </c>
      <c r="Y65" s="421">
        <f>VLOOKUP(Table29[[#This Row],[Country Codes]],GHG!$A$8:$E$203,3,FALSE)</f>
        <v>0.2140694731903762</v>
      </c>
      <c r="AC65" s="42"/>
    </row>
    <row r="66" spans="2:29" x14ac:dyDescent="0.25">
      <c r="B66" s="263" t="s">
        <v>183</v>
      </c>
      <c r="C66" s="12" t="s">
        <v>184</v>
      </c>
      <c r="D66" s="12" t="s">
        <v>78</v>
      </c>
      <c r="E66" s="208" t="s">
        <v>55</v>
      </c>
      <c r="F66" s="208" t="s">
        <v>63</v>
      </c>
      <c r="G66" s="27" t="s">
        <v>50</v>
      </c>
      <c r="H66" s="27" t="s">
        <v>50</v>
      </c>
      <c r="I66" s="27" t="s">
        <v>28</v>
      </c>
      <c r="J66" s="27" t="s">
        <v>29</v>
      </c>
      <c r="K66" s="27" t="s">
        <v>50</v>
      </c>
      <c r="L66" s="114"/>
      <c r="M66" s="114"/>
      <c r="N66" s="114"/>
      <c r="O66" s="114"/>
      <c r="P66" s="114"/>
      <c r="Q66" s="114"/>
      <c r="R66" s="114"/>
      <c r="S66" s="114" t="s">
        <v>64</v>
      </c>
      <c r="T66" s="114" t="s">
        <v>64</v>
      </c>
      <c r="U66" s="141" t="s">
        <v>83</v>
      </c>
      <c r="V66" s="114">
        <v>2035</v>
      </c>
      <c r="W66" s="141" t="s">
        <v>84</v>
      </c>
      <c r="X66" s="421">
        <f>VLOOKUP(Table29[[#This Row],[Country Codes]],GHG!$A$8:$E$203,4,FALSE)</f>
        <v>14.363974872585</v>
      </c>
      <c r="Y66" s="421">
        <f>VLOOKUP(Table29[[#This Row],[Country Codes]],GHG!$A$8:$E$203,3,FALSE)</f>
        <v>2.3914920622498892</v>
      </c>
      <c r="AC66" s="42"/>
    </row>
    <row r="67" spans="2:29" x14ac:dyDescent="0.25">
      <c r="B67" s="263" t="s">
        <v>185</v>
      </c>
      <c r="C67" s="12" t="s">
        <v>186</v>
      </c>
      <c r="D67" s="12" t="s">
        <v>47</v>
      </c>
      <c r="E67" s="208" t="s">
        <v>59</v>
      </c>
      <c r="F67" s="208" t="s">
        <v>56</v>
      </c>
      <c r="G67" s="27" t="s">
        <v>50</v>
      </c>
      <c r="H67" s="27" t="s">
        <v>50</v>
      </c>
      <c r="I67" s="27" t="s">
        <v>51</v>
      </c>
      <c r="J67" s="27" t="s">
        <v>50</v>
      </c>
      <c r="K67" s="27" t="s">
        <v>50</v>
      </c>
      <c r="L67" s="114"/>
      <c r="M67" s="114"/>
      <c r="N67" s="114"/>
      <c r="O67" s="114"/>
      <c r="P67" s="114"/>
      <c r="Q67" s="114"/>
      <c r="R67" s="114"/>
      <c r="S67" s="114" t="s">
        <v>50</v>
      </c>
      <c r="T67" s="114" t="s">
        <v>50</v>
      </c>
      <c r="U67" s="141" t="s">
        <v>52</v>
      </c>
      <c r="V67" s="114" t="s">
        <v>52</v>
      </c>
      <c r="W67" s="141" t="s">
        <v>52</v>
      </c>
      <c r="X67" s="421">
        <f>VLOOKUP(Table29[[#This Row],[Country Codes]],GHG!$A$8:$E$203,4,FALSE)</f>
        <v>3.2895503749739001</v>
      </c>
      <c r="Y67" s="421">
        <f>VLOOKUP(Table29[[#This Row],[Country Codes]],GHG!$A$8:$E$203,3,FALSE)</f>
        <v>0.8680947820135414</v>
      </c>
      <c r="AC67" s="42"/>
    </row>
    <row r="68" spans="2:29" x14ac:dyDescent="0.25">
      <c r="B68" s="263" t="s">
        <v>187</v>
      </c>
      <c r="C68" s="12" t="s">
        <v>188</v>
      </c>
      <c r="D68" s="12" t="s">
        <v>47</v>
      </c>
      <c r="E68" s="208" t="s">
        <v>59</v>
      </c>
      <c r="F68" s="208" t="s">
        <v>49</v>
      </c>
      <c r="G68" s="27" t="s">
        <v>50</v>
      </c>
      <c r="H68" s="27" t="s">
        <v>50</v>
      </c>
      <c r="I68" s="27" t="s">
        <v>51</v>
      </c>
      <c r="J68" s="27" t="s">
        <v>50</v>
      </c>
      <c r="K68" s="27" t="s">
        <v>50</v>
      </c>
      <c r="L68" s="114"/>
      <c r="M68" s="114"/>
      <c r="N68" s="114"/>
      <c r="O68" s="114"/>
      <c r="P68" s="114"/>
      <c r="Q68" s="114"/>
      <c r="R68" s="114"/>
      <c r="S68" s="114" t="s">
        <v>64</v>
      </c>
      <c r="T68" s="114" t="s">
        <v>50</v>
      </c>
      <c r="U68" s="141" t="s">
        <v>52</v>
      </c>
      <c r="V68" s="114" t="s">
        <v>52</v>
      </c>
      <c r="W68" s="141" t="s">
        <v>52</v>
      </c>
      <c r="X68" s="421">
        <f>VLOOKUP(Table29[[#This Row],[Country Codes]],GHG!$A$8:$E$203,4,FALSE)</f>
        <v>170.03385065136999</v>
      </c>
      <c r="Y68" s="421">
        <f>VLOOKUP(Table29[[#This Row],[Country Codes]],GHG!$A$8:$E$203,3,FALSE)</f>
        <v>6.7537831121432941</v>
      </c>
      <c r="AC68" s="42"/>
    </row>
    <row r="69" spans="2:29" x14ac:dyDescent="0.25">
      <c r="B69" s="1" t="s">
        <v>189</v>
      </c>
      <c r="C69" t="s">
        <v>190</v>
      </c>
      <c r="D69" t="s">
        <v>78</v>
      </c>
      <c r="E69" s="27" t="s">
        <v>55</v>
      </c>
      <c r="F69" s="27" t="s">
        <v>147</v>
      </c>
      <c r="G69" s="27" t="s">
        <v>26</v>
      </c>
      <c r="H69" s="27" t="s">
        <v>50</v>
      </c>
      <c r="I69" s="27" t="s">
        <v>51</v>
      </c>
      <c r="J69" s="27" t="s">
        <v>50</v>
      </c>
      <c r="K69" s="27" t="s">
        <v>50</v>
      </c>
      <c r="L69" s="114"/>
      <c r="M69" s="114" t="s">
        <v>80</v>
      </c>
      <c r="N69" s="114"/>
      <c r="O69" s="114"/>
      <c r="P69" s="114"/>
      <c r="Q69" s="114"/>
      <c r="R69" s="114"/>
      <c r="S69" s="114" t="s">
        <v>64</v>
      </c>
      <c r="T69" s="114" t="s">
        <v>64</v>
      </c>
      <c r="U69" s="141" t="s">
        <v>83</v>
      </c>
      <c r="V69" s="114">
        <v>2035</v>
      </c>
      <c r="W69" s="141" t="s">
        <v>71</v>
      </c>
      <c r="X69" s="421" t="e">
        <f>VLOOKUP(Table29[[#This Row],[Country Codes]],GHG!$A$8:$E$203,4,FALSE)</f>
        <v>#N/A</v>
      </c>
      <c r="Y69" s="421" t="e">
        <f>VLOOKUP(Table29[[#This Row],[Country Codes]],GHG!$A$8:$E$203,3,FALSE)</f>
        <v>#N/A</v>
      </c>
      <c r="AC69" s="43"/>
    </row>
    <row r="70" spans="2:29" x14ac:dyDescent="0.25">
      <c r="B70" s="263" t="s">
        <v>191</v>
      </c>
      <c r="C70" s="12" t="s">
        <v>192</v>
      </c>
      <c r="D70" s="12" t="s">
        <v>47</v>
      </c>
      <c r="E70" s="208" t="s">
        <v>79</v>
      </c>
      <c r="F70" s="208" t="s">
        <v>56</v>
      </c>
      <c r="G70" s="27" t="s">
        <v>50</v>
      </c>
      <c r="H70" s="27" t="s">
        <v>50</v>
      </c>
      <c r="I70" s="27" t="s">
        <v>51</v>
      </c>
      <c r="J70" s="27" t="s">
        <v>50</v>
      </c>
      <c r="K70" s="27" t="s">
        <v>50</v>
      </c>
      <c r="L70" s="114"/>
      <c r="M70" s="114"/>
      <c r="N70" s="114"/>
      <c r="O70" s="114" t="s">
        <v>80</v>
      </c>
      <c r="P70" s="114"/>
      <c r="Q70" s="114"/>
      <c r="R70" s="114"/>
      <c r="S70" s="114" t="s">
        <v>64</v>
      </c>
      <c r="T70" s="114" t="s">
        <v>50</v>
      </c>
      <c r="U70" s="141" t="s">
        <v>52</v>
      </c>
      <c r="V70" s="114" t="s">
        <v>52</v>
      </c>
      <c r="W70" s="141" t="s">
        <v>52</v>
      </c>
      <c r="X70" s="421">
        <f>VLOOKUP(Table29[[#This Row],[Country Codes]],GHG!$A$8:$E$203,4,FALSE)</f>
        <v>3.4009927758626</v>
      </c>
      <c r="Y70" s="421">
        <f>VLOOKUP(Table29[[#This Row],[Country Codes]],GHG!$A$8:$E$203,3,FALSE)</f>
        <v>1.126237744382208</v>
      </c>
      <c r="AC70" s="43"/>
    </row>
    <row r="71" spans="2:29" x14ac:dyDescent="0.25">
      <c r="B71" s="263" t="s">
        <v>193</v>
      </c>
      <c r="C71" s="12" t="s">
        <v>194</v>
      </c>
      <c r="D71" s="12" t="s">
        <v>78</v>
      </c>
      <c r="E71" s="208" t="s">
        <v>55</v>
      </c>
      <c r="F71" s="208" t="s">
        <v>63</v>
      </c>
      <c r="G71" s="27" t="s">
        <v>50</v>
      </c>
      <c r="H71" s="27" t="s">
        <v>50</v>
      </c>
      <c r="I71" s="27" t="s">
        <v>28</v>
      </c>
      <c r="J71" s="27" t="s">
        <v>29</v>
      </c>
      <c r="K71" s="27" t="s">
        <v>50</v>
      </c>
      <c r="L71" s="114" t="s">
        <v>80</v>
      </c>
      <c r="M71" s="114" t="s">
        <v>80</v>
      </c>
      <c r="N71" s="114" t="s">
        <v>80</v>
      </c>
      <c r="O71" s="114" t="s">
        <v>80</v>
      </c>
      <c r="P71" s="114" t="s">
        <v>80</v>
      </c>
      <c r="Q71" s="114"/>
      <c r="R71" s="114" t="s">
        <v>80</v>
      </c>
      <c r="S71" s="114" t="s">
        <v>64</v>
      </c>
      <c r="T71" s="114" t="s">
        <v>64</v>
      </c>
      <c r="U71" s="141" t="s">
        <v>83</v>
      </c>
      <c r="V71" s="114">
        <v>2035</v>
      </c>
      <c r="W71" s="141" t="s">
        <v>84</v>
      </c>
      <c r="X71" s="421">
        <f>VLOOKUP(Table29[[#This Row],[Country Codes]],GHG!$A$8:$E$203,4,FALSE)</f>
        <v>43.453536797250003</v>
      </c>
      <c r="Y71" s="421">
        <f>VLOOKUP(Table29[[#This Row],[Country Codes]],GHG!$A$8:$E$203,3,FALSE)</f>
        <v>9.0648298110143131</v>
      </c>
      <c r="AC71" s="43"/>
    </row>
    <row r="72" spans="2:29" x14ac:dyDescent="0.25">
      <c r="B72" s="263" t="s">
        <v>195</v>
      </c>
      <c r="C72" s="12" t="s">
        <v>196</v>
      </c>
      <c r="D72" s="12" t="s">
        <v>78</v>
      </c>
      <c r="E72" s="208" t="s">
        <v>55</v>
      </c>
      <c r="F72" s="208" t="s">
        <v>63</v>
      </c>
      <c r="G72" s="27" t="s">
        <v>26</v>
      </c>
      <c r="H72" s="27" t="s">
        <v>27</v>
      </c>
      <c r="I72" s="27" t="s">
        <v>28</v>
      </c>
      <c r="J72" s="27" t="s">
        <v>29</v>
      </c>
      <c r="K72" s="27" t="s">
        <v>50</v>
      </c>
      <c r="L72" s="114"/>
      <c r="M72" s="114" t="s">
        <v>80</v>
      </c>
      <c r="N72" s="114" t="s">
        <v>80</v>
      </c>
      <c r="O72" s="114" t="s">
        <v>80</v>
      </c>
      <c r="P72" s="114"/>
      <c r="Q72" s="114" t="s">
        <v>80</v>
      </c>
      <c r="R72" s="114" t="s">
        <v>80</v>
      </c>
      <c r="S72" s="114" t="s">
        <v>64</v>
      </c>
      <c r="T72" s="114" t="s">
        <v>64</v>
      </c>
      <c r="U72" s="141" t="s">
        <v>83</v>
      </c>
      <c r="V72" s="114">
        <v>2035</v>
      </c>
      <c r="W72" s="141" t="s">
        <v>84</v>
      </c>
      <c r="X72" s="421">
        <f>VLOOKUP(Table29[[#This Row],[Country Codes]],GHG!$A$8:$E$203,4,FALSE)</f>
        <v>385.52011950564003</v>
      </c>
      <c r="Y72" s="421">
        <f>VLOOKUP(Table29[[#This Row],[Country Codes]],GHG!$A$8:$E$203,3,FALSE)</f>
        <v>123.5644117217294</v>
      </c>
      <c r="AC72" s="43"/>
    </row>
    <row r="73" spans="2:29" x14ac:dyDescent="0.25">
      <c r="B73" s="263" t="s">
        <v>197</v>
      </c>
      <c r="C73" s="12" t="s">
        <v>198</v>
      </c>
      <c r="D73" s="12" t="s">
        <v>47</v>
      </c>
      <c r="E73" s="208" t="s">
        <v>59</v>
      </c>
      <c r="F73" s="208" t="s">
        <v>56</v>
      </c>
      <c r="G73" s="27" t="s">
        <v>50</v>
      </c>
      <c r="H73" s="27" t="s">
        <v>50</v>
      </c>
      <c r="I73" s="27" t="s">
        <v>51</v>
      </c>
      <c r="J73" s="27" t="s">
        <v>50</v>
      </c>
      <c r="K73" s="27" t="s">
        <v>50</v>
      </c>
      <c r="L73" s="114"/>
      <c r="M73" s="114"/>
      <c r="N73" s="114"/>
      <c r="O73" s="114"/>
      <c r="P73" s="114"/>
      <c r="Q73" s="114"/>
      <c r="R73" s="114"/>
      <c r="S73" s="114" t="s">
        <v>64</v>
      </c>
      <c r="T73" s="114" t="s">
        <v>50</v>
      </c>
      <c r="U73" s="141" t="s">
        <v>52</v>
      </c>
      <c r="V73" s="114" t="s">
        <v>52</v>
      </c>
      <c r="W73" s="141" t="s">
        <v>52</v>
      </c>
      <c r="X73" s="421">
        <f>VLOOKUP(Table29[[#This Row],[Country Codes]],GHG!$A$8:$E$203,4,FALSE)</f>
        <v>21.402080428809001</v>
      </c>
      <c r="Y73" s="421">
        <f>VLOOKUP(Table29[[#This Row],[Country Codes]],GHG!$A$8:$E$203,3,FALSE)</f>
        <v>0.2169319598307908</v>
      </c>
      <c r="AC73" s="43"/>
    </row>
    <row r="74" spans="2:29" x14ac:dyDescent="0.25">
      <c r="B74" s="263" t="s">
        <v>199</v>
      </c>
      <c r="C74" s="12" t="s">
        <v>200</v>
      </c>
      <c r="D74" s="12" t="s">
        <v>47</v>
      </c>
      <c r="E74" s="208" t="s">
        <v>59</v>
      </c>
      <c r="F74" s="208" t="s">
        <v>49</v>
      </c>
      <c r="G74" s="27" t="s">
        <v>50</v>
      </c>
      <c r="H74" s="27" t="s">
        <v>50</v>
      </c>
      <c r="I74" s="27" t="s">
        <v>51</v>
      </c>
      <c r="J74" s="27" t="s">
        <v>50</v>
      </c>
      <c r="K74" s="27" t="s">
        <v>50</v>
      </c>
      <c r="L74" s="114"/>
      <c r="M74" s="114"/>
      <c r="N74" s="114"/>
      <c r="O74" s="114"/>
      <c r="P74" s="114"/>
      <c r="Q74" s="114"/>
      <c r="R74" s="114"/>
      <c r="S74" s="114" t="s">
        <v>64</v>
      </c>
      <c r="T74" s="114" t="s">
        <v>50</v>
      </c>
      <c r="U74" s="141" t="s">
        <v>52</v>
      </c>
      <c r="V74" s="114" t="s">
        <v>52</v>
      </c>
      <c r="W74" s="141" t="s">
        <v>52</v>
      </c>
      <c r="X74" s="421">
        <f>VLOOKUP(Table29[[#This Row],[Country Codes]],GHG!$A$8:$E$203,4,FALSE)</f>
        <v>1.8888012914382</v>
      </c>
      <c r="Y74" s="421">
        <f>VLOOKUP(Table29[[#This Row],[Country Codes]],GHG!$A$8:$E$203,3,FALSE)</f>
        <v>0.35129125057719468</v>
      </c>
      <c r="AC74" s="43"/>
    </row>
    <row r="75" spans="2:29" x14ac:dyDescent="0.25">
      <c r="B75" s="263" t="s">
        <v>201</v>
      </c>
      <c r="C75" s="12" t="s">
        <v>202</v>
      </c>
      <c r="D75" s="12" t="s">
        <v>47</v>
      </c>
      <c r="E75" s="208" t="s">
        <v>48</v>
      </c>
      <c r="F75" s="208" t="s">
        <v>56</v>
      </c>
      <c r="G75" s="27" t="s">
        <v>50</v>
      </c>
      <c r="H75" s="27" t="s">
        <v>50</v>
      </c>
      <c r="I75" s="27" t="s">
        <v>51</v>
      </c>
      <c r="J75" s="27" t="s">
        <v>50</v>
      </c>
      <c r="K75" s="27" t="s">
        <v>50</v>
      </c>
      <c r="L75" s="114"/>
      <c r="M75" s="114"/>
      <c r="N75" s="114"/>
      <c r="O75" s="114"/>
      <c r="P75" s="114"/>
      <c r="Q75" s="114"/>
      <c r="R75" s="114"/>
      <c r="S75" s="114" t="s">
        <v>64</v>
      </c>
      <c r="T75" s="114" t="s">
        <v>50</v>
      </c>
      <c r="U75" s="141" t="s">
        <v>52</v>
      </c>
      <c r="V75" s="114" t="s">
        <v>52</v>
      </c>
      <c r="W75" s="141" t="s">
        <v>52</v>
      </c>
      <c r="X75" s="421">
        <f>VLOOKUP(Table29[[#This Row],[Country Codes]],GHG!$A$8:$E$203,4,FALSE)</f>
        <v>19.049153820466</v>
      </c>
      <c r="Y75" s="421">
        <f>VLOOKUP(Table29[[#This Row],[Country Codes]],GHG!$A$8:$E$203,3,FALSE)</f>
        <v>4.506874760733476</v>
      </c>
      <c r="AC75" s="43"/>
    </row>
    <row r="76" spans="2:29" x14ac:dyDescent="0.25">
      <c r="B76" s="263" t="s">
        <v>203</v>
      </c>
      <c r="C76" s="12" t="s">
        <v>204</v>
      </c>
      <c r="D76" s="12" t="s">
        <v>78</v>
      </c>
      <c r="E76" s="208" t="s">
        <v>55</v>
      </c>
      <c r="F76" s="208" t="s">
        <v>63</v>
      </c>
      <c r="G76" s="27" t="s">
        <v>26</v>
      </c>
      <c r="H76" s="27" t="s">
        <v>27</v>
      </c>
      <c r="I76" s="27" t="s">
        <v>28</v>
      </c>
      <c r="J76" s="27" t="s">
        <v>29</v>
      </c>
      <c r="K76" s="27" t="s">
        <v>50</v>
      </c>
      <c r="L76" s="114"/>
      <c r="M76" s="114" t="s">
        <v>80</v>
      </c>
      <c r="N76" s="114"/>
      <c r="O76" s="114" t="s">
        <v>80</v>
      </c>
      <c r="P76" s="114"/>
      <c r="Q76" s="114"/>
      <c r="R76" s="114"/>
      <c r="S76" s="114" t="s">
        <v>64</v>
      </c>
      <c r="T76" s="114" t="s">
        <v>64</v>
      </c>
      <c r="U76" s="141" t="s">
        <v>83</v>
      </c>
      <c r="V76" s="114">
        <v>2035</v>
      </c>
      <c r="W76" s="141" t="s">
        <v>84</v>
      </c>
      <c r="X76" s="421">
        <f>VLOOKUP(Table29[[#This Row],[Country Codes]],GHG!$A$8:$E$203,4,FALSE)</f>
        <v>681.81032815186995</v>
      </c>
      <c r="Y76" s="421">
        <f>VLOOKUP(Table29[[#This Row],[Country Codes]],GHG!$A$8:$E$203,3,FALSE)</f>
        <v>141.2568578412648</v>
      </c>
      <c r="AC76" s="43"/>
    </row>
    <row r="77" spans="2:29" x14ac:dyDescent="0.25">
      <c r="B77" s="263" t="s">
        <v>205</v>
      </c>
      <c r="C77" s="12" t="s">
        <v>206</v>
      </c>
      <c r="D77" s="12" t="s">
        <v>47</v>
      </c>
      <c r="E77" s="208" t="s">
        <v>59</v>
      </c>
      <c r="F77" s="208" t="s">
        <v>56</v>
      </c>
      <c r="G77" s="27" t="s">
        <v>50</v>
      </c>
      <c r="H77" s="27" t="s">
        <v>50</v>
      </c>
      <c r="I77" s="27" t="s">
        <v>51</v>
      </c>
      <c r="J77" s="27" t="s">
        <v>50</v>
      </c>
      <c r="K77" s="27" t="s">
        <v>50</v>
      </c>
      <c r="L77" s="114" t="s">
        <v>80</v>
      </c>
      <c r="M77" s="114"/>
      <c r="N77" s="114"/>
      <c r="O77" s="114"/>
      <c r="P77" s="114"/>
      <c r="Q77" s="114"/>
      <c r="R77" s="114"/>
      <c r="S77" s="114" t="s">
        <v>64</v>
      </c>
      <c r="T77" s="114" t="s">
        <v>50</v>
      </c>
      <c r="U77" s="141" t="s">
        <v>52</v>
      </c>
      <c r="V77" s="114" t="s">
        <v>52</v>
      </c>
      <c r="W77" s="141" t="s">
        <v>52</v>
      </c>
      <c r="X77" s="421">
        <f>VLOOKUP(Table29[[#This Row],[Country Codes]],GHG!$A$8:$E$203,4,FALSE)</f>
        <v>48.265926450338</v>
      </c>
      <c r="Y77" s="421">
        <f>VLOOKUP(Table29[[#This Row],[Country Codes]],GHG!$A$8:$E$203,3,FALSE)</f>
        <v>9.2203647608909662</v>
      </c>
      <c r="AC77" s="43"/>
    </row>
    <row r="78" spans="2:29" x14ac:dyDescent="0.25">
      <c r="B78" s="263" t="s">
        <v>207</v>
      </c>
      <c r="C78" s="12" t="s">
        <v>208</v>
      </c>
      <c r="D78" s="12" t="s">
        <v>78</v>
      </c>
      <c r="E78" s="208" t="s">
        <v>55</v>
      </c>
      <c r="F78" s="208" t="s">
        <v>63</v>
      </c>
      <c r="G78" s="27" t="s">
        <v>50</v>
      </c>
      <c r="H78" s="27" t="s">
        <v>50</v>
      </c>
      <c r="I78" s="27" t="s">
        <v>28</v>
      </c>
      <c r="J78" s="27" t="s">
        <v>29</v>
      </c>
      <c r="K78" s="27" t="s">
        <v>50</v>
      </c>
      <c r="L78" s="114"/>
      <c r="M78" s="114"/>
      <c r="N78" s="114"/>
      <c r="O78" s="114"/>
      <c r="P78" s="114"/>
      <c r="Q78" s="114"/>
      <c r="R78" s="114"/>
      <c r="S78" s="114" t="s">
        <v>64</v>
      </c>
      <c r="T78" s="114" t="s">
        <v>64</v>
      </c>
      <c r="U78" s="141" t="s">
        <v>83</v>
      </c>
      <c r="V78" s="114">
        <v>2035</v>
      </c>
      <c r="W78" s="141" t="s">
        <v>84</v>
      </c>
      <c r="X78" s="421">
        <f>VLOOKUP(Table29[[#This Row],[Country Codes]],GHG!$A$8:$E$203,4,FALSE)</f>
        <v>69.266029551594997</v>
      </c>
      <c r="Y78" s="421">
        <f>VLOOKUP(Table29[[#This Row],[Country Codes]],GHG!$A$8:$E$203,3,FALSE)</f>
        <v>17.759552826548202</v>
      </c>
      <c r="AC78" s="43"/>
    </row>
    <row r="79" spans="2:29" x14ac:dyDescent="0.25">
      <c r="B79" s="263" t="s">
        <v>209</v>
      </c>
      <c r="C79" s="12" t="s">
        <v>210</v>
      </c>
      <c r="D79" s="12" t="s">
        <v>47</v>
      </c>
      <c r="E79" s="208" t="s">
        <v>69</v>
      </c>
      <c r="F79" s="208" t="s">
        <v>56</v>
      </c>
      <c r="G79" s="27" t="s">
        <v>50</v>
      </c>
      <c r="H79" s="27" t="s">
        <v>50</v>
      </c>
      <c r="I79" s="27" t="s">
        <v>51</v>
      </c>
      <c r="J79" s="27" t="s">
        <v>50</v>
      </c>
      <c r="K79" s="27" t="s">
        <v>50</v>
      </c>
      <c r="L79" s="114"/>
      <c r="M79" s="114"/>
      <c r="N79" s="114"/>
      <c r="O79" s="114"/>
      <c r="P79" s="114"/>
      <c r="Q79" s="114"/>
      <c r="R79" s="114"/>
      <c r="S79" s="114" t="s">
        <v>50</v>
      </c>
      <c r="T79" s="114" t="s">
        <v>50</v>
      </c>
      <c r="U79" s="141" t="s">
        <v>52</v>
      </c>
      <c r="V79" s="114" t="s">
        <v>52</v>
      </c>
      <c r="W79" s="141" t="s">
        <v>52</v>
      </c>
      <c r="X79" s="421">
        <f>VLOOKUP(Table29[[#This Row],[Country Codes]],GHG!$A$8:$E$203,4,FALSE)</f>
        <v>0.20040725685748001</v>
      </c>
      <c r="Y79" s="421">
        <f>VLOOKUP(Table29[[#This Row],[Country Codes]],GHG!$A$8:$E$203,3,FALSE)</f>
        <v>5.0827063801383333E-2</v>
      </c>
      <c r="AC79" s="43"/>
    </row>
    <row r="80" spans="2:29" x14ac:dyDescent="0.25">
      <c r="B80" s="263" t="s">
        <v>211</v>
      </c>
      <c r="C80" s="12" t="s">
        <v>212</v>
      </c>
      <c r="D80" s="12" t="s">
        <v>47</v>
      </c>
      <c r="E80" s="208" t="s">
        <v>69</v>
      </c>
      <c r="F80" s="208" t="s">
        <v>56</v>
      </c>
      <c r="G80" s="27" t="s">
        <v>50</v>
      </c>
      <c r="H80" s="27" t="s">
        <v>50</v>
      </c>
      <c r="I80" s="27" t="s">
        <v>51</v>
      </c>
      <c r="J80" s="27" t="s">
        <v>50</v>
      </c>
      <c r="K80" s="27" t="s">
        <v>50</v>
      </c>
      <c r="L80" s="114"/>
      <c r="M80" s="114"/>
      <c r="N80" s="114"/>
      <c r="O80" s="114"/>
      <c r="P80" s="114"/>
      <c r="Q80" s="114"/>
      <c r="R80" s="114"/>
      <c r="S80" s="114" t="s">
        <v>50</v>
      </c>
      <c r="T80" s="114" t="s">
        <v>50</v>
      </c>
      <c r="U80" s="141" t="s">
        <v>52</v>
      </c>
      <c r="V80" s="114" t="s">
        <v>52</v>
      </c>
      <c r="W80" s="141" t="s">
        <v>52</v>
      </c>
      <c r="X80" s="421">
        <f>VLOOKUP(Table29[[#This Row],[Country Codes]],GHG!$A$8:$E$203,4,FALSE)</f>
        <v>43.981074467992002</v>
      </c>
      <c r="Y80" s="421">
        <f>VLOOKUP(Table29[[#This Row],[Country Codes]],GHG!$A$8:$E$203,3,FALSE)</f>
        <v>11.70609674588653</v>
      </c>
      <c r="AC80" s="43"/>
    </row>
    <row r="81" spans="2:29" x14ac:dyDescent="0.25">
      <c r="B81" s="263" t="s">
        <v>213</v>
      </c>
      <c r="C81" s="12" t="s">
        <v>214</v>
      </c>
      <c r="D81" s="12" t="s">
        <v>47</v>
      </c>
      <c r="E81" s="208" t="s">
        <v>59</v>
      </c>
      <c r="F81" s="208" t="s">
        <v>49</v>
      </c>
      <c r="G81" s="27" t="s">
        <v>50</v>
      </c>
      <c r="H81" s="27" t="s">
        <v>50</v>
      </c>
      <c r="I81" s="27" t="s">
        <v>51</v>
      </c>
      <c r="J81" s="27" t="s">
        <v>50</v>
      </c>
      <c r="K81" s="27" t="s">
        <v>50</v>
      </c>
      <c r="L81" s="114"/>
      <c r="M81" s="114"/>
      <c r="N81" s="114"/>
      <c r="O81" s="114"/>
      <c r="P81" s="114"/>
      <c r="Q81" s="114"/>
      <c r="R81" s="114"/>
      <c r="S81" s="114" t="s">
        <v>50</v>
      </c>
      <c r="T81" s="114" t="s">
        <v>50</v>
      </c>
      <c r="U81" s="141" t="s">
        <v>52</v>
      </c>
      <c r="V81" s="114" t="s">
        <v>52</v>
      </c>
      <c r="W81" s="141" t="s">
        <v>52</v>
      </c>
      <c r="X81" s="421">
        <f>VLOOKUP(Table29[[#This Row],[Country Codes]],GHG!$A$8:$E$203,4,FALSE)</f>
        <v>28.634657504101</v>
      </c>
      <c r="Y81" s="421">
        <f>VLOOKUP(Table29[[#This Row],[Country Codes]],GHG!$A$8:$E$203,3,FALSE)</f>
        <v>1.791571476776437</v>
      </c>
      <c r="AC81" s="43"/>
    </row>
    <row r="82" spans="2:29" x14ac:dyDescent="0.25">
      <c r="B82" s="263" t="s">
        <v>215</v>
      </c>
      <c r="C82" s="12" t="s">
        <v>216</v>
      </c>
      <c r="D82" s="12" t="s">
        <v>47</v>
      </c>
      <c r="E82" s="208" t="s">
        <v>59</v>
      </c>
      <c r="F82" s="208" t="s">
        <v>49</v>
      </c>
      <c r="G82" s="27" t="s">
        <v>50</v>
      </c>
      <c r="H82" s="27" t="s">
        <v>50</v>
      </c>
      <c r="I82" s="27" t="s">
        <v>51</v>
      </c>
      <c r="J82" s="27" t="s">
        <v>50</v>
      </c>
      <c r="K82" s="27" t="s">
        <v>50</v>
      </c>
      <c r="L82" s="114"/>
      <c r="M82" s="114" t="s">
        <v>80</v>
      </c>
      <c r="N82" s="114"/>
      <c r="O82" s="114"/>
      <c r="P82" s="114"/>
      <c r="Q82" s="114"/>
      <c r="R82" s="114"/>
      <c r="S82" s="114" t="s">
        <v>50</v>
      </c>
      <c r="T82" s="114" t="s">
        <v>50</v>
      </c>
      <c r="U82" s="141" t="s">
        <v>52</v>
      </c>
      <c r="V82" s="114" t="s">
        <v>52</v>
      </c>
      <c r="W82" s="141" t="s">
        <v>52</v>
      </c>
      <c r="X82" s="421">
        <f>VLOOKUP(Table29[[#This Row],[Country Codes]],GHG!$A$8:$E$203,4,FALSE)</f>
        <v>2.9974771167324001</v>
      </c>
      <c r="Y82" s="421">
        <f>VLOOKUP(Table29[[#This Row],[Country Codes]],GHG!$A$8:$E$203,3,FALSE)</f>
        <v>0.19986352177742761</v>
      </c>
      <c r="AC82" s="43"/>
    </row>
    <row r="83" spans="2:29" x14ac:dyDescent="0.25">
      <c r="B83" s="263" t="s">
        <v>217</v>
      </c>
      <c r="C83" s="12" t="s">
        <v>218</v>
      </c>
      <c r="D83" s="12" t="s">
        <v>47</v>
      </c>
      <c r="E83" s="208" t="s">
        <v>69</v>
      </c>
      <c r="F83" s="208" t="s">
        <v>56</v>
      </c>
      <c r="G83" s="27" t="s">
        <v>50</v>
      </c>
      <c r="H83" s="27" t="s">
        <v>50</v>
      </c>
      <c r="I83" s="27" t="s">
        <v>51</v>
      </c>
      <c r="J83" s="27" t="s">
        <v>50</v>
      </c>
      <c r="K83" s="27" t="s">
        <v>50</v>
      </c>
      <c r="L83" s="114"/>
      <c r="M83" s="114"/>
      <c r="N83" s="114"/>
      <c r="O83" s="114"/>
      <c r="P83" s="114"/>
      <c r="Q83" s="114"/>
      <c r="R83" s="114"/>
      <c r="S83" s="114" t="s">
        <v>64</v>
      </c>
      <c r="T83" s="114" t="s">
        <v>50</v>
      </c>
      <c r="U83" s="141" t="s">
        <v>52</v>
      </c>
      <c r="V83" s="114" t="s">
        <v>52</v>
      </c>
      <c r="W83" s="141" t="s">
        <v>52</v>
      </c>
      <c r="X83" s="421">
        <f>VLOOKUP(Table29[[#This Row],[Country Codes]],GHG!$A$8:$E$203,4,FALSE)</f>
        <v>8.1909886010150004</v>
      </c>
      <c r="Y83" s="421">
        <f>VLOOKUP(Table29[[#This Row],[Country Codes]],GHG!$A$8:$E$203,3,FALSE)</f>
        <v>1.0576736759870471</v>
      </c>
      <c r="AC83" s="43"/>
    </row>
    <row r="84" spans="2:29" x14ac:dyDescent="0.25">
      <c r="B84" s="263" t="s">
        <v>219</v>
      </c>
      <c r="C84" s="12" t="s">
        <v>220</v>
      </c>
      <c r="D84" s="12" t="s">
        <v>47</v>
      </c>
      <c r="E84" s="208" t="s">
        <v>69</v>
      </c>
      <c r="F84" s="208" t="s">
        <v>56</v>
      </c>
      <c r="G84" s="27" t="s">
        <v>50</v>
      </c>
      <c r="H84" s="27" t="s">
        <v>50</v>
      </c>
      <c r="I84" s="27" t="s">
        <v>51</v>
      </c>
      <c r="J84" s="27" t="s">
        <v>50</v>
      </c>
      <c r="K84" s="27" t="s">
        <v>50</v>
      </c>
      <c r="L84" s="114"/>
      <c r="M84" s="114"/>
      <c r="N84" s="114"/>
      <c r="O84" s="114"/>
      <c r="P84" s="114"/>
      <c r="Q84" s="114"/>
      <c r="R84" s="114"/>
      <c r="S84" s="114" t="s">
        <v>50</v>
      </c>
      <c r="T84" s="114" t="s">
        <v>50</v>
      </c>
      <c r="U84" s="141" t="s">
        <v>52</v>
      </c>
      <c r="V84" s="114" t="s">
        <v>52</v>
      </c>
      <c r="W84" s="141" t="s">
        <v>52</v>
      </c>
      <c r="X84" s="421">
        <f>VLOOKUP(Table29[[#This Row],[Country Codes]],GHG!$A$8:$E$203,4,FALSE)</f>
        <v>13.656955798463001</v>
      </c>
      <c r="Y84" s="421">
        <f>VLOOKUP(Table29[[#This Row],[Country Codes]],GHG!$A$8:$E$203,3,FALSE)</f>
        <v>1.477654993185334</v>
      </c>
      <c r="AC84" s="42"/>
    </row>
    <row r="85" spans="2:29" x14ac:dyDescent="0.25">
      <c r="B85" s="263" t="s">
        <v>221</v>
      </c>
      <c r="C85" s="12" t="s">
        <v>222</v>
      </c>
      <c r="D85" s="12" t="s">
        <v>47</v>
      </c>
      <c r="E85" s="208" t="s">
        <v>69</v>
      </c>
      <c r="F85" s="208" t="s">
        <v>56</v>
      </c>
      <c r="G85" s="27" t="s">
        <v>50</v>
      </c>
      <c r="H85" s="27" t="s">
        <v>50</v>
      </c>
      <c r="I85" s="27" t="s">
        <v>51</v>
      </c>
      <c r="J85" s="27" t="s">
        <v>50</v>
      </c>
      <c r="K85" s="27" t="s">
        <v>50</v>
      </c>
      <c r="L85" s="114"/>
      <c r="M85" s="114"/>
      <c r="N85" s="114"/>
      <c r="O85" s="114"/>
      <c r="P85" s="114"/>
      <c r="Q85" s="114"/>
      <c r="R85" s="114"/>
      <c r="S85" s="114" t="s">
        <v>50</v>
      </c>
      <c r="T85" s="114" t="s">
        <v>50</v>
      </c>
      <c r="U85" s="141" t="s">
        <v>52</v>
      </c>
      <c r="V85" s="114" t="s">
        <v>52</v>
      </c>
      <c r="W85" s="141" t="s">
        <v>52</v>
      </c>
      <c r="X85" s="421">
        <f>VLOOKUP(Table29[[#This Row],[Country Codes]],GHG!$A$8:$E$203,4,FALSE)</f>
        <v>22.920141542444</v>
      </c>
      <c r="Y85" s="421">
        <f>VLOOKUP(Table29[[#This Row],[Country Codes]],GHG!$A$8:$E$203,3,FALSE)</f>
        <v>5.0392120768310251</v>
      </c>
      <c r="AC85" s="43"/>
    </row>
    <row r="86" spans="2:29" x14ac:dyDescent="0.25">
      <c r="B86" s="263" t="s">
        <v>223</v>
      </c>
      <c r="C86" s="12" t="s">
        <v>224</v>
      </c>
      <c r="D86" s="12" t="s">
        <v>78</v>
      </c>
      <c r="E86" s="208" t="s">
        <v>55</v>
      </c>
      <c r="F86" s="208" t="s">
        <v>63</v>
      </c>
      <c r="G86" s="27" t="s">
        <v>50</v>
      </c>
      <c r="H86" s="27" t="s">
        <v>50</v>
      </c>
      <c r="I86" s="27" t="s">
        <v>28</v>
      </c>
      <c r="J86" s="27" t="s">
        <v>29</v>
      </c>
      <c r="K86" s="27" t="s">
        <v>50</v>
      </c>
      <c r="L86" s="114"/>
      <c r="M86" s="114"/>
      <c r="N86" s="114"/>
      <c r="O86" s="114"/>
      <c r="P86" s="114"/>
      <c r="Q86" s="114"/>
      <c r="R86" s="114"/>
      <c r="S86" s="114" t="s">
        <v>64</v>
      </c>
      <c r="T86" s="114" t="s">
        <v>64</v>
      </c>
      <c r="U86" s="141" t="s">
        <v>83</v>
      </c>
      <c r="V86" s="114">
        <v>2035</v>
      </c>
      <c r="W86" s="141" t="s">
        <v>84</v>
      </c>
      <c r="X86" s="421">
        <f>VLOOKUP(Table29[[#This Row],[Country Codes]],GHG!$A$8:$E$203,4,FALSE)</f>
        <v>60.926771856729999</v>
      </c>
      <c r="Y86" s="421">
        <f>VLOOKUP(Table29[[#This Row],[Country Codes]],GHG!$A$8:$E$203,3,FALSE)</f>
        <v>14.39810129879295</v>
      </c>
      <c r="AC86" s="42"/>
    </row>
    <row r="87" spans="2:29" x14ac:dyDescent="0.25">
      <c r="B87" s="263" t="s">
        <v>225</v>
      </c>
      <c r="C87" s="12" t="s">
        <v>226</v>
      </c>
      <c r="D87" s="12" t="s">
        <v>78</v>
      </c>
      <c r="E87" s="208" t="s">
        <v>55</v>
      </c>
      <c r="F87" s="208" t="s">
        <v>63</v>
      </c>
      <c r="G87" s="27" t="s">
        <v>50</v>
      </c>
      <c r="H87" s="27" t="s">
        <v>50</v>
      </c>
      <c r="I87" s="27" t="s">
        <v>28</v>
      </c>
      <c r="J87" s="27" t="s">
        <v>50</v>
      </c>
      <c r="K87" s="27" t="s">
        <v>50</v>
      </c>
      <c r="L87" s="114" t="s">
        <v>80</v>
      </c>
      <c r="M87" s="114"/>
      <c r="N87" s="114"/>
      <c r="O87" s="114"/>
      <c r="P87" s="114"/>
      <c r="Q87" s="114"/>
      <c r="R87" s="114"/>
      <c r="S87" s="114" t="s">
        <v>64</v>
      </c>
      <c r="T87" s="114" t="s">
        <v>64</v>
      </c>
      <c r="U87" s="141" t="s">
        <v>70</v>
      </c>
      <c r="V87" s="114">
        <v>2030</v>
      </c>
      <c r="W87" s="141" t="s">
        <v>227</v>
      </c>
      <c r="X87" s="421">
        <f>VLOOKUP(Table29[[#This Row],[Country Codes]],GHG!$A$8:$E$203,4,FALSE)</f>
        <v>4.171936013462</v>
      </c>
      <c r="Y87" s="421">
        <f>VLOOKUP(Table29[[#This Row],[Country Codes]],GHG!$A$8:$E$203,3,FALSE)</f>
        <v>0.90770990400120422</v>
      </c>
      <c r="AC87" s="42"/>
    </row>
    <row r="88" spans="2:29" x14ac:dyDescent="0.25">
      <c r="B88" s="263" t="s">
        <v>228</v>
      </c>
      <c r="C88" s="12" t="s">
        <v>229</v>
      </c>
      <c r="D88" s="12" t="s">
        <v>47</v>
      </c>
      <c r="E88" s="208" t="s">
        <v>48</v>
      </c>
      <c r="F88" s="208" t="s">
        <v>56</v>
      </c>
      <c r="G88" s="27" t="s">
        <v>26</v>
      </c>
      <c r="H88" s="27" t="s">
        <v>50</v>
      </c>
      <c r="I88" s="27" t="s">
        <v>51</v>
      </c>
      <c r="J88" s="27" t="s">
        <v>50</v>
      </c>
      <c r="K88" s="27" t="s">
        <v>50</v>
      </c>
      <c r="L88" s="114" t="s">
        <v>80</v>
      </c>
      <c r="M88" s="114" t="s">
        <v>80</v>
      </c>
      <c r="N88" s="114"/>
      <c r="O88" s="114"/>
      <c r="P88" s="114"/>
      <c r="Q88" s="114"/>
      <c r="R88" s="114"/>
      <c r="S88" s="114" t="s">
        <v>64</v>
      </c>
      <c r="T88" s="114" t="s">
        <v>50</v>
      </c>
      <c r="U88" s="141" t="s">
        <v>52</v>
      </c>
      <c r="V88" s="114" t="s">
        <v>52</v>
      </c>
      <c r="W88" s="141" t="s">
        <v>52</v>
      </c>
      <c r="X88" s="421">
        <f>VLOOKUP(Table29[[#This Row],[Country Codes]],GHG!$A$8:$E$203,4,FALSE)</f>
        <v>4133.5543557464998</v>
      </c>
      <c r="Y88" s="421">
        <f>VLOOKUP(Table29[[#This Row],[Country Codes]],GHG!$A$8:$E$203,3,FALSE)</f>
        <v>349.27466196453167</v>
      </c>
      <c r="AC88" s="43"/>
    </row>
    <row r="89" spans="2:29" x14ac:dyDescent="0.25">
      <c r="B89" s="263" t="s">
        <v>230</v>
      </c>
      <c r="C89" s="12" t="s">
        <v>231</v>
      </c>
      <c r="D89" s="12" t="s">
        <v>47</v>
      </c>
      <c r="E89" s="208" t="s">
        <v>48</v>
      </c>
      <c r="F89" s="208" t="s">
        <v>56</v>
      </c>
      <c r="G89" s="27" t="s">
        <v>26</v>
      </c>
      <c r="H89" s="27" t="s">
        <v>50</v>
      </c>
      <c r="I89" s="27" t="s">
        <v>51</v>
      </c>
      <c r="J89" s="27" t="s">
        <v>50</v>
      </c>
      <c r="K89" s="27" t="s">
        <v>50</v>
      </c>
      <c r="L89" s="114"/>
      <c r="M89" s="114"/>
      <c r="N89" s="114"/>
      <c r="O89" s="114"/>
      <c r="P89" s="114"/>
      <c r="Q89" s="114"/>
      <c r="R89" s="114"/>
      <c r="S89" s="114" t="s">
        <v>64</v>
      </c>
      <c r="T89" s="114" t="s">
        <v>50</v>
      </c>
      <c r="U89" s="141" t="s">
        <v>52</v>
      </c>
      <c r="V89" s="114" t="s">
        <v>52</v>
      </c>
      <c r="W89" s="141" t="s">
        <v>52</v>
      </c>
      <c r="X89" s="421">
        <f>VLOOKUP(Table29[[#This Row],[Country Codes]],GHG!$A$8:$E$203,4,FALSE)</f>
        <v>1200.1997867973</v>
      </c>
      <c r="Y89" s="421">
        <f>VLOOKUP(Table29[[#This Row],[Country Codes]],GHG!$A$8:$E$203,3,FALSE)</f>
        <v>152.1133830762208</v>
      </c>
      <c r="AC89" s="43"/>
    </row>
    <row r="90" spans="2:29" x14ac:dyDescent="0.25">
      <c r="B90" s="263" t="s">
        <v>232</v>
      </c>
      <c r="C90" s="12" t="s">
        <v>233</v>
      </c>
      <c r="D90" s="12" t="s">
        <v>47</v>
      </c>
      <c r="E90" s="208" t="s">
        <v>48</v>
      </c>
      <c r="F90" s="208" t="s">
        <v>56</v>
      </c>
      <c r="G90" s="27" t="s">
        <v>50</v>
      </c>
      <c r="H90" s="27" t="s">
        <v>50</v>
      </c>
      <c r="I90" s="27" t="s">
        <v>51</v>
      </c>
      <c r="J90" s="27" t="s">
        <v>50</v>
      </c>
      <c r="K90" s="114" t="s">
        <v>60</v>
      </c>
      <c r="L90" s="114"/>
      <c r="M90" s="114"/>
      <c r="N90" s="114"/>
      <c r="O90" s="114"/>
      <c r="P90" s="114"/>
      <c r="Q90" s="114"/>
      <c r="R90" s="114"/>
      <c r="S90" s="114" t="s">
        <v>50</v>
      </c>
      <c r="T90" s="114" t="s">
        <v>50</v>
      </c>
      <c r="U90" s="141" t="s">
        <v>52</v>
      </c>
      <c r="V90" s="114" t="s">
        <v>52</v>
      </c>
      <c r="W90" s="141" t="s">
        <v>52</v>
      </c>
      <c r="X90" s="421">
        <f>VLOOKUP(Table29[[#This Row],[Country Codes]],GHG!$A$8:$E$203,4,FALSE)</f>
        <v>996.75268082289995</v>
      </c>
      <c r="Y90" s="421">
        <f>VLOOKUP(Table29[[#This Row],[Country Codes]],GHG!$A$8:$E$203,3,FALSE)</f>
        <v>145.7059714184546</v>
      </c>
      <c r="AC90" s="43"/>
    </row>
    <row r="91" spans="2:29" x14ac:dyDescent="0.25">
      <c r="B91" s="263" t="s">
        <v>234</v>
      </c>
      <c r="C91" s="12" t="s">
        <v>235</v>
      </c>
      <c r="D91" s="12" t="s">
        <v>47</v>
      </c>
      <c r="E91" s="208" t="s">
        <v>48</v>
      </c>
      <c r="F91" s="208" t="s">
        <v>56</v>
      </c>
      <c r="G91" s="27" t="s">
        <v>50</v>
      </c>
      <c r="H91" s="27" t="s">
        <v>50</v>
      </c>
      <c r="I91" s="27" t="s">
        <v>51</v>
      </c>
      <c r="J91" s="27" t="s">
        <v>50</v>
      </c>
      <c r="K91" s="114" t="s">
        <v>60</v>
      </c>
      <c r="L91" s="114"/>
      <c r="M91" s="114"/>
      <c r="N91" s="114"/>
      <c r="O91" s="114"/>
      <c r="P91" s="114"/>
      <c r="Q91" s="114"/>
      <c r="R91" s="114"/>
      <c r="S91" s="114" t="s">
        <v>50</v>
      </c>
      <c r="T91" s="114" t="s">
        <v>50</v>
      </c>
      <c r="U91" s="141" t="s">
        <v>52</v>
      </c>
      <c r="V91" s="114" t="s">
        <v>52</v>
      </c>
      <c r="W91" s="141" t="s">
        <v>52</v>
      </c>
      <c r="X91" s="421">
        <f>VLOOKUP(Table29[[#This Row],[Country Codes]],GHG!$A$8:$E$203,4,FALSE)</f>
        <v>362.78479656291</v>
      </c>
      <c r="Y91" s="421">
        <f>VLOOKUP(Table29[[#This Row],[Country Codes]],GHG!$A$8:$E$203,3,FALSE)</f>
        <v>40.534963091292582</v>
      </c>
      <c r="AC91" s="43"/>
    </row>
    <row r="92" spans="2:29" x14ac:dyDescent="0.25">
      <c r="B92" s="263" t="s">
        <v>236</v>
      </c>
      <c r="C92" s="12" t="s">
        <v>237</v>
      </c>
      <c r="D92" s="12" t="s">
        <v>78</v>
      </c>
      <c r="E92" s="208" t="s">
        <v>55</v>
      </c>
      <c r="F92" s="208" t="s">
        <v>63</v>
      </c>
      <c r="G92" s="27" t="s">
        <v>50</v>
      </c>
      <c r="H92" s="27" t="s">
        <v>50</v>
      </c>
      <c r="I92" s="27" t="s">
        <v>28</v>
      </c>
      <c r="J92" s="27" t="s">
        <v>29</v>
      </c>
      <c r="K92" s="27" t="s">
        <v>50</v>
      </c>
      <c r="L92" s="114" t="s">
        <v>80</v>
      </c>
      <c r="M92" s="114" t="s">
        <v>80</v>
      </c>
      <c r="N92" s="114" t="s">
        <v>80</v>
      </c>
      <c r="O92" s="114" t="s">
        <v>80</v>
      </c>
      <c r="P92" s="114"/>
      <c r="Q92" s="114" t="s">
        <v>80</v>
      </c>
      <c r="R92" s="114"/>
      <c r="S92" s="114" t="s">
        <v>64</v>
      </c>
      <c r="T92" s="114" t="s">
        <v>64</v>
      </c>
      <c r="U92" s="141" t="s">
        <v>83</v>
      </c>
      <c r="V92" s="114">
        <v>2035</v>
      </c>
      <c r="W92" s="141" t="s">
        <v>84</v>
      </c>
      <c r="X92" s="421">
        <f>VLOOKUP(Table29[[#This Row],[Country Codes]],GHG!$A$8:$E$203,4,FALSE)</f>
        <v>57.853266947361</v>
      </c>
      <c r="Y92" s="421">
        <f>VLOOKUP(Table29[[#This Row],[Country Codes]],GHG!$A$8:$E$203,3,FALSE)</f>
        <v>11.23875075000765</v>
      </c>
      <c r="AC92" s="42"/>
    </row>
    <row r="93" spans="2:29" x14ac:dyDescent="0.25">
      <c r="B93" s="263" t="s">
        <v>238</v>
      </c>
      <c r="C93" s="12" t="s">
        <v>239</v>
      </c>
      <c r="D93" s="12" t="s">
        <v>47</v>
      </c>
      <c r="E93" s="208" t="s">
        <v>48</v>
      </c>
      <c r="F93" s="208" t="s">
        <v>63</v>
      </c>
      <c r="G93" s="27" t="s">
        <v>50</v>
      </c>
      <c r="H93" s="27" t="s">
        <v>50</v>
      </c>
      <c r="I93" s="27" t="s">
        <v>28</v>
      </c>
      <c r="J93" s="27" t="s">
        <v>50</v>
      </c>
      <c r="K93" s="114" t="s">
        <v>60</v>
      </c>
      <c r="L93" s="114" t="s">
        <v>80</v>
      </c>
      <c r="M93" s="114" t="s">
        <v>80</v>
      </c>
      <c r="N93" s="114"/>
      <c r="O93" s="114"/>
      <c r="P93" s="114"/>
      <c r="Q93" s="114"/>
      <c r="R93" s="114"/>
      <c r="S93" s="114" t="s">
        <v>64</v>
      </c>
      <c r="T93" s="114" t="s">
        <v>64</v>
      </c>
      <c r="U93" s="141" t="s">
        <v>240</v>
      </c>
      <c r="V93" s="114">
        <v>2026</v>
      </c>
      <c r="W93" s="141" t="s">
        <v>71</v>
      </c>
      <c r="X93" s="421">
        <f>VLOOKUP(Table29[[#This Row],[Country Codes]],GHG!$A$8:$E$203,4,FALSE)</f>
        <v>79.578174881425994</v>
      </c>
      <c r="Y93" s="421">
        <f>VLOOKUP(Table29[[#This Row],[Country Codes]],GHG!$A$8:$E$203,3,FALSE)</f>
        <v>18.692155253646391</v>
      </c>
      <c r="AC93" s="43"/>
    </row>
    <row r="94" spans="2:29" x14ac:dyDescent="0.25">
      <c r="B94" s="263" t="s">
        <v>241</v>
      </c>
      <c r="C94" s="12" t="s">
        <v>242</v>
      </c>
      <c r="D94" s="12" t="s">
        <v>78</v>
      </c>
      <c r="E94" s="208" t="s">
        <v>55</v>
      </c>
      <c r="F94" s="208" t="s">
        <v>63</v>
      </c>
      <c r="G94" s="27" t="s">
        <v>26</v>
      </c>
      <c r="H94" s="27" t="s">
        <v>27</v>
      </c>
      <c r="I94" s="27" t="s">
        <v>28</v>
      </c>
      <c r="J94" s="27" t="s">
        <v>29</v>
      </c>
      <c r="K94" s="27" t="s">
        <v>50</v>
      </c>
      <c r="L94" s="114"/>
      <c r="M94" s="114"/>
      <c r="N94" s="114" t="s">
        <v>80</v>
      </c>
      <c r="O94" s="114" t="s">
        <v>80</v>
      </c>
      <c r="P94" s="114"/>
      <c r="Q94" s="114" t="s">
        <v>80</v>
      </c>
      <c r="R94" s="114"/>
      <c r="S94" s="114" t="s">
        <v>64</v>
      </c>
      <c r="T94" s="114" t="s">
        <v>64</v>
      </c>
      <c r="U94" s="141" t="s">
        <v>83</v>
      </c>
      <c r="V94" s="114">
        <v>2035</v>
      </c>
      <c r="W94" s="141" t="s">
        <v>84</v>
      </c>
      <c r="X94" s="421">
        <f>VLOOKUP(Table29[[#This Row],[Country Codes]],GHG!$A$8:$E$203,4,FALSE)</f>
        <v>374.12419472876002</v>
      </c>
      <c r="Y94" s="421">
        <f>VLOOKUP(Table29[[#This Row],[Country Codes]],GHG!$A$8:$E$203,3,FALSE)</f>
        <v>103.9860786043448</v>
      </c>
      <c r="AC94" s="42"/>
    </row>
    <row r="95" spans="2:29" x14ac:dyDescent="0.25">
      <c r="B95" s="263" t="s">
        <v>243</v>
      </c>
      <c r="C95" s="12" t="s">
        <v>244</v>
      </c>
      <c r="D95" s="12" t="s">
        <v>47</v>
      </c>
      <c r="E95" s="208" t="s">
        <v>69</v>
      </c>
      <c r="F95" s="208" t="s">
        <v>56</v>
      </c>
      <c r="G95" s="27" t="s">
        <v>50</v>
      </c>
      <c r="H95" s="27" t="s">
        <v>50</v>
      </c>
      <c r="I95" s="27" t="s">
        <v>51</v>
      </c>
      <c r="J95" s="27" t="s">
        <v>50</v>
      </c>
      <c r="K95" s="27" t="s">
        <v>50</v>
      </c>
      <c r="L95" s="114"/>
      <c r="M95" s="114"/>
      <c r="N95" s="114"/>
      <c r="O95" s="114"/>
      <c r="P95" s="114"/>
      <c r="Q95" s="114"/>
      <c r="R95" s="114"/>
      <c r="S95" s="114" t="s">
        <v>64</v>
      </c>
      <c r="T95" s="114" t="s">
        <v>50</v>
      </c>
      <c r="U95" s="141" t="s">
        <v>52</v>
      </c>
      <c r="V95" s="114" t="s">
        <v>52</v>
      </c>
      <c r="W95" s="141" t="s">
        <v>52</v>
      </c>
      <c r="X95" s="421">
        <f>VLOOKUP(Table29[[#This Row],[Country Codes]],GHG!$A$8:$E$203,4,FALSE)</f>
        <v>8.1629239257775001</v>
      </c>
      <c r="Y95" s="421">
        <f>VLOOKUP(Table29[[#This Row],[Country Codes]],GHG!$A$8:$E$203,3,FALSE)</f>
        <v>2.4498640842511992</v>
      </c>
      <c r="AC95" s="208"/>
    </row>
    <row r="96" spans="2:29" x14ac:dyDescent="0.25">
      <c r="B96" s="263" t="s">
        <v>245</v>
      </c>
      <c r="C96" s="12" t="s">
        <v>246</v>
      </c>
      <c r="D96" s="12" t="s">
        <v>78</v>
      </c>
      <c r="E96" s="208" t="s">
        <v>48</v>
      </c>
      <c r="F96" s="208" t="s">
        <v>63</v>
      </c>
      <c r="G96" s="27" t="s">
        <v>26</v>
      </c>
      <c r="H96" s="27" t="s">
        <v>27</v>
      </c>
      <c r="I96" s="27" t="s">
        <v>28</v>
      </c>
      <c r="J96" s="27" t="s">
        <v>50</v>
      </c>
      <c r="K96" s="27" t="s">
        <v>50</v>
      </c>
      <c r="L96" s="114"/>
      <c r="M96" s="114" t="s">
        <v>80</v>
      </c>
      <c r="N96" s="114" t="s">
        <v>80</v>
      </c>
      <c r="O96" s="114" t="s">
        <v>80</v>
      </c>
      <c r="P96" s="114"/>
      <c r="Q96" s="114"/>
      <c r="R96" s="114"/>
      <c r="S96" s="114" t="s">
        <v>64</v>
      </c>
      <c r="T96" s="114" t="s">
        <v>64</v>
      </c>
      <c r="U96" s="141" t="s">
        <v>83</v>
      </c>
      <c r="V96" s="114">
        <v>2035</v>
      </c>
      <c r="W96" s="141" t="s">
        <v>227</v>
      </c>
      <c r="X96" s="421">
        <f>VLOOKUP(Table29[[#This Row],[Country Codes]],GHG!$A$8:$E$203,4,FALSE)</f>
        <v>1041.0128248686999</v>
      </c>
      <c r="Y96" s="421">
        <f>VLOOKUP(Table29[[#This Row],[Country Codes]],GHG!$A$8:$E$203,3,FALSE)</f>
        <v>181.96191357547141</v>
      </c>
      <c r="AC96" s="208"/>
    </row>
    <row r="97" spans="2:29" x14ac:dyDescent="0.25">
      <c r="B97" s="263" t="s">
        <v>247</v>
      </c>
      <c r="C97" s="12" t="s">
        <v>248</v>
      </c>
      <c r="D97" s="12" t="s">
        <v>47</v>
      </c>
      <c r="E97" s="208" t="s">
        <v>48</v>
      </c>
      <c r="F97" s="208" t="s">
        <v>56</v>
      </c>
      <c r="G97" s="27" t="s">
        <v>50</v>
      </c>
      <c r="H97" s="27" t="s">
        <v>50</v>
      </c>
      <c r="I97" s="27" t="s">
        <v>51</v>
      </c>
      <c r="J97" s="27" t="s">
        <v>50</v>
      </c>
      <c r="K97" s="114" t="s">
        <v>60</v>
      </c>
      <c r="L97" s="114"/>
      <c r="M97" s="114"/>
      <c r="N97" s="114"/>
      <c r="O97" s="114"/>
      <c r="P97" s="114"/>
      <c r="Q97" s="114"/>
      <c r="R97" s="114"/>
      <c r="S97" s="114" t="s">
        <v>50</v>
      </c>
      <c r="T97" s="114" t="s">
        <v>50</v>
      </c>
      <c r="U97" s="141" t="s">
        <v>52</v>
      </c>
      <c r="V97" s="114" t="s">
        <v>52</v>
      </c>
      <c r="W97" s="141" t="s">
        <v>52</v>
      </c>
      <c r="X97" s="421">
        <f>VLOOKUP(Table29[[#This Row],[Country Codes]],GHG!$A$8:$E$203,4,FALSE)</f>
        <v>33.407709056244002</v>
      </c>
      <c r="Y97" s="421">
        <f>VLOOKUP(Table29[[#This Row],[Country Codes]],GHG!$A$8:$E$203,3,FALSE)</f>
        <v>7.9780713824704446</v>
      </c>
      <c r="AC97" s="43"/>
    </row>
    <row r="98" spans="2:29" x14ac:dyDescent="0.25">
      <c r="B98" s="263" t="s">
        <v>249</v>
      </c>
      <c r="C98" s="12" t="s">
        <v>250</v>
      </c>
      <c r="D98" s="12" t="s">
        <v>47</v>
      </c>
      <c r="E98" s="208" t="s">
        <v>48</v>
      </c>
      <c r="F98" s="208" t="s">
        <v>56</v>
      </c>
      <c r="G98" s="27" t="s">
        <v>50</v>
      </c>
      <c r="H98" s="27" t="s">
        <v>50</v>
      </c>
      <c r="I98" s="27" t="s">
        <v>51</v>
      </c>
      <c r="J98" s="27" t="s">
        <v>50</v>
      </c>
      <c r="K98" s="27" t="s">
        <v>50</v>
      </c>
      <c r="L98" s="114"/>
      <c r="M98" s="114"/>
      <c r="N98" s="114"/>
      <c r="O98" s="114"/>
      <c r="P98" s="114"/>
      <c r="Q98" s="114"/>
      <c r="R98" s="114"/>
      <c r="S98" s="114" t="s">
        <v>64</v>
      </c>
      <c r="T98" s="114" t="s">
        <v>50</v>
      </c>
      <c r="U98" s="141" t="s">
        <v>52</v>
      </c>
      <c r="V98" s="114" t="s">
        <v>52</v>
      </c>
      <c r="W98" s="141" t="s">
        <v>52</v>
      </c>
      <c r="X98" s="421">
        <f>VLOOKUP(Table29[[#This Row],[Country Codes]],GHG!$A$8:$E$203,4,FALSE)</f>
        <v>320.34998496393001</v>
      </c>
      <c r="Y98" s="421">
        <f>VLOOKUP(Table29[[#This Row],[Country Codes]],GHG!$A$8:$E$203,3,FALSE)</f>
        <v>24.00450259503398</v>
      </c>
      <c r="AC98" s="43"/>
    </row>
    <row r="99" spans="2:29" x14ac:dyDescent="0.25">
      <c r="B99" s="263" t="s">
        <v>251</v>
      </c>
      <c r="C99" s="12" t="s">
        <v>252</v>
      </c>
      <c r="D99" s="12" t="s">
        <v>47</v>
      </c>
      <c r="E99" s="208" t="s">
        <v>59</v>
      </c>
      <c r="F99" s="208" t="s">
        <v>56</v>
      </c>
      <c r="G99" s="27" t="s">
        <v>50</v>
      </c>
      <c r="H99" s="27" t="s">
        <v>50</v>
      </c>
      <c r="I99" s="27" t="s">
        <v>51</v>
      </c>
      <c r="J99" s="27" t="s">
        <v>50</v>
      </c>
      <c r="K99" s="27" t="s">
        <v>50</v>
      </c>
      <c r="L99" s="114" t="s">
        <v>80</v>
      </c>
      <c r="M99" s="114"/>
      <c r="N99" s="114" t="s">
        <v>80</v>
      </c>
      <c r="O99" s="114"/>
      <c r="P99" s="114"/>
      <c r="Q99" s="114"/>
      <c r="R99" s="114"/>
      <c r="S99" s="114" t="s">
        <v>50</v>
      </c>
      <c r="T99" s="114" t="s">
        <v>50</v>
      </c>
      <c r="U99" s="141" t="s">
        <v>52</v>
      </c>
      <c r="V99" s="114" t="s">
        <v>52</v>
      </c>
      <c r="W99" s="141" t="s">
        <v>52</v>
      </c>
      <c r="X99" s="421">
        <f>VLOOKUP(Table29[[#This Row],[Country Codes]],GHG!$A$8:$E$203,4,FALSE)</f>
        <v>107.97690921511</v>
      </c>
      <c r="Y99" s="421">
        <f>VLOOKUP(Table29[[#This Row],[Country Codes]],GHG!$A$8:$E$203,3,FALSE)</f>
        <v>10.8093492744944</v>
      </c>
      <c r="AC99" s="42"/>
    </row>
    <row r="100" spans="2:29" x14ac:dyDescent="0.25">
      <c r="B100" s="263" t="s">
        <v>253</v>
      </c>
      <c r="C100" s="12" t="s">
        <v>254</v>
      </c>
      <c r="D100" s="12" t="s">
        <v>47</v>
      </c>
      <c r="E100" s="208" t="s">
        <v>79</v>
      </c>
      <c r="F100" s="208" t="s">
        <v>56</v>
      </c>
      <c r="G100" s="27" t="s">
        <v>50</v>
      </c>
      <c r="H100" s="27" t="s">
        <v>50</v>
      </c>
      <c r="I100" s="27" t="s">
        <v>51</v>
      </c>
      <c r="J100" s="27" t="s">
        <v>50</v>
      </c>
      <c r="K100" s="27" t="s">
        <v>50</v>
      </c>
      <c r="L100" s="114"/>
      <c r="M100" s="114"/>
      <c r="N100" s="114"/>
      <c r="O100" s="114"/>
      <c r="P100" s="114"/>
      <c r="Q100" s="114"/>
      <c r="R100" s="114"/>
      <c r="S100" s="114" t="s">
        <v>50</v>
      </c>
      <c r="T100" s="114" t="s">
        <v>50</v>
      </c>
      <c r="U100" s="141" t="s">
        <v>52</v>
      </c>
      <c r="V100" s="114" t="s">
        <v>52</v>
      </c>
      <c r="W100" s="141" t="s">
        <v>52</v>
      </c>
      <c r="X100" s="421">
        <f>VLOOKUP(Table29[[#This Row],[Country Codes]],GHG!$A$8:$E$203,4,FALSE)</f>
        <v>0.13017626101136001</v>
      </c>
      <c r="Y100" s="421">
        <f>VLOOKUP(Table29[[#This Row],[Country Codes]],GHG!$A$8:$E$203,3,FALSE)</f>
        <v>5.0508932626793582E-2</v>
      </c>
      <c r="AC100" s="43"/>
    </row>
    <row r="101" spans="2:29" x14ac:dyDescent="0.25">
      <c r="B101" s="263" t="s">
        <v>255</v>
      </c>
      <c r="C101" s="12" t="s">
        <v>256</v>
      </c>
      <c r="D101" s="12" t="s">
        <v>257</v>
      </c>
      <c r="E101" s="208" t="s">
        <v>55</v>
      </c>
      <c r="F101" s="208" t="s">
        <v>56</v>
      </c>
      <c r="G101" s="27" t="s">
        <v>50</v>
      </c>
      <c r="H101" s="27" t="s">
        <v>50</v>
      </c>
      <c r="I101" s="27" t="s">
        <v>51</v>
      </c>
      <c r="J101" s="27" t="s">
        <v>50</v>
      </c>
      <c r="K101" s="27" t="s">
        <v>50</v>
      </c>
      <c r="L101" s="114"/>
      <c r="M101" s="114"/>
      <c r="N101" s="114"/>
      <c r="O101" s="114"/>
      <c r="P101" s="114"/>
      <c r="Q101" s="114"/>
      <c r="R101" s="114"/>
      <c r="S101" s="114" t="s">
        <v>50</v>
      </c>
      <c r="T101" s="114" t="s">
        <v>50</v>
      </c>
      <c r="U101" s="141" t="s">
        <v>52</v>
      </c>
      <c r="V101" s="114" t="s">
        <v>52</v>
      </c>
      <c r="W101" s="141" t="s">
        <v>52</v>
      </c>
      <c r="X101" s="421">
        <f>VLOOKUP(Table29[[#This Row],[Country Codes]],GHG!$A$8:$E$203,4,FALSE)</f>
        <v>0</v>
      </c>
      <c r="Y101" s="421">
        <f>VLOOKUP(Table29[[#This Row],[Country Codes]],GHG!$A$8:$E$203,3,FALSE)</f>
        <v>0</v>
      </c>
      <c r="AC101" s="45"/>
    </row>
    <row r="102" spans="2:29" x14ac:dyDescent="0.25">
      <c r="B102" s="263" t="s">
        <v>258</v>
      </c>
      <c r="C102" s="12" t="s">
        <v>259</v>
      </c>
      <c r="D102" s="12" t="s">
        <v>47</v>
      </c>
      <c r="E102" s="208" t="s">
        <v>48</v>
      </c>
      <c r="F102" s="208" t="s">
        <v>63</v>
      </c>
      <c r="G102" s="27" t="s">
        <v>50</v>
      </c>
      <c r="H102" s="27" t="s">
        <v>50</v>
      </c>
      <c r="I102" s="27" t="s">
        <v>51</v>
      </c>
      <c r="J102" s="27" t="s">
        <v>50</v>
      </c>
      <c r="K102" s="114" t="s">
        <v>60</v>
      </c>
      <c r="L102" s="114"/>
      <c r="M102" s="114"/>
      <c r="N102" s="114"/>
      <c r="O102" s="114"/>
      <c r="P102" s="114"/>
      <c r="Q102" s="114"/>
      <c r="R102" s="114"/>
      <c r="S102" s="114" t="s">
        <v>64</v>
      </c>
      <c r="T102" s="114" t="s">
        <v>50</v>
      </c>
      <c r="U102" s="141" t="s">
        <v>52</v>
      </c>
      <c r="V102" s="114" t="s">
        <v>52</v>
      </c>
      <c r="W102" s="141" t="s">
        <v>52</v>
      </c>
      <c r="X102" s="421">
        <f>VLOOKUP(Table29[[#This Row],[Country Codes]],GHG!$A$8:$E$203,4,FALSE)</f>
        <v>167.91576883104</v>
      </c>
      <c r="Y102" s="421">
        <f>VLOOKUP(Table29[[#This Row],[Country Codes]],GHG!$A$8:$E$203,3,FALSE)</f>
        <v>15.277707011973771</v>
      </c>
      <c r="AC102" s="43"/>
    </row>
    <row r="103" spans="2:29" x14ac:dyDescent="0.25">
      <c r="B103" s="263" t="s">
        <v>260</v>
      </c>
      <c r="C103" s="12" t="s">
        <v>261</v>
      </c>
      <c r="D103" s="12" t="s">
        <v>47</v>
      </c>
      <c r="E103" s="208" t="s">
        <v>48</v>
      </c>
      <c r="F103" s="208" t="s">
        <v>56</v>
      </c>
      <c r="G103" s="27" t="s">
        <v>50</v>
      </c>
      <c r="H103" s="27" t="s">
        <v>50</v>
      </c>
      <c r="I103" s="27" t="s">
        <v>51</v>
      </c>
      <c r="J103" s="27" t="s">
        <v>50</v>
      </c>
      <c r="K103" s="27" t="s">
        <v>50</v>
      </c>
      <c r="L103" s="114"/>
      <c r="M103" s="114"/>
      <c r="N103" s="114"/>
      <c r="O103" s="114"/>
      <c r="P103" s="114"/>
      <c r="Q103" s="114"/>
      <c r="R103" s="114"/>
      <c r="S103" s="114" t="s">
        <v>50</v>
      </c>
      <c r="T103" s="114" t="s">
        <v>50</v>
      </c>
      <c r="U103" s="141" t="s">
        <v>52</v>
      </c>
      <c r="V103" s="114" t="s">
        <v>52</v>
      </c>
      <c r="W103" s="141" t="s">
        <v>52</v>
      </c>
      <c r="X103" s="421">
        <f>VLOOKUP(Table29[[#This Row],[Country Codes]],GHG!$A$8:$E$203,4,FALSE)</f>
        <v>21.698229839443002</v>
      </c>
      <c r="Y103" s="421">
        <f>VLOOKUP(Table29[[#This Row],[Country Codes]],GHG!$A$8:$E$203,3,FALSE)</f>
        <v>1.744567668774214</v>
      </c>
      <c r="AC103" s="42"/>
    </row>
    <row r="104" spans="2:29" x14ac:dyDescent="0.25">
      <c r="B104" s="263" t="s">
        <v>262</v>
      </c>
      <c r="C104" s="12" t="s">
        <v>263</v>
      </c>
      <c r="D104" s="12" t="s">
        <v>47</v>
      </c>
      <c r="E104" s="208" t="s">
        <v>48</v>
      </c>
      <c r="F104" s="208" t="s">
        <v>56</v>
      </c>
      <c r="G104" s="27" t="s">
        <v>50</v>
      </c>
      <c r="H104" s="27" t="s">
        <v>50</v>
      </c>
      <c r="I104" s="27" t="s">
        <v>51</v>
      </c>
      <c r="J104" s="27" t="s">
        <v>50</v>
      </c>
      <c r="K104" s="27" t="s">
        <v>50</v>
      </c>
      <c r="L104" s="114"/>
      <c r="M104" s="114"/>
      <c r="N104" s="114"/>
      <c r="O104" s="114"/>
      <c r="P104" s="114"/>
      <c r="Q104" s="114"/>
      <c r="R104" s="114"/>
      <c r="S104" s="114" t="s">
        <v>64</v>
      </c>
      <c r="T104" s="114" t="s">
        <v>50</v>
      </c>
      <c r="U104" s="141" t="s">
        <v>52</v>
      </c>
      <c r="V104" s="114" t="s">
        <v>52</v>
      </c>
      <c r="W104" s="141" t="s">
        <v>52</v>
      </c>
      <c r="X104" s="421">
        <f>VLOOKUP(Table29[[#This Row],[Country Codes]],GHG!$A$8:$E$203,4,FALSE)</f>
        <v>42.056212706049003</v>
      </c>
      <c r="Y104" s="421">
        <f>VLOOKUP(Table29[[#This Row],[Country Codes]],GHG!$A$8:$E$203,3,FALSE)</f>
        <v>2.7307302074001272</v>
      </c>
      <c r="AC104" s="42"/>
    </row>
    <row r="105" spans="2:29" x14ac:dyDescent="0.25">
      <c r="B105" s="263" t="s">
        <v>264</v>
      </c>
      <c r="C105" s="12" t="s">
        <v>265</v>
      </c>
      <c r="D105" s="12" t="s">
        <v>78</v>
      </c>
      <c r="E105" s="208" t="s">
        <v>55</v>
      </c>
      <c r="F105" s="208" t="s">
        <v>63</v>
      </c>
      <c r="G105" s="27" t="s">
        <v>50</v>
      </c>
      <c r="H105" s="27" t="s">
        <v>50</v>
      </c>
      <c r="I105" s="27" t="s">
        <v>28</v>
      </c>
      <c r="J105" s="27" t="s">
        <v>29</v>
      </c>
      <c r="K105" s="27" t="s">
        <v>50</v>
      </c>
      <c r="L105" s="114"/>
      <c r="M105" s="114"/>
      <c r="N105" s="114"/>
      <c r="O105" s="114"/>
      <c r="P105" s="114"/>
      <c r="Q105" s="114"/>
      <c r="R105" s="114"/>
      <c r="S105" s="114" t="s">
        <v>64</v>
      </c>
      <c r="T105" s="114" t="s">
        <v>64</v>
      </c>
      <c r="U105" s="141" t="s">
        <v>83</v>
      </c>
      <c r="V105" s="114">
        <v>2035</v>
      </c>
      <c r="W105" s="141" t="s">
        <v>84</v>
      </c>
      <c r="X105" s="421">
        <f>VLOOKUP(Table29[[#This Row],[Country Codes]],GHG!$A$8:$E$203,4,FALSE)</f>
        <v>10.957491923456001</v>
      </c>
      <c r="Y105" s="421">
        <f>VLOOKUP(Table29[[#This Row],[Country Codes]],GHG!$A$8:$E$203,3,FALSE)</f>
        <v>3.102706195463615</v>
      </c>
      <c r="AC105" s="42"/>
    </row>
    <row r="106" spans="2:29" x14ac:dyDescent="0.25">
      <c r="B106" s="263" t="s">
        <v>266</v>
      </c>
      <c r="C106" s="12" t="s">
        <v>267</v>
      </c>
      <c r="D106" s="12" t="s">
        <v>47</v>
      </c>
      <c r="E106" s="208" t="s">
        <v>48</v>
      </c>
      <c r="F106" s="208" t="s">
        <v>56</v>
      </c>
      <c r="G106" s="27" t="s">
        <v>50</v>
      </c>
      <c r="H106" s="27" t="s">
        <v>50</v>
      </c>
      <c r="I106" s="27" t="s">
        <v>51</v>
      </c>
      <c r="J106" s="27" t="s">
        <v>50</v>
      </c>
      <c r="K106" s="114" t="s">
        <v>60</v>
      </c>
      <c r="L106" s="114"/>
      <c r="M106" s="114"/>
      <c r="N106" s="114"/>
      <c r="O106" s="114"/>
      <c r="P106" s="114"/>
      <c r="Q106" s="114"/>
      <c r="R106" s="114"/>
      <c r="S106" s="114" t="s">
        <v>50</v>
      </c>
      <c r="T106" s="114" t="s">
        <v>50</v>
      </c>
      <c r="U106" s="141" t="s">
        <v>52</v>
      </c>
      <c r="V106" s="114" t="s">
        <v>52</v>
      </c>
      <c r="W106" s="141" t="s">
        <v>52</v>
      </c>
      <c r="X106" s="421">
        <f>VLOOKUP(Table29[[#This Row],[Country Codes]],GHG!$A$8:$E$203,4,FALSE)</f>
        <v>24.672324496902</v>
      </c>
      <c r="Y106" s="421">
        <f>VLOOKUP(Table29[[#This Row],[Country Codes]],GHG!$A$8:$E$203,3,FALSE)</f>
        <v>7.1354134198886934</v>
      </c>
      <c r="AC106" s="176"/>
    </row>
    <row r="107" spans="2:29" x14ac:dyDescent="0.25">
      <c r="B107" s="263" t="s">
        <v>268</v>
      </c>
      <c r="C107" s="12" t="s">
        <v>269</v>
      </c>
      <c r="D107" s="12" t="s">
        <v>47</v>
      </c>
      <c r="E107" s="208" t="s">
        <v>59</v>
      </c>
      <c r="F107" s="208" t="s">
        <v>56</v>
      </c>
      <c r="G107" s="27" t="s">
        <v>50</v>
      </c>
      <c r="H107" s="27" t="s">
        <v>50</v>
      </c>
      <c r="I107" s="27" t="s">
        <v>51</v>
      </c>
      <c r="J107" s="27" t="s">
        <v>50</v>
      </c>
      <c r="K107" s="27" t="s">
        <v>50</v>
      </c>
      <c r="L107" s="114"/>
      <c r="M107" s="114"/>
      <c r="N107" s="114"/>
      <c r="O107" s="114"/>
      <c r="P107" s="114"/>
      <c r="Q107" s="114"/>
      <c r="R107" s="114"/>
      <c r="S107" s="114" t="s">
        <v>50</v>
      </c>
      <c r="T107" s="114" t="s">
        <v>50</v>
      </c>
      <c r="U107" s="141" t="s">
        <v>52</v>
      </c>
      <c r="V107" s="114" t="s">
        <v>52</v>
      </c>
      <c r="W107" s="141" t="s">
        <v>52</v>
      </c>
      <c r="X107" s="421">
        <f>VLOOKUP(Table29[[#This Row],[Country Codes]],GHG!$A$8:$E$203,4,FALSE)</f>
        <v>2.6019212840000998</v>
      </c>
      <c r="Y107" s="421">
        <f>VLOOKUP(Table29[[#This Row],[Country Codes]],GHG!$A$8:$E$203,3,FALSE)</f>
        <v>0.50992867306348366</v>
      </c>
      <c r="AC107" s="42"/>
    </row>
    <row r="108" spans="2:29" x14ac:dyDescent="0.25">
      <c r="B108" s="263" t="s">
        <v>270</v>
      </c>
      <c r="C108" s="12" t="s">
        <v>271</v>
      </c>
      <c r="D108" s="12" t="s">
        <v>47</v>
      </c>
      <c r="E108" s="208" t="s">
        <v>59</v>
      </c>
      <c r="F108" s="208" t="s">
        <v>49</v>
      </c>
      <c r="G108" s="27" t="s">
        <v>50</v>
      </c>
      <c r="H108" s="27" t="s">
        <v>50</v>
      </c>
      <c r="I108" s="27" t="s">
        <v>51</v>
      </c>
      <c r="J108" s="27" t="s">
        <v>50</v>
      </c>
      <c r="K108" s="27" t="s">
        <v>50</v>
      </c>
      <c r="L108" s="114"/>
      <c r="M108" s="114"/>
      <c r="N108" s="114"/>
      <c r="O108" s="114"/>
      <c r="P108" s="114"/>
      <c r="Q108" s="114"/>
      <c r="R108" s="114"/>
      <c r="S108" s="114" t="s">
        <v>64</v>
      </c>
      <c r="T108" s="114" t="s">
        <v>50</v>
      </c>
      <c r="U108" s="141" t="s">
        <v>52</v>
      </c>
      <c r="V108" s="114" t="s">
        <v>52</v>
      </c>
      <c r="W108" s="141" t="s">
        <v>52</v>
      </c>
      <c r="X108" s="421">
        <f>VLOOKUP(Table29[[#This Row],[Country Codes]],GHG!$A$8:$E$203,4,FALSE)</f>
        <v>4.5323879353986003</v>
      </c>
      <c r="Y108" s="421">
        <f>VLOOKUP(Table29[[#This Row],[Country Codes]],GHG!$A$8:$E$203,3,FALSE)</f>
        <v>0.82749853268205653</v>
      </c>
      <c r="AC108" s="43"/>
    </row>
    <row r="109" spans="2:29" x14ac:dyDescent="0.25">
      <c r="B109" s="263" t="s">
        <v>272</v>
      </c>
      <c r="C109" s="12" t="s">
        <v>273</v>
      </c>
      <c r="D109" s="12" t="s">
        <v>47</v>
      </c>
      <c r="E109" s="208" t="s">
        <v>59</v>
      </c>
      <c r="F109" s="208" t="s">
        <v>56</v>
      </c>
      <c r="G109" s="27" t="s">
        <v>50</v>
      </c>
      <c r="H109" s="27" t="s">
        <v>50</v>
      </c>
      <c r="I109" s="27" t="s">
        <v>51</v>
      </c>
      <c r="J109" s="27" t="s">
        <v>50</v>
      </c>
      <c r="K109" s="114" t="s">
        <v>60</v>
      </c>
      <c r="L109" s="114"/>
      <c r="M109" s="114"/>
      <c r="N109" s="114"/>
      <c r="O109" s="114"/>
      <c r="P109" s="114"/>
      <c r="Q109" s="114"/>
      <c r="R109" s="114"/>
      <c r="S109" s="114" t="s">
        <v>50</v>
      </c>
      <c r="T109" s="114" t="s">
        <v>50</v>
      </c>
      <c r="U109" s="141" t="s">
        <v>52</v>
      </c>
      <c r="V109" s="114" t="s">
        <v>52</v>
      </c>
      <c r="W109" s="141" t="s">
        <v>52</v>
      </c>
      <c r="X109" s="421">
        <f>VLOOKUP(Table29[[#This Row],[Country Codes]],GHG!$A$8:$E$203,4,FALSE)</f>
        <v>95.929766915197007</v>
      </c>
      <c r="Y109" s="421">
        <f>VLOOKUP(Table29[[#This Row],[Country Codes]],GHG!$A$8:$E$203,3,FALSE)</f>
        <v>18.8804723781993</v>
      </c>
      <c r="AC109" s="43"/>
    </row>
    <row r="110" spans="2:29" x14ac:dyDescent="0.25">
      <c r="B110" s="263" t="s">
        <v>274</v>
      </c>
      <c r="C110" s="12" t="s">
        <v>275</v>
      </c>
      <c r="D110" s="12" t="s">
        <v>78</v>
      </c>
      <c r="E110" s="208" t="s">
        <v>55</v>
      </c>
      <c r="F110" s="208" t="s">
        <v>63</v>
      </c>
      <c r="G110" s="27" t="s">
        <v>50</v>
      </c>
      <c r="H110" s="27" t="s">
        <v>50</v>
      </c>
      <c r="I110" s="27" t="s">
        <v>51</v>
      </c>
      <c r="J110" s="27" t="s">
        <v>50</v>
      </c>
      <c r="K110" s="27" t="s">
        <v>50</v>
      </c>
      <c r="L110" s="114" t="s">
        <v>80</v>
      </c>
      <c r="M110" s="114"/>
      <c r="N110" s="114"/>
      <c r="O110" s="114"/>
      <c r="P110" s="114"/>
      <c r="Q110" s="114"/>
      <c r="R110" s="114"/>
      <c r="S110" s="114" t="s">
        <v>50</v>
      </c>
      <c r="T110" s="114" t="s">
        <v>50</v>
      </c>
      <c r="U110" s="141" t="s">
        <v>52</v>
      </c>
      <c r="V110" s="114" t="s">
        <v>52</v>
      </c>
      <c r="W110" s="141" t="s">
        <v>52</v>
      </c>
      <c r="X110" s="421">
        <f>VLOOKUP(Table29[[#This Row],[Country Codes]],GHG!$A$8:$E$203,4,FALSE)</f>
        <v>0</v>
      </c>
      <c r="Y110" s="421">
        <f>VLOOKUP(Table29[[#This Row],[Country Codes]],GHG!$A$8:$E$203,3,FALSE)</f>
        <v>0</v>
      </c>
      <c r="AC110" s="43"/>
    </row>
    <row r="111" spans="2:29" x14ac:dyDescent="0.25">
      <c r="B111" s="263" t="s">
        <v>276</v>
      </c>
      <c r="C111" s="12" t="s">
        <v>277</v>
      </c>
      <c r="D111" s="12" t="s">
        <v>78</v>
      </c>
      <c r="E111" s="208" t="s">
        <v>55</v>
      </c>
      <c r="F111" s="208" t="s">
        <v>63</v>
      </c>
      <c r="G111" s="27" t="s">
        <v>50</v>
      </c>
      <c r="H111" s="27" t="s">
        <v>50</v>
      </c>
      <c r="I111" s="27" t="s">
        <v>28</v>
      </c>
      <c r="J111" s="27" t="s">
        <v>29</v>
      </c>
      <c r="K111" s="27" t="s">
        <v>50</v>
      </c>
      <c r="L111" s="114" t="s">
        <v>80</v>
      </c>
      <c r="M111" s="114" t="s">
        <v>80</v>
      </c>
      <c r="N111" s="114"/>
      <c r="O111" s="114"/>
      <c r="P111" s="114"/>
      <c r="Q111" s="114"/>
      <c r="R111" s="114"/>
      <c r="S111" s="114" t="s">
        <v>64</v>
      </c>
      <c r="T111" s="114" t="s">
        <v>64</v>
      </c>
      <c r="U111" s="141" t="s">
        <v>83</v>
      </c>
      <c r="V111" s="114">
        <v>2035</v>
      </c>
      <c r="W111" s="141" t="s">
        <v>84</v>
      </c>
      <c r="X111" s="421">
        <f>VLOOKUP(Table29[[#This Row],[Country Codes]],GHG!$A$8:$E$203,4,FALSE)</f>
        <v>20.683656998446001</v>
      </c>
      <c r="Y111" s="421">
        <f>VLOOKUP(Table29[[#This Row],[Country Codes]],GHG!$A$8:$E$203,3,FALSE)</f>
        <v>6.2808070704944967</v>
      </c>
      <c r="AC111" s="42"/>
    </row>
    <row r="112" spans="2:29" x14ac:dyDescent="0.25">
      <c r="B112" s="263" t="s">
        <v>278</v>
      </c>
      <c r="C112" s="12" t="s">
        <v>279</v>
      </c>
      <c r="D112" s="12" t="s">
        <v>78</v>
      </c>
      <c r="E112" s="208" t="s">
        <v>55</v>
      </c>
      <c r="F112" s="208" t="s">
        <v>63</v>
      </c>
      <c r="G112" s="27" t="s">
        <v>50</v>
      </c>
      <c r="H112" s="27" t="s">
        <v>50</v>
      </c>
      <c r="I112" s="27" t="s">
        <v>28</v>
      </c>
      <c r="J112" s="27" t="s">
        <v>29</v>
      </c>
      <c r="K112" s="27" t="s">
        <v>50</v>
      </c>
      <c r="L112" s="114" t="s">
        <v>80</v>
      </c>
      <c r="M112" s="114" t="s">
        <v>80</v>
      </c>
      <c r="N112" s="114"/>
      <c r="O112" s="114"/>
      <c r="P112" s="114" t="s">
        <v>80</v>
      </c>
      <c r="Q112" s="114"/>
      <c r="R112" s="114"/>
      <c r="S112" s="114" t="s">
        <v>64</v>
      </c>
      <c r="T112" s="114" t="s">
        <v>64</v>
      </c>
      <c r="U112" s="141" t="s">
        <v>83</v>
      </c>
      <c r="V112" s="114">
        <v>2035</v>
      </c>
      <c r="W112" s="141" t="s">
        <v>84</v>
      </c>
      <c r="X112" s="421">
        <f>VLOOKUP(Table29[[#This Row],[Country Codes]],GHG!$A$8:$E$203,4,FALSE)</f>
        <v>7.8609330392057002</v>
      </c>
      <c r="Y112" s="421">
        <f>VLOOKUP(Table29[[#This Row],[Country Codes]],GHG!$A$8:$E$203,3,FALSE)</f>
        <v>4.2423658408849461</v>
      </c>
      <c r="AC112" s="176"/>
    </row>
    <row r="113" spans="2:25" x14ac:dyDescent="0.25">
      <c r="B113" s="263" t="s">
        <v>280</v>
      </c>
      <c r="C113" s="12" t="s">
        <v>281</v>
      </c>
      <c r="D113" s="12" t="s">
        <v>47</v>
      </c>
      <c r="E113" s="208" t="s">
        <v>59</v>
      </c>
      <c r="F113" s="208" t="s">
        <v>49</v>
      </c>
      <c r="G113" s="27" t="s">
        <v>50</v>
      </c>
      <c r="H113" s="27" t="s">
        <v>50</v>
      </c>
      <c r="I113" s="27" t="s">
        <v>51</v>
      </c>
      <c r="J113" s="27" t="s">
        <v>50</v>
      </c>
      <c r="K113" s="27" t="s">
        <v>50</v>
      </c>
      <c r="L113" s="114"/>
      <c r="M113" s="114"/>
      <c r="N113" s="114"/>
      <c r="O113" s="114"/>
      <c r="P113" s="114"/>
      <c r="Q113" s="114"/>
      <c r="R113" s="114"/>
      <c r="S113" s="114" t="s">
        <v>50</v>
      </c>
      <c r="T113" s="114" t="s">
        <v>50</v>
      </c>
      <c r="U113" s="141" t="s">
        <v>52</v>
      </c>
      <c r="V113" s="114" t="s">
        <v>52</v>
      </c>
      <c r="W113" s="141" t="s">
        <v>52</v>
      </c>
      <c r="X113" s="421">
        <f>VLOOKUP(Table29[[#This Row],[Country Codes]],GHG!$A$8:$E$203,4,FALSE)</f>
        <v>33.150776404127001</v>
      </c>
      <c r="Y113" s="421">
        <f>VLOOKUP(Table29[[#This Row],[Country Codes]],GHG!$A$8:$E$203,3,FALSE)</f>
        <v>1.378876889046607</v>
      </c>
    </row>
    <row r="114" spans="2:25" x14ac:dyDescent="0.25">
      <c r="B114" s="263" t="s">
        <v>282</v>
      </c>
      <c r="C114" s="12" t="s">
        <v>283</v>
      </c>
      <c r="D114" s="12" t="s">
        <v>47</v>
      </c>
      <c r="E114" s="208" t="s">
        <v>59</v>
      </c>
      <c r="F114" s="208" t="s">
        <v>49</v>
      </c>
      <c r="G114" s="27" t="s">
        <v>50</v>
      </c>
      <c r="H114" s="27" t="s">
        <v>50</v>
      </c>
      <c r="I114" s="27" t="s">
        <v>51</v>
      </c>
      <c r="J114" s="27" t="s">
        <v>50</v>
      </c>
      <c r="K114" s="27" t="s">
        <v>50</v>
      </c>
      <c r="L114" s="114"/>
      <c r="M114" s="114"/>
      <c r="N114" s="114"/>
      <c r="O114" s="114"/>
      <c r="P114" s="114"/>
      <c r="Q114" s="114"/>
      <c r="R114" s="114"/>
      <c r="S114" s="114" t="s">
        <v>64</v>
      </c>
      <c r="T114" s="114" t="s">
        <v>50</v>
      </c>
      <c r="U114" s="141" t="s">
        <v>52</v>
      </c>
      <c r="V114" s="114" t="s">
        <v>52</v>
      </c>
      <c r="W114" s="141" t="s">
        <v>52</v>
      </c>
      <c r="X114" s="421">
        <f>VLOOKUP(Table29[[#This Row],[Country Codes]],GHG!$A$8:$E$203,4,FALSE)</f>
        <v>19.714051394182</v>
      </c>
      <c r="Y114" s="421">
        <f>VLOOKUP(Table29[[#This Row],[Country Codes]],GHG!$A$8:$E$203,3,FALSE)</f>
        <v>0.78331093542905961</v>
      </c>
    </row>
    <row r="115" spans="2:25" x14ac:dyDescent="0.25">
      <c r="B115" s="263" t="s">
        <v>284</v>
      </c>
      <c r="C115" s="12" t="s">
        <v>285</v>
      </c>
      <c r="D115" s="12" t="s">
        <v>47</v>
      </c>
      <c r="E115" s="208" t="s">
        <v>48</v>
      </c>
      <c r="F115" s="208" t="s">
        <v>56</v>
      </c>
      <c r="G115" s="27" t="s">
        <v>50</v>
      </c>
      <c r="H115" s="27" t="s">
        <v>50</v>
      </c>
      <c r="I115" s="27" t="s">
        <v>51</v>
      </c>
      <c r="J115" s="27" t="s">
        <v>50</v>
      </c>
      <c r="K115" s="27" t="s">
        <v>50</v>
      </c>
      <c r="L115" s="114"/>
      <c r="M115" s="114"/>
      <c r="N115" s="114"/>
      <c r="O115" s="114"/>
      <c r="P115" s="114"/>
      <c r="Q115" s="114"/>
      <c r="R115" s="114"/>
      <c r="S115" s="114" t="s">
        <v>64</v>
      </c>
      <c r="T115" s="114" t="s">
        <v>50</v>
      </c>
      <c r="U115" s="141" t="s">
        <v>52</v>
      </c>
      <c r="V115" s="114" t="s">
        <v>52</v>
      </c>
      <c r="W115" s="141" t="s">
        <v>52</v>
      </c>
      <c r="X115" s="421">
        <f>VLOOKUP(Table29[[#This Row],[Country Codes]],GHG!$A$8:$E$203,4,FALSE)</f>
        <v>325.40584765841999</v>
      </c>
      <c r="Y115" s="421">
        <f>VLOOKUP(Table29[[#This Row],[Country Codes]],GHG!$A$8:$E$203,3,FALSE)</f>
        <v>67.382333718297971</v>
      </c>
    </row>
    <row r="116" spans="2:25" x14ac:dyDescent="0.25">
      <c r="B116" s="263" t="s">
        <v>286</v>
      </c>
      <c r="C116" s="12" t="s">
        <v>287</v>
      </c>
      <c r="D116" s="12" t="s">
        <v>47</v>
      </c>
      <c r="E116" s="208" t="s">
        <v>48</v>
      </c>
      <c r="F116" s="208" t="s">
        <v>56</v>
      </c>
      <c r="G116" s="27" t="s">
        <v>50</v>
      </c>
      <c r="H116" s="27" t="s">
        <v>50</v>
      </c>
      <c r="I116" s="27" t="s">
        <v>51</v>
      </c>
      <c r="J116" s="27" t="s">
        <v>50</v>
      </c>
      <c r="K116" s="27" t="s">
        <v>50</v>
      </c>
      <c r="L116" s="114"/>
      <c r="M116" s="114"/>
      <c r="N116" s="114" t="s">
        <v>80</v>
      </c>
      <c r="O116" s="114"/>
      <c r="P116" s="114"/>
      <c r="Q116" s="114"/>
      <c r="R116" s="114"/>
      <c r="S116" s="114" t="s">
        <v>64</v>
      </c>
      <c r="T116" s="114" t="s">
        <v>50</v>
      </c>
      <c r="U116" s="141" t="s">
        <v>52</v>
      </c>
      <c r="V116" s="114" t="s">
        <v>52</v>
      </c>
      <c r="W116" s="141" t="s">
        <v>52</v>
      </c>
      <c r="X116" s="421">
        <f>VLOOKUP(Table29[[#This Row],[Country Codes]],GHG!$A$8:$E$203,4,FALSE)</f>
        <v>3.0879519663505</v>
      </c>
      <c r="Y116" s="421">
        <f>VLOOKUP(Table29[[#This Row],[Country Codes]],GHG!$A$8:$E$203,3,FALSE)</f>
        <v>1.4972669707005819</v>
      </c>
    </row>
    <row r="117" spans="2:25" x14ac:dyDescent="0.25">
      <c r="B117" s="263" t="s">
        <v>288</v>
      </c>
      <c r="C117" s="12" t="s">
        <v>289</v>
      </c>
      <c r="D117" s="12" t="s">
        <v>47</v>
      </c>
      <c r="E117" s="208" t="s">
        <v>59</v>
      </c>
      <c r="F117" s="208" t="s">
        <v>49</v>
      </c>
      <c r="G117" s="27" t="s">
        <v>50</v>
      </c>
      <c r="H117" s="27" t="s">
        <v>50</v>
      </c>
      <c r="I117" s="27" t="s">
        <v>51</v>
      </c>
      <c r="J117" s="27" t="s">
        <v>50</v>
      </c>
      <c r="K117" s="27" t="s">
        <v>50</v>
      </c>
      <c r="L117" s="114"/>
      <c r="M117" s="114"/>
      <c r="N117" s="114"/>
      <c r="O117" s="114"/>
      <c r="P117" s="114"/>
      <c r="Q117" s="114"/>
      <c r="R117" s="114"/>
      <c r="S117" s="114" t="s">
        <v>50</v>
      </c>
      <c r="T117" s="114" t="s">
        <v>50</v>
      </c>
      <c r="U117" s="141" t="s">
        <v>52</v>
      </c>
      <c r="V117" s="114" t="s">
        <v>52</v>
      </c>
      <c r="W117" s="141" t="s">
        <v>52</v>
      </c>
      <c r="X117" s="421">
        <f>VLOOKUP(Table29[[#This Row],[Country Codes]],GHG!$A$8:$E$203,4,FALSE)</f>
        <v>45.463097500300002</v>
      </c>
      <c r="Y117" s="421">
        <f>VLOOKUP(Table29[[#This Row],[Country Codes]],GHG!$A$8:$E$203,3,FALSE)</f>
        <v>3.3931668151860381</v>
      </c>
    </row>
    <row r="118" spans="2:25" x14ac:dyDescent="0.25">
      <c r="B118" s="263" t="s">
        <v>290</v>
      </c>
      <c r="C118" s="12" t="s">
        <v>291</v>
      </c>
      <c r="D118" s="12" t="s">
        <v>78</v>
      </c>
      <c r="E118" s="208" t="s">
        <v>55</v>
      </c>
      <c r="F118" s="208" t="s">
        <v>63</v>
      </c>
      <c r="G118" s="27" t="s">
        <v>50</v>
      </c>
      <c r="H118" s="27" t="s">
        <v>50</v>
      </c>
      <c r="I118" s="27" t="s">
        <v>51</v>
      </c>
      <c r="J118" s="27" t="s">
        <v>29</v>
      </c>
      <c r="K118" s="27" t="s">
        <v>50</v>
      </c>
      <c r="L118" s="114" t="s">
        <v>80</v>
      </c>
      <c r="M118" s="114"/>
      <c r="N118" s="114" t="s">
        <v>80</v>
      </c>
      <c r="O118" s="114"/>
      <c r="P118" s="114"/>
      <c r="Q118" s="114"/>
      <c r="R118" s="114"/>
      <c r="S118" s="114" t="s">
        <v>64</v>
      </c>
      <c r="T118" s="114" t="s">
        <v>64</v>
      </c>
      <c r="U118" s="141" t="s">
        <v>83</v>
      </c>
      <c r="V118" s="114">
        <v>2035</v>
      </c>
      <c r="W118" s="141" t="s">
        <v>84</v>
      </c>
      <c r="X118" s="421">
        <f>VLOOKUP(Table29[[#This Row],[Country Codes]],GHG!$A$8:$E$203,4,FALSE)</f>
        <v>2.0338652584277002</v>
      </c>
      <c r="Y118" s="421">
        <f>VLOOKUP(Table29[[#This Row],[Country Codes]],GHG!$A$8:$E$203,3,FALSE)</f>
        <v>0.73042728349636687</v>
      </c>
    </row>
    <row r="119" spans="2:25" x14ac:dyDescent="0.25">
      <c r="B119" s="263" t="s">
        <v>292</v>
      </c>
      <c r="C119" s="12" t="s">
        <v>293</v>
      </c>
      <c r="D119" s="12" t="s">
        <v>47</v>
      </c>
      <c r="E119" s="208" t="s">
        <v>79</v>
      </c>
      <c r="F119" s="208" t="s">
        <v>56</v>
      </c>
      <c r="G119" s="27" t="s">
        <v>50</v>
      </c>
      <c r="H119" s="27" t="s">
        <v>50</v>
      </c>
      <c r="I119" s="27" t="s">
        <v>51</v>
      </c>
      <c r="J119" s="27" t="s">
        <v>50</v>
      </c>
      <c r="K119" s="27" t="s">
        <v>50</v>
      </c>
      <c r="L119" s="114"/>
      <c r="M119" s="114"/>
      <c r="N119" s="114"/>
      <c r="O119" s="114" t="s">
        <v>80</v>
      </c>
      <c r="P119" s="114"/>
      <c r="Q119" s="114"/>
      <c r="R119" s="114"/>
      <c r="S119" s="114" t="s">
        <v>64</v>
      </c>
      <c r="T119" s="114" t="s">
        <v>50</v>
      </c>
      <c r="U119" s="141" t="s">
        <v>52</v>
      </c>
      <c r="V119" s="114" t="s">
        <v>52</v>
      </c>
      <c r="W119" s="141" t="s">
        <v>52</v>
      </c>
      <c r="X119" s="421">
        <f>VLOOKUP(Table29[[#This Row],[Country Codes]],GHG!$A$8:$E$203,4,FALSE)</f>
        <v>0</v>
      </c>
      <c r="Y119" s="421">
        <f>VLOOKUP(Table29[[#This Row],[Country Codes]],GHG!$A$8:$E$203,3,FALSE)</f>
        <v>0</v>
      </c>
    </row>
    <row r="120" spans="2:25" x14ac:dyDescent="0.25">
      <c r="B120" s="263" t="s">
        <v>294</v>
      </c>
      <c r="C120" s="12" t="s">
        <v>295</v>
      </c>
      <c r="D120" s="12" t="s">
        <v>47</v>
      </c>
      <c r="E120" s="208" t="s">
        <v>59</v>
      </c>
      <c r="F120" s="208" t="s">
        <v>56</v>
      </c>
      <c r="G120" s="27" t="s">
        <v>50</v>
      </c>
      <c r="H120" s="27" t="s">
        <v>50</v>
      </c>
      <c r="I120" s="27" t="s">
        <v>51</v>
      </c>
      <c r="J120" s="27" t="s">
        <v>50</v>
      </c>
      <c r="K120" s="27" t="s">
        <v>50</v>
      </c>
      <c r="L120" s="114"/>
      <c r="M120" s="114"/>
      <c r="N120" s="114"/>
      <c r="O120" s="114"/>
      <c r="P120" s="114"/>
      <c r="Q120" s="114"/>
      <c r="R120" s="114"/>
      <c r="S120" s="114" t="s">
        <v>64</v>
      </c>
      <c r="T120" s="114" t="s">
        <v>50</v>
      </c>
      <c r="U120" s="141" t="s">
        <v>52</v>
      </c>
      <c r="V120" s="114" t="s">
        <v>52</v>
      </c>
      <c r="W120" s="141" t="s">
        <v>52</v>
      </c>
      <c r="X120" s="421">
        <f>VLOOKUP(Table29[[#This Row],[Country Codes]],GHG!$A$8:$E$203,4,FALSE)</f>
        <v>16.509274363264002</v>
      </c>
      <c r="Y120" s="421">
        <f>VLOOKUP(Table29[[#This Row],[Country Codes]],GHG!$A$8:$E$203,3,FALSE)</f>
        <v>2.480994947533218</v>
      </c>
    </row>
    <row r="121" spans="2:25" x14ac:dyDescent="0.25">
      <c r="B121" s="263" t="s">
        <v>296</v>
      </c>
      <c r="C121" s="12" t="s">
        <v>297</v>
      </c>
      <c r="D121" s="12" t="s">
        <v>47</v>
      </c>
      <c r="E121" s="208" t="s">
        <v>59</v>
      </c>
      <c r="F121" s="208" t="s">
        <v>56</v>
      </c>
      <c r="G121" s="27" t="s">
        <v>50</v>
      </c>
      <c r="H121" s="27" t="s">
        <v>50</v>
      </c>
      <c r="I121" s="27" t="s">
        <v>51</v>
      </c>
      <c r="J121" s="27" t="s">
        <v>50</v>
      </c>
      <c r="K121" s="27" t="s">
        <v>50</v>
      </c>
      <c r="L121" s="114"/>
      <c r="M121" s="114"/>
      <c r="N121" s="114"/>
      <c r="O121" s="114"/>
      <c r="P121" s="114"/>
      <c r="Q121" s="114"/>
      <c r="R121" s="114"/>
      <c r="S121" s="114" t="s">
        <v>64</v>
      </c>
      <c r="T121" s="114" t="s">
        <v>50</v>
      </c>
      <c r="U121" s="141" t="s">
        <v>52</v>
      </c>
      <c r="V121" s="114" t="s">
        <v>52</v>
      </c>
      <c r="W121" s="141" t="s">
        <v>52</v>
      </c>
      <c r="X121" s="421">
        <f>VLOOKUP(Table29[[#This Row],[Country Codes]],GHG!$A$8:$E$203,4,FALSE)</f>
        <v>6.1987377637868999</v>
      </c>
      <c r="Y121" s="421">
        <f>VLOOKUP(Table29[[#This Row],[Country Codes]],GHG!$A$8:$E$203,3,FALSE)</f>
        <v>1.164355346283908</v>
      </c>
    </row>
    <row r="122" spans="2:25" x14ac:dyDescent="0.25">
      <c r="B122" s="263" t="s">
        <v>298</v>
      </c>
      <c r="C122" s="12" t="s">
        <v>299</v>
      </c>
      <c r="D122" s="12" t="s">
        <v>47</v>
      </c>
      <c r="E122" s="208" t="s">
        <v>69</v>
      </c>
      <c r="F122" s="208" t="s">
        <v>56</v>
      </c>
      <c r="G122" s="27" t="s">
        <v>26</v>
      </c>
      <c r="H122" s="27" t="s">
        <v>50</v>
      </c>
      <c r="I122" s="27" t="s">
        <v>28</v>
      </c>
      <c r="J122" s="27" t="s">
        <v>50</v>
      </c>
      <c r="K122" s="27" t="s">
        <v>50</v>
      </c>
      <c r="L122" s="114" t="s">
        <v>80</v>
      </c>
      <c r="M122" s="114"/>
      <c r="N122" s="114"/>
      <c r="O122" s="114"/>
      <c r="P122" s="114"/>
      <c r="Q122" s="114"/>
      <c r="R122" s="114"/>
      <c r="S122" s="114" t="s">
        <v>50</v>
      </c>
      <c r="T122" s="114" t="s">
        <v>50</v>
      </c>
      <c r="U122" s="141" t="s">
        <v>52</v>
      </c>
      <c r="V122" s="114" t="s">
        <v>52</v>
      </c>
      <c r="W122" s="141" t="s">
        <v>52</v>
      </c>
      <c r="X122" s="421">
        <f>VLOOKUP(Table29[[#This Row],[Country Codes]],GHG!$A$8:$E$203,4,FALSE)</f>
        <v>712.10209803987004</v>
      </c>
      <c r="Y122" s="421">
        <f>VLOOKUP(Table29[[#This Row],[Country Codes]],GHG!$A$8:$E$203,3,FALSE)</f>
        <v>132.220611733639</v>
      </c>
    </row>
    <row r="123" spans="2:25" ht="45" x14ac:dyDescent="0.25">
      <c r="B123" s="263" t="s">
        <v>300</v>
      </c>
      <c r="C123" s="20" t="s">
        <v>301</v>
      </c>
      <c r="D123" s="12" t="s">
        <v>47</v>
      </c>
      <c r="E123" s="208" t="s">
        <v>79</v>
      </c>
      <c r="F123" s="208" t="s">
        <v>56</v>
      </c>
      <c r="G123" s="27" t="s">
        <v>50</v>
      </c>
      <c r="H123" s="27" t="s">
        <v>50</v>
      </c>
      <c r="I123" s="27" t="s">
        <v>51</v>
      </c>
      <c r="J123" s="27" t="s">
        <v>50</v>
      </c>
      <c r="K123" s="27" t="s">
        <v>50</v>
      </c>
      <c r="L123" s="114"/>
      <c r="M123" s="114"/>
      <c r="N123" s="114"/>
      <c r="O123" s="114"/>
      <c r="P123" s="114"/>
      <c r="Q123" s="114"/>
      <c r="R123" s="114"/>
      <c r="S123" s="114" t="s">
        <v>50</v>
      </c>
      <c r="T123" s="114" t="s">
        <v>50</v>
      </c>
      <c r="U123" s="141" t="s">
        <v>52</v>
      </c>
      <c r="V123" s="114" t="s">
        <v>52</v>
      </c>
      <c r="W123" s="141" t="s">
        <v>52</v>
      </c>
      <c r="X123" s="421">
        <f>VLOOKUP(Table29[[#This Row],[Country Codes]],GHG!$A$8:$E$203,4,FALSE)</f>
        <v>0</v>
      </c>
      <c r="Y123" s="421">
        <f>VLOOKUP(Table29[[#This Row],[Country Codes]],GHG!$A$8:$E$203,3,FALSE)</f>
        <v>0</v>
      </c>
    </row>
    <row r="124" spans="2:25" x14ac:dyDescent="0.25">
      <c r="B124" s="263" t="s">
        <v>302</v>
      </c>
      <c r="C124" s="12" t="s">
        <v>303</v>
      </c>
      <c r="D124" s="12" t="s">
        <v>78</v>
      </c>
      <c r="E124" s="208" t="s">
        <v>55</v>
      </c>
      <c r="F124" s="208" t="s">
        <v>63</v>
      </c>
      <c r="G124" s="27" t="s">
        <v>50</v>
      </c>
      <c r="H124" s="27" t="s">
        <v>50</v>
      </c>
      <c r="I124" s="27" t="s">
        <v>51</v>
      </c>
      <c r="J124" s="27" t="s">
        <v>50</v>
      </c>
      <c r="K124" s="27" t="s">
        <v>50</v>
      </c>
      <c r="L124" s="114"/>
      <c r="M124" s="114"/>
      <c r="N124" s="114"/>
      <c r="O124" s="114"/>
      <c r="P124" s="114"/>
      <c r="Q124" s="114"/>
      <c r="R124" s="114"/>
      <c r="S124" s="114" t="s">
        <v>64</v>
      </c>
      <c r="T124" s="114" t="s">
        <v>64</v>
      </c>
      <c r="U124" s="141" t="s">
        <v>304</v>
      </c>
      <c r="V124" s="114">
        <v>2030</v>
      </c>
      <c r="W124" s="365"/>
      <c r="X124" s="421">
        <f>VLOOKUP(Table29[[#This Row],[Country Codes]],GHG!$A$8:$E$203,4,FALSE)</f>
        <v>0</v>
      </c>
      <c r="Y124" s="421">
        <f>VLOOKUP(Table29[[#This Row],[Country Codes]],GHG!$A$8:$E$203,3,FALSE)</f>
        <v>0</v>
      </c>
    </row>
    <row r="125" spans="2:25" x14ac:dyDescent="0.25">
      <c r="B125" s="263" t="s">
        <v>305</v>
      </c>
      <c r="C125" s="12" t="s">
        <v>306</v>
      </c>
      <c r="D125" s="12" t="s">
        <v>47</v>
      </c>
      <c r="E125" s="208" t="s">
        <v>48</v>
      </c>
      <c r="F125" s="208" t="s">
        <v>56</v>
      </c>
      <c r="G125" s="27" t="s">
        <v>50</v>
      </c>
      <c r="H125" s="27" t="s">
        <v>50</v>
      </c>
      <c r="I125" s="27" t="s">
        <v>51</v>
      </c>
      <c r="J125" s="27" t="s">
        <v>50</v>
      </c>
      <c r="K125" s="27" t="s">
        <v>50</v>
      </c>
      <c r="L125" s="114"/>
      <c r="M125" s="114"/>
      <c r="N125" s="114"/>
      <c r="O125" s="114"/>
      <c r="P125" s="114"/>
      <c r="Q125" s="114"/>
      <c r="R125" s="114"/>
      <c r="S125" s="114" t="s">
        <v>50</v>
      </c>
      <c r="T125" s="114" t="s">
        <v>50</v>
      </c>
      <c r="U125" s="141" t="s">
        <v>52</v>
      </c>
      <c r="V125" s="114" t="s">
        <v>52</v>
      </c>
      <c r="W125" s="141" t="s">
        <v>52</v>
      </c>
      <c r="X125" s="421">
        <f>VLOOKUP(Table29[[#This Row],[Country Codes]],GHG!$A$8:$E$203,4,FALSE)</f>
        <v>83.704559899686998</v>
      </c>
      <c r="Y125" s="421">
        <f>VLOOKUP(Table29[[#This Row],[Country Codes]],GHG!$A$8:$E$203,3,FALSE)</f>
        <v>3.0053836949054058</v>
      </c>
    </row>
    <row r="126" spans="2:25" x14ac:dyDescent="0.25">
      <c r="B126" s="263" t="s">
        <v>307</v>
      </c>
      <c r="C126" s="12" t="s">
        <v>308</v>
      </c>
      <c r="D126" s="12" t="s">
        <v>47</v>
      </c>
      <c r="E126" s="208" t="s">
        <v>55</v>
      </c>
      <c r="F126" s="208" t="s">
        <v>56</v>
      </c>
      <c r="G126" s="27" t="s">
        <v>50</v>
      </c>
      <c r="H126" s="27" t="s">
        <v>50</v>
      </c>
      <c r="I126" s="27" t="s">
        <v>51</v>
      </c>
      <c r="J126" s="27" t="s">
        <v>50</v>
      </c>
      <c r="K126" s="27" t="s">
        <v>50</v>
      </c>
      <c r="L126" s="114"/>
      <c r="M126" s="114"/>
      <c r="N126" s="114"/>
      <c r="O126" s="114"/>
      <c r="P126" s="114"/>
      <c r="Q126" s="114"/>
      <c r="R126" s="114"/>
      <c r="S126" s="114" t="s">
        <v>64</v>
      </c>
      <c r="T126" s="114" t="s">
        <v>50</v>
      </c>
      <c r="U126" s="141" t="s">
        <v>52</v>
      </c>
      <c r="V126" s="114" t="s">
        <v>52</v>
      </c>
      <c r="W126" s="141" t="s">
        <v>52</v>
      </c>
      <c r="X126" s="421">
        <f>VLOOKUP(Table29[[#This Row],[Country Codes]],GHG!$A$8:$E$203,4,FALSE)</f>
        <v>0</v>
      </c>
      <c r="Y126" s="421">
        <f>VLOOKUP(Table29[[#This Row],[Country Codes]],GHG!$A$8:$E$203,3,FALSE)</f>
        <v>0</v>
      </c>
    </row>
    <row r="127" spans="2:25" x14ac:dyDescent="0.25">
      <c r="B127" s="263" t="s">
        <v>309</v>
      </c>
      <c r="C127" s="12" t="s">
        <v>310</v>
      </c>
      <c r="D127" s="12" t="s">
        <v>47</v>
      </c>
      <c r="E127" s="208" t="s">
        <v>59</v>
      </c>
      <c r="F127" s="208" t="s">
        <v>56</v>
      </c>
      <c r="G127" s="27" t="s">
        <v>50</v>
      </c>
      <c r="H127" s="27" t="s">
        <v>50</v>
      </c>
      <c r="I127" s="27" t="s">
        <v>51</v>
      </c>
      <c r="J127" s="27" t="s">
        <v>50</v>
      </c>
      <c r="K127" s="114" t="s">
        <v>60</v>
      </c>
      <c r="L127" s="114" t="s">
        <v>80</v>
      </c>
      <c r="M127" s="114" t="s">
        <v>80</v>
      </c>
      <c r="N127" s="114" t="s">
        <v>80</v>
      </c>
      <c r="O127" s="114" t="s">
        <v>80</v>
      </c>
      <c r="P127" s="114"/>
      <c r="Q127" s="114"/>
      <c r="R127" s="114"/>
      <c r="S127" s="114" t="s">
        <v>64</v>
      </c>
      <c r="T127" s="114" t="s">
        <v>50</v>
      </c>
      <c r="U127" s="141" t="s">
        <v>52</v>
      </c>
      <c r="V127" s="114" t="s">
        <v>52</v>
      </c>
      <c r="W127" s="141" t="s">
        <v>52</v>
      </c>
      <c r="X127" s="421">
        <f>VLOOKUP(Table29[[#This Row],[Country Codes]],GHG!$A$8:$E$203,4,FALSE)</f>
        <v>106.60223103187001</v>
      </c>
      <c r="Y127" s="421">
        <f>VLOOKUP(Table29[[#This Row],[Country Codes]],GHG!$A$8:$E$203,3,FALSE)</f>
        <v>17.689478774478111</v>
      </c>
    </row>
    <row r="128" spans="2:25" x14ac:dyDescent="0.25">
      <c r="B128" s="263" t="s">
        <v>311</v>
      </c>
      <c r="C128" s="12" t="s">
        <v>312</v>
      </c>
      <c r="D128" s="12" t="s">
        <v>47</v>
      </c>
      <c r="E128" s="208" t="s">
        <v>59</v>
      </c>
      <c r="F128" s="208" t="s">
        <v>49</v>
      </c>
      <c r="G128" s="27" t="s">
        <v>50</v>
      </c>
      <c r="H128" s="27" t="s">
        <v>50</v>
      </c>
      <c r="I128" s="27" t="s">
        <v>51</v>
      </c>
      <c r="J128" s="27" t="s">
        <v>50</v>
      </c>
      <c r="K128" s="27" t="s">
        <v>50</v>
      </c>
      <c r="L128" s="114"/>
      <c r="M128" s="114"/>
      <c r="N128" s="114"/>
      <c r="O128" s="114"/>
      <c r="P128" s="114"/>
      <c r="Q128" s="114"/>
      <c r="R128" s="114"/>
      <c r="S128" s="114" t="s">
        <v>50</v>
      </c>
      <c r="T128" s="114" t="s">
        <v>50</v>
      </c>
      <c r="U128" s="141" t="s">
        <v>52</v>
      </c>
      <c r="V128" s="114" t="s">
        <v>52</v>
      </c>
      <c r="W128" s="141" t="s">
        <v>52</v>
      </c>
      <c r="X128" s="421">
        <f>VLOOKUP(Table29[[#This Row],[Country Codes]],GHG!$A$8:$E$203,4,FALSE)</f>
        <v>33.953984042408003</v>
      </c>
      <c r="Y128" s="421">
        <f>VLOOKUP(Table29[[#This Row],[Country Codes]],GHG!$A$8:$E$203,3,FALSE)</f>
        <v>3.9936406306970689</v>
      </c>
    </row>
    <row r="129" spans="2:25" x14ac:dyDescent="0.25">
      <c r="B129" s="263" t="s">
        <v>313</v>
      </c>
      <c r="C129" s="12" t="s">
        <v>314</v>
      </c>
      <c r="D129" s="12" t="s">
        <v>47</v>
      </c>
      <c r="E129" s="208" t="s">
        <v>48</v>
      </c>
      <c r="F129" s="208" t="s">
        <v>56</v>
      </c>
      <c r="G129" s="27" t="s">
        <v>50</v>
      </c>
      <c r="H129" s="27" t="s">
        <v>50</v>
      </c>
      <c r="I129" s="27" t="s">
        <v>51</v>
      </c>
      <c r="J129" s="27" t="s">
        <v>50</v>
      </c>
      <c r="K129" s="27" t="s">
        <v>50</v>
      </c>
      <c r="L129" s="114"/>
      <c r="M129" s="114"/>
      <c r="N129" s="114"/>
      <c r="O129" s="114"/>
      <c r="P129" s="114"/>
      <c r="Q129" s="114"/>
      <c r="R129" s="114"/>
      <c r="S129" s="114" t="s">
        <v>50</v>
      </c>
      <c r="T129" s="114" t="s">
        <v>50</v>
      </c>
      <c r="U129" s="141" t="s">
        <v>52</v>
      </c>
      <c r="V129" s="114" t="s">
        <v>52</v>
      </c>
      <c r="W129" s="141" t="s">
        <v>52</v>
      </c>
      <c r="X129" s="421">
        <f>VLOOKUP(Table29[[#This Row],[Country Codes]],GHG!$A$8:$E$203,4,FALSE)</f>
        <v>115.07725289766</v>
      </c>
      <c r="Y129" s="421">
        <f>VLOOKUP(Table29[[#This Row],[Country Codes]],GHG!$A$8:$E$203,3,FALSE)</f>
        <v>5.5409798384290738</v>
      </c>
    </row>
    <row r="130" spans="2:25" x14ac:dyDescent="0.25">
      <c r="B130" s="263" t="s">
        <v>315</v>
      </c>
      <c r="C130" s="12" t="s">
        <v>316</v>
      </c>
      <c r="D130" s="12" t="s">
        <v>47</v>
      </c>
      <c r="E130" s="208" t="s">
        <v>59</v>
      </c>
      <c r="F130" s="208" t="s">
        <v>56</v>
      </c>
      <c r="G130" s="27" t="s">
        <v>50</v>
      </c>
      <c r="H130" s="27" t="s">
        <v>50</v>
      </c>
      <c r="I130" s="27" t="s">
        <v>51</v>
      </c>
      <c r="J130" s="27" t="s">
        <v>50</v>
      </c>
      <c r="K130" s="27" t="s">
        <v>50</v>
      </c>
      <c r="L130" s="114"/>
      <c r="M130" s="114" t="s">
        <v>80</v>
      </c>
      <c r="N130" s="114"/>
      <c r="O130" s="114"/>
      <c r="P130" s="114"/>
      <c r="Q130" s="114"/>
      <c r="R130" s="114"/>
      <c r="S130" s="114" t="s">
        <v>64</v>
      </c>
      <c r="T130" s="114" t="s">
        <v>50</v>
      </c>
      <c r="U130" s="141" t="s">
        <v>52</v>
      </c>
      <c r="V130" s="114" t="s">
        <v>52</v>
      </c>
      <c r="W130" s="141" t="s">
        <v>52</v>
      </c>
      <c r="X130" s="421">
        <f>VLOOKUP(Table29[[#This Row],[Country Codes]],GHG!$A$8:$E$203,4,FALSE)</f>
        <v>12.885675050293001</v>
      </c>
      <c r="Y130" s="421">
        <f>VLOOKUP(Table29[[#This Row],[Country Codes]],GHG!$A$8:$E$203,3,FALSE)</f>
        <v>2.1850282301150679</v>
      </c>
    </row>
    <row r="131" spans="2:25" x14ac:dyDescent="0.25">
      <c r="B131" s="263" t="s">
        <v>317</v>
      </c>
      <c r="C131" s="12" t="s">
        <v>318</v>
      </c>
      <c r="D131" s="12" t="s">
        <v>47</v>
      </c>
      <c r="E131" s="208" t="s">
        <v>79</v>
      </c>
      <c r="F131" s="208" t="s">
        <v>63</v>
      </c>
      <c r="G131" s="27" t="s">
        <v>50</v>
      </c>
      <c r="H131" s="27" t="s">
        <v>50</v>
      </c>
      <c r="I131" s="27" t="s">
        <v>51</v>
      </c>
      <c r="J131" s="27" t="s">
        <v>50</v>
      </c>
      <c r="K131" s="27" t="s">
        <v>50</v>
      </c>
      <c r="L131" s="114"/>
      <c r="M131" s="114"/>
      <c r="N131" s="114"/>
      <c r="O131" s="114"/>
      <c r="P131" s="114"/>
      <c r="Q131" s="114"/>
      <c r="R131" s="114"/>
      <c r="S131" s="114" t="s">
        <v>64</v>
      </c>
      <c r="T131" s="114" t="s">
        <v>50</v>
      </c>
      <c r="U131" s="141" t="s">
        <v>52</v>
      </c>
      <c r="V131" s="114" t="s">
        <v>52</v>
      </c>
      <c r="W131" s="141" t="s">
        <v>52</v>
      </c>
      <c r="X131" s="421">
        <f>VLOOKUP(Table29[[#This Row],[Country Codes]],GHG!$A$8:$E$203,4,FALSE)</f>
        <v>0</v>
      </c>
      <c r="Y131" s="421">
        <f>VLOOKUP(Table29[[#This Row],[Country Codes]],GHG!$A$8:$E$203,3,FALSE)</f>
        <v>0</v>
      </c>
    </row>
    <row r="132" spans="2:25" x14ac:dyDescent="0.25">
      <c r="B132" s="263" t="s">
        <v>319</v>
      </c>
      <c r="C132" s="12" t="s">
        <v>320</v>
      </c>
      <c r="D132" s="12" t="s">
        <v>47</v>
      </c>
      <c r="E132" s="208" t="s">
        <v>48</v>
      </c>
      <c r="F132" s="208" t="s">
        <v>56</v>
      </c>
      <c r="G132" s="27" t="s">
        <v>50</v>
      </c>
      <c r="H132" s="27" t="s">
        <v>50</v>
      </c>
      <c r="I132" s="27" t="s">
        <v>51</v>
      </c>
      <c r="J132" s="27" t="s">
        <v>50</v>
      </c>
      <c r="K132" s="27" t="s">
        <v>50</v>
      </c>
      <c r="L132" s="114"/>
      <c r="M132" s="114"/>
      <c r="N132" s="114"/>
      <c r="O132" s="114"/>
      <c r="P132" s="114"/>
      <c r="Q132" s="114"/>
      <c r="R132" s="114"/>
      <c r="S132" s="114" t="s">
        <v>64</v>
      </c>
      <c r="T132" s="114" t="s">
        <v>50</v>
      </c>
      <c r="U132" s="141" t="s">
        <v>52</v>
      </c>
      <c r="V132" s="114" t="s">
        <v>52</v>
      </c>
      <c r="W132" s="141" t="s">
        <v>52</v>
      </c>
      <c r="X132" s="421">
        <f>VLOOKUP(Table29[[#This Row],[Country Codes]],GHG!$A$8:$E$203,4,FALSE)</f>
        <v>56.830982733611002</v>
      </c>
      <c r="Y132" s="421">
        <f>VLOOKUP(Table29[[#This Row],[Country Codes]],GHG!$A$8:$E$203,3,FALSE)</f>
        <v>4.8627503945089332</v>
      </c>
    </row>
    <row r="133" spans="2:25" x14ac:dyDescent="0.25">
      <c r="B133" s="263" t="s">
        <v>321</v>
      </c>
      <c r="C133" s="12" t="s">
        <v>322</v>
      </c>
      <c r="D133" s="12" t="s">
        <v>78</v>
      </c>
      <c r="E133" s="208" t="s">
        <v>55</v>
      </c>
      <c r="F133" s="208" t="s">
        <v>63</v>
      </c>
      <c r="G133" s="27" t="s">
        <v>50</v>
      </c>
      <c r="H133" s="27" t="s">
        <v>50</v>
      </c>
      <c r="I133" s="27" t="s">
        <v>28</v>
      </c>
      <c r="J133" s="27" t="s">
        <v>29</v>
      </c>
      <c r="K133" s="27" t="s">
        <v>50</v>
      </c>
      <c r="L133" s="114" t="s">
        <v>80</v>
      </c>
      <c r="M133" s="114"/>
      <c r="N133" s="114" t="s">
        <v>80</v>
      </c>
      <c r="O133" s="114" t="s">
        <v>80</v>
      </c>
      <c r="P133" s="114" t="s">
        <v>80</v>
      </c>
      <c r="Q133" s="114"/>
      <c r="R133" s="114" t="s">
        <v>80</v>
      </c>
      <c r="S133" s="114" t="s">
        <v>64</v>
      </c>
      <c r="T133" s="114" t="s">
        <v>64</v>
      </c>
      <c r="U133" s="141" t="s">
        <v>83</v>
      </c>
      <c r="V133" s="114">
        <v>2035</v>
      </c>
      <c r="W133" s="141" t="s">
        <v>84</v>
      </c>
      <c r="X133" s="421">
        <f>VLOOKUP(Table29[[#This Row],[Country Codes]],GHG!$A$8:$E$203,4,FALSE)</f>
        <v>150.74579824257</v>
      </c>
      <c r="Y133" s="421">
        <f>VLOOKUP(Table29[[#This Row],[Country Codes]],GHG!$A$8:$E$203,3,FALSE)</f>
        <v>25.78124755164097</v>
      </c>
    </row>
    <row r="134" spans="2:25" x14ac:dyDescent="0.25">
      <c r="B134" s="263" t="s">
        <v>323</v>
      </c>
      <c r="C134" s="12" t="s">
        <v>324</v>
      </c>
      <c r="D134" s="12" t="s">
        <v>78</v>
      </c>
      <c r="E134" s="208" t="s">
        <v>79</v>
      </c>
      <c r="F134" s="208" t="s">
        <v>63</v>
      </c>
      <c r="G134" s="27" t="s">
        <v>50</v>
      </c>
      <c r="H134" s="27" t="s">
        <v>50</v>
      </c>
      <c r="I134" s="27" t="s">
        <v>28</v>
      </c>
      <c r="J134" s="27" t="s">
        <v>50</v>
      </c>
      <c r="K134" s="27" t="s">
        <v>50</v>
      </c>
      <c r="L134" s="114" t="s">
        <v>80</v>
      </c>
      <c r="M134" s="114" t="s">
        <v>80</v>
      </c>
      <c r="N134" s="114" t="s">
        <v>80</v>
      </c>
      <c r="O134" s="114" t="s">
        <v>80</v>
      </c>
      <c r="P134" s="114" t="s">
        <v>80</v>
      </c>
      <c r="Q134" s="114" t="s">
        <v>80</v>
      </c>
      <c r="R134" s="114"/>
      <c r="S134" s="114" t="s">
        <v>64</v>
      </c>
      <c r="T134" s="114" t="s">
        <v>50</v>
      </c>
      <c r="U134" s="141" t="s">
        <v>52</v>
      </c>
      <c r="V134" s="114" t="s">
        <v>52</v>
      </c>
      <c r="W134" s="141" t="s">
        <v>52</v>
      </c>
      <c r="X134" s="421">
        <f>VLOOKUP(Table29[[#This Row],[Country Codes]],GHG!$A$8:$E$203,4,FALSE)</f>
        <v>84.209811532415003</v>
      </c>
      <c r="Y134" s="421">
        <f>VLOOKUP(Table29[[#This Row],[Country Codes]],GHG!$A$8:$E$203,3,FALSE)</f>
        <v>16.240725424217811</v>
      </c>
    </row>
    <row r="135" spans="2:25" x14ac:dyDescent="0.25">
      <c r="B135" s="263" t="s">
        <v>325</v>
      </c>
      <c r="C135" s="12" t="s">
        <v>326</v>
      </c>
      <c r="D135" s="12" t="s">
        <v>47</v>
      </c>
      <c r="E135" s="208" t="s">
        <v>69</v>
      </c>
      <c r="F135" s="208" t="s">
        <v>56</v>
      </c>
      <c r="G135" s="27" t="s">
        <v>50</v>
      </c>
      <c r="H135" s="27" t="s">
        <v>50</v>
      </c>
      <c r="I135" s="27" t="s">
        <v>51</v>
      </c>
      <c r="J135" s="27" t="s">
        <v>50</v>
      </c>
      <c r="K135" s="27" t="s">
        <v>50</v>
      </c>
      <c r="L135" s="114"/>
      <c r="M135" s="114"/>
      <c r="N135" s="114"/>
      <c r="O135" s="114"/>
      <c r="P135" s="114"/>
      <c r="Q135" s="114"/>
      <c r="R135" s="114"/>
      <c r="S135" s="114" t="s">
        <v>50</v>
      </c>
      <c r="T135" s="114" t="s">
        <v>50</v>
      </c>
      <c r="U135" s="141" t="s">
        <v>52</v>
      </c>
      <c r="V135" s="114" t="s">
        <v>52</v>
      </c>
      <c r="W135" s="141" t="s">
        <v>52</v>
      </c>
      <c r="X135" s="421">
        <f>VLOOKUP(Table29[[#This Row],[Country Codes]],GHG!$A$8:$E$203,4,FALSE)</f>
        <v>20.628271187746002</v>
      </c>
      <c r="Y135" s="421">
        <f>VLOOKUP(Table29[[#This Row],[Country Codes]],GHG!$A$8:$E$203,3,FALSE)</f>
        <v>2.7684154135495191</v>
      </c>
    </row>
    <row r="136" spans="2:25" x14ac:dyDescent="0.25">
      <c r="B136" s="263" t="s">
        <v>327</v>
      </c>
      <c r="C136" s="12" t="s">
        <v>328</v>
      </c>
      <c r="D136" s="12" t="s">
        <v>47</v>
      </c>
      <c r="E136" s="208" t="s">
        <v>59</v>
      </c>
      <c r="F136" s="208" t="s">
        <v>49</v>
      </c>
      <c r="G136" s="27" t="s">
        <v>50</v>
      </c>
      <c r="H136" s="27" t="s">
        <v>50</v>
      </c>
      <c r="I136" s="27" t="s">
        <v>51</v>
      </c>
      <c r="J136" s="27" t="s">
        <v>50</v>
      </c>
      <c r="K136" s="27" t="s">
        <v>50</v>
      </c>
      <c r="L136" s="114"/>
      <c r="M136" s="114"/>
      <c r="N136" s="114"/>
      <c r="O136" s="114"/>
      <c r="P136" s="114"/>
      <c r="Q136" s="114"/>
      <c r="R136" s="114"/>
      <c r="S136" s="114" t="s">
        <v>50</v>
      </c>
      <c r="T136" s="114" t="s">
        <v>50</v>
      </c>
      <c r="U136" s="141" t="s">
        <v>52</v>
      </c>
      <c r="V136" s="114" t="s">
        <v>52</v>
      </c>
      <c r="W136" s="141" t="s">
        <v>52</v>
      </c>
      <c r="X136" s="421">
        <f>VLOOKUP(Table29[[#This Row],[Country Codes]],GHG!$A$8:$E$203,4,FALSE)</f>
        <v>42.334092053638997</v>
      </c>
      <c r="Y136" s="421">
        <f>VLOOKUP(Table29[[#This Row],[Country Codes]],GHG!$A$8:$E$203,3,FALSE)</f>
        <v>1.2904826169822099</v>
      </c>
    </row>
    <row r="137" spans="2:25" x14ac:dyDescent="0.25">
      <c r="B137" s="263" t="s">
        <v>329</v>
      </c>
      <c r="C137" s="12" t="s">
        <v>330</v>
      </c>
      <c r="D137" s="12" t="s">
        <v>47</v>
      </c>
      <c r="E137" s="208" t="s">
        <v>59</v>
      </c>
      <c r="F137" s="208" t="s">
        <v>56</v>
      </c>
      <c r="G137" s="27" t="s">
        <v>50</v>
      </c>
      <c r="H137" s="27" t="s">
        <v>50</v>
      </c>
      <c r="I137" s="27" t="s">
        <v>51</v>
      </c>
      <c r="J137" s="27" t="s">
        <v>50</v>
      </c>
      <c r="K137" s="27" t="s">
        <v>50</v>
      </c>
      <c r="L137" s="114"/>
      <c r="M137" s="114"/>
      <c r="N137" s="114"/>
      <c r="O137" s="114"/>
      <c r="P137" s="114"/>
      <c r="Q137" s="114"/>
      <c r="R137" s="114"/>
      <c r="S137" s="114" t="s">
        <v>64</v>
      </c>
      <c r="T137" s="114" t="s">
        <v>50</v>
      </c>
      <c r="U137" s="141" t="s">
        <v>52</v>
      </c>
      <c r="V137" s="114" t="s">
        <v>52</v>
      </c>
      <c r="W137" s="141" t="s">
        <v>52</v>
      </c>
      <c r="X137" s="421">
        <f>VLOOKUP(Table29[[#This Row],[Country Codes]],GHG!$A$8:$E$203,4,FALSE)</f>
        <v>385.11288377147002</v>
      </c>
      <c r="Y137" s="421">
        <f>VLOOKUP(Table29[[#This Row],[Country Codes]],GHG!$A$8:$E$203,3,FALSE)</f>
        <v>58.971195919965467</v>
      </c>
    </row>
    <row r="138" spans="2:25" x14ac:dyDescent="0.25">
      <c r="B138" s="263" t="s">
        <v>331</v>
      </c>
      <c r="C138" s="12" t="s">
        <v>332</v>
      </c>
      <c r="D138" s="12" t="s">
        <v>47</v>
      </c>
      <c r="E138" s="208" t="s">
        <v>79</v>
      </c>
      <c r="F138" s="208" t="s">
        <v>49</v>
      </c>
      <c r="G138" s="27" t="s">
        <v>50</v>
      </c>
      <c r="H138" s="27" t="s">
        <v>50</v>
      </c>
      <c r="I138" s="27" t="s">
        <v>51</v>
      </c>
      <c r="J138" s="27" t="s">
        <v>50</v>
      </c>
      <c r="K138" s="27" t="s">
        <v>50</v>
      </c>
      <c r="L138" s="114"/>
      <c r="M138" s="114"/>
      <c r="N138" s="114"/>
      <c r="O138" s="114"/>
      <c r="P138" s="114"/>
      <c r="Q138" s="114"/>
      <c r="R138" s="114"/>
      <c r="S138" s="114" t="s">
        <v>50</v>
      </c>
      <c r="T138" s="114" t="s">
        <v>50</v>
      </c>
      <c r="U138" s="141" t="s">
        <v>52</v>
      </c>
      <c r="V138" s="114" t="s">
        <v>52</v>
      </c>
      <c r="W138" s="141" t="s">
        <v>52</v>
      </c>
      <c r="X138" s="421" t="e">
        <f>VLOOKUP(Table29[[#This Row],[Country Codes]],GHG!$A$8:$E$203,4,FALSE)</f>
        <v>#N/A</v>
      </c>
      <c r="Y138" s="421" t="e">
        <f>VLOOKUP(Table29[[#This Row],[Country Codes]],GHG!$A$8:$E$203,3,FALSE)</f>
        <v>#N/A</v>
      </c>
    </row>
    <row r="139" spans="2:25" x14ac:dyDescent="0.25">
      <c r="B139" s="263" t="s">
        <v>333</v>
      </c>
      <c r="C139" s="12" t="s">
        <v>334</v>
      </c>
      <c r="D139" s="12" t="s">
        <v>78</v>
      </c>
      <c r="E139" s="208" t="s">
        <v>55</v>
      </c>
      <c r="F139" s="208" t="s">
        <v>63</v>
      </c>
      <c r="G139" s="27" t="s">
        <v>50</v>
      </c>
      <c r="H139" s="27" t="s">
        <v>50</v>
      </c>
      <c r="I139" s="27" t="s">
        <v>28</v>
      </c>
      <c r="J139" s="27" t="s">
        <v>50</v>
      </c>
      <c r="K139" s="27" t="s">
        <v>50</v>
      </c>
      <c r="L139" s="114" t="s">
        <v>80</v>
      </c>
      <c r="M139" s="114" t="s">
        <v>80</v>
      </c>
      <c r="N139" s="114" t="s">
        <v>80</v>
      </c>
      <c r="O139" s="114" t="s">
        <v>80</v>
      </c>
      <c r="P139" s="114" t="s">
        <v>80</v>
      </c>
      <c r="Q139" s="114"/>
      <c r="R139" s="114"/>
      <c r="S139" s="114" t="s">
        <v>50</v>
      </c>
      <c r="T139" s="114" t="s">
        <v>50</v>
      </c>
      <c r="U139" s="141" t="s">
        <v>52</v>
      </c>
      <c r="V139" s="114" t="s">
        <v>52</v>
      </c>
      <c r="W139" s="141" t="s">
        <v>52</v>
      </c>
      <c r="X139" s="421">
        <f>VLOOKUP(Table29[[#This Row],[Country Codes]],GHG!$A$8:$E$203,4,FALSE)</f>
        <v>56.717099715738001</v>
      </c>
      <c r="Y139" s="421">
        <f>VLOOKUP(Table29[[#This Row],[Country Codes]],GHG!$A$8:$E$203,3,FALSE)</f>
        <v>13.64916488890823</v>
      </c>
    </row>
    <row r="140" spans="2:25" x14ac:dyDescent="0.25">
      <c r="B140" s="263" t="s">
        <v>335</v>
      </c>
      <c r="C140" s="12" t="s">
        <v>336</v>
      </c>
      <c r="D140" s="12" t="s">
        <v>47</v>
      </c>
      <c r="E140" s="208" t="s">
        <v>48</v>
      </c>
      <c r="F140" s="208" t="s">
        <v>63</v>
      </c>
      <c r="G140" s="27" t="s">
        <v>50</v>
      </c>
      <c r="H140" s="27" t="s">
        <v>50</v>
      </c>
      <c r="I140" s="27" t="s">
        <v>51</v>
      </c>
      <c r="J140" s="27" t="s">
        <v>50</v>
      </c>
      <c r="K140" s="114" t="s">
        <v>60</v>
      </c>
      <c r="L140" s="114"/>
      <c r="M140" s="114"/>
      <c r="N140" s="114"/>
      <c r="O140" s="114"/>
      <c r="P140" s="114"/>
      <c r="Q140" s="114"/>
      <c r="R140" s="114"/>
      <c r="S140" s="114" t="s">
        <v>64</v>
      </c>
      <c r="T140" s="114" t="s">
        <v>64</v>
      </c>
      <c r="U140" s="141" t="s">
        <v>337</v>
      </c>
      <c r="V140" s="114">
        <v>2050</v>
      </c>
      <c r="W140" s="365"/>
      <c r="X140" s="421">
        <f>VLOOKUP(Table29[[#This Row],[Country Codes]],GHG!$A$8:$E$203,4,FALSE)</f>
        <v>127.44302070563</v>
      </c>
      <c r="Y140" s="421">
        <f>VLOOKUP(Table29[[#This Row],[Country Codes]],GHG!$A$8:$E$203,3,FALSE)</f>
        <v>12.3539911460556</v>
      </c>
    </row>
    <row r="141" spans="2:25" x14ac:dyDescent="0.25">
      <c r="B141" s="263" t="s">
        <v>338</v>
      </c>
      <c r="C141" s="12" t="s">
        <v>339</v>
      </c>
      <c r="D141" s="12" t="s">
        <v>47</v>
      </c>
      <c r="E141" s="208" t="s">
        <v>48</v>
      </c>
      <c r="F141" s="208" t="s">
        <v>56</v>
      </c>
      <c r="G141" s="27" t="s">
        <v>50</v>
      </c>
      <c r="H141" s="27" t="s">
        <v>50</v>
      </c>
      <c r="I141" s="27" t="s">
        <v>51</v>
      </c>
      <c r="J141" s="27" t="s">
        <v>50</v>
      </c>
      <c r="K141" s="27" t="s">
        <v>50</v>
      </c>
      <c r="L141" s="114"/>
      <c r="M141" s="114"/>
      <c r="N141" s="114"/>
      <c r="O141" s="114"/>
      <c r="P141" s="114"/>
      <c r="Q141" s="114"/>
      <c r="R141" s="114"/>
      <c r="S141" s="114" t="s">
        <v>50</v>
      </c>
      <c r="T141" s="114" t="s">
        <v>50</v>
      </c>
      <c r="U141" s="141" t="s">
        <v>52</v>
      </c>
      <c r="V141" s="114" t="s">
        <v>52</v>
      </c>
      <c r="W141" s="141" t="s">
        <v>52</v>
      </c>
      <c r="X141" s="421">
        <f>VLOOKUP(Table29[[#This Row],[Country Codes]],GHG!$A$8:$E$203,4,FALSE)</f>
        <v>532.37448361891995</v>
      </c>
      <c r="Y141" s="421">
        <f>VLOOKUP(Table29[[#This Row],[Country Codes]],GHG!$A$8:$E$203,3,FALSE)</f>
        <v>44.891195611563681</v>
      </c>
    </row>
    <row r="142" spans="2:25" x14ac:dyDescent="0.25">
      <c r="B142" s="263" t="s">
        <v>340</v>
      </c>
      <c r="C142" s="12" t="s">
        <v>341</v>
      </c>
      <c r="D142" s="12" t="s">
        <v>47</v>
      </c>
      <c r="E142" s="208" t="s">
        <v>79</v>
      </c>
      <c r="F142" s="208" t="s">
        <v>63</v>
      </c>
      <c r="G142" s="27" t="s">
        <v>50</v>
      </c>
      <c r="H142" s="27" t="s">
        <v>50</v>
      </c>
      <c r="I142" s="27" t="s">
        <v>51</v>
      </c>
      <c r="J142" s="27" t="s">
        <v>50</v>
      </c>
      <c r="K142" s="27" t="s">
        <v>50</v>
      </c>
      <c r="L142" s="114"/>
      <c r="M142" s="114"/>
      <c r="N142" s="114"/>
      <c r="O142" s="114"/>
      <c r="P142" s="114"/>
      <c r="Q142" s="114"/>
      <c r="R142" s="114"/>
      <c r="S142" s="114" t="s">
        <v>50</v>
      </c>
      <c r="T142" s="114" t="s">
        <v>50</v>
      </c>
      <c r="U142" s="141" t="s">
        <v>52</v>
      </c>
      <c r="V142" s="114" t="s">
        <v>52</v>
      </c>
      <c r="W142" s="141" t="s">
        <v>52</v>
      </c>
      <c r="X142" s="421">
        <f>VLOOKUP(Table29[[#This Row],[Country Codes]],GHG!$A$8:$E$203,4,FALSE)</f>
        <v>1.5016528321032001</v>
      </c>
      <c r="Y142" s="421">
        <f>VLOOKUP(Table29[[#This Row],[Country Codes]],GHG!$A$8:$E$203,3,FALSE)</f>
        <v>0.76697976393919287</v>
      </c>
    </row>
    <row r="143" spans="2:25" x14ac:dyDescent="0.25">
      <c r="B143" s="263" t="s">
        <v>342</v>
      </c>
      <c r="C143" s="12" t="s">
        <v>343</v>
      </c>
      <c r="D143" s="12" t="s">
        <v>47</v>
      </c>
      <c r="E143" s="208" t="s">
        <v>48</v>
      </c>
      <c r="F143" s="208" t="s">
        <v>56</v>
      </c>
      <c r="G143" s="27" t="s">
        <v>50</v>
      </c>
      <c r="H143" s="27" t="s">
        <v>50</v>
      </c>
      <c r="I143" s="27" t="s">
        <v>51</v>
      </c>
      <c r="J143" s="27" t="s">
        <v>50</v>
      </c>
      <c r="K143" s="114" t="s">
        <v>60</v>
      </c>
      <c r="L143" s="114"/>
      <c r="M143" s="114"/>
      <c r="N143" s="114"/>
      <c r="O143" s="114"/>
      <c r="P143" s="114"/>
      <c r="Q143" s="114"/>
      <c r="R143" s="114"/>
      <c r="S143" s="114" t="s">
        <v>50</v>
      </c>
      <c r="T143" s="114" t="s">
        <v>50</v>
      </c>
      <c r="U143" s="141" t="s">
        <v>52</v>
      </c>
      <c r="V143" s="114" t="s">
        <v>52</v>
      </c>
      <c r="W143" s="141" t="s">
        <v>52</v>
      </c>
      <c r="X143" s="421">
        <f>VLOOKUP(Table29[[#This Row],[Country Codes]],GHG!$A$8:$E$203,4,FALSE)</f>
        <v>0</v>
      </c>
      <c r="Y143" s="421">
        <f>VLOOKUP(Table29[[#This Row],[Country Codes]],GHG!$A$8:$E$203,3,FALSE)</f>
        <v>0</v>
      </c>
    </row>
    <row r="144" spans="2:25" x14ac:dyDescent="0.25">
      <c r="B144" s="263" t="s">
        <v>344</v>
      </c>
      <c r="C144" s="12" t="s">
        <v>345</v>
      </c>
      <c r="D144" s="12" t="s">
        <v>47</v>
      </c>
      <c r="E144" s="208" t="s">
        <v>69</v>
      </c>
      <c r="F144" s="208" t="s">
        <v>56</v>
      </c>
      <c r="G144" s="27" t="s">
        <v>50</v>
      </c>
      <c r="H144" s="27" t="s">
        <v>50</v>
      </c>
      <c r="I144" s="27" t="s">
        <v>51</v>
      </c>
      <c r="J144" s="27" t="s">
        <v>50</v>
      </c>
      <c r="K144" s="27" t="s">
        <v>50</v>
      </c>
      <c r="L144" s="114"/>
      <c r="M144" s="114"/>
      <c r="N144" s="114"/>
      <c r="O144" s="114"/>
      <c r="P144" s="114"/>
      <c r="Q144" s="114"/>
      <c r="R144" s="114"/>
      <c r="S144" s="114" t="s">
        <v>64</v>
      </c>
      <c r="T144" s="114" t="s">
        <v>50</v>
      </c>
      <c r="U144" s="141" t="s">
        <v>52</v>
      </c>
      <c r="V144" s="114" t="s">
        <v>52</v>
      </c>
      <c r="W144" s="141" t="s">
        <v>52</v>
      </c>
      <c r="X144" s="421">
        <f>VLOOKUP(Table29[[#This Row],[Country Codes]],GHG!$A$8:$E$203,4,FALSE)</f>
        <v>21.281689073780999</v>
      </c>
      <c r="Y144" s="421">
        <f>VLOOKUP(Table29[[#This Row],[Country Codes]],GHG!$A$8:$E$203,3,FALSE)</f>
        <v>5.7357943404010889</v>
      </c>
    </row>
    <row r="145" spans="2:25" x14ac:dyDescent="0.25">
      <c r="B145" s="263" t="s">
        <v>346</v>
      </c>
      <c r="C145" s="12" t="s">
        <v>347</v>
      </c>
      <c r="D145" s="12" t="s">
        <v>47</v>
      </c>
      <c r="E145" s="208" t="s">
        <v>79</v>
      </c>
      <c r="F145" s="208" t="s">
        <v>56</v>
      </c>
      <c r="G145" s="27" t="s">
        <v>50</v>
      </c>
      <c r="H145" s="27" t="s">
        <v>50</v>
      </c>
      <c r="I145" s="27" t="s">
        <v>51</v>
      </c>
      <c r="J145" s="27" t="s">
        <v>50</v>
      </c>
      <c r="K145" s="27" t="s">
        <v>50</v>
      </c>
      <c r="L145" s="114"/>
      <c r="M145" s="114"/>
      <c r="N145" s="114"/>
      <c r="O145" s="114"/>
      <c r="P145" s="114"/>
      <c r="Q145" s="114"/>
      <c r="R145" s="114"/>
      <c r="S145" s="114" t="s">
        <v>64</v>
      </c>
      <c r="T145" s="114" t="s">
        <v>50</v>
      </c>
      <c r="U145" s="141" t="s">
        <v>52</v>
      </c>
      <c r="V145" s="114" t="s">
        <v>52</v>
      </c>
      <c r="W145" s="141" t="s">
        <v>52</v>
      </c>
      <c r="X145" s="421">
        <f>VLOOKUP(Table29[[#This Row],[Country Codes]],GHG!$A$8:$E$203,4,FALSE)</f>
        <v>9.6409981982956001</v>
      </c>
      <c r="Y145" s="421">
        <f>VLOOKUP(Table29[[#This Row],[Country Codes]],GHG!$A$8:$E$203,3,FALSE)</f>
        <v>2.6300908312311049</v>
      </c>
    </row>
    <row r="146" spans="2:25" x14ac:dyDescent="0.25">
      <c r="B146" s="263" t="s">
        <v>348</v>
      </c>
      <c r="C146" s="12" t="s">
        <v>349</v>
      </c>
      <c r="D146" s="12" t="s">
        <v>47</v>
      </c>
      <c r="E146" s="208" t="s">
        <v>69</v>
      </c>
      <c r="F146" s="208" t="s">
        <v>56</v>
      </c>
      <c r="G146" s="27" t="s">
        <v>50</v>
      </c>
      <c r="H146" s="27" t="s">
        <v>50</v>
      </c>
      <c r="I146" s="27" t="s">
        <v>51</v>
      </c>
      <c r="J146" s="27" t="s">
        <v>50</v>
      </c>
      <c r="K146" s="27" t="s">
        <v>50</v>
      </c>
      <c r="L146" s="114" t="s">
        <v>80</v>
      </c>
      <c r="M146" s="114"/>
      <c r="N146" s="114"/>
      <c r="O146" s="114"/>
      <c r="P146" s="114"/>
      <c r="Q146" s="114"/>
      <c r="R146" s="114"/>
      <c r="S146" s="114" t="s">
        <v>50</v>
      </c>
      <c r="T146" s="114" t="s">
        <v>50</v>
      </c>
      <c r="U146" s="141" t="s">
        <v>52</v>
      </c>
      <c r="V146" s="114" t="s">
        <v>52</v>
      </c>
      <c r="W146" s="141" t="s">
        <v>52</v>
      </c>
      <c r="X146" s="421">
        <f>VLOOKUP(Table29[[#This Row],[Country Codes]],GHG!$A$8:$E$203,4,FALSE)</f>
        <v>41.6245592458</v>
      </c>
      <c r="Y146" s="421">
        <f>VLOOKUP(Table29[[#This Row],[Country Codes]],GHG!$A$8:$E$203,3,FALSE)</f>
        <v>7.3033302222678547</v>
      </c>
    </row>
    <row r="147" spans="2:25" x14ac:dyDescent="0.25">
      <c r="B147" s="263" t="s">
        <v>350</v>
      </c>
      <c r="C147" s="12" t="s">
        <v>351</v>
      </c>
      <c r="D147" s="12" t="s">
        <v>47</v>
      </c>
      <c r="E147" s="208" t="s">
        <v>69</v>
      </c>
      <c r="F147" s="208" t="s">
        <v>56</v>
      </c>
      <c r="G147" s="27" t="s">
        <v>50</v>
      </c>
      <c r="H147" s="27" t="s">
        <v>50</v>
      </c>
      <c r="I147" s="27" t="s">
        <v>51</v>
      </c>
      <c r="J147" s="27" t="s">
        <v>50</v>
      </c>
      <c r="K147" s="27" t="s">
        <v>50</v>
      </c>
      <c r="L147" s="114"/>
      <c r="M147" s="114"/>
      <c r="N147" s="114"/>
      <c r="O147" s="114"/>
      <c r="P147" s="114"/>
      <c r="Q147" s="114"/>
      <c r="R147" s="114"/>
      <c r="S147" s="114" t="s">
        <v>64</v>
      </c>
      <c r="T147" s="114" t="s">
        <v>50</v>
      </c>
      <c r="U147" s="141" t="s">
        <v>52</v>
      </c>
      <c r="V147" s="114" t="s">
        <v>52</v>
      </c>
      <c r="W147" s="141" t="s">
        <v>52</v>
      </c>
      <c r="X147" s="421">
        <f>VLOOKUP(Table29[[#This Row],[Country Codes]],GHG!$A$8:$E$203,4,FALSE)</f>
        <v>94.048681371835997</v>
      </c>
      <c r="Y147" s="421">
        <f>VLOOKUP(Table29[[#This Row],[Country Codes]],GHG!$A$8:$E$203,3,FALSE)</f>
        <v>24.487842900424742</v>
      </c>
    </row>
    <row r="148" spans="2:25" x14ac:dyDescent="0.25">
      <c r="B148" s="263" t="s">
        <v>352</v>
      </c>
      <c r="C148" s="12" t="s">
        <v>353</v>
      </c>
      <c r="D148" s="12" t="s">
        <v>47</v>
      </c>
      <c r="E148" s="208" t="s">
        <v>48</v>
      </c>
      <c r="F148" s="208" t="s">
        <v>56</v>
      </c>
      <c r="G148" s="27" t="s">
        <v>50</v>
      </c>
      <c r="H148" s="27" t="s">
        <v>50</v>
      </c>
      <c r="I148" s="27" t="s">
        <v>51</v>
      </c>
      <c r="J148" s="27" t="s">
        <v>50</v>
      </c>
      <c r="K148" s="27" t="s">
        <v>50</v>
      </c>
      <c r="L148" s="114"/>
      <c r="M148" s="114"/>
      <c r="N148" s="114"/>
      <c r="O148" s="114"/>
      <c r="P148" s="114"/>
      <c r="Q148" s="114"/>
      <c r="R148" s="114"/>
      <c r="S148" s="114" t="s">
        <v>50</v>
      </c>
      <c r="T148" s="114" t="s">
        <v>50</v>
      </c>
      <c r="U148" s="141" t="s">
        <v>52</v>
      </c>
      <c r="V148" s="114" t="s">
        <v>52</v>
      </c>
      <c r="W148" s="141" t="s">
        <v>52</v>
      </c>
      <c r="X148" s="421">
        <f>VLOOKUP(Table29[[#This Row],[Country Codes]],GHG!$A$8:$E$203,4,FALSE)</f>
        <v>256.14715481705002</v>
      </c>
      <c r="Y148" s="421">
        <f>VLOOKUP(Table29[[#This Row],[Country Codes]],GHG!$A$8:$E$203,3,FALSE)</f>
        <v>37.005617460716273</v>
      </c>
    </row>
    <row r="149" spans="2:25" x14ac:dyDescent="0.25">
      <c r="B149" s="263" t="s">
        <v>354</v>
      </c>
      <c r="C149" s="12" t="s">
        <v>355</v>
      </c>
      <c r="D149" s="12" t="s">
        <v>78</v>
      </c>
      <c r="E149" s="208" t="s">
        <v>55</v>
      </c>
      <c r="F149" s="208" t="s">
        <v>63</v>
      </c>
      <c r="G149" s="27" t="s">
        <v>50</v>
      </c>
      <c r="H149" s="27" t="s">
        <v>50</v>
      </c>
      <c r="I149" s="27" t="s">
        <v>28</v>
      </c>
      <c r="J149" s="27" t="s">
        <v>29</v>
      </c>
      <c r="K149" s="27" t="s">
        <v>50</v>
      </c>
      <c r="L149" s="114" t="s">
        <v>80</v>
      </c>
      <c r="M149" s="114"/>
      <c r="N149" s="114"/>
      <c r="O149" s="114"/>
      <c r="P149" s="114"/>
      <c r="Q149" s="114"/>
      <c r="R149" s="114"/>
      <c r="S149" s="114" t="s">
        <v>64</v>
      </c>
      <c r="T149" s="114" t="s">
        <v>64</v>
      </c>
      <c r="U149" s="141" t="s">
        <v>83</v>
      </c>
      <c r="V149" s="114">
        <v>2035</v>
      </c>
      <c r="W149" s="141" t="s">
        <v>84</v>
      </c>
      <c r="X149" s="421">
        <f>VLOOKUP(Table29[[#This Row],[Country Codes]],GHG!$A$8:$E$203,4,FALSE)</f>
        <v>363.79425000757999</v>
      </c>
      <c r="Y149" s="421">
        <f>VLOOKUP(Table29[[#This Row],[Country Codes]],GHG!$A$8:$E$203,3,FALSE)</f>
        <v>68.702139687689851</v>
      </c>
    </row>
    <row r="150" spans="2:25" x14ac:dyDescent="0.25">
      <c r="B150" s="263" t="s">
        <v>356</v>
      </c>
      <c r="C150" s="12" t="s">
        <v>357</v>
      </c>
      <c r="D150" s="12" t="s">
        <v>78</v>
      </c>
      <c r="E150" s="208" t="s">
        <v>55</v>
      </c>
      <c r="F150" s="208" t="s">
        <v>63</v>
      </c>
      <c r="G150" s="27" t="s">
        <v>50</v>
      </c>
      <c r="H150" s="27" t="s">
        <v>50</v>
      </c>
      <c r="I150" s="27" t="s">
        <v>28</v>
      </c>
      <c r="J150" s="27" t="s">
        <v>29</v>
      </c>
      <c r="K150" s="27" t="s">
        <v>50</v>
      </c>
      <c r="L150" s="114"/>
      <c r="M150" s="114"/>
      <c r="N150" s="114"/>
      <c r="O150" s="114"/>
      <c r="P150" s="114"/>
      <c r="Q150" s="114" t="s">
        <v>80</v>
      </c>
      <c r="R150" s="114"/>
      <c r="S150" s="114" t="s">
        <v>64</v>
      </c>
      <c r="T150" s="114" t="s">
        <v>64</v>
      </c>
      <c r="U150" s="141" t="s">
        <v>83</v>
      </c>
      <c r="V150" s="114">
        <v>2035</v>
      </c>
      <c r="W150" s="141" t="s">
        <v>84</v>
      </c>
      <c r="X150" s="421">
        <f>VLOOKUP(Table29[[#This Row],[Country Codes]],GHG!$A$8:$E$203,4,FALSE)</f>
        <v>53.004607295263</v>
      </c>
      <c r="Y150" s="421">
        <f>VLOOKUP(Table29[[#This Row],[Country Codes]],GHG!$A$8:$E$203,3,FALSE)</f>
        <v>15.947366338037449</v>
      </c>
    </row>
    <row r="151" spans="2:25" x14ac:dyDescent="0.25">
      <c r="B151" s="263" t="s">
        <v>358</v>
      </c>
      <c r="C151" s="12" t="s">
        <v>359</v>
      </c>
      <c r="D151" s="12" t="s">
        <v>47</v>
      </c>
      <c r="E151" s="208" t="s">
        <v>48</v>
      </c>
      <c r="F151" s="208" t="s">
        <v>63</v>
      </c>
      <c r="G151" s="27" t="s">
        <v>50</v>
      </c>
      <c r="H151" s="27" t="s">
        <v>50</v>
      </c>
      <c r="I151" s="27" t="s">
        <v>51</v>
      </c>
      <c r="J151" s="27" t="s">
        <v>50</v>
      </c>
      <c r="K151" s="114" t="s">
        <v>60</v>
      </c>
      <c r="L151" s="114"/>
      <c r="M151" s="114"/>
      <c r="N151" s="114"/>
      <c r="O151" s="114"/>
      <c r="P151" s="114"/>
      <c r="Q151" s="114"/>
      <c r="R151" s="114"/>
      <c r="S151" s="114" t="s">
        <v>50</v>
      </c>
      <c r="T151" s="114" t="s">
        <v>50</v>
      </c>
      <c r="U151" s="141" t="s">
        <v>52</v>
      </c>
      <c r="V151" s="114" t="s">
        <v>52</v>
      </c>
      <c r="W151" s="141" t="s">
        <v>52</v>
      </c>
      <c r="X151" s="421">
        <f>VLOOKUP(Table29[[#This Row],[Country Codes]],GHG!$A$8:$E$203,4,FALSE)</f>
        <v>154.38356524030999</v>
      </c>
      <c r="Y151" s="421">
        <f>VLOOKUP(Table29[[#This Row],[Country Codes]],GHG!$A$8:$E$203,3,FALSE)</f>
        <v>15.0080032885677</v>
      </c>
    </row>
    <row r="152" spans="2:25" x14ac:dyDescent="0.25">
      <c r="B152" s="263" t="s">
        <v>360</v>
      </c>
      <c r="C152" s="12" t="s">
        <v>361</v>
      </c>
      <c r="D152" s="12" t="s">
        <v>47</v>
      </c>
      <c r="E152" s="208" t="s">
        <v>48</v>
      </c>
      <c r="F152" s="208" t="s">
        <v>63</v>
      </c>
      <c r="G152" s="27" t="s">
        <v>26</v>
      </c>
      <c r="H152" s="27" t="s">
        <v>50</v>
      </c>
      <c r="I152" s="27" t="s">
        <v>28</v>
      </c>
      <c r="J152" s="27" t="s">
        <v>50</v>
      </c>
      <c r="K152" s="27" t="s">
        <v>50</v>
      </c>
      <c r="L152" s="114"/>
      <c r="M152" s="114" t="s">
        <v>80</v>
      </c>
      <c r="N152" s="114" t="s">
        <v>80</v>
      </c>
      <c r="O152" s="114"/>
      <c r="P152" s="114"/>
      <c r="Q152" s="114"/>
      <c r="R152" s="114"/>
      <c r="S152" s="114" t="s">
        <v>64</v>
      </c>
      <c r="T152" s="114" t="s">
        <v>50</v>
      </c>
      <c r="U152" s="141" t="s">
        <v>52</v>
      </c>
      <c r="V152" s="114" t="s">
        <v>52</v>
      </c>
      <c r="W152" s="141" t="s">
        <v>52</v>
      </c>
      <c r="X152" s="421">
        <f>VLOOKUP(Table29[[#This Row],[Country Codes]],GHG!$A$8:$E$203,4,FALSE)</f>
        <v>653.84613998739997</v>
      </c>
      <c r="Y152" s="421">
        <f>VLOOKUP(Table29[[#This Row],[Country Codes]],GHG!$A$8:$E$203,3,FALSE)</f>
        <v>107.9154569951917</v>
      </c>
    </row>
    <row r="153" spans="2:25" x14ac:dyDescent="0.25">
      <c r="B153" s="263" t="s">
        <v>362</v>
      </c>
      <c r="C153" s="12" t="s">
        <v>363</v>
      </c>
      <c r="D153" s="12" t="s">
        <v>47</v>
      </c>
      <c r="E153" s="208" t="s">
        <v>55</v>
      </c>
      <c r="F153" s="208" t="s">
        <v>56</v>
      </c>
      <c r="G153" s="27" t="s">
        <v>50</v>
      </c>
      <c r="H153" s="27" t="s">
        <v>50</v>
      </c>
      <c r="I153" s="27" t="s">
        <v>51</v>
      </c>
      <c r="J153" s="27" t="s">
        <v>50</v>
      </c>
      <c r="K153" s="27" t="s">
        <v>50</v>
      </c>
      <c r="L153" s="114"/>
      <c r="M153" s="114"/>
      <c r="N153" s="114"/>
      <c r="O153" s="114"/>
      <c r="P153" s="114"/>
      <c r="Q153" s="114"/>
      <c r="R153" s="114"/>
      <c r="S153" s="114" t="s">
        <v>50</v>
      </c>
      <c r="T153" s="114" t="s">
        <v>50</v>
      </c>
      <c r="U153" s="141" t="s">
        <v>52</v>
      </c>
      <c r="V153" s="114" t="s">
        <v>52</v>
      </c>
      <c r="W153" s="141" t="s">
        <v>52</v>
      </c>
      <c r="X153" s="421">
        <f>VLOOKUP(Table29[[#This Row],[Country Codes]],GHG!$A$8:$E$203,4,FALSE)</f>
        <v>13.54241150505</v>
      </c>
      <c r="Y153" s="421">
        <f>VLOOKUP(Table29[[#This Row],[Country Codes]],GHG!$A$8:$E$203,3,FALSE)</f>
        <v>2.4025361889764838</v>
      </c>
    </row>
    <row r="154" spans="2:25" x14ac:dyDescent="0.25">
      <c r="B154" s="263" t="s">
        <v>364</v>
      </c>
      <c r="C154" s="12" t="s">
        <v>365</v>
      </c>
      <c r="D154" s="12" t="s">
        <v>47</v>
      </c>
      <c r="E154" s="208" t="s">
        <v>55</v>
      </c>
      <c r="F154" s="208" t="s">
        <v>56</v>
      </c>
      <c r="G154" s="27" t="s">
        <v>50</v>
      </c>
      <c r="H154" s="27" t="s">
        <v>50</v>
      </c>
      <c r="I154" s="27" t="s">
        <v>51</v>
      </c>
      <c r="J154" s="27" t="s">
        <v>50</v>
      </c>
      <c r="K154" s="27" t="s">
        <v>50</v>
      </c>
      <c r="L154" s="114"/>
      <c r="M154" s="114"/>
      <c r="N154" s="114"/>
      <c r="O154" s="114"/>
      <c r="P154" s="114"/>
      <c r="Q154" s="114"/>
      <c r="R154" s="114"/>
      <c r="S154" s="114" t="s">
        <v>50</v>
      </c>
      <c r="T154" s="114" t="s">
        <v>50</v>
      </c>
      <c r="U154" s="141" t="s">
        <v>52</v>
      </c>
      <c r="V154" s="114" t="s">
        <v>52</v>
      </c>
      <c r="W154" s="141" t="s">
        <v>52</v>
      </c>
      <c r="X154" s="421">
        <f>VLOOKUP(Table29[[#This Row],[Country Codes]],GHG!$A$8:$E$203,4,FALSE)</f>
        <v>11.370029305485</v>
      </c>
      <c r="Y154" s="421">
        <f>VLOOKUP(Table29[[#This Row],[Country Codes]],GHG!$A$8:$E$203,3,FALSE)</f>
        <v>2.5209386628390988</v>
      </c>
    </row>
    <row r="155" spans="2:25" x14ac:dyDescent="0.25">
      <c r="B155" s="263" t="s">
        <v>366</v>
      </c>
      <c r="C155" s="12" t="s">
        <v>367</v>
      </c>
      <c r="D155" s="12" t="s">
        <v>78</v>
      </c>
      <c r="E155" s="208" t="s">
        <v>55</v>
      </c>
      <c r="F155" s="208" t="s">
        <v>56</v>
      </c>
      <c r="G155" s="27" t="s">
        <v>50</v>
      </c>
      <c r="H155" s="27" t="s">
        <v>50</v>
      </c>
      <c r="I155" s="27" t="s">
        <v>51</v>
      </c>
      <c r="J155" s="27" t="s">
        <v>29</v>
      </c>
      <c r="K155" s="27" t="s">
        <v>50</v>
      </c>
      <c r="L155" s="114"/>
      <c r="M155" s="114"/>
      <c r="N155" s="114"/>
      <c r="O155" s="114"/>
      <c r="P155" s="114"/>
      <c r="Q155" s="114"/>
      <c r="R155" s="114"/>
      <c r="S155" s="114" t="s">
        <v>64</v>
      </c>
      <c r="T155" s="114" t="s">
        <v>64</v>
      </c>
      <c r="U155" s="141" t="s">
        <v>83</v>
      </c>
      <c r="V155" s="114">
        <v>2035</v>
      </c>
      <c r="W155" s="141" t="s">
        <v>84</v>
      </c>
      <c r="X155" s="421">
        <f>VLOOKUP(Table29[[#This Row],[Country Codes]],GHG!$A$8:$E$203,4,FALSE)</f>
        <v>105.85240058122</v>
      </c>
      <c r="Y155" s="421">
        <f>VLOOKUP(Table29[[#This Row],[Country Codes]],GHG!$A$8:$E$203,3,FALSE)</f>
        <v>21.004112862883009</v>
      </c>
    </row>
    <row r="156" spans="2:25" x14ac:dyDescent="0.25">
      <c r="B156" s="263" t="s">
        <v>368</v>
      </c>
      <c r="C156" s="12" t="s">
        <v>369</v>
      </c>
      <c r="D156" s="12" t="s">
        <v>78</v>
      </c>
      <c r="E156" s="208" t="s">
        <v>55</v>
      </c>
      <c r="F156" s="208" t="s">
        <v>56</v>
      </c>
      <c r="G156" s="27" t="s">
        <v>26</v>
      </c>
      <c r="H156" s="27" t="s">
        <v>50</v>
      </c>
      <c r="I156" s="27" t="s">
        <v>51</v>
      </c>
      <c r="J156" s="27" t="s">
        <v>50</v>
      </c>
      <c r="K156" s="27" t="s">
        <v>50</v>
      </c>
      <c r="L156" s="114"/>
      <c r="M156" s="114"/>
      <c r="N156" s="114"/>
      <c r="O156" s="114"/>
      <c r="P156" s="114"/>
      <c r="Q156" s="114"/>
      <c r="R156" s="114"/>
      <c r="S156" s="114" t="s">
        <v>64</v>
      </c>
      <c r="T156" s="114" t="s">
        <v>50</v>
      </c>
      <c r="U156" s="141" t="s">
        <v>52</v>
      </c>
      <c r="V156" s="114" t="s">
        <v>52</v>
      </c>
      <c r="W156" s="141" t="s">
        <v>52</v>
      </c>
      <c r="X156" s="421">
        <f>VLOOKUP(Table29[[#This Row],[Country Codes]],GHG!$A$8:$E$203,4,FALSE)</f>
        <v>2672.0394366031001</v>
      </c>
      <c r="Y156" s="421">
        <f>VLOOKUP(Table29[[#This Row],[Country Codes]],GHG!$A$8:$E$203,3,FALSE)</f>
        <v>265.70074531042741</v>
      </c>
    </row>
    <row r="157" spans="2:25" x14ac:dyDescent="0.25">
      <c r="B157" s="263" t="s">
        <v>370</v>
      </c>
      <c r="C157" s="12" t="s">
        <v>371</v>
      </c>
      <c r="D157" s="12" t="s">
        <v>47</v>
      </c>
      <c r="E157" s="208" t="s">
        <v>59</v>
      </c>
      <c r="F157" s="208" t="s">
        <v>49</v>
      </c>
      <c r="G157" s="27" t="s">
        <v>50</v>
      </c>
      <c r="H157" s="27" t="s">
        <v>50</v>
      </c>
      <c r="I157" s="27" t="s">
        <v>51</v>
      </c>
      <c r="J157" s="27" t="s">
        <v>50</v>
      </c>
      <c r="K157" s="27" t="s">
        <v>50</v>
      </c>
      <c r="L157" s="114" t="s">
        <v>80</v>
      </c>
      <c r="M157" s="114"/>
      <c r="N157" s="114"/>
      <c r="O157" s="114"/>
      <c r="P157" s="114"/>
      <c r="Q157" s="114"/>
      <c r="R157" s="114"/>
      <c r="S157" s="114" t="s">
        <v>64</v>
      </c>
      <c r="T157" s="114" t="s">
        <v>50</v>
      </c>
      <c r="U157" s="141" t="s">
        <v>52</v>
      </c>
      <c r="V157" s="114" t="s">
        <v>52</v>
      </c>
      <c r="W157" s="141" t="s">
        <v>52</v>
      </c>
      <c r="X157" s="421">
        <f>VLOOKUP(Table29[[#This Row],[Country Codes]],GHG!$A$8:$E$203,4,FALSE)</f>
        <v>7.4932661090210999</v>
      </c>
      <c r="Y157" s="421">
        <f>VLOOKUP(Table29[[#This Row],[Country Codes]],GHG!$A$8:$E$203,3,FALSE)</f>
        <v>0.60722858848321359</v>
      </c>
    </row>
    <row r="158" spans="2:25" x14ac:dyDescent="0.25">
      <c r="B158" s="263" t="s">
        <v>372</v>
      </c>
      <c r="C158" s="12" t="s">
        <v>373</v>
      </c>
      <c r="D158" s="12" t="s">
        <v>47</v>
      </c>
      <c r="E158" s="208" t="s">
        <v>69</v>
      </c>
      <c r="F158" s="208" t="s">
        <v>63</v>
      </c>
      <c r="G158" s="27" t="s">
        <v>50</v>
      </c>
      <c r="H158" s="27" t="s">
        <v>50</v>
      </c>
      <c r="I158" s="27" t="s">
        <v>51</v>
      </c>
      <c r="J158" s="27" t="s">
        <v>50</v>
      </c>
      <c r="K158" s="27" t="s">
        <v>50</v>
      </c>
      <c r="L158" s="114"/>
      <c r="M158" s="114"/>
      <c r="N158" s="114"/>
      <c r="O158" s="114"/>
      <c r="P158" s="114"/>
      <c r="Q158" s="114"/>
      <c r="R158" s="114"/>
      <c r="S158" s="114" t="s">
        <v>50</v>
      </c>
      <c r="T158" s="114" t="s">
        <v>50</v>
      </c>
      <c r="U158" s="141" t="s">
        <v>52</v>
      </c>
      <c r="V158" s="114" t="s">
        <v>52</v>
      </c>
      <c r="W158" s="141" t="s">
        <v>52</v>
      </c>
      <c r="X158" s="421">
        <f>VLOOKUP(Table29[[#This Row],[Country Codes]],GHG!$A$8:$E$203,4,FALSE)</f>
        <v>0.17447409234332001</v>
      </c>
      <c r="Y158" s="421">
        <f>VLOOKUP(Table29[[#This Row],[Country Codes]],GHG!$A$8:$E$203,3,FALSE)</f>
        <v>4.2331182061763992E-2</v>
      </c>
    </row>
    <row r="159" spans="2:25" x14ac:dyDescent="0.25">
      <c r="B159" s="263" t="s">
        <v>374</v>
      </c>
      <c r="C159" s="12" t="s">
        <v>375</v>
      </c>
      <c r="D159" s="12" t="s">
        <v>47</v>
      </c>
      <c r="E159" s="208" t="s">
        <v>69</v>
      </c>
      <c r="F159" s="208" t="s">
        <v>56</v>
      </c>
      <c r="G159" s="27" t="s">
        <v>50</v>
      </c>
      <c r="H159" s="27" t="s">
        <v>50</v>
      </c>
      <c r="I159" s="27" t="s">
        <v>51</v>
      </c>
      <c r="J159" s="27" t="s">
        <v>50</v>
      </c>
      <c r="K159" s="27" t="s">
        <v>50</v>
      </c>
      <c r="L159" s="114"/>
      <c r="M159" s="114"/>
      <c r="N159" s="114"/>
      <c r="O159" s="114"/>
      <c r="P159" s="114"/>
      <c r="Q159" s="114"/>
      <c r="R159" s="114"/>
      <c r="S159" s="114" t="s">
        <v>50</v>
      </c>
      <c r="T159" s="114" t="s">
        <v>50</v>
      </c>
      <c r="U159" s="141" t="s">
        <v>52</v>
      </c>
      <c r="V159" s="114" t="s">
        <v>52</v>
      </c>
      <c r="W159" s="141" t="s">
        <v>52</v>
      </c>
      <c r="X159" s="421">
        <f>VLOOKUP(Table29[[#This Row],[Country Codes]],GHG!$A$8:$E$203,4,FALSE)</f>
        <v>0.45126691251345002</v>
      </c>
      <c r="Y159" s="421">
        <f>VLOOKUP(Table29[[#This Row],[Country Codes]],GHG!$A$8:$E$203,3,FALSE)</f>
        <v>0.10561796037965671</v>
      </c>
    </row>
    <row r="160" spans="2:25" x14ac:dyDescent="0.25">
      <c r="B160" s="263" t="s">
        <v>376</v>
      </c>
      <c r="C160" s="12" t="s">
        <v>377</v>
      </c>
      <c r="D160" s="12" t="s">
        <v>47</v>
      </c>
      <c r="E160" s="208" t="s">
        <v>69</v>
      </c>
      <c r="F160" s="208" t="s">
        <v>56</v>
      </c>
      <c r="G160" s="27" t="s">
        <v>50</v>
      </c>
      <c r="H160" s="27" t="s">
        <v>50</v>
      </c>
      <c r="I160" s="27" t="s">
        <v>51</v>
      </c>
      <c r="J160" s="27" t="s">
        <v>50</v>
      </c>
      <c r="K160" s="27" t="s">
        <v>50</v>
      </c>
      <c r="L160" s="114"/>
      <c r="M160" s="114"/>
      <c r="N160" s="114"/>
      <c r="O160" s="114"/>
      <c r="P160" s="114"/>
      <c r="Q160" s="114"/>
      <c r="R160" s="114"/>
      <c r="S160" s="114" t="s">
        <v>50</v>
      </c>
      <c r="T160" s="114" t="s">
        <v>50</v>
      </c>
      <c r="U160" s="141" t="s">
        <v>52</v>
      </c>
      <c r="V160" s="114" t="s">
        <v>52</v>
      </c>
      <c r="W160" s="141" t="s">
        <v>52</v>
      </c>
      <c r="X160" s="421">
        <f>VLOOKUP(Table29[[#This Row],[Country Codes]],GHG!$A$8:$E$203,4,FALSE)</f>
        <v>0.15077509193013</v>
      </c>
      <c r="Y160" s="421">
        <f>VLOOKUP(Table29[[#This Row],[Country Codes]],GHG!$A$8:$E$203,3,FALSE)</f>
        <v>3.4275975279875179E-2</v>
      </c>
    </row>
    <row r="161" spans="2:25" x14ac:dyDescent="0.25">
      <c r="B161" s="263" t="s">
        <v>378</v>
      </c>
      <c r="C161" s="12" t="s">
        <v>379</v>
      </c>
      <c r="D161" s="12" t="s">
        <v>47</v>
      </c>
      <c r="E161" s="208" t="s">
        <v>79</v>
      </c>
      <c r="F161" s="208" t="s">
        <v>56</v>
      </c>
      <c r="G161" s="27" t="s">
        <v>50</v>
      </c>
      <c r="H161" s="27" t="s">
        <v>50</v>
      </c>
      <c r="I161" s="27" t="s">
        <v>51</v>
      </c>
      <c r="J161" s="27" t="s">
        <v>50</v>
      </c>
      <c r="K161" s="27" t="s">
        <v>50</v>
      </c>
      <c r="L161" s="114"/>
      <c r="M161" s="114"/>
      <c r="N161" s="114"/>
      <c r="O161" s="114"/>
      <c r="P161" s="114"/>
      <c r="Q161" s="114"/>
      <c r="R161" s="114"/>
      <c r="S161" s="114" t="s">
        <v>50</v>
      </c>
      <c r="T161" s="114" t="s">
        <v>50</v>
      </c>
      <c r="U161" s="141" t="s">
        <v>52</v>
      </c>
      <c r="V161" s="114" t="s">
        <v>52</v>
      </c>
      <c r="W161" s="141" t="s">
        <v>52</v>
      </c>
      <c r="X161" s="421">
        <f>VLOOKUP(Table29[[#This Row],[Country Codes]],GHG!$A$8:$E$203,4,FALSE)</f>
        <v>0.64614359538246002</v>
      </c>
      <c r="Y161" s="421">
        <f>VLOOKUP(Table29[[#This Row],[Country Codes]],GHG!$A$8:$E$203,3,FALSE)</f>
        <v>0.2431860191561139</v>
      </c>
    </row>
    <row r="162" spans="2:25" x14ac:dyDescent="0.25">
      <c r="B162" s="263" t="s">
        <v>380</v>
      </c>
      <c r="C162" s="12" t="s">
        <v>381</v>
      </c>
      <c r="D162" s="12" t="s">
        <v>47</v>
      </c>
      <c r="E162" s="208" t="s">
        <v>55</v>
      </c>
      <c r="F162" s="208" t="s">
        <v>63</v>
      </c>
      <c r="G162" s="27" t="s">
        <v>50</v>
      </c>
      <c r="H162" s="27" t="s">
        <v>50</v>
      </c>
      <c r="I162" s="27" t="s">
        <v>51</v>
      </c>
      <c r="J162" s="27" t="s">
        <v>50</v>
      </c>
      <c r="K162" s="27" t="s">
        <v>50</v>
      </c>
      <c r="L162" s="114"/>
      <c r="M162" s="114"/>
      <c r="N162" s="114"/>
      <c r="O162" s="114"/>
      <c r="P162" s="114"/>
      <c r="Q162" s="114"/>
      <c r="R162" s="114"/>
      <c r="S162" s="114" t="s">
        <v>50</v>
      </c>
      <c r="T162" s="114" t="s">
        <v>50</v>
      </c>
      <c r="U162" s="141" t="s">
        <v>52</v>
      </c>
      <c r="V162" s="114" t="s">
        <v>52</v>
      </c>
      <c r="W162" s="141" t="s">
        <v>52</v>
      </c>
      <c r="X162" s="421">
        <f>VLOOKUP(Table29[[#This Row],[Country Codes]],GHG!$A$8:$E$203,4,FALSE)</f>
        <v>0</v>
      </c>
      <c r="Y162" s="421">
        <f>VLOOKUP(Table29[[#This Row],[Country Codes]],GHG!$A$8:$E$203,3,FALSE)</f>
        <v>0</v>
      </c>
    </row>
    <row r="163" spans="2:25" x14ac:dyDescent="0.25">
      <c r="B163" s="263" t="s">
        <v>382</v>
      </c>
      <c r="C163" s="12" t="s">
        <v>383</v>
      </c>
      <c r="D163" s="12" t="s">
        <v>47</v>
      </c>
      <c r="E163" s="208" t="s">
        <v>59</v>
      </c>
      <c r="F163" s="208" t="s">
        <v>56</v>
      </c>
      <c r="G163" s="27" t="s">
        <v>50</v>
      </c>
      <c r="H163" s="27" t="s">
        <v>50</v>
      </c>
      <c r="I163" s="27" t="s">
        <v>51</v>
      </c>
      <c r="J163" s="27" t="s">
        <v>50</v>
      </c>
      <c r="K163" s="27" t="s">
        <v>50</v>
      </c>
      <c r="L163" s="114"/>
      <c r="M163" s="114"/>
      <c r="N163" s="114"/>
      <c r="O163" s="114"/>
      <c r="P163" s="114"/>
      <c r="Q163" s="114"/>
      <c r="R163" s="114"/>
      <c r="S163" s="114" t="s">
        <v>50</v>
      </c>
      <c r="T163" s="114" t="s">
        <v>50</v>
      </c>
      <c r="U163" s="141" t="s">
        <v>52</v>
      </c>
      <c r="V163" s="114" t="s">
        <v>52</v>
      </c>
      <c r="W163" s="141" t="s">
        <v>52</v>
      </c>
      <c r="X163" s="421">
        <f>VLOOKUP(Table29[[#This Row],[Country Codes]],GHG!$A$8:$E$203,4,FALSE)</f>
        <v>0.30345441468402001</v>
      </c>
      <c r="Y163" s="421">
        <f>VLOOKUP(Table29[[#This Row],[Country Codes]],GHG!$A$8:$E$203,3,FALSE)</f>
        <v>0.1245490218738666</v>
      </c>
    </row>
    <row r="164" spans="2:25" x14ac:dyDescent="0.25">
      <c r="B164" s="263" t="s">
        <v>384</v>
      </c>
      <c r="C164" s="12" t="s">
        <v>385</v>
      </c>
      <c r="D164" s="12" t="s">
        <v>47</v>
      </c>
      <c r="E164" s="208" t="s">
        <v>48</v>
      </c>
      <c r="F164" s="208" t="s">
        <v>63</v>
      </c>
      <c r="G164" s="27" t="s">
        <v>26</v>
      </c>
      <c r="H164" s="27" t="s">
        <v>50</v>
      </c>
      <c r="I164" s="27" t="s">
        <v>51</v>
      </c>
      <c r="J164" s="27" t="s">
        <v>50</v>
      </c>
      <c r="K164" s="114" t="s">
        <v>60</v>
      </c>
      <c r="L164" s="114"/>
      <c r="M164" s="114"/>
      <c r="N164" s="114"/>
      <c r="O164" s="114"/>
      <c r="P164" s="114"/>
      <c r="Q164" s="114"/>
      <c r="R164" s="114"/>
      <c r="S164" s="114" t="s">
        <v>64</v>
      </c>
      <c r="T164" s="114" t="s">
        <v>50</v>
      </c>
      <c r="U164" s="141" t="s">
        <v>52</v>
      </c>
      <c r="V164" s="114" t="s">
        <v>52</v>
      </c>
      <c r="W164" s="141" t="s">
        <v>52</v>
      </c>
      <c r="X164" s="421">
        <f>VLOOKUP(Table29[[#This Row],[Country Codes]],GHG!$A$8:$E$203,4,FALSE)</f>
        <v>805.15810845823</v>
      </c>
      <c r="Y164" s="421">
        <f>VLOOKUP(Table29[[#This Row],[Country Codes]],GHG!$A$8:$E$203,3,FALSE)</f>
        <v>147.5856941379987</v>
      </c>
    </row>
    <row r="165" spans="2:25" x14ac:dyDescent="0.25">
      <c r="B165" s="263" t="s">
        <v>386</v>
      </c>
      <c r="C165" s="12" t="s">
        <v>387</v>
      </c>
      <c r="D165" s="12" t="s">
        <v>47</v>
      </c>
      <c r="E165" s="208" t="s">
        <v>59</v>
      </c>
      <c r="F165" s="208" t="s">
        <v>56</v>
      </c>
      <c r="G165" s="27" t="s">
        <v>50</v>
      </c>
      <c r="H165" s="27" t="s">
        <v>50</v>
      </c>
      <c r="I165" s="27" t="s">
        <v>51</v>
      </c>
      <c r="J165" s="27" t="s">
        <v>50</v>
      </c>
      <c r="K165" s="27" t="s">
        <v>50</v>
      </c>
      <c r="L165" s="114"/>
      <c r="M165" s="114"/>
      <c r="N165" s="114"/>
      <c r="O165" s="114"/>
      <c r="P165" s="114"/>
      <c r="Q165" s="114"/>
      <c r="R165" s="114"/>
      <c r="S165" s="114" t="s">
        <v>50</v>
      </c>
      <c r="T165" s="114" t="s">
        <v>50</v>
      </c>
      <c r="U165" s="141" t="s">
        <v>52</v>
      </c>
      <c r="V165" s="114" t="s">
        <v>52</v>
      </c>
      <c r="W165" s="141" t="s">
        <v>52</v>
      </c>
      <c r="X165" s="421">
        <f>VLOOKUP(Table29[[#This Row],[Country Codes]],GHG!$A$8:$E$203,4,FALSE)</f>
        <v>28.843732000256001</v>
      </c>
      <c r="Y165" s="421">
        <f>VLOOKUP(Table29[[#This Row],[Country Codes]],GHG!$A$8:$E$203,3,FALSE)</f>
        <v>3.4891679152500248</v>
      </c>
    </row>
    <row r="166" spans="2:25" x14ac:dyDescent="0.25">
      <c r="B166" s="263" t="s">
        <v>388</v>
      </c>
      <c r="C166" s="12" t="s">
        <v>389</v>
      </c>
      <c r="D166" s="12" t="s">
        <v>47</v>
      </c>
      <c r="E166" s="208" t="s">
        <v>55</v>
      </c>
      <c r="F166" s="208" t="s">
        <v>56</v>
      </c>
      <c r="G166" s="27" t="s">
        <v>50</v>
      </c>
      <c r="H166" s="27" t="s">
        <v>50</v>
      </c>
      <c r="I166" s="27" t="s">
        <v>51</v>
      </c>
      <c r="J166" s="27" t="s">
        <v>50</v>
      </c>
      <c r="K166" s="27" t="s">
        <v>50</v>
      </c>
      <c r="L166" s="114"/>
      <c r="M166" s="114"/>
      <c r="N166" s="114"/>
      <c r="O166" s="114"/>
      <c r="P166" s="114"/>
      <c r="Q166" s="114"/>
      <c r="R166" s="114"/>
      <c r="S166" s="114" t="s">
        <v>50</v>
      </c>
      <c r="T166" s="114" t="s">
        <v>50</v>
      </c>
      <c r="U166" s="141" t="s">
        <v>52</v>
      </c>
      <c r="V166" s="114" t="s">
        <v>52</v>
      </c>
      <c r="W166" s="141" t="s">
        <v>52</v>
      </c>
      <c r="X166" s="421">
        <f>VLOOKUP(Table29[[#This Row],[Country Codes]],GHG!$A$8:$E$203,4,FALSE)</f>
        <v>67.214992478558003</v>
      </c>
      <c r="Y166" s="421">
        <f>VLOOKUP(Table29[[#This Row],[Country Codes]],GHG!$A$8:$E$203,3,FALSE)</f>
        <v>10.45024022782124</v>
      </c>
    </row>
    <row r="167" spans="2:25" x14ac:dyDescent="0.25">
      <c r="B167" s="263" t="s">
        <v>390</v>
      </c>
      <c r="C167" s="12" t="s">
        <v>391</v>
      </c>
      <c r="D167" s="12" t="s">
        <v>47</v>
      </c>
      <c r="E167" s="208" t="s">
        <v>59</v>
      </c>
      <c r="F167" s="208" t="s">
        <v>63</v>
      </c>
      <c r="G167" s="27" t="s">
        <v>50</v>
      </c>
      <c r="H167" s="27" t="s">
        <v>50</v>
      </c>
      <c r="I167" s="27" t="s">
        <v>51</v>
      </c>
      <c r="J167" s="27" t="s">
        <v>50</v>
      </c>
      <c r="K167" s="27" t="s">
        <v>50</v>
      </c>
      <c r="L167" s="114"/>
      <c r="M167" s="114"/>
      <c r="N167" s="114"/>
      <c r="O167" s="114"/>
      <c r="P167" s="114"/>
      <c r="Q167" s="114"/>
      <c r="R167" s="114"/>
      <c r="S167" s="114" t="s">
        <v>64</v>
      </c>
      <c r="T167" s="114" t="s">
        <v>50</v>
      </c>
      <c r="U167" s="141" t="s">
        <v>52</v>
      </c>
      <c r="V167" s="114" t="s">
        <v>52</v>
      </c>
      <c r="W167" s="141" t="s">
        <v>52</v>
      </c>
      <c r="X167" s="421">
        <f>VLOOKUP(Table29[[#This Row],[Country Codes]],GHG!$A$8:$E$203,4,FALSE)</f>
        <v>1.3387084460448999</v>
      </c>
      <c r="Y167" s="421">
        <f>VLOOKUP(Table29[[#This Row],[Country Codes]],GHG!$A$8:$E$203,3,FALSE)</f>
        <v>0.72161504168930912</v>
      </c>
    </row>
    <row r="168" spans="2:25" x14ac:dyDescent="0.25">
      <c r="B168" s="263" t="s">
        <v>392</v>
      </c>
      <c r="C168" s="12" t="s">
        <v>393</v>
      </c>
      <c r="D168" s="12" t="s">
        <v>47</v>
      </c>
      <c r="E168" s="208" t="s">
        <v>59</v>
      </c>
      <c r="F168" s="208" t="s">
        <v>49</v>
      </c>
      <c r="G168" s="27" t="s">
        <v>50</v>
      </c>
      <c r="H168" s="27" t="s">
        <v>50</v>
      </c>
      <c r="I168" s="27" t="s">
        <v>51</v>
      </c>
      <c r="J168" s="27" t="s">
        <v>50</v>
      </c>
      <c r="K168" s="27" t="s">
        <v>50</v>
      </c>
      <c r="L168" s="114"/>
      <c r="M168" s="114"/>
      <c r="N168" s="114"/>
      <c r="O168" s="114"/>
      <c r="P168" s="114"/>
      <c r="Q168" s="114"/>
      <c r="R168" s="114"/>
      <c r="S168" s="114" t="s">
        <v>50</v>
      </c>
      <c r="T168" s="114" t="s">
        <v>50</v>
      </c>
      <c r="U168" s="141" t="s">
        <v>52</v>
      </c>
      <c r="V168" s="114" t="s">
        <v>52</v>
      </c>
      <c r="W168" s="141" t="s">
        <v>52</v>
      </c>
      <c r="X168" s="421">
        <f>VLOOKUP(Table29[[#This Row],[Country Codes]],GHG!$A$8:$E$203,4,FALSE)</f>
        <v>6.9377160598997998</v>
      </c>
      <c r="Y168" s="421">
        <f>VLOOKUP(Table29[[#This Row],[Country Codes]],GHG!$A$8:$E$203,3,FALSE)</f>
        <v>0.537288258748986</v>
      </c>
    </row>
    <row r="169" spans="2:25" x14ac:dyDescent="0.25">
      <c r="B169" s="263" t="s">
        <v>394</v>
      </c>
      <c r="C169" s="12" t="s">
        <v>395</v>
      </c>
      <c r="D169" s="12" t="s">
        <v>47</v>
      </c>
      <c r="E169" s="208" t="s">
        <v>48</v>
      </c>
      <c r="F169" s="208" t="s">
        <v>63</v>
      </c>
      <c r="G169" s="27" t="s">
        <v>50</v>
      </c>
      <c r="H169" s="27" t="s">
        <v>50</v>
      </c>
      <c r="I169" s="27" t="s">
        <v>51</v>
      </c>
      <c r="J169" s="27" t="s">
        <v>50</v>
      </c>
      <c r="K169" s="27" t="s">
        <v>50</v>
      </c>
      <c r="L169" s="114"/>
      <c r="M169" s="114"/>
      <c r="N169" s="114"/>
      <c r="O169" s="114"/>
      <c r="P169" s="114"/>
      <c r="Q169" s="114"/>
      <c r="R169" s="114"/>
      <c r="S169" s="114" t="s">
        <v>64</v>
      </c>
      <c r="T169" s="114" t="s">
        <v>64</v>
      </c>
      <c r="U169" s="141"/>
      <c r="V169" s="114"/>
      <c r="W169" s="141"/>
      <c r="X169" s="421">
        <f>VLOOKUP(Table29[[#This Row],[Country Codes]],GHG!$A$8:$E$203,4,FALSE)</f>
        <v>74.290132466078006</v>
      </c>
      <c r="Y169" s="421">
        <f>VLOOKUP(Table29[[#This Row],[Country Codes]],GHG!$A$8:$E$203,3,FALSE)</f>
        <v>6.8133364043247093</v>
      </c>
    </row>
    <row r="170" spans="2:25" x14ac:dyDescent="0.25">
      <c r="B170" s="263" t="s">
        <v>396</v>
      </c>
      <c r="C170" s="12" t="s">
        <v>397</v>
      </c>
      <c r="D170" s="12" t="s">
        <v>78</v>
      </c>
      <c r="E170" s="208" t="s">
        <v>55</v>
      </c>
      <c r="F170" s="208" t="s">
        <v>63</v>
      </c>
      <c r="G170" s="27" t="s">
        <v>50</v>
      </c>
      <c r="H170" s="27" t="s">
        <v>50</v>
      </c>
      <c r="I170" s="27" t="s">
        <v>28</v>
      </c>
      <c r="J170" s="27" t="s">
        <v>29</v>
      </c>
      <c r="K170" s="27" t="s">
        <v>50</v>
      </c>
      <c r="L170" s="114"/>
      <c r="M170" s="114" t="s">
        <v>80</v>
      </c>
      <c r="N170" s="114"/>
      <c r="O170" s="114"/>
      <c r="P170" s="114"/>
      <c r="Q170" s="114"/>
      <c r="R170" s="114"/>
      <c r="S170" s="114" t="s">
        <v>64</v>
      </c>
      <c r="T170" s="114" t="s">
        <v>64</v>
      </c>
      <c r="U170" s="141" t="s">
        <v>83</v>
      </c>
      <c r="V170" s="114">
        <v>2035</v>
      </c>
      <c r="W170" s="141" t="s">
        <v>84</v>
      </c>
      <c r="X170" s="421">
        <f>VLOOKUP(Table29[[#This Row],[Country Codes]],GHG!$A$8:$E$203,4,FALSE)</f>
        <v>44.775610890682003</v>
      </c>
      <c r="Y170" s="421">
        <f>VLOOKUP(Table29[[#This Row],[Country Codes]],GHG!$A$8:$E$203,3,FALSE)</f>
        <v>7.6629333129442534</v>
      </c>
    </row>
    <row r="171" spans="2:25" x14ac:dyDescent="0.25">
      <c r="B171" s="263" t="s">
        <v>398</v>
      </c>
      <c r="C171" s="12" t="s">
        <v>399</v>
      </c>
      <c r="D171" s="12" t="s">
        <v>78</v>
      </c>
      <c r="E171" s="208" t="s">
        <v>55</v>
      </c>
      <c r="F171" s="208" t="s">
        <v>63</v>
      </c>
      <c r="G171" s="27" t="s">
        <v>50</v>
      </c>
      <c r="H171" s="27" t="s">
        <v>50</v>
      </c>
      <c r="I171" s="27" t="s">
        <v>28</v>
      </c>
      <c r="J171" s="27" t="s">
        <v>29</v>
      </c>
      <c r="K171" s="27" t="s">
        <v>50</v>
      </c>
      <c r="L171" s="114" t="s">
        <v>80</v>
      </c>
      <c r="M171" s="114"/>
      <c r="N171" s="114" t="s">
        <v>80</v>
      </c>
      <c r="O171" s="114"/>
      <c r="P171" s="114"/>
      <c r="Q171" s="114"/>
      <c r="R171" s="114"/>
      <c r="S171" s="114" t="s">
        <v>64</v>
      </c>
      <c r="T171" s="114" t="s">
        <v>64</v>
      </c>
      <c r="U171" s="141" t="s">
        <v>83</v>
      </c>
      <c r="V171" s="114">
        <v>2035</v>
      </c>
      <c r="W171" s="141" t="s">
        <v>84</v>
      </c>
      <c r="X171" s="421">
        <f>VLOOKUP(Table29[[#This Row],[Country Codes]],GHG!$A$8:$E$203,4,FALSE)</f>
        <v>15.993517423122</v>
      </c>
      <c r="Y171" s="421">
        <f>VLOOKUP(Table29[[#This Row],[Country Codes]],GHG!$A$8:$E$203,3,FALSE)</f>
        <v>4.830209372200426</v>
      </c>
    </row>
    <row r="172" spans="2:25" x14ac:dyDescent="0.25">
      <c r="B172" s="263" t="s">
        <v>400</v>
      </c>
      <c r="C172" s="12" t="s">
        <v>401</v>
      </c>
      <c r="D172" s="12" t="s">
        <v>47</v>
      </c>
      <c r="E172" s="208" t="s">
        <v>79</v>
      </c>
      <c r="F172" s="208" t="s">
        <v>56</v>
      </c>
      <c r="G172" s="27" t="s">
        <v>50</v>
      </c>
      <c r="H172" s="27" t="s">
        <v>50</v>
      </c>
      <c r="I172" s="27" t="s">
        <v>51</v>
      </c>
      <c r="J172" s="27" t="s">
        <v>50</v>
      </c>
      <c r="K172" s="27" t="s">
        <v>50</v>
      </c>
      <c r="L172" s="114"/>
      <c r="M172" s="114"/>
      <c r="N172" s="114"/>
      <c r="O172" s="114"/>
      <c r="P172" s="114"/>
      <c r="Q172" s="114"/>
      <c r="R172" s="114"/>
      <c r="S172" s="114" t="s">
        <v>64</v>
      </c>
      <c r="T172" s="114" t="s">
        <v>50</v>
      </c>
      <c r="U172" s="141" t="s">
        <v>52</v>
      </c>
      <c r="V172" s="114" t="s">
        <v>52</v>
      </c>
      <c r="W172" s="141" t="s">
        <v>52</v>
      </c>
      <c r="X172" s="421">
        <f>VLOOKUP(Table29[[#This Row],[Country Codes]],GHG!$A$8:$E$203,4,FALSE)</f>
        <v>0.72081774636639995</v>
      </c>
      <c r="Y172" s="421">
        <f>VLOOKUP(Table29[[#This Row],[Country Codes]],GHG!$A$8:$E$203,3,FALSE)</f>
        <v>0.21700975961810029</v>
      </c>
    </row>
    <row r="173" spans="2:25" x14ac:dyDescent="0.25">
      <c r="B173" s="263" t="s">
        <v>402</v>
      </c>
      <c r="C173" s="12" t="s">
        <v>403</v>
      </c>
      <c r="D173" s="12" t="s">
        <v>47</v>
      </c>
      <c r="E173" s="208" t="s">
        <v>59</v>
      </c>
      <c r="F173" s="208" t="s">
        <v>49</v>
      </c>
      <c r="G173" s="27" t="s">
        <v>50</v>
      </c>
      <c r="H173" s="27" t="s">
        <v>50</v>
      </c>
      <c r="I173" s="27" t="s">
        <v>51</v>
      </c>
      <c r="J173" s="27" t="s">
        <v>50</v>
      </c>
      <c r="K173" s="27" t="s">
        <v>50</v>
      </c>
      <c r="L173" s="114"/>
      <c r="M173" s="114"/>
      <c r="N173" s="114"/>
      <c r="O173" s="114"/>
      <c r="P173" s="114"/>
      <c r="Q173" s="114"/>
      <c r="R173" s="114"/>
      <c r="S173" s="114" t="s">
        <v>50</v>
      </c>
      <c r="T173" s="114" t="s">
        <v>50</v>
      </c>
      <c r="U173" s="141" t="s">
        <v>52</v>
      </c>
      <c r="V173" s="114" t="s">
        <v>52</v>
      </c>
      <c r="W173" s="141" t="s">
        <v>52</v>
      </c>
      <c r="X173" s="421">
        <f>VLOOKUP(Table29[[#This Row],[Country Codes]],GHG!$A$8:$E$203,4,FALSE)</f>
        <v>32.499935850652001</v>
      </c>
      <c r="Y173" s="421">
        <f>VLOOKUP(Table29[[#This Row],[Country Codes]],GHG!$A$8:$E$203,3,FALSE)</f>
        <v>0.489420024592578</v>
      </c>
    </row>
    <row r="174" spans="2:25" x14ac:dyDescent="0.25">
      <c r="B174" s="263" t="s">
        <v>404</v>
      </c>
      <c r="C174" s="12" t="s">
        <v>405</v>
      </c>
      <c r="D174" s="12" t="s">
        <v>47</v>
      </c>
      <c r="E174" s="208" t="s">
        <v>59</v>
      </c>
      <c r="F174" s="208" t="s">
        <v>56</v>
      </c>
      <c r="G174" s="27" t="s">
        <v>26</v>
      </c>
      <c r="H174" s="27" t="s">
        <v>50</v>
      </c>
      <c r="I174" s="27" t="s">
        <v>51</v>
      </c>
      <c r="J174" s="27" t="s">
        <v>50</v>
      </c>
      <c r="K174" s="27" t="s">
        <v>50</v>
      </c>
      <c r="L174" s="114"/>
      <c r="M174" s="114"/>
      <c r="N174" s="114"/>
      <c r="O174" s="114"/>
      <c r="P174" s="114"/>
      <c r="Q174" s="114"/>
      <c r="R174" s="114"/>
      <c r="S174" s="114" t="s">
        <v>64</v>
      </c>
      <c r="T174" s="114" t="s">
        <v>50</v>
      </c>
      <c r="U174" s="141" t="s">
        <v>52</v>
      </c>
      <c r="V174" s="114" t="s">
        <v>52</v>
      </c>
      <c r="W174" s="141" t="s">
        <v>52</v>
      </c>
      <c r="X174" s="421">
        <f>VLOOKUP(Table29[[#This Row],[Country Codes]],GHG!$A$8:$E$203,4,FALSE)</f>
        <v>522.11549112330999</v>
      </c>
      <c r="Y174" s="421">
        <f>VLOOKUP(Table29[[#This Row],[Country Codes]],GHG!$A$8:$E$203,3,FALSE)</f>
        <v>50.351995093376694</v>
      </c>
    </row>
    <row r="175" spans="2:25" x14ac:dyDescent="0.25">
      <c r="B175" s="263" t="s">
        <v>406</v>
      </c>
      <c r="C175" s="12" t="s">
        <v>407</v>
      </c>
      <c r="D175" s="12" t="s">
        <v>47</v>
      </c>
      <c r="E175" s="208" t="s">
        <v>59</v>
      </c>
      <c r="F175" s="208" t="s">
        <v>49</v>
      </c>
      <c r="G175" s="27" t="s">
        <v>50</v>
      </c>
      <c r="H175" s="27" t="s">
        <v>50</v>
      </c>
      <c r="I175" s="27" t="s">
        <v>51</v>
      </c>
      <c r="J175" s="27" t="s">
        <v>50</v>
      </c>
      <c r="K175" s="27" t="s">
        <v>50</v>
      </c>
      <c r="L175" s="114"/>
      <c r="M175" s="114"/>
      <c r="N175" s="114"/>
      <c r="O175" s="114"/>
      <c r="P175" s="114"/>
      <c r="Q175" s="114"/>
      <c r="R175" s="114"/>
      <c r="S175" s="114" t="s">
        <v>50</v>
      </c>
      <c r="T175" s="114" t="s">
        <v>50</v>
      </c>
      <c r="U175" s="141" t="s">
        <v>52</v>
      </c>
      <c r="V175" s="114" t="s">
        <v>52</v>
      </c>
      <c r="W175" s="141" t="s">
        <v>52</v>
      </c>
      <c r="X175" s="421">
        <f>VLOOKUP(Table29[[#This Row],[Country Codes]],GHG!$A$8:$E$203,4,FALSE)</f>
        <v>0</v>
      </c>
      <c r="Y175" s="421">
        <f>VLOOKUP(Table29[[#This Row],[Country Codes]],GHG!$A$8:$E$203,3,FALSE)</f>
        <v>0</v>
      </c>
    </row>
    <row r="176" spans="2:25" x14ac:dyDescent="0.25">
      <c r="B176" s="263" t="s">
        <v>408</v>
      </c>
      <c r="C176" s="12" t="s">
        <v>409</v>
      </c>
      <c r="D176" s="12" t="s">
        <v>78</v>
      </c>
      <c r="E176" s="208" t="s">
        <v>55</v>
      </c>
      <c r="F176" s="208" t="s">
        <v>63</v>
      </c>
      <c r="G176" s="27" t="s">
        <v>50</v>
      </c>
      <c r="H176" s="27" t="s">
        <v>50</v>
      </c>
      <c r="I176" s="27" t="s">
        <v>28</v>
      </c>
      <c r="J176" s="27" t="s">
        <v>29</v>
      </c>
      <c r="K176" s="27" t="s">
        <v>50</v>
      </c>
      <c r="L176" s="114"/>
      <c r="M176" s="114" t="s">
        <v>80</v>
      </c>
      <c r="N176" s="114" t="s">
        <v>80</v>
      </c>
      <c r="O176" s="114" t="s">
        <v>80</v>
      </c>
      <c r="P176" s="114"/>
      <c r="Q176" s="114"/>
      <c r="R176" s="114"/>
      <c r="S176" s="114" t="s">
        <v>64</v>
      </c>
      <c r="T176" s="114" t="s">
        <v>64</v>
      </c>
      <c r="U176" s="141" t="s">
        <v>83</v>
      </c>
      <c r="V176" s="114">
        <v>2035</v>
      </c>
      <c r="W176" s="141" t="s">
        <v>84</v>
      </c>
      <c r="X176" s="421">
        <f>VLOOKUP(Table29[[#This Row],[Country Codes]],GHG!$A$8:$E$203,4,FALSE)</f>
        <v>285.38389989719002</v>
      </c>
      <c r="Y176" s="421">
        <f>VLOOKUP(Table29[[#This Row],[Country Codes]],GHG!$A$8:$E$203,3,FALSE)</f>
        <v>93.111859614661455</v>
      </c>
    </row>
    <row r="177" spans="2:25" x14ac:dyDescent="0.25">
      <c r="B177" s="263" t="s">
        <v>410</v>
      </c>
      <c r="C177" s="12" t="s">
        <v>411</v>
      </c>
      <c r="D177" s="12" t="s">
        <v>47</v>
      </c>
      <c r="E177" s="208" t="s">
        <v>48</v>
      </c>
      <c r="F177" s="208" t="s">
        <v>56</v>
      </c>
      <c r="G177" s="27" t="s">
        <v>50</v>
      </c>
      <c r="H177" s="27" t="s">
        <v>50</v>
      </c>
      <c r="I177" s="27" t="s">
        <v>51</v>
      </c>
      <c r="J177" s="27" t="s">
        <v>50</v>
      </c>
      <c r="K177" s="27" t="s">
        <v>50</v>
      </c>
      <c r="L177" s="114"/>
      <c r="M177" s="114"/>
      <c r="N177" s="114"/>
      <c r="O177" s="114"/>
      <c r="P177" s="114"/>
      <c r="Q177" s="114"/>
      <c r="R177" s="114"/>
      <c r="S177" s="114" t="s">
        <v>64</v>
      </c>
      <c r="T177" s="114" t="s">
        <v>50</v>
      </c>
      <c r="U177" s="141" t="s">
        <v>52</v>
      </c>
      <c r="V177" s="114" t="s">
        <v>52</v>
      </c>
      <c r="W177" s="141" t="s">
        <v>52</v>
      </c>
      <c r="X177" s="421">
        <f>VLOOKUP(Table29[[#This Row],[Country Codes]],GHG!$A$8:$E$203,4,FALSE)</f>
        <v>38.403849844142002</v>
      </c>
      <c r="Y177" s="421">
        <f>VLOOKUP(Table29[[#This Row],[Country Codes]],GHG!$A$8:$E$203,3,FALSE)</f>
        <v>9.6330858743096854</v>
      </c>
    </row>
    <row r="178" spans="2:25" x14ac:dyDescent="0.25">
      <c r="B178" s="263" t="s">
        <v>412</v>
      </c>
      <c r="C178" s="12" t="s">
        <v>413</v>
      </c>
      <c r="D178" s="12" t="s">
        <v>47</v>
      </c>
      <c r="E178" s="208" t="s">
        <v>59</v>
      </c>
      <c r="F178" s="208" t="s">
        <v>49</v>
      </c>
      <c r="G178" s="27" t="s">
        <v>50</v>
      </c>
      <c r="H178" s="27" t="s">
        <v>50</v>
      </c>
      <c r="I178" s="27" t="s">
        <v>51</v>
      </c>
      <c r="J178" s="27" t="s">
        <v>50</v>
      </c>
      <c r="K178" s="27" t="s">
        <v>50</v>
      </c>
      <c r="L178" s="114"/>
      <c r="M178" s="114"/>
      <c r="N178" s="114"/>
      <c r="O178" s="114"/>
      <c r="P178" s="114"/>
      <c r="Q178" s="114"/>
      <c r="R178" s="114"/>
      <c r="S178" s="114" t="s">
        <v>50</v>
      </c>
      <c r="T178" s="114" t="s">
        <v>50</v>
      </c>
      <c r="U178" s="141" t="s">
        <v>52</v>
      </c>
      <c r="V178" s="114" t="s">
        <v>52</v>
      </c>
      <c r="W178" s="141" t="s">
        <v>52</v>
      </c>
      <c r="X178" s="421">
        <f>VLOOKUP(Table29[[#This Row],[Country Codes]],GHG!$A$8:$E$203,4,FALSE)</f>
        <v>138.74157453583999</v>
      </c>
      <c r="Y178" s="421">
        <f>VLOOKUP(Table29[[#This Row],[Country Codes]],GHG!$A$8:$E$203,3,FALSE)</f>
        <v>12.273351752549781</v>
      </c>
    </row>
    <row r="179" spans="2:25" x14ac:dyDescent="0.25">
      <c r="B179" s="263" t="s">
        <v>414</v>
      </c>
      <c r="C179" s="12" t="s">
        <v>415</v>
      </c>
      <c r="D179" s="12" t="s">
        <v>47</v>
      </c>
      <c r="E179" s="208" t="s">
        <v>69</v>
      </c>
      <c r="F179" s="208" t="s">
        <v>56</v>
      </c>
      <c r="G179" s="27" t="s">
        <v>50</v>
      </c>
      <c r="H179" s="27" t="s">
        <v>50</v>
      </c>
      <c r="I179" s="27" t="s">
        <v>51</v>
      </c>
      <c r="J179" s="27" t="s">
        <v>50</v>
      </c>
      <c r="K179" s="27" t="s">
        <v>50</v>
      </c>
      <c r="L179" s="114"/>
      <c r="M179" s="114"/>
      <c r="N179" s="114"/>
      <c r="O179" s="114"/>
      <c r="P179" s="114"/>
      <c r="Q179" s="114"/>
      <c r="R179" s="114"/>
      <c r="S179" s="114" t="s">
        <v>50</v>
      </c>
      <c r="T179" s="114" t="s">
        <v>50</v>
      </c>
      <c r="U179" s="141" t="s">
        <v>52</v>
      </c>
      <c r="V179" s="114" t="s">
        <v>52</v>
      </c>
      <c r="W179" s="141" t="s">
        <v>52</v>
      </c>
      <c r="X179" s="421">
        <f>VLOOKUP(Table29[[#This Row],[Country Codes]],GHG!$A$8:$E$203,4,FALSE)</f>
        <v>3.7377177696646</v>
      </c>
      <c r="Y179" s="421">
        <f>VLOOKUP(Table29[[#This Row],[Country Codes]],GHG!$A$8:$E$203,3,FALSE)</f>
        <v>0.84541140960197392</v>
      </c>
    </row>
    <row r="180" spans="2:25" x14ac:dyDescent="0.25">
      <c r="B180" s="263" t="s">
        <v>416</v>
      </c>
      <c r="C180" s="12" t="s">
        <v>417</v>
      </c>
      <c r="D180" s="12" t="s">
        <v>78</v>
      </c>
      <c r="E180" s="208" t="s">
        <v>55</v>
      </c>
      <c r="F180" s="208" t="s">
        <v>63</v>
      </c>
      <c r="G180" s="27" t="s">
        <v>50</v>
      </c>
      <c r="H180" s="27" t="s">
        <v>50</v>
      </c>
      <c r="I180" s="27" t="s">
        <v>28</v>
      </c>
      <c r="J180" s="27" t="s">
        <v>29</v>
      </c>
      <c r="K180" s="27" t="s">
        <v>50</v>
      </c>
      <c r="L180" s="114" t="s">
        <v>80</v>
      </c>
      <c r="M180" s="114" t="s">
        <v>80</v>
      </c>
      <c r="N180" s="114" t="s">
        <v>80</v>
      </c>
      <c r="O180" s="114" t="s">
        <v>80</v>
      </c>
      <c r="P180" s="114"/>
      <c r="Q180" s="114" t="s">
        <v>80</v>
      </c>
      <c r="R180" s="114"/>
      <c r="S180" s="114" t="s">
        <v>64</v>
      </c>
      <c r="T180" s="114" t="s">
        <v>64</v>
      </c>
      <c r="U180" s="141" t="s">
        <v>83</v>
      </c>
      <c r="V180" s="114">
        <v>2035</v>
      </c>
      <c r="W180" s="141" t="s">
        <v>84</v>
      </c>
      <c r="X180" s="421">
        <f>VLOOKUP(Table29[[#This Row],[Country Codes]],GHG!$A$8:$E$203,4,FALSE)</f>
        <v>49.118373633418003</v>
      </c>
      <c r="Y180" s="421">
        <f>VLOOKUP(Table29[[#This Row],[Country Codes]],GHG!$A$8:$E$203,3,FALSE)</f>
        <v>13.502992277371289</v>
      </c>
    </row>
    <row r="181" spans="2:25" x14ac:dyDescent="0.25">
      <c r="B181" s="263" t="s">
        <v>418</v>
      </c>
      <c r="C181" s="12" t="s">
        <v>419</v>
      </c>
      <c r="D181" s="12" t="s">
        <v>78</v>
      </c>
      <c r="E181" s="208" t="s">
        <v>55</v>
      </c>
      <c r="F181" s="208" t="s">
        <v>63</v>
      </c>
      <c r="G181" s="27" t="s">
        <v>50</v>
      </c>
      <c r="H181" s="27" t="s">
        <v>50</v>
      </c>
      <c r="I181" s="27" t="s">
        <v>28</v>
      </c>
      <c r="J181" s="27" t="s">
        <v>50</v>
      </c>
      <c r="K181" s="27" t="s">
        <v>50</v>
      </c>
      <c r="L181" s="114"/>
      <c r="M181" s="114"/>
      <c r="N181" s="114"/>
      <c r="O181" s="114"/>
      <c r="P181" s="114" t="s">
        <v>80</v>
      </c>
      <c r="Q181" s="114"/>
      <c r="R181" s="114"/>
      <c r="S181" s="114" t="s">
        <v>64</v>
      </c>
      <c r="T181" s="114" t="s">
        <v>50</v>
      </c>
      <c r="U181" s="141" t="s">
        <v>52</v>
      </c>
      <c r="V181" s="114" t="s">
        <v>52</v>
      </c>
      <c r="W181" s="141" t="s">
        <v>52</v>
      </c>
      <c r="X181" s="421">
        <f>VLOOKUP(Table29[[#This Row],[Country Codes]],GHG!$A$8:$E$203,4,FALSE)</f>
        <v>43.446393813877002</v>
      </c>
      <c r="Y181" s="421">
        <f>VLOOKUP(Table29[[#This Row],[Country Codes]],GHG!$A$8:$E$203,3,FALSE)</f>
        <v>14.82381986485206</v>
      </c>
    </row>
    <row r="182" spans="2:25" x14ac:dyDescent="0.25">
      <c r="B182" s="263" t="s">
        <v>420</v>
      </c>
      <c r="C182" s="12" t="s">
        <v>421</v>
      </c>
      <c r="D182" s="12" t="s">
        <v>47</v>
      </c>
      <c r="E182" s="208" t="s">
        <v>48</v>
      </c>
      <c r="F182" s="208" t="s">
        <v>49</v>
      </c>
      <c r="G182" s="27" t="s">
        <v>50</v>
      </c>
      <c r="H182" s="27" t="s">
        <v>50</v>
      </c>
      <c r="I182" s="27" t="s">
        <v>51</v>
      </c>
      <c r="J182" s="27" t="s">
        <v>50</v>
      </c>
      <c r="K182" s="114" t="s">
        <v>60</v>
      </c>
      <c r="L182" s="114"/>
      <c r="M182" s="114"/>
      <c r="N182" s="114"/>
      <c r="O182" s="114"/>
      <c r="P182" s="114"/>
      <c r="Q182" s="114"/>
      <c r="R182" s="114"/>
      <c r="S182" s="114" t="s">
        <v>50</v>
      </c>
      <c r="T182" s="114" t="s">
        <v>50</v>
      </c>
      <c r="U182" s="141" t="s">
        <v>52</v>
      </c>
      <c r="V182" s="114" t="s">
        <v>52</v>
      </c>
      <c r="W182" s="141" t="s">
        <v>52</v>
      </c>
      <c r="X182" s="421">
        <f>VLOOKUP(Table29[[#This Row],[Country Codes]],GHG!$A$8:$E$203,4,FALSE)</f>
        <v>41.210582544010002</v>
      </c>
      <c r="Y182" s="421">
        <f>VLOOKUP(Table29[[#This Row],[Country Codes]],GHG!$A$8:$E$203,3,FALSE)</f>
        <v>5.0388809125595868</v>
      </c>
    </row>
    <row r="183" spans="2:25" x14ac:dyDescent="0.25">
      <c r="B183" s="263" t="s">
        <v>422</v>
      </c>
      <c r="C183" s="12" t="s">
        <v>423</v>
      </c>
      <c r="D183" s="12" t="s">
        <v>47</v>
      </c>
      <c r="E183" s="208" t="s">
        <v>48</v>
      </c>
      <c r="F183" s="208" t="s">
        <v>56</v>
      </c>
      <c r="G183" s="27" t="s">
        <v>50</v>
      </c>
      <c r="H183" s="27" t="s">
        <v>50</v>
      </c>
      <c r="I183" s="27" t="s">
        <v>51</v>
      </c>
      <c r="J183" s="27" t="s">
        <v>50</v>
      </c>
      <c r="K183" s="27" t="s">
        <v>50</v>
      </c>
      <c r="L183" s="114"/>
      <c r="M183" s="114"/>
      <c r="N183" s="114"/>
      <c r="O183" s="114"/>
      <c r="P183" s="114"/>
      <c r="Q183" s="114"/>
      <c r="R183" s="114"/>
      <c r="S183" s="114" t="s">
        <v>50</v>
      </c>
      <c r="T183" s="114" t="s">
        <v>50</v>
      </c>
      <c r="U183" s="141" t="s">
        <v>52</v>
      </c>
      <c r="V183" s="114" t="s">
        <v>52</v>
      </c>
      <c r="W183" s="141" t="s">
        <v>52</v>
      </c>
      <c r="X183" s="421">
        <f>VLOOKUP(Table29[[#This Row],[Country Codes]],GHG!$A$8:$E$203,4,FALSE)</f>
        <v>21.438119694097999</v>
      </c>
      <c r="Y183" s="421">
        <f>VLOOKUP(Table29[[#This Row],[Country Codes]],GHG!$A$8:$E$203,3,FALSE)</f>
        <v>1.9934951501956819</v>
      </c>
    </row>
    <row r="184" spans="2:25" x14ac:dyDescent="0.25">
      <c r="B184" s="263" t="s">
        <v>424</v>
      </c>
      <c r="C184" s="12" t="s">
        <v>425</v>
      </c>
      <c r="D184" s="12" t="s">
        <v>47</v>
      </c>
      <c r="E184" s="208" t="s">
        <v>48</v>
      </c>
      <c r="F184" s="208" t="s">
        <v>56</v>
      </c>
      <c r="G184" s="27" t="s">
        <v>50</v>
      </c>
      <c r="H184" s="27" t="s">
        <v>50</v>
      </c>
      <c r="I184" s="27" t="s">
        <v>51</v>
      </c>
      <c r="J184" s="27" t="s">
        <v>50</v>
      </c>
      <c r="K184" s="27" t="s">
        <v>50</v>
      </c>
      <c r="L184" s="114"/>
      <c r="M184" s="114"/>
      <c r="N184" s="114"/>
      <c r="O184" s="114"/>
      <c r="P184" s="114"/>
      <c r="Q184" s="114"/>
      <c r="R184" s="114"/>
      <c r="S184" s="114" t="s">
        <v>64</v>
      </c>
      <c r="T184" s="114" t="s">
        <v>50</v>
      </c>
      <c r="U184" s="141" t="s">
        <v>52</v>
      </c>
      <c r="V184" s="114" t="s">
        <v>52</v>
      </c>
      <c r="W184" s="141" t="s">
        <v>52</v>
      </c>
      <c r="X184" s="421">
        <f>VLOOKUP(Table29[[#This Row],[Country Codes]],GHG!$A$8:$E$203,4,FALSE)</f>
        <v>440.78301465571002</v>
      </c>
      <c r="Y184" s="421">
        <f>VLOOKUP(Table29[[#This Row],[Country Codes]],GHG!$A$8:$E$203,3,FALSE)</f>
        <v>81.217527676047013</v>
      </c>
    </row>
    <row r="185" spans="2:25" x14ac:dyDescent="0.25">
      <c r="B185" s="263" t="s">
        <v>426</v>
      </c>
      <c r="C185" s="12" t="s">
        <v>427</v>
      </c>
      <c r="D185" s="12" t="s">
        <v>47</v>
      </c>
      <c r="E185" s="208" t="s">
        <v>48</v>
      </c>
      <c r="F185" s="208" t="s">
        <v>56</v>
      </c>
      <c r="G185" s="27" t="s">
        <v>50</v>
      </c>
      <c r="H185" s="27" t="s">
        <v>50</v>
      </c>
      <c r="I185" s="27" t="s">
        <v>51</v>
      </c>
      <c r="J185" s="27" t="s">
        <v>50</v>
      </c>
      <c r="K185" s="27" t="s">
        <v>50</v>
      </c>
      <c r="L185" s="114"/>
      <c r="M185" s="114"/>
      <c r="N185" s="114"/>
      <c r="O185" s="114"/>
      <c r="P185" s="114"/>
      <c r="Q185" s="114"/>
      <c r="R185" s="114"/>
      <c r="S185" s="114" t="s">
        <v>50</v>
      </c>
      <c r="T185" s="114" t="s">
        <v>50</v>
      </c>
      <c r="U185" s="141" t="s">
        <v>52</v>
      </c>
      <c r="V185" s="114" t="s">
        <v>52</v>
      </c>
      <c r="W185" s="141" t="s">
        <v>52</v>
      </c>
      <c r="X185" s="421">
        <f>VLOOKUP(Table29[[#This Row],[Country Codes]],GHG!$A$8:$E$203,4,FALSE)</f>
        <v>2.0071829501919001</v>
      </c>
      <c r="Y185" s="421">
        <f>VLOOKUP(Table29[[#This Row],[Country Codes]],GHG!$A$8:$E$203,3,FALSE)</f>
        <v>0.34628334680787631</v>
      </c>
    </row>
    <row r="186" spans="2:25" x14ac:dyDescent="0.25">
      <c r="B186" s="263" t="s">
        <v>428</v>
      </c>
      <c r="C186" s="12" t="s">
        <v>429</v>
      </c>
      <c r="D186" s="12" t="s">
        <v>47</v>
      </c>
      <c r="E186" s="208" t="s">
        <v>59</v>
      </c>
      <c r="F186" s="208" t="s">
        <v>49</v>
      </c>
      <c r="G186" s="27" t="s">
        <v>50</v>
      </c>
      <c r="H186" s="27" t="s">
        <v>50</v>
      </c>
      <c r="I186" s="27" t="s">
        <v>51</v>
      </c>
      <c r="J186" s="27" t="s">
        <v>50</v>
      </c>
      <c r="K186" s="27" t="s">
        <v>50</v>
      </c>
      <c r="L186" s="114"/>
      <c r="M186" s="114"/>
      <c r="N186" s="114"/>
      <c r="O186" s="114"/>
      <c r="P186" s="114"/>
      <c r="Q186" s="114"/>
      <c r="R186" s="114"/>
      <c r="S186" s="114" t="s">
        <v>50</v>
      </c>
      <c r="T186" s="114" t="s">
        <v>50</v>
      </c>
      <c r="U186" s="141" t="s">
        <v>52</v>
      </c>
      <c r="V186" s="114" t="s">
        <v>52</v>
      </c>
      <c r="W186" s="141" t="s">
        <v>52</v>
      </c>
      <c r="X186" s="421">
        <f>VLOOKUP(Table29[[#This Row],[Country Codes]],GHG!$A$8:$E$203,4,FALSE)</f>
        <v>10.612911987181</v>
      </c>
      <c r="Y186" s="421">
        <f>VLOOKUP(Table29[[#This Row],[Country Codes]],GHG!$A$8:$E$203,3,FALSE)</f>
        <v>1.3349461053649869</v>
      </c>
    </row>
    <row r="187" spans="2:25" x14ac:dyDescent="0.25">
      <c r="B187" s="263" t="s">
        <v>430</v>
      </c>
      <c r="C187" s="12" t="s">
        <v>431</v>
      </c>
      <c r="D187" s="12" t="s">
        <v>47</v>
      </c>
      <c r="E187" s="208" t="s">
        <v>79</v>
      </c>
      <c r="F187" s="208" t="s">
        <v>56</v>
      </c>
      <c r="G187" s="27" t="s">
        <v>50</v>
      </c>
      <c r="H187" s="27" t="s">
        <v>50</v>
      </c>
      <c r="I187" s="27" t="s">
        <v>51</v>
      </c>
      <c r="J187" s="27" t="s">
        <v>50</v>
      </c>
      <c r="K187" s="27" t="s">
        <v>50</v>
      </c>
      <c r="L187" s="114"/>
      <c r="M187" s="114"/>
      <c r="N187" s="114"/>
      <c r="O187" s="114"/>
      <c r="P187" s="114"/>
      <c r="Q187" s="114"/>
      <c r="R187" s="114"/>
      <c r="S187" s="114" t="s">
        <v>50</v>
      </c>
      <c r="T187" s="114" t="s">
        <v>50</v>
      </c>
      <c r="U187" s="141" t="s">
        <v>52</v>
      </c>
      <c r="V187" s="114" t="s">
        <v>52</v>
      </c>
      <c r="W187" s="141" t="s">
        <v>52</v>
      </c>
      <c r="X187" s="421">
        <f>VLOOKUP(Table29[[#This Row],[Country Codes]],GHG!$A$8:$E$203,4,FALSE)</f>
        <v>0.34210672521812002</v>
      </c>
      <c r="Y187" s="421">
        <f>VLOOKUP(Table29[[#This Row],[Country Codes]],GHG!$A$8:$E$203,3,FALSE)</f>
        <v>0.1141760738354758</v>
      </c>
    </row>
    <row r="188" spans="2:25" x14ac:dyDescent="0.25">
      <c r="B188" s="263" t="s">
        <v>432</v>
      </c>
      <c r="C188" s="12" t="s">
        <v>433</v>
      </c>
      <c r="D188" s="12" t="s">
        <v>47</v>
      </c>
      <c r="E188" s="208" t="s">
        <v>69</v>
      </c>
      <c r="F188" s="208" t="s">
        <v>63</v>
      </c>
      <c r="G188" s="27" t="s">
        <v>50</v>
      </c>
      <c r="H188" s="27" t="s">
        <v>50</v>
      </c>
      <c r="I188" s="27" t="s">
        <v>51</v>
      </c>
      <c r="J188" s="27" t="s">
        <v>50</v>
      </c>
      <c r="K188" s="27" t="s">
        <v>50</v>
      </c>
      <c r="L188" s="114"/>
      <c r="M188" s="114"/>
      <c r="N188" s="114"/>
      <c r="O188" s="114"/>
      <c r="P188" s="114"/>
      <c r="Q188" s="114"/>
      <c r="R188" s="114"/>
      <c r="S188" s="114" t="s">
        <v>50</v>
      </c>
      <c r="T188" s="114" t="s">
        <v>50</v>
      </c>
      <c r="U188" s="141" t="s">
        <v>52</v>
      </c>
      <c r="V188" s="114" t="s">
        <v>52</v>
      </c>
      <c r="W188" s="141" t="s">
        <v>52</v>
      </c>
      <c r="X188" s="421">
        <f>VLOOKUP(Table29[[#This Row],[Country Codes]],GHG!$A$8:$E$203,4,FALSE)</f>
        <v>34.187024015246998</v>
      </c>
      <c r="Y188" s="421">
        <f>VLOOKUP(Table29[[#This Row],[Country Codes]],GHG!$A$8:$E$203,3,FALSE)</f>
        <v>2.548503229596502</v>
      </c>
    </row>
    <row r="189" spans="2:25" x14ac:dyDescent="0.25">
      <c r="B189" s="263" t="s">
        <v>434</v>
      </c>
      <c r="C189" s="12" t="s">
        <v>435</v>
      </c>
      <c r="D189" s="12" t="s">
        <v>47</v>
      </c>
      <c r="E189" s="208" t="s">
        <v>59</v>
      </c>
      <c r="F189" s="208" t="s">
        <v>56</v>
      </c>
      <c r="G189" s="27" t="s">
        <v>50</v>
      </c>
      <c r="H189" s="27" t="s">
        <v>50</v>
      </c>
      <c r="I189" s="27" t="s">
        <v>51</v>
      </c>
      <c r="J189" s="27" t="s">
        <v>50</v>
      </c>
      <c r="K189" s="114" t="s">
        <v>60</v>
      </c>
      <c r="L189" s="114"/>
      <c r="M189" s="114"/>
      <c r="N189" s="114"/>
      <c r="O189" s="114"/>
      <c r="P189" s="114"/>
      <c r="Q189" s="114"/>
      <c r="R189" s="114"/>
      <c r="S189" s="114" t="s">
        <v>64</v>
      </c>
      <c r="T189" s="114" t="s">
        <v>50</v>
      </c>
      <c r="U189" s="141" t="s">
        <v>52</v>
      </c>
      <c r="V189" s="114" t="s">
        <v>52</v>
      </c>
      <c r="W189" s="141" t="s">
        <v>52</v>
      </c>
      <c r="X189" s="421">
        <f>VLOOKUP(Table29[[#This Row],[Country Codes]],GHG!$A$8:$E$203,4,FALSE)</f>
        <v>43.578530969543998</v>
      </c>
      <c r="Y189" s="421">
        <f>VLOOKUP(Table29[[#This Row],[Country Codes]],GHG!$A$8:$E$203,3,FALSE)</f>
        <v>8.2824682143968626</v>
      </c>
    </row>
    <row r="190" spans="2:25" x14ac:dyDescent="0.25">
      <c r="B190" s="263" t="s">
        <v>436</v>
      </c>
      <c r="C190" s="12" t="s">
        <v>437</v>
      </c>
      <c r="D190" s="12" t="s">
        <v>78</v>
      </c>
      <c r="E190" s="208" t="s">
        <v>48</v>
      </c>
      <c r="F190" s="208" t="s">
        <v>56</v>
      </c>
      <c r="G190" s="27" t="s">
        <v>26</v>
      </c>
      <c r="H190" s="27" t="s">
        <v>50</v>
      </c>
      <c r="I190" s="27" t="s">
        <v>28</v>
      </c>
      <c r="J190" s="27" t="s">
        <v>50</v>
      </c>
      <c r="K190" s="27" t="s">
        <v>50</v>
      </c>
      <c r="L190" s="114" t="s">
        <v>80</v>
      </c>
      <c r="M190" s="114" t="s">
        <v>80</v>
      </c>
      <c r="N190" s="114" t="s">
        <v>80</v>
      </c>
      <c r="O190" s="114"/>
      <c r="P190" s="114" t="s">
        <v>80</v>
      </c>
      <c r="Q190" s="114"/>
      <c r="R190" s="114"/>
      <c r="S190" s="114" t="s">
        <v>64</v>
      </c>
      <c r="T190" s="114" t="s">
        <v>50</v>
      </c>
      <c r="U190" s="141" t="s">
        <v>52</v>
      </c>
      <c r="V190" s="114" t="s">
        <v>52</v>
      </c>
      <c r="W190" s="141" t="s">
        <v>52</v>
      </c>
      <c r="X190" s="421">
        <f>VLOOKUP(Table29[[#This Row],[Country Codes]],GHG!$A$8:$E$203,4,FALSE)</f>
        <v>606.42985584790995</v>
      </c>
      <c r="Y190" s="421">
        <f>VLOOKUP(Table29[[#This Row],[Country Codes]],GHG!$A$8:$E$203,3,FALSE)</f>
        <v>95.92080354160332</v>
      </c>
    </row>
    <row r="191" spans="2:25" x14ac:dyDescent="0.25">
      <c r="B191" s="263" t="s">
        <v>438</v>
      </c>
      <c r="C191" s="12" t="s">
        <v>439</v>
      </c>
      <c r="D191" s="12" t="s">
        <v>47</v>
      </c>
      <c r="E191" s="208" t="s">
        <v>48</v>
      </c>
      <c r="F191" s="208" t="s">
        <v>56</v>
      </c>
      <c r="G191" s="27" t="s">
        <v>50</v>
      </c>
      <c r="H191" s="27" t="s">
        <v>50</v>
      </c>
      <c r="I191" s="27" t="s">
        <v>51</v>
      </c>
      <c r="J191" s="27" t="s">
        <v>50</v>
      </c>
      <c r="K191" s="27" t="s">
        <v>50</v>
      </c>
      <c r="L191" s="114"/>
      <c r="M191" s="114"/>
      <c r="N191" s="114"/>
      <c r="O191" s="114"/>
      <c r="P191" s="114"/>
      <c r="Q191" s="114"/>
      <c r="R191" s="114"/>
      <c r="S191" s="114" t="s">
        <v>50</v>
      </c>
      <c r="T191" s="114" t="s">
        <v>50</v>
      </c>
      <c r="U191" s="141" t="s">
        <v>52</v>
      </c>
      <c r="V191" s="114" t="s">
        <v>52</v>
      </c>
      <c r="W191" s="141" t="s">
        <v>52</v>
      </c>
      <c r="X191" s="421">
        <f>VLOOKUP(Table29[[#This Row],[Country Codes]],GHG!$A$8:$E$203,4,FALSE)</f>
        <v>98.794119828660001</v>
      </c>
      <c r="Y191" s="421">
        <f>VLOOKUP(Table29[[#This Row],[Country Codes]],GHG!$A$8:$E$203,3,FALSE)</f>
        <v>12.185378724618079</v>
      </c>
    </row>
    <row r="192" spans="2:25" x14ac:dyDescent="0.25">
      <c r="B192" s="263" t="s">
        <v>440</v>
      </c>
      <c r="C192" s="12" t="s">
        <v>441</v>
      </c>
      <c r="D192" s="12" t="s">
        <v>47</v>
      </c>
      <c r="E192" s="208" t="s">
        <v>79</v>
      </c>
      <c r="F192" s="208" t="s">
        <v>56</v>
      </c>
      <c r="G192" s="27" t="s">
        <v>50</v>
      </c>
      <c r="H192" s="27" t="s">
        <v>50</v>
      </c>
      <c r="I192" s="27" t="s">
        <v>51</v>
      </c>
      <c r="J192" s="27" t="s">
        <v>50</v>
      </c>
      <c r="K192" s="27" t="s">
        <v>50</v>
      </c>
      <c r="L192" s="114"/>
      <c r="M192" s="114"/>
      <c r="N192" s="114"/>
      <c r="O192" s="114"/>
      <c r="P192" s="114"/>
      <c r="Q192" s="114"/>
      <c r="R192" s="114"/>
      <c r="S192" s="114" t="s">
        <v>50</v>
      </c>
      <c r="T192" s="114" t="s">
        <v>50</v>
      </c>
      <c r="U192" s="141" t="s">
        <v>52</v>
      </c>
      <c r="V192" s="114" t="s">
        <v>52</v>
      </c>
      <c r="W192" s="141" t="s">
        <v>52</v>
      </c>
      <c r="X192" s="421">
        <f>VLOOKUP(Table29[[#This Row],[Country Codes]],GHG!$A$8:$E$203,4,FALSE)</f>
        <v>0</v>
      </c>
      <c r="Y192" s="421">
        <f>VLOOKUP(Table29[[#This Row],[Country Codes]],GHG!$A$8:$E$203,3,FALSE)</f>
        <v>0</v>
      </c>
    </row>
    <row r="193" spans="2:25" x14ac:dyDescent="0.25">
      <c r="B193" s="263" t="s">
        <v>442</v>
      </c>
      <c r="C193" s="12" t="s">
        <v>443</v>
      </c>
      <c r="D193" s="12" t="s">
        <v>47</v>
      </c>
      <c r="E193" s="208" t="s">
        <v>59</v>
      </c>
      <c r="F193" s="208" t="s">
        <v>49</v>
      </c>
      <c r="G193" s="27" t="s">
        <v>50</v>
      </c>
      <c r="H193" s="27" t="s">
        <v>50</v>
      </c>
      <c r="I193" s="27" t="s">
        <v>51</v>
      </c>
      <c r="J193" s="27" t="s">
        <v>50</v>
      </c>
      <c r="K193" s="27" t="s">
        <v>50</v>
      </c>
      <c r="L193" s="114"/>
      <c r="M193" s="114"/>
      <c r="N193" s="114"/>
      <c r="O193" s="114"/>
      <c r="P193" s="114"/>
      <c r="Q193" s="114"/>
      <c r="R193" s="114"/>
      <c r="S193" s="114" t="s">
        <v>50</v>
      </c>
      <c r="T193" s="114" t="s">
        <v>50</v>
      </c>
      <c r="U193" s="141" t="s">
        <v>52</v>
      </c>
      <c r="V193" s="114" t="s">
        <v>52</v>
      </c>
      <c r="W193" s="141" t="s">
        <v>52</v>
      </c>
      <c r="X193" s="421">
        <f>VLOOKUP(Table29[[#This Row],[Country Codes]],GHG!$A$8:$E$203,4,FALSE)</f>
        <v>53.370989410157001</v>
      </c>
      <c r="Y193" s="421">
        <f>VLOOKUP(Table29[[#This Row],[Country Codes]],GHG!$A$8:$E$203,3,FALSE)</f>
        <v>3.617994034151566</v>
      </c>
    </row>
    <row r="194" spans="2:25" x14ac:dyDescent="0.25">
      <c r="B194" s="263" t="s">
        <v>444</v>
      </c>
      <c r="C194" s="12" t="s">
        <v>445</v>
      </c>
      <c r="D194" s="12" t="s">
        <v>78</v>
      </c>
      <c r="E194" s="208" t="s">
        <v>55</v>
      </c>
      <c r="F194" s="208" t="s">
        <v>56</v>
      </c>
      <c r="G194" s="27" t="s">
        <v>50</v>
      </c>
      <c r="H194" s="27" t="s">
        <v>50</v>
      </c>
      <c r="I194" s="27" t="s">
        <v>51</v>
      </c>
      <c r="J194" s="27" t="s">
        <v>50</v>
      </c>
      <c r="K194" s="27" t="s">
        <v>50</v>
      </c>
      <c r="L194" s="114" t="s">
        <v>80</v>
      </c>
      <c r="M194" s="114"/>
      <c r="N194" s="114"/>
      <c r="O194" s="114"/>
      <c r="P194" s="114"/>
      <c r="Q194" s="114"/>
      <c r="R194" s="114"/>
      <c r="S194" s="114" t="s">
        <v>64</v>
      </c>
      <c r="T194" s="114" t="s">
        <v>50</v>
      </c>
      <c r="U194" s="141" t="s">
        <v>52</v>
      </c>
      <c r="V194" s="114" t="s">
        <v>52</v>
      </c>
      <c r="W194" s="141" t="s">
        <v>52</v>
      </c>
      <c r="X194" s="421">
        <f>VLOOKUP(Table29[[#This Row],[Country Codes]],GHG!$A$8:$E$203,4,FALSE)</f>
        <v>216.09280539526</v>
      </c>
      <c r="Y194" s="421">
        <f>VLOOKUP(Table29[[#This Row],[Country Codes]],GHG!$A$8:$E$203,3,FALSE)</f>
        <v>22.57062743711105</v>
      </c>
    </row>
    <row r="195" spans="2:25" x14ac:dyDescent="0.25">
      <c r="B195" s="263" t="s">
        <v>446</v>
      </c>
      <c r="C195" s="12" t="s">
        <v>447</v>
      </c>
      <c r="D195" s="12" t="s">
        <v>47</v>
      </c>
      <c r="E195" s="208" t="s">
        <v>48</v>
      </c>
      <c r="F195" s="208" t="s">
        <v>63</v>
      </c>
      <c r="G195" s="27" t="s">
        <v>50</v>
      </c>
      <c r="H195" s="27" t="s">
        <v>50</v>
      </c>
      <c r="I195" s="27" t="s">
        <v>51</v>
      </c>
      <c r="J195" s="27" t="s">
        <v>50</v>
      </c>
      <c r="K195" s="114" t="s">
        <v>60</v>
      </c>
      <c r="L195" s="114"/>
      <c r="M195" s="114"/>
      <c r="N195" s="114"/>
      <c r="O195" s="114"/>
      <c r="P195" s="114"/>
      <c r="Q195" s="114"/>
      <c r="R195" s="114"/>
      <c r="S195" s="114" t="s">
        <v>64</v>
      </c>
      <c r="T195" s="114" t="s">
        <v>50</v>
      </c>
      <c r="U195" s="141" t="s">
        <v>52</v>
      </c>
      <c r="V195" s="114" t="s">
        <v>52</v>
      </c>
      <c r="W195" s="141" t="s">
        <v>52</v>
      </c>
      <c r="X195" s="421">
        <f>VLOOKUP(Table29[[#This Row],[Country Codes]],GHG!$A$8:$E$203,4,FALSE)</f>
        <v>267.82319378585998</v>
      </c>
      <c r="Y195" s="421">
        <f>VLOOKUP(Table29[[#This Row],[Country Codes]],GHG!$A$8:$E$203,3,FALSE)</f>
        <v>43.860911308351241</v>
      </c>
    </row>
    <row r="196" spans="2:25" x14ac:dyDescent="0.25">
      <c r="B196" s="263" t="s">
        <v>448</v>
      </c>
      <c r="C196" s="12" t="s">
        <v>449</v>
      </c>
      <c r="D196" s="12" t="s">
        <v>78</v>
      </c>
      <c r="E196" s="208" t="s">
        <v>55</v>
      </c>
      <c r="F196" s="208" t="s">
        <v>63</v>
      </c>
      <c r="G196" s="27" t="s">
        <v>26</v>
      </c>
      <c r="H196" s="27" t="s">
        <v>27</v>
      </c>
      <c r="I196" s="27" t="s">
        <v>28</v>
      </c>
      <c r="J196" s="27" t="s">
        <v>50</v>
      </c>
      <c r="K196" s="27" t="s">
        <v>50</v>
      </c>
      <c r="L196" s="114" t="s">
        <v>80</v>
      </c>
      <c r="M196" s="114" t="s">
        <v>80</v>
      </c>
      <c r="N196" s="114" t="s">
        <v>80</v>
      </c>
      <c r="O196" s="114" t="s">
        <v>80</v>
      </c>
      <c r="P196" s="114" t="s">
        <v>80</v>
      </c>
      <c r="Q196" s="114"/>
      <c r="R196" s="114"/>
      <c r="S196" s="114" t="s">
        <v>64</v>
      </c>
      <c r="T196" s="114" t="s">
        <v>64</v>
      </c>
      <c r="U196" s="141" t="s">
        <v>83</v>
      </c>
      <c r="V196" s="114">
        <v>2030</v>
      </c>
      <c r="W196" s="141" t="s">
        <v>227</v>
      </c>
      <c r="X196" s="421">
        <f>VLOOKUP(Table29[[#This Row],[Country Codes]],GHG!$A$8:$E$203,4,FALSE)</f>
        <v>379.31858785213001</v>
      </c>
      <c r="Y196" s="421">
        <f>VLOOKUP(Table29[[#This Row],[Country Codes]],GHG!$A$8:$E$203,3,FALSE)</f>
        <v>109.75048777474809</v>
      </c>
    </row>
    <row r="197" spans="2:25" x14ac:dyDescent="0.25">
      <c r="B197" s="263" t="s">
        <v>450</v>
      </c>
      <c r="C197" s="12" t="s">
        <v>451</v>
      </c>
      <c r="D197" s="12" t="s">
        <v>47</v>
      </c>
      <c r="E197" s="208" t="s">
        <v>59</v>
      </c>
      <c r="F197" s="208" t="s">
        <v>56</v>
      </c>
      <c r="G197" s="27" t="s">
        <v>50</v>
      </c>
      <c r="H197" s="27" t="s">
        <v>50</v>
      </c>
      <c r="I197" s="27" t="s">
        <v>51</v>
      </c>
      <c r="J197" s="27" t="s">
        <v>50</v>
      </c>
      <c r="K197" s="27" t="s">
        <v>50</v>
      </c>
      <c r="L197" s="114"/>
      <c r="M197" s="114"/>
      <c r="N197" s="114"/>
      <c r="O197" s="114"/>
      <c r="P197" s="114"/>
      <c r="Q197" s="114"/>
      <c r="R197" s="114"/>
      <c r="S197" s="114" t="s">
        <v>50</v>
      </c>
      <c r="T197" s="114" t="s">
        <v>50</v>
      </c>
      <c r="U197" s="141" t="s">
        <v>52</v>
      </c>
      <c r="V197" s="114" t="s">
        <v>52</v>
      </c>
      <c r="W197" s="141" t="s">
        <v>52</v>
      </c>
      <c r="X197" s="421">
        <f>VLOOKUP(Table29[[#This Row],[Country Codes]],GHG!$A$8:$E$203,4,FALSE)</f>
        <v>89.815439405641001</v>
      </c>
      <c r="Y197" s="421">
        <f>VLOOKUP(Table29[[#This Row],[Country Codes]],GHG!$A$8:$E$203,3,FALSE)</f>
        <v>9.0665378622625585</v>
      </c>
    </row>
    <row r="198" spans="2:25" x14ac:dyDescent="0.25">
      <c r="B198" s="263" t="s">
        <v>452</v>
      </c>
      <c r="C198" s="12" t="s">
        <v>453</v>
      </c>
      <c r="D198" s="12" t="s">
        <v>78</v>
      </c>
      <c r="E198" s="208" t="s">
        <v>129</v>
      </c>
      <c r="F198" s="208" t="s">
        <v>63</v>
      </c>
      <c r="G198" s="27" t="s">
        <v>26</v>
      </c>
      <c r="H198" s="27" t="s">
        <v>27</v>
      </c>
      <c r="I198" s="27" t="s">
        <v>28</v>
      </c>
      <c r="J198" s="27" t="s">
        <v>50</v>
      </c>
      <c r="K198" s="27" t="s">
        <v>50</v>
      </c>
      <c r="L198" s="114"/>
      <c r="M198" s="114" t="s">
        <v>80</v>
      </c>
      <c r="N198" s="114" t="s">
        <v>80</v>
      </c>
      <c r="O198" s="114" t="s">
        <v>80</v>
      </c>
      <c r="P198" s="114"/>
      <c r="Q198" s="114"/>
      <c r="R198" s="114"/>
      <c r="S198" s="114" t="s">
        <v>64</v>
      </c>
      <c r="T198" s="114" t="s">
        <v>64</v>
      </c>
      <c r="U198" s="141" t="s">
        <v>83</v>
      </c>
      <c r="V198" s="114">
        <v>2050</v>
      </c>
      <c r="W198" s="141" t="s">
        <v>227</v>
      </c>
      <c r="X198" s="421">
        <f>VLOOKUP(Table29[[#This Row],[Country Codes]],GHG!$A$8:$E$203,4,FALSE)</f>
        <v>5960.8043799938996</v>
      </c>
      <c r="Y198" s="421">
        <f>VLOOKUP(Table29[[#This Row],[Country Codes]],GHG!$A$8:$E$203,3,FALSE)</f>
        <v>1735.9036371632039</v>
      </c>
    </row>
    <row r="199" spans="2:25" x14ac:dyDescent="0.25">
      <c r="B199" s="263" t="s">
        <v>454</v>
      </c>
      <c r="C199" s="12" t="s">
        <v>455</v>
      </c>
      <c r="D199" s="12" t="s">
        <v>47</v>
      </c>
      <c r="E199" s="208" t="s">
        <v>69</v>
      </c>
      <c r="F199" s="208" t="s">
        <v>63</v>
      </c>
      <c r="G199" s="27" t="s">
        <v>50</v>
      </c>
      <c r="H199" s="27" t="s">
        <v>50</v>
      </c>
      <c r="I199" s="27" t="s">
        <v>51</v>
      </c>
      <c r="J199" s="27" t="s">
        <v>50</v>
      </c>
      <c r="K199" s="27" t="s">
        <v>50</v>
      </c>
      <c r="L199" s="114" t="s">
        <v>80</v>
      </c>
      <c r="M199" s="114"/>
      <c r="N199" s="114"/>
      <c r="O199" s="114"/>
      <c r="P199" s="114" t="s">
        <v>80</v>
      </c>
      <c r="Q199" s="114"/>
      <c r="R199" s="114"/>
      <c r="S199" s="114" t="s">
        <v>64</v>
      </c>
      <c r="T199" s="114" t="s">
        <v>64</v>
      </c>
      <c r="U199" s="141" t="s">
        <v>83</v>
      </c>
      <c r="V199" s="114">
        <v>2035</v>
      </c>
      <c r="W199" s="141" t="s">
        <v>227</v>
      </c>
      <c r="X199" s="421">
        <f>VLOOKUP(Table29[[#This Row],[Country Codes]],GHG!$A$8:$E$203,4,FALSE)</f>
        <v>41.634111747759</v>
      </c>
      <c r="Y199" s="421">
        <f>VLOOKUP(Table29[[#This Row],[Country Codes]],GHG!$A$8:$E$203,3,FALSE)</f>
        <v>4.0868158944276578</v>
      </c>
    </row>
    <row r="200" spans="2:25" x14ac:dyDescent="0.25">
      <c r="B200" s="263" t="s">
        <v>456</v>
      </c>
      <c r="C200" s="12" t="s">
        <v>457</v>
      </c>
      <c r="D200" s="12" t="s">
        <v>47</v>
      </c>
      <c r="E200" s="208" t="s">
        <v>48</v>
      </c>
      <c r="F200" s="208" t="s">
        <v>56</v>
      </c>
      <c r="G200" s="27" t="s">
        <v>50</v>
      </c>
      <c r="H200" s="27" t="s">
        <v>50</v>
      </c>
      <c r="I200" s="27" t="s">
        <v>51</v>
      </c>
      <c r="J200" s="27" t="s">
        <v>50</v>
      </c>
      <c r="K200" s="27" t="s">
        <v>50</v>
      </c>
      <c r="L200" s="114"/>
      <c r="M200" s="114"/>
      <c r="N200" s="114"/>
      <c r="O200" s="114"/>
      <c r="P200" s="114"/>
      <c r="Q200" s="114"/>
      <c r="R200" s="114"/>
      <c r="S200" s="114" t="s">
        <v>50</v>
      </c>
      <c r="T200" s="114" t="s">
        <v>50</v>
      </c>
      <c r="U200" s="141" t="s">
        <v>52</v>
      </c>
      <c r="V200" s="114" t="s">
        <v>52</v>
      </c>
      <c r="W200" s="141" t="s">
        <v>52</v>
      </c>
      <c r="X200" s="421">
        <f>VLOOKUP(Table29[[#This Row],[Country Codes]],GHG!$A$8:$E$203,4,FALSE)</f>
        <v>214.53138443860999</v>
      </c>
      <c r="Y200" s="421">
        <f>VLOOKUP(Table29[[#This Row],[Country Codes]],GHG!$A$8:$E$203,3,FALSE)</f>
        <v>16.788710012650458</v>
      </c>
    </row>
    <row r="201" spans="2:25" x14ac:dyDescent="0.25">
      <c r="B201" s="263" t="s">
        <v>458</v>
      </c>
      <c r="C201" s="12" t="s">
        <v>459</v>
      </c>
      <c r="D201" s="12" t="s">
        <v>47</v>
      </c>
      <c r="E201" s="208" t="s">
        <v>79</v>
      </c>
      <c r="F201" s="208" t="s">
        <v>56</v>
      </c>
      <c r="G201" s="27" t="s">
        <v>50</v>
      </c>
      <c r="H201" s="27" t="s">
        <v>50</v>
      </c>
      <c r="I201" s="27" t="s">
        <v>51</v>
      </c>
      <c r="J201" s="27" t="s">
        <v>50</v>
      </c>
      <c r="K201" s="27" t="s">
        <v>50</v>
      </c>
      <c r="L201" s="114"/>
      <c r="M201" s="114"/>
      <c r="N201" s="114"/>
      <c r="O201" s="114"/>
      <c r="P201" s="114"/>
      <c r="Q201" s="114"/>
      <c r="R201" s="114"/>
      <c r="S201" s="114" t="s">
        <v>64</v>
      </c>
      <c r="T201" s="114" t="s">
        <v>50</v>
      </c>
      <c r="U201" s="141" t="s">
        <v>52</v>
      </c>
      <c r="V201" s="114" t="s">
        <v>52</v>
      </c>
      <c r="W201" s="141" t="s">
        <v>52</v>
      </c>
      <c r="X201" s="421">
        <f>VLOOKUP(Table29[[#This Row],[Country Codes]],GHG!$A$8:$E$203,4,FALSE)</f>
        <v>0.67021230161326995</v>
      </c>
      <c r="Y201" s="421">
        <f>VLOOKUP(Table29[[#This Row],[Country Codes]],GHG!$A$8:$E$203,3,FALSE)</f>
        <v>0.148941723979749</v>
      </c>
    </row>
    <row r="202" spans="2:25" x14ac:dyDescent="0.25">
      <c r="B202" s="263" t="s">
        <v>460</v>
      </c>
      <c r="C202" s="12" t="s">
        <v>461</v>
      </c>
      <c r="D202" s="12" t="s">
        <v>52</v>
      </c>
      <c r="E202" s="208" t="s">
        <v>55</v>
      </c>
      <c r="F202" s="208" t="s">
        <v>52</v>
      </c>
      <c r="G202" s="27" t="s">
        <v>50</v>
      </c>
      <c r="H202" s="27" t="s">
        <v>50</v>
      </c>
      <c r="I202" s="27" t="s">
        <v>52</v>
      </c>
      <c r="J202" s="27" t="s">
        <v>50</v>
      </c>
      <c r="K202" s="114" t="s">
        <v>50</v>
      </c>
      <c r="L202" s="114"/>
      <c r="M202" s="114"/>
      <c r="N202" s="114"/>
      <c r="O202" s="114"/>
      <c r="P202" s="114"/>
      <c r="Q202" s="114"/>
      <c r="R202" s="114"/>
      <c r="S202" s="114" t="s">
        <v>50</v>
      </c>
      <c r="T202" s="114" t="s">
        <v>50</v>
      </c>
      <c r="U202" s="141" t="s">
        <v>52</v>
      </c>
      <c r="V202" s="114" t="s">
        <v>52</v>
      </c>
      <c r="W202" s="141" t="s">
        <v>52</v>
      </c>
      <c r="X202" s="421" t="e">
        <f>VLOOKUP(Table29[[#This Row],[Country Codes]],GHG!$A$8:$E$203,4,FALSE)</f>
        <v>#N/A</v>
      </c>
      <c r="Y202" s="421" t="e">
        <f>VLOOKUP(Table29[[#This Row],[Country Codes]],GHG!$A$8:$E$203,3,FALSE)</f>
        <v>#N/A</v>
      </c>
    </row>
    <row r="203" spans="2:25" x14ac:dyDescent="0.25">
      <c r="B203" s="263" t="s">
        <v>462</v>
      </c>
      <c r="C203" s="12" t="s">
        <v>463</v>
      </c>
      <c r="D203" s="12" t="s">
        <v>47</v>
      </c>
      <c r="E203" s="208" t="s">
        <v>69</v>
      </c>
      <c r="F203" s="208" t="s">
        <v>56</v>
      </c>
      <c r="G203" s="27" t="s">
        <v>50</v>
      </c>
      <c r="H203" s="27" t="s">
        <v>50</v>
      </c>
      <c r="I203" s="27" t="s">
        <v>51</v>
      </c>
      <c r="J203" s="27" t="s">
        <v>50</v>
      </c>
      <c r="K203" s="27" t="s">
        <v>50</v>
      </c>
      <c r="L203" s="114"/>
      <c r="M203" s="114"/>
      <c r="N203" s="114"/>
      <c r="O203" s="114"/>
      <c r="P203" s="114"/>
      <c r="Q203" s="114"/>
      <c r="R203" s="114"/>
      <c r="S203" s="114" t="s">
        <v>50</v>
      </c>
      <c r="T203" s="114" t="s">
        <v>50</v>
      </c>
      <c r="U203" s="141" t="s">
        <v>52</v>
      </c>
      <c r="V203" s="114" t="s">
        <v>52</v>
      </c>
      <c r="W203" s="141" t="s">
        <v>52</v>
      </c>
      <c r="X203" s="421">
        <f>VLOOKUP(Table29[[#This Row],[Country Codes]],GHG!$A$8:$E$203,4,FALSE)</f>
        <v>152.38992311311</v>
      </c>
      <c r="Y203" s="421">
        <f>VLOOKUP(Table29[[#This Row],[Country Codes]],GHG!$A$8:$E$203,3,FALSE)</f>
        <v>17.908504980816488</v>
      </c>
    </row>
    <row r="204" spans="2:25" x14ac:dyDescent="0.25">
      <c r="B204" s="263" t="s">
        <v>464</v>
      </c>
      <c r="C204" s="12" t="s">
        <v>465</v>
      </c>
      <c r="D204" s="12" t="s">
        <v>47</v>
      </c>
      <c r="E204" s="208" t="s">
        <v>48</v>
      </c>
      <c r="F204" s="208" t="s">
        <v>56</v>
      </c>
      <c r="G204" s="27" t="s">
        <v>50</v>
      </c>
      <c r="H204" s="27" t="s">
        <v>50</v>
      </c>
      <c r="I204" s="27" t="s">
        <v>51</v>
      </c>
      <c r="J204" s="27" t="s">
        <v>50</v>
      </c>
      <c r="K204" s="27" t="s">
        <v>50</v>
      </c>
      <c r="L204" s="114"/>
      <c r="M204" s="114"/>
      <c r="N204" s="114"/>
      <c r="O204" s="114"/>
      <c r="P204" s="114"/>
      <c r="Q204" s="114"/>
      <c r="R204" s="114"/>
      <c r="S204" s="114" t="s">
        <v>64</v>
      </c>
      <c r="T204" s="114" t="s">
        <v>50</v>
      </c>
      <c r="U204" s="141" t="s">
        <v>52</v>
      </c>
      <c r="V204" s="114" t="s">
        <v>52</v>
      </c>
      <c r="W204" s="141" t="s">
        <v>52</v>
      </c>
      <c r="X204" s="421">
        <f>VLOOKUP(Table29[[#This Row],[Country Codes]],GHG!$A$8:$E$203,4,FALSE)</f>
        <v>524.13346380418</v>
      </c>
      <c r="Y204" s="421">
        <f>VLOOKUP(Table29[[#This Row],[Country Codes]],GHG!$A$8:$E$203,3,FALSE)</f>
        <v>39.884378531634049</v>
      </c>
    </row>
    <row r="205" spans="2:25" x14ac:dyDescent="0.25">
      <c r="B205" s="263" t="s">
        <v>466</v>
      </c>
      <c r="C205" s="12" t="s">
        <v>467</v>
      </c>
      <c r="D205" s="12" t="s">
        <v>47</v>
      </c>
      <c r="E205" s="208" t="s">
        <v>48</v>
      </c>
      <c r="F205" s="208" t="s">
        <v>49</v>
      </c>
      <c r="G205" s="27" t="s">
        <v>50</v>
      </c>
      <c r="H205" s="27" t="s">
        <v>50</v>
      </c>
      <c r="I205" s="27" t="s">
        <v>51</v>
      </c>
      <c r="J205" s="27" t="s">
        <v>50</v>
      </c>
      <c r="K205" s="114" t="s">
        <v>60</v>
      </c>
      <c r="L205" s="114"/>
      <c r="M205" s="114"/>
      <c r="N205" s="114"/>
      <c r="O205" s="114"/>
      <c r="P205" s="114"/>
      <c r="Q205" s="114"/>
      <c r="R205" s="114"/>
      <c r="S205" s="114" t="s">
        <v>50</v>
      </c>
      <c r="T205" s="114" t="s">
        <v>50</v>
      </c>
      <c r="U205" s="141" t="s">
        <v>52</v>
      </c>
      <c r="V205" s="114" t="s">
        <v>52</v>
      </c>
      <c r="W205" s="141" t="s">
        <v>52</v>
      </c>
      <c r="X205" s="421">
        <f>VLOOKUP(Table29[[#This Row],[Country Codes]],GHG!$A$8:$E$203,4,FALSE)</f>
        <v>32.242871779425002</v>
      </c>
      <c r="Y205" s="421">
        <f>VLOOKUP(Table29[[#This Row],[Country Codes]],GHG!$A$8:$E$203,3,FALSE)</f>
        <v>2.672974321150595</v>
      </c>
    </row>
    <row r="206" spans="2:25" x14ac:dyDescent="0.25">
      <c r="B206" s="263" t="s">
        <v>468</v>
      </c>
      <c r="C206" s="12" t="s">
        <v>469</v>
      </c>
      <c r="D206" s="12" t="s">
        <v>47</v>
      </c>
      <c r="E206" s="208" t="s">
        <v>59</v>
      </c>
      <c r="F206" s="208" t="s">
        <v>56</v>
      </c>
      <c r="G206" s="27" t="s">
        <v>50</v>
      </c>
      <c r="H206" s="27" t="s">
        <v>50</v>
      </c>
      <c r="I206" s="27" t="s">
        <v>51</v>
      </c>
      <c r="J206" s="27" t="s">
        <v>50</v>
      </c>
      <c r="K206" s="27" t="s">
        <v>50</v>
      </c>
      <c r="L206" s="114"/>
      <c r="M206" s="114"/>
      <c r="N206" s="114"/>
      <c r="O206" s="114"/>
      <c r="P206" s="114"/>
      <c r="Q206" s="114"/>
      <c r="R206" s="114"/>
      <c r="S206" s="114" t="s">
        <v>50</v>
      </c>
      <c r="T206" s="114" t="s">
        <v>50</v>
      </c>
      <c r="U206" s="141" t="s">
        <v>52</v>
      </c>
      <c r="V206" s="114" t="s">
        <v>52</v>
      </c>
      <c r="W206" s="141" t="s">
        <v>52</v>
      </c>
      <c r="X206" s="421">
        <f>VLOOKUP(Table29[[#This Row],[Country Codes]],GHG!$A$8:$E$203,4,FALSE)</f>
        <v>30.484449374284001</v>
      </c>
      <c r="Y206" s="421">
        <f>VLOOKUP(Table29[[#This Row],[Country Codes]],GHG!$A$8:$E$203,3,FALSE)</f>
        <v>2.3997242322457328</v>
      </c>
    </row>
    <row r="207" spans="2:25" x14ac:dyDescent="0.25">
      <c r="B207" s="263" t="s">
        <v>470</v>
      </c>
      <c r="C207" s="12" t="s">
        <v>471</v>
      </c>
      <c r="D207" s="12" t="s">
        <v>47</v>
      </c>
      <c r="E207" s="208" t="s">
        <v>59</v>
      </c>
      <c r="F207" s="208" t="s">
        <v>56</v>
      </c>
      <c r="G207" s="27" t="s">
        <v>50</v>
      </c>
      <c r="H207" s="27" t="s">
        <v>50</v>
      </c>
      <c r="I207" s="27" t="s">
        <v>51</v>
      </c>
      <c r="J207" s="27" t="s">
        <v>50</v>
      </c>
      <c r="K207" s="27" t="s">
        <v>50</v>
      </c>
      <c r="L207" s="114"/>
      <c r="M207" s="114"/>
      <c r="N207" s="114"/>
      <c r="O207" s="114"/>
      <c r="P207" s="114"/>
      <c r="Q207" s="114"/>
      <c r="R207" s="114"/>
      <c r="S207" s="114" t="s">
        <v>50</v>
      </c>
      <c r="T207" s="114" t="s">
        <v>50</v>
      </c>
      <c r="U207" s="141" t="s">
        <v>52</v>
      </c>
      <c r="V207" s="114" t="s">
        <v>52</v>
      </c>
      <c r="W207" s="141" t="s">
        <v>52</v>
      </c>
      <c r="X207" s="421">
        <f>VLOOKUP(Table29[[#This Row],[Country Codes]],GHG!$A$8:$E$203,4,FALSE)</f>
        <v>31.019306383581998</v>
      </c>
      <c r="Y207" s="421">
        <f>VLOOKUP(Table29[[#This Row],[Country Codes]],GHG!$A$8:$E$203,3,FALSE)</f>
        <v>1.5180453178171209</v>
      </c>
    </row>
    <row r="212" spans="3:4" x14ac:dyDescent="0.25">
      <c r="C212" s="126" t="s">
        <v>48</v>
      </c>
      <c r="D212">
        <f>COUNTIF(Table29[Region],C212)</f>
        <v>48</v>
      </c>
    </row>
    <row r="213" spans="3:4" x14ac:dyDescent="0.25">
      <c r="C213" s="12" t="s">
        <v>55</v>
      </c>
      <c r="D213">
        <f>COUNTIF(Table29[Region],C213)</f>
        <v>46</v>
      </c>
    </row>
    <row r="214" spans="3:4" x14ac:dyDescent="0.25">
      <c r="C214" s="126" t="s">
        <v>59</v>
      </c>
      <c r="D214">
        <f>COUNTIF(Table29[Region],C214)</f>
        <v>54</v>
      </c>
    </row>
    <row r="215" spans="3:4" x14ac:dyDescent="0.25">
      <c r="C215" s="12" t="s">
        <v>69</v>
      </c>
      <c r="D215">
        <f>COUNTIF(Table29[Region],C215)</f>
        <v>33</v>
      </c>
    </row>
    <row r="216" spans="3:4" x14ac:dyDescent="0.25">
      <c r="C216" s="12" t="s">
        <v>129</v>
      </c>
      <c r="D216">
        <f>COUNTIF(Table29[Region],C216)</f>
        <v>2</v>
      </c>
    </row>
    <row r="217" spans="3:4" x14ac:dyDescent="0.25">
      <c r="C217" s="126" t="s">
        <v>79</v>
      </c>
      <c r="D217">
        <f>COUNTIF(Table29[Region],C217)</f>
        <v>16</v>
      </c>
    </row>
  </sheetData>
  <sortState xmlns:xlrd2="http://schemas.microsoft.com/office/spreadsheetml/2017/richdata2" ref="AB9:AC268">
    <sortCondition ref="AB9:AB268"/>
  </sortState>
  <phoneticPr fontId="14" type="noConversion"/>
  <dataValidations count="1">
    <dataValidation type="list" allowBlank="1" showInputMessage="1" showErrorMessage="1" sqref="S9:T207" xr:uid="{548B15BD-4411-46A0-908E-9F1F49E4E150}">
      <formula1>"yes, no"</formula1>
    </dataValidation>
  </dataValidations>
  <hyperlinks>
    <hyperlink ref="K6" r:id="rId1" xr:uid="{89CBC0F5-097B-4ABD-BF33-7686EA188B4B}"/>
  </hyperlinks>
  <pageMargins left="0.7" right="0.7" top="0.75" bottom="0.75" header="0.3" footer="0.3"/>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B9902B2-7F88-4D60-A557-7FD1DF8E5A95}">
          <x14:formula1>
            <xm:f>Def_Targets!$D$43:$D$52</xm:f>
          </x14:formula1>
          <xm:sqref>U9:U207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FA7F-F766-427E-9DDC-923A0079C41F}">
  <sheetPr codeName="Sheet5">
    <tabColor theme="9" tint="0.39997558519241921"/>
  </sheetPr>
  <dimension ref="A2:AE549"/>
  <sheetViews>
    <sheetView tabSelected="1" zoomScaleNormal="100" workbookViewId="0">
      <pane ySplit="8" topLeftCell="A533" activePane="bottomLeft" state="frozen"/>
      <selection pane="bottomLeft" activeCell="I552" sqref="I552"/>
    </sheetView>
  </sheetViews>
  <sheetFormatPr baseColWidth="10" defaultColWidth="8.5703125" defaultRowHeight="15" customHeight="1" x14ac:dyDescent="0.25"/>
  <cols>
    <col min="1" max="1" width="11" style="568" customWidth="1"/>
    <col min="2" max="2" width="15.5703125" style="17" customWidth="1"/>
    <col min="3" max="3" width="38.140625" style="17" customWidth="1"/>
    <col min="4" max="4" width="29.5703125" style="17" customWidth="1"/>
    <col min="5" max="5" width="11.5703125" style="17" customWidth="1"/>
    <col min="6" max="7" width="21.5703125" style="17" customWidth="1"/>
    <col min="8" max="8" width="9.42578125" style="148" customWidth="1"/>
    <col min="9" max="9" width="19.5703125" style="194" customWidth="1"/>
    <col min="10" max="10" width="26.42578125" style="148" customWidth="1"/>
    <col min="11" max="11" width="17.42578125" style="148" customWidth="1"/>
    <col min="12" max="12" width="21.42578125" style="132" customWidth="1"/>
    <col min="13" max="13" width="29.140625" style="132" customWidth="1"/>
    <col min="14" max="17" width="15.85546875" style="132" customWidth="1"/>
    <col min="18" max="18" width="34.5703125" customWidth="1"/>
    <col min="19" max="19" width="53.5703125" customWidth="1"/>
    <col min="20" max="20" width="23.140625" style="11" bestFit="1" customWidth="1"/>
    <col min="21" max="21" width="83.5703125" customWidth="1"/>
    <col min="22" max="23" width="15.5703125" customWidth="1"/>
    <col min="24" max="24" width="29.42578125" customWidth="1"/>
    <col min="25" max="25" width="26.5703125" bestFit="1" customWidth="1"/>
    <col min="26" max="26" width="13.42578125" customWidth="1"/>
    <col min="29" max="29" width="13.42578125" customWidth="1"/>
    <col min="30" max="30" width="23.42578125" bestFit="1" customWidth="1"/>
    <col min="33" max="33" width="18.5703125" customWidth="1"/>
  </cols>
  <sheetData>
    <row r="2" spans="1:29" ht="15" customHeight="1" x14ac:dyDescent="0.3">
      <c r="A2" s="567"/>
      <c r="B2" s="188"/>
      <c r="C2" s="189" t="s">
        <v>472</v>
      </c>
      <c r="D2" s="189"/>
      <c r="E2" s="189"/>
      <c r="F2" s="188"/>
      <c r="G2" s="188"/>
      <c r="H2" s="190"/>
      <c r="I2" s="191"/>
      <c r="J2" s="190"/>
      <c r="K2" s="190"/>
      <c r="L2" s="158"/>
      <c r="M2" s="158"/>
      <c r="N2" s="158"/>
      <c r="O2" s="158"/>
      <c r="P2" s="158"/>
      <c r="Q2" s="158"/>
      <c r="R2" s="154"/>
      <c r="S2" s="154"/>
      <c r="T2" s="156"/>
      <c r="U2" s="154"/>
      <c r="V2" s="154"/>
      <c r="W2" s="154"/>
      <c r="X2" s="154"/>
      <c r="Y2" s="154"/>
      <c r="Z2" s="154"/>
    </row>
    <row r="3" spans="1:29" ht="28.7" customHeight="1" x14ac:dyDescent="0.25">
      <c r="A3" s="567"/>
      <c r="B3" s="188"/>
      <c r="C3" s="188" t="s">
        <v>473</v>
      </c>
      <c r="D3" s="188"/>
      <c r="E3" s="188"/>
      <c r="F3" s="188"/>
      <c r="G3" s="188"/>
      <c r="H3" s="190"/>
      <c r="I3" s="191"/>
      <c r="J3" s="190"/>
      <c r="K3" s="190"/>
      <c r="L3" s="158"/>
      <c r="M3" s="158"/>
      <c r="N3" s="158"/>
      <c r="O3" s="158"/>
      <c r="P3" s="158"/>
      <c r="Q3" s="158"/>
      <c r="R3" s="154"/>
      <c r="S3" s="154"/>
      <c r="T3" s="156"/>
      <c r="U3" s="154"/>
      <c r="V3" s="154"/>
      <c r="W3" s="154"/>
      <c r="X3" s="154"/>
      <c r="Y3" s="154"/>
      <c r="Z3" s="154"/>
    </row>
    <row r="4" spans="1:29" ht="24.6" customHeight="1" x14ac:dyDescent="0.25">
      <c r="A4" s="567"/>
      <c r="B4" s="188"/>
      <c r="C4" s="160" t="str">
        <f>'Read me'!C8</f>
        <v>Update as of  13 March 2025</v>
      </c>
      <c r="D4" s="160"/>
      <c r="E4" s="192"/>
      <c r="F4" s="188"/>
      <c r="G4" s="188"/>
      <c r="H4" s="190"/>
      <c r="I4" s="191"/>
      <c r="J4" s="190"/>
      <c r="K4" s="190"/>
      <c r="L4" s="158"/>
      <c r="M4" s="158"/>
      <c r="N4" s="158"/>
      <c r="O4" s="158"/>
      <c r="P4" s="158"/>
      <c r="Q4" s="158"/>
      <c r="R4" s="154"/>
      <c r="S4" s="154"/>
      <c r="T4" s="156"/>
      <c r="U4" s="154"/>
      <c r="V4" s="154"/>
      <c r="W4" s="154"/>
      <c r="X4" s="154"/>
      <c r="Y4" s="154"/>
      <c r="Z4" s="154"/>
    </row>
    <row r="5" spans="1:29" ht="15" customHeight="1" x14ac:dyDescent="0.25">
      <c r="B5" s="193"/>
      <c r="C5" s="193"/>
      <c r="D5" s="193"/>
    </row>
    <row r="6" spans="1:29" ht="15" customHeight="1" x14ac:dyDescent="0.25">
      <c r="F6" s="127"/>
      <c r="G6" s="127"/>
    </row>
    <row r="7" spans="1:29" s="39" customFormat="1" ht="25.35" customHeight="1" x14ac:dyDescent="0.25">
      <c r="A7" s="255"/>
      <c r="B7" s="195"/>
      <c r="C7" s="195"/>
      <c r="D7" s="195"/>
      <c r="E7" s="195"/>
      <c r="F7" s="195"/>
      <c r="G7" s="195"/>
      <c r="H7" s="196"/>
      <c r="I7" s="197"/>
      <c r="J7" s="198"/>
      <c r="K7" s="577" t="s">
        <v>474</v>
      </c>
      <c r="L7" s="577"/>
      <c r="M7" s="577"/>
      <c r="N7" s="134"/>
      <c r="O7" s="132"/>
      <c r="P7" s="132"/>
      <c r="Q7" s="132"/>
      <c r="R7"/>
      <c r="S7"/>
      <c r="T7" s="133"/>
      <c r="U7" s="134"/>
      <c r="V7" s="134"/>
      <c r="W7" s="134"/>
      <c r="X7" s="134"/>
      <c r="Y7" s="115"/>
    </row>
    <row r="8" spans="1:29" s="2" customFormat="1" ht="42" customHeight="1" x14ac:dyDescent="0.25">
      <c r="A8" s="569" t="s">
        <v>475</v>
      </c>
      <c r="B8" s="265" t="s">
        <v>476</v>
      </c>
      <c r="C8" s="266" t="s">
        <v>22</v>
      </c>
      <c r="D8" s="531" t="s">
        <v>477</v>
      </c>
      <c r="E8" s="265" t="s">
        <v>478</v>
      </c>
      <c r="F8" s="265" t="s">
        <v>479</v>
      </c>
      <c r="G8" s="265" t="s">
        <v>480</v>
      </c>
      <c r="H8" s="267" t="s">
        <v>481</v>
      </c>
      <c r="I8" s="268" t="s">
        <v>482</v>
      </c>
      <c r="J8" s="269" t="s">
        <v>483</v>
      </c>
      <c r="K8" s="425" t="s">
        <v>484</v>
      </c>
      <c r="L8" s="425" t="s">
        <v>485</v>
      </c>
      <c r="M8" s="425" t="s">
        <v>486</v>
      </c>
      <c r="N8" s="266" t="s">
        <v>487</v>
      </c>
      <c r="O8" s="266" t="s">
        <v>488</v>
      </c>
      <c r="P8" s="266" t="s">
        <v>489</v>
      </c>
      <c r="Q8" s="266" t="s">
        <v>490</v>
      </c>
      <c r="R8" s="264" t="s">
        <v>491</v>
      </c>
      <c r="S8" s="264" t="s">
        <v>492</v>
      </c>
      <c r="T8" s="264" t="s">
        <v>493</v>
      </c>
      <c r="U8" s="270" t="s">
        <v>494</v>
      </c>
      <c r="V8" s="271" t="s">
        <v>23</v>
      </c>
      <c r="W8" s="271" t="s">
        <v>24</v>
      </c>
      <c r="X8" s="271" t="s">
        <v>495</v>
      </c>
      <c r="Y8" s="264" t="s">
        <v>496</v>
      </c>
      <c r="Z8" s="264" t="s">
        <v>497</v>
      </c>
    </row>
    <row r="9" spans="1:29" ht="15" customHeight="1" x14ac:dyDescent="0.25">
      <c r="A9" s="360">
        <v>17700</v>
      </c>
      <c r="B9" s="20" t="s">
        <v>352</v>
      </c>
      <c r="C9" s="206" t="str">
        <f>VLOOKUP(Table1[[#This Row],[Country Code]],Table29[],2,FALSE)</f>
        <v>Philippines</v>
      </c>
      <c r="D9" s="243" t="str">
        <f t="shared" ref="D9" si="0">IF(J9&lt;&gt;"Active",
    "Good",
    IF(COUNTIFS(C:C, C9, E:E, E9, J:J, "Active")&gt;1,
       IF(E9="LTS", "Error: more than one LTS active",
          IF(E9="NDC", "Error: more than one NDC active", "Error")
       ),
       "Good"
    )
)</f>
        <v>Good</v>
      </c>
      <c r="E9" s="20" t="s">
        <v>71</v>
      </c>
      <c r="F9" s="17" t="s">
        <v>498</v>
      </c>
      <c r="G9" s="43" t="str">
        <f t="shared" ref="G9" si="1">IF(H9="NDC 1.0","First NDC",
IF(OR(H9="NDC 1.1",H9="NDC 1.2",H9="NDC 1.3"),"First NDC updated",
IF(H9="NDC 2.0","Second NDC",
IF(OR(H9="NDC 2.1",H9="NDC 2.2",H9="NDC 2.3"),"Second NDC updated",
IF(H9="NDC 3.0","Third NDC",
IF(OR(H9="NDC 3.1",H9="NDC 3.2",H9="NDC 3.3"),"Third NDC updated",
F9))))))</f>
        <v>First NDC</v>
      </c>
      <c r="H9" s="17" t="s">
        <v>499</v>
      </c>
      <c r="I9" s="149">
        <v>42278</v>
      </c>
      <c r="J9" s="49" t="s">
        <v>500</v>
      </c>
      <c r="K9" s="49" t="str" cm="1">
        <f t="array" ref="K9">IF(ISNUMBER(MATCH("Transport sector mitigation target", _xlfn._xlws.FILTER(Targets!H:H, Targets!A:A =A9), 0)), "yes", "no")</f>
        <v>no</v>
      </c>
      <c r="L9" s="17" t="str">
        <f>IF(K9="no", "No transport target", IF(AND(COUNTIFS(Targets!A:A, A9, Targets!H:H, "Transport sector mitigation target", Targets!J:J, "GHG") &gt; 0, COUNTIFS(Targets!A:A, A9, Targets!H:H, "Transport sector mitigation target", Targets!J:J, "Non GHG") &gt; 0), "GHG and non-GHG target", IF(COUNTIFS(Targets!A:A, A9, Targets!H:H, "Transport sector mitigation target", Targets!J:J, "GHG") &gt; 0, "GHG target", IF(COUNTIFS(Targets!A:A, A9, Targets!H:H, "Transport sector mitigation target", Targets!J:J, "Non GHG") &gt; 0, "non-GHG target", ""))))</f>
        <v>No transport target</v>
      </c>
      <c r="M9" s="17" t="str">
        <f>IF(K9="no","No transport target",IF(L9="non-GHG target","No GHG transport target",IF(AND(COUNTIFS(Targets!A:A,A9,Targets!H:H,"Transport sector mitigation target",Targets!J:J,"GHG",Targets!L:L,"Conditional")&gt;0,COUNTIFS(Targets!A:A,A9,Targets!H:H,"Transport sector mitigation target",Targets!J:J,"GHG",Targets!L:L,"Unconditional")&gt;0),"GHG unconditional and conditional",IF(COUNTIFS(Targets!A:A,A9,Targets!H:H,"Transport sector mitigation target",Targets!J:J,"GHG",Targets!L:L,"Conditional")&gt;0,"GHG conditional only",IF(COUNTIFS(Targets!A:A,A9,Targets!H:H,"Transport sector mitigation target",Targets!J:J,"GHG",Targets!L:L,"Unconditional")&gt;0,"GHG unconditional only",IF(COUNTIFS(Targets!A:A,A9,Targets!H:H,"Transport sector mitigation target",Targets!J:J,"GHG",Targets!L:L,"Unclear conditionality")&gt;0,"Conditionality unclear",""))))))</f>
        <v>No transport target</v>
      </c>
      <c r="N9" s="17" t="str" cm="1">
        <f t="array" ref="N9">IF(ISNUMBER(MATCH("Transport sector adaptation target", _xlfn._xlws.FILTER(Targets!H:H, Targets!A:A =A9), 0)), "yes", "no")</f>
        <v>no</v>
      </c>
      <c r="O9" s="17" t="str">
        <f>IF(ISNA(MATCH(A9, Mitigation!A:A, 0)), "no", "yes")</f>
        <v>no</v>
      </c>
      <c r="P9" s="17" t="str">
        <f>IF(ISNA(MATCH(A9, Adaptation!A:A, 0)), "no", "yes")</f>
        <v>no</v>
      </c>
      <c r="Q9" s="17" t="str">
        <f>IF(ISNA(MATCH(A9, Benefits!A:A, 0)), "no", "yes")</f>
        <v>no</v>
      </c>
      <c r="R9" s="17"/>
      <c r="S9" s="17"/>
      <c r="T9" s="17" t="s">
        <v>501</v>
      </c>
      <c r="U9" s="135" t="s">
        <v>502</v>
      </c>
      <c r="V9" s="207" t="str">
        <f>VLOOKUP(Table1[[#This Row],[Country Code]],Table29[],3,FALSE)</f>
        <v>Non-Annex I</v>
      </c>
      <c r="W9" s="207" t="str">
        <f>VLOOKUP(Table1[[#This Row],[Country Code]],Table29[],4,FALSE)</f>
        <v>Asia</v>
      </c>
      <c r="X9" s="207" t="str">
        <f>VLOOKUP(Table1[[#This Row],[Country Code]],Table29[],5,FALSE)</f>
        <v>Middle-income</v>
      </c>
      <c r="Y9" s="17"/>
      <c r="Z9" s="17"/>
      <c r="AB9" s="229" t="s">
        <v>503</v>
      </c>
      <c r="AC9" s="48" t="s">
        <v>504</v>
      </c>
    </row>
    <row r="10" spans="1:29" ht="15" customHeight="1" x14ac:dyDescent="0.25">
      <c r="A10" s="405">
        <v>17787</v>
      </c>
      <c r="B10" s="20" t="s">
        <v>466</v>
      </c>
      <c r="C10" s="206" t="str">
        <f>VLOOKUP(Table1[[#This Row],[Country Code]],Table29[],2,FALSE)</f>
        <v>Yemen</v>
      </c>
      <c r="D10" s="243" t="str">
        <f t="shared" ref="D10:D73" si="2">IF(J10&lt;&gt;"Active",
    "Good",
    IF(COUNTIFS(C:C, C10, E:E, E10, J:J, "Active")&gt;1,
       IF(E10="LTS", "Error: more than one LTS active",
          IF(E10="NDC", "Error: more than one NDC active", "Error")
       ),
       "Good"
    )
)</f>
        <v>Good</v>
      </c>
      <c r="E10" s="20" t="s">
        <v>71</v>
      </c>
      <c r="F10" s="17" t="s">
        <v>498</v>
      </c>
      <c r="G10" s="43" t="str">
        <f t="shared" ref="G10:G73" si="3">IF(H10="NDC 1.0","First NDC",
IF(OR(H10="NDC 1.1",H10="NDC 1.2",H10="NDC 1.3"),"First NDC updated",
IF(H10="NDC 2.0","Second NDC",
IF(OR(H10="NDC 2.1",H10="NDC 2.2",H10="NDC 2.3"),"Second NDC updated",
IF(H10="NDC 3.0","Third NDC",
IF(OR(H10="NDC 3.1",H10="NDC 3.2",H10="NDC 3.3"),"Third NDC updated",
F10))))))</f>
        <v>First NDC</v>
      </c>
      <c r="H10" s="17" t="s">
        <v>499</v>
      </c>
      <c r="I10" s="149">
        <v>42331</v>
      </c>
      <c r="J10" s="187" t="s">
        <v>505</v>
      </c>
      <c r="K10" s="49" t="str" cm="1">
        <f t="array" ref="K10">IF(ISNUMBER(MATCH("Transport sector mitigation target", _xlfn._xlws.FILTER(Targets!H:H, Targets!A:A =A10), 0)), "yes", "no")</f>
        <v>no</v>
      </c>
      <c r="L10" s="17" t="str">
        <f>IF(K10="no", "No transport target", IF(AND(COUNTIFS(Targets!A:A, A10, Targets!H:H, "Transport sector mitigation target", Targets!J:J, "GHG") &gt; 0, COUNTIFS(Targets!A:A, A10, Targets!H:H, "Transport sector mitigation target", Targets!J:J, "Non GHG") &gt; 0), "GHG and non-GHG target", IF(COUNTIFS(Targets!A:A, A10, Targets!H:H, "Transport sector mitigation target", Targets!J:J, "GHG") &gt; 0, "GHG target", IF(COUNTIFS(Targets!A:A, A10, Targets!H:H, "Transport sector mitigation target", Targets!J:J, "Non GHG") &gt; 0, "non-GHG target", ""))))</f>
        <v>No transport target</v>
      </c>
      <c r="M10" s="17" t="str">
        <f>IF(K10="no","No transport target",IF(L10="non-GHG target","No GHG transport target",IF(AND(COUNTIFS(Targets!A:A,A10,Targets!H:H,"Transport sector mitigation target",Targets!J:J,"GHG",Targets!L:L,"Conditional")&gt;0,COUNTIFS(Targets!A:A,A10,Targets!H:H,"Transport sector mitigation target",Targets!J:J,"GHG",Targets!L:L,"Unconditional")&gt;0),"GHG unconditional and conditional",IF(COUNTIFS(Targets!A:A,A10,Targets!H:H,"Transport sector mitigation target",Targets!J:J,"GHG",Targets!L:L,"Conditional")&gt;0,"GHG conditional only",IF(COUNTIFS(Targets!A:A,A10,Targets!H:H,"Transport sector mitigation target",Targets!J:J,"GHG",Targets!L:L,"Unconditional")&gt;0,"GHG unconditional only",IF(COUNTIFS(Targets!A:A,A10,Targets!H:H,"Transport sector mitigation target",Targets!J:J,"GHG",Targets!L:L,"Unclear conditionality")&gt;0,"Conditionality unclear",""))))))</f>
        <v>No transport target</v>
      </c>
      <c r="N10" s="17" t="str" cm="1">
        <f t="array" ref="N10">IF(ISNUMBER(MATCH("Transport sector adaptation target", _xlfn._xlws.FILTER(Targets!H:H, Targets!A:A =A10), 0)), "yes", "no")</f>
        <v>no</v>
      </c>
      <c r="O10" s="17" t="str">
        <f>IF(ISNA(MATCH(A10, Mitigation!A:A, 0)), "no", "yes")</f>
        <v>yes</v>
      </c>
      <c r="P10" s="17" t="str">
        <f>IF(ISNA(MATCH(A10, Adaptation!A:A, 0)), "no", "yes")</f>
        <v>no</v>
      </c>
      <c r="Q10" s="17" t="str">
        <f>IF(ISNA(MATCH(A10, Benefits!A:A, 0)), "no", "yes")</f>
        <v>no</v>
      </c>
      <c r="R10" s="17"/>
      <c r="S10" s="17"/>
      <c r="T10" s="17" t="s">
        <v>501</v>
      </c>
      <c r="U10" s="135" t="s">
        <v>506</v>
      </c>
      <c r="V10" s="207" t="str">
        <f>VLOOKUP(Table1[[#This Row],[Country Code]],Table29[],3,FALSE)</f>
        <v>Non-Annex I</v>
      </c>
      <c r="W10" s="207" t="str">
        <f>VLOOKUP(Table1[[#This Row],[Country Code]],Table29[],4,FALSE)</f>
        <v>Asia</v>
      </c>
      <c r="X10" s="207" t="str">
        <f>VLOOKUP(Table1[[#This Row],[Country Code]],Table29[],5,FALSE)</f>
        <v>Low-income</v>
      </c>
      <c r="Y10" s="17"/>
      <c r="Z10" s="17"/>
      <c r="AC10" s="4" t="s">
        <v>507</v>
      </c>
    </row>
    <row r="11" spans="1:29" ht="15" customHeight="1" x14ac:dyDescent="0.25">
      <c r="A11" s="360">
        <v>17540</v>
      </c>
      <c r="B11" s="176" t="s">
        <v>113</v>
      </c>
      <c r="C11" s="243" t="str">
        <f>VLOOKUP(Table1[[#This Row],[Country Code]],Table29[],2,FALSE)</f>
        <v>Brunei Darussalam</v>
      </c>
      <c r="D11" s="243" t="str">
        <f t="shared" si="2"/>
        <v>Good</v>
      </c>
      <c r="E11" s="176" t="s">
        <v>71</v>
      </c>
      <c r="F11" s="43" t="s">
        <v>498</v>
      </c>
      <c r="G11" s="43" t="str">
        <f t="shared" si="3"/>
        <v>First NDC</v>
      </c>
      <c r="H11" s="43" t="s">
        <v>499</v>
      </c>
      <c r="I11" s="351">
        <v>42338</v>
      </c>
      <c r="J11" s="320" t="s">
        <v>500</v>
      </c>
      <c r="K11" s="320" t="str" cm="1">
        <f t="array" ref="K11">IF(ISNUMBER(MATCH("Transport sector mitigation target", _xlfn._xlws.FILTER(Targets!H:H, Targets!A:A =A11), 0)), "yes", "no")</f>
        <v>yes</v>
      </c>
      <c r="L11" s="43" t="str">
        <f>IF(K11="no", "No transport target", IF(AND(COUNTIFS(Targets!A:A, A11, Targets!H:H, "Transport sector mitigation target", Targets!J:J, "GHG") &gt; 0, COUNTIFS(Targets!A:A, A11, Targets!H:H, "Transport sector mitigation target", Targets!J:J, "Non GHG") &gt; 0), "GHG and non-GHG target", IF(COUNTIFS(Targets!A:A, A11, Targets!H:H, "Transport sector mitigation target", Targets!J:J, "GHG") &gt; 0, "GHG target", IF(COUNTIFS(Targets!A:A, A11, Targets!H:H, "Transport sector mitigation target", Targets!J:J, "Non GHG") &gt; 0, "non-GHG target", ""))))</f>
        <v>non-GHG target</v>
      </c>
      <c r="M11" s="43" t="str">
        <f>IF(K11="no","No transport target",IF(L11="non-GHG target","No GHG transport target",IF(AND(COUNTIFS(Targets!A:A,A11,Targets!H:H,"Transport sector mitigation target",Targets!J:J,"GHG",Targets!L:L,"Conditional")&gt;0,COUNTIFS(Targets!A:A,A11,Targets!H:H,"Transport sector mitigation target",Targets!J:J,"GHG",Targets!L:L,"Unconditional")&gt;0),"GHG unconditional and conditional",IF(COUNTIFS(Targets!A:A,A11,Targets!H:H,"Transport sector mitigation target",Targets!J:J,"GHG",Targets!L:L,"Conditional")&gt;0,"GHG conditional only",IF(COUNTIFS(Targets!A:A,A11,Targets!H:H,"Transport sector mitigation target",Targets!J:J,"GHG",Targets!L:L,"Unconditional")&gt;0,"GHG unconditional only",IF(COUNTIFS(Targets!A:A,A11,Targets!H:H,"Transport sector mitigation target",Targets!J:J,"GHG",Targets!L:L,"Unclear conditionality")&gt;0,"Conditionality unclear",""))))))</f>
        <v>No GHG transport target</v>
      </c>
      <c r="N11" s="43" t="str" cm="1">
        <f t="array" ref="N11">IF(ISNUMBER(MATCH("Transport sector adaptation target", _xlfn._xlws.FILTER(Targets!H:H, Targets!A:A =A11), 0)), "yes", "no")</f>
        <v>no</v>
      </c>
      <c r="O11" s="43" t="str">
        <f>IF(ISNA(MATCH(A11, Mitigation!A:A, 0)), "no", "yes")</f>
        <v>yes</v>
      </c>
      <c r="P11" s="43" t="str">
        <f>IF(ISNA(MATCH(A11, Adaptation!A:A, 0)), "no", "yes")</f>
        <v>no</v>
      </c>
      <c r="Q11" s="43" t="str">
        <f>IF(ISNA(MATCH(A11, Benefits!A:A, 0)), "no", "yes")</f>
        <v>no</v>
      </c>
      <c r="R11" s="43"/>
      <c r="S11" s="43"/>
      <c r="T11" s="43" t="s">
        <v>501</v>
      </c>
      <c r="U11" s="312" t="s">
        <v>508</v>
      </c>
      <c r="V11" s="233" t="str">
        <f>VLOOKUP(Table1[[#This Row],[Country Code]],Table29[],3,FALSE)</f>
        <v>Non-Annex I</v>
      </c>
      <c r="W11" s="233" t="str">
        <f>VLOOKUP(Table1[[#This Row],[Country Code]],Table29[],4,FALSE)</f>
        <v>Asia</v>
      </c>
      <c r="X11" s="233" t="str">
        <f>VLOOKUP(Table1[[#This Row],[Country Code]],Table29[],5,FALSE)</f>
        <v>High-income</v>
      </c>
      <c r="Y11" s="43"/>
      <c r="Z11" s="43"/>
    </row>
    <row r="12" spans="1:29" ht="15" customHeight="1" x14ac:dyDescent="0.25">
      <c r="A12" s="360">
        <v>17695</v>
      </c>
      <c r="B12" s="20" t="s">
        <v>346</v>
      </c>
      <c r="C12" s="206" t="str">
        <f>VLOOKUP(Table1[[#This Row],[Country Code]],Table29[],2,FALSE)</f>
        <v>Papua New Guinea</v>
      </c>
      <c r="D12" s="243" t="str">
        <f t="shared" si="2"/>
        <v>Good</v>
      </c>
      <c r="E12" s="20" t="s">
        <v>71</v>
      </c>
      <c r="F12" s="17" t="s">
        <v>498</v>
      </c>
      <c r="G12" s="43" t="str">
        <f t="shared" si="3"/>
        <v>First NDC</v>
      </c>
      <c r="H12" s="17" t="s">
        <v>499</v>
      </c>
      <c r="I12" s="149">
        <v>42453</v>
      </c>
      <c r="J12" s="49" t="s">
        <v>500</v>
      </c>
      <c r="K12" s="49" t="str" cm="1">
        <f t="array" ref="K12">IF(ISNUMBER(MATCH("Transport sector mitigation target", _xlfn._xlws.FILTER(Targets!H:H, Targets!A:A =A12), 0)), "yes", "no")</f>
        <v>no</v>
      </c>
      <c r="L12" s="17" t="str">
        <f>IF(K12="no", "No transport target", IF(AND(COUNTIFS(Targets!A:A, A12, Targets!H:H, "Transport sector mitigation target", Targets!J:J, "GHG") &gt; 0, COUNTIFS(Targets!A:A, A12, Targets!H:H, "Transport sector mitigation target", Targets!J:J, "Non GHG") &gt; 0), "GHG and non-GHG target", IF(COUNTIFS(Targets!A:A, A12, Targets!H:H, "Transport sector mitigation target", Targets!J:J, "GHG") &gt; 0, "GHG target", IF(COUNTIFS(Targets!A:A, A12, Targets!H:H, "Transport sector mitigation target", Targets!J:J, "Non GHG") &gt; 0, "non-GHG target", ""))))</f>
        <v>No transport target</v>
      </c>
      <c r="M12" s="17" t="str">
        <f>IF(K12="no","No transport target",IF(L12="non-GHG target","No GHG transport target",IF(AND(COUNTIFS(Targets!A:A,A12,Targets!H:H,"Transport sector mitigation target",Targets!J:J,"GHG",Targets!L:L,"Conditional")&gt;0,COUNTIFS(Targets!A:A,A12,Targets!H:H,"Transport sector mitigation target",Targets!J:J,"GHG",Targets!L:L,"Unconditional")&gt;0),"GHG unconditional and conditional",IF(COUNTIFS(Targets!A:A,A12,Targets!H:H,"Transport sector mitigation target",Targets!J:J,"GHG",Targets!L:L,"Conditional")&gt;0,"GHG conditional only",IF(COUNTIFS(Targets!A:A,A12,Targets!H:H,"Transport sector mitigation target",Targets!J:J,"GHG",Targets!L:L,"Unconditional")&gt;0,"GHG unconditional only",IF(COUNTIFS(Targets!A:A,A12,Targets!H:H,"Transport sector mitigation target",Targets!J:J,"GHG",Targets!L:L,"Unclear conditionality")&gt;0,"Conditionality unclear",""))))))</f>
        <v>No transport target</v>
      </c>
      <c r="N12" s="17" t="str" cm="1">
        <f t="array" ref="N12">IF(ISNUMBER(MATCH("Transport sector adaptation target", _xlfn._xlws.FILTER(Targets!H:H, Targets!A:A =A12), 0)), "yes", "no")</f>
        <v>no</v>
      </c>
      <c r="O12" s="17" t="str">
        <f>IF(ISNA(MATCH(A12, Mitigation!A:A, 0)), "no", "yes")</f>
        <v>yes</v>
      </c>
      <c r="P12" s="17" t="str">
        <f>IF(ISNA(MATCH(A12, Adaptation!A:A, 0)), "no", "yes")</f>
        <v>no</v>
      </c>
      <c r="Q12" s="17" t="str">
        <f>IF(ISNA(MATCH(A12, Benefits!A:A, 0)), "no", "yes")</f>
        <v>no</v>
      </c>
      <c r="R12" s="17"/>
      <c r="S12" s="17"/>
      <c r="T12" s="17" t="s">
        <v>501</v>
      </c>
      <c r="U12" s="135" t="s">
        <v>509</v>
      </c>
      <c r="V12" s="207" t="str">
        <f>VLOOKUP(Table1[[#This Row],[Country Code]],Table29[],3,FALSE)</f>
        <v>Non-Annex I</v>
      </c>
      <c r="W12" s="207" t="str">
        <f>VLOOKUP(Table1[[#This Row],[Country Code]],Table29[],4,FALSE)</f>
        <v>Oceania</v>
      </c>
      <c r="X12" s="207" t="str">
        <f>VLOOKUP(Table1[[#This Row],[Country Code]],Table29[],5,FALSE)</f>
        <v>Middle-income</v>
      </c>
      <c r="Y12" s="17"/>
      <c r="Z12" s="17"/>
    </row>
    <row r="13" spans="1:29" ht="15" customHeight="1" x14ac:dyDescent="0.25">
      <c r="A13" s="360">
        <v>17673</v>
      </c>
      <c r="B13" s="176" t="s">
        <v>317</v>
      </c>
      <c r="C13" s="243" t="str">
        <f>VLOOKUP(Table1[[#This Row],[Country Code]],Table29[],2,FALSE)</f>
        <v>Nauru</v>
      </c>
      <c r="D13" s="243" t="str">
        <f t="shared" si="2"/>
        <v>Good</v>
      </c>
      <c r="E13" s="176" t="s">
        <v>71</v>
      </c>
      <c r="F13" s="43" t="s">
        <v>498</v>
      </c>
      <c r="G13" s="43" t="str">
        <f t="shared" si="3"/>
        <v>First NDC</v>
      </c>
      <c r="H13" s="43" t="s">
        <v>499</v>
      </c>
      <c r="I13" s="351">
        <v>42467</v>
      </c>
      <c r="J13" s="320" t="s">
        <v>500</v>
      </c>
      <c r="K13" s="320" t="str" cm="1">
        <f t="array" ref="K13">IF(ISNUMBER(MATCH("Transport sector mitigation target", _xlfn._xlws.FILTER(Targets!H:H, Targets!A:A =A13), 0)), "yes", "no")</f>
        <v>no</v>
      </c>
      <c r="L13" s="43" t="str">
        <f>IF(K13="no", "No transport target", IF(AND(COUNTIFS(Targets!A:A, A13, Targets!H:H, "Transport sector mitigation target", Targets!J:J, "GHG") &gt; 0, COUNTIFS(Targets!A:A, A13, Targets!H:H, "Transport sector mitigation target", Targets!J:J, "Non GHG") &gt; 0), "GHG and non-GHG target", IF(COUNTIFS(Targets!A:A, A13, Targets!H:H, "Transport sector mitigation target", Targets!J:J, "GHG") &gt; 0, "GHG target", IF(COUNTIFS(Targets!A:A, A13, Targets!H:H, "Transport sector mitigation target", Targets!J:J, "Non GHG") &gt; 0, "non-GHG target", ""))))</f>
        <v>No transport target</v>
      </c>
      <c r="M13" s="43" t="str">
        <f>IF(K13="no","No transport target",IF(L13="non-GHG target","No GHG transport target",IF(AND(COUNTIFS(Targets!A:A,A13,Targets!H:H,"Transport sector mitigation target",Targets!J:J,"GHG",Targets!L:L,"Conditional")&gt;0,COUNTIFS(Targets!A:A,A13,Targets!H:H,"Transport sector mitigation target",Targets!J:J,"GHG",Targets!L:L,"Unconditional")&gt;0),"GHG unconditional and conditional",IF(COUNTIFS(Targets!A:A,A13,Targets!H:H,"Transport sector mitigation target",Targets!J:J,"GHG",Targets!L:L,"Conditional")&gt;0,"GHG conditional only",IF(COUNTIFS(Targets!A:A,A13,Targets!H:H,"Transport sector mitigation target",Targets!J:J,"GHG",Targets!L:L,"Unconditional")&gt;0,"GHG unconditional only",IF(COUNTIFS(Targets!A:A,A13,Targets!H:H,"Transport sector mitigation target",Targets!J:J,"GHG",Targets!L:L,"Unclear conditionality")&gt;0,"Conditionality unclear",""))))))</f>
        <v>No transport target</v>
      </c>
      <c r="N13" s="43" t="str" cm="1">
        <f t="array" ref="N13">IF(ISNUMBER(MATCH("Transport sector adaptation target", _xlfn._xlws.FILTER(Targets!H:H, Targets!A:A =A13), 0)), "yes", "no")</f>
        <v>no</v>
      </c>
      <c r="O13" s="43" t="str">
        <f>IF(ISNA(MATCH(A13, Mitigation!A:A, 0)), "no", "yes")</f>
        <v>no</v>
      </c>
      <c r="P13" s="43" t="str">
        <f>IF(ISNA(MATCH(A13, Adaptation!A:A, 0)), "no", "yes")</f>
        <v>no</v>
      </c>
      <c r="Q13" s="43" t="str">
        <f>IF(ISNA(MATCH(A13, Benefits!A:A, 0)), "no", "yes")</f>
        <v>no</v>
      </c>
      <c r="R13" s="43"/>
      <c r="S13" s="43"/>
      <c r="T13" s="43" t="s">
        <v>501</v>
      </c>
      <c r="U13" s="312" t="s">
        <v>510</v>
      </c>
      <c r="V13" s="233" t="str">
        <f>VLOOKUP(Table1[[#This Row],[Country Code]],Table29[],3,FALSE)</f>
        <v>Non-Annex I</v>
      </c>
      <c r="W13" s="233" t="str">
        <f>VLOOKUP(Table1[[#This Row],[Country Code]],Table29[],4,FALSE)</f>
        <v>Oceania</v>
      </c>
      <c r="X13" s="233" t="str">
        <f>VLOOKUP(Table1[[#This Row],[Country Code]],Table29[],5,FALSE)</f>
        <v>High-income</v>
      </c>
      <c r="Y13" s="43"/>
      <c r="Z13" s="43"/>
    </row>
    <row r="14" spans="1:29" ht="15" customHeight="1" x14ac:dyDescent="0.25">
      <c r="A14" s="360">
        <v>17693</v>
      </c>
      <c r="B14" s="20" t="s">
        <v>344</v>
      </c>
      <c r="C14" s="206" t="str">
        <f>VLOOKUP(Table1[[#This Row],[Country Code]],Table29[],2,FALSE)</f>
        <v>Panama</v>
      </c>
      <c r="D14" s="243" t="str">
        <f t="shared" si="2"/>
        <v>Good</v>
      </c>
      <c r="E14" s="20" t="s">
        <v>71</v>
      </c>
      <c r="F14" s="17" t="s">
        <v>498</v>
      </c>
      <c r="G14" s="43" t="str">
        <f t="shared" si="3"/>
        <v>First NDC</v>
      </c>
      <c r="H14" s="17" t="s">
        <v>499</v>
      </c>
      <c r="I14" s="149">
        <v>42478</v>
      </c>
      <c r="J14" s="49" t="s">
        <v>500</v>
      </c>
      <c r="K14" s="49" t="str" cm="1">
        <f t="array" ref="K14">IF(ISNUMBER(MATCH("Transport sector mitigation target", _xlfn._xlws.FILTER(Targets!H:H, Targets!A:A =A14), 0)), "yes", "no")</f>
        <v>no</v>
      </c>
      <c r="L14" s="17" t="str">
        <f>IF(K14="no", "No transport target", IF(AND(COUNTIFS(Targets!A:A, A14, Targets!H:H, "Transport sector mitigation target", Targets!J:J, "GHG") &gt; 0, COUNTIFS(Targets!A:A, A14, Targets!H:H, "Transport sector mitigation target", Targets!J:J, "Non GHG") &gt; 0), "GHG and non-GHG target", IF(COUNTIFS(Targets!A:A, A14, Targets!H:H, "Transport sector mitigation target", Targets!J:J, "GHG") &gt; 0, "GHG target", IF(COUNTIFS(Targets!A:A, A14, Targets!H:H, "Transport sector mitigation target", Targets!J:J, "Non GHG") &gt; 0, "non-GHG target", ""))))</f>
        <v>No transport target</v>
      </c>
      <c r="M14" s="17" t="str">
        <f>IF(K14="no","No transport target",IF(L14="non-GHG target","No GHG transport target",IF(AND(COUNTIFS(Targets!A:A,A14,Targets!H:H,"Transport sector mitigation target",Targets!J:J,"GHG",Targets!L:L,"Conditional")&gt;0,COUNTIFS(Targets!A:A,A14,Targets!H:H,"Transport sector mitigation target",Targets!J:J,"GHG",Targets!L:L,"Unconditional")&gt;0),"GHG unconditional and conditional",IF(COUNTIFS(Targets!A:A,A14,Targets!H:H,"Transport sector mitigation target",Targets!J:J,"GHG",Targets!L:L,"Conditional")&gt;0,"GHG conditional only",IF(COUNTIFS(Targets!A:A,A14,Targets!H:H,"Transport sector mitigation target",Targets!J:J,"GHG",Targets!L:L,"Unconditional")&gt;0,"GHG unconditional only",IF(COUNTIFS(Targets!A:A,A14,Targets!H:H,"Transport sector mitigation target",Targets!J:J,"GHG",Targets!L:L,"Unclear conditionality")&gt;0,"Conditionality unclear",""))))))</f>
        <v>No transport target</v>
      </c>
      <c r="N14" s="17" t="str" cm="1">
        <f t="array" ref="N14">IF(ISNUMBER(MATCH("Transport sector adaptation target", _xlfn._xlws.FILTER(Targets!H:H, Targets!A:A =A14), 0)), "yes", "no")</f>
        <v>no</v>
      </c>
      <c r="O14" s="17" t="str">
        <f>IF(ISNA(MATCH(A14, Mitigation!A:A, 0)), "no", "yes")</f>
        <v>yes</v>
      </c>
      <c r="P14" s="17" t="str">
        <f>IF(ISNA(MATCH(A14, Adaptation!A:A, 0)), "no", "yes")</f>
        <v>no</v>
      </c>
      <c r="Q14" s="17" t="str">
        <f>IF(ISNA(MATCH(A14, Benefits!A:A, 0)), "no", "yes")</f>
        <v>no</v>
      </c>
      <c r="R14" s="17"/>
      <c r="S14" s="17"/>
      <c r="T14" s="17" t="s">
        <v>501</v>
      </c>
      <c r="U14" s="135" t="s">
        <v>511</v>
      </c>
      <c r="V14" s="207" t="str">
        <f>VLOOKUP(Table1[[#This Row],[Country Code]],Table29[],3,FALSE)</f>
        <v>Non-Annex I</v>
      </c>
      <c r="W14" s="207" t="str">
        <f>VLOOKUP(Table1[[#This Row],[Country Code]],Table29[],4,FALSE)</f>
        <v>Latin America and the Caribbean</v>
      </c>
      <c r="X14" s="207" t="str">
        <f>VLOOKUP(Table1[[#This Row],[Country Code]],Table29[],5,FALSE)</f>
        <v>Middle-income</v>
      </c>
      <c r="Y14" s="17"/>
      <c r="Z14" s="17"/>
    </row>
    <row r="15" spans="1:29" ht="15" customHeight="1" x14ac:dyDescent="0.25">
      <c r="A15" s="360">
        <v>17530</v>
      </c>
      <c r="B15" s="176" t="s">
        <v>99</v>
      </c>
      <c r="C15" s="243" t="str">
        <f>VLOOKUP(Table1[[#This Row],[Country Code]],Table29[],2,FALSE)</f>
        <v>Belize</v>
      </c>
      <c r="D15" s="243" t="str">
        <f t="shared" si="2"/>
        <v>Good</v>
      </c>
      <c r="E15" s="176" t="s">
        <v>71</v>
      </c>
      <c r="F15" s="43" t="s">
        <v>498</v>
      </c>
      <c r="G15" s="43" t="str">
        <f t="shared" si="3"/>
        <v>First NDC</v>
      </c>
      <c r="H15" s="43" t="s">
        <v>499</v>
      </c>
      <c r="I15" s="351">
        <v>42480</v>
      </c>
      <c r="J15" s="320" t="s">
        <v>500</v>
      </c>
      <c r="K15" s="320" t="str" cm="1">
        <f t="array" ref="K15">IF(ISNUMBER(MATCH("Transport sector mitigation target", _xlfn._xlws.FILTER(Targets!H:H, Targets!A:A =A15), 0)), "yes", "no")</f>
        <v>yes</v>
      </c>
      <c r="L15" s="43" t="str">
        <f>IF(K15="no", "No transport target", IF(AND(COUNTIFS(Targets!A:A, A15, Targets!H:H, "Transport sector mitigation target", Targets!J:J, "GHG") &gt; 0, COUNTIFS(Targets!A:A, A15, Targets!H:H, "Transport sector mitigation target", Targets!J:J, "Non GHG") &gt; 0), "GHG and non-GHG target", IF(COUNTIFS(Targets!A:A, A15, Targets!H:H, "Transport sector mitigation target", Targets!J:J, "GHG") &gt; 0, "GHG target", IF(COUNTIFS(Targets!A:A, A15, Targets!H:H, "Transport sector mitigation target", Targets!J:J, "Non GHG") &gt; 0, "non-GHG target", ""))))</f>
        <v>non-GHG target</v>
      </c>
      <c r="M15" s="43" t="str">
        <f>IF(K15="no","No transport target",IF(L15="non-GHG target","No GHG transport target",IF(AND(COUNTIFS(Targets!A:A,A15,Targets!H:H,"Transport sector mitigation target",Targets!J:J,"GHG",Targets!L:L,"Conditional")&gt;0,COUNTIFS(Targets!A:A,A15,Targets!H:H,"Transport sector mitigation target",Targets!J:J,"GHG",Targets!L:L,"Unconditional")&gt;0),"GHG unconditional and conditional",IF(COUNTIFS(Targets!A:A,A15,Targets!H:H,"Transport sector mitigation target",Targets!J:J,"GHG",Targets!L:L,"Conditional")&gt;0,"GHG conditional only",IF(COUNTIFS(Targets!A:A,A15,Targets!H:H,"Transport sector mitigation target",Targets!J:J,"GHG",Targets!L:L,"Unconditional")&gt;0,"GHG unconditional only",IF(COUNTIFS(Targets!A:A,A15,Targets!H:H,"Transport sector mitigation target",Targets!J:J,"GHG",Targets!L:L,"Unclear conditionality")&gt;0,"Conditionality unclear",""))))))</f>
        <v>No GHG transport target</v>
      </c>
      <c r="N15" s="43" t="str" cm="1">
        <f t="array" ref="N15">IF(ISNUMBER(MATCH("Transport sector adaptation target", _xlfn._xlws.FILTER(Targets!H:H, Targets!A:A =A15), 0)), "yes", "no")</f>
        <v>no</v>
      </c>
      <c r="O15" s="43" t="str">
        <f>IF(ISNA(MATCH(A15, Mitigation!A:A, 0)), "no", "yes")</f>
        <v>yes</v>
      </c>
      <c r="P15" s="43" t="str">
        <f>IF(ISNA(MATCH(A15, Adaptation!A:A, 0)), "no", "yes")</f>
        <v>yes</v>
      </c>
      <c r="Q15" s="43" t="str">
        <f>IF(ISNA(MATCH(A15, Benefits!A:A, 0)), "no", "yes")</f>
        <v>yes</v>
      </c>
      <c r="R15" s="43"/>
      <c r="S15" s="43"/>
      <c r="T15" s="43" t="s">
        <v>501</v>
      </c>
      <c r="U15" s="312" t="s">
        <v>512</v>
      </c>
      <c r="V15" s="233" t="str">
        <f>VLOOKUP(Table1[[#This Row],[Country Code]],Table29[],3,FALSE)</f>
        <v>Non-Annex I</v>
      </c>
      <c r="W15" s="233" t="str">
        <f>VLOOKUP(Table1[[#This Row],[Country Code]],Table29[],4,FALSE)</f>
        <v>Latin America and the Caribbean</v>
      </c>
      <c r="X15" s="233" t="str">
        <f>VLOOKUP(Table1[[#This Row],[Country Code]],Table29[],5,FALSE)</f>
        <v>Middle-income</v>
      </c>
      <c r="Y15" s="43"/>
      <c r="Z15" s="43"/>
    </row>
    <row r="16" spans="1:29" ht="15" customHeight="1" x14ac:dyDescent="0.25">
      <c r="A16" s="360">
        <v>17526</v>
      </c>
      <c r="B16" s="176" t="s">
        <v>93</v>
      </c>
      <c r="C16" s="243" t="str">
        <f>VLOOKUP(Table1[[#This Row],[Country Code]],Table29[],2,FALSE)</f>
        <v>Barbados</v>
      </c>
      <c r="D16" s="243" t="str">
        <f t="shared" si="2"/>
        <v>Good</v>
      </c>
      <c r="E16" s="176" t="s">
        <v>71</v>
      </c>
      <c r="F16" s="43" t="s">
        <v>498</v>
      </c>
      <c r="G16" s="43" t="str">
        <f t="shared" si="3"/>
        <v>First NDC</v>
      </c>
      <c r="H16" s="43" t="s">
        <v>499</v>
      </c>
      <c r="I16" s="351">
        <v>42482</v>
      </c>
      <c r="J16" s="320" t="s">
        <v>500</v>
      </c>
      <c r="K16" s="320" t="str" cm="1">
        <f t="array" ref="K16">IF(ISNUMBER(MATCH("Transport sector mitigation target", _xlfn._xlws.FILTER(Targets!H:H, Targets!A:A =A16), 0)), "yes", "no")</f>
        <v>yes</v>
      </c>
      <c r="L16" s="43" t="str">
        <f>IF(K16="no", "No transport target", IF(AND(COUNTIFS(Targets!A:A, A16, Targets!H:H, "Transport sector mitigation target", Targets!J:J, "GHG") &gt; 0, COUNTIFS(Targets!A:A, A16, Targets!H:H, "Transport sector mitigation target", Targets!J:J, "Non GHG") &gt; 0), "GHG and non-GHG target", IF(COUNTIFS(Targets!A:A, A16, Targets!H:H, "Transport sector mitigation target", Targets!J:J, "GHG") &gt; 0, "GHG target", IF(COUNTIFS(Targets!A:A, A16, Targets!H:H, "Transport sector mitigation target", Targets!J:J, "Non GHG") &gt; 0, "non-GHG target", ""))))</f>
        <v>non-GHG target</v>
      </c>
      <c r="M16" s="43" t="str">
        <f>IF(K16="no","No transport target",IF(L16="non-GHG target","No GHG transport target",IF(AND(COUNTIFS(Targets!A:A,A16,Targets!H:H,"Transport sector mitigation target",Targets!J:J,"GHG",Targets!L:L,"Conditional")&gt;0,COUNTIFS(Targets!A:A,A16,Targets!H:H,"Transport sector mitigation target",Targets!J:J,"GHG",Targets!L:L,"Unconditional")&gt;0),"GHG unconditional and conditional",IF(COUNTIFS(Targets!A:A,A16,Targets!H:H,"Transport sector mitigation target",Targets!J:J,"GHG",Targets!L:L,"Conditional")&gt;0,"GHG conditional only",IF(COUNTIFS(Targets!A:A,A16,Targets!H:H,"Transport sector mitigation target",Targets!J:J,"GHG",Targets!L:L,"Unconditional")&gt;0,"GHG unconditional only",IF(COUNTIFS(Targets!A:A,A16,Targets!H:H,"Transport sector mitigation target",Targets!J:J,"GHG",Targets!L:L,"Unclear conditionality")&gt;0,"Conditionality unclear",""))))))</f>
        <v>No GHG transport target</v>
      </c>
      <c r="N16" s="43" t="str" cm="1">
        <f t="array" ref="N16">IF(ISNUMBER(MATCH("Transport sector adaptation target", _xlfn._xlws.FILTER(Targets!H:H, Targets!A:A =A16), 0)), "yes", "no")</f>
        <v>no</v>
      </c>
      <c r="O16" s="43" t="str">
        <f>IF(ISNA(MATCH(A16, Mitigation!A:A, 0)), "no", "yes")</f>
        <v>yes</v>
      </c>
      <c r="P16" s="43" t="str">
        <f>IF(ISNA(MATCH(A16, Adaptation!A:A, 0)), "no", "yes")</f>
        <v>no</v>
      </c>
      <c r="Q16" s="43" t="str">
        <f>IF(ISNA(MATCH(A16, Benefits!A:A, 0)), "no", "yes")</f>
        <v>no</v>
      </c>
      <c r="R16" s="43"/>
      <c r="S16" s="43"/>
      <c r="T16" s="43" t="s">
        <v>501</v>
      </c>
      <c r="U16" s="312" t="s">
        <v>513</v>
      </c>
      <c r="V16" s="233" t="str">
        <f>VLOOKUP(Table1[[#This Row],[Country Code]],Table29[],3,FALSE)</f>
        <v>Non-Annex I</v>
      </c>
      <c r="W16" s="233" t="str">
        <f>VLOOKUP(Table1[[#This Row],[Country Code]],Table29[],4,FALSE)</f>
        <v>Latin America and the Caribbean</v>
      </c>
      <c r="X16" s="233" t="str">
        <f>VLOOKUP(Table1[[#This Row],[Country Code]],Table29[],5,FALSE)</f>
        <v>High-income</v>
      </c>
      <c r="Y16" s="43"/>
      <c r="Z16" s="43"/>
    </row>
    <row r="17" spans="1:31" ht="15" customHeight="1" x14ac:dyDescent="0.25">
      <c r="A17" s="360">
        <v>17592</v>
      </c>
      <c r="B17" s="176" t="s">
        <v>191</v>
      </c>
      <c r="C17" s="243" t="str">
        <f>VLOOKUP(Table1[[#This Row],[Country Code]],Table29[],2,FALSE)</f>
        <v>Fiji</v>
      </c>
      <c r="D17" s="243" t="str">
        <f t="shared" si="2"/>
        <v>Good</v>
      </c>
      <c r="E17" s="176" t="s">
        <v>71</v>
      </c>
      <c r="F17" s="43" t="s">
        <v>498</v>
      </c>
      <c r="G17" s="43" t="str">
        <f t="shared" si="3"/>
        <v>First NDC</v>
      </c>
      <c r="H17" s="43" t="s">
        <v>499</v>
      </c>
      <c r="I17" s="351">
        <v>42482</v>
      </c>
      <c r="J17" s="320" t="s">
        <v>500</v>
      </c>
      <c r="K17" s="320" t="str" cm="1">
        <f t="array" ref="K17">IF(ISNUMBER(MATCH("Transport sector mitigation target", _xlfn._xlws.FILTER(Targets!H:H, Targets!A:A =A17), 0)), "yes", "no")</f>
        <v>no</v>
      </c>
      <c r="L17" s="43" t="str">
        <f>IF(K17="no", "No transport target", IF(AND(COUNTIFS(Targets!A:A, A17, Targets!H:H, "Transport sector mitigation target", Targets!J:J, "GHG") &gt; 0, COUNTIFS(Targets!A:A, A17, Targets!H:H, "Transport sector mitigation target", Targets!J:J, "Non GHG") &gt; 0), "GHG and non-GHG target", IF(COUNTIFS(Targets!A:A, A17, Targets!H:H, "Transport sector mitigation target", Targets!J:J, "GHG") &gt; 0, "GHG target", IF(COUNTIFS(Targets!A:A, A17, Targets!H:H, "Transport sector mitigation target", Targets!J:J, "Non GHG") &gt; 0, "non-GHG target", ""))))</f>
        <v>No transport target</v>
      </c>
      <c r="M17" s="43" t="str">
        <f>IF(K17="no","No transport target",IF(L17="non-GHG target","No GHG transport target",IF(AND(COUNTIFS(Targets!A:A,A17,Targets!H:H,"Transport sector mitigation target",Targets!J:J,"GHG",Targets!L:L,"Conditional")&gt;0,COUNTIFS(Targets!A:A,A17,Targets!H:H,"Transport sector mitigation target",Targets!J:J,"GHG",Targets!L:L,"Unconditional")&gt;0),"GHG unconditional and conditional",IF(COUNTIFS(Targets!A:A,A17,Targets!H:H,"Transport sector mitigation target",Targets!J:J,"GHG",Targets!L:L,"Conditional")&gt;0,"GHG conditional only",IF(COUNTIFS(Targets!A:A,A17,Targets!H:H,"Transport sector mitigation target",Targets!J:J,"GHG",Targets!L:L,"Unconditional")&gt;0,"GHG unconditional only",IF(COUNTIFS(Targets!A:A,A17,Targets!H:H,"Transport sector mitigation target",Targets!J:J,"GHG",Targets!L:L,"Unclear conditionality")&gt;0,"Conditionality unclear",""))))))</f>
        <v>No transport target</v>
      </c>
      <c r="N17" s="43" t="str" cm="1">
        <f t="array" ref="N17">IF(ISNUMBER(MATCH("Transport sector adaptation target", _xlfn._xlws.FILTER(Targets!H:H, Targets!A:A =A17), 0)), "yes", "no")</f>
        <v>no</v>
      </c>
      <c r="O17" s="43" t="str">
        <f>IF(ISNA(MATCH(A17, Mitigation!A:A, 0)), "no", "yes")</f>
        <v>yes</v>
      </c>
      <c r="P17" s="43" t="str">
        <f>IF(ISNA(MATCH(A17, Adaptation!A:A, 0)), "no", "yes")</f>
        <v>no</v>
      </c>
      <c r="Q17" s="43" t="str">
        <f>IF(ISNA(MATCH(A17, Benefits!A:A, 0)), "no", "yes")</f>
        <v>no</v>
      </c>
      <c r="R17" s="43"/>
      <c r="S17" s="43"/>
      <c r="T17" s="43" t="s">
        <v>501</v>
      </c>
      <c r="U17" s="312" t="s">
        <v>514</v>
      </c>
      <c r="V17" s="233" t="str">
        <f>VLOOKUP(Table1[[#This Row],[Country Code]],Table29[],3,FALSE)</f>
        <v>Non-Annex I</v>
      </c>
      <c r="W17" s="233" t="str">
        <f>VLOOKUP(Table1[[#This Row],[Country Code]],Table29[],4,FALSE)</f>
        <v>Oceania</v>
      </c>
      <c r="X17" s="233" t="str">
        <f>VLOOKUP(Table1[[#This Row],[Country Code]],Table29[],5,FALSE)</f>
        <v>Middle-income</v>
      </c>
      <c r="Y17" s="43"/>
      <c r="Z17" s="43"/>
    </row>
    <row r="18" spans="1:31" ht="15" customHeight="1" x14ac:dyDescent="0.25">
      <c r="A18" s="360">
        <v>17651</v>
      </c>
      <c r="B18" s="176" t="s">
        <v>286</v>
      </c>
      <c r="C18" s="243" t="str">
        <f>VLOOKUP(Table1[[#This Row],[Country Code]],Table29[],2,FALSE)</f>
        <v>Maldives</v>
      </c>
      <c r="D18" s="243" t="str">
        <f t="shared" si="2"/>
        <v>Good</v>
      </c>
      <c r="E18" s="176" t="s">
        <v>71</v>
      </c>
      <c r="F18" s="43" t="s">
        <v>498</v>
      </c>
      <c r="G18" s="43" t="str">
        <f t="shared" si="3"/>
        <v>First NDC</v>
      </c>
      <c r="H18" s="43" t="s">
        <v>499</v>
      </c>
      <c r="I18" s="351">
        <v>42482</v>
      </c>
      <c r="J18" s="320" t="s">
        <v>500</v>
      </c>
      <c r="K18" s="320" t="str" cm="1">
        <f t="array" ref="K18">IF(ISNUMBER(MATCH("Transport sector mitigation target", _xlfn._xlws.FILTER(Targets!H:H, Targets!A:A =A18), 0)), "yes", "no")</f>
        <v>no</v>
      </c>
      <c r="L18" s="43" t="str">
        <f>IF(K18="no", "No transport target", IF(AND(COUNTIFS(Targets!A:A, A18, Targets!H:H, "Transport sector mitigation target", Targets!J:J, "GHG") &gt; 0, COUNTIFS(Targets!A:A, A18, Targets!H:H, "Transport sector mitigation target", Targets!J:J, "Non GHG") &gt; 0), "GHG and non-GHG target", IF(COUNTIFS(Targets!A:A, A18, Targets!H:H, "Transport sector mitigation target", Targets!J:J, "GHG") &gt; 0, "GHG target", IF(COUNTIFS(Targets!A:A, A18, Targets!H:H, "Transport sector mitigation target", Targets!J:J, "Non GHG") &gt; 0, "non-GHG target", ""))))</f>
        <v>No transport target</v>
      </c>
      <c r="M18" s="43" t="str">
        <f>IF(K18="no","No transport target",IF(L18="non-GHG target","No GHG transport target",IF(AND(COUNTIFS(Targets!A:A,A18,Targets!H:H,"Transport sector mitigation target",Targets!J:J,"GHG",Targets!L:L,"Conditional")&gt;0,COUNTIFS(Targets!A:A,A18,Targets!H:H,"Transport sector mitigation target",Targets!J:J,"GHG",Targets!L:L,"Unconditional")&gt;0),"GHG unconditional and conditional",IF(COUNTIFS(Targets!A:A,A18,Targets!H:H,"Transport sector mitigation target",Targets!J:J,"GHG",Targets!L:L,"Conditional")&gt;0,"GHG conditional only",IF(COUNTIFS(Targets!A:A,A18,Targets!H:H,"Transport sector mitigation target",Targets!J:J,"GHG",Targets!L:L,"Unconditional")&gt;0,"GHG unconditional only",IF(COUNTIFS(Targets!A:A,A18,Targets!H:H,"Transport sector mitigation target",Targets!J:J,"GHG",Targets!L:L,"Unclear conditionality")&gt;0,"Conditionality unclear",""))))))</f>
        <v>No transport target</v>
      </c>
      <c r="N18" s="43" t="str" cm="1">
        <f t="array" ref="N18">IF(ISNUMBER(MATCH("Transport sector adaptation target", _xlfn._xlws.FILTER(Targets!H:H, Targets!A:A =A18), 0)), "yes", "no")</f>
        <v>no</v>
      </c>
      <c r="O18" s="43" t="str">
        <f>IF(ISNA(MATCH(A18, Mitigation!A:A, 0)), "no", "yes")</f>
        <v>no</v>
      </c>
      <c r="P18" s="43" t="str">
        <f>IF(ISNA(MATCH(A18, Adaptation!A:A, 0)), "no", "yes")</f>
        <v>yes</v>
      </c>
      <c r="Q18" s="43" t="str">
        <f>IF(ISNA(MATCH(A18, Benefits!A:A, 0)), "no", "yes")</f>
        <v>no</v>
      </c>
      <c r="R18" s="43"/>
      <c r="S18" s="43"/>
      <c r="T18" s="43" t="s">
        <v>501</v>
      </c>
      <c r="U18" s="312" t="s">
        <v>515</v>
      </c>
      <c r="V18" s="233" t="str">
        <f>VLOOKUP(Table1[[#This Row],[Country Code]],Table29[],3,FALSE)</f>
        <v>Non-Annex I</v>
      </c>
      <c r="W18" s="233" t="str">
        <f>VLOOKUP(Table1[[#This Row],[Country Code]],Table29[],4,FALSE)</f>
        <v>Asia</v>
      </c>
      <c r="X18" s="233" t="str">
        <f>VLOOKUP(Table1[[#This Row],[Country Code]],Table29[],5,FALSE)</f>
        <v>Middle-income</v>
      </c>
      <c r="Y18" s="43"/>
      <c r="Z18" s="43"/>
    </row>
    <row r="19" spans="1:31" ht="15" customHeight="1" x14ac:dyDescent="0.25">
      <c r="A19" s="360">
        <v>17659</v>
      </c>
      <c r="B19" s="176" t="s">
        <v>296</v>
      </c>
      <c r="C19" s="243" t="str">
        <f>VLOOKUP(Table1[[#This Row],[Country Code]],Table29[],2,FALSE)</f>
        <v>Mauritius</v>
      </c>
      <c r="D19" s="243" t="str">
        <f t="shared" si="2"/>
        <v>Good</v>
      </c>
      <c r="E19" s="176" t="s">
        <v>71</v>
      </c>
      <c r="F19" s="43" t="s">
        <v>498</v>
      </c>
      <c r="G19" s="43" t="str">
        <f t="shared" si="3"/>
        <v>First NDC</v>
      </c>
      <c r="H19" s="43" t="s">
        <v>499</v>
      </c>
      <c r="I19" s="351">
        <v>42482</v>
      </c>
      <c r="J19" s="320" t="s">
        <v>500</v>
      </c>
      <c r="K19" s="320" t="str" cm="1">
        <f t="array" ref="K19">IF(ISNUMBER(MATCH("Transport sector mitigation target", _xlfn._xlws.FILTER(Targets!H:H, Targets!A:A =A19), 0)), "yes", "no")</f>
        <v>no</v>
      </c>
      <c r="L19" s="43" t="str">
        <f>IF(K19="no", "No transport target", IF(AND(COUNTIFS(Targets!A:A, A19, Targets!H:H, "Transport sector mitigation target", Targets!J:J, "GHG") &gt; 0, COUNTIFS(Targets!A:A, A19, Targets!H:H, "Transport sector mitigation target", Targets!J:J, "Non GHG") &gt; 0), "GHG and non-GHG target", IF(COUNTIFS(Targets!A:A, A19, Targets!H:H, "Transport sector mitigation target", Targets!J:J, "GHG") &gt; 0, "GHG target", IF(COUNTIFS(Targets!A:A, A19, Targets!H:H, "Transport sector mitigation target", Targets!J:J, "Non GHG") &gt; 0, "non-GHG target", ""))))</f>
        <v>No transport target</v>
      </c>
      <c r="M19" s="43" t="str">
        <f>IF(K19="no","No transport target",IF(L19="non-GHG target","No GHG transport target",IF(AND(COUNTIFS(Targets!A:A,A19,Targets!H:H,"Transport sector mitigation target",Targets!J:J,"GHG",Targets!L:L,"Conditional")&gt;0,COUNTIFS(Targets!A:A,A19,Targets!H:H,"Transport sector mitigation target",Targets!J:J,"GHG",Targets!L:L,"Unconditional")&gt;0),"GHG unconditional and conditional",IF(COUNTIFS(Targets!A:A,A19,Targets!H:H,"Transport sector mitigation target",Targets!J:J,"GHG",Targets!L:L,"Conditional")&gt;0,"GHG conditional only",IF(COUNTIFS(Targets!A:A,A19,Targets!H:H,"Transport sector mitigation target",Targets!J:J,"GHG",Targets!L:L,"Unconditional")&gt;0,"GHG unconditional only",IF(COUNTIFS(Targets!A:A,A19,Targets!H:H,"Transport sector mitigation target",Targets!J:J,"GHG",Targets!L:L,"Unclear conditionality")&gt;0,"Conditionality unclear",""))))))</f>
        <v>No transport target</v>
      </c>
      <c r="N19" s="43" t="str" cm="1">
        <f t="array" ref="N19">IF(ISNUMBER(MATCH("Transport sector adaptation target", _xlfn._xlws.FILTER(Targets!H:H, Targets!A:A =A19), 0)), "yes", "no")</f>
        <v>no</v>
      </c>
      <c r="O19" s="43" t="str">
        <f>IF(ISNA(MATCH(A19, Mitigation!A:A, 0)), "no", "yes")</f>
        <v>yes</v>
      </c>
      <c r="P19" s="43" t="str">
        <f>IF(ISNA(MATCH(A19, Adaptation!A:A, 0)), "no", "yes")</f>
        <v>yes</v>
      </c>
      <c r="Q19" s="43" t="str">
        <f>IF(ISNA(MATCH(A19, Benefits!A:A, 0)), "no", "yes")</f>
        <v>no</v>
      </c>
      <c r="R19" s="43"/>
      <c r="S19" s="43"/>
      <c r="T19" s="43" t="s">
        <v>501</v>
      </c>
      <c r="U19" s="312" t="s">
        <v>516</v>
      </c>
      <c r="V19" s="233" t="str">
        <f>VLOOKUP(Table1[[#This Row],[Country Code]],Table29[],3,FALSE)</f>
        <v>Non-Annex I</v>
      </c>
      <c r="W19" s="233" t="str">
        <f>VLOOKUP(Table1[[#This Row],[Country Code]],Table29[],4,FALSE)</f>
        <v>Africa</v>
      </c>
      <c r="X19" s="233" t="str">
        <f>VLOOKUP(Table1[[#This Row],[Country Code]],Table29[],5,FALSE)</f>
        <v>Middle-income</v>
      </c>
      <c r="Y19" s="43"/>
      <c r="Z19" s="43"/>
    </row>
    <row r="20" spans="1:31" ht="15" customHeight="1" x14ac:dyDescent="0.25">
      <c r="A20" s="360">
        <v>17691</v>
      </c>
      <c r="B20" s="20" t="s">
        <v>340</v>
      </c>
      <c r="C20" s="206" t="str">
        <f>VLOOKUP(Table1[[#This Row],[Country Code]],Table29[],2,FALSE)</f>
        <v>Palau</v>
      </c>
      <c r="D20" s="243" t="str">
        <f t="shared" si="2"/>
        <v>Good</v>
      </c>
      <c r="E20" s="20" t="s">
        <v>71</v>
      </c>
      <c r="F20" s="17" t="s">
        <v>498</v>
      </c>
      <c r="G20" s="43" t="str">
        <f t="shared" si="3"/>
        <v>First NDC</v>
      </c>
      <c r="H20" s="17" t="s">
        <v>499</v>
      </c>
      <c r="I20" s="149">
        <v>42482</v>
      </c>
      <c r="J20" s="187" t="s">
        <v>505</v>
      </c>
      <c r="K20" s="49" t="str" cm="1">
        <f t="array" ref="K20">IF(ISNUMBER(MATCH("Transport sector mitigation target", _xlfn._xlws.FILTER(Targets!H:H, Targets!A:A =A20), 0)), "yes", "no")</f>
        <v>no</v>
      </c>
      <c r="L20" s="17" t="str">
        <f>IF(K20="no", "No transport target", IF(AND(COUNTIFS(Targets!A:A, A20, Targets!H:H, "Transport sector mitigation target", Targets!J:J, "GHG") &gt; 0, COUNTIFS(Targets!A:A, A20, Targets!H:H, "Transport sector mitigation target", Targets!J:J, "Non GHG") &gt; 0), "GHG and non-GHG target", IF(COUNTIFS(Targets!A:A, A20, Targets!H:H, "Transport sector mitigation target", Targets!J:J, "GHG") &gt; 0, "GHG target", IF(COUNTIFS(Targets!A:A, A20, Targets!H:H, "Transport sector mitigation target", Targets!J:J, "Non GHG") &gt; 0, "non-GHG target", ""))))</f>
        <v>No transport target</v>
      </c>
      <c r="M20" s="17" t="str">
        <f>IF(K20="no","No transport target",IF(L20="non-GHG target","No GHG transport target",IF(AND(COUNTIFS(Targets!A:A,A20,Targets!H:H,"Transport sector mitigation target",Targets!J:J,"GHG",Targets!L:L,"Conditional")&gt;0,COUNTIFS(Targets!A:A,A20,Targets!H:H,"Transport sector mitigation target",Targets!J:J,"GHG",Targets!L:L,"Unconditional")&gt;0),"GHG unconditional and conditional",IF(COUNTIFS(Targets!A:A,A20,Targets!H:H,"Transport sector mitigation target",Targets!J:J,"GHG",Targets!L:L,"Conditional")&gt;0,"GHG conditional only",IF(COUNTIFS(Targets!A:A,A20,Targets!H:H,"Transport sector mitigation target",Targets!J:J,"GHG",Targets!L:L,"Unconditional")&gt;0,"GHG unconditional only",IF(COUNTIFS(Targets!A:A,A20,Targets!H:H,"Transport sector mitigation target",Targets!J:J,"GHG",Targets!L:L,"Unclear conditionality")&gt;0,"Conditionality unclear",""))))))</f>
        <v>No transport target</v>
      </c>
      <c r="N20" s="17" t="str" cm="1">
        <f t="array" ref="N20">IF(ISNUMBER(MATCH("Transport sector adaptation target", _xlfn._xlws.FILTER(Targets!H:H, Targets!A:A =A20), 0)), "yes", "no")</f>
        <v>no</v>
      </c>
      <c r="O20" s="17" t="str">
        <f>IF(ISNA(MATCH(A20, Mitigation!A:A, 0)), "no", "yes")</f>
        <v>yes</v>
      </c>
      <c r="P20" s="17" t="str">
        <f>IF(ISNA(MATCH(A20, Adaptation!A:A, 0)), "no", "yes")</f>
        <v>no</v>
      </c>
      <c r="Q20" s="17" t="str">
        <f>IF(ISNA(MATCH(A20, Benefits!A:A, 0)), "no", "yes")</f>
        <v>no</v>
      </c>
      <c r="R20" s="17"/>
      <c r="S20" s="17"/>
      <c r="T20" s="17" t="s">
        <v>501</v>
      </c>
      <c r="U20" s="135" t="s">
        <v>517</v>
      </c>
      <c r="V20" s="207" t="str">
        <f>VLOOKUP(Table1[[#This Row],[Country Code]],Table29[],3,FALSE)</f>
        <v>Non-Annex I</v>
      </c>
      <c r="W20" s="207" t="str">
        <f>VLOOKUP(Table1[[#This Row],[Country Code]],Table29[],4,FALSE)</f>
        <v>Oceania</v>
      </c>
      <c r="X20" s="207" t="str">
        <f>VLOOKUP(Table1[[#This Row],[Country Code]],Table29[],5,FALSE)</f>
        <v>High-income</v>
      </c>
      <c r="Y20" s="17"/>
      <c r="Z20" s="17"/>
      <c r="AC20" s="1"/>
    </row>
    <row r="21" spans="1:31" ht="15" customHeight="1" x14ac:dyDescent="0.25">
      <c r="A21" s="360">
        <v>17718</v>
      </c>
      <c r="B21" s="176" t="s">
        <v>372</v>
      </c>
      <c r="C21" s="243" t="str">
        <f>VLOOKUP(Table1[[#This Row],[Country Code]],Table29[],2,FALSE)</f>
        <v>Saint Kitts and Nevis</v>
      </c>
      <c r="D21" s="243" t="str">
        <f t="shared" si="2"/>
        <v>Good</v>
      </c>
      <c r="E21" s="176" t="s">
        <v>71</v>
      </c>
      <c r="F21" s="43" t="s">
        <v>498</v>
      </c>
      <c r="G21" s="43" t="str">
        <f t="shared" si="3"/>
        <v>First NDC</v>
      </c>
      <c r="H21" s="43" t="s">
        <v>499</v>
      </c>
      <c r="I21" s="351">
        <v>42482</v>
      </c>
      <c r="J21" s="320" t="s">
        <v>500</v>
      </c>
      <c r="K21" s="320" t="str" cm="1">
        <f t="array" ref="K21">IF(ISNUMBER(MATCH("Transport sector mitigation target", _xlfn._xlws.FILTER(Targets!H:H, Targets!A:A =A21), 0)), "yes", "no")</f>
        <v>no</v>
      </c>
      <c r="L21" s="43" t="str">
        <f>IF(K21="no", "No transport target", IF(AND(COUNTIFS(Targets!A:A, A21, Targets!H:H, "Transport sector mitigation target", Targets!J:J, "GHG") &gt; 0, COUNTIFS(Targets!A:A, A21, Targets!H:H, "Transport sector mitigation target", Targets!J:J, "Non GHG") &gt; 0), "GHG and non-GHG target", IF(COUNTIFS(Targets!A:A, A21, Targets!H:H, "Transport sector mitigation target", Targets!J:J, "GHG") &gt; 0, "GHG target", IF(COUNTIFS(Targets!A:A, A21, Targets!H:H, "Transport sector mitigation target", Targets!J:J, "Non GHG") &gt; 0, "non-GHG target", ""))))</f>
        <v>No transport target</v>
      </c>
      <c r="M21" s="43" t="str">
        <f>IF(K21="no","No transport target",IF(L21="non-GHG target","No GHG transport target",IF(AND(COUNTIFS(Targets!A:A,A21,Targets!H:H,"Transport sector mitigation target",Targets!J:J,"GHG",Targets!L:L,"Conditional")&gt;0,COUNTIFS(Targets!A:A,A21,Targets!H:H,"Transport sector mitigation target",Targets!J:J,"GHG",Targets!L:L,"Unconditional")&gt;0),"GHG unconditional and conditional",IF(COUNTIFS(Targets!A:A,A21,Targets!H:H,"Transport sector mitigation target",Targets!J:J,"GHG",Targets!L:L,"Conditional")&gt;0,"GHG conditional only",IF(COUNTIFS(Targets!A:A,A21,Targets!H:H,"Transport sector mitigation target",Targets!J:J,"GHG",Targets!L:L,"Unconditional")&gt;0,"GHG unconditional only",IF(COUNTIFS(Targets!A:A,A21,Targets!H:H,"Transport sector mitigation target",Targets!J:J,"GHG",Targets!L:L,"Unclear conditionality")&gt;0,"Conditionality unclear",""))))))</f>
        <v>No transport target</v>
      </c>
      <c r="N21" s="43" t="str" cm="1">
        <f t="array" ref="N21">IF(ISNUMBER(MATCH("Transport sector adaptation target", _xlfn._xlws.FILTER(Targets!H:H, Targets!A:A =A21), 0)), "yes", "no")</f>
        <v>no</v>
      </c>
      <c r="O21" s="43" t="str">
        <f>IF(ISNA(MATCH(A21, Mitigation!A:A, 0)), "no", "yes")</f>
        <v>yes</v>
      </c>
      <c r="P21" s="43" t="str">
        <f>IF(ISNA(MATCH(A21, Adaptation!A:A, 0)), "no", "yes")</f>
        <v>no</v>
      </c>
      <c r="Q21" s="43" t="str">
        <f>IF(ISNA(MATCH(A21, Benefits!A:A, 0)), "no", "yes")</f>
        <v>no</v>
      </c>
      <c r="R21" s="43"/>
      <c r="S21" s="43"/>
      <c r="T21" s="43" t="s">
        <v>501</v>
      </c>
      <c r="U21" s="312" t="s">
        <v>518</v>
      </c>
      <c r="V21" s="233" t="str">
        <f>VLOOKUP(Table1[[#This Row],[Country Code]],Table29[],3,FALSE)</f>
        <v>Non-Annex I</v>
      </c>
      <c r="W21" s="233" t="str">
        <f>VLOOKUP(Table1[[#This Row],[Country Code]],Table29[],4,FALSE)</f>
        <v>Latin America and the Caribbean</v>
      </c>
      <c r="X21" s="233" t="str">
        <f>VLOOKUP(Table1[[#This Row],[Country Code]],Table29[],5,FALSE)</f>
        <v>High-income</v>
      </c>
      <c r="Y21" s="43"/>
      <c r="Z21" s="43"/>
    </row>
    <row r="22" spans="1:31" ht="15" customHeight="1" x14ac:dyDescent="0.25">
      <c r="A22" s="360">
        <v>17719</v>
      </c>
      <c r="B22" s="176" t="s">
        <v>374</v>
      </c>
      <c r="C22" s="243" t="str">
        <f>VLOOKUP(Table1[[#This Row],[Country Code]],Table29[],2,FALSE)</f>
        <v>Saint Lucia</v>
      </c>
      <c r="D22" s="243" t="str">
        <f t="shared" si="2"/>
        <v>Good</v>
      </c>
      <c r="E22" s="176" t="s">
        <v>71</v>
      </c>
      <c r="F22" s="43" t="s">
        <v>498</v>
      </c>
      <c r="G22" s="43" t="str">
        <f t="shared" si="3"/>
        <v>First NDC</v>
      </c>
      <c r="H22" s="43" t="s">
        <v>499</v>
      </c>
      <c r="I22" s="351">
        <v>42482</v>
      </c>
      <c r="J22" s="320" t="s">
        <v>500</v>
      </c>
      <c r="K22" s="320" t="str" cm="1">
        <f t="array" ref="K22">IF(ISNUMBER(MATCH("Transport sector mitigation target", _xlfn._xlws.FILTER(Targets!H:H, Targets!A:A =A22), 0)), "yes", "no")</f>
        <v>no</v>
      </c>
      <c r="L22" s="43" t="str">
        <f>IF(K22="no", "No transport target", IF(AND(COUNTIFS(Targets!A:A, A22, Targets!H:H, "Transport sector mitigation target", Targets!J:J, "GHG") &gt; 0, COUNTIFS(Targets!A:A, A22, Targets!H:H, "Transport sector mitigation target", Targets!J:J, "Non GHG") &gt; 0), "GHG and non-GHG target", IF(COUNTIFS(Targets!A:A, A22, Targets!H:H, "Transport sector mitigation target", Targets!J:J, "GHG") &gt; 0, "GHG target", IF(COUNTIFS(Targets!A:A, A22, Targets!H:H, "Transport sector mitigation target", Targets!J:J, "Non GHG") &gt; 0, "non-GHG target", ""))))</f>
        <v>No transport target</v>
      </c>
      <c r="M22" s="43" t="str">
        <f>IF(K22="no","No transport target",IF(L22="non-GHG target","No GHG transport target",IF(AND(COUNTIFS(Targets!A:A,A22,Targets!H:H,"Transport sector mitigation target",Targets!J:J,"GHG",Targets!L:L,"Conditional")&gt;0,COUNTIFS(Targets!A:A,A22,Targets!H:H,"Transport sector mitigation target",Targets!J:J,"GHG",Targets!L:L,"Unconditional")&gt;0),"GHG unconditional and conditional",IF(COUNTIFS(Targets!A:A,A22,Targets!H:H,"Transport sector mitigation target",Targets!J:J,"GHG",Targets!L:L,"Conditional")&gt;0,"GHG conditional only",IF(COUNTIFS(Targets!A:A,A22,Targets!H:H,"Transport sector mitigation target",Targets!J:J,"GHG",Targets!L:L,"Unconditional")&gt;0,"GHG unconditional only",IF(COUNTIFS(Targets!A:A,A22,Targets!H:H,"Transport sector mitigation target",Targets!J:J,"GHG",Targets!L:L,"Unclear conditionality")&gt;0,"Conditionality unclear",""))))))</f>
        <v>No transport target</v>
      </c>
      <c r="N22" s="43" t="str" cm="1">
        <f t="array" ref="N22">IF(ISNUMBER(MATCH("Transport sector adaptation target", _xlfn._xlws.FILTER(Targets!H:H, Targets!A:A =A22), 0)), "yes", "no")</f>
        <v>no</v>
      </c>
      <c r="O22" s="43" t="str">
        <f>IF(ISNA(MATCH(A22, Mitigation!A:A, 0)), "no", "yes")</f>
        <v>yes</v>
      </c>
      <c r="P22" s="43" t="str">
        <f>IF(ISNA(MATCH(A22, Adaptation!A:A, 0)), "no", "yes")</f>
        <v>no</v>
      </c>
      <c r="Q22" s="43" t="str">
        <f>IF(ISNA(MATCH(A22, Benefits!A:A, 0)), "no", "yes")</f>
        <v>no</v>
      </c>
      <c r="R22" s="43"/>
      <c r="S22" s="43"/>
      <c r="T22" s="43" t="s">
        <v>501</v>
      </c>
      <c r="U22" s="312" t="s">
        <v>519</v>
      </c>
      <c r="V22" s="233" t="str">
        <f>VLOOKUP(Table1[[#This Row],[Country Code]],Table29[],3,FALSE)</f>
        <v>Non-Annex I</v>
      </c>
      <c r="W22" s="233" t="str">
        <f>VLOOKUP(Table1[[#This Row],[Country Code]],Table29[],4,FALSE)</f>
        <v>Latin America and the Caribbean</v>
      </c>
      <c r="X22" s="233" t="str">
        <f>VLOOKUP(Table1[[#This Row],[Country Code]],Table29[],5,FALSE)</f>
        <v>Middle-income</v>
      </c>
      <c r="Y22" s="43"/>
      <c r="Z22" s="43"/>
    </row>
    <row r="23" spans="1:31" ht="15" customHeight="1" x14ac:dyDescent="0.25">
      <c r="A23" s="405">
        <v>17722</v>
      </c>
      <c r="B23" s="20" t="s">
        <v>378</v>
      </c>
      <c r="C23" s="206" t="str">
        <f>VLOOKUP(Table1[[#This Row],[Country Code]],Table29[],2,FALSE)</f>
        <v>Samoa</v>
      </c>
      <c r="D23" s="243" t="str">
        <f t="shared" si="2"/>
        <v>Good</v>
      </c>
      <c r="E23" s="20" t="s">
        <v>71</v>
      </c>
      <c r="F23" s="17" t="s">
        <v>498</v>
      </c>
      <c r="G23" s="43" t="str">
        <f t="shared" si="3"/>
        <v>First NDC</v>
      </c>
      <c r="H23" s="17" t="s">
        <v>499</v>
      </c>
      <c r="I23" s="149">
        <v>42482</v>
      </c>
      <c r="J23" s="49" t="s">
        <v>500</v>
      </c>
      <c r="K23" s="49" t="str" cm="1">
        <f t="array" ref="K23">IF(ISNUMBER(MATCH("Transport sector mitigation target", _xlfn._xlws.FILTER(Targets!H:H, Targets!A:A =A23), 0)), "yes", "no")</f>
        <v>no</v>
      </c>
      <c r="L23" s="17" t="str">
        <f>IF(K23="no", "No transport target", IF(AND(COUNTIFS(Targets!A:A, A23, Targets!H:H, "Transport sector mitigation target", Targets!J:J, "GHG") &gt; 0, COUNTIFS(Targets!A:A, A23, Targets!H:H, "Transport sector mitigation target", Targets!J:J, "Non GHG") &gt; 0), "GHG and non-GHG target", IF(COUNTIFS(Targets!A:A, A23, Targets!H:H, "Transport sector mitigation target", Targets!J:J, "GHG") &gt; 0, "GHG target", IF(COUNTIFS(Targets!A:A, A23, Targets!H:H, "Transport sector mitigation target", Targets!J:J, "Non GHG") &gt; 0, "non-GHG target", ""))))</f>
        <v>No transport target</v>
      </c>
      <c r="M23" s="17" t="str">
        <f>IF(K23="no","No transport target",IF(L23="non-GHG target","No GHG transport target",IF(AND(COUNTIFS(Targets!A:A,A23,Targets!H:H,"Transport sector mitigation target",Targets!J:J,"GHG",Targets!L:L,"Conditional")&gt;0,COUNTIFS(Targets!A:A,A23,Targets!H:H,"Transport sector mitigation target",Targets!J:J,"GHG",Targets!L:L,"Unconditional")&gt;0),"GHG unconditional and conditional",IF(COUNTIFS(Targets!A:A,A23,Targets!H:H,"Transport sector mitigation target",Targets!J:J,"GHG",Targets!L:L,"Conditional")&gt;0,"GHG conditional only",IF(COUNTIFS(Targets!A:A,A23,Targets!H:H,"Transport sector mitigation target",Targets!J:J,"GHG",Targets!L:L,"Unconditional")&gt;0,"GHG unconditional only",IF(COUNTIFS(Targets!A:A,A23,Targets!H:H,"Transport sector mitigation target",Targets!J:J,"GHG",Targets!L:L,"Unclear conditionality")&gt;0,"Conditionality unclear",""))))))</f>
        <v>No transport target</v>
      </c>
      <c r="N23" s="17" t="str" cm="1">
        <f t="array" ref="N23">IF(ISNUMBER(MATCH("Transport sector adaptation target", _xlfn._xlws.FILTER(Targets!H:H, Targets!A:A =A23), 0)), "yes", "no")</f>
        <v>no</v>
      </c>
      <c r="O23" s="17" t="str">
        <f>IF(ISNA(MATCH(A23, Mitigation!A:A, 0)), "no", "yes")</f>
        <v>yes</v>
      </c>
      <c r="P23" s="17" t="str">
        <f>IF(ISNA(MATCH(A23, Adaptation!A:A, 0)), "no", "yes")</f>
        <v>no</v>
      </c>
      <c r="Q23" s="17" t="str">
        <f>IF(ISNA(MATCH(A23, Benefits!A:A, 0)), "no", "yes")</f>
        <v>no</v>
      </c>
      <c r="R23" s="17"/>
      <c r="S23" s="17"/>
      <c r="T23" s="17" t="s">
        <v>501</v>
      </c>
      <c r="U23" s="135" t="s">
        <v>520</v>
      </c>
      <c r="V23" s="207" t="str">
        <f>VLOOKUP(Table1[[#This Row],[Country Code]],Table29[],3,FALSE)</f>
        <v>Non-Annex I</v>
      </c>
      <c r="W23" s="207" t="str">
        <f>VLOOKUP(Table1[[#This Row],[Country Code]],Table29[],4,FALSE)</f>
        <v>Oceania</v>
      </c>
      <c r="X23" s="207" t="str">
        <f>VLOOKUP(Table1[[#This Row],[Country Code]],Table29[],5,FALSE)</f>
        <v>Middle-income</v>
      </c>
      <c r="Y23" s="17"/>
      <c r="Z23" s="17"/>
    </row>
    <row r="24" spans="1:31" s="4" customFormat="1" ht="15" customHeight="1" x14ac:dyDescent="0.25">
      <c r="A24" s="405">
        <v>17738</v>
      </c>
      <c r="B24" s="20" t="s">
        <v>402</v>
      </c>
      <c r="C24" s="206" t="str">
        <f>VLOOKUP(Table1[[#This Row],[Country Code]],Table29[],2,FALSE)</f>
        <v>Somalia</v>
      </c>
      <c r="D24" s="243" t="str">
        <f t="shared" si="2"/>
        <v>Good</v>
      </c>
      <c r="E24" s="20" t="s">
        <v>71</v>
      </c>
      <c r="F24" s="17" t="s">
        <v>498</v>
      </c>
      <c r="G24" s="43" t="str">
        <f t="shared" si="3"/>
        <v>First NDC</v>
      </c>
      <c r="H24" s="17" t="s">
        <v>499</v>
      </c>
      <c r="I24" s="149">
        <v>42482</v>
      </c>
      <c r="J24" s="49" t="s">
        <v>500</v>
      </c>
      <c r="K24" s="49" t="str" cm="1">
        <f t="array" ref="K24">IF(ISNUMBER(MATCH("Transport sector mitigation target", _xlfn._xlws.FILTER(Targets!H:H, Targets!A:A =A24), 0)), "yes", "no")</f>
        <v>no</v>
      </c>
      <c r="L24" s="17" t="str">
        <f>IF(K24="no", "No transport target", IF(AND(COUNTIFS(Targets!A:A, A24, Targets!H:H, "Transport sector mitigation target", Targets!J:J, "GHG") &gt; 0, COUNTIFS(Targets!A:A, A24, Targets!H:H, "Transport sector mitigation target", Targets!J:J, "Non GHG") &gt; 0), "GHG and non-GHG target", IF(COUNTIFS(Targets!A:A, A24, Targets!H:H, "Transport sector mitigation target", Targets!J:J, "GHG") &gt; 0, "GHG target", IF(COUNTIFS(Targets!A:A, A24, Targets!H:H, "Transport sector mitigation target", Targets!J:J, "Non GHG") &gt; 0, "non-GHG target", ""))))</f>
        <v>No transport target</v>
      </c>
      <c r="M24" s="17" t="str">
        <f>IF(K24="no","No transport target",IF(L24="non-GHG target","No GHG transport target",IF(AND(COUNTIFS(Targets!A:A,A24,Targets!H:H,"Transport sector mitigation target",Targets!J:J,"GHG",Targets!L:L,"Conditional")&gt;0,COUNTIFS(Targets!A:A,A24,Targets!H:H,"Transport sector mitigation target",Targets!J:J,"GHG",Targets!L:L,"Unconditional")&gt;0),"GHG unconditional and conditional",IF(COUNTIFS(Targets!A:A,A24,Targets!H:H,"Transport sector mitigation target",Targets!J:J,"GHG",Targets!L:L,"Conditional")&gt;0,"GHG conditional only",IF(COUNTIFS(Targets!A:A,A24,Targets!H:H,"Transport sector mitigation target",Targets!J:J,"GHG",Targets!L:L,"Unconditional")&gt;0,"GHG unconditional only",IF(COUNTIFS(Targets!A:A,A24,Targets!H:H,"Transport sector mitigation target",Targets!J:J,"GHG",Targets!L:L,"Unclear conditionality")&gt;0,"Conditionality unclear",""))))))</f>
        <v>No transport target</v>
      </c>
      <c r="N24" s="17" t="str" cm="1">
        <f t="array" ref="N24">IF(ISNUMBER(MATCH("Transport sector adaptation target", _xlfn._xlws.FILTER(Targets!H:H, Targets!A:A =A24), 0)), "yes", "no")</f>
        <v>no</v>
      </c>
      <c r="O24" s="17" t="str">
        <f>IF(ISNA(MATCH(A24, Mitigation!A:A, 0)), "no", "yes")</f>
        <v>no</v>
      </c>
      <c r="P24" s="17" t="str">
        <f>IF(ISNA(MATCH(A24, Adaptation!A:A, 0)), "no", "yes")</f>
        <v>no</v>
      </c>
      <c r="Q24" s="17" t="str">
        <f>IF(ISNA(MATCH(A24, Benefits!A:A, 0)), "no", "yes")</f>
        <v>no</v>
      </c>
      <c r="R24" s="17"/>
      <c r="S24" s="17"/>
      <c r="T24" s="17" t="s">
        <v>501</v>
      </c>
      <c r="U24" s="135" t="s">
        <v>521</v>
      </c>
      <c r="V24" s="207" t="str">
        <f>VLOOKUP(Table1[[#This Row],[Country Code]],Table29[],3,FALSE)</f>
        <v>Non-Annex I</v>
      </c>
      <c r="W24" s="207" t="str">
        <f>VLOOKUP(Table1[[#This Row],[Country Code]],Table29[],4,FALSE)</f>
        <v>Africa</v>
      </c>
      <c r="X24" s="207" t="str">
        <f>VLOOKUP(Table1[[#This Row],[Country Code]],Table29[],5,FALSE)</f>
        <v>Low-income</v>
      </c>
      <c r="Y24" s="17"/>
      <c r="Z24" s="17"/>
    </row>
    <row r="25" spans="1:31" ht="15" customHeight="1" x14ac:dyDescent="0.25">
      <c r="A25" s="360">
        <v>17606</v>
      </c>
      <c r="B25" s="176" t="s">
        <v>209</v>
      </c>
      <c r="C25" s="243" t="str">
        <f>VLOOKUP(Table1[[#This Row],[Country Code]],Table29[],2,FALSE)</f>
        <v>Grenada</v>
      </c>
      <c r="D25" s="243" t="str">
        <f t="shared" si="2"/>
        <v>Good</v>
      </c>
      <c r="E25" s="176" t="s">
        <v>71</v>
      </c>
      <c r="F25" s="43" t="s">
        <v>498</v>
      </c>
      <c r="G25" s="43" t="str">
        <f t="shared" si="3"/>
        <v>First NDC</v>
      </c>
      <c r="H25" s="43" t="s">
        <v>499</v>
      </c>
      <c r="I25" s="351">
        <v>42482</v>
      </c>
      <c r="J25" s="320" t="s">
        <v>500</v>
      </c>
      <c r="K25" s="320" t="str" cm="1">
        <f t="array" ref="K25">IF(ISNUMBER(MATCH("Transport sector mitigation target", _xlfn._xlws.FILTER(Targets!H:H, Targets!A:A =A25), 0)), "yes", "no")</f>
        <v>yes</v>
      </c>
      <c r="L25" s="43" t="str">
        <f>IF(K25="no", "No transport target", IF(AND(COUNTIFS(Targets!A:A, A25, Targets!H:H, "Transport sector mitigation target", Targets!J:J, "GHG") &gt; 0, COUNTIFS(Targets!A:A, A25, Targets!H:H, "Transport sector mitigation target", Targets!J:J, "Non GHG") &gt; 0), "GHG and non-GHG target", IF(COUNTIFS(Targets!A:A, A25, Targets!H:H, "Transport sector mitigation target", Targets!J:J, "GHG") &gt; 0, "GHG target", IF(COUNTIFS(Targets!A:A, A25, Targets!H:H, "Transport sector mitigation target", Targets!J:J, "Non GHG") &gt; 0, "non-GHG target", ""))))</f>
        <v>GHG target</v>
      </c>
      <c r="M25" s="43" t="str">
        <f>IF(K25="no","No transport target",IF(L25="non-GHG target","No GHG transport target",IF(AND(COUNTIFS(Targets!A:A,A25,Targets!H:H,"Transport sector mitigation target",Targets!J:J,"GHG",Targets!L:L,"Conditional")&gt;0,COUNTIFS(Targets!A:A,A25,Targets!H:H,"Transport sector mitigation target",Targets!J:J,"GHG",Targets!L:L,"Unconditional")&gt;0),"GHG unconditional and conditional",IF(COUNTIFS(Targets!A:A,A25,Targets!H:H,"Transport sector mitigation target",Targets!J:J,"GHG",Targets!L:L,"Conditional")&gt;0,"GHG conditional only",IF(COUNTIFS(Targets!A:A,A25,Targets!H:H,"Transport sector mitigation target",Targets!J:J,"GHG",Targets!L:L,"Unconditional")&gt;0,"GHG unconditional only",IF(COUNTIFS(Targets!A:A,A25,Targets!H:H,"Transport sector mitigation target",Targets!J:J,"GHG",Targets!L:L,"Unclear conditionality")&gt;0,"Conditionality unclear",""))))))</f>
        <v>GHG unconditional only</v>
      </c>
      <c r="N25" s="43" t="str" cm="1">
        <f t="array" ref="N25">IF(ISNUMBER(MATCH("Transport sector adaptation target", _xlfn._xlws.FILTER(Targets!H:H, Targets!A:A =A25), 0)), "yes", "no")</f>
        <v>no</v>
      </c>
      <c r="O25" s="43" t="str">
        <f>IF(ISNA(MATCH(A25, Mitigation!A:A, 0)), "no", "yes")</f>
        <v>yes</v>
      </c>
      <c r="P25" s="43" t="str">
        <f>IF(ISNA(MATCH(A25, Adaptation!A:A, 0)), "no", "yes")</f>
        <v>no</v>
      </c>
      <c r="Q25" s="43" t="str">
        <f>IF(ISNA(MATCH(A25, Benefits!A:A, 0)), "no", "yes")</f>
        <v>no</v>
      </c>
      <c r="R25" s="43"/>
      <c r="S25" s="43"/>
      <c r="T25" s="43" t="s">
        <v>501</v>
      </c>
      <c r="U25" s="312" t="s">
        <v>522</v>
      </c>
      <c r="V25" s="233" t="str">
        <f>VLOOKUP(Table1[[#This Row],[Country Code]],Table29[],3,FALSE)</f>
        <v>Non-Annex I</v>
      </c>
      <c r="W25" s="233" t="str">
        <f>VLOOKUP(Table1[[#This Row],[Country Code]],Table29[],4,FALSE)</f>
        <v>Latin America and the Caribbean</v>
      </c>
      <c r="X25" s="233" t="str">
        <f>VLOOKUP(Table1[[#This Row],[Country Code]],Table29[],5,FALSE)</f>
        <v>Middle-income</v>
      </c>
      <c r="Y25" s="43"/>
      <c r="Z25" s="43"/>
    </row>
    <row r="26" spans="1:31" ht="15" customHeight="1" x14ac:dyDescent="0.25">
      <c r="A26" s="405">
        <v>17768</v>
      </c>
      <c r="B26" s="20" t="s">
        <v>440</v>
      </c>
      <c r="C26" s="206" t="str">
        <f>VLOOKUP(Table1[[#This Row],[Country Code]],Table29[],2,FALSE)</f>
        <v>Tuvalu</v>
      </c>
      <c r="D26" s="243" t="str">
        <f t="shared" si="2"/>
        <v>Good</v>
      </c>
      <c r="E26" s="20" t="s">
        <v>71</v>
      </c>
      <c r="F26" s="17" t="s">
        <v>498</v>
      </c>
      <c r="G26" s="43" t="str">
        <f t="shared" si="3"/>
        <v>First NDC</v>
      </c>
      <c r="H26" s="17" t="s">
        <v>499</v>
      </c>
      <c r="I26" s="149">
        <v>42482</v>
      </c>
      <c r="J26" s="49" t="s">
        <v>500</v>
      </c>
      <c r="K26" s="49" t="str" cm="1">
        <f t="array" ref="K26">IF(ISNUMBER(MATCH("Transport sector mitigation target", _xlfn._xlws.FILTER(Targets!H:H, Targets!A:A =A26), 0)), "yes", "no")</f>
        <v>no</v>
      </c>
      <c r="L26" s="17" t="str">
        <f>IF(K26="no", "No transport target", IF(AND(COUNTIFS(Targets!A:A, A26, Targets!H:H, "Transport sector mitigation target", Targets!J:J, "GHG") &gt; 0, COUNTIFS(Targets!A:A, A26, Targets!H:H, "Transport sector mitigation target", Targets!J:J, "Non GHG") &gt; 0), "GHG and non-GHG target", IF(COUNTIFS(Targets!A:A, A26, Targets!H:H, "Transport sector mitigation target", Targets!J:J, "GHG") &gt; 0, "GHG target", IF(COUNTIFS(Targets!A:A, A26, Targets!H:H, "Transport sector mitigation target", Targets!J:J, "Non GHG") &gt; 0, "non-GHG target", ""))))</f>
        <v>No transport target</v>
      </c>
      <c r="M26" s="17" t="str">
        <f>IF(K26="no","No transport target",IF(L26="non-GHG target","No GHG transport target",IF(AND(COUNTIFS(Targets!A:A,A26,Targets!H:H,"Transport sector mitigation target",Targets!J:J,"GHG",Targets!L:L,"Conditional")&gt;0,COUNTIFS(Targets!A:A,A26,Targets!H:H,"Transport sector mitigation target",Targets!J:J,"GHG",Targets!L:L,"Unconditional")&gt;0),"GHG unconditional and conditional",IF(COUNTIFS(Targets!A:A,A26,Targets!H:H,"Transport sector mitigation target",Targets!J:J,"GHG",Targets!L:L,"Conditional")&gt;0,"GHG conditional only",IF(COUNTIFS(Targets!A:A,A26,Targets!H:H,"Transport sector mitigation target",Targets!J:J,"GHG",Targets!L:L,"Unconditional")&gt;0,"GHG unconditional only",IF(COUNTIFS(Targets!A:A,A26,Targets!H:H,"Transport sector mitigation target",Targets!J:J,"GHG",Targets!L:L,"Unclear conditionality")&gt;0,"Conditionality unclear",""))))))</f>
        <v>No transport target</v>
      </c>
      <c r="N26" s="17" t="str" cm="1">
        <f t="array" ref="N26">IF(ISNUMBER(MATCH("Transport sector adaptation target", _xlfn._xlws.FILTER(Targets!H:H, Targets!A:A =A26), 0)), "yes", "no")</f>
        <v>no</v>
      </c>
      <c r="O26" s="17" t="str">
        <f>IF(ISNA(MATCH(A26, Mitigation!A:A, 0)), "no", "yes")</f>
        <v>yes</v>
      </c>
      <c r="P26" s="17" t="str">
        <f>IF(ISNA(MATCH(A26, Adaptation!A:A, 0)), "no", "yes")</f>
        <v>no</v>
      </c>
      <c r="Q26" s="17" t="str">
        <f>IF(ISNA(MATCH(A26, Benefits!A:A, 0)), "no", "yes")</f>
        <v>no</v>
      </c>
      <c r="R26" s="17"/>
      <c r="S26" s="17"/>
      <c r="T26" s="17" t="s">
        <v>501</v>
      </c>
      <c r="U26" s="135" t="s">
        <v>523</v>
      </c>
      <c r="V26" s="207" t="str">
        <f>VLOOKUP(Table1[[#This Row],[Country Code]],Table29[],3,FALSE)</f>
        <v>Non-Annex I</v>
      </c>
      <c r="W26" s="207" t="str">
        <f>VLOOKUP(Table1[[#This Row],[Country Code]],Table29[],4,FALSE)</f>
        <v>Oceania</v>
      </c>
      <c r="X26" s="207" t="str">
        <f>VLOOKUP(Table1[[#This Row],[Country Code]],Table29[],5,FALSE)</f>
        <v>Middle-income</v>
      </c>
      <c r="Y26" s="17"/>
      <c r="Z26" s="17"/>
    </row>
    <row r="27" spans="1:31" ht="15" customHeight="1" x14ac:dyDescent="0.25">
      <c r="A27" s="360">
        <v>17655</v>
      </c>
      <c r="B27" s="176" t="s">
        <v>292</v>
      </c>
      <c r="C27" s="243" t="str">
        <f>VLOOKUP(Table1[[#This Row],[Country Code]],Table29[],2,FALSE)</f>
        <v>Marshall Islands</v>
      </c>
      <c r="D27" s="243" t="str">
        <f t="shared" si="2"/>
        <v>Good</v>
      </c>
      <c r="E27" s="176" t="s">
        <v>71</v>
      </c>
      <c r="F27" s="43" t="s">
        <v>498</v>
      </c>
      <c r="G27" s="43" t="str">
        <f t="shared" si="3"/>
        <v>First NDC</v>
      </c>
      <c r="H27" s="43" t="s">
        <v>499</v>
      </c>
      <c r="I27" s="351">
        <v>42482</v>
      </c>
      <c r="J27" s="320" t="s">
        <v>500</v>
      </c>
      <c r="K27" s="320" t="str" cm="1">
        <f t="array" ref="K27">IF(ISNUMBER(MATCH("Transport sector mitigation target", _xlfn._xlws.FILTER(Targets!H:H, Targets!A:A =A27), 0)), "yes", "no")</f>
        <v>yes</v>
      </c>
      <c r="L27" s="43" t="str">
        <f>IF(K27="no", "No transport target", IF(AND(COUNTIFS(Targets!A:A, A27, Targets!H:H, "Transport sector mitigation target", Targets!J:J, "GHG") &gt; 0, COUNTIFS(Targets!A:A, A27, Targets!H:H, "Transport sector mitigation target", Targets!J:J, "Non GHG") &gt; 0), "GHG and non-GHG target", IF(COUNTIFS(Targets!A:A, A27, Targets!H:H, "Transport sector mitigation target", Targets!J:J, "GHG") &gt; 0, "GHG target", IF(COUNTIFS(Targets!A:A, A27, Targets!H:H, "Transport sector mitigation target", Targets!J:J, "Non GHG") &gt; 0, "non-GHG target", ""))))</f>
        <v>GHG target</v>
      </c>
      <c r="M27" s="43" t="str">
        <f>IF(K27="no","No transport target",IF(L27="non-GHG target","No GHG transport target",IF(AND(COUNTIFS(Targets!A:A,A27,Targets!H:H,"Transport sector mitigation target",Targets!J:J,"GHG",Targets!L:L,"Conditional")&gt;0,COUNTIFS(Targets!A:A,A27,Targets!H:H,"Transport sector mitigation target",Targets!J:J,"GHG",Targets!L:L,"Unconditional")&gt;0),"GHG unconditional and conditional",IF(COUNTIFS(Targets!A:A,A27,Targets!H:H,"Transport sector mitigation target",Targets!J:J,"GHG",Targets!L:L,"Conditional")&gt;0,"GHG conditional only",IF(COUNTIFS(Targets!A:A,A27,Targets!H:H,"Transport sector mitigation target",Targets!J:J,"GHG",Targets!L:L,"Unconditional")&gt;0,"GHG unconditional only",IF(COUNTIFS(Targets!A:A,A27,Targets!H:H,"Transport sector mitigation target",Targets!J:J,"GHG",Targets!L:L,"Unclear conditionality")&gt;0,"Conditionality unclear",""))))))</f>
        <v>GHG unconditional only</v>
      </c>
      <c r="N27" s="43" t="str" cm="1">
        <f t="array" ref="N27">IF(ISNUMBER(MATCH("Transport sector adaptation target", _xlfn._xlws.FILTER(Targets!H:H, Targets!A:A =A27), 0)), "yes", "no")</f>
        <v>no</v>
      </c>
      <c r="O27" s="43" t="str">
        <f>IF(ISNA(MATCH(A27, Mitigation!A:A, 0)), "no", "yes")</f>
        <v>yes</v>
      </c>
      <c r="P27" s="43" t="str">
        <f>IF(ISNA(MATCH(A27, Adaptation!A:A, 0)), "no", "yes")</f>
        <v>no</v>
      </c>
      <c r="Q27" s="43" t="str">
        <f>IF(ISNA(MATCH(A27, Benefits!A:A, 0)), "no", "yes")</f>
        <v>no</v>
      </c>
      <c r="R27" s="43"/>
      <c r="S27" s="43"/>
      <c r="T27" s="43" t="s">
        <v>501</v>
      </c>
      <c r="U27" s="312" t="s">
        <v>524</v>
      </c>
      <c r="V27" s="233" t="str">
        <f>VLOOKUP(Table1[[#This Row],[Country Code]],Table29[],3,FALSE)</f>
        <v>Non-Annex I</v>
      </c>
      <c r="W27" s="233" t="str">
        <f>VLOOKUP(Table1[[#This Row],[Country Code]],Table29[],4,FALSE)</f>
        <v>Oceania</v>
      </c>
      <c r="X27" s="233" t="str">
        <f>VLOOKUP(Table1[[#This Row],[Country Code]],Table29[],5,FALSE)</f>
        <v>Middle-income</v>
      </c>
      <c r="Y27" s="43"/>
      <c r="Z27" s="43"/>
      <c r="AC27" t="s">
        <v>62</v>
      </c>
      <c r="AD27" t="s">
        <v>525</v>
      </c>
      <c r="AE27" t="s">
        <v>526</v>
      </c>
    </row>
    <row r="28" spans="1:31" ht="15" customHeight="1" x14ac:dyDescent="0.25">
      <c r="A28" s="405">
        <v>17729</v>
      </c>
      <c r="B28" s="20" t="s">
        <v>390</v>
      </c>
      <c r="C28" s="206" t="str">
        <f>VLOOKUP(Table1[[#This Row],[Country Code]],Table29[],2,FALSE)</f>
        <v>Seychelles</v>
      </c>
      <c r="D28" s="243" t="str">
        <f t="shared" si="2"/>
        <v>Good</v>
      </c>
      <c r="E28" s="20" t="s">
        <v>71</v>
      </c>
      <c r="F28" s="17" t="s">
        <v>498</v>
      </c>
      <c r="G28" s="43" t="str">
        <f t="shared" si="3"/>
        <v>First NDC</v>
      </c>
      <c r="H28" s="17" t="s">
        <v>499</v>
      </c>
      <c r="I28" s="149">
        <v>42489</v>
      </c>
      <c r="J28" s="49" t="s">
        <v>500</v>
      </c>
      <c r="K28" s="49" t="str" cm="1">
        <f t="array" ref="K28">IF(ISNUMBER(MATCH("Transport sector mitigation target", _xlfn._xlws.FILTER(Targets!H:H, Targets!A:A =A28), 0)), "yes", "no")</f>
        <v>yes</v>
      </c>
      <c r="L28" s="17" t="str">
        <f>IF(K28="no", "No transport target", IF(AND(COUNTIFS(Targets!A:A, A28, Targets!H:H, "Transport sector mitigation target", Targets!J:J, "GHG") &gt; 0, COUNTIFS(Targets!A:A, A28, Targets!H:H, "Transport sector mitigation target", Targets!J:J, "Non GHG") &gt; 0), "GHG and non-GHG target", IF(COUNTIFS(Targets!A:A, A28, Targets!H:H, "Transport sector mitigation target", Targets!J:J, "GHG") &gt; 0, "GHG target", IF(COUNTIFS(Targets!A:A, A28, Targets!H:H, "Transport sector mitigation target", Targets!J:J, "Non GHG") &gt; 0, "non-GHG target", ""))))</f>
        <v>GHG and non-GHG target</v>
      </c>
      <c r="M28" s="17" t="str">
        <f>IF(K28="no","No transport target",IF(L28="non-GHG target","No GHG transport target",IF(AND(COUNTIFS(Targets!A:A,A28,Targets!H:H,"Transport sector mitigation target",Targets!J:J,"GHG",Targets!L:L,"Conditional")&gt;0,COUNTIFS(Targets!A:A,A28,Targets!H:H,"Transport sector mitigation target",Targets!J:J,"GHG",Targets!L:L,"Unconditional")&gt;0),"GHG unconditional and conditional",IF(COUNTIFS(Targets!A:A,A28,Targets!H:H,"Transport sector mitigation target",Targets!J:J,"GHG",Targets!L:L,"Conditional")&gt;0,"GHG conditional only",IF(COUNTIFS(Targets!A:A,A28,Targets!H:H,"Transport sector mitigation target",Targets!J:J,"GHG",Targets!L:L,"Unconditional")&gt;0,"GHG unconditional only",IF(COUNTIFS(Targets!A:A,A28,Targets!H:H,"Transport sector mitigation target",Targets!J:J,"GHG",Targets!L:L,"Unclear conditionality")&gt;0,"Conditionality unclear",""))))))</f>
        <v>GHG conditional only</v>
      </c>
      <c r="N28" s="17" t="str" cm="1">
        <f t="array" ref="N28">IF(ISNUMBER(MATCH("Transport sector adaptation target", _xlfn._xlws.FILTER(Targets!H:H, Targets!A:A =A28), 0)), "yes", "no")</f>
        <v>no</v>
      </c>
      <c r="O28" s="17" t="str">
        <f>IF(ISNA(MATCH(A28, Mitigation!A:A, 0)), "no", "yes")</f>
        <v>yes</v>
      </c>
      <c r="P28" s="17" t="str">
        <f>IF(ISNA(MATCH(A28, Adaptation!A:A, 0)), "no", "yes")</f>
        <v>yes</v>
      </c>
      <c r="Q28" s="17" t="str">
        <f>IF(ISNA(MATCH(A28, Benefits!A:A, 0)), "no", "yes")</f>
        <v>no</v>
      </c>
      <c r="R28" s="17"/>
      <c r="S28" s="17"/>
      <c r="T28" s="17" t="s">
        <v>501</v>
      </c>
      <c r="U28" s="135" t="s">
        <v>527</v>
      </c>
      <c r="V28" s="207" t="str">
        <f>VLOOKUP(Table1[[#This Row],[Country Code]],Table29[],3,FALSE)</f>
        <v>Non-Annex I</v>
      </c>
      <c r="W28" s="207" t="str">
        <f>VLOOKUP(Table1[[#This Row],[Country Code]],Table29[],4,FALSE)</f>
        <v>Africa</v>
      </c>
      <c r="X28" s="207" t="str">
        <f>VLOOKUP(Table1[[#This Row],[Country Code]],Table29[],5,FALSE)</f>
        <v>High-income</v>
      </c>
      <c r="Y28" s="17"/>
      <c r="Z28" s="17"/>
      <c r="AC28" t="s">
        <v>62</v>
      </c>
      <c r="AD28" t="s">
        <v>528</v>
      </c>
      <c r="AE28" t="s">
        <v>526</v>
      </c>
    </row>
    <row r="29" spans="1:31" ht="15" customHeight="1" x14ac:dyDescent="0.25">
      <c r="A29" s="360">
        <v>17611</v>
      </c>
      <c r="B29" s="176" t="s">
        <v>217</v>
      </c>
      <c r="C29" s="243" t="str">
        <f>VLOOKUP(Table1[[#This Row],[Country Code]],Table29[],2,FALSE)</f>
        <v>Guyana</v>
      </c>
      <c r="D29" s="243" t="str">
        <f t="shared" si="2"/>
        <v>Good</v>
      </c>
      <c r="E29" s="176" t="s">
        <v>71</v>
      </c>
      <c r="F29" s="43" t="s">
        <v>498</v>
      </c>
      <c r="G29" s="43" t="str">
        <f t="shared" si="3"/>
        <v>First NDC</v>
      </c>
      <c r="H29" s="43" t="s">
        <v>499</v>
      </c>
      <c r="I29" s="351">
        <v>42510</v>
      </c>
      <c r="J29" s="352" t="s">
        <v>505</v>
      </c>
      <c r="K29" s="320" t="str" cm="1">
        <f t="array" ref="K29">IF(ISNUMBER(MATCH("Transport sector mitigation target", _xlfn._xlws.FILTER(Targets!H:H, Targets!A:A =A29), 0)), "yes", "no")</f>
        <v>no</v>
      </c>
      <c r="L29" s="43" t="str">
        <f>IF(K29="no", "No transport target", IF(AND(COUNTIFS(Targets!A:A, A29, Targets!H:H, "Transport sector mitigation target", Targets!J:J, "GHG") &gt; 0, COUNTIFS(Targets!A:A, A29, Targets!H:H, "Transport sector mitigation target", Targets!J:J, "Non GHG") &gt; 0), "GHG and non-GHG target", IF(COUNTIFS(Targets!A:A, A29, Targets!H:H, "Transport sector mitigation target", Targets!J:J, "GHG") &gt; 0, "GHG target", IF(COUNTIFS(Targets!A:A, A29, Targets!H:H, "Transport sector mitigation target", Targets!J:J, "Non GHG") &gt; 0, "non-GHG target", ""))))</f>
        <v>No transport target</v>
      </c>
      <c r="M29" s="43" t="str">
        <f>IF(K29="no","No transport target",IF(L29="non-GHG target","No GHG transport target",IF(AND(COUNTIFS(Targets!A:A,A29,Targets!H:H,"Transport sector mitigation target",Targets!J:J,"GHG",Targets!L:L,"Conditional")&gt;0,COUNTIFS(Targets!A:A,A29,Targets!H:H,"Transport sector mitigation target",Targets!J:J,"GHG",Targets!L:L,"Unconditional")&gt;0),"GHG unconditional and conditional",IF(COUNTIFS(Targets!A:A,A29,Targets!H:H,"Transport sector mitigation target",Targets!J:J,"GHG",Targets!L:L,"Conditional")&gt;0,"GHG conditional only",IF(COUNTIFS(Targets!A:A,A29,Targets!H:H,"Transport sector mitigation target",Targets!J:J,"GHG",Targets!L:L,"Unconditional")&gt;0,"GHG unconditional only",IF(COUNTIFS(Targets!A:A,A29,Targets!H:H,"Transport sector mitigation target",Targets!J:J,"GHG",Targets!L:L,"Unclear conditionality")&gt;0,"Conditionality unclear",""))))))</f>
        <v>No transport target</v>
      </c>
      <c r="N29" s="43" t="str" cm="1">
        <f t="array" ref="N29">IF(ISNUMBER(MATCH("Transport sector adaptation target", _xlfn._xlws.FILTER(Targets!H:H, Targets!A:A =A29), 0)), "yes", "no")</f>
        <v>no</v>
      </c>
      <c r="O29" s="43" t="str">
        <f>IF(ISNA(MATCH(A29, Mitigation!A:A, 0)), "no", "yes")</f>
        <v>no</v>
      </c>
      <c r="P29" s="43" t="str">
        <f>IF(ISNA(MATCH(A29, Adaptation!A:A, 0)), "no", "yes")</f>
        <v>yes</v>
      </c>
      <c r="Q29" s="43" t="str">
        <f>IF(ISNA(MATCH(A29, Benefits!A:A, 0)), "no", "yes")</f>
        <v>no</v>
      </c>
      <c r="R29" s="43"/>
      <c r="S29" s="43"/>
      <c r="T29" s="43" t="s">
        <v>501</v>
      </c>
      <c r="U29" s="312" t="s">
        <v>529</v>
      </c>
      <c r="V29" s="233" t="str">
        <f>VLOOKUP(Table1[[#This Row],[Country Code]],Table29[],3,FALSE)</f>
        <v>Non-Annex I</v>
      </c>
      <c r="W29" s="233" t="str">
        <f>VLOOKUP(Table1[[#This Row],[Country Code]],Table29[],4,FALSE)</f>
        <v>Latin America and the Caribbean</v>
      </c>
      <c r="X29" s="233" t="str">
        <f>VLOOKUP(Table1[[#This Row],[Country Code]],Table29[],5,FALSE)</f>
        <v>Middle-income</v>
      </c>
      <c r="Y29" s="43"/>
      <c r="Z29" s="43"/>
      <c r="AC29" t="s">
        <v>77</v>
      </c>
      <c r="AD29" t="s">
        <v>530</v>
      </c>
      <c r="AE29" t="s">
        <v>526</v>
      </c>
    </row>
    <row r="30" spans="1:31" ht="15" customHeight="1" x14ac:dyDescent="0.25">
      <c r="A30" s="360">
        <v>17686</v>
      </c>
      <c r="B30" s="176" t="s">
        <v>333</v>
      </c>
      <c r="C30" s="243" t="str">
        <f>VLOOKUP(Table1[[#This Row],[Country Code]],Table29[],2,FALSE)</f>
        <v>Norway</v>
      </c>
      <c r="D30" s="243" t="str">
        <f t="shared" si="2"/>
        <v>Good</v>
      </c>
      <c r="E30" s="176" t="s">
        <v>71</v>
      </c>
      <c r="F30" s="43" t="s">
        <v>498</v>
      </c>
      <c r="G30" s="43" t="str">
        <f t="shared" si="3"/>
        <v>First NDC</v>
      </c>
      <c r="H30" s="43" t="s">
        <v>499</v>
      </c>
      <c r="I30" s="351">
        <v>42541</v>
      </c>
      <c r="J30" s="320" t="s">
        <v>500</v>
      </c>
      <c r="K30" s="320" t="str" cm="1">
        <f t="array" ref="K30">IF(ISNUMBER(MATCH("Transport sector mitigation target", _xlfn._xlws.FILTER(Targets!H:H, Targets!A:A =A30), 0)), "yes", "no")</f>
        <v>no</v>
      </c>
      <c r="L30" s="43" t="str">
        <f>IF(K30="no", "No transport target", IF(AND(COUNTIFS(Targets!A:A, A30, Targets!H:H, "Transport sector mitigation target", Targets!J:J, "GHG") &gt; 0, COUNTIFS(Targets!A:A, A30, Targets!H:H, "Transport sector mitigation target", Targets!J:J, "Non GHG") &gt; 0), "GHG and non-GHG target", IF(COUNTIFS(Targets!A:A, A30, Targets!H:H, "Transport sector mitigation target", Targets!J:J, "GHG") &gt; 0, "GHG target", IF(COUNTIFS(Targets!A:A, A30, Targets!H:H, "Transport sector mitigation target", Targets!J:J, "Non GHG") &gt; 0, "non-GHG target", ""))))</f>
        <v>No transport target</v>
      </c>
      <c r="M30" s="43" t="str">
        <f>IF(K30="no","No transport target",IF(L30="non-GHG target","No GHG transport target",IF(AND(COUNTIFS(Targets!A:A,A30,Targets!H:H,"Transport sector mitigation target",Targets!J:J,"GHG",Targets!L:L,"Conditional")&gt;0,COUNTIFS(Targets!A:A,A30,Targets!H:H,"Transport sector mitigation target",Targets!J:J,"GHG",Targets!L:L,"Unconditional")&gt;0),"GHG unconditional and conditional",IF(COUNTIFS(Targets!A:A,A30,Targets!H:H,"Transport sector mitigation target",Targets!J:J,"GHG",Targets!L:L,"Conditional")&gt;0,"GHG conditional only",IF(COUNTIFS(Targets!A:A,A30,Targets!H:H,"Transport sector mitigation target",Targets!J:J,"GHG",Targets!L:L,"Unconditional")&gt;0,"GHG unconditional only",IF(COUNTIFS(Targets!A:A,A30,Targets!H:H,"Transport sector mitigation target",Targets!J:J,"GHG",Targets!L:L,"Unclear conditionality")&gt;0,"Conditionality unclear",""))))))</f>
        <v>No transport target</v>
      </c>
      <c r="N30" s="43" t="str" cm="1">
        <f t="array" ref="N30">IF(ISNUMBER(MATCH("Transport sector adaptation target", _xlfn._xlws.FILTER(Targets!H:H, Targets!A:A =A30), 0)), "yes", "no")</f>
        <v>no</v>
      </c>
      <c r="O30" s="43" t="str">
        <f>IF(ISNA(MATCH(A30, Mitigation!A:A, 0)), "no", "yes")</f>
        <v>yes</v>
      </c>
      <c r="P30" s="43" t="str">
        <f>IF(ISNA(MATCH(A30, Adaptation!A:A, 0)), "no", "yes")</f>
        <v>no</v>
      </c>
      <c r="Q30" s="43" t="str">
        <f>IF(ISNA(MATCH(A30, Benefits!A:A, 0)), "no", "yes")</f>
        <v>no</v>
      </c>
      <c r="R30" s="43"/>
      <c r="S30" s="43"/>
      <c r="T30" s="43" t="s">
        <v>501</v>
      </c>
      <c r="U30" s="312" t="s">
        <v>531</v>
      </c>
      <c r="V30" s="233" t="str">
        <f>VLOOKUP(Table1[[#This Row],[Country Code]],Table29[],3,FALSE)</f>
        <v>Annex I</v>
      </c>
      <c r="W30" s="233" t="str">
        <f>VLOOKUP(Table1[[#This Row],[Country Code]],Table29[],4,FALSE)</f>
        <v>Europe</v>
      </c>
      <c r="X30" s="233" t="str">
        <f>VLOOKUP(Table1[[#This Row],[Country Code]],Table29[],5,FALSE)</f>
        <v>High-income</v>
      </c>
      <c r="Y30" s="43"/>
      <c r="Z30" s="43"/>
      <c r="AC30" t="s">
        <v>92</v>
      </c>
      <c r="AD30" t="s">
        <v>498</v>
      </c>
      <c r="AE30" t="s">
        <v>532</v>
      </c>
    </row>
    <row r="31" spans="1:31" ht="15" customHeight="1" x14ac:dyDescent="0.25">
      <c r="A31" s="405">
        <v>17721</v>
      </c>
      <c r="B31" s="20" t="s">
        <v>376</v>
      </c>
      <c r="C31" s="206" t="str">
        <f>VLOOKUP(Table1[[#This Row],[Country Code]],Table29[],2,FALSE)</f>
        <v>Saint Vincent and the Grenadines</v>
      </c>
      <c r="D31" s="243" t="str">
        <f t="shared" si="2"/>
        <v>Good</v>
      </c>
      <c r="E31" s="20" t="s">
        <v>71</v>
      </c>
      <c r="F31" s="17" t="s">
        <v>498</v>
      </c>
      <c r="G31" s="43" t="str">
        <f t="shared" si="3"/>
        <v>First NDC</v>
      </c>
      <c r="H31" s="17" t="s">
        <v>499</v>
      </c>
      <c r="I31" s="149">
        <v>42550</v>
      </c>
      <c r="J31" s="187" t="s">
        <v>505</v>
      </c>
      <c r="K31" s="49" t="str" cm="1">
        <f t="array" ref="K31">IF(ISNUMBER(MATCH("Transport sector mitigation target", _xlfn._xlws.FILTER(Targets!H:H, Targets!A:A =A31), 0)), "yes", "no")</f>
        <v>no</v>
      </c>
      <c r="L31" s="17" t="str">
        <f>IF(K31="no", "No transport target", IF(AND(COUNTIFS(Targets!A:A, A31, Targets!H:H, "Transport sector mitigation target", Targets!J:J, "GHG") &gt; 0, COUNTIFS(Targets!A:A, A31, Targets!H:H, "Transport sector mitigation target", Targets!J:J, "Non GHG") &gt; 0), "GHG and non-GHG target", IF(COUNTIFS(Targets!A:A, A31, Targets!H:H, "Transport sector mitigation target", Targets!J:J, "GHG") &gt; 0, "GHG target", IF(COUNTIFS(Targets!A:A, A31, Targets!H:H, "Transport sector mitigation target", Targets!J:J, "Non GHG") &gt; 0, "non-GHG target", ""))))</f>
        <v>No transport target</v>
      </c>
      <c r="M31" s="17" t="str">
        <f>IF(K31="no","No transport target",IF(L31="non-GHG target","No GHG transport target",IF(AND(COUNTIFS(Targets!A:A,A31,Targets!H:H,"Transport sector mitigation target",Targets!J:J,"GHG",Targets!L:L,"Conditional")&gt;0,COUNTIFS(Targets!A:A,A31,Targets!H:H,"Transport sector mitigation target",Targets!J:J,"GHG",Targets!L:L,"Unconditional")&gt;0),"GHG unconditional and conditional",IF(COUNTIFS(Targets!A:A,A31,Targets!H:H,"Transport sector mitigation target",Targets!J:J,"GHG",Targets!L:L,"Conditional")&gt;0,"GHG conditional only",IF(COUNTIFS(Targets!A:A,A31,Targets!H:H,"Transport sector mitigation target",Targets!J:J,"GHG",Targets!L:L,"Unconditional")&gt;0,"GHG unconditional only",IF(COUNTIFS(Targets!A:A,A31,Targets!H:H,"Transport sector mitigation target",Targets!J:J,"GHG",Targets!L:L,"Unclear conditionality")&gt;0,"Conditionality unclear",""))))))</f>
        <v>No transport target</v>
      </c>
      <c r="N31" s="17" t="str" cm="1">
        <f t="array" ref="N31">IF(ISNUMBER(MATCH("Transport sector adaptation target", _xlfn._xlws.FILTER(Targets!H:H, Targets!A:A =A31), 0)), "yes", "no")</f>
        <v>no</v>
      </c>
      <c r="O31" s="17" t="str">
        <f>IF(ISNA(MATCH(A31, Mitigation!A:A, 0)), "no", "yes")</f>
        <v>yes</v>
      </c>
      <c r="P31" s="17" t="str">
        <f>IF(ISNA(MATCH(A31, Adaptation!A:A, 0)), "no", "yes")</f>
        <v>no</v>
      </c>
      <c r="Q31" s="17" t="str">
        <f>IF(ISNA(MATCH(A31, Benefits!A:A, 0)), "no", "yes")</f>
        <v>no</v>
      </c>
      <c r="R31" s="17"/>
      <c r="S31" s="17"/>
      <c r="T31" s="17" t="s">
        <v>501</v>
      </c>
      <c r="U31" s="135" t="s">
        <v>533</v>
      </c>
      <c r="V31" s="207" t="str">
        <f>VLOOKUP(Table1[[#This Row],[Country Code]],Table29[],3,FALSE)</f>
        <v>Non-Annex I</v>
      </c>
      <c r="W31" s="207" t="str">
        <f>VLOOKUP(Table1[[#This Row],[Country Code]],Table29[],4,FALSE)</f>
        <v>Latin America and the Caribbean</v>
      </c>
      <c r="X31" s="207" t="str">
        <f>VLOOKUP(Table1[[#This Row],[Country Code]],Table29[],5,FALSE)</f>
        <v>Middle-income</v>
      </c>
      <c r="Y31" s="17"/>
      <c r="Z31" s="17"/>
      <c r="AC31" t="s">
        <v>92</v>
      </c>
      <c r="AD31" t="s">
        <v>498</v>
      </c>
      <c r="AE31" t="s">
        <v>532</v>
      </c>
    </row>
    <row r="32" spans="1:31" ht="15" customHeight="1" x14ac:dyDescent="0.25">
      <c r="A32" s="360">
        <v>17698</v>
      </c>
      <c r="B32" s="20" t="s">
        <v>350</v>
      </c>
      <c r="C32" s="206" t="str">
        <f>VLOOKUP(Table1[[#This Row],[Country Code]],Table29[],2,FALSE)</f>
        <v>Peru</v>
      </c>
      <c r="D32" s="243" t="str">
        <f t="shared" si="2"/>
        <v>Good</v>
      </c>
      <c r="E32" s="20" t="s">
        <v>71</v>
      </c>
      <c r="F32" s="17" t="s">
        <v>498</v>
      </c>
      <c r="G32" s="43" t="str">
        <f t="shared" si="3"/>
        <v>First NDC</v>
      </c>
      <c r="H32" s="17" t="s">
        <v>499</v>
      </c>
      <c r="I32" s="149">
        <v>42576</v>
      </c>
      <c r="J32" s="49" t="s">
        <v>500</v>
      </c>
      <c r="K32" s="49" t="str" cm="1">
        <f t="array" ref="K32">IF(ISNUMBER(MATCH("Transport sector mitigation target", _xlfn._xlws.FILTER(Targets!H:H, Targets!A:A =A32), 0)), "yes", "no")</f>
        <v>no</v>
      </c>
      <c r="L32" s="17" t="str">
        <f>IF(K32="no", "No transport target", IF(AND(COUNTIFS(Targets!A:A, A32, Targets!H:H, "Transport sector mitigation target", Targets!J:J, "GHG") &gt; 0, COUNTIFS(Targets!A:A, A32, Targets!H:H, "Transport sector mitigation target", Targets!J:J, "Non GHG") &gt; 0), "GHG and non-GHG target", IF(COUNTIFS(Targets!A:A, A32, Targets!H:H, "Transport sector mitigation target", Targets!J:J, "GHG") &gt; 0, "GHG target", IF(COUNTIFS(Targets!A:A, A32, Targets!H:H, "Transport sector mitigation target", Targets!J:J, "Non GHG") &gt; 0, "non-GHG target", ""))))</f>
        <v>No transport target</v>
      </c>
      <c r="M32" s="17" t="str">
        <f>IF(K32="no","No transport target",IF(L32="non-GHG target","No GHG transport target",IF(AND(COUNTIFS(Targets!A:A,A32,Targets!H:H,"Transport sector mitigation target",Targets!J:J,"GHG",Targets!L:L,"Conditional")&gt;0,COUNTIFS(Targets!A:A,A32,Targets!H:H,"Transport sector mitigation target",Targets!J:J,"GHG",Targets!L:L,"Unconditional")&gt;0),"GHG unconditional and conditional",IF(COUNTIFS(Targets!A:A,A32,Targets!H:H,"Transport sector mitigation target",Targets!J:J,"GHG",Targets!L:L,"Conditional")&gt;0,"GHG conditional only",IF(COUNTIFS(Targets!A:A,A32,Targets!H:H,"Transport sector mitigation target",Targets!J:J,"GHG",Targets!L:L,"Unconditional")&gt;0,"GHG unconditional only",IF(COUNTIFS(Targets!A:A,A32,Targets!H:H,"Transport sector mitigation target",Targets!J:J,"GHG",Targets!L:L,"Unclear conditionality")&gt;0,"Conditionality unclear",""))))))</f>
        <v>No transport target</v>
      </c>
      <c r="N32" s="17" t="str" cm="1">
        <f t="array" ref="N32">IF(ISNUMBER(MATCH("Transport sector adaptation target", _xlfn._xlws.FILTER(Targets!H:H, Targets!A:A =A32), 0)), "yes", "no")</f>
        <v>no</v>
      </c>
      <c r="O32" s="17" t="str">
        <f>IF(ISNA(MATCH(A32, Mitigation!A:A, 0)), "no", "yes")</f>
        <v>no</v>
      </c>
      <c r="P32" s="17" t="str">
        <f>IF(ISNA(MATCH(A32, Adaptation!A:A, 0)), "no", "yes")</f>
        <v>yes</v>
      </c>
      <c r="Q32" s="17" t="str">
        <f>IF(ISNA(MATCH(A32, Benefits!A:A, 0)), "no", "yes")</f>
        <v>no</v>
      </c>
      <c r="R32" s="17"/>
      <c r="S32" s="17"/>
      <c r="T32" s="17" t="s">
        <v>501</v>
      </c>
      <c r="U32" s="135" t="s">
        <v>534</v>
      </c>
      <c r="V32" s="207" t="str">
        <f>VLOOKUP(Table1[[#This Row],[Country Code]],Table29[],3,FALSE)</f>
        <v>Non-Annex I</v>
      </c>
      <c r="W32" s="207" t="str">
        <f>VLOOKUP(Table1[[#This Row],[Country Code]],Table29[],4,FALSE)</f>
        <v>Latin America and the Caribbean</v>
      </c>
      <c r="X32" s="207" t="str">
        <f>VLOOKUP(Table1[[#This Row],[Country Code]],Table29[],5,FALSE)</f>
        <v>Middle-income</v>
      </c>
      <c r="Y32" s="17"/>
      <c r="Z32" s="17"/>
      <c r="AC32" t="s">
        <v>92</v>
      </c>
      <c r="AD32" t="s">
        <v>528</v>
      </c>
      <c r="AE32" t="s">
        <v>532</v>
      </c>
    </row>
    <row r="33" spans="1:31" ht="15" customHeight="1" x14ac:dyDescent="0.25">
      <c r="A33" s="360">
        <v>17549</v>
      </c>
      <c r="B33" s="176" t="s">
        <v>125</v>
      </c>
      <c r="C33" s="243" t="str">
        <f>VLOOKUP(Table1[[#This Row],[Country Code]],Table29[],2,FALSE)</f>
        <v>Cameroon</v>
      </c>
      <c r="D33" s="243" t="str">
        <f t="shared" si="2"/>
        <v>Good</v>
      </c>
      <c r="E33" s="176" t="s">
        <v>71</v>
      </c>
      <c r="F33" s="43" t="s">
        <v>498</v>
      </c>
      <c r="G33" s="43" t="str">
        <f t="shared" si="3"/>
        <v>First NDC</v>
      </c>
      <c r="H33" s="43" t="s">
        <v>499</v>
      </c>
      <c r="I33" s="351">
        <v>42580</v>
      </c>
      <c r="J33" s="320" t="s">
        <v>500</v>
      </c>
      <c r="K33" s="320" t="str" cm="1">
        <f t="array" ref="K33">IF(ISNUMBER(MATCH("Transport sector mitigation target", _xlfn._xlws.FILTER(Targets!H:H, Targets!A:A =A33), 0)), "yes", "no")</f>
        <v>no</v>
      </c>
      <c r="L33" s="43" t="str">
        <f>IF(K33="no", "No transport target", IF(AND(COUNTIFS(Targets!A:A, A33, Targets!H:H, "Transport sector mitigation target", Targets!J:J, "GHG") &gt; 0, COUNTIFS(Targets!A:A, A33, Targets!H:H, "Transport sector mitigation target", Targets!J:J, "Non GHG") &gt; 0), "GHG and non-GHG target", IF(COUNTIFS(Targets!A:A, A33, Targets!H:H, "Transport sector mitigation target", Targets!J:J, "GHG") &gt; 0, "GHG target", IF(COUNTIFS(Targets!A:A, A33, Targets!H:H, "Transport sector mitigation target", Targets!J:J, "Non GHG") &gt; 0, "non-GHG target", ""))))</f>
        <v>No transport target</v>
      </c>
      <c r="M33" s="43" t="str">
        <f>IF(K33="no","No transport target",IF(L33="non-GHG target","No GHG transport target",IF(AND(COUNTIFS(Targets!A:A,A33,Targets!H:H,"Transport sector mitigation target",Targets!J:J,"GHG",Targets!L:L,"Conditional")&gt;0,COUNTIFS(Targets!A:A,A33,Targets!H:H,"Transport sector mitigation target",Targets!J:J,"GHG",Targets!L:L,"Unconditional")&gt;0),"GHG unconditional and conditional",IF(COUNTIFS(Targets!A:A,A33,Targets!H:H,"Transport sector mitigation target",Targets!J:J,"GHG",Targets!L:L,"Conditional")&gt;0,"GHG conditional only",IF(COUNTIFS(Targets!A:A,A33,Targets!H:H,"Transport sector mitigation target",Targets!J:J,"GHG",Targets!L:L,"Unconditional")&gt;0,"GHG unconditional only",IF(COUNTIFS(Targets!A:A,A33,Targets!H:H,"Transport sector mitigation target",Targets!J:J,"GHG",Targets!L:L,"Unclear conditionality")&gt;0,"Conditionality unclear",""))))))</f>
        <v>No transport target</v>
      </c>
      <c r="N33" s="43" t="str" cm="1">
        <f t="array" ref="N33">IF(ISNUMBER(MATCH("Transport sector adaptation target", _xlfn._xlws.FILTER(Targets!H:H, Targets!A:A =A33), 0)), "yes", "no")</f>
        <v>no</v>
      </c>
      <c r="O33" s="43" t="str">
        <f>IF(ISNA(MATCH(A33, Mitigation!A:A, 0)), "no", "yes")</f>
        <v>yes</v>
      </c>
      <c r="P33" s="43" t="str">
        <f>IF(ISNA(MATCH(A33, Adaptation!A:A, 0)), "no", "yes")</f>
        <v>no</v>
      </c>
      <c r="Q33" s="43" t="str">
        <f>IF(ISNA(MATCH(A33, Benefits!A:A, 0)), "no", "yes")</f>
        <v>no</v>
      </c>
      <c r="R33" s="43"/>
      <c r="S33" s="43"/>
      <c r="T33" s="43" t="s">
        <v>501</v>
      </c>
      <c r="U33" s="312" t="s">
        <v>535</v>
      </c>
      <c r="V33" s="233" t="str">
        <f>VLOOKUP(Table1[[#This Row],[Country Code]],Table29[],3,FALSE)</f>
        <v>Non-Annex I</v>
      </c>
      <c r="W33" s="233" t="str">
        <f>VLOOKUP(Table1[[#This Row],[Country Code]],Table29[],4,FALSE)</f>
        <v>Africa</v>
      </c>
      <c r="X33" s="233" t="str">
        <f>VLOOKUP(Table1[[#This Row],[Country Code]],Table29[],5,FALSE)</f>
        <v>Middle-income</v>
      </c>
      <c r="Y33" s="43"/>
      <c r="Z33" s="43"/>
      <c r="AC33" t="s">
        <v>92</v>
      </c>
      <c r="AD33" t="s">
        <v>528</v>
      </c>
      <c r="AE33" t="s">
        <v>532</v>
      </c>
    </row>
    <row r="34" spans="1:31" ht="15" customHeight="1" x14ac:dyDescent="0.25">
      <c r="A34" s="360">
        <v>17561</v>
      </c>
      <c r="B34" s="176" t="s">
        <v>145</v>
      </c>
      <c r="C34" s="243" t="str">
        <f>VLOOKUP(Table1[[#This Row],[Country Code]],Table29[],2,FALSE)</f>
        <v>Cook Islands</v>
      </c>
      <c r="D34" s="243" t="str">
        <f t="shared" si="2"/>
        <v>Good</v>
      </c>
      <c r="E34" s="176" t="s">
        <v>71</v>
      </c>
      <c r="F34" s="43" t="s">
        <v>498</v>
      </c>
      <c r="G34" s="43" t="str">
        <f t="shared" si="3"/>
        <v>First NDC</v>
      </c>
      <c r="H34" s="43" t="s">
        <v>499</v>
      </c>
      <c r="I34" s="351">
        <v>42614</v>
      </c>
      <c r="J34" s="352" t="s">
        <v>505</v>
      </c>
      <c r="K34" s="320" t="str" cm="1">
        <f t="array" ref="K34">IF(ISNUMBER(MATCH("Transport sector mitigation target", _xlfn._xlws.FILTER(Targets!H:H, Targets!A:A =A34), 0)), "yes", "no")</f>
        <v>no</v>
      </c>
      <c r="L34" s="43" t="str">
        <f>IF(K34="no", "No transport target", IF(AND(COUNTIFS(Targets!A:A, A34, Targets!H:H, "Transport sector mitigation target", Targets!J:J, "GHG") &gt; 0, COUNTIFS(Targets!A:A, A34, Targets!H:H, "Transport sector mitigation target", Targets!J:J, "Non GHG") &gt; 0), "GHG and non-GHG target", IF(COUNTIFS(Targets!A:A, A34, Targets!H:H, "Transport sector mitigation target", Targets!J:J, "GHG") &gt; 0, "GHG target", IF(COUNTIFS(Targets!A:A, A34, Targets!H:H, "Transport sector mitigation target", Targets!J:J, "Non GHG") &gt; 0, "non-GHG target", ""))))</f>
        <v>No transport target</v>
      </c>
      <c r="M34" s="43" t="str">
        <f>IF(K34="no","No transport target",IF(L34="non-GHG target","No GHG transport target",IF(AND(COUNTIFS(Targets!A:A,A34,Targets!H:H,"Transport sector mitigation target",Targets!J:J,"GHG",Targets!L:L,"Conditional")&gt;0,COUNTIFS(Targets!A:A,A34,Targets!H:H,"Transport sector mitigation target",Targets!J:J,"GHG",Targets!L:L,"Unconditional")&gt;0),"GHG unconditional and conditional",IF(COUNTIFS(Targets!A:A,A34,Targets!H:H,"Transport sector mitigation target",Targets!J:J,"GHG",Targets!L:L,"Conditional")&gt;0,"GHG conditional only",IF(COUNTIFS(Targets!A:A,A34,Targets!H:H,"Transport sector mitigation target",Targets!J:J,"GHG",Targets!L:L,"Unconditional")&gt;0,"GHG unconditional only",IF(COUNTIFS(Targets!A:A,A34,Targets!H:H,"Transport sector mitigation target",Targets!J:J,"GHG",Targets!L:L,"Unclear conditionality")&gt;0,"Conditionality unclear",""))))))</f>
        <v>No transport target</v>
      </c>
      <c r="N34" s="43" t="str" cm="1">
        <f t="array" ref="N34">IF(ISNUMBER(MATCH("Transport sector adaptation target", _xlfn._xlws.FILTER(Targets!H:H, Targets!A:A =A34), 0)), "yes", "no")</f>
        <v>no</v>
      </c>
      <c r="O34" s="43" t="str">
        <f>IF(ISNA(MATCH(A34, Mitigation!A:A, 0)), "no", "yes")</f>
        <v>yes</v>
      </c>
      <c r="P34" s="43" t="str">
        <f>IF(ISNA(MATCH(A34, Adaptation!A:A, 0)), "no", "yes")</f>
        <v>no</v>
      </c>
      <c r="Q34" s="43" t="str">
        <f>IF(ISNA(MATCH(A34, Benefits!A:A, 0)), "no", "yes")</f>
        <v>no</v>
      </c>
      <c r="R34" s="43"/>
      <c r="S34" s="43"/>
      <c r="T34" s="43" t="s">
        <v>501</v>
      </c>
      <c r="U34" s="312" t="s">
        <v>536</v>
      </c>
      <c r="V34" s="233" t="str">
        <f>VLOOKUP(Table1[[#This Row],[Country Code]],Table29[],3,FALSE)</f>
        <v>Non-Annex I</v>
      </c>
      <c r="W34" s="233" t="str">
        <f>VLOOKUP(Table1[[#This Row],[Country Code]],Table29[],4,FALSE)</f>
        <v>Oceania</v>
      </c>
      <c r="X34" s="233" t="str">
        <f>VLOOKUP(Table1[[#This Row],[Country Code]],Table29[],5,FALSE)</f>
        <v>N/A</v>
      </c>
      <c r="Y34" s="43"/>
      <c r="Z34" s="43"/>
      <c r="AC34" t="s">
        <v>98</v>
      </c>
      <c r="AD34" t="s">
        <v>227</v>
      </c>
      <c r="AE34" t="s">
        <v>526</v>
      </c>
    </row>
    <row r="35" spans="1:31" ht="15" customHeight="1" x14ac:dyDescent="0.25">
      <c r="A35" s="360">
        <v>17556</v>
      </c>
      <c r="B35" s="176" t="s">
        <v>137</v>
      </c>
      <c r="C35" s="243" t="str">
        <f>VLOOKUP(Table1[[#This Row],[Country Code]],Table29[],2,FALSE)</f>
        <v>China</v>
      </c>
      <c r="D35" s="243" t="str">
        <f t="shared" si="2"/>
        <v>Good</v>
      </c>
      <c r="E35" s="176" t="s">
        <v>71</v>
      </c>
      <c r="F35" s="43" t="s">
        <v>498</v>
      </c>
      <c r="G35" s="43" t="str">
        <f t="shared" si="3"/>
        <v>First NDC</v>
      </c>
      <c r="H35" s="43" t="s">
        <v>499</v>
      </c>
      <c r="I35" s="351">
        <v>42616</v>
      </c>
      <c r="J35" s="320" t="s">
        <v>500</v>
      </c>
      <c r="K35" s="320" t="str" cm="1">
        <f t="array" ref="K35">IF(ISNUMBER(MATCH("Transport sector mitigation target", _xlfn._xlws.FILTER(Targets!H:H, Targets!A:A =A35), 0)), "yes", "no")</f>
        <v>yes</v>
      </c>
      <c r="L35" s="43" t="str">
        <f>IF(K35="no", "No transport target", IF(AND(COUNTIFS(Targets!A:A, A35, Targets!H:H, "Transport sector mitigation target", Targets!J:J, "GHG") &gt; 0, COUNTIFS(Targets!A:A, A35, Targets!H:H, "Transport sector mitigation target", Targets!J:J, "Non GHG") &gt; 0), "GHG and non-GHG target", IF(COUNTIFS(Targets!A:A, A35, Targets!H:H, "Transport sector mitigation target", Targets!J:J, "GHG") &gt; 0, "GHG target", IF(COUNTIFS(Targets!A:A, A35, Targets!H:H, "Transport sector mitigation target", Targets!J:J, "Non GHG") &gt; 0, "non-GHG target", ""))))</f>
        <v>non-GHG target</v>
      </c>
      <c r="M35" s="43" t="str">
        <f>IF(K35="no","No transport target",IF(L35="non-GHG target","No GHG transport target",IF(AND(COUNTIFS(Targets!A:A,A35,Targets!H:H,"Transport sector mitigation target",Targets!J:J,"GHG",Targets!L:L,"Conditional")&gt;0,COUNTIFS(Targets!A:A,A35,Targets!H:H,"Transport sector mitigation target",Targets!J:J,"GHG",Targets!L:L,"Unconditional")&gt;0),"GHG unconditional and conditional",IF(COUNTIFS(Targets!A:A,A35,Targets!H:H,"Transport sector mitigation target",Targets!J:J,"GHG",Targets!L:L,"Conditional")&gt;0,"GHG conditional only",IF(COUNTIFS(Targets!A:A,A35,Targets!H:H,"Transport sector mitigation target",Targets!J:J,"GHG",Targets!L:L,"Unconditional")&gt;0,"GHG unconditional only",IF(COUNTIFS(Targets!A:A,A35,Targets!H:H,"Transport sector mitigation target",Targets!J:J,"GHG",Targets!L:L,"Unclear conditionality")&gt;0,"Conditionality unclear",""))))))</f>
        <v>No GHG transport target</v>
      </c>
      <c r="N35" s="43" t="str" cm="1">
        <f t="array" ref="N35">IF(ISNUMBER(MATCH("Transport sector adaptation target", _xlfn._xlws.FILTER(Targets!H:H, Targets!A:A =A35), 0)), "yes", "no")</f>
        <v>no</v>
      </c>
      <c r="O35" s="43" t="str">
        <f>IF(ISNA(MATCH(A35, Mitigation!A:A, 0)), "no", "yes")</f>
        <v>yes</v>
      </c>
      <c r="P35" s="43" t="str">
        <f>IF(ISNA(MATCH(A35, Adaptation!A:A, 0)), "no", "yes")</f>
        <v>no</v>
      </c>
      <c r="Q35" s="43" t="str">
        <f>IF(ISNA(MATCH(A35, Benefits!A:A, 0)), "no", "yes")</f>
        <v>no</v>
      </c>
      <c r="R35" s="43"/>
      <c r="S35" s="43"/>
      <c r="T35" s="43" t="s">
        <v>501</v>
      </c>
      <c r="U35" s="312" t="s">
        <v>537</v>
      </c>
      <c r="V35" s="233" t="str">
        <f>VLOOKUP(Table1[[#This Row],[Country Code]],Table29[],3,FALSE)</f>
        <v>Non-Annex I</v>
      </c>
      <c r="W35" s="233" t="str">
        <f>VLOOKUP(Table1[[#This Row],[Country Code]],Table29[],4,FALSE)</f>
        <v>Asia</v>
      </c>
      <c r="X35" s="233" t="str">
        <f>VLOOKUP(Table1[[#This Row],[Country Code]],Table29[],5,FALSE)</f>
        <v>Middle-income</v>
      </c>
      <c r="Y35" s="43"/>
      <c r="Z35" s="43"/>
      <c r="AC35" t="s">
        <v>100</v>
      </c>
      <c r="AD35" t="s">
        <v>528</v>
      </c>
      <c r="AE35" t="s">
        <v>526</v>
      </c>
    </row>
    <row r="36" spans="1:31" ht="15" customHeight="1" x14ac:dyDescent="0.25">
      <c r="A36" s="405">
        <v>17778</v>
      </c>
      <c r="B36" s="20" t="s">
        <v>452</v>
      </c>
      <c r="C36" s="206" t="str">
        <f>VLOOKUP(Table1[[#This Row],[Country Code]],Table29[],2,FALSE)</f>
        <v>United States of America</v>
      </c>
      <c r="D36" s="243" t="str">
        <f t="shared" si="2"/>
        <v>Good</v>
      </c>
      <c r="E36" s="20" t="s">
        <v>71</v>
      </c>
      <c r="F36" s="17" t="s">
        <v>498</v>
      </c>
      <c r="G36" s="43" t="str">
        <f t="shared" si="3"/>
        <v>First NDC</v>
      </c>
      <c r="H36" s="17" t="s">
        <v>499</v>
      </c>
      <c r="I36" s="149">
        <v>42616</v>
      </c>
      <c r="J36" s="49" t="s">
        <v>500</v>
      </c>
      <c r="K36" s="49" t="str" cm="1">
        <f t="array" ref="K36">IF(ISNUMBER(MATCH("Transport sector mitigation target", _xlfn._xlws.FILTER(Targets!H:H, Targets!A:A =A36), 0)), "yes", "no")</f>
        <v>no</v>
      </c>
      <c r="L36" s="17" t="str">
        <f>IF(K36="no", "No transport target", IF(AND(COUNTIFS(Targets!A:A, A36, Targets!H:H, "Transport sector mitigation target", Targets!J:J, "GHG") &gt; 0, COUNTIFS(Targets!A:A, A36, Targets!H:H, "Transport sector mitigation target", Targets!J:J, "Non GHG") &gt; 0), "GHG and non-GHG target", IF(COUNTIFS(Targets!A:A, A36, Targets!H:H, "Transport sector mitigation target", Targets!J:J, "GHG") &gt; 0, "GHG target", IF(COUNTIFS(Targets!A:A, A36, Targets!H:H, "Transport sector mitigation target", Targets!J:J, "Non GHG") &gt; 0, "non-GHG target", ""))))</f>
        <v>No transport target</v>
      </c>
      <c r="M36" s="17" t="str">
        <f>IF(K36="no","No transport target",IF(L36="non-GHG target","No GHG transport target",IF(AND(COUNTIFS(Targets!A:A,A36,Targets!H:H,"Transport sector mitigation target",Targets!J:J,"GHG",Targets!L:L,"Conditional")&gt;0,COUNTIFS(Targets!A:A,A36,Targets!H:H,"Transport sector mitigation target",Targets!J:J,"GHG",Targets!L:L,"Unconditional")&gt;0),"GHG unconditional and conditional",IF(COUNTIFS(Targets!A:A,A36,Targets!H:H,"Transport sector mitigation target",Targets!J:J,"GHG",Targets!L:L,"Conditional")&gt;0,"GHG conditional only",IF(COUNTIFS(Targets!A:A,A36,Targets!H:H,"Transport sector mitigation target",Targets!J:J,"GHG",Targets!L:L,"Unconditional")&gt;0,"GHG unconditional only",IF(COUNTIFS(Targets!A:A,A36,Targets!H:H,"Transport sector mitigation target",Targets!J:J,"GHG",Targets!L:L,"Unclear conditionality")&gt;0,"Conditionality unclear",""))))))</f>
        <v>No transport target</v>
      </c>
      <c r="N36" s="17" t="str" cm="1">
        <f t="array" ref="N36">IF(ISNUMBER(MATCH("Transport sector adaptation target", _xlfn._xlws.FILTER(Targets!H:H, Targets!A:A =A36), 0)), "yes", "no")</f>
        <v>no</v>
      </c>
      <c r="O36" s="17" t="str">
        <f>IF(ISNA(MATCH(A36, Mitigation!A:A, 0)), "no", "yes")</f>
        <v>yes</v>
      </c>
      <c r="P36" s="17" t="str">
        <f>IF(ISNA(MATCH(A36, Adaptation!A:A, 0)), "no", "yes")</f>
        <v>no</v>
      </c>
      <c r="Q36" s="17" t="str">
        <f>IF(ISNA(MATCH(A36, Benefits!A:A, 0)), "no", "yes")</f>
        <v>no</v>
      </c>
      <c r="R36" s="17"/>
      <c r="S36" s="17"/>
      <c r="T36" s="17" t="s">
        <v>501</v>
      </c>
      <c r="U36" s="135" t="s">
        <v>538</v>
      </c>
      <c r="V36" s="207" t="str">
        <f>VLOOKUP(Table1[[#This Row],[Country Code]],Table29[],3,FALSE)</f>
        <v>Annex I</v>
      </c>
      <c r="W36" s="207" t="str">
        <f>VLOOKUP(Table1[[#This Row],[Country Code]],Table29[],4,FALSE)</f>
        <v>Northern America</v>
      </c>
      <c r="X36" s="207" t="str">
        <f>VLOOKUP(Table1[[#This Row],[Country Code]],Table29[],5,FALSE)</f>
        <v>High-income</v>
      </c>
      <c r="Y36" s="17"/>
      <c r="Z36" s="17"/>
      <c r="AC36" t="s">
        <v>118</v>
      </c>
      <c r="AD36" t="s">
        <v>498</v>
      </c>
      <c r="AE36" t="s">
        <v>539</v>
      </c>
    </row>
    <row r="37" spans="1:31" ht="15" customHeight="1" x14ac:dyDescent="0.25">
      <c r="A37" s="360">
        <v>17637</v>
      </c>
      <c r="B37" s="176" t="s">
        <v>262</v>
      </c>
      <c r="C37" s="243" t="str">
        <f>VLOOKUP(Table1[[#This Row],[Country Code]],Table29[],2,FALSE)</f>
        <v>Lao People’s Democratic Republic</v>
      </c>
      <c r="D37" s="243" t="str">
        <f t="shared" si="2"/>
        <v>Good</v>
      </c>
      <c r="E37" s="176" t="s">
        <v>71</v>
      </c>
      <c r="F37" s="43" t="s">
        <v>498</v>
      </c>
      <c r="G37" s="43" t="str">
        <f t="shared" si="3"/>
        <v>First NDC</v>
      </c>
      <c r="H37" s="43" t="s">
        <v>499</v>
      </c>
      <c r="I37" s="351">
        <v>42620</v>
      </c>
      <c r="J37" s="320" t="s">
        <v>500</v>
      </c>
      <c r="K37" s="320" t="str" cm="1">
        <f t="array" ref="K37">IF(ISNUMBER(MATCH("Transport sector mitigation target", _xlfn._xlws.FILTER(Targets!H:H, Targets!A:A =A37), 0)), "yes", "no")</f>
        <v>yes</v>
      </c>
      <c r="L37" s="43" t="str">
        <f>IF(K37="no", "No transport target", IF(AND(COUNTIFS(Targets!A:A, A37, Targets!H:H, "Transport sector mitigation target", Targets!J:J, "GHG") &gt; 0, COUNTIFS(Targets!A:A, A37, Targets!H:H, "Transport sector mitigation target", Targets!J:J, "Non GHG") &gt; 0), "GHG and non-GHG target", IF(COUNTIFS(Targets!A:A, A37, Targets!H:H, "Transport sector mitigation target", Targets!J:J, "GHG") &gt; 0, "GHG target", IF(COUNTIFS(Targets!A:A, A37, Targets!H:H, "Transport sector mitigation target", Targets!J:J, "Non GHG") &gt; 0, "non-GHG target", ""))))</f>
        <v>non-GHG target</v>
      </c>
      <c r="M37" s="43" t="str">
        <f>IF(K37="no","No transport target",IF(L37="non-GHG target","No GHG transport target",IF(AND(COUNTIFS(Targets!A:A,A37,Targets!H:H,"Transport sector mitigation target",Targets!J:J,"GHG",Targets!L:L,"Conditional")&gt;0,COUNTIFS(Targets!A:A,A37,Targets!H:H,"Transport sector mitigation target",Targets!J:J,"GHG",Targets!L:L,"Unconditional")&gt;0),"GHG unconditional and conditional",IF(COUNTIFS(Targets!A:A,A37,Targets!H:H,"Transport sector mitigation target",Targets!J:J,"GHG",Targets!L:L,"Conditional")&gt;0,"GHG conditional only",IF(COUNTIFS(Targets!A:A,A37,Targets!H:H,"Transport sector mitigation target",Targets!J:J,"GHG",Targets!L:L,"Unconditional")&gt;0,"GHG unconditional only",IF(COUNTIFS(Targets!A:A,A37,Targets!H:H,"Transport sector mitigation target",Targets!J:J,"GHG",Targets!L:L,"Unclear conditionality")&gt;0,"Conditionality unclear",""))))))</f>
        <v>No GHG transport target</v>
      </c>
      <c r="N37" s="43" t="str" cm="1">
        <f t="array" ref="N37">IF(ISNUMBER(MATCH("Transport sector adaptation target", _xlfn._xlws.FILTER(Targets!H:H, Targets!A:A =A37), 0)), "yes", "no")</f>
        <v>no</v>
      </c>
      <c r="O37" s="43" t="str">
        <f>IF(ISNA(MATCH(A37, Mitigation!A:A, 0)), "no", "yes")</f>
        <v>yes</v>
      </c>
      <c r="P37" s="43" t="str">
        <f>IF(ISNA(MATCH(A37, Adaptation!A:A, 0)), "no", "yes")</f>
        <v>yes</v>
      </c>
      <c r="Q37" s="43" t="str">
        <f>IF(ISNA(MATCH(A37, Benefits!A:A, 0)), "no", "yes")</f>
        <v>yes</v>
      </c>
      <c r="R37" s="43"/>
      <c r="S37" s="43"/>
      <c r="T37" s="43" t="s">
        <v>501</v>
      </c>
      <c r="U37" s="312" t="s">
        <v>540</v>
      </c>
      <c r="V37" s="233" t="str">
        <f>VLOOKUP(Table1[[#This Row],[Country Code]],Table29[],3,FALSE)</f>
        <v>Non-Annex I</v>
      </c>
      <c r="W37" s="233" t="str">
        <f>VLOOKUP(Table1[[#This Row],[Country Code]],Table29[],4,FALSE)</f>
        <v>Asia</v>
      </c>
      <c r="X37" s="233" t="str">
        <f>VLOOKUP(Table1[[#This Row],[Country Code]],Table29[],5,FALSE)</f>
        <v>Middle-income</v>
      </c>
      <c r="Y37" s="43"/>
      <c r="Z37" s="43"/>
      <c r="AC37" t="s">
        <v>118</v>
      </c>
      <c r="AD37" t="s">
        <v>498</v>
      </c>
      <c r="AE37" t="s">
        <v>532</v>
      </c>
    </row>
    <row r="38" spans="1:31" ht="15" customHeight="1" x14ac:dyDescent="0.25">
      <c r="A38" s="360">
        <v>17663</v>
      </c>
      <c r="B38" s="176" t="s">
        <v>300</v>
      </c>
      <c r="C38" s="243" t="str">
        <f>VLOOKUP(Table1[[#This Row],[Country Code]],Table29[],2,FALSE)</f>
        <v>Micronesia (Federated States of)</v>
      </c>
      <c r="D38" s="243" t="str">
        <f t="shared" si="2"/>
        <v>Good</v>
      </c>
      <c r="E38" s="176" t="s">
        <v>71</v>
      </c>
      <c r="F38" s="43" t="s">
        <v>498</v>
      </c>
      <c r="G38" s="43" t="str">
        <f t="shared" si="3"/>
        <v>First NDC</v>
      </c>
      <c r="H38" s="43" t="s">
        <v>499</v>
      </c>
      <c r="I38" s="351">
        <v>42628</v>
      </c>
      <c r="J38" s="320" t="s">
        <v>500</v>
      </c>
      <c r="K38" s="320" t="str" cm="1">
        <f t="array" ref="K38">IF(ISNUMBER(MATCH("Transport sector mitigation target", _xlfn._xlws.FILTER(Targets!H:H, Targets!A:A =A38), 0)), "yes", "no")</f>
        <v>no</v>
      </c>
      <c r="L38" s="43" t="str">
        <f>IF(K38="no", "No transport target", IF(AND(COUNTIFS(Targets!A:A, A38, Targets!H:H, "Transport sector mitigation target", Targets!J:J, "GHG") &gt; 0, COUNTIFS(Targets!A:A, A38, Targets!H:H, "Transport sector mitigation target", Targets!J:J, "Non GHG") &gt; 0), "GHG and non-GHG target", IF(COUNTIFS(Targets!A:A, A38, Targets!H:H, "Transport sector mitigation target", Targets!J:J, "GHG") &gt; 0, "GHG target", IF(COUNTIFS(Targets!A:A, A38, Targets!H:H, "Transport sector mitigation target", Targets!J:J, "Non GHG") &gt; 0, "non-GHG target", ""))))</f>
        <v>No transport target</v>
      </c>
      <c r="M38" s="43" t="str">
        <f>IF(K38="no","No transport target",IF(L38="non-GHG target","No GHG transport target",IF(AND(COUNTIFS(Targets!A:A,A38,Targets!H:H,"Transport sector mitigation target",Targets!J:J,"GHG",Targets!L:L,"Conditional")&gt;0,COUNTIFS(Targets!A:A,A38,Targets!H:H,"Transport sector mitigation target",Targets!J:J,"GHG",Targets!L:L,"Unconditional")&gt;0),"GHG unconditional and conditional",IF(COUNTIFS(Targets!A:A,A38,Targets!H:H,"Transport sector mitigation target",Targets!J:J,"GHG",Targets!L:L,"Conditional")&gt;0,"GHG conditional only",IF(COUNTIFS(Targets!A:A,A38,Targets!H:H,"Transport sector mitigation target",Targets!J:J,"GHG",Targets!L:L,"Unconditional")&gt;0,"GHG unconditional only",IF(COUNTIFS(Targets!A:A,A38,Targets!H:H,"Transport sector mitigation target",Targets!J:J,"GHG",Targets!L:L,"Unclear conditionality")&gt;0,"Conditionality unclear",""))))))</f>
        <v>No transport target</v>
      </c>
      <c r="N38" s="43" t="str" cm="1">
        <f t="array" ref="N38">IF(ISNUMBER(MATCH("Transport sector adaptation target", _xlfn._xlws.FILTER(Targets!H:H, Targets!A:A =A38), 0)), "yes", "no")</f>
        <v>no</v>
      </c>
      <c r="O38" s="43" t="str">
        <f>IF(ISNA(MATCH(A38, Mitigation!A:A, 0)), "no", "yes")</f>
        <v>no</v>
      </c>
      <c r="P38" s="43" t="str">
        <f>IF(ISNA(MATCH(A38, Adaptation!A:A, 0)), "no", "yes")</f>
        <v>no</v>
      </c>
      <c r="Q38" s="43" t="str">
        <f>IF(ISNA(MATCH(A38, Benefits!A:A, 0)), "no", "yes")</f>
        <v>no</v>
      </c>
      <c r="R38" s="43"/>
      <c r="S38" s="43"/>
      <c r="T38" s="43" t="s">
        <v>501</v>
      </c>
      <c r="U38" s="312" t="s">
        <v>541</v>
      </c>
      <c r="V38" s="233" t="str">
        <f>VLOOKUP(Table1[[#This Row],[Country Code]],Table29[],3,FALSE)</f>
        <v>Non-Annex I</v>
      </c>
      <c r="W38" s="233" t="str">
        <f>VLOOKUP(Table1[[#This Row],[Country Code]],Table29[],4,FALSE)</f>
        <v>Oceania</v>
      </c>
      <c r="X38" s="233" t="str">
        <f>VLOOKUP(Table1[[#This Row],[Country Code]],Table29[],5,FALSE)</f>
        <v>Middle-income</v>
      </c>
      <c r="Y38" s="43"/>
      <c r="Z38" s="43"/>
      <c r="AC38" t="s">
        <v>118</v>
      </c>
      <c r="AD38" t="s">
        <v>528</v>
      </c>
      <c r="AE38" t="s">
        <v>532</v>
      </c>
    </row>
    <row r="39" spans="1:31" ht="15" customHeight="1" x14ac:dyDescent="0.25">
      <c r="A39" s="405">
        <v>17770</v>
      </c>
      <c r="B39" s="20" t="s">
        <v>444</v>
      </c>
      <c r="C39" s="206" t="str">
        <f>VLOOKUP(Table1[[#This Row],[Country Code]],Table29[],2,FALSE)</f>
        <v>Ukraine</v>
      </c>
      <c r="D39" s="243" t="str">
        <f t="shared" si="2"/>
        <v>Good</v>
      </c>
      <c r="E39" s="20" t="s">
        <v>71</v>
      </c>
      <c r="F39" s="17" t="s">
        <v>498</v>
      </c>
      <c r="G39" s="43" t="str">
        <f t="shared" si="3"/>
        <v>First NDC</v>
      </c>
      <c r="H39" s="17" t="s">
        <v>499</v>
      </c>
      <c r="I39" s="149">
        <v>42632</v>
      </c>
      <c r="J39" s="49" t="s">
        <v>500</v>
      </c>
      <c r="K39" s="49" t="str" cm="1">
        <f t="array" ref="K39">IF(ISNUMBER(MATCH("Transport sector mitigation target", _xlfn._xlws.FILTER(Targets!H:H, Targets!A:A =A39), 0)), "yes", "no")</f>
        <v>no</v>
      </c>
      <c r="L39" s="17" t="str">
        <f>IF(K39="no", "No transport target", IF(AND(COUNTIFS(Targets!A:A, A39, Targets!H:H, "Transport sector mitigation target", Targets!J:J, "GHG") &gt; 0, COUNTIFS(Targets!A:A, A39, Targets!H:H, "Transport sector mitigation target", Targets!J:J, "Non GHG") &gt; 0), "GHG and non-GHG target", IF(COUNTIFS(Targets!A:A, A39, Targets!H:H, "Transport sector mitigation target", Targets!J:J, "GHG") &gt; 0, "GHG target", IF(COUNTIFS(Targets!A:A, A39, Targets!H:H, "Transport sector mitigation target", Targets!J:J, "Non GHG") &gt; 0, "non-GHG target", ""))))</f>
        <v>No transport target</v>
      </c>
      <c r="M39" s="17" t="str">
        <f>IF(K39="no","No transport target",IF(L39="non-GHG target","No GHG transport target",IF(AND(COUNTIFS(Targets!A:A,A39,Targets!H:H,"Transport sector mitigation target",Targets!J:J,"GHG",Targets!L:L,"Conditional")&gt;0,COUNTIFS(Targets!A:A,A39,Targets!H:H,"Transport sector mitigation target",Targets!J:J,"GHG",Targets!L:L,"Unconditional")&gt;0),"GHG unconditional and conditional",IF(COUNTIFS(Targets!A:A,A39,Targets!H:H,"Transport sector mitigation target",Targets!J:J,"GHG",Targets!L:L,"Conditional")&gt;0,"GHG conditional only",IF(COUNTIFS(Targets!A:A,A39,Targets!H:H,"Transport sector mitigation target",Targets!J:J,"GHG",Targets!L:L,"Unconditional")&gt;0,"GHG unconditional only",IF(COUNTIFS(Targets!A:A,A39,Targets!H:H,"Transport sector mitigation target",Targets!J:J,"GHG",Targets!L:L,"Unclear conditionality")&gt;0,"Conditionality unclear",""))))))</f>
        <v>No transport target</v>
      </c>
      <c r="N39" s="17" t="str" cm="1">
        <f t="array" ref="N39">IF(ISNUMBER(MATCH("Transport sector adaptation target", _xlfn._xlws.FILTER(Targets!H:H, Targets!A:A =A39), 0)), "yes", "no")</f>
        <v>no</v>
      </c>
      <c r="O39" s="17" t="str">
        <f>IF(ISNA(MATCH(A39, Mitigation!A:A, 0)), "no", "yes")</f>
        <v>no</v>
      </c>
      <c r="P39" s="17" t="str">
        <f>IF(ISNA(MATCH(A39, Adaptation!A:A, 0)), "no", "yes")</f>
        <v>no</v>
      </c>
      <c r="Q39" s="17" t="str">
        <f>IF(ISNA(MATCH(A39, Benefits!A:A, 0)), "no", "yes")</f>
        <v>no</v>
      </c>
      <c r="R39" s="17"/>
      <c r="S39" s="17"/>
      <c r="T39" s="17" t="s">
        <v>501</v>
      </c>
      <c r="U39" s="135" t="s">
        <v>542</v>
      </c>
      <c r="V39" s="207" t="str">
        <f>VLOOKUP(Table1[[#This Row],[Country Code]],Table29[],3,FALSE)</f>
        <v>Annex I</v>
      </c>
      <c r="W39" s="207" t="str">
        <f>VLOOKUP(Table1[[#This Row],[Country Code]],Table29[],4,FALSE)</f>
        <v>Europe</v>
      </c>
      <c r="X39" s="207" t="str">
        <f>VLOOKUP(Table1[[#This Row],[Country Code]],Table29[],5,FALSE)</f>
        <v>Middle-income</v>
      </c>
      <c r="Y39" s="17"/>
      <c r="Z39" s="17"/>
      <c r="AC39" t="s">
        <v>118</v>
      </c>
      <c r="AD39" t="s">
        <v>528</v>
      </c>
      <c r="AE39" t="s">
        <v>532</v>
      </c>
    </row>
    <row r="40" spans="1:31" ht="15" customHeight="1" x14ac:dyDescent="0.25">
      <c r="A40" s="360">
        <v>17669</v>
      </c>
      <c r="B40" s="176" t="s">
        <v>309</v>
      </c>
      <c r="C40" s="243" t="str">
        <f>VLOOKUP(Table1[[#This Row],[Country Code]],Table29[],2,FALSE)</f>
        <v>Morocco</v>
      </c>
      <c r="D40" s="243" t="str">
        <f t="shared" si="2"/>
        <v>Good</v>
      </c>
      <c r="E40" s="176" t="s">
        <v>71</v>
      </c>
      <c r="F40" s="43" t="s">
        <v>498</v>
      </c>
      <c r="G40" s="43" t="str">
        <f t="shared" si="3"/>
        <v>First NDC</v>
      </c>
      <c r="H40" s="43" t="s">
        <v>499</v>
      </c>
      <c r="I40" s="351">
        <v>42632</v>
      </c>
      <c r="J40" s="320" t="s">
        <v>500</v>
      </c>
      <c r="K40" s="320" t="str" cm="1">
        <f t="array" ref="K40">IF(ISNUMBER(MATCH("Transport sector mitigation target", _xlfn._xlws.FILTER(Targets!H:H, Targets!A:A =A40), 0)), "yes", "no")</f>
        <v>yes</v>
      </c>
      <c r="L40" s="43" t="str">
        <f>IF(K40="no", "No transport target", IF(AND(COUNTIFS(Targets!A:A, A40, Targets!H:H, "Transport sector mitigation target", Targets!J:J, "GHG") &gt; 0, COUNTIFS(Targets!A:A, A40, Targets!H:H, "Transport sector mitigation target", Targets!J:J, "Non GHG") &gt; 0), "GHG and non-GHG target", IF(COUNTIFS(Targets!A:A, A40, Targets!H:H, "Transport sector mitigation target", Targets!J:J, "GHG") &gt; 0, "GHG target", IF(COUNTIFS(Targets!A:A, A40, Targets!H:H, "Transport sector mitigation target", Targets!J:J, "Non GHG") &gt; 0, "non-GHG target", ""))))</f>
        <v>non-GHG target</v>
      </c>
      <c r="M40" s="43" t="str">
        <f>IF(K40="no","No transport target",IF(L40="non-GHG target","No GHG transport target",IF(AND(COUNTIFS(Targets!A:A,A40,Targets!H:H,"Transport sector mitigation target",Targets!J:J,"GHG",Targets!L:L,"Conditional")&gt;0,COUNTIFS(Targets!A:A,A40,Targets!H:H,"Transport sector mitigation target",Targets!J:J,"GHG",Targets!L:L,"Unconditional")&gt;0),"GHG unconditional and conditional",IF(COUNTIFS(Targets!A:A,A40,Targets!H:H,"Transport sector mitigation target",Targets!J:J,"GHG",Targets!L:L,"Conditional")&gt;0,"GHG conditional only",IF(COUNTIFS(Targets!A:A,A40,Targets!H:H,"Transport sector mitigation target",Targets!J:J,"GHG",Targets!L:L,"Unconditional")&gt;0,"GHG unconditional only",IF(COUNTIFS(Targets!A:A,A40,Targets!H:H,"Transport sector mitigation target",Targets!J:J,"GHG",Targets!L:L,"Unclear conditionality")&gt;0,"Conditionality unclear",""))))))</f>
        <v>No GHG transport target</v>
      </c>
      <c r="N40" s="43" t="str" cm="1">
        <f t="array" ref="N40">IF(ISNUMBER(MATCH("Transport sector adaptation target", _xlfn._xlws.FILTER(Targets!H:H, Targets!A:A =A40), 0)), "yes", "no")</f>
        <v>no</v>
      </c>
      <c r="O40" s="43" t="str">
        <f>IF(ISNA(MATCH(A40, Mitigation!A:A, 0)), "no", "yes")</f>
        <v>yes</v>
      </c>
      <c r="P40" s="43" t="str">
        <f>IF(ISNA(MATCH(A40, Adaptation!A:A, 0)), "no", "yes")</f>
        <v>yes</v>
      </c>
      <c r="Q40" s="43" t="str">
        <f>IF(ISNA(MATCH(A40, Benefits!A:A, 0)), "no", "yes")</f>
        <v>no</v>
      </c>
      <c r="R40" s="43"/>
      <c r="S40" s="43"/>
      <c r="T40" s="43" t="s">
        <v>501</v>
      </c>
      <c r="U40" s="312" t="s">
        <v>543</v>
      </c>
      <c r="V40" s="233" t="str">
        <f>VLOOKUP(Table1[[#This Row],[Country Code]],Table29[],3,FALSE)</f>
        <v>Non-Annex I</v>
      </c>
      <c r="W40" s="233" t="str">
        <f>VLOOKUP(Table1[[#This Row],[Country Code]],Table29[],4,FALSE)</f>
        <v>Africa</v>
      </c>
      <c r="X40" s="233" t="str">
        <f>VLOOKUP(Table1[[#This Row],[Country Code]],Table29[],5,FALSE)</f>
        <v>Middle-income</v>
      </c>
      <c r="Y40" s="43"/>
      <c r="Z40" s="43"/>
      <c r="AC40" t="s">
        <v>124</v>
      </c>
      <c r="AD40" t="s">
        <v>498</v>
      </c>
      <c r="AE40" t="s">
        <v>526</v>
      </c>
    </row>
    <row r="41" spans="1:31" ht="15" customHeight="1" x14ac:dyDescent="0.25">
      <c r="A41" s="360">
        <v>17508</v>
      </c>
      <c r="B41" s="176" t="s">
        <v>53</v>
      </c>
      <c r="C41" s="243" t="str">
        <f>VLOOKUP(Table1[[#This Row],[Country Code]],Table29[],2,FALSE)</f>
        <v>Albania</v>
      </c>
      <c r="D41" s="243" t="str">
        <f t="shared" si="2"/>
        <v>Good</v>
      </c>
      <c r="E41" s="176" t="s">
        <v>71</v>
      </c>
      <c r="F41" s="43" t="s">
        <v>498</v>
      </c>
      <c r="G41" s="43" t="str">
        <f t="shared" si="3"/>
        <v>First NDC</v>
      </c>
      <c r="H41" s="350" t="s">
        <v>499</v>
      </c>
      <c r="I41" s="351">
        <v>42634</v>
      </c>
      <c r="J41" s="352" t="s">
        <v>500</v>
      </c>
      <c r="K41" s="320" t="str" cm="1">
        <f t="array" ref="K41">IF(ISNUMBER(MATCH("Transport sector mitigation target", _xlfn._xlws.FILTER(Targets!H:H, Targets!A:A =A41), 0)), "yes", "no")</f>
        <v>no</v>
      </c>
      <c r="L41" s="43" t="str">
        <f>IF(K41="no", "No transport target", IF(AND(COUNTIFS(Targets!A:A, A41, Targets!H:H, "Transport sector mitigation target", Targets!J:J, "GHG") &gt; 0, COUNTIFS(Targets!A:A, A41, Targets!H:H, "Transport sector mitigation target", Targets!J:J, "Non GHG") &gt; 0), "GHG and non-GHG target", IF(COUNTIFS(Targets!A:A, A41, Targets!H:H, "Transport sector mitigation target", Targets!J:J, "GHG") &gt; 0, "GHG target", IF(COUNTIFS(Targets!A:A, A41, Targets!H:H, "Transport sector mitigation target", Targets!J:J, "Non GHG") &gt; 0, "non-GHG target", ""))))</f>
        <v>No transport target</v>
      </c>
      <c r="M41" s="43" t="str">
        <f>IF(K41="no","No transport target",IF(L41="non-GHG target","No GHG transport target",IF(AND(COUNTIFS(Targets!A:A,A41,Targets!H:H,"Transport sector mitigation target",Targets!J:J,"GHG",Targets!L:L,"Conditional")&gt;0,COUNTIFS(Targets!A:A,A41,Targets!H:H,"Transport sector mitigation target",Targets!J:J,"GHG",Targets!L:L,"Unconditional")&gt;0),"GHG unconditional and conditional",IF(COUNTIFS(Targets!A:A,A41,Targets!H:H,"Transport sector mitigation target",Targets!J:J,"GHG",Targets!L:L,"Conditional")&gt;0,"GHG conditional only",IF(COUNTIFS(Targets!A:A,A41,Targets!H:H,"Transport sector mitigation target",Targets!J:J,"GHG",Targets!L:L,"Unconditional")&gt;0,"GHG unconditional only",IF(COUNTIFS(Targets!A:A,A41,Targets!H:H,"Transport sector mitigation target",Targets!J:J,"GHG",Targets!L:L,"Unclear conditionality")&gt;0,"Conditionality unclear",""))))))</f>
        <v>No transport target</v>
      </c>
      <c r="N41" s="43" t="str" cm="1">
        <f t="array" ref="N41">IF(ISNUMBER(MATCH("Transport sector adaptation target", _xlfn._xlws.FILTER(Targets!H:H, Targets!A:A =A41), 0)), "yes", "no")</f>
        <v>no</v>
      </c>
      <c r="O41" s="43" t="str">
        <f>IF(ISNA(MATCH(A41, Mitigation!A:A, 0)), "no", "yes")</f>
        <v>no</v>
      </c>
      <c r="P41" s="43" t="str">
        <f>IF(ISNA(MATCH(A41, Adaptation!A:A, 0)), "no", "yes")</f>
        <v>no</v>
      </c>
      <c r="Q41" s="43" t="str">
        <f>IF(ISNA(MATCH(A41, Benefits!A:A, 0)), "no", "yes")</f>
        <v>no</v>
      </c>
      <c r="R41" s="43"/>
      <c r="S41" s="43"/>
      <c r="T41" s="43" t="s">
        <v>501</v>
      </c>
      <c r="U41" s="312" t="s">
        <v>544</v>
      </c>
      <c r="V41" s="233" t="str">
        <f>VLOOKUP(Table1[[#This Row],[Country Code]],Table29[],3,FALSE)</f>
        <v>Non-Annex I</v>
      </c>
      <c r="W41" s="233" t="str">
        <f>VLOOKUP(Table1[[#This Row],[Country Code]],Table29[],4,FALSE)</f>
        <v>Europe</v>
      </c>
      <c r="X41" s="233" t="str">
        <f>VLOOKUP(Table1[[#This Row],[Country Code]],Table29[],5,FALSE)</f>
        <v>Middle-income</v>
      </c>
      <c r="Y41" s="43"/>
      <c r="Z41" s="43"/>
      <c r="AC41" t="s">
        <v>144</v>
      </c>
      <c r="AD41" t="s">
        <v>498</v>
      </c>
      <c r="AE41" t="s">
        <v>539</v>
      </c>
    </row>
    <row r="42" spans="1:31" ht="15" customHeight="1" x14ac:dyDescent="0.25">
      <c r="A42" s="360">
        <v>17513</v>
      </c>
      <c r="B42" s="176" t="s">
        <v>67</v>
      </c>
      <c r="C42" s="243" t="str">
        <f>VLOOKUP(Table1[[#This Row],[Country Code]],Table29[],2,FALSE)</f>
        <v>Antigua and Barbuda</v>
      </c>
      <c r="D42" s="243" t="str">
        <f t="shared" si="2"/>
        <v>Good</v>
      </c>
      <c r="E42" s="176" t="s">
        <v>71</v>
      </c>
      <c r="F42" s="43" t="s">
        <v>498</v>
      </c>
      <c r="G42" s="43" t="str">
        <f t="shared" si="3"/>
        <v>First NDC</v>
      </c>
      <c r="H42" s="350" t="s">
        <v>499</v>
      </c>
      <c r="I42" s="351">
        <v>42634</v>
      </c>
      <c r="J42" s="320" t="s">
        <v>500</v>
      </c>
      <c r="K42" s="320" t="str" cm="1">
        <f t="array" ref="K42">IF(ISNUMBER(MATCH("Transport sector mitigation target", _xlfn._xlws.FILTER(Targets!H:H, Targets!A:A =A42), 0)), "yes", "no")</f>
        <v>yes</v>
      </c>
      <c r="L42" s="43" t="str">
        <f>IF(K42="no", "No transport target", IF(AND(COUNTIFS(Targets!A:A, A42, Targets!H:H, "Transport sector mitigation target", Targets!J:J, "GHG") &gt; 0, COUNTIFS(Targets!A:A, A42, Targets!H:H, "Transport sector mitigation target", Targets!J:J, "Non GHG") &gt; 0), "GHG and non-GHG target", IF(COUNTIFS(Targets!A:A, A42, Targets!H:H, "Transport sector mitigation target", Targets!J:J, "GHG") &gt; 0, "GHG target", IF(COUNTIFS(Targets!A:A, A42, Targets!H:H, "Transport sector mitigation target", Targets!J:J, "Non GHG") &gt; 0, "non-GHG target", ""))))</f>
        <v>non-GHG target</v>
      </c>
      <c r="M42" s="43" t="str">
        <f>IF(K42="no","No transport target",IF(L42="non-GHG target","No GHG transport target",IF(AND(COUNTIFS(Targets!A:A,A42,Targets!H:H,"Transport sector mitigation target",Targets!J:J,"GHG",Targets!L:L,"Conditional")&gt;0,COUNTIFS(Targets!A:A,A42,Targets!H:H,"Transport sector mitigation target",Targets!J:J,"GHG",Targets!L:L,"Unconditional")&gt;0),"GHG unconditional and conditional",IF(COUNTIFS(Targets!A:A,A42,Targets!H:H,"Transport sector mitigation target",Targets!J:J,"GHG",Targets!L:L,"Conditional")&gt;0,"GHG conditional only",IF(COUNTIFS(Targets!A:A,A42,Targets!H:H,"Transport sector mitigation target",Targets!J:J,"GHG",Targets!L:L,"Unconditional")&gt;0,"GHG unconditional only",IF(COUNTIFS(Targets!A:A,A42,Targets!H:H,"Transport sector mitigation target",Targets!J:J,"GHG",Targets!L:L,"Unclear conditionality")&gt;0,"Conditionality unclear",""))))))</f>
        <v>No GHG transport target</v>
      </c>
      <c r="N42" s="43" t="str" cm="1">
        <f t="array" ref="N42">IF(ISNUMBER(MATCH("Transport sector adaptation target", _xlfn._xlws.FILTER(Targets!H:H, Targets!A:A =A42), 0)), "yes", "no")</f>
        <v>no</v>
      </c>
      <c r="O42" s="43" t="str">
        <f>IF(ISNA(MATCH(A42, Mitigation!A:A, 0)), "no", "yes")</f>
        <v>yes</v>
      </c>
      <c r="P42" s="43" t="str">
        <f>IF(ISNA(MATCH(A42, Adaptation!A:A, 0)), "no", "yes")</f>
        <v>yes</v>
      </c>
      <c r="Q42" s="43" t="str">
        <f>IF(ISNA(MATCH(A42, Benefits!A:A, 0)), "no", "yes")</f>
        <v>no</v>
      </c>
      <c r="R42" s="43"/>
      <c r="S42" s="43"/>
      <c r="T42" s="43" t="s">
        <v>501</v>
      </c>
      <c r="U42" s="312" t="s">
        <v>545</v>
      </c>
      <c r="V42" s="233" t="str">
        <f>VLOOKUP(Table1[[#This Row],[Country Code]],Table29[],3,FALSE)</f>
        <v>Non-Annex I</v>
      </c>
      <c r="W42" s="233" t="str">
        <f>VLOOKUP(Table1[[#This Row],[Country Code]],Table29[],4,FALSE)</f>
        <v>Latin America and the Caribbean</v>
      </c>
      <c r="X42" s="233" t="str">
        <f>VLOOKUP(Table1[[#This Row],[Country Code]],Table29[],5,FALSE)</f>
        <v>High-income</v>
      </c>
      <c r="Y42" s="43"/>
      <c r="Z42" s="43"/>
      <c r="AC42" t="s">
        <v>546</v>
      </c>
      <c r="AD42" t="s">
        <v>498</v>
      </c>
      <c r="AE42" t="s">
        <v>526</v>
      </c>
    </row>
    <row r="43" spans="1:31" ht="15" customHeight="1" x14ac:dyDescent="0.25">
      <c r="A43" s="360">
        <v>17527</v>
      </c>
      <c r="B43" s="176" t="s">
        <v>95</v>
      </c>
      <c r="C43" s="243" t="str">
        <f>VLOOKUP(Table1[[#This Row],[Country Code]],Table29[],2,FALSE)</f>
        <v>Belarus</v>
      </c>
      <c r="D43" s="243" t="str">
        <f t="shared" si="2"/>
        <v>Good</v>
      </c>
      <c r="E43" s="176" t="s">
        <v>71</v>
      </c>
      <c r="F43" s="43" t="s">
        <v>498</v>
      </c>
      <c r="G43" s="43" t="str">
        <f t="shared" si="3"/>
        <v>First NDC</v>
      </c>
      <c r="H43" s="43" t="s">
        <v>499</v>
      </c>
      <c r="I43" s="351">
        <v>42634</v>
      </c>
      <c r="J43" s="320" t="s">
        <v>500</v>
      </c>
      <c r="K43" s="320" t="str" cm="1">
        <f t="array" ref="K43">IF(ISNUMBER(MATCH("Transport sector mitigation target", _xlfn._xlws.FILTER(Targets!H:H, Targets!A:A =A43), 0)), "yes", "no")</f>
        <v>no</v>
      </c>
      <c r="L43" s="43" t="str">
        <f>IF(K43="no", "No transport target", IF(AND(COUNTIFS(Targets!A:A, A43, Targets!H:H, "Transport sector mitigation target", Targets!J:J, "GHG") &gt; 0, COUNTIFS(Targets!A:A, A43, Targets!H:H, "Transport sector mitigation target", Targets!J:J, "Non GHG") &gt; 0), "GHG and non-GHG target", IF(COUNTIFS(Targets!A:A, A43, Targets!H:H, "Transport sector mitigation target", Targets!J:J, "GHG") &gt; 0, "GHG target", IF(COUNTIFS(Targets!A:A, A43, Targets!H:H, "Transport sector mitigation target", Targets!J:J, "Non GHG") &gt; 0, "non-GHG target", ""))))</f>
        <v>No transport target</v>
      </c>
      <c r="M43" s="43" t="str">
        <f>IF(K43="no","No transport target",IF(L43="non-GHG target","No GHG transport target",IF(AND(COUNTIFS(Targets!A:A,A43,Targets!H:H,"Transport sector mitigation target",Targets!J:J,"GHG",Targets!L:L,"Conditional")&gt;0,COUNTIFS(Targets!A:A,A43,Targets!H:H,"Transport sector mitigation target",Targets!J:J,"GHG",Targets!L:L,"Unconditional")&gt;0),"GHG unconditional and conditional",IF(COUNTIFS(Targets!A:A,A43,Targets!H:H,"Transport sector mitigation target",Targets!J:J,"GHG",Targets!L:L,"Conditional")&gt;0,"GHG conditional only",IF(COUNTIFS(Targets!A:A,A43,Targets!H:H,"Transport sector mitigation target",Targets!J:J,"GHG",Targets!L:L,"Unconditional")&gt;0,"GHG unconditional only",IF(COUNTIFS(Targets!A:A,A43,Targets!H:H,"Transport sector mitigation target",Targets!J:J,"GHG",Targets!L:L,"Unclear conditionality")&gt;0,"Conditionality unclear",""))))))</f>
        <v>No transport target</v>
      </c>
      <c r="N43" s="43" t="str" cm="1">
        <f t="array" ref="N43">IF(ISNUMBER(MATCH("Transport sector adaptation target", _xlfn._xlws.FILTER(Targets!H:H, Targets!A:A =A43), 0)), "yes", "no")</f>
        <v>no</v>
      </c>
      <c r="O43" s="43" t="str">
        <f>IF(ISNA(MATCH(A43, Mitigation!A:A, 0)), "no", "yes")</f>
        <v>no</v>
      </c>
      <c r="P43" s="43" t="str">
        <f>IF(ISNA(MATCH(A43, Adaptation!A:A, 0)), "no", "yes")</f>
        <v>yes</v>
      </c>
      <c r="Q43" s="43" t="str">
        <f>IF(ISNA(MATCH(A43, Benefits!A:A, 0)), "no", "yes")</f>
        <v>no</v>
      </c>
      <c r="R43" s="43"/>
      <c r="S43" s="43"/>
      <c r="T43" s="43" t="s">
        <v>501</v>
      </c>
      <c r="U43" s="312" t="s">
        <v>547</v>
      </c>
      <c r="V43" s="233" t="str">
        <f>VLOOKUP(Table1[[#This Row],[Country Code]],Table29[],3,FALSE)</f>
        <v>Annex I</v>
      </c>
      <c r="W43" s="233" t="str">
        <f>VLOOKUP(Table1[[#This Row],[Country Code]],Table29[],4,FALSE)</f>
        <v>Europe</v>
      </c>
      <c r="X43" s="233" t="str">
        <f>VLOOKUP(Table1[[#This Row],[Country Code]],Table29[],5,FALSE)</f>
        <v>Middle-income</v>
      </c>
      <c r="Y43" s="43"/>
      <c r="Z43" s="43"/>
      <c r="AC43" t="s">
        <v>169</v>
      </c>
      <c r="AD43" t="s">
        <v>498</v>
      </c>
      <c r="AE43" t="s">
        <v>526</v>
      </c>
    </row>
    <row r="44" spans="1:31" ht="15" customHeight="1" x14ac:dyDescent="0.25">
      <c r="A44" s="360">
        <v>17538</v>
      </c>
      <c r="B44" s="176" t="s">
        <v>111</v>
      </c>
      <c r="C44" s="243" t="str">
        <f>VLOOKUP(Table1[[#This Row],[Country Code]],Table29[],2,FALSE)</f>
        <v>Brazil</v>
      </c>
      <c r="D44" s="243" t="str">
        <f t="shared" si="2"/>
        <v>Good</v>
      </c>
      <c r="E44" s="176" t="s">
        <v>71</v>
      </c>
      <c r="F44" s="43" t="s">
        <v>498</v>
      </c>
      <c r="G44" s="43" t="str">
        <f t="shared" si="3"/>
        <v>First NDC</v>
      </c>
      <c r="H44" s="43" t="s">
        <v>499</v>
      </c>
      <c r="I44" s="351">
        <v>42634</v>
      </c>
      <c r="J44" s="320" t="s">
        <v>500</v>
      </c>
      <c r="K44" s="320" t="str" cm="1">
        <f t="array" ref="K44">IF(ISNUMBER(MATCH("Transport sector mitigation target", _xlfn._xlws.FILTER(Targets!H:H, Targets!A:A =A44), 0)), "yes", "no")</f>
        <v>no</v>
      </c>
      <c r="L44" s="43" t="str">
        <f>IF(K44="no", "No transport target", IF(AND(COUNTIFS(Targets!A:A, A44, Targets!H:H, "Transport sector mitigation target", Targets!J:J, "GHG") &gt; 0, COUNTIFS(Targets!A:A, A44, Targets!H:H, "Transport sector mitigation target", Targets!J:J, "Non GHG") &gt; 0), "GHG and non-GHG target", IF(COUNTIFS(Targets!A:A, A44, Targets!H:H, "Transport sector mitigation target", Targets!J:J, "GHG") &gt; 0, "GHG target", IF(COUNTIFS(Targets!A:A, A44, Targets!H:H, "Transport sector mitigation target", Targets!J:J, "Non GHG") &gt; 0, "non-GHG target", ""))))</f>
        <v>No transport target</v>
      </c>
      <c r="M44" s="43" t="str">
        <f>IF(K44="no","No transport target",IF(L44="non-GHG target","No GHG transport target",IF(AND(COUNTIFS(Targets!A:A,A44,Targets!H:H,"Transport sector mitigation target",Targets!J:J,"GHG",Targets!L:L,"Conditional")&gt;0,COUNTIFS(Targets!A:A,A44,Targets!H:H,"Transport sector mitigation target",Targets!J:J,"GHG",Targets!L:L,"Unconditional")&gt;0),"GHG unconditional and conditional",IF(COUNTIFS(Targets!A:A,A44,Targets!H:H,"Transport sector mitigation target",Targets!J:J,"GHG",Targets!L:L,"Conditional")&gt;0,"GHG conditional only",IF(COUNTIFS(Targets!A:A,A44,Targets!H:H,"Transport sector mitigation target",Targets!J:J,"GHG",Targets!L:L,"Unconditional")&gt;0,"GHG unconditional only",IF(COUNTIFS(Targets!A:A,A44,Targets!H:H,"Transport sector mitigation target",Targets!J:J,"GHG",Targets!L:L,"Unclear conditionality")&gt;0,"Conditionality unclear",""))))))</f>
        <v>No transport target</v>
      </c>
      <c r="N44" s="43" t="str" cm="1">
        <f t="array" ref="N44">IF(ISNUMBER(MATCH("Transport sector adaptation target", _xlfn._xlws.FILTER(Targets!H:H, Targets!A:A =A44), 0)), "yes", "no")</f>
        <v>no</v>
      </c>
      <c r="O44" s="43" t="str">
        <f>IF(ISNA(MATCH(A44, Mitigation!A:A, 0)), "no", "yes")</f>
        <v>yes</v>
      </c>
      <c r="P44" s="43" t="str">
        <f>IF(ISNA(MATCH(A44, Adaptation!A:A, 0)), "no", "yes")</f>
        <v>no</v>
      </c>
      <c r="Q44" s="43" t="str">
        <f>IF(ISNA(MATCH(A44, Benefits!A:A, 0)), "no", "yes")</f>
        <v>no</v>
      </c>
      <c r="R44" s="43"/>
      <c r="S44" s="43"/>
      <c r="T44" s="43" t="s">
        <v>501</v>
      </c>
      <c r="U44" s="312" t="s">
        <v>548</v>
      </c>
      <c r="V44" s="233" t="str">
        <f>VLOOKUP(Table1[[#This Row],[Country Code]],Table29[],3,FALSE)</f>
        <v>Non-Annex I</v>
      </c>
      <c r="W44" s="233" t="str">
        <f>VLOOKUP(Table1[[#This Row],[Country Code]],Table29[],4,FALSE)</f>
        <v>Latin America and the Caribbean</v>
      </c>
      <c r="X44" s="233" t="str">
        <f>VLOOKUP(Table1[[#This Row],[Country Code]],Table29[],5,FALSE)</f>
        <v>Middle-income</v>
      </c>
      <c r="Y44" s="43"/>
      <c r="Z44" s="43"/>
      <c r="AC44" t="s">
        <v>169</v>
      </c>
      <c r="AD44" t="s">
        <v>528</v>
      </c>
      <c r="AE44" t="s">
        <v>526</v>
      </c>
    </row>
    <row r="45" spans="1:31" ht="15" customHeight="1" x14ac:dyDescent="0.25">
      <c r="A45" s="360">
        <v>17524</v>
      </c>
      <c r="B45" s="176" t="s">
        <v>91</v>
      </c>
      <c r="C45" s="243" t="str">
        <f>VLOOKUP(Table1[[#This Row],[Country Code]],Table29[],2,FALSE)</f>
        <v>Bangladesh</v>
      </c>
      <c r="D45" s="243" t="str">
        <f t="shared" si="2"/>
        <v>Good</v>
      </c>
      <c r="E45" s="176" t="s">
        <v>71</v>
      </c>
      <c r="F45" s="43" t="s">
        <v>498</v>
      </c>
      <c r="G45" s="43" t="str">
        <f t="shared" si="3"/>
        <v>First NDC</v>
      </c>
      <c r="H45" s="43" t="s">
        <v>499</v>
      </c>
      <c r="I45" s="351">
        <v>42634</v>
      </c>
      <c r="J45" s="320" t="s">
        <v>500</v>
      </c>
      <c r="K45" s="320" t="str" cm="1">
        <f t="array" ref="K45">IF(ISNUMBER(MATCH("Transport sector mitigation target", _xlfn._xlws.FILTER(Targets!H:H, Targets!A:A =A45), 0)), "yes", "no")</f>
        <v>yes</v>
      </c>
      <c r="L45" s="43" t="str">
        <f>IF(K45="no", "No transport target", IF(AND(COUNTIFS(Targets!A:A, A45, Targets!H:H, "Transport sector mitigation target", Targets!J:J, "GHG") &gt; 0, COUNTIFS(Targets!A:A, A45, Targets!H:H, "Transport sector mitigation target", Targets!J:J, "Non GHG") &gt; 0), "GHG and non-GHG target", IF(COUNTIFS(Targets!A:A, A45, Targets!H:H, "Transport sector mitigation target", Targets!J:J, "GHG") &gt; 0, "GHG target", IF(COUNTIFS(Targets!A:A, A45, Targets!H:H, "Transport sector mitigation target", Targets!J:J, "Non GHG") &gt; 0, "non-GHG target", ""))))</f>
        <v>GHG and non-GHG target</v>
      </c>
      <c r="M45" s="43" t="str">
        <f>IF(K45="no","No transport target",IF(L45="non-GHG target","No GHG transport target",IF(AND(COUNTIFS(Targets!A:A,A45,Targets!H:H,"Transport sector mitigation target",Targets!J:J,"GHG",Targets!L:L,"Conditional")&gt;0,COUNTIFS(Targets!A:A,A45,Targets!H:H,"Transport sector mitigation target",Targets!J:J,"GHG",Targets!L:L,"Unconditional")&gt;0),"GHG unconditional and conditional",IF(COUNTIFS(Targets!A:A,A45,Targets!H:H,"Transport sector mitigation target",Targets!J:J,"GHG",Targets!L:L,"Conditional")&gt;0,"GHG conditional only",IF(COUNTIFS(Targets!A:A,A45,Targets!H:H,"Transport sector mitigation target",Targets!J:J,"GHG",Targets!L:L,"Unconditional")&gt;0,"GHG unconditional only",IF(COUNTIFS(Targets!A:A,A45,Targets!H:H,"Transport sector mitigation target",Targets!J:J,"GHG",Targets!L:L,"Unclear conditionality")&gt;0,"Conditionality unclear",""))))))</f>
        <v>GHG unconditional and conditional</v>
      </c>
      <c r="N45" s="43" t="str" cm="1">
        <f t="array" ref="N45">IF(ISNUMBER(MATCH("Transport sector adaptation target", _xlfn._xlws.FILTER(Targets!H:H, Targets!A:A =A45), 0)), "yes", "no")</f>
        <v>no</v>
      </c>
      <c r="O45" s="43" t="str">
        <f>IF(ISNA(MATCH(A45, Mitigation!A:A, 0)), "no", "yes")</f>
        <v>yes</v>
      </c>
      <c r="P45" s="43" t="str">
        <f>IF(ISNA(MATCH(A45, Adaptation!A:A, 0)), "no", "yes")</f>
        <v>yes</v>
      </c>
      <c r="Q45" s="43" t="str">
        <f>IF(ISNA(MATCH(A45, Benefits!A:A, 0)), "no", "yes")</f>
        <v>yes</v>
      </c>
      <c r="R45" s="43"/>
      <c r="S45" s="43"/>
      <c r="T45" s="43" t="s">
        <v>501</v>
      </c>
      <c r="U45" s="312" t="s">
        <v>549</v>
      </c>
      <c r="V45" s="233" t="str">
        <f>VLOOKUP(Table1[[#This Row],[Country Code]],Table29[],3,FALSE)</f>
        <v>Non-Annex I</v>
      </c>
      <c r="W45" s="233" t="str">
        <f>VLOOKUP(Table1[[#This Row],[Country Code]],Table29[],4,FALSE)</f>
        <v>Asia</v>
      </c>
      <c r="X45" s="233" t="str">
        <f>VLOOKUP(Table1[[#This Row],[Country Code]],Table29[],5,FALSE)</f>
        <v>Middle-income</v>
      </c>
      <c r="Y45" s="43"/>
      <c r="Z45" s="43"/>
      <c r="AC45" t="s">
        <v>178</v>
      </c>
      <c r="AD45" t="s">
        <v>528</v>
      </c>
      <c r="AE45" t="s">
        <v>526</v>
      </c>
    </row>
    <row r="46" spans="1:31" ht="15" customHeight="1" x14ac:dyDescent="0.25">
      <c r="A46" s="360">
        <v>17604</v>
      </c>
      <c r="B46" s="176" t="s">
        <v>205</v>
      </c>
      <c r="C46" s="243" t="str">
        <f>VLOOKUP(Table1[[#This Row],[Country Code]],Table29[],2,FALSE)</f>
        <v>Ghana</v>
      </c>
      <c r="D46" s="243" t="str">
        <f t="shared" si="2"/>
        <v>Good</v>
      </c>
      <c r="E46" s="176" t="s">
        <v>71</v>
      </c>
      <c r="F46" s="43" t="s">
        <v>498</v>
      </c>
      <c r="G46" s="43" t="str">
        <f t="shared" si="3"/>
        <v>First NDC</v>
      </c>
      <c r="H46" s="43" t="s">
        <v>499</v>
      </c>
      <c r="I46" s="351">
        <v>42634</v>
      </c>
      <c r="J46" s="320" t="s">
        <v>500</v>
      </c>
      <c r="K46" s="320" t="str" cm="1">
        <f t="array" ref="K46">IF(ISNUMBER(MATCH("Transport sector mitigation target", _xlfn._xlws.FILTER(Targets!H:H, Targets!A:A =A46), 0)), "yes", "no")</f>
        <v>no</v>
      </c>
      <c r="L46" s="43" t="str">
        <f>IF(K46="no", "No transport target", IF(AND(COUNTIFS(Targets!A:A, A46, Targets!H:H, "Transport sector mitigation target", Targets!J:J, "GHG") &gt; 0, COUNTIFS(Targets!A:A, A46, Targets!H:H, "Transport sector mitigation target", Targets!J:J, "Non GHG") &gt; 0), "GHG and non-GHG target", IF(COUNTIFS(Targets!A:A, A46, Targets!H:H, "Transport sector mitigation target", Targets!J:J, "GHG") &gt; 0, "GHG target", IF(COUNTIFS(Targets!A:A, A46, Targets!H:H, "Transport sector mitigation target", Targets!J:J, "Non GHG") &gt; 0, "non-GHG target", ""))))</f>
        <v>No transport target</v>
      </c>
      <c r="M46" s="43" t="str">
        <f>IF(K46="no","No transport target",IF(L46="non-GHG target","No GHG transport target",IF(AND(COUNTIFS(Targets!A:A,A46,Targets!H:H,"Transport sector mitigation target",Targets!J:J,"GHG",Targets!L:L,"Conditional")&gt;0,COUNTIFS(Targets!A:A,A46,Targets!H:H,"Transport sector mitigation target",Targets!J:J,"GHG",Targets!L:L,"Unconditional")&gt;0),"GHG unconditional and conditional",IF(COUNTIFS(Targets!A:A,A46,Targets!H:H,"Transport sector mitigation target",Targets!J:J,"GHG",Targets!L:L,"Conditional")&gt;0,"GHG conditional only",IF(COUNTIFS(Targets!A:A,A46,Targets!H:H,"Transport sector mitigation target",Targets!J:J,"GHG",Targets!L:L,"Unconditional")&gt;0,"GHG unconditional only",IF(COUNTIFS(Targets!A:A,A46,Targets!H:H,"Transport sector mitigation target",Targets!J:J,"GHG",Targets!L:L,"Unclear conditionality")&gt;0,"Conditionality unclear",""))))))</f>
        <v>No transport target</v>
      </c>
      <c r="N46" s="43" t="str" cm="1">
        <f t="array" ref="N46">IF(ISNUMBER(MATCH("Transport sector adaptation target", _xlfn._xlws.FILTER(Targets!H:H, Targets!A:A =A46), 0)), "yes", "no")</f>
        <v>no</v>
      </c>
      <c r="O46" s="43" t="str">
        <f>IF(ISNA(MATCH(A46, Mitigation!A:A, 0)), "no", "yes")</f>
        <v>yes</v>
      </c>
      <c r="P46" s="43" t="str">
        <f>IF(ISNA(MATCH(A46, Adaptation!A:A, 0)), "no", "yes")</f>
        <v>yes</v>
      </c>
      <c r="Q46" s="43" t="str">
        <f>IF(ISNA(MATCH(A46, Benefits!A:A, 0)), "no", "yes")</f>
        <v>no</v>
      </c>
      <c r="R46" s="43"/>
      <c r="S46" s="43"/>
      <c r="T46" s="43" t="s">
        <v>501</v>
      </c>
      <c r="U46" s="312" t="s">
        <v>550</v>
      </c>
      <c r="V46" s="233" t="str">
        <f>VLOOKUP(Table1[[#This Row],[Country Code]],Table29[],3,FALSE)</f>
        <v>Non-Annex I</v>
      </c>
      <c r="W46" s="233" t="str">
        <f>VLOOKUP(Table1[[#This Row],[Country Code]],Table29[],4,FALSE)</f>
        <v>Africa</v>
      </c>
      <c r="X46" s="233" t="str">
        <f>VLOOKUP(Table1[[#This Row],[Country Code]],Table29[],5,FALSE)</f>
        <v>Middle-income</v>
      </c>
      <c r="Y46" s="43"/>
      <c r="Z46" s="43"/>
      <c r="AC46" t="s">
        <v>188</v>
      </c>
      <c r="AD46" t="s">
        <v>498</v>
      </c>
      <c r="AE46" t="s">
        <v>526</v>
      </c>
    </row>
    <row r="47" spans="1:31" ht="15" customHeight="1" x14ac:dyDescent="0.25">
      <c r="A47" s="360">
        <v>17609</v>
      </c>
      <c r="B47" s="176" t="s">
        <v>213</v>
      </c>
      <c r="C47" s="243" t="str">
        <f>VLOOKUP(Table1[[#This Row],[Country Code]],Table29[],2,FALSE)</f>
        <v>Guinea</v>
      </c>
      <c r="D47" s="243" t="str">
        <f t="shared" si="2"/>
        <v>Good</v>
      </c>
      <c r="E47" s="176" t="s">
        <v>71</v>
      </c>
      <c r="F47" s="43" t="s">
        <v>498</v>
      </c>
      <c r="G47" s="43" t="str">
        <f t="shared" si="3"/>
        <v>First NDC</v>
      </c>
      <c r="H47" s="43" t="s">
        <v>499</v>
      </c>
      <c r="I47" s="351">
        <v>42634</v>
      </c>
      <c r="J47" s="320" t="s">
        <v>500</v>
      </c>
      <c r="K47" s="320" t="str" cm="1">
        <f t="array" ref="K47">IF(ISNUMBER(MATCH("Transport sector mitigation target", _xlfn._xlws.FILTER(Targets!H:H, Targets!A:A =A47), 0)), "yes", "no")</f>
        <v>no</v>
      </c>
      <c r="L47" s="43" t="str">
        <f>IF(K47="no", "No transport target", IF(AND(COUNTIFS(Targets!A:A, A47, Targets!H:H, "Transport sector mitigation target", Targets!J:J, "GHG") &gt; 0, COUNTIFS(Targets!A:A, A47, Targets!H:H, "Transport sector mitigation target", Targets!J:J, "Non GHG") &gt; 0), "GHG and non-GHG target", IF(COUNTIFS(Targets!A:A, A47, Targets!H:H, "Transport sector mitigation target", Targets!J:J, "GHG") &gt; 0, "GHG target", IF(COUNTIFS(Targets!A:A, A47, Targets!H:H, "Transport sector mitigation target", Targets!J:J, "Non GHG") &gt; 0, "non-GHG target", ""))))</f>
        <v>No transport target</v>
      </c>
      <c r="M47" s="43" t="str">
        <f>IF(K47="no","No transport target",IF(L47="non-GHG target","No GHG transport target",IF(AND(COUNTIFS(Targets!A:A,A47,Targets!H:H,"Transport sector mitigation target",Targets!J:J,"GHG",Targets!L:L,"Conditional")&gt;0,COUNTIFS(Targets!A:A,A47,Targets!H:H,"Transport sector mitigation target",Targets!J:J,"GHG",Targets!L:L,"Unconditional")&gt;0),"GHG unconditional and conditional",IF(COUNTIFS(Targets!A:A,A47,Targets!H:H,"Transport sector mitigation target",Targets!J:J,"GHG",Targets!L:L,"Conditional")&gt;0,"GHG conditional only",IF(COUNTIFS(Targets!A:A,A47,Targets!H:H,"Transport sector mitigation target",Targets!J:J,"GHG",Targets!L:L,"Unconditional")&gt;0,"GHG unconditional only",IF(COUNTIFS(Targets!A:A,A47,Targets!H:H,"Transport sector mitigation target",Targets!J:J,"GHG",Targets!L:L,"Unclear conditionality")&gt;0,"Conditionality unclear",""))))))</f>
        <v>No transport target</v>
      </c>
      <c r="N47" s="43" t="str" cm="1">
        <f t="array" ref="N47">IF(ISNUMBER(MATCH("Transport sector adaptation target", _xlfn._xlws.FILTER(Targets!H:H, Targets!A:A =A47), 0)), "yes", "no")</f>
        <v>no</v>
      </c>
      <c r="O47" s="43" t="str">
        <f>IF(ISNA(MATCH(A47, Mitigation!A:A, 0)), "no", "yes")</f>
        <v>yes</v>
      </c>
      <c r="P47" s="43" t="str">
        <f>IF(ISNA(MATCH(A47, Adaptation!A:A, 0)), "no", "yes")</f>
        <v>no</v>
      </c>
      <c r="Q47" s="43" t="str">
        <f>IF(ISNA(MATCH(A47, Benefits!A:A, 0)), "no", "yes")</f>
        <v>no</v>
      </c>
      <c r="R47" s="43"/>
      <c r="S47" s="43"/>
      <c r="T47" s="43" t="s">
        <v>501</v>
      </c>
      <c r="U47" s="312" t="s">
        <v>551</v>
      </c>
      <c r="V47" s="233" t="str">
        <f>VLOOKUP(Table1[[#This Row],[Country Code]],Table29[],3,FALSE)</f>
        <v>Non-Annex I</v>
      </c>
      <c r="W47" s="233" t="str">
        <f>VLOOKUP(Table1[[#This Row],[Country Code]],Table29[],4,FALSE)</f>
        <v>Africa</v>
      </c>
      <c r="X47" s="233" t="str">
        <f>VLOOKUP(Table1[[#This Row],[Country Code]],Table29[],5,FALSE)</f>
        <v>Low-income</v>
      </c>
      <c r="Y47" s="43"/>
      <c r="Z47" s="43"/>
      <c r="AC47" t="s">
        <v>190</v>
      </c>
      <c r="AD47" t="s">
        <v>528</v>
      </c>
      <c r="AE47" t="s">
        <v>526</v>
      </c>
    </row>
    <row r="48" spans="1:31" ht="15" customHeight="1" x14ac:dyDescent="0.25">
      <c r="A48" s="360">
        <v>17613</v>
      </c>
      <c r="B48" s="176" t="s">
        <v>221</v>
      </c>
      <c r="C48" s="243" t="str">
        <f>VLOOKUP(Table1[[#This Row],[Country Code]],Table29[],2,FALSE)</f>
        <v>Honduras</v>
      </c>
      <c r="D48" s="243" t="str">
        <f t="shared" si="2"/>
        <v>Good</v>
      </c>
      <c r="E48" s="176" t="s">
        <v>71</v>
      </c>
      <c r="F48" s="43" t="s">
        <v>498</v>
      </c>
      <c r="G48" s="43" t="str">
        <f t="shared" si="3"/>
        <v>First NDC</v>
      </c>
      <c r="H48" s="43" t="s">
        <v>499</v>
      </c>
      <c r="I48" s="351">
        <v>42634</v>
      </c>
      <c r="J48" s="320" t="s">
        <v>500</v>
      </c>
      <c r="K48" s="320" t="str" cm="1">
        <f t="array" ref="K48">IF(ISNUMBER(MATCH("Transport sector mitigation target", _xlfn._xlws.FILTER(Targets!H:H, Targets!A:A =A48), 0)), "yes", "no")</f>
        <v>no</v>
      </c>
      <c r="L48" s="43" t="str">
        <f>IF(K48="no", "No transport target", IF(AND(COUNTIFS(Targets!A:A, A48, Targets!H:H, "Transport sector mitigation target", Targets!J:J, "GHG") &gt; 0, COUNTIFS(Targets!A:A, A48, Targets!H:H, "Transport sector mitigation target", Targets!J:J, "Non GHG") &gt; 0), "GHG and non-GHG target", IF(COUNTIFS(Targets!A:A, A48, Targets!H:H, "Transport sector mitigation target", Targets!J:J, "GHG") &gt; 0, "GHG target", IF(COUNTIFS(Targets!A:A, A48, Targets!H:H, "Transport sector mitigation target", Targets!J:J, "Non GHG") &gt; 0, "non-GHG target", ""))))</f>
        <v>No transport target</v>
      </c>
      <c r="M48" s="43" t="str">
        <f>IF(K48="no","No transport target",IF(L48="non-GHG target","No GHG transport target",IF(AND(COUNTIFS(Targets!A:A,A48,Targets!H:H,"Transport sector mitigation target",Targets!J:J,"GHG",Targets!L:L,"Conditional")&gt;0,COUNTIFS(Targets!A:A,A48,Targets!H:H,"Transport sector mitigation target",Targets!J:J,"GHG",Targets!L:L,"Unconditional")&gt;0),"GHG unconditional and conditional",IF(COUNTIFS(Targets!A:A,A48,Targets!H:H,"Transport sector mitigation target",Targets!J:J,"GHG",Targets!L:L,"Conditional")&gt;0,"GHG conditional only",IF(COUNTIFS(Targets!A:A,A48,Targets!H:H,"Transport sector mitigation target",Targets!J:J,"GHG",Targets!L:L,"Unconditional")&gt;0,"GHG unconditional only",IF(COUNTIFS(Targets!A:A,A48,Targets!H:H,"Transport sector mitigation target",Targets!J:J,"GHG",Targets!L:L,"Unclear conditionality")&gt;0,"Conditionality unclear",""))))))</f>
        <v>No transport target</v>
      </c>
      <c r="N48" s="43" t="str" cm="1">
        <f t="array" ref="N48">IF(ISNUMBER(MATCH("Transport sector adaptation target", _xlfn._xlws.FILTER(Targets!H:H, Targets!A:A =A48), 0)), "yes", "no")</f>
        <v>no</v>
      </c>
      <c r="O48" s="43" t="str">
        <f>IF(ISNA(MATCH(A48, Mitigation!A:A, 0)), "no", "yes")</f>
        <v>no</v>
      </c>
      <c r="P48" s="43" t="str">
        <f>IF(ISNA(MATCH(A48, Adaptation!A:A, 0)), "no", "yes")</f>
        <v>no</v>
      </c>
      <c r="Q48" s="43" t="str">
        <f>IF(ISNA(MATCH(A48, Benefits!A:A, 0)), "no", "yes")</f>
        <v>no</v>
      </c>
      <c r="R48" s="43"/>
      <c r="S48" s="43"/>
      <c r="T48" s="43" t="s">
        <v>501</v>
      </c>
      <c r="U48" s="312" t="s">
        <v>552</v>
      </c>
      <c r="V48" s="233" t="str">
        <f>VLOOKUP(Table1[[#This Row],[Country Code]],Table29[],3,FALSE)</f>
        <v>Non-Annex I</v>
      </c>
      <c r="W48" s="233" t="str">
        <f>VLOOKUP(Table1[[#This Row],[Country Code]],Table29[],4,FALSE)</f>
        <v>Latin America and the Caribbean</v>
      </c>
      <c r="X48" s="233" t="str">
        <f>VLOOKUP(Table1[[#This Row],[Country Code]],Table29[],5,FALSE)</f>
        <v>Middle-income</v>
      </c>
      <c r="Y48" s="43"/>
      <c r="Z48" s="43"/>
      <c r="AC48" t="s">
        <v>192</v>
      </c>
      <c r="AD48" t="s">
        <v>528</v>
      </c>
      <c r="AE48" t="s">
        <v>526</v>
      </c>
    </row>
    <row r="49" spans="1:31" ht="15" customHeight="1" x14ac:dyDescent="0.25">
      <c r="A49" s="360">
        <v>17615</v>
      </c>
      <c r="B49" s="176" t="s">
        <v>225</v>
      </c>
      <c r="C49" s="243" t="str">
        <f>VLOOKUP(Table1[[#This Row],[Country Code]],Table29[],2,FALSE)</f>
        <v>Iceland</v>
      </c>
      <c r="D49" s="243" t="str">
        <f t="shared" si="2"/>
        <v>Good</v>
      </c>
      <c r="E49" s="176" t="s">
        <v>71</v>
      </c>
      <c r="F49" s="43" t="s">
        <v>498</v>
      </c>
      <c r="G49" s="43" t="str">
        <f t="shared" si="3"/>
        <v>First NDC</v>
      </c>
      <c r="H49" s="43" t="s">
        <v>499</v>
      </c>
      <c r="I49" s="351">
        <v>42634</v>
      </c>
      <c r="J49" s="320" t="s">
        <v>500</v>
      </c>
      <c r="K49" s="320" t="str" cm="1">
        <f t="array" ref="K49">IF(ISNUMBER(MATCH("Transport sector mitigation target", _xlfn._xlws.FILTER(Targets!H:H, Targets!A:A =A49), 0)), "yes", "no")</f>
        <v>no</v>
      </c>
      <c r="L49" s="43" t="str">
        <f>IF(K49="no", "No transport target", IF(AND(COUNTIFS(Targets!A:A, A49, Targets!H:H, "Transport sector mitigation target", Targets!J:J, "GHG") &gt; 0, COUNTIFS(Targets!A:A, A49, Targets!H:H, "Transport sector mitigation target", Targets!J:J, "Non GHG") &gt; 0), "GHG and non-GHG target", IF(COUNTIFS(Targets!A:A, A49, Targets!H:H, "Transport sector mitigation target", Targets!J:J, "GHG") &gt; 0, "GHG target", IF(COUNTIFS(Targets!A:A, A49, Targets!H:H, "Transport sector mitigation target", Targets!J:J, "Non GHG") &gt; 0, "non-GHG target", ""))))</f>
        <v>No transport target</v>
      </c>
      <c r="M49" s="43" t="str">
        <f>IF(K49="no","No transport target",IF(L49="non-GHG target","No GHG transport target",IF(AND(COUNTIFS(Targets!A:A,A49,Targets!H:H,"Transport sector mitigation target",Targets!J:J,"GHG",Targets!L:L,"Conditional")&gt;0,COUNTIFS(Targets!A:A,A49,Targets!H:H,"Transport sector mitigation target",Targets!J:J,"GHG",Targets!L:L,"Unconditional")&gt;0),"GHG unconditional and conditional",IF(COUNTIFS(Targets!A:A,A49,Targets!H:H,"Transport sector mitigation target",Targets!J:J,"GHG",Targets!L:L,"Conditional")&gt;0,"GHG conditional only",IF(COUNTIFS(Targets!A:A,A49,Targets!H:H,"Transport sector mitigation target",Targets!J:J,"GHG",Targets!L:L,"Unconditional")&gt;0,"GHG unconditional only",IF(COUNTIFS(Targets!A:A,A49,Targets!H:H,"Transport sector mitigation target",Targets!J:J,"GHG",Targets!L:L,"Unclear conditionality")&gt;0,"Conditionality unclear",""))))))</f>
        <v>No transport target</v>
      </c>
      <c r="N49" s="43" t="str" cm="1">
        <f t="array" ref="N49">IF(ISNUMBER(MATCH("Transport sector adaptation target", _xlfn._xlws.FILTER(Targets!H:H, Targets!A:A =A49), 0)), "yes", "no")</f>
        <v>no</v>
      </c>
      <c r="O49" s="43" t="str">
        <f>IF(ISNA(MATCH(A49, Mitigation!A:A, 0)), "no", "yes")</f>
        <v>no</v>
      </c>
      <c r="P49" s="43" t="str">
        <f>IF(ISNA(MATCH(A49, Adaptation!A:A, 0)), "no", "yes")</f>
        <v>no</v>
      </c>
      <c r="Q49" s="43" t="str">
        <f>IF(ISNA(MATCH(A49, Benefits!A:A, 0)), "no", "yes")</f>
        <v>no</v>
      </c>
      <c r="R49" s="43"/>
      <c r="S49" s="43"/>
      <c r="T49" s="43" t="s">
        <v>501</v>
      </c>
      <c r="U49" s="312" t="s">
        <v>553</v>
      </c>
      <c r="V49" s="233" t="str">
        <f>VLOOKUP(Table1[[#This Row],[Country Code]],Table29[],3,FALSE)</f>
        <v>Annex I</v>
      </c>
      <c r="W49" s="233" t="str">
        <f>VLOOKUP(Table1[[#This Row],[Country Code]],Table29[],4,FALSE)</f>
        <v>Europe</v>
      </c>
      <c r="X49" s="233" t="str">
        <f>VLOOKUP(Table1[[#This Row],[Country Code]],Table29[],5,FALSE)</f>
        <v>High-income</v>
      </c>
      <c r="Y49" s="43"/>
      <c r="Z49" s="43"/>
      <c r="AC49" t="s">
        <v>198</v>
      </c>
      <c r="AD49" t="s">
        <v>498</v>
      </c>
      <c r="AE49" t="s">
        <v>526</v>
      </c>
    </row>
    <row r="50" spans="1:31" ht="15" customHeight="1" x14ac:dyDescent="0.25">
      <c r="A50" s="360">
        <v>17633</v>
      </c>
      <c r="B50" s="176" t="s">
        <v>253</v>
      </c>
      <c r="C50" s="243" t="str">
        <f>VLOOKUP(Table1[[#This Row],[Country Code]],Table29[],2,FALSE)</f>
        <v>Kiribati</v>
      </c>
      <c r="D50" s="243" t="str">
        <f t="shared" si="2"/>
        <v>Good</v>
      </c>
      <c r="E50" s="176" t="s">
        <v>71</v>
      </c>
      <c r="F50" s="43" t="s">
        <v>498</v>
      </c>
      <c r="G50" s="43" t="str">
        <f t="shared" si="3"/>
        <v>First NDC</v>
      </c>
      <c r="H50" s="43" t="s">
        <v>499</v>
      </c>
      <c r="I50" s="351">
        <v>42634</v>
      </c>
      <c r="J50" s="352" t="s">
        <v>500</v>
      </c>
      <c r="K50" s="320" t="str" cm="1">
        <f t="array" ref="K50">IF(ISNUMBER(MATCH("Transport sector mitigation target", _xlfn._xlws.FILTER(Targets!H:H, Targets!A:A =A50), 0)), "yes", "no")</f>
        <v>no</v>
      </c>
      <c r="L50" s="43" t="str">
        <f>IF(K50="no", "No transport target", IF(AND(COUNTIFS(Targets!A:A, A50, Targets!H:H, "Transport sector mitigation target", Targets!J:J, "GHG") &gt; 0, COUNTIFS(Targets!A:A, A50, Targets!H:H, "Transport sector mitigation target", Targets!J:J, "Non GHG") &gt; 0), "GHG and non-GHG target", IF(COUNTIFS(Targets!A:A, A50, Targets!H:H, "Transport sector mitigation target", Targets!J:J, "GHG") &gt; 0, "GHG target", IF(COUNTIFS(Targets!A:A, A50, Targets!H:H, "Transport sector mitigation target", Targets!J:J, "Non GHG") &gt; 0, "non-GHG target", ""))))</f>
        <v>No transport target</v>
      </c>
      <c r="M50" s="43" t="str">
        <f>IF(K50="no","No transport target",IF(L50="non-GHG target","No GHG transport target",IF(AND(COUNTIFS(Targets!A:A,A50,Targets!H:H,"Transport sector mitigation target",Targets!J:J,"GHG",Targets!L:L,"Conditional")&gt;0,COUNTIFS(Targets!A:A,A50,Targets!H:H,"Transport sector mitigation target",Targets!J:J,"GHG",Targets!L:L,"Unconditional")&gt;0),"GHG unconditional and conditional",IF(COUNTIFS(Targets!A:A,A50,Targets!H:H,"Transport sector mitigation target",Targets!J:J,"GHG",Targets!L:L,"Conditional")&gt;0,"GHG conditional only",IF(COUNTIFS(Targets!A:A,A50,Targets!H:H,"Transport sector mitigation target",Targets!J:J,"GHG",Targets!L:L,"Unconditional")&gt;0,"GHG unconditional only",IF(COUNTIFS(Targets!A:A,A50,Targets!H:H,"Transport sector mitigation target",Targets!J:J,"GHG",Targets!L:L,"Unclear conditionality")&gt;0,"Conditionality unclear",""))))))</f>
        <v>No transport target</v>
      </c>
      <c r="N50" s="43" t="str" cm="1">
        <f t="array" ref="N50">IF(ISNUMBER(MATCH("Transport sector adaptation target", _xlfn._xlws.FILTER(Targets!H:H, Targets!A:A =A50), 0)), "yes", "no")</f>
        <v>no</v>
      </c>
      <c r="O50" s="43" t="str">
        <f>IF(ISNA(MATCH(A50, Mitigation!A:A, 0)), "no", "yes")</f>
        <v>yes</v>
      </c>
      <c r="P50" s="43" t="str">
        <f>IF(ISNA(MATCH(A50, Adaptation!A:A, 0)), "no", "yes")</f>
        <v>no</v>
      </c>
      <c r="Q50" s="43" t="str">
        <f>IF(ISNA(MATCH(A50, Benefits!A:A, 0)), "no", "yes")</f>
        <v>no</v>
      </c>
      <c r="R50" s="43"/>
      <c r="S50" s="43"/>
      <c r="T50" s="43" t="s">
        <v>501</v>
      </c>
      <c r="U50" s="312" t="s">
        <v>554</v>
      </c>
      <c r="V50" s="233" t="str">
        <f>VLOOKUP(Table1[[#This Row],[Country Code]],Table29[],3,FALSE)</f>
        <v>Non-Annex I</v>
      </c>
      <c r="W50" s="233" t="str">
        <f>VLOOKUP(Table1[[#This Row],[Country Code]],Table29[],4,FALSE)</f>
        <v>Oceania</v>
      </c>
      <c r="X50" s="233" t="str">
        <f>VLOOKUP(Table1[[#This Row],[Country Code]],Table29[],5,FALSE)</f>
        <v>Middle-income</v>
      </c>
      <c r="Y50" s="43"/>
      <c r="Z50" s="43"/>
      <c r="AC50" s="4" t="s">
        <v>200</v>
      </c>
      <c r="AD50" s="4" t="s">
        <v>555</v>
      </c>
      <c r="AE50" t="s">
        <v>539</v>
      </c>
    </row>
    <row r="51" spans="1:31" ht="15" customHeight="1" x14ac:dyDescent="0.25">
      <c r="A51" s="360">
        <v>17648</v>
      </c>
      <c r="B51" s="176" t="s">
        <v>280</v>
      </c>
      <c r="C51" s="243" t="str">
        <f>VLOOKUP(Table1[[#This Row],[Country Code]],Table29[],2,FALSE)</f>
        <v>Madagascar</v>
      </c>
      <c r="D51" s="243" t="str">
        <f t="shared" si="2"/>
        <v>Good</v>
      </c>
      <c r="E51" s="176" t="s">
        <v>71</v>
      </c>
      <c r="F51" s="43" t="s">
        <v>498</v>
      </c>
      <c r="G51" s="43" t="str">
        <f t="shared" si="3"/>
        <v>First NDC</v>
      </c>
      <c r="H51" s="43" t="s">
        <v>499</v>
      </c>
      <c r="I51" s="351">
        <v>42634</v>
      </c>
      <c r="J51" s="320" t="s">
        <v>500</v>
      </c>
      <c r="K51" s="320" t="str" cm="1">
        <f t="array" ref="K51">IF(ISNUMBER(MATCH("Transport sector mitigation target", _xlfn._xlws.FILTER(Targets!H:H, Targets!A:A =A51), 0)), "yes", "no")</f>
        <v>no</v>
      </c>
      <c r="L51" s="43" t="str">
        <f>IF(K51="no", "No transport target", IF(AND(COUNTIFS(Targets!A:A, A51, Targets!H:H, "Transport sector mitigation target", Targets!J:J, "GHG") &gt; 0, COUNTIFS(Targets!A:A, A51, Targets!H:H, "Transport sector mitigation target", Targets!J:J, "Non GHG") &gt; 0), "GHG and non-GHG target", IF(COUNTIFS(Targets!A:A, A51, Targets!H:H, "Transport sector mitigation target", Targets!J:J, "GHG") &gt; 0, "GHG target", IF(COUNTIFS(Targets!A:A, A51, Targets!H:H, "Transport sector mitigation target", Targets!J:J, "Non GHG") &gt; 0, "non-GHG target", ""))))</f>
        <v>No transport target</v>
      </c>
      <c r="M51" s="43" t="str">
        <f>IF(K51="no","No transport target",IF(L51="non-GHG target","No GHG transport target",IF(AND(COUNTIFS(Targets!A:A,A51,Targets!H:H,"Transport sector mitigation target",Targets!J:J,"GHG",Targets!L:L,"Conditional")&gt;0,COUNTIFS(Targets!A:A,A51,Targets!H:H,"Transport sector mitigation target",Targets!J:J,"GHG",Targets!L:L,"Unconditional")&gt;0),"GHG unconditional and conditional",IF(COUNTIFS(Targets!A:A,A51,Targets!H:H,"Transport sector mitigation target",Targets!J:J,"GHG",Targets!L:L,"Conditional")&gt;0,"GHG conditional only",IF(COUNTIFS(Targets!A:A,A51,Targets!H:H,"Transport sector mitigation target",Targets!J:J,"GHG",Targets!L:L,"Unconditional")&gt;0,"GHG unconditional only",IF(COUNTIFS(Targets!A:A,A51,Targets!H:H,"Transport sector mitigation target",Targets!J:J,"GHG",Targets!L:L,"Unclear conditionality")&gt;0,"Conditionality unclear",""))))))</f>
        <v>No transport target</v>
      </c>
      <c r="N51" s="43" t="str" cm="1">
        <f t="array" ref="N51">IF(ISNUMBER(MATCH("Transport sector adaptation target", _xlfn._xlws.FILTER(Targets!H:H, Targets!A:A =A51), 0)), "yes", "no")</f>
        <v>no</v>
      </c>
      <c r="O51" s="43" t="str">
        <f>IF(ISNA(MATCH(A51, Mitigation!A:A, 0)), "no", "yes")</f>
        <v>yes</v>
      </c>
      <c r="P51" s="43" t="str">
        <f>IF(ISNA(MATCH(A51, Adaptation!A:A, 0)), "no", "yes")</f>
        <v>no</v>
      </c>
      <c r="Q51" s="43" t="str">
        <f>IF(ISNA(MATCH(A51, Benefits!A:A, 0)), "no", "yes")</f>
        <v>no</v>
      </c>
      <c r="R51" s="43"/>
      <c r="S51" s="43"/>
      <c r="T51" s="43" t="s">
        <v>501</v>
      </c>
      <c r="U51" s="312" t="s">
        <v>556</v>
      </c>
      <c r="V51" s="233" t="str">
        <f>VLOOKUP(Table1[[#This Row],[Country Code]],Table29[],3,FALSE)</f>
        <v>Non-Annex I</v>
      </c>
      <c r="W51" s="233" t="str">
        <f>VLOOKUP(Table1[[#This Row],[Country Code]],Table29[],4,FALSE)</f>
        <v>Africa</v>
      </c>
      <c r="X51" s="233" t="str">
        <f>VLOOKUP(Table1[[#This Row],[Country Code]],Table29[],5,FALSE)</f>
        <v>Low-income</v>
      </c>
      <c r="Y51" s="43"/>
      <c r="Z51" s="43"/>
      <c r="AC51" t="s">
        <v>202</v>
      </c>
      <c r="AD51" t="s">
        <v>528</v>
      </c>
      <c r="AE51" t="s">
        <v>526</v>
      </c>
    </row>
    <row r="52" spans="1:31" ht="15" customHeight="1" x14ac:dyDescent="0.25">
      <c r="A52" s="360">
        <v>17660</v>
      </c>
      <c r="B52" s="176" t="s">
        <v>298</v>
      </c>
      <c r="C52" s="243" t="str">
        <f>VLOOKUP(Table1[[#This Row],[Country Code]],Table29[],2,FALSE)</f>
        <v>Mexico</v>
      </c>
      <c r="D52" s="243" t="str">
        <f t="shared" si="2"/>
        <v>Good</v>
      </c>
      <c r="E52" s="176" t="s">
        <v>71</v>
      </c>
      <c r="F52" s="43" t="s">
        <v>498</v>
      </c>
      <c r="G52" s="43" t="str">
        <f t="shared" si="3"/>
        <v>First NDC</v>
      </c>
      <c r="H52" s="43" t="s">
        <v>499</v>
      </c>
      <c r="I52" s="351">
        <v>42634</v>
      </c>
      <c r="J52" s="320" t="s">
        <v>500</v>
      </c>
      <c r="K52" s="320" t="str" cm="1">
        <f t="array" ref="K52">IF(ISNUMBER(MATCH("Transport sector mitigation target", _xlfn._xlws.FILTER(Targets!H:H, Targets!A:A =A52), 0)), "yes", "no")</f>
        <v>no</v>
      </c>
      <c r="L52" s="43" t="str">
        <f>IF(K52="no", "No transport target", IF(AND(COUNTIFS(Targets!A:A, A52, Targets!H:H, "Transport sector mitigation target", Targets!J:J, "GHG") &gt; 0, COUNTIFS(Targets!A:A, A52, Targets!H:H, "Transport sector mitigation target", Targets!J:J, "Non GHG") &gt; 0), "GHG and non-GHG target", IF(COUNTIFS(Targets!A:A, A52, Targets!H:H, "Transport sector mitigation target", Targets!J:J, "GHG") &gt; 0, "GHG target", IF(COUNTIFS(Targets!A:A, A52, Targets!H:H, "Transport sector mitigation target", Targets!J:J, "Non GHG") &gt; 0, "non-GHG target", ""))))</f>
        <v>No transport target</v>
      </c>
      <c r="M52" s="43" t="str">
        <f>IF(K52="no","No transport target",IF(L52="non-GHG target","No GHG transport target",IF(AND(COUNTIFS(Targets!A:A,A52,Targets!H:H,"Transport sector mitigation target",Targets!J:J,"GHG",Targets!L:L,"Conditional")&gt;0,COUNTIFS(Targets!A:A,A52,Targets!H:H,"Transport sector mitigation target",Targets!J:J,"GHG",Targets!L:L,"Unconditional")&gt;0),"GHG unconditional and conditional",IF(COUNTIFS(Targets!A:A,A52,Targets!H:H,"Transport sector mitigation target",Targets!J:J,"GHG",Targets!L:L,"Conditional")&gt;0,"GHG conditional only",IF(COUNTIFS(Targets!A:A,A52,Targets!H:H,"Transport sector mitigation target",Targets!J:J,"GHG",Targets!L:L,"Unconditional")&gt;0,"GHG unconditional only",IF(COUNTIFS(Targets!A:A,A52,Targets!H:H,"Transport sector mitigation target",Targets!J:J,"GHG",Targets!L:L,"Unclear conditionality")&gt;0,"Conditionality unclear",""))))))</f>
        <v>No transport target</v>
      </c>
      <c r="N52" s="43" t="str" cm="1">
        <f t="array" ref="N52">IF(ISNUMBER(MATCH("Transport sector adaptation target", _xlfn._xlws.FILTER(Targets!H:H, Targets!A:A =A52), 0)), "yes", "no")</f>
        <v>no</v>
      </c>
      <c r="O52" s="43" t="str">
        <f>IF(ISNA(MATCH(A52, Mitigation!A:A, 0)), "no", "yes")</f>
        <v>yes</v>
      </c>
      <c r="P52" s="43" t="str">
        <f>IF(ISNA(MATCH(A52, Adaptation!A:A, 0)), "no", "yes")</f>
        <v>yes</v>
      </c>
      <c r="Q52" s="43" t="str">
        <f>IF(ISNA(MATCH(A52, Benefits!A:A, 0)), "no", "yes")</f>
        <v>no</v>
      </c>
      <c r="R52" s="43"/>
      <c r="S52" s="43"/>
      <c r="T52" s="43" t="s">
        <v>501</v>
      </c>
      <c r="U52" s="312" t="s">
        <v>557</v>
      </c>
      <c r="V52" s="233" t="str">
        <f>VLOOKUP(Table1[[#This Row],[Country Code]],Table29[],3,FALSE)</f>
        <v>Non-Annex I</v>
      </c>
      <c r="W52" s="233" t="str">
        <f>VLOOKUP(Table1[[#This Row],[Country Code]],Table29[],4,FALSE)</f>
        <v>Latin America and the Caribbean</v>
      </c>
      <c r="X52" s="233" t="str">
        <f>VLOOKUP(Table1[[#This Row],[Country Code]],Table29[],5,FALSE)</f>
        <v>Middle-income</v>
      </c>
      <c r="Y52" s="43"/>
      <c r="Z52" s="43"/>
      <c r="AC52" t="s">
        <v>204</v>
      </c>
      <c r="AD52" t="s">
        <v>558</v>
      </c>
      <c r="AE52" t="s">
        <v>526</v>
      </c>
    </row>
    <row r="53" spans="1:31" ht="15" customHeight="1" x14ac:dyDescent="0.25">
      <c r="A53" s="360">
        <v>17578</v>
      </c>
      <c r="B53" s="176" t="s">
        <v>168</v>
      </c>
      <c r="C53" s="243" t="str">
        <f>VLOOKUP(Table1[[#This Row],[Country Code]],Table29[],2,FALSE)</f>
        <v>Dominica</v>
      </c>
      <c r="D53" s="243" t="str">
        <f t="shared" si="2"/>
        <v>Good</v>
      </c>
      <c r="E53" s="176" t="s">
        <v>71</v>
      </c>
      <c r="F53" s="43" t="s">
        <v>498</v>
      </c>
      <c r="G53" s="43" t="str">
        <f t="shared" si="3"/>
        <v>First NDC</v>
      </c>
      <c r="H53" s="43" t="s">
        <v>499</v>
      </c>
      <c r="I53" s="351">
        <v>42634</v>
      </c>
      <c r="J53" s="320" t="s">
        <v>500</v>
      </c>
      <c r="K53" s="320" t="str" cm="1">
        <f t="array" ref="K53">IF(ISNUMBER(MATCH("Transport sector mitigation target", _xlfn._xlws.FILTER(Targets!H:H, Targets!A:A =A53), 0)), "yes", "no")</f>
        <v>yes</v>
      </c>
      <c r="L53" s="43" t="str">
        <f>IF(K53="no", "No transport target", IF(AND(COUNTIFS(Targets!A:A, A53, Targets!H:H, "Transport sector mitigation target", Targets!J:J, "GHG") &gt; 0, COUNTIFS(Targets!A:A, A53, Targets!H:H, "Transport sector mitigation target", Targets!J:J, "Non GHG") &gt; 0), "GHG and non-GHG target", IF(COUNTIFS(Targets!A:A, A53, Targets!H:H, "Transport sector mitigation target", Targets!J:J, "GHG") &gt; 0, "GHG target", IF(COUNTIFS(Targets!A:A, A53, Targets!H:H, "Transport sector mitigation target", Targets!J:J, "Non GHG") &gt; 0, "non-GHG target", ""))))</f>
        <v>GHG target</v>
      </c>
      <c r="M53" s="43" t="str">
        <f>IF(K53="no","No transport target",IF(L53="non-GHG target","No GHG transport target",IF(AND(COUNTIFS(Targets!A:A,A53,Targets!H:H,"Transport sector mitigation target",Targets!J:J,"GHG",Targets!L:L,"Conditional")&gt;0,COUNTIFS(Targets!A:A,A53,Targets!H:H,"Transport sector mitigation target",Targets!J:J,"GHG",Targets!L:L,"Unconditional")&gt;0),"GHG unconditional and conditional",IF(COUNTIFS(Targets!A:A,A53,Targets!H:H,"Transport sector mitigation target",Targets!J:J,"GHG",Targets!L:L,"Conditional")&gt;0,"GHG conditional only",IF(COUNTIFS(Targets!A:A,A53,Targets!H:H,"Transport sector mitigation target",Targets!J:J,"GHG",Targets!L:L,"Unconditional")&gt;0,"GHG unconditional only",IF(COUNTIFS(Targets!A:A,A53,Targets!H:H,"Transport sector mitigation target",Targets!J:J,"GHG",Targets!L:L,"Unclear conditionality")&gt;0,"Conditionality unclear",""))))))</f>
        <v>GHG conditional only</v>
      </c>
      <c r="N53" s="43" t="str" cm="1">
        <f t="array" ref="N53">IF(ISNUMBER(MATCH("Transport sector adaptation target", _xlfn._xlws.FILTER(Targets!H:H, Targets!A:A =A53), 0)), "yes", "no")</f>
        <v>no</v>
      </c>
      <c r="O53" s="43" t="str">
        <f>IF(ISNA(MATCH(A53, Mitigation!A:A, 0)), "no", "yes")</f>
        <v>yes</v>
      </c>
      <c r="P53" s="43" t="str">
        <f>IF(ISNA(MATCH(A53, Adaptation!A:A, 0)), "no", "yes")</f>
        <v>no</v>
      </c>
      <c r="Q53" s="43" t="str">
        <f>IF(ISNA(MATCH(A53, Benefits!A:A, 0)), "no", "yes")</f>
        <v>no</v>
      </c>
      <c r="R53" s="43"/>
      <c r="S53" s="43"/>
      <c r="T53" s="43" t="s">
        <v>501</v>
      </c>
      <c r="U53" s="312" t="s">
        <v>559</v>
      </c>
      <c r="V53" s="233" t="str">
        <f>VLOOKUP(Table1[[#This Row],[Country Code]],Table29[],3,FALSE)</f>
        <v>Non-Annex I</v>
      </c>
      <c r="W53" s="233" t="str">
        <f>VLOOKUP(Table1[[#This Row],[Country Code]],Table29[],4,FALSE)</f>
        <v>Latin America and the Caribbean</v>
      </c>
      <c r="X53" s="233" t="str">
        <f>VLOOKUP(Table1[[#This Row],[Country Code]],Table29[],5,FALSE)</f>
        <v>Middle-income</v>
      </c>
      <c r="Y53" s="43"/>
      <c r="Z53" s="43"/>
      <c r="AC53" t="s">
        <v>204</v>
      </c>
      <c r="AD53" t="s">
        <v>227</v>
      </c>
      <c r="AE53" t="s">
        <v>526</v>
      </c>
    </row>
    <row r="54" spans="1:31" ht="15" customHeight="1" x14ac:dyDescent="0.25">
      <c r="A54" s="360">
        <v>17683</v>
      </c>
      <c r="B54" s="176" t="s">
        <v>327</v>
      </c>
      <c r="C54" s="243" t="str">
        <f>VLOOKUP(Table1[[#This Row],[Country Code]],Table29[],2,FALSE)</f>
        <v>Niger</v>
      </c>
      <c r="D54" s="243" t="str">
        <f t="shared" si="2"/>
        <v>Good</v>
      </c>
      <c r="E54" s="176" t="s">
        <v>71</v>
      </c>
      <c r="F54" s="43" t="s">
        <v>498</v>
      </c>
      <c r="G54" s="43" t="str">
        <f t="shared" si="3"/>
        <v>First NDC</v>
      </c>
      <c r="H54" s="43" t="s">
        <v>499</v>
      </c>
      <c r="I54" s="351">
        <v>42634</v>
      </c>
      <c r="J54" s="320" t="s">
        <v>500</v>
      </c>
      <c r="K54" s="320" t="str" cm="1">
        <f t="array" ref="K54">IF(ISNUMBER(MATCH("Transport sector mitigation target", _xlfn._xlws.FILTER(Targets!H:H, Targets!A:A =A54), 0)), "yes", "no")</f>
        <v>no</v>
      </c>
      <c r="L54" s="43" t="str">
        <f>IF(K54="no", "No transport target", IF(AND(COUNTIFS(Targets!A:A, A54, Targets!H:H, "Transport sector mitigation target", Targets!J:J, "GHG") &gt; 0, COUNTIFS(Targets!A:A, A54, Targets!H:H, "Transport sector mitigation target", Targets!J:J, "Non GHG") &gt; 0), "GHG and non-GHG target", IF(COUNTIFS(Targets!A:A, A54, Targets!H:H, "Transport sector mitigation target", Targets!J:J, "GHG") &gt; 0, "GHG target", IF(COUNTIFS(Targets!A:A, A54, Targets!H:H, "Transport sector mitigation target", Targets!J:J, "Non GHG") &gt; 0, "non-GHG target", ""))))</f>
        <v>No transport target</v>
      </c>
      <c r="M54" s="43" t="str">
        <f>IF(K54="no","No transport target",IF(L54="non-GHG target","No GHG transport target",IF(AND(COUNTIFS(Targets!A:A,A54,Targets!H:H,"Transport sector mitigation target",Targets!J:J,"GHG",Targets!L:L,"Conditional")&gt;0,COUNTIFS(Targets!A:A,A54,Targets!H:H,"Transport sector mitigation target",Targets!J:J,"GHG",Targets!L:L,"Unconditional")&gt;0),"GHG unconditional and conditional",IF(COUNTIFS(Targets!A:A,A54,Targets!H:H,"Transport sector mitigation target",Targets!J:J,"GHG",Targets!L:L,"Conditional")&gt;0,"GHG conditional only",IF(COUNTIFS(Targets!A:A,A54,Targets!H:H,"Transport sector mitigation target",Targets!J:J,"GHG",Targets!L:L,"Unconditional")&gt;0,"GHG unconditional only",IF(COUNTIFS(Targets!A:A,A54,Targets!H:H,"Transport sector mitigation target",Targets!J:J,"GHG",Targets!L:L,"Unclear conditionality")&gt;0,"Conditionality unclear",""))))))</f>
        <v>No transport target</v>
      </c>
      <c r="N54" s="43" t="str" cm="1">
        <f t="array" ref="N54">IF(ISNUMBER(MATCH("Transport sector adaptation target", _xlfn._xlws.FILTER(Targets!H:H, Targets!A:A =A54), 0)), "yes", "no")</f>
        <v>no</v>
      </c>
      <c r="O54" s="43" t="str">
        <f>IF(ISNA(MATCH(A54, Mitigation!A:A, 0)), "no", "yes")</f>
        <v>yes</v>
      </c>
      <c r="P54" s="43" t="str">
        <f>IF(ISNA(MATCH(A54, Adaptation!A:A, 0)), "no", "yes")</f>
        <v>no</v>
      </c>
      <c r="Q54" s="43" t="str">
        <f>IF(ISNA(MATCH(A54, Benefits!A:A, 0)), "no", "yes")</f>
        <v>no</v>
      </c>
      <c r="R54" s="43"/>
      <c r="S54" s="43"/>
      <c r="T54" s="43" t="s">
        <v>501</v>
      </c>
      <c r="U54" s="312" t="s">
        <v>560</v>
      </c>
      <c r="V54" s="233" t="str">
        <f>VLOOKUP(Table1[[#This Row],[Country Code]],Table29[],3,FALSE)</f>
        <v>Non-Annex I</v>
      </c>
      <c r="W54" s="233" t="str">
        <f>VLOOKUP(Table1[[#This Row],[Country Code]],Table29[],4,FALSE)</f>
        <v>Africa</v>
      </c>
      <c r="X54" s="233" t="str">
        <f>VLOOKUP(Table1[[#This Row],[Country Code]],Table29[],5,FALSE)</f>
        <v>Low-income</v>
      </c>
      <c r="Y54" s="43"/>
      <c r="Z54" s="43"/>
      <c r="AC54" t="s">
        <v>210</v>
      </c>
      <c r="AD54" t="s">
        <v>555</v>
      </c>
      <c r="AE54" t="s">
        <v>539</v>
      </c>
    </row>
    <row r="55" spans="1:31" ht="15" customHeight="1" x14ac:dyDescent="0.25">
      <c r="A55" s="405">
        <v>17749</v>
      </c>
      <c r="B55" s="19" t="s">
        <v>185</v>
      </c>
      <c r="C55" s="206" t="str">
        <f>VLOOKUP(Table1[[#This Row],[Country Code]],Table29[],2,FALSE)</f>
        <v>Eswatini</v>
      </c>
      <c r="D55" s="243" t="str">
        <f t="shared" si="2"/>
        <v>Good</v>
      </c>
      <c r="E55" s="20" t="s">
        <v>71</v>
      </c>
      <c r="F55" s="17" t="s">
        <v>498</v>
      </c>
      <c r="G55" s="43" t="str">
        <f t="shared" si="3"/>
        <v>First NDC</v>
      </c>
      <c r="H55" s="17" t="s">
        <v>499</v>
      </c>
      <c r="I55" s="149">
        <v>42634</v>
      </c>
      <c r="J55" s="49" t="s">
        <v>500</v>
      </c>
      <c r="K55" s="49" t="str" cm="1">
        <f t="array" ref="K55">IF(ISNUMBER(MATCH("Transport sector mitigation target", _xlfn._xlws.FILTER(Targets!H:H, Targets!A:A =A55), 0)), "yes", "no")</f>
        <v>yes</v>
      </c>
      <c r="L55" s="17" t="str">
        <f>IF(K55="no", "No transport target", IF(AND(COUNTIFS(Targets!A:A, A55, Targets!H:H, "Transport sector mitigation target", Targets!J:J, "GHG") &gt; 0, COUNTIFS(Targets!A:A, A55, Targets!H:H, "Transport sector mitigation target", Targets!J:J, "Non GHG") &gt; 0), "GHG and non-GHG target", IF(COUNTIFS(Targets!A:A, A55, Targets!H:H, "Transport sector mitigation target", Targets!J:J, "GHG") &gt; 0, "GHG target", IF(COUNTIFS(Targets!A:A, A55, Targets!H:H, "Transport sector mitigation target", Targets!J:J, "Non GHG") &gt; 0, "non-GHG target", ""))))</f>
        <v>non-GHG target</v>
      </c>
      <c r="M55" s="17" t="str">
        <f>IF(K55="no","No transport target",IF(L55="non-GHG target","No GHG transport target",IF(AND(COUNTIFS(Targets!A:A,A55,Targets!H:H,"Transport sector mitigation target",Targets!J:J,"GHG",Targets!L:L,"Conditional")&gt;0,COUNTIFS(Targets!A:A,A55,Targets!H:H,"Transport sector mitigation target",Targets!J:J,"GHG",Targets!L:L,"Unconditional")&gt;0),"GHG unconditional and conditional",IF(COUNTIFS(Targets!A:A,A55,Targets!H:H,"Transport sector mitigation target",Targets!J:J,"GHG",Targets!L:L,"Conditional")&gt;0,"GHG conditional only",IF(COUNTIFS(Targets!A:A,A55,Targets!H:H,"Transport sector mitigation target",Targets!J:J,"GHG",Targets!L:L,"Unconditional")&gt;0,"GHG unconditional only",IF(COUNTIFS(Targets!A:A,A55,Targets!H:H,"Transport sector mitigation target",Targets!J:J,"GHG",Targets!L:L,"Unclear conditionality")&gt;0,"Conditionality unclear",""))))))</f>
        <v>No GHG transport target</v>
      </c>
      <c r="N55" s="17" t="str" cm="1">
        <f t="array" ref="N55">IF(ISNUMBER(MATCH("Transport sector adaptation target", _xlfn._xlws.FILTER(Targets!H:H, Targets!A:A =A55), 0)), "yes", "no")</f>
        <v>no</v>
      </c>
      <c r="O55" s="17" t="str">
        <f>IF(ISNA(MATCH(A55, Mitigation!A:A, 0)), "no", "yes")</f>
        <v>yes</v>
      </c>
      <c r="P55" s="17" t="str">
        <f>IF(ISNA(MATCH(A55, Adaptation!A:A, 0)), "no", "yes")</f>
        <v>no</v>
      </c>
      <c r="Q55" s="17" t="str">
        <f>IF(ISNA(MATCH(A55, Benefits!A:A, 0)), "no", "yes")</f>
        <v>no</v>
      </c>
      <c r="R55" s="17"/>
      <c r="S55" s="17"/>
      <c r="T55" s="17" t="s">
        <v>501</v>
      </c>
      <c r="U55" s="135" t="s">
        <v>561</v>
      </c>
      <c r="V55" s="207" t="str">
        <f>VLOOKUP(Table1[[#This Row],[Country Code]],Table29[],3,FALSE)</f>
        <v>Non-Annex I</v>
      </c>
      <c r="W55" s="207" t="str">
        <f>VLOOKUP(Table1[[#This Row],[Country Code]],Table29[],4,FALSE)</f>
        <v>Africa</v>
      </c>
      <c r="X55" s="207" t="str">
        <f>VLOOKUP(Table1[[#This Row],[Country Code]],Table29[],5,FALSE)</f>
        <v>Middle-income</v>
      </c>
      <c r="Y55" s="17"/>
      <c r="Z55" s="17"/>
      <c r="AC55" t="s">
        <v>210</v>
      </c>
      <c r="AD55" t="s">
        <v>498</v>
      </c>
      <c r="AE55" t="s">
        <v>526</v>
      </c>
    </row>
    <row r="56" spans="1:31" ht="15" customHeight="1" x14ac:dyDescent="0.25">
      <c r="A56" s="405">
        <v>17731</v>
      </c>
      <c r="B56" s="20" t="s">
        <v>394</v>
      </c>
      <c r="C56" s="206" t="str">
        <f>VLOOKUP(Table1[[#This Row],[Country Code]],Table29[],2,FALSE)</f>
        <v>Singapore</v>
      </c>
      <c r="D56" s="243" t="str">
        <f t="shared" si="2"/>
        <v>Good</v>
      </c>
      <c r="E56" s="20" t="s">
        <v>71</v>
      </c>
      <c r="F56" s="17" t="s">
        <v>498</v>
      </c>
      <c r="G56" s="43" t="str">
        <f t="shared" si="3"/>
        <v>First NDC</v>
      </c>
      <c r="H56" s="17" t="s">
        <v>499</v>
      </c>
      <c r="I56" s="149">
        <v>42634</v>
      </c>
      <c r="J56" s="49" t="s">
        <v>500</v>
      </c>
      <c r="K56" s="49" t="str" cm="1">
        <f t="array" ref="K56">IF(ISNUMBER(MATCH("Transport sector mitigation target", _xlfn._xlws.FILTER(Targets!H:H, Targets!A:A =A56), 0)), "yes", "no")</f>
        <v>no</v>
      </c>
      <c r="L56" s="17" t="str">
        <f>IF(K56="no", "No transport target", IF(AND(COUNTIFS(Targets!A:A, A56, Targets!H:H, "Transport sector mitigation target", Targets!J:J, "GHG") &gt; 0, COUNTIFS(Targets!A:A, A56, Targets!H:H, "Transport sector mitigation target", Targets!J:J, "Non GHG") &gt; 0), "GHG and non-GHG target", IF(COUNTIFS(Targets!A:A, A56, Targets!H:H, "Transport sector mitigation target", Targets!J:J, "GHG") &gt; 0, "GHG target", IF(COUNTIFS(Targets!A:A, A56, Targets!H:H, "Transport sector mitigation target", Targets!J:J, "Non GHG") &gt; 0, "non-GHG target", ""))))</f>
        <v>No transport target</v>
      </c>
      <c r="M56" s="17" t="str">
        <f>IF(K56="no","No transport target",IF(L56="non-GHG target","No GHG transport target",IF(AND(COUNTIFS(Targets!A:A,A56,Targets!H:H,"Transport sector mitigation target",Targets!J:J,"GHG",Targets!L:L,"Conditional")&gt;0,COUNTIFS(Targets!A:A,A56,Targets!H:H,"Transport sector mitigation target",Targets!J:J,"GHG",Targets!L:L,"Unconditional")&gt;0),"GHG unconditional and conditional",IF(COUNTIFS(Targets!A:A,A56,Targets!H:H,"Transport sector mitigation target",Targets!J:J,"GHG",Targets!L:L,"Conditional")&gt;0,"GHG conditional only",IF(COUNTIFS(Targets!A:A,A56,Targets!H:H,"Transport sector mitigation target",Targets!J:J,"GHG",Targets!L:L,"Unconditional")&gt;0,"GHG unconditional only",IF(COUNTIFS(Targets!A:A,A56,Targets!H:H,"Transport sector mitigation target",Targets!J:J,"GHG",Targets!L:L,"Unclear conditionality")&gt;0,"Conditionality unclear",""))))))</f>
        <v>No transport target</v>
      </c>
      <c r="N56" s="17" t="str" cm="1">
        <f t="array" ref="N56">IF(ISNUMBER(MATCH("Transport sector adaptation target", _xlfn._xlws.FILTER(Targets!H:H, Targets!A:A =A56), 0)), "yes", "no")</f>
        <v>no</v>
      </c>
      <c r="O56" s="17" t="str">
        <f>IF(ISNA(MATCH(A56, Mitigation!A:A, 0)), "no", "yes")</f>
        <v>no</v>
      </c>
      <c r="P56" s="17" t="str">
        <f>IF(ISNA(MATCH(A56, Adaptation!A:A, 0)), "no", "yes")</f>
        <v>yes</v>
      </c>
      <c r="Q56" s="17" t="str">
        <f>IF(ISNA(MATCH(A56, Benefits!A:A, 0)), "no", "yes")</f>
        <v>no</v>
      </c>
      <c r="R56" s="17"/>
      <c r="S56" s="17"/>
      <c r="T56" s="17" t="s">
        <v>501</v>
      </c>
      <c r="U56" s="135" t="s">
        <v>562</v>
      </c>
      <c r="V56" s="207" t="str">
        <f>VLOOKUP(Table1[[#This Row],[Country Code]],Table29[],3,FALSE)</f>
        <v>Non-Annex I</v>
      </c>
      <c r="W56" s="207" t="str">
        <f>VLOOKUP(Table1[[#This Row],[Country Code]],Table29[],4,FALSE)</f>
        <v>Asia</v>
      </c>
      <c r="X56" s="207" t="str">
        <f>VLOOKUP(Table1[[#This Row],[Country Code]],Table29[],5,FALSE)</f>
        <v>High-income</v>
      </c>
      <c r="Y56" s="17"/>
      <c r="Z56" s="17"/>
      <c r="AC56" t="s">
        <v>214</v>
      </c>
      <c r="AD56" t="s">
        <v>528</v>
      </c>
      <c r="AE56" t="s">
        <v>532</v>
      </c>
    </row>
    <row r="57" spans="1:31" ht="15" customHeight="1" x14ac:dyDescent="0.25">
      <c r="A57" s="405">
        <v>17737</v>
      </c>
      <c r="B57" s="20" t="s">
        <v>400</v>
      </c>
      <c r="C57" s="206" t="str">
        <f>VLOOKUP(Table1[[#This Row],[Country Code]],Table29[],2,FALSE)</f>
        <v>Solomon Islands</v>
      </c>
      <c r="D57" s="243" t="str">
        <f t="shared" si="2"/>
        <v>Good</v>
      </c>
      <c r="E57" s="20" t="s">
        <v>71</v>
      </c>
      <c r="F57" s="17" t="s">
        <v>498</v>
      </c>
      <c r="G57" s="43" t="str">
        <f t="shared" si="3"/>
        <v>First NDC</v>
      </c>
      <c r="H57" s="17" t="s">
        <v>499</v>
      </c>
      <c r="I57" s="149">
        <v>42634</v>
      </c>
      <c r="J57" s="49" t="s">
        <v>500</v>
      </c>
      <c r="K57" s="49" t="str" cm="1">
        <f t="array" ref="K57">IF(ISNUMBER(MATCH("Transport sector mitigation target", _xlfn._xlws.FILTER(Targets!H:H, Targets!A:A =A57), 0)), "yes", "no")</f>
        <v>no</v>
      </c>
      <c r="L57" s="17" t="str">
        <f>IF(K57="no", "No transport target", IF(AND(COUNTIFS(Targets!A:A, A57, Targets!H:H, "Transport sector mitigation target", Targets!J:J, "GHG") &gt; 0, COUNTIFS(Targets!A:A, A57, Targets!H:H, "Transport sector mitigation target", Targets!J:J, "Non GHG") &gt; 0), "GHG and non-GHG target", IF(COUNTIFS(Targets!A:A, A57, Targets!H:H, "Transport sector mitigation target", Targets!J:J, "GHG") &gt; 0, "GHG target", IF(COUNTIFS(Targets!A:A, A57, Targets!H:H, "Transport sector mitigation target", Targets!J:J, "Non GHG") &gt; 0, "non-GHG target", ""))))</f>
        <v>No transport target</v>
      </c>
      <c r="M57" s="17" t="str">
        <f>IF(K57="no","No transport target",IF(L57="non-GHG target","No GHG transport target",IF(AND(COUNTIFS(Targets!A:A,A57,Targets!H:H,"Transport sector mitigation target",Targets!J:J,"GHG",Targets!L:L,"Conditional")&gt;0,COUNTIFS(Targets!A:A,A57,Targets!H:H,"Transport sector mitigation target",Targets!J:J,"GHG",Targets!L:L,"Unconditional")&gt;0),"GHG unconditional and conditional",IF(COUNTIFS(Targets!A:A,A57,Targets!H:H,"Transport sector mitigation target",Targets!J:J,"GHG",Targets!L:L,"Conditional")&gt;0,"GHG conditional only",IF(COUNTIFS(Targets!A:A,A57,Targets!H:H,"Transport sector mitigation target",Targets!J:J,"GHG",Targets!L:L,"Unconditional")&gt;0,"GHG unconditional only",IF(COUNTIFS(Targets!A:A,A57,Targets!H:H,"Transport sector mitigation target",Targets!J:J,"GHG",Targets!L:L,"Unclear conditionality")&gt;0,"Conditionality unclear",""))))))</f>
        <v>No transport target</v>
      </c>
      <c r="N57" s="17" t="str" cm="1">
        <f t="array" ref="N57">IF(ISNUMBER(MATCH("Transport sector adaptation target", _xlfn._xlws.FILTER(Targets!H:H, Targets!A:A =A57), 0)), "yes", "no")</f>
        <v>no</v>
      </c>
      <c r="O57" s="17" t="str">
        <f>IF(ISNA(MATCH(A57, Mitigation!A:A, 0)), "no", "yes")</f>
        <v>no</v>
      </c>
      <c r="P57" s="17" t="str">
        <f>IF(ISNA(MATCH(A57, Adaptation!A:A, 0)), "no", "yes")</f>
        <v>no</v>
      </c>
      <c r="Q57" s="17" t="str">
        <f>IF(ISNA(MATCH(A57, Benefits!A:A, 0)), "no", "yes")</f>
        <v>no</v>
      </c>
      <c r="R57" s="17"/>
      <c r="S57" s="17"/>
      <c r="T57" s="17" t="s">
        <v>501</v>
      </c>
      <c r="U57" s="135" t="s">
        <v>563</v>
      </c>
      <c r="V57" s="207" t="str">
        <f>VLOOKUP(Table1[[#This Row],[Country Code]],Table29[],3,FALSE)</f>
        <v>Non-Annex I</v>
      </c>
      <c r="W57" s="207" t="str">
        <f>VLOOKUP(Table1[[#This Row],[Country Code]],Table29[],4,FALSE)</f>
        <v>Oceania</v>
      </c>
      <c r="X57" s="207" t="str">
        <f>VLOOKUP(Table1[[#This Row],[Country Code]],Table29[],5,FALSE)</f>
        <v>Middle-income</v>
      </c>
      <c r="Y57" s="17"/>
      <c r="Z57" s="17"/>
      <c r="AC57" t="s">
        <v>214</v>
      </c>
      <c r="AD57" t="s">
        <v>528</v>
      </c>
      <c r="AE57" t="s">
        <v>532</v>
      </c>
    </row>
    <row r="58" spans="1:31" ht="15" customHeight="1" x14ac:dyDescent="0.25">
      <c r="A58" s="405">
        <v>17757</v>
      </c>
      <c r="B58" s="20" t="s">
        <v>424</v>
      </c>
      <c r="C58" s="206" t="str">
        <f>VLOOKUP(Table1[[#This Row],[Country Code]],Table29[],2,FALSE)</f>
        <v>Thailand</v>
      </c>
      <c r="D58" s="243" t="str">
        <f t="shared" si="2"/>
        <v>Good</v>
      </c>
      <c r="E58" s="20" t="s">
        <v>71</v>
      </c>
      <c r="F58" s="17" t="s">
        <v>498</v>
      </c>
      <c r="G58" s="43" t="str">
        <f t="shared" si="3"/>
        <v>First NDC</v>
      </c>
      <c r="H58" s="17" t="s">
        <v>499</v>
      </c>
      <c r="I58" s="149">
        <v>42634</v>
      </c>
      <c r="J58" s="49" t="s">
        <v>500</v>
      </c>
      <c r="K58" s="49" t="str" cm="1">
        <f t="array" ref="K58">IF(ISNUMBER(MATCH("Transport sector mitigation target", _xlfn._xlws.FILTER(Targets!H:H, Targets!A:A =A58), 0)), "yes", "no")</f>
        <v>no</v>
      </c>
      <c r="L58" s="17" t="str">
        <f>IF(K58="no", "No transport target", IF(AND(COUNTIFS(Targets!A:A, A58, Targets!H:H, "Transport sector mitigation target", Targets!J:J, "GHG") &gt; 0, COUNTIFS(Targets!A:A, A58, Targets!H:H, "Transport sector mitigation target", Targets!J:J, "Non GHG") &gt; 0), "GHG and non-GHG target", IF(COUNTIFS(Targets!A:A, A58, Targets!H:H, "Transport sector mitigation target", Targets!J:J, "GHG") &gt; 0, "GHG target", IF(COUNTIFS(Targets!A:A, A58, Targets!H:H, "Transport sector mitigation target", Targets!J:J, "Non GHG") &gt; 0, "non-GHG target", ""))))</f>
        <v>No transport target</v>
      </c>
      <c r="M58" s="17" t="str">
        <f>IF(K58="no","No transport target",IF(L58="non-GHG target","No GHG transport target",IF(AND(COUNTIFS(Targets!A:A,A58,Targets!H:H,"Transport sector mitigation target",Targets!J:J,"GHG",Targets!L:L,"Conditional")&gt;0,COUNTIFS(Targets!A:A,A58,Targets!H:H,"Transport sector mitigation target",Targets!J:J,"GHG",Targets!L:L,"Unconditional")&gt;0),"GHG unconditional and conditional",IF(COUNTIFS(Targets!A:A,A58,Targets!H:H,"Transport sector mitigation target",Targets!J:J,"GHG",Targets!L:L,"Conditional")&gt;0,"GHG conditional only",IF(COUNTIFS(Targets!A:A,A58,Targets!H:H,"Transport sector mitigation target",Targets!J:J,"GHG",Targets!L:L,"Unconditional")&gt;0,"GHG unconditional only",IF(COUNTIFS(Targets!A:A,A58,Targets!H:H,"Transport sector mitigation target",Targets!J:J,"GHG",Targets!L:L,"Unclear conditionality")&gt;0,"Conditionality unclear",""))))))</f>
        <v>No transport target</v>
      </c>
      <c r="N58" s="17" t="str" cm="1">
        <f t="array" ref="N58">IF(ISNUMBER(MATCH("Transport sector adaptation target", _xlfn._xlws.FILTER(Targets!H:H, Targets!A:A =A58), 0)), "yes", "no")</f>
        <v>no</v>
      </c>
      <c r="O58" s="17" t="str">
        <f>IF(ISNA(MATCH(A58, Mitigation!A:A, 0)), "no", "yes")</f>
        <v>yes</v>
      </c>
      <c r="P58" s="17" t="str">
        <f>IF(ISNA(MATCH(A58, Adaptation!A:A, 0)), "no", "yes")</f>
        <v>no</v>
      </c>
      <c r="Q58" s="17" t="str">
        <f>IF(ISNA(MATCH(A58, Benefits!A:A, 0)), "no", "yes")</f>
        <v>no</v>
      </c>
      <c r="R58" s="17"/>
      <c r="S58" s="17"/>
      <c r="T58" s="17" t="s">
        <v>501</v>
      </c>
      <c r="U58" s="135" t="s">
        <v>564</v>
      </c>
      <c r="V58" s="207" t="str">
        <f>VLOOKUP(Table1[[#This Row],[Country Code]],Table29[],3,FALSE)</f>
        <v>Non-Annex I</v>
      </c>
      <c r="W58" s="207" t="str">
        <f>VLOOKUP(Table1[[#This Row],[Country Code]],Table29[],4,FALSE)</f>
        <v>Asia</v>
      </c>
      <c r="X58" s="207" t="str">
        <f>VLOOKUP(Table1[[#This Row],[Country Code]],Table29[],5,FALSE)</f>
        <v>Middle-income</v>
      </c>
      <c r="Y58" s="17"/>
      <c r="Z58" s="17"/>
      <c r="AC58" t="s">
        <v>237</v>
      </c>
      <c r="AD58" t="s">
        <v>227</v>
      </c>
      <c r="AE58" t="s">
        <v>526</v>
      </c>
    </row>
    <row r="59" spans="1:31" ht="15" customHeight="1" x14ac:dyDescent="0.25">
      <c r="A59" s="405">
        <v>17761</v>
      </c>
      <c r="B59" s="20" t="s">
        <v>430</v>
      </c>
      <c r="C59" s="206" t="str">
        <f>VLOOKUP(Table1[[#This Row],[Country Code]],Table29[],2,FALSE)</f>
        <v>Tonga</v>
      </c>
      <c r="D59" s="243" t="str">
        <f t="shared" si="2"/>
        <v>Good</v>
      </c>
      <c r="E59" s="20" t="s">
        <v>71</v>
      </c>
      <c r="F59" s="17" t="s">
        <v>498</v>
      </c>
      <c r="G59" s="43" t="str">
        <f t="shared" si="3"/>
        <v>First NDC</v>
      </c>
      <c r="H59" s="17" t="s">
        <v>499</v>
      </c>
      <c r="I59" s="149">
        <v>42634</v>
      </c>
      <c r="J59" s="49" t="s">
        <v>500</v>
      </c>
      <c r="K59" s="49" t="str" cm="1">
        <f t="array" ref="K59">IF(ISNUMBER(MATCH("Transport sector mitigation target", _xlfn._xlws.FILTER(Targets!H:H, Targets!A:A =A59), 0)), "yes", "no")</f>
        <v>no</v>
      </c>
      <c r="L59" s="17" t="str">
        <f>IF(K59="no", "No transport target", IF(AND(COUNTIFS(Targets!A:A, A59, Targets!H:H, "Transport sector mitigation target", Targets!J:J, "GHG") &gt; 0, COUNTIFS(Targets!A:A, A59, Targets!H:H, "Transport sector mitigation target", Targets!J:J, "Non GHG") &gt; 0), "GHG and non-GHG target", IF(COUNTIFS(Targets!A:A, A59, Targets!H:H, "Transport sector mitigation target", Targets!J:J, "GHG") &gt; 0, "GHG target", IF(COUNTIFS(Targets!A:A, A59, Targets!H:H, "Transport sector mitigation target", Targets!J:J, "Non GHG") &gt; 0, "non-GHG target", ""))))</f>
        <v>No transport target</v>
      </c>
      <c r="M59" s="17" t="str">
        <f>IF(K59="no","No transport target",IF(L59="non-GHG target","No GHG transport target",IF(AND(COUNTIFS(Targets!A:A,A59,Targets!H:H,"Transport sector mitigation target",Targets!J:J,"GHG",Targets!L:L,"Conditional")&gt;0,COUNTIFS(Targets!A:A,A59,Targets!H:H,"Transport sector mitigation target",Targets!J:J,"GHG",Targets!L:L,"Unconditional")&gt;0),"GHG unconditional and conditional",IF(COUNTIFS(Targets!A:A,A59,Targets!H:H,"Transport sector mitigation target",Targets!J:J,"GHG",Targets!L:L,"Conditional")&gt;0,"GHG conditional only",IF(COUNTIFS(Targets!A:A,A59,Targets!H:H,"Transport sector mitigation target",Targets!J:J,"GHG",Targets!L:L,"Unconditional")&gt;0,"GHG unconditional only",IF(COUNTIFS(Targets!A:A,A59,Targets!H:H,"Transport sector mitigation target",Targets!J:J,"GHG",Targets!L:L,"Unclear conditionality")&gt;0,"Conditionality unclear",""))))))</f>
        <v>No transport target</v>
      </c>
      <c r="N59" s="17" t="str" cm="1">
        <f t="array" ref="N59">IF(ISNUMBER(MATCH("Transport sector adaptation target", _xlfn._xlws.FILTER(Targets!H:H, Targets!A:A =A59), 0)), "yes", "no")</f>
        <v>no</v>
      </c>
      <c r="O59" s="17" t="str">
        <f>IF(ISNA(MATCH(A59, Mitigation!A:A, 0)), "no", "yes")</f>
        <v>yes</v>
      </c>
      <c r="P59" s="17" t="str">
        <f>IF(ISNA(MATCH(A59, Adaptation!A:A, 0)), "no", "yes")</f>
        <v>no</v>
      </c>
      <c r="Q59" s="17" t="str">
        <f>IF(ISNA(MATCH(A59, Benefits!A:A, 0)), "no", "yes")</f>
        <v>no</v>
      </c>
      <c r="R59" s="17"/>
      <c r="S59" s="17"/>
      <c r="T59" s="17" t="s">
        <v>501</v>
      </c>
      <c r="U59" s="135" t="s">
        <v>565</v>
      </c>
      <c r="V59" s="207" t="str">
        <f>VLOOKUP(Table1[[#This Row],[Country Code]],Table29[],3,FALSE)</f>
        <v>Non-Annex I</v>
      </c>
      <c r="W59" s="207" t="str">
        <f>VLOOKUP(Table1[[#This Row],[Country Code]],Table29[],4,FALSE)</f>
        <v>Oceania</v>
      </c>
      <c r="X59" s="207" t="str">
        <f>VLOOKUP(Table1[[#This Row],[Country Code]],Table29[],5,FALSE)</f>
        <v>Middle-income</v>
      </c>
      <c r="Y59" s="17"/>
      <c r="Z59" s="17"/>
    </row>
    <row r="60" spans="1:31" ht="15" customHeight="1" x14ac:dyDescent="0.25">
      <c r="A60" s="405">
        <v>17782</v>
      </c>
      <c r="B60" s="20" t="s">
        <v>458</v>
      </c>
      <c r="C60" s="206" t="str">
        <f>VLOOKUP(Table1[[#This Row],[Country Code]],Table29[],2,FALSE)</f>
        <v>Vanuatu</v>
      </c>
      <c r="D60" s="243" t="str">
        <f t="shared" si="2"/>
        <v>Good</v>
      </c>
      <c r="E60" s="20" t="s">
        <v>71</v>
      </c>
      <c r="F60" s="17" t="s">
        <v>498</v>
      </c>
      <c r="G60" s="43" t="str">
        <f t="shared" si="3"/>
        <v>First NDC</v>
      </c>
      <c r="H60" s="17" t="s">
        <v>499</v>
      </c>
      <c r="I60" s="149">
        <v>42634</v>
      </c>
      <c r="J60" s="49" t="s">
        <v>500</v>
      </c>
      <c r="K60" s="49" t="str" cm="1">
        <f t="array" ref="K60">IF(ISNUMBER(MATCH("Transport sector mitigation target", _xlfn._xlws.FILTER(Targets!H:H, Targets!A:A =A60), 0)), "yes", "no")</f>
        <v>no</v>
      </c>
      <c r="L60" s="17" t="str">
        <f>IF(K60="no", "No transport target", IF(AND(COUNTIFS(Targets!A:A, A60, Targets!H:H, "Transport sector mitigation target", Targets!J:J, "GHG") &gt; 0, COUNTIFS(Targets!A:A, A60, Targets!H:H, "Transport sector mitigation target", Targets!J:J, "Non GHG") &gt; 0), "GHG and non-GHG target", IF(COUNTIFS(Targets!A:A, A60, Targets!H:H, "Transport sector mitigation target", Targets!J:J, "GHG") &gt; 0, "GHG target", IF(COUNTIFS(Targets!A:A, A60, Targets!H:H, "Transport sector mitigation target", Targets!J:J, "Non GHG") &gt; 0, "non-GHG target", ""))))</f>
        <v>No transport target</v>
      </c>
      <c r="M60" s="17" t="str">
        <f>IF(K60="no","No transport target",IF(L60="non-GHG target","No GHG transport target",IF(AND(COUNTIFS(Targets!A:A,A60,Targets!H:H,"Transport sector mitigation target",Targets!J:J,"GHG",Targets!L:L,"Conditional")&gt;0,COUNTIFS(Targets!A:A,A60,Targets!H:H,"Transport sector mitigation target",Targets!J:J,"GHG",Targets!L:L,"Unconditional")&gt;0),"GHG unconditional and conditional",IF(COUNTIFS(Targets!A:A,A60,Targets!H:H,"Transport sector mitigation target",Targets!J:J,"GHG",Targets!L:L,"Conditional")&gt;0,"GHG conditional only",IF(COUNTIFS(Targets!A:A,A60,Targets!H:H,"Transport sector mitigation target",Targets!J:J,"GHG",Targets!L:L,"Unconditional")&gt;0,"GHG unconditional only",IF(COUNTIFS(Targets!A:A,A60,Targets!H:H,"Transport sector mitigation target",Targets!J:J,"GHG",Targets!L:L,"Unclear conditionality")&gt;0,"Conditionality unclear",""))))))</f>
        <v>No transport target</v>
      </c>
      <c r="N60" s="17" t="str" cm="1">
        <f t="array" ref="N60">IF(ISNUMBER(MATCH("Transport sector adaptation target", _xlfn._xlws.FILTER(Targets!H:H, Targets!A:A =A60), 0)), "yes", "no")</f>
        <v>no</v>
      </c>
      <c r="O60" s="17" t="str">
        <f>IF(ISNA(MATCH(A60, Mitigation!A:A, 0)), "no", "yes")</f>
        <v>no</v>
      </c>
      <c r="P60" s="17" t="str">
        <f>IF(ISNA(MATCH(A60, Adaptation!A:A, 0)), "no", "yes")</f>
        <v>no</v>
      </c>
      <c r="Q60" s="17" t="str">
        <f>IF(ISNA(MATCH(A60, Benefits!A:A, 0)), "no", "yes")</f>
        <v>no</v>
      </c>
      <c r="R60" s="17"/>
      <c r="S60" s="17"/>
      <c r="T60" s="17" t="s">
        <v>501</v>
      </c>
      <c r="U60" s="135" t="s">
        <v>566</v>
      </c>
      <c r="V60" s="207" t="str">
        <f>VLOOKUP(Table1[[#This Row],[Country Code]],Table29[],3,FALSE)</f>
        <v>Non-Annex I</v>
      </c>
      <c r="W60" s="207" t="str">
        <f>VLOOKUP(Table1[[#This Row],[Country Code]],Table29[],4,FALSE)</f>
        <v>Oceania</v>
      </c>
      <c r="X60" s="207" t="str">
        <f>VLOOKUP(Table1[[#This Row],[Country Code]],Table29[],5,FALSE)</f>
        <v>Middle-income</v>
      </c>
      <c r="Y60" s="17"/>
      <c r="Z60" s="17"/>
      <c r="AC60" t="s">
        <v>239</v>
      </c>
      <c r="AD60" t="s">
        <v>528</v>
      </c>
      <c r="AE60" t="s">
        <v>526</v>
      </c>
    </row>
    <row r="61" spans="1:31" ht="15" customHeight="1" x14ac:dyDescent="0.25">
      <c r="A61" s="360">
        <v>17666</v>
      </c>
      <c r="B61" s="176" t="s">
        <v>305</v>
      </c>
      <c r="C61" s="243" t="str">
        <f>VLOOKUP(Table1[[#This Row],[Country Code]],Table29[],2,FALSE)</f>
        <v>Mongolia</v>
      </c>
      <c r="D61" s="243" t="str">
        <f t="shared" si="2"/>
        <v>Good</v>
      </c>
      <c r="E61" s="176" t="s">
        <v>71</v>
      </c>
      <c r="F61" s="43" t="s">
        <v>498</v>
      </c>
      <c r="G61" s="43" t="str">
        <f t="shared" si="3"/>
        <v>First NDC</v>
      </c>
      <c r="H61" s="43" t="s">
        <v>499</v>
      </c>
      <c r="I61" s="351">
        <v>42634</v>
      </c>
      <c r="J61" s="320" t="s">
        <v>500</v>
      </c>
      <c r="K61" s="320" t="str" cm="1">
        <f t="array" ref="K61">IF(ISNUMBER(MATCH("Transport sector mitigation target", _xlfn._xlws.FILTER(Targets!H:H, Targets!A:A =A61), 0)), "yes", "no")</f>
        <v>yes</v>
      </c>
      <c r="L61" s="43" t="str">
        <f>IF(K61="no", "No transport target", IF(AND(COUNTIFS(Targets!A:A, A61, Targets!H:H, "Transport sector mitigation target", Targets!J:J, "GHG") &gt; 0, COUNTIFS(Targets!A:A, A61, Targets!H:H, "Transport sector mitigation target", Targets!J:J, "Non GHG") &gt; 0), "GHG and non-GHG target", IF(COUNTIFS(Targets!A:A, A61, Targets!H:H, "Transport sector mitigation target", Targets!J:J, "GHG") &gt; 0, "GHG target", IF(COUNTIFS(Targets!A:A, A61, Targets!H:H, "Transport sector mitigation target", Targets!J:J, "Non GHG") &gt; 0, "non-GHG target", ""))))</f>
        <v>non-GHG target</v>
      </c>
      <c r="M61" s="43" t="str">
        <f>IF(K61="no","No transport target",IF(L61="non-GHG target","No GHG transport target",IF(AND(COUNTIFS(Targets!A:A,A61,Targets!H:H,"Transport sector mitigation target",Targets!J:J,"GHG",Targets!L:L,"Conditional")&gt;0,COUNTIFS(Targets!A:A,A61,Targets!H:H,"Transport sector mitigation target",Targets!J:J,"GHG",Targets!L:L,"Unconditional")&gt;0),"GHG unconditional and conditional",IF(COUNTIFS(Targets!A:A,A61,Targets!H:H,"Transport sector mitigation target",Targets!J:J,"GHG",Targets!L:L,"Conditional")&gt;0,"GHG conditional only",IF(COUNTIFS(Targets!A:A,A61,Targets!H:H,"Transport sector mitigation target",Targets!J:J,"GHG",Targets!L:L,"Unconditional")&gt;0,"GHG unconditional only",IF(COUNTIFS(Targets!A:A,A61,Targets!H:H,"Transport sector mitigation target",Targets!J:J,"GHG",Targets!L:L,"Unclear conditionality")&gt;0,"Conditionality unclear",""))))))</f>
        <v>No GHG transport target</v>
      </c>
      <c r="N61" s="43" t="str" cm="1">
        <f t="array" ref="N61">IF(ISNUMBER(MATCH("Transport sector adaptation target", _xlfn._xlws.FILTER(Targets!H:H, Targets!A:A =A61), 0)), "yes", "no")</f>
        <v>no</v>
      </c>
      <c r="O61" s="43" t="str">
        <f>IF(ISNA(MATCH(A61, Mitigation!A:A, 0)), "no", "yes")</f>
        <v>yes</v>
      </c>
      <c r="P61" s="43" t="str">
        <f>IF(ISNA(MATCH(A61, Adaptation!A:A, 0)), "no", "yes")</f>
        <v>no</v>
      </c>
      <c r="Q61" s="43" t="str">
        <f>IF(ISNA(MATCH(A61, Benefits!A:A, 0)), "no", "yes")</f>
        <v>no</v>
      </c>
      <c r="R61" s="43"/>
      <c r="S61" s="43"/>
      <c r="T61" s="43" t="s">
        <v>501</v>
      </c>
      <c r="U61" s="312" t="s">
        <v>567</v>
      </c>
      <c r="V61" s="233" t="str">
        <f>VLOOKUP(Table1[[#This Row],[Country Code]],Table29[],3,FALSE)</f>
        <v>Non-Annex I</v>
      </c>
      <c r="W61" s="233" t="str">
        <f>VLOOKUP(Table1[[#This Row],[Country Code]],Table29[],4,FALSE)</f>
        <v>Asia</v>
      </c>
      <c r="X61" s="233" t="str">
        <f>VLOOKUP(Table1[[#This Row],[Country Code]],Table29[],5,FALSE)</f>
        <v>Middle-income</v>
      </c>
      <c r="Y61" s="43"/>
      <c r="Z61" s="43"/>
      <c r="AC61" t="s">
        <v>239</v>
      </c>
      <c r="AD61" t="s">
        <v>528</v>
      </c>
      <c r="AE61" t="s">
        <v>526</v>
      </c>
    </row>
    <row r="62" spans="1:31" s="15" customFormat="1" ht="15" customHeight="1" x14ac:dyDescent="0.25">
      <c r="A62" s="360">
        <v>17672</v>
      </c>
      <c r="B62" s="176" t="s">
        <v>315</v>
      </c>
      <c r="C62" s="243" t="str">
        <f>VLOOKUP(Table1[[#This Row],[Country Code]],Table29[],2,FALSE)</f>
        <v>Namibia</v>
      </c>
      <c r="D62" s="243" t="str">
        <f t="shared" si="2"/>
        <v>Good</v>
      </c>
      <c r="E62" s="176" t="s">
        <v>71</v>
      </c>
      <c r="F62" s="43" t="s">
        <v>498</v>
      </c>
      <c r="G62" s="43" t="str">
        <f t="shared" si="3"/>
        <v>First NDC</v>
      </c>
      <c r="H62" s="43" t="s">
        <v>499</v>
      </c>
      <c r="I62" s="351">
        <v>42634</v>
      </c>
      <c r="J62" s="320" t="s">
        <v>500</v>
      </c>
      <c r="K62" s="320" t="str" cm="1">
        <f t="array" ref="K62">IF(ISNUMBER(MATCH("Transport sector mitigation target", _xlfn._xlws.FILTER(Targets!H:H, Targets!A:A =A62), 0)), "yes", "no")</f>
        <v>yes</v>
      </c>
      <c r="L62" s="43" t="str">
        <f>IF(K62="no", "No transport target", IF(AND(COUNTIFS(Targets!A:A, A62, Targets!H:H, "Transport sector mitigation target", Targets!J:J, "GHG") &gt; 0, COUNTIFS(Targets!A:A, A62, Targets!H:H, "Transport sector mitigation target", Targets!J:J, "Non GHG") &gt; 0), "GHG and non-GHG target", IF(COUNTIFS(Targets!A:A, A62, Targets!H:H, "Transport sector mitigation target", Targets!J:J, "GHG") &gt; 0, "GHG target", IF(COUNTIFS(Targets!A:A, A62, Targets!H:H, "Transport sector mitigation target", Targets!J:J, "Non GHG") &gt; 0, "non-GHG target", ""))))</f>
        <v>GHG and non-GHG target</v>
      </c>
      <c r="M62" s="43" t="str">
        <f>IF(K62="no","No transport target",IF(L62="non-GHG target","No GHG transport target",IF(AND(COUNTIFS(Targets!A:A,A62,Targets!H:H,"Transport sector mitigation target",Targets!J:J,"GHG",Targets!L:L,"Conditional")&gt;0,COUNTIFS(Targets!A:A,A62,Targets!H:H,"Transport sector mitigation target",Targets!J:J,"GHG",Targets!L:L,"Unconditional")&gt;0),"GHG unconditional and conditional",IF(COUNTIFS(Targets!A:A,A62,Targets!H:H,"Transport sector mitigation target",Targets!J:J,"GHG",Targets!L:L,"Conditional")&gt;0,"GHG conditional only",IF(COUNTIFS(Targets!A:A,A62,Targets!H:H,"Transport sector mitigation target",Targets!J:J,"GHG",Targets!L:L,"Unconditional")&gt;0,"GHG unconditional only",IF(COUNTIFS(Targets!A:A,A62,Targets!H:H,"Transport sector mitigation target",Targets!J:J,"GHG",Targets!L:L,"Unclear conditionality")&gt;0,"Conditionality unclear",""))))))</f>
        <v>GHG unconditional only</v>
      </c>
      <c r="N62" s="43" t="str" cm="1">
        <f t="array" ref="N62">IF(ISNUMBER(MATCH("Transport sector adaptation target", _xlfn._xlws.FILTER(Targets!H:H, Targets!A:A =A62), 0)), "yes", "no")</f>
        <v>no</v>
      </c>
      <c r="O62" s="43" t="str">
        <f>IF(ISNA(MATCH(A62, Mitigation!A:A, 0)), "no", "yes")</f>
        <v>yes</v>
      </c>
      <c r="P62" s="43" t="str">
        <f>IF(ISNA(MATCH(A62, Adaptation!A:A, 0)), "no", "yes")</f>
        <v>no</v>
      </c>
      <c r="Q62" s="43" t="str">
        <f>IF(ISNA(MATCH(A62, Benefits!A:A, 0)), "no", "yes")</f>
        <v>no</v>
      </c>
      <c r="R62" s="43"/>
      <c r="S62" s="43"/>
      <c r="T62" s="43" t="s">
        <v>501</v>
      </c>
      <c r="U62" s="312" t="s">
        <v>568</v>
      </c>
      <c r="V62" s="233" t="str">
        <f>VLOOKUP(Table1[[#This Row],[Country Code]],Table29[],3,FALSE)</f>
        <v>Non-Annex I</v>
      </c>
      <c r="W62" s="233" t="str">
        <f>VLOOKUP(Table1[[#This Row],[Country Code]],Table29[],4,FALSE)</f>
        <v>Africa</v>
      </c>
      <c r="X62" s="233" t="str">
        <f>VLOOKUP(Table1[[#This Row],[Country Code]],Table29[],5,FALSE)</f>
        <v>Middle-income</v>
      </c>
      <c r="Y62" s="43"/>
      <c r="Z62" s="43"/>
      <c r="AC62" t="s">
        <v>246</v>
      </c>
      <c r="AD62" t="s">
        <v>525</v>
      </c>
      <c r="AE62" t="s">
        <v>526</v>
      </c>
    </row>
    <row r="63" spans="1:31" s="15" customFormat="1" ht="15" customHeight="1" x14ac:dyDescent="0.25">
      <c r="A63" s="405">
        <v>17769</v>
      </c>
      <c r="B63" s="20" t="s">
        <v>442</v>
      </c>
      <c r="C63" s="206" t="str">
        <f>VLOOKUP(Table1[[#This Row],[Country Code]],Table29[],2,FALSE)</f>
        <v>Uganda</v>
      </c>
      <c r="D63" s="243" t="str">
        <f t="shared" si="2"/>
        <v>Good</v>
      </c>
      <c r="E63" s="20" t="s">
        <v>71</v>
      </c>
      <c r="F63" s="17" t="s">
        <v>498</v>
      </c>
      <c r="G63" s="43" t="str">
        <f t="shared" si="3"/>
        <v>First NDC</v>
      </c>
      <c r="H63" s="17" t="s">
        <v>499</v>
      </c>
      <c r="I63" s="149">
        <v>42634</v>
      </c>
      <c r="J63" s="49" t="s">
        <v>500</v>
      </c>
      <c r="K63" s="49" t="str" cm="1">
        <f t="array" ref="K63">IF(ISNUMBER(MATCH("Transport sector mitigation target", _xlfn._xlws.FILTER(Targets!H:H, Targets!A:A =A63), 0)), "yes", "no")</f>
        <v>yes</v>
      </c>
      <c r="L63" s="17" t="str">
        <f>IF(K63="no", "No transport target", IF(AND(COUNTIFS(Targets!A:A, A63, Targets!H:H, "Transport sector mitigation target", Targets!J:J, "GHG") &gt; 0, COUNTIFS(Targets!A:A, A63, Targets!H:H, "Transport sector mitigation target", Targets!J:J, "Non GHG") &gt; 0), "GHG and non-GHG target", IF(COUNTIFS(Targets!A:A, A63, Targets!H:H, "Transport sector mitigation target", Targets!J:J, "GHG") &gt; 0, "GHG target", IF(COUNTIFS(Targets!A:A, A63, Targets!H:H, "Transport sector mitigation target", Targets!J:J, "Non GHG") &gt; 0, "non-GHG target", ""))))</f>
        <v>GHG target</v>
      </c>
      <c r="M63" s="17" t="str">
        <f>IF(K63="no","No transport target",IF(L63="non-GHG target","No GHG transport target",IF(AND(COUNTIFS(Targets!A:A,A63,Targets!H:H,"Transport sector mitigation target",Targets!J:J,"GHG",Targets!L:L,"Conditional")&gt;0,COUNTIFS(Targets!A:A,A63,Targets!H:H,"Transport sector mitigation target",Targets!J:J,"GHG",Targets!L:L,"Unconditional")&gt;0),"GHG unconditional and conditional",IF(COUNTIFS(Targets!A:A,A63,Targets!H:H,"Transport sector mitigation target",Targets!J:J,"GHG",Targets!L:L,"Conditional")&gt;0,"GHG conditional only",IF(COUNTIFS(Targets!A:A,A63,Targets!H:H,"Transport sector mitigation target",Targets!J:J,"GHG",Targets!L:L,"Unconditional")&gt;0,"GHG unconditional only",IF(COUNTIFS(Targets!A:A,A63,Targets!H:H,"Transport sector mitigation target",Targets!J:J,"GHG",Targets!L:L,"Unclear conditionality")&gt;0,"Conditionality unclear",""))))))</f>
        <v>GHG conditional only</v>
      </c>
      <c r="N63" s="17" t="str" cm="1">
        <f t="array" ref="N63">IF(ISNUMBER(MATCH("Transport sector adaptation target", _xlfn._xlws.FILTER(Targets!H:H, Targets!A:A =A63), 0)), "yes", "no")</f>
        <v>no</v>
      </c>
      <c r="O63" s="17" t="str">
        <f>IF(ISNA(MATCH(A63, Mitigation!A:A, 0)), "no", "yes")</f>
        <v>yes</v>
      </c>
      <c r="P63" s="17" t="str">
        <f>IF(ISNA(MATCH(A63, Adaptation!A:A, 0)), "no", "yes")</f>
        <v>yes</v>
      </c>
      <c r="Q63" s="17" t="str">
        <f>IF(ISNA(MATCH(A63, Benefits!A:A, 0)), "no", "yes")</f>
        <v>no</v>
      </c>
      <c r="R63" s="17"/>
      <c r="S63" s="17"/>
      <c r="T63" s="17" t="s">
        <v>501</v>
      </c>
      <c r="U63" s="135" t="s">
        <v>542</v>
      </c>
      <c r="V63" s="207" t="str">
        <f>VLOOKUP(Table1[[#This Row],[Country Code]],Table29[],3,FALSE)</f>
        <v>Non-Annex I</v>
      </c>
      <c r="W63" s="207" t="str">
        <f>VLOOKUP(Table1[[#This Row],[Country Code]],Table29[],4,FALSE)</f>
        <v>Africa</v>
      </c>
      <c r="X63" s="207" t="str">
        <f>VLOOKUP(Table1[[#This Row],[Country Code]],Table29[],5,FALSE)</f>
        <v>Low-income</v>
      </c>
      <c r="Y63" s="17"/>
      <c r="Z63" s="17"/>
      <c r="AC63" t="s">
        <v>246</v>
      </c>
      <c r="AD63" t="s">
        <v>530</v>
      </c>
      <c r="AE63" t="s">
        <v>526</v>
      </c>
    </row>
    <row r="64" spans="1:31" ht="15" customHeight="1" x14ac:dyDescent="0.25">
      <c r="A64" s="360">
        <v>17772</v>
      </c>
      <c r="B64" s="176" t="s">
        <v>446</v>
      </c>
      <c r="C64" s="243" t="str">
        <f>VLOOKUP(Table1[[#This Row],[Country Code]],Table29[],2,FALSE)</f>
        <v>United Arab Emirates</v>
      </c>
      <c r="D64" s="243" t="str">
        <f t="shared" si="2"/>
        <v>Good</v>
      </c>
      <c r="E64" s="176" t="s">
        <v>71</v>
      </c>
      <c r="F64" s="43" t="s">
        <v>498</v>
      </c>
      <c r="G64" s="43" t="str">
        <f t="shared" si="3"/>
        <v>First NDC</v>
      </c>
      <c r="H64" s="43" t="s">
        <v>499</v>
      </c>
      <c r="I64" s="351">
        <v>42634</v>
      </c>
      <c r="J64" s="320" t="s">
        <v>500</v>
      </c>
      <c r="K64" s="320" t="str" cm="1">
        <f t="array" ref="K64">IF(ISNUMBER(MATCH("Transport sector mitigation target", _xlfn._xlws.FILTER(Targets!H:H, Targets!A:A =A64), 0)), "yes", "no")</f>
        <v>yes</v>
      </c>
      <c r="L64" s="43" t="str">
        <f>IF(K64="no", "No transport target", IF(AND(COUNTIFS(Targets!A:A, A64, Targets!H:H, "Transport sector mitigation target", Targets!J:J, "GHG") &gt; 0, COUNTIFS(Targets!A:A, A64, Targets!H:H, "Transport sector mitigation target", Targets!J:J, "Non GHG") &gt; 0), "GHG and non-GHG target", IF(COUNTIFS(Targets!A:A, A64, Targets!H:H, "Transport sector mitigation target", Targets!J:J, "GHG") &gt; 0, "GHG target", IF(COUNTIFS(Targets!A:A, A64, Targets!H:H, "Transport sector mitigation target", Targets!J:J, "Non GHG") &gt; 0, "non-GHG target", ""))))</f>
        <v>non-GHG target</v>
      </c>
      <c r="M64" s="43" t="str">
        <f>IF(K64="no","No transport target",IF(L64="non-GHG target","No GHG transport target",IF(AND(COUNTIFS(Targets!A:A,A64,Targets!H:H,"Transport sector mitigation target",Targets!J:J,"GHG",Targets!L:L,"Conditional")&gt;0,COUNTIFS(Targets!A:A,A64,Targets!H:H,"Transport sector mitigation target",Targets!J:J,"GHG",Targets!L:L,"Unconditional")&gt;0),"GHG unconditional and conditional",IF(COUNTIFS(Targets!A:A,A64,Targets!H:H,"Transport sector mitigation target",Targets!J:J,"GHG",Targets!L:L,"Conditional")&gt;0,"GHG conditional only",IF(COUNTIFS(Targets!A:A,A64,Targets!H:H,"Transport sector mitigation target",Targets!J:J,"GHG",Targets!L:L,"Unconditional")&gt;0,"GHG unconditional only",IF(COUNTIFS(Targets!A:A,A64,Targets!H:H,"Transport sector mitigation target",Targets!J:J,"GHG",Targets!L:L,"Unclear conditionality")&gt;0,"Conditionality unclear",""))))))</f>
        <v>No GHG transport target</v>
      </c>
      <c r="N64" s="43" t="str" cm="1">
        <f t="array" ref="N64">IF(ISNUMBER(MATCH("Transport sector adaptation target", _xlfn._xlws.FILTER(Targets!H:H, Targets!A:A =A64), 0)), "yes", "no")</f>
        <v>no</v>
      </c>
      <c r="O64" s="43" t="str">
        <f>IF(ISNA(MATCH(A64, Mitigation!A:A, 0)), "no", "yes")</f>
        <v>yes</v>
      </c>
      <c r="P64" s="43" t="str">
        <f>IF(ISNA(MATCH(A64, Adaptation!A:A, 0)), "no", "yes")</f>
        <v>no</v>
      </c>
      <c r="Q64" s="43" t="str">
        <f>IF(ISNA(MATCH(A64, Benefits!A:A, 0)), "no", "yes")</f>
        <v>no</v>
      </c>
      <c r="R64" s="43"/>
      <c r="S64" s="43"/>
      <c r="T64" s="43" t="s">
        <v>501</v>
      </c>
      <c r="U64" s="312" t="s">
        <v>569</v>
      </c>
      <c r="V64" s="233" t="str">
        <f>VLOOKUP(Table1[[#This Row],[Country Code]],Table29[],3,FALSE)</f>
        <v>Non-Annex I</v>
      </c>
      <c r="W64" s="233" t="str">
        <f>VLOOKUP(Table1[[#This Row],[Country Code]],Table29[],4,FALSE)</f>
        <v>Asia</v>
      </c>
      <c r="X64" s="233" t="str">
        <f>VLOOKUP(Table1[[#This Row],[Country Code]],Table29[],5,FALSE)</f>
        <v>High-income</v>
      </c>
      <c r="Y64" s="43"/>
      <c r="Z64" s="43"/>
      <c r="AC64" t="s">
        <v>246</v>
      </c>
      <c r="AD64" t="s">
        <v>498</v>
      </c>
      <c r="AE64" t="s">
        <v>526</v>
      </c>
    </row>
    <row r="65" spans="1:31" ht="15" customHeight="1" x14ac:dyDescent="0.25">
      <c r="A65" s="360">
        <v>17653</v>
      </c>
      <c r="B65" s="176" t="s">
        <v>288</v>
      </c>
      <c r="C65" s="243" t="str">
        <f>VLOOKUP(Table1[[#This Row],[Country Code]],Table29[],2,FALSE)</f>
        <v>Mali</v>
      </c>
      <c r="D65" s="243" t="str">
        <f t="shared" si="2"/>
        <v>Good</v>
      </c>
      <c r="E65" s="176" t="s">
        <v>71</v>
      </c>
      <c r="F65" s="43" t="s">
        <v>498</v>
      </c>
      <c r="G65" s="43" t="str">
        <f t="shared" si="3"/>
        <v>First NDC</v>
      </c>
      <c r="H65" s="43" t="s">
        <v>499</v>
      </c>
      <c r="I65" s="351">
        <v>42636</v>
      </c>
      <c r="J65" s="320" t="s">
        <v>500</v>
      </c>
      <c r="K65" s="320" t="str" cm="1">
        <f t="array" ref="K65">IF(ISNUMBER(MATCH("Transport sector mitigation target", _xlfn._xlws.FILTER(Targets!H:H, Targets!A:A =A65), 0)), "yes", "no")</f>
        <v>no</v>
      </c>
      <c r="L65" s="43" t="str">
        <f>IF(K65="no", "No transport target", IF(AND(COUNTIFS(Targets!A:A, A65, Targets!H:H, "Transport sector mitigation target", Targets!J:J, "GHG") &gt; 0, COUNTIFS(Targets!A:A, A65, Targets!H:H, "Transport sector mitigation target", Targets!J:J, "Non GHG") &gt; 0), "GHG and non-GHG target", IF(COUNTIFS(Targets!A:A, A65, Targets!H:H, "Transport sector mitigation target", Targets!J:J, "GHG") &gt; 0, "GHG target", IF(COUNTIFS(Targets!A:A, A65, Targets!H:H, "Transport sector mitigation target", Targets!J:J, "Non GHG") &gt; 0, "non-GHG target", ""))))</f>
        <v>No transport target</v>
      </c>
      <c r="M65" s="43" t="str">
        <f>IF(K65="no","No transport target",IF(L65="non-GHG target","No GHG transport target",IF(AND(COUNTIFS(Targets!A:A,A65,Targets!H:H,"Transport sector mitigation target",Targets!J:J,"GHG",Targets!L:L,"Conditional")&gt;0,COUNTIFS(Targets!A:A,A65,Targets!H:H,"Transport sector mitigation target",Targets!J:J,"GHG",Targets!L:L,"Unconditional")&gt;0),"GHG unconditional and conditional",IF(COUNTIFS(Targets!A:A,A65,Targets!H:H,"Transport sector mitigation target",Targets!J:J,"GHG",Targets!L:L,"Conditional")&gt;0,"GHG conditional only",IF(COUNTIFS(Targets!A:A,A65,Targets!H:H,"Transport sector mitigation target",Targets!J:J,"GHG",Targets!L:L,"Unconditional")&gt;0,"GHG unconditional only",IF(COUNTIFS(Targets!A:A,A65,Targets!H:H,"Transport sector mitigation target",Targets!J:J,"GHG",Targets!L:L,"Unclear conditionality")&gt;0,"Conditionality unclear",""))))))</f>
        <v>No transport target</v>
      </c>
      <c r="N65" s="43" t="str" cm="1">
        <f t="array" ref="N65">IF(ISNUMBER(MATCH("Transport sector adaptation target", _xlfn._xlws.FILTER(Targets!H:H, Targets!A:A =A65), 0)), "yes", "no")</f>
        <v>no</v>
      </c>
      <c r="O65" s="43" t="str">
        <f>IF(ISNA(MATCH(A65, Mitigation!A:A, 0)), "no", "yes")</f>
        <v>yes</v>
      </c>
      <c r="P65" s="43" t="str">
        <f>IF(ISNA(MATCH(A65, Adaptation!A:A, 0)), "no", "yes")</f>
        <v>no</v>
      </c>
      <c r="Q65" s="43" t="str">
        <f>IF(ISNA(MATCH(A65, Benefits!A:A, 0)), "no", "yes")</f>
        <v>no</v>
      </c>
      <c r="R65" s="43"/>
      <c r="S65" s="43"/>
      <c r="T65" s="43" t="s">
        <v>501</v>
      </c>
      <c r="U65" s="312" t="s">
        <v>570</v>
      </c>
      <c r="V65" s="233" t="str">
        <f>VLOOKUP(Table1[[#This Row],[Country Code]],Table29[],3,FALSE)</f>
        <v>Non-Annex I</v>
      </c>
      <c r="W65" s="233" t="str">
        <f>VLOOKUP(Table1[[#This Row],[Country Code]],Table29[],4,FALSE)</f>
        <v>Africa</v>
      </c>
      <c r="X65" s="233" t="str">
        <f>VLOOKUP(Table1[[#This Row],[Country Code]],Table29[],5,FALSE)</f>
        <v>Low-income</v>
      </c>
      <c r="Y65" s="43"/>
      <c r="Z65" s="43"/>
      <c r="AC65" t="s">
        <v>246</v>
      </c>
      <c r="AD65" t="s">
        <v>525</v>
      </c>
      <c r="AE65" t="s">
        <v>526</v>
      </c>
    </row>
    <row r="66" spans="1:31" ht="15" customHeight="1" x14ac:dyDescent="0.25">
      <c r="A66" s="360">
        <v>17617</v>
      </c>
      <c r="B66" s="176" t="s">
        <v>228</v>
      </c>
      <c r="C66" s="243" t="str">
        <f>VLOOKUP(Table1[[#This Row],[Country Code]],Table29[],2,FALSE)</f>
        <v>India</v>
      </c>
      <c r="D66" s="243" t="str">
        <f t="shared" si="2"/>
        <v>Good</v>
      </c>
      <c r="E66" s="176" t="s">
        <v>71</v>
      </c>
      <c r="F66" s="43" t="s">
        <v>498</v>
      </c>
      <c r="G66" s="43" t="str">
        <f t="shared" si="3"/>
        <v>First NDC</v>
      </c>
      <c r="H66" s="43" t="s">
        <v>499</v>
      </c>
      <c r="I66" s="351">
        <v>42645</v>
      </c>
      <c r="J66" s="320" t="s">
        <v>500</v>
      </c>
      <c r="K66" s="320" t="str" cm="1">
        <f t="array" ref="K66">IF(ISNUMBER(MATCH("Transport sector mitigation target", _xlfn._xlws.FILTER(Targets!H:H, Targets!A:A =A66), 0)), "yes", "no")</f>
        <v>yes</v>
      </c>
      <c r="L66" s="43" t="str">
        <f>IF(K66="no", "No transport target", IF(AND(COUNTIFS(Targets!A:A, A66, Targets!H:H, "Transport sector mitigation target", Targets!J:J, "GHG") &gt; 0, COUNTIFS(Targets!A:A, A66, Targets!H:H, "Transport sector mitigation target", Targets!J:J, "Non GHG") &gt; 0), "GHG and non-GHG target", IF(COUNTIFS(Targets!A:A, A66, Targets!H:H, "Transport sector mitigation target", Targets!J:J, "GHG") &gt; 0, "GHG target", IF(COUNTIFS(Targets!A:A, A66, Targets!H:H, "Transport sector mitigation target", Targets!J:J, "Non GHG") &gt; 0, "non-GHG target", ""))))</f>
        <v>non-GHG target</v>
      </c>
      <c r="M66" s="43" t="str">
        <f>IF(K66="no","No transport target",IF(L66="non-GHG target","No GHG transport target",IF(AND(COUNTIFS(Targets!A:A,A66,Targets!H:H,"Transport sector mitigation target",Targets!J:J,"GHG",Targets!L:L,"Conditional")&gt;0,COUNTIFS(Targets!A:A,A66,Targets!H:H,"Transport sector mitigation target",Targets!J:J,"GHG",Targets!L:L,"Unconditional")&gt;0),"GHG unconditional and conditional",IF(COUNTIFS(Targets!A:A,A66,Targets!H:H,"Transport sector mitigation target",Targets!J:J,"GHG",Targets!L:L,"Conditional")&gt;0,"GHG conditional only",IF(COUNTIFS(Targets!A:A,A66,Targets!H:H,"Transport sector mitigation target",Targets!J:J,"GHG",Targets!L:L,"Unconditional")&gt;0,"GHG unconditional only",IF(COUNTIFS(Targets!A:A,A66,Targets!H:H,"Transport sector mitigation target",Targets!J:J,"GHG",Targets!L:L,"Unclear conditionality")&gt;0,"Conditionality unclear",""))))))</f>
        <v>No GHG transport target</v>
      </c>
      <c r="N66" s="43" t="str" cm="1">
        <f t="array" ref="N66">IF(ISNUMBER(MATCH("Transport sector adaptation target", _xlfn._xlws.FILTER(Targets!H:H, Targets!A:A =A66), 0)), "yes", "no")</f>
        <v>no</v>
      </c>
      <c r="O66" s="43" t="str">
        <f>IF(ISNA(MATCH(A66, Mitigation!A:A, 0)), "no", "yes")</f>
        <v>yes</v>
      </c>
      <c r="P66" s="43" t="str">
        <f>IF(ISNA(MATCH(A66, Adaptation!A:A, 0)), "no", "yes")</f>
        <v>no</v>
      </c>
      <c r="Q66" s="43" t="str">
        <f>IF(ISNA(MATCH(A66, Benefits!A:A, 0)), "no", "yes")</f>
        <v>no</v>
      </c>
      <c r="R66" s="43"/>
      <c r="S66" s="43"/>
      <c r="T66" s="43" t="s">
        <v>501</v>
      </c>
      <c r="U66" s="312" t="s">
        <v>571</v>
      </c>
      <c r="V66" s="233" t="str">
        <f>VLOOKUP(Table1[[#This Row],[Country Code]],Table29[],3,FALSE)</f>
        <v>Non-Annex I</v>
      </c>
      <c r="W66" s="233" t="str">
        <f>VLOOKUP(Table1[[#This Row],[Country Code]],Table29[],4,FALSE)</f>
        <v>Asia</v>
      </c>
      <c r="X66" s="233" t="str">
        <f>VLOOKUP(Table1[[#This Row],[Country Code]],Table29[],5,FALSE)</f>
        <v>Middle-income</v>
      </c>
      <c r="Y66" s="43"/>
      <c r="Z66" s="43"/>
      <c r="AC66" t="s">
        <v>246</v>
      </c>
      <c r="AD66" t="s">
        <v>528</v>
      </c>
      <c r="AE66" t="s">
        <v>526</v>
      </c>
    </row>
    <row r="67" spans="1:31" ht="15" customHeight="1" x14ac:dyDescent="0.25">
      <c r="A67" s="360">
        <v>17572</v>
      </c>
      <c r="B67" s="20" t="s">
        <v>160</v>
      </c>
      <c r="C67" s="206" t="str">
        <f>VLOOKUP(Table1[[#This Row],[Country Code]],Table29[],2,FALSE)</f>
        <v>Democratic People's Republic of Korea</v>
      </c>
      <c r="D67" s="243" t="str">
        <f t="shared" si="2"/>
        <v>Good</v>
      </c>
      <c r="E67" s="20" t="s">
        <v>71</v>
      </c>
      <c r="F67" s="17" t="s">
        <v>498</v>
      </c>
      <c r="G67" s="43" t="str">
        <f t="shared" si="3"/>
        <v>First NDC</v>
      </c>
      <c r="H67" s="17" t="s">
        <v>499</v>
      </c>
      <c r="I67" s="149">
        <v>42646</v>
      </c>
      <c r="J67" s="49" t="s">
        <v>500</v>
      </c>
      <c r="K67" s="49" t="str" cm="1">
        <f t="array" ref="K67">IF(ISNUMBER(MATCH("Transport sector mitigation target", _xlfn._xlws.FILTER(Targets!H:H, Targets!A:A =A67), 0)), "yes", "no")</f>
        <v>no</v>
      </c>
      <c r="L67" s="17" t="str">
        <f>IF(K67="no", "No transport target", IF(AND(COUNTIFS(Targets!A:A, A67, Targets!H:H, "Transport sector mitigation target", Targets!J:J, "GHG") &gt; 0, COUNTIFS(Targets!A:A, A67, Targets!H:H, "Transport sector mitigation target", Targets!J:J, "Non GHG") &gt; 0), "GHG and non-GHG target", IF(COUNTIFS(Targets!A:A, A67, Targets!H:H, "Transport sector mitigation target", Targets!J:J, "GHG") &gt; 0, "GHG target", IF(COUNTIFS(Targets!A:A, A67, Targets!H:H, "Transport sector mitigation target", Targets!J:J, "Non GHG") &gt; 0, "non-GHG target", ""))))</f>
        <v>No transport target</v>
      </c>
      <c r="M67" s="17" t="str">
        <f>IF(K67="no","No transport target",IF(L67="non-GHG target","No GHG transport target",IF(AND(COUNTIFS(Targets!A:A,A67,Targets!H:H,"Transport sector mitigation target",Targets!J:J,"GHG",Targets!L:L,"Conditional")&gt;0,COUNTIFS(Targets!A:A,A67,Targets!H:H,"Transport sector mitigation target",Targets!J:J,"GHG",Targets!L:L,"Unconditional")&gt;0),"GHG unconditional and conditional",IF(COUNTIFS(Targets!A:A,A67,Targets!H:H,"Transport sector mitigation target",Targets!J:J,"GHG",Targets!L:L,"Conditional")&gt;0,"GHG conditional only",IF(COUNTIFS(Targets!A:A,A67,Targets!H:H,"Transport sector mitigation target",Targets!J:J,"GHG",Targets!L:L,"Unconditional")&gt;0,"GHG unconditional only",IF(COUNTIFS(Targets!A:A,A67,Targets!H:H,"Transport sector mitigation target",Targets!J:J,"GHG",Targets!L:L,"Unclear conditionality")&gt;0,"Conditionality unclear",""))))))</f>
        <v>No transport target</v>
      </c>
      <c r="N67" s="17" t="str" cm="1">
        <f t="array" ref="N67">IF(ISNUMBER(MATCH("Transport sector adaptation target", _xlfn._xlws.FILTER(Targets!H:H, Targets!A:A =A67), 0)), "yes", "no")</f>
        <v>no</v>
      </c>
      <c r="O67" s="17" t="str">
        <f>IF(ISNA(MATCH(A67, Mitigation!A:A, 0)), "no", "yes")</f>
        <v>yes</v>
      </c>
      <c r="P67" s="17" t="str">
        <f>IF(ISNA(MATCH(A67, Adaptation!A:A, 0)), "no", "yes")</f>
        <v>no</v>
      </c>
      <c r="Q67" s="17" t="str">
        <f>IF(ISNA(MATCH(A67, Benefits!A:A, 0)), "no", "yes")</f>
        <v>no</v>
      </c>
      <c r="R67" s="17"/>
      <c r="S67" s="17"/>
      <c r="T67" s="17" t="s">
        <v>501</v>
      </c>
      <c r="U67" s="135" t="s">
        <v>572</v>
      </c>
      <c r="V67" s="207" t="str">
        <f>VLOOKUP(Table1[[#This Row],[Country Code]],Table29[],3,FALSE)</f>
        <v>Non-Annex I</v>
      </c>
      <c r="W67" s="207" t="str">
        <f>VLOOKUP(Table1[[#This Row],[Country Code]],Table29[],4,FALSE)</f>
        <v>Asia</v>
      </c>
      <c r="X67" s="207" t="str">
        <f>VLOOKUP(Table1[[#This Row],[Country Code]],Table29[],5,FALSE)</f>
        <v>Low-income</v>
      </c>
      <c r="Y67" s="17"/>
      <c r="Z67" s="17"/>
      <c r="AC67" t="s">
        <v>271</v>
      </c>
      <c r="AD67" t="s">
        <v>528</v>
      </c>
      <c r="AE67" t="s">
        <v>539</v>
      </c>
    </row>
    <row r="68" spans="1:31" ht="15" customHeight="1" x14ac:dyDescent="0.25">
      <c r="A68" s="360" t="s">
        <v>573</v>
      </c>
      <c r="B68" s="176" t="s">
        <v>81</v>
      </c>
      <c r="C68" s="243" t="str">
        <f>VLOOKUP(Table1[[#This Row],[Country Code]],Table29[],2,FALSE)</f>
        <v>Austria</v>
      </c>
      <c r="D68" s="243" t="str">
        <f t="shared" si="2"/>
        <v>Good</v>
      </c>
      <c r="E68" s="176" t="s">
        <v>71</v>
      </c>
      <c r="F68" s="43" t="s">
        <v>498</v>
      </c>
      <c r="G68" s="43" t="str">
        <f t="shared" si="3"/>
        <v>First NDC</v>
      </c>
      <c r="H68" s="350" t="s">
        <v>499</v>
      </c>
      <c r="I68" s="351">
        <v>42648</v>
      </c>
      <c r="J68" s="320" t="s">
        <v>574</v>
      </c>
      <c r="K68" s="320" t="str" cm="1">
        <f t="array" ref="K68">IF(ISNUMBER(MATCH("Transport sector mitigation target", _xlfn._xlws.FILTER(Targets!H:H, Targets!A:A =A68), 0)), "yes", "no")</f>
        <v>no</v>
      </c>
      <c r="L68" s="43" t="str">
        <f>IF(K68="no", "No transport target", IF(AND(COUNTIFS(Targets!A:A, A68, Targets!H:H, "Transport sector mitigation target", Targets!J:J, "GHG") &gt; 0, COUNTIFS(Targets!A:A, A68, Targets!H:H, "Transport sector mitigation target", Targets!J:J, "Non GHG") &gt; 0), "GHG and non-GHG target", IF(COUNTIFS(Targets!A:A, A68, Targets!H:H, "Transport sector mitigation target", Targets!J:J, "GHG") &gt; 0, "GHG target", IF(COUNTIFS(Targets!A:A, A68, Targets!H:H, "Transport sector mitigation target", Targets!J:J, "Non GHG") &gt; 0, "non-GHG target", ""))))</f>
        <v>No transport target</v>
      </c>
      <c r="M68" s="43" t="str">
        <f>IF(K68="no","No transport target",IF(L68="non-GHG target","No GHG transport target",IF(AND(COUNTIFS(Targets!A:A,A68,Targets!H:H,"Transport sector mitigation target",Targets!J:J,"GHG",Targets!L:L,"Conditional")&gt;0,COUNTIFS(Targets!A:A,A68,Targets!H:H,"Transport sector mitigation target",Targets!J:J,"GHG",Targets!L:L,"Unconditional")&gt;0),"GHG unconditional and conditional",IF(COUNTIFS(Targets!A:A,A68,Targets!H:H,"Transport sector mitigation target",Targets!J:J,"GHG",Targets!L:L,"Conditional")&gt;0,"GHG conditional only",IF(COUNTIFS(Targets!A:A,A68,Targets!H:H,"Transport sector mitigation target",Targets!J:J,"GHG",Targets!L:L,"Unconditional")&gt;0,"GHG unconditional only",IF(COUNTIFS(Targets!A:A,A68,Targets!H:H,"Transport sector mitigation target",Targets!J:J,"GHG",Targets!L:L,"Unclear conditionality")&gt;0,"Conditionality unclear",""))))))</f>
        <v>No transport target</v>
      </c>
      <c r="N68" s="43" t="str" cm="1">
        <f t="array" ref="N68">IF(ISNUMBER(MATCH("Transport sector adaptation target", _xlfn._xlws.FILTER(Targets!H:H, Targets!A:A =A68), 0)), "yes", "no")</f>
        <v>no</v>
      </c>
      <c r="O68" s="43" t="str">
        <f>IF(ISNA(MATCH(A68, Mitigation!A:A, 0)), "no", "yes")</f>
        <v>no</v>
      </c>
      <c r="P68" s="43" t="str">
        <f>IF(ISNA(MATCH(A68, Adaptation!A:A, 0)), "no", "yes")</f>
        <v>no</v>
      </c>
      <c r="Q68" s="43" t="str">
        <f>IF(ISNA(MATCH(A68, Benefits!A:A, 0)), "no", "yes")</f>
        <v>no</v>
      </c>
      <c r="R68" s="43"/>
      <c r="S68" s="43"/>
      <c r="T68" s="320" t="s">
        <v>574</v>
      </c>
      <c r="U68" s="312" t="s">
        <v>575</v>
      </c>
      <c r="V68" s="233" t="str">
        <f>VLOOKUP(Table1[[#This Row],[Country Code]],Table29[],3,FALSE)</f>
        <v>Annex I</v>
      </c>
      <c r="W68" s="233" t="str">
        <f>VLOOKUP(Table1[[#This Row],[Country Code]],Table29[],4,FALSE)</f>
        <v>Europe</v>
      </c>
      <c r="X68" s="233" t="str">
        <f>VLOOKUP(Table1[[#This Row],[Country Code]],Table29[],5,FALSE)</f>
        <v>High-income</v>
      </c>
      <c r="Y68" s="43"/>
      <c r="Z68" s="43"/>
      <c r="AC68" t="s">
        <v>293</v>
      </c>
      <c r="AD68" t="s">
        <v>498</v>
      </c>
      <c r="AE68" t="s">
        <v>526</v>
      </c>
    </row>
    <row r="69" spans="1:31" ht="15" customHeight="1" x14ac:dyDescent="0.25">
      <c r="A69" s="360" t="s">
        <v>576</v>
      </c>
      <c r="B69" s="176" t="s">
        <v>97</v>
      </c>
      <c r="C69" s="243" t="str">
        <f>VLOOKUP(Table1[[#This Row],[Country Code]],Table29[],2,FALSE)</f>
        <v>Belgium</v>
      </c>
      <c r="D69" s="243" t="str">
        <f t="shared" si="2"/>
        <v>Good</v>
      </c>
      <c r="E69" s="176" t="s">
        <v>71</v>
      </c>
      <c r="F69" s="43" t="s">
        <v>498</v>
      </c>
      <c r="G69" s="43" t="str">
        <f t="shared" si="3"/>
        <v>First NDC</v>
      </c>
      <c r="H69" s="350" t="s">
        <v>499</v>
      </c>
      <c r="I69" s="351">
        <v>42648</v>
      </c>
      <c r="J69" s="320" t="s">
        <v>574</v>
      </c>
      <c r="K69" s="320" t="str" cm="1">
        <f t="array" ref="K69">IF(ISNUMBER(MATCH("Transport sector mitigation target", _xlfn._xlws.FILTER(Targets!H:H, Targets!A:A =A69), 0)), "yes", "no")</f>
        <v>no</v>
      </c>
      <c r="L69" s="43" t="str">
        <f>IF(K69="no", "No transport target", IF(AND(COUNTIFS(Targets!A:A, A69, Targets!H:H, "Transport sector mitigation target", Targets!J:J, "GHG") &gt; 0, COUNTIFS(Targets!A:A, A69, Targets!H:H, "Transport sector mitigation target", Targets!J:J, "Non GHG") &gt; 0), "GHG and non-GHG target", IF(COUNTIFS(Targets!A:A, A69, Targets!H:H, "Transport sector mitigation target", Targets!J:J, "GHG") &gt; 0, "GHG target", IF(COUNTIFS(Targets!A:A, A69, Targets!H:H, "Transport sector mitigation target", Targets!J:J, "Non GHG") &gt; 0, "non-GHG target", ""))))</f>
        <v>No transport target</v>
      </c>
      <c r="M69" s="43" t="str">
        <f>IF(K69="no","No transport target",IF(L69="non-GHG target","No GHG transport target",IF(AND(COUNTIFS(Targets!A:A,A69,Targets!H:H,"Transport sector mitigation target",Targets!J:J,"GHG",Targets!L:L,"Conditional")&gt;0,COUNTIFS(Targets!A:A,A69,Targets!H:H,"Transport sector mitigation target",Targets!J:J,"GHG",Targets!L:L,"Unconditional")&gt;0),"GHG unconditional and conditional",IF(COUNTIFS(Targets!A:A,A69,Targets!H:H,"Transport sector mitigation target",Targets!J:J,"GHG",Targets!L:L,"Conditional")&gt;0,"GHG conditional only",IF(COUNTIFS(Targets!A:A,A69,Targets!H:H,"Transport sector mitigation target",Targets!J:J,"GHG",Targets!L:L,"Unconditional")&gt;0,"GHG unconditional only",IF(COUNTIFS(Targets!A:A,A69,Targets!H:H,"Transport sector mitigation target",Targets!J:J,"GHG",Targets!L:L,"Unclear conditionality")&gt;0,"Conditionality unclear",""))))))</f>
        <v>No transport target</v>
      </c>
      <c r="N69" s="43" t="str" cm="1">
        <f t="array" ref="N69">IF(ISNUMBER(MATCH("Transport sector adaptation target", _xlfn._xlws.FILTER(Targets!H:H, Targets!A:A =A69), 0)), "yes", "no")</f>
        <v>no</v>
      </c>
      <c r="O69" s="43" t="str">
        <f>IF(ISNA(MATCH(A69, Mitigation!A:A, 0)), "no", "yes")</f>
        <v>no</v>
      </c>
      <c r="P69" s="43" t="str">
        <f>IF(ISNA(MATCH(A69, Adaptation!A:A, 0)), "no", "yes")</f>
        <v>no</v>
      </c>
      <c r="Q69" s="43" t="str">
        <f>IF(ISNA(MATCH(A69, Benefits!A:A, 0)), "no", "yes")</f>
        <v>no</v>
      </c>
      <c r="R69" s="43"/>
      <c r="S69" s="43"/>
      <c r="T69" s="320" t="s">
        <v>574</v>
      </c>
      <c r="U69" s="312" t="s">
        <v>575</v>
      </c>
      <c r="V69" s="233" t="str">
        <f>VLOOKUP(Table1[[#This Row],[Country Code]],Table29[],3,FALSE)</f>
        <v>Annex I</v>
      </c>
      <c r="W69" s="233" t="str">
        <f>VLOOKUP(Table1[[#This Row],[Country Code]],Table29[],4,FALSE)</f>
        <v>Europe</v>
      </c>
      <c r="X69" s="233" t="str">
        <f>VLOOKUP(Table1[[#This Row],[Country Code]],Table29[],5,FALSE)</f>
        <v>High-income</v>
      </c>
      <c r="Y69" s="43"/>
      <c r="Z69" s="43"/>
      <c r="AC69" t="s">
        <v>295</v>
      </c>
      <c r="AD69" t="s">
        <v>528</v>
      </c>
      <c r="AE69" t="s">
        <v>532</v>
      </c>
    </row>
    <row r="70" spans="1:31" ht="15" customHeight="1" x14ac:dyDescent="0.25">
      <c r="A70" s="360">
        <v>17534</v>
      </c>
      <c r="B70" s="176" t="s">
        <v>105</v>
      </c>
      <c r="C70" s="243" t="str">
        <f>VLOOKUP(Table1[[#This Row],[Country Code]],Table29[],2,FALSE)</f>
        <v>Bolivia (Plurinational State of)</v>
      </c>
      <c r="D70" s="243" t="str">
        <f t="shared" si="2"/>
        <v>Good</v>
      </c>
      <c r="E70" s="176" t="s">
        <v>71</v>
      </c>
      <c r="F70" s="43" t="s">
        <v>498</v>
      </c>
      <c r="G70" s="43" t="str">
        <f t="shared" si="3"/>
        <v>First NDC</v>
      </c>
      <c r="H70" s="43" t="s">
        <v>499</v>
      </c>
      <c r="I70" s="351">
        <v>42648</v>
      </c>
      <c r="J70" s="320" t="s">
        <v>500</v>
      </c>
      <c r="K70" s="320" t="str" cm="1">
        <f t="array" ref="K70">IF(ISNUMBER(MATCH("Transport sector mitigation target", _xlfn._xlws.FILTER(Targets!H:H, Targets!A:A =A70), 0)), "yes", "no")</f>
        <v>no</v>
      </c>
      <c r="L70" s="43" t="str">
        <f>IF(K70="no", "No transport target", IF(AND(COUNTIFS(Targets!A:A, A70, Targets!H:H, "Transport sector mitigation target", Targets!J:J, "GHG") &gt; 0, COUNTIFS(Targets!A:A, A70, Targets!H:H, "Transport sector mitigation target", Targets!J:J, "Non GHG") &gt; 0), "GHG and non-GHG target", IF(COUNTIFS(Targets!A:A, A70, Targets!H:H, "Transport sector mitigation target", Targets!J:J, "GHG") &gt; 0, "GHG target", IF(COUNTIFS(Targets!A:A, A70, Targets!H:H, "Transport sector mitigation target", Targets!J:J, "Non GHG") &gt; 0, "non-GHG target", ""))))</f>
        <v>No transport target</v>
      </c>
      <c r="M70" s="43" t="str">
        <f>IF(K70="no","No transport target",IF(L70="non-GHG target","No GHG transport target",IF(AND(COUNTIFS(Targets!A:A,A70,Targets!H:H,"Transport sector mitigation target",Targets!J:J,"GHG",Targets!L:L,"Conditional")&gt;0,COUNTIFS(Targets!A:A,A70,Targets!H:H,"Transport sector mitigation target",Targets!J:J,"GHG",Targets!L:L,"Unconditional")&gt;0),"GHG unconditional and conditional",IF(COUNTIFS(Targets!A:A,A70,Targets!H:H,"Transport sector mitigation target",Targets!J:J,"GHG",Targets!L:L,"Conditional")&gt;0,"GHG conditional only",IF(COUNTIFS(Targets!A:A,A70,Targets!H:H,"Transport sector mitigation target",Targets!J:J,"GHG",Targets!L:L,"Unconditional")&gt;0,"GHG unconditional only",IF(COUNTIFS(Targets!A:A,A70,Targets!H:H,"Transport sector mitigation target",Targets!J:J,"GHG",Targets!L:L,"Unclear conditionality")&gt;0,"Conditionality unclear",""))))))</f>
        <v>No transport target</v>
      </c>
      <c r="N70" s="43" t="str" cm="1">
        <f t="array" ref="N70">IF(ISNUMBER(MATCH("Transport sector adaptation target", _xlfn._xlws.FILTER(Targets!H:H, Targets!A:A =A70), 0)), "yes", "no")</f>
        <v>no</v>
      </c>
      <c r="O70" s="43" t="str">
        <f>IF(ISNA(MATCH(A70, Mitigation!A:A, 0)), "no", "yes")</f>
        <v>no</v>
      </c>
      <c r="P70" s="43" t="str">
        <f>IF(ISNA(MATCH(A70, Adaptation!A:A, 0)), "no", "yes")</f>
        <v>no</v>
      </c>
      <c r="Q70" s="43" t="str">
        <f>IF(ISNA(MATCH(A70, Benefits!A:A, 0)), "no", "yes")</f>
        <v>no</v>
      </c>
      <c r="R70" s="43"/>
      <c r="S70" s="43"/>
      <c r="T70" s="43" t="s">
        <v>501</v>
      </c>
      <c r="U70" s="312" t="s">
        <v>577</v>
      </c>
      <c r="V70" s="233" t="str">
        <f>VLOOKUP(Table1[[#This Row],[Country Code]],Table29[],3,FALSE)</f>
        <v>Non-Annex I</v>
      </c>
      <c r="W70" s="233" t="str">
        <f>VLOOKUP(Table1[[#This Row],[Country Code]],Table29[],4,FALSE)</f>
        <v>Latin America and the Caribbean</v>
      </c>
      <c r="X70" s="233" t="str">
        <f>VLOOKUP(Table1[[#This Row],[Country Code]],Table29[],5,FALSE)</f>
        <v>Middle-income</v>
      </c>
      <c r="Y70" s="43"/>
      <c r="Z70" s="43"/>
      <c r="AC70" t="s">
        <v>295</v>
      </c>
      <c r="AD70" t="s">
        <v>528</v>
      </c>
      <c r="AE70" t="s">
        <v>532</v>
      </c>
    </row>
    <row r="71" spans="1:31" ht="15" customHeight="1" x14ac:dyDescent="0.25">
      <c r="A71" s="360" t="s">
        <v>578</v>
      </c>
      <c r="B71" s="176" t="s">
        <v>115</v>
      </c>
      <c r="C71" s="243" t="str">
        <f>VLOOKUP(Table1[[#This Row],[Country Code]],Table29[],2,FALSE)</f>
        <v>Bulgaria</v>
      </c>
      <c r="D71" s="243" t="str">
        <f t="shared" si="2"/>
        <v>Good</v>
      </c>
      <c r="E71" s="176" t="s">
        <v>71</v>
      </c>
      <c r="F71" s="43" t="s">
        <v>498</v>
      </c>
      <c r="G71" s="43" t="str">
        <f t="shared" si="3"/>
        <v>First NDC</v>
      </c>
      <c r="H71" s="350" t="s">
        <v>499</v>
      </c>
      <c r="I71" s="351">
        <v>42648</v>
      </c>
      <c r="J71" s="320" t="s">
        <v>574</v>
      </c>
      <c r="K71" s="320" t="str" cm="1">
        <f t="array" ref="K71">IF(ISNUMBER(MATCH("Transport sector mitigation target", _xlfn._xlws.FILTER(Targets!H:H, Targets!A:A =A71), 0)), "yes", "no")</f>
        <v>no</v>
      </c>
      <c r="L71" s="43" t="str">
        <f>IF(K71="no", "No transport target", IF(AND(COUNTIFS(Targets!A:A, A71, Targets!H:H, "Transport sector mitigation target", Targets!J:J, "GHG") &gt; 0, COUNTIFS(Targets!A:A, A71, Targets!H:H, "Transport sector mitigation target", Targets!J:J, "Non GHG") &gt; 0), "GHG and non-GHG target", IF(COUNTIFS(Targets!A:A, A71, Targets!H:H, "Transport sector mitigation target", Targets!J:J, "GHG") &gt; 0, "GHG target", IF(COUNTIFS(Targets!A:A, A71, Targets!H:H, "Transport sector mitigation target", Targets!J:J, "Non GHG") &gt; 0, "non-GHG target", ""))))</f>
        <v>No transport target</v>
      </c>
      <c r="M71" s="43" t="str">
        <f>IF(K71="no","No transport target",IF(L71="non-GHG target","No GHG transport target",IF(AND(COUNTIFS(Targets!A:A,A71,Targets!H:H,"Transport sector mitigation target",Targets!J:J,"GHG",Targets!L:L,"Conditional")&gt;0,COUNTIFS(Targets!A:A,A71,Targets!H:H,"Transport sector mitigation target",Targets!J:J,"GHG",Targets!L:L,"Unconditional")&gt;0),"GHG unconditional and conditional",IF(COUNTIFS(Targets!A:A,A71,Targets!H:H,"Transport sector mitigation target",Targets!J:J,"GHG",Targets!L:L,"Conditional")&gt;0,"GHG conditional only",IF(COUNTIFS(Targets!A:A,A71,Targets!H:H,"Transport sector mitigation target",Targets!J:J,"GHG",Targets!L:L,"Unconditional")&gt;0,"GHG unconditional only",IF(COUNTIFS(Targets!A:A,A71,Targets!H:H,"Transport sector mitigation target",Targets!J:J,"GHG",Targets!L:L,"Unclear conditionality")&gt;0,"Conditionality unclear",""))))))</f>
        <v>No transport target</v>
      </c>
      <c r="N71" s="43" t="str" cm="1">
        <f t="array" ref="N71">IF(ISNUMBER(MATCH("Transport sector adaptation target", _xlfn._xlws.FILTER(Targets!H:H, Targets!A:A =A71), 0)), "yes", "no")</f>
        <v>no</v>
      </c>
      <c r="O71" s="43" t="str">
        <f>IF(ISNA(MATCH(A71, Mitigation!A:A, 0)), "no", "yes")</f>
        <v>no</v>
      </c>
      <c r="P71" s="43" t="str">
        <f>IF(ISNA(MATCH(A71, Adaptation!A:A, 0)), "no", "yes")</f>
        <v>no</v>
      </c>
      <c r="Q71" s="43" t="str">
        <f>IF(ISNA(MATCH(A71, Benefits!A:A, 0)), "no", "yes")</f>
        <v>no</v>
      </c>
      <c r="R71" s="43"/>
      <c r="S71" s="43"/>
      <c r="T71" s="320" t="s">
        <v>574</v>
      </c>
      <c r="U71" s="312" t="s">
        <v>575</v>
      </c>
      <c r="V71" s="233" t="str">
        <f>VLOOKUP(Table1[[#This Row],[Country Code]],Table29[],3,FALSE)</f>
        <v>Annex I</v>
      </c>
      <c r="W71" s="233" t="str">
        <f>VLOOKUP(Table1[[#This Row],[Country Code]],Table29[],4,FALSE)</f>
        <v>Europe</v>
      </c>
      <c r="X71" s="233" t="str">
        <f>VLOOKUP(Table1[[#This Row],[Country Code]],Table29[],5,FALSE)</f>
        <v>Middle-income</v>
      </c>
      <c r="Y71" s="43"/>
      <c r="Z71" s="43"/>
      <c r="AC71" t="s">
        <v>297</v>
      </c>
      <c r="AD71" t="s">
        <v>528</v>
      </c>
      <c r="AE71" t="s">
        <v>526</v>
      </c>
    </row>
    <row r="72" spans="1:31" ht="15" customHeight="1" x14ac:dyDescent="0.25">
      <c r="A72" s="360" t="s">
        <v>579</v>
      </c>
      <c r="B72" s="176" t="s">
        <v>152</v>
      </c>
      <c r="C72" s="243" t="str">
        <f>VLOOKUP(Table1[[#This Row],[Country Code]],Table29[],2,FALSE)</f>
        <v>Croatia</v>
      </c>
      <c r="D72" s="243" t="str">
        <f t="shared" si="2"/>
        <v>Good</v>
      </c>
      <c r="E72" s="176" t="s">
        <v>71</v>
      </c>
      <c r="F72" s="43" t="s">
        <v>498</v>
      </c>
      <c r="G72" s="43" t="str">
        <f t="shared" si="3"/>
        <v>First NDC</v>
      </c>
      <c r="H72" s="350" t="s">
        <v>499</v>
      </c>
      <c r="I72" s="351">
        <v>42648</v>
      </c>
      <c r="J72" s="320" t="s">
        <v>574</v>
      </c>
      <c r="K72" s="320" t="str" cm="1">
        <f t="array" ref="K72">IF(ISNUMBER(MATCH("Transport sector mitigation target", _xlfn._xlws.FILTER(Targets!H:H, Targets!A:A =A72), 0)), "yes", "no")</f>
        <v>no</v>
      </c>
      <c r="L72" s="43" t="str">
        <f>IF(K72="no", "No transport target", IF(AND(COUNTIFS(Targets!A:A, A72, Targets!H:H, "Transport sector mitigation target", Targets!J:J, "GHG") &gt; 0, COUNTIFS(Targets!A:A, A72, Targets!H:H, "Transport sector mitigation target", Targets!J:J, "Non GHG") &gt; 0), "GHG and non-GHG target", IF(COUNTIFS(Targets!A:A, A72, Targets!H:H, "Transport sector mitigation target", Targets!J:J, "GHG") &gt; 0, "GHG target", IF(COUNTIFS(Targets!A:A, A72, Targets!H:H, "Transport sector mitigation target", Targets!J:J, "Non GHG") &gt; 0, "non-GHG target", ""))))</f>
        <v>No transport target</v>
      </c>
      <c r="M72" s="43" t="str">
        <f>IF(K72="no","No transport target",IF(L72="non-GHG target","No GHG transport target",IF(AND(COUNTIFS(Targets!A:A,A72,Targets!H:H,"Transport sector mitigation target",Targets!J:J,"GHG",Targets!L:L,"Conditional")&gt;0,COUNTIFS(Targets!A:A,A72,Targets!H:H,"Transport sector mitigation target",Targets!J:J,"GHG",Targets!L:L,"Unconditional")&gt;0),"GHG unconditional and conditional",IF(COUNTIFS(Targets!A:A,A72,Targets!H:H,"Transport sector mitigation target",Targets!J:J,"GHG",Targets!L:L,"Conditional")&gt;0,"GHG conditional only",IF(COUNTIFS(Targets!A:A,A72,Targets!H:H,"Transport sector mitigation target",Targets!J:J,"GHG",Targets!L:L,"Unconditional")&gt;0,"GHG unconditional only",IF(COUNTIFS(Targets!A:A,A72,Targets!H:H,"Transport sector mitigation target",Targets!J:J,"GHG",Targets!L:L,"Unclear conditionality")&gt;0,"Conditionality unclear",""))))))</f>
        <v>No transport target</v>
      </c>
      <c r="N72" s="43" t="str" cm="1">
        <f t="array" ref="N72">IF(ISNUMBER(MATCH("Transport sector adaptation target", _xlfn._xlws.FILTER(Targets!H:H, Targets!A:A =A72), 0)), "yes", "no")</f>
        <v>no</v>
      </c>
      <c r="O72" s="43" t="str">
        <f>IF(ISNA(MATCH(A72, Mitigation!A:A, 0)), "no", "yes")</f>
        <v>no</v>
      </c>
      <c r="P72" s="43" t="str">
        <f>IF(ISNA(MATCH(A72, Adaptation!A:A, 0)), "no", "yes")</f>
        <v>no</v>
      </c>
      <c r="Q72" s="43" t="str">
        <f>IF(ISNA(MATCH(A72, Benefits!A:A, 0)), "no", "yes")</f>
        <v>no</v>
      </c>
      <c r="R72" s="43"/>
      <c r="S72" s="43"/>
      <c r="T72" s="320" t="s">
        <v>574</v>
      </c>
      <c r="U72" s="312" t="s">
        <v>575</v>
      </c>
      <c r="V72" s="233" t="str">
        <f>VLOOKUP(Table1[[#This Row],[Country Code]],Table29[],3,FALSE)</f>
        <v>Annex I</v>
      </c>
      <c r="W72" s="233" t="str">
        <f>VLOOKUP(Table1[[#This Row],[Country Code]],Table29[],4,FALSE)</f>
        <v>Europe</v>
      </c>
      <c r="X72" s="233" t="str">
        <f>VLOOKUP(Table1[[#This Row],[Country Code]],Table29[],5,FALSE)</f>
        <v>High-income</v>
      </c>
      <c r="Y72" s="43"/>
      <c r="Z72" s="43"/>
      <c r="AC72" t="s">
        <v>316</v>
      </c>
      <c r="AD72" t="s">
        <v>498</v>
      </c>
      <c r="AE72" t="s">
        <v>526</v>
      </c>
    </row>
    <row r="73" spans="1:31" ht="15" customHeight="1" x14ac:dyDescent="0.25">
      <c r="A73" s="360" t="s">
        <v>580</v>
      </c>
      <c r="B73" s="176" t="s">
        <v>156</v>
      </c>
      <c r="C73" s="243" t="str">
        <f>VLOOKUP(Table1[[#This Row],[Country Code]],Table29[],2,FALSE)</f>
        <v>Cyprus</v>
      </c>
      <c r="D73" s="243" t="str">
        <f t="shared" si="2"/>
        <v>Good</v>
      </c>
      <c r="E73" s="176" t="s">
        <v>71</v>
      </c>
      <c r="F73" s="43" t="s">
        <v>498</v>
      </c>
      <c r="G73" s="43" t="str">
        <f t="shared" si="3"/>
        <v>First NDC</v>
      </c>
      <c r="H73" s="350" t="s">
        <v>499</v>
      </c>
      <c r="I73" s="351">
        <v>42648</v>
      </c>
      <c r="J73" s="320" t="s">
        <v>574</v>
      </c>
      <c r="K73" s="320" t="str" cm="1">
        <f t="array" ref="K73">IF(ISNUMBER(MATCH("Transport sector mitigation target", _xlfn._xlws.FILTER(Targets!H:H, Targets!A:A =A73), 0)), "yes", "no")</f>
        <v>no</v>
      </c>
      <c r="L73" s="43" t="str">
        <f>IF(K73="no", "No transport target", IF(AND(COUNTIFS(Targets!A:A, A73, Targets!H:H, "Transport sector mitigation target", Targets!J:J, "GHG") &gt; 0, COUNTIFS(Targets!A:A, A73, Targets!H:H, "Transport sector mitigation target", Targets!J:J, "Non GHG") &gt; 0), "GHG and non-GHG target", IF(COUNTIFS(Targets!A:A, A73, Targets!H:H, "Transport sector mitigation target", Targets!J:J, "GHG") &gt; 0, "GHG target", IF(COUNTIFS(Targets!A:A, A73, Targets!H:H, "Transport sector mitigation target", Targets!J:J, "Non GHG") &gt; 0, "non-GHG target", ""))))</f>
        <v>No transport target</v>
      </c>
      <c r="M73" s="43" t="str">
        <f>IF(K73="no","No transport target",IF(L73="non-GHG target","No GHG transport target",IF(AND(COUNTIFS(Targets!A:A,A73,Targets!H:H,"Transport sector mitigation target",Targets!J:J,"GHG",Targets!L:L,"Conditional")&gt;0,COUNTIFS(Targets!A:A,A73,Targets!H:H,"Transport sector mitigation target",Targets!J:J,"GHG",Targets!L:L,"Unconditional")&gt;0),"GHG unconditional and conditional",IF(COUNTIFS(Targets!A:A,A73,Targets!H:H,"Transport sector mitigation target",Targets!J:J,"GHG",Targets!L:L,"Conditional")&gt;0,"GHG conditional only",IF(COUNTIFS(Targets!A:A,A73,Targets!H:H,"Transport sector mitigation target",Targets!J:J,"GHG",Targets!L:L,"Unconditional")&gt;0,"GHG unconditional only",IF(COUNTIFS(Targets!A:A,A73,Targets!H:H,"Transport sector mitigation target",Targets!J:J,"GHG",Targets!L:L,"Unclear conditionality")&gt;0,"Conditionality unclear",""))))))</f>
        <v>No transport target</v>
      </c>
      <c r="N73" s="43" t="str" cm="1">
        <f t="array" ref="N73">IF(ISNUMBER(MATCH("Transport sector adaptation target", _xlfn._xlws.FILTER(Targets!H:H, Targets!A:A =A73), 0)), "yes", "no")</f>
        <v>no</v>
      </c>
      <c r="O73" s="43" t="str">
        <f>IF(ISNA(MATCH(A73, Mitigation!A:A, 0)), "no", "yes")</f>
        <v>no</v>
      </c>
      <c r="P73" s="43" t="str">
        <f>IF(ISNA(MATCH(A73, Adaptation!A:A, 0)), "no", "yes")</f>
        <v>no</v>
      </c>
      <c r="Q73" s="43" t="str">
        <f>IF(ISNA(MATCH(A73, Benefits!A:A, 0)), "no", "yes")</f>
        <v>no</v>
      </c>
      <c r="R73" s="43"/>
      <c r="S73" s="43"/>
      <c r="T73" s="320" t="s">
        <v>574</v>
      </c>
      <c r="U73" s="312" t="s">
        <v>575</v>
      </c>
      <c r="V73" s="233" t="str">
        <f>VLOOKUP(Table1[[#This Row],[Country Code]],Table29[],3,FALSE)</f>
        <v>Annex I</v>
      </c>
      <c r="W73" s="233" t="str">
        <f>VLOOKUP(Table1[[#This Row],[Country Code]],Table29[],4,FALSE)</f>
        <v>Asia</v>
      </c>
      <c r="X73" s="233" t="str">
        <f>VLOOKUP(Table1[[#This Row],[Country Code]],Table29[],5,FALSE)</f>
        <v>High-income</v>
      </c>
      <c r="Y73" s="43"/>
      <c r="Z73" s="43"/>
      <c r="AC73" s="15" t="s">
        <v>324</v>
      </c>
      <c r="AD73" s="15" t="s">
        <v>227</v>
      </c>
      <c r="AE73" t="s">
        <v>526</v>
      </c>
    </row>
    <row r="74" spans="1:31" ht="15" customHeight="1" x14ac:dyDescent="0.25">
      <c r="A74" s="360" t="s">
        <v>581</v>
      </c>
      <c r="B74" s="176" t="s">
        <v>158</v>
      </c>
      <c r="C74" s="243" t="str">
        <f>VLOOKUP(Table1[[#This Row],[Country Code]],Table29[],2,FALSE)</f>
        <v>Czech Republic</v>
      </c>
      <c r="D74" s="243" t="str">
        <f t="shared" ref="D74:D137" si="4">IF(J74&lt;&gt;"Active",
    "Good",
    IF(COUNTIFS(C:C, C74, E:E, E74, J:J, "Active")&gt;1,
       IF(E74="LTS", "Error: more than one LTS active",
          IF(E74="NDC", "Error: more than one NDC active", "Error")
       ),
       "Good"
    )
)</f>
        <v>Good</v>
      </c>
      <c r="E74" s="176" t="s">
        <v>71</v>
      </c>
      <c r="F74" s="43" t="s">
        <v>498</v>
      </c>
      <c r="G74" s="43" t="str">
        <f t="shared" ref="G74:G137" si="5">IF(H74="NDC 1.0","First NDC",
IF(OR(H74="NDC 1.1",H74="NDC 1.2",H74="NDC 1.3"),"First NDC updated",
IF(H74="NDC 2.0","Second NDC",
IF(OR(H74="NDC 2.1",H74="NDC 2.2",H74="NDC 2.3"),"Second NDC updated",
IF(H74="NDC 3.0","Third NDC",
IF(OR(H74="NDC 3.1",H74="NDC 3.2",H74="NDC 3.3"),"Third NDC updated",
F74))))))</f>
        <v>First NDC</v>
      </c>
      <c r="H74" s="350" t="s">
        <v>499</v>
      </c>
      <c r="I74" s="351">
        <v>42648</v>
      </c>
      <c r="J74" s="320" t="s">
        <v>574</v>
      </c>
      <c r="K74" s="320" t="str" cm="1">
        <f t="array" ref="K74">IF(ISNUMBER(MATCH("Transport sector mitigation target", _xlfn._xlws.FILTER(Targets!H:H, Targets!A:A =A74), 0)), "yes", "no")</f>
        <v>no</v>
      </c>
      <c r="L74" s="43" t="str">
        <f>IF(K74="no", "No transport target", IF(AND(COUNTIFS(Targets!A:A, A74, Targets!H:H, "Transport sector mitigation target", Targets!J:J, "GHG") &gt; 0, COUNTIFS(Targets!A:A, A74, Targets!H:H, "Transport sector mitigation target", Targets!J:J, "Non GHG") &gt; 0), "GHG and non-GHG target", IF(COUNTIFS(Targets!A:A, A74, Targets!H:H, "Transport sector mitigation target", Targets!J:J, "GHG") &gt; 0, "GHG target", IF(COUNTIFS(Targets!A:A, A74, Targets!H:H, "Transport sector mitigation target", Targets!J:J, "Non GHG") &gt; 0, "non-GHG target", ""))))</f>
        <v>No transport target</v>
      </c>
      <c r="M74" s="43" t="str">
        <f>IF(K74="no","No transport target",IF(L74="non-GHG target","No GHG transport target",IF(AND(COUNTIFS(Targets!A:A,A74,Targets!H:H,"Transport sector mitigation target",Targets!J:J,"GHG",Targets!L:L,"Conditional")&gt;0,COUNTIFS(Targets!A:A,A74,Targets!H:H,"Transport sector mitigation target",Targets!J:J,"GHG",Targets!L:L,"Unconditional")&gt;0),"GHG unconditional and conditional",IF(COUNTIFS(Targets!A:A,A74,Targets!H:H,"Transport sector mitigation target",Targets!J:J,"GHG",Targets!L:L,"Conditional")&gt;0,"GHG conditional only",IF(COUNTIFS(Targets!A:A,A74,Targets!H:H,"Transport sector mitigation target",Targets!J:J,"GHG",Targets!L:L,"Unconditional")&gt;0,"GHG unconditional only",IF(COUNTIFS(Targets!A:A,A74,Targets!H:H,"Transport sector mitigation target",Targets!J:J,"GHG",Targets!L:L,"Unclear conditionality")&gt;0,"Conditionality unclear",""))))))</f>
        <v>No transport target</v>
      </c>
      <c r="N74" s="43" t="str" cm="1">
        <f t="array" ref="N74">IF(ISNUMBER(MATCH("Transport sector adaptation target", _xlfn._xlws.FILTER(Targets!H:H, Targets!A:A =A74), 0)), "yes", "no")</f>
        <v>no</v>
      </c>
      <c r="O74" s="43" t="str">
        <f>IF(ISNA(MATCH(A74, Mitigation!A:A, 0)), "no", "yes")</f>
        <v>no</v>
      </c>
      <c r="P74" s="43" t="str">
        <f>IF(ISNA(MATCH(A74, Adaptation!A:A, 0)), "no", "yes")</f>
        <v>no</v>
      </c>
      <c r="Q74" s="43" t="str">
        <f>IF(ISNA(MATCH(A74, Benefits!A:A, 0)), "no", "yes")</f>
        <v>no</v>
      </c>
      <c r="R74" s="43"/>
      <c r="S74" s="43"/>
      <c r="T74" s="320" t="s">
        <v>574</v>
      </c>
      <c r="U74" s="312" t="s">
        <v>575</v>
      </c>
      <c r="V74" s="233" t="str">
        <f>VLOOKUP(Table1[[#This Row],[Country Code]],Table29[],3,FALSE)</f>
        <v>Annex I</v>
      </c>
      <c r="W74" s="233" t="str">
        <f>VLOOKUP(Table1[[#This Row],[Country Code]],Table29[],4,FALSE)</f>
        <v>Europe</v>
      </c>
      <c r="X74" s="233" t="str">
        <f>VLOOKUP(Table1[[#This Row],[Country Code]],Table29[],5,FALSE)</f>
        <v>High-income</v>
      </c>
      <c r="Y74" s="43"/>
      <c r="Z74" s="43"/>
      <c r="AC74" s="15" t="s">
        <v>330</v>
      </c>
      <c r="AD74" s="15" t="s">
        <v>530</v>
      </c>
      <c r="AE74" t="s">
        <v>526</v>
      </c>
    </row>
    <row r="75" spans="1:31" ht="15" customHeight="1" x14ac:dyDescent="0.25">
      <c r="A75" s="360" t="s">
        <v>582</v>
      </c>
      <c r="B75" s="176" t="s">
        <v>164</v>
      </c>
      <c r="C75" s="243" t="str">
        <f>VLOOKUP(Table1[[#This Row],[Country Code]],Table29[],2,FALSE)</f>
        <v>Denmark</v>
      </c>
      <c r="D75" s="243" t="str">
        <f t="shared" si="4"/>
        <v>Good</v>
      </c>
      <c r="E75" s="176" t="s">
        <v>71</v>
      </c>
      <c r="F75" s="43" t="s">
        <v>498</v>
      </c>
      <c r="G75" s="43" t="str">
        <f t="shared" si="5"/>
        <v>First NDC</v>
      </c>
      <c r="H75" s="350" t="s">
        <v>499</v>
      </c>
      <c r="I75" s="351">
        <v>42648</v>
      </c>
      <c r="J75" s="320" t="s">
        <v>583</v>
      </c>
      <c r="K75" s="320" t="str" cm="1">
        <f t="array" ref="K75">IF(ISNUMBER(MATCH("Transport sector mitigation target", _xlfn._xlws.FILTER(Targets!H:H, Targets!A:A =A75), 0)), "yes", "no")</f>
        <v>no</v>
      </c>
      <c r="L75" s="43" t="str">
        <f>IF(K75="no", "No transport target", IF(AND(COUNTIFS(Targets!A:A, A75, Targets!H:H, "Transport sector mitigation target", Targets!J:J, "GHG") &gt; 0, COUNTIFS(Targets!A:A, A75, Targets!H:H, "Transport sector mitigation target", Targets!J:J, "Non GHG") &gt; 0), "GHG and non-GHG target", IF(COUNTIFS(Targets!A:A, A75, Targets!H:H, "Transport sector mitigation target", Targets!J:J, "GHG") &gt; 0, "GHG target", IF(COUNTIFS(Targets!A:A, A75, Targets!H:H, "Transport sector mitigation target", Targets!J:J, "Non GHG") &gt; 0, "non-GHG target", ""))))</f>
        <v>No transport target</v>
      </c>
      <c r="M75" s="43" t="str">
        <f>IF(K75="no","No transport target",IF(L75="non-GHG target","No GHG transport target",IF(AND(COUNTIFS(Targets!A:A,A75,Targets!H:H,"Transport sector mitigation target",Targets!J:J,"GHG",Targets!L:L,"Conditional")&gt;0,COUNTIFS(Targets!A:A,A75,Targets!H:H,"Transport sector mitigation target",Targets!J:J,"GHG",Targets!L:L,"Unconditional")&gt;0),"GHG unconditional and conditional",IF(COUNTIFS(Targets!A:A,A75,Targets!H:H,"Transport sector mitigation target",Targets!J:J,"GHG",Targets!L:L,"Conditional")&gt;0,"GHG conditional only",IF(COUNTIFS(Targets!A:A,A75,Targets!H:H,"Transport sector mitigation target",Targets!J:J,"GHG",Targets!L:L,"Unconditional")&gt;0,"GHG unconditional only",IF(COUNTIFS(Targets!A:A,A75,Targets!H:H,"Transport sector mitigation target",Targets!J:J,"GHG",Targets!L:L,"Unclear conditionality")&gt;0,"Conditionality unclear",""))))))</f>
        <v>No transport target</v>
      </c>
      <c r="N75" s="43" t="str" cm="1">
        <f t="array" ref="N75">IF(ISNUMBER(MATCH("Transport sector adaptation target", _xlfn._xlws.FILTER(Targets!H:H, Targets!A:A =A75), 0)), "yes", "no")</f>
        <v>no</v>
      </c>
      <c r="O75" s="43" t="str">
        <f>IF(ISNA(MATCH(A75, Mitigation!A:A, 0)), "no", "yes")</f>
        <v>no</v>
      </c>
      <c r="P75" s="43" t="str">
        <f>IF(ISNA(MATCH(A75, Adaptation!A:A, 0)), "no", "yes")</f>
        <v>no</v>
      </c>
      <c r="Q75" s="43" t="str">
        <f>IF(ISNA(MATCH(A75, Benefits!A:A, 0)), "no", "yes")</f>
        <v>no</v>
      </c>
      <c r="R75" s="43"/>
      <c r="S75" s="43"/>
      <c r="T75" s="320" t="s">
        <v>574</v>
      </c>
      <c r="U75" s="312" t="s">
        <v>575</v>
      </c>
      <c r="V75" s="233" t="str">
        <f>VLOOKUP(Table1[[#This Row],[Country Code]],Table29[],3,FALSE)</f>
        <v>Annex I</v>
      </c>
      <c r="W75" s="233" t="str">
        <f>VLOOKUP(Table1[[#This Row],[Country Code]],Table29[],4,FALSE)</f>
        <v>Europe</v>
      </c>
      <c r="X75" s="233" t="str">
        <f>VLOOKUP(Table1[[#This Row],[Country Code]],Table29[],5,FALSE)</f>
        <v>High-income</v>
      </c>
      <c r="Y75" s="43"/>
      <c r="Z75" s="43"/>
      <c r="AC75" t="s">
        <v>357</v>
      </c>
      <c r="AD75" t="s">
        <v>227</v>
      </c>
      <c r="AE75" t="s">
        <v>526</v>
      </c>
    </row>
    <row r="76" spans="1:31" ht="15" customHeight="1" x14ac:dyDescent="0.25">
      <c r="A76" s="360" t="s">
        <v>584</v>
      </c>
      <c r="B76" s="176" t="s">
        <v>183</v>
      </c>
      <c r="C76" s="243" t="str">
        <f>VLOOKUP(Table1[[#This Row],[Country Code]],Table29[],2,FALSE)</f>
        <v>Estonia</v>
      </c>
      <c r="D76" s="243" t="str">
        <f t="shared" si="4"/>
        <v>Good</v>
      </c>
      <c r="E76" s="176" t="s">
        <v>71</v>
      </c>
      <c r="F76" s="43" t="s">
        <v>498</v>
      </c>
      <c r="G76" s="43" t="str">
        <f t="shared" si="5"/>
        <v>First NDC</v>
      </c>
      <c r="H76" s="350" t="s">
        <v>499</v>
      </c>
      <c r="I76" s="351">
        <v>42648</v>
      </c>
      <c r="J76" s="320" t="s">
        <v>574</v>
      </c>
      <c r="K76" s="320" t="str" cm="1">
        <f t="array" ref="K76">IF(ISNUMBER(MATCH("Transport sector mitigation target", _xlfn._xlws.FILTER(Targets!H:H, Targets!A:A =A76), 0)), "yes", "no")</f>
        <v>no</v>
      </c>
      <c r="L76" s="43" t="str">
        <f>IF(K76="no", "No transport target", IF(AND(COUNTIFS(Targets!A:A, A76, Targets!H:H, "Transport sector mitigation target", Targets!J:J, "GHG") &gt; 0, COUNTIFS(Targets!A:A, A76, Targets!H:H, "Transport sector mitigation target", Targets!J:J, "Non GHG") &gt; 0), "GHG and non-GHG target", IF(COUNTIFS(Targets!A:A, A76, Targets!H:H, "Transport sector mitigation target", Targets!J:J, "GHG") &gt; 0, "GHG target", IF(COUNTIFS(Targets!A:A, A76, Targets!H:H, "Transport sector mitigation target", Targets!J:J, "Non GHG") &gt; 0, "non-GHG target", ""))))</f>
        <v>No transport target</v>
      </c>
      <c r="M76" s="43" t="str">
        <f>IF(K76="no","No transport target",IF(L76="non-GHG target","No GHG transport target",IF(AND(COUNTIFS(Targets!A:A,A76,Targets!H:H,"Transport sector mitigation target",Targets!J:J,"GHG",Targets!L:L,"Conditional")&gt;0,COUNTIFS(Targets!A:A,A76,Targets!H:H,"Transport sector mitigation target",Targets!J:J,"GHG",Targets!L:L,"Unconditional")&gt;0),"GHG unconditional and conditional",IF(COUNTIFS(Targets!A:A,A76,Targets!H:H,"Transport sector mitigation target",Targets!J:J,"GHG",Targets!L:L,"Conditional")&gt;0,"GHG conditional only",IF(COUNTIFS(Targets!A:A,A76,Targets!H:H,"Transport sector mitigation target",Targets!J:J,"GHG",Targets!L:L,"Unconditional")&gt;0,"GHG unconditional only",IF(COUNTIFS(Targets!A:A,A76,Targets!H:H,"Transport sector mitigation target",Targets!J:J,"GHG",Targets!L:L,"Unclear conditionality")&gt;0,"Conditionality unclear",""))))))</f>
        <v>No transport target</v>
      </c>
      <c r="N76" s="43" t="str" cm="1">
        <f t="array" ref="N76">IF(ISNUMBER(MATCH("Transport sector adaptation target", _xlfn._xlws.FILTER(Targets!H:H, Targets!A:A =A76), 0)), "yes", "no")</f>
        <v>no</v>
      </c>
      <c r="O76" s="43" t="str">
        <f>IF(ISNA(MATCH(A76, Mitigation!A:A, 0)), "no", "yes")</f>
        <v>no</v>
      </c>
      <c r="P76" s="43" t="str">
        <f>IF(ISNA(MATCH(A76, Adaptation!A:A, 0)), "no", "yes")</f>
        <v>no</v>
      </c>
      <c r="Q76" s="43" t="str">
        <f>IF(ISNA(MATCH(A76, Benefits!A:A, 0)), "no", "yes")</f>
        <v>no</v>
      </c>
      <c r="R76" s="43"/>
      <c r="S76" s="43"/>
      <c r="T76" s="320" t="s">
        <v>574</v>
      </c>
      <c r="U76" s="312" t="s">
        <v>575</v>
      </c>
      <c r="V76" s="233" t="str">
        <f>VLOOKUP(Table1[[#This Row],[Country Code]],Table29[],3,FALSE)</f>
        <v>Annex I</v>
      </c>
      <c r="W76" s="233" t="str">
        <f>VLOOKUP(Table1[[#This Row],[Country Code]],Table29[],4,FALSE)</f>
        <v>Europe</v>
      </c>
      <c r="X76" s="233" t="str">
        <f>VLOOKUP(Table1[[#This Row],[Country Code]],Table29[],5,FALSE)</f>
        <v>High-income</v>
      </c>
      <c r="Y76" s="43"/>
      <c r="Z76" s="43"/>
      <c r="AC76" t="s">
        <v>363</v>
      </c>
      <c r="AD76" t="s">
        <v>498</v>
      </c>
      <c r="AE76" t="s">
        <v>526</v>
      </c>
    </row>
    <row r="77" spans="1:31" ht="15" customHeight="1" x14ac:dyDescent="0.25">
      <c r="A77" s="360">
        <v>17589</v>
      </c>
      <c r="B77" s="176" t="s">
        <v>189</v>
      </c>
      <c r="C77" s="243" t="str">
        <f>VLOOKUP(Table1[[#This Row],[Country Code]],Table29[],2,FALSE)</f>
        <v>European Union</v>
      </c>
      <c r="D77" s="243" t="str">
        <f t="shared" si="4"/>
        <v>Good</v>
      </c>
      <c r="E77" s="176" t="s">
        <v>71</v>
      </c>
      <c r="F77" s="43" t="s">
        <v>498</v>
      </c>
      <c r="G77" s="43" t="str">
        <f t="shared" si="5"/>
        <v>First NDC</v>
      </c>
      <c r="H77" s="43" t="s">
        <v>499</v>
      </c>
      <c r="I77" s="351">
        <v>42648</v>
      </c>
      <c r="J77" s="320" t="s">
        <v>500</v>
      </c>
      <c r="K77" s="320" t="str" cm="1">
        <f t="array" ref="K77">IF(ISNUMBER(MATCH("Transport sector mitigation target", _xlfn._xlws.FILTER(Targets!H:H, Targets!A:A =A77), 0)), "yes", "no")</f>
        <v>no</v>
      </c>
      <c r="L77" s="43" t="str">
        <f>IF(K77="no", "No transport target", IF(AND(COUNTIFS(Targets!A:A, A77, Targets!H:H, "Transport sector mitigation target", Targets!J:J, "GHG") &gt; 0, COUNTIFS(Targets!A:A, A77, Targets!H:H, "Transport sector mitigation target", Targets!J:J, "Non GHG") &gt; 0), "GHG and non-GHG target", IF(COUNTIFS(Targets!A:A, A77, Targets!H:H, "Transport sector mitigation target", Targets!J:J, "GHG") &gt; 0, "GHG target", IF(COUNTIFS(Targets!A:A, A77, Targets!H:H, "Transport sector mitigation target", Targets!J:J, "Non GHG") &gt; 0, "non-GHG target", ""))))</f>
        <v>No transport target</v>
      </c>
      <c r="M77" s="43" t="str">
        <f>IF(K77="no","No transport target",IF(L77="non-GHG target","No GHG transport target",IF(AND(COUNTIFS(Targets!A:A,A77,Targets!H:H,"Transport sector mitigation target",Targets!J:J,"GHG",Targets!L:L,"Conditional")&gt;0,COUNTIFS(Targets!A:A,A77,Targets!H:H,"Transport sector mitigation target",Targets!J:J,"GHG",Targets!L:L,"Unconditional")&gt;0),"GHG unconditional and conditional",IF(COUNTIFS(Targets!A:A,A77,Targets!H:H,"Transport sector mitigation target",Targets!J:J,"GHG",Targets!L:L,"Conditional")&gt;0,"GHG conditional only",IF(COUNTIFS(Targets!A:A,A77,Targets!H:H,"Transport sector mitigation target",Targets!J:J,"GHG",Targets!L:L,"Unconditional")&gt;0,"GHG unconditional only",IF(COUNTIFS(Targets!A:A,A77,Targets!H:H,"Transport sector mitigation target",Targets!J:J,"GHG",Targets!L:L,"Unclear conditionality")&gt;0,"Conditionality unclear",""))))))</f>
        <v>No transport target</v>
      </c>
      <c r="N77" s="43" t="str" cm="1">
        <f t="array" ref="N77">IF(ISNUMBER(MATCH("Transport sector adaptation target", _xlfn._xlws.FILTER(Targets!H:H, Targets!A:A =A77), 0)), "yes", "no")</f>
        <v>no</v>
      </c>
      <c r="O77" s="43" t="str">
        <f>IF(ISNA(MATCH(A77, Mitigation!A:A, 0)), "no", "yes")</f>
        <v>no</v>
      </c>
      <c r="P77" s="43" t="str">
        <f>IF(ISNA(MATCH(A77, Adaptation!A:A, 0)), "no", "yes")</f>
        <v>no</v>
      </c>
      <c r="Q77" s="43" t="str">
        <f>IF(ISNA(MATCH(A77, Benefits!A:A, 0)), "no", "yes")</f>
        <v>no</v>
      </c>
      <c r="R77" s="43"/>
      <c r="S77" s="43"/>
      <c r="T77" s="43" t="s">
        <v>501</v>
      </c>
      <c r="U77" s="312" t="s">
        <v>575</v>
      </c>
      <c r="V77" s="233" t="str">
        <f>VLOOKUP(Table1[[#This Row],[Country Code]],Table29[],3,FALSE)</f>
        <v>Annex I</v>
      </c>
      <c r="W77" s="233" t="str">
        <f>VLOOKUP(Table1[[#This Row],[Country Code]],Table29[],4,FALSE)</f>
        <v>Europe</v>
      </c>
      <c r="X77" s="233" t="str">
        <f>VLOOKUP(Table1[[#This Row],[Country Code]],Table29[],5,FALSE)</f>
        <v>N/A</v>
      </c>
      <c r="Y77" s="43"/>
      <c r="Z77" s="43"/>
      <c r="AC77" t="s">
        <v>379</v>
      </c>
      <c r="AD77" t="s">
        <v>555</v>
      </c>
      <c r="AE77" t="s">
        <v>539</v>
      </c>
    </row>
    <row r="78" spans="1:31" ht="15" customHeight="1" x14ac:dyDescent="0.25">
      <c r="A78" s="360" t="s">
        <v>585</v>
      </c>
      <c r="B78" s="176" t="s">
        <v>193</v>
      </c>
      <c r="C78" s="243" t="str">
        <f>VLOOKUP(Table1[[#This Row],[Country Code]],Table29[],2,FALSE)</f>
        <v>Finland</v>
      </c>
      <c r="D78" s="243" t="str">
        <f t="shared" si="4"/>
        <v>Good</v>
      </c>
      <c r="E78" s="176" t="s">
        <v>71</v>
      </c>
      <c r="F78" s="43" t="s">
        <v>498</v>
      </c>
      <c r="G78" s="43" t="str">
        <f t="shared" si="5"/>
        <v>First NDC</v>
      </c>
      <c r="H78" s="350" t="s">
        <v>499</v>
      </c>
      <c r="I78" s="351">
        <v>42648</v>
      </c>
      <c r="J78" s="320" t="s">
        <v>574</v>
      </c>
      <c r="K78" s="320" t="str" cm="1">
        <f t="array" ref="K78">IF(ISNUMBER(MATCH("Transport sector mitigation target", _xlfn._xlws.FILTER(Targets!H:H, Targets!A:A =A78), 0)), "yes", "no")</f>
        <v>no</v>
      </c>
      <c r="L78" s="43" t="str">
        <f>IF(K78="no", "No transport target", IF(AND(COUNTIFS(Targets!A:A, A78, Targets!H:H, "Transport sector mitigation target", Targets!J:J, "GHG") &gt; 0, COUNTIFS(Targets!A:A, A78, Targets!H:H, "Transport sector mitigation target", Targets!J:J, "Non GHG") &gt; 0), "GHG and non-GHG target", IF(COUNTIFS(Targets!A:A, A78, Targets!H:H, "Transport sector mitigation target", Targets!J:J, "GHG") &gt; 0, "GHG target", IF(COUNTIFS(Targets!A:A, A78, Targets!H:H, "Transport sector mitigation target", Targets!J:J, "Non GHG") &gt; 0, "non-GHG target", ""))))</f>
        <v>No transport target</v>
      </c>
      <c r="M78" s="43" t="str">
        <f>IF(K78="no","No transport target",IF(L78="non-GHG target","No GHG transport target",IF(AND(COUNTIFS(Targets!A:A,A78,Targets!H:H,"Transport sector mitigation target",Targets!J:J,"GHG",Targets!L:L,"Conditional")&gt;0,COUNTIFS(Targets!A:A,A78,Targets!H:H,"Transport sector mitigation target",Targets!J:J,"GHG",Targets!L:L,"Unconditional")&gt;0),"GHG unconditional and conditional",IF(COUNTIFS(Targets!A:A,A78,Targets!H:H,"Transport sector mitigation target",Targets!J:J,"GHG",Targets!L:L,"Conditional")&gt;0,"GHG conditional only",IF(COUNTIFS(Targets!A:A,A78,Targets!H:H,"Transport sector mitigation target",Targets!J:J,"GHG",Targets!L:L,"Unconditional")&gt;0,"GHG unconditional only",IF(COUNTIFS(Targets!A:A,A78,Targets!H:H,"Transport sector mitigation target",Targets!J:J,"GHG",Targets!L:L,"Unclear conditionality")&gt;0,"Conditionality unclear",""))))))</f>
        <v>No transport target</v>
      </c>
      <c r="N78" s="43" t="str" cm="1">
        <f t="array" ref="N78">IF(ISNUMBER(MATCH("Transport sector adaptation target", _xlfn._xlws.FILTER(Targets!H:H, Targets!A:A =A78), 0)), "yes", "no")</f>
        <v>no</v>
      </c>
      <c r="O78" s="43" t="str">
        <f>IF(ISNA(MATCH(A78, Mitigation!A:A, 0)), "no", "yes")</f>
        <v>no</v>
      </c>
      <c r="P78" s="43" t="str">
        <f>IF(ISNA(MATCH(A78, Adaptation!A:A, 0)), "no", "yes")</f>
        <v>no</v>
      </c>
      <c r="Q78" s="43" t="str">
        <f>IF(ISNA(MATCH(A78, Benefits!A:A, 0)), "no", "yes")</f>
        <v>no</v>
      </c>
      <c r="R78" s="43"/>
      <c r="S78" s="43"/>
      <c r="T78" s="320" t="s">
        <v>574</v>
      </c>
      <c r="U78" s="312" t="s">
        <v>575</v>
      </c>
      <c r="V78" s="233" t="str">
        <f>VLOOKUP(Table1[[#This Row],[Country Code]],Table29[],3,FALSE)</f>
        <v>Annex I</v>
      </c>
      <c r="W78" s="233" t="str">
        <f>VLOOKUP(Table1[[#This Row],[Country Code]],Table29[],4,FALSE)</f>
        <v>Europe</v>
      </c>
      <c r="X78" s="233" t="str">
        <f>VLOOKUP(Table1[[#This Row],[Country Code]],Table29[],5,FALSE)</f>
        <v>High-income</v>
      </c>
      <c r="Y78" s="43"/>
      <c r="Z78" s="43"/>
      <c r="AC78" t="s">
        <v>391</v>
      </c>
      <c r="AD78" t="s">
        <v>528</v>
      </c>
      <c r="AE78" t="s">
        <v>539</v>
      </c>
    </row>
    <row r="79" spans="1:31" ht="15" customHeight="1" x14ac:dyDescent="0.25">
      <c r="A79" s="360" t="s">
        <v>586</v>
      </c>
      <c r="B79" s="176" t="s">
        <v>195</v>
      </c>
      <c r="C79" s="243" t="str">
        <f>VLOOKUP(Table1[[#This Row],[Country Code]],Table29[],2,FALSE)</f>
        <v>France</v>
      </c>
      <c r="D79" s="243" t="str">
        <f t="shared" si="4"/>
        <v>Good</v>
      </c>
      <c r="E79" s="176" t="s">
        <v>71</v>
      </c>
      <c r="F79" s="43" t="s">
        <v>498</v>
      </c>
      <c r="G79" s="43" t="str">
        <f t="shared" si="5"/>
        <v>First NDC</v>
      </c>
      <c r="H79" s="350" t="s">
        <v>499</v>
      </c>
      <c r="I79" s="351">
        <v>42648</v>
      </c>
      <c r="J79" s="320" t="s">
        <v>574</v>
      </c>
      <c r="K79" s="320" t="str" cm="1">
        <f t="array" ref="K79">IF(ISNUMBER(MATCH("Transport sector mitigation target", _xlfn._xlws.FILTER(Targets!H:H, Targets!A:A =A79), 0)), "yes", "no")</f>
        <v>no</v>
      </c>
      <c r="L79" s="43" t="str">
        <f>IF(K79="no", "No transport target", IF(AND(COUNTIFS(Targets!A:A, A79, Targets!H:H, "Transport sector mitigation target", Targets!J:J, "GHG") &gt; 0, COUNTIFS(Targets!A:A, A79, Targets!H:H, "Transport sector mitigation target", Targets!J:J, "Non GHG") &gt; 0), "GHG and non-GHG target", IF(COUNTIFS(Targets!A:A, A79, Targets!H:H, "Transport sector mitigation target", Targets!J:J, "GHG") &gt; 0, "GHG target", IF(COUNTIFS(Targets!A:A, A79, Targets!H:H, "Transport sector mitigation target", Targets!J:J, "Non GHG") &gt; 0, "non-GHG target", ""))))</f>
        <v>No transport target</v>
      </c>
      <c r="M79" s="43" t="str">
        <f>IF(K79="no","No transport target",IF(L79="non-GHG target","No GHG transport target",IF(AND(COUNTIFS(Targets!A:A,A79,Targets!H:H,"Transport sector mitigation target",Targets!J:J,"GHG",Targets!L:L,"Conditional")&gt;0,COUNTIFS(Targets!A:A,A79,Targets!H:H,"Transport sector mitigation target",Targets!J:J,"GHG",Targets!L:L,"Unconditional")&gt;0),"GHG unconditional and conditional",IF(COUNTIFS(Targets!A:A,A79,Targets!H:H,"Transport sector mitigation target",Targets!J:J,"GHG",Targets!L:L,"Conditional")&gt;0,"GHG conditional only",IF(COUNTIFS(Targets!A:A,A79,Targets!H:H,"Transport sector mitigation target",Targets!J:J,"GHG",Targets!L:L,"Unconditional")&gt;0,"GHG unconditional only",IF(COUNTIFS(Targets!A:A,A79,Targets!H:H,"Transport sector mitigation target",Targets!J:J,"GHG",Targets!L:L,"Unclear conditionality")&gt;0,"Conditionality unclear",""))))))</f>
        <v>No transport target</v>
      </c>
      <c r="N79" s="43" t="str" cm="1">
        <f t="array" ref="N79">IF(ISNUMBER(MATCH("Transport sector adaptation target", _xlfn._xlws.FILTER(Targets!H:H, Targets!A:A =A79), 0)), "yes", "no")</f>
        <v>no</v>
      </c>
      <c r="O79" s="43" t="str">
        <f>IF(ISNA(MATCH(A79, Mitigation!A:A, 0)), "no", "yes")</f>
        <v>no</v>
      </c>
      <c r="P79" s="43" t="str">
        <f>IF(ISNA(MATCH(A79, Adaptation!A:A, 0)), "no", "yes")</f>
        <v>no</v>
      </c>
      <c r="Q79" s="43" t="str">
        <f>IF(ISNA(MATCH(A79, Benefits!A:A, 0)), "no", "yes")</f>
        <v>no</v>
      </c>
      <c r="R79" s="43"/>
      <c r="S79" s="43"/>
      <c r="T79" s="320" t="s">
        <v>574</v>
      </c>
      <c r="U79" s="312" t="s">
        <v>575</v>
      </c>
      <c r="V79" s="233" t="str">
        <f>VLOOKUP(Table1[[#This Row],[Country Code]],Table29[],3,FALSE)</f>
        <v>Annex I</v>
      </c>
      <c r="W79" s="233" t="str">
        <f>VLOOKUP(Table1[[#This Row],[Country Code]],Table29[],4,FALSE)</f>
        <v>Europe</v>
      </c>
      <c r="X79" s="233" t="str">
        <f>VLOOKUP(Table1[[#This Row],[Country Code]],Table29[],5,FALSE)</f>
        <v>High-income</v>
      </c>
      <c r="Y79" s="43"/>
      <c r="Z79" s="43"/>
      <c r="AC79" t="s">
        <v>391</v>
      </c>
      <c r="AD79" t="s">
        <v>498</v>
      </c>
      <c r="AE79" t="s">
        <v>539</v>
      </c>
    </row>
    <row r="80" spans="1:31" ht="15" customHeight="1" x14ac:dyDescent="0.25">
      <c r="A80" s="360" t="s">
        <v>587</v>
      </c>
      <c r="B80" s="176" t="s">
        <v>203</v>
      </c>
      <c r="C80" s="243" t="str">
        <f>VLOOKUP(Table1[[#This Row],[Country Code]],Table29[],2,FALSE)</f>
        <v>Germany</v>
      </c>
      <c r="D80" s="243" t="str">
        <f t="shared" si="4"/>
        <v>Good</v>
      </c>
      <c r="E80" s="176" t="s">
        <v>71</v>
      </c>
      <c r="F80" s="43" t="s">
        <v>498</v>
      </c>
      <c r="G80" s="43" t="str">
        <f t="shared" si="5"/>
        <v>First NDC</v>
      </c>
      <c r="H80" s="350" t="s">
        <v>499</v>
      </c>
      <c r="I80" s="351">
        <v>42648</v>
      </c>
      <c r="J80" s="320" t="s">
        <v>574</v>
      </c>
      <c r="K80" s="320" t="str" cm="1">
        <f t="array" ref="K80">IF(ISNUMBER(MATCH("Transport sector mitigation target", _xlfn._xlws.FILTER(Targets!H:H, Targets!A:A =A80), 0)), "yes", "no")</f>
        <v>no</v>
      </c>
      <c r="L80" s="43" t="str">
        <f>IF(K80="no", "No transport target", IF(AND(COUNTIFS(Targets!A:A, A80, Targets!H:H, "Transport sector mitigation target", Targets!J:J, "GHG") &gt; 0, COUNTIFS(Targets!A:A, A80, Targets!H:H, "Transport sector mitigation target", Targets!J:J, "Non GHG") &gt; 0), "GHG and non-GHG target", IF(COUNTIFS(Targets!A:A, A80, Targets!H:H, "Transport sector mitigation target", Targets!J:J, "GHG") &gt; 0, "GHG target", IF(COUNTIFS(Targets!A:A, A80, Targets!H:H, "Transport sector mitigation target", Targets!J:J, "Non GHG") &gt; 0, "non-GHG target", ""))))</f>
        <v>No transport target</v>
      </c>
      <c r="M80" s="43" t="str">
        <f>IF(K80="no","No transport target",IF(L80="non-GHG target","No GHG transport target",IF(AND(COUNTIFS(Targets!A:A,A80,Targets!H:H,"Transport sector mitigation target",Targets!J:J,"GHG",Targets!L:L,"Conditional")&gt;0,COUNTIFS(Targets!A:A,A80,Targets!H:H,"Transport sector mitigation target",Targets!J:J,"GHG",Targets!L:L,"Unconditional")&gt;0),"GHG unconditional and conditional",IF(COUNTIFS(Targets!A:A,A80,Targets!H:H,"Transport sector mitigation target",Targets!J:J,"GHG",Targets!L:L,"Conditional")&gt;0,"GHG conditional only",IF(COUNTIFS(Targets!A:A,A80,Targets!H:H,"Transport sector mitigation target",Targets!J:J,"GHG",Targets!L:L,"Unconditional")&gt;0,"GHG unconditional only",IF(COUNTIFS(Targets!A:A,A80,Targets!H:H,"Transport sector mitigation target",Targets!J:J,"GHG",Targets!L:L,"Unclear conditionality")&gt;0,"Conditionality unclear",""))))))</f>
        <v>No transport target</v>
      </c>
      <c r="N80" s="43" t="str" cm="1">
        <f t="array" ref="N80">IF(ISNUMBER(MATCH("Transport sector adaptation target", _xlfn._xlws.FILTER(Targets!H:H, Targets!A:A =A80), 0)), "yes", "no")</f>
        <v>no</v>
      </c>
      <c r="O80" s="43" t="str">
        <f>IF(ISNA(MATCH(A80, Mitigation!A:A, 0)), "no", "yes")</f>
        <v>no</v>
      </c>
      <c r="P80" s="43" t="str">
        <f>IF(ISNA(MATCH(A80, Adaptation!A:A, 0)), "no", "yes")</f>
        <v>no</v>
      </c>
      <c r="Q80" s="43" t="str">
        <f>IF(ISNA(MATCH(A80, Benefits!A:A, 0)), "no", "yes")</f>
        <v>no</v>
      </c>
      <c r="R80" s="43"/>
      <c r="S80" s="43"/>
      <c r="T80" s="320" t="s">
        <v>574</v>
      </c>
      <c r="U80" s="312" t="s">
        <v>575</v>
      </c>
      <c r="V80" s="233" t="str">
        <f>VLOOKUP(Table1[[#This Row],[Country Code]],Table29[],3,FALSE)</f>
        <v>Annex I</v>
      </c>
      <c r="W80" s="233" t="str">
        <f>VLOOKUP(Table1[[#This Row],[Country Code]],Table29[],4,FALSE)</f>
        <v>Europe</v>
      </c>
      <c r="X80" s="233" t="str">
        <f>VLOOKUP(Table1[[#This Row],[Country Code]],Table29[],5,FALSE)</f>
        <v>High-income</v>
      </c>
      <c r="Y80" s="43"/>
      <c r="Z80" s="43"/>
      <c r="AC80" t="s">
        <v>399</v>
      </c>
      <c r="AD80" t="s">
        <v>227</v>
      </c>
      <c r="AE80" t="s">
        <v>526</v>
      </c>
    </row>
    <row r="81" spans="1:31" ht="15" customHeight="1" x14ac:dyDescent="0.25">
      <c r="A81" s="360" t="s">
        <v>588</v>
      </c>
      <c r="B81" s="176" t="s">
        <v>207</v>
      </c>
      <c r="C81" s="243" t="str">
        <f>VLOOKUP(Table1[[#This Row],[Country Code]],Table29[],2,FALSE)</f>
        <v>Greece</v>
      </c>
      <c r="D81" s="243" t="str">
        <f t="shared" si="4"/>
        <v>Good</v>
      </c>
      <c r="E81" s="176" t="s">
        <v>71</v>
      </c>
      <c r="F81" s="43" t="s">
        <v>498</v>
      </c>
      <c r="G81" s="43" t="str">
        <f t="shared" si="5"/>
        <v>First NDC</v>
      </c>
      <c r="H81" s="350" t="s">
        <v>499</v>
      </c>
      <c r="I81" s="351">
        <v>42648</v>
      </c>
      <c r="J81" s="320" t="s">
        <v>574</v>
      </c>
      <c r="K81" s="320" t="str" cm="1">
        <f t="array" ref="K81">IF(ISNUMBER(MATCH("Transport sector mitigation target", _xlfn._xlws.FILTER(Targets!H:H, Targets!A:A =A81), 0)), "yes", "no")</f>
        <v>no</v>
      </c>
      <c r="L81" s="43" t="str">
        <f>IF(K81="no", "No transport target", IF(AND(COUNTIFS(Targets!A:A, A81, Targets!H:H, "Transport sector mitigation target", Targets!J:J, "GHG") &gt; 0, COUNTIFS(Targets!A:A, A81, Targets!H:H, "Transport sector mitigation target", Targets!J:J, "Non GHG") &gt; 0), "GHG and non-GHG target", IF(COUNTIFS(Targets!A:A, A81, Targets!H:H, "Transport sector mitigation target", Targets!J:J, "GHG") &gt; 0, "GHG target", IF(COUNTIFS(Targets!A:A, A81, Targets!H:H, "Transport sector mitigation target", Targets!J:J, "Non GHG") &gt; 0, "non-GHG target", ""))))</f>
        <v>No transport target</v>
      </c>
      <c r="M81" s="43" t="str">
        <f>IF(K81="no","No transport target",IF(L81="non-GHG target","No GHG transport target",IF(AND(COUNTIFS(Targets!A:A,A81,Targets!H:H,"Transport sector mitigation target",Targets!J:J,"GHG",Targets!L:L,"Conditional")&gt;0,COUNTIFS(Targets!A:A,A81,Targets!H:H,"Transport sector mitigation target",Targets!J:J,"GHG",Targets!L:L,"Unconditional")&gt;0),"GHG unconditional and conditional",IF(COUNTIFS(Targets!A:A,A81,Targets!H:H,"Transport sector mitigation target",Targets!J:J,"GHG",Targets!L:L,"Conditional")&gt;0,"GHG conditional only",IF(COUNTIFS(Targets!A:A,A81,Targets!H:H,"Transport sector mitigation target",Targets!J:J,"GHG",Targets!L:L,"Unconditional")&gt;0,"GHG unconditional only",IF(COUNTIFS(Targets!A:A,A81,Targets!H:H,"Transport sector mitigation target",Targets!J:J,"GHG",Targets!L:L,"Unclear conditionality")&gt;0,"Conditionality unclear",""))))))</f>
        <v>No transport target</v>
      </c>
      <c r="N81" s="43" t="str" cm="1">
        <f t="array" ref="N81">IF(ISNUMBER(MATCH("Transport sector adaptation target", _xlfn._xlws.FILTER(Targets!H:H, Targets!A:A =A81), 0)), "yes", "no")</f>
        <v>no</v>
      </c>
      <c r="O81" s="43" t="str">
        <f>IF(ISNA(MATCH(A81, Mitigation!A:A, 0)), "no", "yes")</f>
        <v>no</v>
      </c>
      <c r="P81" s="43" t="str">
        <f>IF(ISNA(MATCH(A81, Adaptation!A:A, 0)), "no", "yes")</f>
        <v>no</v>
      </c>
      <c r="Q81" s="43" t="str">
        <f>IF(ISNA(MATCH(A81, Benefits!A:A, 0)), "no", "yes")</f>
        <v>no</v>
      </c>
      <c r="R81" s="43"/>
      <c r="S81" s="43"/>
      <c r="T81" s="320" t="s">
        <v>574</v>
      </c>
      <c r="U81" s="312" t="s">
        <v>575</v>
      </c>
      <c r="V81" s="233" t="str">
        <f>VLOOKUP(Table1[[#This Row],[Country Code]],Table29[],3,FALSE)</f>
        <v>Annex I</v>
      </c>
      <c r="W81" s="233" t="str">
        <f>VLOOKUP(Table1[[#This Row],[Country Code]],Table29[],4,FALSE)</f>
        <v>Europe</v>
      </c>
      <c r="X81" s="233" t="str">
        <f>VLOOKUP(Table1[[#This Row],[Country Code]],Table29[],5,FALSE)</f>
        <v>High-income</v>
      </c>
      <c r="Y81" s="43"/>
      <c r="Z81" s="43"/>
      <c r="AC81" t="s">
        <v>407</v>
      </c>
      <c r="AD81" t="s">
        <v>555</v>
      </c>
      <c r="AE81" t="s">
        <v>526</v>
      </c>
    </row>
    <row r="82" spans="1:31" ht="15" customHeight="1" x14ac:dyDescent="0.25">
      <c r="A82" s="360" t="s">
        <v>589</v>
      </c>
      <c r="B82" s="176" t="s">
        <v>223</v>
      </c>
      <c r="C82" s="243" t="str">
        <f>VLOOKUP(Table1[[#This Row],[Country Code]],Table29[],2,FALSE)</f>
        <v>Hungary</v>
      </c>
      <c r="D82" s="243" t="str">
        <f t="shared" si="4"/>
        <v>Good</v>
      </c>
      <c r="E82" s="176" t="s">
        <v>71</v>
      </c>
      <c r="F82" s="43" t="s">
        <v>498</v>
      </c>
      <c r="G82" s="43" t="str">
        <f t="shared" si="5"/>
        <v>First NDC</v>
      </c>
      <c r="H82" s="350" t="s">
        <v>499</v>
      </c>
      <c r="I82" s="351">
        <v>42648</v>
      </c>
      <c r="J82" s="320" t="s">
        <v>574</v>
      </c>
      <c r="K82" s="320" t="str" cm="1">
        <f t="array" ref="K82">IF(ISNUMBER(MATCH("Transport sector mitigation target", _xlfn._xlws.FILTER(Targets!H:H, Targets!A:A =A82), 0)), "yes", "no")</f>
        <v>no</v>
      </c>
      <c r="L82" s="43" t="str">
        <f>IF(K82="no", "No transport target", IF(AND(COUNTIFS(Targets!A:A, A82, Targets!H:H, "Transport sector mitigation target", Targets!J:J, "GHG") &gt; 0, COUNTIFS(Targets!A:A, A82, Targets!H:H, "Transport sector mitigation target", Targets!J:J, "Non GHG") &gt; 0), "GHG and non-GHG target", IF(COUNTIFS(Targets!A:A, A82, Targets!H:H, "Transport sector mitigation target", Targets!J:J, "GHG") &gt; 0, "GHG target", IF(COUNTIFS(Targets!A:A, A82, Targets!H:H, "Transport sector mitigation target", Targets!J:J, "Non GHG") &gt; 0, "non-GHG target", ""))))</f>
        <v>No transport target</v>
      </c>
      <c r="M82" s="43" t="str">
        <f>IF(K82="no","No transport target",IF(L82="non-GHG target","No GHG transport target",IF(AND(COUNTIFS(Targets!A:A,A82,Targets!H:H,"Transport sector mitigation target",Targets!J:J,"GHG",Targets!L:L,"Conditional")&gt;0,COUNTIFS(Targets!A:A,A82,Targets!H:H,"Transport sector mitigation target",Targets!J:J,"GHG",Targets!L:L,"Unconditional")&gt;0),"GHG unconditional and conditional",IF(COUNTIFS(Targets!A:A,A82,Targets!H:H,"Transport sector mitigation target",Targets!J:J,"GHG",Targets!L:L,"Conditional")&gt;0,"GHG conditional only",IF(COUNTIFS(Targets!A:A,A82,Targets!H:H,"Transport sector mitigation target",Targets!J:J,"GHG",Targets!L:L,"Unconditional")&gt;0,"GHG unconditional only",IF(COUNTIFS(Targets!A:A,A82,Targets!H:H,"Transport sector mitigation target",Targets!J:J,"GHG",Targets!L:L,"Unclear conditionality")&gt;0,"Conditionality unclear",""))))))</f>
        <v>No transport target</v>
      </c>
      <c r="N82" s="43" t="str" cm="1">
        <f t="array" ref="N82">IF(ISNUMBER(MATCH("Transport sector adaptation target", _xlfn._xlws.FILTER(Targets!H:H, Targets!A:A =A82), 0)), "yes", "no")</f>
        <v>no</v>
      </c>
      <c r="O82" s="43" t="str">
        <f>IF(ISNA(MATCH(A82, Mitigation!A:A, 0)), "no", "yes")</f>
        <v>no</v>
      </c>
      <c r="P82" s="43" t="str">
        <f>IF(ISNA(MATCH(A82, Adaptation!A:A, 0)), "no", "yes")</f>
        <v>no</v>
      </c>
      <c r="Q82" s="43" t="str">
        <f>IF(ISNA(MATCH(A82, Benefits!A:A, 0)), "no", "yes")</f>
        <v>no</v>
      </c>
      <c r="R82" s="43"/>
      <c r="S82" s="43"/>
      <c r="T82" s="320" t="s">
        <v>574</v>
      </c>
      <c r="U82" s="312" t="s">
        <v>575</v>
      </c>
      <c r="V82" s="233" t="str">
        <f>VLOOKUP(Table1[[#This Row],[Country Code]],Table29[],3,FALSE)</f>
        <v>Annex I</v>
      </c>
      <c r="W82" s="233" t="str">
        <f>VLOOKUP(Table1[[#This Row],[Country Code]],Table29[],4,FALSE)</f>
        <v>Europe</v>
      </c>
      <c r="X82" s="233" t="str">
        <f>VLOOKUP(Table1[[#This Row],[Country Code]],Table29[],5,FALSE)</f>
        <v>High-income</v>
      </c>
      <c r="Y82" s="43"/>
      <c r="Z82" s="43"/>
      <c r="AC82" t="s">
        <v>409</v>
      </c>
      <c r="AD82" t="s">
        <v>227</v>
      </c>
      <c r="AE82" t="s">
        <v>526</v>
      </c>
    </row>
    <row r="83" spans="1:31" ht="15" customHeight="1" x14ac:dyDescent="0.25">
      <c r="A83" s="360" t="s">
        <v>590</v>
      </c>
      <c r="B83" s="176" t="s">
        <v>236</v>
      </c>
      <c r="C83" s="243" t="str">
        <f>VLOOKUP(Table1[[#This Row],[Country Code]],Table29[],2,FALSE)</f>
        <v>Ireland</v>
      </c>
      <c r="D83" s="243" t="str">
        <f t="shared" si="4"/>
        <v>Good</v>
      </c>
      <c r="E83" s="176" t="s">
        <v>71</v>
      </c>
      <c r="F83" s="43" t="s">
        <v>498</v>
      </c>
      <c r="G83" s="43" t="str">
        <f t="shared" si="5"/>
        <v>First NDC</v>
      </c>
      <c r="H83" s="350" t="s">
        <v>499</v>
      </c>
      <c r="I83" s="351">
        <v>42648</v>
      </c>
      <c r="J83" s="320" t="s">
        <v>574</v>
      </c>
      <c r="K83" s="320" t="str" cm="1">
        <f t="array" ref="K83">IF(ISNUMBER(MATCH("Transport sector mitigation target", _xlfn._xlws.FILTER(Targets!H:H, Targets!A:A =A83), 0)), "yes", "no")</f>
        <v>no</v>
      </c>
      <c r="L83" s="43" t="str">
        <f>IF(K83="no", "No transport target", IF(AND(COUNTIFS(Targets!A:A, A83, Targets!H:H, "Transport sector mitigation target", Targets!J:J, "GHG") &gt; 0, COUNTIFS(Targets!A:A, A83, Targets!H:H, "Transport sector mitigation target", Targets!J:J, "Non GHG") &gt; 0), "GHG and non-GHG target", IF(COUNTIFS(Targets!A:A, A83, Targets!H:H, "Transport sector mitigation target", Targets!J:J, "GHG") &gt; 0, "GHG target", IF(COUNTIFS(Targets!A:A, A83, Targets!H:H, "Transport sector mitigation target", Targets!J:J, "Non GHG") &gt; 0, "non-GHG target", ""))))</f>
        <v>No transport target</v>
      </c>
      <c r="M83" s="43" t="str">
        <f>IF(K83="no","No transport target",IF(L83="non-GHG target","No GHG transport target",IF(AND(COUNTIFS(Targets!A:A,A83,Targets!H:H,"Transport sector mitigation target",Targets!J:J,"GHG",Targets!L:L,"Conditional")&gt;0,COUNTIFS(Targets!A:A,A83,Targets!H:H,"Transport sector mitigation target",Targets!J:J,"GHG",Targets!L:L,"Unconditional")&gt;0),"GHG unconditional and conditional",IF(COUNTIFS(Targets!A:A,A83,Targets!H:H,"Transport sector mitigation target",Targets!J:J,"GHG",Targets!L:L,"Conditional")&gt;0,"GHG conditional only",IF(COUNTIFS(Targets!A:A,A83,Targets!H:H,"Transport sector mitigation target",Targets!J:J,"GHG",Targets!L:L,"Unconditional")&gt;0,"GHG unconditional only",IF(COUNTIFS(Targets!A:A,A83,Targets!H:H,"Transport sector mitigation target",Targets!J:J,"GHG",Targets!L:L,"Unclear conditionality")&gt;0,"Conditionality unclear",""))))))</f>
        <v>No transport target</v>
      </c>
      <c r="N83" s="43" t="str" cm="1">
        <f t="array" ref="N83">IF(ISNUMBER(MATCH("Transport sector adaptation target", _xlfn._xlws.FILTER(Targets!H:H, Targets!A:A =A83), 0)), "yes", "no")</f>
        <v>no</v>
      </c>
      <c r="O83" s="43" t="str">
        <f>IF(ISNA(MATCH(A83, Mitigation!A:A, 0)), "no", "yes")</f>
        <v>no</v>
      </c>
      <c r="P83" s="43" t="str">
        <f>IF(ISNA(MATCH(A83, Adaptation!A:A, 0)), "no", "yes")</f>
        <v>no</v>
      </c>
      <c r="Q83" s="43" t="str">
        <f>IF(ISNA(MATCH(A83, Benefits!A:A, 0)), "no", "yes")</f>
        <v>no</v>
      </c>
      <c r="R83" s="43"/>
      <c r="S83" s="43"/>
      <c r="T83" s="320" t="s">
        <v>574</v>
      </c>
      <c r="U83" s="312" t="s">
        <v>575</v>
      </c>
      <c r="V83" s="233" t="str">
        <f>VLOOKUP(Table1[[#This Row],[Country Code]],Table29[],3,FALSE)</f>
        <v>Annex I</v>
      </c>
      <c r="W83" s="233" t="str">
        <f>VLOOKUP(Table1[[#This Row],[Country Code]],Table29[],4,FALSE)</f>
        <v>Europe</v>
      </c>
      <c r="X83" s="233" t="str">
        <f>VLOOKUP(Table1[[#This Row],[Country Code]],Table29[],5,FALSE)</f>
        <v>High-income</v>
      </c>
      <c r="Y83" s="43"/>
      <c r="Z83" s="43"/>
      <c r="AC83" t="s">
        <v>411</v>
      </c>
      <c r="AD83" t="s">
        <v>528</v>
      </c>
      <c r="AE83" t="s">
        <v>532</v>
      </c>
    </row>
    <row r="84" spans="1:31" ht="15" customHeight="1" x14ac:dyDescent="0.25">
      <c r="A84" s="360" t="s">
        <v>591</v>
      </c>
      <c r="B84" s="176" t="s">
        <v>241</v>
      </c>
      <c r="C84" s="243" t="str">
        <f>VLOOKUP(Table1[[#This Row],[Country Code]],Table29[],2,FALSE)</f>
        <v>Italy</v>
      </c>
      <c r="D84" s="243" t="str">
        <f t="shared" si="4"/>
        <v>Good</v>
      </c>
      <c r="E84" s="176" t="s">
        <v>71</v>
      </c>
      <c r="F84" s="43" t="s">
        <v>498</v>
      </c>
      <c r="G84" s="43" t="str">
        <f t="shared" si="5"/>
        <v>First NDC</v>
      </c>
      <c r="H84" s="350" t="s">
        <v>499</v>
      </c>
      <c r="I84" s="351">
        <v>42648</v>
      </c>
      <c r="J84" s="320" t="s">
        <v>574</v>
      </c>
      <c r="K84" s="320" t="str" cm="1">
        <f t="array" ref="K84">IF(ISNUMBER(MATCH("Transport sector mitigation target", _xlfn._xlws.FILTER(Targets!H:H, Targets!A:A =A84), 0)), "yes", "no")</f>
        <v>no</v>
      </c>
      <c r="L84" s="43" t="str">
        <f>IF(K84="no", "No transport target", IF(AND(COUNTIFS(Targets!A:A, A84, Targets!H:H, "Transport sector mitigation target", Targets!J:J, "GHG") &gt; 0, COUNTIFS(Targets!A:A, A84, Targets!H:H, "Transport sector mitigation target", Targets!J:J, "Non GHG") &gt; 0), "GHG and non-GHG target", IF(COUNTIFS(Targets!A:A, A84, Targets!H:H, "Transport sector mitigation target", Targets!J:J, "GHG") &gt; 0, "GHG target", IF(COUNTIFS(Targets!A:A, A84, Targets!H:H, "Transport sector mitigation target", Targets!J:J, "Non GHG") &gt; 0, "non-GHG target", ""))))</f>
        <v>No transport target</v>
      </c>
      <c r="M84" s="43" t="str">
        <f>IF(K84="no","No transport target",IF(L84="non-GHG target","No GHG transport target",IF(AND(COUNTIFS(Targets!A:A,A84,Targets!H:H,"Transport sector mitigation target",Targets!J:J,"GHG",Targets!L:L,"Conditional")&gt;0,COUNTIFS(Targets!A:A,A84,Targets!H:H,"Transport sector mitigation target",Targets!J:J,"GHG",Targets!L:L,"Unconditional")&gt;0),"GHG unconditional and conditional",IF(COUNTIFS(Targets!A:A,A84,Targets!H:H,"Transport sector mitigation target",Targets!J:J,"GHG",Targets!L:L,"Conditional")&gt;0,"GHG conditional only",IF(COUNTIFS(Targets!A:A,A84,Targets!H:H,"Transport sector mitigation target",Targets!J:J,"GHG",Targets!L:L,"Unconditional")&gt;0,"GHG unconditional only",IF(COUNTIFS(Targets!A:A,A84,Targets!H:H,"Transport sector mitigation target",Targets!J:J,"GHG",Targets!L:L,"Unclear conditionality")&gt;0,"Conditionality unclear",""))))))</f>
        <v>No transport target</v>
      </c>
      <c r="N84" s="43" t="str" cm="1">
        <f t="array" ref="N84">IF(ISNUMBER(MATCH("Transport sector adaptation target", _xlfn._xlws.FILTER(Targets!H:H, Targets!A:A =A84), 0)), "yes", "no")</f>
        <v>no</v>
      </c>
      <c r="O84" s="43" t="str">
        <f>IF(ISNA(MATCH(A84, Mitigation!A:A, 0)), "no", "yes")</f>
        <v>no</v>
      </c>
      <c r="P84" s="43" t="str">
        <f>IF(ISNA(MATCH(A84, Adaptation!A:A, 0)), "no", "yes")</f>
        <v>no</v>
      </c>
      <c r="Q84" s="43" t="str">
        <f>IF(ISNA(MATCH(A84, Benefits!A:A, 0)), "no", "yes")</f>
        <v>no</v>
      </c>
      <c r="R84" s="43"/>
      <c r="S84" s="43"/>
      <c r="T84" s="320" t="s">
        <v>574</v>
      </c>
      <c r="U84" s="312" t="s">
        <v>575</v>
      </c>
      <c r="V84" s="233" t="str">
        <f>VLOOKUP(Table1[[#This Row],[Country Code]],Table29[],3,FALSE)</f>
        <v>Annex I</v>
      </c>
      <c r="W84" s="233" t="str">
        <f>VLOOKUP(Table1[[#This Row],[Country Code]],Table29[],4,FALSE)</f>
        <v>Europe</v>
      </c>
      <c r="X84" s="233" t="str">
        <f>VLOOKUP(Table1[[#This Row],[Country Code]],Table29[],5,FALSE)</f>
        <v>High-income</v>
      </c>
      <c r="Y84" s="43"/>
      <c r="Z84" s="43"/>
      <c r="AC84" t="s">
        <v>411</v>
      </c>
      <c r="AD84" t="s">
        <v>498</v>
      </c>
      <c r="AE84" t="s">
        <v>532</v>
      </c>
    </row>
    <row r="85" spans="1:31" ht="15" customHeight="1" x14ac:dyDescent="0.25">
      <c r="A85" s="360" t="s">
        <v>592</v>
      </c>
      <c r="B85" s="176" t="s">
        <v>264</v>
      </c>
      <c r="C85" s="243" t="str">
        <f>VLOOKUP(Table1[[#This Row],[Country Code]],Table29[],2,FALSE)</f>
        <v>Latvia</v>
      </c>
      <c r="D85" s="243" t="str">
        <f t="shared" si="4"/>
        <v>Good</v>
      </c>
      <c r="E85" s="176" t="s">
        <v>71</v>
      </c>
      <c r="F85" s="43" t="s">
        <v>498</v>
      </c>
      <c r="G85" s="43" t="str">
        <f t="shared" si="5"/>
        <v>First NDC</v>
      </c>
      <c r="H85" s="350" t="s">
        <v>499</v>
      </c>
      <c r="I85" s="351">
        <v>42648</v>
      </c>
      <c r="J85" s="320" t="s">
        <v>574</v>
      </c>
      <c r="K85" s="320" t="str" cm="1">
        <f t="array" ref="K85">IF(ISNUMBER(MATCH("Transport sector mitigation target", _xlfn._xlws.FILTER(Targets!H:H, Targets!A:A =A85), 0)), "yes", "no")</f>
        <v>no</v>
      </c>
      <c r="L85" s="43" t="str">
        <f>IF(K85="no", "No transport target", IF(AND(COUNTIFS(Targets!A:A, A85, Targets!H:H, "Transport sector mitigation target", Targets!J:J, "GHG") &gt; 0, COUNTIFS(Targets!A:A, A85, Targets!H:H, "Transport sector mitigation target", Targets!J:J, "Non GHG") &gt; 0), "GHG and non-GHG target", IF(COUNTIFS(Targets!A:A, A85, Targets!H:H, "Transport sector mitigation target", Targets!J:J, "GHG") &gt; 0, "GHG target", IF(COUNTIFS(Targets!A:A, A85, Targets!H:H, "Transport sector mitigation target", Targets!J:J, "Non GHG") &gt; 0, "non-GHG target", ""))))</f>
        <v>No transport target</v>
      </c>
      <c r="M85" s="43" t="str">
        <f>IF(K85="no","No transport target",IF(L85="non-GHG target","No GHG transport target",IF(AND(COUNTIFS(Targets!A:A,A85,Targets!H:H,"Transport sector mitigation target",Targets!J:J,"GHG",Targets!L:L,"Conditional")&gt;0,COUNTIFS(Targets!A:A,A85,Targets!H:H,"Transport sector mitigation target",Targets!J:J,"GHG",Targets!L:L,"Unconditional")&gt;0),"GHG unconditional and conditional",IF(COUNTIFS(Targets!A:A,A85,Targets!H:H,"Transport sector mitigation target",Targets!J:J,"GHG",Targets!L:L,"Conditional")&gt;0,"GHG conditional only",IF(COUNTIFS(Targets!A:A,A85,Targets!H:H,"Transport sector mitigation target",Targets!J:J,"GHG",Targets!L:L,"Unconditional")&gt;0,"GHG unconditional only",IF(COUNTIFS(Targets!A:A,A85,Targets!H:H,"Transport sector mitigation target",Targets!J:J,"GHG",Targets!L:L,"Unclear conditionality")&gt;0,"Conditionality unclear",""))))))</f>
        <v>No transport target</v>
      </c>
      <c r="N85" s="43" t="str" cm="1">
        <f t="array" ref="N85">IF(ISNUMBER(MATCH("Transport sector adaptation target", _xlfn._xlws.FILTER(Targets!H:H, Targets!A:A =A85), 0)), "yes", "no")</f>
        <v>no</v>
      </c>
      <c r="O85" s="43" t="str">
        <f>IF(ISNA(MATCH(A85, Mitigation!A:A, 0)), "no", "yes")</f>
        <v>no</v>
      </c>
      <c r="P85" s="43" t="str">
        <f>IF(ISNA(MATCH(A85, Adaptation!A:A, 0)), "no", "yes")</f>
        <v>no</v>
      </c>
      <c r="Q85" s="43" t="str">
        <f>IF(ISNA(MATCH(A85, Benefits!A:A, 0)), "no", "yes")</f>
        <v>no</v>
      </c>
      <c r="R85" s="43"/>
      <c r="S85" s="43"/>
      <c r="T85" s="320" t="s">
        <v>574</v>
      </c>
      <c r="U85" s="312" t="s">
        <v>575</v>
      </c>
      <c r="V85" s="233" t="str">
        <f>VLOOKUP(Table1[[#This Row],[Country Code]],Table29[],3,FALSE)</f>
        <v>Annex I</v>
      </c>
      <c r="W85" s="233" t="str">
        <f>VLOOKUP(Table1[[#This Row],[Country Code]],Table29[],4,FALSE)</f>
        <v>Europe</v>
      </c>
      <c r="X85" s="233" t="str">
        <f>VLOOKUP(Table1[[#This Row],[Country Code]],Table29[],5,FALSE)</f>
        <v>High-income</v>
      </c>
      <c r="Y85" s="43"/>
      <c r="Z85" s="43"/>
      <c r="AC85" t="s">
        <v>411</v>
      </c>
      <c r="AD85" t="s">
        <v>498</v>
      </c>
      <c r="AE85" t="s">
        <v>532</v>
      </c>
    </row>
    <row r="86" spans="1:31" ht="15" customHeight="1" x14ac:dyDescent="0.25">
      <c r="A86" s="360" t="s">
        <v>593</v>
      </c>
      <c r="B86" s="176" t="s">
        <v>276</v>
      </c>
      <c r="C86" s="243" t="str">
        <f>VLOOKUP(Table1[[#This Row],[Country Code]],Table29[],2,FALSE)</f>
        <v>Lithuania</v>
      </c>
      <c r="D86" s="243" t="str">
        <f t="shared" si="4"/>
        <v>Good</v>
      </c>
      <c r="E86" s="176" t="s">
        <v>71</v>
      </c>
      <c r="F86" s="43" t="s">
        <v>498</v>
      </c>
      <c r="G86" s="43" t="str">
        <f t="shared" si="5"/>
        <v>First NDC</v>
      </c>
      <c r="H86" s="350" t="s">
        <v>499</v>
      </c>
      <c r="I86" s="351">
        <v>42648</v>
      </c>
      <c r="J86" s="320" t="s">
        <v>574</v>
      </c>
      <c r="K86" s="320" t="str" cm="1">
        <f t="array" ref="K86">IF(ISNUMBER(MATCH("Transport sector mitigation target", _xlfn._xlws.FILTER(Targets!H:H, Targets!A:A =A86), 0)), "yes", "no")</f>
        <v>no</v>
      </c>
      <c r="L86" s="43" t="str">
        <f>IF(K86="no", "No transport target", IF(AND(COUNTIFS(Targets!A:A, A86, Targets!H:H, "Transport sector mitigation target", Targets!J:J, "GHG") &gt; 0, COUNTIFS(Targets!A:A, A86, Targets!H:H, "Transport sector mitigation target", Targets!J:J, "Non GHG") &gt; 0), "GHG and non-GHG target", IF(COUNTIFS(Targets!A:A, A86, Targets!H:H, "Transport sector mitigation target", Targets!J:J, "GHG") &gt; 0, "GHG target", IF(COUNTIFS(Targets!A:A, A86, Targets!H:H, "Transport sector mitigation target", Targets!J:J, "Non GHG") &gt; 0, "non-GHG target", ""))))</f>
        <v>No transport target</v>
      </c>
      <c r="M86" s="43" t="str">
        <f>IF(K86="no","No transport target",IF(L86="non-GHG target","No GHG transport target",IF(AND(COUNTIFS(Targets!A:A,A86,Targets!H:H,"Transport sector mitigation target",Targets!J:J,"GHG",Targets!L:L,"Conditional")&gt;0,COUNTIFS(Targets!A:A,A86,Targets!H:H,"Transport sector mitigation target",Targets!J:J,"GHG",Targets!L:L,"Unconditional")&gt;0),"GHG unconditional and conditional",IF(COUNTIFS(Targets!A:A,A86,Targets!H:H,"Transport sector mitigation target",Targets!J:J,"GHG",Targets!L:L,"Conditional")&gt;0,"GHG conditional only",IF(COUNTIFS(Targets!A:A,A86,Targets!H:H,"Transport sector mitigation target",Targets!J:J,"GHG",Targets!L:L,"Unconditional")&gt;0,"GHG unconditional only",IF(COUNTIFS(Targets!A:A,A86,Targets!H:H,"Transport sector mitigation target",Targets!J:J,"GHG",Targets!L:L,"Unclear conditionality")&gt;0,"Conditionality unclear",""))))))</f>
        <v>No transport target</v>
      </c>
      <c r="N86" s="43" t="str" cm="1">
        <f t="array" ref="N86">IF(ISNUMBER(MATCH("Transport sector adaptation target", _xlfn._xlws.FILTER(Targets!H:H, Targets!A:A =A86), 0)), "yes", "no")</f>
        <v>no</v>
      </c>
      <c r="O86" s="43" t="str">
        <f>IF(ISNA(MATCH(A86, Mitigation!A:A, 0)), "no", "yes")</f>
        <v>no</v>
      </c>
      <c r="P86" s="43" t="str">
        <f>IF(ISNA(MATCH(A86, Adaptation!A:A, 0)), "no", "yes")</f>
        <v>no</v>
      </c>
      <c r="Q86" s="43" t="str">
        <f>IF(ISNA(MATCH(A86, Benefits!A:A, 0)), "no", "yes")</f>
        <v>no</v>
      </c>
      <c r="R86" s="43"/>
      <c r="S86" s="43"/>
      <c r="T86" s="320" t="s">
        <v>574</v>
      </c>
      <c r="U86" s="312" t="s">
        <v>575</v>
      </c>
      <c r="V86" s="233" t="str">
        <f>VLOOKUP(Table1[[#This Row],[Country Code]],Table29[],3,FALSE)</f>
        <v>Annex I</v>
      </c>
      <c r="W86" s="233" t="str">
        <f>VLOOKUP(Table1[[#This Row],[Country Code]],Table29[],4,FALSE)</f>
        <v>Europe</v>
      </c>
      <c r="X86" s="233" t="str">
        <f>VLOOKUP(Table1[[#This Row],[Country Code]],Table29[],5,FALSE)</f>
        <v>High-income</v>
      </c>
      <c r="Y86" s="43"/>
      <c r="Z86" s="43"/>
      <c r="AC86" t="s">
        <v>411</v>
      </c>
      <c r="AD86" t="s">
        <v>528</v>
      </c>
      <c r="AE86" t="s">
        <v>532</v>
      </c>
    </row>
    <row r="87" spans="1:31" ht="15" customHeight="1" x14ac:dyDescent="0.25">
      <c r="A87" s="360" t="s">
        <v>594</v>
      </c>
      <c r="B87" s="176" t="s">
        <v>278</v>
      </c>
      <c r="C87" s="243" t="str">
        <f>VLOOKUP(Table1[[#This Row],[Country Code]],Table29[],2,FALSE)</f>
        <v>Luxembourg</v>
      </c>
      <c r="D87" s="243" t="str">
        <f t="shared" si="4"/>
        <v>Good</v>
      </c>
      <c r="E87" s="176" t="s">
        <v>71</v>
      </c>
      <c r="F87" s="43" t="s">
        <v>498</v>
      </c>
      <c r="G87" s="43" t="str">
        <f t="shared" si="5"/>
        <v>First NDC</v>
      </c>
      <c r="H87" s="350" t="s">
        <v>499</v>
      </c>
      <c r="I87" s="351">
        <v>42648</v>
      </c>
      <c r="J87" s="320" t="s">
        <v>574</v>
      </c>
      <c r="K87" s="320" t="str" cm="1">
        <f t="array" ref="K87">IF(ISNUMBER(MATCH("Transport sector mitigation target", _xlfn._xlws.FILTER(Targets!H:H, Targets!A:A =A87), 0)), "yes", "no")</f>
        <v>no</v>
      </c>
      <c r="L87" s="43" t="str">
        <f>IF(K87="no", "No transport target", IF(AND(COUNTIFS(Targets!A:A, A87, Targets!H:H, "Transport sector mitigation target", Targets!J:J, "GHG") &gt; 0, COUNTIFS(Targets!A:A, A87, Targets!H:H, "Transport sector mitigation target", Targets!J:J, "Non GHG") &gt; 0), "GHG and non-GHG target", IF(COUNTIFS(Targets!A:A, A87, Targets!H:H, "Transport sector mitigation target", Targets!J:J, "GHG") &gt; 0, "GHG target", IF(COUNTIFS(Targets!A:A, A87, Targets!H:H, "Transport sector mitigation target", Targets!J:J, "Non GHG") &gt; 0, "non-GHG target", ""))))</f>
        <v>No transport target</v>
      </c>
      <c r="M87" s="43" t="str">
        <f>IF(K87="no","No transport target",IF(L87="non-GHG target","No GHG transport target",IF(AND(COUNTIFS(Targets!A:A,A87,Targets!H:H,"Transport sector mitigation target",Targets!J:J,"GHG",Targets!L:L,"Conditional")&gt;0,COUNTIFS(Targets!A:A,A87,Targets!H:H,"Transport sector mitigation target",Targets!J:J,"GHG",Targets!L:L,"Unconditional")&gt;0),"GHG unconditional and conditional",IF(COUNTIFS(Targets!A:A,A87,Targets!H:H,"Transport sector mitigation target",Targets!J:J,"GHG",Targets!L:L,"Conditional")&gt;0,"GHG conditional only",IF(COUNTIFS(Targets!A:A,A87,Targets!H:H,"Transport sector mitigation target",Targets!J:J,"GHG",Targets!L:L,"Unconditional")&gt;0,"GHG unconditional only",IF(COUNTIFS(Targets!A:A,A87,Targets!H:H,"Transport sector mitigation target",Targets!J:J,"GHG",Targets!L:L,"Unclear conditionality")&gt;0,"Conditionality unclear",""))))))</f>
        <v>No transport target</v>
      </c>
      <c r="N87" s="43" t="str" cm="1">
        <f t="array" ref="N87">IF(ISNUMBER(MATCH("Transport sector adaptation target", _xlfn._xlws.FILTER(Targets!H:H, Targets!A:A =A87), 0)), "yes", "no")</f>
        <v>no</v>
      </c>
      <c r="O87" s="43" t="str">
        <f>IF(ISNA(MATCH(A87, Mitigation!A:A, 0)), "no", "yes")</f>
        <v>no</v>
      </c>
      <c r="P87" s="43" t="str">
        <f>IF(ISNA(MATCH(A87, Adaptation!A:A, 0)), "no", "yes")</f>
        <v>no</v>
      </c>
      <c r="Q87" s="43" t="str">
        <f>IF(ISNA(MATCH(A87, Benefits!A:A, 0)), "no", "yes")</f>
        <v>no</v>
      </c>
      <c r="R87" s="43"/>
      <c r="S87" s="43"/>
      <c r="T87" s="320" t="s">
        <v>574</v>
      </c>
      <c r="U87" s="312" t="s">
        <v>575</v>
      </c>
      <c r="V87" s="233" t="str">
        <f>VLOOKUP(Table1[[#This Row],[Country Code]],Table29[],3,FALSE)</f>
        <v>Annex I</v>
      </c>
      <c r="W87" s="233" t="str">
        <f>VLOOKUP(Table1[[#This Row],[Country Code]],Table29[],4,FALSE)</f>
        <v>Europe</v>
      </c>
      <c r="X87" s="233" t="str">
        <f>VLOOKUP(Table1[[#This Row],[Country Code]],Table29[],5,FALSE)</f>
        <v>High-income</v>
      </c>
      <c r="Y87" s="43"/>
      <c r="Z87" s="43"/>
      <c r="AC87" t="s">
        <v>417</v>
      </c>
      <c r="AD87" t="s">
        <v>227</v>
      </c>
      <c r="AE87" t="s">
        <v>526</v>
      </c>
    </row>
    <row r="88" spans="1:31" ht="15" customHeight="1" x14ac:dyDescent="0.25">
      <c r="A88" s="360" t="s">
        <v>595</v>
      </c>
      <c r="B88" s="176" t="s">
        <v>290</v>
      </c>
      <c r="C88" s="243" t="str">
        <f>VLOOKUP(Table1[[#This Row],[Country Code]],Table29[],2,FALSE)</f>
        <v>Malta</v>
      </c>
      <c r="D88" s="243" t="str">
        <f t="shared" si="4"/>
        <v>Good</v>
      </c>
      <c r="E88" s="176" t="s">
        <v>71</v>
      </c>
      <c r="F88" s="43" t="s">
        <v>498</v>
      </c>
      <c r="G88" s="43" t="str">
        <f t="shared" si="5"/>
        <v>First NDC</v>
      </c>
      <c r="H88" s="350" t="s">
        <v>499</v>
      </c>
      <c r="I88" s="351">
        <v>42648</v>
      </c>
      <c r="J88" s="320" t="s">
        <v>574</v>
      </c>
      <c r="K88" s="320" t="str" cm="1">
        <f t="array" ref="K88">IF(ISNUMBER(MATCH("Transport sector mitigation target", _xlfn._xlws.FILTER(Targets!H:H, Targets!A:A =A88), 0)), "yes", "no")</f>
        <v>no</v>
      </c>
      <c r="L88" s="43" t="str">
        <f>IF(K88="no", "No transport target", IF(AND(COUNTIFS(Targets!A:A, A88, Targets!H:H, "Transport sector mitigation target", Targets!J:J, "GHG") &gt; 0, COUNTIFS(Targets!A:A, A88, Targets!H:H, "Transport sector mitigation target", Targets!J:J, "Non GHG") &gt; 0), "GHG and non-GHG target", IF(COUNTIFS(Targets!A:A, A88, Targets!H:H, "Transport sector mitigation target", Targets!J:J, "GHG") &gt; 0, "GHG target", IF(COUNTIFS(Targets!A:A, A88, Targets!H:H, "Transport sector mitigation target", Targets!J:J, "Non GHG") &gt; 0, "non-GHG target", ""))))</f>
        <v>No transport target</v>
      </c>
      <c r="M88" s="43" t="str">
        <f>IF(K88="no","No transport target",IF(L88="non-GHG target","No GHG transport target",IF(AND(COUNTIFS(Targets!A:A,A88,Targets!H:H,"Transport sector mitigation target",Targets!J:J,"GHG",Targets!L:L,"Conditional")&gt;0,COUNTIFS(Targets!A:A,A88,Targets!H:H,"Transport sector mitigation target",Targets!J:J,"GHG",Targets!L:L,"Unconditional")&gt;0),"GHG unconditional and conditional",IF(COUNTIFS(Targets!A:A,A88,Targets!H:H,"Transport sector mitigation target",Targets!J:J,"GHG",Targets!L:L,"Conditional")&gt;0,"GHG conditional only",IF(COUNTIFS(Targets!A:A,A88,Targets!H:H,"Transport sector mitigation target",Targets!J:J,"GHG",Targets!L:L,"Unconditional")&gt;0,"GHG unconditional only",IF(COUNTIFS(Targets!A:A,A88,Targets!H:H,"Transport sector mitigation target",Targets!J:J,"GHG",Targets!L:L,"Unclear conditionality")&gt;0,"Conditionality unclear",""))))))</f>
        <v>No transport target</v>
      </c>
      <c r="N88" s="43" t="str" cm="1">
        <f t="array" ref="N88">IF(ISNUMBER(MATCH("Transport sector adaptation target", _xlfn._xlws.FILTER(Targets!H:H, Targets!A:A =A88), 0)), "yes", "no")</f>
        <v>no</v>
      </c>
      <c r="O88" s="43" t="str">
        <f>IF(ISNA(MATCH(A88, Mitigation!A:A, 0)), "no", "yes")</f>
        <v>no</v>
      </c>
      <c r="P88" s="43" t="str">
        <f>IF(ISNA(MATCH(A88, Adaptation!A:A, 0)), "no", "yes")</f>
        <v>no</v>
      </c>
      <c r="Q88" s="43" t="str">
        <f>IF(ISNA(MATCH(A88, Benefits!A:A, 0)), "no", "yes")</f>
        <v>no</v>
      </c>
      <c r="R88" s="43"/>
      <c r="S88" s="43"/>
      <c r="T88" s="320" t="s">
        <v>574</v>
      </c>
      <c r="U88" s="312" t="s">
        <v>575</v>
      </c>
      <c r="V88" s="233" t="str">
        <f>VLOOKUP(Table1[[#This Row],[Country Code]],Table29[],3,FALSE)</f>
        <v>Annex I</v>
      </c>
      <c r="W88" s="233" t="str">
        <f>VLOOKUP(Table1[[#This Row],[Country Code]],Table29[],4,FALSE)</f>
        <v>Europe</v>
      </c>
      <c r="X88" s="233" t="str">
        <f>VLOOKUP(Table1[[#This Row],[Country Code]],Table29[],5,FALSE)</f>
        <v>High-income</v>
      </c>
      <c r="Y88" s="43"/>
      <c r="Z88" s="43"/>
      <c r="AC88" t="s">
        <v>419</v>
      </c>
      <c r="AD88" t="s">
        <v>227</v>
      </c>
      <c r="AE88" t="s">
        <v>526</v>
      </c>
    </row>
    <row r="89" spans="1:31" ht="15" customHeight="1" x14ac:dyDescent="0.25">
      <c r="A89" s="360" t="s">
        <v>596</v>
      </c>
      <c r="B89" s="176" t="s">
        <v>321</v>
      </c>
      <c r="C89" s="243" t="str">
        <f>VLOOKUP(Table1[[#This Row],[Country Code]],Table29[],2,FALSE)</f>
        <v>Netherlands</v>
      </c>
      <c r="D89" s="243" t="str">
        <f t="shared" si="4"/>
        <v>Good</v>
      </c>
      <c r="E89" s="176" t="s">
        <v>71</v>
      </c>
      <c r="F89" s="43" t="s">
        <v>498</v>
      </c>
      <c r="G89" s="43" t="str">
        <f t="shared" si="5"/>
        <v>First NDC</v>
      </c>
      <c r="H89" s="350" t="s">
        <v>499</v>
      </c>
      <c r="I89" s="351">
        <v>42648</v>
      </c>
      <c r="J89" s="320" t="s">
        <v>574</v>
      </c>
      <c r="K89" s="320" t="str" cm="1">
        <f t="array" ref="K89">IF(ISNUMBER(MATCH("Transport sector mitigation target", _xlfn._xlws.FILTER(Targets!H:H, Targets!A:A =A89), 0)), "yes", "no")</f>
        <v>no</v>
      </c>
      <c r="L89" s="43" t="str">
        <f>IF(K89="no", "No transport target", IF(AND(COUNTIFS(Targets!A:A, A89, Targets!H:H, "Transport sector mitigation target", Targets!J:J, "GHG") &gt; 0, COUNTIFS(Targets!A:A, A89, Targets!H:H, "Transport sector mitigation target", Targets!J:J, "Non GHG") &gt; 0), "GHG and non-GHG target", IF(COUNTIFS(Targets!A:A, A89, Targets!H:H, "Transport sector mitigation target", Targets!J:J, "GHG") &gt; 0, "GHG target", IF(COUNTIFS(Targets!A:A, A89, Targets!H:H, "Transport sector mitigation target", Targets!J:J, "Non GHG") &gt; 0, "non-GHG target", ""))))</f>
        <v>No transport target</v>
      </c>
      <c r="M89" s="43" t="str">
        <f>IF(K89="no","No transport target",IF(L89="non-GHG target","No GHG transport target",IF(AND(COUNTIFS(Targets!A:A,A89,Targets!H:H,"Transport sector mitigation target",Targets!J:J,"GHG",Targets!L:L,"Conditional")&gt;0,COUNTIFS(Targets!A:A,A89,Targets!H:H,"Transport sector mitigation target",Targets!J:J,"GHG",Targets!L:L,"Unconditional")&gt;0),"GHG unconditional and conditional",IF(COUNTIFS(Targets!A:A,A89,Targets!H:H,"Transport sector mitigation target",Targets!J:J,"GHG",Targets!L:L,"Conditional")&gt;0,"GHG conditional only",IF(COUNTIFS(Targets!A:A,A89,Targets!H:H,"Transport sector mitigation target",Targets!J:J,"GHG",Targets!L:L,"Unconditional")&gt;0,"GHG unconditional only",IF(COUNTIFS(Targets!A:A,A89,Targets!H:H,"Transport sector mitigation target",Targets!J:J,"GHG",Targets!L:L,"Unclear conditionality")&gt;0,"Conditionality unclear",""))))))</f>
        <v>No transport target</v>
      </c>
      <c r="N89" s="43" t="str" cm="1">
        <f t="array" ref="N89">IF(ISNUMBER(MATCH("Transport sector adaptation target", _xlfn._xlws.FILTER(Targets!H:H, Targets!A:A =A89), 0)), "yes", "no")</f>
        <v>no</v>
      </c>
      <c r="O89" s="43" t="str">
        <f>IF(ISNA(MATCH(A89, Mitigation!A:A, 0)), "no", "yes")</f>
        <v>no</v>
      </c>
      <c r="P89" s="43" t="str">
        <f>IF(ISNA(MATCH(A89, Adaptation!A:A, 0)), "no", "yes")</f>
        <v>no</v>
      </c>
      <c r="Q89" s="43" t="str">
        <f>IF(ISNA(MATCH(A89, Benefits!A:A, 0)), "no", "yes")</f>
        <v>no</v>
      </c>
      <c r="R89" s="43"/>
      <c r="S89" s="43"/>
      <c r="T89" s="320" t="s">
        <v>574</v>
      </c>
      <c r="U89" s="312" t="s">
        <v>575</v>
      </c>
      <c r="V89" s="233" t="str">
        <f>VLOOKUP(Table1[[#This Row],[Country Code]],Table29[],3,FALSE)</f>
        <v>Annex I</v>
      </c>
      <c r="W89" s="233" t="str">
        <f>VLOOKUP(Table1[[#This Row],[Country Code]],Table29[],4,FALSE)</f>
        <v>Europe</v>
      </c>
      <c r="X89" s="233" t="str">
        <f>VLOOKUP(Table1[[#This Row],[Country Code]],Table29[],5,FALSE)</f>
        <v>High-income</v>
      </c>
      <c r="Y89" s="43"/>
      <c r="Z89" s="43"/>
      <c r="AC89" t="s">
        <v>431</v>
      </c>
      <c r="AD89" t="s">
        <v>597</v>
      </c>
      <c r="AE89" t="s">
        <v>526</v>
      </c>
    </row>
    <row r="90" spans="1:31" ht="15" customHeight="1" x14ac:dyDescent="0.25">
      <c r="A90" s="360">
        <v>17678</v>
      </c>
      <c r="B90" s="20" t="s">
        <v>323</v>
      </c>
      <c r="C90" s="206" t="str">
        <f>VLOOKUP(Table1[[#This Row],[Country Code]],Table29[],2,FALSE)</f>
        <v>New Zealand</v>
      </c>
      <c r="D90" s="243" t="str">
        <f t="shared" si="4"/>
        <v>Good</v>
      </c>
      <c r="E90" s="20" t="s">
        <v>71</v>
      </c>
      <c r="F90" s="17" t="s">
        <v>498</v>
      </c>
      <c r="G90" s="43" t="str">
        <f t="shared" si="5"/>
        <v>First NDC</v>
      </c>
      <c r="H90" s="17" t="s">
        <v>499</v>
      </c>
      <c r="I90" s="149">
        <v>42648</v>
      </c>
      <c r="J90" s="49" t="s">
        <v>500</v>
      </c>
      <c r="K90" s="49" t="str" cm="1">
        <f t="array" ref="K90">IF(ISNUMBER(MATCH("Transport sector mitigation target", _xlfn._xlws.FILTER(Targets!H:H, Targets!A:A =A90), 0)), "yes", "no")</f>
        <v>no</v>
      </c>
      <c r="L90" s="17" t="str">
        <f>IF(K90="no", "No transport target", IF(AND(COUNTIFS(Targets!A:A, A90, Targets!H:H, "Transport sector mitigation target", Targets!J:J, "GHG") &gt; 0, COUNTIFS(Targets!A:A, A90, Targets!H:H, "Transport sector mitigation target", Targets!J:J, "Non GHG") &gt; 0), "GHG and non-GHG target", IF(COUNTIFS(Targets!A:A, A90, Targets!H:H, "Transport sector mitigation target", Targets!J:J, "GHG") &gt; 0, "GHG target", IF(COUNTIFS(Targets!A:A, A90, Targets!H:H, "Transport sector mitigation target", Targets!J:J, "Non GHG") &gt; 0, "non-GHG target", ""))))</f>
        <v>No transport target</v>
      </c>
      <c r="M90" s="17" t="str">
        <f>IF(K90="no","No transport target",IF(L90="non-GHG target","No GHG transport target",IF(AND(COUNTIFS(Targets!A:A,A90,Targets!H:H,"Transport sector mitigation target",Targets!J:J,"GHG",Targets!L:L,"Conditional")&gt;0,COUNTIFS(Targets!A:A,A90,Targets!H:H,"Transport sector mitigation target",Targets!J:J,"GHG",Targets!L:L,"Unconditional")&gt;0),"GHG unconditional and conditional",IF(COUNTIFS(Targets!A:A,A90,Targets!H:H,"Transport sector mitigation target",Targets!J:J,"GHG",Targets!L:L,"Conditional")&gt;0,"GHG conditional only",IF(COUNTIFS(Targets!A:A,A90,Targets!H:H,"Transport sector mitigation target",Targets!J:J,"GHG",Targets!L:L,"Unconditional")&gt;0,"GHG unconditional only",IF(COUNTIFS(Targets!A:A,A90,Targets!H:H,"Transport sector mitigation target",Targets!J:J,"GHG",Targets!L:L,"Unclear conditionality")&gt;0,"Conditionality unclear",""))))))</f>
        <v>No transport target</v>
      </c>
      <c r="N90" s="17" t="str" cm="1">
        <f t="array" ref="N90">IF(ISNUMBER(MATCH("Transport sector adaptation target", _xlfn._xlws.FILTER(Targets!H:H, Targets!A:A =A90), 0)), "yes", "no")</f>
        <v>no</v>
      </c>
      <c r="O90" s="17" t="str">
        <f>IF(ISNA(MATCH(A90, Mitigation!A:A, 0)), "no", "yes")</f>
        <v>no</v>
      </c>
      <c r="P90" s="17" t="str">
        <f>IF(ISNA(MATCH(A90, Adaptation!A:A, 0)), "no", "yes")</f>
        <v>no</v>
      </c>
      <c r="Q90" s="17" t="str">
        <f>IF(ISNA(MATCH(A90, Benefits!A:A, 0)), "no", "yes")</f>
        <v>no</v>
      </c>
      <c r="R90" s="17"/>
      <c r="S90" s="17"/>
      <c r="T90" s="17" t="s">
        <v>501</v>
      </c>
      <c r="U90" s="135" t="s">
        <v>598</v>
      </c>
      <c r="V90" s="207" t="str">
        <f>VLOOKUP(Table1[[#This Row],[Country Code]],Table29[],3,FALSE)</f>
        <v>Annex I</v>
      </c>
      <c r="W90" s="207" t="str">
        <f>VLOOKUP(Table1[[#This Row],[Country Code]],Table29[],4,FALSE)</f>
        <v>Oceania</v>
      </c>
      <c r="X90" s="207" t="str">
        <f>VLOOKUP(Table1[[#This Row],[Country Code]],Table29[],5,FALSE)</f>
        <v>High-income</v>
      </c>
      <c r="Y90" s="17"/>
      <c r="Z90" s="17"/>
      <c r="AC90" t="s">
        <v>433</v>
      </c>
      <c r="AD90" t="s">
        <v>498</v>
      </c>
      <c r="AE90" t="s">
        <v>526</v>
      </c>
    </row>
    <row r="91" spans="1:31" ht="15" customHeight="1" x14ac:dyDescent="0.25">
      <c r="A91" s="360" t="s">
        <v>599</v>
      </c>
      <c r="B91" s="20" t="s">
        <v>354</v>
      </c>
      <c r="C91" s="206" t="str">
        <f>VLOOKUP(Table1[[#This Row],[Country Code]],Table29[],2,FALSE)</f>
        <v>Poland</v>
      </c>
      <c r="D91" s="243" t="str">
        <f t="shared" si="4"/>
        <v>Good</v>
      </c>
      <c r="E91" s="20" t="s">
        <v>71</v>
      </c>
      <c r="F91" s="17" t="s">
        <v>498</v>
      </c>
      <c r="G91" s="43" t="str">
        <f t="shared" si="5"/>
        <v>First NDC</v>
      </c>
      <c r="H91" s="148" t="s">
        <v>499</v>
      </c>
      <c r="I91" s="351">
        <v>42648</v>
      </c>
      <c r="J91" s="49" t="s">
        <v>574</v>
      </c>
      <c r="K91" s="49" t="str" cm="1">
        <f t="array" ref="K91">IF(ISNUMBER(MATCH("Transport sector mitigation target", _xlfn._xlws.FILTER(Targets!H:H, Targets!A:A =A91), 0)), "yes", "no")</f>
        <v>no</v>
      </c>
      <c r="L91" s="17" t="str">
        <f>IF(K91="no", "No transport target", IF(AND(COUNTIFS(Targets!A:A, A91, Targets!H:H, "Transport sector mitigation target", Targets!J:J, "GHG") &gt; 0, COUNTIFS(Targets!A:A, A91, Targets!H:H, "Transport sector mitigation target", Targets!J:J, "Non GHG") &gt; 0), "GHG and non-GHG target", IF(COUNTIFS(Targets!A:A, A91, Targets!H:H, "Transport sector mitigation target", Targets!J:J, "GHG") &gt; 0, "GHG target", IF(COUNTIFS(Targets!A:A, A91, Targets!H:H, "Transport sector mitigation target", Targets!J:J, "Non GHG") &gt; 0, "non-GHG target", ""))))</f>
        <v>No transport target</v>
      </c>
      <c r="M91" s="17" t="str">
        <f>IF(K91="no","No transport target",IF(L91="non-GHG target","No GHG transport target",IF(AND(COUNTIFS(Targets!A:A,A91,Targets!H:H,"Transport sector mitigation target",Targets!J:J,"GHG",Targets!L:L,"Conditional")&gt;0,COUNTIFS(Targets!A:A,A91,Targets!H:H,"Transport sector mitigation target",Targets!J:J,"GHG",Targets!L:L,"Unconditional")&gt;0),"GHG unconditional and conditional",IF(COUNTIFS(Targets!A:A,A91,Targets!H:H,"Transport sector mitigation target",Targets!J:J,"GHG",Targets!L:L,"Conditional")&gt;0,"GHG conditional only",IF(COUNTIFS(Targets!A:A,A91,Targets!H:H,"Transport sector mitigation target",Targets!J:J,"GHG",Targets!L:L,"Unconditional")&gt;0,"GHG unconditional only",IF(COUNTIFS(Targets!A:A,A91,Targets!H:H,"Transport sector mitigation target",Targets!J:J,"GHG",Targets!L:L,"Unclear conditionality")&gt;0,"Conditionality unclear",""))))))</f>
        <v>No transport target</v>
      </c>
      <c r="N91" s="17" t="str" cm="1">
        <f t="array" ref="N91">IF(ISNUMBER(MATCH("Transport sector adaptation target", _xlfn._xlws.FILTER(Targets!H:H, Targets!A:A =A91), 0)), "yes", "no")</f>
        <v>no</v>
      </c>
      <c r="O91" s="17" t="str">
        <f>IF(ISNA(MATCH(A91, Mitigation!A:A, 0)), "no", "yes")</f>
        <v>no</v>
      </c>
      <c r="P91" s="17" t="str">
        <f>IF(ISNA(MATCH(A91, Adaptation!A:A, 0)), "no", "yes")</f>
        <v>no</v>
      </c>
      <c r="Q91" s="17" t="str">
        <f>IF(ISNA(MATCH(A91, Benefits!A:A, 0)), "no", "yes")</f>
        <v>no</v>
      </c>
      <c r="R91" s="17"/>
      <c r="S91" s="17"/>
      <c r="T91" s="49" t="s">
        <v>574</v>
      </c>
      <c r="U91" s="312" t="s">
        <v>575</v>
      </c>
      <c r="V91" s="207" t="str">
        <f>VLOOKUP(Table1[[#This Row],[Country Code]],Table29[],3,FALSE)</f>
        <v>Annex I</v>
      </c>
      <c r="W91" s="207" t="str">
        <f>VLOOKUP(Table1[[#This Row],[Country Code]],Table29[],4,FALSE)</f>
        <v>Europe</v>
      </c>
      <c r="X91" s="207" t="str">
        <f>VLOOKUP(Table1[[#This Row],[Country Code]],Table29[],5,FALSE)</f>
        <v>High-income</v>
      </c>
      <c r="Y91" s="17"/>
      <c r="Z91" s="17"/>
      <c r="AC91" t="s">
        <v>443</v>
      </c>
      <c r="AD91" t="s">
        <v>498</v>
      </c>
      <c r="AE91" t="s">
        <v>539</v>
      </c>
    </row>
    <row r="92" spans="1:31" ht="15" customHeight="1" x14ac:dyDescent="0.25">
      <c r="A92" s="360" t="s">
        <v>600</v>
      </c>
      <c r="B92" s="20" t="s">
        <v>356</v>
      </c>
      <c r="C92" s="206" t="str">
        <f>VLOOKUP(Table1[[#This Row],[Country Code]],Table29[],2,FALSE)</f>
        <v>Portugal</v>
      </c>
      <c r="D92" s="243" t="str">
        <f t="shared" si="4"/>
        <v>Good</v>
      </c>
      <c r="E92" s="20" t="s">
        <v>71</v>
      </c>
      <c r="F92" s="17" t="s">
        <v>498</v>
      </c>
      <c r="G92" s="43" t="str">
        <f t="shared" si="5"/>
        <v>First NDC</v>
      </c>
      <c r="H92" s="148" t="s">
        <v>499</v>
      </c>
      <c r="I92" s="351">
        <v>42648</v>
      </c>
      <c r="J92" s="49" t="s">
        <v>574</v>
      </c>
      <c r="K92" s="49" t="str" cm="1">
        <f t="array" ref="K92">IF(ISNUMBER(MATCH("Transport sector mitigation target", _xlfn._xlws.FILTER(Targets!H:H, Targets!A:A =A92), 0)), "yes", "no")</f>
        <v>no</v>
      </c>
      <c r="L92" s="17" t="str">
        <f>IF(K92="no", "No transport target", IF(AND(COUNTIFS(Targets!A:A, A92, Targets!H:H, "Transport sector mitigation target", Targets!J:J, "GHG") &gt; 0, COUNTIFS(Targets!A:A, A92, Targets!H:H, "Transport sector mitigation target", Targets!J:J, "Non GHG") &gt; 0), "GHG and non-GHG target", IF(COUNTIFS(Targets!A:A, A92, Targets!H:H, "Transport sector mitigation target", Targets!J:J, "GHG") &gt; 0, "GHG target", IF(COUNTIFS(Targets!A:A, A92, Targets!H:H, "Transport sector mitigation target", Targets!J:J, "Non GHG") &gt; 0, "non-GHG target", ""))))</f>
        <v>No transport target</v>
      </c>
      <c r="M92" s="17" t="str">
        <f>IF(K92="no","No transport target",IF(L92="non-GHG target","No GHG transport target",IF(AND(COUNTIFS(Targets!A:A,A92,Targets!H:H,"Transport sector mitigation target",Targets!J:J,"GHG",Targets!L:L,"Conditional")&gt;0,COUNTIFS(Targets!A:A,A92,Targets!H:H,"Transport sector mitigation target",Targets!J:J,"GHG",Targets!L:L,"Unconditional")&gt;0),"GHG unconditional and conditional",IF(COUNTIFS(Targets!A:A,A92,Targets!H:H,"Transport sector mitigation target",Targets!J:J,"GHG",Targets!L:L,"Conditional")&gt;0,"GHG conditional only",IF(COUNTIFS(Targets!A:A,A92,Targets!H:H,"Transport sector mitigation target",Targets!J:J,"GHG",Targets!L:L,"Unconditional")&gt;0,"GHG unconditional only",IF(COUNTIFS(Targets!A:A,A92,Targets!H:H,"Transport sector mitigation target",Targets!J:J,"GHG",Targets!L:L,"Unclear conditionality")&gt;0,"Conditionality unclear",""))))))</f>
        <v>No transport target</v>
      </c>
      <c r="N92" s="17" t="str" cm="1">
        <f t="array" ref="N92">IF(ISNUMBER(MATCH("Transport sector adaptation target", _xlfn._xlws.FILTER(Targets!H:H, Targets!A:A =A92), 0)), "yes", "no")</f>
        <v>no</v>
      </c>
      <c r="O92" s="17" t="str">
        <f>IF(ISNA(MATCH(A92, Mitigation!A:A, 0)), "no", "yes")</f>
        <v>no</v>
      </c>
      <c r="P92" s="17" t="str">
        <f>IF(ISNA(MATCH(A92, Adaptation!A:A, 0)), "no", "yes")</f>
        <v>no</v>
      </c>
      <c r="Q92" s="17" t="str">
        <f>IF(ISNA(MATCH(A92, Benefits!A:A, 0)), "no", "yes")</f>
        <v>no</v>
      </c>
      <c r="R92" s="17"/>
      <c r="S92" s="17"/>
      <c r="T92" s="49" t="s">
        <v>574</v>
      </c>
      <c r="U92" s="312" t="s">
        <v>575</v>
      </c>
      <c r="V92" s="207" t="str">
        <f>VLOOKUP(Table1[[#This Row],[Country Code]],Table29[],3,FALSE)</f>
        <v>Annex I</v>
      </c>
      <c r="W92" s="207" t="str">
        <f>VLOOKUP(Table1[[#This Row],[Country Code]],Table29[],4,FALSE)</f>
        <v>Europe</v>
      </c>
      <c r="X92" s="207" t="str">
        <f>VLOOKUP(Table1[[#This Row],[Country Code]],Table29[],5,FALSE)</f>
        <v>High-income</v>
      </c>
      <c r="Y92" s="17"/>
      <c r="Z92" s="17"/>
      <c r="AC92" t="s">
        <v>447</v>
      </c>
      <c r="AD92" t="s">
        <v>601</v>
      </c>
      <c r="AE92" t="s">
        <v>526</v>
      </c>
    </row>
    <row r="93" spans="1:31" ht="15" customHeight="1" x14ac:dyDescent="0.25">
      <c r="A93" s="360" t="s">
        <v>602</v>
      </c>
      <c r="B93" s="20" t="s">
        <v>366</v>
      </c>
      <c r="C93" s="206" t="str">
        <f>VLOOKUP(Table1[[#This Row],[Country Code]],Table29[],2,FALSE)</f>
        <v>Romania</v>
      </c>
      <c r="D93" s="243" t="str">
        <f t="shared" si="4"/>
        <v>Good</v>
      </c>
      <c r="E93" s="20" t="s">
        <v>71</v>
      </c>
      <c r="F93" s="17" t="s">
        <v>498</v>
      </c>
      <c r="G93" s="43" t="str">
        <f t="shared" si="5"/>
        <v>First NDC</v>
      </c>
      <c r="H93" s="148" t="s">
        <v>499</v>
      </c>
      <c r="I93" s="351">
        <v>42648</v>
      </c>
      <c r="J93" s="49" t="s">
        <v>574</v>
      </c>
      <c r="K93" s="49" t="str" cm="1">
        <f t="array" ref="K93">IF(ISNUMBER(MATCH("Transport sector mitigation target", _xlfn._xlws.FILTER(Targets!H:H, Targets!A:A =A93), 0)), "yes", "no")</f>
        <v>no</v>
      </c>
      <c r="L93" s="17" t="str">
        <f>IF(K93="no", "No transport target", IF(AND(COUNTIFS(Targets!A:A, A93, Targets!H:H, "Transport sector mitigation target", Targets!J:J, "GHG") &gt; 0, COUNTIFS(Targets!A:A, A93, Targets!H:H, "Transport sector mitigation target", Targets!J:J, "Non GHG") &gt; 0), "GHG and non-GHG target", IF(COUNTIFS(Targets!A:A, A93, Targets!H:H, "Transport sector mitigation target", Targets!J:J, "GHG") &gt; 0, "GHG target", IF(COUNTIFS(Targets!A:A, A93, Targets!H:H, "Transport sector mitigation target", Targets!J:J, "Non GHG") &gt; 0, "non-GHG target", ""))))</f>
        <v>No transport target</v>
      </c>
      <c r="M93" s="17" t="str">
        <f>IF(K93="no","No transport target",IF(L93="non-GHG target","No GHG transport target",IF(AND(COUNTIFS(Targets!A:A,A93,Targets!H:H,"Transport sector mitigation target",Targets!J:J,"GHG",Targets!L:L,"Conditional")&gt;0,COUNTIFS(Targets!A:A,A93,Targets!H:H,"Transport sector mitigation target",Targets!J:J,"GHG",Targets!L:L,"Unconditional")&gt;0),"GHG unconditional and conditional",IF(COUNTIFS(Targets!A:A,A93,Targets!H:H,"Transport sector mitigation target",Targets!J:J,"GHG",Targets!L:L,"Conditional")&gt;0,"GHG conditional only",IF(COUNTIFS(Targets!A:A,A93,Targets!H:H,"Transport sector mitigation target",Targets!J:J,"GHG",Targets!L:L,"Unconditional")&gt;0,"GHG unconditional only",IF(COUNTIFS(Targets!A:A,A93,Targets!H:H,"Transport sector mitigation target",Targets!J:J,"GHG",Targets!L:L,"Unclear conditionality")&gt;0,"Conditionality unclear",""))))))</f>
        <v>No transport target</v>
      </c>
      <c r="N93" s="17" t="str" cm="1">
        <f t="array" ref="N93">IF(ISNUMBER(MATCH("Transport sector adaptation target", _xlfn._xlws.FILTER(Targets!H:H, Targets!A:A =A93), 0)), "yes", "no")</f>
        <v>no</v>
      </c>
      <c r="O93" s="17" t="str">
        <f>IF(ISNA(MATCH(A93, Mitigation!A:A, 0)), "no", "yes")</f>
        <v>no</v>
      </c>
      <c r="P93" s="17" t="str">
        <f>IF(ISNA(MATCH(A93, Adaptation!A:A, 0)), "no", "yes")</f>
        <v>no</v>
      </c>
      <c r="Q93" s="17" t="str">
        <f>IF(ISNA(MATCH(A93, Benefits!A:A, 0)), "no", "yes")</f>
        <v>no</v>
      </c>
      <c r="R93" s="17"/>
      <c r="S93" s="17"/>
      <c r="T93" s="49" t="s">
        <v>574</v>
      </c>
      <c r="U93" s="312" t="s">
        <v>575</v>
      </c>
      <c r="V93" s="207" t="str">
        <f>VLOOKUP(Table1[[#This Row],[Country Code]],Table29[],3,FALSE)</f>
        <v>Annex I</v>
      </c>
      <c r="W93" s="207" t="str">
        <f>VLOOKUP(Table1[[#This Row],[Country Code]],Table29[],4,FALSE)</f>
        <v>Europe</v>
      </c>
      <c r="X93" s="207" t="str">
        <f>VLOOKUP(Table1[[#This Row],[Country Code]],Table29[],5,FALSE)</f>
        <v>Middle-income</v>
      </c>
      <c r="Y93" s="17"/>
      <c r="Z93" s="17"/>
      <c r="AC93" t="s">
        <v>447</v>
      </c>
      <c r="AD93" t="s">
        <v>555</v>
      </c>
      <c r="AE93" t="s">
        <v>526</v>
      </c>
    </row>
    <row r="94" spans="1:31" ht="15" customHeight="1" x14ac:dyDescent="0.25">
      <c r="A94" s="405" t="s">
        <v>603</v>
      </c>
      <c r="B94" s="20" t="s">
        <v>396</v>
      </c>
      <c r="C94" s="206" t="str">
        <f>VLOOKUP(Table1[[#This Row],[Country Code]],Table29[],2,FALSE)</f>
        <v>Slovakia</v>
      </c>
      <c r="D94" s="243" t="str">
        <f t="shared" si="4"/>
        <v>Good</v>
      </c>
      <c r="E94" s="20" t="s">
        <v>71</v>
      </c>
      <c r="F94" s="17" t="s">
        <v>498</v>
      </c>
      <c r="G94" s="43" t="str">
        <f t="shared" si="5"/>
        <v>First NDC</v>
      </c>
      <c r="H94" s="148" t="s">
        <v>499</v>
      </c>
      <c r="I94" s="351">
        <v>42648</v>
      </c>
      <c r="J94" s="49" t="s">
        <v>574</v>
      </c>
      <c r="K94" s="49" t="str" cm="1">
        <f t="array" ref="K94">IF(ISNUMBER(MATCH("Transport sector mitigation target", _xlfn._xlws.FILTER(Targets!H:H, Targets!A:A =A94), 0)), "yes", "no")</f>
        <v>no</v>
      </c>
      <c r="L94" s="17" t="str">
        <f>IF(K94="no", "No transport target", IF(AND(COUNTIFS(Targets!A:A, A94, Targets!H:H, "Transport sector mitigation target", Targets!J:J, "GHG") &gt; 0, COUNTIFS(Targets!A:A, A94, Targets!H:H, "Transport sector mitigation target", Targets!J:J, "Non GHG") &gt; 0), "GHG and non-GHG target", IF(COUNTIFS(Targets!A:A, A94, Targets!H:H, "Transport sector mitigation target", Targets!J:J, "GHG") &gt; 0, "GHG target", IF(COUNTIFS(Targets!A:A, A94, Targets!H:H, "Transport sector mitigation target", Targets!J:J, "Non GHG") &gt; 0, "non-GHG target", ""))))</f>
        <v>No transport target</v>
      </c>
      <c r="M94" s="17" t="str">
        <f>IF(K94="no","No transport target",IF(L94="non-GHG target","No GHG transport target",IF(AND(COUNTIFS(Targets!A:A,A94,Targets!H:H,"Transport sector mitigation target",Targets!J:J,"GHG",Targets!L:L,"Conditional")&gt;0,COUNTIFS(Targets!A:A,A94,Targets!H:H,"Transport sector mitigation target",Targets!J:J,"GHG",Targets!L:L,"Unconditional")&gt;0),"GHG unconditional and conditional",IF(COUNTIFS(Targets!A:A,A94,Targets!H:H,"Transport sector mitigation target",Targets!J:J,"GHG",Targets!L:L,"Conditional")&gt;0,"GHG conditional only",IF(COUNTIFS(Targets!A:A,A94,Targets!H:H,"Transport sector mitigation target",Targets!J:J,"GHG",Targets!L:L,"Unconditional")&gt;0,"GHG unconditional only",IF(COUNTIFS(Targets!A:A,A94,Targets!H:H,"Transport sector mitigation target",Targets!J:J,"GHG",Targets!L:L,"Unclear conditionality")&gt;0,"Conditionality unclear",""))))))</f>
        <v>No transport target</v>
      </c>
      <c r="N94" s="17" t="str" cm="1">
        <f t="array" ref="N94">IF(ISNUMBER(MATCH("Transport sector adaptation target", _xlfn._xlws.FILTER(Targets!H:H, Targets!A:A =A94), 0)), "yes", "no")</f>
        <v>no</v>
      </c>
      <c r="O94" s="17" t="str">
        <f>IF(ISNA(MATCH(A94, Mitigation!A:A, 0)), "no", "yes")</f>
        <v>no</v>
      </c>
      <c r="P94" s="17" t="str">
        <f>IF(ISNA(MATCH(A94, Adaptation!A:A, 0)), "no", "yes")</f>
        <v>no</v>
      </c>
      <c r="Q94" s="17" t="str">
        <f>IF(ISNA(MATCH(A94, Benefits!A:A, 0)), "no", "yes")</f>
        <v>no</v>
      </c>
      <c r="R94" s="17"/>
      <c r="S94" s="17"/>
      <c r="T94" s="49" t="s">
        <v>574</v>
      </c>
      <c r="U94" s="312" t="s">
        <v>575</v>
      </c>
      <c r="V94" s="207" t="str">
        <f>VLOOKUP(Table1[[#This Row],[Country Code]],Table29[],3,FALSE)</f>
        <v>Annex I</v>
      </c>
      <c r="W94" s="207" t="str">
        <f>VLOOKUP(Table1[[#This Row],[Country Code]],Table29[],4,FALSE)</f>
        <v>Europe</v>
      </c>
      <c r="X94" s="207" t="str">
        <f>VLOOKUP(Table1[[#This Row],[Country Code]],Table29[],5,FALSE)</f>
        <v>High-income</v>
      </c>
      <c r="Y94" s="17"/>
      <c r="Z94" s="17"/>
      <c r="AC94" t="s">
        <v>449</v>
      </c>
      <c r="AD94" t="s">
        <v>227</v>
      </c>
      <c r="AE94" t="s">
        <v>526</v>
      </c>
    </row>
    <row r="95" spans="1:31" ht="15" customHeight="1" x14ac:dyDescent="0.25">
      <c r="A95" s="405" t="s">
        <v>604</v>
      </c>
      <c r="B95" s="20" t="s">
        <v>398</v>
      </c>
      <c r="C95" s="206" t="str">
        <f>VLOOKUP(Table1[[#This Row],[Country Code]],Table29[],2,FALSE)</f>
        <v>Slovenia</v>
      </c>
      <c r="D95" s="243" t="str">
        <f t="shared" si="4"/>
        <v>Good</v>
      </c>
      <c r="E95" s="20" t="s">
        <v>71</v>
      </c>
      <c r="F95" s="17" t="s">
        <v>498</v>
      </c>
      <c r="G95" s="43" t="str">
        <f t="shared" si="5"/>
        <v>First NDC</v>
      </c>
      <c r="H95" s="148" t="s">
        <v>499</v>
      </c>
      <c r="I95" s="351">
        <v>42648</v>
      </c>
      <c r="J95" s="49" t="s">
        <v>574</v>
      </c>
      <c r="K95" s="49" t="str" cm="1">
        <f t="array" ref="K95">IF(ISNUMBER(MATCH("Transport sector mitigation target", _xlfn._xlws.FILTER(Targets!H:H, Targets!A:A =A95), 0)), "yes", "no")</f>
        <v>no</v>
      </c>
      <c r="L95" s="17" t="str">
        <f>IF(K95="no", "No transport target", IF(AND(COUNTIFS(Targets!A:A, A95, Targets!H:H, "Transport sector mitigation target", Targets!J:J, "GHG") &gt; 0, COUNTIFS(Targets!A:A, A95, Targets!H:H, "Transport sector mitigation target", Targets!J:J, "Non GHG") &gt; 0), "GHG and non-GHG target", IF(COUNTIFS(Targets!A:A, A95, Targets!H:H, "Transport sector mitigation target", Targets!J:J, "GHG") &gt; 0, "GHG target", IF(COUNTIFS(Targets!A:A, A95, Targets!H:H, "Transport sector mitigation target", Targets!J:J, "Non GHG") &gt; 0, "non-GHG target", ""))))</f>
        <v>No transport target</v>
      </c>
      <c r="M95" s="17" t="str">
        <f>IF(K95="no","No transport target",IF(L95="non-GHG target","No GHG transport target",IF(AND(COUNTIFS(Targets!A:A,A95,Targets!H:H,"Transport sector mitigation target",Targets!J:J,"GHG",Targets!L:L,"Conditional")&gt;0,COUNTIFS(Targets!A:A,A95,Targets!H:H,"Transport sector mitigation target",Targets!J:J,"GHG",Targets!L:L,"Unconditional")&gt;0),"GHG unconditional and conditional",IF(COUNTIFS(Targets!A:A,A95,Targets!H:H,"Transport sector mitigation target",Targets!J:J,"GHG",Targets!L:L,"Conditional")&gt;0,"GHG conditional only",IF(COUNTIFS(Targets!A:A,A95,Targets!H:H,"Transport sector mitigation target",Targets!J:J,"GHG",Targets!L:L,"Unconditional")&gt;0,"GHG unconditional only",IF(COUNTIFS(Targets!A:A,A95,Targets!H:H,"Transport sector mitigation target",Targets!J:J,"GHG",Targets!L:L,"Unclear conditionality")&gt;0,"Conditionality unclear",""))))))</f>
        <v>No transport target</v>
      </c>
      <c r="N95" s="17" t="str" cm="1">
        <f t="array" ref="N95">IF(ISNUMBER(MATCH("Transport sector adaptation target", _xlfn._xlws.FILTER(Targets!H:H, Targets!A:A =A95), 0)), "yes", "no")</f>
        <v>no</v>
      </c>
      <c r="O95" s="17" t="str">
        <f>IF(ISNA(MATCH(A95, Mitigation!A:A, 0)), "no", "yes")</f>
        <v>no</v>
      </c>
      <c r="P95" s="17" t="str">
        <f>IF(ISNA(MATCH(A95, Adaptation!A:A, 0)), "no", "yes")</f>
        <v>no</v>
      </c>
      <c r="Q95" s="17" t="str">
        <f>IF(ISNA(MATCH(A95, Benefits!A:A, 0)), "no", "yes")</f>
        <v>no</v>
      </c>
      <c r="R95" s="17"/>
      <c r="S95" s="17"/>
      <c r="T95" s="49" t="s">
        <v>574</v>
      </c>
      <c r="U95" s="312" t="s">
        <v>575</v>
      </c>
      <c r="V95" s="207" t="str">
        <f>VLOOKUP(Table1[[#This Row],[Country Code]],Table29[],3,FALSE)</f>
        <v>Annex I</v>
      </c>
      <c r="W95" s="207" t="str">
        <f>VLOOKUP(Table1[[#This Row],[Country Code]],Table29[],4,FALSE)</f>
        <v>Europe</v>
      </c>
      <c r="X95" s="207" t="str">
        <f>VLOOKUP(Table1[[#This Row],[Country Code]],Table29[],5,FALSE)</f>
        <v>High-income</v>
      </c>
      <c r="Y95" s="17"/>
      <c r="Z95" s="17"/>
      <c r="AC95" t="s">
        <v>449</v>
      </c>
      <c r="AD95" t="s">
        <v>227</v>
      </c>
      <c r="AE95" t="s">
        <v>526</v>
      </c>
    </row>
    <row r="96" spans="1:31" ht="15" customHeight="1" x14ac:dyDescent="0.25">
      <c r="A96" s="360" t="s">
        <v>605</v>
      </c>
      <c r="B96" s="176" t="s">
        <v>408</v>
      </c>
      <c r="C96" s="243" t="str">
        <f>VLOOKUP(Table1[[#This Row],[Country Code]],Table29[],2,FALSE)</f>
        <v>Spain</v>
      </c>
      <c r="D96" s="243" t="str">
        <f t="shared" si="4"/>
        <v>Good</v>
      </c>
      <c r="E96" s="176" t="s">
        <v>71</v>
      </c>
      <c r="F96" s="43" t="s">
        <v>498</v>
      </c>
      <c r="G96" s="43" t="str">
        <f t="shared" si="5"/>
        <v>First NDC</v>
      </c>
      <c r="H96" s="350" t="s">
        <v>499</v>
      </c>
      <c r="I96" s="351">
        <v>42648</v>
      </c>
      <c r="J96" s="320" t="s">
        <v>574</v>
      </c>
      <c r="K96" s="320" t="str" cm="1">
        <f t="array" ref="K96">IF(ISNUMBER(MATCH("Transport sector mitigation target", _xlfn._xlws.FILTER(Targets!H:H, Targets!A:A =A96), 0)), "yes", "no")</f>
        <v>no</v>
      </c>
      <c r="L96" s="43" t="str">
        <f>IF(K96="no", "No transport target", IF(AND(COUNTIFS(Targets!A:A, A96, Targets!H:H, "Transport sector mitigation target", Targets!J:J, "GHG") &gt; 0, COUNTIFS(Targets!A:A, A96, Targets!H:H, "Transport sector mitigation target", Targets!J:J, "Non GHG") &gt; 0), "GHG and non-GHG target", IF(COUNTIFS(Targets!A:A, A96, Targets!H:H, "Transport sector mitigation target", Targets!J:J, "GHG") &gt; 0, "GHG target", IF(COUNTIFS(Targets!A:A, A96, Targets!H:H, "Transport sector mitigation target", Targets!J:J, "Non GHG") &gt; 0, "non-GHG target", ""))))</f>
        <v>No transport target</v>
      </c>
      <c r="M96" s="43" t="str">
        <f>IF(K96="no","No transport target",IF(L96="non-GHG target","No GHG transport target",IF(AND(COUNTIFS(Targets!A:A,A96,Targets!H:H,"Transport sector mitigation target",Targets!J:J,"GHG",Targets!L:L,"Conditional")&gt;0,COUNTIFS(Targets!A:A,A96,Targets!H:H,"Transport sector mitigation target",Targets!J:J,"GHG",Targets!L:L,"Unconditional")&gt;0),"GHG unconditional and conditional",IF(COUNTIFS(Targets!A:A,A96,Targets!H:H,"Transport sector mitigation target",Targets!J:J,"GHG",Targets!L:L,"Conditional")&gt;0,"GHG conditional only",IF(COUNTIFS(Targets!A:A,A96,Targets!H:H,"Transport sector mitigation target",Targets!J:J,"GHG",Targets!L:L,"Unconditional")&gt;0,"GHG unconditional only",IF(COUNTIFS(Targets!A:A,A96,Targets!H:H,"Transport sector mitigation target",Targets!J:J,"GHG",Targets!L:L,"Unclear conditionality")&gt;0,"Conditionality unclear",""))))))</f>
        <v>No transport target</v>
      </c>
      <c r="N96" s="43" t="str" cm="1">
        <f t="array" ref="N96">IF(ISNUMBER(MATCH("Transport sector adaptation target", _xlfn._xlws.FILTER(Targets!H:H, Targets!A:A =A96), 0)), "yes", "no")</f>
        <v>no</v>
      </c>
      <c r="O96" s="43" t="str">
        <f>IF(ISNA(MATCH(A96, Mitigation!A:A, 0)), "no", "yes")</f>
        <v>no</v>
      </c>
      <c r="P96" s="43" t="str">
        <f>IF(ISNA(MATCH(A96, Adaptation!A:A, 0)), "no", "yes")</f>
        <v>no</v>
      </c>
      <c r="Q96" s="43" t="str">
        <f>IF(ISNA(MATCH(A96, Benefits!A:A, 0)), "no", "yes")</f>
        <v>no</v>
      </c>
      <c r="R96" s="43"/>
      <c r="S96" s="43"/>
      <c r="T96" s="320" t="s">
        <v>574</v>
      </c>
      <c r="U96" s="312" t="s">
        <v>575</v>
      </c>
      <c r="V96" s="233" t="str">
        <f>VLOOKUP(Table1[[#This Row],[Country Code]],Table29[],3,FALSE)</f>
        <v>Annex I</v>
      </c>
      <c r="W96" s="233" t="str">
        <f>VLOOKUP(Table1[[#This Row],[Country Code]],Table29[],4,FALSE)</f>
        <v>Europe</v>
      </c>
      <c r="X96" s="233" t="str">
        <f>VLOOKUP(Table1[[#This Row],[Country Code]],Table29[],5,FALSE)</f>
        <v>High-income</v>
      </c>
      <c r="Y96" s="43"/>
      <c r="Z96" s="43"/>
      <c r="AC96" t="s">
        <v>449</v>
      </c>
      <c r="AD96" t="s">
        <v>227</v>
      </c>
      <c r="AE96" t="s">
        <v>526</v>
      </c>
    </row>
    <row r="97" spans="1:31" ht="15" customHeight="1" x14ac:dyDescent="0.25">
      <c r="A97" s="405" t="s">
        <v>606</v>
      </c>
      <c r="B97" s="20" t="s">
        <v>416</v>
      </c>
      <c r="C97" s="206" t="str">
        <f>VLOOKUP(Table1[[#This Row],[Country Code]],Table29[],2,FALSE)</f>
        <v>Sweden</v>
      </c>
      <c r="D97" s="243" t="str">
        <f t="shared" si="4"/>
        <v>Good</v>
      </c>
      <c r="E97" s="20" t="s">
        <v>71</v>
      </c>
      <c r="F97" s="17" t="s">
        <v>498</v>
      </c>
      <c r="G97" s="43" t="str">
        <f t="shared" si="5"/>
        <v>First NDC</v>
      </c>
      <c r="H97" s="148" t="s">
        <v>499</v>
      </c>
      <c r="I97" s="351">
        <v>42648</v>
      </c>
      <c r="J97" s="49" t="s">
        <v>574</v>
      </c>
      <c r="K97" s="49" t="str" cm="1">
        <f t="array" ref="K97">IF(ISNUMBER(MATCH("Transport sector mitigation target", _xlfn._xlws.FILTER(Targets!H:H, Targets!A:A =A97), 0)), "yes", "no")</f>
        <v>no</v>
      </c>
      <c r="L97" s="17" t="str">
        <f>IF(K97="no", "No transport target", IF(AND(COUNTIFS(Targets!A:A, A97, Targets!H:H, "Transport sector mitigation target", Targets!J:J, "GHG") &gt; 0, COUNTIFS(Targets!A:A, A97, Targets!H:H, "Transport sector mitigation target", Targets!J:J, "Non GHG") &gt; 0), "GHG and non-GHG target", IF(COUNTIFS(Targets!A:A, A97, Targets!H:H, "Transport sector mitigation target", Targets!J:J, "GHG") &gt; 0, "GHG target", IF(COUNTIFS(Targets!A:A, A97, Targets!H:H, "Transport sector mitigation target", Targets!J:J, "Non GHG") &gt; 0, "non-GHG target", ""))))</f>
        <v>No transport target</v>
      </c>
      <c r="M97" s="17" t="str">
        <f>IF(K97="no","No transport target",IF(L97="non-GHG target","No GHG transport target",IF(AND(COUNTIFS(Targets!A:A,A97,Targets!H:H,"Transport sector mitigation target",Targets!J:J,"GHG",Targets!L:L,"Conditional")&gt;0,COUNTIFS(Targets!A:A,A97,Targets!H:H,"Transport sector mitigation target",Targets!J:J,"GHG",Targets!L:L,"Unconditional")&gt;0),"GHG unconditional and conditional",IF(COUNTIFS(Targets!A:A,A97,Targets!H:H,"Transport sector mitigation target",Targets!J:J,"GHG",Targets!L:L,"Conditional")&gt;0,"GHG conditional only",IF(COUNTIFS(Targets!A:A,A97,Targets!H:H,"Transport sector mitigation target",Targets!J:J,"GHG",Targets!L:L,"Unconditional")&gt;0,"GHG unconditional only",IF(COUNTIFS(Targets!A:A,A97,Targets!H:H,"Transport sector mitigation target",Targets!J:J,"GHG",Targets!L:L,"Unclear conditionality")&gt;0,"Conditionality unclear",""))))))</f>
        <v>No transport target</v>
      </c>
      <c r="N97" s="17" t="str" cm="1">
        <f t="array" ref="N97">IF(ISNUMBER(MATCH("Transport sector adaptation target", _xlfn._xlws.FILTER(Targets!H:H, Targets!A:A =A97), 0)), "yes", "no")</f>
        <v>no</v>
      </c>
      <c r="O97" s="17" t="str">
        <f>IF(ISNA(MATCH(A97, Mitigation!A:A, 0)), "no", "yes")</f>
        <v>no</v>
      </c>
      <c r="P97" s="17" t="str">
        <f>IF(ISNA(MATCH(A97, Adaptation!A:A, 0)), "no", "yes")</f>
        <v>no</v>
      </c>
      <c r="Q97" s="17" t="str">
        <f>IF(ISNA(MATCH(A97, Benefits!A:A, 0)), "no", "yes")</f>
        <v>no</v>
      </c>
      <c r="R97" s="17"/>
      <c r="S97" s="17"/>
      <c r="T97" s="49" t="s">
        <v>574</v>
      </c>
      <c r="U97" s="312" t="s">
        <v>575</v>
      </c>
      <c r="V97" s="207" t="str">
        <f>VLOOKUP(Table1[[#This Row],[Country Code]],Table29[],3,FALSE)</f>
        <v>Annex I</v>
      </c>
      <c r="W97" s="207" t="str">
        <f>VLOOKUP(Table1[[#This Row],[Country Code]],Table29[],4,FALSE)</f>
        <v>Europe</v>
      </c>
      <c r="X97" s="207" t="str">
        <f>VLOOKUP(Table1[[#This Row],[Country Code]],Table29[],5,FALSE)</f>
        <v>High-income</v>
      </c>
      <c r="Y97" s="17"/>
      <c r="Z97" s="17"/>
      <c r="AC97" t="s">
        <v>459</v>
      </c>
      <c r="AD97" t="s">
        <v>227</v>
      </c>
      <c r="AE97" t="s">
        <v>539</v>
      </c>
    </row>
    <row r="98" spans="1:31" ht="15" customHeight="1" x14ac:dyDescent="0.25">
      <c r="A98" s="360" t="s">
        <v>607</v>
      </c>
      <c r="B98" s="176" t="s">
        <v>448</v>
      </c>
      <c r="C98" s="243" t="str">
        <f>VLOOKUP(Table1[[#This Row],[Country Code]],Table29[],2,FALSE)</f>
        <v>United Kingdom</v>
      </c>
      <c r="D98" s="243" t="str">
        <f t="shared" si="4"/>
        <v>Good</v>
      </c>
      <c r="E98" s="176" t="s">
        <v>71</v>
      </c>
      <c r="F98" s="43" t="s">
        <v>498</v>
      </c>
      <c r="G98" s="43" t="str">
        <f t="shared" si="5"/>
        <v>First NDC</v>
      </c>
      <c r="H98" s="350" t="s">
        <v>499</v>
      </c>
      <c r="I98" s="351">
        <v>42648</v>
      </c>
      <c r="J98" s="320" t="s">
        <v>574</v>
      </c>
      <c r="K98" s="320" t="str" cm="1">
        <f t="array" ref="K98">IF(ISNUMBER(MATCH("Transport sector mitigation target", _xlfn._xlws.FILTER(Targets!H:H, Targets!A:A =A98), 0)), "yes", "no")</f>
        <v>no</v>
      </c>
      <c r="L98" s="43" t="str">
        <f>IF(K98="no", "No transport target", IF(AND(COUNTIFS(Targets!A:A, A98, Targets!H:H, "Transport sector mitigation target", Targets!J:J, "GHG") &gt; 0, COUNTIFS(Targets!A:A, A98, Targets!H:H, "Transport sector mitigation target", Targets!J:J, "Non GHG") &gt; 0), "GHG and non-GHG target", IF(COUNTIFS(Targets!A:A, A98, Targets!H:H, "Transport sector mitigation target", Targets!J:J, "GHG") &gt; 0, "GHG target", IF(COUNTIFS(Targets!A:A, A98, Targets!H:H, "Transport sector mitigation target", Targets!J:J, "Non GHG") &gt; 0, "non-GHG target", ""))))</f>
        <v>No transport target</v>
      </c>
      <c r="M98" s="43" t="str">
        <f>IF(K98="no","No transport target",IF(L98="non-GHG target","No GHG transport target",IF(AND(COUNTIFS(Targets!A:A,A98,Targets!H:H,"Transport sector mitigation target",Targets!J:J,"GHG",Targets!L:L,"Conditional")&gt;0,COUNTIFS(Targets!A:A,A98,Targets!H:H,"Transport sector mitigation target",Targets!J:J,"GHG",Targets!L:L,"Unconditional")&gt;0),"GHG unconditional and conditional",IF(COUNTIFS(Targets!A:A,A98,Targets!H:H,"Transport sector mitigation target",Targets!J:J,"GHG",Targets!L:L,"Conditional")&gt;0,"GHG conditional only",IF(COUNTIFS(Targets!A:A,A98,Targets!H:H,"Transport sector mitigation target",Targets!J:J,"GHG",Targets!L:L,"Unconditional")&gt;0,"GHG unconditional only",IF(COUNTIFS(Targets!A:A,A98,Targets!H:H,"Transport sector mitigation target",Targets!J:J,"GHG",Targets!L:L,"Unclear conditionality")&gt;0,"Conditionality unclear",""))))))</f>
        <v>No transport target</v>
      </c>
      <c r="N98" s="43" t="str" cm="1">
        <f t="array" ref="N98">IF(ISNUMBER(MATCH("Transport sector adaptation target", _xlfn._xlws.FILTER(Targets!H:H, Targets!A:A =A98), 0)), "yes", "no")</f>
        <v>no</v>
      </c>
      <c r="O98" s="43" t="str">
        <f>IF(ISNA(MATCH(A98, Mitigation!A:A, 0)), "no", "yes")</f>
        <v>no</v>
      </c>
      <c r="P98" s="43" t="str">
        <f>IF(ISNA(MATCH(A98, Adaptation!A:A, 0)), "no", "yes")</f>
        <v>no</v>
      </c>
      <c r="Q98" s="43" t="str">
        <f>IF(ISNA(MATCH(A98, Benefits!A:A, 0)), "no", "yes")</f>
        <v>no</v>
      </c>
      <c r="R98" s="43"/>
      <c r="S98" s="43"/>
      <c r="T98" s="320" t="s">
        <v>574</v>
      </c>
      <c r="U98" s="312" t="s">
        <v>575</v>
      </c>
      <c r="V98" s="233" t="str">
        <f>VLOOKUP(Table1[[#This Row],[Country Code]],Table29[],3,FALSE)</f>
        <v>Annex I</v>
      </c>
      <c r="W98" s="233" t="str">
        <f>VLOOKUP(Table1[[#This Row],[Country Code]],Table29[],4,FALSE)</f>
        <v>Europe</v>
      </c>
      <c r="X98" s="233" t="str">
        <f>VLOOKUP(Table1[[#This Row],[Country Code]],Table29[],5,FALSE)</f>
        <v>High-income</v>
      </c>
      <c r="Y98" s="43"/>
      <c r="Z98" s="43"/>
    </row>
    <row r="99" spans="1:31" ht="15" customHeight="1" x14ac:dyDescent="0.25">
      <c r="A99" s="360">
        <v>17674</v>
      </c>
      <c r="B99" s="176" t="s">
        <v>319</v>
      </c>
      <c r="C99" s="243" t="str">
        <f>VLOOKUP(Table1[[#This Row],[Country Code]],Table29[],2,FALSE)</f>
        <v>Nepal</v>
      </c>
      <c r="D99" s="243" t="str">
        <f t="shared" si="4"/>
        <v>Good</v>
      </c>
      <c r="E99" s="176" t="s">
        <v>71</v>
      </c>
      <c r="F99" s="43" t="s">
        <v>498</v>
      </c>
      <c r="G99" s="43" t="str">
        <f t="shared" si="5"/>
        <v>First NDC</v>
      </c>
      <c r="H99" s="43" t="s">
        <v>499</v>
      </c>
      <c r="I99" s="351">
        <v>42648</v>
      </c>
      <c r="J99" s="320" t="s">
        <v>500</v>
      </c>
      <c r="K99" s="320" t="str" cm="1">
        <f t="array" ref="K99">IF(ISNUMBER(MATCH("Transport sector mitigation target", _xlfn._xlws.FILTER(Targets!H:H, Targets!A:A =A99), 0)), "yes", "no")</f>
        <v>yes</v>
      </c>
      <c r="L99" s="43" t="str">
        <f>IF(K99="no", "No transport target", IF(AND(COUNTIFS(Targets!A:A, A99, Targets!H:H, "Transport sector mitigation target", Targets!J:J, "GHG") &gt; 0, COUNTIFS(Targets!A:A, A99, Targets!H:H, "Transport sector mitigation target", Targets!J:J, "Non GHG") &gt; 0), "GHG and non-GHG target", IF(COUNTIFS(Targets!A:A, A99, Targets!H:H, "Transport sector mitigation target", Targets!J:J, "GHG") &gt; 0, "GHG target", IF(COUNTIFS(Targets!A:A, A99, Targets!H:H, "Transport sector mitigation target", Targets!J:J, "Non GHG") &gt; 0, "non-GHG target", ""))))</f>
        <v>non-GHG target</v>
      </c>
      <c r="M99" s="43" t="str">
        <f>IF(K99="no","No transport target",IF(L99="non-GHG target","No GHG transport target",IF(AND(COUNTIFS(Targets!A:A,A99,Targets!H:H,"Transport sector mitigation target",Targets!J:J,"GHG",Targets!L:L,"Conditional")&gt;0,COUNTIFS(Targets!A:A,A99,Targets!H:H,"Transport sector mitigation target",Targets!J:J,"GHG",Targets!L:L,"Unconditional")&gt;0),"GHG unconditional and conditional",IF(COUNTIFS(Targets!A:A,A99,Targets!H:H,"Transport sector mitigation target",Targets!J:J,"GHG",Targets!L:L,"Conditional")&gt;0,"GHG conditional only",IF(COUNTIFS(Targets!A:A,A99,Targets!H:H,"Transport sector mitigation target",Targets!J:J,"GHG",Targets!L:L,"Unconditional")&gt;0,"GHG unconditional only",IF(COUNTIFS(Targets!A:A,A99,Targets!H:H,"Transport sector mitigation target",Targets!J:J,"GHG",Targets!L:L,"Unclear conditionality")&gt;0,"Conditionality unclear",""))))))</f>
        <v>No GHG transport target</v>
      </c>
      <c r="N99" s="43" t="str" cm="1">
        <f t="array" ref="N99">IF(ISNUMBER(MATCH("Transport sector adaptation target", _xlfn._xlws.FILTER(Targets!H:H, Targets!A:A =A99), 0)), "yes", "no")</f>
        <v>no</v>
      </c>
      <c r="O99" s="43" t="str">
        <f>IF(ISNA(MATCH(A99, Mitigation!A:A, 0)), "no", "yes")</f>
        <v>yes</v>
      </c>
      <c r="P99" s="43" t="str">
        <f>IF(ISNA(MATCH(A99, Adaptation!A:A, 0)), "no", "yes")</f>
        <v>no</v>
      </c>
      <c r="Q99" s="43" t="str">
        <f>IF(ISNA(MATCH(A99, Benefits!A:A, 0)), "no", "yes")</f>
        <v>yes</v>
      </c>
      <c r="R99" s="43"/>
      <c r="S99" s="43"/>
      <c r="T99" s="43" t="s">
        <v>501</v>
      </c>
      <c r="U99" s="312" t="s">
        <v>608</v>
      </c>
      <c r="V99" s="233" t="str">
        <f>VLOOKUP(Table1[[#This Row],[Country Code]],Table29[],3,FALSE)</f>
        <v>Non-Annex I</v>
      </c>
      <c r="W99" s="233" t="str">
        <f>VLOOKUP(Table1[[#This Row],[Country Code]],Table29[],4,FALSE)</f>
        <v>Asia</v>
      </c>
      <c r="X99" s="233" t="str">
        <f>VLOOKUP(Table1[[#This Row],[Country Code]],Table29[],5,FALSE)</f>
        <v>Middle-income</v>
      </c>
      <c r="Y99" s="43"/>
      <c r="Z99" s="43"/>
    </row>
    <row r="100" spans="1:31" ht="15" customHeight="1" x14ac:dyDescent="0.25">
      <c r="A100" s="405">
        <v>17716</v>
      </c>
      <c r="B100" s="20" t="s">
        <v>370</v>
      </c>
      <c r="C100" s="206" t="str">
        <f>VLOOKUP(Table1[[#This Row],[Country Code]],Table29[],2,FALSE)</f>
        <v>Rwanda</v>
      </c>
      <c r="D100" s="243" t="str">
        <f t="shared" si="4"/>
        <v>Good</v>
      </c>
      <c r="E100" s="20" t="s">
        <v>71</v>
      </c>
      <c r="F100" s="17" t="s">
        <v>498</v>
      </c>
      <c r="G100" s="43" t="str">
        <f t="shared" si="5"/>
        <v>First NDC</v>
      </c>
      <c r="H100" s="17" t="s">
        <v>499</v>
      </c>
      <c r="I100" s="149">
        <v>42649</v>
      </c>
      <c r="J100" s="49" t="s">
        <v>500</v>
      </c>
      <c r="K100" s="49" t="str" cm="1">
        <f t="array" ref="K100">IF(ISNUMBER(MATCH("Transport sector mitigation target", _xlfn._xlws.FILTER(Targets!H:H, Targets!A:A =A100), 0)), "yes", "no")</f>
        <v>no</v>
      </c>
      <c r="L100" s="17" t="str">
        <f>IF(K100="no", "No transport target", IF(AND(COUNTIFS(Targets!A:A, A100, Targets!H:H, "Transport sector mitigation target", Targets!J:J, "GHG") &gt; 0, COUNTIFS(Targets!A:A, A100, Targets!H:H, "Transport sector mitigation target", Targets!J:J, "Non GHG") &gt; 0), "GHG and non-GHG target", IF(COUNTIFS(Targets!A:A, A100, Targets!H:H, "Transport sector mitigation target", Targets!J:J, "GHG") &gt; 0, "GHG target", IF(COUNTIFS(Targets!A:A, A100, Targets!H:H, "Transport sector mitigation target", Targets!J:J, "Non GHG") &gt; 0, "non-GHG target", ""))))</f>
        <v>No transport target</v>
      </c>
      <c r="M100" s="17" t="str">
        <f>IF(K100="no","No transport target",IF(L100="non-GHG target","No GHG transport target",IF(AND(COUNTIFS(Targets!A:A,A100,Targets!H:H,"Transport sector mitigation target",Targets!J:J,"GHG",Targets!L:L,"Conditional")&gt;0,COUNTIFS(Targets!A:A,A100,Targets!H:H,"Transport sector mitigation target",Targets!J:J,"GHG",Targets!L:L,"Unconditional")&gt;0),"GHG unconditional and conditional",IF(COUNTIFS(Targets!A:A,A100,Targets!H:H,"Transport sector mitigation target",Targets!J:J,"GHG",Targets!L:L,"Conditional")&gt;0,"GHG conditional only",IF(COUNTIFS(Targets!A:A,A100,Targets!H:H,"Transport sector mitigation target",Targets!J:J,"GHG",Targets!L:L,"Unconditional")&gt;0,"GHG unconditional only",IF(COUNTIFS(Targets!A:A,A100,Targets!H:H,"Transport sector mitigation target",Targets!J:J,"GHG",Targets!L:L,"Unclear conditionality")&gt;0,"Conditionality unclear",""))))))</f>
        <v>No transport target</v>
      </c>
      <c r="N100" s="17" t="str" cm="1">
        <f t="array" ref="N100">IF(ISNUMBER(MATCH("Transport sector adaptation target", _xlfn._xlws.FILTER(Targets!H:H, Targets!A:A =A100), 0)), "yes", "no")</f>
        <v>no</v>
      </c>
      <c r="O100" s="17" t="str">
        <f>IF(ISNA(MATCH(A100, Mitigation!A:A, 0)), "no", "yes")</f>
        <v>yes</v>
      </c>
      <c r="P100" s="17" t="str">
        <f>IF(ISNA(MATCH(A100, Adaptation!A:A, 0)), "no", "yes")</f>
        <v>yes</v>
      </c>
      <c r="Q100" s="17" t="str">
        <f>IF(ISNA(MATCH(A100, Benefits!A:A, 0)), "no", "yes")</f>
        <v>no</v>
      </c>
      <c r="R100" s="17"/>
      <c r="S100" s="17"/>
      <c r="T100" s="17" t="s">
        <v>501</v>
      </c>
      <c r="U100" s="135" t="s">
        <v>609</v>
      </c>
      <c r="V100" s="207" t="str">
        <f>VLOOKUP(Table1[[#This Row],[Country Code]],Table29[],3,FALSE)</f>
        <v>Non-Annex I</v>
      </c>
      <c r="W100" s="207" t="str">
        <f>VLOOKUP(Table1[[#This Row],[Country Code]],Table29[],4,FALSE)</f>
        <v>Africa</v>
      </c>
      <c r="X100" s="207" t="str">
        <f>VLOOKUP(Table1[[#This Row],[Country Code]],Table29[],5,FALSE)</f>
        <v>Low-income</v>
      </c>
      <c r="Y100" s="17"/>
      <c r="Z100" s="17"/>
    </row>
    <row r="101" spans="1:31" ht="15" customHeight="1" x14ac:dyDescent="0.25">
      <c r="A101" s="360">
        <v>17552</v>
      </c>
      <c r="B101" s="176" t="s">
        <v>131</v>
      </c>
      <c r="C101" s="243" t="str">
        <f>VLOOKUP(Table1[[#This Row],[Country Code]],Table29[],2,FALSE)</f>
        <v>Central African Republic</v>
      </c>
      <c r="D101" s="243" t="str">
        <f t="shared" si="4"/>
        <v>Good</v>
      </c>
      <c r="E101" s="176" t="s">
        <v>71</v>
      </c>
      <c r="F101" s="43" t="s">
        <v>498</v>
      </c>
      <c r="G101" s="43" t="str">
        <f t="shared" si="5"/>
        <v>First NDC</v>
      </c>
      <c r="H101" s="43" t="s">
        <v>499</v>
      </c>
      <c r="I101" s="351">
        <v>42654</v>
      </c>
      <c r="J101" s="320" t="s">
        <v>500</v>
      </c>
      <c r="K101" s="320" t="str" cm="1">
        <f t="array" ref="K101">IF(ISNUMBER(MATCH("Transport sector mitigation target", _xlfn._xlws.FILTER(Targets!H:H, Targets!A:A =A101), 0)), "yes", "no")</f>
        <v>no</v>
      </c>
      <c r="L101" s="43" t="str">
        <f>IF(K101="no", "No transport target", IF(AND(COUNTIFS(Targets!A:A, A101, Targets!H:H, "Transport sector mitigation target", Targets!J:J, "GHG") &gt; 0, COUNTIFS(Targets!A:A, A101, Targets!H:H, "Transport sector mitigation target", Targets!J:J, "Non GHG") &gt; 0), "GHG and non-GHG target", IF(COUNTIFS(Targets!A:A, A101, Targets!H:H, "Transport sector mitigation target", Targets!J:J, "GHG") &gt; 0, "GHG target", IF(COUNTIFS(Targets!A:A, A101, Targets!H:H, "Transport sector mitigation target", Targets!J:J, "Non GHG") &gt; 0, "non-GHG target", ""))))</f>
        <v>No transport target</v>
      </c>
      <c r="M101" s="43" t="str">
        <f>IF(K101="no","No transport target",IF(L101="non-GHG target","No GHG transport target",IF(AND(COUNTIFS(Targets!A:A,A101,Targets!H:H,"Transport sector mitigation target",Targets!J:J,"GHG",Targets!L:L,"Conditional")&gt;0,COUNTIFS(Targets!A:A,A101,Targets!H:H,"Transport sector mitigation target",Targets!J:J,"GHG",Targets!L:L,"Unconditional")&gt;0),"GHG unconditional and conditional",IF(COUNTIFS(Targets!A:A,A101,Targets!H:H,"Transport sector mitigation target",Targets!J:J,"GHG",Targets!L:L,"Conditional")&gt;0,"GHG conditional only",IF(COUNTIFS(Targets!A:A,A101,Targets!H:H,"Transport sector mitigation target",Targets!J:J,"GHG",Targets!L:L,"Unconditional")&gt;0,"GHG unconditional only",IF(COUNTIFS(Targets!A:A,A101,Targets!H:H,"Transport sector mitigation target",Targets!J:J,"GHG",Targets!L:L,"Unclear conditionality")&gt;0,"Conditionality unclear",""))))))</f>
        <v>No transport target</v>
      </c>
      <c r="N101" s="43" t="str" cm="1">
        <f t="array" ref="N101">IF(ISNUMBER(MATCH("Transport sector adaptation target", _xlfn._xlws.FILTER(Targets!H:H, Targets!A:A =A101), 0)), "yes", "no")</f>
        <v>no</v>
      </c>
      <c r="O101" s="43" t="str">
        <f>IF(ISNA(MATCH(A101, Mitigation!A:A, 0)), "no", "yes")</f>
        <v>yes</v>
      </c>
      <c r="P101" s="43" t="str">
        <f>IF(ISNA(MATCH(A101, Adaptation!A:A, 0)), "no", "yes")</f>
        <v>no</v>
      </c>
      <c r="Q101" s="43" t="str">
        <f>IF(ISNA(MATCH(A101, Benefits!A:A, 0)), "no", "yes")</f>
        <v>no</v>
      </c>
      <c r="R101" s="43"/>
      <c r="S101" s="43"/>
      <c r="T101" s="43" t="s">
        <v>501</v>
      </c>
      <c r="U101" s="312" t="s">
        <v>610</v>
      </c>
      <c r="V101" s="233" t="str">
        <f>VLOOKUP(Table1[[#This Row],[Country Code]],Table29[],3,FALSE)</f>
        <v>Non-Annex I</v>
      </c>
      <c r="W101" s="233" t="str">
        <f>VLOOKUP(Table1[[#This Row],[Country Code]],Table29[],4,FALSE)</f>
        <v>Africa</v>
      </c>
      <c r="X101" s="233" t="str">
        <f>VLOOKUP(Table1[[#This Row],[Country Code]],Table29[],5,FALSE)</f>
        <v>Low-income</v>
      </c>
      <c r="Y101" s="43"/>
      <c r="Z101" s="43"/>
    </row>
    <row r="102" spans="1:31" ht="15" customHeight="1" x14ac:dyDescent="0.25">
      <c r="A102" s="360">
        <v>17562</v>
      </c>
      <c r="B102" s="176" t="s">
        <v>148</v>
      </c>
      <c r="C102" s="243" t="str">
        <f>VLOOKUP(Table1[[#This Row],[Country Code]],Table29[],2,FALSE)</f>
        <v>Costa Rica</v>
      </c>
      <c r="D102" s="243" t="str">
        <f t="shared" si="4"/>
        <v>Good</v>
      </c>
      <c r="E102" s="176" t="s">
        <v>71</v>
      </c>
      <c r="F102" s="43" t="s">
        <v>498</v>
      </c>
      <c r="G102" s="43" t="str">
        <f t="shared" si="5"/>
        <v>First NDC</v>
      </c>
      <c r="H102" s="43" t="s">
        <v>499</v>
      </c>
      <c r="I102" s="351">
        <v>42656</v>
      </c>
      <c r="J102" s="320" t="s">
        <v>500</v>
      </c>
      <c r="K102" s="320" t="str" cm="1">
        <f t="array" ref="K102">IF(ISNUMBER(MATCH("Transport sector mitigation target", _xlfn._xlws.FILTER(Targets!H:H, Targets!A:A =A102), 0)), "yes", "no")</f>
        <v>no</v>
      </c>
      <c r="L102" s="43" t="str">
        <f>IF(K102="no", "No transport target", IF(AND(COUNTIFS(Targets!A:A, A102, Targets!H:H, "Transport sector mitigation target", Targets!J:J, "GHG") &gt; 0, COUNTIFS(Targets!A:A, A102, Targets!H:H, "Transport sector mitigation target", Targets!J:J, "Non GHG") &gt; 0), "GHG and non-GHG target", IF(COUNTIFS(Targets!A:A, A102, Targets!H:H, "Transport sector mitigation target", Targets!J:J, "GHG") &gt; 0, "GHG target", IF(COUNTIFS(Targets!A:A, A102, Targets!H:H, "Transport sector mitigation target", Targets!J:J, "Non GHG") &gt; 0, "non-GHG target", ""))))</f>
        <v>No transport target</v>
      </c>
      <c r="M102" s="43" t="str">
        <f>IF(K102="no","No transport target",IF(L102="non-GHG target","No GHG transport target",IF(AND(COUNTIFS(Targets!A:A,A102,Targets!H:H,"Transport sector mitigation target",Targets!J:J,"GHG",Targets!L:L,"Conditional")&gt;0,COUNTIFS(Targets!A:A,A102,Targets!H:H,"Transport sector mitigation target",Targets!J:J,"GHG",Targets!L:L,"Unconditional")&gt;0),"GHG unconditional and conditional",IF(COUNTIFS(Targets!A:A,A102,Targets!H:H,"Transport sector mitigation target",Targets!J:J,"GHG",Targets!L:L,"Conditional")&gt;0,"GHG conditional only",IF(COUNTIFS(Targets!A:A,A102,Targets!H:H,"Transport sector mitigation target",Targets!J:J,"GHG",Targets!L:L,"Unconditional")&gt;0,"GHG unconditional only",IF(COUNTIFS(Targets!A:A,A102,Targets!H:H,"Transport sector mitigation target",Targets!J:J,"GHG",Targets!L:L,"Unclear conditionality")&gt;0,"Conditionality unclear",""))))))</f>
        <v>No transport target</v>
      </c>
      <c r="N102" s="43" t="str" cm="1">
        <f t="array" ref="N102">IF(ISNUMBER(MATCH("Transport sector adaptation target", _xlfn._xlws.FILTER(Targets!H:H, Targets!A:A =A102), 0)), "yes", "no")</f>
        <v>no</v>
      </c>
      <c r="O102" s="43" t="str">
        <f>IF(ISNA(MATCH(A102, Mitigation!A:A, 0)), "no", "yes")</f>
        <v>yes</v>
      </c>
      <c r="P102" s="43" t="str">
        <f>IF(ISNA(MATCH(A102, Adaptation!A:A, 0)), "no", "yes")</f>
        <v>no</v>
      </c>
      <c r="Q102" s="43" t="str">
        <f>IF(ISNA(MATCH(A102, Benefits!A:A, 0)), "no", "yes")</f>
        <v>yes</v>
      </c>
      <c r="R102" s="43"/>
      <c r="S102" s="43"/>
      <c r="T102" s="43" t="s">
        <v>501</v>
      </c>
      <c r="U102" s="312" t="s">
        <v>611</v>
      </c>
      <c r="V102" s="233" t="str">
        <f>VLOOKUP(Table1[[#This Row],[Country Code]],Table29[],3,FALSE)</f>
        <v>Non-Annex I</v>
      </c>
      <c r="W102" s="233" t="str">
        <f>VLOOKUP(Table1[[#This Row],[Country Code]],Table29[],4,FALSE)</f>
        <v>Latin America and the Caribbean</v>
      </c>
      <c r="X102" s="233" t="str">
        <f>VLOOKUP(Table1[[#This Row],[Country Code]],Table29[],5,FALSE)</f>
        <v>Middle-income</v>
      </c>
      <c r="Y102" s="43"/>
      <c r="Z102" s="43"/>
    </row>
    <row r="103" spans="1:31" ht="15" customHeight="1" x14ac:dyDescent="0.25">
      <c r="A103" s="360">
        <v>17697</v>
      </c>
      <c r="B103" s="20" t="s">
        <v>348</v>
      </c>
      <c r="C103" s="206" t="str">
        <f>VLOOKUP(Table1[[#This Row],[Country Code]],Table29[],2,FALSE)</f>
        <v>Paraguay</v>
      </c>
      <c r="D103" s="243" t="str">
        <f t="shared" si="4"/>
        <v>Good</v>
      </c>
      <c r="E103" s="20" t="s">
        <v>71</v>
      </c>
      <c r="F103" s="17" t="s">
        <v>498</v>
      </c>
      <c r="G103" s="43" t="str">
        <f t="shared" si="5"/>
        <v>First NDC</v>
      </c>
      <c r="H103" s="17" t="s">
        <v>499</v>
      </c>
      <c r="I103" s="149">
        <v>42657</v>
      </c>
      <c r="J103" s="49" t="s">
        <v>500</v>
      </c>
      <c r="K103" s="49" t="str" cm="1">
        <f t="array" ref="K103">IF(ISNUMBER(MATCH("Transport sector mitigation target", _xlfn._xlws.FILTER(Targets!H:H, Targets!A:A =A103), 0)), "yes", "no")</f>
        <v>no</v>
      </c>
      <c r="L103" s="17" t="str">
        <f>IF(K103="no", "No transport target", IF(AND(COUNTIFS(Targets!A:A, A103, Targets!H:H, "Transport sector mitigation target", Targets!J:J, "GHG") &gt; 0, COUNTIFS(Targets!A:A, A103, Targets!H:H, "Transport sector mitigation target", Targets!J:J, "Non GHG") &gt; 0), "GHG and non-GHG target", IF(COUNTIFS(Targets!A:A, A103, Targets!H:H, "Transport sector mitigation target", Targets!J:J, "GHG") &gt; 0, "GHG target", IF(COUNTIFS(Targets!A:A, A103, Targets!H:H, "Transport sector mitigation target", Targets!J:J, "Non GHG") &gt; 0, "non-GHG target", ""))))</f>
        <v>No transport target</v>
      </c>
      <c r="M103" s="17" t="str">
        <f>IF(K103="no","No transport target",IF(L103="non-GHG target","No GHG transport target",IF(AND(COUNTIFS(Targets!A:A,A103,Targets!H:H,"Transport sector mitigation target",Targets!J:J,"GHG",Targets!L:L,"Conditional")&gt;0,COUNTIFS(Targets!A:A,A103,Targets!H:H,"Transport sector mitigation target",Targets!J:J,"GHG",Targets!L:L,"Unconditional")&gt;0),"GHG unconditional and conditional",IF(COUNTIFS(Targets!A:A,A103,Targets!H:H,"Transport sector mitigation target",Targets!J:J,"GHG",Targets!L:L,"Conditional")&gt;0,"GHG conditional only",IF(COUNTIFS(Targets!A:A,A103,Targets!H:H,"Transport sector mitigation target",Targets!J:J,"GHG",Targets!L:L,"Unconditional")&gt;0,"GHG unconditional only",IF(COUNTIFS(Targets!A:A,A103,Targets!H:H,"Transport sector mitigation target",Targets!J:J,"GHG",Targets!L:L,"Unclear conditionality")&gt;0,"Conditionality unclear",""))))))</f>
        <v>No transport target</v>
      </c>
      <c r="N103" s="17" t="str" cm="1">
        <f t="array" ref="N103">IF(ISNUMBER(MATCH("Transport sector adaptation target", _xlfn._xlws.FILTER(Targets!H:H, Targets!A:A =A103), 0)), "yes", "no")</f>
        <v>no</v>
      </c>
      <c r="O103" s="17" t="str">
        <f>IF(ISNA(MATCH(A103, Mitigation!A:A, 0)), "no", "yes")</f>
        <v>yes</v>
      </c>
      <c r="P103" s="17" t="str">
        <f>IF(ISNA(MATCH(A103, Adaptation!A:A, 0)), "no", "yes")</f>
        <v>no</v>
      </c>
      <c r="Q103" s="17" t="str">
        <f>IF(ISNA(MATCH(A103, Benefits!A:A, 0)), "no", "yes")</f>
        <v>no</v>
      </c>
      <c r="R103" s="17"/>
      <c r="S103" s="17"/>
      <c r="T103" s="17" t="s">
        <v>501</v>
      </c>
      <c r="U103" s="135" t="s">
        <v>612</v>
      </c>
      <c r="V103" s="207" t="str">
        <f>VLOOKUP(Table1[[#This Row],[Country Code]],Table29[],3,FALSE)</f>
        <v>Non-Annex I</v>
      </c>
      <c r="W103" s="207" t="str">
        <f>VLOOKUP(Table1[[#This Row],[Country Code]],Table29[],4,FALSE)</f>
        <v>Latin America and the Caribbean</v>
      </c>
      <c r="X103" s="207" t="str">
        <f>VLOOKUP(Table1[[#This Row],[Country Code]],Table29[],5,FALSE)</f>
        <v>Middle-income</v>
      </c>
      <c r="Y103" s="17"/>
      <c r="Z103" s="17"/>
    </row>
    <row r="104" spans="1:31" ht="15" customHeight="1" x14ac:dyDescent="0.25">
      <c r="A104" s="360">
        <v>17509</v>
      </c>
      <c r="B104" s="176" t="s">
        <v>57</v>
      </c>
      <c r="C104" s="243" t="str">
        <f>VLOOKUP(Table1[[#This Row],[Country Code]],Table29[],2,FALSE)</f>
        <v>Algeria</v>
      </c>
      <c r="D104" s="243" t="str">
        <f t="shared" si="4"/>
        <v>Good</v>
      </c>
      <c r="E104" s="176" t="s">
        <v>71</v>
      </c>
      <c r="F104" s="43" t="s">
        <v>498</v>
      </c>
      <c r="G104" s="43" t="str">
        <f t="shared" si="5"/>
        <v>First NDC</v>
      </c>
      <c r="H104" s="350" t="s">
        <v>499</v>
      </c>
      <c r="I104" s="351">
        <v>42663</v>
      </c>
      <c r="J104" s="352" t="s">
        <v>505</v>
      </c>
      <c r="K104" s="320" t="str" cm="1">
        <f t="array" ref="K104">IF(ISNUMBER(MATCH("Transport sector mitigation target", _xlfn._xlws.FILTER(Targets!H:H, Targets!A:A =A104), 0)), "yes", "no")</f>
        <v>no</v>
      </c>
      <c r="L104" s="43" t="str">
        <f>IF(K104="no", "No transport target", IF(AND(COUNTIFS(Targets!A:A, A104, Targets!H:H, "Transport sector mitigation target", Targets!J:J, "GHG") &gt; 0, COUNTIFS(Targets!A:A, A104, Targets!H:H, "Transport sector mitigation target", Targets!J:J, "Non GHG") &gt; 0), "GHG and non-GHG target", IF(COUNTIFS(Targets!A:A, A104, Targets!H:H, "Transport sector mitigation target", Targets!J:J, "GHG") &gt; 0, "GHG target", IF(COUNTIFS(Targets!A:A, A104, Targets!H:H, "Transport sector mitigation target", Targets!J:J, "Non GHG") &gt; 0, "non-GHG target", ""))))</f>
        <v>No transport target</v>
      </c>
      <c r="M104" s="43" t="str">
        <f>IF(K104="no","No transport target",IF(L104="non-GHG target","No GHG transport target",IF(AND(COUNTIFS(Targets!A:A,A104,Targets!H:H,"Transport sector mitigation target",Targets!J:J,"GHG",Targets!L:L,"Conditional")&gt;0,COUNTIFS(Targets!A:A,A104,Targets!H:H,"Transport sector mitigation target",Targets!J:J,"GHG",Targets!L:L,"Unconditional")&gt;0),"GHG unconditional and conditional",IF(COUNTIFS(Targets!A:A,A104,Targets!H:H,"Transport sector mitigation target",Targets!J:J,"GHG",Targets!L:L,"Conditional")&gt;0,"GHG conditional only",IF(COUNTIFS(Targets!A:A,A104,Targets!H:H,"Transport sector mitigation target",Targets!J:J,"GHG",Targets!L:L,"Unconditional")&gt;0,"GHG unconditional only",IF(COUNTIFS(Targets!A:A,A104,Targets!H:H,"Transport sector mitigation target",Targets!J:J,"GHG",Targets!L:L,"Unclear conditionality")&gt;0,"Conditionality unclear",""))))))</f>
        <v>No transport target</v>
      </c>
      <c r="N104" s="43" t="str" cm="1">
        <f t="array" ref="N104">IF(ISNUMBER(MATCH("Transport sector adaptation target", _xlfn._xlws.FILTER(Targets!H:H, Targets!A:A =A104), 0)), "yes", "no")</f>
        <v>no</v>
      </c>
      <c r="O104" s="43" t="str">
        <f>IF(ISNA(MATCH(A104, Mitigation!A:A, 0)), "no", "yes")</f>
        <v>yes</v>
      </c>
      <c r="P104" s="43" t="str">
        <f>IF(ISNA(MATCH(A104, Adaptation!A:A, 0)), "no", "yes")</f>
        <v>yes</v>
      </c>
      <c r="Q104" s="43" t="str">
        <f>IF(ISNA(MATCH(A104, Benefits!A:A, 0)), "no", "yes")</f>
        <v>no</v>
      </c>
      <c r="R104" s="43"/>
      <c r="S104" s="43"/>
      <c r="T104" s="43" t="s">
        <v>501</v>
      </c>
      <c r="U104" s="312" t="s">
        <v>613</v>
      </c>
      <c r="V104" s="233" t="str">
        <f>VLOOKUP(Table1[[#This Row],[Country Code]],Table29[],3,FALSE)</f>
        <v>Non-Annex I</v>
      </c>
      <c r="W104" s="233" t="str">
        <f>VLOOKUP(Table1[[#This Row],[Country Code]],Table29[],4,FALSE)</f>
        <v>Africa</v>
      </c>
      <c r="X104" s="233" t="str">
        <f>VLOOKUP(Table1[[#This Row],[Country Code]],Table29[],5,FALSE)</f>
        <v>Middle-income</v>
      </c>
      <c r="Y104" s="43"/>
      <c r="Z104" s="43"/>
    </row>
    <row r="105" spans="1:31" ht="15" customHeight="1" x14ac:dyDescent="0.25">
      <c r="A105" s="405">
        <v>17767</v>
      </c>
      <c r="B105" s="20" t="s">
        <v>438</v>
      </c>
      <c r="C105" s="206" t="str">
        <f>VLOOKUP(Table1[[#This Row],[Country Code]],Table29[],2,FALSE)</f>
        <v>Turkmenistan</v>
      </c>
      <c r="D105" s="243" t="str">
        <f t="shared" si="4"/>
        <v>Good</v>
      </c>
      <c r="E105" s="20" t="s">
        <v>71</v>
      </c>
      <c r="F105" s="17" t="s">
        <v>498</v>
      </c>
      <c r="G105" s="43" t="str">
        <f t="shared" si="5"/>
        <v>First NDC</v>
      </c>
      <c r="H105" s="17" t="s">
        <v>499</v>
      </c>
      <c r="I105" s="149">
        <v>42664</v>
      </c>
      <c r="J105" s="187" t="s">
        <v>500</v>
      </c>
      <c r="K105" s="49" t="str" cm="1">
        <f t="array" ref="K105">IF(ISNUMBER(MATCH("Transport sector mitigation target", _xlfn._xlws.FILTER(Targets!H:H, Targets!A:A =A105), 0)), "yes", "no")</f>
        <v>no</v>
      </c>
      <c r="L105" s="17" t="str">
        <f>IF(K105="no", "No transport target", IF(AND(COUNTIFS(Targets!A:A, A105, Targets!H:H, "Transport sector mitigation target", Targets!J:J, "GHG") &gt; 0, COUNTIFS(Targets!A:A, A105, Targets!H:H, "Transport sector mitigation target", Targets!J:J, "Non GHG") &gt; 0), "GHG and non-GHG target", IF(COUNTIFS(Targets!A:A, A105, Targets!H:H, "Transport sector mitigation target", Targets!J:J, "GHG") &gt; 0, "GHG target", IF(COUNTIFS(Targets!A:A, A105, Targets!H:H, "Transport sector mitigation target", Targets!J:J, "Non GHG") &gt; 0, "non-GHG target", ""))))</f>
        <v>No transport target</v>
      </c>
      <c r="M105" s="17" t="str">
        <f>IF(K105="no","No transport target",IF(L105="non-GHG target","No GHG transport target",IF(AND(COUNTIFS(Targets!A:A,A105,Targets!H:H,"Transport sector mitigation target",Targets!J:J,"GHG",Targets!L:L,"Conditional")&gt;0,COUNTIFS(Targets!A:A,A105,Targets!H:H,"Transport sector mitigation target",Targets!J:J,"GHG",Targets!L:L,"Unconditional")&gt;0),"GHG unconditional and conditional",IF(COUNTIFS(Targets!A:A,A105,Targets!H:H,"Transport sector mitigation target",Targets!J:J,"GHG",Targets!L:L,"Conditional")&gt;0,"GHG conditional only",IF(COUNTIFS(Targets!A:A,A105,Targets!H:H,"Transport sector mitigation target",Targets!J:J,"GHG",Targets!L:L,"Unconditional")&gt;0,"GHG unconditional only",IF(COUNTIFS(Targets!A:A,A105,Targets!H:H,"Transport sector mitigation target",Targets!J:J,"GHG",Targets!L:L,"Unclear conditionality")&gt;0,"Conditionality unclear",""))))))</f>
        <v>No transport target</v>
      </c>
      <c r="N105" s="17" t="str" cm="1">
        <f t="array" ref="N105">IF(ISNUMBER(MATCH("Transport sector adaptation target", _xlfn._xlws.FILTER(Targets!H:H, Targets!A:A =A105), 0)), "yes", "no")</f>
        <v>no</v>
      </c>
      <c r="O105" s="17" t="str">
        <f>IF(ISNA(MATCH(A105, Mitigation!A:A, 0)), "no", "yes")</f>
        <v>no</v>
      </c>
      <c r="P105" s="17" t="str">
        <f>IF(ISNA(MATCH(A105, Adaptation!A:A, 0)), "no", "yes")</f>
        <v>no</v>
      </c>
      <c r="Q105" s="17" t="str">
        <f>IF(ISNA(MATCH(A105, Benefits!A:A, 0)), "no", "yes")</f>
        <v>no</v>
      </c>
      <c r="R105" s="17"/>
      <c r="S105" s="17"/>
      <c r="T105" s="17" t="s">
        <v>501</v>
      </c>
      <c r="U105" s="135" t="s">
        <v>614</v>
      </c>
      <c r="V105" s="207" t="str">
        <f>VLOOKUP(Table1[[#This Row],[Country Code]],Table29[],3,FALSE)</f>
        <v>Non-Annex I</v>
      </c>
      <c r="W105" s="207" t="str">
        <f>VLOOKUP(Table1[[#This Row],[Country Code]],Table29[],4,FALSE)</f>
        <v>Asia</v>
      </c>
      <c r="X105" s="207" t="str">
        <f>VLOOKUP(Table1[[#This Row],[Country Code]],Table29[],5,FALSE)</f>
        <v>Middle-income</v>
      </c>
      <c r="Y105" s="17"/>
      <c r="Z105" s="17"/>
    </row>
    <row r="106" spans="1:31" ht="15" customHeight="1" x14ac:dyDescent="0.25">
      <c r="A106" s="360">
        <v>17565</v>
      </c>
      <c r="B106" s="176" t="s">
        <v>150</v>
      </c>
      <c r="C106" s="243" t="str">
        <f>VLOOKUP(Table1[[#This Row],[Country Code]],Table29[],2,FALSE)</f>
        <v>Côte D'Ivoire</v>
      </c>
      <c r="D106" s="243" t="str">
        <f t="shared" si="4"/>
        <v>Good</v>
      </c>
      <c r="E106" s="176" t="s">
        <v>71</v>
      </c>
      <c r="F106" s="43" t="s">
        <v>498</v>
      </c>
      <c r="G106" s="43" t="str">
        <f t="shared" si="5"/>
        <v>First NDC</v>
      </c>
      <c r="H106" s="43" t="s">
        <v>499</v>
      </c>
      <c r="I106" s="351">
        <v>42668</v>
      </c>
      <c r="J106" s="320" t="s">
        <v>500</v>
      </c>
      <c r="K106" s="320" t="str" cm="1">
        <f t="array" ref="K106">IF(ISNUMBER(MATCH("Transport sector mitigation target", _xlfn._xlws.FILTER(Targets!H:H, Targets!A:A =A106), 0)), "yes", "no")</f>
        <v>yes</v>
      </c>
      <c r="L106" s="43" t="str">
        <f>IF(K106="no", "No transport target", IF(AND(COUNTIFS(Targets!A:A, A106, Targets!H:H, "Transport sector mitigation target", Targets!J:J, "GHG") &gt; 0, COUNTIFS(Targets!A:A, A106, Targets!H:H, "Transport sector mitigation target", Targets!J:J, "Non GHG") &gt; 0), "GHG and non-GHG target", IF(COUNTIFS(Targets!A:A, A106, Targets!H:H, "Transport sector mitigation target", Targets!J:J, "GHG") &gt; 0, "GHG target", IF(COUNTIFS(Targets!A:A, A106, Targets!H:H, "Transport sector mitigation target", Targets!J:J, "Non GHG") &gt; 0, "non-GHG target", ""))))</f>
        <v>GHG target</v>
      </c>
      <c r="M106" s="43" t="str">
        <f>IF(K106="no","No transport target",IF(L106="non-GHG target","No GHG transport target",IF(AND(COUNTIFS(Targets!A:A,A106,Targets!H:H,"Transport sector mitigation target",Targets!J:J,"GHG",Targets!L:L,"Conditional")&gt;0,COUNTIFS(Targets!A:A,A106,Targets!H:H,"Transport sector mitigation target",Targets!J:J,"GHG",Targets!L:L,"Unconditional")&gt;0),"GHG unconditional and conditional",IF(COUNTIFS(Targets!A:A,A106,Targets!H:H,"Transport sector mitigation target",Targets!J:J,"GHG",Targets!L:L,"Conditional")&gt;0,"GHG conditional only",IF(COUNTIFS(Targets!A:A,A106,Targets!H:H,"Transport sector mitigation target",Targets!J:J,"GHG",Targets!L:L,"Unconditional")&gt;0,"GHG unconditional only",IF(COUNTIFS(Targets!A:A,A106,Targets!H:H,"Transport sector mitigation target",Targets!J:J,"GHG",Targets!L:L,"Unclear conditionality")&gt;0,"Conditionality unclear",""))))))</f>
        <v>GHG conditional only</v>
      </c>
      <c r="N106" s="43" t="str" cm="1">
        <f t="array" ref="N106">IF(ISNUMBER(MATCH("Transport sector adaptation target", _xlfn._xlws.FILTER(Targets!H:H, Targets!A:A =A106), 0)), "yes", "no")</f>
        <v>no</v>
      </c>
      <c r="O106" s="43" t="str">
        <f>IF(ISNA(MATCH(A106, Mitigation!A:A, 0)), "no", "yes")</f>
        <v>yes</v>
      </c>
      <c r="P106" s="43" t="str">
        <f>IF(ISNA(MATCH(A106, Adaptation!A:A, 0)), "no", "yes")</f>
        <v>no</v>
      </c>
      <c r="Q106" s="43" t="str">
        <f>IF(ISNA(MATCH(A106, Benefits!A:A, 0)), "no", "yes")</f>
        <v>no</v>
      </c>
      <c r="R106" s="43"/>
      <c r="S106" s="43"/>
      <c r="T106" s="43" t="s">
        <v>501</v>
      </c>
      <c r="U106" s="312" t="s">
        <v>615</v>
      </c>
      <c r="V106" s="233" t="str">
        <f>VLOOKUP(Table1[[#This Row],[Country Code]],Table29[],3,FALSE)</f>
        <v>Non-Annex I</v>
      </c>
      <c r="W106" s="233" t="str">
        <f>VLOOKUP(Table1[[#This Row],[Country Code]],Table29[],4,FALSE)</f>
        <v>Africa</v>
      </c>
      <c r="X106" s="233" t="str">
        <f>VLOOKUP(Table1[[#This Row],[Country Code]],Table29[],5,FALSE)</f>
        <v>Middle-income</v>
      </c>
      <c r="Y106" s="43"/>
      <c r="Z106" s="43"/>
    </row>
    <row r="107" spans="1:31" ht="15" customHeight="1" x14ac:dyDescent="0.25">
      <c r="A107" s="360">
        <v>17664</v>
      </c>
      <c r="B107" s="176" t="s">
        <v>302</v>
      </c>
      <c r="C107" s="243" t="str">
        <f>VLOOKUP(Table1[[#This Row],[Country Code]],Table29[],2,FALSE)</f>
        <v>Monaco</v>
      </c>
      <c r="D107" s="243" t="str">
        <f t="shared" si="4"/>
        <v>Good</v>
      </c>
      <c r="E107" s="176" t="s">
        <v>71</v>
      </c>
      <c r="F107" s="43" t="s">
        <v>498</v>
      </c>
      <c r="G107" s="43" t="str">
        <f t="shared" si="5"/>
        <v>First NDC</v>
      </c>
      <c r="H107" s="43" t="s">
        <v>499</v>
      </c>
      <c r="I107" s="351">
        <v>42669</v>
      </c>
      <c r="J107" s="320" t="s">
        <v>500</v>
      </c>
      <c r="K107" s="320" t="str" cm="1">
        <f t="array" ref="K107">IF(ISNUMBER(MATCH("Transport sector mitigation target", _xlfn._xlws.FILTER(Targets!H:H, Targets!A:A =A107), 0)), "yes", "no")</f>
        <v>no</v>
      </c>
      <c r="L107" s="43" t="str">
        <f>IF(K107="no", "No transport target", IF(AND(COUNTIFS(Targets!A:A, A107, Targets!H:H, "Transport sector mitigation target", Targets!J:J, "GHG") &gt; 0, COUNTIFS(Targets!A:A, A107, Targets!H:H, "Transport sector mitigation target", Targets!J:J, "Non GHG") &gt; 0), "GHG and non-GHG target", IF(COUNTIFS(Targets!A:A, A107, Targets!H:H, "Transport sector mitigation target", Targets!J:J, "GHG") &gt; 0, "GHG target", IF(COUNTIFS(Targets!A:A, A107, Targets!H:H, "Transport sector mitigation target", Targets!J:J, "Non GHG") &gt; 0, "non-GHG target", ""))))</f>
        <v>No transport target</v>
      </c>
      <c r="M107" s="43" t="str">
        <f>IF(K107="no","No transport target",IF(L107="non-GHG target","No GHG transport target",IF(AND(COUNTIFS(Targets!A:A,A107,Targets!H:H,"Transport sector mitigation target",Targets!J:J,"GHG",Targets!L:L,"Conditional")&gt;0,COUNTIFS(Targets!A:A,A107,Targets!H:H,"Transport sector mitigation target",Targets!J:J,"GHG",Targets!L:L,"Unconditional")&gt;0),"GHG unconditional and conditional",IF(COUNTIFS(Targets!A:A,A107,Targets!H:H,"Transport sector mitigation target",Targets!J:J,"GHG",Targets!L:L,"Conditional")&gt;0,"GHG conditional only",IF(COUNTIFS(Targets!A:A,A107,Targets!H:H,"Transport sector mitigation target",Targets!J:J,"GHG",Targets!L:L,"Unconditional")&gt;0,"GHG unconditional only",IF(COUNTIFS(Targets!A:A,A107,Targets!H:H,"Transport sector mitigation target",Targets!J:J,"GHG",Targets!L:L,"Unclear conditionality")&gt;0,"Conditionality unclear",""))))))</f>
        <v>No transport target</v>
      </c>
      <c r="N107" s="43" t="str" cm="1">
        <f t="array" ref="N107">IF(ISNUMBER(MATCH("Transport sector adaptation target", _xlfn._xlws.FILTER(Targets!H:H, Targets!A:A =A107), 0)), "yes", "no")</f>
        <v>no</v>
      </c>
      <c r="O107" s="43" t="str">
        <f>IF(ISNA(MATCH(A107, Mitigation!A:A, 0)), "no", "yes")</f>
        <v>no</v>
      </c>
      <c r="P107" s="43" t="str">
        <f>IF(ISNA(MATCH(A107, Adaptation!A:A, 0)), "no", "yes")</f>
        <v>no</v>
      </c>
      <c r="Q107" s="43" t="str">
        <f>IF(ISNA(MATCH(A107, Benefits!A:A, 0)), "no", "yes")</f>
        <v>no</v>
      </c>
      <c r="R107" s="43"/>
      <c r="S107" s="43"/>
      <c r="T107" s="43" t="s">
        <v>501</v>
      </c>
      <c r="U107" s="312" t="s">
        <v>616</v>
      </c>
      <c r="V107" s="233" t="str">
        <f>VLOOKUP(Table1[[#This Row],[Country Code]],Table29[],3,FALSE)</f>
        <v>Annex I</v>
      </c>
      <c r="W107" s="233" t="str">
        <f>VLOOKUP(Table1[[#This Row],[Country Code]],Table29[],4,FALSE)</f>
        <v>Europe</v>
      </c>
      <c r="X107" s="233" t="str">
        <f>VLOOKUP(Table1[[#This Row],[Country Code]],Table29[],5,FALSE)</f>
        <v>High-income</v>
      </c>
      <c r="Y107" s="43"/>
      <c r="Z107" s="43"/>
    </row>
    <row r="108" spans="1:31" ht="15" customHeight="1" x14ac:dyDescent="0.25">
      <c r="A108" s="360">
        <v>17685</v>
      </c>
      <c r="B108" s="176" t="s">
        <v>331</v>
      </c>
      <c r="C108" s="243" t="str">
        <f>VLOOKUP(Table1[[#This Row],[Country Code]],Table29[],2,FALSE)</f>
        <v>Niue</v>
      </c>
      <c r="D108" s="243" t="str">
        <f t="shared" si="4"/>
        <v>Good</v>
      </c>
      <c r="E108" s="176" t="s">
        <v>71</v>
      </c>
      <c r="F108" s="43" t="s">
        <v>498</v>
      </c>
      <c r="G108" s="43" t="str">
        <f t="shared" si="5"/>
        <v>First NDC</v>
      </c>
      <c r="H108" s="43" t="s">
        <v>499</v>
      </c>
      <c r="I108" s="351">
        <v>42671</v>
      </c>
      <c r="J108" s="352" t="s">
        <v>505</v>
      </c>
      <c r="K108" s="320" t="str" cm="1">
        <f t="array" ref="K108">IF(ISNUMBER(MATCH("Transport sector mitigation target", _xlfn._xlws.FILTER(Targets!H:H, Targets!A:A =A108), 0)), "yes", "no")</f>
        <v>no</v>
      </c>
      <c r="L108" s="43" t="str">
        <f>IF(K108="no", "No transport target", IF(AND(COUNTIFS(Targets!A:A, A108, Targets!H:H, "Transport sector mitigation target", Targets!J:J, "GHG") &gt; 0, COUNTIFS(Targets!A:A, A108, Targets!H:H, "Transport sector mitigation target", Targets!J:J, "Non GHG") &gt; 0), "GHG and non-GHG target", IF(COUNTIFS(Targets!A:A, A108, Targets!H:H, "Transport sector mitigation target", Targets!J:J, "GHG") &gt; 0, "GHG target", IF(COUNTIFS(Targets!A:A, A108, Targets!H:H, "Transport sector mitigation target", Targets!J:J, "Non GHG") &gt; 0, "non-GHG target", ""))))</f>
        <v>No transport target</v>
      </c>
      <c r="M108" s="43" t="str">
        <f>IF(K108="no","No transport target",IF(L108="non-GHG target","No GHG transport target",IF(AND(COUNTIFS(Targets!A:A,A108,Targets!H:H,"Transport sector mitigation target",Targets!J:J,"GHG",Targets!L:L,"Conditional")&gt;0,COUNTIFS(Targets!A:A,A108,Targets!H:H,"Transport sector mitigation target",Targets!J:J,"GHG",Targets!L:L,"Unconditional")&gt;0),"GHG unconditional and conditional",IF(COUNTIFS(Targets!A:A,A108,Targets!H:H,"Transport sector mitigation target",Targets!J:J,"GHG",Targets!L:L,"Conditional")&gt;0,"GHG conditional only",IF(COUNTIFS(Targets!A:A,A108,Targets!H:H,"Transport sector mitigation target",Targets!J:J,"GHG",Targets!L:L,"Unconditional")&gt;0,"GHG unconditional only",IF(COUNTIFS(Targets!A:A,A108,Targets!H:H,"Transport sector mitigation target",Targets!J:J,"GHG",Targets!L:L,"Unclear conditionality")&gt;0,"Conditionality unclear",""))))))</f>
        <v>No transport target</v>
      </c>
      <c r="N108" s="43" t="str" cm="1">
        <f t="array" ref="N108">IF(ISNUMBER(MATCH("Transport sector adaptation target", _xlfn._xlws.FILTER(Targets!H:H, Targets!A:A =A108), 0)), "yes", "no")</f>
        <v>no</v>
      </c>
      <c r="O108" s="43" t="str">
        <f>IF(ISNA(MATCH(A108, Mitigation!A:A, 0)), "no", "yes")</f>
        <v>yes</v>
      </c>
      <c r="P108" s="43" t="str">
        <f>IF(ISNA(MATCH(A108, Adaptation!A:A, 0)), "no", "yes")</f>
        <v>no</v>
      </c>
      <c r="Q108" s="43" t="str">
        <f>IF(ISNA(MATCH(A108, Benefits!A:A, 0)), "no", "yes")</f>
        <v>no</v>
      </c>
      <c r="R108" s="43"/>
      <c r="S108" s="43"/>
      <c r="T108" s="43" t="s">
        <v>501</v>
      </c>
      <c r="U108" s="312" t="s">
        <v>617</v>
      </c>
      <c r="V108" s="233" t="str">
        <f>VLOOKUP(Table1[[#This Row],[Country Code]],Table29[],3,FALSE)</f>
        <v>Non-Annex I</v>
      </c>
      <c r="W108" s="233" t="str">
        <f>VLOOKUP(Table1[[#This Row],[Country Code]],Table29[],4,FALSE)</f>
        <v>Oceania</v>
      </c>
      <c r="X108" s="233" t="str">
        <f>VLOOKUP(Table1[[#This Row],[Country Code]],Table29[],5,FALSE)</f>
        <v>Low-income</v>
      </c>
      <c r="Y108" s="43"/>
      <c r="Z108" s="43"/>
    </row>
    <row r="109" spans="1:31" ht="15" customHeight="1" x14ac:dyDescent="0.25">
      <c r="A109" s="360">
        <v>17522</v>
      </c>
      <c r="B109" s="176" t="s">
        <v>87</v>
      </c>
      <c r="C109" s="243" t="str">
        <f>VLOOKUP(Table1[[#This Row],[Country Code]],Table29[],2,FALSE)</f>
        <v>Bahamas</v>
      </c>
      <c r="D109" s="243" t="str">
        <f t="shared" si="4"/>
        <v>Good</v>
      </c>
      <c r="E109" s="176" t="s">
        <v>71</v>
      </c>
      <c r="F109" s="43" t="s">
        <v>498</v>
      </c>
      <c r="G109" s="43" t="str">
        <f t="shared" si="5"/>
        <v>First NDC</v>
      </c>
      <c r="H109" s="43" t="s">
        <v>499</v>
      </c>
      <c r="I109" s="351">
        <v>42674</v>
      </c>
      <c r="J109" s="320" t="s">
        <v>500</v>
      </c>
      <c r="K109" s="320" t="str" cm="1">
        <f t="array" ref="K109">IF(ISNUMBER(MATCH("Transport sector mitigation target", _xlfn._xlws.FILTER(Targets!H:H, Targets!A:A =A109), 0)), "yes", "no")</f>
        <v>no</v>
      </c>
      <c r="L109" s="43" t="str">
        <f>IF(K109="no", "No transport target", IF(AND(COUNTIFS(Targets!A:A, A109, Targets!H:H, "Transport sector mitigation target", Targets!J:J, "GHG") &gt; 0, COUNTIFS(Targets!A:A, A109, Targets!H:H, "Transport sector mitigation target", Targets!J:J, "Non GHG") &gt; 0), "GHG and non-GHG target", IF(COUNTIFS(Targets!A:A, A109, Targets!H:H, "Transport sector mitigation target", Targets!J:J, "GHG") &gt; 0, "GHG target", IF(COUNTIFS(Targets!A:A, A109, Targets!H:H, "Transport sector mitigation target", Targets!J:J, "Non GHG") &gt; 0, "non-GHG target", ""))))</f>
        <v>No transport target</v>
      </c>
      <c r="M109" s="43" t="str">
        <f>IF(K109="no","No transport target",IF(L109="non-GHG target","No GHG transport target",IF(AND(COUNTIFS(Targets!A:A,A109,Targets!H:H,"Transport sector mitigation target",Targets!J:J,"GHG",Targets!L:L,"Conditional")&gt;0,COUNTIFS(Targets!A:A,A109,Targets!H:H,"Transport sector mitigation target",Targets!J:J,"GHG",Targets!L:L,"Unconditional")&gt;0),"GHG unconditional and conditional",IF(COUNTIFS(Targets!A:A,A109,Targets!H:H,"Transport sector mitigation target",Targets!J:J,"GHG",Targets!L:L,"Conditional")&gt;0,"GHG conditional only",IF(COUNTIFS(Targets!A:A,A109,Targets!H:H,"Transport sector mitigation target",Targets!J:J,"GHG",Targets!L:L,"Unconditional")&gt;0,"GHG unconditional only",IF(COUNTIFS(Targets!A:A,A109,Targets!H:H,"Transport sector mitigation target",Targets!J:J,"GHG",Targets!L:L,"Unclear conditionality")&gt;0,"Conditionality unclear",""))))))</f>
        <v>No transport target</v>
      </c>
      <c r="N109" s="43" t="str" cm="1">
        <f t="array" ref="N109">IF(ISNUMBER(MATCH("Transport sector adaptation target", _xlfn._xlws.FILTER(Targets!H:H, Targets!A:A =A109), 0)), "yes", "no")</f>
        <v>no</v>
      </c>
      <c r="O109" s="43" t="str">
        <f>IF(ISNA(MATCH(A109, Mitigation!A:A, 0)), "no", "yes")</f>
        <v>yes</v>
      </c>
      <c r="P109" s="43" t="str">
        <f>IF(ISNA(MATCH(A109, Adaptation!A:A, 0)), "no", "yes")</f>
        <v>no</v>
      </c>
      <c r="Q109" s="43" t="str">
        <f>IF(ISNA(MATCH(A109, Benefits!A:A, 0)), "no", "yes")</f>
        <v>no</v>
      </c>
      <c r="R109" s="43"/>
      <c r="S109" s="43"/>
      <c r="T109" s="43" t="s">
        <v>501</v>
      </c>
      <c r="U109" s="312" t="s">
        <v>618</v>
      </c>
      <c r="V109" s="233" t="str">
        <f>VLOOKUP(Table1[[#This Row],[Country Code]],Table29[],3,FALSE)</f>
        <v>Non-Annex I</v>
      </c>
      <c r="W109" s="233" t="str">
        <f>VLOOKUP(Table1[[#This Row],[Country Code]],Table29[],4,FALSE)</f>
        <v>Latin America and the Caribbean</v>
      </c>
      <c r="X109" s="233" t="str">
        <f>VLOOKUP(Table1[[#This Row],[Country Code]],Table29[],5,FALSE)</f>
        <v>High-income</v>
      </c>
      <c r="Y109" s="43"/>
      <c r="Z109" s="43"/>
    </row>
    <row r="110" spans="1:31" ht="15" customHeight="1" x14ac:dyDescent="0.25">
      <c r="A110" s="405">
        <v>17730</v>
      </c>
      <c r="B110" s="20" t="s">
        <v>392</v>
      </c>
      <c r="C110" s="206" t="str">
        <f>VLOOKUP(Table1[[#This Row],[Country Code]],Table29[],2,FALSE)</f>
        <v>Sierra Leone</v>
      </c>
      <c r="D110" s="243" t="str">
        <f t="shared" si="4"/>
        <v>Good</v>
      </c>
      <c r="E110" s="20" t="s">
        <v>71</v>
      </c>
      <c r="F110" s="17" t="s">
        <v>498</v>
      </c>
      <c r="G110" s="43" t="str">
        <f t="shared" si="5"/>
        <v>First NDC</v>
      </c>
      <c r="H110" s="17" t="s">
        <v>499</v>
      </c>
      <c r="I110" s="149">
        <v>42675</v>
      </c>
      <c r="J110" s="49" t="s">
        <v>500</v>
      </c>
      <c r="K110" s="49" t="str" cm="1">
        <f t="array" ref="K110">IF(ISNUMBER(MATCH("Transport sector mitigation target", _xlfn._xlws.FILTER(Targets!H:H, Targets!A:A =A110), 0)), "yes", "no")</f>
        <v>no</v>
      </c>
      <c r="L110" s="17" t="str">
        <f>IF(K110="no", "No transport target", IF(AND(COUNTIFS(Targets!A:A, A110, Targets!H:H, "Transport sector mitigation target", Targets!J:J, "GHG") &gt; 0, COUNTIFS(Targets!A:A, A110, Targets!H:H, "Transport sector mitigation target", Targets!J:J, "Non GHG") &gt; 0), "GHG and non-GHG target", IF(COUNTIFS(Targets!A:A, A110, Targets!H:H, "Transport sector mitigation target", Targets!J:J, "GHG") &gt; 0, "GHG target", IF(COUNTIFS(Targets!A:A, A110, Targets!H:H, "Transport sector mitigation target", Targets!J:J, "Non GHG") &gt; 0, "non-GHG target", ""))))</f>
        <v>No transport target</v>
      </c>
      <c r="M110" s="17" t="str">
        <f>IF(K110="no","No transport target",IF(L110="non-GHG target","No GHG transport target",IF(AND(COUNTIFS(Targets!A:A,A110,Targets!H:H,"Transport sector mitigation target",Targets!J:J,"GHG",Targets!L:L,"Conditional")&gt;0,COUNTIFS(Targets!A:A,A110,Targets!H:H,"Transport sector mitigation target",Targets!J:J,"GHG",Targets!L:L,"Unconditional")&gt;0),"GHG unconditional and conditional",IF(COUNTIFS(Targets!A:A,A110,Targets!H:H,"Transport sector mitigation target",Targets!J:J,"GHG",Targets!L:L,"Conditional")&gt;0,"GHG conditional only",IF(COUNTIFS(Targets!A:A,A110,Targets!H:H,"Transport sector mitigation target",Targets!J:J,"GHG",Targets!L:L,"Unconditional")&gt;0,"GHG unconditional only",IF(COUNTIFS(Targets!A:A,A110,Targets!H:H,"Transport sector mitigation target",Targets!J:J,"GHG",Targets!L:L,"Unclear conditionality")&gt;0,"Conditionality unclear",""))))))</f>
        <v>No transport target</v>
      </c>
      <c r="N110" s="17" t="str" cm="1">
        <f t="array" ref="N110">IF(ISNUMBER(MATCH("Transport sector adaptation target", _xlfn._xlws.FILTER(Targets!H:H, Targets!A:A =A110), 0)), "yes", "no")</f>
        <v>no</v>
      </c>
      <c r="O110" s="17" t="str">
        <f>IF(ISNA(MATCH(A110, Mitigation!A:A, 0)), "no", "yes")</f>
        <v>yes</v>
      </c>
      <c r="P110" s="17" t="str">
        <f>IF(ISNA(MATCH(A110, Adaptation!A:A, 0)), "no", "yes")</f>
        <v>no</v>
      </c>
      <c r="Q110" s="17" t="str">
        <f>IF(ISNA(MATCH(A110, Benefits!A:A, 0)), "no", "yes")</f>
        <v>no</v>
      </c>
      <c r="R110" s="17"/>
      <c r="S110" s="17"/>
      <c r="T110" s="17" t="s">
        <v>501</v>
      </c>
      <c r="U110" s="135" t="s">
        <v>619</v>
      </c>
      <c r="V110" s="207" t="str">
        <f>VLOOKUP(Table1[[#This Row],[Country Code]],Table29[],3,FALSE)</f>
        <v>Non-Annex I</v>
      </c>
      <c r="W110" s="207" t="str">
        <f>VLOOKUP(Table1[[#This Row],[Country Code]],Table29[],4,FALSE)</f>
        <v>Africa</v>
      </c>
      <c r="X110" s="207" t="str">
        <f>VLOOKUP(Table1[[#This Row],[Country Code]],Table29[],5,FALSE)</f>
        <v>Low-income</v>
      </c>
      <c r="Y110" s="17"/>
      <c r="Z110" s="17"/>
    </row>
    <row r="111" spans="1:31" ht="15" customHeight="1" x14ac:dyDescent="0.25">
      <c r="A111" s="405">
        <v>17739</v>
      </c>
      <c r="B111" s="20" t="s">
        <v>404</v>
      </c>
      <c r="C111" s="206" t="str">
        <f>VLOOKUP(Table1[[#This Row],[Country Code]],Table29[],2,FALSE)</f>
        <v>South Africa</v>
      </c>
      <c r="D111" s="243" t="str">
        <f t="shared" si="4"/>
        <v>Good</v>
      </c>
      <c r="E111" s="20" t="s">
        <v>71</v>
      </c>
      <c r="F111" s="17" t="s">
        <v>498</v>
      </c>
      <c r="G111" s="43" t="str">
        <f t="shared" si="5"/>
        <v>First NDC</v>
      </c>
      <c r="H111" s="17" t="s">
        <v>499</v>
      </c>
      <c r="I111" s="149">
        <v>42675</v>
      </c>
      <c r="J111" s="49" t="s">
        <v>500</v>
      </c>
      <c r="K111" s="49" t="str" cm="1">
        <f t="array" ref="K111">IF(ISNUMBER(MATCH("Transport sector mitigation target", _xlfn._xlws.FILTER(Targets!H:H, Targets!A:A =A111), 0)), "yes", "no")</f>
        <v>yes</v>
      </c>
      <c r="L111" s="17" t="str">
        <f>IF(K111="no", "No transport target", IF(AND(COUNTIFS(Targets!A:A, A111, Targets!H:H, "Transport sector mitigation target", Targets!J:J, "GHG") &gt; 0, COUNTIFS(Targets!A:A, A111, Targets!H:H, "Transport sector mitigation target", Targets!J:J, "Non GHG") &gt; 0), "GHG and non-GHG target", IF(COUNTIFS(Targets!A:A, A111, Targets!H:H, "Transport sector mitigation target", Targets!J:J, "GHG") &gt; 0, "GHG target", IF(COUNTIFS(Targets!A:A, A111, Targets!H:H, "Transport sector mitigation target", Targets!J:J, "Non GHG") &gt; 0, "non-GHG target", ""))))</f>
        <v>non-GHG target</v>
      </c>
      <c r="M111" s="17" t="str">
        <f>IF(K111="no","No transport target",IF(L111="non-GHG target","No GHG transport target",IF(AND(COUNTIFS(Targets!A:A,A111,Targets!H:H,"Transport sector mitigation target",Targets!J:J,"GHG",Targets!L:L,"Conditional")&gt;0,COUNTIFS(Targets!A:A,A111,Targets!H:H,"Transport sector mitigation target",Targets!J:J,"GHG",Targets!L:L,"Unconditional")&gt;0),"GHG unconditional and conditional",IF(COUNTIFS(Targets!A:A,A111,Targets!H:H,"Transport sector mitigation target",Targets!J:J,"GHG",Targets!L:L,"Conditional")&gt;0,"GHG conditional only",IF(COUNTIFS(Targets!A:A,A111,Targets!H:H,"Transport sector mitigation target",Targets!J:J,"GHG",Targets!L:L,"Unconditional")&gt;0,"GHG unconditional only",IF(COUNTIFS(Targets!A:A,A111,Targets!H:H,"Transport sector mitigation target",Targets!J:J,"GHG",Targets!L:L,"Unclear conditionality")&gt;0,"Conditionality unclear",""))))))</f>
        <v>No GHG transport target</v>
      </c>
      <c r="N111" s="17" t="str" cm="1">
        <f t="array" ref="N111">IF(ISNUMBER(MATCH("Transport sector adaptation target", _xlfn._xlws.FILTER(Targets!H:H, Targets!A:A =A111), 0)), "yes", "no")</f>
        <v>no</v>
      </c>
      <c r="O111" s="17" t="str">
        <f>IF(ISNA(MATCH(A111, Mitigation!A:A, 0)), "no", "yes")</f>
        <v>yes</v>
      </c>
      <c r="P111" s="17" t="str">
        <f>IF(ISNA(MATCH(A111, Adaptation!A:A, 0)), "no", "yes")</f>
        <v>no</v>
      </c>
      <c r="Q111" s="17" t="str">
        <f>IF(ISNA(MATCH(A111, Benefits!A:A, 0)), "no", "yes")</f>
        <v>no</v>
      </c>
      <c r="R111" s="17"/>
      <c r="S111" s="17"/>
      <c r="T111" s="17" t="s">
        <v>501</v>
      </c>
      <c r="U111" s="135" t="s">
        <v>620</v>
      </c>
      <c r="V111" s="207" t="str">
        <f>VLOOKUP(Table1[[#This Row],[Country Code]],Table29[],3,FALSE)</f>
        <v>Non-Annex I</v>
      </c>
      <c r="W111" s="207" t="str">
        <f>VLOOKUP(Table1[[#This Row],[Country Code]],Table29[],4,FALSE)</f>
        <v>Africa</v>
      </c>
      <c r="X111" s="207" t="str">
        <f>VLOOKUP(Table1[[#This Row],[Country Code]],Table29[],5,FALSE)</f>
        <v>Middle-income</v>
      </c>
      <c r="Y111" s="17"/>
      <c r="Z111" s="17"/>
    </row>
    <row r="112" spans="1:31" ht="15" customHeight="1" x14ac:dyDescent="0.25">
      <c r="A112" s="405">
        <v>17724</v>
      </c>
      <c r="B112" s="20" t="s">
        <v>382</v>
      </c>
      <c r="C112" s="206" t="str">
        <f>VLOOKUP(Table1[[#This Row],[Country Code]],Table29[],2,FALSE)</f>
        <v>Sao Tome and Principe</v>
      </c>
      <c r="D112" s="243" t="str">
        <f t="shared" si="4"/>
        <v>Good</v>
      </c>
      <c r="E112" s="20" t="s">
        <v>71</v>
      </c>
      <c r="F112" s="17" t="s">
        <v>498</v>
      </c>
      <c r="G112" s="43" t="str">
        <f t="shared" si="5"/>
        <v>First NDC</v>
      </c>
      <c r="H112" s="17" t="s">
        <v>499</v>
      </c>
      <c r="I112" s="149">
        <v>42676</v>
      </c>
      <c r="J112" s="49" t="s">
        <v>500</v>
      </c>
      <c r="K112" s="49" t="str" cm="1">
        <f t="array" ref="K112">IF(ISNUMBER(MATCH("Transport sector mitigation target", _xlfn._xlws.FILTER(Targets!H:H, Targets!A:A =A112), 0)), "yes", "no")</f>
        <v>no</v>
      </c>
      <c r="L112" s="17" t="str">
        <f>IF(K112="no", "No transport target", IF(AND(COUNTIFS(Targets!A:A, A112, Targets!H:H, "Transport sector mitigation target", Targets!J:J, "GHG") &gt; 0, COUNTIFS(Targets!A:A, A112, Targets!H:H, "Transport sector mitigation target", Targets!J:J, "Non GHG") &gt; 0), "GHG and non-GHG target", IF(COUNTIFS(Targets!A:A, A112, Targets!H:H, "Transport sector mitigation target", Targets!J:J, "GHG") &gt; 0, "GHG target", IF(COUNTIFS(Targets!A:A, A112, Targets!H:H, "Transport sector mitigation target", Targets!J:J, "Non GHG") &gt; 0, "non-GHG target", ""))))</f>
        <v>No transport target</v>
      </c>
      <c r="M112" s="17" t="str">
        <f>IF(K112="no","No transport target",IF(L112="non-GHG target","No GHG transport target",IF(AND(COUNTIFS(Targets!A:A,A112,Targets!H:H,"Transport sector mitigation target",Targets!J:J,"GHG",Targets!L:L,"Conditional")&gt;0,COUNTIFS(Targets!A:A,A112,Targets!H:H,"Transport sector mitigation target",Targets!J:J,"GHG",Targets!L:L,"Unconditional")&gt;0),"GHG unconditional and conditional",IF(COUNTIFS(Targets!A:A,A112,Targets!H:H,"Transport sector mitigation target",Targets!J:J,"GHG",Targets!L:L,"Conditional")&gt;0,"GHG conditional only",IF(COUNTIFS(Targets!A:A,A112,Targets!H:H,"Transport sector mitigation target",Targets!J:J,"GHG",Targets!L:L,"Unconditional")&gt;0,"GHG unconditional only",IF(COUNTIFS(Targets!A:A,A112,Targets!H:H,"Transport sector mitigation target",Targets!J:J,"GHG",Targets!L:L,"Unclear conditionality")&gt;0,"Conditionality unclear",""))))))</f>
        <v>No transport target</v>
      </c>
      <c r="N112" s="17" t="str" cm="1">
        <f t="array" ref="N112">IF(ISNUMBER(MATCH("Transport sector adaptation target", _xlfn._xlws.FILTER(Targets!H:H, Targets!A:A =A112), 0)), "yes", "no")</f>
        <v>no</v>
      </c>
      <c r="O112" s="17" t="str">
        <f>IF(ISNA(MATCH(A112, Mitigation!A:A, 0)), "no", "yes")</f>
        <v>no</v>
      </c>
      <c r="P112" s="17" t="str">
        <f>IF(ISNA(MATCH(A112, Adaptation!A:A, 0)), "no", "yes")</f>
        <v>no</v>
      </c>
      <c r="Q112" s="17" t="str">
        <f>IF(ISNA(MATCH(A112, Benefits!A:A, 0)), "no", "yes")</f>
        <v>no</v>
      </c>
      <c r="R112" s="17"/>
      <c r="S112" s="17"/>
      <c r="T112" s="17" t="s">
        <v>501</v>
      </c>
      <c r="U112" s="135" t="s">
        <v>621</v>
      </c>
      <c r="V112" s="207" t="str">
        <f>VLOOKUP(Table1[[#This Row],[Country Code]],Table29[],3,FALSE)</f>
        <v>Non-Annex I</v>
      </c>
      <c r="W112" s="207" t="str">
        <f>VLOOKUP(Table1[[#This Row],[Country Code]],Table29[],4,FALSE)</f>
        <v>Africa</v>
      </c>
      <c r="X112" s="207" t="str">
        <f>VLOOKUP(Table1[[#This Row],[Country Code]],Table29[],5,FALSE)</f>
        <v>Middle-income</v>
      </c>
      <c r="Y112" s="17"/>
      <c r="Z112" s="17"/>
    </row>
    <row r="113" spans="1:26" ht="15" customHeight="1" x14ac:dyDescent="0.25">
      <c r="A113" s="360">
        <v>17599</v>
      </c>
      <c r="B113" s="176" t="s">
        <v>197</v>
      </c>
      <c r="C113" s="243" t="str">
        <f>VLOOKUP(Table1[[#This Row],[Country Code]],Table29[],2,FALSE)</f>
        <v>Gabon</v>
      </c>
      <c r="D113" s="243" t="str">
        <f t="shared" si="4"/>
        <v>Good</v>
      </c>
      <c r="E113" s="176" t="s">
        <v>71</v>
      </c>
      <c r="F113" s="43" t="s">
        <v>498</v>
      </c>
      <c r="G113" s="43" t="str">
        <f t="shared" si="5"/>
        <v>First NDC</v>
      </c>
      <c r="H113" s="43" t="s">
        <v>499</v>
      </c>
      <c r="I113" s="351">
        <v>42676</v>
      </c>
      <c r="J113" s="320" t="s">
        <v>500</v>
      </c>
      <c r="K113" s="320" t="str" cm="1">
        <f t="array" ref="K113">IF(ISNUMBER(MATCH("Transport sector mitigation target", _xlfn._xlws.FILTER(Targets!H:H, Targets!A:A =A113), 0)), "yes", "no")</f>
        <v>yes</v>
      </c>
      <c r="L113" s="43" t="str">
        <f>IF(K113="no", "No transport target", IF(AND(COUNTIFS(Targets!A:A, A113, Targets!H:H, "Transport sector mitigation target", Targets!J:J, "GHG") &gt; 0, COUNTIFS(Targets!A:A, A113, Targets!H:H, "Transport sector mitigation target", Targets!J:J, "Non GHG") &gt; 0), "GHG and non-GHG target", IF(COUNTIFS(Targets!A:A, A113, Targets!H:H, "Transport sector mitigation target", Targets!J:J, "GHG") &gt; 0, "GHG target", IF(COUNTIFS(Targets!A:A, A113, Targets!H:H, "Transport sector mitigation target", Targets!J:J, "Non GHG") &gt; 0, "non-GHG target", ""))))</f>
        <v>GHG target</v>
      </c>
      <c r="M113" s="43" t="str">
        <f>IF(K113="no","No transport target",IF(L113="non-GHG target","No GHG transport target",IF(AND(COUNTIFS(Targets!A:A,A113,Targets!H:H,"Transport sector mitigation target",Targets!J:J,"GHG",Targets!L:L,"Conditional")&gt;0,COUNTIFS(Targets!A:A,A113,Targets!H:H,"Transport sector mitigation target",Targets!J:J,"GHG",Targets!L:L,"Unconditional")&gt;0),"GHG unconditional and conditional",IF(COUNTIFS(Targets!A:A,A113,Targets!H:H,"Transport sector mitigation target",Targets!J:J,"GHG",Targets!L:L,"Conditional")&gt;0,"GHG conditional only",IF(COUNTIFS(Targets!A:A,A113,Targets!H:H,"Transport sector mitigation target",Targets!J:J,"GHG",Targets!L:L,"Unconditional")&gt;0,"GHG unconditional only",IF(COUNTIFS(Targets!A:A,A113,Targets!H:H,"Transport sector mitigation target",Targets!J:J,"GHG",Targets!L:L,"Unclear conditionality")&gt;0,"Conditionality unclear",""))))))</f>
        <v>GHG unconditional only</v>
      </c>
      <c r="N113" s="43" t="str" cm="1">
        <f t="array" ref="N113">IF(ISNUMBER(MATCH("Transport sector adaptation target", _xlfn._xlws.FILTER(Targets!H:H, Targets!A:A =A113), 0)), "yes", "no")</f>
        <v>no</v>
      </c>
      <c r="O113" s="43" t="str">
        <f>IF(ISNA(MATCH(A113, Mitigation!A:A, 0)), "no", "yes")</f>
        <v>yes</v>
      </c>
      <c r="P113" s="43" t="str">
        <f>IF(ISNA(MATCH(A113, Adaptation!A:A, 0)), "no", "yes")</f>
        <v>no</v>
      </c>
      <c r="Q113" s="43" t="str">
        <f>IF(ISNA(MATCH(A113, Benefits!A:A, 0)), "no", "yes")</f>
        <v>yes</v>
      </c>
      <c r="R113" s="43"/>
      <c r="S113" s="43"/>
      <c r="T113" s="43" t="s">
        <v>501</v>
      </c>
      <c r="U113" s="312" t="s">
        <v>622</v>
      </c>
      <c r="V113" s="233" t="str">
        <f>VLOOKUP(Table1[[#This Row],[Country Code]],Table29[],3,FALSE)</f>
        <v>Non-Annex I</v>
      </c>
      <c r="W113" s="233" t="str">
        <f>VLOOKUP(Table1[[#This Row],[Country Code]],Table29[],4,FALSE)</f>
        <v>Africa</v>
      </c>
      <c r="X113" s="233" t="str">
        <f>VLOOKUP(Table1[[#This Row],[Country Code]],Table29[],5,FALSE)</f>
        <v>Middle-income</v>
      </c>
      <c r="Y113" s="43"/>
      <c r="Z113" s="43"/>
    </row>
    <row r="114" spans="1:26" ht="15" customHeight="1" x14ac:dyDescent="0.25">
      <c r="A114" s="360">
        <v>17706</v>
      </c>
      <c r="B114" s="176" t="s">
        <v>360</v>
      </c>
      <c r="C114" s="243" t="str">
        <f>VLOOKUP(Table1[[#This Row],[Country Code]],Table29[],2,FALSE)</f>
        <v>Republic of Korea</v>
      </c>
      <c r="D114" s="243" t="str">
        <f t="shared" si="4"/>
        <v>Good</v>
      </c>
      <c r="E114" s="176" t="s">
        <v>71</v>
      </c>
      <c r="F114" s="43" t="s">
        <v>498</v>
      </c>
      <c r="G114" s="43" t="str">
        <f t="shared" si="5"/>
        <v>First NDC</v>
      </c>
      <c r="H114" s="43" t="s">
        <v>499</v>
      </c>
      <c r="I114" s="351">
        <v>42677</v>
      </c>
      <c r="J114" s="320" t="s">
        <v>500</v>
      </c>
      <c r="K114" s="320" t="str" cm="1">
        <f t="array" ref="K114">IF(ISNUMBER(MATCH("Transport sector mitigation target", _xlfn._xlws.FILTER(Targets!H:H, Targets!A:A =A114), 0)), "yes", "no")</f>
        <v>no</v>
      </c>
      <c r="L114" s="43" t="str">
        <f>IF(K114="no", "No transport target", IF(AND(COUNTIFS(Targets!A:A, A114, Targets!H:H, "Transport sector mitigation target", Targets!J:J, "GHG") &gt; 0, COUNTIFS(Targets!A:A, A114, Targets!H:H, "Transport sector mitigation target", Targets!J:J, "Non GHG") &gt; 0), "GHG and non-GHG target", IF(COUNTIFS(Targets!A:A, A114, Targets!H:H, "Transport sector mitigation target", Targets!J:J, "GHG") &gt; 0, "GHG target", IF(COUNTIFS(Targets!A:A, A114, Targets!H:H, "Transport sector mitigation target", Targets!J:J, "Non GHG") &gt; 0, "non-GHG target", ""))))</f>
        <v>No transport target</v>
      </c>
      <c r="M114" s="43" t="str">
        <f>IF(K114="no","No transport target",IF(L114="non-GHG target","No GHG transport target",IF(AND(COUNTIFS(Targets!A:A,A114,Targets!H:H,"Transport sector mitigation target",Targets!J:J,"GHG",Targets!L:L,"Conditional")&gt;0,COUNTIFS(Targets!A:A,A114,Targets!H:H,"Transport sector mitigation target",Targets!J:J,"GHG",Targets!L:L,"Unconditional")&gt;0),"GHG unconditional and conditional",IF(COUNTIFS(Targets!A:A,A114,Targets!H:H,"Transport sector mitigation target",Targets!J:J,"GHG",Targets!L:L,"Conditional")&gt;0,"GHG conditional only",IF(COUNTIFS(Targets!A:A,A114,Targets!H:H,"Transport sector mitigation target",Targets!J:J,"GHG",Targets!L:L,"Unconditional")&gt;0,"GHG unconditional only",IF(COUNTIFS(Targets!A:A,A114,Targets!H:H,"Transport sector mitigation target",Targets!J:J,"GHG",Targets!L:L,"Unclear conditionality")&gt;0,"Conditionality unclear",""))))))</f>
        <v>No transport target</v>
      </c>
      <c r="N114" s="43" t="str" cm="1">
        <f t="array" ref="N114">IF(ISNUMBER(MATCH("Transport sector adaptation target", _xlfn._xlws.FILTER(Targets!H:H, Targets!A:A =A114), 0)), "yes", "no")</f>
        <v>no</v>
      </c>
      <c r="O114" s="43" t="str">
        <f>IF(ISNA(MATCH(A114, Mitigation!A:A, 0)), "no", "yes")</f>
        <v>yes</v>
      </c>
      <c r="P114" s="43" t="str">
        <f>IF(ISNA(MATCH(A114, Adaptation!A:A, 0)), "no", "yes")</f>
        <v>no</v>
      </c>
      <c r="Q114" s="43" t="str">
        <f>IF(ISNA(MATCH(A114, Benefits!A:A, 0)), "no", "yes")</f>
        <v>no</v>
      </c>
      <c r="R114" s="43"/>
      <c r="S114" s="43"/>
      <c r="T114" s="43" t="s">
        <v>501</v>
      </c>
      <c r="U114" s="312" t="s">
        <v>623</v>
      </c>
      <c r="V114" s="233" t="str">
        <f>VLOOKUP(Table1[[#This Row],[Country Code]],Table29[],3,FALSE)</f>
        <v>Non-Annex I</v>
      </c>
      <c r="W114" s="233" t="str">
        <f>VLOOKUP(Table1[[#This Row],[Country Code]],Table29[],4,FALSE)</f>
        <v>Asia</v>
      </c>
      <c r="X114" s="233" t="str">
        <f>VLOOKUP(Table1[[#This Row],[Country Code]],Table29[],5,FALSE)</f>
        <v>High-income</v>
      </c>
      <c r="Y114" s="43"/>
      <c r="Z114" s="43"/>
    </row>
    <row r="115" spans="1:26" ht="15" customHeight="1" x14ac:dyDescent="0.25">
      <c r="A115" s="405">
        <v>17725</v>
      </c>
      <c r="B115" s="20" t="s">
        <v>384</v>
      </c>
      <c r="C115" s="206" t="str">
        <f>VLOOKUP(Table1[[#This Row],[Country Code]],Table29[],2,FALSE)</f>
        <v>Saudi Arabia</v>
      </c>
      <c r="D115" s="243" t="str">
        <f t="shared" si="4"/>
        <v>Good</v>
      </c>
      <c r="E115" s="20" t="s">
        <v>71</v>
      </c>
      <c r="F115" s="17" t="s">
        <v>498</v>
      </c>
      <c r="G115" s="43" t="str">
        <f t="shared" si="5"/>
        <v>First NDC</v>
      </c>
      <c r="H115" s="17" t="s">
        <v>499</v>
      </c>
      <c r="I115" s="149">
        <v>42677</v>
      </c>
      <c r="J115" s="49" t="s">
        <v>500</v>
      </c>
      <c r="K115" s="49" t="str" cm="1">
        <f t="array" ref="K115">IF(ISNUMBER(MATCH("Transport sector mitigation target", _xlfn._xlws.FILTER(Targets!H:H, Targets!A:A =A115), 0)), "yes", "no")</f>
        <v>no</v>
      </c>
      <c r="L115" s="17" t="str">
        <f>IF(K115="no", "No transport target", IF(AND(COUNTIFS(Targets!A:A, A115, Targets!H:H, "Transport sector mitigation target", Targets!J:J, "GHG") &gt; 0, COUNTIFS(Targets!A:A, A115, Targets!H:H, "Transport sector mitigation target", Targets!J:J, "Non GHG") &gt; 0), "GHG and non-GHG target", IF(COUNTIFS(Targets!A:A, A115, Targets!H:H, "Transport sector mitigation target", Targets!J:J, "GHG") &gt; 0, "GHG target", IF(COUNTIFS(Targets!A:A, A115, Targets!H:H, "Transport sector mitigation target", Targets!J:J, "Non GHG") &gt; 0, "non-GHG target", ""))))</f>
        <v>No transport target</v>
      </c>
      <c r="M115" s="17" t="str">
        <f>IF(K115="no","No transport target",IF(L115="non-GHG target","No GHG transport target",IF(AND(COUNTIFS(Targets!A:A,A115,Targets!H:H,"Transport sector mitigation target",Targets!J:J,"GHG",Targets!L:L,"Conditional")&gt;0,COUNTIFS(Targets!A:A,A115,Targets!H:H,"Transport sector mitigation target",Targets!J:J,"GHG",Targets!L:L,"Unconditional")&gt;0),"GHG unconditional and conditional",IF(COUNTIFS(Targets!A:A,A115,Targets!H:H,"Transport sector mitigation target",Targets!J:J,"GHG",Targets!L:L,"Conditional")&gt;0,"GHG conditional only",IF(COUNTIFS(Targets!A:A,A115,Targets!H:H,"Transport sector mitigation target",Targets!J:J,"GHG",Targets!L:L,"Unconditional")&gt;0,"GHG unconditional only",IF(COUNTIFS(Targets!A:A,A115,Targets!H:H,"Transport sector mitigation target",Targets!J:J,"GHG",Targets!L:L,"Unclear conditionality")&gt;0,"Conditionality unclear",""))))))</f>
        <v>No transport target</v>
      </c>
      <c r="N115" s="17" t="str" cm="1">
        <f t="array" ref="N115">IF(ISNUMBER(MATCH("Transport sector adaptation target", _xlfn._xlws.FILTER(Targets!H:H, Targets!A:A =A115), 0)), "yes", "no")</f>
        <v>no</v>
      </c>
      <c r="O115" s="17" t="str">
        <f>IF(ISNA(MATCH(A115, Mitigation!A:A, 0)), "no", "yes")</f>
        <v>yes</v>
      </c>
      <c r="P115" s="17" t="str">
        <f>IF(ISNA(MATCH(A115, Adaptation!A:A, 0)), "no", "yes")</f>
        <v>yes</v>
      </c>
      <c r="Q115" s="17" t="str">
        <f>IF(ISNA(MATCH(A115, Benefits!A:A, 0)), "no", "yes")</f>
        <v>no</v>
      </c>
      <c r="R115" s="17"/>
      <c r="S115" s="17"/>
      <c r="T115" s="17" t="s">
        <v>501</v>
      </c>
      <c r="U115" s="135" t="s">
        <v>624</v>
      </c>
      <c r="V115" s="207" t="str">
        <f>VLOOKUP(Table1[[#This Row],[Country Code]],Table29[],3,FALSE)</f>
        <v>Non-Annex I</v>
      </c>
      <c r="W115" s="207" t="str">
        <f>VLOOKUP(Table1[[#This Row],[Country Code]],Table29[],4,FALSE)</f>
        <v>Asia</v>
      </c>
      <c r="X115" s="207" t="str">
        <f>VLOOKUP(Table1[[#This Row],[Country Code]],Table29[],5,FALSE)</f>
        <v>High-income</v>
      </c>
      <c r="Y115" s="17"/>
      <c r="Z115" s="17"/>
    </row>
    <row r="116" spans="1:26" ht="15" customHeight="1" x14ac:dyDescent="0.25">
      <c r="A116" s="405">
        <v>17785</v>
      </c>
      <c r="B116" s="20" t="s">
        <v>464</v>
      </c>
      <c r="C116" s="206" t="str">
        <f>VLOOKUP(Table1[[#This Row],[Country Code]],Table29[],2,FALSE)</f>
        <v>Viet Nam</v>
      </c>
      <c r="D116" s="243" t="str">
        <f t="shared" si="4"/>
        <v>Good</v>
      </c>
      <c r="E116" s="20" t="s">
        <v>71</v>
      </c>
      <c r="F116" s="17" t="s">
        <v>498</v>
      </c>
      <c r="G116" s="43" t="str">
        <f t="shared" si="5"/>
        <v>First NDC</v>
      </c>
      <c r="H116" s="17" t="s">
        <v>499</v>
      </c>
      <c r="I116" s="149">
        <v>42677</v>
      </c>
      <c r="J116" s="49" t="s">
        <v>500</v>
      </c>
      <c r="K116" s="49" t="str" cm="1">
        <f t="array" ref="K116">IF(ISNUMBER(MATCH("Transport sector mitigation target", _xlfn._xlws.FILTER(Targets!H:H, Targets!A:A =A116), 0)), "yes", "no")</f>
        <v>no</v>
      </c>
      <c r="L116" s="17" t="str">
        <f>IF(K116="no", "No transport target", IF(AND(COUNTIFS(Targets!A:A, A116, Targets!H:H, "Transport sector mitigation target", Targets!J:J, "GHG") &gt; 0, COUNTIFS(Targets!A:A, A116, Targets!H:H, "Transport sector mitigation target", Targets!J:J, "Non GHG") &gt; 0), "GHG and non-GHG target", IF(COUNTIFS(Targets!A:A, A116, Targets!H:H, "Transport sector mitigation target", Targets!J:J, "GHG") &gt; 0, "GHG target", IF(COUNTIFS(Targets!A:A, A116, Targets!H:H, "Transport sector mitigation target", Targets!J:J, "Non GHG") &gt; 0, "non-GHG target", ""))))</f>
        <v>No transport target</v>
      </c>
      <c r="M116" s="17" t="str">
        <f>IF(K116="no","No transport target",IF(L116="non-GHG target","No GHG transport target",IF(AND(COUNTIFS(Targets!A:A,A116,Targets!H:H,"Transport sector mitigation target",Targets!J:J,"GHG",Targets!L:L,"Conditional")&gt;0,COUNTIFS(Targets!A:A,A116,Targets!H:H,"Transport sector mitigation target",Targets!J:J,"GHG",Targets!L:L,"Unconditional")&gt;0),"GHG unconditional and conditional",IF(COUNTIFS(Targets!A:A,A116,Targets!H:H,"Transport sector mitigation target",Targets!J:J,"GHG",Targets!L:L,"Conditional")&gt;0,"GHG conditional only",IF(COUNTIFS(Targets!A:A,A116,Targets!H:H,"Transport sector mitigation target",Targets!J:J,"GHG",Targets!L:L,"Unconditional")&gt;0,"GHG unconditional only",IF(COUNTIFS(Targets!A:A,A116,Targets!H:H,"Transport sector mitigation target",Targets!J:J,"GHG",Targets!L:L,"Unclear conditionality")&gt;0,"Conditionality unclear",""))))))</f>
        <v>No transport target</v>
      </c>
      <c r="N116" s="17" t="str" cm="1">
        <f t="array" ref="N116">IF(ISNUMBER(MATCH("Transport sector adaptation target", _xlfn._xlws.FILTER(Targets!H:H, Targets!A:A =A116), 0)), "yes", "no")</f>
        <v>no</v>
      </c>
      <c r="O116" s="17" t="str">
        <f>IF(ISNA(MATCH(A116, Mitigation!A:A, 0)), "no", "yes")</f>
        <v>yes</v>
      </c>
      <c r="P116" s="17" t="str">
        <f>IF(ISNA(MATCH(A116, Adaptation!A:A, 0)), "no", "yes")</f>
        <v>no</v>
      </c>
      <c r="Q116" s="17" t="str">
        <f>IF(ISNA(MATCH(A116, Benefits!A:A, 0)), "no", "yes")</f>
        <v>no</v>
      </c>
      <c r="R116" s="17"/>
      <c r="S116" s="17"/>
      <c r="T116" s="17" t="s">
        <v>501</v>
      </c>
      <c r="U116" s="135" t="s">
        <v>625</v>
      </c>
      <c r="V116" s="207" t="str">
        <f>VLOOKUP(Table1[[#This Row],[Country Code]],Table29[],3,FALSE)</f>
        <v>Non-Annex I</v>
      </c>
      <c r="W116" s="207" t="str">
        <f>VLOOKUP(Table1[[#This Row],[Country Code]],Table29[],4,FALSE)</f>
        <v>Asia</v>
      </c>
      <c r="X116" s="207" t="str">
        <f>VLOOKUP(Table1[[#This Row],[Country Code]],Table29[],5,FALSE)</f>
        <v>Middle-income</v>
      </c>
      <c r="Y116" s="17"/>
      <c r="Z116" s="17"/>
    </row>
    <row r="117" spans="1:26" ht="15" customHeight="1" x14ac:dyDescent="0.25">
      <c r="A117" s="360">
        <v>17629</v>
      </c>
      <c r="B117" s="176" t="s">
        <v>247</v>
      </c>
      <c r="C117" s="243" t="str">
        <f>VLOOKUP(Table1[[#This Row],[Country Code]],Table29[],2,FALSE)</f>
        <v>Jordan</v>
      </c>
      <c r="D117" s="243" t="str">
        <f t="shared" si="4"/>
        <v>Good</v>
      </c>
      <c r="E117" s="176" t="s">
        <v>71</v>
      </c>
      <c r="F117" s="43" t="s">
        <v>498</v>
      </c>
      <c r="G117" s="43" t="str">
        <f t="shared" si="5"/>
        <v>First NDC</v>
      </c>
      <c r="H117" s="43" t="s">
        <v>499</v>
      </c>
      <c r="I117" s="351">
        <v>42678</v>
      </c>
      <c r="J117" s="320" t="s">
        <v>500</v>
      </c>
      <c r="K117" s="320" t="str" cm="1">
        <f t="array" ref="K117">IF(ISNUMBER(MATCH("Transport sector mitigation target", _xlfn._xlws.FILTER(Targets!H:H, Targets!A:A =A117), 0)), "yes", "no")</f>
        <v>yes</v>
      </c>
      <c r="L117" s="43" t="str">
        <f>IF(K117="no", "No transport target", IF(AND(COUNTIFS(Targets!A:A, A117, Targets!H:H, "Transport sector mitigation target", Targets!J:J, "GHG") &gt; 0, COUNTIFS(Targets!A:A, A117, Targets!H:H, "Transport sector mitigation target", Targets!J:J, "Non GHG") &gt; 0), "GHG and non-GHG target", IF(COUNTIFS(Targets!A:A, A117, Targets!H:H, "Transport sector mitigation target", Targets!J:J, "GHG") &gt; 0, "GHG target", IF(COUNTIFS(Targets!A:A, A117, Targets!H:H, "Transport sector mitigation target", Targets!J:J, "Non GHG") &gt; 0, "non-GHG target", ""))))</f>
        <v>non-GHG target</v>
      </c>
      <c r="M117" s="43" t="str">
        <f>IF(K117="no","No transport target",IF(L117="non-GHG target","No GHG transport target",IF(AND(COUNTIFS(Targets!A:A,A117,Targets!H:H,"Transport sector mitigation target",Targets!J:J,"GHG",Targets!L:L,"Conditional")&gt;0,COUNTIFS(Targets!A:A,A117,Targets!H:H,"Transport sector mitigation target",Targets!J:J,"GHG",Targets!L:L,"Unconditional")&gt;0),"GHG unconditional and conditional",IF(COUNTIFS(Targets!A:A,A117,Targets!H:H,"Transport sector mitigation target",Targets!J:J,"GHG",Targets!L:L,"Conditional")&gt;0,"GHG conditional only",IF(COUNTIFS(Targets!A:A,A117,Targets!H:H,"Transport sector mitigation target",Targets!J:J,"GHG",Targets!L:L,"Unconditional")&gt;0,"GHG unconditional only",IF(COUNTIFS(Targets!A:A,A117,Targets!H:H,"Transport sector mitigation target",Targets!J:J,"GHG",Targets!L:L,"Unclear conditionality")&gt;0,"Conditionality unclear",""))))))</f>
        <v>No GHG transport target</v>
      </c>
      <c r="N117" s="43" t="str" cm="1">
        <f t="array" ref="N117">IF(ISNUMBER(MATCH("Transport sector adaptation target", _xlfn._xlws.FILTER(Targets!H:H, Targets!A:A =A117), 0)), "yes", "no")</f>
        <v>no</v>
      </c>
      <c r="O117" s="43" t="str">
        <f>IF(ISNA(MATCH(A117, Mitigation!A:A, 0)), "no", "yes")</f>
        <v>yes</v>
      </c>
      <c r="P117" s="43" t="str">
        <f>IF(ISNA(MATCH(A117, Adaptation!A:A, 0)), "no", "yes")</f>
        <v>no</v>
      </c>
      <c r="Q117" s="43" t="str">
        <f>IF(ISNA(MATCH(A117, Benefits!A:A, 0)), "no", "yes")</f>
        <v>yes</v>
      </c>
      <c r="R117" s="43"/>
      <c r="S117" s="43"/>
      <c r="T117" s="43" t="s">
        <v>501</v>
      </c>
      <c r="U117" s="312" t="s">
        <v>626</v>
      </c>
      <c r="V117" s="233" t="str">
        <f>VLOOKUP(Table1[[#This Row],[Country Code]],Table29[],3,FALSE)</f>
        <v>Non-Annex I</v>
      </c>
      <c r="W117" s="233" t="str">
        <f>VLOOKUP(Table1[[#This Row],[Country Code]],Table29[],4,FALSE)</f>
        <v>Asia</v>
      </c>
      <c r="X117" s="233" t="str">
        <f>VLOOKUP(Table1[[#This Row],[Country Code]],Table29[],5,FALSE)</f>
        <v>Middle-income</v>
      </c>
      <c r="Y117" s="43"/>
      <c r="Z117" s="43"/>
    </row>
    <row r="118" spans="1:26" ht="15" customHeight="1" x14ac:dyDescent="0.25">
      <c r="A118" s="360">
        <v>17618</v>
      </c>
      <c r="B118" s="176" t="s">
        <v>230</v>
      </c>
      <c r="C118" s="243" t="str">
        <f>VLOOKUP(Table1[[#This Row],[Country Code]],Table29[],2,FALSE)</f>
        <v>Indonesia</v>
      </c>
      <c r="D118" s="243" t="str">
        <f t="shared" si="4"/>
        <v>Good</v>
      </c>
      <c r="E118" s="176" t="s">
        <v>71</v>
      </c>
      <c r="F118" s="43" t="s">
        <v>498</v>
      </c>
      <c r="G118" s="43" t="str">
        <f t="shared" si="5"/>
        <v>First NDC</v>
      </c>
      <c r="H118" s="43" t="s">
        <v>499</v>
      </c>
      <c r="I118" s="351">
        <v>42680</v>
      </c>
      <c r="J118" s="320" t="s">
        <v>500</v>
      </c>
      <c r="K118" s="320" t="str" cm="1">
        <f t="array" ref="K118">IF(ISNUMBER(MATCH("Transport sector mitigation target", _xlfn._xlws.FILTER(Targets!H:H, Targets!A:A =A118), 0)), "yes", "no")</f>
        <v>no</v>
      </c>
      <c r="L118" s="43" t="str">
        <f>IF(K118="no", "No transport target", IF(AND(COUNTIFS(Targets!A:A, A118, Targets!H:H, "Transport sector mitigation target", Targets!J:J, "GHG") &gt; 0, COUNTIFS(Targets!A:A, A118, Targets!H:H, "Transport sector mitigation target", Targets!J:J, "Non GHG") &gt; 0), "GHG and non-GHG target", IF(COUNTIFS(Targets!A:A, A118, Targets!H:H, "Transport sector mitigation target", Targets!J:J, "GHG") &gt; 0, "GHG target", IF(COUNTIFS(Targets!A:A, A118, Targets!H:H, "Transport sector mitigation target", Targets!J:J, "Non GHG") &gt; 0, "non-GHG target", ""))))</f>
        <v>No transport target</v>
      </c>
      <c r="M118" s="43" t="str">
        <f>IF(K118="no","No transport target",IF(L118="non-GHG target","No GHG transport target",IF(AND(COUNTIFS(Targets!A:A,A118,Targets!H:H,"Transport sector mitigation target",Targets!J:J,"GHG",Targets!L:L,"Conditional")&gt;0,COUNTIFS(Targets!A:A,A118,Targets!H:H,"Transport sector mitigation target",Targets!J:J,"GHG",Targets!L:L,"Unconditional")&gt;0),"GHG unconditional and conditional",IF(COUNTIFS(Targets!A:A,A118,Targets!H:H,"Transport sector mitigation target",Targets!J:J,"GHG",Targets!L:L,"Conditional")&gt;0,"GHG conditional only",IF(COUNTIFS(Targets!A:A,A118,Targets!H:H,"Transport sector mitigation target",Targets!J:J,"GHG",Targets!L:L,"Unconditional")&gt;0,"GHG unconditional only",IF(COUNTIFS(Targets!A:A,A118,Targets!H:H,"Transport sector mitigation target",Targets!J:J,"GHG",Targets!L:L,"Unclear conditionality")&gt;0,"Conditionality unclear",""))))))</f>
        <v>No transport target</v>
      </c>
      <c r="N118" s="43" t="str" cm="1">
        <f t="array" ref="N118">IF(ISNUMBER(MATCH("Transport sector adaptation target", _xlfn._xlws.FILTER(Targets!H:H, Targets!A:A =A118), 0)), "yes", "no")</f>
        <v>no</v>
      </c>
      <c r="O118" s="43" t="str">
        <f>IF(ISNA(MATCH(A118, Mitigation!A:A, 0)), "no", "yes")</f>
        <v>yes</v>
      </c>
      <c r="P118" s="43" t="str">
        <f>IF(ISNA(MATCH(A118, Adaptation!A:A, 0)), "no", "yes")</f>
        <v>no</v>
      </c>
      <c r="Q118" s="43" t="str">
        <f>IF(ISNA(MATCH(A118, Benefits!A:A, 0)), "no", "yes")</f>
        <v>no</v>
      </c>
      <c r="R118" s="43"/>
      <c r="S118" s="43"/>
      <c r="T118" s="43" t="s">
        <v>501</v>
      </c>
      <c r="U118" s="312" t="s">
        <v>627</v>
      </c>
      <c r="V118" s="233" t="str">
        <f>VLOOKUP(Table1[[#This Row],[Country Code]],Table29[],3,FALSE)</f>
        <v>Non-Annex I</v>
      </c>
      <c r="W118" s="233" t="str">
        <f>VLOOKUP(Table1[[#This Row],[Country Code]],Table29[],4,FALSE)</f>
        <v>Asia</v>
      </c>
      <c r="X118" s="233" t="str">
        <f>VLOOKUP(Table1[[#This Row],[Country Code]],Table29[],5,FALSE)</f>
        <v>Middle-income</v>
      </c>
      <c r="Y118" s="43"/>
      <c r="Z118" s="43"/>
    </row>
    <row r="119" spans="1:26" ht="15" customHeight="1" x14ac:dyDescent="0.25">
      <c r="A119" s="360">
        <v>17745</v>
      </c>
      <c r="B119" s="176" t="s">
        <v>410</v>
      </c>
      <c r="C119" s="243" t="str">
        <f>VLOOKUP(Table1[[#This Row],[Country Code]],Table29[],2,FALSE)</f>
        <v>Sri Lanka</v>
      </c>
      <c r="D119" s="243" t="str">
        <f t="shared" si="4"/>
        <v>Good</v>
      </c>
      <c r="E119" s="176" t="s">
        <v>71</v>
      </c>
      <c r="F119" s="43" t="s">
        <v>498</v>
      </c>
      <c r="G119" s="43" t="str">
        <f t="shared" si="5"/>
        <v>First NDC</v>
      </c>
      <c r="H119" s="43" t="s">
        <v>499</v>
      </c>
      <c r="I119" s="351">
        <v>42680</v>
      </c>
      <c r="J119" s="320" t="s">
        <v>500</v>
      </c>
      <c r="K119" s="320" t="str" cm="1">
        <f t="array" ref="K119">IF(ISNUMBER(MATCH("Transport sector mitigation target", _xlfn._xlws.FILTER(Targets!H:H, Targets!A:A =A119), 0)), "yes", "no")</f>
        <v>yes</v>
      </c>
      <c r="L119" s="43" t="str">
        <f>IF(K119="no", "No transport target", IF(AND(COUNTIFS(Targets!A:A, A119, Targets!H:H, "Transport sector mitigation target", Targets!J:J, "GHG") &gt; 0, COUNTIFS(Targets!A:A, A119, Targets!H:H, "Transport sector mitigation target", Targets!J:J, "Non GHG") &gt; 0), "GHG and non-GHG target", IF(COUNTIFS(Targets!A:A, A119, Targets!H:H, "Transport sector mitigation target", Targets!J:J, "GHG") &gt; 0, "GHG target", IF(COUNTIFS(Targets!A:A, A119, Targets!H:H, "Transport sector mitigation target", Targets!J:J, "Non GHG") &gt; 0, "non-GHG target", ""))))</f>
        <v>GHG and non-GHG target</v>
      </c>
      <c r="M119" s="43" t="str">
        <f>IF(K119="no","No transport target",IF(L119="non-GHG target","No GHG transport target",IF(AND(COUNTIFS(Targets!A:A,A119,Targets!H:H,"Transport sector mitigation target",Targets!J:J,"GHG",Targets!L:L,"Conditional")&gt;0,COUNTIFS(Targets!A:A,A119,Targets!H:H,"Transport sector mitigation target",Targets!J:J,"GHG",Targets!L:L,"Unconditional")&gt;0),"GHG unconditional and conditional",IF(COUNTIFS(Targets!A:A,A119,Targets!H:H,"Transport sector mitigation target",Targets!J:J,"GHG",Targets!L:L,"Conditional")&gt;0,"GHG conditional only",IF(COUNTIFS(Targets!A:A,A119,Targets!H:H,"Transport sector mitigation target",Targets!J:J,"GHG",Targets!L:L,"Unconditional")&gt;0,"GHG unconditional only",IF(COUNTIFS(Targets!A:A,A119,Targets!H:H,"Transport sector mitigation target",Targets!J:J,"GHG",Targets!L:L,"Unclear conditionality")&gt;0,"Conditionality unclear",""))))))</f>
        <v>GHG unconditional and conditional</v>
      </c>
      <c r="N119" s="43" t="str" cm="1">
        <f t="array" ref="N119">IF(ISNUMBER(MATCH("Transport sector adaptation target", _xlfn._xlws.FILTER(Targets!H:H, Targets!A:A =A119), 0)), "yes", "no")</f>
        <v>no</v>
      </c>
      <c r="O119" s="43" t="str">
        <f>IF(ISNA(MATCH(A119, Mitigation!A:A, 0)), "no", "yes")</f>
        <v>yes</v>
      </c>
      <c r="P119" s="43" t="str">
        <f>IF(ISNA(MATCH(A119, Adaptation!A:A, 0)), "no", "yes")</f>
        <v>no</v>
      </c>
      <c r="Q119" s="43" t="str">
        <f>IF(ISNA(MATCH(A119, Benefits!A:A, 0)), "no", "yes")</f>
        <v>no</v>
      </c>
      <c r="R119" s="43"/>
      <c r="S119" s="43"/>
      <c r="T119" s="43" t="s">
        <v>501</v>
      </c>
      <c r="U119" s="312" t="s">
        <v>628</v>
      </c>
      <c r="V119" s="233" t="str">
        <f>VLOOKUP(Table1[[#This Row],[Country Code]],Table29[],3,FALSE)</f>
        <v>Non-Annex I</v>
      </c>
      <c r="W119" s="233" t="str">
        <f>VLOOKUP(Table1[[#This Row],[Country Code]],Table29[],4,FALSE)</f>
        <v>Asia</v>
      </c>
      <c r="X119" s="233" t="str">
        <f>VLOOKUP(Table1[[#This Row],[Country Code]],Table29[],5,FALSE)</f>
        <v>Middle-income</v>
      </c>
      <c r="Y119" s="43"/>
      <c r="Z119" s="43"/>
    </row>
    <row r="120" spans="1:26" ht="15" customHeight="1" x14ac:dyDescent="0.25">
      <c r="A120" s="360">
        <v>17600</v>
      </c>
      <c r="B120" s="176" t="s">
        <v>199</v>
      </c>
      <c r="C120" s="243" t="str">
        <f>VLOOKUP(Table1[[#This Row],[Country Code]],Table29[],2,FALSE)</f>
        <v>Gambia (Republic of The)</v>
      </c>
      <c r="D120" s="243" t="str">
        <f t="shared" si="4"/>
        <v>Good</v>
      </c>
      <c r="E120" s="176" t="s">
        <v>71</v>
      </c>
      <c r="F120" s="43" t="s">
        <v>498</v>
      </c>
      <c r="G120" s="43" t="str">
        <f t="shared" si="5"/>
        <v>First NDC</v>
      </c>
      <c r="H120" s="43" t="s">
        <v>499</v>
      </c>
      <c r="I120" s="351">
        <v>42681</v>
      </c>
      <c r="J120" s="320" t="s">
        <v>500</v>
      </c>
      <c r="K120" s="320" t="str" cm="1">
        <f t="array" ref="K120">IF(ISNUMBER(MATCH("Transport sector mitigation target", _xlfn._xlws.FILTER(Targets!H:H, Targets!A:A =A120), 0)), "yes", "no")</f>
        <v>yes</v>
      </c>
      <c r="L120" s="43" t="str">
        <f>IF(K120="no", "No transport target", IF(AND(COUNTIFS(Targets!A:A, A120, Targets!H:H, "Transport sector mitigation target", Targets!J:J, "GHG") &gt; 0, COUNTIFS(Targets!A:A, A120, Targets!H:H, "Transport sector mitigation target", Targets!J:J, "Non GHG") &gt; 0), "GHG and non-GHG target", IF(COUNTIFS(Targets!A:A, A120, Targets!H:H, "Transport sector mitigation target", Targets!J:J, "GHG") &gt; 0, "GHG target", IF(COUNTIFS(Targets!A:A, A120, Targets!H:H, "Transport sector mitigation target", Targets!J:J, "Non GHG") &gt; 0, "non-GHG target", ""))))</f>
        <v>GHG target</v>
      </c>
      <c r="M120" s="43" t="str">
        <f>IF(K120="no","No transport target",IF(L120="non-GHG target","No GHG transport target",IF(AND(COUNTIFS(Targets!A:A,A120,Targets!H:H,"Transport sector mitigation target",Targets!J:J,"GHG",Targets!L:L,"Conditional")&gt;0,COUNTIFS(Targets!A:A,A120,Targets!H:H,"Transport sector mitigation target",Targets!J:J,"GHG",Targets!L:L,"Unconditional")&gt;0),"GHG unconditional and conditional",IF(COUNTIFS(Targets!A:A,A120,Targets!H:H,"Transport sector mitigation target",Targets!J:J,"GHG",Targets!L:L,"Conditional")&gt;0,"GHG conditional only",IF(COUNTIFS(Targets!A:A,A120,Targets!H:H,"Transport sector mitigation target",Targets!J:J,"GHG",Targets!L:L,"Unconditional")&gt;0,"GHG unconditional only",IF(COUNTIFS(Targets!A:A,A120,Targets!H:H,"Transport sector mitigation target",Targets!J:J,"GHG",Targets!L:L,"Unclear conditionality")&gt;0,"Conditionality unclear",""))))))</f>
        <v>GHG conditional only</v>
      </c>
      <c r="N120" s="43" t="str" cm="1">
        <f t="array" ref="N120">IF(ISNUMBER(MATCH("Transport sector adaptation target", _xlfn._xlws.FILTER(Targets!H:H, Targets!A:A =A120), 0)), "yes", "no")</f>
        <v>no</v>
      </c>
      <c r="O120" s="43" t="str">
        <f>IF(ISNA(MATCH(A120, Mitigation!A:A, 0)), "no", "yes")</f>
        <v>no</v>
      </c>
      <c r="P120" s="43" t="str">
        <f>IF(ISNA(MATCH(A120, Adaptation!A:A, 0)), "no", "yes")</f>
        <v>yes</v>
      </c>
      <c r="Q120" s="43" t="str">
        <f>IF(ISNA(MATCH(A120, Benefits!A:A, 0)), "no", "yes")</f>
        <v>no</v>
      </c>
      <c r="R120" s="43"/>
      <c r="S120" s="43"/>
      <c r="T120" s="43" t="s">
        <v>501</v>
      </c>
      <c r="U120" s="363" t="s">
        <v>629</v>
      </c>
      <c r="V120" s="233" t="str">
        <f>VLOOKUP(Table1[[#This Row],[Country Code]],Table29[],3,FALSE)</f>
        <v>Non-Annex I</v>
      </c>
      <c r="W120" s="233" t="str">
        <f>VLOOKUP(Table1[[#This Row],[Country Code]],Table29[],4,FALSE)</f>
        <v>Africa</v>
      </c>
      <c r="X120" s="233" t="str">
        <f>VLOOKUP(Table1[[#This Row],[Country Code]],Table29[],5,FALSE)</f>
        <v>Low-income</v>
      </c>
      <c r="Y120" s="43"/>
      <c r="Z120" s="43"/>
    </row>
    <row r="121" spans="1:26" ht="15" customHeight="1" x14ac:dyDescent="0.25">
      <c r="A121" s="360">
        <v>17626</v>
      </c>
      <c r="B121" s="176" t="s">
        <v>245</v>
      </c>
      <c r="C121" s="243" t="str">
        <f>VLOOKUP(Table1[[#This Row],[Country Code]],Table29[],2,FALSE)</f>
        <v>Japan</v>
      </c>
      <c r="D121" s="243" t="str">
        <f t="shared" si="4"/>
        <v>Good</v>
      </c>
      <c r="E121" s="176" t="s">
        <v>71</v>
      </c>
      <c r="F121" s="43" t="s">
        <v>498</v>
      </c>
      <c r="G121" s="43" t="str">
        <f t="shared" si="5"/>
        <v>First NDC</v>
      </c>
      <c r="H121" s="43" t="s">
        <v>499</v>
      </c>
      <c r="I121" s="351">
        <v>42682</v>
      </c>
      <c r="J121" s="320" t="s">
        <v>500</v>
      </c>
      <c r="K121" s="320" t="str" cm="1">
        <f t="array" ref="K121">IF(ISNUMBER(MATCH("Transport sector mitigation target", _xlfn._xlws.FILTER(Targets!H:H, Targets!A:A =A121), 0)), "yes", "no")</f>
        <v>yes</v>
      </c>
      <c r="L121" s="43" t="str">
        <f>IF(K121="no", "No transport target", IF(AND(COUNTIFS(Targets!A:A, A121, Targets!H:H, "Transport sector mitigation target", Targets!J:J, "GHG") &gt; 0, COUNTIFS(Targets!A:A, A121, Targets!H:H, "Transport sector mitigation target", Targets!J:J, "Non GHG") &gt; 0), "GHG and non-GHG target", IF(COUNTIFS(Targets!A:A, A121, Targets!H:H, "Transport sector mitigation target", Targets!J:J, "GHG") &gt; 0, "GHG target", IF(COUNTIFS(Targets!A:A, A121, Targets!H:H, "Transport sector mitigation target", Targets!J:J, "Non GHG") &gt; 0, "non-GHG target", ""))))</f>
        <v>GHG target</v>
      </c>
      <c r="M121" s="43" t="str">
        <f>IF(K121="no","No transport target",IF(L121="non-GHG target","No GHG transport target",IF(AND(COUNTIFS(Targets!A:A,A121,Targets!H:H,"Transport sector mitigation target",Targets!J:J,"GHG",Targets!L:L,"Conditional")&gt;0,COUNTIFS(Targets!A:A,A121,Targets!H:H,"Transport sector mitigation target",Targets!J:J,"GHG",Targets!L:L,"Unconditional")&gt;0),"GHG unconditional and conditional",IF(COUNTIFS(Targets!A:A,A121,Targets!H:H,"Transport sector mitigation target",Targets!J:J,"GHG",Targets!L:L,"Conditional")&gt;0,"GHG conditional only",IF(COUNTIFS(Targets!A:A,A121,Targets!H:H,"Transport sector mitigation target",Targets!J:J,"GHG",Targets!L:L,"Unconditional")&gt;0,"GHG unconditional only",IF(COUNTIFS(Targets!A:A,A121,Targets!H:H,"Transport sector mitigation target",Targets!J:J,"GHG",Targets!L:L,"Unclear conditionality")&gt;0,"Conditionality unclear",""))))))</f>
        <v>GHG unconditional only</v>
      </c>
      <c r="N121" s="43" t="str" cm="1">
        <f t="array" ref="N121">IF(ISNUMBER(MATCH("Transport sector adaptation target", _xlfn._xlws.FILTER(Targets!H:H, Targets!A:A =A121), 0)), "yes", "no")</f>
        <v>no</v>
      </c>
      <c r="O121" s="43" t="str">
        <f>IF(ISNA(MATCH(A121, Mitigation!A:A, 0)), "no", "yes")</f>
        <v>yes</v>
      </c>
      <c r="P121" s="43" t="str">
        <f>IF(ISNA(MATCH(A121, Adaptation!A:A, 0)), "no", "yes")</f>
        <v>no</v>
      </c>
      <c r="Q121" s="43" t="str">
        <f>IF(ISNA(MATCH(A121, Benefits!A:A, 0)), "no", "yes")</f>
        <v>no</v>
      </c>
      <c r="R121" s="43"/>
      <c r="S121" s="43"/>
      <c r="T121" s="43" t="s">
        <v>501</v>
      </c>
      <c r="U121" s="312" t="s">
        <v>630</v>
      </c>
      <c r="V121" s="233" t="str">
        <f>VLOOKUP(Table1[[#This Row],[Country Code]],Table29[],3,FALSE)</f>
        <v>Annex I</v>
      </c>
      <c r="W121" s="233" t="str">
        <f>VLOOKUP(Table1[[#This Row],[Country Code]],Table29[],4,FALSE)</f>
        <v>Asia</v>
      </c>
      <c r="X121" s="233" t="str">
        <f>VLOOKUP(Table1[[#This Row],[Country Code]],Table29[],5,FALSE)</f>
        <v>High-income</v>
      </c>
      <c r="Y121" s="43"/>
      <c r="Z121" s="43"/>
    </row>
    <row r="122" spans="1:26" ht="15" customHeight="1" x14ac:dyDescent="0.25">
      <c r="A122" s="360">
        <v>17517</v>
      </c>
      <c r="B122" s="176" t="s">
        <v>76</v>
      </c>
      <c r="C122" s="243" t="str">
        <f>VLOOKUP(Table1[[#This Row],[Country Code]],Table29[],2,FALSE)</f>
        <v>Australia</v>
      </c>
      <c r="D122" s="243" t="str">
        <f t="shared" si="4"/>
        <v>Good</v>
      </c>
      <c r="E122" s="176" t="s">
        <v>71</v>
      </c>
      <c r="F122" s="43" t="s">
        <v>498</v>
      </c>
      <c r="G122" s="43" t="str">
        <f t="shared" si="5"/>
        <v>First NDC</v>
      </c>
      <c r="H122" s="43" t="s">
        <v>499</v>
      </c>
      <c r="I122" s="351">
        <v>42683</v>
      </c>
      <c r="J122" s="320" t="s">
        <v>500</v>
      </c>
      <c r="K122" s="320" t="str" cm="1">
        <f t="array" ref="K122">IF(ISNUMBER(MATCH("Transport sector mitigation target", _xlfn._xlws.FILTER(Targets!H:H, Targets!A:A =A122), 0)), "yes", "no")</f>
        <v>no</v>
      </c>
      <c r="L122" s="43" t="str">
        <f>IF(K122="no", "No transport target", IF(AND(COUNTIFS(Targets!A:A, A122, Targets!H:H, "Transport sector mitigation target", Targets!J:J, "GHG") &gt; 0, COUNTIFS(Targets!A:A, A122, Targets!H:H, "Transport sector mitigation target", Targets!J:J, "Non GHG") &gt; 0), "GHG and non-GHG target", IF(COUNTIFS(Targets!A:A, A122, Targets!H:H, "Transport sector mitigation target", Targets!J:J, "GHG") &gt; 0, "GHG target", IF(COUNTIFS(Targets!A:A, A122, Targets!H:H, "Transport sector mitigation target", Targets!J:J, "Non GHG") &gt; 0, "non-GHG target", ""))))</f>
        <v>No transport target</v>
      </c>
      <c r="M122" s="43" t="str">
        <f>IF(K122="no","No transport target",IF(L122="non-GHG target","No GHG transport target",IF(AND(COUNTIFS(Targets!A:A,A122,Targets!H:H,"Transport sector mitigation target",Targets!J:J,"GHG",Targets!L:L,"Conditional")&gt;0,COUNTIFS(Targets!A:A,A122,Targets!H:H,"Transport sector mitigation target",Targets!J:J,"GHG",Targets!L:L,"Unconditional")&gt;0),"GHG unconditional and conditional",IF(COUNTIFS(Targets!A:A,A122,Targets!H:H,"Transport sector mitigation target",Targets!J:J,"GHG",Targets!L:L,"Conditional")&gt;0,"GHG conditional only",IF(COUNTIFS(Targets!A:A,A122,Targets!H:H,"Transport sector mitigation target",Targets!J:J,"GHG",Targets!L:L,"Unconditional")&gt;0,"GHG unconditional only",IF(COUNTIFS(Targets!A:A,A122,Targets!H:H,"Transport sector mitigation target",Targets!J:J,"GHG",Targets!L:L,"Unclear conditionality")&gt;0,"Conditionality unclear",""))))))</f>
        <v>No transport target</v>
      </c>
      <c r="N122" s="43" t="str" cm="1">
        <f t="array" ref="N122">IF(ISNUMBER(MATCH("Transport sector adaptation target", _xlfn._xlws.FILTER(Targets!H:H, Targets!A:A =A122), 0)), "yes", "no")</f>
        <v>no</v>
      </c>
      <c r="O122" s="43" t="str">
        <f>IF(ISNA(MATCH(A122, Mitigation!A:A, 0)), "no", "yes")</f>
        <v>yes</v>
      </c>
      <c r="P122" s="43" t="str">
        <f>IF(ISNA(MATCH(A122, Adaptation!A:A, 0)), "no", "yes")</f>
        <v>no</v>
      </c>
      <c r="Q122" s="43" t="str">
        <f>IF(ISNA(MATCH(A122, Benefits!A:A, 0)), "no", "yes")</f>
        <v>no</v>
      </c>
      <c r="R122" s="43"/>
      <c r="S122" s="43"/>
      <c r="T122" s="43" t="s">
        <v>501</v>
      </c>
      <c r="U122" s="312" t="s">
        <v>631</v>
      </c>
      <c r="V122" s="233" t="str">
        <f>VLOOKUP(Table1[[#This Row],[Country Code]],Table29[],3,FALSE)</f>
        <v>Annex I</v>
      </c>
      <c r="W122" s="233" t="str">
        <f>VLOOKUP(Table1[[#This Row],[Country Code]],Table29[],4,FALSE)</f>
        <v>Oceania</v>
      </c>
      <c r="X122" s="233" t="str">
        <f>VLOOKUP(Table1[[#This Row],[Country Code]],Table29[],5,FALSE)</f>
        <v>High-income</v>
      </c>
      <c r="Y122" s="43"/>
      <c r="Z122" s="43"/>
    </row>
    <row r="123" spans="1:26" ht="15" customHeight="1" x14ac:dyDescent="0.25">
      <c r="A123" s="360">
        <v>17690</v>
      </c>
      <c r="B123" s="20" t="s">
        <v>338</v>
      </c>
      <c r="C123" s="206" t="str">
        <f>VLOOKUP(Table1[[#This Row],[Country Code]],Table29[],2,FALSE)</f>
        <v>Pakistan</v>
      </c>
      <c r="D123" s="243" t="str">
        <f t="shared" si="4"/>
        <v>Good</v>
      </c>
      <c r="E123" s="20" t="s">
        <v>71</v>
      </c>
      <c r="F123" s="17" t="s">
        <v>498</v>
      </c>
      <c r="G123" s="43" t="str">
        <f t="shared" si="5"/>
        <v>First NDC</v>
      </c>
      <c r="H123" s="17" t="s">
        <v>499</v>
      </c>
      <c r="I123" s="149">
        <v>42684</v>
      </c>
      <c r="J123" s="49" t="s">
        <v>500</v>
      </c>
      <c r="K123" s="49" t="str" cm="1">
        <f t="array" ref="K123">IF(ISNUMBER(MATCH("Transport sector mitigation target", _xlfn._xlws.FILTER(Targets!H:H, Targets!A:A =A123), 0)), "yes", "no")</f>
        <v>no</v>
      </c>
      <c r="L123" s="17" t="str">
        <f>IF(K123="no", "No transport target", IF(AND(COUNTIFS(Targets!A:A, A123, Targets!H:H, "Transport sector mitigation target", Targets!J:J, "GHG") &gt; 0, COUNTIFS(Targets!A:A, A123, Targets!H:H, "Transport sector mitigation target", Targets!J:J, "Non GHG") &gt; 0), "GHG and non-GHG target", IF(COUNTIFS(Targets!A:A, A123, Targets!H:H, "Transport sector mitigation target", Targets!J:J, "GHG") &gt; 0, "GHG target", IF(COUNTIFS(Targets!A:A, A123, Targets!H:H, "Transport sector mitigation target", Targets!J:J, "Non GHG") &gt; 0, "non-GHG target", ""))))</f>
        <v>No transport target</v>
      </c>
      <c r="M123" s="17" t="str">
        <f>IF(K123="no","No transport target",IF(L123="non-GHG target","No GHG transport target",IF(AND(COUNTIFS(Targets!A:A,A123,Targets!H:H,"Transport sector mitigation target",Targets!J:J,"GHG",Targets!L:L,"Conditional")&gt;0,COUNTIFS(Targets!A:A,A123,Targets!H:H,"Transport sector mitigation target",Targets!J:J,"GHG",Targets!L:L,"Unconditional")&gt;0),"GHG unconditional and conditional",IF(COUNTIFS(Targets!A:A,A123,Targets!H:H,"Transport sector mitigation target",Targets!J:J,"GHG",Targets!L:L,"Conditional")&gt;0,"GHG conditional only",IF(COUNTIFS(Targets!A:A,A123,Targets!H:H,"Transport sector mitigation target",Targets!J:J,"GHG",Targets!L:L,"Unconditional")&gt;0,"GHG unconditional only",IF(COUNTIFS(Targets!A:A,A123,Targets!H:H,"Transport sector mitigation target",Targets!J:J,"GHG",Targets!L:L,"Unclear conditionality")&gt;0,"Conditionality unclear",""))))))</f>
        <v>No transport target</v>
      </c>
      <c r="N123" s="17" t="str" cm="1">
        <f t="array" ref="N123">IF(ISNUMBER(MATCH("Transport sector adaptation target", _xlfn._xlws.FILTER(Targets!H:H, Targets!A:A =A123), 0)), "yes", "no")</f>
        <v>no</v>
      </c>
      <c r="O123" s="17" t="str">
        <f>IF(ISNA(MATCH(A123, Mitigation!A:A, 0)), "no", "yes")</f>
        <v>yes</v>
      </c>
      <c r="P123" s="17" t="str">
        <f>IF(ISNA(MATCH(A123, Adaptation!A:A, 0)), "no", "yes")</f>
        <v>yes</v>
      </c>
      <c r="Q123" s="17" t="str">
        <f>IF(ISNA(MATCH(A123, Benefits!A:A, 0)), "no", "yes")</f>
        <v>no</v>
      </c>
      <c r="R123" s="17"/>
      <c r="S123" s="17"/>
      <c r="T123" s="17" t="s">
        <v>501</v>
      </c>
      <c r="U123" s="135" t="s">
        <v>632</v>
      </c>
      <c r="V123" s="207" t="str">
        <f>VLOOKUP(Table1[[#This Row],[Country Code]],Table29[],3,FALSE)</f>
        <v>Non-Annex I</v>
      </c>
      <c r="W123" s="207" t="str">
        <f>VLOOKUP(Table1[[#This Row],[Country Code]],Table29[],4,FALSE)</f>
        <v>Asia</v>
      </c>
      <c r="X123" s="207" t="str">
        <f>VLOOKUP(Table1[[#This Row],[Country Code]],Table29[],5,FALSE)</f>
        <v>Middle-income</v>
      </c>
      <c r="Y123" s="17"/>
      <c r="Z123" s="17"/>
    </row>
    <row r="124" spans="1:26" ht="15" customHeight="1" x14ac:dyDescent="0.25">
      <c r="A124" s="360">
        <v>17537</v>
      </c>
      <c r="B124" s="176" t="s">
        <v>109</v>
      </c>
      <c r="C124" s="243" t="str">
        <f>VLOOKUP(Table1[[#This Row],[Country Code]],Table29[],2,FALSE)</f>
        <v>Botswana</v>
      </c>
      <c r="D124" s="243" t="str">
        <f t="shared" si="4"/>
        <v>Good</v>
      </c>
      <c r="E124" s="176" t="s">
        <v>71</v>
      </c>
      <c r="F124" s="43" t="s">
        <v>498</v>
      </c>
      <c r="G124" s="43" t="str">
        <f t="shared" si="5"/>
        <v>First NDC</v>
      </c>
      <c r="H124" s="43" t="s">
        <v>499</v>
      </c>
      <c r="I124" s="351">
        <v>42685</v>
      </c>
      <c r="J124" s="352" t="s">
        <v>500</v>
      </c>
      <c r="K124" s="320" t="str" cm="1">
        <f t="array" ref="K124">IF(ISNUMBER(MATCH("Transport sector mitigation target", _xlfn._xlws.FILTER(Targets!H:H, Targets!A:A =A124), 0)), "yes", "no")</f>
        <v>no</v>
      </c>
      <c r="L124" s="43" t="str">
        <f>IF(K124="no", "No transport target", IF(AND(COUNTIFS(Targets!A:A, A124, Targets!H:H, "Transport sector mitigation target", Targets!J:J, "GHG") &gt; 0, COUNTIFS(Targets!A:A, A124, Targets!H:H, "Transport sector mitigation target", Targets!J:J, "Non GHG") &gt; 0), "GHG and non-GHG target", IF(COUNTIFS(Targets!A:A, A124, Targets!H:H, "Transport sector mitigation target", Targets!J:J, "GHG") &gt; 0, "GHG target", IF(COUNTIFS(Targets!A:A, A124, Targets!H:H, "Transport sector mitigation target", Targets!J:J, "Non GHG") &gt; 0, "non-GHG target", ""))))</f>
        <v>No transport target</v>
      </c>
      <c r="M124" s="43" t="str">
        <f>IF(K124="no","No transport target",IF(L124="non-GHG target","No GHG transport target",IF(AND(COUNTIFS(Targets!A:A,A124,Targets!H:H,"Transport sector mitigation target",Targets!J:J,"GHG",Targets!L:L,"Conditional")&gt;0,COUNTIFS(Targets!A:A,A124,Targets!H:H,"Transport sector mitigation target",Targets!J:J,"GHG",Targets!L:L,"Unconditional")&gt;0),"GHG unconditional and conditional",IF(COUNTIFS(Targets!A:A,A124,Targets!H:H,"Transport sector mitigation target",Targets!J:J,"GHG",Targets!L:L,"Conditional")&gt;0,"GHG conditional only",IF(COUNTIFS(Targets!A:A,A124,Targets!H:H,"Transport sector mitigation target",Targets!J:J,"GHG",Targets!L:L,"Unconditional")&gt;0,"GHG unconditional only",IF(COUNTIFS(Targets!A:A,A124,Targets!H:H,"Transport sector mitigation target",Targets!J:J,"GHG",Targets!L:L,"Unclear conditionality")&gt;0,"Conditionality unclear",""))))))</f>
        <v>No transport target</v>
      </c>
      <c r="N124" s="43" t="str" cm="1">
        <f t="array" ref="N124">IF(ISNUMBER(MATCH("Transport sector adaptation target", _xlfn._xlws.FILTER(Targets!H:H, Targets!A:A =A124), 0)), "yes", "no")</f>
        <v>no</v>
      </c>
      <c r="O124" s="43" t="str">
        <f>IF(ISNA(MATCH(A124, Mitigation!A:A, 0)), "no", "yes")</f>
        <v>no</v>
      </c>
      <c r="P124" s="43" t="str">
        <f>IF(ISNA(MATCH(A124, Adaptation!A:A, 0)), "no", "yes")</f>
        <v>no</v>
      </c>
      <c r="Q124" s="43" t="str">
        <f>IF(ISNA(MATCH(A124, Benefits!A:A, 0)), "no", "yes")</f>
        <v>no</v>
      </c>
      <c r="R124" s="43"/>
      <c r="S124" s="43"/>
      <c r="T124" s="43" t="s">
        <v>501</v>
      </c>
      <c r="U124" s="312" t="s">
        <v>633</v>
      </c>
      <c r="V124" s="233" t="str">
        <f>VLOOKUP(Table1[[#This Row],[Country Code]],Table29[],3,FALSE)</f>
        <v>Non-Annex I</v>
      </c>
      <c r="W124" s="233" t="str">
        <f>VLOOKUP(Table1[[#This Row],[Country Code]],Table29[],4,FALSE)</f>
        <v>Africa</v>
      </c>
      <c r="X124" s="233" t="str">
        <f>VLOOKUP(Table1[[#This Row],[Country Code]],Table29[],5,FALSE)</f>
        <v>Middle-income</v>
      </c>
      <c r="Y124" s="43"/>
      <c r="Z124" s="43"/>
    </row>
    <row r="125" spans="1:26" ht="15" customHeight="1" x14ac:dyDescent="0.25">
      <c r="A125" s="360">
        <v>17577</v>
      </c>
      <c r="B125" s="176" t="s">
        <v>166</v>
      </c>
      <c r="C125" s="243" t="str">
        <f>VLOOKUP(Table1[[#This Row],[Country Code]],Table29[],2,FALSE)</f>
        <v>Djibouti</v>
      </c>
      <c r="D125" s="243" t="str">
        <f t="shared" si="4"/>
        <v>Good</v>
      </c>
      <c r="E125" s="176" t="s">
        <v>71</v>
      </c>
      <c r="F125" s="43" t="s">
        <v>498</v>
      </c>
      <c r="G125" s="43" t="str">
        <f t="shared" si="5"/>
        <v>First NDC</v>
      </c>
      <c r="H125" s="43" t="s">
        <v>499</v>
      </c>
      <c r="I125" s="351">
        <v>42685</v>
      </c>
      <c r="J125" s="352" t="s">
        <v>505</v>
      </c>
      <c r="K125" s="320" t="str" cm="1">
        <f t="array" ref="K125">IF(ISNUMBER(MATCH("Transport sector mitigation target", _xlfn._xlws.FILTER(Targets!H:H, Targets!A:A =A125), 0)), "yes", "no")</f>
        <v>no</v>
      </c>
      <c r="L125" s="43" t="str">
        <f>IF(K125="no", "No transport target", IF(AND(COUNTIFS(Targets!A:A, A125, Targets!H:H, "Transport sector mitigation target", Targets!J:J, "GHG") &gt; 0, COUNTIFS(Targets!A:A, A125, Targets!H:H, "Transport sector mitigation target", Targets!J:J, "Non GHG") &gt; 0), "GHG and non-GHG target", IF(COUNTIFS(Targets!A:A, A125, Targets!H:H, "Transport sector mitigation target", Targets!J:J, "GHG") &gt; 0, "GHG target", IF(COUNTIFS(Targets!A:A, A125, Targets!H:H, "Transport sector mitigation target", Targets!J:J, "Non GHG") &gt; 0, "non-GHG target", ""))))</f>
        <v>No transport target</v>
      </c>
      <c r="M125" s="43" t="str">
        <f>IF(K125="no","No transport target",IF(L125="non-GHG target","No GHG transport target",IF(AND(COUNTIFS(Targets!A:A,A125,Targets!H:H,"Transport sector mitigation target",Targets!J:J,"GHG",Targets!L:L,"Conditional")&gt;0,COUNTIFS(Targets!A:A,A125,Targets!H:H,"Transport sector mitigation target",Targets!J:J,"GHG",Targets!L:L,"Unconditional")&gt;0),"GHG unconditional and conditional",IF(COUNTIFS(Targets!A:A,A125,Targets!H:H,"Transport sector mitigation target",Targets!J:J,"GHG",Targets!L:L,"Conditional")&gt;0,"GHG conditional only",IF(COUNTIFS(Targets!A:A,A125,Targets!H:H,"Transport sector mitigation target",Targets!J:J,"GHG",Targets!L:L,"Unconditional")&gt;0,"GHG unconditional only",IF(COUNTIFS(Targets!A:A,A125,Targets!H:H,"Transport sector mitigation target",Targets!J:J,"GHG",Targets!L:L,"Unclear conditionality")&gt;0,"Conditionality unclear",""))))))</f>
        <v>No transport target</v>
      </c>
      <c r="N125" s="43" t="str" cm="1">
        <f t="array" ref="N125">IF(ISNUMBER(MATCH("Transport sector adaptation target", _xlfn._xlws.FILTER(Targets!H:H, Targets!A:A =A125), 0)), "yes", "no")</f>
        <v>no</v>
      </c>
      <c r="O125" s="43" t="str">
        <f>IF(ISNA(MATCH(A125, Mitigation!A:A, 0)), "no", "yes")</f>
        <v>yes</v>
      </c>
      <c r="P125" s="43" t="str">
        <f>IF(ISNA(MATCH(A125, Adaptation!A:A, 0)), "no", "yes")</f>
        <v>no</v>
      </c>
      <c r="Q125" s="43" t="str">
        <f>IF(ISNA(MATCH(A125, Benefits!A:A, 0)), "no", "yes")</f>
        <v>no</v>
      </c>
      <c r="R125" s="43"/>
      <c r="S125" s="43"/>
      <c r="T125" s="43" t="s">
        <v>501</v>
      </c>
      <c r="U125" s="312" t="s">
        <v>634</v>
      </c>
      <c r="V125" s="233" t="str">
        <f>VLOOKUP(Table1[[#This Row],[Country Code]],Table29[],3,FALSE)</f>
        <v>Non-Annex I</v>
      </c>
      <c r="W125" s="233" t="str">
        <f>VLOOKUP(Table1[[#This Row],[Country Code]],Table29[],4,FALSE)</f>
        <v>Africa</v>
      </c>
      <c r="X125" s="233" t="str">
        <f>VLOOKUP(Table1[[#This Row],[Country Code]],Table29[],5,FALSE)</f>
        <v>Middle-income</v>
      </c>
      <c r="Y125" s="43"/>
      <c r="Z125" s="43"/>
    </row>
    <row r="126" spans="1:26" ht="15" customHeight="1" x14ac:dyDescent="0.25">
      <c r="A126" s="360">
        <v>17543</v>
      </c>
      <c r="B126" s="176" t="s">
        <v>117</v>
      </c>
      <c r="C126" s="243" t="str">
        <f>VLOOKUP(Table1[[#This Row],[Country Code]],Table29[],2,FALSE)</f>
        <v>Burkina Faso</v>
      </c>
      <c r="D126" s="243" t="str">
        <f t="shared" si="4"/>
        <v>Good</v>
      </c>
      <c r="E126" s="176" t="s">
        <v>71</v>
      </c>
      <c r="F126" s="43" t="s">
        <v>498</v>
      </c>
      <c r="G126" s="43" t="str">
        <f t="shared" si="5"/>
        <v>First NDC</v>
      </c>
      <c r="H126" s="43" t="s">
        <v>499</v>
      </c>
      <c r="I126" s="351">
        <v>42685</v>
      </c>
      <c r="J126" s="320" t="s">
        <v>500</v>
      </c>
      <c r="K126" s="320" t="str" cm="1">
        <f t="array" ref="K126">IF(ISNUMBER(MATCH("Transport sector mitigation target", _xlfn._xlws.FILTER(Targets!H:H, Targets!A:A =A126), 0)), "yes", "no")</f>
        <v>yes</v>
      </c>
      <c r="L126" s="43" t="str">
        <f>IF(K126="no", "No transport target", IF(AND(COUNTIFS(Targets!A:A, A126, Targets!H:H, "Transport sector mitigation target", Targets!J:J, "GHG") &gt; 0, COUNTIFS(Targets!A:A, A126, Targets!H:H, "Transport sector mitigation target", Targets!J:J, "Non GHG") &gt; 0), "GHG and non-GHG target", IF(COUNTIFS(Targets!A:A, A126, Targets!H:H, "Transport sector mitigation target", Targets!J:J, "GHG") &gt; 0, "GHG target", IF(COUNTIFS(Targets!A:A, A126, Targets!H:H, "Transport sector mitigation target", Targets!J:J, "Non GHG") &gt; 0, "non-GHG target", ""))))</f>
        <v>GHG and non-GHG target</v>
      </c>
      <c r="M126" s="43" t="str">
        <f>IF(K126="no","No transport target",IF(L126="non-GHG target","No GHG transport target",IF(AND(COUNTIFS(Targets!A:A,A126,Targets!H:H,"Transport sector mitigation target",Targets!J:J,"GHG",Targets!L:L,"Conditional")&gt;0,COUNTIFS(Targets!A:A,A126,Targets!H:H,"Transport sector mitigation target",Targets!J:J,"GHG",Targets!L:L,"Unconditional")&gt;0),"GHG unconditional and conditional",IF(COUNTIFS(Targets!A:A,A126,Targets!H:H,"Transport sector mitigation target",Targets!J:J,"GHG",Targets!L:L,"Conditional")&gt;0,"GHG conditional only",IF(COUNTIFS(Targets!A:A,A126,Targets!H:H,"Transport sector mitigation target",Targets!J:J,"GHG",Targets!L:L,"Unconditional")&gt;0,"GHG unconditional only",IF(COUNTIFS(Targets!A:A,A126,Targets!H:H,"Transport sector mitigation target",Targets!J:J,"GHG",Targets!L:L,"Unclear conditionality")&gt;0,"Conditionality unclear",""))))))</f>
        <v>GHG unconditional and conditional</v>
      </c>
      <c r="N126" s="43" t="str" cm="1">
        <f t="array" ref="N126">IF(ISNUMBER(MATCH("Transport sector adaptation target", _xlfn._xlws.FILTER(Targets!H:H, Targets!A:A =A126), 0)), "yes", "no")</f>
        <v>no</v>
      </c>
      <c r="O126" s="43" t="str">
        <f>IF(ISNA(MATCH(A126, Mitigation!A:A, 0)), "no", "yes")</f>
        <v>yes</v>
      </c>
      <c r="P126" s="43" t="str">
        <f>IF(ISNA(MATCH(A126, Adaptation!A:A, 0)), "no", "yes")</f>
        <v>no</v>
      </c>
      <c r="Q126" s="43" t="str">
        <f>IF(ISNA(MATCH(A126, Benefits!A:A, 0)), "no", "yes")</f>
        <v>yes</v>
      </c>
      <c r="R126" s="43"/>
      <c r="S126" s="43"/>
      <c r="T126" s="43" t="s">
        <v>501</v>
      </c>
      <c r="U126" s="312" t="s">
        <v>635</v>
      </c>
      <c r="V126" s="233" t="str">
        <f>VLOOKUP(Table1[[#This Row],[Country Code]],Table29[],3,FALSE)</f>
        <v>Non-Annex I</v>
      </c>
      <c r="W126" s="233" t="str">
        <f>VLOOKUP(Table1[[#This Row],[Country Code]],Table29[],4,FALSE)</f>
        <v>Africa</v>
      </c>
      <c r="X126" s="233" t="str">
        <f>VLOOKUP(Table1[[#This Row],[Country Code]],Table29[],5,FALSE)</f>
        <v>Low-income</v>
      </c>
      <c r="Y126" s="43"/>
      <c r="Z126" s="43"/>
    </row>
    <row r="127" spans="1:26" ht="15" customHeight="1" x14ac:dyDescent="0.25">
      <c r="A127" s="360">
        <v>26771</v>
      </c>
      <c r="B127" s="43" t="s">
        <v>61</v>
      </c>
      <c r="C127" s="243" t="str">
        <f>VLOOKUP(Table1[[#This Row],[Country Code]],Table29[],2,FALSE)</f>
        <v>Andorra</v>
      </c>
      <c r="D127" s="243" t="str">
        <f t="shared" si="4"/>
        <v>Good</v>
      </c>
      <c r="E127" s="176" t="s">
        <v>227</v>
      </c>
      <c r="F127" s="43" t="s">
        <v>227</v>
      </c>
      <c r="G127" s="43" t="str">
        <f t="shared" si="5"/>
        <v>LTS</v>
      </c>
      <c r="H127" s="350" t="s">
        <v>636</v>
      </c>
      <c r="I127" s="351">
        <v>44510</v>
      </c>
      <c r="J127" s="352" t="s">
        <v>505</v>
      </c>
      <c r="K127" s="320" t="str" cm="1">
        <f t="array" ref="K127">IF(ISNUMBER(MATCH("Transport sector mitigation target", _xlfn._xlws.FILTER(Targets!H:H, Targets!A:A =A127), 0)), "yes", "no")</f>
        <v>no</v>
      </c>
      <c r="L127" s="43" t="str">
        <f>IF(K127="no", "No transport target", IF(AND(COUNTIFS(Targets!A:A, A127, Targets!H:H, "Transport sector mitigation target", Targets!J:J, "GHG") &gt; 0, COUNTIFS(Targets!A:A, A127, Targets!H:H, "Transport sector mitigation target", Targets!J:J, "Non GHG") &gt; 0), "GHG and non-GHG target", IF(COUNTIFS(Targets!A:A, A127, Targets!H:H, "Transport sector mitigation target", Targets!J:J, "GHG") &gt; 0, "GHG target", IF(COUNTIFS(Targets!A:A, A127, Targets!H:H, "Transport sector mitigation target", Targets!J:J, "Non GHG") &gt; 0, "non-GHG target", ""))))</f>
        <v>No transport target</v>
      </c>
      <c r="M127" s="43" t="str">
        <f>IF(K127="no","No transport target",IF(L127="non-GHG target","No GHG transport target",IF(AND(COUNTIFS(Targets!A:A,A127,Targets!H:H,"Transport sector mitigation target",Targets!J:J,"GHG",Targets!L:L,"Conditional")&gt;0,COUNTIFS(Targets!A:A,A127,Targets!H:H,"Transport sector mitigation target",Targets!J:J,"GHG",Targets!L:L,"Unconditional")&gt;0),"GHG unconditional and conditional",IF(COUNTIFS(Targets!A:A,A127,Targets!H:H,"Transport sector mitigation target",Targets!J:J,"GHG",Targets!L:L,"Conditional")&gt;0,"GHG conditional only",IF(COUNTIFS(Targets!A:A,A127,Targets!H:H,"Transport sector mitigation target",Targets!J:J,"GHG",Targets!L:L,"Unconditional")&gt;0,"GHG unconditional only",IF(COUNTIFS(Targets!A:A,A127,Targets!H:H,"Transport sector mitigation target",Targets!J:J,"GHG",Targets!L:L,"Unclear conditionality")&gt;0,"Conditionality unclear",""))))))</f>
        <v>No transport target</v>
      </c>
      <c r="N127" s="43" t="str" cm="1">
        <f t="array" ref="N127">IF(ISNUMBER(MATCH("Transport sector adaptation target", _xlfn._xlws.FILTER(Targets!H:H, Targets!A:A =A127), 0)), "yes", "no")</f>
        <v>no</v>
      </c>
      <c r="O127" s="43" t="str">
        <f>IF(ISNA(MATCH(A127, Mitigation!A:A, 0)), "no", "yes")</f>
        <v>yes</v>
      </c>
      <c r="P127" s="43" t="str">
        <f>IF(ISNA(MATCH(A127, Adaptation!A:A, 0)), "no", "yes")</f>
        <v>no</v>
      </c>
      <c r="Q127" s="43" t="str">
        <f>IF(ISNA(MATCH(A127, Benefits!A:A, 0)), "no", "yes")</f>
        <v>yes</v>
      </c>
      <c r="R127" s="43"/>
      <c r="S127" s="43"/>
      <c r="T127" s="43" t="s">
        <v>501</v>
      </c>
      <c r="U127" s="312" t="s">
        <v>637</v>
      </c>
      <c r="V127" s="233" t="str">
        <f>VLOOKUP(Table1[[#This Row],[Country Code]],Table29[],3,FALSE)</f>
        <v>Non-Annex I</v>
      </c>
      <c r="W127" s="233" t="str">
        <f>VLOOKUP(Table1[[#This Row],[Country Code]],Table29[],4,FALSE)</f>
        <v>Europe</v>
      </c>
      <c r="X127" s="233" t="str">
        <f>VLOOKUP(Table1[[#This Row],[Country Code]],Table29[],5,FALSE)</f>
        <v>High-income</v>
      </c>
      <c r="Y127" s="43"/>
      <c r="Z127" s="43"/>
    </row>
    <row r="128" spans="1:26" ht="15" customHeight="1" x14ac:dyDescent="0.25">
      <c r="A128" s="405">
        <v>17779</v>
      </c>
      <c r="B128" s="17" t="s">
        <v>452</v>
      </c>
      <c r="C128" s="206" t="str">
        <f>VLOOKUP(Table1[[#This Row],[Country Code]],Table29[],2,FALSE)</f>
        <v>United States of America</v>
      </c>
      <c r="D128" s="243" t="str">
        <f t="shared" si="4"/>
        <v>Good</v>
      </c>
      <c r="E128" s="20" t="s">
        <v>227</v>
      </c>
      <c r="F128" s="17" t="s">
        <v>530</v>
      </c>
      <c r="G128" s="43" t="str">
        <f t="shared" si="5"/>
        <v>Archived LTS 1.0</v>
      </c>
      <c r="H128" s="17" t="s">
        <v>636</v>
      </c>
      <c r="I128" s="149">
        <v>42690</v>
      </c>
      <c r="J128" s="49" t="s">
        <v>500</v>
      </c>
      <c r="K128" s="49" t="str" cm="1">
        <f t="array" ref="K128">IF(ISNUMBER(MATCH("Transport sector mitigation target", _xlfn._xlws.FILTER(Targets!H:H, Targets!A:A =A128), 0)), "yes", "no")</f>
        <v>no</v>
      </c>
      <c r="L128" s="17" t="str">
        <f>IF(K128="no", "No transport target", IF(AND(COUNTIFS(Targets!A:A, A128, Targets!H:H, "Transport sector mitigation target", Targets!J:J, "GHG") &gt; 0, COUNTIFS(Targets!A:A, A128, Targets!H:H, "Transport sector mitigation target", Targets!J:J, "Non GHG") &gt; 0), "GHG and non-GHG target", IF(COUNTIFS(Targets!A:A, A128, Targets!H:H, "Transport sector mitigation target", Targets!J:J, "GHG") &gt; 0, "GHG target", IF(COUNTIFS(Targets!A:A, A128, Targets!H:H, "Transport sector mitigation target", Targets!J:J, "Non GHG") &gt; 0, "non-GHG target", ""))))</f>
        <v>No transport target</v>
      </c>
      <c r="M128" s="17" t="str">
        <f>IF(K128="no","No transport target",IF(L128="non-GHG target","No GHG transport target",IF(AND(COUNTIFS(Targets!A:A,A128,Targets!H:H,"Transport sector mitigation target",Targets!J:J,"GHG",Targets!L:L,"Conditional")&gt;0,COUNTIFS(Targets!A:A,A128,Targets!H:H,"Transport sector mitigation target",Targets!J:J,"GHG",Targets!L:L,"Unconditional")&gt;0),"GHG unconditional and conditional",IF(COUNTIFS(Targets!A:A,A128,Targets!H:H,"Transport sector mitigation target",Targets!J:J,"GHG",Targets!L:L,"Conditional")&gt;0,"GHG conditional only",IF(COUNTIFS(Targets!A:A,A128,Targets!H:H,"Transport sector mitigation target",Targets!J:J,"GHG",Targets!L:L,"Unconditional")&gt;0,"GHG unconditional only",IF(COUNTIFS(Targets!A:A,A128,Targets!H:H,"Transport sector mitigation target",Targets!J:J,"GHG",Targets!L:L,"Unclear conditionality")&gt;0,"Conditionality unclear",""))))))</f>
        <v>No transport target</v>
      </c>
      <c r="N128" s="17" t="str" cm="1">
        <f t="array" ref="N128">IF(ISNUMBER(MATCH("Transport sector adaptation target", _xlfn._xlws.FILTER(Targets!H:H, Targets!A:A =A128), 0)), "yes", "no")</f>
        <v>no</v>
      </c>
      <c r="O128" s="17" t="str">
        <f>IF(ISNA(MATCH(A128, Mitigation!A:A, 0)), "no", "yes")</f>
        <v>yes</v>
      </c>
      <c r="P128" s="17" t="str">
        <f>IF(ISNA(MATCH(A128, Adaptation!A:A, 0)), "no", "yes")</f>
        <v>no</v>
      </c>
      <c r="Q128" s="17" t="str">
        <f>IF(ISNA(MATCH(A128, Benefits!A:A, 0)), "no", "yes")</f>
        <v>no</v>
      </c>
      <c r="R128" s="17"/>
      <c r="S128" s="17"/>
      <c r="T128" s="17" t="s">
        <v>501</v>
      </c>
      <c r="U128" s="135" t="s">
        <v>638</v>
      </c>
      <c r="V128" s="207" t="str">
        <f>VLOOKUP(Table1[[#This Row],[Country Code]],Table29[],3,FALSE)</f>
        <v>Annex I</v>
      </c>
      <c r="W128" s="207" t="str">
        <f>VLOOKUP(Table1[[#This Row],[Country Code]],Table29[],4,FALSE)</f>
        <v>Northern America</v>
      </c>
      <c r="X128" s="207" t="str">
        <f>VLOOKUP(Table1[[#This Row],[Country Code]],Table29[],5,FALSE)</f>
        <v>High-income</v>
      </c>
      <c r="Y128" s="17"/>
      <c r="Z128" s="17"/>
    </row>
    <row r="129" spans="1:26" ht="15" customHeight="1" x14ac:dyDescent="0.25">
      <c r="A129" s="360">
        <v>17650</v>
      </c>
      <c r="B129" s="176" t="s">
        <v>284</v>
      </c>
      <c r="C129" s="243" t="str">
        <f>VLOOKUP(Table1[[#This Row],[Country Code]],Table29[],2,FALSE)</f>
        <v>Malaysia</v>
      </c>
      <c r="D129" s="243" t="str">
        <f t="shared" si="4"/>
        <v>Good</v>
      </c>
      <c r="E129" s="176" t="s">
        <v>71</v>
      </c>
      <c r="F129" s="43" t="s">
        <v>498</v>
      </c>
      <c r="G129" s="43" t="str">
        <f t="shared" si="5"/>
        <v>First NDC</v>
      </c>
      <c r="H129" s="43" t="s">
        <v>499</v>
      </c>
      <c r="I129" s="351">
        <v>42690</v>
      </c>
      <c r="J129" s="320" t="s">
        <v>500</v>
      </c>
      <c r="K129" s="320" t="str" cm="1">
        <f t="array" ref="K129">IF(ISNUMBER(MATCH("Transport sector mitigation target", _xlfn._xlws.FILTER(Targets!H:H, Targets!A:A =A129), 0)), "yes", "no")</f>
        <v>no</v>
      </c>
      <c r="L129" s="43" t="str">
        <f>IF(K129="no", "No transport target", IF(AND(COUNTIFS(Targets!A:A, A129, Targets!H:H, "Transport sector mitigation target", Targets!J:J, "GHG") &gt; 0, COUNTIFS(Targets!A:A, A129, Targets!H:H, "Transport sector mitigation target", Targets!J:J, "Non GHG") &gt; 0), "GHG and non-GHG target", IF(COUNTIFS(Targets!A:A, A129, Targets!H:H, "Transport sector mitigation target", Targets!J:J, "GHG") &gt; 0, "GHG target", IF(COUNTIFS(Targets!A:A, A129, Targets!H:H, "Transport sector mitigation target", Targets!J:J, "Non GHG") &gt; 0, "non-GHG target", ""))))</f>
        <v>No transport target</v>
      </c>
      <c r="M129" s="43" t="str">
        <f>IF(K129="no","No transport target",IF(L129="non-GHG target","No GHG transport target",IF(AND(COUNTIFS(Targets!A:A,A129,Targets!H:H,"Transport sector mitigation target",Targets!J:J,"GHG",Targets!L:L,"Conditional")&gt;0,COUNTIFS(Targets!A:A,A129,Targets!H:H,"Transport sector mitigation target",Targets!J:J,"GHG",Targets!L:L,"Unconditional")&gt;0),"GHG unconditional and conditional",IF(COUNTIFS(Targets!A:A,A129,Targets!H:H,"Transport sector mitigation target",Targets!J:J,"GHG",Targets!L:L,"Conditional")&gt;0,"GHG conditional only",IF(COUNTIFS(Targets!A:A,A129,Targets!H:H,"Transport sector mitigation target",Targets!J:J,"GHG",Targets!L:L,"Unconditional")&gt;0,"GHG unconditional only",IF(COUNTIFS(Targets!A:A,A129,Targets!H:H,"Transport sector mitigation target",Targets!J:J,"GHG",Targets!L:L,"Unclear conditionality")&gt;0,"Conditionality unclear",""))))))</f>
        <v>No transport target</v>
      </c>
      <c r="N129" s="43" t="str" cm="1">
        <f t="array" ref="N129">IF(ISNUMBER(MATCH("Transport sector adaptation target", _xlfn._xlws.FILTER(Targets!H:H, Targets!A:A =A129), 0)), "yes", "no")</f>
        <v>no</v>
      </c>
      <c r="O129" s="43" t="str">
        <f>IF(ISNA(MATCH(A129, Mitigation!A:A, 0)), "no", "yes")</f>
        <v>no</v>
      </c>
      <c r="P129" s="43" t="str">
        <f>IF(ISNA(MATCH(A129, Adaptation!A:A, 0)), "no", "yes")</f>
        <v>no</v>
      </c>
      <c r="Q129" s="43" t="str">
        <f>IF(ISNA(MATCH(A129, Benefits!A:A, 0)), "no", "yes")</f>
        <v>no</v>
      </c>
      <c r="R129" s="43"/>
      <c r="S129" s="43"/>
      <c r="T129" s="43" t="s">
        <v>501</v>
      </c>
      <c r="U129" s="312" t="s">
        <v>639</v>
      </c>
      <c r="V129" s="233" t="str">
        <f>VLOOKUP(Table1[[#This Row],[Country Code]],Table29[],3,FALSE)</f>
        <v>Non-Annex I</v>
      </c>
      <c r="W129" s="233" t="str">
        <f>VLOOKUP(Table1[[#This Row],[Country Code]],Table29[],4,FALSE)</f>
        <v>Asia</v>
      </c>
      <c r="X129" s="233" t="str">
        <f>VLOOKUP(Table1[[#This Row],[Country Code]],Table29[],5,FALSE)</f>
        <v>Middle-income</v>
      </c>
      <c r="Y129" s="43"/>
      <c r="Z129" s="43"/>
    </row>
    <row r="130" spans="1:26" ht="15" customHeight="1" x14ac:dyDescent="0.25">
      <c r="A130" s="360">
        <v>17551</v>
      </c>
      <c r="B130" s="43" t="s">
        <v>127</v>
      </c>
      <c r="C130" s="243" t="str">
        <f>VLOOKUP(Table1[[#This Row],[Country Code]],Table29[],2,FALSE)</f>
        <v>Canada</v>
      </c>
      <c r="D130" s="243" t="str">
        <f t="shared" si="4"/>
        <v>Good</v>
      </c>
      <c r="E130" s="176" t="s">
        <v>227</v>
      </c>
      <c r="F130" s="43" t="s">
        <v>530</v>
      </c>
      <c r="G130" s="43" t="str">
        <f t="shared" si="5"/>
        <v>Archived LTS 1.0</v>
      </c>
      <c r="H130" s="43" t="s">
        <v>636</v>
      </c>
      <c r="I130" s="351">
        <v>42691</v>
      </c>
      <c r="J130" s="320" t="s">
        <v>500</v>
      </c>
      <c r="K130" s="320" t="str" cm="1">
        <f t="array" ref="K130">IF(ISNUMBER(MATCH("Transport sector mitigation target", _xlfn._xlws.FILTER(Targets!H:H, Targets!A:A =A130), 0)), "yes", "no")</f>
        <v>no</v>
      </c>
      <c r="L130" s="43" t="str">
        <f>IF(K130="no", "No transport target", IF(AND(COUNTIFS(Targets!A:A, A130, Targets!H:H, "Transport sector mitigation target", Targets!J:J, "GHG") &gt; 0, COUNTIFS(Targets!A:A, A130, Targets!H:H, "Transport sector mitigation target", Targets!J:J, "Non GHG") &gt; 0), "GHG and non-GHG target", IF(COUNTIFS(Targets!A:A, A130, Targets!H:H, "Transport sector mitigation target", Targets!J:J, "GHG") &gt; 0, "GHG target", IF(COUNTIFS(Targets!A:A, A130, Targets!H:H, "Transport sector mitigation target", Targets!J:J, "Non GHG") &gt; 0, "non-GHG target", ""))))</f>
        <v>No transport target</v>
      </c>
      <c r="M130" s="43" t="str">
        <f>IF(K130="no","No transport target",IF(L130="non-GHG target","No GHG transport target",IF(AND(COUNTIFS(Targets!A:A,A130,Targets!H:H,"Transport sector mitigation target",Targets!J:J,"GHG",Targets!L:L,"Conditional")&gt;0,COUNTIFS(Targets!A:A,A130,Targets!H:H,"Transport sector mitigation target",Targets!J:J,"GHG",Targets!L:L,"Unconditional")&gt;0),"GHG unconditional and conditional",IF(COUNTIFS(Targets!A:A,A130,Targets!H:H,"Transport sector mitigation target",Targets!J:J,"GHG",Targets!L:L,"Conditional")&gt;0,"GHG conditional only",IF(COUNTIFS(Targets!A:A,A130,Targets!H:H,"Transport sector mitigation target",Targets!J:J,"GHG",Targets!L:L,"Unconditional")&gt;0,"GHG unconditional only",IF(COUNTIFS(Targets!A:A,A130,Targets!H:H,"Transport sector mitigation target",Targets!J:J,"GHG",Targets!L:L,"Unclear conditionality")&gt;0,"Conditionality unclear",""))))))</f>
        <v>No transport target</v>
      </c>
      <c r="N130" s="43" t="str" cm="1">
        <f t="array" ref="N130">IF(ISNUMBER(MATCH("Transport sector adaptation target", _xlfn._xlws.FILTER(Targets!H:H, Targets!A:A =A130), 0)), "yes", "no")</f>
        <v>no</v>
      </c>
      <c r="O130" s="43" t="str">
        <f>IF(ISNA(MATCH(A130, Mitigation!A:A, 0)), "no", "yes")</f>
        <v>yes</v>
      </c>
      <c r="P130" s="43" t="str">
        <f>IF(ISNA(MATCH(A130, Adaptation!A:A, 0)), "no", "yes")</f>
        <v>no</v>
      </c>
      <c r="Q130" s="43" t="str">
        <f>IF(ISNA(MATCH(A130, Benefits!A:A, 0)), "no", "yes")</f>
        <v>yes</v>
      </c>
      <c r="R130" s="43"/>
      <c r="S130" s="43"/>
      <c r="T130" s="43" t="s">
        <v>501</v>
      </c>
      <c r="U130" s="362" t="s">
        <v>640</v>
      </c>
      <c r="V130" s="233" t="str">
        <f>VLOOKUP(Table1[[#This Row],[Country Code]],Table29[],3,FALSE)</f>
        <v>Annex I</v>
      </c>
      <c r="W130" s="233" t="str">
        <f>VLOOKUP(Table1[[#This Row],[Country Code]],Table29[],4,FALSE)</f>
        <v>Northern America</v>
      </c>
      <c r="X130" s="233" t="str">
        <f>VLOOKUP(Table1[[#This Row],[Country Code]],Table29[],5,FALSE)</f>
        <v>High-income</v>
      </c>
      <c r="Y130" s="43"/>
      <c r="Z130" s="43"/>
    </row>
    <row r="131" spans="1:26" ht="15" customHeight="1" x14ac:dyDescent="0.25">
      <c r="A131" s="360">
        <v>17602</v>
      </c>
      <c r="B131" s="43" t="s">
        <v>203</v>
      </c>
      <c r="C131" s="243" t="str">
        <f>VLOOKUP(Table1[[#This Row],[Country Code]],Table29[],2,FALSE)</f>
        <v>Germany</v>
      </c>
      <c r="D131" s="243" t="str">
        <f t="shared" si="4"/>
        <v>Good</v>
      </c>
      <c r="E131" s="176" t="s">
        <v>227</v>
      </c>
      <c r="F131" s="43" t="s">
        <v>530</v>
      </c>
      <c r="G131" s="43" t="str">
        <f t="shared" si="5"/>
        <v>Archived LTS 1.0</v>
      </c>
      <c r="H131" s="43" t="s">
        <v>636</v>
      </c>
      <c r="I131" s="351">
        <v>42691</v>
      </c>
      <c r="J131" s="320" t="s">
        <v>500</v>
      </c>
      <c r="K131" s="320" t="str" cm="1">
        <f t="array" ref="K131">IF(ISNUMBER(MATCH("Transport sector mitigation target", _xlfn._xlws.FILTER(Targets!H:H, Targets!A:A =A131), 0)), "yes", "no")</f>
        <v>yes</v>
      </c>
      <c r="L131" s="43" t="str">
        <f>IF(K131="no", "No transport target", IF(AND(COUNTIFS(Targets!A:A, A131, Targets!H:H, "Transport sector mitigation target", Targets!J:J, "GHG") &gt; 0, COUNTIFS(Targets!A:A, A131, Targets!H:H, "Transport sector mitigation target", Targets!J:J, "Non GHG") &gt; 0), "GHG and non-GHG target", IF(COUNTIFS(Targets!A:A, A131, Targets!H:H, "Transport sector mitigation target", Targets!J:J, "GHG") &gt; 0, "GHG target", IF(COUNTIFS(Targets!A:A, A131, Targets!H:H, "Transport sector mitigation target", Targets!J:J, "Non GHG") &gt; 0, "non-GHG target", ""))))</f>
        <v>GHG target</v>
      </c>
      <c r="M131" s="43" t="str">
        <f>IF(K131="no","No transport target",IF(L131="non-GHG target","No GHG transport target",IF(AND(COUNTIFS(Targets!A:A,A131,Targets!H:H,"Transport sector mitigation target",Targets!J:J,"GHG",Targets!L:L,"Conditional")&gt;0,COUNTIFS(Targets!A:A,A131,Targets!H:H,"Transport sector mitigation target",Targets!J:J,"GHG",Targets!L:L,"Unconditional")&gt;0),"GHG unconditional and conditional",IF(COUNTIFS(Targets!A:A,A131,Targets!H:H,"Transport sector mitigation target",Targets!J:J,"GHG",Targets!L:L,"Conditional")&gt;0,"GHG conditional only",IF(COUNTIFS(Targets!A:A,A131,Targets!H:H,"Transport sector mitigation target",Targets!J:J,"GHG",Targets!L:L,"Unconditional")&gt;0,"GHG unconditional only",IF(COUNTIFS(Targets!A:A,A131,Targets!H:H,"Transport sector mitigation target",Targets!J:J,"GHG",Targets!L:L,"Unclear conditionality")&gt;0,"Conditionality unclear",""))))))</f>
        <v>GHG unconditional only</v>
      </c>
      <c r="N131" s="43" t="str" cm="1">
        <f t="array" ref="N131">IF(ISNUMBER(MATCH("Transport sector adaptation target", _xlfn._xlws.FILTER(Targets!H:H, Targets!A:A =A131), 0)), "yes", "no")</f>
        <v>no</v>
      </c>
      <c r="O131" s="43" t="str">
        <f>IF(ISNA(MATCH(A131, Mitigation!A:A, 0)), "no", "yes")</f>
        <v>yes</v>
      </c>
      <c r="P131" s="43" t="str">
        <f>IF(ISNA(MATCH(A131, Adaptation!A:A, 0)), "no", "yes")</f>
        <v>no</v>
      </c>
      <c r="Q131" s="43" t="str">
        <f>IF(ISNA(MATCH(A131, Benefits!A:A, 0)), "no", "yes")</f>
        <v>no</v>
      </c>
      <c r="R131" s="43"/>
      <c r="S131" s="43"/>
      <c r="T131" s="43" t="s">
        <v>501</v>
      </c>
      <c r="U131" s="312" t="s">
        <v>641</v>
      </c>
      <c r="V131" s="233" t="str">
        <f>VLOOKUP(Table1[[#This Row],[Country Code]],Table29[],3,FALSE)</f>
        <v>Annex I</v>
      </c>
      <c r="W131" s="233" t="str">
        <f>VLOOKUP(Table1[[#This Row],[Country Code]],Table29[],4,FALSE)</f>
        <v>Europe</v>
      </c>
      <c r="X131" s="233" t="str">
        <f>VLOOKUP(Table1[[#This Row],[Country Code]],Table29[],5,FALSE)</f>
        <v>High-income</v>
      </c>
      <c r="Y131" s="43"/>
      <c r="Z131" s="43"/>
    </row>
    <row r="132" spans="1:26" ht="15" customHeight="1" x14ac:dyDescent="0.25">
      <c r="A132" s="360">
        <v>17514</v>
      </c>
      <c r="B132" s="176" t="s">
        <v>72</v>
      </c>
      <c r="C132" s="243" t="str">
        <f>VLOOKUP(Table1[[#This Row],[Country Code]],Table29[],2,FALSE)</f>
        <v>Argentina</v>
      </c>
      <c r="D132" s="243" t="str">
        <f t="shared" si="4"/>
        <v>Good</v>
      </c>
      <c r="E132" s="176" t="s">
        <v>71</v>
      </c>
      <c r="F132" s="43" t="s">
        <v>498</v>
      </c>
      <c r="G132" s="43" t="str">
        <f t="shared" si="5"/>
        <v>First NDC</v>
      </c>
      <c r="H132" s="43" t="s">
        <v>499</v>
      </c>
      <c r="I132" s="351">
        <v>42691</v>
      </c>
      <c r="J132" s="320" t="s">
        <v>500</v>
      </c>
      <c r="K132" s="320" t="str" cm="1">
        <f t="array" ref="K132">IF(ISNUMBER(MATCH("Transport sector mitigation target", _xlfn._xlws.FILTER(Targets!H:H, Targets!A:A =A132), 0)), "yes", "no")</f>
        <v>no</v>
      </c>
      <c r="L132" s="43" t="str">
        <f>IF(K132="no", "No transport target", IF(AND(COUNTIFS(Targets!A:A, A132, Targets!H:H, "Transport sector mitigation target", Targets!J:J, "GHG") &gt; 0, COUNTIFS(Targets!A:A, A132, Targets!H:H, "Transport sector mitigation target", Targets!J:J, "Non GHG") &gt; 0), "GHG and non-GHG target", IF(COUNTIFS(Targets!A:A, A132, Targets!H:H, "Transport sector mitigation target", Targets!J:J, "GHG") &gt; 0, "GHG target", IF(COUNTIFS(Targets!A:A, A132, Targets!H:H, "Transport sector mitigation target", Targets!J:J, "Non GHG") &gt; 0, "non-GHG target", ""))))</f>
        <v>No transport target</v>
      </c>
      <c r="M132" s="43" t="str">
        <f>IF(K132="no","No transport target",IF(L132="non-GHG target","No GHG transport target",IF(AND(COUNTIFS(Targets!A:A,A132,Targets!H:H,"Transport sector mitigation target",Targets!J:J,"GHG",Targets!L:L,"Conditional")&gt;0,COUNTIFS(Targets!A:A,A132,Targets!H:H,"Transport sector mitigation target",Targets!J:J,"GHG",Targets!L:L,"Unconditional")&gt;0),"GHG unconditional and conditional",IF(COUNTIFS(Targets!A:A,A132,Targets!H:H,"Transport sector mitigation target",Targets!J:J,"GHG",Targets!L:L,"Conditional")&gt;0,"GHG conditional only",IF(COUNTIFS(Targets!A:A,A132,Targets!H:H,"Transport sector mitigation target",Targets!J:J,"GHG",Targets!L:L,"Unconditional")&gt;0,"GHG unconditional only",IF(COUNTIFS(Targets!A:A,A132,Targets!H:H,"Transport sector mitigation target",Targets!J:J,"GHG",Targets!L:L,"Unclear conditionality")&gt;0,"Conditionality unclear",""))))))</f>
        <v>No transport target</v>
      </c>
      <c r="N132" s="43" t="str" cm="1">
        <f t="array" ref="N132">IF(ISNUMBER(MATCH("Transport sector adaptation target", _xlfn._xlws.FILTER(Targets!H:H, Targets!A:A =A132), 0)), "yes", "no")</f>
        <v>no</v>
      </c>
      <c r="O132" s="43" t="str">
        <f>IF(ISNA(MATCH(A132, Mitigation!A:A, 0)), "no", "yes")</f>
        <v>no</v>
      </c>
      <c r="P132" s="43" t="str">
        <f>IF(ISNA(MATCH(A132, Adaptation!A:A, 0)), "no", "yes")</f>
        <v>no</v>
      </c>
      <c r="Q132" s="43" t="str">
        <f>IF(ISNA(MATCH(A132, Benefits!A:A, 0)), "no", "yes")</f>
        <v>no</v>
      </c>
      <c r="R132" s="43"/>
      <c r="S132" s="43"/>
      <c r="T132" s="43" t="s">
        <v>501</v>
      </c>
      <c r="U132" s="312" t="s">
        <v>642</v>
      </c>
      <c r="V132" s="233" t="str">
        <f>VLOOKUP(Table1[[#This Row],[Country Code]],Table29[],3,FALSE)</f>
        <v>Non-Annex I</v>
      </c>
      <c r="W132" s="233" t="str">
        <f>VLOOKUP(Table1[[#This Row],[Country Code]],Table29[],4,FALSE)</f>
        <v>Latin America and the Caribbean</v>
      </c>
      <c r="X132" s="233" t="str">
        <f>VLOOKUP(Table1[[#This Row],[Country Code]],Table29[],5,FALSE)</f>
        <v>Middle-income</v>
      </c>
      <c r="Y132" s="43"/>
      <c r="Z132" s="43"/>
    </row>
    <row r="133" spans="1:26" ht="15" customHeight="1" x14ac:dyDescent="0.25">
      <c r="A133" s="360">
        <v>17622</v>
      </c>
      <c r="B133" s="176" t="s">
        <v>238</v>
      </c>
      <c r="C133" s="243" t="str">
        <f>VLOOKUP(Table1[[#This Row],[Country Code]],Table29[],2,FALSE)</f>
        <v>Israel</v>
      </c>
      <c r="D133" s="243" t="str">
        <f t="shared" si="4"/>
        <v>Good</v>
      </c>
      <c r="E133" s="176" t="s">
        <v>71</v>
      </c>
      <c r="F133" s="43" t="s">
        <v>498</v>
      </c>
      <c r="G133" s="43" t="str">
        <f t="shared" si="5"/>
        <v>First NDC</v>
      </c>
      <c r="H133" s="43" t="s">
        <v>499</v>
      </c>
      <c r="I133" s="351">
        <v>42696</v>
      </c>
      <c r="J133" s="320" t="s">
        <v>500</v>
      </c>
      <c r="K133" s="320" t="str" cm="1">
        <f t="array" ref="K133">IF(ISNUMBER(MATCH("Transport sector mitigation target", _xlfn._xlws.FILTER(Targets!H:H, Targets!A:A =A133), 0)), "yes", "no")</f>
        <v>yes</v>
      </c>
      <c r="L133" s="43" t="str">
        <f>IF(K133="no", "No transport target", IF(AND(COUNTIFS(Targets!A:A, A133, Targets!H:H, "Transport sector mitigation target", Targets!J:J, "GHG") &gt; 0, COUNTIFS(Targets!A:A, A133, Targets!H:H, "Transport sector mitigation target", Targets!J:J, "Non GHG") &gt; 0), "GHG and non-GHG target", IF(COUNTIFS(Targets!A:A, A133, Targets!H:H, "Transport sector mitigation target", Targets!J:J, "GHG") &gt; 0, "GHG target", IF(COUNTIFS(Targets!A:A, A133, Targets!H:H, "Transport sector mitigation target", Targets!J:J, "Non GHG") &gt; 0, "non-GHG target", ""))))</f>
        <v>non-GHG target</v>
      </c>
      <c r="M133" s="43" t="str">
        <f>IF(K133="no","No transport target",IF(L133="non-GHG target","No GHG transport target",IF(AND(COUNTIFS(Targets!A:A,A133,Targets!H:H,"Transport sector mitigation target",Targets!J:J,"GHG",Targets!L:L,"Conditional")&gt;0,COUNTIFS(Targets!A:A,A133,Targets!H:H,"Transport sector mitigation target",Targets!J:J,"GHG",Targets!L:L,"Unconditional")&gt;0),"GHG unconditional and conditional",IF(COUNTIFS(Targets!A:A,A133,Targets!H:H,"Transport sector mitigation target",Targets!J:J,"GHG",Targets!L:L,"Conditional")&gt;0,"GHG conditional only",IF(COUNTIFS(Targets!A:A,A133,Targets!H:H,"Transport sector mitigation target",Targets!J:J,"GHG",Targets!L:L,"Unconditional")&gt;0,"GHG unconditional only",IF(COUNTIFS(Targets!A:A,A133,Targets!H:H,"Transport sector mitigation target",Targets!J:J,"GHG",Targets!L:L,"Unclear conditionality")&gt;0,"Conditionality unclear",""))))))</f>
        <v>No GHG transport target</v>
      </c>
      <c r="N133" s="43" t="str" cm="1">
        <f t="array" ref="N133">IF(ISNUMBER(MATCH("Transport sector adaptation target", _xlfn._xlws.FILTER(Targets!H:H, Targets!A:A =A133), 0)), "yes", "no")</f>
        <v>no</v>
      </c>
      <c r="O133" s="43" t="str">
        <f>IF(ISNA(MATCH(A133, Mitigation!A:A, 0)), "no", "yes")</f>
        <v>yes</v>
      </c>
      <c r="P133" s="43" t="str">
        <f>IF(ISNA(MATCH(A133, Adaptation!A:A, 0)), "no", "yes")</f>
        <v>no</v>
      </c>
      <c r="Q133" s="43" t="str">
        <f>IF(ISNA(MATCH(A133, Benefits!A:A, 0)), "no", "yes")</f>
        <v>yes</v>
      </c>
      <c r="R133" s="43"/>
      <c r="S133" s="43"/>
      <c r="T133" s="43" t="s">
        <v>501</v>
      </c>
      <c r="U133" s="312" t="s">
        <v>643</v>
      </c>
      <c r="V133" s="233" t="str">
        <f>VLOOKUP(Table1[[#This Row],[Country Code]],Table29[],3,FALSE)</f>
        <v>Non-Annex I</v>
      </c>
      <c r="W133" s="233" t="str">
        <f>VLOOKUP(Table1[[#This Row],[Country Code]],Table29[],4,FALSE)</f>
        <v>Asia</v>
      </c>
      <c r="X133" s="233" t="str">
        <f>VLOOKUP(Table1[[#This Row],[Country Code]],Table29[],5,FALSE)</f>
        <v>High-income</v>
      </c>
      <c r="Y133" s="43"/>
      <c r="Z133" s="43"/>
    </row>
    <row r="134" spans="1:26" ht="15" customHeight="1" x14ac:dyDescent="0.25">
      <c r="A134" s="360">
        <v>17507</v>
      </c>
      <c r="B134" s="208" t="s">
        <v>45</v>
      </c>
      <c r="C134" s="243" t="str">
        <f>VLOOKUP(Table1[[#This Row],[Country Code]],Table29[],2,FALSE)</f>
        <v>Afghanistan</v>
      </c>
      <c r="D134" s="243" t="str">
        <f t="shared" si="4"/>
        <v>Good</v>
      </c>
      <c r="E134" s="176" t="s">
        <v>71</v>
      </c>
      <c r="F134" s="43" t="s">
        <v>498</v>
      </c>
      <c r="G134" s="43" t="str">
        <f t="shared" si="5"/>
        <v>First NDC</v>
      </c>
      <c r="H134" s="350" t="s">
        <v>499</v>
      </c>
      <c r="I134" s="351">
        <v>42697</v>
      </c>
      <c r="J134" s="352" t="s">
        <v>505</v>
      </c>
      <c r="K134" s="320" t="str" cm="1">
        <f t="array" ref="K134">IF(ISNUMBER(MATCH("Transport sector mitigation target", _xlfn._xlws.FILTER(Targets!H:H, Targets!A:A =A134), 0)), "yes", "no")</f>
        <v>no</v>
      </c>
      <c r="L134" t="str">
        <f>IF(K134="no", "No transport target", IF(AND(COUNTIFS(Targets!A:A, A134, Targets!H:H, "Transport sector mitigation target", Targets!J:J, "GHG") &gt; 0, COUNTIFS(Targets!A:A, A134, Targets!H:H, "Transport sector mitigation target", Targets!J:J, "Non GHG") &gt; 0), "GHG and non-GHG target", IF(COUNTIFS(Targets!A:A, A134, Targets!H:H, "Transport sector mitigation target", Targets!J:J, "GHG") &gt; 0, "GHG target", IF(COUNTIFS(Targets!A:A, A134, Targets!H:H, "Transport sector mitigation target", Targets!J:J, "Non GHG") &gt; 0, "non-GHG target", ""))))</f>
        <v>No transport target</v>
      </c>
      <c r="M134" t="str">
        <f>IF(K134="no","No transport target",IF(L134="non-GHG target","No GHG transport target",IF(AND(COUNTIFS(Targets!A:A,A134,Targets!H:H,"Transport sector mitigation target",Targets!J:J,"GHG",Targets!L:L,"Conditional")&gt;0,COUNTIFS(Targets!A:A,A134,Targets!H:H,"Transport sector mitigation target",Targets!J:J,"GHG",Targets!L:L,"Unconditional")&gt;0),"GHG unconditional and conditional",IF(COUNTIFS(Targets!A:A,A134,Targets!H:H,"Transport sector mitigation target",Targets!J:J,"GHG",Targets!L:L,"Conditional")&gt;0,"GHG conditional only",IF(COUNTIFS(Targets!A:A,A134,Targets!H:H,"Transport sector mitigation target",Targets!J:J,"GHG",Targets!L:L,"Unconditional")&gt;0,"GHG unconditional only",IF(COUNTIFS(Targets!A:A,A134,Targets!H:H,"Transport sector mitigation target",Targets!J:J,"GHG",Targets!L:L,"Unclear conditionality")&gt;0,"Conditionality unclear",""))))))</f>
        <v>No transport target</v>
      </c>
      <c r="N134" s="320" t="str" cm="1">
        <f t="array" ref="N134">IF(ISNUMBER(MATCH("Transport sector adaptation target", _xlfn._xlws.FILTER(Targets!H:H, Targets!A:A =A134), 0)), "yes", "no")</f>
        <v>no</v>
      </c>
      <c r="O134" s="320" t="str">
        <f>IF(ISNA(MATCH(A134, Mitigation!A:A, 0)), "no", "yes")</f>
        <v>yes</v>
      </c>
      <c r="P134" s="320" t="str">
        <f>IF(ISNA(MATCH(A134, Adaptation!A:A, 0)), "no", "yes")</f>
        <v>no</v>
      </c>
      <c r="Q134" s="320" t="str">
        <f>IF(ISNA(MATCH(A134, Benefits!A:A, 0)), "no", "yes")</f>
        <v>no</v>
      </c>
      <c r="R134" s="43"/>
      <c r="S134" s="43"/>
      <c r="T134" s="43" t="s">
        <v>501</v>
      </c>
      <c r="U134" s="312" t="s">
        <v>644</v>
      </c>
      <c r="V134" s="233" t="str">
        <f>VLOOKUP(Table1[[#This Row],[Country Code]],Table29[],3,FALSE)</f>
        <v>Non-Annex I</v>
      </c>
      <c r="W134" s="233" t="str">
        <f>VLOOKUP(Table1[[#This Row],[Country Code]],Table29[],4,FALSE)</f>
        <v>Asia</v>
      </c>
      <c r="X134" s="233" t="str">
        <f>VLOOKUP(Table1[[#This Row],[Country Code]],Table29[],5,FALSE)</f>
        <v>Low-income</v>
      </c>
      <c r="Y134" s="43"/>
      <c r="Z134" s="43"/>
    </row>
    <row r="135" spans="1:26" ht="15" customHeight="1" x14ac:dyDescent="0.25">
      <c r="A135" s="360">
        <v>17559</v>
      </c>
      <c r="B135" s="176" t="s">
        <v>141</v>
      </c>
      <c r="C135" s="243" t="str">
        <f>VLOOKUP(Table1[[#This Row],[Country Code]],Table29[],2,FALSE)</f>
        <v>Comoros</v>
      </c>
      <c r="D135" s="243" t="str">
        <f t="shared" si="4"/>
        <v>Good</v>
      </c>
      <c r="E135" s="176" t="s">
        <v>71</v>
      </c>
      <c r="F135" s="43" t="s">
        <v>498</v>
      </c>
      <c r="G135" s="43" t="str">
        <f t="shared" si="5"/>
        <v>First NDC</v>
      </c>
      <c r="H135" s="43" t="s">
        <v>499</v>
      </c>
      <c r="I135" s="351">
        <v>42697</v>
      </c>
      <c r="J135" s="320" t="s">
        <v>500</v>
      </c>
      <c r="K135" s="320" t="str" cm="1">
        <f t="array" ref="K135">IF(ISNUMBER(MATCH("Transport sector mitigation target", _xlfn._xlws.FILTER(Targets!H:H, Targets!A:A =A135), 0)), "yes", "no")</f>
        <v>no</v>
      </c>
      <c r="L135" s="43" t="str">
        <f>IF(K135="no", "No transport target", IF(AND(COUNTIFS(Targets!A:A, A135, Targets!H:H, "Transport sector mitigation target", Targets!J:J, "GHG") &gt; 0, COUNTIFS(Targets!A:A, A135, Targets!H:H, "Transport sector mitigation target", Targets!J:J, "Non GHG") &gt; 0), "GHG and non-GHG target", IF(COUNTIFS(Targets!A:A, A135, Targets!H:H, "Transport sector mitigation target", Targets!J:J, "GHG") &gt; 0, "GHG target", IF(COUNTIFS(Targets!A:A, A135, Targets!H:H, "Transport sector mitigation target", Targets!J:J, "Non GHG") &gt; 0, "non-GHG target", ""))))</f>
        <v>No transport target</v>
      </c>
      <c r="M135" s="43" t="str">
        <f>IF(K135="no","No transport target",IF(L135="non-GHG target","No GHG transport target",IF(AND(COUNTIFS(Targets!A:A,A135,Targets!H:H,"Transport sector mitigation target",Targets!J:J,"GHG",Targets!L:L,"Conditional")&gt;0,COUNTIFS(Targets!A:A,A135,Targets!H:H,"Transport sector mitigation target",Targets!J:J,"GHG",Targets!L:L,"Unconditional")&gt;0),"GHG unconditional and conditional",IF(COUNTIFS(Targets!A:A,A135,Targets!H:H,"Transport sector mitigation target",Targets!J:J,"GHG",Targets!L:L,"Conditional")&gt;0,"GHG conditional only",IF(COUNTIFS(Targets!A:A,A135,Targets!H:H,"Transport sector mitigation target",Targets!J:J,"GHG",Targets!L:L,"Unconditional")&gt;0,"GHG unconditional only",IF(COUNTIFS(Targets!A:A,A135,Targets!H:H,"Transport sector mitigation target",Targets!J:J,"GHG",Targets!L:L,"Unclear conditionality")&gt;0,"Conditionality unclear",""))))))</f>
        <v>No transport target</v>
      </c>
      <c r="N135" s="43" t="str" cm="1">
        <f t="array" ref="N135">IF(ISNUMBER(MATCH("Transport sector adaptation target", _xlfn._xlws.FILTER(Targets!H:H, Targets!A:A =A135), 0)), "yes", "no")</f>
        <v>no</v>
      </c>
      <c r="O135" s="43" t="str">
        <f>IF(ISNA(MATCH(A135, Mitigation!A:A, 0)), "no", "yes")</f>
        <v>no</v>
      </c>
      <c r="P135" s="43" t="str">
        <f>IF(ISNA(MATCH(A135, Adaptation!A:A, 0)), "no", "yes")</f>
        <v>no</v>
      </c>
      <c r="Q135" s="43" t="str">
        <f>IF(ISNA(MATCH(A135, Benefits!A:A, 0)), "no", "yes")</f>
        <v>no</v>
      </c>
      <c r="R135" s="43"/>
      <c r="S135" s="43"/>
      <c r="T135" s="43" t="s">
        <v>501</v>
      </c>
      <c r="U135" s="312" t="s">
        <v>645</v>
      </c>
      <c r="V135" s="233" t="str">
        <f>VLOOKUP(Table1[[#This Row],[Country Code]],Table29[],3,FALSE)</f>
        <v>Non-Annex I</v>
      </c>
      <c r="W135" s="233" t="str">
        <f>VLOOKUP(Table1[[#This Row],[Country Code]],Table29[],4,FALSE)</f>
        <v>Africa</v>
      </c>
      <c r="X135" s="233" t="str">
        <f>VLOOKUP(Table1[[#This Row],[Country Code]],Table29[],5,FALSE)</f>
        <v>Middle-income</v>
      </c>
      <c r="Y135" s="43"/>
      <c r="Z135" s="43"/>
    </row>
    <row r="136" spans="1:26" ht="15" customHeight="1" x14ac:dyDescent="0.25">
      <c r="A136" s="360">
        <v>17630</v>
      </c>
      <c r="B136" s="176" t="s">
        <v>249</v>
      </c>
      <c r="C136" s="243" t="str">
        <f>VLOOKUP(Table1[[#This Row],[Country Code]],Table29[],2,FALSE)</f>
        <v>Kazakhstan</v>
      </c>
      <c r="D136" s="243" t="str">
        <f t="shared" si="4"/>
        <v>Good</v>
      </c>
      <c r="E136" s="176" t="s">
        <v>71</v>
      </c>
      <c r="F136" s="43" t="s">
        <v>498</v>
      </c>
      <c r="G136" s="43" t="str">
        <f t="shared" si="5"/>
        <v>First NDC</v>
      </c>
      <c r="H136" s="43" t="s">
        <v>499</v>
      </c>
      <c r="I136" s="351">
        <v>42710</v>
      </c>
      <c r="J136" s="320" t="s">
        <v>500</v>
      </c>
      <c r="K136" s="320" t="str" cm="1">
        <f t="array" ref="K136">IF(ISNUMBER(MATCH("Transport sector mitigation target", _xlfn._xlws.FILTER(Targets!H:H, Targets!A:A =A136), 0)), "yes", "no")</f>
        <v>no</v>
      </c>
      <c r="L136" s="43" t="str">
        <f>IF(K136="no", "No transport target", IF(AND(COUNTIFS(Targets!A:A, A136, Targets!H:H, "Transport sector mitigation target", Targets!J:J, "GHG") &gt; 0, COUNTIFS(Targets!A:A, A136, Targets!H:H, "Transport sector mitigation target", Targets!J:J, "Non GHG") &gt; 0), "GHG and non-GHG target", IF(COUNTIFS(Targets!A:A, A136, Targets!H:H, "Transport sector mitigation target", Targets!J:J, "GHG") &gt; 0, "GHG target", IF(COUNTIFS(Targets!A:A, A136, Targets!H:H, "Transport sector mitigation target", Targets!J:J, "Non GHG") &gt; 0, "non-GHG target", ""))))</f>
        <v>No transport target</v>
      </c>
      <c r="M136" s="43" t="str">
        <f>IF(K136="no","No transport target",IF(L136="non-GHG target","No GHG transport target",IF(AND(COUNTIFS(Targets!A:A,A136,Targets!H:H,"Transport sector mitigation target",Targets!J:J,"GHG",Targets!L:L,"Conditional")&gt;0,COUNTIFS(Targets!A:A,A136,Targets!H:H,"Transport sector mitigation target",Targets!J:J,"GHG",Targets!L:L,"Unconditional")&gt;0),"GHG unconditional and conditional",IF(COUNTIFS(Targets!A:A,A136,Targets!H:H,"Transport sector mitigation target",Targets!J:J,"GHG",Targets!L:L,"Conditional")&gt;0,"GHG conditional only",IF(COUNTIFS(Targets!A:A,A136,Targets!H:H,"Transport sector mitigation target",Targets!J:J,"GHG",Targets!L:L,"Unconditional")&gt;0,"GHG unconditional only",IF(COUNTIFS(Targets!A:A,A136,Targets!H:H,"Transport sector mitigation target",Targets!J:J,"GHG",Targets!L:L,"Unclear conditionality")&gt;0,"Conditionality unclear",""))))))</f>
        <v>No transport target</v>
      </c>
      <c r="N136" s="43" t="str" cm="1">
        <f t="array" ref="N136">IF(ISNUMBER(MATCH("Transport sector adaptation target", _xlfn._xlws.FILTER(Targets!H:H, Targets!A:A =A136), 0)), "yes", "no")</f>
        <v>no</v>
      </c>
      <c r="O136" s="43" t="str">
        <f>IF(ISNA(MATCH(A136, Mitigation!A:A, 0)), "no", "yes")</f>
        <v>no</v>
      </c>
      <c r="P136" s="43" t="str">
        <f>IF(ISNA(MATCH(A136, Adaptation!A:A, 0)), "no", "yes")</f>
        <v>no</v>
      </c>
      <c r="Q136" s="43" t="str">
        <f>IF(ISNA(MATCH(A136, Benefits!A:A, 0)), "no", "yes")</f>
        <v>no</v>
      </c>
      <c r="R136" s="43"/>
      <c r="S136" s="43"/>
      <c r="T136" s="43" t="s">
        <v>501</v>
      </c>
      <c r="U136" s="312" t="s">
        <v>646</v>
      </c>
      <c r="V136" s="233" t="str">
        <f>VLOOKUP(Table1[[#This Row],[Country Code]],Table29[],3,FALSE)</f>
        <v>Non-Annex I</v>
      </c>
      <c r="W136" s="233" t="str">
        <f>VLOOKUP(Table1[[#This Row],[Country Code]],Table29[],4,FALSE)</f>
        <v>Asia</v>
      </c>
      <c r="X136" s="233" t="str">
        <f>VLOOKUP(Table1[[#This Row],[Country Code]],Table29[],5,FALSE)</f>
        <v>Middle-income</v>
      </c>
      <c r="Y136" s="43"/>
      <c r="Z136" s="43"/>
    </row>
    <row r="137" spans="1:26" ht="15" customHeight="1" x14ac:dyDescent="0.25">
      <c r="A137" s="405">
        <v>17788</v>
      </c>
      <c r="B137" s="20" t="s">
        <v>468</v>
      </c>
      <c r="C137" s="206" t="str">
        <f>VLOOKUP(Table1[[#This Row],[Country Code]],Table29[],2,FALSE)</f>
        <v>Zambia</v>
      </c>
      <c r="D137" s="243" t="str">
        <f t="shared" si="4"/>
        <v>Good</v>
      </c>
      <c r="E137" s="20" t="s">
        <v>71</v>
      </c>
      <c r="F137" s="17" t="s">
        <v>498</v>
      </c>
      <c r="G137" s="43" t="str">
        <f t="shared" si="5"/>
        <v>First NDC</v>
      </c>
      <c r="H137" s="17" t="s">
        <v>499</v>
      </c>
      <c r="I137" s="149">
        <v>42713</v>
      </c>
      <c r="J137" s="49" t="s">
        <v>500</v>
      </c>
      <c r="K137" s="49" t="str" cm="1">
        <f t="array" ref="K137">IF(ISNUMBER(MATCH("Transport sector mitigation target", _xlfn._xlws.FILTER(Targets!H:H, Targets!A:A =A137), 0)), "yes", "no")</f>
        <v>no</v>
      </c>
      <c r="L137" s="17" t="str">
        <f>IF(K137="no", "No transport target", IF(AND(COUNTIFS(Targets!A:A, A137, Targets!H:H, "Transport sector mitigation target", Targets!J:J, "GHG") &gt; 0, COUNTIFS(Targets!A:A, A137, Targets!H:H, "Transport sector mitigation target", Targets!J:J, "Non GHG") &gt; 0), "GHG and non-GHG target", IF(COUNTIFS(Targets!A:A, A137, Targets!H:H, "Transport sector mitigation target", Targets!J:J, "GHG") &gt; 0, "GHG target", IF(COUNTIFS(Targets!A:A, A137, Targets!H:H, "Transport sector mitigation target", Targets!J:J, "Non GHG") &gt; 0, "non-GHG target", ""))))</f>
        <v>No transport target</v>
      </c>
      <c r="M137" s="17" t="str">
        <f>IF(K137="no","No transport target",IF(L137="non-GHG target","No GHG transport target",IF(AND(COUNTIFS(Targets!A:A,A137,Targets!H:H,"Transport sector mitigation target",Targets!J:J,"GHG",Targets!L:L,"Conditional")&gt;0,COUNTIFS(Targets!A:A,A137,Targets!H:H,"Transport sector mitigation target",Targets!J:J,"GHG",Targets!L:L,"Unconditional")&gt;0),"GHG unconditional and conditional",IF(COUNTIFS(Targets!A:A,A137,Targets!H:H,"Transport sector mitigation target",Targets!J:J,"GHG",Targets!L:L,"Conditional")&gt;0,"GHG conditional only",IF(COUNTIFS(Targets!A:A,A137,Targets!H:H,"Transport sector mitigation target",Targets!J:J,"GHG",Targets!L:L,"Unconditional")&gt;0,"GHG unconditional only",IF(COUNTIFS(Targets!A:A,A137,Targets!H:H,"Transport sector mitigation target",Targets!J:J,"GHG",Targets!L:L,"Unclear conditionality")&gt;0,"Conditionality unclear",""))))))</f>
        <v>No transport target</v>
      </c>
      <c r="N137" s="17" t="str" cm="1">
        <f t="array" ref="N137">IF(ISNUMBER(MATCH("Transport sector adaptation target", _xlfn._xlws.FILTER(Targets!H:H, Targets!A:A =A137), 0)), "yes", "no")</f>
        <v>no</v>
      </c>
      <c r="O137" s="17" t="str">
        <f>IF(ISNA(MATCH(A137, Mitigation!A:A, 0)), "no", "yes")</f>
        <v>yes</v>
      </c>
      <c r="P137" s="17" t="str">
        <f>IF(ISNA(MATCH(A137, Adaptation!A:A, 0)), "no", "yes")</f>
        <v>yes</v>
      </c>
      <c r="Q137" s="17" t="str">
        <f>IF(ISNA(MATCH(A137, Benefits!A:A, 0)), "no", "yes")</f>
        <v>no</v>
      </c>
      <c r="R137" s="17"/>
      <c r="S137" s="17"/>
      <c r="T137" s="17" t="s">
        <v>501</v>
      </c>
      <c r="U137" s="135" t="s">
        <v>647</v>
      </c>
      <c r="V137" s="207" t="str">
        <f>VLOOKUP(Table1[[#This Row],[Country Code]],Table29[],3,FALSE)</f>
        <v>Non-Annex I</v>
      </c>
      <c r="W137" s="207" t="str">
        <f>VLOOKUP(Table1[[#This Row],[Country Code]],Table29[],4,FALSE)</f>
        <v>Africa</v>
      </c>
      <c r="X137" s="207" t="str">
        <f>VLOOKUP(Table1[[#This Row],[Country Code]],Table29[],5,FALSE)</f>
        <v>Middle-income</v>
      </c>
      <c r="Y137" s="17"/>
      <c r="Z137" s="17"/>
    </row>
    <row r="138" spans="1:26" ht="15" customHeight="1" x14ac:dyDescent="0.25">
      <c r="A138" s="360">
        <v>32410</v>
      </c>
      <c r="B138" s="42" t="s">
        <v>72</v>
      </c>
      <c r="C138" s="243" t="str">
        <f>VLOOKUP(Table1[[#This Row],[Country Code]],Table29[],2,FALSE)</f>
        <v>Argentina</v>
      </c>
      <c r="D138" s="243" t="str">
        <f t="shared" ref="D138:D183" si="6">IF(J138&lt;&gt;"Active",
    "Good",
    IF(COUNTIFS(C:C, C138, E:E, E138, J:J, "Active")&gt;1,
       IF(E138="LTS", "Error: more than one LTS active",
          IF(E138="NDC", "Error: more than one NDC active", "Error")
       ),
       "Good"
    )
)</f>
        <v>Good</v>
      </c>
      <c r="E138" s="176" t="s">
        <v>227</v>
      </c>
      <c r="F138" s="43" t="s">
        <v>227</v>
      </c>
      <c r="G138" s="43" t="str">
        <f t="shared" ref="G138:G183" si="7">IF(H138="NDC 1.0","First NDC",
IF(OR(H138="NDC 1.1",H138="NDC 1.2",H138="NDC 1.3"),"First NDC updated",
IF(H138="NDC 2.0","Second NDC",
IF(OR(H138="NDC 2.1",H138="NDC 2.2",H138="NDC 2.3"),"Second NDC updated",
IF(H138="NDC 3.0","Third NDC",
IF(OR(H138="NDC 3.1",H138="NDC 3.2",H138="NDC 3.3"),"Third NDC updated",
F138))))))</f>
        <v>LTS</v>
      </c>
      <c r="H138" s="350" t="s">
        <v>636</v>
      </c>
      <c r="I138" s="351">
        <v>44871</v>
      </c>
      <c r="J138" s="352" t="s">
        <v>505</v>
      </c>
      <c r="K138" s="320" t="str" cm="1">
        <f t="array" ref="K138">IF(ISNUMBER(MATCH("Transport sector mitigation target", _xlfn._xlws.FILTER(Targets!H:H, Targets!A:A =A138), 0)), "yes", "no")</f>
        <v>no</v>
      </c>
      <c r="L138" s="27" t="str">
        <f>IF(K138="no", "No transport target", IF(AND(COUNTIFS(Targets!A:A, A138, Targets!H:H, "Transport sector mitigation target", Targets!J:J, "GHG") &gt; 0, COUNTIFS(Targets!A:A, A138, Targets!H:H, "Transport sector mitigation target", Targets!J:J, "Non GHG") &gt; 0), "GHG and non-GHG target", IF(COUNTIFS(Targets!A:A, A138, Targets!H:H, "Transport sector mitigation target", Targets!J:J, "GHG") &gt; 0, "GHG target", IF(COUNTIFS(Targets!A:A, A138, Targets!H:H, "Transport sector mitigation target", Targets!J:J, "Non GHG") &gt; 0, "non-GHG target", ""))))</f>
        <v>No transport target</v>
      </c>
      <c r="M138" s="27" t="str">
        <f>IF(K138="no","No transport target",IF(L138="non-GHG target","No GHG transport target",IF(AND(COUNTIFS(Targets!A:A,A138,Targets!H:H,"Transport sector mitigation target",Targets!J:J,"GHG",Targets!L:L,"Conditional")&gt;0,COUNTIFS(Targets!A:A,A138,Targets!H:H,"Transport sector mitigation target",Targets!J:J,"GHG",Targets!L:L,"Unconditional")&gt;0),"GHG unconditional and conditional",IF(COUNTIFS(Targets!A:A,A138,Targets!H:H,"Transport sector mitigation target",Targets!J:J,"GHG",Targets!L:L,"Conditional")&gt;0,"GHG conditional only",IF(COUNTIFS(Targets!A:A,A138,Targets!H:H,"Transport sector mitigation target",Targets!J:J,"GHG",Targets!L:L,"Unconditional")&gt;0,"GHG unconditional only",IF(COUNTIFS(Targets!A:A,A138,Targets!H:H,"Transport sector mitigation target",Targets!J:J,"GHG",Targets!L:L,"Unclear conditionality")&gt;0,"Conditionality unclear",""))))))</f>
        <v>No transport target</v>
      </c>
      <c r="N138" s="27" t="str" cm="1">
        <f t="array" ref="N138">IF(ISNUMBER(MATCH("Transport sector adaptation target", _xlfn._xlws.FILTER(Targets!H:H, Targets!A:A =A138), 0)), "yes", "no")</f>
        <v>no</v>
      </c>
      <c r="O138" s="27" t="str">
        <f>IF(ISNA(MATCH(A138, Mitigation!A:A, 0)), "no", "yes")</f>
        <v>yes</v>
      </c>
      <c r="P138" s="27" t="str">
        <f>IF(ISNA(MATCH(A138, Adaptation!A:A, 0)), "no", "yes")</f>
        <v>yes</v>
      </c>
      <c r="Q138" s="27" t="str">
        <f>IF(ISNA(MATCH(A138, Benefits!A:A, 0)), "no", "yes")</f>
        <v>yes</v>
      </c>
      <c r="R138" s="27"/>
      <c r="S138" s="27"/>
      <c r="T138" s="43" t="s">
        <v>501</v>
      </c>
      <c r="U138" s="357" t="s">
        <v>648</v>
      </c>
      <c r="V138" s="233" t="str">
        <f>VLOOKUP(Table1[[#This Row],[Country Code]],Table29[],3,FALSE)</f>
        <v>Non-Annex I</v>
      </c>
      <c r="W138" s="233" t="str">
        <f>VLOOKUP(Table1[[#This Row],[Country Code]],Table29[],4,FALSE)</f>
        <v>Latin America and the Caribbean</v>
      </c>
      <c r="X138" s="233" t="str">
        <f>VLOOKUP(Table1[[#This Row],[Country Code]],Table29[],5,FALSE)</f>
        <v>Middle-income</v>
      </c>
      <c r="Y138" s="43"/>
      <c r="Z138" s="43"/>
    </row>
    <row r="139" spans="1:26" ht="15" customHeight="1" x14ac:dyDescent="0.25">
      <c r="A139" s="360">
        <v>17631</v>
      </c>
      <c r="B139" s="176" t="s">
        <v>251</v>
      </c>
      <c r="C139" s="243" t="str">
        <f>VLOOKUP(Table1[[#This Row],[Country Code]],Table29[],2,FALSE)</f>
        <v>Kenya</v>
      </c>
      <c r="D139" s="243" t="str">
        <f t="shared" si="6"/>
        <v>Good</v>
      </c>
      <c r="E139" s="176" t="s">
        <v>71</v>
      </c>
      <c r="F139" s="43" t="s">
        <v>498</v>
      </c>
      <c r="G139" s="43" t="str">
        <f t="shared" si="7"/>
        <v>First NDC</v>
      </c>
      <c r="H139" s="43" t="s">
        <v>499</v>
      </c>
      <c r="I139" s="351">
        <v>42732</v>
      </c>
      <c r="J139" s="320" t="s">
        <v>500</v>
      </c>
      <c r="K139" s="320" t="str" cm="1">
        <f t="array" ref="K139">IF(ISNUMBER(MATCH("Transport sector mitigation target", _xlfn._xlws.FILTER(Targets!H:H, Targets!A:A =A139), 0)), "yes", "no")</f>
        <v>no</v>
      </c>
      <c r="L139" s="43" t="str">
        <f>IF(K139="no", "No transport target", IF(AND(COUNTIFS(Targets!A:A, A139, Targets!H:H, "Transport sector mitigation target", Targets!J:J, "GHG") &gt; 0, COUNTIFS(Targets!A:A, A139, Targets!H:H, "Transport sector mitigation target", Targets!J:J, "Non GHG") &gt; 0), "GHG and non-GHG target", IF(COUNTIFS(Targets!A:A, A139, Targets!H:H, "Transport sector mitigation target", Targets!J:J, "GHG") &gt; 0, "GHG target", IF(COUNTIFS(Targets!A:A, A139, Targets!H:H, "Transport sector mitigation target", Targets!J:J, "Non GHG") &gt; 0, "non-GHG target", ""))))</f>
        <v>No transport target</v>
      </c>
      <c r="M139" s="43" t="str">
        <f>IF(K139="no","No transport target",IF(L139="non-GHG target","No GHG transport target",IF(AND(COUNTIFS(Targets!A:A,A139,Targets!H:H,"Transport sector mitigation target",Targets!J:J,"GHG",Targets!L:L,"Conditional")&gt;0,COUNTIFS(Targets!A:A,A139,Targets!H:H,"Transport sector mitigation target",Targets!J:J,"GHG",Targets!L:L,"Unconditional")&gt;0),"GHG unconditional and conditional",IF(COUNTIFS(Targets!A:A,A139,Targets!H:H,"Transport sector mitigation target",Targets!J:J,"GHG",Targets!L:L,"Conditional")&gt;0,"GHG conditional only",IF(COUNTIFS(Targets!A:A,A139,Targets!H:H,"Transport sector mitigation target",Targets!J:J,"GHG",Targets!L:L,"Unconditional")&gt;0,"GHG unconditional only",IF(COUNTIFS(Targets!A:A,A139,Targets!H:H,"Transport sector mitigation target",Targets!J:J,"GHG",Targets!L:L,"Unclear conditionality")&gt;0,"Conditionality unclear",""))))))</f>
        <v>No transport target</v>
      </c>
      <c r="N139" s="43" t="str" cm="1">
        <f t="array" ref="N139">IF(ISNUMBER(MATCH("Transport sector adaptation target", _xlfn._xlws.FILTER(Targets!H:H, Targets!A:A =A139), 0)), "yes", "no")</f>
        <v>no</v>
      </c>
      <c r="O139" s="43" t="str">
        <f>IF(ISNA(MATCH(A139, Mitigation!A:A, 0)), "no", "yes")</f>
        <v>yes</v>
      </c>
      <c r="P139" s="43" t="str">
        <f>IF(ISNA(MATCH(A139, Adaptation!A:A, 0)), "no", "yes")</f>
        <v>yes</v>
      </c>
      <c r="Q139" s="43" t="str">
        <f>IF(ISNA(MATCH(A139, Benefits!A:A, 0)), "no", "yes")</f>
        <v>no</v>
      </c>
      <c r="R139" s="43"/>
      <c r="S139" s="43"/>
      <c r="T139" s="43" t="s">
        <v>501</v>
      </c>
      <c r="U139" s="312" t="s">
        <v>649</v>
      </c>
      <c r="V139" s="233" t="str">
        <f>VLOOKUP(Table1[[#This Row],[Country Code]],Table29[],3,FALSE)</f>
        <v>Non-Annex I</v>
      </c>
      <c r="W139" s="233" t="str">
        <f>VLOOKUP(Table1[[#This Row],[Country Code]],Table29[],4,FALSE)</f>
        <v>Africa</v>
      </c>
      <c r="X139" s="233" t="str">
        <f>VLOOKUP(Table1[[#This Row],[Country Code]],Table29[],5,FALSE)</f>
        <v>Middle-income</v>
      </c>
      <c r="Y139" s="43"/>
      <c r="Z139" s="43"/>
    </row>
    <row r="140" spans="1:26" ht="15" customHeight="1" x14ac:dyDescent="0.25">
      <c r="A140" s="360">
        <v>17523</v>
      </c>
      <c r="B140" s="176" t="s">
        <v>89</v>
      </c>
      <c r="C140" s="243" t="str">
        <f>VLOOKUP(Table1[[#This Row],[Country Code]],Table29[],2,FALSE)</f>
        <v>Bahrain</v>
      </c>
      <c r="D140" s="243" t="str">
        <f t="shared" si="6"/>
        <v>Good</v>
      </c>
      <c r="E140" s="176" t="s">
        <v>71</v>
      </c>
      <c r="F140" s="43" t="s">
        <v>498</v>
      </c>
      <c r="G140" s="43" t="str">
        <f t="shared" si="7"/>
        <v>First NDC</v>
      </c>
      <c r="H140" s="43" t="s">
        <v>499</v>
      </c>
      <c r="I140" s="351">
        <v>42734</v>
      </c>
      <c r="J140" s="320" t="s">
        <v>500</v>
      </c>
      <c r="K140" s="320" t="str" cm="1">
        <f t="array" ref="K140">IF(ISNUMBER(MATCH("Transport sector mitigation target", _xlfn._xlws.FILTER(Targets!H:H, Targets!A:A =A140), 0)), "yes", "no")</f>
        <v>no</v>
      </c>
      <c r="L140" s="43" t="str">
        <f>IF(K140="no", "No transport target", IF(AND(COUNTIFS(Targets!A:A, A140, Targets!H:H, "Transport sector mitigation target", Targets!J:J, "GHG") &gt; 0, COUNTIFS(Targets!A:A, A140, Targets!H:H, "Transport sector mitigation target", Targets!J:J, "Non GHG") &gt; 0), "GHG and non-GHG target", IF(COUNTIFS(Targets!A:A, A140, Targets!H:H, "Transport sector mitigation target", Targets!J:J, "GHG") &gt; 0, "GHG target", IF(COUNTIFS(Targets!A:A, A140, Targets!H:H, "Transport sector mitigation target", Targets!J:J, "Non GHG") &gt; 0, "non-GHG target", ""))))</f>
        <v>No transport target</v>
      </c>
      <c r="M140" s="43" t="str">
        <f>IF(K140="no","No transport target",IF(L140="non-GHG target","No GHG transport target",IF(AND(COUNTIFS(Targets!A:A,A140,Targets!H:H,"Transport sector mitigation target",Targets!J:J,"GHG",Targets!L:L,"Conditional")&gt;0,COUNTIFS(Targets!A:A,A140,Targets!H:H,"Transport sector mitigation target",Targets!J:J,"GHG",Targets!L:L,"Unconditional")&gt;0),"GHG unconditional and conditional",IF(COUNTIFS(Targets!A:A,A140,Targets!H:H,"Transport sector mitigation target",Targets!J:J,"GHG",Targets!L:L,"Conditional")&gt;0,"GHG conditional only",IF(COUNTIFS(Targets!A:A,A140,Targets!H:H,"Transport sector mitigation target",Targets!J:J,"GHG",Targets!L:L,"Unconditional")&gt;0,"GHG unconditional only",IF(COUNTIFS(Targets!A:A,A140,Targets!H:H,"Transport sector mitigation target",Targets!J:J,"GHG",Targets!L:L,"Unclear conditionality")&gt;0,"Conditionality unclear",""))))))</f>
        <v>No transport target</v>
      </c>
      <c r="N140" s="43" t="str" cm="1">
        <f t="array" ref="N140">IF(ISNUMBER(MATCH("Transport sector adaptation target", _xlfn._xlws.FILTER(Targets!H:H, Targets!A:A =A140), 0)), "yes", "no")</f>
        <v>no</v>
      </c>
      <c r="O140" s="43" t="str">
        <f>IF(ISNA(MATCH(A140, Mitigation!A:A, 0)), "no", "yes")</f>
        <v>no</v>
      </c>
      <c r="P140" s="43" t="str">
        <f>IF(ISNA(MATCH(A140, Adaptation!A:A, 0)), "no", "yes")</f>
        <v>no</v>
      </c>
      <c r="Q140" s="43" t="str">
        <f>IF(ISNA(MATCH(A140, Benefits!A:A, 0)), "no", "yes")</f>
        <v>no</v>
      </c>
      <c r="R140" s="43"/>
      <c r="S140" s="43"/>
      <c r="T140" s="43" t="s">
        <v>501</v>
      </c>
      <c r="U140" s="312" t="s">
        <v>650</v>
      </c>
      <c r="V140" s="233" t="str">
        <f>VLOOKUP(Table1[[#This Row],[Country Code]],Table29[],3,FALSE)</f>
        <v>Non-Annex I</v>
      </c>
      <c r="W140" s="233" t="str">
        <f>VLOOKUP(Table1[[#This Row],[Country Code]],Table29[],4,FALSE)</f>
        <v>Asia</v>
      </c>
      <c r="X140" s="233" t="str">
        <f>VLOOKUP(Table1[[#This Row],[Country Code]],Table29[],5,FALSE)</f>
        <v>High-income</v>
      </c>
      <c r="Y140" s="43"/>
      <c r="Z140" s="43"/>
    </row>
    <row r="141" spans="1:26" ht="15" customHeight="1" x14ac:dyDescent="0.25">
      <c r="A141" s="360">
        <v>17567</v>
      </c>
      <c r="B141" s="176" t="s">
        <v>154</v>
      </c>
      <c r="C141" s="243" t="str">
        <f>VLOOKUP(Table1[[#This Row],[Country Code]],Table29[],2,FALSE)</f>
        <v>Cuba</v>
      </c>
      <c r="D141" s="243" t="str">
        <f t="shared" si="6"/>
        <v>Good</v>
      </c>
      <c r="E141" s="176" t="s">
        <v>71</v>
      </c>
      <c r="F141" s="43" t="s">
        <v>498</v>
      </c>
      <c r="G141" s="43" t="str">
        <f t="shared" si="7"/>
        <v>First NDC</v>
      </c>
      <c r="H141" s="43" t="s">
        <v>499</v>
      </c>
      <c r="I141" s="351">
        <v>42734</v>
      </c>
      <c r="J141" s="320" t="s">
        <v>500</v>
      </c>
      <c r="K141" s="320" t="str" cm="1">
        <f t="array" ref="K141">IF(ISNUMBER(MATCH("Transport sector mitigation target", _xlfn._xlws.FILTER(Targets!H:H, Targets!A:A =A141), 0)), "yes", "no")</f>
        <v>no</v>
      </c>
      <c r="L141" s="43" t="str">
        <f>IF(K141="no", "No transport target", IF(AND(COUNTIFS(Targets!A:A, A141, Targets!H:H, "Transport sector mitigation target", Targets!J:J, "GHG") &gt; 0, COUNTIFS(Targets!A:A, A141, Targets!H:H, "Transport sector mitigation target", Targets!J:J, "Non GHG") &gt; 0), "GHG and non-GHG target", IF(COUNTIFS(Targets!A:A, A141, Targets!H:H, "Transport sector mitigation target", Targets!J:J, "GHG") &gt; 0, "GHG target", IF(COUNTIFS(Targets!A:A, A141, Targets!H:H, "Transport sector mitigation target", Targets!J:J, "Non GHG") &gt; 0, "non-GHG target", ""))))</f>
        <v>No transport target</v>
      </c>
      <c r="M141" s="43" t="str">
        <f>IF(K141="no","No transport target",IF(L141="non-GHG target","No GHG transport target",IF(AND(COUNTIFS(Targets!A:A,A141,Targets!H:H,"Transport sector mitigation target",Targets!J:J,"GHG",Targets!L:L,"Conditional")&gt;0,COUNTIFS(Targets!A:A,A141,Targets!H:H,"Transport sector mitigation target",Targets!J:J,"GHG",Targets!L:L,"Unconditional")&gt;0),"GHG unconditional and conditional",IF(COUNTIFS(Targets!A:A,A141,Targets!H:H,"Transport sector mitigation target",Targets!J:J,"GHG",Targets!L:L,"Conditional")&gt;0,"GHG conditional only",IF(COUNTIFS(Targets!A:A,A141,Targets!H:H,"Transport sector mitigation target",Targets!J:J,"GHG",Targets!L:L,"Unconditional")&gt;0,"GHG unconditional only",IF(COUNTIFS(Targets!A:A,A141,Targets!H:H,"Transport sector mitigation target",Targets!J:J,"GHG",Targets!L:L,"Unclear conditionality")&gt;0,"Conditionality unclear",""))))))</f>
        <v>No transport target</v>
      </c>
      <c r="N141" s="43" t="str" cm="1">
        <f t="array" ref="N141">IF(ISNUMBER(MATCH("Transport sector adaptation target", _xlfn._xlws.FILTER(Targets!H:H, Targets!A:A =A141), 0)), "yes", "no")</f>
        <v>no</v>
      </c>
      <c r="O141" s="43" t="str">
        <f>IF(ISNA(MATCH(A141, Mitigation!A:A, 0)), "no", "yes")</f>
        <v>no</v>
      </c>
      <c r="P141" s="43" t="str">
        <f>IF(ISNA(MATCH(A141, Adaptation!A:A, 0)), "no", "yes")</f>
        <v>no</v>
      </c>
      <c r="Q141" s="43" t="str">
        <f>IF(ISNA(MATCH(A141, Benefits!A:A, 0)), "no", "yes")</f>
        <v>no</v>
      </c>
      <c r="R141" s="43"/>
      <c r="S141" s="43"/>
      <c r="T141" s="43" t="s">
        <v>501</v>
      </c>
      <c r="U141" s="312" t="s">
        <v>651</v>
      </c>
      <c r="V141" s="233" t="str">
        <f>VLOOKUP(Table1[[#This Row],[Country Code]],Table29[],3,FALSE)</f>
        <v>Non-Annex I</v>
      </c>
      <c r="W141" s="233" t="str">
        <f>VLOOKUP(Table1[[#This Row],[Country Code]],Table29[],4,FALSE)</f>
        <v>Latin America and the Caribbean</v>
      </c>
      <c r="X141" s="233" t="str">
        <f>VLOOKUP(Table1[[#This Row],[Country Code]],Table29[],5,FALSE)</f>
        <v>Middle-income</v>
      </c>
      <c r="Y141" s="43"/>
      <c r="Z141" s="43"/>
    </row>
    <row r="142" spans="1:26" ht="15" customHeight="1" x14ac:dyDescent="0.25">
      <c r="A142" s="360">
        <v>17521</v>
      </c>
      <c r="B142" s="176" t="s">
        <v>85</v>
      </c>
      <c r="C142" s="243" t="str">
        <f>VLOOKUP(Table1[[#This Row],[Country Code]],Table29[],2,FALSE)</f>
        <v>Azerbaijan</v>
      </c>
      <c r="D142" s="243" t="str">
        <f t="shared" si="6"/>
        <v>Good</v>
      </c>
      <c r="E142" s="176" t="s">
        <v>71</v>
      </c>
      <c r="F142" s="43" t="s">
        <v>498</v>
      </c>
      <c r="G142" s="43" t="str">
        <f t="shared" si="7"/>
        <v>First NDC</v>
      </c>
      <c r="H142" s="43" t="s">
        <v>499</v>
      </c>
      <c r="I142" s="351">
        <v>42744</v>
      </c>
      <c r="J142" s="352" t="s">
        <v>500</v>
      </c>
      <c r="K142" s="320" t="str" cm="1">
        <f t="array" ref="K142">IF(ISNUMBER(MATCH("Transport sector mitigation target", _xlfn._xlws.FILTER(Targets!H:H, Targets!A:A =A142), 0)), "yes", "no")</f>
        <v>no</v>
      </c>
      <c r="L142" s="43" t="str">
        <f>IF(K142="no", "No transport target", IF(AND(COUNTIFS(Targets!A:A, A142, Targets!H:H, "Transport sector mitigation target", Targets!J:J, "GHG") &gt; 0, COUNTIFS(Targets!A:A, A142, Targets!H:H, "Transport sector mitigation target", Targets!J:J, "Non GHG") &gt; 0), "GHG and non-GHG target", IF(COUNTIFS(Targets!A:A, A142, Targets!H:H, "Transport sector mitigation target", Targets!J:J, "GHG") &gt; 0, "GHG target", IF(COUNTIFS(Targets!A:A, A142, Targets!H:H, "Transport sector mitigation target", Targets!J:J, "Non GHG") &gt; 0, "non-GHG target", ""))))</f>
        <v>No transport target</v>
      </c>
      <c r="M142" s="43" t="str">
        <f>IF(K142="no","No transport target",IF(L142="non-GHG target","No GHG transport target",IF(AND(COUNTIFS(Targets!A:A,A142,Targets!H:H,"Transport sector mitigation target",Targets!J:J,"GHG",Targets!L:L,"Conditional")&gt;0,COUNTIFS(Targets!A:A,A142,Targets!H:H,"Transport sector mitigation target",Targets!J:J,"GHG",Targets!L:L,"Unconditional")&gt;0),"GHG unconditional and conditional",IF(COUNTIFS(Targets!A:A,A142,Targets!H:H,"Transport sector mitigation target",Targets!J:J,"GHG",Targets!L:L,"Conditional")&gt;0,"GHG conditional only",IF(COUNTIFS(Targets!A:A,A142,Targets!H:H,"Transport sector mitigation target",Targets!J:J,"GHG",Targets!L:L,"Unconditional")&gt;0,"GHG unconditional only",IF(COUNTIFS(Targets!A:A,A142,Targets!H:H,"Transport sector mitigation target",Targets!J:J,"GHG",Targets!L:L,"Unclear conditionality")&gt;0,"Conditionality unclear",""))))))</f>
        <v>No transport target</v>
      </c>
      <c r="N142" s="43" t="str" cm="1">
        <f t="array" ref="N142">IF(ISNUMBER(MATCH("Transport sector adaptation target", _xlfn._xlws.FILTER(Targets!H:H, Targets!A:A =A142), 0)), "yes", "no")</f>
        <v>no</v>
      </c>
      <c r="O142" s="43" t="str">
        <f>IF(ISNA(MATCH(A142, Mitigation!A:A, 0)), "no", "yes")</f>
        <v>yes</v>
      </c>
      <c r="P142" s="43" t="str">
        <f>IF(ISNA(MATCH(A142, Adaptation!A:A, 0)), "no", "yes")</f>
        <v>no</v>
      </c>
      <c r="Q142" s="43" t="str">
        <f>IF(ISNA(MATCH(A142, Benefits!A:A, 0)), "no", "yes")</f>
        <v>yes</v>
      </c>
      <c r="R142" s="43"/>
      <c r="S142" s="43"/>
      <c r="T142" s="43" t="s">
        <v>501</v>
      </c>
      <c r="U142" s="312" t="s">
        <v>652</v>
      </c>
      <c r="V142" s="233" t="str">
        <f>VLOOKUP(Table1[[#This Row],[Country Code]],Table29[],3,FALSE)</f>
        <v>Non-Annex I</v>
      </c>
      <c r="W142" s="233" t="str">
        <f>VLOOKUP(Table1[[#This Row],[Country Code]],Table29[],4,FALSE)</f>
        <v>Asia</v>
      </c>
      <c r="X142" s="233" t="str">
        <f>VLOOKUP(Table1[[#This Row],[Country Code]],Table29[],5,FALSE)</f>
        <v>Middle-income</v>
      </c>
      <c r="Y142" s="43"/>
      <c r="Z142" s="43"/>
    </row>
    <row r="143" spans="1:26" ht="15" customHeight="1" x14ac:dyDescent="0.25">
      <c r="A143" s="405">
        <v>17553</v>
      </c>
      <c r="B143" s="20" t="s">
        <v>133</v>
      </c>
      <c r="C143" s="206" t="str">
        <f>VLOOKUP(Table1[[#This Row],[Country Code]],Table29[],2,FALSE)</f>
        <v>Chad</v>
      </c>
      <c r="D143" s="243" t="str">
        <f t="shared" si="6"/>
        <v>Good</v>
      </c>
      <c r="E143" s="20" t="s">
        <v>71</v>
      </c>
      <c r="F143" s="17" t="s">
        <v>498</v>
      </c>
      <c r="G143" s="43" t="str">
        <f t="shared" si="7"/>
        <v>First NDC</v>
      </c>
      <c r="H143" s="17" t="s">
        <v>499</v>
      </c>
      <c r="I143" s="149">
        <v>42747</v>
      </c>
      <c r="J143" s="49" t="s">
        <v>500</v>
      </c>
      <c r="K143" s="49" t="str" cm="1">
        <f t="array" ref="K143">IF(ISNUMBER(MATCH("Transport sector mitigation target", _xlfn._xlws.FILTER(Targets!H:H, Targets!A:A =A143), 0)), "yes", "no")</f>
        <v>no</v>
      </c>
      <c r="L143" s="17" t="str">
        <f>IF(K143="no", "No transport target", IF(AND(COUNTIFS(Targets!A:A, A143, Targets!H:H, "Transport sector mitigation target", Targets!J:J, "GHG") &gt; 0, COUNTIFS(Targets!A:A, A143, Targets!H:H, "Transport sector mitigation target", Targets!J:J, "Non GHG") &gt; 0), "GHG and non-GHG target", IF(COUNTIFS(Targets!A:A, A143, Targets!H:H, "Transport sector mitigation target", Targets!J:J, "GHG") &gt; 0, "GHG target", IF(COUNTIFS(Targets!A:A, A143, Targets!H:H, "Transport sector mitigation target", Targets!J:J, "Non GHG") &gt; 0, "non-GHG target", ""))))</f>
        <v>No transport target</v>
      </c>
      <c r="M143" s="17" t="str">
        <f>IF(K143="no","No transport target",IF(L143="non-GHG target","No GHG transport target",IF(AND(COUNTIFS(Targets!A:A,A143,Targets!H:H,"Transport sector mitigation target",Targets!J:J,"GHG",Targets!L:L,"Conditional")&gt;0,COUNTIFS(Targets!A:A,A143,Targets!H:H,"Transport sector mitigation target",Targets!J:J,"GHG",Targets!L:L,"Unconditional")&gt;0),"GHG unconditional and conditional",IF(COUNTIFS(Targets!A:A,A143,Targets!H:H,"Transport sector mitigation target",Targets!J:J,"GHG",Targets!L:L,"Conditional")&gt;0,"GHG conditional only",IF(COUNTIFS(Targets!A:A,A143,Targets!H:H,"Transport sector mitigation target",Targets!J:J,"GHG",Targets!L:L,"Unconditional")&gt;0,"GHG unconditional only",IF(COUNTIFS(Targets!A:A,A143,Targets!H:H,"Transport sector mitigation target",Targets!J:J,"GHG",Targets!L:L,"Unclear conditionality")&gt;0,"Conditionality unclear",""))))))</f>
        <v>No transport target</v>
      </c>
      <c r="N143" s="17" t="str" cm="1">
        <f t="array" ref="N143">IF(ISNUMBER(MATCH("Transport sector adaptation target", _xlfn._xlws.FILTER(Targets!H:H, Targets!A:A =A143), 0)), "yes", "no")</f>
        <v>no</v>
      </c>
      <c r="O143" s="17" t="str">
        <f>IF(ISNA(MATCH(A143, Mitigation!A:A, 0)), "no", "yes")</f>
        <v>no</v>
      </c>
      <c r="P143" s="17" t="str">
        <f>IF(ISNA(MATCH(A143, Adaptation!A:A, 0)), "no", "yes")</f>
        <v>no</v>
      </c>
      <c r="Q143" s="17" t="str">
        <f>IF(ISNA(MATCH(A143, Benefits!A:A, 0)), "no", "yes")</f>
        <v>no</v>
      </c>
      <c r="R143" s="17"/>
      <c r="S143" s="17"/>
      <c r="T143" s="17" t="s">
        <v>501</v>
      </c>
      <c r="U143" s="135" t="s">
        <v>653</v>
      </c>
      <c r="V143" s="207" t="str">
        <f>VLOOKUP(Table1[[#This Row],[Country Code]],Table29[],3,FALSE)</f>
        <v>Non-Annex I</v>
      </c>
      <c r="W143" s="207" t="str">
        <f>VLOOKUP(Table1[[#This Row],[Country Code]],Table29[],4,FALSE)</f>
        <v>Africa</v>
      </c>
      <c r="X143" s="207" t="str">
        <f>VLOOKUP(Table1[[#This Row],[Country Code]],Table29[],5,FALSE)</f>
        <v>Low-income</v>
      </c>
      <c r="Y143" s="17"/>
      <c r="Z143" s="17"/>
    </row>
    <row r="144" spans="1:26" ht="15" customHeight="1" x14ac:dyDescent="0.25">
      <c r="A144" s="360">
        <v>17642</v>
      </c>
      <c r="B144" s="176" t="s">
        <v>268</v>
      </c>
      <c r="C144" s="243" t="str">
        <f>VLOOKUP(Table1[[#This Row],[Country Code]],Table29[],2,FALSE)</f>
        <v>Lesotho</v>
      </c>
      <c r="D144" s="243" t="str">
        <f t="shared" si="6"/>
        <v>Good</v>
      </c>
      <c r="E144" s="176" t="s">
        <v>71</v>
      </c>
      <c r="F144" s="43" t="s">
        <v>498</v>
      </c>
      <c r="G144" s="43" t="str">
        <f t="shared" si="7"/>
        <v>First NDC</v>
      </c>
      <c r="H144" s="43" t="s">
        <v>499</v>
      </c>
      <c r="I144" s="351">
        <v>42755</v>
      </c>
      <c r="J144" s="352" t="s">
        <v>500</v>
      </c>
      <c r="K144" s="320" t="str" cm="1">
        <f t="array" ref="K144">IF(ISNUMBER(MATCH("Transport sector mitigation target", _xlfn._xlws.FILTER(Targets!H:H, Targets!A:A =A144), 0)), "yes", "no")</f>
        <v>no</v>
      </c>
      <c r="L144" s="43" t="str">
        <f>IF(K144="no", "No transport target", IF(AND(COUNTIFS(Targets!A:A, A144, Targets!H:H, "Transport sector mitigation target", Targets!J:J, "GHG") &gt; 0, COUNTIFS(Targets!A:A, A144, Targets!H:H, "Transport sector mitigation target", Targets!J:J, "Non GHG") &gt; 0), "GHG and non-GHG target", IF(COUNTIFS(Targets!A:A, A144, Targets!H:H, "Transport sector mitigation target", Targets!J:J, "GHG") &gt; 0, "GHG target", IF(COUNTIFS(Targets!A:A, A144, Targets!H:H, "Transport sector mitigation target", Targets!J:J, "Non GHG") &gt; 0, "non-GHG target", ""))))</f>
        <v>No transport target</v>
      </c>
      <c r="M144" s="43" t="str">
        <f>IF(K144="no","No transport target",IF(L144="non-GHG target","No GHG transport target",IF(AND(COUNTIFS(Targets!A:A,A144,Targets!H:H,"Transport sector mitigation target",Targets!J:J,"GHG",Targets!L:L,"Conditional")&gt;0,COUNTIFS(Targets!A:A,A144,Targets!H:H,"Transport sector mitigation target",Targets!J:J,"GHG",Targets!L:L,"Unconditional")&gt;0),"GHG unconditional and conditional",IF(COUNTIFS(Targets!A:A,A144,Targets!H:H,"Transport sector mitigation target",Targets!J:J,"GHG",Targets!L:L,"Conditional")&gt;0,"GHG conditional only",IF(COUNTIFS(Targets!A:A,A144,Targets!H:H,"Transport sector mitigation target",Targets!J:J,"GHG",Targets!L:L,"Unconditional")&gt;0,"GHG unconditional only",IF(COUNTIFS(Targets!A:A,A144,Targets!H:H,"Transport sector mitigation target",Targets!J:J,"GHG",Targets!L:L,"Unclear conditionality")&gt;0,"Conditionality unclear",""))))))</f>
        <v>No transport target</v>
      </c>
      <c r="N144" s="43" t="str" cm="1">
        <f t="array" ref="N144">IF(ISNUMBER(MATCH("Transport sector adaptation target", _xlfn._xlws.FILTER(Targets!H:H, Targets!A:A =A144), 0)), "yes", "no")</f>
        <v>no</v>
      </c>
      <c r="O144" s="43" t="str">
        <f>IF(ISNA(MATCH(A144, Mitigation!A:A, 0)), "no", "yes")</f>
        <v>yes</v>
      </c>
      <c r="P144" s="43" t="str">
        <f>IF(ISNA(MATCH(A144, Adaptation!A:A, 0)), "no", "yes")</f>
        <v>no</v>
      </c>
      <c r="Q144" s="43" t="str">
        <f>IF(ISNA(MATCH(A144, Benefits!A:A, 0)), "no", "yes")</f>
        <v>no</v>
      </c>
      <c r="R144" s="43"/>
      <c r="S144" s="43"/>
      <c r="T144" s="43" t="s">
        <v>501</v>
      </c>
      <c r="U144" s="312" t="s">
        <v>654</v>
      </c>
      <c r="V144" s="233" t="str">
        <f>VLOOKUP(Table1[[#This Row],[Country Code]],Table29[],3,FALSE)</f>
        <v>Non-Annex I</v>
      </c>
      <c r="W144" s="233" t="str">
        <f>VLOOKUP(Table1[[#This Row],[Country Code]],Table29[],4,FALSE)</f>
        <v>Africa</v>
      </c>
      <c r="X144" s="233" t="str">
        <f>VLOOKUP(Table1[[#This Row],[Country Code]],Table29[],5,FALSE)</f>
        <v>Middle-income</v>
      </c>
      <c r="Y144" s="43"/>
      <c r="Z144" s="43"/>
    </row>
    <row r="145" spans="1:26" ht="15" customHeight="1" x14ac:dyDescent="0.25">
      <c r="A145" s="360">
        <v>17608</v>
      </c>
      <c r="B145" s="176" t="s">
        <v>211</v>
      </c>
      <c r="C145" s="243" t="str">
        <f>VLOOKUP(Table1[[#This Row],[Country Code]],Table29[],2,FALSE)</f>
        <v>Guatemala</v>
      </c>
      <c r="D145" s="243" t="str">
        <f t="shared" si="6"/>
        <v>Good</v>
      </c>
      <c r="E145" s="176" t="s">
        <v>71</v>
      </c>
      <c r="F145" s="43" t="s">
        <v>498</v>
      </c>
      <c r="G145" s="43" t="str">
        <f t="shared" si="7"/>
        <v>First NDC</v>
      </c>
      <c r="H145" s="43" t="s">
        <v>499</v>
      </c>
      <c r="I145" s="351">
        <v>42760</v>
      </c>
      <c r="J145" s="320" t="s">
        <v>500</v>
      </c>
      <c r="K145" s="320" t="str" cm="1">
        <f t="array" ref="K145">IF(ISNUMBER(MATCH("Transport sector mitigation target", _xlfn._xlws.FILTER(Targets!H:H, Targets!A:A =A145), 0)), "yes", "no")</f>
        <v>no</v>
      </c>
      <c r="L145" s="43" t="str">
        <f>IF(K145="no", "No transport target", IF(AND(COUNTIFS(Targets!A:A, A145, Targets!H:H, "Transport sector mitigation target", Targets!J:J, "GHG") &gt; 0, COUNTIFS(Targets!A:A, A145, Targets!H:H, "Transport sector mitigation target", Targets!J:J, "Non GHG") &gt; 0), "GHG and non-GHG target", IF(COUNTIFS(Targets!A:A, A145, Targets!H:H, "Transport sector mitigation target", Targets!J:J, "GHG") &gt; 0, "GHG target", IF(COUNTIFS(Targets!A:A, A145, Targets!H:H, "Transport sector mitigation target", Targets!J:J, "Non GHG") &gt; 0, "non-GHG target", ""))))</f>
        <v>No transport target</v>
      </c>
      <c r="M145" s="43" t="str">
        <f>IF(K145="no","No transport target",IF(L145="non-GHG target","No GHG transport target",IF(AND(COUNTIFS(Targets!A:A,A145,Targets!H:H,"Transport sector mitigation target",Targets!J:J,"GHG",Targets!L:L,"Conditional")&gt;0,COUNTIFS(Targets!A:A,A145,Targets!H:H,"Transport sector mitigation target",Targets!J:J,"GHG",Targets!L:L,"Unconditional")&gt;0),"GHG unconditional and conditional",IF(COUNTIFS(Targets!A:A,A145,Targets!H:H,"Transport sector mitigation target",Targets!J:J,"GHG",Targets!L:L,"Conditional")&gt;0,"GHG conditional only",IF(COUNTIFS(Targets!A:A,A145,Targets!H:H,"Transport sector mitigation target",Targets!J:J,"GHG",Targets!L:L,"Unconditional")&gt;0,"GHG unconditional only",IF(COUNTIFS(Targets!A:A,A145,Targets!H:H,"Transport sector mitigation target",Targets!J:J,"GHG",Targets!L:L,"Unclear conditionality")&gt;0,"Conditionality unclear",""))))))</f>
        <v>No transport target</v>
      </c>
      <c r="N145" s="43" t="str" cm="1">
        <f t="array" ref="N145">IF(ISNUMBER(MATCH("Transport sector adaptation target", _xlfn._xlws.FILTER(Targets!H:H, Targets!A:A =A145), 0)), "yes", "no")</f>
        <v>no</v>
      </c>
      <c r="O145" s="43" t="str">
        <f>IF(ISNA(MATCH(A145, Mitigation!A:A, 0)), "no", "yes")</f>
        <v>no</v>
      </c>
      <c r="P145" s="43" t="str">
        <f>IF(ISNA(MATCH(A145, Adaptation!A:A, 0)), "no", "yes")</f>
        <v>no</v>
      </c>
      <c r="Q145" s="43" t="str">
        <f>IF(ISNA(MATCH(A145, Benefits!A:A, 0)), "no", "yes")</f>
        <v>no</v>
      </c>
      <c r="R145" s="43"/>
      <c r="S145" s="43"/>
      <c r="T145" s="43" t="s">
        <v>501</v>
      </c>
      <c r="U145" s="312" t="s">
        <v>655</v>
      </c>
      <c r="V145" s="233" t="str">
        <f>VLOOKUP(Table1[[#This Row],[Country Code]],Table29[],3,FALSE)</f>
        <v>Non-Annex I</v>
      </c>
      <c r="W145" s="233" t="str">
        <f>VLOOKUP(Table1[[#This Row],[Country Code]],Table29[],4,FALSE)</f>
        <v>Latin America and the Caribbean</v>
      </c>
      <c r="X145" s="233" t="str">
        <f>VLOOKUP(Table1[[#This Row],[Country Code]],Table29[],5,FALSE)</f>
        <v>Middle-income</v>
      </c>
      <c r="Y145" s="43"/>
      <c r="Z145" s="43"/>
    </row>
    <row r="146" spans="1:26" ht="15" customHeight="1" x14ac:dyDescent="0.25">
      <c r="A146" s="360">
        <v>17547</v>
      </c>
      <c r="B146" s="176" t="s">
        <v>123</v>
      </c>
      <c r="C146" s="243" t="str">
        <f>VLOOKUP(Table1[[#This Row],[Country Code]],Table29[],2,FALSE)</f>
        <v>Cambodia</v>
      </c>
      <c r="D146" s="243" t="str">
        <f t="shared" si="6"/>
        <v>Good</v>
      </c>
      <c r="E146" s="176" t="s">
        <v>71</v>
      </c>
      <c r="F146" s="43" t="s">
        <v>498</v>
      </c>
      <c r="G146" s="43" t="str">
        <f t="shared" si="7"/>
        <v>First NDC</v>
      </c>
      <c r="H146" s="43" t="s">
        <v>499</v>
      </c>
      <c r="I146" s="351">
        <v>42772</v>
      </c>
      <c r="J146" s="320" t="s">
        <v>500</v>
      </c>
      <c r="K146" s="320" t="str" cm="1">
        <f t="array" ref="K146">IF(ISNUMBER(MATCH("Transport sector mitigation target", _xlfn._xlws.FILTER(Targets!H:H, Targets!A:A =A146), 0)), "yes", "no")</f>
        <v>yes</v>
      </c>
      <c r="L146" s="43" t="str">
        <f>IF(K146="no", "No transport target", IF(AND(COUNTIFS(Targets!A:A, A146, Targets!H:H, "Transport sector mitigation target", Targets!J:J, "GHG") &gt; 0, COUNTIFS(Targets!A:A, A146, Targets!H:H, "Transport sector mitigation target", Targets!J:J, "Non GHG") &gt; 0), "GHG and non-GHG target", IF(COUNTIFS(Targets!A:A, A146, Targets!H:H, "Transport sector mitigation target", Targets!J:J, "GHG") &gt; 0, "GHG target", IF(COUNTIFS(Targets!A:A, A146, Targets!H:H, "Transport sector mitigation target", Targets!J:J, "Non GHG") &gt; 0, "non-GHG target", ""))))</f>
        <v>GHG target</v>
      </c>
      <c r="M146" s="43" t="str">
        <f>IF(K146="no","No transport target",IF(L146="non-GHG target","No GHG transport target",IF(AND(COUNTIFS(Targets!A:A,A146,Targets!H:H,"Transport sector mitigation target",Targets!J:J,"GHG",Targets!L:L,"Conditional")&gt;0,COUNTIFS(Targets!A:A,A146,Targets!H:H,"Transport sector mitigation target",Targets!J:J,"GHG",Targets!L:L,"Unconditional")&gt;0),"GHG unconditional and conditional",IF(COUNTIFS(Targets!A:A,A146,Targets!H:H,"Transport sector mitigation target",Targets!J:J,"GHG",Targets!L:L,"Conditional")&gt;0,"GHG conditional only",IF(COUNTIFS(Targets!A:A,A146,Targets!H:H,"Transport sector mitigation target",Targets!J:J,"GHG",Targets!L:L,"Unconditional")&gt;0,"GHG unconditional only",IF(COUNTIFS(Targets!A:A,A146,Targets!H:H,"Transport sector mitigation target",Targets!J:J,"GHG",Targets!L:L,"Unclear conditionality")&gt;0,"Conditionality unclear",""))))))</f>
        <v>GHG conditional only</v>
      </c>
      <c r="N146" s="43" t="str" cm="1">
        <f t="array" ref="N146">IF(ISNUMBER(MATCH("Transport sector adaptation target", _xlfn._xlws.FILTER(Targets!H:H, Targets!A:A =A146), 0)), "yes", "no")</f>
        <v>no</v>
      </c>
      <c r="O146" s="43" t="str">
        <f>IF(ISNA(MATCH(A146, Mitigation!A:A, 0)), "no", "yes")</f>
        <v>yes</v>
      </c>
      <c r="P146" s="43" t="str">
        <f>IF(ISNA(MATCH(A146, Adaptation!A:A, 0)), "no", "yes")</f>
        <v>yes</v>
      </c>
      <c r="Q146" s="43" t="str">
        <f>IF(ISNA(MATCH(A146, Benefits!A:A, 0)), "no", "yes")</f>
        <v>no</v>
      </c>
      <c r="R146" s="43"/>
      <c r="S146" s="43"/>
      <c r="T146" s="43" t="s">
        <v>501</v>
      </c>
      <c r="U146" s="312" t="s">
        <v>656</v>
      </c>
      <c r="V146" s="233" t="str">
        <f>VLOOKUP(Table1[[#This Row],[Country Code]],Table29[],3,FALSE)</f>
        <v>Non-Annex I</v>
      </c>
      <c r="W146" s="233" t="str">
        <f>VLOOKUP(Table1[[#This Row],[Country Code]],Table29[],4,FALSE)</f>
        <v>Asia</v>
      </c>
      <c r="X146" s="233" t="str">
        <f>VLOOKUP(Table1[[#This Row],[Country Code]],Table29[],5,FALSE)</f>
        <v>Middle-income</v>
      </c>
      <c r="Y146" s="43"/>
      <c r="Z146" s="43"/>
    </row>
    <row r="147" spans="1:26" ht="15" customHeight="1" x14ac:dyDescent="0.25">
      <c r="A147" s="360">
        <v>17554</v>
      </c>
      <c r="B147" s="176" t="s">
        <v>135</v>
      </c>
      <c r="C147" s="243" t="str">
        <f>VLOOKUP(Table1[[#This Row],[Country Code]],Table29[],2,FALSE)</f>
        <v>Chile</v>
      </c>
      <c r="D147" s="243" t="str">
        <f t="shared" si="6"/>
        <v>Good</v>
      </c>
      <c r="E147" s="176" t="s">
        <v>71</v>
      </c>
      <c r="F147" s="43" t="s">
        <v>498</v>
      </c>
      <c r="G147" s="43" t="str">
        <f t="shared" si="7"/>
        <v>First NDC</v>
      </c>
      <c r="H147" s="43" t="s">
        <v>499</v>
      </c>
      <c r="I147" s="351">
        <v>42776</v>
      </c>
      <c r="J147" s="320" t="s">
        <v>500</v>
      </c>
      <c r="K147" s="320" t="str" cm="1">
        <f t="array" ref="K147">IF(ISNUMBER(MATCH("Transport sector mitigation target", _xlfn._xlws.FILTER(Targets!H:H, Targets!A:A =A147), 0)), "yes", "no")</f>
        <v>no</v>
      </c>
      <c r="L147" s="43" t="str">
        <f>IF(K147="no", "No transport target", IF(AND(COUNTIFS(Targets!A:A, A147, Targets!H:H, "Transport sector mitigation target", Targets!J:J, "GHG") &gt; 0, COUNTIFS(Targets!A:A, A147, Targets!H:H, "Transport sector mitigation target", Targets!J:J, "Non GHG") &gt; 0), "GHG and non-GHG target", IF(COUNTIFS(Targets!A:A, A147, Targets!H:H, "Transport sector mitigation target", Targets!J:J, "GHG") &gt; 0, "GHG target", IF(COUNTIFS(Targets!A:A, A147, Targets!H:H, "Transport sector mitigation target", Targets!J:J, "Non GHG") &gt; 0, "non-GHG target", ""))))</f>
        <v>No transport target</v>
      </c>
      <c r="M147" s="43" t="str">
        <f>IF(K147="no","No transport target",IF(L147="non-GHG target","No GHG transport target",IF(AND(COUNTIFS(Targets!A:A,A147,Targets!H:H,"Transport sector mitigation target",Targets!J:J,"GHG",Targets!L:L,"Conditional")&gt;0,COUNTIFS(Targets!A:A,A147,Targets!H:H,"Transport sector mitigation target",Targets!J:J,"GHG",Targets!L:L,"Unconditional")&gt;0),"GHG unconditional and conditional",IF(COUNTIFS(Targets!A:A,A147,Targets!H:H,"Transport sector mitigation target",Targets!J:J,"GHG",Targets!L:L,"Conditional")&gt;0,"GHG conditional only",IF(COUNTIFS(Targets!A:A,A147,Targets!H:H,"Transport sector mitigation target",Targets!J:J,"GHG",Targets!L:L,"Unconditional")&gt;0,"GHG unconditional only",IF(COUNTIFS(Targets!A:A,A147,Targets!H:H,"Transport sector mitigation target",Targets!J:J,"GHG",Targets!L:L,"Unclear conditionality")&gt;0,"Conditionality unclear",""))))))</f>
        <v>No transport target</v>
      </c>
      <c r="N147" s="43" t="str" cm="1">
        <f t="array" ref="N147">IF(ISNUMBER(MATCH("Transport sector adaptation target", _xlfn._xlws.FILTER(Targets!H:H, Targets!A:A =A147), 0)), "yes", "no")</f>
        <v>no</v>
      </c>
      <c r="O147" s="43" t="str">
        <f>IF(ISNA(MATCH(A147, Mitigation!A:A, 0)), "no", "yes")</f>
        <v>yes</v>
      </c>
      <c r="P147" s="43" t="str">
        <f>IF(ISNA(MATCH(A147, Adaptation!A:A, 0)), "no", "yes")</f>
        <v>no</v>
      </c>
      <c r="Q147" s="43" t="str">
        <f>IF(ISNA(MATCH(A147, Benefits!A:A, 0)), "no", "yes")</f>
        <v>yes</v>
      </c>
      <c r="R147" s="43"/>
      <c r="S147" s="43"/>
      <c r="T147" s="43" t="s">
        <v>501</v>
      </c>
      <c r="U147" s="312" t="s">
        <v>657</v>
      </c>
      <c r="V147" s="233" t="str">
        <f>VLOOKUP(Table1[[#This Row],[Country Code]],Table29[],3,FALSE)</f>
        <v>Non-Annex I</v>
      </c>
      <c r="W147" s="233" t="str">
        <f>VLOOKUP(Table1[[#This Row],[Country Code]],Table29[],4,FALSE)</f>
        <v>Latin America and the Caribbean</v>
      </c>
      <c r="X147" s="233" t="str">
        <f>VLOOKUP(Table1[[#This Row],[Country Code]],Table29[],5,FALSE)</f>
        <v>High-income</v>
      </c>
      <c r="Y147" s="43"/>
      <c r="Z147" s="43"/>
    </row>
    <row r="148" spans="1:26" ht="15" customHeight="1" x14ac:dyDescent="0.25">
      <c r="A148" s="405">
        <v>17765</v>
      </c>
      <c r="B148" s="20" t="s">
        <v>434</v>
      </c>
      <c r="C148" s="206" t="str">
        <f>VLOOKUP(Table1[[#This Row],[Country Code]],Table29[],2,FALSE)</f>
        <v>Tunisia</v>
      </c>
      <c r="D148" s="243" t="str">
        <f t="shared" si="6"/>
        <v>Good</v>
      </c>
      <c r="E148" s="20" t="s">
        <v>71</v>
      </c>
      <c r="F148" s="17" t="s">
        <v>498</v>
      </c>
      <c r="G148" s="43" t="str">
        <f t="shared" si="7"/>
        <v>First NDC</v>
      </c>
      <c r="H148" s="17" t="s">
        <v>499</v>
      </c>
      <c r="I148" s="149">
        <v>42776</v>
      </c>
      <c r="J148" s="49" t="s">
        <v>500</v>
      </c>
      <c r="K148" s="49" t="str" cm="1">
        <f t="array" ref="K148">IF(ISNUMBER(MATCH("Transport sector mitigation target", _xlfn._xlws.FILTER(Targets!H:H, Targets!A:A =A148), 0)), "yes", "no")</f>
        <v>no</v>
      </c>
      <c r="L148" s="17" t="str">
        <f>IF(K148="no", "No transport target", IF(AND(COUNTIFS(Targets!A:A, A148, Targets!H:H, "Transport sector mitigation target", Targets!J:J, "GHG") &gt; 0, COUNTIFS(Targets!A:A, A148, Targets!H:H, "Transport sector mitigation target", Targets!J:J, "Non GHG") &gt; 0), "GHG and non-GHG target", IF(COUNTIFS(Targets!A:A, A148, Targets!H:H, "Transport sector mitigation target", Targets!J:J, "GHG") &gt; 0, "GHG target", IF(COUNTIFS(Targets!A:A, A148, Targets!H:H, "Transport sector mitigation target", Targets!J:J, "Non GHG") &gt; 0, "non-GHG target", ""))))</f>
        <v>No transport target</v>
      </c>
      <c r="M148" s="17" t="str">
        <f>IF(K148="no","No transport target",IF(L148="non-GHG target","No GHG transport target",IF(AND(COUNTIFS(Targets!A:A,A148,Targets!H:H,"Transport sector mitigation target",Targets!J:J,"GHG",Targets!L:L,"Conditional")&gt;0,COUNTIFS(Targets!A:A,A148,Targets!H:H,"Transport sector mitigation target",Targets!J:J,"GHG",Targets!L:L,"Unconditional")&gt;0),"GHG unconditional and conditional",IF(COUNTIFS(Targets!A:A,A148,Targets!H:H,"Transport sector mitigation target",Targets!J:J,"GHG",Targets!L:L,"Conditional")&gt;0,"GHG conditional only",IF(COUNTIFS(Targets!A:A,A148,Targets!H:H,"Transport sector mitigation target",Targets!J:J,"GHG",Targets!L:L,"Unconditional")&gt;0,"GHG unconditional only",IF(COUNTIFS(Targets!A:A,A148,Targets!H:H,"Transport sector mitigation target",Targets!J:J,"GHG",Targets!L:L,"Unclear conditionality")&gt;0,"Conditionality unclear",""))))))</f>
        <v>No transport target</v>
      </c>
      <c r="N148" s="17" t="str" cm="1">
        <f t="array" ref="N148">IF(ISNUMBER(MATCH("Transport sector adaptation target", _xlfn._xlws.FILTER(Targets!H:H, Targets!A:A =A148), 0)), "yes", "no")</f>
        <v>no</v>
      </c>
      <c r="O148" s="17" t="str">
        <f>IF(ISNA(MATCH(A148, Mitigation!A:A, 0)), "no", "yes")</f>
        <v>no</v>
      </c>
      <c r="P148" s="17" t="str">
        <f>IF(ISNA(MATCH(A148, Adaptation!A:A, 0)), "no", "yes")</f>
        <v>no</v>
      </c>
      <c r="Q148" s="17" t="str">
        <f>IF(ISNA(MATCH(A148, Benefits!A:A, 0)), "no", "yes")</f>
        <v>no</v>
      </c>
      <c r="R148" s="17"/>
      <c r="S148" s="17"/>
      <c r="T148" s="17" t="s">
        <v>501</v>
      </c>
      <c r="U148" s="135" t="s">
        <v>658</v>
      </c>
      <c r="V148" s="207" t="str">
        <f>VLOOKUP(Table1[[#This Row],[Country Code]],Table29[],3,FALSE)</f>
        <v>Non-Annex I</v>
      </c>
      <c r="W148" s="207" t="str">
        <f>VLOOKUP(Table1[[#This Row],[Country Code]],Table29[],4,FALSE)</f>
        <v>Africa</v>
      </c>
      <c r="X148" s="207" t="str">
        <f>VLOOKUP(Table1[[#This Row],[Country Code]],Table29[],5,FALSE)</f>
        <v>Middle-income</v>
      </c>
      <c r="Y148" s="17"/>
      <c r="Z148" s="17"/>
    </row>
    <row r="149" spans="1:26" ht="15" customHeight="1" x14ac:dyDescent="0.25">
      <c r="A149" s="360">
        <v>17658</v>
      </c>
      <c r="B149" s="176" t="s">
        <v>294</v>
      </c>
      <c r="C149" s="243" t="str">
        <f>VLOOKUP(Table1[[#This Row],[Country Code]],Table29[],2,FALSE)</f>
        <v>Mauritania</v>
      </c>
      <c r="D149" s="243" t="str">
        <f t="shared" si="6"/>
        <v>Good</v>
      </c>
      <c r="E149" s="176" t="s">
        <v>71</v>
      </c>
      <c r="F149" s="43" t="s">
        <v>498</v>
      </c>
      <c r="G149" s="43" t="str">
        <f t="shared" si="7"/>
        <v>First NDC</v>
      </c>
      <c r="H149" s="43" t="s">
        <v>499</v>
      </c>
      <c r="I149" s="351">
        <v>42793</v>
      </c>
      <c r="J149" s="320" t="s">
        <v>500</v>
      </c>
      <c r="K149" s="320" t="str" cm="1">
        <f t="array" ref="K149">IF(ISNUMBER(MATCH("Transport sector mitigation target", _xlfn._xlws.FILTER(Targets!H:H, Targets!A:A =A149), 0)), "yes", "no")</f>
        <v>no</v>
      </c>
      <c r="L149" s="43" t="str">
        <f>IF(K149="no", "No transport target", IF(AND(COUNTIFS(Targets!A:A, A149, Targets!H:H, "Transport sector mitigation target", Targets!J:J, "GHG") &gt; 0, COUNTIFS(Targets!A:A, A149, Targets!H:H, "Transport sector mitigation target", Targets!J:J, "Non GHG") &gt; 0), "GHG and non-GHG target", IF(COUNTIFS(Targets!A:A, A149, Targets!H:H, "Transport sector mitigation target", Targets!J:J, "GHG") &gt; 0, "GHG target", IF(COUNTIFS(Targets!A:A, A149, Targets!H:H, "Transport sector mitigation target", Targets!J:J, "Non GHG") &gt; 0, "non-GHG target", ""))))</f>
        <v>No transport target</v>
      </c>
      <c r="M149" s="43" t="str">
        <f>IF(K149="no","No transport target",IF(L149="non-GHG target","No GHG transport target",IF(AND(COUNTIFS(Targets!A:A,A149,Targets!H:H,"Transport sector mitigation target",Targets!J:J,"GHG",Targets!L:L,"Conditional")&gt;0,COUNTIFS(Targets!A:A,A149,Targets!H:H,"Transport sector mitigation target",Targets!J:J,"GHG",Targets!L:L,"Unconditional")&gt;0),"GHG unconditional and conditional",IF(COUNTIFS(Targets!A:A,A149,Targets!H:H,"Transport sector mitigation target",Targets!J:J,"GHG",Targets!L:L,"Conditional")&gt;0,"GHG conditional only",IF(COUNTIFS(Targets!A:A,A149,Targets!H:H,"Transport sector mitigation target",Targets!J:J,"GHG",Targets!L:L,"Unconditional")&gt;0,"GHG unconditional only",IF(COUNTIFS(Targets!A:A,A149,Targets!H:H,"Transport sector mitigation target",Targets!J:J,"GHG",Targets!L:L,"Unclear conditionality")&gt;0,"Conditionality unclear",""))))))</f>
        <v>No transport target</v>
      </c>
      <c r="N149" s="43" t="str" cm="1">
        <f t="array" ref="N149">IF(ISNUMBER(MATCH("Transport sector adaptation target", _xlfn._xlws.FILTER(Targets!H:H, Targets!A:A =A149), 0)), "yes", "no")</f>
        <v>no</v>
      </c>
      <c r="O149" s="43" t="str">
        <f>IF(ISNA(MATCH(A149, Mitigation!A:A, 0)), "no", "yes")</f>
        <v>no</v>
      </c>
      <c r="P149" s="43" t="str">
        <f>IF(ISNA(MATCH(A149, Adaptation!A:A, 0)), "no", "yes")</f>
        <v>no</v>
      </c>
      <c r="Q149" s="43" t="str">
        <f>IF(ISNA(MATCH(A149, Benefits!A:A, 0)), "no", "yes")</f>
        <v>no</v>
      </c>
      <c r="R149" s="43"/>
      <c r="S149" s="43"/>
      <c r="T149" s="43" t="s">
        <v>501</v>
      </c>
      <c r="U149" s="312" t="s">
        <v>659</v>
      </c>
      <c r="V149" s="233" t="str">
        <f>VLOOKUP(Table1[[#This Row],[Country Code]],Table29[],3,FALSE)</f>
        <v>Non-Annex I</v>
      </c>
      <c r="W149" s="233" t="str">
        <f>VLOOKUP(Table1[[#This Row],[Country Code]],Table29[],4,FALSE)</f>
        <v>Africa</v>
      </c>
      <c r="X149" s="233" t="str">
        <f>VLOOKUP(Table1[[#This Row],[Country Code]],Table29[],5,FALSE)</f>
        <v>Middle-income</v>
      </c>
      <c r="Y149" s="43"/>
      <c r="Z149" s="43"/>
    </row>
    <row r="150" spans="1:26" ht="15" customHeight="1" x14ac:dyDescent="0.25">
      <c r="A150" s="360">
        <v>17587</v>
      </c>
      <c r="B150" s="176" t="s">
        <v>187</v>
      </c>
      <c r="C150" s="243" t="str">
        <f>VLOOKUP(Table1[[#This Row],[Country Code]],Table29[],2,FALSE)</f>
        <v>Ethiopia</v>
      </c>
      <c r="D150" s="243" t="str">
        <f t="shared" si="6"/>
        <v>Good</v>
      </c>
      <c r="E150" s="176" t="s">
        <v>71</v>
      </c>
      <c r="F150" s="43" t="s">
        <v>498</v>
      </c>
      <c r="G150" s="43" t="str">
        <f t="shared" si="7"/>
        <v>First NDC</v>
      </c>
      <c r="H150" s="43" t="s">
        <v>499</v>
      </c>
      <c r="I150" s="351">
        <v>42803</v>
      </c>
      <c r="J150" s="320" t="s">
        <v>500</v>
      </c>
      <c r="K150" s="320" t="str" cm="1">
        <f t="array" ref="K150">IF(ISNUMBER(MATCH("Transport sector mitigation target", _xlfn._xlws.FILTER(Targets!H:H, Targets!A:A =A150), 0)), "yes", "no")</f>
        <v>yes</v>
      </c>
      <c r="L150" s="43" t="str">
        <f>IF(K150="no", "No transport target", IF(AND(COUNTIFS(Targets!A:A, A150, Targets!H:H, "Transport sector mitigation target", Targets!J:J, "GHG") &gt; 0, COUNTIFS(Targets!A:A, A150, Targets!H:H, "Transport sector mitigation target", Targets!J:J, "Non GHG") &gt; 0), "GHG and non-GHG target", IF(COUNTIFS(Targets!A:A, A150, Targets!H:H, "Transport sector mitigation target", Targets!J:J, "GHG") &gt; 0, "GHG target", IF(COUNTIFS(Targets!A:A, A150, Targets!H:H, "Transport sector mitigation target", Targets!J:J, "Non GHG") &gt; 0, "non-GHG target", ""))))</f>
        <v>GHG target</v>
      </c>
      <c r="M150" s="43" t="str">
        <f>IF(K150="no","No transport target",IF(L150="non-GHG target","No GHG transport target",IF(AND(COUNTIFS(Targets!A:A,A150,Targets!H:H,"Transport sector mitigation target",Targets!J:J,"GHG",Targets!L:L,"Conditional")&gt;0,COUNTIFS(Targets!A:A,A150,Targets!H:H,"Transport sector mitigation target",Targets!J:J,"GHG",Targets!L:L,"Unconditional")&gt;0),"GHG unconditional and conditional",IF(COUNTIFS(Targets!A:A,A150,Targets!H:H,"Transport sector mitigation target",Targets!J:J,"GHG",Targets!L:L,"Conditional")&gt;0,"GHG conditional only",IF(COUNTIFS(Targets!A:A,A150,Targets!H:H,"Transport sector mitigation target",Targets!J:J,"GHG",Targets!L:L,"Unconditional")&gt;0,"GHG unconditional only",IF(COUNTIFS(Targets!A:A,A150,Targets!H:H,"Transport sector mitigation target",Targets!J:J,"GHG",Targets!L:L,"Unclear conditionality")&gt;0,"Conditionality unclear",""))))))</f>
        <v>GHG conditional only</v>
      </c>
      <c r="N150" s="43" t="str" cm="1">
        <f t="array" ref="N150">IF(ISNUMBER(MATCH("Transport sector adaptation target", _xlfn._xlws.FILTER(Targets!H:H, Targets!A:A =A150), 0)), "yes", "no")</f>
        <v>no</v>
      </c>
      <c r="O150" s="43" t="str">
        <f>IF(ISNA(MATCH(A150, Mitigation!A:A, 0)), "no", "yes")</f>
        <v>yes</v>
      </c>
      <c r="P150" s="43" t="str">
        <f>IF(ISNA(MATCH(A150, Adaptation!A:A, 0)), "no", "yes")</f>
        <v>no</v>
      </c>
      <c r="Q150" s="43" t="str">
        <f>IF(ISNA(MATCH(A150, Benefits!A:A, 0)), "no", "yes")</f>
        <v>no</v>
      </c>
      <c r="R150" s="43"/>
      <c r="S150" s="43"/>
      <c r="T150" s="43" t="s">
        <v>501</v>
      </c>
      <c r="U150" s="312" t="s">
        <v>660</v>
      </c>
      <c r="V150" s="233" t="str">
        <f>VLOOKUP(Table1[[#This Row],[Country Code]],Table29[],3,FALSE)</f>
        <v>Non-Annex I</v>
      </c>
      <c r="W150" s="233" t="str">
        <f>VLOOKUP(Table1[[#This Row],[Country Code]],Table29[],4,FALSE)</f>
        <v>Africa</v>
      </c>
      <c r="X150" s="233" t="str">
        <f>VLOOKUP(Table1[[#This Row],[Country Code]],Table29[],5,FALSE)</f>
        <v>Low-income</v>
      </c>
      <c r="Y150" s="43"/>
      <c r="Z150" s="43"/>
    </row>
    <row r="151" spans="1:26" ht="15" customHeight="1" x14ac:dyDescent="0.25">
      <c r="A151" s="360">
        <v>17535</v>
      </c>
      <c r="B151" s="176" t="s">
        <v>107</v>
      </c>
      <c r="C151" s="243" t="str">
        <f>VLOOKUP(Table1[[#This Row],[Country Code]],Table29[],2,FALSE)</f>
        <v>Bosnia and Herzegovina</v>
      </c>
      <c r="D151" s="243" t="str">
        <f t="shared" si="6"/>
        <v>Good</v>
      </c>
      <c r="E151" s="176" t="s">
        <v>71</v>
      </c>
      <c r="F151" s="43" t="s">
        <v>498</v>
      </c>
      <c r="G151" s="43" t="str">
        <f t="shared" si="7"/>
        <v>First NDC</v>
      </c>
      <c r="H151" s="43" t="s">
        <v>499</v>
      </c>
      <c r="I151" s="351">
        <v>42810</v>
      </c>
      <c r="J151" s="320" t="s">
        <v>500</v>
      </c>
      <c r="K151" s="320" t="str" cm="1">
        <f t="array" ref="K151">IF(ISNUMBER(MATCH("Transport sector mitigation target", _xlfn._xlws.FILTER(Targets!H:H, Targets!A:A =A151), 0)), "yes", "no")</f>
        <v>no</v>
      </c>
      <c r="L151" s="43" t="str">
        <f>IF(K151="no", "No transport target", IF(AND(COUNTIFS(Targets!A:A, A151, Targets!H:H, "Transport sector mitigation target", Targets!J:J, "GHG") &gt; 0, COUNTIFS(Targets!A:A, A151, Targets!H:H, "Transport sector mitigation target", Targets!J:J, "Non GHG") &gt; 0), "GHG and non-GHG target", IF(COUNTIFS(Targets!A:A, A151, Targets!H:H, "Transport sector mitigation target", Targets!J:J, "GHG") &gt; 0, "GHG target", IF(COUNTIFS(Targets!A:A, A151, Targets!H:H, "Transport sector mitigation target", Targets!J:J, "Non GHG") &gt; 0, "non-GHG target", ""))))</f>
        <v>No transport target</v>
      </c>
      <c r="M151" s="43" t="str">
        <f>IF(K151="no","No transport target",IF(L151="non-GHG target","No GHG transport target",IF(AND(COUNTIFS(Targets!A:A,A151,Targets!H:H,"Transport sector mitigation target",Targets!J:J,"GHG",Targets!L:L,"Conditional")&gt;0,COUNTIFS(Targets!A:A,A151,Targets!H:H,"Transport sector mitigation target",Targets!J:J,"GHG",Targets!L:L,"Unconditional")&gt;0),"GHG unconditional and conditional",IF(COUNTIFS(Targets!A:A,A151,Targets!H:H,"Transport sector mitigation target",Targets!J:J,"GHG",Targets!L:L,"Conditional")&gt;0,"GHG conditional only",IF(COUNTIFS(Targets!A:A,A151,Targets!H:H,"Transport sector mitigation target",Targets!J:J,"GHG",Targets!L:L,"Unconditional")&gt;0,"GHG unconditional only",IF(COUNTIFS(Targets!A:A,A151,Targets!H:H,"Transport sector mitigation target",Targets!J:J,"GHG",Targets!L:L,"Unclear conditionality")&gt;0,"Conditionality unclear",""))))))</f>
        <v>No transport target</v>
      </c>
      <c r="N151" s="43" t="str" cm="1">
        <f t="array" ref="N151">IF(ISNUMBER(MATCH("Transport sector adaptation target", _xlfn._xlws.FILTER(Targets!H:H, Targets!A:A =A151), 0)), "yes", "no")</f>
        <v>no</v>
      </c>
      <c r="O151" s="43" t="str">
        <f>IF(ISNA(MATCH(A151, Mitigation!A:A, 0)), "no", "yes")</f>
        <v>no</v>
      </c>
      <c r="P151" s="43" t="str">
        <f>IF(ISNA(MATCH(A151, Adaptation!A:A, 0)), "no", "yes")</f>
        <v>no</v>
      </c>
      <c r="Q151" s="43" t="str">
        <f>IF(ISNA(MATCH(A151, Benefits!A:A, 0)), "no", "yes")</f>
        <v>no</v>
      </c>
      <c r="R151" s="43"/>
      <c r="S151" s="43"/>
      <c r="T151" s="43" t="s">
        <v>501</v>
      </c>
      <c r="U151" s="312" t="s">
        <v>661</v>
      </c>
      <c r="V151" s="233" t="str">
        <f>VLOOKUP(Table1[[#This Row],[Country Code]],Table29[],3,FALSE)</f>
        <v>Non-Annex I</v>
      </c>
      <c r="W151" s="233" t="str">
        <f>VLOOKUP(Table1[[#This Row],[Country Code]],Table29[],4,FALSE)</f>
        <v>Europe</v>
      </c>
      <c r="X151" s="233" t="str">
        <f>VLOOKUP(Table1[[#This Row],[Country Code]],Table29[],5,FALSE)</f>
        <v>Middle-income</v>
      </c>
      <c r="Y151" s="43"/>
      <c r="Z151" s="43"/>
    </row>
    <row r="152" spans="1:26" ht="15" customHeight="1" x14ac:dyDescent="0.25">
      <c r="A152" s="405">
        <v>17756</v>
      </c>
      <c r="B152" s="20" t="s">
        <v>422</v>
      </c>
      <c r="C152" s="206" t="str">
        <f>VLOOKUP(Table1[[#This Row],[Country Code]],Table29[],2,FALSE)</f>
        <v>Tajikistan</v>
      </c>
      <c r="D152" s="243" t="str">
        <f t="shared" si="6"/>
        <v>Good</v>
      </c>
      <c r="E152" s="20" t="s">
        <v>71</v>
      </c>
      <c r="F152" s="17" t="s">
        <v>498</v>
      </c>
      <c r="G152" s="43" t="str">
        <f t="shared" si="7"/>
        <v>First NDC</v>
      </c>
      <c r="H152" s="17" t="s">
        <v>499</v>
      </c>
      <c r="I152" s="149">
        <v>42816</v>
      </c>
      <c r="J152" s="49" t="s">
        <v>500</v>
      </c>
      <c r="K152" s="49" t="str" cm="1">
        <f t="array" ref="K152">IF(ISNUMBER(MATCH("Transport sector mitigation target", _xlfn._xlws.FILTER(Targets!H:H, Targets!A:A =A152), 0)), "yes", "no")</f>
        <v>no</v>
      </c>
      <c r="L152" s="17" t="str">
        <f>IF(K152="no", "No transport target", IF(AND(COUNTIFS(Targets!A:A, A152, Targets!H:H, "Transport sector mitigation target", Targets!J:J, "GHG") &gt; 0, COUNTIFS(Targets!A:A, A152, Targets!H:H, "Transport sector mitigation target", Targets!J:J, "Non GHG") &gt; 0), "GHG and non-GHG target", IF(COUNTIFS(Targets!A:A, A152, Targets!H:H, "Transport sector mitigation target", Targets!J:J, "GHG") &gt; 0, "GHG target", IF(COUNTIFS(Targets!A:A, A152, Targets!H:H, "Transport sector mitigation target", Targets!J:J, "Non GHG") &gt; 0, "non-GHG target", ""))))</f>
        <v>No transport target</v>
      </c>
      <c r="M152" s="17" t="str">
        <f>IF(K152="no","No transport target",IF(L152="non-GHG target","No GHG transport target",IF(AND(COUNTIFS(Targets!A:A,A152,Targets!H:H,"Transport sector mitigation target",Targets!J:J,"GHG",Targets!L:L,"Conditional")&gt;0,COUNTIFS(Targets!A:A,A152,Targets!H:H,"Transport sector mitigation target",Targets!J:J,"GHG",Targets!L:L,"Unconditional")&gt;0),"GHG unconditional and conditional",IF(COUNTIFS(Targets!A:A,A152,Targets!H:H,"Transport sector mitigation target",Targets!J:J,"GHG",Targets!L:L,"Conditional")&gt;0,"GHG conditional only",IF(COUNTIFS(Targets!A:A,A152,Targets!H:H,"Transport sector mitigation target",Targets!J:J,"GHG",Targets!L:L,"Unconditional")&gt;0,"GHG unconditional only",IF(COUNTIFS(Targets!A:A,A152,Targets!H:H,"Transport sector mitigation target",Targets!J:J,"GHG",Targets!L:L,"Unclear conditionality")&gt;0,"Conditionality unclear",""))))))</f>
        <v>No transport target</v>
      </c>
      <c r="N152" s="17" t="str" cm="1">
        <f t="array" ref="N152">IF(ISNUMBER(MATCH("Transport sector adaptation target", _xlfn._xlws.FILTER(Targets!H:H, Targets!A:A =A152), 0)), "yes", "no")</f>
        <v>no</v>
      </c>
      <c r="O152" s="17" t="str">
        <f>IF(ISNA(MATCH(A152, Mitigation!A:A, 0)), "no", "yes")</f>
        <v>no</v>
      </c>
      <c r="P152" s="17" t="str">
        <f>IF(ISNA(MATCH(A152, Adaptation!A:A, 0)), "no", "yes")</f>
        <v>yes</v>
      </c>
      <c r="Q152" s="17" t="str">
        <f>IF(ISNA(MATCH(A152, Benefits!A:A, 0)), "no", "yes")</f>
        <v>no</v>
      </c>
      <c r="R152" s="17"/>
      <c r="S152" s="17"/>
      <c r="T152" s="17" t="s">
        <v>501</v>
      </c>
      <c r="U152" s="135" t="s">
        <v>662</v>
      </c>
      <c r="V152" s="207" t="str">
        <f>VLOOKUP(Table1[[#This Row],[Country Code]],Table29[],3,FALSE)</f>
        <v>Non-Annex I</v>
      </c>
      <c r="W152" s="207" t="str">
        <f>VLOOKUP(Table1[[#This Row],[Country Code]],Table29[],4,FALSE)</f>
        <v>Asia</v>
      </c>
      <c r="X152" s="207" t="str">
        <f>VLOOKUP(Table1[[#This Row],[Country Code]],Table29[],5,FALSE)</f>
        <v>Middle-income</v>
      </c>
      <c r="Y152" s="17"/>
      <c r="Z152" s="17"/>
    </row>
    <row r="153" spans="1:26" ht="15" customHeight="1" x14ac:dyDescent="0.25">
      <c r="A153" s="360">
        <v>17516</v>
      </c>
      <c r="B153" s="176" t="s">
        <v>74</v>
      </c>
      <c r="C153" s="243" t="str">
        <f>VLOOKUP(Table1[[#This Row],[Country Code]],Table29[],2,FALSE)</f>
        <v>Armenia</v>
      </c>
      <c r="D153" s="243" t="str">
        <f t="shared" si="6"/>
        <v>Good</v>
      </c>
      <c r="E153" s="176" t="s">
        <v>71</v>
      </c>
      <c r="F153" s="43" t="s">
        <v>498</v>
      </c>
      <c r="G153" s="43" t="str">
        <f t="shared" si="7"/>
        <v>First NDC</v>
      </c>
      <c r="H153" s="43" t="s">
        <v>499</v>
      </c>
      <c r="I153" s="351">
        <v>42817</v>
      </c>
      <c r="J153" s="320" t="s">
        <v>500</v>
      </c>
      <c r="K153" s="320" t="str" cm="1">
        <f t="array" ref="K153">IF(ISNUMBER(MATCH("Transport sector mitigation target", _xlfn._xlws.FILTER(Targets!H:H, Targets!A:A =A153), 0)), "yes", "no")</f>
        <v>no</v>
      </c>
      <c r="L153" s="43" t="str">
        <f>IF(K153="no", "No transport target", IF(AND(COUNTIFS(Targets!A:A, A153, Targets!H:H, "Transport sector mitigation target", Targets!J:J, "GHG") &gt; 0, COUNTIFS(Targets!A:A, A153, Targets!H:H, "Transport sector mitigation target", Targets!J:J, "Non GHG") &gt; 0), "GHG and non-GHG target", IF(COUNTIFS(Targets!A:A, A153, Targets!H:H, "Transport sector mitigation target", Targets!J:J, "GHG") &gt; 0, "GHG target", IF(COUNTIFS(Targets!A:A, A153, Targets!H:H, "Transport sector mitigation target", Targets!J:J, "Non GHG") &gt; 0, "non-GHG target", ""))))</f>
        <v>No transport target</v>
      </c>
      <c r="M153" s="43" t="str">
        <f>IF(K153="no","No transport target",IF(L153="non-GHG target","No GHG transport target",IF(AND(COUNTIFS(Targets!A:A,A153,Targets!H:H,"Transport sector mitigation target",Targets!J:J,"GHG",Targets!L:L,"Conditional")&gt;0,COUNTIFS(Targets!A:A,A153,Targets!H:H,"Transport sector mitigation target",Targets!J:J,"GHG",Targets!L:L,"Unconditional")&gt;0),"GHG unconditional and conditional",IF(COUNTIFS(Targets!A:A,A153,Targets!H:H,"Transport sector mitigation target",Targets!J:J,"GHG",Targets!L:L,"Conditional")&gt;0,"GHG conditional only",IF(COUNTIFS(Targets!A:A,A153,Targets!H:H,"Transport sector mitigation target",Targets!J:J,"GHG",Targets!L:L,"Unconditional")&gt;0,"GHG unconditional only",IF(COUNTIFS(Targets!A:A,A153,Targets!H:H,"Transport sector mitigation target",Targets!J:J,"GHG",Targets!L:L,"Unclear conditionality")&gt;0,"Conditionality unclear",""))))))</f>
        <v>No transport target</v>
      </c>
      <c r="N153" s="43" t="str" cm="1">
        <f t="array" ref="N153">IF(ISNUMBER(MATCH("Transport sector adaptation target", _xlfn._xlws.FILTER(Targets!H:H, Targets!A:A =A153), 0)), "yes", "no")</f>
        <v>no</v>
      </c>
      <c r="O153" s="43" t="str">
        <f>IF(ISNA(MATCH(A153, Mitigation!A:A, 0)), "no", "yes")</f>
        <v>yes</v>
      </c>
      <c r="P153" s="43" t="str">
        <f>IF(ISNA(MATCH(A153, Adaptation!A:A, 0)), "no", "yes")</f>
        <v>no</v>
      </c>
      <c r="Q153" s="43" t="str">
        <f>IF(ISNA(MATCH(A153, Benefits!A:A, 0)), "no", "yes")</f>
        <v>no</v>
      </c>
      <c r="R153" s="43"/>
      <c r="S153" s="43"/>
      <c r="T153" s="43" t="s">
        <v>501</v>
      </c>
      <c r="U153" s="312" t="s">
        <v>663</v>
      </c>
      <c r="V153" s="233" t="str">
        <f>VLOOKUP(Table1[[#This Row],[Country Code]],Table29[],3,FALSE)</f>
        <v>Non-Annex I</v>
      </c>
      <c r="W153" s="233" t="str">
        <f>VLOOKUP(Table1[[#This Row],[Country Code]],Table29[],4,FALSE)</f>
        <v>Asia</v>
      </c>
      <c r="X153" s="233" t="str">
        <f>VLOOKUP(Table1[[#This Row],[Country Code]],Table29[],5,FALSE)</f>
        <v>Middle-income</v>
      </c>
      <c r="Y153" s="43"/>
      <c r="Z153" s="43"/>
    </row>
    <row r="154" spans="1:26" ht="15" customHeight="1" x14ac:dyDescent="0.25">
      <c r="A154" s="360">
        <v>17510</v>
      </c>
      <c r="B154" s="176" t="s">
        <v>61</v>
      </c>
      <c r="C154" s="243" t="str">
        <f>VLOOKUP(Table1[[#This Row],[Country Code]],Table29[],2,FALSE)</f>
        <v>Andorra</v>
      </c>
      <c r="D154" s="243" t="str">
        <f t="shared" si="6"/>
        <v>Good</v>
      </c>
      <c r="E154" s="176" t="s">
        <v>71</v>
      </c>
      <c r="F154" s="43" t="s">
        <v>498</v>
      </c>
      <c r="G154" s="43" t="str">
        <f t="shared" si="7"/>
        <v>First NDC</v>
      </c>
      <c r="H154" s="350" t="s">
        <v>499</v>
      </c>
      <c r="I154" s="351">
        <v>42818</v>
      </c>
      <c r="J154" s="320" t="s">
        <v>500</v>
      </c>
      <c r="K154" s="320" t="str" cm="1">
        <f t="array" ref="K154">IF(ISNUMBER(MATCH("Transport sector mitigation target", _xlfn._xlws.FILTER(Targets!H:H, Targets!A:A =A154), 0)), "yes", "no")</f>
        <v>no</v>
      </c>
      <c r="L154" s="43" t="str">
        <f>IF(K154="no", "No transport target", IF(AND(COUNTIFS(Targets!A:A, A154, Targets!H:H, "Transport sector mitigation target", Targets!J:J, "GHG") &gt; 0, COUNTIFS(Targets!A:A, A154, Targets!H:H, "Transport sector mitigation target", Targets!J:J, "Non GHG") &gt; 0), "GHG and non-GHG target", IF(COUNTIFS(Targets!A:A, A154, Targets!H:H, "Transport sector mitigation target", Targets!J:J, "GHG") &gt; 0, "GHG target", IF(COUNTIFS(Targets!A:A, A154, Targets!H:H, "Transport sector mitigation target", Targets!J:J, "Non GHG") &gt; 0, "non-GHG target", ""))))</f>
        <v>No transport target</v>
      </c>
      <c r="M154" s="43" t="str">
        <f>IF(K154="no","No transport target",IF(L154="non-GHG target","No GHG transport target",IF(AND(COUNTIFS(Targets!A:A,A154,Targets!H:H,"Transport sector mitigation target",Targets!J:J,"GHG",Targets!L:L,"Conditional")&gt;0,COUNTIFS(Targets!A:A,A154,Targets!H:H,"Transport sector mitigation target",Targets!J:J,"GHG",Targets!L:L,"Unconditional")&gt;0),"GHG unconditional and conditional",IF(COUNTIFS(Targets!A:A,A154,Targets!H:H,"Transport sector mitigation target",Targets!J:J,"GHG",Targets!L:L,"Conditional")&gt;0,"GHG conditional only",IF(COUNTIFS(Targets!A:A,A154,Targets!H:H,"Transport sector mitigation target",Targets!J:J,"GHG",Targets!L:L,"Unconditional")&gt;0,"GHG unconditional only",IF(COUNTIFS(Targets!A:A,A154,Targets!H:H,"Transport sector mitigation target",Targets!J:J,"GHG",Targets!L:L,"Unclear conditionality")&gt;0,"Conditionality unclear",""))))))</f>
        <v>No transport target</v>
      </c>
      <c r="N154" s="43" t="str" cm="1">
        <f t="array" ref="N154">IF(ISNUMBER(MATCH("Transport sector adaptation target", _xlfn._xlws.FILTER(Targets!H:H, Targets!A:A =A154), 0)), "yes", "no")</f>
        <v>no</v>
      </c>
      <c r="O154" s="43" t="str">
        <f>IF(ISNA(MATCH(A154, Mitigation!A:A, 0)), "no", "yes")</f>
        <v>no</v>
      </c>
      <c r="P154" s="43" t="str">
        <f>IF(ISNA(MATCH(A154, Adaptation!A:A, 0)), "no", "yes")</f>
        <v>no</v>
      </c>
      <c r="Q154" s="43" t="str">
        <f>IF(ISNA(MATCH(A154, Benefits!A:A, 0)), "no", "yes")</f>
        <v>no</v>
      </c>
      <c r="R154" s="43"/>
      <c r="S154" s="43"/>
      <c r="T154" s="43" t="s">
        <v>501</v>
      </c>
      <c r="U154" s="312" t="s">
        <v>664</v>
      </c>
      <c r="V154" s="233" t="str">
        <f>VLOOKUP(Table1[[#This Row],[Country Code]],Table29[],3,FALSE)</f>
        <v>Non-Annex I</v>
      </c>
      <c r="W154" s="233" t="str">
        <f>VLOOKUP(Table1[[#This Row],[Country Code]],Table29[],4,FALSE)</f>
        <v>Europe</v>
      </c>
      <c r="X154" s="233" t="str">
        <f>VLOOKUP(Table1[[#This Row],[Country Code]],Table29[],5,FALSE)</f>
        <v>High-income</v>
      </c>
      <c r="Y154" s="43"/>
      <c r="Z154" s="43"/>
    </row>
    <row r="155" spans="1:26" ht="15" customHeight="1" x14ac:dyDescent="0.25">
      <c r="A155" s="405">
        <v>17583</v>
      </c>
      <c r="B155" s="20" t="s">
        <v>177</v>
      </c>
      <c r="C155" s="206" t="str">
        <f>VLOOKUP(Table1[[#This Row],[Country Code]],Table29[],2,FALSE)</f>
        <v>El Salvador</v>
      </c>
      <c r="D155" s="243" t="str">
        <f t="shared" si="6"/>
        <v>Good</v>
      </c>
      <c r="E155" s="20" t="s">
        <v>71</v>
      </c>
      <c r="F155" s="17" t="s">
        <v>498</v>
      </c>
      <c r="G155" s="43" t="str">
        <f t="shared" si="7"/>
        <v>First NDC</v>
      </c>
      <c r="H155" s="17" t="s">
        <v>499</v>
      </c>
      <c r="I155" s="149">
        <v>42821</v>
      </c>
      <c r="J155" s="49" t="s">
        <v>500</v>
      </c>
      <c r="K155" s="49" t="str" cm="1">
        <f t="array" ref="K155">IF(ISNUMBER(MATCH("Transport sector mitigation target", _xlfn._xlws.FILTER(Targets!H:H, Targets!A:A =A155), 0)), "yes", "no")</f>
        <v>no</v>
      </c>
      <c r="L155" s="17" t="str">
        <f>IF(K155="no", "No transport target", IF(AND(COUNTIFS(Targets!A:A, A155, Targets!H:H, "Transport sector mitigation target", Targets!J:J, "GHG") &gt; 0, COUNTIFS(Targets!A:A, A155, Targets!H:H, "Transport sector mitigation target", Targets!J:J, "Non GHG") &gt; 0), "GHG and non-GHG target", IF(COUNTIFS(Targets!A:A, A155, Targets!H:H, "Transport sector mitigation target", Targets!J:J, "GHG") &gt; 0, "GHG target", IF(COUNTIFS(Targets!A:A, A155, Targets!H:H, "Transport sector mitigation target", Targets!J:J, "Non GHG") &gt; 0, "non-GHG target", ""))))</f>
        <v>No transport target</v>
      </c>
      <c r="M155" s="17" t="str">
        <f>IF(K155="no","No transport target",IF(L155="non-GHG target","No GHG transport target",IF(AND(COUNTIFS(Targets!A:A,A155,Targets!H:H,"Transport sector mitigation target",Targets!J:J,"GHG",Targets!L:L,"Conditional")&gt;0,COUNTIFS(Targets!A:A,A155,Targets!H:H,"Transport sector mitigation target",Targets!J:J,"GHG",Targets!L:L,"Unconditional")&gt;0),"GHG unconditional and conditional",IF(COUNTIFS(Targets!A:A,A155,Targets!H:H,"Transport sector mitigation target",Targets!J:J,"GHG",Targets!L:L,"Conditional")&gt;0,"GHG conditional only",IF(COUNTIFS(Targets!A:A,A155,Targets!H:H,"Transport sector mitigation target",Targets!J:J,"GHG",Targets!L:L,"Unconditional")&gt;0,"GHG unconditional only",IF(COUNTIFS(Targets!A:A,A155,Targets!H:H,"Transport sector mitigation target",Targets!J:J,"GHG",Targets!L:L,"Unclear conditionality")&gt;0,"Conditionality unclear",""))))))</f>
        <v>No transport target</v>
      </c>
      <c r="N155" s="17" t="str" cm="1">
        <f t="array" ref="N155">IF(ISNUMBER(MATCH("Transport sector adaptation target", _xlfn._xlws.FILTER(Targets!H:H, Targets!A:A =A155), 0)), "yes", "no")</f>
        <v>no</v>
      </c>
      <c r="O155" s="17" t="str">
        <f>IF(ISNA(MATCH(A155, Mitigation!A:A, 0)), "no", "yes")</f>
        <v>no</v>
      </c>
      <c r="P155" s="17" t="str">
        <f>IF(ISNA(MATCH(A155, Adaptation!A:A, 0)), "no", "yes")</f>
        <v>no</v>
      </c>
      <c r="Q155" s="17" t="str">
        <f>IF(ISNA(MATCH(A155, Benefits!A:A, 0)), "no", "yes")</f>
        <v>no</v>
      </c>
      <c r="R155" s="17"/>
      <c r="S155" s="17"/>
      <c r="T155" s="17" t="s">
        <v>501</v>
      </c>
      <c r="U155" s="135" t="s">
        <v>665</v>
      </c>
      <c r="V155" s="207" t="str">
        <f>VLOOKUP(Table1[[#This Row],[Country Code]],Table29[],3,FALSE)</f>
        <v>Non-Annex I</v>
      </c>
      <c r="W155" s="207" t="str">
        <f>VLOOKUP(Table1[[#This Row],[Country Code]],Table29[],4,FALSE)</f>
        <v>Latin America and the Caribbean</v>
      </c>
      <c r="X155" s="207" t="str">
        <f>VLOOKUP(Table1[[#This Row],[Country Code]],Table29[],5,FALSE)</f>
        <v>Middle-income</v>
      </c>
      <c r="Y155" s="17"/>
      <c r="Z155" s="17"/>
    </row>
    <row r="156" spans="1:26" ht="15" customHeight="1" x14ac:dyDescent="0.25">
      <c r="A156" s="360">
        <v>17624</v>
      </c>
      <c r="B156" s="176" t="s">
        <v>243</v>
      </c>
      <c r="C156" s="243" t="str">
        <f>VLOOKUP(Table1[[#This Row],[Country Code]],Table29[],2,FALSE)</f>
        <v>Jamaica</v>
      </c>
      <c r="D156" s="243" t="str">
        <f t="shared" si="6"/>
        <v>Good</v>
      </c>
      <c r="E156" s="176" t="s">
        <v>71</v>
      </c>
      <c r="F156" s="43" t="s">
        <v>498</v>
      </c>
      <c r="G156" s="43" t="str">
        <f t="shared" si="7"/>
        <v>First NDC</v>
      </c>
      <c r="H156" s="43" t="s">
        <v>499</v>
      </c>
      <c r="I156" s="351">
        <v>42835</v>
      </c>
      <c r="J156" s="320" t="s">
        <v>500</v>
      </c>
      <c r="K156" s="320" t="str" cm="1">
        <f t="array" ref="K156">IF(ISNUMBER(MATCH("Transport sector mitigation target", _xlfn._xlws.FILTER(Targets!H:H, Targets!A:A =A156), 0)), "yes", "no")</f>
        <v>no</v>
      </c>
      <c r="L156" s="43" t="str">
        <f>IF(K156="no", "No transport target", IF(AND(COUNTIFS(Targets!A:A, A156, Targets!H:H, "Transport sector mitigation target", Targets!J:J, "GHG") &gt; 0, COUNTIFS(Targets!A:A, A156, Targets!H:H, "Transport sector mitigation target", Targets!J:J, "Non GHG") &gt; 0), "GHG and non-GHG target", IF(COUNTIFS(Targets!A:A, A156, Targets!H:H, "Transport sector mitigation target", Targets!J:J, "GHG") &gt; 0, "GHG target", IF(COUNTIFS(Targets!A:A, A156, Targets!H:H, "Transport sector mitigation target", Targets!J:J, "Non GHG") &gt; 0, "non-GHG target", ""))))</f>
        <v>No transport target</v>
      </c>
      <c r="M156" s="43" t="str">
        <f>IF(K156="no","No transport target",IF(L156="non-GHG target","No GHG transport target",IF(AND(COUNTIFS(Targets!A:A,A156,Targets!H:H,"Transport sector mitigation target",Targets!J:J,"GHG",Targets!L:L,"Conditional")&gt;0,COUNTIFS(Targets!A:A,A156,Targets!H:H,"Transport sector mitigation target",Targets!J:J,"GHG",Targets!L:L,"Unconditional")&gt;0),"GHG unconditional and conditional",IF(COUNTIFS(Targets!A:A,A156,Targets!H:H,"Transport sector mitigation target",Targets!J:J,"GHG",Targets!L:L,"Conditional")&gt;0,"GHG conditional only",IF(COUNTIFS(Targets!A:A,A156,Targets!H:H,"Transport sector mitigation target",Targets!J:J,"GHG",Targets!L:L,"Unconditional")&gt;0,"GHG unconditional only",IF(COUNTIFS(Targets!A:A,A156,Targets!H:H,"Transport sector mitigation target",Targets!J:J,"GHG",Targets!L:L,"Unclear conditionality")&gt;0,"Conditionality unclear",""))))))</f>
        <v>No transport target</v>
      </c>
      <c r="N156" s="43" t="str" cm="1">
        <f t="array" ref="N156">IF(ISNUMBER(MATCH("Transport sector adaptation target", _xlfn._xlws.FILTER(Targets!H:H, Targets!A:A =A156), 0)), "yes", "no")</f>
        <v>no</v>
      </c>
      <c r="O156" s="43" t="str">
        <f>IF(ISNA(MATCH(A156, Mitigation!A:A, 0)), "no", "yes")</f>
        <v>yes</v>
      </c>
      <c r="P156" s="43" t="str">
        <f>IF(ISNA(MATCH(A156, Adaptation!A:A, 0)), "no", "yes")</f>
        <v>no</v>
      </c>
      <c r="Q156" s="43" t="str">
        <f>IF(ISNA(MATCH(A156, Benefits!A:A, 0)), "no", "yes")</f>
        <v>no</v>
      </c>
      <c r="R156" s="43"/>
      <c r="S156" s="43"/>
      <c r="T156" s="43" t="s">
        <v>501</v>
      </c>
      <c r="U156" s="312" t="s">
        <v>666</v>
      </c>
      <c r="V156" s="233" t="str">
        <f>VLOOKUP(Table1[[#This Row],[Country Code]],Table29[],3,FALSE)</f>
        <v>Non-Annex I</v>
      </c>
      <c r="W156" s="233" t="str">
        <f>VLOOKUP(Table1[[#This Row],[Country Code]],Table29[],4,FALSE)</f>
        <v>Latin America and the Caribbean</v>
      </c>
      <c r="X156" s="233" t="str">
        <f>VLOOKUP(Table1[[#This Row],[Country Code]],Table29[],5,FALSE)</f>
        <v>Middle-income</v>
      </c>
      <c r="Y156" s="43"/>
      <c r="Z156" s="43"/>
    </row>
    <row r="157" spans="1:26" ht="15" customHeight="1" x14ac:dyDescent="0.25">
      <c r="A157" s="360">
        <v>17560</v>
      </c>
      <c r="B157" s="176" t="s">
        <v>143</v>
      </c>
      <c r="C157" s="243" t="str">
        <f>VLOOKUP(Table1[[#This Row],[Country Code]],Table29[],2,FALSE)</f>
        <v>Congo</v>
      </c>
      <c r="D157" s="243" t="str">
        <f t="shared" si="6"/>
        <v>Good</v>
      </c>
      <c r="E157" s="176" t="s">
        <v>71</v>
      </c>
      <c r="F157" s="43" t="s">
        <v>498</v>
      </c>
      <c r="G157" s="43" t="str">
        <f t="shared" si="7"/>
        <v>First NDC</v>
      </c>
      <c r="H157" s="43" t="s">
        <v>499</v>
      </c>
      <c r="I157" s="351">
        <v>42846</v>
      </c>
      <c r="J157" s="320" t="s">
        <v>500</v>
      </c>
      <c r="K157" s="320" t="str" cm="1">
        <f t="array" ref="K157">IF(ISNUMBER(MATCH("Transport sector mitigation target", _xlfn._xlws.FILTER(Targets!H:H, Targets!A:A =A157), 0)), "yes", "no")</f>
        <v>yes</v>
      </c>
      <c r="L157" s="43" t="str">
        <f>IF(K157="no", "No transport target", IF(AND(COUNTIFS(Targets!A:A, A157, Targets!H:H, "Transport sector mitigation target", Targets!J:J, "GHG") &gt; 0, COUNTIFS(Targets!A:A, A157, Targets!H:H, "Transport sector mitigation target", Targets!J:J, "Non GHG") &gt; 0), "GHG and non-GHG target", IF(COUNTIFS(Targets!A:A, A157, Targets!H:H, "Transport sector mitigation target", Targets!J:J, "GHG") &gt; 0, "GHG target", IF(COUNTIFS(Targets!A:A, A157, Targets!H:H, "Transport sector mitigation target", Targets!J:J, "Non GHG") &gt; 0, "non-GHG target", ""))))</f>
        <v>GHG target</v>
      </c>
      <c r="M157" s="43" t="str">
        <f>IF(K157="no","No transport target",IF(L157="non-GHG target","No GHG transport target",IF(AND(COUNTIFS(Targets!A:A,A157,Targets!H:H,"Transport sector mitigation target",Targets!J:J,"GHG",Targets!L:L,"Conditional")&gt;0,COUNTIFS(Targets!A:A,A157,Targets!H:H,"Transport sector mitigation target",Targets!J:J,"GHG",Targets!L:L,"Unconditional")&gt;0),"GHG unconditional and conditional",IF(COUNTIFS(Targets!A:A,A157,Targets!H:H,"Transport sector mitigation target",Targets!J:J,"GHG",Targets!L:L,"Conditional")&gt;0,"GHG conditional only",IF(COUNTIFS(Targets!A:A,A157,Targets!H:H,"Transport sector mitigation target",Targets!J:J,"GHG",Targets!L:L,"Unconditional")&gt;0,"GHG unconditional only",IF(COUNTIFS(Targets!A:A,A157,Targets!H:H,"Transport sector mitigation target",Targets!J:J,"GHG",Targets!L:L,"Unclear conditionality")&gt;0,"Conditionality unclear",""))))))</f>
        <v>GHG conditional only</v>
      </c>
      <c r="N157" s="43" t="str" cm="1">
        <f t="array" ref="N157">IF(ISNUMBER(MATCH("Transport sector adaptation target", _xlfn._xlws.FILTER(Targets!H:H, Targets!A:A =A157), 0)), "yes", "no")</f>
        <v>no</v>
      </c>
      <c r="O157" s="43" t="str">
        <f>IF(ISNA(MATCH(A157, Mitigation!A:A, 0)), "no", "yes")</f>
        <v>yes</v>
      </c>
      <c r="P157" s="43" t="str">
        <f>IF(ISNA(MATCH(A157, Adaptation!A:A, 0)), "no", "yes")</f>
        <v>no</v>
      </c>
      <c r="Q157" s="43" t="str">
        <f>IF(ISNA(MATCH(A157, Benefits!A:A, 0)), "no", "yes")</f>
        <v>yes</v>
      </c>
      <c r="R157" s="43"/>
      <c r="S157" s="43"/>
      <c r="T157" s="43" t="s">
        <v>501</v>
      </c>
      <c r="U157" s="312" t="s">
        <v>667</v>
      </c>
      <c r="V157" s="233" t="str">
        <f>VLOOKUP(Table1[[#This Row],[Country Code]],Table29[],3,FALSE)</f>
        <v>Non-Annex I</v>
      </c>
      <c r="W157" s="233" t="str">
        <f>VLOOKUP(Table1[[#This Row],[Country Code]],Table29[],4,FALSE)</f>
        <v>Africa</v>
      </c>
      <c r="X157" s="233" t="str">
        <f>VLOOKUP(Table1[[#This Row],[Country Code]],Table29[],5,FALSE)</f>
        <v>Middle-income</v>
      </c>
      <c r="Y157" s="43"/>
      <c r="Z157" s="43"/>
    </row>
    <row r="158" spans="1:26" ht="15" customHeight="1" x14ac:dyDescent="0.25">
      <c r="A158" s="360">
        <v>17601</v>
      </c>
      <c r="B158" s="176" t="s">
        <v>201</v>
      </c>
      <c r="C158" s="243" t="str">
        <f>VLOOKUP(Table1[[#This Row],[Country Code]],Table29[],2,FALSE)</f>
        <v>Georgia</v>
      </c>
      <c r="D158" s="243" t="str">
        <f t="shared" si="6"/>
        <v>Good</v>
      </c>
      <c r="E158" s="176" t="s">
        <v>71</v>
      </c>
      <c r="F158" s="43" t="s">
        <v>498</v>
      </c>
      <c r="G158" s="43" t="str">
        <f t="shared" si="7"/>
        <v>First NDC</v>
      </c>
      <c r="H158" s="43" t="s">
        <v>499</v>
      </c>
      <c r="I158" s="351">
        <v>42863</v>
      </c>
      <c r="J158" s="320" t="s">
        <v>500</v>
      </c>
      <c r="K158" s="320" t="str" cm="1">
        <f t="array" ref="K158">IF(ISNUMBER(MATCH("Transport sector mitigation target", _xlfn._xlws.FILTER(Targets!H:H, Targets!A:A =A158), 0)), "yes", "no")</f>
        <v>no</v>
      </c>
      <c r="L158" s="43" t="str">
        <f>IF(K158="no", "No transport target", IF(AND(COUNTIFS(Targets!A:A, A158, Targets!H:H, "Transport sector mitigation target", Targets!J:J, "GHG") &gt; 0, COUNTIFS(Targets!A:A, A158, Targets!H:H, "Transport sector mitigation target", Targets!J:J, "Non GHG") &gt; 0), "GHG and non-GHG target", IF(COUNTIFS(Targets!A:A, A158, Targets!H:H, "Transport sector mitigation target", Targets!J:J, "GHG") &gt; 0, "GHG target", IF(COUNTIFS(Targets!A:A, A158, Targets!H:H, "Transport sector mitigation target", Targets!J:J, "Non GHG") &gt; 0, "non-GHG target", ""))))</f>
        <v>No transport target</v>
      </c>
      <c r="M158" s="43" t="str">
        <f>IF(K158="no","No transport target",IF(L158="non-GHG target","No GHG transport target",IF(AND(COUNTIFS(Targets!A:A,A158,Targets!H:H,"Transport sector mitigation target",Targets!J:J,"GHG",Targets!L:L,"Conditional")&gt;0,COUNTIFS(Targets!A:A,A158,Targets!H:H,"Transport sector mitigation target",Targets!J:J,"GHG",Targets!L:L,"Unconditional")&gt;0),"GHG unconditional and conditional",IF(COUNTIFS(Targets!A:A,A158,Targets!H:H,"Transport sector mitigation target",Targets!J:J,"GHG",Targets!L:L,"Conditional")&gt;0,"GHG conditional only",IF(COUNTIFS(Targets!A:A,A158,Targets!H:H,"Transport sector mitigation target",Targets!J:J,"GHG",Targets!L:L,"Unconditional")&gt;0,"GHG unconditional only",IF(COUNTIFS(Targets!A:A,A158,Targets!H:H,"Transport sector mitigation target",Targets!J:J,"GHG",Targets!L:L,"Unclear conditionality")&gt;0,"Conditionality unclear",""))))))</f>
        <v>No transport target</v>
      </c>
      <c r="N158" s="43" t="str" cm="1">
        <f t="array" ref="N158">IF(ISNUMBER(MATCH("Transport sector adaptation target", _xlfn._xlws.FILTER(Targets!H:H, Targets!A:A =A158), 0)), "yes", "no")</f>
        <v>no</v>
      </c>
      <c r="O158" s="43" t="str">
        <f>IF(ISNA(MATCH(A158, Mitigation!A:A, 0)), "no", "yes")</f>
        <v>yes</v>
      </c>
      <c r="P158" s="43" t="str">
        <f>IF(ISNA(MATCH(A158, Adaptation!A:A, 0)), "no", "yes")</f>
        <v>no</v>
      </c>
      <c r="Q158" s="43" t="str">
        <f>IF(ISNA(MATCH(A158, Benefits!A:A, 0)), "no", "yes")</f>
        <v>no</v>
      </c>
      <c r="R158" s="43"/>
      <c r="S158" s="43"/>
      <c r="T158" s="43" t="s">
        <v>501</v>
      </c>
      <c r="U158" s="363" t="s">
        <v>668</v>
      </c>
      <c r="V158" s="233" t="str">
        <f>VLOOKUP(Table1[[#This Row],[Country Code]],Table29[],3,FALSE)</f>
        <v>Non-Annex I</v>
      </c>
      <c r="W158" s="233" t="str">
        <f>VLOOKUP(Table1[[#This Row],[Country Code]],Table29[],4,FALSE)</f>
        <v>Asia</v>
      </c>
      <c r="X158" s="233" t="str">
        <f>VLOOKUP(Table1[[#This Row],[Country Code]],Table29[],5,FALSE)</f>
        <v>Middle-income</v>
      </c>
      <c r="Y158" s="43"/>
      <c r="Z158" s="43"/>
    </row>
    <row r="159" spans="1:26" ht="15" customHeight="1" x14ac:dyDescent="0.25">
      <c r="A159" s="360">
        <v>17550</v>
      </c>
      <c r="B159" s="176" t="s">
        <v>127</v>
      </c>
      <c r="C159" s="243" t="str">
        <f>VLOOKUP(Table1[[#This Row],[Country Code]],Table29[],2,FALSE)</f>
        <v>Canada</v>
      </c>
      <c r="D159" s="243" t="str">
        <f t="shared" si="6"/>
        <v>Good</v>
      </c>
      <c r="E159" s="176" t="s">
        <v>71</v>
      </c>
      <c r="F159" s="43" t="s">
        <v>498</v>
      </c>
      <c r="G159" s="43" t="str">
        <f t="shared" si="7"/>
        <v>First NDC</v>
      </c>
      <c r="H159" s="43" t="s">
        <v>499</v>
      </c>
      <c r="I159" s="351">
        <v>42866</v>
      </c>
      <c r="J159" s="320" t="s">
        <v>500</v>
      </c>
      <c r="K159" s="320" t="str" cm="1">
        <f t="array" ref="K159">IF(ISNUMBER(MATCH("Transport sector mitigation target", _xlfn._xlws.FILTER(Targets!H:H, Targets!A:A =A159), 0)), "yes", "no")</f>
        <v>no</v>
      </c>
      <c r="L159" s="43" t="str">
        <f>IF(K159="no", "No transport target", IF(AND(COUNTIFS(Targets!A:A, A159, Targets!H:H, "Transport sector mitigation target", Targets!J:J, "GHG") &gt; 0, COUNTIFS(Targets!A:A, A159, Targets!H:H, "Transport sector mitigation target", Targets!J:J, "Non GHG") &gt; 0), "GHG and non-GHG target", IF(COUNTIFS(Targets!A:A, A159, Targets!H:H, "Transport sector mitigation target", Targets!J:J, "GHG") &gt; 0, "GHG target", IF(COUNTIFS(Targets!A:A, A159, Targets!H:H, "Transport sector mitigation target", Targets!J:J, "Non GHG") &gt; 0, "non-GHG target", ""))))</f>
        <v>No transport target</v>
      </c>
      <c r="M159" s="43" t="str">
        <f>IF(K159="no","No transport target",IF(L159="non-GHG target","No GHG transport target",IF(AND(COUNTIFS(Targets!A:A,A159,Targets!H:H,"Transport sector mitigation target",Targets!J:J,"GHG",Targets!L:L,"Conditional")&gt;0,COUNTIFS(Targets!A:A,A159,Targets!H:H,"Transport sector mitigation target",Targets!J:J,"GHG",Targets!L:L,"Unconditional")&gt;0),"GHG unconditional and conditional",IF(COUNTIFS(Targets!A:A,A159,Targets!H:H,"Transport sector mitigation target",Targets!J:J,"GHG",Targets!L:L,"Conditional")&gt;0,"GHG conditional only",IF(COUNTIFS(Targets!A:A,A159,Targets!H:H,"Transport sector mitigation target",Targets!J:J,"GHG",Targets!L:L,"Unconditional")&gt;0,"GHG unconditional only",IF(COUNTIFS(Targets!A:A,A159,Targets!H:H,"Transport sector mitigation target",Targets!J:J,"GHG",Targets!L:L,"Unclear conditionality")&gt;0,"Conditionality unclear",""))))))</f>
        <v>No transport target</v>
      </c>
      <c r="N159" s="43" t="str" cm="1">
        <f t="array" ref="N159">IF(ISNUMBER(MATCH("Transport sector adaptation target", _xlfn._xlws.FILTER(Targets!H:H, Targets!A:A =A159), 0)), "yes", "no")</f>
        <v>no</v>
      </c>
      <c r="O159" s="43" t="str">
        <f>IF(ISNA(MATCH(A159, Mitigation!A:A, 0)), "no", "yes")</f>
        <v>yes</v>
      </c>
      <c r="P159" s="43" t="str">
        <f>IF(ISNA(MATCH(A159, Adaptation!A:A, 0)), "no", "yes")</f>
        <v>no</v>
      </c>
      <c r="Q159" s="43" t="str">
        <f>IF(ISNA(MATCH(A159, Benefits!A:A, 0)), "no", "yes")</f>
        <v>no</v>
      </c>
      <c r="R159" s="43"/>
      <c r="S159" s="43"/>
      <c r="T159" s="43" t="s">
        <v>501</v>
      </c>
      <c r="U159" s="312" t="s">
        <v>669</v>
      </c>
      <c r="V159" s="233" t="str">
        <f>VLOOKUP(Table1[[#This Row],[Country Code]],Table29[],3,FALSE)</f>
        <v>Annex I</v>
      </c>
      <c r="W159" s="233" t="str">
        <f>VLOOKUP(Table1[[#This Row],[Country Code]],Table29[],4,FALSE)</f>
        <v>Northern America</v>
      </c>
      <c r="X159" s="233" t="str">
        <f>VLOOKUP(Table1[[#This Row],[Country Code]],Table29[],5,FALSE)</f>
        <v>High-income</v>
      </c>
      <c r="Y159" s="43"/>
      <c r="Z159" s="43"/>
    </row>
    <row r="160" spans="1:26" ht="15" customHeight="1" x14ac:dyDescent="0.25">
      <c r="A160" s="360">
        <v>17684</v>
      </c>
      <c r="B160" s="176" t="s">
        <v>329</v>
      </c>
      <c r="C160" s="243" t="str">
        <f>VLOOKUP(Table1[[#This Row],[Country Code]],Table29[],2,FALSE)</f>
        <v>Nigeria</v>
      </c>
      <c r="D160" s="243" t="str">
        <f t="shared" si="6"/>
        <v>Good</v>
      </c>
      <c r="E160" s="176" t="s">
        <v>71</v>
      </c>
      <c r="F160" s="43" t="s">
        <v>498</v>
      </c>
      <c r="G160" s="43" t="str">
        <f t="shared" si="7"/>
        <v>First NDC</v>
      </c>
      <c r="H160" s="43" t="s">
        <v>499</v>
      </c>
      <c r="I160" s="351">
        <v>42871</v>
      </c>
      <c r="J160" s="320" t="s">
        <v>500</v>
      </c>
      <c r="K160" s="320" t="str" cm="1">
        <f t="array" ref="K160">IF(ISNUMBER(MATCH("Transport sector mitigation target", _xlfn._xlws.FILTER(Targets!H:H, Targets!A:A =A160), 0)), "yes", "no")</f>
        <v>yes</v>
      </c>
      <c r="L160" s="43" t="str">
        <f>IF(K160="no", "No transport target", IF(AND(COUNTIFS(Targets!A:A, A160, Targets!H:H, "Transport sector mitigation target", Targets!J:J, "GHG") &gt; 0, COUNTIFS(Targets!A:A, A160, Targets!H:H, "Transport sector mitigation target", Targets!J:J, "Non GHG") &gt; 0), "GHG and non-GHG target", IF(COUNTIFS(Targets!A:A, A160, Targets!H:H, "Transport sector mitigation target", Targets!J:J, "GHG") &gt; 0, "GHG target", IF(COUNTIFS(Targets!A:A, A160, Targets!H:H, "Transport sector mitigation target", Targets!J:J, "Non GHG") &gt; 0, "non-GHG target", ""))))</f>
        <v>non-GHG target</v>
      </c>
      <c r="M160" s="43" t="str">
        <f>IF(K160="no","No transport target",IF(L160="non-GHG target","No GHG transport target",IF(AND(COUNTIFS(Targets!A:A,A160,Targets!H:H,"Transport sector mitigation target",Targets!J:J,"GHG",Targets!L:L,"Conditional")&gt;0,COUNTIFS(Targets!A:A,A160,Targets!H:H,"Transport sector mitigation target",Targets!J:J,"GHG",Targets!L:L,"Unconditional")&gt;0),"GHG unconditional and conditional",IF(COUNTIFS(Targets!A:A,A160,Targets!H:H,"Transport sector mitigation target",Targets!J:J,"GHG",Targets!L:L,"Conditional")&gt;0,"GHG conditional only",IF(COUNTIFS(Targets!A:A,A160,Targets!H:H,"Transport sector mitigation target",Targets!J:J,"GHG",Targets!L:L,"Unconditional")&gt;0,"GHG unconditional only",IF(COUNTIFS(Targets!A:A,A160,Targets!H:H,"Transport sector mitigation target",Targets!J:J,"GHG",Targets!L:L,"Unclear conditionality")&gt;0,"Conditionality unclear",""))))))</f>
        <v>No GHG transport target</v>
      </c>
      <c r="N160" s="43" t="str" cm="1">
        <f t="array" ref="N160">IF(ISNUMBER(MATCH("Transport sector adaptation target", _xlfn._xlws.FILTER(Targets!H:H, Targets!A:A =A160), 0)), "yes", "no")</f>
        <v>no</v>
      </c>
      <c r="O160" s="43" t="str">
        <f>IF(ISNA(MATCH(A160, Mitigation!A:A, 0)), "no", "yes")</f>
        <v>yes</v>
      </c>
      <c r="P160" s="43" t="str">
        <f>IF(ISNA(MATCH(A160, Adaptation!A:A, 0)), "no", "yes")</f>
        <v>yes</v>
      </c>
      <c r="Q160" s="43" t="str">
        <f>IF(ISNA(MATCH(A160, Benefits!A:A, 0)), "no", "yes")</f>
        <v>yes</v>
      </c>
      <c r="R160" s="43"/>
      <c r="S160" s="43"/>
      <c r="T160" s="43" t="s">
        <v>501</v>
      </c>
      <c r="U160" s="312" t="s">
        <v>670</v>
      </c>
      <c r="V160" s="233" t="str">
        <f>VLOOKUP(Table1[[#This Row],[Country Code]],Table29[],3,FALSE)</f>
        <v>Non-Annex I</v>
      </c>
      <c r="W160" s="233" t="str">
        <f>VLOOKUP(Table1[[#This Row],[Country Code]],Table29[],4,FALSE)</f>
        <v>Africa</v>
      </c>
      <c r="X160" s="233" t="str">
        <f>VLOOKUP(Table1[[#This Row],[Country Code]],Table29[],5,FALSE)</f>
        <v>Middle-income</v>
      </c>
      <c r="Y160" s="43"/>
      <c r="Z160" s="43"/>
    </row>
    <row r="161" spans="1:26" ht="15" customHeight="1" x14ac:dyDescent="0.25">
      <c r="A161" s="360">
        <v>17709</v>
      </c>
      <c r="B161" s="176" t="s">
        <v>362</v>
      </c>
      <c r="C161" s="243" t="str">
        <f>VLOOKUP(Table1[[#This Row],[Country Code]],Table29[],2,FALSE)</f>
        <v>Republic of Moldova</v>
      </c>
      <c r="D161" s="243" t="str">
        <f t="shared" si="6"/>
        <v>Good</v>
      </c>
      <c r="E161" s="176" t="s">
        <v>71</v>
      </c>
      <c r="F161" s="43" t="s">
        <v>498</v>
      </c>
      <c r="G161" s="43" t="str">
        <f t="shared" si="7"/>
        <v>First NDC</v>
      </c>
      <c r="H161" s="43" t="s">
        <v>499</v>
      </c>
      <c r="I161" s="351">
        <v>42906</v>
      </c>
      <c r="J161" s="320" t="s">
        <v>500</v>
      </c>
      <c r="K161" s="320" t="str" cm="1">
        <f t="array" ref="K161">IF(ISNUMBER(MATCH("Transport sector mitigation target", _xlfn._xlws.FILTER(Targets!H:H, Targets!A:A =A161), 0)), "yes", "no")</f>
        <v>yes</v>
      </c>
      <c r="L161" s="43" t="str">
        <f>IF(K161="no", "No transport target", IF(AND(COUNTIFS(Targets!A:A, A161, Targets!H:H, "Transport sector mitigation target", Targets!J:J, "GHG") &gt; 0, COUNTIFS(Targets!A:A, A161, Targets!H:H, "Transport sector mitigation target", Targets!J:J, "Non GHG") &gt; 0), "GHG and non-GHG target", IF(COUNTIFS(Targets!A:A, A161, Targets!H:H, "Transport sector mitigation target", Targets!J:J, "GHG") &gt; 0, "GHG target", IF(COUNTIFS(Targets!A:A, A161, Targets!H:H, "Transport sector mitigation target", Targets!J:J, "Non GHG") &gt; 0, "non-GHG target", ""))))</f>
        <v>GHG target</v>
      </c>
      <c r="M161" s="43" t="str">
        <f>IF(K161="no","No transport target",IF(L161="non-GHG target","No GHG transport target",IF(AND(COUNTIFS(Targets!A:A,A161,Targets!H:H,"Transport sector mitigation target",Targets!J:J,"GHG",Targets!L:L,"Conditional")&gt;0,COUNTIFS(Targets!A:A,A161,Targets!H:H,"Transport sector mitigation target",Targets!J:J,"GHG",Targets!L:L,"Unconditional")&gt;0),"GHG unconditional and conditional",IF(COUNTIFS(Targets!A:A,A161,Targets!H:H,"Transport sector mitigation target",Targets!J:J,"GHG",Targets!L:L,"Conditional")&gt;0,"GHG conditional only",IF(COUNTIFS(Targets!A:A,A161,Targets!H:H,"Transport sector mitigation target",Targets!J:J,"GHG",Targets!L:L,"Unconditional")&gt;0,"GHG unconditional only",IF(COUNTIFS(Targets!A:A,A161,Targets!H:H,"Transport sector mitigation target",Targets!J:J,"GHG",Targets!L:L,"Unclear conditionality")&gt;0,"Conditionality unclear",""))))))</f>
        <v>GHG unconditional only</v>
      </c>
      <c r="N161" s="43" t="str" cm="1">
        <f t="array" ref="N161">IF(ISNUMBER(MATCH("Transport sector adaptation target", _xlfn._xlws.FILTER(Targets!H:H, Targets!A:A =A161), 0)), "yes", "no")</f>
        <v>no</v>
      </c>
      <c r="O161" s="43" t="str">
        <f>IF(ISNA(MATCH(A161, Mitigation!A:A, 0)), "no", "yes")</f>
        <v>yes</v>
      </c>
      <c r="P161" s="43" t="str">
        <f>IF(ISNA(MATCH(A161, Adaptation!A:A, 0)), "no", "yes")</f>
        <v>yes</v>
      </c>
      <c r="Q161" s="43" t="str">
        <f>IF(ISNA(MATCH(A161, Benefits!A:A, 0)), "no", "yes")</f>
        <v>no</v>
      </c>
      <c r="R161" s="43"/>
      <c r="S161" s="43"/>
      <c r="T161" s="43" t="s">
        <v>501</v>
      </c>
      <c r="U161" s="312" t="s">
        <v>623</v>
      </c>
      <c r="V161" s="233" t="str">
        <f>VLOOKUP(Table1[[#This Row],[Country Code]],Table29[],3,FALSE)</f>
        <v>Non-Annex I</v>
      </c>
      <c r="W161" s="233" t="str">
        <f>VLOOKUP(Table1[[#This Row],[Country Code]],Table29[],4,FALSE)</f>
        <v>Europe</v>
      </c>
      <c r="X161" s="233" t="str">
        <f>VLOOKUP(Table1[[#This Row],[Country Code]],Table29[],5,FALSE)</f>
        <v>Middle-income</v>
      </c>
      <c r="Y161" s="43"/>
      <c r="Z161" s="43"/>
    </row>
    <row r="162" spans="1:26" ht="15" customHeight="1" x14ac:dyDescent="0.25">
      <c r="A162" s="360">
        <v>17705</v>
      </c>
      <c r="B162" s="20" t="s">
        <v>358</v>
      </c>
      <c r="C162" s="206" t="str">
        <f>VLOOKUP(Table1[[#This Row],[Country Code]],Table29[],2,FALSE)</f>
        <v>Qatar</v>
      </c>
      <c r="D162" s="243" t="str">
        <f t="shared" si="6"/>
        <v>Good</v>
      </c>
      <c r="E162" s="20" t="s">
        <v>71</v>
      </c>
      <c r="F162" s="17" t="s">
        <v>498</v>
      </c>
      <c r="G162" s="43" t="str">
        <f t="shared" si="7"/>
        <v>First NDC</v>
      </c>
      <c r="H162" s="17" t="s">
        <v>499</v>
      </c>
      <c r="I162" s="149">
        <v>42909</v>
      </c>
      <c r="J162" s="49" t="s">
        <v>500</v>
      </c>
      <c r="K162" s="49" t="str" cm="1">
        <f t="array" ref="K162">IF(ISNUMBER(MATCH("Transport sector mitigation target", _xlfn._xlws.FILTER(Targets!H:H, Targets!A:A =A162), 0)), "yes", "no")</f>
        <v>no</v>
      </c>
      <c r="L162" s="17" t="str">
        <f>IF(K162="no", "No transport target", IF(AND(COUNTIFS(Targets!A:A, A162, Targets!H:H, "Transport sector mitigation target", Targets!J:J, "GHG") &gt; 0, COUNTIFS(Targets!A:A, A162, Targets!H:H, "Transport sector mitigation target", Targets!J:J, "Non GHG") &gt; 0), "GHG and non-GHG target", IF(COUNTIFS(Targets!A:A, A162, Targets!H:H, "Transport sector mitigation target", Targets!J:J, "GHG") &gt; 0, "GHG target", IF(COUNTIFS(Targets!A:A, A162, Targets!H:H, "Transport sector mitigation target", Targets!J:J, "Non GHG") &gt; 0, "non-GHG target", ""))))</f>
        <v>No transport target</v>
      </c>
      <c r="M162" s="17" t="str">
        <f>IF(K162="no","No transport target",IF(L162="non-GHG target","No GHG transport target",IF(AND(COUNTIFS(Targets!A:A,A162,Targets!H:H,"Transport sector mitigation target",Targets!J:J,"GHG",Targets!L:L,"Conditional")&gt;0,COUNTIFS(Targets!A:A,A162,Targets!H:H,"Transport sector mitigation target",Targets!J:J,"GHG",Targets!L:L,"Unconditional")&gt;0),"GHG unconditional and conditional",IF(COUNTIFS(Targets!A:A,A162,Targets!H:H,"Transport sector mitigation target",Targets!J:J,"GHG",Targets!L:L,"Conditional")&gt;0,"GHG conditional only",IF(COUNTIFS(Targets!A:A,A162,Targets!H:H,"Transport sector mitigation target",Targets!J:J,"GHG",Targets!L:L,"Unconditional")&gt;0,"GHG unconditional only",IF(COUNTIFS(Targets!A:A,A162,Targets!H:H,"Transport sector mitigation target",Targets!J:J,"GHG",Targets!L:L,"Unclear conditionality")&gt;0,"Conditionality unclear",""))))))</f>
        <v>No transport target</v>
      </c>
      <c r="N162" s="17" t="str" cm="1">
        <f t="array" ref="N162">IF(ISNUMBER(MATCH("Transport sector adaptation target", _xlfn._xlws.FILTER(Targets!H:H, Targets!A:A =A162), 0)), "yes", "no")</f>
        <v>no</v>
      </c>
      <c r="O162" s="17" t="str">
        <f>IF(ISNA(MATCH(A162, Mitigation!A:A, 0)), "no", "yes")</f>
        <v>yes</v>
      </c>
      <c r="P162" s="17" t="str">
        <f>IF(ISNA(MATCH(A162, Adaptation!A:A, 0)), "no", "yes")</f>
        <v>no</v>
      </c>
      <c r="Q162" s="17" t="str">
        <f>IF(ISNA(MATCH(A162, Benefits!A:A, 0)), "no", "yes")</f>
        <v>no</v>
      </c>
      <c r="R162" s="17"/>
      <c r="S162" s="17"/>
      <c r="T162" s="17" t="s">
        <v>501</v>
      </c>
      <c r="U162" s="135" t="s">
        <v>671</v>
      </c>
      <c r="V162" s="207" t="str">
        <f>VLOOKUP(Table1[[#This Row],[Country Code]],Table29[],3,FALSE)</f>
        <v>Non-Annex I</v>
      </c>
      <c r="W162" s="207" t="str">
        <f>VLOOKUP(Table1[[#This Row],[Country Code]],Table29[],4,FALSE)</f>
        <v>Asia</v>
      </c>
      <c r="X162" s="207" t="str">
        <f>VLOOKUP(Table1[[#This Row],[Country Code]],Table29[],5,FALSE)</f>
        <v>High-income</v>
      </c>
      <c r="Y162" s="17"/>
      <c r="Z162" s="17"/>
    </row>
    <row r="163" spans="1:26" ht="15" customHeight="1" x14ac:dyDescent="0.25">
      <c r="A163" s="405">
        <v>17760</v>
      </c>
      <c r="B163" s="20" t="s">
        <v>428</v>
      </c>
      <c r="C163" s="206" t="str">
        <f>VLOOKUP(Table1[[#This Row],[Country Code]],Table29[],2,FALSE)</f>
        <v>Togo</v>
      </c>
      <c r="D163" s="243" t="str">
        <f t="shared" si="6"/>
        <v>Good</v>
      </c>
      <c r="E163" s="20" t="s">
        <v>71</v>
      </c>
      <c r="F163" s="17" t="s">
        <v>498</v>
      </c>
      <c r="G163" s="43" t="str">
        <f t="shared" si="7"/>
        <v>First NDC</v>
      </c>
      <c r="H163" s="17" t="s">
        <v>499</v>
      </c>
      <c r="I163" s="149">
        <v>42914</v>
      </c>
      <c r="J163" s="49" t="s">
        <v>500</v>
      </c>
      <c r="K163" s="49" t="str" cm="1">
        <f t="array" ref="K163">IF(ISNUMBER(MATCH("Transport sector mitigation target", _xlfn._xlws.FILTER(Targets!H:H, Targets!A:A =A163), 0)), "yes", "no")</f>
        <v>yes</v>
      </c>
      <c r="L163" s="17" t="str">
        <f>IF(K163="no", "No transport target", IF(AND(COUNTIFS(Targets!A:A, A163, Targets!H:H, "Transport sector mitigation target", Targets!J:J, "GHG") &gt; 0, COUNTIFS(Targets!A:A, A163, Targets!H:H, "Transport sector mitigation target", Targets!J:J, "Non GHG") &gt; 0), "GHG and non-GHG target", IF(COUNTIFS(Targets!A:A, A163, Targets!H:H, "Transport sector mitigation target", Targets!J:J, "GHG") &gt; 0, "GHG target", IF(COUNTIFS(Targets!A:A, A163, Targets!H:H, "Transport sector mitigation target", Targets!J:J, "Non GHG") &gt; 0, "non-GHG target", ""))))</f>
        <v>non-GHG target</v>
      </c>
      <c r="M163" s="17" t="str">
        <f>IF(K163="no","No transport target",IF(L163="non-GHG target","No GHG transport target",IF(AND(COUNTIFS(Targets!A:A,A163,Targets!H:H,"Transport sector mitigation target",Targets!J:J,"GHG",Targets!L:L,"Conditional")&gt;0,COUNTIFS(Targets!A:A,A163,Targets!H:H,"Transport sector mitigation target",Targets!J:J,"GHG",Targets!L:L,"Unconditional")&gt;0),"GHG unconditional and conditional",IF(COUNTIFS(Targets!A:A,A163,Targets!H:H,"Transport sector mitigation target",Targets!J:J,"GHG",Targets!L:L,"Conditional")&gt;0,"GHG conditional only",IF(COUNTIFS(Targets!A:A,A163,Targets!H:H,"Transport sector mitigation target",Targets!J:J,"GHG",Targets!L:L,"Unconditional")&gt;0,"GHG unconditional only",IF(COUNTIFS(Targets!A:A,A163,Targets!H:H,"Transport sector mitigation target",Targets!J:J,"GHG",Targets!L:L,"Unclear conditionality")&gt;0,"Conditionality unclear",""))))))</f>
        <v>No GHG transport target</v>
      </c>
      <c r="N163" s="17" t="str" cm="1">
        <f t="array" ref="N163">IF(ISNUMBER(MATCH("Transport sector adaptation target", _xlfn._xlws.FILTER(Targets!H:H, Targets!A:A =A163), 0)), "yes", "no")</f>
        <v>no</v>
      </c>
      <c r="O163" s="17" t="str">
        <f>IF(ISNA(MATCH(A163, Mitigation!A:A, 0)), "no", "yes")</f>
        <v>yes</v>
      </c>
      <c r="P163" s="17" t="str">
        <f>IF(ISNA(MATCH(A163, Adaptation!A:A, 0)), "no", "yes")</f>
        <v>no</v>
      </c>
      <c r="Q163" s="17" t="str">
        <f>IF(ISNA(MATCH(A163, Benefits!A:A, 0)), "no", "yes")</f>
        <v>no</v>
      </c>
      <c r="R163" s="17"/>
      <c r="S163" s="17"/>
      <c r="T163" s="17" t="s">
        <v>501</v>
      </c>
      <c r="U163" s="135" t="s">
        <v>672</v>
      </c>
      <c r="V163" s="207" t="str">
        <f>VLOOKUP(Table1[[#This Row],[Country Code]],Table29[],3,FALSE)</f>
        <v>Non-Annex I</v>
      </c>
      <c r="W163" s="207" t="str">
        <f>VLOOKUP(Table1[[#This Row],[Country Code]],Table29[],4,FALSE)</f>
        <v>Africa</v>
      </c>
      <c r="X163" s="207" t="str">
        <f>VLOOKUP(Table1[[#This Row],[Country Code]],Table29[],5,FALSE)</f>
        <v>Low-income</v>
      </c>
      <c r="Y163" s="17"/>
      <c r="Z163" s="17"/>
    </row>
    <row r="164" spans="1:26" ht="15" customHeight="1" x14ac:dyDescent="0.25">
      <c r="A164" s="360">
        <v>17582</v>
      </c>
      <c r="B164" s="176" t="s">
        <v>175</v>
      </c>
      <c r="C164" s="243" t="str">
        <f>VLOOKUP(Table1[[#This Row],[Country Code]],Table29[],2,FALSE)</f>
        <v>Egypt</v>
      </c>
      <c r="D164" s="243" t="str">
        <f t="shared" si="6"/>
        <v>Good</v>
      </c>
      <c r="E164" s="176" t="s">
        <v>71</v>
      </c>
      <c r="F164" s="43" t="s">
        <v>498</v>
      </c>
      <c r="G164" s="43" t="str">
        <f t="shared" si="7"/>
        <v>First NDC</v>
      </c>
      <c r="H164" s="43" t="s">
        <v>499</v>
      </c>
      <c r="I164" s="351">
        <v>42915</v>
      </c>
      <c r="J164" s="320" t="s">
        <v>500</v>
      </c>
      <c r="K164" s="320" t="str" cm="1">
        <f t="array" ref="K164">IF(ISNUMBER(MATCH("Transport sector mitigation target", _xlfn._xlws.FILTER(Targets!H:H, Targets!A:A =A164), 0)), "yes", "no")</f>
        <v>no</v>
      </c>
      <c r="L164" s="43" t="str">
        <f>IF(K164="no", "No transport target", IF(AND(COUNTIFS(Targets!A:A, A164, Targets!H:H, "Transport sector mitigation target", Targets!J:J, "GHG") &gt; 0, COUNTIFS(Targets!A:A, A164, Targets!H:H, "Transport sector mitigation target", Targets!J:J, "Non GHG") &gt; 0), "GHG and non-GHG target", IF(COUNTIFS(Targets!A:A, A164, Targets!H:H, "Transport sector mitigation target", Targets!J:J, "GHG") &gt; 0, "GHG target", IF(COUNTIFS(Targets!A:A, A164, Targets!H:H, "Transport sector mitigation target", Targets!J:J, "Non GHG") &gt; 0, "non-GHG target", ""))))</f>
        <v>No transport target</v>
      </c>
      <c r="M164" s="43" t="str">
        <f>IF(K164="no","No transport target",IF(L164="non-GHG target","No GHG transport target",IF(AND(COUNTIFS(Targets!A:A,A164,Targets!H:H,"Transport sector mitigation target",Targets!J:J,"GHG",Targets!L:L,"Conditional")&gt;0,COUNTIFS(Targets!A:A,A164,Targets!H:H,"Transport sector mitigation target",Targets!J:J,"GHG",Targets!L:L,"Unconditional")&gt;0),"GHG unconditional and conditional",IF(COUNTIFS(Targets!A:A,A164,Targets!H:H,"Transport sector mitigation target",Targets!J:J,"GHG",Targets!L:L,"Conditional")&gt;0,"GHG conditional only",IF(COUNTIFS(Targets!A:A,A164,Targets!H:H,"Transport sector mitigation target",Targets!J:J,"GHG",Targets!L:L,"Unconditional")&gt;0,"GHG unconditional only",IF(COUNTIFS(Targets!A:A,A164,Targets!H:H,"Transport sector mitigation target",Targets!J:J,"GHG",Targets!L:L,"Unclear conditionality")&gt;0,"Conditionality unclear",""))))))</f>
        <v>No transport target</v>
      </c>
      <c r="N164" s="43" t="str" cm="1">
        <f t="array" ref="N164">IF(ISNUMBER(MATCH("Transport sector adaptation target", _xlfn._xlws.FILTER(Targets!H:H, Targets!A:A =A164), 0)), "yes", "no")</f>
        <v>no</v>
      </c>
      <c r="O164" s="43" t="str">
        <f>IF(ISNA(MATCH(A164, Mitigation!A:A, 0)), "no", "yes")</f>
        <v>yes</v>
      </c>
      <c r="P164" s="43" t="str">
        <f>IF(ISNA(MATCH(A164, Adaptation!A:A, 0)), "no", "yes")</f>
        <v>no</v>
      </c>
      <c r="Q164" s="43" t="str">
        <f>IF(ISNA(MATCH(A164, Benefits!A:A, 0)), "no", "yes")</f>
        <v>no</v>
      </c>
      <c r="R164" s="43"/>
      <c r="S164" s="43"/>
      <c r="T164" s="43" t="s">
        <v>501</v>
      </c>
      <c r="U164" s="312" t="s">
        <v>673</v>
      </c>
      <c r="V164" s="233" t="str">
        <f>VLOOKUP(Table1[[#This Row],[Country Code]],Table29[],3,FALSE)</f>
        <v>Non-Annex I</v>
      </c>
      <c r="W164" s="233" t="str">
        <f>VLOOKUP(Table1[[#This Row],[Country Code]],Table29[],4,FALSE)</f>
        <v>Africa</v>
      </c>
      <c r="X164" s="233" t="str">
        <f>VLOOKUP(Table1[[#This Row],[Country Code]],Table29[],5,FALSE)</f>
        <v>Middle-income</v>
      </c>
      <c r="Y164" s="43"/>
      <c r="Z164" s="43"/>
    </row>
    <row r="165" spans="1:26" ht="15" customHeight="1" x14ac:dyDescent="0.25">
      <c r="A165" s="360">
        <v>17649</v>
      </c>
      <c r="B165" s="176" t="s">
        <v>282</v>
      </c>
      <c r="C165" s="243" t="str">
        <f>VLOOKUP(Table1[[#This Row],[Country Code]],Table29[],2,FALSE)</f>
        <v>Malawi</v>
      </c>
      <c r="D165" s="243" t="str">
        <f t="shared" si="6"/>
        <v>Good</v>
      </c>
      <c r="E165" s="176" t="s">
        <v>71</v>
      </c>
      <c r="F165" s="43" t="s">
        <v>498</v>
      </c>
      <c r="G165" s="43" t="str">
        <f t="shared" si="7"/>
        <v>First NDC</v>
      </c>
      <c r="H165" s="43" t="s">
        <v>499</v>
      </c>
      <c r="I165" s="351">
        <v>42915</v>
      </c>
      <c r="J165" s="320" t="s">
        <v>500</v>
      </c>
      <c r="K165" s="320" t="str" cm="1">
        <f t="array" ref="K165">IF(ISNUMBER(MATCH("Transport sector mitigation target", _xlfn._xlws.FILTER(Targets!H:H, Targets!A:A =A165), 0)), "yes", "no")</f>
        <v>yes</v>
      </c>
      <c r="L165" s="43" t="str">
        <f>IF(K165="no", "No transport target", IF(AND(COUNTIFS(Targets!A:A, A165, Targets!H:H, "Transport sector mitigation target", Targets!J:J, "GHG") &gt; 0, COUNTIFS(Targets!A:A, A165, Targets!H:H, "Transport sector mitigation target", Targets!J:J, "Non GHG") &gt; 0), "GHG and non-GHG target", IF(COUNTIFS(Targets!A:A, A165, Targets!H:H, "Transport sector mitigation target", Targets!J:J, "GHG") &gt; 0, "GHG target", IF(COUNTIFS(Targets!A:A, A165, Targets!H:H, "Transport sector mitigation target", Targets!J:J, "Non GHG") &gt; 0, "non-GHG target", ""))))</f>
        <v>non-GHG target</v>
      </c>
      <c r="M165" s="43" t="str">
        <f>IF(K165="no","No transport target",IF(L165="non-GHG target","No GHG transport target",IF(AND(COUNTIFS(Targets!A:A,A165,Targets!H:H,"Transport sector mitigation target",Targets!J:J,"GHG",Targets!L:L,"Conditional")&gt;0,COUNTIFS(Targets!A:A,A165,Targets!H:H,"Transport sector mitigation target",Targets!J:J,"GHG",Targets!L:L,"Unconditional")&gt;0),"GHG unconditional and conditional",IF(COUNTIFS(Targets!A:A,A165,Targets!H:H,"Transport sector mitigation target",Targets!J:J,"GHG",Targets!L:L,"Conditional")&gt;0,"GHG conditional only",IF(COUNTIFS(Targets!A:A,A165,Targets!H:H,"Transport sector mitigation target",Targets!J:J,"GHG",Targets!L:L,"Unconditional")&gt;0,"GHG unconditional only",IF(COUNTIFS(Targets!A:A,A165,Targets!H:H,"Transport sector mitigation target",Targets!J:J,"GHG",Targets!L:L,"Unclear conditionality")&gt;0,"Conditionality unclear",""))))))</f>
        <v>No GHG transport target</v>
      </c>
      <c r="N165" s="43" t="str" cm="1">
        <f t="array" ref="N165">IF(ISNUMBER(MATCH("Transport sector adaptation target", _xlfn._xlws.FILTER(Targets!H:H, Targets!A:A =A165), 0)), "yes", "no")</f>
        <v>no</v>
      </c>
      <c r="O165" s="43" t="str">
        <f>IF(ISNA(MATCH(A165, Mitigation!A:A, 0)), "no", "yes")</f>
        <v>yes</v>
      </c>
      <c r="P165" s="43" t="str">
        <f>IF(ISNA(MATCH(A165, Adaptation!A:A, 0)), "no", "yes")</f>
        <v>yes</v>
      </c>
      <c r="Q165" s="43" t="str">
        <f>IF(ISNA(MATCH(A165, Benefits!A:A, 0)), "no", "yes")</f>
        <v>no</v>
      </c>
      <c r="R165" s="43"/>
      <c r="S165" s="43"/>
      <c r="T165" s="43" t="s">
        <v>501</v>
      </c>
      <c r="U165" s="312" t="s">
        <v>674</v>
      </c>
      <c r="V165" s="233" t="str">
        <f>VLOOKUP(Table1[[#This Row],[Country Code]],Table29[],3,FALSE)</f>
        <v>Non-Annex I</v>
      </c>
      <c r="W165" s="233" t="str">
        <f>VLOOKUP(Table1[[#This Row],[Country Code]],Table29[],4,FALSE)</f>
        <v>Africa</v>
      </c>
      <c r="X165" s="233" t="str">
        <f>VLOOKUP(Table1[[#This Row],[Country Code]],Table29[],5,FALSE)</f>
        <v>Low-income</v>
      </c>
      <c r="Y165" s="43"/>
      <c r="Z165" s="43"/>
    </row>
    <row r="166" spans="1:26" ht="15" customHeight="1" x14ac:dyDescent="0.25">
      <c r="A166" s="405">
        <v>17728</v>
      </c>
      <c r="B166" s="20" t="s">
        <v>388</v>
      </c>
      <c r="C166" s="206" t="str">
        <f>VLOOKUP(Table1[[#This Row],[Country Code]],Table29[],2,FALSE)</f>
        <v>Serbia</v>
      </c>
      <c r="D166" s="243" t="str">
        <f t="shared" si="6"/>
        <v>Good</v>
      </c>
      <c r="E166" s="20" t="s">
        <v>71</v>
      </c>
      <c r="F166" s="17" t="s">
        <v>498</v>
      </c>
      <c r="G166" s="43" t="str">
        <f t="shared" si="7"/>
        <v>First NDC</v>
      </c>
      <c r="H166" s="17" t="s">
        <v>499</v>
      </c>
      <c r="I166" s="149">
        <v>42941</v>
      </c>
      <c r="J166" s="49" t="s">
        <v>500</v>
      </c>
      <c r="K166" s="49" t="str" cm="1">
        <f t="array" ref="K166">IF(ISNUMBER(MATCH("Transport sector mitigation target", _xlfn._xlws.FILTER(Targets!H:H, Targets!A:A =A166), 0)), "yes", "no")</f>
        <v>no</v>
      </c>
      <c r="L166" s="17" t="str">
        <f>IF(K166="no", "No transport target", IF(AND(COUNTIFS(Targets!A:A, A166, Targets!H:H, "Transport sector mitigation target", Targets!J:J, "GHG") &gt; 0, COUNTIFS(Targets!A:A, A166, Targets!H:H, "Transport sector mitigation target", Targets!J:J, "Non GHG") &gt; 0), "GHG and non-GHG target", IF(COUNTIFS(Targets!A:A, A166, Targets!H:H, "Transport sector mitigation target", Targets!J:J, "GHG") &gt; 0, "GHG target", IF(COUNTIFS(Targets!A:A, A166, Targets!H:H, "Transport sector mitigation target", Targets!J:J, "Non GHG") &gt; 0, "non-GHG target", ""))))</f>
        <v>No transport target</v>
      </c>
      <c r="M166" s="17" t="str">
        <f>IF(K166="no","No transport target",IF(L166="non-GHG target","No GHG transport target",IF(AND(COUNTIFS(Targets!A:A,A166,Targets!H:H,"Transport sector mitigation target",Targets!J:J,"GHG",Targets!L:L,"Conditional")&gt;0,COUNTIFS(Targets!A:A,A166,Targets!H:H,"Transport sector mitigation target",Targets!J:J,"GHG",Targets!L:L,"Unconditional")&gt;0),"GHG unconditional and conditional",IF(COUNTIFS(Targets!A:A,A166,Targets!H:H,"Transport sector mitigation target",Targets!J:J,"GHG",Targets!L:L,"Conditional")&gt;0,"GHG conditional only",IF(COUNTIFS(Targets!A:A,A166,Targets!H:H,"Transport sector mitigation target",Targets!J:J,"GHG",Targets!L:L,"Unconditional")&gt;0,"GHG unconditional only",IF(COUNTIFS(Targets!A:A,A166,Targets!H:H,"Transport sector mitigation target",Targets!J:J,"GHG",Targets!L:L,"Unclear conditionality")&gt;0,"Conditionality unclear",""))))))</f>
        <v>No transport target</v>
      </c>
      <c r="N166" s="17" t="str" cm="1">
        <f t="array" ref="N166">IF(ISNUMBER(MATCH("Transport sector adaptation target", _xlfn._xlws.FILTER(Targets!H:H, Targets!A:A =A166), 0)), "yes", "no")</f>
        <v>no</v>
      </c>
      <c r="O166" s="17" t="str">
        <f>IF(ISNA(MATCH(A166, Mitigation!A:A, 0)), "no", "yes")</f>
        <v>no</v>
      </c>
      <c r="P166" s="17" t="str">
        <f>IF(ISNA(MATCH(A166, Adaptation!A:A, 0)), "no", "yes")</f>
        <v>no</v>
      </c>
      <c r="Q166" s="17" t="str">
        <f>IF(ISNA(MATCH(A166, Benefits!A:A, 0)), "no", "yes")</f>
        <v>no</v>
      </c>
      <c r="R166" s="17"/>
      <c r="S166" s="17"/>
      <c r="T166" s="17" t="s">
        <v>501</v>
      </c>
      <c r="U166" s="135" t="s">
        <v>675</v>
      </c>
      <c r="V166" s="207" t="str">
        <f>VLOOKUP(Table1[[#This Row],[Country Code]],Table29[],3,FALSE)</f>
        <v>Non-Annex I</v>
      </c>
      <c r="W166" s="207" t="str">
        <f>VLOOKUP(Table1[[#This Row],[Country Code]],Table29[],4,FALSE)</f>
        <v>Europe</v>
      </c>
      <c r="X166" s="207" t="str">
        <f>VLOOKUP(Table1[[#This Row],[Country Code]],Table29[],5,FALSE)</f>
        <v>Middle-income</v>
      </c>
      <c r="Y166" s="17"/>
      <c r="Z166" s="17"/>
    </row>
    <row r="167" spans="1:26" ht="15" customHeight="1" x14ac:dyDescent="0.25">
      <c r="A167" s="360">
        <v>17612</v>
      </c>
      <c r="B167" s="176" t="s">
        <v>219</v>
      </c>
      <c r="C167" s="243" t="str">
        <f>VLOOKUP(Table1[[#This Row],[Country Code]],Table29[],2,FALSE)</f>
        <v>Haiti</v>
      </c>
      <c r="D167" s="243" t="str">
        <f t="shared" si="6"/>
        <v>Good</v>
      </c>
      <c r="E167" s="176" t="s">
        <v>71</v>
      </c>
      <c r="F167" s="43" t="s">
        <v>498</v>
      </c>
      <c r="G167" s="43" t="str">
        <f t="shared" si="7"/>
        <v>First NDC</v>
      </c>
      <c r="H167" s="43" t="s">
        <v>499</v>
      </c>
      <c r="I167" s="351">
        <v>42947</v>
      </c>
      <c r="J167" s="320" t="s">
        <v>500</v>
      </c>
      <c r="K167" s="320" t="str" cm="1">
        <f t="array" ref="K167">IF(ISNUMBER(MATCH("Transport sector mitigation target", _xlfn._xlws.FILTER(Targets!H:H, Targets!A:A =A167), 0)), "yes", "no")</f>
        <v>no</v>
      </c>
      <c r="L167" s="43" t="str">
        <f>IF(K167="no", "No transport target", IF(AND(COUNTIFS(Targets!A:A, A167, Targets!H:H, "Transport sector mitigation target", Targets!J:J, "GHG") &gt; 0, COUNTIFS(Targets!A:A, A167, Targets!H:H, "Transport sector mitigation target", Targets!J:J, "Non GHG") &gt; 0), "GHG and non-GHG target", IF(COUNTIFS(Targets!A:A, A167, Targets!H:H, "Transport sector mitigation target", Targets!J:J, "GHG") &gt; 0, "GHG target", IF(COUNTIFS(Targets!A:A, A167, Targets!H:H, "Transport sector mitigation target", Targets!J:J, "Non GHG") &gt; 0, "non-GHG target", ""))))</f>
        <v>No transport target</v>
      </c>
      <c r="M167" s="43" t="str">
        <f>IF(K167="no","No transport target",IF(L167="non-GHG target","No GHG transport target",IF(AND(COUNTIFS(Targets!A:A,A167,Targets!H:H,"Transport sector mitigation target",Targets!J:J,"GHG",Targets!L:L,"Conditional")&gt;0,COUNTIFS(Targets!A:A,A167,Targets!H:H,"Transport sector mitigation target",Targets!J:J,"GHG",Targets!L:L,"Unconditional")&gt;0),"GHG unconditional and conditional",IF(COUNTIFS(Targets!A:A,A167,Targets!H:H,"Transport sector mitigation target",Targets!J:J,"GHG",Targets!L:L,"Conditional")&gt;0,"GHG conditional only",IF(COUNTIFS(Targets!A:A,A167,Targets!H:H,"Transport sector mitigation target",Targets!J:J,"GHG",Targets!L:L,"Unconditional")&gt;0,"GHG unconditional only",IF(COUNTIFS(Targets!A:A,A167,Targets!H:H,"Transport sector mitigation target",Targets!J:J,"GHG",Targets!L:L,"Unclear conditionality")&gt;0,"Conditionality unclear",""))))))</f>
        <v>No transport target</v>
      </c>
      <c r="N167" s="43" t="str" cm="1">
        <f t="array" ref="N167">IF(ISNUMBER(MATCH("Transport sector adaptation target", _xlfn._xlws.FILTER(Targets!H:H, Targets!A:A =A167), 0)), "yes", "no")</f>
        <v>no</v>
      </c>
      <c r="O167" s="43" t="str">
        <f>IF(ISNA(MATCH(A167, Mitigation!A:A, 0)), "no", "yes")</f>
        <v>yes</v>
      </c>
      <c r="P167" s="43" t="str">
        <f>IF(ISNA(MATCH(A167, Adaptation!A:A, 0)), "no", "yes")</f>
        <v>no</v>
      </c>
      <c r="Q167" s="43" t="str">
        <f>IF(ISNA(MATCH(A167, Benefits!A:A, 0)), "no", "yes")</f>
        <v>no</v>
      </c>
      <c r="R167" s="43"/>
      <c r="S167" s="43"/>
      <c r="T167" s="43" t="s">
        <v>501</v>
      </c>
      <c r="U167" s="312" t="s">
        <v>676</v>
      </c>
      <c r="V167" s="233" t="str">
        <f>VLOOKUP(Table1[[#This Row],[Country Code]],Table29[],3,FALSE)</f>
        <v>Non-Annex I</v>
      </c>
      <c r="W167" s="233" t="str">
        <f>VLOOKUP(Table1[[#This Row],[Country Code]],Table29[],4,FALSE)</f>
        <v>Latin America and the Caribbean</v>
      </c>
      <c r="X167" s="233" t="str">
        <f>VLOOKUP(Table1[[#This Row],[Country Code]],Table29[],5,FALSE)</f>
        <v>Middle-income</v>
      </c>
      <c r="Y167" s="43"/>
      <c r="Z167" s="43"/>
    </row>
    <row r="168" spans="1:26" ht="15" customHeight="1" x14ac:dyDescent="0.25">
      <c r="A168" s="405">
        <v>17746</v>
      </c>
      <c r="B168" s="20" t="s">
        <v>412</v>
      </c>
      <c r="C168" s="206" t="str">
        <f>VLOOKUP(Table1[[#This Row],[Country Code]],Table29[],2,FALSE)</f>
        <v>Sudan</v>
      </c>
      <c r="D168" s="243" t="str">
        <f t="shared" si="6"/>
        <v>Good</v>
      </c>
      <c r="E168" s="20" t="s">
        <v>71</v>
      </c>
      <c r="F168" s="17" t="s">
        <v>498</v>
      </c>
      <c r="G168" s="43" t="str">
        <f t="shared" si="7"/>
        <v>First NDC</v>
      </c>
      <c r="H168" s="17" t="s">
        <v>499</v>
      </c>
      <c r="I168" s="149">
        <v>42949</v>
      </c>
      <c r="J168" s="49" t="s">
        <v>500</v>
      </c>
      <c r="K168" s="49" t="str" cm="1">
        <f t="array" ref="K168">IF(ISNUMBER(MATCH("Transport sector mitigation target", _xlfn._xlws.FILTER(Targets!H:H, Targets!A:A =A168), 0)), "yes", "no")</f>
        <v>no</v>
      </c>
      <c r="L168" s="17" t="str">
        <f>IF(K168="no", "No transport target", IF(AND(COUNTIFS(Targets!A:A, A168, Targets!H:H, "Transport sector mitigation target", Targets!J:J, "GHG") &gt; 0, COUNTIFS(Targets!A:A, A168, Targets!H:H, "Transport sector mitigation target", Targets!J:J, "Non GHG") &gt; 0), "GHG and non-GHG target", IF(COUNTIFS(Targets!A:A, A168, Targets!H:H, "Transport sector mitigation target", Targets!J:J, "GHG") &gt; 0, "GHG target", IF(COUNTIFS(Targets!A:A, A168, Targets!H:H, "Transport sector mitigation target", Targets!J:J, "Non GHG") &gt; 0, "non-GHG target", ""))))</f>
        <v>No transport target</v>
      </c>
      <c r="M168" s="17" t="str">
        <f>IF(K168="no","No transport target",IF(L168="non-GHG target","No GHG transport target",IF(AND(COUNTIFS(Targets!A:A,A168,Targets!H:H,"Transport sector mitigation target",Targets!J:J,"GHG",Targets!L:L,"Conditional")&gt;0,COUNTIFS(Targets!A:A,A168,Targets!H:H,"Transport sector mitigation target",Targets!J:J,"GHG",Targets!L:L,"Unconditional")&gt;0),"GHG unconditional and conditional",IF(COUNTIFS(Targets!A:A,A168,Targets!H:H,"Transport sector mitigation target",Targets!J:J,"GHG",Targets!L:L,"Conditional")&gt;0,"GHG conditional only",IF(COUNTIFS(Targets!A:A,A168,Targets!H:H,"Transport sector mitigation target",Targets!J:J,"GHG",Targets!L:L,"Unconditional")&gt;0,"GHG unconditional only",IF(COUNTIFS(Targets!A:A,A168,Targets!H:H,"Transport sector mitigation target",Targets!J:J,"GHG",Targets!L:L,"Unclear conditionality")&gt;0,"Conditionality unclear",""))))))</f>
        <v>No transport target</v>
      </c>
      <c r="N168" s="17" t="str" cm="1">
        <f t="array" ref="N168">IF(ISNUMBER(MATCH("Transport sector adaptation target", _xlfn._xlws.FILTER(Targets!H:H, Targets!A:A =A168), 0)), "yes", "no")</f>
        <v>no</v>
      </c>
      <c r="O168" s="17" t="str">
        <f>IF(ISNA(MATCH(A168, Mitigation!A:A, 0)), "no", "yes")</f>
        <v>no</v>
      </c>
      <c r="P168" s="17" t="str">
        <f>IF(ISNA(MATCH(A168, Adaptation!A:A, 0)), "no", "yes")</f>
        <v>no</v>
      </c>
      <c r="Q168" s="17" t="str">
        <f>IF(ISNA(MATCH(A168, Benefits!A:A, 0)), "no", "yes")</f>
        <v>no</v>
      </c>
      <c r="R168" s="17"/>
      <c r="S168" s="17"/>
      <c r="T168" s="17" t="s">
        <v>501</v>
      </c>
      <c r="U168" s="135" t="s">
        <v>677</v>
      </c>
      <c r="V168" s="207" t="str">
        <f>VLOOKUP(Table1[[#This Row],[Country Code]],Table29[],3,FALSE)</f>
        <v>Non-Annex I</v>
      </c>
      <c r="W168" s="207" t="str">
        <f>VLOOKUP(Table1[[#This Row],[Country Code]],Table29[],4,FALSE)</f>
        <v>Africa</v>
      </c>
      <c r="X168" s="207" t="str">
        <f>VLOOKUP(Table1[[#This Row],[Country Code]],Table29[],5,FALSE)</f>
        <v>Low-income</v>
      </c>
      <c r="Y168" s="17"/>
      <c r="Z168" s="17"/>
    </row>
    <row r="169" spans="1:26" ht="15" customHeight="1" x14ac:dyDescent="0.25">
      <c r="A169" s="405">
        <v>17790</v>
      </c>
      <c r="B169" s="20" t="s">
        <v>470</v>
      </c>
      <c r="C169" s="206" t="str">
        <f>VLOOKUP(Table1[[#This Row],[Country Code]],Table29[],2,FALSE)</f>
        <v>Zimbabwe</v>
      </c>
      <c r="D169" s="243" t="str">
        <f t="shared" si="6"/>
        <v>Good</v>
      </c>
      <c r="E169" s="20" t="s">
        <v>71</v>
      </c>
      <c r="F169" s="17" t="s">
        <v>498</v>
      </c>
      <c r="G169" s="43" t="str">
        <f t="shared" si="7"/>
        <v>First NDC</v>
      </c>
      <c r="H169" s="17" t="s">
        <v>499</v>
      </c>
      <c r="I169" s="149">
        <v>42954</v>
      </c>
      <c r="J169" s="49" t="s">
        <v>500</v>
      </c>
      <c r="K169" s="49" t="str" cm="1">
        <f t="array" ref="K169">IF(ISNUMBER(MATCH("Transport sector mitigation target", _xlfn._xlws.FILTER(Targets!H:H, Targets!A:A =A169), 0)), "yes", "no")</f>
        <v>no</v>
      </c>
      <c r="L169" s="17" t="str">
        <f>IF(K169="no", "No transport target", IF(AND(COUNTIFS(Targets!A:A, A169, Targets!H:H, "Transport sector mitigation target", Targets!J:J, "GHG") &gt; 0, COUNTIFS(Targets!A:A, A169, Targets!H:H, "Transport sector mitigation target", Targets!J:J, "Non GHG") &gt; 0), "GHG and non-GHG target", IF(COUNTIFS(Targets!A:A, A169, Targets!H:H, "Transport sector mitigation target", Targets!J:J, "GHG") &gt; 0, "GHG target", IF(COUNTIFS(Targets!A:A, A169, Targets!H:H, "Transport sector mitigation target", Targets!J:J, "Non GHG") &gt; 0, "non-GHG target", ""))))</f>
        <v>No transport target</v>
      </c>
      <c r="M169" s="17" t="str">
        <f>IF(K169="no","No transport target",IF(L169="non-GHG target","No GHG transport target",IF(AND(COUNTIFS(Targets!A:A,A169,Targets!H:H,"Transport sector mitigation target",Targets!J:J,"GHG",Targets!L:L,"Conditional")&gt;0,COUNTIFS(Targets!A:A,A169,Targets!H:H,"Transport sector mitigation target",Targets!J:J,"GHG",Targets!L:L,"Unconditional")&gt;0),"GHG unconditional and conditional",IF(COUNTIFS(Targets!A:A,A169,Targets!H:H,"Transport sector mitigation target",Targets!J:J,"GHG",Targets!L:L,"Conditional")&gt;0,"GHG conditional only",IF(COUNTIFS(Targets!A:A,A169,Targets!H:H,"Transport sector mitigation target",Targets!J:J,"GHG",Targets!L:L,"Unconditional")&gt;0,"GHG unconditional only",IF(COUNTIFS(Targets!A:A,A169,Targets!H:H,"Transport sector mitigation target",Targets!J:J,"GHG",Targets!L:L,"Unclear conditionality")&gt;0,"Conditionality unclear",""))))))</f>
        <v>No transport target</v>
      </c>
      <c r="N169" s="17" t="str" cm="1">
        <f t="array" ref="N169">IF(ISNUMBER(MATCH("Transport sector adaptation target", _xlfn._xlws.FILTER(Targets!H:H, Targets!A:A =A169), 0)), "yes", "no")</f>
        <v>no</v>
      </c>
      <c r="O169" s="17" t="str">
        <f>IF(ISNA(MATCH(A169, Mitigation!A:A, 0)), "no", "yes")</f>
        <v>yes</v>
      </c>
      <c r="P169" s="17" t="str">
        <f>IF(ISNA(MATCH(A169, Adaptation!A:A, 0)), "no", "yes")</f>
        <v>no</v>
      </c>
      <c r="Q169" s="17" t="str">
        <f>IF(ISNA(MATCH(A169, Benefits!A:A, 0)), "no", "yes")</f>
        <v>no</v>
      </c>
      <c r="R169" s="17"/>
      <c r="S169" s="17"/>
      <c r="T169" s="17" t="s">
        <v>501</v>
      </c>
      <c r="U169" s="135" t="s">
        <v>678</v>
      </c>
      <c r="V169" s="207" t="str">
        <f>VLOOKUP(Table1[[#This Row],[Country Code]],Table29[],3,FALSE)</f>
        <v>Non-Annex I</v>
      </c>
      <c r="W169" s="207" t="str">
        <f>VLOOKUP(Table1[[#This Row],[Country Code]],Table29[],4,FALSE)</f>
        <v>Africa</v>
      </c>
      <c r="X169" s="207" t="str">
        <f>VLOOKUP(Table1[[#This Row],[Country Code]],Table29[],5,FALSE)</f>
        <v>Middle-income</v>
      </c>
      <c r="Y169" s="17"/>
      <c r="Z169" s="17"/>
    </row>
    <row r="170" spans="1:26" ht="15" customHeight="1" x14ac:dyDescent="0.25">
      <c r="A170" s="405">
        <v>17759</v>
      </c>
      <c r="B170" s="20" t="s">
        <v>426</v>
      </c>
      <c r="C170" s="206" t="str">
        <f>VLOOKUP(Table1[[#This Row],[Country Code]],Table29[],2,FALSE)</f>
        <v>Timor-Leste</v>
      </c>
      <c r="D170" s="243" t="str">
        <f t="shared" si="6"/>
        <v>Good</v>
      </c>
      <c r="E170" s="20" t="s">
        <v>71</v>
      </c>
      <c r="F170" s="17" t="s">
        <v>498</v>
      </c>
      <c r="G170" s="43" t="str">
        <f t="shared" si="7"/>
        <v>First NDC</v>
      </c>
      <c r="H170" s="17" t="s">
        <v>499</v>
      </c>
      <c r="I170" s="149">
        <v>42963</v>
      </c>
      <c r="J170" s="49" t="s">
        <v>500</v>
      </c>
      <c r="K170" s="49" t="str" cm="1">
        <f t="array" ref="K170">IF(ISNUMBER(MATCH("Transport sector mitigation target", _xlfn._xlws.FILTER(Targets!H:H, Targets!A:A =A170), 0)), "yes", "no")</f>
        <v>no</v>
      </c>
      <c r="L170" s="17" t="str">
        <f>IF(K170="no", "No transport target", IF(AND(COUNTIFS(Targets!A:A, A170, Targets!H:H, "Transport sector mitigation target", Targets!J:J, "GHG") &gt; 0, COUNTIFS(Targets!A:A, A170, Targets!H:H, "Transport sector mitigation target", Targets!J:J, "Non GHG") &gt; 0), "GHG and non-GHG target", IF(COUNTIFS(Targets!A:A, A170, Targets!H:H, "Transport sector mitigation target", Targets!J:J, "GHG") &gt; 0, "GHG target", IF(COUNTIFS(Targets!A:A, A170, Targets!H:H, "Transport sector mitigation target", Targets!J:J, "Non GHG") &gt; 0, "non-GHG target", ""))))</f>
        <v>No transport target</v>
      </c>
      <c r="M170" s="17" t="str">
        <f>IF(K170="no","No transport target",IF(L170="non-GHG target","No GHG transport target",IF(AND(COUNTIFS(Targets!A:A,A170,Targets!H:H,"Transport sector mitigation target",Targets!J:J,"GHG",Targets!L:L,"Conditional")&gt;0,COUNTIFS(Targets!A:A,A170,Targets!H:H,"Transport sector mitigation target",Targets!J:J,"GHG",Targets!L:L,"Unconditional")&gt;0),"GHG unconditional and conditional",IF(COUNTIFS(Targets!A:A,A170,Targets!H:H,"Transport sector mitigation target",Targets!J:J,"GHG",Targets!L:L,"Conditional")&gt;0,"GHG conditional only",IF(COUNTIFS(Targets!A:A,A170,Targets!H:H,"Transport sector mitigation target",Targets!J:J,"GHG",Targets!L:L,"Unconditional")&gt;0,"GHG unconditional only",IF(COUNTIFS(Targets!A:A,A170,Targets!H:H,"Transport sector mitigation target",Targets!J:J,"GHG",Targets!L:L,"Unclear conditionality")&gt;0,"Conditionality unclear",""))))))</f>
        <v>No transport target</v>
      </c>
      <c r="N170" s="17" t="str" cm="1">
        <f t="array" ref="N170">IF(ISNUMBER(MATCH("Transport sector adaptation target", _xlfn._xlws.FILTER(Targets!H:H, Targets!A:A =A170), 0)), "yes", "no")</f>
        <v>no</v>
      </c>
      <c r="O170" s="17" t="str">
        <f>IF(ISNA(MATCH(A170, Mitigation!A:A, 0)), "no", "yes")</f>
        <v>yes</v>
      </c>
      <c r="P170" s="17" t="str">
        <f>IF(ISNA(MATCH(A170, Adaptation!A:A, 0)), "no", "yes")</f>
        <v>yes</v>
      </c>
      <c r="Q170" s="17" t="str">
        <f>IF(ISNA(MATCH(A170, Benefits!A:A, 0)), "no", "yes")</f>
        <v>no</v>
      </c>
      <c r="R170" s="17"/>
      <c r="S170" s="17"/>
      <c r="T170" s="17" t="s">
        <v>501</v>
      </c>
      <c r="U170" s="135" t="s">
        <v>679</v>
      </c>
      <c r="V170" s="207" t="str">
        <f>VLOOKUP(Table1[[#This Row],[Country Code]],Table29[],3,FALSE)</f>
        <v>Non-Annex I</v>
      </c>
      <c r="W170" s="207" t="str">
        <f>VLOOKUP(Table1[[#This Row],[Country Code]],Table29[],4,FALSE)</f>
        <v>Asia</v>
      </c>
      <c r="X170" s="207" t="str">
        <f>VLOOKUP(Table1[[#This Row],[Country Code]],Table29[],5,FALSE)</f>
        <v>Middle-income</v>
      </c>
      <c r="Y170" s="17"/>
      <c r="Z170" s="17"/>
    </row>
    <row r="171" spans="1:26" ht="15" customHeight="1" x14ac:dyDescent="0.25">
      <c r="A171" s="360">
        <v>17692</v>
      </c>
      <c r="B171" s="20" t="s">
        <v>342</v>
      </c>
      <c r="C171" s="206" t="str">
        <f>VLOOKUP(Table1[[#This Row],[Country Code]],Table29[],2,FALSE)</f>
        <v>Palestine</v>
      </c>
      <c r="D171" s="243" t="str">
        <f t="shared" si="6"/>
        <v>Good</v>
      </c>
      <c r="E171" s="20" t="s">
        <v>71</v>
      </c>
      <c r="F171" s="17" t="s">
        <v>498</v>
      </c>
      <c r="G171" s="43" t="str">
        <f t="shared" si="7"/>
        <v>First NDC</v>
      </c>
      <c r="H171" s="17" t="s">
        <v>499</v>
      </c>
      <c r="I171" s="149">
        <v>42968</v>
      </c>
      <c r="J171" s="49" t="s">
        <v>500</v>
      </c>
      <c r="K171" s="49" t="str" cm="1">
        <f t="array" ref="K171">IF(ISNUMBER(MATCH("Transport sector mitigation target", _xlfn._xlws.FILTER(Targets!H:H, Targets!A:A =A171), 0)), "yes", "no")</f>
        <v>yes</v>
      </c>
      <c r="L171" s="17" t="str">
        <f>IF(K171="no", "No transport target", IF(AND(COUNTIFS(Targets!A:A, A171, Targets!H:H, "Transport sector mitigation target", Targets!J:J, "GHG") &gt; 0, COUNTIFS(Targets!A:A, A171, Targets!H:H, "Transport sector mitigation target", Targets!J:J, "Non GHG") &gt; 0), "GHG and non-GHG target", IF(COUNTIFS(Targets!A:A, A171, Targets!H:H, "Transport sector mitigation target", Targets!J:J, "GHG") &gt; 0, "GHG target", IF(COUNTIFS(Targets!A:A, A171, Targets!H:H, "Transport sector mitigation target", Targets!J:J, "Non GHG") &gt; 0, "non-GHG target", ""))))</f>
        <v>non-GHG target</v>
      </c>
      <c r="M171" s="17" t="str">
        <f>IF(K171="no","No transport target",IF(L171="non-GHG target","No GHG transport target",IF(AND(COUNTIFS(Targets!A:A,A171,Targets!H:H,"Transport sector mitigation target",Targets!J:J,"GHG",Targets!L:L,"Conditional")&gt;0,COUNTIFS(Targets!A:A,A171,Targets!H:H,"Transport sector mitigation target",Targets!J:J,"GHG",Targets!L:L,"Unconditional")&gt;0),"GHG unconditional and conditional",IF(COUNTIFS(Targets!A:A,A171,Targets!H:H,"Transport sector mitigation target",Targets!J:J,"GHG",Targets!L:L,"Conditional")&gt;0,"GHG conditional only",IF(COUNTIFS(Targets!A:A,A171,Targets!H:H,"Transport sector mitigation target",Targets!J:J,"GHG",Targets!L:L,"Unconditional")&gt;0,"GHG unconditional only",IF(COUNTIFS(Targets!A:A,A171,Targets!H:H,"Transport sector mitigation target",Targets!J:J,"GHG",Targets!L:L,"Unclear conditionality")&gt;0,"Conditionality unclear",""))))))</f>
        <v>No GHG transport target</v>
      </c>
      <c r="N171" s="17" t="str" cm="1">
        <f t="array" ref="N171">IF(ISNUMBER(MATCH("Transport sector adaptation target", _xlfn._xlws.FILTER(Targets!H:H, Targets!A:A =A171), 0)), "yes", "no")</f>
        <v>no</v>
      </c>
      <c r="O171" s="17" t="str">
        <f>IF(ISNA(MATCH(A171, Mitigation!A:A, 0)), "no", "yes")</f>
        <v>yes</v>
      </c>
      <c r="P171" s="17" t="str">
        <f>IF(ISNA(MATCH(A171, Adaptation!A:A, 0)), "no", "yes")</f>
        <v>yes</v>
      </c>
      <c r="Q171" s="17" t="str">
        <f>IF(ISNA(MATCH(A171, Benefits!A:A, 0)), "no", "yes")</f>
        <v>no</v>
      </c>
      <c r="R171" s="17"/>
      <c r="S171" s="17"/>
      <c r="T171" s="17" t="s">
        <v>501</v>
      </c>
      <c r="U171" s="135" t="s">
        <v>680</v>
      </c>
      <c r="V171" s="207" t="str">
        <f>VLOOKUP(Table1[[#This Row],[Country Code]],Table29[],3,FALSE)</f>
        <v>Non-Annex I</v>
      </c>
      <c r="W171" s="207" t="str">
        <f>VLOOKUP(Table1[[#This Row],[Country Code]],Table29[],4,FALSE)</f>
        <v>Asia</v>
      </c>
      <c r="X171" s="207" t="str">
        <f>VLOOKUP(Table1[[#This Row],[Country Code]],Table29[],5,FALSE)</f>
        <v>Middle-income</v>
      </c>
      <c r="Y171" s="17"/>
      <c r="Z171" s="17"/>
    </row>
    <row r="172" spans="1:26" ht="15" customHeight="1" x14ac:dyDescent="0.25">
      <c r="A172" s="360">
        <v>17533</v>
      </c>
      <c r="B172" s="176" t="s">
        <v>103</v>
      </c>
      <c r="C172" s="243" t="str">
        <f>VLOOKUP(Table1[[#This Row],[Country Code]],Table29[],2,FALSE)</f>
        <v>Bhutan</v>
      </c>
      <c r="D172" s="243" t="str">
        <f t="shared" si="6"/>
        <v>Good</v>
      </c>
      <c r="E172" s="176" t="s">
        <v>71</v>
      </c>
      <c r="F172" s="43" t="s">
        <v>498</v>
      </c>
      <c r="G172" s="43" t="str">
        <f t="shared" si="7"/>
        <v>First NDC</v>
      </c>
      <c r="H172" s="43" t="s">
        <v>499</v>
      </c>
      <c r="I172" s="351">
        <v>42997</v>
      </c>
      <c r="J172" s="320" t="s">
        <v>500</v>
      </c>
      <c r="K172" s="320" t="str" cm="1">
        <f t="array" ref="K172">IF(ISNUMBER(MATCH("Transport sector mitigation target", _xlfn._xlws.FILTER(Targets!H:H, Targets!A:A =A172), 0)), "yes", "no")</f>
        <v>no</v>
      </c>
      <c r="L172" s="43" t="str">
        <f>IF(K172="no", "No transport target", IF(AND(COUNTIFS(Targets!A:A, A172, Targets!H:H, "Transport sector mitigation target", Targets!J:J, "GHG") &gt; 0, COUNTIFS(Targets!A:A, A172, Targets!H:H, "Transport sector mitigation target", Targets!J:J, "Non GHG") &gt; 0), "GHG and non-GHG target", IF(COUNTIFS(Targets!A:A, A172, Targets!H:H, "Transport sector mitigation target", Targets!J:J, "GHG") &gt; 0, "GHG target", IF(COUNTIFS(Targets!A:A, A172, Targets!H:H, "Transport sector mitigation target", Targets!J:J, "Non GHG") &gt; 0, "non-GHG target", ""))))</f>
        <v>No transport target</v>
      </c>
      <c r="M172" s="43" t="str">
        <f>IF(K172="no","No transport target",IF(L172="non-GHG target","No GHG transport target",IF(AND(COUNTIFS(Targets!A:A,A172,Targets!H:H,"Transport sector mitigation target",Targets!J:J,"GHG",Targets!L:L,"Conditional")&gt;0,COUNTIFS(Targets!A:A,A172,Targets!H:H,"Transport sector mitigation target",Targets!J:J,"GHG",Targets!L:L,"Unconditional")&gt;0),"GHG unconditional and conditional",IF(COUNTIFS(Targets!A:A,A172,Targets!H:H,"Transport sector mitigation target",Targets!J:J,"GHG",Targets!L:L,"Conditional")&gt;0,"GHG conditional only",IF(COUNTIFS(Targets!A:A,A172,Targets!H:H,"Transport sector mitigation target",Targets!J:J,"GHG",Targets!L:L,"Unconditional")&gt;0,"GHG unconditional only",IF(COUNTIFS(Targets!A:A,A172,Targets!H:H,"Transport sector mitigation target",Targets!J:J,"GHG",Targets!L:L,"Unclear conditionality")&gt;0,"Conditionality unclear",""))))))</f>
        <v>No transport target</v>
      </c>
      <c r="N172" s="43" t="str" cm="1">
        <f t="array" ref="N172">IF(ISNUMBER(MATCH("Transport sector adaptation target", _xlfn._xlws.FILTER(Targets!H:H, Targets!A:A =A172), 0)), "yes", "no")</f>
        <v>no</v>
      </c>
      <c r="O172" s="43" t="str">
        <f>IF(ISNA(MATCH(A172, Mitigation!A:A, 0)), "no", "yes")</f>
        <v>yes</v>
      </c>
      <c r="P172" s="43" t="str">
        <f>IF(ISNA(MATCH(A172, Adaptation!A:A, 0)), "no", "yes")</f>
        <v>yes</v>
      </c>
      <c r="Q172" s="43" t="str">
        <f>IF(ISNA(MATCH(A172, Benefits!A:A, 0)), "no", "yes")</f>
        <v>no</v>
      </c>
      <c r="R172" s="43"/>
      <c r="S172" s="43"/>
      <c r="T172" s="43" t="s">
        <v>501</v>
      </c>
      <c r="U172" s="312" t="s">
        <v>681</v>
      </c>
      <c r="V172" s="233" t="str">
        <f>VLOOKUP(Table1[[#This Row],[Country Code]],Table29[],3,FALSE)</f>
        <v>Non-Annex I</v>
      </c>
      <c r="W172" s="233" t="str">
        <f>VLOOKUP(Table1[[#This Row],[Country Code]],Table29[],4,FALSE)</f>
        <v>Asia</v>
      </c>
      <c r="X172" s="233" t="str">
        <f>VLOOKUP(Table1[[#This Row],[Country Code]],Table29[],5,FALSE)</f>
        <v>Middle-income</v>
      </c>
      <c r="Y172" s="43"/>
      <c r="Z172" s="43"/>
    </row>
    <row r="173" spans="1:26" ht="15" customHeight="1" x14ac:dyDescent="0.25">
      <c r="A173" s="360">
        <v>17671</v>
      </c>
      <c r="B173" s="176" t="s">
        <v>313</v>
      </c>
      <c r="C173" s="243" t="str">
        <f>VLOOKUP(Table1[[#This Row],[Country Code]],Table29[],2,FALSE)</f>
        <v>Myanmar</v>
      </c>
      <c r="D173" s="243" t="str">
        <f t="shared" si="6"/>
        <v>Good</v>
      </c>
      <c r="E173" s="176" t="s">
        <v>71</v>
      </c>
      <c r="F173" s="43" t="s">
        <v>498</v>
      </c>
      <c r="G173" s="43" t="str">
        <f t="shared" si="7"/>
        <v>First NDC</v>
      </c>
      <c r="H173" s="43" t="s">
        <v>499</v>
      </c>
      <c r="I173" s="351">
        <v>42997</v>
      </c>
      <c r="J173" s="320" t="s">
        <v>500</v>
      </c>
      <c r="K173" s="320" t="str" cm="1">
        <f t="array" ref="K173">IF(ISNUMBER(MATCH("Transport sector mitigation target", _xlfn._xlws.FILTER(Targets!H:H, Targets!A:A =A173), 0)), "yes", "no")</f>
        <v>no</v>
      </c>
      <c r="L173" s="43" t="str">
        <f>IF(K173="no", "No transport target", IF(AND(COUNTIFS(Targets!A:A, A173, Targets!H:H, "Transport sector mitigation target", Targets!J:J, "GHG") &gt; 0, COUNTIFS(Targets!A:A, A173, Targets!H:H, "Transport sector mitigation target", Targets!J:J, "Non GHG") &gt; 0), "GHG and non-GHG target", IF(COUNTIFS(Targets!A:A, A173, Targets!H:H, "Transport sector mitigation target", Targets!J:J, "GHG") &gt; 0, "GHG target", IF(COUNTIFS(Targets!A:A, A173, Targets!H:H, "Transport sector mitigation target", Targets!J:J, "Non GHG") &gt; 0, "non-GHG target", ""))))</f>
        <v>No transport target</v>
      </c>
      <c r="M173" s="43" t="str">
        <f>IF(K173="no","No transport target",IF(L173="non-GHG target","No GHG transport target",IF(AND(COUNTIFS(Targets!A:A,A173,Targets!H:H,"Transport sector mitigation target",Targets!J:J,"GHG",Targets!L:L,"Conditional")&gt;0,COUNTIFS(Targets!A:A,A173,Targets!H:H,"Transport sector mitigation target",Targets!J:J,"GHG",Targets!L:L,"Unconditional")&gt;0),"GHG unconditional and conditional",IF(COUNTIFS(Targets!A:A,A173,Targets!H:H,"Transport sector mitigation target",Targets!J:J,"GHG",Targets!L:L,"Conditional")&gt;0,"GHG conditional only",IF(COUNTIFS(Targets!A:A,A173,Targets!H:H,"Transport sector mitigation target",Targets!J:J,"GHG",Targets!L:L,"Unconditional")&gt;0,"GHG unconditional only",IF(COUNTIFS(Targets!A:A,A173,Targets!H:H,"Transport sector mitigation target",Targets!J:J,"GHG",Targets!L:L,"Unclear conditionality")&gt;0,"Conditionality unclear",""))))))</f>
        <v>No transport target</v>
      </c>
      <c r="N173" s="43" t="str" cm="1">
        <f t="array" ref="N173">IF(ISNUMBER(MATCH("Transport sector adaptation target", _xlfn._xlws.FILTER(Targets!H:H, Targets!A:A =A173), 0)), "yes", "no")</f>
        <v>no</v>
      </c>
      <c r="O173" s="43" t="str">
        <f>IF(ISNA(MATCH(A173, Mitigation!A:A, 0)), "no", "yes")</f>
        <v>yes</v>
      </c>
      <c r="P173" s="43" t="str">
        <f>IF(ISNA(MATCH(A173, Adaptation!A:A, 0)), "no", "yes")</f>
        <v>no</v>
      </c>
      <c r="Q173" s="43" t="str">
        <f>IF(ISNA(MATCH(A173, Benefits!A:A, 0)), "no", "yes")</f>
        <v>no</v>
      </c>
      <c r="R173" s="43"/>
      <c r="S173" s="43"/>
      <c r="T173" s="43" t="s">
        <v>501</v>
      </c>
      <c r="U173" s="312" t="s">
        <v>682</v>
      </c>
      <c r="V173" s="233" t="str">
        <f>VLOOKUP(Table1[[#This Row],[Country Code]],Table29[],3,FALSE)</f>
        <v>Non-Annex I</v>
      </c>
      <c r="W173" s="233" t="str">
        <f>VLOOKUP(Table1[[#This Row],[Country Code]],Table29[],4,FALSE)</f>
        <v>Asia</v>
      </c>
      <c r="X173" s="233" t="str">
        <f>VLOOKUP(Table1[[#This Row],[Country Code]],Table29[],5,FALSE)</f>
        <v>Middle-income</v>
      </c>
      <c r="Y173" s="43"/>
      <c r="Z173" s="43"/>
    </row>
    <row r="174" spans="1:26" ht="15" customHeight="1" x14ac:dyDescent="0.25">
      <c r="A174" s="360">
        <v>17645</v>
      </c>
      <c r="B174" s="176" t="s">
        <v>274</v>
      </c>
      <c r="C174" s="243" t="str">
        <f>VLOOKUP(Table1[[#This Row],[Country Code]],Table29[],2,FALSE)</f>
        <v>Liechtenstein</v>
      </c>
      <c r="D174" s="243" t="str">
        <f t="shared" si="6"/>
        <v>Good</v>
      </c>
      <c r="E174" s="176" t="s">
        <v>71</v>
      </c>
      <c r="F174" s="43" t="s">
        <v>498</v>
      </c>
      <c r="G174" s="43" t="str">
        <f t="shared" si="7"/>
        <v>First NDC</v>
      </c>
      <c r="H174" s="43" t="s">
        <v>499</v>
      </c>
      <c r="I174" s="351">
        <v>42998</v>
      </c>
      <c r="J174" s="352" t="s">
        <v>505</v>
      </c>
      <c r="K174" s="320" t="str" cm="1">
        <f t="array" ref="K174">IF(ISNUMBER(MATCH("Transport sector mitigation target", _xlfn._xlws.FILTER(Targets!H:H, Targets!A:A =A174), 0)), "yes", "no")</f>
        <v>no</v>
      </c>
      <c r="L174" s="43" t="str">
        <f>IF(K174="no", "No transport target", IF(AND(COUNTIFS(Targets!A:A, A174, Targets!H:H, "Transport sector mitigation target", Targets!J:J, "GHG") &gt; 0, COUNTIFS(Targets!A:A, A174, Targets!H:H, "Transport sector mitigation target", Targets!J:J, "Non GHG") &gt; 0), "GHG and non-GHG target", IF(COUNTIFS(Targets!A:A, A174, Targets!H:H, "Transport sector mitigation target", Targets!J:J, "GHG") &gt; 0, "GHG target", IF(COUNTIFS(Targets!A:A, A174, Targets!H:H, "Transport sector mitigation target", Targets!J:J, "Non GHG") &gt; 0, "non-GHG target", ""))))</f>
        <v>No transport target</v>
      </c>
      <c r="M174" s="43" t="str">
        <f>IF(K174="no","No transport target",IF(L174="non-GHG target","No GHG transport target",IF(AND(COUNTIFS(Targets!A:A,A174,Targets!H:H,"Transport sector mitigation target",Targets!J:J,"GHG",Targets!L:L,"Conditional")&gt;0,COUNTIFS(Targets!A:A,A174,Targets!H:H,"Transport sector mitigation target",Targets!J:J,"GHG",Targets!L:L,"Unconditional")&gt;0),"GHG unconditional and conditional",IF(COUNTIFS(Targets!A:A,A174,Targets!H:H,"Transport sector mitigation target",Targets!J:J,"GHG",Targets!L:L,"Conditional")&gt;0,"GHG conditional only",IF(COUNTIFS(Targets!A:A,A174,Targets!H:H,"Transport sector mitigation target",Targets!J:J,"GHG",Targets!L:L,"Unconditional")&gt;0,"GHG unconditional only",IF(COUNTIFS(Targets!A:A,A174,Targets!H:H,"Transport sector mitigation target",Targets!J:J,"GHG",Targets!L:L,"Unclear conditionality")&gt;0,"Conditionality unclear",""))))))</f>
        <v>No transport target</v>
      </c>
      <c r="N174" s="43" t="str" cm="1">
        <f t="array" ref="N174">IF(ISNUMBER(MATCH("Transport sector adaptation target", _xlfn._xlws.FILTER(Targets!H:H, Targets!A:A =A174), 0)), "yes", "no")</f>
        <v>no</v>
      </c>
      <c r="O174" s="43" t="str">
        <f>IF(ISNA(MATCH(A174, Mitigation!A:A, 0)), "no", "yes")</f>
        <v>no</v>
      </c>
      <c r="P174" s="43" t="str">
        <f>IF(ISNA(MATCH(A174, Adaptation!A:A, 0)), "no", "yes")</f>
        <v>no</v>
      </c>
      <c r="Q174" s="43" t="str">
        <f>IF(ISNA(MATCH(A174, Benefits!A:A, 0)), "no", "yes")</f>
        <v>no</v>
      </c>
      <c r="R174" s="43"/>
      <c r="S174" s="43"/>
      <c r="T174" s="43" t="s">
        <v>501</v>
      </c>
      <c r="U174" s="312" t="s">
        <v>683</v>
      </c>
      <c r="V174" s="233" t="str">
        <f>VLOOKUP(Table1[[#This Row],[Country Code]],Table29[],3,FALSE)</f>
        <v>Annex I</v>
      </c>
      <c r="W174" s="233" t="str">
        <f>VLOOKUP(Table1[[#This Row],[Country Code]],Table29[],4,FALSE)</f>
        <v>Europe</v>
      </c>
      <c r="X174" s="233" t="str">
        <f>VLOOKUP(Table1[[#This Row],[Country Code]],Table29[],5,FALSE)</f>
        <v>High-income</v>
      </c>
      <c r="Y174" s="43"/>
      <c r="Z174" s="43"/>
    </row>
    <row r="175" spans="1:26" ht="15" customHeight="1" x14ac:dyDescent="0.25">
      <c r="A175" s="360">
        <v>17545</v>
      </c>
      <c r="B175" s="176" t="s">
        <v>121</v>
      </c>
      <c r="C175" s="243" t="str">
        <f>VLOOKUP(Table1[[#This Row],[Country Code]],Table29[],2,FALSE)</f>
        <v>Cabo Verde</v>
      </c>
      <c r="D175" s="243" t="str">
        <f t="shared" si="6"/>
        <v>Good</v>
      </c>
      <c r="E175" s="176" t="s">
        <v>71</v>
      </c>
      <c r="F175" s="43" t="s">
        <v>498</v>
      </c>
      <c r="G175" s="43" t="str">
        <f t="shared" si="7"/>
        <v>First NDC</v>
      </c>
      <c r="H175" s="43" t="s">
        <v>499</v>
      </c>
      <c r="I175" s="351">
        <v>42999</v>
      </c>
      <c r="J175" s="320" t="s">
        <v>500</v>
      </c>
      <c r="K175" s="320" t="str" cm="1">
        <f t="array" ref="K175">IF(ISNUMBER(MATCH("Transport sector mitigation target", _xlfn._xlws.FILTER(Targets!H:H, Targets!A:A =A175), 0)), "yes", "no")</f>
        <v>no</v>
      </c>
      <c r="L175" s="43" t="str">
        <f>IF(K175="no", "No transport target", IF(AND(COUNTIFS(Targets!A:A, A175, Targets!H:H, "Transport sector mitigation target", Targets!J:J, "GHG") &gt; 0, COUNTIFS(Targets!A:A, A175, Targets!H:H, "Transport sector mitigation target", Targets!J:J, "Non GHG") &gt; 0), "GHG and non-GHG target", IF(COUNTIFS(Targets!A:A, A175, Targets!H:H, "Transport sector mitigation target", Targets!J:J, "GHG") &gt; 0, "GHG target", IF(COUNTIFS(Targets!A:A, A175, Targets!H:H, "Transport sector mitigation target", Targets!J:J, "Non GHG") &gt; 0, "non-GHG target", ""))))</f>
        <v>No transport target</v>
      </c>
      <c r="M175" s="43" t="str">
        <f>IF(K175="no","No transport target",IF(L175="non-GHG target","No GHG transport target",IF(AND(COUNTIFS(Targets!A:A,A175,Targets!H:H,"Transport sector mitigation target",Targets!J:J,"GHG",Targets!L:L,"Conditional")&gt;0,COUNTIFS(Targets!A:A,A175,Targets!H:H,"Transport sector mitigation target",Targets!J:J,"GHG",Targets!L:L,"Unconditional")&gt;0),"GHG unconditional and conditional",IF(COUNTIFS(Targets!A:A,A175,Targets!H:H,"Transport sector mitigation target",Targets!J:J,"GHG",Targets!L:L,"Conditional")&gt;0,"GHG conditional only",IF(COUNTIFS(Targets!A:A,A175,Targets!H:H,"Transport sector mitigation target",Targets!J:J,"GHG",Targets!L:L,"Unconditional")&gt;0,"GHG unconditional only",IF(COUNTIFS(Targets!A:A,A175,Targets!H:H,"Transport sector mitigation target",Targets!J:J,"GHG",Targets!L:L,"Unclear conditionality")&gt;0,"Conditionality unclear",""))))))</f>
        <v>No transport target</v>
      </c>
      <c r="N175" s="43" t="str" cm="1">
        <f t="array" ref="N175">IF(ISNUMBER(MATCH("Transport sector adaptation target", _xlfn._xlws.FILTER(Targets!H:H, Targets!A:A =A175), 0)), "yes", "no")</f>
        <v>no</v>
      </c>
      <c r="O175" s="43" t="str">
        <f>IF(ISNA(MATCH(A175, Mitigation!A:A, 0)), "no", "yes")</f>
        <v>yes</v>
      </c>
      <c r="P175" s="43" t="str">
        <f>IF(ISNA(MATCH(A175, Adaptation!A:A, 0)), "no", "yes")</f>
        <v>no</v>
      </c>
      <c r="Q175" s="43" t="str">
        <f>IF(ISNA(MATCH(A175, Benefits!A:A, 0)), "no", "yes")</f>
        <v>no</v>
      </c>
      <c r="R175" s="43"/>
      <c r="S175" s="43"/>
      <c r="T175" s="43" t="s">
        <v>501</v>
      </c>
      <c r="U175" s="312" t="s">
        <v>684</v>
      </c>
      <c r="V175" s="233" t="str">
        <f>VLOOKUP(Table1[[#This Row],[Country Code]],Table29[],3,FALSE)</f>
        <v>Non-Annex I</v>
      </c>
      <c r="W175" s="233" t="str">
        <f>VLOOKUP(Table1[[#This Row],[Country Code]],Table29[],4,FALSE)</f>
        <v>Africa</v>
      </c>
      <c r="X175" s="233" t="str">
        <f>VLOOKUP(Table1[[#This Row],[Country Code]],Table29[],5,FALSE)</f>
        <v>Middle-income</v>
      </c>
      <c r="Y175" s="43"/>
      <c r="Z175" s="43"/>
    </row>
    <row r="176" spans="1:26" ht="15" customHeight="1" x14ac:dyDescent="0.25">
      <c r="A176" s="360">
        <v>17579</v>
      </c>
      <c r="B176" s="176" t="s">
        <v>171</v>
      </c>
      <c r="C176" s="243" t="str">
        <f>VLOOKUP(Table1[[#This Row],[Country Code]],Table29[],2,FALSE)</f>
        <v>Dominican Republic</v>
      </c>
      <c r="D176" s="243" t="str">
        <f t="shared" si="6"/>
        <v>Good</v>
      </c>
      <c r="E176" s="176" t="s">
        <v>71</v>
      </c>
      <c r="F176" s="43" t="s">
        <v>498</v>
      </c>
      <c r="G176" s="43" t="str">
        <f t="shared" si="7"/>
        <v>First NDC</v>
      </c>
      <c r="H176" s="43" t="s">
        <v>499</v>
      </c>
      <c r="I176" s="351">
        <v>42999</v>
      </c>
      <c r="J176" s="320" t="s">
        <v>500</v>
      </c>
      <c r="K176" s="320" t="str" cm="1">
        <f t="array" ref="K176">IF(ISNUMBER(MATCH("Transport sector mitigation target", _xlfn._xlws.FILTER(Targets!H:H, Targets!A:A =A176), 0)), "yes", "no")</f>
        <v>no</v>
      </c>
      <c r="L176" s="43" t="str">
        <f>IF(K176="no", "No transport target", IF(AND(COUNTIFS(Targets!A:A, A176, Targets!H:H, "Transport sector mitigation target", Targets!J:J, "GHG") &gt; 0, COUNTIFS(Targets!A:A, A176, Targets!H:H, "Transport sector mitigation target", Targets!J:J, "Non GHG") &gt; 0), "GHG and non-GHG target", IF(COUNTIFS(Targets!A:A, A176, Targets!H:H, "Transport sector mitigation target", Targets!J:J, "GHG") &gt; 0, "GHG target", IF(COUNTIFS(Targets!A:A, A176, Targets!H:H, "Transport sector mitigation target", Targets!J:J, "Non GHG") &gt; 0, "non-GHG target", ""))))</f>
        <v>No transport target</v>
      </c>
      <c r="M176" s="43" t="str">
        <f>IF(K176="no","No transport target",IF(L176="non-GHG target","No GHG transport target",IF(AND(COUNTIFS(Targets!A:A,A176,Targets!H:H,"Transport sector mitigation target",Targets!J:J,"GHG",Targets!L:L,"Conditional")&gt;0,COUNTIFS(Targets!A:A,A176,Targets!H:H,"Transport sector mitigation target",Targets!J:J,"GHG",Targets!L:L,"Unconditional")&gt;0),"GHG unconditional and conditional",IF(COUNTIFS(Targets!A:A,A176,Targets!H:H,"Transport sector mitigation target",Targets!J:J,"GHG",Targets!L:L,"Conditional")&gt;0,"GHG conditional only",IF(COUNTIFS(Targets!A:A,A176,Targets!H:H,"Transport sector mitigation target",Targets!J:J,"GHG",Targets!L:L,"Unconditional")&gt;0,"GHG unconditional only",IF(COUNTIFS(Targets!A:A,A176,Targets!H:H,"Transport sector mitigation target",Targets!J:J,"GHG",Targets!L:L,"Unclear conditionality")&gt;0,"Conditionality unclear",""))))))</f>
        <v>No transport target</v>
      </c>
      <c r="N176" s="43" t="str" cm="1">
        <f t="array" ref="N176">IF(ISNUMBER(MATCH("Transport sector adaptation target", _xlfn._xlws.FILTER(Targets!H:H, Targets!A:A =A176), 0)), "yes", "no")</f>
        <v>no</v>
      </c>
      <c r="O176" s="43" t="str">
        <f>IF(ISNA(MATCH(A176, Mitigation!A:A, 0)), "no", "yes")</f>
        <v>no</v>
      </c>
      <c r="P176" s="43" t="str">
        <f>IF(ISNA(MATCH(A176, Adaptation!A:A, 0)), "no", "yes")</f>
        <v>yes</v>
      </c>
      <c r="Q176" s="43" t="str">
        <f>IF(ISNA(MATCH(A176, Benefits!A:A, 0)), "no", "yes")</f>
        <v>no</v>
      </c>
      <c r="R176" s="43"/>
      <c r="S176" s="43"/>
      <c r="T176" s="43" t="s">
        <v>501</v>
      </c>
      <c r="U176" s="312" t="s">
        <v>685</v>
      </c>
      <c r="V176" s="233" t="str">
        <f>VLOOKUP(Table1[[#This Row],[Country Code]],Table29[],3,FALSE)</f>
        <v>Non-Annex I</v>
      </c>
      <c r="W176" s="233" t="str">
        <f>VLOOKUP(Table1[[#This Row],[Country Code]],Table29[],4,FALSE)</f>
        <v>Latin America and the Caribbean</v>
      </c>
      <c r="X176" s="233" t="str">
        <f>VLOOKUP(Table1[[#This Row],[Country Code]],Table29[],5,FALSE)</f>
        <v>Middle-income</v>
      </c>
      <c r="Y176" s="43"/>
      <c r="Z176" s="43"/>
    </row>
    <row r="177" spans="1:26" ht="15" customHeight="1" x14ac:dyDescent="0.25">
      <c r="A177" s="360">
        <v>17752</v>
      </c>
      <c r="B177" s="176" t="s">
        <v>418</v>
      </c>
      <c r="C177" s="243" t="str">
        <f>VLOOKUP(Table1[[#This Row],[Country Code]],Table29[],2,FALSE)</f>
        <v>Switzerland</v>
      </c>
      <c r="D177" s="243" t="str">
        <f t="shared" si="6"/>
        <v>Good</v>
      </c>
      <c r="E177" s="176" t="s">
        <v>71</v>
      </c>
      <c r="F177" s="43" t="s">
        <v>498</v>
      </c>
      <c r="G177" s="43" t="str">
        <f t="shared" si="7"/>
        <v>First NDC</v>
      </c>
      <c r="H177" s="43" t="s">
        <v>499</v>
      </c>
      <c r="I177" s="351">
        <v>43014</v>
      </c>
      <c r="J177" s="320" t="s">
        <v>500</v>
      </c>
      <c r="K177" s="320" t="str" cm="1">
        <f t="array" ref="K177">IF(ISNUMBER(MATCH("Transport sector mitigation target", _xlfn._xlws.FILTER(Targets!H:H, Targets!A:A =A177), 0)), "yes", "no")</f>
        <v>no</v>
      </c>
      <c r="L177" s="43" t="str">
        <f>IF(K177="no", "No transport target", IF(AND(COUNTIFS(Targets!A:A, A177, Targets!H:H, "Transport sector mitigation target", Targets!J:J, "GHG") &gt; 0, COUNTIFS(Targets!A:A, A177, Targets!H:H, "Transport sector mitigation target", Targets!J:J, "Non GHG") &gt; 0), "GHG and non-GHG target", IF(COUNTIFS(Targets!A:A, A177, Targets!H:H, "Transport sector mitigation target", Targets!J:J, "GHG") &gt; 0, "GHG target", IF(COUNTIFS(Targets!A:A, A177, Targets!H:H, "Transport sector mitigation target", Targets!J:J, "Non GHG") &gt; 0, "non-GHG target", ""))))</f>
        <v>No transport target</v>
      </c>
      <c r="M177" s="43" t="str">
        <f>IF(K177="no","No transport target",IF(L177="non-GHG target","No GHG transport target",IF(AND(COUNTIFS(Targets!A:A,A177,Targets!H:H,"Transport sector mitigation target",Targets!J:J,"GHG",Targets!L:L,"Conditional")&gt;0,COUNTIFS(Targets!A:A,A177,Targets!H:H,"Transport sector mitigation target",Targets!J:J,"GHG",Targets!L:L,"Unconditional")&gt;0),"GHG unconditional and conditional",IF(COUNTIFS(Targets!A:A,A177,Targets!H:H,"Transport sector mitigation target",Targets!J:J,"GHG",Targets!L:L,"Conditional")&gt;0,"GHG conditional only",IF(COUNTIFS(Targets!A:A,A177,Targets!H:H,"Transport sector mitigation target",Targets!J:J,"GHG",Targets!L:L,"Unconditional")&gt;0,"GHG unconditional only",IF(COUNTIFS(Targets!A:A,A177,Targets!H:H,"Transport sector mitigation target",Targets!J:J,"GHG",Targets!L:L,"Unclear conditionality")&gt;0,"Conditionality unclear",""))))))</f>
        <v>No transport target</v>
      </c>
      <c r="N177" s="43" t="str" cm="1">
        <f t="array" ref="N177">IF(ISNUMBER(MATCH("Transport sector adaptation target", _xlfn._xlws.FILTER(Targets!H:H, Targets!A:A =A177), 0)), "yes", "no")</f>
        <v>no</v>
      </c>
      <c r="O177" s="43" t="str">
        <f>IF(ISNA(MATCH(A177, Mitigation!A:A, 0)), "no", "yes")</f>
        <v>no</v>
      </c>
      <c r="P177" s="43" t="str">
        <f>IF(ISNA(MATCH(A177, Adaptation!A:A, 0)), "no", "yes")</f>
        <v>no</v>
      </c>
      <c r="Q177" s="43" t="str">
        <f>IF(ISNA(MATCH(A177, Benefits!A:A, 0)), "no", "yes")</f>
        <v>no</v>
      </c>
      <c r="R177" s="43"/>
      <c r="S177" s="43"/>
      <c r="T177" s="43" t="s">
        <v>501</v>
      </c>
      <c r="U177" s="312" t="s">
        <v>686</v>
      </c>
      <c r="V177" s="233" t="str">
        <f>VLOOKUP(Table1[[#This Row],[Country Code]],Table29[],3,FALSE)</f>
        <v>Annex I</v>
      </c>
      <c r="W177" s="233" t="str">
        <f>VLOOKUP(Table1[[#This Row],[Country Code]],Table29[],4,FALSE)</f>
        <v>Europe</v>
      </c>
      <c r="X177" s="233" t="str">
        <f>VLOOKUP(Table1[[#This Row],[Country Code]],Table29[],5,FALSE)</f>
        <v>High-income</v>
      </c>
      <c r="Y177" s="43"/>
      <c r="Z177" s="43"/>
    </row>
    <row r="178" spans="1:26" ht="15" customHeight="1" x14ac:dyDescent="0.25">
      <c r="A178" s="360">
        <v>17531</v>
      </c>
      <c r="B178" s="176" t="s">
        <v>101</v>
      </c>
      <c r="C178" s="243" t="str">
        <f>VLOOKUP(Table1[[#This Row],[Country Code]],Table29[],2,FALSE)</f>
        <v>Benin</v>
      </c>
      <c r="D178" s="243" t="str">
        <f t="shared" si="6"/>
        <v>Good</v>
      </c>
      <c r="E178" s="176" t="s">
        <v>71</v>
      </c>
      <c r="F178" s="43" t="s">
        <v>498</v>
      </c>
      <c r="G178" s="43" t="str">
        <f t="shared" si="7"/>
        <v>First NDC</v>
      </c>
      <c r="H178" s="43" t="s">
        <v>499</v>
      </c>
      <c r="I178" s="351">
        <v>43019</v>
      </c>
      <c r="J178" s="352" t="s">
        <v>500</v>
      </c>
      <c r="K178" s="320" t="str" cm="1">
        <f t="array" ref="K178">IF(ISNUMBER(MATCH("Transport sector mitigation target", _xlfn._xlws.FILTER(Targets!H:H, Targets!A:A =A178), 0)), "yes", "no")</f>
        <v>no</v>
      </c>
      <c r="L178" s="43" t="str">
        <f>IF(K178="no", "No transport target", IF(AND(COUNTIFS(Targets!A:A, A178, Targets!H:H, "Transport sector mitigation target", Targets!J:J, "GHG") &gt; 0, COUNTIFS(Targets!A:A, A178, Targets!H:H, "Transport sector mitigation target", Targets!J:J, "Non GHG") &gt; 0), "GHG and non-GHG target", IF(COUNTIFS(Targets!A:A, A178, Targets!H:H, "Transport sector mitigation target", Targets!J:J, "GHG") &gt; 0, "GHG target", IF(COUNTIFS(Targets!A:A, A178, Targets!H:H, "Transport sector mitigation target", Targets!J:J, "Non GHG") &gt; 0, "non-GHG target", ""))))</f>
        <v>No transport target</v>
      </c>
      <c r="M178" s="43" t="str">
        <f>IF(K178="no","No transport target",IF(L178="non-GHG target","No GHG transport target",IF(AND(COUNTIFS(Targets!A:A,A178,Targets!H:H,"Transport sector mitigation target",Targets!J:J,"GHG",Targets!L:L,"Conditional")&gt;0,COUNTIFS(Targets!A:A,A178,Targets!H:H,"Transport sector mitigation target",Targets!J:J,"GHG",Targets!L:L,"Unconditional")&gt;0),"GHG unconditional and conditional",IF(COUNTIFS(Targets!A:A,A178,Targets!H:H,"Transport sector mitigation target",Targets!J:J,"GHG",Targets!L:L,"Conditional")&gt;0,"GHG conditional only",IF(COUNTIFS(Targets!A:A,A178,Targets!H:H,"Transport sector mitigation target",Targets!J:J,"GHG",Targets!L:L,"Unconditional")&gt;0,"GHG unconditional only",IF(COUNTIFS(Targets!A:A,A178,Targets!H:H,"Transport sector mitigation target",Targets!J:J,"GHG",Targets!L:L,"Unclear conditionality")&gt;0,"Conditionality unclear",""))))))</f>
        <v>No transport target</v>
      </c>
      <c r="N178" s="43" t="str" cm="1">
        <f t="array" ref="N178">IF(ISNUMBER(MATCH("Transport sector adaptation target", _xlfn._xlws.FILTER(Targets!H:H, Targets!A:A =A178), 0)), "yes", "no")</f>
        <v>no</v>
      </c>
      <c r="O178" s="43" t="str">
        <f>IF(ISNA(MATCH(A178, Mitigation!A:A, 0)), "no", "yes")</f>
        <v>yes</v>
      </c>
      <c r="P178" s="43" t="str">
        <f>IF(ISNA(MATCH(A178, Adaptation!A:A, 0)), "no", "yes")</f>
        <v>yes</v>
      </c>
      <c r="Q178" s="43" t="str">
        <f>IF(ISNA(MATCH(A178, Benefits!A:A, 0)), "no", "yes")</f>
        <v>yes</v>
      </c>
      <c r="R178" s="43"/>
      <c r="S178" s="43"/>
      <c r="T178" s="43" t="s">
        <v>501</v>
      </c>
      <c r="U178" s="312" t="s">
        <v>687</v>
      </c>
      <c r="V178" s="233" t="str">
        <f>VLOOKUP(Table1[[#This Row],[Country Code]],Table29[],3,FALSE)</f>
        <v>Non-Annex I</v>
      </c>
      <c r="W178" s="233" t="str">
        <f>VLOOKUP(Table1[[#This Row],[Country Code]],Table29[],4,FALSE)</f>
        <v>Africa</v>
      </c>
      <c r="X178" s="233" t="str">
        <f>VLOOKUP(Table1[[#This Row],[Country Code]],Table29[],5,FALSE)</f>
        <v>Middle-income</v>
      </c>
      <c r="Y178" s="43"/>
      <c r="Z178" s="43"/>
    </row>
    <row r="179" spans="1:26" ht="15" customHeight="1" x14ac:dyDescent="0.25">
      <c r="A179" s="405">
        <v>17780</v>
      </c>
      <c r="B179" s="20" t="s">
        <v>454</v>
      </c>
      <c r="C179" s="206" t="str">
        <f>VLOOKUP(Table1[[#This Row],[Country Code]],Table29[],2,FALSE)</f>
        <v>Uruguay</v>
      </c>
      <c r="D179" s="243" t="str">
        <f t="shared" si="6"/>
        <v>Good</v>
      </c>
      <c r="E179" s="20" t="s">
        <v>71</v>
      </c>
      <c r="F179" s="17" t="s">
        <v>498</v>
      </c>
      <c r="G179" s="43" t="str">
        <f t="shared" si="7"/>
        <v>First NDC</v>
      </c>
      <c r="H179" s="17" t="s">
        <v>499</v>
      </c>
      <c r="I179" s="149">
        <v>43049</v>
      </c>
      <c r="J179" s="49" t="s">
        <v>500</v>
      </c>
      <c r="K179" s="49" t="str" cm="1">
        <f t="array" ref="K179">IF(ISNUMBER(MATCH("Transport sector mitigation target", _xlfn._xlws.FILTER(Targets!H:H, Targets!A:A =A179), 0)), "yes", "no")</f>
        <v>no</v>
      </c>
      <c r="L179" s="17" t="str">
        <f>IF(K179="no", "No transport target", IF(AND(COUNTIFS(Targets!A:A, A179, Targets!H:H, "Transport sector mitigation target", Targets!J:J, "GHG") &gt; 0, COUNTIFS(Targets!A:A, A179, Targets!H:H, "Transport sector mitigation target", Targets!J:J, "Non GHG") &gt; 0), "GHG and non-GHG target", IF(COUNTIFS(Targets!A:A, A179, Targets!H:H, "Transport sector mitigation target", Targets!J:J, "GHG") &gt; 0, "GHG target", IF(COUNTIFS(Targets!A:A, A179, Targets!H:H, "Transport sector mitigation target", Targets!J:J, "Non GHG") &gt; 0, "non-GHG target", ""))))</f>
        <v>No transport target</v>
      </c>
      <c r="M179" s="17" t="str">
        <f>IF(K179="no","No transport target",IF(L179="non-GHG target","No GHG transport target",IF(AND(COUNTIFS(Targets!A:A,A179,Targets!H:H,"Transport sector mitigation target",Targets!J:J,"GHG",Targets!L:L,"Conditional")&gt;0,COUNTIFS(Targets!A:A,A179,Targets!H:H,"Transport sector mitigation target",Targets!J:J,"GHG",Targets!L:L,"Unconditional")&gt;0),"GHG unconditional and conditional",IF(COUNTIFS(Targets!A:A,A179,Targets!H:H,"Transport sector mitigation target",Targets!J:J,"GHG",Targets!L:L,"Conditional")&gt;0,"GHG conditional only",IF(COUNTIFS(Targets!A:A,A179,Targets!H:H,"Transport sector mitigation target",Targets!J:J,"GHG",Targets!L:L,"Unconditional")&gt;0,"GHG unconditional only",IF(COUNTIFS(Targets!A:A,A179,Targets!H:H,"Transport sector mitigation target",Targets!J:J,"GHG",Targets!L:L,"Unclear conditionality")&gt;0,"Conditionality unclear",""))))))</f>
        <v>No transport target</v>
      </c>
      <c r="N179" s="17" t="str" cm="1">
        <f t="array" ref="N179">IF(ISNUMBER(MATCH("Transport sector adaptation target", _xlfn._xlws.FILTER(Targets!H:H, Targets!A:A =A179), 0)), "yes", "no")</f>
        <v>no</v>
      </c>
      <c r="O179" s="17" t="str">
        <f>IF(ISNA(MATCH(A179, Mitigation!A:A, 0)), "no", "yes")</f>
        <v>yes</v>
      </c>
      <c r="P179" s="17" t="str">
        <f>IF(ISNA(MATCH(A179, Adaptation!A:A, 0)), "no", "yes")</f>
        <v>no</v>
      </c>
      <c r="Q179" s="17" t="str">
        <f>IF(ISNA(MATCH(A179, Benefits!A:A, 0)), "no", "yes")</f>
        <v>no</v>
      </c>
      <c r="R179" s="17"/>
      <c r="S179" s="17"/>
      <c r="T179" s="17" t="s">
        <v>501</v>
      </c>
      <c r="U179" s="135" t="s">
        <v>688</v>
      </c>
      <c r="V179" s="207" t="str">
        <f>VLOOKUP(Table1[[#This Row],[Country Code]],Table29[],3,FALSE)</f>
        <v>Non-Annex I</v>
      </c>
      <c r="W179" s="207" t="str">
        <f>VLOOKUP(Table1[[#This Row],[Country Code]],Table29[],4,FALSE)</f>
        <v>Latin America and the Caribbean</v>
      </c>
      <c r="X179" s="207" t="str">
        <f>VLOOKUP(Table1[[#This Row],[Country Code]],Table29[],5,FALSE)</f>
        <v>High-income</v>
      </c>
      <c r="Y179" s="17"/>
      <c r="Z179" s="17"/>
    </row>
    <row r="180" spans="1:26" ht="15" customHeight="1" x14ac:dyDescent="0.25">
      <c r="A180" s="360">
        <v>17574</v>
      </c>
      <c r="B180" s="176" t="s">
        <v>162</v>
      </c>
      <c r="C180" s="243" t="str">
        <f>VLOOKUP(Table1[[#This Row],[Country Code]],Table29[],2,FALSE)</f>
        <v>Democratic Republic of the Congo</v>
      </c>
      <c r="D180" s="243" t="str">
        <f t="shared" si="6"/>
        <v>Good</v>
      </c>
      <c r="E180" s="176" t="s">
        <v>71</v>
      </c>
      <c r="F180" s="43" t="s">
        <v>498</v>
      </c>
      <c r="G180" s="43" t="str">
        <f t="shared" si="7"/>
        <v>First NDC</v>
      </c>
      <c r="H180" s="43" t="s">
        <v>499</v>
      </c>
      <c r="I180" s="351">
        <v>43082</v>
      </c>
      <c r="J180" s="320" t="s">
        <v>500</v>
      </c>
      <c r="K180" s="320" t="str" cm="1">
        <f t="array" ref="K180">IF(ISNUMBER(MATCH("Transport sector mitigation target", _xlfn._xlws.FILTER(Targets!H:H, Targets!A:A =A180), 0)), "yes", "no")</f>
        <v>no</v>
      </c>
      <c r="L180" s="43" t="str">
        <f>IF(K180="no", "No transport target", IF(AND(COUNTIFS(Targets!A:A, A180, Targets!H:H, "Transport sector mitigation target", Targets!J:J, "GHG") &gt; 0, COUNTIFS(Targets!A:A, A180, Targets!H:H, "Transport sector mitigation target", Targets!J:J, "Non GHG") &gt; 0), "GHG and non-GHG target", IF(COUNTIFS(Targets!A:A, A180, Targets!H:H, "Transport sector mitigation target", Targets!J:J, "GHG") &gt; 0, "GHG target", IF(COUNTIFS(Targets!A:A, A180, Targets!H:H, "Transport sector mitigation target", Targets!J:J, "Non GHG") &gt; 0, "non-GHG target", ""))))</f>
        <v>No transport target</v>
      </c>
      <c r="M180" s="43" t="str">
        <f>IF(K180="no","No transport target",IF(L180="non-GHG target","No GHG transport target",IF(AND(COUNTIFS(Targets!A:A,A180,Targets!H:H,"Transport sector mitigation target",Targets!J:J,"GHG",Targets!L:L,"Conditional")&gt;0,COUNTIFS(Targets!A:A,A180,Targets!H:H,"Transport sector mitigation target",Targets!J:J,"GHG",Targets!L:L,"Unconditional")&gt;0),"GHG unconditional and conditional",IF(COUNTIFS(Targets!A:A,A180,Targets!H:H,"Transport sector mitigation target",Targets!J:J,"GHG",Targets!L:L,"Conditional")&gt;0,"GHG conditional only",IF(COUNTIFS(Targets!A:A,A180,Targets!H:H,"Transport sector mitigation target",Targets!J:J,"GHG",Targets!L:L,"Unconditional")&gt;0,"GHG unconditional only",IF(COUNTIFS(Targets!A:A,A180,Targets!H:H,"Transport sector mitigation target",Targets!J:J,"GHG",Targets!L:L,"Unclear conditionality")&gt;0,"Conditionality unclear",""))))))</f>
        <v>No transport target</v>
      </c>
      <c r="N180" s="43" t="str" cm="1">
        <f t="array" ref="N180">IF(ISNUMBER(MATCH("Transport sector adaptation target", _xlfn._xlws.FILTER(Targets!H:H, Targets!A:A =A180), 0)), "yes", "no")</f>
        <v>no</v>
      </c>
      <c r="O180" s="43" t="str">
        <f>IF(ISNA(MATCH(A180, Mitigation!A:A, 0)), "no", "yes")</f>
        <v>yes</v>
      </c>
      <c r="P180" s="43" t="str">
        <f>IF(ISNA(MATCH(A180, Adaptation!A:A, 0)), "no", "yes")</f>
        <v>no</v>
      </c>
      <c r="Q180" s="43" t="str">
        <f>IF(ISNA(MATCH(A180, Benefits!A:A, 0)), "no", "yes")</f>
        <v>no</v>
      </c>
      <c r="R180" s="43"/>
      <c r="S180" s="43"/>
      <c r="T180" s="43" t="s">
        <v>501</v>
      </c>
      <c r="U180" s="312" t="s">
        <v>689</v>
      </c>
      <c r="V180" s="233" t="str">
        <f>VLOOKUP(Table1[[#This Row],[Country Code]],Table29[],3,FALSE)</f>
        <v>Non-Annex I</v>
      </c>
      <c r="W180" s="233" t="str">
        <f>VLOOKUP(Table1[[#This Row],[Country Code]],Table29[],4,FALSE)</f>
        <v>Africa</v>
      </c>
      <c r="X180" s="233" t="str">
        <f>VLOOKUP(Table1[[#This Row],[Country Code]],Table29[],5,FALSE)</f>
        <v>Low-income</v>
      </c>
      <c r="Y180" s="43"/>
      <c r="Z180" s="43"/>
    </row>
    <row r="181" spans="1:26" ht="15" customHeight="1" x14ac:dyDescent="0.25">
      <c r="A181" s="360">
        <v>17668</v>
      </c>
      <c r="B181" s="176" t="s">
        <v>307</v>
      </c>
      <c r="C181" s="243" t="str">
        <f>VLOOKUP(Table1[[#This Row],[Country Code]],Table29[],2,FALSE)</f>
        <v>Montenegro</v>
      </c>
      <c r="D181" s="243" t="str">
        <f t="shared" si="6"/>
        <v>Good</v>
      </c>
      <c r="E181" s="176" t="s">
        <v>71</v>
      </c>
      <c r="F181" s="43" t="s">
        <v>498</v>
      </c>
      <c r="G181" s="43" t="str">
        <f t="shared" si="7"/>
        <v>First NDC</v>
      </c>
      <c r="H181" s="43" t="s">
        <v>499</v>
      </c>
      <c r="I181" s="351">
        <v>43090</v>
      </c>
      <c r="J181" s="320" t="s">
        <v>500</v>
      </c>
      <c r="K181" s="320" t="str" cm="1">
        <f t="array" ref="K181">IF(ISNUMBER(MATCH("Transport sector mitigation target", _xlfn._xlws.FILTER(Targets!H:H, Targets!A:A =A181), 0)), "yes", "no")</f>
        <v>no</v>
      </c>
      <c r="L181" s="43" t="str">
        <f>IF(K181="no", "No transport target", IF(AND(COUNTIFS(Targets!A:A, A181, Targets!H:H, "Transport sector mitigation target", Targets!J:J, "GHG") &gt; 0, COUNTIFS(Targets!A:A, A181, Targets!H:H, "Transport sector mitigation target", Targets!J:J, "Non GHG") &gt; 0), "GHG and non-GHG target", IF(COUNTIFS(Targets!A:A, A181, Targets!H:H, "Transport sector mitigation target", Targets!J:J, "GHG") &gt; 0, "GHG target", IF(COUNTIFS(Targets!A:A, A181, Targets!H:H, "Transport sector mitigation target", Targets!J:J, "Non GHG") &gt; 0, "non-GHG target", ""))))</f>
        <v>No transport target</v>
      </c>
      <c r="M181" s="43" t="str">
        <f>IF(K181="no","No transport target",IF(L181="non-GHG target","No GHG transport target",IF(AND(COUNTIFS(Targets!A:A,A181,Targets!H:H,"Transport sector mitigation target",Targets!J:J,"GHG",Targets!L:L,"Conditional")&gt;0,COUNTIFS(Targets!A:A,A181,Targets!H:H,"Transport sector mitigation target",Targets!J:J,"GHG",Targets!L:L,"Unconditional")&gt;0),"GHG unconditional and conditional",IF(COUNTIFS(Targets!A:A,A181,Targets!H:H,"Transport sector mitigation target",Targets!J:J,"GHG",Targets!L:L,"Conditional")&gt;0,"GHG conditional only",IF(COUNTIFS(Targets!A:A,A181,Targets!H:H,"Transport sector mitigation target",Targets!J:J,"GHG",Targets!L:L,"Unconditional")&gt;0,"GHG unconditional only",IF(COUNTIFS(Targets!A:A,A181,Targets!H:H,"Transport sector mitigation target",Targets!J:J,"GHG",Targets!L:L,"Unclear conditionality")&gt;0,"Conditionality unclear",""))))))</f>
        <v>No transport target</v>
      </c>
      <c r="N181" s="43" t="str" cm="1">
        <f t="array" ref="N181">IF(ISNUMBER(MATCH("Transport sector adaptation target", _xlfn._xlws.FILTER(Targets!H:H, Targets!A:A =A181), 0)), "yes", "no")</f>
        <v>no</v>
      </c>
      <c r="O181" s="43" t="str">
        <f>IF(ISNA(MATCH(A181, Mitigation!A:A, 0)), "no", "yes")</f>
        <v>no</v>
      </c>
      <c r="P181" s="43" t="str">
        <f>IF(ISNA(MATCH(A181, Adaptation!A:A, 0)), "no", "yes")</f>
        <v>no</v>
      </c>
      <c r="Q181" s="43" t="str">
        <f>IF(ISNA(MATCH(A181, Benefits!A:A, 0)), "no", "yes")</f>
        <v>no</v>
      </c>
      <c r="R181" s="43"/>
      <c r="S181" s="43"/>
      <c r="T181" s="43" t="s">
        <v>501</v>
      </c>
      <c r="U181" s="312" t="s">
        <v>690</v>
      </c>
      <c r="V181" s="233" t="str">
        <f>VLOOKUP(Table1[[#This Row],[Country Code]],Table29[],3,FALSE)</f>
        <v>Non-Annex I</v>
      </c>
      <c r="W181" s="233" t="str">
        <f>VLOOKUP(Table1[[#This Row],[Country Code]],Table29[],4,FALSE)</f>
        <v>Europe</v>
      </c>
      <c r="X181" s="233" t="str">
        <f>VLOOKUP(Table1[[#This Row],[Country Code]],Table29[],5,FALSE)</f>
        <v>Middle-income</v>
      </c>
      <c r="Y181" s="43"/>
      <c r="Z181" s="43"/>
    </row>
    <row r="182" spans="1:26" ht="15" customHeight="1" x14ac:dyDescent="0.25">
      <c r="A182" s="360">
        <v>23382</v>
      </c>
      <c r="B182" s="42" t="s">
        <v>53</v>
      </c>
      <c r="C182" s="243" t="str">
        <f>VLOOKUP(Table1[[#This Row],[Country Code]],Table29[],2,FALSE)</f>
        <v>Albania</v>
      </c>
      <c r="D182" s="243" t="str">
        <f t="shared" si="6"/>
        <v>Good</v>
      </c>
      <c r="E182" s="176" t="s">
        <v>71</v>
      </c>
      <c r="F182" s="43" t="s">
        <v>528</v>
      </c>
      <c r="G182" s="43" t="str">
        <f t="shared" si="7"/>
        <v>First NDC updated</v>
      </c>
      <c r="H182" s="350" t="s">
        <v>691</v>
      </c>
      <c r="I182" s="351">
        <v>44481</v>
      </c>
      <c r="J182" s="352" t="s">
        <v>505</v>
      </c>
      <c r="K182" s="49" t="str" cm="1">
        <f t="array" ref="K182">IF(ISNUMBER(MATCH("Transport sector mitigation target", _xlfn._xlws.FILTER(Targets!H:H, Targets!A:A =A182), 0)), "yes", "no")</f>
        <v>yes</v>
      </c>
      <c r="L182" s="43" t="str">
        <f>IF(K182="no", "No transport target", IF(AND(COUNTIFS(Targets!A:A, A182, Targets!H:H, "Transport sector mitigation target", Targets!J:J, "GHG") &gt; 0, COUNTIFS(Targets!A:A, A182, Targets!H:H, "Transport sector mitigation target", Targets!J:J, "Non GHG") &gt; 0), "GHG and non-GHG target", IF(COUNTIFS(Targets!A:A, A182, Targets!H:H, "Transport sector mitigation target", Targets!J:J, "GHG") &gt; 0, "GHG target", IF(COUNTIFS(Targets!A:A, A182, Targets!H:H, "Transport sector mitigation target", Targets!J:J, "Non GHG") &gt; 0, "non-GHG target", ""))))</f>
        <v>non-GHG target</v>
      </c>
      <c r="M182" s="17" t="str">
        <f>IF(K182="no","No transport target",IF(L182="non-GHG target","No GHG transport target",IF(AND(COUNTIFS(Targets!A:A,A182,Targets!H:H,"Transport sector mitigation target",Targets!J:J,"GHG",Targets!L:L,"Conditional")&gt;0,COUNTIFS(Targets!A:A,A182,Targets!H:H,"Transport sector mitigation target",Targets!J:J,"GHG",Targets!L:L,"Unconditional")&gt;0),"GHG unconditional and conditional",IF(COUNTIFS(Targets!A:A,A182,Targets!H:H,"Transport sector mitigation target",Targets!J:J,"GHG",Targets!L:L,"Conditional")&gt;0,"GHG conditional only",IF(COUNTIFS(Targets!A:A,A182,Targets!H:H,"Transport sector mitigation target",Targets!J:J,"GHG",Targets!L:L,"Unconditional")&gt;0,"GHG unconditional only",IF(COUNTIFS(Targets!A:A,A182,Targets!H:H,"Transport sector mitigation target",Targets!J:J,"GHG",Targets!L:L,"Unclear conditionality")&gt;0,"Conditionality unclear",""))))))</f>
        <v>No GHG transport target</v>
      </c>
      <c r="N182" s="43" t="str" cm="1">
        <f t="array" ref="N182">IF(ISNUMBER(MATCH("Transport sector adaptation target", _xlfn._xlws.FILTER(Targets!H:H, Targets!A:A =A182), 0)), "yes", "no")</f>
        <v>no</v>
      </c>
      <c r="O182" s="43" t="str">
        <f>IF(ISNA(MATCH(A182, Mitigation!A:A, 0)), "no", "yes")</f>
        <v>yes</v>
      </c>
      <c r="P182" s="43" t="str">
        <f>IF(ISNA(MATCH(A182, Adaptation!A:A, 0)), "no", "yes")</f>
        <v>yes</v>
      </c>
      <c r="Q182" s="43" t="str">
        <f>IF(ISNA(MATCH(A182, Benefits!A:A, 0)), "no", "yes")</f>
        <v>no</v>
      </c>
      <c r="R182" s="43"/>
      <c r="S182" s="43"/>
      <c r="T182" s="43" t="s">
        <v>501</v>
      </c>
      <c r="U182" s="353" t="s">
        <v>692</v>
      </c>
      <c r="V182" s="233" t="str">
        <f>VLOOKUP(Table1[[#This Row],[Country Code]],Table29[],3,FALSE)</f>
        <v>Non-Annex I</v>
      </c>
      <c r="W182" s="233" t="str">
        <f>VLOOKUP(Table1[[#This Row],[Country Code]],Table29[],4,FALSE)</f>
        <v>Europe</v>
      </c>
      <c r="X182" s="233" t="str">
        <f>VLOOKUP(Table1[[#This Row],[Country Code]],Table29[],5,FALSE)</f>
        <v>Middle-income</v>
      </c>
      <c r="Y182" s="43"/>
      <c r="Z182" s="43"/>
    </row>
    <row r="183" spans="1:26" ht="15" customHeight="1" x14ac:dyDescent="0.25">
      <c r="A183" s="360">
        <v>17711</v>
      </c>
      <c r="B183" s="43" t="s">
        <v>364</v>
      </c>
      <c r="C183" s="243" t="str">
        <f>VLOOKUP(Table1[[#This Row],[Country Code]],Table29[],2,FALSE)</f>
        <v>Republic of North Macedonia</v>
      </c>
      <c r="D183" s="243" t="str">
        <f t="shared" si="6"/>
        <v>Good</v>
      </c>
      <c r="E183" s="176" t="s">
        <v>71</v>
      </c>
      <c r="F183" s="43" t="s">
        <v>498</v>
      </c>
      <c r="G183" s="43" t="str">
        <f t="shared" si="7"/>
        <v>First NDC</v>
      </c>
      <c r="H183" s="350" t="s">
        <v>499</v>
      </c>
      <c r="I183" s="355">
        <v>43109</v>
      </c>
      <c r="J183" s="320" t="s">
        <v>500</v>
      </c>
      <c r="K183" s="320" t="str" cm="1">
        <f t="array" ref="K183">IF(ISNUMBER(MATCH("Transport sector mitigation target", _xlfn._xlws.FILTER(Targets!H:H, Targets!A:A =A183), 0)), "yes", "no")</f>
        <v>no</v>
      </c>
      <c r="L183" s="43" t="str">
        <f>IF(K183="no", "No transport target", IF(AND(COUNTIFS(Targets!A:A, A183, Targets!H:H, "Transport sector mitigation target", Targets!J:J, "GHG") &gt; 0, COUNTIFS(Targets!A:A, A183, Targets!H:H, "Transport sector mitigation target", Targets!J:J, "Non GHG") &gt; 0), "GHG and non-GHG target", IF(COUNTIFS(Targets!A:A, A183, Targets!H:H, "Transport sector mitigation target", Targets!J:J, "GHG") &gt; 0, "GHG target", IF(COUNTIFS(Targets!A:A, A183, Targets!H:H, "Transport sector mitigation target", Targets!J:J, "Non GHG") &gt; 0, "non-GHG target", ""))))</f>
        <v>No transport target</v>
      </c>
      <c r="M183" s="43" t="str">
        <f>IF(K183="no","No transport target",IF(L183="non-GHG target","No GHG transport target",IF(AND(COUNTIFS(Targets!A:A,A183,Targets!H:H,"Transport sector mitigation target",Targets!J:J,"GHG",Targets!L:L,"Conditional")&gt;0,COUNTIFS(Targets!A:A,A183,Targets!H:H,"Transport sector mitigation target",Targets!J:J,"GHG",Targets!L:L,"Unconditional")&gt;0),"GHG unconditional and conditional",IF(COUNTIFS(Targets!A:A,A183,Targets!H:H,"Transport sector mitigation target",Targets!J:J,"GHG",Targets!L:L,"Conditional")&gt;0,"GHG conditional only",IF(COUNTIFS(Targets!A:A,A183,Targets!H:H,"Transport sector mitigation target",Targets!J:J,"GHG",Targets!L:L,"Unconditional")&gt;0,"GHG unconditional only",IF(COUNTIFS(Targets!A:A,A183,Targets!H:H,"Transport sector mitigation target",Targets!J:J,"GHG",Targets!L:L,"Unclear conditionality")&gt;0,"Conditionality unclear",""))))))</f>
        <v>No transport target</v>
      </c>
      <c r="N183" s="43" t="str" cm="1">
        <f t="array" ref="N183">IF(ISNUMBER(MATCH("Transport sector adaptation target", _xlfn._xlws.FILTER(Targets!H:H, Targets!A:A =A183), 0)), "yes", "no")</f>
        <v>no</v>
      </c>
      <c r="O183" s="43" t="str">
        <f>IF(ISNA(MATCH(A183, Mitigation!A:A, 0)), "no", "yes")</f>
        <v>yes</v>
      </c>
      <c r="P183" s="43" t="str">
        <f>IF(ISNA(MATCH(A183, Adaptation!A:A, 0)), "no", "yes")</f>
        <v>no</v>
      </c>
      <c r="Q183" s="43" t="str">
        <f>IF(ISNA(MATCH(A183, Benefits!A:A, 0)), "no", "yes")</f>
        <v>no</v>
      </c>
      <c r="R183" s="43"/>
      <c r="S183" s="43"/>
      <c r="T183" s="43" t="s">
        <v>501</v>
      </c>
      <c r="U183" s="356" t="s">
        <v>693</v>
      </c>
      <c r="V183" s="233" t="str">
        <f>VLOOKUP(Table1[[#This Row],[Country Code]],Table29[],3,FALSE)</f>
        <v>Non-Annex I</v>
      </c>
      <c r="W183" s="233" t="str">
        <f>VLOOKUP(Table1[[#This Row],[Country Code]],Table29[],4,FALSE)</f>
        <v>Europe</v>
      </c>
      <c r="X183" s="233" t="str">
        <f>VLOOKUP(Table1[[#This Row],[Country Code]],Table29[],5,FALSE)</f>
        <v>Middle-income</v>
      </c>
      <c r="Y183" s="43"/>
      <c r="Z183" s="43"/>
    </row>
    <row r="184" spans="1:26" ht="15" customHeight="1" x14ac:dyDescent="0.25">
      <c r="A184" s="405">
        <v>43947</v>
      </c>
      <c r="B184" s="20" t="s">
        <v>61</v>
      </c>
      <c r="C184" s="207" t="str">
        <f>VLOOKUP(Table1[[#This Row],[Country Code]],Table29[],2,FALSE)</f>
        <v>Andorra</v>
      </c>
      <c r="D184" s="206" t="str">
        <f t="shared" ref="D184:D247" si="8">IF(J184&lt;&gt;"Active",
    "Good",
    IF(COUNTIFS(C:C, C184, E:E, E184, J:J, "Active")&gt;1,
       IF(E184="LTS", "Error: more than one LTS active",
          IF(E184="NDC", "Error: more than one NDC active", "Error")
       ),
       "Good"
    )
)</f>
        <v>Good</v>
      </c>
      <c r="E184" s="20" t="s">
        <v>71</v>
      </c>
      <c r="F184" s="17" t="s">
        <v>694</v>
      </c>
      <c r="G184" s="17" t="str">
        <f t="shared" ref="G184:G247" si="9">IF(H184="NDC 1.0","First NDC",
IF(OR(H184="NDC 1.1",H184="NDC 1.2",H184="NDC 1.3"),"First NDC updated",
IF(H184="NDC 2.0","Second NDC",
IF(OR(H184="NDC 2.1",H184="NDC 2.2",H184="NDC 2.3"),"Second NDC updated",
IF(H184="NDC 3.0","Third NDC",
IF(OR(H184="NDC 3.1",H184="NDC 3.2",H184="NDC 3.3"),"Third NDC updated",
F184))))))</f>
        <v>Third NDC</v>
      </c>
      <c r="H184" s="148" t="s">
        <v>695</v>
      </c>
      <c r="I184" s="163" t="s">
        <v>696</v>
      </c>
      <c r="J184" s="187" t="s">
        <v>505</v>
      </c>
      <c r="K184" s="49" t="str" cm="1">
        <f t="array" ref="K184">IF(ISNUMBER(MATCH("Transport sector mitigation target", _xlfn._xlws.FILTER(Targets!H:H, Targets!A:A =A184), 0)), "yes", "no")</f>
        <v>yes</v>
      </c>
      <c r="L184" s="17" t="str">
        <f>IF(K184="no", "No transport target", IF(AND(COUNTIFS(Targets!A:A, A184, Targets!H:H, "Transport sector mitigation target", Targets!J:J, "GHG") &gt; 0, COUNTIFS(Targets!A:A, A184, Targets!H:H, "Transport sector mitigation target", Targets!J:J, "Non GHG") &gt; 0), "GHG and non-GHG target", IF(COUNTIFS(Targets!A:A, A184, Targets!H:H, "Transport sector mitigation target", Targets!J:J, "GHG") &gt; 0, "GHG target", IF(COUNTIFS(Targets!A:A, A184, Targets!H:H, "Transport sector mitigation target", Targets!J:J, "Non GHG") &gt; 0, "non-GHG target", ""))))</f>
        <v>GHG target</v>
      </c>
      <c r="M184" s="17" t="str">
        <f>IF(K184="no","No transport target",IF(L184="non-GHG target","No GHG transport target",IF(AND(COUNTIFS(Targets!A:A,A184,Targets!H:H,"Transport sector mitigation target",Targets!J:J,"GHG",Targets!L:L,"Conditional")&gt;0,COUNTIFS(Targets!A:A,A184,Targets!H:H,"Transport sector mitigation target",Targets!J:J,"GHG",Targets!L:L,"Unconditional")&gt;0),"GHG unconditional and conditional",IF(COUNTIFS(Targets!A:A,A184,Targets!H:H,"Transport sector mitigation target",Targets!J:J,"GHG",Targets!L:L,"Conditional")&gt;0,"GHG conditional only",IF(COUNTIFS(Targets!A:A,A184,Targets!H:H,"Transport sector mitigation target",Targets!J:J,"GHG",Targets!L:L,"Unconditional")&gt;0,"GHG unconditional only",IF(COUNTIFS(Targets!A:A,A184,Targets!H:H,"Transport sector mitigation target",Targets!J:J,"GHG",Targets!L:L,"Unclear conditionality")&gt;0,"Conditionality unclear",""))))))</f>
        <v>Conditionality unclear</v>
      </c>
      <c r="N184" s="17" t="str" cm="1">
        <f t="array" ref="N184">IF(ISNUMBER(MATCH("Transport sector adaptation target", _xlfn._xlws.FILTER(Targets!H:H, Targets!A:A =A184), 0)), "yes", "no")</f>
        <v>no</v>
      </c>
      <c r="O184" s="17" t="str">
        <f>IF(ISNA(MATCH(A184, Mitigation!A:A, 0)), "no", "yes")</f>
        <v>yes</v>
      </c>
      <c r="P184" s="17" t="str">
        <f>IF(ISNA(MATCH(A184, Adaptation!A:A, 0)), "no", "yes")</f>
        <v>yes</v>
      </c>
      <c r="Q184" s="17" t="str">
        <f>IF(ISNA(MATCH(A184, Benefits!A:A, 0)), "no", "yes")</f>
        <v>no</v>
      </c>
      <c r="R184" s="17"/>
      <c r="S184" s="148"/>
      <c r="T184" s="17"/>
      <c r="U184" s="148" t="s">
        <v>697</v>
      </c>
      <c r="V184" s="207" t="str">
        <f>VLOOKUP(Table1[[#This Row],[Country Code]],Table29[],3,FALSE)</f>
        <v>Non-Annex I</v>
      </c>
      <c r="W184" s="207" t="str">
        <f>VLOOKUP(Table1[[#This Row],[Country Code]],Table29[],4,FALSE)</f>
        <v>Europe</v>
      </c>
      <c r="X184" s="233" t="str">
        <f>VLOOKUP(Table1[[#This Row],[Country Code]],Table29[],5,FALSE)</f>
        <v>High-income</v>
      </c>
      <c r="Y184" s="17"/>
      <c r="Z184" s="17"/>
    </row>
    <row r="185" spans="1:26" ht="15" customHeight="1" x14ac:dyDescent="0.25">
      <c r="A185" s="360">
        <v>17544</v>
      </c>
      <c r="B185" s="176" t="s">
        <v>119</v>
      </c>
      <c r="C185" s="243" t="str">
        <f>VLOOKUP(Table1[[#This Row],[Country Code]],Table29[],2,FALSE)</f>
        <v>Burundi</v>
      </c>
      <c r="D185" s="243" t="str">
        <f t="shared" si="8"/>
        <v>Good</v>
      </c>
      <c r="E185" s="176" t="s">
        <v>71</v>
      </c>
      <c r="F185" s="43" t="s">
        <v>498</v>
      </c>
      <c r="G185" s="43" t="str">
        <f t="shared" si="9"/>
        <v>First NDC</v>
      </c>
      <c r="H185" s="43" t="s">
        <v>499</v>
      </c>
      <c r="I185" s="351">
        <v>43117</v>
      </c>
      <c r="J185" s="320" t="s">
        <v>500</v>
      </c>
      <c r="K185" s="320" t="str" cm="1">
        <f t="array" ref="K185">IF(ISNUMBER(MATCH("Transport sector mitigation target", _xlfn._xlws.FILTER(Targets!H:H, Targets!A:A =A185), 0)), "yes", "no")</f>
        <v>no</v>
      </c>
      <c r="L185" s="43" t="str">
        <f>IF(K185="no", "No transport target", IF(AND(COUNTIFS(Targets!A:A, A185, Targets!H:H, "Transport sector mitigation target", Targets!J:J, "GHG") &gt; 0, COUNTIFS(Targets!A:A, A185, Targets!H:H, "Transport sector mitigation target", Targets!J:J, "Non GHG") &gt; 0), "GHG and non-GHG target", IF(COUNTIFS(Targets!A:A, A185, Targets!H:H, "Transport sector mitigation target", Targets!J:J, "GHG") &gt; 0, "GHG target", IF(COUNTIFS(Targets!A:A, A185, Targets!H:H, "Transport sector mitigation target", Targets!J:J, "Non GHG") &gt; 0, "non-GHG target", ""))))</f>
        <v>No transport target</v>
      </c>
      <c r="M185" s="43" t="str">
        <f>IF(K185="no","No transport target",IF(L185="non-GHG target","No GHG transport target",IF(AND(COUNTIFS(Targets!A:A,A185,Targets!H:H,"Transport sector mitigation target",Targets!J:J,"GHG",Targets!L:L,"Conditional")&gt;0,COUNTIFS(Targets!A:A,A185,Targets!H:H,"Transport sector mitigation target",Targets!J:J,"GHG",Targets!L:L,"Unconditional")&gt;0),"GHG unconditional and conditional",IF(COUNTIFS(Targets!A:A,A185,Targets!H:H,"Transport sector mitigation target",Targets!J:J,"GHG",Targets!L:L,"Conditional")&gt;0,"GHG conditional only",IF(COUNTIFS(Targets!A:A,A185,Targets!H:H,"Transport sector mitigation target",Targets!J:J,"GHG",Targets!L:L,"Unconditional")&gt;0,"GHG unconditional only",IF(COUNTIFS(Targets!A:A,A185,Targets!H:H,"Transport sector mitigation target",Targets!J:J,"GHG",Targets!L:L,"Unclear conditionality")&gt;0,"Conditionality unclear",""))))))</f>
        <v>No transport target</v>
      </c>
      <c r="N185" s="43" t="str" cm="1">
        <f t="array" ref="N185">IF(ISNUMBER(MATCH("Transport sector adaptation target", _xlfn._xlws.FILTER(Targets!H:H, Targets!A:A =A185), 0)), "yes", "no")</f>
        <v>no</v>
      </c>
      <c r="O185" s="43" t="str">
        <f>IF(ISNA(MATCH(A185, Mitigation!A:A, 0)), "no", "yes")</f>
        <v>yes</v>
      </c>
      <c r="P185" s="43" t="str">
        <f>IF(ISNA(MATCH(A185, Adaptation!A:A, 0)), "no", "yes")</f>
        <v>no</v>
      </c>
      <c r="Q185" s="43" t="str">
        <f>IF(ISNA(MATCH(A185, Benefits!A:A, 0)), "no", "yes")</f>
        <v>no</v>
      </c>
      <c r="R185" s="43"/>
      <c r="S185" s="43"/>
      <c r="T185" s="43" t="s">
        <v>501</v>
      </c>
      <c r="U185" s="312" t="s">
        <v>698</v>
      </c>
      <c r="V185" s="233" t="str">
        <f>VLOOKUP(Table1[[#This Row],[Country Code]],Table29[],3,FALSE)</f>
        <v>Non-Annex I</v>
      </c>
      <c r="W185" s="233" t="str">
        <f>VLOOKUP(Table1[[#This Row],[Country Code]],Table29[],4,FALSE)</f>
        <v>Africa</v>
      </c>
      <c r="X185" s="233" t="str">
        <f>VLOOKUP(Table1[[#This Row],[Country Code]],Table29[],5,FALSE)</f>
        <v>Low-income</v>
      </c>
      <c r="Y185" s="43"/>
      <c r="Z185" s="43"/>
    </row>
    <row r="186" spans="1:26" ht="15" customHeight="1" x14ac:dyDescent="0.25">
      <c r="A186" s="360">
        <v>21764</v>
      </c>
      <c r="B186" s="42" t="s">
        <v>67</v>
      </c>
      <c r="C186" s="243" t="str">
        <f>VLOOKUP(Table1[[#This Row],[Country Code]],Table29[],2,FALSE)</f>
        <v>Antigua and Barbuda</v>
      </c>
      <c r="D186" s="243" t="str">
        <f t="shared" si="8"/>
        <v>Good</v>
      </c>
      <c r="E186" s="176" t="s">
        <v>71</v>
      </c>
      <c r="F186" s="43" t="s">
        <v>528</v>
      </c>
      <c r="G186" s="43" t="str">
        <f t="shared" si="9"/>
        <v>First NDC updated</v>
      </c>
      <c r="H186" s="350" t="s">
        <v>691</v>
      </c>
      <c r="I186" s="351">
        <v>44236</v>
      </c>
      <c r="J186" s="352" t="s">
        <v>505</v>
      </c>
      <c r="K186" s="320" t="str" cm="1">
        <f t="array" ref="K186">IF(ISNUMBER(MATCH("Transport sector mitigation target", _xlfn._xlws.FILTER(Targets!H:H, Targets!A:A =A186), 0)), "yes", "no")</f>
        <v>yes</v>
      </c>
      <c r="L186" s="43" t="str">
        <f>IF(K186="no", "No transport target", IF(AND(COUNTIFS(Targets!A:A, A186, Targets!H:H, "Transport sector mitigation target", Targets!J:J, "GHG") &gt; 0, COUNTIFS(Targets!A:A, A186, Targets!H:H, "Transport sector mitigation target", Targets!J:J, "Non GHG") &gt; 0), "GHG and non-GHG target", IF(COUNTIFS(Targets!A:A, A186, Targets!H:H, "Transport sector mitigation target", Targets!J:J, "GHG") &gt; 0, "GHG target", IF(COUNTIFS(Targets!A:A, A186, Targets!H:H, "Transport sector mitigation target", Targets!J:J, "Non GHG") &gt; 0, "non-GHG target", ""))))</f>
        <v>non-GHG target</v>
      </c>
      <c r="M186" s="43" t="str">
        <f>IF(K186="no","No transport target",IF(L186="non-GHG target","No GHG transport target",IF(AND(COUNTIFS(Targets!A:A,A186,Targets!H:H,"Transport sector mitigation target",Targets!J:J,"GHG",Targets!L:L,"Conditional")&gt;0,COUNTIFS(Targets!A:A,A186,Targets!H:H,"Transport sector mitigation target",Targets!J:J,"GHG",Targets!L:L,"Unconditional")&gt;0),"GHG unconditional and conditional",IF(COUNTIFS(Targets!A:A,A186,Targets!H:H,"Transport sector mitigation target",Targets!J:J,"GHG",Targets!L:L,"Conditional")&gt;0,"GHG conditional only",IF(COUNTIFS(Targets!A:A,A186,Targets!H:H,"Transport sector mitigation target",Targets!J:J,"GHG",Targets!L:L,"Unconditional")&gt;0,"GHG unconditional only",IF(COUNTIFS(Targets!A:A,A186,Targets!H:H,"Transport sector mitigation target",Targets!J:J,"GHG",Targets!L:L,"Unclear conditionality")&gt;0,"Conditionality unclear",""))))))</f>
        <v>No GHG transport target</v>
      </c>
      <c r="N186" s="43" t="str" cm="1">
        <f t="array" ref="N186">IF(ISNUMBER(MATCH("Transport sector adaptation target", _xlfn._xlws.FILTER(Targets!H:H, Targets!A:A =A186), 0)), "yes", "no")</f>
        <v>yes</v>
      </c>
      <c r="O186" s="43" t="str">
        <f>IF(ISNA(MATCH(A186, Mitigation!A:A, 0)), "no", "yes")</f>
        <v>yes</v>
      </c>
      <c r="P186" s="43" t="str">
        <f>IF(ISNA(MATCH(A186, Adaptation!A:A, 0)), "no", "yes")</f>
        <v>yes</v>
      </c>
      <c r="Q186" s="43" t="str">
        <f>IF(ISNA(MATCH(A186, Benefits!A:A, 0)), "no", "yes")</f>
        <v>no</v>
      </c>
      <c r="R186" s="43"/>
      <c r="S186" s="43"/>
      <c r="T186" s="43" t="s">
        <v>501</v>
      </c>
      <c r="U186" s="312" t="s">
        <v>699</v>
      </c>
      <c r="V186" s="233" t="str">
        <f>VLOOKUP(Table1[[#This Row],[Country Code]],Table29[],3,FALSE)</f>
        <v>Non-Annex I</v>
      </c>
      <c r="W186" s="233" t="str">
        <f>VLOOKUP(Table1[[#This Row],[Country Code]],Table29[],4,FALSE)</f>
        <v>Latin America and the Caribbean</v>
      </c>
      <c r="X186" s="233" t="str">
        <f>VLOOKUP(Table1[[#This Row],[Country Code]],Table29[],5,FALSE)</f>
        <v>High-income</v>
      </c>
      <c r="Y186" s="43"/>
      <c r="Z186" s="43"/>
    </row>
    <row r="187" spans="1:26" ht="15" customHeight="1" x14ac:dyDescent="0.25">
      <c r="A187" s="405">
        <v>17784</v>
      </c>
      <c r="B187" s="20" t="s">
        <v>462</v>
      </c>
      <c r="C187" s="206" t="str">
        <f>VLOOKUP(Table1[[#This Row],[Country Code]],Table29[],2,FALSE)</f>
        <v>Venezuela, Bolivarian Republic of</v>
      </c>
      <c r="D187" s="243" t="str">
        <f t="shared" si="8"/>
        <v>Good</v>
      </c>
      <c r="E187" s="20" t="s">
        <v>71</v>
      </c>
      <c r="F187" s="17" t="s">
        <v>498</v>
      </c>
      <c r="G187" s="43" t="str">
        <f t="shared" si="9"/>
        <v>First NDC</v>
      </c>
      <c r="H187" s="17" t="s">
        <v>499</v>
      </c>
      <c r="I187" s="149">
        <v>43158</v>
      </c>
      <c r="J187" s="49" t="s">
        <v>500</v>
      </c>
      <c r="K187" s="49" t="str" cm="1">
        <f t="array" ref="K187">IF(ISNUMBER(MATCH("Transport sector mitigation target", _xlfn._xlws.FILTER(Targets!H:H, Targets!A:A =A187), 0)), "yes", "no")</f>
        <v>no</v>
      </c>
      <c r="L187" s="17" t="str">
        <f>IF(K187="no", "No transport target", IF(AND(COUNTIFS(Targets!A:A, A187, Targets!H:H, "Transport sector mitigation target", Targets!J:J, "GHG") &gt; 0, COUNTIFS(Targets!A:A, A187, Targets!H:H, "Transport sector mitigation target", Targets!J:J, "Non GHG") &gt; 0), "GHG and non-GHG target", IF(COUNTIFS(Targets!A:A, A187, Targets!H:H, "Transport sector mitigation target", Targets!J:J, "GHG") &gt; 0, "GHG target", IF(COUNTIFS(Targets!A:A, A187, Targets!H:H, "Transport sector mitigation target", Targets!J:J, "Non GHG") &gt; 0, "non-GHG target", ""))))</f>
        <v>No transport target</v>
      </c>
      <c r="M187" s="17" t="str">
        <f>IF(K187="no","No transport target",IF(L187="non-GHG target","No GHG transport target",IF(AND(COUNTIFS(Targets!A:A,A187,Targets!H:H,"Transport sector mitigation target",Targets!J:J,"GHG",Targets!L:L,"Conditional")&gt;0,COUNTIFS(Targets!A:A,A187,Targets!H:H,"Transport sector mitigation target",Targets!J:J,"GHG",Targets!L:L,"Unconditional")&gt;0),"GHG unconditional and conditional",IF(COUNTIFS(Targets!A:A,A187,Targets!H:H,"Transport sector mitigation target",Targets!J:J,"GHG",Targets!L:L,"Conditional")&gt;0,"GHG conditional only",IF(COUNTIFS(Targets!A:A,A187,Targets!H:H,"Transport sector mitigation target",Targets!J:J,"GHG",Targets!L:L,"Unconditional")&gt;0,"GHG unconditional only",IF(COUNTIFS(Targets!A:A,A187,Targets!H:H,"Transport sector mitigation target",Targets!J:J,"GHG",Targets!L:L,"Unclear conditionality")&gt;0,"Conditionality unclear",""))))))</f>
        <v>No transport target</v>
      </c>
      <c r="N187" s="17" t="str" cm="1">
        <f t="array" ref="N187">IF(ISNUMBER(MATCH("Transport sector adaptation target", _xlfn._xlws.FILTER(Targets!H:H, Targets!A:A =A187), 0)), "yes", "no")</f>
        <v>no</v>
      </c>
      <c r="O187" s="17" t="str">
        <f>IF(ISNA(MATCH(A187, Mitigation!A:A, 0)), "no", "yes")</f>
        <v>no</v>
      </c>
      <c r="P187" s="17" t="str">
        <f>IF(ISNA(MATCH(A187, Adaptation!A:A, 0)), "no", "yes")</f>
        <v>no</v>
      </c>
      <c r="Q187" s="17" t="str">
        <f>IF(ISNA(MATCH(A187, Benefits!A:A, 0)), "no", "yes")</f>
        <v>no</v>
      </c>
      <c r="R187" s="17"/>
      <c r="S187" s="17"/>
      <c r="T187" s="17" t="s">
        <v>501</v>
      </c>
      <c r="U187" s="135" t="s">
        <v>700</v>
      </c>
      <c r="V187" s="207" t="str">
        <f>VLOOKUP(Table1[[#This Row],[Country Code]],Table29[],3,FALSE)</f>
        <v>Non-Annex I</v>
      </c>
      <c r="W187" s="207" t="str">
        <f>VLOOKUP(Table1[[#This Row],[Country Code]],Table29[],4,FALSE)</f>
        <v>Latin America and the Caribbean</v>
      </c>
      <c r="X187" s="207" t="str">
        <f>VLOOKUP(Table1[[#This Row],[Country Code]],Table29[],5,FALSE)</f>
        <v>Middle-income</v>
      </c>
      <c r="Y187" s="17"/>
      <c r="Z187" s="17"/>
    </row>
    <row r="188" spans="1:26" ht="15" customHeight="1" x14ac:dyDescent="0.25">
      <c r="A188" s="360">
        <v>17774</v>
      </c>
      <c r="B188" s="43" t="s">
        <v>448</v>
      </c>
      <c r="C188" s="243" t="str">
        <f>VLOOKUP(Table1[[#This Row],[Country Code]],Table29[],2,FALSE)</f>
        <v>United Kingdom</v>
      </c>
      <c r="D188" s="243" t="str">
        <f t="shared" si="8"/>
        <v>Good</v>
      </c>
      <c r="E188" s="176" t="s">
        <v>227</v>
      </c>
      <c r="F188" s="43" t="s">
        <v>530</v>
      </c>
      <c r="G188" s="43" t="str">
        <f t="shared" si="9"/>
        <v>Archived LTS 1.0</v>
      </c>
      <c r="H188" s="43" t="s">
        <v>636</v>
      </c>
      <c r="I188" s="351">
        <v>43207</v>
      </c>
      <c r="J188" s="320" t="s">
        <v>500</v>
      </c>
      <c r="K188" s="320" t="str" cm="1">
        <f t="array" ref="K188">IF(ISNUMBER(MATCH("Transport sector mitigation target", _xlfn._xlws.FILTER(Targets!H:H, Targets!A:A =A188), 0)), "yes", "no")</f>
        <v>no</v>
      </c>
      <c r="L188" s="43" t="str">
        <f>IF(K188="no", "No transport target", IF(AND(COUNTIFS(Targets!A:A, A188, Targets!H:H, "Transport sector mitigation target", Targets!J:J, "GHG") &gt; 0, COUNTIFS(Targets!A:A, A188, Targets!H:H, "Transport sector mitigation target", Targets!J:J, "Non GHG") &gt; 0), "GHG and non-GHG target", IF(COUNTIFS(Targets!A:A, A188, Targets!H:H, "Transport sector mitigation target", Targets!J:J, "GHG") &gt; 0, "GHG target", IF(COUNTIFS(Targets!A:A, A188, Targets!H:H, "Transport sector mitigation target", Targets!J:J, "Non GHG") &gt; 0, "non-GHG target", ""))))</f>
        <v>No transport target</v>
      </c>
      <c r="M188" s="43" t="str">
        <f>IF(K188="no","No transport target",IF(L188="non-GHG target","No GHG transport target",IF(AND(COUNTIFS(Targets!A:A,A188,Targets!H:H,"Transport sector mitigation target",Targets!J:J,"GHG",Targets!L:L,"Conditional")&gt;0,COUNTIFS(Targets!A:A,A188,Targets!H:H,"Transport sector mitigation target",Targets!J:J,"GHG",Targets!L:L,"Unconditional")&gt;0),"GHG unconditional and conditional",IF(COUNTIFS(Targets!A:A,A188,Targets!H:H,"Transport sector mitigation target",Targets!J:J,"GHG",Targets!L:L,"Conditional")&gt;0,"GHG conditional only",IF(COUNTIFS(Targets!A:A,A188,Targets!H:H,"Transport sector mitigation target",Targets!J:J,"GHG",Targets!L:L,"Unconditional")&gt;0,"GHG unconditional only",IF(COUNTIFS(Targets!A:A,A188,Targets!H:H,"Transport sector mitigation target",Targets!J:J,"GHG",Targets!L:L,"Unclear conditionality")&gt;0,"Conditionality unclear",""))))))</f>
        <v>No transport target</v>
      </c>
      <c r="N188" s="43" t="str" cm="1">
        <f t="array" ref="N188">IF(ISNUMBER(MATCH("Transport sector adaptation target", _xlfn._xlws.FILTER(Targets!H:H, Targets!A:A =A188), 0)), "yes", "no")</f>
        <v>no</v>
      </c>
      <c r="O188" s="43" t="str">
        <f>IF(ISNA(MATCH(A188, Mitigation!A:A, 0)), "no", "yes")</f>
        <v>yes</v>
      </c>
      <c r="P188" s="43" t="str">
        <f>IF(ISNA(MATCH(A188, Adaptation!A:A, 0)), "no", "yes")</f>
        <v>no</v>
      </c>
      <c r="Q188" s="43" t="str">
        <f>IF(ISNA(MATCH(A188, Benefits!A:A, 0)), "no", "yes")</f>
        <v>no</v>
      </c>
      <c r="R188" s="43"/>
      <c r="S188" s="43"/>
      <c r="T188" s="43" t="s">
        <v>501</v>
      </c>
      <c r="U188" s="312" t="s">
        <v>701</v>
      </c>
      <c r="V188" s="233" t="str">
        <f>VLOOKUP(Table1[[#This Row],[Country Code]],Table29[],3,FALSE)</f>
        <v>Annex I</v>
      </c>
      <c r="W188" s="233" t="str">
        <f>VLOOKUP(Table1[[#This Row],[Country Code]],Table29[],4,FALSE)</f>
        <v>Europe</v>
      </c>
      <c r="X188" s="233" t="str">
        <f>VLOOKUP(Table1[[#This Row],[Country Code]],Table29[],5,FALSE)</f>
        <v>High-income</v>
      </c>
      <c r="Y188" s="43"/>
      <c r="Z188" s="43"/>
    </row>
    <row r="189" spans="1:26" ht="15" customHeight="1" x14ac:dyDescent="0.25">
      <c r="A189" s="360">
        <v>17635</v>
      </c>
      <c r="B189" s="176" t="s">
        <v>258</v>
      </c>
      <c r="C189" s="243" t="str">
        <f>VLOOKUP(Table1[[#This Row],[Country Code]],Table29[],2,FALSE)</f>
        <v>Kuwait</v>
      </c>
      <c r="D189" s="243" t="str">
        <f t="shared" si="8"/>
        <v>Good</v>
      </c>
      <c r="E189" s="176" t="s">
        <v>71</v>
      </c>
      <c r="F189" s="43" t="s">
        <v>498</v>
      </c>
      <c r="G189" s="43" t="str">
        <f t="shared" si="9"/>
        <v>First NDC</v>
      </c>
      <c r="H189" s="43" t="s">
        <v>499</v>
      </c>
      <c r="I189" s="351">
        <v>43213</v>
      </c>
      <c r="J189" s="320" t="s">
        <v>500</v>
      </c>
      <c r="K189" s="320" t="str" cm="1">
        <f t="array" ref="K189">IF(ISNUMBER(MATCH("Transport sector mitigation target", _xlfn._xlws.FILTER(Targets!H:H, Targets!A:A =A189), 0)), "yes", "no")</f>
        <v>no</v>
      </c>
      <c r="L189" s="43" t="str">
        <f>IF(K189="no", "No transport target", IF(AND(COUNTIFS(Targets!A:A, A189, Targets!H:H, "Transport sector mitigation target", Targets!J:J, "GHG") &gt; 0, COUNTIFS(Targets!A:A, A189, Targets!H:H, "Transport sector mitigation target", Targets!J:J, "Non GHG") &gt; 0), "GHG and non-GHG target", IF(COUNTIFS(Targets!A:A, A189, Targets!H:H, "Transport sector mitigation target", Targets!J:J, "GHG") &gt; 0, "GHG target", IF(COUNTIFS(Targets!A:A, A189, Targets!H:H, "Transport sector mitigation target", Targets!J:J, "Non GHG") &gt; 0, "non-GHG target", ""))))</f>
        <v>No transport target</v>
      </c>
      <c r="M189" s="43" t="str">
        <f>IF(K189="no","No transport target",IF(L189="non-GHG target","No GHG transport target",IF(AND(COUNTIFS(Targets!A:A,A189,Targets!H:H,"Transport sector mitigation target",Targets!J:J,"GHG",Targets!L:L,"Conditional")&gt;0,COUNTIFS(Targets!A:A,A189,Targets!H:H,"Transport sector mitigation target",Targets!J:J,"GHG",Targets!L:L,"Unconditional")&gt;0),"GHG unconditional and conditional",IF(COUNTIFS(Targets!A:A,A189,Targets!H:H,"Transport sector mitigation target",Targets!J:J,"GHG",Targets!L:L,"Conditional")&gt;0,"GHG conditional only",IF(COUNTIFS(Targets!A:A,A189,Targets!H:H,"Transport sector mitigation target",Targets!J:J,"GHG",Targets!L:L,"Unconditional")&gt;0,"GHG unconditional only",IF(COUNTIFS(Targets!A:A,A189,Targets!H:H,"Transport sector mitigation target",Targets!J:J,"GHG",Targets!L:L,"Unclear conditionality")&gt;0,"Conditionality unclear",""))))))</f>
        <v>No transport target</v>
      </c>
      <c r="N189" s="43" t="str" cm="1">
        <f t="array" ref="N189">IF(ISNUMBER(MATCH("Transport sector adaptation target", _xlfn._xlws.FILTER(Targets!H:H, Targets!A:A =A189), 0)), "yes", "no")</f>
        <v>no</v>
      </c>
      <c r="O189" s="43" t="str">
        <f>IF(ISNA(MATCH(A189, Mitigation!A:A, 0)), "no", "yes")</f>
        <v>yes</v>
      </c>
      <c r="P189" s="43" t="str">
        <f>IF(ISNA(MATCH(A189, Adaptation!A:A, 0)), "no", "yes")</f>
        <v>no</v>
      </c>
      <c r="Q189" s="43" t="str">
        <f>IF(ISNA(MATCH(A189, Benefits!A:A, 0)), "no", "yes")</f>
        <v>no</v>
      </c>
      <c r="R189" s="43"/>
      <c r="S189" s="43"/>
      <c r="T189" s="43" t="s">
        <v>501</v>
      </c>
      <c r="U189" s="312" t="s">
        <v>702</v>
      </c>
      <c r="V189" s="233" t="str">
        <f>VLOOKUP(Table1[[#This Row],[Country Code]],Table29[],3,FALSE)</f>
        <v>Non-Annex I</v>
      </c>
      <c r="W189" s="233" t="str">
        <f>VLOOKUP(Table1[[#This Row],[Country Code]],Table29[],4,FALSE)</f>
        <v>Asia</v>
      </c>
      <c r="X189" s="233" t="str">
        <f>VLOOKUP(Table1[[#This Row],[Country Code]],Table29[],5,FALSE)</f>
        <v>High-income</v>
      </c>
      <c r="Y189" s="43"/>
      <c r="Z189" s="43"/>
    </row>
    <row r="190" spans="1:26" ht="15" customHeight="1" x14ac:dyDescent="0.25">
      <c r="A190" s="405">
        <v>17777</v>
      </c>
      <c r="B190" s="20" t="s">
        <v>450</v>
      </c>
      <c r="C190" s="206" t="str">
        <f>VLOOKUP(Table1[[#This Row],[Country Code]],Table29[],2,FALSE)</f>
        <v>United Republic of Tanzania</v>
      </c>
      <c r="D190" s="243" t="str">
        <f t="shared" si="8"/>
        <v>Good</v>
      </c>
      <c r="E190" s="20" t="s">
        <v>71</v>
      </c>
      <c r="F190" s="17" t="s">
        <v>498</v>
      </c>
      <c r="G190" s="43" t="str">
        <f t="shared" si="9"/>
        <v>First NDC</v>
      </c>
      <c r="H190" s="17" t="s">
        <v>499</v>
      </c>
      <c r="I190" s="149">
        <v>43238</v>
      </c>
      <c r="J190" s="49" t="s">
        <v>500</v>
      </c>
      <c r="K190" s="49" t="str" cm="1">
        <f t="array" ref="K190">IF(ISNUMBER(MATCH("Transport sector mitigation target", _xlfn._xlws.FILTER(Targets!H:H, Targets!A:A =A190), 0)), "yes", "no")</f>
        <v>no</v>
      </c>
      <c r="L190" s="17" t="str">
        <f>IF(K190="no", "No transport target", IF(AND(COUNTIFS(Targets!A:A, A190, Targets!H:H, "Transport sector mitigation target", Targets!J:J, "GHG") &gt; 0, COUNTIFS(Targets!A:A, A190, Targets!H:H, "Transport sector mitigation target", Targets!J:J, "Non GHG") &gt; 0), "GHG and non-GHG target", IF(COUNTIFS(Targets!A:A, A190, Targets!H:H, "Transport sector mitigation target", Targets!J:J, "GHG") &gt; 0, "GHG target", IF(COUNTIFS(Targets!A:A, A190, Targets!H:H, "Transport sector mitigation target", Targets!J:J, "Non GHG") &gt; 0, "non-GHG target", ""))))</f>
        <v>No transport target</v>
      </c>
      <c r="M190" s="17" t="str">
        <f>IF(K190="no","No transport target",IF(L190="non-GHG target","No GHG transport target",IF(AND(COUNTIFS(Targets!A:A,A190,Targets!H:H,"Transport sector mitigation target",Targets!J:J,"GHG",Targets!L:L,"Conditional")&gt;0,COUNTIFS(Targets!A:A,A190,Targets!H:H,"Transport sector mitigation target",Targets!J:J,"GHG",Targets!L:L,"Unconditional")&gt;0),"GHG unconditional and conditional",IF(COUNTIFS(Targets!A:A,A190,Targets!H:H,"Transport sector mitigation target",Targets!J:J,"GHG",Targets!L:L,"Conditional")&gt;0,"GHG conditional only",IF(COUNTIFS(Targets!A:A,A190,Targets!H:H,"Transport sector mitigation target",Targets!J:J,"GHG",Targets!L:L,"Unconditional")&gt;0,"GHG unconditional only",IF(COUNTIFS(Targets!A:A,A190,Targets!H:H,"Transport sector mitigation target",Targets!J:J,"GHG",Targets!L:L,"Unclear conditionality")&gt;0,"Conditionality unclear",""))))))</f>
        <v>No transport target</v>
      </c>
      <c r="N190" s="17" t="str" cm="1">
        <f t="array" ref="N190">IF(ISNUMBER(MATCH("Transport sector adaptation target", _xlfn._xlws.FILTER(Targets!H:H, Targets!A:A =A190), 0)), "yes", "no")</f>
        <v>no</v>
      </c>
      <c r="O190" s="17" t="str">
        <f>IF(ISNA(MATCH(A190, Mitigation!A:A, 0)), "no", "yes")</f>
        <v>yes</v>
      </c>
      <c r="P190" s="17" t="str">
        <f>IF(ISNA(MATCH(A190, Adaptation!A:A, 0)), "no", "yes")</f>
        <v>no</v>
      </c>
      <c r="Q190" s="17" t="str">
        <f>IF(ISNA(MATCH(A190, Benefits!A:A, 0)), "no", "yes")</f>
        <v>no</v>
      </c>
      <c r="R190" s="17"/>
      <c r="S190" s="17"/>
      <c r="T190" s="17" t="s">
        <v>501</v>
      </c>
      <c r="U190" s="135" t="s">
        <v>703</v>
      </c>
      <c r="V190" s="207" t="str">
        <f>VLOOKUP(Table1[[#This Row],[Country Code]],Table29[],3,FALSE)</f>
        <v>Non-Annex I</v>
      </c>
      <c r="W190" s="207" t="str">
        <f>VLOOKUP(Table1[[#This Row],[Country Code]],Table29[],4,FALSE)</f>
        <v>Africa</v>
      </c>
      <c r="X190" s="207" t="str">
        <f>VLOOKUP(Table1[[#This Row],[Country Code]],Table29[],5,FALSE)</f>
        <v>Middle-income</v>
      </c>
      <c r="Y190" s="17"/>
      <c r="Z190" s="17"/>
    </row>
    <row r="191" spans="1:26" ht="15" customHeight="1" x14ac:dyDescent="0.25">
      <c r="A191" s="360">
        <v>17670</v>
      </c>
      <c r="B191" s="176" t="s">
        <v>311</v>
      </c>
      <c r="C191" s="243" t="str">
        <f>VLOOKUP(Table1[[#This Row],[Country Code]],Table29[],2,FALSE)</f>
        <v>Mozambique</v>
      </c>
      <c r="D191" s="243" t="str">
        <f t="shared" si="8"/>
        <v>Good</v>
      </c>
      <c r="E191" s="176" t="s">
        <v>71</v>
      </c>
      <c r="F191" s="43" t="s">
        <v>498</v>
      </c>
      <c r="G191" s="43" t="str">
        <f t="shared" si="9"/>
        <v>First NDC</v>
      </c>
      <c r="H191" s="43" t="s">
        <v>499</v>
      </c>
      <c r="I191" s="351">
        <v>43255</v>
      </c>
      <c r="J191" s="320" t="s">
        <v>500</v>
      </c>
      <c r="K191" s="320" t="str" cm="1">
        <f t="array" ref="K191">IF(ISNUMBER(MATCH("Transport sector mitigation target", _xlfn._xlws.FILTER(Targets!H:H, Targets!A:A =A191), 0)), "yes", "no")</f>
        <v>no</v>
      </c>
      <c r="L191" s="43" t="str">
        <f>IF(K191="no", "No transport target", IF(AND(COUNTIFS(Targets!A:A, A191, Targets!H:H, "Transport sector mitigation target", Targets!J:J, "GHG") &gt; 0, COUNTIFS(Targets!A:A, A191, Targets!H:H, "Transport sector mitigation target", Targets!J:J, "Non GHG") &gt; 0), "GHG and non-GHG target", IF(COUNTIFS(Targets!A:A, A191, Targets!H:H, "Transport sector mitigation target", Targets!J:J, "GHG") &gt; 0, "GHG target", IF(COUNTIFS(Targets!A:A, A191, Targets!H:H, "Transport sector mitigation target", Targets!J:J, "Non GHG") &gt; 0, "non-GHG target", ""))))</f>
        <v>No transport target</v>
      </c>
      <c r="M191" s="43" t="str">
        <f>IF(K191="no","No transport target",IF(L191="non-GHG target","No GHG transport target",IF(AND(COUNTIFS(Targets!A:A,A191,Targets!H:H,"Transport sector mitigation target",Targets!J:J,"GHG",Targets!L:L,"Conditional")&gt;0,COUNTIFS(Targets!A:A,A191,Targets!H:H,"Transport sector mitigation target",Targets!J:J,"GHG",Targets!L:L,"Unconditional")&gt;0),"GHG unconditional and conditional",IF(COUNTIFS(Targets!A:A,A191,Targets!H:H,"Transport sector mitigation target",Targets!J:J,"GHG",Targets!L:L,"Conditional")&gt;0,"GHG conditional only",IF(COUNTIFS(Targets!A:A,A191,Targets!H:H,"Transport sector mitigation target",Targets!J:J,"GHG",Targets!L:L,"Unconditional")&gt;0,"GHG unconditional only",IF(COUNTIFS(Targets!A:A,A191,Targets!H:H,"Transport sector mitigation target",Targets!J:J,"GHG",Targets!L:L,"Unclear conditionality")&gt;0,"Conditionality unclear",""))))))</f>
        <v>No transport target</v>
      </c>
      <c r="N191" s="43" t="str" cm="1">
        <f t="array" ref="N191">IF(ISNUMBER(MATCH("Transport sector adaptation target", _xlfn._xlws.FILTER(Targets!H:H, Targets!A:A =A191), 0)), "yes", "no")</f>
        <v>no</v>
      </c>
      <c r="O191" s="43" t="str">
        <f>IF(ISNA(MATCH(A191, Mitigation!A:A, 0)), "no", "yes")</f>
        <v>yes</v>
      </c>
      <c r="P191" s="43" t="str">
        <f>IF(ISNA(MATCH(A191, Adaptation!A:A, 0)), "no", "yes")</f>
        <v>yes</v>
      </c>
      <c r="Q191" s="43" t="str">
        <f>IF(ISNA(MATCH(A191, Benefits!A:A, 0)), "no", "yes")</f>
        <v>no</v>
      </c>
      <c r="R191" s="43"/>
      <c r="S191" s="43"/>
      <c r="T191" s="43" t="s">
        <v>501</v>
      </c>
      <c r="U191" s="312" t="s">
        <v>704</v>
      </c>
      <c r="V191" s="233" t="str">
        <f>VLOOKUP(Table1[[#This Row],[Country Code]],Table29[],3,FALSE)</f>
        <v>Non-Annex I</v>
      </c>
      <c r="W191" s="233" t="str">
        <f>VLOOKUP(Table1[[#This Row],[Country Code]],Table29[],4,FALSE)</f>
        <v>Africa</v>
      </c>
      <c r="X191" s="233" t="str">
        <f>VLOOKUP(Table1[[#This Row],[Country Code]],Table29[],5,FALSE)</f>
        <v>Low-income</v>
      </c>
      <c r="Y191" s="43"/>
      <c r="Z191" s="43"/>
    </row>
    <row r="192" spans="1:26" ht="15" customHeight="1" x14ac:dyDescent="0.25">
      <c r="A192" s="360">
        <v>17585</v>
      </c>
      <c r="B192" s="176" t="s">
        <v>181</v>
      </c>
      <c r="C192" s="243" t="str">
        <f>VLOOKUP(Table1[[#This Row],[Country Code]],Table29[],2,FALSE)</f>
        <v>Eritrea</v>
      </c>
      <c r="D192" s="243" t="str">
        <f t="shared" si="8"/>
        <v>Good</v>
      </c>
      <c r="E192" s="176" t="s">
        <v>71</v>
      </c>
      <c r="F192" s="43" t="s">
        <v>498</v>
      </c>
      <c r="G192" s="43" t="str">
        <f t="shared" si="9"/>
        <v>First NDC</v>
      </c>
      <c r="H192" s="43" t="s">
        <v>499</v>
      </c>
      <c r="I192" s="351">
        <v>43270</v>
      </c>
      <c r="J192" s="352" t="s">
        <v>505</v>
      </c>
      <c r="K192" s="320" t="str" cm="1">
        <f t="array" ref="K192">IF(ISNUMBER(MATCH("Transport sector mitigation target", _xlfn._xlws.FILTER(Targets!H:H, Targets!A:A =A192), 0)), "yes", "no")</f>
        <v>no</v>
      </c>
      <c r="L192" s="43" t="str">
        <f>IF(K192="no", "No transport target", IF(AND(COUNTIFS(Targets!A:A, A192, Targets!H:H, "Transport sector mitigation target", Targets!J:J, "GHG") &gt; 0, COUNTIFS(Targets!A:A, A192, Targets!H:H, "Transport sector mitigation target", Targets!J:J, "Non GHG") &gt; 0), "GHG and non-GHG target", IF(COUNTIFS(Targets!A:A, A192, Targets!H:H, "Transport sector mitigation target", Targets!J:J, "GHG") &gt; 0, "GHG target", IF(COUNTIFS(Targets!A:A, A192, Targets!H:H, "Transport sector mitigation target", Targets!J:J, "Non GHG") &gt; 0, "non-GHG target", ""))))</f>
        <v>No transport target</v>
      </c>
      <c r="M192" s="43" t="str">
        <f>IF(K192="no","No transport target",IF(L192="non-GHG target","No GHG transport target",IF(AND(COUNTIFS(Targets!A:A,A192,Targets!H:H,"Transport sector mitigation target",Targets!J:J,"GHG",Targets!L:L,"Conditional")&gt;0,COUNTIFS(Targets!A:A,A192,Targets!H:H,"Transport sector mitigation target",Targets!J:J,"GHG",Targets!L:L,"Unconditional")&gt;0),"GHG unconditional and conditional",IF(COUNTIFS(Targets!A:A,A192,Targets!H:H,"Transport sector mitigation target",Targets!J:J,"GHG",Targets!L:L,"Conditional")&gt;0,"GHG conditional only",IF(COUNTIFS(Targets!A:A,A192,Targets!H:H,"Transport sector mitigation target",Targets!J:J,"GHG",Targets!L:L,"Unconditional")&gt;0,"GHG unconditional only",IF(COUNTIFS(Targets!A:A,A192,Targets!H:H,"Transport sector mitigation target",Targets!J:J,"GHG",Targets!L:L,"Unclear conditionality")&gt;0,"Conditionality unclear",""))))))</f>
        <v>No transport target</v>
      </c>
      <c r="N192" s="43" t="str" cm="1">
        <f t="array" ref="N192">IF(ISNUMBER(MATCH("Transport sector adaptation target", _xlfn._xlws.FILTER(Targets!H:H, Targets!A:A =A192), 0)), "yes", "no")</f>
        <v>no</v>
      </c>
      <c r="O192" s="43" t="str">
        <f>IF(ISNA(MATCH(A192, Mitigation!A:A, 0)), "no", "yes")</f>
        <v>yes</v>
      </c>
      <c r="P192" s="43" t="str">
        <f>IF(ISNA(MATCH(A192, Adaptation!A:A, 0)), "no", "yes")</f>
        <v>no</v>
      </c>
      <c r="Q192" s="43" t="str">
        <f>IF(ISNA(MATCH(A192, Benefits!A:A, 0)), "no", "yes")</f>
        <v>no</v>
      </c>
      <c r="R192" s="43"/>
      <c r="S192" s="43"/>
      <c r="T192" s="43" t="s">
        <v>501</v>
      </c>
      <c r="U192" s="312" t="s">
        <v>705</v>
      </c>
      <c r="V192" s="233" t="str">
        <f>VLOOKUP(Table1[[#This Row],[Country Code]],Table29[],3,FALSE)</f>
        <v>Non-Annex I</v>
      </c>
      <c r="W192" s="233" t="str">
        <f>VLOOKUP(Table1[[#This Row],[Country Code]],Table29[],4,FALSE)</f>
        <v>Africa</v>
      </c>
      <c r="X192" s="233" t="str">
        <f>VLOOKUP(Table1[[#This Row],[Country Code]],Table29[],5,FALSE)</f>
        <v>Low-income</v>
      </c>
      <c r="Y192" s="43"/>
      <c r="Z192" s="43"/>
    </row>
    <row r="193" spans="1:26" ht="15" customHeight="1" x14ac:dyDescent="0.25">
      <c r="A193" s="360">
        <v>17557</v>
      </c>
      <c r="B193" s="176" t="s">
        <v>139</v>
      </c>
      <c r="C193" s="243" t="str">
        <f>VLOOKUP(Table1[[#This Row],[Country Code]],Table29[],2,FALSE)</f>
        <v>Colombia</v>
      </c>
      <c r="D193" s="243" t="str">
        <f t="shared" si="8"/>
        <v>Good</v>
      </c>
      <c r="E193" s="176" t="s">
        <v>71</v>
      </c>
      <c r="F193" s="43" t="s">
        <v>498</v>
      </c>
      <c r="G193" s="43" t="str">
        <f t="shared" si="9"/>
        <v>First NDC</v>
      </c>
      <c r="H193" s="43" t="s">
        <v>499</v>
      </c>
      <c r="I193" s="351">
        <v>43293</v>
      </c>
      <c r="J193" s="320" t="s">
        <v>500</v>
      </c>
      <c r="K193" s="320" t="str" cm="1">
        <f t="array" ref="K193">IF(ISNUMBER(MATCH("Transport sector mitigation target", _xlfn._xlws.FILTER(Targets!H:H, Targets!A:A =A193), 0)), "yes", "no")</f>
        <v>no</v>
      </c>
      <c r="L193" s="43" t="str">
        <f>IF(K193="no", "No transport target", IF(AND(COUNTIFS(Targets!A:A, A193, Targets!H:H, "Transport sector mitigation target", Targets!J:J, "GHG") &gt; 0, COUNTIFS(Targets!A:A, A193, Targets!H:H, "Transport sector mitigation target", Targets!J:J, "Non GHG") &gt; 0), "GHG and non-GHG target", IF(COUNTIFS(Targets!A:A, A193, Targets!H:H, "Transport sector mitigation target", Targets!J:J, "GHG") &gt; 0, "GHG target", IF(COUNTIFS(Targets!A:A, A193, Targets!H:H, "Transport sector mitigation target", Targets!J:J, "Non GHG") &gt; 0, "non-GHG target", ""))))</f>
        <v>No transport target</v>
      </c>
      <c r="M193" s="43" t="str">
        <f>IF(K193="no","No transport target",IF(L193="non-GHG target","No GHG transport target",IF(AND(COUNTIFS(Targets!A:A,A193,Targets!H:H,"Transport sector mitigation target",Targets!J:J,"GHG",Targets!L:L,"Conditional")&gt;0,COUNTIFS(Targets!A:A,A193,Targets!H:H,"Transport sector mitigation target",Targets!J:J,"GHG",Targets!L:L,"Unconditional")&gt;0),"GHG unconditional and conditional",IF(COUNTIFS(Targets!A:A,A193,Targets!H:H,"Transport sector mitigation target",Targets!J:J,"GHG",Targets!L:L,"Conditional")&gt;0,"GHG conditional only",IF(COUNTIFS(Targets!A:A,A193,Targets!H:H,"Transport sector mitigation target",Targets!J:J,"GHG",Targets!L:L,"Unconditional")&gt;0,"GHG unconditional only",IF(COUNTIFS(Targets!A:A,A193,Targets!H:H,"Transport sector mitigation target",Targets!J:J,"GHG",Targets!L:L,"Unclear conditionality")&gt;0,"Conditionality unclear",""))))))</f>
        <v>No transport target</v>
      </c>
      <c r="N193" s="43" t="str" cm="1">
        <f t="array" ref="N193">IF(ISNUMBER(MATCH("Transport sector adaptation target", _xlfn._xlws.FILTER(Targets!H:H, Targets!A:A =A193), 0)), "yes", "no")</f>
        <v>no</v>
      </c>
      <c r="O193" s="43" t="str">
        <f>IF(ISNA(MATCH(A193, Mitigation!A:A, 0)), "no", "yes")</f>
        <v>no</v>
      </c>
      <c r="P193" s="43" t="str">
        <f>IF(ISNA(MATCH(A193, Adaptation!A:A, 0)), "no", "yes")</f>
        <v>yes</v>
      </c>
      <c r="Q193" s="43" t="str">
        <f>IF(ISNA(MATCH(A193, Benefits!A:A, 0)), "no", "yes")</f>
        <v>no</v>
      </c>
      <c r="R193" s="43"/>
      <c r="S193" s="43"/>
      <c r="T193" s="43" t="s">
        <v>501</v>
      </c>
      <c r="U193" s="312" t="s">
        <v>706</v>
      </c>
      <c r="V193" s="233" t="str">
        <f>VLOOKUP(Table1[[#This Row],[Country Code]],Table29[],3,FALSE)</f>
        <v>Non-Annex I</v>
      </c>
      <c r="W193" s="233" t="str">
        <f>VLOOKUP(Table1[[#This Row],[Country Code]],Table29[],4,FALSE)</f>
        <v>Latin America and the Caribbean</v>
      </c>
      <c r="X193" s="233" t="str">
        <f>VLOOKUP(Table1[[#This Row],[Country Code]],Table29[],5,FALSE)</f>
        <v>Middle-income</v>
      </c>
      <c r="Y193" s="43"/>
      <c r="Z193" s="43"/>
    </row>
    <row r="194" spans="1:26" ht="15" customHeight="1" x14ac:dyDescent="0.25">
      <c r="A194" s="360">
        <v>41747</v>
      </c>
      <c r="B194" s="209" t="s">
        <v>74</v>
      </c>
      <c r="C194" s="243" t="str">
        <f>VLOOKUP(Table1[[#This Row],[Country Code]],Table29[],2,FALSE)</f>
        <v>Armenia</v>
      </c>
      <c r="D194" s="243" t="str">
        <f t="shared" si="8"/>
        <v>Good</v>
      </c>
      <c r="E194" s="176" t="s">
        <v>227</v>
      </c>
      <c r="F194" s="42" t="s">
        <v>227</v>
      </c>
      <c r="G194" s="43" t="str">
        <f t="shared" si="9"/>
        <v>LTS</v>
      </c>
      <c r="H194" s="42" t="s">
        <v>636</v>
      </c>
      <c r="I194" s="351">
        <v>45341</v>
      </c>
      <c r="J194" s="352" t="s">
        <v>505</v>
      </c>
      <c r="K194" s="320" t="str" cm="1">
        <f t="array" ref="K194">IF(ISNUMBER(MATCH("Transport sector mitigation target", _xlfn._xlws.FILTER(Targets!H:H, Targets!A:A =A194), 0)), "yes", "no")</f>
        <v>yes</v>
      </c>
      <c r="L194" s="42" t="str">
        <f>IF(K194="no", "No transport target", IF(AND(COUNTIFS(Targets!A:A, A194, Targets!H:H, "Transport sector mitigation target", Targets!J:J, "GHG") &gt; 0, COUNTIFS(Targets!A:A, A194, Targets!H:H, "Transport sector mitigation target", Targets!J:J, "Non GHG") &gt; 0), "GHG and non-GHG target", IF(COUNTIFS(Targets!A:A, A194, Targets!H:H, "Transport sector mitigation target", Targets!J:J, "GHG") &gt; 0, "GHG target", IF(COUNTIFS(Targets!A:A, A194, Targets!H:H, "Transport sector mitigation target", Targets!J:J, "Non GHG") &gt; 0, "non-GHG target", ""))))</f>
        <v>GHG and non-GHG target</v>
      </c>
      <c r="M194" s="42" t="str">
        <f>IF(K194="no","No transport target",IF(L194="non-GHG target","No GHG transport target",IF(AND(COUNTIFS(Targets!A:A,A194,Targets!H:H,"Transport sector mitigation target",Targets!J:J,"GHG",Targets!L:L,"Conditional")&gt;0,COUNTIFS(Targets!A:A,A194,Targets!H:H,"Transport sector mitigation target",Targets!J:J,"GHG",Targets!L:L,"Unconditional")&gt;0),"GHG unconditional and conditional",IF(COUNTIFS(Targets!A:A,A194,Targets!H:H,"Transport sector mitigation target",Targets!J:J,"GHG",Targets!L:L,"Conditional")&gt;0,"GHG conditional only",IF(COUNTIFS(Targets!A:A,A194,Targets!H:H,"Transport sector mitigation target",Targets!J:J,"GHG",Targets!L:L,"Unconditional")&gt;0,"GHG unconditional only",IF(COUNTIFS(Targets!A:A,A194,Targets!H:H,"Transport sector mitigation target",Targets!J:J,"GHG",Targets!L:L,"Unclear conditionality")&gt;0,"Conditionality unclear",""))))))</f>
        <v>GHG unconditional only</v>
      </c>
      <c r="N194" s="42" t="str" cm="1">
        <f t="array" ref="N194">IF(ISNUMBER(MATCH("Transport sector adaptation target", _xlfn._xlws.FILTER(Targets!H:H, Targets!A:A =A194), 0)), "yes", "no")</f>
        <v>no</v>
      </c>
      <c r="O194" s="42" t="str">
        <f>IF(ISNA(MATCH(A194, Mitigation!A:A, 0)), "no", "yes")</f>
        <v>yes</v>
      </c>
      <c r="P194" s="42" t="str">
        <f>IF(ISNA(MATCH(A194, Adaptation!A:A, 0)), "no", "yes")</f>
        <v>no</v>
      </c>
      <c r="Q194" s="42" t="str">
        <f>IF(ISNA(MATCH(A194, Benefits!A:A, 0)), "no", "yes")</f>
        <v>no</v>
      </c>
      <c r="R194" s="43"/>
      <c r="S194" s="43"/>
      <c r="T194" s="43" t="s">
        <v>501</v>
      </c>
      <c r="U194" s="356" t="s">
        <v>707</v>
      </c>
      <c r="V194" s="233" t="str">
        <f>VLOOKUP(Table1[[#This Row],[Country Code]],Table29[],3,FALSE)</f>
        <v>Non-Annex I</v>
      </c>
      <c r="W194" s="233" t="str">
        <f>VLOOKUP(Table1[[#This Row],[Country Code]],Table29[],4,FALSE)</f>
        <v>Asia</v>
      </c>
      <c r="X194" s="233" t="str">
        <f>VLOOKUP(Table1[[#This Row],[Country Code]],Table29[],5,FALSE)</f>
        <v>Middle-income</v>
      </c>
      <c r="Y194" s="43"/>
      <c r="Z194" s="43"/>
    </row>
    <row r="195" spans="1:26" ht="15" customHeight="1" x14ac:dyDescent="0.25">
      <c r="A195" s="360">
        <v>17643</v>
      </c>
      <c r="B195" s="176" t="s">
        <v>270</v>
      </c>
      <c r="C195" s="243" t="str">
        <f>VLOOKUP(Table1[[#This Row],[Country Code]],Table29[],2,FALSE)</f>
        <v>Liberia</v>
      </c>
      <c r="D195" s="243" t="str">
        <f t="shared" si="8"/>
        <v>Good</v>
      </c>
      <c r="E195" s="176" t="s">
        <v>71</v>
      </c>
      <c r="F195" s="43" t="s">
        <v>498</v>
      </c>
      <c r="G195" s="43" t="str">
        <f t="shared" si="9"/>
        <v>First NDC</v>
      </c>
      <c r="H195" s="43" t="s">
        <v>499</v>
      </c>
      <c r="I195" s="351">
        <v>43339</v>
      </c>
      <c r="J195" s="320" t="s">
        <v>500</v>
      </c>
      <c r="K195" s="320" t="str" cm="1">
        <f t="array" ref="K195">IF(ISNUMBER(MATCH("Transport sector mitigation target", _xlfn._xlws.FILTER(Targets!H:H, Targets!A:A =A195), 0)), "yes", "no")</f>
        <v>yes</v>
      </c>
      <c r="L195" s="43" t="str">
        <f>IF(K195="no", "No transport target", IF(AND(COUNTIFS(Targets!A:A, A195, Targets!H:H, "Transport sector mitigation target", Targets!J:J, "GHG") &gt; 0, COUNTIFS(Targets!A:A, A195, Targets!H:H, "Transport sector mitigation target", Targets!J:J, "Non GHG") &gt; 0), "GHG and non-GHG target", IF(COUNTIFS(Targets!A:A, A195, Targets!H:H, "Transport sector mitigation target", Targets!J:J, "GHG") &gt; 0, "GHG target", IF(COUNTIFS(Targets!A:A, A195, Targets!H:H, "Transport sector mitigation target", Targets!J:J, "Non GHG") &gt; 0, "non-GHG target", ""))))</f>
        <v>non-GHG target</v>
      </c>
      <c r="M195" s="43" t="str">
        <f>IF(K195="no","No transport target",IF(L195="non-GHG target","No GHG transport target",IF(AND(COUNTIFS(Targets!A:A,A195,Targets!H:H,"Transport sector mitigation target",Targets!J:J,"GHG",Targets!L:L,"Conditional")&gt;0,COUNTIFS(Targets!A:A,A195,Targets!H:H,"Transport sector mitigation target",Targets!J:J,"GHG",Targets!L:L,"Unconditional")&gt;0),"GHG unconditional and conditional",IF(COUNTIFS(Targets!A:A,A195,Targets!H:H,"Transport sector mitigation target",Targets!J:J,"GHG",Targets!L:L,"Conditional")&gt;0,"GHG conditional only",IF(COUNTIFS(Targets!A:A,A195,Targets!H:H,"Transport sector mitigation target",Targets!J:J,"GHG",Targets!L:L,"Unconditional")&gt;0,"GHG unconditional only",IF(COUNTIFS(Targets!A:A,A195,Targets!H:H,"Transport sector mitigation target",Targets!J:J,"GHG",Targets!L:L,"Unclear conditionality")&gt;0,"Conditionality unclear",""))))))</f>
        <v>No GHG transport target</v>
      </c>
      <c r="N195" s="43" t="str" cm="1">
        <f t="array" ref="N195">IF(ISNUMBER(MATCH("Transport sector adaptation target", _xlfn._xlws.FILTER(Targets!H:H, Targets!A:A =A195), 0)), "yes", "no")</f>
        <v>no</v>
      </c>
      <c r="O195" s="43" t="str">
        <f>IF(ISNA(MATCH(A195, Mitigation!A:A, 0)), "no", "yes")</f>
        <v>yes</v>
      </c>
      <c r="P195" s="43" t="str">
        <f>IF(ISNA(MATCH(A195, Adaptation!A:A, 0)), "no", "yes")</f>
        <v>yes</v>
      </c>
      <c r="Q195" s="43" t="str">
        <f>IF(ISNA(MATCH(A195, Benefits!A:A, 0)), "no", "yes")</f>
        <v>no</v>
      </c>
      <c r="R195" s="43"/>
      <c r="S195" s="43"/>
      <c r="T195" s="43" t="s">
        <v>501</v>
      </c>
      <c r="U195" s="312" t="s">
        <v>708</v>
      </c>
      <c r="V195" s="233" t="str">
        <f>VLOOKUP(Table1[[#This Row],[Country Code]],Table29[],3,FALSE)</f>
        <v>Non-Annex I</v>
      </c>
      <c r="W195" s="233" t="str">
        <f>VLOOKUP(Table1[[#This Row],[Country Code]],Table29[],4,FALSE)</f>
        <v>Africa</v>
      </c>
      <c r="X195" s="233" t="str">
        <f>VLOOKUP(Table1[[#This Row],[Country Code]],Table29[],5,FALSE)</f>
        <v>Low-income</v>
      </c>
      <c r="Y195" s="43"/>
      <c r="Z195" s="43"/>
    </row>
    <row r="196" spans="1:26" ht="15" customHeight="1" x14ac:dyDescent="0.25">
      <c r="A196" s="360">
        <v>17681</v>
      </c>
      <c r="B196" s="176" t="s">
        <v>325</v>
      </c>
      <c r="C196" s="243" t="str">
        <f>VLOOKUP(Table1[[#This Row],[Country Code]],Table29[],2,FALSE)</f>
        <v>Nicaragua</v>
      </c>
      <c r="D196" s="243" t="str">
        <f t="shared" si="8"/>
        <v>Good</v>
      </c>
      <c r="E196" s="176" t="s">
        <v>71</v>
      </c>
      <c r="F196" s="43" t="s">
        <v>498</v>
      </c>
      <c r="G196" s="43" t="str">
        <f t="shared" si="9"/>
        <v>First NDC</v>
      </c>
      <c r="H196" s="43" t="s">
        <v>499</v>
      </c>
      <c r="I196" s="351">
        <v>43346</v>
      </c>
      <c r="J196" s="320" t="s">
        <v>500</v>
      </c>
      <c r="K196" s="320" t="str" cm="1">
        <f t="array" ref="K196">IF(ISNUMBER(MATCH("Transport sector mitigation target", _xlfn._xlws.FILTER(Targets!H:H, Targets!A:A =A196), 0)), "yes", "no")</f>
        <v>no</v>
      </c>
      <c r="L196" s="43" t="str">
        <f>IF(K196="no", "No transport target", IF(AND(COUNTIFS(Targets!A:A, A196, Targets!H:H, "Transport sector mitigation target", Targets!J:J, "GHG") &gt; 0, COUNTIFS(Targets!A:A, A196, Targets!H:H, "Transport sector mitigation target", Targets!J:J, "Non GHG") &gt; 0), "GHG and non-GHG target", IF(COUNTIFS(Targets!A:A, A196, Targets!H:H, "Transport sector mitigation target", Targets!J:J, "GHG") &gt; 0, "GHG target", IF(COUNTIFS(Targets!A:A, A196, Targets!H:H, "Transport sector mitigation target", Targets!J:J, "Non GHG") &gt; 0, "non-GHG target", ""))))</f>
        <v>No transport target</v>
      </c>
      <c r="M196" s="43" t="str">
        <f>IF(K196="no","No transport target",IF(L196="non-GHG target","No GHG transport target",IF(AND(COUNTIFS(Targets!A:A,A196,Targets!H:H,"Transport sector mitigation target",Targets!J:J,"GHG",Targets!L:L,"Conditional")&gt;0,COUNTIFS(Targets!A:A,A196,Targets!H:H,"Transport sector mitigation target",Targets!J:J,"GHG",Targets!L:L,"Unconditional")&gt;0),"GHG unconditional and conditional",IF(COUNTIFS(Targets!A:A,A196,Targets!H:H,"Transport sector mitigation target",Targets!J:J,"GHG",Targets!L:L,"Conditional")&gt;0,"GHG conditional only",IF(COUNTIFS(Targets!A:A,A196,Targets!H:H,"Transport sector mitigation target",Targets!J:J,"GHG",Targets!L:L,"Unconditional")&gt;0,"GHG unconditional only",IF(COUNTIFS(Targets!A:A,A196,Targets!H:H,"Transport sector mitigation target",Targets!J:J,"GHG",Targets!L:L,"Unclear conditionality")&gt;0,"Conditionality unclear",""))))))</f>
        <v>No transport target</v>
      </c>
      <c r="N196" s="43" t="str" cm="1">
        <f t="array" ref="N196">IF(ISNUMBER(MATCH("Transport sector adaptation target", _xlfn._xlws.FILTER(Targets!H:H, Targets!A:A =A196), 0)), "yes", "no")</f>
        <v>no</v>
      </c>
      <c r="O196" s="43" t="str">
        <f>IF(ISNA(MATCH(A196, Mitigation!A:A, 0)), "no", "yes")</f>
        <v>yes</v>
      </c>
      <c r="P196" s="43" t="str">
        <f>IF(ISNA(MATCH(A196, Adaptation!A:A, 0)), "no", "yes")</f>
        <v>no</v>
      </c>
      <c r="Q196" s="43" t="str">
        <f>IF(ISNA(MATCH(A196, Benefits!A:A, 0)), "no", "yes")</f>
        <v>no</v>
      </c>
      <c r="R196" s="43"/>
      <c r="S196" s="43"/>
      <c r="T196" s="43" t="s">
        <v>501</v>
      </c>
      <c r="U196" s="312" t="s">
        <v>709</v>
      </c>
      <c r="V196" s="233" t="str">
        <f>VLOOKUP(Table1[[#This Row],[Country Code]],Table29[],3,FALSE)</f>
        <v>Non-Annex I</v>
      </c>
      <c r="W196" s="233" t="str">
        <f>VLOOKUP(Table1[[#This Row],[Country Code]],Table29[],4,FALSE)</f>
        <v>Latin America and the Caribbean</v>
      </c>
      <c r="X196" s="233" t="str">
        <f>VLOOKUP(Table1[[#This Row],[Country Code]],Table29[],5,FALSE)</f>
        <v>Middle-income</v>
      </c>
      <c r="Y196" s="43"/>
      <c r="Z196" s="43"/>
    </row>
    <row r="197" spans="1:26" ht="15" customHeight="1" x14ac:dyDescent="0.25">
      <c r="A197" s="405">
        <v>17723</v>
      </c>
      <c r="B197" s="20" t="s">
        <v>380</v>
      </c>
      <c r="C197" s="206" t="str">
        <f>VLOOKUP(Table1[[#This Row],[Country Code]],Table29[],2,FALSE)</f>
        <v>San Marino</v>
      </c>
      <c r="D197" s="243" t="str">
        <f t="shared" si="8"/>
        <v>Good</v>
      </c>
      <c r="E197" s="20" t="s">
        <v>71</v>
      </c>
      <c r="F197" s="17" t="s">
        <v>498</v>
      </c>
      <c r="G197" s="43" t="str">
        <f t="shared" si="9"/>
        <v>First NDC</v>
      </c>
      <c r="H197" s="17" t="s">
        <v>499</v>
      </c>
      <c r="I197" s="149">
        <v>43369</v>
      </c>
      <c r="J197" s="187" t="s">
        <v>505</v>
      </c>
      <c r="K197" s="49" t="str" cm="1">
        <f t="array" ref="K197">IF(ISNUMBER(MATCH("Transport sector mitigation target", _xlfn._xlws.FILTER(Targets!H:H, Targets!A:A =A197), 0)), "yes", "no")</f>
        <v>no</v>
      </c>
      <c r="L197" s="17" t="str">
        <f>IF(K197="no", "No transport target", IF(AND(COUNTIFS(Targets!A:A, A197, Targets!H:H, "Transport sector mitigation target", Targets!J:J, "GHG") &gt; 0, COUNTIFS(Targets!A:A, A197, Targets!H:H, "Transport sector mitigation target", Targets!J:J, "Non GHG") &gt; 0), "GHG and non-GHG target", IF(COUNTIFS(Targets!A:A, A197, Targets!H:H, "Transport sector mitigation target", Targets!J:J, "GHG") &gt; 0, "GHG target", IF(COUNTIFS(Targets!A:A, A197, Targets!H:H, "Transport sector mitigation target", Targets!J:J, "Non GHG") &gt; 0, "non-GHG target", ""))))</f>
        <v>No transport target</v>
      </c>
      <c r="M197" s="17" t="str">
        <f>IF(K197="no","No transport target",IF(L197="non-GHG target","No GHG transport target",IF(AND(COUNTIFS(Targets!A:A,A197,Targets!H:H,"Transport sector mitigation target",Targets!J:J,"GHG",Targets!L:L,"Conditional")&gt;0,COUNTIFS(Targets!A:A,A197,Targets!H:H,"Transport sector mitigation target",Targets!J:J,"GHG",Targets!L:L,"Unconditional")&gt;0),"GHG unconditional and conditional",IF(COUNTIFS(Targets!A:A,A197,Targets!H:H,"Transport sector mitigation target",Targets!J:J,"GHG",Targets!L:L,"Conditional")&gt;0,"GHG conditional only",IF(COUNTIFS(Targets!A:A,A197,Targets!H:H,"Transport sector mitigation target",Targets!J:J,"GHG",Targets!L:L,"Unconditional")&gt;0,"GHG unconditional only",IF(COUNTIFS(Targets!A:A,A197,Targets!H:H,"Transport sector mitigation target",Targets!J:J,"GHG",Targets!L:L,"Unclear conditionality")&gt;0,"Conditionality unclear",""))))))</f>
        <v>No transport target</v>
      </c>
      <c r="N197" s="17" t="str" cm="1">
        <f t="array" ref="N197">IF(ISNUMBER(MATCH("Transport sector adaptation target", _xlfn._xlws.FILTER(Targets!H:H, Targets!A:A =A197), 0)), "yes", "no")</f>
        <v>no</v>
      </c>
      <c r="O197" s="17" t="str">
        <f>IF(ISNA(MATCH(A197, Mitigation!A:A, 0)), "no", "yes")</f>
        <v>no</v>
      </c>
      <c r="P197" s="17" t="str">
        <f>IF(ISNA(MATCH(A197, Adaptation!A:A, 0)), "no", "yes")</f>
        <v>no</v>
      </c>
      <c r="Q197" s="17" t="str">
        <f>IF(ISNA(MATCH(A197, Benefits!A:A, 0)), "no", "yes")</f>
        <v>no</v>
      </c>
      <c r="R197" s="17"/>
      <c r="S197" s="17"/>
      <c r="T197" s="17" t="s">
        <v>501</v>
      </c>
      <c r="U197" s="135" t="s">
        <v>710</v>
      </c>
      <c r="V197" s="207" t="str">
        <f>VLOOKUP(Table1[[#This Row],[Country Code]],Table29[],3,FALSE)</f>
        <v>Non-Annex I</v>
      </c>
      <c r="W197" s="207" t="str">
        <f>VLOOKUP(Table1[[#This Row],[Country Code]],Table29[],4,FALSE)</f>
        <v>Europe</v>
      </c>
      <c r="X197" s="207" t="str">
        <f>VLOOKUP(Table1[[#This Row],[Country Code]],Table29[],5,FALSE)</f>
        <v>High-income</v>
      </c>
      <c r="Y197" s="17"/>
      <c r="Z197" s="17"/>
    </row>
    <row r="198" spans="1:26" ht="15" customHeight="1" x14ac:dyDescent="0.25">
      <c r="A198" s="360">
        <v>17610</v>
      </c>
      <c r="B198" s="176" t="s">
        <v>215</v>
      </c>
      <c r="C198" s="243" t="str">
        <f>VLOOKUP(Table1[[#This Row],[Country Code]],Table29[],2,FALSE)</f>
        <v>Guinea Bissau</v>
      </c>
      <c r="D198" s="243" t="str">
        <f t="shared" si="8"/>
        <v>Good</v>
      </c>
      <c r="E198" s="176" t="s">
        <v>71</v>
      </c>
      <c r="F198" s="43" t="s">
        <v>498</v>
      </c>
      <c r="G198" s="43" t="str">
        <f t="shared" si="9"/>
        <v>First NDC</v>
      </c>
      <c r="H198" s="43" t="s">
        <v>499</v>
      </c>
      <c r="I198" s="351">
        <v>43395</v>
      </c>
      <c r="J198" s="320" t="s">
        <v>500</v>
      </c>
      <c r="K198" s="320" t="str" cm="1">
        <f t="array" ref="K198">IF(ISNUMBER(MATCH("Transport sector mitigation target", _xlfn._xlws.FILTER(Targets!H:H, Targets!A:A =A198), 0)), "yes", "no")</f>
        <v>no</v>
      </c>
      <c r="L198" s="43" t="str">
        <f>IF(K198="no", "No transport target", IF(AND(COUNTIFS(Targets!A:A, A198, Targets!H:H, "Transport sector mitigation target", Targets!J:J, "GHG") &gt; 0, COUNTIFS(Targets!A:A, A198, Targets!H:H, "Transport sector mitigation target", Targets!J:J, "Non GHG") &gt; 0), "GHG and non-GHG target", IF(COUNTIFS(Targets!A:A, A198, Targets!H:H, "Transport sector mitigation target", Targets!J:J, "GHG") &gt; 0, "GHG target", IF(COUNTIFS(Targets!A:A, A198, Targets!H:H, "Transport sector mitigation target", Targets!J:J, "Non GHG") &gt; 0, "non-GHG target", ""))))</f>
        <v>No transport target</v>
      </c>
      <c r="M198" s="43" t="str">
        <f>IF(K198="no","No transport target",IF(L198="non-GHG target","No GHG transport target",IF(AND(COUNTIFS(Targets!A:A,A198,Targets!H:H,"Transport sector mitigation target",Targets!J:J,"GHG",Targets!L:L,"Conditional")&gt;0,COUNTIFS(Targets!A:A,A198,Targets!H:H,"Transport sector mitigation target",Targets!J:J,"GHG",Targets!L:L,"Unconditional")&gt;0),"GHG unconditional and conditional",IF(COUNTIFS(Targets!A:A,A198,Targets!H:H,"Transport sector mitigation target",Targets!J:J,"GHG",Targets!L:L,"Conditional")&gt;0,"GHG conditional only",IF(COUNTIFS(Targets!A:A,A198,Targets!H:H,"Transport sector mitigation target",Targets!J:J,"GHG",Targets!L:L,"Unconditional")&gt;0,"GHG unconditional only",IF(COUNTIFS(Targets!A:A,A198,Targets!H:H,"Transport sector mitigation target",Targets!J:J,"GHG",Targets!L:L,"Unclear conditionality")&gt;0,"Conditionality unclear",""))))))</f>
        <v>No transport target</v>
      </c>
      <c r="N198" s="43" t="str" cm="1">
        <f t="array" ref="N198">IF(ISNUMBER(MATCH("Transport sector adaptation target", _xlfn._xlws.FILTER(Targets!H:H, Targets!A:A =A198), 0)), "yes", "no")</f>
        <v>no</v>
      </c>
      <c r="O198" s="43" t="str">
        <f>IF(ISNA(MATCH(A198, Mitigation!A:A, 0)), "no", "yes")</f>
        <v>no</v>
      </c>
      <c r="P198" s="43" t="str">
        <f>IF(ISNA(MATCH(A198, Adaptation!A:A, 0)), "no", "yes")</f>
        <v>yes</v>
      </c>
      <c r="Q198" s="43" t="str">
        <f>IF(ISNA(MATCH(A198, Benefits!A:A, 0)), "no", "yes")</f>
        <v>no</v>
      </c>
      <c r="R198" s="43"/>
      <c r="S198" s="43"/>
      <c r="T198" s="43" t="s">
        <v>501</v>
      </c>
      <c r="U198" s="312" t="s">
        <v>711</v>
      </c>
      <c r="V198" s="233" t="str">
        <f>VLOOKUP(Table1[[#This Row],[Country Code]],Table29[],3,FALSE)</f>
        <v>Non-Annex I</v>
      </c>
      <c r="W198" s="233" t="str">
        <f>VLOOKUP(Table1[[#This Row],[Country Code]],Table29[],4,FALSE)</f>
        <v>Africa</v>
      </c>
      <c r="X198" s="233" t="str">
        <f>VLOOKUP(Table1[[#This Row],[Country Code]],Table29[],5,FALSE)</f>
        <v>Low-income</v>
      </c>
      <c r="Y198" s="43"/>
      <c r="Z198" s="43"/>
    </row>
    <row r="199" spans="1:26" ht="15" customHeight="1" x14ac:dyDescent="0.25">
      <c r="A199" s="360">
        <v>17584</v>
      </c>
      <c r="B199" s="176" t="s">
        <v>179</v>
      </c>
      <c r="C199" s="243" t="str">
        <f>VLOOKUP(Table1[[#This Row],[Country Code]],Table29[],2,FALSE)</f>
        <v>Equatorial Guinea</v>
      </c>
      <c r="D199" s="243" t="str">
        <f t="shared" si="8"/>
        <v>Good</v>
      </c>
      <c r="E199" s="176" t="s">
        <v>71</v>
      </c>
      <c r="F199" s="43" t="s">
        <v>498</v>
      </c>
      <c r="G199" s="43" t="str">
        <f t="shared" si="9"/>
        <v>First NDC</v>
      </c>
      <c r="H199" s="43" t="s">
        <v>499</v>
      </c>
      <c r="I199" s="351">
        <v>43403</v>
      </c>
      <c r="J199" s="320" t="s">
        <v>500</v>
      </c>
      <c r="K199" s="320" t="str" cm="1">
        <f t="array" ref="K199">IF(ISNUMBER(MATCH("Transport sector mitigation target", _xlfn._xlws.FILTER(Targets!H:H, Targets!A:A =A199), 0)), "yes", "no")</f>
        <v>no</v>
      </c>
      <c r="L199" s="43" t="str">
        <f>IF(K199="no", "No transport target", IF(AND(COUNTIFS(Targets!A:A, A199, Targets!H:H, "Transport sector mitigation target", Targets!J:J, "GHG") &gt; 0, COUNTIFS(Targets!A:A, A199, Targets!H:H, "Transport sector mitigation target", Targets!J:J, "Non GHG") &gt; 0), "GHG and non-GHG target", IF(COUNTIFS(Targets!A:A, A199, Targets!H:H, "Transport sector mitigation target", Targets!J:J, "GHG") &gt; 0, "GHG target", IF(COUNTIFS(Targets!A:A, A199, Targets!H:H, "Transport sector mitigation target", Targets!J:J, "Non GHG") &gt; 0, "non-GHG target", ""))))</f>
        <v>No transport target</v>
      </c>
      <c r="M199" s="43" t="str">
        <f>IF(K199="no","No transport target",IF(L199="non-GHG target","No GHG transport target",IF(AND(COUNTIFS(Targets!A:A,A199,Targets!H:H,"Transport sector mitigation target",Targets!J:J,"GHG",Targets!L:L,"Conditional")&gt;0,COUNTIFS(Targets!A:A,A199,Targets!H:H,"Transport sector mitigation target",Targets!J:J,"GHG",Targets!L:L,"Unconditional")&gt;0),"GHG unconditional and conditional",IF(COUNTIFS(Targets!A:A,A199,Targets!H:H,"Transport sector mitigation target",Targets!J:J,"GHG",Targets!L:L,"Conditional")&gt;0,"GHG conditional only",IF(COUNTIFS(Targets!A:A,A199,Targets!H:H,"Transport sector mitigation target",Targets!J:J,"GHG",Targets!L:L,"Unconditional")&gt;0,"GHG unconditional only",IF(COUNTIFS(Targets!A:A,A199,Targets!H:H,"Transport sector mitigation target",Targets!J:J,"GHG",Targets!L:L,"Unclear conditionality")&gt;0,"Conditionality unclear",""))))))</f>
        <v>No transport target</v>
      </c>
      <c r="N199" s="43" t="str" cm="1">
        <f t="array" ref="N199">IF(ISNUMBER(MATCH("Transport sector adaptation target", _xlfn._xlws.FILTER(Targets!H:H, Targets!A:A =A199), 0)), "yes", "no")</f>
        <v>no</v>
      </c>
      <c r="O199" s="43" t="str">
        <f>IF(ISNA(MATCH(A199, Mitigation!A:A, 0)), "no", "yes")</f>
        <v>yes</v>
      </c>
      <c r="P199" s="43" t="str">
        <f>IF(ISNA(MATCH(A199, Adaptation!A:A, 0)), "no", "yes")</f>
        <v>no</v>
      </c>
      <c r="Q199" s="43" t="str">
        <f>IF(ISNA(MATCH(A199, Benefits!A:A, 0)), "no", "yes")</f>
        <v>no</v>
      </c>
      <c r="R199" s="43"/>
      <c r="S199" s="43"/>
      <c r="T199" s="43" t="s">
        <v>501</v>
      </c>
      <c r="U199" s="312" t="s">
        <v>712</v>
      </c>
      <c r="V199" s="233" t="str">
        <f>VLOOKUP(Table1[[#This Row],[Country Code]],Table29[],3,FALSE)</f>
        <v>Non-Annex I</v>
      </c>
      <c r="W199" s="233" t="str">
        <f>VLOOKUP(Table1[[#This Row],[Country Code]],Table29[],4,FALSE)</f>
        <v>Africa</v>
      </c>
      <c r="X199" s="233" t="str">
        <f>VLOOKUP(Table1[[#This Row],[Country Code]],Table29[],5,FALSE)</f>
        <v>Middle-income</v>
      </c>
      <c r="Y199" s="43"/>
      <c r="Z199" s="43"/>
    </row>
    <row r="200" spans="1:26" ht="15" customHeight="1" x14ac:dyDescent="0.25">
      <c r="A200" s="405">
        <v>17781</v>
      </c>
      <c r="B200" s="20" t="s">
        <v>456</v>
      </c>
      <c r="C200" s="206" t="str">
        <f>VLOOKUP(Table1[[#This Row],[Country Code]],Table29[],2,FALSE)</f>
        <v>Uzbekistan</v>
      </c>
      <c r="D200" s="243" t="str">
        <f t="shared" si="8"/>
        <v>Good</v>
      </c>
      <c r="E200" s="20" t="s">
        <v>71</v>
      </c>
      <c r="F200" s="17" t="s">
        <v>498</v>
      </c>
      <c r="G200" s="43" t="str">
        <f t="shared" si="9"/>
        <v>First NDC</v>
      </c>
      <c r="H200" s="17" t="s">
        <v>499</v>
      </c>
      <c r="I200" s="149">
        <v>43413</v>
      </c>
      <c r="J200" s="49" t="s">
        <v>500</v>
      </c>
      <c r="K200" s="49" t="str" cm="1">
        <f t="array" ref="K200">IF(ISNUMBER(MATCH("Transport sector mitigation target", _xlfn._xlws.FILTER(Targets!H:H, Targets!A:A =A200), 0)), "yes", "no")</f>
        <v>no</v>
      </c>
      <c r="L200" s="17" t="str">
        <f>IF(K200="no", "No transport target", IF(AND(COUNTIFS(Targets!A:A, A200, Targets!H:H, "Transport sector mitigation target", Targets!J:J, "GHG") &gt; 0, COUNTIFS(Targets!A:A, A200, Targets!H:H, "Transport sector mitigation target", Targets!J:J, "Non GHG") &gt; 0), "GHG and non-GHG target", IF(COUNTIFS(Targets!A:A, A200, Targets!H:H, "Transport sector mitigation target", Targets!J:J, "GHG") &gt; 0, "GHG target", IF(COUNTIFS(Targets!A:A, A200, Targets!H:H, "Transport sector mitigation target", Targets!J:J, "Non GHG") &gt; 0, "non-GHG target", ""))))</f>
        <v>No transport target</v>
      </c>
      <c r="M200" s="17" t="str">
        <f>IF(K200="no","No transport target",IF(L200="non-GHG target","No GHG transport target",IF(AND(COUNTIFS(Targets!A:A,A200,Targets!H:H,"Transport sector mitigation target",Targets!J:J,"GHG",Targets!L:L,"Conditional")&gt;0,COUNTIFS(Targets!A:A,A200,Targets!H:H,"Transport sector mitigation target",Targets!J:J,"GHG",Targets!L:L,"Unconditional")&gt;0),"GHG unconditional and conditional",IF(COUNTIFS(Targets!A:A,A200,Targets!H:H,"Transport sector mitigation target",Targets!J:J,"GHG",Targets!L:L,"Conditional")&gt;0,"GHG conditional only",IF(COUNTIFS(Targets!A:A,A200,Targets!H:H,"Transport sector mitigation target",Targets!J:J,"GHG",Targets!L:L,"Unconditional")&gt;0,"GHG unconditional only",IF(COUNTIFS(Targets!A:A,A200,Targets!H:H,"Transport sector mitigation target",Targets!J:J,"GHG",Targets!L:L,"Unclear conditionality")&gt;0,"Conditionality unclear",""))))))</f>
        <v>No transport target</v>
      </c>
      <c r="N200" s="17" t="str" cm="1">
        <f t="array" ref="N200">IF(ISNUMBER(MATCH("Transport sector adaptation target", _xlfn._xlws.FILTER(Targets!H:H, Targets!A:A =A200), 0)), "yes", "no")</f>
        <v>no</v>
      </c>
      <c r="O200" s="17" t="str">
        <f>IF(ISNA(MATCH(A200, Mitigation!A:A, 0)), "no", "yes")</f>
        <v>yes</v>
      </c>
      <c r="P200" s="17" t="str">
        <f>IF(ISNA(MATCH(A200, Adaptation!A:A, 0)), "no", "yes")</f>
        <v>no</v>
      </c>
      <c r="Q200" s="17" t="str">
        <f>IF(ISNA(MATCH(A200, Benefits!A:A, 0)), "no", "yes")</f>
        <v>no</v>
      </c>
      <c r="R200" s="17"/>
      <c r="S200" s="17"/>
      <c r="T200" s="17" t="s">
        <v>501</v>
      </c>
      <c r="U200" s="135" t="s">
        <v>713</v>
      </c>
      <c r="V200" s="207" t="str">
        <f>VLOOKUP(Table1[[#This Row],[Country Code]],Table29[],3,FALSE)</f>
        <v>Non-Annex I</v>
      </c>
      <c r="W200" s="207" t="str">
        <f>VLOOKUP(Table1[[#This Row],[Country Code]],Table29[],4,FALSE)</f>
        <v>Asia</v>
      </c>
      <c r="X200" s="207" t="str">
        <f>VLOOKUP(Table1[[#This Row],[Country Code]],Table29[],5,FALSE)</f>
        <v>Middle-income</v>
      </c>
      <c r="Y200" s="17"/>
      <c r="Z200" s="17"/>
    </row>
    <row r="201" spans="1:26" ht="15" customHeight="1" x14ac:dyDescent="0.25">
      <c r="A201" s="360">
        <v>17656</v>
      </c>
      <c r="B201" s="43" t="s">
        <v>292</v>
      </c>
      <c r="C201" s="243" t="str">
        <f>VLOOKUP(Table1[[#This Row],[Country Code]],Table29[],2,FALSE)</f>
        <v>Marshall Islands</v>
      </c>
      <c r="D201" s="243" t="str">
        <f t="shared" si="8"/>
        <v>Good</v>
      </c>
      <c r="E201" s="176" t="s">
        <v>71</v>
      </c>
      <c r="F201" s="43" t="s">
        <v>555</v>
      </c>
      <c r="G201" s="43" t="str">
        <f t="shared" si="9"/>
        <v>Second NDC</v>
      </c>
      <c r="H201" s="43" t="s">
        <v>714</v>
      </c>
      <c r="I201" s="351">
        <v>43426</v>
      </c>
      <c r="J201" s="352" t="s">
        <v>500</v>
      </c>
      <c r="K201" s="320" t="str" cm="1">
        <f t="array" ref="K201">IF(ISNUMBER(MATCH("Transport sector mitigation target", _xlfn._xlws.FILTER(Targets!H:H, Targets!A:A =A201), 0)), "yes", "no")</f>
        <v>yes</v>
      </c>
      <c r="L201" s="43" t="str">
        <f>IF(K201="no", "No transport target", IF(AND(COUNTIFS(Targets!A:A, A201, Targets!H:H, "Transport sector mitigation target", Targets!J:J, "GHG") &gt; 0, COUNTIFS(Targets!A:A, A201, Targets!H:H, "Transport sector mitigation target", Targets!J:J, "Non GHG") &gt; 0), "GHG and non-GHG target", IF(COUNTIFS(Targets!A:A, A201, Targets!H:H, "Transport sector mitigation target", Targets!J:J, "GHG") &gt; 0, "GHG target", IF(COUNTIFS(Targets!A:A, A201, Targets!H:H, "Transport sector mitigation target", Targets!J:J, "Non GHG") &gt; 0, "non-GHG target", ""))))</f>
        <v>non-GHG target</v>
      </c>
      <c r="M201" s="43" t="str">
        <f>IF(K201="no","No transport target",IF(L201="non-GHG target","No GHG transport target",IF(AND(COUNTIFS(Targets!A:A,A201,Targets!H:H,"Transport sector mitigation target",Targets!J:J,"GHG",Targets!L:L,"Conditional")&gt;0,COUNTIFS(Targets!A:A,A201,Targets!H:H,"Transport sector mitigation target",Targets!J:J,"GHG",Targets!L:L,"Unconditional")&gt;0),"GHG unconditional and conditional",IF(COUNTIFS(Targets!A:A,A201,Targets!H:H,"Transport sector mitigation target",Targets!J:J,"GHG",Targets!L:L,"Conditional")&gt;0,"GHG conditional only",IF(COUNTIFS(Targets!A:A,A201,Targets!H:H,"Transport sector mitigation target",Targets!J:J,"GHG",Targets!L:L,"Unconditional")&gt;0,"GHG unconditional only",IF(COUNTIFS(Targets!A:A,A201,Targets!H:H,"Transport sector mitigation target",Targets!J:J,"GHG",Targets!L:L,"Unclear conditionality")&gt;0,"Conditionality unclear",""))))))</f>
        <v>No GHG transport target</v>
      </c>
      <c r="N201" s="43" t="str" cm="1">
        <f t="array" ref="N201">IF(ISNUMBER(MATCH("Transport sector adaptation target", _xlfn._xlws.FILTER(Targets!H:H, Targets!A:A =A201), 0)), "yes", "no")</f>
        <v>no</v>
      </c>
      <c r="O201" s="43" t="str">
        <f>IF(ISNA(MATCH(A201, Mitigation!A:A, 0)), "no", "yes")</f>
        <v>yes</v>
      </c>
      <c r="P201" s="43" t="str">
        <f>IF(ISNA(MATCH(A201, Adaptation!A:A, 0)), "no", "yes")</f>
        <v>no</v>
      </c>
      <c r="Q201" s="43" t="str">
        <f>IF(ISNA(MATCH(A201, Benefits!A:A, 0)), "no", "yes")</f>
        <v>no</v>
      </c>
      <c r="R201" s="43"/>
      <c r="S201" s="43"/>
      <c r="T201" s="43" t="s">
        <v>501</v>
      </c>
      <c r="U201" s="312" t="s">
        <v>715</v>
      </c>
      <c r="V201" s="233" t="str">
        <f>VLOOKUP(Table1[[#This Row],[Country Code]],Table29[],3,FALSE)</f>
        <v>Non-Annex I</v>
      </c>
      <c r="W201" s="233" t="str">
        <f>VLOOKUP(Table1[[#This Row],[Country Code]],Table29[],4,FALSE)</f>
        <v>Oceania</v>
      </c>
      <c r="X201" s="233" t="str">
        <f>VLOOKUP(Table1[[#This Row],[Country Code]],Table29[],5,FALSE)</f>
        <v>Middle-income</v>
      </c>
      <c r="Y201" s="43"/>
      <c r="Z201" s="43"/>
    </row>
    <row r="202" spans="1:26" ht="15" customHeight="1" x14ac:dyDescent="0.25">
      <c r="A202" s="360" t="s">
        <v>716</v>
      </c>
      <c r="B202" s="42" t="s">
        <v>115</v>
      </c>
      <c r="C202" s="243" t="str">
        <f>VLOOKUP(Table1[[#This Row],[Country Code]],Table29[],2,FALSE)</f>
        <v>Bulgaria</v>
      </c>
      <c r="D202" s="243" t="str">
        <f t="shared" si="8"/>
        <v>Good</v>
      </c>
      <c r="E202" s="176" t="s">
        <v>227</v>
      </c>
      <c r="F202" s="43" t="s">
        <v>717</v>
      </c>
      <c r="G202" s="43" t="str">
        <f t="shared" si="9"/>
        <v>EU-LTS</v>
      </c>
      <c r="H202" s="350" t="s">
        <v>636</v>
      </c>
      <c r="I202" s="351">
        <v>43432</v>
      </c>
      <c r="J202" s="320" t="s">
        <v>583</v>
      </c>
      <c r="K202" s="320" t="str" cm="1">
        <f t="array" ref="K202">IF(ISNUMBER(MATCH("Transport sector mitigation target", _xlfn._xlws.FILTER(Targets!H:H, Targets!A:A =A202), 0)), "yes", "no")</f>
        <v>no</v>
      </c>
      <c r="L202" s="43" t="str">
        <f>IF(K202="no", "No transport target", IF(AND(COUNTIFS(Targets!A:A, A202, Targets!H:H, "Transport sector mitigation target", Targets!J:J, "GHG") &gt; 0, COUNTIFS(Targets!A:A, A202, Targets!H:H, "Transport sector mitigation target", Targets!J:J, "Non GHG") &gt; 0), "GHG and non-GHG target", IF(COUNTIFS(Targets!A:A, A202, Targets!H:H, "Transport sector mitigation target", Targets!J:J, "GHG") &gt; 0, "GHG target", IF(COUNTIFS(Targets!A:A, A202, Targets!H:H, "Transport sector mitigation target", Targets!J:J, "Non GHG") &gt; 0, "non-GHG target", ""))))</f>
        <v>No transport target</v>
      </c>
      <c r="M202" s="43" t="str">
        <f>IF(K202="no","No transport target",IF(L202="non-GHG target","No GHG transport target",IF(AND(COUNTIFS(Targets!A:A,A202,Targets!H:H,"Transport sector mitigation target",Targets!J:J,"GHG",Targets!L:L,"Conditional")&gt;0,COUNTIFS(Targets!A:A,A202,Targets!H:H,"Transport sector mitigation target",Targets!J:J,"GHG",Targets!L:L,"Unconditional")&gt;0),"GHG unconditional and conditional",IF(COUNTIFS(Targets!A:A,A202,Targets!H:H,"Transport sector mitigation target",Targets!J:J,"GHG",Targets!L:L,"Conditional")&gt;0,"GHG conditional only",IF(COUNTIFS(Targets!A:A,A202,Targets!H:H,"Transport sector mitigation target",Targets!J:J,"GHG",Targets!L:L,"Unconditional")&gt;0,"GHG unconditional only",IF(COUNTIFS(Targets!A:A,A202,Targets!H:H,"Transport sector mitigation target",Targets!J:J,"GHG",Targets!L:L,"Unclear conditionality")&gt;0,"Conditionality unclear",""))))))</f>
        <v>No transport target</v>
      </c>
      <c r="N202" s="43" t="str" cm="1">
        <f t="array" ref="N202">IF(ISNUMBER(MATCH("Transport sector adaptation target", _xlfn._xlws.FILTER(Targets!H:H, Targets!A:A =A202), 0)), "yes", "no")</f>
        <v>no</v>
      </c>
      <c r="O202" s="43" t="str">
        <f>IF(ISNA(MATCH(A202, Mitigation!A:A, 0)), "no", "yes")</f>
        <v>no</v>
      </c>
      <c r="P202" s="43" t="str">
        <f>IF(ISNA(MATCH(A202, Adaptation!A:A, 0)), "no", "yes")</f>
        <v>no</v>
      </c>
      <c r="Q202" s="43" t="str">
        <f>IF(ISNA(MATCH(A202, Benefits!A:A, 0)), "no", "yes")</f>
        <v>no</v>
      </c>
      <c r="R202" s="43"/>
      <c r="S202" s="43"/>
      <c r="T202" s="320" t="s">
        <v>583</v>
      </c>
      <c r="U202" s="312" t="s">
        <v>718</v>
      </c>
      <c r="V202" s="233" t="str">
        <f>VLOOKUP(Table1[[#This Row],[Country Code]],Table29[],3,FALSE)</f>
        <v>Annex I</v>
      </c>
      <c r="W202" s="233" t="str">
        <f>VLOOKUP(Table1[[#This Row],[Country Code]],Table29[],4,FALSE)</f>
        <v>Europe</v>
      </c>
      <c r="X202" s="233" t="str">
        <f>VLOOKUP(Table1[[#This Row],[Country Code]],Table29[],5,FALSE)</f>
        <v>Middle-income</v>
      </c>
      <c r="Y202" s="43" t="s">
        <v>719</v>
      </c>
      <c r="Z202" s="43"/>
    </row>
    <row r="203" spans="1:26" ht="15" customHeight="1" x14ac:dyDescent="0.25">
      <c r="A203" s="360" t="s">
        <v>720</v>
      </c>
      <c r="B203" s="42" t="s">
        <v>152</v>
      </c>
      <c r="C203" s="243" t="str">
        <f>VLOOKUP(Table1[[#This Row],[Country Code]],Table29[],2,FALSE)</f>
        <v>Croatia</v>
      </c>
      <c r="D203" s="243" t="str">
        <f t="shared" si="8"/>
        <v>Good</v>
      </c>
      <c r="E203" s="176" t="s">
        <v>227</v>
      </c>
      <c r="F203" s="43" t="s">
        <v>717</v>
      </c>
      <c r="G203" s="43" t="str">
        <f t="shared" si="9"/>
        <v>EU-LTS</v>
      </c>
      <c r="H203" s="350" t="s">
        <v>636</v>
      </c>
      <c r="I203" s="351">
        <v>43432</v>
      </c>
      <c r="J203" s="320" t="s">
        <v>583</v>
      </c>
      <c r="K203" s="320" t="str" cm="1">
        <f t="array" ref="K203">IF(ISNUMBER(MATCH("Transport sector mitigation target", _xlfn._xlws.FILTER(Targets!H:H, Targets!A:A =A203), 0)), "yes", "no")</f>
        <v>no</v>
      </c>
      <c r="L203" s="43" t="str">
        <f>IF(K203="no", "No transport target", IF(AND(COUNTIFS(Targets!A:A, A203, Targets!H:H, "Transport sector mitigation target", Targets!J:J, "GHG") &gt; 0, COUNTIFS(Targets!A:A, A203, Targets!H:H, "Transport sector mitigation target", Targets!J:J, "Non GHG") &gt; 0), "GHG and non-GHG target", IF(COUNTIFS(Targets!A:A, A203, Targets!H:H, "Transport sector mitigation target", Targets!J:J, "GHG") &gt; 0, "GHG target", IF(COUNTIFS(Targets!A:A, A203, Targets!H:H, "Transport sector mitigation target", Targets!J:J, "Non GHG") &gt; 0, "non-GHG target", ""))))</f>
        <v>No transport target</v>
      </c>
      <c r="M203" s="43" t="str">
        <f>IF(K203="no","No transport target",IF(L203="non-GHG target","No GHG transport target",IF(AND(COUNTIFS(Targets!A:A,A203,Targets!H:H,"Transport sector mitigation target",Targets!J:J,"GHG",Targets!L:L,"Conditional")&gt;0,COUNTIFS(Targets!A:A,A203,Targets!H:H,"Transport sector mitigation target",Targets!J:J,"GHG",Targets!L:L,"Unconditional")&gt;0),"GHG unconditional and conditional",IF(COUNTIFS(Targets!A:A,A203,Targets!H:H,"Transport sector mitigation target",Targets!J:J,"GHG",Targets!L:L,"Conditional")&gt;0,"GHG conditional only",IF(COUNTIFS(Targets!A:A,A203,Targets!H:H,"Transport sector mitigation target",Targets!J:J,"GHG",Targets!L:L,"Unconditional")&gt;0,"GHG unconditional only",IF(COUNTIFS(Targets!A:A,A203,Targets!H:H,"Transport sector mitigation target",Targets!J:J,"GHG",Targets!L:L,"Unclear conditionality")&gt;0,"Conditionality unclear",""))))))</f>
        <v>No transport target</v>
      </c>
      <c r="N203" s="43" t="str" cm="1">
        <f t="array" ref="N203">IF(ISNUMBER(MATCH("Transport sector adaptation target", _xlfn._xlws.FILTER(Targets!H:H, Targets!A:A =A203), 0)), "yes", "no")</f>
        <v>no</v>
      </c>
      <c r="O203" s="43" t="str">
        <f>IF(ISNA(MATCH(A203, Mitigation!A:A, 0)), "no", "yes")</f>
        <v>no</v>
      </c>
      <c r="P203" s="43" t="str">
        <f>IF(ISNA(MATCH(A203, Adaptation!A:A, 0)), "no", "yes")</f>
        <v>no</v>
      </c>
      <c r="Q203" s="43" t="str">
        <f>IF(ISNA(MATCH(A203, Benefits!A:A, 0)), "no", "yes")</f>
        <v>no</v>
      </c>
      <c r="R203" s="43"/>
      <c r="S203" s="43"/>
      <c r="T203" s="320" t="s">
        <v>583</v>
      </c>
      <c r="U203" s="312" t="s">
        <v>718</v>
      </c>
      <c r="V203" s="233" t="str">
        <f>VLOOKUP(Table1[[#This Row],[Country Code]],Table29[],3,FALSE)</f>
        <v>Annex I</v>
      </c>
      <c r="W203" s="233" t="str">
        <f>VLOOKUP(Table1[[#This Row],[Country Code]],Table29[],4,FALSE)</f>
        <v>Europe</v>
      </c>
      <c r="X203" s="233" t="str">
        <f>VLOOKUP(Table1[[#This Row],[Country Code]],Table29[],5,FALSE)</f>
        <v>High-income</v>
      </c>
      <c r="Y203" s="43" t="s">
        <v>719</v>
      </c>
      <c r="Z203" s="43"/>
    </row>
    <row r="204" spans="1:26" ht="15" customHeight="1" x14ac:dyDescent="0.25">
      <c r="A204" s="360" t="s">
        <v>721</v>
      </c>
      <c r="B204" s="176" t="s">
        <v>183</v>
      </c>
      <c r="C204" s="243" t="str">
        <f>VLOOKUP(Table1[[#This Row],[Country Code]],Table29[],2,FALSE)</f>
        <v>Estonia</v>
      </c>
      <c r="D204" s="243" t="str">
        <f t="shared" si="8"/>
        <v>Good</v>
      </c>
      <c r="E204" s="176" t="s">
        <v>227</v>
      </c>
      <c r="F204" s="43" t="s">
        <v>717</v>
      </c>
      <c r="G204" s="43" t="str">
        <f t="shared" si="9"/>
        <v>EU-LTS</v>
      </c>
      <c r="H204" s="350" t="s">
        <v>636</v>
      </c>
      <c r="I204" s="351">
        <v>43432</v>
      </c>
      <c r="J204" s="320" t="s">
        <v>583</v>
      </c>
      <c r="K204" s="320" t="str" cm="1">
        <f t="array" ref="K204">IF(ISNUMBER(MATCH("Transport sector mitigation target", _xlfn._xlws.FILTER(Targets!H:H, Targets!A:A =A204), 0)), "yes", "no")</f>
        <v>no</v>
      </c>
      <c r="L204" s="43" t="str">
        <f>IF(K204="no", "No transport target", IF(AND(COUNTIFS(Targets!A:A, A204, Targets!H:H, "Transport sector mitigation target", Targets!J:J, "GHG") &gt; 0, COUNTIFS(Targets!A:A, A204, Targets!H:H, "Transport sector mitigation target", Targets!J:J, "Non GHG") &gt; 0), "GHG and non-GHG target", IF(COUNTIFS(Targets!A:A, A204, Targets!H:H, "Transport sector mitigation target", Targets!J:J, "GHG") &gt; 0, "GHG target", IF(COUNTIFS(Targets!A:A, A204, Targets!H:H, "Transport sector mitigation target", Targets!J:J, "Non GHG") &gt; 0, "non-GHG target", ""))))</f>
        <v>No transport target</v>
      </c>
      <c r="M204" s="43" t="str">
        <f>IF(K204="no","No transport target",IF(L204="non-GHG target","No GHG transport target",IF(AND(COUNTIFS(Targets!A:A,A204,Targets!H:H,"Transport sector mitigation target",Targets!J:J,"GHG",Targets!L:L,"Conditional")&gt;0,COUNTIFS(Targets!A:A,A204,Targets!H:H,"Transport sector mitigation target",Targets!J:J,"GHG",Targets!L:L,"Unconditional")&gt;0),"GHG unconditional and conditional",IF(COUNTIFS(Targets!A:A,A204,Targets!H:H,"Transport sector mitigation target",Targets!J:J,"GHG",Targets!L:L,"Conditional")&gt;0,"GHG conditional only",IF(COUNTIFS(Targets!A:A,A204,Targets!H:H,"Transport sector mitigation target",Targets!J:J,"GHG",Targets!L:L,"Unconditional")&gt;0,"GHG unconditional only",IF(COUNTIFS(Targets!A:A,A204,Targets!H:H,"Transport sector mitigation target",Targets!J:J,"GHG",Targets!L:L,"Unclear conditionality")&gt;0,"Conditionality unclear",""))))))</f>
        <v>No transport target</v>
      </c>
      <c r="N204" s="43" t="str" cm="1">
        <f t="array" ref="N204">IF(ISNUMBER(MATCH("Transport sector adaptation target", _xlfn._xlws.FILTER(Targets!H:H, Targets!A:A =A204), 0)), "yes", "no")</f>
        <v>no</v>
      </c>
      <c r="O204" s="43" t="str">
        <f>IF(ISNA(MATCH(A204, Mitigation!A:A, 0)), "no", "yes")</f>
        <v>no</v>
      </c>
      <c r="P204" s="43" t="str">
        <f>IF(ISNA(MATCH(A204, Adaptation!A:A, 0)), "no", "yes")</f>
        <v>no</v>
      </c>
      <c r="Q204" s="43" t="str">
        <f>IF(ISNA(MATCH(A204, Benefits!A:A, 0)), "no", "yes")</f>
        <v>no</v>
      </c>
      <c r="R204" s="43"/>
      <c r="S204" s="43"/>
      <c r="T204" s="320" t="s">
        <v>583</v>
      </c>
      <c r="U204" s="312" t="s">
        <v>718</v>
      </c>
      <c r="V204" s="233" t="str">
        <f>VLOOKUP(Table1[[#This Row],[Country Code]],Table29[],3,FALSE)</f>
        <v>Annex I</v>
      </c>
      <c r="W204" s="233" t="str">
        <f>VLOOKUP(Table1[[#This Row],[Country Code]],Table29[],4,FALSE)</f>
        <v>Europe</v>
      </c>
      <c r="X204" s="233" t="str">
        <f>VLOOKUP(Table1[[#This Row],[Country Code]],Table29[],5,FALSE)</f>
        <v>High-income</v>
      </c>
      <c r="Y204" s="43" t="s">
        <v>719</v>
      </c>
      <c r="Z204" s="43"/>
    </row>
    <row r="205" spans="1:26" ht="15" customHeight="1" x14ac:dyDescent="0.25">
      <c r="A205" s="360">
        <v>41745</v>
      </c>
      <c r="B205" s="42" t="s">
        <v>76</v>
      </c>
      <c r="C205" s="243" t="str">
        <f>VLOOKUP(Table1[[#This Row],[Country Code]],Table29[],2,FALSE)</f>
        <v>Australia</v>
      </c>
      <c r="D205" s="243" t="str">
        <f t="shared" si="8"/>
        <v>Good</v>
      </c>
      <c r="E205" s="176" t="s">
        <v>227</v>
      </c>
      <c r="F205" s="42" t="s">
        <v>227</v>
      </c>
      <c r="G205" s="43" t="str">
        <f t="shared" si="9"/>
        <v>LTS</v>
      </c>
      <c r="H205" s="42" t="s">
        <v>722</v>
      </c>
      <c r="I205" s="351">
        <v>45337</v>
      </c>
      <c r="J205" s="352" t="s">
        <v>505</v>
      </c>
      <c r="K205" s="320" t="str" cm="1">
        <f t="array" ref="K205">IF(ISNUMBER(MATCH("Transport sector mitigation target", _xlfn._xlws.FILTER(Targets!H:H, Targets!A:A =A205), 0)), "yes", "no")</f>
        <v>yes</v>
      </c>
      <c r="L205" s="42" t="str">
        <f>IF(K205="no", "No transport target", IF(AND(COUNTIFS(Targets!A:A, A205, Targets!H:H, "Transport sector mitigation target", Targets!J:J, "GHG") &gt; 0, COUNTIFS(Targets!A:A, A205, Targets!H:H, "Transport sector mitigation target", Targets!J:J, "Non GHG") &gt; 0), "GHG and non-GHG target", IF(COUNTIFS(Targets!A:A, A205, Targets!H:H, "Transport sector mitigation target", Targets!J:J, "GHG") &gt; 0, "GHG target", IF(COUNTIFS(Targets!A:A, A205, Targets!H:H, "Transport sector mitigation target", Targets!J:J, "Non GHG") &gt; 0, "non-GHG target", ""))))</f>
        <v>GHG target</v>
      </c>
      <c r="M205" s="42" t="str">
        <f>IF(K205="no","No transport target",IF(L205="non-GHG target","No GHG transport target",IF(AND(COUNTIFS(Targets!A:A,A205,Targets!H:H,"Transport sector mitigation target",Targets!J:J,"GHG",Targets!L:L,"Conditional")&gt;0,COUNTIFS(Targets!A:A,A205,Targets!H:H,"Transport sector mitigation target",Targets!J:J,"GHG",Targets!L:L,"Unconditional")&gt;0),"GHG unconditional and conditional",IF(COUNTIFS(Targets!A:A,A205,Targets!H:H,"Transport sector mitigation target",Targets!J:J,"GHG",Targets!L:L,"Conditional")&gt;0,"GHG conditional only",IF(COUNTIFS(Targets!A:A,A205,Targets!H:H,"Transport sector mitigation target",Targets!J:J,"GHG",Targets!L:L,"Unconditional")&gt;0,"GHG unconditional only",IF(COUNTIFS(Targets!A:A,A205,Targets!H:H,"Transport sector mitigation target",Targets!J:J,"GHG",Targets!L:L,"Unclear conditionality")&gt;0,"Conditionality unclear",""))))))</f>
        <v>GHG unconditional only</v>
      </c>
      <c r="N205" s="42" t="str" cm="1">
        <f t="array" ref="N205">IF(ISNUMBER(MATCH("Transport sector adaptation target", _xlfn._xlws.FILTER(Targets!H:H, Targets!A:A =A205), 0)), "yes", "no")</f>
        <v>no</v>
      </c>
      <c r="O205" s="42" t="str">
        <f>IF(ISNA(MATCH(A205, Mitigation!A:A, 0)), "no", "yes")</f>
        <v>yes</v>
      </c>
      <c r="P205" s="42" t="str">
        <f>IF(ISNA(MATCH(A205, Adaptation!A:A, 0)), "no", "yes")</f>
        <v>no</v>
      </c>
      <c r="Q205" s="42" t="str">
        <f>IF(ISNA(MATCH(A205, Benefits!A:A, 0)), "no", "yes")</f>
        <v>no</v>
      </c>
      <c r="R205" s="43"/>
      <c r="S205" s="43"/>
      <c r="T205" s="43" t="s">
        <v>501</v>
      </c>
      <c r="U205" s="354" t="s">
        <v>723</v>
      </c>
      <c r="V205" s="233" t="str">
        <f>VLOOKUP(Table1[[#This Row],[Country Code]],Table29[],3,FALSE)</f>
        <v>Annex I</v>
      </c>
      <c r="W205" s="233" t="str">
        <f>VLOOKUP(Table1[[#This Row],[Country Code]],Table29[],4,FALSE)</f>
        <v>Oceania</v>
      </c>
      <c r="X205" s="233" t="str">
        <f>VLOOKUP(Table1[[#This Row],[Country Code]],Table29[],5,FALSE)</f>
        <v>High-income</v>
      </c>
      <c r="Y205" s="43"/>
      <c r="Z205" s="43"/>
    </row>
    <row r="206" spans="1:26" ht="15" customHeight="1" x14ac:dyDescent="0.25">
      <c r="A206" s="360" t="s">
        <v>724</v>
      </c>
      <c r="B206" s="42" t="s">
        <v>207</v>
      </c>
      <c r="C206" s="243" t="str">
        <f>VLOOKUP(Table1[[#This Row],[Country Code]],Table29[],2,FALSE)</f>
        <v>Greece</v>
      </c>
      <c r="D206" s="243" t="str">
        <f t="shared" si="8"/>
        <v>Good</v>
      </c>
      <c r="E206" s="176" t="s">
        <v>227</v>
      </c>
      <c r="F206" s="43" t="s">
        <v>717</v>
      </c>
      <c r="G206" s="43" t="str">
        <f t="shared" si="9"/>
        <v>EU-LTS</v>
      </c>
      <c r="H206" s="350" t="s">
        <v>636</v>
      </c>
      <c r="I206" s="351">
        <v>43432</v>
      </c>
      <c r="J206" s="320" t="s">
        <v>583</v>
      </c>
      <c r="K206" s="320" t="str" cm="1">
        <f t="array" ref="K206">IF(ISNUMBER(MATCH("Transport sector mitigation target", _xlfn._xlws.FILTER(Targets!H:H, Targets!A:A =A206), 0)), "yes", "no")</f>
        <v>no</v>
      </c>
      <c r="L206" s="43" t="str">
        <f>IF(K206="no", "No transport target", IF(AND(COUNTIFS(Targets!A:A, A206, Targets!H:H, "Transport sector mitigation target", Targets!J:J, "GHG") &gt; 0, COUNTIFS(Targets!A:A, A206, Targets!H:H, "Transport sector mitigation target", Targets!J:J, "Non GHG") &gt; 0), "GHG and non-GHG target", IF(COUNTIFS(Targets!A:A, A206, Targets!H:H, "Transport sector mitigation target", Targets!J:J, "GHG") &gt; 0, "GHG target", IF(COUNTIFS(Targets!A:A, A206, Targets!H:H, "Transport sector mitigation target", Targets!J:J, "Non GHG") &gt; 0, "non-GHG target", ""))))</f>
        <v>No transport target</v>
      </c>
      <c r="M206" s="43" t="str">
        <f>IF(K206="no","No transport target",IF(L206="non-GHG target","No GHG transport target",IF(AND(COUNTIFS(Targets!A:A,A206,Targets!H:H,"Transport sector mitigation target",Targets!J:J,"GHG",Targets!L:L,"Conditional")&gt;0,COUNTIFS(Targets!A:A,A206,Targets!H:H,"Transport sector mitigation target",Targets!J:J,"GHG",Targets!L:L,"Unconditional")&gt;0),"GHG unconditional and conditional",IF(COUNTIFS(Targets!A:A,A206,Targets!H:H,"Transport sector mitigation target",Targets!J:J,"GHG",Targets!L:L,"Conditional")&gt;0,"GHG conditional only",IF(COUNTIFS(Targets!A:A,A206,Targets!H:H,"Transport sector mitigation target",Targets!J:J,"GHG",Targets!L:L,"Unconditional")&gt;0,"GHG unconditional only",IF(COUNTIFS(Targets!A:A,A206,Targets!H:H,"Transport sector mitigation target",Targets!J:J,"GHG",Targets!L:L,"Unclear conditionality")&gt;0,"Conditionality unclear",""))))))</f>
        <v>No transport target</v>
      </c>
      <c r="N206" s="43" t="str" cm="1">
        <f t="array" ref="N206">IF(ISNUMBER(MATCH("Transport sector adaptation target", _xlfn._xlws.FILTER(Targets!H:H, Targets!A:A =A206), 0)), "yes", "no")</f>
        <v>no</v>
      </c>
      <c r="O206" s="43" t="str">
        <f>IF(ISNA(MATCH(A206, Mitigation!A:A, 0)), "no", "yes")</f>
        <v>no</v>
      </c>
      <c r="P206" s="43" t="str">
        <f>IF(ISNA(MATCH(A206, Adaptation!A:A, 0)), "no", "yes")</f>
        <v>no</v>
      </c>
      <c r="Q206" s="43" t="str">
        <f>IF(ISNA(MATCH(A206, Benefits!A:A, 0)), "no", "yes")</f>
        <v>no</v>
      </c>
      <c r="R206" s="43"/>
      <c r="S206" s="43"/>
      <c r="T206" s="320" t="s">
        <v>583</v>
      </c>
      <c r="U206" s="312" t="s">
        <v>718</v>
      </c>
      <c r="V206" s="233" t="str">
        <f>VLOOKUP(Table1[[#This Row],[Country Code]],Table29[],3,FALSE)</f>
        <v>Annex I</v>
      </c>
      <c r="W206" s="233" t="str">
        <f>VLOOKUP(Table1[[#This Row],[Country Code]],Table29[],4,FALSE)</f>
        <v>Europe</v>
      </c>
      <c r="X206" s="233" t="str">
        <f>VLOOKUP(Table1[[#This Row],[Country Code]],Table29[],5,FALSE)</f>
        <v>High-income</v>
      </c>
      <c r="Y206" s="43" t="s">
        <v>719</v>
      </c>
      <c r="Z206" s="43"/>
    </row>
    <row r="207" spans="1:26" ht="15" customHeight="1" x14ac:dyDescent="0.25">
      <c r="A207" s="360" t="s">
        <v>725</v>
      </c>
      <c r="B207" s="176" t="s">
        <v>241</v>
      </c>
      <c r="C207" s="243" t="str">
        <f>VLOOKUP(Table1[[#This Row],[Country Code]],Table29[],2,FALSE)</f>
        <v>Italy</v>
      </c>
      <c r="D207" s="243" t="str">
        <f t="shared" si="8"/>
        <v>Good</v>
      </c>
      <c r="E207" s="176" t="s">
        <v>227</v>
      </c>
      <c r="F207" s="43" t="s">
        <v>717</v>
      </c>
      <c r="G207" s="43" t="str">
        <f t="shared" si="9"/>
        <v>EU-LTS</v>
      </c>
      <c r="H207" s="350" t="s">
        <v>636</v>
      </c>
      <c r="I207" s="351">
        <v>43432</v>
      </c>
      <c r="J207" s="320" t="s">
        <v>583</v>
      </c>
      <c r="K207" s="320" t="str" cm="1">
        <f t="array" ref="K207">IF(ISNUMBER(MATCH("Transport sector mitigation target", _xlfn._xlws.FILTER(Targets!H:H, Targets!A:A =A207), 0)), "yes", "no")</f>
        <v>no</v>
      </c>
      <c r="L207" s="43" t="str">
        <f>IF(K207="no", "No transport target", IF(AND(COUNTIFS(Targets!A:A, A207, Targets!H:H, "Transport sector mitigation target", Targets!J:J, "GHG") &gt; 0, COUNTIFS(Targets!A:A, A207, Targets!H:H, "Transport sector mitigation target", Targets!J:J, "Non GHG") &gt; 0), "GHG and non-GHG target", IF(COUNTIFS(Targets!A:A, A207, Targets!H:H, "Transport sector mitigation target", Targets!J:J, "GHG") &gt; 0, "GHG target", IF(COUNTIFS(Targets!A:A, A207, Targets!H:H, "Transport sector mitigation target", Targets!J:J, "Non GHG") &gt; 0, "non-GHG target", ""))))</f>
        <v>No transport target</v>
      </c>
      <c r="M207" s="43" t="str">
        <f>IF(K207="no","No transport target",IF(L207="non-GHG target","No GHG transport target",IF(AND(COUNTIFS(Targets!A:A,A207,Targets!H:H,"Transport sector mitigation target",Targets!J:J,"GHG",Targets!L:L,"Conditional")&gt;0,COUNTIFS(Targets!A:A,A207,Targets!H:H,"Transport sector mitigation target",Targets!J:J,"GHG",Targets!L:L,"Unconditional")&gt;0),"GHG unconditional and conditional",IF(COUNTIFS(Targets!A:A,A207,Targets!H:H,"Transport sector mitigation target",Targets!J:J,"GHG",Targets!L:L,"Conditional")&gt;0,"GHG conditional only",IF(COUNTIFS(Targets!A:A,A207,Targets!H:H,"Transport sector mitigation target",Targets!J:J,"GHG",Targets!L:L,"Unconditional")&gt;0,"GHG unconditional only",IF(COUNTIFS(Targets!A:A,A207,Targets!H:H,"Transport sector mitigation target",Targets!J:J,"GHG",Targets!L:L,"Unclear conditionality")&gt;0,"Conditionality unclear",""))))))</f>
        <v>No transport target</v>
      </c>
      <c r="N207" s="43" t="str" cm="1">
        <f t="array" ref="N207">IF(ISNUMBER(MATCH("Transport sector adaptation target", _xlfn._xlws.FILTER(Targets!H:H, Targets!A:A =A207), 0)), "yes", "no")</f>
        <v>no</v>
      </c>
      <c r="O207" s="43" t="str">
        <f>IF(ISNA(MATCH(A207, Mitigation!A:A, 0)), "no", "yes")</f>
        <v>no</v>
      </c>
      <c r="P207" s="43" t="str">
        <f>IF(ISNA(MATCH(A207, Adaptation!A:A, 0)), "no", "yes")</f>
        <v>no</v>
      </c>
      <c r="Q207" s="43" t="str">
        <f>IF(ISNA(MATCH(A207, Benefits!A:A, 0)), "no", "yes")</f>
        <v>no</v>
      </c>
      <c r="R207" s="43"/>
      <c r="S207" s="43"/>
      <c r="T207" s="320" t="s">
        <v>583</v>
      </c>
      <c r="U207" s="312" t="s">
        <v>718</v>
      </c>
      <c r="V207" s="233" t="str">
        <f>VLOOKUP(Table1[[#This Row],[Country Code]],Table29[],3,FALSE)</f>
        <v>Annex I</v>
      </c>
      <c r="W207" s="233" t="str">
        <f>VLOOKUP(Table1[[#This Row],[Country Code]],Table29[],4,FALSE)</f>
        <v>Europe</v>
      </c>
      <c r="X207" s="233" t="str">
        <f>VLOOKUP(Table1[[#This Row],[Country Code]],Table29[],5,FALSE)</f>
        <v>High-income</v>
      </c>
      <c r="Y207" s="43" t="s">
        <v>719</v>
      </c>
      <c r="Z207" s="43"/>
    </row>
    <row r="208" spans="1:26" ht="15" customHeight="1" x14ac:dyDescent="0.25">
      <c r="A208" s="360" t="s">
        <v>726</v>
      </c>
      <c r="B208" s="19" t="s">
        <v>354</v>
      </c>
      <c r="C208" s="206" t="str">
        <f>VLOOKUP(Table1[[#This Row],[Country Code]],Table29[],2,FALSE)</f>
        <v>Poland</v>
      </c>
      <c r="D208" s="243" t="str">
        <f t="shared" si="8"/>
        <v>Good</v>
      </c>
      <c r="E208" s="20" t="s">
        <v>227</v>
      </c>
      <c r="F208" s="17" t="s">
        <v>717</v>
      </c>
      <c r="G208" s="43" t="str">
        <f t="shared" si="9"/>
        <v>EU-LTS</v>
      </c>
      <c r="H208" s="148" t="s">
        <v>636</v>
      </c>
      <c r="I208" s="351">
        <v>43432</v>
      </c>
      <c r="J208" s="49" t="s">
        <v>583</v>
      </c>
      <c r="K208" s="49" t="str" cm="1">
        <f t="array" ref="K208">IF(ISNUMBER(MATCH("Transport sector mitigation target", _xlfn._xlws.FILTER(Targets!H:H, Targets!A:A =A208), 0)), "yes", "no")</f>
        <v>no</v>
      </c>
      <c r="L208" s="17" t="str">
        <f>IF(K208="no", "No transport target", IF(AND(COUNTIFS(Targets!A:A, A208, Targets!H:H, "Transport sector mitigation target", Targets!J:J, "GHG") &gt; 0, COUNTIFS(Targets!A:A, A208, Targets!H:H, "Transport sector mitigation target", Targets!J:J, "Non GHG") &gt; 0), "GHG and non-GHG target", IF(COUNTIFS(Targets!A:A, A208, Targets!H:H, "Transport sector mitigation target", Targets!J:J, "GHG") &gt; 0, "GHG target", IF(COUNTIFS(Targets!A:A, A208, Targets!H:H, "Transport sector mitigation target", Targets!J:J, "Non GHG") &gt; 0, "non-GHG target", ""))))</f>
        <v>No transport target</v>
      </c>
      <c r="M208" s="17" t="str">
        <f>IF(K208="no","No transport target",IF(L208="non-GHG target","No GHG transport target",IF(AND(COUNTIFS(Targets!A:A,A208,Targets!H:H,"Transport sector mitigation target",Targets!J:J,"GHG",Targets!L:L,"Conditional")&gt;0,COUNTIFS(Targets!A:A,A208,Targets!H:H,"Transport sector mitigation target",Targets!J:J,"GHG",Targets!L:L,"Unconditional")&gt;0),"GHG unconditional and conditional",IF(COUNTIFS(Targets!A:A,A208,Targets!H:H,"Transport sector mitigation target",Targets!J:J,"GHG",Targets!L:L,"Conditional")&gt;0,"GHG conditional only",IF(COUNTIFS(Targets!A:A,A208,Targets!H:H,"Transport sector mitigation target",Targets!J:J,"GHG",Targets!L:L,"Unconditional")&gt;0,"GHG unconditional only",IF(COUNTIFS(Targets!A:A,A208,Targets!H:H,"Transport sector mitigation target",Targets!J:J,"GHG",Targets!L:L,"Unclear conditionality")&gt;0,"Conditionality unclear",""))))))</f>
        <v>No transport target</v>
      </c>
      <c r="N208" s="17" t="str" cm="1">
        <f t="array" ref="N208">IF(ISNUMBER(MATCH("Transport sector adaptation target", _xlfn._xlws.FILTER(Targets!H:H, Targets!A:A =A208), 0)), "yes", "no")</f>
        <v>no</v>
      </c>
      <c r="O208" s="17" t="str">
        <f>IF(ISNA(MATCH(A208, Mitigation!A:A, 0)), "no", "yes")</f>
        <v>no</v>
      </c>
      <c r="P208" s="17" t="str">
        <f>IF(ISNA(MATCH(A208, Adaptation!A:A, 0)), "no", "yes")</f>
        <v>no</v>
      </c>
      <c r="Q208" s="17" t="str">
        <f>IF(ISNA(MATCH(A208, Benefits!A:A, 0)), "no", "yes")</f>
        <v>no</v>
      </c>
      <c r="R208" s="17"/>
      <c r="S208" s="17"/>
      <c r="T208" s="49" t="s">
        <v>583</v>
      </c>
      <c r="U208" s="312" t="s">
        <v>718</v>
      </c>
      <c r="V208" s="207" t="str">
        <f>VLOOKUP(Table1[[#This Row],[Country Code]],Table29[],3,FALSE)</f>
        <v>Annex I</v>
      </c>
      <c r="W208" s="207" t="str">
        <f>VLOOKUP(Table1[[#This Row],[Country Code]],Table29[],4,FALSE)</f>
        <v>Europe</v>
      </c>
      <c r="X208" s="207" t="str">
        <f>VLOOKUP(Table1[[#This Row],[Country Code]],Table29[],5,FALSE)</f>
        <v>High-income</v>
      </c>
      <c r="Y208" s="17" t="s">
        <v>719</v>
      </c>
      <c r="Z208" s="17"/>
    </row>
    <row r="209" spans="1:26" ht="15" customHeight="1" x14ac:dyDescent="0.25">
      <c r="A209" s="360" t="s">
        <v>727</v>
      </c>
      <c r="B209" s="20" t="s">
        <v>366</v>
      </c>
      <c r="C209" s="206" t="str">
        <f>VLOOKUP(Table1[[#This Row],[Country Code]],Table29[],2,FALSE)</f>
        <v>Romania</v>
      </c>
      <c r="D209" s="243" t="str">
        <f t="shared" si="8"/>
        <v>Good</v>
      </c>
      <c r="E209" s="20" t="s">
        <v>227</v>
      </c>
      <c r="F209" s="17" t="s">
        <v>717</v>
      </c>
      <c r="G209" s="43" t="str">
        <f t="shared" si="9"/>
        <v>EU-LTS</v>
      </c>
      <c r="H209" s="148" t="s">
        <v>636</v>
      </c>
      <c r="I209" s="351">
        <v>43432</v>
      </c>
      <c r="J209" s="49" t="s">
        <v>583</v>
      </c>
      <c r="K209" s="49" t="str" cm="1">
        <f t="array" ref="K209">IF(ISNUMBER(MATCH("Transport sector mitigation target", _xlfn._xlws.FILTER(Targets!H:H, Targets!A:A =A209), 0)), "yes", "no")</f>
        <v>no</v>
      </c>
      <c r="L209" s="17" t="str">
        <f>IF(K209="no", "No transport target", IF(AND(COUNTIFS(Targets!A:A, A209, Targets!H:H, "Transport sector mitigation target", Targets!J:J, "GHG") &gt; 0, COUNTIFS(Targets!A:A, A209, Targets!H:H, "Transport sector mitigation target", Targets!J:J, "Non GHG") &gt; 0), "GHG and non-GHG target", IF(COUNTIFS(Targets!A:A, A209, Targets!H:H, "Transport sector mitigation target", Targets!J:J, "GHG") &gt; 0, "GHG target", IF(COUNTIFS(Targets!A:A, A209, Targets!H:H, "Transport sector mitigation target", Targets!J:J, "Non GHG") &gt; 0, "non-GHG target", ""))))</f>
        <v>No transport target</v>
      </c>
      <c r="M209" s="17" t="str">
        <f>IF(K209="no","No transport target",IF(L209="non-GHG target","No GHG transport target",IF(AND(COUNTIFS(Targets!A:A,A209,Targets!H:H,"Transport sector mitigation target",Targets!J:J,"GHG",Targets!L:L,"Conditional")&gt;0,COUNTIFS(Targets!A:A,A209,Targets!H:H,"Transport sector mitigation target",Targets!J:J,"GHG",Targets!L:L,"Unconditional")&gt;0),"GHG unconditional and conditional",IF(COUNTIFS(Targets!A:A,A209,Targets!H:H,"Transport sector mitigation target",Targets!J:J,"GHG",Targets!L:L,"Conditional")&gt;0,"GHG conditional only",IF(COUNTIFS(Targets!A:A,A209,Targets!H:H,"Transport sector mitigation target",Targets!J:J,"GHG",Targets!L:L,"Unconditional")&gt;0,"GHG unconditional only",IF(COUNTIFS(Targets!A:A,A209,Targets!H:H,"Transport sector mitigation target",Targets!J:J,"GHG",Targets!L:L,"Unclear conditionality")&gt;0,"Conditionality unclear",""))))))</f>
        <v>No transport target</v>
      </c>
      <c r="N209" s="17" t="str" cm="1">
        <f t="array" ref="N209">IF(ISNUMBER(MATCH("Transport sector adaptation target", _xlfn._xlws.FILTER(Targets!H:H, Targets!A:A =A209), 0)), "yes", "no")</f>
        <v>no</v>
      </c>
      <c r="O209" s="17" t="str">
        <f>IF(ISNA(MATCH(A209, Mitigation!A:A, 0)), "no", "yes")</f>
        <v>no</v>
      </c>
      <c r="P209" s="17" t="str">
        <f>IF(ISNA(MATCH(A209, Adaptation!A:A, 0)), "no", "yes")</f>
        <v>no</v>
      </c>
      <c r="Q209" s="17" t="str">
        <f>IF(ISNA(MATCH(A209, Benefits!A:A, 0)), "no", "yes")</f>
        <v>no</v>
      </c>
      <c r="R209" s="17"/>
      <c r="S209" s="17"/>
      <c r="T209" s="49" t="s">
        <v>583</v>
      </c>
      <c r="U209" s="312" t="s">
        <v>718</v>
      </c>
      <c r="V209" s="207" t="str">
        <f>VLOOKUP(Table1[[#This Row],[Country Code]],Table29[],3,FALSE)</f>
        <v>Annex I</v>
      </c>
      <c r="W209" s="207" t="str">
        <f>VLOOKUP(Table1[[#This Row],[Country Code]],Table29[],4,FALSE)</f>
        <v>Europe</v>
      </c>
      <c r="X209" s="207" t="str">
        <f>VLOOKUP(Table1[[#This Row],[Country Code]],Table29[],5,FALSE)</f>
        <v>Middle-income</v>
      </c>
      <c r="Y209" s="17" t="s">
        <v>719</v>
      </c>
      <c r="Z209" s="17"/>
    </row>
    <row r="210" spans="1:26" ht="15" customHeight="1" x14ac:dyDescent="0.25">
      <c r="A210" s="405">
        <v>32517</v>
      </c>
      <c r="B210" s="19" t="s">
        <v>420</v>
      </c>
      <c r="C210" s="206" t="str">
        <f>VLOOKUP(Table1[[#This Row],[Country Code]],Table29[],2,FALSE)</f>
        <v>Syrian Arab Republic</v>
      </c>
      <c r="D210" s="243" t="str">
        <f t="shared" si="8"/>
        <v>Good</v>
      </c>
      <c r="E210" s="20" t="s">
        <v>71</v>
      </c>
      <c r="F210" s="17" t="s">
        <v>528</v>
      </c>
      <c r="G210" s="43" t="str">
        <f t="shared" si="9"/>
        <v>First NDC</v>
      </c>
      <c r="H210" s="17" t="s">
        <v>499</v>
      </c>
      <c r="I210" s="149">
        <v>43434</v>
      </c>
      <c r="J210" s="187" t="s">
        <v>505</v>
      </c>
      <c r="K210" s="49" t="str" cm="1">
        <f t="array" ref="K210">IF(ISNUMBER(MATCH("Transport sector mitigation target", _xlfn._xlws.FILTER(Targets!H:H, Targets!A:A =A210), 0)), "yes", "no")</f>
        <v>no</v>
      </c>
      <c r="L210" s="17" t="str">
        <f>IF(K210="no", "No transport target", IF(AND(COUNTIFS(Targets!A:A, A210, Targets!H:H, "Transport sector mitigation target", Targets!J:J, "GHG") &gt; 0, COUNTIFS(Targets!A:A, A210, Targets!H:H, "Transport sector mitigation target", Targets!J:J, "Non GHG") &gt; 0), "GHG and non-GHG target", IF(COUNTIFS(Targets!A:A, A210, Targets!H:H, "Transport sector mitigation target", Targets!J:J, "GHG") &gt; 0, "GHG target", IF(COUNTIFS(Targets!A:A, A210, Targets!H:H, "Transport sector mitigation target", Targets!J:J, "Non GHG") &gt; 0, "non-GHG target", ""))))</f>
        <v>No transport target</v>
      </c>
      <c r="M210" s="17" t="str">
        <f>IF(K210="no","No transport target",IF(L210="non-GHG target","No GHG transport target",IF(AND(COUNTIFS(Targets!A:A,A210,Targets!H:H,"Transport sector mitigation target",Targets!J:J,"GHG",Targets!L:L,"Conditional")&gt;0,COUNTIFS(Targets!A:A,A210,Targets!H:H,"Transport sector mitigation target",Targets!J:J,"GHG",Targets!L:L,"Unconditional")&gt;0),"GHG unconditional and conditional",IF(COUNTIFS(Targets!A:A,A210,Targets!H:H,"Transport sector mitigation target",Targets!J:J,"GHG",Targets!L:L,"Conditional")&gt;0,"GHG conditional only",IF(COUNTIFS(Targets!A:A,A210,Targets!H:H,"Transport sector mitigation target",Targets!J:J,"GHG",Targets!L:L,"Unconditional")&gt;0,"GHG unconditional only",IF(COUNTIFS(Targets!A:A,A210,Targets!H:H,"Transport sector mitigation target",Targets!J:J,"GHG",Targets!L:L,"Unclear conditionality")&gt;0,"Conditionality unclear",""))))))</f>
        <v>No transport target</v>
      </c>
      <c r="N210" s="17" t="str" cm="1">
        <f t="array" ref="N210">IF(ISNUMBER(MATCH("Transport sector adaptation target", _xlfn._xlws.FILTER(Targets!H:H, Targets!A:A =A210), 0)), "yes", "no")</f>
        <v>no</v>
      </c>
      <c r="O210" s="17" t="str">
        <f>IF(ISNA(MATCH(A210, Mitigation!A:A, 0)), "no", "yes")</f>
        <v>yes</v>
      </c>
      <c r="P210" s="17" t="str">
        <f>IF(ISNA(MATCH(A210, Adaptation!A:A, 0)), "no", "yes")</f>
        <v>yes</v>
      </c>
      <c r="Q210" s="17" t="str">
        <f>IF(ISNA(MATCH(A210, Benefits!A:A, 0)), "no", "yes")</f>
        <v>no</v>
      </c>
      <c r="R210" s="17"/>
      <c r="S210" s="17"/>
      <c r="T210" s="17" t="s">
        <v>501</v>
      </c>
      <c r="U210" s="135" t="s">
        <v>728</v>
      </c>
      <c r="V210" s="207" t="str">
        <f>VLOOKUP(Table1[[#This Row],[Country Code]],Table29[],3,FALSE)</f>
        <v>Non-Annex I</v>
      </c>
      <c r="W210" s="207" t="str">
        <f>VLOOKUP(Table1[[#This Row],[Country Code]],Table29[],4,FALSE)</f>
        <v>Asia</v>
      </c>
      <c r="X210" s="207" t="str">
        <f>VLOOKUP(Table1[[#This Row],[Country Code]],Table29[],5,FALSE)</f>
        <v>Low-income</v>
      </c>
      <c r="Y210" s="17"/>
      <c r="Z210" s="17"/>
    </row>
    <row r="211" spans="1:26" ht="15" customHeight="1" x14ac:dyDescent="0.25">
      <c r="A211" s="405">
        <v>17755</v>
      </c>
      <c r="B211" s="20" t="s">
        <v>420</v>
      </c>
      <c r="C211" s="206" t="str">
        <f>VLOOKUP(Table1[[#This Row],[Country Code]],Table29[],2,FALSE)</f>
        <v>Syrian Arab Republic</v>
      </c>
      <c r="D211" s="243" t="str">
        <f t="shared" si="8"/>
        <v>Good</v>
      </c>
      <c r="E211" s="20" t="s">
        <v>71</v>
      </c>
      <c r="F211" s="17" t="s">
        <v>498</v>
      </c>
      <c r="G211" s="43" t="str">
        <f t="shared" si="9"/>
        <v>First NDC</v>
      </c>
      <c r="H211" s="17" t="s">
        <v>499</v>
      </c>
      <c r="I211" s="149">
        <v>43434</v>
      </c>
      <c r="J211" s="49" t="s">
        <v>500</v>
      </c>
      <c r="K211" s="49" t="str" cm="1">
        <f t="array" ref="K211">IF(ISNUMBER(MATCH("Transport sector mitigation target", _xlfn._xlws.FILTER(Targets!H:H, Targets!A:A =A211), 0)), "yes", "no")</f>
        <v>no</v>
      </c>
      <c r="L211" s="17" t="str">
        <f>IF(K211="no", "No transport target", IF(AND(COUNTIFS(Targets!A:A, A211, Targets!H:H, "Transport sector mitigation target", Targets!J:J, "GHG") &gt; 0, COUNTIFS(Targets!A:A, A211, Targets!H:H, "Transport sector mitigation target", Targets!J:J, "Non GHG") &gt; 0), "GHG and non-GHG target", IF(COUNTIFS(Targets!A:A, A211, Targets!H:H, "Transport sector mitigation target", Targets!J:J, "GHG") &gt; 0, "GHG target", IF(COUNTIFS(Targets!A:A, A211, Targets!H:H, "Transport sector mitigation target", Targets!J:J, "Non GHG") &gt; 0, "non-GHG target", ""))))</f>
        <v>No transport target</v>
      </c>
      <c r="M211" s="17" t="str">
        <f>IF(K211="no","No transport target",IF(L211="non-GHG target","No GHG transport target",IF(AND(COUNTIFS(Targets!A:A,A211,Targets!H:H,"Transport sector mitigation target",Targets!J:J,"GHG",Targets!L:L,"Conditional")&gt;0,COUNTIFS(Targets!A:A,A211,Targets!H:H,"Transport sector mitigation target",Targets!J:J,"GHG",Targets!L:L,"Unconditional")&gt;0),"GHG unconditional and conditional",IF(COUNTIFS(Targets!A:A,A211,Targets!H:H,"Transport sector mitigation target",Targets!J:J,"GHG",Targets!L:L,"Conditional")&gt;0,"GHG conditional only",IF(COUNTIFS(Targets!A:A,A211,Targets!H:H,"Transport sector mitigation target",Targets!J:J,"GHG",Targets!L:L,"Unconditional")&gt;0,"GHG unconditional only",IF(COUNTIFS(Targets!A:A,A211,Targets!H:H,"Transport sector mitigation target",Targets!J:J,"GHG",Targets!L:L,"Unclear conditionality")&gt;0,"Conditionality unclear",""))))))</f>
        <v>No transport target</v>
      </c>
      <c r="N211" s="17" t="str" cm="1">
        <f t="array" ref="N211">IF(ISNUMBER(MATCH("Transport sector adaptation target", _xlfn._xlws.FILTER(Targets!H:H, Targets!A:A =A211), 0)), "yes", "no")</f>
        <v>no</v>
      </c>
      <c r="O211" s="17" t="str">
        <f>IF(ISNA(MATCH(A211, Mitigation!A:A, 0)), "no", "yes")</f>
        <v>no</v>
      </c>
      <c r="P211" s="17" t="str">
        <f>IF(ISNA(MATCH(A211, Adaptation!A:A, 0)), "no", "yes")</f>
        <v>no</v>
      </c>
      <c r="Q211" s="17" t="str">
        <f>IF(ISNA(MATCH(A211, Benefits!A:A, 0)), "no", "yes")</f>
        <v>no</v>
      </c>
      <c r="R211" s="17"/>
      <c r="S211" s="17"/>
      <c r="T211" s="17" t="s">
        <v>501</v>
      </c>
      <c r="U211" s="135" t="s">
        <v>728</v>
      </c>
      <c r="V211" s="207" t="str">
        <f>VLOOKUP(Table1[[#This Row],[Country Code]],Table29[],3,FALSE)</f>
        <v>Non-Annex I</v>
      </c>
      <c r="W211" s="207" t="str">
        <f>VLOOKUP(Table1[[#This Row],[Country Code]],Table29[],4,FALSE)</f>
        <v>Asia</v>
      </c>
      <c r="X211" s="207" t="str">
        <f>VLOOKUP(Table1[[#This Row],[Country Code]],Table29[],5,FALSE)</f>
        <v>Low-income</v>
      </c>
      <c r="Y211" s="17"/>
      <c r="Z211" s="17"/>
    </row>
    <row r="212" spans="1:26" ht="15" customHeight="1" x14ac:dyDescent="0.25">
      <c r="A212" s="405">
        <v>17747</v>
      </c>
      <c r="B212" s="20" t="s">
        <v>414</v>
      </c>
      <c r="C212" s="206" t="str">
        <f>VLOOKUP(Table1[[#This Row],[Country Code]],Table29[],2,FALSE)</f>
        <v>Suriname</v>
      </c>
      <c r="D212" s="243" t="str">
        <f t="shared" si="8"/>
        <v>Good</v>
      </c>
      <c r="E212" s="20" t="s">
        <v>71</v>
      </c>
      <c r="F212" s="17" t="s">
        <v>498</v>
      </c>
      <c r="G212" s="43" t="str">
        <f t="shared" si="9"/>
        <v>First NDC</v>
      </c>
      <c r="H212" s="17" t="s">
        <v>499</v>
      </c>
      <c r="I212" s="149">
        <v>43509</v>
      </c>
      <c r="J212" s="49" t="s">
        <v>500</v>
      </c>
      <c r="K212" s="49" t="str" cm="1">
        <f t="array" ref="K212">IF(ISNUMBER(MATCH("Transport sector mitigation target", _xlfn._xlws.FILTER(Targets!H:H, Targets!A:A =A212), 0)), "yes", "no")</f>
        <v>no</v>
      </c>
      <c r="L212" s="17" t="str">
        <f>IF(K212="no", "No transport target", IF(AND(COUNTIFS(Targets!A:A, A212, Targets!H:H, "Transport sector mitigation target", Targets!J:J, "GHG") &gt; 0, COUNTIFS(Targets!A:A, A212, Targets!H:H, "Transport sector mitigation target", Targets!J:J, "Non GHG") &gt; 0), "GHG and non-GHG target", IF(COUNTIFS(Targets!A:A, A212, Targets!H:H, "Transport sector mitigation target", Targets!J:J, "GHG") &gt; 0, "GHG target", IF(COUNTIFS(Targets!A:A, A212, Targets!H:H, "Transport sector mitigation target", Targets!J:J, "Non GHG") &gt; 0, "non-GHG target", ""))))</f>
        <v>No transport target</v>
      </c>
      <c r="M212" s="17" t="str">
        <f>IF(K212="no","No transport target",IF(L212="non-GHG target","No GHG transport target",IF(AND(COUNTIFS(Targets!A:A,A212,Targets!H:H,"Transport sector mitigation target",Targets!J:J,"GHG",Targets!L:L,"Conditional")&gt;0,COUNTIFS(Targets!A:A,A212,Targets!H:H,"Transport sector mitigation target",Targets!J:J,"GHG",Targets!L:L,"Unconditional")&gt;0),"GHG unconditional and conditional",IF(COUNTIFS(Targets!A:A,A212,Targets!H:H,"Transport sector mitigation target",Targets!J:J,"GHG",Targets!L:L,"Conditional")&gt;0,"GHG conditional only",IF(COUNTIFS(Targets!A:A,A212,Targets!H:H,"Transport sector mitigation target",Targets!J:J,"GHG",Targets!L:L,"Unconditional")&gt;0,"GHG unconditional only",IF(COUNTIFS(Targets!A:A,A212,Targets!H:H,"Transport sector mitigation target",Targets!J:J,"GHG",Targets!L:L,"Unclear conditionality")&gt;0,"Conditionality unclear",""))))))</f>
        <v>No transport target</v>
      </c>
      <c r="N212" s="17" t="str" cm="1">
        <f t="array" ref="N212">IF(ISNUMBER(MATCH("Transport sector adaptation target", _xlfn._xlws.FILTER(Targets!H:H, Targets!A:A =A212), 0)), "yes", "no")</f>
        <v>no</v>
      </c>
      <c r="O212" s="17" t="str">
        <f>IF(ISNA(MATCH(A212, Mitigation!A:A, 0)), "no", "yes")</f>
        <v>yes</v>
      </c>
      <c r="P212" s="17" t="str">
        <f>IF(ISNA(MATCH(A212, Adaptation!A:A, 0)), "no", "yes")</f>
        <v>no</v>
      </c>
      <c r="Q212" s="17" t="str">
        <f>IF(ISNA(MATCH(A212, Benefits!A:A, 0)), "no", "yes")</f>
        <v>no</v>
      </c>
      <c r="R212" s="17"/>
      <c r="S212" s="17"/>
      <c r="T212" s="17" t="s">
        <v>501</v>
      </c>
      <c r="U212" s="135" t="s">
        <v>729</v>
      </c>
      <c r="V212" s="207" t="str">
        <f>VLOOKUP(Table1[[#This Row],[Country Code]],Table29[],3,FALSE)</f>
        <v>Non-Annex I</v>
      </c>
      <c r="W212" s="207" t="str">
        <f>VLOOKUP(Table1[[#This Row],[Country Code]],Table29[],4,FALSE)</f>
        <v>Latin America and the Caribbean</v>
      </c>
      <c r="X212" s="207" t="str">
        <f>VLOOKUP(Table1[[#This Row],[Country Code]],Table29[],5,FALSE)</f>
        <v>Middle-income</v>
      </c>
      <c r="Y212" s="17"/>
      <c r="Z212" s="17"/>
    </row>
    <row r="213" spans="1:26" ht="15" customHeight="1" x14ac:dyDescent="0.25">
      <c r="A213" s="360">
        <v>24678</v>
      </c>
      <c r="B213" s="43" t="s">
        <v>81</v>
      </c>
      <c r="C213" s="243" t="str">
        <f>VLOOKUP(Table1[[#This Row],[Country Code]],Table29[],2,FALSE)</f>
        <v>Austria</v>
      </c>
      <c r="D213" s="243" t="str">
        <f t="shared" si="8"/>
        <v>Good</v>
      </c>
      <c r="E213" s="176" t="s">
        <v>227</v>
      </c>
      <c r="F213" s="43" t="s">
        <v>227</v>
      </c>
      <c r="G213" s="43" t="str">
        <f t="shared" si="9"/>
        <v>LTS</v>
      </c>
      <c r="H213" s="350" t="s">
        <v>636</v>
      </c>
      <c r="I213" s="351">
        <v>44147</v>
      </c>
      <c r="J213" s="352" t="s">
        <v>505</v>
      </c>
      <c r="K213" s="320" t="str" cm="1">
        <f t="array" ref="K213">IF(ISNUMBER(MATCH("Transport sector mitigation target", _xlfn._xlws.FILTER(Targets!H:H, Targets!A:A =A213), 0)), "yes", "no")</f>
        <v>yes</v>
      </c>
      <c r="L213" s="43" t="str">
        <f>IF(K213="no", "No transport target", IF(AND(COUNTIFS(Targets!A:A, A213, Targets!H:H, "Transport sector mitigation target", Targets!J:J, "GHG") &gt; 0, COUNTIFS(Targets!A:A, A213, Targets!H:H, "Transport sector mitigation target", Targets!J:J, "Non GHG") &gt; 0), "GHG and non-GHG target", IF(COUNTIFS(Targets!A:A, A213, Targets!H:H, "Transport sector mitigation target", Targets!J:J, "GHG") &gt; 0, "GHG target", IF(COUNTIFS(Targets!A:A, A213, Targets!H:H, "Transport sector mitigation target", Targets!J:J, "Non GHG") &gt; 0, "non-GHG target", ""))))</f>
        <v>GHG target</v>
      </c>
      <c r="M213" s="43" t="str">
        <f>IF(K213="no","No transport target",IF(L213="non-GHG target","No GHG transport target",IF(AND(COUNTIFS(Targets!A:A,A213,Targets!H:H,"Transport sector mitigation target",Targets!J:J,"GHG",Targets!L:L,"Conditional")&gt;0,COUNTIFS(Targets!A:A,A213,Targets!H:H,"Transport sector mitigation target",Targets!J:J,"GHG",Targets!L:L,"Unconditional")&gt;0),"GHG unconditional and conditional",IF(COUNTIFS(Targets!A:A,A213,Targets!H:H,"Transport sector mitigation target",Targets!J:J,"GHG",Targets!L:L,"Conditional")&gt;0,"GHG conditional only",IF(COUNTIFS(Targets!A:A,A213,Targets!H:H,"Transport sector mitigation target",Targets!J:J,"GHG",Targets!L:L,"Unconditional")&gt;0,"GHG unconditional only",IF(COUNTIFS(Targets!A:A,A213,Targets!H:H,"Transport sector mitigation target",Targets!J:J,"GHG",Targets!L:L,"Unclear conditionality")&gt;0,"Conditionality unclear",""))))))</f>
        <v>GHG unconditional only</v>
      </c>
      <c r="N213" s="43" t="str" cm="1">
        <f t="array" ref="N213">IF(ISNUMBER(MATCH("Transport sector adaptation target", _xlfn._xlws.FILTER(Targets!H:H, Targets!A:A =A213), 0)), "yes", "no")</f>
        <v>no</v>
      </c>
      <c r="O213" s="43" t="str">
        <f>IF(ISNA(MATCH(A213, Mitigation!A:A, 0)), "no", "yes")</f>
        <v>yes</v>
      </c>
      <c r="P213" s="43" t="str">
        <f>IF(ISNA(MATCH(A213, Adaptation!A:A, 0)), "no", "yes")</f>
        <v>yes</v>
      </c>
      <c r="Q213" s="43" t="str">
        <f>IF(ISNA(MATCH(A213, Benefits!A:A, 0)), "no", "yes")</f>
        <v>yes</v>
      </c>
      <c r="R213" s="43"/>
      <c r="S213" s="43"/>
      <c r="T213" s="43" t="s">
        <v>501</v>
      </c>
      <c r="U213" s="312" t="s">
        <v>730</v>
      </c>
      <c r="V213" s="233" t="str">
        <f>VLOOKUP(Table1[[#This Row],[Country Code]],Table29[],3,FALSE)</f>
        <v>Annex I</v>
      </c>
      <c r="W213" s="233" t="str">
        <f>VLOOKUP(Table1[[#This Row],[Country Code]],Table29[],4,FALSE)</f>
        <v>Europe</v>
      </c>
      <c r="X213" s="233" t="str">
        <f>VLOOKUP(Table1[[#This Row],[Country Code]],Table29[],5,FALSE)</f>
        <v>High-income</v>
      </c>
      <c r="Y213" s="43"/>
      <c r="Z213" s="43"/>
    </row>
    <row r="214" spans="1:26" ht="15" customHeight="1" x14ac:dyDescent="0.25">
      <c r="A214" s="360">
        <v>17581</v>
      </c>
      <c r="B214" s="176" t="s">
        <v>173</v>
      </c>
      <c r="C214" s="243" t="str">
        <f>VLOOKUP(Table1[[#This Row],[Country Code]],Table29[],2,FALSE)</f>
        <v>Ecuador</v>
      </c>
      <c r="D214" s="243" t="str">
        <f t="shared" si="8"/>
        <v>Good</v>
      </c>
      <c r="E214" s="176" t="s">
        <v>71</v>
      </c>
      <c r="F214" s="43" t="s">
        <v>498</v>
      </c>
      <c r="G214" s="43" t="str">
        <f t="shared" si="9"/>
        <v>First NDC</v>
      </c>
      <c r="H214" s="43" t="s">
        <v>499</v>
      </c>
      <c r="I214" s="351">
        <v>43553</v>
      </c>
      <c r="J214" s="320" t="s">
        <v>500</v>
      </c>
      <c r="K214" s="320" t="str" cm="1">
        <f t="array" ref="K214">IF(ISNUMBER(MATCH("Transport sector mitigation target", _xlfn._xlws.FILTER(Targets!H:H, Targets!A:A =A214), 0)), "yes", "no")</f>
        <v>no</v>
      </c>
      <c r="L214" s="43" t="str">
        <f>IF(K214="no", "No transport target", IF(AND(COUNTIFS(Targets!A:A, A214, Targets!H:H, "Transport sector mitigation target", Targets!J:J, "GHG") &gt; 0, COUNTIFS(Targets!A:A, A214, Targets!H:H, "Transport sector mitigation target", Targets!J:J, "Non GHG") &gt; 0), "GHG and non-GHG target", IF(COUNTIFS(Targets!A:A, A214, Targets!H:H, "Transport sector mitigation target", Targets!J:J, "GHG") &gt; 0, "GHG target", IF(COUNTIFS(Targets!A:A, A214, Targets!H:H, "Transport sector mitigation target", Targets!J:J, "Non GHG") &gt; 0, "non-GHG target", ""))))</f>
        <v>No transport target</v>
      </c>
      <c r="M214" s="43" t="str">
        <f>IF(K214="no","No transport target",IF(L214="non-GHG target","No GHG transport target",IF(AND(COUNTIFS(Targets!A:A,A214,Targets!H:H,"Transport sector mitigation target",Targets!J:J,"GHG",Targets!L:L,"Conditional")&gt;0,COUNTIFS(Targets!A:A,A214,Targets!H:H,"Transport sector mitigation target",Targets!J:J,"GHG",Targets!L:L,"Unconditional")&gt;0),"GHG unconditional and conditional",IF(COUNTIFS(Targets!A:A,A214,Targets!H:H,"Transport sector mitigation target",Targets!J:J,"GHG",Targets!L:L,"Conditional")&gt;0,"GHG conditional only",IF(COUNTIFS(Targets!A:A,A214,Targets!H:H,"Transport sector mitigation target",Targets!J:J,"GHG",Targets!L:L,"Unconditional")&gt;0,"GHG unconditional only",IF(COUNTIFS(Targets!A:A,A214,Targets!H:H,"Transport sector mitigation target",Targets!J:J,"GHG",Targets!L:L,"Unclear conditionality")&gt;0,"Conditionality unclear",""))))))</f>
        <v>No transport target</v>
      </c>
      <c r="N214" s="43" t="str" cm="1">
        <f t="array" ref="N214">IF(ISNUMBER(MATCH("Transport sector adaptation target", _xlfn._xlws.FILTER(Targets!H:H, Targets!A:A =A214), 0)), "yes", "no")</f>
        <v>no</v>
      </c>
      <c r="O214" s="43" t="str">
        <f>IF(ISNA(MATCH(A214, Mitigation!A:A, 0)), "no", "yes")</f>
        <v>yes</v>
      </c>
      <c r="P214" s="43" t="str">
        <f>IF(ISNA(MATCH(A214, Adaptation!A:A, 0)), "no", "yes")</f>
        <v>no</v>
      </c>
      <c r="Q214" s="43" t="str">
        <f>IF(ISNA(MATCH(A214, Benefits!A:A, 0)), "no", "yes")</f>
        <v>no</v>
      </c>
      <c r="R214" s="43"/>
      <c r="S214" s="43"/>
      <c r="T214" s="43" t="s">
        <v>501</v>
      </c>
      <c r="U214" s="312" t="s">
        <v>731</v>
      </c>
      <c r="V214" s="233" t="str">
        <f>VLOOKUP(Table1[[#This Row],[Country Code]],Table29[],3,FALSE)</f>
        <v>Non-Annex I</v>
      </c>
      <c r="W214" s="233" t="str">
        <f>VLOOKUP(Table1[[#This Row],[Country Code]],Table29[],4,FALSE)</f>
        <v>Latin America and the Caribbean</v>
      </c>
      <c r="X214" s="233" t="str">
        <f>VLOOKUP(Table1[[#This Row],[Country Code]],Table29[],5,FALSE)</f>
        <v>Middle-income</v>
      </c>
      <c r="Y214" s="43"/>
      <c r="Z214" s="43"/>
    </row>
    <row r="215" spans="1:26" ht="15" customHeight="1" x14ac:dyDescent="0.25">
      <c r="A215" s="360">
        <v>32498</v>
      </c>
      <c r="B215" s="42" t="s">
        <v>173</v>
      </c>
      <c r="C215" s="243" t="str">
        <f>VLOOKUP(Table1[[#This Row],[Country Code]],Table29[],2,FALSE)</f>
        <v>Ecuador</v>
      </c>
      <c r="D215" s="243" t="str">
        <f t="shared" si="8"/>
        <v>Good</v>
      </c>
      <c r="E215" s="176" t="s">
        <v>71</v>
      </c>
      <c r="F215" s="43" t="s">
        <v>528</v>
      </c>
      <c r="G215" s="43" t="str">
        <f t="shared" si="9"/>
        <v>First NDC</v>
      </c>
      <c r="H215" s="43" t="s">
        <v>499</v>
      </c>
      <c r="I215" s="351">
        <v>43553</v>
      </c>
      <c r="J215" s="352" t="s">
        <v>500</v>
      </c>
      <c r="K215" s="320" t="str" cm="1">
        <f t="array" ref="K215">IF(ISNUMBER(MATCH("Transport sector mitigation target", _xlfn._xlws.FILTER(Targets!H:H, Targets!A:A =A215), 0)), "yes", "no")</f>
        <v>no</v>
      </c>
      <c r="L215" s="43" t="str">
        <f>IF(K215="no", "No transport target", IF(AND(COUNTIFS(Targets!A:A, A215, Targets!H:H, "Transport sector mitigation target", Targets!J:J, "GHG") &gt; 0, COUNTIFS(Targets!A:A, A215, Targets!H:H, "Transport sector mitigation target", Targets!J:J, "Non GHG") &gt; 0), "GHG and non-GHG target", IF(COUNTIFS(Targets!A:A, A215, Targets!H:H, "Transport sector mitigation target", Targets!J:J, "GHG") &gt; 0, "GHG target", IF(COUNTIFS(Targets!A:A, A215, Targets!H:H, "Transport sector mitigation target", Targets!J:J, "Non GHG") &gt; 0, "non-GHG target", ""))))</f>
        <v>No transport target</v>
      </c>
      <c r="M215" s="43" t="str">
        <f>IF(K215="no","No transport target",IF(L215="non-GHG target","No GHG transport target",IF(AND(COUNTIFS(Targets!A:A,A215,Targets!H:H,"Transport sector mitigation target",Targets!J:J,"GHG",Targets!L:L,"Conditional")&gt;0,COUNTIFS(Targets!A:A,A215,Targets!H:H,"Transport sector mitigation target",Targets!J:J,"GHG",Targets!L:L,"Unconditional")&gt;0),"GHG unconditional and conditional",IF(COUNTIFS(Targets!A:A,A215,Targets!H:H,"Transport sector mitigation target",Targets!J:J,"GHG",Targets!L:L,"Conditional")&gt;0,"GHG conditional only",IF(COUNTIFS(Targets!A:A,A215,Targets!H:H,"Transport sector mitigation target",Targets!J:J,"GHG",Targets!L:L,"Unconditional")&gt;0,"GHG unconditional only",IF(COUNTIFS(Targets!A:A,A215,Targets!H:H,"Transport sector mitigation target",Targets!J:J,"GHG",Targets!L:L,"Unclear conditionality")&gt;0,"Conditionality unclear",""))))))</f>
        <v>No transport target</v>
      </c>
      <c r="N215" s="43" t="str" cm="1">
        <f t="array" ref="N215">IF(ISNUMBER(MATCH("Transport sector adaptation target", _xlfn._xlws.FILTER(Targets!H:H, Targets!A:A =A215), 0)), "yes", "no")</f>
        <v>no</v>
      </c>
      <c r="O215" s="43" t="str">
        <f>IF(ISNA(MATCH(A215, Mitigation!A:A, 0)), "no", "yes")</f>
        <v>yes</v>
      </c>
      <c r="P215" s="43" t="str">
        <f>IF(ISNA(MATCH(A215, Adaptation!A:A, 0)), "no", "yes")</f>
        <v>no</v>
      </c>
      <c r="Q215" s="43" t="str">
        <f>IF(ISNA(MATCH(A215, Benefits!A:A, 0)), "no", "yes")</f>
        <v>yes</v>
      </c>
      <c r="R215" s="43"/>
      <c r="S215" s="43"/>
      <c r="T215" s="43" t="s">
        <v>501</v>
      </c>
      <c r="U215" s="312" t="s">
        <v>731</v>
      </c>
      <c r="V215" s="233" t="str">
        <f>VLOOKUP(Table1[[#This Row],[Country Code]],Table29[],3,FALSE)</f>
        <v>Non-Annex I</v>
      </c>
      <c r="W215" s="233" t="str">
        <f>VLOOKUP(Table1[[#This Row],[Country Code]],Table29[],4,FALSE)</f>
        <v>Latin America and the Caribbean</v>
      </c>
      <c r="X215" s="233" t="str">
        <f>VLOOKUP(Table1[[#This Row],[Country Code]],Table29[],5,FALSE)</f>
        <v>Middle-income</v>
      </c>
      <c r="Y215" s="43"/>
      <c r="Z215" s="43"/>
    </row>
    <row r="216" spans="1:26" ht="15" customHeight="1" x14ac:dyDescent="0.25">
      <c r="A216" s="360">
        <v>17689</v>
      </c>
      <c r="B216" s="20" t="s">
        <v>335</v>
      </c>
      <c r="C216" s="206" t="str">
        <f>VLOOKUP(Table1[[#This Row],[Country Code]],Table29[],2,FALSE)</f>
        <v>Oman</v>
      </c>
      <c r="D216" s="243" t="str">
        <f t="shared" si="8"/>
        <v>Good</v>
      </c>
      <c r="E216" s="20" t="s">
        <v>71</v>
      </c>
      <c r="F216" s="17" t="s">
        <v>498</v>
      </c>
      <c r="G216" s="43" t="str">
        <f t="shared" si="9"/>
        <v>First NDC</v>
      </c>
      <c r="H216" s="17" t="s">
        <v>499</v>
      </c>
      <c r="I216" s="149">
        <v>43607</v>
      </c>
      <c r="J216" s="49" t="s">
        <v>500</v>
      </c>
      <c r="K216" s="49" t="str" cm="1">
        <f t="array" ref="K216">IF(ISNUMBER(MATCH("Transport sector mitigation target", _xlfn._xlws.FILTER(Targets!H:H, Targets!A:A =A216), 0)), "yes", "no")</f>
        <v>no</v>
      </c>
      <c r="L216" s="17" t="str">
        <f>IF(K216="no", "No transport target", IF(AND(COUNTIFS(Targets!A:A, A216, Targets!H:H, "Transport sector mitigation target", Targets!J:J, "GHG") &gt; 0, COUNTIFS(Targets!A:A, A216, Targets!H:H, "Transport sector mitigation target", Targets!J:J, "Non GHG") &gt; 0), "GHG and non-GHG target", IF(COUNTIFS(Targets!A:A, A216, Targets!H:H, "Transport sector mitigation target", Targets!J:J, "GHG") &gt; 0, "GHG target", IF(COUNTIFS(Targets!A:A, A216, Targets!H:H, "Transport sector mitigation target", Targets!J:J, "Non GHG") &gt; 0, "non-GHG target", ""))))</f>
        <v>No transport target</v>
      </c>
      <c r="M216" s="17" t="str">
        <f>IF(K216="no","No transport target",IF(L216="non-GHG target","No GHG transport target",IF(AND(COUNTIFS(Targets!A:A,A216,Targets!H:H,"Transport sector mitigation target",Targets!J:J,"GHG",Targets!L:L,"Conditional")&gt;0,COUNTIFS(Targets!A:A,A216,Targets!H:H,"Transport sector mitigation target",Targets!J:J,"GHG",Targets!L:L,"Unconditional")&gt;0),"GHG unconditional and conditional",IF(COUNTIFS(Targets!A:A,A216,Targets!H:H,"Transport sector mitigation target",Targets!J:J,"GHG",Targets!L:L,"Conditional")&gt;0,"GHG conditional only",IF(COUNTIFS(Targets!A:A,A216,Targets!H:H,"Transport sector mitigation target",Targets!J:J,"GHG",Targets!L:L,"Unconditional")&gt;0,"GHG unconditional only",IF(COUNTIFS(Targets!A:A,A216,Targets!H:H,"Transport sector mitigation target",Targets!J:J,"GHG",Targets!L:L,"Unclear conditionality")&gt;0,"Conditionality unclear",""))))))</f>
        <v>No transport target</v>
      </c>
      <c r="N216" s="17" t="str" cm="1">
        <f t="array" ref="N216">IF(ISNUMBER(MATCH("Transport sector adaptation target", _xlfn._xlws.FILTER(Targets!H:H, Targets!A:A =A216), 0)), "yes", "no")</f>
        <v>no</v>
      </c>
      <c r="O216" s="17" t="str">
        <f>IF(ISNA(MATCH(A216, Mitigation!A:A, 0)), "no", "yes")</f>
        <v>no</v>
      </c>
      <c r="P216" s="17" t="str">
        <f>IF(ISNA(MATCH(A216, Adaptation!A:A, 0)), "no", "yes")</f>
        <v>no</v>
      </c>
      <c r="Q216" s="17" t="str">
        <f>IF(ISNA(MATCH(A216, Benefits!A:A, 0)), "no", "yes")</f>
        <v>no</v>
      </c>
      <c r="R216" s="17"/>
      <c r="S216" s="17"/>
      <c r="T216" s="17" t="s">
        <v>501</v>
      </c>
      <c r="U216" s="135" t="s">
        <v>732</v>
      </c>
      <c r="V216" s="207" t="str">
        <f>VLOOKUP(Table1[[#This Row],[Country Code]],Table29[],3,FALSE)</f>
        <v>Non-Annex I</v>
      </c>
      <c r="W216" s="207" t="str">
        <f>VLOOKUP(Table1[[#This Row],[Country Code]],Table29[],4,FALSE)</f>
        <v>Asia</v>
      </c>
      <c r="X216" s="207" t="str">
        <f>VLOOKUP(Table1[[#This Row],[Country Code]],Table29[],5,FALSE)</f>
        <v>High-income</v>
      </c>
      <c r="Y216" s="17"/>
      <c r="Z216" s="17"/>
    </row>
    <row r="217" spans="1:26" ht="15" customHeight="1" x14ac:dyDescent="0.25">
      <c r="A217" s="360">
        <v>17627</v>
      </c>
      <c r="B217" s="43" t="s">
        <v>245</v>
      </c>
      <c r="C217" s="243" t="str">
        <f>VLOOKUP(Table1[[#This Row],[Country Code]],Table29[],2,FALSE)</f>
        <v>Japan</v>
      </c>
      <c r="D217" s="243" t="str">
        <f t="shared" si="8"/>
        <v>Good</v>
      </c>
      <c r="E217" s="176" t="s">
        <v>227</v>
      </c>
      <c r="F217" s="43" t="s">
        <v>530</v>
      </c>
      <c r="G217" s="43" t="str">
        <f t="shared" si="9"/>
        <v>Archived LTS 1.0</v>
      </c>
      <c r="H217" s="43" t="s">
        <v>636</v>
      </c>
      <c r="I217" s="351">
        <v>43642</v>
      </c>
      <c r="J217" s="320" t="s">
        <v>500</v>
      </c>
      <c r="K217" s="320" t="str" cm="1">
        <f t="array" ref="K217">IF(ISNUMBER(MATCH("Transport sector mitigation target", _xlfn._xlws.FILTER(Targets!H:H, Targets!A:A =A217), 0)), "yes", "no")</f>
        <v>yes</v>
      </c>
      <c r="L217" s="43" t="str">
        <f>IF(K217="no", "No transport target", IF(AND(COUNTIFS(Targets!A:A, A217, Targets!H:H, "Transport sector mitigation target", Targets!J:J, "GHG") &gt; 0, COUNTIFS(Targets!A:A, A217, Targets!H:H, "Transport sector mitigation target", Targets!J:J, "Non GHG") &gt; 0), "GHG and non-GHG target", IF(COUNTIFS(Targets!A:A, A217, Targets!H:H, "Transport sector mitigation target", Targets!J:J, "GHG") &gt; 0, "GHG target", IF(COUNTIFS(Targets!A:A, A217, Targets!H:H, "Transport sector mitigation target", Targets!J:J, "Non GHG") &gt; 0, "non-GHG target", ""))))</f>
        <v>GHG and non-GHG target</v>
      </c>
      <c r="M217" s="43" t="str">
        <f>IF(K217="no","No transport target",IF(L217="non-GHG target","No GHG transport target",IF(AND(COUNTIFS(Targets!A:A,A217,Targets!H:H,"Transport sector mitigation target",Targets!J:J,"GHG",Targets!L:L,"Conditional")&gt;0,COUNTIFS(Targets!A:A,A217,Targets!H:H,"Transport sector mitigation target",Targets!J:J,"GHG",Targets!L:L,"Unconditional")&gt;0),"GHG unconditional and conditional",IF(COUNTIFS(Targets!A:A,A217,Targets!H:H,"Transport sector mitigation target",Targets!J:J,"GHG",Targets!L:L,"Conditional")&gt;0,"GHG conditional only",IF(COUNTIFS(Targets!A:A,A217,Targets!H:H,"Transport sector mitigation target",Targets!J:J,"GHG",Targets!L:L,"Unconditional")&gt;0,"GHG unconditional only",IF(COUNTIFS(Targets!A:A,A217,Targets!H:H,"Transport sector mitigation target",Targets!J:J,"GHG",Targets!L:L,"Unclear conditionality")&gt;0,"Conditionality unclear",""))))))</f>
        <v>GHG unconditional only</v>
      </c>
      <c r="N217" s="43" t="str" cm="1">
        <f t="array" ref="N217">IF(ISNUMBER(MATCH("Transport sector adaptation target", _xlfn._xlws.FILTER(Targets!H:H, Targets!A:A =A217), 0)), "yes", "no")</f>
        <v>no</v>
      </c>
      <c r="O217" s="43" t="str">
        <f>IF(ISNA(MATCH(A217, Mitigation!A:A, 0)), "no", "yes")</f>
        <v>yes</v>
      </c>
      <c r="P217" s="43" t="str">
        <f>IF(ISNA(MATCH(A217, Adaptation!A:A, 0)), "no", "yes")</f>
        <v>no</v>
      </c>
      <c r="Q217" s="43" t="str">
        <f>IF(ISNA(MATCH(A217, Benefits!A:A, 0)), "no", "yes")</f>
        <v>no</v>
      </c>
      <c r="R217" s="43"/>
      <c r="S217" s="43"/>
      <c r="T217" s="43" t="s">
        <v>501</v>
      </c>
      <c r="U217" s="312" t="s">
        <v>733</v>
      </c>
      <c r="V217" s="233" t="str">
        <f>VLOOKUP(Table1[[#This Row],[Country Code]],Table29[],3,FALSE)</f>
        <v>Annex I</v>
      </c>
      <c r="W217" s="233" t="str">
        <f>VLOOKUP(Table1[[#This Row],[Country Code]],Table29[],4,FALSE)</f>
        <v>Asia</v>
      </c>
      <c r="X217" s="233" t="str">
        <f>VLOOKUP(Table1[[#This Row],[Country Code]],Table29[],5,FALSE)</f>
        <v>High-income</v>
      </c>
      <c r="Y217" s="43"/>
      <c r="Z217" s="43"/>
    </row>
    <row r="218" spans="1:26" ht="15" customHeight="1" x14ac:dyDescent="0.25">
      <c r="A218" s="360">
        <v>17573</v>
      </c>
      <c r="B218" s="17" t="s">
        <v>160</v>
      </c>
      <c r="C218" s="206" t="str">
        <f>VLOOKUP(Table1[[#This Row],[Country Code]],Table29[],2,FALSE)</f>
        <v>Democratic People's Republic of Korea</v>
      </c>
      <c r="D218" s="243" t="str">
        <f t="shared" si="8"/>
        <v>Good</v>
      </c>
      <c r="E218" s="20" t="s">
        <v>71</v>
      </c>
      <c r="F218" s="17" t="s">
        <v>528</v>
      </c>
      <c r="G218" s="43" t="str">
        <f t="shared" si="9"/>
        <v>First NDC updated</v>
      </c>
      <c r="H218" s="17" t="s">
        <v>691</v>
      </c>
      <c r="I218" s="149">
        <v>43727</v>
      </c>
      <c r="J218" s="187" t="s">
        <v>505</v>
      </c>
      <c r="K218" s="49" t="str" cm="1">
        <f t="array" ref="K218">IF(ISNUMBER(MATCH("Transport sector mitigation target", _xlfn._xlws.FILTER(Targets!H:H, Targets!A:A =A218), 0)), "yes", "no")</f>
        <v>no</v>
      </c>
      <c r="L218" s="17" t="str">
        <f>IF(K218="no", "No transport target", IF(AND(COUNTIFS(Targets!A:A, A218, Targets!H:H, "Transport sector mitigation target", Targets!J:J, "GHG") &gt; 0, COUNTIFS(Targets!A:A, A218, Targets!H:H, "Transport sector mitigation target", Targets!J:J, "Non GHG") &gt; 0), "GHG and non-GHG target", IF(COUNTIFS(Targets!A:A, A218, Targets!H:H, "Transport sector mitigation target", Targets!J:J, "GHG") &gt; 0, "GHG target", IF(COUNTIFS(Targets!A:A, A218, Targets!H:H, "Transport sector mitigation target", Targets!J:J, "Non GHG") &gt; 0, "non-GHG target", ""))))</f>
        <v>No transport target</v>
      </c>
      <c r="M218" s="17" t="str">
        <f>IF(K218="no","No transport target",IF(L218="non-GHG target","No GHG transport target",IF(AND(COUNTIFS(Targets!A:A,A218,Targets!H:H,"Transport sector mitigation target",Targets!J:J,"GHG",Targets!L:L,"Conditional")&gt;0,COUNTIFS(Targets!A:A,A218,Targets!H:H,"Transport sector mitigation target",Targets!J:J,"GHG",Targets!L:L,"Unconditional")&gt;0),"GHG unconditional and conditional",IF(COUNTIFS(Targets!A:A,A218,Targets!H:H,"Transport sector mitigation target",Targets!J:J,"GHG",Targets!L:L,"Conditional")&gt;0,"GHG conditional only",IF(COUNTIFS(Targets!A:A,A218,Targets!H:H,"Transport sector mitigation target",Targets!J:J,"GHG",Targets!L:L,"Unconditional")&gt;0,"GHG unconditional only",IF(COUNTIFS(Targets!A:A,A218,Targets!H:H,"Transport sector mitigation target",Targets!J:J,"GHG",Targets!L:L,"Unclear conditionality")&gt;0,"Conditionality unclear",""))))))</f>
        <v>No transport target</v>
      </c>
      <c r="N218" s="17" t="str" cm="1">
        <f t="array" ref="N218">IF(ISNUMBER(MATCH("Transport sector adaptation target", _xlfn._xlws.FILTER(Targets!H:H, Targets!A:A =A218), 0)), "yes", "no")</f>
        <v>no</v>
      </c>
      <c r="O218" s="17" t="str">
        <f>IF(ISNA(MATCH(A218, Mitigation!A:A, 0)), "no", "yes")</f>
        <v>no</v>
      </c>
      <c r="P218" s="17" t="str">
        <f>IF(ISNA(MATCH(A218, Adaptation!A:A, 0)), "no", "yes")</f>
        <v>no</v>
      </c>
      <c r="Q218" s="17" t="str">
        <f>IF(ISNA(MATCH(A218, Benefits!A:A, 0)), "no", "yes")</f>
        <v>no</v>
      </c>
      <c r="R218" s="17"/>
      <c r="S218" s="17"/>
      <c r="T218" s="17" t="s">
        <v>501</v>
      </c>
      <c r="U218" s="135" t="s">
        <v>734</v>
      </c>
      <c r="V218" s="207" t="str">
        <f>VLOOKUP(Table1[[#This Row],[Country Code]],Table29[],3,FALSE)</f>
        <v>Non-Annex I</v>
      </c>
      <c r="W218" s="207" t="str">
        <f>VLOOKUP(Table1[[#This Row],[Country Code]],Table29[],4,FALSE)</f>
        <v>Asia</v>
      </c>
      <c r="X218" s="207" t="str">
        <f>VLOOKUP(Table1[[#This Row],[Country Code]],Table29[],5,FALSE)</f>
        <v>Low-income</v>
      </c>
      <c r="Y218" s="17"/>
      <c r="Z218" s="17"/>
    </row>
    <row r="219" spans="1:26" ht="15" customHeight="1" x14ac:dyDescent="0.25">
      <c r="A219" s="360">
        <v>17532</v>
      </c>
      <c r="B219" s="43" t="s">
        <v>101</v>
      </c>
      <c r="C219" s="243" t="str">
        <f>VLOOKUP(Table1[[#This Row],[Country Code]],Table29[],2,FALSE)</f>
        <v>Benin</v>
      </c>
      <c r="D219" s="243" t="str">
        <f t="shared" si="8"/>
        <v>Good</v>
      </c>
      <c r="E219" s="176" t="s">
        <v>227</v>
      </c>
      <c r="F219" s="43" t="s">
        <v>227</v>
      </c>
      <c r="G219" s="43" t="str">
        <f t="shared" si="9"/>
        <v>LTS</v>
      </c>
      <c r="H219" s="43" t="s">
        <v>636</v>
      </c>
      <c r="I219" s="351">
        <v>42716</v>
      </c>
      <c r="J219" s="352" t="s">
        <v>505</v>
      </c>
      <c r="K219" s="320" t="str" cm="1">
        <f t="array" ref="K219">IF(ISNUMBER(MATCH("Transport sector mitigation target", _xlfn._xlws.FILTER(Targets!H:H, Targets!A:A =A219), 0)), "yes", "no")</f>
        <v>no</v>
      </c>
      <c r="L219" s="43" t="str">
        <f>IF(K219="no", "No transport target", IF(AND(COUNTIFS(Targets!A:A, A219, Targets!H:H, "Transport sector mitigation target", Targets!J:J, "GHG") &gt; 0, COUNTIFS(Targets!A:A, A219, Targets!H:H, "Transport sector mitigation target", Targets!J:J, "Non GHG") &gt; 0), "GHG and non-GHG target", IF(COUNTIFS(Targets!A:A, A219, Targets!H:H, "Transport sector mitigation target", Targets!J:J, "GHG") &gt; 0, "GHG target", IF(COUNTIFS(Targets!A:A, A219, Targets!H:H, "Transport sector mitigation target", Targets!J:J, "Non GHG") &gt; 0, "non-GHG target", ""))))</f>
        <v>No transport target</v>
      </c>
      <c r="M219" s="43" t="str">
        <f>IF(K219="no","No transport target",IF(L219="non-GHG target","No GHG transport target",IF(AND(COUNTIFS(Targets!A:A,A219,Targets!H:H,"Transport sector mitigation target",Targets!J:J,"GHG",Targets!L:L,"Conditional")&gt;0,COUNTIFS(Targets!A:A,A219,Targets!H:H,"Transport sector mitigation target",Targets!J:J,"GHG",Targets!L:L,"Unconditional")&gt;0),"GHG unconditional and conditional",IF(COUNTIFS(Targets!A:A,A219,Targets!H:H,"Transport sector mitigation target",Targets!J:J,"GHG",Targets!L:L,"Conditional")&gt;0,"GHG conditional only",IF(COUNTIFS(Targets!A:A,A219,Targets!H:H,"Transport sector mitigation target",Targets!J:J,"GHG",Targets!L:L,"Unconditional")&gt;0,"GHG unconditional only",IF(COUNTIFS(Targets!A:A,A219,Targets!H:H,"Transport sector mitigation target",Targets!J:J,"GHG",Targets!L:L,"Unclear conditionality")&gt;0,"Conditionality unclear",""))))))</f>
        <v>No transport target</v>
      </c>
      <c r="N219" s="43" t="str" cm="1">
        <f t="array" ref="N219">IF(ISNUMBER(MATCH("Transport sector adaptation target", _xlfn._xlws.FILTER(Targets!H:H, Targets!A:A =A219), 0)), "yes", "no")</f>
        <v>no</v>
      </c>
      <c r="O219" s="43" t="str">
        <f>IF(ISNA(MATCH(A219, Mitigation!A:A, 0)), "no", "yes")</f>
        <v>yes</v>
      </c>
      <c r="P219" s="43" t="str">
        <f>IF(ISNA(MATCH(A219, Adaptation!A:A, 0)), "no", "yes")</f>
        <v>no</v>
      </c>
      <c r="Q219" s="43" t="str">
        <f>IF(ISNA(MATCH(A219, Benefits!A:A, 0)), "no", "yes")</f>
        <v>no</v>
      </c>
      <c r="R219" s="43"/>
      <c r="S219" s="43"/>
      <c r="T219" s="43" t="s">
        <v>501</v>
      </c>
      <c r="U219" s="312" t="s">
        <v>735</v>
      </c>
      <c r="V219" s="233" t="str">
        <f>VLOOKUP(Table1[[#This Row],[Country Code]],Table29[],3,FALSE)</f>
        <v>Non-Annex I</v>
      </c>
      <c r="W219" s="233" t="str">
        <f>VLOOKUP(Table1[[#This Row],[Country Code]],Table29[],4,FALSE)</f>
        <v>Africa</v>
      </c>
      <c r="X219" s="233" t="str">
        <f>VLOOKUP(Table1[[#This Row],[Country Code]],Table29[],5,FALSE)</f>
        <v>Middle-income</v>
      </c>
      <c r="Y219" s="43"/>
      <c r="Z219" s="43"/>
    </row>
    <row r="220" spans="1:26" ht="15" customHeight="1" x14ac:dyDescent="0.25">
      <c r="A220" s="405">
        <v>17748</v>
      </c>
      <c r="B220" s="17" t="s">
        <v>414</v>
      </c>
      <c r="C220" s="206" t="str">
        <f>VLOOKUP(Table1[[#This Row],[Country Code]],Table29[],2,FALSE)</f>
        <v>Suriname</v>
      </c>
      <c r="D220" s="243" t="str">
        <f t="shared" si="8"/>
        <v>Good</v>
      </c>
      <c r="E220" s="20" t="s">
        <v>71</v>
      </c>
      <c r="F220" s="17" t="s">
        <v>555</v>
      </c>
      <c r="G220" s="43" t="str">
        <f t="shared" si="9"/>
        <v>Second NDC</v>
      </c>
      <c r="H220" s="17" t="s">
        <v>714</v>
      </c>
      <c r="I220" s="149">
        <v>43808</v>
      </c>
      <c r="J220" s="187" t="s">
        <v>505</v>
      </c>
      <c r="K220" s="49" t="str" cm="1">
        <f t="array" ref="K220">IF(ISNUMBER(MATCH("Transport sector mitigation target", _xlfn._xlws.FILTER(Targets!H:H, Targets!A:A =A220), 0)), "yes", "no")</f>
        <v>no</v>
      </c>
      <c r="L220" s="17" t="str">
        <f>IF(K220="no", "No transport target", IF(AND(COUNTIFS(Targets!A:A, A220, Targets!H:H, "Transport sector mitigation target", Targets!J:J, "GHG") &gt; 0, COUNTIFS(Targets!A:A, A220, Targets!H:H, "Transport sector mitigation target", Targets!J:J, "Non GHG") &gt; 0), "GHG and non-GHG target", IF(COUNTIFS(Targets!A:A, A220, Targets!H:H, "Transport sector mitigation target", Targets!J:J, "GHG") &gt; 0, "GHG target", IF(COUNTIFS(Targets!A:A, A220, Targets!H:H, "Transport sector mitigation target", Targets!J:J, "Non GHG") &gt; 0, "non-GHG target", ""))))</f>
        <v>No transport target</v>
      </c>
      <c r="M220" s="17" t="str">
        <f>IF(K220="no","No transport target",IF(L220="non-GHG target","No GHG transport target",IF(AND(COUNTIFS(Targets!A:A,A220,Targets!H:H,"Transport sector mitigation target",Targets!J:J,"GHG",Targets!L:L,"Conditional")&gt;0,COUNTIFS(Targets!A:A,A220,Targets!H:H,"Transport sector mitigation target",Targets!J:J,"GHG",Targets!L:L,"Unconditional")&gt;0),"GHG unconditional and conditional",IF(COUNTIFS(Targets!A:A,A220,Targets!H:H,"Transport sector mitigation target",Targets!J:J,"GHG",Targets!L:L,"Conditional")&gt;0,"GHG conditional only",IF(COUNTIFS(Targets!A:A,A220,Targets!H:H,"Transport sector mitigation target",Targets!J:J,"GHG",Targets!L:L,"Unconditional")&gt;0,"GHG unconditional only",IF(COUNTIFS(Targets!A:A,A220,Targets!H:H,"Transport sector mitigation target",Targets!J:J,"GHG",Targets!L:L,"Unclear conditionality")&gt;0,"Conditionality unclear",""))))))</f>
        <v>No transport target</v>
      </c>
      <c r="N220" s="17" t="str" cm="1">
        <f t="array" ref="N220">IF(ISNUMBER(MATCH("Transport sector adaptation target", _xlfn._xlws.FILTER(Targets!H:H, Targets!A:A =A220), 0)), "yes", "no")</f>
        <v>no</v>
      </c>
      <c r="O220" s="17" t="str">
        <f>IF(ISNA(MATCH(A220, Mitigation!A:A, 0)), "no", "yes")</f>
        <v>yes</v>
      </c>
      <c r="P220" s="17" t="str">
        <f>IF(ISNA(MATCH(A220, Adaptation!A:A, 0)), "no", "yes")</f>
        <v>yes</v>
      </c>
      <c r="Q220" s="17" t="str">
        <f>IF(ISNA(MATCH(A220, Benefits!A:A, 0)), "no", "yes")</f>
        <v>yes</v>
      </c>
      <c r="R220" s="17"/>
      <c r="S220" s="17"/>
      <c r="T220" s="17" t="s">
        <v>501</v>
      </c>
      <c r="U220" s="135" t="s">
        <v>736</v>
      </c>
      <c r="V220" s="207" t="str">
        <f>VLOOKUP(Table1[[#This Row],[Country Code]],Table29[],3,FALSE)</f>
        <v>Non-Annex I</v>
      </c>
      <c r="W220" s="207" t="str">
        <f>VLOOKUP(Table1[[#This Row],[Country Code]],Table29[],4,FALSE)</f>
        <v>Latin America and the Caribbean</v>
      </c>
      <c r="X220" s="207" t="str">
        <f>VLOOKUP(Table1[[#This Row],[Country Code]],Table29[],5,FALSE)</f>
        <v>Middle-income</v>
      </c>
      <c r="Y220" s="17"/>
      <c r="Z220" s="17"/>
    </row>
    <row r="221" spans="1:26" ht="15" customHeight="1" x14ac:dyDescent="0.25">
      <c r="A221" s="360">
        <v>39438</v>
      </c>
      <c r="B221" s="176" t="s">
        <v>85</v>
      </c>
      <c r="C221" s="243" t="str">
        <f>VLOOKUP(Table1[[#This Row],[Country Code]],Table29[],2,FALSE)</f>
        <v>Azerbaijan</v>
      </c>
      <c r="D221" s="243" t="str">
        <f t="shared" si="8"/>
        <v>Good</v>
      </c>
      <c r="E221" s="176" t="s">
        <v>71</v>
      </c>
      <c r="F221" s="43" t="s">
        <v>555</v>
      </c>
      <c r="G221" s="43" t="str">
        <f t="shared" si="9"/>
        <v>Second NDC</v>
      </c>
      <c r="H221" s="350" t="s">
        <v>714</v>
      </c>
      <c r="I221" s="355">
        <v>45209</v>
      </c>
      <c r="J221" s="352" t="s">
        <v>505</v>
      </c>
      <c r="K221" s="320" t="str" cm="1">
        <f t="array" ref="K221">IF(ISNUMBER(MATCH("Transport sector mitigation target", _xlfn._xlws.FILTER(Targets!H:H, Targets!A:A =A221), 0)), "yes", "no")</f>
        <v>yes</v>
      </c>
      <c r="L221" s="43" t="str">
        <f>IF(K221="no", "No transport target", IF(AND(COUNTIFS(Targets!A:A, A221, Targets!H:H, "Transport sector mitigation target", Targets!J:J, "GHG") &gt; 0, COUNTIFS(Targets!A:A, A221, Targets!H:H, "Transport sector mitigation target", Targets!J:J, "Non GHG") &gt; 0), "GHG and non-GHG target", IF(COUNTIFS(Targets!A:A, A221, Targets!H:H, "Transport sector mitigation target", Targets!J:J, "GHG") &gt; 0, "GHG target", IF(COUNTIFS(Targets!A:A, A221, Targets!H:H, "Transport sector mitigation target", Targets!J:J, "Non GHG") &gt; 0, "non-GHG target", ""))))</f>
        <v>GHG and non-GHG target</v>
      </c>
      <c r="M221" s="43" t="str">
        <f>IF(K221="no","No transport target",IF(L221="non-GHG target","No GHG transport target",IF(AND(COUNTIFS(Targets!A:A,A221,Targets!H:H,"Transport sector mitigation target",Targets!J:J,"GHG",Targets!L:L,"Conditional")&gt;0,COUNTIFS(Targets!A:A,A221,Targets!H:H,"Transport sector mitigation target",Targets!J:J,"GHG",Targets!L:L,"Unconditional")&gt;0),"GHG unconditional and conditional",IF(COUNTIFS(Targets!A:A,A221,Targets!H:H,"Transport sector mitigation target",Targets!J:J,"GHG",Targets!L:L,"Conditional")&gt;0,"GHG conditional only",IF(COUNTIFS(Targets!A:A,A221,Targets!H:H,"Transport sector mitigation target",Targets!J:J,"GHG",Targets!L:L,"Unconditional")&gt;0,"GHG unconditional only",IF(COUNTIFS(Targets!A:A,A221,Targets!H:H,"Transport sector mitigation target",Targets!J:J,"GHG",Targets!L:L,"Unclear conditionality")&gt;0,"Conditionality unclear",""))))))</f>
        <v>GHG conditional only</v>
      </c>
      <c r="N221" s="43" t="str" cm="1">
        <f t="array" ref="N221">IF(ISNUMBER(MATCH("Transport sector adaptation target", _xlfn._xlws.FILTER(Targets!H:H, Targets!A:A =A221), 0)), "yes", "no")</f>
        <v>no</v>
      </c>
      <c r="O221" s="43" t="str">
        <f>IF(ISNA(MATCH(A221, Mitigation!A:A, 0)), "no", "yes")</f>
        <v>yes</v>
      </c>
      <c r="P221" s="43" t="str">
        <f>IF(ISNA(MATCH(A221, Adaptation!A:A, 0)), "no", "yes")</f>
        <v>no</v>
      </c>
      <c r="Q221" s="43" t="str">
        <f>IF(ISNA(MATCH(A221, Benefits!A:A, 0)), "no", "yes")</f>
        <v>yes</v>
      </c>
      <c r="R221" s="43"/>
      <c r="S221" s="43"/>
      <c r="T221" s="43" t="s">
        <v>501</v>
      </c>
      <c r="U221" s="356" t="s">
        <v>737</v>
      </c>
      <c r="V221" s="233" t="str">
        <f>VLOOKUP(Table1[[#This Row],[Country Code]],Table29[],3,FALSE)</f>
        <v>Non-Annex I</v>
      </c>
      <c r="W221" s="233" t="str">
        <f>VLOOKUP(Table1[[#This Row],[Country Code]],Table29[],4,FALSE)</f>
        <v>Asia</v>
      </c>
      <c r="X221" s="233" t="str">
        <f>VLOOKUP(Table1[[#This Row],[Country Code]],Table29[],5,FALSE)</f>
        <v>Middle-income</v>
      </c>
      <c r="Y221" s="43"/>
      <c r="Z221" s="43"/>
    </row>
    <row r="222" spans="1:26" ht="15" customHeight="1" x14ac:dyDescent="0.25">
      <c r="A222" s="360">
        <v>32496</v>
      </c>
      <c r="B222" s="42" t="s">
        <v>87</v>
      </c>
      <c r="C222" s="243" t="str">
        <f>VLOOKUP(Table1[[#This Row],[Country Code]],Table29[],2,FALSE)</f>
        <v>Bahamas</v>
      </c>
      <c r="D222" s="243" t="str">
        <f t="shared" si="8"/>
        <v>Good</v>
      </c>
      <c r="E222" s="176" t="s">
        <v>71</v>
      </c>
      <c r="F222" s="43" t="s">
        <v>528</v>
      </c>
      <c r="G222" s="43" t="str">
        <f t="shared" si="9"/>
        <v>First NDC updated</v>
      </c>
      <c r="H222" s="43" t="s">
        <v>691</v>
      </c>
      <c r="I222" s="355">
        <v>44872</v>
      </c>
      <c r="J222" s="352" t="s">
        <v>505</v>
      </c>
      <c r="K222" s="320" t="str" cm="1">
        <f t="array" ref="K222">IF(ISNUMBER(MATCH("Transport sector mitigation target", _xlfn._xlws.FILTER(Targets!H:H, Targets!A:A =A222), 0)), "yes", "no")</f>
        <v>yes</v>
      </c>
      <c r="L222" s="43" t="str">
        <f>IF(K222="no", "No transport target", IF(AND(COUNTIFS(Targets!A:A, A222, Targets!H:H, "Transport sector mitigation target", Targets!J:J, "GHG") &gt; 0, COUNTIFS(Targets!A:A, A222, Targets!H:H, "Transport sector mitigation target", Targets!J:J, "Non GHG") &gt; 0), "GHG and non-GHG target", IF(COUNTIFS(Targets!A:A, A222, Targets!H:H, "Transport sector mitigation target", Targets!J:J, "GHG") &gt; 0, "GHG target", IF(COUNTIFS(Targets!A:A, A222, Targets!H:H, "Transport sector mitigation target", Targets!J:J, "Non GHG") &gt; 0, "non-GHG target", ""))))</f>
        <v>non-GHG target</v>
      </c>
      <c r="M222" s="43" t="str">
        <f>IF(K222="no","No transport target",IF(L222="non-GHG target","No GHG transport target",IF(AND(COUNTIFS(Targets!A:A,A222,Targets!H:H,"Transport sector mitigation target",Targets!J:J,"GHG",Targets!L:L,"Conditional")&gt;0,COUNTIFS(Targets!A:A,A222,Targets!H:H,"Transport sector mitigation target",Targets!J:J,"GHG",Targets!L:L,"Unconditional")&gt;0),"GHG unconditional and conditional",IF(COUNTIFS(Targets!A:A,A222,Targets!H:H,"Transport sector mitigation target",Targets!J:J,"GHG",Targets!L:L,"Conditional")&gt;0,"GHG conditional only",IF(COUNTIFS(Targets!A:A,A222,Targets!H:H,"Transport sector mitigation target",Targets!J:J,"GHG",Targets!L:L,"Unconditional")&gt;0,"GHG unconditional only",IF(COUNTIFS(Targets!A:A,A222,Targets!H:H,"Transport sector mitigation target",Targets!J:J,"GHG",Targets!L:L,"Unclear conditionality")&gt;0,"Conditionality unclear",""))))))</f>
        <v>No GHG transport target</v>
      </c>
      <c r="N222" s="43" t="str" cm="1">
        <f t="array" ref="N222">IF(ISNUMBER(MATCH("Transport sector adaptation target", _xlfn._xlws.FILTER(Targets!H:H, Targets!A:A =A222), 0)), "yes", "no")</f>
        <v>no</v>
      </c>
      <c r="O222" s="43" t="str">
        <f>IF(ISNA(MATCH(A222, Mitigation!A:A, 0)), "no", "yes")</f>
        <v>yes</v>
      </c>
      <c r="P222" s="43" t="str">
        <f>IF(ISNA(MATCH(A222, Adaptation!A:A, 0)), "no", "yes")</f>
        <v>yes</v>
      </c>
      <c r="Q222" s="43" t="str">
        <f>IF(ISNA(MATCH(A222, Benefits!A:A, 0)), "no", "yes")</f>
        <v>no</v>
      </c>
      <c r="R222" s="43"/>
      <c r="S222" s="43"/>
      <c r="T222" s="43" t="s">
        <v>501</v>
      </c>
      <c r="U222" s="312" t="s">
        <v>738</v>
      </c>
      <c r="V222" s="233" t="str">
        <f>VLOOKUP(Table1[[#This Row],[Country Code]],Table29[],3,FALSE)</f>
        <v>Non-Annex I</v>
      </c>
      <c r="W222" s="233" t="str">
        <f>VLOOKUP(Table1[[#This Row],[Country Code]],Table29[],4,FALSE)</f>
        <v>Latin America and the Caribbean</v>
      </c>
      <c r="X222" s="233" t="str">
        <f>VLOOKUP(Table1[[#This Row],[Country Code]],Table29[],5,FALSE)</f>
        <v>High-income</v>
      </c>
      <c r="Y222" s="43"/>
      <c r="Z222" s="43"/>
    </row>
    <row r="223" spans="1:26" ht="15" customHeight="1" x14ac:dyDescent="0.25">
      <c r="A223" s="360">
        <v>17640</v>
      </c>
      <c r="B223" s="176" t="s">
        <v>266</v>
      </c>
      <c r="C223" s="243" t="str">
        <f>VLOOKUP(Table1[[#This Row],[Country Code]],Table29[],2,FALSE)</f>
        <v>Lebanon</v>
      </c>
      <c r="D223" s="243" t="str">
        <f t="shared" si="8"/>
        <v>Good</v>
      </c>
      <c r="E223" s="176" t="s">
        <v>71</v>
      </c>
      <c r="F223" s="43" t="s">
        <v>498</v>
      </c>
      <c r="G223" s="43" t="str">
        <f t="shared" si="9"/>
        <v>First NDC</v>
      </c>
      <c r="H223" s="43" t="s">
        <v>499</v>
      </c>
      <c r="I223" s="351">
        <v>43866</v>
      </c>
      <c r="J223" s="320" t="s">
        <v>500</v>
      </c>
      <c r="K223" s="320" t="str" cm="1">
        <f t="array" ref="K223">IF(ISNUMBER(MATCH("Transport sector mitigation target", _xlfn._xlws.FILTER(Targets!H:H, Targets!A:A =A223), 0)), "yes", "no")</f>
        <v>no</v>
      </c>
      <c r="L223" s="43" t="str">
        <f>IF(K223="no", "No transport target", IF(AND(COUNTIFS(Targets!A:A, A223, Targets!H:H, "Transport sector mitigation target", Targets!J:J, "GHG") &gt; 0, COUNTIFS(Targets!A:A, A223, Targets!H:H, "Transport sector mitigation target", Targets!J:J, "Non GHG") &gt; 0), "GHG and non-GHG target", IF(COUNTIFS(Targets!A:A, A223, Targets!H:H, "Transport sector mitigation target", Targets!J:J, "GHG") &gt; 0, "GHG target", IF(COUNTIFS(Targets!A:A, A223, Targets!H:H, "Transport sector mitigation target", Targets!J:J, "Non GHG") &gt; 0, "non-GHG target", ""))))</f>
        <v>No transport target</v>
      </c>
      <c r="M223" s="43" t="str">
        <f>IF(K223="no","No transport target",IF(L223="non-GHG target","No GHG transport target",IF(AND(COUNTIFS(Targets!A:A,A223,Targets!H:H,"Transport sector mitigation target",Targets!J:J,"GHG",Targets!L:L,"Conditional")&gt;0,COUNTIFS(Targets!A:A,A223,Targets!H:H,"Transport sector mitigation target",Targets!J:J,"GHG",Targets!L:L,"Unconditional")&gt;0),"GHG unconditional and conditional",IF(COUNTIFS(Targets!A:A,A223,Targets!H:H,"Transport sector mitigation target",Targets!J:J,"GHG",Targets!L:L,"Conditional")&gt;0,"GHG conditional only",IF(COUNTIFS(Targets!A:A,A223,Targets!H:H,"Transport sector mitigation target",Targets!J:J,"GHG",Targets!L:L,"Unconditional")&gt;0,"GHG unconditional only",IF(COUNTIFS(Targets!A:A,A223,Targets!H:H,"Transport sector mitigation target",Targets!J:J,"GHG",Targets!L:L,"Unclear conditionality")&gt;0,"Conditionality unclear",""))))))</f>
        <v>No transport target</v>
      </c>
      <c r="N223" s="43" t="str" cm="1">
        <f t="array" ref="N223">IF(ISNUMBER(MATCH("Transport sector adaptation target", _xlfn._xlws.FILTER(Targets!H:H, Targets!A:A =A223), 0)), "yes", "no")</f>
        <v>no</v>
      </c>
      <c r="O223" s="43" t="str">
        <f>IF(ISNA(MATCH(A223, Mitigation!A:A, 0)), "no", "yes")</f>
        <v>yes</v>
      </c>
      <c r="P223" s="43" t="str">
        <f>IF(ISNA(MATCH(A223, Adaptation!A:A, 0)), "no", "yes")</f>
        <v>no</v>
      </c>
      <c r="Q223" s="43" t="str">
        <f>IF(ISNA(MATCH(A223, Benefits!A:A, 0)), "no", "yes")</f>
        <v>no</v>
      </c>
      <c r="R223" s="43"/>
      <c r="S223" s="43"/>
      <c r="T223" s="43" t="s">
        <v>501</v>
      </c>
      <c r="U223" s="312" t="s">
        <v>739</v>
      </c>
      <c r="V223" s="233" t="str">
        <f>VLOOKUP(Table1[[#This Row],[Country Code]],Table29[],3,FALSE)</f>
        <v>Non-Annex I</v>
      </c>
      <c r="W223" s="233" t="str">
        <f>VLOOKUP(Table1[[#This Row],[Country Code]],Table29[],4,FALSE)</f>
        <v>Asia</v>
      </c>
      <c r="X223" s="233" t="str">
        <f>VLOOKUP(Table1[[#This Row],[Country Code]],Table29[],5,FALSE)</f>
        <v>Middle-income</v>
      </c>
      <c r="Y223" s="43"/>
      <c r="Z223" s="43"/>
    </row>
    <row r="224" spans="1:26" s="381" customFormat="1" ht="15" customHeight="1" x14ac:dyDescent="0.25">
      <c r="A224" s="360">
        <v>17688</v>
      </c>
      <c r="B224" s="43" t="s">
        <v>333</v>
      </c>
      <c r="C224" s="243" t="str">
        <f>VLOOKUP(Table1[[#This Row],[Country Code]],Table29[],2,FALSE)</f>
        <v>Norway</v>
      </c>
      <c r="D224" s="243" t="str">
        <f t="shared" si="8"/>
        <v>Good</v>
      </c>
      <c r="E224" s="176" t="s">
        <v>71</v>
      </c>
      <c r="F224" s="43" t="s">
        <v>525</v>
      </c>
      <c r="G224" s="43" t="str">
        <f t="shared" si="9"/>
        <v>First NDC updated</v>
      </c>
      <c r="H224" s="43" t="s">
        <v>691</v>
      </c>
      <c r="I224" s="351">
        <v>43868</v>
      </c>
      <c r="J224" s="320" t="s">
        <v>500</v>
      </c>
      <c r="K224" s="320" t="str" cm="1">
        <f t="array" ref="K224">IF(ISNUMBER(MATCH("Transport sector mitigation target", _xlfn._xlws.FILTER(Targets!H:H, Targets!A:A =A224), 0)), "yes", "no")</f>
        <v>no</v>
      </c>
      <c r="L224" s="43" t="str">
        <f>IF(K224="no", "No transport target", IF(AND(COUNTIFS(Targets!A:A, A224, Targets!H:H, "Transport sector mitigation target", Targets!J:J, "GHG") &gt; 0, COUNTIFS(Targets!A:A, A224, Targets!H:H, "Transport sector mitigation target", Targets!J:J, "Non GHG") &gt; 0), "GHG and non-GHG target", IF(COUNTIFS(Targets!A:A, A224, Targets!H:H, "Transport sector mitigation target", Targets!J:J, "GHG") &gt; 0, "GHG target", IF(COUNTIFS(Targets!A:A, A224, Targets!H:H, "Transport sector mitigation target", Targets!J:J, "Non GHG") &gt; 0, "non-GHG target", ""))))</f>
        <v>No transport target</v>
      </c>
      <c r="M224" s="43" t="str">
        <f>IF(K224="no","No transport target",IF(L224="non-GHG target","No GHG transport target",IF(AND(COUNTIFS(Targets!A:A,A224,Targets!H:H,"Transport sector mitigation target",Targets!J:J,"GHG",Targets!L:L,"Conditional")&gt;0,COUNTIFS(Targets!A:A,A224,Targets!H:H,"Transport sector mitigation target",Targets!J:J,"GHG",Targets!L:L,"Unconditional")&gt;0),"GHG unconditional and conditional",IF(COUNTIFS(Targets!A:A,A224,Targets!H:H,"Transport sector mitigation target",Targets!J:J,"GHG",Targets!L:L,"Conditional")&gt;0,"GHG conditional only",IF(COUNTIFS(Targets!A:A,A224,Targets!H:H,"Transport sector mitigation target",Targets!J:J,"GHG",Targets!L:L,"Unconditional")&gt;0,"GHG unconditional only",IF(COUNTIFS(Targets!A:A,A224,Targets!H:H,"Transport sector mitigation target",Targets!J:J,"GHG",Targets!L:L,"Unclear conditionality")&gt;0,"Conditionality unclear",""))))))</f>
        <v>No transport target</v>
      </c>
      <c r="N224" s="43" t="str" cm="1">
        <f t="array" ref="N224">IF(ISNUMBER(MATCH("Transport sector adaptation target", _xlfn._xlws.FILTER(Targets!H:H, Targets!A:A =A224), 0)), "yes", "no")</f>
        <v>no</v>
      </c>
      <c r="O224" s="43" t="str">
        <f>IF(ISNA(MATCH(A224, Mitigation!A:A, 0)), "no", "yes")</f>
        <v>no</v>
      </c>
      <c r="P224" s="43" t="str">
        <f>IF(ISNA(MATCH(A224, Adaptation!A:A, 0)), "no", "yes")</f>
        <v>no</v>
      </c>
      <c r="Q224" s="43" t="str">
        <f>IF(ISNA(MATCH(A224, Benefits!A:A, 0)), "no", "yes")</f>
        <v>no</v>
      </c>
      <c r="R224" s="43"/>
      <c r="S224" s="43"/>
      <c r="T224" s="43" t="s">
        <v>501</v>
      </c>
      <c r="U224" s="312" t="s">
        <v>740</v>
      </c>
      <c r="V224" s="233" t="str">
        <f>VLOOKUP(Table1[[#This Row],[Country Code]],Table29[],3,FALSE)</f>
        <v>Annex I</v>
      </c>
      <c r="W224" s="233" t="str">
        <f>VLOOKUP(Table1[[#This Row],[Country Code]],Table29[],4,FALSE)</f>
        <v>Europe</v>
      </c>
      <c r="X224" s="233" t="str">
        <f>VLOOKUP(Table1[[#This Row],[Country Code]],Table29[],5,FALSE)</f>
        <v>High-income</v>
      </c>
      <c r="Y224" s="43"/>
      <c r="Z224" s="43"/>
    </row>
    <row r="225" spans="1:26" ht="15" customHeight="1" x14ac:dyDescent="0.25">
      <c r="A225" s="360">
        <v>17636</v>
      </c>
      <c r="B225" s="42" t="s">
        <v>260</v>
      </c>
      <c r="C225" s="243" t="str">
        <f>VLOOKUP(Table1[[#This Row],[Country Code]],Table29[],2,FALSE)</f>
        <v>Kyrgyzstan</v>
      </c>
      <c r="D225" s="243" t="str">
        <f t="shared" si="8"/>
        <v>Good</v>
      </c>
      <c r="E225" s="176" t="s">
        <v>71</v>
      </c>
      <c r="F225" s="43" t="s">
        <v>498</v>
      </c>
      <c r="G225" s="43" t="str">
        <f t="shared" si="9"/>
        <v>First NDC</v>
      </c>
      <c r="H225" s="43" t="s">
        <v>499</v>
      </c>
      <c r="I225" s="351">
        <v>43879</v>
      </c>
      <c r="J225" s="320" t="s">
        <v>500</v>
      </c>
      <c r="K225" s="320" t="str" cm="1">
        <f t="array" ref="K225">IF(ISNUMBER(MATCH("Transport sector mitigation target", _xlfn._xlws.FILTER(Targets!H:H, Targets!A:A =A225), 0)), "yes", "no")</f>
        <v>no</v>
      </c>
      <c r="L225" s="43" t="str">
        <f>IF(K225="no", "No transport target", IF(AND(COUNTIFS(Targets!A:A, A225, Targets!H:H, "Transport sector mitigation target", Targets!J:J, "GHG") &gt; 0, COUNTIFS(Targets!A:A, A225, Targets!H:H, "Transport sector mitigation target", Targets!J:J, "Non GHG") &gt; 0), "GHG and non-GHG target", IF(COUNTIFS(Targets!A:A, A225, Targets!H:H, "Transport sector mitigation target", Targets!J:J, "GHG") &gt; 0, "GHG target", IF(COUNTIFS(Targets!A:A, A225, Targets!H:H, "Transport sector mitigation target", Targets!J:J, "Non GHG") &gt; 0, "non-GHG target", ""))))</f>
        <v>No transport target</v>
      </c>
      <c r="M225" s="43" t="str">
        <f>IF(K225="no","No transport target",IF(L225="non-GHG target","No GHG transport target",IF(AND(COUNTIFS(Targets!A:A,A225,Targets!H:H,"Transport sector mitigation target",Targets!J:J,"GHG",Targets!L:L,"Conditional")&gt;0,COUNTIFS(Targets!A:A,A225,Targets!H:H,"Transport sector mitigation target",Targets!J:J,"GHG",Targets!L:L,"Unconditional")&gt;0),"GHG unconditional and conditional",IF(COUNTIFS(Targets!A:A,A225,Targets!H:H,"Transport sector mitigation target",Targets!J:J,"GHG",Targets!L:L,"Conditional")&gt;0,"GHG conditional only",IF(COUNTIFS(Targets!A:A,A225,Targets!H:H,"Transport sector mitigation target",Targets!J:J,"GHG",Targets!L:L,"Unconditional")&gt;0,"GHG unconditional only",IF(COUNTIFS(Targets!A:A,A225,Targets!H:H,"Transport sector mitigation target",Targets!J:J,"GHG",Targets!L:L,"Unclear conditionality")&gt;0,"Conditionality unclear",""))))))</f>
        <v>No transport target</v>
      </c>
      <c r="N225" s="43" t="str" cm="1">
        <f t="array" ref="N225">IF(ISNUMBER(MATCH("Transport sector adaptation target", _xlfn._xlws.FILTER(Targets!H:H, Targets!A:A =A225), 0)), "yes", "no")</f>
        <v>no</v>
      </c>
      <c r="O225" s="43" t="str">
        <f>IF(ISNA(MATCH(A225, Mitigation!A:A, 0)), "no", "yes")</f>
        <v>no</v>
      </c>
      <c r="P225" s="43" t="str">
        <f>IF(ISNA(MATCH(A225, Adaptation!A:A, 0)), "no", "yes")</f>
        <v>no</v>
      </c>
      <c r="Q225" s="43" t="str">
        <f>IF(ISNA(MATCH(A225, Benefits!A:A, 0)), "no", "yes")</f>
        <v>no</v>
      </c>
      <c r="R225" s="43"/>
      <c r="S225" s="43"/>
      <c r="T225" s="43" t="s">
        <v>501</v>
      </c>
      <c r="U225" s="312" t="s">
        <v>741</v>
      </c>
      <c r="V225" s="233" t="str">
        <f>VLOOKUP(Table1[[#This Row],[Country Code]],Table29[],3,FALSE)</f>
        <v>Non-Annex I</v>
      </c>
      <c r="W225" s="233" t="str">
        <f>VLOOKUP(Table1[[#This Row],[Country Code]],Table29[],4,FALSE)</f>
        <v>Asia</v>
      </c>
      <c r="X225" s="233" t="str">
        <f>VLOOKUP(Table1[[#This Row],[Country Code]],Table29[],5,FALSE)</f>
        <v>Middle-income</v>
      </c>
      <c r="Y225" s="43"/>
      <c r="Z225" s="43"/>
    </row>
    <row r="226" spans="1:26" ht="15" customHeight="1" x14ac:dyDescent="0.25">
      <c r="A226" s="360">
        <v>17710</v>
      </c>
      <c r="B226" s="43" t="s">
        <v>362</v>
      </c>
      <c r="C226" s="243" t="str">
        <f>VLOOKUP(Table1[[#This Row],[Country Code]],Table29[],2,FALSE)</f>
        <v>Republic of Moldova</v>
      </c>
      <c r="D226" s="243" t="str">
        <f t="shared" si="8"/>
        <v>Good</v>
      </c>
      <c r="E226" s="176" t="s">
        <v>71</v>
      </c>
      <c r="F226" s="43" t="s">
        <v>528</v>
      </c>
      <c r="G226" s="43" t="str">
        <f t="shared" si="9"/>
        <v>First NDC updated</v>
      </c>
      <c r="H226" s="43" t="s">
        <v>691</v>
      </c>
      <c r="I226" s="351">
        <v>43894</v>
      </c>
      <c r="J226" s="352" t="s">
        <v>505</v>
      </c>
      <c r="K226" s="320" t="str" cm="1">
        <f t="array" ref="K226">IF(ISNUMBER(MATCH("Transport sector mitigation target", _xlfn._xlws.FILTER(Targets!H:H, Targets!A:A =A226), 0)), "yes", "no")</f>
        <v>no</v>
      </c>
      <c r="L226" s="43" t="str">
        <f>IF(K226="no", "No transport target", IF(AND(COUNTIFS(Targets!A:A, A226, Targets!H:H, "Transport sector mitigation target", Targets!J:J, "GHG") &gt; 0, COUNTIFS(Targets!A:A, A226, Targets!H:H, "Transport sector mitigation target", Targets!J:J, "Non GHG") &gt; 0), "GHG and non-GHG target", IF(COUNTIFS(Targets!A:A, A226, Targets!H:H, "Transport sector mitigation target", Targets!J:J, "GHG") &gt; 0, "GHG target", IF(COUNTIFS(Targets!A:A, A226, Targets!H:H, "Transport sector mitigation target", Targets!J:J, "Non GHG") &gt; 0, "non-GHG target", ""))))</f>
        <v>No transport target</v>
      </c>
      <c r="M226" s="43" t="str">
        <f>IF(K226="no","No transport target",IF(L226="non-GHG target","No GHG transport target",IF(AND(COUNTIFS(Targets!A:A,A226,Targets!H:H,"Transport sector mitigation target",Targets!J:J,"GHG",Targets!L:L,"Conditional")&gt;0,COUNTIFS(Targets!A:A,A226,Targets!H:H,"Transport sector mitigation target",Targets!J:J,"GHG",Targets!L:L,"Unconditional")&gt;0),"GHG unconditional and conditional",IF(COUNTIFS(Targets!A:A,A226,Targets!H:H,"Transport sector mitigation target",Targets!J:J,"GHG",Targets!L:L,"Conditional")&gt;0,"GHG conditional only",IF(COUNTIFS(Targets!A:A,A226,Targets!H:H,"Transport sector mitigation target",Targets!J:J,"GHG",Targets!L:L,"Unconditional")&gt;0,"GHG unconditional only",IF(COUNTIFS(Targets!A:A,A226,Targets!H:H,"Transport sector mitigation target",Targets!J:J,"GHG",Targets!L:L,"Unclear conditionality")&gt;0,"Conditionality unclear",""))))))</f>
        <v>No transport target</v>
      </c>
      <c r="N226" s="43" t="str" cm="1">
        <f t="array" ref="N226">IF(ISNUMBER(MATCH("Transport sector adaptation target", _xlfn._xlws.FILTER(Targets!H:H, Targets!A:A =A226), 0)), "yes", "no")</f>
        <v>no</v>
      </c>
      <c r="O226" s="43" t="str">
        <f>IF(ISNA(MATCH(A226, Mitigation!A:A, 0)), "no", "yes")</f>
        <v>yes</v>
      </c>
      <c r="P226" s="43" t="str">
        <f>IF(ISNA(MATCH(A226, Adaptation!A:A, 0)), "no", "yes")</f>
        <v>yes</v>
      </c>
      <c r="Q226" s="43" t="str">
        <f>IF(ISNA(MATCH(A226, Benefits!A:A, 0)), "no", "yes")</f>
        <v>yes</v>
      </c>
      <c r="R226" s="43"/>
      <c r="S226" s="43"/>
      <c r="T226" s="43" t="s">
        <v>501</v>
      </c>
      <c r="U226" s="312" t="s">
        <v>742</v>
      </c>
      <c r="V226" s="233" t="str">
        <f>VLOOKUP(Table1[[#This Row],[Country Code]],Table29[],3,FALSE)</f>
        <v>Non-Annex I</v>
      </c>
      <c r="W226" s="233" t="str">
        <f>VLOOKUP(Table1[[#This Row],[Country Code]],Table29[],4,FALSE)</f>
        <v>Europe</v>
      </c>
      <c r="X226" s="233" t="str">
        <f>VLOOKUP(Table1[[#This Row],[Country Code]],Table29[],5,FALSE)</f>
        <v>Middle-income</v>
      </c>
      <c r="Y226" s="43"/>
      <c r="Z226" s="43"/>
    </row>
    <row r="227" spans="1:26" ht="15" customHeight="1" x14ac:dyDescent="0.25">
      <c r="A227" s="360">
        <v>21725</v>
      </c>
      <c r="B227" s="43" t="s">
        <v>91</v>
      </c>
      <c r="C227" s="243" t="str">
        <f>VLOOKUP(Table1[[#This Row],[Country Code]],Table29[],2,FALSE)</f>
        <v>Bangladesh</v>
      </c>
      <c r="D227" s="243" t="str">
        <f t="shared" si="8"/>
        <v>Good</v>
      </c>
      <c r="E227" s="176" t="s">
        <v>71</v>
      </c>
      <c r="F227" s="43" t="s">
        <v>528</v>
      </c>
      <c r="G227" s="43" t="str">
        <f t="shared" si="9"/>
        <v>First NDC updated</v>
      </c>
      <c r="H227" s="43" t="s">
        <v>743</v>
      </c>
      <c r="I227" s="351">
        <v>44434</v>
      </c>
      <c r="J227" s="352" t="s">
        <v>505</v>
      </c>
      <c r="K227" s="320" t="str" cm="1">
        <f t="array" ref="K227">IF(ISNUMBER(MATCH("Transport sector mitigation target", _xlfn._xlws.FILTER(Targets!H:H, Targets!A:A =A227), 0)), "yes", "no")</f>
        <v>yes</v>
      </c>
      <c r="L227" s="43" t="str">
        <f>IF(K227="no", "No transport target", IF(AND(COUNTIFS(Targets!A:A, A227, Targets!H:H, "Transport sector mitigation target", Targets!J:J, "GHG") &gt; 0, COUNTIFS(Targets!A:A, A227, Targets!H:H, "Transport sector mitigation target", Targets!J:J, "Non GHG") &gt; 0), "GHG and non-GHG target", IF(COUNTIFS(Targets!A:A, A227, Targets!H:H, "Transport sector mitigation target", Targets!J:J, "GHG") &gt; 0, "GHG target", IF(COUNTIFS(Targets!A:A, A227, Targets!H:H, "Transport sector mitigation target", Targets!J:J, "Non GHG") &gt; 0, "non-GHG target", ""))))</f>
        <v>GHG target</v>
      </c>
      <c r="M227" s="43" t="str">
        <f>IF(K227="no","No transport target",IF(L227="non-GHG target","No GHG transport target",IF(AND(COUNTIFS(Targets!A:A,A227,Targets!H:H,"Transport sector mitigation target",Targets!J:J,"GHG",Targets!L:L,"Conditional")&gt;0,COUNTIFS(Targets!A:A,A227,Targets!H:H,"Transport sector mitigation target",Targets!J:J,"GHG",Targets!L:L,"Unconditional")&gt;0),"GHG unconditional and conditional",IF(COUNTIFS(Targets!A:A,A227,Targets!H:H,"Transport sector mitigation target",Targets!J:J,"GHG",Targets!L:L,"Conditional")&gt;0,"GHG conditional only",IF(COUNTIFS(Targets!A:A,A227,Targets!H:H,"Transport sector mitigation target",Targets!J:J,"GHG",Targets!L:L,"Unconditional")&gt;0,"GHG unconditional only",IF(COUNTIFS(Targets!A:A,A227,Targets!H:H,"Transport sector mitigation target",Targets!J:J,"GHG",Targets!L:L,"Unclear conditionality")&gt;0,"Conditionality unclear",""))))))</f>
        <v>GHG unconditional and conditional</v>
      </c>
      <c r="N227" s="43" t="str" cm="1">
        <f t="array" ref="N227">IF(ISNUMBER(MATCH("Transport sector adaptation target", _xlfn._xlws.FILTER(Targets!H:H, Targets!A:A =A227), 0)), "yes", "no")</f>
        <v>no</v>
      </c>
      <c r="O227" s="43" t="str">
        <f>IF(ISNA(MATCH(A227, Mitigation!A:A, 0)), "no", "yes")</f>
        <v>yes</v>
      </c>
      <c r="P227" s="43" t="str">
        <f>IF(ISNA(MATCH(A227, Adaptation!A:A, 0)), "no", "yes")</f>
        <v>no</v>
      </c>
      <c r="Q227" s="43" t="str">
        <f>IF(ISNA(MATCH(A227, Benefits!A:A, 0)), "no", "yes")</f>
        <v>no</v>
      </c>
      <c r="R227" s="43"/>
      <c r="S227" s="43"/>
      <c r="T227" s="43" t="s">
        <v>501</v>
      </c>
      <c r="U227" s="312" t="s">
        <v>744</v>
      </c>
      <c r="V227" s="233" t="str">
        <f>VLOOKUP(Table1[[#This Row],[Country Code]],Table29[],3,FALSE)</f>
        <v>Non-Annex I</v>
      </c>
      <c r="W227" s="233" t="str">
        <f>VLOOKUP(Table1[[#This Row],[Country Code]],Table29[],4,FALSE)</f>
        <v>Asia</v>
      </c>
      <c r="X227" s="233" t="str">
        <f>VLOOKUP(Table1[[#This Row],[Country Code]],Table29[],5,FALSE)</f>
        <v>Middle-income</v>
      </c>
      <c r="Y227" s="43"/>
      <c r="Z227" s="43"/>
    </row>
    <row r="228" spans="1:26" ht="15" customHeight="1" x14ac:dyDescent="0.25">
      <c r="A228" s="405">
        <v>17732</v>
      </c>
      <c r="B228" s="17" t="s">
        <v>394</v>
      </c>
      <c r="C228" s="206" t="str">
        <f>VLOOKUP(Table1[[#This Row],[Country Code]],Table29[],2,FALSE)</f>
        <v>Singapore</v>
      </c>
      <c r="D228" s="243" t="str">
        <f t="shared" si="8"/>
        <v>Good</v>
      </c>
      <c r="E228" s="20" t="s">
        <v>227</v>
      </c>
      <c r="F228" s="17" t="s">
        <v>530</v>
      </c>
      <c r="G228" s="43" t="str">
        <f t="shared" si="9"/>
        <v>Archived LTS 1.0</v>
      </c>
      <c r="H228" s="17" t="s">
        <v>636</v>
      </c>
      <c r="I228" s="149">
        <v>43921</v>
      </c>
      <c r="J228" s="187" t="s">
        <v>500</v>
      </c>
      <c r="K228" s="49" t="str" cm="1">
        <f t="array" ref="K228">IF(ISNUMBER(MATCH("Transport sector mitigation target", _xlfn._xlws.FILTER(Targets!H:H, Targets!A:A =A228), 0)), "yes", "no")</f>
        <v>yes</v>
      </c>
      <c r="L228" s="17" t="str">
        <f>IF(K228="no", "No transport target", IF(AND(COUNTIFS(Targets!A:A, A228, Targets!H:H, "Transport sector mitigation target", Targets!J:J, "GHG") &gt; 0, COUNTIFS(Targets!A:A, A228, Targets!H:H, "Transport sector mitigation target", Targets!J:J, "Non GHG") &gt; 0), "GHG and non-GHG target", IF(COUNTIFS(Targets!A:A, A228, Targets!H:H, "Transport sector mitigation target", Targets!J:J, "GHG") &gt; 0, "GHG target", IF(COUNTIFS(Targets!A:A, A228, Targets!H:H, "Transport sector mitigation target", Targets!J:J, "Non GHG") &gt; 0, "non-GHG target", ""))))</f>
        <v>non-GHG target</v>
      </c>
      <c r="M228" s="17" t="str">
        <f>IF(K228="no","No transport target",IF(L228="non-GHG target","No GHG transport target",IF(AND(COUNTIFS(Targets!A:A,A228,Targets!H:H,"Transport sector mitigation target",Targets!J:J,"GHG",Targets!L:L,"Conditional")&gt;0,COUNTIFS(Targets!A:A,A228,Targets!H:H,"Transport sector mitigation target",Targets!J:J,"GHG",Targets!L:L,"Unconditional")&gt;0),"GHG unconditional and conditional",IF(COUNTIFS(Targets!A:A,A228,Targets!H:H,"Transport sector mitigation target",Targets!J:J,"GHG",Targets!L:L,"Conditional")&gt;0,"GHG conditional only",IF(COUNTIFS(Targets!A:A,A228,Targets!H:H,"Transport sector mitigation target",Targets!J:J,"GHG",Targets!L:L,"Unconditional")&gt;0,"GHG unconditional only",IF(COUNTIFS(Targets!A:A,A228,Targets!H:H,"Transport sector mitigation target",Targets!J:J,"GHG",Targets!L:L,"Unclear conditionality")&gt;0,"Conditionality unclear",""))))))</f>
        <v>No GHG transport target</v>
      </c>
      <c r="N228" s="17" t="str" cm="1">
        <f t="array" ref="N228">IF(ISNUMBER(MATCH("Transport sector adaptation target", _xlfn._xlws.FILTER(Targets!H:H, Targets!A:A =A228), 0)), "yes", "no")</f>
        <v>no</v>
      </c>
      <c r="O228" s="17" t="str">
        <f>IF(ISNA(MATCH(A228, Mitigation!A:A, 0)), "no", "yes")</f>
        <v>yes</v>
      </c>
      <c r="P228" s="17" t="str">
        <f>IF(ISNA(MATCH(A228, Adaptation!A:A, 0)), "no", "yes")</f>
        <v>yes</v>
      </c>
      <c r="Q228" s="17" t="str">
        <f>IF(ISNA(MATCH(A228, Benefits!A:A, 0)), "no", "yes")</f>
        <v>no</v>
      </c>
      <c r="R228" s="17"/>
      <c r="S228" s="17"/>
      <c r="T228" s="17" t="s">
        <v>501</v>
      </c>
      <c r="U228" s="135" t="s">
        <v>745</v>
      </c>
      <c r="V228" s="207" t="str">
        <f>VLOOKUP(Table1[[#This Row],[Country Code]],Table29[],3,FALSE)</f>
        <v>Non-Annex I</v>
      </c>
      <c r="W228" s="207" t="str">
        <f>VLOOKUP(Table1[[#This Row],[Country Code]],Table29[],4,FALSE)</f>
        <v>Asia</v>
      </c>
      <c r="X228" s="207" t="str">
        <f>VLOOKUP(Table1[[#This Row],[Country Code]],Table29[],5,FALSE)</f>
        <v>High-income</v>
      </c>
      <c r="Y228" s="17"/>
      <c r="Z228" s="17"/>
    </row>
    <row r="229" spans="1:26" ht="15" customHeight="1" x14ac:dyDescent="0.25">
      <c r="A229" s="360">
        <v>17628</v>
      </c>
      <c r="B229" s="45" t="s">
        <v>245</v>
      </c>
      <c r="C229" s="243" t="str">
        <f>VLOOKUP(Table1[[#This Row],[Country Code]],Table29[],2,FALSE)</f>
        <v>Japan</v>
      </c>
      <c r="D229" s="243" t="str">
        <f t="shared" si="8"/>
        <v>Good</v>
      </c>
      <c r="E229" s="176" t="s">
        <v>71</v>
      </c>
      <c r="F229" s="42" t="s">
        <v>525</v>
      </c>
      <c r="G229" s="43" t="str">
        <f t="shared" si="9"/>
        <v>First NDC updated</v>
      </c>
      <c r="H229" s="43" t="s">
        <v>691</v>
      </c>
      <c r="I229" s="351">
        <v>43921</v>
      </c>
      <c r="J229" s="320" t="s">
        <v>500</v>
      </c>
      <c r="K229" s="320" t="str" cm="1">
        <f t="array" ref="K229">IF(ISNUMBER(MATCH("Transport sector mitigation target", _xlfn._xlws.FILTER(Targets!H:H, Targets!A:A =A229), 0)), "yes", "no")</f>
        <v>yes</v>
      </c>
      <c r="L229" s="43" t="str">
        <f>IF(K229="no", "No transport target", IF(AND(COUNTIFS(Targets!A:A, A229, Targets!H:H, "Transport sector mitigation target", Targets!J:J, "GHG") &gt; 0, COUNTIFS(Targets!A:A, A229, Targets!H:H, "Transport sector mitigation target", Targets!J:J, "Non GHG") &gt; 0), "GHG and non-GHG target", IF(COUNTIFS(Targets!A:A, A229, Targets!H:H, "Transport sector mitigation target", Targets!J:J, "GHG") &gt; 0, "GHG target", IF(COUNTIFS(Targets!A:A, A229, Targets!H:H, "Transport sector mitigation target", Targets!J:J, "Non GHG") &gt; 0, "non-GHG target", ""))))</f>
        <v>GHG target</v>
      </c>
      <c r="M229" s="43" t="str">
        <f>IF(K229="no","No transport target",IF(L229="non-GHG target","No GHG transport target",IF(AND(COUNTIFS(Targets!A:A,A229,Targets!H:H,"Transport sector mitigation target",Targets!J:J,"GHG",Targets!L:L,"Conditional")&gt;0,COUNTIFS(Targets!A:A,A229,Targets!H:H,"Transport sector mitigation target",Targets!J:J,"GHG",Targets!L:L,"Unconditional")&gt;0),"GHG unconditional and conditional",IF(COUNTIFS(Targets!A:A,A229,Targets!H:H,"Transport sector mitigation target",Targets!J:J,"GHG",Targets!L:L,"Conditional")&gt;0,"GHG conditional only",IF(COUNTIFS(Targets!A:A,A229,Targets!H:H,"Transport sector mitigation target",Targets!J:J,"GHG",Targets!L:L,"Unconditional")&gt;0,"GHG unconditional only",IF(COUNTIFS(Targets!A:A,A229,Targets!H:H,"Transport sector mitigation target",Targets!J:J,"GHG",Targets!L:L,"Unclear conditionality")&gt;0,"Conditionality unclear",""))))))</f>
        <v>GHG unconditional only</v>
      </c>
      <c r="N229" s="43" t="str" cm="1">
        <f t="array" ref="N229">IF(ISNUMBER(MATCH("Transport sector adaptation target", _xlfn._xlws.FILTER(Targets!H:H, Targets!A:A =A229), 0)), "yes", "no")</f>
        <v>no</v>
      </c>
      <c r="O229" s="43" t="str">
        <f>IF(ISNA(MATCH(A229, Mitigation!A:A, 0)), "no", "yes")</f>
        <v>yes</v>
      </c>
      <c r="P229" s="43" t="str">
        <f>IF(ISNA(MATCH(A229, Adaptation!A:A, 0)), "no", "yes")</f>
        <v>no</v>
      </c>
      <c r="Q229" s="43" t="str">
        <f>IF(ISNA(MATCH(A229, Benefits!A:A, 0)), "no", "yes")</f>
        <v>no</v>
      </c>
      <c r="R229" s="43"/>
      <c r="S229" s="43"/>
      <c r="T229" s="43" t="s">
        <v>501</v>
      </c>
      <c r="U229" s="312" t="s">
        <v>746</v>
      </c>
      <c r="V229" s="233" t="str">
        <f>VLOOKUP(Table1[[#This Row],[Country Code]],Table29[],3,FALSE)</f>
        <v>Annex I</v>
      </c>
      <c r="W229" s="233" t="str">
        <f>VLOOKUP(Table1[[#This Row],[Country Code]],Table29[],4,FALSE)</f>
        <v>Asia</v>
      </c>
      <c r="X229" s="233" t="str">
        <f>VLOOKUP(Table1[[#This Row],[Country Code]],Table29[],5,FALSE)</f>
        <v>High-income</v>
      </c>
      <c r="Y229" s="43"/>
      <c r="Z229" s="43"/>
    </row>
    <row r="230" spans="1:26" ht="15" customHeight="1" x14ac:dyDescent="0.25">
      <c r="A230" s="405">
        <v>17733</v>
      </c>
      <c r="B230" s="17" t="s">
        <v>394</v>
      </c>
      <c r="C230" s="206" t="str">
        <f>VLOOKUP(Table1[[#This Row],[Country Code]],Table29[],2,FALSE)</f>
        <v>Singapore</v>
      </c>
      <c r="D230" s="243" t="str">
        <f t="shared" si="8"/>
        <v>Good</v>
      </c>
      <c r="E230" s="20" t="s">
        <v>71</v>
      </c>
      <c r="F230" s="17" t="s">
        <v>525</v>
      </c>
      <c r="G230" s="43" t="str">
        <f t="shared" si="9"/>
        <v>First NDC updated</v>
      </c>
      <c r="H230" s="148" t="s">
        <v>691</v>
      </c>
      <c r="I230" s="149">
        <v>43921</v>
      </c>
      <c r="J230" s="49" t="s">
        <v>500</v>
      </c>
      <c r="K230" s="49" t="str" cm="1">
        <f t="array" ref="K230">IF(ISNUMBER(MATCH("Transport sector mitigation target", _xlfn._xlws.FILTER(Targets!H:H, Targets!A:A =A230), 0)), "yes", "no")</f>
        <v>no</v>
      </c>
      <c r="L230" s="17" t="str">
        <f>IF(K230="no", "No transport target", IF(AND(COUNTIFS(Targets!A:A, A230, Targets!H:H, "Transport sector mitigation target", Targets!J:J, "GHG") &gt; 0, COUNTIFS(Targets!A:A, A230, Targets!H:H, "Transport sector mitigation target", Targets!J:J, "Non GHG") &gt; 0), "GHG and non-GHG target", IF(COUNTIFS(Targets!A:A, A230, Targets!H:H, "Transport sector mitigation target", Targets!J:J, "GHG") &gt; 0, "GHG target", IF(COUNTIFS(Targets!A:A, A230, Targets!H:H, "Transport sector mitigation target", Targets!J:J, "Non GHG") &gt; 0, "non-GHG target", ""))))</f>
        <v>No transport target</v>
      </c>
      <c r="M230" s="17" t="str">
        <f>IF(K230="no","No transport target",IF(L230="non-GHG target","No GHG transport target",IF(AND(COUNTIFS(Targets!A:A,A230,Targets!H:H,"Transport sector mitigation target",Targets!J:J,"GHG",Targets!L:L,"Conditional")&gt;0,COUNTIFS(Targets!A:A,A230,Targets!H:H,"Transport sector mitigation target",Targets!J:J,"GHG",Targets!L:L,"Unconditional")&gt;0),"GHG unconditional and conditional",IF(COUNTIFS(Targets!A:A,A230,Targets!H:H,"Transport sector mitigation target",Targets!J:J,"GHG",Targets!L:L,"Conditional")&gt;0,"GHG conditional only",IF(COUNTIFS(Targets!A:A,A230,Targets!H:H,"Transport sector mitigation target",Targets!J:J,"GHG",Targets!L:L,"Unconditional")&gt;0,"GHG unconditional only",IF(COUNTIFS(Targets!A:A,A230,Targets!H:H,"Transport sector mitigation target",Targets!J:J,"GHG",Targets!L:L,"Unclear conditionality")&gt;0,"Conditionality unclear",""))))))</f>
        <v>No transport target</v>
      </c>
      <c r="N230" s="17" t="str" cm="1">
        <f t="array" ref="N230">IF(ISNUMBER(MATCH("Transport sector adaptation target", _xlfn._xlws.FILTER(Targets!H:H, Targets!A:A =A230), 0)), "yes", "no")</f>
        <v>no</v>
      </c>
      <c r="O230" s="17" t="str">
        <f>IF(ISNA(MATCH(A230, Mitigation!A:A, 0)), "no", "yes")</f>
        <v>yes</v>
      </c>
      <c r="P230" s="17" t="str">
        <f>IF(ISNA(MATCH(A230, Adaptation!A:A, 0)), "no", "yes")</f>
        <v>no</v>
      </c>
      <c r="Q230" s="17" t="str">
        <f>IF(ISNA(MATCH(A230, Benefits!A:A, 0)), "no", "yes")</f>
        <v>no</v>
      </c>
      <c r="R230" s="17"/>
      <c r="S230" s="17"/>
      <c r="T230" s="17" t="s">
        <v>501</v>
      </c>
      <c r="U230" s="167" t="s">
        <v>747</v>
      </c>
      <c r="V230" s="207" t="str">
        <f>VLOOKUP(Table1[[#This Row],[Country Code]],Table29[],3,FALSE)</f>
        <v>Non-Annex I</v>
      </c>
      <c r="W230" s="207" t="str">
        <f>VLOOKUP(Table1[[#This Row],[Country Code]],Table29[],4,FALSE)</f>
        <v>Asia</v>
      </c>
      <c r="X230" s="207" t="str">
        <f>VLOOKUP(Table1[[#This Row],[Country Code]],Table29[],5,FALSE)</f>
        <v>High-income</v>
      </c>
      <c r="Y230" s="17"/>
      <c r="Z230" s="17"/>
    </row>
    <row r="231" spans="1:26" ht="15" customHeight="1" x14ac:dyDescent="0.25">
      <c r="A231" s="360">
        <v>41997</v>
      </c>
      <c r="B231" s="43" t="s">
        <v>168</v>
      </c>
      <c r="C231" s="241" t="s">
        <v>169</v>
      </c>
      <c r="D231" s="243" t="str">
        <f t="shared" si="8"/>
        <v>Good</v>
      </c>
      <c r="E231" s="20" t="s">
        <v>748</v>
      </c>
      <c r="F231" s="17" t="s">
        <v>748</v>
      </c>
      <c r="G231" s="43" t="str">
        <f t="shared" si="9"/>
        <v>National policy document</v>
      </c>
      <c r="H231" s="148" t="s">
        <v>52</v>
      </c>
      <c r="I231" s="163">
        <v>43922</v>
      </c>
      <c r="J231" s="187" t="s">
        <v>505</v>
      </c>
      <c r="K231" s="49" t="str" cm="1">
        <f t="array" ref="K231">IF(ISNUMBER(MATCH("Transport sector mitigation target", _xlfn._xlws.FILTER(Targets!H:H, Targets!A:A =A231), 0)), "yes", "no")</f>
        <v>no</v>
      </c>
      <c r="L231" s="17" t="str">
        <f>IF(K231="no", "No transport target", IF(AND(COUNTIFS(Targets!A:A, A231, Targets!H:H, "Transport sector mitigation target", Targets!J:J, "GHG") &gt; 0, COUNTIFS(Targets!A:A, A231, Targets!H:H, "Transport sector mitigation target", Targets!J:J, "Non GHG") &gt; 0), "GHG and non-GHG target", IF(COUNTIFS(Targets!A:A, A231, Targets!H:H, "Transport sector mitigation target", Targets!J:J, "GHG") &gt; 0, "GHG target", IF(COUNTIFS(Targets!A:A, A231, Targets!H:H, "Transport sector mitigation target", Targets!J:J, "Non GHG") &gt; 0, "non-GHG target", ""))))</f>
        <v>No transport target</v>
      </c>
      <c r="M231" s="17" t="str">
        <f>IF(K231="no","No transport target",IF(L231="non-GHG target","No GHG transport target",IF(AND(COUNTIFS(Targets!A:A,A231,Targets!H:H,"Transport sector mitigation target",Targets!J:J,"GHG",Targets!L:L,"Conditional")&gt;0,COUNTIFS(Targets!A:A,A231,Targets!H:H,"Transport sector mitigation target",Targets!J:J,"GHG",Targets!L:L,"Unconditional")&gt;0),"GHG unconditional and conditional",IF(COUNTIFS(Targets!A:A,A231,Targets!H:H,"Transport sector mitigation target",Targets!J:J,"GHG",Targets!L:L,"Conditional")&gt;0,"GHG conditional only",IF(COUNTIFS(Targets!A:A,A231,Targets!H:H,"Transport sector mitigation target",Targets!J:J,"GHG",Targets!L:L,"Unconditional")&gt;0,"GHG unconditional only",IF(COUNTIFS(Targets!A:A,A231,Targets!H:H,"Transport sector mitigation target",Targets!J:J,"GHG",Targets!L:L,"Unclear conditionality")&gt;0,"Conditionality unclear",""))))))</f>
        <v>No transport target</v>
      </c>
      <c r="N231" s="17" t="str" cm="1">
        <f t="array" ref="N231">IF(ISNUMBER(MATCH("Transport sector adaptation target", _xlfn._xlws.FILTER(Targets!H:H, Targets!A:A =A231), 0)), "yes", "no")</f>
        <v>no</v>
      </c>
      <c r="O231" s="17" t="str">
        <f>IF(ISNA(MATCH(A231, Mitigation!A:A, 0)), "no", "yes")</f>
        <v>no</v>
      </c>
      <c r="P231" s="17" t="str">
        <f>IF(ISNA(MATCH(A231, Adaptation!A:A, 0)), "no", "yes")</f>
        <v>no</v>
      </c>
      <c r="Q231" s="17" t="str">
        <f>IF(ISNA(MATCH(A231, Benefits!A:A, 0)), "no", "yes")</f>
        <v>no</v>
      </c>
      <c r="R231" s="148"/>
      <c r="S231" s="148"/>
      <c r="T231" s="17" t="s">
        <v>501</v>
      </c>
      <c r="U231" s="169" t="s">
        <v>749</v>
      </c>
      <c r="V231" s="207" t="str">
        <f>VLOOKUP(Table1[[#This Row],[Country Code]],Table29[],3,FALSE)</f>
        <v>Non-Annex I</v>
      </c>
      <c r="W231" s="207" t="str">
        <f>VLOOKUP(Table1[[#This Row],[Country Code]],Table29[],4,FALSE)</f>
        <v>Latin America and the Caribbean</v>
      </c>
      <c r="X231" s="207" t="str">
        <f>VLOOKUP(Table1[[#This Row],[Country Code]],Table29[],5,FALSE)</f>
        <v>Middle-income</v>
      </c>
      <c r="Y231" s="43" t="s">
        <v>750</v>
      </c>
      <c r="Z231" s="17"/>
    </row>
    <row r="232" spans="1:26" ht="15" customHeight="1" x14ac:dyDescent="0.25">
      <c r="A232" s="360">
        <v>17680</v>
      </c>
      <c r="B232" s="17" t="s">
        <v>323</v>
      </c>
      <c r="C232" s="206" t="str">
        <f>VLOOKUP(Table1[[#This Row],[Country Code]],Table29[],2,FALSE)</f>
        <v>New Zealand</v>
      </c>
      <c r="D232" s="243" t="str">
        <f t="shared" si="8"/>
        <v>Good</v>
      </c>
      <c r="E232" s="20" t="s">
        <v>71</v>
      </c>
      <c r="F232" s="17" t="s">
        <v>525</v>
      </c>
      <c r="G232" s="43" t="str">
        <f t="shared" si="9"/>
        <v>First NDC updated</v>
      </c>
      <c r="H232" s="17" t="s">
        <v>691</v>
      </c>
      <c r="I232" s="149">
        <v>43943</v>
      </c>
      <c r="J232" s="49" t="s">
        <v>500</v>
      </c>
      <c r="K232" s="49" t="str" cm="1">
        <f t="array" ref="K232">IF(ISNUMBER(MATCH("Transport sector mitigation target", _xlfn._xlws.FILTER(Targets!H:H, Targets!A:A =A232), 0)), "yes", "no")</f>
        <v>no</v>
      </c>
      <c r="L232" s="17" t="str">
        <f>IF(K232="no", "No transport target", IF(AND(COUNTIFS(Targets!A:A, A232, Targets!H:H, "Transport sector mitigation target", Targets!J:J, "GHG") &gt; 0, COUNTIFS(Targets!A:A, A232, Targets!H:H, "Transport sector mitigation target", Targets!J:J, "Non GHG") &gt; 0), "GHG and non-GHG target", IF(COUNTIFS(Targets!A:A, A232, Targets!H:H, "Transport sector mitigation target", Targets!J:J, "GHG") &gt; 0, "GHG target", IF(COUNTIFS(Targets!A:A, A232, Targets!H:H, "Transport sector mitigation target", Targets!J:J, "Non GHG") &gt; 0, "non-GHG target", ""))))</f>
        <v>No transport target</v>
      </c>
      <c r="M232" s="17" t="str">
        <f>IF(K232="no","No transport target",IF(L232="non-GHG target","No GHG transport target",IF(AND(COUNTIFS(Targets!A:A,A232,Targets!H:H,"Transport sector mitigation target",Targets!J:J,"GHG",Targets!L:L,"Conditional")&gt;0,COUNTIFS(Targets!A:A,A232,Targets!H:H,"Transport sector mitigation target",Targets!J:J,"GHG",Targets!L:L,"Unconditional")&gt;0),"GHG unconditional and conditional",IF(COUNTIFS(Targets!A:A,A232,Targets!H:H,"Transport sector mitigation target",Targets!J:J,"GHG",Targets!L:L,"Conditional")&gt;0,"GHG conditional only",IF(COUNTIFS(Targets!A:A,A232,Targets!H:H,"Transport sector mitigation target",Targets!J:J,"GHG",Targets!L:L,"Unconditional")&gt;0,"GHG unconditional only",IF(COUNTIFS(Targets!A:A,A232,Targets!H:H,"Transport sector mitigation target",Targets!J:J,"GHG",Targets!L:L,"Unclear conditionality")&gt;0,"Conditionality unclear",""))))))</f>
        <v>No transport target</v>
      </c>
      <c r="N232" s="17" t="str" cm="1">
        <f t="array" ref="N232">IF(ISNUMBER(MATCH("Transport sector adaptation target", _xlfn._xlws.FILTER(Targets!H:H, Targets!A:A =A232), 0)), "yes", "no")</f>
        <v>no</v>
      </c>
      <c r="O232" s="17" t="str">
        <f>IF(ISNA(MATCH(A232, Mitigation!A:A, 0)), "no", "yes")</f>
        <v>no</v>
      </c>
      <c r="P232" s="17" t="str">
        <f>IF(ISNA(MATCH(A232, Adaptation!A:A, 0)), "no", "yes")</f>
        <v>no</v>
      </c>
      <c r="Q232" s="17" t="str">
        <f>IF(ISNA(MATCH(A232, Benefits!A:A, 0)), "no", "yes")</f>
        <v>no</v>
      </c>
      <c r="R232" s="17"/>
      <c r="S232" s="17"/>
      <c r="T232" s="17" t="s">
        <v>501</v>
      </c>
      <c r="U232" s="135" t="s">
        <v>751</v>
      </c>
      <c r="V232" s="207" t="str">
        <f>VLOOKUP(Table1[[#This Row],[Country Code]],Table29[],3,FALSE)</f>
        <v>Annex I</v>
      </c>
      <c r="W232" s="207" t="str">
        <f>VLOOKUP(Table1[[#This Row],[Country Code]],Table29[],4,FALSE)</f>
        <v>Oceania</v>
      </c>
      <c r="X232" s="207" t="str">
        <f>VLOOKUP(Table1[[#This Row],[Country Code]],Table29[],5,FALSE)</f>
        <v>High-income</v>
      </c>
      <c r="Y232" s="17"/>
      <c r="Z232" s="17"/>
    </row>
    <row r="233" spans="1:26" ht="15" customHeight="1" x14ac:dyDescent="0.25">
      <c r="A233" s="360">
        <v>17511</v>
      </c>
      <c r="B233" s="43" t="s">
        <v>61</v>
      </c>
      <c r="C233" s="243" t="str">
        <f>VLOOKUP(Table1[[#This Row],[Country Code]],Table29[],2,FALSE)</f>
        <v>Andorra</v>
      </c>
      <c r="D233" s="243" t="str">
        <f t="shared" si="8"/>
        <v>Good</v>
      </c>
      <c r="E233" s="176" t="s">
        <v>71</v>
      </c>
      <c r="F233" s="43" t="s">
        <v>525</v>
      </c>
      <c r="G233" s="43" t="str">
        <f t="shared" si="9"/>
        <v>First NDC updated</v>
      </c>
      <c r="H233" s="350" t="s">
        <v>691</v>
      </c>
      <c r="I233" s="351">
        <v>43971</v>
      </c>
      <c r="J233" s="320" t="s">
        <v>500</v>
      </c>
      <c r="K233" s="320" t="str" cm="1">
        <f t="array" ref="K233">IF(ISNUMBER(MATCH("Transport sector mitigation target", _xlfn._xlws.FILTER(Targets!H:H, Targets!A:A =A233), 0)), "yes", "no")</f>
        <v>yes</v>
      </c>
      <c r="L233" s="43" t="str">
        <f>IF(K233="no", "No transport target", IF(AND(COUNTIFS(Targets!A:A, A233, Targets!H:H, "Transport sector mitigation target", Targets!J:J, "GHG") &gt; 0, COUNTIFS(Targets!A:A, A233, Targets!H:H, "Transport sector mitigation target", Targets!J:J, "Non GHG") &gt; 0), "GHG and non-GHG target", IF(COUNTIFS(Targets!A:A, A233, Targets!H:H, "Transport sector mitigation target", Targets!J:J, "GHG") &gt; 0, "GHG target", IF(COUNTIFS(Targets!A:A, A233, Targets!H:H, "Transport sector mitigation target", Targets!J:J, "Non GHG") &gt; 0, "non-GHG target", ""))))</f>
        <v>GHG target</v>
      </c>
      <c r="M233" s="43" t="str">
        <f>IF(K233="no","No transport target",IF(L233="non-GHG target","No GHG transport target",IF(AND(COUNTIFS(Targets!A:A,A233,Targets!H:H,"Transport sector mitigation target",Targets!J:J,"GHG",Targets!L:L,"Conditional")&gt;0,COUNTIFS(Targets!A:A,A233,Targets!H:H,"Transport sector mitigation target",Targets!J:J,"GHG",Targets!L:L,"Unconditional")&gt;0),"GHG unconditional and conditional",IF(COUNTIFS(Targets!A:A,A233,Targets!H:H,"Transport sector mitigation target",Targets!J:J,"GHG",Targets!L:L,"Conditional")&gt;0,"GHG conditional only",IF(COUNTIFS(Targets!A:A,A233,Targets!H:H,"Transport sector mitigation target",Targets!J:J,"GHG",Targets!L:L,"Unconditional")&gt;0,"GHG unconditional only",IF(COUNTIFS(Targets!A:A,A233,Targets!H:H,"Transport sector mitigation target",Targets!J:J,"GHG",Targets!L:L,"Unclear conditionality")&gt;0,"Conditionality unclear",""))))))</f>
        <v>GHG unconditional only</v>
      </c>
      <c r="N233" s="43" t="str" cm="1">
        <f t="array" ref="N233">IF(ISNUMBER(MATCH("Transport sector adaptation target", _xlfn._xlws.FILTER(Targets!H:H, Targets!A:A =A233), 0)), "yes", "no")</f>
        <v>no</v>
      </c>
      <c r="O233" s="43" t="str">
        <f>IF(ISNA(MATCH(A233, Mitigation!A:A, 0)), "no", "yes")</f>
        <v>yes</v>
      </c>
      <c r="P233" s="43" t="str">
        <f>IF(ISNA(MATCH(A233, Adaptation!A:A, 0)), "no", "yes")</f>
        <v>no</v>
      </c>
      <c r="Q233" s="43" t="str">
        <f>IF(ISNA(MATCH(A233, Benefits!A:A, 0)), "no", "yes")</f>
        <v>no</v>
      </c>
      <c r="R233" s="43"/>
      <c r="S233" s="43"/>
      <c r="T233" s="43" t="s">
        <v>501</v>
      </c>
      <c r="U233" s="312" t="s">
        <v>752</v>
      </c>
      <c r="V233" s="233" t="str">
        <f>VLOOKUP(Table1[[#This Row],[Country Code]],Table29[],3,FALSE)</f>
        <v>Non-Annex I</v>
      </c>
      <c r="W233" s="233" t="str">
        <f>VLOOKUP(Table1[[#This Row],[Country Code]],Table29[],4,FALSE)</f>
        <v>Europe</v>
      </c>
      <c r="X233" s="233" t="str">
        <f>VLOOKUP(Table1[[#This Row],[Country Code]],Table29[],5,FALSE)</f>
        <v>High-income</v>
      </c>
      <c r="Y233" s="43"/>
      <c r="Z233" s="43"/>
    </row>
    <row r="234" spans="1:26" ht="15" customHeight="1" x14ac:dyDescent="0.25">
      <c r="A234" s="405">
        <v>17717</v>
      </c>
      <c r="B234" s="17" t="s">
        <v>370</v>
      </c>
      <c r="C234" s="206" t="str">
        <f>VLOOKUP(Table1[[#This Row],[Country Code]],Table29[],2,FALSE)</f>
        <v>Rwanda</v>
      </c>
      <c r="D234" s="243" t="str">
        <f t="shared" si="8"/>
        <v>Good</v>
      </c>
      <c r="E234" s="20" t="s">
        <v>71</v>
      </c>
      <c r="F234" s="17" t="s">
        <v>528</v>
      </c>
      <c r="G234" s="43" t="str">
        <f t="shared" si="9"/>
        <v>First NDC updated</v>
      </c>
      <c r="H234" s="17" t="s">
        <v>691</v>
      </c>
      <c r="I234" s="149">
        <v>43971</v>
      </c>
      <c r="J234" s="187" t="s">
        <v>505</v>
      </c>
      <c r="K234" s="49" t="str" cm="1">
        <f t="array" ref="K234">IF(ISNUMBER(MATCH("Transport sector mitigation target", _xlfn._xlws.FILTER(Targets!H:H, Targets!A:A =A234), 0)), "yes", "no")</f>
        <v>no</v>
      </c>
      <c r="L234" s="17" t="str">
        <f>IF(K234="no", "No transport target", IF(AND(COUNTIFS(Targets!A:A, A234, Targets!H:H, "Transport sector mitigation target", Targets!J:J, "GHG") &gt; 0, COUNTIFS(Targets!A:A, A234, Targets!H:H, "Transport sector mitigation target", Targets!J:J, "Non GHG") &gt; 0), "GHG and non-GHG target", IF(COUNTIFS(Targets!A:A, A234, Targets!H:H, "Transport sector mitigation target", Targets!J:J, "GHG") &gt; 0, "GHG target", IF(COUNTIFS(Targets!A:A, A234, Targets!H:H, "Transport sector mitigation target", Targets!J:J, "Non GHG") &gt; 0, "non-GHG target", ""))))</f>
        <v>No transport target</v>
      </c>
      <c r="M234" s="17" t="str">
        <f>IF(K234="no","No transport target",IF(L234="non-GHG target","No GHG transport target",IF(AND(COUNTIFS(Targets!A:A,A234,Targets!H:H,"Transport sector mitigation target",Targets!J:J,"GHG",Targets!L:L,"Conditional")&gt;0,COUNTIFS(Targets!A:A,A234,Targets!H:H,"Transport sector mitigation target",Targets!J:J,"GHG",Targets!L:L,"Unconditional")&gt;0),"GHG unconditional and conditional",IF(COUNTIFS(Targets!A:A,A234,Targets!H:H,"Transport sector mitigation target",Targets!J:J,"GHG",Targets!L:L,"Conditional")&gt;0,"GHG conditional only",IF(COUNTIFS(Targets!A:A,A234,Targets!H:H,"Transport sector mitigation target",Targets!J:J,"GHG",Targets!L:L,"Unconditional")&gt;0,"GHG unconditional only",IF(COUNTIFS(Targets!A:A,A234,Targets!H:H,"Transport sector mitigation target",Targets!J:J,"GHG",Targets!L:L,"Unclear conditionality")&gt;0,"Conditionality unclear",""))))))</f>
        <v>No transport target</v>
      </c>
      <c r="N234" s="17" t="str" cm="1">
        <f t="array" ref="N234">IF(ISNUMBER(MATCH("Transport sector adaptation target", _xlfn._xlws.FILTER(Targets!H:H, Targets!A:A =A234), 0)), "yes", "no")</f>
        <v>no</v>
      </c>
      <c r="O234" s="17" t="str">
        <f>IF(ISNA(MATCH(A234, Mitigation!A:A, 0)), "no", "yes")</f>
        <v>yes</v>
      </c>
      <c r="P234" s="17" t="str">
        <f>IF(ISNA(MATCH(A234, Adaptation!A:A, 0)), "no", "yes")</f>
        <v>yes</v>
      </c>
      <c r="Q234" s="17" t="str">
        <f>IF(ISNA(MATCH(A234, Benefits!A:A, 0)), "no", "yes")</f>
        <v>yes</v>
      </c>
      <c r="R234" s="17"/>
      <c r="S234" s="17"/>
      <c r="T234" s="17" t="s">
        <v>501</v>
      </c>
      <c r="U234" s="135" t="s">
        <v>753</v>
      </c>
      <c r="V234" s="207" t="str">
        <f>VLOOKUP(Table1[[#This Row],[Country Code]],Table29[],3,FALSE)</f>
        <v>Non-Annex I</v>
      </c>
      <c r="W234" s="207" t="str">
        <f>VLOOKUP(Table1[[#This Row],[Country Code]],Table29[],4,FALSE)</f>
        <v>Africa</v>
      </c>
      <c r="X234" s="207" t="str">
        <f>VLOOKUP(Table1[[#This Row],[Country Code]],Table29[],5,FALSE)</f>
        <v>Low-income</v>
      </c>
      <c r="Y234" s="17"/>
      <c r="Z234" s="17"/>
    </row>
    <row r="235" spans="1:26" ht="15" customHeight="1" x14ac:dyDescent="0.25">
      <c r="A235" s="360">
        <v>21371</v>
      </c>
      <c r="B235" s="43" t="s">
        <v>93</v>
      </c>
      <c r="C235" s="243" t="str">
        <f>VLOOKUP(Table1[[#This Row],[Country Code]],Table29[],2,FALSE)</f>
        <v>Barbados</v>
      </c>
      <c r="D235" s="243" t="str">
        <f t="shared" si="8"/>
        <v>Good</v>
      </c>
      <c r="E235" s="176" t="s">
        <v>71</v>
      </c>
      <c r="F235" s="43" t="s">
        <v>528</v>
      </c>
      <c r="G235" s="43" t="str">
        <f t="shared" si="9"/>
        <v>First NDC updated</v>
      </c>
      <c r="H235" s="43" t="s">
        <v>691</v>
      </c>
      <c r="I235" s="351">
        <v>44407</v>
      </c>
      <c r="J235" s="352" t="s">
        <v>505</v>
      </c>
      <c r="K235" s="320" t="str" cm="1">
        <f t="array" ref="K235">IF(ISNUMBER(MATCH("Transport sector mitigation target", _xlfn._xlws.FILTER(Targets!H:H, Targets!A:A =A235), 0)), "yes", "no")</f>
        <v>yes</v>
      </c>
      <c r="L235" s="43" t="str">
        <f>IF(K235="no", "No transport target", IF(AND(COUNTIFS(Targets!A:A, A235, Targets!H:H, "Transport sector mitigation target", Targets!J:J, "GHG") &gt; 0, COUNTIFS(Targets!A:A, A235, Targets!H:H, "Transport sector mitigation target", Targets!J:J, "Non GHG") &gt; 0), "GHG and non-GHG target", IF(COUNTIFS(Targets!A:A, A235, Targets!H:H, "Transport sector mitigation target", Targets!J:J, "GHG") &gt; 0, "GHG target", IF(COUNTIFS(Targets!A:A, A235, Targets!H:H, "Transport sector mitigation target", Targets!J:J, "Non GHG") &gt; 0, "non-GHG target", ""))))</f>
        <v>non-GHG target</v>
      </c>
      <c r="M235" s="43" t="str">
        <f>IF(K235="no","No transport target",IF(L235="non-GHG target","No GHG transport target",IF(AND(COUNTIFS(Targets!A:A,A235,Targets!H:H,"Transport sector mitigation target",Targets!J:J,"GHG",Targets!L:L,"Conditional")&gt;0,COUNTIFS(Targets!A:A,A235,Targets!H:H,"Transport sector mitigation target",Targets!J:J,"GHG",Targets!L:L,"Unconditional")&gt;0),"GHG unconditional and conditional",IF(COUNTIFS(Targets!A:A,A235,Targets!H:H,"Transport sector mitigation target",Targets!J:J,"GHG",Targets!L:L,"Conditional")&gt;0,"GHG conditional only",IF(COUNTIFS(Targets!A:A,A235,Targets!H:H,"Transport sector mitigation target",Targets!J:J,"GHG",Targets!L:L,"Unconditional")&gt;0,"GHG unconditional only",IF(COUNTIFS(Targets!A:A,A235,Targets!H:H,"Transport sector mitigation target",Targets!J:J,"GHG",Targets!L:L,"Unclear conditionality")&gt;0,"Conditionality unclear",""))))))</f>
        <v>No GHG transport target</v>
      </c>
      <c r="N235" s="43" t="str" cm="1">
        <f t="array" ref="N235">IF(ISNUMBER(MATCH("Transport sector adaptation target", _xlfn._xlws.FILTER(Targets!H:H, Targets!A:A =A235), 0)), "yes", "no")</f>
        <v>no</v>
      </c>
      <c r="O235" s="43" t="str">
        <f>IF(ISNA(MATCH(A235, Mitigation!A:A, 0)), "no", "yes")</f>
        <v>yes</v>
      </c>
      <c r="P235" s="43" t="str">
        <f>IF(ISNA(MATCH(A235, Adaptation!A:A, 0)), "no", "yes")</f>
        <v>yes</v>
      </c>
      <c r="Q235" s="43" t="str">
        <f>IF(ISNA(MATCH(A235, Benefits!A:A, 0)), "no", "yes")</f>
        <v>yes</v>
      </c>
      <c r="R235" s="43"/>
      <c r="S235" s="43"/>
      <c r="T235" s="43" t="s">
        <v>501</v>
      </c>
      <c r="U235" s="312" t="s">
        <v>754</v>
      </c>
      <c r="V235" s="233" t="str">
        <f>VLOOKUP(Table1[[#This Row],[Country Code]],Table29[],3,FALSE)</f>
        <v>Non-Annex I</v>
      </c>
      <c r="W235" s="233" t="str">
        <f>VLOOKUP(Table1[[#This Row],[Country Code]],Table29[],4,FALSE)</f>
        <v>Latin America and the Caribbean</v>
      </c>
      <c r="X235" s="233" t="str">
        <f>VLOOKUP(Table1[[#This Row],[Country Code]],Table29[],5,FALSE)</f>
        <v>High-income</v>
      </c>
      <c r="Y235" s="43"/>
      <c r="Z235" s="43"/>
    </row>
    <row r="236" spans="1:26" ht="15" customHeight="1" x14ac:dyDescent="0.25">
      <c r="A236" s="360">
        <v>17625</v>
      </c>
      <c r="B236" s="43" t="s">
        <v>243</v>
      </c>
      <c r="C236" s="243" t="str">
        <f>VLOOKUP(Table1[[#This Row],[Country Code]],Table29[],2,FALSE)</f>
        <v>Jamaica</v>
      </c>
      <c r="D236" s="243" t="str">
        <f t="shared" si="8"/>
        <v>Good</v>
      </c>
      <c r="E236" s="176" t="s">
        <v>71</v>
      </c>
      <c r="F236" s="43" t="s">
        <v>528</v>
      </c>
      <c r="G236" s="43" t="str">
        <f t="shared" si="9"/>
        <v>First NDC updated</v>
      </c>
      <c r="H236" s="43" t="s">
        <v>691</v>
      </c>
      <c r="I236" s="351">
        <v>44013</v>
      </c>
      <c r="J236" s="352" t="s">
        <v>505</v>
      </c>
      <c r="K236" s="320" t="str" cm="1">
        <f t="array" ref="K236">IF(ISNUMBER(MATCH("Transport sector mitigation target", _xlfn._xlws.FILTER(Targets!H:H, Targets!A:A =A236), 0)), "yes", "no")</f>
        <v>no</v>
      </c>
      <c r="L236" s="43" t="str">
        <f>IF(K236="no", "No transport target", IF(AND(COUNTIFS(Targets!A:A, A236, Targets!H:H, "Transport sector mitigation target", Targets!J:J, "GHG") &gt; 0, COUNTIFS(Targets!A:A, A236, Targets!H:H, "Transport sector mitigation target", Targets!J:J, "Non GHG") &gt; 0), "GHG and non-GHG target", IF(COUNTIFS(Targets!A:A, A236, Targets!H:H, "Transport sector mitigation target", Targets!J:J, "GHG") &gt; 0, "GHG target", IF(COUNTIFS(Targets!A:A, A236, Targets!H:H, "Transport sector mitigation target", Targets!J:J, "Non GHG") &gt; 0, "non-GHG target", ""))))</f>
        <v>No transport target</v>
      </c>
      <c r="M236" s="43" t="str">
        <f>IF(K236="no","No transport target",IF(L236="non-GHG target","No GHG transport target",IF(AND(COUNTIFS(Targets!A:A,A236,Targets!H:H,"Transport sector mitigation target",Targets!J:J,"GHG",Targets!L:L,"Conditional")&gt;0,COUNTIFS(Targets!A:A,A236,Targets!H:H,"Transport sector mitigation target",Targets!J:J,"GHG",Targets!L:L,"Unconditional")&gt;0),"GHG unconditional and conditional",IF(COUNTIFS(Targets!A:A,A236,Targets!H:H,"Transport sector mitigation target",Targets!J:J,"GHG",Targets!L:L,"Conditional")&gt;0,"GHG conditional only",IF(COUNTIFS(Targets!A:A,A236,Targets!H:H,"Transport sector mitigation target",Targets!J:J,"GHG",Targets!L:L,"Unconditional")&gt;0,"GHG unconditional only",IF(COUNTIFS(Targets!A:A,A236,Targets!H:H,"Transport sector mitigation target",Targets!J:J,"GHG",Targets!L:L,"Unclear conditionality")&gt;0,"Conditionality unclear",""))))))</f>
        <v>No transport target</v>
      </c>
      <c r="N236" s="43" t="str" cm="1">
        <f t="array" ref="N236">IF(ISNUMBER(MATCH("Transport sector adaptation target", _xlfn._xlws.FILTER(Targets!H:H, Targets!A:A =A236), 0)), "yes", "no")</f>
        <v>no</v>
      </c>
      <c r="O236" s="43" t="str">
        <f>IF(ISNA(MATCH(A236, Mitigation!A:A, 0)), "no", "yes")</f>
        <v>no</v>
      </c>
      <c r="P236" s="43" t="str">
        <f>IF(ISNA(MATCH(A236, Adaptation!A:A, 0)), "no", "yes")</f>
        <v>no</v>
      </c>
      <c r="Q236" s="43" t="str">
        <f>IF(ISNA(MATCH(A236, Benefits!A:A, 0)), "no", "yes")</f>
        <v>no</v>
      </c>
      <c r="R236" s="43"/>
      <c r="S236" s="43"/>
      <c r="T236" s="43" t="s">
        <v>501</v>
      </c>
      <c r="U236" s="312" t="s">
        <v>755</v>
      </c>
      <c r="V236" s="233" t="str">
        <f>VLOOKUP(Table1[[#This Row],[Country Code]],Table29[],3,FALSE)</f>
        <v>Non-Annex I</v>
      </c>
      <c r="W236" s="233" t="str">
        <f>VLOOKUP(Table1[[#This Row],[Country Code]],Table29[],4,FALSE)</f>
        <v>Latin America and the Caribbean</v>
      </c>
      <c r="X236" s="233" t="str">
        <f>VLOOKUP(Table1[[#This Row],[Country Code]],Table29[],5,FALSE)</f>
        <v>Middle-income</v>
      </c>
      <c r="Y236" s="43"/>
      <c r="Z236" s="43"/>
    </row>
    <row r="237" spans="1:26" ht="15" customHeight="1" x14ac:dyDescent="0.25">
      <c r="A237" s="360">
        <v>17528</v>
      </c>
      <c r="B237" s="43" t="s">
        <v>97</v>
      </c>
      <c r="C237" s="243" t="str">
        <f>VLOOKUP(Table1[[#This Row],[Country Code]],Table29[],2,FALSE)</f>
        <v>Belgium</v>
      </c>
      <c r="D237" s="243" t="str">
        <f t="shared" si="8"/>
        <v>Good</v>
      </c>
      <c r="E237" s="176" t="s">
        <v>227</v>
      </c>
      <c r="F237" s="43" t="s">
        <v>717</v>
      </c>
      <c r="G237" s="43" t="str">
        <f t="shared" si="9"/>
        <v>EU-LTS</v>
      </c>
      <c r="H237" s="43" t="s">
        <v>636</v>
      </c>
      <c r="I237" s="351">
        <v>44116</v>
      </c>
      <c r="J237" s="352" t="s">
        <v>505</v>
      </c>
      <c r="K237" s="320" t="str" cm="1">
        <f t="array" ref="K237">IF(ISNUMBER(MATCH("Transport sector mitigation target", _xlfn._xlws.FILTER(Targets!H:H, Targets!A:A =A237), 0)), "yes", "no")</f>
        <v>yes</v>
      </c>
      <c r="L237" s="43" t="str">
        <f>IF(K237="no", "No transport target", IF(AND(COUNTIFS(Targets!A:A, A237, Targets!H:H, "Transport sector mitigation target", Targets!J:J, "GHG") &gt; 0, COUNTIFS(Targets!A:A, A237, Targets!H:H, "Transport sector mitigation target", Targets!J:J, "Non GHG") &gt; 0), "GHG and non-GHG target", IF(COUNTIFS(Targets!A:A, A237, Targets!H:H, "Transport sector mitigation target", Targets!J:J, "GHG") &gt; 0, "GHG target", IF(COUNTIFS(Targets!A:A, A237, Targets!H:H, "Transport sector mitigation target", Targets!J:J, "Non GHG") &gt; 0, "non-GHG target", ""))))</f>
        <v>GHG target</v>
      </c>
      <c r="M237" s="43" t="str">
        <f>IF(K237="no","No transport target",IF(L237="non-GHG target","No GHG transport target",IF(AND(COUNTIFS(Targets!A:A,A237,Targets!H:H,"Transport sector mitigation target",Targets!J:J,"GHG",Targets!L:L,"Conditional")&gt;0,COUNTIFS(Targets!A:A,A237,Targets!H:H,"Transport sector mitigation target",Targets!J:J,"GHG",Targets!L:L,"Unconditional")&gt;0),"GHG unconditional and conditional",IF(COUNTIFS(Targets!A:A,A237,Targets!H:H,"Transport sector mitigation target",Targets!J:J,"GHG",Targets!L:L,"Conditional")&gt;0,"GHG conditional only",IF(COUNTIFS(Targets!A:A,A237,Targets!H:H,"Transport sector mitigation target",Targets!J:J,"GHG",Targets!L:L,"Unconditional")&gt;0,"GHG unconditional only",IF(COUNTIFS(Targets!A:A,A237,Targets!H:H,"Transport sector mitigation target",Targets!J:J,"GHG",Targets!L:L,"Unclear conditionality")&gt;0,"Conditionality unclear",""))))))</f>
        <v>GHG unconditional only</v>
      </c>
      <c r="N237" s="43" t="str" cm="1">
        <f t="array" ref="N237">IF(ISNUMBER(MATCH("Transport sector adaptation target", _xlfn._xlws.FILTER(Targets!H:H, Targets!A:A =A237), 0)), "yes", "no")</f>
        <v>no</v>
      </c>
      <c r="O237" s="43" t="str">
        <f>IF(ISNA(MATCH(A237, Mitigation!A:A, 0)), "no", "yes")</f>
        <v>yes</v>
      </c>
      <c r="P237" s="43" t="str">
        <f>IF(ISNA(MATCH(A237, Adaptation!A:A, 0)), "no", "yes")</f>
        <v>no</v>
      </c>
      <c r="Q237" s="43" t="str">
        <f>IF(ISNA(MATCH(A237, Benefits!A:A, 0)), "no", "yes")</f>
        <v>yes</v>
      </c>
      <c r="R237" s="43"/>
      <c r="S237" s="43"/>
      <c r="T237" s="43" t="s">
        <v>501</v>
      </c>
      <c r="U237" s="312" t="s">
        <v>756</v>
      </c>
      <c r="V237" s="233" t="str">
        <f>VLOOKUP(Table1[[#This Row],[Country Code]],Table29[],3,FALSE)</f>
        <v>Annex I</v>
      </c>
      <c r="W237" s="233" t="str">
        <f>VLOOKUP(Table1[[#This Row],[Country Code]],Table29[],4,FALSE)</f>
        <v>Europe</v>
      </c>
      <c r="X237" s="233" t="str">
        <f>VLOOKUP(Table1[[#This Row],[Country Code]],Table29[],5,FALSE)</f>
        <v>High-income</v>
      </c>
      <c r="Y237" s="43"/>
      <c r="Z237" s="43"/>
    </row>
    <row r="238" spans="1:26" ht="15" customHeight="1" x14ac:dyDescent="0.25">
      <c r="A238" s="360">
        <v>39438</v>
      </c>
      <c r="B238" s="42" t="s">
        <v>99</v>
      </c>
      <c r="C238" s="243" t="str">
        <f>VLOOKUP(Table1[[#This Row],[Country Code]],Table29[],2,FALSE)</f>
        <v>Belize</v>
      </c>
      <c r="D238" s="243" t="str">
        <f t="shared" si="8"/>
        <v>Good</v>
      </c>
      <c r="E238" s="176" t="s">
        <v>227</v>
      </c>
      <c r="F238" s="43" t="s">
        <v>227</v>
      </c>
      <c r="G238" s="43" t="str">
        <f t="shared" si="9"/>
        <v>LTS</v>
      </c>
      <c r="H238" s="350" t="s">
        <v>636</v>
      </c>
      <c r="I238" s="355">
        <v>45049</v>
      </c>
      <c r="J238" s="352" t="s">
        <v>505</v>
      </c>
      <c r="K238" s="320" t="str" cm="1">
        <f t="array" ref="K238">IF(ISNUMBER(MATCH("Transport sector mitigation target", _xlfn._xlws.FILTER(Targets!H:H, Targets!A:A =A238), 0)), "yes", "no")</f>
        <v>yes</v>
      </c>
      <c r="L238" s="43" t="str">
        <f>IF(K238="no", "No transport target", IF(AND(COUNTIFS(Targets!A:A, A238, Targets!H:H, "Transport sector mitigation target", Targets!J:J, "GHG") &gt; 0, COUNTIFS(Targets!A:A, A238, Targets!H:H, "Transport sector mitigation target", Targets!J:J, "Non GHG") &gt; 0), "GHG and non-GHG target", IF(COUNTIFS(Targets!A:A, A238, Targets!H:H, "Transport sector mitigation target", Targets!J:J, "GHG") &gt; 0, "GHG target", IF(COUNTIFS(Targets!A:A, A238, Targets!H:H, "Transport sector mitigation target", Targets!J:J, "Non GHG") &gt; 0, "non-GHG target", ""))))</f>
        <v>GHG and non-GHG target</v>
      </c>
      <c r="M238" s="43" t="str">
        <f>IF(K238="no","No transport target",IF(L238="non-GHG target","No GHG transport target",IF(AND(COUNTIFS(Targets!A:A,A238,Targets!H:H,"Transport sector mitigation target",Targets!J:J,"GHG",Targets!L:L,"Conditional")&gt;0,COUNTIFS(Targets!A:A,A238,Targets!H:H,"Transport sector mitigation target",Targets!J:J,"GHG",Targets!L:L,"Unconditional")&gt;0),"GHG unconditional and conditional",IF(COUNTIFS(Targets!A:A,A238,Targets!H:H,"Transport sector mitigation target",Targets!J:J,"GHG",Targets!L:L,"Conditional")&gt;0,"GHG conditional only",IF(COUNTIFS(Targets!A:A,A238,Targets!H:H,"Transport sector mitigation target",Targets!J:J,"GHG",Targets!L:L,"Unconditional")&gt;0,"GHG unconditional only",IF(COUNTIFS(Targets!A:A,A238,Targets!H:H,"Transport sector mitigation target",Targets!J:J,"GHG",Targets!L:L,"Unclear conditionality")&gt;0,"Conditionality unclear",""))))))</f>
        <v>GHG conditional only</v>
      </c>
      <c r="N238" s="43" t="str" cm="1">
        <f t="array" ref="N238">IF(ISNUMBER(MATCH("Transport sector adaptation target", _xlfn._xlws.FILTER(Targets!H:H, Targets!A:A =A238), 0)), "yes", "no")</f>
        <v>no</v>
      </c>
      <c r="O238" s="43" t="str">
        <f>IF(ISNA(MATCH(A238, Mitigation!A:A, 0)), "no", "yes")</f>
        <v>yes</v>
      </c>
      <c r="P238" s="43" t="str">
        <f>IF(ISNA(MATCH(A238, Adaptation!A:A, 0)), "no", "yes")</f>
        <v>no</v>
      </c>
      <c r="Q238" s="43" t="str">
        <f>IF(ISNA(MATCH(A238, Benefits!A:A, 0)), "no", "yes")</f>
        <v>yes</v>
      </c>
      <c r="R238" s="43"/>
      <c r="S238" s="43"/>
      <c r="T238" s="43" t="s">
        <v>501</v>
      </c>
      <c r="U238" s="356" t="s">
        <v>757</v>
      </c>
      <c r="V238" s="233" t="str">
        <f>VLOOKUP(Table1[[#This Row],[Country Code]],Table29[],3,FALSE)</f>
        <v>Non-Annex I</v>
      </c>
      <c r="W238" s="233" t="str">
        <f>VLOOKUP(Table1[[#This Row],[Country Code]],Table29[],4,FALSE)</f>
        <v>Latin America and the Caribbean</v>
      </c>
      <c r="X238" s="233" t="str">
        <f>VLOOKUP(Table1[[#This Row],[Country Code]],Table29[],5,FALSE)</f>
        <v>Middle-income</v>
      </c>
      <c r="Y238" s="43"/>
      <c r="Z238" s="43"/>
    </row>
    <row r="239" spans="1:26" ht="15" customHeight="1" x14ac:dyDescent="0.25">
      <c r="A239" s="360">
        <v>21711</v>
      </c>
      <c r="B239" s="42" t="s">
        <v>99</v>
      </c>
      <c r="C239" s="243" t="str">
        <f>VLOOKUP(Table1[[#This Row],[Country Code]],Table29[],2,FALSE)</f>
        <v>Belize</v>
      </c>
      <c r="D239" s="243" t="str">
        <f t="shared" si="8"/>
        <v>Good</v>
      </c>
      <c r="E239" s="176" t="s">
        <v>71</v>
      </c>
      <c r="F239" s="43" t="s">
        <v>528</v>
      </c>
      <c r="G239" s="43" t="str">
        <f t="shared" si="9"/>
        <v>First NDC updated</v>
      </c>
      <c r="H239" s="43" t="s">
        <v>691</v>
      </c>
      <c r="I239" s="351">
        <v>44205</v>
      </c>
      <c r="J239" s="352" t="s">
        <v>505</v>
      </c>
      <c r="K239" s="320" t="str" cm="1">
        <f t="array" ref="K239">IF(ISNUMBER(MATCH("Transport sector mitigation target", _xlfn._xlws.FILTER(Targets!H:H, Targets!A:A =A239), 0)), "yes", "no")</f>
        <v>yes</v>
      </c>
      <c r="L239" s="43" t="str">
        <f>IF(K239="no", "No transport target", IF(AND(COUNTIFS(Targets!A:A, A239, Targets!H:H, "Transport sector mitigation target", Targets!J:J, "GHG") &gt; 0, COUNTIFS(Targets!A:A, A239, Targets!H:H, "Transport sector mitigation target", Targets!J:J, "Non GHG") &gt; 0), "GHG and non-GHG target", IF(COUNTIFS(Targets!A:A, A239, Targets!H:H, "Transport sector mitigation target", Targets!J:J, "GHG") &gt; 0, "GHG target", IF(COUNTIFS(Targets!A:A, A239, Targets!H:H, "Transport sector mitigation target", Targets!J:J, "Non GHG") &gt; 0, "non-GHG target", ""))))</f>
        <v>GHG target</v>
      </c>
      <c r="M239" s="43" t="str">
        <f>IF(K239="no","No transport target",IF(L239="non-GHG target","No GHG transport target",IF(AND(COUNTIFS(Targets!A:A,A239,Targets!H:H,"Transport sector mitigation target",Targets!J:J,"GHG",Targets!L:L,"Conditional")&gt;0,COUNTIFS(Targets!A:A,A239,Targets!H:H,"Transport sector mitigation target",Targets!J:J,"GHG",Targets!L:L,"Unconditional")&gt;0),"GHG unconditional and conditional",IF(COUNTIFS(Targets!A:A,A239,Targets!H:H,"Transport sector mitigation target",Targets!J:J,"GHG",Targets!L:L,"Conditional")&gt;0,"GHG conditional only",IF(COUNTIFS(Targets!A:A,A239,Targets!H:H,"Transport sector mitigation target",Targets!J:J,"GHG",Targets!L:L,"Unconditional")&gt;0,"GHG unconditional only",IF(COUNTIFS(Targets!A:A,A239,Targets!H:H,"Transport sector mitigation target",Targets!J:J,"GHG",Targets!L:L,"Unclear conditionality")&gt;0,"Conditionality unclear",""))))))</f>
        <v>GHG unconditional only</v>
      </c>
      <c r="N239" s="43" t="str" cm="1">
        <f t="array" ref="N239">IF(ISNUMBER(MATCH("Transport sector adaptation target", _xlfn._xlws.FILTER(Targets!H:H, Targets!A:A =A239), 0)), "yes", "no")</f>
        <v>no</v>
      </c>
      <c r="O239" s="43" t="str">
        <f>IF(ISNA(MATCH(A239, Mitigation!A:A, 0)), "no", "yes")</f>
        <v>yes</v>
      </c>
      <c r="P239" s="43" t="str">
        <f>IF(ISNA(MATCH(A239, Adaptation!A:A, 0)), "no", "yes")</f>
        <v>yes</v>
      </c>
      <c r="Q239" s="43" t="str">
        <f>IF(ISNA(MATCH(A239, Benefits!A:A, 0)), "no", "yes")</f>
        <v>yes</v>
      </c>
      <c r="R239" s="43"/>
      <c r="S239" s="43"/>
      <c r="T239" s="43" t="s">
        <v>501</v>
      </c>
      <c r="U239" s="312" t="s">
        <v>758</v>
      </c>
      <c r="V239" s="233" t="str">
        <f>VLOOKUP(Table1[[#This Row],[Country Code]],Table29[],3,FALSE)</f>
        <v>Non-Annex I</v>
      </c>
      <c r="W239" s="233" t="str">
        <f>VLOOKUP(Table1[[#This Row],[Country Code]],Table29[],4,FALSE)</f>
        <v>Latin America and the Caribbean</v>
      </c>
      <c r="X239" s="233" t="str">
        <f>VLOOKUP(Table1[[#This Row],[Country Code]],Table29[],5,FALSE)</f>
        <v>Middle-income</v>
      </c>
      <c r="Y239" s="43"/>
      <c r="Z239" s="43"/>
    </row>
    <row r="240" spans="1:26" ht="15" customHeight="1" x14ac:dyDescent="0.25">
      <c r="A240" s="360">
        <v>17539</v>
      </c>
      <c r="B240" s="43" t="s">
        <v>111</v>
      </c>
      <c r="C240" s="243" t="str">
        <f>VLOOKUP(Table1[[#This Row],[Country Code]],Table29[],2,FALSE)</f>
        <v>Brazil</v>
      </c>
      <c r="D240" s="243" t="str">
        <f t="shared" si="8"/>
        <v>Good</v>
      </c>
      <c r="E240" s="176" t="s">
        <v>71</v>
      </c>
      <c r="F240" s="43" t="s">
        <v>525</v>
      </c>
      <c r="G240" s="43" t="str">
        <f t="shared" si="9"/>
        <v>First NDC updated</v>
      </c>
      <c r="H240" s="350" t="s">
        <v>691</v>
      </c>
      <c r="I240" s="351">
        <v>44086</v>
      </c>
      <c r="J240" s="320" t="s">
        <v>500</v>
      </c>
      <c r="K240" s="320" t="str" cm="1">
        <f t="array" ref="K240">IF(ISNUMBER(MATCH("Transport sector mitigation target", _xlfn._xlws.FILTER(Targets!H:H, Targets!A:A =A240), 0)), "yes", "no")</f>
        <v>no</v>
      </c>
      <c r="L240" s="43" t="str">
        <f>IF(K240="no", "No transport target", IF(AND(COUNTIFS(Targets!A:A, A240, Targets!H:H, "Transport sector mitigation target", Targets!J:J, "GHG") &gt; 0, COUNTIFS(Targets!A:A, A240, Targets!H:H, "Transport sector mitigation target", Targets!J:J, "Non GHG") &gt; 0), "GHG and non-GHG target", IF(COUNTIFS(Targets!A:A, A240, Targets!H:H, "Transport sector mitigation target", Targets!J:J, "GHG") &gt; 0, "GHG target", IF(COUNTIFS(Targets!A:A, A240, Targets!H:H, "Transport sector mitigation target", Targets!J:J, "Non GHG") &gt; 0, "non-GHG target", ""))))</f>
        <v>No transport target</v>
      </c>
      <c r="M240" s="43" t="str">
        <f>IF(K240="no","No transport target",IF(L240="non-GHG target","No GHG transport target",IF(AND(COUNTIFS(Targets!A:A,A240,Targets!H:H,"Transport sector mitigation target",Targets!J:J,"GHG",Targets!L:L,"Conditional")&gt;0,COUNTIFS(Targets!A:A,A240,Targets!H:H,"Transport sector mitigation target",Targets!J:J,"GHG",Targets!L:L,"Unconditional")&gt;0),"GHG unconditional and conditional",IF(COUNTIFS(Targets!A:A,A240,Targets!H:H,"Transport sector mitigation target",Targets!J:J,"GHG",Targets!L:L,"Conditional")&gt;0,"GHG conditional only",IF(COUNTIFS(Targets!A:A,A240,Targets!H:H,"Transport sector mitigation target",Targets!J:J,"GHG",Targets!L:L,"Unconditional")&gt;0,"GHG unconditional only",IF(COUNTIFS(Targets!A:A,A240,Targets!H:H,"Transport sector mitigation target",Targets!J:J,"GHG",Targets!L:L,"Unclear conditionality")&gt;0,"Conditionality unclear",""))))))</f>
        <v>No transport target</v>
      </c>
      <c r="N240" s="43" t="str" cm="1">
        <f t="array" ref="N240">IF(ISNUMBER(MATCH("Transport sector adaptation target", _xlfn._xlws.FILTER(Targets!H:H, Targets!A:A =A240), 0)), "yes", "no")</f>
        <v>no</v>
      </c>
      <c r="O240" s="43" t="str">
        <f>IF(ISNA(MATCH(A240, Mitigation!A:A, 0)), "no", "yes")</f>
        <v>yes</v>
      </c>
      <c r="P240" s="43" t="str">
        <f>IF(ISNA(MATCH(A240, Adaptation!A:A, 0)), "no", "yes")</f>
        <v>no</v>
      </c>
      <c r="Q240" s="43" t="str">
        <f>IF(ISNA(MATCH(A240, Benefits!A:A, 0)), "no", "yes")</f>
        <v>no</v>
      </c>
      <c r="R240" s="43"/>
      <c r="S240" s="43"/>
      <c r="T240" s="43" t="s">
        <v>501</v>
      </c>
      <c r="U240" s="312" t="s">
        <v>759</v>
      </c>
      <c r="V240" s="233" t="str">
        <f>VLOOKUP(Table1[[#This Row],[Country Code]],Table29[],3,FALSE)</f>
        <v>Non-Annex I</v>
      </c>
      <c r="W240" s="233" t="str">
        <f>VLOOKUP(Table1[[#This Row],[Country Code]],Table29[],4,FALSE)</f>
        <v>Latin America and the Caribbean</v>
      </c>
      <c r="X240" s="233" t="str">
        <f>VLOOKUP(Table1[[#This Row],[Country Code]],Table29[],5,FALSE)</f>
        <v>Middle-income</v>
      </c>
      <c r="Y240" s="43"/>
      <c r="Z240" s="43"/>
    </row>
    <row r="241" spans="1:26" ht="15" customHeight="1" x14ac:dyDescent="0.25">
      <c r="A241" s="360">
        <v>17754</v>
      </c>
      <c r="B241" s="43" t="s">
        <v>418</v>
      </c>
      <c r="C241" s="243" t="str">
        <f>VLOOKUP(Table1[[#This Row],[Country Code]],Table29[],2,FALSE)</f>
        <v>Switzerland</v>
      </c>
      <c r="D241" s="243" t="str">
        <f t="shared" si="8"/>
        <v>Good</v>
      </c>
      <c r="E241" s="176" t="s">
        <v>71</v>
      </c>
      <c r="F241" s="43" t="s">
        <v>525</v>
      </c>
      <c r="G241" s="43" t="str">
        <f t="shared" si="9"/>
        <v>First NDC updated</v>
      </c>
      <c r="H241" s="43" t="s">
        <v>691</v>
      </c>
      <c r="I241" s="351">
        <v>44086</v>
      </c>
      <c r="J241" s="320" t="s">
        <v>500</v>
      </c>
      <c r="K241" s="320" t="str" cm="1">
        <f t="array" ref="K241">IF(ISNUMBER(MATCH("Transport sector mitigation target", _xlfn._xlws.FILTER(Targets!H:H, Targets!A:A =A241), 0)), "yes", "no")</f>
        <v>no</v>
      </c>
      <c r="L241" s="43" t="str">
        <f>IF(K241="no", "No transport target", IF(AND(COUNTIFS(Targets!A:A, A241, Targets!H:H, "Transport sector mitigation target", Targets!J:J, "GHG") &gt; 0, COUNTIFS(Targets!A:A, A241, Targets!H:H, "Transport sector mitigation target", Targets!J:J, "Non GHG") &gt; 0), "GHG and non-GHG target", IF(COUNTIFS(Targets!A:A, A241, Targets!H:H, "Transport sector mitigation target", Targets!J:J, "GHG") &gt; 0, "GHG target", IF(COUNTIFS(Targets!A:A, A241, Targets!H:H, "Transport sector mitigation target", Targets!J:J, "Non GHG") &gt; 0, "non-GHG target", ""))))</f>
        <v>No transport target</v>
      </c>
      <c r="M241" s="43" t="str">
        <f>IF(K241="no","No transport target",IF(L241="non-GHG target","No GHG transport target",IF(AND(COUNTIFS(Targets!A:A,A241,Targets!H:H,"Transport sector mitigation target",Targets!J:J,"GHG",Targets!L:L,"Conditional")&gt;0,COUNTIFS(Targets!A:A,A241,Targets!H:H,"Transport sector mitigation target",Targets!J:J,"GHG",Targets!L:L,"Unconditional")&gt;0),"GHG unconditional and conditional",IF(COUNTIFS(Targets!A:A,A241,Targets!H:H,"Transport sector mitigation target",Targets!J:J,"GHG",Targets!L:L,"Conditional")&gt;0,"GHG conditional only",IF(COUNTIFS(Targets!A:A,A241,Targets!H:H,"Transport sector mitigation target",Targets!J:J,"GHG",Targets!L:L,"Unconditional")&gt;0,"GHG unconditional only",IF(COUNTIFS(Targets!A:A,A241,Targets!H:H,"Transport sector mitigation target",Targets!J:J,"GHG",Targets!L:L,"Unclear conditionality")&gt;0,"Conditionality unclear",""))))))</f>
        <v>No transport target</v>
      </c>
      <c r="N241" s="43" t="str" cm="1">
        <f t="array" ref="N241">IF(ISNUMBER(MATCH("Transport sector adaptation target", _xlfn._xlws.FILTER(Targets!H:H, Targets!A:A =A241), 0)), "yes", "no")</f>
        <v>no</v>
      </c>
      <c r="O241" s="43" t="str">
        <f>IF(ISNA(MATCH(A241, Mitigation!A:A, 0)), "no", "yes")</f>
        <v>yes</v>
      </c>
      <c r="P241" s="43" t="str">
        <f>IF(ISNA(MATCH(A241, Adaptation!A:A, 0)), "no", "yes")</f>
        <v>yes</v>
      </c>
      <c r="Q241" s="43" t="str">
        <f>IF(ISNA(MATCH(A241, Benefits!A:A, 0)), "no", "yes")</f>
        <v>no</v>
      </c>
      <c r="R241" s="43"/>
      <c r="S241" s="43"/>
      <c r="T241" s="43" t="s">
        <v>501</v>
      </c>
      <c r="U241" s="312" t="s">
        <v>760</v>
      </c>
      <c r="V241" s="233" t="str">
        <f>VLOOKUP(Table1[[#This Row],[Country Code]],Table29[],3,FALSE)</f>
        <v>Annex I</v>
      </c>
      <c r="W241" s="233" t="str">
        <f>VLOOKUP(Table1[[#This Row],[Country Code]],Table29[],4,FALSE)</f>
        <v>Europe</v>
      </c>
      <c r="X241" s="233" t="str">
        <f>VLOOKUP(Table1[[#This Row],[Country Code]],Table29[],5,FALSE)</f>
        <v>High-income</v>
      </c>
      <c r="Y241" s="43"/>
      <c r="Z241" s="43"/>
    </row>
    <row r="242" spans="1:26" ht="15" customHeight="1" x14ac:dyDescent="0.25">
      <c r="A242" s="360">
        <v>39440</v>
      </c>
      <c r="B242" s="176" t="s">
        <v>103</v>
      </c>
      <c r="C242" s="243" t="str">
        <f>VLOOKUP(Table1[[#This Row],[Country Code]],Table29[],2,FALSE)</f>
        <v>Bhutan</v>
      </c>
      <c r="D242" s="243" t="str">
        <f t="shared" si="8"/>
        <v>Good</v>
      </c>
      <c r="E242" s="176" t="s">
        <v>227</v>
      </c>
      <c r="F242" s="43" t="s">
        <v>227</v>
      </c>
      <c r="G242" s="43" t="str">
        <f t="shared" si="9"/>
        <v>LTS</v>
      </c>
      <c r="H242" s="350" t="s">
        <v>636</v>
      </c>
      <c r="I242" s="355">
        <v>45191</v>
      </c>
      <c r="J242" s="352" t="s">
        <v>505</v>
      </c>
      <c r="K242" s="320" t="str" cm="1">
        <f t="array" ref="K242">IF(ISNUMBER(MATCH("Transport sector mitigation target", _xlfn._xlws.FILTER(Targets!H:H, Targets!A:A =A242), 0)), "yes", "no")</f>
        <v>yes</v>
      </c>
      <c r="L242" s="43" t="str">
        <f>IF(K242="no", "No transport target", IF(AND(COUNTIFS(Targets!A:A, A242, Targets!H:H, "Transport sector mitigation target", Targets!J:J, "GHG") &gt; 0, COUNTIFS(Targets!A:A, A242, Targets!H:H, "Transport sector mitigation target", Targets!J:J, "Non GHG") &gt; 0), "GHG and non-GHG target", IF(COUNTIFS(Targets!A:A, A242, Targets!H:H, "Transport sector mitigation target", Targets!J:J, "GHG") &gt; 0, "GHG target", IF(COUNTIFS(Targets!A:A, A242, Targets!H:H, "Transport sector mitigation target", Targets!J:J, "Non GHG") &gt; 0, "non-GHG target", ""))))</f>
        <v>non-GHG target</v>
      </c>
      <c r="M242" s="43" t="str">
        <f>IF(K242="no","No transport target",IF(L242="non-GHG target","No GHG transport target",IF(AND(COUNTIFS(Targets!A:A,A242,Targets!H:H,"Transport sector mitigation target",Targets!J:J,"GHG",Targets!L:L,"Conditional")&gt;0,COUNTIFS(Targets!A:A,A242,Targets!H:H,"Transport sector mitigation target",Targets!J:J,"GHG",Targets!L:L,"Unconditional")&gt;0),"GHG unconditional and conditional",IF(COUNTIFS(Targets!A:A,A242,Targets!H:H,"Transport sector mitigation target",Targets!J:J,"GHG",Targets!L:L,"Conditional")&gt;0,"GHG conditional only",IF(COUNTIFS(Targets!A:A,A242,Targets!H:H,"Transport sector mitigation target",Targets!J:J,"GHG",Targets!L:L,"Unconditional")&gt;0,"GHG unconditional only",IF(COUNTIFS(Targets!A:A,A242,Targets!H:H,"Transport sector mitigation target",Targets!J:J,"GHG",Targets!L:L,"Unclear conditionality")&gt;0,"Conditionality unclear",""))))))</f>
        <v>No GHG transport target</v>
      </c>
      <c r="N242" s="43" t="str" cm="1">
        <f t="array" ref="N242">IF(ISNUMBER(MATCH("Transport sector adaptation target", _xlfn._xlws.FILTER(Targets!H:H, Targets!A:A =A242), 0)), "yes", "no")</f>
        <v>no</v>
      </c>
      <c r="O242" s="43" t="str">
        <f>IF(ISNA(MATCH(A242, Mitigation!A:A, 0)), "no", "yes")</f>
        <v>yes</v>
      </c>
      <c r="P242" s="43" t="str">
        <f>IF(ISNA(MATCH(A242, Adaptation!A:A, 0)), "no", "yes")</f>
        <v>yes</v>
      </c>
      <c r="Q242" s="43" t="str">
        <f>IF(ISNA(MATCH(A242, Benefits!A:A, 0)), "no", "yes")</f>
        <v>yes</v>
      </c>
      <c r="R242" s="43"/>
      <c r="S242" s="43"/>
      <c r="T242" s="43" t="s">
        <v>501</v>
      </c>
      <c r="U242" s="356" t="s">
        <v>761</v>
      </c>
      <c r="V242" s="233" t="str">
        <f>VLOOKUP(Table1[[#This Row],[Country Code]],Table29[],3,FALSE)</f>
        <v>Non-Annex I</v>
      </c>
      <c r="W242" s="233" t="str">
        <f>VLOOKUP(Table1[[#This Row],[Country Code]],Table29[],4,FALSE)</f>
        <v>Asia</v>
      </c>
      <c r="X242" s="233" t="str">
        <f>VLOOKUP(Table1[[#This Row],[Country Code]],Table29[],5,FALSE)</f>
        <v>Middle-income</v>
      </c>
      <c r="Y242" s="43" t="s">
        <v>762</v>
      </c>
      <c r="Z242" s="43"/>
    </row>
    <row r="243" spans="1:26" ht="15" customHeight="1" x14ac:dyDescent="0.25">
      <c r="A243" s="360">
        <v>26798</v>
      </c>
      <c r="B243" s="42" t="s">
        <v>105</v>
      </c>
      <c r="C243" s="243" t="str">
        <f>VLOOKUP(Table1[[#This Row],[Country Code]],Table29[],2,FALSE)</f>
        <v>Bolivia (Plurinational State of)</v>
      </c>
      <c r="D243" s="243" t="str">
        <f t="shared" si="8"/>
        <v>Good</v>
      </c>
      <c r="E243" s="176" t="s">
        <v>71</v>
      </c>
      <c r="F243" s="43" t="s">
        <v>555</v>
      </c>
      <c r="G243" s="43" t="str">
        <f t="shared" si="9"/>
        <v>Second NDC</v>
      </c>
      <c r="H243" s="43" t="s">
        <v>714</v>
      </c>
      <c r="I243" s="355">
        <v>44672</v>
      </c>
      <c r="J243" s="352" t="s">
        <v>505</v>
      </c>
      <c r="K243" s="320" t="str" cm="1">
        <f t="array" ref="K243">IF(ISNUMBER(MATCH("Transport sector mitigation target", _xlfn._xlws.FILTER(Targets!H:H, Targets!A:A =A243), 0)), "yes", "no")</f>
        <v>yes</v>
      </c>
      <c r="L243" s="43" t="str">
        <f>IF(K243="no", "No transport target", IF(AND(COUNTIFS(Targets!A:A, A243, Targets!H:H, "Transport sector mitigation target", Targets!J:J, "GHG") &gt; 0, COUNTIFS(Targets!A:A, A243, Targets!H:H, "Transport sector mitigation target", Targets!J:J, "Non GHG") &gt; 0), "GHG and non-GHG target", IF(COUNTIFS(Targets!A:A, A243, Targets!H:H, "Transport sector mitigation target", Targets!J:J, "GHG") &gt; 0, "GHG target", IF(COUNTIFS(Targets!A:A, A243, Targets!H:H, "Transport sector mitigation target", Targets!J:J, "Non GHG") &gt; 0, "non-GHG target", ""))))</f>
        <v>non-GHG target</v>
      </c>
      <c r="M243" s="43" t="str">
        <f>IF(K243="no","No transport target",IF(L243="non-GHG target","No GHG transport target",IF(AND(COUNTIFS(Targets!A:A,A243,Targets!H:H,"Transport sector mitigation target",Targets!J:J,"GHG",Targets!L:L,"Conditional")&gt;0,COUNTIFS(Targets!A:A,A243,Targets!H:H,"Transport sector mitigation target",Targets!J:J,"GHG",Targets!L:L,"Unconditional")&gt;0),"GHG unconditional and conditional",IF(COUNTIFS(Targets!A:A,A243,Targets!H:H,"Transport sector mitigation target",Targets!J:J,"GHG",Targets!L:L,"Conditional")&gt;0,"GHG conditional only",IF(COUNTIFS(Targets!A:A,A243,Targets!H:H,"Transport sector mitigation target",Targets!J:J,"GHG",Targets!L:L,"Unconditional")&gt;0,"GHG unconditional only",IF(COUNTIFS(Targets!A:A,A243,Targets!H:H,"Transport sector mitigation target",Targets!J:J,"GHG",Targets!L:L,"Unclear conditionality")&gt;0,"Conditionality unclear",""))))))</f>
        <v>No GHG transport target</v>
      </c>
      <c r="N243" s="43" t="str" cm="1">
        <f t="array" ref="N243">IF(ISNUMBER(MATCH("Transport sector adaptation target", _xlfn._xlws.FILTER(Targets!H:H, Targets!A:A =A243), 0)), "yes", "no")</f>
        <v>no</v>
      </c>
      <c r="O243" s="43" t="str">
        <f>IF(ISNA(MATCH(A243, Mitigation!A:A, 0)), "no", "yes")</f>
        <v>yes</v>
      </c>
      <c r="P243" s="43" t="str">
        <f>IF(ISNA(MATCH(A243, Adaptation!A:A, 0)), "no", "yes")</f>
        <v>no</v>
      </c>
      <c r="Q243" s="43" t="str">
        <f>IF(ISNA(MATCH(A243, Benefits!A:A, 0)), "no", "yes")</f>
        <v>yes</v>
      </c>
      <c r="R243" s="43"/>
      <c r="S243" s="43"/>
      <c r="T243" s="43" t="s">
        <v>501</v>
      </c>
      <c r="U243" s="312" t="s">
        <v>763</v>
      </c>
      <c r="V243" s="233" t="str">
        <f>VLOOKUP(Table1[[#This Row],[Country Code]],Table29[],3,FALSE)</f>
        <v>Non-Annex I</v>
      </c>
      <c r="W243" s="233" t="str">
        <f>VLOOKUP(Table1[[#This Row],[Country Code]],Table29[],4,FALSE)</f>
        <v>Latin America and the Caribbean</v>
      </c>
      <c r="X243" s="233" t="str">
        <f>VLOOKUP(Table1[[#This Row],[Country Code]],Table29[],5,FALSE)</f>
        <v>Middle-income</v>
      </c>
      <c r="Y243" s="43"/>
      <c r="Z243" s="43"/>
    </row>
    <row r="244" spans="1:26" ht="15" customHeight="1" x14ac:dyDescent="0.25">
      <c r="A244" s="360">
        <v>26776</v>
      </c>
      <c r="B244" s="43" t="s">
        <v>135</v>
      </c>
      <c r="C244" s="243" t="str">
        <f>VLOOKUP(Table1[[#This Row],[Country Code]],Table29[],2,FALSE)</f>
        <v>Chile</v>
      </c>
      <c r="D244" s="243" t="str">
        <f t="shared" si="8"/>
        <v>Good</v>
      </c>
      <c r="E244" s="176" t="s">
        <v>227</v>
      </c>
      <c r="F244" s="43" t="s">
        <v>227</v>
      </c>
      <c r="G244" s="43" t="str">
        <f t="shared" si="9"/>
        <v>LTS</v>
      </c>
      <c r="H244" s="43" t="s">
        <v>636</v>
      </c>
      <c r="I244" s="351">
        <v>44503</v>
      </c>
      <c r="J244" s="352" t="s">
        <v>505</v>
      </c>
      <c r="K244" s="320" t="str" cm="1">
        <f t="array" ref="K244">IF(ISNUMBER(MATCH("Transport sector mitigation target", _xlfn._xlws.FILTER(Targets!H:H, Targets!A:A =A244), 0)), "yes", "no")</f>
        <v>no</v>
      </c>
      <c r="L244" s="43" t="str">
        <f>IF(K244="no", "No transport target", IF(AND(COUNTIFS(Targets!A:A, A244, Targets!H:H, "Transport sector mitigation target", Targets!J:J, "GHG") &gt; 0, COUNTIFS(Targets!A:A, A244, Targets!H:H, "Transport sector mitigation target", Targets!J:J, "Non GHG") &gt; 0), "GHG and non-GHG target", IF(COUNTIFS(Targets!A:A, A244, Targets!H:H, "Transport sector mitigation target", Targets!J:J, "GHG") &gt; 0, "GHG target", IF(COUNTIFS(Targets!A:A, A244, Targets!H:H, "Transport sector mitigation target", Targets!J:J, "Non GHG") &gt; 0, "non-GHG target", ""))))</f>
        <v>No transport target</v>
      </c>
      <c r="M244" s="43" t="str">
        <f>IF(K244="no","No transport target",IF(L244="non-GHG target","No GHG transport target",IF(AND(COUNTIFS(Targets!A:A,A244,Targets!H:H,"Transport sector mitigation target",Targets!J:J,"GHG",Targets!L:L,"Conditional")&gt;0,COUNTIFS(Targets!A:A,A244,Targets!H:H,"Transport sector mitigation target",Targets!J:J,"GHG",Targets!L:L,"Unconditional")&gt;0),"GHG unconditional and conditional",IF(COUNTIFS(Targets!A:A,A244,Targets!H:H,"Transport sector mitigation target",Targets!J:J,"GHG",Targets!L:L,"Conditional")&gt;0,"GHG conditional only",IF(COUNTIFS(Targets!A:A,A244,Targets!H:H,"Transport sector mitigation target",Targets!J:J,"GHG",Targets!L:L,"Unconditional")&gt;0,"GHG unconditional only",IF(COUNTIFS(Targets!A:A,A244,Targets!H:H,"Transport sector mitigation target",Targets!J:J,"GHG",Targets!L:L,"Unclear conditionality")&gt;0,"Conditionality unclear",""))))))</f>
        <v>No transport target</v>
      </c>
      <c r="N244" s="43" t="str" cm="1">
        <f t="array" ref="N244">IF(ISNUMBER(MATCH("Transport sector adaptation target", _xlfn._xlws.FILTER(Targets!H:H, Targets!A:A =A244), 0)), "yes", "no")</f>
        <v>no</v>
      </c>
      <c r="O244" s="43" t="str">
        <f>IF(ISNA(MATCH(A244, Mitigation!A:A, 0)), "no", "yes")</f>
        <v>yes</v>
      </c>
      <c r="P244" s="43" t="str">
        <f>IF(ISNA(MATCH(A244, Adaptation!A:A, 0)), "no", "yes")</f>
        <v>no</v>
      </c>
      <c r="Q244" s="43" t="str">
        <f>IF(ISNA(MATCH(A244, Benefits!A:A, 0)), "no", "yes")</f>
        <v>no</v>
      </c>
      <c r="R244" s="43"/>
      <c r="S244" s="43"/>
      <c r="T244" s="43" t="s">
        <v>501</v>
      </c>
      <c r="U244" s="312" t="s">
        <v>764</v>
      </c>
      <c r="V244" s="233" t="str">
        <f>VLOOKUP(Table1[[#This Row],[Country Code]],Table29[],3,FALSE)</f>
        <v>Non-Annex I</v>
      </c>
      <c r="W244" s="233" t="str">
        <f>VLOOKUP(Table1[[#This Row],[Country Code]],Table29[],4,FALSE)</f>
        <v>Latin America and the Caribbean</v>
      </c>
      <c r="X244" s="233" t="str">
        <f>VLOOKUP(Table1[[#This Row],[Country Code]],Table29[],5,FALSE)</f>
        <v>High-income</v>
      </c>
      <c r="Y244" s="43"/>
      <c r="Z244" s="43"/>
    </row>
    <row r="245" spans="1:26" ht="15" customHeight="1" x14ac:dyDescent="0.25">
      <c r="A245" s="360">
        <v>39451</v>
      </c>
      <c r="B245" s="43" t="s">
        <v>107</v>
      </c>
      <c r="C245" s="243" t="str">
        <f>VLOOKUP(Table1[[#This Row],[Country Code]],Table29[],2,FALSE)</f>
        <v>Bosnia and Herzegovina</v>
      </c>
      <c r="D245" s="243" t="str">
        <f t="shared" si="8"/>
        <v>Good</v>
      </c>
      <c r="E245" s="176" t="s">
        <v>227</v>
      </c>
      <c r="F245" s="43" t="s">
        <v>227</v>
      </c>
      <c r="G245" s="43" t="str">
        <f t="shared" si="9"/>
        <v>LTS</v>
      </c>
      <c r="H245" s="350" t="s">
        <v>636</v>
      </c>
      <c r="I245" s="355">
        <v>45126</v>
      </c>
      <c r="J245" s="352" t="s">
        <v>505</v>
      </c>
      <c r="K245" s="320" t="str" cm="1">
        <f t="array" ref="K245">IF(ISNUMBER(MATCH("Transport sector mitigation target", _xlfn._xlws.FILTER(Targets!H:H, Targets!A:A =A245), 0)), "yes", "no")</f>
        <v>yes</v>
      </c>
      <c r="L245" s="43" t="str">
        <f>IF(K245="no", "No transport target", IF(AND(COUNTIFS(Targets!A:A, A245, Targets!H:H, "Transport sector mitigation target", Targets!J:J, "GHG") &gt; 0, COUNTIFS(Targets!A:A, A245, Targets!H:H, "Transport sector mitigation target", Targets!J:J, "Non GHG") &gt; 0), "GHG and non-GHG target", IF(COUNTIFS(Targets!A:A, A245, Targets!H:H, "Transport sector mitigation target", Targets!J:J, "GHG") &gt; 0, "GHG target", IF(COUNTIFS(Targets!A:A, A245, Targets!H:H, "Transport sector mitigation target", Targets!J:J, "Non GHG") &gt; 0, "non-GHG target", ""))))</f>
        <v>non-GHG target</v>
      </c>
      <c r="M245" s="43" t="str">
        <f>IF(K245="no","No transport target",IF(L245="non-GHG target","No GHG transport target",IF(AND(COUNTIFS(Targets!A:A,A245,Targets!H:H,"Transport sector mitigation target",Targets!J:J,"GHG",Targets!L:L,"Conditional")&gt;0,COUNTIFS(Targets!A:A,A245,Targets!H:H,"Transport sector mitigation target",Targets!J:J,"GHG",Targets!L:L,"Unconditional")&gt;0),"GHG unconditional and conditional",IF(COUNTIFS(Targets!A:A,A245,Targets!H:H,"Transport sector mitigation target",Targets!J:J,"GHG",Targets!L:L,"Conditional")&gt;0,"GHG conditional only",IF(COUNTIFS(Targets!A:A,A245,Targets!H:H,"Transport sector mitigation target",Targets!J:J,"GHG",Targets!L:L,"Unconditional")&gt;0,"GHG unconditional only",IF(COUNTIFS(Targets!A:A,A245,Targets!H:H,"Transport sector mitigation target",Targets!J:J,"GHG",Targets!L:L,"Unclear conditionality")&gt;0,"Conditionality unclear",""))))))</f>
        <v>No GHG transport target</v>
      </c>
      <c r="N245" s="43" t="str" cm="1">
        <f t="array" ref="N245">IF(ISNUMBER(MATCH("Transport sector adaptation target", _xlfn._xlws.FILTER(Targets!H:H, Targets!A:A =A245), 0)), "yes", "no")</f>
        <v>no</v>
      </c>
      <c r="O245" s="43" t="str">
        <f>IF(ISNA(MATCH(A245, Mitigation!A:A, 0)), "no", "yes")</f>
        <v>no</v>
      </c>
      <c r="P245" s="43" t="str">
        <f>IF(ISNA(MATCH(A245, Adaptation!A:A, 0)), "no", "yes")</f>
        <v>no</v>
      </c>
      <c r="Q245" s="43" t="str">
        <f>IF(ISNA(MATCH(A245, Benefits!A:A, 0)), "no", "yes")</f>
        <v>yes</v>
      </c>
      <c r="R245" s="43"/>
      <c r="S245" s="43"/>
      <c r="T245" s="43" t="s">
        <v>501</v>
      </c>
      <c r="U245" s="356" t="s">
        <v>765</v>
      </c>
      <c r="V245" s="233" t="str">
        <f>VLOOKUP(Table1[[#This Row],[Country Code]],Table29[],3,FALSE)</f>
        <v>Non-Annex I</v>
      </c>
      <c r="W245" s="233" t="str">
        <f>VLOOKUP(Table1[[#This Row],[Country Code]],Table29[],4,FALSE)</f>
        <v>Europe</v>
      </c>
      <c r="X245" s="233" t="str">
        <f>VLOOKUP(Table1[[#This Row],[Country Code]],Table29[],5,FALSE)</f>
        <v>Middle-income</v>
      </c>
      <c r="Y245" s="43" t="s">
        <v>766</v>
      </c>
      <c r="Z245" s="43"/>
    </row>
    <row r="246" spans="1:26" ht="15" customHeight="1" x14ac:dyDescent="0.25">
      <c r="A246" s="360">
        <v>43716</v>
      </c>
      <c r="B246" s="20" t="s">
        <v>109</v>
      </c>
      <c r="C246" s="207" t="s">
        <v>110</v>
      </c>
      <c r="D246" s="243" t="str">
        <f t="shared" si="8"/>
        <v>Good</v>
      </c>
      <c r="E246" s="20" t="s">
        <v>71</v>
      </c>
      <c r="F246" s="17" t="s">
        <v>694</v>
      </c>
      <c r="G246" s="17" t="str">
        <f t="shared" si="9"/>
        <v>Third NDC</v>
      </c>
      <c r="H246" s="148" t="s">
        <v>695</v>
      </c>
      <c r="I246" s="163">
        <v>45650</v>
      </c>
      <c r="J246" s="187" t="s">
        <v>505</v>
      </c>
      <c r="K246" s="49" t="str" cm="1">
        <f t="array" ref="K246">IF(ISNUMBER(MATCH("Transport sector mitigation target", _xlfn._xlws.FILTER(Targets!H:H, Targets!A:A =A246), 0)), "yes", "no")</f>
        <v>yes</v>
      </c>
      <c r="L246" s="17" t="str">
        <f>IF(K246="no", "No transport target", IF(AND(COUNTIFS(Targets!A:A, A246, Targets!H:H, "Transport sector mitigation target", Targets!J:J, "GHG") &gt; 0, COUNTIFS(Targets!A:A, A246, Targets!H:H, "Transport sector mitigation target", Targets!J:J, "Non GHG") &gt; 0), "GHG and non-GHG target", IF(COUNTIFS(Targets!A:A, A246, Targets!H:H, "Transport sector mitigation target", Targets!J:J, "GHG") &gt; 0, "GHG target", IF(COUNTIFS(Targets!A:A, A246, Targets!H:H, "Transport sector mitigation target", Targets!J:J, "Non GHG") &gt; 0, "non-GHG target", ""))))</f>
        <v>GHG target</v>
      </c>
      <c r="M246" s="17" t="str">
        <f>IF(K246="no","No transport target",IF(L246="non-GHG target","No GHG transport target",IF(AND(COUNTIFS(Targets!A:A,A246,Targets!H:H,"Transport sector mitigation target",Targets!J:J,"GHG",Targets!L:L,"Conditional")&gt;0,COUNTIFS(Targets!A:A,A246,Targets!H:H,"Transport sector mitigation target",Targets!J:J,"GHG",Targets!L:L,"Unconditional")&gt;0),"GHG unconditional and conditional",IF(COUNTIFS(Targets!A:A,A246,Targets!H:H,"Transport sector mitigation target",Targets!J:J,"GHG",Targets!L:L,"Conditional")&gt;0,"GHG conditional only",IF(COUNTIFS(Targets!A:A,A246,Targets!H:H,"Transport sector mitigation target",Targets!J:J,"GHG",Targets!L:L,"Unconditional")&gt;0,"GHG unconditional only",IF(COUNTIFS(Targets!A:A,A246,Targets!H:H,"Transport sector mitigation target",Targets!J:J,"GHG",Targets!L:L,"Unclear conditionality")&gt;0,"Conditionality unclear",""))))))</f>
        <v>GHG unconditional and conditional</v>
      </c>
      <c r="N246" s="17" t="str" cm="1">
        <f t="array" ref="N246">IF(ISNUMBER(MATCH("Transport sector adaptation target", _xlfn._xlws.FILTER(Targets!H:H, Targets!A:A =A246), 0)), "yes", "no")</f>
        <v>no</v>
      </c>
      <c r="O246" s="17" t="str">
        <f>IF(ISNA(MATCH(A246, Mitigation!A:A, 0)), "no", "yes")</f>
        <v>yes</v>
      </c>
      <c r="P246" s="17" t="str">
        <f>IF(ISNA(MATCH(A246, Adaptation!A:A, 0)), "no", "yes")</f>
        <v>yes</v>
      </c>
      <c r="Q246" s="17" t="str">
        <f>IF(ISNA(MATCH(A246, Benefits!A:A, 0)), "no", "yes")</f>
        <v>no</v>
      </c>
      <c r="R246" s="17"/>
      <c r="S246" s="148"/>
      <c r="T246" s="17"/>
      <c r="U246" s="171" t="s">
        <v>767</v>
      </c>
      <c r="V246" s="207" t="str">
        <f>VLOOKUP(Table1[[#This Row],[Country Code]],Table29[],3,FALSE)</f>
        <v>Non-Annex I</v>
      </c>
      <c r="W246" s="207" t="str">
        <f>VLOOKUP(Table1[[#This Row],[Country Code]],Table29[],4,FALSE)</f>
        <v>Africa</v>
      </c>
      <c r="X246" s="233" t="str">
        <f>VLOOKUP(Table1[[#This Row],[Country Code]],Table29[],5,FALSE)</f>
        <v>Middle-income</v>
      </c>
      <c r="Y246" s="17"/>
      <c r="Z246" s="17"/>
    </row>
    <row r="247" spans="1:26" ht="15" customHeight="1" x14ac:dyDescent="0.25">
      <c r="A247" s="405">
        <v>43700</v>
      </c>
      <c r="B247" s="20" t="s">
        <v>111</v>
      </c>
      <c r="C247" s="207" t="str">
        <f>VLOOKUP(Table1[[#This Row],[Country Code]],Table29[],2,FALSE)</f>
        <v>Brazil</v>
      </c>
      <c r="D247" s="243" t="str">
        <f t="shared" si="8"/>
        <v>Good</v>
      </c>
      <c r="E247" s="20" t="s">
        <v>71</v>
      </c>
      <c r="F247" s="17" t="s">
        <v>694</v>
      </c>
      <c r="G247" s="17" t="str">
        <f t="shared" si="9"/>
        <v>Third NDC</v>
      </c>
      <c r="H247" s="148" t="s">
        <v>695</v>
      </c>
      <c r="I247" s="163">
        <v>45609</v>
      </c>
      <c r="J247" s="187" t="s">
        <v>505</v>
      </c>
      <c r="K247" s="49" t="str" cm="1">
        <f t="array" ref="K247">IF(ISNUMBER(MATCH("Transport sector mitigation target", _xlfn._xlws.FILTER(Targets!H:H, Targets!A:A =A247), 0)), "yes", "no")</f>
        <v>yes</v>
      </c>
      <c r="L247" s="17" t="str">
        <f>IF(K247="no", "No transport target", IF(AND(COUNTIFS(Targets!A:A, A247, Targets!H:H, "Transport sector mitigation target", Targets!J:J, "GHG") &gt; 0, COUNTIFS(Targets!A:A, A247, Targets!H:H, "Transport sector mitigation target", Targets!J:J, "Non GHG") &gt; 0), "GHG and non-GHG target", IF(COUNTIFS(Targets!A:A, A247, Targets!H:H, "Transport sector mitigation target", Targets!J:J, "GHG") &gt; 0, "GHG target", IF(COUNTIFS(Targets!A:A, A247, Targets!H:H, "Transport sector mitigation target", Targets!J:J, "Non GHG") &gt; 0, "non-GHG target", ""))))</f>
        <v>non-GHG target</v>
      </c>
      <c r="M247" s="17" t="str">
        <f>IF(K247="no","No transport target",IF(L247="non-GHG target","No GHG transport target",IF(AND(COUNTIFS(Targets!A:A,A247,Targets!H:H,"Transport sector mitigation target",Targets!J:J,"GHG",Targets!L:L,"Conditional")&gt;0,COUNTIFS(Targets!A:A,A247,Targets!H:H,"Transport sector mitigation target",Targets!J:J,"GHG",Targets!L:L,"Unconditional")&gt;0),"GHG unconditional and conditional",IF(COUNTIFS(Targets!A:A,A247,Targets!H:H,"Transport sector mitigation target",Targets!J:J,"GHG",Targets!L:L,"Conditional")&gt;0,"GHG conditional only",IF(COUNTIFS(Targets!A:A,A247,Targets!H:H,"Transport sector mitigation target",Targets!J:J,"GHG",Targets!L:L,"Unconditional")&gt;0,"GHG unconditional only",IF(COUNTIFS(Targets!A:A,A247,Targets!H:H,"Transport sector mitigation target",Targets!J:J,"GHG",Targets!L:L,"Unclear conditionality")&gt;0,"Conditionality unclear",""))))))</f>
        <v>No GHG transport target</v>
      </c>
      <c r="N247" s="17" t="str" cm="1">
        <f t="array" ref="N247">IF(ISNUMBER(MATCH("Transport sector adaptation target", _xlfn._xlws.FILTER(Targets!H:H, Targets!A:A =A247), 0)), "yes", "no")</f>
        <v>no</v>
      </c>
      <c r="O247" s="17" t="str">
        <f>IF(ISNA(MATCH(A247, Mitigation!A:A, 0)), "no", "yes")</f>
        <v>yes</v>
      </c>
      <c r="P247" s="17" t="str">
        <f>IF(ISNA(MATCH(A247, Adaptation!A:A, 0)), "no", "yes")</f>
        <v>yes</v>
      </c>
      <c r="Q247" s="17" t="str">
        <f>IF(ISNA(MATCH(A247, Benefits!A:A, 0)), "no", "yes")</f>
        <v>no</v>
      </c>
      <c r="R247" s="17"/>
      <c r="S247" s="148"/>
      <c r="T247" s="17"/>
      <c r="U247" s="411" t="s">
        <v>768</v>
      </c>
      <c r="V247" s="207" t="str">
        <f>VLOOKUP(Table1[[#This Row],[Country Code]],Table29[],3,FALSE)</f>
        <v>Non-Annex I</v>
      </c>
      <c r="W247" s="207" t="str">
        <f>VLOOKUP(Table1[[#This Row],[Country Code]],Table29[],4,FALSE)</f>
        <v>Latin America and the Caribbean</v>
      </c>
      <c r="X247" s="233" t="str">
        <f>VLOOKUP(Table1[[#This Row],[Country Code]],Table29[],5,FALSE)</f>
        <v>Middle-income</v>
      </c>
      <c r="Y247" s="17"/>
      <c r="Z247" s="17"/>
    </row>
    <row r="248" spans="1:26" ht="15" customHeight="1" x14ac:dyDescent="0.25">
      <c r="A248" s="405">
        <v>17758</v>
      </c>
      <c r="B248" s="20" t="s">
        <v>424</v>
      </c>
      <c r="C248" s="206" t="str">
        <f>VLOOKUP(Table1[[#This Row],[Country Code]],Table29[],2,FALSE)</f>
        <v>Thailand</v>
      </c>
      <c r="D248" s="243" t="str">
        <f t="shared" ref="D248:D311" si="10">IF(J248&lt;&gt;"Active",
    "Good",
    IF(COUNTIFS(C:C, C248, E:E, E248, J:J, "Active")&gt;1,
       IF(E248="LTS", "Error: more than one LTS active",
          IF(E248="NDC", "Error: more than one NDC active", "Error")
       ),
       "Good"
    )
)</f>
        <v>Good</v>
      </c>
      <c r="E248" s="20" t="s">
        <v>71</v>
      </c>
      <c r="F248" s="17" t="s">
        <v>528</v>
      </c>
      <c r="G248" s="43" t="str">
        <f t="shared" ref="G248:G311" si="11">IF(H248="NDC 1.0","First NDC",
IF(OR(H248="NDC 1.1",H248="NDC 1.2",H248="NDC 1.3"),"First NDC updated",
IF(H248="NDC 2.0","Second NDC",
IF(OR(H248="NDC 2.1",H248="NDC 2.2",H248="NDC 2.3"),"Second NDC updated",
IF(H248="NDC 3.0","Third NDC",
IF(OR(H248="NDC 3.1",H248="NDC 3.2",H248="NDC 3.3"),"Third NDC updated",
F248))))))</f>
        <v>First NDC updated</v>
      </c>
      <c r="H248" s="17" t="s">
        <v>691</v>
      </c>
      <c r="I248" s="149">
        <v>44130</v>
      </c>
      <c r="J248" s="187" t="s">
        <v>500</v>
      </c>
      <c r="K248" s="49" t="str" cm="1">
        <f t="array" ref="K248">IF(ISNUMBER(MATCH("Transport sector mitigation target", _xlfn._xlws.FILTER(Targets!H:H, Targets!A:A =A248), 0)), "yes", "no")</f>
        <v>no</v>
      </c>
      <c r="L248" s="17" t="str">
        <f>IF(K248="no", "No transport target", IF(AND(COUNTIFS(Targets!A:A, A248, Targets!H:H, "Transport sector mitigation target", Targets!J:J, "GHG") &gt; 0, COUNTIFS(Targets!A:A, A248, Targets!H:H, "Transport sector mitigation target", Targets!J:J, "Non GHG") &gt; 0), "GHG and non-GHG target", IF(COUNTIFS(Targets!A:A, A248, Targets!H:H, "Transport sector mitigation target", Targets!J:J, "GHG") &gt; 0, "GHG target", IF(COUNTIFS(Targets!A:A, A248, Targets!H:H, "Transport sector mitigation target", Targets!J:J, "Non GHG") &gt; 0, "non-GHG target", ""))))</f>
        <v>No transport target</v>
      </c>
      <c r="M248" s="17" t="str">
        <f>IF(K248="no","No transport target",IF(L248="non-GHG target","No GHG transport target",IF(AND(COUNTIFS(Targets!A:A,A248,Targets!H:H,"Transport sector mitigation target",Targets!J:J,"GHG",Targets!L:L,"Conditional")&gt;0,COUNTIFS(Targets!A:A,A248,Targets!H:H,"Transport sector mitigation target",Targets!J:J,"GHG",Targets!L:L,"Unconditional")&gt;0),"GHG unconditional and conditional",IF(COUNTIFS(Targets!A:A,A248,Targets!H:H,"Transport sector mitigation target",Targets!J:J,"GHG",Targets!L:L,"Conditional")&gt;0,"GHG conditional only",IF(COUNTIFS(Targets!A:A,A248,Targets!H:H,"Transport sector mitigation target",Targets!J:J,"GHG",Targets!L:L,"Unconditional")&gt;0,"GHG unconditional only",IF(COUNTIFS(Targets!A:A,A248,Targets!H:H,"Transport sector mitigation target",Targets!J:J,"GHG",Targets!L:L,"Unclear conditionality")&gt;0,"Conditionality unclear",""))))))</f>
        <v>No transport target</v>
      </c>
      <c r="N248" s="17" t="str" cm="1">
        <f t="array" ref="N248">IF(ISNUMBER(MATCH("Transport sector adaptation target", _xlfn._xlws.FILTER(Targets!H:H, Targets!A:A =A248), 0)), "yes", "no")</f>
        <v>no</v>
      </c>
      <c r="O248" s="17" t="str">
        <f>IF(ISNA(MATCH(A248, Mitigation!A:A, 0)), "no", "yes")</f>
        <v>yes</v>
      </c>
      <c r="P248" s="17" t="str">
        <f>IF(ISNA(MATCH(A248, Adaptation!A:A, 0)), "no", "yes")</f>
        <v>no</v>
      </c>
      <c r="Q248" s="17" t="str">
        <f>IF(ISNA(MATCH(A248, Benefits!A:A, 0)), "no", "yes")</f>
        <v>no</v>
      </c>
      <c r="R248" s="17"/>
      <c r="S248" s="17"/>
      <c r="T248" s="17" t="s">
        <v>501</v>
      </c>
      <c r="U248" s="135" t="s">
        <v>769</v>
      </c>
      <c r="V248" s="207" t="str">
        <f>VLOOKUP(Table1[[#This Row],[Country Code]],Table29[],3,FALSE)</f>
        <v>Non-Annex I</v>
      </c>
      <c r="W248" s="207" t="str">
        <f>VLOOKUP(Table1[[#This Row],[Country Code]],Table29[],4,FALSE)</f>
        <v>Asia</v>
      </c>
      <c r="X248" s="207" t="str">
        <f>VLOOKUP(Table1[[#This Row],[Country Code]],Table29[],5,FALSE)</f>
        <v>Middle-income</v>
      </c>
      <c r="Y248" s="17"/>
      <c r="Z248" s="17"/>
    </row>
    <row r="249" spans="1:26" ht="15" customHeight="1" x14ac:dyDescent="0.25">
      <c r="A249" s="405">
        <v>17786</v>
      </c>
      <c r="B249" s="17" t="s">
        <v>464</v>
      </c>
      <c r="C249" s="206" t="str">
        <f>VLOOKUP(Table1[[#This Row],[Country Code]],Table29[],2,FALSE)</f>
        <v>Viet Nam</v>
      </c>
      <c r="D249" s="243" t="str">
        <f t="shared" si="10"/>
        <v>Good</v>
      </c>
      <c r="E249" s="20" t="s">
        <v>71</v>
      </c>
      <c r="F249" s="17" t="s">
        <v>525</v>
      </c>
      <c r="G249" s="43" t="str">
        <f t="shared" si="11"/>
        <v>First NDC updated</v>
      </c>
      <c r="H249" s="17" t="s">
        <v>691</v>
      </c>
      <c r="I249" s="149">
        <v>44144</v>
      </c>
      <c r="J249" s="49" t="s">
        <v>500</v>
      </c>
      <c r="K249" s="49" t="str" cm="1">
        <f t="array" ref="K249">IF(ISNUMBER(MATCH("Transport sector mitigation target", _xlfn._xlws.FILTER(Targets!H:H, Targets!A:A =A249), 0)), "yes", "no")</f>
        <v>no</v>
      </c>
      <c r="L249" s="17" t="str">
        <f>IF(K249="no", "No transport target", IF(AND(COUNTIFS(Targets!A:A, A249, Targets!H:H, "Transport sector mitigation target", Targets!J:J, "GHG") &gt; 0, COUNTIFS(Targets!A:A, A249, Targets!H:H, "Transport sector mitigation target", Targets!J:J, "Non GHG") &gt; 0), "GHG and non-GHG target", IF(COUNTIFS(Targets!A:A, A249, Targets!H:H, "Transport sector mitigation target", Targets!J:J, "GHG") &gt; 0, "GHG target", IF(COUNTIFS(Targets!A:A, A249, Targets!H:H, "Transport sector mitigation target", Targets!J:J, "Non GHG") &gt; 0, "non-GHG target", ""))))</f>
        <v>No transport target</v>
      </c>
      <c r="M249" s="17" t="str">
        <f>IF(K249="no","No transport target",IF(L249="non-GHG target","No GHG transport target",IF(AND(COUNTIFS(Targets!A:A,A249,Targets!H:H,"Transport sector mitigation target",Targets!J:J,"GHG",Targets!L:L,"Conditional")&gt;0,COUNTIFS(Targets!A:A,A249,Targets!H:H,"Transport sector mitigation target",Targets!J:J,"GHG",Targets!L:L,"Unconditional")&gt;0),"GHG unconditional and conditional",IF(COUNTIFS(Targets!A:A,A249,Targets!H:H,"Transport sector mitigation target",Targets!J:J,"GHG",Targets!L:L,"Conditional")&gt;0,"GHG conditional only",IF(COUNTIFS(Targets!A:A,A249,Targets!H:H,"Transport sector mitigation target",Targets!J:J,"GHG",Targets!L:L,"Unconditional")&gt;0,"GHG unconditional only",IF(COUNTIFS(Targets!A:A,A249,Targets!H:H,"Transport sector mitigation target",Targets!J:J,"GHG",Targets!L:L,"Unclear conditionality")&gt;0,"Conditionality unclear",""))))))</f>
        <v>No transport target</v>
      </c>
      <c r="N249" s="17" t="str" cm="1">
        <f t="array" ref="N249">IF(ISNUMBER(MATCH("Transport sector adaptation target", _xlfn._xlws.FILTER(Targets!H:H, Targets!A:A =A249), 0)), "yes", "no")</f>
        <v>no</v>
      </c>
      <c r="O249" s="17" t="str">
        <f>IF(ISNA(MATCH(A249, Mitigation!A:A, 0)), "no", "yes")</f>
        <v>yes</v>
      </c>
      <c r="P249" s="17" t="str">
        <f>IF(ISNA(MATCH(A249, Adaptation!A:A, 0)), "no", "yes")</f>
        <v>no</v>
      </c>
      <c r="Q249" s="17" t="str">
        <f>IF(ISNA(MATCH(A249, Benefits!A:A, 0)), "no", "yes")</f>
        <v>no</v>
      </c>
      <c r="R249" s="17"/>
      <c r="S249" s="17"/>
      <c r="T249" s="17" t="s">
        <v>501</v>
      </c>
      <c r="U249" s="135" t="s">
        <v>770</v>
      </c>
      <c r="V249" s="207" t="str">
        <f>VLOOKUP(Table1[[#This Row],[Country Code]],Table29[],3,FALSE)</f>
        <v>Non-Annex I</v>
      </c>
      <c r="W249" s="207" t="str">
        <f>VLOOKUP(Table1[[#This Row],[Country Code]],Table29[],4,FALSE)</f>
        <v>Asia</v>
      </c>
      <c r="X249" s="207" t="str">
        <f>VLOOKUP(Table1[[#This Row],[Country Code]],Table29[],5,FALSE)</f>
        <v>Middle-income</v>
      </c>
      <c r="Y249" s="17"/>
      <c r="Z249" s="17"/>
    </row>
    <row r="250" spans="1:26" ht="15" customHeight="1" x14ac:dyDescent="0.25">
      <c r="A250" s="360">
        <v>17541</v>
      </c>
      <c r="B250" s="43" t="s">
        <v>113</v>
      </c>
      <c r="C250" s="243" t="str">
        <f>VLOOKUP(Table1[[#This Row],[Country Code]],Table29[],2,FALSE)</f>
        <v>Brunei Darussalam</v>
      </c>
      <c r="D250" s="243" t="str">
        <f t="shared" si="10"/>
        <v>Good</v>
      </c>
      <c r="E250" s="176" t="s">
        <v>71</v>
      </c>
      <c r="F250" s="43" t="s">
        <v>528</v>
      </c>
      <c r="G250" s="43" t="str">
        <f t="shared" si="11"/>
        <v>First NDC updated</v>
      </c>
      <c r="H250" s="43" t="s">
        <v>691</v>
      </c>
      <c r="I250" s="351">
        <v>44196</v>
      </c>
      <c r="J250" s="352" t="s">
        <v>505</v>
      </c>
      <c r="K250" s="320" t="str" cm="1">
        <f t="array" ref="K250">IF(ISNUMBER(MATCH("Transport sector mitigation target", _xlfn._xlws.FILTER(Targets!H:H, Targets!A:A =A250), 0)), "yes", "no")</f>
        <v>yes</v>
      </c>
      <c r="L250" s="43" t="str">
        <f>IF(K250="no", "No transport target", IF(AND(COUNTIFS(Targets!A:A, A250, Targets!H:H, "Transport sector mitigation target", Targets!J:J, "GHG") &gt; 0, COUNTIFS(Targets!A:A, A250, Targets!H:H, "Transport sector mitigation target", Targets!J:J, "Non GHG") &gt; 0), "GHG and non-GHG target", IF(COUNTIFS(Targets!A:A, A250, Targets!H:H, "Transport sector mitigation target", Targets!J:J, "GHG") &gt; 0, "GHG target", IF(COUNTIFS(Targets!A:A, A250, Targets!H:H, "Transport sector mitigation target", Targets!J:J, "Non GHG") &gt; 0, "non-GHG target", ""))))</f>
        <v>non-GHG target</v>
      </c>
      <c r="M250" s="43" t="str">
        <f>IF(K250="no","No transport target",IF(L250="non-GHG target","No GHG transport target",IF(AND(COUNTIFS(Targets!A:A,A250,Targets!H:H,"Transport sector mitigation target",Targets!J:J,"GHG",Targets!L:L,"Conditional")&gt;0,COUNTIFS(Targets!A:A,A250,Targets!H:H,"Transport sector mitigation target",Targets!J:J,"GHG",Targets!L:L,"Unconditional")&gt;0),"GHG unconditional and conditional",IF(COUNTIFS(Targets!A:A,A250,Targets!H:H,"Transport sector mitigation target",Targets!J:J,"GHG",Targets!L:L,"Conditional")&gt;0,"GHG conditional only",IF(COUNTIFS(Targets!A:A,A250,Targets!H:H,"Transport sector mitigation target",Targets!J:J,"GHG",Targets!L:L,"Unconditional")&gt;0,"GHG unconditional only",IF(COUNTIFS(Targets!A:A,A250,Targets!H:H,"Transport sector mitigation target",Targets!J:J,"GHG",Targets!L:L,"Unclear conditionality")&gt;0,"Conditionality unclear",""))))))</f>
        <v>No GHG transport target</v>
      </c>
      <c r="N250" s="43" t="str" cm="1">
        <f t="array" ref="N250">IF(ISNUMBER(MATCH("Transport sector adaptation target", _xlfn._xlws.FILTER(Targets!H:H, Targets!A:A =A250), 0)), "yes", "no")</f>
        <v>no</v>
      </c>
      <c r="O250" s="43" t="str">
        <f>IF(ISNA(MATCH(A250, Mitigation!A:A, 0)), "no", "yes")</f>
        <v>yes</v>
      </c>
      <c r="P250" s="43" t="str">
        <f>IF(ISNA(MATCH(A250, Adaptation!A:A, 0)), "no", "yes")</f>
        <v>no</v>
      </c>
      <c r="Q250" s="43" t="str">
        <f>IF(ISNA(MATCH(A250, Benefits!A:A, 0)), "no", "yes")</f>
        <v>no</v>
      </c>
      <c r="R250" s="43"/>
      <c r="S250" s="43"/>
      <c r="T250" s="43" t="s">
        <v>501</v>
      </c>
      <c r="U250" s="312" t="s">
        <v>771</v>
      </c>
      <c r="V250" s="233" t="str">
        <f>VLOOKUP(Table1[[#This Row],[Country Code]],Table29[],3,FALSE)</f>
        <v>Non-Annex I</v>
      </c>
      <c r="W250" s="233" t="str">
        <f>VLOOKUP(Table1[[#This Row],[Country Code]],Table29[],4,FALSE)</f>
        <v>Asia</v>
      </c>
      <c r="X250" s="233" t="str">
        <f>VLOOKUP(Table1[[#This Row],[Country Code]],Table29[],5,FALSE)</f>
        <v>High-income</v>
      </c>
      <c r="Y250" s="43"/>
      <c r="Z250" s="43"/>
    </row>
    <row r="251" spans="1:26" ht="15" customHeight="1" x14ac:dyDescent="0.25">
      <c r="A251" s="360">
        <v>32497</v>
      </c>
      <c r="B251" s="42" t="s">
        <v>156</v>
      </c>
      <c r="C251" s="243" t="str">
        <f>VLOOKUP(Table1[[#This Row],[Country Code]],Table29[],2,FALSE)</f>
        <v>Cyprus</v>
      </c>
      <c r="D251" s="243" t="str">
        <f t="shared" si="10"/>
        <v>Good</v>
      </c>
      <c r="E251" s="176" t="s">
        <v>227</v>
      </c>
      <c r="F251" s="43" t="s">
        <v>717</v>
      </c>
      <c r="G251" s="43" t="str">
        <f t="shared" si="11"/>
        <v>EU-LTS</v>
      </c>
      <c r="H251" s="350" t="s">
        <v>636</v>
      </c>
      <c r="I251" s="355">
        <v>44964</v>
      </c>
      <c r="J251" s="352" t="s">
        <v>505</v>
      </c>
      <c r="K251" s="320" t="str" cm="1">
        <f t="array" ref="K251">IF(ISNUMBER(MATCH("Transport sector mitigation target", _xlfn._xlws.FILTER(Targets!H:H, Targets!A:A =A251), 0)), "yes", "no")</f>
        <v>no</v>
      </c>
      <c r="L251" s="43" t="str">
        <f>IF(K251="no", "No transport target", IF(AND(COUNTIFS(Targets!A:A, A251, Targets!H:H, "Transport sector mitigation target", Targets!J:J, "GHG") &gt; 0, COUNTIFS(Targets!A:A, A251, Targets!H:H, "Transport sector mitigation target", Targets!J:J, "Non GHG") &gt; 0), "GHG and non-GHG target", IF(COUNTIFS(Targets!A:A, A251, Targets!H:H, "Transport sector mitigation target", Targets!J:J, "GHG") &gt; 0, "GHG target", IF(COUNTIFS(Targets!A:A, A251, Targets!H:H, "Transport sector mitigation target", Targets!J:J, "Non GHG") &gt; 0, "non-GHG target", ""))))</f>
        <v>No transport target</v>
      </c>
      <c r="M251" s="43" t="str">
        <f>IF(K251="no","No transport target",IF(L251="non-GHG target","No GHG transport target",IF(AND(COUNTIFS(Targets!A:A,A251,Targets!H:H,"Transport sector mitigation target",Targets!J:J,"GHG",Targets!L:L,"Conditional")&gt;0,COUNTIFS(Targets!A:A,A251,Targets!H:H,"Transport sector mitigation target",Targets!J:J,"GHG",Targets!L:L,"Unconditional")&gt;0),"GHG unconditional and conditional",IF(COUNTIFS(Targets!A:A,A251,Targets!H:H,"Transport sector mitigation target",Targets!J:J,"GHG",Targets!L:L,"Conditional")&gt;0,"GHG conditional only",IF(COUNTIFS(Targets!A:A,A251,Targets!H:H,"Transport sector mitigation target",Targets!J:J,"GHG",Targets!L:L,"Unconditional")&gt;0,"GHG unconditional only",IF(COUNTIFS(Targets!A:A,A251,Targets!H:H,"Transport sector mitigation target",Targets!J:J,"GHG",Targets!L:L,"Unclear conditionality")&gt;0,"Conditionality unclear",""))))))</f>
        <v>No transport target</v>
      </c>
      <c r="N251" s="43" t="str" cm="1">
        <f t="array" ref="N251">IF(ISNUMBER(MATCH("Transport sector adaptation target", _xlfn._xlws.FILTER(Targets!H:H, Targets!A:A =A251), 0)), "yes", "no")</f>
        <v>no</v>
      </c>
      <c r="O251" s="43" t="str">
        <f>IF(ISNA(MATCH(A251, Mitigation!A:A, 0)), "no", "yes")</f>
        <v>yes</v>
      </c>
      <c r="P251" s="43" t="str">
        <f>IF(ISNA(MATCH(A251, Adaptation!A:A, 0)), "no", "yes")</f>
        <v>no</v>
      </c>
      <c r="Q251" s="43" t="str">
        <f>IF(ISNA(MATCH(A251, Benefits!A:A, 0)), "no", "yes")</f>
        <v>yes</v>
      </c>
      <c r="R251" s="43"/>
      <c r="S251" s="43"/>
      <c r="T251" s="43" t="s">
        <v>501</v>
      </c>
      <c r="U251" s="356" t="s">
        <v>772</v>
      </c>
      <c r="V251" s="233" t="str">
        <f>VLOOKUP(Table1[[#This Row],[Country Code]],Table29[],3,FALSE)</f>
        <v>Annex I</v>
      </c>
      <c r="W251" s="233" t="str">
        <f>VLOOKUP(Table1[[#This Row],[Country Code]],Table29[],4,FALSE)</f>
        <v>Asia</v>
      </c>
      <c r="X251" s="233" t="str">
        <f>VLOOKUP(Table1[[#This Row],[Country Code]],Table29[],5,FALSE)</f>
        <v>High-income</v>
      </c>
      <c r="Y251" s="43"/>
      <c r="Z251" s="43"/>
    </row>
    <row r="252" spans="1:26" ht="15" customHeight="1" x14ac:dyDescent="0.25">
      <c r="A252" s="360">
        <v>17570</v>
      </c>
      <c r="B252" s="43" t="s">
        <v>158</v>
      </c>
      <c r="C252" s="243" t="str">
        <f>VLOOKUP(Table1[[#This Row],[Country Code]],Table29[],2,FALSE)</f>
        <v>Czech Republic</v>
      </c>
      <c r="D252" s="243" t="str">
        <f t="shared" si="10"/>
        <v>Good</v>
      </c>
      <c r="E252" s="176" t="s">
        <v>227</v>
      </c>
      <c r="F252" s="43" t="s">
        <v>717</v>
      </c>
      <c r="G252" s="43" t="str">
        <f t="shared" si="11"/>
        <v>EU-LTS</v>
      </c>
      <c r="H252" s="43" t="s">
        <v>636</v>
      </c>
      <c r="I252" s="351">
        <v>43115</v>
      </c>
      <c r="J252" s="352" t="s">
        <v>505</v>
      </c>
      <c r="K252" s="320" t="str" cm="1">
        <f t="array" ref="K252">IF(ISNUMBER(MATCH("Transport sector mitigation target", _xlfn._xlws.FILTER(Targets!H:H, Targets!A:A =A252), 0)), "yes", "no")</f>
        <v>no</v>
      </c>
      <c r="L252" s="43" t="str">
        <f>IF(K252="no", "No transport target", IF(AND(COUNTIFS(Targets!A:A, A252, Targets!H:H, "Transport sector mitigation target", Targets!J:J, "GHG") &gt; 0, COUNTIFS(Targets!A:A, A252, Targets!H:H, "Transport sector mitigation target", Targets!J:J, "Non GHG") &gt; 0), "GHG and non-GHG target", IF(COUNTIFS(Targets!A:A, A252, Targets!H:H, "Transport sector mitigation target", Targets!J:J, "GHG") &gt; 0, "GHG target", IF(COUNTIFS(Targets!A:A, A252, Targets!H:H, "Transport sector mitigation target", Targets!J:J, "Non GHG") &gt; 0, "non-GHG target", ""))))</f>
        <v>No transport target</v>
      </c>
      <c r="M252" s="43" t="str">
        <f>IF(K252="no","No transport target",IF(L252="non-GHG target","No GHG transport target",IF(AND(COUNTIFS(Targets!A:A,A252,Targets!H:H,"Transport sector mitigation target",Targets!J:J,"GHG",Targets!L:L,"Conditional")&gt;0,COUNTIFS(Targets!A:A,A252,Targets!H:H,"Transport sector mitigation target",Targets!J:J,"GHG",Targets!L:L,"Unconditional")&gt;0),"GHG unconditional and conditional",IF(COUNTIFS(Targets!A:A,A252,Targets!H:H,"Transport sector mitigation target",Targets!J:J,"GHG",Targets!L:L,"Conditional")&gt;0,"GHG conditional only",IF(COUNTIFS(Targets!A:A,A252,Targets!H:H,"Transport sector mitigation target",Targets!J:J,"GHG",Targets!L:L,"Unconditional")&gt;0,"GHG unconditional only",IF(COUNTIFS(Targets!A:A,A252,Targets!H:H,"Transport sector mitigation target",Targets!J:J,"GHG",Targets!L:L,"Unclear conditionality")&gt;0,"Conditionality unclear",""))))))</f>
        <v>No transport target</v>
      </c>
      <c r="N252" s="43" t="str" cm="1">
        <f t="array" ref="N252">IF(ISNUMBER(MATCH("Transport sector adaptation target", _xlfn._xlws.FILTER(Targets!H:H, Targets!A:A =A252), 0)), "yes", "no")</f>
        <v>no</v>
      </c>
      <c r="O252" s="43" t="str">
        <f>IF(ISNA(MATCH(A252, Mitigation!A:A, 0)), "no", "yes")</f>
        <v>yes</v>
      </c>
      <c r="P252" s="43" t="str">
        <f>IF(ISNA(MATCH(A252, Adaptation!A:A, 0)), "no", "yes")</f>
        <v>no</v>
      </c>
      <c r="Q252" s="43" t="str">
        <f>IF(ISNA(MATCH(A252, Benefits!A:A, 0)), "no", "yes")</f>
        <v>no</v>
      </c>
      <c r="R252" s="43"/>
      <c r="S252" s="43"/>
      <c r="T252" s="43" t="s">
        <v>501</v>
      </c>
      <c r="U252" s="312" t="s">
        <v>773</v>
      </c>
      <c r="V252" s="233" t="str">
        <f>VLOOKUP(Table1[[#This Row],[Country Code]],Table29[],3,FALSE)</f>
        <v>Annex I</v>
      </c>
      <c r="W252" s="233" t="str">
        <f>VLOOKUP(Table1[[#This Row],[Country Code]],Table29[],4,FALSE)</f>
        <v>Europe</v>
      </c>
      <c r="X252" s="233" t="str">
        <f>VLOOKUP(Table1[[#This Row],[Country Code]],Table29[],5,FALSE)</f>
        <v>High-income</v>
      </c>
      <c r="Y252" s="43"/>
      <c r="Z252" s="43"/>
    </row>
    <row r="253" spans="1:26" ht="15" customHeight="1" x14ac:dyDescent="0.25">
      <c r="A253" s="360">
        <v>17679</v>
      </c>
      <c r="B253" s="43" t="s">
        <v>323</v>
      </c>
      <c r="C253" s="243" t="str">
        <f>VLOOKUP(Table1[[#This Row],[Country Code]],Table29[],2,FALSE)</f>
        <v>New Zealand</v>
      </c>
      <c r="D253" s="243" t="str">
        <f t="shared" si="10"/>
        <v>Good</v>
      </c>
      <c r="E253" s="43" t="s">
        <v>774</v>
      </c>
      <c r="F253" s="44" t="s">
        <v>775</v>
      </c>
      <c r="G253" s="43" t="str">
        <f t="shared" si="11"/>
        <v>Climate Change Response (Zero Carbon) Amendment Act 2019</v>
      </c>
      <c r="H253" s="43" t="s">
        <v>52</v>
      </c>
      <c r="I253" s="351">
        <v>44148</v>
      </c>
      <c r="J253" s="320" t="s">
        <v>505</v>
      </c>
      <c r="K253" s="320" t="str" cm="1">
        <f t="array" ref="K253">IF(ISNUMBER(MATCH("Transport sector mitigation target", _xlfn._xlws.FILTER(Targets!H:H, Targets!A:A =A253), 0)), "yes", "no")</f>
        <v>no</v>
      </c>
      <c r="L253" s="43" t="str">
        <f>IF(K253="no", "No transport target", IF(AND(COUNTIFS(Targets!A:A, A253, Targets!H:H, "Transport sector mitigation target", Targets!J:J, "GHG") &gt; 0, COUNTIFS(Targets!A:A, A253, Targets!H:H, "Transport sector mitigation target", Targets!J:J, "Non GHG") &gt; 0), "GHG and non-GHG target", IF(COUNTIFS(Targets!A:A, A253, Targets!H:H, "Transport sector mitigation target", Targets!J:J, "GHG") &gt; 0, "GHG target", IF(COUNTIFS(Targets!A:A, A253, Targets!H:H, "Transport sector mitigation target", Targets!J:J, "Non GHG") &gt; 0, "non-GHG target", ""))))</f>
        <v>No transport target</v>
      </c>
      <c r="M253" s="43" t="str">
        <f>IF(K253="no","No transport target",IF(L253="non-GHG target","No GHG transport target",IF(AND(COUNTIFS(Targets!A:A,A253,Targets!H:H,"Transport sector mitigation target",Targets!J:J,"GHG",Targets!L:L,"Conditional")&gt;0,COUNTIFS(Targets!A:A,A253,Targets!H:H,"Transport sector mitigation target",Targets!J:J,"GHG",Targets!L:L,"Unconditional")&gt;0),"GHG unconditional and conditional",IF(COUNTIFS(Targets!A:A,A253,Targets!H:H,"Transport sector mitigation target",Targets!J:J,"GHG",Targets!L:L,"Conditional")&gt;0,"GHG conditional only",IF(COUNTIFS(Targets!A:A,A253,Targets!H:H,"Transport sector mitigation target",Targets!J:J,"GHG",Targets!L:L,"Unconditional")&gt;0,"GHG unconditional only",IF(COUNTIFS(Targets!A:A,A253,Targets!H:H,"Transport sector mitigation target",Targets!J:J,"GHG",Targets!L:L,"Unclear conditionality")&gt;0,"Conditionality unclear",""))))))</f>
        <v>No transport target</v>
      </c>
      <c r="N253" s="43" t="str" cm="1">
        <f t="array" ref="N253">IF(ISNUMBER(MATCH("Transport sector adaptation target", _xlfn._xlws.FILTER(Targets!H:H, Targets!A:A =A253), 0)), "yes", "no")</f>
        <v>no</v>
      </c>
      <c r="O253" s="43" t="str">
        <f>IF(ISNA(MATCH(A253, Mitigation!A:A, 0)), "no", "yes")</f>
        <v>no</v>
      </c>
      <c r="P253" s="43" t="str">
        <f>IF(ISNA(MATCH(A253, Adaptation!A:A, 0)), "no", "yes")</f>
        <v>no</v>
      </c>
      <c r="Q253" s="43" t="str">
        <f>IF(ISNA(MATCH(A253, Benefits!A:A, 0)), "no", "yes")</f>
        <v>no</v>
      </c>
      <c r="R253" s="43"/>
      <c r="S253" s="43"/>
      <c r="T253" s="43" t="s">
        <v>501</v>
      </c>
      <c r="U253" s="358" t="s">
        <v>776</v>
      </c>
      <c r="V253" s="233" t="str">
        <f>VLOOKUP(Table1[[#This Row],[Country Code]],Table29[],3,FALSE)</f>
        <v>Annex I</v>
      </c>
      <c r="W253" s="233" t="str">
        <f>VLOOKUP(Table1[[#This Row],[Country Code]],Table29[],4,FALSE)</f>
        <v>Oceania</v>
      </c>
      <c r="X253" s="233" t="str">
        <f>VLOOKUP(Table1[[#This Row],[Country Code]],Table29[],5,FALSE)</f>
        <v>High-income</v>
      </c>
      <c r="Y253" s="43" t="s">
        <v>750</v>
      </c>
      <c r="Z253" s="43"/>
    </row>
    <row r="254" spans="1:26" ht="15" customHeight="1" x14ac:dyDescent="0.25">
      <c r="A254" s="360">
        <v>17512</v>
      </c>
      <c r="B254" s="176" t="s">
        <v>65</v>
      </c>
      <c r="C254" s="243" t="str">
        <f>VLOOKUP(Table1[[#This Row],[Country Code]],Table29[],2,FALSE)</f>
        <v>Angola</v>
      </c>
      <c r="D254" s="243" t="str">
        <f t="shared" si="10"/>
        <v>Good</v>
      </c>
      <c r="E254" s="176" t="s">
        <v>71</v>
      </c>
      <c r="F254" s="43" t="s">
        <v>498</v>
      </c>
      <c r="G254" s="43" t="str">
        <f t="shared" si="11"/>
        <v>First NDC</v>
      </c>
      <c r="H254" s="350" t="s">
        <v>499</v>
      </c>
      <c r="I254" s="351">
        <v>44151</v>
      </c>
      <c r="J254" s="320" t="s">
        <v>500</v>
      </c>
      <c r="K254" s="320" t="str" cm="1">
        <f t="array" ref="K254">IF(ISNUMBER(MATCH("Transport sector mitigation target", _xlfn._xlws.FILTER(Targets!H:H, Targets!A:A =A254), 0)), "yes", "no")</f>
        <v>no</v>
      </c>
      <c r="L254" s="43" t="str">
        <f>IF(K254="no", "No transport target", IF(AND(COUNTIFS(Targets!A:A, A254, Targets!H:H, "Transport sector mitigation target", Targets!J:J, "GHG") &gt; 0, COUNTIFS(Targets!A:A, A254, Targets!H:H, "Transport sector mitigation target", Targets!J:J, "Non GHG") &gt; 0), "GHG and non-GHG target", IF(COUNTIFS(Targets!A:A, A254, Targets!H:H, "Transport sector mitigation target", Targets!J:J, "GHG") &gt; 0, "GHG target", IF(COUNTIFS(Targets!A:A, A254, Targets!H:H, "Transport sector mitigation target", Targets!J:J, "Non GHG") &gt; 0, "non-GHG target", ""))))</f>
        <v>No transport target</v>
      </c>
      <c r="M254" s="43" t="str">
        <f>IF(K254="no","No transport target",IF(L254="non-GHG target","No GHG transport target",IF(AND(COUNTIFS(Targets!A:A,A254,Targets!H:H,"Transport sector mitigation target",Targets!J:J,"GHG",Targets!L:L,"Conditional")&gt;0,COUNTIFS(Targets!A:A,A254,Targets!H:H,"Transport sector mitigation target",Targets!J:J,"GHG",Targets!L:L,"Unconditional")&gt;0),"GHG unconditional and conditional",IF(COUNTIFS(Targets!A:A,A254,Targets!H:H,"Transport sector mitigation target",Targets!J:J,"GHG",Targets!L:L,"Conditional")&gt;0,"GHG conditional only",IF(COUNTIFS(Targets!A:A,A254,Targets!H:H,"Transport sector mitigation target",Targets!J:J,"GHG",Targets!L:L,"Unconditional")&gt;0,"GHG unconditional only",IF(COUNTIFS(Targets!A:A,A254,Targets!H:H,"Transport sector mitigation target",Targets!J:J,"GHG",Targets!L:L,"Unclear conditionality")&gt;0,"Conditionality unclear",""))))))</f>
        <v>No transport target</v>
      </c>
      <c r="N254" s="43" t="str" cm="1">
        <f t="array" ref="N254">IF(ISNUMBER(MATCH("Transport sector adaptation target", _xlfn._xlws.FILTER(Targets!H:H, Targets!A:A =A254), 0)), "yes", "no")</f>
        <v>no</v>
      </c>
      <c r="O254" s="43" t="str">
        <f>IF(ISNA(MATCH(A254, Mitigation!A:A, 0)), "no", "yes")</f>
        <v>no</v>
      </c>
      <c r="P254" s="43" t="str">
        <f>IF(ISNA(MATCH(A254, Adaptation!A:A, 0)), "no", "yes")</f>
        <v>no</v>
      </c>
      <c r="Q254" s="43" t="str">
        <f>IF(ISNA(MATCH(A254, Benefits!A:A, 0)), "no", "yes")</f>
        <v>no</v>
      </c>
      <c r="R254" s="43"/>
      <c r="S254" s="43"/>
      <c r="T254" s="43" t="s">
        <v>501</v>
      </c>
      <c r="U254" s="312" t="s">
        <v>777</v>
      </c>
      <c r="V254" s="233" t="str">
        <f>VLOOKUP(Table1[[#This Row],[Country Code]],Table29[],3,FALSE)</f>
        <v>Non-Annex I</v>
      </c>
      <c r="W254" s="233" t="str">
        <f>VLOOKUP(Table1[[#This Row],[Country Code]],Table29[],4,FALSE)</f>
        <v>Africa</v>
      </c>
      <c r="X254" s="233" t="str">
        <f>VLOOKUP(Table1[[#This Row],[Country Code]],Table29[],5,FALSE)</f>
        <v>Middle-income</v>
      </c>
      <c r="Y254" s="43"/>
      <c r="Z254" s="43"/>
    </row>
    <row r="255" spans="1:26" ht="15" customHeight="1" x14ac:dyDescent="0.25">
      <c r="A255" s="360">
        <v>17575</v>
      </c>
      <c r="B255" s="43" t="s">
        <v>164</v>
      </c>
      <c r="C255" s="243" t="str">
        <f>VLOOKUP(Table1[[#This Row],[Country Code]],Table29[],2,FALSE)</f>
        <v>Denmark</v>
      </c>
      <c r="D255" s="243" t="str">
        <f t="shared" si="10"/>
        <v>Good</v>
      </c>
      <c r="E255" s="176" t="s">
        <v>227</v>
      </c>
      <c r="F255" s="43" t="s">
        <v>227</v>
      </c>
      <c r="G255" s="43" t="str">
        <f t="shared" si="11"/>
        <v>LTS</v>
      </c>
      <c r="H255" s="43" t="s">
        <v>636</v>
      </c>
      <c r="I255" s="351">
        <v>44195</v>
      </c>
      <c r="J255" s="352" t="s">
        <v>505</v>
      </c>
      <c r="K255" s="320" t="str" cm="1">
        <f t="array" ref="K255">IF(ISNUMBER(MATCH("Transport sector mitigation target", _xlfn._xlws.FILTER(Targets!H:H, Targets!A:A =A255), 0)), "yes", "no")</f>
        <v>no</v>
      </c>
      <c r="L255" s="43" t="str">
        <f>IF(K255="no", "No transport target", IF(AND(COUNTIFS(Targets!A:A, A255, Targets!H:H, "Transport sector mitigation target", Targets!J:J, "GHG") &gt; 0, COUNTIFS(Targets!A:A, A255, Targets!H:H, "Transport sector mitigation target", Targets!J:J, "Non GHG") &gt; 0), "GHG and non-GHG target", IF(COUNTIFS(Targets!A:A, A255, Targets!H:H, "Transport sector mitigation target", Targets!J:J, "GHG") &gt; 0, "GHG target", IF(COUNTIFS(Targets!A:A, A255, Targets!H:H, "Transport sector mitigation target", Targets!J:J, "Non GHG") &gt; 0, "non-GHG target", ""))))</f>
        <v>No transport target</v>
      </c>
      <c r="M255" s="43" t="str">
        <f>IF(K255="no","No transport target",IF(L255="non-GHG target","No GHG transport target",IF(AND(COUNTIFS(Targets!A:A,A255,Targets!H:H,"Transport sector mitigation target",Targets!J:J,"GHG",Targets!L:L,"Conditional")&gt;0,COUNTIFS(Targets!A:A,A255,Targets!H:H,"Transport sector mitigation target",Targets!J:J,"GHG",Targets!L:L,"Unconditional")&gt;0),"GHG unconditional and conditional",IF(COUNTIFS(Targets!A:A,A255,Targets!H:H,"Transport sector mitigation target",Targets!J:J,"GHG",Targets!L:L,"Conditional")&gt;0,"GHG conditional only",IF(COUNTIFS(Targets!A:A,A255,Targets!H:H,"Transport sector mitigation target",Targets!J:J,"GHG",Targets!L:L,"Unconditional")&gt;0,"GHG unconditional only",IF(COUNTIFS(Targets!A:A,A255,Targets!H:H,"Transport sector mitigation target",Targets!J:J,"GHG",Targets!L:L,"Unclear conditionality")&gt;0,"Conditionality unclear",""))))))</f>
        <v>No transport target</v>
      </c>
      <c r="N255" s="43" t="str" cm="1">
        <f t="array" ref="N255">IF(ISNUMBER(MATCH("Transport sector adaptation target", _xlfn._xlws.FILTER(Targets!H:H, Targets!A:A =A255), 0)), "yes", "no")</f>
        <v>no</v>
      </c>
      <c r="O255" s="43" t="str">
        <f>IF(ISNA(MATCH(A255, Mitigation!A:A, 0)), "no", "yes")</f>
        <v>yes</v>
      </c>
      <c r="P255" s="43" t="str">
        <f>IF(ISNA(MATCH(A255, Adaptation!A:A, 0)), "no", "yes")</f>
        <v>no</v>
      </c>
      <c r="Q255" s="43" t="str">
        <f>IF(ISNA(MATCH(A255, Benefits!A:A, 0)), "no", "yes")</f>
        <v>no</v>
      </c>
      <c r="R255" s="43"/>
      <c r="S255" s="43"/>
      <c r="T255" s="43" t="s">
        <v>501</v>
      </c>
      <c r="U255" s="312" t="s">
        <v>778</v>
      </c>
      <c r="V255" s="233" t="str">
        <f>VLOOKUP(Table1[[#This Row],[Country Code]],Table29[],3,FALSE)</f>
        <v>Annex I</v>
      </c>
      <c r="W255" s="233" t="str">
        <f>VLOOKUP(Table1[[#This Row],[Country Code]],Table29[],4,FALSE)</f>
        <v>Europe</v>
      </c>
      <c r="X255" s="233" t="str">
        <f>VLOOKUP(Table1[[#This Row],[Country Code]],Table29[],5,FALSE)</f>
        <v>High-income</v>
      </c>
      <c r="Y255" s="43"/>
      <c r="Z255" s="43"/>
    </row>
    <row r="256" spans="1:26" ht="15" customHeight="1" x14ac:dyDescent="0.25">
      <c r="A256" s="360">
        <v>17714</v>
      </c>
      <c r="B256" s="20" t="s">
        <v>368</v>
      </c>
      <c r="C256" s="206" t="str">
        <f>VLOOKUP(Table1[[#This Row],[Country Code]],Table29[],2,FALSE)</f>
        <v>Russian Federation</v>
      </c>
      <c r="D256" s="243" t="str">
        <f t="shared" si="10"/>
        <v>Good</v>
      </c>
      <c r="E256" s="20" t="s">
        <v>71</v>
      </c>
      <c r="F256" s="17" t="s">
        <v>498</v>
      </c>
      <c r="G256" s="43" t="str">
        <f t="shared" si="11"/>
        <v>First NDC</v>
      </c>
      <c r="H256" s="17" t="s">
        <v>499</v>
      </c>
      <c r="I256" s="149">
        <v>44160</v>
      </c>
      <c r="J256" s="49" t="s">
        <v>500</v>
      </c>
      <c r="K256" s="49" t="str" cm="1">
        <f t="array" ref="K256">IF(ISNUMBER(MATCH("Transport sector mitigation target", _xlfn._xlws.FILTER(Targets!H:H, Targets!A:A =A256), 0)), "yes", "no")</f>
        <v>no</v>
      </c>
      <c r="L256" s="17" t="str">
        <f>IF(K256="no", "No transport target", IF(AND(COUNTIFS(Targets!A:A, A256, Targets!H:H, "Transport sector mitigation target", Targets!J:J, "GHG") &gt; 0, COUNTIFS(Targets!A:A, A256, Targets!H:H, "Transport sector mitigation target", Targets!J:J, "Non GHG") &gt; 0), "GHG and non-GHG target", IF(COUNTIFS(Targets!A:A, A256, Targets!H:H, "Transport sector mitigation target", Targets!J:J, "GHG") &gt; 0, "GHG target", IF(COUNTIFS(Targets!A:A, A256, Targets!H:H, "Transport sector mitigation target", Targets!J:J, "Non GHG") &gt; 0, "non-GHG target", ""))))</f>
        <v>No transport target</v>
      </c>
      <c r="M256" s="17" t="str">
        <f>IF(K256="no","No transport target",IF(L256="non-GHG target","No GHG transport target",IF(AND(COUNTIFS(Targets!A:A,A256,Targets!H:H,"Transport sector mitigation target",Targets!J:J,"GHG",Targets!L:L,"Conditional")&gt;0,COUNTIFS(Targets!A:A,A256,Targets!H:H,"Transport sector mitigation target",Targets!J:J,"GHG",Targets!L:L,"Unconditional")&gt;0),"GHG unconditional and conditional",IF(COUNTIFS(Targets!A:A,A256,Targets!H:H,"Transport sector mitigation target",Targets!J:J,"GHG",Targets!L:L,"Conditional")&gt;0,"GHG conditional only",IF(COUNTIFS(Targets!A:A,A256,Targets!H:H,"Transport sector mitigation target",Targets!J:J,"GHG",Targets!L:L,"Unconditional")&gt;0,"GHG unconditional only",IF(COUNTIFS(Targets!A:A,A256,Targets!H:H,"Transport sector mitigation target",Targets!J:J,"GHG",Targets!L:L,"Unclear conditionality")&gt;0,"Conditionality unclear",""))))))</f>
        <v>No transport target</v>
      </c>
      <c r="N256" s="17" t="str" cm="1">
        <f t="array" ref="N256">IF(ISNUMBER(MATCH("Transport sector adaptation target", _xlfn._xlws.FILTER(Targets!H:H, Targets!A:A =A256), 0)), "yes", "no")</f>
        <v>no</v>
      </c>
      <c r="O256" s="17" t="str">
        <f>IF(ISNA(MATCH(A256, Mitigation!A:A, 0)), "no", "yes")</f>
        <v>no</v>
      </c>
      <c r="P256" s="17" t="str">
        <f>IF(ISNA(MATCH(A256, Adaptation!A:A, 0)), "no", "yes")</f>
        <v>no</v>
      </c>
      <c r="Q256" s="17" t="str">
        <f>IF(ISNA(MATCH(A256, Benefits!A:A, 0)), "no", "yes")</f>
        <v>no</v>
      </c>
      <c r="R256" s="17"/>
      <c r="S256" s="17"/>
      <c r="T256" s="17" t="s">
        <v>501</v>
      </c>
      <c r="U256" s="135" t="s">
        <v>779</v>
      </c>
      <c r="V256" s="207" t="str">
        <f>VLOOKUP(Table1[[#This Row],[Country Code]],Table29[],3,FALSE)</f>
        <v>Annex I</v>
      </c>
      <c r="W256" s="207" t="str">
        <f>VLOOKUP(Table1[[#This Row],[Country Code]],Table29[],4,FALSE)</f>
        <v>Europe</v>
      </c>
      <c r="X256" s="207" t="str">
        <f>VLOOKUP(Table1[[#This Row],[Country Code]],Table29[],5,FALSE)</f>
        <v>Middle-income</v>
      </c>
      <c r="Y256" s="17"/>
      <c r="Z256" s="17"/>
    </row>
    <row r="257" spans="1:26" ht="15" customHeight="1" x14ac:dyDescent="0.25">
      <c r="A257" s="360">
        <v>17715</v>
      </c>
      <c r="B257" s="17" t="s">
        <v>368</v>
      </c>
      <c r="C257" s="206" t="str">
        <f>VLOOKUP(Table1[[#This Row],[Country Code]],Table29[],2,FALSE)</f>
        <v>Russian Federation</v>
      </c>
      <c r="D257" s="243" t="str">
        <f t="shared" si="10"/>
        <v>Good</v>
      </c>
      <c r="E257" s="20" t="s">
        <v>71</v>
      </c>
      <c r="F257" s="17" t="s">
        <v>528</v>
      </c>
      <c r="G257" s="43" t="str">
        <f t="shared" si="11"/>
        <v>First NDC</v>
      </c>
      <c r="H257" s="17" t="s">
        <v>499</v>
      </c>
      <c r="I257" s="149">
        <v>44160</v>
      </c>
      <c r="J257" s="187" t="s">
        <v>505</v>
      </c>
      <c r="K257" s="49" t="str" cm="1">
        <f t="array" ref="K257">IF(ISNUMBER(MATCH("Transport sector mitigation target", _xlfn._xlws.FILTER(Targets!H:H, Targets!A:A =A257), 0)), "yes", "no")</f>
        <v>no</v>
      </c>
      <c r="L257" s="17" t="str">
        <f>IF(K257="no", "No transport target", IF(AND(COUNTIFS(Targets!A:A, A257, Targets!H:H, "Transport sector mitigation target", Targets!J:J, "GHG") &gt; 0, COUNTIFS(Targets!A:A, A257, Targets!H:H, "Transport sector mitigation target", Targets!J:J, "Non GHG") &gt; 0), "GHG and non-GHG target", IF(COUNTIFS(Targets!A:A, A257, Targets!H:H, "Transport sector mitigation target", Targets!J:J, "GHG") &gt; 0, "GHG target", IF(COUNTIFS(Targets!A:A, A257, Targets!H:H, "Transport sector mitigation target", Targets!J:J, "Non GHG") &gt; 0, "non-GHG target", ""))))</f>
        <v>No transport target</v>
      </c>
      <c r="M257" s="17" t="str">
        <f>IF(K257="no","No transport target",IF(L257="non-GHG target","No GHG transport target",IF(AND(COUNTIFS(Targets!A:A,A257,Targets!H:H,"Transport sector mitigation target",Targets!J:J,"GHG",Targets!L:L,"Conditional")&gt;0,COUNTIFS(Targets!A:A,A257,Targets!H:H,"Transport sector mitigation target",Targets!J:J,"GHG",Targets!L:L,"Unconditional")&gt;0),"GHG unconditional and conditional",IF(COUNTIFS(Targets!A:A,A257,Targets!H:H,"Transport sector mitigation target",Targets!J:J,"GHG",Targets!L:L,"Conditional")&gt;0,"GHG conditional only",IF(COUNTIFS(Targets!A:A,A257,Targets!H:H,"Transport sector mitigation target",Targets!J:J,"GHG",Targets!L:L,"Unconditional")&gt;0,"GHG unconditional only",IF(COUNTIFS(Targets!A:A,A257,Targets!H:H,"Transport sector mitigation target",Targets!J:J,"GHG",Targets!L:L,"Unclear conditionality")&gt;0,"Conditionality unclear",""))))))</f>
        <v>No transport target</v>
      </c>
      <c r="N257" s="17" t="str" cm="1">
        <f t="array" ref="N257">IF(ISNUMBER(MATCH("Transport sector adaptation target", _xlfn._xlws.FILTER(Targets!H:H, Targets!A:A =A257), 0)), "yes", "no")</f>
        <v>no</v>
      </c>
      <c r="O257" s="17" t="str">
        <f>IF(ISNA(MATCH(A257, Mitigation!A:A, 0)), "no", "yes")</f>
        <v>no</v>
      </c>
      <c r="P257" s="17" t="str">
        <f>IF(ISNA(MATCH(A257, Adaptation!A:A, 0)), "no", "yes")</f>
        <v>no</v>
      </c>
      <c r="Q257" s="17" t="str">
        <f>IF(ISNA(MATCH(A257, Benefits!A:A, 0)), "no", "yes")</f>
        <v>no</v>
      </c>
      <c r="R257" s="17"/>
      <c r="S257" s="17"/>
      <c r="T257" s="17" t="s">
        <v>501</v>
      </c>
      <c r="U257" s="135" t="s">
        <v>779</v>
      </c>
      <c r="V257" s="207" t="str">
        <f>VLOOKUP(Table1[[#This Row],[Country Code]],Table29[],3,FALSE)</f>
        <v>Annex I</v>
      </c>
      <c r="W257" s="207" t="str">
        <f>VLOOKUP(Table1[[#This Row],[Country Code]],Table29[],4,FALSE)</f>
        <v>Europe</v>
      </c>
      <c r="X257" s="207" t="str">
        <f>VLOOKUP(Table1[[#This Row],[Country Code]],Table29[],5,FALSE)</f>
        <v>Middle-income</v>
      </c>
      <c r="Y257" s="17"/>
      <c r="Z257" s="17"/>
    </row>
    <row r="258" spans="1:26" ht="15" customHeight="1" x14ac:dyDescent="0.25">
      <c r="A258" s="360">
        <v>41996</v>
      </c>
      <c r="B258" s="43" t="s">
        <v>93</v>
      </c>
      <c r="C258" s="233" t="s">
        <v>94</v>
      </c>
      <c r="D258" s="243" t="str">
        <f t="shared" si="10"/>
        <v>Good</v>
      </c>
      <c r="E258" s="20" t="s">
        <v>774</v>
      </c>
      <c r="F258" s="43" t="s">
        <v>780</v>
      </c>
      <c r="G258" s="43" t="str">
        <f t="shared" si="11"/>
        <v>WRI Net Zero Tracker</v>
      </c>
      <c r="H258" s="148" t="s">
        <v>52</v>
      </c>
      <c r="I258" s="163">
        <v>44177</v>
      </c>
      <c r="J258" s="187" t="s">
        <v>505</v>
      </c>
      <c r="K258" s="49" t="str" cm="1">
        <f t="array" ref="K258">IF(ISNUMBER(MATCH("Transport sector mitigation target", _xlfn._xlws.FILTER(Targets!H:H, Targets!A:A =A258), 0)), "yes", "no")</f>
        <v>no</v>
      </c>
      <c r="L258" s="17" t="str">
        <f>IF(K258="no", "No transport target", IF(AND(COUNTIFS(Targets!A:A, A258, Targets!H:H, "Transport sector mitigation target", Targets!J:J, "GHG") &gt; 0, COUNTIFS(Targets!A:A, A258, Targets!H:H, "Transport sector mitigation target", Targets!J:J, "Non GHG") &gt; 0), "GHG and non-GHG target", IF(COUNTIFS(Targets!A:A, A258, Targets!H:H, "Transport sector mitigation target", Targets!J:J, "GHG") &gt; 0, "GHG target", IF(COUNTIFS(Targets!A:A, A258, Targets!H:H, "Transport sector mitigation target", Targets!J:J, "Non GHG") &gt; 0, "non-GHG target", ""))))</f>
        <v>No transport target</v>
      </c>
      <c r="M258" s="17" t="str">
        <f>IF(K258="no","No transport target",IF(L258="non-GHG target","No GHG transport target",IF(AND(COUNTIFS(Targets!A:A,A258,Targets!H:H,"Transport sector mitigation target",Targets!J:J,"GHG",Targets!L:L,"Conditional")&gt;0,COUNTIFS(Targets!A:A,A258,Targets!H:H,"Transport sector mitigation target",Targets!J:J,"GHG",Targets!L:L,"Unconditional")&gt;0),"GHG unconditional and conditional",IF(COUNTIFS(Targets!A:A,A258,Targets!H:H,"Transport sector mitigation target",Targets!J:J,"GHG",Targets!L:L,"Conditional")&gt;0,"GHG conditional only",IF(COUNTIFS(Targets!A:A,A258,Targets!H:H,"Transport sector mitigation target",Targets!J:J,"GHG",Targets!L:L,"Unconditional")&gt;0,"GHG unconditional only",IF(COUNTIFS(Targets!A:A,A258,Targets!H:H,"Transport sector mitigation target",Targets!J:J,"GHG",Targets!L:L,"Unclear conditionality")&gt;0,"Conditionality unclear",""))))))</f>
        <v>No transport target</v>
      </c>
      <c r="N258" s="17" t="str" cm="1">
        <f t="array" ref="N258">IF(ISNUMBER(MATCH("Transport sector adaptation target", _xlfn._xlws.FILTER(Targets!H:H, Targets!A:A =A258), 0)), "yes", "no")</f>
        <v>no</v>
      </c>
      <c r="O258" s="17" t="str">
        <f>IF(ISNA(MATCH(A258, Mitigation!A:A, 0)), "no", "yes")</f>
        <v>no</v>
      </c>
      <c r="P258" s="17" t="str">
        <f>IF(ISNA(MATCH(A258, Adaptation!A:A, 0)), "no", "yes")</f>
        <v>no</v>
      </c>
      <c r="Q258" s="17" t="str">
        <f>IF(ISNA(MATCH(A258, Benefits!A:A, 0)), "no", "yes")</f>
        <v>no</v>
      </c>
      <c r="R258" s="148"/>
      <c r="S258" s="148"/>
      <c r="T258" s="17" t="s">
        <v>501</v>
      </c>
      <c r="U258" s="411" t="s">
        <v>781</v>
      </c>
      <c r="V258" s="207" t="str">
        <f>VLOOKUP(Table1[[#This Row],[Country Code]],Table29[],3,FALSE)</f>
        <v>Non-Annex I</v>
      </c>
      <c r="W258" s="207" t="str">
        <f>VLOOKUP(Table1[[#This Row],[Country Code]],Table29[],4,FALSE)</f>
        <v>Latin America and the Caribbean</v>
      </c>
      <c r="X258" s="207" t="str">
        <f>VLOOKUP(Table1[[#This Row],[Country Code]],Table29[],5,FALSE)</f>
        <v>High-income</v>
      </c>
      <c r="Y258" s="43" t="s">
        <v>750</v>
      </c>
      <c r="Z258" s="17"/>
    </row>
    <row r="259" spans="1:26" ht="15" customHeight="1" x14ac:dyDescent="0.25">
      <c r="A259" s="360">
        <v>42002</v>
      </c>
      <c r="B259" s="43" t="s">
        <v>243</v>
      </c>
      <c r="C259" s="233" t="s">
        <v>244</v>
      </c>
      <c r="D259" s="243" t="str">
        <f t="shared" si="10"/>
        <v>Good</v>
      </c>
      <c r="E259" s="20" t="s">
        <v>774</v>
      </c>
      <c r="F259" s="43" t="s">
        <v>780</v>
      </c>
      <c r="G259" s="43" t="str">
        <f t="shared" si="11"/>
        <v>WRI Net Zero Tracker</v>
      </c>
      <c r="H259" s="148" t="s">
        <v>52</v>
      </c>
      <c r="I259" s="163">
        <v>44177</v>
      </c>
      <c r="J259" s="187" t="s">
        <v>505</v>
      </c>
      <c r="K259" s="49" t="str" cm="1">
        <f t="array" ref="K259">IF(ISNUMBER(MATCH("Transport sector mitigation target", _xlfn._xlws.FILTER(Targets!H:H, Targets!A:A =A259), 0)), "yes", "no")</f>
        <v>no</v>
      </c>
      <c r="L259" s="17" t="str">
        <f>IF(K259="no", "No transport target", IF(AND(COUNTIFS(Targets!A:A, A259, Targets!H:H, "Transport sector mitigation target", Targets!J:J, "GHG") &gt; 0, COUNTIFS(Targets!A:A, A259, Targets!H:H, "Transport sector mitigation target", Targets!J:J, "Non GHG") &gt; 0), "GHG and non-GHG target", IF(COUNTIFS(Targets!A:A, A259, Targets!H:H, "Transport sector mitigation target", Targets!J:J, "GHG") &gt; 0, "GHG target", IF(COUNTIFS(Targets!A:A, A259, Targets!H:H, "Transport sector mitigation target", Targets!J:J, "Non GHG") &gt; 0, "non-GHG target", ""))))</f>
        <v>No transport target</v>
      </c>
      <c r="M259" s="17" t="str">
        <f>IF(K259="no","No transport target",IF(L259="non-GHG target","No GHG transport target",IF(AND(COUNTIFS(Targets!A:A,A259,Targets!H:H,"Transport sector mitigation target",Targets!J:J,"GHG",Targets!L:L,"Conditional")&gt;0,COUNTIFS(Targets!A:A,A259,Targets!H:H,"Transport sector mitigation target",Targets!J:J,"GHG",Targets!L:L,"Unconditional")&gt;0),"GHG unconditional and conditional",IF(COUNTIFS(Targets!A:A,A259,Targets!H:H,"Transport sector mitigation target",Targets!J:J,"GHG",Targets!L:L,"Conditional")&gt;0,"GHG conditional only",IF(COUNTIFS(Targets!A:A,A259,Targets!H:H,"Transport sector mitigation target",Targets!J:J,"GHG",Targets!L:L,"Unconditional")&gt;0,"GHG unconditional only",IF(COUNTIFS(Targets!A:A,A259,Targets!H:H,"Transport sector mitigation target",Targets!J:J,"GHG",Targets!L:L,"Unclear conditionality")&gt;0,"Conditionality unclear",""))))))</f>
        <v>No transport target</v>
      </c>
      <c r="N259" s="17" t="str" cm="1">
        <f t="array" ref="N259">IF(ISNUMBER(MATCH("Transport sector adaptation target", _xlfn._xlws.FILTER(Targets!H:H, Targets!A:A =A259), 0)), "yes", "no")</f>
        <v>no</v>
      </c>
      <c r="O259" s="17" t="str">
        <f>IF(ISNA(MATCH(A259, Mitigation!A:A, 0)), "no", "yes")</f>
        <v>no</v>
      </c>
      <c r="P259" s="17" t="str">
        <f>IF(ISNA(MATCH(A259, Adaptation!A:A, 0)), "no", "yes")</f>
        <v>no</v>
      </c>
      <c r="Q259" s="17" t="str">
        <f>IF(ISNA(MATCH(A259, Benefits!A:A, 0)), "no", "yes")</f>
        <v>no</v>
      </c>
      <c r="R259" s="148"/>
      <c r="S259" s="148"/>
      <c r="T259" s="17" t="s">
        <v>501</v>
      </c>
      <c r="U259" s="411" t="s">
        <v>781</v>
      </c>
      <c r="V259" s="207" t="str">
        <f>VLOOKUP(Table1[[#This Row],[Country Code]],Table29[],3,FALSE)</f>
        <v>Non-Annex I</v>
      </c>
      <c r="W259" s="207" t="str">
        <f>VLOOKUP(Table1[[#This Row],[Country Code]],Table29[],4,FALSE)</f>
        <v>Latin America and the Caribbean</v>
      </c>
      <c r="X259" s="207" t="str">
        <f>VLOOKUP(Table1[[#This Row],[Country Code]],Table29[],5,FALSE)</f>
        <v>Middle-income</v>
      </c>
      <c r="Y259" s="43" t="s">
        <v>750</v>
      </c>
      <c r="Z259" s="17"/>
    </row>
    <row r="260" spans="1:26" ht="15" customHeight="1" x14ac:dyDescent="0.25">
      <c r="A260" s="360">
        <v>42007</v>
      </c>
      <c r="B260" s="43" t="s">
        <v>282</v>
      </c>
      <c r="C260" s="233" t="s">
        <v>283</v>
      </c>
      <c r="D260" s="243" t="str">
        <f t="shared" si="10"/>
        <v>Good</v>
      </c>
      <c r="E260" s="20" t="s">
        <v>774</v>
      </c>
      <c r="F260" s="43" t="s">
        <v>780</v>
      </c>
      <c r="G260" s="43" t="str">
        <f t="shared" si="11"/>
        <v>WRI Net Zero Tracker</v>
      </c>
      <c r="H260" s="148" t="s">
        <v>52</v>
      </c>
      <c r="I260" s="163">
        <v>44177</v>
      </c>
      <c r="J260" s="187" t="s">
        <v>505</v>
      </c>
      <c r="K260" s="49" t="str" cm="1">
        <f t="array" ref="K260">IF(ISNUMBER(MATCH("Transport sector mitigation target", _xlfn._xlws.FILTER(Targets!H:H, Targets!A:A =A260), 0)), "yes", "no")</f>
        <v>no</v>
      </c>
      <c r="L260" s="17" t="str">
        <f>IF(K260="no", "No transport target", IF(AND(COUNTIFS(Targets!A:A, A260, Targets!H:H, "Transport sector mitigation target", Targets!J:J, "GHG") &gt; 0, COUNTIFS(Targets!A:A, A260, Targets!H:H, "Transport sector mitigation target", Targets!J:J, "Non GHG") &gt; 0), "GHG and non-GHG target", IF(COUNTIFS(Targets!A:A, A260, Targets!H:H, "Transport sector mitigation target", Targets!J:J, "GHG") &gt; 0, "GHG target", IF(COUNTIFS(Targets!A:A, A260, Targets!H:H, "Transport sector mitigation target", Targets!J:J, "Non GHG") &gt; 0, "non-GHG target", ""))))</f>
        <v>No transport target</v>
      </c>
      <c r="M260" s="17" t="str">
        <f>IF(K260="no","No transport target",IF(L260="non-GHG target","No GHG transport target",IF(AND(COUNTIFS(Targets!A:A,A260,Targets!H:H,"Transport sector mitigation target",Targets!J:J,"GHG",Targets!L:L,"Conditional")&gt;0,COUNTIFS(Targets!A:A,A260,Targets!H:H,"Transport sector mitigation target",Targets!J:J,"GHG",Targets!L:L,"Unconditional")&gt;0),"GHG unconditional and conditional",IF(COUNTIFS(Targets!A:A,A260,Targets!H:H,"Transport sector mitigation target",Targets!J:J,"GHG",Targets!L:L,"Conditional")&gt;0,"GHG conditional only",IF(COUNTIFS(Targets!A:A,A260,Targets!H:H,"Transport sector mitigation target",Targets!J:J,"GHG",Targets!L:L,"Unconditional")&gt;0,"GHG unconditional only",IF(COUNTIFS(Targets!A:A,A260,Targets!H:H,"Transport sector mitigation target",Targets!J:J,"GHG",Targets!L:L,"Unclear conditionality")&gt;0,"Conditionality unclear",""))))))</f>
        <v>No transport target</v>
      </c>
      <c r="N260" s="17" t="str" cm="1">
        <f t="array" ref="N260">IF(ISNUMBER(MATCH("Transport sector adaptation target", _xlfn._xlws.FILTER(Targets!H:H, Targets!A:A =A260), 0)), "yes", "no")</f>
        <v>no</v>
      </c>
      <c r="O260" s="17" t="str">
        <f>IF(ISNA(MATCH(A260, Mitigation!A:A, 0)), "no", "yes")</f>
        <v>no</v>
      </c>
      <c r="P260" s="17" t="str">
        <f>IF(ISNA(MATCH(A260, Adaptation!A:A, 0)), "no", "yes")</f>
        <v>no</v>
      </c>
      <c r="Q260" s="17" t="str">
        <f>IF(ISNA(MATCH(A260, Benefits!A:A, 0)), "no", "yes")</f>
        <v>no</v>
      </c>
      <c r="R260" s="148"/>
      <c r="S260" s="148"/>
      <c r="T260" s="17" t="s">
        <v>501</v>
      </c>
      <c r="U260" s="411" t="s">
        <v>781</v>
      </c>
      <c r="V260" s="207" t="str">
        <f>VLOOKUP(Table1[[#This Row],[Country Code]],Table29[],3,FALSE)</f>
        <v>Non-Annex I</v>
      </c>
      <c r="W260" s="207" t="str">
        <f>VLOOKUP(Table1[[#This Row],[Country Code]],Table29[],4,FALSE)</f>
        <v>Africa</v>
      </c>
      <c r="X260" s="207" t="str">
        <f>VLOOKUP(Table1[[#This Row],[Country Code]],Table29[],5,FALSE)</f>
        <v>Low-income</v>
      </c>
      <c r="Y260" s="43" t="s">
        <v>750</v>
      </c>
      <c r="Z260" s="17"/>
    </row>
    <row r="261" spans="1:26" ht="15" customHeight="1" x14ac:dyDescent="0.25">
      <c r="A261" s="360">
        <v>42006</v>
      </c>
      <c r="B261" s="43" t="s">
        <v>296</v>
      </c>
      <c r="C261" s="233" t="s">
        <v>297</v>
      </c>
      <c r="D261" s="243" t="str">
        <f t="shared" si="10"/>
        <v>Good</v>
      </c>
      <c r="E261" s="20" t="s">
        <v>774</v>
      </c>
      <c r="F261" s="43" t="s">
        <v>780</v>
      </c>
      <c r="G261" s="43" t="str">
        <f t="shared" si="11"/>
        <v>WRI Net Zero Tracker</v>
      </c>
      <c r="H261" s="148" t="s">
        <v>52</v>
      </c>
      <c r="I261" s="163">
        <v>44177</v>
      </c>
      <c r="J261" s="187" t="s">
        <v>505</v>
      </c>
      <c r="K261" s="49" t="str" cm="1">
        <f t="array" ref="K261">IF(ISNUMBER(MATCH("Transport sector mitigation target", _xlfn._xlws.FILTER(Targets!H:H, Targets!A:A =A261), 0)), "yes", "no")</f>
        <v>no</v>
      </c>
      <c r="L261" s="17" t="str">
        <f>IF(K261="no", "No transport target", IF(AND(COUNTIFS(Targets!A:A, A261, Targets!H:H, "Transport sector mitigation target", Targets!J:J, "GHG") &gt; 0, COUNTIFS(Targets!A:A, A261, Targets!H:H, "Transport sector mitigation target", Targets!J:J, "Non GHG") &gt; 0), "GHG and non-GHG target", IF(COUNTIFS(Targets!A:A, A261, Targets!H:H, "Transport sector mitigation target", Targets!J:J, "GHG") &gt; 0, "GHG target", IF(COUNTIFS(Targets!A:A, A261, Targets!H:H, "Transport sector mitigation target", Targets!J:J, "Non GHG") &gt; 0, "non-GHG target", ""))))</f>
        <v>No transport target</v>
      </c>
      <c r="M261" s="17" t="str">
        <f>IF(K261="no","No transport target",IF(L261="non-GHG target","No GHG transport target",IF(AND(COUNTIFS(Targets!A:A,A261,Targets!H:H,"Transport sector mitigation target",Targets!J:J,"GHG",Targets!L:L,"Conditional")&gt;0,COUNTIFS(Targets!A:A,A261,Targets!H:H,"Transport sector mitigation target",Targets!J:J,"GHG",Targets!L:L,"Unconditional")&gt;0),"GHG unconditional and conditional",IF(COUNTIFS(Targets!A:A,A261,Targets!H:H,"Transport sector mitigation target",Targets!J:J,"GHG",Targets!L:L,"Conditional")&gt;0,"GHG conditional only",IF(COUNTIFS(Targets!A:A,A261,Targets!H:H,"Transport sector mitigation target",Targets!J:J,"GHG",Targets!L:L,"Unconditional")&gt;0,"GHG unconditional only",IF(COUNTIFS(Targets!A:A,A261,Targets!H:H,"Transport sector mitigation target",Targets!J:J,"GHG",Targets!L:L,"Unclear conditionality")&gt;0,"Conditionality unclear",""))))))</f>
        <v>No transport target</v>
      </c>
      <c r="N261" s="17" t="str" cm="1">
        <f t="array" ref="N261">IF(ISNUMBER(MATCH("Transport sector adaptation target", _xlfn._xlws.FILTER(Targets!H:H, Targets!A:A =A261), 0)), "yes", "no")</f>
        <v>no</v>
      </c>
      <c r="O261" s="17" t="str">
        <f>IF(ISNA(MATCH(A261, Mitigation!A:A, 0)), "no", "yes")</f>
        <v>no</v>
      </c>
      <c r="P261" s="17" t="str">
        <f>IF(ISNA(MATCH(A261, Adaptation!A:A, 0)), "no", "yes")</f>
        <v>no</v>
      </c>
      <c r="Q261" s="17" t="str">
        <f>IF(ISNA(MATCH(A261, Benefits!A:A, 0)), "no", "yes")</f>
        <v>no</v>
      </c>
      <c r="R261" s="148"/>
      <c r="S261" s="148"/>
      <c r="T261" s="17" t="s">
        <v>501</v>
      </c>
      <c r="U261" s="411" t="s">
        <v>781</v>
      </c>
      <c r="V261" s="207" t="str">
        <f>VLOOKUP(Table1[[#This Row],[Country Code]],Table29[],3,FALSE)</f>
        <v>Non-Annex I</v>
      </c>
      <c r="W261" s="207" t="str">
        <f>VLOOKUP(Table1[[#This Row],[Country Code]],Table29[],4,FALSE)</f>
        <v>Africa</v>
      </c>
      <c r="X261" s="207" t="str">
        <f>VLOOKUP(Table1[[#This Row],[Country Code]],Table29[],5,FALSE)</f>
        <v>Middle-income</v>
      </c>
      <c r="Y261" s="43" t="s">
        <v>750</v>
      </c>
      <c r="Z261" s="17"/>
    </row>
    <row r="262" spans="1:26" ht="15" customHeight="1" x14ac:dyDescent="0.25">
      <c r="A262" s="360">
        <v>17776</v>
      </c>
      <c r="B262" s="43" t="s">
        <v>448</v>
      </c>
      <c r="C262" s="243" t="str">
        <f>VLOOKUP(Table1[[#This Row],[Country Code]],Table29[],2,FALSE)</f>
        <v>United Kingdom</v>
      </c>
      <c r="D262" s="243" t="str">
        <f t="shared" si="10"/>
        <v>Good</v>
      </c>
      <c r="E262" s="176" t="s">
        <v>71</v>
      </c>
      <c r="F262" s="43" t="s">
        <v>525</v>
      </c>
      <c r="G262" s="43" t="str">
        <f t="shared" si="11"/>
        <v>First NDC updated</v>
      </c>
      <c r="H262" s="43" t="s">
        <v>691</v>
      </c>
      <c r="I262" s="351">
        <v>44177</v>
      </c>
      <c r="J262" s="320" t="s">
        <v>500</v>
      </c>
      <c r="K262" s="320" t="str" cm="1">
        <f t="array" ref="K262">IF(ISNUMBER(MATCH("Transport sector mitigation target", _xlfn._xlws.FILTER(Targets!H:H, Targets!A:A =A262), 0)), "yes", "no")</f>
        <v>no</v>
      </c>
      <c r="L262" s="43" t="str">
        <f>IF(K262="no", "No transport target", IF(AND(COUNTIFS(Targets!A:A, A262, Targets!H:H, "Transport sector mitigation target", Targets!J:J, "GHG") &gt; 0, COUNTIFS(Targets!A:A, A262, Targets!H:H, "Transport sector mitigation target", Targets!J:J, "Non GHG") &gt; 0), "GHG and non-GHG target", IF(COUNTIFS(Targets!A:A, A262, Targets!H:H, "Transport sector mitigation target", Targets!J:J, "GHG") &gt; 0, "GHG target", IF(COUNTIFS(Targets!A:A, A262, Targets!H:H, "Transport sector mitigation target", Targets!J:J, "Non GHG") &gt; 0, "non-GHG target", ""))))</f>
        <v>No transport target</v>
      </c>
      <c r="M262" s="43" t="str">
        <f>IF(K262="no","No transport target",IF(L262="non-GHG target","No GHG transport target",IF(AND(COUNTIFS(Targets!A:A,A262,Targets!H:H,"Transport sector mitigation target",Targets!J:J,"GHG",Targets!L:L,"Conditional")&gt;0,COUNTIFS(Targets!A:A,A262,Targets!H:H,"Transport sector mitigation target",Targets!J:J,"GHG",Targets!L:L,"Unconditional")&gt;0),"GHG unconditional and conditional",IF(COUNTIFS(Targets!A:A,A262,Targets!H:H,"Transport sector mitigation target",Targets!J:J,"GHG",Targets!L:L,"Conditional")&gt;0,"GHG conditional only",IF(COUNTIFS(Targets!A:A,A262,Targets!H:H,"Transport sector mitigation target",Targets!J:J,"GHG",Targets!L:L,"Unconditional")&gt;0,"GHG unconditional only",IF(COUNTIFS(Targets!A:A,A262,Targets!H:H,"Transport sector mitigation target",Targets!J:J,"GHG",Targets!L:L,"Unclear conditionality")&gt;0,"Conditionality unclear",""))))))</f>
        <v>No transport target</v>
      </c>
      <c r="N262" s="43" t="str" cm="1">
        <f t="array" ref="N262">IF(ISNUMBER(MATCH("Transport sector adaptation target", _xlfn._xlws.FILTER(Targets!H:H, Targets!A:A =A262), 0)), "yes", "no")</f>
        <v>no</v>
      </c>
      <c r="O262" s="43" t="str">
        <f>IF(ISNA(MATCH(A262, Mitigation!A:A, 0)), "no", "yes")</f>
        <v>no</v>
      </c>
      <c r="P262" s="43" t="str">
        <f>IF(ISNA(MATCH(A262, Adaptation!A:A, 0)), "no", "yes")</f>
        <v>no</v>
      </c>
      <c r="Q262" s="43" t="str">
        <f>IF(ISNA(MATCH(A262, Benefits!A:A, 0)), "no", "yes")</f>
        <v>no</v>
      </c>
      <c r="R262" s="43"/>
      <c r="S262" s="43"/>
      <c r="T262" s="43" t="s">
        <v>501</v>
      </c>
      <c r="U262" s="312" t="s">
        <v>782</v>
      </c>
      <c r="V262" s="233" t="str">
        <f>VLOOKUP(Table1[[#This Row],[Country Code]],Table29[],3,FALSE)</f>
        <v>Annex I</v>
      </c>
      <c r="W262" s="233" t="str">
        <f>VLOOKUP(Table1[[#This Row],[Country Code]],Table29[],4,FALSE)</f>
        <v>Europe</v>
      </c>
      <c r="X262" s="233" t="str">
        <f>VLOOKUP(Table1[[#This Row],[Country Code]],Table29[],5,FALSE)</f>
        <v>High-income</v>
      </c>
      <c r="Y262" s="43"/>
      <c r="Z262" s="43"/>
    </row>
    <row r="263" spans="1:26" ht="15" customHeight="1" x14ac:dyDescent="0.25">
      <c r="A263" s="360">
        <v>17696</v>
      </c>
      <c r="B263" s="17" t="s">
        <v>346</v>
      </c>
      <c r="C263" s="206" t="str">
        <f>VLOOKUP(Table1[[#This Row],[Country Code]],Table29[],2,FALSE)</f>
        <v>Papua New Guinea</v>
      </c>
      <c r="D263" s="243" t="str">
        <f t="shared" si="10"/>
        <v>Good</v>
      </c>
      <c r="E263" s="20" t="s">
        <v>71</v>
      </c>
      <c r="F263" s="17" t="s">
        <v>555</v>
      </c>
      <c r="G263" s="43" t="str">
        <f t="shared" si="11"/>
        <v>Second NDC</v>
      </c>
      <c r="H263" s="17" t="s">
        <v>714</v>
      </c>
      <c r="I263" s="149">
        <v>44181</v>
      </c>
      <c r="J263" s="187" t="s">
        <v>505</v>
      </c>
      <c r="K263" s="49" t="str" cm="1">
        <f t="array" ref="K263">IF(ISNUMBER(MATCH("Transport sector mitigation target", _xlfn._xlws.FILTER(Targets!H:H, Targets!A:A =A263), 0)), "yes", "no")</f>
        <v>no</v>
      </c>
      <c r="L263" s="17" t="str">
        <f>IF(K263="no", "No transport target", IF(AND(COUNTIFS(Targets!A:A, A263, Targets!H:H, "Transport sector mitigation target", Targets!J:J, "GHG") &gt; 0, COUNTIFS(Targets!A:A, A263, Targets!H:H, "Transport sector mitigation target", Targets!J:J, "Non GHG") &gt; 0), "GHG and non-GHG target", IF(COUNTIFS(Targets!A:A, A263, Targets!H:H, "Transport sector mitigation target", Targets!J:J, "GHG") &gt; 0, "GHG target", IF(COUNTIFS(Targets!A:A, A263, Targets!H:H, "Transport sector mitigation target", Targets!J:J, "Non GHG") &gt; 0, "non-GHG target", ""))))</f>
        <v>No transport target</v>
      </c>
      <c r="M263" s="17" t="str">
        <f>IF(K263="no","No transport target",IF(L263="non-GHG target","No GHG transport target",IF(AND(COUNTIFS(Targets!A:A,A263,Targets!H:H,"Transport sector mitigation target",Targets!J:J,"GHG",Targets!L:L,"Conditional")&gt;0,COUNTIFS(Targets!A:A,A263,Targets!H:H,"Transport sector mitigation target",Targets!J:J,"GHG",Targets!L:L,"Unconditional")&gt;0),"GHG unconditional and conditional",IF(COUNTIFS(Targets!A:A,A263,Targets!H:H,"Transport sector mitigation target",Targets!J:J,"GHG",Targets!L:L,"Conditional")&gt;0,"GHG conditional only",IF(COUNTIFS(Targets!A:A,A263,Targets!H:H,"Transport sector mitigation target",Targets!J:J,"GHG",Targets!L:L,"Unconditional")&gt;0,"GHG unconditional only",IF(COUNTIFS(Targets!A:A,A263,Targets!H:H,"Transport sector mitigation target",Targets!J:J,"GHG",Targets!L:L,"Unclear conditionality")&gt;0,"Conditionality unclear",""))))))</f>
        <v>No transport target</v>
      </c>
      <c r="N263" s="17" t="str" cm="1">
        <f t="array" ref="N263">IF(ISNUMBER(MATCH("Transport sector adaptation target", _xlfn._xlws.FILTER(Targets!H:H, Targets!A:A =A263), 0)), "yes", "no")</f>
        <v>yes</v>
      </c>
      <c r="O263" s="17" t="str">
        <f>IF(ISNA(MATCH(A263, Mitigation!A:A, 0)), "no", "yes")</f>
        <v>yes</v>
      </c>
      <c r="P263" s="17" t="str">
        <f>IF(ISNA(MATCH(A263, Adaptation!A:A, 0)), "no", "yes")</f>
        <v>yes</v>
      </c>
      <c r="Q263" s="17" t="str">
        <f>IF(ISNA(MATCH(A263, Benefits!A:A, 0)), "no", "yes")</f>
        <v>yes</v>
      </c>
      <c r="R263" s="17"/>
      <c r="S263" s="17"/>
      <c r="T263" s="17" t="s">
        <v>501</v>
      </c>
      <c r="U263" s="135" t="s">
        <v>783</v>
      </c>
      <c r="V263" s="207" t="str">
        <f>VLOOKUP(Table1[[#This Row],[Country Code]],Table29[],3,FALSE)</f>
        <v>Non-Annex I</v>
      </c>
      <c r="W263" s="207" t="str">
        <f>VLOOKUP(Table1[[#This Row],[Country Code]],Table29[],4,FALSE)</f>
        <v>Oceania</v>
      </c>
      <c r="X263" s="207" t="str">
        <f>VLOOKUP(Table1[[#This Row],[Country Code]],Table29[],5,FALSE)</f>
        <v>Middle-income</v>
      </c>
      <c r="Y263" s="17"/>
      <c r="Z263" s="17"/>
    </row>
    <row r="264" spans="1:26" ht="15" customHeight="1" x14ac:dyDescent="0.25">
      <c r="A264" s="360">
        <v>17591</v>
      </c>
      <c r="B264" s="43" t="s">
        <v>189</v>
      </c>
      <c r="C264" s="243" t="str">
        <f>VLOOKUP(Table1[[#This Row],[Country Code]],Table29[],2,FALSE)</f>
        <v>European Union</v>
      </c>
      <c r="D264" s="243" t="str">
        <f t="shared" si="10"/>
        <v>Good</v>
      </c>
      <c r="E264" s="176" t="s">
        <v>71</v>
      </c>
      <c r="F264" s="43" t="s">
        <v>525</v>
      </c>
      <c r="G264" s="43" t="str">
        <f t="shared" si="11"/>
        <v>First NDC updated</v>
      </c>
      <c r="H264" s="43" t="s">
        <v>691</v>
      </c>
      <c r="I264" s="351">
        <v>44183</v>
      </c>
      <c r="J264" s="320" t="s">
        <v>500</v>
      </c>
      <c r="K264" s="320" t="str" cm="1">
        <f t="array" ref="K264">IF(ISNUMBER(MATCH("Transport sector mitigation target", _xlfn._xlws.FILTER(Targets!H:H, Targets!A:A =A264), 0)), "yes", "no")</f>
        <v>no</v>
      </c>
      <c r="L264" s="43" t="str">
        <f>IF(K264="no", "No transport target", IF(AND(COUNTIFS(Targets!A:A, A264, Targets!H:H, "Transport sector mitigation target", Targets!J:J, "GHG") &gt; 0, COUNTIFS(Targets!A:A, A264, Targets!H:H, "Transport sector mitigation target", Targets!J:J, "Non GHG") &gt; 0), "GHG and non-GHG target", IF(COUNTIFS(Targets!A:A, A264, Targets!H:H, "Transport sector mitigation target", Targets!J:J, "GHG") &gt; 0, "GHG target", IF(COUNTIFS(Targets!A:A, A264, Targets!H:H, "Transport sector mitigation target", Targets!J:J, "Non GHG") &gt; 0, "non-GHG target", ""))))</f>
        <v>No transport target</v>
      </c>
      <c r="M264" s="43" t="str">
        <f>IF(K264="no","No transport target",IF(L264="non-GHG target","No GHG transport target",IF(AND(COUNTIFS(Targets!A:A,A264,Targets!H:H,"Transport sector mitigation target",Targets!J:J,"GHG",Targets!L:L,"Conditional")&gt;0,COUNTIFS(Targets!A:A,A264,Targets!H:H,"Transport sector mitigation target",Targets!J:J,"GHG",Targets!L:L,"Unconditional")&gt;0),"GHG unconditional and conditional",IF(COUNTIFS(Targets!A:A,A264,Targets!H:H,"Transport sector mitigation target",Targets!J:J,"GHG",Targets!L:L,"Conditional")&gt;0,"GHG conditional only",IF(COUNTIFS(Targets!A:A,A264,Targets!H:H,"Transport sector mitigation target",Targets!J:J,"GHG",Targets!L:L,"Unconditional")&gt;0,"GHG unconditional only",IF(COUNTIFS(Targets!A:A,A264,Targets!H:H,"Transport sector mitigation target",Targets!J:J,"GHG",Targets!L:L,"Unclear conditionality")&gt;0,"Conditionality unclear",""))))))</f>
        <v>No transport target</v>
      </c>
      <c r="N264" s="43" t="str" cm="1">
        <f t="array" ref="N264">IF(ISNUMBER(MATCH("Transport sector adaptation target", _xlfn._xlws.FILTER(Targets!H:H, Targets!A:A =A264), 0)), "yes", "no")</f>
        <v>no</v>
      </c>
      <c r="O264" s="43" t="str">
        <f>IF(ISNA(MATCH(A264, Mitigation!A:A, 0)), "no", "yes")</f>
        <v>yes</v>
      </c>
      <c r="P264" s="43" t="str">
        <f>IF(ISNA(MATCH(A264, Adaptation!A:A, 0)), "no", "yes")</f>
        <v>no</v>
      </c>
      <c r="Q264" s="43" t="str">
        <f>IF(ISNA(MATCH(A264, Benefits!A:A, 0)), "no", "yes")</f>
        <v>no</v>
      </c>
      <c r="R264" s="43"/>
      <c r="S264" s="43"/>
      <c r="T264" s="43" t="s">
        <v>501</v>
      </c>
      <c r="U264" s="312" t="s">
        <v>784</v>
      </c>
      <c r="V264" s="233" t="str">
        <f>VLOOKUP(Table1[[#This Row],[Country Code]],Table29[],3,FALSE)</f>
        <v>Annex I</v>
      </c>
      <c r="W264" s="233" t="str">
        <f>VLOOKUP(Table1[[#This Row],[Country Code]],Table29[],4,FALSE)</f>
        <v>Europe</v>
      </c>
      <c r="X264" s="233" t="str">
        <f>VLOOKUP(Table1[[#This Row],[Country Code]],Table29[],5,FALSE)</f>
        <v>N/A</v>
      </c>
      <c r="Y264" s="43"/>
      <c r="Z264" s="43"/>
    </row>
    <row r="265" spans="1:26" ht="15" customHeight="1" x14ac:dyDescent="0.25">
      <c r="A265" s="360">
        <v>17699</v>
      </c>
      <c r="B265" s="17" t="s">
        <v>350</v>
      </c>
      <c r="C265" s="206" t="str">
        <f>VLOOKUP(Table1[[#This Row],[Country Code]],Table29[],2,FALSE)</f>
        <v>Peru</v>
      </c>
      <c r="D265" s="243" t="str">
        <f t="shared" si="10"/>
        <v>Good</v>
      </c>
      <c r="E265" s="20" t="s">
        <v>71</v>
      </c>
      <c r="F265" s="17" t="s">
        <v>528</v>
      </c>
      <c r="G265" s="43" t="str">
        <f t="shared" si="11"/>
        <v>First NDC updated</v>
      </c>
      <c r="H265" s="17" t="s">
        <v>691</v>
      </c>
      <c r="I265" s="149">
        <v>44184</v>
      </c>
      <c r="J265" s="187" t="s">
        <v>505</v>
      </c>
      <c r="K265" s="49" t="str" cm="1">
        <f t="array" ref="K265">IF(ISNUMBER(MATCH("Transport sector mitigation target", _xlfn._xlws.FILTER(Targets!H:H, Targets!A:A =A265), 0)), "yes", "no")</f>
        <v>no</v>
      </c>
      <c r="L265" s="17" t="str">
        <f>IF(K265="no", "No transport target", IF(AND(COUNTIFS(Targets!A:A, A265, Targets!H:H, "Transport sector mitigation target", Targets!J:J, "GHG") &gt; 0, COUNTIFS(Targets!A:A, A265, Targets!H:H, "Transport sector mitigation target", Targets!J:J, "Non GHG") &gt; 0), "GHG and non-GHG target", IF(COUNTIFS(Targets!A:A, A265, Targets!H:H, "Transport sector mitigation target", Targets!J:J, "GHG") &gt; 0, "GHG target", IF(COUNTIFS(Targets!A:A, A265, Targets!H:H, "Transport sector mitigation target", Targets!J:J, "Non GHG") &gt; 0, "non-GHG target", ""))))</f>
        <v>No transport target</v>
      </c>
      <c r="M265" s="17" t="str">
        <f>IF(K265="no","No transport target",IF(L265="non-GHG target","No GHG transport target",IF(AND(COUNTIFS(Targets!A:A,A265,Targets!H:H,"Transport sector mitigation target",Targets!J:J,"GHG",Targets!L:L,"Conditional")&gt;0,COUNTIFS(Targets!A:A,A265,Targets!H:H,"Transport sector mitigation target",Targets!J:J,"GHG",Targets!L:L,"Unconditional")&gt;0),"GHG unconditional and conditional",IF(COUNTIFS(Targets!A:A,A265,Targets!H:H,"Transport sector mitigation target",Targets!J:J,"GHG",Targets!L:L,"Conditional")&gt;0,"GHG conditional only",IF(COUNTIFS(Targets!A:A,A265,Targets!H:H,"Transport sector mitigation target",Targets!J:J,"GHG",Targets!L:L,"Unconditional")&gt;0,"GHG unconditional only",IF(COUNTIFS(Targets!A:A,A265,Targets!H:H,"Transport sector mitigation target",Targets!J:J,"GHG",Targets!L:L,"Unclear conditionality")&gt;0,"Conditionality unclear",""))))))</f>
        <v>No transport target</v>
      </c>
      <c r="N265" s="17" t="str" cm="1">
        <f t="array" ref="N265">IF(ISNUMBER(MATCH("Transport sector adaptation target", _xlfn._xlws.FILTER(Targets!H:H, Targets!A:A =A265), 0)), "yes", "no")</f>
        <v>no</v>
      </c>
      <c r="O265" s="17" t="str">
        <f>IF(ISNA(MATCH(A265, Mitigation!A:A, 0)), "no", "yes")</f>
        <v>no</v>
      </c>
      <c r="P265" s="17" t="str">
        <f>IF(ISNA(MATCH(A265, Adaptation!A:A, 0)), "no", "yes")</f>
        <v>no</v>
      </c>
      <c r="Q265" s="17" t="str">
        <f>IF(ISNA(MATCH(A265, Benefits!A:A, 0)), "no", "yes")</f>
        <v>no</v>
      </c>
      <c r="R265" s="17"/>
      <c r="S265" s="17"/>
      <c r="T265" s="17" t="s">
        <v>501</v>
      </c>
      <c r="U265" s="135" t="s">
        <v>785</v>
      </c>
      <c r="V265" s="207" t="str">
        <f>VLOOKUP(Table1[[#This Row],[Country Code]],Table29[],3,FALSE)</f>
        <v>Non-Annex I</v>
      </c>
      <c r="W265" s="207" t="str">
        <f>VLOOKUP(Table1[[#This Row],[Country Code]],Table29[],4,FALSE)</f>
        <v>Latin America and the Caribbean</v>
      </c>
      <c r="X265" s="207" t="str">
        <f>VLOOKUP(Table1[[#This Row],[Country Code]],Table29[],5,FALSE)</f>
        <v>Middle-income</v>
      </c>
      <c r="Y265" s="17"/>
      <c r="Z265" s="17"/>
    </row>
    <row r="266" spans="1:26" ht="15" customHeight="1" x14ac:dyDescent="0.25">
      <c r="A266" s="360">
        <v>17682</v>
      </c>
      <c r="B266" s="43" t="s">
        <v>325</v>
      </c>
      <c r="C266" s="243" t="str">
        <f>VLOOKUP(Table1[[#This Row],[Country Code]],Table29[],2,FALSE)</f>
        <v>Nicaragua</v>
      </c>
      <c r="D266" s="243" t="str">
        <f t="shared" si="10"/>
        <v>Good</v>
      </c>
      <c r="E266" s="176" t="s">
        <v>71</v>
      </c>
      <c r="F266" s="43" t="s">
        <v>528</v>
      </c>
      <c r="G266" s="43" t="str">
        <f t="shared" si="11"/>
        <v>First NDC updated</v>
      </c>
      <c r="H266" s="43" t="s">
        <v>691</v>
      </c>
      <c r="I266" s="351">
        <v>44189</v>
      </c>
      <c r="J266" s="352" t="s">
        <v>505</v>
      </c>
      <c r="K266" s="320" t="str" cm="1">
        <f t="array" ref="K266">IF(ISNUMBER(MATCH("Transport sector mitigation target", _xlfn._xlws.FILTER(Targets!H:H, Targets!A:A =A266), 0)), "yes", "no")</f>
        <v>no</v>
      </c>
      <c r="L266" s="43" t="str">
        <f>IF(K266="no", "No transport target", IF(AND(COUNTIFS(Targets!A:A, A266, Targets!H:H, "Transport sector mitigation target", Targets!J:J, "GHG") &gt; 0, COUNTIFS(Targets!A:A, A266, Targets!H:H, "Transport sector mitigation target", Targets!J:J, "Non GHG") &gt; 0), "GHG and non-GHG target", IF(COUNTIFS(Targets!A:A, A266, Targets!H:H, "Transport sector mitigation target", Targets!J:J, "GHG") &gt; 0, "GHG target", IF(COUNTIFS(Targets!A:A, A266, Targets!H:H, "Transport sector mitigation target", Targets!J:J, "Non GHG") &gt; 0, "non-GHG target", ""))))</f>
        <v>No transport target</v>
      </c>
      <c r="M266" s="43" t="str">
        <f>IF(K266="no","No transport target",IF(L266="non-GHG target","No GHG transport target",IF(AND(COUNTIFS(Targets!A:A,A266,Targets!H:H,"Transport sector mitigation target",Targets!J:J,"GHG",Targets!L:L,"Conditional")&gt;0,COUNTIFS(Targets!A:A,A266,Targets!H:H,"Transport sector mitigation target",Targets!J:J,"GHG",Targets!L:L,"Unconditional")&gt;0),"GHG unconditional and conditional",IF(COUNTIFS(Targets!A:A,A266,Targets!H:H,"Transport sector mitigation target",Targets!J:J,"GHG",Targets!L:L,"Conditional")&gt;0,"GHG conditional only",IF(COUNTIFS(Targets!A:A,A266,Targets!H:H,"Transport sector mitigation target",Targets!J:J,"GHG",Targets!L:L,"Unconditional")&gt;0,"GHG unconditional only",IF(COUNTIFS(Targets!A:A,A266,Targets!H:H,"Transport sector mitigation target",Targets!J:J,"GHG",Targets!L:L,"Unclear conditionality")&gt;0,"Conditionality unclear",""))))))</f>
        <v>No transport target</v>
      </c>
      <c r="N266" s="43" t="str" cm="1">
        <f t="array" ref="N266">IF(ISNUMBER(MATCH("Transport sector adaptation target", _xlfn._xlws.FILTER(Targets!H:H, Targets!A:A =A266), 0)), "yes", "no")</f>
        <v>no</v>
      </c>
      <c r="O266" s="43" t="str">
        <f>IF(ISNA(MATCH(A266, Mitigation!A:A, 0)), "no", "yes")</f>
        <v>yes</v>
      </c>
      <c r="P266" s="43" t="str">
        <f>IF(ISNA(MATCH(A266, Adaptation!A:A, 0)), "no", "yes")</f>
        <v>yes</v>
      </c>
      <c r="Q266" s="43" t="str">
        <f>IF(ISNA(MATCH(A266, Benefits!A:A, 0)), "no", "yes")</f>
        <v>yes</v>
      </c>
      <c r="R266" s="43"/>
      <c r="S266" s="43"/>
      <c r="T266" s="43" t="s">
        <v>501</v>
      </c>
      <c r="U266" s="312" t="s">
        <v>786</v>
      </c>
      <c r="V266" s="233" t="str">
        <f>VLOOKUP(Table1[[#This Row],[Country Code]],Table29[],3,FALSE)</f>
        <v>Non-Annex I</v>
      </c>
      <c r="W266" s="233" t="str">
        <f>VLOOKUP(Table1[[#This Row],[Country Code]],Table29[],4,FALSE)</f>
        <v>Latin America and the Caribbean</v>
      </c>
      <c r="X266" s="233" t="str">
        <f>VLOOKUP(Table1[[#This Row],[Country Code]],Table29[],5,FALSE)</f>
        <v>Middle-income</v>
      </c>
      <c r="Y266" s="43"/>
      <c r="Z266" s="43"/>
    </row>
    <row r="267" spans="1:26" ht="15" customHeight="1" x14ac:dyDescent="0.25">
      <c r="A267" s="360">
        <v>17632</v>
      </c>
      <c r="B267" s="43" t="s">
        <v>251</v>
      </c>
      <c r="C267" s="243" t="str">
        <f>VLOOKUP(Table1[[#This Row],[Country Code]],Table29[],2,FALSE)</f>
        <v>Kenya</v>
      </c>
      <c r="D267" s="243" t="str">
        <f t="shared" si="10"/>
        <v>Good</v>
      </c>
      <c r="E267" s="176" t="s">
        <v>71</v>
      </c>
      <c r="F267" s="43" t="s">
        <v>528</v>
      </c>
      <c r="G267" s="43" t="str">
        <f t="shared" si="11"/>
        <v>First NDC updated</v>
      </c>
      <c r="H267" s="43" t="s">
        <v>691</v>
      </c>
      <c r="I267" s="351">
        <v>44193</v>
      </c>
      <c r="J267" s="352" t="s">
        <v>505</v>
      </c>
      <c r="K267" s="320" t="str" cm="1">
        <f t="array" ref="K267">IF(ISNUMBER(MATCH("Transport sector mitigation target", _xlfn._xlws.FILTER(Targets!H:H, Targets!A:A =A267), 0)), "yes", "no")</f>
        <v>no</v>
      </c>
      <c r="L267" s="43" t="str">
        <f>IF(K267="no", "No transport target", IF(AND(COUNTIFS(Targets!A:A, A267, Targets!H:H, "Transport sector mitigation target", Targets!J:J, "GHG") &gt; 0, COUNTIFS(Targets!A:A, A267, Targets!H:H, "Transport sector mitigation target", Targets!J:J, "Non GHG") &gt; 0), "GHG and non-GHG target", IF(COUNTIFS(Targets!A:A, A267, Targets!H:H, "Transport sector mitigation target", Targets!J:J, "GHG") &gt; 0, "GHG target", IF(COUNTIFS(Targets!A:A, A267, Targets!H:H, "Transport sector mitigation target", Targets!J:J, "Non GHG") &gt; 0, "non-GHG target", ""))))</f>
        <v>No transport target</v>
      </c>
      <c r="M267" s="43" t="str">
        <f>IF(K267="no","No transport target",IF(L267="non-GHG target","No GHG transport target",IF(AND(COUNTIFS(Targets!A:A,A267,Targets!H:H,"Transport sector mitigation target",Targets!J:J,"GHG",Targets!L:L,"Conditional")&gt;0,COUNTIFS(Targets!A:A,A267,Targets!H:H,"Transport sector mitigation target",Targets!J:J,"GHG",Targets!L:L,"Unconditional")&gt;0),"GHG unconditional and conditional",IF(COUNTIFS(Targets!A:A,A267,Targets!H:H,"Transport sector mitigation target",Targets!J:J,"GHG",Targets!L:L,"Conditional")&gt;0,"GHG conditional only",IF(COUNTIFS(Targets!A:A,A267,Targets!H:H,"Transport sector mitigation target",Targets!J:J,"GHG",Targets!L:L,"Unconditional")&gt;0,"GHG unconditional only",IF(COUNTIFS(Targets!A:A,A267,Targets!H:H,"Transport sector mitigation target",Targets!J:J,"GHG",Targets!L:L,"Unclear conditionality")&gt;0,"Conditionality unclear",""))))))</f>
        <v>No transport target</v>
      </c>
      <c r="N267" s="43" t="str" cm="1">
        <f t="array" ref="N267">IF(ISNUMBER(MATCH("Transport sector adaptation target", _xlfn._xlws.FILTER(Targets!H:H, Targets!A:A =A267), 0)), "yes", "no")</f>
        <v>yes</v>
      </c>
      <c r="O267" s="43" t="str">
        <f>IF(ISNA(MATCH(A267, Mitigation!A:A, 0)), "no", "yes")</f>
        <v>yes</v>
      </c>
      <c r="P267" s="43" t="str">
        <f>IF(ISNA(MATCH(A267, Adaptation!A:A, 0)), "no", "yes")</f>
        <v>yes</v>
      </c>
      <c r="Q267" s="43" t="str">
        <f>IF(ISNA(MATCH(A267, Benefits!A:A, 0)), "no", "yes")</f>
        <v>no</v>
      </c>
      <c r="R267" s="43"/>
      <c r="S267" s="43"/>
      <c r="T267" s="43" t="s">
        <v>501</v>
      </c>
      <c r="U267" s="312" t="s">
        <v>787</v>
      </c>
      <c r="V267" s="233" t="str">
        <f>VLOOKUP(Table1[[#This Row],[Country Code]],Table29[],3,FALSE)</f>
        <v>Non-Annex I</v>
      </c>
      <c r="W267" s="233" t="str">
        <f>VLOOKUP(Table1[[#This Row],[Country Code]],Table29[],4,FALSE)</f>
        <v>Africa</v>
      </c>
      <c r="X267" s="233" t="str">
        <f>VLOOKUP(Table1[[#This Row],[Country Code]],Table29[],5,FALSE)</f>
        <v>Middle-income</v>
      </c>
      <c r="Y267" s="43"/>
      <c r="Z267" s="43"/>
    </row>
    <row r="268" spans="1:26" ht="15" customHeight="1" x14ac:dyDescent="0.25">
      <c r="A268" s="360">
        <v>23369</v>
      </c>
      <c r="B268" s="42" t="s">
        <v>117</v>
      </c>
      <c r="C268" s="243" t="str">
        <f>VLOOKUP(Table1[[#This Row],[Country Code]],Table29[],2,FALSE)</f>
        <v>Burkina Faso</v>
      </c>
      <c r="D268" s="243" t="str">
        <f t="shared" si="10"/>
        <v>Good</v>
      </c>
      <c r="E268" s="176" t="s">
        <v>71</v>
      </c>
      <c r="F268" s="43" t="s">
        <v>528</v>
      </c>
      <c r="G268" s="43" t="str">
        <f t="shared" si="11"/>
        <v>First NDC updated</v>
      </c>
      <c r="H268" s="43" t="s">
        <v>691</v>
      </c>
      <c r="I268" s="351">
        <v>44478</v>
      </c>
      <c r="J268" s="352" t="s">
        <v>505</v>
      </c>
      <c r="K268" s="320" t="str" cm="1">
        <f t="array" ref="K268">IF(ISNUMBER(MATCH("Transport sector mitigation target", _xlfn._xlws.FILTER(Targets!H:H, Targets!A:A =A268), 0)), "yes", "no")</f>
        <v>yes</v>
      </c>
      <c r="L268" s="43" t="str">
        <f>IF(K268="no", "No transport target", IF(AND(COUNTIFS(Targets!A:A, A268, Targets!H:H, "Transport sector mitigation target", Targets!J:J, "GHG") &gt; 0, COUNTIFS(Targets!A:A, A268, Targets!H:H, "Transport sector mitigation target", Targets!J:J, "Non GHG") &gt; 0), "GHG and non-GHG target", IF(COUNTIFS(Targets!A:A, A268, Targets!H:H, "Transport sector mitigation target", Targets!J:J, "GHG") &gt; 0, "GHG target", IF(COUNTIFS(Targets!A:A, A268, Targets!H:H, "Transport sector mitigation target", Targets!J:J, "Non GHG") &gt; 0, "non-GHG target", ""))))</f>
        <v>GHG target</v>
      </c>
      <c r="M268" s="43" t="str">
        <f>IF(K268="no","No transport target",IF(L268="non-GHG target","No GHG transport target",IF(AND(COUNTIFS(Targets!A:A,A268,Targets!H:H,"Transport sector mitigation target",Targets!J:J,"GHG",Targets!L:L,"Conditional")&gt;0,COUNTIFS(Targets!A:A,A268,Targets!H:H,"Transport sector mitigation target",Targets!J:J,"GHG",Targets!L:L,"Unconditional")&gt;0),"GHG unconditional and conditional",IF(COUNTIFS(Targets!A:A,A268,Targets!H:H,"Transport sector mitigation target",Targets!J:J,"GHG",Targets!L:L,"Conditional")&gt;0,"GHG conditional only",IF(COUNTIFS(Targets!A:A,A268,Targets!H:H,"Transport sector mitigation target",Targets!J:J,"GHG",Targets!L:L,"Unconditional")&gt;0,"GHG unconditional only",IF(COUNTIFS(Targets!A:A,A268,Targets!H:H,"Transport sector mitigation target",Targets!J:J,"GHG",Targets!L:L,"Unclear conditionality")&gt;0,"Conditionality unclear",""))))))</f>
        <v>GHG unconditional and conditional</v>
      </c>
      <c r="N268" s="43" t="str" cm="1">
        <f t="array" ref="N268">IF(ISNUMBER(MATCH("Transport sector adaptation target", _xlfn._xlws.FILTER(Targets!H:H, Targets!A:A =A268), 0)), "yes", "no")</f>
        <v>no</v>
      </c>
      <c r="O268" s="43" t="str">
        <f>IF(ISNA(MATCH(A268, Mitigation!A:A, 0)), "no", "yes")</f>
        <v>yes</v>
      </c>
      <c r="P268" s="43" t="str">
        <f>IF(ISNA(MATCH(A268, Adaptation!A:A, 0)), "no", "yes")</f>
        <v>yes</v>
      </c>
      <c r="Q268" s="43" t="str">
        <f>IF(ISNA(MATCH(A268, Benefits!A:A, 0)), "no", "yes")</f>
        <v>yes</v>
      </c>
      <c r="R268" s="43"/>
      <c r="S268" s="43"/>
      <c r="T268" s="43" t="s">
        <v>501</v>
      </c>
      <c r="U268" s="312" t="s">
        <v>788</v>
      </c>
      <c r="V268" s="233" t="str">
        <f>VLOOKUP(Table1[[#This Row],[Country Code]],Table29[],3,FALSE)</f>
        <v>Non-Annex I</v>
      </c>
      <c r="W268" s="233" t="str">
        <f>VLOOKUP(Table1[[#This Row],[Country Code]],Table29[],4,FALSE)</f>
        <v>Africa</v>
      </c>
      <c r="X268" s="233" t="str">
        <f>VLOOKUP(Table1[[#This Row],[Country Code]],Table29[],5,FALSE)</f>
        <v>Low-income</v>
      </c>
      <c r="Y268" s="43"/>
      <c r="Z268" s="43"/>
    </row>
    <row r="269" spans="1:26" ht="15" customHeight="1" x14ac:dyDescent="0.25">
      <c r="A269" s="360">
        <v>17652</v>
      </c>
      <c r="B269" s="43" t="s">
        <v>286</v>
      </c>
      <c r="C269" s="243" t="str">
        <f>VLOOKUP(Table1[[#This Row],[Country Code]],Table29[],2,FALSE)</f>
        <v>Maldives</v>
      </c>
      <c r="D269" s="243" t="str">
        <f t="shared" si="10"/>
        <v>Good</v>
      </c>
      <c r="E269" s="176" t="s">
        <v>71</v>
      </c>
      <c r="F269" s="43" t="s">
        <v>528</v>
      </c>
      <c r="G269" s="43" t="str">
        <f t="shared" si="11"/>
        <v>First NDC updated</v>
      </c>
      <c r="H269" s="43" t="s">
        <v>691</v>
      </c>
      <c r="I269" s="351">
        <v>44193</v>
      </c>
      <c r="J269" s="352" t="s">
        <v>500</v>
      </c>
      <c r="K269" s="320" t="str" cm="1">
        <f t="array" ref="K269">IF(ISNUMBER(MATCH("Transport sector mitigation target", _xlfn._xlws.FILTER(Targets!H:H, Targets!A:A =A269), 0)), "yes", "no")</f>
        <v>no</v>
      </c>
      <c r="L269" s="43" t="str">
        <f>IF(K269="no", "No transport target", IF(AND(COUNTIFS(Targets!A:A, A269, Targets!H:H, "Transport sector mitigation target", Targets!J:J, "GHG") &gt; 0, COUNTIFS(Targets!A:A, A269, Targets!H:H, "Transport sector mitigation target", Targets!J:J, "Non GHG") &gt; 0), "GHG and non-GHG target", IF(COUNTIFS(Targets!A:A, A269, Targets!H:H, "Transport sector mitigation target", Targets!J:J, "GHG") &gt; 0, "GHG target", IF(COUNTIFS(Targets!A:A, A269, Targets!H:H, "Transport sector mitigation target", Targets!J:J, "Non GHG") &gt; 0, "non-GHG target", ""))))</f>
        <v>No transport target</v>
      </c>
      <c r="M269" s="43" t="str">
        <f>IF(K269="no","No transport target",IF(L269="non-GHG target","No GHG transport target",IF(AND(COUNTIFS(Targets!A:A,A269,Targets!H:H,"Transport sector mitigation target",Targets!J:J,"GHG",Targets!L:L,"Conditional")&gt;0,COUNTIFS(Targets!A:A,A269,Targets!H:H,"Transport sector mitigation target",Targets!J:J,"GHG",Targets!L:L,"Unconditional")&gt;0),"GHG unconditional and conditional",IF(COUNTIFS(Targets!A:A,A269,Targets!H:H,"Transport sector mitigation target",Targets!J:J,"GHG",Targets!L:L,"Conditional")&gt;0,"GHG conditional only",IF(COUNTIFS(Targets!A:A,A269,Targets!H:H,"Transport sector mitigation target",Targets!J:J,"GHG",Targets!L:L,"Unconditional")&gt;0,"GHG unconditional only",IF(COUNTIFS(Targets!A:A,A269,Targets!H:H,"Transport sector mitigation target",Targets!J:J,"GHG",Targets!L:L,"Unclear conditionality")&gt;0,"Conditionality unclear",""))))))</f>
        <v>No transport target</v>
      </c>
      <c r="N269" s="43" t="str" cm="1">
        <f t="array" ref="N269">IF(ISNUMBER(MATCH("Transport sector adaptation target", _xlfn._xlws.FILTER(Targets!H:H, Targets!A:A =A269), 0)), "yes", "no")</f>
        <v>no</v>
      </c>
      <c r="O269" s="43" t="str">
        <f>IF(ISNA(MATCH(A269, Mitigation!A:A, 0)), "no", "yes")</f>
        <v>yes</v>
      </c>
      <c r="P269" s="43" t="str">
        <f>IF(ISNA(MATCH(A269, Adaptation!A:A, 0)), "no", "yes")</f>
        <v>yes</v>
      </c>
      <c r="Q269" s="43" t="str">
        <f>IF(ISNA(MATCH(A269, Benefits!A:A, 0)), "no", "yes")</f>
        <v>no</v>
      </c>
      <c r="R269" s="43"/>
      <c r="S269" s="43"/>
      <c r="T269" s="43" t="s">
        <v>501</v>
      </c>
      <c r="U269" s="312" t="s">
        <v>789</v>
      </c>
      <c r="V269" s="233" t="str">
        <f>VLOOKUP(Table1[[#This Row],[Country Code]],Table29[],3,FALSE)</f>
        <v>Non-Annex I</v>
      </c>
      <c r="W269" s="233" t="str">
        <f>VLOOKUP(Table1[[#This Row],[Country Code]],Table29[],4,FALSE)</f>
        <v>Asia</v>
      </c>
      <c r="X269" s="233" t="str">
        <f>VLOOKUP(Table1[[#This Row],[Country Code]],Table29[],5,FALSE)</f>
        <v>Middle-income</v>
      </c>
      <c r="Y269" s="43"/>
      <c r="Z269" s="43"/>
    </row>
    <row r="270" spans="1:26" ht="15" customHeight="1" x14ac:dyDescent="0.25">
      <c r="A270" s="360">
        <v>17694</v>
      </c>
      <c r="B270" s="17" t="s">
        <v>344</v>
      </c>
      <c r="C270" s="206" t="str">
        <f>VLOOKUP(Table1[[#This Row],[Country Code]],Table29[],2,FALSE)</f>
        <v>Panama</v>
      </c>
      <c r="D270" s="243" t="str">
        <f t="shared" si="10"/>
        <v>Good</v>
      </c>
      <c r="E270" s="20" t="s">
        <v>71</v>
      </c>
      <c r="F270" s="17" t="s">
        <v>528</v>
      </c>
      <c r="G270" s="43" t="str">
        <f t="shared" si="11"/>
        <v>First NDC updated</v>
      </c>
      <c r="H270" s="17" t="s">
        <v>691</v>
      </c>
      <c r="I270" s="149">
        <v>44193</v>
      </c>
      <c r="J270" s="187" t="s">
        <v>500</v>
      </c>
      <c r="K270" s="49" t="str" cm="1">
        <f t="array" ref="K270">IF(ISNUMBER(MATCH("Transport sector mitigation target", _xlfn._xlws.FILTER(Targets!H:H, Targets!A:A =A270), 0)), "yes", "no")</f>
        <v>yes</v>
      </c>
      <c r="L270" s="17" t="str">
        <f>IF(K270="no", "No transport target", IF(AND(COUNTIFS(Targets!A:A, A270, Targets!H:H, "Transport sector mitigation target", Targets!J:J, "GHG") &gt; 0, COUNTIFS(Targets!A:A, A270, Targets!H:H, "Transport sector mitigation target", Targets!J:J, "Non GHG") &gt; 0), "GHG and non-GHG target", IF(COUNTIFS(Targets!A:A, A270, Targets!H:H, "Transport sector mitigation target", Targets!J:J, "GHG") &gt; 0, "GHG target", IF(COUNTIFS(Targets!A:A, A270, Targets!H:H, "Transport sector mitigation target", Targets!J:J, "Non GHG") &gt; 0, "non-GHG target", ""))))</f>
        <v>non-GHG target</v>
      </c>
      <c r="M270" s="17" t="str">
        <f>IF(K270="no","No transport target",IF(L270="non-GHG target","No GHG transport target",IF(AND(COUNTIFS(Targets!A:A,A270,Targets!H:H,"Transport sector mitigation target",Targets!J:J,"GHG",Targets!L:L,"Conditional")&gt;0,COUNTIFS(Targets!A:A,A270,Targets!H:H,"Transport sector mitigation target",Targets!J:J,"GHG",Targets!L:L,"Unconditional")&gt;0),"GHG unconditional and conditional",IF(COUNTIFS(Targets!A:A,A270,Targets!H:H,"Transport sector mitigation target",Targets!J:J,"GHG",Targets!L:L,"Conditional")&gt;0,"GHG conditional only",IF(COUNTIFS(Targets!A:A,A270,Targets!H:H,"Transport sector mitigation target",Targets!J:J,"GHG",Targets!L:L,"Unconditional")&gt;0,"GHG unconditional only",IF(COUNTIFS(Targets!A:A,A270,Targets!H:H,"Transport sector mitigation target",Targets!J:J,"GHG",Targets!L:L,"Unclear conditionality")&gt;0,"Conditionality unclear",""))))))</f>
        <v>No GHG transport target</v>
      </c>
      <c r="N270" s="17" t="str" cm="1">
        <f t="array" ref="N270">IF(ISNUMBER(MATCH("Transport sector adaptation target", _xlfn._xlws.FILTER(Targets!H:H, Targets!A:A =A270), 0)), "yes", "no")</f>
        <v>no</v>
      </c>
      <c r="O270" s="17" t="str">
        <f>IF(ISNA(MATCH(A270, Mitigation!A:A, 0)), "no", "yes")</f>
        <v>yes</v>
      </c>
      <c r="P270" s="17" t="str">
        <f>IF(ISNA(MATCH(A270, Adaptation!A:A, 0)), "no", "yes")</f>
        <v>no</v>
      </c>
      <c r="Q270" s="17" t="str">
        <f>IF(ISNA(MATCH(A270, Benefits!A:A, 0)), "no", "yes")</f>
        <v>no</v>
      </c>
      <c r="R270" s="17"/>
      <c r="S270" s="17"/>
      <c r="T270" s="17" t="s">
        <v>501</v>
      </c>
      <c r="U270" s="135" t="s">
        <v>790</v>
      </c>
      <c r="V270" s="207" t="str">
        <f>VLOOKUP(Table1[[#This Row],[Country Code]],Table29[],3,FALSE)</f>
        <v>Non-Annex I</v>
      </c>
      <c r="W270" s="207" t="str">
        <f>VLOOKUP(Table1[[#This Row],[Country Code]],Table29[],4,FALSE)</f>
        <v>Latin America and the Caribbean</v>
      </c>
      <c r="X270" s="207" t="str">
        <f>VLOOKUP(Table1[[#This Row],[Country Code]],Table29[],5,FALSE)</f>
        <v>Middle-income</v>
      </c>
      <c r="Y270" s="17"/>
      <c r="Z270" s="17"/>
    </row>
    <row r="271" spans="1:26" ht="15" customHeight="1" x14ac:dyDescent="0.25">
      <c r="A271" s="360">
        <v>17546</v>
      </c>
      <c r="B271" s="43" t="s">
        <v>121</v>
      </c>
      <c r="C271" s="243" t="str">
        <f>VLOOKUP(Table1[[#This Row],[Country Code]],Table29[],2,FALSE)</f>
        <v>Cabo Verde</v>
      </c>
      <c r="D271" s="243" t="str">
        <f t="shared" si="10"/>
        <v>Good</v>
      </c>
      <c r="E271" s="176" t="s">
        <v>71</v>
      </c>
      <c r="F271" s="43" t="s">
        <v>528</v>
      </c>
      <c r="G271" s="43" t="str">
        <f t="shared" si="11"/>
        <v>First NDC updated</v>
      </c>
      <c r="H271" s="43" t="s">
        <v>691</v>
      </c>
      <c r="I271" s="351">
        <v>44231</v>
      </c>
      <c r="J271" s="352" t="s">
        <v>505</v>
      </c>
      <c r="K271" s="320" t="str" cm="1">
        <f t="array" ref="K271">IF(ISNUMBER(MATCH("Transport sector mitigation target", _xlfn._xlws.FILTER(Targets!H:H, Targets!A:A =A271), 0)), "yes", "no")</f>
        <v>yes</v>
      </c>
      <c r="L271" s="43" t="str">
        <f>IF(K271="no", "No transport target", IF(AND(COUNTIFS(Targets!A:A, A271, Targets!H:H, "Transport sector mitigation target", Targets!J:J, "GHG") &gt; 0, COUNTIFS(Targets!A:A, A271, Targets!H:H, "Transport sector mitigation target", Targets!J:J, "Non GHG") &gt; 0), "GHG and non-GHG target", IF(COUNTIFS(Targets!A:A, A271, Targets!H:H, "Transport sector mitigation target", Targets!J:J, "GHG") &gt; 0, "GHG target", IF(COUNTIFS(Targets!A:A, A271, Targets!H:H, "Transport sector mitigation target", Targets!J:J, "Non GHG") &gt; 0, "non-GHG target", ""))))</f>
        <v>non-GHG target</v>
      </c>
      <c r="M271" s="43" t="str">
        <f>IF(K271="no","No transport target",IF(L271="non-GHG target","No GHG transport target",IF(AND(COUNTIFS(Targets!A:A,A271,Targets!H:H,"Transport sector mitigation target",Targets!J:J,"GHG",Targets!L:L,"Conditional")&gt;0,COUNTIFS(Targets!A:A,A271,Targets!H:H,"Transport sector mitigation target",Targets!J:J,"GHG",Targets!L:L,"Unconditional")&gt;0),"GHG unconditional and conditional",IF(COUNTIFS(Targets!A:A,A271,Targets!H:H,"Transport sector mitigation target",Targets!J:J,"GHG",Targets!L:L,"Conditional")&gt;0,"GHG conditional only",IF(COUNTIFS(Targets!A:A,A271,Targets!H:H,"Transport sector mitigation target",Targets!J:J,"GHG",Targets!L:L,"Unconditional")&gt;0,"GHG unconditional only",IF(COUNTIFS(Targets!A:A,A271,Targets!H:H,"Transport sector mitigation target",Targets!J:J,"GHG",Targets!L:L,"Unclear conditionality")&gt;0,"Conditionality unclear",""))))))</f>
        <v>No GHG transport target</v>
      </c>
      <c r="N271" s="43" t="str" cm="1">
        <f t="array" ref="N271">IF(ISNUMBER(MATCH("Transport sector adaptation target", _xlfn._xlws.FILTER(Targets!H:H, Targets!A:A =A271), 0)), "yes", "no")</f>
        <v>no</v>
      </c>
      <c r="O271" s="43" t="str">
        <f>IF(ISNA(MATCH(A271, Mitigation!A:A, 0)), "no", "yes")</f>
        <v>yes</v>
      </c>
      <c r="P271" s="43" t="str">
        <f>IF(ISNA(MATCH(A271, Adaptation!A:A, 0)), "no", "yes")</f>
        <v>no</v>
      </c>
      <c r="Q271" s="43" t="str">
        <f>IF(ISNA(MATCH(A271, Benefits!A:A, 0)), "no", "yes")</f>
        <v>no</v>
      </c>
      <c r="R271" s="43"/>
      <c r="S271" s="43"/>
      <c r="T271" s="43" t="s">
        <v>501</v>
      </c>
      <c r="U271" s="312" t="s">
        <v>791</v>
      </c>
      <c r="V271" s="233" t="str">
        <f>VLOOKUP(Table1[[#This Row],[Country Code]],Table29[],3,FALSE)</f>
        <v>Non-Annex I</v>
      </c>
      <c r="W271" s="233" t="str">
        <f>VLOOKUP(Table1[[#This Row],[Country Code]],Table29[],4,FALSE)</f>
        <v>Africa</v>
      </c>
      <c r="X271" s="233" t="str">
        <f>VLOOKUP(Table1[[#This Row],[Country Code]],Table29[],5,FALSE)</f>
        <v>Middle-income</v>
      </c>
      <c r="Y271" s="43"/>
      <c r="Z271" s="43"/>
    </row>
    <row r="272" spans="1:26" ht="15" customHeight="1" x14ac:dyDescent="0.25">
      <c r="A272" s="360">
        <v>17580</v>
      </c>
      <c r="B272" s="43" t="s">
        <v>171</v>
      </c>
      <c r="C272" s="243" t="str">
        <f>VLOOKUP(Table1[[#This Row],[Country Code]],Table29[],2,FALSE)</f>
        <v>Dominican Republic</v>
      </c>
      <c r="D272" s="243" t="str">
        <f t="shared" si="10"/>
        <v>Good</v>
      </c>
      <c r="E272" s="176" t="s">
        <v>71</v>
      </c>
      <c r="F272" s="43" t="s">
        <v>528</v>
      </c>
      <c r="G272" s="43" t="str">
        <f t="shared" si="11"/>
        <v>First NDC updated</v>
      </c>
      <c r="H272" s="43" t="s">
        <v>691</v>
      </c>
      <c r="I272" s="351">
        <v>44194</v>
      </c>
      <c r="J272" s="352" t="s">
        <v>505</v>
      </c>
      <c r="K272" s="320" t="str" cm="1">
        <f t="array" ref="K272">IF(ISNUMBER(MATCH("Transport sector mitigation target", _xlfn._xlws.FILTER(Targets!H:H, Targets!A:A =A272), 0)), "yes", "no")</f>
        <v>no</v>
      </c>
      <c r="L272" s="43" t="str">
        <f>IF(K272="no", "No transport target", IF(AND(COUNTIFS(Targets!A:A, A272, Targets!H:H, "Transport sector mitigation target", Targets!J:J, "GHG") &gt; 0, COUNTIFS(Targets!A:A, A272, Targets!H:H, "Transport sector mitigation target", Targets!J:J, "Non GHG") &gt; 0), "GHG and non-GHG target", IF(COUNTIFS(Targets!A:A, A272, Targets!H:H, "Transport sector mitigation target", Targets!J:J, "GHG") &gt; 0, "GHG target", IF(COUNTIFS(Targets!A:A, A272, Targets!H:H, "Transport sector mitigation target", Targets!J:J, "Non GHG") &gt; 0, "non-GHG target", ""))))</f>
        <v>No transport target</v>
      </c>
      <c r="M272" s="43" t="str">
        <f>IF(K272="no","No transport target",IF(L272="non-GHG target","No GHG transport target",IF(AND(COUNTIFS(Targets!A:A,A272,Targets!H:H,"Transport sector mitigation target",Targets!J:J,"GHG",Targets!L:L,"Conditional")&gt;0,COUNTIFS(Targets!A:A,A272,Targets!H:H,"Transport sector mitigation target",Targets!J:J,"GHG",Targets!L:L,"Unconditional")&gt;0),"GHG unconditional and conditional",IF(COUNTIFS(Targets!A:A,A272,Targets!H:H,"Transport sector mitigation target",Targets!J:J,"GHG",Targets!L:L,"Conditional")&gt;0,"GHG conditional only",IF(COUNTIFS(Targets!A:A,A272,Targets!H:H,"Transport sector mitigation target",Targets!J:J,"GHG",Targets!L:L,"Unconditional")&gt;0,"GHG unconditional only",IF(COUNTIFS(Targets!A:A,A272,Targets!H:H,"Transport sector mitigation target",Targets!J:J,"GHG",Targets!L:L,"Unclear conditionality")&gt;0,"Conditionality unclear",""))))))</f>
        <v>No transport target</v>
      </c>
      <c r="N272" s="43" t="str" cm="1">
        <f t="array" ref="N272">IF(ISNUMBER(MATCH("Transport sector adaptation target", _xlfn._xlws.FILTER(Targets!H:H, Targets!A:A =A272), 0)), "yes", "no")</f>
        <v>no</v>
      </c>
      <c r="O272" s="43" t="str">
        <f>IF(ISNA(MATCH(A272, Mitigation!A:A, 0)), "no", "yes")</f>
        <v>yes</v>
      </c>
      <c r="P272" s="43" t="str">
        <f>IF(ISNA(MATCH(A272, Adaptation!A:A, 0)), "no", "yes")</f>
        <v>yes</v>
      </c>
      <c r="Q272" s="43" t="str">
        <f>IF(ISNA(MATCH(A272, Benefits!A:A, 0)), "no", "yes")</f>
        <v>yes</v>
      </c>
      <c r="R272" s="43"/>
      <c r="S272" s="43"/>
      <c r="T272" s="43" t="s">
        <v>501</v>
      </c>
      <c r="U272" s="312" t="s">
        <v>792</v>
      </c>
      <c r="V272" s="233" t="str">
        <f>VLOOKUP(Table1[[#This Row],[Country Code]],Table29[],3,FALSE)</f>
        <v>Non-Annex I</v>
      </c>
      <c r="W272" s="233" t="str">
        <f>VLOOKUP(Table1[[#This Row],[Country Code]],Table29[],4,FALSE)</f>
        <v>Latin America and the Caribbean</v>
      </c>
      <c r="X272" s="233" t="str">
        <f>VLOOKUP(Table1[[#This Row],[Country Code]],Table29[],5,FALSE)</f>
        <v>Middle-income</v>
      </c>
      <c r="Y272" s="43"/>
      <c r="Z272" s="43"/>
    </row>
    <row r="273" spans="1:26" ht="15" customHeight="1" x14ac:dyDescent="0.25">
      <c r="A273" s="405">
        <v>17726</v>
      </c>
      <c r="B273" s="20" t="s">
        <v>386</v>
      </c>
      <c r="C273" s="206" t="str">
        <f>VLOOKUP(Table1[[#This Row],[Country Code]],Table29[],2,FALSE)</f>
        <v>Senegal</v>
      </c>
      <c r="D273" s="243" t="str">
        <f t="shared" si="10"/>
        <v>Good</v>
      </c>
      <c r="E273" s="20" t="s">
        <v>71</v>
      </c>
      <c r="F273" s="17" t="s">
        <v>498</v>
      </c>
      <c r="G273" s="43" t="str">
        <f t="shared" si="11"/>
        <v>First NDC</v>
      </c>
      <c r="H273" s="17" t="s">
        <v>499</v>
      </c>
      <c r="I273" s="149">
        <v>44194</v>
      </c>
      <c r="J273" s="49" t="s">
        <v>500</v>
      </c>
      <c r="K273" s="49" t="str" cm="1">
        <f t="array" ref="K273">IF(ISNUMBER(MATCH("Transport sector mitigation target", _xlfn._xlws.FILTER(Targets!H:H, Targets!A:A =A273), 0)), "yes", "no")</f>
        <v>no</v>
      </c>
      <c r="L273" s="17" t="str">
        <f>IF(K273="no", "No transport target", IF(AND(COUNTIFS(Targets!A:A, A273, Targets!H:H, "Transport sector mitigation target", Targets!J:J, "GHG") &gt; 0, COUNTIFS(Targets!A:A, A273, Targets!H:H, "Transport sector mitigation target", Targets!J:J, "Non GHG") &gt; 0), "GHG and non-GHG target", IF(COUNTIFS(Targets!A:A, A273, Targets!H:H, "Transport sector mitigation target", Targets!J:J, "GHG") &gt; 0, "GHG target", IF(COUNTIFS(Targets!A:A, A273, Targets!H:H, "Transport sector mitigation target", Targets!J:J, "Non GHG") &gt; 0, "non-GHG target", ""))))</f>
        <v>No transport target</v>
      </c>
      <c r="M273" s="17" t="str">
        <f>IF(K273="no","No transport target",IF(L273="non-GHG target","No GHG transport target",IF(AND(COUNTIFS(Targets!A:A,A273,Targets!H:H,"Transport sector mitigation target",Targets!J:J,"GHG",Targets!L:L,"Conditional")&gt;0,COUNTIFS(Targets!A:A,A273,Targets!H:H,"Transport sector mitigation target",Targets!J:J,"GHG",Targets!L:L,"Unconditional")&gt;0),"GHG unconditional and conditional",IF(COUNTIFS(Targets!A:A,A273,Targets!H:H,"Transport sector mitigation target",Targets!J:J,"GHG",Targets!L:L,"Conditional")&gt;0,"GHG conditional only",IF(COUNTIFS(Targets!A:A,A273,Targets!H:H,"Transport sector mitigation target",Targets!J:J,"GHG",Targets!L:L,"Unconditional")&gt;0,"GHG unconditional only",IF(COUNTIFS(Targets!A:A,A273,Targets!H:H,"Transport sector mitigation target",Targets!J:J,"GHG",Targets!L:L,"Unclear conditionality")&gt;0,"Conditionality unclear",""))))))</f>
        <v>No transport target</v>
      </c>
      <c r="N273" s="17" t="str" cm="1">
        <f t="array" ref="N273">IF(ISNUMBER(MATCH("Transport sector adaptation target", _xlfn._xlws.FILTER(Targets!H:H, Targets!A:A =A273), 0)), "yes", "no")</f>
        <v>no</v>
      </c>
      <c r="O273" s="17" t="str">
        <f>IF(ISNA(MATCH(A273, Mitigation!A:A, 0)), "no", "yes")</f>
        <v>yes</v>
      </c>
      <c r="P273" s="17" t="str">
        <f>IF(ISNA(MATCH(A273, Adaptation!A:A, 0)), "no", "yes")</f>
        <v>no</v>
      </c>
      <c r="Q273" s="17" t="str">
        <f>IF(ISNA(MATCH(A273, Benefits!A:A, 0)), "no", "yes")</f>
        <v>no</v>
      </c>
      <c r="R273" s="17"/>
      <c r="S273" s="17"/>
      <c r="T273" s="17" t="s">
        <v>501</v>
      </c>
      <c r="U273" s="135" t="s">
        <v>793</v>
      </c>
      <c r="V273" s="207" t="str">
        <f>VLOOKUP(Table1[[#This Row],[Country Code]],Table29[],3,FALSE)</f>
        <v>Non-Annex I</v>
      </c>
      <c r="W273" s="207" t="str">
        <f>VLOOKUP(Table1[[#This Row],[Country Code]],Table29[],4,FALSE)</f>
        <v>Africa</v>
      </c>
      <c r="X273" s="207" t="str">
        <f>VLOOKUP(Table1[[#This Row],[Country Code]],Table29[],5,FALSE)</f>
        <v>Middle-income</v>
      </c>
      <c r="Y273" s="17"/>
      <c r="Z273" s="17"/>
    </row>
    <row r="274" spans="1:26" ht="15" customHeight="1" x14ac:dyDescent="0.25">
      <c r="A274" s="405">
        <v>17727</v>
      </c>
      <c r="B274" s="17" t="s">
        <v>386</v>
      </c>
      <c r="C274" s="206" t="str">
        <f>VLOOKUP(Table1[[#This Row],[Country Code]],Table29[],2,FALSE)</f>
        <v>Senegal</v>
      </c>
      <c r="D274" s="243" t="str">
        <f t="shared" si="10"/>
        <v>Good</v>
      </c>
      <c r="E274" s="20" t="s">
        <v>71</v>
      </c>
      <c r="F274" s="17" t="s">
        <v>528</v>
      </c>
      <c r="G274" s="43" t="str">
        <f t="shared" si="11"/>
        <v>First NDC</v>
      </c>
      <c r="H274" s="17" t="s">
        <v>499</v>
      </c>
      <c r="I274" s="149">
        <v>44194</v>
      </c>
      <c r="J274" s="187" t="s">
        <v>505</v>
      </c>
      <c r="K274" s="49" t="str" cm="1">
        <f t="array" ref="K274">IF(ISNUMBER(MATCH("Transport sector mitigation target", _xlfn._xlws.FILTER(Targets!H:H, Targets!A:A =A274), 0)), "yes", "no")</f>
        <v>no</v>
      </c>
      <c r="L274" s="17" t="str">
        <f>IF(K274="no", "No transport target", IF(AND(COUNTIFS(Targets!A:A, A274, Targets!H:H, "Transport sector mitigation target", Targets!J:J, "GHG") &gt; 0, COUNTIFS(Targets!A:A, A274, Targets!H:H, "Transport sector mitigation target", Targets!J:J, "Non GHG") &gt; 0), "GHG and non-GHG target", IF(COUNTIFS(Targets!A:A, A274, Targets!H:H, "Transport sector mitigation target", Targets!J:J, "GHG") &gt; 0, "GHG target", IF(COUNTIFS(Targets!A:A, A274, Targets!H:H, "Transport sector mitigation target", Targets!J:J, "Non GHG") &gt; 0, "non-GHG target", ""))))</f>
        <v>No transport target</v>
      </c>
      <c r="M274" s="17" t="str">
        <f>IF(K274="no","No transport target",IF(L274="non-GHG target","No GHG transport target",IF(AND(COUNTIFS(Targets!A:A,A274,Targets!H:H,"Transport sector mitigation target",Targets!J:J,"GHG",Targets!L:L,"Conditional")&gt;0,COUNTIFS(Targets!A:A,A274,Targets!H:H,"Transport sector mitigation target",Targets!J:J,"GHG",Targets!L:L,"Unconditional")&gt;0),"GHG unconditional and conditional",IF(COUNTIFS(Targets!A:A,A274,Targets!H:H,"Transport sector mitigation target",Targets!J:J,"GHG",Targets!L:L,"Conditional")&gt;0,"GHG conditional only",IF(COUNTIFS(Targets!A:A,A274,Targets!H:H,"Transport sector mitigation target",Targets!J:J,"GHG",Targets!L:L,"Unconditional")&gt;0,"GHG unconditional only",IF(COUNTIFS(Targets!A:A,A274,Targets!H:H,"Transport sector mitigation target",Targets!J:J,"GHG",Targets!L:L,"Unclear conditionality")&gt;0,"Conditionality unclear",""))))))</f>
        <v>No transport target</v>
      </c>
      <c r="N274" s="17" t="str" cm="1">
        <f t="array" ref="N274">IF(ISNUMBER(MATCH("Transport sector adaptation target", _xlfn._xlws.FILTER(Targets!H:H, Targets!A:A =A274), 0)), "yes", "no")</f>
        <v>no</v>
      </c>
      <c r="O274" s="17" t="str">
        <f>IF(ISNA(MATCH(A274, Mitigation!A:A, 0)), "no", "yes")</f>
        <v>yes</v>
      </c>
      <c r="P274" s="17" t="str">
        <f>IF(ISNA(MATCH(A274, Adaptation!A:A, 0)), "no", "yes")</f>
        <v>no</v>
      </c>
      <c r="Q274" s="17" t="str">
        <f>IF(ISNA(MATCH(A274, Benefits!A:A, 0)), "no", "yes")</f>
        <v>no</v>
      </c>
      <c r="R274" s="17"/>
      <c r="S274" s="17"/>
      <c r="T274" s="17" t="s">
        <v>501</v>
      </c>
      <c r="U274" s="135" t="s">
        <v>793</v>
      </c>
      <c r="V274" s="207" t="str">
        <f>VLOOKUP(Table1[[#This Row],[Country Code]],Table29[],3,FALSE)</f>
        <v>Non-Annex I</v>
      </c>
      <c r="W274" s="207" t="str">
        <f>VLOOKUP(Table1[[#This Row],[Country Code]],Table29[],4,FALSE)</f>
        <v>Africa</v>
      </c>
      <c r="X274" s="207" t="str">
        <f>VLOOKUP(Table1[[#This Row],[Country Code]],Table29[],5,FALSE)</f>
        <v>Middle-income</v>
      </c>
      <c r="Y274" s="17"/>
      <c r="Z274" s="17"/>
    </row>
    <row r="275" spans="1:26" ht="15" customHeight="1" x14ac:dyDescent="0.25">
      <c r="A275" s="360">
        <v>17773</v>
      </c>
      <c r="B275" s="43" t="s">
        <v>446</v>
      </c>
      <c r="C275" s="243" t="str">
        <f>VLOOKUP(Table1[[#This Row],[Country Code]],Table29[],2,FALSE)</f>
        <v>United Arab Emirates</v>
      </c>
      <c r="D275" s="243" t="str">
        <f t="shared" si="10"/>
        <v>Good</v>
      </c>
      <c r="E275" s="176" t="s">
        <v>71</v>
      </c>
      <c r="F275" s="43" t="s">
        <v>794</v>
      </c>
      <c r="G275" s="43" t="str">
        <f t="shared" si="11"/>
        <v>Second NDC</v>
      </c>
      <c r="H275" s="43" t="s">
        <v>714</v>
      </c>
      <c r="I275" s="351">
        <v>44194</v>
      </c>
      <c r="J275" s="320" t="s">
        <v>500</v>
      </c>
      <c r="K275" s="320" t="str" cm="1">
        <f t="array" ref="K275">IF(ISNUMBER(MATCH("Transport sector mitigation target", _xlfn._xlws.FILTER(Targets!H:H, Targets!A:A =A275), 0)), "yes", "no")</f>
        <v>yes</v>
      </c>
      <c r="L275" s="43" t="str">
        <f>IF(K275="no", "No transport target", IF(AND(COUNTIFS(Targets!A:A, A275, Targets!H:H, "Transport sector mitigation target", Targets!J:J, "GHG") &gt; 0, COUNTIFS(Targets!A:A, A275, Targets!H:H, "Transport sector mitigation target", Targets!J:J, "Non GHG") &gt; 0), "GHG and non-GHG target", IF(COUNTIFS(Targets!A:A, A275, Targets!H:H, "Transport sector mitigation target", Targets!J:J, "GHG") &gt; 0, "GHG target", IF(COUNTIFS(Targets!A:A, A275, Targets!H:H, "Transport sector mitigation target", Targets!J:J, "Non GHG") &gt; 0, "non-GHG target", ""))))</f>
        <v>non-GHG target</v>
      </c>
      <c r="M275" s="43" t="str">
        <f>IF(K275="no","No transport target",IF(L275="non-GHG target","No GHG transport target",IF(AND(COUNTIFS(Targets!A:A,A275,Targets!H:H,"Transport sector mitigation target",Targets!J:J,"GHG",Targets!L:L,"Conditional")&gt;0,COUNTIFS(Targets!A:A,A275,Targets!H:H,"Transport sector mitigation target",Targets!J:J,"GHG",Targets!L:L,"Unconditional")&gt;0),"GHG unconditional and conditional",IF(COUNTIFS(Targets!A:A,A275,Targets!H:H,"Transport sector mitigation target",Targets!J:J,"GHG",Targets!L:L,"Conditional")&gt;0,"GHG conditional only",IF(COUNTIFS(Targets!A:A,A275,Targets!H:H,"Transport sector mitigation target",Targets!J:J,"GHG",Targets!L:L,"Unconditional")&gt;0,"GHG unconditional only",IF(COUNTIFS(Targets!A:A,A275,Targets!H:H,"Transport sector mitigation target",Targets!J:J,"GHG",Targets!L:L,"Unclear conditionality")&gt;0,"Conditionality unclear",""))))))</f>
        <v>No GHG transport target</v>
      </c>
      <c r="N275" s="43" t="str" cm="1">
        <f t="array" ref="N275">IF(ISNUMBER(MATCH("Transport sector adaptation target", _xlfn._xlws.FILTER(Targets!H:H, Targets!A:A =A275), 0)), "yes", "no")</f>
        <v>no</v>
      </c>
      <c r="O275" s="43" t="str">
        <f>IF(ISNA(MATCH(A275, Mitigation!A:A, 0)), "no", "yes")</f>
        <v>yes</v>
      </c>
      <c r="P275" s="43" t="str">
        <f>IF(ISNA(MATCH(A275, Adaptation!A:A, 0)), "no", "yes")</f>
        <v>no</v>
      </c>
      <c r="Q275" s="43" t="str">
        <f>IF(ISNA(MATCH(A275, Benefits!A:A, 0)), "no", "yes")</f>
        <v>no</v>
      </c>
      <c r="R275" s="43"/>
      <c r="S275" s="43"/>
      <c r="T275" s="43" t="s">
        <v>501</v>
      </c>
      <c r="U275" s="312" t="s">
        <v>795</v>
      </c>
      <c r="V275" s="233" t="str">
        <f>VLOOKUP(Table1[[#This Row],[Country Code]],Table29[],3,FALSE)</f>
        <v>Non-Annex I</v>
      </c>
      <c r="W275" s="233" t="str">
        <f>VLOOKUP(Table1[[#This Row],[Country Code]],Table29[],4,FALSE)</f>
        <v>Asia</v>
      </c>
      <c r="X275" s="233" t="str">
        <f>VLOOKUP(Table1[[#This Row],[Country Code]],Table29[],5,FALSE)</f>
        <v>High-income</v>
      </c>
      <c r="Y275" s="43"/>
      <c r="Z275" s="43"/>
    </row>
    <row r="276" spans="1:26" ht="15" customHeight="1" x14ac:dyDescent="0.25">
      <c r="A276" s="360">
        <v>26773</v>
      </c>
      <c r="B276" s="42" t="s">
        <v>123</v>
      </c>
      <c r="C276" s="243" t="str">
        <f>VLOOKUP(Table1[[#This Row],[Country Code]],Table29[],2,FALSE)</f>
        <v>Cambodia</v>
      </c>
      <c r="D276" s="243" t="str">
        <f t="shared" si="10"/>
        <v>Good</v>
      </c>
      <c r="E276" s="176" t="s">
        <v>227</v>
      </c>
      <c r="F276" s="43" t="s">
        <v>227</v>
      </c>
      <c r="G276" s="43" t="str">
        <f t="shared" si="11"/>
        <v>LTS</v>
      </c>
      <c r="H276" s="43" t="s">
        <v>636</v>
      </c>
      <c r="I276" s="351">
        <v>44560</v>
      </c>
      <c r="J276" s="352" t="s">
        <v>505</v>
      </c>
      <c r="K276" s="320" t="str" cm="1">
        <f t="array" ref="K276">IF(ISNUMBER(MATCH("Transport sector mitigation target", _xlfn._xlws.FILTER(Targets!H:H, Targets!A:A =A276), 0)), "yes", "no")</f>
        <v>yes</v>
      </c>
      <c r="L276" s="43" t="str">
        <f>IF(K276="no", "No transport target", IF(AND(COUNTIFS(Targets!A:A, A276, Targets!H:H, "Transport sector mitigation target", Targets!J:J, "GHG") &gt; 0, COUNTIFS(Targets!A:A, A276, Targets!H:H, "Transport sector mitigation target", Targets!J:J, "Non GHG") &gt; 0), "GHG and non-GHG target", IF(COUNTIFS(Targets!A:A, A276, Targets!H:H, "Transport sector mitigation target", Targets!J:J, "GHG") &gt; 0, "GHG target", IF(COUNTIFS(Targets!A:A, A276, Targets!H:H, "Transport sector mitigation target", Targets!J:J, "Non GHG") &gt; 0, "non-GHG target", ""))))</f>
        <v>non-GHG target</v>
      </c>
      <c r="M276" s="43" t="str">
        <f>IF(K276="no","No transport target",IF(L276="non-GHG target","No GHG transport target",IF(AND(COUNTIFS(Targets!A:A,A276,Targets!H:H,"Transport sector mitigation target",Targets!J:J,"GHG",Targets!L:L,"Conditional")&gt;0,COUNTIFS(Targets!A:A,A276,Targets!H:H,"Transport sector mitigation target",Targets!J:J,"GHG",Targets!L:L,"Unconditional")&gt;0),"GHG unconditional and conditional",IF(COUNTIFS(Targets!A:A,A276,Targets!H:H,"Transport sector mitigation target",Targets!J:J,"GHG",Targets!L:L,"Conditional")&gt;0,"GHG conditional only",IF(COUNTIFS(Targets!A:A,A276,Targets!H:H,"Transport sector mitigation target",Targets!J:J,"GHG",Targets!L:L,"Unconditional")&gt;0,"GHG unconditional only",IF(COUNTIFS(Targets!A:A,A276,Targets!H:H,"Transport sector mitigation target",Targets!J:J,"GHG",Targets!L:L,"Unclear conditionality")&gt;0,"Conditionality unclear",""))))))</f>
        <v>No GHG transport target</v>
      </c>
      <c r="N276" s="43" t="str" cm="1">
        <f t="array" ref="N276">IF(ISNUMBER(MATCH("Transport sector adaptation target", _xlfn._xlws.FILTER(Targets!H:H, Targets!A:A =A276), 0)), "yes", "no")</f>
        <v>no</v>
      </c>
      <c r="O276" s="43" t="str">
        <f>IF(ISNA(MATCH(A276, Mitigation!A:A, 0)), "no", "yes")</f>
        <v>yes</v>
      </c>
      <c r="P276" s="43" t="str">
        <f>IF(ISNA(MATCH(A276, Adaptation!A:A, 0)), "no", "yes")</f>
        <v>yes</v>
      </c>
      <c r="Q276" s="43" t="str">
        <f>IF(ISNA(MATCH(A276, Benefits!A:A, 0)), "no", "yes")</f>
        <v>yes</v>
      </c>
      <c r="R276" s="43"/>
      <c r="S276" s="43"/>
      <c r="T276" s="43" t="s">
        <v>501</v>
      </c>
      <c r="U276" s="312" t="s">
        <v>796</v>
      </c>
      <c r="V276" s="233" t="str">
        <f>VLOOKUP(Table1[[#This Row],[Country Code]],Table29[],3,FALSE)</f>
        <v>Non-Annex I</v>
      </c>
      <c r="W276" s="233" t="str">
        <f>VLOOKUP(Table1[[#This Row],[Country Code]],Table29[],4,FALSE)</f>
        <v>Asia</v>
      </c>
      <c r="X276" s="233" t="str">
        <f>VLOOKUP(Table1[[#This Row],[Country Code]],Table29[],5,FALSE)</f>
        <v>Middle-income</v>
      </c>
      <c r="Y276" s="43"/>
      <c r="Z276" s="43"/>
    </row>
    <row r="277" spans="1:26" ht="15" customHeight="1" x14ac:dyDescent="0.25">
      <c r="A277" s="360">
        <v>17548</v>
      </c>
      <c r="B277" s="43" t="s">
        <v>123</v>
      </c>
      <c r="C277" s="243" t="str">
        <f>VLOOKUP(Table1[[#This Row],[Country Code]],Table29[],2,FALSE)</f>
        <v>Cambodia</v>
      </c>
      <c r="D277" s="243" t="str">
        <f t="shared" si="10"/>
        <v>Good</v>
      </c>
      <c r="E277" s="176" t="s">
        <v>71</v>
      </c>
      <c r="F277" s="43" t="s">
        <v>528</v>
      </c>
      <c r="G277" s="43" t="str">
        <f t="shared" si="11"/>
        <v>First NDC updated</v>
      </c>
      <c r="H277" s="43" t="s">
        <v>691</v>
      </c>
      <c r="I277" s="351">
        <v>44196</v>
      </c>
      <c r="J277" s="352" t="s">
        <v>505</v>
      </c>
      <c r="K277" s="320" t="str" cm="1">
        <f t="array" ref="K277">IF(ISNUMBER(MATCH("Transport sector mitigation target", _xlfn._xlws.FILTER(Targets!H:H, Targets!A:A =A277), 0)), "yes", "no")</f>
        <v>yes</v>
      </c>
      <c r="L277" s="43" t="str">
        <f>IF(K277="no", "No transport target", IF(AND(COUNTIFS(Targets!A:A, A277, Targets!H:H, "Transport sector mitigation target", Targets!J:J, "GHG") &gt; 0, COUNTIFS(Targets!A:A, A277, Targets!H:H, "Transport sector mitigation target", Targets!J:J, "Non GHG") &gt; 0), "GHG and non-GHG target", IF(COUNTIFS(Targets!A:A, A277, Targets!H:H, "Transport sector mitigation target", Targets!J:J, "GHG") &gt; 0, "GHG target", IF(COUNTIFS(Targets!A:A, A277, Targets!H:H, "Transport sector mitigation target", Targets!J:J, "Non GHG") &gt; 0, "non-GHG target", ""))))</f>
        <v>non-GHG target</v>
      </c>
      <c r="M277" s="43" t="str">
        <f>IF(K277="no","No transport target",IF(L277="non-GHG target","No GHG transport target",IF(AND(COUNTIFS(Targets!A:A,A277,Targets!H:H,"Transport sector mitigation target",Targets!J:J,"GHG",Targets!L:L,"Conditional")&gt;0,COUNTIFS(Targets!A:A,A277,Targets!H:H,"Transport sector mitigation target",Targets!J:J,"GHG",Targets!L:L,"Unconditional")&gt;0),"GHG unconditional and conditional",IF(COUNTIFS(Targets!A:A,A277,Targets!H:H,"Transport sector mitigation target",Targets!J:J,"GHG",Targets!L:L,"Conditional")&gt;0,"GHG conditional only",IF(COUNTIFS(Targets!A:A,A277,Targets!H:H,"Transport sector mitigation target",Targets!J:J,"GHG",Targets!L:L,"Unconditional")&gt;0,"GHG unconditional only",IF(COUNTIFS(Targets!A:A,A277,Targets!H:H,"Transport sector mitigation target",Targets!J:J,"GHG",Targets!L:L,"Unclear conditionality")&gt;0,"Conditionality unclear",""))))))</f>
        <v>No GHG transport target</v>
      </c>
      <c r="N277" s="43" t="str" cm="1">
        <f t="array" ref="N277">IF(ISNUMBER(MATCH("Transport sector adaptation target", _xlfn._xlws.FILTER(Targets!H:H, Targets!A:A =A277), 0)), "yes", "no")</f>
        <v>yes</v>
      </c>
      <c r="O277" s="43" t="str">
        <f>IF(ISNA(MATCH(A277, Mitigation!A:A, 0)), "no", "yes")</f>
        <v>yes</v>
      </c>
      <c r="P277" s="43" t="str">
        <f>IF(ISNA(MATCH(A277, Adaptation!A:A, 0)), "no", "yes")</f>
        <v>yes</v>
      </c>
      <c r="Q277" s="43" t="str">
        <f>IF(ISNA(MATCH(A277, Benefits!A:A, 0)), "no", "yes")</f>
        <v>yes</v>
      </c>
      <c r="R277" s="43"/>
      <c r="S277" s="43"/>
      <c r="T277" s="43" t="s">
        <v>501</v>
      </c>
      <c r="U277" s="312" t="s">
        <v>797</v>
      </c>
      <c r="V277" s="233" t="str">
        <f>VLOOKUP(Table1[[#This Row],[Country Code]],Table29[],3,FALSE)</f>
        <v>Non-Annex I</v>
      </c>
      <c r="W277" s="233" t="str">
        <f>VLOOKUP(Table1[[#This Row],[Country Code]],Table29[],4,FALSE)</f>
        <v>Asia</v>
      </c>
      <c r="X277" s="233" t="str">
        <f>VLOOKUP(Table1[[#This Row],[Country Code]],Table29[],5,FALSE)</f>
        <v>Middle-income</v>
      </c>
      <c r="Y277" s="43"/>
      <c r="Z277" s="43"/>
    </row>
    <row r="278" spans="1:26" ht="15" customHeight="1" x14ac:dyDescent="0.25">
      <c r="A278" s="360">
        <v>17515</v>
      </c>
      <c r="B278" s="43" t="s">
        <v>72</v>
      </c>
      <c r="C278" s="243" t="str">
        <f>VLOOKUP(Table1[[#This Row],[Country Code]],Table29[],2,FALSE)</f>
        <v>Argentina</v>
      </c>
      <c r="D278" s="243" t="str">
        <f t="shared" si="10"/>
        <v>Good</v>
      </c>
      <c r="E278" s="176" t="s">
        <v>71</v>
      </c>
      <c r="F278" s="43" t="s">
        <v>794</v>
      </c>
      <c r="G278" s="43" t="str">
        <f t="shared" si="11"/>
        <v>Second NDC</v>
      </c>
      <c r="H278" s="350" t="s">
        <v>714</v>
      </c>
      <c r="I278" s="351">
        <v>44195</v>
      </c>
      <c r="J278" s="320" t="s">
        <v>500</v>
      </c>
      <c r="K278" s="320" t="str" cm="1">
        <f t="array" ref="K278">IF(ISNUMBER(MATCH("Transport sector mitigation target", _xlfn._xlws.FILTER(Targets!H:H, Targets!A:A =A278), 0)), "yes", "no")</f>
        <v>no</v>
      </c>
      <c r="L278" s="43" t="str">
        <f>IF(K278="no", "No transport target", IF(AND(COUNTIFS(Targets!A:A, A278, Targets!H:H, "Transport sector mitigation target", Targets!J:J, "GHG") &gt; 0, COUNTIFS(Targets!A:A, A278, Targets!H:H, "Transport sector mitigation target", Targets!J:J, "Non GHG") &gt; 0), "GHG and non-GHG target", IF(COUNTIFS(Targets!A:A, A278, Targets!H:H, "Transport sector mitigation target", Targets!J:J, "GHG") &gt; 0, "GHG target", IF(COUNTIFS(Targets!A:A, A278, Targets!H:H, "Transport sector mitigation target", Targets!J:J, "Non GHG") &gt; 0, "non-GHG target", ""))))</f>
        <v>No transport target</v>
      </c>
      <c r="M278" s="43" t="str">
        <f>IF(K278="no","No transport target",IF(L278="non-GHG target","No GHG transport target",IF(AND(COUNTIFS(Targets!A:A,A278,Targets!H:H,"Transport sector mitigation target",Targets!J:J,"GHG",Targets!L:L,"Conditional")&gt;0,COUNTIFS(Targets!A:A,A278,Targets!H:H,"Transport sector mitigation target",Targets!J:J,"GHG",Targets!L:L,"Unconditional")&gt;0),"GHG unconditional and conditional",IF(COUNTIFS(Targets!A:A,A278,Targets!H:H,"Transport sector mitigation target",Targets!J:J,"GHG",Targets!L:L,"Conditional")&gt;0,"GHG conditional only",IF(COUNTIFS(Targets!A:A,A278,Targets!H:H,"Transport sector mitigation target",Targets!J:J,"GHG",Targets!L:L,"Unconditional")&gt;0,"GHG unconditional only",IF(COUNTIFS(Targets!A:A,A278,Targets!H:H,"Transport sector mitigation target",Targets!J:J,"GHG",Targets!L:L,"Unclear conditionality")&gt;0,"Conditionality unclear",""))))))</f>
        <v>No transport target</v>
      </c>
      <c r="N278" s="43" t="str" cm="1">
        <f t="array" ref="N278">IF(ISNUMBER(MATCH("Transport sector adaptation target", _xlfn._xlws.FILTER(Targets!H:H, Targets!A:A =A278), 0)), "yes", "no")</f>
        <v>no</v>
      </c>
      <c r="O278" s="43" t="str">
        <f>IF(ISNA(MATCH(A278, Mitigation!A:A, 0)), "no", "yes")</f>
        <v>no</v>
      </c>
      <c r="P278" s="43" t="str">
        <f>IF(ISNA(MATCH(A278, Adaptation!A:A, 0)), "no", "yes")</f>
        <v>no</v>
      </c>
      <c r="Q278" s="43" t="str">
        <f>IF(ISNA(MATCH(A278, Benefits!A:A, 0)), "no", "yes")</f>
        <v>no</v>
      </c>
      <c r="R278" s="43"/>
      <c r="S278" s="43"/>
      <c r="T278" s="43" t="s">
        <v>501</v>
      </c>
      <c r="U278" s="359" t="s">
        <v>798</v>
      </c>
      <c r="V278" s="233" t="str">
        <f>VLOOKUP(Table1[[#This Row],[Country Code]],Table29[],3,FALSE)</f>
        <v>Non-Annex I</v>
      </c>
      <c r="W278" s="233" t="str">
        <f>VLOOKUP(Table1[[#This Row],[Country Code]],Table29[],4,FALSE)</f>
        <v>Latin America and the Caribbean</v>
      </c>
      <c r="X278" s="233" t="str">
        <f>VLOOKUP(Table1[[#This Row],[Country Code]],Table29[],5,FALSE)</f>
        <v>Middle-income</v>
      </c>
      <c r="Y278" s="43"/>
      <c r="Z278" s="43"/>
    </row>
    <row r="279" spans="1:26" ht="15" customHeight="1" x14ac:dyDescent="0.25">
      <c r="A279" s="360">
        <v>32531</v>
      </c>
      <c r="B279" s="43" t="s">
        <v>127</v>
      </c>
      <c r="C279" s="243" t="str">
        <f>VLOOKUP(Table1[[#This Row],[Country Code]],Table29[],2,FALSE)</f>
        <v>Canada</v>
      </c>
      <c r="D279" s="243" t="str">
        <f t="shared" si="10"/>
        <v>Good</v>
      </c>
      <c r="E279" s="176" t="s">
        <v>227</v>
      </c>
      <c r="F279" s="43" t="s">
        <v>227</v>
      </c>
      <c r="G279" s="43" t="str">
        <f t="shared" si="11"/>
        <v>LTS</v>
      </c>
      <c r="H279" s="350" t="s">
        <v>799</v>
      </c>
      <c r="I279" s="351">
        <v>44865</v>
      </c>
      <c r="J279" s="352" t="s">
        <v>505</v>
      </c>
      <c r="K279" s="320" t="str" cm="1">
        <f t="array" ref="K279">IF(ISNUMBER(MATCH("Transport sector mitigation target", _xlfn._xlws.FILTER(Targets!H:H, Targets!A:A =A279), 0)), "yes", "no")</f>
        <v>yes</v>
      </c>
      <c r="L279" s="43" t="str">
        <f>IF(K279="no", "No transport target", IF(AND(COUNTIFS(Targets!A:A, A279, Targets!H:H, "Transport sector mitigation target", Targets!J:J, "GHG") &gt; 0, COUNTIFS(Targets!A:A, A279, Targets!H:H, "Transport sector mitigation target", Targets!J:J, "Non GHG") &gt; 0), "GHG and non-GHG target", IF(COUNTIFS(Targets!A:A, A279, Targets!H:H, "Transport sector mitigation target", Targets!J:J, "GHG") &gt; 0, "GHG target", IF(COUNTIFS(Targets!A:A, A279, Targets!H:H, "Transport sector mitigation target", Targets!J:J, "Non GHG") &gt; 0, "non-GHG target", ""))))</f>
        <v>non-GHG target</v>
      </c>
      <c r="M279" s="43" t="str">
        <f>IF(K279="no","No transport target",IF(L279="non-GHG target","No GHG transport target",IF(AND(COUNTIFS(Targets!A:A,A279,Targets!H:H,"Transport sector mitigation target",Targets!J:J,"GHG",Targets!L:L,"Conditional")&gt;0,COUNTIFS(Targets!A:A,A279,Targets!H:H,"Transport sector mitigation target",Targets!J:J,"GHG",Targets!L:L,"Unconditional")&gt;0),"GHG unconditional and conditional",IF(COUNTIFS(Targets!A:A,A279,Targets!H:H,"Transport sector mitigation target",Targets!J:J,"GHG",Targets!L:L,"Conditional")&gt;0,"GHG conditional only",IF(COUNTIFS(Targets!A:A,A279,Targets!H:H,"Transport sector mitigation target",Targets!J:J,"GHG",Targets!L:L,"Unconditional")&gt;0,"GHG unconditional only",IF(COUNTIFS(Targets!A:A,A279,Targets!H:H,"Transport sector mitigation target",Targets!J:J,"GHG",Targets!L:L,"Unclear conditionality")&gt;0,"Conditionality unclear",""))))))</f>
        <v>No GHG transport target</v>
      </c>
      <c r="N279" s="43" t="str" cm="1">
        <f t="array" ref="N279">IF(ISNUMBER(MATCH("Transport sector adaptation target", _xlfn._xlws.FILTER(Targets!H:H, Targets!A:A =A279), 0)), "yes", "no")</f>
        <v>no</v>
      </c>
      <c r="O279" s="43" t="str">
        <f>IF(ISNA(MATCH(A279, Mitigation!A:A, 0)), "no", "yes")</f>
        <v>yes</v>
      </c>
      <c r="P279" s="43" t="str">
        <f>IF(ISNA(MATCH(A279, Adaptation!A:A, 0)), "no", "yes")</f>
        <v>no</v>
      </c>
      <c r="Q279" s="43" t="str">
        <f>IF(ISNA(MATCH(A279, Benefits!A:A, 0)), "no", "yes")</f>
        <v>no</v>
      </c>
      <c r="R279" s="43"/>
      <c r="S279" s="43"/>
      <c r="T279" s="43" t="s">
        <v>501</v>
      </c>
      <c r="U279" s="361" t="s">
        <v>800</v>
      </c>
      <c r="V279" s="233" t="str">
        <f>VLOOKUP(Table1[[#This Row],[Country Code]],Table29[],3,FALSE)</f>
        <v>Annex I</v>
      </c>
      <c r="W279" s="233" t="str">
        <f>VLOOKUP(Table1[[#This Row],[Country Code]],Table29[],4,FALSE)</f>
        <v>Northern America</v>
      </c>
      <c r="X279" s="233" t="str">
        <f>VLOOKUP(Table1[[#This Row],[Country Code]],Table29[],5,FALSE)</f>
        <v>High-income</v>
      </c>
      <c r="Y279" s="43"/>
      <c r="Z279" s="43"/>
    </row>
    <row r="280" spans="1:26" ht="15" customHeight="1" x14ac:dyDescent="0.25">
      <c r="A280" s="360">
        <v>17662</v>
      </c>
      <c r="B280" s="43" t="s">
        <v>298</v>
      </c>
      <c r="C280" s="243" t="str">
        <f>VLOOKUP(Table1[[#This Row],[Country Code]],Table29[],2,FALSE)</f>
        <v>Mexico</v>
      </c>
      <c r="D280" s="243" t="str">
        <f t="shared" si="10"/>
        <v>Good</v>
      </c>
      <c r="E280" s="176" t="s">
        <v>71</v>
      </c>
      <c r="F280" s="43" t="s">
        <v>525</v>
      </c>
      <c r="G280" s="43" t="str">
        <f t="shared" si="11"/>
        <v>First NDC updated</v>
      </c>
      <c r="H280" s="43" t="s">
        <v>691</v>
      </c>
      <c r="I280" s="351">
        <v>44195</v>
      </c>
      <c r="J280" s="320" t="s">
        <v>500</v>
      </c>
      <c r="K280" s="320" t="str" cm="1">
        <f t="array" ref="K280">IF(ISNUMBER(MATCH("Transport sector mitigation target", _xlfn._xlws.FILTER(Targets!H:H, Targets!A:A =A280), 0)), "yes", "no")</f>
        <v>no</v>
      </c>
      <c r="L280" s="43" t="str">
        <f>IF(K280="no", "No transport target", IF(AND(COUNTIFS(Targets!A:A, A280, Targets!H:H, "Transport sector mitigation target", Targets!J:J, "GHG") &gt; 0, COUNTIFS(Targets!A:A, A280, Targets!H:H, "Transport sector mitigation target", Targets!J:J, "Non GHG") &gt; 0), "GHG and non-GHG target", IF(COUNTIFS(Targets!A:A, A280, Targets!H:H, "Transport sector mitigation target", Targets!J:J, "GHG") &gt; 0, "GHG target", IF(COUNTIFS(Targets!A:A, A280, Targets!H:H, "Transport sector mitigation target", Targets!J:J, "Non GHG") &gt; 0, "non-GHG target", ""))))</f>
        <v>No transport target</v>
      </c>
      <c r="M280" s="43" t="str">
        <f>IF(K280="no","No transport target",IF(L280="non-GHG target","No GHG transport target",IF(AND(COUNTIFS(Targets!A:A,A280,Targets!H:H,"Transport sector mitigation target",Targets!J:J,"GHG",Targets!L:L,"Conditional")&gt;0,COUNTIFS(Targets!A:A,A280,Targets!H:H,"Transport sector mitigation target",Targets!J:J,"GHG",Targets!L:L,"Unconditional")&gt;0),"GHG unconditional and conditional",IF(COUNTIFS(Targets!A:A,A280,Targets!H:H,"Transport sector mitigation target",Targets!J:J,"GHG",Targets!L:L,"Conditional")&gt;0,"GHG conditional only",IF(COUNTIFS(Targets!A:A,A280,Targets!H:H,"Transport sector mitigation target",Targets!J:J,"GHG",Targets!L:L,"Unconditional")&gt;0,"GHG unconditional only",IF(COUNTIFS(Targets!A:A,A280,Targets!H:H,"Transport sector mitigation target",Targets!J:J,"GHG",Targets!L:L,"Unclear conditionality")&gt;0,"Conditionality unclear",""))))))</f>
        <v>No transport target</v>
      </c>
      <c r="N280" s="43" t="str" cm="1">
        <f t="array" ref="N280">IF(ISNUMBER(MATCH("Transport sector adaptation target", _xlfn._xlws.FILTER(Targets!H:H, Targets!A:A =A280), 0)), "yes", "no")</f>
        <v>no</v>
      </c>
      <c r="O280" s="43" t="str">
        <f>IF(ISNA(MATCH(A280, Mitigation!A:A, 0)), "no", "yes")</f>
        <v>yes</v>
      </c>
      <c r="P280" s="43" t="str">
        <f>IF(ISNA(MATCH(A280, Adaptation!A:A, 0)), "no", "yes")</f>
        <v>no</v>
      </c>
      <c r="Q280" s="43" t="str">
        <f>IF(ISNA(MATCH(A280, Benefits!A:A, 0)), "no", "yes")</f>
        <v>yes</v>
      </c>
      <c r="R280" s="43"/>
      <c r="S280" s="43"/>
      <c r="T280" s="43" t="s">
        <v>501</v>
      </c>
      <c r="U280" s="312" t="s">
        <v>801</v>
      </c>
      <c r="V280" s="233" t="str">
        <f>VLOOKUP(Table1[[#This Row],[Country Code]],Table29[],3,FALSE)</f>
        <v>Non-Annex I</v>
      </c>
      <c r="W280" s="233" t="str">
        <f>VLOOKUP(Table1[[#This Row],[Country Code]],Table29[],4,FALSE)</f>
        <v>Latin America and the Caribbean</v>
      </c>
      <c r="X280" s="233" t="str">
        <f>VLOOKUP(Table1[[#This Row],[Country Code]],Table29[],5,FALSE)</f>
        <v>Middle-income</v>
      </c>
      <c r="Y280" s="43"/>
      <c r="Z280" s="43"/>
    </row>
    <row r="281" spans="1:26" ht="15" customHeight="1" x14ac:dyDescent="0.25">
      <c r="A281" s="360">
        <v>17708</v>
      </c>
      <c r="B281" s="43" t="s">
        <v>360</v>
      </c>
      <c r="C281" s="243" t="str">
        <f>VLOOKUP(Table1[[#This Row],[Country Code]],Table29[],2,FALSE)</f>
        <v>Republic of Korea</v>
      </c>
      <c r="D281" s="243" t="str">
        <f t="shared" si="10"/>
        <v>Good</v>
      </c>
      <c r="E281" s="176" t="s">
        <v>71</v>
      </c>
      <c r="F281" s="364" t="s">
        <v>525</v>
      </c>
      <c r="G281" s="43" t="str">
        <f t="shared" si="11"/>
        <v>First NDC updated</v>
      </c>
      <c r="H281" s="43" t="s">
        <v>691</v>
      </c>
      <c r="I281" s="351">
        <v>44195</v>
      </c>
      <c r="J281" s="320" t="s">
        <v>500</v>
      </c>
      <c r="K281" s="320" t="str" cm="1">
        <f t="array" ref="K281">IF(ISNUMBER(MATCH("Transport sector mitigation target", _xlfn._xlws.FILTER(Targets!H:H, Targets!A:A =A281), 0)), "yes", "no")</f>
        <v>yes</v>
      </c>
      <c r="L281" s="43" t="str">
        <f>IF(K281="no", "No transport target", IF(AND(COUNTIFS(Targets!A:A, A281, Targets!H:H, "Transport sector mitigation target", Targets!J:J, "GHG") &gt; 0, COUNTIFS(Targets!A:A, A281, Targets!H:H, "Transport sector mitigation target", Targets!J:J, "Non GHG") &gt; 0), "GHG and non-GHG target", IF(COUNTIFS(Targets!A:A, A281, Targets!H:H, "Transport sector mitigation target", Targets!J:J, "GHG") &gt; 0, "GHG target", IF(COUNTIFS(Targets!A:A, A281, Targets!H:H, "Transport sector mitigation target", Targets!J:J, "Non GHG") &gt; 0, "non-GHG target", ""))))</f>
        <v>non-GHG target</v>
      </c>
      <c r="M281" s="43" t="str">
        <f>IF(K281="no","No transport target",IF(L281="non-GHG target","No GHG transport target",IF(AND(COUNTIFS(Targets!A:A,A281,Targets!H:H,"Transport sector mitigation target",Targets!J:J,"GHG",Targets!L:L,"Conditional")&gt;0,COUNTIFS(Targets!A:A,A281,Targets!H:H,"Transport sector mitigation target",Targets!J:J,"GHG",Targets!L:L,"Unconditional")&gt;0),"GHG unconditional and conditional",IF(COUNTIFS(Targets!A:A,A281,Targets!H:H,"Transport sector mitigation target",Targets!J:J,"GHG",Targets!L:L,"Conditional")&gt;0,"GHG conditional only",IF(COUNTIFS(Targets!A:A,A281,Targets!H:H,"Transport sector mitigation target",Targets!J:J,"GHG",Targets!L:L,"Unconditional")&gt;0,"GHG unconditional only",IF(COUNTIFS(Targets!A:A,A281,Targets!H:H,"Transport sector mitigation target",Targets!J:J,"GHG",Targets!L:L,"Unclear conditionality")&gt;0,"Conditionality unclear",""))))))</f>
        <v>No GHG transport target</v>
      </c>
      <c r="N281" s="43" t="str" cm="1">
        <f t="array" ref="N281">IF(ISNUMBER(MATCH("Transport sector adaptation target", _xlfn._xlws.FILTER(Targets!H:H, Targets!A:A =A281), 0)), "yes", "no")</f>
        <v>no</v>
      </c>
      <c r="O281" s="43" t="str">
        <f>IF(ISNA(MATCH(A281, Mitigation!A:A, 0)), "no", "yes")</f>
        <v>yes</v>
      </c>
      <c r="P281" s="43" t="str">
        <f>IF(ISNA(MATCH(A281, Adaptation!A:A, 0)), "no", "yes")</f>
        <v>no</v>
      </c>
      <c r="Q281" s="43" t="str">
        <f>IF(ISNA(MATCH(A281, Benefits!A:A, 0)), "no", "yes")</f>
        <v>no</v>
      </c>
      <c r="R281" s="43"/>
      <c r="S281" s="43"/>
      <c r="T281" s="43" t="s">
        <v>501</v>
      </c>
      <c r="U281" s="312" t="s">
        <v>802</v>
      </c>
      <c r="V281" s="233" t="str">
        <f>VLOOKUP(Table1[[#This Row],[Country Code]],Table29[],3,FALSE)</f>
        <v>Non-Annex I</v>
      </c>
      <c r="W281" s="233" t="str">
        <f>VLOOKUP(Table1[[#This Row],[Country Code]],Table29[],4,FALSE)</f>
        <v>Asia</v>
      </c>
      <c r="X281" s="233" t="str">
        <f>VLOOKUP(Table1[[#This Row],[Country Code]],Table29[],5,FALSE)</f>
        <v>High-income</v>
      </c>
      <c r="Y281" s="43"/>
      <c r="Z281" s="43"/>
    </row>
    <row r="282" spans="1:26" ht="15" customHeight="1" x14ac:dyDescent="0.25">
      <c r="A282" s="360">
        <v>17518</v>
      </c>
      <c r="B282" s="43" t="s">
        <v>76</v>
      </c>
      <c r="C282" s="243" t="str">
        <f>VLOOKUP(Table1[[#This Row],[Country Code]],Table29[],2,FALSE)</f>
        <v>Australia</v>
      </c>
      <c r="D282" s="243" t="str">
        <f t="shared" si="10"/>
        <v>Good</v>
      </c>
      <c r="E282" s="176" t="s">
        <v>71</v>
      </c>
      <c r="F282" s="43" t="s">
        <v>525</v>
      </c>
      <c r="G282" s="43" t="str">
        <f t="shared" si="11"/>
        <v>First NDC updated</v>
      </c>
      <c r="H282" s="43" t="s">
        <v>691</v>
      </c>
      <c r="I282" s="351">
        <v>44196</v>
      </c>
      <c r="J282" s="320" t="s">
        <v>500</v>
      </c>
      <c r="K282" s="320" t="str" cm="1">
        <f t="array" ref="K282">IF(ISNUMBER(MATCH("Transport sector mitigation target", _xlfn._xlws.FILTER(Targets!H:H, Targets!A:A =A282), 0)), "yes", "no")</f>
        <v>no</v>
      </c>
      <c r="L282" s="43" t="str">
        <f>IF(K282="no", "No transport target", IF(AND(COUNTIFS(Targets!A:A, A282, Targets!H:H, "Transport sector mitigation target", Targets!J:J, "GHG") &gt; 0, COUNTIFS(Targets!A:A, A282, Targets!H:H, "Transport sector mitigation target", Targets!J:J, "Non GHG") &gt; 0), "GHG and non-GHG target", IF(COUNTIFS(Targets!A:A, A282, Targets!H:H, "Transport sector mitigation target", Targets!J:J, "GHG") &gt; 0, "GHG target", IF(COUNTIFS(Targets!A:A, A282, Targets!H:H, "Transport sector mitigation target", Targets!J:J, "Non GHG") &gt; 0, "non-GHG target", ""))))</f>
        <v>No transport target</v>
      </c>
      <c r="M282" s="43" t="str">
        <f>IF(K282="no","No transport target",IF(L282="non-GHG target","No GHG transport target",IF(AND(COUNTIFS(Targets!A:A,A282,Targets!H:H,"Transport sector mitigation target",Targets!J:J,"GHG",Targets!L:L,"Conditional")&gt;0,COUNTIFS(Targets!A:A,A282,Targets!H:H,"Transport sector mitigation target",Targets!J:J,"GHG",Targets!L:L,"Unconditional")&gt;0),"GHG unconditional and conditional",IF(COUNTIFS(Targets!A:A,A282,Targets!H:H,"Transport sector mitigation target",Targets!J:J,"GHG",Targets!L:L,"Conditional")&gt;0,"GHG conditional only",IF(COUNTIFS(Targets!A:A,A282,Targets!H:H,"Transport sector mitigation target",Targets!J:J,"GHG",Targets!L:L,"Unconditional")&gt;0,"GHG unconditional only",IF(COUNTIFS(Targets!A:A,A282,Targets!H:H,"Transport sector mitigation target",Targets!J:J,"GHG",Targets!L:L,"Unclear conditionality")&gt;0,"Conditionality unclear",""))))))</f>
        <v>No transport target</v>
      </c>
      <c r="N282" s="43" t="str" cm="1">
        <f t="array" ref="N282">IF(ISNUMBER(MATCH("Transport sector adaptation target", _xlfn._xlws.FILTER(Targets!H:H, Targets!A:A =A282), 0)), "yes", "no")</f>
        <v>no</v>
      </c>
      <c r="O282" s="43" t="str">
        <f>IF(ISNA(MATCH(A282, Mitigation!A:A, 0)), "no", "yes")</f>
        <v>yes</v>
      </c>
      <c r="P282" s="43" t="str">
        <f>IF(ISNA(MATCH(A282, Adaptation!A:A, 0)), "no", "yes")</f>
        <v>no</v>
      </c>
      <c r="Q282" s="43" t="str">
        <f>IF(ISNA(MATCH(A282, Benefits!A:A, 0)), "no", "yes")</f>
        <v>no</v>
      </c>
      <c r="R282" s="43"/>
      <c r="S282" s="43"/>
      <c r="T282" s="43" t="s">
        <v>501</v>
      </c>
      <c r="U282" s="312" t="s">
        <v>803</v>
      </c>
      <c r="V282" s="233" t="str">
        <f>VLOOKUP(Table1[[#This Row],[Country Code]],Table29[],3,FALSE)</f>
        <v>Annex I</v>
      </c>
      <c r="W282" s="233" t="str">
        <f>VLOOKUP(Table1[[#This Row],[Country Code]],Table29[],4,FALSE)</f>
        <v>Oceania</v>
      </c>
      <c r="X282" s="233" t="str">
        <f>VLOOKUP(Table1[[#This Row],[Country Code]],Table29[],5,FALSE)</f>
        <v>High-income</v>
      </c>
      <c r="Y282" s="43"/>
      <c r="Z282" s="43"/>
    </row>
    <row r="283" spans="1:26" ht="15" customHeight="1" x14ac:dyDescent="0.25">
      <c r="A283" s="360">
        <v>17525</v>
      </c>
      <c r="B283" s="43" t="s">
        <v>91</v>
      </c>
      <c r="C283" s="243" t="str">
        <f>VLOOKUP(Table1[[#This Row],[Country Code]],Table29[],2,FALSE)</f>
        <v>Bangladesh</v>
      </c>
      <c r="D283" s="243" t="str">
        <f t="shared" si="10"/>
        <v>Good</v>
      </c>
      <c r="E283" s="176" t="s">
        <v>71</v>
      </c>
      <c r="F283" s="43" t="s">
        <v>525</v>
      </c>
      <c r="G283" s="43" t="str">
        <f t="shared" si="11"/>
        <v>First NDC updated</v>
      </c>
      <c r="H283" s="43" t="s">
        <v>691</v>
      </c>
      <c r="I283" s="355">
        <v>44196</v>
      </c>
      <c r="J283" s="320" t="s">
        <v>500</v>
      </c>
      <c r="K283" s="320" t="str" cm="1">
        <f t="array" ref="K283">IF(ISNUMBER(MATCH("Transport sector mitigation target", _xlfn._xlws.FILTER(Targets!H:H, Targets!A:A =A283), 0)), "yes", "no")</f>
        <v>no</v>
      </c>
      <c r="L283" s="43" t="str">
        <f>IF(K283="no", "No transport target", IF(AND(COUNTIFS(Targets!A:A, A283, Targets!H:H, "Transport sector mitigation target", Targets!J:J, "GHG") &gt; 0, COUNTIFS(Targets!A:A, A283, Targets!H:H, "Transport sector mitigation target", Targets!J:J, "Non GHG") &gt; 0), "GHG and non-GHG target", IF(COUNTIFS(Targets!A:A, A283, Targets!H:H, "Transport sector mitigation target", Targets!J:J, "GHG") &gt; 0, "GHG target", IF(COUNTIFS(Targets!A:A, A283, Targets!H:H, "Transport sector mitigation target", Targets!J:J, "Non GHG") &gt; 0, "non-GHG target", ""))))</f>
        <v>No transport target</v>
      </c>
      <c r="M283" s="43" t="str">
        <f>IF(K283="no","No transport target",IF(L283="non-GHG target","No GHG transport target",IF(AND(COUNTIFS(Targets!A:A,A283,Targets!H:H,"Transport sector mitigation target",Targets!J:J,"GHG",Targets!L:L,"Conditional")&gt;0,COUNTIFS(Targets!A:A,A283,Targets!H:H,"Transport sector mitigation target",Targets!J:J,"GHG",Targets!L:L,"Unconditional")&gt;0),"GHG unconditional and conditional",IF(COUNTIFS(Targets!A:A,A283,Targets!H:H,"Transport sector mitigation target",Targets!J:J,"GHG",Targets!L:L,"Conditional")&gt;0,"GHG conditional only",IF(COUNTIFS(Targets!A:A,A283,Targets!H:H,"Transport sector mitigation target",Targets!J:J,"GHG",Targets!L:L,"Unconditional")&gt;0,"GHG unconditional only",IF(COUNTIFS(Targets!A:A,A283,Targets!H:H,"Transport sector mitigation target",Targets!J:J,"GHG",Targets!L:L,"Unclear conditionality")&gt;0,"Conditionality unclear",""))))))</f>
        <v>No transport target</v>
      </c>
      <c r="N283" s="43" t="str" cm="1">
        <f t="array" ref="N283">IF(ISNUMBER(MATCH("Transport sector adaptation target", _xlfn._xlws.FILTER(Targets!H:H, Targets!A:A =A283), 0)), "yes", "no")</f>
        <v>no</v>
      </c>
      <c r="O283" s="43" t="str">
        <f>IF(ISNA(MATCH(A283, Mitigation!A:A, 0)), "no", "yes")</f>
        <v>no</v>
      </c>
      <c r="P283" s="43" t="str">
        <f>IF(ISNA(MATCH(A283, Adaptation!A:A, 0)), "no", "yes")</f>
        <v>no</v>
      </c>
      <c r="Q283" s="43" t="str">
        <f>IF(ISNA(MATCH(A283, Benefits!A:A, 0)), "no", "yes")</f>
        <v>no</v>
      </c>
      <c r="R283" s="43"/>
      <c r="S283" s="43"/>
      <c r="T283" s="43" t="s">
        <v>501</v>
      </c>
      <c r="U283" s="356" t="s">
        <v>804</v>
      </c>
      <c r="V283" s="233" t="str">
        <f>VLOOKUP(Table1[[#This Row],[Country Code]],Table29[],3,FALSE)</f>
        <v>Non-Annex I</v>
      </c>
      <c r="W283" s="233" t="str">
        <f>VLOOKUP(Table1[[#This Row],[Country Code]],Table29[],4,FALSE)</f>
        <v>Asia</v>
      </c>
      <c r="X283" s="233" t="str">
        <f>VLOOKUP(Table1[[#This Row],[Country Code]],Table29[],5,FALSE)</f>
        <v>Middle-income</v>
      </c>
      <c r="Y283" s="43"/>
      <c r="Z283" s="43"/>
    </row>
    <row r="284" spans="1:26" ht="15" customHeight="1" x14ac:dyDescent="0.25">
      <c r="A284" s="405">
        <v>43987</v>
      </c>
      <c r="B284" s="20" t="s">
        <v>127</v>
      </c>
      <c r="C284" s="207" t="str">
        <f>VLOOKUP(Table1[[#This Row],[Country Code]],Table29[],2,FALSE)</f>
        <v>Canada</v>
      </c>
      <c r="D284" s="206" t="str">
        <f t="shared" si="10"/>
        <v>Good</v>
      </c>
      <c r="E284" s="20" t="s">
        <v>71</v>
      </c>
      <c r="F284" s="17" t="s">
        <v>694</v>
      </c>
      <c r="G284" s="17" t="str">
        <f t="shared" si="11"/>
        <v>Third NDC</v>
      </c>
      <c r="H284" s="148" t="s">
        <v>695</v>
      </c>
      <c r="I284" s="163">
        <v>45700</v>
      </c>
      <c r="J284" s="187" t="s">
        <v>505</v>
      </c>
      <c r="K284" s="49" t="str" cm="1">
        <f t="array" ref="K284">IF(ISNUMBER(MATCH("Transport sector mitigation target", _xlfn._xlws.FILTER(Targets!H:H, Targets!A:A =A284), 0)), "yes", "no")</f>
        <v>yes</v>
      </c>
      <c r="L284" s="17" t="str">
        <f>IF(K284="no", "No transport target", IF(AND(COUNTIFS(Targets!A:A, A284, Targets!H:H, "Transport sector mitigation target", Targets!J:J, "GHG") &gt; 0, COUNTIFS(Targets!A:A, A284, Targets!H:H, "Transport sector mitigation target", Targets!J:J, "Non GHG") &gt; 0), "GHG and non-GHG target", IF(COUNTIFS(Targets!A:A, A284, Targets!H:H, "Transport sector mitigation target", Targets!J:J, "GHG") &gt; 0, "GHG target", IF(COUNTIFS(Targets!A:A, A284, Targets!H:H, "Transport sector mitigation target", Targets!J:J, "Non GHG") &gt; 0, "non-GHG target", ""))))</f>
        <v>non-GHG target</v>
      </c>
      <c r="M284" s="17" t="str">
        <f>IF(K284="no","No transport target",IF(L284="non-GHG target","No GHG transport target",IF(AND(COUNTIFS(Targets!A:A,A284,Targets!H:H,"Transport sector mitigation target",Targets!J:J,"GHG",Targets!L:L,"Conditional")&gt;0,COUNTIFS(Targets!A:A,A284,Targets!H:H,"Transport sector mitigation target",Targets!J:J,"GHG",Targets!L:L,"Unconditional")&gt;0),"GHG unconditional and conditional",IF(COUNTIFS(Targets!A:A,A284,Targets!H:H,"Transport sector mitigation target",Targets!J:J,"GHG",Targets!L:L,"Conditional")&gt;0,"GHG conditional only",IF(COUNTIFS(Targets!A:A,A284,Targets!H:H,"Transport sector mitigation target",Targets!J:J,"GHG",Targets!L:L,"Unconditional")&gt;0,"GHG unconditional only",IF(COUNTIFS(Targets!A:A,A284,Targets!H:H,"Transport sector mitigation target",Targets!J:J,"GHG",Targets!L:L,"Unclear conditionality")&gt;0,"Conditionality unclear",""))))))</f>
        <v>No GHG transport target</v>
      </c>
      <c r="N284" s="17" t="str" cm="1">
        <f t="array" ref="N284">IF(ISNUMBER(MATCH("Transport sector adaptation target", _xlfn._xlws.FILTER(Targets!H:H, Targets!A:A =A284), 0)), "yes", "no")</f>
        <v>no</v>
      </c>
      <c r="O284" s="17" t="str">
        <f>IF(ISNA(MATCH(A284, Mitigation!A:A, 0)), "no", "yes")</f>
        <v>yes</v>
      </c>
      <c r="P284" s="17" t="str">
        <f>IF(ISNA(MATCH(A284, Adaptation!A:A, 0)), "no", "yes")</f>
        <v>yes</v>
      </c>
      <c r="Q284" s="17" t="str">
        <f>IF(ISNA(MATCH(A284, Benefits!A:A, 0)), "no", "yes")</f>
        <v>yes</v>
      </c>
      <c r="R284" s="17"/>
      <c r="S284" s="148"/>
      <c r="T284" s="17"/>
      <c r="U284" s="148" t="s">
        <v>805</v>
      </c>
      <c r="V284" s="207" t="str">
        <f>VLOOKUP(Table1[[#This Row],[Country Code]],Table29[],3,FALSE)</f>
        <v>Annex I</v>
      </c>
      <c r="W284" s="207" t="str">
        <f>VLOOKUP(Table1[[#This Row],[Country Code]],Table29[],4,FALSE)</f>
        <v>Northern America</v>
      </c>
      <c r="X284" s="233" t="str">
        <f>VLOOKUP(Table1[[#This Row],[Country Code]],Table29[],5,FALSE)</f>
        <v>High-income</v>
      </c>
      <c r="Y284" s="17" t="s">
        <v>806</v>
      </c>
      <c r="Z284" s="17"/>
    </row>
    <row r="285" spans="1:26" ht="15" customHeight="1" x14ac:dyDescent="0.25">
      <c r="A285" s="360">
        <v>17555</v>
      </c>
      <c r="B285" s="43" t="s">
        <v>135</v>
      </c>
      <c r="C285" s="243" t="str">
        <f>VLOOKUP(Table1[[#This Row],[Country Code]],Table29[],2,FALSE)</f>
        <v>Chile</v>
      </c>
      <c r="D285" s="243" t="str">
        <f t="shared" si="10"/>
        <v>Good</v>
      </c>
      <c r="E285" s="176" t="s">
        <v>71</v>
      </c>
      <c r="F285" s="43" t="s">
        <v>528</v>
      </c>
      <c r="G285" s="43" t="str">
        <f t="shared" si="11"/>
        <v>First NDC updated</v>
      </c>
      <c r="H285" s="43" t="s">
        <v>691</v>
      </c>
      <c r="I285" s="351">
        <v>44078</v>
      </c>
      <c r="J285" s="352" t="s">
        <v>505</v>
      </c>
      <c r="K285" s="320" t="str" cm="1">
        <f t="array" ref="K285">IF(ISNUMBER(MATCH("Transport sector mitigation target", _xlfn._xlws.FILTER(Targets!H:H, Targets!A:A =A285), 0)), "yes", "no")</f>
        <v>yes</v>
      </c>
      <c r="L285" s="43" t="str">
        <f>IF(K285="no", "No transport target", IF(AND(COUNTIFS(Targets!A:A, A285, Targets!H:H, "Transport sector mitigation target", Targets!J:J, "GHG") &gt; 0, COUNTIFS(Targets!A:A, A285, Targets!H:H, "Transport sector mitigation target", Targets!J:J, "Non GHG") &gt; 0), "GHG and non-GHG target", IF(COUNTIFS(Targets!A:A, A285, Targets!H:H, "Transport sector mitigation target", Targets!J:J, "GHG") &gt; 0, "GHG target", IF(COUNTIFS(Targets!A:A, A285, Targets!H:H, "Transport sector mitigation target", Targets!J:J, "Non GHG") &gt; 0, "non-GHG target", ""))))</f>
        <v>non-GHG target</v>
      </c>
      <c r="M285" s="43" t="str">
        <f>IF(K285="no","No transport target",IF(L285="non-GHG target","No GHG transport target",IF(AND(COUNTIFS(Targets!A:A,A285,Targets!H:H,"Transport sector mitigation target",Targets!J:J,"GHG",Targets!L:L,"Conditional")&gt;0,COUNTIFS(Targets!A:A,A285,Targets!H:H,"Transport sector mitigation target",Targets!J:J,"GHG",Targets!L:L,"Unconditional")&gt;0),"GHG unconditional and conditional",IF(COUNTIFS(Targets!A:A,A285,Targets!H:H,"Transport sector mitigation target",Targets!J:J,"GHG",Targets!L:L,"Conditional")&gt;0,"GHG conditional only",IF(COUNTIFS(Targets!A:A,A285,Targets!H:H,"Transport sector mitigation target",Targets!J:J,"GHG",Targets!L:L,"Unconditional")&gt;0,"GHG unconditional only",IF(COUNTIFS(Targets!A:A,A285,Targets!H:H,"Transport sector mitigation target",Targets!J:J,"GHG",Targets!L:L,"Unclear conditionality")&gt;0,"Conditionality unclear",""))))))</f>
        <v>No GHG transport target</v>
      </c>
      <c r="N285" s="43" t="str" cm="1">
        <f t="array" ref="N285">IF(ISNUMBER(MATCH("Transport sector adaptation target", _xlfn._xlws.FILTER(Targets!H:H, Targets!A:A =A285), 0)), "yes", "no")</f>
        <v>no</v>
      </c>
      <c r="O285" s="43" t="str">
        <f>IF(ISNA(MATCH(A285, Mitigation!A:A, 0)), "no", "yes")</f>
        <v>yes</v>
      </c>
      <c r="P285" s="43" t="str">
        <f>IF(ISNA(MATCH(A285, Adaptation!A:A, 0)), "no", "yes")</f>
        <v>no</v>
      </c>
      <c r="Q285" s="43" t="str">
        <f>IF(ISNA(MATCH(A285, Benefits!A:A, 0)), "no", "yes")</f>
        <v>yes</v>
      </c>
      <c r="R285" s="43"/>
      <c r="S285" s="43"/>
      <c r="T285" s="43" t="s">
        <v>501</v>
      </c>
      <c r="U285" s="312" t="s">
        <v>807</v>
      </c>
      <c r="V285" s="233" t="str">
        <f>VLOOKUP(Table1[[#This Row],[Country Code]],Table29[],3,FALSE)</f>
        <v>Non-Annex I</v>
      </c>
      <c r="W285" s="233" t="str">
        <f>VLOOKUP(Table1[[#This Row],[Country Code]],Table29[],4,FALSE)</f>
        <v>Latin America and the Caribbean</v>
      </c>
      <c r="X285" s="233" t="str">
        <f>VLOOKUP(Table1[[#This Row],[Country Code]],Table29[],5,FALSE)</f>
        <v>High-income</v>
      </c>
      <c r="Y285" s="43"/>
      <c r="Z285" s="43"/>
    </row>
    <row r="286" spans="1:26" ht="15" customHeight="1" x14ac:dyDescent="0.25">
      <c r="A286" s="360">
        <v>24705</v>
      </c>
      <c r="B286" s="42" t="s">
        <v>137</v>
      </c>
      <c r="C286" s="243" t="str">
        <f>VLOOKUP(Table1[[#This Row],[Country Code]],Table29[],2,FALSE)</f>
        <v>China</v>
      </c>
      <c r="D286" s="243" t="str">
        <f t="shared" si="10"/>
        <v>Good</v>
      </c>
      <c r="E286" s="176" t="s">
        <v>227</v>
      </c>
      <c r="F286" s="43" t="s">
        <v>227</v>
      </c>
      <c r="G286" s="43" t="str">
        <f t="shared" si="11"/>
        <v>LTS</v>
      </c>
      <c r="H286" s="43" t="s">
        <v>636</v>
      </c>
      <c r="I286" s="351">
        <v>44497</v>
      </c>
      <c r="J286" s="352" t="s">
        <v>505</v>
      </c>
      <c r="K286" s="320" t="str" cm="1">
        <f t="array" ref="K286">IF(ISNUMBER(MATCH("Transport sector mitigation target", _xlfn._xlws.FILTER(Targets!H:H, Targets!A:A =A286), 0)), "yes", "no")</f>
        <v>yes</v>
      </c>
      <c r="L286" s="43" t="str">
        <f>IF(K286="no", "No transport target", IF(AND(COUNTIFS(Targets!A:A, A286, Targets!H:H, "Transport sector mitigation target", Targets!J:J, "GHG") &gt; 0, COUNTIFS(Targets!A:A, A286, Targets!H:H, "Transport sector mitigation target", Targets!J:J, "Non GHG") &gt; 0), "GHG and non-GHG target", IF(COUNTIFS(Targets!A:A, A286, Targets!H:H, "Transport sector mitigation target", Targets!J:J, "GHG") &gt; 0, "GHG target", IF(COUNTIFS(Targets!A:A, A286, Targets!H:H, "Transport sector mitigation target", Targets!J:J, "Non GHG") &gt; 0, "non-GHG target", ""))))</f>
        <v>non-GHG target</v>
      </c>
      <c r="M286" s="43" t="str">
        <f>IF(K286="no","No transport target",IF(L286="non-GHG target","No GHG transport target",IF(AND(COUNTIFS(Targets!A:A,A286,Targets!H:H,"Transport sector mitigation target",Targets!J:J,"GHG",Targets!L:L,"Conditional")&gt;0,COUNTIFS(Targets!A:A,A286,Targets!H:H,"Transport sector mitigation target",Targets!J:J,"GHG",Targets!L:L,"Unconditional")&gt;0),"GHG unconditional and conditional",IF(COUNTIFS(Targets!A:A,A286,Targets!H:H,"Transport sector mitigation target",Targets!J:J,"GHG",Targets!L:L,"Conditional")&gt;0,"GHG conditional only",IF(COUNTIFS(Targets!A:A,A286,Targets!H:H,"Transport sector mitigation target",Targets!J:J,"GHG",Targets!L:L,"Unconditional")&gt;0,"GHG unconditional only",IF(COUNTIFS(Targets!A:A,A286,Targets!H:H,"Transport sector mitigation target",Targets!J:J,"GHG",Targets!L:L,"Unclear conditionality")&gt;0,"Conditionality unclear",""))))))</f>
        <v>No GHG transport target</v>
      </c>
      <c r="N286" s="43" t="str" cm="1">
        <f t="array" ref="N286">IF(ISNUMBER(MATCH("Transport sector adaptation target", _xlfn._xlws.FILTER(Targets!H:H, Targets!A:A =A286), 0)), "yes", "no")</f>
        <v>no</v>
      </c>
      <c r="O286" s="43" t="str">
        <f>IF(ISNA(MATCH(A286, Mitigation!A:A, 0)), "no", "yes")</f>
        <v>yes</v>
      </c>
      <c r="P286" s="43" t="str">
        <f>IF(ISNA(MATCH(A286, Adaptation!A:A, 0)), "no", "yes")</f>
        <v>no</v>
      </c>
      <c r="Q286" s="43" t="str">
        <f>IF(ISNA(MATCH(A286, Benefits!A:A, 0)), "no", "yes")</f>
        <v>no</v>
      </c>
      <c r="R286" s="43"/>
      <c r="S286" s="43"/>
      <c r="T286" s="43" t="s">
        <v>501</v>
      </c>
      <c r="U286" s="312" t="s">
        <v>808</v>
      </c>
      <c r="V286" s="233" t="str">
        <f>VLOOKUP(Table1[[#This Row],[Country Code]],Table29[],3,FALSE)</f>
        <v>Non-Annex I</v>
      </c>
      <c r="W286" s="233" t="str">
        <f>VLOOKUP(Table1[[#This Row],[Country Code]],Table29[],4,FALSE)</f>
        <v>Asia</v>
      </c>
      <c r="X286" s="233" t="str">
        <f>VLOOKUP(Table1[[#This Row],[Country Code]],Table29[],5,FALSE)</f>
        <v>Middle-income</v>
      </c>
      <c r="Y286" s="43"/>
      <c r="Z286" s="43"/>
    </row>
    <row r="287" spans="1:26" ht="15" customHeight="1" x14ac:dyDescent="0.25">
      <c r="A287" s="360">
        <v>26777</v>
      </c>
      <c r="B287" s="43" t="s">
        <v>139</v>
      </c>
      <c r="C287" s="243" t="str">
        <f>VLOOKUP(Table1[[#This Row],[Country Code]],Table29[],2,FALSE)</f>
        <v>Colombia</v>
      </c>
      <c r="D287" s="243" t="str">
        <f t="shared" si="10"/>
        <v>Good</v>
      </c>
      <c r="E287" s="176" t="s">
        <v>227</v>
      </c>
      <c r="F287" s="43" t="s">
        <v>227</v>
      </c>
      <c r="G287" s="43" t="str">
        <f t="shared" si="11"/>
        <v>LTS</v>
      </c>
      <c r="H287" s="43" t="s">
        <v>636</v>
      </c>
      <c r="I287" s="351">
        <v>44512</v>
      </c>
      <c r="J287" s="352" t="s">
        <v>505</v>
      </c>
      <c r="K287" s="320" t="str" cm="1">
        <f t="array" ref="K287">IF(ISNUMBER(MATCH("Transport sector mitigation target", _xlfn._xlws.FILTER(Targets!H:H, Targets!A:A =A287), 0)), "yes", "no")</f>
        <v>yes</v>
      </c>
      <c r="L287" s="43" t="str">
        <f>IF(K287="no", "No transport target", IF(AND(COUNTIFS(Targets!A:A, A287, Targets!H:H, "Transport sector mitigation target", Targets!J:J, "GHG") &gt; 0, COUNTIFS(Targets!A:A, A287, Targets!H:H, "Transport sector mitigation target", Targets!J:J, "Non GHG") &gt; 0), "GHG and non-GHG target", IF(COUNTIFS(Targets!A:A, A287, Targets!H:H, "Transport sector mitigation target", Targets!J:J, "GHG") &gt; 0, "GHG target", IF(COUNTIFS(Targets!A:A, A287, Targets!H:H, "Transport sector mitigation target", Targets!J:J, "Non GHG") &gt; 0, "non-GHG target", ""))))</f>
        <v>non-GHG target</v>
      </c>
      <c r="M287" s="43" t="str">
        <f>IF(K287="no","No transport target",IF(L287="non-GHG target","No GHG transport target",IF(AND(COUNTIFS(Targets!A:A,A287,Targets!H:H,"Transport sector mitigation target",Targets!J:J,"GHG",Targets!L:L,"Conditional")&gt;0,COUNTIFS(Targets!A:A,A287,Targets!H:H,"Transport sector mitigation target",Targets!J:J,"GHG",Targets!L:L,"Unconditional")&gt;0),"GHG unconditional and conditional",IF(COUNTIFS(Targets!A:A,A287,Targets!H:H,"Transport sector mitigation target",Targets!J:J,"GHG",Targets!L:L,"Conditional")&gt;0,"GHG conditional only",IF(COUNTIFS(Targets!A:A,A287,Targets!H:H,"Transport sector mitigation target",Targets!J:J,"GHG",Targets!L:L,"Unconditional")&gt;0,"GHG unconditional only",IF(COUNTIFS(Targets!A:A,A287,Targets!H:H,"Transport sector mitigation target",Targets!J:J,"GHG",Targets!L:L,"Unclear conditionality")&gt;0,"Conditionality unclear",""))))))</f>
        <v>No GHG transport target</v>
      </c>
      <c r="N287" s="43" t="str" cm="1">
        <f t="array" ref="N287">IF(ISNUMBER(MATCH("Transport sector adaptation target", _xlfn._xlws.FILTER(Targets!H:H, Targets!A:A =A287), 0)), "yes", "no")</f>
        <v>no</v>
      </c>
      <c r="O287" s="43" t="str">
        <f>IF(ISNA(MATCH(A287, Mitigation!A:A, 0)), "no", "yes")</f>
        <v>yes</v>
      </c>
      <c r="P287" s="43" t="str">
        <f>IF(ISNA(MATCH(A287, Adaptation!A:A, 0)), "no", "yes")</f>
        <v>yes</v>
      </c>
      <c r="Q287" s="43" t="str">
        <f>IF(ISNA(MATCH(A287, Benefits!A:A, 0)), "no", "yes")</f>
        <v>no</v>
      </c>
      <c r="R287" s="43"/>
      <c r="S287" s="43"/>
      <c r="T287" s="43" t="s">
        <v>501</v>
      </c>
      <c r="U287" s="353" t="s">
        <v>809</v>
      </c>
      <c r="V287" s="233" t="str">
        <f>VLOOKUP(Table1[[#This Row],[Country Code]],Table29[],3,FALSE)</f>
        <v>Non-Annex I</v>
      </c>
      <c r="W287" s="233" t="str">
        <f>VLOOKUP(Table1[[#This Row],[Country Code]],Table29[],4,FALSE)</f>
        <v>Latin America and the Caribbean</v>
      </c>
      <c r="X287" s="233" t="str">
        <f>VLOOKUP(Table1[[#This Row],[Country Code]],Table29[],5,FALSE)</f>
        <v>Middle-income</v>
      </c>
      <c r="Y287" s="43"/>
      <c r="Z287" s="43"/>
    </row>
    <row r="288" spans="1:26" ht="15" customHeight="1" x14ac:dyDescent="0.25">
      <c r="A288" s="360">
        <v>42001</v>
      </c>
      <c r="B288" s="43" t="s">
        <v>238</v>
      </c>
      <c r="C288" s="233" t="s">
        <v>239</v>
      </c>
      <c r="D288" s="243" t="str">
        <f t="shared" si="10"/>
        <v>Good</v>
      </c>
      <c r="E288" s="20" t="s">
        <v>774</v>
      </c>
      <c r="F288" s="43" t="s">
        <v>780</v>
      </c>
      <c r="G288" s="43" t="str">
        <f t="shared" si="11"/>
        <v>WRI Net Zero Tracker</v>
      </c>
      <c r="H288" s="148" t="s">
        <v>52</v>
      </c>
      <c r="I288" s="163">
        <v>44207</v>
      </c>
      <c r="J288" s="187" t="s">
        <v>505</v>
      </c>
      <c r="K288" s="49" t="str" cm="1">
        <f t="array" ref="K288">IF(ISNUMBER(MATCH("Transport sector mitigation target", _xlfn._xlws.FILTER(Targets!H:H, Targets!A:A =A288), 0)), "yes", "no")</f>
        <v>no</v>
      </c>
      <c r="L288" s="17" t="str">
        <f>IF(K288="no", "No transport target", IF(AND(COUNTIFS(Targets!A:A, A288, Targets!H:H, "Transport sector mitigation target", Targets!J:J, "GHG") &gt; 0, COUNTIFS(Targets!A:A, A288, Targets!H:H, "Transport sector mitigation target", Targets!J:J, "Non GHG") &gt; 0), "GHG and non-GHG target", IF(COUNTIFS(Targets!A:A, A288, Targets!H:H, "Transport sector mitigation target", Targets!J:J, "GHG") &gt; 0, "GHG target", IF(COUNTIFS(Targets!A:A, A288, Targets!H:H, "Transport sector mitigation target", Targets!J:J, "Non GHG") &gt; 0, "non-GHG target", ""))))</f>
        <v>No transport target</v>
      </c>
      <c r="M288" s="17" t="str">
        <f>IF(K288="no","No transport target",IF(L288="non-GHG target","No GHG transport target",IF(AND(COUNTIFS(Targets!A:A,A288,Targets!H:H,"Transport sector mitigation target",Targets!J:J,"GHG",Targets!L:L,"Conditional")&gt;0,COUNTIFS(Targets!A:A,A288,Targets!H:H,"Transport sector mitigation target",Targets!J:J,"GHG",Targets!L:L,"Unconditional")&gt;0),"GHG unconditional and conditional",IF(COUNTIFS(Targets!A:A,A288,Targets!H:H,"Transport sector mitigation target",Targets!J:J,"GHG",Targets!L:L,"Conditional")&gt;0,"GHG conditional only",IF(COUNTIFS(Targets!A:A,A288,Targets!H:H,"Transport sector mitigation target",Targets!J:J,"GHG",Targets!L:L,"Unconditional")&gt;0,"GHG unconditional only",IF(COUNTIFS(Targets!A:A,A288,Targets!H:H,"Transport sector mitigation target",Targets!J:J,"GHG",Targets!L:L,"Unclear conditionality")&gt;0,"Conditionality unclear",""))))))</f>
        <v>No transport target</v>
      </c>
      <c r="N288" s="17" t="str" cm="1">
        <f t="array" ref="N288">IF(ISNUMBER(MATCH("Transport sector adaptation target", _xlfn._xlws.FILTER(Targets!H:H, Targets!A:A =A288), 0)), "yes", "no")</f>
        <v>no</v>
      </c>
      <c r="O288" s="17" t="str">
        <f>IF(ISNA(MATCH(A288, Mitigation!A:A, 0)), "no", "yes")</f>
        <v>no</v>
      </c>
      <c r="P288" s="17" t="str">
        <f>IF(ISNA(MATCH(A288, Adaptation!A:A, 0)), "no", "yes")</f>
        <v>no</v>
      </c>
      <c r="Q288" s="17" t="str">
        <f>IF(ISNA(MATCH(A288, Benefits!A:A, 0)), "no", "yes")</f>
        <v>no</v>
      </c>
      <c r="R288" s="148"/>
      <c r="S288" s="148"/>
      <c r="T288" s="17" t="s">
        <v>501</v>
      </c>
      <c r="U288" s="411" t="s">
        <v>781</v>
      </c>
      <c r="V288" s="207" t="str">
        <f>VLOOKUP(Table1[[#This Row],[Country Code]],Table29[],3,FALSE)</f>
        <v>Non-Annex I</v>
      </c>
      <c r="W288" s="207" t="str">
        <f>VLOOKUP(Table1[[#This Row],[Country Code]],Table29[],4,FALSE)</f>
        <v>Asia</v>
      </c>
      <c r="X288" s="207" t="str">
        <f>VLOOKUP(Table1[[#This Row],[Country Code]],Table29[],5,FALSE)</f>
        <v>High-income</v>
      </c>
      <c r="Y288" s="43" t="s">
        <v>750</v>
      </c>
      <c r="Z288" s="17"/>
    </row>
    <row r="289" spans="1:26" ht="15" customHeight="1" x14ac:dyDescent="0.25">
      <c r="A289" s="360">
        <v>42005</v>
      </c>
      <c r="B289" s="43" t="s">
        <v>294</v>
      </c>
      <c r="C289" s="233" t="s">
        <v>295</v>
      </c>
      <c r="D289" s="243" t="str">
        <f t="shared" si="10"/>
        <v>Good</v>
      </c>
      <c r="E289" s="20" t="s">
        <v>774</v>
      </c>
      <c r="F289" s="43" t="s">
        <v>780</v>
      </c>
      <c r="G289" s="43" t="str">
        <f t="shared" si="11"/>
        <v>WRI Net Zero Tracker</v>
      </c>
      <c r="H289" s="148" t="s">
        <v>52</v>
      </c>
      <c r="I289" s="163">
        <v>44207</v>
      </c>
      <c r="J289" s="187" t="s">
        <v>505</v>
      </c>
      <c r="K289" s="49" t="str" cm="1">
        <f t="array" ref="K289">IF(ISNUMBER(MATCH("Transport sector mitigation target", _xlfn._xlws.FILTER(Targets!H:H, Targets!A:A =A289), 0)), "yes", "no")</f>
        <v>no</v>
      </c>
      <c r="L289" s="17" t="str">
        <f>IF(K289="no", "No transport target", IF(AND(COUNTIFS(Targets!A:A, A289, Targets!H:H, "Transport sector mitigation target", Targets!J:J, "GHG") &gt; 0, COUNTIFS(Targets!A:A, A289, Targets!H:H, "Transport sector mitigation target", Targets!J:J, "Non GHG") &gt; 0), "GHG and non-GHG target", IF(COUNTIFS(Targets!A:A, A289, Targets!H:H, "Transport sector mitigation target", Targets!J:J, "GHG") &gt; 0, "GHG target", IF(COUNTIFS(Targets!A:A, A289, Targets!H:H, "Transport sector mitigation target", Targets!J:J, "Non GHG") &gt; 0, "non-GHG target", ""))))</f>
        <v>No transport target</v>
      </c>
      <c r="M289" s="17" t="str">
        <f>IF(K289="no","No transport target",IF(L289="non-GHG target","No GHG transport target",IF(AND(COUNTIFS(Targets!A:A,A289,Targets!H:H,"Transport sector mitigation target",Targets!J:J,"GHG",Targets!L:L,"Conditional")&gt;0,COUNTIFS(Targets!A:A,A289,Targets!H:H,"Transport sector mitigation target",Targets!J:J,"GHG",Targets!L:L,"Unconditional")&gt;0),"GHG unconditional and conditional",IF(COUNTIFS(Targets!A:A,A289,Targets!H:H,"Transport sector mitigation target",Targets!J:J,"GHG",Targets!L:L,"Conditional")&gt;0,"GHG conditional only",IF(COUNTIFS(Targets!A:A,A289,Targets!H:H,"Transport sector mitigation target",Targets!J:J,"GHG",Targets!L:L,"Unconditional")&gt;0,"GHG unconditional only",IF(COUNTIFS(Targets!A:A,A289,Targets!H:H,"Transport sector mitigation target",Targets!J:J,"GHG",Targets!L:L,"Unclear conditionality")&gt;0,"Conditionality unclear",""))))))</f>
        <v>No transport target</v>
      </c>
      <c r="N289" s="17" t="str" cm="1">
        <f t="array" ref="N289">IF(ISNUMBER(MATCH("Transport sector adaptation target", _xlfn._xlws.FILTER(Targets!H:H, Targets!A:A =A289), 0)), "yes", "no")</f>
        <v>no</v>
      </c>
      <c r="O289" s="17" t="str">
        <f>IF(ISNA(MATCH(A289, Mitigation!A:A, 0)), "no", "yes")</f>
        <v>no</v>
      </c>
      <c r="P289" s="17" t="str">
        <f>IF(ISNA(MATCH(A289, Adaptation!A:A, 0)), "no", "yes")</f>
        <v>no</v>
      </c>
      <c r="Q289" s="17" t="str">
        <f>IF(ISNA(MATCH(A289, Benefits!A:A, 0)), "no", "yes")</f>
        <v>no</v>
      </c>
      <c r="R289" s="148"/>
      <c r="S289" s="148"/>
      <c r="T289" s="17" t="s">
        <v>501</v>
      </c>
      <c r="U289" s="411" t="s">
        <v>781</v>
      </c>
      <c r="V289" s="207" t="str">
        <f>VLOOKUP(Table1[[#This Row],[Country Code]],Table29[],3,FALSE)</f>
        <v>Non-Annex I</v>
      </c>
      <c r="W289" s="207" t="str">
        <f>VLOOKUP(Table1[[#This Row],[Country Code]],Table29[],4,FALSE)</f>
        <v>Africa</v>
      </c>
      <c r="X289" s="207" t="str">
        <f>VLOOKUP(Table1[[#This Row],[Country Code]],Table29[],5,FALSE)</f>
        <v>Middle-income</v>
      </c>
      <c r="Y289" s="43" t="s">
        <v>750</v>
      </c>
      <c r="Z289" s="17"/>
    </row>
    <row r="290" spans="1:26" ht="15" customHeight="1" x14ac:dyDescent="0.25">
      <c r="A290" s="360">
        <v>42004</v>
      </c>
      <c r="B290" s="43" t="s">
        <v>307</v>
      </c>
      <c r="C290" s="233" t="s">
        <v>308</v>
      </c>
      <c r="D290" s="243" t="str">
        <f t="shared" si="10"/>
        <v>Good</v>
      </c>
      <c r="E290" s="20" t="s">
        <v>774</v>
      </c>
      <c r="F290" s="43" t="s">
        <v>780</v>
      </c>
      <c r="G290" s="43" t="str">
        <f t="shared" si="11"/>
        <v>WRI Net Zero Tracker</v>
      </c>
      <c r="H290" s="148" t="s">
        <v>52</v>
      </c>
      <c r="I290" s="163">
        <v>44207</v>
      </c>
      <c r="J290" s="187" t="s">
        <v>505</v>
      </c>
      <c r="K290" s="49" t="str" cm="1">
        <f t="array" ref="K290">IF(ISNUMBER(MATCH("Transport sector mitigation target", _xlfn._xlws.FILTER(Targets!H:H, Targets!A:A =A290), 0)), "yes", "no")</f>
        <v>no</v>
      </c>
      <c r="L290" s="17" t="str">
        <f>IF(K290="no", "No transport target", IF(AND(COUNTIFS(Targets!A:A, A290, Targets!H:H, "Transport sector mitigation target", Targets!J:J, "GHG") &gt; 0, COUNTIFS(Targets!A:A, A290, Targets!H:H, "Transport sector mitigation target", Targets!J:J, "Non GHG") &gt; 0), "GHG and non-GHG target", IF(COUNTIFS(Targets!A:A, A290, Targets!H:H, "Transport sector mitigation target", Targets!J:J, "GHG") &gt; 0, "GHG target", IF(COUNTIFS(Targets!A:A, A290, Targets!H:H, "Transport sector mitigation target", Targets!J:J, "Non GHG") &gt; 0, "non-GHG target", ""))))</f>
        <v>No transport target</v>
      </c>
      <c r="M290" s="17" t="str">
        <f>IF(K290="no","No transport target",IF(L290="non-GHG target","No GHG transport target",IF(AND(COUNTIFS(Targets!A:A,A290,Targets!H:H,"Transport sector mitigation target",Targets!J:J,"GHG",Targets!L:L,"Conditional")&gt;0,COUNTIFS(Targets!A:A,A290,Targets!H:H,"Transport sector mitigation target",Targets!J:J,"GHG",Targets!L:L,"Unconditional")&gt;0),"GHG unconditional and conditional",IF(COUNTIFS(Targets!A:A,A290,Targets!H:H,"Transport sector mitigation target",Targets!J:J,"GHG",Targets!L:L,"Conditional")&gt;0,"GHG conditional only",IF(COUNTIFS(Targets!A:A,A290,Targets!H:H,"Transport sector mitigation target",Targets!J:J,"GHG",Targets!L:L,"Unconditional")&gt;0,"GHG unconditional only",IF(COUNTIFS(Targets!A:A,A290,Targets!H:H,"Transport sector mitigation target",Targets!J:J,"GHG",Targets!L:L,"Unclear conditionality")&gt;0,"Conditionality unclear",""))))))</f>
        <v>No transport target</v>
      </c>
      <c r="N290" s="17" t="str" cm="1">
        <f t="array" ref="N290">IF(ISNUMBER(MATCH("Transport sector adaptation target", _xlfn._xlws.FILTER(Targets!H:H, Targets!A:A =A290), 0)), "yes", "no")</f>
        <v>no</v>
      </c>
      <c r="O290" s="17" t="str">
        <f>IF(ISNA(MATCH(A290, Mitigation!A:A, 0)), "no", "yes")</f>
        <v>no</v>
      </c>
      <c r="P290" s="17" t="str">
        <f>IF(ISNA(MATCH(A290, Adaptation!A:A, 0)), "no", "yes")</f>
        <v>no</v>
      </c>
      <c r="Q290" s="17" t="str">
        <f>IF(ISNA(MATCH(A290, Benefits!A:A, 0)), "no", "yes")</f>
        <v>no</v>
      </c>
      <c r="R290" s="148"/>
      <c r="S290" s="148"/>
      <c r="T290" s="17" t="s">
        <v>501</v>
      </c>
      <c r="U290" s="411" t="s">
        <v>781</v>
      </c>
      <c r="V290" s="207" t="str">
        <f>VLOOKUP(Table1[[#This Row],[Country Code]],Table29[],3,FALSE)</f>
        <v>Non-Annex I</v>
      </c>
      <c r="W290" s="207" t="str">
        <f>VLOOKUP(Table1[[#This Row],[Country Code]],Table29[],4,FALSE)</f>
        <v>Europe</v>
      </c>
      <c r="X290" s="207" t="str">
        <f>VLOOKUP(Table1[[#This Row],[Country Code]],Table29[],5,FALSE)</f>
        <v>Middle-income</v>
      </c>
      <c r="Y290" s="43" t="s">
        <v>750</v>
      </c>
      <c r="Z290" s="17"/>
    </row>
    <row r="291" spans="1:26" ht="15" customHeight="1" x14ac:dyDescent="0.25">
      <c r="A291" s="360">
        <v>17720</v>
      </c>
      <c r="B291" s="209" t="s">
        <v>374</v>
      </c>
      <c r="C291" s="243" t="str">
        <f>VLOOKUP(Table1[[#This Row],[Country Code]],Table29[],2,FALSE)</f>
        <v>Saint Lucia</v>
      </c>
      <c r="D291" s="243" t="str">
        <f t="shared" si="10"/>
        <v>Good</v>
      </c>
      <c r="E291" s="176" t="s">
        <v>71</v>
      </c>
      <c r="F291" s="43" t="s">
        <v>528</v>
      </c>
      <c r="G291" s="43" t="str">
        <f t="shared" si="11"/>
        <v>First NDC updated</v>
      </c>
      <c r="H291" s="43" t="s">
        <v>691</v>
      </c>
      <c r="I291" s="351">
        <v>44223</v>
      </c>
      <c r="J291" s="352" t="s">
        <v>500</v>
      </c>
      <c r="K291" s="320" t="str" cm="1">
        <f t="array" ref="K291">IF(ISNUMBER(MATCH("Transport sector mitigation target", _xlfn._xlws.FILTER(Targets!H:H, Targets!A:A =A291), 0)), "yes", "no")</f>
        <v>no</v>
      </c>
      <c r="L291" s="43" t="str">
        <f>IF(K291="no", "No transport target", IF(AND(COUNTIFS(Targets!A:A, A291, Targets!H:H, "Transport sector mitigation target", Targets!J:J, "GHG") &gt; 0, COUNTIFS(Targets!A:A, A291, Targets!H:H, "Transport sector mitigation target", Targets!J:J, "Non GHG") &gt; 0), "GHG and non-GHG target", IF(COUNTIFS(Targets!A:A, A291, Targets!H:H, "Transport sector mitigation target", Targets!J:J, "GHG") &gt; 0, "GHG target", IF(COUNTIFS(Targets!A:A, A291, Targets!H:H, "Transport sector mitigation target", Targets!J:J, "Non GHG") &gt; 0, "non-GHG target", ""))))</f>
        <v>No transport target</v>
      </c>
      <c r="M291" s="43" t="str">
        <f>IF(K291="no","No transport target",IF(L291="non-GHG target","No GHG transport target",IF(AND(COUNTIFS(Targets!A:A,A291,Targets!H:H,"Transport sector mitigation target",Targets!J:J,"GHG",Targets!L:L,"Conditional")&gt;0,COUNTIFS(Targets!A:A,A291,Targets!H:H,"Transport sector mitigation target",Targets!J:J,"GHG",Targets!L:L,"Unconditional")&gt;0),"GHG unconditional and conditional",IF(COUNTIFS(Targets!A:A,A291,Targets!H:H,"Transport sector mitigation target",Targets!J:J,"GHG",Targets!L:L,"Conditional")&gt;0,"GHG conditional only",IF(COUNTIFS(Targets!A:A,A291,Targets!H:H,"Transport sector mitigation target",Targets!J:J,"GHG",Targets!L:L,"Unconditional")&gt;0,"GHG unconditional only",IF(COUNTIFS(Targets!A:A,A291,Targets!H:H,"Transport sector mitigation target",Targets!J:J,"GHG",Targets!L:L,"Unclear conditionality")&gt;0,"Conditionality unclear",""))))))</f>
        <v>No transport target</v>
      </c>
      <c r="N291" s="43" t="str" cm="1">
        <f t="array" ref="N291">IF(ISNUMBER(MATCH("Transport sector adaptation target", _xlfn._xlws.FILTER(Targets!H:H, Targets!A:A =A291), 0)), "yes", "no")</f>
        <v>no</v>
      </c>
      <c r="O291" s="43" t="str">
        <f>IF(ISNA(MATCH(A291, Mitigation!A:A, 0)), "no", "yes")</f>
        <v>no</v>
      </c>
      <c r="P291" s="43" t="str">
        <f>IF(ISNA(MATCH(A291, Adaptation!A:A, 0)), "no", "yes")</f>
        <v>no</v>
      </c>
      <c r="Q291" s="43" t="str">
        <f>IF(ISNA(MATCH(A291, Benefits!A:A, 0)), "no", "yes")</f>
        <v>no</v>
      </c>
      <c r="R291" s="43"/>
      <c r="S291" s="43"/>
      <c r="T291" s="43" t="s">
        <v>501</v>
      </c>
      <c r="U291" s="312" t="s">
        <v>810</v>
      </c>
      <c r="V291" s="233" t="str">
        <f>VLOOKUP(Table1[[#This Row],[Country Code]],Table29[],3,FALSE)</f>
        <v>Non-Annex I</v>
      </c>
      <c r="W291" s="233" t="str">
        <f>VLOOKUP(Table1[[#This Row],[Country Code]],Table29[],4,FALSE)</f>
        <v>Latin America and the Caribbean</v>
      </c>
      <c r="X291" s="233" t="str">
        <f>VLOOKUP(Table1[[#This Row],[Country Code]],Table29[],5,FALSE)</f>
        <v>Middle-income</v>
      </c>
      <c r="Y291" s="43"/>
      <c r="Z291" s="43"/>
    </row>
    <row r="292" spans="1:26" ht="15" customHeight="1" x14ac:dyDescent="0.25">
      <c r="A292" s="360">
        <v>17590</v>
      </c>
      <c r="B292" s="43" t="s">
        <v>189</v>
      </c>
      <c r="C292" s="243" t="str">
        <f>VLOOKUP(Table1[[#This Row],[Country Code]],Table29[],2,FALSE)</f>
        <v>European Union</v>
      </c>
      <c r="D292" s="243" t="str">
        <f t="shared" si="10"/>
        <v>Good</v>
      </c>
      <c r="E292" s="176" t="s">
        <v>227</v>
      </c>
      <c r="F292" s="43" t="s">
        <v>227</v>
      </c>
      <c r="G292" s="43" t="str">
        <f t="shared" si="11"/>
        <v>LTS</v>
      </c>
      <c r="H292" s="43" t="s">
        <v>636</v>
      </c>
      <c r="I292" s="351">
        <v>43432</v>
      </c>
      <c r="J292" s="352" t="s">
        <v>505</v>
      </c>
      <c r="K292" s="320" t="str" cm="1">
        <f t="array" ref="K292">IF(ISNUMBER(MATCH("Transport sector mitigation target", _xlfn._xlws.FILTER(Targets!H:H, Targets!A:A =A292), 0)), "yes", "no")</f>
        <v>no</v>
      </c>
      <c r="L292" s="43" t="str">
        <f>IF(K292="no", "No transport target", IF(AND(COUNTIFS(Targets!A:A, A292, Targets!H:H, "Transport sector mitigation target", Targets!J:J, "GHG") &gt; 0, COUNTIFS(Targets!A:A, A292, Targets!H:H, "Transport sector mitigation target", Targets!J:J, "Non GHG") &gt; 0), "GHG and non-GHG target", IF(COUNTIFS(Targets!A:A, A292, Targets!H:H, "Transport sector mitigation target", Targets!J:J, "GHG") &gt; 0, "GHG target", IF(COUNTIFS(Targets!A:A, A292, Targets!H:H, "Transport sector mitigation target", Targets!J:J, "Non GHG") &gt; 0, "non-GHG target", ""))))</f>
        <v>No transport target</v>
      </c>
      <c r="M292" s="43" t="str">
        <f>IF(K292="no","No transport target",IF(L292="non-GHG target","No GHG transport target",IF(AND(COUNTIFS(Targets!A:A,A292,Targets!H:H,"Transport sector mitigation target",Targets!J:J,"GHG",Targets!L:L,"Conditional")&gt;0,COUNTIFS(Targets!A:A,A292,Targets!H:H,"Transport sector mitigation target",Targets!J:J,"GHG",Targets!L:L,"Unconditional")&gt;0),"GHG unconditional and conditional",IF(COUNTIFS(Targets!A:A,A292,Targets!H:H,"Transport sector mitigation target",Targets!J:J,"GHG",Targets!L:L,"Conditional")&gt;0,"GHG conditional only",IF(COUNTIFS(Targets!A:A,A292,Targets!H:H,"Transport sector mitigation target",Targets!J:J,"GHG",Targets!L:L,"Unconditional")&gt;0,"GHG unconditional only",IF(COUNTIFS(Targets!A:A,A292,Targets!H:H,"Transport sector mitigation target",Targets!J:J,"GHG",Targets!L:L,"Unclear conditionality")&gt;0,"Conditionality unclear",""))))))</f>
        <v>No transport target</v>
      </c>
      <c r="N292" s="43" t="str" cm="1">
        <f t="array" ref="N292">IF(ISNUMBER(MATCH("Transport sector adaptation target", _xlfn._xlws.FILTER(Targets!H:H, Targets!A:A =A292), 0)), "yes", "no")</f>
        <v>no</v>
      </c>
      <c r="O292" s="43" t="str">
        <f>IF(ISNA(MATCH(A292, Mitigation!A:A, 0)), "no", "yes")</f>
        <v>yes</v>
      </c>
      <c r="P292" s="43" t="str">
        <f>IF(ISNA(MATCH(A292, Adaptation!A:A, 0)), "no", "yes")</f>
        <v>no</v>
      </c>
      <c r="Q292" s="43" t="str">
        <f>IF(ISNA(MATCH(A292, Benefits!A:A, 0)), "no", "yes")</f>
        <v>yes</v>
      </c>
      <c r="R292" s="43"/>
      <c r="S292" s="43"/>
      <c r="T292" s="43" t="s">
        <v>501</v>
      </c>
      <c r="U292" s="312" t="s">
        <v>718</v>
      </c>
      <c r="V292" s="233" t="str">
        <f>VLOOKUP(Table1[[#This Row],[Country Code]],Table29[],3,FALSE)</f>
        <v>Annex I</v>
      </c>
      <c r="W292" s="233" t="str">
        <f>VLOOKUP(Table1[[#This Row],[Country Code]],Table29[],4,FALSE)</f>
        <v>Europe</v>
      </c>
      <c r="X292" s="233" t="str">
        <f>VLOOKUP(Table1[[#This Row],[Country Code]],Table29[],5,FALSE)</f>
        <v>N/A</v>
      </c>
      <c r="Y292" s="43"/>
      <c r="Z292" s="43"/>
    </row>
    <row r="293" spans="1:26" ht="15" customHeight="1" x14ac:dyDescent="0.25">
      <c r="A293" s="360">
        <v>17558</v>
      </c>
      <c r="B293" s="43" t="s">
        <v>139</v>
      </c>
      <c r="C293" s="243" t="str">
        <f>VLOOKUP(Table1[[#This Row],[Country Code]],Table29[],2,FALSE)</f>
        <v>Colombia</v>
      </c>
      <c r="D293" s="243" t="str">
        <f t="shared" si="10"/>
        <v>Good</v>
      </c>
      <c r="E293" s="176" t="s">
        <v>71</v>
      </c>
      <c r="F293" s="43" t="s">
        <v>528</v>
      </c>
      <c r="G293" s="43" t="str">
        <f t="shared" si="11"/>
        <v>First NDC updated</v>
      </c>
      <c r="H293" s="43" t="s">
        <v>691</v>
      </c>
      <c r="I293" s="351">
        <v>44195</v>
      </c>
      <c r="J293" s="352" t="s">
        <v>505</v>
      </c>
      <c r="K293" s="320" t="str" cm="1">
        <f t="array" ref="K293">IF(ISNUMBER(MATCH("Transport sector mitigation target", _xlfn._xlws.FILTER(Targets!H:H, Targets!A:A =A293), 0)), "yes", "no")</f>
        <v>yes</v>
      </c>
      <c r="L293" s="43" t="str">
        <f>IF(K293="no", "No transport target", IF(AND(COUNTIFS(Targets!A:A, A293, Targets!H:H, "Transport sector mitigation target", Targets!J:J, "GHG") &gt; 0, COUNTIFS(Targets!A:A, A293, Targets!H:H, "Transport sector mitigation target", Targets!J:J, "Non GHG") &gt; 0), "GHG and non-GHG target", IF(COUNTIFS(Targets!A:A, A293, Targets!H:H, "Transport sector mitigation target", Targets!J:J, "GHG") &gt; 0, "GHG target", IF(COUNTIFS(Targets!A:A, A293, Targets!H:H, "Transport sector mitigation target", Targets!J:J, "Non GHG") &gt; 0, "non-GHG target", ""))))</f>
        <v>non-GHG target</v>
      </c>
      <c r="M293" s="43" t="str">
        <f>IF(K293="no","No transport target",IF(L293="non-GHG target","No GHG transport target",IF(AND(COUNTIFS(Targets!A:A,A293,Targets!H:H,"Transport sector mitigation target",Targets!J:J,"GHG",Targets!L:L,"Conditional")&gt;0,COUNTIFS(Targets!A:A,A293,Targets!H:H,"Transport sector mitigation target",Targets!J:J,"GHG",Targets!L:L,"Unconditional")&gt;0),"GHG unconditional and conditional",IF(COUNTIFS(Targets!A:A,A293,Targets!H:H,"Transport sector mitigation target",Targets!J:J,"GHG",Targets!L:L,"Conditional")&gt;0,"GHG conditional only",IF(COUNTIFS(Targets!A:A,A293,Targets!H:H,"Transport sector mitigation target",Targets!J:J,"GHG",Targets!L:L,"Unconditional")&gt;0,"GHG unconditional only",IF(COUNTIFS(Targets!A:A,A293,Targets!H:H,"Transport sector mitigation target",Targets!J:J,"GHG",Targets!L:L,"Unclear conditionality")&gt;0,"Conditionality unclear",""))))))</f>
        <v>No GHG transport target</v>
      </c>
      <c r="N293" s="43" t="str" cm="1">
        <f t="array" ref="N293">IF(ISNUMBER(MATCH("Transport sector adaptation target", _xlfn._xlws.FILTER(Targets!H:H, Targets!A:A =A293), 0)), "yes", "no")</f>
        <v>no</v>
      </c>
      <c r="O293" s="43" t="str">
        <f>IF(ISNA(MATCH(A293, Mitigation!A:A, 0)), "no", "yes")</f>
        <v>yes</v>
      </c>
      <c r="P293" s="43" t="str">
        <f>IF(ISNA(MATCH(A293, Adaptation!A:A, 0)), "no", "yes")</f>
        <v>yes</v>
      </c>
      <c r="Q293" s="43" t="str">
        <f>IF(ISNA(MATCH(A293, Benefits!A:A, 0)), "no", "yes")</f>
        <v>no</v>
      </c>
      <c r="R293" s="43"/>
      <c r="S293" s="43"/>
      <c r="T293" s="43" t="s">
        <v>501</v>
      </c>
      <c r="U293" s="312" t="s">
        <v>811</v>
      </c>
      <c r="V293" s="233" t="str">
        <f>VLOOKUP(Table1[[#This Row],[Country Code]],Table29[],3,FALSE)</f>
        <v>Non-Annex I</v>
      </c>
      <c r="W293" s="233" t="str">
        <f>VLOOKUP(Table1[[#This Row],[Country Code]],Table29[],4,FALSE)</f>
        <v>Latin America and the Caribbean</v>
      </c>
      <c r="X293" s="233" t="str">
        <f>VLOOKUP(Table1[[#This Row],[Country Code]],Table29[],5,FALSE)</f>
        <v>Middle-income</v>
      </c>
      <c r="Y293" s="43"/>
      <c r="Z293" s="43"/>
    </row>
    <row r="294" spans="1:26" ht="15" customHeight="1" x14ac:dyDescent="0.25">
      <c r="A294" s="360">
        <v>17563</v>
      </c>
      <c r="B294" s="209" t="s">
        <v>148</v>
      </c>
      <c r="C294" s="243" t="str">
        <f>VLOOKUP(Table1[[#This Row],[Country Code]],Table29[],2,FALSE)</f>
        <v>Costa Rica</v>
      </c>
      <c r="D294" s="243" t="str">
        <f t="shared" si="10"/>
        <v>Good</v>
      </c>
      <c r="E294" s="176" t="s">
        <v>227</v>
      </c>
      <c r="F294" s="43" t="s">
        <v>227</v>
      </c>
      <c r="G294" s="43" t="str">
        <f t="shared" si="11"/>
        <v>LTS</v>
      </c>
      <c r="H294" s="43" t="s">
        <v>636</v>
      </c>
      <c r="I294" s="351">
        <v>43811</v>
      </c>
      <c r="J294" s="352" t="s">
        <v>505</v>
      </c>
      <c r="K294" s="320" t="str" cm="1">
        <f t="array" ref="K294">IF(ISNUMBER(MATCH("Transport sector mitigation target", _xlfn._xlws.FILTER(Targets!H:H, Targets!A:A =A294), 0)), "yes", "no")</f>
        <v>yes</v>
      </c>
      <c r="L294" s="43" t="str">
        <f>IF(K294="no", "No transport target", IF(AND(COUNTIFS(Targets!A:A, A294, Targets!H:H, "Transport sector mitigation target", Targets!J:J, "GHG") &gt; 0, COUNTIFS(Targets!A:A, A294, Targets!H:H, "Transport sector mitigation target", Targets!J:J, "Non GHG") &gt; 0), "GHG and non-GHG target", IF(COUNTIFS(Targets!A:A, A294, Targets!H:H, "Transport sector mitigation target", Targets!J:J, "GHG") &gt; 0, "GHG target", IF(COUNTIFS(Targets!A:A, A294, Targets!H:H, "Transport sector mitigation target", Targets!J:J, "Non GHG") &gt; 0, "non-GHG target", ""))))</f>
        <v>non-GHG target</v>
      </c>
      <c r="M294" s="43" t="str">
        <f>IF(K294="no","No transport target",IF(L294="non-GHG target","No GHG transport target",IF(AND(COUNTIFS(Targets!A:A,A294,Targets!H:H,"Transport sector mitigation target",Targets!J:J,"GHG",Targets!L:L,"Conditional")&gt;0,COUNTIFS(Targets!A:A,A294,Targets!H:H,"Transport sector mitigation target",Targets!J:J,"GHG",Targets!L:L,"Unconditional")&gt;0),"GHG unconditional and conditional",IF(COUNTIFS(Targets!A:A,A294,Targets!H:H,"Transport sector mitigation target",Targets!J:J,"GHG",Targets!L:L,"Conditional")&gt;0,"GHG conditional only",IF(COUNTIFS(Targets!A:A,A294,Targets!H:H,"Transport sector mitigation target",Targets!J:J,"GHG",Targets!L:L,"Unconditional")&gt;0,"GHG unconditional only",IF(COUNTIFS(Targets!A:A,A294,Targets!H:H,"Transport sector mitigation target",Targets!J:J,"GHG",Targets!L:L,"Unclear conditionality")&gt;0,"Conditionality unclear",""))))))</f>
        <v>No GHG transport target</v>
      </c>
      <c r="N294" s="43" t="str" cm="1">
        <f t="array" ref="N294">IF(ISNUMBER(MATCH("Transport sector adaptation target", _xlfn._xlws.FILTER(Targets!H:H, Targets!A:A =A294), 0)), "yes", "no")</f>
        <v>no</v>
      </c>
      <c r="O294" s="43" t="str">
        <f>IF(ISNA(MATCH(A294, Mitigation!A:A, 0)), "no", "yes")</f>
        <v>yes</v>
      </c>
      <c r="P294" s="43" t="str">
        <f>IF(ISNA(MATCH(A294, Adaptation!A:A, 0)), "no", "yes")</f>
        <v>no</v>
      </c>
      <c r="Q294" s="43" t="str">
        <f>IF(ISNA(MATCH(A294, Benefits!A:A, 0)), "no", "yes")</f>
        <v>no</v>
      </c>
      <c r="R294" s="43"/>
      <c r="S294" s="43"/>
      <c r="T294" s="43" t="s">
        <v>501</v>
      </c>
      <c r="U294" s="312" t="s">
        <v>812</v>
      </c>
      <c r="V294" s="233" t="str">
        <f>VLOOKUP(Table1[[#This Row],[Country Code]],Table29[],3,FALSE)</f>
        <v>Non-Annex I</v>
      </c>
      <c r="W294" s="233" t="str">
        <f>VLOOKUP(Table1[[#This Row],[Country Code]],Table29[],4,FALSE)</f>
        <v>Latin America and the Caribbean</v>
      </c>
      <c r="X294" s="233" t="str">
        <f>VLOOKUP(Table1[[#This Row],[Country Code]],Table29[],5,FALSE)</f>
        <v>Middle-income</v>
      </c>
      <c r="Y294" s="43"/>
      <c r="Z294" s="43"/>
    </row>
    <row r="295" spans="1:26" ht="15" customHeight="1" x14ac:dyDescent="0.25">
      <c r="A295" s="360">
        <v>41995</v>
      </c>
      <c r="B295" s="42" t="s">
        <v>89</v>
      </c>
      <c r="C295" s="243" t="str">
        <f>VLOOKUP(Table1[[#This Row],[Country Code]],Table29[],2,FALSE)</f>
        <v>Bahrain</v>
      </c>
      <c r="D295" s="243" t="str">
        <f t="shared" si="10"/>
        <v>Good</v>
      </c>
      <c r="E295" s="20" t="s">
        <v>774</v>
      </c>
      <c r="F295" s="43" t="s">
        <v>780</v>
      </c>
      <c r="G295" s="43" t="str">
        <f t="shared" si="11"/>
        <v>WRI Net Zero Tracker</v>
      </c>
      <c r="H295" s="350" t="s">
        <v>52</v>
      </c>
      <c r="I295" s="355">
        <v>44238</v>
      </c>
      <c r="J295" s="49" t="s">
        <v>505</v>
      </c>
      <c r="K295" s="49" t="str" cm="1">
        <f t="array" ref="K295">IF(ISNUMBER(MATCH("Transport sector mitigation target", _xlfn._xlws.FILTER(Targets!H:H, Targets!A:A =A295), 0)), "yes", "no")</f>
        <v>no</v>
      </c>
      <c r="L295" s="43" t="str">
        <f>IF(K295="no", "No transport target", IF(AND(COUNTIFS(Targets!A:A, A295, Targets!H:H, "Transport sector mitigation target", Targets!J:J, "GHG") &gt; 0, COUNTIFS(Targets!A:A, A295, Targets!H:H, "Transport sector mitigation target", Targets!J:J, "Non GHG") &gt; 0), "GHG and non-GHG target", IF(COUNTIFS(Targets!A:A, A295, Targets!H:H, "Transport sector mitigation target", Targets!J:J, "GHG") &gt; 0, "GHG target", IF(COUNTIFS(Targets!A:A, A295, Targets!H:H, "Transport sector mitigation target", Targets!J:J, "Non GHG") &gt; 0, "non-GHG target", ""))))</f>
        <v>No transport target</v>
      </c>
      <c r="M295" s="43" t="str">
        <f>IF(K295="no","No transport target",IF(L295="non-GHG target","No GHG transport target",IF(AND(COUNTIFS(Targets!A:A,A295,Targets!H:H,"Transport sector mitigation target",Targets!J:J,"GHG",Targets!L:L,"Conditional")&gt;0,COUNTIFS(Targets!A:A,A295,Targets!H:H,"Transport sector mitigation target",Targets!J:J,"GHG",Targets!L:L,"Unconditional")&gt;0),"GHG unconditional and conditional",IF(COUNTIFS(Targets!A:A,A295,Targets!H:H,"Transport sector mitigation target",Targets!J:J,"GHG",Targets!L:L,"Conditional")&gt;0,"GHG conditional only",IF(COUNTIFS(Targets!A:A,A295,Targets!H:H,"Transport sector mitigation target",Targets!J:J,"GHG",Targets!L:L,"Unconditional")&gt;0,"GHG unconditional only",IF(COUNTIFS(Targets!A:A,A295,Targets!H:H,"Transport sector mitigation target",Targets!J:J,"GHG",Targets!L:L,"Unclear conditionality")&gt;0,"Conditionality unclear",""))))))</f>
        <v>No transport target</v>
      </c>
      <c r="N295" s="43" t="str" cm="1">
        <f t="array" ref="N295">IF(ISNUMBER(MATCH("Transport sector adaptation target", _xlfn._xlws.FILTER(Targets!H:H, Targets!A:A =A295), 0)), "yes", "no")</f>
        <v>no</v>
      </c>
      <c r="O295" s="43" t="str">
        <f>IF(ISNA(MATCH(A295, Mitigation!A:A, 0)), "no", "yes")</f>
        <v>no</v>
      </c>
      <c r="P295" s="43" t="str">
        <f>IF(ISNA(MATCH(A295, Adaptation!A:A, 0)), "no", "yes")</f>
        <v>no</v>
      </c>
      <c r="Q295" s="43" t="str">
        <f>IF(ISNA(MATCH(A295, Benefits!A:A, 0)), "no", "yes")</f>
        <v>no</v>
      </c>
      <c r="R295" s="350"/>
      <c r="S295" s="350"/>
      <c r="T295" s="43" t="s">
        <v>501</v>
      </c>
      <c r="U295" s="411" t="s">
        <v>781</v>
      </c>
      <c r="V295" s="233" t="str">
        <f>VLOOKUP(Table1[[#This Row],[Country Code]],Table29[],3,FALSE)</f>
        <v>Non-Annex I</v>
      </c>
      <c r="W295" s="233" t="str">
        <f>VLOOKUP(Table1[[#This Row],[Country Code]],Table29[],4,FALSE)</f>
        <v>Asia</v>
      </c>
      <c r="X295" s="233" t="str">
        <f>VLOOKUP(Table1[[#This Row],[Country Code]],Table29[],5,FALSE)</f>
        <v>High-income</v>
      </c>
      <c r="Y295" s="43" t="s">
        <v>750</v>
      </c>
      <c r="Z295" s="43"/>
    </row>
    <row r="296" spans="1:26" ht="15" customHeight="1" x14ac:dyDescent="0.25">
      <c r="A296" s="360">
        <v>42008</v>
      </c>
      <c r="B296" s="43" t="s">
        <v>370</v>
      </c>
      <c r="C296" s="241" t="s">
        <v>371</v>
      </c>
      <c r="D296" s="243" t="str">
        <f t="shared" si="10"/>
        <v>Good</v>
      </c>
      <c r="E296" s="20" t="s">
        <v>774</v>
      </c>
      <c r="F296" s="43" t="s">
        <v>780</v>
      </c>
      <c r="G296" s="43" t="str">
        <f t="shared" si="11"/>
        <v>WRI Net Zero Tracker</v>
      </c>
      <c r="H296" s="148" t="s">
        <v>52</v>
      </c>
      <c r="I296" s="163">
        <v>44238</v>
      </c>
      <c r="J296" s="187" t="s">
        <v>505</v>
      </c>
      <c r="K296" s="49" t="str" cm="1">
        <f t="array" ref="K296">IF(ISNUMBER(MATCH("Transport sector mitigation target", _xlfn._xlws.FILTER(Targets!H:H, Targets!A:A =A296), 0)), "yes", "no")</f>
        <v>no</v>
      </c>
      <c r="L296" s="17" t="str">
        <f>IF(K296="no", "No transport target", IF(AND(COUNTIFS(Targets!A:A, A296, Targets!H:H, "Transport sector mitigation target", Targets!J:J, "GHG") &gt; 0, COUNTIFS(Targets!A:A, A296, Targets!H:H, "Transport sector mitigation target", Targets!J:J, "Non GHG") &gt; 0), "GHG and non-GHG target", IF(COUNTIFS(Targets!A:A, A296, Targets!H:H, "Transport sector mitigation target", Targets!J:J, "GHG") &gt; 0, "GHG target", IF(COUNTIFS(Targets!A:A, A296, Targets!H:H, "Transport sector mitigation target", Targets!J:J, "Non GHG") &gt; 0, "non-GHG target", ""))))</f>
        <v>No transport target</v>
      </c>
      <c r="M296" s="17" t="str">
        <f>IF(K296="no","No transport target",IF(L296="non-GHG target","No GHG transport target",IF(AND(COUNTIFS(Targets!A:A,A296,Targets!H:H,"Transport sector mitigation target",Targets!J:J,"GHG",Targets!L:L,"Conditional")&gt;0,COUNTIFS(Targets!A:A,A296,Targets!H:H,"Transport sector mitigation target",Targets!J:J,"GHG",Targets!L:L,"Unconditional")&gt;0),"GHG unconditional and conditional",IF(COUNTIFS(Targets!A:A,A296,Targets!H:H,"Transport sector mitigation target",Targets!J:J,"GHG",Targets!L:L,"Conditional")&gt;0,"GHG conditional only",IF(COUNTIFS(Targets!A:A,A296,Targets!H:H,"Transport sector mitigation target",Targets!J:J,"GHG",Targets!L:L,"Unconditional")&gt;0,"GHG unconditional only",IF(COUNTIFS(Targets!A:A,A296,Targets!H:H,"Transport sector mitigation target",Targets!J:J,"GHG",Targets!L:L,"Unclear conditionality")&gt;0,"Conditionality unclear",""))))))</f>
        <v>No transport target</v>
      </c>
      <c r="N296" s="17" t="str" cm="1">
        <f t="array" ref="N296">IF(ISNUMBER(MATCH("Transport sector adaptation target", _xlfn._xlws.FILTER(Targets!H:H, Targets!A:A =A296), 0)), "yes", "no")</f>
        <v>no</v>
      </c>
      <c r="O296" s="17" t="str">
        <f>IF(ISNA(MATCH(A296, Mitigation!A:A, 0)), "no", "yes")</f>
        <v>no</v>
      </c>
      <c r="P296" s="17" t="str">
        <f>IF(ISNA(MATCH(A296, Adaptation!A:A, 0)), "no", "yes")</f>
        <v>no</v>
      </c>
      <c r="Q296" s="17" t="str">
        <f>IF(ISNA(MATCH(A296, Benefits!A:A, 0)), "no", "yes")</f>
        <v>no</v>
      </c>
      <c r="R296" s="148"/>
      <c r="S296" s="148"/>
      <c r="T296" s="17" t="s">
        <v>501</v>
      </c>
      <c r="U296" s="411" t="s">
        <v>781</v>
      </c>
      <c r="V296" s="207" t="str">
        <f>VLOOKUP(Table1[[#This Row],[Country Code]],Table29[],3,FALSE)</f>
        <v>Non-Annex I</v>
      </c>
      <c r="W296" s="207" t="str">
        <f>VLOOKUP(Table1[[#This Row],[Country Code]],Table29[],4,FALSE)</f>
        <v>Africa</v>
      </c>
      <c r="X296" s="207" t="str">
        <f>VLOOKUP(Table1[[#This Row],[Country Code]],Table29[],5,FALSE)</f>
        <v>Low-income</v>
      </c>
      <c r="Y296" s="43" t="s">
        <v>750</v>
      </c>
      <c r="Z296" s="17"/>
    </row>
    <row r="297" spans="1:26" ht="15" customHeight="1" x14ac:dyDescent="0.25">
      <c r="A297" s="360">
        <v>17616</v>
      </c>
      <c r="B297" s="43" t="s">
        <v>225</v>
      </c>
      <c r="C297" s="243" t="str">
        <f>VLOOKUP(Table1[[#This Row],[Country Code]],Table29[],2,FALSE)</f>
        <v>Iceland</v>
      </c>
      <c r="D297" s="243" t="str">
        <f t="shared" si="10"/>
        <v>Good</v>
      </c>
      <c r="E297" s="176" t="s">
        <v>71</v>
      </c>
      <c r="F297" s="43" t="s">
        <v>528</v>
      </c>
      <c r="G297" s="43" t="str">
        <f t="shared" si="11"/>
        <v>First NDC updated</v>
      </c>
      <c r="H297" s="43" t="s">
        <v>691</v>
      </c>
      <c r="I297" s="351">
        <v>44245</v>
      </c>
      <c r="J297" s="352" t="s">
        <v>505</v>
      </c>
      <c r="K297" s="320" t="str" cm="1">
        <f t="array" ref="K297">IF(ISNUMBER(MATCH("Transport sector mitigation target", _xlfn._xlws.FILTER(Targets!H:H, Targets!A:A =A297), 0)), "yes", "no")</f>
        <v>no</v>
      </c>
      <c r="L297" s="43" t="str">
        <f>IF(K297="no", "No transport target", IF(AND(COUNTIFS(Targets!A:A, A297, Targets!H:H, "Transport sector mitigation target", Targets!J:J, "GHG") &gt; 0, COUNTIFS(Targets!A:A, A297, Targets!H:H, "Transport sector mitigation target", Targets!J:J, "Non GHG") &gt; 0), "GHG and non-GHG target", IF(COUNTIFS(Targets!A:A, A297, Targets!H:H, "Transport sector mitigation target", Targets!J:J, "GHG") &gt; 0, "GHG target", IF(COUNTIFS(Targets!A:A, A297, Targets!H:H, "Transport sector mitigation target", Targets!J:J, "Non GHG") &gt; 0, "non-GHG target", ""))))</f>
        <v>No transport target</v>
      </c>
      <c r="M297" s="43" t="str">
        <f>IF(K297="no","No transport target",IF(L297="non-GHG target","No GHG transport target",IF(AND(COUNTIFS(Targets!A:A,A297,Targets!H:H,"Transport sector mitigation target",Targets!J:J,"GHG",Targets!L:L,"Conditional")&gt;0,COUNTIFS(Targets!A:A,A297,Targets!H:H,"Transport sector mitigation target",Targets!J:J,"GHG",Targets!L:L,"Unconditional")&gt;0),"GHG unconditional and conditional",IF(COUNTIFS(Targets!A:A,A297,Targets!H:H,"Transport sector mitigation target",Targets!J:J,"GHG",Targets!L:L,"Conditional")&gt;0,"GHG conditional only",IF(COUNTIFS(Targets!A:A,A297,Targets!H:H,"Transport sector mitigation target",Targets!J:J,"GHG",Targets!L:L,"Unconditional")&gt;0,"GHG unconditional only",IF(COUNTIFS(Targets!A:A,A297,Targets!H:H,"Transport sector mitigation target",Targets!J:J,"GHG",Targets!L:L,"Unclear conditionality")&gt;0,"Conditionality unclear",""))))))</f>
        <v>No transport target</v>
      </c>
      <c r="N297" s="43" t="str" cm="1">
        <f t="array" ref="N297">IF(ISNUMBER(MATCH("Transport sector adaptation target", _xlfn._xlws.FILTER(Targets!H:H, Targets!A:A =A297), 0)), "yes", "no")</f>
        <v>no</v>
      </c>
      <c r="O297" s="43" t="str">
        <f>IF(ISNA(MATCH(A297, Mitigation!A:A, 0)), "no", "yes")</f>
        <v>no</v>
      </c>
      <c r="P297" s="43" t="str">
        <f>IF(ISNA(MATCH(A297, Adaptation!A:A, 0)), "no", "yes")</f>
        <v>no</v>
      </c>
      <c r="Q297" s="43" t="str">
        <f>IF(ISNA(MATCH(A297, Benefits!A:A, 0)), "no", "yes")</f>
        <v>no</v>
      </c>
      <c r="R297" s="43"/>
      <c r="S297" s="43"/>
      <c r="T297" s="43" t="s">
        <v>501</v>
      </c>
      <c r="U297" s="312" t="s">
        <v>813</v>
      </c>
      <c r="V297" s="233" t="str">
        <f>VLOOKUP(Table1[[#This Row],[Country Code]],Table29[],3,FALSE)</f>
        <v>Annex I</v>
      </c>
      <c r="W297" s="233" t="str">
        <f>VLOOKUP(Table1[[#This Row],[Country Code]],Table29[],4,FALSE)</f>
        <v>Europe</v>
      </c>
      <c r="X297" s="233" t="str">
        <f>VLOOKUP(Table1[[#This Row],[Country Code]],Table29[],5,FALSE)</f>
        <v>High-income</v>
      </c>
      <c r="Y297" s="43"/>
      <c r="Z297" s="43"/>
    </row>
    <row r="298" spans="1:26" ht="15" customHeight="1" x14ac:dyDescent="0.25">
      <c r="A298" s="405">
        <v>17741</v>
      </c>
      <c r="B298" s="17" t="s">
        <v>406</v>
      </c>
      <c r="C298" s="206" t="str">
        <f>VLOOKUP(Table1[[#This Row],[Country Code]],Table29[],2,FALSE)</f>
        <v>South Sudan</v>
      </c>
      <c r="D298" s="243" t="str">
        <f t="shared" si="10"/>
        <v>Good</v>
      </c>
      <c r="E298" s="20" t="s">
        <v>71</v>
      </c>
      <c r="F298" s="17" t="s">
        <v>498</v>
      </c>
      <c r="G298" s="43" t="str">
        <f t="shared" si="11"/>
        <v>First NDC</v>
      </c>
      <c r="H298" s="148" t="s">
        <v>499</v>
      </c>
      <c r="I298" s="149">
        <v>44250</v>
      </c>
      <c r="J298" s="49" t="s">
        <v>500</v>
      </c>
      <c r="K298" s="49" t="str" cm="1">
        <f t="array" ref="K298">IF(ISNUMBER(MATCH("Transport sector mitigation target", _xlfn._xlws.FILTER(Targets!H:H, Targets!A:A =A298), 0)), "yes", "no")</f>
        <v>no</v>
      </c>
      <c r="L298" s="17" t="str">
        <f>IF(K298="no", "No transport target", IF(AND(COUNTIFS(Targets!A:A, A298, Targets!H:H, "Transport sector mitigation target", Targets!J:J, "GHG") &gt; 0, COUNTIFS(Targets!A:A, A298, Targets!H:H, "Transport sector mitigation target", Targets!J:J, "Non GHG") &gt; 0), "GHG and non-GHG target", IF(COUNTIFS(Targets!A:A, A298, Targets!H:H, "Transport sector mitigation target", Targets!J:J, "GHG") &gt; 0, "GHG target", IF(COUNTIFS(Targets!A:A, A298, Targets!H:H, "Transport sector mitigation target", Targets!J:J, "Non GHG") &gt; 0, "non-GHG target", ""))))</f>
        <v>No transport target</v>
      </c>
      <c r="M298" s="17" t="str">
        <f>IF(K298="no","No transport target",IF(L298="non-GHG target","No GHG transport target",IF(AND(COUNTIFS(Targets!A:A,A298,Targets!H:H,"Transport sector mitigation target",Targets!J:J,"GHG",Targets!L:L,"Conditional")&gt;0,COUNTIFS(Targets!A:A,A298,Targets!H:H,"Transport sector mitigation target",Targets!J:J,"GHG",Targets!L:L,"Unconditional")&gt;0),"GHG unconditional and conditional",IF(COUNTIFS(Targets!A:A,A298,Targets!H:H,"Transport sector mitigation target",Targets!J:J,"GHG",Targets!L:L,"Conditional")&gt;0,"GHG conditional only",IF(COUNTIFS(Targets!A:A,A298,Targets!H:H,"Transport sector mitigation target",Targets!J:J,"GHG",Targets!L:L,"Unconditional")&gt;0,"GHG unconditional only",IF(COUNTIFS(Targets!A:A,A298,Targets!H:H,"Transport sector mitigation target",Targets!J:J,"GHG",Targets!L:L,"Unclear conditionality")&gt;0,"Conditionality unclear",""))))))</f>
        <v>No transport target</v>
      </c>
      <c r="N298" s="17" t="str" cm="1">
        <f t="array" ref="N298">IF(ISNUMBER(MATCH("Transport sector adaptation target", _xlfn._xlws.FILTER(Targets!H:H, Targets!A:A =A298), 0)), "yes", "no")</f>
        <v>no</v>
      </c>
      <c r="O298" s="17" t="str">
        <f>IF(ISNA(MATCH(A298, Mitigation!A:A, 0)), "no", "yes")</f>
        <v>yes</v>
      </c>
      <c r="P298" s="17" t="str">
        <f>IF(ISNA(MATCH(A298, Adaptation!A:A, 0)), "no", "yes")</f>
        <v>yes</v>
      </c>
      <c r="Q298" s="17" t="str">
        <f>IF(ISNA(MATCH(A298, Benefits!A:A, 0)), "no", "yes")</f>
        <v>no</v>
      </c>
      <c r="R298" s="17"/>
      <c r="S298" s="17"/>
      <c r="T298" s="17" t="s">
        <v>501</v>
      </c>
      <c r="U298" s="135" t="s">
        <v>814</v>
      </c>
      <c r="V298" s="207" t="str">
        <f>VLOOKUP(Table1[[#This Row],[Country Code]],Table29[],3,FALSE)</f>
        <v>Non-Annex I</v>
      </c>
      <c r="W298" s="207" t="str">
        <f>VLOOKUP(Table1[[#This Row],[Country Code]],Table29[],4,FALSE)</f>
        <v>Africa</v>
      </c>
      <c r="X298" s="207" t="str">
        <f>VLOOKUP(Table1[[#This Row],[Country Code]],Table29[],5,FALSE)</f>
        <v>Low-income</v>
      </c>
      <c r="Y298" s="17"/>
      <c r="Z298" s="17"/>
    </row>
    <row r="299" spans="1:26" ht="15" customHeight="1" x14ac:dyDescent="0.25">
      <c r="A299" s="360">
        <v>17641</v>
      </c>
      <c r="B299" s="43" t="s">
        <v>266</v>
      </c>
      <c r="C299" s="243" t="str">
        <f>VLOOKUP(Table1[[#This Row],[Country Code]],Table29[],2,FALSE)</f>
        <v>Lebanon</v>
      </c>
      <c r="D299" s="243" t="str">
        <f t="shared" si="10"/>
        <v>Good</v>
      </c>
      <c r="E299" s="176" t="s">
        <v>71</v>
      </c>
      <c r="F299" s="43" t="s">
        <v>528</v>
      </c>
      <c r="G299" s="43" t="str">
        <f t="shared" si="11"/>
        <v>First NDC updated</v>
      </c>
      <c r="H299" s="43" t="s">
        <v>691</v>
      </c>
      <c r="I299" s="351">
        <v>44271</v>
      </c>
      <c r="J299" s="352" t="s">
        <v>505</v>
      </c>
      <c r="K299" s="320" t="str" cm="1">
        <f t="array" ref="K299">IF(ISNUMBER(MATCH("Transport sector mitigation target", _xlfn._xlws.FILTER(Targets!H:H, Targets!A:A =A299), 0)), "yes", "no")</f>
        <v>no</v>
      </c>
      <c r="L299" s="43" t="str">
        <f>IF(K299="no", "No transport target", IF(AND(COUNTIFS(Targets!A:A, A299, Targets!H:H, "Transport sector mitigation target", Targets!J:J, "GHG") &gt; 0, COUNTIFS(Targets!A:A, A299, Targets!H:H, "Transport sector mitigation target", Targets!J:J, "Non GHG") &gt; 0), "GHG and non-GHG target", IF(COUNTIFS(Targets!A:A, A299, Targets!H:H, "Transport sector mitigation target", Targets!J:J, "GHG") &gt; 0, "GHG target", IF(COUNTIFS(Targets!A:A, A299, Targets!H:H, "Transport sector mitigation target", Targets!J:J, "Non GHG") &gt; 0, "non-GHG target", ""))))</f>
        <v>No transport target</v>
      </c>
      <c r="M299" s="43" t="str">
        <f>IF(K299="no","No transport target",IF(L299="non-GHG target","No GHG transport target",IF(AND(COUNTIFS(Targets!A:A,A299,Targets!H:H,"Transport sector mitigation target",Targets!J:J,"GHG",Targets!L:L,"Conditional")&gt;0,COUNTIFS(Targets!A:A,A299,Targets!H:H,"Transport sector mitigation target",Targets!J:J,"GHG",Targets!L:L,"Unconditional")&gt;0),"GHG unconditional and conditional",IF(COUNTIFS(Targets!A:A,A299,Targets!H:H,"Transport sector mitigation target",Targets!J:J,"GHG",Targets!L:L,"Conditional")&gt;0,"GHG conditional only",IF(COUNTIFS(Targets!A:A,A299,Targets!H:H,"Transport sector mitigation target",Targets!J:J,"GHG",Targets!L:L,"Unconditional")&gt;0,"GHG unconditional only",IF(COUNTIFS(Targets!A:A,A299,Targets!H:H,"Transport sector mitigation target",Targets!J:J,"GHG",Targets!L:L,"Unclear conditionality")&gt;0,"Conditionality unclear",""))))))</f>
        <v>No transport target</v>
      </c>
      <c r="N299" s="43" t="str" cm="1">
        <f t="array" ref="N299">IF(ISNUMBER(MATCH("Transport sector adaptation target", _xlfn._xlws.FILTER(Targets!H:H, Targets!A:A =A299), 0)), "yes", "no")</f>
        <v>no</v>
      </c>
      <c r="O299" s="43" t="str">
        <f>IF(ISNA(MATCH(A299, Mitigation!A:A, 0)), "no", "yes")</f>
        <v>yes</v>
      </c>
      <c r="P299" s="43" t="str">
        <f>IF(ISNA(MATCH(A299, Adaptation!A:A, 0)), "no", "yes")</f>
        <v>yes</v>
      </c>
      <c r="Q299" s="43" t="str">
        <f>IF(ISNA(MATCH(A299, Benefits!A:A, 0)), "no", "yes")</f>
        <v>no</v>
      </c>
      <c r="R299" s="43"/>
      <c r="S299" s="43"/>
      <c r="T299" s="43" t="s">
        <v>501</v>
      </c>
      <c r="U299" s="312" t="s">
        <v>815</v>
      </c>
      <c r="V299" s="233" t="str">
        <f>VLOOKUP(Table1[[#This Row],[Country Code]],Table29[],3,FALSE)</f>
        <v>Non-Annex I</v>
      </c>
      <c r="W299" s="233" t="str">
        <f>VLOOKUP(Table1[[#This Row],[Country Code]],Table29[],4,FALSE)</f>
        <v>Asia</v>
      </c>
      <c r="X299" s="233" t="str">
        <f>VLOOKUP(Table1[[#This Row],[Country Code]],Table29[],5,FALSE)</f>
        <v>Middle-income</v>
      </c>
      <c r="Y299" s="43"/>
      <c r="Z299" s="43"/>
    </row>
    <row r="300" spans="1:26" ht="15" customHeight="1" x14ac:dyDescent="0.25">
      <c r="A300" s="405">
        <v>17783</v>
      </c>
      <c r="B300" s="17" t="s">
        <v>458</v>
      </c>
      <c r="C300" s="206" t="str">
        <f>VLOOKUP(Table1[[#This Row],[Country Code]],Table29[],2,FALSE)</f>
        <v>Vanuatu</v>
      </c>
      <c r="D300" s="243" t="str">
        <f t="shared" si="10"/>
        <v>Good</v>
      </c>
      <c r="E300" s="20" t="s">
        <v>71</v>
      </c>
      <c r="F300" s="17" t="s">
        <v>525</v>
      </c>
      <c r="G300" s="43" t="str">
        <f t="shared" si="11"/>
        <v>First NDC updated</v>
      </c>
      <c r="H300" s="17" t="s">
        <v>691</v>
      </c>
      <c r="I300" s="149">
        <v>44277</v>
      </c>
      <c r="J300" s="49" t="s">
        <v>500</v>
      </c>
      <c r="K300" s="49" t="str" cm="1">
        <f t="array" ref="K300">IF(ISNUMBER(MATCH("Transport sector mitigation target", _xlfn._xlws.FILTER(Targets!H:H, Targets!A:A =A300), 0)), "yes", "no")</f>
        <v>no</v>
      </c>
      <c r="L300" s="17" t="str">
        <f>IF(K300="no", "No transport target", IF(AND(COUNTIFS(Targets!A:A, A300, Targets!H:H, "Transport sector mitigation target", Targets!J:J, "GHG") &gt; 0, COUNTIFS(Targets!A:A, A300, Targets!H:H, "Transport sector mitigation target", Targets!J:J, "Non GHG") &gt; 0), "GHG and non-GHG target", IF(COUNTIFS(Targets!A:A, A300, Targets!H:H, "Transport sector mitigation target", Targets!J:J, "GHG") &gt; 0, "GHG target", IF(COUNTIFS(Targets!A:A, A300, Targets!H:H, "Transport sector mitigation target", Targets!J:J, "Non GHG") &gt; 0, "non-GHG target", ""))))</f>
        <v>No transport target</v>
      </c>
      <c r="M300" s="17" t="str">
        <f>IF(K300="no","No transport target",IF(L300="non-GHG target","No GHG transport target",IF(AND(COUNTIFS(Targets!A:A,A300,Targets!H:H,"Transport sector mitigation target",Targets!J:J,"GHG",Targets!L:L,"Conditional")&gt;0,COUNTIFS(Targets!A:A,A300,Targets!H:H,"Transport sector mitigation target",Targets!J:J,"GHG",Targets!L:L,"Unconditional")&gt;0),"GHG unconditional and conditional",IF(COUNTIFS(Targets!A:A,A300,Targets!H:H,"Transport sector mitigation target",Targets!J:J,"GHG",Targets!L:L,"Conditional")&gt;0,"GHG conditional only",IF(COUNTIFS(Targets!A:A,A300,Targets!H:H,"Transport sector mitigation target",Targets!J:J,"GHG",Targets!L:L,"Unconditional")&gt;0,"GHG unconditional only",IF(COUNTIFS(Targets!A:A,A300,Targets!H:H,"Transport sector mitigation target",Targets!J:J,"GHG",Targets!L:L,"Unclear conditionality")&gt;0,"Conditionality unclear",""))))))</f>
        <v>No transport target</v>
      </c>
      <c r="N300" s="17" t="str" cm="1">
        <f t="array" ref="N300">IF(ISNUMBER(MATCH("Transport sector adaptation target", _xlfn._xlws.FILTER(Targets!H:H, Targets!A:A =A300), 0)), "yes", "no")</f>
        <v>no</v>
      </c>
      <c r="O300" s="17" t="str">
        <f>IF(ISNA(MATCH(A300, Mitigation!A:A, 0)), "no", "yes")</f>
        <v>no</v>
      </c>
      <c r="P300" s="17" t="str">
        <f>IF(ISNA(MATCH(A300, Adaptation!A:A, 0)), "no", "yes")</f>
        <v>no</v>
      </c>
      <c r="Q300" s="17" t="str">
        <f>IF(ISNA(MATCH(A300, Benefits!A:A, 0)), "no", "yes")</f>
        <v>no</v>
      </c>
      <c r="R300" s="17"/>
      <c r="S300" s="17"/>
      <c r="T300" s="17" t="s">
        <v>501</v>
      </c>
      <c r="U300" s="135" t="s">
        <v>816</v>
      </c>
      <c r="V300" s="207" t="str">
        <f>VLOOKUP(Table1[[#This Row],[Country Code]],Table29[],3,FALSE)</f>
        <v>Non-Annex I</v>
      </c>
      <c r="W300" s="207" t="str">
        <f>VLOOKUP(Table1[[#This Row],[Country Code]],Table29[],4,FALSE)</f>
        <v>Oceania</v>
      </c>
      <c r="X300" s="207" t="str">
        <f>VLOOKUP(Table1[[#This Row],[Country Code]],Table29[],5,FALSE)</f>
        <v>Middle-income</v>
      </c>
      <c r="Y300" s="17"/>
      <c r="Z300" s="17"/>
    </row>
    <row r="301" spans="1:26" ht="15" customHeight="1" x14ac:dyDescent="0.25">
      <c r="A301" s="360">
        <v>17701</v>
      </c>
      <c r="B301" s="17" t="s">
        <v>352</v>
      </c>
      <c r="C301" s="206" t="str">
        <f>VLOOKUP(Table1[[#This Row],[Country Code]],Table29[],2,FALSE)</f>
        <v>Philippines</v>
      </c>
      <c r="D301" s="243" t="str">
        <f t="shared" si="10"/>
        <v>Good</v>
      </c>
      <c r="E301" s="20" t="s">
        <v>71</v>
      </c>
      <c r="F301" s="17" t="s">
        <v>498</v>
      </c>
      <c r="G301" s="43" t="str">
        <f t="shared" si="11"/>
        <v>First NDC updated</v>
      </c>
      <c r="H301" s="17" t="s">
        <v>691</v>
      </c>
      <c r="I301" s="149">
        <v>44301</v>
      </c>
      <c r="J301" s="187" t="s">
        <v>505</v>
      </c>
      <c r="K301" s="49" t="str" cm="1">
        <f t="array" ref="K301">IF(ISNUMBER(MATCH("Transport sector mitigation target", _xlfn._xlws.FILTER(Targets!H:H, Targets!A:A =A301), 0)), "yes", "no")</f>
        <v>no</v>
      </c>
      <c r="L301" s="17" t="str">
        <f>IF(K301="no", "No transport target", IF(AND(COUNTIFS(Targets!A:A, A301, Targets!H:H, "Transport sector mitigation target", Targets!J:J, "GHG") &gt; 0, COUNTIFS(Targets!A:A, A301, Targets!H:H, "Transport sector mitigation target", Targets!J:J, "Non GHG") &gt; 0), "GHG and non-GHG target", IF(COUNTIFS(Targets!A:A, A301, Targets!H:H, "Transport sector mitigation target", Targets!J:J, "GHG") &gt; 0, "GHG target", IF(COUNTIFS(Targets!A:A, A301, Targets!H:H, "Transport sector mitigation target", Targets!J:J, "Non GHG") &gt; 0, "non-GHG target", ""))))</f>
        <v>No transport target</v>
      </c>
      <c r="M301" s="17" t="str">
        <f>IF(K301="no","No transport target",IF(L301="non-GHG target","No GHG transport target",IF(AND(COUNTIFS(Targets!A:A,A301,Targets!H:H,"Transport sector mitigation target",Targets!J:J,"GHG",Targets!L:L,"Conditional")&gt;0,COUNTIFS(Targets!A:A,A301,Targets!H:H,"Transport sector mitigation target",Targets!J:J,"GHG",Targets!L:L,"Unconditional")&gt;0),"GHG unconditional and conditional",IF(COUNTIFS(Targets!A:A,A301,Targets!H:H,"Transport sector mitigation target",Targets!J:J,"GHG",Targets!L:L,"Conditional")&gt;0,"GHG conditional only",IF(COUNTIFS(Targets!A:A,A301,Targets!H:H,"Transport sector mitigation target",Targets!J:J,"GHG",Targets!L:L,"Unconditional")&gt;0,"GHG unconditional only",IF(COUNTIFS(Targets!A:A,A301,Targets!H:H,"Transport sector mitigation target",Targets!J:J,"GHG",Targets!L:L,"Unclear conditionality")&gt;0,"Conditionality unclear",""))))))</f>
        <v>No transport target</v>
      </c>
      <c r="N301" s="17" t="str" cm="1">
        <f t="array" ref="N301">IF(ISNUMBER(MATCH("Transport sector adaptation target", _xlfn._xlws.FILTER(Targets!H:H, Targets!A:A =A301), 0)), "yes", "no")</f>
        <v>no</v>
      </c>
      <c r="O301" s="17" t="str">
        <f>IF(ISNA(MATCH(A301, Mitigation!A:A, 0)), "no", "yes")</f>
        <v>no</v>
      </c>
      <c r="P301" s="17" t="str">
        <f>IF(ISNA(MATCH(A301, Adaptation!A:A, 0)), "no", "yes")</f>
        <v>no</v>
      </c>
      <c r="Q301" s="17" t="str">
        <f>IF(ISNA(MATCH(A301, Benefits!A:A, 0)), "no", "yes")</f>
        <v>no</v>
      </c>
      <c r="R301" s="17"/>
      <c r="S301" s="17"/>
      <c r="T301" s="17" t="s">
        <v>501</v>
      </c>
      <c r="U301" s="135" t="s">
        <v>502</v>
      </c>
      <c r="V301" s="207" t="str">
        <f>VLOOKUP(Table1[[#This Row],[Country Code]],Table29[],3,FALSE)</f>
        <v>Non-Annex I</v>
      </c>
      <c r="W301" s="207" t="str">
        <f>VLOOKUP(Table1[[#This Row],[Country Code]],Table29[],4,FALSE)</f>
        <v>Asia</v>
      </c>
      <c r="X301" s="207" t="str">
        <f>VLOOKUP(Table1[[#This Row],[Country Code]],Table29[],5,FALSE)</f>
        <v>Middle-income</v>
      </c>
      <c r="Y301" s="17"/>
      <c r="Z301" s="17"/>
    </row>
    <row r="302" spans="1:26" ht="15" customHeight="1" x14ac:dyDescent="0.25">
      <c r="A302" s="360">
        <v>17564</v>
      </c>
      <c r="B302" s="43" t="s">
        <v>148</v>
      </c>
      <c r="C302" s="243" t="str">
        <f>VLOOKUP(Table1[[#This Row],[Country Code]],Table29[],2,FALSE)</f>
        <v>Costa Rica</v>
      </c>
      <c r="D302" s="243" t="str">
        <f t="shared" si="10"/>
        <v>Good</v>
      </c>
      <c r="E302" s="176" t="s">
        <v>71</v>
      </c>
      <c r="F302" s="43" t="s">
        <v>528</v>
      </c>
      <c r="G302" s="43" t="str">
        <f t="shared" si="11"/>
        <v>First NDC updated</v>
      </c>
      <c r="H302" s="43" t="s">
        <v>691</v>
      </c>
      <c r="I302" s="351">
        <v>44194</v>
      </c>
      <c r="J302" s="352" t="s">
        <v>505</v>
      </c>
      <c r="K302" s="320" t="str" cm="1">
        <f t="array" ref="K302">IF(ISNUMBER(MATCH("Transport sector mitigation target", _xlfn._xlws.FILTER(Targets!H:H, Targets!A:A =A302), 0)), "yes", "no")</f>
        <v>yes</v>
      </c>
      <c r="L302" s="43" t="str">
        <f>IF(K302="no", "No transport target", IF(AND(COUNTIFS(Targets!A:A, A302, Targets!H:H, "Transport sector mitigation target", Targets!J:J, "GHG") &gt; 0, COUNTIFS(Targets!A:A, A302, Targets!H:H, "Transport sector mitigation target", Targets!J:J, "Non GHG") &gt; 0), "GHG and non-GHG target", IF(COUNTIFS(Targets!A:A, A302, Targets!H:H, "Transport sector mitigation target", Targets!J:J, "GHG") &gt; 0, "GHG target", IF(COUNTIFS(Targets!A:A, A302, Targets!H:H, "Transport sector mitigation target", Targets!J:J, "Non GHG") &gt; 0, "non-GHG target", ""))))</f>
        <v>non-GHG target</v>
      </c>
      <c r="M302" s="43" t="str">
        <f>IF(K302="no","No transport target",IF(L302="non-GHG target","No GHG transport target",IF(AND(COUNTIFS(Targets!A:A,A302,Targets!H:H,"Transport sector mitigation target",Targets!J:J,"GHG",Targets!L:L,"Conditional")&gt;0,COUNTIFS(Targets!A:A,A302,Targets!H:H,"Transport sector mitigation target",Targets!J:J,"GHG",Targets!L:L,"Unconditional")&gt;0),"GHG unconditional and conditional",IF(COUNTIFS(Targets!A:A,A302,Targets!H:H,"Transport sector mitigation target",Targets!J:J,"GHG",Targets!L:L,"Conditional")&gt;0,"GHG conditional only",IF(COUNTIFS(Targets!A:A,A302,Targets!H:H,"Transport sector mitigation target",Targets!J:J,"GHG",Targets!L:L,"Unconditional")&gt;0,"GHG unconditional only",IF(COUNTIFS(Targets!A:A,A302,Targets!H:H,"Transport sector mitigation target",Targets!J:J,"GHG",Targets!L:L,"Unclear conditionality")&gt;0,"Conditionality unclear",""))))))</f>
        <v>No GHG transport target</v>
      </c>
      <c r="N302" s="43" t="str" cm="1">
        <f t="array" ref="N302">IF(ISNUMBER(MATCH("Transport sector adaptation target", _xlfn._xlws.FILTER(Targets!H:H, Targets!A:A =A302), 0)), "yes", "no")</f>
        <v>no</v>
      </c>
      <c r="O302" s="43" t="str">
        <f>IF(ISNA(MATCH(A302, Mitigation!A:A, 0)), "no", "yes")</f>
        <v>yes</v>
      </c>
      <c r="P302" s="43" t="str">
        <f>IF(ISNA(MATCH(A302, Adaptation!A:A, 0)), "no", "yes")</f>
        <v>yes</v>
      </c>
      <c r="Q302" s="43" t="str">
        <f>IF(ISNA(MATCH(A302, Benefits!A:A, 0)), "no", "yes")</f>
        <v>yes</v>
      </c>
      <c r="R302" s="43"/>
      <c r="S302" s="43"/>
      <c r="T302" s="43" t="s">
        <v>501</v>
      </c>
      <c r="U302" s="312" t="s">
        <v>817</v>
      </c>
      <c r="V302" s="233" t="str">
        <f>VLOOKUP(Table1[[#This Row],[Country Code]],Table29[],3,FALSE)</f>
        <v>Non-Annex I</v>
      </c>
      <c r="W302" s="233" t="str">
        <f>VLOOKUP(Table1[[#This Row],[Country Code]],Table29[],4,FALSE)</f>
        <v>Latin America and the Caribbean</v>
      </c>
      <c r="X302" s="233" t="str">
        <f>VLOOKUP(Table1[[#This Row],[Country Code]],Table29[],5,FALSE)</f>
        <v>Middle-income</v>
      </c>
      <c r="Y302" s="43"/>
      <c r="Z302" s="43"/>
    </row>
    <row r="303" spans="1:26" ht="15" customHeight="1" x14ac:dyDescent="0.25">
      <c r="A303" s="360">
        <v>17536</v>
      </c>
      <c r="B303" s="43" t="s">
        <v>107</v>
      </c>
      <c r="C303" s="243" t="str">
        <f>VLOOKUP(Table1[[#This Row],[Country Code]],Table29[],2,FALSE)</f>
        <v>Bosnia and Herzegovina</v>
      </c>
      <c r="D303" s="243" t="str">
        <f t="shared" si="10"/>
        <v>Good</v>
      </c>
      <c r="E303" s="176" t="s">
        <v>71</v>
      </c>
      <c r="F303" s="43" t="s">
        <v>528</v>
      </c>
      <c r="G303" s="43" t="str">
        <f t="shared" si="11"/>
        <v>First NDC updated</v>
      </c>
      <c r="H303" s="43" t="s">
        <v>691</v>
      </c>
      <c r="I303" s="351">
        <v>44306</v>
      </c>
      <c r="J303" s="352" t="s">
        <v>505</v>
      </c>
      <c r="K303" s="320" t="str" cm="1">
        <f t="array" ref="K303">IF(ISNUMBER(MATCH("Transport sector mitigation target", _xlfn._xlws.FILTER(Targets!H:H, Targets!A:A =A303), 0)), "yes", "no")</f>
        <v>no</v>
      </c>
      <c r="L303" s="43" t="str">
        <f>IF(K303="no", "No transport target", IF(AND(COUNTIFS(Targets!A:A, A303, Targets!H:H, "Transport sector mitigation target", Targets!J:J, "GHG") &gt; 0, COUNTIFS(Targets!A:A, A303, Targets!H:H, "Transport sector mitigation target", Targets!J:J, "Non GHG") &gt; 0), "GHG and non-GHG target", IF(COUNTIFS(Targets!A:A, A303, Targets!H:H, "Transport sector mitigation target", Targets!J:J, "GHG") &gt; 0, "GHG target", IF(COUNTIFS(Targets!A:A, A303, Targets!H:H, "Transport sector mitigation target", Targets!J:J, "Non GHG") &gt; 0, "non-GHG target", ""))))</f>
        <v>No transport target</v>
      </c>
      <c r="M303" s="43" t="str">
        <f>IF(K303="no","No transport target",IF(L303="non-GHG target","No GHG transport target",IF(AND(COUNTIFS(Targets!A:A,A303,Targets!H:H,"Transport sector mitigation target",Targets!J:J,"GHG",Targets!L:L,"Conditional")&gt;0,COUNTIFS(Targets!A:A,A303,Targets!H:H,"Transport sector mitigation target",Targets!J:J,"GHG",Targets!L:L,"Unconditional")&gt;0),"GHG unconditional and conditional",IF(COUNTIFS(Targets!A:A,A303,Targets!H:H,"Transport sector mitigation target",Targets!J:J,"GHG",Targets!L:L,"Conditional")&gt;0,"GHG conditional only",IF(COUNTIFS(Targets!A:A,A303,Targets!H:H,"Transport sector mitigation target",Targets!J:J,"GHG",Targets!L:L,"Unconditional")&gt;0,"GHG unconditional only",IF(COUNTIFS(Targets!A:A,A303,Targets!H:H,"Transport sector mitigation target",Targets!J:J,"GHG",Targets!L:L,"Unclear conditionality")&gt;0,"Conditionality unclear",""))))))</f>
        <v>No transport target</v>
      </c>
      <c r="N303" s="43" t="str" cm="1">
        <f t="array" ref="N303">IF(ISNUMBER(MATCH("Transport sector adaptation target", _xlfn._xlws.FILTER(Targets!H:H, Targets!A:A =A303), 0)), "yes", "no")</f>
        <v>no</v>
      </c>
      <c r="O303" s="43" t="str">
        <f>IF(ISNA(MATCH(A303, Mitigation!A:A, 0)), "no", "yes")</f>
        <v>no</v>
      </c>
      <c r="P303" s="43" t="str">
        <f>IF(ISNA(MATCH(A303, Adaptation!A:A, 0)), "no", "yes")</f>
        <v>no</v>
      </c>
      <c r="Q303" s="43" t="str">
        <f>IF(ISNA(MATCH(A303, Benefits!A:A, 0)), "no", "yes")</f>
        <v>no</v>
      </c>
      <c r="R303" s="43"/>
      <c r="S303" s="43"/>
      <c r="T303" s="43" t="s">
        <v>501</v>
      </c>
      <c r="U303" s="312" t="s">
        <v>818</v>
      </c>
      <c r="V303" s="233" t="str">
        <f>VLOOKUP(Table1[[#This Row],[Country Code]],Table29[],3,FALSE)</f>
        <v>Non-Annex I</v>
      </c>
      <c r="W303" s="233" t="str">
        <f>VLOOKUP(Table1[[#This Row],[Country Code]],Table29[],4,FALSE)</f>
        <v>Europe</v>
      </c>
      <c r="X303" s="233" t="str">
        <f>VLOOKUP(Table1[[#This Row],[Country Code]],Table29[],5,FALSE)</f>
        <v>Middle-income</v>
      </c>
      <c r="Y303" s="43"/>
      <c r="Z303" s="43"/>
    </row>
    <row r="304" spans="1:26" ht="15" customHeight="1" x14ac:dyDescent="0.25">
      <c r="A304" s="360">
        <v>41999</v>
      </c>
      <c r="B304" s="43" t="s">
        <v>217</v>
      </c>
      <c r="C304" s="233" t="s">
        <v>218</v>
      </c>
      <c r="D304" s="243" t="str">
        <f t="shared" si="10"/>
        <v>Good</v>
      </c>
      <c r="E304" s="20" t="s">
        <v>774</v>
      </c>
      <c r="F304" s="43" t="s">
        <v>780</v>
      </c>
      <c r="G304" s="43" t="str">
        <f t="shared" si="11"/>
        <v>WRI Net Zero Tracker</v>
      </c>
      <c r="H304" s="148" t="s">
        <v>52</v>
      </c>
      <c r="I304" s="163">
        <v>44308</v>
      </c>
      <c r="J304" s="187" t="s">
        <v>505</v>
      </c>
      <c r="K304" s="49" t="str" cm="1">
        <f t="array" ref="K304">IF(ISNUMBER(MATCH("Transport sector mitigation target", _xlfn._xlws.FILTER(Targets!H:H, Targets!A:A =A304), 0)), "yes", "no")</f>
        <v>no</v>
      </c>
      <c r="L304" s="17" t="str">
        <f>IF(K304="no", "No transport target", IF(AND(COUNTIFS(Targets!A:A, A304, Targets!H:H, "Transport sector mitigation target", Targets!J:J, "GHG") &gt; 0, COUNTIFS(Targets!A:A, A304, Targets!H:H, "Transport sector mitigation target", Targets!J:J, "Non GHG") &gt; 0), "GHG and non-GHG target", IF(COUNTIFS(Targets!A:A, A304, Targets!H:H, "Transport sector mitigation target", Targets!J:J, "GHG") &gt; 0, "GHG target", IF(COUNTIFS(Targets!A:A, A304, Targets!H:H, "Transport sector mitigation target", Targets!J:J, "Non GHG") &gt; 0, "non-GHG target", ""))))</f>
        <v>No transport target</v>
      </c>
      <c r="M304" s="17" t="str">
        <f>IF(K304="no","No transport target",IF(L304="non-GHG target","No GHG transport target",IF(AND(COUNTIFS(Targets!A:A,A304,Targets!H:H,"Transport sector mitigation target",Targets!J:J,"GHG",Targets!L:L,"Conditional")&gt;0,COUNTIFS(Targets!A:A,A304,Targets!H:H,"Transport sector mitigation target",Targets!J:J,"GHG",Targets!L:L,"Unconditional")&gt;0),"GHG unconditional and conditional",IF(COUNTIFS(Targets!A:A,A304,Targets!H:H,"Transport sector mitigation target",Targets!J:J,"GHG",Targets!L:L,"Conditional")&gt;0,"GHG conditional only",IF(COUNTIFS(Targets!A:A,A304,Targets!H:H,"Transport sector mitigation target",Targets!J:J,"GHG",Targets!L:L,"Unconditional")&gt;0,"GHG unconditional only",IF(COUNTIFS(Targets!A:A,A304,Targets!H:H,"Transport sector mitigation target",Targets!J:J,"GHG",Targets!L:L,"Unclear conditionality")&gt;0,"Conditionality unclear",""))))))</f>
        <v>No transport target</v>
      </c>
      <c r="N304" s="17" t="str" cm="1">
        <f t="array" ref="N304">IF(ISNUMBER(MATCH("Transport sector adaptation target", _xlfn._xlws.FILTER(Targets!H:H, Targets!A:A =A304), 0)), "yes", "no")</f>
        <v>no</v>
      </c>
      <c r="O304" s="17" t="str">
        <f>IF(ISNA(MATCH(A304, Mitigation!A:A, 0)), "no", "yes")</f>
        <v>no</v>
      </c>
      <c r="P304" s="17" t="str">
        <f>IF(ISNA(MATCH(A304, Adaptation!A:A, 0)), "no", "yes")</f>
        <v>no</v>
      </c>
      <c r="Q304" s="17" t="str">
        <f>IF(ISNA(MATCH(A304, Benefits!A:A, 0)), "no", "yes")</f>
        <v>no</v>
      </c>
      <c r="R304" s="148"/>
      <c r="S304" s="148"/>
      <c r="T304" s="17" t="s">
        <v>501</v>
      </c>
      <c r="U304" s="411" t="s">
        <v>781</v>
      </c>
      <c r="V304" s="207" t="str">
        <f>VLOOKUP(Table1[[#This Row],[Country Code]],Table29[],3,FALSE)</f>
        <v>Non-Annex I</v>
      </c>
      <c r="W304" s="207" t="str">
        <f>VLOOKUP(Table1[[#This Row],[Country Code]],Table29[],4,FALSE)</f>
        <v>Latin America and the Caribbean</v>
      </c>
      <c r="X304" s="207" t="str">
        <f>VLOOKUP(Table1[[#This Row],[Country Code]],Table29[],5,FALSE)</f>
        <v>Middle-income</v>
      </c>
      <c r="Y304" s="43" t="s">
        <v>750</v>
      </c>
      <c r="Z304" s="17"/>
    </row>
    <row r="305" spans="1:26" ht="15" customHeight="1" x14ac:dyDescent="0.25">
      <c r="A305" s="405">
        <v>19930</v>
      </c>
      <c r="B305" s="18" t="s">
        <v>452</v>
      </c>
      <c r="C305" s="206" t="str">
        <f>VLOOKUP(Table1[[#This Row],[Country Code]],Table29[],2,FALSE)</f>
        <v>United States of America</v>
      </c>
      <c r="D305" s="243" t="str">
        <f t="shared" si="10"/>
        <v>Good</v>
      </c>
      <c r="E305" s="20" t="s">
        <v>71</v>
      </c>
      <c r="F305" s="17" t="s">
        <v>528</v>
      </c>
      <c r="G305" s="43" t="str">
        <f t="shared" si="11"/>
        <v>First NDC updated</v>
      </c>
      <c r="H305" s="17" t="s">
        <v>691</v>
      </c>
      <c r="I305" s="149">
        <v>44308</v>
      </c>
      <c r="J305" s="187" t="s">
        <v>500</v>
      </c>
      <c r="K305" s="49" t="str" cm="1">
        <f t="array" ref="K305">IF(ISNUMBER(MATCH("Transport sector mitigation target", _xlfn._xlws.FILTER(Targets!H:H, Targets!A:A =A305), 0)), "yes", "no")</f>
        <v>no</v>
      </c>
      <c r="L305" s="17" t="str">
        <f>IF(K305="no", "No transport target", IF(AND(COUNTIFS(Targets!A:A, A305, Targets!H:H, "Transport sector mitigation target", Targets!J:J, "GHG") &gt; 0, COUNTIFS(Targets!A:A, A305, Targets!H:H, "Transport sector mitigation target", Targets!J:J, "Non GHG") &gt; 0), "GHG and non-GHG target", IF(COUNTIFS(Targets!A:A, A305, Targets!H:H, "Transport sector mitigation target", Targets!J:J, "GHG") &gt; 0, "GHG target", IF(COUNTIFS(Targets!A:A, A305, Targets!H:H, "Transport sector mitigation target", Targets!J:J, "Non GHG") &gt; 0, "non-GHG target", ""))))</f>
        <v>No transport target</v>
      </c>
      <c r="M305" s="17" t="str">
        <f>IF(K305="no","No transport target",IF(L305="non-GHG target","No GHG transport target",IF(AND(COUNTIFS(Targets!A:A,A305,Targets!H:H,"Transport sector mitigation target",Targets!J:J,"GHG",Targets!L:L,"Conditional")&gt;0,COUNTIFS(Targets!A:A,A305,Targets!H:H,"Transport sector mitigation target",Targets!J:J,"GHG",Targets!L:L,"Unconditional")&gt;0),"GHG unconditional and conditional",IF(COUNTIFS(Targets!A:A,A305,Targets!H:H,"Transport sector mitigation target",Targets!J:J,"GHG",Targets!L:L,"Conditional")&gt;0,"GHG conditional only",IF(COUNTIFS(Targets!A:A,A305,Targets!H:H,"Transport sector mitigation target",Targets!J:J,"GHG",Targets!L:L,"Unconditional")&gt;0,"GHG unconditional only",IF(COUNTIFS(Targets!A:A,A305,Targets!H:H,"Transport sector mitigation target",Targets!J:J,"GHG",Targets!L:L,"Unclear conditionality")&gt;0,"Conditionality unclear",""))))))</f>
        <v>No transport target</v>
      </c>
      <c r="N305" s="17" t="str" cm="1">
        <f t="array" ref="N305">IF(ISNUMBER(MATCH("Transport sector adaptation target", _xlfn._xlws.FILTER(Targets!H:H, Targets!A:A =A305), 0)), "yes", "no")</f>
        <v>no</v>
      </c>
      <c r="O305" s="17" t="str">
        <f>IF(ISNA(MATCH(A305, Mitigation!A:A, 0)), "no", "yes")</f>
        <v>yes</v>
      </c>
      <c r="P305" s="17" t="str">
        <f>IF(ISNA(MATCH(A305, Adaptation!A:A, 0)), "no", "yes")</f>
        <v>no</v>
      </c>
      <c r="Q305" s="17" t="str">
        <f>IF(ISNA(MATCH(A305, Benefits!A:A, 0)), "no", "yes")</f>
        <v>no</v>
      </c>
      <c r="R305" s="17"/>
      <c r="S305" s="17"/>
      <c r="T305" s="17" t="s">
        <v>501</v>
      </c>
      <c r="U305" s="167" t="s">
        <v>819</v>
      </c>
      <c r="V305" s="207" t="str">
        <f>VLOOKUP(Table1[[#This Row],[Country Code]],Table29[],3,FALSE)</f>
        <v>Annex I</v>
      </c>
      <c r="W305" s="207" t="str">
        <f>VLOOKUP(Table1[[#This Row],[Country Code]],Table29[],4,FALSE)</f>
        <v>Northern America</v>
      </c>
      <c r="X305" s="207" t="str">
        <f>VLOOKUP(Table1[[#This Row],[Country Code]],Table29[],5,FALSE)</f>
        <v>High-income</v>
      </c>
      <c r="Y305" s="17"/>
      <c r="Z305" s="17"/>
    </row>
    <row r="306" spans="1:26" ht="15" customHeight="1" x14ac:dyDescent="0.25">
      <c r="A306" s="360">
        <v>20338</v>
      </c>
      <c r="B306" s="43" t="s">
        <v>74</v>
      </c>
      <c r="C306" s="243" t="str">
        <f>VLOOKUP(Table1[[#This Row],[Country Code]],Table29[],2,FALSE)</f>
        <v>Armenia</v>
      </c>
      <c r="D306" s="243" t="str">
        <f t="shared" si="10"/>
        <v>Good</v>
      </c>
      <c r="E306" s="176" t="s">
        <v>71</v>
      </c>
      <c r="F306" s="43" t="s">
        <v>528</v>
      </c>
      <c r="G306" s="43" t="str">
        <f t="shared" si="11"/>
        <v>First NDC updated</v>
      </c>
      <c r="H306" s="43" t="s">
        <v>691</v>
      </c>
      <c r="I306" s="351">
        <v>44321</v>
      </c>
      <c r="J306" s="352" t="s">
        <v>505</v>
      </c>
      <c r="K306" s="320" t="str" cm="1">
        <f t="array" ref="K306">IF(ISNUMBER(MATCH("Transport sector mitigation target", _xlfn._xlws.FILTER(Targets!H:H, Targets!A:A =A306), 0)), "yes", "no")</f>
        <v>no</v>
      </c>
      <c r="L306" s="43" t="str">
        <f>IF(K306="no", "No transport target", IF(AND(COUNTIFS(Targets!A:A, A306, Targets!H:H, "Transport sector mitigation target", Targets!J:J, "GHG") &gt; 0, COUNTIFS(Targets!A:A, A306, Targets!H:H, "Transport sector mitigation target", Targets!J:J, "Non GHG") &gt; 0), "GHG and non-GHG target", IF(COUNTIFS(Targets!A:A, A306, Targets!H:H, "Transport sector mitigation target", Targets!J:J, "GHG") &gt; 0, "GHG target", IF(COUNTIFS(Targets!A:A, A306, Targets!H:H, "Transport sector mitigation target", Targets!J:J, "Non GHG") &gt; 0, "non-GHG target", ""))))</f>
        <v>No transport target</v>
      </c>
      <c r="M306" s="43" t="str">
        <f>IF(K306="no","No transport target",IF(L306="non-GHG target","No GHG transport target",IF(AND(COUNTIFS(Targets!A:A,A306,Targets!H:H,"Transport sector mitigation target",Targets!J:J,"GHG",Targets!L:L,"Conditional")&gt;0,COUNTIFS(Targets!A:A,A306,Targets!H:H,"Transport sector mitigation target",Targets!J:J,"GHG",Targets!L:L,"Unconditional")&gt;0),"GHG unconditional and conditional",IF(COUNTIFS(Targets!A:A,A306,Targets!H:H,"Transport sector mitigation target",Targets!J:J,"GHG",Targets!L:L,"Conditional")&gt;0,"GHG conditional only",IF(COUNTIFS(Targets!A:A,A306,Targets!H:H,"Transport sector mitigation target",Targets!J:J,"GHG",Targets!L:L,"Unconditional")&gt;0,"GHG unconditional only",IF(COUNTIFS(Targets!A:A,A306,Targets!H:H,"Transport sector mitigation target",Targets!J:J,"GHG",Targets!L:L,"Unclear conditionality")&gt;0,"Conditionality unclear",""))))))</f>
        <v>No transport target</v>
      </c>
      <c r="N306" s="43" t="str" cm="1">
        <f t="array" ref="N306">IF(ISNUMBER(MATCH("Transport sector adaptation target", _xlfn._xlws.FILTER(Targets!H:H, Targets!A:A =A306), 0)), "yes", "no")</f>
        <v>no</v>
      </c>
      <c r="O306" s="43" t="str">
        <f>IF(ISNA(MATCH(A306, Mitigation!A:A, 0)), "no", "yes")</f>
        <v>yes</v>
      </c>
      <c r="P306" s="43" t="str">
        <f>IF(ISNA(MATCH(A306, Adaptation!A:A, 0)), "no", "yes")</f>
        <v>no</v>
      </c>
      <c r="Q306" s="43" t="str">
        <f>IF(ISNA(MATCH(A306, Benefits!A:A, 0)), "no", "yes")</f>
        <v>no</v>
      </c>
      <c r="R306" s="43"/>
      <c r="S306" s="43"/>
      <c r="T306" s="43" t="s">
        <v>501</v>
      </c>
      <c r="U306" s="312" t="s">
        <v>663</v>
      </c>
      <c r="V306" s="233" t="str">
        <f>VLOOKUP(Table1[[#This Row],[Country Code]],Table29[],3,FALSE)</f>
        <v>Non-Annex I</v>
      </c>
      <c r="W306" s="233" t="str">
        <f>VLOOKUP(Table1[[#This Row],[Country Code]],Table29[],4,FALSE)</f>
        <v>Asia</v>
      </c>
      <c r="X306" s="233" t="str">
        <f>VLOOKUP(Table1[[#This Row],[Country Code]],Table29[],5,FALSE)</f>
        <v>Middle-income</v>
      </c>
      <c r="Y306" s="43"/>
      <c r="Z306" s="43"/>
    </row>
    <row r="307" spans="1:26" ht="15" customHeight="1" x14ac:dyDescent="0.25">
      <c r="A307" s="360">
        <v>26797</v>
      </c>
      <c r="B307" s="42" t="s">
        <v>150</v>
      </c>
      <c r="C307" s="243" t="str">
        <f>VLOOKUP(Table1[[#This Row],[Country Code]],Table29[],2,FALSE)</f>
        <v>Côte D'Ivoire</v>
      </c>
      <c r="D307" s="243" t="str">
        <f t="shared" si="10"/>
        <v>Good</v>
      </c>
      <c r="E307" s="176" t="s">
        <v>71</v>
      </c>
      <c r="F307" s="43" t="s">
        <v>555</v>
      </c>
      <c r="G307" s="43" t="str">
        <f t="shared" si="11"/>
        <v>Second NDC</v>
      </c>
      <c r="H307" s="43" t="s">
        <v>714</v>
      </c>
      <c r="I307" s="355">
        <v>44690</v>
      </c>
      <c r="J307" s="352" t="s">
        <v>505</v>
      </c>
      <c r="K307" s="320" t="str" cm="1">
        <f t="array" ref="K307">IF(ISNUMBER(MATCH("Transport sector mitigation target", _xlfn._xlws.FILTER(Targets!H:H, Targets!A:A =A307), 0)), "yes", "no")</f>
        <v>yes</v>
      </c>
      <c r="L307" s="43" t="str">
        <f>IF(K307="no", "No transport target", IF(AND(COUNTIFS(Targets!A:A, A307, Targets!H:H, "Transport sector mitigation target", Targets!J:J, "GHG") &gt; 0, COUNTIFS(Targets!A:A, A307, Targets!H:H, "Transport sector mitigation target", Targets!J:J, "Non GHG") &gt; 0), "GHG and non-GHG target", IF(COUNTIFS(Targets!A:A, A307, Targets!H:H, "Transport sector mitigation target", Targets!J:J, "GHG") &gt; 0, "GHG target", IF(COUNTIFS(Targets!A:A, A307, Targets!H:H, "Transport sector mitigation target", Targets!J:J, "Non GHG") &gt; 0, "non-GHG target", ""))))</f>
        <v>non-GHG target</v>
      </c>
      <c r="M307" s="43" t="str">
        <f>IF(K307="no","No transport target",IF(L307="non-GHG target","No GHG transport target",IF(AND(COUNTIFS(Targets!A:A,A307,Targets!H:H,"Transport sector mitigation target",Targets!J:J,"GHG",Targets!L:L,"Conditional")&gt;0,COUNTIFS(Targets!A:A,A307,Targets!H:H,"Transport sector mitigation target",Targets!J:J,"GHG",Targets!L:L,"Unconditional")&gt;0),"GHG unconditional and conditional",IF(COUNTIFS(Targets!A:A,A307,Targets!H:H,"Transport sector mitigation target",Targets!J:J,"GHG",Targets!L:L,"Conditional")&gt;0,"GHG conditional only",IF(COUNTIFS(Targets!A:A,A307,Targets!H:H,"Transport sector mitigation target",Targets!J:J,"GHG",Targets!L:L,"Unconditional")&gt;0,"GHG unconditional only",IF(COUNTIFS(Targets!A:A,A307,Targets!H:H,"Transport sector mitigation target",Targets!J:J,"GHG",Targets!L:L,"Unclear conditionality")&gt;0,"Conditionality unclear",""))))))</f>
        <v>No GHG transport target</v>
      </c>
      <c r="N307" s="43" t="str" cm="1">
        <f t="array" ref="N307">IF(ISNUMBER(MATCH("Transport sector adaptation target", _xlfn._xlws.FILTER(Targets!H:H, Targets!A:A =A307), 0)), "yes", "no")</f>
        <v>no</v>
      </c>
      <c r="O307" s="43" t="str">
        <f>IF(ISNA(MATCH(A307, Mitigation!A:A, 0)), "no", "yes")</f>
        <v>yes</v>
      </c>
      <c r="P307" s="43" t="str">
        <f>IF(ISNA(MATCH(A307, Adaptation!A:A, 0)), "no", "yes")</f>
        <v>no</v>
      </c>
      <c r="Q307" s="43" t="str">
        <f>IF(ISNA(MATCH(A307, Benefits!A:A, 0)), "no", "yes")</f>
        <v>no</v>
      </c>
      <c r="R307" s="43"/>
      <c r="S307" s="43"/>
      <c r="T307" s="43" t="s">
        <v>501</v>
      </c>
      <c r="U307" s="312" t="s">
        <v>820</v>
      </c>
      <c r="V307" s="233" t="str">
        <f>VLOOKUP(Table1[[#This Row],[Country Code]],Table29[],3,FALSE)</f>
        <v>Non-Annex I</v>
      </c>
      <c r="W307" s="233" t="str">
        <f>VLOOKUP(Table1[[#This Row],[Country Code]],Table29[],4,FALSE)</f>
        <v>Africa</v>
      </c>
      <c r="X307" s="233" t="str">
        <f>VLOOKUP(Table1[[#This Row],[Country Code]],Table29[],5,FALSE)</f>
        <v>Middle-income</v>
      </c>
      <c r="Y307" s="43"/>
      <c r="Z307" s="43"/>
    </row>
    <row r="308" spans="1:26" ht="15" customHeight="1" x14ac:dyDescent="0.25">
      <c r="A308" s="360">
        <v>23247</v>
      </c>
      <c r="B308" s="42" t="s">
        <v>119</v>
      </c>
      <c r="C308" s="243" t="str">
        <f>VLOOKUP(Table1[[#This Row],[Country Code]],Table29[],2,FALSE)</f>
        <v>Burundi</v>
      </c>
      <c r="D308" s="243" t="str">
        <f t="shared" si="10"/>
        <v>Good</v>
      </c>
      <c r="E308" s="176" t="s">
        <v>71</v>
      </c>
      <c r="F308" s="43" t="s">
        <v>528</v>
      </c>
      <c r="G308" s="43" t="str">
        <f t="shared" si="11"/>
        <v>First NDC updated</v>
      </c>
      <c r="H308" s="43" t="s">
        <v>691</v>
      </c>
      <c r="I308" s="351">
        <v>44326</v>
      </c>
      <c r="J308" s="352" t="s">
        <v>505</v>
      </c>
      <c r="K308" s="320" t="str" cm="1">
        <f t="array" ref="K308">IF(ISNUMBER(MATCH("Transport sector mitigation target", _xlfn._xlws.FILTER(Targets!H:H, Targets!A:A =A308), 0)), "yes", "no")</f>
        <v>no</v>
      </c>
      <c r="L308" s="43" t="str">
        <f>IF(K308="no", "No transport target", IF(AND(COUNTIFS(Targets!A:A, A308, Targets!H:H, "Transport sector mitigation target", Targets!J:J, "GHG") &gt; 0, COUNTIFS(Targets!A:A, A308, Targets!H:H, "Transport sector mitigation target", Targets!J:J, "Non GHG") &gt; 0), "GHG and non-GHG target", IF(COUNTIFS(Targets!A:A, A308, Targets!H:H, "Transport sector mitigation target", Targets!J:J, "GHG") &gt; 0, "GHG target", IF(COUNTIFS(Targets!A:A, A308, Targets!H:H, "Transport sector mitigation target", Targets!J:J, "Non GHG") &gt; 0, "non-GHG target", ""))))</f>
        <v>No transport target</v>
      </c>
      <c r="M308" s="43" t="str">
        <f>IF(K308="no","No transport target",IF(L308="non-GHG target","No GHG transport target",IF(AND(COUNTIFS(Targets!A:A,A308,Targets!H:H,"Transport sector mitigation target",Targets!J:J,"GHG",Targets!L:L,"Conditional")&gt;0,COUNTIFS(Targets!A:A,A308,Targets!H:H,"Transport sector mitigation target",Targets!J:J,"GHG",Targets!L:L,"Unconditional")&gt;0),"GHG unconditional and conditional",IF(COUNTIFS(Targets!A:A,A308,Targets!H:H,"Transport sector mitigation target",Targets!J:J,"GHG",Targets!L:L,"Conditional")&gt;0,"GHG conditional only",IF(COUNTIFS(Targets!A:A,A308,Targets!H:H,"Transport sector mitigation target",Targets!J:J,"GHG",Targets!L:L,"Unconditional")&gt;0,"GHG unconditional only",IF(COUNTIFS(Targets!A:A,A308,Targets!H:H,"Transport sector mitigation target",Targets!J:J,"GHG",Targets!L:L,"Unclear conditionality")&gt;0,"Conditionality unclear",""))))))</f>
        <v>No transport target</v>
      </c>
      <c r="N308" s="43" t="str" cm="1">
        <f t="array" ref="N308">IF(ISNUMBER(MATCH("Transport sector adaptation target", _xlfn._xlws.FILTER(Targets!H:H, Targets!A:A =A308), 0)), "yes", "no")</f>
        <v>yes</v>
      </c>
      <c r="O308" s="43" t="str">
        <f>IF(ISNA(MATCH(A308, Mitigation!A:A, 0)), "no", "yes")</f>
        <v>yes</v>
      </c>
      <c r="P308" s="43" t="str">
        <f>IF(ISNA(MATCH(A308, Adaptation!A:A, 0)), "no", "yes")</f>
        <v>yes</v>
      </c>
      <c r="Q308" s="43" t="str">
        <f>IF(ISNA(MATCH(A308, Benefits!A:A, 0)), "no", "yes")</f>
        <v>no</v>
      </c>
      <c r="R308" s="43"/>
      <c r="S308" s="43"/>
      <c r="T308" s="43" t="s">
        <v>501</v>
      </c>
      <c r="U308" s="312" t="s">
        <v>821</v>
      </c>
      <c r="V308" s="233" t="str">
        <f>VLOOKUP(Table1[[#This Row],[Country Code]],Table29[],3,FALSE)</f>
        <v>Non-Annex I</v>
      </c>
      <c r="W308" s="233" t="str">
        <f>VLOOKUP(Table1[[#This Row],[Country Code]],Table29[],4,FALSE)</f>
        <v>Africa</v>
      </c>
      <c r="X308" s="233" t="str">
        <f>VLOOKUP(Table1[[#This Row],[Country Code]],Table29[],5,FALSE)</f>
        <v>Low-income</v>
      </c>
      <c r="Y308" s="43"/>
      <c r="Z308" s="43"/>
    </row>
    <row r="309" spans="1:26" ht="15" customHeight="1" x14ac:dyDescent="0.25">
      <c r="A309" s="360">
        <v>17568</v>
      </c>
      <c r="B309" s="43" t="s">
        <v>154</v>
      </c>
      <c r="C309" s="243" t="str">
        <f>VLOOKUP(Table1[[#This Row],[Country Code]],Table29[],2,FALSE)</f>
        <v>Cuba</v>
      </c>
      <c r="D309" s="243" t="str">
        <f t="shared" si="10"/>
        <v>Good</v>
      </c>
      <c r="E309" s="176" t="s">
        <v>71</v>
      </c>
      <c r="F309" s="43" t="s">
        <v>528</v>
      </c>
      <c r="G309" s="43" t="str">
        <f t="shared" si="11"/>
        <v>First NDC updated</v>
      </c>
      <c r="H309" s="43" t="s">
        <v>691</v>
      </c>
      <c r="I309" s="351">
        <v>44091</v>
      </c>
      <c r="J309" s="352" t="s">
        <v>500</v>
      </c>
      <c r="K309" s="320" t="str" cm="1">
        <f t="array" ref="K309">IF(ISNUMBER(MATCH("Transport sector mitigation target", _xlfn._xlws.FILTER(Targets!H:H, Targets!A:A =A309), 0)), "yes", "no")</f>
        <v>yes</v>
      </c>
      <c r="L309" s="43" t="str">
        <f>IF(K309="no", "No transport target", IF(AND(COUNTIFS(Targets!A:A, A309, Targets!H:H, "Transport sector mitigation target", Targets!J:J, "GHG") &gt; 0, COUNTIFS(Targets!A:A, A309, Targets!H:H, "Transport sector mitigation target", Targets!J:J, "Non GHG") &gt; 0), "GHG and non-GHG target", IF(COUNTIFS(Targets!A:A, A309, Targets!H:H, "Transport sector mitigation target", Targets!J:J, "GHG") &gt; 0, "GHG target", IF(COUNTIFS(Targets!A:A, A309, Targets!H:H, "Transport sector mitigation target", Targets!J:J, "Non GHG") &gt; 0, "non-GHG target", ""))))</f>
        <v>non-GHG target</v>
      </c>
      <c r="M309" s="43" t="str">
        <f>IF(K309="no","No transport target",IF(L309="non-GHG target","No GHG transport target",IF(AND(COUNTIFS(Targets!A:A,A309,Targets!H:H,"Transport sector mitigation target",Targets!J:J,"GHG",Targets!L:L,"Conditional")&gt;0,COUNTIFS(Targets!A:A,A309,Targets!H:H,"Transport sector mitigation target",Targets!J:J,"GHG",Targets!L:L,"Unconditional")&gt;0),"GHG unconditional and conditional",IF(COUNTIFS(Targets!A:A,A309,Targets!H:H,"Transport sector mitigation target",Targets!J:J,"GHG",Targets!L:L,"Conditional")&gt;0,"GHG conditional only",IF(COUNTIFS(Targets!A:A,A309,Targets!H:H,"Transport sector mitigation target",Targets!J:J,"GHG",Targets!L:L,"Unconditional")&gt;0,"GHG unconditional only",IF(COUNTIFS(Targets!A:A,A309,Targets!H:H,"Transport sector mitigation target",Targets!J:J,"GHG",Targets!L:L,"Unclear conditionality")&gt;0,"Conditionality unclear",""))))))</f>
        <v>No GHG transport target</v>
      </c>
      <c r="N309" s="43" t="str" cm="1">
        <f t="array" ref="N309">IF(ISNUMBER(MATCH("Transport sector adaptation target", _xlfn._xlws.FILTER(Targets!H:H, Targets!A:A =A309), 0)), "yes", "no")</f>
        <v>no</v>
      </c>
      <c r="O309" s="43" t="str">
        <f>IF(ISNA(MATCH(A309, Mitigation!A:A, 0)), "no", "yes")</f>
        <v>no</v>
      </c>
      <c r="P309" s="43" t="str">
        <f>IF(ISNA(MATCH(A309, Adaptation!A:A, 0)), "no", "yes")</f>
        <v>no</v>
      </c>
      <c r="Q309" s="43" t="str">
        <f>IF(ISNA(MATCH(A309, Benefits!A:A, 0)), "no", "yes")</f>
        <v>no</v>
      </c>
      <c r="R309" s="43"/>
      <c r="S309" s="43"/>
      <c r="T309" s="43" t="s">
        <v>501</v>
      </c>
      <c r="U309" s="312" t="s">
        <v>822</v>
      </c>
      <c r="V309" s="233" t="str">
        <f>VLOOKUP(Table1[[#This Row],[Country Code]],Table29[],3,FALSE)</f>
        <v>Non-Annex I</v>
      </c>
      <c r="W309" s="233" t="str">
        <f>VLOOKUP(Table1[[#This Row],[Country Code]],Table29[],4,FALSE)</f>
        <v>Latin America and the Caribbean</v>
      </c>
      <c r="X309" s="233" t="str">
        <f>VLOOKUP(Table1[[#This Row],[Country Code]],Table29[],5,FALSE)</f>
        <v>Middle-income</v>
      </c>
      <c r="Y309" s="43"/>
      <c r="Z309" s="43"/>
    </row>
    <row r="310" spans="1:26" ht="15" customHeight="1" x14ac:dyDescent="0.25">
      <c r="A310" s="360">
        <v>29230</v>
      </c>
      <c r="B310" s="42" t="s">
        <v>168</v>
      </c>
      <c r="C310" s="243" t="str">
        <f>VLOOKUP(Table1[[#This Row],[Country Code]],Table29[],2,FALSE)</f>
        <v>Dominica</v>
      </c>
      <c r="D310" s="243" t="str">
        <f t="shared" si="10"/>
        <v>Good</v>
      </c>
      <c r="E310" s="176" t="s">
        <v>71</v>
      </c>
      <c r="F310" s="43" t="s">
        <v>528</v>
      </c>
      <c r="G310" s="43" t="str">
        <f t="shared" si="11"/>
        <v>First NDC updated</v>
      </c>
      <c r="H310" s="43" t="s">
        <v>691</v>
      </c>
      <c r="I310" s="355">
        <v>44746</v>
      </c>
      <c r="J310" s="352" t="s">
        <v>505</v>
      </c>
      <c r="K310" s="320" t="str" cm="1">
        <f t="array" ref="K310">IF(ISNUMBER(MATCH("Transport sector mitigation target", _xlfn._xlws.FILTER(Targets!H:H, Targets!A:A =A310), 0)), "yes", "no")</f>
        <v>yes</v>
      </c>
      <c r="L310" s="43" t="str">
        <f>IF(K310="no", "No transport target", IF(AND(COUNTIFS(Targets!A:A, A310, Targets!H:H, "Transport sector mitigation target", Targets!J:J, "GHG") &gt; 0, COUNTIFS(Targets!A:A, A310, Targets!H:H, "Transport sector mitigation target", Targets!J:J, "Non GHG") &gt; 0), "GHG and non-GHG target", IF(COUNTIFS(Targets!A:A, A310, Targets!H:H, "Transport sector mitigation target", Targets!J:J, "GHG") &gt; 0, "GHG target", IF(COUNTIFS(Targets!A:A, A310, Targets!H:H, "Transport sector mitigation target", Targets!J:J, "Non GHG") &gt; 0, "non-GHG target", ""))))</f>
        <v>GHG and non-GHG target</v>
      </c>
      <c r="M310" s="43" t="str">
        <f>IF(K310="no","No transport target",IF(L310="non-GHG target","No GHG transport target",IF(AND(COUNTIFS(Targets!A:A,A310,Targets!H:H,"Transport sector mitigation target",Targets!J:J,"GHG",Targets!L:L,"Conditional")&gt;0,COUNTIFS(Targets!A:A,A310,Targets!H:H,"Transport sector mitigation target",Targets!J:J,"GHG",Targets!L:L,"Unconditional")&gt;0),"GHG unconditional and conditional",IF(COUNTIFS(Targets!A:A,A310,Targets!H:H,"Transport sector mitigation target",Targets!J:J,"GHG",Targets!L:L,"Conditional")&gt;0,"GHG conditional only",IF(COUNTIFS(Targets!A:A,A310,Targets!H:H,"Transport sector mitigation target",Targets!J:J,"GHG",Targets!L:L,"Unconditional")&gt;0,"GHG unconditional only",IF(COUNTIFS(Targets!A:A,A310,Targets!H:H,"Transport sector mitigation target",Targets!J:J,"GHG",Targets!L:L,"Unclear conditionality")&gt;0,"Conditionality unclear",""))))))</f>
        <v>GHG unconditional only</v>
      </c>
      <c r="N310" s="43" t="str" cm="1">
        <f t="array" ref="N310">IF(ISNUMBER(MATCH("Transport sector adaptation target", _xlfn._xlws.FILTER(Targets!H:H, Targets!A:A =A310), 0)), "yes", "no")</f>
        <v>no</v>
      </c>
      <c r="O310" s="43" t="str">
        <f>IF(ISNA(MATCH(A310, Mitigation!A:A, 0)), "no", "yes")</f>
        <v>yes</v>
      </c>
      <c r="P310" s="43" t="str">
        <f>IF(ISNA(MATCH(A310, Adaptation!A:A, 0)), "no", "yes")</f>
        <v>yes</v>
      </c>
      <c r="Q310" s="43" t="str">
        <f>IF(ISNA(MATCH(A310, Benefits!A:A, 0)), "no", "yes")</f>
        <v>no</v>
      </c>
      <c r="R310" s="43"/>
      <c r="S310" s="43"/>
      <c r="T310" s="43" t="s">
        <v>501</v>
      </c>
      <c r="U310" s="312" t="s">
        <v>823</v>
      </c>
      <c r="V310" s="233" t="str">
        <f>VLOOKUP(Table1[[#This Row],[Country Code]],Table29[],3,FALSE)</f>
        <v>Non-Annex I</v>
      </c>
      <c r="W310" s="233" t="str">
        <f>VLOOKUP(Table1[[#This Row],[Country Code]],Table29[],4,FALSE)</f>
        <v>Latin America and the Caribbean</v>
      </c>
      <c r="X310" s="233" t="str">
        <f>VLOOKUP(Table1[[#This Row],[Country Code]],Table29[],5,FALSE)</f>
        <v>Middle-income</v>
      </c>
      <c r="Y310" s="43"/>
      <c r="Z310" s="43"/>
    </row>
    <row r="311" spans="1:26" ht="15" customHeight="1" x14ac:dyDescent="0.25">
      <c r="A311" s="360">
        <v>20517</v>
      </c>
      <c r="B311" s="42" t="s">
        <v>329</v>
      </c>
      <c r="C311" s="243" t="str">
        <f>VLOOKUP(Table1[[#This Row],[Country Code]],Table29[],2,FALSE)</f>
        <v>Nigeria</v>
      </c>
      <c r="D311" s="243" t="str">
        <f t="shared" si="10"/>
        <v>Good</v>
      </c>
      <c r="E311" s="176" t="s">
        <v>71</v>
      </c>
      <c r="F311" s="43" t="s">
        <v>525</v>
      </c>
      <c r="G311" s="43" t="str">
        <f t="shared" si="11"/>
        <v>First NDC updated</v>
      </c>
      <c r="H311" s="43" t="s">
        <v>691</v>
      </c>
      <c r="I311" s="351">
        <v>44344</v>
      </c>
      <c r="J311" s="320" t="s">
        <v>500</v>
      </c>
      <c r="K311" s="320" t="str" cm="1">
        <f t="array" ref="K311">IF(ISNUMBER(MATCH("Transport sector mitigation target", _xlfn._xlws.FILTER(Targets!H:H, Targets!A:A =A311), 0)), "yes", "no")</f>
        <v>no</v>
      </c>
      <c r="L311" s="43" t="str">
        <f>IF(K311="no", "No transport target", IF(AND(COUNTIFS(Targets!A:A, A311, Targets!H:H, "Transport sector mitigation target", Targets!J:J, "GHG") &gt; 0, COUNTIFS(Targets!A:A, A311, Targets!H:H, "Transport sector mitigation target", Targets!J:J, "Non GHG") &gt; 0), "GHG and non-GHG target", IF(COUNTIFS(Targets!A:A, A311, Targets!H:H, "Transport sector mitigation target", Targets!J:J, "GHG") &gt; 0, "GHG target", IF(COUNTIFS(Targets!A:A, A311, Targets!H:H, "Transport sector mitigation target", Targets!J:J, "Non GHG") &gt; 0, "non-GHG target", ""))))</f>
        <v>No transport target</v>
      </c>
      <c r="M311" s="43" t="str">
        <f>IF(K311="no","No transport target",IF(L311="non-GHG target","No GHG transport target",IF(AND(COUNTIFS(Targets!A:A,A311,Targets!H:H,"Transport sector mitigation target",Targets!J:J,"GHG",Targets!L:L,"Conditional")&gt;0,COUNTIFS(Targets!A:A,A311,Targets!H:H,"Transport sector mitigation target",Targets!J:J,"GHG",Targets!L:L,"Unconditional")&gt;0),"GHG unconditional and conditional",IF(COUNTIFS(Targets!A:A,A311,Targets!H:H,"Transport sector mitigation target",Targets!J:J,"GHG",Targets!L:L,"Conditional")&gt;0,"GHG conditional only",IF(COUNTIFS(Targets!A:A,A311,Targets!H:H,"Transport sector mitigation target",Targets!J:J,"GHG",Targets!L:L,"Unconditional")&gt;0,"GHG unconditional only",IF(COUNTIFS(Targets!A:A,A311,Targets!H:H,"Transport sector mitigation target",Targets!J:J,"GHG",Targets!L:L,"Unclear conditionality")&gt;0,"Conditionality unclear",""))))))</f>
        <v>No transport target</v>
      </c>
      <c r="N311" s="43" t="str" cm="1">
        <f t="array" ref="N311">IF(ISNUMBER(MATCH("Transport sector adaptation target", _xlfn._xlws.FILTER(Targets!H:H, Targets!A:A =A311), 0)), "yes", "no")</f>
        <v>no</v>
      </c>
      <c r="O311" s="43" t="str">
        <f>IF(ISNA(MATCH(A311, Mitigation!A:A, 0)), "no", "yes")</f>
        <v>no</v>
      </c>
      <c r="P311" s="43" t="str">
        <f>IF(ISNA(MATCH(A311, Adaptation!A:A, 0)), "no", "yes")</f>
        <v>no</v>
      </c>
      <c r="Q311" s="43" t="str">
        <f>IF(ISNA(MATCH(A311, Benefits!A:A, 0)), "no", "yes")</f>
        <v>no</v>
      </c>
      <c r="R311" s="43"/>
      <c r="S311" s="43"/>
      <c r="T311" s="43" t="s">
        <v>501</v>
      </c>
      <c r="U311" s="312" t="s">
        <v>824</v>
      </c>
      <c r="V311" s="233" t="str">
        <f>VLOOKUP(Table1[[#This Row],[Country Code]],Table29[],3,FALSE)</f>
        <v>Non-Annex I</v>
      </c>
      <c r="W311" s="233" t="str">
        <f>VLOOKUP(Table1[[#This Row],[Country Code]],Table29[],4,FALSE)</f>
        <v>Africa</v>
      </c>
      <c r="X311" s="233" t="str">
        <f>VLOOKUP(Table1[[#This Row],[Country Code]],Table29[],5,FALSE)</f>
        <v>Middle-income</v>
      </c>
      <c r="Y311" s="43"/>
      <c r="Z311" s="43"/>
    </row>
    <row r="312" spans="1:26" ht="15" customHeight="1" x14ac:dyDescent="0.25">
      <c r="A312" s="360">
        <v>20519</v>
      </c>
      <c r="B312" s="43" t="s">
        <v>65</v>
      </c>
      <c r="C312" s="243" t="str">
        <f>VLOOKUP(Table1[[#This Row],[Country Code]],Table29[],2,FALSE)</f>
        <v>Angola</v>
      </c>
      <c r="D312" s="243" t="str">
        <f t="shared" ref="D312:D375" si="12">IF(J312&lt;&gt;"Active",
    "Good",
    IF(COUNTIFS(C:C, C312, E:E, E312, J:J, "Active")&gt;1,
       IF(E312="LTS", "Error: more than one LTS active",
          IF(E312="NDC", "Error: more than one NDC active", "Error")
       ),
       "Good"
    )
)</f>
        <v>Good</v>
      </c>
      <c r="E312" s="176" t="s">
        <v>71</v>
      </c>
      <c r="F312" s="43" t="s">
        <v>528</v>
      </c>
      <c r="G312" s="43" t="str">
        <f t="shared" ref="G312:G375" si="13">IF(H312="NDC 1.0","First NDC",
IF(OR(H312="NDC 1.1",H312="NDC 1.2",H312="NDC 1.3"),"First NDC updated",
IF(H312="NDC 2.0","Second NDC",
IF(OR(H312="NDC 2.1",H312="NDC 2.2",H312="NDC 2.3"),"Second NDC updated",
IF(H312="NDC 3.0","Third NDC",
IF(OR(H312="NDC 3.1",H312="NDC 3.2",H312="NDC 3.3"),"Third NDC updated",
F312))))))</f>
        <v>First NDC updated</v>
      </c>
      <c r="H312" s="350" t="s">
        <v>691</v>
      </c>
      <c r="I312" s="351">
        <v>44347</v>
      </c>
      <c r="J312" s="352" t="s">
        <v>505</v>
      </c>
      <c r="K312" s="320" t="str" cm="1">
        <f t="array" ref="K312">IF(ISNUMBER(MATCH("Transport sector mitigation target", _xlfn._xlws.FILTER(Targets!H:H, Targets!A:A =A312), 0)), "yes", "no")</f>
        <v>no</v>
      </c>
      <c r="L312" s="43" t="str">
        <f>IF(K312="no", "No transport target", IF(AND(COUNTIFS(Targets!A:A, A312, Targets!H:H, "Transport sector mitigation target", Targets!J:J, "GHG") &gt; 0, COUNTIFS(Targets!A:A, A312, Targets!H:H, "Transport sector mitigation target", Targets!J:J, "Non GHG") &gt; 0), "GHG and non-GHG target", IF(COUNTIFS(Targets!A:A, A312, Targets!H:H, "Transport sector mitigation target", Targets!J:J, "GHG") &gt; 0, "GHG target", IF(COUNTIFS(Targets!A:A, A312, Targets!H:H, "Transport sector mitigation target", Targets!J:J, "Non GHG") &gt; 0, "non-GHG target", ""))))</f>
        <v>No transport target</v>
      </c>
      <c r="M312" s="43" t="str">
        <f>IF(K312="no","No transport target",IF(L312="non-GHG target","No GHG transport target",IF(AND(COUNTIFS(Targets!A:A,A312,Targets!H:H,"Transport sector mitigation target",Targets!J:J,"GHG",Targets!L:L,"Conditional")&gt;0,COUNTIFS(Targets!A:A,A312,Targets!H:H,"Transport sector mitigation target",Targets!J:J,"GHG",Targets!L:L,"Unconditional")&gt;0),"GHG unconditional and conditional",IF(COUNTIFS(Targets!A:A,A312,Targets!H:H,"Transport sector mitigation target",Targets!J:J,"GHG",Targets!L:L,"Conditional")&gt;0,"GHG conditional only",IF(COUNTIFS(Targets!A:A,A312,Targets!H:H,"Transport sector mitigation target",Targets!J:J,"GHG",Targets!L:L,"Unconditional")&gt;0,"GHG unconditional only",IF(COUNTIFS(Targets!A:A,A312,Targets!H:H,"Transport sector mitigation target",Targets!J:J,"GHG",Targets!L:L,"Unclear conditionality")&gt;0,"Conditionality unclear",""))))))</f>
        <v>No transport target</v>
      </c>
      <c r="N312" s="43" t="str" cm="1">
        <f t="array" ref="N312">IF(ISNUMBER(MATCH("Transport sector adaptation target", _xlfn._xlws.FILTER(Targets!H:H, Targets!A:A =A312), 0)), "yes", "no")</f>
        <v>no</v>
      </c>
      <c r="O312" s="43" t="str">
        <f>IF(ISNA(MATCH(A312, Mitigation!A:A, 0)), "no", "yes")</f>
        <v>yes</v>
      </c>
      <c r="P312" s="43" t="str">
        <f>IF(ISNA(MATCH(A312, Adaptation!A:A, 0)), "no", "yes")</f>
        <v>yes</v>
      </c>
      <c r="Q312" s="43" t="str">
        <f>IF(ISNA(MATCH(A312, Benefits!A:A, 0)), "no", "yes")</f>
        <v>no</v>
      </c>
      <c r="R312" s="43"/>
      <c r="S312" s="43"/>
      <c r="T312" s="43" t="s">
        <v>501</v>
      </c>
      <c r="U312" s="312" t="s">
        <v>825</v>
      </c>
      <c r="V312" s="233" t="str">
        <f>VLOOKUP(Table1[[#This Row],[Country Code]],Table29[],3,FALSE)</f>
        <v>Non-Annex I</v>
      </c>
      <c r="W312" s="233" t="str">
        <f>VLOOKUP(Table1[[#This Row],[Country Code]],Table29[],4,FALSE)</f>
        <v>Africa</v>
      </c>
      <c r="X312" s="233" t="str">
        <f>VLOOKUP(Table1[[#This Row],[Country Code]],Table29[],5,FALSE)</f>
        <v>Middle-income</v>
      </c>
      <c r="Y312" s="43"/>
      <c r="Z312" s="43"/>
    </row>
    <row r="313" spans="1:26" ht="15" customHeight="1" x14ac:dyDescent="0.25">
      <c r="A313" s="405">
        <v>20811</v>
      </c>
      <c r="B313" s="17" t="s">
        <v>412</v>
      </c>
      <c r="C313" s="206" t="str">
        <f>VLOOKUP(Table1[[#This Row],[Country Code]],Table29[],2,FALSE)</f>
        <v>Sudan</v>
      </c>
      <c r="D313" s="243" t="str">
        <f t="shared" si="12"/>
        <v>Good</v>
      </c>
      <c r="E313" s="20" t="s">
        <v>71</v>
      </c>
      <c r="F313" s="17" t="s">
        <v>525</v>
      </c>
      <c r="G313" s="43" t="str">
        <f t="shared" si="13"/>
        <v>First NDC updated</v>
      </c>
      <c r="H313" s="17" t="s">
        <v>691</v>
      </c>
      <c r="I313" s="149">
        <v>44347</v>
      </c>
      <c r="J313" s="49" t="s">
        <v>500</v>
      </c>
      <c r="K313" s="49" t="str" cm="1">
        <f t="array" ref="K313">IF(ISNUMBER(MATCH("Transport sector mitigation target", _xlfn._xlws.FILTER(Targets!H:H, Targets!A:A =A313), 0)), "yes", "no")</f>
        <v>no</v>
      </c>
      <c r="L313" s="17" t="str">
        <f>IF(K313="no", "No transport target", IF(AND(COUNTIFS(Targets!A:A, A313, Targets!H:H, "Transport sector mitigation target", Targets!J:J, "GHG") &gt; 0, COUNTIFS(Targets!A:A, A313, Targets!H:H, "Transport sector mitigation target", Targets!J:J, "Non GHG") &gt; 0), "GHG and non-GHG target", IF(COUNTIFS(Targets!A:A, A313, Targets!H:H, "Transport sector mitigation target", Targets!J:J, "GHG") &gt; 0, "GHG target", IF(COUNTIFS(Targets!A:A, A313, Targets!H:H, "Transport sector mitigation target", Targets!J:J, "Non GHG") &gt; 0, "non-GHG target", ""))))</f>
        <v>No transport target</v>
      </c>
      <c r="M313" s="17" t="str">
        <f>IF(K313="no","No transport target",IF(L313="non-GHG target","No GHG transport target",IF(AND(COUNTIFS(Targets!A:A,A313,Targets!H:H,"Transport sector mitigation target",Targets!J:J,"GHG",Targets!L:L,"Conditional")&gt;0,COUNTIFS(Targets!A:A,A313,Targets!H:H,"Transport sector mitigation target",Targets!J:J,"GHG",Targets!L:L,"Unconditional")&gt;0),"GHG unconditional and conditional",IF(COUNTIFS(Targets!A:A,A313,Targets!H:H,"Transport sector mitigation target",Targets!J:J,"GHG",Targets!L:L,"Conditional")&gt;0,"GHG conditional only",IF(COUNTIFS(Targets!A:A,A313,Targets!H:H,"Transport sector mitigation target",Targets!J:J,"GHG",Targets!L:L,"Unconditional")&gt;0,"GHG unconditional only",IF(COUNTIFS(Targets!A:A,A313,Targets!H:H,"Transport sector mitigation target",Targets!J:J,"GHG",Targets!L:L,"Unclear conditionality")&gt;0,"Conditionality unclear",""))))))</f>
        <v>No transport target</v>
      </c>
      <c r="N313" s="17" t="str" cm="1">
        <f t="array" ref="N313">IF(ISNUMBER(MATCH("Transport sector adaptation target", _xlfn._xlws.FILTER(Targets!H:H, Targets!A:A =A313), 0)), "yes", "no")</f>
        <v>no</v>
      </c>
      <c r="O313" s="17" t="str">
        <f>IF(ISNA(MATCH(A313, Mitigation!A:A, 0)), "no", "yes")</f>
        <v>no</v>
      </c>
      <c r="P313" s="17" t="str">
        <f>IF(ISNA(MATCH(A313, Adaptation!A:A, 0)), "no", "yes")</f>
        <v>no</v>
      </c>
      <c r="Q313" s="17" t="str">
        <f>IF(ISNA(MATCH(A313, Benefits!A:A, 0)), "no", "yes")</f>
        <v>no</v>
      </c>
      <c r="R313" s="17"/>
      <c r="S313" s="17"/>
      <c r="T313" s="17" t="s">
        <v>501</v>
      </c>
      <c r="U313" s="135" t="s">
        <v>826</v>
      </c>
      <c r="V313" s="207" t="str">
        <f>VLOOKUP(Table1[[#This Row],[Country Code]],Table29[],3,FALSE)</f>
        <v>Non-Annex I</v>
      </c>
      <c r="W313" s="207" t="str">
        <f>VLOOKUP(Table1[[#This Row],[Country Code]],Table29[],4,FALSE)</f>
        <v>Africa</v>
      </c>
      <c r="X313" s="207" t="str">
        <f>VLOOKUP(Table1[[#This Row],[Country Code]],Table29[],5,FALSE)</f>
        <v>Low-income</v>
      </c>
      <c r="Y313" s="17"/>
      <c r="Z313" s="17"/>
    </row>
    <row r="314" spans="1:26" ht="15" customHeight="1" x14ac:dyDescent="0.25">
      <c r="A314" s="360">
        <v>17593</v>
      </c>
      <c r="B314" s="43" t="s">
        <v>191</v>
      </c>
      <c r="C314" s="243" t="str">
        <f>VLOOKUP(Table1[[#This Row],[Country Code]],Table29[],2,FALSE)</f>
        <v>Fiji</v>
      </c>
      <c r="D314" s="243" t="str">
        <f t="shared" si="12"/>
        <v>Good</v>
      </c>
      <c r="E314" s="176" t="s">
        <v>227</v>
      </c>
      <c r="F314" s="43" t="s">
        <v>227</v>
      </c>
      <c r="G314" s="43" t="str">
        <f t="shared" si="13"/>
        <v>LTS</v>
      </c>
      <c r="H314" s="43" t="s">
        <v>636</v>
      </c>
      <c r="I314" s="351">
        <v>43521</v>
      </c>
      <c r="J314" s="352" t="s">
        <v>505</v>
      </c>
      <c r="K314" s="320" t="str" cm="1">
        <f t="array" ref="K314">IF(ISNUMBER(MATCH("Transport sector mitigation target", _xlfn._xlws.FILTER(Targets!H:H, Targets!A:A =A314), 0)), "yes", "no")</f>
        <v>no</v>
      </c>
      <c r="L314" s="43" t="str">
        <f>IF(K314="no", "No transport target", IF(AND(COUNTIFS(Targets!A:A, A314, Targets!H:H, "Transport sector mitigation target", Targets!J:J, "GHG") &gt; 0, COUNTIFS(Targets!A:A, A314, Targets!H:H, "Transport sector mitigation target", Targets!J:J, "Non GHG") &gt; 0), "GHG and non-GHG target", IF(COUNTIFS(Targets!A:A, A314, Targets!H:H, "Transport sector mitigation target", Targets!J:J, "GHG") &gt; 0, "GHG target", IF(COUNTIFS(Targets!A:A, A314, Targets!H:H, "Transport sector mitigation target", Targets!J:J, "Non GHG") &gt; 0, "non-GHG target", ""))))</f>
        <v>No transport target</v>
      </c>
      <c r="M314" s="43" t="str">
        <f>IF(K314="no","No transport target",IF(L314="non-GHG target","No GHG transport target",IF(AND(COUNTIFS(Targets!A:A,A314,Targets!H:H,"Transport sector mitigation target",Targets!J:J,"GHG",Targets!L:L,"Conditional")&gt;0,COUNTIFS(Targets!A:A,A314,Targets!H:H,"Transport sector mitigation target",Targets!J:J,"GHG",Targets!L:L,"Unconditional")&gt;0),"GHG unconditional and conditional",IF(COUNTIFS(Targets!A:A,A314,Targets!H:H,"Transport sector mitigation target",Targets!J:J,"GHG",Targets!L:L,"Conditional")&gt;0,"GHG conditional only",IF(COUNTIFS(Targets!A:A,A314,Targets!H:H,"Transport sector mitigation target",Targets!J:J,"GHG",Targets!L:L,"Unconditional")&gt;0,"GHG unconditional only",IF(COUNTIFS(Targets!A:A,A314,Targets!H:H,"Transport sector mitigation target",Targets!J:J,"GHG",Targets!L:L,"Unclear conditionality")&gt;0,"Conditionality unclear",""))))))</f>
        <v>No transport target</v>
      </c>
      <c r="N314" s="43" t="str" cm="1">
        <f t="array" ref="N314">IF(ISNUMBER(MATCH("Transport sector adaptation target", _xlfn._xlws.FILTER(Targets!H:H, Targets!A:A =A314), 0)), "yes", "no")</f>
        <v>no</v>
      </c>
      <c r="O314" s="43" t="str">
        <f>IF(ISNA(MATCH(A314, Mitigation!A:A, 0)), "no", "yes")</f>
        <v>yes</v>
      </c>
      <c r="P314" s="43" t="str">
        <f>IF(ISNA(MATCH(A314, Adaptation!A:A, 0)), "no", "yes")</f>
        <v>yes</v>
      </c>
      <c r="Q314" s="43" t="str">
        <f>IF(ISNA(MATCH(A314, Benefits!A:A, 0)), "no", "yes")</f>
        <v>no</v>
      </c>
      <c r="R314" s="43"/>
      <c r="S314" s="43"/>
      <c r="T314" s="43" t="s">
        <v>501</v>
      </c>
      <c r="U314" s="312" t="s">
        <v>827</v>
      </c>
      <c r="V314" s="233" t="str">
        <f>VLOOKUP(Table1[[#This Row],[Country Code]],Table29[],3,FALSE)</f>
        <v>Non-Annex I</v>
      </c>
      <c r="W314" s="233" t="str">
        <f>VLOOKUP(Table1[[#This Row],[Country Code]],Table29[],4,FALSE)</f>
        <v>Oceania</v>
      </c>
      <c r="X314" s="233" t="str">
        <f>VLOOKUP(Table1[[#This Row],[Country Code]],Table29[],5,FALSE)</f>
        <v>Middle-income</v>
      </c>
      <c r="Y314" s="43"/>
      <c r="Z314" s="43"/>
    </row>
    <row r="315" spans="1:26" ht="15" customHeight="1" x14ac:dyDescent="0.25">
      <c r="A315" s="360">
        <v>20838</v>
      </c>
      <c r="B315" s="43" t="s">
        <v>307</v>
      </c>
      <c r="C315" s="243" t="str">
        <f>VLOOKUP(Table1[[#This Row],[Country Code]],Table29[],2,FALSE)</f>
        <v>Montenegro</v>
      </c>
      <c r="D315" s="243" t="str">
        <f t="shared" si="12"/>
        <v>Good</v>
      </c>
      <c r="E315" s="176" t="s">
        <v>71</v>
      </c>
      <c r="F315" s="43" t="s">
        <v>528</v>
      </c>
      <c r="G315" s="43" t="str">
        <f t="shared" si="13"/>
        <v>First NDC updated</v>
      </c>
      <c r="H315" s="43" t="s">
        <v>691</v>
      </c>
      <c r="I315" s="351">
        <v>44363</v>
      </c>
      <c r="J315" s="352" t="s">
        <v>500</v>
      </c>
      <c r="K315" s="320" t="str" cm="1">
        <f t="array" ref="K315">IF(ISNUMBER(MATCH("Transport sector mitigation target", _xlfn._xlws.FILTER(Targets!H:H, Targets!A:A =A315), 0)), "yes", "no")</f>
        <v>no</v>
      </c>
      <c r="L315" s="43" t="str">
        <f>IF(K315="no", "No transport target", IF(AND(COUNTIFS(Targets!A:A, A315, Targets!H:H, "Transport sector mitigation target", Targets!J:J, "GHG") &gt; 0, COUNTIFS(Targets!A:A, A315, Targets!H:H, "Transport sector mitigation target", Targets!J:J, "Non GHG") &gt; 0), "GHG and non-GHG target", IF(COUNTIFS(Targets!A:A, A315, Targets!H:H, "Transport sector mitigation target", Targets!J:J, "GHG") &gt; 0, "GHG target", IF(COUNTIFS(Targets!A:A, A315, Targets!H:H, "Transport sector mitigation target", Targets!J:J, "Non GHG") &gt; 0, "non-GHG target", ""))))</f>
        <v>No transport target</v>
      </c>
      <c r="M315" s="43" t="str">
        <f>IF(K315="no","No transport target",IF(L315="non-GHG target","No GHG transport target",IF(AND(COUNTIFS(Targets!A:A,A315,Targets!H:H,"Transport sector mitigation target",Targets!J:J,"GHG",Targets!L:L,"Conditional")&gt;0,COUNTIFS(Targets!A:A,A315,Targets!H:H,"Transport sector mitigation target",Targets!J:J,"GHG",Targets!L:L,"Unconditional")&gt;0),"GHG unconditional and conditional",IF(COUNTIFS(Targets!A:A,A315,Targets!H:H,"Transport sector mitigation target",Targets!J:J,"GHG",Targets!L:L,"Conditional")&gt;0,"GHG conditional only",IF(COUNTIFS(Targets!A:A,A315,Targets!H:H,"Transport sector mitigation target",Targets!J:J,"GHG",Targets!L:L,"Unconditional")&gt;0,"GHG unconditional only",IF(COUNTIFS(Targets!A:A,A315,Targets!H:H,"Transport sector mitigation target",Targets!J:J,"GHG",Targets!L:L,"Unclear conditionality")&gt;0,"Conditionality unclear",""))))))</f>
        <v>No transport target</v>
      </c>
      <c r="N315" s="43" t="str" cm="1">
        <f t="array" ref="N315">IF(ISNUMBER(MATCH("Transport sector adaptation target", _xlfn._xlws.FILTER(Targets!H:H, Targets!A:A =A315), 0)), "yes", "no")</f>
        <v>no</v>
      </c>
      <c r="O315" s="43" t="str">
        <f>IF(ISNA(MATCH(A315, Mitigation!A:A, 0)), "no", "yes")</f>
        <v>yes</v>
      </c>
      <c r="P315" s="43" t="str">
        <f>IF(ISNA(MATCH(A315, Adaptation!A:A, 0)), "no", "yes")</f>
        <v>yes</v>
      </c>
      <c r="Q315" s="43" t="str">
        <f>IF(ISNA(MATCH(A315, Benefits!A:A, 0)), "no", "yes")</f>
        <v>no</v>
      </c>
      <c r="R315" s="43"/>
      <c r="S315" s="43"/>
      <c r="T315" s="43" t="s">
        <v>501</v>
      </c>
      <c r="U315" s="312" t="s">
        <v>828</v>
      </c>
      <c r="V315" s="233" t="str">
        <f>VLOOKUP(Table1[[#This Row],[Country Code]],Table29[],3,FALSE)</f>
        <v>Non-Annex I</v>
      </c>
      <c r="W315" s="233" t="str">
        <f>VLOOKUP(Table1[[#This Row],[Country Code]],Table29[],4,FALSE)</f>
        <v>Europe</v>
      </c>
      <c r="X315" s="233" t="str">
        <f>VLOOKUP(Table1[[#This Row],[Country Code]],Table29[],5,FALSE)</f>
        <v>Middle-income</v>
      </c>
      <c r="Y315" s="43"/>
      <c r="Z315" s="43"/>
    </row>
    <row r="316" spans="1:26" ht="15" customHeight="1" x14ac:dyDescent="0.25">
      <c r="A316" s="360">
        <v>39441</v>
      </c>
      <c r="B316" s="42" t="s">
        <v>175</v>
      </c>
      <c r="C316" s="243" t="str">
        <f>VLOOKUP(Table1[[#This Row],[Country Code]],Table29[],2,FALSE)</f>
        <v>Egypt</v>
      </c>
      <c r="D316" s="243" t="str">
        <f t="shared" si="12"/>
        <v>Good</v>
      </c>
      <c r="E316" s="176" t="s">
        <v>71</v>
      </c>
      <c r="F316" s="43" t="s">
        <v>528</v>
      </c>
      <c r="G316" s="43" t="str">
        <f t="shared" si="13"/>
        <v>First NDC updated</v>
      </c>
      <c r="H316" s="350" t="s">
        <v>743</v>
      </c>
      <c r="I316" s="355">
        <v>45103</v>
      </c>
      <c r="J316" s="352" t="s">
        <v>505</v>
      </c>
      <c r="K316" s="320" t="str" cm="1">
        <f t="array" ref="K316">IF(ISNUMBER(MATCH("Transport sector mitigation target", _xlfn._xlws.FILTER(Targets!H:H, Targets!A:A =A316), 0)), "yes", "no")</f>
        <v>yes</v>
      </c>
      <c r="L316" s="43" t="str">
        <f>IF(K316="no", "No transport target", IF(AND(COUNTIFS(Targets!A:A, A316, Targets!H:H, "Transport sector mitigation target", Targets!J:J, "GHG") &gt; 0, COUNTIFS(Targets!A:A, A316, Targets!H:H, "Transport sector mitigation target", Targets!J:J, "Non GHG") &gt; 0), "GHG and non-GHG target", IF(COUNTIFS(Targets!A:A, A316, Targets!H:H, "Transport sector mitigation target", Targets!J:J, "GHG") &gt; 0, "GHG target", IF(COUNTIFS(Targets!A:A, A316, Targets!H:H, "Transport sector mitigation target", Targets!J:J, "Non GHG") &gt; 0, "non-GHG target", ""))))</f>
        <v>GHG target</v>
      </c>
      <c r="M316" s="43" t="str">
        <f>IF(K316="no","No transport target",IF(L316="non-GHG target","No GHG transport target",IF(AND(COUNTIFS(Targets!A:A,A316,Targets!H:H,"Transport sector mitigation target",Targets!J:J,"GHG",Targets!L:L,"Conditional")&gt;0,COUNTIFS(Targets!A:A,A316,Targets!H:H,"Transport sector mitigation target",Targets!J:J,"GHG",Targets!L:L,"Unconditional")&gt;0),"GHG unconditional and conditional",IF(COUNTIFS(Targets!A:A,A316,Targets!H:H,"Transport sector mitigation target",Targets!J:J,"GHG",Targets!L:L,"Conditional")&gt;0,"GHG conditional only",IF(COUNTIFS(Targets!A:A,A316,Targets!H:H,"Transport sector mitigation target",Targets!J:J,"GHG",Targets!L:L,"Unconditional")&gt;0,"GHG unconditional only",IF(COUNTIFS(Targets!A:A,A316,Targets!H:H,"Transport sector mitigation target",Targets!J:J,"GHG",Targets!L:L,"Unclear conditionality")&gt;0,"Conditionality unclear",""))))))</f>
        <v>GHG unconditional only</v>
      </c>
      <c r="N316" s="43" t="str" cm="1">
        <f t="array" ref="N316">IF(ISNUMBER(MATCH("Transport sector adaptation target", _xlfn._xlws.FILTER(Targets!H:H, Targets!A:A =A316), 0)), "yes", "no")</f>
        <v>no</v>
      </c>
      <c r="O316" s="43" t="str">
        <f>IF(ISNA(MATCH(A316, Mitigation!A:A, 0)), "no", "yes")</f>
        <v>yes</v>
      </c>
      <c r="P316" s="43" t="str">
        <f>IF(ISNA(MATCH(A316, Adaptation!A:A, 0)), "no", "yes")</f>
        <v>yes</v>
      </c>
      <c r="Q316" s="43" t="str">
        <f>IF(ISNA(MATCH(A316, Benefits!A:A, 0)), "no", "yes")</f>
        <v>no</v>
      </c>
      <c r="R316" s="43"/>
      <c r="S316" s="43"/>
      <c r="T316" s="43" t="s">
        <v>501</v>
      </c>
      <c r="U316" s="356" t="s">
        <v>829</v>
      </c>
      <c r="V316" s="233" t="str">
        <f>VLOOKUP(Table1[[#This Row],[Country Code]],Table29[],3,FALSE)</f>
        <v>Non-Annex I</v>
      </c>
      <c r="W316" s="233" t="str">
        <f>VLOOKUP(Table1[[#This Row],[Country Code]],Table29[],4,FALSE)</f>
        <v>Africa</v>
      </c>
      <c r="X316" s="233" t="str">
        <f>VLOOKUP(Table1[[#This Row],[Country Code]],Table29[],5,FALSE)</f>
        <v>Middle-income</v>
      </c>
      <c r="Y316" s="43"/>
      <c r="Z316" s="43"/>
    </row>
    <row r="317" spans="1:26" ht="15" customHeight="1" x14ac:dyDescent="0.25">
      <c r="A317" s="360">
        <v>20881</v>
      </c>
      <c r="B317" s="43" t="s">
        <v>103</v>
      </c>
      <c r="C317" s="243" t="str">
        <f>VLOOKUP(Table1[[#This Row],[Country Code]],Table29[],2,FALSE)</f>
        <v>Bhutan</v>
      </c>
      <c r="D317" s="243" t="str">
        <f t="shared" si="12"/>
        <v>Good</v>
      </c>
      <c r="E317" s="176" t="s">
        <v>71</v>
      </c>
      <c r="F317" s="43" t="s">
        <v>555</v>
      </c>
      <c r="G317" s="43" t="str">
        <f t="shared" si="13"/>
        <v>Second NDC</v>
      </c>
      <c r="H317" s="43" t="s">
        <v>714</v>
      </c>
      <c r="I317" s="351">
        <v>44372</v>
      </c>
      <c r="J317" s="352" t="s">
        <v>505</v>
      </c>
      <c r="K317" s="320" t="str" cm="1">
        <f t="array" ref="K317">IF(ISNUMBER(MATCH("Transport sector mitigation target", _xlfn._xlws.FILTER(Targets!H:H, Targets!A:A =A317), 0)), "yes", "no")</f>
        <v>no</v>
      </c>
      <c r="L317" s="43" t="str">
        <f>IF(K317="no", "No transport target", IF(AND(COUNTIFS(Targets!A:A, A317, Targets!H:H, "Transport sector mitigation target", Targets!J:J, "GHG") &gt; 0, COUNTIFS(Targets!A:A, A317, Targets!H:H, "Transport sector mitigation target", Targets!J:J, "Non GHG") &gt; 0), "GHG and non-GHG target", IF(COUNTIFS(Targets!A:A, A317, Targets!H:H, "Transport sector mitigation target", Targets!J:J, "GHG") &gt; 0, "GHG target", IF(COUNTIFS(Targets!A:A, A317, Targets!H:H, "Transport sector mitigation target", Targets!J:J, "Non GHG") &gt; 0, "non-GHG target", ""))))</f>
        <v>No transport target</v>
      </c>
      <c r="M317" s="43" t="str">
        <f>IF(K317="no","No transport target",IF(L317="non-GHG target","No GHG transport target",IF(AND(COUNTIFS(Targets!A:A,A317,Targets!H:H,"Transport sector mitigation target",Targets!J:J,"GHG",Targets!L:L,"Conditional")&gt;0,COUNTIFS(Targets!A:A,A317,Targets!H:H,"Transport sector mitigation target",Targets!J:J,"GHG",Targets!L:L,"Unconditional")&gt;0),"GHG unconditional and conditional",IF(COUNTIFS(Targets!A:A,A317,Targets!H:H,"Transport sector mitigation target",Targets!J:J,"GHG",Targets!L:L,"Conditional")&gt;0,"GHG conditional only",IF(COUNTIFS(Targets!A:A,A317,Targets!H:H,"Transport sector mitigation target",Targets!J:J,"GHG",Targets!L:L,"Unconditional")&gt;0,"GHG unconditional only",IF(COUNTIFS(Targets!A:A,A317,Targets!H:H,"Transport sector mitigation target",Targets!J:J,"GHG",Targets!L:L,"Unclear conditionality")&gt;0,"Conditionality unclear",""))))))</f>
        <v>No transport target</v>
      </c>
      <c r="N317" s="43" t="str" cm="1">
        <f t="array" ref="N317">IF(ISNUMBER(MATCH("Transport sector adaptation target", _xlfn._xlws.FILTER(Targets!H:H, Targets!A:A =A317), 0)), "yes", "no")</f>
        <v>no</v>
      </c>
      <c r="O317" s="43" t="str">
        <f>IF(ISNA(MATCH(A317, Mitigation!A:A, 0)), "no", "yes")</f>
        <v>yes</v>
      </c>
      <c r="P317" s="43" t="str">
        <f>IF(ISNA(MATCH(A317, Adaptation!A:A, 0)), "no", "yes")</f>
        <v>no</v>
      </c>
      <c r="Q317" s="43" t="str">
        <f>IF(ISNA(MATCH(A317, Benefits!A:A, 0)), "no", "yes")</f>
        <v>no</v>
      </c>
      <c r="R317" s="43"/>
      <c r="S317" s="43"/>
      <c r="T317" s="43" t="s">
        <v>501</v>
      </c>
      <c r="U317" s="312" t="s">
        <v>830</v>
      </c>
      <c r="V317" s="233" t="str">
        <f>VLOOKUP(Table1[[#This Row],[Country Code]],Table29[],3,FALSE)</f>
        <v>Non-Annex I</v>
      </c>
      <c r="W317" s="233" t="str">
        <f>VLOOKUP(Table1[[#This Row],[Country Code]],Table29[],4,FALSE)</f>
        <v>Asia</v>
      </c>
      <c r="X317" s="233" t="str">
        <f>VLOOKUP(Table1[[#This Row],[Country Code]],Table29[],5,FALSE)</f>
        <v>Middle-income</v>
      </c>
      <c r="Y317" s="43"/>
      <c r="Z317" s="43"/>
    </row>
    <row r="318" spans="1:26" ht="15" customHeight="1" x14ac:dyDescent="0.25">
      <c r="A318" s="360">
        <v>21061</v>
      </c>
      <c r="B318" s="43" t="s">
        <v>127</v>
      </c>
      <c r="C318" s="243" t="str">
        <f>VLOOKUP(Table1[[#This Row],[Country Code]],Table29[],2,FALSE)</f>
        <v>Canada</v>
      </c>
      <c r="D318" s="243" t="str">
        <f t="shared" si="12"/>
        <v>Good</v>
      </c>
      <c r="E318" s="176" t="s">
        <v>71</v>
      </c>
      <c r="F318" s="43" t="s">
        <v>528</v>
      </c>
      <c r="G318" s="43" t="str">
        <f t="shared" si="13"/>
        <v>First NDC updated</v>
      </c>
      <c r="H318" s="43" t="s">
        <v>691</v>
      </c>
      <c r="I318" s="351">
        <v>44389</v>
      </c>
      <c r="J318" s="352" t="s">
        <v>500</v>
      </c>
      <c r="K318" s="320" t="str" cm="1">
        <f t="array" ref="K318">IF(ISNUMBER(MATCH("Transport sector mitigation target", _xlfn._xlws.FILTER(Targets!H:H, Targets!A:A =A318), 0)), "yes", "no")</f>
        <v>no</v>
      </c>
      <c r="L318" s="43" t="str">
        <f>IF(K318="no", "No transport target", IF(AND(COUNTIFS(Targets!A:A, A318, Targets!H:H, "Transport sector mitigation target", Targets!J:J, "GHG") &gt; 0, COUNTIFS(Targets!A:A, A318, Targets!H:H, "Transport sector mitigation target", Targets!J:J, "Non GHG") &gt; 0), "GHG and non-GHG target", IF(COUNTIFS(Targets!A:A, A318, Targets!H:H, "Transport sector mitigation target", Targets!J:J, "GHG") &gt; 0, "GHG target", IF(COUNTIFS(Targets!A:A, A318, Targets!H:H, "Transport sector mitigation target", Targets!J:J, "Non GHG") &gt; 0, "non-GHG target", ""))))</f>
        <v>No transport target</v>
      </c>
      <c r="M318" s="43" t="str">
        <f>IF(K318="no","No transport target",IF(L318="non-GHG target","No GHG transport target",IF(AND(COUNTIFS(Targets!A:A,A318,Targets!H:H,"Transport sector mitigation target",Targets!J:J,"GHG",Targets!L:L,"Conditional")&gt;0,COUNTIFS(Targets!A:A,A318,Targets!H:H,"Transport sector mitigation target",Targets!J:J,"GHG",Targets!L:L,"Unconditional")&gt;0),"GHG unconditional and conditional",IF(COUNTIFS(Targets!A:A,A318,Targets!H:H,"Transport sector mitigation target",Targets!J:J,"GHG",Targets!L:L,"Conditional")&gt;0,"GHG conditional only",IF(COUNTIFS(Targets!A:A,A318,Targets!H:H,"Transport sector mitigation target",Targets!J:J,"GHG",Targets!L:L,"Unconditional")&gt;0,"GHG unconditional only",IF(COUNTIFS(Targets!A:A,A318,Targets!H:H,"Transport sector mitigation target",Targets!J:J,"GHG",Targets!L:L,"Unclear conditionality")&gt;0,"Conditionality unclear",""))))))</f>
        <v>No transport target</v>
      </c>
      <c r="N318" s="43" t="str" cm="1">
        <f t="array" ref="N318">IF(ISNUMBER(MATCH("Transport sector adaptation target", _xlfn._xlws.FILTER(Targets!H:H, Targets!A:A =A318), 0)), "yes", "no")</f>
        <v>no</v>
      </c>
      <c r="O318" s="43" t="str">
        <f>IF(ISNA(MATCH(A318, Mitigation!A:A, 0)), "no", "yes")</f>
        <v>yes</v>
      </c>
      <c r="P318" s="43" t="str">
        <f>IF(ISNA(MATCH(A318, Adaptation!A:A, 0)), "no", "yes")</f>
        <v>no</v>
      </c>
      <c r="Q318" s="43" t="str">
        <f>IF(ISNA(MATCH(A318, Benefits!A:A, 0)), "no", "yes")</f>
        <v>no</v>
      </c>
      <c r="R318" s="43"/>
      <c r="S318" s="43"/>
      <c r="T318" s="43" t="s">
        <v>501</v>
      </c>
      <c r="U318" s="312" t="s">
        <v>640</v>
      </c>
      <c r="V318" s="233" t="str">
        <f>VLOOKUP(Table1[[#This Row],[Country Code]],Table29[],3,FALSE)</f>
        <v>Annex I</v>
      </c>
      <c r="W318" s="233" t="str">
        <f>VLOOKUP(Table1[[#This Row],[Country Code]],Table29[],4,FALSE)</f>
        <v>Northern America</v>
      </c>
      <c r="X318" s="233" t="str">
        <f>VLOOKUP(Table1[[#This Row],[Country Code]],Table29[],5,FALSE)</f>
        <v>High-income</v>
      </c>
      <c r="Y318" s="43"/>
      <c r="Z318" s="43"/>
    </row>
    <row r="319" spans="1:26" ht="15" customHeight="1" x14ac:dyDescent="0.25">
      <c r="A319" s="360">
        <v>21215</v>
      </c>
      <c r="B319" s="17" t="s">
        <v>348</v>
      </c>
      <c r="C319" s="206" t="str">
        <f>VLOOKUP(Table1[[#This Row],[Country Code]],Table29[],2,FALSE)</f>
        <v>Paraguay</v>
      </c>
      <c r="D319" s="243" t="str">
        <f t="shared" si="12"/>
        <v>Good</v>
      </c>
      <c r="E319" s="20" t="s">
        <v>71</v>
      </c>
      <c r="F319" s="17" t="s">
        <v>528</v>
      </c>
      <c r="G319" s="43" t="str">
        <f t="shared" si="13"/>
        <v>First NDC updated</v>
      </c>
      <c r="H319" s="17" t="s">
        <v>691</v>
      </c>
      <c r="I319" s="149">
        <v>44393</v>
      </c>
      <c r="J319" s="187" t="s">
        <v>505</v>
      </c>
      <c r="K319" s="49" t="str" cm="1">
        <f t="array" ref="K319">IF(ISNUMBER(MATCH("Transport sector mitigation target", _xlfn._xlws.FILTER(Targets!H:H, Targets!A:A =A319), 0)), "yes", "no")</f>
        <v>no</v>
      </c>
      <c r="L319" s="17" t="str">
        <f>IF(K319="no", "No transport target", IF(AND(COUNTIFS(Targets!A:A, A319, Targets!H:H, "Transport sector mitigation target", Targets!J:J, "GHG") &gt; 0, COUNTIFS(Targets!A:A, A319, Targets!H:H, "Transport sector mitigation target", Targets!J:J, "Non GHG") &gt; 0), "GHG and non-GHG target", IF(COUNTIFS(Targets!A:A, A319, Targets!H:H, "Transport sector mitigation target", Targets!J:J, "GHG") &gt; 0, "GHG target", IF(COUNTIFS(Targets!A:A, A319, Targets!H:H, "Transport sector mitigation target", Targets!J:J, "Non GHG") &gt; 0, "non-GHG target", ""))))</f>
        <v>No transport target</v>
      </c>
      <c r="M319" s="17" t="str">
        <f>IF(K319="no","No transport target",IF(L319="non-GHG target","No GHG transport target",IF(AND(COUNTIFS(Targets!A:A,A319,Targets!H:H,"Transport sector mitigation target",Targets!J:J,"GHG",Targets!L:L,"Conditional")&gt;0,COUNTIFS(Targets!A:A,A319,Targets!H:H,"Transport sector mitigation target",Targets!J:J,"GHG",Targets!L:L,"Unconditional")&gt;0),"GHG unconditional and conditional",IF(COUNTIFS(Targets!A:A,A319,Targets!H:H,"Transport sector mitigation target",Targets!J:J,"GHG",Targets!L:L,"Conditional")&gt;0,"GHG conditional only",IF(COUNTIFS(Targets!A:A,A319,Targets!H:H,"Transport sector mitigation target",Targets!J:J,"GHG",Targets!L:L,"Unconditional")&gt;0,"GHG unconditional only",IF(COUNTIFS(Targets!A:A,A319,Targets!H:H,"Transport sector mitigation target",Targets!J:J,"GHG",Targets!L:L,"Unclear conditionality")&gt;0,"Conditionality unclear",""))))))</f>
        <v>No transport target</v>
      </c>
      <c r="N319" s="17" t="str" cm="1">
        <f t="array" ref="N319">IF(ISNUMBER(MATCH("Transport sector adaptation target", _xlfn._xlws.FILTER(Targets!H:H, Targets!A:A =A319), 0)), "yes", "no")</f>
        <v>no</v>
      </c>
      <c r="O319" s="17" t="str">
        <f>IF(ISNA(MATCH(A319, Mitigation!A:A, 0)), "no", "yes")</f>
        <v>yes</v>
      </c>
      <c r="P319" s="17" t="str">
        <f>IF(ISNA(MATCH(A319, Adaptation!A:A, 0)), "no", "yes")</f>
        <v>no</v>
      </c>
      <c r="Q319" s="17" t="str">
        <f>IF(ISNA(MATCH(A319, Benefits!A:A, 0)), "no", "yes")</f>
        <v>no</v>
      </c>
      <c r="R319" s="17"/>
      <c r="S319" s="17"/>
      <c r="T319" s="17" t="s">
        <v>501</v>
      </c>
      <c r="U319" s="135" t="s">
        <v>831</v>
      </c>
      <c r="V319" s="207" t="str">
        <f>VLOOKUP(Table1[[#This Row],[Country Code]],Table29[],3,FALSE)</f>
        <v>Non-Annex I</v>
      </c>
      <c r="W319" s="207" t="str">
        <f>VLOOKUP(Table1[[#This Row],[Country Code]],Table29[],4,FALSE)</f>
        <v>Latin America and the Caribbean</v>
      </c>
      <c r="X319" s="207" t="str">
        <f>VLOOKUP(Table1[[#This Row],[Country Code]],Table29[],5,FALSE)</f>
        <v>Middle-income</v>
      </c>
      <c r="Y319" s="17"/>
      <c r="Z319" s="17"/>
    </row>
    <row r="320" spans="1:26" ht="15" customHeight="1" x14ac:dyDescent="0.25">
      <c r="A320" s="405">
        <v>21220</v>
      </c>
      <c r="B320" s="19" t="s">
        <v>400</v>
      </c>
      <c r="C320" s="206" t="str">
        <f>VLOOKUP(Table1[[#This Row],[Country Code]],Table29[],2,FALSE)</f>
        <v>Solomon Islands</v>
      </c>
      <c r="D320" s="243" t="str">
        <f t="shared" si="12"/>
        <v>Good</v>
      </c>
      <c r="E320" s="20" t="s">
        <v>71</v>
      </c>
      <c r="F320" s="17" t="s">
        <v>528</v>
      </c>
      <c r="G320" s="43" t="str">
        <f t="shared" si="13"/>
        <v>First NDC updated</v>
      </c>
      <c r="H320" s="17" t="s">
        <v>691</v>
      </c>
      <c r="I320" s="149">
        <v>44396</v>
      </c>
      <c r="J320" s="187" t="s">
        <v>505</v>
      </c>
      <c r="K320" s="49" t="str" cm="1">
        <f t="array" ref="K320">IF(ISNUMBER(MATCH("Transport sector mitigation target", _xlfn._xlws.FILTER(Targets!H:H, Targets!A:A =A320), 0)), "yes", "no")</f>
        <v>no</v>
      </c>
      <c r="L320" s="17" t="str">
        <f>IF(K320="no", "No transport target", IF(AND(COUNTIFS(Targets!A:A, A320, Targets!H:H, "Transport sector mitigation target", Targets!J:J, "GHG") &gt; 0, COUNTIFS(Targets!A:A, A320, Targets!H:H, "Transport sector mitigation target", Targets!J:J, "Non GHG") &gt; 0), "GHG and non-GHG target", IF(COUNTIFS(Targets!A:A, A320, Targets!H:H, "Transport sector mitigation target", Targets!J:J, "GHG") &gt; 0, "GHG target", IF(COUNTIFS(Targets!A:A, A320, Targets!H:H, "Transport sector mitigation target", Targets!J:J, "Non GHG") &gt; 0, "non-GHG target", ""))))</f>
        <v>No transport target</v>
      </c>
      <c r="M320" s="17" t="str">
        <f>IF(K320="no","No transport target",IF(L320="non-GHG target","No GHG transport target",IF(AND(COUNTIFS(Targets!A:A,A320,Targets!H:H,"Transport sector mitigation target",Targets!J:J,"GHG",Targets!L:L,"Conditional")&gt;0,COUNTIFS(Targets!A:A,A320,Targets!H:H,"Transport sector mitigation target",Targets!J:J,"GHG",Targets!L:L,"Unconditional")&gt;0),"GHG unconditional and conditional",IF(COUNTIFS(Targets!A:A,A320,Targets!H:H,"Transport sector mitigation target",Targets!J:J,"GHG",Targets!L:L,"Conditional")&gt;0,"GHG conditional only",IF(COUNTIFS(Targets!A:A,A320,Targets!H:H,"Transport sector mitigation target",Targets!J:J,"GHG",Targets!L:L,"Unconditional")&gt;0,"GHG unconditional only",IF(COUNTIFS(Targets!A:A,A320,Targets!H:H,"Transport sector mitigation target",Targets!J:J,"GHG",Targets!L:L,"Unclear conditionality")&gt;0,"Conditionality unclear",""))))))</f>
        <v>No transport target</v>
      </c>
      <c r="N320" s="17" t="str" cm="1">
        <f t="array" ref="N320">IF(ISNUMBER(MATCH("Transport sector adaptation target", _xlfn._xlws.FILTER(Targets!H:H, Targets!A:A =A320), 0)), "yes", "no")</f>
        <v>no</v>
      </c>
      <c r="O320" s="17" t="str">
        <f>IF(ISNA(MATCH(A320, Mitigation!A:A, 0)), "no", "yes")</f>
        <v>yes</v>
      </c>
      <c r="P320" s="17" t="str">
        <f>IF(ISNA(MATCH(A320, Adaptation!A:A, 0)), "no", "yes")</f>
        <v>yes</v>
      </c>
      <c r="Q320" s="17" t="str">
        <f>IF(ISNA(MATCH(A320, Benefits!A:A, 0)), "no", "yes")</f>
        <v>no</v>
      </c>
      <c r="R320" s="17"/>
      <c r="S320" s="17"/>
      <c r="T320" s="17" t="s">
        <v>501</v>
      </c>
      <c r="U320" s="135" t="s">
        <v>832</v>
      </c>
      <c r="V320" s="207" t="str">
        <f>VLOOKUP(Table1[[#This Row],[Country Code]],Table29[],3,FALSE)</f>
        <v>Non-Annex I</v>
      </c>
      <c r="W320" s="207" t="str">
        <f>VLOOKUP(Table1[[#This Row],[Country Code]],Table29[],4,FALSE)</f>
        <v>Oceania</v>
      </c>
      <c r="X320" s="207" t="str">
        <f>VLOOKUP(Table1[[#This Row],[Country Code]],Table29[],5,FALSE)</f>
        <v>Middle-income</v>
      </c>
      <c r="Y320" s="17"/>
      <c r="Z320" s="17"/>
    </row>
    <row r="321" spans="1:26" ht="15" customHeight="1" x14ac:dyDescent="0.25">
      <c r="A321" s="405">
        <v>26800</v>
      </c>
      <c r="B321" s="19" t="s">
        <v>177</v>
      </c>
      <c r="C321" s="206" t="str">
        <f>VLOOKUP(Table1[[#This Row],[Country Code]],Table29[],2,FALSE)</f>
        <v>El Salvador</v>
      </c>
      <c r="D321" s="243" t="str">
        <f t="shared" si="12"/>
        <v>Good</v>
      </c>
      <c r="E321" s="20" t="s">
        <v>71</v>
      </c>
      <c r="F321" s="17" t="s">
        <v>528</v>
      </c>
      <c r="G321" s="43" t="str">
        <f t="shared" si="13"/>
        <v>First NDC updated</v>
      </c>
      <c r="H321" s="17" t="s">
        <v>691</v>
      </c>
      <c r="I321" s="163">
        <v>44565</v>
      </c>
      <c r="J321" s="187" t="s">
        <v>505</v>
      </c>
      <c r="K321" s="49" t="str" cm="1">
        <f t="array" ref="K321">IF(ISNUMBER(MATCH("Transport sector mitigation target", _xlfn._xlws.FILTER(Targets!H:H, Targets!A:A =A321), 0)), "yes", "no")</f>
        <v>yes</v>
      </c>
      <c r="L321" s="17" t="str">
        <f>IF(K321="no", "No transport target", IF(AND(COUNTIFS(Targets!A:A, A321, Targets!H:H, "Transport sector mitigation target", Targets!J:J, "GHG") &gt; 0, COUNTIFS(Targets!A:A, A321, Targets!H:H, "Transport sector mitigation target", Targets!J:J, "Non GHG") &gt; 0), "GHG and non-GHG target", IF(COUNTIFS(Targets!A:A, A321, Targets!H:H, "Transport sector mitigation target", Targets!J:J, "GHG") &gt; 0, "GHG target", IF(COUNTIFS(Targets!A:A, A321, Targets!H:H, "Transport sector mitigation target", Targets!J:J, "Non GHG") &gt; 0, "non-GHG target", ""))))</f>
        <v>GHG target</v>
      </c>
      <c r="M321" s="17" t="str">
        <f>IF(K321="no","No transport target",IF(L321="non-GHG target","No GHG transport target",IF(AND(COUNTIFS(Targets!A:A,A321,Targets!H:H,"Transport sector mitigation target",Targets!J:J,"GHG",Targets!L:L,"Conditional")&gt;0,COUNTIFS(Targets!A:A,A321,Targets!H:H,"Transport sector mitigation target",Targets!J:J,"GHG",Targets!L:L,"Unconditional")&gt;0),"GHG unconditional and conditional",IF(COUNTIFS(Targets!A:A,A321,Targets!H:H,"Transport sector mitigation target",Targets!J:J,"GHG",Targets!L:L,"Conditional")&gt;0,"GHG conditional only",IF(COUNTIFS(Targets!A:A,A321,Targets!H:H,"Transport sector mitigation target",Targets!J:J,"GHG",Targets!L:L,"Unconditional")&gt;0,"GHG unconditional only",IF(COUNTIFS(Targets!A:A,A321,Targets!H:H,"Transport sector mitigation target",Targets!J:J,"GHG",Targets!L:L,"Unclear conditionality")&gt;0,"Conditionality unclear",""))))))</f>
        <v>GHG unconditional only</v>
      </c>
      <c r="N321" s="17" t="str" cm="1">
        <f t="array" ref="N321">IF(ISNUMBER(MATCH("Transport sector adaptation target", _xlfn._xlws.FILTER(Targets!H:H, Targets!A:A =A321), 0)), "yes", "no")</f>
        <v>no</v>
      </c>
      <c r="O321" s="17" t="str">
        <f>IF(ISNA(MATCH(A321, Mitigation!A:A, 0)), "no", "yes")</f>
        <v>yes</v>
      </c>
      <c r="P321" s="17" t="str">
        <f>IF(ISNA(MATCH(A321, Adaptation!A:A, 0)), "no", "yes")</f>
        <v>no</v>
      </c>
      <c r="Q321" s="17" t="str">
        <f>IF(ISNA(MATCH(A321, Benefits!A:A, 0)), "no", "yes")</f>
        <v>no</v>
      </c>
      <c r="R321" s="17"/>
      <c r="S321" s="17"/>
      <c r="T321" s="17" t="s">
        <v>501</v>
      </c>
      <c r="U321" s="167" t="s">
        <v>833</v>
      </c>
      <c r="V321" s="207" t="str">
        <f>VLOOKUP(Table1[[#This Row],[Country Code]],Table29[],3,FALSE)</f>
        <v>Non-Annex I</v>
      </c>
      <c r="W321" s="207" t="str">
        <f>VLOOKUP(Table1[[#This Row],[Country Code]],Table29[],4,FALSE)</f>
        <v>Latin America and the Caribbean</v>
      </c>
      <c r="X321" s="207" t="str">
        <f>VLOOKUP(Table1[[#This Row],[Country Code]],Table29[],5,FALSE)</f>
        <v>Middle-income</v>
      </c>
      <c r="Y321" s="17"/>
      <c r="Z321" s="17"/>
    </row>
    <row r="322" spans="1:26" ht="15" customHeight="1" x14ac:dyDescent="0.25">
      <c r="A322" s="360">
        <v>21226</v>
      </c>
      <c r="B322" s="42" t="s">
        <v>230</v>
      </c>
      <c r="C322" s="243" t="str">
        <f>VLOOKUP(Table1[[#This Row],[Country Code]],Table29[],2,FALSE)</f>
        <v>Indonesia</v>
      </c>
      <c r="D322" s="243" t="str">
        <f t="shared" si="12"/>
        <v>Good</v>
      </c>
      <c r="E322" s="176" t="s">
        <v>71</v>
      </c>
      <c r="F322" s="43" t="s">
        <v>525</v>
      </c>
      <c r="G322" s="43" t="str">
        <f t="shared" si="13"/>
        <v>First NDC updated</v>
      </c>
      <c r="H322" s="43" t="s">
        <v>691</v>
      </c>
      <c r="I322" s="351">
        <v>44399</v>
      </c>
      <c r="J322" s="320" t="s">
        <v>500</v>
      </c>
      <c r="K322" s="320" t="str" cm="1">
        <f t="array" ref="K322">IF(ISNUMBER(MATCH("Transport sector mitigation target", _xlfn._xlws.FILTER(Targets!H:H, Targets!A:A =A322), 0)), "yes", "no")</f>
        <v>no</v>
      </c>
      <c r="L322" s="43" t="str">
        <f>IF(K322="no", "No transport target", IF(AND(COUNTIFS(Targets!A:A, A322, Targets!H:H, "Transport sector mitigation target", Targets!J:J, "GHG") &gt; 0, COUNTIFS(Targets!A:A, A322, Targets!H:H, "Transport sector mitigation target", Targets!J:J, "Non GHG") &gt; 0), "GHG and non-GHG target", IF(COUNTIFS(Targets!A:A, A322, Targets!H:H, "Transport sector mitigation target", Targets!J:J, "GHG") &gt; 0, "GHG target", IF(COUNTIFS(Targets!A:A, A322, Targets!H:H, "Transport sector mitigation target", Targets!J:J, "Non GHG") &gt; 0, "non-GHG target", ""))))</f>
        <v>No transport target</v>
      </c>
      <c r="M322" s="43" t="str">
        <f>IF(K322="no","No transport target",IF(L322="non-GHG target","No GHG transport target",IF(AND(COUNTIFS(Targets!A:A,A322,Targets!H:H,"Transport sector mitigation target",Targets!J:J,"GHG",Targets!L:L,"Conditional")&gt;0,COUNTIFS(Targets!A:A,A322,Targets!H:H,"Transport sector mitigation target",Targets!J:J,"GHG",Targets!L:L,"Unconditional")&gt;0),"GHG unconditional and conditional",IF(COUNTIFS(Targets!A:A,A322,Targets!H:H,"Transport sector mitigation target",Targets!J:J,"GHG",Targets!L:L,"Conditional")&gt;0,"GHG conditional only",IF(COUNTIFS(Targets!A:A,A322,Targets!H:H,"Transport sector mitigation target",Targets!J:J,"GHG",Targets!L:L,"Unconditional")&gt;0,"GHG unconditional only",IF(COUNTIFS(Targets!A:A,A322,Targets!H:H,"Transport sector mitigation target",Targets!J:J,"GHG",Targets!L:L,"Unclear conditionality")&gt;0,"Conditionality unclear",""))))))</f>
        <v>No transport target</v>
      </c>
      <c r="N322" s="43" t="str" cm="1">
        <f t="array" ref="N322">IF(ISNUMBER(MATCH("Transport sector adaptation target", _xlfn._xlws.FILTER(Targets!H:H, Targets!A:A =A322), 0)), "yes", "no")</f>
        <v>no</v>
      </c>
      <c r="O322" s="43" t="str">
        <f>IF(ISNA(MATCH(A322, Mitigation!A:A, 0)), "no", "yes")</f>
        <v>yes</v>
      </c>
      <c r="P322" s="43" t="str">
        <f>IF(ISNA(MATCH(A322, Adaptation!A:A, 0)), "no", "yes")</f>
        <v>no</v>
      </c>
      <c r="Q322" s="43" t="str">
        <f>IF(ISNA(MATCH(A322, Benefits!A:A, 0)), "no", "yes")</f>
        <v>no</v>
      </c>
      <c r="R322" s="43"/>
      <c r="S322" s="43"/>
      <c r="T322" s="43" t="s">
        <v>501</v>
      </c>
      <c r="U322" s="312" t="s">
        <v>834</v>
      </c>
      <c r="V322" s="233" t="str">
        <f>VLOOKUP(Table1[[#This Row],[Country Code]],Table29[],3,FALSE)</f>
        <v>Non-Annex I</v>
      </c>
      <c r="W322" s="233" t="str">
        <f>VLOOKUP(Table1[[#This Row],[Country Code]],Table29[],4,FALSE)</f>
        <v>Asia</v>
      </c>
      <c r="X322" s="233" t="str">
        <f>VLOOKUP(Table1[[#This Row],[Country Code]],Table29[],5,FALSE)</f>
        <v>Middle-income</v>
      </c>
      <c r="Y322" s="43"/>
      <c r="Z322" s="43"/>
    </row>
    <row r="323" spans="1:26" ht="15" customHeight="1" x14ac:dyDescent="0.25">
      <c r="A323" s="360">
        <v>17588</v>
      </c>
      <c r="B323" s="42" t="s">
        <v>187</v>
      </c>
      <c r="C323" s="243" t="str">
        <f>VLOOKUP(Table1[[#This Row],[Country Code]],Table29[],2,FALSE)</f>
        <v>Ethiopia</v>
      </c>
      <c r="D323" s="243" t="str">
        <f t="shared" si="12"/>
        <v>Good</v>
      </c>
      <c r="E323" s="176" t="s">
        <v>71</v>
      </c>
      <c r="F323" s="43" t="s">
        <v>528</v>
      </c>
      <c r="G323" s="43" t="str">
        <f t="shared" si="13"/>
        <v>First NDC updated</v>
      </c>
      <c r="H323" s="43" t="s">
        <v>691</v>
      </c>
      <c r="I323" s="351">
        <v>44400</v>
      </c>
      <c r="J323" s="352" t="s">
        <v>505</v>
      </c>
      <c r="K323" s="320" t="str" cm="1">
        <f t="array" ref="K323">IF(ISNUMBER(MATCH("Transport sector mitigation target", _xlfn._xlws.FILTER(Targets!H:H, Targets!A:A =A323), 0)), "yes", "no")</f>
        <v>no</v>
      </c>
      <c r="L323" s="43" t="str">
        <f>IF(K323="no", "No transport target", IF(AND(COUNTIFS(Targets!A:A, A323, Targets!H:H, "Transport sector mitigation target", Targets!J:J, "GHG") &gt; 0, COUNTIFS(Targets!A:A, A323, Targets!H:H, "Transport sector mitigation target", Targets!J:J, "Non GHG") &gt; 0), "GHG and non-GHG target", IF(COUNTIFS(Targets!A:A, A323, Targets!H:H, "Transport sector mitigation target", Targets!J:J, "GHG") &gt; 0, "GHG target", IF(COUNTIFS(Targets!A:A, A323, Targets!H:H, "Transport sector mitigation target", Targets!J:J, "Non GHG") &gt; 0, "non-GHG target", ""))))</f>
        <v>No transport target</v>
      </c>
      <c r="M323" s="43" t="str">
        <f>IF(K323="no","No transport target",IF(L323="non-GHG target","No GHG transport target",IF(AND(COUNTIFS(Targets!A:A,A323,Targets!H:H,"Transport sector mitigation target",Targets!J:J,"GHG",Targets!L:L,"Conditional")&gt;0,COUNTIFS(Targets!A:A,A323,Targets!H:H,"Transport sector mitigation target",Targets!J:J,"GHG",Targets!L:L,"Unconditional")&gt;0),"GHG unconditional and conditional",IF(COUNTIFS(Targets!A:A,A323,Targets!H:H,"Transport sector mitigation target",Targets!J:J,"GHG",Targets!L:L,"Conditional")&gt;0,"GHG conditional only",IF(COUNTIFS(Targets!A:A,A323,Targets!H:H,"Transport sector mitigation target",Targets!J:J,"GHG",Targets!L:L,"Unconditional")&gt;0,"GHG unconditional only",IF(COUNTIFS(Targets!A:A,A323,Targets!H:H,"Transport sector mitigation target",Targets!J:J,"GHG",Targets!L:L,"Unclear conditionality")&gt;0,"Conditionality unclear",""))))))</f>
        <v>No transport target</v>
      </c>
      <c r="N323" s="43" t="str" cm="1">
        <f t="array" ref="N323">IF(ISNUMBER(MATCH("Transport sector adaptation target", _xlfn._xlws.FILTER(Targets!H:H, Targets!A:A =A323), 0)), "yes", "no")</f>
        <v>no</v>
      </c>
      <c r="O323" s="43" t="str">
        <f>IF(ISNA(MATCH(A323, Mitigation!A:A, 0)), "no", "yes")</f>
        <v>yes</v>
      </c>
      <c r="P323" s="43" t="str">
        <f>IF(ISNA(MATCH(A323, Adaptation!A:A, 0)), "no", "yes")</f>
        <v>yes</v>
      </c>
      <c r="Q323" s="43" t="str">
        <f>IF(ISNA(MATCH(A323, Benefits!A:A, 0)), "no", "yes")</f>
        <v>no</v>
      </c>
      <c r="R323" s="43"/>
      <c r="S323" s="43"/>
      <c r="T323" s="43" t="s">
        <v>501</v>
      </c>
      <c r="U323" s="312" t="s">
        <v>835</v>
      </c>
      <c r="V323" s="233" t="str">
        <f>VLOOKUP(Table1[[#This Row],[Country Code]],Table29[],3,FALSE)</f>
        <v>Non-Annex I</v>
      </c>
      <c r="W323" s="233" t="str">
        <f>VLOOKUP(Table1[[#This Row],[Country Code]],Table29[],4,FALSE)</f>
        <v>Africa</v>
      </c>
      <c r="X323" s="233" t="str">
        <f>VLOOKUP(Table1[[#This Row],[Country Code]],Table29[],5,FALSE)</f>
        <v>Low-income</v>
      </c>
      <c r="Y323" s="43"/>
      <c r="Z323" s="43"/>
    </row>
    <row r="324" spans="1:26" ht="15" customHeight="1" x14ac:dyDescent="0.25">
      <c r="A324" s="360">
        <v>41738</v>
      </c>
      <c r="B324" s="42" t="s">
        <v>179</v>
      </c>
      <c r="C324" s="243" t="str">
        <f>VLOOKUP(Table1[[#This Row],[Country Code]],Table29[],2,FALSE)</f>
        <v>Equatorial Guinea</v>
      </c>
      <c r="D324" s="243" t="str">
        <f t="shared" si="12"/>
        <v>Good</v>
      </c>
      <c r="E324" s="176" t="s">
        <v>227</v>
      </c>
      <c r="F324" s="355" t="s">
        <v>227</v>
      </c>
      <c r="G324" s="43" t="str">
        <f t="shared" si="13"/>
        <v>LTS</v>
      </c>
      <c r="H324" s="350" t="s">
        <v>636</v>
      </c>
      <c r="I324" s="355">
        <v>45400</v>
      </c>
      <c r="J324" s="352" t="s">
        <v>505</v>
      </c>
      <c r="K324" s="320" t="str" cm="1">
        <f t="array" ref="K324">IF(ISNUMBER(MATCH("Transport sector mitigation target", _xlfn._xlws.FILTER(Targets!H:H, Targets!A:A =A324), 0)), "yes", "no")</f>
        <v>yes</v>
      </c>
      <c r="L324" s="43" t="str">
        <f>IF(K324="no", "No transport target", IF(AND(COUNTIFS(Targets!A:A, A324, Targets!H:H, "Transport sector mitigation target", Targets!J:J, "GHG") &gt; 0, COUNTIFS(Targets!A:A, A324, Targets!H:H, "Transport sector mitigation target", Targets!J:J, "Non GHG") &gt; 0), "GHG and non-GHG target", IF(COUNTIFS(Targets!A:A, A324, Targets!H:H, "Transport sector mitigation target", Targets!J:J, "GHG") &gt; 0, "GHG target", IF(COUNTIFS(Targets!A:A, A324, Targets!H:H, "Transport sector mitigation target", Targets!J:J, "Non GHG") &gt; 0, "non-GHG target", ""))))</f>
        <v>non-GHG target</v>
      </c>
      <c r="M324" s="43" t="str">
        <f>IF(K324="no","No transport target",IF(L324="non-GHG target","No GHG transport target",IF(AND(COUNTIFS(Targets!A:A,A324,Targets!H:H,"Transport sector mitigation target",Targets!J:J,"GHG",Targets!L:L,"Conditional")&gt;0,COUNTIFS(Targets!A:A,A324,Targets!H:H,"Transport sector mitigation target",Targets!J:J,"GHG",Targets!L:L,"Unconditional")&gt;0),"GHG unconditional and conditional",IF(COUNTIFS(Targets!A:A,A324,Targets!H:H,"Transport sector mitigation target",Targets!J:J,"GHG",Targets!L:L,"Conditional")&gt;0,"GHG conditional only",IF(COUNTIFS(Targets!A:A,A324,Targets!H:H,"Transport sector mitigation target",Targets!J:J,"GHG",Targets!L:L,"Unconditional")&gt;0,"GHG unconditional only",IF(COUNTIFS(Targets!A:A,A324,Targets!H:H,"Transport sector mitigation target",Targets!J:J,"GHG",Targets!L:L,"Unclear conditionality")&gt;0,"Conditionality unclear",""))))))</f>
        <v>No GHG transport target</v>
      </c>
      <c r="N324" s="43" t="str" cm="1">
        <f t="array" ref="N324">IF(ISNUMBER(MATCH("Transport sector adaptation target", _xlfn._xlws.FILTER(Targets!H:H, Targets!A:A =A324), 0)), "yes", "no")</f>
        <v>no</v>
      </c>
      <c r="O324" s="43" t="str">
        <f>IF(ISNA(MATCH(A324, Mitigation!A:A, 0)), "no", "yes")</f>
        <v>yes</v>
      </c>
      <c r="P324" s="43" t="str">
        <f>IF(ISNA(MATCH(A324, Adaptation!A:A, 0)), "no", "yes")</f>
        <v>yes</v>
      </c>
      <c r="Q324" s="43" t="str">
        <f>IF(ISNA(MATCH(A324, Benefits!A:A, 0)), "no", "yes")</f>
        <v>no</v>
      </c>
      <c r="R324" s="43"/>
      <c r="S324" s="43" t="s">
        <v>836</v>
      </c>
      <c r="T324" s="43" t="s">
        <v>501</v>
      </c>
      <c r="U324" s="356" t="s">
        <v>837</v>
      </c>
      <c r="V324" s="233" t="str">
        <f>VLOOKUP(Table1[[#This Row],[Country Code]],Table29[],3,FALSE)</f>
        <v>Non-Annex I</v>
      </c>
      <c r="W324" s="233" t="str">
        <f>VLOOKUP(Table1[[#This Row],[Country Code]],Table29[],4,FALSE)</f>
        <v>Africa</v>
      </c>
      <c r="X324" s="233" t="str">
        <f>VLOOKUP(Table1[[#This Row],[Country Code]],Table29[],5,FALSE)</f>
        <v>Middle-income</v>
      </c>
      <c r="Y324" s="43" t="s">
        <v>838</v>
      </c>
      <c r="Z324" s="43"/>
    </row>
    <row r="325" spans="1:26" ht="15" customHeight="1" x14ac:dyDescent="0.25">
      <c r="A325" s="405">
        <v>23377</v>
      </c>
      <c r="B325" s="19" t="s">
        <v>185</v>
      </c>
      <c r="C325" s="206" t="str">
        <f>VLOOKUP(Table1[[#This Row],[Country Code]],Table29[],2,FALSE)</f>
        <v>Eswatini</v>
      </c>
      <c r="D325" s="243" t="str">
        <f t="shared" si="12"/>
        <v>Good</v>
      </c>
      <c r="E325" s="20" t="s">
        <v>71</v>
      </c>
      <c r="F325" s="17" t="s">
        <v>528</v>
      </c>
      <c r="G325" s="43" t="str">
        <f t="shared" si="13"/>
        <v>First NDC updated</v>
      </c>
      <c r="H325" s="17" t="s">
        <v>691</v>
      </c>
      <c r="I325" s="149">
        <v>44540</v>
      </c>
      <c r="J325" s="187" t="s">
        <v>505</v>
      </c>
      <c r="K325" s="49" t="str" cm="1">
        <f t="array" ref="K325">IF(ISNUMBER(MATCH("Transport sector mitigation target", _xlfn._xlws.FILTER(Targets!H:H, Targets!A:A =A325), 0)), "yes", "no")</f>
        <v>yes</v>
      </c>
      <c r="L325" s="17" t="str">
        <f>IF(K325="no", "No transport target", IF(AND(COUNTIFS(Targets!A:A, A325, Targets!H:H, "Transport sector mitigation target", Targets!J:J, "GHG") &gt; 0, COUNTIFS(Targets!A:A, A325, Targets!H:H, "Transport sector mitigation target", Targets!J:J, "Non GHG") &gt; 0), "GHG and non-GHG target", IF(COUNTIFS(Targets!A:A, A325, Targets!H:H, "Transport sector mitigation target", Targets!J:J, "GHG") &gt; 0, "GHG target", IF(COUNTIFS(Targets!A:A, A325, Targets!H:H, "Transport sector mitigation target", Targets!J:J, "Non GHG") &gt; 0, "non-GHG target", ""))))</f>
        <v>non-GHG target</v>
      </c>
      <c r="M325" s="17" t="str">
        <f>IF(K325="no","No transport target",IF(L325="non-GHG target","No GHG transport target",IF(AND(COUNTIFS(Targets!A:A,A325,Targets!H:H,"Transport sector mitigation target",Targets!J:J,"GHG",Targets!L:L,"Conditional")&gt;0,COUNTIFS(Targets!A:A,A325,Targets!H:H,"Transport sector mitigation target",Targets!J:J,"GHG",Targets!L:L,"Unconditional")&gt;0),"GHG unconditional and conditional",IF(COUNTIFS(Targets!A:A,A325,Targets!H:H,"Transport sector mitigation target",Targets!J:J,"GHG",Targets!L:L,"Conditional")&gt;0,"GHG conditional only",IF(COUNTIFS(Targets!A:A,A325,Targets!H:H,"Transport sector mitigation target",Targets!J:J,"GHG",Targets!L:L,"Unconditional")&gt;0,"GHG unconditional only",IF(COUNTIFS(Targets!A:A,A325,Targets!H:H,"Transport sector mitigation target",Targets!J:J,"GHG",Targets!L:L,"Unclear conditionality")&gt;0,"Conditionality unclear",""))))))</f>
        <v>No GHG transport target</v>
      </c>
      <c r="N325" s="17" t="str" cm="1">
        <f t="array" ref="N325">IF(ISNUMBER(MATCH("Transport sector adaptation target", _xlfn._xlws.FILTER(Targets!H:H, Targets!A:A =A325), 0)), "yes", "no")</f>
        <v>no</v>
      </c>
      <c r="O325" s="17" t="str">
        <f>IF(ISNA(MATCH(A325, Mitigation!A:A, 0)), "no", "yes")</f>
        <v>yes</v>
      </c>
      <c r="P325" s="17" t="str">
        <f>IF(ISNA(MATCH(A325, Adaptation!A:A, 0)), "no", "yes")</f>
        <v>yes</v>
      </c>
      <c r="Q325" s="17" t="str">
        <f>IF(ISNA(MATCH(A325, Benefits!A:A, 0)), "no", "yes")</f>
        <v>no</v>
      </c>
      <c r="R325" s="17"/>
      <c r="S325" s="17"/>
      <c r="T325" s="17" t="s">
        <v>501</v>
      </c>
      <c r="U325" s="135" t="s">
        <v>839</v>
      </c>
      <c r="V325" s="207" t="str">
        <f>VLOOKUP(Table1[[#This Row],[Country Code]],Table29[],3,FALSE)</f>
        <v>Non-Annex I</v>
      </c>
      <c r="W325" s="207" t="str">
        <f>VLOOKUP(Table1[[#This Row],[Country Code]],Table29[],4,FALSE)</f>
        <v>Africa</v>
      </c>
      <c r="X325" s="207" t="str">
        <f>VLOOKUP(Table1[[#This Row],[Country Code]],Table29[],5,FALSE)</f>
        <v>Middle-income</v>
      </c>
      <c r="Y325" s="17"/>
      <c r="Z325" s="17"/>
    </row>
    <row r="326" spans="1:26" ht="15" customHeight="1" x14ac:dyDescent="0.25">
      <c r="A326" s="360">
        <v>21263</v>
      </c>
      <c r="B326" s="19" t="s">
        <v>335</v>
      </c>
      <c r="C326" s="206" t="str">
        <f>VLOOKUP(Table1[[#This Row],[Country Code]],Table29[],2,FALSE)</f>
        <v>Oman</v>
      </c>
      <c r="D326" s="243" t="str">
        <f t="shared" si="12"/>
        <v>Good</v>
      </c>
      <c r="E326" s="20" t="s">
        <v>71</v>
      </c>
      <c r="F326" s="17" t="s">
        <v>794</v>
      </c>
      <c r="G326" s="43" t="str">
        <f t="shared" si="13"/>
        <v>Second NDC</v>
      </c>
      <c r="H326" s="17" t="s">
        <v>714</v>
      </c>
      <c r="I326" s="149">
        <v>44406</v>
      </c>
      <c r="J326" s="49" t="s">
        <v>500</v>
      </c>
      <c r="K326" s="49" t="str" cm="1">
        <f t="array" ref="K326">IF(ISNUMBER(MATCH("Transport sector mitigation target", _xlfn._xlws.FILTER(Targets!H:H, Targets!A:A =A326), 0)), "yes", "no")</f>
        <v>no</v>
      </c>
      <c r="L326" s="17" t="str">
        <f>IF(K326="no", "No transport target", IF(AND(COUNTIFS(Targets!A:A, A326, Targets!H:H, "Transport sector mitigation target", Targets!J:J, "GHG") &gt; 0, COUNTIFS(Targets!A:A, A326, Targets!H:H, "Transport sector mitigation target", Targets!J:J, "Non GHG") &gt; 0), "GHG and non-GHG target", IF(COUNTIFS(Targets!A:A, A326, Targets!H:H, "Transport sector mitigation target", Targets!J:J, "GHG") &gt; 0, "GHG target", IF(COUNTIFS(Targets!A:A, A326, Targets!H:H, "Transport sector mitigation target", Targets!J:J, "Non GHG") &gt; 0, "non-GHG target", ""))))</f>
        <v>No transport target</v>
      </c>
      <c r="M326" s="17" t="str">
        <f>IF(K326="no","No transport target",IF(L326="non-GHG target","No GHG transport target",IF(AND(COUNTIFS(Targets!A:A,A326,Targets!H:H,"Transport sector mitigation target",Targets!J:J,"GHG",Targets!L:L,"Conditional")&gt;0,COUNTIFS(Targets!A:A,A326,Targets!H:H,"Transport sector mitigation target",Targets!J:J,"GHG",Targets!L:L,"Unconditional")&gt;0),"GHG unconditional and conditional",IF(COUNTIFS(Targets!A:A,A326,Targets!H:H,"Transport sector mitigation target",Targets!J:J,"GHG",Targets!L:L,"Conditional")&gt;0,"GHG conditional only",IF(COUNTIFS(Targets!A:A,A326,Targets!H:H,"Transport sector mitigation target",Targets!J:J,"GHG",Targets!L:L,"Unconditional")&gt;0,"GHG unconditional only",IF(COUNTIFS(Targets!A:A,A326,Targets!H:H,"Transport sector mitigation target",Targets!J:J,"GHG",Targets!L:L,"Unclear conditionality")&gt;0,"Conditionality unclear",""))))))</f>
        <v>No transport target</v>
      </c>
      <c r="N326" s="17" t="str" cm="1">
        <f t="array" ref="N326">IF(ISNUMBER(MATCH("Transport sector adaptation target", _xlfn._xlws.FILTER(Targets!H:H, Targets!A:A =A326), 0)), "yes", "no")</f>
        <v>no</v>
      </c>
      <c r="O326" s="17" t="str">
        <f>IF(ISNA(MATCH(A326, Mitigation!A:A, 0)), "no", "yes")</f>
        <v>yes</v>
      </c>
      <c r="P326" s="17" t="str">
        <f>IF(ISNA(MATCH(A326, Adaptation!A:A, 0)), "no", "yes")</f>
        <v>no</v>
      </c>
      <c r="Q326" s="17" t="str">
        <f>IF(ISNA(MATCH(A326, Benefits!A:A, 0)), "no", "yes")</f>
        <v>no</v>
      </c>
      <c r="R326" s="17"/>
      <c r="S326" s="17"/>
      <c r="T326" s="17" t="s">
        <v>501</v>
      </c>
      <c r="U326" s="135" t="s">
        <v>840</v>
      </c>
      <c r="V326" s="207" t="str">
        <f>VLOOKUP(Table1[[#This Row],[Country Code]],Table29[],3,FALSE)</f>
        <v>Non-Annex I</v>
      </c>
      <c r="W326" s="207" t="str">
        <f>VLOOKUP(Table1[[#This Row],[Country Code]],Table29[],4,FALSE)</f>
        <v>Asia</v>
      </c>
      <c r="X326" s="207" t="str">
        <f>VLOOKUP(Table1[[#This Row],[Country Code]],Table29[],5,FALSE)</f>
        <v>High-income</v>
      </c>
      <c r="Y326" s="17"/>
      <c r="Z326" s="17"/>
    </row>
    <row r="327" spans="1:26" ht="15" customHeight="1" x14ac:dyDescent="0.25">
      <c r="A327" s="360">
        <v>39442</v>
      </c>
      <c r="B327" s="42" t="s">
        <v>187</v>
      </c>
      <c r="C327" s="243" t="str">
        <f>VLOOKUP(Table1[[#This Row],[Country Code]],Table29[],2,FALSE)</f>
        <v>Ethiopia</v>
      </c>
      <c r="D327" s="243" t="str">
        <f t="shared" si="12"/>
        <v>Good</v>
      </c>
      <c r="E327" s="176" t="s">
        <v>227</v>
      </c>
      <c r="F327" s="43" t="s">
        <v>227</v>
      </c>
      <c r="G327" s="43" t="str">
        <f t="shared" si="13"/>
        <v>LTS</v>
      </c>
      <c r="H327" s="350" t="s">
        <v>636</v>
      </c>
      <c r="I327" s="355">
        <v>45098</v>
      </c>
      <c r="J327" s="352" t="s">
        <v>505</v>
      </c>
      <c r="K327" s="320" t="str" cm="1">
        <f t="array" ref="K327">IF(ISNUMBER(MATCH("Transport sector mitigation target", _xlfn._xlws.FILTER(Targets!H:H, Targets!A:A =A327), 0)), "yes", "no")</f>
        <v>yes</v>
      </c>
      <c r="L327" s="43" t="str">
        <f>IF(K327="no", "No transport target", IF(AND(COUNTIFS(Targets!A:A, A327, Targets!H:H, "Transport sector mitigation target", Targets!J:J, "GHG") &gt; 0, COUNTIFS(Targets!A:A, A327, Targets!H:H, "Transport sector mitigation target", Targets!J:J, "Non GHG") &gt; 0), "GHG and non-GHG target", IF(COUNTIFS(Targets!A:A, A327, Targets!H:H, "Transport sector mitigation target", Targets!J:J, "GHG") &gt; 0, "GHG target", IF(COUNTIFS(Targets!A:A, A327, Targets!H:H, "Transport sector mitigation target", Targets!J:J, "Non GHG") &gt; 0, "non-GHG target", ""))))</f>
        <v>non-GHG target</v>
      </c>
      <c r="M327" s="43" t="str">
        <f>IF(K327="no","No transport target",IF(L327="non-GHG target","No GHG transport target",IF(AND(COUNTIFS(Targets!A:A,A327,Targets!H:H,"Transport sector mitigation target",Targets!J:J,"GHG",Targets!L:L,"Conditional")&gt;0,COUNTIFS(Targets!A:A,A327,Targets!H:H,"Transport sector mitigation target",Targets!J:J,"GHG",Targets!L:L,"Unconditional")&gt;0),"GHG unconditional and conditional",IF(COUNTIFS(Targets!A:A,A327,Targets!H:H,"Transport sector mitigation target",Targets!J:J,"GHG",Targets!L:L,"Conditional")&gt;0,"GHG conditional only",IF(COUNTIFS(Targets!A:A,A327,Targets!H:H,"Transport sector mitigation target",Targets!J:J,"GHG",Targets!L:L,"Unconditional")&gt;0,"GHG unconditional only",IF(COUNTIFS(Targets!A:A,A327,Targets!H:H,"Transport sector mitigation target",Targets!J:J,"GHG",Targets!L:L,"Unclear conditionality")&gt;0,"Conditionality unclear",""))))))</f>
        <v>No GHG transport target</v>
      </c>
      <c r="N327" s="43" t="str" cm="1">
        <f t="array" ref="N327">IF(ISNUMBER(MATCH("Transport sector adaptation target", _xlfn._xlws.FILTER(Targets!H:H, Targets!A:A =A327), 0)), "yes", "no")</f>
        <v>no</v>
      </c>
      <c r="O327" s="43" t="str">
        <f>IF(ISNA(MATCH(A327, Mitigation!A:A, 0)), "no", "yes")</f>
        <v>yes</v>
      </c>
      <c r="P327" s="43" t="str">
        <f>IF(ISNA(MATCH(A327, Adaptation!A:A, 0)), "no", "yes")</f>
        <v>yes</v>
      </c>
      <c r="Q327" s="43" t="str">
        <f>IF(ISNA(MATCH(A327, Benefits!A:A, 0)), "no", "yes")</f>
        <v>yes</v>
      </c>
      <c r="R327" s="43"/>
      <c r="S327" s="43"/>
      <c r="T327" s="43" t="s">
        <v>501</v>
      </c>
      <c r="U327" s="356" t="s">
        <v>841</v>
      </c>
      <c r="V327" s="233" t="str">
        <f>VLOOKUP(Table1[[#This Row],[Country Code]],Table29[],3,FALSE)</f>
        <v>Non-Annex I</v>
      </c>
      <c r="W327" s="233" t="str">
        <f>VLOOKUP(Table1[[#This Row],[Country Code]],Table29[],4,FALSE)</f>
        <v>Africa</v>
      </c>
      <c r="X327" s="233" t="str">
        <f>VLOOKUP(Table1[[#This Row],[Country Code]],Table29[],5,FALSE)</f>
        <v>Low-income</v>
      </c>
      <c r="Y327" s="43" t="s">
        <v>766</v>
      </c>
      <c r="Z327" s="43"/>
    </row>
    <row r="328" spans="1:26" ht="15" customHeight="1" x14ac:dyDescent="0.25">
      <c r="A328" s="360">
        <v>39443</v>
      </c>
      <c r="B328" s="43" t="s">
        <v>189</v>
      </c>
      <c r="C328" s="243" t="str">
        <f>VLOOKUP(Table1[[#This Row],[Country Code]],Table29[],2,FALSE)</f>
        <v>European Union</v>
      </c>
      <c r="D328" s="243" t="str">
        <f t="shared" si="12"/>
        <v>Good</v>
      </c>
      <c r="E328" s="176" t="s">
        <v>71</v>
      </c>
      <c r="F328" s="43" t="s">
        <v>528</v>
      </c>
      <c r="G328" s="43" t="str">
        <f t="shared" si="13"/>
        <v>First NDC updated</v>
      </c>
      <c r="H328" s="43" t="s">
        <v>743</v>
      </c>
      <c r="I328" s="351">
        <v>45218</v>
      </c>
      <c r="J328" s="352" t="s">
        <v>505</v>
      </c>
      <c r="K328" s="320" t="str" cm="1">
        <f t="array" ref="K328">IF(ISNUMBER(MATCH("Transport sector mitigation target", _xlfn._xlws.FILTER(Targets!H:H, Targets!A:A =A328), 0)), "yes", "no")</f>
        <v>yes</v>
      </c>
      <c r="L328" s="43" t="str">
        <f>IF(K328="no", "No transport target", IF(AND(COUNTIFS(Targets!A:A, A328, Targets!H:H, "Transport sector mitigation target", Targets!J:J, "GHG") &gt; 0, COUNTIFS(Targets!A:A, A328, Targets!H:H, "Transport sector mitigation target", Targets!J:J, "Non GHG") &gt; 0), "GHG and non-GHG target", IF(COUNTIFS(Targets!A:A, A328, Targets!H:H, "Transport sector mitigation target", Targets!J:J, "GHG") &gt; 0, "GHG target", IF(COUNTIFS(Targets!A:A, A328, Targets!H:H, "Transport sector mitigation target", Targets!J:J, "Non GHG") &gt; 0, "non-GHG target", ""))))</f>
        <v>GHG target</v>
      </c>
      <c r="M328" s="43" t="str">
        <f>IF(K328="no","No transport target",IF(L328="non-GHG target","No GHG transport target",IF(AND(COUNTIFS(Targets!A:A,A328,Targets!H:H,"Transport sector mitigation target",Targets!J:J,"GHG",Targets!L:L,"Conditional")&gt;0,COUNTIFS(Targets!A:A,A328,Targets!H:H,"Transport sector mitigation target",Targets!J:J,"GHG",Targets!L:L,"Unconditional")&gt;0),"GHG unconditional and conditional",IF(COUNTIFS(Targets!A:A,A328,Targets!H:H,"Transport sector mitigation target",Targets!J:J,"GHG",Targets!L:L,"Conditional")&gt;0,"GHG conditional only",IF(COUNTIFS(Targets!A:A,A328,Targets!H:H,"Transport sector mitigation target",Targets!J:J,"GHG",Targets!L:L,"Unconditional")&gt;0,"GHG unconditional only",IF(COUNTIFS(Targets!A:A,A328,Targets!H:H,"Transport sector mitigation target",Targets!J:J,"GHG",Targets!L:L,"Unclear conditionality")&gt;0,"Conditionality unclear",""))))))</f>
        <v>GHG unconditional only</v>
      </c>
      <c r="N328" s="43" t="str" cm="1">
        <f t="array" ref="N328">IF(ISNUMBER(MATCH("Transport sector adaptation target", _xlfn._xlws.FILTER(Targets!H:H, Targets!A:A =A328), 0)), "yes", "no")</f>
        <v>no</v>
      </c>
      <c r="O328" s="43" t="str">
        <f>IF(ISNA(MATCH(A328, Mitigation!A:A, 0)), "no", "yes")</f>
        <v>yes</v>
      </c>
      <c r="P328" s="43" t="str">
        <f>IF(ISNA(MATCH(A328, Adaptation!A:A, 0)), "no", "yes")</f>
        <v>no</v>
      </c>
      <c r="Q328" s="43" t="str">
        <f>IF(ISNA(MATCH(A328, Benefits!A:A, 0)), "no", "yes")</f>
        <v>no</v>
      </c>
      <c r="R328" s="43"/>
      <c r="S328" s="43"/>
      <c r="T328" s="43" t="s">
        <v>501</v>
      </c>
      <c r="U328" s="356" t="s">
        <v>842</v>
      </c>
      <c r="V328" s="233" t="str">
        <f>VLOOKUP(Table1[[#This Row],[Country Code]],Table29[],3,FALSE)</f>
        <v>Annex I</v>
      </c>
      <c r="W328" s="233" t="str">
        <f>VLOOKUP(Table1[[#This Row],[Country Code]],Table29[],4,FALSE)</f>
        <v>Europe</v>
      </c>
      <c r="X328" s="233" t="str">
        <f>VLOOKUP(Table1[[#This Row],[Country Code]],Table29[],5,FALSE)</f>
        <v>N/A</v>
      </c>
      <c r="Y328" s="43" t="s">
        <v>843</v>
      </c>
      <c r="Z328" s="43"/>
    </row>
    <row r="329" spans="1:26" ht="15" customHeight="1" x14ac:dyDescent="0.25">
      <c r="A329" s="360">
        <v>32506</v>
      </c>
      <c r="B329" s="43" t="s">
        <v>284</v>
      </c>
      <c r="C329" s="243" t="str">
        <f>VLOOKUP(Table1[[#This Row],[Country Code]],Table29[],2,FALSE)</f>
        <v>Malaysia</v>
      </c>
      <c r="D329" s="243" t="str">
        <f t="shared" si="12"/>
        <v>Good</v>
      </c>
      <c r="E329" s="176" t="s">
        <v>71</v>
      </c>
      <c r="F329" s="43" t="s">
        <v>528</v>
      </c>
      <c r="G329" s="43" t="str">
        <f t="shared" si="13"/>
        <v>First NDC updated</v>
      </c>
      <c r="H329" s="43" t="s">
        <v>691</v>
      </c>
      <c r="I329" s="351">
        <v>44407</v>
      </c>
      <c r="J329" s="352" t="s">
        <v>505</v>
      </c>
      <c r="K329" s="320" t="str" cm="1">
        <f t="array" ref="K329">IF(ISNUMBER(MATCH("Transport sector mitigation target", _xlfn._xlws.FILTER(Targets!H:H, Targets!A:A =A329), 0)), "yes", "no")</f>
        <v>no</v>
      </c>
      <c r="L329" s="43" t="str">
        <f>IF(K329="no", "No transport target", IF(AND(COUNTIFS(Targets!A:A, A329, Targets!H:H, "Transport sector mitigation target", Targets!J:J, "GHG") &gt; 0, COUNTIFS(Targets!A:A, A329, Targets!H:H, "Transport sector mitigation target", Targets!J:J, "Non GHG") &gt; 0), "GHG and non-GHG target", IF(COUNTIFS(Targets!A:A, A329, Targets!H:H, "Transport sector mitigation target", Targets!J:J, "GHG") &gt; 0, "GHG target", IF(COUNTIFS(Targets!A:A, A329, Targets!H:H, "Transport sector mitigation target", Targets!J:J, "Non GHG") &gt; 0, "non-GHG target", ""))))</f>
        <v>No transport target</v>
      </c>
      <c r="M329" s="43" t="str">
        <f>IF(K329="no","No transport target",IF(L329="non-GHG target","No GHG transport target",IF(AND(COUNTIFS(Targets!A:A,A329,Targets!H:H,"Transport sector mitigation target",Targets!J:J,"GHG",Targets!L:L,"Conditional")&gt;0,COUNTIFS(Targets!A:A,A329,Targets!H:H,"Transport sector mitigation target",Targets!J:J,"GHG",Targets!L:L,"Unconditional")&gt;0),"GHG unconditional and conditional",IF(COUNTIFS(Targets!A:A,A329,Targets!H:H,"Transport sector mitigation target",Targets!J:J,"GHG",Targets!L:L,"Conditional")&gt;0,"GHG conditional only",IF(COUNTIFS(Targets!A:A,A329,Targets!H:H,"Transport sector mitigation target",Targets!J:J,"GHG",Targets!L:L,"Unconditional")&gt;0,"GHG unconditional only",IF(COUNTIFS(Targets!A:A,A329,Targets!H:H,"Transport sector mitigation target",Targets!J:J,"GHG",Targets!L:L,"Unclear conditionality")&gt;0,"Conditionality unclear",""))))))</f>
        <v>No transport target</v>
      </c>
      <c r="N329" s="43" t="str" cm="1">
        <f t="array" ref="N329">IF(ISNUMBER(MATCH("Transport sector adaptation target", _xlfn._xlws.FILTER(Targets!H:H, Targets!A:A =A329), 0)), "yes", "no")</f>
        <v>no</v>
      </c>
      <c r="O329" s="43" t="str">
        <f>IF(ISNA(MATCH(A329, Mitigation!A:A, 0)), "no", "yes")</f>
        <v>no</v>
      </c>
      <c r="P329" s="43" t="str">
        <f>IF(ISNA(MATCH(A329, Adaptation!A:A, 0)), "no", "yes")</f>
        <v>yes</v>
      </c>
      <c r="Q329" s="43" t="str">
        <f>IF(ISNA(MATCH(A329, Benefits!A:A, 0)), "no", "yes")</f>
        <v>no</v>
      </c>
      <c r="R329" s="43"/>
      <c r="S329" s="43"/>
      <c r="T329" s="43" t="s">
        <v>501</v>
      </c>
      <c r="U329" s="312" t="s">
        <v>844</v>
      </c>
      <c r="V329" s="233" t="str">
        <f>VLOOKUP(Table1[[#This Row],[Country Code]],Table29[],3,FALSE)</f>
        <v>Non-Annex I</v>
      </c>
      <c r="W329" s="233" t="str">
        <f>VLOOKUP(Table1[[#This Row],[Country Code]],Table29[],4,FALSE)</f>
        <v>Asia</v>
      </c>
      <c r="X329" s="233" t="str">
        <f>VLOOKUP(Table1[[#This Row],[Country Code]],Table29[],5,FALSE)</f>
        <v>Middle-income</v>
      </c>
      <c r="Y329" s="43"/>
      <c r="Z329" s="43"/>
    </row>
    <row r="330" spans="1:26" ht="15" customHeight="1" x14ac:dyDescent="0.25">
      <c r="A330" s="360">
        <v>21982</v>
      </c>
      <c r="B330" s="43" t="s">
        <v>315</v>
      </c>
      <c r="C330" s="243" t="str">
        <f>VLOOKUP(Table1[[#This Row],[Country Code]],Table29[],2,FALSE)</f>
        <v>Namibia</v>
      </c>
      <c r="D330" s="243" t="str">
        <f t="shared" si="12"/>
        <v>Good</v>
      </c>
      <c r="E330" s="176" t="s">
        <v>71</v>
      </c>
      <c r="F330" s="43" t="s">
        <v>525</v>
      </c>
      <c r="G330" s="43" t="str">
        <f t="shared" si="13"/>
        <v>First NDC updated</v>
      </c>
      <c r="H330" s="43" t="s">
        <v>691</v>
      </c>
      <c r="I330" s="351">
        <v>44407</v>
      </c>
      <c r="J330" s="320" t="s">
        <v>500</v>
      </c>
      <c r="K330" s="320" t="str" cm="1">
        <f t="array" ref="K330">IF(ISNUMBER(MATCH("Transport sector mitigation target", _xlfn._xlws.FILTER(Targets!H:H, Targets!A:A =A330), 0)), "yes", "no")</f>
        <v>yes</v>
      </c>
      <c r="L330" s="43" t="str">
        <f>IF(K330="no", "No transport target", IF(AND(COUNTIFS(Targets!A:A, A330, Targets!H:H, "Transport sector mitigation target", Targets!J:J, "GHG") &gt; 0, COUNTIFS(Targets!A:A, A330, Targets!H:H, "Transport sector mitigation target", Targets!J:J, "Non GHG") &gt; 0), "GHG and non-GHG target", IF(COUNTIFS(Targets!A:A, A330, Targets!H:H, "Transport sector mitigation target", Targets!J:J, "GHG") &gt; 0, "GHG target", IF(COUNTIFS(Targets!A:A, A330, Targets!H:H, "Transport sector mitigation target", Targets!J:J, "Non GHG") &gt; 0, "non-GHG target", ""))))</f>
        <v>non-GHG target</v>
      </c>
      <c r="M330" s="43" t="str">
        <f>IF(K330="no","No transport target",IF(L330="non-GHG target","No GHG transport target",IF(AND(COUNTIFS(Targets!A:A,A330,Targets!H:H,"Transport sector mitigation target",Targets!J:J,"GHG",Targets!L:L,"Conditional")&gt;0,COUNTIFS(Targets!A:A,A330,Targets!H:H,"Transport sector mitigation target",Targets!J:J,"GHG",Targets!L:L,"Unconditional")&gt;0),"GHG unconditional and conditional",IF(COUNTIFS(Targets!A:A,A330,Targets!H:H,"Transport sector mitigation target",Targets!J:J,"GHG",Targets!L:L,"Conditional")&gt;0,"GHG conditional only",IF(COUNTIFS(Targets!A:A,A330,Targets!H:H,"Transport sector mitigation target",Targets!J:J,"GHG",Targets!L:L,"Unconditional")&gt;0,"GHG unconditional only",IF(COUNTIFS(Targets!A:A,A330,Targets!H:H,"Transport sector mitigation target",Targets!J:J,"GHG",Targets!L:L,"Unclear conditionality")&gt;0,"Conditionality unclear",""))))))</f>
        <v>No GHG transport target</v>
      </c>
      <c r="N330" s="43" t="str" cm="1">
        <f t="array" ref="N330">IF(ISNUMBER(MATCH("Transport sector adaptation target", _xlfn._xlws.FILTER(Targets!H:H, Targets!A:A =A330), 0)), "yes", "no")</f>
        <v>no</v>
      </c>
      <c r="O330" s="43" t="str">
        <f>IF(ISNA(MATCH(A330, Mitigation!A:A, 0)), "no", "yes")</f>
        <v>yes</v>
      </c>
      <c r="P330" s="43" t="str">
        <f>IF(ISNA(MATCH(A330, Adaptation!A:A, 0)), "no", "yes")</f>
        <v>yes</v>
      </c>
      <c r="Q330" s="43" t="str">
        <f>IF(ISNA(MATCH(A330, Benefits!A:A, 0)), "no", "yes")</f>
        <v>no</v>
      </c>
      <c r="R330" s="43"/>
      <c r="S330" s="43"/>
      <c r="T330" s="43" t="s">
        <v>501</v>
      </c>
      <c r="U330" s="312" t="s">
        <v>845</v>
      </c>
      <c r="V330" s="233" t="str">
        <f>VLOOKUP(Table1[[#This Row],[Country Code]],Table29[],3,FALSE)</f>
        <v>Non-Annex I</v>
      </c>
      <c r="W330" s="233" t="str">
        <f>VLOOKUP(Table1[[#This Row],[Country Code]],Table29[],4,FALSE)</f>
        <v>Africa</v>
      </c>
      <c r="X330" s="233" t="str">
        <f>VLOOKUP(Table1[[#This Row],[Country Code]],Table29[],5,FALSE)</f>
        <v>Middle-income</v>
      </c>
      <c r="Y330" s="43"/>
      <c r="Z330" s="43"/>
    </row>
    <row r="331" spans="1:26" ht="15" customHeight="1" x14ac:dyDescent="0.25">
      <c r="A331" s="360">
        <v>17594</v>
      </c>
      <c r="B331" s="43" t="s">
        <v>191</v>
      </c>
      <c r="C331" s="243" t="str">
        <f>VLOOKUP(Table1[[#This Row],[Country Code]],Table29[],2,FALSE)</f>
        <v>Fiji</v>
      </c>
      <c r="D331" s="243" t="str">
        <f t="shared" si="12"/>
        <v>Good</v>
      </c>
      <c r="E331" s="176" t="s">
        <v>71</v>
      </c>
      <c r="F331" s="43" t="s">
        <v>528</v>
      </c>
      <c r="G331" s="43" t="str">
        <f t="shared" si="13"/>
        <v>First NDC updated</v>
      </c>
      <c r="H331" s="43" t="s">
        <v>691</v>
      </c>
      <c r="I331" s="351">
        <v>44196</v>
      </c>
      <c r="J331" s="352" t="s">
        <v>505</v>
      </c>
      <c r="K331" s="320" t="str" cm="1">
        <f t="array" ref="K331">IF(ISNUMBER(MATCH("Transport sector mitigation target", _xlfn._xlws.FILTER(Targets!H:H, Targets!A:A =A331), 0)), "yes", "no")</f>
        <v>yes</v>
      </c>
      <c r="L331" s="43" t="str">
        <f>IF(K331="no", "No transport target", IF(AND(COUNTIFS(Targets!A:A, A331, Targets!H:H, "Transport sector mitigation target", Targets!J:J, "GHG") &gt; 0, COUNTIFS(Targets!A:A, A331, Targets!H:H, "Transport sector mitigation target", Targets!J:J, "Non GHG") &gt; 0), "GHG and non-GHG target", IF(COUNTIFS(Targets!A:A, A331, Targets!H:H, "Transport sector mitigation target", Targets!J:J, "GHG") &gt; 0, "GHG target", IF(COUNTIFS(Targets!A:A, A331, Targets!H:H, "Transport sector mitigation target", Targets!J:J, "Non GHG") &gt; 0, "non-GHG target", ""))))</f>
        <v>GHG target</v>
      </c>
      <c r="M331" s="43" t="str">
        <f>IF(K331="no","No transport target",IF(L331="non-GHG target","No GHG transport target",IF(AND(COUNTIFS(Targets!A:A,A331,Targets!H:H,"Transport sector mitigation target",Targets!J:J,"GHG",Targets!L:L,"Conditional")&gt;0,COUNTIFS(Targets!A:A,A331,Targets!H:H,"Transport sector mitigation target",Targets!J:J,"GHG",Targets!L:L,"Unconditional")&gt;0),"GHG unconditional and conditional",IF(COUNTIFS(Targets!A:A,A331,Targets!H:H,"Transport sector mitigation target",Targets!J:J,"GHG",Targets!L:L,"Conditional")&gt;0,"GHG conditional only",IF(COUNTIFS(Targets!A:A,A331,Targets!H:H,"Transport sector mitigation target",Targets!J:J,"GHG",Targets!L:L,"Unconditional")&gt;0,"GHG unconditional only",IF(COUNTIFS(Targets!A:A,A331,Targets!H:H,"Transport sector mitigation target",Targets!J:J,"GHG",Targets!L:L,"Unclear conditionality")&gt;0,"Conditionality unclear",""))))))</f>
        <v>GHG unconditional only</v>
      </c>
      <c r="N331" s="43" t="str" cm="1">
        <f t="array" ref="N331">IF(ISNUMBER(MATCH("Transport sector adaptation target", _xlfn._xlws.FILTER(Targets!H:H, Targets!A:A =A331), 0)), "yes", "no")</f>
        <v>no</v>
      </c>
      <c r="O331" s="43" t="str">
        <f>IF(ISNA(MATCH(A331, Mitigation!A:A, 0)), "no", "yes")</f>
        <v>no</v>
      </c>
      <c r="P331" s="43" t="str">
        <f>IF(ISNA(MATCH(A331, Adaptation!A:A, 0)), "no", "yes")</f>
        <v>no</v>
      </c>
      <c r="Q331" s="43" t="str">
        <f>IF(ISNA(MATCH(A331, Benefits!A:A, 0)), "no", "yes")</f>
        <v>no</v>
      </c>
      <c r="R331" s="43"/>
      <c r="S331" s="43"/>
      <c r="T331" s="43" t="s">
        <v>501</v>
      </c>
      <c r="U331" s="312" t="s">
        <v>846</v>
      </c>
      <c r="V331" s="233" t="str">
        <f>VLOOKUP(Table1[[#This Row],[Country Code]],Table29[],3,FALSE)</f>
        <v>Non-Annex I</v>
      </c>
      <c r="W331" s="233" t="str">
        <f>VLOOKUP(Table1[[#This Row],[Country Code]],Table29[],4,FALSE)</f>
        <v>Oceania</v>
      </c>
      <c r="X331" s="233" t="str">
        <f>VLOOKUP(Table1[[#This Row],[Country Code]],Table29[],5,FALSE)</f>
        <v>Middle-income</v>
      </c>
      <c r="Y331" s="43"/>
      <c r="Z331" s="43"/>
    </row>
    <row r="332" spans="1:26" ht="15" customHeight="1" x14ac:dyDescent="0.25">
      <c r="A332" s="405">
        <v>32513</v>
      </c>
      <c r="B332" s="19" t="s">
        <v>382</v>
      </c>
      <c r="C332" s="206" t="str">
        <f>VLOOKUP(Table1[[#This Row],[Country Code]],Table29[],2,FALSE)</f>
        <v>Sao Tome and Principe</v>
      </c>
      <c r="D332" s="243" t="str">
        <f t="shared" si="12"/>
        <v>Good</v>
      </c>
      <c r="E332" s="20" t="s">
        <v>71</v>
      </c>
      <c r="F332" s="17" t="s">
        <v>528</v>
      </c>
      <c r="G332" s="43" t="str">
        <f t="shared" si="13"/>
        <v>First NDC updated</v>
      </c>
      <c r="H332" s="17" t="s">
        <v>691</v>
      </c>
      <c r="I332" s="149">
        <v>44407</v>
      </c>
      <c r="J332" s="187" t="s">
        <v>505</v>
      </c>
      <c r="K332" s="49" t="str" cm="1">
        <f t="array" ref="K332">IF(ISNUMBER(MATCH("Transport sector mitigation target", _xlfn._xlws.FILTER(Targets!H:H, Targets!A:A =A332), 0)), "yes", "no")</f>
        <v>no</v>
      </c>
      <c r="L332" s="17" t="str">
        <f>IF(K332="no", "No transport target", IF(AND(COUNTIFS(Targets!A:A, A332, Targets!H:H, "Transport sector mitigation target", Targets!J:J, "GHG") &gt; 0, COUNTIFS(Targets!A:A, A332, Targets!H:H, "Transport sector mitigation target", Targets!J:J, "Non GHG") &gt; 0), "GHG and non-GHG target", IF(COUNTIFS(Targets!A:A, A332, Targets!H:H, "Transport sector mitigation target", Targets!J:J, "GHG") &gt; 0, "GHG target", IF(COUNTIFS(Targets!A:A, A332, Targets!H:H, "Transport sector mitigation target", Targets!J:J, "Non GHG") &gt; 0, "non-GHG target", ""))))</f>
        <v>No transport target</v>
      </c>
      <c r="M332" s="17" t="str">
        <f>IF(K332="no","No transport target",IF(L332="non-GHG target","No GHG transport target",IF(AND(COUNTIFS(Targets!A:A,A332,Targets!H:H,"Transport sector mitigation target",Targets!J:J,"GHG",Targets!L:L,"Conditional")&gt;0,COUNTIFS(Targets!A:A,A332,Targets!H:H,"Transport sector mitigation target",Targets!J:J,"GHG",Targets!L:L,"Unconditional")&gt;0),"GHG unconditional and conditional",IF(COUNTIFS(Targets!A:A,A332,Targets!H:H,"Transport sector mitigation target",Targets!J:J,"GHG",Targets!L:L,"Conditional")&gt;0,"GHG conditional only",IF(COUNTIFS(Targets!A:A,A332,Targets!H:H,"Transport sector mitigation target",Targets!J:J,"GHG",Targets!L:L,"Unconditional")&gt;0,"GHG unconditional only",IF(COUNTIFS(Targets!A:A,A332,Targets!H:H,"Transport sector mitigation target",Targets!J:J,"GHG",Targets!L:L,"Unclear conditionality")&gt;0,"Conditionality unclear",""))))))</f>
        <v>No transport target</v>
      </c>
      <c r="N332" s="17" t="str" cm="1">
        <f t="array" ref="N332">IF(ISNUMBER(MATCH("Transport sector adaptation target", _xlfn._xlws.FILTER(Targets!H:H, Targets!A:A =A332), 0)), "yes", "no")</f>
        <v>no</v>
      </c>
      <c r="O332" s="17" t="str">
        <f>IF(ISNA(MATCH(A332, Mitigation!A:A, 0)), "no", "yes")</f>
        <v>yes</v>
      </c>
      <c r="P332" s="17" t="str">
        <f>IF(ISNA(MATCH(A332, Adaptation!A:A, 0)), "no", "yes")</f>
        <v>yes</v>
      </c>
      <c r="Q332" s="17" t="str">
        <f>IF(ISNA(MATCH(A332, Benefits!A:A, 0)), "no", "yes")</f>
        <v>no</v>
      </c>
      <c r="R332" s="17"/>
      <c r="S332" s="17"/>
      <c r="T332" s="17" t="s">
        <v>501</v>
      </c>
      <c r="U332" s="135" t="s">
        <v>847</v>
      </c>
      <c r="V332" s="207" t="str">
        <f>VLOOKUP(Table1[[#This Row],[Country Code]],Table29[],3,FALSE)</f>
        <v>Non-Annex I</v>
      </c>
      <c r="W332" s="207" t="str">
        <f>VLOOKUP(Table1[[#This Row],[Country Code]],Table29[],4,FALSE)</f>
        <v>Africa</v>
      </c>
      <c r="X332" s="207" t="str">
        <f>VLOOKUP(Table1[[#This Row],[Country Code]],Table29[],5,FALSE)</f>
        <v>Middle-income</v>
      </c>
      <c r="Y332" s="17"/>
      <c r="Z332" s="17"/>
    </row>
    <row r="333" spans="1:26" ht="15" customHeight="1" x14ac:dyDescent="0.25">
      <c r="A333" s="360">
        <v>17595</v>
      </c>
      <c r="B333" s="43" t="s">
        <v>193</v>
      </c>
      <c r="C333" s="243" t="str">
        <f>VLOOKUP(Table1[[#This Row],[Country Code]],Table29[],2,FALSE)</f>
        <v>Finland</v>
      </c>
      <c r="D333" s="243" t="str">
        <f t="shared" si="12"/>
        <v>Good</v>
      </c>
      <c r="E333" s="176" t="s">
        <v>227</v>
      </c>
      <c r="F333" s="43" t="s">
        <v>227</v>
      </c>
      <c r="G333" s="43" t="str">
        <f t="shared" si="13"/>
        <v>LTS</v>
      </c>
      <c r="H333" s="43" t="s">
        <v>636</v>
      </c>
      <c r="I333" s="351">
        <v>43992</v>
      </c>
      <c r="J333" s="352" t="s">
        <v>505</v>
      </c>
      <c r="K333" s="320" t="str" cm="1">
        <f t="array" ref="K333">IF(ISNUMBER(MATCH("Transport sector mitigation target", _xlfn._xlws.FILTER(Targets!H:H, Targets!A:A =A333), 0)), "yes", "no")</f>
        <v>yes</v>
      </c>
      <c r="L333" s="43" t="str">
        <f>IF(K333="no", "No transport target", IF(AND(COUNTIFS(Targets!A:A, A333, Targets!H:H, "Transport sector mitigation target", Targets!J:J, "GHG") &gt; 0, COUNTIFS(Targets!A:A, A333, Targets!H:H, "Transport sector mitigation target", Targets!J:J, "Non GHG") &gt; 0), "GHG and non-GHG target", IF(COUNTIFS(Targets!A:A, A333, Targets!H:H, "Transport sector mitigation target", Targets!J:J, "GHG") &gt; 0, "GHG target", IF(COUNTIFS(Targets!A:A, A333, Targets!H:H, "Transport sector mitigation target", Targets!J:J, "Non GHG") &gt; 0, "non-GHG target", ""))))</f>
        <v>non-GHG target</v>
      </c>
      <c r="M333" s="43" t="str">
        <f>IF(K333="no","No transport target",IF(L333="non-GHG target","No GHG transport target",IF(AND(COUNTIFS(Targets!A:A,A333,Targets!H:H,"Transport sector mitigation target",Targets!J:J,"GHG",Targets!L:L,"Conditional")&gt;0,COUNTIFS(Targets!A:A,A333,Targets!H:H,"Transport sector mitigation target",Targets!J:J,"GHG",Targets!L:L,"Unconditional")&gt;0),"GHG unconditional and conditional",IF(COUNTIFS(Targets!A:A,A333,Targets!H:H,"Transport sector mitigation target",Targets!J:J,"GHG",Targets!L:L,"Conditional")&gt;0,"GHG conditional only",IF(COUNTIFS(Targets!A:A,A333,Targets!H:H,"Transport sector mitigation target",Targets!J:J,"GHG",Targets!L:L,"Unconditional")&gt;0,"GHG unconditional only",IF(COUNTIFS(Targets!A:A,A333,Targets!H:H,"Transport sector mitigation target",Targets!J:J,"GHG",Targets!L:L,"Unclear conditionality")&gt;0,"Conditionality unclear",""))))))</f>
        <v>No GHG transport target</v>
      </c>
      <c r="N333" s="43" t="str" cm="1">
        <f t="array" ref="N333">IF(ISNUMBER(MATCH("Transport sector adaptation target", _xlfn._xlws.FILTER(Targets!H:H, Targets!A:A =A333), 0)), "yes", "no")</f>
        <v>no</v>
      </c>
      <c r="O333" s="43" t="str">
        <f>IF(ISNA(MATCH(A333, Mitigation!A:A, 0)), "no", "yes")</f>
        <v>yes</v>
      </c>
      <c r="P333" s="43" t="str">
        <f>IF(ISNA(MATCH(A333, Adaptation!A:A, 0)), "no", "yes")</f>
        <v>no</v>
      </c>
      <c r="Q333" s="43" t="str">
        <f>IF(ISNA(MATCH(A333, Benefits!A:A, 0)), "no", "yes")</f>
        <v>no</v>
      </c>
      <c r="R333" s="43"/>
      <c r="S333" s="43"/>
      <c r="T333" s="43" t="s">
        <v>501</v>
      </c>
      <c r="U333" s="312" t="s">
        <v>848</v>
      </c>
      <c r="V333" s="233" t="str">
        <f>VLOOKUP(Table1[[#This Row],[Country Code]],Table29[],3,FALSE)</f>
        <v>Annex I</v>
      </c>
      <c r="W333" s="233" t="str">
        <f>VLOOKUP(Table1[[#This Row],[Country Code]],Table29[],4,FALSE)</f>
        <v>Europe</v>
      </c>
      <c r="X333" s="233" t="str">
        <f>VLOOKUP(Table1[[#This Row],[Country Code]],Table29[],5,FALSE)</f>
        <v>High-income</v>
      </c>
      <c r="Y333" s="43"/>
      <c r="Z333" s="43"/>
    </row>
    <row r="334" spans="1:26" ht="15" customHeight="1" x14ac:dyDescent="0.25">
      <c r="A334" s="360">
        <v>22162</v>
      </c>
      <c r="B334" s="42" t="s">
        <v>199</v>
      </c>
      <c r="C334" s="243" t="str">
        <f>VLOOKUP(Table1[[#This Row],[Country Code]],Table29[],2,FALSE)</f>
        <v>Gambia (Republic of The)</v>
      </c>
      <c r="D334" s="243" t="str">
        <f t="shared" si="12"/>
        <v>Good</v>
      </c>
      <c r="E334" s="176" t="s">
        <v>227</v>
      </c>
      <c r="F334" s="43" t="s">
        <v>227</v>
      </c>
      <c r="G334" s="43" t="str">
        <f t="shared" si="13"/>
        <v>LTS</v>
      </c>
      <c r="H334" s="350" t="s">
        <v>636</v>
      </c>
      <c r="I334" s="355">
        <v>44826</v>
      </c>
      <c r="J334" s="352" t="s">
        <v>505</v>
      </c>
      <c r="K334" s="320" t="str" cm="1">
        <f t="array" ref="K334">IF(ISNUMBER(MATCH("Transport sector mitigation target", _xlfn._xlws.FILTER(Targets!H:H, Targets!A:A =A334), 0)), "yes", "no")</f>
        <v>yes</v>
      </c>
      <c r="L334" s="43" t="str">
        <f>IF(K334="no", "No transport target", IF(AND(COUNTIFS(Targets!A:A, A334, Targets!H:H, "Transport sector mitigation target", Targets!J:J, "GHG") &gt; 0, COUNTIFS(Targets!A:A, A334, Targets!H:H, "Transport sector mitigation target", Targets!J:J, "Non GHG") &gt; 0), "GHG and non-GHG target", IF(COUNTIFS(Targets!A:A, A334, Targets!H:H, "Transport sector mitigation target", Targets!J:J, "GHG") &gt; 0, "GHG target", IF(COUNTIFS(Targets!A:A, A334, Targets!H:H, "Transport sector mitigation target", Targets!J:J, "Non GHG") &gt; 0, "non-GHG target", ""))))</f>
        <v>GHG target</v>
      </c>
      <c r="M334" s="43" t="str">
        <f>IF(K334="no","No transport target",IF(L334="non-GHG target","No GHG transport target",IF(AND(COUNTIFS(Targets!A:A,A334,Targets!H:H,"Transport sector mitigation target",Targets!J:J,"GHG",Targets!L:L,"Conditional")&gt;0,COUNTIFS(Targets!A:A,A334,Targets!H:H,"Transport sector mitigation target",Targets!J:J,"GHG",Targets!L:L,"Unconditional")&gt;0),"GHG unconditional and conditional",IF(COUNTIFS(Targets!A:A,A334,Targets!H:H,"Transport sector mitigation target",Targets!J:J,"GHG",Targets!L:L,"Conditional")&gt;0,"GHG conditional only",IF(COUNTIFS(Targets!A:A,A334,Targets!H:H,"Transport sector mitigation target",Targets!J:J,"GHG",Targets!L:L,"Unconditional")&gt;0,"GHG unconditional only",IF(COUNTIFS(Targets!A:A,A334,Targets!H:H,"Transport sector mitigation target",Targets!J:J,"GHG",Targets!L:L,"Unclear conditionality")&gt;0,"Conditionality unclear",""))))))</f>
        <v>GHG conditional only</v>
      </c>
      <c r="N334" s="43" t="str" cm="1">
        <f t="array" ref="N334">IF(ISNUMBER(MATCH("Transport sector adaptation target", _xlfn._xlws.FILTER(Targets!H:H, Targets!A:A =A334), 0)), "yes", "no")</f>
        <v>no</v>
      </c>
      <c r="O334" s="43" t="str">
        <f>IF(ISNA(MATCH(A334, Mitigation!A:A, 0)), "no", "yes")</f>
        <v>yes</v>
      </c>
      <c r="P334" s="43" t="str">
        <f>IF(ISNA(MATCH(A334, Adaptation!A:A, 0)), "no", "yes")</f>
        <v>yes</v>
      </c>
      <c r="Q334" s="43" t="str">
        <f>IF(ISNA(MATCH(A334, Benefits!A:A, 0)), "no", "yes")</f>
        <v>no</v>
      </c>
      <c r="R334" s="43"/>
      <c r="S334" s="43"/>
      <c r="T334" s="43" t="s">
        <v>501</v>
      </c>
      <c r="U334" s="356" t="s">
        <v>849</v>
      </c>
      <c r="V334" s="233" t="str">
        <f>VLOOKUP(Table1[[#This Row],[Country Code]],Table29[],3,FALSE)</f>
        <v>Non-Annex I</v>
      </c>
      <c r="W334" s="233" t="str">
        <f>VLOOKUP(Table1[[#This Row],[Country Code]],Table29[],4,FALSE)</f>
        <v>Africa</v>
      </c>
      <c r="X334" s="233" t="str">
        <f>VLOOKUP(Table1[[#This Row],[Country Code]],Table29[],5,FALSE)</f>
        <v>Low-income</v>
      </c>
      <c r="Y334" s="43"/>
      <c r="Z334" s="43"/>
    </row>
    <row r="335" spans="1:26" ht="15" customHeight="1" x14ac:dyDescent="0.25">
      <c r="A335" s="360">
        <v>22162</v>
      </c>
      <c r="B335" s="42" t="s">
        <v>199</v>
      </c>
      <c r="C335" s="243" t="str">
        <f>VLOOKUP(Table1[[#This Row],[Country Code]],Table29[],2,FALSE)</f>
        <v>Gambia (Republic of The)</v>
      </c>
      <c r="D335" s="243" t="str">
        <f t="shared" si="12"/>
        <v>Good</v>
      </c>
      <c r="E335" s="176" t="s">
        <v>71</v>
      </c>
      <c r="F335" s="43" t="s">
        <v>555</v>
      </c>
      <c r="G335" s="43" t="str">
        <f t="shared" si="13"/>
        <v>Second NDC</v>
      </c>
      <c r="H335" s="43" t="s">
        <v>714</v>
      </c>
      <c r="I335" s="351">
        <v>44451</v>
      </c>
      <c r="J335" s="352" t="s">
        <v>505</v>
      </c>
      <c r="K335" s="320" t="str" cm="1">
        <f t="array" ref="K335">IF(ISNUMBER(MATCH("Transport sector mitigation target", _xlfn._xlws.FILTER(Targets!H:H, Targets!A:A =A335), 0)), "yes", "no")</f>
        <v>yes</v>
      </c>
      <c r="L335" s="43" t="str">
        <f>IF(K335="no", "No transport target", IF(AND(COUNTIFS(Targets!A:A, A335, Targets!H:H, "Transport sector mitigation target", Targets!J:J, "GHG") &gt; 0, COUNTIFS(Targets!A:A, A335, Targets!H:H, "Transport sector mitigation target", Targets!J:J, "Non GHG") &gt; 0), "GHG and non-GHG target", IF(COUNTIFS(Targets!A:A, A335, Targets!H:H, "Transport sector mitigation target", Targets!J:J, "GHG") &gt; 0, "GHG target", IF(COUNTIFS(Targets!A:A, A335, Targets!H:H, "Transport sector mitigation target", Targets!J:J, "Non GHG") &gt; 0, "non-GHG target", ""))))</f>
        <v>GHG target</v>
      </c>
      <c r="M335" s="43" t="str">
        <f>IF(K335="no","No transport target",IF(L335="non-GHG target","No GHG transport target",IF(AND(COUNTIFS(Targets!A:A,A335,Targets!H:H,"Transport sector mitigation target",Targets!J:J,"GHG",Targets!L:L,"Conditional")&gt;0,COUNTIFS(Targets!A:A,A335,Targets!H:H,"Transport sector mitigation target",Targets!J:J,"GHG",Targets!L:L,"Unconditional")&gt;0),"GHG unconditional and conditional",IF(COUNTIFS(Targets!A:A,A335,Targets!H:H,"Transport sector mitigation target",Targets!J:J,"GHG",Targets!L:L,"Conditional")&gt;0,"GHG conditional only",IF(COUNTIFS(Targets!A:A,A335,Targets!H:H,"Transport sector mitigation target",Targets!J:J,"GHG",Targets!L:L,"Unconditional")&gt;0,"GHG unconditional only",IF(COUNTIFS(Targets!A:A,A335,Targets!H:H,"Transport sector mitigation target",Targets!J:J,"GHG",Targets!L:L,"Unclear conditionality")&gt;0,"Conditionality unclear",""))))))</f>
        <v>GHG conditional only</v>
      </c>
      <c r="N335" s="43" t="str" cm="1">
        <f t="array" ref="N335">IF(ISNUMBER(MATCH("Transport sector adaptation target", _xlfn._xlws.FILTER(Targets!H:H, Targets!A:A =A335), 0)), "yes", "no")</f>
        <v>no</v>
      </c>
      <c r="O335" s="43" t="str">
        <f>IF(ISNA(MATCH(A335, Mitigation!A:A, 0)), "no", "yes")</f>
        <v>yes</v>
      </c>
      <c r="P335" s="43" t="str">
        <f>IF(ISNA(MATCH(A335, Adaptation!A:A, 0)), "no", "yes")</f>
        <v>yes</v>
      </c>
      <c r="Q335" s="43" t="str">
        <f>IF(ISNA(MATCH(A335, Benefits!A:A, 0)), "no", "yes")</f>
        <v>no</v>
      </c>
      <c r="R335" s="43"/>
      <c r="S335" s="43"/>
      <c r="T335" s="43" t="s">
        <v>501</v>
      </c>
      <c r="U335" s="358" t="s">
        <v>850</v>
      </c>
      <c r="V335" s="233" t="str">
        <f>VLOOKUP(Table1[[#This Row],[Country Code]],Table29[],3,FALSE)</f>
        <v>Non-Annex I</v>
      </c>
      <c r="W335" s="233" t="str">
        <f>VLOOKUP(Table1[[#This Row],[Country Code]],Table29[],4,FALSE)</f>
        <v>Africa</v>
      </c>
      <c r="X335" s="233" t="str">
        <f>VLOOKUP(Table1[[#This Row],[Country Code]],Table29[],5,FALSE)</f>
        <v>Low-income</v>
      </c>
      <c r="Y335" s="43"/>
      <c r="Z335" s="43"/>
    </row>
    <row r="336" spans="1:26" ht="15" customHeight="1" x14ac:dyDescent="0.25">
      <c r="A336" s="405">
        <v>21267</v>
      </c>
      <c r="B336" s="19" t="s">
        <v>450</v>
      </c>
      <c r="C336" s="206" t="str">
        <f>VLOOKUP(Table1[[#This Row],[Country Code]],Table29[],2,FALSE)</f>
        <v>United Republic of Tanzania</v>
      </c>
      <c r="D336" s="243" t="str">
        <f t="shared" si="12"/>
        <v>Good</v>
      </c>
      <c r="E336" s="20" t="s">
        <v>71</v>
      </c>
      <c r="F336" s="17" t="s">
        <v>528</v>
      </c>
      <c r="G336" s="43" t="str">
        <f t="shared" si="13"/>
        <v>First NDC updated</v>
      </c>
      <c r="H336" s="17" t="s">
        <v>691</v>
      </c>
      <c r="I336" s="149">
        <v>44407</v>
      </c>
      <c r="J336" s="187" t="s">
        <v>505</v>
      </c>
      <c r="K336" s="49" t="str" cm="1">
        <f t="array" ref="K336">IF(ISNUMBER(MATCH("Transport sector mitigation target", _xlfn._xlws.FILTER(Targets!H:H, Targets!A:A =A336), 0)), "yes", "no")</f>
        <v>no</v>
      </c>
      <c r="L336" s="17" t="str">
        <f>IF(K336="no", "No transport target", IF(AND(COUNTIFS(Targets!A:A, A336, Targets!H:H, "Transport sector mitigation target", Targets!J:J, "GHG") &gt; 0, COUNTIFS(Targets!A:A, A336, Targets!H:H, "Transport sector mitigation target", Targets!J:J, "Non GHG") &gt; 0), "GHG and non-GHG target", IF(COUNTIFS(Targets!A:A, A336, Targets!H:H, "Transport sector mitigation target", Targets!J:J, "GHG") &gt; 0, "GHG target", IF(COUNTIFS(Targets!A:A, A336, Targets!H:H, "Transport sector mitigation target", Targets!J:J, "Non GHG") &gt; 0, "non-GHG target", ""))))</f>
        <v>No transport target</v>
      </c>
      <c r="M336" s="17" t="str">
        <f>IF(K336="no","No transport target",IF(L336="non-GHG target","No GHG transport target",IF(AND(COUNTIFS(Targets!A:A,A336,Targets!H:H,"Transport sector mitigation target",Targets!J:J,"GHG",Targets!L:L,"Conditional")&gt;0,COUNTIFS(Targets!A:A,A336,Targets!H:H,"Transport sector mitigation target",Targets!J:J,"GHG",Targets!L:L,"Unconditional")&gt;0),"GHG unconditional and conditional",IF(COUNTIFS(Targets!A:A,A336,Targets!H:H,"Transport sector mitigation target",Targets!J:J,"GHG",Targets!L:L,"Conditional")&gt;0,"GHG conditional only",IF(COUNTIFS(Targets!A:A,A336,Targets!H:H,"Transport sector mitigation target",Targets!J:J,"GHG",Targets!L:L,"Unconditional")&gt;0,"GHG unconditional only",IF(COUNTIFS(Targets!A:A,A336,Targets!H:H,"Transport sector mitigation target",Targets!J:J,"GHG",Targets!L:L,"Unclear conditionality")&gt;0,"Conditionality unclear",""))))))</f>
        <v>No transport target</v>
      </c>
      <c r="N336" s="17" t="str" cm="1">
        <f t="array" ref="N336">IF(ISNUMBER(MATCH("Transport sector adaptation target", _xlfn._xlws.FILTER(Targets!H:H, Targets!A:A =A336), 0)), "yes", "no")</f>
        <v>no</v>
      </c>
      <c r="O336" s="17" t="str">
        <f>IF(ISNA(MATCH(A336, Mitigation!A:A, 0)), "no", "yes")</f>
        <v>yes</v>
      </c>
      <c r="P336" s="17" t="str">
        <f>IF(ISNA(MATCH(A336, Adaptation!A:A, 0)), "no", "yes")</f>
        <v>yes</v>
      </c>
      <c r="Q336" s="17" t="str">
        <f>IF(ISNA(MATCH(A336, Benefits!A:A, 0)), "no", "yes")</f>
        <v>no</v>
      </c>
      <c r="R336" s="17"/>
      <c r="S336" s="17"/>
      <c r="T336" s="17" t="s">
        <v>501</v>
      </c>
      <c r="U336" s="135" t="s">
        <v>851</v>
      </c>
      <c r="V336" s="207" t="str">
        <f>VLOOKUP(Table1[[#This Row],[Country Code]],Table29[],3,FALSE)</f>
        <v>Non-Annex I</v>
      </c>
      <c r="W336" s="207" t="str">
        <f>VLOOKUP(Table1[[#This Row],[Country Code]],Table29[],4,FALSE)</f>
        <v>Africa</v>
      </c>
      <c r="X336" s="207" t="str">
        <f>VLOOKUP(Table1[[#This Row],[Country Code]],Table29[],5,FALSE)</f>
        <v>Middle-income</v>
      </c>
      <c r="Y336" s="17"/>
      <c r="Z336" s="17"/>
    </row>
    <row r="337" spans="1:26" ht="15" customHeight="1" x14ac:dyDescent="0.25">
      <c r="A337" s="405">
        <v>17789</v>
      </c>
      <c r="B337" s="17" t="s">
        <v>468</v>
      </c>
      <c r="C337" s="206" t="str">
        <f>VLOOKUP(Table1[[#This Row],[Country Code]],Table29[],2,FALSE)</f>
        <v>Zambia</v>
      </c>
      <c r="D337" s="243" t="str">
        <f t="shared" si="12"/>
        <v>Good</v>
      </c>
      <c r="E337" s="20" t="s">
        <v>71</v>
      </c>
      <c r="F337" s="17" t="s">
        <v>528</v>
      </c>
      <c r="G337" s="43" t="str">
        <f t="shared" si="13"/>
        <v>First NDC updated</v>
      </c>
      <c r="H337" s="17" t="s">
        <v>691</v>
      </c>
      <c r="I337" s="149">
        <v>44407</v>
      </c>
      <c r="J337" s="187" t="s">
        <v>500</v>
      </c>
      <c r="K337" s="49" t="str" cm="1">
        <f t="array" ref="K337">IF(ISNUMBER(MATCH("Transport sector mitigation target", _xlfn._xlws.FILTER(Targets!H:H, Targets!A:A =A337), 0)), "yes", "no")</f>
        <v>no</v>
      </c>
      <c r="L337" s="17" t="str">
        <f>IF(K337="no", "No transport target", IF(AND(COUNTIFS(Targets!A:A, A337, Targets!H:H, "Transport sector mitigation target", Targets!J:J, "GHG") &gt; 0, COUNTIFS(Targets!A:A, A337, Targets!H:H, "Transport sector mitigation target", Targets!J:J, "Non GHG") &gt; 0), "GHG and non-GHG target", IF(COUNTIFS(Targets!A:A, A337, Targets!H:H, "Transport sector mitigation target", Targets!J:J, "GHG") &gt; 0, "GHG target", IF(COUNTIFS(Targets!A:A, A337, Targets!H:H, "Transport sector mitigation target", Targets!J:J, "Non GHG") &gt; 0, "non-GHG target", ""))))</f>
        <v>No transport target</v>
      </c>
      <c r="M337" s="17" t="str">
        <f>IF(K337="no","No transport target",IF(L337="non-GHG target","No GHG transport target",IF(AND(COUNTIFS(Targets!A:A,A337,Targets!H:H,"Transport sector mitigation target",Targets!J:J,"GHG",Targets!L:L,"Conditional")&gt;0,COUNTIFS(Targets!A:A,A337,Targets!H:H,"Transport sector mitigation target",Targets!J:J,"GHG",Targets!L:L,"Unconditional")&gt;0),"GHG unconditional and conditional",IF(COUNTIFS(Targets!A:A,A337,Targets!H:H,"Transport sector mitigation target",Targets!J:J,"GHG",Targets!L:L,"Conditional")&gt;0,"GHG conditional only",IF(COUNTIFS(Targets!A:A,A337,Targets!H:H,"Transport sector mitigation target",Targets!J:J,"GHG",Targets!L:L,"Unconditional")&gt;0,"GHG unconditional only",IF(COUNTIFS(Targets!A:A,A337,Targets!H:H,"Transport sector mitigation target",Targets!J:J,"GHG",Targets!L:L,"Unclear conditionality")&gt;0,"Conditionality unclear",""))))))</f>
        <v>No transport target</v>
      </c>
      <c r="N337" s="17" t="str" cm="1">
        <f t="array" ref="N337">IF(ISNUMBER(MATCH("Transport sector adaptation target", _xlfn._xlws.FILTER(Targets!H:H, Targets!A:A =A337), 0)), "yes", "no")</f>
        <v>no</v>
      </c>
      <c r="O337" s="17" t="str">
        <f>IF(ISNA(MATCH(A337, Mitigation!A:A, 0)), "no", "yes")</f>
        <v>no</v>
      </c>
      <c r="P337" s="17" t="str">
        <f>IF(ISNA(MATCH(A337, Adaptation!A:A, 0)), "no", "yes")</f>
        <v>no</v>
      </c>
      <c r="Q337" s="17" t="str">
        <f>IF(ISNA(MATCH(A337, Benefits!A:A, 0)), "no", "yes")</f>
        <v>no</v>
      </c>
      <c r="R337" s="17"/>
      <c r="S337" s="17"/>
      <c r="T337" s="17" t="s">
        <v>501</v>
      </c>
      <c r="U337" s="135" t="s">
        <v>852</v>
      </c>
      <c r="V337" s="207" t="str">
        <f>VLOOKUP(Table1[[#This Row],[Country Code]],Table29[],3,FALSE)</f>
        <v>Non-Annex I</v>
      </c>
      <c r="W337" s="207" t="str">
        <f>VLOOKUP(Table1[[#This Row],[Country Code]],Table29[],4,FALSE)</f>
        <v>Africa</v>
      </c>
      <c r="X337" s="207" t="str">
        <f>VLOOKUP(Table1[[#This Row],[Country Code]],Table29[],5,FALSE)</f>
        <v>Middle-income</v>
      </c>
      <c r="Y337" s="17"/>
      <c r="Z337" s="17"/>
    </row>
    <row r="338" spans="1:26" ht="15" customHeight="1" x14ac:dyDescent="0.25">
      <c r="A338" s="405">
        <v>21385</v>
      </c>
      <c r="B338" s="19" t="s">
        <v>392</v>
      </c>
      <c r="C338" s="206" t="str">
        <f>VLOOKUP(Table1[[#This Row],[Country Code]],Table29[],2,FALSE)</f>
        <v>Sierra Leone</v>
      </c>
      <c r="D338" s="243" t="str">
        <f t="shared" si="12"/>
        <v>Good</v>
      </c>
      <c r="E338" s="20" t="s">
        <v>71</v>
      </c>
      <c r="F338" s="17" t="s">
        <v>528</v>
      </c>
      <c r="G338" s="43" t="str">
        <f t="shared" si="13"/>
        <v>First NDC updated</v>
      </c>
      <c r="H338" s="17" t="s">
        <v>691</v>
      </c>
      <c r="I338" s="149">
        <v>44408</v>
      </c>
      <c r="J338" s="187" t="s">
        <v>505</v>
      </c>
      <c r="K338" s="49" t="str" cm="1">
        <f t="array" ref="K338">IF(ISNUMBER(MATCH("Transport sector mitigation target", _xlfn._xlws.FILTER(Targets!H:H, Targets!A:A =A338), 0)), "yes", "no")</f>
        <v>no</v>
      </c>
      <c r="L338" s="17" t="str">
        <f>IF(K338="no", "No transport target", IF(AND(COUNTIFS(Targets!A:A, A338, Targets!H:H, "Transport sector mitigation target", Targets!J:J, "GHG") &gt; 0, COUNTIFS(Targets!A:A, A338, Targets!H:H, "Transport sector mitigation target", Targets!J:J, "Non GHG") &gt; 0), "GHG and non-GHG target", IF(COUNTIFS(Targets!A:A, A338, Targets!H:H, "Transport sector mitigation target", Targets!J:J, "GHG") &gt; 0, "GHG target", IF(COUNTIFS(Targets!A:A, A338, Targets!H:H, "Transport sector mitigation target", Targets!J:J, "Non GHG") &gt; 0, "non-GHG target", ""))))</f>
        <v>No transport target</v>
      </c>
      <c r="M338" s="17" t="str">
        <f>IF(K338="no","No transport target",IF(L338="non-GHG target","No GHG transport target",IF(AND(COUNTIFS(Targets!A:A,A338,Targets!H:H,"Transport sector mitigation target",Targets!J:J,"GHG",Targets!L:L,"Conditional")&gt;0,COUNTIFS(Targets!A:A,A338,Targets!H:H,"Transport sector mitigation target",Targets!J:J,"GHG",Targets!L:L,"Unconditional")&gt;0),"GHG unconditional and conditional",IF(COUNTIFS(Targets!A:A,A338,Targets!H:H,"Transport sector mitigation target",Targets!J:J,"GHG",Targets!L:L,"Conditional")&gt;0,"GHG conditional only",IF(COUNTIFS(Targets!A:A,A338,Targets!H:H,"Transport sector mitigation target",Targets!J:J,"GHG",Targets!L:L,"Unconditional")&gt;0,"GHG unconditional only",IF(COUNTIFS(Targets!A:A,A338,Targets!H:H,"Transport sector mitigation target",Targets!J:J,"GHG",Targets!L:L,"Unclear conditionality")&gt;0,"Conditionality unclear",""))))))</f>
        <v>No transport target</v>
      </c>
      <c r="N338" s="17" t="str" cm="1">
        <f t="array" ref="N338">IF(ISNUMBER(MATCH("Transport sector adaptation target", _xlfn._xlws.FILTER(Targets!H:H, Targets!A:A =A338), 0)), "yes", "no")</f>
        <v>no</v>
      </c>
      <c r="O338" s="17" t="str">
        <f>IF(ISNA(MATCH(A338, Mitigation!A:A, 0)), "no", "yes")</f>
        <v>yes</v>
      </c>
      <c r="P338" s="17" t="str">
        <f>IF(ISNA(MATCH(A338, Adaptation!A:A, 0)), "no", "yes")</f>
        <v>yes</v>
      </c>
      <c r="Q338" s="17" t="str">
        <f>IF(ISNA(MATCH(A338, Benefits!A:A, 0)), "no", "yes")</f>
        <v>yes</v>
      </c>
      <c r="R338" s="17"/>
      <c r="S338" s="17"/>
      <c r="T338" s="17" t="s">
        <v>501</v>
      </c>
      <c r="U338" s="135" t="s">
        <v>853</v>
      </c>
      <c r="V338" s="207" t="str">
        <f>VLOOKUP(Table1[[#This Row],[Country Code]],Table29[],3,FALSE)</f>
        <v>Non-Annex I</v>
      </c>
      <c r="W338" s="207" t="str">
        <f>VLOOKUP(Table1[[#This Row],[Country Code]],Table29[],4,FALSE)</f>
        <v>Africa</v>
      </c>
      <c r="X338" s="207" t="str">
        <f>VLOOKUP(Table1[[#This Row],[Country Code]],Table29[],5,FALSE)</f>
        <v>Low-income</v>
      </c>
      <c r="Y338" s="17"/>
      <c r="Z338" s="17"/>
    </row>
    <row r="339" spans="1:26" ht="15" customHeight="1" x14ac:dyDescent="0.25">
      <c r="A339" s="405">
        <v>21415</v>
      </c>
      <c r="B339" s="19" t="s">
        <v>402</v>
      </c>
      <c r="C339" s="206" t="str">
        <f>VLOOKUP(Table1[[#This Row],[Country Code]],Table29[],2,FALSE)</f>
        <v>Somalia</v>
      </c>
      <c r="D339" s="243" t="str">
        <f t="shared" si="12"/>
        <v>Good</v>
      </c>
      <c r="E339" s="20" t="s">
        <v>71</v>
      </c>
      <c r="F339" s="17" t="s">
        <v>528</v>
      </c>
      <c r="G339" s="43" t="str">
        <f t="shared" si="13"/>
        <v>First NDC updated</v>
      </c>
      <c r="H339" s="17" t="s">
        <v>691</v>
      </c>
      <c r="I339" s="149">
        <v>44408</v>
      </c>
      <c r="J339" s="187" t="s">
        <v>505</v>
      </c>
      <c r="K339" s="49" t="str" cm="1">
        <f t="array" ref="K339">IF(ISNUMBER(MATCH("Transport sector mitigation target", _xlfn._xlws.FILTER(Targets!H:H, Targets!A:A =A339), 0)), "yes", "no")</f>
        <v>no</v>
      </c>
      <c r="L339" s="17" t="str">
        <f>IF(K339="no", "No transport target", IF(AND(COUNTIFS(Targets!A:A, A339, Targets!H:H, "Transport sector mitigation target", Targets!J:J, "GHG") &gt; 0, COUNTIFS(Targets!A:A, A339, Targets!H:H, "Transport sector mitigation target", Targets!J:J, "Non GHG") &gt; 0), "GHG and non-GHG target", IF(COUNTIFS(Targets!A:A, A339, Targets!H:H, "Transport sector mitigation target", Targets!J:J, "GHG") &gt; 0, "GHG target", IF(COUNTIFS(Targets!A:A, A339, Targets!H:H, "Transport sector mitigation target", Targets!J:J, "Non GHG") &gt; 0, "non-GHG target", ""))))</f>
        <v>No transport target</v>
      </c>
      <c r="M339" s="17" t="str">
        <f>IF(K339="no","No transport target",IF(L339="non-GHG target","No GHG transport target",IF(AND(COUNTIFS(Targets!A:A,A339,Targets!H:H,"Transport sector mitigation target",Targets!J:J,"GHG",Targets!L:L,"Conditional")&gt;0,COUNTIFS(Targets!A:A,A339,Targets!H:H,"Transport sector mitigation target",Targets!J:J,"GHG",Targets!L:L,"Unconditional")&gt;0),"GHG unconditional and conditional",IF(COUNTIFS(Targets!A:A,A339,Targets!H:H,"Transport sector mitigation target",Targets!J:J,"GHG",Targets!L:L,"Conditional")&gt;0,"GHG conditional only",IF(COUNTIFS(Targets!A:A,A339,Targets!H:H,"Transport sector mitigation target",Targets!J:J,"GHG",Targets!L:L,"Unconditional")&gt;0,"GHG unconditional only",IF(COUNTIFS(Targets!A:A,A339,Targets!H:H,"Transport sector mitigation target",Targets!J:J,"GHG",Targets!L:L,"Unclear conditionality")&gt;0,"Conditionality unclear",""))))))</f>
        <v>No transport target</v>
      </c>
      <c r="N339" s="17" t="str" cm="1">
        <f t="array" ref="N339">IF(ISNUMBER(MATCH("Transport sector adaptation target", _xlfn._xlws.FILTER(Targets!H:H, Targets!A:A =A339), 0)), "yes", "no")</f>
        <v>no</v>
      </c>
      <c r="O339" s="17" t="str">
        <f>IF(ISNA(MATCH(A339, Mitigation!A:A, 0)), "no", "yes")</f>
        <v>yes</v>
      </c>
      <c r="P339" s="17" t="str">
        <f>IF(ISNA(MATCH(A339, Adaptation!A:A, 0)), "no", "yes")</f>
        <v>yes</v>
      </c>
      <c r="Q339" s="17" t="str">
        <f>IF(ISNA(MATCH(A339, Benefits!A:A, 0)), "no", "yes")</f>
        <v>no</v>
      </c>
      <c r="R339" s="17"/>
      <c r="S339" s="17"/>
      <c r="T339" s="17" t="s">
        <v>501</v>
      </c>
      <c r="U339" s="135" t="s">
        <v>854</v>
      </c>
      <c r="V339" s="207" t="str">
        <f>VLOOKUP(Table1[[#This Row],[Country Code]],Table29[],3,FALSE)</f>
        <v>Non-Annex I</v>
      </c>
      <c r="W339" s="207" t="str">
        <f>VLOOKUP(Table1[[#This Row],[Country Code]],Table29[],4,FALSE)</f>
        <v>Africa</v>
      </c>
      <c r="X339" s="207" t="str">
        <f>VLOOKUP(Table1[[#This Row],[Country Code]],Table29[],5,FALSE)</f>
        <v>Low-income</v>
      </c>
      <c r="Y339" s="17"/>
      <c r="Z339" s="17"/>
    </row>
    <row r="340" spans="1:26" ht="15" customHeight="1" x14ac:dyDescent="0.25">
      <c r="A340" s="405">
        <v>21412</v>
      </c>
      <c r="B340" s="19" t="s">
        <v>444</v>
      </c>
      <c r="C340" s="206" t="str">
        <f>VLOOKUP(Table1[[#This Row],[Country Code]],Table29[],2,FALSE)</f>
        <v>Ukraine</v>
      </c>
      <c r="D340" s="243" t="str">
        <f t="shared" si="12"/>
        <v>Good</v>
      </c>
      <c r="E340" s="20" t="s">
        <v>71</v>
      </c>
      <c r="F340" s="17" t="s">
        <v>528</v>
      </c>
      <c r="G340" s="43" t="str">
        <f t="shared" si="13"/>
        <v>First NDC updated</v>
      </c>
      <c r="H340" s="17" t="s">
        <v>691</v>
      </c>
      <c r="I340" s="149">
        <v>44408</v>
      </c>
      <c r="J340" s="187" t="s">
        <v>505</v>
      </c>
      <c r="K340" s="49" t="str" cm="1">
        <f t="array" ref="K340">IF(ISNUMBER(MATCH("Transport sector mitigation target", _xlfn._xlws.FILTER(Targets!H:H, Targets!A:A =A340), 0)), "yes", "no")</f>
        <v>no</v>
      </c>
      <c r="L340" s="17" t="str">
        <f>IF(K340="no", "No transport target", IF(AND(COUNTIFS(Targets!A:A, A340, Targets!H:H, "Transport sector mitigation target", Targets!J:J, "GHG") &gt; 0, COUNTIFS(Targets!A:A, A340, Targets!H:H, "Transport sector mitigation target", Targets!J:J, "Non GHG") &gt; 0), "GHG and non-GHG target", IF(COUNTIFS(Targets!A:A, A340, Targets!H:H, "Transport sector mitigation target", Targets!J:J, "GHG") &gt; 0, "GHG target", IF(COUNTIFS(Targets!A:A, A340, Targets!H:H, "Transport sector mitigation target", Targets!J:J, "Non GHG") &gt; 0, "non-GHG target", ""))))</f>
        <v>No transport target</v>
      </c>
      <c r="M340" s="17" t="str">
        <f>IF(K340="no","No transport target",IF(L340="non-GHG target","No GHG transport target",IF(AND(COUNTIFS(Targets!A:A,A340,Targets!H:H,"Transport sector mitigation target",Targets!J:J,"GHG",Targets!L:L,"Conditional")&gt;0,COUNTIFS(Targets!A:A,A340,Targets!H:H,"Transport sector mitigation target",Targets!J:J,"GHG",Targets!L:L,"Unconditional")&gt;0),"GHG unconditional and conditional",IF(COUNTIFS(Targets!A:A,A340,Targets!H:H,"Transport sector mitigation target",Targets!J:J,"GHG",Targets!L:L,"Conditional")&gt;0,"GHG conditional only",IF(COUNTIFS(Targets!A:A,A340,Targets!H:H,"Transport sector mitigation target",Targets!J:J,"GHG",Targets!L:L,"Unconditional")&gt;0,"GHG unconditional only",IF(COUNTIFS(Targets!A:A,A340,Targets!H:H,"Transport sector mitigation target",Targets!J:J,"GHG",Targets!L:L,"Unclear conditionality")&gt;0,"Conditionality unclear",""))))))</f>
        <v>No transport target</v>
      </c>
      <c r="N340" s="17" t="str" cm="1">
        <f t="array" ref="N340">IF(ISNUMBER(MATCH("Transport sector adaptation target", _xlfn._xlws.FILTER(Targets!H:H, Targets!A:A =A340), 0)), "yes", "no")</f>
        <v>no</v>
      </c>
      <c r="O340" s="17" t="str">
        <f>IF(ISNA(MATCH(A340, Mitigation!A:A, 0)), "no", "yes")</f>
        <v>no</v>
      </c>
      <c r="P340" s="17" t="str">
        <f>IF(ISNA(MATCH(A340, Adaptation!A:A, 0)), "no", "yes")</f>
        <v>no</v>
      </c>
      <c r="Q340" s="17" t="str">
        <f>IF(ISNA(MATCH(A340, Benefits!A:A, 0)), "no", "yes")</f>
        <v>no</v>
      </c>
      <c r="R340" s="17"/>
      <c r="S340" s="17"/>
      <c r="T340" s="17" t="s">
        <v>501</v>
      </c>
      <c r="U340" s="135" t="s">
        <v>855</v>
      </c>
      <c r="V340" s="207" t="str">
        <f>VLOOKUP(Table1[[#This Row],[Country Code]],Table29[],3,FALSE)</f>
        <v>Annex I</v>
      </c>
      <c r="W340" s="207" t="str">
        <f>VLOOKUP(Table1[[#This Row],[Country Code]],Table29[],4,FALSE)</f>
        <v>Europe</v>
      </c>
      <c r="X340" s="207" t="str">
        <f>VLOOKUP(Table1[[#This Row],[Country Code]],Table29[],5,FALSE)</f>
        <v>Middle-income</v>
      </c>
      <c r="Y340" s="17"/>
      <c r="Z340" s="17"/>
    </row>
    <row r="341" spans="1:26" ht="15" customHeight="1" x14ac:dyDescent="0.25">
      <c r="A341" s="360">
        <v>17597</v>
      </c>
      <c r="B341" s="43" t="s">
        <v>195</v>
      </c>
      <c r="C341" s="243" t="str">
        <f>VLOOKUP(Table1[[#This Row],[Country Code]],Table29[],2,FALSE)</f>
        <v>France</v>
      </c>
      <c r="D341" s="243" t="str">
        <f t="shared" si="12"/>
        <v>Good</v>
      </c>
      <c r="E341" s="176" t="s">
        <v>227</v>
      </c>
      <c r="F341" s="43" t="s">
        <v>227</v>
      </c>
      <c r="G341" s="43" t="str">
        <f t="shared" si="13"/>
        <v>LTS</v>
      </c>
      <c r="H341" s="43" t="s">
        <v>636</v>
      </c>
      <c r="I341" s="351">
        <v>44410</v>
      </c>
      <c r="J341" s="352" t="s">
        <v>505</v>
      </c>
      <c r="K341" s="320" t="str" cm="1">
        <f t="array" ref="K341">IF(ISNUMBER(MATCH("Transport sector mitigation target", _xlfn._xlws.FILTER(Targets!H:H, Targets!A:A =A341), 0)), "yes", "no")</f>
        <v>no</v>
      </c>
      <c r="L341" s="43" t="str">
        <f>IF(K341="no", "No transport target", IF(AND(COUNTIFS(Targets!A:A, A341, Targets!H:H, "Transport sector mitigation target", Targets!J:J, "GHG") &gt; 0, COUNTIFS(Targets!A:A, A341, Targets!H:H, "Transport sector mitigation target", Targets!J:J, "Non GHG") &gt; 0), "GHG and non-GHG target", IF(COUNTIFS(Targets!A:A, A341, Targets!H:H, "Transport sector mitigation target", Targets!J:J, "GHG") &gt; 0, "GHG target", IF(COUNTIFS(Targets!A:A, A341, Targets!H:H, "Transport sector mitigation target", Targets!J:J, "Non GHG") &gt; 0, "non-GHG target", ""))))</f>
        <v>No transport target</v>
      </c>
      <c r="M341" s="43" t="str">
        <f>IF(K341="no","No transport target",IF(L341="non-GHG target","No GHG transport target",IF(AND(COUNTIFS(Targets!A:A,A341,Targets!H:H,"Transport sector mitigation target",Targets!J:J,"GHG",Targets!L:L,"Conditional")&gt;0,COUNTIFS(Targets!A:A,A341,Targets!H:H,"Transport sector mitigation target",Targets!J:J,"GHG",Targets!L:L,"Unconditional")&gt;0),"GHG unconditional and conditional",IF(COUNTIFS(Targets!A:A,A341,Targets!H:H,"Transport sector mitigation target",Targets!J:J,"GHG",Targets!L:L,"Conditional")&gt;0,"GHG conditional only",IF(COUNTIFS(Targets!A:A,A341,Targets!H:H,"Transport sector mitigation target",Targets!J:J,"GHG",Targets!L:L,"Unconditional")&gt;0,"GHG unconditional only",IF(COUNTIFS(Targets!A:A,A341,Targets!H:H,"Transport sector mitigation target",Targets!J:J,"GHG",Targets!L:L,"Unclear conditionality")&gt;0,"Conditionality unclear",""))))))</f>
        <v>No transport target</v>
      </c>
      <c r="N341" s="43" t="str" cm="1">
        <f t="array" ref="N341">IF(ISNUMBER(MATCH("Transport sector adaptation target", _xlfn._xlws.FILTER(Targets!H:H, Targets!A:A =A341), 0)), "yes", "no")</f>
        <v>no</v>
      </c>
      <c r="O341" s="43" t="str">
        <f>IF(ISNA(MATCH(A341, Mitigation!A:A, 0)), "no", "yes")</f>
        <v>yes</v>
      </c>
      <c r="P341" s="43" t="str">
        <f>IF(ISNA(MATCH(A341, Adaptation!A:A, 0)), "no", "yes")</f>
        <v>no</v>
      </c>
      <c r="Q341" s="43" t="str">
        <f>IF(ISNA(MATCH(A341, Benefits!A:A, 0)), "no", "yes")</f>
        <v>no</v>
      </c>
      <c r="R341" s="43"/>
      <c r="S341" s="43"/>
      <c r="T341" s="43" t="s">
        <v>501</v>
      </c>
      <c r="U341" s="312" t="s">
        <v>856</v>
      </c>
      <c r="V341" s="233" t="str">
        <f>VLOOKUP(Table1[[#This Row],[Country Code]],Table29[],3,FALSE)</f>
        <v>Annex I</v>
      </c>
      <c r="W341" s="233" t="str">
        <f>VLOOKUP(Table1[[#This Row],[Country Code]],Table29[],4,FALSE)</f>
        <v>Europe</v>
      </c>
      <c r="X341" s="233" t="str">
        <f>VLOOKUP(Table1[[#This Row],[Country Code]],Table29[],5,FALSE)</f>
        <v>High-income</v>
      </c>
      <c r="Y341" s="43"/>
      <c r="Z341" s="43"/>
    </row>
    <row r="342" spans="1:26" ht="15" customHeight="1" x14ac:dyDescent="0.25">
      <c r="A342" s="360">
        <v>21423</v>
      </c>
      <c r="B342" s="42" t="s">
        <v>143</v>
      </c>
      <c r="C342" s="243" t="str">
        <f>VLOOKUP(Table1[[#This Row],[Country Code]],Table29[],2,FALSE)</f>
        <v>Congo</v>
      </c>
      <c r="D342" s="243" t="str">
        <f t="shared" si="12"/>
        <v>Good</v>
      </c>
      <c r="E342" s="176" t="s">
        <v>71</v>
      </c>
      <c r="F342" s="43" t="s">
        <v>528</v>
      </c>
      <c r="G342" s="43" t="str">
        <f t="shared" si="13"/>
        <v>First NDC updated</v>
      </c>
      <c r="H342" s="43" t="s">
        <v>691</v>
      </c>
      <c r="I342" s="351">
        <v>44410</v>
      </c>
      <c r="J342" s="352" t="s">
        <v>505</v>
      </c>
      <c r="K342" s="320" t="str" cm="1">
        <f t="array" ref="K342">IF(ISNUMBER(MATCH("Transport sector mitigation target", _xlfn._xlws.FILTER(Targets!H:H, Targets!A:A =A342), 0)), "yes", "no")</f>
        <v>no</v>
      </c>
      <c r="L342" s="43" t="str">
        <f>IF(K342="no", "No transport target", IF(AND(COUNTIFS(Targets!A:A, A342, Targets!H:H, "Transport sector mitigation target", Targets!J:J, "GHG") &gt; 0, COUNTIFS(Targets!A:A, A342, Targets!H:H, "Transport sector mitigation target", Targets!J:J, "Non GHG") &gt; 0), "GHG and non-GHG target", IF(COUNTIFS(Targets!A:A, A342, Targets!H:H, "Transport sector mitigation target", Targets!J:J, "GHG") &gt; 0, "GHG target", IF(COUNTIFS(Targets!A:A, A342, Targets!H:H, "Transport sector mitigation target", Targets!J:J, "Non GHG") &gt; 0, "non-GHG target", ""))))</f>
        <v>No transport target</v>
      </c>
      <c r="M342" s="43" t="str">
        <f>IF(K342="no","No transport target",IF(L342="non-GHG target","No GHG transport target",IF(AND(COUNTIFS(Targets!A:A,A342,Targets!H:H,"Transport sector mitigation target",Targets!J:J,"GHG",Targets!L:L,"Conditional")&gt;0,COUNTIFS(Targets!A:A,A342,Targets!H:H,"Transport sector mitigation target",Targets!J:J,"GHG",Targets!L:L,"Unconditional")&gt;0),"GHG unconditional and conditional",IF(COUNTIFS(Targets!A:A,A342,Targets!H:H,"Transport sector mitigation target",Targets!J:J,"GHG",Targets!L:L,"Conditional")&gt;0,"GHG conditional only",IF(COUNTIFS(Targets!A:A,A342,Targets!H:H,"Transport sector mitigation target",Targets!J:J,"GHG",Targets!L:L,"Unconditional")&gt;0,"GHG unconditional only",IF(COUNTIFS(Targets!A:A,A342,Targets!H:H,"Transport sector mitigation target",Targets!J:J,"GHG",Targets!L:L,"Unclear conditionality")&gt;0,"Conditionality unclear",""))))))</f>
        <v>No transport target</v>
      </c>
      <c r="N342" s="43" t="str" cm="1">
        <f t="array" ref="N342">IF(ISNUMBER(MATCH("Transport sector adaptation target", _xlfn._xlws.FILTER(Targets!H:H, Targets!A:A =A342), 0)), "yes", "no")</f>
        <v>no</v>
      </c>
      <c r="O342" s="43" t="str">
        <f>IF(ISNA(MATCH(A342, Mitigation!A:A, 0)), "no", "yes")</f>
        <v>yes</v>
      </c>
      <c r="P342" s="43" t="str">
        <f>IF(ISNA(MATCH(A342, Adaptation!A:A, 0)), "no", "yes")</f>
        <v>yes</v>
      </c>
      <c r="Q342" s="43" t="str">
        <f>IF(ISNA(MATCH(A342, Benefits!A:A, 0)), "no", "yes")</f>
        <v>yes</v>
      </c>
      <c r="R342" s="43"/>
      <c r="S342" s="43"/>
      <c r="T342" s="43" t="s">
        <v>501</v>
      </c>
      <c r="U342" s="312" t="s">
        <v>857</v>
      </c>
      <c r="V342" s="233" t="str">
        <f>VLOOKUP(Table1[[#This Row],[Country Code]],Table29[],3,FALSE)</f>
        <v>Non-Annex I</v>
      </c>
      <c r="W342" s="233" t="str">
        <f>VLOOKUP(Table1[[#This Row],[Country Code]],Table29[],4,FALSE)</f>
        <v>Africa</v>
      </c>
      <c r="X342" s="233" t="str">
        <f>VLOOKUP(Table1[[#This Row],[Country Code]],Table29[],5,FALSE)</f>
        <v>Middle-income</v>
      </c>
      <c r="Y342" s="43"/>
      <c r="Z342" s="43"/>
    </row>
    <row r="343" spans="1:26" ht="15" customHeight="1" x14ac:dyDescent="0.25">
      <c r="A343" s="360">
        <v>28253</v>
      </c>
      <c r="B343" s="42" t="s">
        <v>313</v>
      </c>
      <c r="C343" s="243" t="str">
        <f>VLOOKUP(Table1[[#This Row],[Country Code]],Table29[],2,FALSE)</f>
        <v>Myanmar</v>
      </c>
      <c r="D343" s="243" t="str">
        <f t="shared" si="12"/>
        <v>Good</v>
      </c>
      <c r="E343" s="176" t="s">
        <v>71</v>
      </c>
      <c r="F343" s="43" t="s">
        <v>528</v>
      </c>
      <c r="G343" s="43" t="str">
        <f t="shared" si="13"/>
        <v>First NDC updated</v>
      </c>
      <c r="H343" s="43" t="s">
        <v>691</v>
      </c>
      <c r="I343" s="351">
        <v>44411</v>
      </c>
      <c r="J343" s="352" t="s">
        <v>505</v>
      </c>
      <c r="K343" s="320" t="str" cm="1">
        <f t="array" ref="K343">IF(ISNUMBER(MATCH("Transport sector mitigation target", _xlfn._xlws.FILTER(Targets!H:H, Targets!A:A =A343), 0)), "yes", "no")</f>
        <v>no</v>
      </c>
      <c r="L343" s="43" t="str">
        <f>IF(K343="no", "No transport target", IF(AND(COUNTIFS(Targets!A:A, A343, Targets!H:H, "Transport sector mitigation target", Targets!J:J, "GHG") &gt; 0, COUNTIFS(Targets!A:A, A343, Targets!H:H, "Transport sector mitigation target", Targets!J:J, "Non GHG") &gt; 0), "GHG and non-GHG target", IF(COUNTIFS(Targets!A:A, A343, Targets!H:H, "Transport sector mitigation target", Targets!J:J, "GHG") &gt; 0, "GHG target", IF(COUNTIFS(Targets!A:A, A343, Targets!H:H, "Transport sector mitigation target", Targets!J:J, "Non GHG") &gt; 0, "non-GHG target", ""))))</f>
        <v>No transport target</v>
      </c>
      <c r="M343" s="43" t="str">
        <f>IF(K343="no","No transport target",IF(L343="non-GHG target","No GHG transport target",IF(AND(COUNTIFS(Targets!A:A,A343,Targets!H:H,"Transport sector mitigation target",Targets!J:J,"GHG",Targets!L:L,"Conditional")&gt;0,COUNTIFS(Targets!A:A,A343,Targets!H:H,"Transport sector mitigation target",Targets!J:J,"GHG",Targets!L:L,"Unconditional")&gt;0),"GHG unconditional and conditional",IF(COUNTIFS(Targets!A:A,A343,Targets!H:H,"Transport sector mitigation target",Targets!J:J,"GHG",Targets!L:L,"Conditional")&gt;0,"GHG conditional only",IF(COUNTIFS(Targets!A:A,A343,Targets!H:H,"Transport sector mitigation target",Targets!J:J,"GHG",Targets!L:L,"Unconditional")&gt;0,"GHG unconditional only",IF(COUNTIFS(Targets!A:A,A343,Targets!H:H,"Transport sector mitigation target",Targets!J:J,"GHG",Targets!L:L,"Unclear conditionality")&gt;0,"Conditionality unclear",""))))))</f>
        <v>No transport target</v>
      </c>
      <c r="N343" s="43" t="str" cm="1">
        <f t="array" ref="N343">IF(ISNUMBER(MATCH("Transport sector adaptation target", _xlfn._xlws.FILTER(Targets!H:H, Targets!A:A =A343), 0)), "yes", "no")</f>
        <v>no</v>
      </c>
      <c r="O343" s="43" t="str">
        <f>IF(ISNA(MATCH(A343, Mitigation!A:A, 0)), "no", "yes")</f>
        <v>yes</v>
      </c>
      <c r="P343" s="43" t="str">
        <f>IF(ISNA(MATCH(A343, Adaptation!A:A, 0)), "no", "yes")</f>
        <v>no</v>
      </c>
      <c r="Q343" s="43" t="str">
        <f>IF(ISNA(MATCH(A343, Benefits!A:A, 0)), "no", "yes")</f>
        <v>no</v>
      </c>
      <c r="R343" s="43"/>
      <c r="S343" s="43"/>
      <c r="T343" s="43" t="s">
        <v>501</v>
      </c>
      <c r="U343" s="312" t="s">
        <v>858</v>
      </c>
      <c r="V343" s="233" t="str">
        <f>VLOOKUP(Table1[[#This Row],[Country Code]],Table29[],3,FALSE)</f>
        <v>Non-Annex I</v>
      </c>
      <c r="W343" s="233" t="str">
        <f>VLOOKUP(Table1[[#This Row],[Country Code]],Table29[],4,FALSE)</f>
        <v>Asia</v>
      </c>
      <c r="X343" s="233" t="str">
        <f>VLOOKUP(Table1[[#This Row],[Country Code]],Table29[],5,FALSE)</f>
        <v>Middle-income</v>
      </c>
      <c r="Y343" s="43"/>
      <c r="Z343" s="43"/>
    </row>
    <row r="344" spans="1:26" ht="15" customHeight="1" x14ac:dyDescent="0.25">
      <c r="A344" s="360">
        <v>20334</v>
      </c>
      <c r="B344" s="43" t="s">
        <v>201</v>
      </c>
      <c r="C344" s="243" t="str">
        <f>VLOOKUP(Table1[[#This Row],[Country Code]],Table29[],2,FALSE)</f>
        <v>Georgia</v>
      </c>
      <c r="D344" s="243" t="str">
        <f t="shared" si="12"/>
        <v>Good</v>
      </c>
      <c r="E344" s="176" t="s">
        <v>71</v>
      </c>
      <c r="F344" s="43" t="s">
        <v>528</v>
      </c>
      <c r="G344" s="43" t="str">
        <f t="shared" si="13"/>
        <v>First NDC updated</v>
      </c>
      <c r="H344" s="43" t="s">
        <v>691</v>
      </c>
      <c r="I344" s="351">
        <v>44321</v>
      </c>
      <c r="J344" s="352" t="s">
        <v>505</v>
      </c>
      <c r="K344" s="320" t="str" cm="1">
        <f t="array" ref="K344">IF(ISNUMBER(MATCH("Transport sector mitigation target", _xlfn._xlws.FILTER(Targets!H:H, Targets!A:A =A344), 0)), "yes", "no")</f>
        <v>yes</v>
      </c>
      <c r="L344" s="43" t="str">
        <f>IF(K344="no", "No transport target", IF(AND(COUNTIFS(Targets!A:A, A344, Targets!H:H, "Transport sector mitigation target", Targets!J:J, "GHG") &gt; 0, COUNTIFS(Targets!A:A, A344, Targets!H:H, "Transport sector mitigation target", Targets!J:J, "Non GHG") &gt; 0), "GHG and non-GHG target", IF(COUNTIFS(Targets!A:A, A344, Targets!H:H, "Transport sector mitigation target", Targets!J:J, "GHG") &gt; 0, "GHG target", IF(COUNTIFS(Targets!A:A, A344, Targets!H:H, "Transport sector mitigation target", Targets!J:J, "Non GHG") &gt; 0, "non-GHG target", ""))))</f>
        <v>GHG target</v>
      </c>
      <c r="M344" s="43" t="str">
        <f>IF(K344="no","No transport target",IF(L344="non-GHG target","No GHG transport target",IF(AND(COUNTIFS(Targets!A:A,A344,Targets!H:H,"Transport sector mitigation target",Targets!J:J,"GHG",Targets!L:L,"Conditional")&gt;0,COUNTIFS(Targets!A:A,A344,Targets!H:H,"Transport sector mitigation target",Targets!J:J,"GHG",Targets!L:L,"Unconditional")&gt;0),"GHG unconditional and conditional",IF(COUNTIFS(Targets!A:A,A344,Targets!H:H,"Transport sector mitigation target",Targets!J:J,"GHG",Targets!L:L,"Conditional")&gt;0,"GHG conditional only",IF(COUNTIFS(Targets!A:A,A344,Targets!H:H,"Transport sector mitigation target",Targets!J:J,"GHG",Targets!L:L,"Unconditional")&gt;0,"GHG unconditional only",IF(COUNTIFS(Targets!A:A,A344,Targets!H:H,"Transport sector mitigation target",Targets!J:J,"GHG",Targets!L:L,"Unclear conditionality")&gt;0,"Conditionality unclear",""))))))</f>
        <v>GHG unconditional only</v>
      </c>
      <c r="N344" s="43" t="str" cm="1">
        <f t="array" ref="N344">IF(ISNUMBER(MATCH("Transport sector adaptation target", _xlfn._xlws.FILTER(Targets!H:H, Targets!A:A =A344), 0)), "yes", "no")</f>
        <v>no</v>
      </c>
      <c r="O344" s="43" t="str">
        <f>IF(ISNA(MATCH(A344, Mitigation!A:A, 0)), "no", "yes")</f>
        <v>no</v>
      </c>
      <c r="P344" s="43" t="str">
        <f>IF(ISNA(MATCH(A344, Adaptation!A:A, 0)), "no", "yes")</f>
        <v>no</v>
      </c>
      <c r="Q344" s="43" t="str">
        <f>IF(ISNA(MATCH(A344, Benefits!A:A, 0)), "no", "yes")</f>
        <v>no</v>
      </c>
      <c r="R344" s="43"/>
      <c r="S344" s="43"/>
      <c r="T344" s="43" t="s">
        <v>501</v>
      </c>
      <c r="U344" s="312" t="s">
        <v>859</v>
      </c>
      <c r="V344" s="233" t="str">
        <f>VLOOKUP(Table1[[#This Row],[Country Code]],Table29[],3,FALSE)</f>
        <v>Non-Annex I</v>
      </c>
      <c r="W344" s="233" t="str">
        <f>VLOOKUP(Table1[[#This Row],[Country Code]],Table29[],4,FALSE)</f>
        <v>Asia</v>
      </c>
      <c r="X344" s="233" t="str">
        <f>VLOOKUP(Table1[[#This Row],[Country Code]],Table29[],5,FALSE)</f>
        <v>Middle-income</v>
      </c>
      <c r="Y344" s="43"/>
      <c r="Z344" s="43"/>
    </row>
    <row r="345" spans="1:26" ht="15" customHeight="1" x14ac:dyDescent="0.25">
      <c r="A345" s="360">
        <v>32501</v>
      </c>
      <c r="B345" s="43" t="s">
        <v>203</v>
      </c>
      <c r="C345" s="243" t="str">
        <f>VLOOKUP(Table1[[#This Row],[Country Code]],Table29[],2,FALSE)</f>
        <v>Germany</v>
      </c>
      <c r="D345" s="243" t="str">
        <f t="shared" si="12"/>
        <v>Good</v>
      </c>
      <c r="E345" s="176" t="s">
        <v>227</v>
      </c>
      <c r="F345" s="43" t="s">
        <v>227</v>
      </c>
      <c r="G345" s="43" t="str">
        <f t="shared" si="13"/>
        <v>LTS</v>
      </c>
      <c r="H345" s="43" t="s">
        <v>722</v>
      </c>
      <c r="I345" s="351">
        <v>44867</v>
      </c>
      <c r="J345" s="352" t="s">
        <v>505</v>
      </c>
      <c r="K345" s="320" t="str" cm="1">
        <f t="array" ref="K345">IF(ISNUMBER(MATCH("Transport sector mitigation target", _xlfn._xlws.FILTER(Targets!H:H, Targets!A:A =A345), 0)), "yes", "no")</f>
        <v>yes</v>
      </c>
      <c r="L345" s="43" t="str">
        <f>IF(K345="no", "No transport target", IF(AND(COUNTIFS(Targets!A:A, A345, Targets!H:H, "Transport sector mitigation target", Targets!J:J, "GHG") &gt; 0, COUNTIFS(Targets!A:A, A345, Targets!H:H, "Transport sector mitigation target", Targets!J:J, "Non GHG") &gt; 0), "GHG and non-GHG target", IF(COUNTIFS(Targets!A:A, A345, Targets!H:H, "Transport sector mitigation target", Targets!J:J, "GHG") &gt; 0, "GHG target", IF(COUNTIFS(Targets!A:A, A345, Targets!H:H, "Transport sector mitigation target", Targets!J:J, "Non GHG") &gt; 0, "non-GHG target", ""))))</f>
        <v>GHG and non-GHG target</v>
      </c>
      <c r="M345" s="43" t="str">
        <f>IF(K345="no","No transport target",IF(L345="non-GHG target","No GHG transport target",IF(AND(COUNTIFS(Targets!A:A,A345,Targets!H:H,"Transport sector mitigation target",Targets!J:J,"GHG",Targets!L:L,"Conditional")&gt;0,COUNTIFS(Targets!A:A,A345,Targets!H:H,"Transport sector mitigation target",Targets!J:J,"GHG",Targets!L:L,"Unconditional")&gt;0),"GHG unconditional and conditional",IF(COUNTIFS(Targets!A:A,A345,Targets!H:H,"Transport sector mitigation target",Targets!J:J,"GHG",Targets!L:L,"Conditional")&gt;0,"GHG conditional only",IF(COUNTIFS(Targets!A:A,A345,Targets!H:H,"Transport sector mitigation target",Targets!J:J,"GHG",Targets!L:L,"Unconditional")&gt;0,"GHG unconditional only",IF(COUNTIFS(Targets!A:A,A345,Targets!H:H,"Transport sector mitigation target",Targets!J:J,"GHG",Targets!L:L,"Unclear conditionality")&gt;0,"Conditionality unclear",""))))))</f>
        <v>GHG unconditional only</v>
      </c>
      <c r="N345" s="43" t="str" cm="1">
        <f t="array" ref="N345">IF(ISNUMBER(MATCH("Transport sector adaptation target", _xlfn._xlws.FILTER(Targets!H:H, Targets!A:A =A345), 0)), "yes", "no")</f>
        <v>no</v>
      </c>
      <c r="O345" s="43" t="str">
        <f>IF(ISNA(MATCH(A345, Mitigation!A:A, 0)), "no", "yes")</f>
        <v>yes</v>
      </c>
      <c r="P345" s="43" t="str">
        <f>IF(ISNA(MATCH(A345, Adaptation!A:A, 0)), "no", "yes")</f>
        <v>no</v>
      </c>
      <c r="Q345" s="43" t="str">
        <f>IF(ISNA(MATCH(A345, Benefits!A:A, 0)), "no", "yes")</f>
        <v>no</v>
      </c>
      <c r="R345" s="43"/>
      <c r="S345" s="43"/>
      <c r="T345" s="43" t="s">
        <v>501</v>
      </c>
      <c r="U345" s="312" t="s">
        <v>860</v>
      </c>
      <c r="V345" s="233" t="str">
        <f>VLOOKUP(Table1[[#This Row],[Country Code]],Table29[],3,FALSE)</f>
        <v>Annex I</v>
      </c>
      <c r="W345" s="233" t="str">
        <f>VLOOKUP(Table1[[#This Row],[Country Code]],Table29[],4,FALSE)</f>
        <v>Europe</v>
      </c>
      <c r="X345" s="233" t="str">
        <f>VLOOKUP(Table1[[#This Row],[Country Code]],Table29[],5,FALSE)</f>
        <v>High-income</v>
      </c>
      <c r="Y345" s="43"/>
      <c r="Z345" s="43"/>
    </row>
    <row r="346" spans="1:26" ht="15" customHeight="1" x14ac:dyDescent="0.25">
      <c r="A346" s="360">
        <v>21704</v>
      </c>
      <c r="B346" s="19" t="s">
        <v>358</v>
      </c>
      <c r="C346" s="206" t="str">
        <f>VLOOKUP(Table1[[#This Row],[Country Code]],Table29[],2,FALSE)</f>
        <v>Qatar</v>
      </c>
      <c r="D346" s="243" t="str">
        <f t="shared" si="12"/>
        <v>Good</v>
      </c>
      <c r="E346" s="20" t="s">
        <v>71</v>
      </c>
      <c r="F346" s="17" t="s">
        <v>528</v>
      </c>
      <c r="G346" s="43" t="str">
        <f t="shared" si="13"/>
        <v>First NDC updated</v>
      </c>
      <c r="H346" s="17" t="s">
        <v>691</v>
      </c>
      <c r="I346" s="149">
        <v>44432</v>
      </c>
      <c r="J346" s="187" t="s">
        <v>505</v>
      </c>
      <c r="K346" s="49" t="str" cm="1">
        <f t="array" ref="K346">IF(ISNUMBER(MATCH("Transport sector mitigation target", _xlfn._xlws.FILTER(Targets!H:H, Targets!A:A =A346), 0)), "yes", "no")</f>
        <v>no</v>
      </c>
      <c r="L346" s="17" t="str">
        <f>IF(K346="no", "No transport target", IF(AND(COUNTIFS(Targets!A:A, A346, Targets!H:H, "Transport sector mitigation target", Targets!J:J, "GHG") &gt; 0, COUNTIFS(Targets!A:A, A346, Targets!H:H, "Transport sector mitigation target", Targets!J:J, "Non GHG") &gt; 0), "GHG and non-GHG target", IF(COUNTIFS(Targets!A:A, A346, Targets!H:H, "Transport sector mitigation target", Targets!J:J, "GHG") &gt; 0, "GHG target", IF(COUNTIFS(Targets!A:A, A346, Targets!H:H, "Transport sector mitigation target", Targets!J:J, "Non GHG") &gt; 0, "non-GHG target", ""))))</f>
        <v>No transport target</v>
      </c>
      <c r="M346" s="17" t="str">
        <f>IF(K346="no","No transport target",IF(L346="non-GHG target","No GHG transport target",IF(AND(COUNTIFS(Targets!A:A,A346,Targets!H:H,"Transport sector mitigation target",Targets!J:J,"GHG",Targets!L:L,"Conditional")&gt;0,COUNTIFS(Targets!A:A,A346,Targets!H:H,"Transport sector mitigation target",Targets!J:J,"GHG",Targets!L:L,"Unconditional")&gt;0),"GHG unconditional and conditional",IF(COUNTIFS(Targets!A:A,A346,Targets!H:H,"Transport sector mitigation target",Targets!J:J,"GHG",Targets!L:L,"Conditional")&gt;0,"GHG conditional only",IF(COUNTIFS(Targets!A:A,A346,Targets!H:H,"Transport sector mitigation target",Targets!J:J,"GHG",Targets!L:L,"Unconditional")&gt;0,"GHG unconditional only",IF(COUNTIFS(Targets!A:A,A346,Targets!H:H,"Transport sector mitigation target",Targets!J:J,"GHG",Targets!L:L,"Unclear conditionality")&gt;0,"Conditionality unclear",""))))))</f>
        <v>No transport target</v>
      </c>
      <c r="N346" s="17" t="str" cm="1">
        <f t="array" ref="N346">IF(ISNUMBER(MATCH("Transport sector adaptation target", _xlfn._xlws.FILTER(Targets!H:H, Targets!A:A =A346), 0)), "yes", "no")</f>
        <v>no</v>
      </c>
      <c r="O346" s="17" t="str">
        <f>IF(ISNA(MATCH(A346, Mitigation!A:A, 0)), "no", "yes")</f>
        <v>yes</v>
      </c>
      <c r="P346" s="17" t="str">
        <f>IF(ISNA(MATCH(A346, Adaptation!A:A, 0)), "no", "yes")</f>
        <v>yes</v>
      </c>
      <c r="Q346" s="17" t="str">
        <f>IF(ISNA(MATCH(A346, Benefits!A:A, 0)), "no", "yes")</f>
        <v>no</v>
      </c>
      <c r="R346" s="17"/>
      <c r="S346" s="17"/>
      <c r="T346" s="17" t="s">
        <v>501</v>
      </c>
      <c r="U346" s="135" t="s">
        <v>861</v>
      </c>
      <c r="V346" s="207" t="str">
        <f>VLOOKUP(Table1[[#This Row],[Country Code]],Table29[],3,FALSE)</f>
        <v>Non-Annex I</v>
      </c>
      <c r="W346" s="207" t="str">
        <f>VLOOKUP(Table1[[#This Row],[Country Code]],Table29[],4,FALSE)</f>
        <v>Asia</v>
      </c>
      <c r="X346" s="207" t="str">
        <f>VLOOKUP(Table1[[#This Row],[Country Code]],Table29[],5,FALSE)</f>
        <v>High-income</v>
      </c>
      <c r="Y346" s="17"/>
      <c r="Z346" s="17"/>
    </row>
    <row r="347" spans="1:26" ht="15" customHeight="1" x14ac:dyDescent="0.25">
      <c r="A347" s="360">
        <v>17607</v>
      </c>
      <c r="B347" s="43" t="s">
        <v>209</v>
      </c>
      <c r="C347" s="243" t="str">
        <f>VLOOKUP(Table1[[#This Row],[Country Code]],Table29[],2,FALSE)</f>
        <v>Grenada</v>
      </c>
      <c r="D347" s="243" t="str">
        <f t="shared" si="12"/>
        <v>Good</v>
      </c>
      <c r="E347" s="176" t="s">
        <v>71</v>
      </c>
      <c r="F347" s="43" t="s">
        <v>555</v>
      </c>
      <c r="G347" s="43" t="str">
        <f t="shared" si="13"/>
        <v>Second NDC</v>
      </c>
      <c r="H347" s="43" t="s">
        <v>714</v>
      </c>
      <c r="I347" s="351">
        <v>43842</v>
      </c>
      <c r="J347" s="352" t="s">
        <v>505</v>
      </c>
      <c r="K347" s="320" t="str" cm="1">
        <f t="array" ref="K347">IF(ISNUMBER(MATCH("Transport sector mitigation target", _xlfn._xlws.FILTER(Targets!H:H, Targets!A:A =A347), 0)), "yes", "no")</f>
        <v>yes</v>
      </c>
      <c r="L347" s="43" t="str">
        <f>IF(K347="no", "No transport target", IF(AND(COUNTIFS(Targets!A:A, A347, Targets!H:H, "Transport sector mitigation target", Targets!J:J, "GHG") &gt; 0, COUNTIFS(Targets!A:A, A347, Targets!H:H, "Transport sector mitigation target", Targets!J:J, "Non GHG") &gt; 0), "GHG and non-GHG target", IF(COUNTIFS(Targets!A:A, A347, Targets!H:H, "Transport sector mitigation target", Targets!J:J, "GHG") &gt; 0, "GHG target", IF(COUNTIFS(Targets!A:A, A347, Targets!H:H, "Transport sector mitigation target", Targets!J:J, "Non GHG") &gt; 0, "non-GHG target", ""))))</f>
        <v>GHG target</v>
      </c>
      <c r="M347" s="43" t="str">
        <f>IF(K347="no","No transport target",IF(L347="non-GHG target","No GHG transport target",IF(AND(COUNTIFS(Targets!A:A,A347,Targets!H:H,"Transport sector mitigation target",Targets!J:J,"GHG",Targets!L:L,"Conditional")&gt;0,COUNTIFS(Targets!A:A,A347,Targets!H:H,"Transport sector mitigation target",Targets!J:J,"GHG",Targets!L:L,"Unconditional")&gt;0),"GHG unconditional and conditional",IF(COUNTIFS(Targets!A:A,A347,Targets!H:H,"Transport sector mitigation target",Targets!J:J,"GHG",Targets!L:L,"Conditional")&gt;0,"GHG conditional only",IF(COUNTIFS(Targets!A:A,A347,Targets!H:H,"Transport sector mitigation target",Targets!J:J,"GHG",Targets!L:L,"Unconditional")&gt;0,"GHG unconditional only",IF(COUNTIFS(Targets!A:A,A347,Targets!H:H,"Transport sector mitigation target",Targets!J:J,"GHG",Targets!L:L,"Unclear conditionality")&gt;0,"Conditionality unclear",""))))))</f>
        <v>GHG conditional only</v>
      </c>
      <c r="N347" s="43" t="str" cm="1">
        <f t="array" ref="N347">IF(ISNUMBER(MATCH("Transport sector adaptation target", _xlfn._xlws.FILTER(Targets!H:H, Targets!A:A =A347), 0)), "yes", "no")</f>
        <v>no</v>
      </c>
      <c r="O347" s="43" t="str">
        <f>IF(ISNA(MATCH(A347, Mitigation!A:A, 0)), "no", "yes")</f>
        <v>no</v>
      </c>
      <c r="P347" s="43" t="str">
        <f>IF(ISNA(MATCH(A347, Adaptation!A:A, 0)), "no", "yes")</f>
        <v>no</v>
      </c>
      <c r="Q347" s="43" t="str">
        <f>IF(ISNA(MATCH(A347, Benefits!A:A, 0)), "no", "yes")</f>
        <v>no</v>
      </c>
      <c r="R347" s="43"/>
      <c r="S347" s="43"/>
      <c r="T347" s="43" t="s">
        <v>501</v>
      </c>
      <c r="U347" s="312" t="s">
        <v>862</v>
      </c>
      <c r="V347" s="233" t="str">
        <f>VLOOKUP(Table1[[#This Row],[Country Code]],Table29[],3,FALSE)</f>
        <v>Non-Annex I</v>
      </c>
      <c r="W347" s="233" t="str">
        <f>VLOOKUP(Table1[[#This Row],[Country Code]],Table29[],4,FALSE)</f>
        <v>Latin America and the Caribbean</v>
      </c>
      <c r="X347" s="233" t="str">
        <f>VLOOKUP(Table1[[#This Row],[Country Code]],Table29[],5,FALSE)</f>
        <v>Middle-income</v>
      </c>
      <c r="Y347" s="43"/>
      <c r="Z347" s="43"/>
    </row>
    <row r="348" spans="1:26" ht="15" customHeight="1" x14ac:dyDescent="0.25">
      <c r="A348" s="360">
        <v>26802</v>
      </c>
      <c r="B348" s="43" t="s">
        <v>211</v>
      </c>
      <c r="C348" s="243" t="str">
        <f>VLOOKUP(Table1[[#This Row],[Country Code]],Table29[],2,FALSE)</f>
        <v>Guatemala</v>
      </c>
      <c r="D348" s="243" t="str">
        <f t="shared" si="12"/>
        <v>Good</v>
      </c>
      <c r="E348" s="176" t="s">
        <v>71</v>
      </c>
      <c r="F348" s="43" t="s">
        <v>528</v>
      </c>
      <c r="G348" s="43" t="str">
        <f t="shared" si="13"/>
        <v>First NDC updated</v>
      </c>
      <c r="H348" s="43" t="s">
        <v>743</v>
      </c>
      <c r="I348" s="355">
        <v>44704</v>
      </c>
      <c r="J348" s="352" t="s">
        <v>505</v>
      </c>
      <c r="K348" s="320" t="str" cm="1">
        <f t="array" ref="K348">IF(ISNUMBER(MATCH("Transport sector mitigation target", _xlfn._xlws.FILTER(Targets!H:H, Targets!A:A =A348), 0)), "yes", "no")</f>
        <v>yes</v>
      </c>
      <c r="L348" s="43" t="str">
        <f>IF(K348="no", "No transport target", IF(AND(COUNTIFS(Targets!A:A, A348, Targets!H:H, "Transport sector mitigation target", Targets!J:J, "GHG") &gt; 0, COUNTIFS(Targets!A:A, A348, Targets!H:H, "Transport sector mitigation target", Targets!J:J, "Non GHG") &gt; 0), "GHG and non-GHG target", IF(COUNTIFS(Targets!A:A, A348, Targets!H:H, "Transport sector mitigation target", Targets!J:J, "GHG") &gt; 0, "GHG target", IF(COUNTIFS(Targets!A:A, A348, Targets!H:H, "Transport sector mitigation target", Targets!J:J, "Non GHG") &gt; 0, "non-GHG target", ""))))</f>
        <v>non-GHG target</v>
      </c>
      <c r="M348" s="43" t="str">
        <f>IF(K348="no","No transport target",IF(L348="non-GHG target","No GHG transport target",IF(AND(COUNTIFS(Targets!A:A,A348,Targets!H:H,"Transport sector mitigation target",Targets!J:J,"GHG",Targets!L:L,"Conditional")&gt;0,COUNTIFS(Targets!A:A,A348,Targets!H:H,"Transport sector mitigation target",Targets!J:J,"GHG",Targets!L:L,"Unconditional")&gt;0),"GHG unconditional and conditional",IF(COUNTIFS(Targets!A:A,A348,Targets!H:H,"Transport sector mitigation target",Targets!J:J,"GHG",Targets!L:L,"Conditional")&gt;0,"GHG conditional only",IF(COUNTIFS(Targets!A:A,A348,Targets!H:H,"Transport sector mitigation target",Targets!J:J,"GHG",Targets!L:L,"Unconditional")&gt;0,"GHG unconditional only",IF(COUNTIFS(Targets!A:A,A348,Targets!H:H,"Transport sector mitigation target",Targets!J:J,"GHG",Targets!L:L,"Unclear conditionality")&gt;0,"Conditionality unclear",""))))))</f>
        <v>No GHG transport target</v>
      </c>
      <c r="N348" s="43" t="str" cm="1">
        <f t="array" ref="N348">IF(ISNUMBER(MATCH("Transport sector adaptation target", _xlfn._xlws.FILTER(Targets!H:H, Targets!A:A =A348), 0)), "yes", "no")</f>
        <v>no</v>
      </c>
      <c r="O348" s="43" t="str">
        <f>IF(ISNA(MATCH(A348, Mitigation!A:A, 0)), "no", "yes")</f>
        <v>yes</v>
      </c>
      <c r="P348" s="43" t="str">
        <f>IF(ISNA(MATCH(A348, Adaptation!A:A, 0)), "no", "yes")</f>
        <v>no</v>
      </c>
      <c r="Q348" s="43" t="str">
        <f>IF(ISNA(MATCH(A348, Benefits!A:A, 0)), "no", "yes")</f>
        <v>no</v>
      </c>
      <c r="R348" s="43"/>
      <c r="S348" s="43"/>
      <c r="T348" s="43" t="s">
        <v>501</v>
      </c>
      <c r="U348" s="363" t="s">
        <v>863</v>
      </c>
      <c r="V348" s="233" t="str">
        <f>VLOOKUP(Table1[[#This Row],[Country Code]],Table29[],3,FALSE)</f>
        <v>Non-Annex I</v>
      </c>
      <c r="W348" s="233" t="str">
        <f>VLOOKUP(Table1[[#This Row],[Country Code]],Table29[],4,FALSE)</f>
        <v>Latin America and the Caribbean</v>
      </c>
      <c r="X348" s="233" t="str">
        <f>VLOOKUP(Table1[[#This Row],[Country Code]],Table29[],5,FALSE)</f>
        <v>Middle-income</v>
      </c>
      <c r="Y348" s="43"/>
      <c r="Z348" s="43"/>
    </row>
    <row r="349" spans="1:26" ht="15" customHeight="1" x14ac:dyDescent="0.25">
      <c r="A349" s="360">
        <v>23384</v>
      </c>
      <c r="B349" s="42" t="s">
        <v>260</v>
      </c>
      <c r="C349" s="243" t="str">
        <f>VLOOKUP(Table1[[#This Row],[Country Code]],Table29[],2,FALSE)</f>
        <v>Kyrgyzstan</v>
      </c>
      <c r="D349" s="243" t="str">
        <f t="shared" si="12"/>
        <v>Good</v>
      </c>
      <c r="E349" s="176" t="s">
        <v>71</v>
      </c>
      <c r="F349" s="43" t="s">
        <v>528</v>
      </c>
      <c r="G349" s="43" t="str">
        <f t="shared" si="13"/>
        <v>First NDC updated</v>
      </c>
      <c r="H349" s="43" t="s">
        <v>691</v>
      </c>
      <c r="I349" s="351">
        <v>44449</v>
      </c>
      <c r="J349" s="352" t="s">
        <v>505</v>
      </c>
      <c r="K349" s="320" t="str" cm="1">
        <f t="array" ref="K349">IF(ISNUMBER(MATCH("Transport sector mitigation target", _xlfn._xlws.FILTER(Targets!H:H, Targets!A:A =A349), 0)), "yes", "no")</f>
        <v>no</v>
      </c>
      <c r="L349" s="43" t="str">
        <f>IF(K349="no", "No transport target", IF(AND(COUNTIFS(Targets!A:A, A349, Targets!H:H, "Transport sector mitigation target", Targets!J:J, "GHG") &gt; 0, COUNTIFS(Targets!A:A, A349, Targets!H:H, "Transport sector mitigation target", Targets!J:J, "Non GHG") &gt; 0), "GHG and non-GHG target", IF(COUNTIFS(Targets!A:A, A349, Targets!H:H, "Transport sector mitigation target", Targets!J:J, "GHG") &gt; 0, "GHG target", IF(COUNTIFS(Targets!A:A, A349, Targets!H:H, "Transport sector mitigation target", Targets!J:J, "Non GHG") &gt; 0, "non-GHG target", ""))))</f>
        <v>No transport target</v>
      </c>
      <c r="M349" s="43" t="str">
        <f>IF(K349="no","No transport target",IF(L349="non-GHG target","No GHG transport target",IF(AND(COUNTIFS(Targets!A:A,A349,Targets!H:H,"Transport sector mitigation target",Targets!J:J,"GHG",Targets!L:L,"Conditional")&gt;0,COUNTIFS(Targets!A:A,A349,Targets!H:H,"Transport sector mitigation target",Targets!J:J,"GHG",Targets!L:L,"Unconditional")&gt;0),"GHG unconditional and conditional",IF(COUNTIFS(Targets!A:A,A349,Targets!H:H,"Transport sector mitigation target",Targets!J:J,"GHG",Targets!L:L,"Conditional")&gt;0,"GHG conditional only",IF(COUNTIFS(Targets!A:A,A349,Targets!H:H,"Transport sector mitigation target",Targets!J:J,"GHG",Targets!L:L,"Unconditional")&gt;0,"GHG unconditional only",IF(COUNTIFS(Targets!A:A,A349,Targets!H:H,"Transport sector mitigation target",Targets!J:J,"GHG",Targets!L:L,"Unclear conditionality")&gt;0,"Conditionality unclear",""))))))</f>
        <v>No transport target</v>
      </c>
      <c r="N349" s="43" t="str" cm="1">
        <f t="array" ref="N349">IF(ISNUMBER(MATCH("Transport sector adaptation target", _xlfn._xlws.FILTER(Targets!H:H, Targets!A:A =A349), 0)), "yes", "no")</f>
        <v>no</v>
      </c>
      <c r="O349" s="43" t="str">
        <f>IF(ISNA(MATCH(A349, Mitigation!A:A, 0)), "no", "yes")</f>
        <v>yes</v>
      </c>
      <c r="P349" s="43" t="str">
        <f>IF(ISNA(MATCH(A349, Adaptation!A:A, 0)), "no", "yes")</f>
        <v>no</v>
      </c>
      <c r="Q349" s="43" t="str">
        <f>IF(ISNA(MATCH(A349, Benefits!A:A, 0)), "no", "yes")</f>
        <v>no</v>
      </c>
      <c r="R349" s="43"/>
      <c r="S349" s="43"/>
      <c r="T349" s="43" t="s">
        <v>501</v>
      </c>
      <c r="U349" s="312" t="s">
        <v>864</v>
      </c>
      <c r="V349" s="233" t="str">
        <f>VLOOKUP(Table1[[#This Row],[Country Code]],Table29[],3,FALSE)</f>
        <v>Non-Annex I</v>
      </c>
      <c r="W349" s="233" t="str">
        <f>VLOOKUP(Table1[[#This Row],[Country Code]],Table29[],4,FALSE)</f>
        <v>Asia</v>
      </c>
      <c r="X349" s="233" t="str">
        <f>VLOOKUP(Table1[[#This Row],[Country Code]],Table29[],5,FALSE)</f>
        <v>Middle-income</v>
      </c>
      <c r="Y349" s="43"/>
      <c r="Z349" s="43"/>
    </row>
    <row r="350" spans="1:26" ht="15" customHeight="1" x14ac:dyDescent="0.25">
      <c r="A350" s="360">
        <v>21964</v>
      </c>
      <c r="B350" s="43" t="s">
        <v>213</v>
      </c>
      <c r="C350" s="243" t="str">
        <f>VLOOKUP(Table1[[#This Row],[Country Code]],Table29[],2,FALSE)</f>
        <v>Guinea</v>
      </c>
      <c r="D350" s="243" t="str">
        <f t="shared" si="12"/>
        <v>Good</v>
      </c>
      <c r="E350" s="176" t="s">
        <v>71</v>
      </c>
      <c r="F350" s="43" t="s">
        <v>528</v>
      </c>
      <c r="G350" s="43" t="str">
        <f t="shared" si="13"/>
        <v>First NDC updated</v>
      </c>
      <c r="H350" s="43" t="s">
        <v>691</v>
      </c>
      <c r="I350" s="351">
        <v>44405</v>
      </c>
      <c r="J350" s="352" t="s">
        <v>505</v>
      </c>
      <c r="K350" s="320" t="str" cm="1">
        <f t="array" ref="K350">IF(ISNUMBER(MATCH("Transport sector mitigation target", _xlfn._xlws.FILTER(Targets!H:H, Targets!A:A =A350), 0)), "yes", "no")</f>
        <v>yes</v>
      </c>
      <c r="L350" s="43" t="str">
        <f>IF(K350="no", "No transport target", IF(AND(COUNTIFS(Targets!A:A, A350, Targets!H:H, "Transport sector mitigation target", Targets!J:J, "GHG") &gt; 0, COUNTIFS(Targets!A:A, A350, Targets!H:H, "Transport sector mitigation target", Targets!J:J, "Non GHG") &gt; 0), "GHG and non-GHG target", IF(COUNTIFS(Targets!A:A, A350, Targets!H:H, "Transport sector mitigation target", Targets!J:J, "GHG") &gt; 0, "GHG target", IF(COUNTIFS(Targets!A:A, A350, Targets!H:H, "Transport sector mitigation target", Targets!J:J, "Non GHG") &gt; 0, "non-GHG target", ""))))</f>
        <v>GHG and non-GHG target</v>
      </c>
      <c r="M350" s="43" t="str">
        <f>IF(K350="no","No transport target",IF(L350="non-GHG target","No GHG transport target",IF(AND(COUNTIFS(Targets!A:A,A350,Targets!H:H,"Transport sector mitigation target",Targets!J:J,"GHG",Targets!L:L,"Conditional")&gt;0,COUNTIFS(Targets!A:A,A350,Targets!H:H,"Transport sector mitigation target",Targets!J:J,"GHG",Targets!L:L,"Unconditional")&gt;0),"GHG unconditional and conditional",IF(COUNTIFS(Targets!A:A,A350,Targets!H:H,"Transport sector mitigation target",Targets!J:J,"GHG",Targets!L:L,"Conditional")&gt;0,"GHG conditional only",IF(COUNTIFS(Targets!A:A,A350,Targets!H:H,"Transport sector mitigation target",Targets!J:J,"GHG",Targets!L:L,"Unconditional")&gt;0,"GHG unconditional only",IF(COUNTIFS(Targets!A:A,A350,Targets!H:H,"Transport sector mitigation target",Targets!J:J,"GHG",Targets!L:L,"Unclear conditionality")&gt;0,"Conditionality unclear",""))))))</f>
        <v>GHG unconditional and conditional</v>
      </c>
      <c r="N350" s="43" t="str" cm="1">
        <f t="array" ref="N350">IF(ISNUMBER(MATCH("Transport sector adaptation target", _xlfn._xlws.FILTER(Targets!H:H, Targets!A:A =A350), 0)), "yes", "no")</f>
        <v>no</v>
      </c>
      <c r="O350" s="43" t="str">
        <f>IF(ISNA(MATCH(A350, Mitigation!A:A, 0)), "no", "yes")</f>
        <v>yes</v>
      </c>
      <c r="P350" s="43" t="str">
        <f>IF(ISNA(MATCH(A350, Adaptation!A:A, 0)), "no", "yes")</f>
        <v>no</v>
      </c>
      <c r="Q350" s="43" t="str">
        <f>IF(ISNA(MATCH(A350, Benefits!A:A, 0)), "no", "yes")</f>
        <v>no</v>
      </c>
      <c r="R350" s="43"/>
      <c r="S350" s="43"/>
      <c r="T350" s="43" t="s">
        <v>501</v>
      </c>
      <c r="U350" s="312" t="s">
        <v>865</v>
      </c>
      <c r="V350" s="233" t="str">
        <f>VLOOKUP(Table1[[#This Row],[Country Code]],Table29[],3,FALSE)</f>
        <v>Non-Annex I</v>
      </c>
      <c r="W350" s="233" t="str">
        <f>VLOOKUP(Table1[[#This Row],[Country Code]],Table29[],4,FALSE)</f>
        <v>Africa</v>
      </c>
      <c r="X350" s="233" t="str">
        <f>VLOOKUP(Table1[[#This Row],[Country Code]],Table29[],5,FALSE)</f>
        <v>Low-income</v>
      </c>
      <c r="Y350" s="43"/>
      <c r="Z350" s="43"/>
    </row>
    <row r="351" spans="1:26" ht="15" customHeight="1" x14ac:dyDescent="0.25">
      <c r="A351" s="360">
        <v>39444</v>
      </c>
      <c r="B351" s="43" t="s">
        <v>201</v>
      </c>
      <c r="C351" s="243" t="str">
        <f>VLOOKUP(Table1[[#This Row],[Country Code]],Table29[],2,FALSE)</f>
        <v>Georgia</v>
      </c>
      <c r="D351" s="243" t="str">
        <f t="shared" si="12"/>
        <v>Good</v>
      </c>
      <c r="E351" s="176" t="s">
        <v>227</v>
      </c>
      <c r="F351" s="43" t="s">
        <v>227</v>
      </c>
      <c r="G351" s="43" t="str">
        <f t="shared" si="13"/>
        <v>LTS</v>
      </c>
      <c r="H351" s="350" t="s">
        <v>636</v>
      </c>
      <c r="I351" s="355">
        <v>45132</v>
      </c>
      <c r="J351" s="352" t="s">
        <v>505</v>
      </c>
      <c r="K351" s="320" t="str" cm="1">
        <f t="array" ref="K351">IF(ISNUMBER(MATCH("Transport sector mitigation target", _xlfn._xlws.FILTER(Targets!H:H, Targets!A:A =A351), 0)), "yes", "no")</f>
        <v>no</v>
      </c>
      <c r="L351" s="43" t="str">
        <f>IF(K351="no", "No transport target", IF(AND(COUNTIFS(Targets!A:A, A351, Targets!H:H, "Transport sector mitigation target", Targets!J:J, "GHG") &gt; 0, COUNTIFS(Targets!A:A, A351, Targets!H:H, "Transport sector mitigation target", Targets!J:J, "Non GHG") &gt; 0), "GHG and non-GHG target", IF(COUNTIFS(Targets!A:A, A351, Targets!H:H, "Transport sector mitigation target", Targets!J:J, "GHG") &gt; 0, "GHG target", IF(COUNTIFS(Targets!A:A, A351, Targets!H:H, "Transport sector mitigation target", Targets!J:J, "Non GHG") &gt; 0, "non-GHG target", ""))))</f>
        <v>No transport target</v>
      </c>
      <c r="M351" s="43" t="str">
        <f>IF(K351="no","No transport target",IF(L351="non-GHG target","No GHG transport target",IF(AND(COUNTIFS(Targets!A:A,A351,Targets!H:H,"Transport sector mitigation target",Targets!J:J,"GHG",Targets!L:L,"Conditional")&gt;0,COUNTIFS(Targets!A:A,A351,Targets!H:H,"Transport sector mitigation target",Targets!J:J,"GHG",Targets!L:L,"Unconditional")&gt;0),"GHG unconditional and conditional",IF(COUNTIFS(Targets!A:A,A351,Targets!H:H,"Transport sector mitigation target",Targets!J:J,"GHG",Targets!L:L,"Conditional")&gt;0,"GHG conditional only",IF(COUNTIFS(Targets!A:A,A351,Targets!H:H,"Transport sector mitigation target",Targets!J:J,"GHG",Targets!L:L,"Unconditional")&gt;0,"GHG unconditional only",IF(COUNTIFS(Targets!A:A,A351,Targets!H:H,"Transport sector mitigation target",Targets!J:J,"GHG",Targets!L:L,"Unclear conditionality")&gt;0,"Conditionality unclear",""))))))</f>
        <v>No transport target</v>
      </c>
      <c r="N351" s="43" t="str" cm="1">
        <f t="array" ref="N351">IF(ISNUMBER(MATCH("Transport sector adaptation target", _xlfn._xlws.FILTER(Targets!H:H, Targets!A:A =A351), 0)), "yes", "no")</f>
        <v>no</v>
      </c>
      <c r="O351" s="43" t="str">
        <f>IF(ISNA(MATCH(A351, Mitigation!A:A, 0)), "no", "yes")</f>
        <v>yes</v>
      </c>
      <c r="P351" s="43" t="str">
        <f>IF(ISNA(MATCH(A351, Adaptation!A:A, 0)), "no", "yes")</f>
        <v>no</v>
      </c>
      <c r="Q351" s="43" t="str">
        <f>IF(ISNA(MATCH(A351, Benefits!A:A, 0)), "no", "yes")</f>
        <v>no</v>
      </c>
      <c r="R351" s="43"/>
      <c r="S351" s="43"/>
      <c r="T351" s="43" t="s">
        <v>501</v>
      </c>
      <c r="U351" s="356" t="s">
        <v>866</v>
      </c>
      <c r="V351" s="233" t="str">
        <f>VLOOKUP(Table1[[#This Row],[Country Code]],Table29[],3,FALSE)</f>
        <v>Non-Annex I</v>
      </c>
      <c r="W351" s="233" t="str">
        <f>VLOOKUP(Table1[[#This Row],[Country Code]],Table29[],4,FALSE)</f>
        <v>Asia</v>
      </c>
      <c r="X351" s="233" t="str">
        <f>VLOOKUP(Table1[[#This Row],[Country Code]],Table29[],5,FALSE)</f>
        <v>Middle-income</v>
      </c>
      <c r="Y351" s="43" t="s">
        <v>766</v>
      </c>
      <c r="Z351" s="43"/>
    </row>
    <row r="352" spans="1:26" ht="15" customHeight="1" x14ac:dyDescent="0.25">
      <c r="A352" s="360">
        <v>26799</v>
      </c>
      <c r="B352" s="45" t="s">
        <v>219</v>
      </c>
      <c r="C352" s="243" t="str">
        <f>VLOOKUP(Table1[[#This Row],[Country Code]],Table29[],2,FALSE)</f>
        <v>Haiti</v>
      </c>
      <c r="D352" s="243" t="str">
        <f t="shared" si="12"/>
        <v>Good</v>
      </c>
      <c r="E352" s="176" t="s">
        <v>71</v>
      </c>
      <c r="F352" s="43" t="s">
        <v>528</v>
      </c>
      <c r="G352" s="43" t="str">
        <f t="shared" si="13"/>
        <v>First NDC updated</v>
      </c>
      <c r="H352" s="43" t="s">
        <v>691</v>
      </c>
      <c r="I352" s="355">
        <v>44713</v>
      </c>
      <c r="J352" s="352" t="s">
        <v>505</v>
      </c>
      <c r="K352" s="320" t="str" cm="1">
        <f t="array" ref="K352">IF(ISNUMBER(MATCH("Transport sector mitigation target", _xlfn._xlws.FILTER(Targets!H:H, Targets!A:A =A352), 0)), "yes", "no")</f>
        <v>yes</v>
      </c>
      <c r="L352" s="43" t="str">
        <f>IF(K352="no", "No transport target", IF(AND(COUNTIFS(Targets!A:A, A352, Targets!H:H, "Transport sector mitigation target", Targets!J:J, "GHG") &gt; 0, COUNTIFS(Targets!A:A, A352, Targets!H:H, "Transport sector mitigation target", Targets!J:J, "Non GHG") &gt; 0), "GHG and non-GHG target", IF(COUNTIFS(Targets!A:A, A352, Targets!H:H, "Transport sector mitigation target", Targets!J:J, "GHG") &gt; 0, "GHG target", IF(COUNTIFS(Targets!A:A, A352, Targets!H:H, "Transport sector mitigation target", Targets!J:J, "Non GHG") &gt; 0, "non-GHG target", ""))))</f>
        <v>non-GHG target</v>
      </c>
      <c r="M352" s="43" t="str">
        <f>IF(K352="no","No transport target",IF(L352="non-GHG target","No GHG transport target",IF(AND(COUNTIFS(Targets!A:A,A352,Targets!H:H,"Transport sector mitigation target",Targets!J:J,"GHG",Targets!L:L,"Conditional")&gt;0,COUNTIFS(Targets!A:A,A352,Targets!H:H,"Transport sector mitigation target",Targets!J:J,"GHG",Targets!L:L,"Unconditional")&gt;0),"GHG unconditional and conditional",IF(COUNTIFS(Targets!A:A,A352,Targets!H:H,"Transport sector mitigation target",Targets!J:J,"GHG",Targets!L:L,"Conditional")&gt;0,"GHG conditional only",IF(COUNTIFS(Targets!A:A,A352,Targets!H:H,"Transport sector mitigation target",Targets!J:J,"GHG",Targets!L:L,"Unconditional")&gt;0,"GHG unconditional only",IF(COUNTIFS(Targets!A:A,A352,Targets!H:H,"Transport sector mitigation target",Targets!J:J,"GHG",Targets!L:L,"Unclear conditionality")&gt;0,"Conditionality unclear",""))))))</f>
        <v>No GHG transport target</v>
      </c>
      <c r="N352" s="43" t="str" cm="1">
        <f t="array" ref="N352">IF(ISNUMBER(MATCH("Transport sector adaptation target", _xlfn._xlws.FILTER(Targets!H:H, Targets!A:A =A352), 0)), "yes", "no")</f>
        <v>no</v>
      </c>
      <c r="O352" s="43" t="str">
        <f>IF(ISNA(MATCH(A352, Mitigation!A:A, 0)), "no", "yes")</f>
        <v>yes</v>
      </c>
      <c r="P352" s="43" t="str">
        <f>IF(ISNA(MATCH(A352, Adaptation!A:A, 0)), "no", "yes")</f>
        <v>no</v>
      </c>
      <c r="Q352" s="43" t="str">
        <f>IF(ISNA(MATCH(A352, Benefits!A:A, 0)), "no", "yes")</f>
        <v>yes</v>
      </c>
      <c r="R352" s="43"/>
      <c r="S352" s="43"/>
      <c r="T352" s="43" t="s">
        <v>501</v>
      </c>
      <c r="U352" s="312" t="s">
        <v>867</v>
      </c>
      <c r="V352" s="233" t="str">
        <f>VLOOKUP(Table1[[#This Row],[Country Code]],Table29[],3,FALSE)</f>
        <v>Non-Annex I</v>
      </c>
      <c r="W352" s="233" t="str">
        <f>VLOOKUP(Table1[[#This Row],[Country Code]],Table29[],4,FALSE)</f>
        <v>Latin America and the Caribbean</v>
      </c>
      <c r="X352" s="233" t="str">
        <f>VLOOKUP(Table1[[#This Row],[Country Code]],Table29[],5,FALSE)</f>
        <v>Middle-income</v>
      </c>
      <c r="Y352" s="43"/>
      <c r="Z352" s="43"/>
    </row>
    <row r="353" spans="1:26" ht="15" customHeight="1" x14ac:dyDescent="0.25">
      <c r="A353" s="405">
        <v>22274</v>
      </c>
      <c r="B353" s="19" t="s">
        <v>470</v>
      </c>
      <c r="C353" s="206" t="str">
        <f>VLOOKUP(Table1[[#This Row],[Country Code]],Table29[],2,FALSE)</f>
        <v>Zimbabwe</v>
      </c>
      <c r="D353" s="243" t="str">
        <f t="shared" si="12"/>
        <v>Good</v>
      </c>
      <c r="E353" s="20" t="s">
        <v>71</v>
      </c>
      <c r="F353" s="17" t="s">
        <v>528</v>
      </c>
      <c r="G353" s="43" t="str">
        <f t="shared" si="13"/>
        <v>First NDC updated</v>
      </c>
      <c r="H353" s="17" t="s">
        <v>691</v>
      </c>
      <c r="I353" s="149">
        <v>44463</v>
      </c>
      <c r="J353" s="187" t="s">
        <v>500</v>
      </c>
      <c r="K353" s="49" t="str" cm="1">
        <f t="array" ref="K353">IF(ISNUMBER(MATCH("Transport sector mitigation target", _xlfn._xlws.FILTER(Targets!H:H, Targets!A:A =A353), 0)), "yes", "no")</f>
        <v>yes</v>
      </c>
      <c r="L353" s="17" t="str">
        <f>IF(K353="no", "No transport target", IF(AND(COUNTIFS(Targets!A:A, A353, Targets!H:H, "Transport sector mitigation target", Targets!J:J, "GHG") &gt; 0, COUNTIFS(Targets!A:A, A353, Targets!H:H, "Transport sector mitigation target", Targets!J:J, "Non GHG") &gt; 0), "GHG and non-GHG target", IF(COUNTIFS(Targets!A:A, A353, Targets!H:H, "Transport sector mitigation target", Targets!J:J, "GHG") &gt; 0, "GHG target", IF(COUNTIFS(Targets!A:A, A353, Targets!H:H, "Transport sector mitigation target", Targets!J:J, "Non GHG") &gt; 0, "non-GHG target", ""))))</f>
        <v>non-GHG target</v>
      </c>
      <c r="M353" s="17" t="str">
        <f>IF(K353="no","No transport target",IF(L353="non-GHG target","No GHG transport target",IF(AND(COUNTIFS(Targets!A:A,A353,Targets!H:H,"Transport sector mitigation target",Targets!J:J,"GHG",Targets!L:L,"Conditional")&gt;0,COUNTIFS(Targets!A:A,A353,Targets!H:H,"Transport sector mitigation target",Targets!J:J,"GHG",Targets!L:L,"Unconditional")&gt;0),"GHG unconditional and conditional",IF(COUNTIFS(Targets!A:A,A353,Targets!H:H,"Transport sector mitigation target",Targets!J:J,"GHG",Targets!L:L,"Conditional")&gt;0,"GHG conditional only",IF(COUNTIFS(Targets!A:A,A353,Targets!H:H,"Transport sector mitigation target",Targets!J:J,"GHG",Targets!L:L,"Unconditional")&gt;0,"GHG unconditional only",IF(COUNTIFS(Targets!A:A,A353,Targets!H:H,"Transport sector mitigation target",Targets!J:J,"GHG",Targets!L:L,"Unclear conditionality")&gt;0,"Conditionality unclear",""))))))</f>
        <v>No GHG transport target</v>
      </c>
      <c r="N353" s="17" t="str" cm="1">
        <f t="array" ref="N353">IF(ISNUMBER(MATCH("Transport sector adaptation target", _xlfn._xlws.FILTER(Targets!H:H, Targets!A:A =A353), 0)), "yes", "no")</f>
        <v>no</v>
      </c>
      <c r="O353" s="17" t="str">
        <f>IF(ISNA(MATCH(A353, Mitigation!A:A, 0)), "no", "yes")</f>
        <v>yes</v>
      </c>
      <c r="P353" s="17" t="str">
        <f>IF(ISNA(MATCH(A353, Adaptation!A:A, 0)), "no", "yes")</f>
        <v>yes</v>
      </c>
      <c r="Q353" s="17" t="str">
        <f>IF(ISNA(MATCH(A353, Benefits!A:A, 0)), "no", "yes")</f>
        <v>yes</v>
      </c>
      <c r="R353" s="17"/>
      <c r="S353" s="17"/>
      <c r="T353" s="17" t="s">
        <v>501</v>
      </c>
      <c r="U353" s="135" t="s">
        <v>868</v>
      </c>
      <c r="V353" s="207" t="str">
        <f>VLOOKUP(Table1[[#This Row],[Country Code]],Table29[],3,FALSE)</f>
        <v>Non-Annex I</v>
      </c>
      <c r="W353" s="207" t="str">
        <f>VLOOKUP(Table1[[#This Row],[Country Code]],Table29[],4,FALSE)</f>
        <v>Africa</v>
      </c>
      <c r="X353" s="207" t="str">
        <f>VLOOKUP(Table1[[#This Row],[Country Code]],Table29[],5,FALSE)</f>
        <v>Middle-income</v>
      </c>
      <c r="Y353" s="17"/>
      <c r="Z353" s="17"/>
    </row>
    <row r="354" spans="1:26" s="381" customFormat="1" ht="15" customHeight="1" x14ac:dyDescent="0.25">
      <c r="A354" s="360">
        <v>42010</v>
      </c>
      <c r="B354" s="43" t="s">
        <v>284</v>
      </c>
      <c r="C354" s="233" t="s">
        <v>285</v>
      </c>
      <c r="D354" s="243" t="str">
        <f t="shared" si="12"/>
        <v>Good</v>
      </c>
      <c r="E354" s="20" t="s">
        <v>748</v>
      </c>
      <c r="F354" s="17" t="s">
        <v>748</v>
      </c>
      <c r="G354" s="43" t="str">
        <f t="shared" si="13"/>
        <v>National policy document</v>
      </c>
      <c r="H354" s="148" t="s">
        <v>52</v>
      </c>
      <c r="I354" s="163">
        <v>44466</v>
      </c>
      <c r="J354" s="187" t="s">
        <v>505</v>
      </c>
      <c r="K354" s="49" t="str" cm="1">
        <f t="array" ref="K354">IF(ISNUMBER(MATCH("Transport sector mitigation target", _xlfn._xlws.FILTER(Targets!H:H, Targets!A:A =A354), 0)), "yes", "no")</f>
        <v>no</v>
      </c>
      <c r="L354" s="17" t="str">
        <f>IF(K354="no", "No transport target", IF(AND(COUNTIFS(Targets!A:A, A354, Targets!H:H, "Transport sector mitigation target", Targets!J:J, "GHG") &gt; 0, COUNTIFS(Targets!A:A, A354, Targets!H:H, "Transport sector mitigation target", Targets!J:J, "Non GHG") &gt; 0), "GHG and non-GHG target", IF(COUNTIFS(Targets!A:A, A354, Targets!H:H, "Transport sector mitigation target", Targets!J:J, "GHG") &gt; 0, "GHG target", IF(COUNTIFS(Targets!A:A, A354, Targets!H:H, "Transport sector mitigation target", Targets!J:J, "Non GHG") &gt; 0, "non-GHG target", ""))))</f>
        <v>No transport target</v>
      </c>
      <c r="M354" s="17" t="str">
        <f>IF(K354="no","No transport target",IF(L354="non-GHG target","No GHG transport target",IF(AND(COUNTIFS(Targets!A:A,A354,Targets!H:H,"Transport sector mitigation target",Targets!J:J,"GHG",Targets!L:L,"Conditional")&gt;0,COUNTIFS(Targets!A:A,A354,Targets!H:H,"Transport sector mitigation target",Targets!J:J,"GHG",Targets!L:L,"Unconditional")&gt;0),"GHG unconditional and conditional",IF(COUNTIFS(Targets!A:A,A354,Targets!H:H,"Transport sector mitigation target",Targets!J:J,"GHG",Targets!L:L,"Conditional")&gt;0,"GHG conditional only",IF(COUNTIFS(Targets!A:A,A354,Targets!H:H,"Transport sector mitigation target",Targets!J:J,"GHG",Targets!L:L,"Unconditional")&gt;0,"GHG unconditional only",IF(COUNTIFS(Targets!A:A,A354,Targets!H:H,"Transport sector mitigation target",Targets!J:J,"GHG",Targets!L:L,"Unclear conditionality")&gt;0,"Conditionality unclear",""))))))</f>
        <v>No transport target</v>
      </c>
      <c r="N354" s="17" t="str" cm="1">
        <f t="array" ref="N354">IF(ISNUMBER(MATCH("Transport sector adaptation target", _xlfn._xlws.FILTER(Targets!H:H, Targets!A:A =A354), 0)), "yes", "no")</f>
        <v>no</v>
      </c>
      <c r="O354" s="17" t="str">
        <f>IF(ISNA(MATCH(A354, Mitigation!A:A, 0)), "no", "yes")</f>
        <v>no</v>
      </c>
      <c r="P354" s="17" t="str">
        <f>IF(ISNA(MATCH(A354, Adaptation!A:A, 0)), "no", "yes")</f>
        <v>no</v>
      </c>
      <c r="Q354" s="17" t="str">
        <f>IF(ISNA(MATCH(A354, Benefits!A:A, 0)), "no", "yes")</f>
        <v>no</v>
      </c>
      <c r="R354" s="148"/>
      <c r="S354" s="148"/>
      <c r="T354" s="17" t="s">
        <v>501</v>
      </c>
      <c r="U354" s="169" t="s">
        <v>869</v>
      </c>
      <c r="V354" s="207" t="str">
        <f>VLOOKUP(Table1[[#This Row],[Country Code]],Table29[],3,FALSE)</f>
        <v>Non-Annex I</v>
      </c>
      <c r="W354" s="207" t="str">
        <f>VLOOKUP(Table1[[#This Row],[Country Code]],Table29[],4,FALSE)</f>
        <v>Asia</v>
      </c>
      <c r="X354" s="207" t="str">
        <f>VLOOKUP(Table1[[#This Row],[Country Code]],Table29[],5,FALSE)</f>
        <v>Middle-income</v>
      </c>
      <c r="Y354" s="43" t="s">
        <v>750</v>
      </c>
      <c r="Z354" s="17"/>
    </row>
    <row r="355" spans="1:26" ht="15" customHeight="1" x14ac:dyDescent="0.25">
      <c r="A355" s="405">
        <v>26789</v>
      </c>
      <c r="B355" s="19" t="s">
        <v>404</v>
      </c>
      <c r="C355" s="206" t="str">
        <f>VLOOKUP(Table1[[#This Row],[Country Code]],Table29[],2,FALSE)</f>
        <v>South Africa</v>
      </c>
      <c r="D355" s="243" t="str">
        <f t="shared" si="12"/>
        <v>Good</v>
      </c>
      <c r="E355" s="20" t="s">
        <v>71</v>
      </c>
      <c r="F355" s="17" t="s">
        <v>528</v>
      </c>
      <c r="G355" s="43" t="str">
        <f t="shared" si="13"/>
        <v>First NDC updated</v>
      </c>
      <c r="H355" s="17" t="s">
        <v>691</v>
      </c>
      <c r="I355" s="149">
        <v>44466</v>
      </c>
      <c r="J355" s="187" t="s">
        <v>505</v>
      </c>
      <c r="K355" s="49" t="str" cm="1">
        <f t="array" ref="K355">IF(ISNUMBER(MATCH("Transport sector mitigation target", _xlfn._xlws.FILTER(Targets!H:H, Targets!A:A =A355), 0)), "yes", "no")</f>
        <v>no</v>
      </c>
      <c r="L355" s="17" t="str">
        <f>IF(K355="no", "No transport target", IF(AND(COUNTIFS(Targets!A:A, A355, Targets!H:H, "Transport sector mitigation target", Targets!J:J, "GHG") &gt; 0, COUNTIFS(Targets!A:A, A355, Targets!H:H, "Transport sector mitigation target", Targets!J:J, "Non GHG") &gt; 0), "GHG and non-GHG target", IF(COUNTIFS(Targets!A:A, A355, Targets!H:H, "Transport sector mitigation target", Targets!J:J, "GHG") &gt; 0, "GHG target", IF(COUNTIFS(Targets!A:A, A355, Targets!H:H, "Transport sector mitigation target", Targets!J:J, "Non GHG") &gt; 0, "non-GHG target", ""))))</f>
        <v>No transport target</v>
      </c>
      <c r="M355" s="17" t="str">
        <f>IF(K355="no","No transport target",IF(L355="non-GHG target","No GHG transport target",IF(AND(COUNTIFS(Targets!A:A,A355,Targets!H:H,"Transport sector mitigation target",Targets!J:J,"GHG",Targets!L:L,"Conditional")&gt;0,COUNTIFS(Targets!A:A,A355,Targets!H:H,"Transport sector mitigation target",Targets!J:J,"GHG",Targets!L:L,"Unconditional")&gt;0),"GHG unconditional and conditional",IF(COUNTIFS(Targets!A:A,A355,Targets!H:H,"Transport sector mitigation target",Targets!J:J,"GHG",Targets!L:L,"Conditional")&gt;0,"GHG conditional only",IF(COUNTIFS(Targets!A:A,A355,Targets!H:H,"Transport sector mitigation target",Targets!J:J,"GHG",Targets!L:L,"Unconditional")&gt;0,"GHG unconditional only",IF(COUNTIFS(Targets!A:A,A355,Targets!H:H,"Transport sector mitigation target",Targets!J:J,"GHG",Targets!L:L,"Unclear conditionality")&gt;0,"Conditionality unclear",""))))))</f>
        <v>No transport target</v>
      </c>
      <c r="N355" s="17" t="str" cm="1">
        <f t="array" ref="N355">IF(ISNUMBER(MATCH("Transport sector adaptation target", _xlfn._xlws.FILTER(Targets!H:H, Targets!A:A =A355), 0)), "yes", "no")</f>
        <v>no</v>
      </c>
      <c r="O355" s="17" t="str">
        <f>IF(ISNA(MATCH(A355, Mitigation!A:A, 0)), "no", "yes")</f>
        <v>yes</v>
      </c>
      <c r="P355" s="17" t="str">
        <f>IF(ISNA(MATCH(A355, Adaptation!A:A, 0)), "no", "yes")</f>
        <v>yes</v>
      </c>
      <c r="Q355" s="17" t="str">
        <f>IF(ISNA(MATCH(A355, Benefits!A:A, 0)), "no", "yes")</f>
        <v>yes</v>
      </c>
      <c r="R355" s="17"/>
      <c r="S355" s="17"/>
      <c r="T355" s="17" t="s">
        <v>501</v>
      </c>
      <c r="U355" s="135" t="s">
        <v>870</v>
      </c>
      <c r="V355" s="207" t="str">
        <f>VLOOKUP(Table1[[#This Row],[Country Code]],Table29[],3,FALSE)</f>
        <v>Non-Annex I</v>
      </c>
      <c r="W355" s="207" t="str">
        <f>VLOOKUP(Table1[[#This Row],[Country Code]],Table29[],4,FALSE)</f>
        <v>Africa</v>
      </c>
      <c r="X355" s="207" t="str">
        <f>VLOOKUP(Table1[[#This Row],[Country Code]],Table29[],5,FALSE)</f>
        <v>Middle-income</v>
      </c>
      <c r="Y355" s="17"/>
      <c r="Z355" s="17"/>
    </row>
    <row r="356" spans="1:26" ht="15" customHeight="1" x14ac:dyDescent="0.25">
      <c r="A356" s="360">
        <v>41994</v>
      </c>
      <c r="B356" s="42" t="s">
        <v>446</v>
      </c>
      <c r="C356" s="243" t="str">
        <f>VLOOKUP(Table1[[#This Row],[Country Code]],Table29[],2,FALSE)</f>
        <v>United Arab Emirates</v>
      </c>
      <c r="D356" s="243" t="str">
        <f t="shared" si="12"/>
        <v>Good</v>
      </c>
      <c r="E356" s="20" t="s">
        <v>748</v>
      </c>
      <c r="F356" s="43" t="s">
        <v>871</v>
      </c>
      <c r="G356" s="43" t="str">
        <f t="shared" si="13"/>
        <v>UAE Net Zero by 2050 strategic initiative</v>
      </c>
      <c r="H356" s="350" t="s">
        <v>52</v>
      </c>
      <c r="I356" s="355">
        <v>44476</v>
      </c>
      <c r="J356" s="49" t="s">
        <v>505</v>
      </c>
      <c r="K356" s="49" t="str" cm="1">
        <f t="array" ref="K356">IF(ISNUMBER(MATCH("Transport sector mitigation target", _xlfn._xlws.FILTER(Targets!H:H, Targets!A:A =A356), 0)), "yes", "no")</f>
        <v>no</v>
      </c>
      <c r="L356" s="43" t="str">
        <f>IF(K356="no", "No transport target", IF(AND(COUNTIFS(Targets!A:A, A356, Targets!H:H, "Transport sector mitigation target", Targets!J:J, "GHG") &gt; 0, COUNTIFS(Targets!A:A, A356, Targets!H:H, "Transport sector mitigation target", Targets!J:J, "Non GHG") &gt; 0), "GHG and non-GHG target", IF(COUNTIFS(Targets!A:A, A356, Targets!H:H, "Transport sector mitigation target", Targets!J:J, "GHG") &gt; 0, "GHG target", IF(COUNTIFS(Targets!A:A, A356, Targets!H:H, "Transport sector mitigation target", Targets!J:J, "Non GHG") &gt; 0, "non-GHG target", ""))))</f>
        <v>No transport target</v>
      </c>
      <c r="M356" s="43" t="str">
        <f>IF(K356="no","No transport target",IF(L356="non-GHG target","No GHG transport target",IF(AND(COUNTIFS(Targets!A:A,A356,Targets!H:H,"Transport sector mitigation target",Targets!J:J,"GHG",Targets!L:L,"Conditional")&gt;0,COUNTIFS(Targets!A:A,A356,Targets!H:H,"Transport sector mitigation target",Targets!J:J,"GHG",Targets!L:L,"Unconditional")&gt;0),"GHG unconditional and conditional",IF(COUNTIFS(Targets!A:A,A356,Targets!H:H,"Transport sector mitigation target",Targets!J:J,"GHG",Targets!L:L,"Conditional")&gt;0,"GHG conditional only",IF(COUNTIFS(Targets!A:A,A356,Targets!H:H,"Transport sector mitigation target",Targets!J:J,"GHG",Targets!L:L,"Unconditional")&gt;0,"GHG unconditional only",IF(COUNTIFS(Targets!A:A,A356,Targets!H:H,"Transport sector mitigation target",Targets!J:J,"GHG",Targets!L:L,"Unclear conditionality")&gt;0,"Conditionality unclear",""))))))</f>
        <v>No transport target</v>
      </c>
      <c r="N356" s="43" t="str" cm="1">
        <f t="array" ref="N356">IF(ISNUMBER(MATCH("Transport sector adaptation target", _xlfn._xlws.FILTER(Targets!H:H, Targets!A:A =A356), 0)), "yes", "no")</f>
        <v>no</v>
      </c>
      <c r="O356" s="43" t="str">
        <f>IF(ISNA(MATCH(A356, Mitigation!A:A, 0)), "no", "yes")</f>
        <v>no</v>
      </c>
      <c r="P356" s="43" t="str">
        <f>IF(ISNA(MATCH(A356, Adaptation!A:A, 0)), "no", "yes")</f>
        <v>no</v>
      </c>
      <c r="Q356" s="43" t="str">
        <f>IF(ISNA(MATCH(A356, Benefits!A:A, 0)), "no", "yes")</f>
        <v>no</v>
      </c>
      <c r="R356" s="350"/>
      <c r="S356" s="350"/>
      <c r="T356" s="43" t="s">
        <v>501</v>
      </c>
      <c r="U356" s="169" t="s">
        <v>872</v>
      </c>
      <c r="V356" s="233" t="str">
        <f>VLOOKUP(Table1[[#This Row],[Country Code]],Table29[],3,FALSE)</f>
        <v>Non-Annex I</v>
      </c>
      <c r="W356" s="233" t="str">
        <f>VLOOKUP(Table1[[#This Row],[Country Code]],Table29[],4,FALSE)</f>
        <v>Asia</v>
      </c>
      <c r="X356" s="233" t="str">
        <f>VLOOKUP(Table1[[#This Row],[Country Code]],Table29[],5,FALSE)</f>
        <v>High-income</v>
      </c>
      <c r="Y356" s="43" t="s">
        <v>750</v>
      </c>
      <c r="Z356" s="43"/>
    </row>
    <row r="357" spans="1:26" ht="15" customHeight="1" x14ac:dyDescent="0.25">
      <c r="A357" s="360">
        <v>20477</v>
      </c>
      <c r="B357" s="43" t="s">
        <v>221</v>
      </c>
      <c r="C357" s="243" t="str">
        <f>VLOOKUP(Table1[[#This Row],[Country Code]],Table29[],2,FALSE)</f>
        <v>Honduras</v>
      </c>
      <c r="D357" s="243" t="str">
        <f t="shared" si="12"/>
        <v>Good</v>
      </c>
      <c r="E357" s="176" t="s">
        <v>71</v>
      </c>
      <c r="F357" s="43" t="s">
        <v>528</v>
      </c>
      <c r="G357" s="43" t="str">
        <f t="shared" si="13"/>
        <v>First NDC updated</v>
      </c>
      <c r="H357" s="43" t="s">
        <v>691</v>
      </c>
      <c r="I357" s="351">
        <v>44335</v>
      </c>
      <c r="J357" s="352" t="s">
        <v>505</v>
      </c>
      <c r="K357" s="320" t="str" cm="1">
        <f t="array" ref="K357">IF(ISNUMBER(MATCH("Transport sector mitigation target", _xlfn._xlws.FILTER(Targets!H:H, Targets!A:A =A357), 0)), "yes", "no")</f>
        <v>yes</v>
      </c>
      <c r="L357" s="43" t="str">
        <f>IF(K357="no", "No transport target", IF(AND(COUNTIFS(Targets!A:A, A357, Targets!H:H, "Transport sector mitigation target", Targets!J:J, "GHG") &gt; 0, COUNTIFS(Targets!A:A, A357, Targets!H:H, "Transport sector mitigation target", Targets!J:J, "Non GHG") &gt; 0), "GHG and non-GHG target", IF(COUNTIFS(Targets!A:A, A357, Targets!H:H, "Transport sector mitigation target", Targets!J:J, "GHG") &gt; 0, "GHG target", IF(COUNTIFS(Targets!A:A, A357, Targets!H:H, "Transport sector mitigation target", Targets!J:J, "Non GHG") &gt; 0, "non-GHG target", ""))))</f>
        <v>non-GHG target</v>
      </c>
      <c r="M357" s="43" t="str">
        <f>IF(K357="no","No transport target",IF(L357="non-GHG target","No GHG transport target",IF(AND(COUNTIFS(Targets!A:A,A357,Targets!H:H,"Transport sector mitigation target",Targets!J:J,"GHG",Targets!L:L,"Conditional")&gt;0,COUNTIFS(Targets!A:A,A357,Targets!H:H,"Transport sector mitigation target",Targets!J:J,"GHG",Targets!L:L,"Unconditional")&gt;0),"GHG unconditional and conditional",IF(COUNTIFS(Targets!A:A,A357,Targets!H:H,"Transport sector mitigation target",Targets!J:J,"GHG",Targets!L:L,"Conditional")&gt;0,"GHG conditional only",IF(COUNTIFS(Targets!A:A,A357,Targets!H:H,"Transport sector mitigation target",Targets!J:J,"GHG",Targets!L:L,"Unconditional")&gt;0,"GHG unconditional only",IF(COUNTIFS(Targets!A:A,A357,Targets!H:H,"Transport sector mitigation target",Targets!J:J,"GHG",Targets!L:L,"Unclear conditionality")&gt;0,"Conditionality unclear",""))))))</f>
        <v>No GHG transport target</v>
      </c>
      <c r="N357" s="43" t="str" cm="1">
        <f t="array" ref="N357">IF(ISNUMBER(MATCH("Transport sector adaptation target", _xlfn._xlws.FILTER(Targets!H:H, Targets!A:A =A357), 0)), "yes", "no")</f>
        <v>no</v>
      </c>
      <c r="O357" s="43" t="str">
        <f>IF(ISNA(MATCH(A357, Mitigation!A:A, 0)), "no", "yes")</f>
        <v>yes</v>
      </c>
      <c r="P357" s="43" t="str">
        <f>IF(ISNA(MATCH(A357, Adaptation!A:A, 0)), "no", "yes")</f>
        <v>no</v>
      </c>
      <c r="Q357" s="43" t="str">
        <f>IF(ISNA(MATCH(A357, Benefits!A:A, 0)), "no", "yes")</f>
        <v>yes</v>
      </c>
      <c r="R357" s="43"/>
      <c r="S357" s="43"/>
      <c r="T357" s="43" t="s">
        <v>501</v>
      </c>
      <c r="U357" s="312" t="s">
        <v>873</v>
      </c>
      <c r="V357" s="233" t="str">
        <f>VLOOKUP(Table1[[#This Row],[Country Code]],Table29[],3,FALSE)</f>
        <v>Non-Annex I</v>
      </c>
      <c r="W357" s="233" t="str">
        <f>VLOOKUP(Table1[[#This Row],[Country Code]],Table29[],4,FALSE)</f>
        <v>Latin America and the Caribbean</v>
      </c>
      <c r="X357" s="233" t="str">
        <f>VLOOKUP(Table1[[#This Row],[Country Code]],Table29[],5,FALSE)</f>
        <v>Middle-income</v>
      </c>
      <c r="Y357" s="43"/>
      <c r="Z357" s="43"/>
    </row>
    <row r="358" spans="1:26" ht="15" customHeight="1" x14ac:dyDescent="0.25">
      <c r="A358" s="360">
        <v>26780</v>
      </c>
      <c r="B358" s="42" t="s">
        <v>225</v>
      </c>
      <c r="C358" s="243" t="str">
        <f>VLOOKUP(Table1[[#This Row],[Country Code]],Table29[],2,FALSE)</f>
        <v>Iceland</v>
      </c>
      <c r="D358" s="243" t="str">
        <f t="shared" si="12"/>
        <v>Good</v>
      </c>
      <c r="E358" s="176" t="s">
        <v>227</v>
      </c>
      <c r="F358" s="43" t="s">
        <v>227</v>
      </c>
      <c r="G358" s="43" t="str">
        <f t="shared" si="13"/>
        <v>LTS</v>
      </c>
      <c r="H358" s="43" t="s">
        <v>636</v>
      </c>
      <c r="I358" s="351">
        <v>44497</v>
      </c>
      <c r="J358" s="352" t="s">
        <v>505</v>
      </c>
      <c r="K358" s="320" t="str" cm="1">
        <f t="array" ref="K358">IF(ISNUMBER(MATCH("Transport sector mitigation target", _xlfn._xlws.FILTER(Targets!H:H, Targets!A:A =A358), 0)), "yes", "no")</f>
        <v>yes</v>
      </c>
      <c r="L358" s="43" t="str">
        <f>IF(K358="no", "No transport target", IF(AND(COUNTIFS(Targets!A:A, A358, Targets!H:H, "Transport sector mitigation target", Targets!J:J, "GHG") &gt; 0, COUNTIFS(Targets!A:A, A358, Targets!H:H, "Transport sector mitigation target", Targets!J:J, "Non GHG") &gt; 0), "GHG and non-GHG target", IF(COUNTIFS(Targets!A:A, A358, Targets!H:H, "Transport sector mitigation target", Targets!J:J, "GHG") &gt; 0, "GHG target", IF(COUNTIFS(Targets!A:A, A358, Targets!H:H, "Transport sector mitigation target", Targets!J:J, "Non GHG") &gt; 0, "non-GHG target", ""))))</f>
        <v>non-GHG target</v>
      </c>
      <c r="M358" s="43" t="str">
        <f>IF(K358="no","No transport target",IF(L358="non-GHG target","No GHG transport target",IF(AND(COUNTIFS(Targets!A:A,A358,Targets!H:H,"Transport sector mitigation target",Targets!J:J,"GHG",Targets!L:L,"Conditional")&gt;0,COUNTIFS(Targets!A:A,A358,Targets!H:H,"Transport sector mitigation target",Targets!J:J,"GHG",Targets!L:L,"Unconditional")&gt;0),"GHG unconditional and conditional",IF(COUNTIFS(Targets!A:A,A358,Targets!H:H,"Transport sector mitigation target",Targets!J:J,"GHG",Targets!L:L,"Conditional")&gt;0,"GHG conditional only",IF(COUNTIFS(Targets!A:A,A358,Targets!H:H,"Transport sector mitigation target",Targets!J:J,"GHG",Targets!L:L,"Unconditional")&gt;0,"GHG unconditional only",IF(COUNTIFS(Targets!A:A,A358,Targets!H:H,"Transport sector mitigation target",Targets!J:J,"GHG",Targets!L:L,"Unclear conditionality")&gt;0,"Conditionality unclear",""))))))</f>
        <v>No GHG transport target</v>
      </c>
      <c r="N358" s="43" t="str" cm="1">
        <f t="array" ref="N358">IF(ISNUMBER(MATCH("Transport sector adaptation target", _xlfn._xlws.FILTER(Targets!H:H, Targets!A:A =A358), 0)), "yes", "no")</f>
        <v>no</v>
      </c>
      <c r="O358" s="43" t="str">
        <f>IF(ISNA(MATCH(A358, Mitigation!A:A, 0)), "no", "yes")</f>
        <v>yes</v>
      </c>
      <c r="P358" s="43" t="str">
        <f>IF(ISNA(MATCH(A358, Adaptation!A:A, 0)), "no", "yes")</f>
        <v>no</v>
      </c>
      <c r="Q358" s="43" t="str">
        <f>IF(ISNA(MATCH(A358, Benefits!A:A, 0)), "no", "yes")</f>
        <v>no</v>
      </c>
      <c r="R358" s="43"/>
      <c r="S358" s="43"/>
      <c r="T358" s="43" t="s">
        <v>501</v>
      </c>
      <c r="U358" s="312" t="s">
        <v>874</v>
      </c>
      <c r="V358" s="233" t="str">
        <f>VLOOKUP(Table1[[#This Row],[Country Code]],Table29[],3,FALSE)</f>
        <v>Annex I</v>
      </c>
      <c r="W358" s="233" t="str">
        <f>VLOOKUP(Table1[[#This Row],[Country Code]],Table29[],4,FALSE)</f>
        <v>Europe</v>
      </c>
      <c r="X358" s="233" t="str">
        <f>VLOOKUP(Table1[[#This Row],[Country Code]],Table29[],5,FALSE)</f>
        <v>High-income</v>
      </c>
      <c r="Y358" s="43"/>
      <c r="Z358" s="43"/>
    </row>
    <row r="359" spans="1:26" ht="15" customHeight="1" x14ac:dyDescent="0.25">
      <c r="A359" s="405">
        <v>23383</v>
      </c>
      <c r="B359" s="19" t="s">
        <v>434</v>
      </c>
      <c r="C359" s="206" t="str">
        <f>VLOOKUP(Table1[[#This Row],[Country Code]],Table29[],2,FALSE)</f>
        <v>Tunisia</v>
      </c>
      <c r="D359" s="243" t="str">
        <f t="shared" si="12"/>
        <v>Good</v>
      </c>
      <c r="E359" s="20" t="s">
        <v>71</v>
      </c>
      <c r="F359" s="17" t="s">
        <v>528</v>
      </c>
      <c r="G359" s="43" t="str">
        <f t="shared" si="13"/>
        <v>First NDC updated</v>
      </c>
      <c r="H359" s="17" t="s">
        <v>691</v>
      </c>
      <c r="I359" s="149">
        <v>44479</v>
      </c>
      <c r="J359" s="187" t="s">
        <v>505</v>
      </c>
      <c r="K359" s="49" t="str" cm="1">
        <f t="array" ref="K359">IF(ISNUMBER(MATCH("Transport sector mitigation target", _xlfn._xlws.FILTER(Targets!H:H, Targets!A:A =A359), 0)), "yes", "no")</f>
        <v>no</v>
      </c>
      <c r="L359" s="17" t="str">
        <f>IF(K359="no", "No transport target", IF(AND(COUNTIFS(Targets!A:A, A359, Targets!H:H, "Transport sector mitigation target", Targets!J:J, "GHG") &gt; 0, COUNTIFS(Targets!A:A, A359, Targets!H:H, "Transport sector mitigation target", Targets!J:J, "Non GHG") &gt; 0), "GHG and non-GHG target", IF(COUNTIFS(Targets!A:A, A359, Targets!H:H, "Transport sector mitigation target", Targets!J:J, "GHG") &gt; 0, "GHG target", IF(COUNTIFS(Targets!A:A, A359, Targets!H:H, "Transport sector mitigation target", Targets!J:J, "Non GHG") &gt; 0, "non-GHG target", ""))))</f>
        <v>No transport target</v>
      </c>
      <c r="M359" s="17" t="str">
        <f>IF(K359="no","No transport target",IF(L359="non-GHG target","No GHG transport target",IF(AND(COUNTIFS(Targets!A:A,A359,Targets!H:H,"Transport sector mitigation target",Targets!J:J,"GHG",Targets!L:L,"Conditional")&gt;0,COUNTIFS(Targets!A:A,A359,Targets!H:H,"Transport sector mitigation target",Targets!J:J,"GHG",Targets!L:L,"Unconditional")&gt;0),"GHG unconditional and conditional",IF(COUNTIFS(Targets!A:A,A359,Targets!H:H,"Transport sector mitigation target",Targets!J:J,"GHG",Targets!L:L,"Conditional")&gt;0,"GHG conditional only",IF(COUNTIFS(Targets!A:A,A359,Targets!H:H,"Transport sector mitigation target",Targets!J:J,"GHG",Targets!L:L,"Unconditional")&gt;0,"GHG unconditional only",IF(COUNTIFS(Targets!A:A,A359,Targets!H:H,"Transport sector mitigation target",Targets!J:J,"GHG",Targets!L:L,"Unclear conditionality")&gt;0,"Conditionality unclear",""))))))</f>
        <v>No transport target</v>
      </c>
      <c r="N359" s="17" t="str" cm="1">
        <f t="array" ref="N359">IF(ISNUMBER(MATCH("Transport sector adaptation target", _xlfn._xlws.FILTER(Targets!H:H, Targets!A:A =A359), 0)), "yes", "no")</f>
        <v>no</v>
      </c>
      <c r="O359" s="17" t="str">
        <f>IF(ISNA(MATCH(A359, Mitigation!A:A, 0)), "no", "yes")</f>
        <v>yes</v>
      </c>
      <c r="P359" s="17" t="str">
        <f>IF(ISNA(MATCH(A359, Adaptation!A:A, 0)), "no", "yes")</f>
        <v>yes</v>
      </c>
      <c r="Q359" s="17" t="str">
        <f>IF(ISNA(MATCH(A359, Benefits!A:A, 0)), "no", "yes")</f>
        <v>no</v>
      </c>
      <c r="R359" s="17"/>
      <c r="S359" s="17"/>
      <c r="T359" s="17" t="s">
        <v>501</v>
      </c>
      <c r="U359" s="135" t="s">
        <v>875</v>
      </c>
      <c r="V359" s="207" t="str">
        <f>VLOOKUP(Table1[[#This Row],[Country Code]],Table29[],3,FALSE)</f>
        <v>Non-Annex I</v>
      </c>
      <c r="W359" s="207" t="str">
        <f>VLOOKUP(Table1[[#This Row],[Country Code]],Table29[],4,FALSE)</f>
        <v>Africa</v>
      </c>
      <c r="X359" s="207" t="str">
        <f>VLOOKUP(Table1[[#This Row],[Country Code]],Table29[],5,FALSE)</f>
        <v>Middle-income</v>
      </c>
      <c r="Y359" s="17"/>
      <c r="Z359" s="17"/>
    </row>
    <row r="360" spans="1:26" ht="15" customHeight="1" x14ac:dyDescent="0.25">
      <c r="A360" s="405">
        <v>17766</v>
      </c>
      <c r="B360" s="20" t="s">
        <v>436</v>
      </c>
      <c r="C360" s="206" t="str">
        <f>VLOOKUP(Table1[[#This Row],[Country Code]],Table29[],2,FALSE)</f>
        <v>Türkiye</v>
      </c>
      <c r="D360" s="243" t="str">
        <f t="shared" si="12"/>
        <v>Good</v>
      </c>
      <c r="E360" s="20" t="s">
        <v>71</v>
      </c>
      <c r="F360" s="17" t="s">
        <v>498</v>
      </c>
      <c r="G360" s="43" t="str">
        <f t="shared" si="13"/>
        <v>First NDC</v>
      </c>
      <c r="H360" s="17" t="s">
        <v>499</v>
      </c>
      <c r="I360" s="149">
        <v>44480</v>
      </c>
      <c r="J360" s="49" t="s">
        <v>500</v>
      </c>
      <c r="K360" s="49" t="str" cm="1">
        <f t="array" ref="K360">IF(ISNUMBER(MATCH("Transport sector mitigation target", _xlfn._xlws.FILTER(Targets!H:H, Targets!A:A =A360), 0)), "yes", "no")</f>
        <v>no</v>
      </c>
      <c r="L360" s="17" t="str">
        <f>IF(K360="no", "No transport target", IF(AND(COUNTIFS(Targets!A:A, A360, Targets!H:H, "Transport sector mitigation target", Targets!J:J, "GHG") &gt; 0, COUNTIFS(Targets!A:A, A360, Targets!H:H, "Transport sector mitigation target", Targets!J:J, "Non GHG") &gt; 0), "GHG and non-GHG target", IF(COUNTIFS(Targets!A:A, A360, Targets!H:H, "Transport sector mitigation target", Targets!J:J, "GHG") &gt; 0, "GHG target", IF(COUNTIFS(Targets!A:A, A360, Targets!H:H, "Transport sector mitigation target", Targets!J:J, "Non GHG") &gt; 0, "non-GHG target", ""))))</f>
        <v>No transport target</v>
      </c>
      <c r="M360" s="17" t="str">
        <f>IF(K360="no","No transport target",IF(L360="non-GHG target","No GHG transport target",IF(AND(COUNTIFS(Targets!A:A,A360,Targets!H:H,"Transport sector mitigation target",Targets!J:J,"GHG",Targets!L:L,"Conditional")&gt;0,COUNTIFS(Targets!A:A,A360,Targets!H:H,"Transport sector mitigation target",Targets!J:J,"GHG",Targets!L:L,"Unconditional")&gt;0),"GHG unconditional and conditional",IF(COUNTIFS(Targets!A:A,A360,Targets!H:H,"Transport sector mitigation target",Targets!J:J,"GHG",Targets!L:L,"Conditional")&gt;0,"GHG conditional only",IF(COUNTIFS(Targets!A:A,A360,Targets!H:H,"Transport sector mitigation target",Targets!J:J,"GHG",Targets!L:L,"Unconditional")&gt;0,"GHG unconditional only",IF(COUNTIFS(Targets!A:A,A360,Targets!H:H,"Transport sector mitigation target",Targets!J:J,"GHG",Targets!L:L,"Unclear conditionality")&gt;0,"Conditionality unclear",""))))))</f>
        <v>No transport target</v>
      </c>
      <c r="N360" s="17" t="str" cm="1">
        <f t="array" ref="N360">IF(ISNUMBER(MATCH("Transport sector adaptation target", _xlfn._xlws.FILTER(Targets!H:H, Targets!A:A =A360), 0)), "yes", "no")</f>
        <v>no</v>
      </c>
      <c r="O360" s="17" t="str">
        <f>IF(ISNA(MATCH(A360, Mitigation!A:A, 0)), "no", "yes")</f>
        <v>yes</v>
      </c>
      <c r="P360" s="17" t="str">
        <f>IF(ISNA(MATCH(A360, Adaptation!A:A, 0)), "no", "yes")</f>
        <v>no</v>
      </c>
      <c r="Q360" s="17" t="str">
        <f>IF(ISNA(MATCH(A360, Benefits!A:A, 0)), "no", "yes")</f>
        <v>no</v>
      </c>
      <c r="R360" s="17"/>
      <c r="S360" s="17"/>
      <c r="T360" s="17" t="s">
        <v>501</v>
      </c>
      <c r="U360" s="135" t="s">
        <v>876</v>
      </c>
      <c r="V360" s="207" t="str">
        <f>VLOOKUP(Table1[[#This Row],[Country Code]],Table29[],3,FALSE)</f>
        <v>Annex I</v>
      </c>
      <c r="W360" s="207" t="str">
        <f>VLOOKUP(Table1[[#This Row],[Country Code]],Table29[],4,FALSE)</f>
        <v>Asia</v>
      </c>
      <c r="X360" s="207" t="str">
        <f>VLOOKUP(Table1[[#This Row],[Country Code]],Table29[],5,FALSE)</f>
        <v>Middle-income</v>
      </c>
      <c r="Y360" s="17"/>
      <c r="Z360" s="17"/>
    </row>
    <row r="361" spans="1:26" ht="15" customHeight="1" x14ac:dyDescent="0.25">
      <c r="A361" s="360">
        <v>32502</v>
      </c>
      <c r="B361" s="43" t="s">
        <v>228</v>
      </c>
      <c r="C361" s="243" t="str">
        <f>VLOOKUP(Table1[[#This Row],[Country Code]],Table29[],2,FALSE)</f>
        <v>India</v>
      </c>
      <c r="D361" s="243" t="str">
        <f t="shared" si="12"/>
        <v>Good</v>
      </c>
      <c r="E361" s="176" t="s">
        <v>227</v>
      </c>
      <c r="F361" s="43" t="s">
        <v>227</v>
      </c>
      <c r="G361" s="43" t="str">
        <f t="shared" si="13"/>
        <v>LTS</v>
      </c>
      <c r="H361" s="43" t="s">
        <v>636</v>
      </c>
      <c r="I361" s="355">
        <v>44879</v>
      </c>
      <c r="J361" s="352" t="s">
        <v>505</v>
      </c>
      <c r="K361" s="320" t="str" cm="1">
        <f t="array" ref="K361">IF(ISNUMBER(MATCH("Transport sector mitigation target", _xlfn._xlws.FILTER(Targets!H:H, Targets!A:A =A361), 0)), "yes", "no")</f>
        <v>yes</v>
      </c>
      <c r="L361" s="43" t="str">
        <f>IF(K361="no", "No transport target", IF(AND(COUNTIFS(Targets!A:A, A361, Targets!H:H, "Transport sector mitigation target", Targets!J:J, "GHG") &gt; 0, COUNTIFS(Targets!A:A, A361, Targets!H:H, "Transport sector mitigation target", Targets!J:J, "Non GHG") &gt; 0), "GHG and non-GHG target", IF(COUNTIFS(Targets!A:A, A361, Targets!H:H, "Transport sector mitigation target", Targets!J:J, "GHG") &gt; 0, "GHG target", IF(COUNTIFS(Targets!A:A, A361, Targets!H:H, "Transport sector mitigation target", Targets!J:J, "Non GHG") &gt; 0, "non-GHG target", ""))))</f>
        <v>non-GHG target</v>
      </c>
      <c r="M361" s="43" t="str">
        <f>IF(K361="no","No transport target",IF(L361="non-GHG target","No GHG transport target",IF(AND(COUNTIFS(Targets!A:A,A361,Targets!H:H,"Transport sector mitigation target",Targets!J:J,"GHG",Targets!L:L,"Conditional")&gt;0,COUNTIFS(Targets!A:A,A361,Targets!H:H,"Transport sector mitigation target",Targets!J:J,"GHG",Targets!L:L,"Unconditional")&gt;0),"GHG unconditional and conditional",IF(COUNTIFS(Targets!A:A,A361,Targets!H:H,"Transport sector mitigation target",Targets!J:J,"GHG",Targets!L:L,"Conditional")&gt;0,"GHG conditional only",IF(COUNTIFS(Targets!A:A,A361,Targets!H:H,"Transport sector mitigation target",Targets!J:J,"GHG",Targets!L:L,"Unconditional")&gt;0,"GHG unconditional only",IF(COUNTIFS(Targets!A:A,A361,Targets!H:H,"Transport sector mitigation target",Targets!J:J,"GHG",Targets!L:L,"Unclear conditionality")&gt;0,"Conditionality unclear",""))))))</f>
        <v>No GHG transport target</v>
      </c>
      <c r="N361" s="43" t="str" cm="1">
        <f t="array" ref="N361">IF(ISNUMBER(MATCH("Transport sector adaptation target", _xlfn._xlws.FILTER(Targets!H:H, Targets!A:A =A361), 0)), "yes", "no")</f>
        <v>no</v>
      </c>
      <c r="O361" s="43" t="str">
        <f>IF(ISNA(MATCH(A361, Mitigation!A:A, 0)), "no", "yes")</f>
        <v>yes</v>
      </c>
      <c r="P361" s="43" t="str">
        <f>IF(ISNA(MATCH(A361, Adaptation!A:A, 0)), "no", "yes")</f>
        <v>no</v>
      </c>
      <c r="Q361" s="43" t="str">
        <f>IF(ISNA(MATCH(A361, Benefits!A:A, 0)), "no", "yes")</f>
        <v>no</v>
      </c>
      <c r="R361" s="43"/>
      <c r="S361" s="43"/>
      <c r="T361" s="43" t="s">
        <v>501</v>
      </c>
      <c r="U361" s="312" t="s">
        <v>877</v>
      </c>
      <c r="V361" s="233" t="str">
        <f>VLOOKUP(Table1[[#This Row],[Country Code]],Table29[],3,FALSE)</f>
        <v>Non-Annex I</v>
      </c>
      <c r="W361" s="233" t="str">
        <f>VLOOKUP(Table1[[#This Row],[Country Code]],Table29[],4,FALSE)</f>
        <v>Asia</v>
      </c>
      <c r="X361" s="233" t="str">
        <f>VLOOKUP(Table1[[#This Row],[Country Code]],Table29[],5,FALSE)</f>
        <v>Middle-income</v>
      </c>
      <c r="Y361" s="43"/>
      <c r="Z361" s="43"/>
    </row>
    <row r="362" spans="1:26" ht="15" customHeight="1" x14ac:dyDescent="0.25">
      <c r="A362" s="405">
        <v>43719</v>
      </c>
      <c r="B362" s="20" t="s">
        <v>101</v>
      </c>
      <c r="C362" s="207" t="str">
        <f>VLOOKUP(Table1[[#This Row],[Country Code]],Table29[],2,FALSE)</f>
        <v>Benin</v>
      </c>
      <c r="D362" s="243" t="str">
        <f t="shared" si="12"/>
        <v>Good</v>
      </c>
      <c r="E362" s="20" t="s">
        <v>71</v>
      </c>
      <c r="F362" s="17" t="s">
        <v>555</v>
      </c>
      <c r="G362" s="17" t="str">
        <f t="shared" si="13"/>
        <v>Second NDC</v>
      </c>
      <c r="H362" s="148" t="s">
        <v>714</v>
      </c>
      <c r="I362" s="163">
        <v>44481</v>
      </c>
      <c r="J362" s="187" t="s">
        <v>505</v>
      </c>
      <c r="K362" s="49" t="str" cm="1">
        <f t="array" ref="K362">IF(ISNUMBER(MATCH("Transport sector mitigation target", _xlfn._xlws.FILTER(Targets!H:H, Targets!A:A =A362), 0)), "yes", "no")</f>
        <v>no</v>
      </c>
      <c r="L362" s="17" t="str">
        <f>IF(K362="no", "No transport target", IF(AND(COUNTIFS(Targets!A:A, A362, Targets!H:H, "Transport sector mitigation target", Targets!J:J, "GHG") &gt; 0, COUNTIFS(Targets!A:A, A362, Targets!H:H, "Transport sector mitigation target", Targets!J:J, "Non GHG") &gt; 0), "GHG and non-GHG target", IF(COUNTIFS(Targets!A:A, A362, Targets!H:H, "Transport sector mitigation target", Targets!J:J, "GHG") &gt; 0, "GHG target", IF(COUNTIFS(Targets!A:A, A362, Targets!H:H, "Transport sector mitigation target", Targets!J:J, "Non GHG") &gt; 0, "non-GHG target", ""))))</f>
        <v>No transport target</v>
      </c>
      <c r="M362" s="17" t="str">
        <f>IF(K362="no","No transport target",IF(L362="non-GHG target","No GHG transport target",IF(AND(COUNTIFS(Targets!A:A,A362,Targets!H:H,"Transport sector mitigation target",Targets!J:J,"GHG",Targets!L:L,"Conditional")&gt;0,COUNTIFS(Targets!A:A,A362,Targets!H:H,"Transport sector mitigation target",Targets!J:J,"GHG",Targets!L:L,"Unconditional")&gt;0),"GHG unconditional and conditional",IF(COUNTIFS(Targets!A:A,A362,Targets!H:H,"Transport sector mitigation target",Targets!J:J,"GHG",Targets!L:L,"Conditional")&gt;0,"GHG conditional only",IF(COUNTIFS(Targets!A:A,A362,Targets!H:H,"Transport sector mitigation target",Targets!J:J,"GHG",Targets!L:L,"Unconditional")&gt;0,"GHG unconditional only",IF(COUNTIFS(Targets!A:A,A362,Targets!H:H,"Transport sector mitigation target",Targets!J:J,"GHG",Targets!L:L,"Unclear conditionality")&gt;0,"Conditionality unclear",""))))))</f>
        <v>No transport target</v>
      </c>
      <c r="N362" s="17" t="str" cm="1">
        <f t="array" ref="N362">IF(ISNUMBER(MATCH("Transport sector adaptation target", _xlfn._xlws.FILTER(Targets!H:H, Targets!A:A =A362), 0)), "yes", "no")</f>
        <v>no</v>
      </c>
      <c r="O362" s="17" t="str">
        <f>IF(ISNA(MATCH(A362, Mitigation!A:A, 0)), "no", "yes")</f>
        <v>yes</v>
      </c>
      <c r="P362" s="17" t="str">
        <f>IF(ISNA(MATCH(A362, Adaptation!A:A, 0)), "no", "yes")</f>
        <v>no</v>
      </c>
      <c r="Q362" s="17" t="str">
        <f>IF(ISNA(MATCH(A362, Benefits!A:A, 0)), "no", "yes")</f>
        <v>no</v>
      </c>
      <c r="R362" s="17"/>
      <c r="S362" s="148"/>
      <c r="T362" s="17"/>
      <c r="U362" s="148"/>
      <c r="V362" s="207" t="str">
        <f>VLOOKUP(Table1[[#This Row],[Country Code]],Table29[],3,FALSE)</f>
        <v>Non-Annex I</v>
      </c>
      <c r="W362" s="207" t="str">
        <f>VLOOKUP(Table1[[#This Row],[Country Code]],Table29[],4,FALSE)</f>
        <v>Africa</v>
      </c>
      <c r="X362" s="233" t="str">
        <f>VLOOKUP(Table1[[#This Row],[Country Code]],Table29[],5,FALSE)</f>
        <v>Middle-income</v>
      </c>
      <c r="Y362" s="17"/>
      <c r="Z362" s="17"/>
    </row>
    <row r="363" spans="1:26" ht="15" customHeight="1" x14ac:dyDescent="0.25">
      <c r="A363" s="360">
        <v>23387</v>
      </c>
      <c r="B363" s="42" t="s">
        <v>245</v>
      </c>
      <c r="C363" s="243" t="str">
        <f>VLOOKUP(Table1[[#This Row],[Country Code]],Table29[],2,FALSE)</f>
        <v>Japan</v>
      </c>
      <c r="D363" s="243" t="str">
        <f t="shared" si="12"/>
        <v>Good</v>
      </c>
      <c r="E363" s="176" t="s">
        <v>71</v>
      </c>
      <c r="F363" s="42" t="s">
        <v>878</v>
      </c>
      <c r="G363" s="43" t="str">
        <f t="shared" si="13"/>
        <v>First NDC updated</v>
      </c>
      <c r="H363" s="43" t="s">
        <v>743</v>
      </c>
      <c r="I363" s="351">
        <v>44481</v>
      </c>
      <c r="J363" s="320" t="s">
        <v>500</v>
      </c>
      <c r="K363" s="320" t="str" cm="1">
        <f t="array" ref="K363">IF(ISNUMBER(MATCH("Transport sector mitigation target", _xlfn._xlws.FILTER(Targets!H:H, Targets!A:A =A363), 0)), "yes", "no")</f>
        <v>no</v>
      </c>
      <c r="L363" s="43" t="str">
        <f>IF(K363="no", "No transport target", IF(AND(COUNTIFS(Targets!A:A, A363, Targets!H:H, "Transport sector mitigation target", Targets!J:J, "GHG") &gt; 0, COUNTIFS(Targets!A:A, A363, Targets!H:H, "Transport sector mitigation target", Targets!J:J, "Non GHG") &gt; 0), "GHG and non-GHG target", IF(COUNTIFS(Targets!A:A, A363, Targets!H:H, "Transport sector mitigation target", Targets!J:J, "GHG") &gt; 0, "GHG target", IF(COUNTIFS(Targets!A:A, A363, Targets!H:H, "Transport sector mitigation target", Targets!J:J, "Non GHG") &gt; 0, "non-GHG target", ""))))</f>
        <v>No transport target</v>
      </c>
      <c r="M363" s="43" t="str">
        <f>IF(K363="no","No transport target",IF(L363="non-GHG target","No GHG transport target",IF(AND(COUNTIFS(Targets!A:A,A363,Targets!H:H,"Transport sector mitigation target",Targets!J:J,"GHG",Targets!L:L,"Conditional")&gt;0,COUNTIFS(Targets!A:A,A363,Targets!H:H,"Transport sector mitigation target",Targets!J:J,"GHG",Targets!L:L,"Unconditional")&gt;0),"GHG unconditional and conditional",IF(COUNTIFS(Targets!A:A,A363,Targets!H:H,"Transport sector mitigation target",Targets!J:J,"GHG",Targets!L:L,"Conditional")&gt;0,"GHG conditional only",IF(COUNTIFS(Targets!A:A,A363,Targets!H:H,"Transport sector mitigation target",Targets!J:J,"GHG",Targets!L:L,"Unconditional")&gt;0,"GHG unconditional only",IF(COUNTIFS(Targets!A:A,A363,Targets!H:H,"Transport sector mitigation target",Targets!J:J,"GHG",Targets!L:L,"Unclear conditionality")&gt;0,"Conditionality unclear",""))))))</f>
        <v>No transport target</v>
      </c>
      <c r="N363" s="43" t="str" cm="1">
        <f t="array" ref="N363">IF(ISNUMBER(MATCH("Transport sector adaptation target", _xlfn._xlws.FILTER(Targets!H:H, Targets!A:A =A363), 0)), "yes", "no")</f>
        <v>no</v>
      </c>
      <c r="O363" s="43" t="str">
        <f>IF(ISNA(MATCH(A363, Mitigation!A:A, 0)), "no", "yes")</f>
        <v>no</v>
      </c>
      <c r="P363" s="43" t="str">
        <f>IF(ISNA(MATCH(A363, Adaptation!A:A, 0)), "no", "yes")</f>
        <v>no</v>
      </c>
      <c r="Q363" s="43" t="str">
        <f>IF(ISNA(MATCH(A363, Benefits!A:A, 0)), "no", "yes")</f>
        <v>no</v>
      </c>
      <c r="R363" s="43"/>
      <c r="S363" s="43"/>
      <c r="T363" s="43" t="s">
        <v>501</v>
      </c>
      <c r="U363" s="312" t="s">
        <v>879</v>
      </c>
      <c r="V363" s="233" t="str">
        <f>VLOOKUP(Table1[[#This Row],[Country Code]],Table29[],3,FALSE)</f>
        <v>Annex I</v>
      </c>
      <c r="W363" s="233" t="str">
        <f>VLOOKUP(Table1[[#This Row],[Country Code]],Table29[],4,FALSE)</f>
        <v>Asia</v>
      </c>
      <c r="X363" s="233" t="str">
        <f>VLOOKUP(Table1[[#This Row],[Country Code]],Table29[],5,FALSE)</f>
        <v>High-income</v>
      </c>
      <c r="Y363" s="43"/>
      <c r="Z363" s="43"/>
    </row>
    <row r="364" spans="1:26" ht="15" customHeight="1" x14ac:dyDescent="0.25">
      <c r="A364" s="405">
        <v>43855</v>
      </c>
      <c r="B364" s="20" t="s">
        <v>236</v>
      </c>
      <c r="C364" s="207" t="str">
        <f>VLOOKUP(Table1[[#This Row],[Country Code]],Table29[],2,FALSE)</f>
        <v>Ireland</v>
      </c>
      <c r="D364" s="243" t="str">
        <f t="shared" si="12"/>
        <v>Good</v>
      </c>
      <c r="E364" s="20" t="s">
        <v>227</v>
      </c>
      <c r="F364" s="17" t="s">
        <v>227</v>
      </c>
      <c r="G364" s="17" t="str">
        <f t="shared" si="13"/>
        <v>LTS</v>
      </c>
      <c r="H364" s="148" t="s">
        <v>722</v>
      </c>
      <c r="I364" s="163">
        <v>45496</v>
      </c>
      <c r="J364" s="187" t="s">
        <v>505</v>
      </c>
      <c r="K364" s="49" t="str" cm="1">
        <f t="array" ref="K364">IF(ISNUMBER(MATCH("Transport sector mitigation target", _xlfn._xlws.FILTER(Targets!H:H, Targets!A:A =A364), 0)), "yes", "no")</f>
        <v>yes</v>
      </c>
      <c r="L364" s="17" t="str">
        <f>IF(K364="no", "No transport target", IF(AND(COUNTIFS(Targets!A:A, A364, Targets!H:H, "Transport sector mitigation target", Targets!J:J, "GHG") &gt; 0, COUNTIFS(Targets!A:A, A364, Targets!H:H, "Transport sector mitigation target", Targets!J:J, "Non GHG") &gt; 0), "GHG and non-GHG target", IF(COUNTIFS(Targets!A:A, A364, Targets!H:H, "Transport sector mitigation target", Targets!J:J, "GHG") &gt; 0, "GHG target", IF(COUNTIFS(Targets!A:A, A364, Targets!H:H, "Transport sector mitigation target", Targets!J:J, "Non GHG") &gt; 0, "non-GHG target", ""))))</f>
        <v>GHG target</v>
      </c>
      <c r="M364" s="17" t="str">
        <f>IF(K364="no","No transport target",IF(L364="non-GHG target","No GHG transport target",IF(AND(COUNTIFS(Targets!A:A,A364,Targets!H:H,"Transport sector mitigation target",Targets!J:J,"GHG",Targets!L:L,"Conditional")&gt;0,COUNTIFS(Targets!A:A,A364,Targets!H:H,"Transport sector mitigation target",Targets!J:J,"GHG",Targets!L:L,"Unconditional")&gt;0),"GHG unconditional and conditional",IF(COUNTIFS(Targets!A:A,A364,Targets!H:H,"Transport sector mitigation target",Targets!J:J,"GHG",Targets!L:L,"Conditional")&gt;0,"GHG conditional only",IF(COUNTIFS(Targets!A:A,A364,Targets!H:H,"Transport sector mitigation target",Targets!J:J,"GHG",Targets!L:L,"Unconditional")&gt;0,"GHG unconditional only",IF(COUNTIFS(Targets!A:A,A364,Targets!H:H,"Transport sector mitigation target",Targets!J:J,"GHG",Targets!L:L,"Unclear conditionality")&gt;0,"Conditionality unclear",""))))))</f>
        <v>Conditionality unclear</v>
      </c>
      <c r="N364" s="17" t="str" cm="1">
        <f t="array" ref="N364">IF(ISNUMBER(MATCH("Transport sector adaptation target", _xlfn._xlws.FILTER(Targets!H:H, Targets!A:A =A364), 0)), "yes", "no")</f>
        <v>no</v>
      </c>
      <c r="O364" s="17" t="str">
        <f>IF(ISNA(MATCH(A364, Mitigation!A:A, 0)), "no", "yes")</f>
        <v>yes</v>
      </c>
      <c r="P364" s="17" t="str">
        <f>IF(ISNA(MATCH(A364, Adaptation!A:A, 0)), "no", "yes")</f>
        <v>no</v>
      </c>
      <c r="Q364" s="17" t="str">
        <f>IF(ISNA(MATCH(A364, Benefits!A:A, 0)), "no", "yes")</f>
        <v>yes</v>
      </c>
      <c r="R364" s="17"/>
      <c r="S364" s="148"/>
      <c r="T364" s="17"/>
      <c r="U364" s="411" t="s">
        <v>880</v>
      </c>
      <c r="V364" s="207" t="str">
        <f>VLOOKUP(Table1[[#This Row],[Country Code]],Table29[],3,FALSE)</f>
        <v>Annex I</v>
      </c>
      <c r="W364" s="207" t="str">
        <f>VLOOKUP(Table1[[#This Row],[Country Code]],Table29[],4,FALSE)</f>
        <v>Europe</v>
      </c>
      <c r="X364" s="233" t="str">
        <f>VLOOKUP(Table1[[#This Row],[Country Code]],Table29[],5,FALSE)</f>
        <v>High-income</v>
      </c>
      <c r="Y364" s="17"/>
      <c r="Z364" s="17"/>
    </row>
    <row r="365" spans="1:26" ht="15" customHeight="1" x14ac:dyDescent="0.25">
      <c r="A365" s="360">
        <v>23760</v>
      </c>
      <c r="B365" s="43" t="s">
        <v>317</v>
      </c>
      <c r="C365" s="243" t="str">
        <f>VLOOKUP(Table1[[#This Row],[Country Code]],Table29[],2,FALSE)</f>
        <v>Nauru</v>
      </c>
      <c r="D365" s="243" t="str">
        <f t="shared" si="12"/>
        <v>Good</v>
      </c>
      <c r="E365" s="176" t="s">
        <v>71</v>
      </c>
      <c r="F365" s="43" t="s">
        <v>528</v>
      </c>
      <c r="G365" s="43" t="str">
        <f t="shared" si="13"/>
        <v>First NDC updated</v>
      </c>
      <c r="H365" s="43" t="s">
        <v>691</v>
      </c>
      <c r="I365" s="351">
        <v>44483</v>
      </c>
      <c r="J365" s="352" t="s">
        <v>505</v>
      </c>
      <c r="K365" s="320" t="str" cm="1">
        <f t="array" ref="K365">IF(ISNUMBER(MATCH("Transport sector mitigation target", _xlfn._xlws.FILTER(Targets!H:H, Targets!A:A =A365), 0)), "yes", "no")</f>
        <v>no</v>
      </c>
      <c r="L365" s="43" t="str">
        <f>IF(K365="no", "No transport target", IF(AND(COUNTIFS(Targets!A:A, A365, Targets!H:H, "Transport sector mitigation target", Targets!J:J, "GHG") &gt; 0, COUNTIFS(Targets!A:A, A365, Targets!H:H, "Transport sector mitigation target", Targets!J:J, "Non GHG") &gt; 0), "GHG and non-GHG target", IF(COUNTIFS(Targets!A:A, A365, Targets!H:H, "Transport sector mitigation target", Targets!J:J, "GHG") &gt; 0, "GHG target", IF(COUNTIFS(Targets!A:A, A365, Targets!H:H, "Transport sector mitigation target", Targets!J:J, "Non GHG") &gt; 0, "non-GHG target", ""))))</f>
        <v>No transport target</v>
      </c>
      <c r="M365" s="43" t="str">
        <f>IF(K365="no","No transport target",IF(L365="non-GHG target","No GHG transport target",IF(AND(COUNTIFS(Targets!A:A,A365,Targets!H:H,"Transport sector mitigation target",Targets!J:J,"GHG",Targets!L:L,"Conditional")&gt;0,COUNTIFS(Targets!A:A,A365,Targets!H:H,"Transport sector mitigation target",Targets!J:J,"GHG",Targets!L:L,"Unconditional")&gt;0),"GHG unconditional and conditional",IF(COUNTIFS(Targets!A:A,A365,Targets!H:H,"Transport sector mitigation target",Targets!J:J,"GHG",Targets!L:L,"Conditional")&gt;0,"GHG conditional only",IF(COUNTIFS(Targets!A:A,A365,Targets!H:H,"Transport sector mitigation target",Targets!J:J,"GHG",Targets!L:L,"Unconditional")&gt;0,"GHG unconditional only",IF(COUNTIFS(Targets!A:A,A365,Targets!H:H,"Transport sector mitigation target",Targets!J:J,"GHG",Targets!L:L,"Unclear conditionality")&gt;0,"Conditionality unclear",""))))))</f>
        <v>No transport target</v>
      </c>
      <c r="N365" s="43" t="str" cm="1">
        <f t="array" ref="N365">IF(ISNUMBER(MATCH("Transport sector adaptation target", _xlfn._xlws.FILTER(Targets!H:H, Targets!A:A =A365), 0)), "yes", "no")</f>
        <v>no</v>
      </c>
      <c r="O365" s="43" t="str">
        <f>IF(ISNA(MATCH(A365, Mitigation!A:A, 0)), "no", "yes")</f>
        <v>yes</v>
      </c>
      <c r="P365" s="43" t="str">
        <f>IF(ISNA(MATCH(A365, Adaptation!A:A, 0)), "no", "yes")</f>
        <v>yes</v>
      </c>
      <c r="Q365" s="43" t="str">
        <f>IF(ISNA(MATCH(A365, Benefits!A:A, 0)), "no", "yes")</f>
        <v>yes</v>
      </c>
      <c r="R365" s="43"/>
      <c r="S365" s="43"/>
      <c r="T365" s="43" t="s">
        <v>501</v>
      </c>
      <c r="U365" s="312" t="s">
        <v>881</v>
      </c>
      <c r="V365" s="233" t="str">
        <f>VLOOKUP(Table1[[#This Row],[Country Code]],Table29[],3,FALSE)</f>
        <v>Non-Annex I</v>
      </c>
      <c r="W365" s="233" t="str">
        <f>VLOOKUP(Table1[[#This Row],[Country Code]],Table29[],4,FALSE)</f>
        <v>Oceania</v>
      </c>
      <c r="X365" s="233" t="str">
        <f>VLOOKUP(Table1[[#This Row],[Country Code]],Table29[],5,FALSE)</f>
        <v>High-income</v>
      </c>
      <c r="Y365" s="43"/>
      <c r="Z365" s="43"/>
    </row>
    <row r="366" spans="1:26" ht="15" customHeight="1" x14ac:dyDescent="0.25">
      <c r="A366" s="360">
        <v>24789</v>
      </c>
      <c r="B366" s="43" t="s">
        <v>205</v>
      </c>
      <c r="C366" s="243" t="str">
        <f>VLOOKUP(Table1[[#This Row],[Country Code]],Table29[],2,FALSE)</f>
        <v>Ghana</v>
      </c>
      <c r="D366" s="243" t="str">
        <f t="shared" si="12"/>
        <v>Good</v>
      </c>
      <c r="E366" s="176" t="s">
        <v>71</v>
      </c>
      <c r="F366" s="43" t="s">
        <v>525</v>
      </c>
      <c r="G366" s="43" t="str">
        <f t="shared" si="13"/>
        <v>First NDC updated</v>
      </c>
      <c r="H366" s="43" t="s">
        <v>691</v>
      </c>
      <c r="I366" s="351">
        <v>44484</v>
      </c>
      <c r="J366" s="320" t="s">
        <v>500</v>
      </c>
      <c r="K366" s="320" t="str" cm="1">
        <f t="array" ref="K366">IF(ISNUMBER(MATCH("Transport sector mitigation target", _xlfn._xlws.FILTER(Targets!H:H, Targets!A:A =A366), 0)), "yes", "no")</f>
        <v>no</v>
      </c>
      <c r="L366" s="43" t="str">
        <f>IF(K366="no", "No transport target", IF(AND(COUNTIFS(Targets!A:A, A366, Targets!H:H, "Transport sector mitigation target", Targets!J:J, "GHG") &gt; 0, COUNTIFS(Targets!A:A, A366, Targets!H:H, "Transport sector mitigation target", Targets!J:J, "Non GHG") &gt; 0), "GHG and non-GHG target", IF(COUNTIFS(Targets!A:A, A366, Targets!H:H, "Transport sector mitigation target", Targets!J:J, "GHG") &gt; 0, "GHG target", IF(COUNTIFS(Targets!A:A, A366, Targets!H:H, "Transport sector mitigation target", Targets!J:J, "Non GHG") &gt; 0, "non-GHG target", ""))))</f>
        <v>No transport target</v>
      </c>
      <c r="M366" s="43" t="str">
        <f>IF(K366="no","No transport target",IF(L366="non-GHG target","No GHG transport target",IF(AND(COUNTIFS(Targets!A:A,A366,Targets!H:H,"Transport sector mitigation target",Targets!J:J,"GHG",Targets!L:L,"Conditional")&gt;0,COUNTIFS(Targets!A:A,A366,Targets!H:H,"Transport sector mitigation target",Targets!J:J,"GHG",Targets!L:L,"Unconditional")&gt;0),"GHG unconditional and conditional",IF(COUNTIFS(Targets!A:A,A366,Targets!H:H,"Transport sector mitigation target",Targets!J:J,"GHG",Targets!L:L,"Conditional")&gt;0,"GHG conditional only",IF(COUNTIFS(Targets!A:A,A366,Targets!H:H,"Transport sector mitigation target",Targets!J:J,"GHG",Targets!L:L,"Unconditional")&gt;0,"GHG unconditional only",IF(COUNTIFS(Targets!A:A,A366,Targets!H:H,"Transport sector mitigation target",Targets!J:J,"GHG",Targets!L:L,"Unclear conditionality")&gt;0,"Conditionality unclear",""))))))</f>
        <v>No transport target</v>
      </c>
      <c r="N366" s="43" t="str" cm="1">
        <f t="array" ref="N366">IF(ISNUMBER(MATCH("Transport sector adaptation target", _xlfn._xlws.FILTER(Targets!H:H, Targets!A:A =A366), 0)), "yes", "no")</f>
        <v>no</v>
      </c>
      <c r="O366" s="43" t="str">
        <f>IF(ISNA(MATCH(A366, Mitigation!A:A, 0)), "no", "yes")</f>
        <v>no</v>
      </c>
      <c r="P366" s="43" t="str">
        <f>IF(ISNA(MATCH(A366, Adaptation!A:A, 0)), "no", "yes")</f>
        <v>no</v>
      </c>
      <c r="Q366" s="43" t="str">
        <f>IF(ISNA(MATCH(A366, Benefits!A:A, 0)), "no", "yes")</f>
        <v>no</v>
      </c>
      <c r="R366" s="43"/>
      <c r="S366" s="43"/>
      <c r="T366" s="43" t="s">
        <v>501</v>
      </c>
      <c r="U366" s="312" t="s">
        <v>882</v>
      </c>
      <c r="V366" s="233" t="str">
        <f>VLOOKUP(Table1[[#This Row],[Country Code]],Table29[],3,FALSE)</f>
        <v>Non-Annex I</v>
      </c>
      <c r="W366" s="233" t="str">
        <f>VLOOKUP(Table1[[#This Row],[Country Code]],Table29[],4,FALSE)</f>
        <v>Africa</v>
      </c>
      <c r="X366" s="233" t="str">
        <f>VLOOKUP(Table1[[#This Row],[Country Code]],Table29[],5,FALSE)</f>
        <v>Middle-income</v>
      </c>
      <c r="Y366" s="43"/>
      <c r="Z366" s="43"/>
    </row>
    <row r="367" spans="1:26" ht="15" customHeight="1" x14ac:dyDescent="0.25">
      <c r="A367" s="360">
        <v>42000</v>
      </c>
      <c r="B367" s="42" t="s">
        <v>234</v>
      </c>
      <c r="C367" s="243" t="str">
        <f>VLOOKUP(Table1[[#This Row],[Country Code]],Table29[],2,FALSE)</f>
        <v>Iraq</v>
      </c>
      <c r="D367" s="243" t="str">
        <f t="shared" si="12"/>
        <v>Good</v>
      </c>
      <c r="E367" s="176" t="s">
        <v>71</v>
      </c>
      <c r="F367" s="43" t="s">
        <v>498</v>
      </c>
      <c r="G367" s="43" t="str">
        <f t="shared" si="13"/>
        <v>First NDC</v>
      </c>
      <c r="H367" s="350" t="s">
        <v>499</v>
      </c>
      <c r="I367" s="163">
        <v>44484</v>
      </c>
      <c r="J367" s="49" t="s">
        <v>500</v>
      </c>
      <c r="K367" s="49" t="str" cm="1">
        <f t="array" ref="K367">IF(ISNUMBER(MATCH("Transport sector mitigation target", _xlfn._xlws.FILTER(Targets!H:H, Targets!A:A =A367), 0)), "yes", "no")</f>
        <v>no</v>
      </c>
      <c r="L367" s="43" t="str">
        <f>IF(K367="no", "No transport target", IF(AND(COUNTIFS(Targets!A:A, A367, Targets!H:H, "Transport sector mitigation target", Targets!J:J, "GHG") &gt; 0, COUNTIFS(Targets!A:A, A367, Targets!H:H, "Transport sector mitigation target", Targets!J:J, "Non GHG") &gt; 0), "GHG and non-GHG target", IF(COUNTIFS(Targets!A:A, A367, Targets!H:H, "Transport sector mitigation target", Targets!J:J, "GHG") &gt; 0, "GHG target", IF(COUNTIFS(Targets!A:A, A367, Targets!H:H, "Transport sector mitigation target", Targets!J:J, "Non GHG") &gt; 0, "non-GHG target", ""))))</f>
        <v>No transport target</v>
      </c>
      <c r="M367" s="43" t="str">
        <f>IF(K367="no","No transport target",IF(L367="non-GHG target","No GHG transport target",IF(AND(COUNTIFS(Targets!A:A,A367,Targets!H:H,"Transport sector mitigation target",Targets!J:J,"GHG",Targets!L:L,"Conditional")&gt;0,COUNTIFS(Targets!A:A,A367,Targets!H:H,"Transport sector mitigation target",Targets!J:J,"GHG",Targets!L:L,"Unconditional")&gt;0),"GHG unconditional and conditional",IF(COUNTIFS(Targets!A:A,A367,Targets!H:H,"Transport sector mitigation target",Targets!J:J,"GHG",Targets!L:L,"Conditional")&gt;0,"GHG conditional only",IF(COUNTIFS(Targets!A:A,A367,Targets!H:H,"Transport sector mitigation target",Targets!J:J,"GHG",Targets!L:L,"Unconditional")&gt;0,"GHG unconditional only",IF(COUNTIFS(Targets!A:A,A367,Targets!H:H,"Transport sector mitigation target",Targets!J:J,"GHG",Targets!L:L,"Unclear conditionality")&gt;0,"Conditionality unclear",""))))))</f>
        <v>No transport target</v>
      </c>
      <c r="N367" s="43" t="str" cm="1">
        <f t="array" ref="N367">IF(ISNUMBER(MATCH("Transport sector adaptation target", _xlfn._xlws.FILTER(Targets!H:H, Targets!A:A =A367), 0)), "yes", "no")</f>
        <v>no</v>
      </c>
      <c r="O367" s="43" t="str">
        <f>IF(ISNA(MATCH(A367, Mitigation!A:A, 0)), "no", "yes")</f>
        <v>no</v>
      </c>
      <c r="P367" s="43" t="str">
        <f>IF(ISNA(MATCH(A367, Adaptation!A:A, 0)), "no", "yes")</f>
        <v>no</v>
      </c>
      <c r="Q367" s="43" t="str">
        <f>IF(ISNA(MATCH(A367, Benefits!A:A, 0)), "no", "yes")</f>
        <v>no</v>
      </c>
      <c r="R367" s="350"/>
      <c r="S367" s="350"/>
      <c r="T367" s="17" t="s">
        <v>501</v>
      </c>
      <c r="U367" s="406" t="s">
        <v>883</v>
      </c>
      <c r="V367" s="233" t="str">
        <f>VLOOKUP(Table1[[#This Row],[Country Code]],Table29[],3,FALSE)</f>
        <v>Non-Annex I</v>
      </c>
      <c r="W367" s="233" t="str">
        <f>VLOOKUP(Table1[[#This Row],[Country Code]],Table29[],4,FALSE)</f>
        <v>Asia</v>
      </c>
      <c r="X367" s="233" t="str">
        <f>VLOOKUP(Table1[[#This Row],[Country Code]],Table29[],5,FALSE)</f>
        <v>Middle-income</v>
      </c>
      <c r="Y367" s="43" t="s">
        <v>750</v>
      </c>
      <c r="Z367" s="43"/>
    </row>
    <row r="368" spans="1:26" ht="15" customHeight="1" x14ac:dyDescent="0.25">
      <c r="A368" s="360">
        <v>23939</v>
      </c>
      <c r="B368" s="42" t="s">
        <v>234</v>
      </c>
      <c r="C368" s="243" t="str">
        <f>VLOOKUP(Table1[[#This Row],[Country Code]],Table29[],2,FALSE)</f>
        <v>Iraq</v>
      </c>
      <c r="D368" s="243" t="str">
        <f t="shared" si="12"/>
        <v>Good</v>
      </c>
      <c r="E368" s="176" t="s">
        <v>71</v>
      </c>
      <c r="F368" s="43" t="s">
        <v>528</v>
      </c>
      <c r="G368" s="43" t="str">
        <f t="shared" si="13"/>
        <v>First NDC</v>
      </c>
      <c r="H368" s="43" t="s">
        <v>499</v>
      </c>
      <c r="I368" s="351">
        <v>44484</v>
      </c>
      <c r="J368" s="352" t="s">
        <v>505</v>
      </c>
      <c r="K368" s="320" t="str" cm="1">
        <f t="array" ref="K368">IF(ISNUMBER(MATCH("Transport sector mitigation target", _xlfn._xlws.FILTER(Targets!H:H, Targets!A:A =A368), 0)), "yes", "no")</f>
        <v>no</v>
      </c>
      <c r="L368" s="43" t="str">
        <f>IF(K368="no", "No transport target", IF(AND(COUNTIFS(Targets!A:A, A368, Targets!H:H, "Transport sector mitigation target", Targets!J:J, "GHG") &gt; 0, COUNTIFS(Targets!A:A, A368, Targets!H:H, "Transport sector mitigation target", Targets!J:J, "Non GHG") &gt; 0), "GHG and non-GHG target", IF(COUNTIFS(Targets!A:A, A368, Targets!H:H, "Transport sector mitigation target", Targets!J:J, "GHG") &gt; 0, "GHG target", IF(COUNTIFS(Targets!A:A, A368, Targets!H:H, "Transport sector mitigation target", Targets!J:J, "Non GHG") &gt; 0, "non-GHG target", ""))))</f>
        <v>No transport target</v>
      </c>
      <c r="M368" s="43" t="str">
        <f>IF(K368="no","No transport target",IF(L368="non-GHG target","No GHG transport target",IF(AND(COUNTIFS(Targets!A:A,A368,Targets!H:H,"Transport sector mitigation target",Targets!J:J,"GHG",Targets!L:L,"Conditional")&gt;0,COUNTIFS(Targets!A:A,A368,Targets!H:H,"Transport sector mitigation target",Targets!J:J,"GHG",Targets!L:L,"Unconditional")&gt;0),"GHG unconditional and conditional",IF(COUNTIFS(Targets!A:A,A368,Targets!H:H,"Transport sector mitigation target",Targets!J:J,"GHG",Targets!L:L,"Conditional")&gt;0,"GHG conditional only",IF(COUNTIFS(Targets!A:A,A368,Targets!H:H,"Transport sector mitigation target",Targets!J:J,"GHG",Targets!L:L,"Unconditional")&gt;0,"GHG unconditional only",IF(COUNTIFS(Targets!A:A,A368,Targets!H:H,"Transport sector mitigation target",Targets!J:J,"GHG",Targets!L:L,"Unclear conditionality")&gt;0,"Conditionality unclear",""))))))</f>
        <v>No transport target</v>
      </c>
      <c r="N368" s="43" t="str" cm="1">
        <f t="array" ref="N368">IF(ISNUMBER(MATCH("Transport sector adaptation target", _xlfn._xlws.FILTER(Targets!H:H, Targets!A:A =A368), 0)), "yes", "no")</f>
        <v>no</v>
      </c>
      <c r="O368" s="43" t="str">
        <f>IF(ISNA(MATCH(A368, Mitigation!A:A, 0)), "no", "yes")</f>
        <v>yes</v>
      </c>
      <c r="P368" s="43" t="str">
        <f>IF(ISNA(MATCH(A368, Adaptation!A:A, 0)), "no", "yes")</f>
        <v>yes</v>
      </c>
      <c r="Q368" s="43" t="str">
        <f>IF(ISNA(MATCH(A368, Benefits!A:A, 0)), "no", "yes")</f>
        <v>no</v>
      </c>
      <c r="R368" s="43"/>
      <c r="S368" s="43"/>
      <c r="T368" s="43" t="s">
        <v>501</v>
      </c>
      <c r="U368" s="312" t="s">
        <v>883</v>
      </c>
      <c r="V368" s="233" t="str">
        <f>VLOOKUP(Table1[[#This Row],[Country Code]],Table29[],3,FALSE)</f>
        <v>Non-Annex I</v>
      </c>
      <c r="W368" s="233" t="str">
        <f>VLOOKUP(Table1[[#This Row],[Country Code]],Table29[],4,FALSE)</f>
        <v>Asia</v>
      </c>
      <c r="X368" s="233" t="str">
        <f>VLOOKUP(Table1[[#This Row],[Country Code]],Table29[],5,FALSE)</f>
        <v>Middle-income</v>
      </c>
      <c r="Y368" s="43"/>
      <c r="Z368" s="43"/>
    </row>
    <row r="369" spans="1:26" s="27" customFormat="1" ht="15" customHeight="1" x14ac:dyDescent="0.25">
      <c r="A369" s="360">
        <v>23766</v>
      </c>
      <c r="B369" s="42" t="s">
        <v>89</v>
      </c>
      <c r="C369" s="243" t="str">
        <f>VLOOKUP(Table1[[#This Row],[Country Code]],Table29[],2,FALSE)</f>
        <v>Bahrain</v>
      </c>
      <c r="D369" s="243" t="str">
        <f t="shared" si="12"/>
        <v>Good</v>
      </c>
      <c r="E369" s="176" t="s">
        <v>71</v>
      </c>
      <c r="F369" s="43" t="s">
        <v>528</v>
      </c>
      <c r="G369" s="43" t="str">
        <f t="shared" si="13"/>
        <v>First NDC updated</v>
      </c>
      <c r="H369" s="43" t="s">
        <v>691</v>
      </c>
      <c r="I369" s="351">
        <v>44487</v>
      </c>
      <c r="J369" s="352" t="s">
        <v>505</v>
      </c>
      <c r="K369" s="320" t="str" cm="1">
        <f t="array" ref="K369">IF(ISNUMBER(MATCH("Transport sector mitigation target", _xlfn._xlws.FILTER(Targets!H:H, Targets!A:A =A369), 0)), "yes", "no")</f>
        <v>no</v>
      </c>
      <c r="L369" s="43" t="str">
        <f>IF(K369="no", "No transport target", IF(AND(COUNTIFS(Targets!A:A, A369, Targets!H:H, "Transport sector mitigation target", Targets!J:J, "GHG") &gt; 0, COUNTIFS(Targets!A:A, A369, Targets!H:H, "Transport sector mitigation target", Targets!J:J, "Non GHG") &gt; 0), "GHG and non-GHG target", IF(COUNTIFS(Targets!A:A, A369, Targets!H:H, "Transport sector mitigation target", Targets!J:J, "GHG") &gt; 0, "GHG target", IF(COUNTIFS(Targets!A:A, A369, Targets!H:H, "Transport sector mitigation target", Targets!J:J, "Non GHG") &gt; 0, "non-GHG target", ""))))</f>
        <v>No transport target</v>
      </c>
      <c r="M369" s="43" t="str">
        <f>IF(K369="no","No transport target",IF(L369="non-GHG target","No GHG transport target",IF(AND(COUNTIFS(Targets!A:A,A369,Targets!H:H,"Transport sector mitigation target",Targets!J:J,"GHG",Targets!L:L,"Conditional")&gt;0,COUNTIFS(Targets!A:A,A369,Targets!H:H,"Transport sector mitigation target",Targets!J:J,"GHG",Targets!L:L,"Unconditional")&gt;0),"GHG unconditional and conditional",IF(COUNTIFS(Targets!A:A,A369,Targets!H:H,"Transport sector mitigation target",Targets!J:J,"GHG",Targets!L:L,"Conditional")&gt;0,"GHG conditional only",IF(COUNTIFS(Targets!A:A,A369,Targets!H:H,"Transport sector mitigation target",Targets!J:J,"GHG",Targets!L:L,"Unconditional")&gt;0,"GHG unconditional only",IF(COUNTIFS(Targets!A:A,A369,Targets!H:H,"Transport sector mitigation target",Targets!J:J,"GHG",Targets!L:L,"Unclear conditionality")&gt;0,"Conditionality unclear",""))))))</f>
        <v>No transport target</v>
      </c>
      <c r="N369" s="43" t="str" cm="1">
        <f t="array" ref="N369">IF(ISNUMBER(MATCH("Transport sector adaptation target", _xlfn._xlws.FILTER(Targets!H:H, Targets!A:A =A369), 0)), "yes", "no")</f>
        <v>no</v>
      </c>
      <c r="O369" s="43" t="str">
        <f>IF(ISNA(MATCH(A369, Mitigation!A:A, 0)), "no", "yes")</f>
        <v>no</v>
      </c>
      <c r="P369" s="43" t="str">
        <f>IF(ISNA(MATCH(A369, Adaptation!A:A, 0)), "no", "yes")</f>
        <v>no</v>
      </c>
      <c r="Q369" s="43" t="str">
        <f>IF(ISNA(MATCH(A369, Benefits!A:A, 0)), "no", "yes")</f>
        <v>no</v>
      </c>
      <c r="R369" s="43"/>
      <c r="S369" s="43"/>
      <c r="T369" s="43" t="s">
        <v>501</v>
      </c>
      <c r="U369" s="312" t="s">
        <v>884</v>
      </c>
      <c r="V369" s="233" t="str">
        <f>VLOOKUP(Table1[[#This Row],[Country Code]],Table29[],3,FALSE)</f>
        <v>Non-Annex I</v>
      </c>
      <c r="W369" s="233" t="str">
        <f>VLOOKUP(Table1[[#This Row],[Country Code]],Table29[],4,FALSE)</f>
        <v>Asia</v>
      </c>
      <c r="X369" s="233" t="str">
        <f>VLOOKUP(Table1[[#This Row],[Country Code]],Table29[],5,FALSE)</f>
        <v>High-income</v>
      </c>
      <c r="Y369" s="43"/>
      <c r="Z369" s="43"/>
    </row>
    <row r="370" spans="1:26" ht="15" customHeight="1" x14ac:dyDescent="0.25">
      <c r="A370" s="360">
        <v>21254</v>
      </c>
      <c r="B370" s="43" t="s">
        <v>238</v>
      </c>
      <c r="C370" s="243" t="str">
        <f>VLOOKUP(Table1[[#This Row],[Country Code]],Table29[],2,FALSE)</f>
        <v>Israel</v>
      </c>
      <c r="D370" s="243" t="str">
        <f t="shared" si="12"/>
        <v>Good</v>
      </c>
      <c r="E370" s="176" t="s">
        <v>71</v>
      </c>
      <c r="F370" s="43" t="s">
        <v>528</v>
      </c>
      <c r="G370" s="43" t="str">
        <f t="shared" si="13"/>
        <v>First NDC updated</v>
      </c>
      <c r="H370" s="43" t="s">
        <v>691</v>
      </c>
      <c r="I370" s="351">
        <v>44406</v>
      </c>
      <c r="J370" s="352" t="s">
        <v>505</v>
      </c>
      <c r="K370" s="320" t="str" cm="1">
        <f t="array" ref="K370">IF(ISNUMBER(MATCH("Transport sector mitigation target", _xlfn._xlws.FILTER(Targets!H:H, Targets!A:A =A370), 0)), "yes", "no")</f>
        <v>yes</v>
      </c>
      <c r="L370" s="43" t="str">
        <f>IF(K370="no", "No transport target", IF(AND(COUNTIFS(Targets!A:A, A370, Targets!H:H, "Transport sector mitigation target", Targets!J:J, "GHG") &gt; 0, COUNTIFS(Targets!A:A, A370, Targets!H:H, "Transport sector mitigation target", Targets!J:J, "Non GHG") &gt; 0), "GHG and non-GHG target", IF(COUNTIFS(Targets!A:A, A370, Targets!H:H, "Transport sector mitigation target", Targets!J:J, "GHG") &gt; 0, "GHG target", IF(COUNTIFS(Targets!A:A, A370, Targets!H:H, "Transport sector mitigation target", Targets!J:J, "Non GHG") &gt; 0, "non-GHG target", ""))))</f>
        <v>GHG and non-GHG target</v>
      </c>
      <c r="M370" s="43" t="str">
        <f>IF(K370="no","No transport target",IF(L370="non-GHG target","No GHG transport target",IF(AND(COUNTIFS(Targets!A:A,A370,Targets!H:H,"Transport sector mitigation target",Targets!J:J,"GHG",Targets!L:L,"Conditional")&gt;0,COUNTIFS(Targets!A:A,A370,Targets!H:H,"Transport sector mitigation target",Targets!J:J,"GHG",Targets!L:L,"Unconditional")&gt;0),"GHG unconditional and conditional",IF(COUNTIFS(Targets!A:A,A370,Targets!H:H,"Transport sector mitigation target",Targets!J:J,"GHG",Targets!L:L,"Conditional")&gt;0,"GHG conditional only",IF(COUNTIFS(Targets!A:A,A370,Targets!H:H,"Transport sector mitigation target",Targets!J:J,"GHG",Targets!L:L,"Unconditional")&gt;0,"GHG unconditional only",IF(COUNTIFS(Targets!A:A,A370,Targets!H:H,"Transport sector mitigation target",Targets!J:J,"GHG",Targets!L:L,"Unclear conditionality")&gt;0,"Conditionality unclear",""))))))</f>
        <v>GHG unconditional only</v>
      </c>
      <c r="N370" s="43" t="str" cm="1">
        <f t="array" ref="N370">IF(ISNUMBER(MATCH("Transport sector adaptation target", _xlfn._xlws.FILTER(Targets!H:H, Targets!A:A =A370), 0)), "yes", "no")</f>
        <v>no</v>
      </c>
      <c r="O370" s="43" t="str">
        <f>IF(ISNA(MATCH(A370, Mitigation!A:A, 0)), "no", "yes")</f>
        <v>yes</v>
      </c>
      <c r="P370" s="43" t="str">
        <f>IF(ISNA(MATCH(A370, Adaptation!A:A, 0)), "no", "yes")</f>
        <v>no</v>
      </c>
      <c r="Q370" s="43" t="str">
        <f>IF(ISNA(MATCH(A370, Benefits!A:A, 0)), "no", "yes")</f>
        <v>no</v>
      </c>
      <c r="R370" s="43"/>
      <c r="S370" s="43"/>
      <c r="T370" s="43" t="s">
        <v>501</v>
      </c>
      <c r="U370" s="312" t="s">
        <v>885</v>
      </c>
      <c r="V370" s="233" t="str">
        <f>VLOOKUP(Table1[[#This Row],[Country Code]],Table29[],3,FALSE)</f>
        <v>Non-Annex I</v>
      </c>
      <c r="W370" s="233" t="str">
        <f>VLOOKUP(Table1[[#This Row],[Country Code]],Table29[],4,FALSE)</f>
        <v>Asia</v>
      </c>
      <c r="X370" s="233" t="str">
        <f>VLOOKUP(Table1[[#This Row],[Country Code]],Table29[],5,FALSE)</f>
        <v>High-income</v>
      </c>
      <c r="Y370" s="43"/>
      <c r="Z370" s="43"/>
    </row>
    <row r="371" spans="1:26" ht="15" customHeight="1" x14ac:dyDescent="0.25">
      <c r="A371" s="405">
        <v>24788</v>
      </c>
      <c r="B371" s="17" t="s">
        <v>133</v>
      </c>
      <c r="C371" s="206" t="str">
        <f>VLOOKUP(Table1[[#This Row],[Country Code]],Table29[],2,FALSE)</f>
        <v>Chad</v>
      </c>
      <c r="D371" s="243" t="str">
        <f t="shared" si="12"/>
        <v>Good</v>
      </c>
      <c r="E371" s="20" t="s">
        <v>71</v>
      </c>
      <c r="F371" s="17" t="s">
        <v>528</v>
      </c>
      <c r="G371" s="43" t="str">
        <f t="shared" si="13"/>
        <v>First NDC updated</v>
      </c>
      <c r="H371" s="17" t="s">
        <v>691</v>
      </c>
      <c r="I371" s="149">
        <v>44488</v>
      </c>
      <c r="J371" s="187" t="s">
        <v>505</v>
      </c>
      <c r="K371" s="49" t="str" cm="1">
        <f t="array" ref="K371">IF(ISNUMBER(MATCH("Transport sector mitigation target", _xlfn._xlws.FILTER(Targets!H:H, Targets!A:A =A371), 0)), "yes", "no")</f>
        <v>no</v>
      </c>
      <c r="L371" s="17" t="str">
        <f>IF(K371="no", "No transport target", IF(AND(COUNTIFS(Targets!A:A, A371, Targets!H:H, "Transport sector mitigation target", Targets!J:J, "GHG") &gt; 0, COUNTIFS(Targets!A:A, A371, Targets!H:H, "Transport sector mitigation target", Targets!J:J, "Non GHG") &gt; 0), "GHG and non-GHG target", IF(COUNTIFS(Targets!A:A, A371, Targets!H:H, "Transport sector mitigation target", Targets!J:J, "GHG") &gt; 0, "GHG target", IF(COUNTIFS(Targets!A:A, A371, Targets!H:H, "Transport sector mitigation target", Targets!J:J, "Non GHG") &gt; 0, "non-GHG target", ""))))</f>
        <v>No transport target</v>
      </c>
      <c r="M371" s="17" t="str">
        <f>IF(K371="no","No transport target",IF(L371="non-GHG target","No GHG transport target",IF(AND(COUNTIFS(Targets!A:A,A371,Targets!H:H,"Transport sector mitigation target",Targets!J:J,"GHG",Targets!L:L,"Conditional")&gt;0,COUNTIFS(Targets!A:A,A371,Targets!H:H,"Transport sector mitigation target",Targets!J:J,"GHG",Targets!L:L,"Unconditional")&gt;0),"GHG unconditional and conditional",IF(COUNTIFS(Targets!A:A,A371,Targets!H:H,"Transport sector mitigation target",Targets!J:J,"GHG",Targets!L:L,"Conditional")&gt;0,"GHG conditional only",IF(COUNTIFS(Targets!A:A,A371,Targets!H:H,"Transport sector mitigation target",Targets!J:J,"GHG",Targets!L:L,"Unconditional")&gt;0,"GHG unconditional only",IF(COUNTIFS(Targets!A:A,A371,Targets!H:H,"Transport sector mitigation target",Targets!J:J,"GHG",Targets!L:L,"Unclear conditionality")&gt;0,"Conditionality unclear",""))))))</f>
        <v>No transport target</v>
      </c>
      <c r="N371" s="17" t="str" cm="1">
        <f t="array" ref="N371">IF(ISNUMBER(MATCH("Transport sector adaptation target", _xlfn._xlws.FILTER(Targets!H:H, Targets!A:A =A371), 0)), "yes", "no")</f>
        <v>no</v>
      </c>
      <c r="O371" s="17" t="str">
        <f>IF(ISNA(MATCH(A371, Mitigation!A:A, 0)), "no", "yes")</f>
        <v>no</v>
      </c>
      <c r="P371" s="17" t="str">
        <f>IF(ISNA(MATCH(A371, Adaptation!A:A, 0)), "no", "yes")</f>
        <v>yes</v>
      </c>
      <c r="Q371" s="17" t="str">
        <f>IF(ISNA(MATCH(A371, Benefits!A:A, 0)), "no", "yes")</f>
        <v>no</v>
      </c>
      <c r="R371" s="17"/>
      <c r="S371" s="17"/>
      <c r="T371" s="17" t="s">
        <v>501</v>
      </c>
      <c r="U371" s="135" t="s">
        <v>886</v>
      </c>
      <c r="V371" s="207" t="str">
        <f>VLOOKUP(Table1[[#This Row],[Country Code]],Table29[],3,FALSE)</f>
        <v>Non-Annex I</v>
      </c>
      <c r="W371" s="207" t="str">
        <f>VLOOKUP(Table1[[#This Row],[Country Code]],Table29[],4,FALSE)</f>
        <v>Africa</v>
      </c>
      <c r="X371" s="207" t="str">
        <f>VLOOKUP(Table1[[#This Row],[Country Code]],Table29[],5,FALSE)</f>
        <v>Low-income</v>
      </c>
      <c r="Y371" s="17"/>
      <c r="Z371" s="17"/>
    </row>
    <row r="372" spans="1:26" ht="15" customHeight="1" x14ac:dyDescent="0.25">
      <c r="A372" s="360">
        <v>42011</v>
      </c>
      <c r="B372" s="43" t="s">
        <v>329</v>
      </c>
      <c r="C372" s="233" t="s">
        <v>330</v>
      </c>
      <c r="D372" s="243" t="str">
        <f t="shared" si="12"/>
        <v>Good</v>
      </c>
      <c r="E372" s="20" t="s">
        <v>748</v>
      </c>
      <c r="F372" s="17" t="s">
        <v>748</v>
      </c>
      <c r="G372" s="43" t="str">
        <f t="shared" si="13"/>
        <v>National policy document</v>
      </c>
      <c r="H372" s="148" t="s">
        <v>52</v>
      </c>
      <c r="I372" s="163">
        <v>44489</v>
      </c>
      <c r="J372" s="187" t="s">
        <v>505</v>
      </c>
      <c r="K372" s="49" t="str" cm="1">
        <f t="array" ref="K372">IF(ISNUMBER(MATCH("Transport sector mitigation target", _xlfn._xlws.FILTER(Targets!H:H, Targets!A:A =A372), 0)), "yes", "no")</f>
        <v>no</v>
      </c>
      <c r="L372" s="17" t="str">
        <f>IF(K372="no", "No transport target", IF(AND(COUNTIFS(Targets!A:A, A372, Targets!H:H, "Transport sector mitigation target", Targets!J:J, "GHG") &gt; 0, COUNTIFS(Targets!A:A, A372, Targets!H:H, "Transport sector mitigation target", Targets!J:J, "Non GHG") &gt; 0), "GHG and non-GHG target", IF(COUNTIFS(Targets!A:A, A372, Targets!H:H, "Transport sector mitigation target", Targets!J:J, "GHG") &gt; 0, "GHG target", IF(COUNTIFS(Targets!A:A, A372, Targets!H:H, "Transport sector mitigation target", Targets!J:J, "Non GHG") &gt; 0, "non-GHG target", ""))))</f>
        <v>No transport target</v>
      </c>
      <c r="M372" s="17" t="str">
        <f>IF(K372="no","No transport target",IF(L372="non-GHG target","No GHG transport target",IF(AND(COUNTIFS(Targets!A:A,A372,Targets!H:H,"Transport sector mitigation target",Targets!J:J,"GHG",Targets!L:L,"Conditional")&gt;0,COUNTIFS(Targets!A:A,A372,Targets!H:H,"Transport sector mitigation target",Targets!J:J,"GHG",Targets!L:L,"Unconditional")&gt;0),"GHG unconditional and conditional",IF(COUNTIFS(Targets!A:A,A372,Targets!H:H,"Transport sector mitigation target",Targets!J:J,"GHG",Targets!L:L,"Conditional")&gt;0,"GHG conditional only",IF(COUNTIFS(Targets!A:A,A372,Targets!H:H,"Transport sector mitigation target",Targets!J:J,"GHG",Targets!L:L,"Unconditional")&gt;0,"GHG unconditional only",IF(COUNTIFS(Targets!A:A,A372,Targets!H:H,"Transport sector mitigation target",Targets!J:J,"GHG",Targets!L:L,"Unclear conditionality")&gt;0,"Conditionality unclear",""))))))</f>
        <v>No transport target</v>
      </c>
      <c r="N372" s="17" t="str" cm="1">
        <f t="array" ref="N372">IF(ISNUMBER(MATCH("Transport sector adaptation target", _xlfn._xlws.FILTER(Targets!H:H, Targets!A:A =A372), 0)), "yes", "no")</f>
        <v>no</v>
      </c>
      <c r="O372" s="17" t="str">
        <f>IF(ISNA(MATCH(A372, Mitigation!A:A, 0)), "no", "yes")</f>
        <v>no</v>
      </c>
      <c r="P372" s="17" t="str">
        <f>IF(ISNA(MATCH(A372, Adaptation!A:A, 0)), "no", "yes")</f>
        <v>no</v>
      </c>
      <c r="Q372" s="17" t="str">
        <f>IF(ISNA(MATCH(A372, Benefits!A:A, 0)), "no", "yes")</f>
        <v>no</v>
      </c>
      <c r="R372" s="148"/>
      <c r="S372" s="148"/>
      <c r="T372" s="17" t="s">
        <v>501</v>
      </c>
      <c r="U372" s="169" t="s">
        <v>887</v>
      </c>
      <c r="V372" s="207" t="str">
        <f>VLOOKUP(Table1[[#This Row],[Country Code]],Table29[],3,FALSE)</f>
        <v>Non-Annex I</v>
      </c>
      <c r="W372" s="207" t="str">
        <f>VLOOKUP(Table1[[#This Row],[Country Code]],Table29[],4,FALSE)</f>
        <v>Africa</v>
      </c>
      <c r="X372" s="207" t="str">
        <f>VLOOKUP(Table1[[#This Row],[Country Code]],Table29[],5,FALSE)</f>
        <v>Middle-income</v>
      </c>
      <c r="Y372" s="43" t="s">
        <v>750</v>
      </c>
      <c r="Z372" s="17"/>
    </row>
    <row r="373" spans="1:26" ht="15" customHeight="1" x14ac:dyDescent="0.25">
      <c r="A373" s="360">
        <v>23767</v>
      </c>
      <c r="B373" s="17" t="s">
        <v>338</v>
      </c>
      <c r="C373" s="206" t="str">
        <f>VLOOKUP(Table1[[#This Row],[Country Code]],Table29[],2,FALSE)</f>
        <v>Pakistan</v>
      </c>
      <c r="D373" s="243" t="str">
        <f t="shared" si="12"/>
        <v>Good</v>
      </c>
      <c r="E373" s="20" t="s">
        <v>71</v>
      </c>
      <c r="F373" s="17" t="s">
        <v>525</v>
      </c>
      <c r="G373" s="43" t="str">
        <f t="shared" si="13"/>
        <v>First NDC updated</v>
      </c>
      <c r="H373" s="17" t="s">
        <v>691</v>
      </c>
      <c r="I373" s="149">
        <v>44490</v>
      </c>
      <c r="J373" s="49" t="s">
        <v>500</v>
      </c>
      <c r="K373" s="49" t="str" cm="1">
        <f t="array" ref="K373">IF(ISNUMBER(MATCH("Transport sector mitigation target", _xlfn._xlws.FILTER(Targets!H:H, Targets!A:A =A373), 0)), "yes", "no")</f>
        <v>no</v>
      </c>
      <c r="L373" s="17" t="str">
        <f>IF(K373="no", "No transport target", IF(AND(COUNTIFS(Targets!A:A, A373, Targets!H:H, "Transport sector mitigation target", Targets!J:J, "GHG") &gt; 0, COUNTIFS(Targets!A:A, A373, Targets!H:H, "Transport sector mitigation target", Targets!J:J, "Non GHG") &gt; 0), "GHG and non-GHG target", IF(COUNTIFS(Targets!A:A, A373, Targets!H:H, "Transport sector mitigation target", Targets!J:J, "GHG") &gt; 0, "GHG target", IF(COUNTIFS(Targets!A:A, A373, Targets!H:H, "Transport sector mitigation target", Targets!J:J, "Non GHG") &gt; 0, "non-GHG target", ""))))</f>
        <v>No transport target</v>
      </c>
      <c r="M373" s="17" t="str">
        <f>IF(K373="no","No transport target",IF(L373="non-GHG target","No GHG transport target",IF(AND(COUNTIFS(Targets!A:A,A373,Targets!H:H,"Transport sector mitigation target",Targets!J:J,"GHG",Targets!L:L,"Conditional")&gt;0,COUNTIFS(Targets!A:A,A373,Targets!H:H,"Transport sector mitigation target",Targets!J:J,"GHG",Targets!L:L,"Unconditional")&gt;0),"GHG unconditional and conditional",IF(COUNTIFS(Targets!A:A,A373,Targets!H:H,"Transport sector mitigation target",Targets!J:J,"GHG",Targets!L:L,"Conditional")&gt;0,"GHG conditional only",IF(COUNTIFS(Targets!A:A,A373,Targets!H:H,"Transport sector mitigation target",Targets!J:J,"GHG",Targets!L:L,"Unconditional")&gt;0,"GHG unconditional only",IF(COUNTIFS(Targets!A:A,A373,Targets!H:H,"Transport sector mitigation target",Targets!J:J,"GHG",Targets!L:L,"Unclear conditionality")&gt;0,"Conditionality unclear",""))))))</f>
        <v>No transport target</v>
      </c>
      <c r="N373" s="17" t="str" cm="1">
        <f t="array" ref="N373">IF(ISNUMBER(MATCH("Transport sector adaptation target", _xlfn._xlws.FILTER(Targets!H:H, Targets!A:A =A373), 0)), "yes", "no")</f>
        <v>no</v>
      </c>
      <c r="O373" s="17" t="str">
        <f>IF(ISNA(MATCH(A373, Mitigation!A:A, 0)), "no", "yes")</f>
        <v>no</v>
      </c>
      <c r="P373" s="17" t="str">
        <f>IF(ISNA(MATCH(A373, Adaptation!A:A, 0)), "no", "yes")</f>
        <v>no</v>
      </c>
      <c r="Q373" s="17" t="str">
        <f>IF(ISNA(MATCH(A373, Benefits!A:A, 0)), "no", "yes")</f>
        <v>no</v>
      </c>
      <c r="R373" s="17"/>
      <c r="S373" s="17"/>
      <c r="T373" s="17" t="s">
        <v>501</v>
      </c>
      <c r="U373" s="135" t="s">
        <v>888</v>
      </c>
      <c r="V373" s="207" t="str">
        <f>VLOOKUP(Table1[[#This Row],[Country Code]],Table29[],3,FALSE)</f>
        <v>Non-Annex I</v>
      </c>
      <c r="W373" s="207" t="str">
        <f>VLOOKUP(Table1[[#This Row],[Country Code]],Table29[],4,FALSE)</f>
        <v>Asia</v>
      </c>
      <c r="X373" s="207" t="str">
        <f>VLOOKUP(Table1[[#This Row],[Country Code]],Table29[],5,FALSE)</f>
        <v>Middle-income</v>
      </c>
      <c r="Y373" s="17"/>
      <c r="Z373" s="17"/>
    </row>
    <row r="374" spans="1:26" ht="15" customHeight="1" x14ac:dyDescent="0.25">
      <c r="A374" s="360">
        <v>32530</v>
      </c>
      <c r="B374" s="43" t="s">
        <v>245</v>
      </c>
      <c r="C374" s="243" t="str">
        <f>VLOOKUP(Table1[[#This Row],[Country Code]],Table29[],2,FALSE)</f>
        <v>Japan</v>
      </c>
      <c r="D374" s="243" t="str">
        <f t="shared" si="12"/>
        <v>Good</v>
      </c>
      <c r="E374" s="176" t="s">
        <v>71</v>
      </c>
      <c r="F374" s="43" t="s">
        <v>528</v>
      </c>
      <c r="G374" s="43" t="str">
        <f t="shared" si="13"/>
        <v>First NDC updated</v>
      </c>
      <c r="H374" s="43" t="s">
        <v>889</v>
      </c>
      <c r="I374" s="351">
        <v>44491</v>
      </c>
      <c r="J374" s="352" t="s">
        <v>500</v>
      </c>
      <c r="K374" s="320" t="str" cm="1">
        <f t="array" ref="K374">IF(ISNUMBER(MATCH("Transport sector mitigation target", _xlfn._xlws.FILTER(Targets!H:H, Targets!A:A =A374), 0)), "yes", "no")</f>
        <v>yes</v>
      </c>
      <c r="L374" s="43" t="str">
        <f>IF(K374="no", "No transport target", IF(AND(COUNTIFS(Targets!A:A, A374, Targets!H:H, "Transport sector mitigation target", Targets!J:J, "GHG") &gt; 0, COUNTIFS(Targets!A:A, A374, Targets!H:H, "Transport sector mitigation target", Targets!J:J, "Non GHG") &gt; 0), "GHG and non-GHG target", IF(COUNTIFS(Targets!A:A, A374, Targets!H:H, "Transport sector mitigation target", Targets!J:J, "GHG") &gt; 0, "GHG target", IF(COUNTIFS(Targets!A:A, A374, Targets!H:H, "Transport sector mitigation target", Targets!J:J, "Non GHG") &gt; 0, "non-GHG target", ""))))</f>
        <v>GHG target</v>
      </c>
      <c r="M374" s="43" t="str">
        <f>IF(K374="no","No transport target",IF(L374="non-GHG target","No GHG transport target",IF(AND(COUNTIFS(Targets!A:A,A374,Targets!H:H,"Transport sector mitigation target",Targets!J:J,"GHG",Targets!L:L,"Conditional")&gt;0,COUNTIFS(Targets!A:A,A374,Targets!H:H,"Transport sector mitigation target",Targets!J:J,"GHG",Targets!L:L,"Unconditional")&gt;0),"GHG unconditional and conditional",IF(COUNTIFS(Targets!A:A,A374,Targets!H:H,"Transport sector mitigation target",Targets!J:J,"GHG",Targets!L:L,"Conditional")&gt;0,"GHG conditional only",IF(COUNTIFS(Targets!A:A,A374,Targets!H:H,"Transport sector mitigation target",Targets!J:J,"GHG",Targets!L:L,"Unconditional")&gt;0,"GHG unconditional only",IF(COUNTIFS(Targets!A:A,A374,Targets!H:H,"Transport sector mitigation target",Targets!J:J,"GHG",Targets!L:L,"Unclear conditionality")&gt;0,"Conditionality unclear",""))))))</f>
        <v>GHG unconditional only</v>
      </c>
      <c r="N374" s="43" t="str" cm="1">
        <f t="array" ref="N374">IF(ISNUMBER(MATCH("Transport sector adaptation target", _xlfn._xlws.FILTER(Targets!H:H, Targets!A:A =A374), 0)), "yes", "no")</f>
        <v>no</v>
      </c>
      <c r="O374" s="43" t="str">
        <f>IF(ISNA(MATCH(A374, Mitigation!A:A, 0)), "no", "yes")</f>
        <v>no</v>
      </c>
      <c r="P374" s="43" t="str">
        <f>IF(ISNA(MATCH(A374, Adaptation!A:A, 0)), "no", "yes")</f>
        <v>no</v>
      </c>
      <c r="Q374" s="43" t="str">
        <f>IF(ISNA(MATCH(A374, Benefits!A:A, 0)), "no", "yes")</f>
        <v>no</v>
      </c>
      <c r="R374" s="43"/>
      <c r="S374" s="43"/>
      <c r="T374" s="43" t="s">
        <v>501</v>
      </c>
      <c r="U374" s="363" t="s">
        <v>890</v>
      </c>
      <c r="V374" s="233" t="str">
        <f>VLOOKUP(Table1[[#This Row],[Country Code]],Table29[],3,FALSE)</f>
        <v>Annex I</v>
      </c>
      <c r="W374" s="233" t="str">
        <f>VLOOKUP(Table1[[#This Row],[Country Code]],Table29[],4,FALSE)</f>
        <v>Asia</v>
      </c>
      <c r="X374" s="233" t="str">
        <f>VLOOKUP(Table1[[#This Row],[Country Code]],Table29[],5,FALSE)</f>
        <v>High-income</v>
      </c>
      <c r="Y374" s="43"/>
      <c r="Z374" s="43"/>
    </row>
    <row r="375" spans="1:26" ht="15" customHeight="1" x14ac:dyDescent="0.25">
      <c r="A375" s="360">
        <v>42009</v>
      </c>
      <c r="B375" s="43" t="s">
        <v>384</v>
      </c>
      <c r="C375" s="233" t="s">
        <v>385</v>
      </c>
      <c r="D375" s="243" t="str">
        <f t="shared" si="12"/>
        <v>Good</v>
      </c>
      <c r="E375" s="20" t="s">
        <v>774</v>
      </c>
      <c r="F375" s="43" t="s">
        <v>780</v>
      </c>
      <c r="G375" s="43" t="str">
        <f t="shared" si="13"/>
        <v>WRI Net Zero Tracker</v>
      </c>
      <c r="H375" s="148" t="s">
        <v>52</v>
      </c>
      <c r="I375" s="163">
        <v>44492</v>
      </c>
      <c r="J375" s="187" t="s">
        <v>505</v>
      </c>
      <c r="K375" s="49" t="str" cm="1">
        <f t="array" ref="K375">IF(ISNUMBER(MATCH("Transport sector mitigation target", _xlfn._xlws.FILTER(Targets!H:H, Targets!A:A =A375), 0)), "yes", "no")</f>
        <v>no</v>
      </c>
      <c r="L375" s="17" t="str">
        <f>IF(K375="no", "No transport target", IF(AND(COUNTIFS(Targets!A:A, A375, Targets!H:H, "Transport sector mitigation target", Targets!J:J, "GHG") &gt; 0, COUNTIFS(Targets!A:A, A375, Targets!H:H, "Transport sector mitigation target", Targets!J:J, "Non GHG") &gt; 0), "GHG and non-GHG target", IF(COUNTIFS(Targets!A:A, A375, Targets!H:H, "Transport sector mitigation target", Targets!J:J, "GHG") &gt; 0, "GHG target", IF(COUNTIFS(Targets!A:A, A375, Targets!H:H, "Transport sector mitigation target", Targets!J:J, "Non GHG") &gt; 0, "non-GHG target", ""))))</f>
        <v>No transport target</v>
      </c>
      <c r="M375" s="17" t="str">
        <f>IF(K375="no","No transport target",IF(L375="non-GHG target","No GHG transport target",IF(AND(COUNTIFS(Targets!A:A,A375,Targets!H:H,"Transport sector mitigation target",Targets!J:J,"GHG",Targets!L:L,"Conditional")&gt;0,COUNTIFS(Targets!A:A,A375,Targets!H:H,"Transport sector mitigation target",Targets!J:J,"GHG",Targets!L:L,"Unconditional")&gt;0),"GHG unconditional and conditional",IF(COUNTIFS(Targets!A:A,A375,Targets!H:H,"Transport sector mitigation target",Targets!J:J,"GHG",Targets!L:L,"Conditional")&gt;0,"GHG conditional only",IF(COUNTIFS(Targets!A:A,A375,Targets!H:H,"Transport sector mitigation target",Targets!J:J,"GHG",Targets!L:L,"Unconditional")&gt;0,"GHG unconditional only",IF(COUNTIFS(Targets!A:A,A375,Targets!H:H,"Transport sector mitigation target",Targets!J:J,"GHG",Targets!L:L,"Unclear conditionality")&gt;0,"Conditionality unclear",""))))))</f>
        <v>No transport target</v>
      </c>
      <c r="N375" s="17" t="str" cm="1">
        <f t="array" ref="N375">IF(ISNUMBER(MATCH("Transport sector adaptation target", _xlfn._xlws.FILTER(Targets!H:H, Targets!A:A =A375), 0)), "yes", "no")</f>
        <v>no</v>
      </c>
      <c r="O375" s="17" t="str">
        <f>IF(ISNA(MATCH(A375, Mitigation!A:A, 0)), "no", "yes")</f>
        <v>no</v>
      </c>
      <c r="P375" s="17" t="str">
        <f>IF(ISNA(MATCH(A375, Adaptation!A:A, 0)), "no", "yes")</f>
        <v>no</v>
      </c>
      <c r="Q375" s="17" t="str">
        <f>IF(ISNA(MATCH(A375, Benefits!A:A, 0)), "no", "yes")</f>
        <v>no</v>
      </c>
      <c r="R375" s="148"/>
      <c r="S375" s="148"/>
      <c r="T375" s="17" t="s">
        <v>501</v>
      </c>
      <c r="U375" s="411" t="s">
        <v>781</v>
      </c>
      <c r="V375" s="207" t="str">
        <f>VLOOKUP(Table1[[#This Row],[Country Code]],Table29[],3,FALSE)</f>
        <v>Non-Annex I</v>
      </c>
      <c r="W375" s="207" t="str">
        <f>VLOOKUP(Table1[[#This Row],[Country Code]],Table29[],4,FALSE)</f>
        <v>Asia</v>
      </c>
      <c r="X375" s="207" t="str">
        <f>VLOOKUP(Table1[[#This Row],[Country Code]],Table29[],5,FALSE)</f>
        <v>High-income</v>
      </c>
      <c r="Y375" s="43" t="s">
        <v>750</v>
      </c>
      <c r="Z375" s="17"/>
    </row>
    <row r="376" spans="1:26" ht="15" customHeight="1" x14ac:dyDescent="0.25">
      <c r="A376" s="405">
        <v>24784</v>
      </c>
      <c r="B376" s="17" t="s">
        <v>384</v>
      </c>
      <c r="C376" s="206" t="str">
        <f>VLOOKUP(Table1[[#This Row],[Country Code]],Table29[],2,FALSE)</f>
        <v>Saudi Arabia</v>
      </c>
      <c r="D376" s="243" t="str">
        <f t="shared" ref="D376:D439" si="14">IF(J376&lt;&gt;"Active",
    "Good",
    IF(COUNTIFS(C:C, C376, E:E, E376, J:J, "Active")&gt;1,
       IF(E376="LTS", "Error: more than one LTS active",
          IF(E376="NDC", "Error: more than one NDC active", "Error")
       ),
       "Good"
    )
)</f>
        <v>Good</v>
      </c>
      <c r="E376" s="20" t="s">
        <v>71</v>
      </c>
      <c r="F376" s="17" t="s">
        <v>528</v>
      </c>
      <c r="G376" s="43" t="str">
        <f t="shared" ref="G376:G439" si="15">IF(H376="NDC 1.0","First NDC",
IF(OR(H376="NDC 1.1",H376="NDC 1.2",H376="NDC 1.3"),"First NDC updated",
IF(H376="NDC 2.0","Second NDC",
IF(OR(H376="NDC 2.1",H376="NDC 2.2",H376="NDC 2.3"),"Second NDC updated",
IF(H376="NDC 3.0","Third NDC",
IF(OR(H376="NDC 3.1",H376="NDC 3.2",H376="NDC 3.3"),"Third NDC updated",
F376))))))</f>
        <v>First NDC updated</v>
      </c>
      <c r="H376" s="17" t="s">
        <v>691</v>
      </c>
      <c r="I376" s="149">
        <v>44492</v>
      </c>
      <c r="J376" s="187" t="s">
        <v>505</v>
      </c>
      <c r="K376" s="49" t="str" cm="1">
        <f t="array" ref="K376">IF(ISNUMBER(MATCH("Transport sector mitigation target", _xlfn._xlws.FILTER(Targets!H:H, Targets!A:A =A376), 0)), "yes", "no")</f>
        <v>no</v>
      </c>
      <c r="L376" s="17" t="str">
        <f>IF(K376="no", "No transport target", IF(AND(COUNTIFS(Targets!A:A, A376, Targets!H:H, "Transport sector mitigation target", Targets!J:J, "GHG") &gt; 0, COUNTIFS(Targets!A:A, A376, Targets!H:H, "Transport sector mitigation target", Targets!J:J, "Non GHG") &gt; 0), "GHG and non-GHG target", IF(COUNTIFS(Targets!A:A, A376, Targets!H:H, "Transport sector mitigation target", Targets!J:J, "GHG") &gt; 0, "GHG target", IF(COUNTIFS(Targets!A:A, A376, Targets!H:H, "Transport sector mitigation target", Targets!J:J, "Non GHG") &gt; 0, "non-GHG target", ""))))</f>
        <v>No transport target</v>
      </c>
      <c r="M376" s="17" t="str">
        <f>IF(K376="no","No transport target",IF(L376="non-GHG target","No GHG transport target",IF(AND(COUNTIFS(Targets!A:A,A376,Targets!H:H,"Transport sector mitigation target",Targets!J:J,"GHG",Targets!L:L,"Conditional")&gt;0,COUNTIFS(Targets!A:A,A376,Targets!H:H,"Transport sector mitigation target",Targets!J:J,"GHG",Targets!L:L,"Unconditional")&gt;0),"GHG unconditional and conditional",IF(COUNTIFS(Targets!A:A,A376,Targets!H:H,"Transport sector mitigation target",Targets!J:J,"GHG",Targets!L:L,"Conditional")&gt;0,"GHG conditional only",IF(COUNTIFS(Targets!A:A,A376,Targets!H:H,"Transport sector mitigation target",Targets!J:J,"GHG",Targets!L:L,"Unconditional")&gt;0,"GHG unconditional only",IF(COUNTIFS(Targets!A:A,A376,Targets!H:H,"Transport sector mitigation target",Targets!J:J,"GHG",Targets!L:L,"Unclear conditionality")&gt;0,"Conditionality unclear",""))))))</f>
        <v>No transport target</v>
      </c>
      <c r="N376" s="17" t="str" cm="1">
        <f t="array" ref="N376">IF(ISNUMBER(MATCH("Transport sector adaptation target", _xlfn._xlws.FILTER(Targets!H:H, Targets!A:A =A376), 0)), "yes", "no")</f>
        <v>no</v>
      </c>
      <c r="O376" s="17" t="str">
        <f>IF(ISNA(MATCH(A376, Mitigation!A:A, 0)), "no", "yes")</f>
        <v>yes</v>
      </c>
      <c r="P376" s="17" t="str">
        <f>IF(ISNA(MATCH(A376, Adaptation!A:A, 0)), "no", "yes")</f>
        <v>no</v>
      </c>
      <c r="Q376" s="17" t="str">
        <f>IF(ISNA(MATCH(A376, Benefits!A:A, 0)), "no", "yes")</f>
        <v>no</v>
      </c>
      <c r="R376" s="17"/>
      <c r="S376" s="17"/>
      <c r="T376" s="17" t="s">
        <v>501</v>
      </c>
      <c r="U376" s="135" t="s">
        <v>891</v>
      </c>
      <c r="V376" s="207" t="str">
        <f>VLOOKUP(Table1[[#This Row],[Country Code]],Table29[],3,FALSE)</f>
        <v>Non-Annex I</v>
      </c>
      <c r="W376" s="207" t="str">
        <f>VLOOKUP(Table1[[#This Row],[Country Code]],Table29[],4,FALSE)</f>
        <v>Asia</v>
      </c>
      <c r="X376" s="207" t="str">
        <f>VLOOKUP(Table1[[#This Row],[Country Code]],Table29[],5,FALSE)</f>
        <v>High-income</v>
      </c>
      <c r="Y376" s="17"/>
      <c r="Z376" s="17"/>
    </row>
    <row r="377" spans="1:26" ht="15" customHeight="1" x14ac:dyDescent="0.25">
      <c r="A377" s="360">
        <v>26796</v>
      </c>
      <c r="B377" s="43" t="s">
        <v>245</v>
      </c>
      <c r="C377" s="243" t="str">
        <f>VLOOKUP(Table1[[#This Row],[Country Code]],Table29[],2,FALSE)</f>
        <v>Japan</v>
      </c>
      <c r="D377" s="243" t="str">
        <f t="shared" si="14"/>
        <v>Good</v>
      </c>
      <c r="E377" s="176" t="s">
        <v>227</v>
      </c>
      <c r="F377" s="43" t="s">
        <v>227</v>
      </c>
      <c r="G377" s="43" t="str">
        <f t="shared" si="15"/>
        <v>LTS</v>
      </c>
      <c r="H377" s="43" t="s">
        <v>722</v>
      </c>
      <c r="I377" s="351">
        <v>44498</v>
      </c>
      <c r="J377" s="352" t="s">
        <v>505</v>
      </c>
      <c r="K377" s="320" t="str" cm="1">
        <f t="array" ref="K377">IF(ISNUMBER(MATCH("Transport sector mitigation target", _xlfn._xlws.FILTER(Targets!H:H, Targets!A:A =A377), 0)), "yes", "no")</f>
        <v>yes</v>
      </c>
      <c r="L377" s="43" t="str">
        <f>IF(K377="no", "No transport target", IF(AND(COUNTIFS(Targets!A:A, A377, Targets!H:H, "Transport sector mitigation target", Targets!J:J, "GHG") &gt; 0, COUNTIFS(Targets!A:A, A377, Targets!H:H, "Transport sector mitigation target", Targets!J:J, "Non GHG") &gt; 0), "GHG and non-GHG target", IF(COUNTIFS(Targets!A:A, A377, Targets!H:H, "Transport sector mitigation target", Targets!J:J, "GHG") &gt; 0, "GHG target", IF(COUNTIFS(Targets!A:A, A377, Targets!H:H, "Transport sector mitigation target", Targets!J:J, "Non GHG") &gt; 0, "non-GHG target", ""))))</f>
        <v>non-GHG target</v>
      </c>
      <c r="M377" s="43" t="str">
        <f>IF(K377="no","No transport target",IF(L377="non-GHG target","No GHG transport target",IF(AND(COUNTIFS(Targets!A:A,A377,Targets!H:H,"Transport sector mitigation target",Targets!J:J,"GHG",Targets!L:L,"Conditional")&gt;0,COUNTIFS(Targets!A:A,A377,Targets!H:H,"Transport sector mitigation target",Targets!J:J,"GHG",Targets!L:L,"Unconditional")&gt;0),"GHG unconditional and conditional",IF(COUNTIFS(Targets!A:A,A377,Targets!H:H,"Transport sector mitigation target",Targets!J:J,"GHG",Targets!L:L,"Conditional")&gt;0,"GHG conditional only",IF(COUNTIFS(Targets!A:A,A377,Targets!H:H,"Transport sector mitigation target",Targets!J:J,"GHG",Targets!L:L,"Unconditional")&gt;0,"GHG unconditional only",IF(COUNTIFS(Targets!A:A,A377,Targets!H:H,"Transport sector mitigation target",Targets!J:J,"GHG",Targets!L:L,"Unclear conditionality")&gt;0,"Conditionality unclear",""))))))</f>
        <v>No GHG transport target</v>
      </c>
      <c r="N377" s="43" t="str" cm="1">
        <f t="array" ref="N377">IF(ISNUMBER(MATCH("Transport sector adaptation target", _xlfn._xlws.FILTER(Targets!H:H, Targets!A:A =A377), 0)), "yes", "no")</f>
        <v>no</v>
      </c>
      <c r="O377" s="43" t="str">
        <f>IF(ISNA(MATCH(A377, Mitigation!A:A, 0)), "no", "yes")</f>
        <v>yes</v>
      </c>
      <c r="P377" s="43" t="str">
        <f>IF(ISNA(MATCH(A377, Adaptation!A:A, 0)), "no", "yes")</f>
        <v>yes</v>
      </c>
      <c r="Q377" s="43" t="str">
        <f>IF(ISNA(MATCH(A377, Benefits!A:A, 0)), "no", "yes")</f>
        <v>no</v>
      </c>
      <c r="R377" s="43"/>
      <c r="S377" s="43"/>
      <c r="T377" s="43" t="s">
        <v>501</v>
      </c>
      <c r="U377" s="312" t="s">
        <v>892</v>
      </c>
      <c r="V377" s="233" t="str">
        <f>VLOOKUP(Table1[[#This Row],[Country Code]],Table29[],3,FALSE)</f>
        <v>Annex I</v>
      </c>
      <c r="W377" s="233" t="str">
        <f>VLOOKUP(Table1[[#This Row],[Country Code]],Table29[],4,FALSE)</f>
        <v>Asia</v>
      </c>
      <c r="X377" s="233" t="str">
        <f>VLOOKUP(Table1[[#This Row],[Country Code]],Table29[],5,FALSE)</f>
        <v>High-income</v>
      </c>
      <c r="Y377" s="43"/>
      <c r="Z377" s="43"/>
    </row>
    <row r="378" spans="1:26" ht="15" customHeight="1" x14ac:dyDescent="0.25">
      <c r="A378" s="360">
        <v>21097</v>
      </c>
      <c r="B378" s="43" t="s">
        <v>211</v>
      </c>
      <c r="C378" s="243" t="str">
        <f>VLOOKUP(Table1[[#This Row],[Country Code]],Table29[],2,FALSE)</f>
        <v>Guatemala</v>
      </c>
      <c r="D378" s="243" t="str">
        <f t="shared" si="14"/>
        <v>Good</v>
      </c>
      <c r="E378" s="176" t="s">
        <v>227</v>
      </c>
      <c r="F378" s="43" t="s">
        <v>227</v>
      </c>
      <c r="G378" s="43" t="str">
        <f t="shared" si="15"/>
        <v>LTS</v>
      </c>
      <c r="H378" s="43" t="s">
        <v>636</v>
      </c>
      <c r="I378" s="351">
        <v>44354</v>
      </c>
      <c r="J378" s="352" t="s">
        <v>505</v>
      </c>
      <c r="K378" s="320" t="str" cm="1">
        <f t="array" ref="K378">IF(ISNUMBER(MATCH("Transport sector mitigation target", _xlfn._xlws.FILTER(Targets!H:H, Targets!A:A =A378), 0)), "yes", "no")</f>
        <v>no</v>
      </c>
      <c r="L378" s="43" t="str">
        <f>IF(K378="no", "No transport target", IF(AND(COUNTIFS(Targets!A:A, A378, Targets!H:H, "Transport sector mitigation target", Targets!J:J, "GHG") &gt; 0, COUNTIFS(Targets!A:A, A378, Targets!H:H, "Transport sector mitigation target", Targets!J:J, "Non GHG") &gt; 0), "GHG and non-GHG target", IF(COUNTIFS(Targets!A:A, A378, Targets!H:H, "Transport sector mitigation target", Targets!J:J, "GHG") &gt; 0, "GHG target", IF(COUNTIFS(Targets!A:A, A378, Targets!H:H, "Transport sector mitigation target", Targets!J:J, "Non GHG") &gt; 0, "non-GHG target", ""))))</f>
        <v>No transport target</v>
      </c>
      <c r="M378" s="43" t="str">
        <f>IF(K378="no","No transport target",IF(L378="non-GHG target","No GHG transport target",IF(AND(COUNTIFS(Targets!A:A,A378,Targets!H:H,"Transport sector mitigation target",Targets!J:J,"GHG",Targets!L:L,"Conditional")&gt;0,COUNTIFS(Targets!A:A,A378,Targets!H:H,"Transport sector mitigation target",Targets!J:J,"GHG",Targets!L:L,"Unconditional")&gt;0),"GHG unconditional and conditional",IF(COUNTIFS(Targets!A:A,A378,Targets!H:H,"Transport sector mitigation target",Targets!J:J,"GHG",Targets!L:L,"Conditional")&gt;0,"GHG conditional only",IF(COUNTIFS(Targets!A:A,A378,Targets!H:H,"Transport sector mitigation target",Targets!J:J,"GHG",Targets!L:L,"Unconditional")&gt;0,"GHG unconditional only",IF(COUNTIFS(Targets!A:A,A378,Targets!H:H,"Transport sector mitigation target",Targets!J:J,"GHG",Targets!L:L,"Unclear conditionality")&gt;0,"Conditionality unclear",""))))))</f>
        <v>No transport target</v>
      </c>
      <c r="N378" s="43" t="str" cm="1">
        <f t="array" ref="N378">IF(ISNUMBER(MATCH("Transport sector adaptation target", _xlfn._xlws.FILTER(Targets!H:H, Targets!A:A =A378), 0)), "yes", "no")</f>
        <v>no</v>
      </c>
      <c r="O378" s="43" t="str">
        <f>IF(ISNA(MATCH(A378, Mitigation!A:A, 0)), "no", "yes")</f>
        <v>yes</v>
      </c>
      <c r="P378" s="43" t="str">
        <f>IF(ISNA(MATCH(A378, Adaptation!A:A, 0)), "no", "yes")</f>
        <v>no</v>
      </c>
      <c r="Q378" s="43" t="str">
        <f>IF(ISNA(MATCH(A378, Benefits!A:A, 0)), "no", "yes")</f>
        <v>yes</v>
      </c>
      <c r="R378" s="43"/>
      <c r="S378" s="43"/>
      <c r="T378" s="43" t="s">
        <v>501</v>
      </c>
      <c r="U378" s="312" t="s">
        <v>893</v>
      </c>
      <c r="V378" s="233" t="str">
        <f>VLOOKUP(Table1[[#This Row],[Country Code]],Table29[],3,FALSE)</f>
        <v>Non-Annex I</v>
      </c>
      <c r="W378" s="233" t="str">
        <f>VLOOKUP(Table1[[#This Row],[Country Code]],Table29[],4,FALSE)</f>
        <v>Latin America and the Caribbean</v>
      </c>
      <c r="X378" s="233" t="str">
        <f>VLOOKUP(Table1[[#This Row],[Country Code]],Table29[],5,FALSE)</f>
        <v>Middle-income</v>
      </c>
      <c r="Y378" s="43"/>
      <c r="Z378" s="43"/>
    </row>
    <row r="379" spans="1:26" ht="15" customHeight="1" x14ac:dyDescent="0.25">
      <c r="A379" s="360">
        <v>22328</v>
      </c>
      <c r="B379" s="42" t="s">
        <v>223</v>
      </c>
      <c r="C379" s="243" t="str">
        <f>VLOOKUP(Table1[[#This Row],[Country Code]],Table29[],2,FALSE)</f>
        <v>Hungary</v>
      </c>
      <c r="D379" s="243" t="str">
        <f t="shared" si="14"/>
        <v>Good</v>
      </c>
      <c r="E379" s="176" t="s">
        <v>227</v>
      </c>
      <c r="F379" s="43" t="s">
        <v>227</v>
      </c>
      <c r="G379" s="43" t="str">
        <f t="shared" si="15"/>
        <v>LTS</v>
      </c>
      <c r="H379" s="43" t="s">
        <v>636</v>
      </c>
      <c r="I379" s="351">
        <v>44456</v>
      </c>
      <c r="J379" s="352" t="s">
        <v>505</v>
      </c>
      <c r="K379" s="320" t="str" cm="1">
        <f t="array" ref="K379">IF(ISNUMBER(MATCH("Transport sector mitigation target", _xlfn._xlws.FILTER(Targets!H:H, Targets!A:A =A379), 0)), "yes", "no")</f>
        <v>no</v>
      </c>
      <c r="L379" s="43" t="str">
        <f>IF(K379="no", "No transport target", IF(AND(COUNTIFS(Targets!A:A, A379, Targets!H:H, "Transport sector mitigation target", Targets!J:J, "GHG") &gt; 0, COUNTIFS(Targets!A:A, A379, Targets!H:H, "Transport sector mitigation target", Targets!J:J, "Non GHG") &gt; 0), "GHG and non-GHG target", IF(COUNTIFS(Targets!A:A, A379, Targets!H:H, "Transport sector mitigation target", Targets!J:J, "GHG") &gt; 0, "GHG target", IF(COUNTIFS(Targets!A:A, A379, Targets!H:H, "Transport sector mitigation target", Targets!J:J, "Non GHG") &gt; 0, "non-GHG target", ""))))</f>
        <v>No transport target</v>
      </c>
      <c r="M379" s="43" t="str">
        <f>IF(K379="no","No transport target",IF(L379="non-GHG target","No GHG transport target",IF(AND(COUNTIFS(Targets!A:A,A379,Targets!H:H,"Transport sector mitigation target",Targets!J:J,"GHG",Targets!L:L,"Conditional")&gt;0,COUNTIFS(Targets!A:A,A379,Targets!H:H,"Transport sector mitigation target",Targets!J:J,"GHG",Targets!L:L,"Unconditional")&gt;0),"GHG unconditional and conditional",IF(COUNTIFS(Targets!A:A,A379,Targets!H:H,"Transport sector mitigation target",Targets!J:J,"GHG",Targets!L:L,"Conditional")&gt;0,"GHG conditional only",IF(COUNTIFS(Targets!A:A,A379,Targets!H:H,"Transport sector mitigation target",Targets!J:J,"GHG",Targets!L:L,"Unconditional")&gt;0,"GHG unconditional only",IF(COUNTIFS(Targets!A:A,A379,Targets!H:H,"Transport sector mitigation target",Targets!J:J,"GHG",Targets!L:L,"Unclear conditionality")&gt;0,"Conditionality unclear",""))))))</f>
        <v>No transport target</v>
      </c>
      <c r="N379" s="43" t="str" cm="1">
        <f t="array" ref="N379">IF(ISNUMBER(MATCH("Transport sector adaptation target", _xlfn._xlws.FILTER(Targets!H:H, Targets!A:A =A379), 0)), "yes", "no")</f>
        <v>no</v>
      </c>
      <c r="O379" s="43" t="str">
        <f>IF(ISNA(MATCH(A379, Mitigation!A:A, 0)), "no", "yes")</f>
        <v>yes</v>
      </c>
      <c r="P379" s="43" t="str">
        <f>IF(ISNA(MATCH(A379, Adaptation!A:A, 0)), "no", "yes")</f>
        <v>no</v>
      </c>
      <c r="Q379" s="43" t="str">
        <f>IF(ISNA(MATCH(A379, Benefits!A:A, 0)), "no", "yes")</f>
        <v>no</v>
      </c>
      <c r="R379" s="43"/>
      <c r="S379" s="43"/>
      <c r="T379" s="43" t="s">
        <v>501</v>
      </c>
      <c r="U379" s="312" t="s">
        <v>894</v>
      </c>
      <c r="V379" s="233" t="str">
        <f>VLOOKUP(Table1[[#This Row],[Country Code]],Table29[],3,FALSE)</f>
        <v>Annex I</v>
      </c>
      <c r="W379" s="233" t="str">
        <f>VLOOKUP(Table1[[#This Row],[Country Code]],Table29[],4,FALSE)</f>
        <v>Europe</v>
      </c>
      <c r="X379" s="233" t="str">
        <f>VLOOKUP(Table1[[#This Row],[Country Code]],Table29[],5,FALSE)</f>
        <v>High-income</v>
      </c>
      <c r="Y379" s="43"/>
      <c r="Z379" s="43"/>
    </row>
    <row r="380" spans="1:26" ht="15" customHeight="1" x14ac:dyDescent="0.25">
      <c r="A380" s="360">
        <v>32412</v>
      </c>
      <c r="B380" s="43" t="s">
        <v>76</v>
      </c>
      <c r="C380" s="243" t="str">
        <f>VLOOKUP(Table1[[#This Row],[Country Code]],Table29[],2,FALSE)</f>
        <v>Australia</v>
      </c>
      <c r="D380" s="243" t="str">
        <f t="shared" si="14"/>
        <v>Good</v>
      </c>
      <c r="E380" s="176" t="s">
        <v>71</v>
      </c>
      <c r="F380" s="43" t="s">
        <v>878</v>
      </c>
      <c r="G380" s="43" t="str">
        <f t="shared" si="15"/>
        <v>First NDC updated</v>
      </c>
      <c r="H380" s="43" t="s">
        <v>743</v>
      </c>
      <c r="I380" s="351">
        <v>44497</v>
      </c>
      <c r="J380" s="320" t="s">
        <v>500</v>
      </c>
      <c r="K380" s="320" t="str" cm="1">
        <f t="array" ref="K380">IF(ISNUMBER(MATCH("Transport sector mitigation target", _xlfn._xlws.FILTER(Targets!H:H, Targets!A:A =A380), 0)), "yes", "no")</f>
        <v>no</v>
      </c>
      <c r="L380" s="43" t="str">
        <f>IF(K380="no", "No transport target", IF(AND(COUNTIFS(Targets!A:A, A380, Targets!H:H, "Transport sector mitigation target", Targets!J:J, "GHG") &gt; 0, COUNTIFS(Targets!A:A, A380, Targets!H:H, "Transport sector mitigation target", Targets!J:J, "Non GHG") &gt; 0), "GHG and non-GHG target", IF(COUNTIFS(Targets!A:A, A380, Targets!H:H, "Transport sector mitigation target", Targets!J:J, "GHG") &gt; 0, "GHG target", IF(COUNTIFS(Targets!A:A, A380, Targets!H:H, "Transport sector mitigation target", Targets!J:J, "Non GHG") &gt; 0, "non-GHG target", ""))))</f>
        <v>No transport target</v>
      </c>
      <c r="M380" s="43" t="str">
        <f>IF(K380="no","No transport target",IF(L380="non-GHG target","No GHG transport target",IF(AND(COUNTIFS(Targets!A:A,A380,Targets!H:H,"Transport sector mitigation target",Targets!J:J,"GHG",Targets!L:L,"Conditional")&gt;0,COUNTIFS(Targets!A:A,A380,Targets!H:H,"Transport sector mitigation target",Targets!J:J,"GHG",Targets!L:L,"Unconditional")&gt;0),"GHG unconditional and conditional",IF(COUNTIFS(Targets!A:A,A380,Targets!H:H,"Transport sector mitigation target",Targets!J:J,"GHG",Targets!L:L,"Conditional")&gt;0,"GHG conditional only",IF(COUNTIFS(Targets!A:A,A380,Targets!H:H,"Transport sector mitigation target",Targets!J:J,"GHG",Targets!L:L,"Unconditional")&gt;0,"GHG unconditional only",IF(COUNTIFS(Targets!A:A,A380,Targets!H:H,"Transport sector mitigation target",Targets!J:J,"GHG",Targets!L:L,"Unclear conditionality")&gt;0,"Conditionality unclear",""))))))</f>
        <v>No transport target</v>
      </c>
      <c r="N380" s="43" t="str" cm="1">
        <f t="array" ref="N380">IF(ISNUMBER(MATCH("Transport sector adaptation target", _xlfn._xlws.FILTER(Targets!H:H, Targets!A:A =A380), 0)), "yes", "no")</f>
        <v>no</v>
      </c>
      <c r="O380" s="43" t="str">
        <f>IF(ISNA(MATCH(A380, Mitigation!A:A, 0)), "no", "yes")</f>
        <v>no</v>
      </c>
      <c r="P380" s="43" t="str">
        <f>IF(ISNA(MATCH(A380, Adaptation!A:A, 0)), "no", "yes")</f>
        <v>no</v>
      </c>
      <c r="Q380" s="43" t="str">
        <f>IF(ISNA(MATCH(A380, Benefits!A:A, 0)), "no", "yes")</f>
        <v>no</v>
      </c>
      <c r="R380" s="43"/>
      <c r="S380" s="43"/>
      <c r="T380" s="43" t="s">
        <v>501</v>
      </c>
      <c r="U380" s="312" t="s">
        <v>895</v>
      </c>
      <c r="V380" s="233" t="str">
        <f>VLOOKUP(Table1[[#This Row],[Country Code]],Table29[],3,FALSE)</f>
        <v>Annex I</v>
      </c>
      <c r="W380" s="233" t="str">
        <f>VLOOKUP(Table1[[#This Row],[Country Code]],Table29[],4,FALSE)</f>
        <v>Oceania</v>
      </c>
      <c r="X380" s="233" t="str">
        <f>VLOOKUP(Table1[[#This Row],[Country Code]],Table29[],5,FALSE)</f>
        <v>High-income</v>
      </c>
      <c r="Y380" s="43"/>
      <c r="Z380" s="43"/>
    </row>
    <row r="381" spans="1:26" ht="15" customHeight="1" x14ac:dyDescent="0.25">
      <c r="A381" s="360">
        <v>23840</v>
      </c>
      <c r="B381" s="42" t="s">
        <v>137</v>
      </c>
      <c r="C381" s="243" t="str">
        <f>VLOOKUP(Table1[[#This Row],[Country Code]],Table29[],2,FALSE)</f>
        <v>China</v>
      </c>
      <c r="D381" s="243" t="str">
        <f t="shared" si="14"/>
        <v>Good</v>
      </c>
      <c r="E381" s="176" t="s">
        <v>71</v>
      </c>
      <c r="F381" s="43" t="s">
        <v>528</v>
      </c>
      <c r="G381" s="43" t="str">
        <f t="shared" si="15"/>
        <v>First NDC updated</v>
      </c>
      <c r="H381" s="43" t="s">
        <v>691</v>
      </c>
      <c r="I381" s="351">
        <v>44497</v>
      </c>
      <c r="J381" s="352" t="s">
        <v>505</v>
      </c>
      <c r="K381" s="320" t="str" cm="1">
        <f t="array" ref="K381">IF(ISNUMBER(MATCH("Transport sector mitigation target", _xlfn._xlws.FILTER(Targets!H:H, Targets!A:A =A381), 0)), "yes", "no")</f>
        <v>no</v>
      </c>
      <c r="L381" s="43" t="str">
        <f>IF(K381="no", "No transport target", IF(AND(COUNTIFS(Targets!A:A, A381, Targets!H:H, "Transport sector mitigation target", Targets!J:J, "GHG") &gt; 0, COUNTIFS(Targets!A:A, A381, Targets!H:H, "Transport sector mitigation target", Targets!J:J, "Non GHG") &gt; 0), "GHG and non-GHG target", IF(COUNTIFS(Targets!A:A, A381, Targets!H:H, "Transport sector mitigation target", Targets!J:J, "GHG") &gt; 0, "GHG target", IF(COUNTIFS(Targets!A:A, A381, Targets!H:H, "Transport sector mitigation target", Targets!J:J, "Non GHG") &gt; 0, "non-GHG target", ""))))</f>
        <v>No transport target</v>
      </c>
      <c r="M381" s="43" t="str">
        <f>IF(K381="no","No transport target",IF(L381="non-GHG target","No GHG transport target",IF(AND(COUNTIFS(Targets!A:A,A381,Targets!H:H,"Transport sector mitigation target",Targets!J:J,"GHG",Targets!L:L,"Conditional")&gt;0,COUNTIFS(Targets!A:A,A381,Targets!H:H,"Transport sector mitigation target",Targets!J:J,"GHG",Targets!L:L,"Unconditional")&gt;0),"GHG unconditional and conditional",IF(COUNTIFS(Targets!A:A,A381,Targets!H:H,"Transport sector mitigation target",Targets!J:J,"GHG",Targets!L:L,"Conditional")&gt;0,"GHG conditional only",IF(COUNTIFS(Targets!A:A,A381,Targets!H:H,"Transport sector mitigation target",Targets!J:J,"GHG",Targets!L:L,"Unconditional")&gt;0,"GHG unconditional only",IF(COUNTIFS(Targets!A:A,A381,Targets!H:H,"Transport sector mitigation target",Targets!J:J,"GHG",Targets!L:L,"Unclear conditionality")&gt;0,"Conditionality unclear",""))))))</f>
        <v>No transport target</v>
      </c>
      <c r="N381" s="43" t="str" cm="1">
        <f t="array" ref="N381">IF(ISNUMBER(MATCH("Transport sector adaptation target", _xlfn._xlws.FILTER(Targets!H:H, Targets!A:A =A381), 0)), "yes", "no")</f>
        <v>no</v>
      </c>
      <c r="O381" s="43" t="str">
        <f>IF(ISNA(MATCH(A381, Mitigation!A:A, 0)), "no", "yes")</f>
        <v>yes</v>
      </c>
      <c r="P381" s="43" t="str">
        <f>IF(ISNA(MATCH(A381, Adaptation!A:A, 0)), "no", "yes")</f>
        <v>no</v>
      </c>
      <c r="Q381" s="43" t="str">
        <f>IF(ISNA(MATCH(A381, Benefits!A:A, 0)), "no", "yes")</f>
        <v>no</v>
      </c>
      <c r="R381" s="43"/>
      <c r="S381" s="43"/>
      <c r="T381" s="43" t="s">
        <v>501</v>
      </c>
      <c r="U381" s="312" t="s">
        <v>896</v>
      </c>
      <c r="V381" s="233" t="str">
        <f>VLOOKUP(Table1[[#This Row],[Country Code]],Table29[],3,FALSE)</f>
        <v>Non-Annex I</v>
      </c>
      <c r="W381" s="233" t="str">
        <f>VLOOKUP(Table1[[#This Row],[Country Code]],Table29[],4,FALSE)</f>
        <v>Asia</v>
      </c>
      <c r="X381" s="233" t="str">
        <f>VLOOKUP(Table1[[#This Row],[Country Code]],Table29[],5,FALSE)</f>
        <v>Middle-income</v>
      </c>
      <c r="Y381" s="43"/>
      <c r="Z381" s="43"/>
    </row>
    <row r="382" spans="1:26" ht="15" customHeight="1" x14ac:dyDescent="0.25">
      <c r="A382" s="360">
        <v>24678</v>
      </c>
      <c r="B382" s="42" t="s">
        <v>76</v>
      </c>
      <c r="C382" s="243" t="str">
        <f>VLOOKUP(Table1[[#This Row],[Country Code]],Table29[],2,FALSE)</f>
        <v>Australia</v>
      </c>
      <c r="D382" s="243" t="str">
        <f t="shared" si="14"/>
        <v>Good</v>
      </c>
      <c r="E382" s="176" t="s">
        <v>227</v>
      </c>
      <c r="F382" s="43" t="s">
        <v>530</v>
      </c>
      <c r="G382" s="43" t="str">
        <f t="shared" si="15"/>
        <v>Archived LTS 1.0</v>
      </c>
      <c r="H382" s="43" t="s">
        <v>636</v>
      </c>
      <c r="I382" s="351">
        <v>44498</v>
      </c>
      <c r="J382" s="320" t="s">
        <v>500</v>
      </c>
      <c r="K382" s="320" t="str" cm="1">
        <f t="array" ref="K382">IF(ISNUMBER(MATCH("Transport sector mitigation target", _xlfn._xlws.FILTER(Targets!H:H, Targets!A:A =A382), 0)), "yes", "no")</f>
        <v>yes</v>
      </c>
      <c r="L382" s="43" t="str">
        <f>IF(K382="no", "No transport target", IF(AND(COUNTIFS(Targets!A:A, A382, Targets!H:H, "Transport sector mitigation target", Targets!J:J, "GHG") &gt; 0, COUNTIFS(Targets!A:A, A382, Targets!H:H, "Transport sector mitigation target", Targets!J:J, "Non GHG") &gt; 0), "GHG and non-GHG target", IF(COUNTIFS(Targets!A:A, A382, Targets!H:H, "Transport sector mitigation target", Targets!J:J, "GHG") &gt; 0, "GHG target", IF(COUNTIFS(Targets!A:A, A382, Targets!H:H, "Transport sector mitigation target", Targets!J:J, "Non GHG") &gt; 0, "non-GHG target", ""))))</f>
        <v>GHG target</v>
      </c>
      <c r="M382" s="43" t="str">
        <f>IF(K382="no","No transport target",IF(L382="non-GHG target","No GHG transport target",IF(AND(COUNTIFS(Targets!A:A,A382,Targets!H:H,"Transport sector mitigation target",Targets!J:J,"GHG",Targets!L:L,"Conditional")&gt;0,COUNTIFS(Targets!A:A,A382,Targets!H:H,"Transport sector mitigation target",Targets!J:J,"GHG",Targets!L:L,"Unconditional")&gt;0),"GHG unconditional and conditional",IF(COUNTIFS(Targets!A:A,A382,Targets!H:H,"Transport sector mitigation target",Targets!J:J,"GHG",Targets!L:L,"Conditional")&gt;0,"GHG conditional only",IF(COUNTIFS(Targets!A:A,A382,Targets!H:H,"Transport sector mitigation target",Targets!J:J,"GHG",Targets!L:L,"Unconditional")&gt;0,"GHG unconditional only",IF(COUNTIFS(Targets!A:A,A382,Targets!H:H,"Transport sector mitigation target",Targets!J:J,"GHG",Targets!L:L,"Unclear conditionality")&gt;0,"Conditionality unclear",""))))))</f>
        <v>GHG unconditional only</v>
      </c>
      <c r="N382" s="43" t="str" cm="1">
        <f t="array" ref="N382">IF(ISNUMBER(MATCH("Transport sector adaptation target", _xlfn._xlws.FILTER(Targets!H:H, Targets!A:A =A382), 0)), "yes", "no")</f>
        <v>no</v>
      </c>
      <c r="O382" s="43" t="str">
        <f>IF(ISNA(MATCH(A382, Mitigation!A:A, 0)), "no", "yes")</f>
        <v>yes</v>
      </c>
      <c r="P382" s="43" t="str">
        <f>IF(ISNA(MATCH(A382, Adaptation!A:A, 0)), "no", "yes")</f>
        <v>yes</v>
      </c>
      <c r="Q382" s="43" t="str">
        <f>IF(ISNA(MATCH(A382, Benefits!A:A, 0)), "no", "yes")</f>
        <v>yes</v>
      </c>
      <c r="R382" s="43"/>
      <c r="S382" s="43"/>
      <c r="T382" s="43" t="s">
        <v>501</v>
      </c>
      <c r="U382" s="312" t="s">
        <v>897</v>
      </c>
      <c r="V382" s="233" t="str">
        <f>VLOOKUP(Table1[[#This Row],[Country Code]],Table29[],3,FALSE)</f>
        <v>Annex I</v>
      </c>
      <c r="W382" s="233" t="str">
        <f>VLOOKUP(Table1[[#This Row],[Country Code]],Table29[],4,FALSE)</f>
        <v>Oceania</v>
      </c>
      <c r="X382" s="233" t="str">
        <f>VLOOKUP(Table1[[#This Row],[Country Code]],Table29[],5,FALSE)</f>
        <v>High-income</v>
      </c>
      <c r="Y382" s="43"/>
      <c r="Z382" s="43"/>
    </row>
    <row r="383" spans="1:26" ht="15" customHeight="1" x14ac:dyDescent="0.25">
      <c r="A383" s="360">
        <v>23378</v>
      </c>
      <c r="B383" s="42" t="s">
        <v>247</v>
      </c>
      <c r="C383" s="243" t="str">
        <f>VLOOKUP(Table1[[#This Row],[Country Code]],Table29[],2,FALSE)</f>
        <v>Jordan</v>
      </c>
      <c r="D383" s="243" t="str">
        <f t="shared" si="14"/>
        <v>Good</v>
      </c>
      <c r="E383" s="176" t="s">
        <v>71</v>
      </c>
      <c r="F383" s="43" t="s">
        <v>528</v>
      </c>
      <c r="G383" s="43" t="str">
        <f t="shared" si="15"/>
        <v>First NDC updated</v>
      </c>
      <c r="H383" s="43" t="s">
        <v>691</v>
      </c>
      <c r="I383" s="351">
        <v>44540</v>
      </c>
      <c r="J383" s="352" t="s">
        <v>505</v>
      </c>
      <c r="K383" s="320" t="str" cm="1">
        <f t="array" ref="K383">IF(ISNUMBER(MATCH("Transport sector mitigation target", _xlfn._xlws.FILTER(Targets!H:H, Targets!A:A =A383), 0)), "yes", "no")</f>
        <v>yes</v>
      </c>
      <c r="L383" s="43" t="str">
        <f>IF(K383="no", "No transport target", IF(AND(COUNTIFS(Targets!A:A, A383, Targets!H:H, "Transport sector mitigation target", Targets!J:J, "GHG") &gt; 0, COUNTIFS(Targets!A:A, A383, Targets!H:H, "Transport sector mitigation target", Targets!J:J, "Non GHG") &gt; 0), "GHG and non-GHG target", IF(COUNTIFS(Targets!A:A, A383, Targets!H:H, "Transport sector mitigation target", Targets!J:J, "GHG") &gt; 0, "GHG target", IF(COUNTIFS(Targets!A:A, A383, Targets!H:H, "Transport sector mitigation target", Targets!J:J, "Non GHG") &gt; 0, "non-GHG target", ""))))</f>
        <v>non-GHG target</v>
      </c>
      <c r="M383" s="43" t="str">
        <f>IF(K383="no","No transport target",IF(L383="non-GHG target","No GHG transport target",IF(AND(COUNTIFS(Targets!A:A,A383,Targets!H:H,"Transport sector mitigation target",Targets!J:J,"GHG",Targets!L:L,"Conditional")&gt;0,COUNTIFS(Targets!A:A,A383,Targets!H:H,"Transport sector mitigation target",Targets!J:J,"GHG",Targets!L:L,"Unconditional")&gt;0),"GHG unconditional and conditional",IF(COUNTIFS(Targets!A:A,A383,Targets!H:H,"Transport sector mitigation target",Targets!J:J,"GHG",Targets!L:L,"Conditional")&gt;0,"GHG conditional only",IF(COUNTIFS(Targets!A:A,A383,Targets!H:H,"Transport sector mitigation target",Targets!J:J,"GHG",Targets!L:L,"Unconditional")&gt;0,"GHG unconditional only",IF(COUNTIFS(Targets!A:A,A383,Targets!H:H,"Transport sector mitigation target",Targets!J:J,"GHG",Targets!L:L,"Unclear conditionality")&gt;0,"Conditionality unclear",""))))))</f>
        <v>No GHG transport target</v>
      </c>
      <c r="N383" s="43" t="str" cm="1">
        <f t="array" ref="N383">IF(ISNUMBER(MATCH("Transport sector adaptation target", _xlfn._xlws.FILTER(Targets!H:H, Targets!A:A =A383), 0)), "yes", "no")</f>
        <v>no</v>
      </c>
      <c r="O383" s="43" t="str">
        <f>IF(ISNA(MATCH(A383, Mitigation!A:A, 0)), "no", "yes")</f>
        <v>yes</v>
      </c>
      <c r="P383" s="43" t="str">
        <f>IF(ISNA(MATCH(A383, Adaptation!A:A, 0)), "no", "yes")</f>
        <v>no</v>
      </c>
      <c r="Q383" s="43" t="str">
        <f>IF(ISNA(MATCH(A383, Benefits!A:A, 0)), "no", "yes")</f>
        <v>no</v>
      </c>
      <c r="R383" s="43"/>
      <c r="S383" s="43"/>
      <c r="T383" s="43" t="s">
        <v>501</v>
      </c>
      <c r="U383" s="312" t="s">
        <v>898</v>
      </c>
      <c r="V383" s="233" t="str">
        <f>VLOOKUP(Table1[[#This Row],[Country Code]],Table29[],3,FALSE)</f>
        <v>Non-Annex I</v>
      </c>
      <c r="W383" s="233" t="str">
        <f>VLOOKUP(Table1[[#This Row],[Country Code]],Table29[],4,FALSE)</f>
        <v>Asia</v>
      </c>
      <c r="X383" s="233" t="str">
        <f>VLOOKUP(Table1[[#This Row],[Country Code]],Table29[],5,FALSE)</f>
        <v>Middle-income</v>
      </c>
      <c r="Y383" s="43"/>
      <c r="Z383" s="43"/>
    </row>
    <row r="384" spans="1:26" ht="15" customHeight="1" x14ac:dyDescent="0.25">
      <c r="A384" s="405">
        <v>24690</v>
      </c>
      <c r="B384" s="19" t="s">
        <v>424</v>
      </c>
      <c r="C384" s="206" t="str">
        <f>VLOOKUP(Table1[[#This Row],[Country Code]],Table29[],2,FALSE)</f>
        <v>Thailand</v>
      </c>
      <c r="D384" s="243" t="str">
        <f t="shared" si="14"/>
        <v>Good</v>
      </c>
      <c r="E384" s="20" t="s">
        <v>227</v>
      </c>
      <c r="F384" s="17" t="s">
        <v>530</v>
      </c>
      <c r="G384" s="43" t="str">
        <f t="shared" si="15"/>
        <v>Archived LTS 1.0</v>
      </c>
      <c r="H384" s="17" t="s">
        <v>636</v>
      </c>
      <c r="I384" s="149">
        <v>44499</v>
      </c>
      <c r="J384" s="49" t="s">
        <v>500</v>
      </c>
      <c r="K384" s="49" t="str" cm="1">
        <f t="array" ref="K384">IF(ISNUMBER(MATCH("Transport sector mitigation target", _xlfn._xlws.FILTER(Targets!H:H, Targets!A:A =A384), 0)), "yes", "no")</f>
        <v>yes</v>
      </c>
      <c r="L384" s="17" t="str">
        <f>IF(K384="no", "No transport target", IF(AND(COUNTIFS(Targets!A:A, A384, Targets!H:H, "Transport sector mitigation target", Targets!J:J, "GHG") &gt; 0, COUNTIFS(Targets!A:A, A384, Targets!H:H, "Transport sector mitigation target", Targets!J:J, "Non GHG") &gt; 0), "GHG and non-GHG target", IF(COUNTIFS(Targets!A:A, A384, Targets!H:H, "Transport sector mitigation target", Targets!J:J, "GHG") &gt; 0, "GHG target", IF(COUNTIFS(Targets!A:A, A384, Targets!H:H, "Transport sector mitigation target", Targets!J:J, "Non GHG") &gt; 0, "non-GHG target", ""))))</f>
        <v>non-GHG target</v>
      </c>
      <c r="M384" s="17" t="str">
        <f>IF(K384="no","No transport target",IF(L384="non-GHG target","No GHG transport target",IF(AND(COUNTIFS(Targets!A:A,A384,Targets!H:H,"Transport sector mitigation target",Targets!J:J,"GHG",Targets!L:L,"Conditional")&gt;0,COUNTIFS(Targets!A:A,A384,Targets!H:H,"Transport sector mitigation target",Targets!J:J,"GHG",Targets!L:L,"Unconditional")&gt;0),"GHG unconditional and conditional",IF(COUNTIFS(Targets!A:A,A384,Targets!H:H,"Transport sector mitigation target",Targets!J:J,"GHG",Targets!L:L,"Conditional")&gt;0,"GHG conditional only",IF(COUNTIFS(Targets!A:A,A384,Targets!H:H,"Transport sector mitigation target",Targets!J:J,"GHG",Targets!L:L,"Unconditional")&gt;0,"GHG unconditional only",IF(COUNTIFS(Targets!A:A,A384,Targets!H:H,"Transport sector mitigation target",Targets!J:J,"GHG",Targets!L:L,"Unclear conditionality")&gt;0,"Conditionality unclear",""))))))</f>
        <v>No GHG transport target</v>
      </c>
      <c r="N384" s="17" t="str" cm="1">
        <f t="array" ref="N384">IF(ISNUMBER(MATCH("Transport sector adaptation target", _xlfn._xlws.FILTER(Targets!H:H, Targets!A:A =A384), 0)), "yes", "no")</f>
        <v>no</v>
      </c>
      <c r="O384" s="17" t="str">
        <f>IF(ISNA(MATCH(A384, Mitigation!A:A, 0)), "no", "yes")</f>
        <v>yes</v>
      </c>
      <c r="P384" s="17" t="str">
        <f>IF(ISNA(MATCH(A384, Adaptation!A:A, 0)), "no", "yes")</f>
        <v>no</v>
      </c>
      <c r="Q384" s="17" t="str">
        <f>IF(ISNA(MATCH(A384, Benefits!A:A, 0)), "no", "yes")</f>
        <v>no</v>
      </c>
      <c r="R384" s="17"/>
      <c r="S384" s="17"/>
      <c r="T384" s="17" t="s">
        <v>501</v>
      </c>
      <c r="U384" s="166" t="s">
        <v>899</v>
      </c>
      <c r="V384" s="207" t="str">
        <f>VLOOKUP(Table1[[#This Row],[Country Code]],Table29[],3,FALSE)</f>
        <v>Non-Annex I</v>
      </c>
      <c r="W384" s="207" t="str">
        <f>VLOOKUP(Table1[[#This Row],[Country Code]],Table29[],4,FALSE)</f>
        <v>Asia</v>
      </c>
      <c r="X384" s="207" t="str">
        <f>VLOOKUP(Table1[[#This Row],[Country Code]],Table29[],5,FALSE)</f>
        <v>Middle-income</v>
      </c>
      <c r="Y384" s="17"/>
      <c r="Z384" s="17"/>
    </row>
    <row r="385" spans="1:26" ht="15" customHeight="1" x14ac:dyDescent="0.25">
      <c r="A385" s="405">
        <v>24785</v>
      </c>
      <c r="B385" s="17" t="s">
        <v>456</v>
      </c>
      <c r="C385" s="206" t="str">
        <f>VLOOKUP(Table1[[#This Row],[Country Code]],Table29[],2,FALSE)</f>
        <v>Uzbekistan</v>
      </c>
      <c r="D385" s="243" t="str">
        <f t="shared" si="14"/>
        <v>Good</v>
      </c>
      <c r="E385" s="20" t="s">
        <v>71</v>
      </c>
      <c r="F385" s="17" t="s">
        <v>528</v>
      </c>
      <c r="G385" s="43" t="str">
        <f t="shared" si="15"/>
        <v>First NDC updated</v>
      </c>
      <c r="H385" s="17" t="s">
        <v>691</v>
      </c>
      <c r="I385" s="149">
        <v>44499</v>
      </c>
      <c r="J385" s="187" t="s">
        <v>505</v>
      </c>
      <c r="K385" s="49" t="str" cm="1">
        <f t="array" ref="K385">IF(ISNUMBER(MATCH("Transport sector mitigation target", _xlfn._xlws.FILTER(Targets!H:H, Targets!A:A =A385), 0)), "yes", "no")</f>
        <v>no</v>
      </c>
      <c r="L385" s="17" t="str">
        <f>IF(K385="no", "No transport target", IF(AND(COUNTIFS(Targets!A:A, A385, Targets!H:H, "Transport sector mitigation target", Targets!J:J, "GHG") &gt; 0, COUNTIFS(Targets!A:A, A385, Targets!H:H, "Transport sector mitigation target", Targets!J:J, "Non GHG") &gt; 0), "GHG and non-GHG target", IF(COUNTIFS(Targets!A:A, A385, Targets!H:H, "Transport sector mitigation target", Targets!J:J, "GHG") &gt; 0, "GHG target", IF(COUNTIFS(Targets!A:A, A385, Targets!H:H, "Transport sector mitigation target", Targets!J:J, "Non GHG") &gt; 0, "non-GHG target", ""))))</f>
        <v>No transport target</v>
      </c>
      <c r="M385" s="17" t="str">
        <f>IF(K385="no","No transport target",IF(L385="non-GHG target","No GHG transport target",IF(AND(COUNTIFS(Targets!A:A,A385,Targets!H:H,"Transport sector mitigation target",Targets!J:J,"GHG",Targets!L:L,"Conditional")&gt;0,COUNTIFS(Targets!A:A,A385,Targets!H:H,"Transport sector mitigation target",Targets!J:J,"GHG",Targets!L:L,"Unconditional")&gt;0),"GHG unconditional and conditional",IF(COUNTIFS(Targets!A:A,A385,Targets!H:H,"Transport sector mitigation target",Targets!J:J,"GHG",Targets!L:L,"Conditional")&gt;0,"GHG conditional only",IF(COUNTIFS(Targets!A:A,A385,Targets!H:H,"Transport sector mitigation target",Targets!J:J,"GHG",Targets!L:L,"Unconditional")&gt;0,"GHG unconditional only",IF(COUNTIFS(Targets!A:A,A385,Targets!H:H,"Transport sector mitigation target",Targets!J:J,"GHG",Targets!L:L,"Unclear conditionality")&gt;0,"Conditionality unclear",""))))))</f>
        <v>No transport target</v>
      </c>
      <c r="N385" s="17" t="str" cm="1">
        <f t="array" ref="N385">IF(ISNUMBER(MATCH("Transport sector adaptation target", _xlfn._xlws.FILTER(Targets!H:H, Targets!A:A =A385), 0)), "yes", "no")</f>
        <v>no</v>
      </c>
      <c r="O385" s="17" t="str">
        <f>IF(ISNA(MATCH(A385, Mitigation!A:A, 0)), "no", "yes")</f>
        <v>yes</v>
      </c>
      <c r="P385" s="17" t="str">
        <f>IF(ISNA(MATCH(A385, Adaptation!A:A, 0)), "no", "yes")</f>
        <v>no</v>
      </c>
      <c r="Q385" s="17" t="str">
        <f>IF(ISNA(MATCH(A385, Benefits!A:A, 0)), "no", "yes")</f>
        <v>no</v>
      </c>
      <c r="R385" s="17"/>
      <c r="S385" s="17"/>
      <c r="T385" s="17" t="s">
        <v>501</v>
      </c>
      <c r="U385" s="135" t="s">
        <v>900</v>
      </c>
      <c r="V385" s="207" t="str">
        <f>VLOOKUP(Table1[[#This Row],[Country Code]],Table29[],3,FALSE)</f>
        <v>Non-Annex I</v>
      </c>
      <c r="W385" s="207" t="str">
        <f>VLOOKUP(Table1[[#This Row],[Country Code]],Table29[],4,FALSE)</f>
        <v>Asia</v>
      </c>
      <c r="X385" s="207" t="str">
        <f>VLOOKUP(Table1[[#This Row],[Country Code]],Table29[],5,FALSE)</f>
        <v>Middle-income</v>
      </c>
      <c r="Y385" s="17"/>
      <c r="Z385" s="17"/>
    </row>
    <row r="386" spans="1:26" ht="15" customHeight="1" x14ac:dyDescent="0.25">
      <c r="A386" s="360">
        <v>20343</v>
      </c>
      <c r="B386" s="43" t="s">
        <v>262</v>
      </c>
      <c r="C386" s="243" t="str">
        <f>VLOOKUP(Table1[[#This Row],[Country Code]],Table29[],2,FALSE)</f>
        <v>Lao People’s Democratic Republic</v>
      </c>
      <c r="D386" s="243" t="str">
        <f t="shared" si="14"/>
        <v>Good</v>
      </c>
      <c r="E386" s="176" t="s">
        <v>71</v>
      </c>
      <c r="F386" s="43" t="s">
        <v>528</v>
      </c>
      <c r="G386" s="43" t="str">
        <f t="shared" si="15"/>
        <v>First NDC updated</v>
      </c>
      <c r="H386" s="43" t="s">
        <v>691</v>
      </c>
      <c r="I386" s="351">
        <v>44444</v>
      </c>
      <c r="J386" s="352" t="s">
        <v>505</v>
      </c>
      <c r="K386" s="320" t="str" cm="1">
        <f t="array" ref="K386">IF(ISNUMBER(MATCH("Transport sector mitigation target", _xlfn._xlws.FILTER(Targets!H:H, Targets!A:A =A386), 0)), "yes", "no")</f>
        <v>yes</v>
      </c>
      <c r="L386" s="43" t="str">
        <f>IF(K386="no", "No transport target", IF(AND(COUNTIFS(Targets!A:A, A386, Targets!H:H, "Transport sector mitigation target", Targets!J:J, "GHG") &gt; 0, COUNTIFS(Targets!A:A, A386, Targets!H:H, "Transport sector mitigation target", Targets!J:J, "Non GHG") &gt; 0), "GHG and non-GHG target", IF(COUNTIFS(Targets!A:A, A386, Targets!H:H, "Transport sector mitigation target", Targets!J:J, "GHG") &gt; 0, "GHG target", IF(COUNTIFS(Targets!A:A, A386, Targets!H:H, "Transport sector mitigation target", Targets!J:J, "Non GHG") &gt; 0, "non-GHG target", ""))))</f>
        <v>non-GHG target</v>
      </c>
      <c r="M386" s="43" t="str">
        <f>IF(K386="no","No transport target",IF(L386="non-GHG target","No GHG transport target",IF(AND(COUNTIFS(Targets!A:A,A386,Targets!H:H,"Transport sector mitigation target",Targets!J:J,"GHG",Targets!L:L,"Conditional")&gt;0,COUNTIFS(Targets!A:A,A386,Targets!H:H,"Transport sector mitigation target",Targets!J:J,"GHG",Targets!L:L,"Unconditional")&gt;0),"GHG unconditional and conditional",IF(COUNTIFS(Targets!A:A,A386,Targets!H:H,"Transport sector mitigation target",Targets!J:J,"GHG",Targets!L:L,"Conditional")&gt;0,"GHG conditional only",IF(COUNTIFS(Targets!A:A,A386,Targets!H:H,"Transport sector mitigation target",Targets!J:J,"GHG",Targets!L:L,"Unconditional")&gt;0,"GHG unconditional only",IF(COUNTIFS(Targets!A:A,A386,Targets!H:H,"Transport sector mitigation target",Targets!J:J,"GHG",Targets!L:L,"Unclear conditionality")&gt;0,"Conditionality unclear",""))))))</f>
        <v>No GHG transport target</v>
      </c>
      <c r="N386" s="43" t="str" cm="1">
        <f t="array" ref="N386">IF(ISNUMBER(MATCH("Transport sector adaptation target", _xlfn._xlws.FILTER(Targets!H:H, Targets!A:A =A386), 0)), "yes", "no")</f>
        <v>no</v>
      </c>
      <c r="O386" s="43" t="str">
        <f>IF(ISNA(MATCH(A386, Mitigation!A:A, 0)), "no", "yes")</f>
        <v>yes</v>
      </c>
      <c r="P386" s="43" t="str">
        <f>IF(ISNA(MATCH(A386, Adaptation!A:A, 0)), "no", "yes")</f>
        <v>yes</v>
      </c>
      <c r="Q386" s="43" t="str">
        <f>IF(ISNA(MATCH(A386, Benefits!A:A, 0)), "no", "yes")</f>
        <v>no</v>
      </c>
      <c r="R386" s="43"/>
      <c r="S386" s="43"/>
      <c r="T386" s="43" t="s">
        <v>501</v>
      </c>
      <c r="U386" s="312" t="s">
        <v>901</v>
      </c>
      <c r="V386" s="233" t="str">
        <f>VLOOKUP(Table1[[#This Row],[Country Code]],Table29[],3,FALSE)</f>
        <v>Non-Annex I</v>
      </c>
      <c r="W386" s="233" t="str">
        <f>VLOOKUP(Table1[[#This Row],[Country Code]],Table29[],4,FALSE)</f>
        <v>Asia</v>
      </c>
      <c r="X386" s="233" t="str">
        <f>VLOOKUP(Table1[[#This Row],[Country Code]],Table29[],5,FALSE)</f>
        <v>Middle-income</v>
      </c>
      <c r="Y386" s="43"/>
      <c r="Z386" s="43"/>
    </row>
    <row r="387" spans="1:26" ht="15" customHeight="1" x14ac:dyDescent="0.25">
      <c r="A387" s="360">
        <v>22315</v>
      </c>
      <c r="B387" s="42" t="s">
        <v>230</v>
      </c>
      <c r="C387" s="243" t="str">
        <f>VLOOKUP(Table1[[#This Row],[Country Code]],Table29[],2,FALSE)</f>
        <v>Indonesia</v>
      </c>
      <c r="D387" s="243" t="str">
        <f t="shared" si="14"/>
        <v>Good</v>
      </c>
      <c r="E387" s="176" t="s">
        <v>227</v>
      </c>
      <c r="F387" s="43" t="s">
        <v>227</v>
      </c>
      <c r="G387" s="43" t="str">
        <f t="shared" si="15"/>
        <v>LTS</v>
      </c>
      <c r="H387" s="43" t="s">
        <v>636</v>
      </c>
      <c r="I387" s="351">
        <v>44399</v>
      </c>
      <c r="J387" s="352" t="s">
        <v>505</v>
      </c>
      <c r="K387" s="320" t="str" cm="1">
        <f t="array" ref="K387">IF(ISNUMBER(MATCH("Transport sector mitigation target", _xlfn._xlws.FILTER(Targets!H:H, Targets!A:A =A387), 0)), "yes", "no")</f>
        <v>no</v>
      </c>
      <c r="L387" s="43" t="str">
        <f>IF(K387="no", "No transport target", IF(AND(COUNTIFS(Targets!A:A, A387, Targets!H:H, "Transport sector mitigation target", Targets!J:J, "GHG") &gt; 0, COUNTIFS(Targets!A:A, A387, Targets!H:H, "Transport sector mitigation target", Targets!J:J, "Non GHG") &gt; 0), "GHG and non-GHG target", IF(COUNTIFS(Targets!A:A, A387, Targets!H:H, "Transport sector mitigation target", Targets!J:J, "GHG") &gt; 0, "GHG target", IF(COUNTIFS(Targets!A:A, A387, Targets!H:H, "Transport sector mitigation target", Targets!J:J, "Non GHG") &gt; 0, "non-GHG target", ""))))</f>
        <v>No transport target</v>
      </c>
      <c r="M387" s="43" t="str">
        <f>IF(K387="no","No transport target",IF(L387="non-GHG target","No GHG transport target",IF(AND(COUNTIFS(Targets!A:A,A387,Targets!H:H,"Transport sector mitigation target",Targets!J:J,"GHG",Targets!L:L,"Conditional")&gt;0,COUNTIFS(Targets!A:A,A387,Targets!H:H,"Transport sector mitigation target",Targets!J:J,"GHG",Targets!L:L,"Unconditional")&gt;0),"GHG unconditional and conditional",IF(COUNTIFS(Targets!A:A,A387,Targets!H:H,"Transport sector mitigation target",Targets!J:J,"GHG",Targets!L:L,"Conditional")&gt;0,"GHG conditional only",IF(COUNTIFS(Targets!A:A,A387,Targets!H:H,"Transport sector mitigation target",Targets!J:J,"GHG",Targets!L:L,"Unconditional")&gt;0,"GHG unconditional only",IF(COUNTIFS(Targets!A:A,A387,Targets!H:H,"Transport sector mitigation target",Targets!J:J,"GHG",Targets!L:L,"Unclear conditionality")&gt;0,"Conditionality unclear",""))))))</f>
        <v>No transport target</v>
      </c>
      <c r="N387" s="43" t="str" cm="1">
        <f t="array" ref="N387">IF(ISNUMBER(MATCH("Transport sector adaptation target", _xlfn._xlws.FILTER(Targets!H:H, Targets!A:A =A387), 0)), "yes", "no")</f>
        <v>no</v>
      </c>
      <c r="O387" s="43" t="str">
        <f>IF(ISNA(MATCH(A387, Mitigation!A:A, 0)), "no", "yes")</f>
        <v>yes</v>
      </c>
      <c r="P387" s="43" t="str">
        <f>IF(ISNA(MATCH(A387, Adaptation!A:A, 0)), "no", "yes")</f>
        <v>no</v>
      </c>
      <c r="Q387" s="43" t="str">
        <f>IF(ISNA(MATCH(A387, Benefits!A:A, 0)), "no", "yes")</f>
        <v>no</v>
      </c>
      <c r="R387" s="43"/>
      <c r="S387" s="43"/>
      <c r="T387" s="43" t="s">
        <v>501</v>
      </c>
      <c r="U387" s="312" t="s">
        <v>902</v>
      </c>
      <c r="V387" s="233" t="str">
        <f>VLOOKUP(Table1[[#This Row],[Country Code]],Table29[],3,FALSE)</f>
        <v>Non-Annex I</v>
      </c>
      <c r="W387" s="233" t="str">
        <f>VLOOKUP(Table1[[#This Row],[Country Code]],Table29[],4,FALSE)</f>
        <v>Asia</v>
      </c>
      <c r="X387" s="233" t="str">
        <f>VLOOKUP(Table1[[#This Row],[Country Code]],Table29[],5,FALSE)</f>
        <v>Middle-income</v>
      </c>
      <c r="Y387" s="43"/>
      <c r="Z387" s="43"/>
    </row>
    <row r="388" spans="1:26" ht="15" customHeight="1" x14ac:dyDescent="0.25">
      <c r="A388" s="405">
        <v>44171</v>
      </c>
      <c r="B388" s="20" t="s">
        <v>154</v>
      </c>
      <c r="C388" s="207" t="str">
        <f>VLOOKUP(Table1[[#This Row],[Country Code]],Table29[],2,FALSE)</f>
        <v>Cuba</v>
      </c>
      <c r="D388" s="206" t="str">
        <f t="shared" si="14"/>
        <v>Good</v>
      </c>
      <c r="E388" s="20" t="s">
        <v>71</v>
      </c>
      <c r="F388" s="17" t="s">
        <v>694</v>
      </c>
      <c r="G388" s="17" t="str">
        <f t="shared" si="15"/>
        <v>Third NDC</v>
      </c>
      <c r="H388" s="148" t="s">
        <v>695</v>
      </c>
      <c r="I388" s="163">
        <v>45715</v>
      </c>
      <c r="J388" s="187" t="s">
        <v>505</v>
      </c>
      <c r="K388" s="49" t="str" cm="1">
        <f t="array" ref="K388">IF(ISNUMBER(MATCH("Transport sector mitigation target", _xlfn._xlws.FILTER(Targets!H:H, Targets!A:A =A388), 0)), "yes", "no")</f>
        <v>yes</v>
      </c>
      <c r="L388" s="17" t="str">
        <f>IF(K388="no", "No transport target", IF(AND(COUNTIFS(Targets!A:A, A388, Targets!H:H, "Transport sector mitigation target", Targets!J:J, "GHG") &gt; 0, COUNTIFS(Targets!A:A, A388, Targets!H:H, "Transport sector mitigation target", Targets!J:J, "Non GHG") &gt; 0), "GHG and non-GHG target", IF(COUNTIFS(Targets!A:A, A388, Targets!H:H, "Transport sector mitigation target", Targets!J:J, "GHG") &gt; 0, "GHG target", IF(COUNTIFS(Targets!A:A, A388, Targets!H:H, "Transport sector mitigation target", Targets!J:J, "Non GHG") &gt; 0, "non-GHG target", ""))))</f>
        <v>non-GHG target</v>
      </c>
      <c r="M388" s="17" t="str">
        <f>IF(K388="no","No transport target",IF(L388="non-GHG target","No GHG transport target",IF(AND(COUNTIFS(Targets!A:A,A388,Targets!H:H,"Transport sector mitigation target",Targets!J:J,"GHG",Targets!L:L,"Conditional")&gt;0,COUNTIFS(Targets!A:A,A388,Targets!H:H,"Transport sector mitigation target",Targets!J:J,"GHG",Targets!L:L,"Unconditional")&gt;0),"GHG unconditional and conditional",IF(COUNTIFS(Targets!A:A,A388,Targets!H:H,"Transport sector mitigation target",Targets!J:J,"GHG",Targets!L:L,"Conditional")&gt;0,"GHG conditional only",IF(COUNTIFS(Targets!A:A,A388,Targets!H:H,"Transport sector mitigation target",Targets!J:J,"GHG",Targets!L:L,"Unconditional")&gt;0,"GHG unconditional only",IF(COUNTIFS(Targets!A:A,A388,Targets!H:H,"Transport sector mitigation target",Targets!J:J,"GHG",Targets!L:L,"Unclear conditionality")&gt;0,"Conditionality unclear",""))))))</f>
        <v>No GHG transport target</v>
      </c>
      <c r="N388" s="17" t="str" cm="1">
        <f t="array" ref="N388">IF(ISNUMBER(MATCH("Transport sector adaptation target", _xlfn._xlws.FILTER(Targets!H:H, Targets!A:A =A388), 0)), "yes", "no")</f>
        <v>no</v>
      </c>
      <c r="O388" s="17" t="str">
        <f>IF(ISNA(MATCH(A388, Mitigation!A:A, 0)), "no", "yes")</f>
        <v>yes</v>
      </c>
      <c r="P388" s="17" t="str">
        <f>IF(ISNA(MATCH(A388, Adaptation!A:A, 0)), "no", "yes")</f>
        <v>no</v>
      </c>
      <c r="Q388" s="17" t="str">
        <f>IF(ISNA(MATCH(A388, Benefits!A:A, 0)), "no", "yes")</f>
        <v>no</v>
      </c>
      <c r="R388" s="17"/>
      <c r="S388" s="148"/>
      <c r="T388" s="17"/>
      <c r="U388" s="411" t="s">
        <v>903</v>
      </c>
      <c r="V388" s="207" t="str">
        <f>VLOOKUP(Table1[[#This Row],[Country Code]],Table29[],3,FALSE)</f>
        <v>Non-Annex I</v>
      </c>
      <c r="W388" s="207" t="str">
        <f>VLOOKUP(Table1[[#This Row],[Country Code]],Table29[],4,FALSE)</f>
        <v>Latin America and the Caribbean</v>
      </c>
      <c r="X388" s="233" t="str">
        <f>VLOOKUP(Table1[[#This Row],[Country Code]],Table29[],5,FALSE)</f>
        <v>Middle-income</v>
      </c>
      <c r="Y388" s="17"/>
      <c r="Z388" s="17"/>
    </row>
    <row r="389" spans="1:26" ht="15" customHeight="1" x14ac:dyDescent="0.25">
      <c r="A389" s="360">
        <v>32529</v>
      </c>
      <c r="B389" s="42" t="s">
        <v>72</v>
      </c>
      <c r="C389" s="243" t="str">
        <f>VLOOKUP(Table1[[#This Row],[Country Code]],Table29[],2,FALSE)</f>
        <v>Argentina</v>
      </c>
      <c r="D389" s="243" t="str">
        <f t="shared" si="14"/>
        <v>Good</v>
      </c>
      <c r="E389" s="176" t="s">
        <v>71</v>
      </c>
      <c r="F389" s="43" t="s">
        <v>555</v>
      </c>
      <c r="G389" s="43" t="str">
        <f t="shared" si="15"/>
        <v>Second NDC updated</v>
      </c>
      <c r="H389" s="43" t="s">
        <v>904</v>
      </c>
      <c r="I389" s="351">
        <v>44502</v>
      </c>
      <c r="J389" s="352" t="s">
        <v>505</v>
      </c>
      <c r="K389" s="320" t="str" cm="1">
        <f t="array" ref="K389">IF(ISNUMBER(MATCH("Transport sector mitigation target", _xlfn._xlws.FILTER(Targets!H:H, Targets!A:A =A389), 0)), "yes", "no")</f>
        <v>no</v>
      </c>
      <c r="L389" s="27" t="str">
        <f>IF(K389="no", "No transport target", IF(AND(COUNTIFS(Targets!A:A, A389, Targets!H:H, "Transport sector mitigation target", Targets!J:J, "GHG") &gt; 0, COUNTIFS(Targets!A:A, A389, Targets!H:H, "Transport sector mitigation target", Targets!J:J, "Non GHG") &gt; 0), "GHG and non-GHG target", IF(COUNTIFS(Targets!A:A, A389, Targets!H:H, "Transport sector mitigation target", Targets!J:J, "GHG") &gt; 0, "GHG target", IF(COUNTIFS(Targets!A:A, A389, Targets!H:H, "Transport sector mitigation target", Targets!J:J, "Non GHG") &gt; 0, "non-GHG target", ""))))</f>
        <v>No transport target</v>
      </c>
      <c r="M389" s="27" t="str">
        <f>IF(K389="no","No transport target",IF(L389="non-GHG target","No GHG transport target",IF(AND(COUNTIFS(Targets!A:A,A389,Targets!H:H,"Transport sector mitigation target",Targets!J:J,"GHG",Targets!L:L,"Conditional")&gt;0,COUNTIFS(Targets!A:A,A389,Targets!H:H,"Transport sector mitigation target",Targets!J:J,"GHG",Targets!L:L,"Unconditional")&gt;0),"GHG unconditional and conditional",IF(COUNTIFS(Targets!A:A,A389,Targets!H:H,"Transport sector mitigation target",Targets!J:J,"GHG",Targets!L:L,"Conditional")&gt;0,"GHG conditional only",IF(COUNTIFS(Targets!A:A,A389,Targets!H:H,"Transport sector mitigation target",Targets!J:J,"GHG",Targets!L:L,"Unconditional")&gt;0,"GHG unconditional only",IF(COUNTIFS(Targets!A:A,A389,Targets!H:H,"Transport sector mitigation target",Targets!J:J,"GHG",Targets!L:L,"Unclear conditionality")&gt;0,"Conditionality unclear",""))))))</f>
        <v>No transport target</v>
      </c>
      <c r="N389" s="27" t="str" cm="1">
        <f t="array" ref="N389">IF(ISNUMBER(MATCH("Transport sector adaptation target", _xlfn._xlws.FILTER(Targets!H:H, Targets!A:A =A389), 0)), "yes", "no")</f>
        <v>no</v>
      </c>
      <c r="O389" s="27" t="str">
        <f>IF(ISNA(MATCH(A389, Mitigation!A:A, 0)), "no", "yes")</f>
        <v>yes</v>
      </c>
      <c r="P389" s="27" t="str">
        <f>IF(ISNA(MATCH(A389, Adaptation!A:A, 0)), "no", "yes")</f>
        <v>yes</v>
      </c>
      <c r="Q389" s="27" t="str">
        <f>IF(ISNA(MATCH(A389, Benefits!A:A, 0)), "no", "yes")</f>
        <v>yes</v>
      </c>
      <c r="R389" s="27"/>
      <c r="S389" s="27"/>
      <c r="T389" s="43" t="s">
        <v>501</v>
      </c>
      <c r="U389" s="358" t="s">
        <v>905</v>
      </c>
      <c r="V389" s="233" t="str">
        <f>VLOOKUP(Table1[[#This Row],[Country Code]],Table29[],3,FALSE)</f>
        <v>Non-Annex I</v>
      </c>
      <c r="W389" s="233" t="str">
        <f>VLOOKUP(Table1[[#This Row],[Country Code]],Table29[],4,FALSE)</f>
        <v>Latin America and the Caribbean</v>
      </c>
      <c r="X389" s="233" t="str">
        <f>VLOOKUP(Table1[[#This Row],[Country Code]],Table29[],5,FALSE)</f>
        <v>Middle-income</v>
      </c>
      <c r="Y389" s="43"/>
      <c r="Z389" s="43"/>
    </row>
    <row r="390" spans="1:26" ht="15" customHeight="1" x14ac:dyDescent="0.25">
      <c r="A390" s="360">
        <v>21432</v>
      </c>
      <c r="B390" s="42" t="s">
        <v>270</v>
      </c>
      <c r="C390" s="243" t="str">
        <f>VLOOKUP(Table1[[#This Row],[Country Code]],Table29[],2,FALSE)</f>
        <v>Liberia</v>
      </c>
      <c r="D390" s="243" t="str">
        <f t="shared" si="14"/>
        <v>Good</v>
      </c>
      <c r="E390" s="176" t="s">
        <v>71</v>
      </c>
      <c r="F390" s="43" t="s">
        <v>528</v>
      </c>
      <c r="G390" s="43" t="str">
        <f t="shared" si="15"/>
        <v>First NDC updated</v>
      </c>
      <c r="H390" s="43" t="s">
        <v>691</v>
      </c>
      <c r="I390" s="351">
        <v>44412</v>
      </c>
      <c r="J390" s="352" t="s">
        <v>505</v>
      </c>
      <c r="K390" s="320" t="str" cm="1">
        <f t="array" ref="K390">IF(ISNUMBER(MATCH("Transport sector mitigation target", _xlfn._xlws.FILTER(Targets!H:H, Targets!A:A =A390), 0)), "yes", "no")</f>
        <v>yes</v>
      </c>
      <c r="L390" s="43" t="str">
        <f>IF(K390="no", "No transport target", IF(AND(COUNTIFS(Targets!A:A, A390, Targets!H:H, "Transport sector mitigation target", Targets!J:J, "GHG") &gt; 0, COUNTIFS(Targets!A:A, A390, Targets!H:H, "Transport sector mitigation target", Targets!J:J, "Non GHG") &gt; 0), "GHG and non-GHG target", IF(COUNTIFS(Targets!A:A, A390, Targets!H:H, "Transport sector mitigation target", Targets!J:J, "GHG") &gt; 0, "GHG target", IF(COUNTIFS(Targets!A:A, A390, Targets!H:H, "Transport sector mitigation target", Targets!J:J, "Non GHG") &gt; 0, "non-GHG target", ""))))</f>
        <v>GHG target</v>
      </c>
      <c r="M390" s="43" t="str">
        <f>IF(K390="no","No transport target",IF(L390="non-GHG target","No GHG transport target",IF(AND(COUNTIFS(Targets!A:A,A390,Targets!H:H,"Transport sector mitigation target",Targets!J:J,"GHG",Targets!L:L,"Conditional")&gt;0,COUNTIFS(Targets!A:A,A390,Targets!H:H,"Transport sector mitigation target",Targets!J:J,"GHG",Targets!L:L,"Unconditional")&gt;0),"GHG unconditional and conditional",IF(COUNTIFS(Targets!A:A,A390,Targets!H:H,"Transport sector mitigation target",Targets!J:J,"GHG",Targets!L:L,"Conditional")&gt;0,"GHG conditional only",IF(COUNTIFS(Targets!A:A,A390,Targets!H:H,"Transport sector mitigation target",Targets!J:J,"GHG",Targets!L:L,"Unconditional")&gt;0,"GHG unconditional only",IF(COUNTIFS(Targets!A:A,A390,Targets!H:H,"Transport sector mitigation target",Targets!J:J,"GHG",Targets!L:L,"Unclear conditionality")&gt;0,"Conditionality unclear",""))))))</f>
        <v>GHG conditional only</v>
      </c>
      <c r="N390" s="43" t="str" cm="1">
        <f t="array" ref="N390">IF(ISNUMBER(MATCH("Transport sector adaptation target", _xlfn._xlws.FILTER(Targets!H:H, Targets!A:A =A390), 0)), "yes", "no")</f>
        <v>yes</v>
      </c>
      <c r="O390" s="43" t="str">
        <f>IF(ISNA(MATCH(A390, Mitigation!A:A, 0)), "no", "yes")</f>
        <v>yes</v>
      </c>
      <c r="P390" s="43" t="str">
        <f>IF(ISNA(MATCH(A390, Adaptation!A:A, 0)), "no", "yes")</f>
        <v>yes</v>
      </c>
      <c r="Q390" s="43" t="str">
        <f>IF(ISNA(MATCH(A390, Benefits!A:A, 0)), "no", "yes")</f>
        <v>no</v>
      </c>
      <c r="R390" s="43"/>
      <c r="S390" s="43"/>
      <c r="T390" s="43" t="s">
        <v>501</v>
      </c>
      <c r="U390" s="312" t="s">
        <v>906</v>
      </c>
      <c r="V390" s="233" t="str">
        <f>VLOOKUP(Table1[[#This Row],[Country Code]],Table29[],3,FALSE)</f>
        <v>Non-Annex I</v>
      </c>
      <c r="W390" s="233" t="str">
        <f>VLOOKUP(Table1[[#This Row],[Country Code]],Table29[],4,FALSE)</f>
        <v>Africa</v>
      </c>
      <c r="X390" s="233" t="str">
        <f>VLOOKUP(Table1[[#This Row],[Country Code]],Table29[],5,FALSE)</f>
        <v>Low-income</v>
      </c>
      <c r="Y390" s="43"/>
      <c r="Z390" s="43"/>
    </row>
    <row r="391" spans="1:26" ht="15" customHeight="1" x14ac:dyDescent="0.25">
      <c r="A391" s="360">
        <v>23933</v>
      </c>
      <c r="B391" s="43" t="s">
        <v>323</v>
      </c>
      <c r="C391" s="243" t="str">
        <f>VLOOKUP(Table1[[#This Row],[Country Code]],Table29[],2,FALSE)</f>
        <v>New Zealand</v>
      </c>
      <c r="D391" s="243" t="str">
        <f t="shared" si="14"/>
        <v>Good</v>
      </c>
      <c r="E391" s="176" t="s">
        <v>71</v>
      </c>
      <c r="F391" s="43" t="s">
        <v>528</v>
      </c>
      <c r="G391" s="43" t="str">
        <f t="shared" si="15"/>
        <v>First NDC updated</v>
      </c>
      <c r="H391" s="43" t="s">
        <v>743</v>
      </c>
      <c r="I391" s="351">
        <v>44503</v>
      </c>
      <c r="J391" s="352" t="s">
        <v>500</v>
      </c>
      <c r="K391" s="320" t="str" cm="1">
        <f t="array" ref="K391">IF(ISNUMBER(MATCH("Transport sector mitigation target", _xlfn._xlws.FILTER(Targets!H:H, Targets!A:A =A391), 0)), "yes", "no")</f>
        <v>no</v>
      </c>
      <c r="L391" s="43" t="str">
        <f>IF(K391="no", "No transport target", IF(AND(COUNTIFS(Targets!A:A, A391, Targets!H:H, "Transport sector mitigation target", Targets!J:J, "GHG") &gt; 0, COUNTIFS(Targets!A:A, A391, Targets!H:H, "Transport sector mitigation target", Targets!J:J, "Non GHG") &gt; 0), "GHG and non-GHG target", IF(COUNTIFS(Targets!A:A, A391, Targets!H:H, "Transport sector mitigation target", Targets!J:J, "GHG") &gt; 0, "GHG target", IF(COUNTIFS(Targets!A:A, A391, Targets!H:H, "Transport sector mitigation target", Targets!J:J, "Non GHG") &gt; 0, "non-GHG target", ""))))</f>
        <v>No transport target</v>
      </c>
      <c r="M391" s="43" t="str">
        <f>IF(K391="no","No transport target",IF(L391="non-GHG target","No GHG transport target",IF(AND(COUNTIFS(Targets!A:A,A391,Targets!H:H,"Transport sector mitigation target",Targets!J:J,"GHG",Targets!L:L,"Conditional")&gt;0,COUNTIFS(Targets!A:A,A391,Targets!H:H,"Transport sector mitigation target",Targets!J:J,"GHG",Targets!L:L,"Unconditional")&gt;0),"GHG unconditional and conditional",IF(COUNTIFS(Targets!A:A,A391,Targets!H:H,"Transport sector mitigation target",Targets!J:J,"GHG",Targets!L:L,"Conditional")&gt;0,"GHG conditional only",IF(COUNTIFS(Targets!A:A,A391,Targets!H:H,"Transport sector mitigation target",Targets!J:J,"GHG",Targets!L:L,"Unconditional")&gt;0,"GHG unconditional only",IF(COUNTIFS(Targets!A:A,A391,Targets!H:H,"Transport sector mitigation target",Targets!J:J,"GHG",Targets!L:L,"Unclear conditionality")&gt;0,"Conditionality unclear",""))))))</f>
        <v>No transport target</v>
      </c>
      <c r="N391" s="43" t="str" cm="1">
        <f t="array" ref="N391">IF(ISNUMBER(MATCH("Transport sector adaptation target", _xlfn._xlws.FILTER(Targets!H:H, Targets!A:A =A391), 0)), "yes", "no")</f>
        <v>no</v>
      </c>
      <c r="O391" s="43" t="str">
        <f>IF(ISNA(MATCH(A391, Mitigation!A:A, 0)), "no", "yes")</f>
        <v>yes</v>
      </c>
      <c r="P391" s="43" t="str">
        <f>IF(ISNA(MATCH(A391, Adaptation!A:A, 0)), "no", "yes")</f>
        <v>no</v>
      </c>
      <c r="Q391" s="43" t="str">
        <f>IF(ISNA(MATCH(A391, Benefits!A:A, 0)), "no", "yes")</f>
        <v>no</v>
      </c>
      <c r="R391" s="43"/>
      <c r="S391" s="43"/>
      <c r="T391" s="43" t="s">
        <v>501</v>
      </c>
      <c r="U391" s="312" t="s">
        <v>907</v>
      </c>
      <c r="V391" s="233" t="str">
        <f>VLOOKUP(Table1[[#This Row],[Country Code]],Table29[],3,FALSE)</f>
        <v>Annex I</v>
      </c>
      <c r="W391" s="233" t="str">
        <f>VLOOKUP(Table1[[#This Row],[Country Code]],Table29[],4,FALSE)</f>
        <v>Oceania</v>
      </c>
      <c r="X391" s="233" t="str">
        <f>VLOOKUP(Table1[[#This Row],[Country Code]],Table29[],5,FALSE)</f>
        <v>High-income</v>
      </c>
      <c r="Y391" s="43"/>
      <c r="Z391" s="43"/>
    </row>
    <row r="392" spans="1:26" ht="15" customHeight="1" x14ac:dyDescent="0.25">
      <c r="A392" s="405">
        <v>43717</v>
      </c>
      <c r="B392" s="20" t="s">
        <v>249</v>
      </c>
      <c r="C392" s="207" t="str">
        <f>VLOOKUP(Table1[[#This Row],[Country Code]],Table29[],2,FALSE)</f>
        <v>Kazakhstan</v>
      </c>
      <c r="D392" s="243" t="str">
        <f t="shared" si="14"/>
        <v>Good</v>
      </c>
      <c r="E392" s="20" t="s">
        <v>227</v>
      </c>
      <c r="F392" s="17" t="s">
        <v>227</v>
      </c>
      <c r="G392" s="17" t="str">
        <f t="shared" si="15"/>
        <v>LTS</v>
      </c>
      <c r="H392" s="148" t="s">
        <v>636</v>
      </c>
      <c r="I392" s="163">
        <v>45586</v>
      </c>
      <c r="J392" s="187" t="s">
        <v>505</v>
      </c>
      <c r="K392" s="49" t="str" cm="1">
        <f t="array" ref="K392">IF(ISNUMBER(MATCH("Transport sector mitigation target", _xlfn._xlws.FILTER(Targets!H:H, Targets!A:A =A392), 0)), "yes", "no")</f>
        <v>no</v>
      </c>
      <c r="L392" s="17" t="str">
        <f>IF(K392="no", "No transport target", IF(AND(COUNTIFS(Targets!A:A, A392, Targets!H:H, "Transport sector mitigation target", Targets!J:J, "GHG") &gt; 0, COUNTIFS(Targets!A:A, A392, Targets!H:H, "Transport sector mitigation target", Targets!J:J, "Non GHG") &gt; 0), "GHG and non-GHG target", IF(COUNTIFS(Targets!A:A, A392, Targets!H:H, "Transport sector mitigation target", Targets!J:J, "GHG") &gt; 0, "GHG target", IF(COUNTIFS(Targets!A:A, A392, Targets!H:H, "Transport sector mitigation target", Targets!J:J, "Non GHG") &gt; 0, "non-GHG target", ""))))</f>
        <v>No transport target</v>
      </c>
      <c r="M392" s="17" t="str">
        <f>IF(K392="no","No transport target",IF(L392="non-GHG target","No GHG transport target",IF(AND(COUNTIFS(Targets!A:A,A392,Targets!H:H,"Transport sector mitigation target",Targets!J:J,"GHG",Targets!L:L,"Conditional")&gt;0,COUNTIFS(Targets!A:A,A392,Targets!H:H,"Transport sector mitigation target",Targets!J:J,"GHG",Targets!L:L,"Unconditional")&gt;0),"GHG unconditional and conditional",IF(COUNTIFS(Targets!A:A,A392,Targets!H:H,"Transport sector mitigation target",Targets!J:J,"GHG",Targets!L:L,"Conditional")&gt;0,"GHG conditional only",IF(COUNTIFS(Targets!A:A,A392,Targets!H:H,"Transport sector mitigation target",Targets!J:J,"GHG",Targets!L:L,"Unconditional")&gt;0,"GHG unconditional only",IF(COUNTIFS(Targets!A:A,A392,Targets!H:H,"Transport sector mitigation target",Targets!J:J,"GHG",Targets!L:L,"Unclear conditionality")&gt;0,"Conditionality unclear",""))))))</f>
        <v>No transport target</v>
      </c>
      <c r="N392" s="17" t="str" cm="1">
        <f t="array" ref="N392">IF(ISNUMBER(MATCH("Transport sector adaptation target", _xlfn._xlws.FILTER(Targets!H:H, Targets!A:A =A392), 0)), "yes", "no")</f>
        <v>no</v>
      </c>
      <c r="O392" s="17" t="str">
        <f>IF(ISNA(MATCH(A392, Mitigation!A:A, 0)), "no", "yes")</f>
        <v>yes</v>
      </c>
      <c r="P392" s="17" t="str">
        <f>IF(ISNA(MATCH(A392, Adaptation!A:A, 0)), "no", "yes")</f>
        <v>yes</v>
      </c>
      <c r="Q392" s="17" t="str">
        <f>IF(ISNA(MATCH(A392, Benefits!A:A, 0)), "no", "yes")</f>
        <v>no</v>
      </c>
      <c r="R392" s="17"/>
      <c r="S392" s="148"/>
      <c r="T392" s="17"/>
      <c r="U392" s="411" t="s">
        <v>908</v>
      </c>
      <c r="V392" s="207" t="str">
        <f>VLOOKUP(Table1[[#This Row],[Country Code]],Table29[],3,FALSE)</f>
        <v>Non-Annex I</v>
      </c>
      <c r="W392" s="207" t="str">
        <f>VLOOKUP(Table1[[#This Row],[Country Code]],Table29[],4,FALSE)</f>
        <v>Asia</v>
      </c>
      <c r="X392" s="207" t="str">
        <f>VLOOKUP(Table1[[#This Row],[Country Code]],Table29[],5,FALSE)</f>
        <v>Middle-income</v>
      </c>
      <c r="Y392" s="17"/>
      <c r="Z392" s="17"/>
    </row>
    <row r="393" spans="1:26" ht="15" customHeight="1" x14ac:dyDescent="0.25">
      <c r="A393" s="360">
        <v>26795</v>
      </c>
      <c r="B393" s="43" t="s">
        <v>205</v>
      </c>
      <c r="C393" s="243" t="str">
        <f>VLOOKUP(Table1[[#This Row],[Country Code]],Table29[],2,FALSE)</f>
        <v>Ghana</v>
      </c>
      <c r="D393" s="243" t="str">
        <f t="shared" si="14"/>
        <v>Good</v>
      </c>
      <c r="E393" s="176" t="s">
        <v>71</v>
      </c>
      <c r="F393" s="43" t="s">
        <v>528</v>
      </c>
      <c r="G393" s="43" t="str">
        <f t="shared" si="15"/>
        <v>First NDC updated</v>
      </c>
      <c r="H393" s="43" t="s">
        <v>743</v>
      </c>
      <c r="I393" s="351">
        <v>44504</v>
      </c>
      <c r="J393" s="352" t="s">
        <v>505</v>
      </c>
      <c r="K393" s="320" t="str" cm="1">
        <f t="array" ref="K393">IF(ISNUMBER(MATCH("Transport sector mitigation target", _xlfn._xlws.FILTER(Targets!H:H, Targets!A:A =A393), 0)), "yes", "no")</f>
        <v>no</v>
      </c>
      <c r="L393" s="43" t="str">
        <f>IF(K393="no", "No transport target", IF(AND(COUNTIFS(Targets!A:A, A393, Targets!H:H, "Transport sector mitigation target", Targets!J:J, "GHG") &gt; 0, COUNTIFS(Targets!A:A, A393, Targets!H:H, "Transport sector mitigation target", Targets!J:J, "Non GHG") &gt; 0), "GHG and non-GHG target", IF(COUNTIFS(Targets!A:A, A393, Targets!H:H, "Transport sector mitigation target", Targets!J:J, "GHG") &gt; 0, "GHG target", IF(COUNTIFS(Targets!A:A, A393, Targets!H:H, "Transport sector mitigation target", Targets!J:J, "Non GHG") &gt; 0, "non-GHG target", ""))))</f>
        <v>No transport target</v>
      </c>
      <c r="M393" s="43" t="str">
        <f>IF(K393="no","No transport target",IF(L393="non-GHG target","No GHG transport target",IF(AND(COUNTIFS(Targets!A:A,A393,Targets!H:H,"Transport sector mitigation target",Targets!J:J,"GHG",Targets!L:L,"Conditional")&gt;0,COUNTIFS(Targets!A:A,A393,Targets!H:H,"Transport sector mitigation target",Targets!J:J,"GHG",Targets!L:L,"Unconditional")&gt;0),"GHG unconditional and conditional",IF(COUNTIFS(Targets!A:A,A393,Targets!H:H,"Transport sector mitigation target",Targets!J:J,"GHG",Targets!L:L,"Conditional")&gt;0,"GHG conditional only",IF(COUNTIFS(Targets!A:A,A393,Targets!H:H,"Transport sector mitigation target",Targets!J:J,"GHG",Targets!L:L,"Unconditional")&gt;0,"GHG unconditional only",IF(COUNTIFS(Targets!A:A,A393,Targets!H:H,"Transport sector mitigation target",Targets!J:J,"GHG",Targets!L:L,"Unclear conditionality")&gt;0,"Conditionality unclear",""))))))</f>
        <v>No transport target</v>
      </c>
      <c r="N393" s="43" t="str" cm="1">
        <f t="array" ref="N393">IF(ISNUMBER(MATCH("Transport sector adaptation target", _xlfn._xlws.FILTER(Targets!H:H, Targets!A:A =A393), 0)), "yes", "no")</f>
        <v>no</v>
      </c>
      <c r="O393" s="43" t="str">
        <f>IF(ISNA(MATCH(A393, Mitigation!A:A, 0)), "no", "yes")</f>
        <v>yes</v>
      </c>
      <c r="P393" s="43" t="str">
        <f>IF(ISNA(MATCH(A393, Adaptation!A:A, 0)), "no", "yes")</f>
        <v>yes</v>
      </c>
      <c r="Q393" s="43" t="str">
        <f>IF(ISNA(MATCH(A393, Benefits!A:A, 0)), "no", "yes")</f>
        <v>no</v>
      </c>
      <c r="R393" s="43"/>
      <c r="S393" s="43"/>
      <c r="T393" s="43" t="s">
        <v>501</v>
      </c>
      <c r="U393" s="312" t="s">
        <v>909</v>
      </c>
      <c r="V393" s="233" t="str">
        <f>VLOOKUP(Table1[[#This Row],[Country Code]],Table29[],3,FALSE)</f>
        <v>Non-Annex I</v>
      </c>
      <c r="W393" s="233" t="str">
        <f>VLOOKUP(Table1[[#This Row],[Country Code]],Table29[],4,FALSE)</f>
        <v>Africa</v>
      </c>
      <c r="X393" s="233" t="str">
        <f>VLOOKUP(Table1[[#This Row],[Country Code]],Table29[],5,FALSE)</f>
        <v>Middle-income</v>
      </c>
      <c r="Y393" s="43"/>
      <c r="Z393" s="43"/>
    </row>
    <row r="394" spans="1:26" ht="15" customHeight="1" x14ac:dyDescent="0.25">
      <c r="A394" s="360">
        <v>17638</v>
      </c>
      <c r="B394" s="43" t="s">
        <v>264</v>
      </c>
      <c r="C394" s="243" t="str">
        <f>VLOOKUP(Table1[[#This Row],[Country Code]],Table29[],2,FALSE)</f>
        <v>Latvia</v>
      </c>
      <c r="D394" s="243" t="str">
        <f t="shared" si="14"/>
        <v>Good</v>
      </c>
      <c r="E394" s="176" t="s">
        <v>227</v>
      </c>
      <c r="F394" s="43" t="s">
        <v>227</v>
      </c>
      <c r="G394" s="43" t="str">
        <f t="shared" si="15"/>
        <v>LTS</v>
      </c>
      <c r="H394" s="43" t="s">
        <v>636</v>
      </c>
      <c r="I394" s="351">
        <v>44086</v>
      </c>
      <c r="J394" s="352" t="s">
        <v>505</v>
      </c>
      <c r="K394" s="320" t="str" cm="1">
        <f t="array" ref="K394">IF(ISNUMBER(MATCH("Transport sector mitigation target", _xlfn._xlws.FILTER(Targets!H:H, Targets!A:A =A394), 0)), "yes", "no")</f>
        <v>no</v>
      </c>
      <c r="L394" s="43" t="str">
        <f>IF(K394="no", "No transport target", IF(AND(COUNTIFS(Targets!A:A, A394, Targets!H:H, "Transport sector mitigation target", Targets!J:J, "GHG") &gt; 0, COUNTIFS(Targets!A:A, A394, Targets!H:H, "Transport sector mitigation target", Targets!J:J, "Non GHG") &gt; 0), "GHG and non-GHG target", IF(COUNTIFS(Targets!A:A, A394, Targets!H:H, "Transport sector mitigation target", Targets!J:J, "GHG") &gt; 0, "GHG target", IF(COUNTIFS(Targets!A:A, A394, Targets!H:H, "Transport sector mitigation target", Targets!J:J, "Non GHG") &gt; 0, "non-GHG target", ""))))</f>
        <v>No transport target</v>
      </c>
      <c r="M394" s="43" t="str">
        <f>IF(K394="no","No transport target",IF(L394="non-GHG target","No GHG transport target",IF(AND(COUNTIFS(Targets!A:A,A394,Targets!H:H,"Transport sector mitigation target",Targets!J:J,"GHG",Targets!L:L,"Conditional")&gt;0,COUNTIFS(Targets!A:A,A394,Targets!H:H,"Transport sector mitigation target",Targets!J:J,"GHG",Targets!L:L,"Unconditional")&gt;0),"GHG unconditional and conditional",IF(COUNTIFS(Targets!A:A,A394,Targets!H:H,"Transport sector mitigation target",Targets!J:J,"GHG",Targets!L:L,"Conditional")&gt;0,"GHG conditional only",IF(COUNTIFS(Targets!A:A,A394,Targets!H:H,"Transport sector mitigation target",Targets!J:J,"GHG",Targets!L:L,"Unconditional")&gt;0,"GHG unconditional only",IF(COUNTIFS(Targets!A:A,A394,Targets!H:H,"Transport sector mitigation target",Targets!J:J,"GHG",Targets!L:L,"Unclear conditionality")&gt;0,"Conditionality unclear",""))))))</f>
        <v>No transport target</v>
      </c>
      <c r="N394" s="43" t="str" cm="1">
        <f t="array" ref="N394">IF(ISNUMBER(MATCH("Transport sector adaptation target", _xlfn._xlws.FILTER(Targets!H:H, Targets!A:A =A394), 0)), "yes", "no")</f>
        <v>no</v>
      </c>
      <c r="O394" s="43" t="str">
        <f>IF(ISNA(MATCH(A394, Mitigation!A:A, 0)), "no", "yes")</f>
        <v>yes</v>
      </c>
      <c r="P394" s="43" t="str">
        <f>IF(ISNA(MATCH(A394, Adaptation!A:A, 0)), "no", "yes")</f>
        <v>no</v>
      </c>
      <c r="Q394" s="43" t="str">
        <f>IF(ISNA(MATCH(A394, Benefits!A:A, 0)), "no", "yes")</f>
        <v>yes</v>
      </c>
      <c r="R394" s="43"/>
      <c r="S394" s="43"/>
      <c r="T394" s="43" t="s">
        <v>501</v>
      </c>
      <c r="U394" s="312" t="s">
        <v>910</v>
      </c>
      <c r="V394" s="233" t="str">
        <f>VLOOKUP(Table1[[#This Row],[Country Code]],Table29[],3,FALSE)</f>
        <v>Annex I</v>
      </c>
      <c r="W394" s="233" t="str">
        <f>VLOOKUP(Table1[[#This Row],[Country Code]],Table29[],4,FALSE)</f>
        <v>Europe</v>
      </c>
      <c r="X394" s="233" t="str">
        <f>VLOOKUP(Table1[[#This Row],[Country Code]],Table29[],5,FALSE)</f>
        <v>High-income</v>
      </c>
      <c r="Y394" s="43"/>
      <c r="Z394" s="43"/>
    </row>
    <row r="395" spans="1:26" ht="15" customHeight="1" x14ac:dyDescent="0.25">
      <c r="A395" s="360">
        <v>24786</v>
      </c>
      <c r="B395" s="43" t="s">
        <v>141</v>
      </c>
      <c r="C395" s="243" t="str">
        <f>VLOOKUP(Table1[[#This Row],[Country Code]],Table29[],2,FALSE)</f>
        <v>Comoros</v>
      </c>
      <c r="D395" s="243" t="str">
        <f t="shared" si="14"/>
        <v>Good</v>
      </c>
      <c r="E395" s="176" t="s">
        <v>71</v>
      </c>
      <c r="F395" s="43" t="s">
        <v>528</v>
      </c>
      <c r="G395" s="43" t="str">
        <f t="shared" si="15"/>
        <v>First NDC updated</v>
      </c>
      <c r="H395" s="43" t="s">
        <v>691</v>
      </c>
      <c r="I395" s="351">
        <v>44505</v>
      </c>
      <c r="J395" s="352" t="s">
        <v>505</v>
      </c>
      <c r="K395" s="320" t="str" cm="1">
        <f t="array" ref="K395">IF(ISNUMBER(MATCH("Transport sector mitigation target", _xlfn._xlws.FILTER(Targets!H:H, Targets!A:A =A395), 0)), "yes", "no")</f>
        <v>no</v>
      </c>
      <c r="L395" s="43" t="str">
        <f>IF(K395="no", "No transport target", IF(AND(COUNTIFS(Targets!A:A, A395, Targets!H:H, "Transport sector mitigation target", Targets!J:J, "GHG") &gt; 0, COUNTIFS(Targets!A:A, A395, Targets!H:H, "Transport sector mitigation target", Targets!J:J, "Non GHG") &gt; 0), "GHG and non-GHG target", IF(COUNTIFS(Targets!A:A, A395, Targets!H:H, "Transport sector mitigation target", Targets!J:J, "GHG") &gt; 0, "GHG target", IF(COUNTIFS(Targets!A:A, A395, Targets!H:H, "Transport sector mitigation target", Targets!J:J, "Non GHG") &gt; 0, "non-GHG target", ""))))</f>
        <v>No transport target</v>
      </c>
      <c r="M395" s="43" t="str">
        <f>IF(K395="no","No transport target",IF(L395="non-GHG target","No GHG transport target",IF(AND(COUNTIFS(Targets!A:A,A395,Targets!H:H,"Transport sector mitigation target",Targets!J:J,"GHG",Targets!L:L,"Conditional")&gt;0,COUNTIFS(Targets!A:A,A395,Targets!H:H,"Transport sector mitigation target",Targets!J:J,"GHG",Targets!L:L,"Unconditional")&gt;0),"GHG unconditional and conditional",IF(COUNTIFS(Targets!A:A,A395,Targets!H:H,"Transport sector mitigation target",Targets!J:J,"GHG",Targets!L:L,"Conditional")&gt;0,"GHG conditional only",IF(COUNTIFS(Targets!A:A,A395,Targets!H:H,"Transport sector mitigation target",Targets!J:J,"GHG",Targets!L:L,"Unconditional")&gt;0,"GHG unconditional only",IF(COUNTIFS(Targets!A:A,A395,Targets!H:H,"Transport sector mitigation target",Targets!J:J,"GHG",Targets!L:L,"Unclear conditionality")&gt;0,"Conditionality unclear",""))))))</f>
        <v>No transport target</v>
      </c>
      <c r="N395" s="43" t="str" cm="1">
        <f t="array" ref="N395">IF(ISNUMBER(MATCH("Transport sector adaptation target", _xlfn._xlws.FILTER(Targets!H:H, Targets!A:A =A395), 0)), "yes", "no")</f>
        <v>no</v>
      </c>
      <c r="O395" s="43" t="str">
        <f>IF(ISNA(MATCH(A395, Mitigation!A:A, 0)), "no", "yes")</f>
        <v>no</v>
      </c>
      <c r="P395" s="43" t="str">
        <f>IF(ISNA(MATCH(A395, Adaptation!A:A, 0)), "no", "yes")</f>
        <v>yes</v>
      </c>
      <c r="Q395" s="43" t="str">
        <f>IF(ISNA(MATCH(A395, Benefits!A:A, 0)), "no", "yes")</f>
        <v>no</v>
      </c>
      <c r="R395" s="43"/>
      <c r="S395" s="43"/>
      <c r="T395" s="43" t="s">
        <v>501</v>
      </c>
      <c r="U395" s="312" t="s">
        <v>911</v>
      </c>
      <c r="V395" s="233" t="str">
        <f>VLOOKUP(Table1[[#This Row],[Country Code]],Table29[],3,FALSE)</f>
        <v>Non-Annex I</v>
      </c>
      <c r="W395" s="233" t="str">
        <f>VLOOKUP(Table1[[#This Row],[Country Code]],Table29[],4,FALSE)</f>
        <v>Africa</v>
      </c>
      <c r="X395" s="233" t="str">
        <f>VLOOKUP(Table1[[#This Row],[Country Code]],Table29[],5,FALSE)</f>
        <v>Middle-income</v>
      </c>
      <c r="Y395" s="43"/>
      <c r="Z395" s="43"/>
    </row>
    <row r="396" spans="1:26" ht="15" customHeight="1" x14ac:dyDescent="0.25">
      <c r="A396" s="405">
        <v>24787</v>
      </c>
      <c r="B396" s="17" t="s">
        <v>462</v>
      </c>
      <c r="C396" s="206" t="str">
        <f>VLOOKUP(Table1[[#This Row],[Country Code]],Table29[],2,FALSE)</f>
        <v>Venezuela, Bolivarian Republic of</v>
      </c>
      <c r="D396" s="243" t="str">
        <f t="shared" si="14"/>
        <v>Good</v>
      </c>
      <c r="E396" s="20" t="s">
        <v>71</v>
      </c>
      <c r="F396" s="17" t="s">
        <v>528</v>
      </c>
      <c r="G396" s="43" t="str">
        <f t="shared" si="15"/>
        <v>First NDC updated</v>
      </c>
      <c r="H396" s="17" t="s">
        <v>691</v>
      </c>
      <c r="I396" s="149">
        <v>44509</v>
      </c>
      <c r="J396" s="187" t="s">
        <v>505</v>
      </c>
      <c r="K396" s="49" t="str" cm="1">
        <f t="array" ref="K396">IF(ISNUMBER(MATCH("Transport sector mitigation target", _xlfn._xlws.FILTER(Targets!H:H, Targets!A:A =A396), 0)), "yes", "no")</f>
        <v>no</v>
      </c>
      <c r="L396" s="17" t="str">
        <f>IF(K396="no", "No transport target", IF(AND(COUNTIFS(Targets!A:A, A396, Targets!H:H, "Transport sector mitigation target", Targets!J:J, "GHG") &gt; 0, COUNTIFS(Targets!A:A, A396, Targets!H:H, "Transport sector mitigation target", Targets!J:J, "Non GHG") &gt; 0), "GHG and non-GHG target", IF(COUNTIFS(Targets!A:A, A396, Targets!H:H, "Transport sector mitigation target", Targets!J:J, "GHG") &gt; 0, "GHG target", IF(COUNTIFS(Targets!A:A, A396, Targets!H:H, "Transport sector mitigation target", Targets!J:J, "Non GHG") &gt; 0, "non-GHG target", ""))))</f>
        <v>No transport target</v>
      </c>
      <c r="M396" s="17" t="str">
        <f>IF(K396="no","No transport target",IF(L396="non-GHG target","No GHG transport target",IF(AND(COUNTIFS(Targets!A:A,A396,Targets!H:H,"Transport sector mitigation target",Targets!J:J,"GHG",Targets!L:L,"Conditional")&gt;0,COUNTIFS(Targets!A:A,A396,Targets!H:H,"Transport sector mitigation target",Targets!J:J,"GHG",Targets!L:L,"Unconditional")&gt;0),"GHG unconditional and conditional",IF(COUNTIFS(Targets!A:A,A396,Targets!H:H,"Transport sector mitigation target",Targets!J:J,"GHG",Targets!L:L,"Conditional")&gt;0,"GHG conditional only",IF(COUNTIFS(Targets!A:A,A396,Targets!H:H,"Transport sector mitigation target",Targets!J:J,"GHG",Targets!L:L,"Unconditional")&gt;0,"GHG unconditional only",IF(COUNTIFS(Targets!A:A,A396,Targets!H:H,"Transport sector mitigation target",Targets!J:J,"GHG",Targets!L:L,"Unclear conditionality")&gt;0,"Conditionality unclear",""))))))</f>
        <v>No transport target</v>
      </c>
      <c r="N396" s="17" t="str" cm="1">
        <f t="array" ref="N396">IF(ISNUMBER(MATCH("Transport sector adaptation target", _xlfn._xlws.FILTER(Targets!H:H, Targets!A:A =A396), 0)), "yes", "no")</f>
        <v>no</v>
      </c>
      <c r="O396" s="17" t="str">
        <f>IF(ISNA(MATCH(A396, Mitigation!A:A, 0)), "no", "yes")</f>
        <v>yes</v>
      </c>
      <c r="P396" s="17" t="str">
        <f>IF(ISNA(MATCH(A396, Adaptation!A:A, 0)), "no", "yes")</f>
        <v>no</v>
      </c>
      <c r="Q396" s="17" t="str">
        <f>IF(ISNA(MATCH(A396, Benefits!A:A, 0)), "no", "yes")</f>
        <v>yes</v>
      </c>
      <c r="R396" s="17"/>
      <c r="S396" s="17"/>
      <c r="T396" s="17" t="s">
        <v>501</v>
      </c>
      <c r="U396" s="135" t="s">
        <v>912</v>
      </c>
      <c r="V396" s="207" t="str">
        <f>VLOOKUP(Table1[[#This Row],[Country Code]],Table29[],3,FALSE)</f>
        <v>Non-Annex I</v>
      </c>
      <c r="W396" s="207" t="str">
        <f>VLOOKUP(Table1[[#This Row],[Country Code]],Table29[],4,FALSE)</f>
        <v>Latin America and the Caribbean</v>
      </c>
      <c r="X396" s="207" t="str">
        <f>VLOOKUP(Table1[[#This Row],[Country Code]],Table29[],5,FALSE)</f>
        <v>Middle-income</v>
      </c>
      <c r="Y396" s="17"/>
      <c r="Z396" s="17"/>
    </row>
    <row r="397" spans="1:26" ht="15" customHeight="1" x14ac:dyDescent="0.25">
      <c r="A397" s="360">
        <v>32505</v>
      </c>
      <c r="B397" s="42" t="s">
        <v>276</v>
      </c>
      <c r="C397" s="243" t="str">
        <f>VLOOKUP(Table1[[#This Row],[Country Code]],Table29[],2,FALSE)</f>
        <v>Lithuania</v>
      </c>
      <c r="D397" s="243" t="str">
        <f t="shared" si="14"/>
        <v>Good</v>
      </c>
      <c r="E397" s="176" t="s">
        <v>227</v>
      </c>
      <c r="F397" s="43" t="s">
        <v>717</v>
      </c>
      <c r="G397" s="43" t="str">
        <f t="shared" si="15"/>
        <v>EU-LTS</v>
      </c>
      <c r="H397" s="43" t="s">
        <v>636</v>
      </c>
      <c r="I397" s="355">
        <v>44637</v>
      </c>
      <c r="J397" s="352" t="s">
        <v>505</v>
      </c>
      <c r="K397" s="320" t="str" cm="1">
        <f t="array" ref="K397">IF(ISNUMBER(MATCH("Transport sector mitigation target", _xlfn._xlws.FILTER(Targets!H:H, Targets!A:A =A397), 0)), "yes", "no")</f>
        <v>yes</v>
      </c>
      <c r="L397" s="43" t="str">
        <f>IF(K397="no", "No transport target", IF(AND(COUNTIFS(Targets!A:A, A397, Targets!H:H, "Transport sector mitigation target", Targets!J:J, "GHG") &gt; 0, COUNTIFS(Targets!A:A, A397, Targets!H:H, "Transport sector mitigation target", Targets!J:J, "Non GHG") &gt; 0), "GHG and non-GHG target", IF(COUNTIFS(Targets!A:A, A397, Targets!H:H, "Transport sector mitigation target", Targets!J:J, "GHG") &gt; 0, "GHG target", IF(COUNTIFS(Targets!A:A, A397, Targets!H:H, "Transport sector mitigation target", Targets!J:J, "Non GHG") &gt; 0, "non-GHG target", ""))))</f>
        <v>GHG and non-GHG target</v>
      </c>
      <c r="M397" s="43" t="str">
        <f>IF(K397="no","No transport target",IF(L397="non-GHG target","No GHG transport target",IF(AND(COUNTIFS(Targets!A:A,A397,Targets!H:H,"Transport sector mitigation target",Targets!J:J,"GHG",Targets!L:L,"Conditional")&gt;0,COUNTIFS(Targets!A:A,A397,Targets!H:H,"Transport sector mitigation target",Targets!J:J,"GHG",Targets!L:L,"Unconditional")&gt;0),"GHG unconditional and conditional",IF(COUNTIFS(Targets!A:A,A397,Targets!H:H,"Transport sector mitigation target",Targets!J:J,"GHG",Targets!L:L,"Conditional")&gt;0,"GHG conditional only",IF(COUNTIFS(Targets!A:A,A397,Targets!H:H,"Transport sector mitigation target",Targets!J:J,"GHG",Targets!L:L,"Unconditional")&gt;0,"GHG unconditional only",IF(COUNTIFS(Targets!A:A,A397,Targets!H:H,"Transport sector mitigation target",Targets!J:J,"GHG",Targets!L:L,"Unclear conditionality")&gt;0,"Conditionality unclear",""))))))</f>
        <v>GHG unconditional only</v>
      </c>
      <c r="N397" s="43" t="str" cm="1">
        <f t="array" ref="N397">IF(ISNUMBER(MATCH("Transport sector adaptation target", _xlfn._xlws.FILTER(Targets!H:H, Targets!A:A =A397), 0)), "yes", "no")</f>
        <v>no</v>
      </c>
      <c r="O397" s="43" t="str">
        <f>IF(ISNA(MATCH(A397, Mitigation!A:A, 0)), "no", "yes")</f>
        <v>yes</v>
      </c>
      <c r="P397" s="43" t="str">
        <f>IF(ISNA(MATCH(A397, Adaptation!A:A, 0)), "no", "yes")</f>
        <v>yes</v>
      </c>
      <c r="Q397" s="43" t="str">
        <f>IF(ISNA(MATCH(A397, Benefits!A:A, 0)), "no", "yes")</f>
        <v>no</v>
      </c>
      <c r="R397" s="43"/>
      <c r="S397" s="43"/>
      <c r="T397" s="43" t="s">
        <v>501</v>
      </c>
      <c r="U397" s="312" t="s">
        <v>913</v>
      </c>
      <c r="V397" s="233" t="str">
        <f>VLOOKUP(Table1[[#This Row],[Country Code]],Table29[],3,FALSE)</f>
        <v>Annex I</v>
      </c>
      <c r="W397" s="233" t="str">
        <f>VLOOKUP(Table1[[#This Row],[Country Code]],Table29[],4,FALSE)</f>
        <v>Europe</v>
      </c>
      <c r="X397" s="233" t="str">
        <f>VLOOKUP(Table1[[#This Row],[Country Code]],Table29[],5,FALSE)</f>
        <v>High-income</v>
      </c>
      <c r="Y397" s="43"/>
      <c r="Z397" s="43"/>
    </row>
    <row r="398" spans="1:26" ht="15" customHeight="1" x14ac:dyDescent="0.25">
      <c r="A398" s="360">
        <v>23370</v>
      </c>
      <c r="B398" s="42" t="s">
        <v>95</v>
      </c>
      <c r="C398" s="243" t="str">
        <f>VLOOKUP(Table1[[#This Row],[Country Code]],Table29[],2,FALSE)</f>
        <v>Belarus</v>
      </c>
      <c r="D398" s="243" t="str">
        <f t="shared" si="14"/>
        <v>Good</v>
      </c>
      <c r="E398" s="176" t="s">
        <v>71</v>
      </c>
      <c r="F398" s="43" t="s">
        <v>528</v>
      </c>
      <c r="G398" s="43" t="str">
        <f t="shared" si="15"/>
        <v>First NDC updated</v>
      </c>
      <c r="H398" s="43" t="s">
        <v>691</v>
      </c>
      <c r="I398" s="351">
        <v>44510</v>
      </c>
      <c r="J398" s="352" t="s">
        <v>505</v>
      </c>
      <c r="K398" s="320" t="str" cm="1">
        <f t="array" ref="K398">IF(ISNUMBER(MATCH("Transport sector mitigation target", _xlfn._xlws.FILTER(Targets!H:H, Targets!A:A =A398), 0)), "yes", "no")</f>
        <v>no</v>
      </c>
      <c r="L398" s="43" t="str">
        <f>IF(K398="no", "No transport target", IF(AND(COUNTIFS(Targets!A:A, A398, Targets!H:H, "Transport sector mitigation target", Targets!J:J, "GHG") &gt; 0, COUNTIFS(Targets!A:A, A398, Targets!H:H, "Transport sector mitigation target", Targets!J:J, "Non GHG") &gt; 0), "GHG and non-GHG target", IF(COUNTIFS(Targets!A:A, A398, Targets!H:H, "Transport sector mitigation target", Targets!J:J, "GHG") &gt; 0, "GHG target", IF(COUNTIFS(Targets!A:A, A398, Targets!H:H, "Transport sector mitigation target", Targets!J:J, "Non GHG") &gt; 0, "non-GHG target", ""))))</f>
        <v>No transport target</v>
      </c>
      <c r="M398" s="43" t="str">
        <f>IF(K398="no","No transport target",IF(L398="non-GHG target","No GHG transport target",IF(AND(COUNTIFS(Targets!A:A,A398,Targets!H:H,"Transport sector mitigation target",Targets!J:J,"GHG",Targets!L:L,"Conditional")&gt;0,COUNTIFS(Targets!A:A,A398,Targets!H:H,"Transport sector mitigation target",Targets!J:J,"GHG",Targets!L:L,"Unconditional")&gt;0),"GHG unconditional and conditional",IF(COUNTIFS(Targets!A:A,A398,Targets!H:H,"Transport sector mitigation target",Targets!J:J,"GHG",Targets!L:L,"Conditional")&gt;0,"GHG conditional only",IF(COUNTIFS(Targets!A:A,A398,Targets!H:H,"Transport sector mitigation target",Targets!J:J,"GHG",Targets!L:L,"Unconditional")&gt;0,"GHG unconditional only",IF(COUNTIFS(Targets!A:A,A398,Targets!H:H,"Transport sector mitigation target",Targets!J:J,"GHG",Targets!L:L,"Unclear conditionality")&gt;0,"Conditionality unclear",""))))))</f>
        <v>No transport target</v>
      </c>
      <c r="N398" s="43" t="str" cm="1">
        <f t="array" ref="N398">IF(ISNUMBER(MATCH("Transport sector adaptation target", _xlfn._xlws.FILTER(Targets!H:H, Targets!A:A =A398), 0)), "yes", "no")</f>
        <v>no</v>
      </c>
      <c r="O398" s="43" t="str">
        <f>IF(ISNA(MATCH(A398, Mitigation!A:A, 0)), "no", "yes")</f>
        <v>no</v>
      </c>
      <c r="P398" s="43" t="str">
        <f>IF(ISNA(MATCH(A398, Adaptation!A:A, 0)), "no", "yes")</f>
        <v>no</v>
      </c>
      <c r="Q398" s="43" t="str">
        <f>IF(ISNA(MATCH(A398, Benefits!A:A, 0)), "no", "yes")</f>
        <v>no</v>
      </c>
      <c r="R398" s="43"/>
      <c r="S398" s="43"/>
      <c r="T398" s="43" t="s">
        <v>501</v>
      </c>
      <c r="U398" s="312" t="s">
        <v>914</v>
      </c>
      <c r="V398" s="233" t="str">
        <f>VLOOKUP(Table1[[#This Row],[Country Code]],Table29[],3,FALSE)</f>
        <v>Annex I</v>
      </c>
      <c r="W398" s="233" t="str">
        <f>VLOOKUP(Table1[[#This Row],[Country Code]],Table29[],4,FALSE)</f>
        <v>Europe</v>
      </c>
      <c r="X398" s="233" t="str">
        <f>VLOOKUP(Table1[[#This Row],[Country Code]],Table29[],5,FALSE)</f>
        <v>Middle-income</v>
      </c>
      <c r="Y398" s="43"/>
      <c r="Z398" s="43"/>
    </row>
    <row r="399" spans="1:26" ht="15" customHeight="1" x14ac:dyDescent="0.25">
      <c r="A399" s="360">
        <v>23371</v>
      </c>
      <c r="B399" s="42" t="s">
        <v>125</v>
      </c>
      <c r="C399" s="243" t="str">
        <f>VLOOKUP(Table1[[#This Row],[Country Code]],Table29[],2,FALSE)</f>
        <v>Cameroon</v>
      </c>
      <c r="D399" s="243" t="str">
        <f t="shared" si="14"/>
        <v>Good</v>
      </c>
      <c r="E399" s="176" t="s">
        <v>71</v>
      </c>
      <c r="F399" s="43" t="s">
        <v>528</v>
      </c>
      <c r="G399" s="43" t="str">
        <f t="shared" si="15"/>
        <v>First NDC updated</v>
      </c>
      <c r="H399" s="43" t="s">
        <v>691</v>
      </c>
      <c r="I399" s="351">
        <v>44510</v>
      </c>
      <c r="J399" s="352" t="s">
        <v>505</v>
      </c>
      <c r="K399" s="320" t="str" cm="1">
        <f t="array" ref="K399">IF(ISNUMBER(MATCH("Transport sector mitigation target", _xlfn._xlws.FILTER(Targets!H:H, Targets!A:A =A399), 0)), "yes", "no")</f>
        <v>no</v>
      </c>
      <c r="L399" s="43" t="str">
        <f>IF(K399="no", "No transport target", IF(AND(COUNTIFS(Targets!A:A, A399, Targets!H:H, "Transport sector mitigation target", Targets!J:J, "GHG") &gt; 0, COUNTIFS(Targets!A:A, A399, Targets!H:H, "Transport sector mitigation target", Targets!J:J, "Non GHG") &gt; 0), "GHG and non-GHG target", IF(COUNTIFS(Targets!A:A, A399, Targets!H:H, "Transport sector mitigation target", Targets!J:J, "GHG") &gt; 0, "GHG target", IF(COUNTIFS(Targets!A:A, A399, Targets!H:H, "Transport sector mitigation target", Targets!J:J, "Non GHG") &gt; 0, "non-GHG target", ""))))</f>
        <v>No transport target</v>
      </c>
      <c r="M399" s="43" t="str">
        <f>IF(K399="no","No transport target",IF(L399="non-GHG target","No GHG transport target",IF(AND(COUNTIFS(Targets!A:A,A399,Targets!H:H,"Transport sector mitigation target",Targets!J:J,"GHG",Targets!L:L,"Conditional")&gt;0,COUNTIFS(Targets!A:A,A399,Targets!H:H,"Transport sector mitigation target",Targets!J:J,"GHG",Targets!L:L,"Unconditional")&gt;0),"GHG unconditional and conditional",IF(COUNTIFS(Targets!A:A,A399,Targets!H:H,"Transport sector mitigation target",Targets!J:J,"GHG",Targets!L:L,"Conditional")&gt;0,"GHG conditional only",IF(COUNTIFS(Targets!A:A,A399,Targets!H:H,"Transport sector mitigation target",Targets!J:J,"GHG",Targets!L:L,"Unconditional")&gt;0,"GHG unconditional only",IF(COUNTIFS(Targets!A:A,A399,Targets!H:H,"Transport sector mitigation target",Targets!J:J,"GHG",Targets!L:L,"Unclear conditionality")&gt;0,"Conditionality unclear",""))))))</f>
        <v>No transport target</v>
      </c>
      <c r="N399" s="43" t="str" cm="1">
        <f t="array" ref="N399">IF(ISNUMBER(MATCH("Transport sector adaptation target", _xlfn._xlws.FILTER(Targets!H:H, Targets!A:A =A399), 0)), "yes", "no")</f>
        <v>no</v>
      </c>
      <c r="O399" s="43" t="str">
        <f>IF(ISNA(MATCH(A399, Mitigation!A:A, 0)), "no", "yes")</f>
        <v>yes</v>
      </c>
      <c r="P399" s="43" t="str">
        <f>IF(ISNA(MATCH(A399, Adaptation!A:A, 0)), "no", "yes")</f>
        <v>yes</v>
      </c>
      <c r="Q399" s="43" t="str">
        <f>IF(ISNA(MATCH(A399, Benefits!A:A, 0)), "no", "yes")</f>
        <v>yes</v>
      </c>
      <c r="R399" s="43"/>
      <c r="S399" s="43"/>
      <c r="T399" s="43" t="s">
        <v>501</v>
      </c>
      <c r="U399" s="312" t="s">
        <v>915</v>
      </c>
      <c r="V399" s="233" t="str">
        <f>VLOOKUP(Table1[[#This Row],[Country Code]],Table29[],3,FALSE)</f>
        <v>Non-Annex I</v>
      </c>
      <c r="W399" s="233" t="str">
        <f>VLOOKUP(Table1[[#This Row],[Country Code]],Table29[],4,FALSE)</f>
        <v>Africa</v>
      </c>
      <c r="X399" s="233" t="str">
        <f>VLOOKUP(Table1[[#This Row],[Country Code]],Table29[],5,FALSE)</f>
        <v>Middle-income</v>
      </c>
      <c r="Y399" s="43"/>
      <c r="Z399" s="43"/>
    </row>
    <row r="400" spans="1:26" ht="15" customHeight="1" x14ac:dyDescent="0.25">
      <c r="A400" s="360">
        <v>26781</v>
      </c>
      <c r="B400" s="43" t="s">
        <v>278</v>
      </c>
      <c r="C400" s="243" t="str">
        <f>VLOOKUP(Table1[[#This Row],[Country Code]],Table29[],2,FALSE)</f>
        <v>Luxembourg</v>
      </c>
      <c r="D400" s="243" t="str">
        <f t="shared" si="14"/>
        <v>Good</v>
      </c>
      <c r="E400" s="176" t="s">
        <v>227</v>
      </c>
      <c r="F400" s="43" t="s">
        <v>227</v>
      </c>
      <c r="G400" s="43" t="str">
        <f t="shared" si="15"/>
        <v>LTS</v>
      </c>
      <c r="H400" s="43" t="s">
        <v>636</v>
      </c>
      <c r="I400" s="351">
        <v>44502</v>
      </c>
      <c r="J400" s="352" t="s">
        <v>505</v>
      </c>
      <c r="K400" s="320" t="str" cm="1">
        <f t="array" ref="K400">IF(ISNUMBER(MATCH("Transport sector mitigation target", _xlfn._xlws.FILTER(Targets!H:H, Targets!A:A =A400), 0)), "yes", "no")</f>
        <v>yes</v>
      </c>
      <c r="L400" s="43" t="str">
        <f>IF(K400="no", "No transport target", IF(AND(COUNTIFS(Targets!A:A, A400, Targets!H:H, "Transport sector mitigation target", Targets!J:J, "GHG") &gt; 0, COUNTIFS(Targets!A:A, A400, Targets!H:H, "Transport sector mitigation target", Targets!J:J, "Non GHG") &gt; 0), "GHG and non-GHG target", IF(COUNTIFS(Targets!A:A, A400, Targets!H:H, "Transport sector mitigation target", Targets!J:J, "GHG") &gt; 0, "GHG target", IF(COUNTIFS(Targets!A:A, A400, Targets!H:H, "Transport sector mitigation target", Targets!J:J, "Non GHG") &gt; 0, "non-GHG target", ""))))</f>
        <v>non-GHG target</v>
      </c>
      <c r="M400" s="43" t="str">
        <f>IF(K400="no","No transport target",IF(L400="non-GHG target","No GHG transport target",IF(AND(COUNTIFS(Targets!A:A,A400,Targets!H:H,"Transport sector mitigation target",Targets!J:J,"GHG",Targets!L:L,"Conditional")&gt;0,COUNTIFS(Targets!A:A,A400,Targets!H:H,"Transport sector mitigation target",Targets!J:J,"GHG",Targets!L:L,"Unconditional")&gt;0),"GHG unconditional and conditional",IF(COUNTIFS(Targets!A:A,A400,Targets!H:H,"Transport sector mitigation target",Targets!J:J,"GHG",Targets!L:L,"Conditional")&gt;0,"GHG conditional only",IF(COUNTIFS(Targets!A:A,A400,Targets!H:H,"Transport sector mitigation target",Targets!J:J,"GHG",Targets!L:L,"Unconditional")&gt;0,"GHG unconditional only",IF(COUNTIFS(Targets!A:A,A400,Targets!H:H,"Transport sector mitigation target",Targets!J:J,"GHG",Targets!L:L,"Unclear conditionality")&gt;0,"Conditionality unclear",""))))))</f>
        <v>No GHG transport target</v>
      </c>
      <c r="N400" s="43" t="str" cm="1">
        <f t="array" ref="N400">IF(ISNUMBER(MATCH("Transport sector adaptation target", _xlfn._xlws.FILTER(Targets!H:H, Targets!A:A =A400), 0)), "yes", "no")</f>
        <v>no</v>
      </c>
      <c r="O400" s="43" t="str">
        <f>IF(ISNA(MATCH(A400, Mitigation!A:A, 0)), "no", "yes")</f>
        <v>yes</v>
      </c>
      <c r="P400" s="43" t="str">
        <f>IF(ISNA(MATCH(A400, Adaptation!A:A, 0)), "no", "yes")</f>
        <v>no</v>
      </c>
      <c r="Q400" s="43" t="str">
        <f>IF(ISNA(MATCH(A400, Benefits!A:A, 0)), "no", "yes")</f>
        <v>yes</v>
      </c>
      <c r="R400" s="43"/>
      <c r="S400" s="43"/>
      <c r="T400" s="43" t="s">
        <v>501</v>
      </c>
      <c r="U400" s="312" t="s">
        <v>916</v>
      </c>
      <c r="V400" s="233" t="str">
        <f>VLOOKUP(Table1[[#This Row],[Country Code]],Table29[],3,FALSE)</f>
        <v>Annex I</v>
      </c>
      <c r="W400" s="233" t="str">
        <f>VLOOKUP(Table1[[#This Row],[Country Code]],Table29[],4,FALSE)</f>
        <v>Europe</v>
      </c>
      <c r="X400" s="233" t="str">
        <f>VLOOKUP(Table1[[#This Row],[Country Code]],Table29[],5,FALSE)</f>
        <v>High-income</v>
      </c>
      <c r="Y400" s="43"/>
      <c r="Z400" s="43"/>
    </row>
    <row r="401" spans="1:26" ht="15" customHeight="1" x14ac:dyDescent="0.25">
      <c r="A401" s="360">
        <v>21299</v>
      </c>
      <c r="B401" s="42" t="s">
        <v>282</v>
      </c>
      <c r="C401" s="243" t="str">
        <f>VLOOKUP(Table1[[#This Row],[Country Code]],Table29[],2,FALSE)</f>
        <v>Malawi</v>
      </c>
      <c r="D401" s="243" t="str">
        <f t="shared" si="14"/>
        <v>Good</v>
      </c>
      <c r="E401" s="176" t="s">
        <v>71</v>
      </c>
      <c r="F401" s="43" t="s">
        <v>528</v>
      </c>
      <c r="G401" s="43" t="str">
        <f t="shared" si="15"/>
        <v>First NDC updated</v>
      </c>
      <c r="H401" s="43" t="s">
        <v>691</v>
      </c>
      <c r="I401" s="351">
        <v>44407</v>
      </c>
      <c r="J401" s="352" t="s">
        <v>505</v>
      </c>
      <c r="K401" s="320" t="str" cm="1">
        <f t="array" ref="K401">IF(ISNUMBER(MATCH("Transport sector mitigation target", _xlfn._xlws.FILTER(Targets!H:H, Targets!A:A =A401), 0)), "yes", "no")</f>
        <v>yes</v>
      </c>
      <c r="L401" s="43" t="str">
        <f>IF(K401="no", "No transport target", IF(AND(COUNTIFS(Targets!A:A, A401, Targets!H:H, "Transport sector mitigation target", Targets!J:J, "GHG") &gt; 0, COUNTIFS(Targets!A:A, A401, Targets!H:H, "Transport sector mitigation target", Targets!J:J, "Non GHG") &gt; 0), "GHG and non-GHG target", IF(COUNTIFS(Targets!A:A, A401, Targets!H:H, "Transport sector mitigation target", Targets!J:J, "GHG") &gt; 0, "GHG target", IF(COUNTIFS(Targets!A:A, A401, Targets!H:H, "Transport sector mitigation target", Targets!J:J, "Non GHG") &gt; 0, "non-GHG target", ""))))</f>
        <v>non-GHG target</v>
      </c>
      <c r="M401" s="43" t="str">
        <f>IF(K401="no","No transport target",IF(L401="non-GHG target","No GHG transport target",IF(AND(COUNTIFS(Targets!A:A,A401,Targets!H:H,"Transport sector mitigation target",Targets!J:J,"GHG",Targets!L:L,"Conditional")&gt;0,COUNTIFS(Targets!A:A,A401,Targets!H:H,"Transport sector mitigation target",Targets!J:J,"GHG",Targets!L:L,"Unconditional")&gt;0),"GHG unconditional and conditional",IF(COUNTIFS(Targets!A:A,A401,Targets!H:H,"Transport sector mitigation target",Targets!J:J,"GHG",Targets!L:L,"Conditional")&gt;0,"GHG conditional only",IF(COUNTIFS(Targets!A:A,A401,Targets!H:H,"Transport sector mitigation target",Targets!J:J,"GHG",Targets!L:L,"Unconditional")&gt;0,"GHG unconditional only",IF(COUNTIFS(Targets!A:A,A401,Targets!H:H,"Transport sector mitigation target",Targets!J:J,"GHG",Targets!L:L,"Unclear conditionality")&gt;0,"Conditionality unclear",""))))))</f>
        <v>No GHG transport target</v>
      </c>
      <c r="N401" s="43" t="str" cm="1">
        <f t="array" ref="N401">IF(ISNUMBER(MATCH("Transport sector adaptation target", _xlfn._xlws.FILTER(Targets!H:H, Targets!A:A =A401), 0)), "yes", "no")</f>
        <v>no</v>
      </c>
      <c r="O401" s="43" t="str">
        <f>IF(ISNA(MATCH(A401, Mitigation!A:A, 0)), "no", "yes")</f>
        <v>yes</v>
      </c>
      <c r="P401" s="43" t="str">
        <f>IF(ISNA(MATCH(A401, Adaptation!A:A, 0)), "no", "yes")</f>
        <v>yes</v>
      </c>
      <c r="Q401" s="43" t="str">
        <f>IF(ISNA(MATCH(A401, Benefits!A:A, 0)), "no", "yes")</f>
        <v>yes</v>
      </c>
      <c r="R401" s="43"/>
      <c r="S401" s="43"/>
      <c r="T401" s="43" t="s">
        <v>501</v>
      </c>
      <c r="U401" s="312" t="s">
        <v>917</v>
      </c>
      <c r="V401" s="233" t="str">
        <f>VLOOKUP(Table1[[#This Row],[Country Code]],Table29[],3,FALSE)</f>
        <v>Non-Annex I</v>
      </c>
      <c r="W401" s="233" t="str">
        <f>VLOOKUP(Table1[[#This Row],[Country Code]],Table29[],4,FALSE)</f>
        <v>Africa</v>
      </c>
      <c r="X401" s="233" t="str">
        <f>VLOOKUP(Table1[[#This Row],[Country Code]],Table29[],5,FALSE)</f>
        <v>Low-income</v>
      </c>
      <c r="Y401" s="43"/>
      <c r="Z401" s="43"/>
    </row>
    <row r="402" spans="1:26" ht="15" customHeight="1" x14ac:dyDescent="0.25">
      <c r="A402" s="360">
        <v>26782</v>
      </c>
      <c r="B402" s="43" t="s">
        <v>290</v>
      </c>
      <c r="C402" s="243" t="str">
        <f>VLOOKUP(Table1[[#This Row],[Country Code]],Table29[],2,FALSE)</f>
        <v>Malta</v>
      </c>
      <c r="D402" s="243" t="str">
        <f t="shared" si="14"/>
        <v>Good</v>
      </c>
      <c r="E402" s="176" t="s">
        <v>227</v>
      </c>
      <c r="F402" s="43" t="s">
        <v>227</v>
      </c>
      <c r="G402" s="43" t="str">
        <f t="shared" si="15"/>
        <v>LTS</v>
      </c>
      <c r="H402" s="43" t="s">
        <v>636</v>
      </c>
      <c r="I402" s="351">
        <v>44512</v>
      </c>
      <c r="J402" s="352" t="s">
        <v>505</v>
      </c>
      <c r="K402" s="320" t="str" cm="1">
        <f t="array" ref="K402">IF(ISNUMBER(MATCH("Transport sector mitigation target", _xlfn._xlws.FILTER(Targets!H:H, Targets!A:A =A402), 0)), "yes", "no")</f>
        <v>no</v>
      </c>
      <c r="L402" s="43" t="str">
        <f>IF(K402="no", "No transport target", IF(AND(COUNTIFS(Targets!A:A, A402, Targets!H:H, "Transport sector mitigation target", Targets!J:J, "GHG") &gt; 0, COUNTIFS(Targets!A:A, A402, Targets!H:H, "Transport sector mitigation target", Targets!J:J, "Non GHG") &gt; 0), "GHG and non-GHG target", IF(COUNTIFS(Targets!A:A, A402, Targets!H:H, "Transport sector mitigation target", Targets!J:J, "GHG") &gt; 0, "GHG target", IF(COUNTIFS(Targets!A:A, A402, Targets!H:H, "Transport sector mitigation target", Targets!J:J, "Non GHG") &gt; 0, "non-GHG target", ""))))</f>
        <v>No transport target</v>
      </c>
      <c r="M402" s="43" t="str">
        <f>IF(K402="no","No transport target",IF(L402="non-GHG target","No GHG transport target",IF(AND(COUNTIFS(Targets!A:A,A402,Targets!H:H,"Transport sector mitigation target",Targets!J:J,"GHG",Targets!L:L,"Conditional")&gt;0,COUNTIFS(Targets!A:A,A402,Targets!H:H,"Transport sector mitigation target",Targets!J:J,"GHG",Targets!L:L,"Unconditional")&gt;0),"GHG unconditional and conditional",IF(COUNTIFS(Targets!A:A,A402,Targets!H:H,"Transport sector mitigation target",Targets!J:J,"GHG",Targets!L:L,"Conditional")&gt;0,"GHG conditional only",IF(COUNTIFS(Targets!A:A,A402,Targets!H:H,"Transport sector mitigation target",Targets!J:J,"GHG",Targets!L:L,"Unconditional")&gt;0,"GHG unconditional only",IF(COUNTIFS(Targets!A:A,A402,Targets!H:H,"Transport sector mitigation target",Targets!J:J,"GHG",Targets!L:L,"Unclear conditionality")&gt;0,"Conditionality unclear",""))))))</f>
        <v>No transport target</v>
      </c>
      <c r="N402" s="43" t="str" cm="1">
        <f t="array" ref="N402">IF(ISNUMBER(MATCH("Transport sector adaptation target", _xlfn._xlws.FILTER(Targets!H:H, Targets!A:A =A402), 0)), "yes", "no")</f>
        <v>no</v>
      </c>
      <c r="O402" s="43" t="str">
        <f>IF(ISNA(MATCH(A402, Mitigation!A:A, 0)), "no", "yes")</f>
        <v>yes</v>
      </c>
      <c r="P402" s="43" t="str">
        <f>IF(ISNA(MATCH(A402, Adaptation!A:A, 0)), "no", "yes")</f>
        <v>yes</v>
      </c>
      <c r="Q402" s="43" t="str">
        <f>IF(ISNA(MATCH(A402, Benefits!A:A, 0)), "no", "yes")</f>
        <v>yes</v>
      </c>
      <c r="R402" s="43"/>
      <c r="S402" s="43"/>
      <c r="T402" s="43" t="s">
        <v>501</v>
      </c>
      <c r="U402" s="312" t="s">
        <v>918</v>
      </c>
      <c r="V402" s="233" t="str">
        <f>VLOOKUP(Table1[[#This Row],[Country Code]],Table29[],3,FALSE)</f>
        <v>Annex I</v>
      </c>
      <c r="W402" s="233" t="str">
        <f>VLOOKUP(Table1[[#This Row],[Country Code]],Table29[],4,FALSE)</f>
        <v>Europe</v>
      </c>
      <c r="X402" s="233" t="str">
        <f>VLOOKUP(Table1[[#This Row],[Country Code]],Table29[],5,FALSE)</f>
        <v>High-income</v>
      </c>
      <c r="Y402" s="43"/>
      <c r="Z402" s="43"/>
    </row>
    <row r="403" spans="1:26" ht="15" customHeight="1" x14ac:dyDescent="0.25">
      <c r="A403" s="360">
        <v>23372</v>
      </c>
      <c r="B403" s="42" t="s">
        <v>288</v>
      </c>
      <c r="C403" s="243" t="str">
        <f>VLOOKUP(Table1[[#This Row],[Country Code]],Table29[],2,FALSE)</f>
        <v>Mali</v>
      </c>
      <c r="D403" s="243" t="str">
        <f t="shared" si="14"/>
        <v>Good</v>
      </c>
      <c r="E403" s="176" t="s">
        <v>71</v>
      </c>
      <c r="F403" s="43" t="s">
        <v>528</v>
      </c>
      <c r="G403" s="43" t="str">
        <f t="shared" si="15"/>
        <v>First NDC updated</v>
      </c>
      <c r="H403" s="43" t="s">
        <v>691</v>
      </c>
      <c r="I403" s="351">
        <v>44510</v>
      </c>
      <c r="J403" s="352" t="s">
        <v>505</v>
      </c>
      <c r="K403" s="320" t="str" cm="1">
        <f t="array" ref="K403">IF(ISNUMBER(MATCH("Transport sector mitigation target", _xlfn._xlws.FILTER(Targets!H:H, Targets!A:A =A403), 0)), "yes", "no")</f>
        <v>yes</v>
      </c>
      <c r="L403" s="43" t="str">
        <f>IF(K403="no", "No transport target", IF(AND(COUNTIFS(Targets!A:A, A403, Targets!H:H, "Transport sector mitigation target", Targets!J:J, "GHG") &gt; 0, COUNTIFS(Targets!A:A, A403, Targets!H:H, "Transport sector mitigation target", Targets!J:J, "Non GHG") &gt; 0), "GHG and non-GHG target", IF(COUNTIFS(Targets!A:A, A403, Targets!H:H, "Transport sector mitigation target", Targets!J:J, "GHG") &gt; 0, "GHG target", IF(COUNTIFS(Targets!A:A, A403, Targets!H:H, "Transport sector mitigation target", Targets!J:J, "Non GHG") &gt; 0, "non-GHG target", ""))))</f>
        <v>non-GHG target</v>
      </c>
      <c r="M403" s="43" t="str">
        <f>IF(K403="no","No transport target",IF(L403="non-GHG target","No GHG transport target",IF(AND(COUNTIFS(Targets!A:A,A403,Targets!H:H,"Transport sector mitigation target",Targets!J:J,"GHG",Targets!L:L,"Conditional")&gt;0,COUNTIFS(Targets!A:A,A403,Targets!H:H,"Transport sector mitigation target",Targets!J:J,"GHG",Targets!L:L,"Unconditional")&gt;0),"GHG unconditional and conditional",IF(COUNTIFS(Targets!A:A,A403,Targets!H:H,"Transport sector mitigation target",Targets!J:J,"GHG",Targets!L:L,"Conditional")&gt;0,"GHG conditional only",IF(COUNTIFS(Targets!A:A,A403,Targets!H:H,"Transport sector mitigation target",Targets!J:J,"GHG",Targets!L:L,"Unconditional")&gt;0,"GHG unconditional only",IF(COUNTIFS(Targets!A:A,A403,Targets!H:H,"Transport sector mitigation target",Targets!J:J,"GHG",Targets!L:L,"Unclear conditionality")&gt;0,"Conditionality unclear",""))))))</f>
        <v>No GHG transport target</v>
      </c>
      <c r="N403" s="43" t="str" cm="1">
        <f t="array" ref="N403">IF(ISNUMBER(MATCH("Transport sector adaptation target", _xlfn._xlws.FILTER(Targets!H:H, Targets!A:A =A403), 0)), "yes", "no")</f>
        <v>no</v>
      </c>
      <c r="O403" s="43" t="str">
        <f>IF(ISNA(MATCH(A403, Mitigation!A:A, 0)), "no", "yes")</f>
        <v>yes</v>
      </c>
      <c r="P403" s="43" t="str">
        <f>IF(ISNA(MATCH(A403, Adaptation!A:A, 0)), "no", "yes")</f>
        <v>no</v>
      </c>
      <c r="Q403" s="43" t="str">
        <f>IF(ISNA(MATCH(A403, Benefits!A:A, 0)), "no", "yes")</f>
        <v>no</v>
      </c>
      <c r="R403" s="43"/>
      <c r="S403" s="43"/>
      <c r="T403" s="43" t="s">
        <v>501</v>
      </c>
      <c r="U403" s="312" t="s">
        <v>919</v>
      </c>
      <c r="V403" s="233" t="str">
        <f>VLOOKUP(Table1[[#This Row],[Country Code]],Table29[],3,FALSE)</f>
        <v>Non-Annex I</v>
      </c>
      <c r="W403" s="233" t="str">
        <f>VLOOKUP(Table1[[#This Row],[Country Code]],Table29[],4,FALSE)</f>
        <v>Africa</v>
      </c>
      <c r="X403" s="233" t="str">
        <f>VLOOKUP(Table1[[#This Row],[Country Code]],Table29[],5,FALSE)</f>
        <v>Low-income</v>
      </c>
      <c r="Y403" s="43"/>
      <c r="Z403" s="43"/>
    </row>
    <row r="404" spans="1:26" ht="15" customHeight="1" x14ac:dyDescent="0.25">
      <c r="A404" s="360">
        <v>26787</v>
      </c>
      <c r="B404" s="42" t="s">
        <v>329</v>
      </c>
      <c r="C404" s="243" t="str">
        <f>VLOOKUP(Table1[[#This Row],[Country Code]],Table29[],2,FALSE)</f>
        <v>Nigeria</v>
      </c>
      <c r="D404" s="243" t="str">
        <f t="shared" si="14"/>
        <v>Good</v>
      </c>
      <c r="E404" s="176" t="s">
        <v>227</v>
      </c>
      <c r="F404" s="43" t="s">
        <v>530</v>
      </c>
      <c r="G404" s="43" t="str">
        <f t="shared" si="15"/>
        <v>Archived LTS 1.0</v>
      </c>
      <c r="H404" s="43" t="s">
        <v>636</v>
      </c>
      <c r="I404" s="351">
        <v>44538</v>
      </c>
      <c r="J404" s="320" t="s">
        <v>500</v>
      </c>
      <c r="K404" s="320" t="str" cm="1">
        <f t="array" ref="K404">IF(ISNUMBER(MATCH("Transport sector mitigation target", _xlfn._xlws.FILTER(Targets!H:H, Targets!A:A =A404), 0)), "yes", "no")</f>
        <v>yes</v>
      </c>
      <c r="L404" s="43" t="str">
        <f>IF(K404="no", "No transport target", IF(AND(COUNTIFS(Targets!A:A, A404, Targets!H:H, "Transport sector mitigation target", Targets!J:J, "GHG") &gt; 0, COUNTIFS(Targets!A:A, A404, Targets!H:H, "Transport sector mitigation target", Targets!J:J, "Non GHG") &gt; 0), "GHG and non-GHG target", IF(COUNTIFS(Targets!A:A, A404, Targets!H:H, "Transport sector mitigation target", Targets!J:J, "GHG") &gt; 0, "GHG target", IF(COUNTIFS(Targets!A:A, A404, Targets!H:H, "Transport sector mitigation target", Targets!J:J, "Non GHG") &gt; 0, "non-GHG target", ""))))</f>
        <v>GHG and non-GHG target</v>
      </c>
      <c r="M404" s="43" t="str">
        <f>IF(K404="no","No transport target",IF(L404="non-GHG target","No GHG transport target",IF(AND(COUNTIFS(Targets!A:A,A404,Targets!H:H,"Transport sector mitigation target",Targets!J:J,"GHG",Targets!L:L,"Conditional")&gt;0,COUNTIFS(Targets!A:A,A404,Targets!H:H,"Transport sector mitigation target",Targets!J:J,"GHG",Targets!L:L,"Unconditional")&gt;0),"GHG unconditional and conditional",IF(COUNTIFS(Targets!A:A,A404,Targets!H:H,"Transport sector mitigation target",Targets!J:J,"GHG",Targets!L:L,"Conditional")&gt;0,"GHG conditional only",IF(COUNTIFS(Targets!A:A,A404,Targets!H:H,"Transport sector mitigation target",Targets!J:J,"GHG",Targets!L:L,"Unconditional")&gt;0,"GHG unconditional only",IF(COUNTIFS(Targets!A:A,A404,Targets!H:H,"Transport sector mitigation target",Targets!J:J,"GHG",Targets!L:L,"Unclear conditionality")&gt;0,"Conditionality unclear",""))))))</f>
        <v>GHG unconditional only</v>
      </c>
      <c r="N404" s="43" t="str" cm="1">
        <f t="array" ref="N404">IF(ISNUMBER(MATCH("Transport sector adaptation target", _xlfn._xlws.FILTER(Targets!H:H, Targets!A:A =A404), 0)), "yes", "no")</f>
        <v>no</v>
      </c>
      <c r="O404" s="43" t="str">
        <f>IF(ISNA(MATCH(A404, Mitigation!A:A, 0)), "no", "yes")</f>
        <v>yes</v>
      </c>
      <c r="P404" s="43" t="str">
        <f>IF(ISNA(MATCH(A404, Adaptation!A:A, 0)), "no", "yes")</f>
        <v>no</v>
      </c>
      <c r="Q404" s="43" t="str">
        <f>IF(ISNA(MATCH(A404, Benefits!A:A, 0)), "no", "yes")</f>
        <v>no</v>
      </c>
      <c r="R404" s="43"/>
      <c r="S404" s="43"/>
      <c r="T404" s="43" t="s">
        <v>501</v>
      </c>
      <c r="U404" s="312" t="s">
        <v>920</v>
      </c>
      <c r="V404" s="233" t="str">
        <f>VLOOKUP(Table1[[#This Row],[Country Code]],Table29[],3,FALSE)</f>
        <v>Non-Annex I</v>
      </c>
      <c r="W404" s="233" t="str">
        <f>VLOOKUP(Table1[[#This Row],[Country Code]],Table29[],4,FALSE)</f>
        <v>Africa</v>
      </c>
      <c r="X404" s="233" t="str">
        <f>VLOOKUP(Table1[[#This Row],[Country Code]],Table29[],5,FALSE)</f>
        <v>Middle-income</v>
      </c>
      <c r="Y404" s="43"/>
      <c r="Z404" s="43"/>
    </row>
    <row r="405" spans="1:26" ht="15" customHeight="1" x14ac:dyDescent="0.25">
      <c r="A405" s="360">
        <v>17657</v>
      </c>
      <c r="B405" s="176" t="s">
        <v>292</v>
      </c>
      <c r="C405" s="243" t="str">
        <f>VLOOKUP(Table1[[#This Row],[Country Code]],Table29[],2,FALSE)</f>
        <v>Marshall Islands</v>
      </c>
      <c r="D405" s="243" t="str">
        <f t="shared" si="14"/>
        <v>Good</v>
      </c>
      <c r="E405" s="176" t="s">
        <v>227</v>
      </c>
      <c r="F405" s="43" t="s">
        <v>227</v>
      </c>
      <c r="G405" s="43" t="str">
        <f t="shared" si="15"/>
        <v>LTS</v>
      </c>
      <c r="H405" s="43" t="s">
        <v>636</v>
      </c>
      <c r="I405" s="351">
        <v>43109</v>
      </c>
      <c r="J405" s="352" t="s">
        <v>505</v>
      </c>
      <c r="K405" s="320" t="str" cm="1">
        <f t="array" ref="K405">IF(ISNUMBER(MATCH("Transport sector mitigation target", _xlfn._xlws.FILTER(Targets!H:H, Targets!A:A =A405), 0)), "yes", "no")</f>
        <v>yes</v>
      </c>
      <c r="L405" s="43" t="str">
        <f>IF(K405="no", "No transport target", IF(AND(COUNTIFS(Targets!A:A, A405, Targets!H:H, "Transport sector mitigation target", Targets!J:J, "GHG") &gt; 0, COUNTIFS(Targets!A:A, A405, Targets!H:H, "Transport sector mitigation target", Targets!J:J, "Non GHG") &gt; 0), "GHG and non-GHG target", IF(COUNTIFS(Targets!A:A, A405, Targets!H:H, "Transport sector mitigation target", Targets!J:J, "GHG") &gt; 0, "GHG target", IF(COUNTIFS(Targets!A:A, A405, Targets!H:H, "Transport sector mitigation target", Targets!J:J, "Non GHG") &gt; 0, "non-GHG target", ""))))</f>
        <v>non-GHG target</v>
      </c>
      <c r="M405" s="43" t="str">
        <f>IF(K405="no","No transport target",IF(L405="non-GHG target","No GHG transport target",IF(AND(COUNTIFS(Targets!A:A,A405,Targets!H:H,"Transport sector mitigation target",Targets!J:J,"GHG",Targets!L:L,"Conditional")&gt;0,COUNTIFS(Targets!A:A,A405,Targets!H:H,"Transport sector mitigation target",Targets!J:J,"GHG",Targets!L:L,"Unconditional")&gt;0),"GHG unconditional and conditional",IF(COUNTIFS(Targets!A:A,A405,Targets!H:H,"Transport sector mitigation target",Targets!J:J,"GHG",Targets!L:L,"Conditional")&gt;0,"GHG conditional only",IF(COUNTIFS(Targets!A:A,A405,Targets!H:H,"Transport sector mitigation target",Targets!J:J,"GHG",Targets!L:L,"Unconditional")&gt;0,"GHG unconditional only",IF(COUNTIFS(Targets!A:A,A405,Targets!H:H,"Transport sector mitigation target",Targets!J:J,"GHG",Targets!L:L,"Unclear conditionality")&gt;0,"Conditionality unclear",""))))))</f>
        <v>No GHG transport target</v>
      </c>
      <c r="N405" s="43" t="str" cm="1">
        <f t="array" ref="N405">IF(ISNUMBER(MATCH("Transport sector adaptation target", _xlfn._xlws.FILTER(Targets!H:H, Targets!A:A =A405), 0)), "yes", "no")</f>
        <v>no</v>
      </c>
      <c r="O405" s="43" t="str">
        <f>IF(ISNA(MATCH(A405, Mitigation!A:A, 0)), "no", "yes")</f>
        <v>yes</v>
      </c>
      <c r="P405" s="43" t="str">
        <f>IF(ISNA(MATCH(A405, Adaptation!A:A, 0)), "no", "yes")</f>
        <v>no</v>
      </c>
      <c r="Q405" s="43" t="str">
        <f>IF(ISNA(MATCH(A405, Benefits!A:A, 0)), "no", "yes")</f>
        <v>no</v>
      </c>
      <c r="R405" s="43"/>
      <c r="S405" s="43"/>
      <c r="T405" s="43" t="s">
        <v>501</v>
      </c>
      <c r="U405" s="312" t="s">
        <v>715</v>
      </c>
      <c r="V405" s="233" t="str">
        <f>VLOOKUP(Table1[[#This Row],[Country Code]],Table29[],3,FALSE)</f>
        <v>Non-Annex I</v>
      </c>
      <c r="W405" s="233" t="str">
        <f>VLOOKUP(Table1[[#This Row],[Country Code]],Table29[],4,FALSE)</f>
        <v>Oceania</v>
      </c>
      <c r="X405" s="233" t="str">
        <f>VLOOKUP(Table1[[#This Row],[Country Code]],Table29[],5,FALSE)</f>
        <v>Middle-income</v>
      </c>
      <c r="Y405" s="43"/>
      <c r="Z405" s="43"/>
    </row>
    <row r="406" spans="1:26" ht="15" customHeight="1" x14ac:dyDescent="0.25">
      <c r="A406" s="360">
        <v>23373</v>
      </c>
      <c r="B406" s="42" t="s">
        <v>215</v>
      </c>
      <c r="C406" s="243" t="str">
        <f>VLOOKUP(Table1[[#This Row],[Country Code]],Table29[],2,FALSE)</f>
        <v>Guinea Bissau</v>
      </c>
      <c r="D406" s="243" t="str">
        <f t="shared" si="14"/>
        <v>Good</v>
      </c>
      <c r="E406" s="176" t="s">
        <v>71</v>
      </c>
      <c r="F406" s="43" t="s">
        <v>528</v>
      </c>
      <c r="G406" s="43" t="str">
        <f t="shared" si="15"/>
        <v>First NDC updated</v>
      </c>
      <c r="H406" s="43" t="s">
        <v>691</v>
      </c>
      <c r="I406" s="351">
        <v>44540</v>
      </c>
      <c r="J406" s="352" t="s">
        <v>505</v>
      </c>
      <c r="K406" s="320" t="str" cm="1">
        <f t="array" ref="K406">IF(ISNUMBER(MATCH("Transport sector mitigation target", _xlfn._xlws.FILTER(Targets!H:H, Targets!A:A =A406), 0)), "yes", "no")</f>
        <v>no</v>
      </c>
      <c r="L406" s="43" t="str">
        <f>IF(K406="no", "No transport target", IF(AND(COUNTIFS(Targets!A:A, A406, Targets!H:H, "Transport sector mitigation target", Targets!J:J, "GHG") &gt; 0, COUNTIFS(Targets!A:A, A406, Targets!H:H, "Transport sector mitigation target", Targets!J:J, "Non GHG") &gt; 0), "GHG and non-GHG target", IF(COUNTIFS(Targets!A:A, A406, Targets!H:H, "Transport sector mitigation target", Targets!J:J, "GHG") &gt; 0, "GHG target", IF(COUNTIFS(Targets!A:A, A406, Targets!H:H, "Transport sector mitigation target", Targets!J:J, "Non GHG") &gt; 0, "non-GHG target", ""))))</f>
        <v>No transport target</v>
      </c>
      <c r="M406" s="43" t="str">
        <f>IF(K406="no","No transport target",IF(L406="non-GHG target","No GHG transport target",IF(AND(COUNTIFS(Targets!A:A,A406,Targets!H:H,"Transport sector mitigation target",Targets!J:J,"GHG",Targets!L:L,"Conditional")&gt;0,COUNTIFS(Targets!A:A,A406,Targets!H:H,"Transport sector mitigation target",Targets!J:J,"GHG",Targets!L:L,"Unconditional")&gt;0),"GHG unconditional and conditional",IF(COUNTIFS(Targets!A:A,A406,Targets!H:H,"Transport sector mitigation target",Targets!J:J,"GHG",Targets!L:L,"Conditional")&gt;0,"GHG conditional only",IF(COUNTIFS(Targets!A:A,A406,Targets!H:H,"Transport sector mitigation target",Targets!J:J,"GHG",Targets!L:L,"Unconditional")&gt;0,"GHG unconditional only",IF(COUNTIFS(Targets!A:A,A406,Targets!H:H,"Transport sector mitigation target",Targets!J:J,"GHG",Targets!L:L,"Unclear conditionality")&gt;0,"Conditionality unclear",""))))))</f>
        <v>No transport target</v>
      </c>
      <c r="N406" s="43" t="str" cm="1">
        <f t="array" ref="N406">IF(ISNUMBER(MATCH("Transport sector adaptation target", _xlfn._xlws.FILTER(Targets!H:H, Targets!A:A =A406), 0)), "yes", "no")</f>
        <v>no</v>
      </c>
      <c r="O406" s="43" t="str">
        <f>IF(ISNA(MATCH(A406, Mitigation!A:A, 0)), "no", "yes")</f>
        <v>no</v>
      </c>
      <c r="P406" s="43" t="str">
        <f>IF(ISNA(MATCH(A406, Adaptation!A:A, 0)), "no", "yes")</f>
        <v>no</v>
      </c>
      <c r="Q406" s="43" t="str">
        <f>IF(ISNA(MATCH(A406, Benefits!A:A, 0)), "no", "yes")</f>
        <v>no</v>
      </c>
      <c r="R406" s="43"/>
      <c r="S406" s="43"/>
      <c r="T406" s="43" t="s">
        <v>501</v>
      </c>
      <c r="U406" s="312" t="s">
        <v>921</v>
      </c>
      <c r="V406" s="233" t="str">
        <f>VLOOKUP(Table1[[#This Row],[Country Code]],Table29[],3,FALSE)</f>
        <v>Non-Annex I</v>
      </c>
      <c r="W406" s="233" t="str">
        <f>VLOOKUP(Table1[[#This Row],[Country Code]],Table29[],4,FALSE)</f>
        <v>Africa</v>
      </c>
      <c r="X406" s="233" t="str">
        <f>VLOOKUP(Table1[[#This Row],[Country Code]],Table29[],5,FALSE)</f>
        <v>Low-income</v>
      </c>
      <c r="Y406" s="43"/>
      <c r="Z406" s="43"/>
    </row>
    <row r="407" spans="1:26" ht="15" customHeight="1" x14ac:dyDescent="0.25">
      <c r="A407" s="405">
        <v>43952</v>
      </c>
      <c r="B407" s="20" t="s">
        <v>173</v>
      </c>
      <c r="C407" s="207" t="str">
        <f>VLOOKUP(Table1[[#This Row],[Country Code]],Table29[],2,FALSE)</f>
        <v>Ecuador</v>
      </c>
      <c r="D407" s="206" t="str">
        <f t="shared" si="14"/>
        <v>Good</v>
      </c>
      <c r="E407" s="20" t="s">
        <v>71</v>
      </c>
      <c r="F407" s="17" t="s">
        <v>694</v>
      </c>
      <c r="G407" s="17" t="str">
        <f t="shared" si="15"/>
        <v>Third NDC</v>
      </c>
      <c r="H407" s="148" t="s">
        <v>695</v>
      </c>
      <c r="I407" s="163">
        <v>45694</v>
      </c>
      <c r="J407" s="187" t="s">
        <v>505</v>
      </c>
      <c r="K407" s="49" t="str" cm="1">
        <f t="array" ref="K407">IF(ISNUMBER(MATCH("Transport sector mitigation target", _xlfn._xlws.FILTER(Targets!H:H, Targets!A:A =A407), 0)), "yes", "no")</f>
        <v>no</v>
      </c>
      <c r="L407" s="17" t="str">
        <f>IF(K407="no", "No transport target", IF(AND(COUNTIFS(Targets!A:A, A407, Targets!H:H, "Transport sector mitigation target", Targets!J:J, "GHG") &gt; 0, COUNTIFS(Targets!A:A, A407, Targets!H:H, "Transport sector mitigation target", Targets!J:J, "Non GHG") &gt; 0), "GHG and non-GHG target", IF(COUNTIFS(Targets!A:A, A407, Targets!H:H, "Transport sector mitigation target", Targets!J:J, "GHG") &gt; 0, "GHG target", IF(COUNTIFS(Targets!A:A, A407, Targets!H:H, "Transport sector mitigation target", Targets!J:J, "Non GHG") &gt; 0, "non-GHG target", ""))))</f>
        <v>No transport target</v>
      </c>
      <c r="M407" s="17" t="str">
        <f>IF(K407="no","No transport target",IF(L407="non-GHG target","No GHG transport target",IF(AND(COUNTIFS(Targets!A:A,A407,Targets!H:H,"Transport sector mitigation target",Targets!J:J,"GHG",Targets!L:L,"Conditional")&gt;0,COUNTIFS(Targets!A:A,A407,Targets!H:H,"Transport sector mitigation target",Targets!J:J,"GHG",Targets!L:L,"Unconditional")&gt;0),"GHG unconditional and conditional",IF(COUNTIFS(Targets!A:A,A407,Targets!H:H,"Transport sector mitigation target",Targets!J:J,"GHG",Targets!L:L,"Conditional")&gt;0,"GHG conditional only",IF(COUNTIFS(Targets!A:A,A407,Targets!H:H,"Transport sector mitigation target",Targets!J:J,"GHG",Targets!L:L,"Unconditional")&gt;0,"GHG unconditional only",IF(COUNTIFS(Targets!A:A,A407,Targets!H:H,"Transport sector mitigation target",Targets!J:J,"GHG",Targets!L:L,"Unclear conditionality")&gt;0,"Conditionality unclear",""))))))</f>
        <v>No transport target</v>
      </c>
      <c r="N407" s="17" t="str" cm="1">
        <f t="array" ref="N407">IF(ISNUMBER(MATCH("Transport sector adaptation target", _xlfn._xlws.FILTER(Targets!H:H, Targets!A:A =A407), 0)), "yes", "no")</f>
        <v>no</v>
      </c>
      <c r="O407" s="17" t="str">
        <f>IF(ISNA(MATCH(A407, Mitigation!A:A, 0)), "no", "yes")</f>
        <v>yes</v>
      </c>
      <c r="P407" s="17" t="str">
        <f>IF(ISNA(MATCH(A407, Adaptation!A:A, 0)), "no", "yes")</f>
        <v>no</v>
      </c>
      <c r="Q407" s="17" t="str">
        <f>IF(ISNA(MATCH(A407, Benefits!A:A, 0)), "no", "yes")</f>
        <v>no</v>
      </c>
      <c r="R407" s="17"/>
      <c r="S407" s="148"/>
      <c r="T407" s="17"/>
      <c r="U407" s="148" t="s">
        <v>922</v>
      </c>
      <c r="V407" s="207" t="str">
        <f>VLOOKUP(Table1[[#This Row],[Country Code]],Table29[],3,FALSE)</f>
        <v>Non-Annex I</v>
      </c>
      <c r="W407" s="207" t="str">
        <f>VLOOKUP(Table1[[#This Row],[Country Code]],Table29[],4,FALSE)</f>
        <v>Latin America and the Caribbean</v>
      </c>
      <c r="X407" s="233" t="str">
        <f>VLOOKUP(Table1[[#This Row],[Country Code]],Table29[],5,FALSE)</f>
        <v>Middle-income</v>
      </c>
      <c r="Y407" s="17"/>
      <c r="Z407" s="17"/>
    </row>
    <row r="408" spans="1:26" ht="15" customHeight="1" x14ac:dyDescent="0.25">
      <c r="A408" s="360">
        <v>23379</v>
      </c>
      <c r="B408" s="42" t="s">
        <v>258</v>
      </c>
      <c r="C408" s="243" t="str">
        <f>VLOOKUP(Table1[[#This Row],[Country Code]],Table29[],2,FALSE)</f>
        <v>Kuwait</v>
      </c>
      <c r="D408" s="243" t="str">
        <f t="shared" si="14"/>
        <v>Good</v>
      </c>
      <c r="E408" s="176" t="s">
        <v>71</v>
      </c>
      <c r="F408" s="43" t="s">
        <v>528</v>
      </c>
      <c r="G408" s="43" t="str">
        <f t="shared" si="15"/>
        <v>First NDC updated</v>
      </c>
      <c r="H408" s="43" t="s">
        <v>691</v>
      </c>
      <c r="I408" s="351">
        <v>44540</v>
      </c>
      <c r="J408" s="352" t="s">
        <v>505</v>
      </c>
      <c r="K408" s="320" t="str" cm="1">
        <f t="array" ref="K408">IF(ISNUMBER(MATCH("Transport sector mitigation target", _xlfn._xlws.FILTER(Targets!H:H, Targets!A:A =A408), 0)), "yes", "no")</f>
        <v>no</v>
      </c>
      <c r="L408" s="43" t="str">
        <f>IF(K408="no", "No transport target", IF(AND(COUNTIFS(Targets!A:A, A408, Targets!H:H, "Transport sector mitigation target", Targets!J:J, "GHG") &gt; 0, COUNTIFS(Targets!A:A, A408, Targets!H:H, "Transport sector mitigation target", Targets!J:J, "Non GHG") &gt; 0), "GHG and non-GHG target", IF(COUNTIFS(Targets!A:A, A408, Targets!H:H, "Transport sector mitigation target", Targets!J:J, "GHG") &gt; 0, "GHG target", IF(COUNTIFS(Targets!A:A, A408, Targets!H:H, "Transport sector mitigation target", Targets!J:J, "Non GHG") &gt; 0, "non-GHG target", ""))))</f>
        <v>No transport target</v>
      </c>
      <c r="M408" s="43" t="str">
        <f>IF(K408="no","No transport target",IF(L408="non-GHG target","No GHG transport target",IF(AND(COUNTIFS(Targets!A:A,A408,Targets!H:H,"Transport sector mitigation target",Targets!J:J,"GHG",Targets!L:L,"Conditional")&gt;0,COUNTIFS(Targets!A:A,A408,Targets!H:H,"Transport sector mitigation target",Targets!J:J,"GHG",Targets!L:L,"Unconditional")&gt;0),"GHG unconditional and conditional",IF(COUNTIFS(Targets!A:A,A408,Targets!H:H,"Transport sector mitigation target",Targets!J:J,"GHG",Targets!L:L,"Conditional")&gt;0,"GHG conditional only",IF(COUNTIFS(Targets!A:A,A408,Targets!H:H,"Transport sector mitigation target",Targets!J:J,"GHG",Targets!L:L,"Unconditional")&gt;0,"GHG unconditional only",IF(COUNTIFS(Targets!A:A,A408,Targets!H:H,"Transport sector mitigation target",Targets!J:J,"GHG",Targets!L:L,"Unclear conditionality")&gt;0,"Conditionality unclear",""))))))</f>
        <v>No transport target</v>
      </c>
      <c r="N408" s="43" t="str" cm="1">
        <f t="array" ref="N408">IF(ISNUMBER(MATCH("Transport sector adaptation target", _xlfn._xlws.FILTER(Targets!H:H, Targets!A:A =A408), 0)), "yes", "no")</f>
        <v>no</v>
      </c>
      <c r="O408" s="43" t="str">
        <f>IF(ISNA(MATCH(A408, Mitigation!A:A, 0)), "no", "yes")</f>
        <v>no</v>
      </c>
      <c r="P408" s="43" t="str">
        <f>IF(ISNA(MATCH(A408, Adaptation!A:A, 0)), "no", "yes")</f>
        <v>no</v>
      </c>
      <c r="Q408" s="43" t="str">
        <f>IF(ISNA(MATCH(A408, Benefits!A:A, 0)), "no", "yes")</f>
        <v>no</v>
      </c>
      <c r="R408" s="43"/>
      <c r="S408" s="43"/>
      <c r="T408" s="43" t="s">
        <v>501</v>
      </c>
      <c r="U408" s="312" t="s">
        <v>923</v>
      </c>
      <c r="V408" s="233" t="str">
        <f>VLOOKUP(Table1[[#This Row],[Country Code]],Table29[],3,FALSE)</f>
        <v>Non-Annex I</v>
      </c>
      <c r="W408" s="233" t="str">
        <f>VLOOKUP(Table1[[#This Row],[Country Code]],Table29[],4,FALSE)</f>
        <v>Asia</v>
      </c>
      <c r="X408" s="233" t="str">
        <f>VLOOKUP(Table1[[#This Row],[Country Code]],Table29[],5,FALSE)</f>
        <v>High-income</v>
      </c>
      <c r="Y408" s="43"/>
      <c r="Z408" s="43"/>
    </row>
    <row r="409" spans="1:26" ht="15" customHeight="1" x14ac:dyDescent="0.25">
      <c r="A409" s="360">
        <v>23385</v>
      </c>
      <c r="B409" s="42" t="s">
        <v>294</v>
      </c>
      <c r="C409" s="243" t="str">
        <f>VLOOKUP(Table1[[#This Row],[Country Code]],Table29[],2,FALSE)</f>
        <v>Mauritania</v>
      </c>
      <c r="D409" s="243" t="str">
        <f t="shared" si="14"/>
        <v>Good</v>
      </c>
      <c r="E409" s="176" t="s">
        <v>71</v>
      </c>
      <c r="F409" s="43" t="s">
        <v>528</v>
      </c>
      <c r="G409" s="43" t="str">
        <f t="shared" si="15"/>
        <v>First NDC updated</v>
      </c>
      <c r="H409" s="43" t="s">
        <v>691</v>
      </c>
      <c r="I409" s="351">
        <v>44540</v>
      </c>
      <c r="J409" s="352" t="s">
        <v>505</v>
      </c>
      <c r="K409" s="320" t="str" cm="1">
        <f t="array" ref="K409">IF(ISNUMBER(MATCH("Transport sector mitigation target", _xlfn._xlws.FILTER(Targets!H:H, Targets!A:A =A409), 0)), "yes", "no")</f>
        <v>yes</v>
      </c>
      <c r="L409" s="43" t="str">
        <f>IF(K409="no", "No transport target", IF(AND(COUNTIFS(Targets!A:A, A409, Targets!H:H, "Transport sector mitigation target", Targets!J:J, "GHG") &gt; 0, COUNTIFS(Targets!A:A, A409, Targets!H:H, "Transport sector mitigation target", Targets!J:J, "Non GHG") &gt; 0), "GHG and non-GHG target", IF(COUNTIFS(Targets!A:A, A409, Targets!H:H, "Transport sector mitigation target", Targets!J:J, "GHG") &gt; 0, "GHG target", IF(COUNTIFS(Targets!A:A, A409, Targets!H:H, "Transport sector mitigation target", Targets!J:J, "Non GHG") &gt; 0, "non-GHG target", ""))))</f>
        <v>GHG target</v>
      </c>
      <c r="M409" s="43" t="str">
        <f>IF(K409="no","No transport target",IF(L409="non-GHG target","No GHG transport target",IF(AND(COUNTIFS(Targets!A:A,A409,Targets!H:H,"Transport sector mitigation target",Targets!J:J,"GHG",Targets!L:L,"Conditional")&gt;0,COUNTIFS(Targets!A:A,A409,Targets!H:H,"Transport sector mitigation target",Targets!J:J,"GHG",Targets!L:L,"Unconditional")&gt;0),"GHG unconditional and conditional",IF(COUNTIFS(Targets!A:A,A409,Targets!H:H,"Transport sector mitigation target",Targets!J:J,"GHG",Targets!L:L,"Conditional")&gt;0,"GHG conditional only",IF(COUNTIFS(Targets!A:A,A409,Targets!H:H,"Transport sector mitigation target",Targets!J:J,"GHG",Targets!L:L,"Unconditional")&gt;0,"GHG unconditional only",IF(COUNTIFS(Targets!A:A,A409,Targets!H:H,"Transport sector mitigation target",Targets!J:J,"GHG",Targets!L:L,"Unclear conditionality")&gt;0,"Conditionality unclear",""))))))</f>
        <v>GHG unconditional and conditional</v>
      </c>
      <c r="N409" s="43" t="str" cm="1">
        <f t="array" ref="N409">IF(ISNUMBER(MATCH("Transport sector adaptation target", _xlfn._xlws.FILTER(Targets!H:H, Targets!A:A =A409), 0)), "yes", "no")</f>
        <v>no</v>
      </c>
      <c r="O409" s="43" t="str">
        <f>IF(ISNA(MATCH(A409, Mitigation!A:A, 0)), "no", "yes")</f>
        <v>yes</v>
      </c>
      <c r="P409" s="43" t="str">
        <f>IF(ISNA(MATCH(A409, Adaptation!A:A, 0)), "no", "yes")</f>
        <v>no</v>
      </c>
      <c r="Q409" s="43" t="str">
        <f>IF(ISNA(MATCH(A409, Benefits!A:A, 0)), "no", "yes")</f>
        <v>no</v>
      </c>
      <c r="R409" s="43"/>
      <c r="S409" s="43"/>
      <c r="T409" s="43" t="s">
        <v>501</v>
      </c>
      <c r="U409" s="312" t="s">
        <v>924</v>
      </c>
      <c r="V409" s="233" t="str">
        <f>VLOOKUP(Table1[[#This Row],[Country Code]],Table29[],3,FALSE)</f>
        <v>Non-Annex I</v>
      </c>
      <c r="W409" s="233" t="str">
        <f>VLOOKUP(Table1[[#This Row],[Country Code]],Table29[],4,FALSE)</f>
        <v>Africa</v>
      </c>
      <c r="X409" s="233" t="str">
        <f>VLOOKUP(Table1[[#This Row],[Country Code]],Table29[],5,FALSE)</f>
        <v>Middle-income</v>
      </c>
      <c r="Y409" s="43"/>
      <c r="Z409" s="43"/>
    </row>
    <row r="410" spans="1:26" ht="15" customHeight="1" x14ac:dyDescent="0.25">
      <c r="A410" s="360">
        <v>23367</v>
      </c>
      <c r="B410" s="42" t="s">
        <v>296</v>
      </c>
      <c r="C410" s="243" t="str">
        <f>VLOOKUP(Table1[[#This Row],[Country Code]],Table29[],2,FALSE)</f>
        <v>Mauritius</v>
      </c>
      <c r="D410" s="243" t="str">
        <f t="shared" si="14"/>
        <v>Good</v>
      </c>
      <c r="E410" s="176" t="s">
        <v>71</v>
      </c>
      <c r="F410" s="43" t="s">
        <v>528</v>
      </c>
      <c r="G410" s="43" t="str">
        <f t="shared" si="15"/>
        <v>First NDC updated</v>
      </c>
      <c r="H410" s="43" t="s">
        <v>691</v>
      </c>
      <c r="I410" s="351">
        <v>44326</v>
      </c>
      <c r="J410" s="352" t="s">
        <v>505</v>
      </c>
      <c r="K410" s="320" t="str" cm="1">
        <f t="array" ref="K410">IF(ISNUMBER(MATCH("Transport sector mitigation target", _xlfn._xlws.FILTER(Targets!H:H, Targets!A:A =A410), 0)), "yes", "no")</f>
        <v>yes</v>
      </c>
      <c r="L410" s="43" t="str">
        <f>IF(K410="no", "No transport target", IF(AND(COUNTIFS(Targets!A:A, A410, Targets!H:H, "Transport sector mitigation target", Targets!J:J, "GHG") &gt; 0, COUNTIFS(Targets!A:A, A410, Targets!H:H, "Transport sector mitigation target", Targets!J:J, "Non GHG") &gt; 0), "GHG and non-GHG target", IF(COUNTIFS(Targets!A:A, A410, Targets!H:H, "Transport sector mitigation target", Targets!J:J, "GHG") &gt; 0, "GHG target", IF(COUNTIFS(Targets!A:A, A410, Targets!H:H, "Transport sector mitigation target", Targets!J:J, "Non GHG") &gt; 0, "non-GHG target", ""))))</f>
        <v>GHG target</v>
      </c>
      <c r="M410" s="43" t="str">
        <f>IF(K410="no","No transport target",IF(L410="non-GHG target","No GHG transport target",IF(AND(COUNTIFS(Targets!A:A,A410,Targets!H:H,"Transport sector mitigation target",Targets!J:J,"GHG",Targets!L:L,"Conditional")&gt;0,COUNTIFS(Targets!A:A,A410,Targets!H:H,"Transport sector mitigation target",Targets!J:J,"GHG",Targets!L:L,"Unconditional")&gt;0),"GHG unconditional and conditional",IF(COUNTIFS(Targets!A:A,A410,Targets!H:H,"Transport sector mitigation target",Targets!J:J,"GHG",Targets!L:L,"Conditional")&gt;0,"GHG conditional only",IF(COUNTIFS(Targets!A:A,A410,Targets!H:H,"Transport sector mitigation target",Targets!J:J,"GHG",Targets!L:L,"Unconditional")&gt;0,"GHG unconditional only",IF(COUNTIFS(Targets!A:A,A410,Targets!H:H,"Transport sector mitigation target",Targets!J:J,"GHG",Targets!L:L,"Unclear conditionality")&gt;0,"Conditionality unclear",""))))))</f>
        <v>GHG unconditional only</v>
      </c>
      <c r="N410" s="43" t="str" cm="1">
        <f t="array" ref="N410">IF(ISNUMBER(MATCH("Transport sector adaptation target", _xlfn._xlws.FILTER(Targets!H:H, Targets!A:A =A410), 0)), "yes", "no")</f>
        <v>no</v>
      </c>
      <c r="O410" s="43" t="str">
        <f>IF(ISNA(MATCH(A410, Mitigation!A:A, 0)), "no", "yes")</f>
        <v>yes</v>
      </c>
      <c r="P410" s="43" t="str">
        <f>IF(ISNA(MATCH(A410, Adaptation!A:A, 0)), "no", "yes")</f>
        <v>no</v>
      </c>
      <c r="Q410" s="43" t="str">
        <f>IF(ISNA(MATCH(A410, Benefits!A:A, 0)), "no", "yes")</f>
        <v>no</v>
      </c>
      <c r="R410" s="43"/>
      <c r="S410" s="43"/>
      <c r="T410" s="43" t="s">
        <v>501</v>
      </c>
      <c r="U410" s="312" t="s">
        <v>925</v>
      </c>
      <c r="V410" s="233" t="str">
        <f>VLOOKUP(Table1[[#This Row],[Country Code]],Table29[],3,FALSE)</f>
        <v>Non-Annex I</v>
      </c>
      <c r="W410" s="233" t="str">
        <f>VLOOKUP(Table1[[#This Row],[Country Code]],Table29[],4,FALSE)</f>
        <v>Africa</v>
      </c>
      <c r="X410" s="233" t="str">
        <f>VLOOKUP(Table1[[#This Row],[Country Code]],Table29[],5,FALSE)</f>
        <v>Middle-income</v>
      </c>
      <c r="Y410" s="43"/>
      <c r="Z410" s="43"/>
    </row>
    <row r="411" spans="1:26" ht="15" customHeight="1" x14ac:dyDescent="0.25">
      <c r="A411" s="405">
        <v>23376</v>
      </c>
      <c r="B411" s="19" t="s">
        <v>422</v>
      </c>
      <c r="C411" s="206" t="str">
        <f>VLOOKUP(Table1[[#This Row],[Country Code]],Table29[],2,FALSE)</f>
        <v>Tajikistan</v>
      </c>
      <c r="D411" s="243" t="str">
        <f t="shared" si="14"/>
        <v>Good</v>
      </c>
      <c r="E411" s="20" t="s">
        <v>71</v>
      </c>
      <c r="F411" s="17" t="s">
        <v>528</v>
      </c>
      <c r="G411" s="43" t="str">
        <f t="shared" si="15"/>
        <v>First NDC updated</v>
      </c>
      <c r="H411" s="17" t="s">
        <v>691</v>
      </c>
      <c r="I411" s="149">
        <v>44540</v>
      </c>
      <c r="J411" s="187" t="s">
        <v>505</v>
      </c>
      <c r="K411" s="49" t="str" cm="1">
        <f t="array" ref="K411">IF(ISNUMBER(MATCH("Transport sector mitigation target", _xlfn._xlws.FILTER(Targets!H:H, Targets!A:A =A411), 0)), "yes", "no")</f>
        <v>no</v>
      </c>
      <c r="L411" s="17" t="str">
        <f>IF(K411="no", "No transport target", IF(AND(COUNTIFS(Targets!A:A, A411, Targets!H:H, "Transport sector mitigation target", Targets!J:J, "GHG") &gt; 0, COUNTIFS(Targets!A:A, A411, Targets!H:H, "Transport sector mitigation target", Targets!J:J, "Non GHG") &gt; 0), "GHG and non-GHG target", IF(COUNTIFS(Targets!A:A, A411, Targets!H:H, "Transport sector mitigation target", Targets!J:J, "GHG") &gt; 0, "GHG target", IF(COUNTIFS(Targets!A:A, A411, Targets!H:H, "Transport sector mitigation target", Targets!J:J, "Non GHG") &gt; 0, "non-GHG target", ""))))</f>
        <v>No transport target</v>
      </c>
      <c r="M411" s="17" t="str">
        <f>IF(K411="no","No transport target",IF(L411="non-GHG target","No GHG transport target",IF(AND(COUNTIFS(Targets!A:A,A411,Targets!H:H,"Transport sector mitigation target",Targets!J:J,"GHG",Targets!L:L,"Conditional")&gt;0,COUNTIFS(Targets!A:A,A411,Targets!H:H,"Transport sector mitigation target",Targets!J:J,"GHG",Targets!L:L,"Unconditional")&gt;0),"GHG unconditional and conditional",IF(COUNTIFS(Targets!A:A,A411,Targets!H:H,"Transport sector mitigation target",Targets!J:J,"GHG",Targets!L:L,"Conditional")&gt;0,"GHG conditional only",IF(COUNTIFS(Targets!A:A,A411,Targets!H:H,"Transport sector mitigation target",Targets!J:J,"GHG",Targets!L:L,"Unconditional")&gt;0,"GHG unconditional only",IF(COUNTIFS(Targets!A:A,A411,Targets!H:H,"Transport sector mitigation target",Targets!J:J,"GHG",Targets!L:L,"Unclear conditionality")&gt;0,"Conditionality unclear",""))))))</f>
        <v>No transport target</v>
      </c>
      <c r="N411" s="17" t="str" cm="1">
        <f t="array" ref="N411">IF(ISNUMBER(MATCH("Transport sector adaptation target", _xlfn._xlws.FILTER(Targets!H:H, Targets!A:A =A411), 0)), "yes", "no")</f>
        <v>no</v>
      </c>
      <c r="O411" s="17" t="str">
        <f>IF(ISNA(MATCH(A411, Mitigation!A:A, 0)), "no", "yes")</f>
        <v>yes</v>
      </c>
      <c r="P411" s="17" t="str">
        <f>IF(ISNA(MATCH(A411, Adaptation!A:A, 0)), "no", "yes")</f>
        <v>yes</v>
      </c>
      <c r="Q411" s="17" t="str">
        <f>IF(ISNA(MATCH(A411, Benefits!A:A, 0)), "no", "yes")</f>
        <v>no</v>
      </c>
      <c r="R411" s="17"/>
      <c r="S411" s="17"/>
      <c r="T411" s="17" t="s">
        <v>501</v>
      </c>
      <c r="U411" s="135" t="s">
        <v>926</v>
      </c>
      <c r="V411" s="207" t="str">
        <f>VLOOKUP(Table1[[#This Row],[Country Code]],Table29[],3,FALSE)</f>
        <v>Non-Annex I</v>
      </c>
      <c r="W411" s="207" t="str">
        <f>VLOOKUP(Table1[[#This Row],[Country Code]],Table29[],4,FALSE)</f>
        <v>Asia</v>
      </c>
      <c r="X411" s="207" t="str">
        <f>VLOOKUP(Table1[[#This Row],[Country Code]],Table29[],5,FALSE)</f>
        <v>Middle-income</v>
      </c>
      <c r="Y411" s="17"/>
      <c r="Z411" s="17"/>
    </row>
    <row r="412" spans="1:26" ht="15" customHeight="1" x14ac:dyDescent="0.25">
      <c r="A412" s="405">
        <v>23374</v>
      </c>
      <c r="B412" s="19" t="s">
        <v>442</v>
      </c>
      <c r="C412" s="206" t="str">
        <f>VLOOKUP(Table1[[#This Row],[Country Code]],Table29[],2,FALSE)</f>
        <v>Uganda</v>
      </c>
      <c r="D412" s="243" t="str">
        <f t="shared" si="14"/>
        <v>Good</v>
      </c>
      <c r="E412" s="20" t="s">
        <v>71</v>
      </c>
      <c r="F412" s="17" t="s">
        <v>525</v>
      </c>
      <c r="G412" s="43" t="str">
        <f t="shared" si="15"/>
        <v>First NDC updated</v>
      </c>
      <c r="H412" s="17" t="s">
        <v>691</v>
      </c>
      <c r="I412" s="149">
        <v>44540</v>
      </c>
      <c r="J412" s="49" t="s">
        <v>500</v>
      </c>
      <c r="K412" s="49" t="str" cm="1">
        <f t="array" ref="K412">IF(ISNUMBER(MATCH("Transport sector mitigation target", _xlfn._xlws.FILTER(Targets!H:H, Targets!A:A =A412), 0)), "yes", "no")</f>
        <v>no</v>
      </c>
      <c r="L412" s="17" t="str">
        <f>IF(K412="no", "No transport target", IF(AND(COUNTIFS(Targets!A:A, A412, Targets!H:H, "Transport sector mitigation target", Targets!J:J, "GHG") &gt; 0, COUNTIFS(Targets!A:A, A412, Targets!H:H, "Transport sector mitigation target", Targets!J:J, "Non GHG") &gt; 0), "GHG and non-GHG target", IF(COUNTIFS(Targets!A:A, A412, Targets!H:H, "Transport sector mitigation target", Targets!J:J, "GHG") &gt; 0, "GHG target", IF(COUNTIFS(Targets!A:A, A412, Targets!H:H, "Transport sector mitigation target", Targets!J:J, "Non GHG") &gt; 0, "non-GHG target", ""))))</f>
        <v>No transport target</v>
      </c>
      <c r="M412" s="17" t="str">
        <f>IF(K412="no","No transport target",IF(L412="non-GHG target","No GHG transport target",IF(AND(COUNTIFS(Targets!A:A,A412,Targets!H:H,"Transport sector mitigation target",Targets!J:J,"GHG",Targets!L:L,"Conditional")&gt;0,COUNTIFS(Targets!A:A,A412,Targets!H:H,"Transport sector mitigation target",Targets!J:J,"GHG",Targets!L:L,"Unconditional")&gt;0),"GHG unconditional and conditional",IF(COUNTIFS(Targets!A:A,A412,Targets!H:H,"Transport sector mitigation target",Targets!J:J,"GHG",Targets!L:L,"Conditional")&gt;0,"GHG conditional only",IF(COUNTIFS(Targets!A:A,A412,Targets!H:H,"Transport sector mitigation target",Targets!J:J,"GHG",Targets!L:L,"Unconditional")&gt;0,"GHG unconditional only",IF(COUNTIFS(Targets!A:A,A412,Targets!H:H,"Transport sector mitigation target",Targets!J:J,"GHG",Targets!L:L,"Unclear conditionality")&gt;0,"Conditionality unclear",""))))))</f>
        <v>No transport target</v>
      </c>
      <c r="N412" s="17" t="str" cm="1">
        <f t="array" ref="N412">IF(ISNUMBER(MATCH("Transport sector adaptation target", _xlfn._xlws.FILTER(Targets!H:H, Targets!A:A =A412), 0)), "yes", "no")</f>
        <v>no</v>
      </c>
      <c r="O412" s="17" t="str">
        <f>IF(ISNA(MATCH(A412, Mitigation!A:A, 0)), "no", "yes")</f>
        <v>no</v>
      </c>
      <c r="P412" s="17" t="str">
        <f>IF(ISNA(MATCH(A412, Adaptation!A:A, 0)), "no", "yes")</f>
        <v>no</v>
      </c>
      <c r="Q412" s="17" t="str">
        <f>IF(ISNA(MATCH(A412, Benefits!A:A, 0)), "no", "yes")</f>
        <v>no</v>
      </c>
      <c r="R412" s="17"/>
      <c r="S412" s="17"/>
      <c r="T412" s="17" t="s">
        <v>501</v>
      </c>
      <c r="U412" s="135" t="s">
        <v>927</v>
      </c>
      <c r="V412" s="207" t="str">
        <f>VLOOKUP(Table1[[#This Row],[Country Code]],Table29[],3,FALSE)</f>
        <v>Non-Annex I</v>
      </c>
      <c r="W412" s="207" t="str">
        <f>VLOOKUP(Table1[[#This Row],[Country Code]],Table29[],4,FALSE)</f>
        <v>Africa</v>
      </c>
      <c r="X412" s="207" t="str">
        <f>VLOOKUP(Table1[[#This Row],[Country Code]],Table29[],5,FALSE)</f>
        <v>Low-income</v>
      </c>
      <c r="Y412" s="17"/>
      <c r="Z412" s="17"/>
    </row>
    <row r="413" spans="1:26" ht="15" customHeight="1" x14ac:dyDescent="0.25">
      <c r="A413" s="360">
        <v>17665</v>
      </c>
      <c r="B413" s="43" t="s">
        <v>302</v>
      </c>
      <c r="C413" s="243" t="str">
        <f>VLOOKUP(Table1[[#This Row],[Country Code]],Table29[],2,FALSE)</f>
        <v>Monaco</v>
      </c>
      <c r="D413" s="243" t="str">
        <f t="shared" si="14"/>
        <v>Good</v>
      </c>
      <c r="E413" s="176" t="s">
        <v>71</v>
      </c>
      <c r="F413" s="43" t="s">
        <v>528</v>
      </c>
      <c r="G413" s="43" t="str">
        <f t="shared" si="15"/>
        <v>First NDC updated</v>
      </c>
      <c r="H413" s="43" t="s">
        <v>691</v>
      </c>
      <c r="I413" s="351">
        <v>44193</v>
      </c>
      <c r="J413" s="352" t="s">
        <v>505</v>
      </c>
      <c r="K413" s="320" t="str" cm="1">
        <f t="array" ref="K413">IF(ISNUMBER(MATCH("Transport sector mitigation target", _xlfn._xlws.FILTER(Targets!H:H, Targets!A:A =A413), 0)), "yes", "no")</f>
        <v>yes</v>
      </c>
      <c r="L413" s="43" t="str">
        <f>IF(K413="no", "No transport target", IF(AND(COUNTIFS(Targets!A:A, A413, Targets!H:H, "Transport sector mitigation target", Targets!J:J, "GHG") &gt; 0, COUNTIFS(Targets!A:A, A413, Targets!H:H, "Transport sector mitigation target", Targets!J:J, "Non GHG") &gt; 0), "GHG and non-GHG target", IF(COUNTIFS(Targets!A:A, A413, Targets!H:H, "Transport sector mitigation target", Targets!J:J, "GHG") &gt; 0, "GHG target", IF(COUNTIFS(Targets!A:A, A413, Targets!H:H, "Transport sector mitigation target", Targets!J:J, "Non GHG") &gt; 0, "non-GHG target", ""))))</f>
        <v>non-GHG target</v>
      </c>
      <c r="M413" s="43" t="str">
        <f>IF(K413="no","No transport target",IF(L413="non-GHG target","No GHG transport target",IF(AND(COUNTIFS(Targets!A:A,A413,Targets!H:H,"Transport sector mitigation target",Targets!J:J,"GHG",Targets!L:L,"Conditional")&gt;0,COUNTIFS(Targets!A:A,A413,Targets!H:H,"Transport sector mitigation target",Targets!J:J,"GHG",Targets!L:L,"Unconditional")&gt;0),"GHG unconditional and conditional",IF(COUNTIFS(Targets!A:A,A413,Targets!H:H,"Transport sector mitigation target",Targets!J:J,"GHG",Targets!L:L,"Conditional")&gt;0,"GHG conditional only",IF(COUNTIFS(Targets!A:A,A413,Targets!H:H,"Transport sector mitigation target",Targets!J:J,"GHG",Targets!L:L,"Unconditional")&gt;0,"GHG unconditional only",IF(COUNTIFS(Targets!A:A,A413,Targets!H:H,"Transport sector mitigation target",Targets!J:J,"GHG",Targets!L:L,"Unclear conditionality")&gt;0,"Conditionality unclear",""))))))</f>
        <v>No GHG transport target</v>
      </c>
      <c r="N413" s="43" t="str" cm="1">
        <f t="array" ref="N413">IF(ISNUMBER(MATCH("Transport sector adaptation target", _xlfn._xlws.FILTER(Targets!H:H, Targets!A:A =A413), 0)), "yes", "no")</f>
        <v>no</v>
      </c>
      <c r="O413" s="43" t="str">
        <f>IF(ISNA(MATCH(A413, Mitigation!A:A, 0)), "no", "yes")</f>
        <v>yes</v>
      </c>
      <c r="P413" s="43" t="str">
        <f>IF(ISNA(MATCH(A413, Adaptation!A:A, 0)), "no", "yes")</f>
        <v>no</v>
      </c>
      <c r="Q413" s="43" t="str">
        <f>IF(ISNA(MATCH(A413, Benefits!A:A, 0)), "no", "yes")</f>
        <v>no</v>
      </c>
      <c r="R413" s="43"/>
      <c r="S413" s="43"/>
      <c r="T413" s="43" t="s">
        <v>501</v>
      </c>
      <c r="U413" s="312" t="s">
        <v>928</v>
      </c>
      <c r="V413" s="233" t="str">
        <f>VLOOKUP(Table1[[#This Row],[Country Code]],Table29[],3,FALSE)</f>
        <v>Annex I</v>
      </c>
      <c r="W413" s="233" t="str">
        <f>VLOOKUP(Table1[[#This Row],[Country Code]],Table29[],4,FALSE)</f>
        <v>Europe</v>
      </c>
      <c r="X413" s="233" t="str">
        <f>VLOOKUP(Table1[[#This Row],[Country Code]],Table29[],5,FALSE)</f>
        <v>High-income</v>
      </c>
      <c r="Y413" s="43"/>
      <c r="Z413" s="43"/>
    </row>
    <row r="414" spans="1:26" ht="15" customHeight="1" x14ac:dyDescent="0.25">
      <c r="A414" s="360">
        <v>26790</v>
      </c>
      <c r="B414" s="43" t="s">
        <v>418</v>
      </c>
      <c r="C414" s="243" t="str">
        <f>VLOOKUP(Table1[[#This Row],[Country Code]],Table29[],2,FALSE)</f>
        <v>Switzerland</v>
      </c>
      <c r="D414" s="243" t="str">
        <f t="shared" si="14"/>
        <v>Good</v>
      </c>
      <c r="E414" s="176" t="s">
        <v>71</v>
      </c>
      <c r="F414" s="43" t="s">
        <v>528</v>
      </c>
      <c r="G414" s="43" t="str">
        <f t="shared" si="15"/>
        <v>First NDC updated</v>
      </c>
      <c r="H414" s="43" t="s">
        <v>743</v>
      </c>
      <c r="I414" s="351">
        <v>44547</v>
      </c>
      <c r="J414" s="352" t="s">
        <v>500</v>
      </c>
      <c r="K414" s="320" t="str" cm="1">
        <f t="array" ref="K414">IF(ISNUMBER(MATCH("Transport sector mitigation target", _xlfn._xlws.FILTER(Targets!H:H, Targets!A:A =A414), 0)), "yes", "no")</f>
        <v>no</v>
      </c>
      <c r="L414" s="43" t="str">
        <f>IF(K414="no", "No transport target", IF(AND(COUNTIFS(Targets!A:A, A414, Targets!H:H, "Transport sector mitigation target", Targets!J:J, "GHG") &gt; 0, COUNTIFS(Targets!A:A, A414, Targets!H:H, "Transport sector mitigation target", Targets!J:J, "Non GHG") &gt; 0), "GHG and non-GHG target", IF(COUNTIFS(Targets!A:A, A414, Targets!H:H, "Transport sector mitigation target", Targets!J:J, "GHG") &gt; 0, "GHG target", IF(COUNTIFS(Targets!A:A, A414, Targets!H:H, "Transport sector mitigation target", Targets!J:J, "Non GHG") &gt; 0, "non-GHG target", ""))))</f>
        <v>No transport target</v>
      </c>
      <c r="M414" s="43" t="str">
        <f>IF(K414="no","No transport target",IF(L414="non-GHG target","No GHG transport target",IF(AND(COUNTIFS(Targets!A:A,A414,Targets!H:H,"Transport sector mitigation target",Targets!J:J,"GHG",Targets!L:L,"Conditional")&gt;0,COUNTIFS(Targets!A:A,A414,Targets!H:H,"Transport sector mitigation target",Targets!J:J,"GHG",Targets!L:L,"Unconditional")&gt;0),"GHG unconditional and conditional",IF(COUNTIFS(Targets!A:A,A414,Targets!H:H,"Transport sector mitigation target",Targets!J:J,"GHG",Targets!L:L,"Conditional")&gt;0,"GHG conditional only",IF(COUNTIFS(Targets!A:A,A414,Targets!H:H,"Transport sector mitigation target",Targets!J:J,"GHG",Targets!L:L,"Unconditional")&gt;0,"GHG unconditional only",IF(COUNTIFS(Targets!A:A,A414,Targets!H:H,"Transport sector mitigation target",Targets!J:J,"GHG",Targets!L:L,"Unclear conditionality")&gt;0,"Conditionality unclear",""))))))</f>
        <v>No transport target</v>
      </c>
      <c r="N414" s="43" t="str" cm="1">
        <f t="array" ref="N414">IF(ISNUMBER(MATCH("Transport sector adaptation target", _xlfn._xlws.FILTER(Targets!H:H, Targets!A:A =A414), 0)), "yes", "no")</f>
        <v>no</v>
      </c>
      <c r="O414" s="43" t="str">
        <f>IF(ISNA(MATCH(A414, Mitigation!A:A, 0)), "no", "yes")</f>
        <v>no</v>
      </c>
      <c r="P414" s="43" t="str">
        <f>IF(ISNA(MATCH(A414, Adaptation!A:A, 0)), "no", "yes")</f>
        <v>no</v>
      </c>
      <c r="Q414" s="43" t="str">
        <f>IF(ISNA(MATCH(A414, Benefits!A:A, 0)), "no", "yes")</f>
        <v>no</v>
      </c>
      <c r="R414" s="43"/>
      <c r="S414" s="43"/>
      <c r="T414" s="43" t="s">
        <v>501</v>
      </c>
      <c r="U414" s="312" t="s">
        <v>929</v>
      </c>
      <c r="V414" s="233" t="str">
        <f>VLOOKUP(Table1[[#This Row],[Country Code]],Table29[],3,FALSE)</f>
        <v>Annex I</v>
      </c>
      <c r="W414" s="233" t="str">
        <f>VLOOKUP(Table1[[#This Row],[Country Code]],Table29[],4,FALSE)</f>
        <v>Europe</v>
      </c>
      <c r="X414" s="233" t="str">
        <f>VLOOKUP(Table1[[#This Row],[Country Code]],Table29[],5,FALSE)</f>
        <v>High-income</v>
      </c>
      <c r="Y414" s="43"/>
      <c r="Z414" s="43"/>
    </row>
    <row r="415" spans="1:26" ht="15" customHeight="1" x14ac:dyDescent="0.25">
      <c r="A415" s="360">
        <v>17661</v>
      </c>
      <c r="B415" s="43" t="s">
        <v>298</v>
      </c>
      <c r="C415" s="243" t="str">
        <f>VLOOKUP(Table1[[#This Row],[Country Code]],Table29[],2,FALSE)</f>
        <v>Mexico</v>
      </c>
      <c r="D415" s="243" t="str">
        <f t="shared" si="14"/>
        <v>Good</v>
      </c>
      <c r="E415" s="176" t="s">
        <v>227</v>
      </c>
      <c r="F415" s="43" t="s">
        <v>227</v>
      </c>
      <c r="G415" s="43" t="str">
        <f t="shared" si="15"/>
        <v>LTS</v>
      </c>
      <c r="H415" s="43" t="s">
        <v>636</v>
      </c>
      <c r="I415" s="351">
        <v>42690</v>
      </c>
      <c r="J415" s="352" t="s">
        <v>505</v>
      </c>
      <c r="K415" s="320" t="str" cm="1">
        <f t="array" ref="K415">IF(ISNUMBER(MATCH("Transport sector mitigation target", _xlfn._xlws.FILTER(Targets!H:H, Targets!A:A =A415), 0)), "yes", "no")</f>
        <v>no</v>
      </c>
      <c r="L415" s="43" t="str">
        <f>IF(K415="no", "No transport target", IF(AND(COUNTIFS(Targets!A:A, A415, Targets!H:H, "Transport sector mitigation target", Targets!J:J, "GHG") &gt; 0, COUNTIFS(Targets!A:A, A415, Targets!H:H, "Transport sector mitigation target", Targets!J:J, "Non GHG") &gt; 0), "GHG and non-GHG target", IF(COUNTIFS(Targets!A:A, A415, Targets!H:H, "Transport sector mitigation target", Targets!J:J, "GHG") &gt; 0, "GHG target", IF(COUNTIFS(Targets!A:A, A415, Targets!H:H, "Transport sector mitigation target", Targets!J:J, "Non GHG") &gt; 0, "non-GHG target", ""))))</f>
        <v>No transport target</v>
      </c>
      <c r="M415" s="43" t="str">
        <f>IF(K415="no","No transport target",IF(L415="non-GHG target","No GHG transport target",IF(AND(COUNTIFS(Targets!A:A,A415,Targets!H:H,"Transport sector mitigation target",Targets!J:J,"GHG",Targets!L:L,"Conditional")&gt;0,COUNTIFS(Targets!A:A,A415,Targets!H:H,"Transport sector mitigation target",Targets!J:J,"GHG",Targets!L:L,"Unconditional")&gt;0),"GHG unconditional and conditional",IF(COUNTIFS(Targets!A:A,A415,Targets!H:H,"Transport sector mitigation target",Targets!J:J,"GHG",Targets!L:L,"Conditional")&gt;0,"GHG conditional only",IF(COUNTIFS(Targets!A:A,A415,Targets!H:H,"Transport sector mitigation target",Targets!J:J,"GHG",Targets!L:L,"Unconditional")&gt;0,"GHG unconditional only",IF(COUNTIFS(Targets!A:A,A415,Targets!H:H,"Transport sector mitigation target",Targets!J:J,"GHG",Targets!L:L,"Unclear conditionality")&gt;0,"Conditionality unclear",""))))))</f>
        <v>No transport target</v>
      </c>
      <c r="N415" s="43" t="str" cm="1">
        <f t="array" ref="N415">IF(ISNUMBER(MATCH("Transport sector adaptation target", _xlfn._xlws.FILTER(Targets!H:H, Targets!A:A =A415), 0)), "yes", "no")</f>
        <v>no</v>
      </c>
      <c r="O415" s="43" t="str">
        <f>IF(ISNA(MATCH(A415, Mitigation!A:A, 0)), "no", "yes")</f>
        <v>yes</v>
      </c>
      <c r="P415" s="43" t="str">
        <f>IF(ISNA(MATCH(A415, Adaptation!A:A, 0)), "no", "yes")</f>
        <v>no</v>
      </c>
      <c r="Q415" s="43" t="str">
        <f>IF(ISNA(MATCH(A415, Benefits!A:A, 0)), "no", "yes")</f>
        <v>no</v>
      </c>
      <c r="R415" s="43"/>
      <c r="S415" s="43"/>
      <c r="T415" s="43" t="s">
        <v>501</v>
      </c>
      <c r="U415" s="312" t="s">
        <v>930</v>
      </c>
      <c r="V415" s="233" t="str">
        <f>VLOOKUP(Table1[[#This Row],[Country Code]],Table29[],3,FALSE)</f>
        <v>Non-Annex I</v>
      </c>
      <c r="W415" s="233" t="str">
        <f>VLOOKUP(Table1[[#This Row],[Country Code]],Table29[],4,FALSE)</f>
        <v>Latin America and the Caribbean</v>
      </c>
      <c r="X415" s="233" t="str">
        <f>VLOOKUP(Table1[[#This Row],[Country Code]],Table29[],5,FALSE)</f>
        <v>Middle-income</v>
      </c>
      <c r="Y415" s="43"/>
      <c r="Z415" s="43"/>
    </row>
    <row r="416" spans="1:26" ht="15" customHeight="1" x14ac:dyDescent="0.25">
      <c r="A416" s="360">
        <v>32511</v>
      </c>
      <c r="B416" s="43" t="s">
        <v>360</v>
      </c>
      <c r="C416" s="243" t="str">
        <f>VLOOKUP(Table1[[#This Row],[Country Code]],Table29[],2,FALSE)</f>
        <v>Republic of Korea</v>
      </c>
      <c r="D416" s="243" t="str">
        <f t="shared" si="14"/>
        <v>Good</v>
      </c>
      <c r="E416" s="176" t="s">
        <v>71</v>
      </c>
      <c r="F416" s="43" t="s">
        <v>528</v>
      </c>
      <c r="G416" s="43" t="str">
        <f t="shared" si="15"/>
        <v>First NDC updated</v>
      </c>
      <c r="H416" s="43" t="s">
        <v>743</v>
      </c>
      <c r="I416" s="351">
        <v>44553</v>
      </c>
      <c r="J416" s="352" t="s">
        <v>505</v>
      </c>
      <c r="K416" s="320" t="str" cm="1">
        <f t="array" ref="K416">IF(ISNUMBER(MATCH("Transport sector mitigation target", _xlfn._xlws.FILTER(Targets!H:H, Targets!A:A =A416), 0)), "yes", "no")</f>
        <v>no</v>
      </c>
      <c r="L416" s="43" t="str">
        <f>IF(K416="no", "No transport target", IF(AND(COUNTIFS(Targets!A:A, A416, Targets!H:H, "Transport sector mitigation target", Targets!J:J, "GHG") &gt; 0, COUNTIFS(Targets!A:A, A416, Targets!H:H, "Transport sector mitigation target", Targets!J:J, "Non GHG") &gt; 0), "GHG and non-GHG target", IF(COUNTIFS(Targets!A:A, A416, Targets!H:H, "Transport sector mitigation target", Targets!J:J, "GHG") &gt; 0, "GHG target", IF(COUNTIFS(Targets!A:A, A416, Targets!H:H, "Transport sector mitigation target", Targets!J:J, "Non GHG") &gt; 0, "non-GHG target", ""))))</f>
        <v>No transport target</v>
      </c>
      <c r="M416" s="43" t="str">
        <f>IF(K416="no","No transport target",IF(L416="non-GHG target","No GHG transport target",IF(AND(COUNTIFS(Targets!A:A,A416,Targets!H:H,"Transport sector mitigation target",Targets!J:J,"GHG",Targets!L:L,"Conditional")&gt;0,COUNTIFS(Targets!A:A,A416,Targets!H:H,"Transport sector mitigation target",Targets!J:J,"GHG",Targets!L:L,"Unconditional")&gt;0),"GHG unconditional and conditional",IF(COUNTIFS(Targets!A:A,A416,Targets!H:H,"Transport sector mitigation target",Targets!J:J,"GHG",Targets!L:L,"Conditional")&gt;0,"GHG conditional only",IF(COUNTIFS(Targets!A:A,A416,Targets!H:H,"Transport sector mitigation target",Targets!J:J,"GHG",Targets!L:L,"Unconditional")&gt;0,"GHG unconditional only",IF(COUNTIFS(Targets!A:A,A416,Targets!H:H,"Transport sector mitigation target",Targets!J:J,"GHG",Targets!L:L,"Unclear conditionality")&gt;0,"Conditionality unclear",""))))))</f>
        <v>No transport target</v>
      </c>
      <c r="N416" s="43" t="str" cm="1">
        <f t="array" ref="N416">IF(ISNUMBER(MATCH("Transport sector adaptation target", _xlfn._xlws.FILTER(Targets!H:H, Targets!A:A =A416), 0)), "yes", "no")</f>
        <v>no</v>
      </c>
      <c r="O416" s="43" t="str">
        <f>IF(ISNA(MATCH(A416, Mitigation!A:A, 0)), "no", "yes")</f>
        <v>yes</v>
      </c>
      <c r="P416" s="43" t="str">
        <f>IF(ISNA(MATCH(A416, Adaptation!A:A, 0)), "no", "yes")</f>
        <v>no</v>
      </c>
      <c r="Q416" s="43" t="str">
        <f>IF(ISNA(MATCH(A416, Benefits!A:A, 0)), "no", "yes")</f>
        <v>no</v>
      </c>
      <c r="R416" s="43"/>
      <c r="S416" s="43"/>
      <c r="T416" s="43" t="s">
        <v>501</v>
      </c>
      <c r="U416" s="312" t="s">
        <v>931</v>
      </c>
      <c r="V416" s="233" t="str">
        <f>VLOOKUP(Table1[[#This Row],[Country Code]],Table29[],3,FALSE)</f>
        <v>Non-Annex I</v>
      </c>
      <c r="W416" s="233" t="str">
        <f>VLOOKUP(Table1[[#This Row],[Country Code]],Table29[],4,FALSE)</f>
        <v>Asia</v>
      </c>
      <c r="X416" s="233" t="str">
        <f>VLOOKUP(Table1[[#This Row],[Country Code]],Table29[],5,FALSE)</f>
        <v>High-income</v>
      </c>
      <c r="Y416" s="43"/>
      <c r="Z416" s="43"/>
    </row>
    <row r="417" spans="1:26" ht="15" customHeight="1" x14ac:dyDescent="0.25">
      <c r="A417" s="360">
        <v>17667</v>
      </c>
      <c r="B417" s="43" t="s">
        <v>305</v>
      </c>
      <c r="C417" s="243" t="str">
        <f>VLOOKUP(Table1[[#This Row],[Country Code]],Table29[],2,FALSE)</f>
        <v>Mongolia</v>
      </c>
      <c r="D417" s="243" t="str">
        <f t="shared" si="14"/>
        <v>Good</v>
      </c>
      <c r="E417" s="176" t="s">
        <v>71</v>
      </c>
      <c r="F417" s="43" t="s">
        <v>528</v>
      </c>
      <c r="G417" s="43" t="str">
        <f t="shared" si="15"/>
        <v>First NDC updated</v>
      </c>
      <c r="H417" s="43" t="s">
        <v>691</v>
      </c>
      <c r="I417" s="351">
        <v>44117</v>
      </c>
      <c r="J417" s="352" t="s">
        <v>505</v>
      </c>
      <c r="K417" s="320" t="str" cm="1">
        <f t="array" ref="K417">IF(ISNUMBER(MATCH("Transport sector mitigation target", _xlfn._xlws.FILTER(Targets!H:H, Targets!A:A =A417), 0)), "yes", "no")</f>
        <v>yes</v>
      </c>
      <c r="L417" s="43" t="str">
        <f>IF(K417="no", "No transport target", IF(AND(COUNTIFS(Targets!A:A, A417, Targets!H:H, "Transport sector mitigation target", Targets!J:J, "GHG") &gt; 0, COUNTIFS(Targets!A:A, A417, Targets!H:H, "Transport sector mitigation target", Targets!J:J, "Non GHG") &gt; 0), "GHG and non-GHG target", IF(COUNTIFS(Targets!A:A, A417, Targets!H:H, "Transport sector mitigation target", Targets!J:J, "GHG") &gt; 0, "GHG target", IF(COUNTIFS(Targets!A:A, A417, Targets!H:H, "Transport sector mitigation target", Targets!J:J, "Non GHG") &gt; 0, "non-GHG target", ""))))</f>
        <v>GHG target</v>
      </c>
      <c r="M417" s="43" t="str">
        <f>IF(K417="no","No transport target",IF(L417="non-GHG target","No GHG transport target",IF(AND(COUNTIFS(Targets!A:A,A417,Targets!H:H,"Transport sector mitigation target",Targets!J:J,"GHG",Targets!L:L,"Conditional")&gt;0,COUNTIFS(Targets!A:A,A417,Targets!H:H,"Transport sector mitigation target",Targets!J:J,"GHG",Targets!L:L,"Unconditional")&gt;0),"GHG unconditional and conditional",IF(COUNTIFS(Targets!A:A,A417,Targets!H:H,"Transport sector mitigation target",Targets!J:J,"GHG",Targets!L:L,"Conditional")&gt;0,"GHG conditional only",IF(COUNTIFS(Targets!A:A,A417,Targets!H:H,"Transport sector mitigation target",Targets!J:J,"GHG",Targets!L:L,"Unconditional")&gt;0,"GHG unconditional only",IF(COUNTIFS(Targets!A:A,A417,Targets!H:H,"Transport sector mitigation target",Targets!J:J,"GHG",Targets!L:L,"Unclear conditionality")&gt;0,"Conditionality unclear",""))))))</f>
        <v>GHG unconditional only</v>
      </c>
      <c r="N417" s="43" t="str" cm="1">
        <f t="array" ref="N417">IF(ISNUMBER(MATCH("Transport sector adaptation target", _xlfn._xlws.FILTER(Targets!H:H, Targets!A:A =A417), 0)), "yes", "no")</f>
        <v>no</v>
      </c>
      <c r="O417" s="43" t="str">
        <f>IF(ISNA(MATCH(A417, Mitigation!A:A, 0)), "no", "yes")</f>
        <v>yes</v>
      </c>
      <c r="P417" s="43" t="str">
        <f>IF(ISNA(MATCH(A417, Adaptation!A:A, 0)), "no", "yes")</f>
        <v>no</v>
      </c>
      <c r="Q417" s="43" t="str">
        <f>IF(ISNA(MATCH(A417, Benefits!A:A, 0)), "no", "yes")</f>
        <v>no</v>
      </c>
      <c r="R417" s="43"/>
      <c r="S417" s="43"/>
      <c r="T417" s="43" t="s">
        <v>501</v>
      </c>
      <c r="U417" s="312" t="s">
        <v>932</v>
      </c>
      <c r="V417" s="233" t="str">
        <f>VLOOKUP(Table1[[#This Row],[Country Code]],Table29[],3,FALSE)</f>
        <v>Non-Annex I</v>
      </c>
      <c r="W417" s="233" t="str">
        <f>VLOOKUP(Table1[[#This Row],[Country Code]],Table29[],4,FALSE)</f>
        <v>Asia</v>
      </c>
      <c r="X417" s="233" t="str">
        <f>VLOOKUP(Table1[[#This Row],[Country Code]],Table29[],5,FALSE)</f>
        <v>Middle-income</v>
      </c>
      <c r="Y417" s="43"/>
      <c r="Z417" s="43"/>
    </row>
    <row r="418" spans="1:26" ht="15" customHeight="1" x14ac:dyDescent="0.25">
      <c r="A418" s="360">
        <v>26783</v>
      </c>
      <c r="B418" s="43" t="s">
        <v>309</v>
      </c>
      <c r="C418" s="243" t="str">
        <f>VLOOKUP(Table1[[#This Row],[Country Code]],Table29[],2,FALSE)</f>
        <v>Morocco</v>
      </c>
      <c r="D418" s="243" t="str">
        <f t="shared" si="14"/>
        <v>Good</v>
      </c>
      <c r="E418" s="176" t="s">
        <v>227</v>
      </c>
      <c r="F418" s="43" t="s">
        <v>227</v>
      </c>
      <c r="G418" s="43" t="str">
        <f t="shared" si="15"/>
        <v>LTS</v>
      </c>
      <c r="H418" s="43" t="s">
        <v>636</v>
      </c>
      <c r="I418" s="351">
        <v>44551</v>
      </c>
      <c r="J418" s="352" t="s">
        <v>505</v>
      </c>
      <c r="K418" s="320" t="str" cm="1">
        <f t="array" ref="K418">IF(ISNUMBER(MATCH("Transport sector mitigation target", _xlfn._xlws.FILTER(Targets!H:H, Targets!A:A =A418), 0)), "yes", "no")</f>
        <v>no</v>
      </c>
      <c r="L418" s="43" t="str">
        <f>IF(K418="no", "No transport target", IF(AND(COUNTIFS(Targets!A:A, A418, Targets!H:H, "Transport sector mitigation target", Targets!J:J, "GHG") &gt; 0, COUNTIFS(Targets!A:A, A418, Targets!H:H, "Transport sector mitigation target", Targets!J:J, "Non GHG") &gt; 0), "GHG and non-GHG target", IF(COUNTIFS(Targets!A:A, A418, Targets!H:H, "Transport sector mitigation target", Targets!J:J, "GHG") &gt; 0, "GHG target", IF(COUNTIFS(Targets!A:A, A418, Targets!H:H, "Transport sector mitigation target", Targets!J:J, "Non GHG") &gt; 0, "non-GHG target", ""))))</f>
        <v>No transport target</v>
      </c>
      <c r="M418" s="43" t="str">
        <f>IF(K418="no","No transport target",IF(L418="non-GHG target","No GHG transport target",IF(AND(COUNTIFS(Targets!A:A,A418,Targets!H:H,"Transport sector mitigation target",Targets!J:J,"GHG",Targets!L:L,"Conditional")&gt;0,COUNTIFS(Targets!A:A,A418,Targets!H:H,"Transport sector mitigation target",Targets!J:J,"GHG",Targets!L:L,"Unconditional")&gt;0),"GHG unconditional and conditional",IF(COUNTIFS(Targets!A:A,A418,Targets!H:H,"Transport sector mitigation target",Targets!J:J,"GHG",Targets!L:L,"Conditional")&gt;0,"GHG conditional only",IF(COUNTIFS(Targets!A:A,A418,Targets!H:H,"Transport sector mitigation target",Targets!J:J,"GHG",Targets!L:L,"Unconditional")&gt;0,"GHG unconditional only",IF(COUNTIFS(Targets!A:A,A418,Targets!H:H,"Transport sector mitigation target",Targets!J:J,"GHG",Targets!L:L,"Unclear conditionality")&gt;0,"Conditionality unclear",""))))))</f>
        <v>No transport target</v>
      </c>
      <c r="N418" s="43" t="str" cm="1">
        <f t="array" ref="N418">IF(ISNUMBER(MATCH("Transport sector adaptation target", _xlfn._xlws.FILTER(Targets!H:H, Targets!A:A =A418), 0)), "yes", "no")</f>
        <v>no</v>
      </c>
      <c r="O418" s="43" t="str">
        <f>IF(ISNA(MATCH(A418, Mitigation!A:A, 0)), "no", "yes")</f>
        <v>yes</v>
      </c>
      <c r="P418" s="43" t="str">
        <f>IF(ISNA(MATCH(A418, Adaptation!A:A, 0)), "no", "yes")</f>
        <v>no</v>
      </c>
      <c r="Q418" s="43" t="str">
        <f>IF(ISNA(MATCH(A418, Benefits!A:A, 0)), "no", "yes")</f>
        <v>no</v>
      </c>
      <c r="R418" s="43"/>
      <c r="S418" s="43"/>
      <c r="T418" s="43" t="s">
        <v>501</v>
      </c>
      <c r="U418" s="312" t="s">
        <v>933</v>
      </c>
      <c r="V418" s="233" t="str">
        <f>VLOOKUP(Table1[[#This Row],[Country Code]],Table29[],3,FALSE)</f>
        <v>Non-Annex I</v>
      </c>
      <c r="W418" s="233" t="str">
        <f>VLOOKUP(Table1[[#This Row],[Country Code]],Table29[],4,FALSE)</f>
        <v>Africa</v>
      </c>
      <c r="X418" s="233" t="str">
        <f>VLOOKUP(Table1[[#This Row],[Country Code]],Table29[],5,FALSE)</f>
        <v>Middle-income</v>
      </c>
      <c r="Y418" s="43"/>
      <c r="Z418" s="43"/>
    </row>
    <row r="419" spans="1:26" ht="15" customHeight="1" x14ac:dyDescent="0.25">
      <c r="A419" s="360">
        <v>26779</v>
      </c>
      <c r="B419" s="42" t="s">
        <v>162</v>
      </c>
      <c r="C419" s="243" t="str">
        <f>VLOOKUP(Table1[[#This Row],[Country Code]],Table29[],2,FALSE)</f>
        <v>Democratic Republic of the Congo</v>
      </c>
      <c r="D419" s="243" t="str">
        <f t="shared" si="14"/>
        <v>Good</v>
      </c>
      <c r="E419" s="176" t="s">
        <v>71</v>
      </c>
      <c r="F419" s="43" t="s">
        <v>528</v>
      </c>
      <c r="G419" s="43" t="str">
        <f t="shared" si="15"/>
        <v>First NDC updated</v>
      </c>
      <c r="H419" s="43" t="s">
        <v>691</v>
      </c>
      <c r="I419" s="351">
        <v>44558</v>
      </c>
      <c r="J419" s="352" t="s">
        <v>505</v>
      </c>
      <c r="K419" s="320" t="str" cm="1">
        <f t="array" ref="K419">IF(ISNUMBER(MATCH("Transport sector mitigation target", _xlfn._xlws.FILTER(Targets!H:H, Targets!A:A =A419), 0)), "yes", "no")</f>
        <v>no</v>
      </c>
      <c r="L419" s="43" t="str">
        <f>IF(K419="no", "No transport target", IF(AND(COUNTIFS(Targets!A:A, A419, Targets!H:H, "Transport sector mitigation target", Targets!J:J, "GHG") &gt; 0, COUNTIFS(Targets!A:A, A419, Targets!H:H, "Transport sector mitigation target", Targets!J:J, "Non GHG") &gt; 0), "GHG and non-GHG target", IF(COUNTIFS(Targets!A:A, A419, Targets!H:H, "Transport sector mitigation target", Targets!J:J, "GHG") &gt; 0, "GHG target", IF(COUNTIFS(Targets!A:A, A419, Targets!H:H, "Transport sector mitigation target", Targets!J:J, "Non GHG") &gt; 0, "non-GHG target", ""))))</f>
        <v>No transport target</v>
      </c>
      <c r="M419" s="43" t="str">
        <f>IF(K419="no","No transport target",IF(L419="non-GHG target","No GHG transport target",IF(AND(COUNTIFS(Targets!A:A,A419,Targets!H:H,"Transport sector mitigation target",Targets!J:J,"GHG",Targets!L:L,"Conditional")&gt;0,COUNTIFS(Targets!A:A,A419,Targets!H:H,"Transport sector mitigation target",Targets!J:J,"GHG",Targets!L:L,"Unconditional")&gt;0),"GHG unconditional and conditional",IF(COUNTIFS(Targets!A:A,A419,Targets!H:H,"Transport sector mitigation target",Targets!J:J,"GHG",Targets!L:L,"Conditional")&gt;0,"GHG conditional only",IF(COUNTIFS(Targets!A:A,A419,Targets!H:H,"Transport sector mitigation target",Targets!J:J,"GHG",Targets!L:L,"Unconditional")&gt;0,"GHG unconditional only",IF(COUNTIFS(Targets!A:A,A419,Targets!H:H,"Transport sector mitigation target",Targets!J:J,"GHG",Targets!L:L,"Unclear conditionality")&gt;0,"Conditionality unclear",""))))))</f>
        <v>No transport target</v>
      </c>
      <c r="N419" s="43" t="str" cm="1">
        <f t="array" ref="N419">IF(ISNUMBER(MATCH("Transport sector adaptation target", _xlfn._xlws.FILTER(Targets!H:H, Targets!A:A =A419), 0)), "yes", "no")</f>
        <v>no</v>
      </c>
      <c r="O419" s="43" t="str">
        <f>IF(ISNA(MATCH(A419, Mitigation!A:A, 0)), "no", "yes")</f>
        <v>yes</v>
      </c>
      <c r="P419" s="43" t="str">
        <f>IF(ISNA(MATCH(A419, Adaptation!A:A, 0)), "no", "yes")</f>
        <v>no</v>
      </c>
      <c r="Q419" s="43" t="str">
        <f>IF(ISNA(MATCH(A419, Benefits!A:A, 0)), "no", "yes")</f>
        <v>no</v>
      </c>
      <c r="R419" s="43"/>
      <c r="S419" s="43"/>
      <c r="T419" s="43" t="s">
        <v>501</v>
      </c>
      <c r="U419" s="312" t="s">
        <v>934</v>
      </c>
      <c r="V419" s="233" t="str">
        <f>VLOOKUP(Table1[[#This Row],[Country Code]],Table29[],3,FALSE)</f>
        <v>Non-Annex I</v>
      </c>
      <c r="W419" s="233" t="str">
        <f>VLOOKUP(Table1[[#This Row],[Country Code]],Table29[],4,FALSE)</f>
        <v>Africa</v>
      </c>
      <c r="X419" s="233" t="str">
        <f>VLOOKUP(Table1[[#This Row],[Country Code]],Table29[],5,FALSE)</f>
        <v>Low-income</v>
      </c>
      <c r="Y419" s="43"/>
      <c r="Z419" s="43"/>
    </row>
    <row r="420" spans="1:26" ht="15" customHeight="1" x14ac:dyDescent="0.25">
      <c r="A420" s="360">
        <v>20864</v>
      </c>
      <c r="B420" s="43" t="s">
        <v>309</v>
      </c>
      <c r="C420" s="243" t="str">
        <f>VLOOKUP(Table1[[#This Row],[Country Code]],Table29[],2,FALSE)</f>
        <v>Morocco</v>
      </c>
      <c r="D420" s="243" t="str">
        <f t="shared" si="14"/>
        <v>Good</v>
      </c>
      <c r="E420" s="176" t="s">
        <v>71</v>
      </c>
      <c r="F420" s="43" t="s">
        <v>528</v>
      </c>
      <c r="G420" s="43" t="str">
        <f t="shared" si="15"/>
        <v>First NDC updated</v>
      </c>
      <c r="H420" s="43" t="s">
        <v>691</v>
      </c>
      <c r="I420" s="351">
        <v>44369</v>
      </c>
      <c r="J420" s="352" t="s">
        <v>505</v>
      </c>
      <c r="K420" s="320" t="str" cm="1">
        <f t="array" ref="K420">IF(ISNUMBER(MATCH("Transport sector mitigation target", _xlfn._xlws.FILTER(Targets!H:H, Targets!A:A =A420), 0)), "yes", "no")</f>
        <v>yes</v>
      </c>
      <c r="L420" s="43" t="str">
        <f>IF(K420="no", "No transport target", IF(AND(COUNTIFS(Targets!A:A, A420, Targets!H:H, "Transport sector mitigation target", Targets!J:J, "GHG") &gt; 0, COUNTIFS(Targets!A:A, A420, Targets!H:H, "Transport sector mitigation target", Targets!J:J, "Non GHG") &gt; 0), "GHG and non-GHG target", IF(COUNTIFS(Targets!A:A, A420, Targets!H:H, "Transport sector mitigation target", Targets!J:J, "GHG") &gt; 0, "GHG target", IF(COUNTIFS(Targets!A:A, A420, Targets!H:H, "Transport sector mitigation target", Targets!J:J, "Non GHG") &gt; 0, "non-GHG target", ""))))</f>
        <v>non-GHG target</v>
      </c>
      <c r="M420" s="43" t="str">
        <f>IF(K420="no","No transport target",IF(L420="non-GHG target","No GHG transport target",IF(AND(COUNTIFS(Targets!A:A,A420,Targets!H:H,"Transport sector mitigation target",Targets!J:J,"GHG",Targets!L:L,"Conditional")&gt;0,COUNTIFS(Targets!A:A,A420,Targets!H:H,"Transport sector mitigation target",Targets!J:J,"GHG",Targets!L:L,"Unconditional")&gt;0),"GHG unconditional and conditional",IF(COUNTIFS(Targets!A:A,A420,Targets!H:H,"Transport sector mitigation target",Targets!J:J,"GHG",Targets!L:L,"Conditional")&gt;0,"GHG conditional only",IF(COUNTIFS(Targets!A:A,A420,Targets!H:H,"Transport sector mitigation target",Targets!J:J,"GHG",Targets!L:L,"Unconditional")&gt;0,"GHG unconditional only",IF(COUNTIFS(Targets!A:A,A420,Targets!H:H,"Transport sector mitigation target",Targets!J:J,"GHG",Targets!L:L,"Unclear conditionality")&gt;0,"Conditionality unclear",""))))))</f>
        <v>No GHG transport target</v>
      </c>
      <c r="N420" s="43" t="str" cm="1">
        <f t="array" ref="N420">IF(ISNUMBER(MATCH("Transport sector adaptation target", _xlfn._xlws.FILTER(Targets!H:H, Targets!A:A =A420), 0)), "yes", "no")</f>
        <v>no</v>
      </c>
      <c r="O420" s="43" t="str">
        <f>IF(ISNA(MATCH(A420, Mitigation!A:A, 0)), "no", "yes")</f>
        <v>yes</v>
      </c>
      <c r="P420" s="43" t="str">
        <f>IF(ISNA(MATCH(A420, Adaptation!A:A, 0)), "no", "yes")</f>
        <v>no</v>
      </c>
      <c r="Q420" s="43" t="str">
        <f>IF(ISNA(MATCH(A420, Benefits!A:A, 0)), "no", "yes")</f>
        <v>no</v>
      </c>
      <c r="R420" s="43"/>
      <c r="S420" s="43"/>
      <c r="T420" s="43" t="s">
        <v>501</v>
      </c>
      <c r="U420" s="312" t="s">
        <v>935</v>
      </c>
      <c r="V420" s="233" t="str">
        <f>VLOOKUP(Table1[[#This Row],[Country Code]],Table29[],3,FALSE)</f>
        <v>Non-Annex I</v>
      </c>
      <c r="W420" s="233" t="str">
        <f>VLOOKUP(Table1[[#This Row],[Country Code]],Table29[],4,FALSE)</f>
        <v>Africa</v>
      </c>
      <c r="X420" s="233" t="str">
        <f>VLOOKUP(Table1[[#This Row],[Country Code]],Table29[],5,FALSE)</f>
        <v>Middle-income</v>
      </c>
      <c r="Y420" s="43"/>
      <c r="Z420" s="43"/>
    </row>
    <row r="421" spans="1:26" ht="15" customHeight="1" x14ac:dyDescent="0.25">
      <c r="A421" s="360">
        <v>24791</v>
      </c>
      <c r="B421" s="42" t="s">
        <v>311</v>
      </c>
      <c r="C421" s="243" t="str">
        <f>VLOOKUP(Table1[[#This Row],[Country Code]],Table29[],2,FALSE)</f>
        <v>Mozambique</v>
      </c>
      <c r="D421" s="243" t="str">
        <f t="shared" si="14"/>
        <v>Good</v>
      </c>
      <c r="E421" s="176" t="s">
        <v>71</v>
      </c>
      <c r="F421" s="43" t="s">
        <v>528</v>
      </c>
      <c r="G421" s="43" t="str">
        <f t="shared" si="15"/>
        <v>First NDC updated</v>
      </c>
      <c r="H421" s="43" t="s">
        <v>691</v>
      </c>
      <c r="I421" s="351">
        <v>44557</v>
      </c>
      <c r="J421" s="352" t="s">
        <v>505</v>
      </c>
      <c r="K421" s="320" t="str" cm="1">
        <f t="array" ref="K421">IF(ISNUMBER(MATCH("Transport sector mitigation target", _xlfn._xlws.FILTER(Targets!H:H, Targets!A:A =A421), 0)), "yes", "no")</f>
        <v>yes</v>
      </c>
      <c r="L421" s="43" t="str">
        <f>IF(K421="no", "No transport target", IF(AND(COUNTIFS(Targets!A:A, A421, Targets!H:H, "Transport sector mitigation target", Targets!J:J, "GHG") &gt; 0, COUNTIFS(Targets!A:A, A421, Targets!H:H, "Transport sector mitigation target", Targets!J:J, "Non GHG") &gt; 0), "GHG and non-GHG target", IF(COUNTIFS(Targets!A:A, A421, Targets!H:H, "Transport sector mitigation target", Targets!J:J, "GHG") &gt; 0, "GHG target", IF(COUNTIFS(Targets!A:A, A421, Targets!H:H, "Transport sector mitigation target", Targets!J:J, "Non GHG") &gt; 0, "non-GHG target", ""))))</f>
        <v>non-GHG target</v>
      </c>
      <c r="M421" s="43" t="str">
        <f>IF(K421="no","No transport target",IF(L421="non-GHG target","No GHG transport target",IF(AND(COUNTIFS(Targets!A:A,A421,Targets!H:H,"Transport sector mitigation target",Targets!J:J,"GHG",Targets!L:L,"Conditional")&gt;0,COUNTIFS(Targets!A:A,A421,Targets!H:H,"Transport sector mitigation target",Targets!J:J,"GHG",Targets!L:L,"Unconditional")&gt;0),"GHG unconditional and conditional",IF(COUNTIFS(Targets!A:A,A421,Targets!H:H,"Transport sector mitigation target",Targets!J:J,"GHG",Targets!L:L,"Conditional")&gt;0,"GHG conditional only",IF(COUNTIFS(Targets!A:A,A421,Targets!H:H,"Transport sector mitigation target",Targets!J:J,"GHG",Targets!L:L,"Unconditional")&gt;0,"GHG unconditional only",IF(COUNTIFS(Targets!A:A,A421,Targets!H:H,"Transport sector mitigation target",Targets!J:J,"GHG",Targets!L:L,"Unclear conditionality")&gt;0,"Conditionality unclear",""))))))</f>
        <v>No GHG transport target</v>
      </c>
      <c r="N421" s="43" t="str" cm="1">
        <f t="array" ref="N421">IF(ISNUMBER(MATCH("Transport sector adaptation target", _xlfn._xlws.FILTER(Targets!H:H, Targets!A:A =A421), 0)), "yes", "no")</f>
        <v>no</v>
      </c>
      <c r="O421" s="43" t="str">
        <f>IF(ISNA(MATCH(A421, Mitigation!A:A, 0)), "no", "yes")</f>
        <v>yes</v>
      </c>
      <c r="P421" s="43" t="str">
        <f>IF(ISNA(MATCH(A421, Adaptation!A:A, 0)), "no", "yes")</f>
        <v>yes</v>
      </c>
      <c r="Q421" s="43" t="str">
        <f>IF(ISNA(MATCH(A421, Benefits!A:A, 0)), "no", "yes")</f>
        <v>no</v>
      </c>
      <c r="R421" s="43"/>
      <c r="S421" s="43"/>
      <c r="T421" s="43" t="s">
        <v>501</v>
      </c>
      <c r="U421" s="312" t="s">
        <v>936</v>
      </c>
      <c r="V421" s="233" t="str">
        <f>VLOOKUP(Table1[[#This Row],[Country Code]],Table29[],3,FALSE)</f>
        <v>Non-Annex I</v>
      </c>
      <c r="W421" s="233" t="str">
        <f>VLOOKUP(Table1[[#This Row],[Country Code]],Table29[],4,FALSE)</f>
        <v>Africa</v>
      </c>
      <c r="X421" s="233" t="str">
        <f>VLOOKUP(Table1[[#This Row],[Country Code]],Table29[],5,FALSE)</f>
        <v>Low-income</v>
      </c>
      <c r="Y421" s="43"/>
      <c r="Z421" s="43"/>
    </row>
    <row r="422" spans="1:26" ht="15" customHeight="1" x14ac:dyDescent="0.25">
      <c r="A422" s="360">
        <v>41998</v>
      </c>
      <c r="B422" s="43" t="s">
        <v>205</v>
      </c>
      <c r="C422" s="233" t="s">
        <v>206</v>
      </c>
      <c r="D422" s="243" t="str">
        <f t="shared" si="14"/>
        <v>Good</v>
      </c>
      <c r="E422" s="20" t="s">
        <v>774</v>
      </c>
      <c r="F422" s="43" t="s">
        <v>780</v>
      </c>
      <c r="G422" s="43" t="str">
        <f t="shared" si="15"/>
        <v>WRI Net Zero Tracker</v>
      </c>
      <c r="H422" s="148" t="s">
        <v>52</v>
      </c>
      <c r="I422" s="163">
        <v>44571</v>
      </c>
      <c r="J422" s="187" t="s">
        <v>505</v>
      </c>
      <c r="K422" s="49" t="str" cm="1">
        <f t="array" ref="K422">IF(ISNUMBER(MATCH("Transport sector mitigation target", _xlfn._xlws.FILTER(Targets!H:H, Targets!A:A =A422), 0)), "yes", "no")</f>
        <v>no</v>
      </c>
      <c r="L422" s="17" t="str">
        <f>IF(K422="no", "No transport target", IF(AND(COUNTIFS(Targets!A:A, A422, Targets!H:H, "Transport sector mitigation target", Targets!J:J, "GHG") &gt; 0, COUNTIFS(Targets!A:A, A422, Targets!H:H, "Transport sector mitigation target", Targets!J:J, "Non GHG") &gt; 0), "GHG and non-GHG target", IF(COUNTIFS(Targets!A:A, A422, Targets!H:H, "Transport sector mitigation target", Targets!J:J, "GHG") &gt; 0, "GHG target", IF(COUNTIFS(Targets!A:A, A422, Targets!H:H, "Transport sector mitigation target", Targets!J:J, "Non GHG") &gt; 0, "non-GHG target", ""))))</f>
        <v>No transport target</v>
      </c>
      <c r="M422" s="17" t="str">
        <f>IF(K422="no","No transport target",IF(L422="non-GHG target","No GHG transport target",IF(AND(COUNTIFS(Targets!A:A,A422,Targets!H:H,"Transport sector mitigation target",Targets!J:J,"GHG",Targets!L:L,"Conditional")&gt;0,COUNTIFS(Targets!A:A,A422,Targets!H:H,"Transport sector mitigation target",Targets!J:J,"GHG",Targets!L:L,"Unconditional")&gt;0),"GHG unconditional and conditional",IF(COUNTIFS(Targets!A:A,A422,Targets!H:H,"Transport sector mitigation target",Targets!J:J,"GHG",Targets!L:L,"Conditional")&gt;0,"GHG conditional only",IF(COUNTIFS(Targets!A:A,A422,Targets!H:H,"Transport sector mitigation target",Targets!J:J,"GHG",Targets!L:L,"Unconditional")&gt;0,"GHG unconditional only",IF(COUNTIFS(Targets!A:A,A422,Targets!H:H,"Transport sector mitigation target",Targets!J:J,"GHG",Targets!L:L,"Unclear conditionality")&gt;0,"Conditionality unclear",""))))))</f>
        <v>No transport target</v>
      </c>
      <c r="N422" s="17" t="str" cm="1">
        <f t="array" ref="N422">IF(ISNUMBER(MATCH("Transport sector adaptation target", _xlfn._xlws.FILTER(Targets!H:H, Targets!A:A =A422), 0)), "yes", "no")</f>
        <v>no</v>
      </c>
      <c r="O422" s="17" t="str">
        <f>IF(ISNA(MATCH(A422, Mitigation!A:A, 0)), "no", "yes")</f>
        <v>no</v>
      </c>
      <c r="P422" s="17" t="str">
        <f>IF(ISNA(MATCH(A422, Adaptation!A:A, 0)), "no", "yes")</f>
        <v>no</v>
      </c>
      <c r="Q422" s="17" t="str">
        <f>IF(ISNA(MATCH(A422, Benefits!A:A, 0)), "no", "yes")</f>
        <v>no</v>
      </c>
      <c r="R422" s="148"/>
      <c r="S422" s="148"/>
      <c r="T422" s="17" t="s">
        <v>501</v>
      </c>
      <c r="U422" s="411" t="s">
        <v>781</v>
      </c>
      <c r="V422" s="207" t="str">
        <f>VLOOKUP(Table1[[#This Row],[Country Code]],Table29[],3,FALSE)</f>
        <v>Non-Annex I</v>
      </c>
      <c r="W422" s="207" t="str">
        <f>VLOOKUP(Table1[[#This Row],[Country Code]],Table29[],4,FALSE)</f>
        <v>Africa</v>
      </c>
      <c r="X422" s="207" t="str">
        <f>VLOOKUP(Table1[[#This Row],[Country Code]],Table29[],5,FALSE)</f>
        <v>Middle-income</v>
      </c>
      <c r="Y422" s="43" t="s">
        <v>750</v>
      </c>
      <c r="Z422" s="17"/>
    </row>
    <row r="423" spans="1:26" ht="15" customHeight="1" x14ac:dyDescent="0.25">
      <c r="A423" s="360">
        <v>26774</v>
      </c>
      <c r="B423" s="42" t="s">
        <v>131</v>
      </c>
      <c r="C423" s="243" t="str">
        <f>VLOOKUP(Table1[[#This Row],[Country Code]],Table29[],2,FALSE)</f>
        <v>Central African Republic</v>
      </c>
      <c r="D423" s="243" t="str">
        <f t="shared" si="14"/>
        <v>Good</v>
      </c>
      <c r="E423" s="176" t="s">
        <v>71</v>
      </c>
      <c r="F423" s="43" t="s">
        <v>528</v>
      </c>
      <c r="G423" s="43" t="str">
        <f t="shared" si="15"/>
        <v>First NDC updated</v>
      </c>
      <c r="H423" s="43" t="s">
        <v>691</v>
      </c>
      <c r="I423" s="351">
        <v>44585</v>
      </c>
      <c r="J423" s="352" t="s">
        <v>505</v>
      </c>
      <c r="K423" s="320" t="str" cm="1">
        <f t="array" ref="K423">IF(ISNUMBER(MATCH("Transport sector mitigation target", _xlfn._xlws.FILTER(Targets!H:H, Targets!A:A =A423), 0)), "yes", "no")</f>
        <v>no</v>
      </c>
      <c r="L423" s="43" t="str">
        <f>IF(K423="no", "No transport target", IF(AND(COUNTIFS(Targets!A:A, A423, Targets!H:H, "Transport sector mitigation target", Targets!J:J, "GHG") &gt; 0, COUNTIFS(Targets!A:A, A423, Targets!H:H, "Transport sector mitigation target", Targets!J:J, "Non GHG") &gt; 0), "GHG and non-GHG target", IF(COUNTIFS(Targets!A:A, A423, Targets!H:H, "Transport sector mitigation target", Targets!J:J, "GHG") &gt; 0, "GHG target", IF(COUNTIFS(Targets!A:A, A423, Targets!H:H, "Transport sector mitigation target", Targets!J:J, "Non GHG") &gt; 0, "non-GHG target", ""))))</f>
        <v>No transport target</v>
      </c>
      <c r="M423" s="43" t="str">
        <f>IF(K423="no","No transport target",IF(L423="non-GHG target","No GHG transport target",IF(AND(COUNTIFS(Targets!A:A,A423,Targets!H:H,"Transport sector mitigation target",Targets!J:J,"GHG",Targets!L:L,"Conditional")&gt;0,COUNTIFS(Targets!A:A,A423,Targets!H:H,"Transport sector mitigation target",Targets!J:J,"GHG",Targets!L:L,"Unconditional")&gt;0),"GHG unconditional and conditional",IF(COUNTIFS(Targets!A:A,A423,Targets!H:H,"Transport sector mitigation target",Targets!J:J,"GHG",Targets!L:L,"Conditional")&gt;0,"GHG conditional only",IF(COUNTIFS(Targets!A:A,A423,Targets!H:H,"Transport sector mitigation target",Targets!J:J,"GHG",Targets!L:L,"Unconditional")&gt;0,"GHG unconditional only",IF(COUNTIFS(Targets!A:A,A423,Targets!H:H,"Transport sector mitigation target",Targets!J:J,"GHG",Targets!L:L,"Unclear conditionality")&gt;0,"Conditionality unclear",""))))))</f>
        <v>No transport target</v>
      </c>
      <c r="N423" s="43" t="str" cm="1">
        <f t="array" ref="N423">IF(ISNUMBER(MATCH("Transport sector adaptation target", _xlfn._xlws.FILTER(Targets!H:H, Targets!A:A =A423), 0)), "yes", "no")</f>
        <v>no</v>
      </c>
      <c r="O423" s="43" t="str">
        <f>IF(ISNA(MATCH(A423, Mitigation!A:A, 0)), "no", "yes")</f>
        <v>no</v>
      </c>
      <c r="P423" s="43" t="str">
        <f>IF(ISNA(MATCH(A423, Adaptation!A:A, 0)), "no", "yes")</f>
        <v>no</v>
      </c>
      <c r="Q423" s="43" t="str">
        <f>IF(ISNA(MATCH(A423, Benefits!A:A, 0)), "no", "yes")</f>
        <v>no</v>
      </c>
      <c r="R423" s="43"/>
      <c r="S423" s="43"/>
      <c r="T423" s="43" t="s">
        <v>501</v>
      </c>
      <c r="U423" s="312" t="s">
        <v>937</v>
      </c>
      <c r="V423" s="233" t="str">
        <f>VLOOKUP(Table1[[#This Row],[Country Code]],Table29[],3,FALSE)</f>
        <v>Non-Annex I</v>
      </c>
      <c r="W423" s="233" t="str">
        <f>VLOOKUP(Table1[[#This Row],[Country Code]],Table29[],4,FALSE)</f>
        <v>Africa</v>
      </c>
      <c r="X423" s="233" t="str">
        <f>VLOOKUP(Table1[[#This Row],[Country Code]],Table29[],5,FALSE)</f>
        <v>Low-income</v>
      </c>
      <c r="Y423" s="43"/>
      <c r="Z423" s="43"/>
    </row>
    <row r="424" spans="1:26" ht="15" customHeight="1" x14ac:dyDescent="0.25">
      <c r="A424" s="360">
        <v>17676</v>
      </c>
      <c r="B424" s="43" t="s">
        <v>321</v>
      </c>
      <c r="C424" s="243" t="str">
        <f>VLOOKUP(Table1[[#This Row],[Country Code]],Table29[],2,FALSE)</f>
        <v>Netherlands</v>
      </c>
      <c r="D424" s="243" t="str">
        <f t="shared" si="14"/>
        <v>Good</v>
      </c>
      <c r="E424" s="176" t="s">
        <v>227</v>
      </c>
      <c r="F424" s="43" t="s">
        <v>717</v>
      </c>
      <c r="G424" s="43" t="str">
        <f t="shared" si="15"/>
        <v>EU-LTS</v>
      </c>
      <c r="H424" s="43" t="s">
        <v>636</v>
      </c>
      <c r="I424" s="351">
        <v>44147</v>
      </c>
      <c r="J424" s="352" t="s">
        <v>505</v>
      </c>
      <c r="K424" s="320" t="str" cm="1">
        <f t="array" ref="K424">IF(ISNUMBER(MATCH("Transport sector mitigation target", _xlfn._xlws.FILTER(Targets!H:H, Targets!A:A =A424), 0)), "yes", "no")</f>
        <v>no</v>
      </c>
      <c r="L424" s="43" t="str">
        <f>IF(K424="no", "No transport target", IF(AND(COUNTIFS(Targets!A:A, A424, Targets!H:H, "Transport sector mitigation target", Targets!J:J, "GHG") &gt; 0, COUNTIFS(Targets!A:A, A424, Targets!H:H, "Transport sector mitigation target", Targets!J:J, "Non GHG") &gt; 0), "GHG and non-GHG target", IF(COUNTIFS(Targets!A:A, A424, Targets!H:H, "Transport sector mitigation target", Targets!J:J, "GHG") &gt; 0, "GHG target", IF(COUNTIFS(Targets!A:A, A424, Targets!H:H, "Transport sector mitigation target", Targets!J:J, "Non GHG") &gt; 0, "non-GHG target", ""))))</f>
        <v>No transport target</v>
      </c>
      <c r="M424" s="43" t="str">
        <f>IF(K424="no","No transport target",IF(L424="non-GHG target","No GHG transport target",IF(AND(COUNTIFS(Targets!A:A,A424,Targets!H:H,"Transport sector mitigation target",Targets!J:J,"GHG",Targets!L:L,"Conditional")&gt;0,COUNTIFS(Targets!A:A,A424,Targets!H:H,"Transport sector mitigation target",Targets!J:J,"GHG",Targets!L:L,"Unconditional")&gt;0),"GHG unconditional and conditional",IF(COUNTIFS(Targets!A:A,A424,Targets!H:H,"Transport sector mitigation target",Targets!J:J,"GHG",Targets!L:L,"Conditional")&gt;0,"GHG conditional only",IF(COUNTIFS(Targets!A:A,A424,Targets!H:H,"Transport sector mitigation target",Targets!J:J,"GHG",Targets!L:L,"Unconditional")&gt;0,"GHG unconditional only",IF(COUNTIFS(Targets!A:A,A424,Targets!H:H,"Transport sector mitigation target",Targets!J:J,"GHG",Targets!L:L,"Unclear conditionality")&gt;0,"Conditionality unclear",""))))))</f>
        <v>No transport target</v>
      </c>
      <c r="N424" s="43" t="str" cm="1">
        <f t="array" ref="N424">IF(ISNUMBER(MATCH("Transport sector adaptation target", _xlfn._xlws.FILTER(Targets!H:H, Targets!A:A =A424), 0)), "yes", "no")</f>
        <v>no</v>
      </c>
      <c r="O424" s="43" t="str">
        <f>IF(ISNA(MATCH(A424, Mitigation!A:A, 0)), "no", "yes")</f>
        <v>yes</v>
      </c>
      <c r="P424" s="43" t="str">
        <f>IF(ISNA(MATCH(A424, Adaptation!A:A, 0)), "no", "yes")</f>
        <v>no</v>
      </c>
      <c r="Q424" s="43" t="str">
        <f>IF(ISNA(MATCH(A424, Benefits!A:A, 0)), "no", "yes")</f>
        <v>no</v>
      </c>
      <c r="R424" s="43"/>
      <c r="S424" s="43"/>
      <c r="T424" s="43" t="s">
        <v>501</v>
      </c>
      <c r="U424" s="312" t="s">
        <v>938</v>
      </c>
      <c r="V424" s="233" t="str">
        <f>VLOOKUP(Table1[[#This Row],[Country Code]],Table29[],3,FALSE)</f>
        <v>Annex I</v>
      </c>
      <c r="W424" s="233" t="str">
        <f>VLOOKUP(Table1[[#This Row],[Country Code]],Table29[],4,FALSE)</f>
        <v>Europe</v>
      </c>
      <c r="X424" s="233" t="str">
        <f>VLOOKUP(Table1[[#This Row],[Country Code]],Table29[],5,FALSE)</f>
        <v>High-income</v>
      </c>
      <c r="Y424" s="43"/>
      <c r="Z424" s="43"/>
    </row>
    <row r="425" spans="1:26" ht="15" customHeight="1" x14ac:dyDescent="0.25">
      <c r="A425" s="360">
        <v>26801</v>
      </c>
      <c r="B425" s="43" t="s">
        <v>211</v>
      </c>
      <c r="C425" s="243" t="str">
        <f>VLOOKUP(Table1[[#This Row],[Country Code]],Table29[],2,FALSE)</f>
        <v>Guatemala</v>
      </c>
      <c r="D425" s="243" t="str">
        <f t="shared" si="14"/>
        <v>Good</v>
      </c>
      <c r="E425" s="176" t="s">
        <v>71</v>
      </c>
      <c r="F425" s="43" t="s">
        <v>525</v>
      </c>
      <c r="G425" s="43" t="str">
        <f t="shared" si="15"/>
        <v>First NDC updated</v>
      </c>
      <c r="H425" s="43" t="s">
        <v>691</v>
      </c>
      <c r="I425" s="355">
        <v>44652</v>
      </c>
      <c r="J425" s="320" t="s">
        <v>500</v>
      </c>
      <c r="K425" s="320" t="str" cm="1">
        <f t="array" ref="K425">IF(ISNUMBER(MATCH("Transport sector mitigation target", _xlfn._xlws.FILTER(Targets!H:H, Targets!A:A =A425), 0)), "yes", "no")</f>
        <v>no</v>
      </c>
      <c r="L425" s="43" t="str">
        <f>IF(K425="no", "No transport target", IF(AND(COUNTIFS(Targets!A:A, A425, Targets!H:H, "Transport sector mitigation target", Targets!J:J, "GHG") &gt; 0, COUNTIFS(Targets!A:A, A425, Targets!H:H, "Transport sector mitigation target", Targets!J:J, "Non GHG") &gt; 0), "GHG and non-GHG target", IF(COUNTIFS(Targets!A:A, A425, Targets!H:H, "Transport sector mitigation target", Targets!J:J, "GHG") &gt; 0, "GHG target", IF(COUNTIFS(Targets!A:A, A425, Targets!H:H, "Transport sector mitigation target", Targets!J:J, "Non GHG") &gt; 0, "non-GHG target", ""))))</f>
        <v>No transport target</v>
      </c>
      <c r="M425" s="43" t="str">
        <f>IF(K425="no","No transport target",IF(L425="non-GHG target","No GHG transport target",IF(AND(COUNTIFS(Targets!A:A,A425,Targets!H:H,"Transport sector mitigation target",Targets!J:J,"GHG",Targets!L:L,"Conditional")&gt;0,COUNTIFS(Targets!A:A,A425,Targets!H:H,"Transport sector mitigation target",Targets!J:J,"GHG",Targets!L:L,"Unconditional")&gt;0),"GHG unconditional and conditional",IF(COUNTIFS(Targets!A:A,A425,Targets!H:H,"Transport sector mitigation target",Targets!J:J,"GHG",Targets!L:L,"Conditional")&gt;0,"GHG conditional only",IF(COUNTIFS(Targets!A:A,A425,Targets!H:H,"Transport sector mitigation target",Targets!J:J,"GHG",Targets!L:L,"Unconditional")&gt;0,"GHG unconditional only",IF(COUNTIFS(Targets!A:A,A425,Targets!H:H,"Transport sector mitigation target",Targets!J:J,"GHG",Targets!L:L,"Unclear conditionality")&gt;0,"Conditionality unclear",""))))))</f>
        <v>No transport target</v>
      </c>
      <c r="N425" s="43" t="str" cm="1">
        <f t="array" ref="N425">IF(ISNUMBER(MATCH("Transport sector adaptation target", _xlfn._xlws.FILTER(Targets!H:H, Targets!A:A =A425), 0)), "yes", "no")</f>
        <v>no</v>
      </c>
      <c r="O425" s="43" t="str">
        <f>IF(ISNA(MATCH(A425, Mitigation!A:A, 0)), "no", "yes")</f>
        <v>yes</v>
      </c>
      <c r="P425" s="43" t="str">
        <f>IF(ISNA(MATCH(A425, Adaptation!A:A, 0)), "no", "yes")</f>
        <v>no</v>
      </c>
      <c r="Q425" s="43" t="str">
        <f>IF(ISNA(MATCH(A425, Benefits!A:A, 0)), "no", "yes")</f>
        <v>no</v>
      </c>
      <c r="R425" s="43"/>
      <c r="S425" s="43"/>
      <c r="T425" s="43" t="s">
        <v>501</v>
      </c>
      <c r="U425" s="312" t="s">
        <v>655</v>
      </c>
      <c r="V425" s="233" t="str">
        <f>VLOOKUP(Table1[[#This Row],[Country Code]],Table29[],3,FALSE)</f>
        <v>Non-Annex I</v>
      </c>
      <c r="W425" s="233" t="str">
        <f>VLOOKUP(Table1[[#This Row],[Country Code]],Table29[],4,FALSE)</f>
        <v>Latin America and the Caribbean</v>
      </c>
      <c r="X425" s="233" t="str">
        <f>VLOOKUP(Table1[[#This Row],[Country Code]],Table29[],5,FALSE)</f>
        <v>Middle-income</v>
      </c>
      <c r="Y425" s="43"/>
      <c r="Z425" s="43"/>
    </row>
    <row r="426" spans="1:26" ht="15" customHeight="1" x14ac:dyDescent="0.25">
      <c r="A426" s="360">
        <v>26772</v>
      </c>
      <c r="B426" s="43" t="s">
        <v>111</v>
      </c>
      <c r="C426" s="243" t="str">
        <f>VLOOKUP(Table1[[#This Row],[Country Code]],Table29[],2,FALSE)</f>
        <v>Brazil</v>
      </c>
      <c r="D426" s="243" t="str">
        <f t="shared" si="14"/>
        <v>Good</v>
      </c>
      <c r="E426" s="176" t="s">
        <v>71</v>
      </c>
      <c r="F426" s="43" t="s">
        <v>878</v>
      </c>
      <c r="G426" s="43" t="str">
        <f t="shared" si="15"/>
        <v>First NDC updated</v>
      </c>
      <c r="H426" s="43" t="s">
        <v>743</v>
      </c>
      <c r="I426" s="355">
        <v>44658</v>
      </c>
      <c r="J426" s="320" t="s">
        <v>500</v>
      </c>
      <c r="K426" s="320" t="str" cm="1">
        <f t="array" ref="K426">IF(ISNUMBER(MATCH("Transport sector mitigation target", _xlfn._xlws.FILTER(Targets!H:H, Targets!A:A =A426), 0)), "yes", "no")</f>
        <v>no</v>
      </c>
      <c r="L426" s="43" t="str">
        <f>IF(K426="no", "No transport target", IF(AND(COUNTIFS(Targets!A:A, A426, Targets!H:H, "Transport sector mitigation target", Targets!J:J, "GHG") &gt; 0, COUNTIFS(Targets!A:A, A426, Targets!H:H, "Transport sector mitigation target", Targets!J:J, "Non GHG") &gt; 0), "GHG and non-GHG target", IF(COUNTIFS(Targets!A:A, A426, Targets!H:H, "Transport sector mitigation target", Targets!J:J, "GHG") &gt; 0, "GHG target", IF(COUNTIFS(Targets!A:A, A426, Targets!H:H, "Transport sector mitigation target", Targets!J:J, "Non GHG") &gt; 0, "non-GHG target", ""))))</f>
        <v>No transport target</v>
      </c>
      <c r="M426" s="43" t="str">
        <f>IF(K426="no","No transport target",IF(L426="non-GHG target","No GHG transport target",IF(AND(COUNTIFS(Targets!A:A,A426,Targets!H:H,"Transport sector mitigation target",Targets!J:J,"GHG",Targets!L:L,"Conditional")&gt;0,COUNTIFS(Targets!A:A,A426,Targets!H:H,"Transport sector mitigation target",Targets!J:J,"GHG",Targets!L:L,"Unconditional")&gt;0),"GHG unconditional and conditional",IF(COUNTIFS(Targets!A:A,A426,Targets!H:H,"Transport sector mitigation target",Targets!J:J,"GHG",Targets!L:L,"Conditional")&gt;0,"GHG conditional only",IF(COUNTIFS(Targets!A:A,A426,Targets!H:H,"Transport sector mitigation target",Targets!J:J,"GHG",Targets!L:L,"Unconditional")&gt;0,"GHG unconditional only",IF(COUNTIFS(Targets!A:A,A426,Targets!H:H,"Transport sector mitigation target",Targets!J:J,"GHG",Targets!L:L,"Unclear conditionality")&gt;0,"Conditionality unclear",""))))))</f>
        <v>No transport target</v>
      </c>
      <c r="N426" s="43" t="str" cm="1">
        <f t="array" ref="N426">IF(ISNUMBER(MATCH("Transport sector adaptation target", _xlfn._xlws.FILTER(Targets!H:H, Targets!A:A =A426), 0)), "yes", "no")</f>
        <v>no</v>
      </c>
      <c r="O426" s="43" t="str">
        <f>IF(ISNA(MATCH(A426, Mitigation!A:A, 0)), "no", "yes")</f>
        <v>no</v>
      </c>
      <c r="P426" s="43" t="str">
        <f>IF(ISNA(MATCH(A426, Adaptation!A:A, 0)), "no", "yes")</f>
        <v>yes</v>
      </c>
      <c r="Q426" s="43" t="str">
        <f>IF(ISNA(MATCH(A426, Benefits!A:A, 0)), "no", "yes")</f>
        <v>no</v>
      </c>
      <c r="R426" s="43"/>
      <c r="S426" s="43"/>
      <c r="T426" s="43" t="s">
        <v>501</v>
      </c>
      <c r="U426" s="312" t="s">
        <v>759</v>
      </c>
      <c r="V426" s="233" t="str">
        <f>VLOOKUP(Table1[[#This Row],[Country Code]],Table29[],3,FALSE)</f>
        <v>Non-Annex I</v>
      </c>
      <c r="W426" s="233" t="str">
        <f>VLOOKUP(Table1[[#This Row],[Country Code]],Table29[],4,FALSE)</f>
        <v>Latin America and the Caribbean</v>
      </c>
      <c r="X426" s="233" t="str">
        <f>VLOOKUP(Table1[[#This Row],[Country Code]],Table29[],5,FALSE)</f>
        <v>Middle-income</v>
      </c>
      <c r="Y426" s="43"/>
      <c r="Z426" s="43"/>
    </row>
    <row r="427" spans="1:26" ht="15" customHeight="1" x14ac:dyDescent="0.25">
      <c r="A427" s="360">
        <v>41743</v>
      </c>
      <c r="B427" s="42" t="s">
        <v>315</v>
      </c>
      <c r="C427" s="243" t="str">
        <f>VLOOKUP(Table1[[#This Row],[Country Code]],Table29[],2,FALSE)</f>
        <v>Namibia</v>
      </c>
      <c r="D427" s="243" t="str">
        <f t="shared" si="14"/>
        <v>Good</v>
      </c>
      <c r="E427" s="176" t="s">
        <v>71</v>
      </c>
      <c r="F427" s="42" t="s">
        <v>528</v>
      </c>
      <c r="G427" s="43" t="str">
        <f t="shared" si="15"/>
        <v>First NDC updated</v>
      </c>
      <c r="H427" s="42" t="s">
        <v>743</v>
      </c>
      <c r="I427" s="351">
        <v>45308</v>
      </c>
      <c r="J427" s="352" t="s">
        <v>505</v>
      </c>
      <c r="K427" s="320" t="str" cm="1">
        <f t="array" ref="K427">IF(ISNUMBER(MATCH("Transport sector mitigation target", _xlfn._xlws.FILTER(Targets!H:H, Targets!A:A =A427), 0)), "yes", "no")</f>
        <v>yes</v>
      </c>
      <c r="L427" s="42" t="str">
        <f>IF(K427="no", "No transport target", IF(AND(COUNTIFS(Targets!A:A, A427, Targets!H:H, "Transport sector mitigation target", Targets!J:J, "GHG") &gt; 0, COUNTIFS(Targets!A:A, A427, Targets!H:H, "Transport sector mitigation target", Targets!J:J, "Non GHG") &gt; 0), "GHG and non-GHG target", IF(COUNTIFS(Targets!A:A, A427, Targets!H:H, "Transport sector mitigation target", Targets!J:J, "GHG") &gt; 0, "GHG target", IF(COUNTIFS(Targets!A:A, A427, Targets!H:H, "Transport sector mitigation target", Targets!J:J, "Non GHG") &gt; 0, "non-GHG target", ""))))</f>
        <v>non-GHG target</v>
      </c>
      <c r="M427" s="42" t="str">
        <f>IF(K427="no","No transport target",IF(L427="non-GHG target","No GHG transport target",IF(AND(COUNTIFS(Targets!A:A,A427,Targets!H:H,"Transport sector mitigation target",Targets!J:J,"GHG",Targets!L:L,"Conditional")&gt;0,COUNTIFS(Targets!A:A,A427,Targets!H:H,"Transport sector mitigation target",Targets!J:J,"GHG",Targets!L:L,"Unconditional")&gt;0),"GHG unconditional and conditional",IF(COUNTIFS(Targets!A:A,A427,Targets!H:H,"Transport sector mitigation target",Targets!J:J,"GHG",Targets!L:L,"Conditional")&gt;0,"GHG conditional only",IF(COUNTIFS(Targets!A:A,A427,Targets!H:H,"Transport sector mitigation target",Targets!J:J,"GHG",Targets!L:L,"Unconditional")&gt;0,"GHG unconditional only",IF(COUNTIFS(Targets!A:A,A427,Targets!H:H,"Transport sector mitigation target",Targets!J:J,"GHG",Targets!L:L,"Unclear conditionality")&gt;0,"Conditionality unclear",""))))))</f>
        <v>No GHG transport target</v>
      </c>
      <c r="N427" s="42" t="str" cm="1">
        <f t="array" ref="N427">IF(ISNUMBER(MATCH("Transport sector adaptation target", _xlfn._xlws.FILTER(Targets!H:H, Targets!A:A =A427), 0)), "yes", "no")</f>
        <v>no</v>
      </c>
      <c r="O427" s="42" t="str">
        <f>IF(ISNA(MATCH(A427, Mitigation!A:A, 0)), "no", "yes")</f>
        <v>yes</v>
      </c>
      <c r="P427" s="42" t="str">
        <f>IF(ISNA(MATCH(A427, Adaptation!A:A, 0)), "no", "yes")</f>
        <v>yes</v>
      </c>
      <c r="Q427" s="42" t="str">
        <f>IF(ISNA(MATCH(A427, Benefits!A:A, 0)), "no", "yes")</f>
        <v>no</v>
      </c>
      <c r="R427" s="43"/>
      <c r="S427" s="43"/>
      <c r="T427" s="43" t="s">
        <v>501</v>
      </c>
      <c r="U427" s="354" t="s">
        <v>939</v>
      </c>
      <c r="V427" s="233" t="str">
        <f>VLOOKUP(Table1[[#This Row],[Country Code]],Table29[],3,FALSE)</f>
        <v>Non-Annex I</v>
      </c>
      <c r="W427" s="233" t="str">
        <f>VLOOKUP(Table1[[#This Row],[Country Code]],Table29[],4,FALSE)</f>
        <v>Africa</v>
      </c>
      <c r="X427" s="233" t="str">
        <f>VLOOKUP(Table1[[#This Row],[Country Code]],Table29[],5,FALSE)</f>
        <v>Middle-income</v>
      </c>
      <c r="Y427" s="43"/>
      <c r="Z427" s="43"/>
    </row>
    <row r="428" spans="1:26" ht="15" customHeight="1" x14ac:dyDescent="0.25">
      <c r="A428" s="360">
        <v>17675</v>
      </c>
      <c r="B428" s="43" t="s">
        <v>319</v>
      </c>
      <c r="C428" s="243" t="str">
        <f>VLOOKUP(Table1[[#This Row],[Country Code]],Table29[],2,FALSE)</f>
        <v>Nepal</v>
      </c>
      <c r="D428" s="243" t="str">
        <f t="shared" si="14"/>
        <v>Good</v>
      </c>
      <c r="E428" s="176" t="s">
        <v>71</v>
      </c>
      <c r="F428" s="43" t="s">
        <v>555</v>
      </c>
      <c r="G428" s="43" t="str">
        <f t="shared" si="15"/>
        <v>Second NDC</v>
      </c>
      <c r="H428" s="43" t="s">
        <v>714</v>
      </c>
      <c r="I428" s="351">
        <v>44055</v>
      </c>
      <c r="J428" s="352" t="s">
        <v>505</v>
      </c>
      <c r="K428" s="320" t="str" cm="1">
        <f t="array" ref="K428">IF(ISNUMBER(MATCH("Transport sector mitigation target", _xlfn._xlws.FILTER(Targets!H:H, Targets!A:A =A428), 0)), "yes", "no")</f>
        <v>yes</v>
      </c>
      <c r="L428" s="43" t="str">
        <f>IF(K428="no", "No transport target", IF(AND(COUNTIFS(Targets!A:A, A428, Targets!H:H, "Transport sector mitigation target", Targets!J:J, "GHG") &gt; 0, COUNTIFS(Targets!A:A, A428, Targets!H:H, "Transport sector mitigation target", Targets!J:J, "Non GHG") &gt; 0), "GHG and non-GHG target", IF(COUNTIFS(Targets!A:A, A428, Targets!H:H, "Transport sector mitigation target", Targets!J:J, "GHG") &gt; 0, "GHG target", IF(COUNTIFS(Targets!A:A, A428, Targets!H:H, "Transport sector mitigation target", Targets!J:J, "Non GHG") &gt; 0, "non-GHG target", ""))))</f>
        <v>non-GHG target</v>
      </c>
      <c r="M428" s="43" t="str">
        <f>IF(K428="no","No transport target",IF(L428="non-GHG target","No GHG transport target",IF(AND(COUNTIFS(Targets!A:A,A428,Targets!H:H,"Transport sector mitigation target",Targets!J:J,"GHG",Targets!L:L,"Conditional")&gt;0,COUNTIFS(Targets!A:A,A428,Targets!H:H,"Transport sector mitigation target",Targets!J:J,"GHG",Targets!L:L,"Unconditional")&gt;0),"GHG unconditional and conditional",IF(COUNTIFS(Targets!A:A,A428,Targets!H:H,"Transport sector mitigation target",Targets!J:J,"GHG",Targets!L:L,"Conditional")&gt;0,"GHG conditional only",IF(COUNTIFS(Targets!A:A,A428,Targets!H:H,"Transport sector mitigation target",Targets!J:J,"GHG",Targets!L:L,"Unconditional")&gt;0,"GHG unconditional only",IF(COUNTIFS(Targets!A:A,A428,Targets!H:H,"Transport sector mitigation target",Targets!J:J,"GHG",Targets!L:L,"Unclear conditionality")&gt;0,"Conditionality unclear",""))))))</f>
        <v>No GHG transport target</v>
      </c>
      <c r="N428" s="43" t="str" cm="1">
        <f t="array" ref="N428">IF(ISNUMBER(MATCH("Transport sector adaptation target", _xlfn._xlws.FILTER(Targets!H:H, Targets!A:A =A428), 0)), "yes", "no")</f>
        <v>no</v>
      </c>
      <c r="O428" s="43" t="str">
        <f>IF(ISNA(MATCH(A428, Mitigation!A:A, 0)), "no", "yes")</f>
        <v>yes</v>
      </c>
      <c r="P428" s="43" t="str">
        <f>IF(ISNA(MATCH(A428, Adaptation!A:A, 0)), "no", "yes")</f>
        <v>no</v>
      </c>
      <c r="Q428" s="43" t="str">
        <f>IF(ISNA(MATCH(A428, Benefits!A:A, 0)), "no", "yes")</f>
        <v>no</v>
      </c>
      <c r="R428" s="43"/>
      <c r="S428" s="43"/>
      <c r="T428" s="43" t="s">
        <v>501</v>
      </c>
      <c r="U428" s="312" t="s">
        <v>940</v>
      </c>
      <c r="V428" s="233" t="str">
        <f>VLOOKUP(Table1[[#This Row],[Country Code]],Table29[],3,FALSE)</f>
        <v>Non-Annex I</v>
      </c>
      <c r="W428" s="233" t="str">
        <f>VLOOKUP(Table1[[#This Row],[Country Code]],Table29[],4,FALSE)</f>
        <v>Asia</v>
      </c>
      <c r="X428" s="233" t="str">
        <f>VLOOKUP(Table1[[#This Row],[Country Code]],Table29[],5,FALSE)</f>
        <v>Middle-income</v>
      </c>
      <c r="Y428" s="43"/>
      <c r="Z428" s="43"/>
    </row>
    <row r="429" spans="1:26" ht="15" customHeight="1" x14ac:dyDescent="0.25">
      <c r="A429" s="360">
        <v>26785</v>
      </c>
      <c r="B429" s="42" t="s">
        <v>319</v>
      </c>
      <c r="C429" s="243" t="str">
        <f>VLOOKUP(Table1[[#This Row],[Country Code]],Table29[],2,FALSE)</f>
        <v>Nepal</v>
      </c>
      <c r="D429" s="243" t="str">
        <f t="shared" si="14"/>
        <v>Good</v>
      </c>
      <c r="E429" s="176" t="s">
        <v>227</v>
      </c>
      <c r="F429" s="43" t="s">
        <v>227</v>
      </c>
      <c r="G429" s="43" t="str">
        <f t="shared" si="15"/>
        <v>LTS</v>
      </c>
      <c r="H429" s="43" t="s">
        <v>636</v>
      </c>
      <c r="I429" s="351">
        <v>44500</v>
      </c>
      <c r="J429" s="352" t="s">
        <v>505</v>
      </c>
      <c r="K429" s="320" t="str" cm="1">
        <f t="array" ref="K429">IF(ISNUMBER(MATCH("Transport sector mitigation target", _xlfn._xlws.FILTER(Targets!H:H, Targets!A:A =A429), 0)), "yes", "no")</f>
        <v>yes</v>
      </c>
      <c r="L429" s="43" t="str">
        <f>IF(K429="no", "No transport target", IF(AND(COUNTIFS(Targets!A:A, A429, Targets!H:H, "Transport sector mitigation target", Targets!J:J, "GHG") &gt; 0, COUNTIFS(Targets!A:A, A429, Targets!H:H, "Transport sector mitigation target", Targets!J:J, "Non GHG") &gt; 0), "GHG and non-GHG target", IF(COUNTIFS(Targets!A:A, A429, Targets!H:H, "Transport sector mitigation target", Targets!J:J, "GHG") &gt; 0, "GHG target", IF(COUNTIFS(Targets!A:A, A429, Targets!H:H, "Transport sector mitigation target", Targets!J:J, "Non GHG") &gt; 0, "non-GHG target", ""))))</f>
        <v>non-GHG target</v>
      </c>
      <c r="M429" s="43" t="str">
        <f>IF(K429="no","No transport target",IF(L429="non-GHG target","No GHG transport target",IF(AND(COUNTIFS(Targets!A:A,A429,Targets!H:H,"Transport sector mitigation target",Targets!J:J,"GHG",Targets!L:L,"Conditional")&gt;0,COUNTIFS(Targets!A:A,A429,Targets!H:H,"Transport sector mitigation target",Targets!J:J,"GHG",Targets!L:L,"Unconditional")&gt;0),"GHG unconditional and conditional",IF(COUNTIFS(Targets!A:A,A429,Targets!H:H,"Transport sector mitigation target",Targets!J:J,"GHG",Targets!L:L,"Conditional")&gt;0,"GHG conditional only",IF(COUNTIFS(Targets!A:A,A429,Targets!H:H,"Transport sector mitigation target",Targets!J:J,"GHG",Targets!L:L,"Unconditional")&gt;0,"GHG unconditional only",IF(COUNTIFS(Targets!A:A,A429,Targets!H:H,"Transport sector mitigation target",Targets!J:J,"GHG",Targets!L:L,"Unclear conditionality")&gt;0,"Conditionality unclear",""))))))</f>
        <v>No GHG transport target</v>
      </c>
      <c r="N429" s="43" t="str" cm="1">
        <f t="array" ref="N429">IF(ISNUMBER(MATCH("Transport sector adaptation target", _xlfn._xlws.FILTER(Targets!H:H, Targets!A:A =A429), 0)), "yes", "no")</f>
        <v>no</v>
      </c>
      <c r="O429" s="43" t="str">
        <f>IF(ISNA(MATCH(A429, Mitigation!A:A, 0)), "no", "yes")</f>
        <v>yes</v>
      </c>
      <c r="P429" s="43" t="str">
        <f>IF(ISNA(MATCH(A429, Adaptation!A:A, 0)), "no", "yes")</f>
        <v>no</v>
      </c>
      <c r="Q429" s="43" t="str">
        <f>IF(ISNA(MATCH(A429, Benefits!A:A, 0)), "no", "yes")</f>
        <v>no</v>
      </c>
      <c r="R429" s="43"/>
      <c r="S429" s="43"/>
      <c r="T429" s="43" t="s">
        <v>501</v>
      </c>
      <c r="U429" s="312" t="s">
        <v>941</v>
      </c>
      <c r="V429" s="233" t="str">
        <f>VLOOKUP(Table1[[#This Row],[Country Code]],Table29[],3,FALSE)</f>
        <v>Non-Annex I</v>
      </c>
      <c r="W429" s="233" t="str">
        <f>VLOOKUP(Table1[[#This Row],[Country Code]],Table29[],4,FALSE)</f>
        <v>Asia</v>
      </c>
      <c r="X429" s="233" t="str">
        <f>VLOOKUP(Table1[[#This Row],[Country Code]],Table29[],5,FALSE)</f>
        <v>Middle-income</v>
      </c>
      <c r="Y429" s="43"/>
      <c r="Z429" s="43"/>
    </row>
    <row r="430" spans="1:26" ht="15" customHeight="1" x14ac:dyDescent="0.25">
      <c r="A430" s="360">
        <v>42013</v>
      </c>
      <c r="B430" s="43" t="s">
        <v>404</v>
      </c>
      <c r="C430" s="243" t="s">
        <v>405</v>
      </c>
      <c r="D430" s="243" t="str">
        <f t="shared" si="14"/>
        <v>Good</v>
      </c>
      <c r="E430" s="20" t="s">
        <v>748</v>
      </c>
      <c r="F430" s="17" t="s">
        <v>748</v>
      </c>
      <c r="G430" s="43" t="str">
        <f t="shared" si="15"/>
        <v>National policy document</v>
      </c>
      <c r="H430" s="148" t="s">
        <v>52</v>
      </c>
      <c r="I430" s="163">
        <v>44708</v>
      </c>
      <c r="J430" s="187" t="s">
        <v>505</v>
      </c>
      <c r="K430" s="49" t="str" cm="1">
        <f t="array" ref="K430">IF(ISNUMBER(MATCH("Transport sector mitigation target", _xlfn._xlws.FILTER(Targets!H:H, Targets!A:A =A430), 0)), "yes", "no")</f>
        <v>no</v>
      </c>
      <c r="L430" s="17" t="str">
        <f>IF(K430="no", "No transport target", IF(AND(COUNTIFS(Targets!A:A, A430, Targets!H:H, "Transport sector mitigation target", Targets!J:J, "GHG") &gt; 0, COUNTIFS(Targets!A:A, A430, Targets!H:H, "Transport sector mitigation target", Targets!J:J, "Non GHG") &gt; 0), "GHG and non-GHG target", IF(COUNTIFS(Targets!A:A, A430, Targets!H:H, "Transport sector mitigation target", Targets!J:J, "GHG") &gt; 0, "GHG target", IF(COUNTIFS(Targets!A:A, A430, Targets!H:H, "Transport sector mitigation target", Targets!J:J, "Non GHG") &gt; 0, "non-GHG target", ""))))</f>
        <v>No transport target</v>
      </c>
      <c r="M430" s="17" t="str">
        <f>IF(K430="no","No transport target",IF(L430="non-GHG target","No GHG transport target",IF(AND(COUNTIFS(Targets!A:A,A430,Targets!H:H,"Transport sector mitigation target",Targets!J:J,"GHG",Targets!L:L,"Conditional")&gt;0,COUNTIFS(Targets!A:A,A430,Targets!H:H,"Transport sector mitigation target",Targets!J:J,"GHG",Targets!L:L,"Unconditional")&gt;0),"GHG unconditional and conditional",IF(COUNTIFS(Targets!A:A,A430,Targets!H:H,"Transport sector mitigation target",Targets!J:J,"GHG",Targets!L:L,"Conditional")&gt;0,"GHG conditional only",IF(COUNTIFS(Targets!A:A,A430,Targets!H:H,"Transport sector mitigation target",Targets!J:J,"GHG",Targets!L:L,"Unconditional")&gt;0,"GHG unconditional only",IF(COUNTIFS(Targets!A:A,A430,Targets!H:H,"Transport sector mitigation target",Targets!J:J,"GHG",Targets!L:L,"Unclear conditionality")&gt;0,"Conditionality unclear",""))))))</f>
        <v>No transport target</v>
      </c>
      <c r="N430" s="17" t="str" cm="1">
        <f t="array" ref="N430">IF(ISNUMBER(MATCH("Transport sector adaptation target", _xlfn._xlws.FILTER(Targets!H:H, Targets!A:A =A430), 0)), "yes", "no")</f>
        <v>no</v>
      </c>
      <c r="O430" s="17" t="str">
        <f>IF(ISNA(MATCH(A430, Mitigation!A:A, 0)), "no", "yes")</f>
        <v>no</v>
      </c>
      <c r="P430" s="17" t="str">
        <f>IF(ISNA(MATCH(A430, Adaptation!A:A, 0)), "no", "yes")</f>
        <v>no</v>
      </c>
      <c r="Q430" s="17" t="str">
        <f>IF(ISNA(MATCH(A430, Benefits!A:A, 0)), "no", "yes")</f>
        <v>no</v>
      </c>
      <c r="R430" s="148"/>
      <c r="S430" s="148"/>
      <c r="T430" s="17" t="s">
        <v>501</v>
      </c>
      <c r="U430" s="169" t="s">
        <v>942</v>
      </c>
      <c r="V430" s="207" t="str">
        <f>VLOOKUP(Table1[[#This Row],[Country Code]],Table29[],3,FALSE)</f>
        <v>Non-Annex I</v>
      </c>
      <c r="W430" s="207" t="str">
        <f>VLOOKUP(Table1[[#This Row],[Country Code]],Table29[],4,FALSE)</f>
        <v>Africa</v>
      </c>
      <c r="X430" s="207" t="str">
        <f>VLOOKUP(Table1[[#This Row],[Country Code]],Table29[],5,FALSE)</f>
        <v>Middle-income</v>
      </c>
      <c r="Y430" s="43" t="s">
        <v>750</v>
      </c>
      <c r="Z430" s="17"/>
    </row>
    <row r="431" spans="1:26" ht="15" customHeight="1" x14ac:dyDescent="0.25">
      <c r="A431" s="360">
        <v>26786</v>
      </c>
      <c r="B431" s="42" t="s">
        <v>323</v>
      </c>
      <c r="C431" s="243" t="str">
        <f>VLOOKUP(Table1[[#This Row],[Country Code]],Table29[],2,FALSE)</f>
        <v>New Zealand</v>
      </c>
      <c r="D431" s="243" t="str">
        <f t="shared" si="14"/>
        <v>Good</v>
      </c>
      <c r="E431" s="176" t="s">
        <v>227</v>
      </c>
      <c r="F431" s="43" t="s">
        <v>227</v>
      </c>
      <c r="G431" s="43" t="str">
        <f t="shared" si="15"/>
        <v>LTS</v>
      </c>
      <c r="H431" s="43" t="s">
        <v>636</v>
      </c>
      <c r="I431" s="351">
        <v>44504</v>
      </c>
      <c r="J431" s="352" t="s">
        <v>505</v>
      </c>
      <c r="K431" s="320" t="str" cm="1">
        <f t="array" ref="K431">IF(ISNUMBER(MATCH("Transport sector mitigation target", _xlfn._xlws.FILTER(Targets!H:H, Targets!A:A =A431), 0)), "yes", "no")</f>
        <v>yes</v>
      </c>
      <c r="L431" s="43" t="str">
        <f>IF(K431="no", "No transport target", IF(AND(COUNTIFS(Targets!A:A, A431, Targets!H:H, "Transport sector mitigation target", Targets!J:J, "GHG") &gt; 0, COUNTIFS(Targets!A:A, A431, Targets!H:H, "Transport sector mitigation target", Targets!J:J, "Non GHG") &gt; 0), "GHG and non-GHG target", IF(COUNTIFS(Targets!A:A, A431, Targets!H:H, "Transport sector mitigation target", Targets!J:J, "GHG") &gt; 0, "GHG target", IF(COUNTIFS(Targets!A:A, A431, Targets!H:H, "Transport sector mitigation target", Targets!J:J, "Non GHG") &gt; 0, "non-GHG target", ""))))</f>
        <v>GHG target</v>
      </c>
      <c r="M431" s="43" t="str">
        <f>IF(K431="no","No transport target",IF(L431="non-GHG target","No GHG transport target",IF(AND(COUNTIFS(Targets!A:A,A431,Targets!H:H,"Transport sector mitigation target",Targets!J:J,"GHG",Targets!L:L,"Conditional")&gt;0,COUNTIFS(Targets!A:A,A431,Targets!H:H,"Transport sector mitigation target",Targets!J:J,"GHG",Targets!L:L,"Unconditional")&gt;0),"GHG unconditional and conditional",IF(COUNTIFS(Targets!A:A,A431,Targets!H:H,"Transport sector mitigation target",Targets!J:J,"GHG",Targets!L:L,"Conditional")&gt;0,"GHG conditional only",IF(COUNTIFS(Targets!A:A,A431,Targets!H:H,"Transport sector mitigation target",Targets!J:J,"GHG",Targets!L:L,"Unconditional")&gt;0,"GHG unconditional only",IF(COUNTIFS(Targets!A:A,A431,Targets!H:H,"Transport sector mitigation target",Targets!J:J,"GHG",Targets!L:L,"Unclear conditionality")&gt;0,"Conditionality unclear",""))))))</f>
        <v>GHG unconditional only</v>
      </c>
      <c r="N431" s="43" t="str" cm="1">
        <f t="array" ref="N431">IF(ISNUMBER(MATCH("Transport sector adaptation target", _xlfn._xlws.FILTER(Targets!H:H, Targets!A:A =A431), 0)), "yes", "no")</f>
        <v>no</v>
      </c>
      <c r="O431" s="43" t="str">
        <f>IF(ISNA(MATCH(A431, Mitigation!A:A, 0)), "no", "yes")</f>
        <v>yes</v>
      </c>
      <c r="P431" s="43" t="str">
        <f>IF(ISNA(MATCH(A431, Adaptation!A:A, 0)), "no", "yes")</f>
        <v>no</v>
      </c>
      <c r="Q431" s="43" t="str">
        <f>IF(ISNA(MATCH(A431, Benefits!A:A, 0)), "no", "yes")</f>
        <v>no</v>
      </c>
      <c r="R431" s="43"/>
      <c r="S431" s="43"/>
      <c r="T431" s="43" t="s">
        <v>501</v>
      </c>
      <c r="U431" s="312" t="s">
        <v>943</v>
      </c>
      <c r="V431" s="233" t="str">
        <f>VLOOKUP(Table1[[#This Row],[Country Code]],Table29[],3,FALSE)</f>
        <v>Annex I</v>
      </c>
      <c r="W431" s="233" t="str">
        <f>VLOOKUP(Table1[[#This Row],[Country Code]],Table29[],4,FALSE)</f>
        <v>Oceania</v>
      </c>
      <c r="X431" s="233" t="str">
        <f>VLOOKUP(Table1[[#This Row],[Country Code]],Table29[],5,FALSE)</f>
        <v>High-income</v>
      </c>
      <c r="Y431" s="43"/>
      <c r="Z431" s="43"/>
    </row>
    <row r="432" spans="1:26" ht="15" customHeight="1" x14ac:dyDescent="0.25">
      <c r="A432" s="360">
        <v>29228</v>
      </c>
      <c r="B432" s="42" t="s">
        <v>76</v>
      </c>
      <c r="C432" s="243" t="str">
        <f>VLOOKUP(Table1[[#This Row],[Country Code]],Table29[],2,FALSE)</f>
        <v>Australia</v>
      </c>
      <c r="D432" s="243" t="str">
        <f t="shared" si="14"/>
        <v>Good</v>
      </c>
      <c r="E432" s="176" t="s">
        <v>71</v>
      </c>
      <c r="F432" s="43" t="s">
        <v>528</v>
      </c>
      <c r="G432" s="43" t="str">
        <f t="shared" si="15"/>
        <v>First NDC updated</v>
      </c>
      <c r="H432" s="43" t="s">
        <v>889</v>
      </c>
      <c r="I432" s="355">
        <v>44728</v>
      </c>
      <c r="J432" s="352" t="s">
        <v>505</v>
      </c>
      <c r="K432" s="320" t="str" cm="1">
        <f t="array" ref="K432">IF(ISNUMBER(MATCH("Transport sector mitigation target", _xlfn._xlws.FILTER(Targets!H:H, Targets!A:A =A432), 0)), "yes", "no")</f>
        <v>no</v>
      </c>
      <c r="L432" s="43" t="str">
        <f>IF(K432="no", "No transport target", IF(AND(COUNTIFS(Targets!A:A, A432, Targets!H:H, "Transport sector mitigation target", Targets!J:J, "GHG") &gt; 0, COUNTIFS(Targets!A:A, A432, Targets!H:H, "Transport sector mitigation target", Targets!J:J, "Non GHG") &gt; 0), "GHG and non-GHG target", IF(COUNTIFS(Targets!A:A, A432, Targets!H:H, "Transport sector mitigation target", Targets!J:J, "GHG") &gt; 0, "GHG target", IF(COUNTIFS(Targets!A:A, A432, Targets!H:H, "Transport sector mitigation target", Targets!J:J, "Non GHG") &gt; 0, "non-GHG target", ""))))</f>
        <v>No transport target</v>
      </c>
      <c r="M432" s="43" t="str">
        <f>IF(K432="no","No transport target",IF(L432="non-GHG target","No GHG transport target",IF(AND(COUNTIFS(Targets!A:A,A432,Targets!H:H,"Transport sector mitigation target",Targets!J:J,"GHG",Targets!L:L,"Conditional")&gt;0,COUNTIFS(Targets!A:A,A432,Targets!H:H,"Transport sector mitigation target",Targets!J:J,"GHG",Targets!L:L,"Unconditional")&gt;0),"GHG unconditional and conditional",IF(COUNTIFS(Targets!A:A,A432,Targets!H:H,"Transport sector mitigation target",Targets!J:J,"GHG",Targets!L:L,"Conditional")&gt;0,"GHG conditional only",IF(COUNTIFS(Targets!A:A,A432,Targets!H:H,"Transport sector mitigation target",Targets!J:J,"GHG",Targets!L:L,"Unconditional")&gt;0,"GHG unconditional only",IF(COUNTIFS(Targets!A:A,A432,Targets!H:H,"Transport sector mitigation target",Targets!J:J,"GHG",Targets!L:L,"Unclear conditionality")&gt;0,"Conditionality unclear",""))))))</f>
        <v>No transport target</v>
      </c>
      <c r="N432" s="43" t="str" cm="1">
        <f t="array" ref="N432">IF(ISNUMBER(MATCH("Transport sector adaptation target", _xlfn._xlws.FILTER(Targets!H:H, Targets!A:A =A432), 0)), "yes", "no")</f>
        <v>no</v>
      </c>
      <c r="O432" s="43" t="str">
        <f>IF(ISNA(MATCH(A432, Mitigation!A:A, 0)), "no", "yes")</f>
        <v>yes</v>
      </c>
      <c r="P432" s="43" t="str">
        <f>IF(ISNA(MATCH(A432, Adaptation!A:A, 0)), "no", "yes")</f>
        <v>no</v>
      </c>
      <c r="Q432" s="43" t="str">
        <f>IF(ISNA(MATCH(A432, Benefits!A:A, 0)), "no", "yes")</f>
        <v>no</v>
      </c>
      <c r="R432" s="43"/>
      <c r="S432" s="43"/>
      <c r="T432" s="43" t="s">
        <v>501</v>
      </c>
      <c r="U432" s="312" t="s">
        <v>944</v>
      </c>
      <c r="V432" s="233" t="str">
        <f>VLOOKUP(Table1[[#This Row],[Country Code]],Table29[],3,FALSE)</f>
        <v>Annex I</v>
      </c>
      <c r="W432" s="233" t="str">
        <f>VLOOKUP(Table1[[#This Row],[Country Code]],Table29[],4,FALSE)</f>
        <v>Oceania</v>
      </c>
      <c r="X432" s="233" t="str">
        <f>VLOOKUP(Table1[[#This Row],[Country Code]],Table29[],5,FALSE)</f>
        <v>High-income</v>
      </c>
      <c r="Y432" s="43"/>
      <c r="Z432" s="43"/>
    </row>
    <row r="433" spans="1:26" ht="15" customHeight="1" x14ac:dyDescent="0.25">
      <c r="A433" s="360">
        <v>24790</v>
      </c>
      <c r="B433" s="42" t="s">
        <v>327</v>
      </c>
      <c r="C433" s="243" t="str">
        <f>VLOOKUP(Table1[[#This Row],[Country Code]],Table29[],2,FALSE)</f>
        <v>Niger</v>
      </c>
      <c r="D433" s="243" t="str">
        <f t="shared" si="14"/>
        <v>Good</v>
      </c>
      <c r="E433" s="176" t="s">
        <v>71</v>
      </c>
      <c r="F433" s="43" t="s">
        <v>528</v>
      </c>
      <c r="G433" s="43" t="str">
        <f t="shared" si="15"/>
        <v>First NDC updated</v>
      </c>
      <c r="H433" s="43" t="s">
        <v>691</v>
      </c>
      <c r="I433" s="351">
        <v>44543</v>
      </c>
      <c r="J433" s="352" t="s">
        <v>505</v>
      </c>
      <c r="K433" s="320" t="str" cm="1">
        <f t="array" ref="K433">IF(ISNUMBER(MATCH("Transport sector mitigation target", _xlfn._xlws.FILTER(Targets!H:H, Targets!A:A =A433), 0)), "yes", "no")</f>
        <v>yes</v>
      </c>
      <c r="L433" s="43" t="str">
        <f>IF(K433="no", "No transport target", IF(AND(COUNTIFS(Targets!A:A, A433, Targets!H:H, "Transport sector mitigation target", Targets!J:J, "GHG") &gt; 0, COUNTIFS(Targets!A:A, A433, Targets!H:H, "Transport sector mitigation target", Targets!J:J, "Non GHG") &gt; 0), "GHG and non-GHG target", IF(COUNTIFS(Targets!A:A, A433, Targets!H:H, "Transport sector mitigation target", Targets!J:J, "GHG") &gt; 0, "GHG target", IF(COUNTIFS(Targets!A:A, A433, Targets!H:H, "Transport sector mitigation target", Targets!J:J, "Non GHG") &gt; 0, "non-GHG target", ""))))</f>
        <v>non-GHG target</v>
      </c>
      <c r="M433" s="43" t="str">
        <f>IF(K433="no","No transport target",IF(L433="non-GHG target","No GHG transport target",IF(AND(COUNTIFS(Targets!A:A,A433,Targets!H:H,"Transport sector mitigation target",Targets!J:J,"GHG",Targets!L:L,"Conditional")&gt;0,COUNTIFS(Targets!A:A,A433,Targets!H:H,"Transport sector mitigation target",Targets!J:J,"GHG",Targets!L:L,"Unconditional")&gt;0),"GHG unconditional and conditional",IF(COUNTIFS(Targets!A:A,A433,Targets!H:H,"Transport sector mitigation target",Targets!J:J,"GHG",Targets!L:L,"Conditional")&gt;0,"GHG conditional only",IF(COUNTIFS(Targets!A:A,A433,Targets!H:H,"Transport sector mitigation target",Targets!J:J,"GHG",Targets!L:L,"Unconditional")&gt;0,"GHG unconditional only",IF(COUNTIFS(Targets!A:A,A433,Targets!H:H,"Transport sector mitigation target",Targets!J:J,"GHG",Targets!L:L,"Unclear conditionality")&gt;0,"Conditionality unclear",""))))))</f>
        <v>No GHG transport target</v>
      </c>
      <c r="N433" s="43" t="str" cm="1">
        <f t="array" ref="N433">IF(ISNUMBER(MATCH("Transport sector adaptation target", _xlfn._xlws.FILTER(Targets!H:H, Targets!A:A =A433), 0)), "yes", "no")</f>
        <v>no</v>
      </c>
      <c r="O433" s="43" t="str">
        <f>IF(ISNA(MATCH(A433, Mitigation!A:A, 0)), "no", "yes")</f>
        <v>yes</v>
      </c>
      <c r="P433" s="43" t="str">
        <f>IF(ISNA(MATCH(A433, Adaptation!A:A, 0)), "no", "yes")</f>
        <v>no</v>
      </c>
      <c r="Q433" s="43" t="str">
        <f>IF(ISNA(MATCH(A433, Benefits!A:A, 0)), "no", "yes")</f>
        <v>no</v>
      </c>
      <c r="R433" s="43"/>
      <c r="S433" s="43"/>
      <c r="T433" s="43" t="s">
        <v>501</v>
      </c>
      <c r="U433" s="312" t="s">
        <v>945</v>
      </c>
      <c r="V433" s="233" t="str">
        <f>VLOOKUP(Table1[[#This Row],[Country Code]],Table29[],3,FALSE)</f>
        <v>Non-Annex I</v>
      </c>
      <c r="W433" s="233" t="str">
        <f>VLOOKUP(Table1[[#This Row],[Country Code]],Table29[],4,FALSE)</f>
        <v>Africa</v>
      </c>
      <c r="X433" s="233" t="str">
        <f>VLOOKUP(Table1[[#This Row],[Country Code]],Table29[],5,FALSE)</f>
        <v>Low-income</v>
      </c>
      <c r="Y433" s="43"/>
      <c r="Z433" s="43"/>
    </row>
    <row r="434" spans="1:26" ht="15" customHeight="1" x14ac:dyDescent="0.25">
      <c r="A434" s="360">
        <v>29229</v>
      </c>
      <c r="B434" s="42" t="s">
        <v>197</v>
      </c>
      <c r="C434" s="243" t="str">
        <f>VLOOKUP(Table1[[#This Row],[Country Code]],Table29[],2,FALSE)</f>
        <v>Gabon</v>
      </c>
      <c r="D434" s="243" t="str">
        <f t="shared" si="14"/>
        <v>Good</v>
      </c>
      <c r="E434" s="176" t="s">
        <v>71</v>
      </c>
      <c r="F434" s="43" t="s">
        <v>528</v>
      </c>
      <c r="G434" s="43" t="str">
        <f t="shared" si="15"/>
        <v>First NDC updated</v>
      </c>
      <c r="H434" s="43" t="s">
        <v>691</v>
      </c>
      <c r="I434" s="355">
        <v>44748</v>
      </c>
      <c r="J434" s="352" t="s">
        <v>505</v>
      </c>
      <c r="K434" s="320" t="str" cm="1">
        <f t="array" ref="K434">IF(ISNUMBER(MATCH("Transport sector mitigation target", _xlfn._xlws.FILTER(Targets!H:H, Targets!A:A =A434), 0)), "yes", "no")</f>
        <v>no</v>
      </c>
      <c r="L434" s="43" t="str">
        <f>IF(K434="no", "No transport target", IF(AND(COUNTIFS(Targets!A:A, A434, Targets!H:H, "Transport sector mitigation target", Targets!J:J, "GHG") &gt; 0, COUNTIFS(Targets!A:A, A434, Targets!H:H, "Transport sector mitigation target", Targets!J:J, "Non GHG") &gt; 0), "GHG and non-GHG target", IF(COUNTIFS(Targets!A:A, A434, Targets!H:H, "Transport sector mitigation target", Targets!J:J, "GHG") &gt; 0, "GHG target", IF(COUNTIFS(Targets!A:A, A434, Targets!H:H, "Transport sector mitigation target", Targets!J:J, "Non GHG") &gt; 0, "non-GHG target", ""))))</f>
        <v>No transport target</v>
      </c>
      <c r="M434" s="43" t="str">
        <f>IF(K434="no","No transport target",IF(L434="non-GHG target","No GHG transport target",IF(AND(COUNTIFS(Targets!A:A,A434,Targets!H:H,"Transport sector mitigation target",Targets!J:J,"GHG",Targets!L:L,"Conditional")&gt;0,COUNTIFS(Targets!A:A,A434,Targets!H:H,"Transport sector mitigation target",Targets!J:J,"GHG",Targets!L:L,"Unconditional")&gt;0),"GHG unconditional and conditional",IF(COUNTIFS(Targets!A:A,A434,Targets!H:H,"Transport sector mitigation target",Targets!J:J,"GHG",Targets!L:L,"Conditional")&gt;0,"GHG conditional only",IF(COUNTIFS(Targets!A:A,A434,Targets!H:H,"Transport sector mitigation target",Targets!J:J,"GHG",Targets!L:L,"Unconditional")&gt;0,"GHG unconditional only",IF(COUNTIFS(Targets!A:A,A434,Targets!H:H,"Transport sector mitigation target",Targets!J:J,"GHG",Targets!L:L,"Unclear conditionality")&gt;0,"Conditionality unclear",""))))))</f>
        <v>No transport target</v>
      </c>
      <c r="N434" s="43" t="str" cm="1">
        <f t="array" ref="N434">IF(ISNUMBER(MATCH("Transport sector adaptation target", _xlfn._xlws.FILTER(Targets!H:H, Targets!A:A =A434), 0)), "yes", "no")</f>
        <v>no</v>
      </c>
      <c r="O434" s="43" t="str">
        <f>IF(ISNA(MATCH(A434, Mitigation!A:A, 0)), "no", "yes")</f>
        <v>yes</v>
      </c>
      <c r="P434" s="43" t="str">
        <f>IF(ISNA(MATCH(A434, Adaptation!A:A, 0)), "no", "yes")</f>
        <v>no</v>
      </c>
      <c r="Q434" s="43" t="str">
        <f>IF(ISNA(MATCH(A434, Benefits!A:A, 0)), "no", "yes")</f>
        <v>no</v>
      </c>
      <c r="R434" s="43"/>
      <c r="S434" s="43"/>
      <c r="T434" s="43" t="s">
        <v>501</v>
      </c>
      <c r="U434" s="312" t="s">
        <v>946</v>
      </c>
      <c r="V434" s="233" t="str">
        <f>VLOOKUP(Table1[[#This Row],[Country Code]],Table29[],3,FALSE)</f>
        <v>Non-Annex I</v>
      </c>
      <c r="W434" s="233" t="str">
        <f>VLOOKUP(Table1[[#This Row],[Country Code]],Table29[],4,FALSE)</f>
        <v>Africa</v>
      </c>
      <c r="X434" s="233" t="str">
        <f>VLOOKUP(Table1[[#This Row],[Country Code]],Table29[],5,FALSE)</f>
        <v>Middle-income</v>
      </c>
      <c r="Y434" s="43"/>
      <c r="Z434" s="43"/>
    </row>
    <row r="435" spans="1:26" ht="15" customHeight="1" x14ac:dyDescent="0.25">
      <c r="A435" s="360">
        <v>29227</v>
      </c>
      <c r="B435" s="43" t="s">
        <v>175</v>
      </c>
      <c r="C435" s="243" t="str">
        <f>VLOOKUP(Table1[[#This Row],[Country Code]],Table29[],2,FALSE)</f>
        <v>Egypt</v>
      </c>
      <c r="D435" s="243" t="str">
        <f t="shared" si="14"/>
        <v>Good</v>
      </c>
      <c r="E435" s="176" t="s">
        <v>71</v>
      </c>
      <c r="F435" s="43" t="s">
        <v>525</v>
      </c>
      <c r="G435" s="43" t="str">
        <f t="shared" si="15"/>
        <v>First NDC updated</v>
      </c>
      <c r="H435" s="43" t="s">
        <v>691</v>
      </c>
      <c r="I435" s="355">
        <v>44749</v>
      </c>
      <c r="J435" s="320" t="s">
        <v>500</v>
      </c>
      <c r="K435" s="320" t="str" cm="1">
        <f t="array" ref="K435">IF(ISNUMBER(MATCH("Transport sector mitigation target", _xlfn._xlws.FILTER(Targets!H:H, Targets!A:A =A435), 0)), "yes", "no")</f>
        <v>yes</v>
      </c>
      <c r="L435" s="43" t="str">
        <f>IF(K435="no", "No transport target", IF(AND(COUNTIFS(Targets!A:A, A435, Targets!H:H, "Transport sector mitigation target", Targets!J:J, "GHG") &gt; 0, COUNTIFS(Targets!A:A, A435, Targets!H:H, "Transport sector mitigation target", Targets!J:J, "Non GHG") &gt; 0), "GHG and non-GHG target", IF(COUNTIFS(Targets!A:A, A435, Targets!H:H, "Transport sector mitigation target", Targets!J:J, "GHG") &gt; 0, "GHG target", IF(COUNTIFS(Targets!A:A, A435, Targets!H:H, "Transport sector mitigation target", Targets!J:J, "Non GHG") &gt; 0, "non-GHG target", ""))))</f>
        <v>GHG target</v>
      </c>
      <c r="M435" s="43" t="str">
        <f>IF(K435="no","No transport target",IF(L435="non-GHG target","No GHG transport target",IF(AND(COUNTIFS(Targets!A:A,A435,Targets!H:H,"Transport sector mitigation target",Targets!J:J,"GHG",Targets!L:L,"Conditional")&gt;0,COUNTIFS(Targets!A:A,A435,Targets!H:H,"Transport sector mitigation target",Targets!J:J,"GHG",Targets!L:L,"Unconditional")&gt;0),"GHG unconditional and conditional",IF(COUNTIFS(Targets!A:A,A435,Targets!H:H,"Transport sector mitigation target",Targets!J:J,"GHG",Targets!L:L,"Conditional")&gt;0,"GHG conditional only",IF(COUNTIFS(Targets!A:A,A435,Targets!H:H,"Transport sector mitigation target",Targets!J:J,"GHG",Targets!L:L,"Unconditional")&gt;0,"GHG unconditional only",IF(COUNTIFS(Targets!A:A,A435,Targets!H:H,"Transport sector mitigation target",Targets!J:J,"GHG",Targets!L:L,"Unclear conditionality")&gt;0,"Conditionality unclear",""))))))</f>
        <v>GHG unconditional only</v>
      </c>
      <c r="N435" s="43" t="str" cm="1">
        <f t="array" ref="N435">IF(ISNUMBER(MATCH("Transport sector adaptation target", _xlfn._xlws.FILTER(Targets!H:H, Targets!A:A =A435), 0)), "yes", "no")</f>
        <v>no</v>
      </c>
      <c r="O435" s="43" t="str">
        <f>IF(ISNA(MATCH(A435, Mitigation!A:A, 0)), "no", "yes")</f>
        <v>yes</v>
      </c>
      <c r="P435" s="43" t="str">
        <f>IF(ISNA(MATCH(A435, Adaptation!A:A, 0)), "no", "yes")</f>
        <v>yes</v>
      </c>
      <c r="Q435" s="43" t="str">
        <f>IF(ISNA(MATCH(A435, Benefits!A:A, 0)), "no", "yes")</f>
        <v>no</v>
      </c>
      <c r="R435" s="43"/>
      <c r="S435" s="43"/>
      <c r="T435" s="43" t="s">
        <v>501</v>
      </c>
      <c r="U435" s="312" t="s">
        <v>947</v>
      </c>
      <c r="V435" s="233" t="str">
        <f>VLOOKUP(Table1[[#This Row],[Country Code]],Table29[],3,FALSE)</f>
        <v>Non-Annex I</v>
      </c>
      <c r="W435" s="233" t="str">
        <f>VLOOKUP(Table1[[#This Row],[Country Code]],Table29[],4,FALSE)</f>
        <v>Africa</v>
      </c>
      <c r="X435" s="233" t="str">
        <f>VLOOKUP(Table1[[#This Row],[Country Code]],Table29[],5,FALSE)</f>
        <v>Middle-income</v>
      </c>
      <c r="Y435" s="43"/>
      <c r="Z435" s="43"/>
    </row>
    <row r="436" spans="1:26" ht="15" customHeight="1" x14ac:dyDescent="0.25">
      <c r="A436" s="360">
        <v>32509</v>
      </c>
      <c r="B436" s="42" t="s">
        <v>329</v>
      </c>
      <c r="C436" s="243" t="str">
        <f>VLOOKUP(Table1[[#This Row],[Country Code]],Table29[],2,FALSE)</f>
        <v>Nigeria</v>
      </c>
      <c r="D436" s="243" t="str">
        <f t="shared" si="14"/>
        <v>Good</v>
      </c>
      <c r="E436" s="176" t="s">
        <v>71</v>
      </c>
      <c r="F436" s="43" t="s">
        <v>528</v>
      </c>
      <c r="G436" s="43" t="str">
        <f t="shared" si="15"/>
        <v>First NDC updated</v>
      </c>
      <c r="H436" s="43" t="s">
        <v>743</v>
      </c>
      <c r="I436" s="351">
        <v>44407</v>
      </c>
      <c r="J436" s="352" t="s">
        <v>505</v>
      </c>
      <c r="K436" s="320" t="str" cm="1">
        <f t="array" ref="K436">IF(ISNUMBER(MATCH("Transport sector mitigation target", _xlfn._xlws.FILTER(Targets!H:H, Targets!A:A =A436), 0)), "yes", "no")</f>
        <v>yes</v>
      </c>
      <c r="L436" s="43" t="str">
        <f>IF(K436="no", "No transport target", IF(AND(COUNTIFS(Targets!A:A, A436, Targets!H:H, "Transport sector mitigation target", Targets!J:J, "GHG") &gt; 0, COUNTIFS(Targets!A:A, A436, Targets!H:H, "Transport sector mitigation target", Targets!J:J, "Non GHG") &gt; 0), "GHG and non-GHG target", IF(COUNTIFS(Targets!A:A, A436, Targets!H:H, "Transport sector mitigation target", Targets!J:J, "GHG") &gt; 0, "GHG target", IF(COUNTIFS(Targets!A:A, A436, Targets!H:H, "Transport sector mitigation target", Targets!J:J, "Non GHG") &gt; 0, "non-GHG target", ""))))</f>
        <v>non-GHG target</v>
      </c>
      <c r="M436" s="43" t="str">
        <f>IF(K436="no","No transport target",IF(L436="non-GHG target","No GHG transport target",IF(AND(COUNTIFS(Targets!A:A,A436,Targets!H:H,"Transport sector mitigation target",Targets!J:J,"GHG",Targets!L:L,"Conditional")&gt;0,COUNTIFS(Targets!A:A,A436,Targets!H:H,"Transport sector mitigation target",Targets!J:J,"GHG",Targets!L:L,"Unconditional")&gt;0),"GHG unconditional and conditional",IF(COUNTIFS(Targets!A:A,A436,Targets!H:H,"Transport sector mitigation target",Targets!J:J,"GHG",Targets!L:L,"Conditional")&gt;0,"GHG conditional only",IF(COUNTIFS(Targets!A:A,A436,Targets!H:H,"Transport sector mitigation target",Targets!J:J,"GHG",Targets!L:L,"Unconditional")&gt;0,"GHG unconditional only",IF(COUNTIFS(Targets!A:A,A436,Targets!H:H,"Transport sector mitigation target",Targets!J:J,"GHG",Targets!L:L,"Unclear conditionality")&gt;0,"Conditionality unclear",""))))))</f>
        <v>No GHG transport target</v>
      </c>
      <c r="N436" s="43" t="str" cm="1">
        <f t="array" ref="N436">IF(ISNUMBER(MATCH("Transport sector adaptation target", _xlfn._xlws.FILTER(Targets!H:H, Targets!A:A =A436), 0)), "yes", "no")</f>
        <v>no</v>
      </c>
      <c r="O436" s="43" t="str">
        <f>IF(ISNA(MATCH(A436, Mitigation!A:A, 0)), "no", "yes")</f>
        <v>yes</v>
      </c>
      <c r="P436" s="43" t="str">
        <f>IF(ISNA(MATCH(A436, Adaptation!A:A, 0)), "no", "yes")</f>
        <v>no</v>
      </c>
      <c r="Q436" s="43" t="str">
        <f>IF(ISNA(MATCH(A436, Benefits!A:A, 0)), "no", "yes")</f>
        <v>no</v>
      </c>
      <c r="R436" s="43"/>
      <c r="S436" s="43"/>
      <c r="T436" s="43" t="s">
        <v>501</v>
      </c>
      <c r="U436" s="312" t="s">
        <v>948</v>
      </c>
      <c r="V436" s="233" t="str">
        <f>VLOOKUP(Table1[[#This Row],[Country Code]],Table29[],3,FALSE)</f>
        <v>Non-Annex I</v>
      </c>
      <c r="W436" s="233" t="str">
        <f>VLOOKUP(Table1[[#This Row],[Country Code]],Table29[],4,FALSE)</f>
        <v>Africa</v>
      </c>
      <c r="X436" s="233" t="str">
        <f>VLOOKUP(Table1[[#This Row],[Country Code]],Table29[],5,FALSE)</f>
        <v>Middle-income</v>
      </c>
      <c r="Y436" s="43"/>
      <c r="Z436" s="43"/>
    </row>
    <row r="437" spans="1:26" ht="15" customHeight="1" x14ac:dyDescent="0.25">
      <c r="A437" s="360">
        <v>42003</v>
      </c>
      <c r="B437" s="43" t="s">
        <v>258</v>
      </c>
      <c r="C437" s="241" t="s">
        <v>259</v>
      </c>
      <c r="D437" s="243" t="str">
        <f t="shared" si="14"/>
        <v>Good</v>
      </c>
      <c r="E437" s="20" t="s">
        <v>774</v>
      </c>
      <c r="F437" s="43" t="s">
        <v>780</v>
      </c>
      <c r="G437" s="43" t="str">
        <f t="shared" si="15"/>
        <v>WRI Net Zero Tracker</v>
      </c>
      <c r="H437" s="148" t="s">
        <v>52</v>
      </c>
      <c r="I437" s="163">
        <v>44784</v>
      </c>
      <c r="J437" s="187" t="s">
        <v>505</v>
      </c>
      <c r="K437" s="49" t="str" cm="1">
        <f t="array" ref="K437">IF(ISNUMBER(MATCH("Transport sector mitigation target", _xlfn._xlws.FILTER(Targets!H:H, Targets!A:A =A437), 0)), "yes", "no")</f>
        <v>no</v>
      </c>
      <c r="L437" s="17" t="str">
        <f>IF(K437="no", "No transport target", IF(AND(COUNTIFS(Targets!A:A, A437, Targets!H:H, "Transport sector mitigation target", Targets!J:J, "GHG") &gt; 0, COUNTIFS(Targets!A:A, A437, Targets!H:H, "Transport sector mitigation target", Targets!J:J, "Non GHG") &gt; 0), "GHG and non-GHG target", IF(COUNTIFS(Targets!A:A, A437, Targets!H:H, "Transport sector mitigation target", Targets!J:J, "GHG") &gt; 0, "GHG target", IF(COUNTIFS(Targets!A:A, A437, Targets!H:H, "Transport sector mitigation target", Targets!J:J, "Non GHG") &gt; 0, "non-GHG target", ""))))</f>
        <v>No transport target</v>
      </c>
      <c r="M437" s="17" t="str">
        <f>IF(K437="no","No transport target",IF(L437="non-GHG target","No GHG transport target",IF(AND(COUNTIFS(Targets!A:A,A437,Targets!H:H,"Transport sector mitigation target",Targets!J:J,"GHG",Targets!L:L,"Conditional")&gt;0,COUNTIFS(Targets!A:A,A437,Targets!H:H,"Transport sector mitigation target",Targets!J:J,"GHG",Targets!L:L,"Unconditional")&gt;0),"GHG unconditional and conditional",IF(COUNTIFS(Targets!A:A,A437,Targets!H:H,"Transport sector mitigation target",Targets!J:J,"GHG",Targets!L:L,"Conditional")&gt;0,"GHG conditional only",IF(COUNTIFS(Targets!A:A,A437,Targets!H:H,"Transport sector mitigation target",Targets!J:J,"GHG",Targets!L:L,"Unconditional")&gt;0,"GHG unconditional only",IF(COUNTIFS(Targets!A:A,A437,Targets!H:H,"Transport sector mitigation target",Targets!J:J,"GHG",Targets!L:L,"Unclear conditionality")&gt;0,"Conditionality unclear",""))))))</f>
        <v>No transport target</v>
      </c>
      <c r="N437" s="17" t="str" cm="1">
        <f t="array" ref="N437">IF(ISNUMBER(MATCH("Transport sector adaptation target", _xlfn._xlws.FILTER(Targets!H:H, Targets!A:A =A437), 0)), "yes", "no")</f>
        <v>no</v>
      </c>
      <c r="O437" s="17" t="str">
        <f>IF(ISNA(MATCH(A437, Mitigation!A:A, 0)), "no", "yes")</f>
        <v>no</v>
      </c>
      <c r="P437" s="17" t="str">
        <f>IF(ISNA(MATCH(A437, Adaptation!A:A, 0)), "no", "yes")</f>
        <v>no</v>
      </c>
      <c r="Q437" s="17" t="str">
        <f>IF(ISNA(MATCH(A437, Benefits!A:A, 0)), "no", "yes")</f>
        <v>no</v>
      </c>
      <c r="R437" s="148"/>
      <c r="S437" s="148"/>
      <c r="T437" s="17" t="s">
        <v>501</v>
      </c>
      <c r="U437" s="411" t="s">
        <v>781</v>
      </c>
      <c r="V437" s="207" t="str">
        <f>VLOOKUP(Table1[[#This Row],[Country Code]],Table29[],3,FALSE)</f>
        <v>Non-Annex I</v>
      </c>
      <c r="W437" s="207" t="str">
        <f>VLOOKUP(Table1[[#This Row],[Country Code]],Table29[],4,FALSE)</f>
        <v>Asia</v>
      </c>
      <c r="X437" s="207" t="str">
        <f>VLOOKUP(Table1[[#This Row],[Country Code]],Table29[],5,FALSE)</f>
        <v>High-income</v>
      </c>
      <c r="Y437" s="43" t="s">
        <v>750</v>
      </c>
      <c r="Z437" s="17"/>
    </row>
    <row r="438" spans="1:26" ht="15" customHeight="1" x14ac:dyDescent="0.25">
      <c r="A438" s="405">
        <v>29232</v>
      </c>
      <c r="B438" s="19" t="s">
        <v>388</v>
      </c>
      <c r="C438" s="206" t="str">
        <f>VLOOKUP(Table1[[#This Row],[Country Code]],Table29[],2,FALSE)</f>
        <v>Serbia</v>
      </c>
      <c r="D438" s="243" t="str">
        <f t="shared" si="14"/>
        <v>Good</v>
      </c>
      <c r="E438" s="20" t="s">
        <v>71</v>
      </c>
      <c r="F438" s="17" t="s">
        <v>528</v>
      </c>
      <c r="G438" s="43" t="str">
        <f t="shared" si="15"/>
        <v>First NDC updated</v>
      </c>
      <c r="H438" s="17" t="s">
        <v>691</v>
      </c>
      <c r="I438" s="163">
        <v>44797</v>
      </c>
      <c r="J438" s="187" t="s">
        <v>505</v>
      </c>
      <c r="K438" s="49" t="str" cm="1">
        <f t="array" ref="K438">IF(ISNUMBER(MATCH("Transport sector mitigation target", _xlfn._xlws.FILTER(Targets!H:H, Targets!A:A =A438), 0)), "yes", "no")</f>
        <v>no</v>
      </c>
      <c r="L438" s="17" t="str">
        <f>IF(K438="no", "No transport target", IF(AND(COUNTIFS(Targets!A:A, A438, Targets!H:H, "Transport sector mitigation target", Targets!J:J, "GHG") &gt; 0, COUNTIFS(Targets!A:A, A438, Targets!H:H, "Transport sector mitigation target", Targets!J:J, "Non GHG") &gt; 0), "GHG and non-GHG target", IF(COUNTIFS(Targets!A:A, A438, Targets!H:H, "Transport sector mitigation target", Targets!J:J, "GHG") &gt; 0, "GHG target", IF(COUNTIFS(Targets!A:A, A438, Targets!H:H, "Transport sector mitigation target", Targets!J:J, "Non GHG") &gt; 0, "non-GHG target", ""))))</f>
        <v>No transport target</v>
      </c>
      <c r="M438" s="17" t="str">
        <f>IF(K438="no","No transport target",IF(L438="non-GHG target","No GHG transport target",IF(AND(COUNTIFS(Targets!A:A,A438,Targets!H:H,"Transport sector mitigation target",Targets!J:J,"GHG",Targets!L:L,"Conditional")&gt;0,COUNTIFS(Targets!A:A,A438,Targets!H:H,"Transport sector mitigation target",Targets!J:J,"GHG",Targets!L:L,"Unconditional")&gt;0),"GHG unconditional and conditional",IF(COUNTIFS(Targets!A:A,A438,Targets!H:H,"Transport sector mitigation target",Targets!J:J,"GHG",Targets!L:L,"Conditional")&gt;0,"GHG conditional only",IF(COUNTIFS(Targets!A:A,A438,Targets!H:H,"Transport sector mitigation target",Targets!J:J,"GHG",Targets!L:L,"Unconditional")&gt;0,"GHG unconditional only",IF(COUNTIFS(Targets!A:A,A438,Targets!H:H,"Transport sector mitigation target",Targets!J:J,"GHG",Targets!L:L,"Unclear conditionality")&gt;0,"Conditionality unclear",""))))))</f>
        <v>No transport target</v>
      </c>
      <c r="N438" s="17" t="str" cm="1">
        <f t="array" ref="N438">IF(ISNUMBER(MATCH("Transport sector adaptation target", _xlfn._xlws.FILTER(Targets!H:H, Targets!A:A =A438), 0)), "yes", "no")</f>
        <v>no</v>
      </c>
      <c r="O438" s="17" t="str">
        <f>IF(ISNA(MATCH(A438, Mitigation!A:A, 0)), "no", "yes")</f>
        <v>no</v>
      </c>
      <c r="P438" s="17" t="str">
        <f>IF(ISNA(MATCH(A438, Adaptation!A:A, 0)), "no", "yes")</f>
        <v>no</v>
      </c>
      <c r="Q438" s="17" t="str">
        <f>IF(ISNA(MATCH(A438, Benefits!A:A, 0)), "no", "yes")</f>
        <v>no</v>
      </c>
      <c r="R438" s="17"/>
      <c r="S438" s="17"/>
      <c r="T438" s="17" t="s">
        <v>501</v>
      </c>
      <c r="U438" s="135" t="s">
        <v>949</v>
      </c>
      <c r="V438" s="207" t="str">
        <f>VLOOKUP(Table1[[#This Row],[Country Code]],Table29[],3,FALSE)</f>
        <v>Non-Annex I</v>
      </c>
      <c r="W438" s="207" t="str">
        <f>VLOOKUP(Table1[[#This Row],[Country Code]],Table29[],4,FALSE)</f>
        <v>Europe</v>
      </c>
      <c r="X438" s="207" t="str">
        <f>VLOOKUP(Table1[[#This Row],[Country Code]],Table29[],5,FALSE)</f>
        <v>Middle-income</v>
      </c>
      <c r="Y438" s="17"/>
      <c r="Z438" s="17"/>
    </row>
    <row r="439" spans="1:26" ht="15" customHeight="1" x14ac:dyDescent="0.25">
      <c r="A439" s="360">
        <v>29233</v>
      </c>
      <c r="B439" s="42" t="s">
        <v>228</v>
      </c>
      <c r="C439" s="243" t="str">
        <f>VLOOKUP(Table1[[#This Row],[Country Code]],Table29[],2,FALSE)</f>
        <v>India</v>
      </c>
      <c r="D439" s="243" t="str">
        <f t="shared" si="14"/>
        <v>Good</v>
      </c>
      <c r="E439" s="176" t="s">
        <v>71</v>
      </c>
      <c r="F439" s="43" t="s">
        <v>528</v>
      </c>
      <c r="G439" s="43" t="str">
        <f t="shared" si="15"/>
        <v>First NDC updated</v>
      </c>
      <c r="H439" s="43" t="s">
        <v>691</v>
      </c>
      <c r="I439" s="355">
        <v>44799</v>
      </c>
      <c r="J439" s="352" t="s">
        <v>505</v>
      </c>
      <c r="K439" s="320" t="str" cm="1">
        <f t="array" ref="K439">IF(ISNUMBER(MATCH("Transport sector mitigation target", _xlfn._xlws.FILTER(Targets!H:H, Targets!A:A =A439), 0)), "yes", "no")</f>
        <v>no</v>
      </c>
      <c r="L439" s="43" t="str">
        <f>IF(K439="no", "No transport target", IF(AND(COUNTIFS(Targets!A:A, A439, Targets!H:H, "Transport sector mitigation target", Targets!J:J, "GHG") &gt; 0, COUNTIFS(Targets!A:A, A439, Targets!H:H, "Transport sector mitigation target", Targets!J:J, "Non GHG") &gt; 0), "GHG and non-GHG target", IF(COUNTIFS(Targets!A:A, A439, Targets!H:H, "Transport sector mitigation target", Targets!J:J, "GHG") &gt; 0, "GHG target", IF(COUNTIFS(Targets!A:A, A439, Targets!H:H, "Transport sector mitigation target", Targets!J:J, "Non GHG") &gt; 0, "non-GHG target", ""))))</f>
        <v>No transport target</v>
      </c>
      <c r="M439" s="43" t="str">
        <f>IF(K439="no","No transport target",IF(L439="non-GHG target","No GHG transport target",IF(AND(COUNTIFS(Targets!A:A,A439,Targets!H:H,"Transport sector mitigation target",Targets!J:J,"GHG",Targets!L:L,"Conditional")&gt;0,COUNTIFS(Targets!A:A,A439,Targets!H:H,"Transport sector mitigation target",Targets!J:J,"GHG",Targets!L:L,"Unconditional")&gt;0),"GHG unconditional and conditional",IF(COUNTIFS(Targets!A:A,A439,Targets!H:H,"Transport sector mitigation target",Targets!J:J,"GHG",Targets!L:L,"Conditional")&gt;0,"GHG conditional only",IF(COUNTIFS(Targets!A:A,A439,Targets!H:H,"Transport sector mitigation target",Targets!J:J,"GHG",Targets!L:L,"Unconditional")&gt;0,"GHG unconditional only",IF(COUNTIFS(Targets!A:A,A439,Targets!H:H,"Transport sector mitigation target",Targets!J:J,"GHG",Targets!L:L,"Unclear conditionality")&gt;0,"Conditionality unclear",""))))))</f>
        <v>No transport target</v>
      </c>
      <c r="N439" s="43" t="str" cm="1">
        <f t="array" ref="N439">IF(ISNUMBER(MATCH("Transport sector adaptation target", _xlfn._xlws.FILTER(Targets!H:H, Targets!A:A =A439), 0)), "yes", "no")</f>
        <v>no</v>
      </c>
      <c r="O439" s="43" t="str">
        <f>IF(ISNA(MATCH(A439, Mitigation!A:A, 0)), "no", "yes")</f>
        <v>no</v>
      </c>
      <c r="P439" s="43" t="str">
        <f>IF(ISNA(MATCH(A439, Adaptation!A:A, 0)), "no", "yes")</f>
        <v>no</v>
      </c>
      <c r="Q439" s="43" t="str">
        <f>IF(ISNA(MATCH(A439, Benefits!A:A, 0)), "no", "yes")</f>
        <v>no</v>
      </c>
      <c r="R439" s="43"/>
      <c r="S439" s="43"/>
      <c r="T439" s="43" t="s">
        <v>501</v>
      </c>
      <c r="U439" s="312" t="s">
        <v>950</v>
      </c>
      <c r="V439" s="233" t="str">
        <f>VLOOKUP(Table1[[#This Row],[Country Code]],Table29[],3,FALSE)</f>
        <v>Non-Annex I</v>
      </c>
      <c r="W439" s="233" t="str">
        <f>VLOOKUP(Table1[[#This Row],[Country Code]],Table29[],4,FALSE)</f>
        <v>Asia</v>
      </c>
      <c r="X439" s="233" t="str">
        <f>VLOOKUP(Table1[[#This Row],[Country Code]],Table29[],5,FALSE)</f>
        <v>Middle-income</v>
      </c>
      <c r="Y439" s="43"/>
      <c r="Z439" s="43"/>
    </row>
    <row r="440" spans="1:26" ht="15" customHeight="1" x14ac:dyDescent="0.25">
      <c r="A440" s="360">
        <v>41748</v>
      </c>
      <c r="B440" s="43" t="s">
        <v>329</v>
      </c>
      <c r="C440" s="243" t="str">
        <f>VLOOKUP(Table1[[#This Row],[Country Code]],Table29[],2,FALSE)</f>
        <v>Nigeria</v>
      </c>
      <c r="D440" s="243" t="str">
        <f t="shared" ref="D440:D503" si="16">IF(J440&lt;&gt;"Active",
    "Good",
    IF(COUNTIFS(C:C, C440, E:E, E440, J:J, "Active")&gt;1,
       IF(E440="LTS", "Error: more than one LTS active",
          IF(E440="NDC", "Error: more than one NDC active", "Error")
       ),
       "Good"
    )
)</f>
        <v>Good</v>
      </c>
      <c r="E440" s="176" t="s">
        <v>227</v>
      </c>
      <c r="F440" s="43" t="s">
        <v>227</v>
      </c>
      <c r="G440" s="43" t="str">
        <f t="shared" ref="G440:G503" si="17">IF(H440="NDC 1.0","First NDC",
IF(OR(H440="NDC 1.1",H440="NDC 1.2",H440="NDC 1.3"),"First NDC updated",
IF(H440="NDC 2.0","Second NDC",
IF(OR(H440="NDC 2.1",H440="NDC 2.2",H440="NDC 2.3"),"Second NDC updated",
IF(H440="NDC 3.0","Third NDC",
IF(OR(H440="NDC 3.1",H440="NDC 3.2",H440="NDC 3.3"),"Third NDC updated",
F440))))))</f>
        <v>LTS</v>
      </c>
      <c r="H440" s="350" t="s">
        <v>799</v>
      </c>
      <c r="I440" s="355">
        <v>45407</v>
      </c>
      <c r="J440" s="352" t="s">
        <v>505</v>
      </c>
      <c r="K440" s="320" t="str" cm="1">
        <f t="array" ref="K440">IF(ISNUMBER(MATCH("Transport sector mitigation target", _xlfn._xlws.FILTER(Targets!H:H, Targets!A:A =A440), 0)), "yes", "no")</f>
        <v>yes</v>
      </c>
      <c r="L440" s="43" t="str">
        <f>IF(K440="no", "No transport target", IF(AND(COUNTIFS(Targets!A:A, A440, Targets!H:H, "Transport sector mitigation target", Targets!J:J, "GHG") &gt; 0, COUNTIFS(Targets!A:A, A440, Targets!H:H, "Transport sector mitigation target", Targets!J:J, "Non GHG") &gt; 0), "GHG and non-GHG target", IF(COUNTIFS(Targets!A:A, A440, Targets!H:H, "Transport sector mitigation target", Targets!J:J, "GHG") &gt; 0, "GHG target", IF(COUNTIFS(Targets!A:A, A440, Targets!H:H, "Transport sector mitigation target", Targets!J:J, "Non GHG") &gt; 0, "non-GHG target", ""))))</f>
        <v>GHG and non-GHG target</v>
      </c>
      <c r="M440" s="43" t="str">
        <f>IF(K440="no","No transport target",IF(L440="non-GHG target","No GHG transport target",IF(AND(COUNTIFS(Targets!A:A,A440,Targets!H:H,"Transport sector mitigation target",Targets!J:J,"GHG",Targets!L:L,"Conditional")&gt;0,COUNTIFS(Targets!A:A,A440,Targets!H:H,"Transport sector mitigation target",Targets!J:J,"GHG",Targets!L:L,"Unconditional")&gt;0),"GHG unconditional and conditional",IF(COUNTIFS(Targets!A:A,A440,Targets!H:H,"Transport sector mitigation target",Targets!J:J,"GHG",Targets!L:L,"Conditional")&gt;0,"GHG conditional only",IF(COUNTIFS(Targets!A:A,A440,Targets!H:H,"Transport sector mitigation target",Targets!J:J,"GHG",Targets!L:L,"Unconditional")&gt;0,"GHG unconditional only",IF(COUNTIFS(Targets!A:A,A440,Targets!H:H,"Transport sector mitigation target",Targets!J:J,"GHG",Targets!L:L,"Unclear conditionality")&gt;0,"Conditionality unclear",""))))))</f>
        <v>GHG conditional only</v>
      </c>
      <c r="N440" s="43" t="str" cm="1">
        <f t="array" ref="N440">IF(ISNUMBER(MATCH("Transport sector adaptation target", _xlfn._xlws.FILTER(Targets!H:H, Targets!A:A =A440), 0)), "yes", "no")</f>
        <v>no</v>
      </c>
      <c r="O440" s="43" t="str">
        <f>IF(ISNA(MATCH(A440, Mitigation!A:A, 0)), "no", "yes")</f>
        <v>yes</v>
      </c>
      <c r="P440" s="43" t="str">
        <f>IF(ISNA(MATCH(A440, Adaptation!A:A, 0)), "no", "yes")</f>
        <v>yes</v>
      </c>
      <c r="Q440" s="43" t="str">
        <f>IF(ISNA(MATCH(A440, Benefits!A:A, 0)), "no", "yes")</f>
        <v>no</v>
      </c>
      <c r="R440" s="43"/>
      <c r="S440" s="43"/>
      <c r="T440" s="43" t="s">
        <v>501</v>
      </c>
      <c r="U440" s="356" t="s">
        <v>951</v>
      </c>
      <c r="V440" s="233" t="str">
        <f>VLOOKUP(Table1[[#This Row],[Country Code]],Table29[],3,FALSE)</f>
        <v>Non-Annex I</v>
      </c>
      <c r="W440" s="233" t="str">
        <f>VLOOKUP(Table1[[#This Row],[Country Code]],Table29[],4,FALSE)</f>
        <v>Africa</v>
      </c>
      <c r="X440" s="233" t="str">
        <f>VLOOKUP(Table1[[#This Row],[Country Code]],Table29[],5,FALSE)</f>
        <v>Middle-income</v>
      </c>
      <c r="Y440" s="43" t="s">
        <v>838</v>
      </c>
      <c r="Z440" s="43"/>
    </row>
    <row r="441" spans="1:26" ht="15" customHeight="1" x14ac:dyDescent="0.25">
      <c r="A441" s="360">
        <v>39447</v>
      </c>
      <c r="B441" s="19" t="s">
        <v>335</v>
      </c>
      <c r="C441" s="206" t="str">
        <f>VLOOKUP(Table1[[#This Row],[Country Code]],Table29[],2,FALSE)</f>
        <v>Oman</v>
      </c>
      <c r="D441" s="243" t="str">
        <f t="shared" si="16"/>
        <v>Good</v>
      </c>
      <c r="E441" s="20" t="s">
        <v>227</v>
      </c>
      <c r="F441" s="43" t="s">
        <v>227</v>
      </c>
      <c r="G441" s="43" t="str">
        <f t="shared" si="17"/>
        <v>LTS</v>
      </c>
      <c r="H441" s="148" t="s">
        <v>636</v>
      </c>
      <c r="I441" s="163">
        <v>45048</v>
      </c>
      <c r="J441" s="187" t="s">
        <v>505</v>
      </c>
      <c r="K441" s="49" t="str" cm="1">
        <f t="array" ref="K441">IF(ISNUMBER(MATCH("Transport sector mitigation target", _xlfn._xlws.FILTER(Targets!H:H, Targets!A:A =A441), 0)), "yes", "no")</f>
        <v>yes</v>
      </c>
      <c r="L441" s="17" t="str">
        <f>IF(K441="no", "No transport target", IF(AND(COUNTIFS(Targets!A:A, A441, Targets!H:H, "Transport sector mitigation target", Targets!J:J, "GHG") &gt; 0, COUNTIFS(Targets!A:A, A441, Targets!H:H, "Transport sector mitigation target", Targets!J:J, "Non GHG") &gt; 0), "GHG and non-GHG target", IF(COUNTIFS(Targets!A:A, A441, Targets!H:H, "Transport sector mitigation target", Targets!J:J, "GHG") &gt; 0, "GHG target", IF(COUNTIFS(Targets!A:A, A441, Targets!H:H, "Transport sector mitigation target", Targets!J:J, "Non GHG") &gt; 0, "non-GHG target", ""))))</f>
        <v>GHG target</v>
      </c>
      <c r="M441" s="17" t="str">
        <f>IF(K441="no","No transport target",IF(L441="non-GHG target","No GHG transport target",IF(AND(COUNTIFS(Targets!A:A,A441,Targets!H:H,"Transport sector mitigation target",Targets!J:J,"GHG",Targets!L:L,"Conditional")&gt;0,COUNTIFS(Targets!A:A,A441,Targets!H:H,"Transport sector mitigation target",Targets!J:J,"GHG",Targets!L:L,"Unconditional")&gt;0),"GHG unconditional and conditional",IF(COUNTIFS(Targets!A:A,A441,Targets!H:H,"Transport sector mitigation target",Targets!J:J,"GHG",Targets!L:L,"Conditional")&gt;0,"GHG conditional only",IF(COUNTIFS(Targets!A:A,A441,Targets!H:H,"Transport sector mitigation target",Targets!J:J,"GHG",Targets!L:L,"Unconditional")&gt;0,"GHG unconditional only",IF(COUNTIFS(Targets!A:A,A441,Targets!H:H,"Transport sector mitigation target",Targets!J:J,"GHG",Targets!L:L,"Unclear conditionality")&gt;0,"Conditionality unclear",""))))))</f>
        <v>GHG unconditional only</v>
      </c>
      <c r="N441" s="17" t="str" cm="1">
        <f t="array" ref="N441">IF(ISNUMBER(MATCH("Transport sector adaptation target", _xlfn._xlws.FILTER(Targets!H:H, Targets!A:A =A441), 0)), "yes", "no")</f>
        <v>no</v>
      </c>
      <c r="O441" s="17" t="str">
        <f>IF(ISNA(MATCH(A441, Mitigation!A:A, 0)), "no", "yes")</f>
        <v>yes</v>
      </c>
      <c r="P441" s="17" t="str">
        <f>IF(ISNA(MATCH(A441, Adaptation!A:A, 0)), "no", "yes")</f>
        <v>no</v>
      </c>
      <c r="Q441" s="17" t="str">
        <f>IF(ISNA(MATCH(A441, Benefits!A:A, 0)), "no", "yes")</f>
        <v>yes</v>
      </c>
      <c r="R441" s="17"/>
      <c r="S441" s="17"/>
      <c r="T441" s="17" t="s">
        <v>501</v>
      </c>
      <c r="U441" s="172" t="s">
        <v>952</v>
      </c>
      <c r="V441" s="207" t="str">
        <f>VLOOKUP(Table1[[#This Row],[Country Code]],Table29[],3,FALSE)</f>
        <v>Non-Annex I</v>
      </c>
      <c r="W441" s="207" t="str">
        <f>VLOOKUP(Table1[[#This Row],[Country Code]],Table29[],4,FALSE)</f>
        <v>Asia</v>
      </c>
      <c r="X441" s="207" t="str">
        <f>VLOOKUP(Table1[[#This Row],[Country Code]],Table29[],5,FALSE)</f>
        <v>High-income</v>
      </c>
      <c r="Y441" s="17" t="s">
        <v>953</v>
      </c>
      <c r="Z441" s="17"/>
    </row>
    <row r="442" spans="1:26" ht="15" customHeight="1" x14ac:dyDescent="0.25">
      <c r="A442" s="360">
        <v>29234</v>
      </c>
      <c r="B442" s="43" t="s">
        <v>446</v>
      </c>
      <c r="C442" s="243" t="str">
        <f>VLOOKUP(Table1[[#This Row],[Country Code]],Table29[],2,FALSE)</f>
        <v>United Arab Emirates</v>
      </c>
      <c r="D442" s="243" t="str">
        <f t="shared" si="16"/>
        <v>Good</v>
      </c>
      <c r="E442" s="176" t="s">
        <v>71</v>
      </c>
      <c r="F442" s="43" t="s">
        <v>601</v>
      </c>
      <c r="G442" s="43" t="str">
        <f t="shared" si="17"/>
        <v>Second NDC updated</v>
      </c>
      <c r="H442" s="43" t="s">
        <v>904</v>
      </c>
      <c r="I442" s="355">
        <v>44818</v>
      </c>
      <c r="J442" s="320" t="s">
        <v>500</v>
      </c>
      <c r="K442" s="320" t="str" cm="1">
        <f t="array" ref="K442">IF(ISNUMBER(MATCH("Transport sector mitigation target", _xlfn._xlws.FILTER(Targets!H:H, Targets!A:A =A442), 0)), "yes", "no")</f>
        <v>yes</v>
      </c>
      <c r="L442" s="43" t="str">
        <f>IF(K442="no", "No transport target", IF(AND(COUNTIFS(Targets!A:A, A442, Targets!H:H, "Transport sector mitigation target", Targets!J:J, "GHG") &gt; 0, COUNTIFS(Targets!A:A, A442, Targets!H:H, "Transport sector mitigation target", Targets!J:J, "Non GHG") &gt; 0), "GHG and non-GHG target", IF(COUNTIFS(Targets!A:A, A442, Targets!H:H, "Transport sector mitigation target", Targets!J:J, "GHG") &gt; 0, "GHG target", IF(COUNTIFS(Targets!A:A, A442, Targets!H:H, "Transport sector mitigation target", Targets!J:J, "Non GHG") &gt; 0, "non-GHG target", ""))))</f>
        <v>GHG and non-GHG target</v>
      </c>
      <c r="M442" s="43" t="str">
        <f>IF(K442="no","No transport target",IF(L442="non-GHG target","No GHG transport target",IF(AND(COUNTIFS(Targets!A:A,A442,Targets!H:H,"Transport sector mitigation target",Targets!J:J,"GHG",Targets!L:L,"Conditional")&gt;0,COUNTIFS(Targets!A:A,A442,Targets!H:H,"Transport sector mitigation target",Targets!J:J,"GHG",Targets!L:L,"Unconditional")&gt;0),"GHG unconditional and conditional",IF(COUNTIFS(Targets!A:A,A442,Targets!H:H,"Transport sector mitigation target",Targets!J:J,"GHG",Targets!L:L,"Conditional")&gt;0,"GHG conditional only",IF(COUNTIFS(Targets!A:A,A442,Targets!H:H,"Transport sector mitigation target",Targets!J:J,"GHG",Targets!L:L,"Unconditional")&gt;0,"GHG unconditional only",IF(COUNTIFS(Targets!A:A,A442,Targets!H:H,"Transport sector mitigation target",Targets!J:J,"GHG",Targets!L:L,"Unclear conditionality")&gt;0,"Conditionality unclear",""))))))</f>
        <v>GHG unconditional only</v>
      </c>
      <c r="N442" s="43" t="str" cm="1">
        <f t="array" ref="N442">IF(ISNUMBER(MATCH("Transport sector adaptation target", _xlfn._xlws.FILTER(Targets!H:H, Targets!A:A =A442), 0)), "yes", "no")</f>
        <v>no</v>
      </c>
      <c r="O442" s="43" t="str">
        <f>IF(ISNA(MATCH(A442, Mitigation!A:A, 0)), "no", "yes")</f>
        <v>yes</v>
      </c>
      <c r="P442" s="43" t="str">
        <f>IF(ISNA(MATCH(A442, Adaptation!A:A, 0)), "no", "yes")</f>
        <v>yes</v>
      </c>
      <c r="Q442" s="43" t="str">
        <f>IF(ISNA(MATCH(A442, Benefits!A:A, 0)), "no", "yes")</f>
        <v>no</v>
      </c>
      <c r="R442" s="43"/>
      <c r="S442" s="43"/>
      <c r="T442" s="43" t="s">
        <v>501</v>
      </c>
      <c r="U442" s="312" t="s">
        <v>954</v>
      </c>
      <c r="V442" s="233" t="str">
        <f>VLOOKUP(Table1[[#This Row],[Country Code]],Table29[],3,FALSE)</f>
        <v>Non-Annex I</v>
      </c>
      <c r="W442" s="233" t="str">
        <f>VLOOKUP(Table1[[#This Row],[Country Code]],Table29[],4,FALSE)</f>
        <v>Asia</v>
      </c>
      <c r="X442" s="233" t="str">
        <f>VLOOKUP(Table1[[#This Row],[Country Code]],Table29[],5,FALSE)</f>
        <v>High-income</v>
      </c>
      <c r="Y442" s="43"/>
      <c r="Z442" s="43"/>
    </row>
    <row r="443" spans="1:26" ht="15" customHeight="1" x14ac:dyDescent="0.25">
      <c r="A443" s="360">
        <v>41740</v>
      </c>
      <c r="B443" s="19" t="s">
        <v>335</v>
      </c>
      <c r="C443" s="206" t="str">
        <f>VLOOKUP(Table1[[#This Row],[Country Code]],Table29[],2,FALSE)</f>
        <v>Oman</v>
      </c>
      <c r="D443" s="243" t="str">
        <f t="shared" si="16"/>
        <v>Good</v>
      </c>
      <c r="E443" s="20" t="s">
        <v>71</v>
      </c>
      <c r="F443" s="19" t="s">
        <v>555</v>
      </c>
      <c r="G443" s="43" t="str">
        <f t="shared" si="17"/>
        <v>Second NDC updated</v>
      </c>
      <c r="H443" s="19" t="s">
        <v>904</v>
      </c>
      <c r="I443" s="149">
        <v>45259</v>
      </c>
      <c r="J443" s="187" t="s">
        <v>505</v>
      </c>
      <c r="K443" s="49" t="str" cm="1">
        <f t="array" ref="K443">IF(ISNUMBER(MATCH("Transport sector mitigation target", _xlfn._xlws.FILTER(Targets!H:H, Targets!A:A =A443), 0)), "yes", "no")</f>
        <v>yes</v>
      </c>
      <c r="L443" s="19" t="str">
        <f>IF(K443="no", "No transport target", IF(AND(COUNTIFS(Targets!A:A, A443, Targets!H:H, "Transport sector mitigation target", Targets!J:J, "GHG") &gt; 0, COUNTIFS(Targets!A:A, A443, Targets!H:H, "Transport sector mitigation target", Targets!J:J, "Non GHG") &gt; 0), "GHG and non-GHG target", IF(COUNTIFS(Targets!A:A, A443, Targets!H:H, "Transport sector mitigation target", Targets!J:J, "GHG") &gt; 0, "GHG target", IF(COUNTIFS(Targets!A:A, A443, Targets!H:H, "Transport sector mitigation target", Targets!J:J, "Non GHG") &gt; 0, "non-GHG target", ""))))</f>
        <v>GHG and non-GHG target</v>
      </c>
      <c r="M443" s="19" t="str">
        <f>IF(K443="no","No transport target",IF(L443="non-GHG target","No GHG transport target",IF(AND(COUNTIFS(Targets!A:A,A443,Targets!H:H,"Transport sector mitigation target",Targets!J:J,"GHG",Targets!L:L,"Conditional")&gt;0,COUNTIFS(Targets!A:A,A443,Targets!H:H,"Transport sector mitigation target",Targets!J:J,"GHG",Targets!L:L,"Unconditional")&gt;0),"GHG unconditional and conditional",IF(COUNTIFS(Targets!A:A,A443,Targets!H:H,"Transport sector mitigation target",Targets!J:J,"GHG",Targets!L:L,"Conditional")&gt;0,"GHG conditional only",IF(COUNTIFS(Targets!A:A,A443,Targets!H:H,"Transport sector mitigation target",Targets!J:J,"GHG",Targets!L:L,"Unconditional")&gt;0,"GHG unconditional only",IF(COUNTIFS(Targets!A:A,A443,Targets!H:H,"Transport sector mitigation target",Targets!J:J,"GHG",Targets!L:L,"Unclear conditionality")&gt;0,"Conditionality unclear",""))))))</f>
        <v>GHG unconditional only</v>
      </c>
      <c r="N443" s="19" t="str" cm="1">
        <f t="array" ref="N443">IF(ISNUMBER(MATCH("Transport sector adaptation target", _xlfn._xlws.FILTER(Targets!H:H, Targets!A:A =A443), 0)), "yes", "no")</f>
        <v>no</v>
      </c>
      <c r="O443" s="19" t="str">
        <f>IF(ISNA(MATCH(A443, Mitigation!A:A, 0)), "no", "yes")</f>
        <v>yes</v>
      </c>
      <c r="P443" s="19" t="str">
        <f>IF(ISNA(MATCH(A443, Adaptation!A:A, 0)), "no", "yes")</f>
        <v>yes</v>
      </c>
      <c r="Q443" s="19" t="str">
        <f>IF(ISNA(MATCH(A443, Benefits!A:A, 0)), "no", "yes")</f>
        <v>yes</v>
      </c>
      <c r="R443" s="17"/>
      <c r="S443" s="17"/>
      <c r="T443" s="17" t="s">
        <v>501</v>
      </c>
      <c r="U443" s="174" t="s">
        <v>955</v>
      </c>
      <c r="V443" s="207" t="str">
        <f>VLOOKUP(Table1[[#This Row],[Country Code]],Table29[],3,FALSE)</f>
        <v>Non-Annex I</v>
      </c>
      <c r="W443" s="207" t="str">
        <f>VLOOKUP(Table1[[#This Row],[Country Code]],Table29[],4,FALSE)</f>
        <v>Asia</v>
      </c>
      <c r="X443" s="207" t="str">
        <f>VLOOKUP(Table1[[#This Row],[Country Code]],Table29[],5,FALSE)</f>
        <v>High-income</v>
      </c>
      <c r="Y443" s="17"/>
      <c r="Z443" s="17"/>
    </row>
    <row r="444" spans="1:26" ht="15" customHeight="1" x14ac:dyDescent="0.25">
      <c r="A444" s="360">
        <v>23380</v>
      </c>
      <c r="B444" s="19" t="s">
        <v>338</v>
      </c>
      <c r="C444" s="206" t="str">
        <f>VLOOKUP(Table1[[#This Row],[Country Code]],Table29[],2,FALSE)</f>
        <v>Pakistan</v>
      </c>
      <c r="D444" s="243" t="str">
        <f t="shared" si="16"/>
        <v>Good</v>
      </c>
      <c r="E444" s="20" t="s">
        <v>71</v>
      </c>
      <c r="F444" s="165" t="s">
        <v>528</v>
      </c>
      <c r="G444" s="43" t="str">
        <f t="shared" si="17"/>
        <v>First NDC updated</v>
      </c>
      <c r="H444" s="17" t="s">
        <v>743</v>
      </c>
      <c r="I444" s="149">
        <v>44540</v>
      </c>
      <c r="J444" s="187" t="s">
        <v>505</v>
      </c>
      <c r="K444" s="49" t="str" cm="1">
        <f t="array" ref="K444">IF(ISNUMBER(MATCH("Transport sector mitigation target", _xlfn._xlws.FILTER(Targets!H:H, Targets!A:A =A444), 0)), "yes", "no")</f>
        <v>yes</v>
      </c>
      <c r="L444" s="17" t="str">
        <f>IF(K444="no", "No transport target", IF(AND(COUNTIFS(Targets!A:A, A444, Targets!H:H, "Transport sector mitigation target", Targets!J:J, "GHG") &gt; 0, COUNTIFS(Targets!A:A, A444, Targets!H:H, "Transport sector mitigation target", Targets!J:J, "Non GHG") &gt; 0), "GHG and non-GHG target", IF(COUNTIFS(Targets!A:A, A444, Targets!H:H, "Transport sector mitigation target", Targets!J:J, "GHG") &gt; 0, "GHG target", IF(COUNTIFS(Targets!A:A, A444, Targets!H:H, "Transport sector mitigation target", Targets!J:J, "Non GHG") &gt; 0, "non-GHG target", ""))))</f>
        <v>non-GHG target</v>
      </c>
      <c r="M444" s="17" t="str">
        <f>IF(K444="no","No transport target",IF(L444="non-GHG target","No GHG transport target",IF(AND(COUNTIFS(Targets!A:A,A444,Targets!H:H,"Transport sector mitigation target",Targets!J:J,"GHG",Targets!L:L,"Conditional")&gt;0,COUNTIFS(Targets!A:A,A444,Targets!H:H,"Transport sector mitigation target",Targets!J:J,"GHG",Targets!L:L,"Unconditional")&gt;0),"GHG unconditional and conditional",IF(COUNTIFS(Targets!A:A,A444,Targets!H:H,"Transport sector mitigation target",Targets!J:J,"GHG",Targets!L:L,"Conditional")&gt;0,"GHG conditional only",IF(COUNTIFS(Targets!A:A,A444,Targets!H:H,"Transport sector mitigation target",Targets!J:J,"GHG",Targets!L:L,"Unconditional")&gt;0,"GHG unconditional only",IF(COUNTIFS(Targets!A:A,A444,Targets!H:H,"Transport sector mitigation target",Targets!J:J,"GHG",Targets!L:L,"Unclear conditionality")&gt;0,"Conditionality unclear",""))))))</f>
        <v>No GHG transport target</v>
      </c>
      <c r="N444" s="17" t="str" cm="1">
        <f t="array" ref="N444">IF(ISNUMBER(MATCH("Transport sector adaptation target", _xlfn._xlws.FILTER(Targets!H:H, Targets!A:A =A444), 0)), "yes", "no")</f>
        <v>no</v>
      </c>
      <c r="O444" s="17" t="str">
        <f>IF(ISNA(MATCH(A444, Mitigation!A:A, 0)), "no", "yes")</f>
        <v>yes</v>
      </c>
      <c r="P444" s="17" t="str">
        <f>IF(ISNA(MATCH(A444, Adaptation!A:A, 0)), "no", "yes")</f>
        <v>no</v>
      </c>
      <c r="Q444" s="17" t="str">
        <f>IF(ISNA(MATCH(A444, Benefits!A:A, 0)), "no", "yes")</f>
        <v>yes</v>
      </c>
      <c r="R444" s="17"/>
      <c r="S444" s="17"/>
      <c r="T444" s="17" t="s">
        <v>501</v>
      </c>
      <c r="U444" s="135" t="s">
        <v>956</v>
      </c>
      <c r="V444" s="207" t="str">
        <f>VLOOKUP(Table1[[#This Row],[Country Code]],Table29[],3,FALSE)</f>
        <v>Non-Annex I</v>
      </c>
      <c r="W444" s="207" t="str">
        <f>VLOOKUP(Table1[[#This Row],[Country Code]],Table29[],4,FALSE)</f>
        <v>Asia</v>
      </c>
      <c r="X444" s="207" t="str">
        <f>VLOOKUP(Table1[[#This Row],[Country Code]],Table29[],5,FALSE)</f>
        <v>Middle-income</v>
      </c>
      <c r="Y444" s="17"/>
      <c r="Z444" s="17"/>
    </row>
    <row r="445" spans="1:26" ht="15" customHeight="1" x14ac:dyDescent="0.25">
      <c r="A445" s="360">
        <v>32523</v>
      </c>
      <c r="B445" s="43" t="s">
        <v>448</v>
      </c>
      <c r="C445" s="243" t="str">
        <f>VLOOKUP(Table1[[#This Row],[Country Code]],Table29[],2,FALSE)</f>
        <v>United Kingdom</v>
      </c>
      <c r="D445" s="243" t="str">
        <f t="shared" si="16"/>
        <v>Good</v>
      </c>
      <c r="E445" s="176" t="s">
        <v>71</v>
      </c>
      <c r="F445" s="43" t="s">
        <v>528</v>
      </c>
      <c r="G445" s="43" t="str">
        <f t="shared" si="17"/>
        <v>First NDC updated</v>
      </c>
      <c r="H445" s="43" t="s">
        <v>743</v>
      </c>
      <c r="I445" s="355">
        <v>44826</v>
      </c>
      <c r="J445" s="352" t="s">
        <v>500</v>
      </c>
      <c r="K445" s="320" t="str" cm="1">
        <f t="array" ref="K445">IF(ISNUMBER(MATCH("Transport sector mitigation target", _xlfn._xlws.FILTER(Targets!H:H, Targets!A:A =A445), 0)), "yes", "no")</f>
        <v>no</v>
      </c>
      <c r="L445" s="43" t="str">
        <f>IF(K445="no", "No transport target", IF(AND(COUNTIFS(Targets!A:A, A445, Targets!H:H, "Transport sector mitigation target", Targets!J:J, "GHG") &gt; 0, COUNTIFS(Targets!A:A, A445, Targets!H:H, "Transport sector mitigation target", Targets!J:J, "Non GHG") &gt; 0), "GHG and non-GHG target", IF(COUNTIFS(Targets!A:A, A445, Targets!H:H, "Transport sector mitigation target", Targets!J:J, "GHG") &gt; 0, "GHG target", IF(COUNTIFS(Targets!A:A, A445, Targets!H:H, "Transport sector mitigation target", Targets!J:J, "Non GHG") &gt; 0, "non-GHG target", ""))))</f>
        <v>No transport target</v>
      </c>
      <c r="M445" s="43" t="str">
        <f>IF(K445="no","No transport target",IF(L445="non-GHG target","No GHG transport target",IF(AND(COUNTIFS(Targets!A:A,A445,Targets!H:H,"Transport sector mitigation target",Targets!J:J,"GHG",Targets!L:L,"Conditional")&gt;0,COUNTIFS(Targets!A:A,A445,Targets!H:H,"Transport sector mitigation target",Targets!J:J,"GHG",Targets!L:L,"Unconditional")&gt;0),"GHG unconditional and conditional",IF(COUNTIFS(Targets!A:A,A445,Targets!H:H,"Transport sector mitigation target",Targets!J:J,"GHG",Targets!L:L,"Conditional")&gt;0,"GHG conditional only",IF(COUNTIFS(Targets!A:A,A445,Targets!H:H,"Transport sector mitigation target",Targets!J:J,"GHG",Targets!L:L,"Unconditional")&gt;0,"GHG unconditional only",IF(COUNTIFS(Targets!A:A,A445,Targets!H:H,"Transport sector mitigation target",Targets!J:J,"GHG",Targets!L:L,"Unclear conditionality")&gt;0,"Conditionality unclear",""))))))</f>
        <v>No transport target</v>
      </c>
      <c r="N445" s="43" t="str" cm="1">
        <f t="array" ref="N445">IF(ISNUMBER(MATCH("Transport sector adaptation target", _xlfn._xlws.FILTER(Targets!H:H, Targets!A:A =A445), 0)), "yes", "no")</f>
        <v>no</v>
      </c>
      <c r="O445" s="43" t="str">
        <f>IF(ISNA(MATCH(A445, Mitigation!A:A, 0)), "no", "yes")</f>
        <v>yes</v>
      </c>
      <c r="P445" s="43" t="str">
        <f>IF(ISNA(MATCH(A445, Adaptation!A:A, 0)), "no", "yes")</f>
        <v>no</v>
      </c>
      <c r="Q445" s="43" t="str">
        <f>IF(ISNA(MATCH(A445, Benefits!A:A, 0)), "no", "yes")</f>
        <v>no</v>
      </c>
      <c r="R445" s="43"/>
      <c r="S445" s="43"/>
      <c r="T445" s="43" t="s">
        <v>501</v>
      </c>
      <c r="U445" s="312" t="s">
        <v>957</v>
      </c>
      <c r="V445" s="233" t="str">
        <f>VLOOKUP(Table1[[#This Row],[Country Code]],Table29[],3,FALSE)</f>
        <v>Annex I</v>
      </c>
      <c r="W445" s="233" t="str">
        <f>VLOOKUP(Table1[[#This Row],[Country Code]],Table29[],4,FALSE)</f>
        <v>Europe</v>
      </c>
      <c r="X445" s="233" t="str">
        <f>VLOOKUP(Table1[[#This Row],[Country Code]],Table29[],5,FALSE)</f>
        <v>High-income</v>
      </c>
      <c r="Y445" s="43"/>
      <c r="Z445" s="43"/>
    </row>
    <row r="446" spans="1:26" ht="15" customHeight="1" x14ac:dyDescent="0.25">
      <c r="A446" s="360">
        <v>32503</v>
      </c>
      <c r="B446" s="42" t="s">
        <v>230</v>
      </c>
      <c r="C446" s="243" t="str">
        <f>VLOOKUP(Table1[[#This Row],[Country Code]],Table29[],2,FALSE)</f>
        <v>Indonesia</v>
      </c>
      <c r="D446" s="243" t="str">
        <f t="shared" si="16"/>
        <v>Good</v>
      </c>
      <c r="E446" s="176" t="s">
        <v>71</v>
      </c>
      <c r="F446" s="43" t="s">
        <v>528</v>
      </c>
      <c r="G446" s="43" t="str">
        <f t="shared" si="17"/>
        <v>First NDC updated</v>
      </c>
      <c r="H446" s="43" t="s">
        <v>743</v>
      </c>
      <c r="I446" s="355">
        <v>44827</v>
      </c>
      <c r="J446" s="352" t="s">
        <v>505</v>
      </c>
      <c r="K446" s="320" t="str" cm="1">
        <f t="array" ref="K446">IF(ISNUMBER(MATCH("Transport sector mitigation target", _xlfn._xlws.FILTER(Targets!H:H, Targets!A:A =A446), 0)), "yes", "no")</f>
        <v>no</v>
      </c>
      <c r="L446" s="43" t="str">
        <f>IF(K446="no", "No transport target", IF(AND(COUNTIFS(Targets!A:A, A446, Targets!H:H, "Transport sector mitigation target", Targets!J:J, "GHG") &gt; 0, COUNTIFS(Targets!A:A, A446, Targets!H:H, "Transport sector mitigation target", Targets!J:J, "Non GHG") &gt; 0), "GHG and non-GHG target", IF(COUNTIFS(Targets!A:A, A446, Targets!H:H, "Transport sector mitigation target", Targets!J:J, "GHG") &gt; 0, "GHG target", IF(COUNTIFS(Targets!A:A, A446, Targets!H:H, "Transport sector mitigation target", Targets!J:J, "Non GHG") &gt; 0, "non-GHG target", ""))))</f>
        <v>No transport target</v>
      </c>
      <c r="M446" s="43" t="str">
        <f>IF(K446="no","No transport target",IF(L446="non-GHG target","No GHG transport target",IF(AND(COUNTIFS(Targets!A:A,A446,Targets!H:H,"Transport sector mitigation target",Targets!J:J,"GHG",Targets!L:L,"Conditional")&gt;0,COUNTIFS(Targets!A:A,A446,Targets!H:H,"Transport sector mitigation target",Targets!J:J,"GHG",Targets!L:L,"Unconditional")&gt;0),"GHG unconditional and conditional",IF(COUNTIFS(Targets!A:A,A446,Targets!H:H,"Transport sector mitigation target",Targets!J:J,"GHG",Targets!L:L,"Conditional")&gt;0,"GHG conditional only",IF(COUNTIFS(Targets!A:A,A446,Targets!H:H,"Transport sector mitigation target",Targets!J:J,"GHG",Targets!L:L,"Unconditional")&gt;0,"GHG unconditional only",IF(COUNTIFS(Targets!A:A,A446,Targets!H:H,"Transport sector mitigation target",Targets!J:J,"GHG",Targets!L:L,"Unclear conditionality")&gt;0,"Conditionality unclear",""))))))</f>
        <v>No transport target</v>
      </c>
      <c r="N446" s="43" t="str" cm="1">
        <f t="array" ref="N446">IF(ISNUMBER(MATCH("Transport sector adaptation target", _xlfn._xlws.FILTER(Targets!H:H, Targets!A:A =A446), 0)), "yes", "no")</f>
        <v>no</v>
      </c>
      <c r="O446" s="43" t="str">
        <f>IF(ISNA(MATCH(A446, Mitigation!A:A, 0)), "no", "yes")</f>
        <v>yes</v>
      </c>
      <c r="P446" s="43" t="str">
        <f>IF(ISNA(MATCH(A446, Adaptation!A:A, 0)), "no", "yes")</f>
        <v>yes</v>
      </c>
      <c r="Q446" s="43" t="str">
        <f>IF(ISNA(MATCH(A446, Benefits!A:A, 0)), "no", "yes")</f>
        <v>no</v>
      </c>
      <c r="R446" s="43"/>
      <c r="S446" s="43"/>
      <c r="T446" s="43" t="s">
        <v>501</v>
      </c>
      <c r="U446" s="312" t="s">
        <v>958</v>
      </c>
      <c r="V446" s="233" t="str">
        <f>VLOOKUP(Table1[[#This Row],[Country Code]],Table29[],3,FALSE)</f>
        <v>Non-Annex I</v>
      </c>
      <c r="W446" s="233" t="str">
        <f>VLOOKUP(Table1[[#This Row],[Country Code]],Table29[],4,FALSE)</f>
        <v>Asia</v>
      </c>
      <c r="X446" s="233" t="str">
        <f>VLOOKUP(Table1[[#This Row],[Country Code]],Table29[],5,FALSE)</f>
        <v>Middle-income</v>
      </c>
      <c r="Y446" s="43"/>
      <c r="Z446" s="43"/>
    </row>
    <row r="447" spans="1:26" ht="15" customHeight="1" x14ac:dyDescent="0.25">
      <c r="A447" s="360">
        <v>32508</v>
      </c>
      <c r="B447" s="42" t="s">
        <v>300</v>
      </c>
      <c r="C447" s="243" t="str">
        <f>VLOOKUP(Table1[[#This Row],[Country Code]],Table29[],2,FALSE)</f>
        <v>Micronesia (Federated States of)</v>
      </c>
      <c r="D447" s="243" t="str">
        <f t="shared" si="16"/>
        <v>Good</v>
      </c>
      <c r="E447" s="176" t="s">
        <v>71</v>
      </c>
      <c r="F447" s="43" t="s">
        <v>528</v>
      </c>
      <c r="G447" s="43" t="str">
        <f t="shared" si="17"/>
        <v>First NDC updated</v>
      </c>
      <c r="H447" s="43" t="s">
        <v>691</v>
      </c>
      <c r="I447" s="355">
        <v>44851</v>
      </c>
      <c r="J447" s="352" t="s">
        <v>505</v>
      </c>
      <c r="K447" s="320" t="str" cm="1">
        <f t="array" ref="K447">IF(ISNUMBER(MATCH("Transport sector mitigation target", _xlfn._xlws.FILTER(Targets!H:H, Targets!A:A =A447), 0)), "yes", "no")</f>
        <v>no</v>
      </c>
      <c r="L447" s="43" t="str">
        <f>IF(K447="no", "No transport target", IF(AND(COUNTIFS(Targets!A:A, A447, Targets!H:H, "Transport sector mitigation target", Targets!J:J, "GHG") &gt; 0, COUNTIFS(Targets!A:A, A447, Targets!H:H, "Transport sector mitigation target", Targets!J:J, "Non GHG") &gt; 0), "GHG and non-GHG target", IF(COUNTIFS(Targets!A:A, A447, Targets!H:H, "Transport sector mitigation target", Targets!J:J, "GHG") &gt; 0, "GHG target", IF(COUNTIFS(Targets!A:A, A447, Targets!H:H, "Transport sector mitigation target", Targets!J:J, "Non GHG") &gt; 0, "non-GHG target", ""))))</f>
        <v>No transport target</v>
      </c>
      <c r="M447" s="43" t="str">
        <f>IF(K447="no","No transport target",IF(L447="non-GHG target","No GHG transport target",IF(AND(COUNTIFS(Targets!A:A,A447,Targets!H:H,"Transport sector mitigation target",Targets!J:J,"GHG",Targets!L:L,"Conditional")&gt;0,COUNTIFS(Targets!A:A,A447,Targets!H:H,"Transport sector mitigation target",Targets!J:J,"GHG",Targets!L:L,"Unconditional")&gt;0),"GHG unconditional and conditional",IF(COUNTIFS(Targets!A:A,A447,Targets!H:H,"Transport sector mitigation target",Targets!J:J,"GHG",Targets!L:L,"Conditional")&gt;0,"GHG conditional only",IF(COUNTIFS(Targets!A:A,A447,Targets!H:H,"Transport sector mitigation target",Targets!J:J,"GHG",Targets!L:L,"Unconditional")&gt;0,"GHG unconditional only",IF(COUNTIFS(Targets!A:A,A447,Targets!H:H,"Transport sector mitigation target",Targets!J:J,"GHG",Targets!L:L,"Unclear conditionality")&gt;0,"Conditionality unclear",""))))))</f>
        <v>No transport target</v>
      </c>
      <c r="N447" s="43" t="str" cm="1">
        <f t="array" ref="N447">IF(ISNUMBER(MATCH("Transport sector adaptation target", _xlfn._xlws.FILTER(Targets!H:H, Targets!A:A =A447), 0)), "yes", "no")</f>
        <v>yes</v>
      </c>
      <c r="O447" s="43" t="str">
        <f>IF(ISNA(MATCH(A447, Mitigation!A:A, 0)), "no", "yes")</f>
        <v>yes</v>
      </c>
      <c r="P447" s="43" t="str">
        <f>IF(ISNA(MATCH(A447, Adaptation!A:A, 0)), "no", "yes")</f>
        <v>yes</v>
      </c>
      <c r="Q447" s="43" t="str">
        <f>IF(ISNA(MATCH(A447, Benefits!A:A, 0)), "no", "yes")</f>
        <v>yes</v>
      </c>
      <c r="R447" s="43"/>
      <c r="S447" s="43"/>
      <c r="T447" s="43" t="s">
        <v>501</v>
      </c>
      <c r="U447" s="312" t="s">
        <v>959</v>
      </c>
      <c r="V447" s="233" t="str">
        <f>VLOOKUP(Table1[[#This Row],[Country Code]],Table29[],3,FALSE)</f>
        <v>Non-Annex I</v>
      </c>
      <c r="W447" s="233" t="str">
        <f>VLOOKUP(Table1[[#This Row],[Country Code]],Table29[],4,FALSE)</f>
        <v>Oceania</v>
      </c>
      <c r="X447" s="233" t="str">
        <f>VLOOKUP(Table1[[#This Row],[Country Code]],Table29[],5,FALSE)</f>
        <v>Middle-income</v>
      </c>
      <c r="Y447" s="43"/>
      <c r="Z447" s="43"/>
    </row>
    <row r="448" spans="1:26" ht="15" customHeight="1" x14ac:dyDescent="0.25">
      <c r="A448" s="360">
        <v>32499</v>
      </c>
      <c r="B448" s="42" t="s">
        <v>179</v>
      </c>
      <c r="C448" s="243" t="str">
        <f>VLOOKUP(Table1[[#This Row],[Country Code]],Table29[],2,FALSE)</f>
        <v>Equatorial Guinea</v>
      </c>
      <c r="D448" s="243" t="str">
        <f t="shared" si="16"/>
        <v>Good</v>
      </c>
      <c r="E448" s="176" t="s">
        <v>71</v>
      </c>
      <c r="F448" s="43" t="s">
        <v>528</v>
      </c>
      <c r="G448" s="43" t="str">
        <f t="shared" si="17"/>
        <v>First NDC updated</v>
      </c>
      <c r="H448" s="43" t="s">
        <v>691</v>
      </c>
      <c r="I448" s="355">
        <v>44858</v>
      </c>
      <c r="J448" s="352" t="s">
        <v>505</v>
      </c>
      <c r="K448" s="320" t="str" cm="1">
        <f t="array" ref="K448">IF(ISNUMBER(MATCH("Transport sector mitigation target", _xlfn._xlws.FILTER(Targets!H:H, Targets!A:A =A448), 0)), "yes", "no")</f>
        <v>no</v>
      </c>
      <c r="L448" s="43" t="str">
        <f>IF(K448="no", "No transport target", IF(AND(COUNTIFS(Targets!A:A, A448, Targets!H:H, "Transport sector mitigation target", Targets!J:J, "GHG") &gt; 0, COUNTIFS(Targets!A:A, A448, Targets!H:H, "Transport sector mitigation target", Targets!J:J, "Non GHG") &gt; 0), "GHG and non-GHG target", IF(COUNTIFS(Targets!A:A, A448, Targets!H:H, "Transport sector mitigation target", Targets!J:J, "GHG") &gt; 0, "GHG target", IF(COUNTIFS(Targets!A:A, A448, Targets!H:H, "Transport sector mitigation target", Targets!J:J, "Non GHG") &gt; 0, "non-GHG target", ""))))</f>
        <v>No transport target</v>
      </c>
      <c r="M448" s="43" t="str">
        <f>IF(K448="no","No transport target",IF(L448="non-GHG target","No GHG transport target",IF(AND(COUNTIFS(Targets!A:A,A448,Targets!H:H,"Transport sector mitigation target",Targets!J:J,"GHG",Targets!L:L,"Conditional")&gt;0,COUNTIFS(Targets!A:A,A448,Targets!H:H,"Transport sector mitigation target",Targets!J:J,"GHG",Targets!L:L,"Unconditional")&gt;0),"GHG unconditional and conditional",IF(COUNTIFS(Targets!A:A,A448,Targets!H:H,"Transport sector mitigation target",Targets!J:J,"GHG",Targets!L:L,"Conditional")&gt;0,"GHG conditional only",IF(COUNTIFS(Targets!A:A,A448,Targets!H:H,"Transport sector mitigation target",Targets!J:J,"GHG",Targets!L:L,"Unconditional")&gt;0,"GHG unconditional only",IF(COUNTIFS(Targets!A:A,A448,Targets!H:H,"Transport sector mitigation target",Targets!J:J,"GHG",Targets!L:L,"Unclear conditionality")&gt;0,"Conditionality unclear",""))))))</f>
        <v>No transport target</v>
      </c>
      <c r="N448" s="43" t="str" cm="1">
        <f t="array" ref="N448">IF(ISNUMBER(MATCH("Transport sector adaptation target", _xlfn._xlws.FILTER(Targets!H:H, Targets!A:A =A448), 0)), "yes", "no")</f>
        <v>no</v>
      </c>
      <c r="O448" s="43" t="str">
        <f>IF(ISNA(MATCH(A448, Mitigation!A:A, 0)), "no", "yes")</f>
        <v>yes</v>
      </c>
      <c r="P448" s="43" t="str">
        <f>IF(ISNA(MATCH(A448, Adaptation!A:A, 0)), "no", "yes")</f>
        <v>no</v>
      </c>
      <c r="Q448" s="43" t="str">
        <f>IF(ISNA(MATCH(A448, Benefits!A:A, 0)), "no", "yes")</f>
        <v>no</v>
      </c>
      <c r="R448" s="43"/>
      <c r="S448" s="43"/>
      <c r="T448" s="43" t="s">
        <v>501</v>
      </c>
      <c r="U448" s="312" t="s">
        <v>960</v>
      </c>
      <c r="V448" s="233" t="str">
        <f>VLOOKUP(Table1[[#This Row],[Country Code]],Table29[],3,FALSE)</f>
        <v>Non-Annex I</v>
      </c>
      <c r="W448" s="233" t="str">
        <f>VLOOKUP(Table1[[#This Row],[Country Code]],Table29[],4,FALSE)</f>
        <v>Africa</v>
      </c>
      <c r="X448" s="233" t="str">
        <f>VLOOKUP(Table1[[#This Row],[Country Code]],Table29[],5,FALSE)</f>
        <v>Middle-income</v>
      </c>
      <c r="Y448" s="43"/>
      <c r="Z448" s="43"/>
    </row>
    <row r="449" spans="1:26" ht="15" customHeight="1" x14ac:dyDescent="0.25">
      <c r="A449" s="360">
        <v>17687</v>
      </c>
      <c r="B449" s="43" t="s">
        <v>333</v>
      </c>
      <c r="C449" s="243" t="str">
        <f>VLOOKUP(Table1[[#This Row],[Country Code]],Table29[],2,FALSE)</f>
        <v>Norway</v>
      </c>
      <c r="D449" s="243" t="str">
        <f t="shared" si="16"/>
        <v>Good</v>
      </c>
      <c r="E449" s="176" t="s">
        <v>227</v>
      </c>
      <c r="F449" s="43" t="s">
        <v>227</v>
      </c>
      <c r="G449" s="43" t="str">
        <f t="shared" si="17"/>
        <v>LTS</v>
      </c>
      <c r="H449" s="43" t="s">
        <v>636</v>
      </c>
      <c r="I449" s="351">
        <v>44160</v>
      </c>
      <c r="J449" s="352" t="s">
        <v>505</v>
      </c>
      <c r="K449" s="320" t="str" cm="1">
        <f t="array" ref="K449">IF(ISNUMBER(MATCH("Transport sector mitigation target", _xlfn._xlws.FILTER(Targets!H:H, Targets!A:A =A449), 0)), "yes", "no")</f>
        <v>no</v>
      </c>
      <c r="L449" s="43" t="str">
        <f>IF(K449="no", "No transport target", IF(AND(COUNTIFS(Targets!A:A, A449, Targets!H:H, "Transport sector mitigation target", Targets!J:J, "GHG") &gt; 0, COUNTIFS(Targets!A:A, A449, Targets!H:H, "Transport sector mitigation target", Targets!J:J, "Non GHG") &gt; 0), "GHG and non-GHG target", IF(COUNTIFS(Targets!A:A, A449, Targets!H:H, "Transport sector mitigation target", Targets!J:J, "GHG") &gt; 0, "GHG target", IF(COUNTIFS(Targets!A:A, A449, Targets!H:H, "Transport sector mitigation target", Targets!J:J, "Non GHG") &gt; 0, "non-GHG target", ""))))</f>
        <v>No transport target</v>
      </c>
      <c r="M449" s="43" t="str">
        <f>IF(K449="no","No transport target",IF(L449="non-GHG target","No GHG transport target",IF(AND(COUNTIFS(Targets!A:A,A449,Targets!H:H,"Transport sector mitigation target",Targets!J:J,"GHG",Targets!L:L,"Conditional")&gt;0,COUNTIFS(Targets!A:A,A449,Targets!H:H,"Transport sector mitigation target",Targets!J:J,"GHG",Targets!L:L,"Unconditional")&gt;0),"GHG unconditional and conditional",IF(COUNTIFS(Targets!A:A,A449,Targets!H:H,"Transport sector mitigation target",Targets!J:J,"GHG",Targets!L:L,"Conditional")&gt;0,"GHG conditional only",IF(COUNTIFS(Targets!A:A,A449,Targets!H:H,"Transport sector mitigation target",Targets!J:J,"GHG",Targets!L:L,"Unconditional")&gt;0,"GHG unconditional only",IF(COUNTIFS(Targets!A:A,A449,Targets!H:H,"Transport sector mitigation target",Targets!J:J,"GHG",Targets!L:L,"Unclear conditionality")&gt;0,"Conditionality unclear",""))))))</f>
        <v>No transport target</v>
      </c>
      <c r="N449" s="43" t="str" cm="1">
        <f t="array" ref="N449">IF(ISNUMBER(MATCH("Transport sector adaptation target", _xlfn._xlws.FILTER(Targets!H:H, Targets!A:A =A449), 0)), "yes", "no")</f>
        <v>no</v>
      </c>
      <c r="O449" s="43" t="str">
        <f>IF(ISNA(MATCH(A449, Mitigation!A:A, 0)), "no", "yes")</f>
        <v>yes</v>
      </c>
      <c r="P449" s="43" t="str">
        <f>IF(ISNA(MATCH(A449, Adaptation!A:A, 0)), "no", "yes")</f>
        <v>no</v>
      </c>
      <c r="Q449" s="43" t="str">
        <f>IF(ISNA(MATCH(A449, Benefits!A:A, 0)), "no", "yes")</f>
        <v>no</v>
      </c>
      <c r="R449" s="43"/>
      <c r="S449" s="43"/>
      <c r="T449" s="43" t="s">
        <v>501</v>
      </c>
      <c r="U449" s="312" t="s">
        <v>961</v>
      </c>
      <c r="V449" s="233" t="str">
        <f>VLOOKUP(Table1[[#This Row],[Country Code]],Table29[],3,FALSE)</f>
        <v>Annex I</v>
      </c>
      <c r="W449" s="233" t="str">
        <f>VLOOKUP(Table1[[#This Row],[Country Code]],Table29[],4,FALSE)</f>
        <v>Europe</v>
      </c>
      <c r="X449" s="233" t="str">
        <f>VLOOKUP(Table1[[#This Row],[Country Code]],Table29[],5,FALSE)</f>
        <v>High-income</v>
      </c>
      <c r="Y449" s="43"/>
      <c r="Z449" s="43"/>
    </row>
    <row r="450" spans="1:26" ht="15" customHeight="1" x14ac:dyDescent="0.25">
      <c r="A450" s="360">
        <v>23368</v>
      </c>
      <c r="B450" s="19" t="s">
        <v>342</v>
      </c>
      <c r="C450" s="206" t="str">
        <f>VLOOKUP(Table1[[#This Row],[Country Code]],Table29[],2,FALSE)</f>
        <v>Palestine</v>
      </c>
      <c r="D450" s="243" t="str">
        <f t="shared" si="16"/>
        <v>Good</v>
      </c>
      <c r="E450" s="20" t="s">
        <v>71</v>
      </c>
      <c r="F450" s="17" t="s">
        <v>528</v>
      </c>
      <c r="G450" s="43" t="str">
        <f t="shared" si="17"/>
        <v>First NDC updated</v>
      </c>
      <c r="H450" s="17" t="s">
        <v>691</v>
      </c>
      <c r="I450" s="149">
        <v>44479</v>
      </c>
      <c r="J450" s="187" t="s">
        <v>505</v>
      </c>
      <c r="K450" s="49" t="str" cm="1">
        <f t="array" ref="K450">IF(ISNUMBER(MATCH("Transport sector mitigation target", _xlfn._xlws.FILTER(Targets!H:H, Targets!A:A =A450), 0)), "yes", "no")</f>
        <v>yes</v>
      </c>
      <c r="L450" s="17" t="str">
        <f>IF(K450="no", "No transport target", IF(AND(COUNTIFS(Targets!A:A, A450, Targets!H:H, "Transport sector mitigation target", Targets!J:J, "GHG") &gt; 0, COUNTIFS(Targets!A:A, A450, Targets!H:H, "Transport sector mitigation target", Targets!J:J, "Non GHG") &gt; 0), "GHG and non-GHG target", IF(COUNTIFS(Targets!A:A, A450, Targets!H:H, "Transport sector mitigation target", Targets!J:J, "GHG") &gt; 0, "GHG target", IF(COUNTIFS(Targets!A:A, A450, Targets!H:H, "Transport sector mitigation target", Targets!J:J, "Non GHG") &gt; 0, "non-GHG target", ""))))</f>
        <v>non-GHG target</v>
      </c>
      <c r="M450" s="17" t="str">
        <f>IF(K450="no","No transport target",IF(L450="non-GHG target","No GHG transport target",IF(AND(COUNTIFS(Targets!A:A,A450,Targets!H:H,"Transport sector mitigation target",Targets!J:J,"GHG",Targets!L:L,"Conditional")&gt;0,COUNTIFS(Targets!A:A,A450,Targets!H:H,"Transport sector mitigation target",Targets!J:J,"GHG",Targets!L:L,"Unconditional")&gt;0),"GHG unconditional and conditional",IF(COUNTIFS(Targets!A:A,A450,Targets!H:H,"Transport sector mitigation target",Targets!J:J,"GHG",Targets!L:L,"Conditional")&gt;0,"GHG conditional only",IF(COUNTIFS(Targets!A:A,A450,Targets!H:H,"Transport sector mitigation target",Targets!J:J,"GHG",Targets!L:L,"Unconditional")&gt;0,"GHG unconditional only",IF(COUNTIFS(Targets!A:A,A450,Targets!H:H,"Transport sector mitigation target",Targets!J:J,"GHG",Targets!L:L,"Unclear conditionality")&gt;0,"Conditionality unclear",""))))))</f>
        <v>No GHG transport target</v>
      </c>
      <c r="N450" s="17" t="str" cm="1">
        <f t="array" ref="N450">IF(ISNUMBER(MATCH("Transport sector adaptation target", _xlfn._xlws.FILTER(Targets!H:H, Targets!A:A =A450), 0)), "yes", "no")</f>
        <v>no</v>
      </c>
      <c r="O450" s="17" t="str">
        <f>IF(ISNA(MATCH(A450, Mitigation!A:A, 0)), "no", "yes")</f>
        <v>yes</v>
      </c>
      <c r="P450" s="17" t="str">
        <f>IF(ISNA(MATCH(A450, Adaptation!A:A, 0)), "no", "yes")</f>
        <v>yes</v>
      </c>
      <c r="Q450" s="17" t="str">
        <f>IF(ISNA(MATCH(A450, Benefits!A:A, 0)), "no", "yes")</f>
        <v>no</v>
      </c>
      <c r="R450" s="17"/>
      <c r="S450" s="17"/>
      <c r="T450" s="17" t="s">
        <v>501</v>
      </c>
      <c r="U450" s="135" t="s">
        <v>962</v>
      </c>
      <c r="V450" s="207" t="str">
        <f>VLOOKUP(Table1[[#This Row],[Country Code]],Table29[],3,FALSE)</f>
        <v>Non-Annex I</v>
      </c>
      <c r="W450" s="207" t="str">
        <f>VLOOKUP(Table1[[#This Row],[Country Code]],Table29[],4,FALSE)</f>
        <v>Asia</v>
      </c>
      <c r="X450" s="207" t="str">
        <f>VLOOKUP(Table1[[#This Row],[Country Code]],Table29[],5,FALSE)</f>
        <v>Middle-income</v>
      </c>
      <c r="Y450" s="17"/>
      <c r="Z450" s="17"/>
    </row>
    <row r="451" spans="1:26" ht="15" customHeight="1" x14ac:dyDescent="0.25">
      <c r="A451" s="405">
        <v>43846</v>
      </c>
      <c r="B451" s="20" t="s">
        <v>344</v>
      </c>
      <c r="C451" s="207" t="str">
        <f>VLOOKUP(Table1[[#This Row],[Country Code]],Table29[],2,FALSE)</f>
        <v>Panama</v>
      </c>
      <c r="D451" s="243" t="str">
        <f t="shared" si="16"/>
        <v>Good</v>
      </c>
      <c r="E451" s="20" t="s">
        <v>227</v>
      </c>
      <c r="F451" s="17" t="s">
        <v>227</v>
      </c>
      <c r="G451" s="17" t="str">
        <f t="shared" si="17"/>
        <v>LTS</v>
      </c>
      <c r="H451" s="148" t="s">
        <v>636</v>
      </c>
      <c r="I451" s="163">
        <v>45461</v>
      </c>
      <c r="J451" s="187" t="s">
        <v>505</v>
      </c>
      <c r="K451" s="49" t="str" cm="1">
        <f t="array" ref="K451">IF(ISNUMBER(MATCH("Transport sector mitigation target", _xlfn._xlws.FILTER(Targets!H:H, Targets!A:A =A451), 0)), "yes", "no")</f>
        <v>yes</v>
      </c>
      <c r="L451" s="17" t="str">
        <f>IF(K451="no", "No transport target", IF(AND(COUNTIFS(Targets!A:A, A451, Targets!H:H, "Transport sector mitigation target", Targets!J:J, "GHG") &gt; 0, COUNTIFS(Targets!A:A, A451, Targets!H:H, "Transport sector mitigation target", Targets!J:J, "Non GHG") &gt; 0), "GHG and non-GHG target", IF(COUNTIFS(Targets!A:A, A451, Targets!H:H, "Transport sector mitigation target", Targets!J:J, "GHG") &gt; 0, "GHG target", IF(COUNTIFS(Targets!A:A, A451, Targets!H:H, "Transport sector mitigation target", Targets!J:J, "Non GHG") &gt; 0, "non-GHG target", ""))))</f>
        <v>non-GHG target</v>
      </c>
      <c r="M451" s="17" t="str">
        <f>IF(K451="no","No transport target",IF(L451="non-GHG target","No GHG transport target",IF(AND(COUNTIFS(Targets!A:A,A451,Targets!H:H,"Transport sector mitigation target",Targets!J:J,"GHG",Targets!L:L,"Conditional")&gt;0,COUNTIFS(Targets!A:A,A451,Targets!H:H,"Transport sector mitigation target",Targets!J:J,"GHG",Targets!L:L,"Unconditional")&gt;0),"GHG unconditional and conditional",IF(COUNTIFS(Targets!A:A,A451,Targets!H:H,"Transport sector mitigation target",Targets!J:J,"GHG",Targets!L:L,"Conditional")&gt;0,"GHG conditional only",IF(COUNTIFS(Targets!A:A,A451,Targets!H:H,"Transport sector mitigation target",Targets!J:J,"GHG",Targets!L:L,"Unconditional")&gt;0,"GHG unconditional only",IF(COUNTIFS(Targets!A:A,A451,Targets!H:H,"Transport sector mitigation target",Targets!J:J,"GHG",Targets!L:L,"Unclear conditionality")&gt;0,"Conditionality unclear",""))))))</f>
        <v>No GHG transport target</v>
      </c>
      <c r="N451" s="17" t="str" cm="1">
        <f t="array" ref="N451">IF(ISNUMBER(MATCH("Transport sector adaptation target", _xlfn._xlws.FILTER(Targets!H:H, Targets!A:A =A451), 0)), "yes", "no")</f>
        <v>no</v>
      </c>
      <c r="O451" s="17" t="str">
        <f>IF(ISNA(MATCH(A451, Mitigation!A:A, 0)), "no", "yes")</f>
        <v>no</v>
      </c>
      <c r="P451" s="17" t="str">
        <f>IF(ISNA(MATCH(A451, Adaptation!A:A, 0)), "no", "yes")</f>
        <v>no</v>
      </c>
      <c r="Q451" s="17" t="str">
        <f>IF(ISNA(MATCH(A451, Benefits!A:A, 0)), "no", "yes")</f>
        <v>no</v>
      </c>
      <c r="R451" s="17"/>
      <c r="S451" s="148"/>
      <c r="T451" s="17"/>
      <c r="U451" s="411" t="s">
        <v>963</v>
      </c>
      <c r="V451" s="207" t="str">
        <f>VLOOKUP(Table1[[#This Row],[Country Code]],Table29[],3,FALSE)</f>
        <v>Non-Annex I</v>
      </c>
      <c r="W451" s="207" t="str">
        <f>VLOOKUP(Table1[[#This Row],[Country Code]],Table29[],4,FALSE)</f>
        <v>Latin America and the Caribbean</v>
      </c>
      <c r="X451" s="233" t="str">
        <f>VLOOKUP(Table1[[#This Row],[Country Code]],Table29[],5,FALSE)</f>
        <v>Middle-income</v>
      </c>
      <c r="Y451" s="17"/>
      <c r="Z451" s="17"/>
    </row>
    <row r="452" spans="1:26" ht="15" customHeight="1" x14ac:dyDescent="0.25">
      <c r="A452" s="405">
        <v>43718</v>
      </c>
      <c r="B452" s="20" t="s">
        <v>424</v>
      </c>
      <c r="C452" s="207" t="s">
        <v>425</v>
      </c>
      <c r="D452" s="243" t="str">
        <f t="shared" si="16"/>
        <v>Good</v>
      </c>
      <c r="E452" s="20" t="s">
        <v>71</v>
      </c>
      <c r="F452" s="17" t="s">
        <v>555</v>
      </c>
      <c r="G452" s="17" t="str">
        <f t="shared" si="17"/>
        <v>Second NDC</v>
      </c>
      <c r="H452" s="148" t="s">
        <v>714</v>
      </c>
      <c r="I452" s="163">
        <v>44867</v>
      </c>
      <c r="J452" s="187" t="s">
        <v>505</v>
      </c>
      <c r="K452" s="49" t="str" cm="1">
        <f t="array" ref="K452">IF(ISNUMBER(MATCH("Transport sector mitigation target", _xlfn._xlws.FILTER(Targets!H:H, Targets!A:A =A452), 0)), "yes", "no")</f>
        <v>no</v>
      </c>
      <c r="L452" s="17" t="str">
        <f>IF(K452="no", "No transport target", IF(AND(COUNTIFS(Targets!A:A, A452, Targets!H:H, "Transport sector mitigation target", Targets!J:J, "GHG") &gt; 0, COUNTIFS(Targets!A:A, A452, Targets!H:H, "Transport sector mitigation target", Targets!J:J, "Non GHG") &gt; 0), "GHG and non-GHG target", IF(COUNTIFS(Targets!A:A, A452, Targets!H:H, "Transport sector mitigation target", Targets!J:J, "GHG") &gt; 0, "GHG target", IF(COUNTIFS(Targets!A:A, A452, Targets!H:H, "Transport sector mitigation target", Targets!J:J, "Non GHG") &gt; 0, "non-GHG target", ""))))</f>
        <v>No transport target</v>
      </c>
      <c r="M452" s="17" t="str">
        <f>IF(K452="no","No transport target",IF(L452="non-GHG target","No GHG transport target",IF(AND(COUNTIFS(Targets!A:A,A452,Targets!H:H,"Transport sector mitigation target",Targets!J:J,"GHG",Targets!L:L,"Conditional")&gt;0,COUNTIFS(Targets!A:A,A452,Targets!H:H,"Transport sector mitigation target",Targets!J:J,"GHG",Targets!L:L,"Unconditional")&gt;0),"GHG unconditional and conditional",IF(COUNTIFS(Targets!A:A,A452,Targets!H:H,"Transport sector mitigation target",Targets!J:J,"GHG",Targets!L:L,"Conditional")&gt;0,"GHG conditional only",IF(COUNTIFS(Targets!A:A,A452,Targets!H:H,"Transport sector mitigation target",Targets!J:J,"GHG",Targets!L:L,"Unconditional")&gt;0,"GHG unconditional only",IF(COUNTIFS(Targets!A:A,A452,Targets!H:H,"Transport sector mitigation target",Targets!J:J,"GHG",Targets!L:L,"Unclear conditionality")&gt;0,"Conditionality unclear",""))))))</f>
        <v>No transport target</v>
      </c>
      <c r="N452" s="17" t="str" cm="1">
        <f t="array" ref="N452">IF(ISNUMBER(MATCH("Transport sector adaptation target", _xlfn._xlws.FILTER(Targets!H:H, Targets!A:A =A452), 0)), "yes", "no")</f>
        <v>no</v>
      </c>
      <c r="O452" s="17" t="str">
        <f>IF(ISNA(MATCH(A452, Mitigation!A:A, 0)), "no", "yes")</f>
        <v>yes</v>
      </c>
      <c r="P452" s="17" t="str">
        <f>IF(ISNA(MATCH(A452, Adaptation!A:A, 0)), "no", "yes")</f>
        <v>no</v>
      </c>
      <c r="Q452" s="17" t="str">
        <f>IF(ISNA(MATCH(A452, Benefits!A:A, 0)), "no", "yes")</f>
        <v>no</v>
      </c>
      <c r="R452" s="17"/>
      <c r="S452" s="148"/>
      <c r="T452" s="17"/>
      <c r="U452" s="148"/>
      <c r="V452" s="207" t="str">
        <f>VLOOKUP(Table1[[#This Row],[Country Code]],Table29[],3,FALSE)</f>
        <v>Non-Annex I</v>
      </c>
      <c r="W452" s="207" t="str">
        <f>VLOOKUP(Table1[[#This Row],[Country Code]],Table29[],4,FALSE)</f>
        <v>Asia</v>
      </c>
      <c r="X452" s="207" t="str">
        <f>VLOOKUP(Table1[[#This Row],[Country Code]],Table29[],5,FALSE)</f>
        <v>Middle-income</v>
      </c>
      <c r="Y452" s="17"/>
      <c r="Z452" s="17"/>
    </row>
    <row r="453" spans="1:26" ht="15" customHeight="1" x14ac:dyDescent="0.25">
      <c r="A453" s="405">
        <v>43377</v>
      </c>
      <c r="B453" s="20" t="s">
        <v>344</v>
      </c>
      <c r="C453" s="206" t="s">
        <v>345</v>
      </c>
      <c r="D453" s="243" t="str">
        <f t="shared" si="16"/>
        <v>Good</v>
      </c>
      <c r="E453" s="20" t="s">
        <v>71</v>
      </c>
      <c r="F453" s="17" t="s">
        <v>555</v>
      </c>
      <c r="G453" s="43" t="str">
        <f t="shared" si="17"/>
        <v>Second NDC</v>
      </c>
      <c r="H453" s="148" t="s">
        <v>714</v>
      </c>
      <c r="I453" s="163">
        <v>45456</v>
      </c>
      <c r="J453" s="49" t="s">
        <v>505</v>
      </c>
      <c r="K453" s="49" t="str" cm="1">
        <f t="array" ref="K453">IF(ISNUMBER(MATCH("Transport sector mitigation target", _xlfn._xlws.FILTER(Targets!H:H, Targets!A:A =A453), 0)), "yes", "no")</f>
        <v>yes</v>
      </c>
      <c r="L453" s="17" t="str">
        <f>IF(K453="no", "No transport target", IF(AND(COUNTIFS(Targets!A:A, A453, Targets!H:H, "Transport sector mitigation target", Targets!J:J, "GHG") &gt; 0, COUNTIFS(Targets!A:A, A453, Targets!H:H, "Transport sector mitigation target", Targets!J:J, "Non GHG") &gt; 0), "GHG and non-GHG target", IF(COUNTIFS(Targets!A:A, A453, Targets!H:H, "Transport sector mitigation target", Targets!J:J, "GHG") &gt; 0, "GHG target", IF(COUNTIFS(Targets!A:A, A453, Targets!H:H, "Transport sector mitigation target", Targets!J:J, "Non GHG") &gt; 0, "non-GHG target", ""))))</f>
        <v>non-GHG target</v>
      </c>
      <c r="M453" s="17" t="str">
        <f>IF(K453="no","No transport target",IF(L453="non-GHG target","No GHG transport target",IF(AND(COUNTIFS(Targets!A:A,A453,Targets!H:H,"Transport sector mitigation target",Targets!J:J,"GHG",Targets!L:L,"Conditional")&gt;0,COUNTIFS(Targets!A:A,A453,Targets!H:H,"Transport sector mitigation target",Targets!J:J,"GHG",Targets!L:L,"Unconditional")&gt;0),"GHG unconditional and conditional",IF(COUNTIFS(Targets!A:A,A453,Targets!H:H,"Transport sector mitigation target",Targets!J:J,"GHG",Targets!L:L,"Conditional")&gt;0,"GHG conditional only",IF(COUNTIFS(Targets!A:A,A453,Targets!H:H,"Transport sector mitigation target",Targets!J:J,"GHG",Targets!L:L,"Unconditional")&gt;0,"GHG unconditional only",IF(COUNTIFS(Targets!A:A,A453,Targets!H:H,"Transport sector mitigation target",Targets!J:J,"GHG",Targets!L:L,"Unclear conditionality")&gt;0,"Conditionality unclear",""))))))</f>
        <v>No GHG transport target</v>
      </c>
      <c r="N453" s="17" t="str" cm="1">
        <f t="array" ref="N453">IF(ISNUMBER(MATCH("Transport sector adaptation target", _xlfn._xlws.FILTER(Targets!H:H, Targets!A:A =A453), 0)), "yes", "no")</f>
        <v>no</v>
      </c>
      <c r="O453" s="17" t="str">
        <f>IF(ISNA(MATCH(A453, Mitigation!A:A, 0)), "no", "yes")</f>
        <v>yes</v>
      </c>
      <c r="P453" s="17" t="str">
        <f>IF(ISNA(MATCH(A453, Adaptation!A:A, 0)), "no", "yes")</f>
        <v>no</v>
      </c>
      <c r="Q453" s="17" t="str">
        <f>IF(ISNA(MATCH(A453, Benefits!A:A, 0)), "no", "yes")</f>
        <v>no</v>
      </c>
      <c r="R453" s="17"/>
      <c r="S453" s="148"/>
      <c r="T453" s="17"/>
      <c r="U453" s="171" t="s">
        <v>964</v>
      </c>
      <c r="V453" s="207" t="str">
        <f>VLOOKUP(Table1[[#This Row],[Country Code]],Table29[],3,FALSE)</f>
        <v>Non-Annex I</v>
      </c>
      <c r="W453" s="207" t="str">
        <f>VLOOKUP(Table1[[#This Row],[Country Code]],Table29[],4,FALSE)</f>
        <v>Latin America and the Caribbean</v>
      </c>
      <c r="X453" s="207" t="str">
        <f>VLOOKUP(Table1[[#This Row],[Country Code]],Table29[],5,FALSE)</f>
        <v>Middle-income</v>
      </c>
      <c r="Y453" s="17"/>
      <c r="Z453" s="17"/>
    </row>
    <row r="454" spans="1:26" ht="15" customHeight="1" x14ac:dyDescent="0.25">
      <c r="A454" s="360">
        <v>32510</v>
      </c>
      <c r="B454" s="43" t="s">
        <v>333</v>
      </c>
      <c r="C454" s="243" t="str">
        <f>VLOOKUP(Table1[[#This Row],[Country Code]],Table29[],2,FALSE)</f>
        <v>Norway</v>
      </c>
      <c r="D454" s="243" t="str">
        <f t="shared" si="16"/>
        <v>Good</v>
      </c>
      <c r="E454" s="176" t="s">
        <v>71</v>
      </c>
      <c r="F454" s="43" t="s">
        <v>528</v>
      </c>
      <c r="G454" s="43" t="str">
        <f t="shared" si="17"/>
        <v>First NDC updated</v>
      </c>
      <c r="H454" s="350" t="s">
        <v>743</v>
      </c>
      <c r="I454" s="351">
        <v>44868</v>
      </c>
      <c r="J454" s="352" t="s">
        <v>505</v>
      </c>
      <c r="K454" s="320" t="str" cm="1">
        <f t="array" ref="K454">IF(ISNUMBER(MATCH("Transport sector mitigation target", _xlfn._xlws.FILTER(Targets!H:H, Targets!A:A =A454), 0)), "yes", "no")</f>
        <v>no</v>
      </c>
      <c r="L454" s="43" t="str">
        <f>IF(K454="no", "No transport target", IF(AND(COUNTIFS(Targets!A:A, A454, Targets!H:H, "Transport sector mitigation target", Targets!J:J, "GHG") &gt; 0, COUNTIFS(Targets!A:A, A454, Targets!H:H, "Transport sector mitigation target", Targets!J:J, "Non GHG") &gt; 0), "GHG and non-GHG target", IF(COUNTIFS(Targets!A:A, A454, Targets!H:H, "Transport sector mitigation target", Targets!J:J, "GHG") &gt; 0, "GHG target", IF(COUNTIFS(Targets!A:A, A454, Targets!H:H, "Transport sector mitigation target", Targets!J:J, "Non GHG") &gt; 0, "non-GHG target", ""))))</f>
        <v>No transport target</v>
      </c>
      <c r="M454" s="43" t="str">
        <f>IF(K454="no","No transport target",IF(L454="non-GHG target","No GHG transport target",IF(AND(COUNTIFS(Targets!A:A,A454,Targets!H:H,"Transport sector mitigation target",Targets!J:J,"GHG",Targets!L:L,"Conditional")&gt;0,COUNTIFS(Targets!A:A,A454,Targets!H:H,"Transport sector mitigation target",Targets!J:J,"GHG",Targets!L:L,"Unconditional")&gt;0),"GHG unconditional and conditional",IF(COUNTIFS(Targets!A:A,A454,Targets!H:H,"Transport sector mitigation target",Targets!J:J,"GHG",Targets!L:L,"Conditional")&gt;0,"GHG conditional only",IF(COUNTIFS(Targets!A:A,A454,Targets!H:H,"Transport sector mitigation target",Targets!J:J,"GHG",Targets!L:L,"Unconditional")&gt;0,"GHG unconditional only",IF(COUNTIFS(Targets!A:A,A454,Targets!H:H,"Transport sector mitigation target",Targets!J:J,"GHG",Targets!L:L,"Unclear conditionality")&gt;0,"Conditionality unclear",""))))))</f>
        <v>No transport target</v>
      </c>
      <c r="N454" s="43" t="str" cm="1">
        <f t="array" ref="N454">IF(ISNUMBER(MATCH("Transport sector adaptation target", _xlfn._xlws.FILTER(Targets!H:H, Targets!A:A =A454), 0)), "yes", "no")</f>
        <v>no</v>
      </c>
      <c r="O454" s="43" t="str">
        <f>IF(ISNA(MATCH(A454, Mitigation!A:A, 0)), "no", "yes")</f>
        <v>yes</v>
      </c>
      <c r="P454" s="43" t="str">
        <f>IF(ISNA(MATCH(A454, Adaptation!A:A, 0)), "no", "yes")</f>
        <v>no</v>
      </c>
      <c r="Q454" s="43" t="str">
        <f>IF(ISNA(MATCH(A454, Benefits!A:A, 0)), "no", "yes")</f>
        <v>no</v>
      </c>
      <c r="R454" s="43"/>
      <c r="S454" s="43"/>
      <c r="T454" s="43" t="s">
        <v>501</v>
      </c>
      <c r="U454" s="312" t="s">
        <v>965</v>
      </c>
      <c r="V454" s="233" t="str">
        <f>VLOOKUP(Table1[[#This Row],[Country Code]],Table29[],3,FALSE)</f>
        <v>Annex I</v>
      </c>
      <c r="W454" s="233" t="str">
        <f>VLOOKUP(Table1[[#This Row],[Country Code]],Table29[],4,FALSE)</f>
        <v>Europe</v>
      </c>
      <c r="X454" s="233" t="str">
        <f>VLOOKUP(Table1[[#This Row],[Country Code]],Table29[],5,FALSE)</f>
        <v>High-income</v>
      </c>
      <c r="Y454" s="43"/>
      <c r="Z454" s="43"/>
    </row>
    <row r="455" spans="1:26" ht="15" customHeight="1" x14ac:dyDescent="0.25">
      <c r="A455" s="405">
        <v>32514</v>
      </c>
      <c r="B455" s="17" t="s">
        <v>394</v>
      </c>
      <c r="C455" s="206" t="str">
        <f>VLOOKUP(Table1[[#This Row],[Country Code]],Table29[],2,FALSE)</f>
        <v>Singapore</v>
      </c>
      <c r="D455" s="243" t="str">
        <f t="shared" si="16"/>
        <v>Good</v>
      </c>
      <c r="E455" s="20" t="s">
        <v>71</v>
      </c>
      <c r="F455" s="17" t="s">
        <v>528</v>
      </c>
      <c r="G455" s="43" t="str">
        <f t="shared" si="17"/>
        <v>First NDC updated</v>
      </c>
      <c r="H455" s="17" t="s">
        <v>743</v>
      </c>
      <c r="I455" s="149">
        <v>44869</v>
      </c>
      <c r="J455" s="187" t="s">
        <v>500</v>
      </c>
      <c r="K455" s="49" t="str" cm="1">
        <f t="array" ref="K455">IF(ISNUMBER(MATCH("Transport sector mitigation target", _xlfn._xlws.FILTER(Targets!H:H, Targets!A:A =A455), 0)), "yes", "no")</f>
        <v>yes</v>
      </c>
      <c r="L455" s="17" t="str">
        <f>IF(K455="no", "No transport target", IF(AND(COUNTIFS(Targets!A:A, A455, Targets!H:H, "Transport sector mitigation target", Targets!J:J, "GHG") &gt; 0, COUNTIFS(Targets!A:A, A455, Targets!H:H, "Transport sector mitigation target", Targets!J:J, "Non GHG") &gt; 0), "GHG and non-GHG target", IF(COUNTIFS(Targets!A:A, A455, Targets!H:H, "Transport sector mitigation target", Targets!J:J, "GHG") &gt; 0, "GHG target", IF(COUNTIFS(Targets!A:A, A455, Targets!H:H, "Transport sector mitigation target", Targets!J:J, "Non GHG") &gt; 0, "non-GHG target", ""))))</f>
        <v>non-GHG target</v>
      </c>
      <c r="M455" s="17" t="str">
        <f>IF(K455="no","No transport target",IF(L455="non-GHG target","No GHG transport target",IF(AND(COUNTIFS(Targets!A:A,A455,Targets!H:H,"Transport sector mitigation target",Targets!J:J,"GHG",Targets!L:L,"Conditional")&gt;0,COUNTIFS(Targets!A:A,A455,Targets!H:H,"Transport sector mitigation target",Targets!J:J,"GHG",Targets!L:L,"Unconditional")&gt;0),"GHG unconditional and conditional",IF(COUNTIFS(Targets!A:A,A455,Targets!H:H,"Transport sector mitigation target",Targets!J:J,"GHG",Targets!L:L,"Conditional")&gt;0,"GHG conditional only",IF(COUNTIFS(Targets!A:A,A455,Targets!H:H,"Transport sector mitigation target",Targets!J:J,"GHG",Targets!L:L,"Unconditional")&gt;0,"GHG unconditional only",IF(COUNTIFS(Targets!A:A,A455,Targets!H:H,"Transport sector mitigation target",Targets!J:J,"GHG",Targets!L:L,"Unclear conditionality")&gt;0,"Conditionality unclear",""))))))</f>
        <v>No GHG transport target</v>
      </c>
      <c r="N455" s="17" t="str" cm="1">
        <f t="array" ref="N455">IF(ISNUMBER(MATCH("Transport sector adaptation target", _xlfn._xlws.FILTER(Targets!H:H, Targets!A:A =A455), 0)), "yes", "no")</f>
        <v>no</v>
      </c>
      <c r="O455" s="17" t="str">
        <f>IF(ISNA(MATCH(A455, Mitigation!A:A, 0)), "no", "yes")</f>
        <v>yes</v>
      </c>
      <c r="P455" s="17" t="str">
        <f>IF(ISNA(MATCH(A455, Adaptation!A:A, 0)), "no", "yes")</f>
        <v>no</v>
      </c>
      <c r="Q455" s="17" t="str">
        <f>IF(ISNA(MATCH(A455, Benefits!A:A, 0)), "no", "yes")</f>
        <v>no</v>
      </c>
      <c r="R455" s="17"/>
      <c r="S455" s="17"/>
      <c r="T455" s="17" t="s">
        <v>501</v>
      </c>
      <c r="U455" s="168" t="s">
        <v>966</v>
      </c>
      <c r="V455" s="207" t="str">
        <f>VLOOKUP(Table1[[#This Row],[Country Code]],Table29[],3,FALSE)</f>
        <v>Non-Annex I</v>
      </c>
      <c r="W455" s="207" t="str">
        <f>VLOOKUP(Table1[[#This Row],[Country Code]],Table29[],4,FALSE)</f>
        <v>Asia</v>
      </c>
      <c r="X455" s="207" t="str">
        <f>VLOOKUP(Table1[[#This Row],[Country Code]],Table29[],5,FALSE)</f>
        <v>High-income</v>
      </c>
      <c r="Y455" s="17"/>
      <c r="Z455" s="17"/>
    </row>
    <row r="456" spans="1:26" ht="15" customHeight="1" x14ac:dyDescent="0.25">
      <c r="A456" s="360">
        <v>17707</v>
      </c>
      <c r="B456" s="43" t="s">
        <v>360</v>
      </c>
      <c r="C456" s="243" t="str">
        <f>VLOOKUP(Table1[[#This Row],[Country Code]],Table29[],2,FALSE)</f>
        <v>Republic of Korea</v>
      </c>
      <c r="D456" s="243" t="str">
        <f t="shared" si="16"/>
        <v>Good</v>
      </c>
      <c r="E456" s="176" t="s">
        <v>227</v>
      </c>
      <c r="F456" s="43" t="s">
        <v>227</v>
      </c>
      <c r="G456" s="43" t="str">
        <f t="shared" si="17"/>
        <v>LTS</v>
      </c>
      <c r="H456" s="43" t="s">
        <v>636</v>
      </c>
      <c r="I456" s="351">
        <v>44195</v>
      </c>
      <c r="J456" s="352" t="s">
        <v>505</v>
      </c>
      <c r="K456" s="320" t="str" cm="1">
        <f t="array" ref="K456">IF(ISNUMBER(MATCH("Transport sector mitigation target", _xlfn._xlws.FILTER(Targets!H:H, Targets!A:A =A456), 0)), "yes", "no")</f>
        <v>no</v>
      </c>
      <c r="L456" s="43" t="str">
        <f>IF(K456="no", "No transport target", IF(AND(COUNTIFS(Targets!A:A, A456, Targets!H:H, "Transport sector mitigation target", Targets!J:J, "GHG") &gt; 0, COUNTIFS(Targets!A:A, A456, Targets!H:H, "Transport sector mitigation target", Targets!J:J, "Non GHG") &gt; 0), "GHG and non-GHG target", IF(COUNTIFS(Targets!A:A, A456, Targets!H:H, "Transport sector mitigation target", Targets!J:J, "GHG") &gt; 0, "GHG target", IF(COUNTIFS(Targets!A:A, A456, Targets!H:H, "Transport sector mitigation target", Targets!J:J, "Non GHG") &gt; 0, "non-GHG target", ""))))</f>
        <v>No transport target</v>
      </c>
      <c r="M456" s="43" t="str">
        <f>IF(K456="no","No transport target",IF(L456="non-GHG target","No GHG transport target",IF(AND(COUNTIFS(Targets!A:A,A456,Targets!H:H,"Transport sector mitigation target",Targets!J:J,"GHG",Targets!L:L,"Conditional")&gt;0,COUNTIFS(Targets!A:A,A456,Targets!H:H,"Transport sector mitigation target",Targets!J:J,"GHG",Targets!L:L,"Unconditional")&gt;0),"GHG unconditional and conditional",IF(COUNTIFS(Targets!A:A,A456,Targets!H:H,"Transport sector mitigation target",Targets!J:J,"GHG",Targets!L:L,"Conditional")&gt;0,"GHG conditional only",IF(COUNTIFS(Targets!A:A,A456,Targets!H:H,"Transport sector mitigation target",Targets!J:J,"GHG",Targets!L:L,"Unconditional")&gt;0,"GHG unconditional only",IF(COUNTIFS(Targets!A:A,A456,Targets!H:H,"Transport sector mitigation target",Targets!J:J,"GHG",Targets!L:L,"Unclear conditionality")&gt;0,"Conditionality unclear",""))))))</f>
        <v>No transport target</v>
      </c>
      <c r="N456" s="43" t="str" cm="1">
        <f t="array" ref="N456">IF(ISNUMBER(MATCH("Transport sector adaptation target", _xlfn._xlws.FILTER(Targets!H:H, Targets!A:A =A456), 0)), "yes", "no")</f>
        <v>no</v>
      </c>
      <c r="O456" s="43" t="str">
        <f>IF(ISNA(MATCH(A456, Mitigation!A:A, 0)), "no", "yes")</f>
        <v>yes</v>
      </c>
      <c r="P456" s="43" t="str">
        <f>IF(ISNA(MATCH(A456, Adaptation!A:A, 0)), "no", "yes")</f>
        <v>no</v>
      </c>
      <c r="Q456" s="43" t="str">
        <f>IF(ISNA(MATCH(A456, Benefits!A:A, 0)), "no", "yes")</f>
        <v>no</v>
      </c>
      <c r="R456" s="43"/>
      <c r="S456" s="43"/>
      <c r="T456" s="43" t="s">
        <v>501</v>
      </c>
      <c r="U456" s="312" t="s">
        <v>967</v>
      </c>
      <c r="V456" s="233" t="str">
        <f>VLOOKUP(Table1[[#This Row],[Country Code]],Table29[],3,FALSE)</f>
        <v>Non-Annex I</v>
      </c>
      <c r="W456" s="233" t="str">
        <f>VLOOKUP(Table1[[#This Row],[Country Code]],Table29[],4,FALSE)</f>
        <v>Asia</v>
      </c>
      <c r="X456" s="233" t="str">
        <f>VLOOKUP(Table1[[#This Row],[Country Code]],Table29[],5,FALSE)</f>
        <v>High-income</v>
      </c>
      <c r="Y456" s="43"/>
      <c r="Z456" s="43"/>
    </row>
    <row r="457" spans="1:26" ht="15" customHeight="1" x14ac:dyDescent="0.25">
      <c r="A457" s="360">
        <v>17703</v>
      </c>
      <c r="B457" s="17" t="s">
        <v>356</v>
      </c>
      <c r="C457" s="206" t="str">
        <f>VLOOKUP(Table1[[#This Row],[Country Code]],Table29[],2,FALSE)</f>
        <v>Portugal</v>
      </c>
      <c r="D457" s="243" t="str">
        <f t="shared" si="16"/>
        <v>Good</v>
      </c>
      <c r="E457" s="20" t="s">
        <v>227</v>
      </c>
      <c r="F457" s="17" t="s">
        <v>227</v>
      </c>
      <c r="G457" s="43" t="str">
        <f t="shared" si="17"/>
        <v>LTS</v>
      </c>
      <c r="H457" s="17" t="s">
        <v>636</v>
      </c>
      <c r="I457" s="149">
        <v>43728</v>
      </c>
      <c r="J457" s="187" t="s">
        <v>505</v>
      </c>
      <c r="K457" s="49" t="str" cm="1">
        <f t="array" ref="K457">IF(ISNUMBER(MATCH("Transport sector mitigation target", _xlfn._xlws.FILTER(Targets!H:H, Targets!A:A =A457), 0)), "yes", "no")</f>
        <v>yes</v>
      </c>
      <c r="L457" s="17" t="str">
        <f>IF(K457="no", "No transport target", IF(AND(COUNTIFS(Targets!A:A, A457, Targets!H:H, "Transport sector mitigation target", Targets!J:J, "GHG") &gt; 0, COUNTIFS(Targets!A:A, A457, Targets!H:H, "Transport sector mitigation target", Targets!J:J, "Non GHG") &gt; 0), "GHG and non-GHG target", IF(COUNTIFS(Targets!A:A, A457, Targets!H:H, "Transport sector mitigation target", Targets!J:J, "GHG") &gt; 0, "GHG target", IF(COUNTIFS(Targets!A:A, A457, Targets!H:H, "Transport sector mitigation target", Targets!J:J, "Non GHG") &gt; 0, "non-GHG target", ""))))</f>
        <v>GHG target</v>
      </c>
      <c r="M457" s="17" t="str">
        <f>IF(K457="no","No transport target",IF(L457="non-GHG target","No GHG transport target",IF(AND(COUNTIFS(Targets!A:A,A457,Targets!H:H,"Transport sector mitigation target",Targets!J:J,"GHG",Targets!L:L,"Conditional")&gt;0,COUNTIFS(Targets!A:A,A457,Targets!H:H,"Transport sector mitigation target",Targets!J:J,"GHG",Targets!L:L,"Unconditional")&gt;0),"GHG unconditional and conditional",IF(COUNTIFS(Targets!A:A,A457,Targets!H:H,"Transport sector mitigation target",Targets!J:J,"GHG",Targets!L:L,"Conditional")&gt;0,"GHG conditional only",IF(COUNTIFS(Targets!A:A,A457,Targets!H:H,"Transport sector mitigation target",Targets!J:J,"GHG",Targets!L:L,"Unconditional")&gt;0,"GHG unconditional only",IF(COUNTIFS(Targets!A:A,A457,Targets!H:H,"Transport sector mitigation target",Targets!J:J,"GHG",Targets!L:L,"Unclear conditionality")&gt;0,"Conditionality unclear",""))))))</f>
        <v>GHG unconditional only</v>
      </c>
      <c r="N457" s="17" t="str" cm="1">
        <f t="array" ref="N457">IF(ISNUMBER(MATCH("Transport sector adaptation target", _xlfn._xlws.FILTER(Targets!H:H, Targets!A:A =A457), 0)), "yes", "no")</f>
        <v>no</v>
      </c>
      <c r="O457" s="17" t="str">
        <f>IF(ISNA(MATCH(A457, Mitigation!A:A, 0)), "no", "yes")</f>
        <v>yes</v>
      </c>
      <c r="P457" s="17" t="str">
        <f>IF(ISNA(MATCH(A457, Adaptation!A:A, 0)), "no", "yes")</f>
        <v>no</v>
      </c>
      <c r="Q457" s="17" t="str">
        <f>IF(ISNA(MATCH(A457, Benefits!A:A, 0)), "no", "yes")</f>
        <v>no</v>
      </c>
      <c r="R457" s="17"/>
      <c r="S457" s="17"/>
      <c r="T457" s="17" t="s">
        <v>501</v>
      </c>
      <c r="U457" s="135" t="s">
        <v>968</v>
      </c>
      <c r="V457" s="207" t="str">
        <f>VLOOKUP(Table1[[#This Row],[Country Code]],Table29[],3,FALSE)</f>
        <v>Annex I</v>
      </c>
      <c r="W457" s="207" t="str">
        <f>VLOOKUP(Table1[[#This Row],[Country Code]],Table29[],4,FALSE)</f>
        <v>Europe</v>
      </c>
      <c r="X457" s="207" t="str">
        <f>VLOOKUP(Table1[[#This Row],[Country Code]],Table29[],5,FALSE)</f>
        <v>High-income</v>
      </c>
      <c r="Y457" s="17"/>
      <c r="Z457" s="17"/>
    </row>
    <row r="458" spans="1:26" ht="15" customHeight="1" x14ac:dyDescent="0.25">
      <c r="A458" s="360">
        <v>17712</v>
      </c>
      <c r="B458" s="43" t="s">
        <v>364</v>
      </c>
      <c r="C458" s="243" t="str">
        <f>VLOOKUP(Table1[[#This Row],[Country Code]],Table29[],2,FALSE)</f>
        <v>Republic of North Macedonia</v>
      </c>
      <c r="D458" s="243" t="str">
        <f t="shared" si="16"/>
        <v>Good</v>
      </c>
      <c r="E458" s="176" t="s">
        <v>71</v>
      </c>
      <c r="F458" s="43" t="s">
        <v>528</v>
      </c>
      <c r="G458" s="43" t="str">
        <f t="shared" si="17"/>
        <v>First NDC updated</v>
      </c>
      <c r="H458" s="43" t="s">
        <v>691</v>
      </c>
      <c r="I458" s="351">
        <v>44302</v>
      </c>
      <c r="J458" s="352" t="s">
        <v>505</v>
      </c>
      <c r="K458" s="320" t="str" cm="1">
        <f t="array" ref="K458">IF(ISNUMBER(MATCH("Transport sector mitigation target", _xlfn._xlws.FILTER(Targets!H:H, Targets!A:A =A458), 0)), "yes", "no")</f>
        <v>yes</v>
      </c>
      <c r="L458" s="43" t="str">
        <f>IF(K458="no", "No transport target", IF(AND(COUNTIFS(Targets!A:A, A458, Targets!H:H, "Transport sector mitigation target", Targets!J:J, "GHG") &gt; 0, COUNTIFS(Targets!A:A, A458, Targets!H:H, "Transport sector mitigation target", Targets!J:J, "Non GHG") &gt; 0), "GHG and non-GHG target", IF(COUNTIFS(Targets!A:A, A458, Targets!H:H, "Transport sector mitigation target", Targets!J:J, "GHG") &gt; 0, "GHG target", IF(COUNTIFS(Targets!A:A, A458, Targets!H:H, "Transport sector mitigation target", Targets!J:J, "Non GHG") &gt; 0, "non-GHG target", ""))))</f>
        <v>non-GHG target</v>
      </c>
      <c r="M458" s="43" t="str">
        <f>IF(K458="no","No transport target",IF(L458="non-GHG target","No GHG transport target",IF(AND(COUNTIFS(Targets!A:A,A458,Targets!H:H,"Transport sector mitigation target",Targets!J:J,"GHG",Targets!L:L,"Conditional")&gt;0,COUNTIFS(Targets!A:A,A458,Targets!H:H,"Transport sector mitigation target",Targets!J:J,"GHG",Targets!L:L,"Unconditional")&gt;0),"GHG unconditional and conditional",IF(COUNTIFS(Targets!A:A,A458,Targets!H:H,"Transport sector mitigation target",Targets!J:J,"GHG",Targets!L:L,"Conditional")&gt;0,"GHG conditional only",IF(COUNTIFS(Targets!A:A,A458,Targets!H:H,"Transport sector mitigation target",Targets!J:J,"GHG",Targets!L:L,"Unconditional")&gt;0,"GHG unconditional only",IF(COUNTIFS(Targets!A:A,A458,Targets!H:H,"Transport sector mitigation target",Targets!J:J,"GHG",Targets!L:L,"Unclear conditionality")&gt;0,"Conditionality unclear",""))))))</f>
        <v>No GHG transport target</v>
      </c>
      <c r="N458" s="43" t="str" cm="1">
        <f t="array" ref="N458">IF(ISNUMBER(MATCH("Transport sector adaptation target", _xlfn._xlws.FILTER(Targets!H:H, Targets!A:A =A458), 0)), "yes", "no")</f>
        <v>no</v>
      </c>
      <c r="O458" s="43" t="str">
        <f>IF(ISNA(MATCH(A458, Mitigation!A:A, 0)), "no", "yes")</f>
        <v>no</v>
      </c>
      <c r="P458" s="43" t="str">
        <f>IF(ISNA(MATCH(A458, Adaptation!A:A, 0)), "no", "yes")</f>
        <v>no</v>
      </c>
      <c r="Q458" s="43" t="str">
        <f>IF(ISNA(MATCH(A458, Benefits!A:A, 0)), "no", "yes")</f>
        <v>no</v>
      </c>
      <c r="R458" s="43"/>
      <c r="S458" s="43"/>
      <c r="T458" s="43" t="s">
        <v>501</v>
      </c>
      <c r="U458" s="312" t="s">
        <v>969</v>
      </c>
      <c r="V458" s="233" t="str">
        <f>VLOOKUP(Table1[[#This Row],[Country Code]],Table29[],3,FALSE)</f>
        <v>Non-Annex I</v>
      </c>
      <c r="W458" s="233" t="str">
        <f>VLOOKUP(Table1[[#This Row],[Country Code]],Table29[],4,FALSE)</f>
        <v>Europe</v>
      </c>
      <c r="X458" s="233" t="str">
        <f>VLOOKUP(Table1[[#This Row],[Country Code]],Table29[],5,FALSE)</f>
        <v>Middle-income</v>
      </c>
      <c r="Y458" s="43"/>
      <c r="Z458" s="43"/>
    </row>
    <row r="459" spans="1:26" ht="15" customHeight="1" x14ac:dyDescent="0.25">
      <c r="A459" s="360">
        <v>32408</v>
      </c>
      <c r="B459" s="43" t="s">
        <v>61</v>
      </c>
      <c r="C459" s="243" t="str">
        <f>VLOOKUP(Table1[[#This Row],[Country Code]],Table29[],2,FALSE)</f>
        <v>Andorra</v>
      </c>
      <c r="D459" s="243" t="str">
        <f t="shared" si="16"/>
        <v>Good</v>
      </c>
      <c r="E459" s="176" t="s">
        <v>71</v>
      </c>
      <c r="F459" s="43" t="s">
        <v>528</v>
      </c>
      <c r="G459" s="43" t="str">
        <f t="shared" si="17"/>
        <v>First NDC updated</v>
      </c>
      <c r="H459" s="350" t="s">
        <v>743</v>
      </c>
      <c r="I459" s="351">
        <v>44873</v>
      </c>
      <c r="J459" s="352" t="s">
        <v>500</v>
      </c>
      <c r="K459" s="320" t="str" cm="1">
        <f t="array" ref="K459">IF(ISNUMBER(MATCH("Transport sector mitigation target", _xlfn._xlws.FILTER(Targets!H:H, Targets!A:A =A459), 0)), "yes", "no")</f>
        <v>yes</v>
      </c>
      <c r="L459" s="43" t="str">
        <f>IF(K459="no", "No transport target", IF(AND(COUNTIFS(Targets!A:A, A459, Targets!H:H, "Transport sector mitigation target", Targets!J:J, "GHG") &gt; 0, COUNTIFS(Targets!A:A, A459, Targets!H:H, "Transport sector mitigation target", Targets!J:J, "Non GHG") &gt; 0), "GHG and non-GHG target", IF(COUNTIFS(Targets!A:A, A459, Targets!H:H, "Transport sector mitigation target", Targets!J:J, "GHG") &gt; 0, "GHG target", IF(COUNTIFS(Targets!A:A, A459, Targets!H:H, "Transport sector mitigation target", Targets!J:J, "Non GHG") &gt; 0, "non-GHG target", ""))))</f>
        <v>GHG and non-GHG target</v>
      </c>
      <c r="M459" s="43" t="str">
        <f>IF(K459="no","No transport target",IF(L459="non-GHG target","No GHG transport target",IF(AND(COUNTIFS(Targets!A:A,A459,Targets!H:H,"Transport sector mitigation target",Targets!J:J,"GHG",Targets!L:L,"Conditional")&gt;0,COUNTIFS(Targets!A:A,A459,Targets!H:H,"Transport sector mitigation target",Targets!J:J,"GHG",Targets!L:L,"Unconditional")&gt;0),"GHG unconditional and conditional",IF(COUNTIFS(Targets!A:A,A459,Targets!H:H,"Transport sector mitigation target",Targets!J:J,"GHG",Targets!L:L,"Conditional")&gt;0,"GHG conditional only",IF(COUNTIFS(Targets!A:A,A459,Targets!H:H,"Transport sector mitigation target",Targets!J:J,"GHG",Targets!L:L,"Unconditional")&gt;0,"GHG unconditional only",IF(COUNTIFS(Targets!A:A,A459,Targets!H:H,"Transport sector mitigation target",Targets!J:J,"GHG",Targets!L:L,"Unclear conditionality")&gt;0,"Conditionality unclear",""))))))</f>
        <v>GHG unconditional only</v>
      </c>
      <c r="N459" s="43" t="str" cm="1">
        <f t="array" ref="N459">IF(ISNUMBER(MATCH("Transport sector adaptation target", _xlfn._xlws.FILTER(Targets!H:H, Targets!A:A =A459), 0)), "yes", "no")</f>
        <v>no</v>
      </c>
      <c r="O459" s="43" t="str">
        <f>IF(ISNA(MATCH(A459, Mitigation!A:A, 0)), "no", "yes")</f>
        <v>yes</v>
      </c>
      <c r="P459" s="43" t="str">
        <f>IF(ISNA(MATCH(A459, Adaptation!A:A, 0)), "no", "yes")</f>
        <v>no</v>
      </c>
      <c r="Q459" s="43" t="str">
        <f>IF(ISNA(MATCH(A459, Benefits!A:A, 0)), "no", "yes")</f>
        <v>no</v>
      </c>
      <c r="R459" s="43"/>
      <c r="S459" s="43"/>
      <c r="T459" s="43" t="s">
        <v>501</v>
      </c>
      <c r="U459" s="312" t="s">
        <v>970</v>
      </c>
      <c r="V459" s="233" t="str">
        <f>VLOOKUP(Table1[[#This Row],[Country Code]],Table29[],3,FALSE)</f>
        <v>Non-Annex I</v>
      </c>
      <c r="W459" s="233" t="str">
        <f>VLOOKUP(Table1[[#This Row],[Country Code]],Table29[],4,FALSE)</f>
        <v>Europe</v>
      </c>
      <c r="X459" s="233" t="str">
        <f>VLOOKUP(Table1[[#This Row],[Country Code]],Table29[],5,FALSE)</f>
        <v>High-income</v>
      </c>
      <c r="Y459" s="43"/>
      <c r="Z459" s="43"/>
    </row>
    <row r="460" spans="1:26" ht="15" customHeight="1" x14ac:dyDescent="0.25">
      <c r="A460" s="360">
        <v>32512</v>
      </c>
      <c r="B460" s="17" t="s">
        <v>368</v>
      </c>
      <c r="C460" s="206" t="str">
        <f>VLOOKUP(Table1[[#This Row],[Country Code]],Table29[],2,FALSE)</f>
        <v>Russian Federation</v>
      </c>
      <c r="D460" s="243" t="str">
        <f t="shared" si="16"/>
        <v>Good</v>
      </c>
      <c r="E460" s="20" t="s">
        <v>227</v>
      </c>
      <c r="F460" s="17" t="s">
        <v>227</v>
      </c>
      <c r="G460" s="43" t="str">
        <f t="shared" si="17"/>
        <v>LTS</v>
      </c>
      <c r="H460" s="148" t="s">
        <v>636</v>
      </c>
      <c r="I460" s="163">
        <v>44809</v>
      </c>
      <c r="J460" s="187" t="s">
        <v>505</v>
      </c>
      <c r="K460" s="49" t="str" cm="1">
        <f t="array" ref="K460">IF(ISNUMBER(MATCH("Transport sector mitigation target", _xlfn._xlws.FILTER(Targets!H:H, Targets!A:A =A460), 0)), "yes", "no")</f>
        <v>no</v>
      </c>
      <c r="L460" s="17" t="str">
        <f>IF(K460="no", "No transport target", IF(AND(COUNTIFS(Targets!A:A, A460, Targets!H:H, "Transport sector mitigation target", Targets!J:J, "GHG") &gt; 0, COUNTIFS(Targets!A:A, A460, Targets!H:H, "Transport sector mitigation target", Targets!J:J, "Non GHG") &gt; 0), "GHG and non-GHG target", IF(COUNTIFS(Targets!A:A, A460, Targets!H:H, "Transport sector mitigation target", Targets!J:J, "GHG") &gt; 0, "GHG target", IF(COUNTIFS(Targets!A:A, A460, Targets!H:H, "Transport sector mitigation target", Targets!J:J, "Non GHG") &gt; 0, "non-GHG target", ""))))</f>
        <v>No transport target</v>
      </c>
      <c r="M460" s="17" t="str">
        <f>IF(K460="no","No transport target",IF(L460="non-GHG target","No GHG transport target",IF(AND(COUNTIFS(Targets!A:A,A460,Targets!H:H,"Transport sector mitigation target",Targets!J:J,"GHG",Targets!L:L,"Conditional")&gt;0,COUNTIFS(Targets!A:A,A460,Targets!H:H,"Transport sector mitigation target",Targets!J:J,"GHG",Targets!L:L,"Unconditional")&gt;0),"GHG unconditional and conditional",IF(COUNTIFS(Targets!A:A,A460,Targets!H:H,"Transport sector mitigation target",Targets!J:J,"GHG",Targets!L:L,"Conditional")&gt;0,"GHG conditional only",IF(COUNTIFS(Targets!A:A,A460,Targets!H:H,"Transport sector mitigation target",Targets!J:J,"GHG",Targets!L:L,"Unconditional")&gt;0,"GHG unconditional only",IF(COUNTIFS(Targets!A:A,A460,Targets!H:H,"Transport sector mitigation target",Targets!J:J,"GHG",Targets!L:L,"Unclear conditionality")&gt;0,"Conditionality unclear",""))))))</f>
        <v>No transport target</v>
      </c>
      <c r="N460" s="17" t="str" cm="1">
        <f t="array" ref="N460">IF(ISNUMBER(MATCH("Transport sector adaptation target", _xlfn._xlws.FILTER(Targets!H:H, Targets!A:A =A460), 0)), "yes", "no")</f>
        <v>no</v>
      </c>
      <c r="O460" s="17" t="str">
        <f>IF(ISNA(MATCH(A460, Mitigation!A:A, 0)), "no", "yes")</f>
        <v>yes</v>
      </c>
      <c r="P460" s="17" t="str">
        <f>IF(ISNA(MATCH(A460, Adaptation!A:A, 0)), "no", "yes")</f>
        <v>no</v>
      </c>
      <c r="Q460" s="17" t="str">
        <f>IF(ISNA(MATCH(A460, Benefits!A:A, 0)), "no", "yes")</f>
        <v>no</v>
      </c>
      <c r="R460" s="17"/>
      <c r="S460" s="17"/>
      <c r="T460" s="17" t="s">
        <v>501</v>
      </c>
      <c r="U460" s="171" t="s">
        <v>971</v>
      </c>
      <c r="V460" s="207" t="str">
        <f>VLOOKUP(Table1[[#This Row],[Country Code]],Table29[],3,FALSE)</f>
        <v>Annex I</v>
      </c>
      <c r="W460" s="207" t="str">
        <f>VLOOKUP(Table1[[#This Row],[Country Code]],Table29[],4,FALSE)</f>
        <v>Europe</v>
      </c>
      <c r="X460" s="207" t="str">
        <f>VLOOKUP(Table1[[#This Row],[Country Code]],Table29[],5,FALSE)</f>
        <v>Middle-income</v>
      </c>
      <c r="Y460" s="17"/>
      <c r="Z460" s="17"/>
    </row>
    <row r="461" spans="1:26" ht="15" customHeight="1" x14ac:dyDescent="0.25">
      <c r="A461" s="405">
        <v>32520</v>
      </c>
      <c r="B461" s="19" t="s">
        <v>426</v>
      </c>
      <c r="C461" s="206" t="str">
        <f>VLOOKUP(Table1[[#This Row],[Country Code]],Table29[],2,FALSE)</f>
        <v>Timor-Leste</v>
      </c>
      <c r="D461" s="243" t="str">
        <f t="shared" si="16"/>
        <v>Good</v>
      </c>
      <c r="E461" s="20" t="s">
        <v>71</v>
      </c>
      <c r="F461" s="17" t="s">
        <v>528</v>
      </c>
      <c r="G461" s="43" t="str">
        <f t="shared" si="17"/>
        <v>First NDC updated</v>
      </c>
      <c r="H461" s="17" t="s">
        <v>691</v>
      </c>
      <c r="I461" s="163">
        <v>44873</v>
      </c>
      <c r="J461" s="187" t="s">
        <v>505</v>
      </c>
      <c r="K461" s="49" t="str" cm="1">
        <f t="array" ref="K461">IF(ISNUMBER(MATCH("Transport sector mitigation target", _xlfn._xlws.FILTER(Targets!H:H, Targets!A:A =A461), 0)), "yes", "no")</f>
        <v>no</v>
      </c>
      <c r="L461" s="17" t="str">
        <f>IF(K461="no", "No transport target", IF(AND(COUNTIFS(Targets!A:A, A461, Targets!H:H, "Transport sector mitigation target", Targets!J:J, "GHG") &gt; 0, COUNTIFS(Targets!A:A, A461, Targets!H:H, "Transport sector mitigation target", Targets!J:J, "Non GHG") &gt; 0), "GHG and non-GHG target", IF(COUNTIFS(Targets!A:A, A461, Targets!H:H, "Transport sector mitigation target", Targets!J:J, "GHG") &gt; 0, "GHG target", IF(COUNTIFS(Targets!A:A, A461, Targets!H:H, "Transport sector mitigation target", Targets!J:J, "Non GHG") &gt; 0, "non-GHG target", ""))))</f>
        <v>No transport target</v>
      </c>
      <c r="M461" s="17" t="str">
        <f>IF(K461="no","No transport target",IF(L461="non-GHG target","No GHG transport target",IF(AND(COUNTIFS(Targets!A:A,A461,Targets!H:H,"Transport sector mitigation target",Targets!J:J,"GHG",Targets!L:L,"Conditional")&gt;0,COUNTIFS(Targets!A:A,A461,Targets!H:H,"Transport sector mitigation target",Targets!J:J,"GHG",Targets!L:L,"Unconditional")&gt;0),"GHG unconditional and conditional",IF(COUNTIFS(Targets!A:A,A461,Targets!H:H,"Transport sector mitigation target",Targets!J:J,"GHG",Targets!L:L,"Conditional")&gt;0,"GHG conditional only",IF(COUNTIFS(Targets!A:A,A461,Targets!H:H,"Transport sector mitigation target",Targets!J:J,"GHG",Targets!L:L,"Unconditional")&gt;0,"GHG unconditional only",IF(COUNTIFS(Targets!A:A,A461,Targets!H:H,"Transport sector mitigation target",Targets!J:J,"GHG",Targets!L:L,"Unclear conditionality")&gt;0,"Conditionality unclear",""))))))</f>
        <v>No transport target</v>
      </c>
      <c r="N461" s="17" t="str" cm="1">
        <f t="array" ref="N461">IF(ISNUMBER(MATCH("Transport sector adaptation target", _xlfn._xlws.FILTER(Targets!H:H, Targets!A:A =A461), 0)), "yes", "no")</f>
        <v>no</v>
      </c>
      <c r="O461" s="17" t="str">
        <f>IF(ISNA(MATCH(A461, Mitigation!A:A, 0)), "no", "yes")</f>
        <v>yes</v>
      </c>
      <c r="P461" s="17" t="str">
        <f>IF(ISNA(MATCH(A461, Adaptation!A:A, 0)), "no", "yes")</f>
        <v>yes</v>
      </c>
      <c r="Q461" s="17" t="str">
        <f>IF(ISNA(MATCH(A461, Benefits!A:A, 0)), "no", "yes")</f>
        <v>no</v>
      </c>
      <c r="R461" s="17"/>
      <c r="S461" s="17"/>
      <c r="T461" s="17" t="s">
        <v>501</v>
      </c>
      <c r="U461" s="135" t="s">
        <v>972</v>
      </c>
      <c r="V461" s="207" t="str">
        <f>VLOOKUP(Table1[[#This Row],[Country Code]],Table29[],3,FALSE)</f>
        <v>Non-Annex I</v>
      </c>
      <c r="W461" s="207" t="str">
        <f>VLOOKUP(Table1[[#This Row],[Country Code]],Table29[],4,FALSE)</f>
        <v>Asia</v>
      </c>
      <c r="X461" s="207" t="str">
        <f>VLOOKUP(Table1[[#This Row],[Country Code]],Table29[],5,FALSE)</f>
        <v>Middle-income</v>
      </c>
      <c r="Y461" s="17"/>
      <c r="Z461" s="17"/>
    </row>
    <row r="462" spans="1:26" s="381" customFormat="1" ht="15" customHeight="1" x14ac:dyDescent="0.25">
      <c r="A462" s="405">
        <v>32525</v>
      </c>
      <c r="B462" s="17" t="s">
        <v>464</v>
      </c>
      <c r="C462" s="206" t="str">
        <f>VLOOKUP(Table1[[#This Row],[Country Code]],Table29[],2,FALSE)</f>
        <v>Viet Nam</v>
      </c>
      <c r="D462" s="243" t="str">
        <f t="shared" si="16"/>
        <v>Good</v>
      </c>
      <c r="E462" s="20" t="s">
        <v>71</v>
      </c>
      <c r="F462" s="17" t="s">
        <v>528</v>
      </c>
      <c r="G462" s="43" t="str">
        <f t="shared" si="17"/>
        <v>First NDC updated</v>
      </c>
      <c r="H462" s="148" t="s">
        <v>743</v>
      </c>
      <c r="I462" s="149">
        <v>44873</v>
      </c>
      <c r="J462" s="187" t="s">
        <v>505</v>
      </c>
      <c r="K462" s="49" t="str" cm="1">
        <f t="array" ref="K462">IF(ISNUMBER(MATCH("Transport sector mitigation target", _xlfn._xlws.FILTER(Targets!H:H, Targets!A:A =A462), 0)), "yes", "no")</f>
        <v>no</v>
      </c>
      <c r="L462" s="17" t="str">
        <f>IF(K462="no", "No transport target", IF(AND(COUNTIFS(Targets!A:A, A462, Targets!H:H, "Transport sector mitigation target", Targets!J:J, "GHG") &gt; 0, COUNTIFS(Targets!A:A, A462, Targets!H:H, "Transport sector mitigation target", Targets!J:J, "Non GHG") &gt; 0), "GHG and non-GHG target", IF(COUNTIFS(Targets!A:A, A462, Targets!H:H, "Transport sector mitigation target", Targets!J:J, "GHG") &gt; 0, "GHG target", IF(COUNTIFS(Targets!A:A, A462, Targets!H:H, "Transport sector mitigation target", Targets!J:J, "Non GHG") &gt; 0, "non-GHG target", ""))))</f>
        <v>No transport target</v>
      </c>
      <c r="M462" s="17" t="str">
        <f>IF(K462="no","No transport target",IF(L462="non-GHG target","No GHG transport target",IF(AND(COUNTIFS(Targets!A:A,A462,Targets!H:H,"Transport sector mitigation target",Targets!J:J,"GHG",Targets!L:L,"Conditional")&gt;0,COUNTIFS(Targets!A:A,A462,Targets!H:H,"Transport sector mitigation target",Targets!J:J,"GHG",Targets!L:L,"Unconditional")&gt;0),"GHG unconditional and conditional",IF(COUNTIFS(Targets!A:A,A462,Targets!H:H,"Transport sector mitigation target",Targets!J:J,"GHG",Targets!L:L,"Conditional")&gt;0,"GHG conditional only",IF(COUNTIFS(Targets!A:A,A462,Targets!H:H,"Transport sector mitigation target",Targets!J:J,"GHG",Targets!L:L,"Unconditional")&gt;0,"GHG unconditional only",IF(COUNTIFS(Targets!A:A,A462,Targets!H:H,"Transport sector mitigation target",Targets!J:J,"GHG",Targets!L:L,"Unclear conditionality")&gt;0,"Conditionality unclear",""))))))</f>
        <v>No transport target</v>
      </c>
      <c r="N462" s="17" t="str" cm="1">
        <f t="array" ref="N462">IF(ISNUMBER(MATCH("Transport sector adaptation target", _xlfn._xlws.FILTER(Targets!H:H, Targets!A:A =A462), 0)), "yes", "no")</f>
        <v>no</v>
      </c>
      <c r="O462" s="17" t="str">
        <f>IF(ISNA(MATCH(A462, Mitigation!A:A, 0)), "no", "yes")</f>
        <v>yes</v>
      </c>
      <c r="P462" s="17" t="str">
        <f>IF(ISNA(MATCH(A462, Adaptation!A:A, 0)), "no", "yes")</f>
        <v>yes</v>
      </c>
      <c r="Q462" s="17" t="str">
        <f>IF(ISNA(MATCH(A462, Benefits!A:A, 0)), "no", "yes")</f>
        <v>yes</v>
      </c>
      <c r="R462" s="17"/>
      <c r="S462" s="17"/>
      <c r="T462" s="17" t="s">
        <v>501</v>
      </c>
      <c r="U462" s="162" t="s">
        <v>973</v>
      </c>
      <c r="V462" s="207" t="str">
        <f>VLOOKUP(Table1[[#This Row],[Country Code]],Table29[],3,FALSE)</f>
        <v>Non-Annex I</v>
      </c>
      <c r="W462" s="207" t="str">
        <f>VLOOKUP(Table1[[#This Row],[Country Code]],Table29[],4,FALSE)</f>
        <v>Asia</v>
      </c>
      <c r="X462" s="207" t="str">
        <f>VLOOKUP(Table1[[#This Row],[Country Code]],Table29[],5,FALSE)</f>
        <v>Middle-income</v>
      </c>
      <c r="Y462" s="17"/>
      <c r="Z462" s="17"/>
    </row>
    <row r="463" spans="1:26" ht="15" customHeight="1" x14ac:dyDescent="0.25">
      <c r="A463" s="360">
        <v>26788</v>
      </c>
      <c r="B463" s="42" t="s">
        <v>364</v>
      </c>
      <c r="C463" s="243" t="str">
        <f>VLOOKUP(Table1[[#This Row],[Country Code]],Table29[],2,FALSE)</f>
        <v>Republic of North Macedonia</v>
      </c>
      <c r="D463" s="243" t="str">
        <f t="shared" si="16"/>
        <v>Good</v>
      </c>
      <c r="E463" s="176" t="s">
        <v>227</v>
      </c>
      <c r="F463" s="43" t="s">
        <v>227</v>
      </c>
      <c r="G463" s="43" t="str">
        <f t="shared" si="17"/>
        <v>LTS</v>
      </c>
      <c r="H463" s="43" t="s">
        <v>636</v>
      </c>
      <c r="I463" s="351">
        <v>44504</v>
      </c>
      <c r="J463" s="352" t="s">
        <v>505</v>
      </c>
      <c r="K463" s="320" t="str" cm="1">
        <f t="array" ref="K463">IF(ISNUMBER(MATCH("Transport sector mitigation target", _xlfn._xlws.FILTER(Targets!H:H, Targets!A:A =A463), 0)), "yes", "no")</f>
        <v>yes</v>
      </c>
      <c r="L463" s="43" t="str">
        <f>IF(K463="no", "No transport target", IF(AND(COUNTIFS(Targets!A:A, A463, Targets!H:H, "Transport sector mitigation target", Targets!J:J, "GHG") &gt; 0, COUNTIFS(Targets!A:A, A463, Targets!H:H, "Transport sector mitigation target", Targets!J:J, "Non GHG") &gt; 0), "GHG and non-GHG target", IF(COUNTIFS(Targets!A:A, A463, Targets!H:H, "Transport sector mitigation target", Targets!J:J, "GHG") &gt; 0, "GHG target", IF(COUNTIFS(Targets!A:A, A463, Targets!H:H, "Transport sector mitigation target", Targets!J:J, "Non GHG") &gt; 0, "non-GHG target", ""))))</f>
        <v>non-GHG target</v>
      </c>
      <c r="M463" s="43" t="str">
        <f>IF(K463="no","No transport target",IF(L463="non-GHG target","No GHG transport target",IF(AND(COUNTIFS(Targets!A:A,A463,Targets!H:H,"Transport sector mitigation target",Targets!J:J,"GHG",Targets!L:L,"Conditional")&gt;0,COUNTIFS(Targets!A:A,A463,Targets!H:H,"Transport sector mitigation target",Targets!J:J,"GHG",Targets!L:L,"Unconditional")&gt;0),"GHG unconditional and conditional",IF(COUNTIFS(Targets!A:A,A463,Targets!H:H,"Transport sector mitigation target",Targets!J:J,"GHG",Targets!L:L,"Conditional")&gt;0,"GHG conditional only",IF(COUNTIFS(Targets!A:A,A463,Targets!H:H,"Transport sector mitigation target",Targets!J:J,"GHG",Targets!L:L,"Unconditional")&gt;0,"GHG unconditional only",IF(COUNTIFS(Targets!A:A,A463,Targets!H:H,"Transport sector mitigation target",Targets!J:J,"GHG",Targets!L:L,"Unclear conditionality")&gt;0,"Conditionality unclear",""))))))</f>
        <v>No GHG transport target</v>
      </c>
      <c r="N463" s="43" t="str" cm="1">
        <f t="array" ref="N463">IF(ISNUMBER(MATCH("Transport sector adaptation target", _xlfn._xlws.FILTER(Targets!H:H, Targets!A:A =A463), 0)), "yes", "no")</f>
        <v>no</v>
      </c>
      <c r="O463" s="43" t="str">
        <f>IF(ISNA(MATCH(A463, Mitigation!A:A, 0)), "no", "yes")</f>
        <v>yes</v>
      </c>
      <c r="P463" s="43" t="str">
        <f>IF(ISNA(MATCH(A463, Adaptation!A:A, 0)), "no", "yes")</f>
        <v>no</v>
      </c>
      <c r="Q463" s="43" t="str">
        <f>IF(ISNA(MATCH(A463, Benefits!A:A, 0)), "no", "yes")</f>
        <v>no</v>
      </c>
      <c r="R463" s="43"/>
      <c r="S463" s="43"/>
      <c r="T463" s="43" t="s">
        <v>501</v>
      </c>
      <c r="U463" s="312" t="s">
        <v>974</v>
      </c>
      <c r="V463" s="233" t="str">
        <f>VLOOKUP(Table1[[#This Row],[Country Code]],Table29[],3,FALSE)</f>
        <v>Non-Annex I</v>
      </c>
      <c r="W463" s="233" t="str">
        <f>VLOOKUP(Table1[[#This Row],[Country Code]],Table29[],4,FALSE)</f>
        <v>Europe</v>
      </c>
      <c r="X463" s="233" t="str">
        <f>VLOOKUP(Table1[[#This Row],[Country Code]],Table29[],5,FALSE)</f>
        <v>Middle-income</v>
      </c>
      <c r="Y463" s="43"/>
      <c r="Z463" s="43"/>
    </row>
    <row r="464" spans="1:26" ht="15" customHeight="1" x14ac:dyDescent="0.25">
      <c r="A464" s="405">
        <v>39454</v>
      </c>
      <c r="B464" s="20" t="s">
        <v>440</v>
      </c>
      <c r="C464" s="206" t="str">
        <f>VLOOKUP(Table1[[#This Row],[Country Code]],Table29[],2,FALSE)</f>
        <v>Tuvalu</v>
      </c>
      <c r="D464" s="243" t="str">
        <f t="shared" si="16"/>
        <v>Good</v>
      </c>
      <c r="E464" s="20" t="s">
        <v>71</v>
      </c>
      <c r="F464" s="17" t="s">
        <v>555</v>
      </c>
      <c r="G464" s="43" t="str">
        <f t="shared" si="17"/>
        <v>Second NDC</v>
      </c>
      <c r="H464" s="148" t="s">
        <v>714</v>
      </c>
      <c r="I464" s="163">
        <v>44881</v>
      </c>
      <c r="J464" s="187" t="s">
        <v>505</v>
      </c>
      <c r="K464" s="49" t="str" cm="1">
        <f t="array" ref="K464">IF(ISNUMBER(MATCH("Transport sector mitigation target", _xlfn._xlws.FILTER(Targets!H:H, Targets!A:A =A464), 0)), "yes", "no")</f>
        <v>no</v>
      </c>
      <c r="L464" s="17" t="str">
        <f>IF(K464="no", "No transport target", IF(AND(COUNTIFS(Targets!A:A, A464, Targets!H:H, "Transport sector mitigation target", Targets!J:J, "GHG") &gt; 0, COUNTIFS(Targets!A:A, A464, Targets!H:H, "Transport sector mitigation target", Targets!J:J, "Non GHG") &gt; 0), "GHG and non-GHG target", IF(COUNTIFS(Targets!A:A, A464, Targets!H:H, "Transport sector mitigation target", Targets!J:J, "GHG") &gt; 0, "GHG target", IF(COUNTIFS(Targets!A:A, A464, Targets!H:H, "Transport sector mitigation target", Targets!J:J, "Non GHG") &gt; 0, "non-GHG target", ""))))</f>
        <v>No transport target</v>
      </c>
      <c r="M464" s="17" t="str">
        <f>IF(K464="no","No transport target",IF(L464="non-GHG target","No GHG transport target",IF(AND(COUNTIFS(Targets!A:A,A464,Targets!H:H,"Transport sector mitigation target",Targets!J:J,"GHG",Targets!L:L,"Conditional")&gt;0,COUNTIFS(Targets!A:A,A464,Targets!H:H,"Transport sector mitigation target",Targets!J:J,"GHG",Targets!L:L,"Unconditional")&gt;0),"GHG unconditional and conditional",IF(COUNTIFS(Targets!A:A,A464,Targets!H:H,"Transport sector mitigation target",Targets!J:J,"GHG",Targets!L:L,"Conditional")&gt;0,"GHG conditional only",IF(COUNTIFS(Targets!A:A,A464,Targets!H:H,"Transport sector mitigation target",Targets!J:J,"GHG",Targets!L:L,"Unconditional")&gt;0,"GHG unconditional only",IF(COUNTIFS(Targets!A:A,A464,Targets!H:H,"Transport sector mitigation target",Targets!J:J,"GHG",Targets!L:L,"Unclear conditionality")&gt;0,"Conditionality unclear",""))))))</f>
        <v>No transport target</v>
      </c>
      <c r="N464" s="17" t="str" cm="1">
        <f t="array" ref="N464">IF(ISNUMBER(MATCH("Transport sector adaptation target", _xlfn._xlws.FILTER(Targets!H:H, Targets!A:A =A464), 0)), "yes", "no")</f>
        <v>no</v>
      </c>
      <c r="O464" s="17" t="str">
        <f>IF(ISNA(MATCH(A464, Mitigation!A:A, 0)), "no", "yes")</f>
        <v>yes</v>
      </c>
      <c r="P464" s="17" t="str">
        <f>IF(ISNA(MATCH(A464, Adaptation!A:A, 0)), "no", "yes")</f>
        <v>no</v>
      </c>
      <c r="Q464" s="17" t="str">
        <f>IF(ISNA(MATCH(A464, Benefits!A:A, 0)), "no", "yes")</f>
        <v>no</v>
      </c>
      <c r="R464" s="17"/>
      <c r="S464" s="17"/>
      <c r="T464" s="17" t="s">
        <v>501</v>
      </c>
      <c r="U464" s="172" t="s">
        <v>975</v>
      </c>
      <c r="V464" s="207" t="str">
        <f>VLOOKUP(Table1[[#This Row],[Country Code]],Table29[],3,FALSE)</f>
        <v>Non-Annex I</v>
      </c>
      <c r="W464" s="207" t="str">
        <f>VLOOKUP(Table1[[#This Row],[Country Code]],Table29[],4,FALSE)</f>
        <v>Oceania</v>
      </c>
      <c r="X464" s="207" t="str">
        <f>VLOOKUP(Table1[[#This Row],[Country Code]],Table29[],5,FALSE)</f>
        <v>Middle-income</v>
      </c>
      <c r="Y464" s="17" t="s">
        <v>976</v>
      </c>
      <c r="Z464" s="17"/>
    </row>
    <row r="465" spans="1:26" ht="15" customHeight="1" x14ac:dyDescent="0.25">
      <c r="A465" s="360">
        <v>32507</v>
      </c>
      <c r="B465" s="43" t="s">
        <v>298</v>
      </c>
      <c r="C465" s="243" t="str">
        <f>VLOOKUP(Table1[[#This Row],[Country Code]],Table29[],2,FALSE)</f>
        <v>Mexico</v>
      </c>
      <c r="D465" s="243" t="str">
        <f t="shared" si="16"/>
        <v>Good</v>
      </c>
      <c r="E465" s="176" t="s">
        <v>71</v>
      </c>
      <c r="F465" s="43" t="s">
        <v>528</v>
      </c>
      <c r="G465" s="43" t="str">
        <f t="shared" si="17"/>
        <v>First NDC updated</v>
      </c>
      <c r="H465" s="43" t="s">
        <v>743</v>
      </c>
      <c r="I465" s="351">
        <v>44882</v>
      </c>
      <c r="J465" s="352" t="s">
        <v>505</v>
      </c>
      <c r="K465" s="320" t="str" cm="1">
        <f t="array" ref="K465">IF(ISNUMBER(MATCH("Transport sector mitigation target", _xlfn._xlws.FILTER(Targets!H:H, Targets!A:A =A465), 0)), "yes", "no")</f>
        <v>no</v>
      </c>
      <c r="L465" s="43" t="str">
        <f>IF(K465="no", "No transport target", IF(AND(COUNTIFS(Targets!A:A, A465, Targets!H:H, "Transport sector mitigation target", Targets!J:J, "GHG") &gt; 0, COUNTIFS(Targets!A:A, A465, Targets!H:H, "Transport sector mitigation target", Targets!J:J, "Non GHG") &gt; 0), "GHG and non-GHG target", IF(COUNTIFS(Targets!A:A, A465, Targets!H:H, "Transport sector mitigation target", Targets!J:J, "GHG") &gt; 0, "GHG target", IF(COUNTIFS(Targets!A:A, A465, Targets!H:H, "Transport sector mitigation target", Targets!J:J, "Non GHG") &gt; 0, "non-GHG target", ""))))</f>
        <v>No transport target</v>
      </c>
      <c r="M465" s="43" t="str">
        <f>IF(K465="no","No transport target",IF(L465="non-GHG target","No GHG transport target",IF(AND(COUNTIFS(Targets!A:A,A465,Targets!H:H,"Transport sector mitigation target",Targets!J:J,"GHG",Targets!L:L,"Conditional")&gt;0,COUNTIFS(Targets!A:A,A465,Targets!H:H,"Transport sector mitigation target",Targets!J:J,"GHG",Targets!L:L,"Unconditional")&gt;0),"GHG unconditional and conditional",IF(COUNTIFS(Targets!A:A,A465,Targets!H:H,"Transport sector mitigation target",Targets!J:J,"GHG",Targets!L:L,"Conditional")&gt;0,"GHG conditional only",IF(COUNTIFS(Targets!A:A,A465,Targets!H:H,"Transport sector mitigation target",Targets!J:J,"GHG",Targets!L:L,"Unconditional")&gt;0,"GHG unconditional only",IF(COUNTIFS(Targets!A:A,A465,Targets!H:H,"Transport sector mitigation target",Targets!J:J,"GHG",Targets!L:L,"Unclear conditionality")&gt;0,"Conditionality unclear",""))))))</f>
        <v>No transport target</v>
      </c>
      <c r="N465" s="43" t="str" cm="1">
        <f t="array" ref="N465">IF(ISNUMBER(MATCH("Transport sector adaptation target", _xlfn._xlws.FILTER(Targets!H:H, Targets!A:A =A465), 0)), "yes", "no")</f>
        <v>no</v>
      </c>
      <c r="O465" s="43" t="str">
        <f>IF(ISNA(MATCH(A465, Mitigation!A:A, 0)), "no", "yes")</f>
        <v>yes</v>
      </c>
      <c r="P465" s="43" t="str">
        <f>IF(ISNA(MATCH(A465, Adaptation!A:A, 0)), "no", "yes")</f>
        <v>yes</v>
      </c>
      <c r="Q465" s="43" t="str">
        <f>IF(ISNA(MATCH(A465, Benefits!A:A, 0)), "no", "yes")</f>
        <v>no</v>
      </c>
      <c r="R465" s="43"/>
      <c r="S465" s="43"/>
      <c r="T465" s="43" t="s">
        <v>501</v>
      </c>
      <c r="U465" s="312" t="s">
        <v>977</v>
      </c>
      <c r="V465" s="233" t="str">
        <f>VLOOKUP(Table1[[#This Row],[Country Code]],Table29[],3,FALSE)</f>
        <v>Non-Annex I</v>
      </c>
      <c r="W465" s="233" t="str">
        <f>VLOOKUP(Table1[[#This Row],[Country Code]],Table29[],4,FALSE)</f>
        <v>Latin America and the Caribbean</v>
      </c>
      <c r="X465" s="233" t="str">
        <f>VLOOKUP(Table1[[#This Row],[Country Code]],Table29[],5,FALSE)</f>
        <v>Middle-income</v>
      </c>
      <c r="Y465" s="43"/>
      <c r="Z465" s="43"/>
    </row>
    <row r="466" spans="1:26" ht="15" customHeight="1" x14ac:dyDescent="0.25">
      <c r="A466" s="405">
        <v>32524</v>
      </c>
      <c r="B466" s="17" t="s">
        <v>454</v>
      </c>
      <c r="C466" s="206" t="str">
        <f>VLOOKUP(Table1[[#This Row],[Country Code]],Table29[],2,FALSE)</f>
        <v>Uruguay</v>
      </c>
      <c r="D466" s="243" t="str">
        <f t="shared" si="16"/>
        <v>Good</v>
      </c>
      <c r="E466" s="20" t="s">
        <v>71</v>
      </c>
      <c r="F466" s="17" t="s">
        <v>555</v>
      </c>
      <c r="G466" s="43" t="str">
        <f t="shared" si="17"/>
        <v>Second NDC</v>
      </c>
      <c r="H466" s="148" t="s">
        <v>714</v>
      </c>
      <c r="I466" s="163">
        <v>44925</v>
      </c>
      <c r="J466" s="187" t="s">
        <v>500</v>
      </c>
      <c r="K466" s="49" t="str" cm="1">
        <f t="array" ref="K466">IF(ISNUMBER(MATCH("Transport sector mitigation target", _xlfn._xlws.FILTER(Targets!H:H, Targets!A:A =A466), 0)), "yes", "no")</f>
        <v>yes</v>
      </c>
      <c r="L466" s="17" t="str">
        <f>IF(K466="no", "No transport target", IF(AND(COUNTIFS(Targets!A:A, A466, Targets!H:H, "Transport sector mitigation target", Targets!J:J, "GHG") &gt; 0, COUNTIFS(Targets!A:A, A466, Targets!H:H, "Transport sector mitigation target", Targets!J:J, "Non GHG") &gt; 0), "GHG and non-GHG target", IF(COUNTIFS(Targets!A:A, A466, Targets!H:H, "Transport sector mitigation target", Targets!J:J, "GHG") &gt; 0, "GHG target", IF(COUNTIFS(Targets!A:A, A466, Targets!H:H, "Transport sector mitigation target", Targets!J:J, "Non GHG") &gt; 0, "non-GHG target", ""))))</f>
        <v>non-GHG target</v>
      </c>
      <c r="M466" s="17" t="str">
        <f>IF(K466="no","No transport target",IF(L466="non-GHG target","No GHG transport target",IF(AND(COUNTIFS(Targets!A:A,A466,Targets!H:H,"Transport sector mitigation target",Targets!J:J,"GHG",Targets!L:L,"Conditional")&gt;0,COUNTIFS(Targets!A:A,A466,Targets!H:H,"Transport sector mitigation target",Targets!J:J,"GHG",Targets!L:L,"Unconditional")&gt;0),"GHG unconditional and conditional",IF(COUNTIFS(Targets!A:A,A466,Targets!H:H,"Transport sector mitigation target",Targets!J:J,"GHG",Targets!L:L,"Conditional")&gt;0,"GHG conditional only",IF(COUNTIFS(Targets!A:A,A466,Targets!H:H,"Transport sector mitigation target",Targets!J:J,"GHG",Targets!L:L,"Unconditional")&gt;0,"GHG unconditional only",IF(COUNTIFS(Targets!A:A,A466,Targets!H:H,"Transport sector mitigation target",Targets!J:J,"GHG",Targets!L:L,"Unclear conditionality")&gt;0,"Conditionality unclear",""))))))</f>
        <v>No GHG transport target</v>
      </c>
      <c r="N466" s="17" t="str" cm="1">
        <f t="array" ref="N466">IF(ISNUMBER(MATCH("Transport sector adaptation target", _xlfn._xlws.FILTER(Targets!H:H, Targets!A:A =A466), 0)), "yes", "no")</f>
        <v>no</v>
      </c>
      <c r="O466" s="17" t="str">
        <f>IF(ISNA(MATCH(A466, Mitigation!A:A, 0)), "no", "yes")</f>
        <v>yes</v>
      </c>
      <c r="P466" s="17" t="str">
        <f>IF(ISNA(MATCH(A466, Adaptation!A:A, 0)), "no", "yes")</f>
        <v>yes</v>
      </c>
      <c r="Q466" s="17" t="str">
        <f>IF(ISNA(MATCH(A466, Benefits!A:A, 0)), "no", "yes")</f>
        <v>no</v>
      </c>
      <c r="R466" s="17"/>
      <c r="S466" s="17"/>
      <c r="T466" s="17" t="s">
        <v>501</v>
      </c>
      <c r="U466" s="171" t="s">
        <v>978</v>
      </c>
      <c r="V466" s="207" t="str">
        <f>VLOOKUP(Table1[[#This Row],[Country Code]],Table29[],3,FALSE)</f>
        <v>Non-Annex I</v>
      </c>
      <c r="W466" s="207" t="str">
        <f>VLOOKUP(Table1[[#This Row],[Country Code]],Table29[],4,FALSE)</f>
        <v>Latin America and the Caribbean</v>
      </c>
      <c r="X466" s="207" t="str">
        <f>VLOOKUP(Table1[[#This Row],[Country Code]],Table29[],5,FALSE)</f>
        <v>High-income</v>
      </c>
      <c r="Y466" s="17"/>
      <c r="Z466" s="17"/>
    </row>
    <row r="467" spans="1:26" ht="15" customHeight="1" x14ac:dyDescent="0.25">
      <c r="A467" s="405">
        <v>32522</v>
      </c>
      <c r="B467" s="19" t="s">
        <v>438</v>
      </c>
      <c r="C467" s="206" t="str">
        <f>VLOOKUP(Table1[[#This Row],[Country Code]],Table29[],2,FALSE)</f>
        <v>Turkmenistan</v>
      </c>
      <c r="D467" s="243" t="str">
        <f t="shared" si="16"/>
        <v>Good</v>
      </c>
      <c r="E467" s="20" t="s">
        <v>71</v>
      </c>
      <c r="F467" s="17" t="s">
        <v>528</v>
      </c>
      <c r="G467" s="43" t="str">
        <f t="shared" si="17"/>
        <v>First NDC updated</v>
      </c>
      <c r="H467" s="17" t="s">
        <v>691</v>
      </c>
      <c r="I467" s="163">
        <v>44956</v>
      </c>
      <c r="J467" s="187" t="s">
        <v>505</v>
      </c>
      <c r="K467" s="49" t="str" cm="1">
        <f t="array" ref="K467">IF(ISNUMBER(MATCH("Transport sector mitigation target", _xlfn._xlws.FILTER(Targets!H:H, Targets!A:A =A467), 0)), "yes", "no")</f>
        <v>no</v>
      </c>
      <c r="L467" s="17" t="str">
        <f>IF(K467="no", "No transport target", IF(AND(COUNTIFS(Targets!A:A, A467, Targets!H:H, "Transport sector mitigation target", Targets!J:J, "GHG") &gt; 0, COUNTIFS(Targets!A:A, A467, Targets!H:H, "Transport sector mitigation target", Targets!J:J, "Non GHG") &gt; 0), "GHG and non-GHG target", IF(COUNTIFS(Targets!A:A, A467, Targets!H:H, "Transport sector mitigation target", Targets!J:J, "GHG") &gt; 0, "GHG target", IF(COUNTIFS(Targets!A:A, A467, Targets!H:H, "Transport sector mitigation target", Targets!J:J, "Non GHG") &gt; 0, "non-GHG target", ""))))</f>
        <v>No transport target</v>
      </c>
      <c r="M467" s="17" t="str">
        <f>IF(K467="no","No transport target",IF(L467="non-GHG target","No GHG transport target",IF(AND(COUNTIFS(Targets!A:A,A467,Targets!H:H,"Transport sector mitigation target",Targets!J:J,"GHG",Targets!L:L,"Conditional")&gt;0,COUNTIFS(Targets!A:A,A467,Targets!H:H,"Transport sector mitigation target",Targets!J:J,"GHG",Targets!L:L,"Unconditional")&gt;0),"GHG unconditional and conditional",IF(COUNTIFS(Targets!A:A,A467,Targets!H:H,"Transport sector mitigation target",Targets!J:J,"GHG",Targets!L:L,"Conditional")&gt;0,"GHG conditional only",IF(COUNTIFS(Targets!A:A,A467,Targets!H:H,"Transport sector mitigation target",Targets!J:J,"GHG",Targets!L:L,"Unconditional")&gt;0,"GHG unconditional only",IF(COUNTIFS(Targets!A:A,A467,Targets!H:H,"Transport sector mitigation target",Targets!J:J,"GHG",Targets!L:L,"Unclear conditionality")&gt;0,"Conditionality unclear",""))))))</f>
        <v>No transport target</v>
      </c>
      <c r="N467" s="17" t="str" cm="1">
        <f t="array" ref="N467">IF(ISNUMBER(MATCH("Transport sector adaptation target", _xlfn._xlws.FILTER(Targets!H:H, Targets!A:A =A467), 0)), "yes", "no")</f>
        <v>no</v>
      </c>
      <c r="O467" s="17" t="str">
        <f>IF(ISNA(MATCH(A467, Mitigation!A:A, 0)), "no", "yes")</f>
        <v>yes</v>
      </c>
      <c r="P467" s="17" t="str">
        <f>IF(ISNA(MATCH(A467, Adaptation!A:A, 0)), "no", "yes")</f>
        <v>no</v>
      </c>
      <c r="Q467" s="17" t="str">
        <f>IF(ISNA(MATCH(A467, Benefits!A:A, 0)), "no", "yes")</f>
        <v>yes</v>
      </c>
      <c r="R467" s="17"/>
      <c r="S467" s="17"/>
      <c r="T467" s="17" t="s">
        <v>501</v>
      </c>
      <c r="U467" s="171" t="s">
        <v>979</v>
      </c>
      <c r="V467" s="207" t="str">
        <f>VLOOKUP(Table1[[#This Row],[Country Code]],Table29[],3,FALSE)</f>
        <v>Non-Annex I</v>
      </c>
      <c r="W467" s="207" t="str">
        <f>VLOOKUP(Table1[[#This Row],[Country Code]],Table29[],4,FALSE)</f>
        <v>Asia</v>
      </c>
      <c r="X467" s="207" t="str">
        <f>VLOOKUP(Table1[[#This Row],[Country Code]],Table29[],5,FALSE)</f>
        <v>Middle-income</v>
      </c>
      <c r="Y467" s="17"/>
      <c r="Z467" s="17"/>
    </row>
    <row r="468" spans="1:26" ht="15" customHeight="1" x14ac:dyDescent="0.25">
      <c r="A468" s="405">
        <v>32532</v>
      </c>
      <c r="B468" s="19" t="s">
        <v>394</v>
      </c>
      <c r="C468" s="206" t="str">
        <f>VLOOKUP(Table1[[#This Row],[Country Code]],Table29[],2,FALSE)</f>
        <v>Singapore</v>
      </c>
      <c r="D468" s="243" t="str">
        <f t="shared" si="16"/>
        <v>Good</v>
      </c>
      <c r="E468" s="20" t="s">
        <v>227</v>
      </c>
      <c r="F468" s="17" t="s">
        <v>227</v>
      </c>
      <c r="G468" s="43" t="str">
        <f t="shared" si="17"/>
        <v>LTS</v>
      </c>
      <c r="H468" s="17" t="s">
        <v>722</v>
      </c>
      <c r="I468" s="163">
        <v>44868</v>
      </c>
      <c r="J468" s="187" t="s">
        <v>505</v>
      </c>
      <c r="K468" s="49" t="str" cm="1">
        <f t="array" ref="K468">IF(ISNUMBER(MATCH("Transport sector mitigation target", _xlfn._xlws.FILTER(Targets!H:H, Targets!A:A =A468), 0)), "yes", "no")</f>
        <v>no</v>
      </c>
      <c r="L468" s="17" t="str">
        <f>IF(K468="no", "No transport target", IF(AND(COUNTIFS(Targets!A:A, A468, Targets!H:H, "Transport sector mitigation target", Targets!J:J, "GHG") &gt; 0, COUNTIFS(Targets!A:A, A468, Targets!H:H, "Transport sector mitigation target", Targets!J:J, "Non GHG") &gt; 0), "GHG and non-GHG target", IF(COUNTIFS(Targets!A:A, A468, Targets!H:H, "Transport sector mitigation target", Targets!J:J, "GHG") &gt; 0, "GHG target", IF(COUNTIFS(Targets!A:A, A468, Targets!H:H, "Transport sector mitigation target", Targets!J:J, "Non GHG") &gt; 0, "non-GHG target", ""))))</f>
        <v>No transport target</v>
      </c>
      <c r="M468" s="17" t="str">
        <f>IF(K468="no","No transport target",IF(L468="non-GHG target","No GHG transport target",IF(AND(COUNTIFS(Targets!A:A,A468,Targets!H:H,"Transport sector mitigation target",Targets!J:J,"GHG",Targets!L:L,"Conditional")&gt;0,COUNTIFS(Targets!A:A,A468,Targets!H:H,"Transport sector mitigation target",Targets!J:J,"GHG",Targets!L:L,"Unconditional")&gt;0),"GHG unconditional and conditional",IF(COUNTIFS(Targets!A:A,A468,Targets!H:H,"Transport sector mitigation target",Targets!J:J,"GHG",Targets!L:L,"Conditional")&gt;0,"GHG conditional only",IF(COUNTIFS(Targets!A:A,A468,Targets!H:H,"Transport sector mitigation target",Targets!J:J,"GHG",Targets!L:L,"Unconditional")&gt;0,"GHG unconditional only",IF(COUNTIFS(Targets!A:A,A468,Targets!H:H,"Transport sector mitigation target",Targets!J:J,"GHG",Targets!L:L,"Unclear conditionality")&gt;0,"Conditionality unclear",""))))))</f>
        <v>No transport target</v>
      </c>
      <c r="N468" s="17" t="str" cm="1">
        <f t="array" ref="N468">IF(ISNUMBER(MATCH("Transport sector adaptation target", _xlfn._xlws.FILTER(Targets!H:H, Targets!A:A =A468), 0)), "yes", "no")</f>
        <v>no</v>
      </c>
      <c r="O468" s="17" t="str">
        <f>IF(ISNA(MATCH(A468, Mitigation!A:A, 0)), "no", "yes")</f>
        <v>yes</v>
      </c>
      <c r="P468" s="17" t="str">
        <f>IF(ISNA(MATCH(A468, Adaptation!A:A, 0)), "no", "yes")</f>
        <v>no</v>
      </c>
      <c r="Q468" s="17" t="str">
        <f>IF(ISNA(MATCH(A468, Benefits!A:A, 0)), "no", "yes")</f>
        <v>no</v>
      </c>
      <c r="R468" s="17"/>
      <c r="S468" s="17"/>
      <c r="T468" s="17" t="s">
        <v>501</v>
      </c>
      <c r="U468" s="169" t="s">
        <v>980</v>
      </c>
      <c r="V468" s="207" t="str">
        <f>VLOOKUP(Table1[[#This Row],[Country Code]],Table29[],3,FALSE)</f>
        <v>Non-Annex I</v>
      </c>
      <c r="W468" s="207" t="str">
        <f>VLOOKUP(Table1[[#This Row],[Country Code]],Table29[],4,FALSE)</f>
        <v>Asia</v>
      </c>
      <c r="X468" s="207" t="str">
        <f>VLOOKUP(Table1[[#This Row],[Country Code]],Table29[],5,FALSE)</f>
        <v>High-income</v>
      </c>
      <c r="Y468" s="17"/>
      <c r="Z468" s="17"/>
    </row>
    <row r="469" spans="1:26" ht="15" customHeight="1" x14ac:dyDescent="0.25">
      <c r="A469" s="360">
        <v>32504</v>
      </c>
      <c r="B469" s="42" t="s">
        <v>253</v>
      </c>
      <c r="C469" s="243" t="str">
        <f>VLOOKUP(Table1[[#This Row],[Country Code]],Table29[],2,FALSE)</f>
        <v>Kiribati</v>
      </c>
      <c r="D469" s="243" t="str">
        <f t="shared" si="16"/>
        <v>Good</v>
      </c>
      <c r="E469" s="176" t="s">
        <v>71</v>
      </c>
      <c r="F469" s="43" t="s">
        <v>528</v>
      </c>
      <c r="G469" s="43" t="str">
        <f t="shared" si="17"/>
        <v>First NDC updated</v>
      </c>
      <c r="H469" s="43" t="s">
        <v>691</v>
      </c>
      <c r="I469" s="355">
        <v>44987</v>
      </c>
      <c r="J469" s="352" t="s">
        <v>505</v>
      </c>
      <c r="K469" s="320" t="str" cm="1">
        <f t="array" ref="K469">IF(ISNUMBER(MATCH("Transport sector mitigation target", _xlfn._xlws.FILTER(Targets!H:H, Targets!A:A =A469), 0)), "yes", "no")</f>
        <v>no</v>
      </c>
      <c r="L469" s="43" t="str">
        <f>IF(K469="no", "No transport target", IF(AND(COUNTIFS(Targets!A:A, A469, Targets!H:H, "Transport sector mitigation target", Targets!J:J, "GHG") &gt; 0, COUNTIFS(Targets!A:A, A469, Targets!H:H, "Transport sector mitigation target", Targets!J:J, "Non GHG") &gt; 0), "GHG and non-GHG target", IF(COUNTIFS(Targets!A:A, A469, Targets!H:H, "Transport sector mitigation target", Targets!J:J, "GHG") &gt; 0, "GHG target", IF(COUNTIFS(Targets!A:A, A469, Targets!H:H, "Transport sector mitigation target", Targets!J:J, "Non GHG") &gt; 0, "non-GHG target", ""))))</f>
        <v>No transport target</v>
      </c>
      <c r="M469" s="43" t="str">
        <f>IF(K469="no","No transport target",IF(L469="non-GHG target","No GHG transport target",IF(AND(COUNTIFS(Targets!A:A,A469,Targets!H:H,"Transport sector mitigation target",Targets!J:J,"GHG",Targets!L:L,"Conditional")&gt;0,COUNTIFS(Targets!A:A,A469,Targets!H:H,"Transport sector mitigation target",Targets!J:J,"GHG",Targets!L:L,"Unconditional")&gt;0),"GHG unconditional and conditional",IF(COUNTIFS(Targets!A:A,A469,Targets!H:H,"Transport sector mitigation target",Targets!J:J,"GHG",Targets!L:L,"Conditional")&gt;0,"GHG conditional only",IF(COUNTIFS(Targets!A:A,A469,Targets!H:H,"Transport sector mitigation target",Targets!J:J,"GHG",Targets!L:L,"Unconditional")&gt;0,"GHG unconditional only",IF(COUNTIFS(Targets!A:A,A469,Targets!H:H,"Transport sector mitigation target",Targets!J:J,"GHG",Targets!L:L,"Unclear conditionality")&gt;0,"Conditionality unclear",""))))))</f>
        <v>No transport target</v>
      </c>
      <c r="N469" s="43" t="str" cm="1">
        <f t="array" ref="N469">IF(ISNUMBER(MATCH("Transport sector adaptation target", _xlfn._xlws.FILTER(Targets!H:H, Targets!A:A =A469), 0)), "yes", "no")</f>
        <v>no</v>
      </c>
      <c r="O469" s="43" t="str">
        <f>IF(ISNA(MATCH(A469, Mitigation!A:A, 0)), "no", "yes")</f>
        <v>yes</v>
      </c>
      <c r="P469" s="43" t="str">
        <f>IF(ISNA(MATCH(A469, Adaptation!A:A, 0)), "no", "yes")</f>
        <v>no</v>
      </c>
      <c r="Q469" s="43" t="str">
        <f>IF(ISNA(MATCH(A469, Benefits!A:A, 0)), "no", "yes")</f>
        <v>no</v>
      </c>
      <c r="R469" s="43"/>
      <c r="S469" s="43"/>
      <c r="T469" s="43" t="s">
        <v>501</v>
      </c>
      <c r="U469" s="356" t="s">
        <v>981</v>
      </c>
      <c r="V469" s="233" t="str">
        <f>VLOOKUP(Table1[[#This Row],[Country Code]],Table29[],3,FALSE)</f>
        <v>Non-Annex I</v>
      </c>
      <c r="W469" s="233" t="str">
        <f>VLOOKUP(Table1[[#This Row],[Country Code]],Table29[],4,FALSE)</f>
        <v>Oceania</v>
      </c>
      <c r="X469" s="233" t="str">
        <f>VLOOKUP(Table1[[#This Row],[Country Code]],Table29[],5,FALSE)</f>
        <v>Middle-income</v>
      </c>
      <c r="Y469" s="43"/>
      <c r="Z469" s="43"/>
    </row>
    <row r="470" spans="1:26" ht="15" customHeight="1" x14ac:dyDescent="0.25">
      <c r="A470" s="360">
        <v>23829</v>
      </c>
      <c r="B470" s="42" t="s">
        <v>372</v>
      </c>
      <c r="C470" s="243" t="str">
        <f>VLOOKUP(Table1[[#This Row],[Country Code]],Table29[],2,FALSE)</f>
        <v>Saint Kitts and Nevis</v>
      </c>
      <c r="D470" s="243" t="str">
        <f t="shared" si="16"/>
        <v>Good</v>
      </c>
      <c r="E470" s="176" t="s">
        <v>71</v>
      </c>
      <c r="F470" s="43" t="s">
        <v>528</v>
      </c>
      <c r="G470" s="43" t="str">
        <f t="shared" si="17"/>
        <v>First NDC updated</v>
      </c>
      <c r="H470" s="43" t="s">
        <v>691</v>
      </c>
      <c r="I470" s="351">
        <v>44494</v>
      </c>
      <c r="J470" s="352" t="s">
        <v>505</v>
      </c>
      <c r="K470" s="320" t="str" cm="1">
        <f t="array" ref="K470">IF(ISNUMBER(MATCH("Transport sector mitigation target", _xlfn._xlws.FILTER(Targets!H:H, Targets!A:A =A470), 0)), "yes", "no")</f>
        <v>yes</v>
      </c>
      <c r="L470" s="43" t="str">
        <f>IF(K470="no", "No transport target", IF(AND(COUNTIFS(Targets!A:A, A470, Targets!H:H, "Transport sector mitigation target", Targets!J:J, "GHG") &gt; 0, COUNTIFS(Targets!A:A, A470, Targets!H:H, "Transport sector mitigation target", Targets!J:J, "Non GHG") &gt; 0), "GHG and non-GHG target", IF(COUNTIFS(Targets!A:A, A470, Targets!H:H, "Transport sector mitigation target", Targets!J:J, "GHG") &gt; 0, "GHG target", IF(COUNTIFS(Targets!A:A, A470, Targets!H:H, "Transport sector mitigation target", Targets!J:J, "Non GHG") &gt; 0, "non-GHG target", ""))))</f>
        <v>non-GHG target</v>
      </c>
      <c r="M470" s="43" t="str">
        <f>IF(K470="no","No transport target",IF(L470="non-GHG target","No GHG transport target",IF(AND(COUNTIFS(Targets!A:A,A470,Targets!H:H,"Transport sector mitigation target",Targets!J:J,"GHG",Targets!L:L,"Conditional")&gt;0,COUNTIFS(Targets!A:A,A470,Targets!H:H,"Transport sector mitigation target",Targets!J:J,"GHG",Targets!L:L,"Unconditional")&gt;0),"GHG unconditional and conditional",IF(COUNTIFS(Targets!A:A,A470,Targets!H:H,"Transport sector mitigation target",Targets!J:J,"GHG",Targets!L:L,"Conditional")&gt;0,"GHG conditional only",IF(COUNTIFS(Targets!A:A,A470,Targets!H:H,"Transport sector mitigation target",Targets!J:J,"GHG",Targets!L:L,"Unconditional")&gt;0,"GHG unconditional only",IF(COUNTIFS(Targets!A:A,A470,Targets!H:H,"Transport sector mitigation target",Targets!J:J,"GHG",Targets!L:L,"Unclear conditionality")&gt;0,"Conditionality unclear",""))))))</f>
        <v>No GHG transport target</v>
      </c>
      <c r="N470" s="43" t="str" cm="1">
        <f t="array" ref="N470">IF(ISNUMBER(MATCH("Transport sector adaptation target", _xlfn._xlws.FILTER(Targets!H:H, Targets!A:A =A470), 0)), "yes", "no")</f>
        <v>no</v>
      </c>
      <c r="O470" s="43" t="str">
        <f>IF(ISNA(MATCH(A470, Mitigation!A:A, 0)), "no", "yes")</f>
        <v>yes</v>
      </c>
      <c r="P470" s="43" t="str">
        <f>IF(ISNA(MATCH(A470, Adaptation!A:A, 0)), "no", "yes")</f>
        <v>yes</v>
      </c>
      <c r="Q470" s="43" t="str">
        <f>IF(ISNA(MATCH(A470, Benefits!A:A, 0)), "no", "yes")</f>
        <v>no</v>
      </c>
      <c r="R470" s="43"/>
      <c r="S470" s="43"/>
      <c r="T470" s="43" t="s">
        <v>501</v>
      </c>
      <c r="U470" s="312" t="s">
        <v>982</v>
      </c>
      <c r="V470" s="233" t="str">
        <f>VLOOKUP(Table1[[#This Row],[Country Code]],Table29[],3,FALSE)</f>
        <v>Non-Annex I</v>
      </c>
      <c r="W470" s="233" t="str">
        <f>VLOOKUP(Table1[[#This Row],[Country Code]],Table29[],4,FALSE)</f>
        <v>Latin America and the Caribbean</v>
      </c>
      <c r="X470" s="233" t="str">
        <f>VLOOKUP(Table1[[#This Row],[Country Code]],Table29[],5,FALSE)</f>
        <v>High-income</v>
      </c>
      <c r="Y470" s="43"/>
      <c r="Z470" s="43"/>
    </row>
    <row r="471" spans="1:26" ht="15" customHeight="1" x14ac:dyDescent="0.25">
      <c r="A471" s="405">
        <v>44073</v>
      </c>
      <c r="B471" s="20" t="s">
        <v>245</v>
      </c>
      <c r="C471" s="207" t="str">
        <f>VLOOKUP(Table1[[#This Row],[Country Code]],Table29[],2,FALSE)</f>
        <v>Japan</v>
      </c>
      <c r="D471" s="206" t="str">
        <f t="shared" si="16"/>
        <v>Good</v>
      </c>
      <c r="E471" s="20" t="s">
        <v>71</v>
      </c>
      <c r="F471" s="17" t="s">
        <v>694</v>
      </c>
      <c r="G471" s="17" t="str">
        <f t="shared" si="17"/>
        <v>Third NDC</v>
      </c>
      <c r="H471" s="148" t="s">
        <v>695</v>
      </c>
      <c r="I471" s="163">
        <v>45706</v>
      </c>
      <c r="J471" s="187" t="s">
        <v>505</v>
      </c>
      <c r="K471" s="49" t="str" cm="1">
        <f t="array" ref="K471">IF(ISNUMBER(MATCH("Transport sector mitigation target", _xlfn._xlws.FILTER(Targets!H:H, Targets!A:A =A471), 0)), "yes", "no")</f>
        <v>no</v>
      </c>
      <c r="L471" s="17" t="str">
        <f>IF(K471="no", "No transport target", IF(AND(COUNTIFS(Targets!A:A, A471, Targets!H:H, "Transport sector mitigation target", Targets!J:J, "GHG") &gt; 0, COUNTIFS(Targets!A:A, A471, Targets!H:H, "Transport sector mitigation target", Targets!J:J, "Non GHG") &gt; 0), "GHG and non-GHG target", IF(COUNTIFS(Targets!A:A, A471, Targets!H:H, "Transport sector mitigation target", Targets!J:J, "GHG") &gt; 0, "GHG target", IF(COUNTIFS(Targets!A:A, A471, Targets!H:H, "Transport sector mitigation target", Targets!J:J, "Non GHG") &gt; 0, "non-GHG target", ""))))</f>
        <v>No transport target</v>
      </c>
      <c r="M471" s="17" t="str">
        <f>IF(K471="no","No transport target",IF(L471="non-GHG target","No GHG transport target",IF(AND(COUNTIFS(Targets!A:A,A471,Targets!H:H,"Transport sector mitigation target",Targets!J:J,"GHG",Targets!L:L,"Conditional")&gt;0,COUNTIFS(Targets!A:A,A471,Targets!H:H,"Transport sector mitigation target",Targets!J:J,"GHG",Targets!L:L,"Unconditional")&gt;0),"GHG unconditional and conditional",IF(COUNTIFS(Targets!A:A,A471,Targets!H:H,"Transport sector mitigation target",Targets!J:J,"GHG",Targets!L:L,"Conditional")&gt;0,"GHG conditional only",IF(COUNTIFS(Targets!A:A,A471,Targets!H:H,"Transport sector mitigation target",Targets!J:J,"GHG",Targets!L:L,"Unconditional")&gt;0,"GHG unconditional only",IF(COUNTIFS(Targets!A:A,A471,Targets!H:H,"Transport sector mitigation target",Targets!J:J,"GHG",Targets!L:L,"Unclear conditionality")&gt;0,"Conditionality unclear",""))))))</f>
        <v>No transport target</v>
      </c>
      <c r="N471" s="17" t="str" cm="1">
        <f t="array" ref="N471">IF(ISNUMBER(MATCH("Transport sector adaptation target", _xlfn._xlws.FILTER(Targets!H:H, Targets!A:A =A471), 0)), "yes", "no")</f>
        <v>no</v>
      </c>
      <c r="O471" s="17" t="str">
        <f>IF(ISNA(MATCH(A471, Mitigation!A:A, 0)), "no", "yes")</f>
        <v>no</v>
      </c>
      <c r="P471" s="17" t="str">
        <f>IF(ISNA(MATCH(A471, Adaptation!A:A, 0)), "no", "yes")</f>
        <v>no</v>
      </c>
      <c r="Q471" s="17" t="str">
        <f>IF(ISNA(MATCH(A471, Benefits!A:A, 0)), "no", "yes")</f>
        <v>no</v>
      </c>
      <c r="R471" s="17"/>
      <c r="S471" s="148"/>
      <c r="T471" s="17"/>
      <c r="U471" s="148" t="s">
        <v>983</v>
      </c>
      <c r="V471" s="207" t="str">
        <f>VLOOKUP(Table1[[#This Row],[Country Code]],Table29[],3,FALSE)</f>
        <v>Annex I</v>
      </c>
      <c r="W471" s="207" t="str">
        <f>VLOOKUP(Table1[[#This Row],[Country Code]],Table29[],4,FALSE)</f>
        <v>Asia</v>
      </c>
      <c r="X471" s="233" t="str">
        <f>VLOOKUP(Table1[[#This Row],[Country Code]],Table29[],5,FALSE)</f>
        <v>High-income</v>
      </c>
      <c r="Y471" s="17" t="s">
        <v>984</v>
      </c>
      <c r="Z471" s="17"/>
    </row>
    <row r="472" spans="1:26" ht="15" customHeight="1" x14ac:dyDescent="0.25">
      <c r="A472" s="405">
        <v>22007</v>
      </c>
      <c r="B472" s="17" t="s">
        <v>378</v>
      </c>
      <c r="C472" s="206" t="str">
        <f>VLOOKUP(Table1[[#This Row],[Country Code]],Table29[],2,FALSE)</f>
        <v>Samoa</v>
      </c>
      <c r="D472" s="243" t="str">
        <f t="shared" si="16"/>
        <v>Good</v>
      </c>
      <c r="E472" s="20" t="s">
        <v>71</v>
      </c>
      <c r="F472" s="17" t="s">
        <v>555</v>
      </c>
      <c r="G472" s="43" t="str">
        <f t="shared" si="17"/>
        <v>Second NDC</v>
      </c>
      <c r="H472" s="17" t="s">
        <v>714</v>
      </c>
      <c r="I472" s="149">
        <v>44407</v>
      </c>
      <c r="J472" s="187" t="s">
        <v>505</v>
      </c>
      <c r="K472" s="49" t="str" cm="1">
        <f t="array" ref="K472">IF(ISNUMBER(MATCH("Transport sector mitigation target", _xlfn._xlws.FILTER(Targets!H:H, Targets!A:A =A472), 0)), "yes", "no")</f>
        <v>yes</v>
      </c>
      <c r="L472" s="17" t="str">
        <f>IF(K472="no", "No transport target", IF(AND(COUNTIFS(Targets!A:A, A472, Targets!H:H, "Transport sector mitigation target", Targets!J:J, "GHG") &gt; 0, COUNTIFS(Targets!A:A, A472, Targets!H:H, "Transport sector mitigation target", Targets!J:J, "Non GHG") &gt; 0), "GHG and non-GHG target", IF(COUNTIFS(Targets!A:A, A472, Targets!H:H, "Transport sector mitigation target", Targets!J:J, "GHG") &gt; 0, "GHG target", IF(COUNTIFS(Targets!A:A, A472, Targets!H:H, "Transport sector mitigation target", Targets!J:J, "Non GHG") &gt; 0, "non-GHG target", ""))))</f>
        <v>GHG target</v>
      </c>
      <c r="M472" s="17" t="str">
        <f>IF(K472="no","No transport target",IF(L472="non-GHG target","No GHG transport target",IF(AND(COUNTIFS(Targets!A:A,A472,Targets!H:H,"Transport sector mitigation target",Targets!J:J,"GHG",Targets!L:L,"Conditional")&gt;0,COUNTIFS(Targets!A:A,A472,Targets!H:H,"Transport sector mitigation target",Targets!J:J,"GHG",Targets!L:L,"Unconditional")&gt;0),"GHG unconditional and conditional",IF(COUNTIFS(Targets!A:A,A472,Targets!H:H,"Transport sector mitigation target",Targets!J:J,"GHG",Targets!L:L,"Conditional")&gt;0,"GHG conditional only",IF(COUNTIFS(Targets!A:A,A472,Targets!H:H,"Transport sector mitigation target",Targets!J:J,"GHG",Targets!L:L,"Unconditional")&gt;0,"GHG unconditional only",IF(COUNTIFS(Targets!A:A,A472,Targets!H:H,"Transport sector mitigation target",Targets!J:J,"GHG",Targets!L:L,"Unclear conditionality")&gt;0,"Conditionality unclear",""))))))</f>
        <v>GHG conditional only</v>
      </c>
      <c r="N472" s="17" t="str" cm="1">
        <f t="array" ref="N472">IF(ISNUMBER(MATCH("Transport sector adaptation target", _xlfn._xlws.FILTER(Targets!H:H, Targets!A:A =A472), 0)), "yes", "no")</f>
        <v>no</v>
      </c>
      <c r="O472" s="17" t="str">
        <f>IF(ISNA(MATCH(A472, Mitigation!A:A, 0)), "no", "yes")</f>
        <v>yes</v>
      </c>
      <c r="P472" s="17" t="str">
        <f>IF(ISNA(MATCH(A472, Adaptation!A:A, 0)), "no", "yes")</f>
        <v>no</v>
      </c>
      <c r="Q472" s="17" t="str">
        <f>IF(ISNA(MATCH(A472, Benefits!A:A, 0)), "no", "yes")</f>
        <v>no</v>
      </c>
      <c r="R472" s="17"/>
      <c r="S472" s="17"/>
      <c r="T472" s="17" t="s">
        <v>501</v>
      </c>
      <c r="U472" s="135" t="s">
        <v>985</v>
      </c>
      <c r="V472" s="207" t="str">
        <f>VLOOKUP(Table1[[#This Row],[Country Code]],Table29[],3,FALSE)</f>
        <v>Non-Annex I</v>
      </c>
      <c r="W472" s="207" t="str">
        <f>VLOOKUP(Table1[[#This Row],[Country Code]],Table29[],4,FALSE)</f>
        <v>Oceania</v>
      </c>
      <c r="X472" s="207" t="str">
        <f>VLOOKUP(Table1[[#This Row],[Country Code]],Table29[],5,FALSE)</f>
        <v>Middle-income</v>
      </c>
      <c r="Y472" s="17"/>
      <c r="Z472" s="17"/>
    </row>
    <row r="473" spans="1:26" ht="15" customHeight="1" x14ac:dyDescent="0.25">
      <c r="A473" s="360">
        <v>39445</v>
      </c>
      <c r="B473" s="43" t="s">
        <v>236</v>
      </c>
      <c r="C473" s="243" t="str">
        <f>VLOOKUP(Table1[[#This Row],[Country Code]],Table29[],2,FALSE)</f>
        <v>Ireland</v>
      </c>
      <c r="D473" s="243" t="str">
        <f t="shared" si="16"/>
        <v>Good</v>
      </c>
      <c r="E473" s="176" t="s">
        <v>227</v>
      </c>
      <c r="F473" s="43" t="s">
        <v>717</v>
      </c>
      <c r="G473" s="43" t="str">
        <f t="shared" si="17"/>
        <v>EU-LTS</v>
      </c>
      <c r="H473" s="350" t="s">
        <v>636</v>
      </c>
      <c r="I473" s="355">
        <v>45062</v>
      </c>
      <c r="J473" s="352" t="s">
        <v>500</v>
      </c>
      <c r="K473" s="320" t="str" cm="1">
        <f t="array" ref="K473">IF(ISNUMBER(MATCH("Transport sector mitigation target", _xlfn._xlws.FILTER(Targets!H:H, Targets!A:A =A473), 0)), "yes", "no")</f>
        <v>yes</v>
      </c>
      <c r="L473" s="43" t="str">
        <f>IF(K473="no", "No transport target", IF(AND(COUNTIFS(Targets!A:A, A473, Targets!H:H, "Transport sector mitigation target", Targets!J:J, "GHG") &gt; 0, COUNTIFS(Targets!A:A, A473, Targets!H:H, "Transport sector mitigation target", Targets!J:J, "Non GHG") &gt; 0), "GHG and non-GHG target", IF(COUNTIFS(Targets!A:A, A473, Targets!H:H, "Transport sector mitigation target", Targets!J:J, "GHG") &gt; 0, "GHG target", IF(COUNTIFS(Targets!A:A, A473, Targets!H:H, "Transport sector mitigation target", Targets!J:J, "Non GHG") &gt; 0, "non-GHG target", ""))))</f>
        <v>GHG target</v>
      </c>
      <c r="M473" s="43" t="str">
        <f>IF(K473="no","No transport target",IF(L473="non-GHG target","No GHG transport target",IF(AND(COUNTIFS(Targets!A:A,A473,Targets!H:H,"Transport sector mitigation target",Targets!J:J,"GHG",Targets!L:L,"Conditional")&gt;0,COUNTIFS(Targets!A:A,A473,Targets!H:H,"Transport sector mitigation target",Targets!J:J,"GHG",Targets!L:L,"Unconditional")&gt;0),"GHG unconditional and conditional",IF(COUNTIFS(Targets!A:A,A473,Targets!H:H,"Transport sector mitigation target",Targets!J:J,"GHG",Targets!L:L,"Conditional")&gt;0,"GHG conditional only",IF(COUNTIFS(Targets!A:A,A473,Targets!H:H,"Transport sector mitigation target",Targets!J:J,"GHG",Targets!L:L,"Unconditional")&gt;0,"GHG unconditional only",IF(COUNTIFS(Targets!A:A,A473,Targets!H:H,"Transport sector mitigation target",Targets!J:J,"GHG",Targets!L:L,"Unclear conditionality")&gt;0,"Conditionality unclear",""))))))</f>
        <v>GHG unconditional only</v>
      </c>
      <c r="N473" s="43" t="str" cm="1">
        <f t="array" ref="N473">IF(ISNUMBER(MATCH("Transport sector adaptation target", _xlfn._xlws.FILTER(Targets!H:H, Targets!A:A =A473), 0)), "yes", "no")</f>
        <v>no</v>
      </c>
      <c r="O473" s="43" t="str">
        <f>IF(ISNA(MATCH(A473, Mitigation!A:A, 0)), "no", "yes")</f>
        <v>yes</v>
      </c>
      <c r="P473" s="43" t="str">
        <f>IF(ISNA(MATCH(A473, Adaptation!A:A, 0)), "no", "yes")</f>
        <v>yes</v>
      </c>
      <c r="Q473" s="43" t="str">
        <f>IF(ISNA(MATCH(A473, Benefits!A:A, 0)), "no", "yes")</f>
        <v>no</v>
      </c>
      <c r="R473" s="43"/>
      <c r="S473" s="43"/>
      <c r="T473" s="43" t="s">
        <v>501</v>
      </c>
      <c r="U473" s="356" t="s">
        <v>986</v>
      </c>
      <c r="V473" s="233" t="str">
        <f>VLOOKUP(Table1[[#This Row],[Country Code]],Table29[],3,FALSE)</f>
        <v>Annex I</v>
      </c>
      <c r="W473" s="233" t="str">
        <f>VLOOKUP(Table1[[#This Row],[Country Code]],Table29[],4,FALSE)</f>
        <v>Europe</v>
      </c>
      <c r="X473" s="233" t="str">
        <f>VLOOKUP(Table1[[#This Row],[Country Code]],Table29[],5,FALSE)</f>
        <v>High-income</v>
      </c>
      <c r="Y473" s="43" t="s">
        <v>987</v>
      </c>
      <c r="Z473" s="43"/>
    </row>
    <row r="474" spans="1:26" ht="15" customHeight="1" x14ac:dyDescent="0.25">
      <c r="A474" s="405">
        <v>41742</v>
      </c>
      <c r="B474" s="21" t="s">
        <v>388</v>
      </c>
      <c r="C474" s="206" t="str">
        <f>VLOOKUP(Table1[[#This Row],[Country Code]],Table29[],2,FALSE)</f>
        <v>Serbia</v>
      </c>
      <c r="D474" s="243" t="str">
        <f t="shared" si="16"/>
        <v>Good</v>
      </c>
      <c r="E474" s="20" t="s">
        <v>227</v>
      </c>
      <c r="F474" s="19" t="s">
        <v>227</v>
      </c>
      <c r="G474" s="43" t="str">
        <f t="shared" si="17"/>
        <v>LTS</v>
      </c>
      <c r="H474" s="19" t="s">
        <v>636</v>
      </c>
      <c r="I474" s="149">
        <v>45301</v>
      </c>
      <c r="J474" s="187" t="s">
        <v>505</v>
      </c>
      <c r="K474" s="49" t="str" cm="1">
        <f t="array" ref="K474">IF(ISNUMBER(MATCH("Transport sector mitigation target", _xlfn._xlws.FILTER(Targets!H:H, Targets!A:A =A474), 0)), "yes", "no")</f>
        <v>yes</v>
      </c>
      <c r="L474" s="19" t="str">
        <f>IF(K474="no", "No transport target", IF(AND(COUNTIFS(Targets!A:A, A474, Targets!H:H, "Transport sector mitigation target", Targets!J:J, "GHG") &gt; 0, COUNTIFS(Targets!A:A, A474, Targets!H:H, "Transport sector mitigation target", Targets!J:J, "Non GHG") &gt; 0), "GHG and non-GHG target", IF(COUNTIFS(Targets!A:A, A474, Targets!H:H, "Transport sector mitigation target", Targets!J:J, "GHG") &gt; 0, "GHG target", IF(COUNTIFS(Targets!A:A, A474, Targets!H:H, "Transport sector mitigation target", Targets!J:J, "Non GHG") &gt; 0, "non-GHG target", ""))))</f>
        <v>GHG and non-GHG target</v>
      </c>
      <c r="M474" s="19" t="str">
        <f>IF(K474="no","No transport target",IF(L474="non-GHG target","No GHG transport target",IF(AND(COUNTIFS(Targets!A:A,A474,Targets!H:H,"Transport sector mitigation target",Targets!J:J,"GHG",Targets!L:L,"Conditional")&gt;0,COUNTIFS(Targets!A:A,A474,Targets!H:H,"Transport sector mitigation target",Targets!J:J,"GHG",Targets!L:L,"Unconditional")&gt;0),"GHG unconditional and conditional",IF(COUNTIFS(Targets!A:A,A474,Targets!H:H,"Transport sector mitigation target",Targets!J:J,"GHG",Targets!L:L,"Conditional")&gt;0,"GHG conditional only",IF(COUNTIFS(Targets!A:A,A474,Targets!H:H,"Transport sector mitigation target",Targets!J:J,"GHG",Targets!L:L,"Unconditional")&gt;0,"GHG unconditional only",IF(COUNTIFS(Targets!A:A,A474,Targets!H:H,"Transport sector mitigation target",Targets!J:J,"GHG",Targets!L:L,"Unclear conditionality")&gt;0,"Conditionality unclear",""))))))</f>
        <v>GHG unconditional only</v>
      </c>
      <c r="N474" s="19" t="str" cm="1">
        <f t="array" ref="N474">IF(ISNUMBER(MATCH("Transport sector adaptation target", _xlfn._xlws.FILTER(Targets!H:H, Targets!A:A =A474), 0)), "yes", "no")</f>
        <v>no</v>
      </c>
      <c r="O474" s="19" t="str">
        <f>IF(ISNA(MATCH(A474, Mitigation!A:A, 0)), "no", "yes")</f>
        <v>yes</v>
      </c>
      <c r="P474" s="19" t="str">
        <f>IF(ISNA(MATCH(A474, Adaptation!A:A, 0)), "no", "yes")</f>
        <v>yes</v>
      </c>
      <c r="Q474" s="19" t="str">
        <f>IF(ISNA(MATCH(A474, Benefits!A:A, 0)), "no", "yes")</f>
        <v>no</v>
      </c>
      <c r="R474" s="17"/>
      <c r="S474" s="17"/>
      <c r="T474" s="17" t="s">
        <v>501</v>
      </c>
      <c r="U474" s="174" t="s">
        <v>988</v>
      </c>
      <c r="V474" s="207" t="str">
        <f>VLOOKUP(Table1[[#This Row],[Country Code]],Table29[],3,FALSE)</f>
        <v>Non-Annex I</v>
      </c>
      <c r="W474" s="207" t="str">
        <f>VLOOKUP(Table1[[#This Row],[Country Code]],Table29[],4,FALSE)</f>
        <v>Europe</v>
      </c>
      <c r="X474" s="207" t="str">
        <f>VLOOKUP(Table1[[#This Row],[Country Code]],Table29[],5,FALSE)</f>
        <v>Middle-income</v>
      </c>
      <c r="Y474" s="17"/>
      <c r="Z474" s="17"/>
    </row>
    <row r="475" spans="1:26" ht="15" customHeight="1" x14ac:dyDescent="0.25">
      <c r="A475" s="405">
        <v>39453</v>
      </c>
      <c r="B475" s="17" t="s">
        <v>460</v>
      </c>
      <c r="C475" s="206" t="str">
        <f>VLOOKUP(Table1[[#This Row],[Country Code]],Table29[],2,FALSE)</f>
        <v>Vatican</v>
      </c>
      <c r="D475" s="243" t="str">
        <f t="shared" si="16"/>
        <v>Good</v>
      </c>
      <c r="E475" s="20" t="s">
        <v>71</v>
      </c>
      <c r="F475" s="17" t="s">
        <v>498</v>
      </c>
      <c r="G475" s="43" t="str">
        <f t="shared" si="17"/>
        <v>First NDC</v>
      </c>
      <c r="H475" s="148" t="s">
        <v>499</v>
      </c>
      <c r="I475" s="163">
        <v>45077</v>
      </c>
      <c r="J475" s="187" t="s">
        <v>505</v>
      </c>
      <c r="K475" s="49" t="str" cm="1">
        <f t="array" ref="K475">IF(ISNUMBER(MATCH("Transport sector mitigation target", _xlfn._xlws.FILTER(Targets!H:H, Targets!A:A =A475), 0)), "yes", "no")</f>
        <v>no</v>
      </c>
      <c r="L475" s="17" t="str">
        <f>IF(K475="no", "No transport target", IF(AND(COUNTIFS(Targets!A:A, A475, Targets!H:H, "Transport sector mitigation target", Targets!J:J, "GHG") &gt; 0, COUNTIFS(Targets!A:A, A475, Targets!H:H, "Transport sector mitigation target", Targets!J:J, "Non GHG") &gt; 0), "GHG and non-GHG target", IF(COUNTIFS(Targets!A:A, A475, Targets!H:H, "Transport sector mitigation target", Targets!J:J, "GHG") &gt; 0, "GHG target", IF(COUNTIFS(Targets!A:A, A475, Targets!H:H, "Transport sector mitigation target", Targets!J:J, "Non GHG") &gt; 0, "non-GHG target", ""))))</f>
        <v>No transport target</v>
      </c>
      <c r="M475" s="17" t="str">
        <f>IF(K475="no","No transport target",IF(L475="non-GHG target","No GHG transport target",IF(AND(COUNTIFS(Targets!A:A,A475,Targets!H:H,"Transport sector mitigation target",Targets!J:J,"GHG",Targets!L:L,"Conditional")&gt;0,COUNTIFS(Targets!A:A,A475,Targets!H:H,"Transport sector mitigation target",Targets!J:J,"GHG",Targets!L:L,"Unconditional")&gt;0),"GHG unconditional and conditional",IF(COUNTIFS(Targets!A:A,A475,Targets!H:H,"Transport sector mitigation target",Targets!J:J,"GHG",Targets!L:L,"Conditional")&gt;0,"GHG conditional only",IF(COUNTIFS(Targets!A:A,A475,Targets!H:H,"Transport sector mitigation target",Targets!J:J,"GHG",Targets!L:L,"Unconditional")&gt;0,"GHG unconditional only",IF(COUNTIFS(Targets!A:A,A475,Targets!H:H,"Transport sector mitigation target",Targets!J:J,"GHG",Targets!L:L,"Unclear conditionality")&gt;0,"Conditionality unclear",""))))))</f>
        <v>No transport target</v>
      </c>
      <c r="N475" s="17" t="str" cm="1">
        <f t="array" ref="N475">IF(ISNUMBER(MATCH("Transport sector adaptation target", _xlfn._xlws.FILTER(Targets!H:H, Targets!A:A =A475), 0)), "yes", "no")</f>
        <v>no</v>
      </c>
      <c r="O475" s="17" t="str">
        <f>IF(ISNA(MATCH(A475, Mitigation!A:A, 0)), "no", "yes")</f>
        <v>no</v>
      </c>
      <c r="P475" s="17" t="str">
        <f>IF(ISNA(MATCH(A475, Adaptation!A:A, 0)), "no", "yes")</f>
        <v>no</v>
      </c>
      <c r="Q475" s="17" t="str">
        <f>IF(ISNA(MATCH(A475, Benefits!A:A, 0)), "no", "yes")</f>
        <v>no</v>
      </c>
      <c r="R475" s="17"/>
      <c r="S475" s="17"/>
      <c r="T475" s="17" t="s">
        <v>501</v>
      </c>
      <c r="U475" s="171" t="s">
        <v>989</v>
      </c>
      <c r="V475" s="207" t="str">
        <f>VLOOKUP(Table1[[#This Row],[Country Code]],Table29[],3,FALSE)</f>
        <v>NA</v>
      </c>
      <c r="W475" s="207" t="str">
        <f>VLOOKUP(Table1[[#This Row],[Country Code]],Table29[],4,FALSE)</f>
        <v>Europe</v>
      </c>
      <c r="X475" s="207" t="str">
        <f>VLOOKUP(Table1[[#This Row],[Country Code]],Table29[],5,FALSE)</f>
        <v>NA</v>
      </c>
      <c r="Y475" s="17"/>
      <c r="Z475" s="17"/>
    </row>
    <row r="476" spans="1:26" ht="15" customHeight="1" x14ac:dyDescent="0.25">
      <c r="A476" s="405">
        <v>21279</v>
      </c>
      <c r="B476" s="17" t="s">
        <v>390</v>
      </c>
      <c r="C476" s="206" t="str">
        <f>VLOOKUP(Table1[[#This Row],[Country Code]],Table29[],2,FALSE)</f>
        <v>Seychelles</v>
      </c>
      <c r="D476" s="243" t="str">
        <f t="shared" si="16"/>
        <v>Good</v>
      </c>
      <c r="E476" s="20" t="s">
        <v>71</v>
      </c>
      <c r="F476" s="17" t="s">
        <v>528</v>
      </c>
      <c r="G476" s="43" t="str">
        <f t="shared" si="17"/>
        <v>First NDC updated</v>
      </c>
      <c r="H476" s="17" t="s">
        <v>691</v>
      </c>
      <c r="I476" s="149">
        <v>44407</v>
      </c>
      <c r="J476" s="187" t="s">
        <v>505</v>
      </c>
      <c r="K476" s="49" t="str" cm="1">
        <f t="array" ref="K476">IF(ISNUMBER(MATCH("Transport sector mitigation target", _xlfn._xlws.FILTER(Targets!H:H, Targets!A:A =A476), 0)), "yes", "no")</f>
        <v>yes</v>
      </c>
      <c r="L476" s="17" t="str">
        <f>IF(K476="no", "No transport target", IF(AND(COUNTIFS(Targets!A:A, A476, Targets!H:H, "Transport sector mitigation target", Targets!J:J, "GHG") &gt; 0, COUNTIFS(Targets!A:A, A476, Targets!H:H, "Transport sector mitigation target", Targets!J:J, "Non GHG") &gt; 0), "GHG and non-GHG target", IF(COUNTIFS(Targets!A:A, A476, Targets!H:H, "Transport sector mitigation target", Targets!J:J, "GHG") &gt; 0, "GHG target", IF(COUNTIFS(Targets!A:A, A476, Targets!H:H, "Transport sector mitigation target", Targets!J:J, "Non GHG") &gt; 0, "non-GHG target", ""))))</f>
        <v>GHG and non-GHG target</v>
      </c>
      <c r="M476" s="17" t="str">
        <f>IF(K476="no","No transport target",IF(L476="non-GHG target","No GHG transport target",IF(AND(COUNTIFS(Targets!A:A,A476,Targets!H:H,"Transport sector mitigation target",Targets!J:J,"GHG",Targets!L:L,"Conditional")&gt;0,COUNTIFS(Targets!A:A,A476,Targets!H:H,"Transport sector mitigation target",Targets!J:J,"GHG",Targets!L:L,"Unconditional")&gt;0),"GHG unconditional and conditional",IF(COUNTIFS(Targets!A:A,A476,Targets!H:H,"Transport sector mitigation target",Targets!J:J,"GHG",Targets!L:L,"Conditional")&gt;0,"GHG conditional only",IF(COUNTIFS(Targets!A:A,A476,Targets!H:H,"Transport sector mitigation target",Targets!J:J,"GHG",Targets!L:L,"Unconditional")&gt;0,"GHG unconditional only",IF(COUNTIFS(Targets!A:A,A476,Targets!H:H,"Transport sector mitigation target",Targets!J:J,"GHG",Targets!L:L,"Unclear conditionality")&gt;0,"Conditionality unclear",""))))))</f>
        <v>GHG conditional only</v>
      </c>
      <c r="N476" s="17" t="str" cm="1">
        <f t="array" ref="N476">IF(ISNUMBER(MATCH("Transport sector adaptation target", _xlfn._xlws.FILTER(Targets!H:H, Targets!A:A =A476), 0)), "yes", "no")</f>
        <v>no</v>
      </c>
      <c r="O476" s="17" t="str">
        <f>IF(ISNA(MATCH(A476, Mitigation!A:A, 0)), "no", "yes")</f>
        <v>yes</v>
      </c>
      <c r="P476" s="17" t="str">
        <f>IF(ISNA(MATCH(A476, Adaptation!A:A, 0)), "no", "yes")</f>
        <v>yes</v>
      </c>
      <c r="Q476" s="17" t="str">
        <f>IF(ISNA(MATCH(A476, Benefits!A:A, 0)), "no", "yes")</f>
        <v>no</v>
      </c>
      <c r="R476" s="17"/>
      <c r="S476" s="17"/>
      <c r="T476" s="17" t="s">
        <v>501</v>
      </c>
      <c r="U476" s="135" t="s">
        <v>990</v>
      </c>
      <c r="V476" s="207" t="str">
        <f>VLOOKUP(Table1[[#This Row],[Country Code]],Table29[],3,FALSE)</f>
        <v>Non-Annex I</v>
      </c>
      <c r="W476" s="207" t="str">
        <f>VLOOKUP(Table1[[#This Row],[Country Code]],Table29[],4,FALSE)</f>
        <v>Africa</v>
      </c>
      <c r="X476" s="207" t="str">
        <f>VLOOKUP(Table1[[#This Row],[Country Code]],Table29[],5,FALSE)</f>
        <v>High-income</v>
      </c>
      <c r="Y476" s="17"/>
      <c r="Z476" s="17"/>
    </row>
    <row r="477" spans="1:26" ht="15" customHeight="1" x14ac:dyDescent="0.25">
      <c r="A477" s="405">
        <v>17734</v>
      </c>
      <c r="B477" s="17" t="s">
        <v>396</v>
      </c>
      <c r="C477" s="206" t="str">
        <f>VLOOKUP(Table1[[#This Row],[Country Code]],Table29[],2,FALSE)</f>
        <v>Slovakia</v>
      </c>
      <c r="D477" s="243" t="str">
        <f t="shared" si="16"/>
        <v>Good</v>
      </c>
      <c r="E477" s="20" t="s">
        <v>227</v>
      </c>
      <c r="F477" s="17" t="s">
        <v>227</v>
      </c>
      <c r="G477" s="43" t="str">
        <f t="shared" si="17"/>
        <v>LTS</v>
      </c>
      <c r="H477" s="17" t="s">
        <v>636</v>
      </c>
      <c r="I477" s="149">
        <v>43920</v>
      </c>
      <c r="J477" s="187" t="s">
        <v>505</v>
      </c>
      <c r="K477" s="49" t="str" cm="1">
        <f t="array" ref="K477">IF(ISNUMBER(MATCH("Transport sector mitigation target", _xlfn._xlws.FILTER(Targets!H:H, Targets!A:A =A477), 0)), "yes", "no")</f>
        <v>yes</v>
      </c>
      <c r="L477" s="17" t="str">
        <f>IF(K477="no", "No transport target", IF(AND(COUNTIFS(Targets!A:A, A477, Targets!H:H, "Transport sector mitigation target", Targets!J:J, "GHG") &gt; 0, COUNTIFS(Targets!A:A, A477, Targets!H:H, "Transport sector mitigation target", Targets!J:J, "Non GHG") &gt; 0), "GHG and non-GHG target", IF(COUNTIFS(Targets!A:A, A477, Targets!H:H, "Transport sector mitigation target", Targets!J:J, "GHG") &gt; 0, "GHG target", IF(COUNTIFS(Targets!A:A, A477, Targets!H:H, "Transport sector mitigation target", Targets!J:J, "Non GHG") &gt; 0, "non-GHG target", ""))))</f>
        <v>non-GHG target</v>
      </c>
      <c r="M477" s="17" t="str">
        <f>IF(K477="no","No transport target",IF(L477="non-GHG target","No GHG transport target",IF(AND(COUNTIFS(Targets!A:A,A477,Targets!H:H,"Transport sector mitigation target",Targets!J:J,"GHG",Targets!L:L,"Conditional")&gt;0,COUNTIFS(Targets!A:A,A477,Targets!H:H,"Transport sector mitigation target",Targets!J:J,"GHG",Targets!L:L,"Unconditional")&gt;0),"GHG unconditional and conditional",IF(COUNTIFS(Targets!A:A,A477,Targets!H:H,"Transport sector mitigation target",Targets!J:J,"GHG",Targets!L:L,"Conditional")&gt;0,"GHG conditional only",IF(COUNTIFS(Targets!A:A,A477,Targets!H:H,"Transport sector mitigation target",Targets!J:J,"GHG",Targets!L:L,"Unconditional")&gt;0,"GHG unconditional only",IF(COUNTIFS(Targets!A:A,A477,Targets!H:H,"Transport sector mitigation target",Targets!J:J,"GHG",Targets!L:L,"Unclear conditionality")&gt;0,"Conditionality unclear",""))))))</f>
        <v>No GHG transport target</v>
      </c>
      <c r="N477" s="17" t="str" cm="1">
        <f t="array" ref="N477">IF(ISNUMBER(MATCH("Transport sector adaptation target", _xlfn._xlws.FILTER(Targets!H:H, Targets!A:A =A477), 0)), "yes", "no")</f>
        <v>no</v>
      </c>
      <c r="O477" s="17" t="str">
        <f>IF(ISNA(MATCH(A477, Mitigation!A:A, 0)), "no", "yes")</f>
        <v>yes</v>
      </c>
      <c r="P477" s="17" t="str">
        <f>IF(ISNA(MATCH(A477, Adaptation!A:A, 0)), "no", "yes")</f>
        <v>no</v>
      </c>
      <c r="Q477" s="17" t="str">
        <f>IF(ISNA(MATCH(A477, Benefits!A:A, 0)), "no", "yes")</f>
        <v>yes</v>
      </c>
      <c r="R477" s="17"/>
      <c r="S477" s="17"/>
      <c r="T477" s="17" t="s">
        <v>501</v>
      </c>
      <c r="U477" s="135" t="s">
        <v>991</v>
      </c>
      <c r="V477" s="207" t="str">
        <f>VLOOKUP(Table1[[#This Row],[Country Code]],Table29[],3,FALSE)</f>
        <v>Annex I</v>
      </c>
      <c r="W477" s="207" t="str">
        <f>VLOOKUP(Table1[[#This Row],[Country Code]],Table29[],4,FALSE)</f>
        <v>Europe</v>
      </c>
      <c r="X477" s="207" t="str">
        <f>VLOOKUP(Table1[[#This Row],[Country Code]],Table29[],5,FALSE)</f>
        <v>High-income</v>
      </c>
      <c r="Y477" s="17"/>
      <c r="Z477" s="17"/>
    </row>
    <row r="478" spans="1:26" ht="15" customHeight="1" x14ac:dyDescent="0.25">
      <c r="A478" s="405">
        <v>32515</v>
      </c>
      <c r="B478" s="19" t="s">
        <v>398</v>
      </c>
      <c r="C478" s="206" t="str">
        <f>VLOOKUP(Table1[[#This Row],[Country Code]],Table29[],2,FALSE)</f>
        <v>Slovenia</v>
      </c>
      <c r="D478" s="243" t="str">
        <f t="shared" si="16"/>
        <v>Good</v>
      </c>
      <c r="E478" s="20" t="s">
        <v>227</v>
      </c>
      <c r="F478" s="17" t="s">
        <v>227</v>
      </c>
      <c r="G478" s="43" t="str">
        <f t="shared" si="17"/>
        <v>LTS</v>
      </c>
      <c r="H478" s="17" t="s">
        <v>636</v>
      </c>
      <c r="I478" s="149">
        <v>44431</v>
      </c>
      <c r="J478" s="187" t="s">
        <v>505</v>
      </c>
      <c r="K478" s="49" t="str" cm="1">
        <f t="array" ref="K478">IF(ISNUMBER(MATCH("Transport sector mitigation target", _xlfn._xlws.FILTER(Targets!H:H, Targets!A:A =A478), 0)), "yes", "no")</f>
        <v>yes</v>
      </c>
      <c r="L478" s="17" t="str">
        <f>IF(K478="no", "No transport target", IF(AND(COUNTIFS(Targets!A:A, A478, Targets!H:H, "Transport sector mitigation target", Targets!J:J, "GHG") &gt; 0, COUNTIFS(Targets!A:A, A478, Targets!H:H, "Transport sector mitigation target", Targets!J:J, "Non GHG") &gt; 0), "GHG and non-GHG target", IF(COUNTIFS(Targets!A:A, A478, Targets!H:H, "Transport sector mitigation target", Targets!J:J, "GHG") &gt; 0, "GHG target", IF(COUNTIFS(Targets!A:A, A478, Targets!H:H, "Transport sector mitigation target", Targets!J:J, "Non GHG") &gt; 0, "non-GHG target", ""))))</f>
        <v>GHG target</v>
      </c>
      <c r="M478" s="17" t="str">
        <f>IF(K478="no","No transport target",IF(L478="non-GHG target","No GHG transport target",IF(AND(COUNTIFS(Targets!A:A,A478,Targets!H:H,"Transport sector mitigation target",Targets!J:J,"GHG",Targets!L:L,"Conditional")&gt;0,COUNTIFS(Targets!A:A,A478,Targets!H:H,"Transport sector mitigation target",Targets!J:J,"GHG",Targets!L:L,"Unconditional")&gt;0),"GHG unconditional and conditional",IF(COUNTIFS(Targets!A:A,A478,Targets!H:H,"Transport sector mitigation target",Targets!J:J,"GHG",Targets!L:L,"Conditional")&gt;0,"GHG conditional only",IF(COUNTIFS(Targets!A:A,A478,Targets!H:H,"Transport sector mitigation target",Targets!J:J,"GHG",Targets!L:L,"Unconditional")&gt;0,"GHG unconditional only",IF(COUNTIFS(Targets!A:A,A478,Targets!H:H,"Transport sector mitigation target",Targets!J:J,"GHG",Targets!L:L,"Unclear conditionality")&gt;0,"Conditionality unclear",""))))))</f>
        <v>GHG unconditional only</v>
      </c>
      <c r="N478" s="17" t="str" cm="1">
        <f t="array" ref="N478">IF(ISNUMBER(MATCH("Transport sector adaptation target", _xlfn._xlws.FILTER(Targets!H:H, Targets!A:A =A478), 0)), "yes", "no")</f>
        <v>no</v>
      </c>
      <c r="O478" s="17" t="str">
        <f>IF(ISNA(MATCH(A478, Mitigation!A:A, 0)), "no", "yes")</f>
        <v>yes</v>
      </c>
      <c r="P478" s="17" t="str">
        <f>IF(ISNA(MATCH(A478, Adaptation!A:A, 0)), "no", "yes")</f>
        <v>no</v>
      </c>
      <c r="Q478" s="17" t="str">
        <f>IF(ISNA(MATCH(A478, Benefits!A:A, 0)), "no", "yes")</f>
        <v>no</v>
      </c>
      <c r="R478" s="17"/>
      <c r="S478" s="17"/>
      <c r="T478" s="17" t="s">
        <v>501</v>
      </c>
      <c r="U478" s="135" t="s">
        <v>992</v>
      </c>
      <c r="V478" s="207" t="str">
        <f>VLOOKUP(Table1[[#This Row],[Country Code]],Table29[],3,FALSE)</f>
        <v>Annex I</v>
      </c>
      <c r="W478" s="207" t="str">
        <f>VLOOKUP(Table1[[#This Row],[Country Code]],Table29[],4,FALSE)</f>
        <v>Europe</v>
      </c>
      <c r="X478" s="207" t="str">
        <f>VLOOKUP(Table1[[#This Row],[Country Code]],Table29[],5,FALSE)</f>
        <v>High-income</v>
      </c>
      <c r="Y478" s="17"/>
      <c r="Z478" s="17"/>
    </row>
    <row r="479" spans="1:26" ht="15" customHeight="1" x14ac:dyDescent="0.25">
      <c r="A479" s="360">
        <v>39446</v>
      </c>
      <c r="B479" s="176" t="s">
        <v>249</v>
      </c>
      <c r="C479" s="243" t="str">
        <f>VLOOKUP(Table1[[#This Row],[Country Code]],Table29[],2,FALSE)</f>
        <v>Kazakhstan</v>
      </c>
      <c r="D479" s="243" t="str">
        <f t="shared" si="16"/>
        <v>Good</v>
      </c>
      <c r="E479" s="176" t="s">
        <v>71</v>
      </c>
      <c r="F479" s="43" t="s">
        <v>528</v>
      </c>
      <c r="G479" s="43" t="str">
        <f t="shared" si="17"/>
        <v>First NDC updated</v>
      </c>
      <c r="H479" s="43" t="s">
        <v>691</v>
      </c>
      <c r="I479" s="351">
        <v>45104</v>
      </c>
      <c r="J479" s="352" t="s">
        <v>505</v>
      </c>
      <c r="K479" s="320" t="str" cm="1">
        <f t="array" ref="K479">IF(ISNUMBER(MATCH("Transport sector mitigation target", _xlfn._xlws.FILTER(Targets!H:H, Targets!A:A =A479), 0)), "yes", "no")</f>
        <v>no</v>
      </c>
      <c r="L479" s="43" t="str">
        <f>IF(K479="no", "No transport target", IF(AND(COUNTIFS(Targets!A:A, A479, Targets!H:H, "Transport sector mitigation target", Targets!J:J, "GHG") &gt; 0, COUNTIFS(Targets!A:A, A479, Targets!H:H, "Transport sector mitigation target", Targets!J:J, "Non GHG") &gt; 0), "GHG and non-GHG target", IF(COUNTIFS(Targets!A:A, A479, Targets!H:H, "Transport sector mitigation target", Targets!J:J, "GHG") &gt; 0, "GHG target", IF(COUNTIFS(Targets!A:A, A479, Targets!H:H, "Transport sector mitigation target", Targets!J:J, "Non GHG") &gt; 0, "non-GHG target", ""))))</f>
        <v>No transport target</v>
      </c>
      <c r="M479" s="43" t="str">
        <f>IF(K479="no","No transport target",IF(L479="non-GHG target","No GHG transport target",IF(AND(COUNTIFS(Targets!A:A,A479,Targets!H:H,"Transport sector mitigation target",Targets!J:J,"GHG",Targets!L:L,"Conditional")&gt;0,COUNTIFS(Targets!A:A,A479,Targets!H:H,"Transport sector mitigation target",Targets!J:J,"GHG",Targets!L:L,"Unconditional")&gt;0),"GHG unconditional and conditional",IF(COUNTIFS(Targets!A:A,A479,Targets!H:H,"Transport sector mitigation target",Targets!J:J,"GHG",Targets!L:L,"Conditional")&gt;0,"GHG conditional only",IF(COUNTIFS(Targets!A:A,A479,Targets!H:H,"Transport sector mitigation target",Targets!J:J,"GHG",Targets!L:L,"Unconditional")&gt;0,"GHG unconditional only",IF(COUNTIFS(Targets!A:A,A479,Targets!H:H,"Transport sector mitigation target",Targets!J:J,"GHG",Targets!L:L,"Unclear conditionality")&gt;0,"Conditionality unclear",""))))))</f>
        <v>No transport target</v>
      </c>
      <c r="N479" s="43" t="str" cm="1">
        <f t="array" ref="N479">IF(ISNUMBER(MATCH("Transport sector adaptation target", _xlfn._xlws.FILTER(Targets!H:H, Targets!A:A =A479), 0)), "yes", "no")</f>
        <v>no</v>
      </c>
      <c r="O479" s="43" t="str">
        <f>IF(ISNA(MATCH(A479, Mitigation!A:A, 0)), "no", "yes")</f>
        <v>yes</v>
      </c>
      <c r="P479" s="43" t="str">
        <f>IF(ISNA(MATCH(A479, Adaptation!A:A, 0)), "no", "yes")</f>
        <v>yes</v>
      </c>
      <c r="Q479" s="43" t="str">
        <f>IF(ISNA(MATCH(A479, Benefits!A:A, 0)), "no", "yes")</f>
        <v>no</v>
      </c>
      <c r="R479" s="43"/>
      <c r="S479" s="43"/>
      <c r="T479" s="43" t="s">
        <v>501</v>
      </c>
      <c r="U479" s="312" t="s">
        <v>993</v>
      </c>
      <c r="V479" s="233" t="str">
        <f>VLOOKUP(Table1[[#This Row],[Country Code]],Table29[],3,FALSE)</f>
        <v>Non-Annex I</v>
      </c>
      <c r="W479" s="233" t="str">
        <f>VLOOKUP(Table1[[#This Row],[Country Code]],Table29[],4,FALSE)</f>
        <v>Asia</v>
      </c>
      <c r="X479" s="233" t="str">
        <f>VLOOKUP(Table1[[#This Row],[Country Code]],Table29[],5,FALSE)</f>
        <v>Middle-income</v>
      </c>
      <c r="Y479" s="43"/>
      <c r="Z479" s="43"/>
    </row>
    <row r="480" spans="1:26" ht="15" customHeight="1" x14ac:dyDescent="0.25">
      <c r="A480" s="360">
        <v>39455</v>
      </c>
      <c r="B480" s="43" t="s">
        <v>446</v>
      </c>
      <c r="C480" s="243" t="str">
        <f>VLOOKUP(Table1[[#This Row],[Country Code]],Table29[],2,FALSE)</f>
        <v>United Arab Emirates</v>
      </c>
      <c r="D480" s="243" t="str">
        <f t="shared" si="16"/>
        <v>Good</v>
      </c>
      <c r="E480" s="176" t="s">
        <v>71</v>
      </c>
      <c r="F480" s="43" t="s">
        <v>555</v>
      </c>
      <c r="G480" s="43" t="str">
        <f t="shared" si="17"/>
        <v>Second NDC updated</v>
      </c>
      <c r="H480" s="350" t="s">
        <v>994</v>
      </c>
      <c r="I480" s="355">
        <v>45118</v>
      </c>
      <c r="J480" s="352" t="s">
        <v>500</v>
      </c>
      <c r="K480" s="320" t="str" cm="1">
        <f t="array" ref="K480">IF(ISNUMBER(MATCH("Transport sector mitigation target", _xlfn._xlws.FILTER(Targets!H:H, Targets!A:A =A480), 0)), "yes", "no")</f>
        <v>yes</v>
      </c>
      <c r="L480" s="43" t="str">
        <f>IF(K480="no", "No transport target", IF(AND(COUNTIFS(Targets!A:A, A480, Targets!H:H, "Transport sector mitigation target", Targets!J:J, "GHG") &gt; 0, COUNTIFS(Targets!A:A, A480, Targets!H:H, "Transport sector mitigation target", Targets!J:J, "Non GHG") &gt; 0), "GHG and non-GHG target", IF(COUNTIFS(Targets!A:A, A480, Targets!H:H, "Transport sector mitigation target", Targets!J:J, "GHG") &gt; 0, "GHG target", IF(COUNTIFS(Targets!A:A, A480, Targets!H:H, "Transport sector mitigation target", Targets!J:J, "Non GHG") &gt; 0, "non-GHG target", ""))))</f>
        <v>GHG and non-GHG target</v>
      </c>
      <c r="M480" s="43" t="str">
        <f>IF(K480="no","No transport target",IF(L480="non-GHG target","No GHG transport target",IF(AND(COUNTIFS(Targets!A:A,A480,Targets!H:H,"Transport sector mitigation target",Targets!J:J,"GHG",Targets!L:L,"Conditional")&gt;0,COUNTIFS(Targets!A:A,A480,Targets!H:H,"Transport sector mitigation target",Targets!J:J,"GHG",Targets!L:L,"Unconditional")&gt;0),"GHG unconditional and conditional",IF(COUNTIFS(Targets!A:A,A480,Targets!H:H,"Transport sector mitigation target",Targets!J:J,"GHG",Targets!L:L,"Conditional")&gt;0,"GHG conditional only",IF(COUNTIFS(Targets!A:A,A480,Targets!H:H,"Transport sector mitigation target",Targets!J:J,"GHG",Targets!L:L,"Unconditional")&gt;0,"GHG unconditional only",IF(COUNTIFS(Targets!A:A,A480,Targets!H:H,"Transport sector mitigation target",Targets!J:J,"GHG",Targets!L:L,"Unclear conditionality")&gt;0,"Conditionality unclear",""))))))</f>
        <v>GHG unconditional only</v>
      </c>
      <c r="N480" s="43" t="str" cm="1">
        <f t="array" ref="N480">IF(ISNUMBER(MATCH("Transport sector adaptation target", _xlfn._xlws.FILTER(Targets!H:H, Targets!A:A =A480), 0)), "yes", "no")</f>
        <v>no</v>
      </c>
      <c r="O480" s="43" t="str">
        <f>IF(ISNA(MATCH(A480, Mitigation!A:A, 0)), "no", "yes")</f>
        <v>yes</v>
      </c>
      <c r="P480" s="43" t="str">
        <f>IF(ISNA(MATCH(A480, Adaptation!A:A, 0)), "no", "yes")</f>
        <v>yes</v>
      </c>
      <c r="Q480" s="43" t="str">
        <f>IF(ISNA(MATCH(A480, Benefits!A:A, 0)), "no", "yes")</f>
        <v>no</v>
      </c>
      <c r="R480" s="43"/>
      <c r="S480" s="43"/>
      <c r="T480" s="43" t="s">
        <v>501</v>
      </c>
      <c r="U480" s="356" t="s">
        <v>995</v>
      </c>
      <c r="V480" s="233" t="str">
        <f>VLOOKUP(Table1[[#This Row],[Country Code]],Table29[],3,FALSE)</f>
        <v>Non-Annex I</v>
      </c>
      <c r="W480" s="233" t="str">
        <f>VLOOKUP(Table1[[#This Row],[Country Code]],Table29[],4,FALSE)</f>
        <v>Asia</v>
      </c>
      <c r="X480" s="233" t="str">
        <f>VLOOKUP(Table1[[#This Row],[Country Code]],Table29[],5,FALSE)</f>
        <v>High-income</v>
      </c>
      <c r="Y480" s="43"/>
      <c r="Z480" s="43"/>
    </row>
    <row r="481" spans="1:26" s="4" customFormat="1" ht="15" customHeight="1" x14ac:dyDescent="0.25">
      <c r="A481" s="405">
        <v>39448</v>
      </c>
      <c r="B481" s="19" t="s">
        <v>400</v>
      </c>
      <c r="C481" s="206" t="str">
        <f>VLOOKUP(Table1[[#This Row],[Country Code]],Table29[],2,FALSE)</f>
        <v>Solomon Islands</v>
      </c>
      <c r="D481" s="243" t="str">
        <f t="shared" si="16"/>
        <v>Good</v>
      </c>
      <c r="E481" s="20" t="s">
        <v>227</v>
      </c>
      <c r="F481" s="43" t="s">
        <v>227</v>
      </c>
      <c r="G481" s="43" t="str">
        <f t="shared" si="17"/>
        <v>LTS</v>
      </c>
      <c r="H481" s="148" t="s">
        <v>636</v>
      </c>
      <c r="I481" s="163">
        <v>45173</v>
      </c>
      <c r="J481" s="187" t="s">
        <v>505</v>
      </c>
      <c r="K481" s="49" t="str" cm="1">
        <f t="array" ref="K481">IF(ISNUMBER(MATCH("Transport sector mitigation target", _xlfn._xlws.FILTER(Targets!H:H, Targets!A:A =A481), 0)), "yes", "no")</f>
        <v>yes</v>
      </c>
      <c r="L481" s="17" t="str">
        <f>IF(K481="no", "No transport target", IF(AND(COUNTIFS(Targets!A:A, A481, Targets!H:H, "Transport sector mitigation target", Targets!J:J, "GHG") &gt; 0, COUNTIFS(Targets!A:A, A481, Targets!H:H, "Transport sector mitigation target", Targets!J:J, "Non GHG") &gt; 0), "GHG and non-GHG target", IF(COUNTIFS(Targets!A:A, A481, Targets!H:H, "Transport sector mitigation target", Targets!J:J, "GHG") &gt; 0, "GHG target", IF(COUNTIFS(Targets!A:A, A481, Targets!H:H, "Transport sector mitigation target", Targets!J:J, "Non GHG") &gt; 0, "non-GHG target", ""))))</f>
        <v>GHG and non-GHG target</v>
      </c>
      <c r="M481" s="17" t="str">
        <f>IF(K481="no","No transport target",IF(L481="non-GHG target","No GHG transport target",IF(AND(COUNTIFS(Targets!A:A,A481,Targets!H:H,"Transport sector mitigation target",Targets!J:J,"GHG",Targets!L:L,"Conditional")&gt;0,COUNTIFS(Targets!A:A,A481,Targets!H:H,"Transport sector mitigation target",Targets!J:J,"GHG",Targets!L:L,"Unconditional")&gt;0),"GHG unconditional and conditional",IF(COUNTIFS(Targets!A:A,A481,Targets!H:H,"Transport sector mitigation target",Targets!J:J,"GHG",Targets!L:L,"Conditional")&gt;0,"GHG conditional only",IF(COUNTIFS(Targets!A:A,A481,Targets!H:H,"Transport sector mitigation target",Targets!J:J,"GHG",Targets!L:L,"Unconditional")&gt;0,"GHG unconditional only",IF(COUNTIFS(Targets!A:A,A481,Targets!H:H,"Transport sector mitigation target",Targets!J:J,"GHG",Targets!L:L,"Unclear conditionality")&gt;0,"Conditionality unclear",""))))))</f>
        <v>GHG conditional only</v>
      </c>
      <c r="N481" s="17" t="str" cm="1">
        <f t="array" ref="N481">IF(ISNUMBER(MATCH("Transport sector adaptation target", _xlfn._xlws.FILTER(Targets!H:H, Targets!A:A =A481), 0)), "yes", "no")</f>
        <v>no</v>
      </c>
      <c r="O481" s="17" t="str">
        <f>IF(ISNA(MATCH(A481, Mitigation!A:A, 0)), "no", "yes")</f>
        <v>yes</v>
      </c>
      <c r="P481" s="17" t="str">
        <f>IF(ISNA(MATCH(A481, Adaptation!A:A, 0)), "no", "yes")</f>
        <v>no</v>
      </c>
      <c r="Q481" s="17" t="str">
        <f>IF(ISNA(MATCH(A481, Benefits!A:A, 0)), "no", "yes")</f>
        <v>yes</v>
      </c>
      <c r="R481" s="17"/>
      <c r="S481" s="17"/>
      <c r="T481" s="17" t="s">
        <v>501</v>
      </c>
      <c r="U481" s="171" t="s">
        <v>996</v>
      </c>
      <c r="V481" s="207" t="str">
        <f>VLOOKUP(Table1[[#This Row],[Country Code]],Table29[],3,FALSE)</f>
        <v>Non-Annex I</v>
      </c>
      <c r="W481" s="207" t="str">
        <f>VLOOKUP(Table1[[#This Row],[Country Code]],Table29[],4,FALSE)</f>
        <v>Oceania</v>
      </c>
      <c r="X481" s="207" t="str">
        <f>VLOOKUP(Table1[[#This Row],[Country Code]],Table29[],5,FALSE)</f>
        <v>Middle-income</v>
      </c>
      <c r="Y481" s="17" t="s">
        <v>766</v>
      </c>
      <c r="Z481" s="17"/>
    </row>
    <row r="482" spans="1:26" ht="15" customHeight="1" x14ac:dyDescent="0.25">
      <c r="A482" s="405">
        <v>17740</v>
      </c>
      <c r="B482" s="17" t="s">
        <v>404</v>
      </c>
      <c r="C482" s="206" t="str">
        <f>VLOOKUP(Table1[[#This Row],[Country Code]],Table29[],2,FALSE)</f>
        <v>South Africa</v>
      </c>
      <c r="D482" s="243" t="str">
        <f t="shared" si="16"/>
        <v>Good</v>
      </c>
      <c r="E482" s="20" t="s">
        <v>227</v>
      </c>
      <c r="F482" s="17" t="s">
        <v>227</v>
      </c>
      <c r="G482" s="43" t="str">
        <f t="shared" si="17"/>
        <v>LTS</v>
      </c>
      <c r="H482" s="17" t="s">
        <v>636</v>
      </c>
      <c r="I482" s="149">
        <v>44097</v>
      </c>
      <c r="J482" s="187" t="s">
        <v>505</v>
      </c>
      <c r="K482" s="49" t="str" cm="1">
        <f t="array" ref="K482">IF(ISNUMBER(MATCH("Transport sector mitigation target", _xlfn._xlws.FILTER(Targets!H:H, Targets!A:A =A482), 0)), "yes", "no")</f>
        <v>yes</v>
      </c>
      <c r="L482" s="17" t="str">
        <f>IF(K482="no", "No transport target", IF(AND(COUNTIFS(Targets!A:A, A482, Targets!H:H, "Transport sector mitigation target", Targets!J:J, "GHG") &gt; 0, COUNTIFS(Targets!A:A, A482, Targets!H:H, "Transport sector mitigation target", Targets!J:J, "Non GHG") &gt; 0), "GHG and non-GHG target", IF(COUNTIFS(Targets!A:A, A482, Targets!H:H, "Transport sector mitigation target", Targets!J:J, "GHG") &gt; 0, "GHG target", IF(COUNTIFS(Targets!A:A, A482, Targets!H:H, "Transport sector mitigation target", Targets!J:J, "Non GHG") &gt; 0, "non-GHG target", ""))))</f>
        <v>non-GHG target</v>
      </c>
      <c r="M482" s="17" t="str">
        <f>IF(K482="no","No transport target",IF(L482="non-GHG target","No GHG transport target",IF(AND(COUNTIFS(Targets!A:A,A482,Targets!H:H,"Transport sector mitigation target",Targets!J:J,"GHG",Targets!L:L,"Conditional")&gt;0,COUNTIFS(Targets!A:A,A482,Targets!H:H,"Transport sector mitigation target",Targets!J:J,"GHG",Targets!L:L,"Unconditional")&gt;0),"GHG unconditional and conditional",IF(COUNTIFS(Targets!A:A,A482,Targets!H:H,"Transport sector mitigation target",Targets!J:J,"GHG",Targets!L:L,"Conditional")&gt;0,"GHG conditional only",IF(COUNTIFS(Targets!A:A,A482,Targets!H:H,"Transport sector mitigation target",Targets!J:J,"GHG",Targets!L:L,"Unconditional")&gt;0,"GHG unconditional only",IF(COUNTIFS(Targets!A:A,A482,Targets!H:H,"Transport sector mitigation target",Targets!J:J,"GHG",Targets!L:L,"Unclear conditionality")&gt;0,"Conditionality unclear",""))))))</f>
        <v>No GHG transport target</v>
      </c>
      <c r="N482" s="17" t="str" cm="1">
        <f t="array" ref="N482">IF(ISNUMBER(MATCH("Transport sector adaptation target", _xlfn._xlws.FILTER(Targets!H:H, Targets!A:A =A482), 0)), "yes", "no")</f>
        <v>no</v>
      </c>
      <c r="O482" s="17" t="str">
        <f>IF(ISNA(MATCH(A482, Mitigation!A:A, 0)), "no", "yes")</f>
        <v>yes</v>
      </c>
      <c r="P482" s="17" t="str">
        <f>IF(ISNA(MATCH(A482, Adaptation!A:A, 0)), "no", "yes")</f>
        <v>no</v>
      </c>
      <c r="Q482" s="17" t="str">
        <f>IF(ISNA(MATCH(A482, Benefits!A:A, 0)), "no", "yes")</f>
        <v>no</v>
      </c>
      <c r="R482" s="17"/>
      <c r="S482" s="17"/>
      <c r="T482" s="17" t="s">
        <v>501</v>
      </c>
      <c r="U482" s="135" t="s">
        <v>997</v>
      </c>
      <c r="V482" s="207" t="str">
        <f>VLOOKUP(Table1[[#This Row],[Country Code]],Table29[],3,FALSE)</f>
        <v>Non-Annex I</v>
      </c>
      <c r="W482" s="207" t="str">
        <f>VLOOKUP(Table1[[#This Row],[Country Code]],Table29[],4,FALSE)</f>
        <v>Africa</v>
      </c>
      <c r="X482" s="207" t="str">
        <f>VLOOKUP(Table1[[#This Row],[Country Code]],Table29[],5,FALSE)</f>
        <v>Middle-income</v>
      </c>
      <c r="Y482" s="17"/>
      <c r="Z482" s="17"/>
    </row>
    <row r="483" spans="1:26" ht="15" customHeight="1" x14ac:dyDescent="0.25">
      <c r="A483" s="405">
        <v>22256</v>
      </c>
      <c r="B483" s="19" t="s">
        <v>406</v>
      </c>
      <c r="C483" s="206" t="str">
        <f>VLOOKUP(Table1[[#This Row],[Country Code]],Table29[],2,FALSE)</f>
        <v>South Sudan</v>
      </c>
      <c r="D483" s="243" t="str">
        <f t="shared" si="16"/>
        <v>Good</v>
      </c>
      <c r="E483" s="20" t="s">
        <v>71</v>
      </c>
      <c r="F483" s="17" t="s">
        <v>555</v>
      </c>
      <c r="G483" s="43" t="str">
        <f t="shared" si="17"/>
        <v>Second NDC</v>
      </c>
      <c r="H483" s="17" t="s">
        <v>714</v>
      </c>
      <c r="I483" s="149">
        <v>44460</v>
      </c>
      <c r="J483" s="187" t="s">
        <v>505</v>
      </c>
      <c r="K483" s="49" t="str" cm="1">
        <f t="array" ref="K483">IF(ISNUMBER(MATCH("Transport sector mitigation target", _xlfn._xlws.FILTER(Targets!H:H, Targets!A:A =A483), 0)), "yes", "no")</f>
        <v>yes</v>
      </c>
      <c r="L483" s="17" t="str">
        <f>IF(K483="no", "No transport target", IF(AND(COUNTIFS(Targets!A:A, A483, Targets!H:H, "Transport sector mitigation target", Targets!J:J, "GHG") &gt; 0, COUNTIFS(Targets!A:A, A483, Targets!H:H, "Transport sector mitigation target", Targets!J:J, "Non GHG") &gt; 0), "GHG and non-GHG target", IF(COUNTIFS(Targets!A:A, A483, Targets!H:H, "Transport sector mitigation target", Targets!J:J, "GHG") &gt; 0, "GHG target", IF(COUNTIFS(Targets!A:A, A483, Targets!H:H, "Transport sector mitigation target", Targets!J:J, "Non GHG") &gt; 0, "non-GHG target", ""))))</f>
        <v>GHG target</v>
      </c>
      <c r="M483" s="17" t="str">
        <f>IF(K483="no","No transport target",IF(L483="non-GHG target","No GHG transport target",IF(AND(COUNTIFS(Targets!A:A,A483,Targets!H:H,"Transport sector mitigation target",Targets!J:J,"GHG",Targets!L:L,"Conditional")&gt;0,COUNTIFS(Targets!A:A,A483,Targets!H:H,"Transport sector mitigation target",Targets!J:J,"GHG",Targets!L:L,"Unconditional")&gt;0),"GHG unconditional and conditional",IF(COUNTIFS(Targets!A:A,A483,Targets!H:H,"Transport sector mitigation target",Targets!J:J,"GHG",Targets!L:L,"Conditional")&gt;0,"GHG conditional only",IF(COUNTIFS(Targets!A:A,A483,Targets!H:H,"Transport sector mitigation target",Targets!J:J,"GHG",Targets!L:L,"Unconditional")&gt;0,"GHG unconditional only",IF(COUNTIFS(Targets!A:A,A483,Targets!H:H,"Transport sector mitigation target",Targets!J:J,"GHG",Targets!L:L,"Unclear conditionality")&gt;0,"Conditionality unclear",""))))))</f>
        <v>GHG unconditional only</v>
      </c>
      <c r="N483" s="17" t="str" cm="1">
        <f t="array" ref="N483">IF(ISNUMBER(MATCH("Transport sector adaptation target", _xlfn._xlws.FILTER(Targets!H:H, Targets!A:A =A483), 0)), "yes", "no")</f>
        <v>no</v>
      </c>
      <c r="O483" s="17" t="str">
        <f>IF(ISNA(MATCH(A483, Mitigation!A:A, 0)), "no", "yes")</f>
        <v>yes</v>
      </c>
      <c r="P483" s="17" t="str">
        <f>IF(ISNA(MATCH(A483, Adaptation!A:A, 0)), "no", "yes")</f>
        <v>no</v>
      </c>
      <c r="Q483" s="17" t="str">
        <f>IF(ISNA(MATCH(A483, Benefits!A:A, 0)), "no", "yes")</f>
        <v>yes</v>
      </c>
      <c r="R483" s="17"/>
      <c r="S483" s="17"/>
      <c r="T483" s="17" t="s">
        <v>501</v>
      </c>
      <c r="U483" s="135" t="s">
        <v>998</v>
      </c>
      <c r="V483" s="207" t="str">
        <f>VLOOKUP(Table1[[#This Row],[Country Code]],Table29[],3,FALSE)</f>
        <v>Non-Annex I</v>
      </c>
      <c r="W483" s="207" t="str">
        <f>VLOOKUP(Table1[[#This Row],[Country Code]],Table29[],4,FALSE)</f>
        <v>Africa</v>
      </c>
      <c r="X483" s="207" t="str">
        <f>VLOOKUP(Table1[[#This Row],[Country Code]],Table29[],5,FALSE)</f>
        <v>Low-income</v>
      </c>
      <c r="Y483" s="17"/>
      <c r="Z483" s="17"/>
    </row>
    <row r="484" spans="1:26" ht="15" customHeight="1" x14ac:dyDescent="0.25">
      <c r="A484" s="360">
        <v>17743</v>
      </c>
      <c r="B484" s="43" t="s">
        <v>408</v>
      </c>
      <c r="C484" s="243" t="str">
        <f>VLOOKUP(Table1[[#This Row],[Country Code]],Table29[],2,FALSE)</f>
        <v>Spain</v>
      </c>
      <c r="D484" s="243" t="str">
        <f t="shared" si="16"/>
        <v>Good</v>
      </c>
      <c r="E484" s="176" t="s">
        <v>227</v>
      </c>
      <c r="F484" s="43" t="s">
        <v>227</v>
      </c>
      <c r="G484" s="43" t="str">
        <f t="shared" si="17"/>
        <v>LTS</v>
      </c>
      <c r="H484" s="43" t="s">
        <v>636</v>
      </c>
      <c r="I484" s="351">
        <v>44116</v>
      </c>
      <c r="J484" s="352" t="s">
        <v>505</v>
      </c>
      <c r="K484" s="320" t="str" cm="1">
        <f t="array" ref="K484">IF(ISNUMBER(MATCH("Transport sector mitigation target", _xlfn._xlws.FILTER(Targets!H:H, Targets!A:A =A484), 0)), "yes", "no")</f>
        <v>yes</v>
      </c>
      <c r="L484" s="43" t="str">
        <f>IF(K484="no", "No transport target", IF(AND(COUNTIFS(Targets!A:A, A484, Targets!H:H, "Transport sector mitigation target", Targets!J:J, "GHG") &gt; 0, COUNTIFS(Targets!A:A, A484, Targets!H:H, "Transport sector mitigation target", Targets!J:J, "Non GHG") &gt; 0), "GHG and non-GHG target", IF(COUNTIFS(Targets!A:A, A484, Targets!H:H, "Transport sector mitigation target", Targets!J:J, "GHG") &gt; 0, "GHG target", IF(COUNTIFS(Targets!A:A, A484, Targets!H:H, "Transport sector mitigation target", Targets!J:J, "Non GHG") &gt; 0, "non-GHG target", ""))))</f>
        <v>GHG and non-GHG target</v>
      </c>
      <c r="M484" s="43" t="str">
        <f>IF(K484="no","No transport target",IF(L484="non-GHG target","No GHG transport target",IF(AND(COUNTIFS(Targets!A:A,A484,Targets!H:H,"Transport sector mitigation target",Targets!J:J,"GHG",Targets!L:L,"Conditional")&gt;0,COUNTIFS(Targets!A:A,A484,Targets!H:H,"Transport sector mitigation target",Targets!J:J,"GHG",Targets!L:L,"Unconditional")&gt;0),"GHG unconditional and conditional",IF(COUNTIFS(Targets!A:A,A484,Targets!H:H,"Transport sector mitigation target",Targets!J:J,"GHG",Targets!L:L,"Conditional")&gt;0,"GHG conditional only",IF(COUNTIFS(Targets!A:A,A484,Targets!H:H,"Transport sector mitigation target",Targets!J:J,"GHG",Targets!L:L,"Unconditional")&gt;0,"GHG unconditional only",IF(COUNTIFS(Targets!A:A,A484,Targets!H:H,"Transport sector mitigation target",Targets!J:J,"GHG",Targets!L:L,"Unclear conditionality")&gt;0,"Conditionality unclear",""))))))</f>
        <v>GHG unconditional only</v>
      </c>
      <c r="N484" s="43" t="str" cm="1">
        <f t="array" ref="N484">IF(ISNUMBER(MATCH("Transport sector adaptation target", _xlfn._xlws.FILTER(Targets!H:H, Targets!A:A =A484), 0)), "yes", "no")</f>
        <v>no</v>
      </c>
      <c r="O484" s="43" t="str">
        <f>IF(ISNA(MATCH(A484, Mitigation!A:A, 0)), "no", "yes")</f>
        <v>yes</v>
      </c>
      <c r="P484" s="43" t="str">
        <f>IF(ISNA(MATCH(A484, Adaptation!A:A, 0)), "no", "yes")</f>
        <v>no</v>
      </c>
      <c r="Q484" s="43" t="str">
        <f>IF(ISNA(MATCH(A484, Benefits!A:A, 0)), "no", "yes")</f>
        <v>no</v>
      </c>
      <c r="R484" s="43"/>
      <c r="S484" s="43"/>
      <c r="T484" s="43" t="s">
        <v>501</v>
      </c>
      <c r="U484" s="312" t="s">
        <v>999</v>
      </c>
      <c r="V484" s="233" t="str">
        <f>VLOOKUP(Table1[[#This Row],[Country Code]],Table29[],3,FALSE)</f>
        <v>Annex I</v>
      </c>
      <c r="W484" s="233" t="str">
        <f>VLOOKUP(Table1[[#This Row],[Country Code]],Table29[],4,FALSE)</f>
        <v>Europe</v>
      </c>
      <c r="X484" s="233" t="str">
        <f>VLOOKUP(Table1[[#This Row],[Country Code]],Table29[],5,FALSE)</f>
        <v>High-income</v>
      </c>
      <c r="Y484" s="43"/>
      <c r="Z484" s="43"/>
    </row>
    <row r="485" spans="1:26" ht="15" customHeight="1" x14ac:dyDescent="0.25">
      <c r="A485" s="360">
        <v>21314</v>
      </c>
      <c r="B485" s="42" t="s">
        <v>410</v>
      </c>
      <c r="C485" s="243" t="str">
        <f>VLOOKUP(Table1[[#This Row],[Country Code]],Table29[],2,FALSE)</f>
        <v>Sri Lanka</v>
      </c>
      <c r="D485" s="243" t="str">
        <f t="shared" si="16"/>
        <v>Good</v>
      </c>
      <c r="E485" s="176" t="s">
        <v>71</v>
      </c>
      <c r="F485" s="43" t="s">
        <v>528</v>
      </c>
      <c r="G485" s="43" t="str">
        <f t="shared" si="17"/>
        <v>First NDC updated</v>
      </c>
      <c r="H485" s="43" t="s">
        <v>691</v>
      </c>
      <c r="I485" s="351">
        <v>44407</v>
      </c>
      <c r="J485" s="352" t="s">
        <v>505</v>
      </c>
      <c r="K485" s="320" t="str" cm="1">
        <f t="array" ref="K485">IF(ISNUMBER(MATCH("Transport sector mitigation target", _xlfn._xlws.FILTER(Targets!H:H, Targets!A:A =A485), 0)), "yes", "no")</f>
        <v>yes</v>
      </c>
      <c r="L485" s="43" t="str">
        <f>IF(K485="no", "No transport target", IF(AND(COUNTIFS(Targets!A:A, A485, Targets!H:H, "Transport sector mitigation target", Targets!J:J, "GHG") &gt; 0, COUNTIFS(Targets!A:A, A485, Targets!H:H, "Transport sector mitigation target", Targets!J:J, "Non GHG") &gt; 0), "GHG and non-GHG target", IF(COUNTIFS(Targets!A:A, A485, Targets!H:H, "Transport sector mitigation target", Targets!J:J, "GHG") &gt; 0, "GHG target", IF(COUNTIFS(Targets!A:A, A485, Targets!H:H, "Transport sector mitigation target", Targets!J:J, "Non GHG") &gt; 0, "non-GHG target", ""))))</f>
        <v>GHG target</v>
      </c>
      <c r="M485" s="43" t="str">
        <f>IF(K485="no","No transport target",IF(L485="non-GHG target","No GHG transport target",IF(AND(COUNTIFS(Targets!A:A,A485,Targets!H:H,"Transport sector mitigation target",Targets!J:J,"GHG",Targets!L:L,"Conditional")&gt;0,COUNTIFS(Targets!A:A,A485,Targets!H:H,"Transport sector mitigation target",Targets!J:J,"GHG",Targets!L:L,"Unconditional")&gt;0),"GHG unconditional and conditional",IF(COUNTIFS(Targets!A:A,A485,Targets!H:H,"Transport sector mitigation target",Targets!J:J,"GHG",Targets!L:L,"Conditional")&gt;0,"GHG conditional only",IF(COUNTIFS(Targets!A:A,A485,Targets!H:H,"Transport sector mitigation target",Targets!J:J,"GHG",Targets!L:L,"Unconditional")&gt;0,"GHG unconditional only",IF(COUNTIFS(Targets!A:A,A485,Targets!H:H,"Transport sector mitigation target",Targets!J:J,"GHG",Targets!L:L,"Unclear conditionality")&gt;0,"Conditionality unclear",""))))))</f>
        <v>GHG unconditional and conditional</v>
      </c>
      <c r="N485" s="43" t="str" cm="1">
        <f t="array" ref="N485">IF(ISNUMBER(MATCH("Transport sector adaptation target", _xlfn._xlws.FILTER(Targets!H:H, Targets!A:A =A485), 0)), "yes", "no")</f>
        <v>no</v>
      </c>
      <c r="O485" s="43" t="str">
        <f>IF(ISNA(MATCH(A485, Mitigation!A:A, 0)), "no", "yes")</f>
        <v>yes</v>
      </c>
      <c r="P485" s="43" t="str">
        <f>IF(ISNA(MATCH(A485, Adaptation!A:A, 0)), "no", "yes")</f>
        <v>no</v>
      </c>
      <c r="Q485" s="43" t="str">
        <f>IF(ISNA(MATCH(A485, Benefits!A:A, 0)), "no", "yes")</f>
        <v>yes</v>
      </c>
      <c r="R485" s="43"/>
      <c r="S485" s="43"/>
      <c r="T485" s="43" t="s">
        <v>501</v>
      </c>
      <c r="U485" s="312" t="s">
        <v>1000</v>
      </c>
      <c r="V485" s="233" t="str">
        <f>VLOOKUP(Table1[[#This Row],[Country Code]],Table29[],3,FALSE)</f>
        <v>Non-Annex I</v>
      </c>
      <c r="W485" s="233" t="str">
        <f>VLOOKUP(Table1[[#This Row],[Country Code]],Table29[],4,FALSE)</f>
        <v>Asia</v>
      </c>
      <c r="X485" s="233" t="str">
        <f>VLOOKUP(Table1[[#This Row],[Country Code]],Table29[],5,FALSE)</f>
        <v>Middle-income</v>
      </c>
      <c r="Y485" s="43"/>
      <c r="Z485" s="43"/>
    </row>
    <row r="486" spans="1:26" ht="15" customHeight="1" x14ac:dyDescent="0.25">
      <c r="A486" s="360">
        <v>39449</v>
      </c>
      <c r="B486" s="43" t="s">
        <v>410</v>
      </c>
      <c r="C486" s="243" t="str">
        <f>VLOOKUP(Table1[[#This Row],[Country Code]],Table29[],2,FALSE)</f>
        <v>Sri Lanka</v>
      </c>
      <c r="D486" s="243" t="str">
        <f t="shared" si="16"/>
        <v>Good</v>
      </c>
      <c r="E486" s="176" t="s">
        <v>227</v>
      </c>
      <c r="F486" s="43" t="s">
        <v>227</v>
      </c>
      <c r="G486" s="43" t="str">
        <f t="shared" si="17"/>
        <v>LTS</v>
      </c>
      <c r="H486" s="350" t="s">
        <v>636</v>
      </c>
      <c r="I486" s="355">
        <v>45082</v>
      </c>
      <c r="J486" s="352" t="s">
        <v>505</v>
      </c>
      <c r="K486" s="320" t="str" cm="1">
        <f t="array" ref="K486">IF(ISNUMBER(MATCH("Transport sector mitigation target", _xlfn._xlws.FILTER(Targets!H:H, Targets!A:A =A486), 0)), "yes", "no")</f>
        <v>yes</v>
      </c>
      <c r="L486" s="43" t="str">
        <f>IF(K486="no", "No transport target", IF(AND(COUNTIFS(Targets!A:A, A486, Targets!H:H, "Transport sector mitigation target", Targets!J:J, "GHG") &gt; 0, COUNTIFS(Targets!A:A, A486, Targets!H:H, "Transport sector mitigation target", Targets!J:J, "Non GHG") &gt; 0), "GHG and non-GHG target", IF(COUNTIFS(Targets!A:A, A486, Targets!H:H, "Transport sector mitigation target", Targets!J:J, "GHG") &gt; 0, "GHG target", IF(COUNTIFS(Targets!A:A, A486, Targets!H:H, "Transport sector mitigation target", Targets!J:J, "Non GHG") &gt; 0, "non-GHG target", ""))))</f>
        <v>non-GHG target</v>
      </c>
      <c r="M486" s="43" t="str">
        <f>IF(K486="no","No transport target",IF(L486="non-GHG target","No GHG transport target",IF(AND(COUNTIFS(Targets!A:A,A486,Targets!H:H,"Transport sector mitigation target",Targets!J:J,"GHG",Targets!L:L,"Conditional")&gt;0,COUNTIFS(Targets!A:A,A486,Targets!H:H,"Transport sector mitigation target",Targets!J:J,"GHG",Targets!L:L,"Unconditional")&gt;0),"GHG unconditional and conditional",IF(COUNTIFS(Targets!A:A,A486,Targets!H:H,"Transport sector mitigation target",Targets!J:J,"GHG",Targets!L:L,"Conditional")&gt;0,"GHG conditional only",IF(COUNTIFS(Targets!A:A,A486,Targets!H:H,"Transport sector mitigation target",Targets!J:J,"GHG",Targets!L:L,"Unconditional")&gt;0,"GHG unconditional only",IF(COUNTIFS(Targets!A:A,A486,Targets!H:H,"Transport sector mitigation target",Targets!J:J,"GHG",Targets!L:L,"Unclear conditionality")&gt;0,"Conditionality unclear",""))))))</f>
        <v>No GHG transport target</v>
      </c>
      <c r="N486" s="43" t="str" cm="1">
        <f t="array" ref="N486">IF(ISNUMBER(MATCH("Transport sector adaptation target", _xlfn._xlws.FILTER(Targets!H:H, Targets!A:A =A486), 0)), "yes", "no")</f>
        <v>no</v>
      </c>
      <c r="O486" s="43" t="str">
        <f>IF(ISNA(MATCH(A486, Mitigation!A:A, 0)), "no", "yes")</f>
        <v>yes</v>
      </c>
      <c r="P486" s="43" t="str">
        <f>IF(ISNA(MATCH(A486, Adaptation!A:A, 0)), "no", "yes")</f>
        <v>yes</v>
      </c>
      <c r="Q486" s="43" t="str">
        <f>IF(ISNA(MATCH(A486, Benefits!A:A, 0)), "no", "yes")</f>
        <v>yes</v>
      </c>
      <c r="R486" s="43"/>
      <c r="S486" s="43"/>
      <c r="T486" s="43" t="s">
        <v>501</v>
      </c>
      <c r="U486" s="356" t="s">
        <v>1001</v>
      </c>
      <c r="V486" s="233" t="str">
        <f>VLOOKUP(Table1[[#This Row],[Country Code]],Table29[],3,FALSE)</f>
        <v>Non-Annex I</v>
      </c>
      <c r="W486" s="233" t="str">
        <f>VLOOKUP(Table1[[#This Row],[Country Code]],Table29[],4,FALSE)</f>
        <v>Asia</v>
      </c>
      <c r="X486" s="233" t="str">
        <f>VLOOKUP(Table1[[#This Row],[Country Code]],Table29[],5,FALSE)</f>
        <v>Middle-income</v>
      </c>
      <c r="Y486" s="43" t="s">
        <v>1002</v>
      </c>
      <c r="Z486" s="43"/>
    </row>
    <row r="487" spans="1:26" ht="15" customHeight="1" x14ac:dyDescent="0.25">
      <c r="A487" s="360" t="s">
        <v>1003</v>
      </c>
      <c r="B487" s="42" t="s">
        <v>81</v>
      </c>
      <c r="C487" s="243" t="str">
        <f>VLOOKUP(Table1[[#This Row],[Country Code]],Table29[],2,FALSE)</f>
        <v>Austria</v>
      </c>
      <c r="D487" s="243" t="str">
        <f t="shared" si="16"/>
        <v>Good</v>
      </c>
      <c r="E487" s="176" t="s">
        <v>71</v>
      </c>
      <c r="F487" s="43" t="s">
        <v>528</v>
      </c>
      <c r="G487" s="43" t="str">
        <f t="shared" si="17"/>
        <v>First NDC updated</v>
      </c>
      <c r="H487" s="350" t="s">
        <v>743</v>
      </c>
      <c r="I487" s="351">
        <v>45218</v>
      </c>
      <c r="J487" s="320" t="s">
        <v>583</v>
      </c>
      <c r="K487" s="320" t="str" cm="1">
        <f t="array" ref="K487">IF(ISNUMBER(MATCH("Transport sector mitigation target", _xlfn._xlws.FILTER(Targets!H:H, Targets!A:A =A487), 0)), "yes", "no")</f>
        <v>no</v>
      </c>
      <c r="L487" s="43" t="str">
        <f>IF(K487="no", "No transport target", IF(AND(COUNTIFS(Targets!A:A, A487, Targets!H:H, "Transport sector mitigation target", Targets!J:J, "GHG") &gt; 0, COUNTIFS(Targets!A:A, A487, Targets!H:H, "Transport sector mitigation target", Targets!J:J, "Non GHG") &gt; 0), "GHG and non-GHG target", IF(COUNTIFS(Targets!A:A, A487, Targets!H:H, "Transport sector mitigation target", Targets!J:J, "GHG") &gt; 0, "GHG target", IF(COUNTIFS(Targets!A:A, A487, Targets!H:H, "Transport sector mitigation target", Targets!J:J, "Non GHG") &gt; 0, "non-GHG target", ""))))</f>
        <v>No transport target</v>
      </c>
      <c r="M487" s="43" t="str">
        <f>IF(K487="no","No transport target",IF(L487="non-GHG target","No GHG transport target",IF(AND(COUNTIFS(Targets!A:A,A487,Targets!H:H,"Transport sector mitigation target",Targets!J:J,"GHG",Targets!L:L,"Conditional")&gt;0,COUNTIFS(Targets!A:A,A487,Targets!H:H,"Transport sector mitigation target",Targets!J:J,"GHG",Targets!L:L,"Unconditional")&gt;0),"GHG unconditional and conditional",IF(COUNTIFS(Targets!A:A,A487,Targets!H:H,"Transport sector mitigation target",Targets!J:J,"GHG",Targets!L:L,"Conditional")&gt;0,"GHG conditional only",IF(COUNTIFS(Targets!A:A,A487,Targets!H:H,"Transport sector mitigation target",Targets!J:J,"GHG",Targets!L:L,"Unconditional")&gt;0,"GHG unconditional only",IF(COUNTIFS(Targets!A:A,A487,Targets!H:H,"Transport sector mitigation target",Targets!J:J,"GHG",Targets!L:L,"Unclear conditionality")&gt;0,"Conditionality unclear",""))))))</f>
        <v>No transport target</v>
      </c>
      <c r="N487" s="43" t="str" cm="1">
        <f t="array" ref="N487">IF(ISNUMBER(MATCH("Transport sector adaptation target", _xlfn._xlws.FILTER(Targets!H:H, Targets!A:A =A487), 0)), "yes", "no")</f>
        <v>no</v>
      </c>
      <c r="O487" s="43" t="str">
        <f>IF(ISNA(MATCH(A487, Mitigation!A:A, 0)), "no", "yes")</f>
        <v>no</v>
      </c>
      <c r="P487" s="43" t="str">
        <f>IF(ISNA(MATCH(A487, Adaptation!A:A, 0)), "no", "yes")</f>
        <v>no</v>
      </c>
      <c r="Q487" s="43" t="str">
        <f>IF(ISNA(MATCH(A487, Benefits!A:A, 0)), "no", "yes")</f>
        <v>no</v>
      </c>
      <c r="R487" s="43"/>
      <c r="S487" s="43"/>
      <c r="T487" s="320" t="s">
        <v>583</v>
      </c>
      <c r="U487" s="356" t="s">
        <v>842</v>
      </c>
      <c r="V487" s="233" t="str">
        <f>VLOOKUP(Table1[[#This Row],[Country Code]],Table29[],3,FALSE)</f>
        <v>Annex I</v>
      </c>
      <c r="W487" s="233" t="str">
        <f>VLOOKUP(Table1[[#This Row],[Country Code]],Table29[],4,FALSE)</f>
        <v>Europe</v>
      </c>
      <c r="X487" s="233" t="str">
        <f>VLOOKUP(Table1[[#This Row],[Country Code]],Table29[],5,FALSE)</f>
        <v>High-income</v>
      </c>
      <c r="Y487" s="43"/>
      <c r="Z487" s="43"/>
    </row>
    <row r="488" spans="1:26" ht="15" customHeight="1" x14ac:dyDescent="0.25">
      <c r="A488" s="360" t="s">
        <v>1004</v>
      </c>
      <c r="B488" s="42" t="s">
        <v>97</v>
      </c>
      <c r="C488" s="243" t="str">
        <f>VLOOKUP(Table1[[#This Row],[Country Code]],Table29[],2,FALSE)</f>
        <v>Belgium</v>
      </c>
      <c r="D488" s="243" t="str">
        <f t="shared" si="16"/>
        <v>Good</v>
      </c>
      <c r="E488" s="176" t="s">
        <v>71</v>
      </c>
      <c r="F488" s="43" t="s">
        <v>528</v>
      </c>
      <c r="G488" s="43" t="str">
        <f t="shared" si="17"/>
        <v>First NDC updated</v>
      </c>
      <c r="H488" s="350" t="s">
        <v>743</v>
      </c>
      <c r="I488" s="351">
        <v>45218</v>
      </c>
      <c r="J488" s="320" t="s">
        <v>583</v>
      </c>
      <c r="K488" s="320" t="str" cm="1">
        <f t="array" ref="K488">IF(ISNUMBER(MATCH("Transport sector mitigation target", _xlfn._xlws.FILTER(Targets!H:H, Targets!A:A =A488), 0)), "yes", "no")</f>
        <v>no</v>
      </c>
      <c r="L488" s="43" t="str">
        <f>IF(K488="no", "No transport target", IF(AND(COUNTIFS(Targets!A:A, A488, Targets!H:H, "Transport sector mitigation target", Targets!J:J, "GHG") &gt; 0, COUNTIFS(Targets!A:A, A488, Targets!H:H, "Transport sector mitigation target", Targets!J:J, "Non GHG") &gt; 0), "GHG and non-GHG target", IF(COUNTIFS(Targets!A:A, A488, Targets!H:H, "Transport sector mitigation target", Targets!J:J, "GHG") &gt; 0, "GHG target", IF(COUNTIFS(Targets!A:A, A488, Targets!H:H, "Transport sector mitigation target", Targets!J:J, "Non GHG") &gt; 0, "non-GHG target", ""))))</f>
        <v>No transport target</v>
      </c>
      <c r="M488" s="43" t="str">
        <f>IF(K488="no","No transport target",IF(L488="non-GHG target","No GHG transport target",IF(AND(COUNTIFS(Targets!A:A,A488,Targets!H:H,"Transport sector mitigation target",Targets!J:J,"GHG",Targets!L:L,"Conditional")&gt;0,COUNTIFS(Targets!A:A,A488,Targets!H:H,"Transport sector mitigation target",Targets!J:J,"GHG",Targets!L:L,"Unconditional")&gt;0),"GHG unconditional and conditional",IF(COUNTIFS(Targets!A:A,A488,Targets!H:H,"Transport sector mitigation target",Targets!J:J,"GHG",Targets!L:L,"Conditional")&gt;0,"GHG conditional only",IF(COUNTIFS(Targets!A:A,A488,Targets!H:H,"Transport sector mitigation target",Targets!J:J,"GHG",Targets!L:L,"Unconditional")&gt;0,"GHG unconditional only",IF(COUNTIFS(Targets!A:A,A488,Targets!H:H,"Transport sector mitigation target",Targets!J:J,"GHG",Targets!L:L,"Unclear conditionality")&gt;0,"Conditionality unclear",""))))))</f>
        <v>No transport target</v>
      </c>
      <c r="N488" s="43" t="str" cm="1">
        <f t="array" ref="N488">IF(ISNUMBER(MATCH("Transport sector adaptation target", _xlfn._xlws.FILTER(Targets!H:H, Targets!A:A =A488), 0)), "yes", "no")</f>
        <v>no</v>
      </c>
      <c r="O488" s="43" t="str">
        <f>IF(ISNA(MATCH(A488, Mitigation!A:A, 0)), "no", "yes")</f>
        <v>no</v>
      </c>
      <c r="P488" s="43" t="str">
        <f>IF(ISNA(MATCH(A488, Adaptation!A:A, 0)), "no", "yes")</f>
        <v>no</v>
      </c>
      <c r="Q488" s="43" t="str">
        <f>IF(ISNA(MATCH(A488, Benefits!A:A, 0)), "no", "yes")</f>
        <v>no</v>
      </c>
      <c r="R488" s="43"/>
      <c r="S488" s="43"/>
      <c r="T488" s="320" t="s">
        <v>583</v>
      </c>
      <c r="U488" s="356" t="s">
        <v>842</v>
      </c>
      <c r="V488" s="233" t="str">
        <f>VLOOKUP(Table1[[#This Row],[Country Code]],Table29[],3,FALSE)</f>
        <v>Annex I</v>
      </c>
      <c r="W488" s="233" t="str">
        <f>VLOOKUP(Table1[[#This Row],[Country Code]],Table29[],4,FALSE)</f>
        <v>Europe</v>
      </c>
      <c r="X488" s="233" t="str">
        <f>VLOOKUP(Table1[[#This Row],[Country Code]],Table29[],5,FALSE)</f>
        <v>High-income</v>
      </c>
      <c r="Y488" s="43"/>
      <c r="Z488" s="43"/>
    </row>
    <row r="489" spans="1:26" ht="15" customHeight="1" x14ac:dyDescent="0.25">
      <c r="A489" s="360" t="s">
        <v>1005</v>
      </c>
      <c r="B489" s="42" t="s">
        <v>115</v>
      </c>
      <c r="C489" s="243" t="str">
        <f>VLOOKUP(Table1[[#This Row],[Country Code]],Table29[],2,FALSE)</f>
        <v>Bulgaria</v>
      </c>
      <c r="D489" s="243" t="str">
        <f t="shared" si="16"/>
        <v>Good</v>
      </c>
      <c r="E489" s="176" t="s">
        <v>71</v>
      </c>
      <c r="F489" s="43" t="s">
        <v>528</v>
      </c>
      <c r="G489" s="43" t="str">
        <f t="shared" si="17"/>
        <v>First NDC updated</v>
      </c>
      <c r="H489" s="350" t="s">
        <v>743</v>
      </c>
      <c r="I489" s="351">
        <v>45218</v>
      </c>
      <c r="J489" s="320" t="s">
        <v>583</v>
      </c>
      <c r="K489" s="320" t="str" cm="1">
        <f t="array" ref="K489">IF(ISNUMBER(MATCH("Transport sector mitigation target", _xlfn._xlws.FILTER(Targets!H:H, Targets!A:A =A489), 0)), "yes", "no")</f>
        <v>no</v>
      </c>
      <c r="L489" s="43" t="str">
        <f>IF(K489="no", "No transport target", IF(AND(COUNTIFS(Targets!A:A, A489, Targets!H:H, "Transport sector mitigation target", Targets!J:J, "GHG") &gt; 0, COUNTIFS(Targets!A:A, A489, Targets!H:H, "Transport sector mitigation target", Targets!J:J, "Non GHG") &gt; 0), "GHG and non-GHG target", IF(COUNTIFS(Targets!A:A, A489, Targets!H:H, "Transport sector mitigation target", Targets!J:J, "GHG") &gt; 0, "GHG target", IF(COUNTIFS(Targets!A:A, A489, Targets!H:H, "Transport sector mitigation target", Targets!J:J, "Non GHG") &gt; 0, "non-GHG target", ""))))</f>
        <v>No transport target</v>
      </c>
      <c r="M489" s="43" t="str">
        <f>IF(K489="no","No transport target",IF(L489="non-GHG target","No GHG transport target",IF(AND(COUNTIFS(Targets!A:A,A489,Targets!H:H,"Transport sector mitigation target",Targets!J:J,"GHG",Targets!L:L,"Conditional")&gt;0,COUNTIFS(Targets!A:A,A489,Targets!H:H,"Transport sector mitigation target",Targets!J:J,"GHG",Targets!L:L,"Unconditional")&gt;0),"GHG unconditional and conditional",IF(COUNTIFS(Targets!A:A,A489,Targets!H:H,"Transport sector mitigation target",Targets!J:J,"GHG",Targets!L:L,"Conditional")&gt;0,"GHG conditional only",IF(COUNTIFS(Targets!A:A,A489,Targets!H:H,"Transport sector mitigation target",Targets!J:J,"GHG",Targets!L:L,"Unconditional")&gt;0,"GHG unconditional only",IF(COUNTIFS(Targets!A:A,A489,Targets!H:H,"Transport sector mitigation target",Targets!J:J,"GHG",Targets!L:L,"Unclear conditionality")&gt;0,"Conditionality unclear",""))))))</f>
        <v>No transport target</v>
      </c>
      <c r="N489" s="43" t="str" cm="1">
        <f t="array" ref="N489">IF(ISNUMBER(MATCH("Transport sector adaptation target", _xlfn._xlws.FILTER(Targets!H:H, Targets!A:A =A489), 0)), "yes", "no")</f>
        <v>no</v>
      </c>
      <c r="O489" s="43" t="str">
        <f>IF(ISNA(MATCH(A489, Mitigation!A:A, 0)), "no", "yes")</f>
        <v>no</v>
      </c>
      <c r="P489" s="43" t="str">
        <f>IF(ISNA(MATCH(A489, Adaptation!A:A, 0)), "no", "yes")</f>
        <v>no</v>
      </c>
      <c r="Q489" s="43" t="str">
        <f>IF(ISNA(MATCH(A489, Benefits!A:A, 0)), "no", "yes")</f>
        <v>no</v>
      </c>
      <c r="R489" s="43"/>
      <c r="S489" s="43"/>
      <c r="T489" s="320" t="s">
        <v>583</v>
      </c>
      <c r="U489" s="356" t="s">
        <v>842</v>
      </c>
      <c r="V489" s="233" t="str">
        <f>VLOOKUP(Table1[[#This Row],[Country Code]],Table29[],3,FALSE)</f>
        <v>Annex I</v>
      </c>
      <c r="W489" s="233" t="str">
        <f>VLOOKUP(Table1[[#This Row],[Country Code]],Table29[],4,FALSE)</f>
        <v>Europe</v>
      </c>
      <c r="X489" s="233" t="str">
        <f>VLOOKUP(Table1[[#This Row],[Country Code]],Table29[],5,FALSE)</f>
        <v>Middle-income</v>
      </c>
      <c r="Y489" s="43"/>
      <c r="Z489" s="43"/>
    </row>
    <row r="490" spans="1:26" ht="15" customHeight="1" x14ac:dyDescent="0.25">
      <c r="A490" s="360" t="s">
        <v>1006</v>
      </c>
      <c r="B490" s="42" t="s">
        <v>152</v>
      </c>
      <c r="C490" s="243" t="str">
        <f>VLOOKUP(Table1[[#This Row],[Country Code]],Table29[],2,FALSE)</f>
        <v>Croatia</v>
      </c>
      <c r="D490" s="243" t="str">
        <f t="shared" si="16"/>
        <v>Good</v>
      </c>
      <c r="E490" s="176" t="s">
        <v>71</v>
      </c>
      <c r="F490" s="43" t="s">
        <v>528</v>
      </c>
      <c r="G490" s="43" t="str">
        <f t="shared" si="17"/>
        <v>First NDC updated</v>
      </c>
      <c r="H490" s="350" t="s">
        <v>743</v>
      </c>
      <c r="I490" s="351">
        <v>45218</v>
      </c>
      <c r="J490" s="320" t="s">
        <v>583</v>
      </c>
      <c r="K490" s="320" t="str" cm="1">
        <f t="array" ref="K490">IF(ISNUMBER(MATCH("Transport sector mitigation target", _xlfn._xlws.FILTER(Targets!H:H, Targets!A:A =A490), 0)), "yes", "no")</f>
        <v>no</v>
      </c>
      <c r="L490" s="43" t="str">
        <f>IF(K490="no", "No transport target", IF(AND(COUNTIFS(Targets!A:A, A490, Targets!H:H, "Transport sector mitigation target", Targets!J:J, "GHG") &gt; 0, COUNTIFS(Targets!A:A, A490, Targets!H:H, "Transport sector mitigation target", Targets!J:J, "Non GHG") &gt; 0), "GHG and non-GHG target", IF(COUNTIFS(Targets!A:A, A490, Targets!H:H, "Transport sector mitigation target", Targets!J:J, "GHG") &gt; 0, "GHG target", IF(COUNTIFS(Targets!A:A, A490, Targets!H:H, "Transport sector mitigation target", Targets!J:J, "Non GHG") &gt; 0, "non-GHG target", ""))))</f>
        <v>No transport target</v>
      </c>
      <c r="M490" s="43" t="str">
        <f>IF(K490="no","No transport target",IF(L490="non-GHG target","No GHG transport target",IF(AND(COUNTIFS(Targets!A:A,A490,Targets!H:H,"Transport sector mitigation target",Targets!J:J,"GHG",Targets!L:L,"Conditional")&gt;0,COUNTIFS(Targets!A:A,A490,Targets!H:H,"Transport sector mitigation target",Targets!J:J,"GHG",Targets!L:L,"Unconditional")&gt;0),"GHG unconditional and conditional",IF(COUNTIFS(Targets!A:A,A490,Targets!H:H,"Transport sector mitigation target",Targets!J:J,"GHG",Targets!L:L,"Conditional")&gt;0,"GHG conditional only",IF(COUNTIFS(Targets!A:A,A490,Targets!H:H,"Transport sector mitigation target",Targets!J:J,"GHG",Targets!L:L,"Unconditional")&gt;0,"GHG unconditional only",IF(COUNTIFS(Targets!A:A,A490,Targets!H:H,"Transport sector mitigation target",Targets!J:J,"GHG",Targets!L:L,"Unclear conditionality")&gt;0,"Conditionality unclear",""))))))</f>
        <v>No transport target</v>
      </c>
      <c r="N490" s="43" t="str" cm="1">
        <f t="array" ref="N490">IF(ISNUMBER(MATCH("Transport sector adaptation target", _xlfn._xlws.FILTER(Targets!H:H, Targets!A:A =A490), 0)), "yes", "no")</f>
        <v>no</v>
      </c>
      <c r="O490" s="43" t="str">
        <f>IF(ISNA(MATCH(A490, Mitigation!A:A, 0)), "no", "yes")</f>
        <v>no</v>
      </c>
      <c r="P490" s="43" t="str">
        <f>IF(ISNA(MATCH(A490, Adaptation!A:A, 0)), "no", "yes")</f>
        <v>no</v>
      </c>
      <c r="Q490" s="43" t="str">
        <f>IF(ISNA(MATCH(A490, Benefits!A:A, 0)), "no", "yes")</f>
        <v>no</v>
      </c>
      <c r="R490" s="43"/>
      <c r="S490" s="43"/>
      <c r="T490" s="320" t="s">
        <v>583</v>
      </c>
      <c r="U490" s="356" t="s">
        <v>842</v>
      </c>
      <c r="V490" s="233" t="str">
        <f>VLOOKUP(Table1[[#This Row],[Country Code]],Table29[],3,FALSE)</f>
        <v>Annex I</v>
      </c>
      <c r="W490" s="233" t="str">
        <f>VLOOKUP(Table1[[#This Row],[Country Code]],Table29[],4,FALSE)</f>
        <v>Europe</v>
      </c>
      <c r="X490" s="233" t="str">
        <f>VLOOKUP(Table1[[#This Row],[Country Code]],Table29[],5,FALSE)</f>
        <v>High-income</v>
      </c>
      <c r="Y490" s="43"/>
      <c r="Z490" s="43"/>
    </row>
    <row r="491" spans="1:26" ht="15" customHeight="1" x14ac:dyDescent="0.25">
      <c r="A491" s="360" t="s">
        <v>1007</v>
      </c>
      <c r="B491" s="42" t="s">
        <v>156</v>
      </c>
      <c r="C491" s="243" t="str">
        <f>VLOOKUP(Table1[[#This Row],[Country Code]],Table29[],2,FALSE)</f>
        <v>Cyprus</v>
      </c>
      <c r="D491" s="243" t="str">
        <f t="shared" si="16"/>
        <v>Good</v>
      </c>
      <c r="E491" s="176" t="s">
        <v>71</v>
      </c>
      <c r="F491" s="43" t="s">
        <v>528</v>
      </c>
      <c r="G491" s="43" t="str">
        <f t="shared" si="17"/>
        <v>First NDC updated</v>
      </c>
      <c r="H491" s="350" t="s">
        <v>743</v>
      </c>
      <c r="I491" s="351">
        <v>45218</v>
      </c>
      <c r="J491" s="320" t="s">
        <v>583</v>
      </c>
      <c r="K491" s="320" t="str" cm="1">
        <f t="array" ref="K491">IF(ISNUMBER(MATCH("Transport sector mitigation target", _xlfn._xlws.FILTER(Targets!H:H, Targets!A:A =A491), 0)), "yes", "no")</f>
        <v>no</v>
      </c>
      <c r="L491" s="43" t="str">
        <f>IF(K491="no", "No transport target", IF(AND(COUNTIFS(Targets!A:A, A491, Targets!H:H, "Transport sector mitigation target", Targets!J:J, "GHG") &gt; 0, COUNTIFS(Targets!A:A, A491, Targets!H:H, "Transport sector mitigation target", Targets!J:J, "Non GHG") &gt; 0), "GHG and non-GHG target", IF(COUNTIFS(Targets!A:A, A491, Targets!H:H, "Transport sector mitigation target", Targets!J:J, "GHG") &gt; 0, "GHG target", IF(COUNTIFS(Targets!A:A, A491, Targets!H:H, "Transport sector mitigation target", Targets!J:J, "Non GHG") &gt; 0, "non-GHG target", ""))))</f>
        <v>No transport target</v>
      </c>
      <c r="M491" s="43" t="str">
        <f>IF(K491="no","No transport target",IF(L491="non-GHG target","No GHG transport target",IF(AND(COUNTIFS(Targets!A:A,A491,Targets!H:H,"Transport sector mitigation target",Targets!J:J,"GHG",Targets!L:L,"Conditional")&gt;0,COUNTIFS(Targets!A:A,A491,Targets!H:H,"Transport sector mitigation target",Targets!J:J,"GHG",Targets!L:L,"Unconditional")&gt;0),"GHG unconditional and conditional",IF(COUNTIFS(Targets!A:A,A491,Targets!H:H,"Transport sector mitigation target",Targets!J:J,"GHG",Targets!L:L,"Conditional")&gt;0,"GHG conditional only",IF(COUNTIFS(Targets!A:A,A491,Targets!H:H,"Transport sector mitigation target",Targets!J:J,"GHG",Targets!L:L,"Unconditional")&gt;0,"GHG unconditional only",IF(COUNTIFS(Targets!A:A,A491,Targets!H:H,"Transport sector mitigation target",Targets!J:J,"GHG",Targets!L:L,"Unclear conditionality")&gt;0,"Conditionality unclear",""))))))</f>
        <v>No transport target</v>
      </c>
      <c r="N491" s="43" t="str" cm="1">
        <f t="array" ref="N491">IF(ISNUMBER(MATCH("Transport sector adaptation target", _xlfn._xlws.FILTER(Targets!H:H, Targets!A:A =A491), 0)), "yes", "no")</f>
        <v>no</v>
      </c>
      <c r="O491" s="43" t="str">
        <f>IF(ISNA(MATCH(A491, Mitigation!A:A, 0)), "no", "yes")</f>
        <v>no</v>
      </c>
      <c r="P491" s="43" t="str">
        <f>IF(ISNA(MATCH(A491, Adaptation!A:A, 0)), "no", "yes")</f>
        <v>no</v>
      </c>
      <c r="Q491" s="43" t="str">
        <f>IF(ISNA(MATCH(A491, Benefits!A:A, 0)), "no", "yes")</f>
        <v>no</v>
      </c>
      <c r="R491" s="43"/>
      <c r="S491" s="43"/>
      <c r="T491" s="320" t="s">
        <v>583</v>
      </c>
      <c r="U491" s="356" t="s">
        <v>842</v>
      </c>
      <c r="V491" s="233" t="str">
        <f>VLOOKUP(Table1[[#This Row],[Country Code]],Table29[],3,FALSE)</f>
        <v>Annex I</v>
      </c>
      <c r="W491" s="233" t="str">
        <f>VLOOKUP(Table1[[#This Row],[Country Code]],Table29[],4,FALSE)</f>
        <v>Asia</v>
      </c>
      <c r="X491" s="233" t="str">
        <f>VLOOKUP(Table1[[#This Row],[Country Code]],Table29[],5,FALSE)</f>
        <v>High-income</v>
      </c>
      <c r="Y491" s="43"/>
      <c r="Z491" s="43"/>
    </row>
    <row r="492" spans="1:26" ht="15" customHeight="1" x14ac:dyDescent="0.25">
      <c r="A492" s="360" t="s">
        <v>1008</v>
      </c>
      <c r="B492" s="176" t="s">
        <v>158</v>
      </c>
      <c r="C492" s="243" t="str">
        <f>VLOOKUP(Table1[[#This Row],[Country Code]],Table29[],2,FALSE)</f>
        <v>Czech Republic</v>
      </c>
      <c r="D492" s="243" t="str">
        <f t="shared" si="16"/>
        <v>Good</v>
      </c>
      <c r="E492" s="176" t="s">
        <v>71</v>
      </c>
      <c r="F492" s="43" t="s">
        <v>528</v>
      </c>
      <c r="G492" s="43" t="str">
        <f t="shared" si="17"/>
        <v>First NDC updated</v>
      </c>
      <c r="H492" s="350" t="s">
        <v>743</v>
      </c>
      <c r="I492" s="351">
        <v>45218</v>
      </c>
      <c r="J492" s="320" t="s">
        <v>583</v>
      </c>
      <c r="K492" s="320" t="str" cm="1">
        <f t="array" ref="K492">IF(ISNUMBER(MATCH("Transport sector mitigation target", _xlfn._xlws.FILTER(Targets!H:H, Targets!A:A =A492), 0)), "yes", "no")</f>
        <v>no</v>
      </c>
      <c r="L492" s="43" t="str">
        <f>IF(K492="no", "No transport target", IF(AND(COUNTIFS(Targets!A:A, A492, Targets!H:H, "Transport sector mitigation target", Targets!J:J, "GHG") &gt; 0, COUNTIFS(Targets!A:A, A492, Targets!H:H, "Transport sector mitigation target", Targets!J:J, "Non GHG") &gt; 0), "GHG and non-GHG target", IF(COUNTIFS(Targets!A:A, A492, Targets!H:H, "Transport sector mitigation target", Targets!J:J, "GHG") &gt; 0, "GHG target", IF(COUNTIFS(Targets!A:A, A492, Targets!H:H, "Transport sector mitigation target", Targets!J:J, "Non GHG") &gt; 0, "non-GHG target", ""))))</f>
        <v>No transport target</v>
      </c>
      <c r="M492" s="43" t="str">
        <f>IF(K492="no","No transport target",IF(L492="non-GHG target","No GHG transport target",IF(AND(COUNTIFS(Targets!A:A,A492,Targets!H:H,"Transport sector mitigation target",Targets!J:J,"GHG",Targets!L:L,"Conditional")&gt;0,COUNTIFS(Targets!A:A,A492,Targets!H:H,"Transport sector mitigation target",Targets!J:J,"GHG",Targets!L:L,"Unconditional")&gt;0),"GHG unconditional and conditional",IF(COUNTIFS(Targets!A:A,A492,Targets!H:H,"Transport sector mitigation target",Targets!J:J,"GHG",Targets!L:L,"Conditional")&gt;0,"GHG conditional only",IF(COUNTIFS(Targets!A:A,A492,Targets!H:H,"Transport sector mitigation target",Targets!J:J,"GHG",Targets!L:L,"Unconditional")&gt;0,"GHG unconditional only",IF(COUNTIFS(Targets!A:A,A492,Targets!H:H,"Transport sector mitigation target",Targets!J:J,"GHG",Targets!L:L,"Unclear conditionality")&gt;0,"Conditionality unclear",""))))))</f>
        <v>No transport target</v>
      </c>
      <c r="N492" s="43" t="str" cm="1">
        <f t="array" ref="N492">IF(ISNUMBER(MATCH("Transport sector adaptation target", _xlfn._xlws.FILTER(Targets!H:H, Targets!A:A =A492), 0)), "yes", "no")</f>
        <v>no</v>
      </c>
      <c r="O492" s="43" t="str">
        <f>IF(ISNA(MATCH(A492, Mitigation!A:A, 0)), "no", "yes")</f>
        <v>no</v>
      </c>
      <c r="P492" s="43" t="str">
        <f>IF(ISNA(MATCH(A492, Adaptation!A:A, 0)), "no", "yes")</f>
        <v>no</v>
      </c>
      <c r="Q492" s="43" t="str">
        <f>IF(ISNA(MATCH(A492, Benefits!A:A, 0)), "no", "yes")</f>
        <v>no</v>
      </c>
      <c r="R492" s="350"/>
      <c r="S492" s="350"/>
      <c r="T492" s="320" t="s">
        <v>583</v>
      </c>
      <c r="U492" s="356" t="s">
        <v>842</v>
      </c>
      <c r="V492" s="233" t="str">
        <f>VLOOKUP(Table1[[#This Row],[Country Code]],Table29[],3,FALSE)</f>
        <v>Annex I</v>
      </c>
      <c r="W492" s="233" t="str">
        <f>VLOOKUP(Table1[[#This Row],[Country Code]],Table29[],4,FALSE)</f>
        <v>Europe</v>
      </c>
      <c r="X492" s="233" t="str">
        <f>VLOOKUP(Table1[[#This Row],[Country Code]],Table29[],5,FALSE)</f>
        <v>High-income</v>
      </c>
      <c r="Y492" s="43"/>
      <c r="Z492" s="43"/>
    </row>
    <row r="493" spans="1:26" ht="15" customHeight="1" x14ac:dyDescent="0.25">
      <c r="A493" s="360" t="s">
        <v>1009</v>
      </c>
      <c r="B493" s="176" t="s">
        <v>183</v>
      </c>
      <c r="C493" s="243" t="str">
        <f>VLOOKUP(Table1[[#This Row],[Country Code]],Table29[],2,FALSE)</f>
        <v>Estonia</v>
      </c>
      <c r="D493" s="243" t="str">
        <f t="shared" si="16"/>
        <v>Good</v>
      </c>
      <c r="E493" s="176" t="s">
        <v>71</v>
      </c>
      <c r="F493" s="43" t="s">
        <v>528</v>
      </c>
      <c r="G493" s="43" t="str">
        <f t="shared" si="17"/>
        <v>First NDC updated</v>
      </c>
      <c r="H493" s="350" t="s">
        <v>743</v>
      </c>
      <c r="I493" s="351">
        <v>45218</v>
      </c>
      <c r="J493" s="320" t="s">
        <v>583</v>
      </c>
      <c r="K493" s="320" t="str" cm="1">
        <f t="array" ref="K493">IF(ISNUMBER(MATCH("Transport sector mitigation target", _xlfn._xlws.FILTER(Targets!H:H, Targets!A:A =A493), 0)), "yes", "no")</f>
        <v>no</v>
      </c>
      <c r="L493" s="43" t="str">
        <f>IF(K493="no", "No transport target", IF(AND(COUNTIFS(Targets!A:A, A493, Targets!H:H, "Transport sector mitigation target", Targets!J:J, "GHG") &gt; 0, COUNTIFS(Targets!A:A, A493, Targets!H:H, "Transport sector mitigation target", Targets!J:J, "Non GHG") &gt; 0), "GHG and non-GHG target", IF(COUNTIFS(Targets!A:A, A493, Targets!H:H, "Transport sector mitigation target", Targets!J:J, "GHG") &gt; 0, "GHG target", IF(COUNTIFS(Targets!A:A, A493, Targets!H:H, "Transport sector mitigation target", Targets!J:J, "Non GHG") &gt; 0, "non-GHG target", ""))))</f>
        <v>No transport target</v>
      </c>
      <c r="M493" s="43" t="str">
        <f>IF(K493="no","No transport target",IF(L493="non-GHG target","No GHG transport target",IF(AND(COUNTIFS(Targets!A:A,A493,Targets!H:H,"Transport sector mitigation target",Targets!J:J,"GHG",Targets!L:L,"Conditional")&gt;0,COUNTIFS(Targets!A:A,A493,Targets!H:H,"Transport sector mitigation target",Targets!J:J,"GHG",Targets!L:L,"Unconditional")&gt;0),"GHG unconditional and conditional",IF(COUNTIFS(Targets!A:A,A493,Targets!H:H,"Transport sector mitigation target",Targets!J:J,"GHG",Targets!L:L,"Conditional")&gt;0,"GHG conditional only",IF(COUNTIFS(Targets!A:A,A493,Targets!H:H,"Transport sector mitigation target",Targets!J:J,"GHG",Targets!L:L,"Unconditional")&gt;0,"GHG unconditional only",IF(COUNTIFS(Targets!A:A,A493,Targets!H:H,"Transport sector mitigation target",Targets!J:J,"GHG",Targets!L:L,"Unclear conditionality")&gt;0,"Conditionality unclear",""))))))</f>
        <v>No transport target</v>
      </c>
      <c r="N493" s="43" t="str" cm="1">
        <f t="array" ref="N493">IF(ISNUMBER(MATCH("Transport sector adaptation target", _xlfn._xlws.FILTER(Targets!H:H, Targets!A:A =A493), 0)), "yes", "no")</f>
        <v>no</v>
      </c>
      <c r="O493" s="43" t="str">
        <f>IF(ISNA(MATCH(A493, Mitigation!A:A, 0)), "no", "yes")</f>
        <v>no</v>
      </c>
      <c r="P493" s="43" t="str">
        <f>IF(ISNA(MATCH(A493, Adaptation!A:A, 0)), "no", "yes")</f>
        <v>no</v>
      </c>
      <c r="Q493" s="43" t="str">
        <f>IF(ISNA(MATCH(A493, Benefits!A:A, 0)), "no", "yes")</f>
        <v>no</v>
      </c>
      <c r="R493" s="43"/>
      <c r="S493" s="43"/>
      <c r="T493" s="320" t="s">
        <v>583</v>
      </c>
      <c r="U493" s="356" t="s">
        <v>842</v>
      </c>
      <c r="V493" s="233" t="str">
        <f>VLOOKUP(Table1[[#This Row],[Country Code]],Table29[],3,FALSE)</f>
        <v>Annex I</v>
      </c>
      <c r="W493" s="233" t="str">
        <f>VLOOKUP(Table1[[#This Row],[Country Code]],Table29[],4,FALSE)</f>
        <v>Europe</v>
      </c>
      <c r="X493" s="233" t="str">
        <f>VLOOKUP(Table1[[#This Row],[Country Code]],Table29[],5,FALSE)</f>
        <v>High-income</v>
      </c>
      <c r="Y493" s="43"/>
      <c r="Z493" s="43"/>
    </row>
    <row r="494" spans="1:26" ht="15" customHeight="1" x14ac:dyDescent="0.25">
      <c r="A494" s="360" t="s">
        <v>1010</v>
      </c>
      <c r="B494" s="42" t="s">
        <v>193</v>
      </c>
      <c r="C494" s="243" t="str">
        <f>VLOOKUP(Table1[[#This Row],[Country Code]],Table29[],2,FALSE)</f>
        <v>Finland</v>
      </c>
      <c r="D494" s="243" t="str">
        <f t="shared" si="16"/>
        <v>Good</v>
      </c>
      <c r="E494" s="176" t="s">
        <v>71</v>
      </c>
      <c r="F494" s="43" t="s">
        <v>528</v>
      </c>
      <c r="G494" s="43" t="str">
        <f t="shared" si="17"/>
        <v>First NDC updated</v>
      </c>
      <c r="H494" s="350" t="s">
        <v>743</v>
      </c>
      <c r="I494" s="351">
        <v>45218</v>
      </c>
      <c r="J494" s="320" t="s">
        <v>583</v>
      </c>
      <c r="K494" s="320" t="str" cm="1">
        <f t="array" ref="K494">IF(ISNUMBER(MATCH("Transport sector mitigation target", _xlfn._xlws.FILTER(Targets!H:H, Targets!A:A =A494), 0)), "yes", "no")</f>
        <v>no</v>
      </c>
      <c r="L494" s="43" t="str">
        <f>IF(K494="no", "No transport target", IF(AND(COUNTIFS(Targets!A:A, A494, Targets!H:H, "Transport sector mitigation target", Targets!J:J, "GHG") &gt; 0, COUNTIFS(Targets!A:A, A494, Targets!H:H, "Transport sector mitigation target", Targets!J:J, "Non GHG") &gt; 0), "GHG and non-GHG target", IF(COUNTIFS(Targets!A:A, A494, Targets!H:H, "Transport sector mitigation target", Targets!J:J, "GHG") &gt; 0, "GHG target", IF(COUNTIFS(Targets!A:A, A494, Targets!H:H, "Transport sector mitigation target", Targets!J:J, "Non GHG") &gt; 0, "non-GHG target", ""))))</f>
        <v>No transport target</v>
      </c>
      <c r="M494" s="43" t="str">
        <f>IF(K494="no","No transport target",IF(L494="non-GHG target","No GHG transport target",IF(AND(COUNTIFS(Targets!A:A,A494,Targets!H:H,"Transport sector mitigation target",Targets!J:J,"GHG",Targets!L:L,"Conditional")&gt;0,COUNTIFS(Targets!A:A,A494,Targets!H:H,"Transport sector mitigation target",Targets!J:J,"GHG",Targets!L:L,"Unconditional")&gt;0),"GHG unconditional and conditional",IF(COUNTIFS(Targets!A:A,A494,Targets!H:H,"Transport sector mitigation target",Targets!J:J,"GHG",Targets!L:L,"Conditional")&gt;0,"GHG conditional only",IF(COUNTIFS(Targets!A:A,A494,Targets!H:H,"Transport sector mitigation target",Targets!J:J,"GHG",Targets!L:L,"Unconditional")&gt;0,"GHG unconditional only",IF(COUNTIFS(Targets!A:A,A494,Targets!H:H,"Transport sector mitigation target",Targets!J:J,"GHG",Targets!L:L,"Unclear conditionality")&gt;0,"Conditionality unclear",""))))))</f>
        <v>No transport target</v>
      </c>
      <c r="N494" s="43" t="str" cm="1">
        <f t="array" ref="N494">IF(ISNUMBER(MATCH("Transport sector adaptation target", _xlfn._xlws.FILTER(Targets!H:H, Targets!A:A =A494), 0)), "yes", "no")</f>
        <v>no</v>
      </c>
      <c r="O494" s="43" t="str">
        <f>IF(ISNA(MATCH(A494, Mitigation!A:A, 0)), "no", "yes")</f>
        <v>no</v>
      </c>
      <c r="P494" s="43" t="str">
        <f>IF(ISNA(MATCH(A494, Adaptation!A:A, 0)), "no", "yes")</f>
        <v>no</v>
      </c>
      <c r="Q494" s="43" t="str">
        <f>IF(ISNA(MATCH(A494, Benefits!A:A, 0)), "no", "yes")</f>
        <v>no</v>
      </c>
      <c r="R494" s="43"/>
      <c r="S494" s="43"/>
      <c r="T494" s="320" t="s">
        <v>583</v>
      </c>
      <c r="U494" s="356" t="s">
        <v>842</v>
      </c>
      <c r="V494" s="233" t="str">
        <f>VLOOKUP(Table1[[#This Row],[Country Code]],Table29[],3,FALSE)</f>
        <v>Annex I</v>
      </c>
      <c r="W494" s="233" t="str">
        <f>VLOOKUP(Table1[[#This Row],[Country Code]],Table29[],4,FALSE)</f>
        <v>Europe</v>
      </c>
      <c r="X494" s="233" t="str">
        <f>VLOOKUP(Table1[[#This Row],[Country Code]],Table29[],5,FALSE)</f>
        <v>High-income</v>
      </c>
      <c r="Y494" s="43"/>
      <c r="Z494" s="43"/>
    </row>
    <row r="495" spans="1:26" ht="15" customHeight="1" x14ac:dyDescent="0.25">
      <c r="A495" s="360" t="s">
        <v>1011</v>
      </c>
      <c r="B495" s="42" t="s">
        <v>195</v>
      </c>
      <c r="C495" s="243" t="str">
        <f>VLOOKUP(Table1[[#This Row],[Country Code]],Table29[],2,FALSE)</f>
        <v>France</v>
      </c>
      <c r="D495" s="243" t="str">
        <f t="shared" si="16"/>
        <v>Good</v>
      </c>
      <c r="E495" s="176" t="s">
        <v>71</v>
      </c>
      <c r="F495" s="43" t="s">
        <v>528</v>
      </c>
      <c r="G495" s="43" t="str">
        <f t="shared" si="17"/>
        <v>First NDC updated</v>
      </c>
      <c r="H495" s="350" t="s">
        <v>743</v>
      </c>
      <c r="I495" s="351">
        <v>45218</v>
      </c>
      <c r="J495" s="320" t="s">
        <v>583</v>
      </c>
      <c r="K495" s="320" t="str" cm="1">
        <f t="array" ref="K495">IF(ISNUMBER(MATCH("Transport sector mitigation target", _xlfn._xlws.FILTER(Targets!H:H, Targets!A:A =A495), 0)), "yes", "no")</f>
        <v>no</v>
      </c>
      <c r="L495" s="43" t="str">
        <f>IF(K495="no", "No transport target", IF(AND(COUNTIFS(Targets!A:A, A495, Targets!H:H, "Transport sector mitigation target", Targets!J:J, "GHG") &gt; 0, COUNTIFS(Targets!A:A, A495, Targets!H:H, "Transport sector mitigation target", Targets!J:J, "Non GHG") &gt; 0), "GHG and non-GHG target", IF(COUNTIFS(Targets!A:A, A495, Targets!H:H, "Transport sector mitigation target", Targets!J:J, "GHG") &gt; 0, "GHG target", IF(COUNTIFS(Targets!A:A, A495, Targets!H:H, "Transport sector mitigation target", Targets!J:J, "Non GHG") &gt; 0, "non-GHG target", ""))))</f>
        <v>No transport target</v>
      </c>
      <c r="M495" s="43" t="str">
        <f>IF(K495="no","No transport target",IF(L495="non-GHG target","No GHG transport target",IF(AND(COUNTIFS(Targets!A:A,A495,Targets!H:H,"Transport sector mitigation target",Targets!J:J,"GHG",Targets!L:L,"Conditional")&gt;0,COUNTIFS(Targets!A:A,A495,Targets!H:H,"Transport sector mitigation target",Targets!J:J,"GHG",Targets!L:L,"Unconditional")&gt;0),"GHG unconditional and conditional",IF(COUNTIFS(Targets!A:A,A495,Targets!H:H,"Transport sector mitigation target",Targets!J:J,"GHG",Targets!L:L,"Conditional")&gt;0,"GHG conditional only",IF(COUNTIFS(Targets!A:A,A495,Targets!H:H,"Transport sector mitigation target",Targets!J:J,"GHG",Targets!L:L,"Unconditional")&gt;0,"GHG unconditional only",IF(COUNTIFS(Targets!A:A,A495,Targets!H:H,"Transport sector mitigation target",Targets!J:J,"GHG",Targets!L:L,"Unclear conditionality")&gt;0,"Conditionality unclear",""))))))</f>
        <v>No transport target</v>
      </c>
      <c r="N495" s="43" t="str" cm="1">
        <f t="array" ref="N495">IF(ISNUMBER(MATCH("Transport sector adaptation target", _xlfn._xlws.FILTER(Targets!H:H, Targets!A:A =A495), 0)), "yes", "no")</f>
        <v>no</v>
      </c>
      <c r="O495" s="43" t="str">
        <f>IF(ISNA(MATCH(A495, Mitigation!A:A, 0)), "no", "yes")</f>
        <v>no</v>
      </c>
      <c r="P495" s="43" t="str">
        <f>IF(ISNA(MATCH(A495, Adaptation!A:A, 0)), "no", "yes")</f>
        <v>no</v>
      </c>
      <c r="Q495" s="43" t="str">
        <f>IF(ISNA(MATCH(A495, Benefits!A:A, 0)), "no", "yes")</f>
        <v>no</v>
      </c>
      <c r="R495" s="43"/>
      <c r="S495" s="43"/>
      <c r="T495" s="320" t="s">
        <v>583</v>
      </c>
      <c r="U495" s="356" t="s">
        <v>842</v>
      </c>
      <c r="V495" s="233" t="str">
        <f>VLOOKUP(Table1[[#This Row],[Country Code]],Table29[],3,FALSE)</f>
        <v>Annex I</v>
      </c>
      <c r="W495" s="233" t="str">
        <f>VLOOKUP(Table1[[#This Row],[Country Code]],Table29[],4,FALSE)</f>
        <v>Europe</v>
      </c>
      <c r="X495" s="233" t="str">
        <f>VLOOKUP(Table1[[#This Row],[Country Code]],Table29[],5,FALSE)</f>
        <v>High-income</v>
      </c>
      <c r="Y495" s="43"/>
      <c r="Z495" s="43"/>
    </row>
    <row r="496" spans="1:26" ht="15" customHeight="1" x14ac:dyDescent="0.25">
      <c r="A496" s="360" t="s">
        <v>1012</v>
      </c>
      <c r="B496" s="42" t="s">
        <v>203</v>
      </c>
      <c r="C496" s="243" t="str">
        <f>VLOOKUP(Table1[[#This Row],[Country Code]],Table29[],2,FALSE)</f>
        <v>Germany</v>
      </c>
      <c r="D496" s="243" t="str">
        <f t="shared" si="16"/>
        <v>Good</v>
      </c>
      <c r="E496" s="176" t="s">
        <v>71</v>
      </c>
      <c r="F496" s="43" t="s">
        <v>528</v>
      </c>
      <c r="G496" s="43" t="str">
        <f t="shared" si="17"/>
        <v>First NDC updated</v>
      </c>
      <c r="H496" s="350" t="s">
        <v>743</v>
      </c>
      <c r="I496" s="351">
        <v>45218</v>
      </c>
      <c r="J496" s="320" t="s">
        <v>583</v>
      </c>
      <c r="K496" s="320" t="str" cm="1">
        <f t="array" ref="K496">IF(ISNUMBER(MATCH("Transport sector mitigation target", _xlfn._xlws.FILTER(Targets!H:H, Targets!A:A =A496), 0)), "yes", "no")</f>
        <v>no</v>
      </c>
      <c r="L496" s="43" t="str">
        <f>IF(K496="no", "No transport target", IF(AND(COUNTIFS(Targets!A:A, A496, Targets!H:H, "Transport sector mitigation target", Targets!J:J, "GHG") &gt; 0, COUNTIFS(Targets!A:A, A496, Targets!H:H, "Transport sector mitigation target", Targets!J:J, "Non GHG") &gt; 0), "GHG and non-GHG target", IF(COUNTIFS(Targets!A:A, A496, Targets!H:H, "Transport sector mitigation target", Targets!J:J, "GHG") &gt; 0, "GHG target", IF(COUNTIFS(Targets!A:A, A496, Targets!H:H, "Transport sector mitigation target", Targets!J:J, "Non GHG") &gt; 0, "non-GHG target", ""))))</f>
        <v>No transport target</v>
      </c>
      <c r="M496" s="43" t="str">
        <f>IF(K496="no","No transport target",IF(L496="non-GHG target","No GHG transport target",IF(AND(COUNTIFS(Targets!A:A,A496,Targets!H:H,"Transport sector mitigation target",Targets!J:J,"GHG",Targets!L:L,"Conditional")&gt;0,COUNTIFS(Targets!A:A,A496,Targets!H:H,"Transport sector mitigation target",Targets!J:J,"GHG",Targets!L:L,"Unconditional")&gt;0),"GHG unconditional and conditional",IF(COUNTIFS(Targets!A:A,A496,Targets!H:H,"Transport sector mitigation target",Targets!J:J,"GHG",Targets!L:L,"Conditional")&gt;0,"GHG conditional only",IF(COUNTIFS(Targets!A:A,A496,Targets!H:H,"Transport sector mitigation target",Targets!J:J,"GHG",Targets!L:L,"Unconditional")&gt;0,"GHG unconditional only",IF(COUNTIFS(Targets!A:A,A496,Targets!H:H,"Transport sector mitigation target",Targets!J:J,"GHG",Targets!L:L,"Unclear conditionality")&gt;0,"Conditionality unclear",""))))))</f>
        <v>No transport target</v>
      </c>
      <c r="N496" s="43" t="str" cm="1">
        <f t="array" ref="N496">IF(ISNUMBER(MATCH("Transport sector adaptation target", _xlfn._xlws.FILTER(Targets!H:H, Targets!A:A =A496), 0)), "yes", "no")</f>
        <v>no</v>
      </c>
      <c r="O496" s="43" t="str">
        <f>IF(ISNA(MATCH(A496, Mitigation!A:A, 0)), "no", "yes")</f>
        <v>no</v>
      </c>
      <c r="P496" s="43" t="str">
        <f>IF(ISNA(MATCH(A496, Adaptation!A:A, 0)), "no", "yes")</f>
        <v>no</v>
      </c>
      <c r="Q496" s="43" t="str">
        <f>IF(ISNA(MATCH(A496, Benefits!A:A, 0)), "no", "yes")</f>
        <v>no</v>
      </c>
      <c r="R496" s="43"/>
      <c r="S496" s="43"/>
      <c r="T496" s="320" t="s">
        <v>583</v>
      </c>
      <c r="U496" s="356" t="s">
        <v>842</v>
      </c>
      <c r="V496" s="233" t="str">
        <f>VLOOKUP(Table1[[#This Row],[Country Code]],Table29[],3,FALSE)</f>
        <v>Annex I</v>
      </c>
      <c r="W496" s="233" t="str">
        <f>VLOOKUP(Table1[[#This Row],[Country Code]],Table29[],4,FALSE)</f>
        <v>Europe</v>
      </c>
      <c r="X496" s="233" t="str">
        <f>VLOOKUP(Table1[[#This Row],[Country Code]],Table29[],5,FALSE)</f>
        <v>High-income</v>
      </c>
      <c r="Y496" s="43"/>
      <c r="Z496" s="43"/>
    </row>
    <row r="497" spans="1:26" ht="15" customHeight="1" x14ac:dyDescent="0.25">
      <c r="A497" s="360" t="s">
        <v>1013</v>
      </c>
      <c r="B497" s="42" t="s">
        <v>207</v>
      </c>
      <c r="C497" s="243" t="str">
        <f>VLOOKUP(Table1[[#This Row],[Country Code]],Table29[],2,FALSE)</f>
        <v>Greece</v>
      </c>
      <c r="D497" s="243" t="str">
        <f t="shared" si="16"/>
        <v>Good</v>
      </c>
      <c r="E497" s="176" t="s">
        <v>71</v>
      </c>
      <c r="F497" s="43" t="s">
        <v>528</v>
      </c>
      <c r="G497" s="43" t="str">
        <f t="shared" si="17"/>
        <v>First NDC updated</v>
      </c>
      <c r="H497" s="350" t="s">
        <v>743</v>
      </c>
      <c r="I497" s="351">
        <v>45218</v>
      </c>
      <c r="J497" s="320" t="s">
        <v>583</v>
      </c>
      <c r="K497" s="320" t="str" cm="1">
        <f t="array" ref="K497">IF(ISNUMBER(MATCH("Transport sector mitigation target", _xlfn._xlws.FILTER(Targets!H:H, Targets!A:A =A497), 0)), "yes", "no")</f>
        <v>no</v>
      </c>
      <c r="L497" s="43" t="str">
        <f>IF(K497="no", "No transport target", IF(AND(COUNTIFS(Targets!A:A, A497, Targets!H:H, "Transport sector mitigation target", Targets!J:J, "GHG") &gt; 0, COUNTIFS(Targets!A:A, A497, Targets!H:H, "Transport sector mitigation target", Targets!J:J, "Non GHG") &gt; 0), "GHG and non-GHG target", IF(COUNTIFS(Targets!A:A, A497, Targets!H:H, "Transport sector mitigation target", Targets!J:J, "GHG") &gt; 0, "GHG target", IF(COUNTIFS(Targets!A:A, A497, Targets!H:H, "Transport sector mitigation target", Targets!J:J, "Non GHG") &gt; 0, "non-GHG target", ""))))</f>
        <v>No transport target</v>
      </c>
      <c r="M497" s="43" t="str">
        <f>IF(K497="no","No transport target",IF(L497="non-GHG target","No GHG transport target",IF(AND(COUNTIFS(Targets!A:A,A497,Targets!H:H,"Transport sector mitigation target",Targets!J:J,"GHG",Targets!L:L,"Conditional")&gt;0,COUNTIFS(Targets!A:A,A497,Targets!H:H,"Transport sector mitigation target",Targets!J:J,"GHG",Targets!L:L,"Unconditional")&gt;0),"GHG unconditional and conditional",IF(COUNTIFS(Targets!A:A,A497,Targets!H:H,"Transport sector mitigation target",Targets!J:J,"GHG",Targets!L:L,"Conditional")&gt;0,"GHG conditional only",IF(COUNTIFS(Targets!A:A,A497,Targets!H:H,"Transport sector mitigation target",Targets!J:J,"GHG",Targets!L:L,"Unconditional")&gt;0,"GHG unconditional only",IF(COUNTIFS(Targets!A:A,A497,Targets!H:H,"Transport sector mitigation target",Targets!J:J,"GHG",Targets!L:L,"Unclear conditionality")&gt;0,"Conditionality unclear",""))))))</f>
        <v>No transport target</v>
      </c>
      <c r="N497" s="43" t="str" cm="1">
        <f t="array" ref="N497">IF(ISNUMBER(MATCH("Transport sector adaptation target", _xlfn._xlws.FILTER(Targets!H:H, Targets!A:A =A497), 0)), "yes", "no")</f>
        <v>no</v>
      </c>
      <c r="O497" s="43" t="str">
        <f>IF(ISNA(MATCH(A497, Mitigation!A:A, 0)), "no", "yes")</f>
        <v>no</v>
      </c>
      <c r="P497" s="43" t="str">
        <f>IF(ISNA(MATCH(A497, Adaptation!A:A, 0)), "no", "yes")</f>
        <v>no</v>
      </c>
      <c r="Q497" s="43" t="str">
        <f>IF(ISNA(MATCH(A497, Benefits!A:A, 0)), "no", "yes")</f>
        <v>no</v>
      </c>
      <c r="R497" s="43"/>
      <c r="S497" s="43"/>
      <c r="T497" s="320" t="s">
        <v>583</v>
      </c>
      <c r="U497" s="356" t="s">
        <v>842</v>
      </c>
      <c r="V497" s="233" t="str">
        <f>VLOOKUP(Table1[[#This Row],[Country Code]],Table29[],3,FALSE)</f>
        <v>Annex I</v>
      </c>
      <c r="W497" s="233" t="str">
        <f>VLOOKUP(Table1[[#This Row],[Country Code]],Table29[],4,FALSE)</f>
        <v>Europe</v>
      </c>
      <c r="X497" s="233" t="str">
        <f>VLOOKUP(Table1[[#This Row],[Country Code]],Table29[],5,FALSE)</f>
        <v>High-income</v>
      </c>
      <c r="Y497" s="43"/>
      <c r="Z497" s="43"/>
    </row>
    <row r="498" spans="1:26" ht="15" customHeight="1" x14ac:dyDescent="0.25">
      <c r="A498" s="360" t="s">
        <v>1014</v>
      </c>
      <c r="B498" s="42" t="s">
        <v>223</v>
      </c>
      <c r="C498" s="243" t="str">
        <f>VLOOKUP(Table1[[#This Row],[Country Code]],Table29[],2,FALSE)</f>
        <v>Hungary</v>
      </c>
      <c r="D498" s="243" t="str">
        <f t="shared" si="16"/>
        <v>Good</v>
      </c>
      <c r="E498" s="176" t="s">
        <v>71</v>
      </c>
      <c r="F498" s="43" t="s">
        <v>528</v>
      </c>
      <c r="G498" s="43" t="str">
        <f t="shared" si="17"/>
        <v>First NDC updated</v>
      </c>
      <c r="H498" s="350" t="s">
        <v>743</v>
      </c>
      <c r="I498" s="351">
        <v>45218</v>
      </c>
      <c r="J498" s="320" t="s">
        <v>583</v>
      </c>
      <c r="K498" s="320" t="str" cm="1">
        <f t="array" ref="K498">IF(ISNUMBER(MATCH("Transport sector mitigation target", _xlfn._xlws.FILTER(Targets!H:H, Targets!A:A =A498), 0)), "yes", "no")</f>
        <v>no</v>
      </c>
      <c r="L498" s="43" t="str">
        <f>IF(K498="no", "No transport target", IF(AND(COUNTIFS(Targets!A:A, A498, Targets!H:H, "Transport sector mitigation target", Targets!J:J, "GHG") &gt; 0, COUNTIFS(Targets!A:A, A498, Targets!H:H, "Transport sector mitigation target", Targets!J:J, "Non GHG") &gt; 0), "GHG and non-GHG target", IF(COUNTIFS(Targets!A:A, A498, Targets!H:H, "Transport sector mitigation target", Targets!J:J, "GHG") &gt; 0, "GHG target", IF(COUNTIFS(Targets!A:A, A498, Targets!H:H, "Transport sector mitigation target", Targets!J:J, "Non GHG") &gt; 0, "non-GHG target", ""))))</f>
        <v>No transport target</v>
      </c>
      <c r="M498" s="43" t="str">
        <f>IF(K498="no","No transport target",IF(L498="non-GHG target","No GHG transport target",IF(AND(COUNTIFS(Targets!A:A,A498,Targets!H:H,"Transport sector mitigation target",Targets!J:J,"GHG",Targets!L:L,"Conditional")&gt;0,COUNTIFS(Targets!A:A,A498,Targets!H:H,"Transport sector mitigation target",Targets!J:J,"GHG",Targets!L:L,"Unconditional")&gt;0),"GHG unconditional and conditional",IF(COUNTIFS(Targets!A:A,A498,Targets!H:H,"Transport sector mitigation target",Targets!J:J,"GHG",Targets!L:L,"Conditional")&gt;0,"GHG conditional only",IF(COUNTIFS(Targets!A:A,A498,Targets!H:H,"Transport sector mitigation target",Targets!J:J,"GHG",Targets!L:L,"Unconditional")&gt;0,"GHG unconditional only",IF(COUNTIFS(Targets!A:A,A498,Targets!H:H,"Transport sector mitigation target",Targets!J:J,"GHG",Targets!L:L,"Unclear conditionality")&gt;0,"Conditionality unclear",""))))))</f>
        <v>No transport target</v>
      </c>
      <c r="N498" s="43" t="str" cm="1">
        <f t="array" ref="N498">IF(ISNUMBER(MATCH("Transport sector adaptation target", _xlfn._xlws.FILTER(Targets!H:H, Targets!A:A =A498), 0)), "yes", "no")</f>
        <v>no</v>
      </c>
      <c r="O498" s="43" t="str">
        <f>IF(ISNA(MATCH(A498, Mitigation!A:A, 0)), "no", "yes")</f>
        <v>no</v>
      </c>
      <c r="P498" s="43" t="str">
        <f>IF(ISNA(MATCH(A498, Adaptation!A:A, 0)), "no", "yes")</f>
        <v>no</v>
      </c>
      <c r="Q498" s="43" t="str">
        <f>IF(ISNA(MATCH(A498, Benefits!A:A, 0)), "no", "yes")</f>
        <v>no</v>
      </c>
      <c r="R498" s="43"/>
      <c r="S498" s="43"/>
      <c r="T498" s="320" t="s">
        <v>583</v>
      </c>
      <c r="U498" s="356" t="s">
        <v>842</v>
      </c>
      <c r="V498" s="233" t="str">
        <f>VLOOKUP(Table1[[#This Row],[Country Code]],Table29[],3,FALSE)</f>
        <v>Annex I</v>
      </c>
      <c r="W498" s="233" t="str">
        <f>VLOOKUP(Table1[[#This Row],[Country Code]],Table29[],4,FALSE)</f>
        <v>Europe</v>
      </c>
      <c r="X498" s="233" t="str">
        <f>VLOOKUP(Table1[[#This Row],[Country Code]],Table29[],5,FALSE)</f>
        <v>High-income</v>
      </c>
      <c r="Y498" s="43"/>
      <c r="Z498" s="43"/>
    </row>
    <row r="499" spans="1:26" ht="15" customHeight="1" x14ac:dyDescent="0.25">
      <c r="A499" s="360" t="s">
        <v>1015</v>
      </c>
      <c r="B499" s="42" t="s">
        <v>236</v>
      </c>
      <c r="C499" s="243" t="str">
        <f>VLOOKUP(Table1[[#This Row],[Country Code]],Table29[],2,FALSE)</f>
        <v>Ireland</v>
      </c>
      <c r="D499" s="243" t="str">
        <f t="shared" si="16"/>
        <v>Good</v>
      </c>
      <c r="E499" s="176" t="s">
        <v>71</v>
      </c>
      <c r="F499" s="43" t="s">
        <v>528</v>
      </c>
      <c r="G499" s="43" t="str">
        <f t="shared" si="17"/>
        <v>First NDC updated</v>
      </c>
      <c r="H499" s="350" t="s">
        <v>743</v>
      </c>
      <c r="I499" s="351">
        <v>45218</v>
      </c>
      <c r="J499" s="320" t="s">
        <v>583</v>
      </c>
      <c r="K499" s="320" t="str" cm="1">
        <f t="array" ref="K499">IF(ISNUMBER(MATCH("Transport sector mitigation target", _xlfn._xlws.FILTER(Targets!H:H, Targets!A:A =A499), 0)), "yes", "no")</f>
        <v>no</v>
      </c>
      <c r="L499" s="43" t="str">
        <f>IF(K499="no", "No transport target", IF(AND(COUNTIFS(Targets!A:A, A499, Targets!H:H, "Transport sector mitigation target", Targets!J:J, "GHG") &gt; 0, COUNTIFS(Targets!A:A, A499, Targets!H:H, "Transport sector mitigation target", Targets!J:J, "Non GHG") &gt; 0), "GHG and non-GHG target", IF(COUNTIFS(Targets!A:A, A499, Targets!H:H, "Transport sector mitigation target", Targets!J:J, "GHG") &gt; 0, "GHG target", IF(COUNTIFS(Targets!A:A, A499, Targets!H:H, "Transport sector mitigation target", Targets!J:J, "Non GHG") &gt; 0, "non-GHG target", ""))))</f>
        <v>No transport target</v>
      </c>
      <c r="M499" s="43" t="str">
        <f>IF(K499="no","No transport target",IF(L499="non-GHG target","No GHG transport target",IF(AND(COUNTIFS(Targets!A:A,A499,Targets!H:H,"Transport sector mitigation target",Targets!J:J,"GHG",Targets!L:L,"Conditional")&gt;0,COUNTIFS(Targets!A:A,A499,Targets!H:H,"Transport sector mitigation target",Targets!J:J,"GHG",Targets!L:L,"Unconditional")&gt;0),"GHG unconditional and conditional",IF(COUNTIFS(Targets!A:A,A499,Targets!H:H,"Transport sector mitigation target",Targets!J:J,"GHG",Targets!L:L,"Conditional")&gt;0,"GHG conditional only",IF(COUNTIFS(Targets!A:A,A499,Targets!H:H,"Transport sector mitigation target",Targets!J:J,"GHG",Targets!L:L,"Unconditional")&gt;0,"GHG unconditional only",IF(COUNTIFS(Targets!A:A,A499,Targets!H:H,"Transport sector mitigation target",Targets!J:J,"GHG",Targets!L:L,"Unclear conditionality")&gt;0,"Conditionality unclear",""))))))</f>
        <v>No transport target</v>
      </c>
      <c r="N499" s="43" t="str" cm="1">
        <f t="array" ref="N499">IF(ISNUMBER(MATCH("Transport sector adaptation target", _xlfn._xlws.FILTER(Targets!H:H, Targets!A:A =A499), 0)), "yes", "no")</f>
        <v>no</v>
      </c>
      <c r="O499" s="43" t="str">
        <f>IF(ISNA(MATCH(A499, Mitigation!A:A, 0)), "no", "yes")</f>
        <v>no</v>
      </c>
      <c r="P499" s="43" t="str">
        <f>IF(ISNA(MATCH(A499, Adaptation!A:A, 0)), "no", "yes")</f>
        <v>no</v>
      </c>
      <c r="Q499" s="43" t="str">
        <f>IF(ISNA(MATCH(A499, Benefits!A:A, 0)), "no", "yes")</f>
        <v>no</v>
      </c>
      <c r="R499" s="43"/>
      <c r="S499" s="43"/>
      <c r="T499" s="320" t="s">
        <v>583</v>
      </c>
      <c r="U499" s="356" t="s">
        <v>842</v>
      </c>
      <c r="V499" s="233" t="str">
        <f>VLOOKUP(Table1[[#This Row],[Country Code]],Table29[],3,FALSE)</f>
        <v>Annex I</v>
      </c>
      <c r="W499" s="233" t="str">
        <f>VLOOKUP(Table1[[#This Row],[Country Code]],Table29[],4,FALSE)</f>
        <v>Europe</v>
      </c>
      <c r="X499" s="233" t="str">
        <f>VLOOKUP(Table1[[#This Row],[Country Code]],Table29[],5,FALSE)</f>
        <v>High-income</v>
      </c>
      <c r="Y499" s="43"/>
      <c r="Z499" s="43"/>
    </row>
    <row r="500" spans="1:26" ht="15" customHeight="1" x14ac:dyDescent="0.25">
      <c r="A500" s="360" t="s">
        <v>1016</v>
      </c>
      <c r="B500" s="176" t="s">
        <v>241</v>
      </c>
      <c r="C500" s="243" t="str">
        <f>VLOOKUP(Table1[[#This Row],[Country Code]],Table29[],2,FALSE)</f>
        <v>Italy</v>
      </c>
      <c r="D500" s="243" t="str">
        <f t="shared" si="16"/>
        <v>Good</v>
      </c>
      <c r="E500" s="176" t="s">
        <v>71</v>
      </c>
      <c r="F500" s="43" t="s">
        <v>528</v>
      </c>
      <c r="G500" s="43" t="str">
        <f t="shared" si="17"/>
        <v>First NDC updated</v>
      </c>
      <c r="H500" s="350" t="s">
        <v>743</v>
      </c>
      <c r="I500" s="351">
        <v>45218</v>
      </c>
      <c r="J500" s="320" t="s">
        <v>583</v>
      </c>
      <c r="K500" s="320" t="str" cm="1">
        <f t="array" ref="K500">IF(ISNUMBER(MATCH("Transport sector mitigation target", _xlfn._xlws.FILTER(Targets!H:H, Targets!A:A =A500), 0)), "yes", "no")</f>
        <v>no</v>
      </c>
      <c r="L500" s="43" t="str">
        <f>IF(K500="no", "No transport target", IF(AND(COUNTIFS(Targets!A:A, A500, Targets!H:H, "Transport sector mitigation target", Targets!J:J, "GHG") &gt; 0, COUNTIFS(Targets!A:A, A500, Targets!H:H, "Transport sector mitigation target", Targets!J:J, "Non GHG") &gt; 0), "GHG and non-GHG target", IF(COUNTIFS(Targets!A:A, A500, Targets!H:H, "Transport sector mitigation target", Targets!J:J, "GHG") &gt; 0, "GHG target", IF(COUNTIFS(Targets!A:A, A500, Targets!H:H, "Transport sector mitigation target", Targets!J:J, "Non GHG") &gt; 0, "non-GHG target", ""))))</f>
        <v>No transport target</v>
      </c>
      <c r="M500" s="43" t="str">
        <f>IF(K500="no","No transport target",IF(L500="non-GHG target","No GHG transport target",IF(AND(COUNTIFS(Targets!A:A,A500,Targets!H:H,"Transport sector mitigation target",Targets!J:J,"GHG",Targets!L:L,"Conditional")&gt;0,COUNTIFS(Targets!A:A,A500,Targets!H:H,"Transport sector mitigation target",Targets!J:J,"GHG",Targets!L:L,"Unconditional")&gt;0),"GHG unconditional and conditional",IF(COUNTIFS(Targets!A:A,A500,Targets!H:H,"Transport sector mitigation target",Targets!J:J,"GHG",Targets!L:L,"Conditional")&gt;0,"GHG conditional only",IF(COUNTIFS(Targets!A:A,A500,Targets!H:H,"Transport sector mitigation target",Targets!J:J,"GHG",Targets!L:L,"Unconditional")&gt;0,"GHG unconditional only",IF(COUNTIFS(Targets!A:A,A500,Targets!H:H,"Transport sector mitigation target",Targets!J:J,"GHG",Targets!L:L,"Unclear conditionality")&gt;0,"Conditionality unclear",""))))))</f>
        <v>No transport target</v>
      </c>
      <c r="N500" s="43" t="str" cm="1">
        <f t="array" ref="N500">IF(ISNUMBER(MATCH("Transport sector adaptation target", _xlfn._xlws.FILTER(Targets!H:H, Targets!A:A =A500), 0)), "yes", "no")</f>
        <v>no</v>
      </c>
      <c r="O500" s="43" t="str">
        <f>IF(ISNA(MATCH(A500, Mitigation!A:A, 0)), "no", "yes")</f>
        <v>no</v>
      </c>
      <c r="P500" s="43" t="str">
        <f>IF(ISNA(MATCH(A500, Adaptation!A:A, 0)), "no", "yes")</f>
        <v>no</v>
      </c>
      <c r="Q500" s="43" t="str">
        <f>IF(ISNA(MATCH(A500, Benefits!A:A, 0)), "no", "yes")</f>
        <v>no</v>
      </c>
      <c r="R500" s="43"/>
      <c r="S500" s="43"/>
      <c r="T500" s="320" t="s">
        <v>583</v>
      </c>
      <c r="U500" s="356" t="s">
        <v>842</v>
      </c>
      <c r="V500" s="233" t="str">
        <f>VLOOKUP(Table1[[#This Row],[Country Code]],Table29[],3,FALSE)</f>
        <v>Annex I</v>
      </c>
      <c r="W500" s="233" t="str">
        <f>VLOOKUP(Table1[[#This Row],[Country Code]],Table29[],4,FALSE)</f>
        <v>Europe</v>
      </c>
      <c r="X500" s="233" t="str">
        <f>VLOOKUP(Table1[[#This Row],[Country Code]],Table29[],5,FALSE)</f>
        <v>High-income</v>
      </c>
      <c r="Y500" s="43"/>
      <c r="Z500" s="43"/>
    </row>
    <row r="501" spans="1:26" ht="15" customHeight="1" x14ac:dyDescent="0.25">
      <c r="A501" s="360" t="s">
        <v>1017</v>
      </c>
      <c r="B501" s="42" t="s">
        <v>264</v>
      </c>
      <c r="C501" s="243" t="str">
        <f>VLOOKUP(Table1[[#This Row],[Country Code]],Table29[],2,FALSE)</f>
        <v>Latvia</v>
      </c>
      <c r="D501" s="243" t="str">
        <f t="shared" si="16"/>
        <v>Good</v>
      </c>
      <c r="E501" s="176" t="s">
        <v>71</v>
      </c>
      <c r="F501" s="43" t="s">
        <v>528</v>
      </c>
      <c r="G501" s="43" t="str">
        <f t="shared" si="17"/>
        <v>First NDC updated</v>
      </c>
      <c r="H501" s="350" t="s">
        <v>743</v>
      </c>
      <c r="I501" s="351">
        <v>45218</v>
      </c>
      <c r="J501" s="320" t="s">
        <v>583</v>
      </c>
      <c r="K501" s="320" t="str" cm="1">
        <f t="array" ref="K501">IF(ISNUMBER(MATCH("Transport sector mitigation target", _xlfn._xlws.FILTER(Targets!H:H, Targets!A:A =A501), 0)), "yes", "no")</f>
        <v>no</v>
      </c>
      <c r="L501" s="43" t="str">
        <f>IF(K501="no", "No transport target", IF(AND(COUNTIFS(Targets!A:A, A501, Targets!H:H, "Transport sector mitigation target", Targets!J:J, "GHG") &gt; 0, COUNTIFS(Targets!A:A, A501, Targets!H:H, "Transport sector mitigation target", Targets!J:J, "Non GHG") &gt; 0), "GHG and non-GHG target", IF(COUNTIFS(Targets!A:A, A501, Targets!H:H, "Transport sector mitigation target", Targets!J:J, "GHG") &gt; 0, "GHG target", IF(COUNTIFS(Targets!A:A, A501, Targets!H:H, "Transport sector mitigation target", Targets!J:J, "Non GHG") &gt; 0, "non-GHG target", ""))))</f>
        <v>No transport target</v>
      </c>
      <c r="M501" s="43" t="str">
        <f>IF(K501="no","No transport target",IF(L501="non-GHG target","No GHG transport target",IF(AND(COUNTIFS(Targets!A:A,A501,Targets!H:H,"Transport sector mitigation target",Targets!J:J,"GHG",Targets!L:L,"Conditional")&gt;0,COUNTIFS(Targets!A:A,A501,Targets!H:H,"Transport sector mitigation target",Targets!J:J,"GHG",Targets!L:L,"Unconditional")&gt;0),"GHG unconditional and conditional",IF(COUNTIFS(Targets!A:A,A501,Targets!H:H,"Transport sector mitigation target",Targets!J:J,"GHG",Targets!L:L,"Conditional")&gt;0,"GHG conditional only",IF(COUNTIFS(Targets!A:A,A501,Targets!H:H,"Transport sector mitigation target",Targets!J:J,"GHG",Targets!L:L,"Unconditional")&gt;0,"GHG unconditional only",IF(COUNTIFS(Targets!A:A,A501,Targets!H:H,"Transport sector mitigation target",Targets!J:J,"GHG",Targets!L:L,"Unclear conditionality")&gt;0,"Conditionality unclear",""))))))</f>
        <v>No transport target</v>
      </c>
      <c r="N501" s="43" t="str" cm="1">
        <f t="array" ref="N501">IF(ISNUMBER(MATCH("Transport sector adaptation target", _xlfn._xlws.FILTER(Targets!H:H, Targets!A:A =A501), 0)), "yes", "no")</f>
        <v>no</v>
      </c>
      <c r="O501" s="43" t="str">
        <f>IF(ISNA(MATCH(A501, Mitigation!A:A, 0)), "no", "yes")</f>
        <v>no</v>
      </c>
      <c r="P501" s="43" t="str">
        <f>IF(ISNA(MATCH(A501, Adaptation!A:A, 0)), "no", "yes")</f>
        <v>no</v>
      </c>
      <c r="Q501" s="43" t="str">
        <f>IF(ISNA(MATCH(A501, Benefits!A:A, 0)), "no", "yes")</f>
        <v>no</v>
      </c>
      <c r="R501" s="43"/>
      <c r="S501" s="43"/>
      <c r="T501" s="320" t="s">
        <v>583</v>
      </c>
      <c r="U501" s="356" t="s">
        <v>842</v>
      </c>
      <c r="V501" s="233" t="str">
        <f>VLOOKUP(Table1[[#This Row],[Country Code]],Table29[],3,FALSE)</f>
        <v>Annex I</v>
      </c>
      <c r="W501" s="233" t="str">
        <f>VLOOKUP(Table1[[#This Row],[Country Code]],Table29[],4,FALSE)</f>
        <v>Europe</v>
      </c>
      <c r="X501" s="233" t="str">
        <f>VLOOKUP(Table1[[#This Row],[Country Code]],Table29[],5,FALSE)</f>
        <v>High-income</v>
      </c>
      <c r="Y501" s="43"/>
      <c r="Z501" s="43"/>
    </row>
    <row r="502" spans="1:26" ht="15" customHeight="1" x14ac:dyDescent="0.25">
      <c r="A502" s="360" t="s">
        <v>1018</v>
      </c>
      <c r="B502" s="42" t="s">
        <v>276</v>
      </c>
      <c r="C502" s="243" t="str">
        <f>VLOOKUP(Table1[[#This Row],[Country Code]],Table29[],2,FALSE)</f>
        <v>Lithuania</v>
      </c>
      <c r="D502" s="243" t="str">
        <f t="shared" si="16"/>
        <v>Good</v>
      </c>
      <c r="E502" s="176" t="s">
        <v>71</v>
      </c>
      <c r="F502" s="43" t="s">
        <v>528</v>
      </c>
      <c r="G502" s="43" t="str">
        <f t="shared" si="17"/>
        <v>First NDC updated</v>
      </c>
      <c r="H502" s="350" t="s">
        <v>743</v>
      </c>
      <c r="I502" s="351">
        <v>45218</v>
      </c>
      <c r="J502" s="320" t="s">
        <v>583</v>
      </c>
      <c r="K502" s="320" t="str" cm="1">
        <f t="array" ref="K502">IF(ISNUMBER(MATCH("Transport sector mitigation target", _xlfn._xlws.FILTER(Targets!H:H, Targets!A:A =A502), 0)), "yes", "no")</f>
        <v>no</v>
      </c>
      <c r="L502" s="43" t="str">
        <f>IF(K502="no", "No transport target", IF(AND(COUNTIFS(Targets!A:A, A502, Targets!H:H, "Transport sector mitigation target", Targets!J:J, "GHG") &gt; 0, COUNTIFS(Targets!A:A, A502, Targets!H:H, "Transport sector mitigation target", Targets!J:J, "Non GHG") &gt; 0), "GHG and non-GHG target", IF(COUNTIFS(Targets!A:A, A502, Targets!H:H, "Transport sector mitigation target", Targets!J:J, "GHG") &gt; 0, "GHG target", IF(COUNTIFS(Targets!A:A, A502, Targets!H:H, "Transport sector mitigation target", Targets!J:J, "Non GHG") &gt; 0, "non-GHG target", ""))))</f>
        <v>No transport target</v>
      </c>
      <c r="M502" s="43" t="str">
        <f>IF(K502="no","No transport target",IF(L502="non-GHG target","No GHG transport target",IF(AND(COUNTIFS(Targets!A:A,A502,Targets!H:H,"Transport sector mitigation target",Targets!J:J,"GHG",Targets!L:L,"Conditional")&gt;0,COUNTIFS(Targets!A:A,A502,Targets!H:H,"Transport sector mitigation target",Targets!J:J,"GHG",Targets!L:L,"Unconditional")&gt;0),"GHG unconditional and conditional",IF(COUNTIFS(Targets!A:A,A502,Targets!H:H,"Transport sector mitigation target",Targets!J:J,"GHG",Targets!L:L,"Conditional")&gt;0,"GHG conditional only",IF(COUNTIFS(Targets!A:A,A502,Targets!H:H,"Transport sector mitigation target",Targets!J:J,"GHG",Targets!L:L,"Unconditional")&gt;0,"GHG unconditional only",IF(COUNTIFS(Targets!A:A,A502,Targets!H:H,"Transport sector mitigation target",Targets!J:J,"GHG",Targets!L:L,"Unclear conditionality")&gt;0,"Conditionality unclear",""))))))</f>
        <v>No transport target</v>
      </c>
      <c r="N502" s="43" t="str" cm="1">
        <f t="array" ref="N502">IF(ISNUMBER(MATCH("Transport sector adaptation target", _xlfn._xlws.FILTER(Targets!H:H, Targets!A:A =A502), 0)), "yes", "no")</f>
        <v>no</v>
      </c>
      <c r="O502" s="43" t="str">
        <f>IF(ISNA(MATCH(A502, Mitigation!A:A, 0)), "no", "yes")</f>
        <v>no</v>
      </c>
      <c r="P502" s="43" t="str">
        <f>IF(ISNA(MATCH(A502, Adaptation!A:A, 0)), "no", "yes")</f>
        <v>no</v>
      </c>
      <c r="Q502" s="43" t="str">
        <f>IF(ISNA(MATCH(A502, Benefits!A:A, 0)), "no", "yes")</f>
        <v>no</v>
      </c>
      <c r="R502" s="43"/>
      <c r="S502" s="43"/>
      <c r="T502" s="320" t="s">
        <v>583</v>
      </c>
      <c r="U502" s="356" t="s">
        <v>842</v>
      </c>
      <c r="V502" s="233" t="str">
        <f>VLOOKUP(Table1[[#This Row],[Country Code]],Table29[],3,FALSE)</f>
        <v>Annex I</v>
      </c>
      <c r="W502" s="233" t="str">
        <f>VLOOKUP(Table1[[#This Row],[Country Code]],Table29[],4,FALSE)</f>
        <v>Europe</v>
      </c>
      <c r="X502" s="233" t="str">
        <f>VLOOKUP(Table1[[#This Row],[Country Code]],Table29[],5,FALSE)</f>
        <v>High-income</v>
      </c>
      <c r="Y502" s="43"/>
      <c r="Z502" s="43"/>
    </row>
    <row r="503" spans="1:26" ht="15" customHeight="1" x14ac:dyDescent="0.25">
      <c r="A503" s="360" t="s">
        <v>1019</v>
      </c>
      <c r="B503" s="42" t="s">
        <v>278</v>
      </c>
      <c r="C503" s="243" t="str">
        <f>VLOOKUP(Table1[[#This Row],[Country Code]],Table29[],2,FALSE)</f>
        <v>Luxembourg</v>
      </c>
      <c r="D503" s="243" t="str">
        <f t="shared" si="16"/>
        <v>Good</v>
      </c>
      <c r="E503" s="176" t="s">
        <v>71</v>
      </c>
      <c r="F503" s="43" t="s">
        <v>528</v>
      </c>
      <c r="G503" s="43" t="str">
        <f t="shared" si="17"/>
        <v>First NDC updated</v>
      </c>
      <c r="H503" s="350" t="s">
        <v>743</v>
      </c>
      <c r="I503" s="351">
        <v>45218</v>
      </c>
      <c r="J503" s="320" t="s">
        <v>583</v>
      </c>
      <c r="K503" s="320" t="str" cm="1">
        <f t="array" ref="K503">IF(ISNUMBER(MATCH("Transport sector mitigation target", _xlfn._xlws.FILTER(Targets!H:H, Targets!A:A =A503), 0)), "yes", "no")</f>
        <v>no</v>
      </c>
      <c r="L503" s="43" t="str">
        <f>IF(K503="no", "No transport target", IF(AND(COUNTIFS(Targets!A:A, A503, Targets!H:H, "Transport sector mitigation target", Targets!J:J, "GHG") &gt; 0, COUNTIFS(Targets!A:A, A503, Targets!H:H, "Transport sector mitigation target", Targets!J:J, "Non GHG") &gt; 0), "GHG and non-GHG target", IF(COUNTIFS(Targets!A:A, A503, Targets!H:H, "Transport sector mitigation target", Targets!J:J, "GHG") &gt; 0, "GHG target", IF(COUNTIFS(Targets!A:A, A503, Targets!H:H, "Transport sector mitigation target", Targets!J:J, "Non GHG") &gt; 0, "non-GHG target", ""))))</f>
        <v>No transport target</v>
      </c>
      <c r="M503" s="43" t="str">
        <f>IF(K503="no","No transport target",IF(L503="non-GHG target","No GHG transport target",IF(AND(COUNTIFS(Targets!A:A,A503,Targets!H:H,"Transport sector mitigation target",Targets!J:J,"GHG",Targets!L:L,"Conditional")&gt;0,COUNTIFS(Targets!A:A,A503,Targets!H:H,"Transport sector mitigation target",Targets!J:J,"GHG",Targets!L:L,"Unconditional")&gt;0),"GHG unconditional and conditional",IF(COUNTIFS(Targets!A:A,A503,Targets!H:H,"Transport sector mitigation target",Targets!J:J,"GHG",Targets!L:L,"Conditional")&gt;0,"GHG conditional only",IF(COUNTIFS(Targets!A:A,A503,Targets!H:H,"Transport sector mitigation target",Targets!J:J,"GHG",Targets!L:L,"Unconditional")&gt;0,"GHG unconditional only",IF(COUNTIFS(Targets!A:A,A503,Targets!H:H,"Transport sector mitigation target",Targets!J:J,"GHG",Targets!L:L,"Unclear conditionality")&gt;0,"Conditionality unclear",""))))))</f>
        <v>No transport target</v>
      </c>
      <c r="N503" s="43" t="str" cm="1">
        <f t="array" ref="N503">IF(ISNUMBER(MATCH("Transport sector adaptation target", _xlfn._xlws.FILTER(Targets!H:H, Targets!A:A =A503), 0)), "yes", "no")</f>
        <v>no</v>
      </c>
      <c r="O503" s="43" t="str">
        <f>IF(ISNA(MATCH(A503, Mitigation!A:A, 0)), "no", "yes")</f>
        <v>no</v>
      </c>
      <c r="P503" s="43" t="str">
        <f>IF(ISNA(MATCH(A503, Adaptation!A:A, 0)), "no", "yes")</f>
        <v>no</v>
      </c>
      <c r="Q503" s="43" t="str">
        <f>IF(ISNA(MATCH(A503, Benefits!A:A, 0)), "no", "yes")</f>
        <v>no</v>
      </c>
      <c r="R503" s="43"/>
      <c r="S503" s="43"/>
      <c r="T503" s="320" t="s">
        <v>583</v>
      </c>
      <c r="U503" s="356" t="s">
        <v>842</v>
      </c>
      <c r="V503" s="233" t="str">
        <f>VLOOKUP(Table1[[#This Row],[Country Code]],Table29[],3,FALSE)</f>
        <v>Annex I</v>
      </c>
      <c r="W503" s="233" t="str">
        <f>VLOOKUP(Table1[[#This Row],[Country Code]],Table29[],4,FALSE)</f>
        <v>Europe</v>
      </c>
      <c r="X503" s="233" t="str">
        <f>VLOOKUP(Table1[[#This Row],[Country Code]],Table29[],5,FALSE)</f>
        <v>High-income</v>
      </c>
      <c r="Y503" s="43"/>
      <c r="Z503" s="43"/>
    </row>
    <row r="504" spans="1:26" s="381" customFormat="1" ht="15" customHeight="1" x14ac:dyDescent="0.25">
      <c r="A504" s="360" t="s">
        <v>1020</v>
      </c>
      <c r="B504" s="42" t="s">
        <v>290</v>
      </c>
      <c r="C504" s="243" t="str">
        <f>VLOOKUP(Table1[[#This Row],[Country Code]],Table29[],2,FALSE)</f>
        <v>Malta</v>
      </c>
      <c r="D504" s="243" t="str">
        <f t="shared" ref="D504:D544" si="18">IF(J504&lt;&gt;"Active",
    "Good",
    IF(COUNTIFS(C:C, C504, E:E, E504, J:J, "Active")&gt;1,
       IF(E504="LTS", "Error: more than one LTS active",
          IF(E504="NDC", "Error: more than one NDC active", "Error")
       ),
       "Good"
    )
)</f>
        <v>Good</v>
      </c>
      <c r="E504" s="176" t="s">
        <v>71</v>
      </c>
      <c r="F504" s="43" t="s">
        <v>528</v>
      </c>
      <c r="G504" s="43" t="str">
        <f t="shared" ref="G504:G544" si="19">IF(H504="NDC 1.0","First NDC",
IF(OR(H504="NDC 1.1",H504="NDC 1.2",H504="NDC 1.3"),"First NDC updated",
IF(H504="NDC 2.0","Second NDC",
IF(OR(H504="NDC 2.1",H504="NDC 2.2",H504="NDC 2.3"),"Second NDC updated",
IF(H504="NDC 3.0","Third NDC",
IF(OR(H504="NDC 3.1",H504="NDC 3.2",H504="NDC 3.3"),"Third NDC updated",
F504))))))</f>
        <v>First NDC updated</v>
      </c>
      <c r="H504" s="350" t="s">
        <v>743</v>
      </c>
      <c r="I504" s="351">
        <v>45218</v>
      </c>
      <c r="J504" s="320" t="s">
        <v>583</v>
      </c>
      <c r="K504" s="320" t="str" cm="1">
        <f t="array" ref="K504">IF(ISNUMBER(MATCH("Transport sector mitigation target", _xlfn._xlws.FILTER(Targets!H:H, Targets!A:A =A504), 0)), "yes", "no")</f>
        <v>no</v>
      </c>
      <c r="L504" s="43" t="str">
        <f>IF(K504="no", "No transport target", IF(AND(COUNTIFS(Targets!A:A, A504, Targets!H:H, "Transport sector mitigation target", Targets!J:J, "GHG") &gt; 0, COUNTIFS(Targets!A:A, A504, Targets!H:H, "Transport sector mitigation target", Targets!J:J, "Non GHG") &gt; 0), "GHG and non-GHG target", IF(COUNTIFS(Targets!A:A, A504, Targets!H:H, "Transport sector mitigation target", Targets!J:J, "GHG") &gt; 0, "GHG target", IF(COUNTIFS(Targets!A:A, A504, Targets!H:H, "Transport sector mitigation target", Targets!J:J, "Non GHG") &gt; 0, "non-GHG target", ""))))</f>
        <v>No transport target</v>
      </c>
      <c r="M504" s="43" t="str">
        <f>IF(K504="no","No transport target",IF(L504="non-GHG target","No GHG transport target",IF(AND(COUNTIFS(Targets!A:A,A504,Targets!H:H,"Transport sector mitigation target",Targets!J:J,"GHG",Targets!L:L,"Conditional")&gt;0,COUNTIFS(Targets!A:A,A504,Targets!H:H,"Transport sector mitigation target",Targets!J:J,"GHG",Targets!L:L,"Unconditional")&gt;0),"GHG unconditional and conditional",IF(COUNTIFS(Targets!A:A,A504,Targets!H:H,"Transport sector mitigation target",Targets!J:J,"GHG",Targets!L:L,"Conditional")&gt;0,"GHG conditional only",IF(COUNTIFS(Targets!A:A,A504,Targets!H:H,"Transport sector mitigation target",Targets!J:J,"GHG",Targets!L:L,"Unconditional")&gt;0,"GHG unconditional only",IF(COUNTIFS(Targets!A:A,A504,Targets!H:H,"Transport sector mitigation target",Targets!J:J,"GHG",Targets!L:L,"Unclear conditionality")&gt;0,"Conditionality unclear",""))))))</f>
        <v>No transport target</v>
      </c>
      <c r="N504" s="43" t="str" cm="1">
        <f t="array" ref="N504">IF(ISNUMBER(MATCH("Transport sector adaptation target", _xlfn._xlws.FILTER(Targets!H:H, Targets!A:A =A504), 0)), "yes", "no")</f>
        <v>no</v>
      </c>
      <c r="O504" s="43" t="str">
        <f>IF(ISNA(MATCH(A504, Mitigation!A:A, 0)), "no", "yes")</f>
        <v>no</v>
      </c>
      <c r="P504" s="43" t="str">
        <f>IF(ISNA(MATCH(A504, Adaptation!A:A, 0)), "no", "yes")</f>
        <v>no</v>
      </c>
      <c r="Q504" s="43" t="str">
        <f>IF(ISNA(MATCH(A504, Benefits!A:A, 0)), "no", "yes")</f>
        <v>no</v>
      </c>
      <c r="R504" s="43"/>
      <c r="S504" s="43"/>
      <c r="T504" s="320" t="s">
        <v>583</v>
      </c>
      <c r="U504" s="356" t="s">
        <v>842</v>
      </c>
      <c r="V504" s="233" t="str">
        <f>VLOOKUP(Table1[[#This Row],[Country Code]],Table29[],3,FALSE)</f>
        <v>Annex I</v>
      </c>
      <c r="W504" s="233" t="str">
        <f>VLOOKUP(Table1[[#This Row],[Country Code]],Table29[],4,FALSE)</f>
        <v>Europe</v>
      </c>
      <c r="X504" s="233" t="str">
        <f>VLOOKUP(Table1[[#This Row],[Country Code]],Table29[],5,FALSE)</f>
        <v>High-income</v>
      </c>
      <c r="Y504" s="43"/>
      <c r="Z504" s="43"/>
    </row>
    <row r="505" spans="1:26" s="381" customFormat="1" ht="15" customHeight="1" x14ac:dyDescent="0.25">
      <c r="A505" s="360" t="s">
        <v>1021</v>
      </c>
      <c r="B505" s="42" t="s">
        <v>321</v>
      </c>
      <c r="C505" s="243" t="str">
        <f>VLOOKUP(Table1[[#This Row],[Country Code]],Table29[],2,FALSE)</f>
        <v>Netherlands</v>
      </c>
      <c r="D505" s="243" t="str">
        <f t="shared" si="18"/>
        <v>Good</v>
      </c>
      <c r="E505" s="176" t="s">
        <v>71</v>
      </c>
      <c r="F505" s="43" t="s">
        <v>528</v>
      </c>
      <c r="G505" s="43" t="str">
        <f t="shared" si="19"/>
        <v>First NDC updated</v>
      </c>
      <c r="H505" s="350" t="s">
        <v>743</v>
      </c>
      <c r="I505" s="351">
        <v>45218</v>
      </c>
      <c r="J505" s="320" t="s">
        <v>583</v>
      </c>
      <c r="K505" s="320" t="str" cm="1">
        <f t="array" ref="K505">IF(ISNUMBER(MATCH("Transport sector mitigation target", _xlfn._xlws.FILTER(Targets!H:H, Targets!A:A =A505), 0)), "yes", "no")</f>
        <v>no</v>
      </c>
      <c r="L505" s="43" t="str">
        <f>IF(K505="no", "No transport target", IF(AND(COUNTIFS(Targets!A:A, A505, Targets!H:H, "Transport sector mitigation target", Targets!J:J, "GHG") &gt; 0, COUNTIFS(Targets!A:A, A505, Targets!H:H, "Transport sector mitigation target", Targets!J:J, "Non GHG") &gt; 0), "GHG and non-GHG target", IF(COUNTIFS(Targets!A:A, A505, Targets!H:H, "Transport sector mitigation target", Targets!J:J, "GHG") &gt; 0, "GHG target", IF(COUNTIFS(Targets!A:A, A505, Targets!H:H, "Transport sector mitigation target", Targets!J:J, "Non GHG") &gt; 0, "non-GHG target", ""))))</f>
        <v>No transport target</v>
      </c>
      <c r="M505" s="43" t="str">
        <f>IF(K505="no","No transport target",IF(L505="non-GHG target","No GHG transport target",IF(AND(COUNTIFS(Targets!A:A,A505,Targets!H:H,"Transport sector mitigation target",Targets!J:J,"GHG",Targets!L:L,"Conditional")&gt;0,COUNTIFS(Targets!A:A,A505,Targets!H:H,"Transport sector mitigation target",Targets!J:J,"GHG",Targets!L:L,"Unconditional")&gt;0),"GHG unconditional and conditional",IF(COUNTIFS(Targets!A:A,A505,Targets!H:H,"Transport sector mitigation target",Targets!J:J,"GHG",Targets!L:L,"Conditional")&gt;0,"GHG conditional only",IF(COUNTIFS(Targets!A:A,A505,Targets!H:H,"Transport sector mitigation target",Targets!J:J,"GHG",Targets!L:L,"Unconditional")&gt;0,"GHG unconditional only",IF(COUNTIFS(Targets!A:A,A505,Targets!H:H,"Transport sector mitigation target",Targets!J:J,"GHG",Targets!L:L,"Unclear conditionality")&gt;0,"Conditionality unclear",""))))))</f>
        <v>No transport target</v>
      </c>
      <c r="N505" s="43" t="str" cm="1">
        <f t="array" ref="N505">IF(ISNUMBER(MATCH("Transport sector adaptation target", _xlfn._xlws.FILTER(Targets!H:H, Targets!A:A =A505), 0)), "yes", "no")</f>
        <v>no</v>
      </c>
      <c r="O505" s="43" t="str">
        <f>IF(ISNA(MATCH(A505, Mitigation!A:A, 0)), "no", "yes")</f>
        <v>no</v>
      </c>
      <c r="P505" s="43" t="str">
        <f>IF(ISNA(MATCH(A505, Adaptation!A:A, 0)), "no", "yes")</f>
        <v>no</v>
      </c>
      <c r="Q505" s="43" t="str">
        <f>IF(ISNA(MATCH(A505, Benefits!A:A, 0)), "no", "yes")</f>
        <v>no</v>
      </c>
      <c r="R505" s="43"/>
      <c r="S505" s="43"/>
      <c r="T505" s="320" t="s">
        <v>583</v>
      </c>
      <c r="U505" s="356" t="s">
        <v>842</v>
      </c>
      <c r="V505" s="233" t="str">
        <f>VLOOKUP(Table1[[#This Row],[Country Code]],Table29[],3,FALSE)</f>
        <v>Annex I</v>
      </c>
      <c r="W505" s="233" t="str">
        <f>VLOOKUP(Table1[[#This Row],[Country Code]],Table29[],4,FALSE)</f>
        <v>Europe</v>
      </c>
      <c r="X505" s="233" t="str">
        <f>VLOOKUP(Table1[[#This Row],[Country Code]],Table29[],5,FALSE)</f>
        <v>High-income</v>
      </c>
      <c r="Y505" s="43"/>
      <c r="Z505" s="43"/>
    </row>
    <row r="506" spans="1:26" s="381" customFormat="1" ht="15" customHeight="1" x14ac:dyDescent="0.25">
      <c r="A506" s="360" t="s">
        <v>1022</v>
      </c>
      <c r="B506" s="19" t="s">
        <v>354</v>
      </c>
      <c r="C506" s="206" t="str">
        <f>VLOOKUP(Table1[[#This Row],[Country Code]],Table29[],2,FALSE)</f>
        <v>Poland</v>
      </c>
      <c r="D506" s="243" t="str">
        <f t="shared" si="18"/>
        <v>Good</v>
      </c>
      <c r="E506" s="20" t="s">
        <v>71</v>
      </c>
      <c r="F506" s="17" t="s">
        <v>528</v>
      </c>
      <c r="G506" s="43" t="str">
        <f t="shared" si="19"/>
        <v>First NDC updated</v>
      </c>
      <c r="H506" s="350" t="s">
        <v>743</v>
      </c>
      <c r="I506" s="351">
        <v>45218</v>
      </c>
      <c r="J506" s="49" t="s">
        <v>583</v>
      </c>
      <c r="K506" s="49" t="str" cm="1">
        <f t="array" ref="K506">IF(ISNUMBER(MATCH("Transport sector mitigation target", _xlfn._xlws.FILTER(Targets!H:H, Targets!A:A =A506), 0)), "yes", "no")</f>
        <v>no</v>
      </c>
      <c r="L506" s="17" t="str">
        <f>IF(K506="no", "No transport target", IF(AND(COUNTIFS(Targets!A:A, A506, Targets!H:H, "Transport sector mitigation target", Targets!J:J, "GHG") &gt; 0, COUNTIFS(Targets!A:A, A506, Targets!H:H, "Transport sector mitigation target", Targets!J:J, "Non GHG") &gt; 0), "GHG and non-GHG target", IF(COUNTIFS(Targets!A:A, A506, Targets!H:H, "Transport sector mitigation target", Targets!J:J, "GHG") &gt; 0, "GHG target", IF(COUNTIFS(Targets!A:A, A506, Targets!H:H, "Transport sector mitigation target", Targets!J:J, "Non GHG") &gt; 0, "non-GHG target", ""))))</f>
        <v>No transport target</v>
      </c>
      <c r="M506" s="17" t="str">
        <f>IF(K506="no","No transport target",IF(L506="non-GHG target","No GHG transport target",IF(AND(COUNTIFS(Targets!A:A,A506,Targets!H:H,"Transport sector mitigation target",Targets!J:J,"GHG",Targets!L:L,"Conditional")&gt;0,COUNTIFS(Targets!A:A,A506,Targets!H:H,"Transport sector mitigation target",Targets!J:J,"GHG",Targets!L:L,"Unconditional")&gt;0),"GHG unconditional and conditional",IF(COUNTIFS(Targets!A:A,A506,Targets!H:H,"Transport sector mitigation target",Targets!J:J,"GHG",Targets!L:L,"Conditional")&gt;0,"GHG conditional only",IF(COUNTIFS(Targets!A:A,A506,Targets!H:H,"Transport sector mitigation target",Targets!J:J,"GHG",Targets!L:L,"Unconditional")&gt;0,"GHG unconditional only",IF(COUNTIFS(Targets!A:A,A506,Targets!H:H,"Transport sector mitigation target",Targets!J:J,"GHG",Targets!L:L,"Unclear conditionality")&gt;0,"Conditionality unclear",""))))))</f>
        <v>No transport target</v>
      </c>
      <c r="N506" s="17" t="str" cm="1">
        <f t="array" ref="N506">IF(ISNUMBER(MATCH("Transport sector adaptation target", _xlfn._xlws.FILTER(Targets!H:H, Targets!A:A =A506), 0)), "yes", "no")</f>
        <v>no</v>
      </c>
      <c r="O506" s="17" t="str">
        <f>IF(ISNA(MATCH(A506, Mitigation!A:A, 0)), "no", "yes")</f>
        <v>no</v>
      </c>
      <c r="P506" s="17" t="str">
        <f>IF(ISNA(MATCH(A506, Adaptation!A:A, 0)), "no", "yes")</f>
        <v>no</v>
      </c>
      <c r="Q506" s="17" t="str">
        <f>IF(ISNA(MATCH(A506, Benefits!A:A, 0)), "no", "yes")</f>
        <v>no</v>
      </c>
      <c r="R506" s="17"/>
      <c r="S506" s="17"/>
      <c r="T506" s="49" t="s">
        <v>583</v>
      </c>
      <c r="U506" s="356" t="s">
        <v>842</v>
      </c>
      <c r="V506" s="207" t="str">
        <f>VLOOKUP(Table1[[#This Row],[Country Code]],Table29[],3,FALSE)</f>
        <v>Annex I</v>
      </c>
      <c r="W506" s="207" t="str">
        <f>VLOOKUP(Table1[[#This Row],[Country Code]],Table29[],4,FALSE)</f>
        <v>Europe</v>
      </c>
      <c r="X506" s="207" t="str">
        <f>VLOOKUP(Table1[[#This Row],[Country Code]],Table29[],5,FALSE)</f>
        <v>High-income</v>
      </c>
      <c r="Y506" s="17"/>
      <c r="Z506" s="17"/>
    </row>
    <row r="507" spans="1:26" s="381" customFormat="1" ht="15" customHeight="1" x14ac:dyDescent="0.25">
      <c r="A507" s="360" t="s">
        <v>1023</v>
      </c>
      <c r="B507" s="19" t="s">
        <v>356</v>
      </c>
      <c r="C507" s="206" t="str">
        <f>VLOOKUP(Table1[[#This Row],[Country Code]],Table29[],2,FALSE)</f>
        <v>Portugal</v>
      </c>
      <c r="D507" s="243" t="str">
        <f t="shared" si="18"/>
        <v>Good</v>
      </c>
      <c r="E507" s="20" t="s">
        <v>71</v>
      </c>
      <c r="F507" s="17" t="s">
        <v>528</v>
      </c>
      <c r="G507" s="43" t="str">
        <f t="shared" si="19"/>
        <v>First NDC updated</v>
      </c>
      <c r="H507" s="350" t="s">
        <v>743</v>
      </c>
      <c r="I507" s="351">
        <v>45218</v>
      </c>
      <c r="J507" s="49" t="s">
        <v>583</v>
      </c>
      <c r="K507" s="49" t="str" cm="1">
        <f t="array" ref="K507">IF(ISNUMBER(MATCH("Transport sector mitigation target", _xlfn._xlws.FILTER(Targets!H:H, Targets!A:A =A507), 0)), "yes", "no")</f>
        <v>no</v>
      </c>
      <c r="L507" s="17" t="str">
        <f>IF(K507="no", "No transport target", IF(AND(COUNTIFS(Targets!A:A, A507, Targets!H:H, "Transport sector mitigation target", Targets!J:J, "GHG") &gt; 0, COUNTIFS(Targets!A:A, A507, Targets!H:H, "Transport sector mitigation target", Targets!J:J, "Non GHG") &gt; 0), "GHG and non-GHG target", IF(COUNTIFS(Targets!A:A, A507, Targets!H:H, "Transport sector mitigation target", Targets!J:J, "GHG") &gt; 0, "GHG target", IF(COUNTIFS(Targets!A:A, A507, Targets!H:H, "Transport sector mitigation target", Targets!J:J, "Non GHG") &gt; 0, "non-GHG target", ""))))</f>
        <v>No transport target</v>
      </c>
      <c r="M507" s="17" t="str">
        <f>IF(K507="no","No transport target",IF(L507="non-GHG target","No GHG transport target",IF(AND(COUNTIFS(Targets!A:A,A507,Targets!H:H,"Transport sector mitigation target",Targets!J:J,"GHG",Targets!L:L,"Conditional")&gt;0,COUNTIFS(Targets!A:A,A507,Targets!H:H,"Transport sector mitigation target",Targets!J:J,"GHG",Targets!L:L,"Unconditional")&gt;0),"GHG unconditional and conditional",IF(COUNTIFS(Targets!A:A,A507,Targets!H:H,"Transport sector mitigation target",Targets!J:J,"GHG",Targets!L:L,"Conditional")&gt;0,"GHG conditional only",IF(COUNTIFS(Targets!A:A,A507,Targets!H:H,"Transport sector mitigation target",Targets!J:J,"GHG",Targets!L:L,"Unconditional")&gt;0,"GHG unconditional only",IF(COUNTIFS(Targets!A:A,A507,Targets!H:H,"Transport sector mitigation target",Targets!J:J,"GHG",Targets!L:L,"Unclear conditionality")&gt;0,"Conditionality unclear",""))))))</f>
        <v>No transport target</v>
      </c>
      <c r="N507" s="17" t="str" cm="1">
        <f t="array" ref="N507">IF(ISNUMBER(MATCH("Transport sector adaptation target", _xlfn._xlws.FILTER(Targets!H:H, Targets!A:A =A507), 0)), "yes", "no")</f>
        <v>no</v>
      </c>
      <c r="O507" s="17" t="str">
        <f>IF(ISNA(MATCH(A507, Mitigation!A:A, 0)), "no", "yes")</f>
        <v>no</v>
      </c>
      <c r="P507" s="17" t="str">
        <f>IF(ISNA(MATCH(A507, Adaptation!A:A, 0)), "no", "yes")</f>
        <v>no</v>
      </c>
      <c r="Q507" s="17" t="str">
        <f>IF(ISNA(MATCH(A507, Benefits!A:A, 0)), "no", "yes")</f>
        <v>no</v>
      </c>
      <c r="R507" s="17"/>
      <c r="S507" s="17"/>
      <c r="T507" s="49" t="s">
        <v>583</v>
      </c>
      <c r="U507" s="356" t="s">
        <v>842</v>
      </c>
      <c r="V507" s="207" t="str">
        <f>VLOOKUP(Table1[[#This Row],[Country Code]],Table29[],3,FALSE)</f>
        <v>Annex I</v>
      </c>
      <c r="W507" s="207" t="str">
        <f>VLOOKUP(Table1[[#This Row],[Country Code]],Table29[],4,FALSE)</f>
        <v>Europe</v>
      </c>
      <c r="X507" s="207" t="str">
        <f>VLOOKUP(Table1[[#This Row],[Country Code]],Table29[],5,FALSE)</f>
        <v>High-income</v>
      </c>
      <c r="Y507" s="17"/>
      <c r="Z507" s="17"/>
    </row>
    <row r="508" spans="1:26" s="381" customFormat="1" ht="15" customHeight="1" x14ac:dyDescent="0.25">
      <c r="A508" s="360" t="s">
        <v>1024</v>
      </c>
      <c r="B508" s="558" t="s">
        <v>366</v>
      </c>
      <c r="C508" s="539" t="str">
        <f>VLOOKUP(Table1[[#This Row],[Country Code]],Table29[],2,FALSE)</f>
        <v>Romania</v>
      </c>
      <c r="D508" s="243" t="str">
        <f t="shared" si="18"/>
        <v>Good</v>
      </c>
      <c r="E508" s="20" t="s">
        <v>71</v>
      </c>
      <c r="F508" s="17" t="s">
        <v>528</v>
      </c>
      <c r="G508" s="43" t="str">
        <f t="shared" si="19"/>
        <v>First NDC updated</v>
      </c>
      <c r="H508" s="350" t="s">
        <v>743</v>
      </c>
      <c r="I508" s="351">
        <v>45218</v>
      </c>
      <c r="J508" s="49" t="s">
        <v>583</v>
      </c>
      <c r="K508" s="49" t="str" cm="1">
        <f t="array" ref="K508">IF(ISNUMBER(MATCH("Transport sector mitigation target", _xlfn._xlws.FILTER(Targets!H:H, Targets!A:A =A508), 0)), "yes", "no")</f>
        <v>no</v>
      </c>
      <c r="L508" s="17" t="str">
        <f>IF(K508="no", "No transport target", IF(AND(COUNTIFS(Targets!A:A, A508, Targets!H:H, "Transport sector mitigation target", Targets!J:J, "GHG") &gt; 0, COUNTIFS(Targets!A:A, A508, Targets!H:H, "Transport sector mitigation target", Targets!J:J, "Non GHG") &gt; 0), "GHG and non-GHG target", IF(COUNTIFS(Targets!A:A, A508, Targets!H:H, "Transport sector mitigation target", Targets!J:J, "GHG") &gt; 0, "GHG target", IF(COUNTIFS(Targets!A:A, A508, Targets!H:H, "Transport sector mitigation target", Targets!J:J, "Non GHG") &gt; 0, "non-GHG target", ""))))</f>
        <v>No transport target</v>
      </c>
      <c r="M508" s="17" t="str">
        <f>IF(K508="no","No transport target",IF(L508="non-GHG target","No GHG transport target",IF(AND(COUNTIFS(Targets!A:A,A508,Targets!H:H,"Transport sector mitigation target",Targets!J:J,"GHG",Targets!L:L,"Conditional")&gt;0,COUNTIFS(Targets!A:A,A508,Targets!H:H,"Transport sector mitigation target",Targets!J:J,"GHG",Targets!L:L,"Unconditional")&gt;0),"GHG unconditional and conditional",IF(COUNTIFS(Targets!A:A,A508,Targets!H:H,"Transport sector mitigation target",Targets!J:J,"GHG",Targets!L:L,"Conditional")&gt;0,"GHG conditional only",IF(COUNTIFS(Targets!A:A,A508,Targets!H:H,"Transport sector mitigation target",Targets!J:J,"GHG",Targets!L:L,"Unconditional")&gt;0,"GHG unconditional only",IF(COUNTIFS(Targets!A:A,A508,Targets!H:H,"Transport sector mitigation target",Targets!J:J,"GHG",Targets!L:L,"Unclear conditionality")&gt;0,"Conditionality unclear",""))))))</f>
        <v>No transport target</v>
      </c>
      <c r="N508" s="17" t="str" cm="1">
        <f t="array" ref="N508">IF(ISNUMBER(MATCH("Transport sector adaptation target", _xlfn._xlws.FILTER(Targets!H:H, Targets!A:A =A508), 0)), "yes", "no")</f>
        <v>no</v>
      </c>
      <c r="O508" s="17" t="str">
        <f>IF(ISNA(MATCH(A508, Mitigation!A:A, 0)), "no", "yes")</f>
        <v>no</v>
      </c>
      <c r="P508" s="17" t="str">
        <f>IF(ISNA(MATCH(A508, Adaptation!A:A, 0)), "no", "yes")</f>
        <v>no</v>
      </c>
      <c r="Q508" s="17" t="str">
        <f>IF(ISNA(MATCH(A508, Benefits!A:A, 0)), "no", "yes")</f>
        <v>no</v>
      </c>
      <c r="R508" s="17"/>
      <c r="S508" s="17"/>
      <c r="T508" s="49" t="s">
        <v>583</v>
      </c>
      <c r="U508" s="356" t="s">
        <v>842</v>
      </c>
      <c r="V508" s="207" t="str">
        <f>VLOOKUP(Table1[[#This Row],[Country Code]],Table29[],3,FALSE)</f>
        <v>Annex I</v>
      </c>
      <c r="W508" s="207" t="str">
        <f>VLOOKUP(Table1[[#This Row],[Country Code]],Table29[],4,FALSE)</f>
        <v>Europe</v>
      </c>
      <c r="X508" s="207" t="str">
        <f>VLOOKUP(Table1[[#This Row],[Country Code]],Table29[],5,FALSE)</f>
        <v>Middle-income</v>
      </c>
      <c r="Y508" s="17"/>
      <c r="Z508" s="17"/>
    </row>
    <row r="509" spans="1:26" s="381" customFormat="1" ht="15" customHeight="1" x14ac:dyDescent="0.25">
      <c r="A509" s="405" t="s">
        <v>1025</v>
      </c>
      <c r="B509" s="19" t="s">
        <v>396</v>
      </c>
      <c r="C509" s="206" t="str">
        <f>VLOOKUP(Table1[[#This Row],[Country Code]],Table29[],2,FALSE)</f>
        <v>Slovakia</v>
      </c>
      <c r="D509" s="243" t="str">
        <f t="shared" si="18"/>
        <v>Good</v>
      </c>
      <c r="E509" s="20" t="s">
        <v>71</v>
      </c>
      <c r="F509" s="17" t="s">
        <v>528</v>
      </c>
      <c r="G509" s="43" t="str">
        <f t="shared" si="19"/>
        <v>First NDC updated</v>
      </c>
      <c r="H509" s="350" t="s">
        <v>743</v>
      </c>
      <c r="I509" s="351">
        <v>45218</v>
      </c>
      <c r="J509" s="49" t="s">
        <v>583</v>
      </c>
      <c r="K509" s="49" t="str" cm="1">
        <f t="array" ref="K509">IF(ISNUMBER(MATCH("Transport sector mitigation target", _xlfn._xlws.FILTER(Targets!H:H, Targets!A:A =A509), 0)), "yes", "no")</f>
        <v>no</v>
      </c>
      <c r="L509" s="17" t="str">
        <f>IF(K509="no", "No transport target", IF(AND(COUNTIFS(Targets!A:A, A509, Targets!H:H, "Transport sector mitigation target", Targets!J:J, "GHG") &gt; 0, COUNTIFS(Targets!A:A, A509, Targets!H:H, "Transport sector mitigation target", Targets!J:J, "Non GHG") &gt; 0), "GHG and non-GHG target", IF(COUNTIFS(Targets!A:A, A509, Targets!H:H, "Transport sector mitigation target", Targets!J:J, "GHG") &gt; 0, "GHG target", IF(COUNTIFS(Targets!A:A, A509, Targets!H:H, "Transport sector mitigation target", Targets!J:J, "Non GHG") &gt; 0, "non-GHG target", ""))))</f>
        <v>No transport target</v>
      </c>
      <c r="M509" s="17" t="str">
        <f>IF(K509="no","No transport target",IF(L509="non-GHG target","No GHG transport target",IF(AND(COUNTIFS(Targets!A:A,A509,Targets!H:H,"Transport sector mitigation target",Targets!J:J,"GHG",Targets!L:L,"Conditional")&gt;0,COUNTIFS(Targets!A:A,A509,Targets!H:H,"Transport sector mitigation target",Targets!J:J,"GHG",Targets!L:L,"Unconditional")&gt;0),"GHG unconditional and conditional",IF(COUNTIFS(Targets!A:A,A509,Targets!H:H,"Transport sector mitigation target",Targets!J:J,"GHG",Targets!L:L,"Conditional")&gt;0,"GHG conditional only",IF(COUNTIFS(Targets!A:A,A509,Targets!H:H,"Transport sector mitigation target",Targets!J:J,"GHG",Targets!L:L,"Unconditional")&gt;0,"GHG unconditional only",IF(COUNTIFS(Targets!A:A,A509,Targets!H:H,"Transport sector mitigation target",Targets!J:J,"GHG",Targets!L:L,"Unclear conditionality")&gt;0,"Conditionality unclear",""))))))</f>
        <v>No transport target</v>
      </c>
      <c r="N509" s="17" t="str" cm="1">
        <f t="array" ref="N509">IF(ISNUMBER(MATCH("Transport sector adaptation target", _xlfn._xlws.FILTER(Targets!H:H, Targets!A:A =A509), 0)), "yes", "no")</f>
        <v>no</v>
      </c>
      <c r="O509" s="17" t="str">
        <f>IF(ISNA(MATCH(A509, Mitigation!A:A, 0)), "no", "yes")</f>
        <v>no</v>
      </c>
      <c r="P509" s="17" t="str">
        <f>IF(ISNA(MATCH(A509, Adaptation!A:A, 0)), "no", "yes")</f>
        <v>no</v>
      </c>
      <c r="Q509" s="17" t="str">
        <f>IF(ISNA(MATCH(A509, Benefits!A:A, 0)), "no", "yes")</f>
        <v>no</v>
      </c>
      <c r="R509" s="17"/>
      <c r="S509" s="17"/>
      <c r="T509" s="49" t="s">
        <v>583</v>
      </c>
      <c r="U509" s="356" t="s">
        <v>842</v>
      </c>
      <c r="V509" s="207" t="str">
        <f>VLOOKUP(Table1[[#This Row],[Country Code]],Table29[],3,FALSE)</f>
        <v>Annex I</v>
      </c>
      <c r="W509" s="207" t="str">
        <f>VLOOKUP(Table1[[#This Row],[Country Code]],Table29[],4,FALSE)</f>
        <v>Europe</v>
      </c>
      <c r="X509" s="207" t="str">
        <f>VLOOKUP(Table1[[#This Row],[Country Code]],Table29[],5,FALSE)</f>
        <v>High-income</v>
      </c>
      <c r="Y509" s="17"/>
      <c r="Z509" s="17"/>
    </row>
    <row r="510" spans="1:26" s="381" customFormat="1" ht="15" customHeight="1" x14ac:dyDescent="0.25">
      <c r="A510" s="405" t="s">
        <v>1026</v>
      </c>
      <c r="B510" s="19" t="s">
        <v>398</v>
      </c>
      <c r="C510" s="206" t="str">
        <f>VLOOKUP(Table1[[#This Row],[Country Code]],Table29[],2,FALSE)</f>
        <v>Slovenia</v>
      </c>
      <c r="D510" s="243" t="str">
        <f t="shared" si="18"/>
        <v>Good</v>
      </c>
      <c r="E510" s="20" t="s">
        <v>71</v>
      </c>
      <c r="F510" s="17" t="s">
        <v>528</v>
      </c>
      <c r="G510" s="43" t="str">
        <f t="shared" si="19"/>
        <v>First NDC updated</v>
      </c>
      <c r="H510" s="350" t="s">
        <v>743</v>
      </c>
      <c r="I510" s="351">
        <v>45218</v>
      </c>
      <c r="J510" s="49" t="s">
        <v>583</v>
      </c>
      <c r="K510" s="49" t="str" cm="1">
        <f t="array" ref="K510">IF(ISNUMBER(MATCH("Transport sector mitigation target", _xlfn._xlws.FILTER(Targets!H:H, Targets!A:A =A510), 0)), "yes", "no")</f>
        <v>no</v>
      </c>
      <c r="L510" s="17" t="str">
        <f>IF(K510="no", "No transport target", IF(AND(COUNTIFS(Targets!A:A, A510, Targets!H:H, "Transport sector mitigation target", Targets!J:J, "GHG") &gt; 0, COUNTIFS(Targets!A:A, A510, Targets!H:H, "Transport sector mitigation target", Targets!J:J, "Non GHG") &gt; 0), "GHG and non-GHG target", IF(COUNTIFS(Targets!A:A, A510, Targets!H:H, "Transport sector mitigation target", Targets!J:J, "GHG") &gt; 0, "GHG target", IF(COUNTIFS(Targets!A:A, A510, Targets!H:H, "Transport sector mitigation target", Targets!J:J, "Non GHG") &gt; 0, "non-GHG target", ""))))</f>
        <v>No transport target</v>
      </c>
      <c r="M510" s="17" t="str">
        <f>IF(K510="no","No transport target",IF(L510="non-GHG target","No GHG transport target",IF(AND(COUNTIFS(Targets!A:A,A510,Targets!H:H,"Transport sector mitigation target",Targets!J:J,"GHG",Targets!L:L,"Conditional")&gt;0,COUNTIFS(Targets!A:A,A510,Targets!H:H,"Transport sector mitigation target",Targets!J:J,"GHG",Targets!L:L,"Unconditional")&gt;0),"GHG unconditional and conditional",IF(COUNTIFS(Targets!A:A,A510,Targets!H:H,"Transport sector mitigation target",Targets!J:J,"GHG",Targets!L:L,"Conditional")&gt;0,"GHG conditional only",IF(COUNTIFS(Targets!A:A,A510,Targets!H:H,"Transport sector mitigation target",Targets!J:J,"GHG",Targets!L:L,"Unconditional")&gt;0,"GHG unconditional only",IF(COUNTIFS(Targets!A:A,A510,Targets!H:H,"Transport sector mitigation target",Targets!J:J,"GHG",Targets!L:L,"Unclear conditionality")&gt;0,"Conditionality unclear",""))))))</f>
        <v>No transport target</v>
      </c>
      <c r="N510" s="17" t="str" cm="1">
        <f t="array" ref="N510">IF(ISNUMBER(MATCH("Transport sector adaptation target", _xlfn._xlws.FILTER(Targets!H:H, Targets!A:A =A510), 0)), "yes", "no")</f>
        <v>no</v>
      </c>
      <c r="O510" s="17" t="str">
        <f>IF(ISNA(MATCH(A510, Mitigation!A:A, 0)), "no", "yes")</f>
        <v>no</v>
      </c>
      <c r="P510" s="17" t="str">
        <f>IF(ISNA(MATCH(A510, Adaptation!A:A, 0)), "no", "yes")</f>
        <v>no</v>
      </c>
      <c r="Q510" s="17" t="str">
        <f>IF(ISNA(MATCH(A510, Benefits!A:A, 0)), "no", "yes")</f>
        <v>no</v>
      </c>
      <c r="R510" s="17"/>
      <c r="S510" s="17"/>
      <c r="T510" s="49" t="s">
        <v>583</v>
      </c>
      <c r="U510" s="356" t="s">
        <v>842</v>
      </c>
      <c r="V510" s="207" t="str">
        <f>VLOOKUP(Table1[[#This Row],[Country Code]],Table29[],3,FALSE)</f>
        <v>Annex I</v>
      </c>
      <c r="W510" s="207" t="str">
        <f>VLOOKUP(Table1[[#This Row],[Country Code]],Table29[],4,FALSE)</f>
        <v>Europe</v>
      </c>
      <c r="X510" s="207" t="str">
        <f>VLOOKUP(Table1[[#This Row],[Country Code]],Table29[],5,FALSE)</f>
        <v>High-income</v>
      </c>
      <c r="Y510" s="17"/>
      <c r="Z510" s="17"/>
    </row>
    <row r="511" spans="1:26" s="381" customFormat="1" ht="15" customHeight="1" x14ac:dyDescent="0.25">
      <c r="A511" s="360" t="s">
        <v>1027</v>
      </c>
      <c r="B511" s="42" t="s">
        <v>408</v>
      </c>
      <c r="C511" s="243" t="str">
        <f>VLOOKUP(Table1[[#This Row],[Country Code]],Table29[],2,FALSE)</f>
        <v>Spain</v>
      </c>
      <c r="D511" s="243" t="str">
        <f t="shared" si="18"/>
        <v>Good</v>
      </c>
      <c r="E511" s="176" t="s">
        <v>71</v>
      </c>
      <c r="F511" s="43" t="s">
        <v>528</v>
      </c>
      <c r="G511" s="43" t="str">
        <f t="shared" si="19"/>
        <v>First NDC updated</v>
      </c>
      <c r="H511" s="350" t="s">
        <v>743</v>
      </c>
      <c r="I511" s="351">
        <v>45218</v>
      </c>
      <c r="J511" s="320" t="s">
        <v>583</v>
      </c>
      <c r="K511" s="320" t="str" cm="1">
        <f t="array" ref="K511">IF(ISNUMBER(MATCH("Transport sector mitigation target", _xlfn._xlws.FILTER(Targets!H:H, Targets!A:A =A511), 0)), "yes", "no")</f>
        <v>no</v>
      </c>
      <c r="L511" s="43" t="str">
        <f>IF(K511="no", "No transport target", IF(AND(COUNTIFS(Targets!A:A, A511, Targets!H:H, "Transport sector mitigation target", Targets!J:J, "GHG") &gt; 0, COUNTIFS(Targets!A:A, A511, Targets!H:H, "Transport sector mitigation target", Targets!J:J, "Non GHG") &gt; 0), "GHG and non-GHG target", IF(COUNTIFS(Targets!A:A, A511, Targets!H:H, "Transport sector mitigation target", Targets!J:J, "GHG") &gt; 0, "GHG target", IF(COUNTIFS(Targets!A:A, A511, Targets!H:H, "Transport sector mitigation target", Targets!J:J, "Non GHG") &gt; 0, "non-GHG target", ""))))</f>
        <v>No transport target</v>
      </c>
      <c r="M511" s="43" t="str">
        <f>IF(K511="no","No transport target",IF(L511="non-GHG target","No GHG transport target",IF(AND(COUNTIFS(Targets!A:A,A511,Targets!H:H,"Transport sector mitigation target",Targets!J:J,"GHG",Targets!L:L,"Conditional")&gt;0,COUNTIFS(Targets!A:A,A511,Targets!H:H,"Transport sector mitigation target",Targets!J:J,"GHG",Targets!L:L,"Unconditional")&gt;0),"GHG unconditional and conditional",IF(COUNTIFS(Targets!A:A,A511,Targets!H:H,"Transport sector mitigation target",Targets!J:J,"GHG",Targets!L:L,"Conditional")&gt;0,"GHG conditional only",IF(COUNTIFS(Targets!A:A,A511,Targets!H:H,"Transport sector mitigation target",Targets!J:J,"GHG",Targets!L:L,"Unconditional")&gt;0,"GHG unconditional only",IF(COUNTIFS(Targets!A:A,A511,Targets!H:H,"Transport sector mitigation target",Targets!J:J,"GHG",Targets!L:L,"Unclear conditionality")&gt;0,"Conditionality unclear",""))))))</f>
        <v>No transport target</v>
      </c>
      <c r="N511" s="43" t="str" cm="1">
        <f t="array" ref="N511">IF(ISNUMBER(MATCH("Transport sector adaptation target", _xlfn._xlws.FILTER(Targets!H:H, Targets!A:A =A511), 0)), "yes", "no")</f>
        <v>no</v>
      </c>
      <c r="O511" s="43" t="str">
        <f>IF(ISNA(MATCH(A511, Mitigation!A:A, 0)), "no", "yes")</f>
        <v>no</v>
      </c>
      <c r="P511" s="43" t="str">
        <f>IF(ISNA(MATCH(A511, Adaptation!A:A, 0)), "no", "yes")</f>
        <v>no</v>
      </c>
      <c r="Q511" s="43" t="str">
        <f>IF(ISNA(MATCH(A511, Benefits!A:A, 0)), "no", "yes")</f>
        <v>no</v>
      </c>
      <c r="R511" s="43"/>
      <c r="S511" s="43"/>
      <c r="T511" s="320" t="s">
        <v>583</v>
      </c>
      <c r="U511" s="356" t="s">
        <v>842</v>
      </c>
      <c r="V511" s="233" t="str">
        <f>VLOOKUP(Table1[[#This Row],[Country Code]],Table29[],3,FALSE)</f>
        <v>Annex I</v>
      </c>
      <c r="W511" s="233" t="str">
        <f>VLOOKUP(Table1[[#This Row],[Country Code]],Table29[],4,FALSE)</f>
        <v>Europe</v>
      </c>
      <c r="X511" s="233" t="str">
        <f>VLOOKUP(Table1[[#This Row],[Country Code]],Table29[],5,FALSE)</f>
        <v>High-income</v>
      </c>
      <c r="Y511" s="43"/>
      <c r="Z511" s="43"/>
    </row>
    <row r="512" spans="1:26" s="381" customFormat="1" ht="15" customHeight="1" x14ac:dyDescent="0.25">
      <c r="A512" s="405" t="s">
        <v>1028</v>
      </c>
      <c r="B512" s="19" t="s">
        <v>416</v>
      </c>
      <c r="C512" s="206" t="str">
        <f>VLOOKUP(Table1[[#This Row],[Country Code]],Table29[],2,FALSE)</f>
        <v>Sweden</v>
      </c>
      <c r="D512" s="243" t="str">
        <f t="shared" si="18"/>
        <v>Good</v>
      </c>
      <c r="E512" s="20" t="s">
        <v>71</v>
      </c>
      <c r="F512" s="17" t="s">
        <v>528</v>
      </c>
      <c r="G512" s="43" t="str">
        <f t="shared" si="19"/>
        <v>First NDC updated</v>
      </c>
      <c r="H512" s="350" t="s">
        <v>743</v>
      </c>
      <c r="I512" s="351">
        <v>45218</v>
      </c>
      <c r="J512" s="49" t="s">
        <v>583</v>
      </c>
      <c r="K512" s="49" t="str" cm="1">
        <f t="array" ref="K512">IF(ISNUMBER(MATCH("Transport sector mitigation target", _xlfn._xlws.FILTER(Targets!H:H, Targets!A:A =A512), 0)), "yes", "no")</f>
        <v>no</v>
      </c>
      <c r="L512" s="17" t="str">
        <f>IF(K512="no", "No transport target", IF(AND(COUNTIFS(Targets!A:A, A512, Targets!H:H, "Transport sector mitigation target", Targets!J:J, "GHG") &gt; 0, COUNTIFS(Targets!A:A, A512, Targets!H:H, "Transport sector mitigation target", Targets!J:J, "Non GHG") &gt; 0), "GHG and non-GHG target", IF(COUNTIFS(Targets!A:A, A512, Targets!H:H, "Transport sector mitigation target", Targets!J:J, "GHG") &gt; 0, "GHG target", IF(COUNTIFS(Targets!A:A, A512, Targets!H:H, "Transport sector mitigation target", Targets!J:J, "Non GHG") &gt; 0, "non-GHG target", ""))))</f>
        <v>No transport target</v>
      </c>
      <c r="M512" s="17" t="str">
        <f>IF(K512="no","No transport target",IF(L512="non-GHG target","No GHG transport target",IF(AND(COUNTIFS(Targets!A:A,A512,Targets!H:H,"Transport sector mitigation target",Targets!J:J,"GHG",Targets!L:L,"Conditional")&gt;0,COUNTIFS(Targets!A:A,A512,Targets!H:H,"Transport sector mitigation target",Targets!J:J,"GHG",Targets!L:L,"Unconditional")&gt;0),"GHG unconditional and conditional",IF(COUNTIFS(Targets!A:A,A512,Targets!H:H,"Transport sector mitigation target",Targets!J:J,"GHG",Targets!L:L,"Conditional")&gt;0,"GHG conditional only",IF(COUNTIFS(Targets!A:A,A512,Targets!H:H,"Transport sector mitigation target",Targets!J:J,"GHG",Targets!L:L,"Unconditional")&gt;0,"GHG unconditional only",IF(COUNTIFS(Targets!A:A,A512,Targets!H:H,"Transport sector mitigation target",Targets!J:J,"GHG",Targets!L:L,"Unclear conditionality")&gt;0,"Conditionality unclear",""))))))</f>
        <v>No transport target</v>
      </c>
      <c r="N512" s="17" t="str" cm="1">
        <f t="array" ref="N512">IF(ISNUMBER(MATCH("Transport sector adaptation target", _xlfn._xlws.FILTER(Targets!H:H, Targets!A:A =A512), 0)), "yes", "no")</f>
        <v>no</v>
      </c>
      <c r="O512" s="17" t="str">
        <f>IF(ISNA(MATCH(A512, Mitigation!A:A, 0)), "no", "yes")</f>
        <v>no</v>
      </c>
      <c r="P512" s="17" t="str">
        <f>IF(ISNA(MATCH(A512, Adaptation!A:A, 0)), "no", "yes")</f>
        <v>no</v>
      </c>
      <c r="Q512" s="17" t="str">
        <f>IF(ISNA(MATCH(A512, Benefits!A:A, 0)), "no", "yes")</f>
        <v>no</v>
      </c>
      <c r="R512" s="17"/>
      <c r="S512" s="17"/>
      <c r="T512" s="49" t="s">
        <v>583</v>
      </c>
      <c r="U512" s="356" t="s">
        <v>842</v>
      </c>
      <c r="V512" s="207" t="str">
        <f>VLOOKUP(Table1[[#This Row],[Country Code]],Table29[],3,FALSE)</f>
        <v>Annex I</v>
      </c>
      <c r="W512" s="207" t="str">
        <f>VLOOKUP(Table1[[#This Row],[Country Code]],Table29[],4,FALSE)</f>
        <v>Europe</v>
      </c>
      <c r="X512" s="207" t="str">
        <f>VLOOKUP(Table1[[#This Row],[Country Code]],Table29[],5,FALSE)</f>
        <v>High-income</v>
      </c>
      <c r="Y512" s="17"/>
      <c r="Z512" s="17"/>
    </row>
    <row r="513" spans="1:26" s="381" customFormat="1" ht="15" customHeight="1" x14ac:dyDescent="0.25">
      <c r="A513" s="360">
        <v>41739</v>
      </c>
      <c r="B513" s="42" t="s">
        <v>111</v>
      </c>
      <c r="C513" s="243" t="str">
        <f>VLOOKUP(Table1[[#This Row],[Country Code]],Table29[],2,FALSE)</f>
        <v>Brazil</v>
      </c>
      <c r="D513" s="243" t="str">
        <f t="shared" si="18"/>
        <v>Good</v>
      </c>
      <c r="E513" s="176" t="s">
        <v>71</v>
      </c>
      <c r="F513" s="42" t="s">
        <v>528</v>
      </c>
      <c r="G513" s="43" t="str">
        <f t="shared" si="19"/>
        <v>First NDC updated</v>
      </c>
      <c r="H513" s="42" t="s">
        <v>889</v>
      </c>
      <c r="I513" s="351">
        <v>45233</v>
      </c>
      <c r="J513" s="352" t="s">
        <v>500</v>
      </c>
      <c r="K513" s="320" t="str" cm="1">
        <f t="array" ref="K513">IF(ISNUMBER(MATCH("Transport sector mitigation target", _xlfn._xlws.FILTER(Targets!H:H, Targets!A:A =A513), 0)), "yes", "no")</f>
        <v>no</v>
      </c>
      <c r="L513" s="42" t="str">
        <f>IF(K513="no", "No transport target", IF(AND(COUNTIFS(Targets!A:A, A513, Targets!H:H, "Transport sector mitigation target", Targets!J:J, "GHG") &gt; 0, COUNTIFS(Targets!A:A, A513, Targets!H:H, "Transport sector mitigation target", Targets!J:J, "Non GHG") &gt; 0), "GHG and non-GHG target", IF(COUNTIFS(Targets!A:A, A513, Targets!H:H, "Transport sector mitigation target", Targets!J:J, "GHG") &gt; 0, "GHG target", IF(COUNTIFS(Targets!A:A, A513, Targets!H:H, "Transport sector mitigation target", Targets!J:J, "Non GHG") &gt; 0, "non-GHG target", ""))))</f>
        <v>No transport target</v>
      </c>
      <c r="M513" s="42" t="str">
        <f>IF(K513="no","No transport target",IF(L513="non-GHG target","No GHG transport target",IF(AND(COUNTIFS(Targets!A:A,A513,Targets!H:H,"Transport sector mitigation target",Targets!J:J,"GHG",Targets!L:L,"Conditional")&gt;0,COUNTIFS(Targets!A:A,A513,Targets!H:H,"Transport sector mitigation target",Targets!J:J,"GHG",Targets!L:L,"Unconditional")&gt;0),"GHG unconditional and conditional",IF(COUNTIFS(Targets!A:A,A513,Targets!H:H,"Transport sector mitigation target",Targets!J:J,"GHG",Targets!L:L,"Conditional")&gt;0,"GHG conditional only",IF(COUNTIFS(Targets!A:A,A513,Targets!H:H,"Transport sector mitigation target",Targets!J:J,"GHG",Targets!L:L,"Unconditional")&gt;0,"GHG unconditional only",IF(COUNTIFS(Targets!A:A,A513,Targets!H:H,"Transport sector mitigation target",Targets!J:J,"GHG",Targets!L:L,"Unclear conditionality")&gt;0,"Conditionality unclear",""))))))</f>
        <v>No transport target</v>
      </c>
      <c r="N513" s="42" t="str" cm="1">
        <f t="array" ref="N513">IF(ISNUMBER(MATCH("Transport sector adaptation target", _xlfn._xlws.FILTER(Targets!H:H, Targets!A:A =A513), 0)), "yes", "no")</f>
        <v>no</v>
      </c>
      <c r="O513" s="42" t="str">
        <f>IF(ISNA(MATCH(A513, Mitigation!A:A, 0)), "no", "yes")</f>
        <v>yes</v>
      </c>
      <c r="P513" s="42" t="str">
        <f>IF(ISNA(MATCH(A513, Adaptation!A:A, 0)), "no", "yes")</f>
        <v>no</v>
      </c>
      <c r="Q513" s="42" t="str">
        <f>IF(ISNA(MATCH(A513, Benefits!A:A, 0)), "no", "yes")</f>
        <v>no</v>
      </c>
      <c r="R513" s="43"/>
      <c r="S513" s="43"/>
      <c r="T513" s="43" t="s">
        <v>501</v>
      </c>
      <c r="U513" s="354" t="s">
        <v>1029</v>
      </c>
      <c r="V513" s="233" t="str">
        <f>VLOOKUP(Table1[[#This Row],[Country Code]],Table29[],3,FALSE)</f>
        <v>Non-Annex I</v>
      </c>
      <c r="W513" s="233" t="str">
        <f>VLOOKUP(Table1[[#This Row],[Country Code]],Table29[],4,FALSE)</f>
        <v>Latin America and the Caribbean</v>
      </c>
      <c r="X513" s="233" t="str">
        <f>VLOOKUP(Table1[[#This Row],[Country Code]],Table29[],5,FALSE)</f>
        <v>Middle-income</v>
      </c>
      <c r="Y513" s="43"/>
      <c r="Z513" s="43"/>
    </row>
    <row r="514" spans="1:26" s="381" customFormat="1" ht="15" customHeight="1" x14ac:dyDescent="0.25">
      <c r="A514" s="405">
        <v>32516</v>
      </c>
      <c r="B514" s="17" t="s">
        <v>412</v>
      </c>
      <c r="C514" s="206" t="str">
        <f>VLOOKUP(Table1[[#This Row],[Country Code]],Table29[],2,FALSE)</f>
        <v>Sudan</v>
      </c>
      <c r="D514" s="243" t="str">
        <f t="shared" si="18"/>
        <v>Good</v>
      </c>
      <c r="E514" s="20" t="s">
        <v>71</v>
      </c>
      <c r="F514" s="17" t="s">
        <v>528</v>
      </c>
      <c r="G514" s="43" t="str">
        <f t="shared" si="19"/>
        <v>First NDC updated</v>
      </c>
      <c r="H514" s="148" t="s">
        <v>743</v>
      </c>
      <c r="I514" s="163">
        <v>44826</v>
      </c>
      <c r="J514" s="187" t="s">
        <v>505</v>
      </c>
      <c r="K514" s="49" t="str" cm="1">
        <f t="array" ref="K514">IF(ISNUMBER(MATCH("Transport sector mitigation target", _xlfn._xlws.FILTER(Targets!H:H, Targets!A:A =A514), 0)), "yes", "no")</f>
        <v>yes</v>
      </c>
      <c r="L514" s="17" t="str">
        <f>IF(K514="no", "No transport target", IF(AND(COUNTIFS(Targets!A:A, A514, Targets!H:H, "Transport sector mitigation target", Targets!J:J, "GHG") &gt; 0, COUNTIFS(Targets!A:A, A514, Targets!H:H, "Transport sector mitigation target", Targets!J:J, "Non GHG") &gt; 0), "GHG and non-GHG target", IF(COUNTIFS(Targets!A:A, A514, Targets!H:H, "Transport sector mitigation target", Targets!J:J, "GHG") &gt; 0, "GHG target", IF(COUNTIFS(Targets!A:A, A514, Targets!H:H, "Transport sector mitigation target", Targets!J:J, "Non GHG") &gt; 0, "non-GHG target", ""))))</f>
        <v>GHG target</v>
      </c>
      <c r="M514" s="17" t="str">
        <f>IF(K514="no","No transport target",IF(L514="non-GHG target","No GHG transport target",IF(AND(COUNTIFS(Targets!A:A,A514,Targets!H:H,"Transport sector mitigation target",Targets!J:J,"GHG",Targets!L:L,"Conditional")&gt;0,COUNTIFS(Targets!A:A,A514,Targets!H:H,"Transport sector mitigation target",Targets!J:J,"GHG",Targets!L:L,"Unconditional")&gt;0),"GHG unconditional and conditional",IF(COUNTIFS(Targets!A:A,A514,Targets!H:H,"Transport sector mitigation target",Targets!J:J,"GHG",Targets!L:L,"Conditional")&gt;0,"GHG conditional only",IF(COUNTIFS(Targets!A:A,A514,Targets!H:H,"Transport sector mitigation target",Targets!J:J,"GHG",Targets!L:L,"Unconditional")&gt;0,"GHG unconditional only",IF(COUNTIFS(Targets!A:A,A514,Targets!H:H,"Transport sector mitigation target",Targets!J:J,"GHG",Targets!L:L,"Unclear conditionality")&gt;0,"Conditionality unclear",""))))))</f>
        <v>GHG unconditional only</v>
      </c>
      <c r="N514" s="17" t="str" cm="1">
        <f t="array" ref="N514">IF(ISNUMBER(MATCH("Transport sector adaptation target", _xlfn._xlws.FILTER(Targets!H:H, Targets!A:A =A514), 0)), "yes", "no")</f>
        <v>no</v>
      </c>
      <c r="O514" s="17" t="str">
        <f>IF(ISNA(MATCH(A514, Mitigation!A:A, 0)), "no", "yes")</f>
        <v>yes</v>
      </c>
      <c r="P514" s="17" t="str">
        <f>IF(ISNA(MATCH(A514, Adaptation!A:A, 0)), "no", "yes")</f>
        <v>no</v>
      </c>
      <c r="Q514" s="17" t="str">
        <f>IF(ISNA(MATCH(A514, Benefits!A:A, 0)), "no", "yes")</f>
        <v>no</v>
      </c>
      <c r="R514" s="17"/>
      <c r="S514" s="17"/>
      <c r="T514" s="17" t="s">
        <v>501</v>
      </c>
      <c r="U514" s="164" t="s">
        <v>677</v>
      </c>
      <c r="V514" s="207" t="str">
        <f>VLOOKUP(Table1[[#This Row],[Country Code]],Table29[],3,FALSE)</f>
        <v>Non-Annex I</v>
      </c>
      <c r="W514" s="207" t="str">
        <f>VLOOKUP(Table1[[#This Row],[Country Code]],Table29[],4,FALSE)</f>
        <v>Africa</v>
      </c>
      <c r="X514" s="207" t="str">
        <f>VLOOKUP(Table1[[#This Row],[Country Code]],Table29[],5,FALSE)</f>
        <v>Low-income</v>
      </c>
      <c r="Y514" s="17"/>
      <c r="Z514" s="17"/>
    </row>
    <row r="515" spans="1:26" ht="15" customHeight="1" x14ac:dyDescent="0.25">
      <c r="A515" s="405">
        <v>17750</v>
      </c>
      <c r="B515" s="17" t="s">
        <v>416</v>
      </c>
      <c r="C515" s="206" t="str">
        <f>VLOOKUP(Table1[[#This Row],[Country Code]],Table29[],2,FALSE)</f>
        <v>Sweden</v>
      </c>
      <c r="D515" s="243" t="str">
        <f t="shared" si="18"/>
        <v>Good</v>
      </c>
      <c r="E515" s="20" t="s">
        <v>227</v>
      </c>
      <c r="F515" s="17" t="s">
        <v>227</v>
      </c>
      <c r="G515" s="43" t="str">
        <f t="shared" si="19"/>
        <v>LTS</v>
      </c>
      <c r="H515" s="17" t="s">
        <v>636</v>
      </c>
      <c r="I515" s="149">
        <v>44147</v>
      </c>
      <c r="J515" s="187" t="s">
        <v>505</v>
      </c>
      <c r="K515" s="49" t="str" cm="1">
        <f t="array" ref="K515">IF(ISNUMBER(MATCH("Transport sector mitigation target", _xlfn._xlws.FILTER(Targets!H:H, Targets!A:A =A515), 0)), "yes", "no")</f>
        <v>yes</v>
      </c>
      <c r="L515" s="17" t="str">
        <f>IF(K515="no", "No transport target", IF(AND(COUNTIFS(Targets!A:A, A515, Targets!H:H, "Transport sector mitigation target", Targets!J:J, "GHG") &gt; 0, COUNTIFS(Targets!A:A, A515, Targets!H:H, "Transport sector mitigation target", Targets!J:J, "Non GHG") &gt; 0), "GHG and non-GHG target", IF(COUNTIFS(Targets!A:A, A515, Targets!H:H, "Transport sector mitigation target", Targets!J:J, "GHG") &gt; 0, "GHG target", IF(COUNTIFS(Targets!A:A, A515, Targets!H:H, "Transport sector mitigation target", Targets!J:J, "Non GHG") &gt; 0, "non-GHG target", ""))))</f>
        <v>GHG target</v>
      </c>
      <c r="M515" s="17" t="str">
        <f>IF(K515="no","No transport target",IF(L515="non-GHG target","No GHG transport target",IF(AND(COUNTIFS(Targets!A:A,A515,Targets!H:H,"Transport sector mitigation target",Targets!J:J,"GHG",Targets!L:L,"Conditional")&gt;0,COUNTIFS(Targets!A:A,A515,Targets!H:H,"Transport sector mitigation target",Targets!J:J,"GHG",Targets!L:L,"Unconditional")&gt;0),"GHG unconditional and conditional",IF(COUNTIFS(Targets!A:A,A515,Targets!H:H,"Transport sector mitigation target",Targets!J:J,"GHG",Targets!L:L,"Conditional")&gt;0,"GHG conditional only",IF(COUNTIFS(Targets!A:A,A515,Targets!H:H,"Transport sector mitigation target",Targets!J:J,"GHG",Targets!L:L,"Unconditional")&gt;0,"GHG unconditional only",IF(COUNTIFS(Targets!A:A,A515,Targets!H:H,"Transport sector mitigation target",Targets!J:J,"GHG",Targets!L:L,"Unclear conditionality")&gt;0,"Conditionality unclear",""))))))</f>
        <v>GHG unconditional only</v>
      </c>
      <c r="N515" s="17" t="str" cm="1">
        <f t="array" ref="N515">IF(ISNUMBER(MATCH("Transport sector adaptation target", _xlfn._xlws.FILTER(Targets!H:H, Targets!A:A =A515), 0)), "yes", "no")</f>
        <v>no</v>
      </c>
      <c r="O515" s="17" t="str">
        <f>IF(ISNA(MATCH(A515, Mitigation!A:A, 0)), "no", "yes")</f>
        <v>yes</v>
      </c>
      <c r="P515" s="17" t="str">
        <f>IF(ISNA(MATCH(A515, Adaptation!A:A, 0)), "no", "yes")</f>
        <v>no</v>
      </c>
      <c r="Q515" s="17" t="str">
        <f>IF(ISNA(MATCH(A515, Benefits!A:A, 0)), "no", "yes")</f>
        <v>no</v>
      </c>
      <c r="R515" s="17"/>
      <c r="S515" s="17"/>
      <c r="T515" s="17" t="s">
        <v>501</v>
      </c>
      <c r="U515" s="135" t="s">
        <v>1030</v>
      </c>
      <c r="V515" s="207" t="str">
        <f>VLOOKUP(Table1[[#This Row],[Country Code]],Table29[],3,FALSE)</f>
        <v>Annex I</v>
      </c>
      <c r="W515" s="207" t="str">
        <f>VLOOKUP(Table1[[#This Row],[Country Code]],Table29[],4,FALSE)</f>
        <v>Europe</v>
      </c>
      <c r="X515" s="207" t="str">
        <f>VLOOKUP(Table1[[#This Row],[Country Code]],Table29[],5,FALSE)</f>
        <v>High-income</v>
      </c>
      <c r="Y515" s="17"/>
      <c r="Z515" s="17"/>
    </row>
    <row r="516" spans="1:26" s="381" customFormat="1" ht="15" customHeight="1" x14ac:dyDescent="0.25">
      <c r="A516" s="405">
        <v>32521</v>
      </c>
      <c r="B516" s="19" t="s">
        <v>434</v>
      </c>
      <c r="C516" s="206" t="str">
        <f>VLOOKUP(Table1[[#This Row],[Country Code]],Table29[],2,FALSE)</f>
        <v>Tunisia</v>
      </c>
      <c r="D516" s="243" t="str">
        <f t="shared" si="18"/>
        <v>Good</v>
      </c>
      <c r="E516" s="20" t="s">
        <v>227</v>
      </c>
      <c r="F516" s="17" t="s">
        <v>227</v>
      </c>
      <c r="G516" s="43" t="str">
        <f t="shared" si="19"/>
        <v>LTS</v>
      </c>
      <c r="H516" s="148" t="s">
        <v>636</v>
      </c>
      <c r="I516" s="163">
        <v>44866</v>
      </c>
      <c r="J516" s="187" t="s">
        <v>505</v>
      </c>
      <c r="K516" s="49" t="str" cm="1">
        <f t="array" ref="K516">IF(ISNUMBER(MATCH("Transport sector mitigation target", _xlfn._xlws.FILTER(Targets!H:H, Targets!A:A =A516), 0)), "yes", "no")</f>
        <v>no</v>
      </c>
      <c r="L516" s="17" t="str">
        <f>IF(K516="no", "No transport target", IF(AND(COUNTIFS(Targets!A:A, A516, Targets!H:H, "Transport sector mitigation target", Targets!J:J, "GHG") &gt; 0, COUNTIFS(Targets!A:A, A516, Targets!H:H, "Transport sector mitigation target", Targets!J:J, "Non GHG") &gt; 0), "GHG and non-GHG target", IF(COUNTIFS(Targets!A:A, A516, Targets!H:H, "Transport sector mitigation target", Targets!J:J, "GHG") &gt; 0, "GHG target", IF(COUNTIFS(Targets!A:A, A516, Targets!H:H, "Transport sector mitigation target", Targets!J:J, "Non GHG") &gt; 0, "non-GHG target", ""))))</f>
        <v>No transport target</v>
      </c>
      <c r="M516" s="17" t="str">
        <f>IF(K516="no","No transport target",IF(L516="non-GHG target","No GHG transport target",IF(AND(COUNTIFS(Targets!A:A,A516,Targets!H:H,"Transport sector mitigation target",Targets!J:J,"GHG",Targets!L:L,"Conditional")&gt;0,COUNTIFS(Targets!A:A,A516,Targets!H:H,"Transport sector mitigation target",Targets!J:J,"GHG",Targets!L:L,"Unconditional")&gt;0),"GHG unconditional and conditional",IF(COUNTIFS(Targets!A:A,A516,Targets!H:H,"Transport sector mitigation target",Targets!J:J,"GHG",Targets!L:L,"Conditional")&gt;0,"GHG conditional only",IF(COUNTIFS(Targets!A:A,A516,Targets!H:H,"Transport sector mitigation target",Targets!J:J,"GHG",Targets!L:L,"Unconditional")&gt;0,"GHG unconditional only",IF(COUNTIFS(Targets!A:A,A516,Targets!H:H,"Transport sector mitigation target",Targets!J:J,"GHG",Targets!L:L,"Unclear conditionality")&gt;0,"Conditionality unclear",""))))))</f>
        <v>No transport target</v>
      </c>
      <c r="N516" s="17" t="str" cm="1">
        <f t="array" ref="N516">IF(ISNUMBER(MATCH("Transport sector adaptation target", _xlfn._xlws.FILTER(Targets!H:H, Targets!A:A =A516), 0)), "yes", "no")</f>
        <v>no</v>
      </c>
      <c r="O516" s="17" t="str">
        <f>IF(ISNA(MATCH(A516, Mitigation!A:A, 0)), "no", "yes")</f>
        <v>yes</v>
      </c>
      <c r="P516" s="17" t="str">
        <f>IF(ISNA(MATCH(A516, Adaptation!A:A, 0)), "no", "yes")</f>
        <v>no</v>
      </c>
      <c r="Q516" s="17" t="str">
        <f>IF(ISNA(MATCH(A516, Benefits!A:A, 0)), "no", "yes")</f>
        <v>no</v>
      </c>
      <c r="R516" s="17"/>
      <c r="S516" s="17"/>
      <c r="T516" s="17" t="s">
        <v>501</v>
      </c>
      <c r="U516" s="171" t="s">
        <v>1031</v>
      </c>
      <c r="V516" s="207" t="str">
        <f>VLOOKUP(Table1[[#This Row],[Country Code]],Table29[],3,FALSE)</f>
        <v>Non-Annex I</v>
      </c>
      <c r="W516" s="207" t="str">
        <f>VLOOKUP(Table1[[#This Row],[Country Code]],Table29[],4,FALSE)</f>
        <v>Africa</v>
      </c>
      <c r="X516" s="207" t="str">
        <f>VLOOKUP(Table1[[#This Row],[Country Code]],Table29[],5,FALSE)</f>
        <v>Middle-income</v>
      </c>
      <c r="Y516" s="17"/>
      <c r="Z516" s="17"/>
    </row>
    <row r="517" spans="1:26" s="381" customFormat="1" ht="15" customHeight="1" x14ac:dyDescent="0.25">
      <c r="A517" s="360">
        <v>17753</v>
      </c>
      <c r="B517" s="43" t="s">
        <v>418</v>
      </c>
      <c r="C517" s="243" t="str">
        <f>VLOOKUP(Table1[[#This Row],[Country Code]],Table29[],2,FALSE)</f>
        <v>Switzerland</v>
      </c>
      <c r="D517" s="243" t="str">
        <f t="shared" si="18"/>
        <v>Good</v>
      </c>
      <c r="E517" s="176" t="s">
        <v>227</v>
      </c>
      <c r="F517" s="43" t="s">
        <v>227</v>
      </c>
      <c r="G517" s="43" t="str">
        <f t="shared" si="19"/>
        <v>LTS</v>
      </c>
      <c r="H517" s="43" t="s">
        <v>636</v>
      </c>
      <c r="I517" s="351">
        <v>44224</v>
      </c>
      <c r="J517" s="352" t="s">
        <v>505</v>
      </c>
      <c r="K517" s="320" t="str" cm="1">
        <f t="array" ref="K517">IF(ISNUMBER(MATCH("Transport sector mitigation target", _xlfn._xlws.FILTER(Targets!H:H, Targets!A:A =A517), 0)), "yes", "no")</f>
        <v>yes</v>
      </c>
      <c r="L517" s="43" t="str">
        <f>IF(K517="no", "No transport target", IF(AND(COUNTIFS(Targets!A:A, A517, Targets!H:H, "Transport sector mitigation target", Targets!J:J, "GHG") &gt; 0, COUNTIFS(Targets!A:A, A517, Targets!H:H, "Transport sector mitigation target", Targets!J:J, "Non GHG") &gt; 0), "GHG and non-GHG target", IF(COUNTIFS(Targets!A:A, A517, Targets!H:H, "Transport sector mitigation target", Targets!J:J, "GHG") &gt; 0, "GHG target", IF(COUNTIFS(Targets!A:A, A517, Targets!H:H, "Transport sector mitigation target", Targets!J:J, "Non GHG") &gt; 0, "non-GHG target", ""))))</f>
        <v>GHG target</v>
      </c>
      <c r="M517" s="43" t="str">
        <f>IF(K517="no","No transport target",IF(L517="non-GHG target","No GHG transport target",IF(AND(COUNTIFS(Targets!A:A,A517,Targets!H:H,"Transport sector mitigation target",Targets!J:J,"GHG",Targets!L:L,"Conditional")&gt;0,COUNTIFS(Targets!A:A,A517,Targets!H:H,"Transport sector mitigation target",Targets!J:J,"GHG",Targets!L:L,"Unconditional")&gt;0),"GHG unconditional and conditional",IF(COUNTIFS(Targets!A:A,A517,Targets!H:H,"Transport sector mitigation target",Targets!J:J,"GHG",Targets!L:L,"Conditional")&gt;0,"GHG conditional only",IF(COUNTIFS(Targets!A:A,A517,Targets!H:H,"Transport sector mitigation target",Targets!J:J,"GHG",Targets!L:L,"Unconditional")&gt;0,"GHG unconditional only",IF(COUNTIFS(Targets!A:A,A517,Targets!H:H,"Transport sector mitigation target",Targets!J:J,"GHG",Targets!L:L,"Unclear conditionality")&gt;0,"Conditionality unclear",""))))))</f>
        <v>GHG unconditional only</v>
      </c>
      <c r="N517" s="43" t="str" cm="1">
        <f t="array" ref="N517">IF(ISNUMBER(MATCH("Transport sector adaptation target", _xlfn._xlws.FILTER(Targets!H:H, Targets!A:A =A517), 0)), "yes", "no")</f>
        <v>no</v>
      </c>
      <c r="O517" s="43" t="str">
        <f>IF(ISNA(MATCH(A517, Mitigation!A:A, 0)), "no", "yes")</f>
        <v>yes</v>
      </c>
      <c r="P517" s="43" t="str">
        <f>IF(ISNA(MATCH(A517, Adaptation!A:A, 0)), "no", "yes")</f>
        <v>no</v>
      </c>
      <c r="Q517" s="43" t="str">
        <f>IF(ISNA(MATCH(A517, Benefits!A:A, 0)), "no", "yes")</f>
        <v>no</v>
      </c>
      <c r="R517" s="43"/>
      <c r="S517" s="43"/>
      <c r="T517" s="43" t="s">
        <v>501</v>
      </c>
      <c r="U517" s="312" t="s">
        <v>1032</v>
      </c>
      <c r="V517" s="233" t="str">
        <f>VLOOKUP(Table1[[#This Row],[Country Code]],Table29[],3,FALSE)</f>
        <v>Annex I</v>
      </c>
      <c r="W517" s="233" t="str">
        <f>VLOOKUP(Table1[[#This Row],[Country Code]],Table29[],4,FALSE)</f>
        <v>Europe</v>
      </c>
      <c r="X517" s="233" t="str">
        <f>VLOOKUP(Table1[[#This Row],[Country Code]],Table29[],5,FALSE)</f>
        <v>High-income</v>
      </c>
      <c r="Y517" s="43"/>
      <c r="Z517" s="43"/>
    </row>
    <row r="518" spans="1:26" s="381" customFormat="1" ht="15" customHeight="1" x14ac:dyDescent="0.25">
      <c r="A518" s="360">
        <v>41744</v>
      </c>
      <c r="B518" s="209" t="s">
        <v>280</v>
      </c>
      <c r="C518" s="243" t="str">
        <f>VLOOKUP(Table1[[#This Row],[Country Code]],Table29[],2,FALSE)</f>
        <v>Madagascar</v>
      </c>
      <c r="D518" s="243" t="str">
        <f t="shared" si="18"/>
        <v>Good</v>
      </c>
      <c r="E518" s="176" t="s">
        <v>71</v>
      </c>
      <c r="F518" s="42" t="s">
        <v>555</v>
      </c>
      <c r="G518" s="43" t="str">
        <f t="shared" si="19"/>
        <v>Second NDC</v>
      </c>
      <c r="H518" s="42" t="s">
        <v>714</v>
      </c>
      <c r="I518" s="351">
        <v>45320</v>
      </c>
      <c r="J518" s="352" t="s">
        <v>505</v>
      </c>
      <c r="K518" s="320" t="str" cm="1">
        <f t="array" ref="K518">IF(ISNUMBER(MATCH("Transport sector mitigation target", _xlfn._xlws.FILTER(Targets!H:H, Targets!A:A =A518), 0)), "yes", "no")</f>
        <v>no</v>
      </c>
      <c r="L518" s="42" t="str">
        <f>IF(K518="no", "No transport target", IF(AND(COUNTIFS(Targets!A:A, A518, Targets!H:H, "Transport sector mitigation target", Targets!J:J, "GHG") &gt; 0, COUNTIFS(Targets!A:A, A518, Targets!H:H, "Transport sector mitigation target", Targets!J:J, "Non GHG") &gt; 0), "GHG and non-GHG target", IF(COUNTIFS(Targets!A:A, A518, Targets!H:H, "Transport sector mitigation target", Targets!J:J, "GHG") &gt; 0, "GHG target", IF(COUNTIFS(Targets!A:A, A518, Targets!H:H, "Transport sector mitigation target", Targets!J:J, "Non GHG") &gt; 0, "non-GHG target", ""))))</f>
        <v>No transport target</v>
      </c>
      <c r="M518" s="42" t="str">
        <f>IF(K518="no","No transport target",IF(L518="non-GHG target","No GHG transport target",IF(AND(COUNTIFS(Targets!A:A,A518,Targets!H:H,"Transport sector mitigation target",Targets!J:J,"GHG",Targets!L:L,"Conditional")&gt;0,COUNTIFS(Targets!A:A,A518,Targets!H:H,"Transport sector mitigation target",Targets!J:J,"GHG",Targets!L:L,"Unconditional")&gt;0),"GHG unconditional and conditional",IF(COUNTIFS(Targets!A:A,A518,Targets!H:H,"Transport sector mitigation target",Targets!J:J,"GHG",Targets!L:L,"Conditional")&gt;0,"GHG conditional only",IF(COUNTIFS(Targets!A:A,A518,Targets!H:H,"Transport sector mitigation target",Targets!J:J,"GHG",Targets!L:L,"Unconditional")&gt;0,"GHG unconditional only",IF(COUNTIFS(Targets!A:A,A518,Targets!H:H,"Transport sector mitigation target",Targets!J:J,"GHG",Targets!L:L,"Unclear conditionality")&gt;0,"Conditionality unclear",""))))))</f>
        <v>No transport target</v>
      </c>
      <c r="N518" s="42" t="str" cm="1">
        <f t="array" ref="N518">IF(ISNUMBER(MATCH("Transport sector adaptation target", _xlfn._xlws.FILTER(Targets!H:H, Targets!A:A =A518), 0)), "yes", "no")</f>
        <v>no</v>
      </c>
      <c r="O518" s="42" t="str">
        <f>IF(ISNA(MATCH(A518, Mitigation!A:A, 0)), "no", "yes")</f>
        <v>yes</v>
      </c>
      <c r="P518" s="42" t="str">
        <f>IF(ISNA(MATCH(A518, Adaptation!A:A, 0)), "no", "yes")</f>
        <v>yes</v>
      </c>
      <c r="Q518" s="42" t="str">
        <f>IF(ISNA(MATCH(A518, Benefits!A:A, 0)), "no", "yes")</f>
        <v>no</v>
      </c>
      <c r="R518" s="43"/>
      <c r="S518" s="43"/>
      <c r="T518" s="43" t="s">
        <v>501</v>
      </c>
      <c r="U518" s="354" t="s">
        <v>1033</v>
      </c>
      <c r="V518" s="233" t="str">
        <f>VLOOKUP(Table1[[#This Row],[Country Code]],Table29[],3,FALSE)</f>
        <v>Non-Annex I</v>
      </c>
      <c r="W518" s="233" t="str">
        <f>VLOOKUP(Table1[[#This Row],[Country Code]],Table29[],4,FALSE)</f>
        <v>Africa</v>
      </c>
      <c r="X518" s="233" t="str">
        <f>VLOOKUP(Table1[[#This Row],[Country Code]],Table29[],5,FALSE)</f>
        <v>Low-income</v>
      </c>
      <c r="Y518" s="43"/>
      <c r="Z518" s="43"/>
    </row>
    <row r="519" spans="1:26" s="381" customFormat="1" ht="15" customHeight="1" x14ac:dyDescent="0.25">
      <c r="A519" s="405">
        <v>43920</v>
      </c>
      <c r="B519" s="20" t="s">
        <v>268</v>
      </c>
      <c r="C519" s="207" t="str">
        <f>VLOOKUP(Table1[[#This Row],[Country Code]],Table29[],2,FALSE)</f>
        <v>Lesotho</v>
      </c>
      <c r="D519" s="206" t="str">
        <f t="shared" si="18"/>
        <v>Good</v>
      </c>
      <c r="E519" s="20" t="s">
        <v>71</v>
      </c>
      <c r="F519" s="17" t="s">
        <v>694</v>
      </c>
      <c r="G519" s="17" t="str">
        <f t="shared" si="19"/>
        <v>Third NDC</v>
      </c>
      <c r="H519" s="148" t="s">
        <v>695</v>
      </c>
      <c r="I519" s="163">
        <v>45693</v>
      </c>
      <c r="J519" s="187" t="s">
        <v>505</v>
      </c>
      <c r="K519" s="49" t="str" cm="1">
        <f t="array" ref="K519">IF(ISNUMBER(MATCH("Transport sector mitigation target", _xlfn._xlws.FILTER(Targets!H:H, Targets!A:A =A519), 0)), "yes", "no")</f>
        <v>yes</v>
      </c>
      <c r="L519" s="17" t="str">
        <f>IF(K519="no", "No transport target", IF(AND(COUNTIFS(Targets!A:A, A519, Targets!H:H, "Transport sector mitigation target", Targets!J:J, "GHG") &gt; 0, COUNTIFS(Targets!A:A, A519, Targets!H:H, "Transport sector mitigation target", Targets!J:J, "Non GHG") &gt; 0), "GHG and non-GHG target", IF(COUNTIFS(Targets!A:A, A519, Targets!H:H, "Transport sector mitigation target", Targets!J:J, "GHG") &gt; 0, "GHG target", IF(COUNTIFS(Targets!A:A, A519, Targets!H:H, "Transport sector mitigation target", Targets!J:J, "Non GHG") &gt; 0, "non-GHG target", ""))))</f>
        <v>non-GHG target</v>
      </c>
      <c r="M519" s="17" t="str">
        <f>IF(K519="no","No transport target",IF(L519="non-GHG target","No GHG transport target",IF(AND(COUNTIFS(Targets!A:A,A519,Targets!H:H,"Transport sector mitigation target",Targets!J:J,"GHG",Targets!L:L,"Conditional")&gt;0,COUNTIFS(Targets!A:A,A519,Targets!H:H,"Transport sector mitigation target",Targets!J:J,"GHG",Targets!L:L,"Unconditional")&gt;0),"GHG unconditional and conditional",IF(COUNTIFS(Targets!A:A,A519,Targets!H:H,"Transport sector mitigation target",Targets!J:J,"GHG",Targets!L:L,"Conditional")&gt;0,"GHG conditional only",IF(COUNTIFS(Targets!A:A,A519,Targets!H:H,"Transport sector mitigation target",Targets!J:J,"GHG",Targets!L:L,"Unconditional")&gt;0,"GHG unconditional only",IF(COUNTIFS(Targets!A:A,A519,Targets!H:H,"Transport sector mitigation target",Targets!J:J,"GHG",Targets!L:L,"Unclear conditionality")&gt;0,"Conditionality unclear",""))))))</f>
        <v>No GHG transport target</v>
      </c>
      <c r="N519" s="17" t="str" cm="1">
        <f t="array" ref="N519">IF(ISNUMBER(MATCH("Transport sector adaptation target", _xlfn._xlws.FILTER(Targets!H:H, Targets!A:A =A519), 0)), "yes", "no")</f>
        <v>no</v>
      </c>
      <c r="O519" s="17" t="str">
        <f>IF(ISNA(MATCH(A519, Mitigation!A:A, 0)), "no", "yes")</f>
        <v>yes</v>
      </c>
      <c r="P519" s="17" t="str">
        <f>IF(ISNA(MATCH(A519, Adaptation!A:A, 0)), "no", "yes")</f>
        <v>yes</v>
      </c>
      <c r="Q519" s="17" t="str">
        <f>IF(ISNA(MATCH(A519, Benefits!A:A, 0)), "no", "yes")</f>
        <v>yes</v>
      </c>
      <c r="R519" s="17"/>
      <c r="S519" s="148"/>
      <c r="T519" s="17"/>
      <c r="U519" s="148" t="s">
        <v>1034</v>
      </c>
      <c r="V519" s="207" t="str">
        <f>VLOOKUP(Table1[[#This Row],[Country Code]],Table29[],3,FALSE)</f>
        <v>Non-Annex I</v>
      </c>
      <c r="W519" s="207" t="str">
        <f>VLOOKUP(Table1[[#This Row],[Country Code]],Table29[],4,FALSE)</f>
        <v>Africa</v>
      </c>
      <c r="X519" s="233" t="str">
        <f>VLOOKUP(Table1[[#This Row],[Country Code]],Table29[],5,FALSE)</f>
        <v>Middle-income</v>
      </c>
      <c r="Y519" s="17" t="s">
        <v>1035</v>
      </c>
      <c r="Z519" s="17"/>
    </row>
    <row r="520" spans="1:26" s="381" customFormat="1" ht="15" customHeight="1" x14ac:dyDescent="0.25">
      <c r="A520" s="405">
        <v>17771</v>
      </c>
      <c r="B520" s="17" t="s">
        <v>444</v>
      </c>
      <c r="C520" s="206" t="str">
        <f>VLOOKUP(Table1[[#This Row],[Country Code]],Table29[],2,FALSE)</f>
        <v>Ukraine</v>
      </c>
      <c r="D520" s="243" t="str">
        <f t="shared" si="18"/>
        <v>Good</v>
      </c>
      <c r="E520" s="20" t="s">
        <v>227</v>
      </c>
      <c r="F520" s="17" t="s">
        <v>227</v>
      </c>
      <c r="G520" s="43" t="str">
        <f t="shared" si="19"/>
        <v>LTS</v>
      </c>
      <c r="H520" s="17" t="s">
        <v>636</v>
      </c>
      <c r="I520" s="149">
        <v>43311</v>
      </c>
      <c r="J520" s="187" t="s">
        <v>505</v>
      </c>
      <c r="K520" s="49" t="str" cm="1">
        <f t="array" ref="K520">IF(ISNUMBER(MATCH("Transport sector mitigation target", _xlfn._xlws.FILTER(Targets!H:H, Targets!A:A =A520), 0)), "yes", "no")</f>
        <v>no</v>
      </c>
      <c r="L520" s="17" t="str">
        <f>IF(K520="no", "No transport target", IF(AND(COUNTIFS(Targets!A:A, A520, Targets!H:H, "Transport sector mitigation target", Targets!J:J, "GHG") &gt; 0, COUNTIFS(Targets!A:A, A520, Targets!H:H, "Transport sector mitigation target", Targets!J:J, "Non GHG") &gt; 0), "GHG and non-GHG target", IF(COUNTIFS(Targets!A:A, A520, Targets!H:H, "Transport sector mitigation target", Targets!J:J, "GHG") &gt; 0, "GHG target", IF(COUNTIFS(Targets!A:A, A520, Targets!H:H, "Transport sector mitigation target", Targets!J:J, "Non GHG") &gt; 0, "non-GHG target", ""))))</f>
        <v>No transport target</v>
      </c>
      <c r="M520" s="17" t="str">
        <f>IF(K520="no","No transport target",IF(L520="non-GHG target","No GHG transport target",IF(AND(COUNTIFS(Targets!A:A,A520,Targets!H:H,"Transport sector mitigation target",Targets!J:J,"GHG",Targets!L:L,"Conditional")&gt;0,COUNTIFS(Targets!A:A,A520,Targets!H:H,"Transport sector mitigation target",Targets!J:J,"GHG",Targets!L:L,"Unconditional")&gt;0),"GHG unconditional and conditional",IF(COUNTIFS(Targets!A:A,A520,Targets!H:H,"Transport sector mitigation target",Targets!J:J,"GHG",Targets!L:L,"Conditional")&gt;0,"GHG conditional only",IF(COUNTIFS(Targets!A:A,A520,Targets!H:H,"Transport sector mitigation target",Targets!J:J,"GHG",Targets!L:L,"Unconditional")&gt;0,"GHG unconditional only",IF(COUNTIFS(Targets!A:A,A520,Targets!H:H,"Transport sector mitigation target",Targets!J:J,"GHG",Targets!L:L,"Unclear conditionality")&gt;0,"Conditionality unclear",""))))))</f>
        <v>No transport target</v>
      </c>
      <c r="N520" s="17" t="str" cm="1">
        <f t="array" ref="N520">IF(ISNUMBER(MATCH("Transport sector adaptation target", _xlfn._xlws.FILTER(Targets!H:H, Targets!A:A =A520), 0)), "yes", "no")</f>
        <v>no</v>
      </c>
      <c r="O520" s="17" t="str">
        <f>IF(ISNA(MATCH(A520, Mitigation!A:A, 0)), "no", "yes")</f>
        <v>yes</v>
      </c>
      <c r="P520" s="17" t="str">
        <f>IF(ISNA(MATCH(A520, Adaptation!A:A, 0)), "no", "yes")</f>
        <v>no</v>
      </c>
      <c r="Q520" s="17" t="str">
        <f>IF(ISNA(MATCH(A520, Benefits!A:A, 0)), "no", "yes")</f>
        <v>no</v>
      </c>
      <c r="R520" s="17"/>
      <c r="S520" s="17"/>
      <c r="T520" s="17" t="s">
        <v>501</v>
      </c>
      <c r="U520" s="135" t="s">
        <v>1036</v>
      </c>
      <c r="V520" s="207" t="str">
        <f>VLOOKUP(Table1[[#This Row],[Country Code]],Table29[],3,FALSE)</f>
        <v>Annex I</v>
      </c>
      <c r="W520" s="207" t="str">
        <f>VLOOKUP(Table1[[#This Row],[Country Code]],Table29[],4,FALSE)</f>
        <v>Europe</v>
      </c>
      <c r="X520" s="207" t="str">
        <f>VLOOKUP(Table1[[#This Row],[Country Code]],Table29[],5,FALSE)</f>
        <v>Middle-income</v>
      </c>
      <c r="Y520" s="17"/>
      <c r="Z520" s="17"/>
    </row>
    <row r="521" spans="1:26" s="381" customFormat="1" ht="15" customHeight="1" x14ac:dyDescent="0.25">
      <c r="A521" s="405">
        <v>32518</v>
      </c>
      <c r="B521" s="19" t="s">
        <v>424</v>
      </c>
      <c r="C521" s="206" t="str">
        <f>VLOOKUP(Table1[[#This Row],[Country Code]],Table29[],2,FALSE)</f>
        <v>Thailand</v>
      </c>
      <c r="D521" s="243" t="str">
        <f t="shared" si="18"/>
        <v>Good</v>
      </c>
      <c r="E521" s="20" t="s">
        <v>227</v>
      </c>
      <c r="F521" s="17" t="s">
        <v>227</v>
      </c>
      <c r="G521" s="43" t="str">
        <f t="shared" si="19"/>
        <v>LTS</v>
      </c>
      <c r="H521" s="148" t="s">
        <v>722</v>
      </c>
      <c r="I521" s="163">
        <v>44872</v>
      </c>
      <c r="J521" s="187" t="s">
        <v>505</v>
      </c>
      <c r="K521" s="49" t="str" cm="1">
        <f t="array" ref="K521">IF(ISNUMBER(MATCH("Transport sector mitigation target", _xlfn._xlws.FILTER(Targets!H:H, Targets!A:A =A521), 0)), "yes", "no")</f>
        <v>yes</v>
      </c>
      <c r="L521" s="17" t="str">
        <f>IF(K521="no", "No transport target", IF(AND(COUNTIFS(Targets!A:A, A521, Targets!H:H, "Transport sector mitigation target", Targets!J:J, "GHG") &gt; 0, COUNTIFS(Targets!A:A, A521, Targets!H:H, "Transport sector mitigation target", Targets!J:J, "Non GHG") &gt; 0), "GHG and non-GHG target", IF(COUNTIFS(Targets!A:A, A521, Targets!H:H, "Transport sector mitigation target", Targets!J:J, "GHG") &gt; 0, "GHG target", IF(COUNTIFS(Targets!A:A, A521, Targets!H:H, "Transport sector mitigation target", Targets!J:J, "Non GHG") &gt; 0, "non-GHG target", ""))))</f>
        <v>non-GHG target</v>
      </c>
      <c r="M521" s="17" t="str">
        <f>IF(K521="no","No transport target",IF(L521="non-GHG target","No GHG transport target",IF(AND(COUNTIFS(Targets!A:A,A521,Targets!H:H,"Transport sector mitigation target",Targets!J:J,"GHG",Targets!L:L,"Conditional")&gt;0,COUNTIFS(Targets!A:A,A521,Targets!H:H,"Transport sector mitigation target",Targets!J:J,"GHG",Targets!L:L,"Unconditional")&gt;0),"GHG unconditional and conditional",IF(COUNTIFS(Targets!A:A,A521,Targets!H:H,"Transport sector mitigation target",Targets!J:J,"GHG",Targets!L:L,"Conditional")&gt;0,"GHG conditional only",IF(COUNTIFS(Targets!A:A,A521,Targets!H:H,"Transport sector mitigation target",Targets!J:J,"GHG",Targets!L:L,"Unconditional")&gt;0,"GHG unconditional only",IF(COUNTIFS(Targets!A:A,A521,Targets!H:H,"Transport sector mitigation target",Targets!J:J,"GHG",Targets!L:L,"Unclear conditionality")&gt;0,"Conditionality unclear",""))))))</f>
        <v>No GHG transport target</v>
      </c>
      <c r="N521" s="17" t="str" cm="1">
        <f t="array" ref="N521">IF(ISNUMBER(MATCH("Transport sector adaptation target", _xlfn._xlws.FILTER(Targets!H:H, Targets!A:A =A521), 0)), "yes", "no")</f>
        <v>no</v>
      </c>
      <c r="O521" s="17" t="str">
        <f>IF(ISNA(MATCH(A521, Mitigation!A:A, 0)), "no", "yes")</f>
        <v>yes</v>
      </c>
      <c r="P521" s="17" t="str">
        <f>IF(ISNA(MATCH(A521, Adaptation!A:A, 0)), "no", "yes")</f>
        <v>no</v>
      </c>
      <c r="Q521" s="17" t="str">
        <f>IF(ISNA(MATCH(A521, Benefits!A:A, 0)), "no", "yes")</f>
        <v>no</v>
      </c>
      <c r="R521" s="17"/>
      <c r="S521" s="17"/>
      <c r="T521" s="17" t="s">
        <v>501</v>
      </c>
      <c r="U521" s="171" t="s">
        <v>1037</v>
      </c>
      <c r="V521" s="207" t="str">
        <f>VLOOKUP(Table1[[#This Row],[Country Code]],Table29[],3,FALSE)</f>
        <v>Non-Annex I</v>
      </c>
      <c r="W521" s="207" t="str">
        <f>VLOOKUP(Table1[[#This Row],[Country Code]],Table29[],4,FALSE)</f>
        <v>Asia</v>
      </c>
      <c r="X521" s="207" t="str">
        <f>VLOOKUP(Table1[[#This Row],[Country Code]],Table29[],5,FALSE)</f>
        <v>Middle-income</v>
      </c>
      <c r="Y521" s="17"/>
      <c r="Z521" s="17"/>
    </row>
    <row r="522" spans="1:26" ht="15" customHeight="1" x14ac:dyDescent="0.25">
      <c r="A522" s="405">
        <v>23386</v>
      </c>
      <c r="B522" s="19" t="s">
        <v>428</v>
      </c>
      <c r="C522" s="206" t="str">
        <f>VLOOKUP(Table1[[#This Row],[Country Code]],Table29[],2,FALSE)</f>
        <v>Togo</v>
      </c>
      <c r="D522" s="243" t="str">
        <f t="shared" si="18"/>
        <v>Good</v>
      </c>
      <c r="E522" s="20" t="s">
        <v>71</v>
      </c>
      <c r="F522" s="17" t="s">
        <v>528</v>
      </c>
      <c r="G522" s="43" t="str">
        <f t="shared" si="19"/>
        <v>First NDC updated</v>
      </c>
      <c r="H522" s="17" t="s">
        <v>691</v>
      </c>
      <c r="I522" s="149">
        <v>44481</v>
      </c>
      <c r="J522" s="187" t="s">
        <v>505</v>
      </c>
      <c r="K522" s="49" t="str" cm="1">
        <f t="array" ref="K522">IF(ISNUMBER(MATCH("Transport sector mitigation target", _xlfn._xlws.FILTER(Targets!H:H, Targets!A:A =A522), 0)), "yes", "no")</f>
        <v>yes</v>
      </c>
      <c r="L522" s="17" t="str">
        <f>IF(K522="no", "No transport target", IF(AND(COUNTIFS(Targets!A:A, A522, Targets!H:H, "Transport sector mitigation target", Targets!J:J, "GHG") &gt; 0, COUNTIFS(Targets!A:A, A522, Targets!H:H, "Transport sector mitigation target", Targets!J:J, "Non GHG") &gt; 0), "GHG and non-GHG target", IF(COUNTIFS(Targets!A:A, A522, Targets!H:H, "Transport sector mitigation target", Targets!J:J, "GHG") &gt; 0, "GHG target", IF(COUNTIFS(Targets!A:A, A522, Targets!H:H, "Transport sector mitigation target", Targets!J:J, "Non GHG") &gt; 0, "non-GHG target", ""))))</f>
        <v>non-GHG target</v>
      </c>
      <c r="M522" s="17" t="str">
        <f>IF(K522="no","No transport target",IF(L522="non-GHG target","No GHG transport target",IF(AND(COUNTIFS(Targets!A:A,A522,Targets!H:H,"Transport sector mitigation target",Targets!J:J,"GHG",Targets!L:L,"Conditional")&gt;0,COUNTIFS(Targets!A:A,A522,Targets!H:H,"Transport sector mitigation target",Targets!J:J,"GHG",Targets!L:L,"Unconditional")&gt;0),"GHG unconditional and conditional",IF(COUNTIFS(Targets!A:A,A522,Targets!H:H,"Transport sector mitigation target",Targets!J:J,"GHG",Targets!L:L,"Conditional")&gt;0,"GHG conditional only",IF(COUNTIFS(Targets!A:A,A522,Targets!H:H,"Transport sector mitigation target",Targets!J:J,"GHG",Targets!L:L,"Unconditional")&gt;0,"GHG unconditional only",IF(COUNTIFS(Targets!A:A,A522,Targets!H:H,"Transport sector mitigation target",Targets!J:J,"GHG",Targets!L:L,"Unclear conditionality")&gt;0,"Conditionality unclear",""))))))</f>
        <v>No GHG transport target</v>
      </c>
      <c r="N522" s="17" t="str" cm="1">
        <f t="array" ref="N522">IF(ISNUMBER(MATCH("Transport sector adaptation target", _xlfn._xlws.FILTER(Targets!H:H, Targets!A:A =A522), 0)), "yes", "no")</f>
        <v>no</v>
      </c>
      <c r="O522" s="17" t="str">
        <f>IF(ISNA(MATCH(A522, Mitigation!A:A, 0)), "no", "yes")</f>
        <v>yes</v>
      </c>
      <c r="P522" s="17" t="str">
        <f>IF(ISNA(MATCH(A522, Adaptation!A:A, 0)), "no", "yes")</f>
        <v>no</v>
      </c>
      <c r="Q522" s="17" t="str">
        <f>IF(ISNA(MATCH(A522, Benefits!A:A, 0)), "no", "yes")</f>
        <v>yes</v>
      </c>
      <c r="R522" s="17"/>
      <c r="S522" s="17"/>
      <c r="T522" s="17" t="s">
        <v>501</v>
      </c>
      <c r="U522" s="135" t="s">
        <v>1038</v>
      </c>
      <c r="V522" s="207" t="str">
        <f>VLOOKUP(Table1[[#This Row],[Country Code]],Table29[],3,FALSE)</f>
        <v>Non-Annex I</v>
      </c>
      <c r="W522" s="207" t="str">
        <f>VLOOKUP(Table1[[#This Row],[Country Code]],Table29[],4,FALSE)</f>
        <v>Africa</v>
      </c>
      <c r="X522" s="207" t="str">
        <f>VLOOKUP(Table1[[#This Row],[Country Code]],Table29[],5,FALSE)</f>
        <v>Low-income</v>
      </c>
      <c r="Y522" s="17"/>
      <c r="Z522" s="17"/>
    </row>
    <row r="523" spans="1:26" ht="15" customHeight="1" x14ac:dyDescent="0.25">
      <c r="A523" s="405">
        <v>17762</v>
      </c>
      <c r="B523" s="17" t="s">
        <v>430</v>
      </c>
      <c r="C523" s="206" t="str">
        <f>VLOOKUP(Table1[[#This Row],[Country Code]],Table29[],2,FALSE)</f>
        <v>Tonga</v>
      </c>
      <c r="D523" s="243" t="str">
        <f t="shared" si="18"/>
        <v>Good</v>
      </c>
      <c r="E523" s="20" t="s">
        <v>71</v>
      </c>
      <c r="F523" s="17" t="s">
        <v>555</v>
      </c>
      <c r="G523" s="43" t="str">
        <f t="shared" si="19"/>
        <v>Second NDC</v>
      </c>
      <c r="H523" s="17" t="s">
        <v>714</v>
      </c>
      <c r="I523" s="149">
        <v>44086</v>
      </c>
      <c r="J523" s="187" t="s">
        <v>505</v>
      </c>
      <c r="K523" s="49" t="str" cm="1">
        <f t="array" ref="K523">IF(ISNUMBER(MATCH("Transport sector mitigation target", _xlfn._xlws.FILTER(Targets!H:H, Targets!A:A =A523), 0)), "yes", "no")</f>
        <v>yes</v>
      </c>
      <c r="L523" s="17" t="str">
        <f>IF(K523="no", "No transport target", IF(AND(COUNTIFS(Targets!A:A, A523, Targets!H:H, "Transport sector mitigation target", Targets!J:J, "GHG") &gt; 0, COUNTIFS(Targets!A:A, A523, Targets!H:H, "Transport sector mitigation target", Targets!J:J, "Non GHG") &gt; 0), "GHG and non-GHG target", IF(COUNTIFS(Targets!A:A, A523, Targets!H:H, "Transport sector mitigation target", Targets!J:J, "GHG") &gt; 0, "GHG target", IF(COUNTIFS(Targets!A:A, A523, Targets!H:H, "Transport sector mitigation target", Targets!J:J, "Non GHG") &gt; 0, "non-GHG target", ""))))</f>
        <v>GHG target</v>
      </c>
      <c r="M523" s="17" t="str">
        <f>IF(K523="no","No transport target",IF(L523="non-GHG target","No GHG transport target",IF(AND(COUNTIFS(Targets!A:A,A523,Targets!H:H,"Transport sector mitigation target",Targets!J:J,"GHG",Targets!L:L,"Conditional")&gt;0,COUNTIFS(Targets!A:A,A523,Targets!H:H,"Transport sector mitigation target",Targets!J:J,"GHG",Targets!L:L,"Unconditional")&gt;0),"GHG unconditional and conditional",IF(COUNTIFS(Targets!A:A,A523,Targets!H:H,"Transport sector mitigation target",Targets!J:J,"GHG",Targets!L:L,"Conditional")&gt;0,"GHG conditional only",IF(COUNTIFS(Targets!A:A,A523,Targets!H:H,"Transport sector mitigation target",Targets!J:J,"GHG",Targets!L:L,"Unconditional")&gt;0,"GHG unconditional only",IF(COUNTIFS(Targets!A:A,A523,Targets!H:H,"Transport sector mitigation target",Targets!J:J,"GHG",Targets!L:L,"Unclear conditionality")&gt;0,"Conditionality unclear",""))))))</f>
        <v>GHG unconditional only</v>
      </c>
      <c r="N523" s="17" t="str" cm="1">
        <f t="array" ref="N523">IF(ISNUMBER(MATCH("Transport sector adaptation target", _xlfn._xlws.FILTER(Targets!H:H, Targets!A:A =A523), 0)), "yes", "no")</f>
        <v>no</v>
      </c>
      <c r="O523" s="17" t="str">
        <f>IF(ISNA(MATCH(A523, Mitigation!A:A, 0)), "no", "yes")</f>
        <v>yes</v>
      </c>
      <c r="P523" s="17" t="str">
        <f>IF(ISNA(MATCH(A523, Adaptation!A:A, 0)), "no", "yes")</f>
        <v>no</v>
      </c>
      <c r="Q523" s="17" t="str">
        <f>IF(ISNA(MATCH(A523, Benefits!A:A, 0)), "no", "yes")</f>
        <v>no</v>
      </c>
      <c r="R523" s="17"/>
      <c r="S523" s="17"/>
      <c r="T523" s="17" t="s">
        <v>501</v>
      </c>
      <c r="U523" s="135" t="s">
        <v>1039</v>
      </c>
      <c r="V523" s="207" t="str">
        <f>VLOOKUP(Table1[[#This Row],[Country Code]],Table29[],3,FALSE)</f>
        <v>Non-Annex I</v>
      </c>
      <c r="W523" s="207" t="str">
        <f>VLOOKUP(Table1[[#This Row],[Country Code]],Table29[],4,FALSE)</f>
        <v>Oceania</v>
      </c>
      <c r="X523" s="207" t="str">
        <f>VLOOKUP(Table1[[#This Row],[Country Code]],Table29[],5,FALSE)</f>
        <v>Middle-income</v>
      </c>
      <c r="Y523" s="17"/>
      <c r="Z523" s="17"/>
    </row>
    <row r="524" spans="1:26" ht="15" customHeight="1" x14ac:dyDescent="0.25">
      <c r="A524" s="405">
        <v>26791</v>
      </c>
      <c r="B524" s="17" t="s">
        <v>430</v>
      </c>
      <c r="C524" s="206" t="str">
        <f>VLOOKUP(Table1[[#This Row],[Country Code]],Table29[],2,FALSE)</f>
        <v>Tonga</v>
      </c>
      <c r="D524" s="243" t="str">
        <f t="shared" si="18"/>
        <v>Good</v>
      </c>
      <c r="E524" s="20" t="s">
        <v>227</v>
      </c>
      <c r="F524" s="17" t="s">
        <v>227</v>
      </c>
      <c r="G524" s="43" t="str">
        <f t="shared" si="19"/>
        <v>LTS</v>
      </c>
      <c r="H524" s="17" t="s">
        <v>636</v>
      </c>
      <c r="I524" s="149">
        <v>44511</v>
      </c>
      <c r="J524" s="187" t="s">
        <v>505</v>
      </c>
      <c r="K524" s="49" t="str" cm="1">
        <f t="array" ref="K524">IF(ISNUMBER(MATCH("Transport sector mitigation target", _xlfn._xlws.FILTER(Targets!H:H, Targets!A:A =A524), 0)), "yes", "no")</f>
        <v>yes</v>
      </c>
      <c r="L524" s="17" t="str">
        <f>IF(K524="no", "No transport target", IF(AND(COUNTIFS(Targets!A:A, A524, Targets!H:H, "Transport sector mitigation target", Targets!J:J, "GHG") &gt; 0, COUNTIFS(Targets!A:A, A524, Targets!H:H, "Transport sector mitigation target", Targets!J:J, "Non GHG") &gt; 0), "GHG and non-GHG target", IF(COUNTIFS(Targets!A:A, A524, Targets!H:H, "Transport sector mitigation target", Targets!J:J, "GHG") &gt; 0, "GHG target", IF(COUNTIFS(Targets!A:A, A524, Targets!H:H, "Transport sector mitigation target", Targets!J:J, "Non GHG") &gt; 0, "non-GHG target", ""))))</f>
        <v>non-GHG target</v>
      </c>
      <c r="M524" s="17" t="str">
        <f>IF(K524="no","No transport target",IF(L524="non-GHG target","No GHG transport target",IF(AND(COUNTIFS(Targets!A:A,A524,Targets!H:H,"Transport sector mitigation target",Targets!J:J,"GHG",Targets!L:L,"Conditional")&gt;0,COUNTIFS(Targets!A:A,A524,Targets!H:H,"Transport sector mitigation target",Targets!J:J,"GHG",Targets!L:L,"Unconditional")&gt;0),"GHG unconditional and conditional",IF(COUNTIFS(Targets!A:A,A524,Targets!H:H,"Transport sector mitigation target",Targets!J:J,"GHG",Targets!L:L,"Conditional")&gt;0,"GHG conditional only",IF(COUNTIFS(Targets!A:A,A524,Targets!H:H,"Transport sector mitigation target",Targets!J:J,"GHG",Targets!L:L,"Unconditional")&gt;0,"GHG unconditional only",IF(COUNTIFS(Targets!A:A,A524,Targets!H:H,"Transport sector mitigation target",Targets!J:J,"GHG",Targets!L:L,"Unclear conditionality")&gt;0,"Conditionality unclear",""))))))</f>
        <v>No GHG transport target</v>
      </c>
      <c r="N524" s="17" t="str" cm="1">
        <f t="array" ref="N524">IF(ISNUMBER(MATCH("Transport sector adaptation target", _xlfn._xlws.FILTER(Targets!H:H, Targets!A:A =A524), 0)), "yes", "no")</f>
        <v>no</v>
      </c>
      <c r="O524" s="17" t="str">
        <f>IF(ISNA(MATCH(A524, Mitigation!A:A, 0)), "no", "yes")</f>
        <v>yes</v>
      </c>
      <c r="P524" s="17" t="str">
        <f>IF(ISNA(MATCH(A524, Adaptation!A:A, 0)), "no", "yes")</f>
        <v>yes</v>
      </c>
      <c r="Q524" s="17" t="str">
        <f>IF(ISNA(MATCH(A524, Benefits!A:A, 0)), "no", "yes")</f>
        <v>yes</v>
      </c>
      <c r="R524" s="17"/>
      <c r="S524" s="17"/>
      <c r="T524" s="17" t="s">
        <v>501</v>
      </c>
      <c r="U524" s="135" t="s">
        <v>1040</v>
      </c>
      <c r="V524" s="207" t="str">
        <f>VLOOKUP(Table1[[#This Row],[Country Code]],Table29[],3,FALSE)</f>
        <v>Non-Annex I</v>
      </c>
      <c r="W524" s="207" t="str">
        <f>VLOOKUP(Table1[[#This Row],[Country Code]],Table29[],4,FALSE)</f>
        <v>Oceania</v>
      </c>
      <c r="X524" s="207" t="str">
        <f>VLOOKUP(Table1[[#This Row],[Country Code]],Table29[],5,FALSE)</f>
        <v>Middle-income</v>
      </c>
      <c r="Y524" s="17"/>
      <c r="Z524" s="17"/>
    </row>
    <row r="525" spans="1:26" ht="15" customHeight="1" x14ac:dyDescent="0.25">
      <c r="A525" s="405">
        <v>17764</v>
      </c>
      <c r="B525" s="20" t="s">
        <v>432</v>
      </c>
      <c r="C525" s="206" t="str">
        <f>VLOOKUP(Table1[[#This Row],[Country Code]],Table29[],2,FALSE)</f>
        <v>Trinidad and Tobago</v>
      </c>
      <c r="D525" s="243" t="str">
        <f t="shared" si="18"/>
        <v>Good</v>
      </c>
      <c r="E525" s="20" t="s">
        <v>71</v>
      </c>
      <c r="F525" s="17" t="s">
        <v>498</v>
      </c>
      <c r="G525" s="43" t="str">
        <f t="shared" si="19"/>
        <v>First NDC</v>
      </c>
      <c r="H525" s="17" t="s">
        <v>499</v>
      </c>
      <c r="I525" s="149">
        <v>43153</v>
      </c>
      <c r="J525" s="187" t="s">
        <v>505</v>
      </c>
      <c r="K525" s="49" t="str" cm="1">
        <f t="array" ref="K525">IF(ISNUMBER(MATCH("Transport sector mitigation target", _xlfn._xlws.FILTER(Targets!H:H, Targets!A:A =A525), 0)), "yes", "no")</f>
        <v>yes</v>
      </c>
      <c r="L525" s="17" t="str">
        <f>IF(K525="no", "No transport target", IF(AND(COUNTIFS(Targets!A:A, A525, Targets!H:H, "Transport sector mitigation target", Targets!J:J, "GHG") &gt; 0, COUNTIFS(Targets!A:A, A525, Targets!H:H, "Transport sector mitigation target", Targets!J:J, "Non GHG") &gt; 0), "GHG and non-GHG target", IF(COUNTIFS(Targets!A:A, A525, Targets!H:H, "Transport sector mitigation target", Targets!J:J, "GHG") &gt; 0, "GHG target", IF(COUNTIFS(Targets!A:A, A525, Targets!H:H, "Transport sector mitigation target", Targets!J:J, "Non GHG") &gt; 0, "non-GHG target", ""))))</f>
        <v>GHG target</v>
      </c>
      <c r="M525" s="17" t="str">
        <f>IF(K525="no","No transport target",IF(L525="non-GHG target","No GHG transport target",IF(AND(COUNTIFS(Targets!A:A,A525,Targets!H:H,"Transport sector mitigation target",Targets!J:J,"GHG",Targets!L:L,"Conditional")&gt;0,COUNTIFS(Targets!A:A,A525,Targets!H:H,"Transport sector mitigation target",Targets!J:J,"GHG",Targets!L:L,"Unconditional")&gt;0),"GHG unconditional and conditional",IF(COUNTIFS(Targets!A:A,A525,Targets!H:H,"Transport sector mitigation target",Targets!J:J,"GHG",Targets!L:L,"Conditional")&gt;0,"GHG conditional only",IF(COUNTIFS(Targets!A:A,A525,Targets!H:H,"Transport sector mitigation target",Targets!J:J,"GHG",Targets!L:L,"Unconditional")&gt;0,"GHG unconditional only",IF(COUNTIFS(Targets!A:A,A525,Targets!H:H,"Transport sector mitigation target",Targets!J:J,"GHG",Targets!L:L,"Unclear conditionality")&gt;0,"Conditionality unclear",""))))))</f>
        <v>GHG unconditional only</v>
      </c>
      <c r="N525" s="17" t="str" cm="1">
        <f t="array" ref="N525">IF(ISNUMBER(MATCH("Transport sector adaptation target", _xlfn._xlws.FILTER(Targets!H:H, Targets!A:A =A525), 0)), "yes", "no")</f>
        <v>no</v>
      </c>
      <c r="O525" s="17" t="str">
        <f>IF(ISNA(MATCH(A525, Mitigation!A:A, 0)), "no", "yes")</f>
        <v>no</v>
      </c>
      <c r="P525" s="17" t="str">
        <f>IF(ISNA(MATCH(A525, Adaptation!A:A, 0)), "no", "yes")</f>
        <v>no</v>
      </c>
      <c r="Q525" s="17" t="str">
        <f>IF(ISNA(MATCH(A525, Benefits!A:A, 0)), "no", "yes")</f>
        <v>no</v>
      </c>
      <c r="R525" s="17"/>
      <c r="S525" s="17"/>
      <c r="T525" s="17" t="s">
        <v>501</v>
      </c>
      <c r="U525" s="135" t="s">
        <v>1041</v>
      </c>
      <c r="V525" s="207" t="str">
        <f>VLOOKUP(Table1[[#This Row],[Country Code]],Table29[],3,FALSE)</f>
        <v>Non-Annex I</v>
      </c>
      <c r="W525" s="207" t="str">
        <f>VLOOKUP(Table1[[#This Row],[Country Code]],Table29[],4,FALSE)</f>
        <v>Latin America and the Caribbean</v>
      </c>
      <c r="X525" s="207" t="str">
        <f>VLOOKUP(Table1[[#This Row],[Country Code]],Table29[],5,FALSE)</f>
        <v>High-income</v>
      </c>
      <c r="Y525" s="17"/>
      <c r="Z525" s="17"/>
    </row>
    <row r="526" spans="1:26" ht="15" customHeight="1" x14ac:dyDescent="0.25">
      <c r="A526" s="360">
        <v>42012</v>
      </c>
      <c r="B526" s="20" t="s">
        <v>436</v>
      </c>
      <c r="C526" s="206" t="str">
        <f>VLOOKUP(Table1[[#This Row],[Country Code]],Table29[],2,FALSE)</f>
        <v>Türkiye</v>
      </c>
      <c r="D526" s="243" t="str">
        <f t="shared" si="18"/>
        <v>Good</v>
      </c>
      <c r="E526" s="20" t="s">
        <v>71</v>
      </c>
      <c r="F526" s="17" t="s">
        <v>528</v>
      </c>
      <c r="G526" s="43" t="str">
        <f t="shared" si="19"/>
        <v>First NDC updated</v>
      </c>
      <c r="H526" s="17" t="s">
        <v>691</v>
      </c>
      <c r="I526" s="163">
        <v>45029</v>
      </c>
      <c r="J526" s="187" t="s">
        <v>505</v>
      </c>
      <c r="K526" s="49" t="str" cm="1">
        <f t="array" ref="K526">IF(ISNUMBER(MATCH("Transport sector mitigation target", _xlfn._xlws.FILTER(Targets!H:H, Targets!A:A =A526), 0)), "yes", "no")</f>
        <v>yes</v>
      </c>
      <c r="L526" s="17" t="str">
        <f>IF(K526="no", "No transport target", IF(AND(COUNTIFS(Targets!A:A, A526, Targets!H:H, "Transport sector mitigation target", Targets!J:J, "GHG") &gt; 0, COUNTIFS(Targets!A:A, A526, Targets!H:H, "Transport sector mitigation target", Targets!J:J, "Non GHG") &gt; 0), "GHG and non-GHG target", IF(COUNTIFS(Targets!A:A, A526, Targets!H:H, "Transport sector mitigation target", Targets!J:J, "GHG") &gt; 0, "GHG target", IF(COUNTIFS(Targets!A:A, A526, Targets!H:H, "Transport sector mitigation target", Targets!J:J, "Non GHG") &gt; 0, "non-GHG target", ""))))</f>
        <v>non-GHG target</v>
      </c>
      <c r="M526" s="17" t="str">
        <f>IF(K526="no","No transport target",IF(L526="non-GHG target","No GHG transport target",IF(AND(COUNTIFS(Targets!A:A,A526,Targets!H:H,"Transport sector mitigation target",Targets!J:J,"GHG",Targets!L:L,"Conditional")&gt;0,COUNTIFS(Targets!A:A,A526,Targets!H:H,"Transport sector mitigation target",Targets!J:J,"GHG",Targets!L:L,"Unconditional")&gt;0),"GHG unconditional and conditional",IF(COUNTIFS(Targets!A:A,A526,Targets!H:H,"Transport sector mitigation target",Targets!J:J,"GHG",Targets!L:L,"Conditional")&gt;0,"GHG conditional only",IF(COUNTIFS(Targets!A:A,A526,Targets!H:H,"Transport sector mitigation target",Targets!J:J,"GHG",Targets!L:L,"Unconditional")&gt;0,"GHG unconditional only",IF(COUNTIFS(Targets!A:A,A526,Targets!H:H,"Transport sector mitigation target",Targets!J:J,"GHG",Targets!L:L,"Unclear conditionality")&gt;0,"Conditionality unclear",""))))))</f>
        <v>No GHG transport target</v>
      </c>
      <c r="N526" s="17" t="str" cm="1">
        <f t="array" ref="N526">IF(ISNUMBER(MATCH("Transport sector adaptation target", _xlfn._xlws.FILTER(Targets!H:H, Targets!A:A =A526), 0)), "yes", "no")</f>
        <v>no</v>
      </c>
      <c r="O526" s="17" t="str">
        <f>IF(ISNA(MATCH(A526, Mitigation!A:A, 0)), "no", "yes")</f>
        <v>yes</v>
      </c>
      <c r="P526" s="17" t="str">
        <f>IF(ISNA(MATCH(A526, Adaptation!A:A, 0)), "no", "yes")</f>
        <v>no</v>
      </c>
      <c r="Q526" s="17" t="str">
        <f>IF(ISNA(MATCH(A526, Benefits!A:A, 0)), "no", "yes")</f>
        <v>no</v>
      </c>
      <c r="R526" s="17"/>
      <c r="S526" s="17"/>
      <c r="T526" s="17" t="s">
        <v>501</v>
      </c>
      <c r="U526" s="169" t="s">
        <v>1042</v>
      </c>
      <c r="V526" s="207" t="str">
        <f>VLOOKUP(Table1[[#This Row],[Country Code]],Table29[],3,FALSE)</f>
        <v>Annex I</v>
      </c>
      <c r="W526" s="207" t="str">
        <f>VLOOKUP(Table1[[#This Row],[Country Code]],Table29[],4,FALSE)</f>
        <v>Asia</v>
      </c>
      <c r="X526" s="207" t="str">
        <f>VLOOKUP(Table1[[#This Row],[Country Code]],Table29[],5,FALSE)</f>
        <v>Middle-income</v>
      </c>
      <c r="Y526" s="43" t="s">
        <v>750</v>
      </c>
      <c r="Z526" s="17"/>
    </row>
    <row r="527" spans="1:26" ht="15" customHeight="1" x14ac:dyDescent="0.25">
      <c r="A527" s="405">
        <v>43788</v>
      </c>
      <c r="B527" s="12" t="s">
        <v>436</v>
      </c>
      <c r="C527" s="207" t="str">
        <f>VLOOKUP(Table1[[#This Row],[Country Code]],Table29[],2,FALSE)</f>
        <v>Türkiye</v>
      </c>
      <c r="D527" s="243" t="str">
        <f t="shared" si="18"/>
        <v>Good</v>
      </c>
      <c r="E527" s="20" t="s">
        <v>227</v>
      </c>
      <c r="F527" s="17" t="s">
        <v>227</v>
      </c>
      <c r="G527" s="17" t="str">
        <f t="shared" si="19"/>
        <v>LTS</v>
      </c>
      <c r="H527" s="148" t="s">
        <v>636</v>
      </c>
      <c r="I527" s="163">
        <v>45607</v>
      </c>
      <c r="J527" s="187" t="s">
        <v>505</v>
      </c>
      <c r="K527" s="49" t="str" cm="1">
        <f t="array" ref="K527">IF(ISNUMBER(MATCH("Transport sector mitigation target", _xlfn._xlws.FILTER(Targets!H:H, Targets!A:A =A527), 0)), "yes", "no")</f>
        <v>yes</v>
      </c>
      <c r="L527" s="17" t="str">
        <f>IF(K527="no", "No transport target", IF(AND(COUNTIFS(Targets!A:A, A527, Targets!H:H, "Transport sector mitigation target", Targets!J:J, "GHG") &gt; 0, COUNTIFS(Targets!A:A, A527, Targets!H:H, "Transport sector mitigation target", Targets!J:J, "Non GHG") &gt; 0), "GHG and non-GHG target", IF(COUNTIFS(Targets!A:A, A527, Targets!H:H, "Transport sector mitigation target", Targets!J:J, "GHG") &gt; 0, "GHG target", IF(COUNTIFS(Targets!A:A, A527, Targets!H:H, "Transport sector mitigation target", Targets!J:J, "Non GHG") &gt; 0, "non-GHG target", ""))))</f>
        <v>non-GHG target</v>
      </c>
      <c r="M527" s="17" t="str">
        <f>IF(K527="no","No transport target",IF(L527="non-GHG target","No GHG transport target",IF(AND(COUNTIFS(Targets!A:A,A527,Targets!H:H,"Transport sector mitigation target",Targets!J:J,"GHG",Targets!L:L,"Conditional")&gt;0,COUNTIFS(Targets!A:A,A527,Targets!H:H,"Transport sector mitigation target",Targets!J:J,"GHG",Targets!L:L,"Unconditional")&gt;0),"GHG unconditional and conditional",IF(COUNTIFS(Targets!A:A,A527,Targets!H:H,"Transport sector mitigation target",Targets!J:J,"GHG",Targets!L:L,"Conditional")&gt;0,"GHG conditional only",IF(COUNTIFS(Targets!A:A,A527,Targets!H:H,"Transport sector mitigation target",Targets!J:J,"GHG",Targets!L:L,"Unconditional")&gt;0,"GHG unconditional only",IF(COUNTIFS(Targets!A:A,A527,Targets!H:H,"Transport sector mitigation target",Targets!J:J,"GHG",Targets!L:L,"Unclear conditionality")&gt;0,"Conditionality unclear",""))))))</f>
        <v>No GHG transport target</v>
      </c>
      <c r="N527" s="17" t="str" cm="1">
        <f t="array" ref="N527">IF(ISNUMBER(MATCH("Transport sector adaptation target", _xlfn._xlws.FILTER(Targets!H:H, Targets!A:A =A527), 0)), "yes", "no")</f>
        <v>no</v>
      </c>
      <c r="O527" s="17" t="str">
        <f>IF(ISNA(MATCH(A527, Mitigation!A:A, 0)), "no", "yes")</f>
        <v>yes</v>
      </c>
      <c r="P527" s="17" t="str">
        <f>IF(ISNA(MATCH(A527, Adaptation!A:A, 0)), "no", "yes")</f>
        <v>yes</v>
      </c>
      <c r="Q527" s="17" t="str">
        <f>IF(ISNA(MATCH(A527, Benefits!A:A, 0)), "no", "yes")</f>
        <v>no</v>
      </c>
      <c r="R527" s="17"/>
      <c r="S527" s="148"/>
      <c r="T527" s="17"/>
      <c r="U527" s="411" t="s">
        <v>1043</v>
      </c>
      <c r="V527" s="207" t="str">
        <f>VLOOKUP(Table1[[#This Row],[Country Code]],Table29[],3,FALSE)</f>
        <v>Annex I</v>
      </c>
      <c r="W527" s="207" t="str">
        <f>VLOOKUP(Table1[[#This Row],[Country Code]],Table29[],4,FALSE)</f>
        <v>Asia</v>
      </c>
      <c r="X527" s="233" t="str">
        <f>VLOOKUP(Table1[[#This Row],[Country Code]],Table29[],5,FALSE)</f>
        <v>Middle-income</v>
      </c>
      <c r="Y527" s="17" t="s">
        <v>1044</v>
      </c>
      <c r="Z527" s="17"/>
    </row>
    <row r="528" spans="1:26" ht="15" customHeight="1" x14ac:dyDescent="0.25">
      <c r="A528" s="405">
        <v>32526</v>
      </c>
      <c r="B528" s="19" t="s">
        <v>470</v>
      </c>
      <c r="C528" s="206" t="str">
        <f>VLOOKUP(Table1[[#This Row],[Country Code]],Table29[],2,FALSE)</f>
        <v>Zimbabwe</v>
      </c>
      <c r="D528" s="243" t="str">
        <f t="shared" si="18"/>
        <v>Good</v>
      </c>
      <c r="E528" s="20" t="s">
        <v>227</v>
      </c>
      <c r="F528" s="17" t="s">
        <v>227</v>
      </c>
      <c r="G528" s="43" t="str">
        <f t="shared" si="19"/>
        <v>LTS</v>
      </c>
      <c r="H528" s="148" t="s">
        <v>636</v>
      </c>
      <c r="I528" s="163">
        <v>44873</v>
      </c>
      <c r="J528" s="187" t="s">
        <v>505</v>
      </c>
      <c r="K528" s="49" t="str" cm="1">
        <f t="array" ref="K528">IF(ISNUMBER(MATCH("Transport sector mitigation target", _xlfn._xlws.FILTER(Targets!H:H, Targets!A:A =A528), 0)), "yes", "no")</f>
        <v>no</v>
      </c>
      <c r="L528" s="17" t="str">
        <f>IF(K528="no", "No transport target", IF(AND(COUNTIFS(Targets!A:A, A528, Targets!H:H, "Transport sector mitigation target", Targets!J:J, "GHG") &gt; 0, COUNTIFS(Targets!A:A, A528, Targets!H:H, "Transport sector mitigation target", Targets!J:J, "Non GHG") &gt; 0), "GHG and non-GHG target", IF(COUNTIFS(Targets!A:A, A528, Targets!H:H, "Transport sector mitigation target", Targets!J:J, "GHG") &gt; 0, "GHG target", IF(COUNTIFS(Targets!A:A, A528, Targets!H:H, "Transport sector mitigation target", Targets!J:J, "Non GHG") &gt; 0, "non-GHG target", ""))))</f>
        <v>No transport target</v>
      </c>
      <c r="M528" s="17" t="str">
        <f>IF(K528="no","No transport target",IF(L528="non-GHG target","No GHG transport target",IF(AND(COUNTIFS(Targets!A:A,A528,Targets!H:H,"Transport sector mitigation target",Targets!J:J,"GHG",Targets!L:L,"Conditional")&gt;0,COUNTIFS(Targets!A:A,A528,Targets!H:H,"Transport sector mitigation target",Targets!J:J,"GHG",Targets!L:L,"Unconditional")&gt;0),"GHG unconditional and conditional",IF(COUNTIFS(Targets!A:A,A528,Targets!H:H,"Transport sector mitigation target",Targets!J:J,"GHG",Targets!L:L,"Conditional")&gt;0,"GHG conditional only",IF(COUNTIFS(Targets!A:A,A528,Targets!H:H,"Transport sector mitigation target",Targets!J:J,"GHG",Targets!L:L,"Unconditional")&gt;0,"GHG unconditional only",IF(COUNTIFS(Targets!A:A,A528,Targets!H:H,"Transport sector mitigation target",Targets!J:J,"GHG",Targets!L:L,"Unclear conditionality")&gt;0,"Conditionality unclear",""))))))</f>
        <v>No transport target</v>
      </c>
      <c r="N528" s="17" t="str" cm="1">
        <f t="array" ref="N528">IF(ISNUMBER(MATCH("Transport sector adaptation target", _xlfn._xlws.FILTER(Targets!H:H, Targets!A:A =A528), 0)), "yes", "no")</f>
        <v>no</v>
      </c>
      <c r="O528" s="17" t="str">
        <f>IF(ISNA(MATCH(A528, Mitigation!A:A, 0)), "no", "yes")</f>
        <v>yes</v>
      </c>
      <c r="P528" s="17" t="str">
        <f>IF(ISNA(MATCH(A528, Adaptation!A:A, 0)), "no", "yes")</f>
        <v>no</v>
      </c>
      <c r="Q528" s="17" t="str">
        <f>IF(ISNA(MATCH(A528, Benefits!A:A, 0)), "no", "yes")</f>
        <v>no</v>
      </c>
      <c r="R528" s="17"/>
      <c r="S528" s="17"/>
      <c r="T528" s="17" t="s">
        <v>501</v>
      </c>
      <c r="U528" s="171" t="s">
        <v>1045</v>
      </c>
      <c r="V528" s="207" t="str">
        <f>VLOOKUP(Table1[[#This Row],[Country Code]],Table29[],3,FALSE)</f>
        <v>Non-Annex I</v>
      </c>
      <c r="W528" s="207" t="str">
        <f>VLOOKUP(Table1[[#This Row],[Country Code]],Table29[],4,FALSE)</f>
        <v>Africa</v>
      </c>
      <c r="X528" s="207" t="str">
        <f>VLOOKUP(Table1[[#This Row],[Country Code]],Table29[],5,FALSE)</f>
        <v>Middle-income</v>
      </c>
      <c r="Y528" s="17"/>
      <c r="Z528" s="17"/>
    </row>
    <row r="529" spans="1:26" ht="15" customHeight="1" x14ac:dyDescent="0.25">
      <c r="A529" s="405">
        <v>29235</v>
      </c>
      <c r="B529" s="19" t="s">
        <v>442</v>
      </c>
      <c r="C529" s="206" t="str">
        <f>VLOOKUP(Table1[[#This Row],[Country Code]],Table29[],2,FALSE)</f>
        <v>Uganda</v>
      </c>
      <c r="D529" s="243" t="str">
        <f t="shared" si="18"/>
        <v>Good</v>
      </c>
      <c r="E529" s="20" t="s">
        <v>71</v>
      </c>
      <c r="F529" s="17" t="s">
        <v>528</v>
      </c>
      <c r="G529" s="43" t="str">
        <f t="shared" si="19"/>
        <v>First NDC updated</v>
      </c>
      <c r="H529" s="17" t="s">
        <v>743</v>
      </c>
      <c r="I529" s="163">
        <v>44816</v>
      </c>
      <c r="J529" s="187" t="s">
        <v>505</v>
      </c>
      <c r="K529" s="49" t="str" cm="1">
        <f t="array" ref="K529">IF(ISNUMBER(MATCH("Transport sector mitigation target", _xlfn._xlws.FILTER(Targets!H:H, Targets!A:A =A529), 0)), "yes", "no")</f>
        <v>yes</v>
      </c>
      <c r="L529" s="17" t="str">
        <f>IF(K529="no", "No transport target", IF(AND(COUNTIFS(Targets!A:A, A529, Targets!H:H, "Transport sector mitigation target", Targets!J:J, "GHG") &gt; 0, COUNTIFS(Targets!A:A, A529, Targets!H:H, "Transport sector mitigation target", Targets!J:J, "Non GHG") &gt; 0), "GHG and non-GHG target", IF(COUNTIFS(Targets!A:A, A529, Targets!H:H, "Transport sector mitigation target", Targets!J:J, "GHG") &gt; 0, "GHG target", IF(COUNTIFS(Targets!A:A, A529, Targets!H:H, "Transport sector mitigation target", Targets!J:J, "Non GHG") &gt; 0, "non-GHG target", ""))))</f>
        <v>GHG and non-GHG target</v>
      </c>
      <c r="M529" s="17" t="str">
        <f>IF(K529="no","No transport target",IF(L529="non-GHG target","No GHG transport target",IF(AND(COUNTIFS(Targets!A:A,A529,Targets!H:H,"Transport sector mitigation target",Targets!J:J,"GHG",Targets!L:L,"Conditional")&gt;0,COUNTIFS(Targets!A:A,A529,Targets!H:H,"Transport sector mitigation target",Targets!J:J,"GHG",Targets!L:L,"Unconditional")&gt;0),"GHG unconditional and conditional",IF(COUNTIFS(Targets!A:A,A529,Targets!H:H,"Transport sector mitigation target",Targets!J:J,"GHG",Targets!L:L,"Conditional")&gt;0,"GHG conditional only",IF(COUNTIFS(Targets!A:A,A529,Targets!H:H,"Transport sector mitigation target",Targets!J:J,"GHG",Targets!L:L,"Unconditional")&gt;0,"GHG unconditional only",IF(COUNTIFS(Targets!A:A,A529,Targets!H:H,"Transport sector mitigation target",Targets!J:J,"GHG",Targets!L:L,"Unclear conditionality")&gt;0,"Conditionality unclear",""))))))</f>
        <v>GHG conditional only</v>
      </c>
      <c r="N529" s="17" t="str" cm="1">
        <f t="array" ref="N529">IF(ISNUMBER(MATCH("Transport sector adaptation target", _xlfn._xlws.FILTER(Targets!H:H, Targets!A:A =A529), 0)), "yes", "no")</f>
        <v>yes</v>
      </c>
      <c r="O529" s="17" t="str">
        <f>IF(ISNA(MATCH(A529, Mitigation!A:A, 0)), "no", "yes")</f>
        <v>yes</v>
      </c>
      <c r="P529" s="17" t="str">
        <f>IF(ISNA(MATCH(A529, Adaptation!A:A, 0)), "no", "yes")</f>
        <v>no</v>
      </c>
      <c r="Q529" s="17" t="str">
        <f>IF(ISNA(MATCH(A529, Benefits!A:A, 0)), "no", "yes")</f>
        <v>no</v>
      </c>
      <c r="R529" s="17"/>
      <c r="S529" s="17"/>
      <c r="T529" s="17" t="s">
        <v>501</v>
      </c>
      <c r="U529" s="135" t="s">
        <v>1046</v>
      </c>
      <c r="V529" s="207" t="str">
        <f>VLOOKUP(Table1[[#This Row],[Country Code]],Table29[],3,FALSE)</f>
        <v>Non-Annex I</v>
      </c>
      <c r="W529" s="207" t="str">
        <f>VLOOKUP(Table1[[#This Row],[Country Code]],Table29[],4,FALSE)</f>
        <v>Africa</v>
      </c>
      <c r="X529" s="207" t="str">
        <f>VLOOKUP(Table1[[#This Row],[Country Code]],Table29[],5,FALSE)</f>
        <v>Low-income</v>
      </c>
      <c r="Y529" s="17"/>
      <c r="Z529" s="17"/>
    </row>
    <row r="530" spans="1:26" ht="15" customHeight="1" x14ac:dyDescent="0.25">
      <c r="A530" s="405">
        <v>44170</v>
      </c>
      <c r="B530" s="20" t="s">
        <v>286</v>
      </c>
      <c r="C530" s="207" t="str">
        <f>VLOOKUP(Table1[[#This Row],[Country Code]],Table29[],2,FALSE)</f>
        <v>Maldives</v>
      </c>
      <c r="D530" s="206" t="str">
        <f t="shared" si="18"/>
        <v>Good</v>
      </c>
      <c r="E530" s="20" t="s">
        <v>71</v>
      </c>
      <c r="F530" s="17" t="s">
        <v>694</v>
      </c>
      <c r="G530" s="17" t="str">
        <f t="shared" si="19"/>
        <v>Third NDC</v>
      </c>
      <c r="H530" s="148" t="s">
        <v>695</v>
      </c>
      <c r="I530" s="163">
        <v>45715</v>
      </c>
      <c r="J530" s="187" t="s">
        <v>505</v>
      </c>
      <c r="K530" s="49" t="str" cm="1">
        <f t="array" ref="K530">IF(ISNUMBER(MATCH("Transport sector mitigation target", _xlfn._xlws.FILTER(Targets!H:H, Targets!A:A =A530), 0)), "yes", "no")</f>
        <v>no</v>
      </c>
      <c r="L530" s="17" t="str">
        <f>IF(K530="no", "No transport target", IF(AND(COUNTIFS(Targets!A:A, A530, Targets!H:H, "Transport sector mitigation target", Targets!J:J, "GHG") &gt; 0, COUNTIFS(Targets!A:A, A530, Targets!H:H, "Transport sector mitigation target", Targets!J:J, "Non GHG") &gt; 0), "GHG and non-GHG target", IF(COUNTIFS(Targets!A:A, A530, Targets!H:H, "Transport sector mitigation target", Targets!J:J, "GHG") &gt; 0, "GHG target", IF(COUNTIFS(Targets!A:A, A530, Targets!H:H, "Transport sector mitigation target", Targets!J:J, "Non GHG") &gt; 0, "non-GHG target", ""))))</f>
        <v>No transport target</v>
      </c>
      <c r="M530" s="17" t="str">
        <f>IF(K530="no","No transport target",IF(L530="non-GHG target","No GHG transport target",IF(AND(COUNTIFS(Targets!A:A,A530,Targets!H:H,"Transport sector mitigation target",Targets!J:J,"GHG",Targets!L:L,"Conditional")&gt;0,COUNTIFS(Targets!A:A,A530,Targets!H:H,"Transport sector mitigation target",Targets!J:J,"GHG",Targets!L:L,"Unconditional")&gt;0),"GHG unconditional and conditional",IF(COUNTIFS(Targets!A:A,A530,Targets!H:H,"Transport sector mitigation target",Targets!J:J,"GHG",Targets!L:L,"Conditional")&gt;0,"GHG conditional only",IF(COUNTIFS(Targets!A:A,A530,Targets!H:H,"Transport sector mitigation target",Targets!J:J,"GHG",Targets!L:L,"Unconditional")&gt;0,"GHG unconditional only",IF(COUNTIFS(Targets!A:A,A530,Targets!H:H,"Transport sector mitigation target",Targets!J:J,"GHG",Targets!L:L,"Unclear conditionality")&gt;0,"Conditionality unclear",""))))))</f>
        <v>No transport target</v>
      </c>
      <c r="N530" s="17" t="str" cm="1">
        <f t="array" ref="N530">IF(ISNUMBER(MATCH("Transport sector adaptation target", _xlfn._xlws.FILTER(Targets!H:H, Targets!A:A =A530), 0)), "yes", "no")</f>
        <v>no</v>
      </c>
      <c r="O530" s="17" t="str">
        <f>IF(ISNA(MATCH(A530, Mitigation!A:A, 0)), "no", "yes")</f>
        <v>yes</v>
      </c>
      <c r="P530" s="17" t="str">
        <f>IF(ISNA(MATCH(A530, Adaptation!A:A, 0)), "no", "yes")</f>
        <v>yes</v>
      </c>
      <c r="Q530" s="17" t="str">
        <f>IF(ISNA(MATCH(A530, Benefits!A:A, 0)), "no", "yes")</f>
        <v>yes</v>
      </c>
      <c r="R530" s="17"/>
      <c r="S530" s="148"/>
      <c r="T530" s="17"/>
      <c r="U530" s="148"/>
      <c r="V530" s="207" t="str">
        <f>VLOOKUP(Table1[[#This Row],[Country Code]],Table29[],3,FALSE)</f>
        <v>Non-Annex I</v>
      </c>
      <c r="W530" s="207" t="str">
        <f>VLOOKUP(Table1[[#This Row],[Country Code]],Table29[],4,FALSE)</f>
        <v>Asia</v>
      </c>
      <c r="X530" s="233" t="str">
        <f>VLOOKUP(Table1[[#This Row],[Country Code]],Table29[],5,FALSE)</f>
        <v>Middle-income</v>
      </c>
      <c r="Y530" s="17"/>
      <c r="Z530" s="17"/>
    </row>
    <row r="531" spans="1:26" ht="15" customHeight="1" x14ac:dyDescent="0.25">
      <c r="A531" s="405">
        <v>43949</v>
      </c>
      <c r="B531" s="20" t="s">
        <v>292</v>
      </c>
      <c r="C531" s="207" t="str">
        <f>VLOOKUP(Table1[[#This Row],[Country Code]],Table29[],2,FALSE)</f>
        <v>Marshall Islands</v>
      </c>
      <c r="D531" s="206" t="str">
        <f t="shared" si="18"/>
        <v>Good</v>
      </c>
      <c r="E531" s="20" t="s">
        <v>71</v>
      </c>
      <c r="F531" s="17" t="s">
        <v>694</v>
      </c>
      <c r="G531" s="17" t="str">
        <f t="shared" si="19"/>
        <v>Third NDC</v>
      </c>
      <c r="H531" s="148" t="s">
        <v>695</v>
      </c>
      <c r="I531" s="163" t="s">
        <v>1047</v>
      </c>
      <c r="J531" s="187" t="s">
        <v>505</v>
      </c>
      <c r="K531" s="49" t="str" cm="1">
        <f t="array" ref="K531">IF(ISNUMBER(MATCH("Transport sector mitigation target", _xlfn._xlws.FILTER(Targets!H:H, Targets!A:A =A531), 0)), "yes", "no")</f>
        <v>yes</v>
      </c>
      <c r="L531" s="17" t="str">
        <f>IF(K531="no", "No transport target", IF(AND(COUNTIFS(Targets!A:A, A531, Targets!H:H, "Transport sector mitigation target", Targets!J:J, "GHG") &gt; 0, COUNTIFS(Targets!A:A, A531, Targets!H:H, "Transport sector mitigation target", Targets!J:J, "Non GHG") &gt; 0), "GHG and non-GHG target", IF(COUNTIFS(Targets!A:A, A531, Targets!H:H, "Transport sector mitigation target", Targets!J:J, "GHG") &gt; 0, "GHG target", IF(COUNTIFS(Targets!A:A, A531, Targets!H:H, "Transport sector mitigation target", Targets!J:J, "Non GHG") &gt; 0, "non-GHG target", ""))))</f>
        <v>GHG target</v>
      </c>
      <c r="M531" s="17" t="str">
        <f>IF(K531="no","No transport target",IF(L531="non-GHG target","No GHG transport target",IF(AND(COUNTIFS(Targets!A:A,A531,Targets!H:H,"Transport sector mitigation target",Targets!J:J,"GHG",Targets!L:L,"Conditional")&gt;0,COUNTIFS(Targets!A:A,A531,Targets!H:H,"Transport sector mitigation target",Targets!J:J,"GHG",Targets!L:L,"Unconditional")&gt;0),"GHG unconditional and conditional",IF(COUNTIFS(Targets!A:A,A531,Targets!H:H,"Transport sector mitigation target",Targets!J:J,"GHG",Targets!L:L,"Conditional")&gt;0,"GHG conditional only",IF(COUNTIFS(Targets!A:A,A531,Targets!H:H,"Transport sector mitigation target",Targets!J:J,"GHG",Targets!L:L,"Unconditional")&gt;0,"GHG unconditional only",IF(COUNTIFS(Targets!A:A,A531,Targets!H:H,"Transport sector mitigation target",Targets!J:J,"GHG",Targets!L:L,"Unclear conditionality")&gt;0,"Conditionality unclear",""))))))</f>
        <v>Conditionality unclear</v>
      </c>
      <c r="N531" s="17" t="str" cm="1">
        <f t="array" ref="N531">IF(ISNUMBER(MATCH("Transport sector adaptation target", _xlfn._xlws.FILTER(Targets!H:H, Targets!A:A =A531), 0)), "yes", "no")</f>
        <v>no</v>
      </c>
      <c r="O531" s="17" t="str">
        <f>IF(ISNA(MATCH(A531, Mitigation!A:A, 0)), "no", "yes")</f>
        <v>yes</v>
      </c>
      <c r="P531" s="17" t="str">
        <f>IF(ISNA(MATCH(A531, Adaptation!A:A, 0)), "no", "yes")</f>
        <v>no</v>
      </c>
      <c r="Q531" s="17" t="str">
        <f>IF(ISNA(MATCH(A531, Benefits!A:A, 0)), "no", "yes")</f>
        <v>no</v>
      </c>
      <c r="R531" s="17"/>
      <c r="S531" s="148"/>
      <c r="T531" s="17"/>
      <c r="U531" s="171" t="s">
        <v>1048</v>
      </c>
      <c r="V531" s="207" t="str">
        <f>VLOOKUP(Table1[[#This Row],[Country Code]],Table29[],3,FALSE)</f>
        <v>Non-Annex I</v>
      </c>
      <c r="W531" s="207" t="str">
        <f>VLOOKUP(Table1[[#This Row],[Country Code]],Table29[],4,FALSE)</f>
        <v>Oceania</v>
      </c>
      <c r="X531" s="233" t="str">
        <f>VLOOKUP(Table1[[#This Row],[Country Code]],Table29[],5,FALSE)</f>
        <v>Middle-income</v>
      </c>
      <c r="Y531" s="17"/>
      <c r="Z531" s="17"/>
    </row>
    <row r="532" spans="1:26" ht="15" customHeight="1" x14ac:dyDescent="0.25">
      <c r="A532" s="360">
        <v>41741</v>
      </c>
      <c r="B532" s="42" t="s">
        <v>446</v>
      </c>
      <c r="C532" s="243" t="str">
        <f>VLOOKUP(Table1[[#This Row],[Country Code]],Table29[],2,FALSE)</f>
        <v>United Arab Emirates</v>
      </c>
      <c r="D532" s="243" t="str">
        <f t="shared" si="18"/>
        <v>Good</v>
      </c>
      <c r="E532" s="176" t="s">
        <v>227</v>
      </c>
      <c r="F532" s="42" t="s">
        <v>227</v>
      </c>
      <c r="G532" s="43" t="str">
        <f t="shared" si="19"/>
        <v>LTS</v>
      </c>
      <c r="H532" s="42" t="s">
        <v>636</v>
      </c>
      <c r="I532" s="351">
        <v>45299</v>
      </c>
      <c r="J532" s="352" t="s">
        <v>505</v>
      </c>
      <c r="K532" s="320" t="str" cm="1">
        <f t="array" ref="K532">IF(ISNUMBER(MATCH("Transport sector mitigation target", _xlfn._xlws.FILTER(Targets!H:H, Targets!A:A =A532), 0)), "yes", "no")</f>
        <v>yes</v>
      </c>
      <c r="L532" s="42" t="str">
        <f>IF(K532="no", "No transport target", IF(AND(COUNTIFS(Targets!A:A, A532, Targets!H:H, "Transport sector mitigation target", Targets!J:J, "GHG") &gt; 0, COUNTIFS(Targets!A:A, A532, Targets!H:H, "Transport sector mitigation target", Targets!J:J, "Non GHG") &gt; 0), "GHG and non-GHG target", IF(COUNTIFS(Targets!A:A, A532, Targets!H:H, "Transport sector mitigation target", Targets!J:J, "GHG") &gt; 0, "GHG target", IF(COUNTIFS(Targets!A:A, A532, Targets!H:H, "Transport sector mitigation target", Targets!J:J, "Non GHG") &gt; 0, "non-GHG target", ""))))</f>
        <v>GHG and non-GHG target</v>
      </c>
      <c r="M532" s="42" t="str">
        <f>IF(K532="no","No transport target",IF(L532="non-GHG target","No GHG transport target",IF(AND(COUNTIFS(Targets!A:A,A532,Targets!H:H,"Transport sector mitigation target",Targets!J:J,"GHG",Targets!L:L,"Conditional")&gt;0,COUNTIFS(Targets!A:A,A532,Targets!H:H,"Transport sector mitigation target",Targets!J:J,"GHG",Targets!L:L,"Unconditional")&gt;0),"GHG unconditional and conditional",IF(COUNTIFS(Targets!A:A,A532,Targets!H:H,"Transport sector mitigation target",Targets!J:J,"GHG",Targets!L:L,"Conditional")&gt;0,"GHG conditional only",IF(COUNTIFS(Targets!A:A,A532,Targets!H:H,"Transport sector mitigation target",Targets!J:J,"GHG",Targets!L:L,"Unconditional")&gt;0,"GHG unconditional only",IF(COUNTIFS(Targets!A:A,A532,Targets!H:H,"Transport sector mitigation target",Targets!J:J,"GHG",Targets!L:L,"Unclear conditionality")&gt;0,"Conditionality unclear",""))))))</f>
        <v>GHG unconditional only</v>
      </c>
      <c r="N532" s="42" t="str" cm="1">
        <f t="array" ref="N532">IF(ISNUMBER(MATCH("Transport sector adaptation target", _xlfn._xlws.FILTER(Targets!H:H, Targets!A:A =A532), 0)), "yes", "no")</f>
        <v>no</v>
      </c>
      <c r="O532" s="42" t="str">
        <f>IF(ISNA(MATCH(A532, Mitigation!A:A, 0)), "no", "yes")</f>
        <v>yes</v>
      </c>
      <c r="P532" s="42" t="str">
        <f>IF(ISNA(MATCH(A532, Adaptation!A:A, 0)), "no", "yes")</f>
        <v>no</v>
      </c>
      <c r="Q532" s="42" t="str">
        <f>IF(ISNA(MATCH(A532, Benefits!A:A, 0)), "no", "yes")</f>
        <v>yes</v>
      </c>
      <c r="R532" s="43"/>
      <c r="S532" s="43"/>
      <c r="T532" s="43" t="s">
        <v>501</v>
      </c>
      <c r="U532" s="354" t="s">
        <v>1049</v>
      </c>
      <c r="V532" s="233" t="str">
        <f>VLOOKUP(Table1[[#This Row],[Country Code]],Table29[],3,FALSE)</f>
        <v>Non-Annex I</v>
      </c>
      <c r="W532" s="233" t="str">
        <f>VLOOKUP(Table1[[#This Row],[Country Code]],Table29[],4,FALSE)</f>
        <v>Asia</v>
      </c>
      <c r="X532" s="233" t="str">
        <f>VLOOKUP(Table1[[#This Row],[Country Code]],Table29[],5,FALSE)</f>
        <v>High-income</v>
      </c>
      <c r="Y532" s="43"/>
      <c r="Z532" s="43"/>
    </row>
    <row r="533" spans="1:26" ht="15" customHeight="1" x14ac:dyDescent="0.25">
      <c r="A533" s="405">
        <v>44085</v>
      </c>
      <c r="B533" s="20" t="s">
        <v>307</v>
      </c>
      <c r="C533" s="207" t="str">
        <f>VLOOKUP(Table1[[#This Row],[Country Code]],Table29[],2,FALSE)</f>
        <v>Montenegro</v>
      </c>
      <c r="D533" s="206" t="str">
        <f t="shared" si="18"/>
        <v>Good</v>
      </c>
      <c r="E533" s="20" t="s">
        <v>71</v>
      </c>
      <c r="F533" s="17" t="s">
        <v>694</v>
      </c>
      <c r="G533" s="17" t="str">
        <f t="shared" si="19"/>
        <v>Third NDC</v>
      </c>
      <c r="H533" s="148" t="s">
        <v>695</v>
      </c>
      <c r="I533" s="163" t="s">
        <v>1050</v>
      </c>
      <c r="J533" s="187" t="s">
        <v>505</v>
      </c>
      <c r="K533" s="49" t="str" cm="1">
        <f t="array" ref="K533">IF(ISNUMBER(MATCH("Transport sector mitigation target", _xlfn._xlws.FILTER(Targets!H:H, Targets!A:A =A533), 0)), "yes", "no")</f>
        <v>no</v>
      </c>
      <c r="L533" s="17" t="str">
        <f>IF(K533="no", "No transport target", IF(AND(COUNTIFS(Targets!A:A, A533, Targets!H:H, "Transport sector mitigation target", Targets!J:J, "GHG") &gt; 0, COUNTIFS(Targets!A:A, A533, Targets!H:H, "Transport sector mitigation target", Targets!J:J, "Non GHG") &gt; 0), "GHG and non-GHG target", IF(COUNTIFS(Targets!A:A, A533, Targets!H:H, "Transport sector mitigation target", Targets!J:J, "GHG") &gt; 0, "GHG target", IF(COUNTIFS(Targets!A:A, A533, Targets!H:H, "Transport sector mitigation target", Targets!J:J, "Non GHG") &gt; 0, "non-GHG target", ""))))</f>
        <v>No transport target</v>
      </c>
      <c r="M533" s="17" t="str">
        <f>IF(K533="no","No transport target",IF(L533="non-GHG target","No GHG transport target",IF(AND(COUNTIFS(Targets!A:A,A533,Targets!H:H,"Transport sector mitigation target",Targets!J:J,"GHG",Targets!L:L,"Conditional")&gt;0,COUNTIFS(Targets!A:A,A533,Targets!H:H,"Transport sector mitigation target",Targets!J:J,"GHG",Targets!L:L,"Unconditional")&gt;0),"GHG unconditional and conditional",IF(COUNTIFS(Targets!A:A,A533,Targets!H:H,"Transport sector mitigation target",Targets!J:J,"GHG",Targets!L:L,"Conditional")&gt;0,"GHG conditional only",IF(COUNTIFS(Targets!A:A,A533,Targets!H:H,"Transport sector mitigation target",Targets!J:J,"GHG",Targets!L:L,"Unconditional")&gt;0,"GHG unconditional only",IF(COUNTIFS(Targets!A:A,A533,Targets!H:H,"Transport sector mitigation target",Targets!J:J,"GHG",Targets!L:L,"Unclear conditionality")&gt;0,"Conditionality unclear",""))))))</f>
        <v>No transport target</v>
      </c>
      <c r="N533" s="17" t="str" cm="1">
        <f t="array" ref="N533">IF(ISNUMBER(MATCH("Transport sector adaptation target", _xlfn._xlws.FILTER(Targets!H:H, Targets!A:A =A533), 0)), "yes", "no")</f>
        <v>no</v>
      </c>
      <c r="O533" s="17" t="str">
        <f>IF(ISNA(MATCH(A533, Mitigation!A:A, 0)), "no", "yes")</f>
        <v>yes</v>
      </c>
      <c r="P533" s="17" t="str">
        <f>IF(ISNA(MATCH(A533, Adaptation!A:A, 0)), "no", "yes")</f>
        <v>no</v>
      </c>
      <c r="Q533" s="17" t="str">
        <f>IF(ISNA(MATCH(A533, Benefits!A:A, 0)), "no", "yes")</f>
        <v>no</v>
      </c>
      <c r="R533" s="17"/>
      <c r="S533" s="148"/>
      <c r="T533" s="17"/>
      <c r="U533" s="148"/>
      <c r="V533" s="207" t="str">
        <f>VLOOKUP(Table1[[#This Row],[Country Code]],Table29[],3,FALSE)</f>
        <v>Non-Annex I</v>
      </c>
      <c r="W533" s="207" t="str">
        <f>VLOOKUP(Table1[[#This Row],[Country Code]],Table29[],4,FALSE)</f>
        <v>Europe</v>
      </c>
      <c r="X533" s="233" t="str">
        <f>VLOOKUP(Table1[[#This Row],[Country Code]],Table29[],5,FALSE)</f>
        <v>Middle-income</v>
      </c>
      <c r="Y533" s="17"/>
      <c r="Z533" s="17"/>
    </row>
    <row r="534" spans="1:26" ht="15" customHeight="1" x14ac:dyDescent="0.25">
      <c r="A534" s="405">
        <v>43906</v>
      </c>
      <c r="B534" s="20" t="s">
        <v>323</v>
      </c>
      <c r="C534" s="207" t="str">
        <f>VLOOKUP(Table1[[#This Row],[Country Code]],Table29[],2,FALSE)</f>
        <v>New Zealand</v>
      </c>
      <c r="D534" s="206" t="str">
        <f t="shared" si="18"/>
        <v>Good</v>
      </c>
      <c r="E534" s="20" t="s">
        <v>71</v>
      </c>
      <c r="F534" s="17" t="s">
        <v>694</v>
      </c>
      <c r="G534" s="17" t="str">
        <f t="shared" si="19"/>
        <v>Third NDC</v>
      </c>
      <c r="H534" s="148" t="s">
        <v>695</v>
      </c>
      <c r="I534" s="163">
        <v>45688</v>
      </c>
      <c r="J534" s="187" t="s">
        <v>505</v>
      </c>
      <c r="K534" s="49" t="str" cm="1">
        <f t="array" ref="K534">IF(ISNUMBER(MATCH("Transport sector mitigation target", _xlfn._xlws.FILTER(Targets!H:H, Targets!A:A =A534), 0)), "yes", "no")</f>
        <v>no</v>
      </c>
      <c r="L534" s="17" t="str">
        <f>IF(K534="no", "No transport target", IF(AND(COUNTIFS(Targets!A:A, A534, Targets!H:H, "Transport sector mitigation target", Targets!J:J, "GHG") &gt; 0, COUNTIFS(Targets!A:A, A534, Targets!H:H, "Transport sector mitigation target", Targets!J:J, "Non GHG") &gt; 0), "GHG and non-GHG target", IF(COUNTIFS(Targets!A:A, A534, Targets!H:H, "Transport sector mitigation target", Targets!J:J, "GHG") &gt; 0, "GHG target", IF(COUNTIFS(Targets!A:A, A534, Targets!H:H, "Transport sector mitigation target", Targets!J:J, "Non GHG") &gt; 0, "non-GHG target", ""))))</f>
        <v>No transport target</v>
      </c>
      <c r="M534" s="17" t="str">
        <f>IF(K534="no","No transport target",IF(L534="non-GHG target","No GHG transport target",IF(AND(COUNTIFS(Targets!A:A,A534,Targets!H:H,"Transport sector mitigation target",Targets!J:J,"GHG",Targets!L:L,"Conditional")&gt;0,COUNTIFS(Targets!A:A,A534,Targets!H:H,"Transport sector mitigation target",Targets!J:J,"GHG",Targets!L:L,"Unconditional")&gt;0),"GHG unconditional and conditional",IF(COUNTIFS(Targets!A:A,A534,Targets!H:H,"Transport sector mitigation target",Targets!J:J,"GHG",Targets!L:L,"Conditional")&gt;0,"GHG conditional only",IF(COUNTIFS(Targets!A:A,A534,Targets!H:H,"Transport sector mitigation target",Targets!J:J,"GHG",Targets!L:L,"Unconditional")&gt;0,"GHG unconditional only",IF(COUNTIFS(Targets!A:A,A534,Targets!H:H,"Transport sector mitigation target",Targets!J:J,"GHG",Targets!L:L,"Unclear conditionality")&gt;0,"Conditionality unclear",""))))))</f>
        <v>No transport target</v>
      </c>
      <c r="N534" s="17" t="str" cm="1">
        <f t="array" ref="N534">IF(ISNUMBER(MATCH("Transport sector adaptation target", _xlfn._xlws.FILTER(Targets!H:H, Targets!A:A =A534), 0)), "yes", "no")</f>
        <v>no</v>
      </c>
      <c r="O534" s="17" t="str">
        <f>IF(ISNA(MATCH(A534, Mitigation!A:A, 0)), "no", "yes")</f>
        <v>no</v>
      </c>
      <c r="P534" s="17" t="str">
        <f>IF(ISNA(MATCH(A534, Adaptation!A:A, 0)), "no", "yes")</f>
        <v>no</v>
      </c>
      <c r="Q534" s="17" t="str">
        <f>IF(ISNA(MATCH(A534, Benefits!A:A, 0)), "no", "yes")</f>
        <v>no</v>
      </c>
      <c r="R534" s="17"/>
      <c r="S534" s="148"/>
      <c r="T534" s="17"/>
      <c r="U534" s="171" t="s">
        <v>1051</v>
      </c>
      <c r="V534" s="207" t="str">
        <f>VLOOKUP(Table1[[#This Row],[Country Code]],Table29[],3,FALSE)</f>
        <v>Annex I</v>
      </c>
      <c r="W534" s="207" t="str">
        <f>VLOOKUP(Table1[[#This Row],[Country Code]],Table29[],4,FALSE)</f>
        <v>Oceania</v>
      </c>
      <c r="X534" s="233" t="str">
        <f>VLOOKUP(Table1[[#This Row],[Country Code]],Table29[],5,FALSE)</f>
        <v>High-income</v>
      </c>
      <c r="Y534" s="17"/>
      <c r="Z534" s="17"/>
    </row>
    <row r="535" spans="1:26" ht="15" customHeight="1" x14ac:dyDescent="0.25">
      <c r="A535" s="360">
        <v>26792</v>
      </c>
      <c r="B535" s="42" t="s">
        <v>448</v>
      </c>
      <c r="C535" s="243" t="str">
        <f>VLOOKUP(Table1[[#This Row],[Country Code]],Table29[],2,FALSE)</f>
        <v>United Kingdom</v>
      </c>
      <c r="D535" s="243" t="str">
        <f t="shared" si="18"/>
        <v>Good</v>
      </c>
      <c r="E535" s="176" t="s">
        <v>227</v>
      </c>
      <c r="F535" s="43" t="s">
        <v>227</v>
      </c>
      <c r="G535" s="43" t="str">
        <f t="shared" si="19"/>
        <v>LTS</v>
      </c>
      <c r="H535" s="43" t="s">
        <v>722</v>
      </c>
      <c r="I535" s="351">
        <v>44488</v>
      </c>
      <c r="J535" s="352" t="s">
        <v>505</v>
      </c>
      <c r="K535" s="320" t="str" cm="1">
        <f t="array" ref="K535">IF(ISNUMBER(MATCH("Transport sector mitigation target", _xlfn._xlws.FILTER(Targets!H:H, Targets!A:A =A535), 0)), "yes", "no")</f>
        <v>yes</v>
      </c>
      <c r="L535" s="43" t="str">
        <f>IF(K535="no", "No transport target", IF(AND(COUNTIFS(Targets!A:A, A535, Targets!H:H, "Transport sector mitigation target", Targets!J:J, "GHG") &gt; 0, COUNTIFS(Targets!A:A, A535, Targets!H:H, "Transport sector mitigation target", Targets!J:J, "Non GHG") &gt; 0), "GHG and non-GHG target", IF(COUNTIFS(Targets!A:A, A535, Targets!H:H, "Transport sector mitigation target", Targets!J:J, "GHG") &gt; 0, "GHG target", IF(COUNTIFS(Targets!A:A, A535, Targets!H:H, "Transport sector mitigation target", Targets!J:J, "Non GHG") &gt; 0, "non-GHG target", ""))))</f>
        <v>GHG and non-GHG target</v>
      </c>
      <c r="M535" s="43" t="str">
        <f>IF(K535="no","No transport target",IF(L535="non-GHG target","No GHG transport target",IF(AND(COUNTIFS(Targets!A:A,A535,Targets!H:H,"Transport sector mitigation target",Targets!J:J,"GHG",Targets!L:L,"Conditional")&gt;0,COUNTIFS(Targets!A:A,A535,Targets!H:H,"Transport sector mitigation target",Targets!J:J,"GHG",Targets!L:L,"Unconditional")&gt;0),"GHG unconditional and conditional",IF(COUNTIFS(Targets!A:A,A535,Targets!H:H,"Transport sector mitigation target",Targets!J:J,"GHG",Targets!L:L,"Conditional")&gt;0,"GHG conditional only",IF(COUNTIFS(Targets!A:A,A535,Targets!H:H,"Transport sector mitigation target",Targets!J:J,"GHG",Targets!L:L,"Unconditional")&gt;0,"GHG unconditional only",IF(COUNTIFS(Targets!A:A,A535,Targets!H:H,"Transport sector mitigation target",Targets!J:J,"GHG",Targets!L:L,"Unclear conditionality")&gt;0,"Conditionality unclear",""))))))</f>
        <v>GHG unconditional only</v>
      </c>
      <c r="N535" s="43" t="str" cm="1">
        <f t="array" ref="N535">IF(ISNUMBER(MATCH("Transport sector adaptation target", _xlfn._xlws.FILTER(Targets!H:H, Targets!A:A =A535), 0)), "yes", "no")</f>
        <v>no</v>
      </c>
      <c r="O535" s="43" t="str">
        <f>IF(ISNA(MATCH(A535, Mitigation!A:A, 0)), "no", "yes")</f>
        <v>yes</v>
      </c>
      <c r="P535" s="43" t="str">
        <f>IF(ISNA(MATCH(A535, Adaptation!A:A, 0)), "no", "yes")</f>
        <v>no</v>
      </c>
      <c r="Q535" s="43" t="str">
        <f>IF(ISNA(MATCH(A535, Benefits!A:A, 0)), "no", "yes")</f>
        <v>yes</v>
      </c>
      <c r="R535" s="43"/>
      <c r="S535" s="43"/>
      <c r="T535" s="43" t="s">
        <v>501</v>
      </c>
      <c r="U535" s="312" t="s">
        <v>1052</v>
      </c>
      <c r="V535" s="233" t="str">
        <f>VLOOKUP(Table1[[#This Row],[Country Code]],Table29[],3,FALSE)</f>
        <v>Annex I</v>
      </c>
      <c r="W535" s="233" t="str">
        <f>VLOOKUP(Table1[[#This Row],[Country Code]],Table29[],4,FALSE)</f>
        <v>Europe</v>
      </c>
      <c r="X535" s="233" t="str">
        <f>VLOOKUP(Table1[[#This Row],[Country Code]],Table29[],5,FALSE)</f>
        <v>High-income</v>
      </c>
      <c r="Y535" s="43"/>
      <c r="Z535" s="43"/>
    </row>
    <row r="536" spans="1:26" ht="15" customHeight="1" x14ac:dyDescent="0.25">
      <c r="A536" s="405">
        <v>43921</v>
      </c>
      <c r="B536" s="20" t="s">
        <v>374</v>
      </c>
      <c r="C536" s="207" t="str">
        <f>VLOOKUP(Table1[[#This Row],[Country Code]],Table29[],2,FALSE)</f>
        <v>Saint Lucia</v>
      </c>
      <c r="D536" s="206" t="str">
        <f t="shared" si="18"/>
        <v>Good</v>
      </c>
      <c r="E536" s="20" t="s">
        <v>71</v>
      </c>
      <c r="F536" s="17" t="s">
        <v>694</v>
      </c>
      <c r="G536" s="17" t="str">
        <f t="shared" si="19"/>
        <v>Third NDC</v>
      </c>
      <c r="H536" s="148" t="s">
        <v>695</v>
      </c>
      <c r="I536" s="163">
        <v>45694</v>
      </c>
      <c r="J536" s="187" t="s">
        <v>505</v>
      </c>
      <c r="K536" s="49" t="str" cm="1">
        <f t="array" ref="K536">IF(ISNUMBER(MATCH("Transport sector mitigation target", _xlfn._xlws.FILTER(Targets!H:H, Targets!A:A =A536), 0)), "yes", "no")</f>
        <v>yes</v>
      </c>
      <c r="L536" s="17" t="str">
        <f>IF(K536="no", "No transport target", IF(AND(COUNTIFS(Targets!A:A, A536, Targets!H:H, "Transport sector mitigation target", Targets!J:J, "GHG") &gt; 0, COUNTIFS(Targets!A:A, A536, Targets!H:H, "Transport sector mitigation target", Targets!J:J, "Non GHG") &gt; 0), "GHG and non-GHG target", IF(COUNTIFS(Targets!A:A, A536, Targets!H:H, "Transport sector mitigation target", Targets!J:J, "GHG") &gt; 0, "GHG target", IF(COUNTIFS(Targets!A:A, A536, Targets!H:H, "Transport sector mitigation target", Targets!J:J, "Non GHG") &gt; 0, "non-GHG target", ""))))</f>
        <v>GHG and non-GHG target</v>
      </c>
      <c r="M536" s="17" t="str">
        <f>IF(K536="no","No transport target",IF(L536="non-GHG target","No GHG transport target",IF(AND(COUNTIFS(Targets!A:A,A536,Targets!H:H,"Transport sector mitigation target",Targets!J:J,"GHG",Targets!L:L,"Conditional")&gt;0,COUNTIFS(Targets!A:A,A536,Targets!H:H,"Transport sector mitigation target",Targets!J:J,"GHG",Targets!L:L,"Unconditional")&gt;0),"GHG unconditional and conditional",IF(COUNTIFS(Targets!A:A,A536,Targets!H:H,"Transport sector mitigation target",Targets!J:J,"GHG",Targets!L:L,"Conditional")&gt;0,"GHG conditional only",IF(COUNTIFS(Targets!A:A,A536,Targets!H:H,"Transport sector mitigation target",Targets!J:J,"GHG",Targets!L:L,"Unconditional")&gt;0,"GHG unconditional only",IF(COUNTIFS(Targets!A:A,A536,Targets!H:H,"Transport sector mitigation target",Targets!J:J,"GHG",Targets!L:L,"Unclear conditionality")&gt;0,"Conditionality unclear",""))))))</f>
        <v>Conditionality unclear</v>
      </c>
      <c r="N536" s="17" t="str" cm="1">
        <f t="array" ref="N536">IF(ISNUMBER(MATCH("Transport sector adaptation target", _xlfn._xlws.FILTER(Targets!H:H, Targets!A:A =A536), 0)), "yes", "no")</f>
        <v>no</v>
      </c>
      <c r="O536" s="17" t="str">
        <f>IF(ISNA(MATCH(A536, Mitigation!A:A, 0)), "no", "yes")</f>
        <v>yes</v>
      </c>
      <c r="P536" s="17" t="str">
        <f>IF(ISNA(MATCH(A536, Adaptation!A:A, 0)), "no", "yes")</f>
        <v>yes</v>
      </c>
      <c r="Q536" s="17" t="str">
        <f>IF(ISNA(MATCH(A536, Benefits!A:A, 0)), "no", "yes")</f>
        <v>no</v>
      </c>
      <c r="R536" s="17"/>
      <c r="S536" s="148"/>
      <c r="T536" s="17"/>
      <c r="U536" s="148" t="s">
        <v>1053</v>
      </c>
      <c r="V536" s="207" t="str">
        <f>VLOOKUP(Table1[[#This Row],[Country Code]],Table29[],3,FALSE)</f>
        <v>Non-Annex I</v>
      </c>
      <c r="W536" s="207" t="str">
        <f>VLOOKUP(Table1[[#This Row],[Country Code]],Table29[],4,FALSE)</f>
        <v>Latin America and the Caribbean</v>
      </c>
      <c r="X536" s="233" t="str">
        <f>VLOOKUP(Table1[[#This Row],[Country Code]],Table29[],5,FALSE)</f>
        <v>Middle-income</v>
      </c>
      <c r="Y536" s="17" t="s">
        <v>1035</v>
      </c>
      <c r="Z536" s="17"/>
    </row>
    <row r="537" spans="1:26" ht="15" customHeight="1" x14ac:dyDescent="0.25">
      <c r="A537" s="405">
        <v>43950</v>
      </c>
      <c r="B537" s="20" t="s">
        <v>394</v>
      </c>
      <c r="C537" s="207" t="str">
        <f>VLOOKUP(Table1[[#This Row],[Country Code]],Table29[],2,FALSE)</f>
        <v>Singapore</v>
      </c>
      <c r="D537" s="206" t="str">
        <f t="shared" si="18"/>
        <v>Good</v>
      </c>
      <c r="E537" s="20" t="s">
        <v>71</v>
      </c>
      <c r="F537" s="17" t="s">
        <v>694</v>
      </c>
      <c r="G537" s="17" t="str">
        <f t="shared" si="19"/>
        <v>Third NDC</v>
      </c>
      <c r="H537" s="148" t="s">
        <v>695</v>
      </c>
      <c r="I537" s="163" t="s">
        <v>1047</v>
      </c>
      <c r="J537" s="187" t="s">
        <v>505</v>
      </c>
      <c r="K537" s="49" t="str" cm="1">
        <f t="array" ref="K537">IF(ISNUMBER(MATCH("Transport sector mitigation target", _xlfn._xlws.FILTER(Targets!H:H, Targets!A:A =A537), 0)), "yes", "no")</f>
        <v>no</v>
      </c>
      <c r="L537" s="17" t="str">
        <f>IF(K537="no", "No transport target", IF(AND(COUNTIFS(Targets!A:A, A537, Targets!H:H, "Transport sector mitigation target", Targets!J:J, "GHG") &gt; 0, COUNTIFS(Targets!A:A, A537, Targets!H:H, "Transport sector mitigation target", Targets!J:J, "Non GHG") &gt; 0), "GHG and non-GHG target", IF(COUNTIFS(Targets!A:A, A537, Targets!H:H, "Transport sector mitigation target", Targets!J:J, "GHG") &gt; 0, "GHG target", IF(COUNTIFS(Targets!A:A, A537, Targets!H:H, "Transport sector mitigation target", Targets!J:J, "Non GHG") &gt; 0, "non-GHG target", ""))))</f>
        <v>No transport target</v>
      </c>
      <c r="M537" s="17" t="str">
        <f>IF(K537="no","No transport target",IF(L537="non-GHG target","No GHG transport target",IF(AND(COUNTIFS(Targets!A:A,A537,Targets!H:H,"Transport sector mitigation target",Targets!J:J,"GHG",Targets!L:L,"Conditional")&gt;0,COUNTIFS(Targets!A:A,A537,Targets!H:H,"Transport sector mitigation target",Targets!J:J,"GHG",Targets!L:L,"Unconditional")&gt;0),"GHG unconditional and conditional",IF(COUNTIFS(Targets!A:A,A537,Targets!H:H,"Transport sector mitigation target",Targets!J:J,"GHG",Targets!L:L,"Conditional")&gt;0,"GHG conditional only",IF(COUNTIFS(Targets!A:A,A537,Targets!H:H,"Transport sector mitigation target",Targets!J:J,"GHG",Targets!L:L,"Unconditional")&gt;0,"GHG unconditional only",IF(COUNTIFS(Targets!A:A,A537,Targets!H:H,"Transport sector mitigation target",Targets!J:J,"GHG",Targets!L:L,"Unclear conditionality")&gt;0,"Conditionality unclear",""))))))</f>
        <v>No transport target</v>
      </c>
      <c r="N537" s="17" t="str" cm="1">
        <f t="array" ref="N537">IF(ISNUMBER(MATCH("Transport sector adaptation target", _xlfn._xlws.FILTER(Targets!H:H, Targets!A:A =A537), 0)), "yes", "no")</f>
        <v>no</v>
      </c>
      <c r="O537" s="17" t="str">
        <f>IF(ISNA(MATCH(A537, Mitigation!A:A, 0)), "no", "yes")</f>
        <v>yes</v>
      </c>
      <c r="P537" s="17" t="str">
        <f>IF(ISNA(MATCH(A537, Adaptation!A:A, 0)), "no", "yes")</f>
        <v>no</v>
      </c>
      <c r="Q537" s="17" t="str">
        <f>IF(ISNA(MATCH(A537, Benefits!A:A, 0)), "no", "yes")</f>
        <v>no</v>
      </c>
      <c r="R537" s="17"/>
      <c r="S537" s="148"/>
      <c r="T537" s="17"/>
      <c r="U537" s="148" t="s">
        <v>1054</v>
      </c>
      <c r="V537" s="207" t="str">
        <f>VLOOKUP(Table1[[#This Row],[Country Code]],Table29[],3,FALSE)</f>
        <v>Non-Annex I</v>
      </c>
      <c r="W537" s="207" t="str">
        <f>VLOOKUP(Table1[[#This Row],[Country Code]],Table29[],4,FALSE)</f>
        <v>Asia</v>
      </c>
      <c r="X537" s="233" t="str">
        <f>VLOOKUP(Table1[[#This Row],[Country Code]],Table29[],5,FALSE)</f>
        <v>High-income</v>
      </c>
      <c r="Y537" s="17" t="s">
        <v>1055</v>
      </c>
      <c r="Z537" s="17"/>
    </row>
    <row r="538" spans="1:26" ht="15" customHeight="1" x14ac:dyDescent="0.25">
      <c r="A538" s="405">
        <v>26793</v>
      </c>
      <c r="B538" s="17" t="s">
        <v>452</v>
      </c>
      <c r="C538" s="206" t="str">
        <f>VLOOKUP(Table1[[#This Row],[Country Code]],Table29[],2,FALSE)</f>
        <v>United States of America</v>
      </c>
      <c r="D538" s="243" t="str">
        <f t="shared" si="18"/>
        <v>Good</v>
      </c>
      <c r="E538" s="20" t="s">
        <v>227</v>
      </c>
      <c r="F538" s="17" t="s">
        <v>227</v>
      </c>
      <c r="G538" s="43" t="str">
        <f t="shared" si="19"/>
        <v>LTS</v>
      </c>
      <c r="H538" s="17" t="s">
        <v>722</v>
      </c>
      <c r="I538" s="149">
        <v>44501</v>
      </c>
      <c r="J538" s="187" t="s">
        <v>505</v>
      </c>
      <c r="K538" s="49" t="str" cm="1">
        <f t="array" ref="K538">IF(ISNUMBER(MATCH("Transport sector mitigation target", _xlfn._xlws.FILTER(Targets!H:H, Targets!A:A =A538), 0)), "yes", "no")</f>
        <v>yes</v>
      </c>
      <c r="L538" s="17" t="str">
        <f>IF(K538="no", "No transport target", IF(AND(COUNTIFS(Targets!A:A, A538, Targets!H:H, "Transport sector mitigation target", Targets!J:J, "GHG") &gt; 0, COUNTIFS(Targets!A:A, A538, Targets!H:H, "Transport sector mitigation target", Targets!J:J, "Non GHG") &gt; 0), "GHG and non-GHG target", IF(COUNTIFS(Targets!A:A, A538, Targets!H:H, "Transport sector mitigation target", Targets!J:J, "GHG") &gt; 0, "GHG target", IF(COUNTIFS(Targets!A:A, A538, Targets!H:H, "Transport sector mitigation target", Targets!J:J, "Non GHG") &gt; 0, "non-GHG target", ""))))</f>
        <v>non-GHG target</v>
      </c>
      <c r="M538" s="17" t="str">
        <f>IF(K538="no","No transport target",IF(L538="non-GHG target","No GHG transport target",IF(AND(COUNTIFS(Targets!A:A,A538,Targets!H:H,"Transport sector mitigation target",Targets!J:J,"GHG",Targets!L:L,"Conditional")&gt;0,COUNTIFS(Targets!A:A,A538,Targets!H:H,"Transport sector mitigation target",Targets!J:J,"GHG",Targets!L:L,"Unconditional")&gt;0),"GHG unconditional and conditional",IF(COUNTIFS(Targets!A:A,A538,Targets!H:H,"Transport sector mitigation target",Targets!J:J,"GHG",Targets!L:L,"Conditional")&gt;0,"GHG conditional only",IF(COUNTIFS(Targets!A:A,A538,Targets!H:H,"Transport sector mitigation target",Targets!J:J,"GHG",Targets!L:L,"Unconditional")&gt;0,"GHG unconditional only",IF(COUNTIFS(Targets!A:A,A538,Targets!H:H,"Transport sector mitigation target",Targets!J:J,"GHG",Targets!L:L,"Unclear conditionality")&gt;0,"Conditionality unclear",""))))))</f>
        <v>No GHG transport target</v>
      </c>
      <c r="N538" s="17" t="str" cm="1">
        <f t="array" ref="N538">IF(ISNUMBER(MATCH("Transport sector adaptation target", _xlfn._xlws.FILTER(Targets!H:H, Targets!A:A =A538), 0)), "yes", "no")</f>
        <v>no</v>
      </c>
      <c r="O538" s="17" t="str">
        <f>IF(ISNA(MATCH(A538, Mitigation!A:A, 0)), "no", "yes")</f>
        <v>yes</v>
      </c>
      <c r="P538" s="17" t="str">
        <f>IF(ISNA(MATCH(A538, Adaptation!A:A, 0)), "no", "yes")</f>
        <v>no</v>
      </c>
      <c r="Q538" s="17" t="str">
        <f>IF(ISNA(MATCH(A538, Benefits!A:A, 0)), "no", "yes")</f>
        <v>no</v>
      </c>
      <c r="R538" s="17"/>
      <c r="S538" s="17"/>
      <c r="T538" s="17" t="s">
        <v>501</v>
      </c>
      <c r="U538" s="135" t="s">
        <v>1056</v>
      </c>
      <c r="V538" s="207" t="str">
        <f>VLOOKUP(Table1[[#This Row],[Country Code]],Table29[],3,FALSE)</f>
        <v>Annex I</v>
      </c>
      <c r="W538" s="207" t="str">
        <f>VLOOKUP(Table1[[#This Row],[Country Code]],Table29[],4,FALSE)</f>
        <v>Northern America</v>
      </c>
      <c r="X538" s="207" t="str">
        <f>VLOOKUP(Table1[[#This Row],[Country Code]],Table29[],5,FALSE)</f>
        <v>High-income</v>
      </c>
      <c r="Y538" s="17"/>
      <c r="Z538" s="17"/>
    </row>
    <row r="539" spans="1:26" ht="15" customHeight="1" x14ac:dyDescent="0.25">
      <c r="A539" s="405">
        <v>43860</v>
      </c>
      <c r="B539" s="20" t="s">
        <v>418</v>
      </c>
      <c r="C539" s="207" t="str">
        <f>VLOOKUP(Table1[[#This Row],[Country Code]],Table29[],2,FALSE)</f>
        <v>Switzerland</v>
      </c>
      <c r="D539" s="206" t="str">
        <f t="shared" si="18"/>
        <v>Good</v>
      </c>
      <c r="E539" s="20" t="s">
        <v>71</v>
      </c>
      <c r="F539" s="17" t="s">
        <v>694</v>
      </c>
      <c r="G539" s="17" t="str">
        <f t="shared" si="19"/>
        <v>Third NDC</v>
      </c>
      <c r="H539" s="148" t="s">
        <v>695</v>
      </c>
      <c r="I539" s="163">
        <v>45686</v>
      </c>
      <c r="J539" s="187" t="s">
        <v>505</v>
      </c>
      <c r="K539" s="49" t="str" cm="1">
        <f t="array" ref="K539">IF(ISNUMBER(MATCH("Transport sector mitigation target", _xlfn._xlws.FILTER(Targets!H:H, Targets!A:A =A539), 0)), "yes", "no")</f>
        <v>yes</v>
      </c>
      <c r="L539" s="17" t="str">
        <f>IF(K539="no", "No transport target", IF(AND(COUNTIFS(Targets!A:A, A539, Targets!H:H, "Transport sector mitigation target", Targets!J:J, "GHG") &gt; 0, COUNTIFS(Targets!A:A, A539, Targets!H:H, "Transport sector mitigation target", Targets!J:J, "Non GHG") &gt; 0), "GHG and non-GHG target", IF(COUNTIFS(Targets!A:A, A539, Targets!H:H, "Transport sector mitigation target", Targets!J:J, "GHG") &gt; 0, "GHG target", IF(COUNTIFS(Targets!A:A, A539, Targets!H:H, "Transport sector mitigation target", Targets!J:J, "Non GHG") &gt; 0, "non-GHG target", ""))))</f>
        <v>GHG target</v>
      </c>
      <c r="M539" s="17" t="str">
        <f>IF(K539="no","No transport target",IF(L539="non-GHG target","No GHG transport target",IF(AND(COUNTIFS(Targets!A:A,A539,Targets!H:H,"Transport sector mitigation target",Targets!J:J,"GHG",Targets!L:L,"Conditional")&gt;0,COUNTIFS(Targets!A:A,A539,Targets!H:H,"Transport sector mitigation target",Targets!J:J,"GHG",Targets!L:L,"Unconditional")&gt;0),"GHG unconditional and conditional",IF(COUNTIFS(Targets!A:A,A539,Targets!H:H,"Transport sector mitigation target",Targets!J:J,"GHG",Targets!L:L,"Conditional")&gt;0,"GHG conditional only",IF(COUNTIFS(Targets!A:A,A539,Targets!H:H,"Transport sector mitigation target",Targets!J:J,"GHG",Targets!L:L,"Unconditional")&gt;0,"GHG unconditional only",IF(COUNTIFS(Targets!A:A,A539,Targets!H:H,"Transport sector mitigation target",Targets!J:J,"GHG",Targets!L:L,"Unclear conditionality")&gt;0,"Conditionality unclear",""))))))</f>
        <v>Conditionality unclear</v>
      </c>
      <c r="N539" s="17" t="str" cm="1">
        <f t="array" ref="N539">IF(ISNUMBER(MATCH("Transport sector adaptation target", _xlfn._xlws.FILTER(Targets!H:H, Targets!A:A =A539), 0)), "yes", "no")</f>
        <v>no</v>
      </c>
      <c r="O539" s="17" t="str">
        <f>IF(ISNA(MATCH(A539, Mitigation!A:A, 0)), "no", "yes")</f>
        <v>yes</v>
      </c>
      <c r="P539" s="17" t="str">
        <f>IF(ISNA(MATCH(A539, Adaptation!A:A, 0)), "no", "yes")</f>
        <v>no</v>
      </c>
      <c r="Q539" s="17" t="str">
        <f>IF(ISNA(MATCH(A539, Benefits!A:A, 0)), "no", "yes")</f>
        <v>no</v>
      </c>
      <c r="R539" s="17"/>
      <c r="S539" s="148"/>
      <c r="T539" s="17"/>
      <c r="U539" s="171" t="s">
        <v>1057</v>
      </c>
      <c r="V539" s="207" t="str">
        <f>VLOOKUP(Table1[[#This Row],[Country Code]],Table29[],3,FALSE)</f>
        <v>Annex I</v>
      </c>
      <c r="W539" s="207" t="str">
        <f>VLOOKUP(Table1[[#This Row],[Country Code]],Table29[],4,FALSE)</f>
        <v>Europe</v>
      </c>
      <c r="X539" s="233" t="str">
        <f>VLOOKUP(Table1[[#This Row],[Country Code]],Table29[],5,FALSE)</f>
        <v>High-income</v>
      </c>
      <c r="Y539" s="17"/>
      <c r="Z539" s="17"/>
    </row>
    <row r="540" spans="1:26" ht="15" customHeight="1" x14ac:dyDescent="0.25">
      <c r="A540" s="405">
        <v>26821</v>
      </c>
      <c r="B540" s="17" t="s">
        <v>454</v>
      </c>
      <c r="C540" s="206" t="str">
        <f>VLOOKUP(Table1[[#This Row],[Country Code]],Table29[],2,FALSE)</f>
        <v>Uruguay</v>
      </c>
      <c r="D540" s="243" t="str">
        <f t="shared" si="18"/>
        <v>Good</v>
      </c>
      <c r="E540" s="20" t="s">
        <v>227</v>
      </c>
      <c r="F540" s="17" t="s">
        <v>227</v>
      </c>
      <c r="G540" s="43" t="str">
        <f t="shared" si="19"/>
        <v>LTS</v>
      </c>
      <c r="H540" s="17" t="s">
        <v>636</v>
      </c>
      <c r="I540" s="149">
        <v>44558</v>
      </c>
      <c r="J540" s="187" t="s">
        <v>505</v>
      </c>
      <c r="K540" s="49" t="str" cm="1">
        <f t="array" ref="K540">IF(ISNUMBER(MATCH("Transport sector mitigation target", _xlfn._xlws.FILTER(Targets!H:H, Targets!A:A =A540), 0)), "yes", "no")</f>
        <v>yes</v>
      </c>
      <c r="L540" s="17" t="str">
        <f>IF(K540="no", "No transport target", IF(AND(COUNTIFS(Targets!A:A, A540, Targets!H:H, "Transport sector mitigation target", Targets!J:J, "GHG") &gt; 0, COUNTIFS(Targets!A:A, A540, Targets!H:H, "Transport sector mitigation target", Targets!J:J, "Non GHG") &gt; 0), "GHG and non-GHG target", IF(COUNTIFS(Targets!A:A, A540, Targets!H:H, "Transport sector mitigation target", Targets!J:J, "GHG") &gt; 0, "GHG target", IF(COUNTIFS(Targets!A:A, A540, Targets!H:H, "Transport sector mitigation target", Targets!J:J, "Non GHG") &gt; 0, "non-GHG target", ""))))</f>
        <v>non-GHG target</v>
      </c>
      <c r="M540" s="17" t="str">
        <f>IF(K540="no","No transport target",IF(L540="non-GHG target","No GHG transport target",IF(AND(COUNTIFS(Targets!A:A,A540,Targets!H:H,"Transport sector mitigation target",Targets!J:J,"GHG",Targets!L:L,"Conditional")&gt;0,COUNTIFS(Targets!A:A,A540,Targets!H:H,"Transport sector mitigation target",Targets!J:J,"GHG",Targets!L:L,"Unconditional")&gt;0),"GHG unconditional and conditional",IF(COUNTIFS(Targets!A:A,A540,Targets!H:H,"Transport sector mitigation target",Targets!J:J,"GHG",Targets!L:L,"Conditional")&gt;0,"GHG conditional only",IF(COUNTIFS(Targets!A:A,A540,Targets!H:H,"Transport sector mitigation target",Targets!J:J,"GHG",Targets!L:L,"Unconditional")&gt;0,"GHG unconditional only",IF(COUNTIFS(Targets!A:A,A540,Targets!H:H,"Transport sector mitigation target",Targets!J:J,"GHG",Targets!L:L,"Unclear conditionality")&gt;0,"Conditionality unclear",""))))))</f>
        <v>No GHG transport target</v>
      </c>
      <c r="N540" s="17" t="str" cm="1">
        <f t="array" ref="N540">IF(ISNUMBER(MATCH("Transport sector adaptation target", _xlfn._xlws.FILTER(Targets!H:H, Targets!A:A =A540), 0)), "yes", "no")</f>
        <v>no</v>
      </c>
      <c r="O540" s="17" t="str">
        <f>IF(ISNA(MATCH(A540, Mitigation!A:A, 0)), "no", "yes")</f>
        <v>yes</v>
      </c>
      <c r="P540" s="17" t="str">
        <f>IF(ISNA(MATCH(A540, Adaptation!A:A, 0)), "no", "yes")</f>
        <v>no</v>
      </c>
      <c r="Q540" s="17" t="str">
        <f>IF(ISNA(MATCH(A540, Benefits!A:A, 0)), "no", "yes")</f>
        <v>no</v>
      </c>
      <c r="R540" s="17"/>
      <c r="S540" s="17"/>
      <c r="T540" s="17" t="s">
        <v>501</v>
      </c>
      <c r="U540" s="135" t="s">
        <v>1058</v>
      </c>
      <c r="V540" s="207" t="str">
        <f>VLOOKUP(Table1[[#This Row],[Country Code]],Table29[],3,FALSE)</f>
        <v>Non-Annex I</v>
      </c>
      <c r="W540" s="207" t="str">
        <f>VLOOKUP(Table1[[#This Row],[Country Code]],Table29[],4,FALSE)</f>
        <v>Latin America and the Caribbean</v>
      </c>
      <c r="X540" s="207" t="str">
        <f>VLOOKUP(Table1[[#This Row],[Country Code]],Table29[],5,FALSE)</f>
        <v>High-income</v>
      </c>
      <c r="Y540" s="17"/>
      <c r="Z540" s="17"/>
    </row>
    <row r="541" spans="1:26" ht="15" customHeight="1" x14ac:dyDescent="0.25">
      <c r="A541" s="360">
        <v>43711</v>
      </c>
      <c r="B541" s="20" t="s">
        <v>418</v>
      </c>
      <c r="C541" s="207" t="str">
        <f>VLOOKUP(Table1[[#This Row],[Country Code]],Table29[],2,FALSE)</f>
        <v>Switzerland</v>
      </c>
      <c r="D541" s="243" t="str">
        <f t="shared" si="18"/>
        <v>Good</v>
      </c>
      <c r="E541" s="20" t="s">
        <v>71</v>
      </c>
      <c r="F541" s="17" t="s">
        <v>694</v>
      </c>
      <c r="G541" s="17" t="str">
        <f t="shared" si="19"/>
        <v>Third NDC</v>
      </c>
      <c r="H541" s="148" t="s">
        <v>695</v>
      </c>
      <c r="I541" s="163">
        <v>45610</v>
      </c>
      <c r="J541" s="187" t="s">
        <v>500</v>
      </c>
      <c r="K541" s="49" t="str" cm="1">
        <f t="array" ref="K541">IF(ISNUMBER(MATCH("Transport sector mitigation target", _xlfn._xlws.FILTER(Targets!H:H, Targets!A:A =A541), 0)), "yes", "no")</f>
        <v>no</v>
      </c>
      <c r="L541" s="17" t="str">
        <f>IF(K541="no", "No transport target", IF(AND(COUNTIFS(Targets!A:A, A541, Targets!H:H, "Transport sector mitigation target", Targets!J:J, "GHG") &gt; 0, COUNTIFS(Targets!A:A, A541, Targets!H:H, "Transport sector mitigation target", Targets!J:J, "Non GHG") &gt; 0), "GHG and non-GHG target", IF(COUNTIFS(Targets!A:A, A541, Targets!H:H, "Transport sector mitigation target", Targets!J:J, "GHG") &gt; 0, "GHG target", IF(COUNTIFS(Targets!A:A, A541, Targets!H:H, "Transport sector mitigation target", Targets!J:J, "Non GHG") &gt; 0, "non-GHG target", ""))))</f>
        <v>No transport target</v>
      </c>
      <c r="M541" s="17" t="str">
        <f>IF(K541="no","No transport target",IF(L541="non-GHG target","No GHG transport target",IF(AND(COUNTIFS(Targets!A:A,A541,Targets!H:H,"Transport sector mitigation target",Targets!J:J,"GHG",Targets!L:L,"Conditional")&gt;0,COUNTIFS(Targets!A:A,A541,Targets!H:H,"Transport sector mitigation target",Targets!J:J,"GHG",Targets!L:L,"Unconditional")&gt;0),"GHG unconditional and conditional",IF(COUNTIFS(Targets!A:A,A541,Targets!H:H,"Transport sector mitigation target",Targets!J:J,"GHG",Targets!L:L,"Conditional")&gt;0,"GHG conditional only",IF(COUNTIFS(Targets!A:A,A541,Targets!H:H,"Transport sector mitigation target",Targets!J:J,"GHG",Targets!L:L,"Unconditional")&gt;0,"GHG unconditional only",IF(COUNTIFS(Targets!A:A,A541,Targets!H:H,"Transport sector mitigation target",Targets!J:J,"GHG",Targets!L:L,"Unclear conditionality")&gt;0,"Conditionality unclear",""))))))</f>
        <v>No transport target</v>
      </c>
      <c r="N541" s="17" t="str" cm="1">
        <f t="array" ref="N541">IF(ISNUMBER(MATCH("Transport sector adaptation target", _xlfn._xlws.FILTER(Targets!H:H, Targets!A:A =A541), 0)), "yes", "no")</f>
        <v>no</v>
      </c>
      <c r="O541" s="17" t="str">
        <f>IF(ISNA(MATCH(A541, Mitigation!A:A, 0)), "no", "yes")</f>
        <v>no</v>
      </c>
      <c r="P541" s="17" t="str">
        <f>IF(ISNA(MATCH(A541, Adaptation!A:A, 0)), "no", "yes")</f>
        <v>no</v>
      </c>
      <c r="Q541" s="17" t="str">
        <f>IF(ISNA(MATCH(A541, Benefits!A:A, 0)), "no", "yes")</f>
        <v>no</v>
      </c>
      <c r="R541" s="17"/>
      <c r="S541" s="148"/>
      <c r="T541" s="17"/>
      <c r="U541" s="171" t="s">
        <v>1059</v>
      </c>
      <c r="V541" s="207" t="str">
        <f>VLOOKUP(Table1[[#This Row],[Country Code]],Table29[],3,FALSE)</f>
        <v>Annex I</v>
      </c>
      <c r="W541" s="207" t="str">
        <f>VLOOKUP(Table1[[#This Row],[Country Code]],Table29[],4,FALSE)</f>
        <v>Europe</v>
      </c>
      <c r="X541" s="207" t="str">
        <f>VLOOKUP(Table1[[#This Row],[Country Code]],Table29[],5,FALSE)</f>
        <v>High-income</v>
      </c>
      <c r="Y541" s="17"/>
      <c r="Z541" s="17"/>
    </row>
    <row r="542" spans="1:26" ht="15" customHeight="1" x14ac:dyDescent="0.25">
      <c r="A542" s="405">
        <v>29231</v>
      </c>
      <c r="B542" s="19" t="s">
        <v>458</v>
      </c>
      <c r="C542" s="206" t="str">
        <f>VLOOKUP(Table1[[#This Row],[Country Code]],Table29[],2,FALSE)</f>
        <v>Vanuatu</v>
      </c>
      <c r="D542" s="243" t="str">
        <f t="shared" si="18"/>
        <v>Good</v>
      </c>
      <c r="E542" s="20" t="s">
        <v>71</v>
      </c>
      <c r="F542" s="17" t="s">
        <v>528</v>
      </c>
      <c r="G542" s="43" t="str">
        <f t="shared" si="19"/>
        <v>First NDC updated</v>
      </c>
      <c r="H542" s="17" t="s">
        <v>743</v>
      </c>
      <c r="I542" s="163">
        <v>44782</v>
      </c>
      <c r="J542" s="187" t="s">
        <v>505</v>
      </c>
      <c r="K542" s="49" t="str" cm="1">
        <f t="array" ref="K542">IF(ISNUMBER(MATCH("Transport sector mitigation target", _xlfn._xlws.FILTER(Targets!H:H, Targets!A:A =A542), 0)), "yes", "no")</f>
        <v>yes</v>
      </c>
      <c r="L542" s="17" t="str">
        <f>IF(K542="no", "No transport target", IF(AND(COUNTIFS(Targets!A:A, A542, Targets!H:H, "Transport sector mitigation target", Targets!J:J, "GHG") &gt; 0, COUNTIFS(Targets!A:A, A542, Targets!H:H, "Transport sector mitigation target", Targets!J:J, "Non GHG") &gt; 0), "GHG and non-GHG target", IF(COUNTIFS(Targets!A:A, A542, Targets!H:H, "Transport sector mitigation target", Targets!J:J, "GHG") &gt; 0, "GHG target", IF(COUNTIFS(Targets!A:A, A542, Targets!H:H, "Transport sector mitigation target", Targets!J:J, "Non GHG") &gt; 0, "non-GHG target", ""))))</f>
        <v>non-GHG target</v>
      </c>
      <c r="M542" s="17" t="str">
        <f>IF(K542="no","No transport target",IF(L542="non-GHG target","No GHG transport target",IF(AND(COUNTIFS(Targets!A:A,A542,Targets!H:H,"Transport sector mitigation target",Targets!J:J,"GHG",Targets!L:L,"Conditional")&gt;0,COUNTIFS(Targets!A:A,A542,Targets!H:H,"Transport sector mitigation target",Targets!J:J,"GHG",Targets!L:L,"Unconditional")&gt;0),"GHG unconditional and conditional",IF(COUNTIFS(Targets!A:A,A542,Targets!H:H,"Transport sector mitigation target",Targets!J:J,"GHG",Targets!L:L,"Conditional")&gt;0,"GHG conditional only",IF(COUNTIFS(Targets!A:A,A542,Targets!H:H,"Transport sector mitigation target",Targets!J:J,"GHG",Targets!L:L,"Unconditional")&gt;0,"GHG unconditional only",IF(COUNTIFS(Targets!A:A,A542,Targets!H:H,"Transport sector mitigation target",Targets!J:J,"GHG",Targets!L:L,"Unclear conditionality")&gt;0,"Conditionality unclear",""))))))</f>
        <v>No GHG transport target</v>
      </c>
      <c r="N542" s="17" t="str" cm="1">
        <f t="array" ref="N542">IF(ISNUMBER(MATCH("Transport sector adaptation target", _xlfn._xlws.FILTER(Targets!H:H, Targets!A:A =A542), 0)), "yes", "no")</f>
        <v>no</v>
      </c>
      <c r="O542" s="17" t="str">
        <f>IF(ISNA(MATCH(A542, Mitigation!A:A, 0)), "no", "yes")</f>
        <v>yes</v>
      </c>
      <c r="P542" s="17" t="str">
        <f>IF(ISNA(MATCH(A542, Adaptation!A:A, 0)), "no", "yes")</f>
        <v>yes</v>
      </c>
      <c r="Q542" s="17" t="str">
        <f>IF(ISNA(MATCH(A542, Benefits!A:A, 0)), "no", "yes")</f>
        <v>yes</v>
      </c>
      <c r="R542" s="17"/>
      <c r="S542" s="17"/>
      <c r="T542" s="17" t="s">
        <v>501</v>
      </c>
      <c r="U542" s="135" t="s">
        <v>1060</v>
      </c>
      <c r="V542" s="207" t="str">
        <f>VLOOKUP(Table1[[#This Row],[Country Code]],Table29[],3,FALSE)</f>
        <v>Non-Annex I</v>
      </c>
      <c r="W542" s="207" t="str">
        <f>VLOOKUP(Table1[[#This Row],[Country Code]],Table29[],4,FALSE)</f>
        <v>Oceania</v>
      </c>
      <c r="X542" s="207" t="str">
        <f>VLOOKUP(Table1[[#This Row],[Country Code]],Table29[],5,FALSE)</f>
        <v>Middle-income</v>
      </c>
      <c r="Y542" s="17"/>
      <c r="Z542" s="17"/>
    </row>
    <row r="543" spans="1:26" ht="15" customHeight="1" x14ac:dyDescent="0.25">
      <c r="A543" s="405">
        <v>39450</v>
      </c>
      <c r="B543" s="19" t="s">
        <v>458</v>
      </c>
      <c r="C543" s="206" t="str">
        <f>VLOOKUP(Table1[[#This Row],[Country Code]],Table29[],2,FALSE)</f>
        <v>Vanuatu</v>
      </c>
      <c r="D543" s="243" t="str">
        <f t="shared" si="18"/>
        <v>Good</v>
      </c>
      <c r="E543" s="20" t="s">
        <v>227</v>
      </c>
      <c r="F543" s="43" t="s">
        <v>227</v>
      </c>
      <c r="G543" s="43" t="str">
        <f t="shared" si="19"/>
        <v>LTS</v>
      </c>
      <c r="H543" s="148" t="s">
        <v>636</v>
      </c>
      <c r="I543" s="163">
        <v>45063</v>
      </c>
      <c r="J543" s="187" t="s">
        <v>505</v>
      </c>
      <c r="K543" s="49" t="str" cm="1">
        <f t="array" ref="K543">IF(ISNUMBER(MATCH("Transport sector mitigation target", _xlfn._xlws.FILTER(Targets!H:H, Targets!A:A =A543), 0)), "yes", "no")</f>
        <v>yes</v>
      </c>
      <c r="L543" s="17" t="str">
        <f>IF(K543="no", "No transport target", IF(AND(COUNTIFS(Targets!A:A, A543, Targets!H:H, "Transport sector mitigation target", Targets!J:J, "GHG") &gt; 0, COUNTIFS(Targets!A:A, A543, Targets!H:H, "Transport sector mitigation target", Targets!J:J, "Non GHG") &gt; 0), "GHG and non-GHG target", IF(COUNTIFS(Targets!A:A, A543, Targets!H:H, "Transport sector mitigation target", Targets!J:J, "GHG") &gt; 0, "GHG target", IF(COUNTIFS(Targets!A:A, A543, Targets!H:H, "Transport sector mitigation target", Targets!J:J, "Non GHG") &gt; 0, "non-GHG target", ""))))</f>
        <v>GHG target</v>
      </c>
      <c r="M543" s="17" t="str">
        <f>IF(K543="no","No transport target",IF(L543="non-GHG target","No GHG transport target",IF(AND(COUNTIFS(Targets!A:A,A543,Targets!H:H,"Transport sector mitigation target",Targets!J:J,"GHG",Targets!L:L,"Conditional")&gt;0,COUNTIFS(Targets!A:A,A543,Targets!H:H,"Transport sector mitigation target",Targets!J:J,"GHG",Targets!L:L,"Unconditional")&gt;0),"GHG unconditional and conditional",IF(COUNTIFS(Targets!A:A,A543,Targets!H:H,"Transport sector mitigation target",Targets!J:J,"GHG",Targets!L:L,"Conditional")&gt;0,"GHG conditional only",IF(COUNTIFS(Targets!A:A,A543,Targets!H:H,"Transport sector mitigation target",Targets!J:J,"GHG",Targets!L:L,"Unconditional")&gt;0,"GHG unconditional only",IF(COUNTIFS(Targets!A:A,A543,Targets!H:H,"Transport sector mitigation target",Targets!J:J,"GHG",Targets!L:L,"Unclear conditionality")&gt;0,"Conditionality unclear",""))))))</f>
        <v>GHG conditional only</v>
      </c>
      <c r="N543" s="17" t="str" cm="1">
        <f t="array" ref="N543">IF(ISNUMBER(MATCH("Transport sector adaptation target", _xlfn._xlws.FILTER(Targets!H:H, Targets!A:A =A543), 0)), "yes", "no")</f>
        <v>no</v>
      </c>
      <c r="O543" s="17" t="str">
        <f>IF(ISNA(MATCH(A543, Mitigation!A:A, 0)), "no", "yes")</f>
        <v>yes</v>
      </c>
      <c r="P543" s="17" t="str">
        <f>IF(ISNA(MATCH(A543, Adaptation!A:A, 0)), "no", "yes")</f>
        <v>no</v>
      </c>
      <c r="Q543" s="17" t="str">
        <f>IF(ISNA(MATCH(A543, Benefits!A:A, 0)), "no", "yes")</f>
        <v>no</v>
      </c>
      <c r="R543" s="17"/>
      <c r="S543" s="17"/>
      <c r="T543" s="17" t="s">
        <v>501</v>
      </c>
      <c r="U543" s="172" t="s">
        <v>1061</v>
      </c>
      <c r="V543" s="207" t="str">
        <f>VLOOKUP(Table1[[#This Row],[Country Code]],Table29[],3,FALSE)</f>
        <v>Non-Annex I</v>
      </c>
      <c r="W543" s="207" t="str">
        <f>VLOOKUP(Table1[[#This Row],[Country Code]],Table29[],4,FALSE)</f>
        <v>Oceania</v>
      </c>
      <c r="X543" s="207" t="str">
        <f>VLOOKUP(Table1[[#This Row],[Country Code]],Table29[],5,FALSE)</f>
        <v>Middle-income</v>
      </c>
      <c r="Y543" s="17" t="s">
        <v>953</v>
      </c>
      <c r="Z543" s="17"/>
    </row>
    <row r="544" spans="1:26" ht="15" customHeight="1" x14ac:dyDescent="0.25">
      <c r="A544" s="405">
        <v>43699</v>
      </c>
      <c r="B544" s="20" t="s">
        <v>446</v>
      </c>
      <c r="C544" s="207" t="s">
        <v>447</v>
      </c>
      <c r="D544" s="243" t="str">
        <f t="shared" si="18"/>
        <v>Good</v>
      </c>
      <c r="E544" s="20" t="s">
        <v>71</v>
      </c>
      <c r="F544" s="17" t="s">
        <v>694</v>
      </c>
      <c r="G544" s="17" t="str">
        <f t="shared" si="19"/>
        <v>Third NDC</v>
      </c>
      <c r="H544" s="148" t="s">
        <v>695</v>
      </c>
      <c r="I544" s="163">
        <v>45602</v>
      </c>
      <c r="J544" s="187" t="s">
        <v>505</v>
      </c>
      <c r="K544" s="49" t="str" cm="1">
        <f t="array" ref="K544">IF(ISNUMBER(MATCH("Transport sector mitigation target", _xlfn._xlws.FILTER(Targets!H:H, Targets!A:A =A544), 0)), "yes", "no")</f>
        <v>yes</v>
      </c>
      <c r="L544" s="17" t="str">
        <f>IF(K544="no", "No transport target", IF(AND(COUNTIFS(Targets!A:A, A544, Targets!H:H, "Transport sector mitigation target", Targets!J:J, "GHG") &gt; 0, COUNTIFS(Targets!A:A, A544, Targets!H:H, "Transport sector mitigation target", Targets!J:J, "Non GHG") &gt; 0), "GHG and non-GHG target", IF(COUNTIFS(Targets!A:A, A544, Targets!H:H, "Transport sector mitigation target", Targets!J:J, "GHG") &gt; 0, "GHG target", IF(COUNTIFS(Targets!A:A, A544, Targets!H:H, "Transport sector mitigation target", Targets!J:J, "Non GHG") &gt; 0, "non-GHG target", ""))))</f>
        <v>GHG and non-GHG target</v>
      </c>
      <c r="M544" s="17" t="str">
        <f>IF(K544="no","No transport target",IF(L544="non-GHG target","No GHG transport target",IF(AND(COUNTIFS(Targets!A:A,A544,Targets!H:H,"Transport sector mitigation target",Targets!J:J,"GHG",Targets!L:L,"Conditional")&gt;0,COUNTIFS(Targets!A:A,A544,Targets!H:H,"Transport sector mitigation target",Targets!J:J,"GHG",Targets!L:L,"Unconditional")&gt;0),"GHG unconditional and conditional",IF(COUNTIFS(Targets!A:A,A544,Targets!H:H,"Transport sector mitigation target",Targets!J:J,"GHG",Targets!L:L,"Conditional")&gt;0,"GHG conditional only",IF(COUNTIFS(Targets!A:A,A544,Targets!H:H,"Transport sector mitigation target",Targets!J:J,"GHG",Targets!L:L,"Unconditional")&gt;0,"GHG unconditional only",IF(COUNTIFS(Targets!A:A,A544,Targets!H:H,"Transport sector mitigation target",Targets!J:J,"GHG",Targets!L:L,"Unclear conditionality")&gt;0,"Conditionality unclear",""))))))</f>
        <v>GHG unconditional only</v>
      </c>
      <c r="N544" s="17" t="str" cm="1">
        <f t="array" ref="N544">IF(ISNUMBER(MATCH("Transport sector adaptation target", _xlfn._xlws.FILTER(Targets!H:H, Targets!A:A =A544), 0)), "yes", "no")</f>
        <v>no</v>
      </c>
      <c r="O544" s="17" t="str">
        <f>IF(ISNA(MATCH(A544, Mitigation!A:A, 0)), "no", "yes")</f>
        <v>yes</v>
      </c>
      <c r="P544" s="17" t="str">
        <f>IF(ISNA(MATCH(A544, Adaptation!A:A, 0)), "no", "yes")</f>
        <v>yes</v>
      </c>
      <c r="Q544" s="17" t="str">
        <f>IF(ISNA(MATCH(A544, Benefits!A:A, 0)), "no", "yes")</f>
        <v>no</v>
      </c>
      <c r="R544" s="148"/>
      <c r="S544" s="148"/>
      <c r="T544" s="17"/>
      <c r="U544" s="171" t="s">
        <v>1062</v>
      </c>
      <c r="V544" s="207" t="str">
        <f>VLOOKUP(Table1[[#This Row],[Country Code]],Table29[],3,FALSE)</f>
        <v>Non-Annex I</v>
      </c>
      <c r="W544" s="207" t="str">
        <f>VLOOKUP(Table1[[#This Row],[Country Code]],Table29[],4,FALSE)</f>
        <v>Asia</v>
      </c>
      <c r="X544" s="233" t="str">
        <f>VLOOKUP(Table1[[#This Row],[Country Code]],Table29[],5,FALSE)</f>
        <v>High-income</v>
      </c>
      <c r="Y544" s="17" t="s">
        <v>1063</v>
      </c>
      <c r="Z544" s="17"/>
    </row>
    <row r="545" spans="1:26" ht="15" customHeight="1" x14ac:dyDescent="0.25">
      <c r="A545" s="405">
        <v>43857</v>
      </c>
      <c r="B545" s="20" t="s">
        <v>448</v>
      </c>
      <c r="C545" s="207" t="str">
        <f>VLOOKUP(Table1[[#This Row],[Country Code]],Table29[],2,FALSE)</f>
        <v>United Kingdom</v>
      </c>
      <c r="D545" s="243" t="str">
        <f t="shared" ref="D545:D548" si="20">IF(J545&lt;&gt;"Active",
    "Good",
    IF(COUNTIFS(C:C, C545, E:E, E545, J:J, "Active")&gt;1,
       IF(E545="LTS", "Error: more than one LTS active",
          IF(E545="NDC", "Error: more than one NDC active", "Error")
       ),
       "Good"
    )
)</f>
        <v>Good</v>
      </c>
      <c r="E545" s="20" t="s">
        <v>71</v>
      </c>
      <c r="F545" s="17" t="s">
        <v>694</v>
      </c>
      <c r="G545" s="17" t="str">
        <f t="shared" ref="G545:G548" si="21">IF(H545="NDC 1.0","First NDC",
IF(OR(H545="NDC 1.1",H545="NDC 1.2",H545="NDC 1.3"),"First NDC updated",
IF(H545="NDC 2.0","Second NDC",
IF(OR(H545="NDC 2.1",H545="NDC 2.2",H545="NDC 2.3"),"Second NDC updated",
IF(H545="NDC 3.0","Third NDC",
IF(OR(H545="NDC 3.1",H545="NDC 3.2",H545="NDC 3.3"),"Third NDC updated",
F545))))))</f>
        <v>Third NDC</v>
      </c>
      <c r="H545" s="148" t="s">
        <v>695</v>
      </c>
      <c r="I545" s="163">
        <v>45687</v>
      </c>
      <c r="J545" s="187" t="s">
        <v>505</v>
      </c>
      <c r="K545" s="49" t="str" cm="1">
        <f t="array" ref="K545">IF(ISNUMBER(MATCH("Transport sector mitigation target", _xlfn._xlws.FILTER(Targets!H:H, Targets!A:A =A545), 0)), "yes", "no")</f>
        <v>yes</v>
      </c>
      <c r="L545" s="17" t="str">
        <f>IF(K545="no", "No transport target", IF(AND(COUNTIFS(Targets!A:A, A545, Targets!H:H, "Transport sector mitigation target", Targets!J:J, "GHG") &gt; 0, COUNTIFS(Targets!A:A, A545, Targets!H:H, "Transport sector mitigation target", Targets!J:J, "Non GHG") &gt; 0), "GHG and non-GHG target", IF(COUNTIFS(Targets!A:A, A545, Targets!H:H, "Transport sector mitigation target", Targets!J:J, "GHG") &gt; 0, "GHG target", IF(COUNTIFS(Targets!A:A, A545, Targets!H:H, "Transport sector mitigation target", Targets!J:J, "Non GHG") &gt; 0, "non-GHG target", ""))))</f>
        <v>non-GHG target</v>
      </c>
      <c r="M545" s="17" t="str">
        <f>IF(K545="no","No transport target",IF(L545="non-GHG target","No GHG transport target",IF(AND(COUNTIFS(Targets!A:A,A545,Targets!H:H,"Transport sector mitigation target",Targets!J:J,"GHG",Targets!L:L,"Conditional")&gt;0,COUNTIFS(Targets!A:A,A545,Targets!H:H,"Transport sector mitigation target",Targets!J:J,"GHG",Targets!L:L,"Unconditional")&gt;0),"GHG unconditional and conditional",IF(COUNTIFS(Targets!A:A,A545,Targets!H:H,"Transport sector mitigation target",Targets!J:J,"GHG",Targets!L:L,"Conditional")&gt;0,"GHG conditional only",IF(COUNTIFS(Targets!A:A,A545,Targets!H:H,"Transport sector mitigation target",Targets!J:J,"GHG",Targets!L:L,"Unconditional")&gt;0,"GHG unconditional only",IF(COUNTIFS(Targets!A:A,A545,Targets!H:H,"Transport sector mitigation target",Targets!J:J,"GHG",Targets!L:L,"Unclear conditionality")&gt;0,"Conditionality unclear",""))))))</f>
        <v>No GHG transport target</v>
      </c>
      <c r="N545" s="17" t="str" cm="1">
        <f t="array" ref="N545">IF(ISNUMBER(MATCH("Transport sector adaptation target", _xlfn._xlws.FILTER(Targets!H:H, Targets!A:A =A545), 0)), "yes", "no")</f>
        <v>no</v>
      </c>
      <c r="O545" s="17" t="str">
        <f>IF(ISNA(MATCH(A545, Mitigation!A:A, 0)), "no", "yes")</f>
        <v>yes</v>
      </c>
      <c r="P545" s="17" t="str">
        <f>IF(ISNA(MATCH(A545, Adaptation!A:A, 0)), "no", "yes")</f>
        <v>no</v>
      </c>
      <c r="Q545" s="17" t="str">
        <f>IF(ISNA(MATCH(A545, Benefits!A:A, 0)), "no", "yes")</f>
        <v>yes</v>
      </c>
      <c r="R545" s="17"/>
      <c r="S545" s="148"/>
      <c r="T545" s="17"/>
      <c r="U545" s="411" t="s">
        <v>1064</v>
      </c>
      <c r="V545" s="207" t="str">
        <f>VLOOKUP(Table1[[#This Row],[Country Code]],Table29[],3,FALSE)</f>
        <v>Annex I</v>
      </c>
      <c r="W545" s="207" t="str">
        <f>VLOOKUP(Table1[[#This Row],[Country Code]],Table29[],4,FALSE)</f>
        <v>Europe</v>
      </c>
      <c r="X545" s="233" t="str">
        <f>VLOOKUP(Table1[[#This Row],[Country Code]],Table29[],5,FALSE)</f>
        <v>High-income</v>
      </c>
      <c r="Y545" s="17" t="s">
        <v>1065</v>
      </c>
      <c r="Z545" s="17"/>
    </row>
    <row r="546" spans="1:26" ht="15" customHeight="1" x14ac:dyDescent="0.25">
      <c r="A546" s="405">
        <v>43701</v>
      </c>
      <c r="B546" s="20" t="s">
        <v>452</v>
      </c>
      <c r="C546" s="207" t="str">
        <f>VLOOKUP(Table1[[#This Row],[Country Code]],Table29[],2,FALSE)</f>
        <v>United States of America</v>
      </c>
      <c r="D546" s="243" t="str">
        <f t="shared" si="20"/>
        <v>Good</v>
      </c>
      <c r="E546" s="20" t="s">
        <v>71</v>
      </c>
      <c r="F546" s="17" t="s">
        <v>694</v>
      </c>
      <c r="G546" s="17" t="str">
        <f t="shared" si="21"/>
        <v>Third NDC</v>
      </c>
      <c r="H546" s="148" t="s">
        <v>695</v>
      </c>
      <c r="I546" s="163">
        <v>45645</v>
      </c>
      <c r="J546" s="187" t="s">
        <v>505</v>
      </c>
      <c r="K546" s="49" t="str" cm="1">
        <f t="array" ref="K546">IF(ISNUMBER(MATCH("Transport sector mitigation target", _xlfn._xlws.FILTER(Targets!H:H, Targets!A:A =A546), 0)), "yes", "no")</f>
        <v>no</v>
      </c>
      <c r="L546" s="17" t="str">
        <f>IF(K546="no", "No transport target", IF(AND(COUNTIFS(Targets!A:A, A546, Targets!H:H, "Transport sector mitigation target", Targets!J:J, "GHG") &gt; 0, COUNTIFS(Targets!A:A, A546, Targets!H:H, "Transport sector mitigation target", Targets!J:J, "Non GHG") &gt; 0), "GHG and non-GHG target", IF(COUNTIFS(Targets!A:A, A546, Targets!H:H, "Transport sector mitigation target", Targets!J:J, "GHG") &gt; 0, "GHG target", IF(COUNTIFS(Targets!A:A, A546, Targets!H:H, "Transport sector mitigation target", Targets!J:J, "Non GHG") &gt; 0, "non-GHG target", ""))))</f>
        <v>No transport target</v>
      </c>
      <c r="M546" s="17" t="str">
        <f>IF(K546="no","No transport target",IF(L546="non-GHG target","No GHG transport target",IF(AND(COUNTIFS(Targets!A:A,A546,Targets!H:H,"Transport sector mitigation target",Targets!J:J,"GHG",Targets!L:L,"Conditional")&gt;0,COUNTIFS(Targets!A:A,A546,Targets!H:H,"Transport sector mitigation target",Targets!J:J,"GHG",Targets!L:L,"Unconditional")&gt;0),"GHG unconditional and conditional",IF(COUNTIFS(Targets!A:A,A546,Targets!H:H,"Transport sector mitigation target",Targets!J:J,"GHG",Targets!L:L,"Conditional")&gt;0,"GHG conditional only",IF(COUNTIFS(Targets!A:A,A546,Targets!H:H,"Transport sector mitigation target",Targets!J:J,"GHG",Targets!L:L,"Unconditional")&gt;0,"GHG unconditional only",IF(COUNTIFS(Targets!A:A,A546,Targets!H:H,"Transport sector mitigation target",Targets!J:J,"GHG",Targets!L:L,"Unclear conditionality")&gt;0,"Conditionality unclear",""))))))</f>
        <v>No transport target</v>
      </c>
      <c r="N546" s="17" t="str" cm="1">
        <f t="array" ref="N546">IF(ISNUMBER(MATCH("Transport sector adaptation target", _xlfn._xlws.FILTER(Targets!H:H, Targets!A:A =A546), 0)), "yes", "no")</f>
        <v>no</v>
      </c>
      <c r="O546" s="17" t="str">
        <f>IF(ISNA(MATCH(A546, Mitigation!A:A, 0)), "no", "yes")</f>
        <v>yes</v>
      </c>
      <c r="P546" s="17" t="str">
        <f>IF(ISNA(MATCH(A546, Adaptation!A:A, 0)), "no", "yes")</f>
        <v>no</v>
      </c>
      <c r="Q546" s="17" t="str">
        <f>IF(ISNA(MATCH(A546, Benefits!A:A, 0)), "no", "yes")</f>
        <v>no</v>
      </c>
      <c r="R546" s="17"/>
      <c r="S546" s="148"/>
      <c r="T546" s="17"/>
      <c r="U546" s="411" t="s">
        <v>1066</v>
      </c>
      <c r="V546" s="207" t="str">
        <f>VLOOKUP(Table1[[#This Row],[Country Code]],Table29[],3,FALSE)</f>
        <v>Annex I</v>
      </c>
      <c r="W546" s="207" t="str">
        <f>VLOOKUP(Table1[[#This Row],[Country Code]],Table29[],4,FALSE)</f>
        <v>Northern America</v>
      </c>
      <c r="X546" s="233" t="str">
        <f>VLOOKUP(Table1[[#This Row],[Country Code]],Table29[],5,FALSE)</f>
        <v>High-income</v>
      </c>
      <c r="Y546" s="17"/>
      <c r="Z546" s="17"/>
    </row>
    <row r="547" spans="1:26" ht="15" customHeight="1" x14ac:dyDescent="0.25">
      <c r="A547" s="405">
        <v>43764</v>
      </c>
      <c r="B547" s="20" t="s">
        <v>454</v>
      </c>
      <c r="C547" s="207" t="str">
        <f>VLOOKUP(Table1[[#This Row],[Country Code]],Table29[],2,FALSE)</f>
        <v>Uruguay</v>
      </c>
      <c r="D547" s="243" t="str">
        <f t="shared" si="20"/>
        <v>Good</v>
      </c>
      <c r="E547" s="20" t="s">
        <v>71</v>
      </c>
      <c r="F547" s="17" t="s">
        <v>694</v>
      </c>
      <c r="G547" s="17" t="str">
        <f t="shared" si="21"/>
        <v>Third NDC</v>
      </c>
      <c r="H547" s="148" t="s">
        <v>695</v>
      </c>
      <c r="I547" s="163">
        <v>45656</v>
      </c>
      <c r="J547" s="187" t="s">
        <v>505</v>
      </c>
      <c r="K547" s="49" t="str" cm="1">
        <f t="array" ref="K547">IF(ISNUMBER(MATCH("Transport sector mitigation target", _xlfn._xlws.FILTER(Targets!H:H, Targets!A:A =A547), 0)), "yes", "no")</f>
        <v>no</v>
      </c>
      <c r="L547" s="17" t="str">
        <f>IF(K547="no", "No transport target", IF(AND(COUNTIFS(Targets!A:A, A547, Targets!H:H, "Transport sector mitigation target", Targets!J:J, "GHG") &gt; 0, COUNTIFS(Targets!A:A, A547, Targets!H:H, "Transport sector mitigation target", Targets!J:J, "Non GHG") &gt; 0), "GHG and non-GHG target", IF(COUNTIFS(Targets!A:A, A547, Targets!H:H, "Transport sector mitigation target", Targets!J:J, "GHG") &gt; 0, "GHG target", IF(COUNTIFS(Targets!A:A, A547, Targets!H:H, "Transport sector mitigation target", Targets!J:J, "Non GHG") &gt; 0, "non-GHG target", ""))))</f>
        <v>No transport target</v>
      </c>
      <c r="M547" s="17" t="str">
        <f>IF(K547="no","No transport target",IF(L547="non-GHG target","No GHG transport target",IF(AND(COUNTIFS(Targets!A:A,A547,Targets!H:H,"Transport sector mitigation target",Targets!J:J,"GHG",Targets!L:L,"Conditional")&gt;0,COUNTIFS(Targets!A:A,A547,Targets!H:H,"Transport sector mitigation target",Targets!J:J,"GHG",Targets!L:L,"Unconditional")&gt;0),"GHG unconditional and conditional",IF(COUNTIFS(Targets!A:A,A547,Targets!H:H,"Transport sector mitigation target",Targets!J:J,"GHG",Targets!L:L,"Conditional")&gt;0,"GHG conditional only",IF(COUNTIFS(Targets!A:A,A547,Targets!H:H,"Transport sector mitigation target",Targets!J:J,"GHG",Targets!L:L,"Unconditional")&gt;0,"GHG unconditional only",IF(COUNTIFS(Targets!A:A,A547,Targets!H:H,"Transport sector mitigation target",Targets!J:J,"GHG",Targets!L:L,"Unclear conditionality")&gt;0,"Conditionality unclear",""))))))</f>
        <v>No transport target</v>
      </c>
      <c r="N547" s="17" t="str" cm="1">
        <f t="array" ref="N547">IF(ISNUMBER(MATCH("Transport sector adaptation target", _xlfn._xlws.FILTER(Targets!H:H, Targets!A:A =A547), 0)), "yes", "no")</f>
        <v>no</v>
      </c>
      <c r="O547" s="17" t="str">
        <f>IF(ISNA(MATCH(A547, Mitigation!A:A, 0)), "no", "yes")</f>
        <v>yes</v>
      </c>
      <c r="P547" s="17" t="str">
        <f>IF(ISNA(MATCH(A547, Adaptation!A:A, 0)), "no", "yes")</f>
        <v>no</v>
      </c>
      <c r="Q547" s="17" t="str">
        <f>IF(ISNA(MATCH(A547, Benefits!A:A, 0)), "no", "yes")</f>
        <v>no</v>
      </c>
      <c r="R547" s="17"/>
      <c r="S547" s="148"/>
      <c r="T547" s="17"/>
      <c r="U547" s="411" t="s">
        <v>1067</v>
      </c>
      <c r="V547" s="207" t="str">
        <f>VLOOKUP(Table1[[#This Row],[Country Code]],Table29[],3,FALSE)</f>
        <v>Non-Annex I</v>
      </c>
      <c r="W547" s="207" t="str">
        <f>VLOOKUP(Table1[[#This Row],[Country Code]],Table29[],4,FALSE)</f>
        <v>Latin America and the Caribbean</v>
      </c>
      <c r="X547" s="233" t="str">
        <f>VLOOKUP(Table1[[#This Row],[Country Code]],Table29[],5,FALSE)</f>
        <v>High-income</v>
      </c>
      <c r="Y547" s="17"/>
      <c r="Z547" s="17"/>
    </row>
    <row r="548" spans="1:26" ht="15" customHeight="1" x14ac:dyDescent="0.25">
      <c r="A548" s="405">
        <v>43986</v>
      </c>
      <c r="B548" s="20" t="s">
        <v>470</v>
      </c>
      <c r="C548" s="207" t="str">
        <f>VLOOKUP(Table1[[#This Row],[Country Code]],Table29[],2,FALSE)</f>
        <v>Zimbabwe</v>
      </c>
      <c r="D548" s="206" t="str">
        <f t="shared" si="20"/>
        <v>Good</v>
      </c>
      <c r="E548" s="20" t="s">
        <v>71</v>
      </c>
      <c r="F548" s="17" t="s">
        <v>694</v>
      </c>
      <c r="G548" s="17" t="str">
        <f t="shared" si="21"/>
        <v>Third NDC</v>
      </c>
      <c r="H548" s="148" t="s">
        <v>695</v>
      </c>
      <c r="I548" s="163">
        <v>45698</v>
      </c>
      <c r="J548" s="187" t="s">
        <v>505</v>
      </c>
      <c r="K548" s="49" t="str" cm="1">
        <f t="array" ref="K548">IF(ISNUMBER(MATCH("Transport sector mitigation target", _xlfn._xlws.FILTER(Targets!H:H, Targets!A:A =A548), 0)), "yes", "no")</f>
        <v>no</v>
      </c>
      <c r="L548" s="17" t="str">
        <f>IF(K548="no", "No transport target", IF(AND(COUNTIFS(Targets!A:A, A548, Targets!H:H, "Transport sector mitigation target", Targets!J:J, "GHG") &gt; 0, COUNTIFS(Targets!A:A, A548, Targets!H:H, "Transport sector mitigation target", Targets!J:J, "Non GHG") &gt; 0), "GHG and non-GHG target", IF(COUNTIFS(Targets!A:A, A548, Targets!H:H, "Transport sector mitigation target", Targets!J:J, "GHG") &gt; 0, "GHG target", IF(COUNTIFS(Targets!A:A, A548, Targets!H:H, "Transport sector mitigation target", Targets!J:J, "Non GHG") &gt; 0, "non-GHG target", ""))))</f>
        <v>No transport target</v>
      </c>
      <c r="M548" s="17" t="str">
        <f>IF(K548="no","No transport target",IF(L548="non-GHG target","No GHG transport target",IF(AND(COUNTIFS(Targets!A:A,A548,Targets!H:H,"Transport sector mitigation target",Targets!J:J,"GHG",Targets!L:L,"Conditional")&gt;0,COUNTIFS(Targets!A:A,A548,Targets!H:H,"Transport sector mitigation target",Targets!J:J,"GHG",Targets!L:L,"Unconditional")&gt;0),"GHG unconditional and conditional",IF(COUNTIFS(Targets!A:A,A548,Targets!H:H,"Transport sector mitigation target",Targets!J:J,"GHG",Targets!L:L,"Conditional")&gt;0,"GHG conditional only",IF(COUNTIFS(Targets!A:A,A548,Targets!H:H,"Transport sector mitigation target",Targets!J:J,"GHG",Targets!L:L,"Unconditional")&gt;0,"GHG unconditional only",IF(COUNTIFS(Targets!A:A,A548,Targets!H:H,"Transport sector mitigation target",Targets!J:J,"GHG",Targets!L:L,"Unclear conditionality")&gt;0,"Conditionality unclear",""))))))</f>
        <v>No transport target</v>
      </c>
      <c r="N548" s="17" t="str" cm="1">
        <f t="array" ref="N548">IF(ISNUMBER(MATCH("Transport sector adaptation target", _xlfn._xlws.FILTER(Targets!H:H, Targets!A:A =A548), 0)), "yes", "no")</f>
        <v>no</v>
      </c>
      <c r="O548" s="17" t="str">
        <f>IF(ISNA(MATCH(A548, Mitigation!A:A, 0)), "no", "yes")</f>
        <v>no</v>
      </c>
      <c r="P548" s="17" t="str">
        <f>IF(ISNA(MATCH(A548, Adaptation!A:A, 0)), "no", "yes")</f>
        <v>yes</v>
      </c>
      <c r="Q548" s="17" t="str">
        <f>IF(ISNA(MATCH(A548, Benefits!A:A, 0)), "no", "yes")</f>
        <v>no</v>
      </c>
      <c r="R548" s="17"/>
      <c r="S548" s="148"/>
      <c r="T548" s="17"/>
      <c r="U548" s="148" t="s">
        <v>1068</v>
      </c>
      <c r="V548" s="207" t="str">
        <f>VLOOKUP(Table1[[#This Row],[Country Code]],Table29[],3,FALSE)</f>
        <v>Non-Annex I</v>
      </c>
      <c r="W548" s="207" t="str">
        <f>VLOOKUP(Table1[[#This Row],[Country Code]],Table29[],4,FALSE)</f>
        <v>Africa</v>
      </c>
      <c r="X548" s="233" t="str">
        <f>VLOOKUP(Table1[[#This Row],[Country Code]],Table29[],5,FALSE)</f>
        <v>Middle-income</v>
      </c>
      <c r="Y548" s="17" t="s">
        <v>1069</v>
      </c>
      <c r="Z548" s="17"/>
    </row>
    <row r="549" spans="1:26" ht="15" customHeight="1" x14ac:dyDescent="0.25">
      <c r="A549" s="571">
        <v>59187</v>
      </c>
      <c r="B549" s="20" t="s">
        <v>468</v>
      </c>
      <c r="C549" s="207" t="str">
        <f>VLOOKUP(Table1[[#This Row],[Country Code]],Table29[],2,FALSE)</f>
        <v>Zambia</v>
      </c>
      <c r="D549" s="572" t="str">
        <f>IF(J549&lt;&gt;"Active",
    "Good",
    IF(COUNTIFS(C:C, C549, E:E, E549, J:J, "Active")&gt;1,
       IF(E549="LTS", "Error: more than one LTS active",
          IF(E549="NDC", "Error: more than one NDC active", "Error")
       ),
       "Good"
    )
)</f>
        <v>Good</v>
      </c>
      <c r="E549" s="20" t="s">
        <v>71</v>
      </c>
      <c r="F549" s="17" t="s">
        <v>694</v>
      </c>
      <c r="G549" s="573" t="str">
        <f>IF(H549="NDC 1.0","First NDC",
IF(OR(H549="NDC 1.1",H549="NDC 1.2",H549="NDC 1.3"),"First NDC updated",
IF(H549="NDC 2.0","Second NDC",
IF(OR(H549="NDC 2.1",H549="NDC 2.2",H549="NDC 2.3"),"Second NDC updated",
IF(H549="NDC 3.0","Third NDC",
IF(OR(H549="NDC 3.1",H549="NDC 3.2",H549="NDC 3.3"),"Third NDC updated",
F549))))))</f>
        <v>Third NDC</v>
      </c>
      <c r="H549" s="148" t="s">
        <v>695</v>
      </c>
      <c r="I549" s="163">
        <v>45726</v>
      </c>
      <c r="J549" s="187" t="s">
        <v>505</v>
      </c>
      <c r="K549" s="574" t="str" cm="1">
        <f t="array" ref="K549">IF(ISNUMBER(MATCH("Transport sector mitigation target", _xlfn._xlws.FILTER(Targets!H:H, Targets!A:A =A549), 0)), "yes", "no")</f>
        <v>no</v>
      </c>
      <c r="L549" s="573" t="str">
        <f>IF(K549="no", "No transport target", IF(AND(COUNTIFS(Targets!A:A, A549, Targets!H:H, "Transport sector mitigation target", Targets!J:J, "GHG") &gt; 0, COUNTIFS(Targets!A:A, A549, Targets!H:H, "Transport sector mitigation target", Targets!J:J, "Non GHG") &gt; 0), "GHG and non-GHG target", IF(COUNTIFS(Targets!A:A, A549, Targets!H:H, "Transport sector mitigation target", Targets!J:J, "GHG") &gt; 0, "GHG target", IF(COUNTIFS(Targets!A:A, A549, Targets!H:H, "Transport sector mitigation target", Targets!J:J, "Non GHG") &gt; 0, "non-GHG target", ""))))</f>
        <v>No transport target</v>
      </c>
      <c r="M549" s="573" t="str">
        <f>IF(K549="no","No transport target",IF(L549="non-GHG target","No GHG transport target",IF(AND(COUNTIFS(Targets!A:A,A549,Targets!H:H,"Transport sector mitigation target",Targets!J:J,"GHG",Targets!L:L,"Conditional")&gt;0,COUNTIFS(Targets!A:A,A549,Targets!H:H,"Transport sector mitigation target",Targets!J:J,"GHG",Targets!L:L,"Unconditional")&gt;0),"GHG unconditional and conditional",IF(COUNTIFS(Targets!A:A,A549,Targets!H:H,"Transport sector mitigation target",Targets!J:J,"GHG",Targets!L:L,"Conditional")&gt;0,"GHG conditional only",IF(COUNTIFS(Targets!A:A,A549,Targets!H:H,"Transport sector mitigation target",Targets!J:J,"GHG",Targets!L:L,"Unconditional")&gt;0,"GHG unconditional only",IF(COUNTIFS(Targets!A:A,A549,Targets!H:H,"Transport sector mitigation target",Targets!J:J,"GHG",Targets!L:L,"Unclear conditionality")&gt;0,"Conditionality unclear",""))))))</f>
        <v>No transport target</v>
      </c>
      <c r="N549" s="573" t="str" cm="1">
        <f t="array" ref="N549">IF(ISNUMBER(MATCH("Transport sector adaptation target", _xlfn._xlws.FILTER(Targets!H:H, Targets!A:A =A549), 0)), "yes", "no")</f>
        <v>no</v>
      </c>
      <c r="O549" s="573" t="str">
        <f>IF(ISNA(MATCH(A549, Mitigation!A:A, 0)), "no", "yes")</f>
        <v>no</v>
      </c>
      <c r="P549" s="573" t="str">
        <f>IF(ISNA(MATCH(A549, Adaptation!A:A, 0)), "no", "yes")</f>
        <v>yes</v>
      </c>
      <c r="Q549" s="573" t="str">
        <f>IF(ISNA(MATCH(A549, Benefits!A:A, 0)), "no", "yes")</f>
        <v>no</v>
      </c>
      <c r="R549" s="17"/>
      <c r="S549" s="148"/>
      <c r="T549" s="17"/>
      <c r="U549" s="171" t="s">
        <v>6448</v>
      </c>
      <c r="V549" s="575" t="str">
        <f>VLOOKUP(Table1[[#This Row],[Country Code]],Table29[],3,FALSE)</f>
        <v>Non-Annex I</v>
      </c>
      <c r="W549" s="207" t="str">
        <f>VLOOKUP(Table1[[#This Row],[Country Code]],Table29[],4,FALSE)</f>
        <v>Africa</v>
      </c>
      <c r="X549" s="575" t="str">
        <f>VLOOKUP(Table1[[#This Row],[Country Code]],Table29[],5,FALSE)</f>
        <v>Middle-income</v>
      </c>
      <c r="Y549" s="17" t="s">
        <v>6444</v>
      </c>
      <c r="Z549" s="17"/>
    </row>
  </sheetData>
  <sortState xmlns:xlrd2="http://schemas.microsoft.com/office/spreadsheetml/2017/richdata2" ref="AC27:AE97">
    <sortCondition ref="AC27:AC97"/>
  </sortState>
  <mergeCells count="1">
    <mergeCell ref="K7:M7"/>
  </mergeCells>
  <phoneticPr fontId="14" type="noConversion"/>
  <dataValidations count="1">
    <dataValidation type="list" allowBlank="1" showInputMessage="1" showErrorMessage="1" sqref="K9 N9:Q549 K11:K521" xr:uid="{2487BDFF-C603-4A16-BC62-D2F560F7A487}">
      <formula1>"yes, no"</formula1>
    </dataValidation>
  </dataValidations>
  <hyperlinks>
    <hyperlink ref="U454" r:id="rId1" display="https://unfccc.int/sites/default/files/NDC/2022-11/NDC Norway_second update.pdf" xr:uid="{988D3CD7-189D-4CCE-A5A8-D087ACB202D2}"/>
    <hyperlink ref="U460" r:id="rId2" xr:uid="{B34145EF-BD8F-417B-86FB-846411A5A43D}"/>
    <hyperlink ref="U528" r:id="rId3" xr:uid="{C62A9C2A-94A8-4C58-8DFA-12949A0BBFEB}"/>
    <hyperlink ref="U334" r:id="rId4" xr:uid="{3557DCEF-DBDF-4976-BF9E-94BE5A1E2981}"/>
    <hyperlink ref="U468" r:id="rId5" xr:uid="{3A56EC92-3BE4-4203-A153-3F1F8D720C39}"/>
    <hyperlink ref="U521" r:id="rId6" xr:uid="{1CF5E846-D3AB-4F3C-9037-7D76E398D3A0}"/>
    <hyperlink ref="U251" r:id="rId7" xr:uid="{22A3BFD4-94E5-4D4D-BB47-F8B8F893D628}"/>
    <hyperlink ref="U138" r:id="rId8" xr:uid="{BC2DC728-60A2-4096-A3EA-757970B86AF1}"/>
    <hyperlink ref="U182" r:id="rId9" xr:uid="{82EFDB5A-139D-40A7-AAAC-66C95C030CEB}"/>
    <hyperlink ref="U335" r:id="rId10" xr:uid="{766F34B3-9E6F-43C8-87B8-AA22DDA11B96}"/>
    <hyperlink ref="U253" r:id="rId11" xr:uid="{F5B04567-41DB-43F5-BB8F-395E42606DED}"/>
    <hyperlink ref="U384" r:id="rId12" xr:uid="{F56CCD51-05DC-4A19-8605-382DBB7E8F40}"/>
    <hyperlink ref="U134" r:id="rId13" xr:uid="{3EB10AA6-DAD5-49FB-A7A7-8E8F2332B751}"/>
    <hyperlink ref="U41" r:id="rId14" xr:uid="{5D498E6B-FBDC-4ADC-A4D9-DE229A55D722}"/>
    <hyperlink ref="U104" r:id="rId15" xr:uid="{F9BA96FB-7260-4462-AEF7-BD59405B68A4}"/>
    <hyperlink ref="U233" r:id="rId16" xr:uid="{0542F35A-2AA3-4EBD-A60E-8E3304CEAC6D}"/>
    <hyperlink ref="U459" r:id="rId17" xr:uid="{7886CD40-D263-4B9A-BA35-16E8C626CA47}"/>
    <hyperlink ref="U254" r:id="rId18" xr:uid="{B0B5EEE8-4AE9-4DA7-9350-B2D014EFCC89}"/>
    <hyperlink ref="U312" r:id="rId19" xr:uid="{6BFAF6B1-3CB1-46B4-BA7A-E07F44C3EAB3}"/>
    <hyperlink ref="U42" r:id="rId20" xr:uid="{8C97B091-33C4-43A5-9896-6B7F9C2DB977}"/>
    <hyperlink ref="U186" r:id="rId21" xr:uid="{6B28ACD9-63B6-48AC-9657-11317CEF19BF}"/>
    <hyperlink ref="U132" r:id="rId22" xr:uid="{DBF5E072-96BA-476C-A3F5-F3FEDDF59E19}"/>
    <hyperlink ref="U153" r:id="rId23" xr:uid="{FE479FBB-31F3-45F1-B486-4F7AB61E98E9}"/>
    <hyperlink ref="U306" r:id="rId24" xr:uid="{5D704B72-1513-41B6-85B1-31CFFBEA052D}"/>
    <hyperlink ref="U122" r:id="rId25" xr:uid="{02C209A5-0D45-4D38-9DC4-3A4C82BA5D4D}"/>
    <hyperlink ref="U282" r:id="rId26" xr:uid="{6CBAAEC8-29A7-4AC5-9994-2B7273ADB7F3}"/>
    <hyperlink ref="U380" r:id="rId27" xr:uid="{700D59C3-18F8-41CC-AA2A-C34780ACAEB2}"/>
    <hyperlink ref="U432" r:id="rId28" xr:uid="{D943533C-0834-4D55-AB52-C7859A5EB7AC}"/>
    <hyperlink ref="U142" r:id="rId29" xr:uid="{783D3D8C-83A8-45BA-8461-968810893812}"/>
    <hyperlink ref="U109" r:id="rId30" xr:uid="{604D5263-B28C-4DA2-B2D2-AF9F993B255B}"/>
    <hyperlink ref="U222" r:id="rId31" xr:uid="{DDC63BC2-A949-4226-90A0-45A06F1C28F3}"/>
    <hyperlink ref="U140" r:id="rId32" xr:uid="{A4FDA72E-C5ED-48D6-B07A-06BC1E827CB0}"/>
    <hyperlink ref="U369" r:id="rId33" xr:uid="{CF3FB5E4-8754-4037-A2A2-E91ECCF8151E}"/>
    <hyperlink ref="U45" r:id="rId34" xr:uid="{1E4F02C4-8BFF-42DF-BC7C-81299839E4CC}"/>
    <hyperlink ref="U227" r:id="rId35" xr:uid="{1400A6D4-7EA6-4D87-96D8-CDAD4C211B5C}"/>
    <hyperlink ref="U16" r:id="rId36" xr:uid="{78C51229-49C8-482B-92B6-16761841C1A2}"/>
    <hyperlink ref="U235" r:id="rId37" xr:uid="{BC1C4E52-E79F-4AFA-B158-7DAA69B4C357}"/>
    <hyperlink ref="U43" r:id="rId38" xr:uid="{D16C837F-5236-4A0B-80E0-F7933A9F071B}"/>
    <hyperlink ref="U398" r:id="rId39" xr:uid="{9A3483B0-0860-4EA9-BD01-491EBA248688}"/>
    <hyperlink ref="U15" r:id="rId40" xr:uid="{E1072DF2-30AB-4AD3-AE7A-19BEFA819AAA}"/>
    <hyperlink ref="U239" r:id="rId41" xr:uid="{F3CCAAA2-B298-4D5C-9D89-C1929FFA57F7}"/>
    <hyperlink ref="U178" r:id="rId42" xr:uid="{DDE5C459-71C6-456B-B4CA-1A7F21FF9A71}"/>
    <hyperlink ref="U172" r:id="rId43" xr:uid="{7AA58641-226A-44A9-A7CE-DEE91F36BFBD}"/>
    <hyperlink ref="U317" r:id="rId44" xr:uid="{06CE035E-C788-445C-A4FB-63C45799523B}"/>
    <hyperlink ref="U70" r:id="rId45" xr:uid="{F5735FE4-0F38-4A87-8711-274E274CD716}"/>
    <hyperlink ref="U243" r:id="rId46" xr:uid="{8602E524-E860-40CC-9488-D384CE2F4813}"/>
    <hyperlink ref="U151" r:id="rId47" xr:uid="{2531323A-E96C-4896-BF99-9CBCEDC9698A}"/>
    <hyperlink ref="U303" r:id="rId48" xr:uid="{4854462B-BC94-4805-B24B-E6558F14CC01}"/>
    <hyperlink ref="U124" r:id="rId49" xr:uid="{9DCB2FE1-DF76-495A-AEF5-A27ECFDD3B22}"/>
    <hyperlink ref="U44" r:id="rId50" xr:uid="{49077202-C37F-422B-A0FA-B84CC68DEDB9}"/>
    <hyperlink ref="U279" r:id="rId51" xr:uid="{D654A8E9-FF20-46BC-918D-4C4BD16A45F3}"/>
    <hyperlink ref="U426" r:id="rId52" xr:uid="{D5D07B90-5F57-4897-A686-FC5C5D6162D9}"/>
    <hyperlink ref="U11" r:id="rId53" xr:uid="{37CA8D3F-CD5F-42F2-B65C-DCB8FC28A253}"/>
    <hyperlink ref="U250" r:id="rId54" xr:uid="{8F9D48D3-2BBF-485F-B1F6-DD6BBE0C752E}"/>
    <hyperlink ref="U126" r:id="rId55" xr:uid="{031CECAC-3468-4EFD-ADB5-D2685C54ED13}"/>
    <hyperlink ref="U268" r:id="rId56" xr:uid="{4C65F6E3-6B6B-445C-ABD4-F7C71A7A5934}"/>
    <hyperlink ref="U185" r:id="rId57" xr:uid="{9CB60926-D85B-46BF-8F93-C8AD6B06A793}"/>
    <hyperlink ref="U308" r:id="rId58" xr:uid="{00E2D11F-A808-4E2B-9B13-129F736F432A}"/>
    <hyperlink ref="U175" r:id="rId59" xr:uid="{88CB98DE-FA3F-4932-8F48-009E9D121D5A}"/>
    <hyperlink ref="U271" r:id="rId60" xr:uid="{049579EF-4CEF-436D-8BD8-A93544F4977C}"/>
    <hyperlink ref="U146" r:id="rId61" xr:uid="{C9DCBB3B-9AFE-477D-B790-14691DD11D12}"/>
    <hyperlink ref="U277" r:id="rId62" xr:uid="{DD13CF8E-3A43-4E62-8FFE-4F08185E7A86}"/>
    <hyperlink ref="U33" r:id="rId63" xr:uid="{D1E45ED4-9C8F-4CAE-9953-7890A8CAF37C}"/>
    <hyperlink ref="U399" r:id="rId64" xr:uid="{E3565794-B008-4081-A1D4-9C424A41142B}"/>
    <hyperlink ref="U159" r:id="rId65" xr:uid="{F42D8C83-41E2-4090-872F-51AE0BEBE382}"/>
    <hyperlink ref="U318" r:id="rId66" xr:uid="{C84CD5A0-26F6-4192-BA4F-42C1524B92A1}"/>
    <hyperlink ref="U101" r:id="rId67" xr:uid="{D601A0A5-D4E4-4F1D-8EA8-E8671F650212}"/>
    <hyperlink ref="U423" r:id="rId68" xr:uid="{5FCEE5E8-E938-4AA3-883C-BFEEFF505EF1}"/>
    <hyperlink ref="U143" r:id="rId69" xr:uid="{8CA04D1A-56D3-43D7-A414-853C3F23B27C}"/>
    <hyperlink ref="U371" r:id="rId70" xr:uid="{44C2CD7A-CDA6-4BC3-9B32-C322481363CE}"/>
    <hyperlink ref="U147" r:id="rId71" xr:uid="{8597A3C2-2D15-49E1-9929-41C2D9BCDDA5}"/>
    <hyperlink ref="U285" r:id="rId72" xr:uid="{B8F955AC-540F-44FE-9E0D-A323C09A9D89}"/>
    <hyperlink ref="U35" r:id="rId73" xr:uid="{42BF458D-D629-472B-B13C-CD972DFDCDF6}"/>
    <hyperlink ref="U381" r:id="rId74" xr:uid="{C5BE7B87-ED1F-46F2-9140-2BC5D26AA586}"/>
    <hyperlink ref="U193" r:id="rId75" xr:uid="{A374072B-BC60-44C3-B904-99F61F889B6E}"/>
    <hyperlink ref="U293" r:id="rId76" xr:uid="{FFB70BEB-B29A-409E-9C4E-CA6F4EBE42BA}"/>
    <hyperlink ref="U135" r:id="rId77" xr:uid="{226B2BAA-CDD4-4E5A-8B2D-6E964B91DDB0}"/>
    <hyperlink ref="U395" r:id="rId78" xr:uid="{A3AA394C-C430-4DDA-B98A-F8EDC94448D3}"/>
    <hyperlink ref="U157" r:id="rId79" xr:uid="{A0ACB31D-263E-47DC-B097-3453221D29DA}"/>
    <hyperlink ref="U342" r:id="rId80" xr:uid="{EBF96A83-CAC3-47A4-B304-1870F5165815}"/>
    <hyperlink ref="U34" r:id="rId81" xr:uid="{19A28684-D99B-4C41-B063-DF1EC4512336}"/>
    <hyperlink ref="U102" r:id="rId82" xr:uid="{DFA6944A-B2EF-4D8C-87C8-339F6F4D6ED2}"/>
    <hyperlink ref="U302" r:id="rId83" xr:uid="{C131FC7D-AE6C-4484-A752-920ABA41714E}"/>
    <hyperlink ref="U106" r:id="rId84" xr:uid="{38B4570D-E459-4715-935C-F3F3D8166772}"/>
    <hyperlink ref="U307" r:id="rId85" xr:uid="{4033B30D-1B23-40D8-861A-C537B2018363}"/>
    <hyperlink ref="U141" r:id="rId86" xr:uid="{230861B5-E364-4B57-8C26-20218A385321}"/>
    <hyperlink ref="U309" r:id="rId87" xr:uid="{449F0D7D-8594-4196-AF5A-11B93AB45BED}"/>
    <hyperlink ref="U180" r:id="rId88" xr:uid="{30719BAE-3E4D-4E0D-AAEC-921544663F80}"/>
    <hyperlink ref="U419" r:id="rId89" xr:uid="{0A8C3307-632A-4F22-A7E4-CE873E138043}"/>
    <hyperlink ref="U67" r:id="rId90" xr:uid="{6216EB20-B4F4-42B7-AE7F-70E0256ED9F4}"/>
    <hyperlink ref="U218" r:id="rId91" xr:uid="{CC6F2F47-8DE2-4A41-978A-2740E2D35AA8}"/>
    <hyperlink ref="U125" r:id="rId92" xr:uid="{66E4E2AF-78AE-4D77-A678-0DDDB22F68D4}"/>
    <hyperlink ref="U53" r:id="rId93" xr:uid="{1DB191AF-E1A0-40BA-A2FB-AFD05BC60419}"/>
    <hyperlink ref="U310" r:id="rId94" xr:uid="{8D5C399C-46AB-4219-8B3B-3A6895A02010}"/>
    <hyperlink ref="U176" r:id="rId95" xr:uid="{C673A132-3BD9-4DD0-8415-679C5567EE47}"/>
    <hyperlink ref="U272" r:id="rId96" xr:uid="{1804284D-2EA6-4E47-91F8-850C21E75112}"/>
    <hyperlink ref="U214" r:id="rId97" xr:uid="{FA5C504E-501A-4111-8956-D2B45E181348}"/>
    <hyperlink ref="U215" r:id="rId98" xr:uid="{23300903-980E-4C65-81F2-54BAEF843387}"/>
    <hyperlink ref="U164" r:id="rId99" xr:uid="{CB97725B-5FA2-4E16-BB42-D8F4AB05FB92}"/>
    <hyperlink ref="U435" r:id="rId100" xr:uid="{3AF611B9-FABA-448D-89C9-959F232658AF}"/>
    <hyperlink ref="U155" r:id="rId101" xr:uid="{E9B1E639-36D9-48A5-83F5-EE3B733AB569}"/>
    <hyperlink ref="U321" r:id="rId102" xr:uid="{DAAE86BD-8EEE-466B-8E82-2C227E801550}"/>
    <hyperlink ref="U199" r:id="rId103" xr:uid="{C67009FE-129A-4FCE-9C9F-125361272D4B}"/>
    <hyperlink ref="U448" r:id="rId104" xr:uid="{C02B6197-3CC3-455A-B5EB-21880DAC83C2}"/>
    <hyperlink ref="U192" r:id="rId105" xr:uid="{938FFA2E-1B3E-455D-A116-E9399413F1F5}"/>
    <hyperlink ref="U55" r:id="rId106" xr:uid="{05862E34-D3F9-4654-899C-643BB2513B14}"/>
    <hyperlink ref="U325" r:id="rId107" xr:uid="{E4656D07-806C-4F47-996E-740C38F72FCF}"/>
    <hyperlink ref="U150" r:id="rId108" xr:uid="{AEBC0017-2F75-4606-A0F0-AF31379A0877}"/>
    <hyperlink ref="U323" r:id="rId109" xr:uid="{4A8524DE-4494-4F6D-B7ED-4B8E8A234631}"/>
    <hyperlink ref="U77" r:id="rId110" xr:uid="{C02403D4-6556-4A53-AA75-F9FCC1A9D16B}"/>
    <hyperlink ref="U264" r:id="rId111" xr:uid="{D23B0A8E-B865-4E62-BA17-EFBC9174A203}"/>
    <hyperlink ref="U17" r:id="rId112" xr:uid="{6F24A4C4-6DDA-43B2-9D19-2EE5AFD96D79}"/>
    <hyperlink ref="U331" r:id="rId113" xr:uid="{EBB390AD-497E-4A9B-A70A-762A78CD7000}"/>
    <hyperlink ref="U113" r:id="rId114" xr:uid="{FE8CE9D9-9B19-4EDF-A149-64CC2F60E516}"/>
    <hyperlink ref="U434" r:id="rId115" xr:uid="{09699798-7C7B-41A0-8442-D8340DC3D7FC}"/>
    <hyperlink ref="U120" r:id="rId116" xr:uid="{BCEDAE03-CEB0-4D94-A798-D97BF56B050B}"/>
    <hyperlink ref="U158" r:id="rId117" xr:uid="{CA5BBE06-5573-40C1-AE43-92AA5D29BB2D}"/>
    <hyperlink ref="U344" r:id="rId118" xr:uid="{301D1129-3412-4C89-8D52-8E2E93228076}"/>
    <hyperlink ref="U46" r:id="rId119" xr:uid="{4E28EA5F-629E-4199-A820-151965670465}"/>
    <hyperlink ref="U366" r:id="rId120" xr:uid="{3DDED21C-7B10-4935-97CE-FE2BC90A6CAD}"/>
    <hyperlink ref="U393" r:id="rId121" xr:uid="{D2D88379-65FD-4227-AD61-CDF1D0CFB537}"/>
    <hyperlink ref="U25" r:id="rId122" xr:uid="{DC633C02-5A60-4757-9C20-0D78946B81B7}"/>
    <hyperlink ref="U347" r:id="rId123" xr:uid="{DB38E14A-C0B4-48FD-9BB4-8A662873A95A}"/>
    <hyperlink ref="U145" r:id="rId124" xr:uid="{2FE8C406-F21C-4722-9538-DEA10AF4C4B4}"/>
    <hyperlink ref="U425" r:id="rId125" xr:uid="{03005E3B-DDBF-4026-8238-AE46547F00F6}"/>
    <hyperlink ref="U348" r:id="rId126" xr:uid="{97E23E14-4DD1-46B4-88E8-629AD729F5BC}"/>
    <hyperlink ref="U47" r:id="rId127" xr:uid="{E31FC8EE-DFC4-4552-A006-57031F89D293}"/>
    <hyperlink ref="U350" r:id="rId128" xr:uid="{84D6D4F7-DA5C-4A58-BB70-044C1FF5E4F6}"/>
    <hyperlink ref="U198" r:id="rId129" xr:uid="{93DAD7FC-FF87-4D1D-B7E5-A64DB5361FEA}"/>
    <hyperlink ref="U406" r:id="rId130" xr:uid="{00C3B652-335B-4793-BE4E-DE6B66861E7D}"/>
    <hyperlink ref="U29" r:id="rId131" xr:uid="{4ADA4EC2-4437-4A9B-92AB-205181C278F1}"/>
    <hyperlink ref="U167" r:id="rId132" xr:uid="{9146197A-2758-47D5-9AB8-F801B5E77AAA}"/>
    <hyperlink ref="U352" r:id="rId133" xr:uid="{DE468F47-6291-4BD6-9F96-004138FAA01B}"/>
    <hyperlink ref="U48" r:id="rId134" xr:uid="{63BCD490-7AB5-4AF5-8A6E-8575C6DF6F5E}"/>
    <hyperlink ref="U357" r:id="rId135" xr:uid="{7D59F9B0-2735-4136-AD28-84D7E03882B6}"/>
    <hyperlink ref="U49" r:id="rId136" xr:uid="{7B0ACB4D-F4F4-4770-AAE5-0D15BE97F8E5}"/>
    <hyperlink ref="U297" r:id="rId137" xr:uid="{1B06D9F5-30DF-41E0-911D-BDBDBE1B610D}"/>
    <hyperlink ref="U66" r:id="rId138" xr:uid="{FAC3DA9D-BA32-4638-BEF7-9EE71B9CEFD9}"/>
    <hyperlink ref="U439" r:id="rId139" xr:uid="{D02ECC40-9221-48A0-BCEB-64CC84FC14E7}"/>
    <hyperlink ref="U118" r:id="rId140" xr:uid="{E1358A63-4E1E-4A84-8479-C005F359F495}"/>
    <hyperlink ref="U322" r:id="rId141" xr:uid="{B9DB16BC-6DBB-496B-9000-E93431874F0B}"/>
    <hyperlink ref="U446" r:id="rId142" xr:uid="{DC48C83C-C0DA-425E-9C72-88077059C234}"/>
    <hyperlink ref="U368" r:id="rId143" xr:uid="{CCD2722E-7C16-4060-9F5E-7D66F60A6173}"/>
    <hyperlink ref="U133" r:id="rId144" xr:uid="{205CA743-560F-4001-9E99-6B7F11B8895A}"/>
    <hyperlink ref="U370" r:id="rId145" xr:uid="{1E9826EC-3261-4DA6-88CD-400FD3243E07}"/>
    <hyperlink ref="U156" r:id="rId146" xr:uid="{F34F84CF-3AEC-4491-B1C2-B4EE54FB69BE}"/>
    <hyperlink ref="U236" r:id="rId147" xr:uid="{CDA596B8-5867-48A4-A4B5-52A99D535892}"/>
    <hyperlink ref="U121" r:id="rId148" xr:uid="{94F06D61-4AB7-40E1-A017-A5064FCBD968}"/>
    <hyperlink ref="U229" r:id="rId149" xr:uid="{063F3CB7-0349-4A7D-910D-09682C20EF32}"/>
    <hyperlink ref="U363" r:id="rId150" xr:uid="{C157C9B2-4B1B-4E7B-94F0-A8C7D185AF83}"/>
    <hyperlink ref="U374" r:id="rId151" xr:uid="{EA5E236C-4C16-4414-B3B1-F0892A5D6BF2}"/>
    <hyperlink ref="U117" r:id="rId152" xr:uid="{73F17B96-0DBA-4E98-A55C-6532F95D08C2}"/>
    <hyperlink ref="U383" r:id="rId153" xr:uid="{949C19B2-3ACE-4CFB-80C9-4C702CCDD847}"/>
    <hyperlink ref="U136" r:id="rId154" xr:uid="{5D896B3C-98B4-455D-8E9A-0A4C91F6670E}"/>
    <hyperlink ref="U139" r:id="rId155" xr:uid="{0A8FDD3B-5783-4FA2-A75D-59F2F539A465}"/>
    <hyperlink ref="U267" r:id="rId156" xr:uid="{CF6AE525-98B5-4DEE-A1C5-913A4DB9A238}"/>
    <hyperlink ref="U50" r:id="rId157" xr:uid="{5F2435B8-A915-48C0-B5EF-D660E32D8BAF}"/>
    <hyperlink ref="U189" r:id="rId158" xr:uid="{91667495-3475-4E2B-90F6-14C319FA07D2}"/>
    <hyperlink ref="U408" r:id="rId159" xr:uid="{3D6B8F35-E7A6-4808-BACF-C8AD8D91CBEC}"/>
    <hyperlink ref="U225" r:id="rId160" xr:uid="{667ECDC3-C1CB-41CD-AF24-19477D0C47A9}"/>
    <hyperlink ref="U37" r:id="rId161" xr:uid="{3253E9A2-D2EE-4B3E-8871-56688AECDE08}"/>
    <hyperlink ref="U349" r:id="rId162" xr:uid="{BBFEE74D-584E-4013-BA1C-5D9A2281545B}"/>
    <hyperlink ref="U386" r:id="rId163" xr:uid="{52ECE1FC-B8D3-4B04-8E76-2546FD9FC1FF}"/>
    <hyperlink ref="U223" r:id="rId164" xr:uid="{509B34C2-0404-4622-B6D0-D9F4036145CA}"/>
    <hyperlink ref="U299" r:id="rId165" xr:uid="{07356410-5458-4383-94E5-44AA55CB1A12}"/>
    <hyperlink ref="U144" r:id="rId166" xr:uid="{04124ACC-551A-41B0-A03D-6ECF408D15AE}"/>
    <hyperlink ref="U195" r:id="rId167" xr:uid="{573A6BB8-45DF-4F38-AA9B-4263688E2E98}"/>
    <hyperlink ref="U390" r:id="rId168" xr:uid="{50113B65-BE73-466D-9785-0591D760778D}"/>
    <hyperlink ref="U174" r:id="rId169" xr:uid="{C74C64EF-47D9-4D38-8BAA-AE94C55BA3DC}"/>
    <hyperlink ref="U51" r:id="rId170" xr:uid="{6D00C7E9-5BCB-484F-BE2F-D19E6E59D8CA}"/>
    <hyperlink ref="U165" r:id="rId171" xr:uid="{50B2682A-3FAB-4CDC-974C-55F8CCF73E5F}"/>
    <hyperlink ref="U401" r:id="rId172" xr:uid="{D3E1CC85-1A9C-4082-8498-F52782579A13}"/>
    <hyperlink ref="U129" r:id="rId173" xr:uid="{71055D61-293F-49C6-8E8E-1A34E93EC255}"/>
    <hyperlink ref="U329" r:id="rId174" xr:uid="{361BAE0E-226A-48A9-B8B4-DC6D731603C7}"/>
    <hyperlink ref="U18" r:id="rId175" xr:uid="{FC787F24-113A-49DA-AB56-7FDE9D0B3A2B}"/>
    <hyperlink ref="U269" r:id="rId176" xr:uid="{D7EA20AC-B4B3-4BCB-A244-92EEBEF0ADF0}"/>
    <hyperlink ref="U65" r:id="rId177" xr:uid="{469450E1-37DD-4AD5-A534-EE16416284E8}"/>
    <hyperlink ref="U403" r:id="rId178" xr:uid="{057FCD7F-7B86-49BD-A5BA-C84E96B9FC24}"/>
    <hyperlink ref="U27" r:id="rId179" xr:uid="{1AAA526D-9241-4EBB-9374-B0A786D4BCED}"/>
    <hyperlink ref="U201" r:id="rId180" xr:uid="{DDD508DA-47F0-41E1-A7C1-33CF471248AC}"/>
    <hyperlink ref="U149" r:id="rId181" xr:uid="{C4E4B50D-11B3-4FF9-A02F-56E7E80390B9}"/>
    <hyperlink ref="U409" r:id="rId182" xr:uid="{EF9B33C4-4025-4ADB-8959-9FE36D543551}"/>
    <hyperlink ref="U19" r:id="rId183" xr:uid="{AC637EEF-B0E9-4C4A-BD4B-56B4EE8CF991}"/>
    <hyperlink ref="U410" r:id="rId184" xr:uid="{7CB66DA2-485B-43D6-9B71-EBC8D6E9E8B0}"/>
    <hyperlink ref="U52" r:id="rId185" xr:uid="{086F516D-F6F3-4075-B9BF-D9F7E2EEAA7C}"/>
    <hyperlink ref="U280" r:id="rId186" xr:uid="{FBFF826C-02BC-49FC-89B9-9F275EB207D1}"/>
    <hyperlink ref="U465" r:id="rId187" xr:uid="{F07D85B0-AE95-4117-A311-6FB6FAAB5333}"/>
    <hyperlink ref="U38" r:id="rId188" xr:uid="{7A64E9CC-76A0-4B28-BC82-AB9DE4E52500}"/>
    <hyperlink ref="U447" r:id="rId189" xr:uid="{D8F8765A-B543-46A3-AD37-79B9EE0BE43B}"/>
    <hyperlink ref="U107" r:id="rId190" xr:uid="{F608B63D-B00A-4FAD-9865-0D2E4911EBEF}"/>
    <hyperlink ref="U413" r:id="rId191" xr:uid="{1A74FFFD-62EB-4E74-8226-606D172D78AA}"/>
    <hyperlink ref="U61" r:id="rId192" xr:uid="{9922E2C7-E9D5-4DEC-870D-E96BBA704C80}"/>
    <hyperlink ref="U417" r:id="rId193" xr:uid="{6986DCCA-A49B-4BBB-8524-A6336DF05DEC}"/>
    <hyperlink ref="U181" r:id="rId194" xr:uid="{2A2EF724-AF53-44E4-9903-8A089223C43D}"/>
    <hyperlink ref="U315" r:id="rId195" xr:uid="{9FB34605-39D7-4600-8CBD-06079327C09A}"/>
    <hyperlink ref="U40" r:id="rId196" xr:uid="{9A7B74E8-C51A-4CD2-8AB0-02E9579CB911}"/>
    <hyperlink ref="U420" r:id="rId197" xr:uid="{15A108A2-61EC-4624-97D5-8D9608F2E309}"/>
    <hyperlink ref="U191" r:id="rId198" xr:uid="{2A03C4F4-7914-46B5-A147-E249E0E023AD}"/>
    <hyperlink ref="U421" r:id="rId199" xr:uid="{EE5CB767-5551-4D50-BA6D-D97789F348FA}"/>
    <hyperlink ref="U173" r:id="rId200" xr:uid="{F58D7A1B-B003-439E-AC29-FFE2903A79AF}"/>
    <hyperlink ref="U343" r:id="rId201" xr:uid="{FDF816B6-7F27-4A24-AB17-AD47D3FFA2A4}"/>
    <hyperlink ref="U62" r:id="rId202" xr:uid="{B7A22504-5CB5-449A-AF72-1CB3D9E75141}"/>
    <hyperlink ref="U330" r:id="rId203" xr:uid="{C0500017-E848-4110-91D0-FC3D90B8DE6C}"/>
    <hyperlink ref="U13" r:id="rId204" xr:uid="{0DD0AC49-A1FC-48A6-9B92-2C1EFDE76945}"/>
    <hyperlink ref="U365" r:id="rId205" xr:uid="{903CC884-5B74-4D31-AD3D-1E9013B4C10B}"/>
    <hyperlink ref="U99" r:id="rId206" xr:uid="{C5BE7DAD-AFF7-4CE4-934F-3396FB53EFFE}"/>
    <hyperlink ref="U428" r:id="rId207" xr:uid="{653D1348-E01C-4EFD-A1FF-21E278CE067B}"/>
    <hyperlink ref="U90" r:id="rId208" xr:uid="{DBB655B9-3EF6-43E2-9644-AEE72E49B57A}"/>
    <hyperlink ref="U232" r:id="rId209" xr:uid="{A73FB1D0-F9EA-4B56-AA9B-9F9AEA0EEDB6}"/>
    <hyperlink ref="U391" r:id="rId210" xr:uid="{4280A3CB-80A1-4A95-852F-40859CB9B0FB}"/>
    <hyperlink ref="U196" r:id="rId211" xr:uid="{70D92FD2-2BC5-43B0-A645-FB9A93E19CAA}"/>
    <hyperlink ref="U266" r:id="rId212" xr:uid="{5B7DBE9C-183F-4594-A0C0-6FFD4C34ACBF}"/>
    <hyperlink ref="U54" r:id="rId213" xr:uid="{D7EE9477-AB00-4E4E-A1B4-61569EE8F6B0}"/>
    <hyperlink ref="U433" r:id="rId214" xr:uid="{BE0AE45E-68A6-4B92-8923-65BF9D18F12E}"/>
    <hyperlink ref="U160" r:id="rId215" xr:uid="{12F58507-821E-4897-B5CB-973D605DCBC3}"/>
    <hyperlink ref="U311" r:id="rId216" xr:uid="{25A294F4-44F8-4B77-B025-D87A576A59F2}"/>
    <hyperlink ref="U436" r:id="rId217" xr:uid="{CADD130A-7B01-48BF-88B8-B4F7921E8ABA}"/>
    <hyperlink ref="U108" r:id="rId218" xr:uid="{87F0E4E7-A56F-4C29-BE93-140713DC9D4F}"/>
    <hyperlink ref="U30" r:id="rId219" xr:uid="{5F014021-FED8-47C1-980B-0A7F4AA2D021}"/>
    <hyperlink ref="U224" r:id="rId220" xr:uid="{2DB2ED34-2DB5-423F-BFBF-F051250A6B73}"/>
    <hyperlink ref="U216" r:id="rId221" xr:uid="{C25A9A20-5C81-4F25-9818-651EA5432543}"/>
    <hyperlink ref="U326" r:id="rId222" xr:uid="{BA748696-48E9-4D95-B2AB-FC5B34C5BE35}"/>
    <hyperlink ref="U123" r:id="rId223" xr:uid="{72DCF352-65C4-45CA-B4FA-4A740C9E766C}"/>
    <hyperlink ref="U373" r:id="rId224" xr:uid="{AA10E2F3-F28F-4287-B245-17B28A2E7909}"/>
    <hyperlink ref="U444" r:id="rId225" xr:uid="{26652EC4-0230-41D7-9824-D6485C3C0C91}"/>
    <hyperlink ref="U171" r:id="rId226" xr:uid="{20779E87-725F-4BCF-9828-446AEA81C16E}"/>
    <hyperlink ref="U450" r:id="rId227" xr:uid="{6EA5B756-4D4A-4EE6-87AC-54295128C783}"/>
    <hyperlink ref="U14" r:id="rId228" xr:uid="{082BB5DA-C3F7-43AD-9666-279CAD3A31DA}"/>
    <hyperlink ref="U270" r:id="rId229" xr:uid="{2BA25B78-B232-42E3-922D-86B32A8A1AE8}"/>
    <hyperlink ref="U12" r:id="rId230" xr:uid="{D38DBC13-58DB-435A-9AF0-6BF609237ED5}"/>
    <hyperlink ref="U263" r:id="rId231" xr:uid="{54D0955C-441C-42A1-8F77-9CA6A179D3B5}"/>
    <hyperlink ref="U103" r:id="rId232" xr:uid="{20B29169-8750-429D-80CF-F73D2FB20356}"/>
    <hyperlink ref="U319" r:id="rId233" xr:uid="{366625BA-AB3D-4BE8-98AC-FC15BB432ABD}"/>
    <hyperlink ref="U32" r:id="rId234" xr:uid="{379683AC-9DB3-4386-89FB-C495756CAD9B}"/>
    <hyperlink ref="U265" r:id="rId235" xr:uid="{3A3ED336-33A0-4B2F-BADF-7ED307D9C2A0}"/>
    <hyperlink ref="U9" r:id="rId236" xr:uid="{6EA269CA-C529-4B9B-AC22-7F13ACCDCA60}"/>
    <hyperlink ref="U301" r:id="rId237" xr:uid="{9E67D043-DC2B-4779-AE98-ADA1C555FF5D}"/>
    <hyperlink ref="U20" r:id="rId238" xr:uid="{C9753EEB-D8A1-4F5C-A316-F77DC6873DA4}"/>
    <hyperlink ref="U162" r:id="rId239" xr:uid="{3849CE9E-4AC4-4280-8E1D-9C0BF26EEAD8}"/>
    <hyperlink ref="U346" r:id="rId240" xr:uid="{55466C03-01C8-4DFA-B130-E2ADFE0A4891}"/>
    <hyperlink ref="U114" r:id="rId241" xr:uid="{64AE6CB6-33E2-4D2D-A5D3-01CFD418A0D3}"/>
    <hyperlink ref="U281" r:id="rId242" xr:uid="{A582F3A3-B648-467B-93F3-DB1E2E7A6231}"/>
    <hyperlink ref="U416" r:id="rId243" xr:uid="{0A86D5C0-3F0C-4FE4-92E8-C76260D628BD}"/>
    <hyperlink ref="U161" r:id="rId244" xr:uid="{19227EF2-B7C2-461D-95FA-65A80967A5BF}"/>
    <hyperlink ref="U226" r:id="rId245" xr:uid="{1B88FA19-388C-4CB7-AC0A-F2BC33AD41B5}"/>
    <hyperlink ref="U458" r:id="rId246" xr:uid="{BCDED7A7-168C-4A3D-AAA1-9D61894FAFCD}"/>
    <hyperlink ref="U256" r:id="rId247" xr:uid="{91DE4B1C-8FF3-41B8-A1AD-E8E09357DD3B}"/>
    <hyperlink ref="U257" r:id="rId248" xr:uid="{6BCA4B07-558C-4813-80DC-E770719421DC}"/>
    <hyperlink ref="U100" r:id="rId249" xr:uid="{279F38E0-83E9-4913-BB60-CC20B9EA3838}"/>
    <hyperlink ref="U234" r:id="rId250" xr:uid="{B043F77E-3380-451A-B360-CEFE8774D0C9}"/>
    <hyperlink ref="U21" r:id="rId251" xr:uid="{CDECEB15-0E0C-47FE-98EF-09AD67802667}"/>
    <hyperlink ref="U470" r:id="rId252" xr:uid="{BA4E349A-D5CD-4A44-A845-671FBFBB285C}"/>
    <hyperlink ref="U22" r:id="rId253" xr:uid="{EB1B9317-084B-4594-82C0-DA9E8202295C}"/>
    <hyperlink ref="U291" r:id="rId254" xr:uid="{3C75D8F5-CB70-4EB9-A7EA-4BB1A51787B7}"/>
    <hyperlink ref="U31" r:id="rId255" xr:uid="{1C60C0FE-043F-4D17-B048-3894568FDEA9}"/>
    <hyperlink ref="U23" r:id="rId256" xr:uid="{DA92394E-2C56-4CAF-A662-550CEA7DCAF4}"/>
    <hyperlink ref="U472" r:id="rId257" xr:uid="{3355233C-F9D2-4136-81BF-78F75038B43D}"/>
    <hyperlink ref="U197" r:id="rId258" xr:uid="{56EF34DD-AA39-4E7A-8E28-904C6455A332}"/>
    <hyperlink ref="U112" r:id="rId259" xr:uid="{0BE4ED77-B62A-49AF-9345-849950287D29}"/>
    <hyperlink ref="U332" r:id="rId260" xr:uid="{7D757C32-9442-4BA8-B944-FF519091D326}"/>
    <hyperlink ref="U115" r:id="rId261" xr:uid="{5066424E-5229-4DD1-B211-F27AB511F5E4}"/>
    <hyperlink ref="U376" r:id="rId262" xr:uid="{A6BEEC8D-0812-46A9-AEA3-191EF063435F}"/>
    <hyperlink ref="U273" r:id="rId263" xr:uid="{83AA1199-704D-4B2D-9DC2-D16E8B955869}"/>
    <hyperlink ref="U274" r:id="rId264" xr:uid="{0E3E8F0A-4E9F-48C1-8DD1-2674ADE08BD1}"/>
    <hyperlink ref="U166" r:id="rId265" xr:uid="{94643FD2-93C9-44A9-92A5-FF3AE0F50B99}"/>
    <hyperlink ref="U438" r:id="rId266" xr:uid="{129813FA-F354-4D40-9DA1-E283E40D13BC}"/>
    <hyperlink ref="U28" r:id="rId267" xr:uid="{4F19C001-D33D-43B2-8350-795428B40710}"/>
    <hyperlink ref="U476" r:id="rId268" xr:uid="{092B2ABC-68F1-4868-A2B2-A628E9730EC2}"/>
    <hyperlink ref="U110" r:id="rId269" xr:uid="{489A5052-22D7-4ACE-9F3E-370B7BB13091}"/>
    <hyperlink ref="U338" r:id="rId270" xr:uid="{DA1DCB1E-A5EF-4F0B-8177-F569370BD7F1}"/>
    <hyperlink ref="U56" r:id="rId271" xr:uid="{4674C9ED-F8D4-4AE7-9AC4-F6CD5F5FB2C6}"/>
    <hyperlink ref="U230" r:id="rId272" xr:uid="{F3204CC6-CC10-4617-BE18-EF581EC41D56}"/>
    <hyperlink ref="U57" r:id="rId273" xr:uid="{23AD6536-5AE2-44E7-9505-6CB50277B6A4}"/>
    <hyperlink ref="U320" r:id="rId274" xr:uid="{EB8A2FEA-BE00-441A-A5D5-BF0CB03A82AF}"/>
    <hyperlink ref="U24" r:id="rId275" xr:uid="{CAAD41EA-5C37-4D3A-AFFF-C02C72531A2E}"/>
    <hyperlink ref="U339" r:id="rId276" xr:uid="{94A8B8B1-A49F-4C29-A173-A6D3B2D7DF3A}"/>
    <hyperlink ref="U111" r:id="rId277" xr:uid="{DA3E97A5-522E-4470-AF1A-BEEF05003D17}"/>
    <hyperlink ref="U355" r:id="rId278" xr:uid="{E44DD110-0179-425D-BA81-4CC0A09BC002}"/>
    <hyperlink ref="U298" r:id="rId279" xr:uid="{BC31E831-E9A6-4FA4-BDE4-A2CFFBCC9841}"/>
    <hyperlink ref="U483" r:id="rId280" xr:uid="{A7E4FBFA-05AB-4716-9054-368B458C26B1}"/>
    <hyperlink ref="U514" r:id="rId281" xr:uid="{FE517C7E-B527-4EB5-9DAC-4C006AFECE87}"/>
    <hyperlink ref="U485" r:id="rId282" xr:uid="{22D222DC-F3DB-41F9-B221-90521CAB9521}"/>
    <hyperlink ref="U313" r:id="rId283" xr:uid="{2FA7E101-A2B2-4462-B7B5-1F8FE058274E}"/>
    <hyperlink ref="U119" r:id="rId284" xr:uid="{7F5832B7-5996-4A25-87B3-D9E8F985F11E}"/>
    <hyperlink ref="U168" r:id="rId285" xr:uid="{F2E36C62-42F4-439A-904F-5B336C7C72B9}"/>
    <hyperlink ref="U220" r:id="rId286" xr:uid="{A8D28F7F-FCC1-48C4-AAEA-C68DC4DBA8CA}"/>
    <hyperlink ref="U212" r:id="rId287" xr:uid="{94E25566-496E-4583-8480-57AC92B830AF}"/>
    <hyperlink ref="U177" r:id="rId288" xr:uid="{B84EEBF9-7ECE-4D23-8EC5-F5D3043D963C}"/>
    <hyperlink ref="U241" r:id="rId289" xr:uid="{7150A7F3-49F7-4E9B-B6DC-600A770BECFE}"/>
    <hyperlink ref="U414" r:id="rId290" xr:uid="{E2D7AFA8-FCE2-4102-936F-86BE9DE31C87}"/>
    <hyperlink ref="U211" r:id="rId291" xr:uid="{77C8B66A-AD64-4FCD-BC2D-AC915F8ADBAD}"/>
    <hyperlink ref="U210" r:id="rId292" xr:uid="{0F737F85-98D3-4898-B21E-A51560DCBB0C}"/>
    <hyperlink ref="U152" r:id="rId293" xr:uid="{F1DE8E08-37D0-4570-BDF7-8605679FD166}"/>
    <hyperlink ref="U411" r:id="rId294" xr:uid="{1ED0DD22-4771-4F14-8674-BDCBFEAB59AF}"/>
    <hyperlink ref="U58" r:id="rId295" xr:uid="{329C7B8B-EA2F-496E-B664-CD9BD6D2D469}"/>
    <hyperlink ref="U248" r:id="rId296" xr:uid="{DCF2D051-BE93-405A-9370-6900DD261C06}"/>
    <hyperlink ref="U461" r:id="rId297" xr:uid="{7B976D94-5CB7-4C63-B453-FD7C5AE4144E}"/>
    <hyperlink ref="U163" r:id="rId298" xr:uid="{8058A4C0-0C40-429D-A42D-5DF6CE12F9BE}"/>
    <hyperlink ref="U522" r:id="rId299" xr:uid="{5924AF25-0D4B-49DE-830C-998F784DEC74}"/>
    <hyperlink ref="U170" r:id="rId300" xr:uid="{48F78CFE-480E-47C4-B942-0B7A3331933B}"/>
    <hyperlink ref="U59" r:id="rId301" xr:uid="{E188D1DB-B4BC-46D7-B6BC-19153974D206}"/>
    <hyperlink ref="U523" r:id="rId302" xr:uid="{CF393A2A-7BB6-407F-9C51-BFA3F7D614C0}"/>
    <hyperlink ref="U516" r:id="rId303" xr:uid="{FF3B6D01-409D-4438-AE45-3A422A844D20}"/>
    <hyperlink ref="U525" r:id="rId304" xr:uid="{CF96DB5E-1E52-4489-8D78-EF9C388F59EF}"/>
    <hyperlink ref="U148" r:id="rId305" xr:uid="{808A779A-927F-4E85-83CD-CBC242CC7D99}"/>
    <hyperlink ref="U360" r:id="rId306" xr:uid="{71B14490-C0C1-48DB-BC27-2AA15DC785D7}"/>
    <hyperlink ref="U26" r:id="rId307" xr:uid="{755B0045-EEBE-4437-BDB1-DD1C46A0211E}"/>
    <hyperlink ref="U412" r:id="rId308" xr:uid="{0154AD80-93AF-4DD5-B1F3-8C3049B6C780}"/>
    <hyperlink ref="U359" r:id="rId309" xr:uid="{BD19393A-34DE-4A60-B2A3-3A1BB06F03E7}"/>
    <hyperlink ref="U105" r:id="rId310" xr:uid="{0DD8CD14-77A6-4359-8611-E98A7EAE5379}"/>
    <hyperlink ref="U63" r:id="rId311" xr:uid="{6AD551B9-0FED-4C4C-80DE-FF85B8C100EF}"/>
    <hyperlink ref="U529" r:id="rId312" xr:uid="{7EBADB57-EB5D-42C8-B24D-3F037EF1D33D}"/>
    <hyperlink ref="U39" r:id="rId313" xr:uid="{95B8E496-1599-442E-B6A1-E0020D542635}"/>
    <hyperlink ref="U340" r:id="rId314" xr:uid="{1FACCF51-593B-4A58-9280-6FDCEC57235C}"/>
    <hyperlink ref="U64" r:id="rId315" xr:uid="{3DA619DC-4394-4727-BBDB-AC5243F9B0BD}"/>
    <hyperlink ref="U442" r:id="rId316" xr:uid="{CEFFA7B5-607B-4056-BC26-39385C82067C}"/>
    <hyperlink ref="U275" r:id="rId317" xr:uid="{4B8788CC-0A95-4687-B76F-7D1FF0CB4D06}"/>
    <hyperlink ref="U445" r:id="rId318" xr:uid="{C90A376A-A9FA-478C-9CCD-1393E30A2A2F}"/>
    <hyperlink ref="U262" r:id="rId319" xr:uid="{3886A171-D8F2-4503-8DDD-81D92A3E3162}"/>
    <hyperlink ref="U190" r:id="rId320" xr:uid="{9896CFC9-A2AD-42D7-A98F-D1A3E79FFA61}"/>
    <hyperlink ref="U336" r:id="rId321" xr:uid="{20D78B31-DA4A-4EDF-BD3B-AA0D8854A528}"/>
    <hyperlink ref="U36" r:id="rId322" xr:uid="{0456A797-4FA1-4B6F-A8FE-ED1EA50D6B5E}"/>
    <hyperlink ref="U305" r:id="rId323" xr:uid="{1EAF99DB-78AC-4934-8761-F47EA0F0498C}"/>
    <hyperlink ref="U466" r:id="rId324" xr:uid="{D0C7CD31-2437-4A42-889D-EDEEFC187BD7}"/>
    <hyperlink ref="U462" r:id="rId325" xr:uid="{C21B151B-400C-487F-B530-4702C41A594E}"/>
    <hyperlink ref="U179" r:id="rId326" xr:uid="{1ADF9067-873C-478C-91FB-E90ECB2B8916}"/>
    <hyperlink ref="U200" r:id="rId327" xr:uid="{907986E0-9D22-4295-9574-D1D7C3CC9FE1}"/>
    <hyperlink ref="U385" r:id="rId328" xr:uid="{F53A2846-574D-4468-B527-2BAAE4ACB1F9}"/>
    <hyperlink ref="U60" r:id="rId329" xr:uid="{1A8CC3D9-2B7A-4779-AA28-3E5A1F6EA99B}"/>
    <hyperlink ref="U300" r:id="rId330" xr:uid="{E85E58E4-2556-4786-B382-7C466C9CD3F1}"/>
    <hyperlink ref="U542" r:id="rId331" xr:uid="{2F76F1F4-3E67-402B-BCCF-1A5821F272A9}"/>
    <hyperlink ref="U187" r:id="rId332" xr:uid="{C197A925-0ABE-425A-BD66-75653237A342}"/>
    <hyperlink ref="U396" r:id="rId333" xr:uid="{4274FAB1-88B0-4796-B3FC-82C96191F13B}"/>
    <hyperlink ref="U116" r:id="rId334" xr:uid="{9F4A2D21-0122-4FB5-A756-D0E5FC963B41}"/>
    <hyperlink ref="U249" r:id="rId335" xr:uid="{F8DF32BE-9919-44FB-B8AD-2E3F2AB1FFE8}"/>
    <hyperlink ref="U10" r:id="rId336" xr:uid="{80A841BD-5316-4317-AC4E-0C5798139F75}"/>
    <hyperlink ref="U137" r:id="rId337" xr:uid="{DBC057D1-CEF1-4373-95C3-AA7D027DB7F4}"/>
    <hyperlink ref="U337" r:id="rId338" xr:uid="{50442363-6A05-45D1-B62D-F13F1E1863A0}"/>
    <hyperlink ref="U169" r:id="rId339" xr:uid="{E01F6BC5-01AD-42AB-9758-C67BAE5F09D8}"/>
    <hyperlink ref="U353" r:id="rId340" xr:uid="{736301D6-9CB8-49A3-85C1-84E9C1741749}"/>
    <hyperlink ref="U127" r:id="rId341" xr:uid="{0E7D87BC-96A4-4A5E-B848-8104B4C30FF3}"/>
    <hyperlink ref="U382" r:id="rId342" xr:uid="{1B173ECB-27D9-408A-AB51-E49BE0C87A88}"/>
    <hyperlink ref="U213" r:id="rId343" xr:uid="{34839283-560B-4FC8-ACD4-C4891EC61190}"/>
    <hyperlink ref="U237" r:id="rId344" xr:uid="{C4E9521A-B1B2-4EEA-B6F8-058A4640D77E}"/>
    <hyperlink ref="U219" r:id="rId345" xr:uid="{94D7CA51-3FD5-4093-BA57-3BDB9BF62AE4}"/>
    <hyperlink ref="U276" r:id="rId346" xr:uid="{FFF947ED-5D99-4E17-9919-93935FF3A14B}"/>
    <hyperlink ref="U244" r:id="rId347" xr:uid="{3AA58AD5-7D05-46B6-83BA-4445FE78B0D3}"/>
    <hyperlink ref="U286" r:id="rId348" xr:uid="{6CD51EDD-F03E-4436-B7DF-9E961768EEF3}"/>
    <hyperlink ref="U294" r:id="rId349" xr:uid="{CD7D413C-7A66-45FD-AABA-1829C00B8899}"/>
    <hyperlink ref="U252" r:id="rId350" xr:uid="{945822FF-AD6F-40ED-9DFB-FD7E9B47D683}"/>
    <hyperlink ref="U255" r:id="rId351" xr:uid="{133A6BA7-81CB-4D56-9632-9EB7ABDD2564}"/>
    <hyperlink ref="U314" r:id="rId352" xr:uid="{72F4389D-B39E-476D-9001-BD246AC8833B}"/>
    <hyperlink ref="U333" r:id="rId353" xr:uid="{B1C412F2-53BA-4F53-8433-E7564F65E2F0}"/>
    <hyperlink ref="U341" r:id="rId354" xr:uid="{C4A319BD-8AAB-4763-AF7F-E94D16838069}"/>
    <hyperlink ref="U131" r:id="rId355" xr:uid="{4698985B-E343-4ECB-B278-78AE70ED1065}"/>
    <hyperlink ref="U378" r:id="rId356" xr:uid="{4A2A1799-9B1A-410C-B32B-5C7C08B662A0}"/>
    <hyperlink ref="U379" r:id="rId357" xr:uid="{243E56B6-9235-4878-AADA-139DDEA14785}"/>
    <hyperlink ref="U358" r:id="rId358" xr:uid="{631CE14D-4BC8-4977-ACFA-8A49F4296CBE}"/>
    <hyperlink ref="U361" r:id="rId359" xr:uid="{709BE883-7BF8-4D1A-AC04-DEECF8A67C60}"/>
    <hyperlink ref="U387" r:id="rId360" xr:uid="{F7F72F64-CB58-4BA9-864B-7334C72444C6}"/>
    <hyperlink ref="U217" r:id="rId361" xr:uid="{A9ACF673-50A5-4BBB-A227-71F1CFF59499}"/>
    <hyperlink ref="U377" r:id="rId362" xr:uid="{33066ECB-5EE4-42B8-BD12-B10D4B2075B9}"/>
    <hyperlink ref="U394" r:id="rId363" xr:uid="{41B2D8AE-0EC4-40BF-ACC7-AB31FE4A55F4}"/>
    <hyperlink ref="U397" r:id="rId364" xr:uid="{1F926075-09B4-4A65-8405-60A176EAD534}"/>
    <hyperlink ref="U400" r:id="rId365" xr:uid="{8FAD5362-E12D-42CE-86B7-D2E057B92BF3}"/>
    <hyperlink ref="U402" r:id="rId366" xr:uid="{0F4B3176-1CFC-40B7-A9EE-DB827F81EADD}"/>
    <hyperlink ref="U405" r:id="rId367" xr:uid="{91887336-FE2F-48BF-8208-B65A2F51FA95}"/>
    <hyperlink ref="U415" r:id="rId368" xr:uid="{1777074D-089F-4FF7-9A17-B4003C6726F7}"/>
    <hyperlink ref="U418" r:id="rId369" xr:uid="{00A65D6B-136C-452B-A558-9C2F24638E16}"/>
    <hyperlink ref="U429" r:id="rId370" xr:uid="{4EA5D0C0-C7CE-492B-BBAD-8EF9FBC5F445}"/>
    <hyperlink ref="U424" r:id="rId371" xr:uid="{22350500-3799-403C-9A94-E695335C784B}"/>
    <hyperlink ref="U431" r:id="rId372" xr:uid="{66EE8B74-1D8D-4C7C-A653-AAF13844E3EB}"/>
    <hyperlink ref="U404" r:id="rId373" xr:uid="{36E8E0F8-46A1-4308-BB17-4F8E8235A030}"/>
    <hyperlink ref="U449" r:id="rId374" xr:uid="{FAB6638A-A369-4F28-8ECC-05EA7EB54317}"/>
    <hyperlink ref="U457" r:id="rId375" xr:uid="{57F78360-EB8F-4D39-ACD4-BCB92F0D0B76}"/>
    <hyperlink ref="U456" r:id="rId376" xr:uid="{F7A7B848-39A0-480D-9C94-D519D9C91840}"/>
    <hyperlink ref="U463" r:id="rId377" xr:uid="{D804E6AD-404E-4464-B861-F6868D37EAAF}"/>
    <hyperlink ref="U228" r:id="rId378" xr:uid="{09C10500-04F4-4AE1-BF3A-2B834B81A454}"/>
    <hyperlink ref="U477" r:id="rId379" xr:uid="{87A2EF52-0AAF-4B6A-84FE-B4F17F9C3A0E}"/>
    <hyperlink ref="U478" r:id="rId380" xr:uid="{DEA01C7E-AF41-4414-8BF3-49254CCC7116}"/>
    <hyperlink ref="U482" r:id="rId381" xr:uid="{FC7F5A9A-1730-40B8-9C9E-D53FDA66C98C}"/>
    <hyperlink ref="U484" r:id="rId382" xr:uid="{10F2B09F-0051-4DB1-961A-69E0BE40AD99}"/>
    <hyperlink ref="U515" r:id="rId383" xr:uid="{E0B4FDDC-BEC9-44CD-A75E-3BFA6DAF7121}"/>
    <hyperlink ref="U517" r:id="rId384" xr:uid="{704DF665-717F-4158-8CB6-FA37A63BACF3}"/>
    <hyperlink ref="U524" r:id="rId385" xr:uid="{B0C5AC57-9436-4D44-BA68-0C18CA90DDA7}"/>
    <hyperlink ref="U520" r:id="rId386" xr:uid="{1DB9A7AA-ECEC-4638-B9AE-D2F1D72E131C}"/>
    <hyperlink ref="U188" r:id="rId387" xr:uid="{B3D9FEA4-7CBA-4847-893A-E511ABCD2119}"/>
    <hyperlink ref="U535" r:id="rId388" xr:uid="{81F3CE1F-D3DB-4E62-8BF8-6DF360C4C703}"/>
    <hyperlink ref="U128" r:id="rId389" xr:uid="{69EC4BB3-A3EB-476C-9E6D-0E42B58AC559}"/>
    <hyperlink ref="U538" r:id="rId390" xr:uid="{E598BAA9-E7FD-4127-BCA3-5ADDF1A8E0CF}"/>
    <hyperlink ref="U540" r:id="rId391" xr:uid="{83C50701-4E5F-4AB7-9D47-F7E7F4DAF71A}"/>
    <hyperlink ref="U389" r:id="rId392" xr:uid="{DCA233A9-C7EE-4854-A1C9-ABDF394F49F2}"/>
    <hyperlink ref="U467" r:id="rId393" xr:uid="{F01DBA0A-8EF2-4398-B813-AB809BF6ADE5}"/>
    <hyperlink ref="U469" r:id="rId394" xr:uid="{924368CA-FD92-4DAD-BAD2-2B87BBAE5D9B}"/>
    <hyperlink ref="U345" r:id="rId395" xr:uid="{6A323DBE-896A-4ABF-9C00-B4A83CAA9298}"/>
    <hyperlink ref="U183" r:id="rId396" xr:uid="{BF35959A-0ECA-40B1-B9A3-1638B58D3254}"/>
    <hyperlink ref="U240" r:id="rId397" xr:uid="{95DC9C94-5929-49D3-98EA-D95258EB1B96}"/>
    <hyperlink ref="U283" r:id="rId398" xr:uid="{B2E8B8CC-69B6-4546-A0E5-62029597063D}"/>
    <hyperlink ref="U526" r:id="rId399" xr:uid="{8111C83B-236F-4CA3-A367-7509E94CFA83}"/>
    <hyperlink ref="U479" r:id="rId400" xr:uid="{24459E7C-A0E2-4180-8126-2CC1BC7E366F}"/>
    <hyperlink ref="U316" r:id="rId401" xr:uid="{4691E63E-8472-4FC1-9E42-1F23ED620E97}"/>
    <hyperlink ref="U480" r:id="rId402" xr:uid="{1892D3D2-A828-4545-A6BD-3D46AE93E03D}"/>
    <hyperlink ref="U475" r:id="rId403" xr:uid="{08332B98-2602-4C49-8043-421FE7469D79}"/>
    <hyperlink ref="U327" r:id="rId404" xr:uid="{C312051B-5C47-4DE9-8A7E-4295FD6D6EEF}"/>
    <hyperlink ref="U351" r:id="rId405" xr:uid="{181B4259-8FC9-43EE-A93A-C32FDDBB8924}"/>
    <hyperlink ref="U441" r:id="rId406" xr:uid="{B6EAFF7F-3B6D-4F0F-B91D-4634400F9362}"/>
    <hyperlink ref="U543" r:id="rId407" xr:uid="{00E8C2CA-4232-4582-A715-5C020F330CCF}"/>
    <hyperlink ref="U481" r:id="rId408" xr:uid="{811779CC-4448-4242-B47E-E80B4AA1AE75}"/>
    <hyperlink ref="U242" r:id="rId409" xr:uid="{D90FC9A2-F0F3-4F77-A43D-0FD1643D65DA}"/>
    <hyperlink ref="U464" r:id="rId410" xr:uid="{03A01132-03AF-48DF-A83E-8A1DC0145318}"/>
    <hyperlink ref="U245" r:id="rId411" xr:uid="{B535DB37-36A4-425C-8D5F-23B9CE0D0C3D}"/>
    <hyperlink ref="U486" r:id="rId412" xr:uid="{4F95A1F3-549A-4D0F-AF03-16E004E894EC}"/>
    <hyperlink ref="U238" r:id="rId413" xr:uid="{D39107AE-8116-4261-ACAB-CB667299902A}"/>
    <hyperlink ref="U473" r:id="rId414" xr:uid="{46B46EB9-F09F-4A4B-AF96-3120522159C7}"/>
    <hyperlink ref="U328" r:id="rId415" xr:uid="{6D04434F-AFE7-495B-8F24-04E1974D167A}"/>
    <hyperlink ref="U221" r:id="rId416" xr:uid="{A20768E2-CE4D-43D1-A26F-84829FCDD9F7}"/>
    <hyperlink ref="U443" r:id="rId417" xr:uid="{92346A58-5905-45B5-A057-66E57AC88F90}"/>
    <hyperlink ref="U518" r:id="rId418" xr:uid="{C65B5B62-ED2A-4A73-9838-45EE3087641F}"/>
    <hyperlink ref="U427" r:id="rId419" xr:uid="{EEEA78D0-DB63-41FC-831A-E4765F733AFE}"/>
    <hyperlink ref="U513" r:id="rId420" xr:uid="{B8EDDAB0-55E8-4733-9528-51D58013A130}"/>
    <hyperlink ref="U532" r:id="rId421" xr:uid="{C54C408C-6E24-49C3-9C1C-99ACFC21CE07}"/>
    <hyperlink ref="U205" r:id="rId422" xr:uid="{E3817247-8FAC-4E20-95DB-6767A30B6A49}"/>
    <hyperlink ref="U194" r:id="rId423" xr:uid="{38DE97B6-0CB6-43E1-B853-7A4E64429C5D}"/>
    <hyperlink ref="U474" r:id="rId424" xr:uid="{779EBE25-441F-4AF6-8E8A-71AE8F73CE17}"/>
    <hyperlink ref="U324" r:id="rId425" xr:uid="{6089C39D-7F96-452A-9CE2-F04C65E006E7}"/>
    <hyperlink ref="U440" r:id="rId426" xr:uid="{E5E61FBD-97B7-44D6-BAD2-4479D630CF8A}"/>
    <hyperlink ref="U231" r:id="rId427" xr:uid="{00241A85-D61E-4752-B0C2-5D2469DE1A50}"/>
    <hyperlink ref="U354" r:id="rId428" xr:uid="{281D14DE-BBBF-4C68-9A67-63771C05D37C}"/>
    <hyperlink ref="U430" r:id="rId429" xr:uid="{F0E76BE4-0D03-4A3C-A21F-E1235DAF348C}"/>
    <hyperlink ref="U367" r:id="rId430" xr:uid="{46414D89-1E18-47F2-9FAA-A950CB819FF0}"/>
    <hyperlink ref="U372" r:id="rId431" xr:uid="{37FF6647-FD8F-4118-81FE-18D957AF541E}"/>
    <hyperlink ref="U487" r:id="rId432" xr:uid="{EB02BD36-97BB-490C-895C-7690C776B7B1}"/>
    <hyperlink ref="U488" r:id="rId433" xr:uid="{685C7982-492C-4470-8DB0-D9D6070E576E}"/>
    <hyperlink ref="U489" r:id="rId434" xr:uid="{D08EF42B-45D3-4CB6-A02F-B60F9F249318}"/>
    <hyperlink ref="U491" r:id="rId435" xr:uid="{C742968C-5D3F-4A80-9A79-A8FABF59B94D}"/>
    <hyperlink ref="U492" r:id="rId436" xr:uid="{0B58D1B8-4014-4E80-AAE5-63912073CD84}"/>
    <hyperlink ref="U496" r:id="rId437" xr:uid="{E51FD7E2-4B5A-4D32-B98D-460697CDF35F}"/>
    <hyperlink ref="U511" r:id="rId438" xr:uid="{B024188D-8CEE-47E7-93F5-09ED75987D62}"/>
    <hyperlink ref="U493" r:id="rId439" xr:uid="{70EA1C3C-C21D-4D1C-8750-922EC4DC4EEB}"/>
    <hyperlink ref="U494" r:id="rId440" xr:uid="{6E582485-9981-4D06-9AC7-C550B9A4E033}"/>
    <hyperlink ref="U495" r:id="rId441" xr:uid="{0F7C152B-54E9-42BD-A29C-93796EF29355}"/>
    <hyperlink ref="U497" r:id="rId442" xr:uid="{2CE4B491-7EFC-417F-A4E9-07FDEDFEE1C4}"/>
    <hyperlink ref="U490" r:id="rId443" xr:uid="{46AA49FE-4C8F-4E88-B7D4-CD8B08179BD0}"/>
    <hyperlink ref="U498" r:id="rId444" xr:uid="{DF494C9E-A57A-4760-BC30-71118A4C1CB8}"/>
    <hyperlink ref="U499" r:id="rId445" xr:uid="{6C55ECD4-C5A3-4801-B23E-AF029A3BDFF5}"/>
    <hyperlink ref="U500" r:id="rId446" xr:uid="{2A92BF95-493C-4A60-A7BB-1AA95CE142A0}"/>
    <hyperlink ref="U502" r:id="rId447" xr:uid="{3E0C4F64-4040-46AB-89D9-B7C1624ED8BD}"/>
    <hyperlink ref="U503" r:id="rId448" xr:uid="{C09992F7-28DB-4549-B816-F96E7C240611}"/>
    <hyperlink ref="U501" r:id="rId449" xr:uid="{15B63E52-D8D7-439C-97DC-FD20612F3BCA}"/>
    <hyperlink ref="U504" r:id="rId450" xr:uid="{EEBF084C-D571-42A5-96FF-45FB4F6390CD}"/>
    <hyperlink ref="U505" r:id="rId451" xr:uid="{E2E81B7A-A9B1-4026-9CD5-BBBAA4461775}"/>
    <hyperlink ref="U506" r:id="rId452" xr:uid="{FE568235-F3DE-449F-B0F1-1220BADEE2AE}"/>
    <hyperlink ref="U507" r:id="rId453" xr:uid="{78048473-2231-46AF-A5BE-E97CF4CCC0DD}"/>
    <hyperlink ref="U508" r:id="rId454" xr:uid="{87A6D62C-F0B1-4D33-9D2B-63CF7427631E}"/>
    <hyperlink ref="U509" r:id="rId455" xr:uid="{C1242784-820D-498E-AA90-D76D05382410}"/>
    <hyperlink ref="U510" r:id="rId456" xr:uid="{8FC8345B-89EC-4589-947F-B7F4D679A310}"/>
    <hyperlink ref="U512" r:id="rId457" xr:uid="{A47C3D74-B025-4932-88D4-E8AEC5F4AFD2}"/>
    <hyperlink ref="U68" r:id="rId458" xr:uid="{69457FAF-84B3-4832-9407-DE9CA6EC19A2}"/>
    <hyperlink ref="U69" r:id="rId459" xr:uid="{FB1DE10A-12A0-4452-B1C3-2D59F0D89653}"/>
    <hyperlink ref="U71" r:id="rId460" xr:uid="{32137F2D-BDB8-4550-9BB2-99E02C1490E6}"/>
    <hyperlink ref="U73" r:id="rId461" xr:uid="{47974B4C-0905-45E9-9439-866FD0B7CDC6}"/>
    <hyperlink ref="U74" r:id="rId462" xr:uid="{8CBF6241-43DC-4850-82C9-1745CFD572BC}"/>
    <hyperlink ref="U80" r:id="rId463" xr:uid="{A96797BA-2EC7-4039-BDC9-DE5AB253AD9C}"/>
    <hyperlink ref="U75" r:id="rId464" xr:uid="{9C318C0A-0C87-4603-A2B2-7E691253CB8B}"/>
    <hyperlink ref="U96" r:id="rId465" xr:uid="{6C63BC45-1D0C-47EA-8F88-7CDBB97982D2}"/>
    <hyperlink ref="U76" r:id="rId466" xr:uid="{664B0DD0-9D32-452A-A7CF-12141D80BB97}"/>
    <hyperlink ref="U78" r:id="rId467" xr:uid="{2A1164D4-70D0-4E0C-AC8A-A88BA81DD769}"/>
    <hyperlink ref="U79" r:id="rId468" xr:uid="{2B28F169-EA1D-4720-8D24-78F1BCDB62BB}"/>
    <hyperlink ref="U98" r:id="rId469" xr:uid="{9FC60409-88AA-4473-B2E0-45A7042079FF}"/>
    <hyperlink ref="U81" r:id="rId470" xr:uid="{1E6896BF-A906-4D0F-BF6B-59DE81DDC515}"/>
    <hyperlink ref="U72" r:id="rId471" xr:uid="{A2B3765A-98F3-4A51-B650-371E21E6C5C0}"/>
    <hyperlink ref="U82" r:id="rId472" xr:uid="{73A85108-B461-4E74-9D97-FBC1CEA76DAC}"/>
    <hyperlink ref="U83" r:id="rId473" xr:uid="{ACB99769-ADA8-45B3-8D65-8FBE46D1EA73}"/>
    <hyperlink ref="U84" r:id="rId474" xr:uid="{A620F2CA-B11C-41EE-A206-191B908C461E}"/>
    <hyperlink ref="U86" r:id="rId475" xr:uid="{2FE0BC4A-89E8-48BE-A496-7610A635C3CE}"/>
    <hyperlink ref="U87" r:id="rId476" xr:uid="{04595130-4911-4874-A68F-7C06E43906FF}"/>
    <hyperlink ref="U85" r:id="rId477" xr:uid="{9B28FE7A-E8F4-4B98-9BC0-1851C21C331E}"/>
    <hyperlink ref="U88" r:id="rId478" xr:uid="{A3DA3F79-7056-4A2E-8690-1FD9438C0C41}"/>
    <hyperlink ref="U89" r:id="rId479" xr:uid="{8D6FD280-BE78-4A59-A582-D237612FE89C}"/>
    <hyperlink ref="U91" r:id="rId480" xr:uid="{BF149D0D-F131-45FD-93D1-681393E2D5DE}"/>
    <hyperlink ref="U92" r:id="rId481" xr:uid="{14A41BFC-00BD-4C31-A9E2-6FDC5D78FDD8}"/>
    <hyperlink ref="U93" r:id="rId482" xr:uid="{47970AE9-A655-46BA-B1F1-29873CACBA3C}"/>
    <hyperlink ref="U94" r:id="rId483" xr:uid="{911A5207-68E6-41D6-B790-010035875D9D}"/>
    <hyperlink ref="U95" r:id="rId484" xr:uid="{13631EF8-8543-406B-B46B-AEEADB3ED8F5}"/>
    <hyperlink ref="U97" r:id="rId485" xr:uid="{299D1E3B-C006-4E86-BA1C-C34856CA2D0A}"/>
    <hyperlink ref="U295" r:id="rId486" xr:uid="{5CEF8942-7502-4997-8154-279708094EFA}"/>
    <hyperlink ref="U258" r:id="rId487" xr:uid="{62BC3C25-E855-4CE7-B2E3-89E61F20DD21}"/>
    <hyperlink ref="U422" r:id="rId488" xr:uid="{9B8D0262-CE9C-475D-802E-BDDD63BA01B3}"/>
    <hyperlink ref="U304" r:id="rId489" xr:uid="{4AEE25B9-679E-427E-8518-4A9C04113235}"/>
    <hyperlink ref="U288" r:id="rId490" xr:uid="{063E1A14-3E83-48A9-9A82-4124ABA00298}"/>
    <hyperlink ref="U259" r:id="rId491" xr:uid="{C0BDE4D0-46B7-4FCB-A59B-912E15B25FDA}"/>
    <hyperlink ref="U437" r:id="rId492" xr:uid="{9AF3BE94-3A2F-4567-A10E-3DD078B0EA81}"/>
    <hyperlink ref="U290" r:id="rId493" xr:uid="{BD32B04A-C539-4903-9268-B5D4651195F7}"/>
    <hyperlink ref="U289" r:id="rId494" xr:uid="{6FDFB633-C271-49C1-AA42-E0EC7171D7E9}"/>
    <hyperlink ref="U261" r:id="rId495" xr:uid="{75D98884-259F-408B-820C-34A04EA8A0D1}"/>
    <hyperlink ref="U260" r:id="rId496" xr:uid="{54F357F0-A0F9-43B5-AF69-0FAA720B4195}"/>
    <hyperlink ref="U296" r:id="rId497" xr:uid="{88A80546-D188-49F9-8895-55D8C08BDCD4}"/>
    <hyperlink ref="U375" r:id="rId498" xr:uid="{04ECC63C-91AF-4574-A3E6-F23DC109D61C}"/>
    <hyperlink ref="U154" r:id="rId499" xr:uid="{FEF7B5FF-311F-47AC-9812-5674B6F12C5C}"/>
    <hyperlink ref="U287" r:id="rId500" xr:uid="{DDCEF773-6D23-45EE-A3D6-382D4CA56990}"/>
    <hyperlink ref="U453" r:id="rId501" xr:uid="{D2D648E4-6E70-4033-A8FC-A8FAAEACAE44}"/>
    <hyperlink ref="U544" r:id="rId502" xr:uid="{92B3B712-9C73-4982-B114-187DAB7087C7}"/>
    <hyperlink ref="U541" r:id="rId503" xr:uid="{6FA86486-DD17-488B-82CE-0F49EFF4152D}"/>
    <hyperlink ref="U246" r:id="rId504" xr:uid="{86FDD04A-EA9A-49BB-8AC2-F20E926D85F4}"/>
    <hyperlink ref="U392" r:id="rId505" xr:uid="{409FC9A1-C078-402F-AB9E-2A7272C7C11A}"/>
    <hyperlink ref="U527" r:id="rId506" xr:uid="{B225986F-C80D-4FDB-9D6B-68DD06A7E12E}"/>
    <hyperlink ref="U545" r:id="rId507" xr:uid="{0744EA12-450D-48FB-927C-962CC5414B4A}"/>
    <hyperlink ref="U539" r:id="rId508" xr:uid="{AF6E6014-9B23-40F7-86CE-B50E48442BE4}"/>
    <hyperlink ref="U547" r:id="rId509" xr:uid="{BEED91FB-8311-4AA1-9146-EB3C2435B5CE}"/>
    <hyperlink ref="U546" r:id="rId510" xr:uid="{CA01D793-CB92-4724-BF3A-2B953414E0FC}"/>
    <hyperlink ref="U247" r:id="rId511" xr:uid="{0DA853EC-4867-4482-B10C-D348BEA92467}"/>
    <hyperlink ref="U364" r:id="rId512" xr:uid="{C7300575-DF47-47E2-9B64-99940ADA6503}"/>
    <hyperlink ref="U451" r:id="rId513" xr:uid="{011A4F44-C2FF-4CE3-8F2F-0F29F9ADFAF7}"/>
    <hyperlink ref="U534" r:id="rId514" xr:uid="{74BD604D-ACA3-451D-A39F-B2EAACB1D7A4}"/>
    <hyperlink ref="U531" r:id="rId515" xr:uid="{4E18DC64-C2CD-41CE-9F63-169F9633D6CD}"/>
    <hyperlink ref="U388" r:id="rId516" xr:uid="{C211CECF-9E84-497F-BBCB-4DC8D3439750}"/>
    <hyperlink ref="U549" r:id="rId517" xr:uid="{1F88CE78-6C78-4C7D-A7F6-F844AA13FDCB}"/>
  </hyperlinks>
  <pageMargins left="0.7" right="0.7" top="0.75" bottom="0.75" header="0.3" footer="0.3"/>
  <pageSetup paperSize="9" orientation="portrait" r:id="rId518"/>
  <legacyDrawing r:id="rId519"/>
  <tableParts count="1">
    <tablePart r:id="rId520"/>
  </tableParts>
  <extLst>
    <ext xmlns:x14="http://schemas.microsoft.com/office/spreadsheetml/2009/9/main" uri="{CCE6A557-97BC-4b89-ADB6-D9C93CAAB3DF}">
      <x14:dataValidations xmlns:xm="http://schemas.microsoft.com/office/excel/2006/main" count="4">
        <x14:dataValidation type="list" allowBlank="1" showInputMessage="1" showErrorMessage="1" xr:uid="{837A5083-F0BB-482F-A584-5B0624AB2CD7}">
          <x14:formula1>
            <xm:f>'Drop down'!$C$62:$C$65</xm:f>
          </x14:formula1>
          <xm:sqref>T40:T41 J9:J549 T208 T206 T124:T125 T127:T128 T131:T132 T152:T156 T161:T162 T167:T168 T194:T196 T212:T213 T222:T224 T231:T233 T277:T278 T280:T281 T283:T284 T309:T310 T341:T342 T373:T375 T379:T380 T387:T389 T427:T428 T430:T431 T433:T434 T56:T58 T177 T47:T48</xm:sqref>
        </x14:dataValidation>
        <x14:dataValidation type="list" allowBlank="1" showInputMessage="1" showErrorMessage="1" xr:uid="{108E1291-5684-457E-841D-4579073E16F4}">
          <x14:formula1>
            <xm:f>'Drop down'!$C$69:$C$72</xm:f>
          </x14:formula1>
          <xm:sqref>E9:E549</xm:sqref>
        </x14:dataValidation>
        <x14:dataValidation type="list" allowBlank="1" showInputMessage="1" showErrorMessage="1" xr:uid="{1C382329-2275-48EB-9AE6-5DB00E8731E1}">
          <x14:formula1>
            <xm:f>Def_Targets!$D$53:$D$56</xm:f>
          </x14:formula1>
          <xm:sqref>L10:L521</xm:sqref>
        </x14:dataValidation>
        <x14:dataValidation type="list" allowBlank="1" showInputMessage="1" showErrorMessage="1" xr:uid="{09828767-C1D0-4668-9449-0DEED81410D2}">
          <x14:formula1>
            <xm:f>Def_Targets!$D$57:$D$62</xm:f>
          </x14:formula1>
          <xm:sqref>M11:M521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B2B5-CA32-482E-B425-FF085271D61F}">
  <sheetPr codeName="Sheet6">
    <tabColor theme="9" tint="0.39997558519241921"/>
  </sheetPr>
  <dimension ref="A2:AI1196"/>
  <sheetViews>
    <sheetView topLeftCell="G1" zoomScaleNormal="100" workbookViewId="0">
      <pane ySplit="8" topLeftCell="A1190" activePane="bottomLeft" state="frozen"/>
      <selection pane="bottomLeft" activeCell="N1196" sqref="N1196"/>
    </sheetView>
  </sheetViews>
  <sheetFormatPr baseColWidth="10" defaultColWidth="8.5703125" defaultRowHeight="15" x14ac:dyDescent="0.25"/>
  <cols>
    <col min="1" max="1" width="13.5703125" style="27" customWidth="1"/>
    <col min="2" max="2" width="11.42578125" style="27" customWidth="1"/>
    <col min="3" max="3" width="24.5703125" style="27" customWidth="1"/>
    <col min="4" max="7" width="20.5703125" style="27" customWidth="1"/>
    <col min="8" max="8" width="35.5703125" style="27" bestFit="1" customWidth="1"/>
    <col min="9" max="9" width="24" style="27" bestFit="1" customWidth="1"/>
    <col min="10" max="10" width="20.5703125" style="27" customWidth="1"/>
    <col min="11" max="11" width="21.140625" style="27" customWidth="1"/>
    <col min="12" max="12" width="28.85546875" style="27" customWidth="1"/>
    <col min="13" max="13" width="9.5703125" style="28" customWidth="1"/>
    <col min="14" max="14" width="98.5703125" style="28" customWidth="1"/>
    <col min="15" max="15" width="14.42578125" style="262" customWidth="1"/>
    <col min="16" max="16" width="19.5703125" style="233" customWidth="1"/>
    <col min="17" max="17" width="10.42578125" style="233" customWidth="1"/>
    <col min="18" max="18" width="13.42578125" style="233" customWidth="1"/>
    <col min="19" max="19" width="26.42578125" style="233" customWidth="1"/>
    <col min="20" max="20" width="11.85546875" style="234" customWidth="1"/>
    <col min="21" max="21" width="18.42578125" style="234" customWidth="1"/>
    <col min="22" max="24" width="19.5703125" style="233" customWidth="1"/>
    <col min="25" max="26" width="8.5703125" style="207"/>
    <col min="27" max="27" width="12.85546875" style="233" bestFit="1" customWidth="1"/>
    <col min="28" max="29" width="12.85546875" style="233" customWidth="1"/>
    <col min="30" max="30" width="13.42578125" style="235" customWidth="1"/>
    <col min="31" max="31" width="15.5703125" style="235" customWidth="1"/>
    <col min="32" max="32" width="46.42578125" style="27" customWidth="1"/>
    <col min="33" max="33" width="8.5703125" style="27"/>
    <col min="34" max="34" width="14.5703125" style="27" customWidth="1"/>
    <col min="35" max="16384" width="8.5703125" style="27"/>
  </cols>
  <sheetData>
    <row r="2" spans="1:35" s="37" customFormat="1" ht="22.5" x14ac:dyDescent="0.25">
      <c r="C2" s="38" t="s">
        <v>1070</v>
      </c>
      <c r="O2" s="170"/>
      <c r="P2" s="230"/>
      <c r="Q2" s="230"/>
      <c r="R2" s="230"/>
      <c r="S2" s="230"/>
      <c r="T2" s="231"/>
      <c r="U2" s="231"/>
      <c r="V2" s="230"/>
      <c r="W2" s="230"/>
      <c r="X2" s="230"/>
      <c r="Y2" s="230"/>
      <c r="Z2" s="230"/>
      <c r="AA2" s="230"/>
      <c r="AB2" s="230"/>
      <c r="AC2" s="230"/>
      <c r="AD2" s="232"/>
      <c r="AE2" s="232"/>
    </row>
    <row r="3" spans="1:35" s="37" customFormat="1" x14ac:dyDescent="0.25">
      <c r="C3" s="37" t="s">
        <v>1071</v>
      </c>
      <c r="O3" s="170"/>
      <c r="P3" s="230"/>
      <c r="Q3" s="230"/>
      <c r="R3" s="230"/>
      <c r="S3" s="230"/>
      <c r="T3" s="231"/>
      <c r="U3" s="231"/>
      <c r="V3" s="230"/>
      <c r="W3" s="230"/>
      <c r="X3" s="230"/>
      <c r="Y3" s="230"/>
      <c r="Z3" s="230"/>
      <c r="AA3" s="230"/>
      <c r="AB3" s="230"/>
      <c r="AC3" s="230"/>
      <c r="AD3" s="232"/>
      <c r="AE3" s="232"/>
    </row>
    <row r="4" spans="1:35" s="37" customFormat="1" x14ac:dyDescent="0.25">
      <c r="C4" s="160" t="str">
        <f>'Read me'!C8</f>
        <v>Update as of  13 March 2025</v>
      </c>
      <c r="O4" s="170"/>
      <c r="P4" s="230"/>
      <c r="Q4" s="230"/>
      <c r="R4" s="230"/>
      <c r="S4" s="230"/>
      <c r="T4" s="231"/>
      <c r="U4" s="231"/>
      <c r="V4" s="230"/>
      <c r="W4" s="230"/>
      <c r="X4" s="230"/>
      <c r="Y4" s="230"/>
      <c r="Z4" s="230"/>
      <c r="AA4" s="230"/>
      <c r="AB4" s="230"/>
      <c r="AC4" s="230"/>
      <c r="AD4" s="232"/>
      <c r="AE4" s="232"/>
    </row>
    <row r="5" spans="1:35" x14ac:dyDescent="0.25">
      <c r="A5" s="51"/>
      <c r="B5" s="51"/>
      <c r="O5" s="145"/>
      <c r="Y5" s="233"/>
      <c r="Z5" s="233"/>
    </row>
    <row r="6" spans="1:35" x14ac:dyDescent="0.25">
      <c r="K6" s="229"/>
      <c r="M6" s="27"/>
      <c r="O6" s="145"/>
      <c r="R6" s="236"/>
      <c r="S6" s="236"/>
      <c r="T6" s="236"/>
      <c r="Y6" s="233"/>
      <c r="Z6" s="233"/>
    </row>
    <row r="7" spans="1:35" s="39" customFormat="1" x14ac:dyDescent="0.25">
      <c r="M7" s="40"/>
      <c r="N7" s="40"/>
      <c r="O7" s="255"/>
      <c r="S7" s="237"/>
      <c r="T7" s="115"/>
      <c r="U7" s="115"/>
      <c r="AD7" s="124"/>
      <c r="AE7" s="124"/>
    </row>
    <row r="8" spans="1:35" s="8" customFormat="1" ht="35.1" customHeight="1" x14ac:dyDescent="0.25">
      <c r="A8" s="276" t="s">
        <v>475</v>
      </c>
      <c r="B8" s="280" t="s">
        <v>476</v>
      </c>
      <c r="C8" s="280" t="s">
        <v>22</v>
      </c>
      <c r="D8" s="280" t="s">
        <v>1072</v>
      </c>
      <c r="E8" s="278" t="s">
        <v>479</v>
      </c>
      <c r="F8" s="279" t="s">
        <v>481</v>
      </c>
      <c r="G8" s="279" t="s">
        <v>483</v>
      </c>
      <c r="H8" s="281" t="s">
        <v>1073</v>
      </c>
      <c r="I8" s="281" t="s">
        <v>1074</v>
      </c>
      <c r="J8" s="281" t="s">
        <v>1075</v>
      </c>
      <c r="K8" s="281" t="s">
        <v>1076</v>
      </c>
      <c r="L8" s="281" t="s">
        <v>1077</v>
      </c>
      <c r="M8" s="281" t="s">
        <v>1078</v>
      </c>
      <c r="N8" s="281" t="s">
        <v>1079</v>
      </c>
      <c r="O8" s="282" t="s">
        <v>1080</v>
      </c>
      <c r="P8" s="277" t="s">
        <v>1081</v>
      </c>
      <c r="Q8" s="280" t="s">
        <v>1082</v>
      </c>
      <c r="R8" s="277" t="s">
        <v>486</v>
      </c>
      <c r="S8" s="277" t="s">
        <v>1083</v>
      </c>
      <c r="T8" s="277" t="s">
        <v>1084</v>
      </c>
      <c r="U8" s="277" t="s">
        <v>1085</v>
      </c>
      <c r="V8" s="277" t="s">
        <v>23</v>
      </c>
      <c r="W8" s="277" t="s">
        <v>24</v>
      </c>
      <c r="X8" s="277" t="s">
        <v>495</v>
      </c>
      <c r="Y8" s="277" t="s">
        <v>26</v>
      </c>
      <c r="Z8" s="277" t="s">
        <v>27</v>
      </c>
      <c r="AA8" s="277" t="s">
        <v>28</v>
      </c>
      <c r="AB8" s="277" t="s">
        <v>29</v>
      </c>
      <c r="AC8" s="277" t="s">
        <v>30</v>
      </c>
      <c r="AD8" s="277" t="s">
        <v>1086</v>
      </c>
      <c r="AE8" s="277" t="s">
        <v>1087</v>
      </c>
      <c r="AF8" s="283" t="s">
        <v>1088</v>
      </c>
    </row>
    <row r="9" spans="1:35" x14ac:dyDescent="0.25">
      <c r="A9" s="382">
        <v>17507</v>
      </c>
      <c r="B9" s="233" t="str">
        <f>VLOOKUP(Table3[[#This Row],[Document ID]],Table1[],2,FALSE)</f>
        <v>AFG</v>
      </c>
      <c r="C9" s="233" t="str">
        <f>VLOOKUP(Table3[[#This Row],[Document ID]],Table1[],3,FALSE)</f>
        <v>Afghanistan</v>
      </c>
      <c r="D9" s="233" t="str">
        <f>VLOOKUP(Table3[[#This Row],[Document ID]],Table1[],5,FALSE)</f>
        <v>NDC</v>
      </c>
      <c r="E9" s="233" t="str">
        <f>VLOOKUP(Table3[[#This Row],[Document ID]],Table1[],7,FALSE)</f>
        <v>First NDC</v>
      </c>
      <c r="F9" s="233" t="str">
        <f>VLOOKUP(Table3[[#This Row],[Document ID]],Table1[],8,FALSE)</f>
        <v>NDC 1.0</v>
      </c>
      <c r="G9" s="233" t="str">
        <f>VLOOKUP(Table3[[#This Row],[Document ID]],Table1[],10,FALSE)</f>
        <v>Active</v>
      </c>
      <c r="H9" s="216" t="s">
        <v>1089</v>
      </c>
      <c r="I9" s="216" t="s">
        <v>1089</v>
      </c>
      <c r="J9" s="216" t="s">
        <v>1090</v>
      </c>
      <c r="K9" s="28" t="s">
        <v>1091</v>
      </c>
      <c r="L9" s="216" t="s">
        <v>1092</v>
      </c>
      <c r="M9" s="217">
        <v>2030</v>
      </c>
      <c r="N9" s="218" t="s">
        <v>1093</v>
      </c>
      <c r="O9" s="256" t="s">
        <v>1094</v>
      </c>
      <c r="P9" s="238" t="str">
        <f>VLOOKUP(_xlfn.CONCAT(Table3[[#This Row],[Target area]],Table3[[#This Row],[GHG target?]],Table3[[#This Row],[Conditionality]]),'Drop down'!$E$81:$F$101,2,FALSE)</f>
        <v>T_Economy_C</v>
      </c>
      <c r="Q9" s="239" t="str">
        <f>VLOOKUP(Table3[[#This Row],[Target type]],Table418[[Value name]:[Value idenifyer]],2,FALSE)</f>
        <v>T_BAU</v>
      </c>
      <c r="T9" s="240"/>
      <c r="U9" s="240"/>
      <c r="V9" s="233" t="str">
        <f>VLOOKUP(Table3[[#This Row],[Country Code]],Table29[],3,FALSE)</f>
        <v>Non-Annex I</v>
      </c>
      <c r="W9" s="233" t="str">
        <f>VLOOKUP(Table3[[#This Row],[Country Code]],Table29[],4,FALSE)</f>
        <v>Asia</v>
      </c>
      <c r="X9" s="233" t="str">
        <f>VLOOKUP(Table3[[#This Row],[Country Code]],Table29[],5,FALSE)</f>
        <v>Low-income</v>
      </c>
      <c r="Y9" s="233" t="str">
        <f>VLOOKUP(Table3[[#This Row],[Country Code]],Table29[],6,FALSE)</f>
        <v>no</v>
      </c>
      <c r="Z9" s="233" t="str">
        <f>VLOOKUP(Table3[[#This Row],[Country Code]],Table29[],7,FALSE)</f>
        <v>no</v>
      </c>
      <c r="AA9" s="233" t="str">
        <f>VLOOKUP(Table3[[#This Row],[Country Code]],Table29[],8,FALSE)</f>
        <v>non-OECD</v>
      </c>
      <c r="AB9" s="233" t="str">
        <f>VLOOKUP(Table3[[#This Row],[Country Code]],Table29[],9,FALSE)</f>
        <v>no</v>
      </c>
      <c r="AC9" s="233" t="str">
        <f>VLOOKUP(Table3[[#This Row],[Country Code]],Table29[],10,FALSE)</f>
        <v>no</v>
      </c>
      <c r="AD9" s="235">
        <f>VLOOKUP(Table3[[#This Row],[Country Code]],Table29[],23,FALSE)</f>
        <v>29.460052109846</v>
      </c>
      <c r="AE9" s="235">
        <f>VLOOKUP(Table3[[#This Row],[Country Code]],Table29[],24,FALSE)</f>
        <v>2.3826400580310159</v>
      </c>
      <c r="AF9" s="43"/>
      <c r="AH9" s="229"/>
      <c r="AI9" s="48"/>
    </row>
    <row r="10" spans="1:35" ht="60" x14ac:dyDescent="0.25">
      <c r="A10" s="368">
        <v>23382</v>
      </c>
      <c r="B10" s="233" t="str">
        <f>VLOOKUP(Table3[[#This Row],[Document ID]],Table1[],2,FALSE)</f>
        <v>ALB</v>
      </c>
      <c r="C10" s="233" t="str">
        <f>VLOOKUP(Table3[[#This Row],[Document ID]],Table1[],3,FALSE)</f>
        <v>Albania</v>
      </c>
      <c r="D10" s="233" t="str">
        <f>VLOOKUP(Table3[[#This Row],[Document ID]],Table1[],5,FALSE)</f>
        <v>NDC</v>
      </c>
      <c r="E10" s="233" t="str">
        <f>VLOOKUP(Table3[[#This Row],[Document ID]],Table1[],7,FALSE)</f>
        <v>First NDC updated</v>
      </c>
      <c r="F10" s="241" t="str">
        <f>VLOOKUP(Table3[[#This Row],[Document ID]],Table1[],8,FALSE)</f>
        <v>NDC 1.1</v>
      </c>
      <c r="G10" s="233" t="str">
        <f>VLOOKUP(Table3[[#This Row],[Document ID]],Table1[],10,FALSE)</f>
        <v>Active</v>
      </c>
      <c r="H10" s="42" t="s">
        <v>1095</v>
      </c>
      <c r="I10" s="42" t="s">
        <v>1096</v>
      </c>
      <c r="J10" s="42" t="s">
        <v>1097</v>
      </c>
      <c r="K10" s="28" t="s">
        <v>1098</v>
      </c>
      <c r="L10" s="42" t="s">
        <v>1099</v>
      </c>
      <c r="M10" s="209">
        <v>2050</v>
      </c>
      <c r="N10" s="209" t="s">
        <v>1100</v>
      </c>
      <c r="O10" s="257">
        <v>17</v>
      </c>
      <c r="P10" s="238" t="str">
        <f>VLOOKUP(_xlfn.CONCAT(Table3[[#This Row],[Target area]],Table3[[#This Row],[GHG target?]],Table3[[#This Row],[Conditionality]]),'Drop down'!$E$81:$F$101,2,FALSE)</f>
        <v>T_Transport_O_Unc</v>
      </c>
      <c r="Q10" s="239" t="str">
        <f>VLOOKUP(Table3[[#This Row],[Target type]],Table418[[Value name]:[Value idenifyer]],2,FALSE)</f>
        <v>T_O_MODE</v>
      </c>
      <c r="S10" s="233" t="s">
        <v>1101</v>
      </c>
      <c r="T10" s="240"/>
      <c r="U10" s="240"/>
      <c r="V10" s="233" t="str">
        <f>VLOOKUP(Table3[[#This Row],[Country Code]],Table29[],3,FALSE)</f>
        <v>Non-Annex I</v>
      </c>
      <c r="W10" s="233" t="str">
        <f>VLOOKUP(Table3[[#This Row],[Country Code]],Table29[],4,FALSE)</f>
        <v>Europe</v>
      </c>
      <c r="X10" s="233" t="str">
        <f>VLOOKUP(Table3[[#This Row],[Country Code]],Table29[],5,FALSE)</f>
        <v>Middle-income</v>
      </c>
      <c r="Y10" s="233" t="str">
        <f>VLOOKUP(Table3[[#This Row],[Country Code]],Table29[],6,FALSE)</f>
        <v>no</v>
      </c>
      <c r="Z10" s="233" t="str">
        <f>VLOOKUP(Table3[[#This Row],[Country Code]],Table29[],7,FALSE)</f>
        <v>no</v>
      </c>
      <c r="AA10" s="233" t="str">
        <f>VLOOKUP(Table3[[#This Row],[Country Code]],Table29[],8,FALSE)</f>
        <v>non-OECD</v>
      </c>
      <c r="AB10" s="233" t="str">
        <f>VLOOKUP(Table3[[#This Row],[Country Code]],Table29[],9,FALSE)</f>
        <v>no</v>
      </c>
      <c r="AC10" s="233" t="str">
        <f>VLOOKUP(Table3[[#This Row],[Country Code]],Table29[],10,FALSE)</f>
        <v>no</v>
      </c>
      <c r="AD10" s="235">
        <f>VLOOKUP(Table3[[#This Row],[Country Code]],Table29[],23,FALSE)</f>
        <v>7.6736715330197001</v>
      </c>
      <c r="AE10" s="235">
        <f>VLOOKUP(Table3[[#This Row],[Country Code]],Table29[],24,FALSE)</f>
        <v>1.696761436354477</v>
      </c>
      <c r="AF10" s="43"/>
      <c r="AI10" s="48"/>
    </row>
    <row r="11" spans="1:35" ht="45" x14ac:dyDescent="0.25">
      <c r="A11" s="368">
        <v>23382</v>
      </c>
      <c r="B11" s="233" t="str">
        <f>VLOOKUP(Table3[[#This Row],[Document ID]],Table1[],2,FALSE)</f>
        <v>ALB</v>
      </c>
      <c r="C11" s="233" t="str">
        <f>VLOOKUP(Table3[[#This Row],[Document ID]],Table1[],3,FALSE)</f>
        <v>Albania</v>
      </c>
      <c r="D11" s="233" t="str">
        <f>VLOOKUP(Table3[[#This Row],[Document ID]],Table1[],5,FALSE)</f>
        <v>NDC</v>
      </c>
      <c r="E11" s="233" t="str">
        <f>VLOOKUP(Table3[[#This Row],[Document ID]],Table1[],7,FALSE)</f>
        <v>First NDC updated</v>
      </c>
      <c r="F11" s="241" t="str">
        <f>VLOOKUP(Table3[[#This Row],[Document ID]],Table1[],8,FALSE)</f>
        <v>NDC 1.1</v>
      </c>
      <c r="G11" s="233" t="str">
        <f>VLOOKUP(Table3[[#This Row],[Document ID]],Table1[],10,FALSE)</f>
        <v>Active</v>
      </c>
      <c r="H11" s="42" t="s">
        <v>1095</v>
      </c>
      <c r="I11" s="42" t="s">
        <v>1096</v>
      </c>
      <c r="J11" s="42" t="s">
        <v>1097</v>
      </c>
      <c r="K11" s="28" t="s">
        <v>1102</v>
      </c>
      <c r="L11" s="42" t="s">
        <v>1099</v>
      </c>
      <c r="M11" s="209">
        <v>2030</v>
      </c>
      <c r="N11" s="209" t="s">
        <v>1103</v>
      </c>
      <c r="O11" s="257">
        <v>18</v>
      </c>
      <c r="P11" s="238" t="str">
        <f>VLOOKUP(_xlfn.CONCAT(Table3[[#This Row],[Target area]],Table3[[#This Row],[GHG target?]],Table3[[#This Row],[Conditionality]]),'Drop down'!$E$81:$F$101,2,FALSE)</f>
        <v>T_Transport_O_Unc</v>
      </c>
      <c r="Q11" s="239" t="str">
        <f>VLOOKUP(Table3[[#This Row],[Target type]],Table418[[Value name]:[Value idenifyer]],2,FALSE)</f>
        <v>T_O_BIO</v>
      </c>
      <c r="S11" s="233" t="s">
        <v>1101</v>
      </c>
      <c r="T11" s="240"/>
      <c r="U11" s="240"/>
      <c r="V11" s="233" t="str">
        <f>VLOOKUP(Table3[[#This Row],[Country Code]],Table29[],3,FALSE)</f>
        <v>Non-Annex I</v>
      </c>
      <c r="W11" s="233" t="str">
        <f>VLOOKUP(Table3[[#This Row],[Country Code]],Table29[],4,FALSE)</f>
        <v>Europe</v>
      </c>
      <c r="X11" s="233" t="str">
        <f>VLOOKUP(Table3[[#This Row],[Country Code]],Table29[],5,FALSE)</f>
        <v>Middle-income</v>
      </c>
      <c r="Y11" s="233" t="str">
        <f>VLOOKUP(Table3[[#This Row],[Country Code]],Table29[],6,FALSE)</f>
        <v>no</v>
      </c>
      <c r="Z11" s="233" t="str">
        <f>VLOOKUP(Table3[[#This Row],[Country Code]],Table29[],7,FALSE)</f>
        <v>no</v>
      </c>
      <c r="AA11" s="233" t="str">
        <f>VLOOKUP(Table3[[#This Row],[Country Code]],Table29[],8,FALSE)</f>
        <v>non-OECD</v>
      </c>
      <c r="AB11" s="233" t="str">
        <f>VLOOKUP(Table3[[#This Row],[Country Code]],Table29[],9,FALSE)</f>
        <v>no</v>
      </c>
      <c r="AC11" s="233" t="str">
        <f>VLOOKUP(Table3[[#This Row],[Country Code]],Table29[],10,FALSE)</f>
        <v>no</v>
      </c>
      <c r="AD11" s="235">
        <f>VLOOKUP(Table3[[#This Row],[Country Code]],Table29[],23,FALSE)</f>
        <v>7.6736715330197001</v>
      </c>
      <c r="AE11" s="235">
        <f>VLOOKUP(Table3[[#This Row],[Country Code]],Table29[],24,FALSE)</f>
        <v>1.696761436354477</v>
      </c>
      <c r="AF11" s="43"/>
      <c r="AI11" s="48"/>
    </row>
    <row r="12" spans="1:35" ht="30" x14ac:dyDescent="0.25">
      <c r="A12" s="368">
        <v>23382</v>
      </c>
      <c r="B12" s="233" t="str">
        <f>VLOOKUP(Table3[[#This Row],[Document ID]],Table1[],2,FALSE)</f>
        <v>ALB</v>
      </c>
      <c r="C12" s="233" t="str">
        <f>VLOOKUP(Table3[[#This Row],[Document ID]],Table1[],3,FALSE)</f>
        <v>Albania</v>
      </c>
      <c r="D12" s="233" t="str">
        <f>VLOOKUP(Table3[[#This Row],[Document ID]],Table1[],5,FALSE)</f>
        <v>NDC</v>
      </c>
      <c r="E12" s="233" t="str">
        <f>VLOOKUP(Table3[[#This Row],[Document ID]],Table1[],7,FALSE)</f>
        <v>First NDC updated</v>
      </c>
      <c r="F12" s="241" t="str">
        <f>VLOOKUP(Table3[[#This Row],[Document ID]],Table1[],8,FALSE)</f>
        <v>NDC 1.1</v>
      </c>
      <c r="G12" s="233" t="str">
        <f>VLOOKUP(Table3[[#This Row],[Document ID]],Table1[],10,FALSE)</f>
        <v>Active</v>
      </c>
      <c r="H12" s="42" t="s">
        <v>1095</v>
      </c>
      <c r="I12" s="42" t="s">
        <v>1096</v>
      </c>
      <c r="J12" s="42" t="s">
        <v>1097</v>
      </c>
      <c r="K12" s="42" t="s">
        <v>1104</v>
      </c>
      <c r="L12" s="42" t="s">
        <v>1099</v>
      </c>
      <c r="M12" s="209">
        <v>2030</v>
      </c>
      <c r="N12" s="209" t="s">
        <v>1105</v>
      </c>
      <c r="O12" s="257">
        <v>18</v>
      </c>
      <c r="P12" s="238" t="str">
        <f>VLOOKUP(_xlfn.CONCAT(Table3[[#This Row],[Target area]],Table3[[#This Row],[GHG target?]],Table3[[#This Row],[Conditionality]]),'Drop down'!$E$81:$F$101,2,FALSE)</f>
        <v>T_Transport_O_Unc</v>
      </c>
      <c r="Q12" s="239" t="str">
        <f>VLOOKUP(Table3[[#This Row],[Target type]],Table418[[Value name]:[Value idenifyer]],2,FALSE)</f>
        <v>T_O_ZERO</v>
      </c>
      <c r="S12" s="233" t="s">
        <v>1101</v>
      </c>
      <c r="T12" s="240"/>
      <c r="U12" s="240"/>
      <c r="V12" s="233" t="str">
        <f>VLOOKUP(Table3[[#This Row],[Country Code]],Table29[],3,FALSE)</f>
        <v>Non-Annex I</v>
      </c>
      <c r="W12" s="233" t="str">
        <f>VLOOKUP(Table3[[#This Row],[Country Code]],Table29[],4,FALSE)</f>
        <v>Europe</v>
      </c>
      <c r="X12" s="233" t="str">
        <f>VLOOKUP(Table3[[#This Row],[Country Code]],Table29[],5,FALSE)</f>
        <v>Middle-income</v>
      </c>
      <c r="Y12" s="233" t="str">
        <f>VLOOKUP(Table3[[#This Row],[Country Code]],Table29[],6,FALSE)</f>
        <v>no</v>
      </c>
      <c r="Z12" s="233" t="str">
        <f>VLOOKUP(Table3[[#This Row],[Country Code]],Table29[],7,FALSE)</f>
        <v>no</v>
      </c>
      <c r="AA12" s="233" t="str">
        <f>VLOOKUP(Table3[[#This Row],[Country Code]],Table29[],8,FALSE)</f>
        <v>non-OECD</v>
      </c>
      <c r="AB12" s="233" t="str">
        <f>VLOOKUP(Table3[[#This Row],[Country Code]],Table29[],9,FALSE)</f>
        <v>no</v>
      </c>
      <c r="AC12" s="233" t="str">
        <f>VLOOKUP(Table3[[#This Row],[Country Code]],Table29[],10,FALSE)</f>
        <v>no</v>
      </c>
      <c r="AD12" s="235">
        <f>VLOOKUP(Table3[[#This Row],[Country Code]],Table29[],23,FALSE)</f>
        <v>7.6736715330197001</v>
      </c>
      <c r="AE12" s="235">
        <f>VLOOKUP(Table3[[#This Row],[Country Code]],Table29[],24,FALSE)</f>
        <v>1.696761436354477</v>
      </c>
      <c r="AF12" s="43"/>
      <c r="AI12" s="48"/>
    </row>
    <row r="13" spans="1:35" x14ac:dyDescent="0.25">
      <c r="A13" s="368">
        <v>23382</v>
      </c>
      <c r="B13" s="233" t="str">
        <f>VLOOKUP(Table3[[#This Row],[Document ID]],Table1[],2,FALSE)</f>
        <v>ALB</v>
      </c>
      <c r="C13" s="233" t="str">
        <f>VLOOKUP(Table3[[#This Row],[Document ID]],Table1[],3,FALSE)</f>
        <v>Albania</v>
      </c>
      <c r="D13" s="233" t="str">
        <f>VLOOKUP(Table3[[#This Row],[Document ID]],Table1[],5,FALSE)</f>
        <v>NDC</v>
      </c>
      <c r="E13" s="233" t="str">
        <f>VLOOKUP(Table3[[#This Row],[Document ID]],Table1[],7,FALSE)</f>
        <v>First NDC updated</v>
      </c>
      <c r="F13" s="241" t="str">
        <f>VLOOKUP(Table3[[#This Row],[Document ID]],Table1[],8,FALSE)</f>
        <v>NDC 1.1</v>
      </c>
      <c r="G13" s="233" t="str">
        <f>VLOOKUP(Table3[[#This Row],[Document ID]],Table1[],10,FALSE)</f>
        <v>Active</v>
      </c>
      <c r="H13" s="42" t="s">
        <v>1095</v>
      </c>
      <c r="I13" s="42" t="s">
        <v>1096</v>
      </c>
      <c r="J13" s="42" t="s">
        <v>1097</v>
      </c>
      <c r="K13" s="28" t="s">
        <v>1098</v>
      </c>
      <c r="L13" s="42" t="s">
        <v>1099</v>
      </c>
      <c r="M13" s="209">
        <v>2030</v>
      </c>
      <c r="N13" s="209" t="s">
        <v>1106</v>
      </c>
      <c r="O13" s="257">
        <v>18</v>
      </c>
      <c r="P13" s="238" t="str">
        <f>VLOOKUP(_xlfn.CONCAT(Table3[[#This Row],[Target area]],Table3[[#This Row],[GHG target?]],Table3[[#This Row],[Conditionality]]),'Drop down'!$E$81:$F$101,2,FALSE)</f>
        <v>T_Transport_O_Unc</v>
      </c>
      <c r="Q13" s="239" t="str">
        <f>VLOOKUP(Table3[[#This Row],[Target type]],Table418[[Value name]:[Value idenifyer]],2,FALSE)</f>
        <v>T_O_MODE</v>
      </c>
      <c r="S13" s="233" t="s">
        <v>1101</v>
      </c>
      <c r="T13" s="240"/>
      <c r="U13" s="240"/>
      <c r="V13" s="233" t="str">
        <f>VLOOKUP(Table3[[#This Row],[Country Code]],Table29[],3,FALSE)</f>
        <v>Non-Annex I</v>
      </c>
      <c r="W13" s="233" t="str">
        <f>VLOOKUP(Table3[[#This Row],[Country Code]],Table29[],4,FALSE)</f>
        <v>Europe</v>
      </c>
      <c r="X13" s="233" t="str">
        <f>VLOOKUP(Table3[[#This Row],[Country Code]],Table29[],5,FALSE)</f>
        <v>Middle-income</v>
      </c>
      <c r="Y13" s="233" t="str">
        <f>VLOOKUP(Table3[[#This Row],[Country Code]],Table29[],6,FALSE)</f>
        <v>no</v>
      </c>
      <c r="Z13" s="233" t="str">
        <f>VLOOKUP(Table3[[#This Row],[Country Code]],Table29[],7,FALSE)</f>
        <v>no</v>
      </c>
      <c r="AA13" s="233" t="str">
        <f>VLOOKUP(Table3[[#This Row],[Country Code]],Table29[],8,FALSE)</f>
        <v>non-OECD</v>
      </c>
      <c r="AB13" s="233" t="str">
        <f>VLOOKUP(Table3[[#This Row],[Country Code]],Table29[],9,FALSE)</f>
        <v>no</v>
      </c>
      <c r="AC13" s="233" t="str">
        <f>VLOOKUP(Table3[[#This Row],[Country Code]],Table29[],10,FALSE)</f>
        <v>no</v>
      </c>
      <c r="AD13" s="235">
        <f>VLOOKUP(Table3[[#This Row],[Country Code]],Table29[],23,FALSE)</f>
        <v>7.6736715330197001</v>
      </c>
      <c r="AE13" s="235">
        <f>VLOOKUP(Table3[[#This Row],[Country Code]],Table29[],24,FALSE)</f>
        <v>1.696761436354477</v>
      </c>
      <c r="AF13" s="43"/>
      <c r="AI13" s="48"/>
    </row>
    <row r="14" spans="1:35" ht="30" x14ac:dyDescent="0.25">
      <c r="A14" s="368">
        <v>23382</v>
      </c>
      <c r="B14" s="233" t="str">
        <f>VLOOKUP(Table3[[#This Row],[Document ID]],Table1[],2,FALSE)</f>
        <v>ALB</v>
      </c>
      <c r="C14" s="233" t="str">
        <f>VLOOKUP(Table3[[#This Row],[Document ID]],Table1[],3,FALSE)</f>
        <v>Albania</v>
      </c>
      <c r="D14" s="233" t="str">
        <f>VLOOKUP(Table3[[#This Row],[Document ID]],Table1[],5,FALSE)</f>
        <v>NDC</v>
      </c>
      <c r="E14" s="233" t="str">
        <f>VLOOKUP(Table3[[#This Row],[Document ID]],Table1[],7,FALSE)</f>
        <v>First NDC updated</v>
      </c>
      <c r="F14" s="241" t="str">
        <f>VLOOKUP(Table3[[#This Row],[Document ID]],Table1[],8,FALSE)</f>
        <v>NDC 1.1</v>
      </c>
      <c r="G14" s="233" t="str">
        <f>VLOOKUP(Table3[[#This Row],[Document ID]],Table1[],10,FALSE)</f>
        <v>Active</v>
      </c>
      <c r="H14" s="216" t="s">
        <v>1089</v>
      </c>
      <c r="I14" s="216" t="s">
        <v>1089</v>
      </c>
      <c r="J14" s="216" t="s">
        <v>1090</v>
      </c>
      <c r="K14" s="28" t="s">
        <v>1091</v>
      </c>
      <c r="L14" s="42" t="s">
        <v>1099</v>
      </c>
      <c r="M14" s="209">
        <v>2030</v>
      </c>
      <c r="N14" s="209" t="s">
        <v>1107</v>
      </c>
      <c r="O14" s="257">
        <v>9</v>
      </c>
      <c r="P14" s="238" t="str">
        <f>VLOOKUP(_xlfn.CONCAT(Table3[[#This Row],[Target area]],Table3[[#This Row],[GHG target?]],Table3[[#This Row],[Conditionality]]),'Drop down'!$E$81:$F$101,2,FALSE)</f>
        <v>T_Economy_Unc</v>
      </c>
      <c r="Q14" s="239" t="str">
        <f>VLOOKUP(Table3[[#This Row],[Target type]],Table418[[Value name]:[Value idenifyer]],2,FALSE)</f>
        <v>T_BAU</v>
      </c>
      <c r="S14" s="233" t="s">
        <v>1101</v>
      </c>
      <c r="T14" s="240"/>
      <c r="U14" s="240"/>
      <c r="V14" s="233" t="str">
        <f>VLOOKUP(Table3[[#This Row],[Country Code]],Table29[],3,FALSE)</f>
        <v>Non-Annex I</v>
      </c>
      <c r="W14" s="233" t="str">
        <f>VLOOKUP(Table3[[#This Row],[Country Code]],Table29[],4,FALSE)</f>
        <v>Europe</v>
      </c>
      <c r="X14" s="233" t="str">
        <f>VLOOKUP(Table3[[#This Row],[Country Code]],Table29[],5,FALSE)</f>
        <v>Middle-income</v>
      </c>
      <c r="Y14" s="233" t="str">
        <f>VLOOKUP(Table3[[#This Row],[Country Code]],Table29[],6,FALSE)</f>
        <v>no</v>
      </c>
      <c r="Z14" s="233" t="str">
        <f>VLOOKUP(Table3[[#This Row],[Country Code]],Table29[],7,FALSE)</f>
        <v>no</v>
      </c>
      <c r="AA14" s="233" t="str">
        <f>VLOOKUP(Table3[[#This Row],[Country Code]],Table29[],8,FALSE)</f>
        <v>non-OECD</v>
      </c>
      <c r="AB14" s="233" t="str">
        <f>VLOOKUP(Table3[[#This Row],[Country Code]],Table29[],9,FALSE)</f>
        <v>no</v>
      </c>
      <c r="AC14" s="233" t="str">
        <f>VLOOKUP(Table3[[#This Row],[Country Code]],Table29[],10,FALSE)</f>
        <v>no</v>
      </c>
      <c r="AD14" s="235">
        <f>VLOOKUP(Table3[[#This Row],[Country Code]],Table29[],23,FALSE)</f>
        <v>7.6736715330197001</v>
      </c>
      <c r="AE14" s="235">
        <f>VLOOKUP(Table3[[#This Row],[Country Code]],Table29[],24,FALSE)</f>
        <v>1.696761436354477</v>
      </c>
      <c r="AF14" s="43"/>
      <c r="AI14" s="48"/>
    </row>
    <row r="15" spans="1:35" x14ac:dyDescent="0.25">
      <c r="A15" s="360">
        <v>17508</v>
      </c>
      <c r="B15" s="233" t="str">
        <f>VLOOKUP(Table3[[#This Row],[Document ID]],Table1[],2,FALSE)</f>
        <v>ALB</v>
      </c>
      <c r="C15" s="233" t="str">
        <f>VLOOKUP(Table3[[#This Row],[Document ID]],Table1[],3,FALSE)</f>
        <v>Albania</v>
      </c>
      <c r="D15" s="233" t="str">
        <f>VLOOKUP(Table3[[#This Row],[Document ID]],Table1[],5,FALSE)</f>
        <v>NDC</v>
      </c>
      <c r="E15" s="233" t="str">
        <f>VLOOKUP(Table3[[#This Row],[Document ID]],Table1[],7,FALSE)</f>
        <v>First NDC</v>
      </c>
      <c r="F15" s="233" t="str">
        <f>VLOOKUP(Table3[[#This Row],[Document ID]],Table1[],8,FALSE)</f>
        <v>NDC 1.0</v>
      </c>
      <c r="G15" s="233" t="str">
        <f>VLOOKUP(Table3[[#This Row],[Document ID]],Table1[],10,FALSE)</f>
        <v>Archived</v>
      </c>
      <c r="H15" s="216" t="s">
        <v>1089</v>
      </c>
      <c r="I15" s="216" t="s">
        <v>1089</v>
      </c>
      <c r="J15" s="216" t="s">
        <v>1090</v>
      </c>
      <c r="K15" s="28" t="s">
        <v>1091</v>
      </c>
      <c r="L15" s="42" t="s">
        <v>1099</v>
      </c>
      <c r="M15" s="209">
        <v>2030</v>
      </c>
      <c r="N15" s="176" t="s">
        <v>1108</v>
      </c>
      <c r="O15" s="258" t="s">
        <v>1094</v>
      </c>
      <c r="P15" s="238" t="str">
        <f>VLOOKUP(_xlfn.CONCAT(Table3[[#This Row],[Target area]],Table3[[#This Row],[GHG target?]],Table3[[#This Row],[Conditionality]]),'Drop down'!$E$81:$F$101,2,FALSE)</f>
        <v>T_Economy_Unc</v>
      </c>
      <c r="Q15" s="239" t="str">
        <f>VLOOKUP(Table3[[#This Row],[Target type]],Table418[[Value name]:[Value idenifyer]],2,FALSE)</f>
        <v>T_BAU</v>
      </c>
      <c r="T15" s="240"/>
      <c r="U15" s="240"/>
      <c r="V15" s="233" t="str">
        <f>VLOOKUP(Table3[[#This Row],[Country Code]],Table29[],3,FALSE)</f>
        <v>Non-Annex I</v>
      </c>
      <c r="W15" s="233" t="str">
        <f>VLOOKUP(Table3[[#This Row],[Country Code]],Table29[],4,FALSE)</f>
        <v>Europe</v>
      </c>
      <c r="X15" s="233" t="str">
        <f>VLOOKUP(Table3[[#This Row],[Country Code]],Table29[],5,FALSE)</f>
        <v>Middle-income</v>
      </c>
      <c r="Y15" s="233" t="str">
        <f>VLOOKUP(Table3[[#This Row],[Country Code]],Table29[],6,FALSE)</f>
        <v>no</v>
      </c>
      <c r="Z15" s="233" t="str">
        <f>VLOOKUP(Table3[[#This Row],[Country Code]],Table29[],7,FALSE)</f>
        <v>no</v>
      </c>
      <c r="AA15" s="233" t="str">
        <f>VLOOKUP(Table3[[#This Row],[Country Code]],Table29[],8,FALSE)</f>
        <v>non-OECD</v>
      </c>
      <c r="AB15" s="233" t="str">
        <f>VLOOKUP(Table3[[#This Row],[Country Code]],Table29[],9,FALSE)</f>
        <v>no</v>
      </c>
      <c r="AC15" s="233" t="str">
        <f>VLOOKUP(Table3[[#This Row],[Country Code]],Table29[],10,FALSE)</f>
        <v>no</v>
      </c>
      <c r="AD15" s="235">
        <f>VLOOKUP(Table3[[#This Row],[Country Code]],Table29[],23,FALSE)</f>
        <v>7.6736715330197001</v>
      </c>
      <c r="AE15" s="235">
        <f>VLOOKUP(Table3[[#This Row],[Country Code]],Table29[],24,FALSE)</f>
        <v>1.696761436354477</v>
      </c>
      <c r="AF15" s="43"/>
      <c r="AI15" s="48"/>
    </row>
    <row r="16" spans="1:35" x14ac:dyDescent="0.25">
      <c r="A16" s="360">
        <v>17509</v>
      </c>
      <c r="B16" s="233" t="str">
        <f>VLOOKUP(Table3[[#This Row],[Document ID]],Table1[],2,FALSE)</f>
        <v>DZA</v>
      </c>
      <c r="C16" s="233" t="str">
        <f>VLOOKUP(Table3[[#This Row],[Document ID]],Table1[],3,FALSE)</f>
        <v>Algeria</v>
      </c>
      <c r="D16" s="233" t="str">
        <f>VLOOKUP(Table3[[#This Row],[Document ID]],Table1[],5,FALSE)</f>
        <v>NDC</v>
      </c>
      <c r="E16" s="233" t="str">
        <f>VLOOKUP(Table3[[#This Row],[Document ID]],Table1[],7,FALSE)</f>
        <v>First NDC</v>
      </c>
      <c r="F16" s="233" t="str">
        <f>VLOOKUP(Table3[[#This Row],[Document ID]],Table1[],8,FALSE)</f>
        <v>NDC 1.0</v>
      </c>
      <c r="G16" s="233" t="str">
        <f>VLOOKUP(Table3[[#This Row],[Document ID]],Table1[],10,FALSE)</f>
        <v>Active</v>
      </c>
      <c r="H16" s="216" t="s">
        <v>1089</v>
      </c>
      <c r="I16" s="216" t="s">
        <v>1089</v>
      </c>
      <c r="J16" s="216" t="s">
        <v>1090</v>
      </c>
      <c r="K16" s="28" t="s">
        <v>1091</v>
      </c>
      <c r="L16" s="42" t="s">
        <v>1099</v>
      </c>
      <c r="M16" s="209">
        <v>2030</v>
      </c>
      <c r="N16" s="176" t="s">
        <v>1109</v>
      </c>
      <c r="O16" s="258" t="s">
        <v>1094</v>
      </c>
      <c r="P16" s="238" t="str">
        <f>VLOOKUP(_xlfn.CONCAT(Table3[[#This Row],[Target area]],Table3[[#This Row],[GHG target?]],Table3[[#This Row],[Conditionality]]),'Drop down'!$E$81:$F$101,2,FALSE)</f>
        <v>T_Economy_Unc</v>
      </c>
      <c r="Q16" s="239" t="str">
        <f>VLOOKUP(Table3[[#This Row],[Target type]],Table418[[Value name]:[Value idenifyer]],2,FALSE)</f>
        <v>T_BAU</v>
      </c>
      <c r="T16" s="240"/>
      <c r="U16" s="240"/>
      <c r="V16" s="233" t="str">
        <f>VLOOKUP(Table3[[#This Row],[Country Code]],Table29[],3,FALSE)</f>
        <v>Non-Annex I</v>
      </c>
      <c r="W16" s="233" t="str">
        <f>VLOOKUP(Table3[[#This Row],[Country Code]],Table29[],4,FALSE)</f>
        <v>Africa</v>
      </c>
      <c r="X16" s="233" t="str">
        <f>VLOOKUP(Table3[[#This Row],[Country Code]],Table29[],5,FALSE)</f>
        <v>Middle-income</v>
      </c>
      <c r="Y16" s="233" t="str">
        <f>VLOOKUP(Table3[[#This Row],[Country Code]],Table29[],6,FALSE)</f>
        <v>no</v>
      </c>
      <c r="Z16" s="233" t="str">
        <f>VLOOKUP(Table3[[#This Row],[Country Code]],Table29[],7,FALSE)</f>
        <v>no</v>
      </c>
      <c r="AA16" s="233" t="str">
        <f>VLOOKUP(Table3[[#This Row],[Country Code]],Table29[],8,FALSE)</f>
        <v>non-OECD</v>
      </c>
      <c r="AB16" s="233" t="str">
        <f>VLOOKUP(Table3[[#This Row],[Country Code]],Table29[],9,FALSE)</f>
        <v>no</v>
      </c>
      <c r="AC16" s="233" t="str">
        <f>VLOOKUP(Table3[[#This Row],[Country Code]],Table29[],10,FALSE)</f>
        <v>MENA</v>
      </c>
      <c r="AD16" s="235">
        <f>VLOOKUP(Table3[[#This Row],[Country Code]],Table29[],23,FALSE)</f>
        <v>256.79213126858002</v>
      </c>
      <c r="AE16" s="235">
        <f>VLOOKUP(Table3[[#This Row],[Country Code]],Table29[],24,FALSE)</f>
        <v>47.384068350378769</v>
      </c>
      <c r="AF16" s="43"/>
    </row>
    <row r="17" spans="1:32" x14ac:dyDescent="0.25">
      <c r="A17" s="360">
        <v>17509</v>
      </c>
      <c r="B17" s="233" t="str">
        <f>VLOOKUP(Table3[[#This Row],[Document ID]],Table1[],2,FALSE)</f>
        <v>DZA</v>
      </c>
      <c r="C17" s="233" t="str">
        <f>VLOOKUP(Table3[[#This Row],[Document ID]],Table1[],3,FALSE)</f>
        <v>Algeria</v>
      </c>
      <c r="D17" s="233" t="str">
        <f>VLOOKUP(Table3[[#This Row],[Document ID]],Table1[],5,FALSE)</f>
        <v>NDC</v>
      </c>
      <c r="E17" s="233" t="str">
        <f>VLOOKUP(Table3[[#This Row],[Document ID]],Table1[],7,FALSE)</f>
        <v>First NDC</v>
      </c>
      <c r="F17" s="233" t="str">
        <f>VLOOKUP(Table3[[#This Row],[Document ID]],Table1[],8,FALSE)</f>
        <v>NDC 1.0</v>
      </c>
      <c r="G17" s="233" t="str">
        <f>VLOOKUP(Table3[[#This Row],[Document ID]],Table1[],10,FALSE)</f>
        <v>Active</v>
      </c>
      <c r="H17" s="216" t="s">
        <v>1089</v>
      </c>
      <c r="I17" s="216" t="s">
        <v>1089</v>
      </c>
      <c r="J17" s="216" t="s">
        <v>1090</v>
      </c>
      <c r="K17" s="28" t="s">
        <v>1091</v>
      </c>
      <c r="L17" s="216" t="s">
        <v>1092</v>
      </c>
      <c r="M17" s="209">
        <v>2030</v>
      </c>
      <c r="N17" s="176" t="s">
        <v>1110</v>
      </c>
      <c r="O17" s="258" t="s">
        <v>1094</v>
      </c>
      <c r="P17" s="238" t="str">
        <f>VLOOKUP(_xlfn.CONCAT(Table3[[#This Row],[Target area]],Table3[[#This Row],[GHG target?]],Table3[[#This Row],[Conditionality]]),'Drop down'!$E$81:$F$101,2,FALSE)</f>
        <v>T_Economy_C</v>
      </c>
      <c r="Q17" s="239" t="str">
        <f>VLOOKUP(Table3[[#This Row],[Target type]],Table418[[Value name]:[Value idenifyer]],2,FALSE)</f>
        <v>T_BAU</v>
      </c>
      <c r="T17" s="240"/>
      <c r="U17" s="240"/>
      <c r="V17" s="233" t="str">
        <f>VLOOKUP(Table3[[#This Row],[Country Code]],Table29[],3,FALSE)</f>
        <v>Non-Annex I</v>
      </c>
      <c r="W17" s="233" t="str">
        <f>VLOOKUP(Table3[[#This Row],[Country Code]],Table29[],4,FALSE)</f>
        <v>Africa</v>
      </c>
      <c r="X17" s="233" t="str">
        <f>VLOOKUP(Table3[[#This Row],[Country Code]],Table29[],5,FALSE)</f>
        <v>Middle-income</v>
      </c>
      <c r="Y17" s="233" t="str">
        <f>VLOOKUP(Table3[[#This Row],[Country Code]],Table29[],6,FALSE)</f>
        <v>no</v>
      </c>
      <c r="Z17" s="233" t="str">
        <f>VLOOKUP(Table3[[#This Row],[Country Code]],Table29[],7,FALSE)</f>
        <v>no</v>
      </c>
      <c r="AA17" s="233" t="str">
        <f>VLOOKUP(Table3[[#This Row],[Country Code]],Table29[],8,FALSE)</f>
        <v>non-OECD</v>
      </c>
      <c r="AB17" s="233" t="str">
        <f>VLOOKUP(Table3[[#This Row],[Country Code]],Table29[],9,FALSE)</f>
        <v>no</v>
      </c>
      <c r="AC17" s="233" t="str">
        <f>VLOOKUP(Table3[[#This Row],[Country Code]],Table29[],10,FALSE)</f>
        <v>MENA</v>
      </c>
      <c r="AD17" s="235">
        <f>VLOOKUP(Table3[[#This Row],[Country Code]],Table29[],23,FALSE)</f>
        <v>256.79213126858002</v>
      </c>
      <c r="AE17" s="235">
        <f>VLOOKUP(Table3[[#This Row],[Country Code]],Table29[],24,FALSE)</f>
        <v>47.384068350378769</v>
      </c>
      <c r="AF17" s="43"/>
    </row>
    <row r="18" spans="1:32" ht="30" x14ac:dyDescent="0.25">
      <c r="A18" s="360">
        <v>17511</v>
      </c>
      <c r="B18" s="233" t="str">
        <f>VLOOKUP(Table3[[#This Row],[Document ID]],Table1[],2,FALSE)</f>
        <v>AND</v>
      </c>
      <c r="C18" s="233" t="str">
        <f>VLOOKUP(Table3[[#This Row],[Document ID]],Table1[],3,FALSE)</f>
        <v>Andorra</v>
      </c>
      <c r="D18" s="233" t="str">
        <f>VLOOKUP(Table3[[#This Row],[Document ID]],Table1[],5,FALSE)</f>
        <v>NDC</v>
      </c>
      <c r="E18" s="233" t="str">
        <f>VLOOKUP(Table3[[#This Row],[Document ID]],Table1[],7,FALSE)</f>
        <v>First NDC updated</v>
      </c>
      <c r="F18" s="233" t="str">
        <f>VLOOKUP(Table3[[#This Row],[Document ID]],Table1[],8,FALSE)</f>
        <v>NDC 1.1</v>
      </c>
      <c r="G18" s="233" t="str">
        <f>VLOOKUP(Table3[[#This Row],[Document ID]],Table1[],10,FALSE)</f>
        <v>Archived</v>
      </c>
      <c r="H18" s="216" t="s">
        <v>1089</v>
      </c>
      <c r="I18" s="216" t="s">
        <v>1089</v>
      </c>
      <c r="J18" s="216" t="s">
        <v>1090</v>
      </c>
      <c r="K18" s="28" t="s">
        <v>1091</v>
      </c>
      <c r="L18" s="42" t="s">
        <v>1099</v>
      </c>
      <c r="M18" s="44">
        <v>2030</v>
      </c>
      <c r="N18" s="44" t="s">
        <v>1111</v>
      </c>
      <c r="O18" s="221">
        <v>7</v>
      </c>
      <c r="P18" s="238" t="str">
        <f>VLOOKUP(_xlfn.CONCAT(Table3[[#This Row],[Target area]],Table3[[#This Row],[GHG target?]],Table3[[#This Row],[Conditionality]]),'Drop down'!$E$81:$F$101,2,FALSE)</f>
        <v>T_Economy_Unc</v>
      </c>
      <c r="Q18" s="239" t="str">
        <f>VLOOKUP(Table3[[#This Row],[Target type]],Table418[[Value name]:[Value idenifyer]],2,FALSE)</f>
        <v>T_BAU</v>
      </c>
      <c r="S18" s="233" t="s">
        <v>1112</v>
      </c>
      <c r="T18" s="234" t="s">
        <v>1113</v>
      </c>
      <c r="V18" s="233" t="str">
        <f>VLOOKUP(Table3[[#This Row],[Country Code]],Table29[],3,FALSE)</f>
        <v>Non-Annex I</v>
      </c>
      <c r="W18" s="233" t="str">
        <f>VLOOKUP(Table3[[#This Row],[Country Code]],Table29[],4,FALSE)</f>
        <v>Europe</v>
      </c>
      <c r="X18" s="233" t="str">
        <f>VLOOKUP(Table3[[#This Row],[Country Code]],Table29[],5,FALSE)</f>
        <v>High-income</v>
      </c>
      <c r="Y18" s="233" t="str">
        <f>VLOOKUP(Table3[[#This Row],[Country Code]],Table29[],6,FALSE)</f>
        <v>no</v>
      </c>
      <c r="Z18" s="233" t="str">
        <f>VLOOKUP(Table3[[#This Row],[Country Code]],Table29[],7,FALSE)</f>
        <v>no</v>
      </c>
      <c r="AA18" s="233" t="str">
        <f>VLOOKUP(Table3[[#This Row],[Country Code]],Table29[],8,FALSE)</f>
        <v>non-OECD</v>
      </c>
      <c r="AB18" s="233" t="str">
        <f>VLOOKUP(Table3[[#This Row],[Country Code]],Table29[],9,FALSE)</f>
        <v>no</v>
      </c>
      <c r="AC18" s="233" t="str">
        <f>VLOOKUP(Table3[[#This Row],[Country Code]],Table29[],10,FALSE)</f>
        <v>no</v>
      </c>
      <c r="AD18" s="235">
        <f>VLOOKUP(Table3[[#This Row],[Country Code]],Table29[],23,FALSE)</f>
        <v>0</v>
      </c>
      <c r="AE18" s="235">
        <f>VLOOKUP(Table3[[#This Row],[Country Code]],Table29[],24,FALSE)</f>
        <v>0</v>
      </c>
      <c r="AF18" s="43"/>
    </row>
    <row r="19" spans="1:32" ht="375" x14ac:dyDescent="0.25">
      <c r="A19" s="360">
        <v>17511</v>
      </c>
      <c r="B19" s="233" t="str">
        <f>VLOOKUP(Table3[[#This Row],[Document ID]],Table1[],2,FALSE)</f>
        <v>AND</v>
      </c>
      <c r="C19" s="233" t="str">
        <f>VLOOKUP(Table3[[#This Row],[Document ID]],Table1[],3,FALSE)</f>
        <v>Andorra</v>
      </c>
      <c r="D19" s="233" t="str">
        <f>VLOOKUP(Table3[[#This Row],[Document ID]],Table1[],5,FALSE)</f>
        <v>NDC</v>
      </c>
      <c r="E19" s="233" t="str">
        <f>VLOOKUP(Table3[[#This Row],[Document ID]],Table1[],7,FALSE)</f>
        <v>First NDC updated</v>
      </c>
      <c r="F19" s="233" t="str">
        <f>VLOOKUP(Table3[[#This Row],[Document ID]],Table1[],8,FALSE)</f>
        <v>NDC 1.1</v>
      </c>
      <c r="G19" s="233" t="str">
        <f>VLOOKUP(Table3[[#This Row],[Document ID]],Table1[],10,FALSE)</f>
        <v>Archived</v>
      </c>
      <c r="H19" s="43" t="s">
        <v>1114</v>
      </c>
      <c r="I19" s="43" t="s">
        <v>1115</v>
      </c>
      <c r="J19" s="42" t="s">
        <v>1090</v>
      </c>
      <c r="K19" s="28" t="s">
        <v>1091</v>
      </c>
      <c r="L19" s="43" t="s">
        <v>1116</v>
      </c>
      <c r="M19" s="44">
        <v>2030</v>
      </c>
      <c r="N19" s="44" t="s">
        <v>1117</v>
      </c>
      <c r="O19" s="221">
        <v>7</v>
      </c>
      <c r="P19" s="238" t="str">
        <f>VLOOKUP(_xlfn.CONCAT(Table3[[#This Row],[Target area]],Table3[[#This Row],[GHG target?]],Table3[[#This Row],[Conditionality]]),'Drop down'!$E$81:$F$101,2,FALSE)</f>
        <v>T_Energy</v>
      </c>
      <c r="Q19" s="239" t="str">
        <f>VLOOKUP(Table3[[#This Row],[Target type]],Table418[[Value name]:[Value idenifyer]],2,FALSE)</f>
        <v>T_BAU</v>
      </c>
      <c r="S19" s="233" t="s">
        <v>1112</v>
      </c>
      <c r="T19" s="234" t="s">
        <v>1113</v>
      </c>
      <c r="V19" s="233" t="str">
        <f>VLOOKUP(Table3[[#This Row],[Country Code]],Table29[],3,FALSE)</f>
        <v>Non-Annex I</v>
      </c>
      <c r="W19" s="233" t="str">
        <f>VLOOKUP(Table3[[#This Row],[Country Code]],Table29[],4,FALSE)</f>
        <v>Europe</v>
      </c>
      <c r="X19" s="233" t="str">
        <f>VLOOKUP(Table3[[#This Row],[Country Code]],Table29[],5,FALSE)</f>
        <v>High-income</v>
      </c>
      <c r="Y19" s="233" t="str">
        <f>VLOOKUP(Table3[[#This Row],[Country Code]],Table29[],6,FALSE)</f>
        <v>no</v>
      </c>
      <c r="Z19" s="233" t="str">
        <f>VLOOKUP(Table3[[#This Row],[Country Code]],Table29[],7,FALSE)</f>
        <v>no</v>
      </c>
      <c r="AA19" s="233" t="str">
        <f>VLOOKUP(Table3[[#This Row],[Country Code]],Table29[],8,FALSE)</f>
        <v>non-OECD</v>
      </c>
      <c r="AB19" s="233" t="str">
        <f>VLOOKUP(Table3[[#This Row],[Country Code]],Table29[],9,FALSE)</f>
        <v>no</v>
      </c>
      <c r="AC19" s="233" t="str">
        <f>VLOOKUP(Table3[[#This Row],[Country Code]],Table29[],10,FALSE)</f>
        <v>no</v>
      </c>
      <c r="AD19" s="235">
        <f>VLOOKUP(Table3[[#This Row],[Country Code]],Table29[],23,FALSE)</f>
        <v>0</v>
      </c>
      <c r="AE19" s="235">
        <f>VLOOKUP(Table3[[#This Row],[Country Code]],Table29[],24,FALSE)</f>
        <v>0</v>
      </c>
      <c r="AF19" s="43"/>
    </row>
    <row r="20" spans="1:32" ht="45" x14ac:dyDescent="0.25">
      <c r="A20" s="360">
        <v>17511</v>
      </c>
      <c r="B20" s="233" t="str">
        <f>VLOOKUP(Table3[[#This Row],[Document ID]],Table1[],2,FALSE)</f>
        <v>AND</v>
      </c>
      <c r="C20" s="233" t="str">
        <f>VLOOKUP(Table3[[#This Row],[Document ID]],Table1[],3,FALSE)</f>
        <v>Andorra</v>
      </c>
      <c r="D20" s="233" t="str">
        <f>VLOOKUP(Table3[[#This Row],[Document ID]],Table1[],5,FALSE)</f>
        <v>NDC</v>
      </c>
      <c r="E20" s="233" t="str">
        <f>VLOOKUP(Table3[[#This Row],[Document ID]],Table1[],7,FALSE)</f>
        <v>First NDC updated</v>
      </c>
      <c r="F20" s="233" t="str">
        <f>VLOOKUP(Table3[[#This Row],[Document ID]],Table1[],8,FALSE)</f>
        <v>NDC 1.1</v>
      </c>
      <c r="G20" s="233" t="str">
        <f>VLOOKUP(Table3[[#This Row],[Document ID]],Table1[],10,FALSE)</f>
        <v>Archived</v>
      </c>
      <c r="H20" s="43" t="s">
        <v>1114</v>
      </c>
      <c r="I20" s="43" t="s">
        <v>1115</v>
      </c>
      <c r="J20" s="42" t="s">
        <v>1097</v>
      </c>
      <c r="K20" s="28" t="s">
        <v>1118</v>
      </c>
      <c r="L20" s="43" t="s">
        <v>1116</v>
      </c>
      <c r="M20" s="44">
        <v>2050</v>
      </c>
      <c r="N20" s="44" t="s">
        <v>1119</v>
      </c>
      <c r="O20" s="221">
        <v>22</v>
      </c>
      <c r="P20" s="238" t="str">
        <f>VLOOKUP(_xlfn.CONCAT(Table3[[#This Row],[Target area]],Table3[[#This Row],[GHG target?]],Table3[[#This Row],[Conditionality]]),'Drop down'!$E$81:$F$101,2,FALSE)</f>
        <v>T_Energy_O</v>
      </c>
      <c r="Q20" s="239" t="str">
        <f>VLOOKUP(Table3[[#This Row],[Target type]],Table418[[Value name]:[Value idenifyer]],2,FALSE)</f>
        <v>T_E_REN</v>
      </c>
      <c r="S20" s="233" t="s">
        <v>1112</v>
      </c>
      <c r="T20" s="234" t="s">
        <v>1113</v>
      </c>
      <c r="V20" s="233" t="str">
        <f>VLOOKUP(Table3[[#This Row],[Country Code]],Table29[],3,FALSE)</f>
        <v>Non-Annex I</v>
      </c>
      <c r="W20" s="233" t="str">
        <f>VLOOKUP(Table3[[#This Row],[Country Code]],Table29[],4,FALSE)</f>
        <v>Europe</v>
      </c>
      <c r="X20" s="233" t="str">
        <f>VLOOKUP(Table3[[#This Row],[Country Code]],Table29[],5,FALSE)</f>
        <v>High-income</v>
      </c>
      <c r="Y20" s="233" t="str">
        <f>VLOOKUP(Table3[[#This Row],[Country Code]],Table29[],6,FALSE)</f>
        <v>no</v>
      </c>
      <c r="Z20" s="233" t="str">
        <f>VLOOKUP(Table3[[#This Row],[Country Code]],Table29[],7,FALSE)</f>
        <v>no</v>
      </c>
      <c r="AA20" s="233" t="str">
        <f>VLOOKUP(Table3[[#This Row],[Country Code]],Table29[],8,FALSE)</f>
        <v>non-OECD</v>
      </c>
      <c r="AB20" s="233" t="str">
        <f>VLOOKUP(Table3[[#This Row],[Country Code]],Table29[],9,FALSE)</f>
        <v>no</v>
      </c>
      <c r="AC20" s="233" t="str">
        <f>VLOOKUP(Table3[[#This Row],[Country Code]],Table29[],10,FALSE)</f>
        <v>no</v>
      </c>
      <c r="AD20" s="235">
        <f>VLOOKUP(Table3[[#This Row],[Country Code]],Table29[],23,FALSE)</f>
        <v>0</v>
      </c>
      <c r="AE20" s="235">
        <f>VLOOKUP(Table3[[#This Row],[Country Code]],Table29[],24,FALSE)</f>
        <v>0</v>
      </c>
      <c r="AF20" s="43"/>
    </row>
    <row r="21" spans="1:32" ht="30" x14ac:dyDescent="0.25">
      <c r="A21" s="360">
        <v>17511</v>
      </c>
      <c r="B21" s="233" t="str">
        <f>VLOOKUP(Table3[[#This Row],[Document ID]],Table1[],2,FALSE)</f>
        <v>AND</v>
      </c>
      <c r="C21" s="233" t="str">
        <f>VLOOKUP(Table3[[#This Row],[Document ID]],Table1[],3,FALSE)</f>
        <v>Andorra</v>
      </c>
      <c r="D21" s="233" t="str">
        <f>VLOOKUP(Table3[[#This Row],[Document ID]],Table1[],5,FALSE)</f>
        <v>NDC</v>
      </c>
      <c r="E21" s="233" t="str">
        <f>VLOOKUP(Table3[[#This Row],[Document ID]],Table1[],7,FALSE)</f>
        <v>First NDC updated</v>
      </c>
      <c r="F21" s="233" t="str">
        <f>VLOOKUP(Table3[[#This Row],[Document ID]],Table1[],8,FALSE)</f>
        <v>NDC 1.1</v>
      </c>
      <c r="G21" s="233" t="str">
        <f>VLOOKUP(Table3[[#This Row],[Document ID]],Table1[],10,FALSE)</f>
        <v>Archived</v>
      </c>
      <c r="H21" s="42" t="s">
        <v>1095</v>
      </c>
      <c r="I21" s="43" t="s">
        <v>1096</v>
      </c>
      <c r="J21" s="43" t="s">
        <v>1090</v>
      </c>
      <c r="K21" s="28" t="s">
        <v>1091</v>
      </c>
      <c r="L21" s="42" t="s">
        <v>1099</v>
      </c>
      <c r="M21" s="44">
        <v>2030</v>
      </c>
      <c r="N21" s="44" t="s">
        <v>1120</v>
      </c>
      <c r="O21" s="221">
        <v>7</v>
      </c>
      <c r="P21" s="238" t="str">
        <f>VLOOKUP(_xlfn.CONCAT(Table3[[#This Row],[Target area]],Table3[[#This Row],[GHG target?]],Table3[[#This Row],[Conditionality]]),'Drop down'!$E$81:$F$101,2,FALSE)</f>
        <v>T_Transport_Unc</v>
      </c>
      <c r="Q21" s="239" t="str">
        <f>VLOOKUP(Table3[[#This Row],[Target type]],Table418[[Value name]:[Value idenifyer]],2,FALSE)</f>
        <v>T_BAU</v>
      </c>
      <c r="R21" s="233" t="s">
        <v>526</v>
      </c>
      <c r="S21" s="233" t="s">
        <v>1112</v>
      </c>
      <c r="T21" s="234" t="s">
        <v>1113</v>
      </c>
      <c r="V21" s="233" t="str">
        <f>VLOOKUP(Table3[[#This Row],[Country Code]],Table29[],3,FALSE)</f>
        <v>Non-Annex I</v>
      </c>
      <c r="W21" s="233" t="str">
        <f>VLOOKUP(Table3[[#This Row],[Country Code]],Table29[],4,FALSE)</f>
        <v>Europe</v>
      </c>
      <c r="X21" s="233" t="str">
        <f>VLOOKUP(Table3[[#This Row],[Country Code]],Table29[],5,FALSE)</f>
        <v>High-income</v>
      </c>
      <c r="Y21" s="233" t="str">
        <f>VLOOKUP(Table3[[#This Row],[Country Code]],Table29[],6,FALSE)</f>
        <v>no</v>
      </c>
      <c r="Z21" s="233" t="str">
        <f>VLOOKUP(Table3[[#This Row],[Country Code]],Table29[],7,FALSE)</f>
        <v>no</v>
      </c>
      <c r="AA21" s="233" t="str">
        <f>VLOOKUP(Table3[[#This Row],[Country Code]],Table29[],8,FALSE)</f>
        <v>non-OECD</v>
      </c>
      <c r="AB21" s="233" t="str">
        <f>VLOOKUP(Table3[[#This Row],[Country Code]],Table29[],9,FALSE)</f>
        <v>no</v>
      </c>
      <c r="AC21" s="233" t="str">
        <f>VLOOKUP(Table3[[#This Row],[Country Code]],Table29[],10,FALSE)</f>
        <v>no</v>
      </c>
      <c r="AD21" s="235">
        <f>VLOOKUP(Table3[[#This Row],[Country Code]],Table29[],23,FALSE)</f>
        <v>0</v>
      </c>
      <c r="AE21" s="235">
        <f>VLOOKUP(Table3[[#This Row],[Country Code]],Table29[],24,FALSE)</f>
        <v>0</v>
      </c>
      <c r="AF21" s="43"/>
    </row>
    <row r="22" spans="1:32" ht="30" x14ac:dyDescent="0.25">
      <c r="A22" s="360">
        <v>26771</v>
      </c>
      <c r="B22" s="233" t="str">
        <f>VLOOKUP(Table3[[#This Row],[Document ID]],Table1[],2,FALSE)</f>
        <v>AND</v>
      </c>
      <c r="C22" s="233" t="str">
        <f>VLOOKUP(Table3[[#This Row],[Document ID]],Table1[],3,FALSE)</f>
        <v>Andorra</v>
      </c>
      <c r="D22" s="233" t="str">
        <f>VLOOKUP(Table3[[#This Row],[Document ID]],Table1[],5,FALSE)</f>
        <v>LTS</v>
      </c>
      <c r="E22" s="233" t="str">
        <f>VLOOKUP(Table3[[#This Row],[Document ID]],Table1[],7,FALSE)</f>
        <v>LTS</v>
      </c>
      <c r="F22" s="233" t="str">
        <f>VLOOKUP(Table3[[#This Row],[Document ID]],Table1[],8,FALSE)</f>
        <v>LTS 1.0</v>
      </c>
      <c r="G22" s="233" t="str">
        <f>VLOOKUP(Table3[[#This Row],[Document ID]],Table1[],10,FALSE)</f>
        <v>Active</v>
      </c>
      <c r="H22" s="216" t="s">
        <v>1089</v>
      </c>
      <c r="I22" s="216" t="s">
        <v>1089</v>
      </c>
      <c r="J22" s="43" t="s">
        <v>1090</v>
      </c>
      <c r="K22" s="28" t="s">
        <v>1121</v>
      </c>
      <c r="L22" s="42" t="s">
        <v>1099</v>
      </c>
      <c r="M22" s="209" t="s">
        <v>1122</v>
      </c>
      <c r="N22" s="44" t="s">
        <v>1123</v>
      </c>
      <c r="O22" s="258">
        <v>8</v>
      </c>
      <c r="P22" s="238" t="str">
        <f>VLOOKUP(_xlfn.CONCAT(Table3[[#This Row],[Target area]],Table3[[#This Row],[GHG target?]],Table3[[#This Row],[Conditionality]]),'Drop down'!$E$81:$F$101,2,FALSE)</f>
        <v>T_Economy_Unc</v>
      </c>
      <c r="Q22" s="239" t="str">
        <f>VLOOKUP(Table3[[#This Row],[Target type]],Table418[[Value name]:[Value idenifyer]],2,FALSE)</f>
        <v>T_FL</v>
      </c>
      <c r="S22" s="233" t="s">
        <v>1112</v>
      </c>
      <c r="T22" s="234" t="s">
        <v>1113</v>
      </c>
      <c r="V22" s="233" t="str">
        <f>VLOOKUP(Table3[[#This Row],[Country Code]],Table29[],3,FALSE)</f>
        <v>Non-Annex I</v>
      </c>
      <c r="W22" s="233" t="str">
        <f>VLOOKUP(Table3[[#This Row],[Country Code]],Table29[],4,FALSE)</f>
        <v>Europe</v>
      </c>
      <c r="X22" s="233" t="str">
        <f>VLOOKUP(Table3[[#This Row],[Country Code]],Table29[],5,FALSE)</f>
        <v>High-income</v>
      </c>
      <c r="Y22" s="233" t="str">
        <f>VLOOKUP(Table3[[#This Row],[Country Code]],Table29[],6,FALSE)</f>
        <v>no</v>
      </c>
      <c r="Z22" s="233" t="str">
        <f>VLOOKUP(Table3[[#This Row],[Country Code]],Table29[],7,FALSE)</f>
        <v>no</v>
      </c>
      <c r="AA22" s="233" t="str">
        <f>VLOOKUP(Table3[[#This Row],[Country Code]],Table29[],8,FALSE)</f>
        <v>non-OECD</v>
      </c>
      <c r="AB22" s="233" t="str">
        <f>VLOOKUP(Table3[[#This Row],[Country Code]],Table29[],9,FALSE)</f>
        <v>no</v>
      </c>
      <c r="AC22" s="233" t="str">
        <f>VLOOKUP(Table3[[#This Row],[Country Code]],Table29[],10,FALSE)</f>
        <v>no</v>
      </c>
      <c r="AD22" s="235">
        <f>VLOOKUP(Table3[[#This Row],[Country Code]],Table29[],23,FALSE)</f>
        <v>0</v>
      </c>
      <c r="AE22" s="235">
        <f>VLOOKUP(Table3[[#This Row],[Country Code]],Table29[],24,FALSE)</f>
        <v>0</v>
      </c>
      <c r="AF22" s="43"/>
    </row>
    <row r="23" spans="1:32" ht="30" x14ac:dyDescent="0.25">
      <c r="A23" s="360">
        <v>32408</v>
      </c>
      <c r="B23" s="233" t="str">
        <f>VLOOKUP(Table3[[#This Row],[Document ID]],Table1[],2,FALSE)</f>
        <v>AND</v>
      </c>
      <c r="C23" s="233" t="str">
        <f>VLOOKUP(Table3[[#This Row],[Document ID]],Table1[],3,FALSE)</f>
        <v>Andorra</v>
      </c>
      <c r="D23" s="233" t="str">
        <f>VLOOKUP(Table3[[#This Row],[Document ID]],Table1[],5,FALSE)</f>
        <v>NDC</v>
      </c>
      <c r="E23" s="233" t="str">
        <f>VLOOKUP(Table3[[#This Row],[Document ID]],Table1[],7,FALSE)</f>
        <v>First NDC updated</v>
      </c>
      <c r="F23" s="233" t="str">
        <f>VLOOKUP(Table3[[#This Row],[Document ID]],Table1[],8,FALSE)</f>
        <v>NDC 1.2</v>
      </c>
      <c r="G23" s="233" t="str">
        <f>VLOOKUP(Table3[[#This Row],[Document ID]],Table1[],10,FALSE)</f>
        <v>Archived</v>
      </c>
      <c r="H23" s="42" t="s">
        <v>1095</v>
      </c>
      <c r="I23" s="43" t="s">
        <v>1096</v>
      </c>
      <c r="J23" s="43" t="s">
        <v>1097</v>
      </c>
      <c r="K23" s="43" t="s">
        <v>1104</v>
      </c>
      <c r="L23" s="42" t="s">
        <v>1099</v>
      </c>
      <c r="M23" s="209">
        <v>2050</v>
      </c>
      <c r="N23" s="44" t="s">
        <v>1124</v>
      </c>
      <c r="O23" s="258">
        <v>11</v>
      </c>
      <c r="P23" s="238" t="str">
        <f>VLOOKUP(_xlfn.CONCAT(Table3[[#This Row],[Target area]],Table3[[#This Row],[GHG target?]],Table3[[#This Row],[Conditionality]]),'Drop down'!$E$81:$F$101,2,FALSE)</f>
        <v>T_Transport_O_Unc</v>
      </c>
      <c r="Q23" s="239" t="str">
        <f>VLOOKUP(Table3[[#This Row],[Target type]],Table418[[Value name]:[Value idenifyer]],2,FALSE)</f>
        <v>T_O_ZERO</v>
      </c>
      <c r="R23" s="233" t="s">
        <v>526</v>
      </c>
      <c r="S23" s="233" t="s">
        <v>1125</v>
      </c>
      <c r="T23" s="234" t="s">
        <v>1113</v>
      </c>
      <c r="V23" s="233" t="str">
        <f>VLOOKUP(Table3[[#This Row],[Country Code]],Table29[],3,FALSE)</f>
        <v>Non-Annex I</v>
      </c>
      <c r="W23" s="233" t="str">
        <f>VLOOKUP(Table3[[#This Row],[Country Code]],Table29[],4,FALSE)</f>
        <v>Europe</v>
      </c>
      <c r="X23" s="233" t="str">
        <f>VLOOKUP(Table3[[#This Row],[Country Code]],Table29[],5,FALSE)</f>
        <v>High-income</v>
      </c>
      <c r="Y23" s="233" t="str">
        <f>VLOOKUP(Table3[[#This Row],[Country Code]],Table29[],6,FALSE)</f>
        <v>no</v>
      </c>
      <c r="Z23" s="233" t="str">
        <f>VLOOKUP(Table3[[#This Row],[Country Code]],Table29[],7,FALSE)</f>
        <v>no</v>
      </c>
      <c r="AA23" s="233" t="str">
        <f>VLOOKUP(Table3[[#This Row],[Country Code]],Table29[],8,FALSE)</f>
        <v>non-OECD</v>
      </c>
      <c r="AB23" s="233" t="str">
        <f>VLOOKUP(Table3[[#This Row],[Country Code]],Table29[],9,FALSE)</f>
        <v>no</v>
      </c>
      <c r="AC23" s="233" t="str">
        <f>VLOOKUP(Table3[[#This Row],[Country Code]],Table29[],10,FALSE)</f>
        <v>no</v>
      </c>
      <c r="AD23" s="235">
        <f>VLOOKUP(Table3[[#This Row],[Country Code]],Table29[],23,FALSE)</f>
        <v>0</v>
      </c>
      <c r="AE23" s="235">
        <f>VLOOKUP(Table3[[#This Row],[Country Code]],Table29[],24,FALSE)</f>
        <v>0</v>
      </c>
      <c r="AF23" s="43"/>
    </row>
    <row r="24" spans="1:32" x14ac:dyDescent="0.25">
      <c r="A24" s="360">
        <v>32408</v>
      </c>
      <c r="B24" s="233" t="str">
        <f>VLOOKUP(Table3[[#This Row],[Document ID]],Table1[],2,FALSE)</f>
        <v>AND</v>
      </c>
      <c r="C24" s="233" t="str">
        <f>VLOOKUP(Table3[[#This Row],[Document ID]],Table1[],3,FALSE)</f>
        <v>Andorra</v>
      </c>
      <c r="D24" s="233" t="str">
        <f>VLOOKUP(Table3[[#This Row],[Document ID]],Table1[],5,FALSE)</f>
        <v>NDC</v>
      </c>
      <c r="E24" s="233" t="str">
        <f>VLOOKUP(Table3[[#This Row],[Document ID]],Table1[],7,FALSE)</f>
        <v>First NDC updated</v>
      </c>
      <c r="F24" s="233" t="str">
        <f>VLOOKUP(Table3[[#This Row],[Document ID]],Table1[],8,FALSE)</f>
        <v>NDC 1.2</v>
      </c>
      <c r="G24" s="233" t="str">
        <f>VLOOKUP(Table3[[#This Row],[Document ID]],Table1[],10,FALSE)</f>
        <v>Archived</v>
      </c>
      <c r="H24" s="42" t="s">
        <v>1095</v>
      </c>
      <c r="I24" s="42" t="s">
        <v>1096</v>
      </c>
      <c r="J24" s="42" t="s">
        <v>1097</v>
      </c>
      <c r="K24" s="43" t="s">
        <v>1104</v>
      </c>
      <c r="L24" s="42" t="s">
        <v>1099</v>
      </c>
      <c r="M24" s="209">
        <v>2030</v>
      </c>
      <c r="N24" s="43" t="s">
        <v>1126</v>
      </c>
      <c r="O24" s="258">
        <v>10</v>
      </c>
      <c r="P24" s="238" t="str">
        <f>VLOOKUP(_xlfn.CONCAT(Table3[[#This Row],[Target area]],Table3[[#This Row],[GHG target?]],Table3[[#This Row],[Conditionality]]),'Drop down'!$E$81:$F$101,2,FALSE)</f>
        <v>T_Transport_O_Unc</v>
      </c>
      <c r="Q24" s="239" t="str">
        <f>VLOOKUP(Table3[[#This Row],[Target type]],Table418[[Value name]:[Value idenifyer]],2,FALSE)</f>
        <v>T_O_ZERO</v>
      </c>
      <c r="S24" s="233" t="s">
        <v>1125</v>
      </c>
      <c r="T24" s="234" t="s">
        <v>1113</v>
      </c>
      <c r="V24" s="233" t="str">
        <f>VLOOKUP(Table3[[#This Row],[Country Code]],Table29[],3,FALSE)</f>
        <v>Non-Annex I</v>
      </c>
      <c r="W24" s="233" t="str">
        <f>VLOOKUP(Table3[[#This Row],[Country Code]],Table29[],4,FALSE)</f>
        <v>Europe</v>
      </c>
      <c r="X24" s="233" t="str">
        <f>VLOOKUP(Table3[[#This Row],[Country Code]],Table29[],5,FALSE)</f>
        <v>High-income</v>
      </c>
      <c r="Y24" s="233" t="str">
        <f>VLOOKUP(Table3[[#This Row],[Country Code]],Table29[],6,FALSE)</f>
        <v>no</v>
      </c>
      <c r="Z24" s="233" t="str">
        <f>VLOOKUP(Table3[[#This Row],[Country Code]],Table29[],7,FALSE)</f>
        <v>no</v>
      </c>
      <c r="AA24" s="233" t="str">
        <f>VLOOKUP(Table3[[#This Row],[Country Code]],Table29[],8,FALSE)</f>
        <v>non-OECD</v>
      </c>
      <c r="AB24" s="233" t="str">
        <f>VLOOKUP(Table3[[#This Row],[Country Code]],Table29[],9,FALSE)</f>
        <v>no</v>
      </c>
      <c r="AC24" s="233" t="str">
        <f>VLOOKUP(Table3[[#This Row],[Country Code]],Table29[],10,FALSE)</f>
        <v>no</v>
      </c>
      <c r="AD24" s="235">
        <f>VLOOKUP(Table3[[#This Row],[Country Code]],Table29[],23,FALSE)</f>
        <v>0</v>
      </c>
      <c r="AE24" s="235">
        <f>VLOOKUP(Table3[[#This Row],[Country Code]],Table29[],24,FALSE)</f>
        <v>0</v>
      </c>
      <c r="AF24" s="43"/>
    </row>
    <row r="25" spans="1:32" x14ac:dyDescent="0.25">
      <c r="A25" s="360">
        <v>32408</v>
      </c>
      <c r="B25" s="233" t="str">
        <f>VLOOKUP(Table3[[#This Row],[Document ID]],Table1[],2,FALSE)</f>
        <v>AND</v>
      </c>
      <c r="C25" s="233" t="str">
        <f>VLOOKUP(Table3[[#This Row],[Document ID]],Table1[],3,FALSE)</f>
        <v>Andorra</v>
      </c>
      <c r="D25" s="233" t="str">
        <f>VLOOKUP(Table3[[#This Row],[Document ID]],Table1[],5,FALSE)</f>
        <v>NDC</v>
      </c>
      <c r="E25" s="233" t="str">
        <f>VLOOKUP(Table3[[#This Row],[Document ID]],Table1[],7,FALSE)</f>
        <v>First NDC updated</v>
      </c>
      <c r="F25" s="233" t="str">
        <f>VLOOKUP(Table3[[#This Row],[Document ID]],Table1[],8,FALSE)</f>
        <v>NDC 1.2</v>
      </c>
      <c r="G25" s="233" t="str">
        <f>VLOOKUP(Table3[[#This Row],[Document ID]],Table1[],10,FALSE)</f>
        <v>Archived</v>
      </c>
      <c r="H25" s="42" t="s">
        <v>1095</v>
      </c>
      <c r="I25" s="42" t="s">
        <v>1096</v>
      </c>
      <c r="J25" s="42" t="s">
        <v>1097</v>
      </c>
      <c r="K25" s="43" t="s">
        <v>1104</v>
      </c>
      <c r="L25" s="42" t="s">
        <v>1099</v>
      </c>
      <c r="M25" s="209">
        <v>2050</v>
      </c>
      <c r="N25" s="43" t="s">
        <v>1127</v>
      </c>
      <c r="O25" s="258">
        <v>11</v>
      </c>
      <c r="P25" s="238" t="str">
        <f>VLOOKUP(_xlfn.CONCAT(Table3[[#This Row],[Target area]],Table3[[#This Row],[GHG target?]],Table3[[#This Row],[Conditionality]]),'Drop down'!$E$81:$F$101,2,FALSE)</f>
        <v>T_Transport_O_Unc</v>
      </c>
      <c r="Q25" s="239" t="str">
        <f>VLOOKUP(Table3[[#This Row],[Target type]],Table418[[Value name]:[Value idenifyer]],2,FALSE)</f>
        <v>T_O_ZERO</v>
      </c>
      <c r="S25" s="233" t="s">
        <v>1125</v>
      </c>
      <c r="T25" s="234" t="s">
        <v>1113</v>
      </c>
      <c r="V25" s="233" t="str">
        <f>VLOOKUP(Table3[[#This Row],[Country Code]],Table29[],3,FALSE)</f>
        <v>Non-Annex I</v>
      </c>
      <c r="W25" s="233" t="str">
        <f>VLOOKUP(Table3[[#This Row],[Country Code]],Table29[],4,FALSE)</f>
        <v>Europe</v>
      </c>
      <c r="X25" s="233" t="str">
        <f>VLOOKUP(Table3[[#This Row],[Country Code]],Table29[],5,FALSE)</f>
        <v>High-income</v>
      </c>
      <c r="Y25" s="233" t="str">
        <f>VLOOKUP(Table3[[#This Row],[Country Code]],Table29[],6,FALSE)</f>
        <v>no</v>
      </c>
      <c r="Z25" s="233" t="str">
        <f>VLOOKUP(Table3[[#This Row],[Country Code]],Table29[],7,FALSE)</f>
        <v>no</v>
      </c>
      <c r="AA25" s="233" t="str">
        <f>VLOOKUP(Table3[[#This Row],[Country Code]],Table29[],8,FALSE)</f>
        <v>non-OECD</v>
      </c>
      <c r="AB25" s="233" t="str">
        <f>VLOOKUP(Table3[[#This Row],[Country Code]],Table29[],9,FALSE)</f>
        <v>no</v>
      </c>
      <c r="AC25" s="233" t="str">
        <f>VLOOKUP(Table3[[#This Row],[Country Code]],Table29[],10,FALSE)</f>
        <v>no</v>
      </c>
      <c r="AD25" s="235">
        <f>VLOOKUP(Table3[[#This Row],[Country Code]],Table29[],23,FALSE)</f>
        <v>0</v>
      </c>
      <c r="AE25" s="235">
        <f>VLOOKUP(Table3[[#This Row],[Country Code]],Table29[],24,FALSE)</f>
        <v>0</v>
      </c>
      <c r="AF25" s="43"/>
    </row>
    <row r="26" spans="1:32" x14ac:dyDescent="0.25">
      <c r="A26" s="360">
        <v>32408</v>
      </c>
      <c r="B26" s="233" t="str">
        <f>VLOOKUP(Table3[[#This Row],[Document ID]],Table1[],2,FALSE)</f>
        <v>AND</v>
      </c>
      <c r="C26" s="233" t="str">
        <f>VLOOKUP(Table3[[#This Row],[Document ID]],Table1[],3,FALSE)</f>
        <v>Andorra</v>
      </c>
      <c r="D26" s="233" t="str">
        <f>VLOOKUP(Table3[[#This Row],[Document ID]],Table1[],5,FALSE)</f>
        <v>NDC</v>
      </c>
      <c r="E26" s="233" t="str">
        <f>VLOOKUP(Table3[[#This Row],[Document ID]],Table1[],7,FALSE)</f>
        <v>First NDC updated</v>
      </c>
      <c r="F26" s="233" t="str">
        <f>VLOOKUP(Table3[[#This Row],[Document ID]],Table1[],8,FALSE)</f>
        <v>NDC 1.2</v>
      </c>
      <c r="G26" s="233" t="str">
        <f>VLOOKUP(Table3[[#This Row],[Document ID]],Table1[],10,FALSE)</f>
        <v>Archived</v>
      </c>
      <c r="H26" s="42" t="s">
        <v>1095</v>
      </c>
      <c r="I26" s="43" t="s">
        <v>1115</v>
      </c>
      <c r="J26" s="43" t="s">
        <v>1090</v>
      </c>
      <c r="K26" s="28" t="s">
        <v>1121</v>
      </c>
      <c r="L26" s="42" t="s">
        <v>1099</v>
      </c>
      <c r="M26" s="209">
        <v>2050</v>
      </c>
      <c r="N26" t="s">
        <v>1128</v>
      </c>
      <c r="O26" s="258">
        <v>23</v>
      </c>
      <c r="P26" s="238" t="str">
        <f>VLOOKUP(_xlfn.CONCAT(Table3[[#This Row],[Target area]],Table3[[#This Row],[GHG target?]],Table3[[#This Row],[Conditionality]]),'Drop down'!$E$81:$F$101,2,FALSE)</f>
        <v>T_Transport_Unc</v>
      </c>
      <c r="Q26" s="239" t="str">
        <f>VLOOKUP(Table3[[#This Row],[Target type]],Table418[[Value name]:[Value idenifyer]],2,FALSE)</f>
        <v>T_FL</v>
      </c>
      <c r="S26" s="233" t="s">
        <v>1125</v>
      </c>
      <c r="T26" s="234" t="s">
        <v>1113</v>
      </c>
      <c r="V26" s="233" t="str">
        <f>VLOOKUP(Table3[[#This Row],[Country Code]],Table29[],3,FALSE)</f>
        <v>Non-Annex I</v>
      </c>
      <c r="W26" s="233" t="str">
        <f>VLOOKUP(Table3[[#This Row],[Country Code]],Table29[],4,FALSE)</f>
        <v>Europe</v>
      </c>
      <c r="X26" s="233" t="str">
        <f>VLOOKUP(Table3[[#This Row],[Country Code]],Table29[],5,FALSE)</f>
        <v>High-income</v>
      </c>
      <c r="Y26" s="233" t="str">
        <f>VLOOKUP(Table3[[#This Row],[Country Code]],Table29[],6,FALSE)</f>
        <v>no</v>
      </c>
      <c r="Z26" s="233" t="str">
        <f>VLOOKUP(Table3[[#This Row],[Country Code]],Table29[],7,FALSE)</f>
        <v>no</v>
      </c>
      <c r="AA26" s="233" t="str">
        <f>VLOOKUP(Table3[[#This Row],[Country Code]],Table29[],8,FALSE)</f>
        <v>non-OECD</v>
      </c>
      <c r="AB26" s="233" t="str">
        <f>VLOOKUP(Table3[[#This Row],[Country Code]],Table29[],9,FALSE)</f>
        <v>no</v>
      </c>
      <c r="AC26" s="233" t="str">
        <f>VLOOKUP(Table3[[#This Row],[Country Code]],Table29[],10,FALSE)</f>
        <v>no</v>
      </c>
      <c r="AD26" s="235">
        <f>VLOOKUP(Table3[[#This Row],[Country Code]],Table29[],23,FALSE)</f>
        <v>0</v>
      </c>
      <c r="AE26" s="235">
        <f>VLOOKUP(Table3[[#This Row],[Country Code]],Table29[],24,FALSE)</f>
        <v>0</v>
      </c>
      <c r="AF26" s="43"/>
    </row>
    <row r="27" spans="1:32" x14ac:dyDescent="0.25">
      <c r="A27" s="360">
        <v>17510</v>
      </c>
      <c r="B27" s="233" t="str">
        <f>VLOOKUP(Table3[[#This Row],[Document ID]],Table1[],2,FALSE)</f>
        <v>AND</v>
      </c>
      <c r="C27" s="233" t="str">
        <f>VLOOKUP(Table3[[#This Row],[Document ID]],Table1[],3,FALSE)</f>
        <v>Andorra</v>
      </c>
      <c r="D27" s="233" t="str">
        <f>VLOOKUP(Table3[[#This Row],[Document ID]],Table1[],5,FALSE)</f>
        <v>NDC</v>
      </c>
      <c r="E27" s="233" t="str">
        <f>VLOOKUP(Table3[[#This Row],[Document ID]],Table1[],7,FALSE)</f>
        <v>First NDC</v>
      </c>
      <c r="F27" s="233" t="str">
        <f>VLOOKUP(Table3[[#This Row],[Document ID]],Table1[],8,FALSE)</f>
        <v>NDC 1.0</v>
      </c>
      <c r="G27" s="233" t="str">
        <f>VLOOKUP(Table3[[#This Row],[Document ID]],Table1[],10,FALSE)</f>
        <v>Archived</v>
      </c>
      <c r="H27" s="216" t="s">
        <v>1089</v>
      </c>
      <c r="I27" s="216" t="s">
        <v>1089</v>
      </c>
      <c r="J27" s="43" t="s">
        <v>1090</v>
      </c>
      <c r="K27" s="28" t="s">
        <v>1091</v>
      </c>
      <c r="L27" s="42" t="s">
        <v>1099</v>
      </c>
      <c r="M27" s="209">
        <v>2030</v>
      </c>
      <c r="N27" s="176" t="s">
        <v>1129</v>
      </c>
      <c r="O27" s="258" t="s">
        <v>1094</v>
      </c>
      <c r="P27" s="238" t="str">
        <f>VLOOKUP(_xlfn.CONCAT(Table3[[#This Row],[Target area]],Table3[[#This Row],[GHG target?]],Table3[[#This Row],[Conditionality]]),'Drop down'!$E$81:$F$101,2,FALSE)</f>
        <v>T_Economy_Unc</v>
      </c>
      <c r="Q27" s="239" t="str">
        <f>VLOOKUP(Table3[[#This Row],[Target type]],Table418[[Value name]:[Value idenifyer]],2,FALSE)</f>
        <v>T_BAU</v>
      </c>
      <c r="T27" s="234" t="s">
        <v>1113</v>
      </c>
      <c r="V27" s="233" t="str">
        <f>VLOOKUP(Table3[[#This Row],[Country Code]],Table29[],3,FALSE)</f>
        <v>Non-Annex I</v>
      </c>
      <c r="W27" s="233" t="str">
        <f>VLOOKUP(Table3[[#This Row],[Country Code]],Table29[],4,FALSE)</f>
        <v>Europe</v>
      </c>
      <c r="X27" s="233" t="str">
        <f>VLOOKUP(Table3[[#This Row],[Country Code]],Table29[],5,FALSE)</f>
        <v>High-income</v>
      </c>
      <c r="Y27" s="233" t="str">
        <f>VLOOKUP(Table3[[#This Row],[Country Code]],Table29[],6,FALSE)</f>
        <v>no</v>
      </c>
      <c r="Z27" s="233" t="str">
        <f>VLOOKUP(Table3[[#This Row],[Country Code]],Table29[],7,FALSE)</f>
        <v>no</v>
      </c>
      <c r="AA27" s="233" t="str">
        <f>VLOOKUP(Table3[[#This Row],[Country Code]],Table29[],8,FALSE)</f>
        <v>non-OECD</v>
      </c>
      <c r="AB27" s="233" t="str">
        <f>VLOOKUP(Table3[[#This Row],[Country Code]],Table29[],9,FALSE)</f>
        <v>no</v>
      </c>
      <c r="AC27" s="233" t="str">
        <f>VLOOKUP(Table3[[#This Row],[Country Code]],Table29[],10,FALSE)</f>
        <v>no</v>
      </c>
      <c r="AD27" s="235">
        <f>VLOOKUP(Table3[[#This Row],[Country Code]],Table29[],23,FALSE)</f>
        <v>0</v>
      </c>
      <c r="AE27" s="235">
        <f>VLOOKUP(Table3[[#This Row],[Country Code]],Table29[],24,FALSE)</f>
        <v>0</v>
      </c>
      <c r="AF27" s="43"/>
    </row>
    <row r="28" spans="1:32" x14ac:dyDescent="0.25">
      <c r="A28" s="360">
        <v>32408</v>
      </c>
      <c r="B28" s="233" t="str">
        <f>VLOOKUP(Table3[[#This Row],[Document ID]],Table1[],2,FALSE)</f>
        <v>AND</v>
      </c>
      <c r="C28" s="233" t="str">
        <f>VLOOKUP(Table3[[#This Row],[Document ID]],Table1[],3,FALSE)</f>
        <v>Andorra</v>
      </c>
      <c r="D28" s="233" t="str">
        <f>VLOOKUP(Table3[[#This Row],[Document ID]],Table1[],5,FALSE)</f>
        <v>NDC</v>
      </c>
      <c r="E28" s="233" t="str">
        <f>VLOOKUP(Table3[[#This Row],[Document ID]],Table1[],7,FALSE)</f>
        <v>First NDC updated</v>
      </c>
      <c r="F28" s="233" t="str">
        <f>VLOOKUP(Table3[[#This Row],[Document ID]],Table1[],8,FALSE)</f>
        <v>NDC 1.2</v>
      </c>
      <c r="G28" s="233" t="str">
        <f>VLOOKUP(Table3[[#This Row],[Document ID]],Table1[],10,FALSE)</f>
        <v>Archived</v>
      </c>
      <c r="H28" s="216" t="s">
        <v>1089</v>
      </c>
      <c r="I28" s="216" t="s">
        <v>1089</v>
      </c>
      <c r="J28" s="43" t="s">
        <v>1090</v>
      </c>
      <c r="K28" s="28" t="s">
        <v>1091</v>
      </c>
      <c r="L28" s="42" t="s">
        <v>1099</v>
      </c>
      <c r="M28" s="209">
        <v>2030</v>
      </c>
      <c r="N28" t="s">
        <v>1130</v>
      </c>
      <c r="O28" s="258">
        <v>8</v>
      </c>
      <c r="P28" s="238" t="str">
        <f>VLOOKUP(_xlfn.CONCAT(Table3[[#This Row],[Target area]],Table3[[#This Row],[GHG target?]],Table3[[#This Row],[Conditionality]]),'Drop down'!$E$81:$F$101,2,FALSE)</f>
        <v>T_Economy_Unc</v>
      </c>
      <c r="Q28" s="239" t="str">
        <f>VLOOKUP(Table3[[#This Row],[Target type]],Table418[[Value name]:[Value idenifyer]],2,FALSE)</f>
        <v>T_BAU</v>
      </c>
      <c r="S28" s="233" t="s">
        <v>1125</v>
      </c>
      <c r="T28" s="234" t="s">
        <v>1113</v>
      </c>
      <c r="V28" s="233" t="str">
        <f>VLOOKUP(Table3[[#This Row],[Country Code]],Table29[],3,FALSE)</f>
        <v>Non-Annex I</v>
      </c>
      <c r="W28" s="233" t="str">
        <f>VLOOKUP(Table3[[#This Row],[Country Code]],Table29[],4,FALSE)</f>
        <v>Europe</v>
      </c>
      <c r="X28" s="233" t="str">
        <f>VLOOKUP(Table3[[#This Row],[Country Code]],Table29[],5,FALSE)</f>
        <v>High-income</v>
      </c>
      <c r="Y28" s="233" t="str">
        <f>VLOOKUP(Table3[[#This Row],[Country Code]],Table29[],6,FALSE)</f>
        <v>no</v>
      </c>
      <c r="Z28" s="233" t="str">
        <f>VLOOKUP(Table3[[#This Row],[Country Code]],Table29[],7,FALSE)</f>
        <v>no</v>
      </c>
      <c r="AA28" s="233" t="str">
        <f>VLOOKUP(Table3[[#This Row],[Country Code]],Table29[],8,FALSE)</f>
        <v>non-OECD</v>
      </c>
      <c r="AB28" s="233" t="str">
        <f>VLOOKUP(Table3[[#This Row],[Country Code]],Table29[],9,FALSE)</f>
        <v>no</v>
      </c>
      <c r="AC28" s="233" t="str">
        <f>VLOOKUP(Table3[[#This Row],[Country Code]],Table29[],10,FALSE)</f>
        <v>no</v>
      </c>
      <c r="AD28" s="235">
        <f>VLOOKUP(Table3[[#This Row],[Country Code]],Table29[],23,FALSE)</f>
        <v>0</v>
      </c>
      <c r="AE28" s="235">
        <f>VLOOKUP(Table3[[#This Row],[Country Code]],Table29[],24,FALSE)</f>
        <v>0</v>
      </c>
      <c r="AF28" s="43"/>
    </row>
    <row r="29" spans="1:32" ht="30" x14ac:dyDescent="0.25">
      <c r="A29" s="360">
        <v>32408</v>
      </c>
      <c r="B29" s="233" t="str">
        <f>VLOOKUP(Table3[[#This Row],[Document ID]],Table1[],2,FALSE)</f>
        <v>AND</v>
      </c>
      <c r="C29" s="233" t="str">
        <f>VLOOKUP(Table3[[#This Row],[Document ID]],Table1[],3,FALSE)</f>
        <v>Andorra</v>
      </c>
      <c r="D29" s="233" t="str">
        <f>VLOOKUP(Table3[[#This Row],[Document ID]],Table1[],5,FALSE)</f>
        <v>NDC</v>
      </c>
      <c r="E29" s="233" t="str">
        <f>VLOOKUP(Table3[[#This Row],[Document ID]],Table1[],7,FALSE)</f>
        <v>First NDC updated</v>
      </c>
      <c r="F29" s="233" t="str">
        <f>VLOOKUP(Table3[[#This Row],[Document ID]],Table1[],8,FALSE)</f>
        <v>NDC 1.2</v>
      </c>
      <c r="G29" s="233" t="str">
        <f>VLOOKUP(Table3[[#This Row],[Document ID]],Table1[],10,FALSE)</f>
        <v>Archived</v>
      </c>
      <c r="H29" s="43" t="s">
        <v>1114</v>
      </c>
      <c r="I29" s="43" t="s">
        <v>1115</v>
      </c>
      <c r="J29" s="42" t="s">
        <v>1097</v>
      </c>
      <c r="K29" s="28" t="s">
        <v>1131</v>
      </c>
      <c r="L29" s="43" t="s">
        <v>1116</v>
      </c>
      <c r="M29" s="209">
        <v>2030</v>
      </c>
      <c r="N29" s="43" t="s">
        <v>1132</v>
      </c>
      <c r="O29" s="258">
        <v>10</v>
      </c>
      <c r="P29" s="238" t="str">
        <f>VLOOKUP(_xlfn.CONCAT(Table3[[#This Row],[Target area]],Table3[[#This Row],[GHG target?]],Table3[[#This Row],[Conditionality]]),'Drop down'!$E$81:$F$101,2,FALSE)</f>
        <v>T_Energy_O</v>
      </c>
      <c r="Q29" s="239" t="str">
        <f>VLOOKUP(Table3[[#This Row],[Target type]],Table418[[Value name]:[Value idenifyer]],2,FALSE)</f>
        <v>T_E_ENERGY</v>
      </c>
      <c r="S29" s="233" t="s">
        <v>1125</v>
      </c>
      <c r="T29" s="234" t="s">
        <v>1113</v>
      </c>
      <c r="V29" s="233" t="str">
        <f>VLOOKUP(Table3[[#This Row],[Country Code]],Table29[],3,FALSE)</f>
        <v>Non-Annex I</v>
      </c>
      <c r="W29" s="233" t="str">
        <f>VLOOKUP(Table3[[#This Row],[Country Code]],Table29[],4,FALSE)</f>
        <v>Europe</v>
      </c>
      <c r="X29" s="233" t="str">
        <f>VLOOKUP(Table3[[#This Row],[Country Code]],Table29[],5,FALSE)</f>
        <v>High-income</v>
      </c>
      <c r="Y29" s="233" t="str">
        <f>VLOOKUP(Table3[[#This Row],[Country Code]],Table29[],6,FALSE)</f>
        <v>no</v>
      </c>
      <c r="Z29" s="233" t="str">
        <f>VLOOKUP(Table3[[#This Row],[Country Code]],Table29[],7,FALSE)</f>
        <v>no</v>
      </c>
      <c r="AA29" s="233" t="str">
        <f>VLOOKUP(Table3[[#This Row],[Country Code]],Table29[],8,FALSE)</f>
        <v>non-OECD</v>
      </c>
      <c r="AB29" s="233" t="str">
        <f>VLOOKUP(Table3[[#This Row],[Country Code]],Table29[],9,FALSE)</f>
        <v>no</v>
      </c>
      <c r="AC29" s="233" t="str">
        <f>VLOOKUP(Table3[[#This Row],[Country Code]],Table29[],10,FALSE)</f>
        <v>no</v>
      </c>
      <c r="AD29" s="235">
        <f>VLOOKUP(Table3[[#This Row],[Country Code]],Table29[],23,FALSE)</f>
        <v>0</v>
      </c>
      <c r="AE29" s="235">
        <f>VLOOKUP(Table3[[#This Row],[Country Code]],Table29[],24,FALSE)</f>
        <v>0</v>
      </c>
      <c r="AF29" s="43"/>
    </row>
    <row r="30" spans="1:32" x14ac:dyDescent="0.25">
      <c r="A30" s="360">
        <v>20519</v>
      </c>
      <c r="B30" s="233" t="str">
        <f>VLOOKUP(Table3[[#This Row],[Document ID]],Table1[],2,FALSE)</f>
        <v>AGO</v>
      </c>
      <c r="C30" s="233" t="str">
        <f>VLOOKUP(Table3[[#This Row],[Document ID]],Table1[],3,FALSE)</f>
        <v>Angola</v>
      </c>
      <c r="D30" s="233" t="str">
        <f>VLOOKUP(Table3[[#This Row],[Document ID]],Table1[],5,FALSE)</f>
        <v>NDC</v>
      </c>
      <c r="E30" s="233" t="str">
        <f>VLOOKUP(Table3[[#This Row],[Document ID]],Table1[],7,FALSE)</f>
        <v>First NDC updated</v>
      </c>
      <c r="F30" s="233" t="str">
        <f>VLOOKUP(Table3[[#This Row],[Document ID]],Table1[],8,FALSE)</f>
        <v>NDC 1.1</v>
      </c>
      <c r="G30" s="233" t="str">
        <f>VLOOKUP(Table3[[#This Row],[Document ID]],Table1[],10,FALSE)</f>
        <v>Active</v>
      </c>
      <c r="H30" s="216" t="s">
        <v>1089</v>
      </c>
      <c r="I30" s="216" t="s">
        <v>1089</v>
      </c>
      <c r="J30" s="43" t="s">
        <v>1090</v>
      </c>
      <c r="K30" s="28" t="s">
        <v>1091</v>
      </c>
      <c r="L30" s="42" t="s">
        <v>1099</v>
      </c>
      <c r="M30" s="209">
        <v>2025</v>
      </c>
      <c r="N30" s="209" t="s">
        <v>1133</v>
      </c>
      <c r="O30" s="259">
        <v>35</v>
      </c>
      <c r="P30" s="238" t="str">
        <f>VLOOKUP(_xlfn.CONCAT(Table3[[#This Row],[Target area]],Table3[[#This Row],[GHG target?]],Table3[[#This Row],[Conditionality]]),'Drop down'!$E$81:$F$101,2,FALSE)</f>
        <v>T_Economy_Unc</v>
      </c>
      <c r="Q30" s="239" t="str">
        <f>VLOOKUP(Table3[[#This Row],[Target type]],Table418[[Value name]:[Value idenifyer]],2,FALSE)</f>
        <v>T_BAU</v>
      </c>
      <c r="V30" s="233" t="str">
        <f>VLOOKUP(Table3[[#This Row],[Country Code]],Table29[],3,FALSE)</f>
        <v>Non-Annex I</v>
      </c>
      <c r="W30" s="233" t="str">
        <f>VLOOKUP(Table3[[#This Row],[Country Code]],Table29[],4,FALSE)</f>
        <v>Africa</v>
      </c>
      <c r="X30" s="233" t="str">
        <f>VLOOKUP(Table3[[#This Row],[Country Code]],Table29[],5,FALSE)</f>
        <v>Middle-income</v>
      </c>
      <c r="Y30" s="233" t="str">
        <f>VLOOKUP(Table3[[#This Row],[Country Code]],Table29[],6,FALSE)</f>
        <v>no</v>
      </c>
      <c r="Z30" s="233" t="str">
        <f>VLOOKUP(Table3[[#This Row],[Country Code]],Table29[],7,FALSE)</f>
        <v>no</v>
      </c>
      <c r="AA30" s="233" t="str">
        <f>VLOOKUP(Table3[[#This Row],[Country Code]],Table29[],8,FALSE)</f>
        <v>non-OECD</v>
      </c>
      <c r="AB30" s="233" t="str">
        <f>VLOOKUP(Table3[[#This Row],[Country Code]],Table29[],9,FALSE)</f>
        <v>no</v>
      </c>
      <c r="AC30" s="233" t="str">
        <f>VLOOKUP(Table3[[#This Row],[Country Code]],Table29[],10,FALSE)</f>
        <v>no</v>
      </c>
      <c r="AD30" s="235">
        <f>VLOOKUP(Table3[[#This Row],[Country Code]],Table29[],23,FALSE)</f>
        <v>67.700756247715006</v>
      </c>
      <c r="AE30" s="235">
        <f>VLOOKUP(Table3[[#This Row],[Country Code]],Table29[],24,FALSE)</f>
        <v>8.6486128139959888</v>
      </c>
      <c r="AF30" s="43"/>
    </row>
    <row r="31" spans="1:32" x14ac:dyDescent="0.25">
      <c r="A31" s="360">
        <v>20519</v>
      </c>
      <c r="B31" s="233" t="str">
        <f>VLOOKUP(Table3[[#This Row],[Document ID]],Table1[],2,FALSE)</f>
        <v>AGO</v>
      </c>
      <c r="C31" s="233" t="str">
        <f>VLOOKUP(Table3[[#This Row],[Document ID]],Table1[],3,FALSE)</f>
        <v>Angola</v>
      </c>
      <c r="D31" s="233" t="str">
        <f>VLOOKUP(Table3[[#This Row],[Document ID]],Table1[],5,FALSE)</f>
        <v>NDC</v>
      </c>
      <c r="E31" s="233" t="str">
        <f>VLOOKUP(Table3[[#This Row],[Document ID]],Table1[],7,FALSE)</f>
        <v>First NDC updated</v>
      </c>
      <c r="F31" s="233" t="str">
        <f>VLOOKUP(Table3[[#This Row],[Document ID]],Table1[],8,FALSE)</f>
        <v>NDC 1.1</v>
      </c>
      <c r="G31" s="233" t="str">
        <f>VLOOKUP(Table3[[#This Row],[Document ID]],Table1[],10,FALSE)</f>
        <v>Active</v>
      </c>
      <c r="H31" s="216" t="s">
        <v>1089</v>
      </c>
      <c r="I31" s="216" t="s">
        <v>1089</v>
      </c>
      <c r="J31" s="43" t="s">
        <v>1090</v>
      </c>
      <c r="K31" s="28" t="s">
        <v>1091</v>
      </c>
      <c r="L31" s="216" t="s">
        <v>1092</v>
      </c>
      <c r="M31" s="209">
        <v>2025</v>
      </c>
      <c r="N31" s="209" t="s">
        <v>1134</v>
      </c>
      <c r="O31" s="259">
        <v>35</v>
      </c>
      <c r="P31" s="238" t="str">
        <f>VLOOKUP(_xlfn.CONCAT(Table3[[#This Row],[Target area]],Table3[[#This Row],[GHG target?]],Table3[[#This Row],[Conditionality]]),'Drop down'!$E$81:$F$101,2,FALSE)</f>
        <v>T_Economy_C</v>
      </c>
      <c r="Q31" s="239" t="str">
        <f>VLOOKUP(Table3[[#This Row],[Target type]],Table418[[Value name]:[Value idenifyer]],2,FALSE)</f>
        <v>T_BAU</v>
      </c>
      <c r="V31" s="233" t="str">
        <f>VLOOKUP(Table3[[#This Row],[Country Code]],Table29[],3,FALSE)</f>
        <v>Non-Annex I</v>
      </c>
      <c r="W31" s="233" t="str">
        <f>VLOOKUP(Table3[[#This Row],[Country Code]],Table29[],4,FALSE)</f>
        <v>Africa</v>
      </c>
      <c r="X31" s="233" t="str">
        <f>VLOOKUP(Table3[[#This Row],[Country Code]],Table29[],5,FALSE)</f>
        <v>Middle-income</v>
      </c>
      <c r="Y31" s="233" t="str">
        <f>VLOOKUP(Table3[[#This Row],[Country Code]],Table29[],6,FALSE)</f>
        <v>no</v>
      </c>
      <c r="Z31" s="233" t="str">
        <f>VLOOKUP(Table3[[#This Row],[Country Code]],Table29[],7,FALSE)</f>
        <v>no</v>
      </c>
      <c r="AA31" s="233" t="str">
        <f>VLOOKUP(Table3[[#This Row],[Country Code]],Table29[],8,FALSE)</f>
        <v>non-OECD</v>
      </c>
      <c r="AB31" s="233" t="str">
        <f>VLOOKUP(Table3[[#This Row],[Country Code]],Table29[],9,FALSE)</f>
        <v>no</v>
      </c>
      <c r="AC31" s="233" t="str">
        <f>VLOOKUP(Table3[[#This Row],[Country Code]],Table29[],10,FALSE)</f>
        <v>no</v>
      </c>
      <c r="AD31" s="235">
        <f>VLOOKUP(Table3[[#This Row],[Country Code]],Table29[],23,FALSE)</f>
        <v>67.700756247715006</v>
      </c>
      <c r="AE31" s="235">
        <f>VLOOKUP(Table3[[#This Row],[Country Code]],Table29[],24,FALSE)</f>
        <v>8.6486128139959888</v>
      </c>
      <c r="AF31" s="43"/>
    </row>
    <row r="32" spans="1:32" x14ac:dyDescent="0.25">
      <c r="A32" s="360">
        <v>17512</v>
      </c>
      <c r="B32" s="233" t="str">
        <f>VLOOKUP(Table3[[#This Row],[Document ID]],Table1[],2,FALSE)</f>
        <v>AGO</v>
      </c>
      <c r="C32" s="233" t="str">
        <f>VLOOKUP(Table3[[#This Row],[Document ID]],Table1[],3,FALSE)</f>
        <v>Angola</v>
      </c>
      <c r="D32" s="233" t="str">
        <f>VLOOKUP(Table3[[#This Row],[Document ID]],Table1[],5,FALSE)</f>
        <v>NDC</v>
      </c>
      <c r="E32" s="233" t="str">
        <f>VLOOKUP(Table3[[#This Row],[Document ID]],Table1[],7,FALSE)</f>
        <v>First NDC</v>
      </c>
      <c r="F32" s="233" t="str">
        <f>VLOOKUP(Table3[[#This Row],[Document ID]],Table1[],8,FALSE)</f>
        <v>NDC 1.0</v>
      </c>
      <c r="G32" s="233" t="str">
        <f>VLOOKUP(Table3[[#This Row],[Document ID]],Table1[],10,FALSE)</f>
        <v>Archived</v>
      </c>
      <c r="H32" s="216" t="s">
        <v>1089</v>
      </c>
      <c r="I32" s="216" t="s">
        <v>1089</v>
      </c>
      <c r="J32" s="43" t="s">
        <v>1090</v>
      </c>
      <c r="K32" s="28" t="s">
        <v>1091</v>
      </c>
      <c r="L32" s="42" t="s">
        <v>1099</v>
      </c>
      <c r="M32" s="209">
        <v>2030</v>
      </c>
      <c r="N32" s="176" t="s">
        <v>1135</v>
      </c>
      <c r="O32" s="258" t="s">
        <v>1094</v>
      </c>
      <c r="P32" s="238" t="str">
        <f>VLOOKUP(_xlfn.CONCAT(Table3[[#This Row],[Target area]],Table3[[#This Row],[GHG target?]],Table3[[#This Row],[Conditionality]]),'Drop down'!$E$81:$F$101,2,FALSE)</f>
        <v>T_Economy_Unc</v>
      </c>
      <c r="Q32" s="239" t="str">
        <f>VLOOKUP(Table3[[#This Row],[Target type]],Table418[[Value name]:[Value idenifyer]],2,FALSE)</f>
        <v>T_BAU</v>
      </c>
      <c r="V32" s="233" t="str">
        <f>VLOOKUP(Table3[[#This Row],[Country Code]],Table29[],3,FALSE)</f>
        <v>Non-Annex I</v>
      </c>
      <c r="W32" s="233" t="str">
        <f>VLOOKUP(Table3[[#This Row],[Country Code]],Table29[],4,FALSE)</f>
        <v>Africa</v>
      </c>
      <c r="X32" s="233" t="str">
        <f>VLOOKUP(Table3[[#This Row],[Country Code]],Table29[],5,FALSE)</f>
        <v>Middle-income</v>
      </c>
      <c r="Y32" s="233" t="str">
        <f>VLOOKUP(Table3[[#This Row],[Country Code]],Table29[],6,FALSE)</f>
        <v>no</v>
      </c>
      <c r="Z32" s="233" t="str">
        <f>VLOOKUP(Table3[[#This Row],[Country Code]],Table29[],7,FALSE)</f>
        <v>no</v>
      </c>
      <c r="AA32" s="233" t="str">
        <f>VLOOKUP(Table3[[#This Row],[Country Code]],Table29[],8,FALSE)</f>
        <v>non-OECD</v>
      </c>
      <c r="AB32" s="233" t="str">
        <f>VLOOKUP(Table3[[#This Row],[Country Code]],Table29[],9,FALSE)</f>
        <v>no</v>
      </c>
      <c r="AC32" s="233" t="str">
        <f>VLOOKUP(Table3[[#This Row],[Country Code]],Table29[],10,FALSE)</f>
        <v>no</v>
      </c>
      <c r="AD32" s="235">
        <f>VLOOKUP(Table3[[#This Row],[Country Code]],Table29[],23,FALSE)</f>
        <v>67.700756247715006</v>
      </c>
      <c r="AE32" s="235">
        <f>VLOOKUP(Table3[[#This Row],[Country Code]],Table29[],24,FALSE)</f>
        <v>8.6486128139959888</v>
      </c>
      <c r="AF32" s="43"/>
    </row>
    <row r="33" spans="1:32" x14ac:dyDescent="0.25">
      <c r="A33" s="360">
        <v>17512</v>
      </c>
      <c r="B33" s="233" t="str">
        <f>VLOOKUP(Table3[[#This Row],[Document ID]],Table1[],2,FALSE)</f>
        <v>AGO</v>
      </c>
      <c r="C33" s="233" t="str">
        <f>VLOOKUP(Table3[[#This Row],[Document ID]],Table1[],3,FALSE)</f>
        <v>Angola</v>
      </c>
      <c r="D33" s="233" t="str">
        <f>VLOOKUP(Table3[[#This Row],[Document ID]],Table1[],5,FALSE)</f>
        <v>NDC</v>
      </c>
      <c r="E33" s="233" t="str">
        <f>VLOOKUP(Table3[[#This Row],[Document ID]],Table1[],7,FALSE)</f>
        <v>First NDC</v>
      </c>
      <c r="F33" s="233" t="str">
        <f>VLOOKUP(Table3[[#This Row],[Document ID]],Table1[],8,FALSE)</f>
        <v>NDC 1.0</v>
      </c>
      <c r="G33" s="233" t="str">
        <f>VLOOKUP(Table3[[#This Row],[Document ID]],Table1[],10,FALSE)</f>
        <v>Archived</v>
      </c>
      <c r="H33" s="216" t="s">
        <v>1089</v>
      </c>
      <c r="I33" s="216" t="s">
        <v>1089</v>
      </c>
      <c r="J33" s="43" t="s">
        <v>1090</v>
      </c>
      <c r="K33" s="28" t="s">
        <v>1091</v>
      </c>
      <c r="L33" s="216" t="s">
        <v>1092</v>
      </c>
      <c r="M33" s="209">
        <v>2030</v>
      </c>
      <c r="N33" s="176" t="s">
        <v>1136</v>
      </c>
      <c r="O33" s="258" t="s">
        <v>1094</v>
      </c>
      <c r="P33" s="238" t="str">
        <f>VLOOKUP(_xlfn.CONCAT(Table3[[#This Row],[Target area]],Table3[[#This Row],[GHG target?]],Table3[[#This Row],[Conditionality]]),'Drop down'!$E$81:$F$101,2,FALSE)</f>
        <v>T_Economy_C</v>
      </c>
      <c r="Q33" s="239" t="str">
        <f>VLOOKUP(Table3[[#This Row],[Target type]],Table418[[Value name]:[Value idenifyer]],2,FALSE)</f>
        <v>T_BAU</v>
      </c>
      <c r="V33" s="233" t="str">
        <f>VLOOKUP(Table3[[#This Row],[Country Code]],Table29[],3,FALSE)</f>
        <v>Non-Annex I</v>
      </c>
      <c r="W33" s="233" t="str">
        <f>VLOOKUP(Table3[[#This Row],[Country Code]],Table29[],4,FALSE)</f>
        <v>Africa</v>
      </c>
      <c r="X33" s="233" t="str">
        <f>VLOOKUP(Table3[[#This Row],[Country Code]],Table29[],5,FALSE)</f>
        <v>Middle-income</v>
      </c>
      <c r="Y33" s="233" t="str">
        <f>VLOOKUP(Table3[[#This Row],[Country Code]],Table29[],6,FALSE)</f>
        <v>no</v>
      </c>
      <c r="Z33" s="233" t="str">
        <f>VLOOKUP(Table3[[#This Row],[Country Code]],Table29[],7,FALSE)</f>
        <v>no</v>
      </c>
      <c r="AA33" s="233" t="str">
        <f>VLOOKUP(Table3[[#This Row],[Country Code]],Table29[],8,FALSE)</f>
        <v>non-OECD</v>
      </c>
      <c r="AB33" s="233" t="str">
        <f>VLOOKUP(Table3[[#This Row],[Country Code]],Table29[],9,FALSE)</f>
        <v>no</v>
      </c>
      <c r="AC33" s="233" t="str">
        <f>VLOOKUP(Table3[[#This Row],[Country Code]],Table29[],10,FALSE)</f>
        <v>no</v>
      </c>
      <c r="AD33" s="235">
        <f>VLOOKUP(Table3[[#This Row],[Country Code]],Table29[],23,FALSE)</f>
        <v>67.700756247715006</v>
      </c>
      <c r="AE33" s="235">
        <f>VLOOKUP(Table3[[#This Row],[Country Code]],Table29[],24,FALSE)</f>
        <v>8.6486128139959888</v>
      </c>
      <c r="AF33" s="43"/>
    </row>
    <row r="34" spans="1:32" ht="30" x14ac:dyDescent="0.25">
      <c r="A34" s="360">
        <v>17772</v>
      </c>
      <c r="B34" s="233" t="str">
        <f>VLOOKUP(Table3[[#This Row],[Document ID]],Table1[],2,FALSE)</f>
        <v>ARE</v>
      </c>
      <c r="C34" s="233" t="str">
        <f>VLOOKUP(Table3[[#This Row],[Document ID]],Table1[],3,FALSE)</f>
        <v>United Arab Emirates</v>
      </c>
      <c r="D34" s="233" t="str">
        <f>VLOOKUP(Table3[[#This Row],[Document ID]],Table1[],5,FALSE)</f>
        <v>NDC</v>
      </c>
      <c r="E34" s="233" t="str">
        <f>VLOOKUP(Table3[[#This Row],[Document ID]],Table1[],7,FALSE)</f>
        <v>First NDC</v>
      </c>
      <c r="F34" s="233" t="str">
        <f>VLOOKUP(Table3[[#This Row],[Document ID]],Table1[],8,FALSE)</f>
        <v>NDC 1.0</v>
      </c>
      <c r="G34" s="233" t="str">
        <f>VLOOKUP(Table3[[#This Row],[Document ID]],Table1[],10,FALSE)</f>
        <v>Archived</v>
      </c>
      <c r="H34" s="42" t="s">
        <v>1095</v>
      </c>
      <c r="I34" s="42" t="s">
        <v>1096</v>
      </c>
      <c r="J34" s="42" t="s">
        <v>1097</v>
      </c>
      <c r="K34" s="28" t="s">
        <v>1137</v>
      </c>
      <c r="L34" s="389" t="s">
        <v>1099</v>
      </c>
      <c r="M34" s="209" t="s">
        <v>1094</v>
      </c>
      <c r="N34" s="44" t="s">
        <v>1138</v>
      </c>
      <c r="O34" s="221">
        <v>3</v>
      </c>
      <c r="P34" s="238" t="str">
        <f>VLOOKUP(_xlfn.CONCAT(Table3[[#This Row],[Target area]],Table3[[#This Row],[GHG target?]],Table3[[#This Row],[Conditionality]]),'Drop down'!$E$81:$F$101,2,FALSE)</f>
        <v>T_Transport_O_Unc</v>
      </c>
      <c r="Q34" s="239" t="str">
        <f>VLOOKUP(Table3[[#This Row],[Target type]],Table418[[Value name]:[Value idenifyer]],2,FALSE)</f>
        <v>T_O_EFF</v>
      </c>
      <c r="S34" s="233" t="s">
        <v>1101</v>
      </c>
      <c r="T34" s="234" t="s">
        <v>1113</v>
      </c>
      <c r="V34" s="233" t="str">
        <f>VLOOKUP(Table3[[#This Row],[Country Code]],Table29[],3,FALSE)</f>
        <v>Non-Annex I</v>
      </c>
      <c r="W34" s="233" t="str">
        <f>VLOOKUP(Table3[[#This Row],[Country Code]],Table29[],4,FALSE)</f>
        <v>Asia</v>
      </c>
      <c r="X34" s="233" t="str">
        <f>VLOOKUP(Table3[[#This Row],[Country Code]],Table29[],5,FALSE)</f>
        <v>High-income</v>
      </c>
      <c r="Y34" s="233" t="str">
        <f>VLOOKUP(Table3[[#This Row],[Country Code]],Table29[],6,FALSE)</f>
        <v>no</v>
      </c>
      <c r="Z34" s="233" t="str">
        <f>VLOOKUP(Table3[[#This Row],[Country Code]],Table29[],7,FALSE)</f>
        <v>no</v>
      </c>
      <c r="AA34" s="233" t="str">
        <f>VLOOKUP(Table3[[#This Row],[Country Code]],Table29[],8,FALSE)</f>
        <v>non-OECD</v>
      </c>
      <c r="AB34" s="233" t="str">
        <f>VLOOKUP(Table3[[#This Row],[Country Code]],Table29[],9,FALSE)</f>
        <v>no</v>
      </c>
      <c r="AC34" s="233" t="str">
        <f>VLOOKUP(Table3[[#This Row],[Country Code]],Table29[],10,FALSE)</f>
        <v>MENA</v>
      </c>
      <c r="AD34" s="235">
        <f>VLOOKUP(Table3[[#This Row],[Country Code]],Table29[],23,FALSE)</f>
        <v>267.82319378585998</v>
      </c>
      <c r="AE34" s="235">
        <f>VLOOKUP(Table3[[#This Row],[Country Code]],Table29[],24,FALSE)</f>
        <v>43.860911308351241</v>
      </c>
      <c r="AF34" s="43"/>
    </row>
    <row r="35" spans="1:32" ht="30" x14ac:dyDescent="0.25">
      <c r="A35" s="360">
        <v>21764</v>
      </c>
      <c r="B35" s="233" t="str">
        <f>VLOOKUP(Table3[[#This Row],[Document ID]],Table1[],2,FALSE)</f>
        <v>ATG</v>
      </c>
      <c r="C35" s="233" t="str">
        <f>VLOOKUP(Table3[[#This Row],[Document ID]],Table1[],3,FALSE)</f>
        <v>Antigua and Barbuda</v>
      </c>
      <c r="D35" s="233" t="str">
        <f>VLOOKUP(Table3[[#This Row],[Document ID]],Table1[],5,FALSE)</f>
        <v>NDC</v>
      </c>
      <c r="E35" s="233" t="str">
        <f>VLOOKUP(Table3[[#This Row],[Document ID]],Table1[],7,FALSE)</f>
        <v>First NDC updated</v>
      </c>
      <c r="F35" s="233" t="str">
        <f>VLOOKUP(Table3[[#This Row],[Document ID]],Table1[],8,FALSE)</f>
        <v>NDC 1.1</v>
      </c>
      <c r="G35" s="233" t="str">
        <f>VLOOKUP(Table3[[#This Row],[Document ID]],Table1[],10,FALSE)</f>
        <v>Active</v>
      </c>
      <c r="H35" s="43" t="s">
        <v>1139</v>
      </c>
      <c r="I35" s="43" t="s">
        <v>1096</v>
      </c>
      <c r="J35" s="42" t="s">
        <v>1097</v>
      </c>
      <c r="K35" s="28" t="s">
        <v>1140</v>
      </c>
      <c r="L35" s="43" t="s">
        <v>1092</v>
      </c>
      <c r="M35" s="209">
        <v>2030</v>
      </c>
      <c r="N35" s="209" t="s">
        <v>1141</v>
      </c>
      <c r="O35" s="257">
        <v>20</v>
      </c>
      <c r="P35" s="238" t="str">
        <f>VLOOKUP(_xlfn.CONCAT(Table3[[#This Row],[Target area]],Table3[[#This Row],[GHG target?]],Table3[[#This Row],[Conditionality]]),'Drop down'!$E$81:$F$101,2,FALSE)</f>
        <v>T_Adaptation_C</v>
      </c>
      <c r="Q35" s="239" t="str">
        <f>VLOOKUP(Table3[[#This Row],[Target type]],Table418[[Value name]:[Value idenifyer]],2,FALSE)</f>
        <v>T_A_GEN</v>
      </c>
      <c r="T35" s="240" t="s">
        <v>1113</v>
      </c>
      <c r="U35" s="240"/>
      <c r="V35" s="233" t="str">
        <f>VLOOKUP(Table3[[#This Row],[Country Code]],Table29[],3,FALSE)</f>
        <v>Non-Annex I</v>
      </c>
      <c r="W35" s="233" t="str">
        <f>VLOOKUP(Table3[[#This Row],[Country Code]],Table29[],4,FALSE)</f>
        <v>Latin America and the Caribbean</v>
      </c>
      <c r="X35" s="233" t="str">
        <f>VLOOKUP(Table3[[#This Row],[Country Code]],Table29[],5,FALSE)</f>
        <v>High-income</v>
      </c>
      <c r="Y35" s="233" t="str">
        <f>VLOOKUP(Table3[[#This Row],[Country Code]],Table29[],6,FALSE)</f>
        <v>no</v>
      </c>
      <c r="Z35" s="233" t="str">
        <f>VLOOKUP(Table3[[#This Row],[Country Code]],Table29[],7,FALSE)</f>
        <v>no</v>
      </c>
      <c r="AA35" s="233" t="str">
        <f>VLOOKUP(Table3[[#This Row],[Country Code]],Table29[],8,FALSE)</f>
        <v>non-OECD</v>
      </c>
      <c r="AB35" s="233" t="str">
        <f>VLOOKUP(Table3[[#This Row],[Country Code]],Table29[],9,FALSE)</f>
        <v>no</v>
      </c>
      <c r="AC35" s="233" t="str">
        <f>VLOOKUP(Table3[[#This Row],[Country Code]],Table29[],10,FALSE)</f>
        <v>no</v>
      </c>
      <c r="AD35" s="235">
        <f>VLOOKUP(Table3[[#This Row],[Country Code]],Table29[],23,FALSE)</f>
        <v>0.38855617147726002</v>
      </c>
      <c r="AE35" s="235">
        <f>VLOOKUP(Table3[[#This Row],[Country Code]],Table29[],24,FALSE)</f>
        <v>0.1151781182188378</v>
      </c>
      <c r="AF35" s="43"/>
    </row>
    <row r="36" spans="1:32" ht="45" x14ac:dyDescent="0.25">
      <c r="A36" s="360">
        <v>17773</v>
      </c>
      <c r="B36" s="233" t="str">
        <f>VLOOKUP(Table3[[#This Row],[Document ID]],Table1[],2,FALSE)</f>
        <v>ARE</v>
      </c>
      <c r="C36" s="233" t="str">
        <f>VLOOKUP(Table3[[#This Row],[Document ID]],Table1[],3,FALSE)</f>
        <v>United Arab Emirates</v>
      </c>
      <c r="D36" s="233" t="str">
        <f>VLOOKUP(Table3[[#This Row],[Document ID]],Table1[],5,FALSE)</f>
        <v>NDC</v>
      </c>
      <c r="E36" s="233" t="str">
        <f>VLOOKUP(Table3[[#This Row],[Document ID]],Table1[],7,FALSE)</f>
        <v>Second NDC</v>
      </c>
      <c r="F36" s="233" t="str">
        <f>VLOOKUP(Table3[[#This Row],[Document ID]],Table1[],8,FALSE)</f>
        <v>NDC 2.0</v>
      </c>
      <c r="G36" s="233" t="str">
        <f>VLOOKUP(Table3[[#This Row],[Document ID]],Table1[],10,FALSE)</f>
        <v>Archived</v>
      </c>
      <c r="H36" s="42" t="s">
        <v>1095</v>
      </c>
      <c r="I36" s="42" t="s">
        <v>1096</v>
      </c>
      <c r="J36" s="42" t="s">
        <v>1097</v>
      </c>
      <c r="K36" s="28" t="s">
        <v>1104</v>
      </c>
      <c r="L36" s="389" t="s">
        <v>1099</v>
      </c>
      <c r="M36" s="209">
        <v>2030</v>
      </c>
      <c r="N36" s="44" t="s">
        <v>1142</v>
      </c>
      <c r="O36" s="221">
        <v>6</v>
      </c>
      <c r="P36" s="238" t="str">
        <f>VLOOKUP(_xlfn.CONCAT(Table3[[#This Row],[Target area]],Table3[[#This Row],[GHG target?]],Table3[[#This Row],[Conditionality]]),'Drop down'!$E$81:$F$101,2,FALSE)</f>
        <v>T_Transport_O_Unc</v>
      </c>
      <c r="Q36" s="239" t="str">
        <f>VLOOKUP(Table3[[#This Row],[Target type]],Table418[[Value name]:[Value idenifyer]],2,FALSE)</f>
        <v>T_O_ZERO</v>
      </c>
      <c r="S36" s="233" t="s">
        <v>1101</v>
      </c>
      <c r="T36" s="234" t="s">
        <v>1113</v>
      </c>
      <c r="V36" s="233" t="str">
        <f>VLOOKUP(Table3[[#This Row],[Country Code]],Table29[],3,FALSE)</f>
        <v>Non-Annex I</v>
      </c>
      <c r="W36" s="233" t="str">
        <f>VLOOKUP(Table3[[#This Row],[Country Code]],Table29[],4,FALSE)</f>
        <v>Asia</v>
      </c>
      <c r="X36" s="233" t="str">
        <f>VLOOKUP(Table3[[#This Row],[Country Code]],Table29[],5,FALSE)</f>
        <v>High-income</v>
      </c>
      <c r="Y36" s="233" t="str">
        <f>VLOOKUP(Table3[[#This Row],[Country Code]],Table29[],6,FALSE)</f>
        <v>no</v>
      </c>
      <c r="Z36" s="233" t="str">
        <f>VLOOKUP(Table3[[#This Row],[Country Code]],Table29[],7,FALSE)</f>
        <v>no</v>
      </c>
      <c r="AA36" s="233" t="str">
        <f>VLOOKUP(Table3[[#This Row],[Country Code]],Table29[],8,FALSE)</f>
        <v>non-OECD</v>
      </c>
      <c r="AB36" s="233" t="str">
        <f>VLOOKUP(Table3[[#This Row],[Country Code]],Table29[],9,FALSE)</f>
        <v>no</v>
      </c>
      <c r="AC36" s="233" t="str">
        <f>VLOOKUP(Table3[[#This Row],[Country Code]],Table29[],10,FALSE)</f>
        <v>MENA</v>
      </c>
      <c r="AD36" s="235">
        <f>VLOOKUP(Table3[[#This Row],[Country Code]],Table29[],23,FALSE)</f>
        <v>267.82319378585998</v>
      </c>
      <c r="AE36" s="235">
        <f>VLOOKUP(Table3[[#This Row],[Country Code]],Table29[],24,FALSE)</f>
        <v>43.860911308351241</v>
      </c>
      <c r="AF36" s="43"/>
    </row>
    <row r="37" spans="1:32" ht="30" x14ac:dyDescent="0.25">
      <c r="A37" s="360">
        <v>29234</v>
      </c>
      <c r="B37" s="233" t="str">
        <f>VLOOKUP(Table3[[#This Row],[Document ID]],Table1[],2,FALSE)</f>
        <v>ARE</v>
      </c>
      <c r="C37" s="233" t="str">
        <f>VLOOKUP(Table3[[#This Row],[Document ID]],Table1[],3,FALSE)</f>
        <v>United Arab Emirates</v>
      </c>
      <c r="D37" s="233" t="str">
        <f>VLOOKUP(Table3[[#This Row],[Document ID]],Table1[],5,FALSE)</f>
        <v>NDC</v>
      </c>
      <c r="E37" s="233" t="str">
        <f>VLOOKUP(Table3[[#This Row],[Document ID]],Table1[],7,FALSE)</f>
        <v>Second NDC updated</v>
      </c>
      <c r="F37" s="233" t="str">
        <f>VLOOKUP(Table3[[#This Row],[Document ID]],Table1[],8,FALSE)</f>
        <v>NDC 2.1</v>
      </c>
      <c r="G37" s="233" t="str">
        <f>VLOOKUP(Table3[[#This Row],[Document ID]],Table1[],10,FALSE)</f>
        <v>Archived</v>
      </c>
      <c r="H37" s="42" t="s">
        <v>1095</v>
      </c>
      <c r="I37" s="43" t="s">
        <v>1115</v>
      </c>
      <c r="J37" s="43" t="s">
        <v>1090</v>
      </c>
      <c r="K37" s="28" t="s">
        <v>1091</v>
      </c>
      <c r="L37" s="389" t="s">
        <v>1099</v>
      </c>
      <c r="M37" s="209">
        <v>2030</v>
      </c>
      <c r="N37" s="209" t="s">
        <v>1143</v>
      </c>
      <c r="O37" s="257">
        <v>11</v>
      </c>
      <c r="P37" s="238" t="str">
        <f>VLOOKUP(_xlfn.CONCAT(Table3[[#This Row],[Target area]],Table3[[#This Row],[GHG target?]],Table3[[#This Row],[Conditionality]]),'Drop down'!$E$81:$F$101,2,FALSE)</f>
        <v>T_Transport_Unc</v>
      </c>
      <c r="Q37" s="239" t="str">
        <f>VLOOKUP(Table3[[#This Row],[Target type]],Table418[[Value name]:[Value idenifyer]],2,FALSE)</f>
        <v>T_BAU</v>
      </c>
      <c r="R37" s="233" t="s">
        <v>526</v>
      </c>
      <c r="S37" s="233" t="s">
        <v>1125</v>
      </c>
      <c r="T37" s="234" t="s">
        <v>1113</v>
      </c>
      <c r="V37" s="233" t="str">
        <f>VLOOKUP(Table3[[#This Row],[Country Code]],Table29[],3,FALSE)</f>
        <v>Non-Annex I</v>
      </c>
      <c r="W37" s="233" t="str">
        <f>VLOOKUP(Table3[[#This Row],[Country Code]],Table29[],4,FALSE)</f>
        <v>Asia</v>
      </c>
      <c r="X37" s="233" t="str">
        <f>VLOOKUP(Table3[[#This Row],[Country Code]],Table29[],5,FALSE)</f>
        <v>High-income</v>
      </c>
      <c r="Y37" s="233" t="str">
        <f>VLOOKUP(Table3[[#This Row],[Country Code]],Table29[],6,FALSE)</f>
        <v>no</v>
      </c>
      <c r="Z37" s="233" t="str">
        <f>VLOOKUP(Table3[[#This Row],[Country Code]],Table29[],7,FALSE)</f>
        <v>no</v>
      </c>
      <c r="AA37" s="233" t="str">
        <f>VLOOKUP(Table3[[#This Row],[Country Code]],Table29[],8,FALSE)</f>
        <v>non-OECD</v>
      </c>
      <c r="AB37" s="233" t="str">
        <f>VLOOKUP(Table3[[#This Row],[Country Code]],Table29[],9,FALSE)</f>
        <v>no</v>
      </c>
      <c r="AC37" s="233" t="str">
        <f>VLOOKUP(Table3[[#This Row],[Country Code]],Table29[],10,FALSE)</f>
        <v>MENA</v>
      </c>
      <c r="AD37" s="235">
        <f>VLOOKUP(Table3[[#This Row],[Country Code]],Table29[],23,FALSE)</f>
        <v>267.82319378585998</v>
      </c>
      <c r="AE37" s="235">
        <f>VLOOKUP(Table3[[#This Row],[Country Code]],Table29[],24,FALSE)</f>
        <v>43.860911308351241</v>
      </c>
      <c r="AF37" s="43"/>
    </row>
    <row r="38" spans="1:32" ht="60" x14ac:dyDescent="0.25">
      <c r="A38" s="360">
        <v>29234</v>
      </c>
      <c r="B38" s="233" t="str">
        <f>VLOOKUP(Table3[[#This Row],[Document ID]],Table1[],2,FALSE)</f>
        <v>ARE</v>
      </c>
      <c r="C38" s="233" t="str">
        <f>VLOOKUP(Table3[[#This Row],[Document ID]],Table1[],3,FALSE)</f>
        <v>United Arab Emirates</v>
      </c>
      <c r="D38" s="233" t="str">
        <f>VLOOKUP(Table3[[#This Row],[Document ID]],Table1[],5,FALSE)</f>
        <v>NDC</v>
      </c>
      <c r="E38" s="233" t="str">
        <f>VLOOKUP(Table3[[#This Row],[Document ID]],Table1[],7,FALSE)</f>
        <v>Second NDC updated</v>
      </c>
      <c r="F38" s="233" t="str">
        <f>VLOOKUP(Table3[[#This Row],[Document ID]],Table1[],8,FALSE)</f>
        <v>NDC 2.1</v>
      </c>
      <c r="G38" s="233" t="str">
        <f>VLOOKUP(Table3[[#This Row],[Document ID]],Table1[],10,FALSE)</f>
        <v>Archived</v>
      </c>
      <c r="H38" s="42" t="s">
        <v>1095</v>
      </c>
      <c r="I38" s="42" t="s">
        <v>1096</v>
      </c>
      <c r="J38" s="42" t="s">
        <v>1097</v>
      </c>
      <c r="K38" s="28" t="s">
        <v>1104</v>
      </c>
      <c r="L38" s="389" t="s">
        <v>1099</v>
      </c>
      <c r="M38" s="209">
        <v>2030</v>
      </c>
      <c r="N38" s="21" t="s">
        <v>1144</v>
      </c>
      <c r="O38" s="257">
        <v>22</v>
      </c>
      <c r="P38" s="238" t="str">
        <f>VLOOKUP(_xlfn.CONCAT(Table3[[#This Row],[Target area]],Table3[[#This Row],[GHG target?]],Table3[[#This Row],[Conditionality]]),'Drop down'!$E$81:$F$101,2,FALSE)</f>
        <v>T_Transport_O_Unc</v>
      </c>
      <c r="Q38" s="239" t="str">
        <f>VLOOKUP(Table3[[#This Row],[Target type]],Table418[[Value name]:[Value idenifyer]],2,FALSE)</f>
        <v>T_O_ZERO</v>
      </c>
      <c r="S38" s="233" t="s">
        <v>1125</v>
      </c>
      <c r="T38" s="234" t="s">
        <v>1113</v>
      </c>
      <c r="V38" s="233" t="str">
        <f>VLOOKUP(Table3[[#This Row],[Country Code]],Table29[],3,FALSE)</f>
        <v>Non-Annex I</v>
      </c>
      <c r="W38" s="233" t="str">
        <f>VLOOKUP(Table3[[#This Row],[Country Code]],Table29[],4,FALSE)</f>
        <v>Asia</v>
      </c>
      <c r="X38" s="233" t="str">
        <f>VLOOKUP(Table3[[#This Row],[Country Code]],Table29[],5,FALSE)</f>
        <v>High-income</v>
      </c>
      <c r="Y38" s="233" t="str">
        <f>VLOOKUP(Table3[[#This Row],[Country Code]],Table29[],6,FALSE)</f>
        <v>no</v>
      </c>
      <c r="Z38" s="233" t="str">
        <f>VLOOKUP(Table3[[#This Row],[Country Code]],Table29[],7,FALSE)</f>
        <v>no</v>
      </c>
      <c r="AA38" s="233" t="str">
        <f>VLOOKUP(Table3[[#This Row],[Country Code]],Table29[],8,FALSE)</f>
        <v>non-OECD</v>
      </c>
      <c r="AB38" s="233" t="str">
        <f>VLOOKUP(Table3[[#This Row],[Country Code]],Table29[],9,FALSE)</f>
        <v>no</v>
      </c>
      <c r="AC38" s="233" t="str">
        <f>VLOOKUP(Table3[[#This Row],[Country Code]],Table29[],10,FALSE)</f>
        <v>MENA</v>
      </c>
      <c r="AD38" s="235">
        <f>VLOOKUP(Table3[[#This Row],[Country Code]],Table29[],23,FALSE)</f>
        <v>267.82319378585998</v>
      </c>
      <c r="AE38" s="235">
        <f>VLOOKUP(Table3[[#This Row],[Country Code]],Table29[],24,FALSE)</f>
        <v>43.860911308351241</v>
      </c>
      <c r="AF38" s="43"/>
    </row>
    <row r="39" spans="1:32" x14ac:dyDescent="0.25">
      <c r="A39" s="368">
        <v>39455</v>
      </c>
      <c r="B39" s="233" t="str">
        <f>VLOOKUP(Table3[[#This Row],[Document ID]],Table1[],2,FALSE)</f>
        <v>ARE</v>
      </c>
      <c r="C39" s="233" t="str">
        <f>VLOOKUP(Table3[[#This Row],[Document ID]],Table1[],3,FALSE)</f>
        <v>United Arab Emirates</v>
      </c>
      <c r="D39" s="233" t="str">
        <f>VLOOKUP(Table3[[#This Row],[Document ID]],Table1[],5,FALSE)</f>
        <v>NDC</v>
      </c>
      <c r="E39" s="233" t="str">
        <f>VLOOKUP(Table3[[#This Row],[Document ID]],Table1[],7,FALSE)</f>
        <v>Second NDC updated</v>
      </c>
      <c r="F39" s="241" t="str">
        <f>VLOOKUP(Table3[[#This Row],[Document ID]],Table1[],8,FALSE)</f>
        <v>NDC 2.2</v>
      </c>
      <c r="G39" s="233" t="str">
        <f>VLOOKUP(Table3[[#This Row],[Document ID]],Table1[],10,FALSE)</f>
        <v>Archived</v>
      </c>
      <c r="H39" s="42" t="s">
        <v>1095</v>
      </c>
      <c r="I39" s="43" t="s">
        <v>1115</v>
      </c>
      <c r="J39" s="43" t="s">
        <v>1090</v>
      </c>
      <c r="K39" s="28" t="s">
        <v>1121</v>
      </c>
      <c r="L39" s="389" t="s">
        <v>1099</v>
      </c>
      <c r="M39" s="209">
        <v>2030</v>
      </c>
      <c r="N39" s="209" t="s">
        <v>1145</v>
      </c>
      <c r="O39" s="258">
        <v>17</v>
      </c>
      <c r="P39" s="238" t="str">
        <f>VLOOKUP(_xlfn.CONCAT(Table3[[#This Row],[Target area]],Table3[[#This Row],[GHG target?]],Table3[[#This Row],[Conditionality]]),'Drop down'!$E$81:$F$101,2,FALSE)</f>
        <v>T_Transport_Unc</v>
      </c>
      <c r="Q39" s="239" t="str">
        <f>VLOOKUP(Table3[[#This Row],[Target type]],Table418[[Value name]:[Value idenifyer]],2,FALSE)</f>
        <v>T_FL</v>
      </c>
      <c r="R39" s="233" t="s">
        <v>526</v>
      </c>
      <c r="S39" s="233" t="s">
        <v>1125</v>
      </c>
      <c r="T39" s="234" t="s">
        <v>1113</v>
      </c>
      <c r="V39" s="233" t="str">
        <f>VLOOKUP(Table3[[#This Row],[Country Code]],Table29[],3,FALSE)</f>
        <v>Non-Annex I</v>
      </c>
      <c r="W39" s="233" t="str">
        <f>VLOOKUP(Table3[[#This Row],[Country Code]],Table29[],4,FALSE)</f>
        <v>Asia</v>
      </c>
      <c r="X39" s="233" t="str">
        <f>VLOOKUP(Table3[[#This Row],[Country Code]],Table29[],5,FALSE)</f>
        <v>High-income</v>
      </c>
      <c r="Y39" s="233" t="str">
        <f>VLOOKUP(Table3[[#This Row],[Country Code]],Table29[],6,FALSE)</f>
        <v>no</v>
      </c>
      <c r="Z39" s="233" t="str">
        <f>VLOOKUP(Table3[[#This Row],[Country Code]],Table29[],7,FALSE)</f>
        <v>no</v>
      </c>
      <c r="AA39" s="233" t="str">
        <f>VLOOKUP(Table3[[#This Row],[Country Code]],Table29[],8,FALSE)</f>
        <v>non-OECD</v>
      </c>
      <c r="AB39" s="233" t="str">
        <f>VLOOKUP(Table3[[#This Row],[Country Code]],Table29[],9,FALSE)</f>
        <v>no</v>
      </c>
      <c r="AC39" s="233" t="str">
        <f>VLOOKUP(Table3[[#This Row],[Country Code]],Table29[],10,FALSE)</f>
        <v>MENA</v>
      </c>
      <c r="AD39" s="235">
        <f>VLOOKUP(Table3[[#This Row],[Country Code]],Table29[],23,FALSE)</f>
        <v>267.82319378585998</v>
      </c>
      <c r="AE39" s="235">
        <f>VLOOKUP(Table3[[#This Row],[Country Code]],Table29[],24,FALSE)</f>
        <v>43.860911308351241</v>
      </c>
      <c r="AF39" s="43"/>
    </row>
    <row r="40" spans="1:32" x14ac:dyDescent="0.25">
      <c r="A40" s="368">
        <v>39455</v>
      </c>
      <c r="B40" s="233" t="str">
        <f>VLOOKUP(Table3[[#This Row],[Document ID]],Table1[],2,FALSE)</f>
        <v>ARE</v>
      </c>
      <c r="C40" s="233" t="str">
        <f>VLOOKUP(Table3[[#This Row],[Document ID]],Table1[],3,FALSE)</f>
        <v>United Arab Emirates</v>
      </c>
      <c r="D40" s="233" t="str">
        <f>VLOOKUP(Table3[[#This Row],[Document ID]],Table1[],5,FALSE)</f>
        <v>NDC</v>
      </c>
      <c r="E40" s="233" t="str">
        <f>VLOOKUP(Table3[[#This Row],[Document ID]],Table1[],7,FALSE)</f>
        <v>Second NDC updated</v>
      </c>
      <c r="F40" s="241" t="str">
        <f>VLOOKUP(Table3[[#This Row],[Document ID]],Table1[],8,FALSE)</f>
        <v>NDC 2.2</v>
      </c>
      <c r="G40" s="233" t="str">
        <f>VLOOKUP(Table3[[#This Row],[Document ID]],Table1[],10,FALSE)</f>
        <v>Archived</v>
      </c>
      <c r="H40" s="42" t="s">
        <v>1095</v>
      </c>
      <c r="I40" s="42" t="s">
        <v>1096</v>
      </c>
      <c r="J40" s="42" t="s">
        <v>1097</v>
      </c>
      <c r="K40" s="28" t="s">
        <v>1098</v>
      </c>
      <c r="L40" s="389" t="s">
        <v>1099</v>
      </c>
      <c r="M40" s="209">
        <v>2030</v>
      </c>
      <c r="N40" s="209" t="s">
        <v>1146</v>
      </c>
      <c r="O40" s="258">
        <v>27</v>
      </c>
      <c r="P40" s="238" t="str">
        <f>VLOOKUP(_xlfn.CONCAT(Table3[[#This Row],[Target area]],Table3[[#This Row],[GHG target?]],Table3[[#This Row],[Conditionality]]),'Drop down'!$E$81:$F$101,2,FALSE)</f>
        <v>T_Transport_O_Unc</v>
      </c>
      <c r="Q40" s="239" t="str">
        <f>VLOOKUP(Table3[[#This Row],[Target type]],Table418[[Value name]:[Value idenifyer]],2,FALSE)</f>
        <v>T_O_MODE</v>
      </c>
      <c r="S40" s="233" t="s">
        <v>1125</v>
      </c>
      <c r="T40" s="234" t="s">
        <v>1113</v>
      </c>
      <c r="V40" s="233" t="str">
        <f>VLOOKUP(Table3[[#This Row],[Country Code]],Table29[],3,FALSE)</f>
        <v>Non-Annex I</v>
      </c>
      <c r="W40" s="233" t="str">
        <f>VLOOKUP(Table3[[#This Row],[Country Code]],Table29[],4,FALSE)</f>
        <v>Asia</v>
      </c>
      <c r="X40" s="233" t="str">
        <f>VLOOKUP(Table3[[#This Row],[Country Code]],Table29[],5,FALSE)</f>
        <v>High-income</v>
      </c>
      <c r="Y40" s="233" t="str">
        <f>VLOOKUP(Table3[[#This Row],[Country Code]],Table29[],6,FALSE)</f>
        <v>no</v>
      </c>
      <c r="Z40" s="233" t="str">
        <f>VLOOKUP(Table3[[#This Row],[Country Code]],Table29[],7,FALSE)</f>
        <v>no</v>
      </c>
      <c r="AA40" s="233" t="str">
        <f>VLOOKUP(Table3[[#This Row],[Country Code]],Table29[],8,FALSE)</f>
        <v>non-OECD</v>
      </c>
      <c r="AB40" s="233" t="str">
        <f>VLOOKUP(Table3[[#This Row],[Country Code]],Table29[],9,FALSE)</f>
        <v>no</v>
      </c>
      <c r="AC40" s="233" t="str">
        <f>VLOOKUP(Table3[[#This Row],[Country Code]],Table29[],10,FALSE)</f>
        <v>MENA</v>
      </c>
      <c r="AD40" s="235">
        <f>VLOOKUP(Table3[[#This Row],[Country Code]],Table29[],23,FALSE)</f>
        <v>267.82319378585998</v>
      </c>
      <c r="AE40" s="235">
        <f>VLOOKUP(Table3[[#This Row],[Country Code]],Table29[],24,FALSE)</f>
        <v>43.860911308351241</v>
      </c>
      <c r="AF40" s="43"/>
    </row>
    <row r="41" spans="1:32" ht="45" x14ac:dyDescent="0.25">
      <c r="A41" s="368">
        <v>41994</v>
      </c>
      <c r="B41" s="233" t="str">
        <f>VLOOKUP(Table3[[#This Row],[Document ID]],Table1[],2,FALSE)</f>
        <v>ARE</v>
      </c>
      <c r="C41" s="233" t="str">
        <f>VLOOKUP(Table3[[#This Row],[Document ID]],Table1[],3,FALSE)</f>
        <v>United Arab Emirates</v>
      </c>
      <c r="D41" s="233" t="str">
        <f>VLOOKUP(Table3[[#This Row],[Document ID]],Table1[],5,FALSE)</f>
        <v>National policy document</v>
      </c>
      <c r="E41" s="233" t="str">
        <f>VLOOKUP(Table3[[#This Row],[Document ID]],Table1[],7,FALSE)</f>
        <v>UAE Net Zero by 2050 strategic initiative</v>
      </c>
      <c r="F41" s="233" t="str">
        <f>VLOOKUP(Table3[[#This Row],[Document ID]],Table1[],8,FALSE)</f>
        <v>NA</v>
      </c>
      <c r="G41" s="233" t="str">
        <f>VLOOKUP(Table3[[#This Row],[Document ID]],Table1[],10,FALSE)</f>
        <v>Active</v>
      </c>
      <c r="H41" s="216" t="s">
        <v>1147</v>
      </c>
      <c r="I41" s="43" t="s">
        <v>1089</v>
      </c>
      <c r="J41" s="43" t="s">
        <v>1090</v>
      </c>
      <c r="K41" s="28" t="s">
        <v>1121</v>
      </c>
      <c r="L41" s="43" t="s">
        <v>1116</v>
      </c>
      <c r="M41" s="209">
        <v>2050</v>
      </c>
      <c r="N41" s="44" t="s">
        <v>1148</v>
      </c>
      <c r="O41" s="258"/>
      <c r="P41" s="238" t="str">
        <f>VLOOKUP(_xlfn.CONCAT(Table3[[#This Row],[Target area]],Table3[[#This Row],[GHG target?]],Table3[[#This Row],[Conditionality]]),'Drop down'!$E$81:$F$101,2,FALSE)</f>
        <v>T_Netzero</v>
      </c>
      <c r="Q41" s="239" t="str">
        <f>VLOOKUP(Table3[[#This Row],[Target type]],Table418[[Value name]:[Value idenifyer]],2,FALSE)</f>
        <v>T_FL</v>
      </c>
      <c r="V41" s="233" t="str">
        <f>VLOOKUP(Table3[[#This Row],[Country Code]],Table29[],3,FALSE)</f>
        <v>Non-Annex I</v>
      </c>
      <c r="W41" s="233" t="str">
        <f>VLOOKUP(Table3[[#This Row],[Country Code]],Table29[],4,FALSE)</f>
        <v>Asia</v>
      </c>
      <c r="X41" s="233" t="str">
        <f>VLOOKUP(Table3[[#This Row],[Country Code]],Table29[],5,FALSE)</f>
        <v>High-income</v>
      </c>
      <c r="Y41" s="233" t="str">
        <f>VLOOKUP(Table3[[#This Row],[Country Code]],Table29[],6,FALSE)</f>
        <v>no</v>
      </c>
      <c r="Z41" s="233" t="str">
        <f>VLOOKUP(Table3[[#This Row],[Country Code]],Table29[],7,FALSE)</f>
        <v>no</v>
      </c>
      <c r="AA41" s="233" t="str">
        <f>VLOOKUP(Table3[[#This Row],[Country Code]],Table29[],8,FALSE)</f>
        <v>non-OECD</v>
      </c>
      <c r="AB41" s="233" t="str">
        <f>VLOOKUP(Table3[[#This Row],[Country Code]],Table29[],9,FALSE)</f>
        <v>no</v>
      </c>
      <c r="AC41" s="233" t="str">
        <f>VLOOKUP(Table3[[#This Row],[Country Code]],Table29[],10,FALSE)</f>
        <v>MENA</v>
      </c>
      <c r="AD41" s="235">
        <f>VLOOKUP(Table3[[#This Row],[Country Code]],Table29[],23,FALSE)</f>
        <v>267.82319378585998</v>
      </c>
      <c r="AE41" s="235">
        <f>VLOOKUP(Table3[[#This Row],[Country Code]],Table29[],24,FALSE)</f>
        <v>43.860911308351241</v>
      </c>
      <c r="AF41" s="43"/>
    </row>
    <row r="42" spans="1:32" ht="30" x14ac:dyDescent="0.25">
      <c r="A42" s="378">
        <v>32529</v>
      </c>
      <c r="B42" s="233" t="str">
        <f>VLOOKUP(Table3[[#This Row],[Document ID]],Table1[],2,FALSE)</f>
        <v>ARG</v>
      </c>
      <c r="C42" s="233" t="str">
        <f>VLOOKUP(Table3[[#This Row],[Document ID]],Table1[],3,FALSE)</f>
        <v>Argentina</v>
      </c>
      <c r="D42" s="233" t="str">
        <f>VLOOKUP(Table3[[#This Row],[Document ID]],Table1[],5,FALSE)</f>
        <v>NDC</v>
      </c>
      <c r="E42" s="233" t="str">
        <f>VLOOKUP(Table3[[#This Row],[Document ID]],Table1[],7,FALSE)</f>
        <v>Second NDC updated</v>
      </c>
      <c r="F42" s="233" t="str">
        <f>VLOOKUP(Table3[[#This Row],[Document ID]],Table1[],8,FALSE)</f>
        <v>NDC 2.1</v>
      </c>
      <c r="G42" s="233" t="str">
        <f>VLOOKUP(Table3[[#This Row],[Document ID]],Table1[],10,FALSE)</f>
        <v>Active</v>
      </c>
      <c r="H42" s="216" t="s">
        <v>1089</v>
      </c>
      <c r="I42" s="216" t="s">
        <v>1089</v>
      </c>
      <c r="J42" s="43" t="s">
        <v>1090</v>
      </c>
      <c r="K42" s="28" t="s">
        <v>1121</v>
      </c>
      <c r="L42" s="42" t="s">
        <v>1099</v>
      </c>
      <c r="M42" s="209">
        <v>2030</v>
      </c>
      <c r="N42" s="44" t="s">
        <v>1149</v>
      </c>
      <c r="O42" s="221">
        <v>6</v>
      </c>
      <c r="P42" s="238" t="str">
        <f>VLOOKUP(_xlfn.CONCAT(Table3[[#This Row],[Target area]],Table3[[#This Row],[GHG target?]],Table3[[#This Row],[Conditionality]]),'Drop down'!$E$81:$F$101,2,FALSE)</f>
        <v>T_Economy_Unc</v>
      </c>
      <c r="Q42" s="239" t="str">
        <f>VLOOKUP(Table3[[#This Row],[Target type]],Table418[[Value name]:[Value idenifyer]],2,FALSE)</f>
        <v>T_FL</v>
      </c>
      <c r="T42" s="234" t="s">
        <v>1113</v>
      </c>
      <c r="V42" s="233" t="str">
        <f>VLOOKUP(Table3[[#This Row],[Country Code]],Table29[],3,FALSE)</f>
        <v>Non-Annex I</v>
      </c>
      <c r="W42" s="233" t="str">
        <f>VLOOKUP(Table3[[#This Row],[Country Code]],Table29[],4,FALSE)</f>
        <v>Latin America and the Caribbean</v>
      </c>
      <c r="X42" s="233" t="str">
        <f>VLOOKUP(Table3[[#This Row],[Country Code]],Table29[],5,FALSE)</f>
        <v>Middle-income</v>
      </c>
      <c r="Y42" s="233" t="str">
        <f>VLOOKUP(Table3[[#This Row],[Country Code]],Table29[],6,FALSE)</f>
        <v>G20</v>
      </c>
      <c r="Z42" s="233" t="str">
        <f>VLOOKUP(Table3[[#This Row],[Country Code]],Table29[],7,FALSE)</f>
        <v>no</v>
      </c>
      <c r="AA42" s="233" t="str">
        <f>VLOOKUP(Table3[[#This Row],[Country Code]],Table29[],8,FALSE)</f>
        <v>non-OECD</v>
      </c>
      <c r="AB42" s="233" t="str">
        <f>VLOOKUP(Table3[[#This Row],[Country Code]],Table29[],9,FALSE)</f>
        <v>no</v>
      </c>
      <c r="AC42" s="233" t="str">
        <f>VLOOKUP(Table3[[#This Row],[Country Code]],Table29[],10,FALSE)</f>
        <v>no</v>
      </c>
      <c r="AD42" s="235">
        <f>VLOOKUP(Table3[[#This Row],[Country Code]],Table29[],23,FALSE)</f>
        <v>365.68461861929001</v>
      </c>
      <c r="AE42" s="235">
        <f>VLOOKUP(Table3[[#This Row],[Country Code]],Table29[],24,FALSE)</f>
        <v>48.339727076899749</v>
      </c>
      <c r="AF42" s="43"/>
    </row>
    <row r="43" spans="1:32" ht="30" x14ac:dyDescent="0.25">
      <c r="A43" s="360">
        <v>17514</v>
      </c>
      <c r="B43" s="233" t="str">
        <f>VLOOKUP(Table3[[#This Row],[Document ID]],Table1[],2,FALSE)</f>
        <v>ARG</v>
      </c>
      <c r="C43" s="233" t="str">
        <f>VLOOKUP(Table3[[#This Row],[Document ID]],Table1[],3,FALSE)</f>
        <v>Argentina</v>
      </c>
      <c r="D43" s="233" t="str">
        <f>VLOOKUP(Table3[[#This Row],[Document ID]],Table1[],5,FALSE)</f>
        <v>NDC</v>
      </c>
      <c r="E43" s="233" t="str">
        <f>VLOOKUP(Table3[[#This Row],[Document ID]],Table1[],7,FALSE)</f>
        <v>First NDC</v>
      </c>
      <c r="F43" s="233" t="str">
        <f>VLOOKUP(Table3[[#This Row],[Document ID]],Table1[],8,FALSE)</f>
        <v>NDC 1.0</v>
      </c>
      <c r="G43" s="233" t="str">
        <f>VLOOKUP(Table3[[#This Row],[Document ID]],Table1[],10,FALSE)</f>
        <v>Archived</v>
      </c>
      <c r="H43" s="216" t="s">
        <v>1089</v>
      </c>
      <c r="I43" s="216" t="s">
        <v>1089</v>
      </c>
      <c r="J43" s="43" t="s">
        <v>1090</v>
      </c>
      <c r="K43" s="28" t="s">
        <v>1121</v>
      </c>
      <c r="L43" s="42" t="s">
        <v>1099</v>
      </c>
      <c r="M43" s="209">
        <v>2030</v>
      </c>
      <c r="N43" s="176" t="s">
        <v>1150</v>
      </c>
      <c r="O43" s="258" t="s">
        <v>1094</v>
      </c>
      <c r="P43" s="238" t="str">
        <f>VLOOKUP(_xlfn.CONCAT(Table3[[#This Row],[Target area]],Table3[[#This Row],[GHG target?]],Table3[[#This Row],[Conditionality]]),'Drop down'!$E$81:$F$101,2,FALSE)</f>
        <v>T_Economy_Unc</v>
      </c>
      <c r="Q43" s="239" t="str">
        <f>VLOOKUP(Table3[[#This Row],[Target type]],Table418[[Value name]:[Value idenifyer]],2,FALSE)</f>
        <v>T_FL</v>
      </c>
      <c r="T43" s="234" t="s">
        <v>1113</v>
      </c>
      <c r="U43" s="240"/>
      <c r="V43" s="233" t="str">
        <f>VLOOKUP(Table3[[#This Row],[Country Code]],Table29[],3,FALSE)</f>
        <v>Non-Annex I</v>
      </c>
      <c r="W43" s="233" t="str">
        <f>VLOOKUP(Table3[[#This Row],[Country Code]],Table29[],4,FALSE)</f>
        <v>Latin America and the Caribbean</v>
      </c>
      <c r="X43" s="233" t="str">
        <f>VLOOKUP(Table3[[#This Row],[Country Code]],Table29[],5,FALSE)</f>
        <v>Middle-income</v>
      </c>
      <c r="Y43" s="233" t="str">
        <f>VLOOKUP(Table3[[#This Row],[Country Code]],Table29[],6,FALSE)</f>
        <v>G20</v>
      </c>
      <c r="Z43" s="233" t="str">
        <f>VLOOKUP(Table3[[#This Row],[Country Code]],Table29[],7,FALSE)</f>
        <v>no</v>
      </c>
      <c r="AA43" s="233" t="str">
        <f>VLOOKUP(Table3[[#This Row],[Country Code]],Table29[],8,FALSE)</f>
        <v>non-OECD</v>
      </c>
      <c r="AB43" s="233" t="str">
        <f>VLOOKUP(Table3[[#This Row],[Country Code]],Table29[],9,FALSE)</f>
        <v>no</v>
      </c>
      <c r="AC43" s="233" t="str">
        <f>VLOOKUP(Table3[[#This Row],[Country Code]],Table29[],10,FALSE)</f>
        <v>no</v>
      </c>
      <c r="AD43" s="235">
        <f>VLOOKUP(Table3[[#This Row],[Country Code]],Table29[],23,FALSE)</f>
        <v>365.68461861929001</v>
      </c>
      <c r="AE43" s="235">
        <f>VLOOKUP(Table3[[#This Row],[Country Code]],Table29[],24,FALSE)</f>
        <v>48.339727076899749</v>
      </c>
      <c r="AF43" s="43"/>
    </row>
    <row r="44" spans="1:32" ht="30" x14ac:dyDescent="0.25">
      <c r="A44" s="360">
        <v>17514</v>
      </c>
      <c r="B44" s="233" t="str">
        <f>VLOOKUP(Table3[[#This Row],[Document ID]],Table1[],2,FALSE)</f>
        <v>ARG</v>
      </c>
      <c r="C44" s="233" t="str">
        <f>VLOOKUP(Table3[[#This Row],[Document ID]],Table1[],3,FALSE)</f>
        <v>Argentina</v>
      </c>
      <c r="D44" s="233" t="str">
        <f>VLOOKUP(Table3[[#This Row],[Document ID]],Table1[],5,FALSE)</f>
        <v>NDC</v>
      </c>
      <c r="E44" s="233" t="str">
        <f>VLOOKUP(Table3[[#This Row],[Document ID]],Table1[],7,FALSE)</f>
        <v>First NDC</v>
      </c>
      <c r="F44" s="233" t="str">
        <f>VLOOKUP(Table3[[#This Row],[Document ID]],Table1[],8,FALSE)</f>
        <v>NDC 1.0</v>
      </c>
      <c r="G44" s="233" t="str">
        <f>VLOOKUP(Table3[[#This Row],[Document ID]],Table1[],10,FALSE)</f>
        <v>Archived</v>
      </c>
      <c r="H44" s="216" t="s">
        <v>1089</v>
      </c>
      <c r="I44" s="216" t="s">
        <v>1089</v>
      </c>
      <c r="J44" s="43" t="s">
        <v>1090</v>
      </c>
      <c r="K44" s="28" t="s">
        <v>1121</v>
      </c>
      <c r="L44" s="216" t="s">
        <v>1092</v>
      </c>
      <c r="M44" s="209">
        <v>2030</v>
      </c>
      <c r="N44" s="176" t="s">
        <v>1151</v>
      </c>
      <c r="O44" s="258" t="s">
        <v>1094</v>
      </c>
      <c r="P44" s="238" t="str">
        <f>VLOOKUP(_xlfn.CONCAT(Table3[[#This Row],[Target area]],Table3[[#This Row],[GHG target?]],Table3[[#This Row],[Conditionality]]),'Drop down'!$E$81:$F$101,2,FALSE)</f>
        <v>T_Economy_C</v>
      </c>
      <c r="Q44" s="239" t="str">
        <f>VLOOKUP(Table3[[#This Row],[Target type]],Table418[[Value name]:[Value idenifyer]],2,FALSE)</f>
        <v>T_FL</v>
      </c>
      <c r="T44" s="234" t="s">
        <v>1113</v>
      </c>
      <c r="U44" s="240"/>
      <c r="V44" s="233" t="str">
        <f>VLOOKUP(Table3[[#This Row],[Country Code]],Table29[],3,FALSE)</f>
        <v>Non-Annex I</v>
      </c>
      <c r="W44" s="233" t="str">
        <f>VLOOKUP(Table3[[#This Row],[Country Code]],Table29[],4,FALSE)</f>
        <v>Latin America and the Caribbean</v>
      </c>
      <c r="X44" s="233" t="str">
        <f>VLOOKUP(Table3[[#This Row],[Country Code]],Table29[],5,FALSE)</f>
        <v>Middle-income</v>
      </c>
      <c r="Y44" s="233" t="str">
        <f>VLOOKUP(Table3[[#This Row],[Country Code]],Table29[],6,FALSE)</f>
        <v>G20</v>
      </c>
      <c r="Z44" s="233" t="str">
        <f>VLOOKUP(Table3[[#This Row],[Country Code]],Table29[],7,FALSE)</f>
        <v>no</v>
      </c>
      <c r="AA44" s="233" t="str">
        <f>VLOOKUP(Table3[[#This Row],[Country Code]],Table29[],8,FALSE)</f>
        <v>non-OECD</v>
      </c>
      <c r="AB44" s="233" t="str">
        <f>VLOOKUP(Table3[[#This Row],[Country Code]],Table29[],9,FALSE)</f>
        <v>no</v>
      </c>
      <c r="AC44" s="233" t="str">
        <f>VLOOKUP(Table3[[#This Row],[Country Code]],Table29[],10,FALSE)</f>
        <v>no</v>
      </c>
      <c r="AD44" s="235">
        <f>VLOOKUP(Table3[[#This Row],[Country Code]],Table29[],23,FALSE)</f>
        <v>365.68461861929001</v>
      </c>
      <c r="AE44" s="235">
        <f>VLOOKUP(Table3[[#This Row],[Country Code]],Table29[],24,FALSE)</f>
        <v>48.339727076899749</v>
      </c>
      <c r="AF44" s="43"/>
    </row>
    <row r="45" spans="1:32" ht="60" x14ac:dyDescent="0.25">
      <c r="A45" s="368">
        <v>32410</v>
      </c>
      <c r="B45" s="233" t="str">
        <f>VLOOKUP(Table3[[#This Row],[Document ID]],Table1[],2,FALSE)</f>
        <v>ARG</v>
      </c>
      <c r="C45" s="233" t="str">
        <f>VLOOKUP(Table3[[#This Row],[Document ID]],Table1[],3,FALSE)</f>
        <v>Argentina</v>
      </c>
      <c r="D45" s="233" t="str">
        <f>VLOOKUP(Table3[[#This Row],[Document ID]],Table1[],5,FALSE)</f>
        <v>LTS</v>
      </c>
      <c r="E45" s="233" t="str">
        <f>VLOOKUP(Table3[[#This Row],[Document ID]],Table1[],7,FALSE)</f>
        <v>LTS</v>
      </c>
      <c r="F45" s="241" t="str">
        <f>VLOOKUP(Table3[[#This Row],[Document ID]],Table1[],8,FALSE)</f>
        <v>LTS 1.0</v>
      </c>
      <c r="G45" s="233" t="str">
        <f>VLOOKUP(Table3[[#This Row],[Document ID]],Table1[],10,FALSE)</f>
        <v>Active</v>
      </c>
      <c r="H45" s="216" t="s">
        <v>1089</v>
      </c>
      <c r="I45" s="216" t="s">
        <v>1089</v>
      </c>
      <c r="J45" s="43" t="s">
        <v>1090</v>
      </c>
      <c r="K45" s="28" t="s">
        <v>1121</v>
      </c>
      <c r="L45" s="42" t="s">
        <v>1099</v>
      </c>
      <c r="M45" s="209">
        <v>2050</v>
      </c>
      <c r="N45" s="209" t="s">
        <v>1152</v>
      </c>
      <c r="O45" s="258">
        <v>4</v>
      </c>
      <c r="P45" s="238" t="str">
        <f>VLOOKUP(_xlfn.CONCAT(Table3[[#This Row],[Target area]],Table3[[#This Row],[GHG target?]],Table3[[#This Row],[Conditionality]]),'Drop down'!$E$81:$F$101,2,FALSE)</f>
        <v>T_Economy_Unc</v>
      </c>
      <c r="Q45" s="239" t="str">
        <f>VLOOKUP(Table3[[#This Row],[Target type]],Table418[[Value name]:[Value idenifyer]],2,FALSE)</f>
        <v>T_FL</v>
      </c>
      <c r="T45" s="234" t="s">
        <v>1113</v>
      </c>
      <c r="V45" s="233" t="str">
        <f>VLOOKUP(Table3[[#This Row],[Country Code]],Table29[],3,FALSE)</f>
        <v>Non-Annex I</v>
      </c>
      <c r="W45" s="233" t="str">
        <f>VLOOKUP(Table3[[#This Row],[Country Code]],Table29[],4,FALSE)</f>
        <v>Latin America and the Caribbean</v>
      </c>
      <c r="X45" s="233" t="str">
        <f>VLOOKUP(Table3[[#This Row],[Country Code]],Table29[],5,FALSE)</f>
        <v>Middle-income</v>
      </c>
      <c r="Y45" s="233" t="str">
        <f>VLOOKUP(Table3[[#This Row],[Country Code]],Table29[],6,FALSE)</f>
        <v>G20</v>
      </c>
      <c r="Z45" s="233" t="str">
        <f>VLOOKUP(Table3[[#This Row],[Country Code]],Table29[],7,FALSE)</f>
        <v>no</v>
      </c>
      <c r="AA45" s="233" t="str">
        <f>VLOOKUP(Table3[[#This Row],[Country Code]],Table29[],8,FALSE)</f>
        <v>non-OECD</v>
      </c>
      <c r="AB45" s="233" t="str">
        <f>VLOOKUP(Table3[[#This Row],[Country Code]],Table29[],9,FALSE)</f>
        <v>no</v>
      </c>
      <c r="AC45" s="233" t="str">
        <f>VLOOKUP(Table3[[#This Row],[Country Code]],Table29[],10,FALSE)</f>
        <v>no</v>
      </c>
      <c r="AD45" s="235">
        <f>VLOOKUP(Table3[[#This Row],[Country Code]],Table29[],23,FALSE)</f>
        <v>365.68461861929001</v>
      </c>
      <c r="AE45" s="235">
        <f>VLOOKUP(Table3[[#This Row],[Country Code]],Table29[],24,FALSE)</f>
        <v>48.339727076899749</v>
      </c>
      <c r="AF45" s="43"/>
    </row>
    <row r="46" spans="1:32" x14ac:dyDescent="0.25">
      <c r="A46" s="360">
        <v>20338</v>
      </c>
      <c r="B46" s="233" t="str">
        <f>VLOOKUP(Table3[[#This Row],[Document ID]],Table1[],2,FALSE)</f>
        <v>ARM</v>
      </c>
      <c r="C46" s="233" t="str">
        <f>VLOOKUP(Table3[[#This Row],[Document ID]],Table1[],3,FALSE)</f>
        <v>Armenia</v>
      </c>
      <c r="D46" s="233" t="str">
        <f>VLOOKUP(Table3[[#This Row],[Document ID]],Table1[],5,FALSE)</f>
        <v>NDC</v>
      </c>
      <c r="E46" s="233" t="str">
        <f>VLOOKUP(Table3[[#This Row],[Document ID]],Table1[],7,FALSE)</f>
        <v>First NDC updated</v>
      </c>
      <c r="F46" s="233" t="str">
        <f>VLOOKUP(Table3[[#This Row],[Document ID]],Table1[],8,FALSE)</f>
        <v>NDC 1.1</v>
      </c>
      <c r="G46" s="233" t="str">
        <f>VLOOKUP(Table3[[#This Row],[Document ID]],Table1[],10,FALSE)</f>
        <v>Active</v>
      </c>
      <c r="H46" s="216" t="s">
        <v>1089</v>
      </c>
      <c r="I46" s="216" t="s">
        <v>1089</v>
      </c>
      <c r="J46" s="43" t="s">
        <v>1090</v>
      </c>
      <c r="K46" s="28" t="s">
        <v>1153</v>
      </c>
      <c r="L46" s="42" t="s">
        <v>1099</v>
      </c>
      <c r="M46" s="209">
        <v>2030</v>
      </c>
      <c r="N46" s="209" t="s">
        <v>1154</v>
      </c>
      <c r="O46" s="259">
        <v>3</v>
      </c>
      <c r="P46" s="238" t="str">
        <f>VLOOKUP(_xlfn.CONCAT(Table3[[#This Row],[Target area]],Table3[[#This Row],[GHG target?]],Table3[[#This Row],[Conditionality]]),'Drop down'!$E$81:$F$101,2,FALSE)</f>
        <v>T_Economy_Unc</v>
      </c>
      <c r="Q46" s="239" t="str">
        <f>VLOOKUP(Table3[[#This Row],[Target type]],Table418[[Value name]:[Value idenifyer]],2,FALSE)</f>
        <v>T_BYE</v>
      </c>
      <c r="V46" s="233" t="str">
        <f>VLOOKUP(Table3[[#This Row],[Country Code]],Table29[],3,FALSE)</f>
        <v>Non-Annex I</v>
      </c>
      <c r="W46" s="233" t="str">
        <f>VLOOKUP(Table3[[#This Row],[Country Code]],Table29[],4,FALSE)</f>
        <v>Asia</v>
      </c>
      <c r="X46" s="233" t="str">
        <f>VLOOKUP(Table3[[#This Row],[Country Code]],Table29[],5,FALSE)</f>
        <v>Middle-income</v>
      </c>
      <c r="Y46" s="233" t="str">
        <f>VLOOKUP(Table3[[#This Row],[Country Code]],Table29[],6,FALSE)</f>
        <v>no</v>
      </c>
      <c r="Z46" s="233" t="str">
        <f>VLOOKUP(Table3[[#This Row],[Country Code]],Table29[],7,FALSE)</f>
        <v>no</v>
      </c>
      <c r="AA46" s="233" t="str">
        <f>VLOOKUP(Table3[[#This Row],[Country Code]],Table29[],8,FALSE)</f>
        <v>non-OECD</v>
      </c>
      <c r="AB46" s="233" t="str">
        <f>VLOOKUP(Table3[[#This Row],[Country Code]],Table29[],9,FALSE)</f>
        <v>no</v>
      </c>
      <c r="AC46" s="233" t="str">
        <f>VLOOKUP(Table3[[#This Row],[Country Code]],Table29[],10,FALSE)</f>
        <v>no</v>
      </c>
      <c r="AD46" s="235">
        <f>VLOOKUP(Table3[[#This Row],[Country Code]],Table29[],23,FALSE)</f>
        <v>10.836336950669001</v>
      </c>
      <c r="AE46" s="235">
        <f>VLOOKUP(Table3[[#This Row],[Country Code]],Table29[],24,FALSE)</f>
        <v>2.5418316945039221</v>
      </c>
      <c r="AF46" s="43"/>
    </row>
    <row r="47" spans="1:32" x14ac:dyDescent="0.25">
      <c r="A47" s="360">
        <v>20338</v>
      </c>
      <c r="B47" s="233" t="str">
        <f>VLOOKUP(Table3[[#This Row],[Document ID]],Table1[],2,FALSE)</f>
        <v>ARM</v>
      </c>
      <c r="C47" s="233" t="str">
        <f>VLOOKUP(Table3[[#This Row],[Document ID]],Table1[],3,FALSE)</f>
        <v>Armenia</v>
      </c>
      <c r="D47" s="233" t="str">
        <f>VLOOKUP(Table3[[#This Row],[Document ID]],Table1[],5,FALSE)</f>
        <v>NDC</v>
      </c>
      <c r="E47" s="233" t="str">
        <f>VLOOKUP(Table3[[#This Row],[Document ID]],Table1[],7,FALSE)</f>
        <v>First NDC updated</v>
      </c>
      <c r="F47" s="233" t="str">
        <f>VLOOKUP(Table3[[#This Row],[Document ID]],Table1[],8,FALSE)</f>
        <v>NDC 1.1</v>
      </c>
      <c r="G47" s="233" t="str">
        <f>VLOOKUP(Table3[[#This Row],[Document ID]],Table1[],10,FALSE)</f>
        <v>Active</v>
      </c>
      <c r="H47" s="43" t="s">
        <v>1114</v>
      </c>
      <c r="I47" s="43" t="s">
        <v>1115</v>
      </c>
      <c r="J47" s="42" t="s">
        <v>1097</v>
      </c>
      <c r="K47" s="28" t="s">
        <v>1118</v>
      </c>
      <c r="L47" s="43" t="s">
        <v>1116</v>
      </c>
      <c r="M47" s="209">
        <v>2030</v>
      </c>
      <c r="N47" s="27" t="s">
        <v>1155</v>
      </c>
      <c r="O47" s="221">
        <v>3</v>
      </c>
      <c r="P47" s="238" t="str">
        <f>VLOOKUP(_xlfn.CONCAT(Table3[[#This Row],[Target area]],Table3[[#This Row],[GHG target?]],Table3[[#This Row],[Conditionality]]),'Drop down'!$E$81:$F$101,2,FALSE)</f>
        <v>T_Energy_O</v>
      </c>
      <c r="Q47" s="239" t="str">
        <f>VLOOKUP(Table3[[#This Row],[Target type]],Table418[[Value name]:[Value idenifyer]],2,FALSE)</f>
        <v>T_E_REN</v>
      </c>
      <c r="V47" s="233" t="str">
        <f>VLOOKUP(Table3[[#This Row],[Country Code]],Table29[],3,FALSE)</f>
        <v>Non-Annex I</v>
      </c>
      <c r="W47" s="233" t="str">
        <f>VLOOKUP(Table3[[#This Row],[Country Code]],Table29[],4,FALSE)</f>
        <v>Asia</v>
      </c>
      <c r="X47" s="233" t="str">
        <f>VLOOKUP(Table3[[#This Row],[Country Code]],Table29[],5,FALSE)</f>
        <v>Middle-income</v>
      </c>
      <c r="Y47" s="233" t="str">
        <f>VLOOKUP(Table3[[#This Row],[Country Code]],Table29[],6,FALSE)</f>
        <v>no</v>
      </c>
      <c r="Z47" s="233" t="str">
        <f>VLOOKUP(Table3[[#This Row],[Country Code]],Table29[],7,FALSE)</f>
        <v>no</v>
      </c>
      <c r="AA47" s="233" t="str">
        <f>VLOOKUP(Table3[[#This Row],[Country Code]],Table29[],8,FALSE)</f>
        <v>non-OECD</v>
      </c>
      <c r="AB47" s="233" t="str">
        <f>VLOOKUP(Table3[[#This Row],[Country Code]],Table29[],9,FALSE)</f>
        <v>no</v>
      </c>
      <c r="AC47" s="233" t="str">
        <f>VLOOKUP(Table3[[#This Row],[Country Code]],Table29[],10,FALSE)</f>
        <v>no</v>
      </c>
      <c r="AD47" s="235">
        <f>VLOOKUP(Table3[[#This Row],[Country Code]],Table29[],23,FALSE)</f>
        <v>10.836336950669001</v>
      </c>
      <c r="AE47" s="235">
        <f>VLOOKUP(Table3[[#This Row],[Country Code]],Table29[],24,FALSE)</f>
        <v>2.5418316945039221</v>
      </c>
      <c r="AF47" s="43"/>
    </row>
    <row r="48" spans="1:32" x14ac:dyDescent="0.25">
      <c r="A48" s="360">
        <v>17516</v>
      </c>
      <c r="B48" s="233" t="str">
        <f>VLOOKUP(Table3[[#This Row],[Document ID]],Table1[],2,FALSE)</f>
        <v>ARM</v>
      </c>
      <c r="C48" s="233" t="str">
        <f>VLOOKUP(Table3[[#This Row],[Document ID]],Table1[],3,FALSE)</f>
        <v>Armenia</v>
      </c>
      <c r="D48" s="233" t="str">
        <f>VLOOKUP(Table3[[#This Row],[Document ID]],Table1[],5,FALSE)</f>
        <v>NDC</v>
      </c>
      <c r="E48" s="233" t="str">
        <f>VLOOKUP(Table3[[#This Row],[Document ID]],Table1[],7,FALSE)</f>
        <v>First NDC</v>
      </c>
      <c r="F48" s="233" t="str">
        <f>VLOOKUP(Table3[[#This Row],[Document ID]],Table1[],8,FALSE)</f>
        <v>NDC 1.0</v>
      </c>
      <c r="G48" s="233" t="str">
        <f>VLOOKUP(Table3[[#This Row],[Document ID]],Table1[],10,FALSE)</f>
        <v>Archived</v>
      </c>
      <c r="H48" s="216" t="s">
        <v>1089</v>
      </c>
      <c r="I48" s="216" t="s">
        <v>1089</v>
      </c>
      <c r="J48" s="43" t="s">
        <v>1090</v>
      </c>
      <c r="K48" s="28" t="s">
        <v>1121</v>
      </c>
      <c r="L48" s="42" t="s">
        <v>1099</v>
      </c>
      <c r="M48" s="209">
        <v>2050</v>
      </c>
      <c r="N48" s="176" t="s">
        <v>1156</v>
      </c>
      <c r="O48" s="258" t="s">
        <v>1094</v>
      </c>
      <c r="P48" s="238" t="str">
        <f>VLOOKUP(_xlfn.CONCAT(Table3[[#This Row],[Target area]],Table3[[#This Row],[GHG target?]],Table3[[#This Row],[Conditionality]]),'Drop down'!$E$81:$F$101,2,FALSE)</f>
        <v>T_Economy_Unc</v>
      </c>
      <c r="Q48" s="239" t="str">
        <f>VLOOKUP(Table3[[#This Row],[Target type]],Table418[[Value name]:[Value idenifyer]],2,FALSE)</f>
        <v>T_FL</v>
      </c>
      <c r="V48" s="233" t="str">
        <f>VLOOKUP(Table3[[#This Row],[Country Code]],Table29[],3,FALSE)</f>
        <v>Non-Annex I</v>
      </c>
      <c r="W48" s="233" t="str">
        <f>VLOOKUP(Table3[[#This Row],[Country Code]],Table29[],4,FALSE)</f>
        <v>Asia</v>
      </c>
      <c r="X48" s="233" t="str">
        <f>VLOOKUP(Table3[[#This Row],[Country Code]],Table29[],5,FALSE)</f>
        <v>Middle-income</v>
      </c>
      <c r="Y48" s="233" t="str">
        <f>VLOOKUP(Table3[[#This Row],[Country Code]],Table29[],6,FALSE)</f>
        <v>no</v>
      </c>
      <c r="Z48" s="233" t="str">
        <f>VLOOKUP(Table3[[#This Row],[Country Code]],Table29[],7,FALSE)</f>
        <v>no</v>
      </c>
      <c r="AA48" s="233" t="str">
        <f>VLOOKUP(Table3[[#This Row],[Country Code]],Table29[],8,FALSE)</f>
        <v>non-OECD</v>
      </c>
      <c r="AB48" s="233" t="str">
        <f>VLOOKUP(Table3[[#This Row],[Country Code]],Table29[],9,FALSE)</f>
        <v>no</v>
      </c>
      <c r="AC48" s="233" t="str">
        <f>VLOOKUP(Table3[[#This Row],[Country Code]],Table29[],10,FALSE)</f>
        <v>no</v>
      </c>
      <c r="AD48" s="235">
        <f>VLOOKUP(Table3[[#This Row],[Country Code]],Table29[],23,FALSE)</f>
        <v>10.836336950669001</v>
      </c>
      <c r="AE48" s="235">
        <f>VLOOKUP(Table3[[#This Row],[Country Code]],Table29[],24,FALSE)</f>
        <v>2.5418316945039221</v>
      </c>
      <c r="AF48" s="43"/>
    </row>
    <row r="49" spans="1:32" ht="30" x14ac:dyDescent="0.25">
      <c r="A49" s="360">
        <v>17518</v>
      </c>
      <c r="B49" s="233" t="str">
        <f>VLOOKUP(Table3[[#This Row],[Document ID]],Table1[],2,FALSE)</f>
        <v>AUS</v>
      </c>
      <c r="C49" s="233" t="str">
        <f>VLOOKUP(Table3[[#This Row],[Document ID]],Table1[],3,FALSE)</f>
        <v>Australia</v>
      </c>
      <c r="D49" s="233" t="str">
        <f>VLOOKUP(Table3[[#This Row],[Document ID]],Table1[],5,FALSE)</f>
        <v>NDC</v>
      </c>
      <c r="E49" s="233" t="str">
        <f>VLOOKUP(Table3[[#This Row],[Document ID]],Table1[],7,FALSE)</f>
        <v>First NDC updated</v>
      </c>
      <c r="F49" s="233" t="str">
        <f>VLOOKUP(Table3[[#This Row],[Document ID]],Table1[],8,FALSE)</f>
        <v>NDC 1.1</v>
      </c>
      <c r="G49" s="233" t="str">
        <f>VLOOKUP(Table3[[#This Row],[Document ID]],Table1[],10,FALSE)</f>
        <v>Archived</v>
      </c>
      <c r="H49" s="216" t="s">
        <v>1089</v>
      </c>
      <c r="I49" s="216" t="s">
        <v>1089</v>
      </c>
      <c r="J49" s="43" t="s">
        <v>1090</v>
      </c>
      <c r="K49" s="28" t="s">
        <v>1153</v>
      </c>
      <c r="L49" s="42" t="s">
        <v>1099</v>
      </c>
      <c r="M49" s="209">
        <v>2030</v>
      </c>
      <c r="N49" s="44" t="s">
        <v>1157</v>
      </c>
      <c r="O49" s="221">
        <v>2</v>
      </c>
      <c r="P49" s="238" t="str">
        <f>VLOOKUP(_xlfn.CONCAT(Table3[[#This Row],[Target area]],Table3[[#This Row],[GHG target?]],Table3[[#This Row],[Conditionality]]),'Drop down'!$E$81:$F$101,2,FALSE)</f>
        <v>T_Economy_Unc</v>
      </c>
      <c r="Q49" s="239" t="str">
        <f>VLOOKUP(Table3[[#This Row],[Target type]],Table418[[Value name]:[Value idenifyer]],2,FALSE)</f>
        <v>T_BYE</v>
      </c>
      <c r="T49" s="234" t="s">
        <v>1113</v>
      </c>
      <c r="V49" s="233" t="str">
        <f>VLOOKUP(Table3[[#This Row],[Country Code]],Table29[],3,FALSE)</f>
        <v>Annex I</v>
      </c>
      <c r="W49" s="233" t="str">
        <f>VLOOKUP(Table3[[#This Row],[Country Code]],Table29[],4,FALSE)</f>
        <v>Oceania</v>
      </c>
      <c r="X49" s="233" t="str">
        <f>VLOOKUP(Table3[[#This Row],[Country Code]],Table29[],5,FALSE)</f>
        <v>High-income</v>
      </c>
      <c r="Y49" s="233" t="str">
        <f>VLOOKUP(Table3[[#This Row],[Country Code]],Table29[],6,FALSE)</f>
        <v>G20</v>
      </c>
      <c r="Z49" s="233" t="str">
        <f>VLOOKUP(Table3[[#This Row],[Country Code]],Table29[],7,FALSE)</f>
        <v>no</v>
      </c>
      <c r="AA49" s="233" t="str">
        <f>VLOOKUP(Table3[[#This Row],[Country Code]],Table29[],8,FALSE)</f>
        <v>OECD</v>
      </c>
      <c r="AB49" s="233" t="str">
        <f>VLOOKUP(Table3[[#This Row],[Country Code]],Table29[],9,FALSE)</f>
        <v>no</v>
      </c>
      <c r="AC49" s="233" t="str">
        <f>VLOOKUP(Table3[[#This Row],[Country Code]],Table29[],10,FALSE)</f>
        <v>no</v>
      </c>
      <c r="AD49" s="235">
        <f>VLOOKUP(Table3[[#This Row],[Country Code]],Table29[],23,FALSE)</f>
        <v>571.83984854670996</v>
      </c>
      <c r="AE49" s="235">
        <f>VLOOKUP(Table3[[#This Row],[Country Code]],Table29[],24,FALSE)</f>
        <v>97.492958559878787</v>
      </c>
      <c r="AF49" s="43"/>
    </row>
    <row r="50" spans="1:32" ht="30" x14ac:dyDescent="0.25">
      <c r="A50" s="360">
        <v>29228</v>
      </c>
      <c r="B50" s="233" t="str">
        <f>VLOOKUP(Table3[[#This Row],[Document ID]],Table1[],2,FALSE)</f>
        <v>AUS</v>
      </c>
      <c r="C50" s="233" t="str">
        <f>VLOOKUP(Table3[[#This Row],[Document ID]],Table1[],3,FALSE)</f>
        <v>Australia</v>
      </c>
      <c r="D50" s="233" t="str">
        <f>VLOOKUP(Table3[[#This Row],[Document ID]],Table1[],5,FALSE)</f>
        <v>NDC</v>
      </c>
      <c r="E50" s="233" t="str">
        <f>VLOOKUP(Table3[[#This Row],[Document ID]],Table1[],7,FALSE)</f>
        <v>First NDC updated</v>
      </c>
      <c r="F50" s="233" t="str">
        <f>VLOOKUP(Table3[[#This Row],[Document ID]],Table1[],8,FALSE)</f>
        <v>NDC 1.3</v>
      </c>
      <c r="G50" s="233" t="str">
        <f>VLOOKUP(Table3[[#This Row],[Document ID]],Table1[],10,FALSE)</f>
        <v>Active</v>
      </c>
      <c r="H50" s="216" t="s">
        <v>1089</v>
      </c>
      <c r="I50" s="216" t="s">
        <v>1089</v>
      </c>
      <c r="J50" s="43" t="s">
        <v>1090</v>
      </c>
      <c r="K50" s="28" t="s">
        <v>1121</v>
      </c>
      <c r="L50" s="42" t="s">
        <v>1099</v>
      </c>
      <c r="M50" s="209">
        <v>2050</v>
      </c>
      <c r="N50" s="2" t="s">
        <v>1158</v>
      </c>
      <c r="O50" s="257">
        <v>3</v>
      </c>
      <c r="P50" s="238" t="str">
        <f>VLOOKUP(_xlfn.CONCAT(Table3[[#This Row],[Target area]],Table3[[#This Row],[GHG target?]],Table3[[#This Row],[Conditionality]]),'Drop down'!$E$81:$F$101,2,FALSE)</f>
        <v>T_Economy_Unc</v>
      </c>
      <c r="Q50" s="239" t="str">
        <f>VLOOKUP(Table3[[#This Row],[Target type]],Table418[[Value name]:[Value idenifyer]],2,FALSE)</f>
        <v>T_FL</v>
      </c>
      <c r="T50" s="234" t="s">
        <v>1113</v>
      </c>
      <c r="U50" s="240"/>
      <c r="V50" s="233" t="str">
        <f>VLOOKUP(Table3[[#This Row],[Country Code]],Table29[],3,FALSE)</f>
        <v>Annex I</v>
      </c>
      <c r="W50" s="233" t="str">
        <f>VLOOKUP(Table3[[#This Row],[Country Code]],Table29[],4,FALSE)</f>
        <v>Oceania</v>
      </c>
      <c r="X50" s="233" t="str">
        <f>VLOOKUP(Table3[[#This Row],[Country Code]],Table29[],5,FALSE)</f>
        <v>High-income</v>
      </c>
      <c r="Y50" s="233" t="str">
        <f>VLOOKUP(Table3[[#This Row],[Country Code]],Table29[],6,FALSE)</f>
        <v>G20</v>
      </c>
      <c r="Z50" s="233" t="str">
        <f>VLOOKUP(Table3[[#This Row],[Country Code]],Table29[],7,FALSE)</f>
        <v>no</v>
      </c>
      <c r="AA50" s="233" t="str">
        <f>VLOOKUP(Table3[[#This Row],[Country Code]],Table29[],8,FALSE)</f>
        <v>OECD</v>
      </c>
      <c r="AB50" s="233" t="str">
        <f>VLOOKUP(Table3[[#This Row],[Country Code]],Table29[],9,FALSE)</f>
        <v>no</v>
      </c>
      <c r="AC50" s="233" t="str">
        <f>VLOOKUP(Table3[[#This Row],[Country Code]],Table29[],10,FALSE)</f>
        <v>no</v>
      </c>
      <c r="AD50" s="235">
        <f>VLOOKUP(Table3[[#This Row],[Country Code]],Table29[],23,FALSE)</f>
        <v>571.83984854670996</v>
      </c>
      <c r="AE50" s="235">
        <f>VLOOKUP(Table3[[#This Row],[Country Code]],Table29[],24,FALSE)</f>
        <v>97.492958559878787</v>
      </c>
      <c r="AF50" s="43"/>
    </row>
    <row r="51" spans="1:32" ht="30" x14ac:dyDescent="0.25">
      <c r="A51" s="360">
        <v>29228</v>
      </c>
      <c r="B51" s="233" t="str">
        <f>VLOOKUP(Table3[[#This Row],[Document ID]],Table1[],2,FALSE)</f>
        <v>AUS</v>
      </c>
      <c r="C51" s="233" t="str">
        <f>VLOOKUP(Table3[[#This Row],[Document ID]],Table1[],3,FALSE)</f>
        <v>Australia</v>
      </c>
      <c r="D51" s="233" t="str">
        <f>VLOOKUP(Table3[[#This Row],[Document ID]],Table1[],5,FALSE)</f>
        <v>NDC</v>
      </c>
      <c r="E51" s="233" t="str">
        <f>VLOOKUP(Table3[[#This Row],[Document ID]],Table1[],7,FALSE)</f>
        <v>First NDC updated</v>
      </c>
      <c r="F51" s="233" t="str">
        <f>VLOOKUP(Table3[[#This Row],[Document ID]],Table1[],8,FALSE)</f>
        <v>NDC 1.3</v>
      </c>
      <c r="G51" s="233" t="str">
        <f>VLOOKUP(Table3[[#This Row],[Document ID]],Table1[],10,FALSE)</f>
        <v>Active</v>
      </c>
      <c r="H51" s="216" t="s">
        <v>1089</v>
      </c>
      <c r="I51" s="216" t="s">
        <v>1089</v>
      </c>
      <c r="J51" s="43" t="s">
        <v>1090</v>
      </c>
      <c r="K51" s="28" t="s">
        <v>1153</v>
      </c>
      <c r="L51" s="42" t="s">
        <v>1099</v>
      </c>
      <c r="M51" s="209">
        <v>2030</v>
      </c>
      <c r="N51" s="209" t="s">
        <v>1159</v>
      </c>
      <c r="O51" s="257">
        <v>3</v>
      </c>
      <c r="P51" s="238" t="str">
        <f>VLOOKUP(_xlfn.CONCAT(Table3[[#This Row],[Target area]],Table3[[#This Row],[GHG target?]],Table3[[#This Row],[Conditionality]]),'Drop down'!$E$81:$F$101,2,FALSE)</f>
        <v>T_Economy_Unc</v>
      </c>
      <c r="Q51" s="239" t="str">
        <f>VLOOKUP(Table3[[#This Row],[Target type]],Table418[[Value name]:[Value idenifyer]],2,FALSE)</f>
        <v>T_BYE</v>
      </c>
      <c r="T51" s="234" t="s">
        <v>1113</v>
      </c>
      <c r="U51" s="240"/>
      <c r="V51" s="233" t="str">
        <f>VLOOKUP(Table3[[#This Row],[Country Code]],Table29[],3,FALSE)</f>
        <v>Annex I</v>
      </c>
      <c r="W51" s="233" t="str">
        <f>VLOOKUP(Table3[[#This Row],[Country Code]],Table29[],4,FALSE)</f>
        <v>Oceania</v>
      </c>
      <c r="X51" s="233" t="str">
        <f>VLOOKUP(Table3[[#This Row],[Country Code]],Table29[],5,FALSE)</f>
        <v>High-income</v>
      </c>
      <c r="Y51" s="233" t="str">
        <f>VLOOKUP(Table3[[#This Row],[Country Code]],Table29[],6,FALSE)</f>
        <v>G20</v>
      </c>
      <c r="Z51" s="233" t="str">
        <f>VLOOKUP(Table3[[#This Row],[Country Code]],Table29[],7,FALSE)</f>
        <v>no</v>
      </c>
      <c r="AA51" s="233" t="str">
        <f>VLOOKUP(Table3[[#This Row],[Country Code]],Table29[],8,FALSE)</f>
        <v>OECD</v>
      </c>
      <c r="AB51" s="233" t="str">
        <f>VLOOKUP(Table3[[#This Row],[Country Code]],Table29[],9,FALSE)</f>
        <v>no</v>
      </c>
      <c r="AC51" s="233" t="str">
        <f>VLOOKUP(Table3[[#This Row],[Country Code]],Table29[],10,FALSE)</f>
        <v>no</v>
      </c>
      <c r="AD51" s="235">
        <f>VLOOKUP(Table3[[#This Row],[Country Code]],Table29[],23,FALSE)</f>
        <v>571.83984854670996</v>
      </c>
      <c r="AE51" s="235">
        <f>VLOOKUP(Table3[[#This Row],[Country Code]],Table29[],24,FALSE)</f>
        <v>97.492958559878787</v>
      </c>
      <c r="AF51" s="43"/>
    </row>
    <row r="52" spans="1:32" x14ac:dyDescent="0.25">
      <c r="A52" s="360">
        <v>29228</v>
      </c>
      <c r="B52" s="233" t="str">
        <f>VLOOKUP(Table3[[#This Row],[Document ID]],Table1[],2,FALSE)</f>
        <v>AUS</v>
      </c>
      <c r="C52" s="233" t="str">
        <f>VLOOKUP(Table3[[#This Row],[Document ID]],Table1[],3,FALSE)</f>
        <v>Australia</v>
      </c>
      <c r="D52" s="233" t="str">
        <f>VLOOKUP(Table3[[#This Row],[Document ID]],Table1[],5,FALSE)</f>
        <v>NDC</v>
      </c>
      <c r="E52" s="233" t="str">
        <f>VLOOKUP(Table3[[#This Row],[Document ID]],Table1[],7,FALSE)</f>
        <v>First NDC updated</v>
      </c>
      <c r="F52" s="233" t="str">
        <f>VLOOKUP(Table3[[#This Row],[Document ID]],Table1[],8,FALSE)</f>
        <v>NDC 1.3</v>
      </c>
      <c r="G52" s="233" t="str">
        <f>VLOOKUP(Table3[[#This Row],[Document ID]],Table1[],10,FALSE)</f>
        <v>Active</v>
      </c>
      <c r="H52" s="216" t="s">
        <v>1089</v>
      </c>
      <c r="I52" s="216" t="s">
        <v>1089</v>
      </c>
      <c r="J52" s="43" t="s">
        <v>1090</v>
      </c>
      <c r="K52" s="28" t="s">
        <v>1153</v>
      </c>
      <c r="L52" s="42" t="s">
        <v>1099</v>
      </c>
      <c r="M52" s="209">
        <v>2030</v>
      </c>
      <c r="N52" s="42" t="s">
        <v>1160</v>
      </c>
      <c r="O52" s="257">
        <v>9</v>
      </c>
      <c r="P52" s="238" t="str">
        <f>VLOOKUP(_xlfn.CONCAT(Table3[[#This Row],[Target area]],Table3[[#This Row],[GHG target?]],Table3[[#This Row],[Conditionality]]),'Drop down'!$E$81:$F$101,2,FALSE)</f>
        <v>T_Economy_Unc</v>
      </c>
      <c r="Q52" s="239" t="str">
        <f>VLOOKUP(Table3[[#This Row],[Target type]],Table418[[Value name]:[Value idenifyer]],2,FALSE)</f>
        <v>T_BYE</v>
      </c>
      <c r="T52" s="234" t="s">
        <v>1113</v>
      </c>
      <c r="U52" s="240"/>
      <c r="V52" s="233" t="str">
        <f>VLOOKUP(Table3[[#This Row],[Country Code]],Table29[],3,FALSE)</f>
        <v>Annex I</v>
      </c>
      <c r="W52" s="233" t="str">
        <f>VLOOKUP(Table3[[#This Row],[Country Code]],Table29[],4,FALSE)</f>
        <v>Oceania</v>
      </c>
      <c r="X52" s="233" t="str">
        <f>VLOOKUP(Table3[[#This Row],[Country Code]],Table29[],5,FALSE)</f>
        <v>High-income</v>
      </c>
      <c r="Y52" s="233" t="str">
        <f>VLOOKUP(Table3[[#This Row],[Country Code]],Table29[],6,FALSE)</f>
        <v>G20</v>
      </c>
      <c r="Z52" s="233" t="str">
        <f>VLOOKUP(Table3[[#This Row],[Country Code]],Table29[],7,FALSE)</f>
        <v>no</v>
      </c>
      <c r="AA52" s="233" t="str">
        <f>VLOOKUP(Table3[[#This Row],[Country Code]],Table29[],8,FALSE)</f>
        <v>OECD</v>
      </c>
      <c r="AB52" s="233" t="str">
        <f>VLOOKUP(Table3[[#This Row],[Country Code]],Table29[],9,FALSE)</f>
        <v>no</v>
      </c>
      <c r="AC52" s="233" t="str">
        <f>VLOOKUP(Table3[[#This Row],[Country Code]],Table29[],10,FALSE)</f>
        <v>no</v>
      </c>
      <c r="AD52" s="235">
        <f>VLOOKUP(Table3[[#This Row],[Country Code]],Table29[],23,FALSE)</f>
        <v>571.83984854670996</v>
      </c>
      <c r="AE52" s="235">
        <f>VLOOKUP(Table3[[#This Row],[Country Code]],Table29[],24,FALSE)</f>
        <v>97.492958559878787</v>
      </c>
      <c r="AF52" s="43"/>
    </row>
    <row r="53" spans="1:32" ht="45" x14ac:dyDescent="0.25">
      <c r="A53" s="360">
        <v>24678</v>
      </c>
      <c r="B53" s="233" t="str">
        <f>VLOOKUP(Table3[[#This Row],[Document ID]],Table1[],2,FALSE)</f>
        <v>AUT</v>
      </c>
      <c r="C53" s="233" t="str">
        <f>VLOOKUP(Table3[[#This Row],[Document ID]],Table1[],3,FALSE)</f>
        <v>Austria</v>
      </c>
      <c r="D53" s="233" t="str">
        <f>VLOOKUP(Table3[[#This Row],[Document ID]],Table1[],5,FALSE)</f>
        <v>LTS</v>
      </c>
      <c r="E53" s="233" t="str">
        <f>VLOOKUP(Table3[[#This Row],[Document ID]],Table1[],7,FALSE)</f>
        <v>LTS</v>
      </c>
      <c r="F53" s="233" t="str">
        <f>VLOOKUP(Table3[[#This Row],[Document ID]],Table1[],8,FALSE)</f>
        <v>LTS 1.0</v>
      </c>
      <c r="G53" s="233" t="str">
        <f>VLOOKUP(Table3[[#This Row],[Document ID]],Table1[],10,FALSE)</f>
        <v>Active</v>
      </c>
      <c r="H53" s="216" t="s">
        <v>1089</v>
      </c>
      <c r="I53" s="216" t="s">
        <v>1089</v>
      </c>
      <c r="J53" s="43" t="s">
        <v>1090</v>
      </c>
      <c r="K53" s="28" t="s">
        <v>1121</v>
      </c>
      <c r="L53" s="42" t="s">
        <v>1099</v>
      </c>
      <c r="M53" s="209">
        <v>2050</v>
      </c>
      <c r="N53" s="209" t="s">
        <v>1161</v>
      </c>
      <c r="O53" s="257">
        <v>15</v>
      </c>
      <c r="P53" s="238" t="str">
        <f>VLOOKUP(_xlfn.CONCAT(Table3[[#This Row],[Target area]],Table3[[#This Row],[GHG target?]],Table3[[#This Row],[Conditionality]]),'Drop down'!$E$81:$F$101,2,FALSE)</f>
        <v>T_Economy_Unc</v>
      </c>
      <c r="Q53" s="239" t="str">
        <f>VLOOKUP(Table3[[#This Row],[Target type]],Table418[[Value name]:[Value idenifyer]],2,FALSE)</f>
        <v>T_FL</v>
      </c>
      <c r="S53" s="233" t="s">
        <v>1112</v>
      </c>
      <c r="T53" s="234" t="s">
        <v>1113</v>
      </c>
      <c r="U53" s="240"/>
      <c r="V53" s="233" t="str">
        <f>VLOOKUP(Table3[[#This Row],[Country Code]],Table29[],3,FALSE)</f>
        <v>Annex I</v>
      </c>
      <c r="W53" s="233" t="str">
        <f>VLOOKUP(Table3[[#This Row],[Country Code]],Table29[],4,FALSE)</f>
        <v>Europe</v>
      </c>
      <c r="X53" s="233" t="str">
        <f>VLOOKUP(Table3[[#This Row],[Country Code]],Table29[],5,FALSE)</f>
        <v>High-income</v>
      </c>
      <c r="Y53" s="233" t="str">
        <f>VLOOKUP(Table3[[#This Row],[Country Code]],Table29[],6,FALSE)</f>
        <v>no</v>
      </c>
      <c r="Z53" s="233" t="str">
        <f>VLOOKUP(Table3[[#This Row],[Country Code]],Table29[],7,FALSE)</f>
        <v>no</v>
      </c>
      <c r="AA53" s="233" t="str">
        <f>VLOOKUP(Table3[[#This Row],[Country Code]],Table29[],8,FALSE)</f>
        <v>OECD</v>
      </c>
      <c r="AB53" s="233" t="str">
        <f>VLOOKUP(Table3[[#This Row],[Country Code]],Table29[],9,FALSE)</f>
        <v>EU27</v>
      </c>
      <c r="AC53" s="233" t="str">
        <f>VLOOKUP(Table3[[#This Row],[Country Code]],Table29[],10,FALSE)</f>
        <v>no</v>
      </c>
      <c r="AD53" s="235">
        <f>VLOOKUP(Table3[[#This Row],[Country Code]],Table29[],23,FALSE)</f>
        <v>72.921492529811999</v>
      </c>
      <c r="AE53" s="235">
        <f>VLOOKUP(Table3[[#This Row],[Country Code]],Table29[],24,FALSE)</f>
        <v>21.372731064834241</v>
      </c>
      <c r="AF53" s="43"/>
    </row>
    <row r="54" spans="1:32" ht="30" x14ac:dyDescent="0.25">
      <c r="A54" s="368">
        <v>39455</v>
      </c>
      <c r="B54" s="233" t="str">
        <f>VLOOKUP(Table3[[#This Row],[Document ID]],Table1[],2,FALSE)</f>
        <v>ARE</v>
      </c>
      <c r="C54" s="233" t="str">
        <f>VLOOKUP(Table3[[#This Row],[Document ID]],Table1[],3,FALSE)</f>
        <v>United Arab Emirates</v>
      </c>
      <c r="D54" s="233" t="str">
        <f>VLOOKUP(Table3[[#This Row],[Document ID]],Table1[],5,FALSE)</f>
        <v>NDC</v>
      </c>
      <c r="E54" s="233" t="str">
        <f>VLOOKUP(Table3[[#This Row],[Document ID]],Table1[],7,FALSE)</f>
        <v>Second NDC updated</v>
      </c>
      <c r="F54" s="241" t="str">
        <f>VLOOKUP(Table3[[#This Row],[Document ID]],Table1[],8,FALSE)</f>
        <v>NDC 2.2</v>
      </c>
      <c r="G54" s="233" t="str">
        <f>VLOOKUP(Table3[[#This Row],[Document ID]],Table1[],10,FALSE)</f>
        <v>Archived</v>
      </c>
      <c r="H54" s="42" t="s">
        <v>1095</v>
      </c>
      <c r="I54" s="42" t="s">
        <v>1096</v>
      </c>
      <c r="J54" s="42" t="s">
        <v>1097</v>
      </c>
      <c r="K54" s="28" t="s">
        <v>1162</v>
      </c>
      <c r="L54" s="42" t="s">
        <v>1099</v>
      </c>
      <c r="M54" s="209">
        <v>2030</v>
      </c>
      <c r="N54" s="209" t="s">
        <v>1163</v>
      </c>
      <c r="O54" s="258">
        <v>27</v>
      </c>
      <c r="P54" s="238" t="str">
        <f>VLOOKUP(_xlfn.CONCAT(Table3[[#This Row],[Target area]],Table3[[#This Row],[GHG target?]],Table3[[#This Row],[Conditionality]]),'Drop down'!$E$81:$F$101,2,FALSE)</f>
        <v>T_Transport_O_Unc</v>
      </c>
      <c r="Q54" s="239" t="str">
        <f>VLOOKUP(Table3[[#This Row],[Target type]],Table418[[Value name]:[Value idenifyer]],2,FALSE)</f>
        <v>T_O_INFRA</v>
      </c>
      <c r="S54" s="233" t="s">
        <v>1125</v>
      </c>
      <c r="T54" s="234" t="s">
        <v>1113</v>
      </c>
      <c r="V54" s="233" t="str">
        <f>VLOOKUP(Table3[[#This Row],[Country Code]],Table29[],3,FALSE)</f>
        <v>Non-Annex I</v>
      </c>
      <c r="W54" s="233" t="str">
        <f>VLOOKUP(Table3[[#This Row],[Country Code]],Table29[],4,FALSE)</f>
        <v>Asia</v>
      </c>
      <c r="X54" s="233" t="str">
        <f>VLOOKUP(Table3[[#This Row],[Country Code]],Table29[],5,FALSE)</f>
        <v>High-income</v>
      </c>
      <c r="Y54" s="233" t="str">
        <f>VLOOKUP(Table3[[#This Row],[Country Code]],Table29[],6,FALSE)</f>
        <v>no</v>
      </c>
      <c r="Z54" s="233" t="str">
        <f>VLOOKUP(Table3[[#This Row],[Country Code]],Table29[],7,FALSE)</f>
        <v>no</v>
      </c>
      <c r="AA54" s="233" t="str">
        <f>VLOOKUP(Table3[[#This Row],[Country Code]],Table29[],8,FALSE)</f>
        <v>non-OECD</v>
      </c>
      <c r="AB54" s="233" t="str">
        <f>VLOOKUP(Table3[[#This Row],[Country Code]],Table29[],9,FALSE)</f>
        <v>no</v>
      </c>
      <c r="AC54" s="233" t="str">
        <f>VLOOKUP(Table3[[#This Row],[Country Code]],Table29[],10,FALSE)</f>
        <v>MENA</v>
      </c>
      <c r="AD54" s="235">
        <f>VLOOKUP(Table3[[#This Row],[Country Code]],Table29[],23,FALSE)</f>
        <v>267.82319378585998</v>
      </c>
      <c r="AE54" s="235">
        <f>VLOOKUP(Table3[[#This Row],[Country Code]],Table29[],24,FALSE)</f>
        <v>43.860911308351241</v>
      </c>
      <c r="AF54" s="43"/>
    </row>
    <row r="55" spans="1:32" ht="30" x14ac:dyDescent="0.25">
      <c r="A55" s="360">
        <v>29228</v>
      </c>
      <c r="B55" s="233" t="str">
        <f>VLOOKUP(Table3[[#This Row],[Document ID]],Table1[],2,FALSE)</f>
        <v>AUS</v>
      </c>
      <c r="C55" s="233" t="str">
        <f>VLOOKUP(Table3[[#This Row],[Document ID]],Table1[],3,FALSE)</f>
        <v>Australia</v>
      </c>
      <c r="D55" s="233" t="str">
        <f>VLOOKUP(Table3[[#This Row],[Document ID]],Table1[],5,FALSE)</f>
        <v>NDC</v>
      </c>
      <c r="E55" s="233" t="str">
        <f>VLOOKUP(Table3[[#This Row],[Document ID]],Table1[],7,FALSE)</f>
        <v>First NDC updated</v>
      </c>
      <c r="F55" s="233" t="str">
        <f>VLOOKUP(Table3[[#This Row],[Document ID]],Table1[],8,FALSE)</f>
        <v>NDC 1.3</v>
      </c>
      <c r="G55" s="233" t="str">
        <f>VLOOKUP(Table3[[#This Row],[Document ID]],Table1[],10,FALSE)</f>
        <v>Active</v>
      </c>
      <c r="H55" s="216" t="s">
        <v>1089</v>
      </c>
      <c r="I55" s="216" t="s">
        <v>1089</v>
      </c>
      <c r="J55" s="43" t="s">
        <v>1090</v>
      </c>
      <c r="K55" s="28" t="s">
        <v>1153</v>
      </c>
      <c r="L55" s="42" t="s">
        <v>1099</v>
      </c>
      <c r="M55" s="209">
        <v>2030</v>
      </c>
      <c r="N55" s="44" t="s">
        <v>1164</v>
      </c>
      <c r="O55" s="258">
        <v>3</v>
      </c>
      <c r="P55" s="238" t="str">
        <f>VLOOKUP(_xlfn.CONCAT(Table3[[#This Row],[Target area]],Table3[[#This Row],[GHG target?]],Table3[[#This Row],[Conditionality]]),'Drop down'!$E$81:$F$101,2,FALSE)</f>
        <v>T_Economy_Unc</v>
      </c>
      <c r="Q55" s="239" t="str">
        <f>VLOOKUP(Table3[[#This Row],[Target type]],Table418[[Value name]:[Value idenifyer]],2,FALSE)</f>
        <v>T_BYE</v>
      </c>
      <c r="T55" s="234" t="s">
        <v>1113</v>
      </c>
      <c r="V55" s="233" t="str">
        <f>VLOOKUP(Table3[[#This Row],[Country Code]],Table29[],3,FALSE)</f>
        <v>Annex I</v>
      </c>
      <c r="W55" s="233" t="str">
        <f>VLOOKUP(Table3[[#This Row],[Country Code]],Table29[],4,FALSE)</f>
        <v>Oceania</v>
      </c>
      <c r="X55" s="233" t="str">
        <f>VLOOKUP(Table3[[#This Row],[Country Code]],Table29[],5,FALSE)</f>
        <v>High-income</v>
      </c>
      <c r="Y55" s="233" t="str">
        <f>VLOOKUP(Table3[[#This Row],[Country Code]],Table29[],6,FALSE)</f>
        <v>G20</v>
      </c>
      <c r="Z55" s="233" t="str">
        <f>VLOOKUP(Table3[[#This Row],[Country Code]],Table29[],7,FALSE)</f>
        <v>no</v>
      </c>
      <c r="AA55" s="233" t="str">
        <f>VLOOKUP(Table3[[#This Row],[Country Code]],Table29[],8,FALSE)</f>
        <v>OECD</v>
      </c>
      <c r="AB55" s="233" t="str">
        <f>VLOOKUP(Table3[[#This Row],[Country Code]],Table29[],9,FALSE)</f>
        <v>no</v>
      </c>
      <c r="AC55" s="233" t="str">
        <f>VLOOKUP(Table3[[#This Row],[Country Code]],Table29[],10,FALSE)</f>
        <v>no</v>
      </c>
      <c r="AD55" s="235">
        <f>VLOOKUP(Table3[[#This Row],[Country Code]],Table29[],23,FALSE)</f>
        <v>571.83984854670996</v>
      </c>
      <c r="AE55" s="235">
        <f>VLOOKUP(Table3[[#This Row],[Country Code]],Table29[],24,FALSE)</f>
        <v>97.492958559878787</v>
      </c>
      <c r="AF55" s="43"/>
    </row>
    <row r="56" spans="1:32" x14ac:dyDescent="0.25">
      <c r="A56" s="360">
        <v>17517</v>
      </c>
      <c r="B56" s="233" t="str">
        <f>VLOOKUP(Table3[[#This Row],[Document ID]],Table1[],2,FALSE)</f>
        <v>AUS</v>
      </c>
      <c r="C56" s="233" t="str">
        <f>VLOOKUP(Table3[[#This Row],[Document ID]],Table1[],3,FALSE)</f>
        <v>Australia</v>
      </c>
      <c r="D56" s="233" t="str">
        <f>VLOOKUP(Table3[[#This Row],[Document ID]],Table1[],5,FALSE)</f>
        <v>NDC</v>
      </c>
      <c r="E56" s="233" t="str">
        <f>VLOOKUP(Table3[[#This Row],[Document ID]],Table1[],7,FALSE)</f>
        <v>First NDC</v>
      </c>
      <c r="F56" s="233" t="str">
        <f>VLOOKUP(Table3[[#This Row],[Document ID]],Table1[],8,FALSE)</f>
        <v>NDC 1.0</v>
      </c>
      <c r="G56" s="233" t="str">
        <f>VLOOKUP(Table3[[#This Row],[Document ID]],Table1[],10,FALSE)</f>
        <v>Archived</v>
      </c>
      <c r="H56" s="216" t="s">
        <v>1089</v>
      </c>
      <c r="I56" s="216" t="s">
        <v>1089</v>
      </c>
      <c r="J56" s="43" t="s">
        <v>1090</v>
      </c>
      <c r="K56" s="28" t="s">
        <v>1153</v>
      </c>
      <c r="L56" s="42" t="s">
        <v>1099</v>
      </c>
      <c r="M56" s="209">
        <v>2030</v>
      </c>
      <c r="N56" s="176" t="s">
        <v>1165</v>
      </c>
      <c r="O56" s="258">
        <v>1</v>
      </c>
      <c r="P56" s="238" t="str">
        <f>VLOOKUP(_xlfn.CONCAT(Table3[[#This Row],[Target area]],Table3[[#This Row],[GHG target?]],Table3[[#This Row],[Conditionality]]),'Drop down'!$E$81:$F$101,2,FALSE)</f>
        <v>T_Economy_Unc</v>
      </c>
      <c r="Q56" s="239" t="str">
        <f>VLOOKUP(Table3[[#This Row],[Target type]],Table418[[Value name]:[Value idenifyer]],2,FALSE)</f>
        <v>T_BYE</v>
      </c>
      <c r="T56" s="234" t="s">
        <v>1113</v>
      </c>
      <c r="V56" s="233" t="str">
        <f>VLOOKUP(Table3[[#This Row],[Country Code]],Table29[],3,FALSE)</f>
        <v>Annex I</v>
      </c>
      <c r="W56" s="233" t="str">
        <f>VLOOKUP(Table3[[#This Row],[Country Code]],Table29[],4,FALSE)</f>
        <v>Oceania</v>
      </c>
      <c r="X56" s="233" t="str">
        <f>VLOOKUP(Table3[[#This Row],[Country Code]],Table29[],5,FALSE)</f>
        <v>High-income</v>
      </c>
      <c r="Y56" s="233" t="str">
        <f>VLOOKUP(Table3[[#This Row],[Country Code]],Table29[],6,FALSE)</f>
        <v>G20</v>
      </c>
      <c r="Z56" s="233" t="str">
        <f>VLOOKUP(Table3[[#This Row],[Country Code]],Table29[],7,FALSE)</f>
        <v>no</v>
      </c>
      <c r="AA56" s="233" t="str">
        <f>VLOOKUP(Table3[[#This Row],[Country Code]],Table29[],8,FALSE)</f>
        <v>OECD</v>
      </c>
      <c r="AB56" s="233" t="str">
        <f>VLOOKUP(Table3[[#This Row],[Country Code]],Table29[],9,FALSE)</f>
        <v>no</v>
      </c>
      <c r="AC56" s="233" t="str">
        <f>VLOOKUP(Table3[[#This Row],[Country Code]],Table29[],10,FALSE)</f>
        <v>no</v>
      </c>
      <c r="AD56" s="235">
        <f>VLOOKUP(Table3[[#This Row],[Country Code]],Table29[],23,FALSE)</f>
        <v>571.83984854670996</v>
      </c>
      <c r="AE56" s="235">
        <f>VLOOKUP(Table3[[#This Row],[Country Code]],Table29[],24,FALSE)</f>
        <v>97.492958559878787</v>
      </c>
      <c r="AF56" s="43"/>
    </row>
    <row r="57" spans="1:32" x14ac:dyDescent="0.25">
      <c r="A57" s="360">
        <v>24678</v>
      </c>
      <c r="B57" s="233" t="str">
        <f>VLOOKUP(Table3[[#This Row],[Document ID]],Table1[],2,FALSE)</f>
        <v>AUT</v>
      </c>
      <c r="C57" s="233" t="str">
        <f>VLOOKUP(Table3[[#This Row],[Document ID]],Table1[],3,FALSE)</f>
        <v>Austria</v>
      </c>
      <c r="D57" s="233" t="str">
        <f>VLOOKUP(Table3[[#This Row],[Document ID]],Table1[],5,FALSE)</f>
        <v>LTS</v>
      </c>
      <c r="E57" s="233" t="str">
        <f>VLOOKUP(Table3[[#This Row],[Document ID]],Table1[],7,FALSE)</f>
        <v>LTS</v>
      </c>
      <c r="F57" s="233" t="str">
        <f>VLOOKUP(Table3[[#This Row],[Document ID]],Table1[],8,FALSE)</f>
        <v>LTS 1.0</v>
      </c>
      <c r="G57" s="233" t="str">
        <f>VLOOKUP(Table3[[#This Row],[Document ID]],Table1[],10,FALSE)</f>
        <v>Active</v>
      </c>
      <c r="H57" s="216" t="s">
        <v>1089</v>
      </c>
      <c r="I57" s="216" t="s">
        <v>1089</v>
      </c>
      <c r="J57" s="43" t="s">
        <v>1090</v>
      </c>
      <c r="K57" s="28" t="s">
        <v>1121</v>
      </c>
      <c r="L57" s="42" t="s">
        <v>1099</v>
      </c>
      <c r="M57" s="209">
        <v>2050</v>
      </c>
      <c r="N57" s="44" t="s">
        <v>1166</v>
      </c>
      <c r="O57" s="221">
        <v>5</v>
      </c>
      <c r="P57" s="238" t="str">
        <f>VLOOKUP(_xlfn.CONCAT(Table3[[#This Row],[Target area]],Table3[[#This Row],[GHG target?]],Table3[[#This Row],[Conditionality]]),'Drop down'!$E$81:$F$101,2,FALSE)</f>
        <v>T_Economy_Unc</v>
      </c>
      <c r="Q57" s="239" t="str">
        <f>VLOOKUP(Table3[[#This Row],[Target type]],Table418[[Value name]:[Value idenifyer]],2,FALSE)</f>
        <v>T_FL</v>
      </c>
      <c r="S57" s="233" t="s">
        <v>1112</v>
      </c>
      <c r="T57" s="234" t="s">
        <v>1113</v>
      </c>
      <c r="V57" s="233" t="str">
        <f>VLOOKUP(Table3[[#This Row],[Country Code]],Table29[],3,FALSE)</f>
        <v>Annex I</v>
      </c>
      <c r="W57" s="233" t="str">
        <f>VLOOKUP(Table3[[#This Row],[Country Code]],Table29[],4,FALSE)</f>
        <v>Europe</v>
      </c>
      <c r="X57" s="233" t="str">
        <f>VLOOKUP(Table3[[#This Row],[Country Code]],Table29[],5,FALSE)</f>
        <v>High-income</v>
      </c>
      <c r="Y57" s="233" t="str">
        <f>VLOOKUP(Table3[[#This Row],[Country Code]],Table29[],6,FALSE)</f>
        <v>no</v>
      </c>
      <c r="Z57" s="233" t="str">
        <f>VLOOKUP(Table3[[#This Row],[Country Code]],Table29[],7,FALSE)</f>
        <v>no</v>
      </c>
      <c r="AA57" s="233" t="str">
        <f>VLOOKUP(Table3[[#This Row],[Country Code]],Table29[],8,FALSE)</f>
        <v>OECD</v>
      </c>
      <c r="AB57" s="233" t="str">
        <f>VLOOKUP(Table3[[#This Row],[Country Code]],Table29[],9,FALSE)</f>
        <v>EU27</v>
      </c>
      <c r="AC57" s="233" t="str">
        <f>VLOOKUP(Table3[[#This Row],[Country Code]],Table29[],10,FALSE)</f>
        <v>no</v>
      </c>
      <c r="AD57" s="235">
        <f>VLOOKUP(Table3[[#This Row],[Country Code]],Table29[],23,FALSE)</f>
        <v>72.921492529811999</v>
      </c>
      <c r="AE57" s="235">
        <f>VLOOKUP(Table3[[#This Row],[Country Code]],Table29[],24,FALSE)</f>
        <v>21.372731064834241</v>
      </c>
      <c r="AF57" s="43"/>
    </row>
    <row r="58" spans="1:32" x14ac:dyDescent="0.25">
      <c r="A58" s="360">
        <v>17521</v>
      </c>
      <c r="B58" s="233" t="str">
        <f>VLOOKUP(Table3[[#This Row],[Document ID]],Table1[],2,FALSE)</f>
        <v>AZE</v>
      </c>
      <c r="C58" s="233" t="str">
        <f>VLOOKUP(Table3[[#This Row],[Document ID]],Table1[],3,FALSE)</f>
        <v>Azerbaijan</v>
      </c>
      <c r="D58" s="233" t="str">
        <f>VLOOKUP(Table3[[#This Row],[Document ID]],Table1[],5,FALSE)</f>
        <v>NDC</v>
      </c>
      <c r="E58" s="233" t="str">
        <f>VLOOKUP(Table3[[#This Row],[Document ID]],Table1[],7,FALSE)</f>
        <v>First NDC</v>
      </c>
      <c r="F58" s="233" t="str">
        <f>VLOOKUP(Table3[[#This Row],[Document ID]],Table1[],8,FALSE)</f>
        <v>NDC 1.0</v>
      </c>
      <c r="G58" s="233" t="str">
        <f>VLOOKUP(Table3[[#This Row],[Document ID]],Table1[],10,FALSE)</f>
        <v>Archived</v>
      </c>
      <c r="H58" s="216" t="s">
        <v>1089</v>
      </c>
      <c r="I58" s="216" t="s">
        <v>1089</v>
      </c>
      <c r="J58" s="43" t="s">
        <v>1090</v>
      </c>
      <c r="K58" s="28" t="s">
        <v>1153</v>
      </c>
      <c r="L58" s="42" t="s">
        <v>1099</v>
      </c>
      <c r="M58" s="209">
        <v>2030</v>
      </c>
      <c r="N58" s="176" t="s">
        <v>1167</v>
      </c>
      <c r="O58" s="258" t="s">
        <v>1094</v>
      </c>
      <c r="P58" s="238" t="str">
        <f>VLOOKUP(_xlfn.CONCAT(Table3[[#This Row],[Target area]],Table3[[#This Row],[GHG target?]],Table3[[#This Row],[Conditionality]]),'Drop down'!$E$81:$F$101,2,FALSE)</f>
        <v>T_Economy_Unc</v>
      </c>
      <c r="Q58" s="239" t="str">
        <f>VLOOKUP(Table3[[#This Row],[Target type]],Table418[[Value name]:[Value idenifyer]],2,FALSE)</f>
        <v>T_BYE</v>
      </c>
      <c r="T58" s="240"/>
      <c r="V58" s="233" t="str">
        <f>VLOOKUP(Table3[[#This Row],[Country Code]],Table29[],3,FALSE)</f>
        <v>Non-Annex I</v>
      </c>
      <c r="W58" s="233" t="str">
        <f>VLOOKUP(Table3[[#This Row],[Country Code]],Table29[],4,FALSE)</f>
        <v>Asia</v>
      </c>
      <c r="X58" s="233" t="str">
        <f>VLOOKUP(Table3[[#This Row],[Country Code]],Table29[],5,FALSE)</f>
        <v>Middle-income</v>
      </c>
      <c r="Y58" s="233" t="str">
        <f>VLOOKUP(Table3[[#This Row],[Country Code]],Table29[],6,FALSE)</f>
        <v>no</v>
      </c>
      <c r="Z58" s="233" t="str">
        <f>VLOOKUP(Table3[[#This Row],[Country Code]],Table29[],7,FALSE)</f>
        <v>no</v>
      </c>
      <c r="AA58" s="233" t="str">
        <f>VLOOKUP(Table3[[#This Row],[Country Code]],Table29[],8,FALSE)</f>
        <v>non-OECD</v>
      </c>
      <c r="AB58" s="233" t="str">
        <f>VLOOKUP(Table3[[#This Row],[Country Code]],Table29[],9,FALSE)</f>
        <v>no</v>
      </c>
      <c r="AC58" s="233" t="str">
        <f>VLOOKUP(Table3[[#This Row],[Country Code]],Table29[],10,FALSE)</f>
        <v>no</v>
      </c>
      <c r="AD58" s="235">
        <f>VLOOKUP(Table3[[#This Row],[Country Code]],Table29[],23,FALSE)</f>
        <v>62.550294041306003</v>
      </c>
      <c r="AE58" s="235">
        <f>VLOOKUP(Table3[[#This Row],[Country Code]],Table29[],24,FALSE)</f>
        <v>8.4493328883147889</v>
      </c>
      <c r="AF58" s="43"/>
    </row>
    <row r="59" spans="1:32" ht="30" x14ac:dyDescent="0.25">
      <c r="A59" s="368">
        <v>39455</v>
      </c>
      <c r="B59" s="233" t="str">
        <f>VLOOKUP(Table3[[#This Row],[Document ID]],Table1[],2,FALSE)</f>
        <v>ARE</v>
      </c>
      <c r="C59" s="233" t="str">
        <f>VLOOKUP(Table3[[#This Row],[Document ID]],Table1[],3,FALSE)</f>
        <v>United Arab Emirates</v>
      </c>
      <c r="D59" s="233" t="str">
        <f>VLOOKUP(Table3[[#This Row],[Document ID]],Table1[],5,FALSE)</f>
        <v>NDC</v>
      </c>
      <c r="E59" s="233" t="str">
        <f>VLOOKUP(Table3[[#This Row],[Document ID]],Table1[],7,FALSE)</f>
        <v>Second NDC updated</v>
      </c>
      <c r="F59" s="241" t="str">
        <f>VLOOKUP(Table3[[#This Row],[Document ID]],Table1[],8,FALSE)</f>
        <v>NDC 2.2</v>
      </c>
      <c r="G59" s="233" t="str">
        <f>VLOOKUP(Table3[[#This Row],[Document ID]],Table1[],10,FALSE)</f>
        <v>Archived</v>
      </c>
      <c r="H59" s="42" t="s">
        <v>1095</v>
      </c>
      <c r="I59" s="42" t="s">
        <v>1096</v>
      </c>
      <c r="J59" s="42" t="s">
        <v>1097</v>
      </c>
      <c r="K59" s="28" t="s">
        <v>1104</v>
      </c>
      <c r="L59" s="42" t="s">
        <v>1099</v>
      </c>
      <c r="M59" s="209">
        <v>2027</v>
      </c>
      <c r="N59" s="209" t="s">
        <v>1168</v>
      </c>
      <c r="O59" s="258">
        <v>27</v>
      </c>
      <c r="P59" s="238" t="str">
        <f>VLOOKUP(_xlfn.CONCAT(Table3[[#This Row],[Target area]],Table3[[#This Row],[GHG target?]],Table3[[#This Row],[Conditionality]]),'Drop down'!$E$81:$F$101,2,FALSE)</f>
        <v>T_Transport_O_Unc</v>
      </c>
      <c r="Q59" s="239" t="str">
        <f>VLOOKUP(Table3[[#This Row],[Target type]],Table418[[Value name]:[Value idenifyer]],2,FALSE)</f>
        <v>T_O_ZERO</v>
      </c>
      <c r="S59" s="233" t="s">
        <v>1125</v>
      </c>
      <c r="T59" s="234" t="s">
        <v>1113</v>
      </c>
      <c r="V59" s="233" t="str">
        <f>VLOOKUP(Table3[[#This Row],[Country Code]],Table29[],3,FALSE)</f>
        <v>Non-Annex I</v>
      </c>
      <c r="W59" s="233" t="str">
        <f>VLOOKUP(Table3[[#This Row],[Country Code]],Table29[],4,FALSE)</f>
        <v>Asia</v>
      </c>
      <c r="X59" s="233" t="str">
        <f>VLOOKUP(Table3[[#This Row],[Country Code]],Table29[],5,FALSE)</f>
        <v>High-income</v>
      </c>
      <c r="Y59" s="233" t="str">
        <f>VLOOKUP(Table3[[#This Row],[Country Code]],Table29[],6,FALSE)</f>
        <v>no</v>
      </c>
      <c r="Z59" s="233" t="str">
        <f>VLOOKUP(Table3[[#This Row],[Country Code]],Table29[],7,FALSE)</f>
        <v>no</v>
      </c>
      <c r="AA59" s="233" t="str">
        <f>VLOOKUP(Table3[[#This Row],[Country Code]],Table29[],8,FALSE)</f>
        <v>non-OECD</v>
      </c>
      <c r="AB59" s="233" t="str">
        <f>VLOOKUP(Table3[[#This Row],[Country Code]],Table29[],9,FALSE)</f>
        <v>no</v>
      </c>
      <c r="AC59" s="233" t="str">
        <f>VLOOKUP(Table3[[#This Row],[Country Code]],Table29[],10,FALSE)</f>
        <v>MENA</v>
      </c>
      <c r="AD59" s="235">
        <f>VLOOKUP(Table3[[#This Row],[Country Code]],Table29[],23,FALSE)</f>
        <v>267.82319378585998</v>
      </c>
      <c r="AE59" s="235">
        <f>VLOOKUP(Table3[[#This Row],[Country Code]],Table29[],24,FALSE)</f>
        <v>43.860911308351241</v>
      </c>
      <c r="AF59" s="43"/>
    </row>
    <row r="60" spans="1:32" ht="30" x14ac:dyDescent="0.25">
      <c r="A60" s="360">
        <v>32496</v>
      </c>
      <c r="B60" s="233" t="str">
        <f>VLOOKUP(Table3[[#This Row],[Document ID]],Table1[],2,FALSE)</f>
        <v>BHS</v>
      </c>
      <c r="C60" s="233" t="str">
        <f>VLOOKUP(Table3[[#This Row],[Document ID]],Table1[],3,FALSE)</f>
        <v>Bahamas</v>
      </c>
      <c r="D60" s="233" t="str">
        <f>VLOOKUP(Table3[[#This Row],[Document ID]],Table1[],5,FALSE)</f>
        <v>NDC</v>
      </c>
      <c r="E60" s="233" t="str">
        <f>VLOOKUP(Table3[[#This Row],[Document ID]],Table1[],7,FALSE)</f>
        <v>First NDC updated</v>
      </c>
      <c r="F60" s="233" t="str">
        <f>VLOOKUP(Table3[[#This Row],[Document ID]],Table1[],8,FALSE)</f>
        <v>NDC 1.1</v>
      </c>
      <c r="G60" s="233" t="str">
        <f>VLOOKUP(Table3[[#This Row],[Document ID]],Table1[],10,FALSE)</f>
        <v>Active</v>
      </c>
      <c r="H60" s="216" t="s">
        <v>1089</v>
      </c>
      <c r="I60" s="216" t="s">
        <v>1089</v>
      </c>
      <c r="J60" s="43" t="s">
        <v>1090</v>
      </c>
      <c r="K60" s="28" t="s">
        <v>1091</v>
      </c>
      <c r="L60" s="42" t="s">
        <v>1099</v>
      </c>
      <c r="M60" s="209">
        <v>2030</v>
      </c>
      <c r="N60" s="209" t="s">
        <v>1169</v>
      </c>
      <c r="O60" s="257">
        <v>35</v>
      </c>
      <c r="P60" s="238" t="str">
        <f>VLOOKUP(_xlfn.CONCAT(Table3[[#This Row],[Target area]],Table3[[#This Row],[GHG target?]],Table3[[#This Row],[Conditionality]]),'Drop down'!$E$81:$F$101,2,FALSE)</f>
        <v>T_Economy_Unc</v>
      </c>
      <c r="Q60" s="239" t="str">
        <f>VLOOKUP(Table3[[#This Row],[Target type]],Table418[[Value name]:[Value idenifyer]],2,FALSE)</f>
        <v>T_BAU</v>
      </c>
      <c r="S60" s="233" t="s">
        <v>1101</v>
      </c>
      <c r="T60" s="240"/>
      <c r="V60" s="233" t="str">
        <f>VLOOKUP(Table3[[#This Row],[Country Code]],Table29[],3,FALSE)</f>
        <v>Non-Annex I</v>
      </c>
      <c r="W60" s="233" t="str">
        <f>VLOOKUP(Table3[[#This Row],[Country Code]],Table29[],4,FALSE)</f>
        <v>Latin America and the Caribbean</v>
      </c>
      <c r="X60" s="233" t="str">
        <f>VLOOKUP(Table3[[#This Row],[Country Code]],Table29[],5,FALSE)</f>
        <v>High-income</v>
      </c>
      <c r="Y60" s="233" t="str">
        <f>VLOOKUP(Table3[[#This Row],[Country Code]],Table29[],6,FALSE)</f>
        <v>no</v>
      </c>
      <c r="Z60" s="233" t="str">
        <f>VLOOKUP(Table3[[#This Row],[Country Code]],Table29[],7,FALSE)</f>
        <v>no</v>
      </c>
      <c r="AA60" s="233" t="str">
        <f>VLOOKUP(Table3[[#This Row],[Country Code]],Table29[],8,FALSE)</f>
        <v>non-OECD</v>
      </c>
      <c r="AB60" s="233" t="str">
        <f>VLOOKUP(Table3[[#This Row],[Country Code]],Table29[],9,FALSE)</f>
        <v>no</v>
      </c>
      <c r="AC60" s="233" t="str">
        <f>VLOOKUP(Table3[[#This Row],[Country Code]],Table29[],10,FALSE)</f>
        <v>no</v>
      </c>
      <c r="AD60" s="235">
        <f>VLOOKUP(Table3[[#This Row],[Country Code]],Table29[],23,FALSE)</f>
        <v>2.0502828926944998</v>
      </c>
      <c r="AE60" s="235">
        <f>VLOOKUP(Table3[[#This Row],[Country Code]],Table29[],24,FALSE)</f>
        <v>0.59970961940231238</v>
      </c>
      <c r="AF60" s="43"/>
    </row>
    <row r="61" spans="1:32" x14ac:dyDescent="0.25">
      <c r="A61" s="360">
        <v>32496</v>
      </c>
      <c r="B61" s="233" t="str">
        <f>VLOOKUP(Table3[[#This Row],[Document ID]],Table1[],2,FALSE)</f>
        <v>BHS</v>
      </c>
      <c r="C61" s="233" t="str">
        <f>VLOOKUP(Table3[[#This Row],[Document ID]],Table1[],3,FALSE)</f>
        <v>Bahamas</v>
      </c>
      <c r="D61" s="233" t="str">
        <f>VLOOKUP(Table3[[#This Row],[Document ID]],Table1[],5,FALSE)</f>
        <v>NDC</v>
      </c>
      <c r="E61" s="233" t="str">
        <f>VLOOKUP(Table3[[#This Row],[Document ID]],Table1[],7,FALSE)</f>
        <v>First NDC updated</v>
      </c>
      <c r="F61" s="233" t="str">
        <f>VLOOKUP(Table3[[#This Row],[Document ID]],Table1[],8,FALSE)</f>
        <v>NDC 1.1</v>
      </c>
      <c r="G61" s="233" t="str">
        <f>VLOOKUP(Table3[[#This Row],[Document ID]],Table1[],10,FALSE)</f>
        <v>Active</v>
      </c>
      <c r="H61" s="43" t="s">
        <v>1114</v>
      </c>
      <c r="I61" s="43" t="s">
        <v>1115</v>
      </c>
      <c r="J61" s="42" t="s">
        <v>1097</v>
      </c>
      <c r="K61" s="28" t="s">
        <v>1118</v>
      </c>
      <c r="L61" s="43" t="s">
        <v>1116</v>
      </c>
      <c r="M61" s="209">
        <v>2030</v>
      </c>
      <c r="N61" s="209" t="s">
        <v>1170</v>
      </c>
      <c r="O61" s="257">
        <v>35</v>
      </c>
      <c r="P61" s="238" t="str">
        <f>VLOOKUP(_xlfn.CONCAT(Table3[[#This Row],[Target area]],Table3[[#This Row],[GHG target?]],Table3[[#This Row],[Conditionality]]),'Drop down'!$E$81:$F$101,2,FALSE)</f>
        <v>T_Energy_O</v>
      </c>
      <c r="Q61" s="239" t="str">
        <f>VLOOKUP(Table3[[#This Row],[Target type]],Table418[[Value name]:[Value idenifyer]],2,FALSE)</f>
        <v>T_E_REN</v>
      </c>
      <c r="S61" s="233" t="s">
        <v>1101</v>
      </c>
      <c r="T61" s="240"/>
      <c r="V61" s="233" t="str">
        <f>VLOOKUP(Table3[[#This Row],[Country Code]],Table29[],3,FALSE)</f>
        <v>Non-Annex I</v>
      </c>
      <c r="W61" s="233" t="str">
        <f>VLOOKUP(Table3[[#This Row],[Country Code]],Table29[],4,FALSE)</f>
        <v>Latin America and the Caribbean</v>
      </c>
      <c r="X61" s="233" t="str">
        <f>VLOOKUP(Table3[[#This Row],[Country Code]],Table29[],5,FALSE)</f>
        <v>High-income</v>
      </c>
      <c r="Y61" s="233" t="str">
        <f>VLOOKUP(Table3[[#This Row],[Country Code]],Table29[],6,FALSE)</f>
        <v>no</v>
      </c>
      <c r="Z61" s="233" t="str">
        <f>VLOOKUP(Table3[[#This Row],[Country Code]],Table29[],7,FALSE)</f>
        <v>no</v>
      </c>
      <c r="AA61" s="233" t="str">
        <f>VLOOKUP(Table3[[#This Row],[Country Code]],Table29[],8,FALSE)</f>
        <v>non-OECD</v>
      </c>
      <c r="AB61" s="233" t="str">
        <f>VLOOKUP(Table3[[#This Row],[Country Code]],Table29[],9,FALSE)</f>
        <v>no</v>
      </c>
      <c r="AC61" s="233" t="str">
        <f>VLOOKUP(Table3[[#This Row],[Country Code]],Table29[],10,FALSE)</f>
        <v>no</v>
      </c>
      <c r="AD61" s="235">
        <f>VLOOKUP(Table3[[#This Row],[Country Code]],Table29[],23,FALSE)</f>
        <v>2.0502828926944998</v>
      </c>
      <c r="AE61" s="235">
        <f>VLOOKUP(Table3[[#This Row],[Country Code]],Table29[],24,FALSE)</f>
        <v>0.59970961940231238</v>
      </c>
      <c r="AF61" s="43"/>
    </row>
    <row r="62" spans="1:32" x14ac:dyDescent="0.25">
      <c r="A62" s="360">
        <v>17522</v>
      </c>
      <c r="B62" s="233" t="str">
        <f>VLOOKUP(Table3[[#This Row],[Document ID]],Table1[],2,FALSE)</f>
        <v>BHS</v>
      </c>
      <c r="C62" s="233" t="str">
        <f>VLOOKUP(Table3[[#This Row],[Document ID]],Table1[],3,FALSE)</f>
        <v>Bahamas</v>
      </c>
      <c r="D62" s="233" t="str">
        <f>VLOOKUP(Table3[[#This Row],[Document ID]],Table1[],5,FALSE)</f>
        <v>NDC</v>
      </c>
      <c r="E62" s="233" t="str">
        <f>VLOOKUP(Table3[[#This Row],[Document ID]],Table1[],7,FALSE)</f>
        <v>First NDC</v>
      </c>
      <c r="F62" s="233" t="str">
        <f>VLOOKUP(Table3[[#This Row],[Document ID]],Table1[],8,FALSE)</f>
        <v>NDC 1.0</v>
      </c>
      <c r="G62" s="233" t="str">
        <f>VLOOKUP(Table3[[#This Row],[Document ID]],Table1[],10,FALSE)</f>
        <v>Archived</v>
      </c>
      <c r="H62" s="216" t="s">
        <v>1089</v>
      </c>
      <c r="I62" s="216" t="s">
        <v>1089</v>
      </c>
      <c r="J62" s="43" t="s">
        <v>1090</v>
      </c>
      <c r="K62" s="28" t="s">
        <v>1091</v>
      </c>
      <c r="L62" s="42" t="s">
        <v>1099</v>
      </c>
      <c r="M62" s="209">
        <v>2030</v>
      </c>
      <c r="N62" s="176" t="s">
        <v>1171</v>
      </c>
      <c r="O62" s="258" t="s">
        <v>1094</v>
      </c>
      <c r="P62" s="238" t="str">
        <f>VLOOKUP(_xlfn.CONCAT(Table3[[#This Row],[Target area]],Table3[[#This Row],[GHG target?]],Table3[[#This Row],[Conditionality]]),'Drop down'!$E$81:$F$101,2,FALSE)</f>
        <v>T_Economy_Unc</v>
      </c>
      <c r="Q62" s="239" t="str">
        <f>VLOOKUP(Table3[[#This Row],[Target type]],Table418[[Value name]:[Value idenifyer]],2,FALSE)</f>
        <v>T_BAU</v>
      </c>
      <c r="T62" s="240"/>
      <c r="V62" s="233" t="str">
        <f>VLOOKUP(Table3[[#This Row],[Country Code]],Table29[],3,FALSE)</f>
        <v>Non-Annex I</v>
      </c>
      <c r="W62" s="233" t="str">
        <f>VLOOKUP(Table3[[#This Row],[Country Code]],Table29[],4,FALSE)</f>
        <v>Latin America and the Caribbean</v>
      </c>
      <c r="X62" s="233" t="str">
        <f>VLOOKUP(Table3[[#This Row],[Country Code]],Table29[],5,FALSE)</f>
        <v>High-income</v>
      </c>
      <c r="Y62" s="233" t="str">
        <f>VLOOKUP(Table3[[#This Row],[Country Code]],Table29[],6,FALSE)</f>
        <v>no</v>
      </c>
      <c r="Z62" s="233" t="str">
        <f>VLOOKUP(Table3[[#This Row],[Country Code]],Table29[],7,FALSE)</f>
        <v>no</v>
      </c>
      <c r="AA62" s="233" t="str">
        <f>VLOOKUP(Table3[[#This Row],[Country Code]],Table29[],8,FALSE)</f>
        <v>non-OECD</v>
      </c>
      <c r="AB62" s="233" t="str">
        <f>VLOOKUP(Table3[[#This Row],[Country Code]],Table29[],9,FALSE)</f>
        <v>no</v>
      </c>
      <c r="AC62" s="233" t="str">
        <f>VLOOKUP(Table3[[#This Row],[Country Code]],Table29[],10,FALSE)</f>
        <v>no</v>
      </c>
      <c r="AD62" s="235">
        <f>VLOOKUP(Table3[[#This Row],[Country Code]],Table29[],23,FALSE)</f>
        <v>2.0502828926944998</v>
      </c>
      <c r="AE62" s="235">
        <f>VLOOKUP(Table3[[#This Row],[Country Code]],Table29[],24,FALSE)</f>
        <v>0.59970961940231238</v>
      </c>
      <c r="AF62" s="43"/>
    </row>
    <row r="63" spans="1:32" x14ac:dyDescent="0.25">
      <c r="A63" s="360">
        <v>21725</v>
      </c>
      <c r="B63" s="233" t="str">
        <f>VLOOKUP(Table3[[#This Row],[Document ID]],Table1[],2,FALSE)</f>
        <v>BGD</v>
      </c>
      <c r="C63" s="233" t="str">
        <f>VLOOKUP(Table3[[#This Row],[Document ID]],Table1[],3,FALSE)</f>
        <v>Bangladesh</v>
      </c>
      <c r="D63" s="233" t="str">
        <f>VLOOKUP(Table3[[#This Row],[Document ID]],Table1[],5,FALSE)</f>
        <v>NDC</v>
      </c>
      <c r="E63" s="233" t="str">
        <f>VLOOKUP(Table3[[#This Row],[Document ID]],Table1[],7,FALSE)</f>
        <v>First NDC updated</v>
      </c>
      <c r="F63" s="233" t="str">
        <f>VLOOKUP(Table3[[#This Row],[Document ID]],Table1[],8,FALSE)</f>
        <v>NDC 1.2</v>
      </c>
      <c r="G63" s="233" t="str">
        <f>VLOOKUP(Table3[[#This Row],[Document ID]],Table1[],10,FALSE)</f>
        <v>Active</v>
      </c>
      <c r="H63" s="216" t="s">
        <v>1089</v>
      </c>
      <c r="I63" s="216" t="s">
        <v>1089</v>
      </c>
      <c r="J63" s="43" t="s">
        <v>1090</v>
      </c>
      <c r="K63" s="28" t="s">
        <v>1091</v>
      </c>
      <c r="L63" s="42" t="s">
        <v>1099</v>
      </c>
      <c r="M63" s="209">
        <v>2030</v>
      </c>
      <c r="N63" s="209" t="s">
        <v>1172</v>
      </c>
      <c r="O63" s="257">
        <v>26</v>
      </c>
      <c r="P63" s="238" t="str">
        <f>VLOOKUP(_xlfn.CONCAT(Table3[[#This Row],[Target area]],Table3[[#This Row],[GHG target?]],Table3[[#This Row],[Conditionality]]),'Drop down'!$E$81:$F$101,2,FALSE)</f>
        <v>T_Economy_Unc</v>
      </c>
      <c r="Q63" s="239" t="str">
        <f>VLOOKUP(Table3[[#This Row],[Target type]],Table418[[Value name]:[Value idenifyer]],2,FALSE)</f>
        <v>T_BAU</v>
      </c>
      <c r="S63" s="233" t="s">
        <v>1112</v>
      </c>
      <c r="T63" s="240"/>
      <c r="U63" s="240"/>
      <c r="V63" s="233" t="str">
        <f>VLOOKUP(Table3[[#This Row],[Country Code]],Table29[],3,FALSE)</f>
        <v>Non-Annex I</v>
      </c>
      <c r="W63" s="233" t="str">
        <f>VLOOKUP(Table3[[#This Row],[Country Code]],Table29[],4,FALSE)</f>
        <v>Asia</v>
      </c>
      <c r="X63" s="233" t="str">
        <f>VLOOKUP(Table3[[#This Row],[Country Code]],Table29[],5,FALSE)</f>
        <v>Middle-income</v>
      </c>
      <c r="Y63" s="233" t="str">
        <f>VLOOKUP(Table3[[#This Row],[Country Code]],Table29[],6,FALSE)</f>
        <v>no</v>
      </c>
      <c r="Z63" s="233" t="str">
        <f>VLOOKUP(Table3[[#This Row],[Country Code]],Table29[],7,FALSE)</f>
        <v>no</v>
      </c>
      <c r="AA63" s="233" t="str">
        <f>VLOOKUP(Table3[[#This Row],[Country Code]],Table29[],8,FALSE)</f>
        <v>non-OECD</v>
      </c>
      <c r="AB63" s="233" t="str">
        <f>VLOOKUP(Table3[[#This Row],[Country Code]],Table29[],9,FALSE)</f>
        <v>no</v>
      </c>
      <c r="AC63" s="233" t="str">
        <f>VLOOKUP(Table3[[#This Row],[Country Code]],Table29[],10,FALSE)</f>
        <v>no</v>
      </c>
      <c r="AD63" s="235">
        <f>VLOOKUP(Table3[[#This Row],[Country Code]],Table29[],23,FALSE)</f>
        <v>281.38053496815002</v>
      </c>
      <c r="AE63" s="235">
        <f>VLOOKUP(Table3[[#This Row],[Country Code]],Table29[],24,FALSE)</f>
        <v>12.410696897609901</v>
      </c>
      <c r="AF63" s="43"/>
    </row>
    <row r="64" spans="1:32" x14ac:dyDescent="0.25">
      <c r="A64" s="360">
        <v>21725</v>
      </c>
      <c r="B64" s="233" t="str">
        <f>VLOOKUP(Table3[[#This Row],[Document ID]],Table1[],2,FALSE)</f>
        <v>BGD</v>
      </c>
      <c r="C64" s="233" t="str">
        <f>VLOOKUP(Table3[[#This Row],[Document ID]],Table1[],3,FALSE)</f>
        <v>Bangladesh</v>
      </c>
      <c r="D64" s="233" t="str">
        <f>VLOOKUP(Table3[[#This Row],[Document ID]],Table1[],5,FALSE)</f>
        <v>NDC</v>
      </c>
      <c r="E64" s="233" t="str">
        <f>VLOOKUP(Table3[[#This Row],[Document ID]],Table1[],7,FALSE)</f>
        <v>First NDC updated</v>
      </c>
      <c r="F64" s="233" t="str">
        <f>VLOOKUP(Table3[[#This Row],[Document ID]],Table1[],8,FALSE)</f>
        <v>NDC 1.2</v>
      </c>
      <c r="G64" s="233" t="str">
        <f>VLOOKUP(Table3[[#This Row],[Document ID]],Table1[],10,FALSE)</f>
        <v>Active</v>
      </c>
      <c r="H64" s="216" t="s">
        <v>1089</v>
      </c>
      <c r="I64" s="216" t="s">
        <v>1089</v>
      </c>
      <c r="J64" s="43" t="s">
        <v>1090</v>
      </c>
      <c r="K64" s="28" t="s">
        <v>1091</v>
      </c>
      <c r="L64" s="216" t="s">
        <v>1092</v>
      </c>
      <c r="M64" s="209">
        <v>2030</v>
      </c>
      <c r="N64" s="209" t="s">
        <v>1173</v>
      </c>
      <c r="O64" s="257">
        <v>26</v>
      </c>
      <c r="P64" s="238" t="str">
        <f>VLOOKUP(_xlfn.CONCAT(Table3[[#This Row],[Target area]],Table3[[#This Row],[GHG target?]],Table3[[#This Row],[Conditionality]]),'Drop down'!$E$81:$F$101,2,FALSE)</f>
        <v>T_Economy_C</v>
      </c>
      <c r="Q64" s="239" t="str">
        <f>VLOOKUP(Table3[[#This Row],[Target type]],Table418[[Value name]:[Value idenifyer]],2,FALSE)</f>
        <v>T_BAU</v>
      </c>
      <c r="S64" s="233" t="s">
        <v>1112</v>
      </c>
      <c r="T64" s="240"/>
      <c r="U64" s="240"/>
      <c r="V64" s="233" t="str">
        <f>VLOOKUP(Table3[[#This Row],[Country Code]],Table29[],3,FALSE)</f>
        <v>Non-Annex I</v>
      </c>
      <c r="W64" s="233" t="str">
        <f>VLOOKUP(Table3[[#This Row],[Country Code]],Table29[],4,FALSE)</f>
        <v>Asia</v>
      </c>
      <c r="X64" s="233" t="str">
        <f>VLOOKUP(Table3[[#This Row],[Country Code]],Table29[],5,FALSE)</f>
        <v>Middle-income</v>
      </c>
      <c r="Y64" s="233" t="str">
        <f>VLOOKUP(Table3[[#This Row],[Country Code]],Table29[],6,FALSE)</f>
        <v>no</v>
      </c>
      <c r="Z64" s="233" t="str">
        <f>VLOOKUP(Table3[[#This Row],[Country Code]],Table29[],7,FALSE)</f>
        <v>no</v>
      </c>
      <c r="AA64" s="233" t="str">
        <f>VLOOKUP(Table3[[#This Row],[Country Code]],Table29[],8,FALSE)</f>
        <v>non-OECD</v>
      </c>
      <c r="AB64" s="233" t="str">
        <f>VLOOKUP(Table3[[#This Row],[Country Code]],Table29[],9,FALSE)</f>
        <v>no</v>
      </c>
      <c r="AC64" s="233" t="str">
        <f>VLOOKUP(Table3[[#This Row],[Country Code]],Table29[],10,FALSE)</f>
        <v>no</v>
      </c>
      <c r="AD64" s="235">
        <f>VLOOKUP(Table3[[#This Row],[Country Code]],Table29[],23,FALSE)</f>
        <v>281.38053496815002</v>
      </c>
      <c r="AE64" s="235">
        <f>VLOOKUP(Table3[[#This Row],[Country Code]],Table29[],24,FALSE)</f>
        <v>12.410696897609901</v>
      </c>
      <c r="AF64" s="43"/>
    </row>
    <row r="65" spans="1:32" ht="30" x14ac:dyDescent="0.25">
      <c r="A65" s="368">
        <v>41741</v>
      </c>
      <c r="B65" s="233" t="str">
        <f>VLOOKUP(Table3[[#This Row],[Document ID]],Table1[],2,FALSE)</f>
        <v>ARE</v>
      </c>
      <c r="C65" s="233" t="str">
        <f>VLOOKUP(Table3[[#This Row],[Document ID]],Table1[],3,FALSE)</f>
        <v>United Arab Emirates</v>
      </c>
      <c r="D65" s="233" t="str">
        <f>VLOOKUP(Table3[[#This Row],[Document ID]],Table1[],5,FALSE)</f>
        <v>LTS</v>
      </c>
      <c r="E65" s="233" t="str">
        <f>VLOOKUP(Table3[[#This Row],[Document ID]],Table1[],7,FALSE)</f>
        <v>LTS</v>
      </c>
      <c r="F65" s="241" t="str">
        <f>VLOOKUP(Table3[[#This Row],[Document ID]],Table1[],8,FALSE)</f>
        <v>LTS 1.0</v>
      </c>
      <c r="G65" s="233" t="str">
        <f>VLOOKUP(Table3[[#This Row],[Document ID]],Table1[],10,FALSE)</f>
        <v>Active</v>
      </c>
      <c r="H65" s="42" t="s">
        <v>1095</v>
      </c>
      <c r="I65" s="43" t="s">
        <v>1115</v>
      </c>
      <c r="J65" s="43" t="s">
        <v>1090</v>
      </c>
      <c r="K65" s="28" t="s">
        <v>1153</v>
      </c>
      <c r="L65" s="389" t="s">
        <v>1099</v>
      </c>
      <c r="M65" s="209">
        <v>2050</v>
      </c>
      <c r="N65" s="209" t="s">
        <v>1174</v>
      </c>
      <c r="O65" s="258">
        <v>49</v>
      </c>
      <c r="P65" s="238" t="str">
        <f>VLOOKUP(_xlfn.CONCAT(Table3[[#This Row],[Target area]],Table3[[#This Row],[GHG target?]],Table3[[#This Row],[Conditionality]]),'Drop down'!$E$81:$F$101,2,FALSE)</f>
        <v>T_Transport_Unc</v>
      </c>
      <c r="Q65" s="239" t="str">
        <f>VLOOKUP(Table3[[#This Row],[Target type]],Table418[[Value name]:[Value idenifyer]],2,FALSE)</f>
        <v>T_BYE</v>
      </c>
      <c r="T65" s="240"/>
      <c r="V65" s="233" t="str">
        <f>VLOOKUP(Table3[[#This Row],[Country Code]],Table29[],3,FALSE)</f>
        <v>Non-Annex I</v>
      </c>
      <c r="W65" s="233" t="str">
        <f>VLOOKUP(Table3[[#This Row],[Country Code]],Table29[],4,FALSE)</f>
        <v>Asia</v>
      </c>
      <c r="X65" s="233" t="str">
        <f>VLOOKUP(Table3[[#This Row],[Country Code]],Table29[],5,FALSE)</f>
        <v>High-income</v>
      </c>
      <c r="Y65" s="233" t="str">
        <f>VLOOKUP(Table3[[#This Row],[Country Code]],Table29[],6,FALSE)</f>
        <v>no</v>
      </c>
      <c r="Z65" s="233" t="str">
        <f>VLOOKUP(Table3[[#This Row],[Country Code]],Table29[],7,FALSE)</f>
        <v>no</v>
      </c>
      <c r="AA65" s="233" t="str">
        <f>VLOOKUP(Table3[[#This Row],[Country Code]],Table29[],8,FALSE)</f>
        <v>non-OECD</v>
      </c>
      <c r="AB65" s="233" t="str">
        <f>VLOOKUP(Table3[[#This Row],[Country Code]],Table29[],9,FALSE)</f>
        <v>no</v>
      </c>
      <c r="AC65" s="233" t="str">
        <f>VLOOKUP(Table3[[#This Row],[Country Code]],Table29[],10,FALSE)</f>
        <v>MENA</v>
      </c>
      <c r="AD65" s="235">
        <f>VLOOKUP(Table3[[#This Row],[Country Code]],Table29[],23,FALSE)</f>
        <v>267.82319378585998</v>
      </c>
      <c r="AE65" s="235">
        <f>VLOOKUP(Table3[[#This Row],[Country Code]],Table29[],24,FALSE)</f>
        <v>43.860911308351241</v>
      </c>
      <c r="AF65" s="42"/>
    </row>
    <row r="66" spans="1:32" ht="30" x14ac:dyDescent="0.25">
      <c r="A66" s="368">
        <v>41741</v>
      </c>
      <c r="B66" s="233" t="str">
        <f>VLOOKUP(Table3[[#This Row],[Document ID]],Table1[],2,FALSE)</f>
        <v>ARE</v>
      </c>
      <c r="C66" s="233" t="str">
        <f>VLOOKUP(Table3[[#This Row],[Document ID]],Table1[],3,FALSE)</f>
        <v>United Arab Emirates</v>
      </c>
      <c r="D66" s="233" t="str">
        <f>VLOOKUP(Table3[[#This Row],[Document ID]],Table1[],5,FALSE)</f>
        <v>LTS</v>
      </c>
      <c r="E66" s="233" t="str">
        <f>VLOOKUP(Table3[[#This Row],[Document ID]],Table1[],7,FALSE)</f>
        <v>LTS</v>
      </c>
      <c r="F66" s="241" t="str">
        <f>VLOOKUP(Table3[[#This Row],[Document ID]],Table1[],8,FALSE)</f>
        <v>LTS 1.0</v>
      </c>
      <c r="G66" s="233" t="str">
        <f>VLOOKUP(Table3[[#This Row],[Document ID]],Table1[],10,FALSE)</f>
        <v>Active</v>
      </c>
      <c r="H66" s="42" t="s">
        <v>1095</v>
      </c>
      <c r="I66" s="42" t="s">
        <v>1096</v>
      </c>
      <c r="J66" s="42" t="s">
        <v>1097</v>
      </c>
      <c r="K66" s="28" t="s">
        <v>1175</v>
      </c>
      <c r="L66" s="389" t="s">
        <v>1099</v>
      </c>
      <c r="M66" s="209">
        <v>2050</v>
      </c>
      <c r="N66" s="209" t="s">
        <v>1176</v>
      </c>
      <c r="O66" s="258">
        <v>68</v>
      </c>
      <c r="P66" s="238" t="str">
        <f>VLOOKUP(_xlfn.CONCAT(Table3[[#This Row],[Target area]],Table3[[#This Row],[GHG target?]],Table3[[#This Row],[Conditionality]]),'Drop down'!$E$81:$F$101,2,FALSE)</f>
        <v>T_Transport_O_Unc</v>
      </c>
      <c r="Q66" s="239" t="str">
        <f>VLOOKUP(Table3[[#This Row],[Target type]],Table418[[Value name]:[Value idenifyer]],2,FALSE)</f>
        <v>T_O_AVOID</v>
      </c>
      <c r="T66" s="240"/>
      <c r="V66" s="233" t="str">
        <f>VLOOKUP(Table3[[#This Row],[Country Code]],Table29[],3,FALSE)</f>
        <v>Non-Annex I</v>
      </c>
      <c r="W66" s="233" t="str">
        <f>VLOOKUP(Table3[[#This Row],[Country Code]],Table29[],4,FALSE)</f>
        <v>Asia</v>
      </c>
      <c r="X66" s="233" t="str">
        <f>VLOOKUP(Table3[[#This Row],[Country Code]],Table29[],5,FALSE)</f>
        <v>High-income</v>
      </c>
      <c r="Y66" s="233" t="str">
        <f>VLOOKUP(Table3[[#This Row],[Country Code]],Table29[],6,FALSE)</f>
        <v>no</v>
      </c>
      <c r="Z66" s="233" t="str">
        <f>VLOOKUP(Table3[[#This Row],[Country Code]],Table29[],7,FALSE)</f>
        <v>no</v>
      </c>
      <c r="AA66" s="233" t="str">
        <f>VLOOKUP(Table3[[#This Row],[Country Code]],Table29[],8,FALSE)</f>
        <v>non-OECD</v>
      </c>
      <c r="AB66" s="233" t="str">
        <f>VLOOKUP(Table3[[#This Row],[Country Code]],Table29[],9,FALSE)</f>
        <v>no</v>
      </c>
      <c r="AC66" s="233" t="str">
        <f>VLOOKUP(Table3[[#This Row],[Country Code]],Table29[],10,FALSE)</f>
        <v>MENA</v>
      </c>
      <c r="AD66" s="235">
        <f>VLOOKUP(Table3[[#This Row],[Country Code]],Table29[],23,FALSE)</f>
        <v>267.82319378585998</v>
      </c>
      <c r="AE66" s="235">
        <f>VLOOKUP(Table3[[#This Row],[Country Code]],Table29[],24,FALSE)</f>
        <v>43.860911308351241</v>
      </c>
      <c r="AF66" s="42"/>
    </row>
    <row r="67" spans="1:32" ht="30" x14ac:dyDescent="0.25">
      <c r="A67" s="368">
        <v>41741</v>
      </c>
      <c r="B67" s="233" t="str">
        <f>VLOOKUP(Table3[[#This Row],[Document ID]],Table1[],2,FALSE)</f>
        <v>ARE</v>
      </c>
      <c r="C67" s="233" t="str">
        <f>VLOOKUP(Table3[[#This Row],[Document ID]],Table1[],3,FALSE)</f>
        <v>United Arab Emirates</v>
      </c>
      <c r="D67" s="233" t="str">
        <f>VLOOKUP(Table3[[#This Row],[Document ID]],Table1[],5,FALSE)</f>
        <v>LTS</v>
      </c>
      <c r="E67" s="233" t="str">
        <f>VLOOKUP(Table3[[#This Row],[Document ID]],Table1[],7,FALSE)</f>
        <v>LTS</v>
      </c>
      <c r="F67" s="241" t="str">
        <f>VLOOKUP(Table3[[#This Row],[Document ID]],Table1[],8,FALSE)</f>
        <v>LTS 1.0</v>
      </c>
      <c r="G67" s="233" t="str">
        <f>VLOOKUP(Table3[[#This Row],[Document ID]],Table1[],10,FALSE)</f>
        <v>Active</v>
      </c>
      <c r="H67" s="42" t="s">
        <v>1095</v>
      </c>
      <c r="I67" s="42" t="s">
        <v>1096</v>
      </c>
      <c r="J67" s="42" t="s">
        <v>1097</v>
      </c>
      <c r="K67" s="28" t="s">
        <v>1098</v>
      </c>
      <c r="L67" s="389" t="s">
        <v>1099</v>
      </c>
      <c r="M67" s="209">
        <v>2050</v>
      </c>
      <c r="N67" s="209" t="s">
        <v>1177</v>
      </c>
      <c r="O67" s="258">
        <v>68</v>
      </c>
      <c r="P67" s="238" t="str">
        <f>VLOOKUP(_xlfn.CONCAT(Table3[[#This Row],[Target area]],Table3[[#This Row],[GHG target?]],Table3[[#This Row],[Conditionality]]),'Drop down'!$E$81:$F$101,2,FALSE)</f>
        <v>T_Transport_O_Unc</v>
      </c>
      <c r="Q67" s="239" t="str">
        <f>VLOOKUP(Table3[[#This Row],[Target type]],Table418[[Value name]:[Value idenifyer]],2,FALSE)</f>
        <v>T_O_MODE</v>
      </c>
      <c r="T67" s="240"/>
      <c r="V67" s="233" t="str">
        <f>VLOOKUP(Table3[[#This Row],[Country Code]],Table29[],3,FALSE)</f>
        <v>Non-Annex I</v>
      </c>
      <c r="W67" s="233" t="str">
        <f>VLOOKUP(Table3[[#This Row],[Country Code]],Table29[],4,FALSE)</f>
        <v>Asia</v>
      </c>
      <c r="X67" s="233" t="str">
        <f>VLOOKUP(Table3[[#This Row],[Country Code]],Table29[],5,FALSE)</f>
        <v>High-income</v>
      </c>
      <c r="Y67" s="233" t="str">
        <f>VLOOKUP(Table3[[#This Row],[Country Code]],Table29[],6,FALSE)</f>
        <v>no</v>
      </c>
      <c r="Z67" s="233" t="str">
        <f>VLOOKUP(Table3[[#This Row],[Country Code]],Table29[],7,FALSE)</f>
        <v>no</v>
      </c>
      <c r="AA67" s="233" t="str">
        <f>VLOOKUP(Table3[[#This Row],[Country Code]],Table29[],8,FALSE)</f>
        <v>non-OECD</v>
      </c>
      <c r="AB67" s="233" t="str">
        <f>VLOOKUP(Table3[[#This Row],[Country Code]],Table29[],9,FALSE)</f>
        <v>no</v>
      </c>
      <c r="AC67" s="233" t="str">
        <f>VLOOKUP(Table3[[#This Row],[Country Code]],Table29[],10,FALSE)</f>
        <v>MENA</v>
      </c>
      <c r="AD67" s="235">
        <f>VLOOKUP(Table3[[#This Row],[Country Code]],Table29[],23,FALSE)</f>
        <v>267.82319378585998</v>
      </c>
      <c r="AE67" s="235">
        <f>VLOOKUP(Table3[[#This Row],[Country Code]],Table29[],24,FALSE)</f>
        <v>43.860911308351241</v>
      </c>
      <c r="AF67" s="42"/>
    </row>
    <row r="68" spans="1:32" ht="30" x14ac:dyDescent="0.25">
      <c r="A68" s="368">
        <v>41741</v>
      </c>
      <c r="B68" s="233" t="str">
        <f>VLOOKUP(Table3[[#This Row],[Document ID]],Table1[],2,FALSE)</f>
        <v>ARE</v>
      </c>
      <c r="C68" s="233" t="str">
        <f>VLOOKUP(Table3[[#This Row],[Document ID]],Table1[],3,FALSE)</f>
        <v>United Arab Emirates</v>
      </c>
      <c r="D68" s="233" t="str">
        <f>VLOOKUP(Table3[[#This Row],[Document ID]],Table1[],5,FALSE)</f>
        <v>LTS</v>
      </c>
      <c r="E68" s="233" t="str">
        <f>VLOOKUP(Table3[[#This Row],[Document ID]],Table1[],7,FALSE)</f>
        <v>LTS</v>
      </c>
      <c r="F68" s="241" t="str">
        <f>VLOOKUP(Table3[[#This Row],[Document ID]],Table1[],8,FALSE)</f>
        <v>LTS 1.0</v>
      </c>
      <c r="G68" s="233" t="str">
        <f>VLOOKUP(Table3[[#This Row],[Document ID]],Table1[],10,FALSE)</f>
        <v>Active</v>
      </c>
      <c r="H68" s="42" t="s">
        <v>1095</v>
      </c>
      <c r="I68" s="42" t="s">
        <v>1096</v>
      </c>
      <c r="J68" s="42" t="s">
        <v>1097</v>
      </c>
      <c r="K68" s="28" t="s">
        <v>1098</v>
      </c>
      <c r="L68" s="42" t="s">
        <v>1099</v>
      </c>
      <c r="M68" s="209">
        <v>2050</v>
      </c>
      <c r="N68" s="209" t="s">
        <v>1178</v>
      </c>
      <c r="O68" s="258">
        <v>69</v>
      </c>
      <c r="P68" s="238" t="str">
        <f>VLOOKUP(_xlfn.CONCAT(Table3[[#This Row],[Target area]],Table3[[#This Row],[GHG target?]],Table3[[#This Row],[Conditionality]]),'Drop down'!$E$81:$F$101,2,FALSE)</f>
        <v>T_Transport_O_Unc</v>
      </c>
      <c r="Q68" s="239" t="str">
        <f>VLOOKUP(Table3[[#This Row],[Target type]],Table418[[Value name]:[Value idenifyer]],2,FALSE)</f>
        <v>T_O_MODE</v>
      </c>
      <c r="T68" s="240"/>
      <c r="V68" s="233" t="str">
        <f>VLOOKUP(Table3[[#This Row],[Country Code]],Table29[],3,FALSE)</f>
        <v>Non-Annex I</v>
      </c>
      <c r="W68" s="233" t="str">
        <f>VLOOKUP(Table3[[#This Row],[Country Code]],Table29[],4,FALSE)</f>
        <v>Asia</v>
      </c>
      <c r="X68" s="233" t="str">
        <f>VLOOKUP(Table3[[#This Row],[Country Code]],Table29[],5,FALSE)</f>
        <v>High-income</v>
      </c>
      <c r="Y68" s="233" t="str">
        <f>VLOOKUP(Table3[[#This Row],[Country Code]],Table29[],6,FALSE)</f>
        <v>no</v>
      </c>
      <c r="Z68" s="233" t="str">
        <f>VLOOKUP(Table3[[#This Row],[Country Code]],Table29[],7,FALSE)</f>
        <v>no</v>
      </c>
      <c r="AA68" s="233" t="str">
        <f>VLOOKUP(Table3[[#This Row],[Country Code]],Table29[],8,FALSE)</f>
        <v>non-OECD</v>
      </c>
      <c r="AB68" s="233" t="str">
        <f>VLOOKUP(Table3[[#This Row],[Country Code]],Table29[],9,FALSE)</f>
        <v>no</v>
      </c>
      <c r="AC68" s="233" t="str">
        <f>VLOOKUP(Table3[[#This Row],[Country Code]],Table29[],10,FALSE)</f>
        <v>MENA</v>
      </c>
      <c r="AD68" s="235">
        <f>VLOOKUP(Table3[[#This Row],[Country Code]],Table29[],23,FALSE)</f>
        <v>267.82319378585998</v>
      </c>
      <c r="AE68" s="235">
        <f>VLOOKUP(Table3[[#This Row],[Country Code]],Table29[],24,FALSE)</f>
        <v>43.860911308351241</v>
      </c>
      <c r="AF68" s="42"/>
    </row>
    <row r="69" spans="1:32" ht="30" x14ac:dyDescent="0.25">
      <c r="A69" s="368">
        <v>41741</v>
      </c>
      <c r="B69" s="233" t="str">
        <f>VLOOKUP(Table3[[#This Row],[Document ID]],Table1[],2,FALSE)</f>
        <v>ARE</v>
      </c>
      <c r="C69" s="233" t="str">
        <f>VLOOKUP(Table3[[#This Row],[Document ID]],Table1[],3,FALSE)</f>
        <v>United Arab Emirates</v>
      </c>
      <c r="D69" s="233" t="str">
        <f>VLOOKUP(Table3[[#This Row],[Document ID]],Table1[],5,FALSE)</f>
        <v>LTS</v>
      </c>
      <c r="E69" s="233" t="str">
        <f>VLOOKUP(Table3[[#This Row],[Document ID]],Table1[],7,FALSE)</f>
        <v>LTS</v>
      </c>
      <c r="F69" s="241" t="str">
        <f>VLOOKUP(Table3[[#This Row],[Document ID]],Table1[],8,FALSE)</f>
        <v>LTS 1.0</v>
      </c>
      <c r="G69" s="233" t="str">
        <f>VLOOKUP(Table3[[#This Row],[Document ID]],Table1[],10,FALSE)</f>
        <v>Active</v>
      </c>
      <c r="H69" s="42" t="s">
        <v>1095</v>
      </c>
      <c r="I69" s="42" t="s">
        <v>1096</v>
      </c>
      <c r="J69" s="42" t="s">
        <v>1097</v>
      </c>
      <c r="K69" s="28" t="s">
        <v>1098</v>
      </c>
      <c r="L69" s="42" t="s">
        <v>1099</v>
      </c>
      <c r="M69" s="209">
        <v>2050</v>
      </c>
      <c r="N69" s="209" t="s">
        <v>1179</v>
      </c>
      <c r="O69" s="258">
        <v>69</v>
      </c>
      <c r="P69" s="238" t="str">
        <f>VLOOKUP(_xlfn.CONCAT(Table3[[#This Row],[Target area]],Table3[[#This Row],[GHG target?]],Table3[[#This Row],[Conditionality]]),'Drop down'!$E$81:$F$101,2,FALSE)</f>
        <v>T_Transport_O_Unc</v>
      </c>
      <c r="Q69" s="239" t="str">
        <f>VLOOKUP(Table3[[#This Row],[Target type]],Table418[[Value name]:[Value idenifyer]],2,FALSE)</f>
        <v>T_O_MODE</v>
      </c>
      <c r="T69" s="240"/>
      <c r="V69" s="233" t="str">
        <f>VLOOKUP(Table3[[#This Row],[Country Code]],Table29[],3,FALSE)</f>
        <v>Non-Annex I</v>
      </c>
      <c r="W69" s="233" t="str">
        <f>VLOOKUP(Table3[[#This Row],[Country Code]],Table29[],4,FALSE)</f>
        <v>Asia</v>
      </c>
      <c r="X69" s="233" t="str">
        <f>VLOOKUP(Table3[[#This Row],[Country Code]],Table29[],5,FALSE)</f>
        <v>High-income</v>
      </c>
      <c r="Y69" s="233" t="str">
        <f>VLOOKUP(Table3[[#This Row],[Country Code]],Table29[],6,FALSE)</f>
        <v>no</v>
      </c>
      <c r="Z69" s="233" t="str">
        <f>VLOOKUP(Table3[[#This Row],[Country Code]],Table29[],7,FALSE)</f>
        <v>no</v>
      </c>
      <c r="AA69" s="233" t="str">
        <f>VLOOKUP(Table3[[#This Row],[Country Code]],Table29[],8,FALSE)</f>
        <v>non-OECD</v>
      </c>
      <c r="AB69" s="233" t="str">
        <f>VLOOKUP(Table3[[#This Row],[Country Code]],Table29[],9,FALSE)</f>
        <v>no</v>
      </c>
      <c r="AC69" s="233" t="str">
        <f>VLOOKUP(Table3[[#This Row],[Country Code]],Table29[],10,FALSE)</f>
        <v>MENA</v>
      </c>
      <c r="AD69" s="235">
        <f>VLOOKUP(Table3[[#This Row],[Country Code]],Table29[],23,FALSE)</f>
        <v>267.82319378585998</v>
      </c>
      <c r="AE69" s="235">
        <f>VLOOKUP(Table3[[#This Row],[Country Code]],Table29[],24,FALSE)</f>
        <v>43.860911308351241</v>
      </c>
      <c r="AF69" s="42"/>
    </row>
    <row r="70" spans="1:32" ht="45" x14ac:dyDescent="0.25">
      <c r="A70" s="368">
        <v>41741</v>
      </c>
      <c r="B70" s="233" t="str">
        <f>VLOOKUP(Table3[[#This Row],[Document ID]],Table1[],2,FALSE)</f>
        <v>ARE</v>
      </c>
      <c r="C70" s="233" t="str">
        <f>VLOOKUP(Table3[[#This Row],[Document ID]],Table1[],3,FALSE)</f>
        <v>United Arab Emirates</v>
      </c>
      <c r="D70" s="233" t="str">
        <f>VLOOKUP(Table3[[#This Row],[Document ID]],Table1[],5,FALSE)</f>
        <v>LTS</v>
      </c>
      <c r="E70" s="233" t="str">
        <f>VLOOKUP(Table3[[#This Row],[Document ID]],Table1[],7,FALSE)</f>
        <v>LTS</v>
      </c>
      <c r="F70" s="241" t="str">
        <f>VLOOKUP(Table3[[#This Row],[Document ID]],Table1[],8,FALSE)</f>
        <v>LTS 1.0</v>
      </c>
      <c r="G70" s="233" t="str">
        <f>VLOOKUP(Table3[[#This Row],[Document ID]],Table1[],10,FALSE)</f>
        <v>Active</v>
      </c>
      <c r="H70" s="42" t="s">
        <v>1095</v>
      </c>
      <c r="I70" s="42" t="s">
        <v>1096</v>
      </c>
      <c r="J70" s="42" t="s">
        <v>1097</v>
      </c>
      <c r="K70" s="28" t="s">
        <v>1162</v>
      </c>
      <c r="L70" s="389" t="s">
        <v>1099</v>
      </c>
      <c r="M70" s="209">
        <v>2050</v>
      </c>
      <c r="N70" s="209" t="s">
        <v>1180</v>
      </c>
      <c r="O70" s="258">
        <v>69</v>
      </c>
      <c r="P70" s="238" t="str">
        <f>VLOOKUP(_xlfn.CONCAT(Table3[[#This Row],[Target area]],Table3[[#This Row],[GHG target?]],Table3[[#This Row],[Conditionality]]),'Drop down'!$E$81:$F$101,2,FALSE)</f>
        <v>T_Transport_O_Unc</v>
      </c>
      <c r="Q70" s="239" t="str">
        <f>VLOOKUP(Table3[[#This Row],[Target type]],Table418[[Value name]:[Value idenifyer]],2,FALSE)</f>
        <v>T_O_INFRA</v>
      </c>
      <c r="T70" s="240"/>
      <c r="V70" s="233" t="str">
        <f>VLOOKUP(Table3[[#This Row],[Country Code]],Table29[],3,FALSE)</f>
        <v>Non-Annex I</v>
      </c>
      <c r="W70" s="233" t="str">
        <f>VLOOKUP(Table3[[#This Row],[Country Code]],Table29[],4,FALSE)</f>
        <v>Asia</v>
      </c>
      <c r="X70" s="233" t="str">
        <f>VLOOKUP(Table3[[#This Row],[Country Code]],Table29[],5,FALSE)</f>
        <v>High-income</v>
      </c>
      <c r="Y70" s="233" t="str">
        <f>VLOOKUP(Table3[[#This Row],[Country Code]],Table29[],6,FALSE)</f>
        <v>no</v>
      </c>
      <c r="Z70" s="233" t="str">
        <f>VLOOKUP(Table3[[#This Row],[Country Code]],Table29[],7,FALSE)</f>
        <v>no</v>
      </c>
      <c r="AA70" s="233" t="str">
        <f>VLOOKUP(Table3[[#This Row],[Country Code]],Table29[],8,FALSE)</f>
        <v>non-OECD</v>
      </c>
      <c r="AB70" s="233" t="str">
        <f>VLOOKUP(Table3[[#This Row],[Country Code]],Table29[],9,FALSE)</f>
        <v>no</v>
      </c>
      <c r="AC70" s="233" t="str">
        <f>VLOOKUP(Table3[[#This Row],[Country Code]],Table29[],10,FALSE)</f>
        <v>MENA</v>
      </c>
      <c r="AD70" s="235">
        <f>VLOOKUP(Table3[[#This Row],[Country Code]],Table29[],23,FALSE)</f>
        <v>267.82319378585998</v>
      </c>
      <c r="AE70" s="235">
        <f>VLOOKUP(Table3[[#This Row],[Country Code]],Table29[],24,FALSE)</f>
        <v>43.860911308351241</v>
      </c>
      <c r="AF70" s="42"/>
    </row>
    <row r="71" spans="1:32" ht="30" x14ac:dyDescent="0.25">
      <c r="A71" s="360">
        <v>17524</v>
      </c>
      <c r="B71" s="233" t="str">
        <f>VLOOKUP(Table3[[#This Row],[Document ID]],Table1[],2,FALSE)</f>
        <v>BGD</v>
      </c>
      <c r="C71" s="233" t="str">
        <f>VLOOKUP(Table3[[#This Row],[Document ID]],Table1[],3,FALSE)</f>
        <v>Bangladesh</v>
      </c>
      <c r="D71" s="233" t="str">
        <f>VLOOKUP(Table3[[#This Row],[Document ID]],Table1[],5,FALSE)</f>
        <v>NDC</v>
      </c>
      <c r="E71" s="233" t="str">
        <f>VLOOKUP(Table3[[#This Row],[Document ID]],Table1[],7,FALSE)</f>
        <v>First NDC</v>
      </c>
      <c r="F71" s="233" t="str">
        <f>VLOOKUP(Table3[[#This Row],[Document ID]],Table1[],8,FALSE)</f>
        <v>NDC 1.0</v>
      </c>
      <c r="G71" s="233" t="str">
        <f>VLOOKUP(Table3[[#This Row],[Document ID]],Table1[],10,FALSE)</f>
        <v>Archived</v>
      </c>
      <c r="H71" s="216" t="s">
        <v>1089</v>
      </c>
      <c r="I71" s="216" t="s">
        <v>1089</v>
      </c>
      <c r="J71" s="43" t="s">
        <v>1090</v>
      </c>
      <c r="K71" s="28" t="s">
        <v>1091</v>
      </c>
      <c r="L71" s="42" t="s">
        <v>1099</v>
      </c>
      <c r="M71" s="209">
        <v>2030</v>
      </c>
      <c r="N71" s="176" t="s">
        <v>1181</v>
      </c>
      <c r="O71" s="258" t="s">
        <v>1094</v>
      </c>
      <c r="P71" s="238" t="str">
        <f>VLOOKUP(_xlfn.CONCAT(Table3[[#This Row],[Target area]],Table3[[#This Row],[GHG target?]],Table3[[#This Row],[Conditionality]]),'Drop down'!$E$81:$F$101,2,FALSE)</f>
        <v>T_Economy_Unc</v>
      </c>
      <c r="Q71" s="239" t="str">
        <f>VLOOKUP(Table3[[#This Row],[Target type]],Table418[[Value name]:[Value idenifyer]],2,FALSE)</f>
        <v>T_BAU</v>
      </c>
      <c r="T71" s="240"/>
      <c r="U71" s="240"/>
      <c r="V71" s="233" t="str">
        <f>VLOOKUP(Table3[[#This Row],[Country Code]],Table29[],3,FALSE)</f>
        <v>Non-Annex I</v>
      </c>
      <c r="W71" s="233" t="str">
        <f>VLOOKUP(Table3[[#This Row],[Country Code]],Table29[],4,FALSE)</f>
        <v>Asia</v>
      </c>
      <c r="X71" s="233" t="str">
        <f>VLOOKUP(Table3[[#This Row],[Country Code]],Table29[],5,FALSE)</f>
        <v>Middle-income</v>
      </c>
      <c r="Y71" s="233" t="str">
        <f>VLOOKUP(Table3[[#This Row],[Country Code]],Table29[],6,FALSE)</f>
        <v>no</v>
      </c>
      <c r="Z71" s="233" t="str">
        <f>VLOOKUP(Table3[[#This Row],[Country Code]],Table29[],7,FALSE)</f>
        <v>no</v>
      </c>
      <c r="AA71" s="233" t="str">
        <f>VLOOKUP(Table3[[#This Row],[Country Code]],Table29[],8,FALSE)</f>
        <v>non-OECD</v>
      </c>
      <c r="AB71" s="233" t="str">
        <f>VLOOKUP(Table3[[#This Row],[Country Code]],Table29[],9,FALSE)</f>
        <v>no</v>
      </c>
      <c r="AC71" s="233" t="str">
        <f>VLOOKUP(Table3[[#This Row],[Country Code]],Table29[],10,FALSE)</f>
        <v>no</v>
      </c>
      <c r="AD71" s="235">
        <f>VLOOKUP(Table3[[#This Row],[Country Code]],Table29[],23,FALSE)</f>
        <v>281.38053496815002</v>
      </c>
      <c r="AE71" s="235">
        <f>VLOOKUP(Table3[[#This Row],[Country Code]],Table29[],24,FALSE)</f>
        <v>12.410696897609901</v>
      </c>
      <c r="AF71" s="43"/>
    </row>
    <row r="72" spans="1:32" ht="30" x14ac:dyDescent="0.25">
      <c r="A72" s="360">
        <v>17524</v>
      </c>
      <c r="B72" s="233" t="str">
        <f>VLOOKUP(Table3[[#This Row],[Document ID]],Table1[],2,FALSE)</f>
        <v>BGD</v>
      </c>
      <c r="C72" s="233" t="str">
        <f>VLOOKUP(Table3[[#This Row],[Document ID]],Table1[],3,FALSE)</f>
        <v>Bangladesh</v>
      </c>
      <c r="D72" s="233" t="str">
        <f>VLOOKUP(Table3[[#This Row],[Document ID]],Table1[],5,FALSE)</f>
        <v>NDC</v>
      </c>
      <c r="E72" s="233" t="str">
        <f>VLOOKUP(Table3[[#This Row],[Document ID]],Table1[],7,FALSE)</f>
        <v>First NDC</v>
      </c>
      <c r="F72" s="233" t="str">
        <f>VLOOKUP(Table3[[#This Row],[Document ID]],Table1[],8,FALSE)</f>
        <v>NDC 1.0</v>
      </c>
      <c r="G72" s="233" t="str">
        <f>VLOOKUP(Table3[[#This Row],[Document ID]],Table1[],10,FALSE)</f>
        <v>Archived</v>
      </c>
      <c r="H72" s="216" t="s">
        <v>1089</v>
      </c>
      <c r="I72" s="216" t="s">
        <v>1089</v>
      </c>
      <c r="J72" s="43" t="s">
        <v>1090</v>
      </c>
      <c r="K72" s="28" t="s">
        <v>1091</v>
      </c>
      <c r="L72" s="216" t="s">
        <v>1092</v>
      </c>
      <c r="M72" s="209">
        <v>2030</v>
      </c>
      <c r="N72" s="176" t="s">
        <v>1182</v>
      </c>
      <c r="O72" s="258" t="s">
        <v>1094</v>
      </c>
      <c r="P72" s="238" t="str">
        <f>VLOOKUP(_xlfn.CONCAT(Table3[[#This Row],[Target area]],Table3[[#This Row],[GHG target?]],Table3[[#This Row],[Conditionality]]),'Drop down'!$E$81:$F$101,2,FALSE)</f>
        <v>T_Economy_C</v>
      </c>
      <c r="Q72" s="239" t="str">
        <f>VLOOKUP(Table3[[#This Row],[Target type]],Table418[[Value name]:[Value idenifyer]],2,FALSE)</f>
        <v>T_BAU</v>
      </c>
      <c r="T72" s="240"/>
      <c r="U72" s="240"/>
      <c r="V72" s="233" t="str">
        <f>VLOOKUP(Table3[[#This Row],[Country Code]],Table29[],3,FALSE)</f>
        <v>Non-Annex I</v>
      </c>
      <c r="W72" s="233" t="str">
        <f>VLOOKUP(Table3[[#This Row],[Country Code]],Table29[],4,FALSE)</f>
        <v>Asia</v>
      </c>
      <c r="X72" s="233" t="str">
        <f>VLOOKUP(Table3[[#This Row],[Country Code]],Table29[],5,FALSE)</f>
        <v>Middle-income</v>
      </c>
      <c r="Y72" s="233" t="str">
        <f>VLOOKUP(Table3[[#This Row],[Country Code]],Table29[],6,FALSE)</f>
        <v>no</v>
      </c>
      <c r="Z72" s="233" t="str">
        <f>VLOOKUP(Table3[[#This Row],[Country Code]],Table29[],7,FALSE)</f>
        <v>no</v>
      </c>
      <c r="AA72" s="233" t="str">
        <f>VLOOKUP(Table3[[#This Row],[Country Code]],Table29[],8,FALSE)</f>
        <v>non-OECD</v>
      </c>
      <c r="AB72" s="233" t="str">
        <f>VLOOKUP(Table3[[#This Row],[Country Code]],Table29[],9,FALSE)</f>
        <v>no</v>
      </c>
      <c r="AC72" s="233" t="str">
        <f>VLOOKUP(Table3[[#This Row],[Country Code]],Table29[],10,FALSE)</f>
        <v>no</v>
      </c>
      <c r="AD72" s="235">
        <f>VLOOKUP(Table3[[#This Row],[Country Code]],Table29[],23,FALSE)</f>
        <v>281.38053496815002</v>
      </c>
      <c r="AE72" s="235">
        <f>VLOOKUP(Table3[[#This Row],[Country Code]],Table29[],24,FALSE)</f>
        <v>12.410696897609901</v>
      </c>
      <c r="AF72" s="43"/>
    </row>
    <row r="73" spans="1:32" ht="45" x14ac:dyDescent="0.25">
      <c r="A73" s="360">
        <v>21371</v>
      </c>
      <c r="B73" s="233" t="str">
        <f>VLOOKUP(Table3[[#This Row],[Document ID]],Table1[],2,FALSE)</f>
        <v>BRB</v>
      </c>
      <c r="C73" s="233" t="str">
        <f>VLOOKUP(Table3[[#This Row],[Document ID]],Table1[],3,FALSE)</f>
        <v>Barbados</v>
      </c>
      <c r="D73" s="233" t="str">
        <f>VLOOKUP(Table3[[#This Row],[Document ID]],Table1[],5,FALSE)</f>
        <v>NDC</v>
      </c>
      <c r="E73" s="233" t="str">
        <f>VLOOKUP(Table3[[#This Row],[Document ID]],Table1[],7,FALSE)</f>
        <v>First NDC updated</v>
      </c>
      <c r="F73" s="233" t="str">
        <f>VLOOKUP(Table3[[#This Row],[Document ID]],Table1[],8,FALSE)</f>
        <v>NDC 1.1</v>
      </c>
      <c r="G73" s="233" t="str">
        <f>VLOOKUP(Table3[[#This Row],[Document ID]],Table1[],10,FALSE)</f>
        <v>Active</v>
      </c>
      <c r="H73" s="216" t="s">
        <v>1089</v>
      </c>
      <c r="I73" s="216" t="s">
        <v>1089</v>
      </c>
      <c r="J73" s="43" t="s">
        <v>1090</v>
      </c>
      <c r="K73" s="28" t="s">
        <v>1091</v>
      </c>
      <c r="L73" s="42" t="s">
        <v>1099</v>
      </c>
      <c r="M73" s="209">
        <v>2030</v>
      </c>
      <c r="N73" s="209" t="s">
        <v>1183</v>
      </c>
      <c r="O73" s="257">
        <v>15</v>
      </c>
      <c r="P73" s="238" t="str">
        <f>VLOOKUP(_xlfn.CONCAT(Table3[[#This Row],[Target area]],Table3[[#This Row],[GHG target?]],Table3[[#This Row],[Conditionality]]),'Drop down'!$E$81:$F$101,2,FALSE)</f>
        <v>T_Economy_Unc</v>
      </c>
      <c r="Q73" s="239" t="str">
        <f>VLOOKUP(Table3[[#This Row],[Target type]],Table418[[Value name]:[Value idenifyer]],2,FALSE)</f>
        <v>T_BAU</v>
      </c>
      <c r="S73" s="233" t="s">
        <v>1101</v>
      </c>
      <c r="T73" s="234" t="s">
        <v>1113</v>
      </c>
      <c r="U73" s="240"/>
      <c r="V73" s="233" t="str">
        <f>VLOOKUP(Table3[[#This Row],[Country Code]],Table29[],3,FALSE)</f>
        <v>Non-Annex I</v>
      </c>
      <c r="W73" s="233" t="str">
        <f>VLOOKUP(Table3[[#This Row],[Country Code]],Table29[],4,FALSE)</f>
        <v>Latin America and the Caribbean</v>
      </c>
      <c r="X73" s="233" t="str">
        <f>VLOOKUP(Table3[[#This Row],[Country Code]],Table29[],5,FALSE)</f>
        <v>High-income</v>
      </c>
      <c r="Y73" s="233" t="str">
        <f>VLOOKUP(Table3[[#This Row],[Country Code]],Table29[],6,FALSE)</f>
        <v>no</v>
      </c>
      <c r="Z73" s="233" t="str">
        <f>VLOOKUP(Table3[[#This Row],[Country Code]],Table29[],7,FALSE)</f>
        <v>no</v>
      </c>
      <c r="AA73" s="233" t="str">
        <f>VLOOKUP(Table3[[#This Row],[Country Code]],Table29[],8,FALSE)</f>
        <v>non-OECD</v>
      </c>
      <c r="AB73" s="233" t="str">
        <f>VLOOKUP(Table3[[#This Row],[Country Code]],Table29[],9,FALSE)</f>
        <v>no</v>
      </c>
      <c r="AC73" s="233" t="str">
        <f>VLOOKUP(Table3[[#This Row],[Country Code]],Table29[],10,FALSE)</f>
        <v>no</v>
      </c>
      <c r="AD73" s="235">
        <f>VLOOKUP(Table3[[#This Row],[Country Code]],Table29[],23,FALSE)</f>
        <v>0.98904380539195003</v>
      </c>
      <c r="AE73" s="235">
        <f>VLOOKUP(Table3[[#This Row],[Country Code]],Table29[],24,FALSE)</f>
        <v>0.25128029300322258</v>
      </c>
      <c r="AF73" s="43"/>
    </row>
    <row r="74" spans="1:32" ht="30" x14ac:dyDescent="0.25">
      <c r="A74" s="360">
        <v>21371</v>
      </c>
      <c r="B74" s="233" t="str">
        <f>VLOOKUP(Table3[[#This Row],[Document ID]],Table1[],2,FALSE)</f>
        <v>BRB</v>
      </c>
      <c r="C74" s="233" t="str">
        <f>VLOOKUP(Table3[[#This Row],[Document ID]],Table1[],3,FALSE)</f>
        <v>Barbados</v>
      </c>
      <c r="D74" s="233" t="str">
        <f>VLOOKUP(Table3[[#This Row],[Document ID]],Table1[],5,FALSE)</f>
        <v>NDC</v>
      </c>
      <c r="E74" s="233" t="str">
        <f>VLOOKUP(Table3[[#This Row],[Document ID]],Table1[],7,FALSE)</f>
        <v>First NDC updated</v>
      </c>
      <c r="F74" s="233" t="str">
        <f>VLOOKUP(Table3[[#This Row],[Document ID]],Table1[],8,FALSE)</f>
        <v>NDC 1.1</v>
      </c>
      <c r="G74" s="233" t="str">
        <f>VLOOKUP(Table3[[#This Row],[Document ID]],Table1[],10,FALSE)</f>
        <v>Active</v>
      </c>
      <c r="H74" s="216" t="s">
        <v>1089</v>
      </c>
      <c r="I74" s="216" t="s">
        <v>1089</v>
      </c>
      <c r="J74" s="43" t="s">
        <v>1090</v>
      </c>
      <c r="K74" s="28" t="s">
        <v>1091</v>
      </c>
      <c r="L74" s="216" t="s">
        <v>1092</v>
      </c>
      <c r="M74" s="209">
        <v>2030</v>
      </c>
      <c r="N74" s="209" t="s">
        <v>1184</v>
      </c>
      <c r="O74" s="257">
        <v>15</v>
      </c>
      <c r="P74" s="238" t="str">
        <f>VLOOKUP(_xlfn.CONCAT(Table3[[#This Row],[Target area]],Table3[[#This Row],[GHG target?]],Table3[[#This Row],[Conditionality]]),'Drop down'!$E$81:$F$101,2,FALSE)</f>
        <v>T_Economy_C</v>
      </c>
      <c r="Q74" s="239" t="str">
        <f>VLOOKUP(Table3[[#This Row],[Target type]],Table418[[Value name]:[Value idenifyer]],2,FALSE)</f>
        <v>T_BAU</v>
      </c>
      <c r="S74" s="233" t="s">
        <v>1101</v>
      </c>
      <c r="T74" s="234" t="s">
        <v>1113</v>
      </c>
      <c r="U74" s="240"/>
      <c r="V74" s="233" t="str">
        <f>VLOOKUP(Table3[[#This Row],[Country Code]],Table29[],3,FALSE)</f>
        <v>Non-Annex I</v>
      </c>
      <c r="W74" s="233" t="str">
        <f>VLOOKUP(Table3[[#This Row],[Country Code]],Table29[],4,FALSE)</f>
        <v>Latin America and the Caribbean</v>
      </c>
      <c r="X74" s="233" t="str">
        <f>VLOOKUP(Table3[[#This Row],[Country Code]],Table29[],5,FALSE)</f>
        <v>High-income</v>
      </c>
      <c r="Y74" s="233" t="str">
        <f>VLOOKUP(Table3[[#This Row],[Country Code]],Table29[],6,FALSE)</f>
        <v>no</v>
      </c>
      <c r="Z74" s="233" t="str">
        <f>VLOOKUP(Table3[[#This Row],[Country Code]],Table29[],7,FALSE)</f>
        <v>no</v>
      </c>
      <c r="AA74" s="233" t="str">
        <f>VLOOKUP(Table3[[#This Row],[Country Code]],Table29[],8,FALSE)</f>
        <v>non-OECD</v>
      </c>
      <c r="AB74" s="233" t="str">
        <f>VLOOKUP(Table3[[#This Row],[Country Code]],Table29[],9,FALSE)</f>
        <v>no</v>
      </c>
      <c r="AC74" s="233" t="str">
        <f>VLOOKUP(Table3[[#This Row],[Country Code]],Table29[],10,FALSE)</f>
        <v>no</v>
      </c>
      <c r="AD74" s="235">
        <f>VLOOKUP(Table3[[#This Row],[Country Code]],Table29[],23,FALSE)</f>
        <v>0.98904380539195003</v>
      </c>
      <c r="AE74" s="235">
        <f>VLOOKUP(Table3[[#This Row],[Country Code]],Table29[],24,FALSE)</f>
        <v>0.25128029300322258</v>
      </c>
      <c r="AF74" s="43"/>
    </row>
    <row r="75" spans="1:32" x14ac:dyDescent="0.25">
      <c r="A75" s="360">
        <v>21371</v>
      </c>
      <c r="B75" s="233" t="str">
        <f>VLOOKUP(Table3[[#This Row],[Document ID]],Table1[],2,FALSE)</f>
        <v>BRB</v>
      </c>
      <c r="C75" s="233" t="str">
        <f>VLOOKUP(Table3[[#This Row],[Document ID]],Table1[],3,FALSE)</f>
        <v>Barbados</v>
      </c>
      <c r="D75" s="233" t="str">
        <f>VLOOKUP(Table3[[#This Row],[Document ID]],Table1[],5,FALSE)</f>
        <v>NDC</v>
      </c>
      <c r="E75" s="233" t="str">
        <f>VLOOKUP(Table3[[#This Row],[Document ID]],Table1[],7,FALSE)</f>
        <v>First NDC updated</v>
      </c>
      <c r="F75" s="233" t="str">
        <f>VLOOKUP(Table3[[#This Row],[Document ID]],Table1[],8,FALSE)</f>
        <v>NDC 1.1</v>
      </c>
      <c r="G75" s="233" t="str">
        <f>VLOOKUP(Table3[[#This Row],[Document ID]],Table1[],10,FALSE)</f>
        <v>Active</v>
      </c>
      <c r="H75" s="43" t="s">
        <v>1114</v>
      </c>
      <c r="I75" s="43" t="s">
        <v>1115</v>
      </c>
      <c r="J75" s="42" t="s">
        <v>1097</v>
      </c>
      <c r="K75" s="28" t="s">
        <v>1118</v>
      </c>
      <c r="L75" s="43" t="s">
        <v>1116</v>
      </c>
      <c r="M75" s="209">
        <v>2030</v>
      </c>
      <c r="N75" s="209" t="s">
        <v>1185</v>
      </c>
      <c r="O75" s="257">
        <v>15</v>
      </c>
      <c r="P75" s="238" t="str">
        <f>VLOOKUP(_xlfn.CONCAT(Table3[[#This Row],[Target area]],Table3[[#This Row],[GHG target?]],Table3[[#This Row],[Conditionality]]),'Drop down'!$E$81:$F$101,2,FALSE)</f>
        <v>T_Energy_O</v>
      </c>
      <c r="Q75" s="239" t="str">
        <f>VLOOKUP(Table3[[#This Row],[Target type]],Table418[[Value name]:[Value idenifyer]],2,FALSE)</f>
        <v>T_E_REN</v>
      </c>
      <c r="S75" s="233" t="s">
        <v>1101</v>
      </c>
      <c r="T75" s="234" t="s">
        <v>1113</v>
      </c>
      <c r="U75" s="240"/>
      <c r="V75" s="233" t="str">
        <f>VLOOKUP(Table3[[#This Row],[Country Code]],Table29[],3,FALSE)</f>
        <v>Non-Annex I</v>
      </c>
      <c r="W75" s="233" t="str">
        <f>VLOOKUP(Table3[[#This Row],[Country Code]],Table29[],4,FALSE)</f>
        <v>Latin America and the Caribbean</v>
      </c>
      <c r="X75" s="233" t="str">
        <f>VLOOKUP(Table3[[#This Row],[Country Code]],Table29[],5,FALSE)</f>
        <v>High-income</v>
      </c>
      <c r="Y75" s="233" t="str">
        <f>VLOOKUP(Table3[[#This Row],[Country Code]],Table29[],6,FALSE)</f>
        <v>no</v>
      </c>
      <c r="Z75" s="233" t="str">
        <f>VLOOKUP(Table3[[#This Row],[Country Code]],Table29[],7,FALSE)</f>
        <v>no</v>
      </c>
      <c r="AA75" s="233" t="str">
        <f>VLOOKUP(Table3[[#This Row],[Country Code]],Table29[],8,FALSE)</f>
        <v>non-OECD</v>
      </c>
      <c r="AB75" s="233" t="str">
        <f>VLOOKUP(Table3[[#This Row],[Country Code]],Table29[],9,FALSE)</f>
        <v>no</v>
      </c>
      <c r="AC75" s="233" t="str">
        <f>VLOOKUP(Table3[[#This Row],[Country Code]],Table29[],10,FALSE)</f>
        <v>no</v>
      </c>
      <c r="AD75" s="235">
        <f>VLOOKUP(Table3[[#This Row],[Country Code]],Table29[],23,FALSE)</f>
        <v>0.98904380539195003</v>
      </c>
      <c r="AE75" s="235">
        <f>VLOOKUP(Table3[[#This Row],[Country Code]],Table29[],24,FALSE)</f>
        <v>0.25128029300322258</v>
      </c>
      <c r="AF75" s="43"/>
    </row>
    <row r="76" spans="1:32" ht="60" x14ac:dyDescent="0.25">
      <c r="A76" s="368">
        <v>41741</v>
      </c>
      <c r="B76" s="233" t="str">
        <f>VLOOKUP(Table3[[#This Row],[Document ID]],Table1[],2,FALSE)</f>
        <v>ARE</v>
      </c>
      <c r="C76" s="233" t="str">
        <f>VLOOKUP(Table3[[#This Row],[Document ID]],Table1[],3,FALSE)</f>
        <v>United Arab Emirates</v>
      </c>
      <c r="D76" s="233" t="str">
        <f>VLOOKUP(Table3[[#This Row],[Document ID]],Table1[],5,FALSE)</f>
        <v>LTS</v>
      </c>
      <c r="E76" s="233" t="str">
        <f>VLOOKUP(Table3[[#This Row],[Document ID]],Table1[],7,FALSE)</f>
        <v>LTS</v>
      </c>
      <c r="F76" s="241" t="str">
        <f>VLOOKUP(Table3[[#This Row],[Document ID]],Table1[],8,FALSE)</f>
        <v>LTS 1.0</v>
      </c>
      <c r="G76" s="233" t="str">
        <f>VLOOKUP(Table3[[#This Row],[Document ID]],Table1[],10,FALSE)</f>
        <v>Active</v>
      </c>
      <c r="H76" s="42" t="s">
        <v>1095</v>
      </c>
      <c r="I76" s="42" t="s">
        <v>1096</v>
      </c>
      <c r="J76" s="42" t="s">
        <v>1097</v>
      </c>
      <c r="K76" s="28" t="s">
        <v>1104</v>
      </c>
      <c r="L76" s="42" t="s">
        <v>1099</v>
      </c>
      <c r="M76" s="209">
        <v>2050</v>
      </c>
      <c r="N76" s="209" t="s">
        <v>1186</v>
      </c>
      <c r="O76" s="258">
        <v>69</v>
      </c>
      <c r="P76" s="238" t="str">
        <f>VLOOKUP(_xlfn.CONCAT(Table3[[#This Row],[Target area]],Table3[[#This Row],[GHG target?]],Table3[[#This Row],[Conditionality]]),'Drop down'!$E$81:$F$101,2,FALSE)</f>
        <v>T_Transport_O_Unc</v>
      </c>
      <c r="Q76" s="239" t="str">
        <f>VLOOKUP(Table3[[#This Row],[Target type]],Table418[[Value name]:[Value idenifyer]],2,FALSE)</f>
        <v>T_O_ZERO</v>
      </c>
      <c r="T76" s="240"/>
      <c r="V76" s="233" t="str">
        <f>VLOOKUP(Table3[[#This Row],[Country Code]],Table29[],3,FALSE)</f>
        <v>Non-Annex I</v>
      </c>
      <c r="W76" s="233" t="str">
        <f>VLOOKUP(Table3[[#This Row],[Country Code]],Table29[],4,FALSE)</f>
        <v>Asia</v>
      </c>
      <c r="X76" s="233" t="str">
        <f>VLOOKUP(Table3[[#This Row],[Country Code]],Table29[],5,FALSE)</f>
        <v>High-income</v>
      </c>
      <c r="Y76" s="233" t="str">
        <f>VLOOKUP(Table3[[#This Row],[Country Code]],Table29[],6,FALSE)</f>
        <v>no</v>
      </c>
      <c r="Z76" s="233" t="str">
        <f>VLOOKUP(Table3[[#This Row],[Country Code]],Table29[],7,FALSE)</f>
        <v>no</v>
      </c>
      <c r="AA76" s="233" t="str">
        <f>VLOOKUP(Table3[[#This Row],[Country Code]],Table29[],8,FALSE)</f>
        <v>non-OECD</v>
      </c>
      <c r="AB76" s="233" t="str">
        <f>VLOOKUP(Table3[[#This Row],[Country Code]],Table29[],9,FALSE)</f>
        <v>no</v>
      </c>
      <c r="AC76" s="233" t="str">
        <f>VLOOKUP(Table3[[#This Row],[Country Code]],Table29[],10,FALSE)</f>
        <v>MENA</v>
      </c>
      <c r="AD76" s="235">
        <f>VLOOKUP(Table3[[#This Row],[Country Code]],Table29[],23,FALSE)</f>
        <v>267.82319378585998</v>
      </c>
      <c r="AE76" s="235">
        <f>VLOOKUP(Table3[[#This Row],[Country Code]],Table29[],24,FALSE)</f>
        <v>43.860911308351241</v>
      </c>
      <c r="AF76" s="42"/>
    </row>
    <row r="77" spans="1:32" ht="30" x14ac:dyDescent="0.25">
      <c r="A77" s="368">
        <v>41741</v>
      </c>
      <c r="B77" s="233" t="str">
        <f>VLOOKUP(Table3[[#This Row],[Document ID]],Table1[],2,FALSE)</f>
        <v>ARE</v>
      </c>
      <c r="C77" s="233" t="str">
        <f>VLOOKUP(Table3[[#This Row],[Document ID]],Table1[],3,FALSE)</f>
        <v>United Arab Emirates</v>
      </c>
      <c r="D77" s="233" t="str">
        <f>VLOOKUP(Table3[[#This Row],[Document ID]],Table1[],5,FALSE)</f>
        <v>LTS</v>
      </c>
      <c r="E77" s="233" t="str">
        <f>VLOOKUP(Table3[[#This Row],[Document ID]],Table1[],7,FALSE)</f>
        <v>LTS</v>
      </c>
      <c r="F77" s="241" t="str">
        <f>VLOOKUP(Table3[[#This Row],[Document ID]],Table1[],8,FALSE)</f>
        <v>LTS 1.0</v>
      </c>
      <c r="G77" s="233" t="str">
        <f>VLOOKUP(Table3[[#This Row],[Document ID]],Table1[],10,FALSE)</f>
        <v>Active</v>
      </c>
      <c r="H77" s="42" t="s">
        <v>1095</v>
      </c>
      <c r="I77" s="42" t="s">
        <v>1096</v>
      </c>
      <c r="J77" s="42" t="s">
        <v>1097</v>
      </c>
      <c r="K77" s="28" t="s">
        <v>1098</v>
      </c>
      <c r="L77" s="389" t="s">
        <v>1099</v>
      </c>
      <c r="M77" s="209">
        <v>2050</v>
      </c>
      <c r="N77" s="209" t="s">
        <v>1187</v>
      </c>
      <c r="O77" s="258">
        <v>70</v>
      </c>
      <c r="P77" s="238" t="str">
        <f>VLOOKUP(_xlfn.CONCAT(Table3[[#This Row],[Target area]],Table3[[#This Row],[GHG target?]],Table3[[#This Row],[Conditionality]]),'Drop down'!$E$81:$F$101,2,FALSE)</f>
        <v>T_Transport_O_Unc</v>
      </c>
      <c r="Q77" s="239" t="str">
        <f>VLOOKUP(Table3[[#This Row],[Target type]],Table418[[Value name]:[Value idenifyer]],2,FALSE)</f>
        <v>T_O_MODE</v>
      </c>
      <c r="T77" s="240"/>
      <c r="V77" s="233" t="str">
        <f>VLOOKUP(Table3[[#This Row],[Country Code]],Table29[],3,FALSE)</f>
        <v>Non-Annex I</v>
      </c>
      <c r="W77" s="233" t="str">
        <f>VLOOKUP(Table3[[#This Row],[Country Code]],Table29[],4,FALSE)</f>
        <v>Asia</v>
      </c>
      <c r="X77" s="233" t="str">
        <f>VLOOKUP(Table3[[#This Row],[Country Code]],Table29[],5,FALSE)</f>
        <v>High-income</v>
      </c>
      <c r="Y77" s="233" t="str">
        <f>VLOOKUP(Table3[[#This Row],[Country Code]],Table29[],6,FALSE)</f>
        <v>no</v>
      </c>
      <c r="Z77" s="233" t="str">
        <f>VLOOKUP(Table3[[#This Row],[Country Code]],Table29[],7,FALSE)</f>
        <v>no</v>
      </c>
      <c r="AA77" s="233" t="str">
        <f>VLOOKUP(Table3[[#This Row],[Country Code]],Table29[],8,FALSE)</f>
        <v>non-OECD</v>
      </c>
      <c r="AB77" s="233" t="str">
        <f>VLOOKUP(Table3[[#This Row],[Country Code]],Table29[],9,FALSE)</f>
        <v>no</v>
      </c>
      <c r="AC77" s="233" t="str">
        <f>VLOOKUP(Table3[[#This Row],[Country Code]],Table29[],10,FALSE)</f>
        <v>MENA</v>
      </c>
      <c r="AD77" s="235">
        <f>VLOOKUP(Table3[[#This Row],[Country Code]],Table29[],23,FALSE)</f>
        <v>267.82319378585998</v>
      </c>
      <c r="AE77" s="235">
        <f>VLOOKUP(Table3[[#This Row],[Country Code]],Table29[],24,FALSE)</f>
        <v>43.860911308351241</v>
      </c>
      <c r="AF77" s="42"/>
    </row>
    <row r="78" spans="1:32" ht="45" x14ac:dyDescent="0.25">
      <c r="A78" s="360">
        <v>17526</v>
      </c>
      <c r="B78" s="233" t="str">
        <f>VLOOKUP(Table3[[#This Row],[Document ID]],Table1[],2,FALSE)</f>
        <v>BRB</v>
      </c>
      <c r="C78" s="233" t="str">
        <f>VLOOKUP(Table3[[#This Row],[Document ID]],Table1[],3,FALSE)</f>
        <v>Barbados</v>
      </c>
      <c r="D78" s="233" t="str">
        <f>VLOOKUP(Table3[[#This Row],[Document ID]],Table1[],5,FALSE)</f>
        <v>NDC</v>
      </c>
      <c r="E78" s="233" t="str">
        <f>VLOOKUP(Table3[[#This Row],[Document ID]],Table1[],7,FALSE)</f>
        <v>First NDC</v>
      </c>
      <c r="F78" s="233" t="str">
        <f>VLOOKUP(Table3[[#This Row],[Document ID]],Table1[],8,FALSE)</f>
        <v>NDC 1.0</v>
      </c>
      <c r="G78" s="233" t="str">
        <f>VLOOKUP(Table3[[#This Row],[Document ID]],Table1[],10,FALSE)</f>
        <v>Archived</v>
      </c>
      <c r="H78" s="216" t="s">
        <v>1089</v>
      </c>
      <c r="I78" s="216" t="s">
        <v>1089</v>
      </c>
      <c r="J78" s="43" t="s">
        <v>1090</v>
      </c>
      <c r="K78" s="28" t="s">
        <v>1091</v>
      </c>
      <c r="L78" s="42" t="s">
        <v>1099</v>
      </c>
      <c r="M78" s="209">
        <v>2030</v>
      </c>
      <c r="N78" s="176" t="s">
        <v>1188</v>
      </c>
      <c r="O78" s="258" t="s">
        <v>1094</v>
      </c>
      <c r="P78" s="238" t="str">
        <f>VLOOKUP(_xlfn.CONCAT(Table3[[#This Row],[Target area]],Table3[[#This Row],[GHG target?]],Table3[[#This Row],[Conditionality]]),'Drop down'!$E$81:$F$101,2,FALSE)</f>
        <v>T_Economy_Unc</v>
      </c>
      <c r="Q78" s="239" t="str">
        <f>VLOOKUP(Table3[[#This Row],[Target type]],Table418[[Value name]:[Value idenifyer]],2,FALSE)</f>
        <v>T_BAU</v>
      </c>
      <c r="T78" s="234" t="s">
        <v>1113</v>
      </c>
      <c r="U78" s="240"/>
      <c r="V78" s="233" t="str">
        <f>VLOOKUP(Table3[[#This Row],[Country Code]],Table29[],3,FALSE)</f>
        <v>Non-Annex I</v>
      </c>
      <c r="W78" s="233" t="str">
        <f>VLOOKUP(Table3[[#This Row],[Country Code]],Table29[],4,FALSE)</f>
        <v>Latin America and the Caribbean</v>
      </c>
      <c r="X78" s="233" t="str">
        <f>VLOOKUP(Table3[[#This Row],[Country Code]],Table29[],5,FALSE)</f>
        <v>High-income</v>
      </c>
      <c r="Y78" s="233" t="str">
        <f>VLOOKUP(Table3[[#This Row],[Country Code]],Table29[],6,FALSE)</f>
        <v>no</v>
      </c>
      <c r="Z78" s="233" t="str">
        <f>VLOOKUP(Table3[[#This Row],[Country Code]],Table29[],7,FALSE)</f>
        <v>no</v>
      </c>
      <c r="AA78" s="233" t="str">
        <f>VLOOKUP(Table3[[#This Row],[Country Code]],Table29[],8,FALSE)</f>
        <v>non-OECD</v>
      </c>
      <c r="AB78" s="233" t="str">
        <f>VLOOKUP(Table3[[#This Row],[Country Code]],Table29[],9,FALSE)</f>
        <v>no</v>
      </c>
      <c r="AC78" s="233" t="str">
        <f>VLOOKUP(Table3[[#This Row],[Country Code]],Table29[],10,FALSE)</f>
        <v>no</v>
      </c>
      <c r="AD78" s="235">
        <f>VLOOKUP(Table3[[#This Row],[Country Code]],Table29[],23,FALSE)</f>
        <v>0.98904380539195003</v>
      </c>
      <c r="AE78" s="235">
        <f>VLOOKUP(Table3[[#This Row],[Country Code]],Table29[],24,FALSE)</f>
        <v>0.25128029300322258</v>
      </c>
      <c r="AF78" s="43"/>
    </row>
    <row r="79" spans="1:32" ht="30" x14ac:dyDescent="0.25">
      <c r="A79" s="360">
        <v>23370</v>
      </c>
      <c r="B79" s="233" t="str">
        <f>VLOOKUP(Table3[[#This Row],[Document ID]],Table1[],2,FALSE)</f>
        <v>BLR</v>
      </c>
      <c r="C79" s="233" t="str">
        <f>VLOOKUP(Table3[[#This Row],[Document ID]],Table1[],3,FALSE)</f>
        <v>Belarus</v>
      </c>
      <c r="D79" s="233" t="str">
        <f>VLOOKUP(Table3[[#This Row],[Document ID]],Table1[],5,FALSE)</f>
        <v>NDC</v>
      </c>
      <c r="E79" s="233" t="str">
        <f>VLOOKUP(Table3[[#This Row],[Document ID]],Table1[],7,FALSE)</f>
        <v>First NDC updated</v>
      </c>
      <c r="F79" s="233" t="str">
        <f>VLOOKUP(Table3[[#This Row],[Document ID]],Table1[],8,FALSE)</f>
        <v>NDC 1.1</v>
      </c>
      <c r="G79" s="233" t="str">
        <f>VLOOKUP(Table3[[#This Row],[Document ID]],Table1[],10,FALSE)</f>
        <v>Active</v>
      </c>
      <c r="H79" s="216" t="s">
        <v>1089</v>
      </c>
      <c r="I79" s="216" t="s">
        <v>1089</v>
      </c>
      <c r="J79" s="43" t="s">
        <v>1090</v>
      </c>
      <c r="K79" s="28" t="s">
        <v>1153</v>
      </c>
      <c r="L79" s="42" t="s">
        <v>1099</v>
      </c>
      <c r="M79" s="209">
        <v>2030</v>
      </c>
      <c r="N79" s="209" t="s">
        <v>1189</v>
      </c>
      <c r="O79" s="257">
        <v>1</v>
      </c>
      <c r="P79" s="238" t="str">
        <f>VLOOKUP(_xlfn.CONCAT(Table3[[#This Row],[Target area]],Table3[[#This Row],[GHG target?]],Table3[[#This Row],[Conditionality]]),'Drop down'!$E$81:$F$101,2,FALSE)</f>
        <v>T_Economy_Unc</v>
      </c>
      <c r="Q79" s="239" t="str">
        <f>VLOOKUP(Table3[[#This Row],[Target type]],Table418[[Value name]:[Value idenifyer]],2,FALSE)</f>
        <v>T_BYE</v>
      </c>
      <c r="T79" s="240"/>
      <c r="U79" s="240"/>
      <c r="V79" s="233" t="str">
        <f>VLOOKUP(Table3[[#This Row],[Country Code]],Table29[],3,FALSE)</f>
        <v>Annex I</v>
      </c>
      <c r="W79" s="233" t="str">
        <f>VLOOKUP(Table3[[#This Row],[Country Code]],Table29[],4,FALSE)</f>
        <v>Europe</v>
      </c>
      <c r="X79" s="233" t="str">
        <f>VLOOKUP(Table3[[#This Row],[Country Code]],Table29[],5,FALSE)</f>
        <v>Middle-income</v>
      </c>
      <c r="Y79" s="233" t="str">
        <f>VLOOKUP(Table3[[#This Row],[Country Code]],Table29[],6,FALSE)</f>
        <v>no</v>
      </c>
      <c r="Z79" s="233" t="str">
        <f>VLOOKUP(Table3[[#This Row],[Country Code]],Table29[],7,FALSE)</f>
        <v>no</v>
      </c>
      <c r="AA79" s="233" t="str">
        <f>VLOOKUP(Table3[[#This Row],[Country Code]],Table29[],8,FALSE)</f>
        <v>non-OECD</v>
      </c>
      <c r="AB79" s="233" t="str">
        <f>VLOOKUP(Table3[[#This Row],[Country Code]],Table29[],9,FALSE)</f>
        <v>no</v>
      </c>
      <c r="AC79" s="233" t="str">
        <f>VLOOKUP(Table3[[#This Row],[Country Code]],Table29[],10,FALSE)</f>
        <v>no</v>
      </c>
      <c r="AD79" s="235">
        <f>VLOOKUP(Table3[[#This Row],[Country Code]],Table29[],23,FALSE)</f>
        <v>84.277601484293001</v>
      </c>
      <c r="AE79" s="235">
        <f>VLOOKUP(Table3[[#This Row],[Country Code]],Table29[],24,FALSE)</f>
        <v>9.8730073698737328</v>
      </c>
      <c r="AF79" s="43"/>
    </row>
    <row r="80" spans="1:32" ht="30" x14ac:dyDescent="0.25">
      <c r="A80" s="360">
        <v>23370</v>
      </c>
      <c r="B80" s="233" t="str">
        <f>VLOOKUP(Table3[[#This Row],[Document ID]],Table1[],2,FALSE)</f>
        <v>BLR</v>
      </c>
      <c r="C80" s="233" t="str">
        <f>VLOOKUP(Table3[[#This Row],[Document ID]],Table1[],3,FALSE)</f>
        <v>Belarus</v>
      </c>
      <c r="D80" s="233" t="str">
        <f>VLOOKUP(Table3[[#This Row],[Document ID]],Table1[],5,FALSE)</f>
        <v>NDC</v>
      </c>
      <c r="E80" s="233" t="str">
        <f>VLOOKUP(Table3[[#This Row],[Document ID]],Table1[],7,FALSE)</f>
        <v>First NDC updated</v>
      </c>
      <c r="F80" s="233" t="str">
        <f>VLOOKUP(Table3[[#This Row],[Document ID]],Table1[],8,FALSE)</f>
        <v>NDC 1.1</v>
      </c>
      <c r="G80" s="233" t="str">
        <f>VLOOKUP(Table3[[#This Row],[Document ID]],Table1[],10,FALSE)</f>
        <v>Active</v>
      </c>
      <c r="H80" s="216" t="s">
        <v>1089</v>
      </c>
      <c r="I80" s="216" t="s">
        <v>1089</v>
      </c>
      <c r="J80" s="43" t="s">
        <v>1090</v>
      </c>
      <c r="K80" s="28" t="s">
        <v>1153</v>
      </c>
      <c r="L80" s="216" t="s">
        <v>1092</v>
      </c>
      <c r="M80" s="209">
        <v>2030</v>
      </c>
      <c r="N80" s="209" t="s">
        <v>1190</v>
      </c>
      <c r="O80" s="257">
        <v>2</v>
      </c>
      <c r="P80" s="238" t="str">
        <f>VLOOKUP(_xlfn.CONCAT(Table3[[#This Row],[Target area]],Table3[[#This Row],[GHG target?]],Table3[[#This Row],[Conditionality]]),'Drop down'!$E$81:$F$101,2,FALSE)</f>
        <v>T_Economy_C</v>
      </c>
      <c r="Q80" s="239" t="str">
        <f>VLOOKUP(Table3[[#This Row],[Target type]],Table418[[Value name]:[Value idenifyer]],2,FALSE)</f>
        <v>T_BYE</v>
      </c>
      <c r="T80" s="240"/>
      <c r="U80" s="240"/>
      <c r="V80" s="233" t="str">
        <f>VLOOKUP(Table3[[#This Row],[Country Code]],Table29[],3,FALSE)</f>
        <v>Annex I</v>
      </c>
      <c r="W80" s="233" t="str">
        <f>VLOOKUP(Table3[[#This Row],[Country Code]],Table29[],4,FALSE)</f>
        <v>Europe</v>
      </c>
      <c r="X80" s="233" t="str">
        <f>VLOOKUP(Table3[[#This Row],[Country Code]],Table29[],5,FALSE)</f>
        <v>Middle-income</v>
      </c>
      <c r="Y80" s="233" t="str">
        <f>VLOOKUP(Table3[[#This Row],[Country Code]],Table29[],6,FALSE)</f>
        <v>no</v>
      </c>
      <c r="Z80" s="233" t="str">
        <f>VLOOKUP(Table3[[#This Row],[Country Code]],Table29[],7,FALSE)</f>
        <v>no</v>
      </c>
      <c r="AA80" s="233" t="str">
        <f>VLOOKUP(Table3[[#This Row],[Country Code]],Table29[],8,FALSE)</f>
        <v>non-OECD</v>
      </c>
      <c r="AB80" s="233" t="str">
        <f>VLOOKUP(Table3[[#This Row],[Country Code]],Table29[],9,FALSE)</f>
        <v>no</v>
      </c>
      <c r="AC80" s="233" t="str">
        <f>VLOOKUP(Table3[[#This Row],[Country Code]],Table29[],10,FALSE)</f>
        <v>no</v>
      </c>
      <c r="AD80" s="235">
        <f>VLOOKUP(Table3[[#This Row],[Country Code]],Table29[],23,FALSE)</f>
        <v>84.277601484293001</v>
      </c>
      <c r="AE80" s="235">
        <f>VLOOKUP(Table3[[#This Row],[Country Code]],Table29[],24,FALSE)</f>
        <v>9.8730073698737328</v>
      </c>
      <c r="AF80" s="43"/>
    </row>
    <row r="81" spans="1:32" x14ac:dyDescent="0.25">
      <c r="A81" s="360">
        <v>17527</v>
      </c>
      <c r="B81" s="233" t="str">
        <f>VLOOKUP(Table3[[#This Row],[Document ID]],Table1[],2,FALSE)</f>
        <v>BLR</v>
      </c>
      <c r="C81" s="233" t="str">
        <f>VLOOKUP(Table3[[#This Row],[Document ID]],Table1[],3,FALSE)</f>
        <v>Belarus</v>
      </c>
      <c r="D81" s="233" t="str">
        <f>VLOOKUP(Table3[[#This Row],[Document ID]],Table1[],5,FALSE)</f>
        <v>NDC</v>
      </c>
      <c r="E81" s="233" t="str">
        <f>VLOOKUP(Table3[[#This Row],[Document ID]],Table1[],7,FALSE)</f>
        <v>First NDC</v>
      </c>
      <c r="F81" s="233" t="str">
        <f>VLOOKUP(Table3[[#This Row],[Document ID]],Table1[],8,FALSE)</f>
        <v>NDC 1.0</v>
      </c>
      <c r="G81" s="233" t="str">
        <f>VLOOKUP(Table3[[#This Row],[Document ID]],Table1[],10,FALSE)</f>
        <v>Archived</v>
      </c>
      <c r="H81" s="216" t="s">
        <v>1089</v>
      </c>
      <c r="I81" s="216" t="s">
        <v>1089</v>
      </c>
      <c r="J81" s="43" t="s">
        <v>1090</v>
      </c>
      <c r="K81" s="28" t="s">
        <v>1153</v>
      </c>
      <c r="L81" s="42" t="s">
        <v>1099</v>
      </c>
      <c r="M81" s="209">
        <v>2030</v>
      </c>
      <c r="N81" s="176" t="s">
        <v>1191</v>
      </c>
      <c r="O81" s="258" t="s">
        <v>1094</v>
      </c>
      <c r="P81" s="238" t="str">
        <f>VLOOKUP(_xlfn.CONCAT(Table3[[#This Row],[Target area]],Table3[[#This Row],[GHG target?]],Table3[[#This Row],[Conditionality]]),'Drop down'!$E$81:$F$101,2,FALSE)</f>
        <v>T_Economy_Unc</v>
      </c>
      <c r="Q81" s="239" t="str">
        <f>VLOOKUP(Table3[[#This Row],[Target type]],Table418[[Value name]:[Value idenifyer]],2,FALSE)</f>
        <v>T_BYE</v>
      </c>
      <c r="T81" s="240"/>
      <c r="U81" s="240"/>
      <c r="V81" s="233" t="str">
        <f>VLOOKUP(Table3[[#This Row],[Country Code]],Table29[],3,FALSE)</f>
        <v>Annex I</v>
      </c>
      <c r="W81" s="233" t="str">
        <f>VLOOKUP(Table3[[#This Row],[Country Code]],Table29[],4,FALSE)</f>
        <v>Europe</v>
      </c>
      <c r="X81" s="233" t="str">
        <f>VLOOKUP(Table3[[#This Row],[Country Code]],Table29[],5,FALSE)</f>
        <v>Middle-income</v>
      </c>
      <c r="Y81" s="233" t="str">
        <f>VLOOKUP(Table3[[#This Row],[Country Code]],Table29[],6,FALSE)</f>
        <v>no</v>
      </c>
      <c r="Z81" s="233" t="str">
        <f>VLOOKUP(Table3[[#This Row],[Country Code]],Table29[],7,FALSE)</f>
        <v>no</v>
      </c>
      <c r="AA81" s="233" t="str">
        <f>VLOOKUP(Table3[[#This Row],[Country Code]],Table29[],8,FALSE)</f>
        <v>non-OECD</v>
      </c>
      <c r="AB81" s="233" t="str">
        <f>VLOOKUP(Table3[[#This Row],[Country Code]],Table29[],9,FALSE)</f>
        <v>no</v>
      </c>
      <c r="AC81" s="233" t="str">
        <f>VLOOKUP(Table3[[#This Row],[Country Code]],Table29[],10,FALSE)</f>
        <v>no</v>
      </c>
      <c r="AD81" s="235">
        <f>VLOOKUP(Table3[[#This Row],[Country Code]],Table29[],23,FALSE)</f>
        <v>84.277601484293001</v>
      </c>
      <c r="AE81" s="235">
        <f>VLOOKUP(Table3[[#This Row],[Country Code]],Table29[],24,FALSE)</f>
        <v>9.8730073698737328</v>
      </c>
      <c r="AF81" s="43"/>
    </row>
    <row r="82" spans="1:32" ht="60" x14ac:dyDescent="0.25">
      <c r="A82" s="360">
        <v>17528</v>
      </c>
      <c r="B82" s="233" t="str">
        <f>VLOOKUP(Table3[[#This Row],[Document ID]],Table1[],2,FALSE)</f>
        <v>BEL</v>
      </c>
      <c r="C82" s="233" t="str">
        <f>VLOOKUP(Table3[[#This Row],[Document ID]],Table1[],3,FALSE)</f>
        <v>Belgium</v>
      </c>
      <c r="D82" s="233" t="str">
        <f>VLOOKUP(Table3[[#This Row],[Document ID]],Table1[],5,FALSE)</f>
        <v>LTS</v>
      </c>
      <c r="E82" s="233" t="str">
        <f>VLOOKUP(Table3[[#This Row],[Document ID]],Table1[],7,FALSE)</f>
        <v>EU-LTS</v>
      </c>
      <c r="F82" s="233" t="str">
        <f>VLOOKUP(Table3[[#This Row],[Document ID]],Table1[],8,FALSE)</f>
        <v>LTS 1.0</v>
      </c>
      <c r="G82" s="233" t="str">
        <f>VLOOKUP(Table3[[#This Row],[Document ID]],Table1[],10,FALSE)</f>
        <v>Active</v>
      </c>
      <c r="H82" s="216" t="s">
        <v>1089</v>
      </c>
      <c r="I82" s="216" t="s">
        <v>1089</v>
      </c>
      <c r="J82" s="43" t="s">
        <v>1090</v>
      </c>
      <c r="K82" s="28" t="s">
        <v>1153</v>
      </c>
      <c r="L82" s="42" t="s">
        <v>1099</v>
      </c>
      <c r="M82" s="209">
        <v>2050</v>
      </c>
      <c r="N82" s="44" t="s">
        <v>1192</v>
      </c>
      <c r="O82" s="221">
        <v>3</v>
      </c>
      <c r="P82" s="238" t="str">
        <f>VLOOKUP(_xlfn.CONCAT(Table3[[#This Row],[Target area]],Table3[[#This Row],[GHG target?]],Table3[[#This Row],[Conditionality]]),'Drop down'!$E$81:$F$101,2,FALSE)</f>
        <v>T_Economy_Unc</v>
      </c>
      <c r="Q82" s="239" t="str">
        <f>VLOOKUP(Table3[[#This Row],[Target type]],Table418[[Value name]:[Value idenifyer]],2,FALSE)</f>
        <v>T_BYE</v>
      </c>
      <c r="S82" s="233" t="s">
        <v>1112</v>
      </c>
      <c r="T82" s="234" t="s">
        <v>1113</v>
      </c>
      <c r="V82" s="233" t="str">
        <f>VLOOKUP(Table3[[#This Row],[Country Code]],Table29[],3,FALSE)</f>
        <v>Annex I</v>
      </c>
      <c r="W82" s="233" t="str">
        <f>VLOOKUP(Table3[[#This Row],[Country Code]],Table29[],4,FALSE)</f>
        <v>Europe</v>
      </c>
      <c r="X82" s="233" t="str">
        <f>VLOOKUP(Table3[[#This Row],[Country Code]],Table29[],5,FALSE)</f>
        <v>High-income</v>
      </c>
      <c r="Y82" s="233" t="str">
        <f>VLOOKUP(Table3[[#This Row],[Country Code]],Table29[],6,FALSE)</f>
        <v>no</v>
      </c>
      <c r="Z82" s="233" t="str">
        <f>VLOOKUP(Table3[[#This Row],[Country Code]],Table29[],7,FALSE)</f>
        <v>no</v>
      </c>
      <c r="AA82" s="233" t="str">
        <f>VLOOKUP(Table3[[#This Row],[Country Code]],Table29[],8,FALSE)</f>
        <v>OECD</v>
      </c>
      <c r="AB82" s="233" t="str">
        <f>VLOOKUP(Table3[[#This Row],[Country Code]],Table29[],9,FALSE)</f>
        <v>EU27</v>
      </c>
      <c r="AC82" s="233" t="str">
        <f>VLOOKUP(Table3[[#This Row],[Country Code]],Table29[],10,FALSE)</f>
        <v>no</v>
      </c>
      <c r="AD82" s="235">
        <f>VLOOKUP(Table3[[#This Row],[Country Code]],Table29[],23,FALSE)</f>
        <v>106.37018790875</v>
      </c>
      <c r="AE82" s="235">
        <f>VLOOKUP(Table3[[#This Row],[Country Code]],Table29[],24,FALSE)</f>
        <v>22.197662702188101</v>
      </c>
      <c r="AF82" s="43"/>
    </row>
    <row r="83" spans="1:32" ht="30" x14ac:dyDescent="0.25">
      <c r="A83" s="368">
        <v>41741</v>
      </c>
      <c r="B83" s="233" t="str">
        <f>VLOOKUP(Table3[[#This Row],[Document ID]],Table1[],2,FALSE)</f>
        <v>ARE</v>
      </c>
      <c r="C83" s="233" t="str">
        <f>VLOOKUP(Table3[[#This Row],[Document ID]],Table1[],3,FALSE)</f>
        <v>United Arab Emirates</v>
      </c>
      <c r="D83" s="233" t="str">
        <f>VLOOKUP(Table3[[#This Row],[Document ID]],Table1[],5,FALSE)</f>
        <v>LTS</v>
      </c>
      <c r="E83" s="233" t="str">
        <f>VLOOKUP(Table3[[#This Row],[Document ID]],Table1[],7,FALSE)</f>
        <v>LTS</v>
      </c>
      <c r="F83" s="241" t="str">
        <f>VLOOKUP(Table3[[#This Row],[Document ID]],Table1[],8,FALSE)</f>
        <v>LTS 1.0</v>
      </c>
      <c r="G83" s="233" t="str">
        <f>VLOOKUP(Table3[[#This Row],[Document ID]],Table1[],10,FALSE)</f>
        <v>Active</v>
      </c>
      <c r="H83" s="42" t="s">
        <v>1095</v>
      </c>
      <c r="I83" s="42" t="s">
        <v>1096</v>
      </c>
      <c r="J83" s="42" t="s">
        <v>1097</v>
      </c>
      <c r="K83" s="28" t="s">
        <v>1104</v>
      </c>
      <c r="L83" s="42" t="s">
        <v>1099</v>
      </c>
      <c r="M83" s="209">
        <v>2050</v>
      </c>
      <c r="N83" s="209" t="s">
        <v>1193</v>
      </c>
      <c r="O83" s="258">
        <v>71</v>
      </c>
      <c r="P83" s="238" t="str">
        <f>VLOOKUP(_xlfn.CONCAT(Table3[[#This Row],[Target area]],Table3[[#This Row],[GHG target?]],Table3[[#This Row],[Conditionality]]),'Drop down'!$E$81:$F$101,2,FALSE)</f>
        <v>T_Transport_O_Unc</v>
      </c>
      <c r="Q83" s="239" t="str">
        <f>VLOOKUP(Table3[[#This Row],[Target type]],Table418[[Value name]:[Value idenifyer]],2,FALSE)</f>
        <v>T_O_ZERO</v>
      </c>
      <c r="T83" s="240"/>
      <c r="V83" s="233" t="str">
        <f>VLOOKUP(Table3[[#This Row],[Country Code]],Table29[],3,FALSE)</f>
        <v>Non-Annex I</v>
      </c>
      <c r="W83" s="233" t="str">
        <f>VLOOKUP(Table3[[#This Row],[Country Code]],Table29[],4,FALSE)</f>
        <v>Asia</v>
      </c>
      <c r="X83" s="233" t="str">
        <f>VLOOKUP(Table3[[#This Row],[Country Code]],Table29[],5,FALSE)</f>
        <v>High-income</v>
      </c>
      <c r="Y83" s="233" t="str">
        <f>VLOOKUP(Table3[[#This Row],[Country Code]],Table29[],6,FALSE)</f>
        <v>no</v>
      </c>
      <c r="Z83" s="233" t="str">
        <f>VLOOKUP(Table3[[#This Row],[Country Code]],Table29[],7,FALSE)</f>
        <v>no</v>
      </c>
      <c r="AA83" s="233" t="str">
        <f>VLOOKUP(Table3[[#This Row],[Country Code]],Table29[],8,FALSE)</f>
        <v>non-OECD</v>
      </c>
      <c r="AB83" s="233" t="str">
        <f>VLOOKUP(Table3[[#This Row],[Country Code]],Table29[],9,FALSE)</f>
        <v>no</v>
      </c>
      <c r="AC83" s="233" t="str">
        <f>VLOOKUP(Table3[[#This Row],[Country Code]],Table29[],10,FALSE)</f>
        <v>MENA</v>
      </c>
      <c r="AD83" s="235">
        <f>VLOOKUP(Table3[[#This Row],[Country Code]],Table29[],23,FALSE)</f>
        <v>267.82319378585998</v>
      </c>
      <c r="AE83" s="235">
        <f>VLOOKUP(Table3[[#This Row],[Country Code]],Table29[],24,FALSE)</f>
        <v>43.860911308351241</v>
      </c>
      <c r="AF83" s="42"/>
    </row>
    <row r="84" spans="1:32" ht="45" x14ac:dyDescent="0.25">
      <c r="A84" s="360">
        <v>21711</v>
      </c>
      <c r="B84" s="233" t="str">
        <f>VLOOKUP(Table3[[#This Row],[Document ID]],Table1[],2,FALSE)</f>
        <v>BLZ</v>
      </c>
      <c r="C84" s="233" t="str">
        <f>VLOOKUP(Table3[[#This Row],[Document ID]],Table1[],3,FALSE)</f>
        <v>Belize</v>
      </c>
      <c r="D84" s="233" t="str">
        <f>VLOOKUP(Table3[[#This Row],[Document ID]],Table1[],5,FALSE)</f>
        <v>NDC</v>
      </c>
      <c r="E84" s="233" t="str">
        <f>VLOOKUP(Table3[[#This Row],[Document ID]],Table1[],7,FALSE)</f>
        <v>First NDC updated</v>
      </c>
      <c r="F84" s="233" t="str">
        <f>VLOOKUP(Table3[[#This Row],[Document ID]],Table1[],8,FALSE)</f>
        <v>NDC 1.1</v>
      </c>
      <c r="G84" s="233" t="str">
        <f>VLOOKUP(Table3[[#This Row],[Document ID]],Table1[],10,FALSE)</f>
        <v>Active</v>
      </c>
      <c r="H84" s="216" t="s">
        <v>1089</v>
      </c>
      <c r="I84" s="216" t="s">
        <v>1089</v>
      </c>
      <c r="J84" s="43" t="s">
        <v>1090</v>
      </c>
      <c r="K84" s="28" t="s">
        <v>1121</v>
      </c>
      <c r="L84" s="42" t="s">
        <v>1099</v>
      </c>
      <c r="M84" s="209">
        <v>2030</v>
      </c>
      <c r="N84" s="209" t="s">
        <v>1194</v>
      </c>
      <c r="O84" s="257">
        <v>36</v>
      </c>
      <c r="P84" s="238" t="str">
        <f>VLOOKUP(_xlfn.CONCAT(Table3[[#This Row],[Target area]],Table3[[#This Row],[GHG target?]],Table3[[#This Row],[Conditionality]]),'Drop down'!$E$81:$F$101,2,FALSE)</f>
        <v>T_Economy_Unc</v>
      </c>
      <c r="Q84" s="239" t="str">
        <f>VLOOKUP(Table3[[#This Row],[Target type]],Table418[[Value name]:[Value idenifyer]],2,FALSE)</f>
        <v>T_FL</v>
      </c>
      <c r="S84" s="233" t="s">
        <v>1112</v>
      </c>
      <c r="T84" s="240" t="s">
        <v>1113</v>
      </c>
      <c r="U84" s="240"/>
      <c r="V84" s="233" t="str">
        <f>VLOOKUP(Table3[[#This Row],[Country Code]],Table29[],3,FALSE)</f>
        <v>Non-Annex I</v>
      </c>
      <c r="W84" s="233" t="str">
        <f>VLOOKUP(Table3[[#This Row],[Country Code]],Table29[],4,FALSE)</f>
        <v>Latin America and the Caribbean</v>
      </c>
      <c r="X84" s="233" t="str">
        <f>VLOOKUP(Table3[[#This Row],[Country Code]],Table29[],5,FALSE)</f>
        <v>Middle-income</v>
      </c>
      <c r="Y84" s="233" t="str">
        <f>VLOOKUP(Table3[[#This Row],[Country Code]],Table29[],6,FALSE)</f>
        <v>no</v>
      </c>
      <c r="Z84" s="233" t="str">
        <f>VLOOKUP(Table3[[#This Row],[Country Code]],Table29[],7,FALSE)</f>
        <v>no</v>
      </c>
      <c r="AA84" s="233" t="str">
        <f>VLOOKUP(Table3[[#This Row],[Country Code]],Table29[],8,FALSE)</f>
        <v>non-OECD</v>
      </c>
      <c r="AB84" s="233" t="str">
        <f>VLOOKUP(Table3[[#This Row],[Country Code]],Table29[],9,FALSE)</f>
        <v>no</v>
      </c>
      <c r="AC84" s="233" t="str">
        <f>VLOOKUP(Table3[[#This Row],[Country Code]],Table29[],10,FALSE)</f>
        <v>no</v>
      </c>
      <c r="AD84" s="235">
        <f>VLOOKUP(Table3[[#This Row],[Country Code]],Table29[],23,FALSE)</f>
        <v>0.92034733748830999</v>
      </c>
      <c r="AE84" s="235">
        <f>VLOOKUP(Table3[[#This Row],[Country Code]],Table29[],24,FALSE)</f>
        <v>9.6336672952528554E-2</v>
      </c>
      <c r="AF84" s="43"/>
    </row>
    <row r="85" spans="1:32" ht="30" x14ac:dyDescent="0.25">
      <c r="A85" s="368">
        <v>41741</v>
      </c>
      <c r="B85" s="233" t="str">
        <f>VLOOKUP(Table3[[#This Row],[Document ID]],Table1[],2,FALSE)</f>
        <v>ARE</v>
      </c>
      <c r="C85" s="233" t="str">
        <f>VLOOKUP(Table3[[#This Row],[Document ID]],Table1[],3,FALSE)</f>
        <v>United Arab Emirates</v>
      </c>
      <c r="D85" s="233" t="str">
        <f>VLOOKUP(Table3[[#This Row],[Document ID]],Table1[],5,FALSE)</f>
        <v>LTS</v>
      </c>
      <c r="E85" s="233" t="str">
        <f>VLOOKUP(Table3[[#This Row],[Document ID]],Table1[],7,FALSE)</f>
        <v>LTS</v>
      </c>
      <c r="F85" s="241" t="str">
        <f>VLOOKUP(Table3[[#This Row],[Document ID]],Table1[],8,FALSE)</f>
        <v>LTS 1.0</v>
      </c>
      <c r="G85" s="233" t="str">
        <f>VLOOKUP(Table3[[#This Row],[Document ID]],Table1[],10,FALSE)</f>
        <v>Active</v>
      </c>
      <c r="H85" s="42" t="s">
        <v>1095</v>
      </c>
      <c r="I85" s="42" t="s">
        <v>1096</v>
      </c>
      <c r="J85" s="42" t="s">
        <v>1097</v>
      </c>
      <c r="K85" s="28" t="s">
        <v>1102</v>
      </c>
      <c r="L85" s="389" t="s">
        <v>1099</v>
      </c>
      <c r="M85" s="209">
        <v>2050</v>
      </c>
      <c r="N85" s="209" t="s">
        <v>1195</v>
      </c>
      <c r="O85" s="258">
        <v>71</v>
      </c>
      <c r="P85" s="238" t="str">
        <f>VLOOKUP(_xlfn.CONCAT(Table3[[#This Row],[Target area]],Table3[[#This Row],[GHG target?]],Table3[[#This Row],[Conditionality]]),'Drop down'!$E$81:$F$101,2,FALSE)</f>
        <v>T_Transport_O_Unc</v>
      </c>
      <c r="Q85" s="239" t="str">
        <f>VLOOKUP(Table3[[#This Row],[Target type]],Table418[[Value name]:[Value idenifyer]],2,FALSE)</f>
        <v>T_O_BIO</v>
      </c>
      <c r="T85" s="240"/>
      <c r="V85" s="233" t="str">
        <f>VLOOKUP(Table3[[#This Row],[Country Code]],Table29[],3,FALSE)</f>
        <v>Non-Annex I</v>
      </c>
      <c r="W85" s="233" t="str">
        <f>VLOOKUP(Table3[[#This Row],[Country Code]],Table29[],4,FALSE)</f>
        <v>Asia</v>
      </c>
      <c r="X85" s="233" t="str">
        <f>VLOOKUP(Table3[[#This Row],[Country Code]],Table29[],5,FALSE)</f>
        <v>High-income</v>
      </c>
      <c r="Y85" s="233" t="str">
        <f>VLOOKUP(Table3[[#This Row],[Country Code]],Table29[],6,FALSE)</f>
        <v>no</v>
      </c>
      <c r="Z85" s="233" t="str">
        <f>VLOOKUP(Table3[[#This Row],[Country Code]],Table29[],7,FALSE)</f>
        <v>no</v>
      </c>
      <c r="AA85" s="233" t="str">
        <f>VLOOKUP(Table3[[#This Row],[Country Code]],Table29[],8,FALSE)</f>
        <v>non-OECD</v>
      </c>
      <c r="AB85" s="233" t="str">
        <f>VLOOKUP(Table3[[#This Row],[Country Code]],Table29[],9,FALSE)</f>
        <v>no</v>
      </c>
      <c r="AC85" s="233" t="str">
        <f>VLOOKUP(Table3[[#This Row],[Country Code]],Table29[],10,FALSE)</f>
        <v>MENA</v>
      </c>
      <c r="AD85" s="235">
        <f>VLOOKUP(Table3[[#This Row],[Country Code]],Table29[],23,FALSE)</f>
        <v>267.82319378585998</v>
      </c>
      <c r="AE85" s="235">
        <f>VLOOKUP(Table3[[#This Row],[Country Code]],Table29[],24,FALSE)</f>
        <v>43.860911308351241</v>
      </c>
      <c r="AF85" s="42"/>
    </row>
    <row r="86" spans="1:32" ht="30" x14ac:dyDescent="0.25">
      <c r="A86" s="368">
        <v>41741</v>
      </c>
      <c r="B86" s="233" t="str">
        <f>VLOOKUP(Table3[[#This Row],[Document ID]],Table1[],2,FALSE)</f>
        <v>ARE</v>
      </c>
      <c r="C86" s="233" t="str">
        <f>VLOOKUP(Table3[[#This Row],[Document ID]],Table1[],3,FALSE)</f>
        <v>United Arab Emirates</v>
      </c>
      <c r="D86" s="233" t="str">
        <f>VLOOKUP(Table3[[#This Row],[Document ID]],Table1[],5,FALSE)</f>
        <v>LTS</v>
      </c>
      <c r="E86" s="233" t="str">
        <f>VLOOKUP(Table3[[#This Row],[Document ID]],Table1[],7,FALSE)</f>
        <v>LTS</v>
      </c>
      <c r="F86" s="241" t="str">
        <f>VLOOKUP(Table3[[#This Row],[Document ID]],Table1[],8,FALSE)</f>
        <v>LTS 1.0</v>
      </c>
      <c r="G86" s="233" t="str">
        <f>VLOOKUP(Table3[[#This Row],[Document ID]],Table1[],10,FALSE)</f>
        <v>Active</v>
      </c>
      <c r="H86" s="42" t="s">
        <v>1095</v>
      </c>
      <c r="I86" s="42" t="s">
        <v>1096</v>
      </c>
      <c r="J86" s="42" t="s">
        <v>1097</v>
      </c>
      <c r="K86" s="28" t="s">
        <v>1102</v>
      </c>
      <c r="L86" s="42" t="s">
        <v>1099</v>
      </c>
      <c r="M86" s="209">
        <v>2050</v>
      </c>
      <c r="N86" s="209" t="s">
        <v>1196</v>
      </c>
      <c r="O86" s="258">
        <v>71</v>
      </c>
      <c r="P86" s="238" t="str">
        <f>VLOOKUP(_xlfn.CONCAT(Table3[[#This Row],[Target area]],Table3[[#This Row],[GHG target?]],Table3[[#This Row],[Conditionality]]),'Drop down'!$E$81:$F$101,2,FALSE)</f>
        <v>T_Transport_O_Unc</v>
      </c>
      <c r="Q86" s="239" t="str">
        <f>VLOOKUP(Table3[[#This Row],[Target type]],Table418[[Value name]:[Value idenifyer]],2,FALSE)</f>
        <v>T_O_BIO</v>
      </c>
      <c r="T86" s="240"/>
      <c r="V86" s="233" t="str">
        <f>VLOOKUP(Table3[[#This Row],[Country Code]],Table29[],3,FALSE)</f>
        <v>Non-Annex I</v>
      </c>
      <c r="W86" s="233" t="str">
        <f>VLOOKUP(Table3[[#This Row],[Country Code]],Table29[],4,FALSE)</f>
        <v>Asia</v>
      </c>
      <c r="X86" s="233" t="str">
        <f>VLOOKUP(Table3[[#This Row],[Country Code]],Table29[],5,FALSE)</f>
        <v>High-income</v>
      </c>
      <c r="Y86" s="233" t="str">
        <f>VLOOKUP(Table3[[#This Row],[Country Code]],Table29[],6,FALSE)</f>
        <v>no</v>
      </c>
      <c r="Z86" s="233" t="str">
        <f>VLOOKUP(Table3[[#This Row],[Country Code]],Table29[],7,FALSE)</f>
        <v>no</v>
      </c>
      <c r="AA86" s="233" t="str">
        <f>VLOOKUP(Table3[[#This Row],[Country Code]],Table29[],8,FALSE)</f>
        <v>non-OECD</v>
      </c>
      <c r="AB86" s="233" t="str">
        <f>VLOOKUP(Table3[[#This Row],[Country Code]],Table29[],9,FALSE)</f>
        <v>no</v>
      </c>
      <c r="AC86" s="233" t="str">
        <f>VLOOKUP(Table3[[#This Row],[Country Code]],Table29[],10,FALSE)</f>
        <v>MENA</v>
      </c>
      <c r="AD86" s="235">
        <f>VLOOKUP(Table3[[#This Row],[Country Code]],Table29[],23,FALSE)</f>
        <v>267.82319378585998</v>
      </c>
      <c r="AE86" s="235">
        <f>VLOOKUP(Table3[[#This Row],[Country Code]],Table29[],24,FALSE)</f>
        <v>43.860911308351241</v>
      </c>
      <c r="AF86" s="42"/>
    </row>
    <row r="87" spans="1:32" x14ac:dyDescent="0.25">
      <c r="A87" s="360">
        <v>17530</v>
      </c>
      <c r="B87" s="233" t="str">
        <f>VLOOKUP(Table3[[#This Row],[Document ID]],Table1[],2,FALSE)</f>
        <v>BLZ</v>
      </c>
      <c r="C87" s="233" t="str">
        <f>VLOOKUP(Table3[[#This Row],[Document ID]],Table1[],3,FALSE)</f>
        <v>Belize</v>
      </c>
      <c r="D87" s="233" t="str">
        <f>VLOOKUP(Table3[[#This Row],[Document ID]],Table1[],5,FALSE)</f>
        <v>NDC</v>
      </c>
      <c r="E87" s="233" t="str">
        <f>VLOOKUP(Table3[[#This Row],[Document ID]],Table1[],7,FALSE)</f>
        <v>First NDC</v>
      </c>
      <c r="F87" s="233" t="str">
        <f>VLOOKUP(Table3[[#This Row],[Document ID]],Table1[],8,FALSE)</f>
        <v>NDC 1.0</v>
      </c>
      <c r="G87" s="233" t="str">
        <f>VLOOKUP(Table3[[#This Row],[Document ID]],Table1[],10,FALSE)</f>
        <v>Archived</v>
      </c>
      <c r="H87" s="216" t="s">
        <v>1089</v>
      </c>
      <c r="I87" s="216" t="s">
        <v>1089</v>
      </c>
      <c r="J87" s="43" t="s">
        <v>1090</v>
      </c>
      <c r="K87" s="28" t="s">
        <v>1121</v>
      </c>
      <c r="L87" s="216" t="s">
        <v>1092</v>
      </c>
      <c r="M87" s="209">
        <v>2033</v>
      </c>
      <c r="N87" s="176" t="s">
        <v>1197</v>
      </c>
      <c r="O87" s="258" t="s">
        <v>1094</v>
      </c>
      <c r="P87" s="238" t="str">
        <f>VLOOKUP(_xlfn.CONCAT(Table3[[#This Row],[Target area]],Table3[[#This Row],[GHG target?]],Table3[[#This Row],[Conditionality]]),'Drop down'!$E$81:$F$101,2,FALSE)</f>
        <v>T_Economy_C</v>
      </c>
      <c r="Q87" s="239" t="str">
        <f>VLOOKUP(Table3[[#This Row],[Target type]],Table418[[Value name]:[Value idenifyer]],2,FALSE)</f>
        <v>T_FL</v>
      </c>
      <c r="T87" s="234" t="s">
        <v>1113</v>
      </c>
      <c r="U87" s="240"/>
      <c r="V87" s="233" t="str">
        <f>VLOOKUP(Table3[[#This Row],[Country Code]],Table29[],3,FALSE)</f>
        <v>Non-Annex I</v>
      </c>
      <c r="W87" s="233" t="str">
        <f>VLOOKUP(Table3[[#This Row],[Country Code]],Table29[],4,FALSE)</f>
        <v>Latin America and the Caribbean</v>
      </c>
      <c r="X87" s="233" t="str">
        <f>VLOOKUP(Table3[[#This Row],[Country Code]],Table29[],5,FALSE)</f>
        <v>Middle-income</v>
      </c>
      <c r="Y87" s="233" t="str">
        <f>VLOOKUP(Table3[[#This Row],[Country Code]],Table29[],6,FALSE)</f>
        <v>no</v>
      </c>
      <c r="Z87" s="233" t="str">
        <f>VLOOKUP(Table3[[#This Row],[Country Code]],Table29[],7,FALSE)</f>
        <v>no</v>
      </c>
      <c r="AA87" s="233" t="str">
        <f>VLOOKUP(Table3[[#This Row],[Country Code]],Table29[],8,FALSE)</f>
        <v>non-OECD</v>
      </c>
      <c r="AB87" s="233" t="str">
        <f>VLOOKUP(Table3[[#This Row],[Country Code]],Table29[],9,FALSE)</f>
        <v>no</v>
      </c>
      <c r="AC87" s="233" t="str">
        <f>VLOOKUP(Table3[[#This Row],[Country Code]],Table29[],10,FALSE)</f>
        <v>no</v>
      </c>
      <c r="AD87" s="235">
        <f>VLOOKUP(Table3[[#This Row],[Country Code]],Table29[],23,FALSE)</f>
        <v>0.92034733748830999</v>
      </c>
      <c r="AE87" s="235">
        <f>VLOOKUP(Table3[[#This Row],[Country Code]],Table29[],24,FALSE)</f>
        <v>9.6336672952528554E-2</v>
      </c>
      <c r="AF87" s="43"/>
    </row>
    <row r="88" spans="1:32" x14ac:dyDescent="0.25">
      <c r="A88" s="360">
        <v>17531</v>
      </c>
      <c r="B88" s="233" t="str">
        <f>VLOOKUP(Table3[[#This Row],[Document ID]],Table1[],2,FALSE)</f>
        <v>BEN</v>
      </c>
      <c r="C88" s="233" t="str">
        <f>VLOOKUP(Table3[[#This Row],[Document ID]],Table1[],3,FALSE)</f>
        <v>Benin</v>
      </c>
      <c r="D88" s="233" t="str">
        <f>VLOOKUP(Table3[[#This Row],[Document ID]],Table1[],5,FALSE)</f>
        <v>NDC</v>
      </c>
      <c r="E88" s="233" t="str">
        <f>VLOOKUP(Table3[[#This Row],[Document ID]],Table1[],7,FALSE)</f>
        <v>First NDC</v>
      </c>
      <c r="F88" s="233" t="str">
        <f>VLOOKUP(Table3[[#This Row],[Document ID]],Table1[],8,FALSE)</f>
        <v>NDC 1.0</v>
      </c>
      <c r="G88" s="233" t="str">
        <f>VLOOKUP(Table3[[#This Row],[Document ID]],Table1[],10,FALSE)</f>
        <v>Archived</v>
      </c>
      <c r="H88" s="216" t="s">
        <v>1089</v>
      </c>
      <c r="I88" s="216" t="s">
        <v>1089</v>
      </c>
      <c r="J88" s="43" t="s">
        <v>1090</v>
      </c>
      <c r="K88" s="28" t="s">
        <v>1091</v>
      </c>
      <c r="L88" s="42" t="s">
        <v>1099</v>
      </c>
      <c r="M88" s="209">
        <v>2030</v>
      </c>
      <c r="N88" s="176" t="s">
        <v>1198</v>
      </c>
      <c r="O88" s="258" t="s">
        <v>1094</v>
      </c>
      <c r="P88" s="238" t="str">
        <f>VLOOKUP(_xlfn.CONCAT(Table3[[#This Row],[Target area]],Table3[[#This Row],[GHG target?]],Table3[[#This Row],[Conditionality]]),'Drop down'!$E$81:$F$101,2,FALSE)</f>
        <v>T_Economy_Unc</v>
      </c>
      <c r="Q88" s="239" t="str">
        <f>VLOOKUP(Table3[[#This Row],[Target type]],Table418[[Value name]:[Value idenifyer]],2,FALSE)</f>
        <v>T_BAU</v>
      </c>
      <c r="V88" s="233" t="str">
        <f>VLOOKUP(Table3[[#This Row],[Country Code]],Table29[],3,FALSE)</f>
        <v>Non-Annex I</v>
      </c>
      <c r="W88" s="233" t="str">
        <f>VLOOKUP(Table3[[#This Row],[Country Code]],Table29[],4,FALSE)</f>
        <v>Africa</v>
      </c>
      <c r="X88" s="233" t="str">
        <f>VLOOKUP(Table3[[#This Row],[Country Code]],Table29[],5,FALSE)</f>
        <v>Middle-income</v>
      </c>
      <c r="Y88" s="233" t="str">
        <f>VLOOKUP(Table3[[#This Row],[Country Code]],Table29[],6,FALSE)</f>
        <v>no</v>
      </c>
      <c r="Z88" s="233" t="str">
        <f>VLOOKUP(Table3[[#This Row],[Country Code]],Table29[],7,FALSE)</f>
        <v>no</v>
      </c>
      <c r="AA88" s="233" t="str">
        <f>VLOOKUP(Table3[[#This Row],[Country Code]],Table29[],8,FALSE)</f>
        <v>non-OECD</v>
      </c>
      <c r="AB88" s="233" t="str">
        <f>VLOOKUP(Table3[[#This Row],[Country Code]],Table29[],9,FALSE)</f>
        <v>no</v>
      </c>
      <c r="AC88" s="233" t="str">
        <f>VLOOKUP(Table3[[#This Row],[Country Code]],Table29[],10,FALSE)</f>
        <v>no</v>
      </c>
      <c r="AD88" s="235">
        <f>VLOOKUP(Table3[[#This Row],[Country Code]],Table29[],23,FALSE)</f>
        <v>16.699491601106999</v>
      </c>
      <c r="AE88" s="235">
        <f>VLOOKUP(Table3[[#This Row],[Country Code]],Table29[],24,FALSE)</f>
        <v>4.358789566933627</v>
      </c>
      <c r="AF88" s="43"/>
    </row>
    <row r="89" spans="1:32" x14ac:dyDescent="0.25">
      <c r="A89" s="360">
        <v>17531</v>
      </c>
      <c r="B89" s="233" t="str">
        <f>VLOOKUP(Table3[[#This Row],[Document ID]],Table1[],2,FALSE)</f>
        <v>BEN</v>
      </c>
      <c r="C89" s="233" t="str">
        <f>VLOOKUP(Table3[[#This Row],[Document ID]],Table1[],3,FALSE)</f>
        <v>Benin</v>
      </c>
      <c r="D89" s="233" t="str">
        <f>VLOOKUP(Table3[[#This Row],[Document ID]],Table1[],5,FALSE)</f>
        <v>NDC</v>
      </c>
      <c r="E89" s="233" t="str">
        <f>VLOOKUP(Table3[[#This Row],[Document ID]],Table1[],7,FALSE)</f>
        <v>First NDC</v>
      </c>
      <c r="F89" s="233" t="str">
        <f>VLOOKUP(Table3[[#This Row],[Document ID]],Table1[],8,FALSE)</f>
        <v>NDC 1.0</v>
      </c>
      <c r="G89" s="233" t="str">
        <f>VLOOKUP(Table3[[#This Row],[Document ID]],Table1[],10,FALSE)</f>
        <v>Archived</v>
      </c>
      <c r="H89" s="216" t="s">
        <v>1089</v>
      </c>
      <c r="I89" s="216" t="s">
        <v>1089</v>
      </c>
      <c r="J89" s="43" t="s">
        <v>1090</v>
      </c>
      <c r="K89" s="28" t="s">
        <v>1091</v>
      </c>
      <c r="L89" s="216" t="s">
        <v>1092</v>
      </c>
      <c r="M89" s="209">
        <v>2030</v>
      </c>
      <c r="N89" s="176" t="s">
        <v>1199</v>
      </c>
      <c r="O89" s="258" t="s">
        <v>1094</v>
      </c>
      <c r="P89" s="238" t="str">
        <f>VLOOKUP(_xlfn.CONCAT(Table3[[#This Row],[Target area]],Table3[[#This Row],[GHG target?]],Table3[[#This Row],[Conditionality]]),'Drop down'!$E$81:$F$101,2,FALSE)</f>
        <v>T_Economy_C</v>
      </c>
      <c r="Q89" s="239" t="str">
        <f>VLOOKUP(Table3[[#This Row],[Target type]],Table418[[Value name]:[Value idenifyer]],2,FALSE)</f>
        <v>T_BAU</v>
      </c>
      <c r="V89" s="233" t="str">
        <f>VLOOKUP(Table3[[#This Row],[Country Code]],Table29[],3,FALSE)</f>
        <v>Non-Annex I</v>
      </c>
      <c r="W89" s="233" t="str">
        <f>VLOOKUP(Table3[[#This Row],[Country Code]],Table29[],4,FALSE)</f>
        <v>Africa</v>
      </c>
      <c r="X89" s="233" t="str">
        <f>VLOOKUP(Table3[[#This Row],[Country Code]],Table29[],5,FALSE)</f>
        <v>Middle-income</v>
      </c>
      <c r="Y89" s="233" t="str">
        <f>VLOOKUP(Table3[[#This Row],[Country Code]],Table29[],6,FALSE)</f>
        <v>no</v>
      </c>
      <c r="Z89" s="233" t="str">
        <f>VLOOKUP(Table3[[#This Row],[Country Code]],Table29[],7,FALSE)</f>
        <v>no</v>
      </c>
      <c r="AA89" s="233" t="str">
        <f>VLOOKUP(Table3[[#This Row],[Country Code]],Table29[],8,FALSE)</f>
        <v>non-OECD</v>
      </c>
      <c r="AB89" s="233" t="str">
        <f>VLOOKUP(Table3[[#This Row],[Country Code]],Table29[],9,FALSE)</f>
        <v>no</v>
      </c>
      <c r="AC89" s="233" t="str">
        <f>VLOOKUP(Table3[[#This Row],[Country Code]],Table29[],10,FALSE)</f>
        <v>no</v>
      </c>
      <c r="AD89" s="235">
        <f>VLOOKUP(Table3[[#This Row],[Country Code]],Table29[],23,FALSE)</f>
        <v>16.699491601106999</v>
      </c>
      <c r="AE89" s="235">
        <f>VLOOKUP(Table3[[#This Row],[Country Code]],Table29[],24,FALSE)</f>
        <v>4.358789566933627</v>
      </c>
      <c r="AF89" s="43"/>
    </row>
    <row r="90" spans="1:32" ht="30" x14ac:dyDescent="0.25">
      <c r="A90" s="360">
        <v>20881</v>
      </c>
      <c r="B90" s="233" t="str">
        <f>VLOOKUP(Table3[[#This Row],[Document ID]],Table1[],2,FALSE)</f>
        <v>BTN</v>
      </c>
      <c r="C90" s="233" t="str">
        <f>VLOOKUP(Table3[[#This Row],[Document ID]],Table1[],3,FALSE)</f>
        <v>Bhutan</v>
      </c>
      <c r="D90" s="233" t="str">
        <f>VLOOKUP(Table3[[#This Row],[Document ID]],Table1[],5,FALSE)</f>
        <v>NDC</v>
      </c>
      <c r="E90" s="233" t="str">
        <f>VLOOKUP(Table3[[#This Row],[Document ID]],Table1[],7,FALSE)</f>
        <v>Second NDC</v>
      </c>
      <c r="F90" s="233" t="str">
        <f>VLOOKUP(Table3[[#This Row],[Document ID]],Table1[],8,FALSE)</f>
        <v>NDC 2.0</v>
      </c>
      <c r="G90" s="233" t="str">
        <f>VLOOKUP(Table3[[#This Row],[Document ID]],Table1[],10,FALSE)</f>
        <v>Active</v>
      </c>
      <c r="H90" s="216" t="s">
        <v>1089</v>
      </c>
      <c r="I90" s="216" t="s">
        <v>1089</v>
      </c>
      <c r="J90" s="43" t="s">
        <v>1090</v>
      </c>
      <c r="K90" s="28" t="s">
        <v>1121</v>
      </c>
      <c r="L90" s="42" t="s">
        <v>1099</v>
      </c>
      <c r="M90" s="209">
        <v>2030</v>
      </c>
      <c r="N90" s="209" t="s">
        <v>1200</v>
      </c>
      <c r="O90" s="259">
        <v>5</v>
      </c>
      <c r="P90" s="238" t="str">
        <f>VLOOKUP(_xlfn.CONCAT(Table3[[#This Row],[Target area]],Table3[[#This Row],[GHG target?]],Table3[[#This Row],[Conditionality]]),'Drop down'!$E$81:$F$101,2,FALSE)</f>
        <v>T_Economy_Unc</v>
      </c>
      <c r="Q90" s="239" t="str">
        <f>VLOOKUP(Table3[[#This Row],[Target type]],Table418[[Value name]:[Value idenifyer]],2,FALSE)</f>
        <v>T_FL</v>
      </c>
      <c r="T90" s="234" t="s">
        <v>1113</v>
      </c>
      <c r="V90" s="233" t="str">
        <f>VLOOKUP(Table3[[#This Row],[Country Code]],Table29[],3,FALSE)</f>
        <v>Non-Annex I</v>
      </c>
      <c r="W90" s="233" t="str">
        <f>VLOOKUP(Table3[[#This Row],[Country Code]],Table29[],4,FALSE)</f>
        <v>Asia</v>
      </c>
      <c r="X90" s="233" t="str">
        <f>VLOOKUP(Table3[[#This Row],[Country Code]],Table29[],5,FALSE)</f>
        <v>Middle-income</v>
      </c>
      <c r="Y90" s="233" t="str">
        <f>VLOOKUP(Table3[[#This Row],[Country Code]],Table29[],6,FALSE)</f>
        <v>no</v>
      </c>
      <c r="Z90" s="233" t="str">
        <f>VLOOKUP(Table3[[#This Row],[Country Code]],Table29[],7,FALSE)</f>
        <v>no</v>
      </c>
      <c r="AA90" s="233" t="str">
        <f>VLOOKUP(Table3[[#This Row],[Country Code]],Table29[],8,FALSE)</f>
        <v>non-OECD</v>
      </c>
      <c r="AB90" s="233" t="str">
        <f>VLOOKUP(Table3[[#This Row],[Country Code]],Table29[],9,FALSE)</f>
        <v>no</v>
      </c>
      <c r="AC90" s="233" t="str">
        <f>VLOOKUP(Table3[[#This Row],[Country Code]],Table29[],10,FALSE)</f>
        <v>no</v>
      </c>
      <c r="AD90" s="235">
        <f>VLOOKUP(Table3[[#This Row],[Country Code]],Table29[],23,FALSE)</f>
        <v>3.2548573740653</v>
      </c>
      <c r="AE90" s="235">
        <f>VLOOKUP(Table3[[#This Row],[Country Code]],Table29[],24,FALSE)</f>
        <v>0.43507987337923443</v>
      </c>
      <c r="AF90" s="43"/>
    </row>
    <row r="91" spans="1:32" ht="30" x14ac:dyDescent="0.25">
      <c r="A91" s="360">
        <v>17533</v>
      </c>
      <c r="B91" s="233" t="str">
        <f>VLOOKUP(Table3[[#This Row],[Document ID]],Table1[],2,FALSE)</f>
        <v>BTN</v>
      </c>
      <c r="C91" s="233" t="str">
        <f>VLOOKUP(Table3[[#This Row],[Document ID]],Table1[],3,FALSE)</f>
        <v>Bhutan</v>
      </c>
      <c r="D91" s="233" t="str">
        <f>VLOOKUP(Table3[[#This Row],[Document ID]],Table1[],5,FALSE)</f>
        <v>NDC</v>
      </c>
      <c r="E91" s="233" t="str">
        <f>VLOOKUP(Table3[[#This Row],[Document ID]],Table1[],7,FALSE)</f>
        <v>First NDC</v>
      </c>
      <c r="F91" s="233" t="str">
        <f>VLOOKUP(Table3[[#This Row],[Document ID]],Table1[],8,FALSE)</f>
        <v>NDC 1.0</v>
      </c>
      <c r="G91" s="233" t="str">
        <f>VLOOKUP(Table3[[#This Row],[Document ID]],Table1[],10,FALSE)</f>
        <v>Archived</v>
      </c>
      <c r="H91" s="216" t="s">
        <v>1089</v>
      </c>
      <c r="I91" s="216" t="s">
        <v>1089</v>
      </c>
      <c r="J91" s="43" t="s">
        <v>1090</v>
      </c>
      <c r="K91" s="28" t="s">
        <v>1121</v>
      </c>
      <c r="L91" s="42" t="s">
        <v>1099</v>
      </c>
      <c r="M91" s="209"/>
      <c r="N91" s="176" t="s">
        <v>1201</v>
      </c>
      <c r="O91" s="258" t="s">
        <v>1094</v>
      </c>
      <c r="P91" s="238" t="str">
        <f>VLOOKUP(_xlfn.CONCAT(Table3[[#This Row],[Target area]],Table3[[#This Row],[GHG target?]],Table3[[#This Row],[Conditionality]]),'Drop down'!$E$81:$F$101,2,FALSE)</f>
        <v>T_Economy_Unc</v>
      </c>
      <c r="Q91" s="239" t="str">
        <f>VLOOKUP(Table3[[#This Row],[Target type]],Table418[[Value name]:[Value idenifyer]],2,FALSE)</f>
        <v>T_FL</v>
      </c>
      <c r="T91" s="234" t="s">
        <v>1113</v>
      </c>
      <c r="V91" s="233" t="str">
        <f>VLOOKUP(Table3[[#This Row],[Country Code]],Table29[],3,FALSE)</f>
        <v>Non-Annex I</v>
      </c>
      <c r="W91" s="233" t="str">
        <f>VLOOKUP(Table3[[#This Row],[Country Code]],Table29[],4,FALSE)</f>
        <v>Asia</v>
      </c>
      <c r="X91" s="233" t="str">
        <f>VLOOKUP(Table3[[#This Row],[Country Code]],Table29[],5,FALSE)</f>
        <v>Middle-income</v>
      </c>
      <c r="Y91" s="233" t="str">
        <f>VLOOKUP(Table3[[#This Row],[Country Code]],Table29[],6,FALSE)</f>
        <v>no</v>
      </c>
      <c r="Z91" s="233" t="str">
        <f>VLOOKUP(Table3[[#This Row],[Country Code]],Table29[],7,FALSE)</f>
        <v>no</v>
      </c>
      <c r="AA91" s="233" t="str">
        <f>VLOOKUP(Table3[[#This Row],[Country Code]],Table29[],8,FALSE)</f>
        <v>non-OECD</v>
      </c>
      <c r="AB91" s="233" t="str">
        <f>VLOOKUP(Table3[[#This Row],[Country Code]],Table29[],9,FALSE)</f>
        <v>no</v>
      </c>
      <c r="AC91" s="233" t="str">
        <f>VLOOKUP(Table3[[#This Row],[Country Code]],Table29[],10,FALSE)</f>
        <v>no</v>
      </c>
      <c r="AD91" s="235">
        <f>VLOOKUP(Table3[[#This Row],[Country Code]],Table29[],23,FALSE)</f>
        <v>3.2548573740653</v>
      </c>
      <c r="AE91" s="235">
        <f>VLOOKUP(Table3[[#This Row],[Country Code]],Table29[],24,FALSE)</f>
        <v>0.43507987337923443</v>
      </c>
      <c r="AF91" s="43"/>
    </row>
    <row r="92" spans="1:32" ht="30" x14ac:dyDescent="0.25">
      <c r="A92" s="368">
        <v>41747</v>
      </c>
      <c r="B92" s="233" t="str">
        <f>VLOOKUP(Table3[[#This Row],[Document ID]],Table1[],2,FALSE)</f>
        <v>ARM</v>
      </c>
      <c r="C92" s="233" t="str">
        <f>VLOOKUP(Table3[[#This Row],[Document ID]],Table1[],3,FALSE)</f>
        <v>Armenia</v>
      </c>
      <c r="D92" s="233" t="str">
        <f>VLOOKUP(Table3[[#This Row],[Document ID]],Table1[],5,FALSE)</f>
        <v>LTS</v>
      </c>
      <c r="E92" s="233" t="str">
        <f>VLOOKUP(Table3[[#This Row],[Document ID]],Table1[],7,FALSE)</f>
        <v>LTS</v>
      </c>
      <c r="F92" s="241" t="str">
        <f>VLOOKUP(Table3[[#This Row],[Document ID]],Table1[],8,FALSE)</f>
        <v>LTS 1.0</v>
      </c>
      <c r="G92" s="233" t="str">
        <f>VLOOKUP(Table3[[#This Row],[Document ID]],Table1[],10,FALSE)</f>
        <v>Active</v>
      </c>
      <c r="H92" s="42" t="s">
        <v>1095</v>
      </c>
      <c r="I92" s="43" t="s">
        <v>1115</v>
      </c>
      <c r="J92" s="43" t="s">
        <v>1090</v>
      </c>
      <c r="K92" s="28" t="s">
        <v>1121</v>
      </c>
      <c r="L92" s="42" t="s">
        <v>1099</v>
      </c>
      <c r="M92" s="209">
        <v>2050</v>
      </c>
      <c r="N92" s="209" t="s">
        <v>1202</v>
      </c>
      <c r="O92" s="258">
        <v>17</v>
      </c>
      <c r="P92" s="238" t="str">
        <f>VLOOKUP(_xlfn.CONCAT(Table3[[#This Row],[Target area]],Table3[[#This Row],[GHG target?]],Table3[[#This Row],[Conditionality]]),'Drop down'!$E$81:$F$101,2,FALSE)</f>
        <v>T_Transport_Unc</v>
      </c>
      <c r="Q92" s="239" t="str">
        <f>VLOOKUP(Table3[[#This Row],[Target type]],Table418[[Value name]:[Value idenifyer]],2,FALSE)</f>
        <v>T_FL</v>
      </c>
      <c r="S92" s="233" t="s">
        <v>1125</v>
      </c>
      <c r="T92" s="240"/>
      <c r="V92" s="233" t="str">
        <f>VLOOKUP(Table3[[#This Row],[Country Code]],Table29[],3,FALSE)</f>
        <v>Non-Annex I</v>
      </c>
      <c r="W92" s="233" t="str">
        <f>VLOOKUP(Table3[[#This Row],[Country Code]],Table29[],4,FALSE)</f>
        <v>Asia</v>
      </c>
      <c r="X92" s="233" t="str">
        <f>VLOOKUP(Table3[[#This Row],[Country Code]],Table29[],5,FALSE)</f>
        <v>Middle-income</v>
      </c>
      <c r="Y92" s="233" t="str">
        <f>VLOOKUP(Table3[[#This Row],[Country Code]],Table29[],6,FALSE)</f>
        <v>no</v>
      </c>
      <c r="Z92" s="233" t="str">
        <f>VLOOKUP(Table3[[#This Row],[Country Code]],Table29[],7,FALSE)</f>
        <v>no</v>
      </c>
      <c r="AA92" s="233" t="str">
        <f>VLOOKUP(Table3[[#This Row],[Country Code]],Table29[],8,FALSE)</f>
        <v>non-OECD</v>
      </c>
      <c r="AB92" s="233" t="str">
        <f>VLOOKUP(Table3[[#This Row],[Country Code]],Table29[],9,FALSE)</f>
        <v>no</v>
      </c>
      <c r="AC92" s="233" t="str">
        <f>VLOOKUP(Table3[[#This Row],[Country Code]],Table29[],10,FALSE)</f>
        <v>no</v>
      </c>
      <c r="AD92" s="235">
        <f>VLOOKUP(Table3[[#This Row],[Country Code]],Table29[],23,FALSE)</f>
        <v>10.836336950669001</v>
      </c>
      <c r="AE92" s="235">
        <f>VLOOKUP(Table3[[#This Row],[Country Code]],Table29[],24,FALSE)</f>
        <v>2.5418316945039221</v>
      </c>
      <c r="AF92" s="42"/>
    </row>
    <row r="93" spans="1:32" ht="60" x14ac:dyDescent="0.25">
      <c r="A93" s="368">
        <v>41747</v>
      </c>
      <c r="B93" s="233" t="str">
        <f>VLOOKUP(Table3[[#This Row],[Document ID]],Table1[],2,FALSE)</f>
        <v>ARM</v>
      </c>
      <c r="C93" s="233" t="str">
        <f>VLOOKUP(Table3[[#This Row],[Document ID]],Table1[],3,FALSE)</f>
        <v>Armenia</v>
      </c>
      <c r="D93" s="233" t="str">
        <f>VLOOKUP(Table3[[#This Row],[Document ID]],Table1[],5,FALSE)</f>
        <v>LTS</v>
      </c>
      <c r="E93" s="233" t="str">
        <f>VLOOKUP(Table3[[#This Row],[Document ID]],Table1[],7,FALSE)</f>
        <v>LTS</v>
      </c>
      <c r="F93" s="241" t="str">
        <f>VLOOKUP(Table3[[#This Row],[Document ID]],Table1[],8,FALSE)</f>
        <v>LTS 1.0</v>
      </c>
      <c r="G93" s="233" t="str">
        <f>VLOOKUP(Table3[[#This Row],[Document ID]],Table1[],10,FALSE)</f>
        <v>Active</v>
      </c>
      <c r="H93" s="42" t="s">
        <v>1095</v>
      </c>
      <c r="I93" s="42" t="s">
        <v>1096</v>
      </c>
      <c r="J93" s="42" t="s">
        <v>1097</v>
      </c>
      <c r="K93" s="28" t="s">
        <v>1104</v>
      </c>
      <c r="L93" s="42" t="s">
        <v>1099</v>
      </c>
      <c r="M93" s="209">
        <v>2050</v>
      </c>
      <c r="N93" s="209" t="s">
        <v>1203</v>
      </c>
      <c r="O93" s="258">
        <v>19</v>
      </c>
      <c r="P93" s="238" t="str">
        <f>VLOOKUP(_xlfn.CONCAT(Table3[[#This Row],[Target area]],Table3[[#This Row],[GHG target?]],Table3[[#This Row],[Conditionality]]),'Drop down'!$E$81:$F$101,2,FALSE)</f>
        <v>T_Transport_O_Unc</v>
      </c>
      <c r="Q93" s="239" t="str">
        <f>VLOOKUP(Table3[[#This Row],[Target type]],Table418[[Value name]:[Value idenifyer]],2,FALSE)</f>
        <v>T_O_ZERO</v>
      </c>
      <c r="T93" s="240"/>
      <c r="V93" s="233" t="str">
        <f>VLOOKUP(Table3[[#This Row],[Country Code]],Table29[],3,FALSE)</f>
        <v>Non-Annex I</v>
      </c>
      <c r="W93" s="233" t="str">
        <f>VLOOKUP(Table3[[#This Row],[Country Code]],Table29[],4,FALSE)</f>
        <v>Asia</v>
      </c>
      <c r="X93" s="233" t="str">
        <f>VLOOKUP(Table3[[#This Row],[Country Code]],Table29[],5,FALSE)</f>
        <v>Middle-income</v>
      </c>
      <c r="Y93" s="233" t="str">
        <f>VLOOKUP(Table3[[#This Row],[Country Code]],Table29[],6,FALSE)</f>
        <v>no</v>
      </c>
      <c r="Z93" s="233" t="str">
        <f>VLOOKUP(Table3[[#This Row],[Country Code]],Table29[],7,FALSE)</f>
        <v>no</v>
      </c>
      <c r="AA93" s="233" t="str">
        <f>VLOOKUP(Table3[[#This Row],[Country Code]],Table29[],8,FALSE)</f>
        <v>non-OECD</v>
      </c>
      <c r="AB93" s="233" t="str">
        <f>VLOOKUP(Table3[[#This Row],[Country Code]],Table29[],9,FALSE)</f>
        <v>no</v>
      </c>
      <c r="AC93" s="233" t="str">
        <f>VLOOKUP(Table3[[#This Row],[Country Code]],Table29[],10,FALSE)</f>
        <v>no</v>
      </c>
      <c r="AD93" s="235">
        <f>VLOOKUP(Table3[[#This Row],[Country Code]],Table29[],23,FALSE)</f>
        <v>10.836336950669001</v>
      </c>
      <c r="AE93" s="235">
        <f>VLOOKUP(Table3[[#This Row],[Country Code]],Table29[],24,FALSE)</f>
        <v>2.5418316945039221</v>
      </c>
      <c r="AF93" s="42"/>
    </row>
    <row r="94" spans="1:32" x14ac:dyDescent="0.25">
      <c r="A94" s="360">
        <v>17536</v>
      </c>
      <c r="B94" s="233" t="str">
        <f>VLOOKUP(Table3[[#This Row],[Document ID]],Table1[],2,FALSE)</f>
        <v>BIH</v>
      </c>
      <c r="C94" s="233" t="str">
        <f>VLOOKUP(Table3[[#This Row],[Document ID]],Table1[],3,FALSE)</f>
        <v>Bosnia and Herzegovina</v>
      </c>
      <c r="D94" s="233" t="str">
        <f>VLOOKUP(Table3[[#This Row],[Document ID]],Table1[],5,FALSE)</f>
        <v>NDC</v>
      </c>
      <c r="E94" s="233" t="str">
        <f>VLOOKUP(Table3[[#This Row],[Document ID]],Table1[],7,FALSE)</f>
        <v>First NDC updated</v>
      </c>
      <c r="F94" s="233" t="str">
        <f>VLOOKUP(Table3[[#This Row],[Document ID]],Table1[],8,FALSE)</f>
        <v>NDC 1.1</v>
      </c>
      <c r="G94" s="233" t="str">
        <f>VLOOKUP(Table3[[#This Row],[Document ID]],Table1[],10,FALSE)</f>
        <v>Active</v>
      </c>
      <c r="H94" s="216" t="s">
        <v>1089</v>
      </c>
      <c r="I94" s="216" t="s">
        <v>1089</v>
      </c>
      <c r="J94" s="43" t="s">
        <v>1090</v>
      </c>
      <c r="K94" s="28" t="s">
        <v>1153</v>
      </c>
      <c r="L94" s="42" t="s">
        <v>1099</v>
      </c>
      <c r="M94" s="209">
        <v>2030</v>
      </c>
      <c r="N94" s="44" t="s">
        <v>1204</v>
      </c>
      <c r="O94" s="221">
        <v>4</v>
      </c>
      <c r="P94" s="238" t="str">
        <f>VLOOKUP(_xlfn.CONCAT(Table3[[#This Row],[Target area]],Table3[[#This Row],[GHG target?]],Table3[[#This Row],[Conditionality]]),'Drop down'!$E$81:$F$101,2,FALSE)</f>
        <v>T_Economy_Unc</v>
      </c>
      <c r="Q94" s="239" t="str">
        <f>VLOOKUP(Table3[[#This Row],[Target type]],Table418[[Value name]:[Value idenifyer]],2,FALSE)</f>
        <v>T_BYE</v>
      </c>
      <c r="V94" s="233" t="str">
        <f>VLOOKUP(Table3[[#This Row],[Country Code]],Table29[],3,FALSE)</f>
        <v>Non-Annex I</v>
      </c>
      <c r="W94" s="233" t="str">
        <f>VLOOKUP(Table3[[#This Row],[Country Code]],Table29[],4,FALSE)</f>
        <v>Europe</v>
      </c>
      <c r="X94" s="233" t="str">
        <f>VLOOKUP(Table3[[#This Row],[Country Code]],Table29[],5,FALSE)</f>
        <v>Middle-income</v>
      </c>
      <c r="Y94" s="233" t="str">
        <f>VLOOKUP(Table3[[#This Row],[Country Code]],Table29[],6,FALSE)</f>
        <v>no</v>
      </c>
      <c r="Z94" s="233" t="str">
        <f>VLOOKUP(Table3[[#This Row],[Country Code]],Table29[],7,FALSE)</f>
        <v>no</v>
      </c>
      <c r="AA94" s="233" t="str">
        <f>VLOOKUP(Table3[[#This Row],[Country Code]],Table29[],8,FALSE)</f>
        <v>non-OECD</v>
      </c>
      <c r="AB94" s="233" t="str">
        <f>VLOOKUP(Table3[[#This Row],[Country Code]],Table29[],9,FALSE)</f>
        <v>no</v>
      </c>
      <c r="AC94" s="233" t="str">
        <f>VLOOKUP(Table3[[#This Row],[Country Code]],Table29[],10,FALSE)</f>
        <v>no</v>
      </c>
      <c r="AD94" s="235">
        <f>VLOOKUP(Table3[[#This Row],[Country Code]],Table29[],23,FALSE)</f>
        <v>29.397991348245998</v>
      </c>
      <c r="AE94" s="235">
        <f>VLOOKUP(Table3[[#This Row],[Country Code]],Table29[],24,FALSE)</f>
        <v>4.4436076081737648</v>
      </c>
      <c r="AF94" s="43"/>
    </row>
    <row r="95" spans="1:32" x14ac:dyDescent="0.25">
      <c r="A95" s="360">
        <v>17536</v>
      </c>
      <c r="B95" s="233" t="str">
        <f>VLOOKUP(Table3[[#This Row],[Document ID]],Table1[],2,FALSE)</f>
        <v>BIH</v>
      </c>
      <c r="C95" s="233" t="str">
        <f>VLOOKUP(Table3[[#This Row],[Document ID]],Table1[],3,FALSE)</f>
        <v>Bosnia and Herzegovina</v>
      </c>
      <c r="D95" s="233" t="str">
        <f>VLOOKUP(Table3[[#This Row],[Document ID]],Table1[],5,FALSE)</f>
        <v>NDC</v>
      </c>
      <c r="E95" s="233" t="str">
        <f>VLOOKUP(Table3[[#This Row],[Document ID]],Table1[],7,FALSE)</f>
        <v>First NDC updated</v>
      </c>
      <c r="F95" s="233" t="str">
        <f>VLOOKUP(Table3[[#This Row],[Document ID]],Table1[],8,FALSE)</f>
        <v>NDC 1.1</v>
      </c>
      <c r="G95" s="233" t="str">
        <f>VLOOKUP(Table3[[#This Row],[Document ID]],Table1[],10,FALSE)</f>
        <v>Active</v>
      </c>
      <c r="H95" s="216" t="s">
        <v>1089</v>
      </c>
      <c r="I95" s="216" t="s">
        <v>1089</v>
      </c>
      <c r="J95" s="43" t="s">
        <v>1090</v>
      </c>
      <c r="K95" s="28" t="s">
        <v>1153</v>
      </c>
      <c r="L95" s="216" t="s">
        <v>1092</v>
      </c>
      <c r="M95" s="209">
        <v>2030</v>
      </c>
      <c r="N95" s="44" t="s">
        <v>1205</v>
      </c>
      <c r="O95" s="221">
        <v>4</v>
      </c>
      <c r="P95" s="238" t="str">
        <f>VLOOKUP(_xlfn.CONCAT(Table3[[#This Row],[Target area]],Table3[[#This Row],[GHG target?]],Table3[[#This Row],[Conditionality]]),'Drop down'!$E$81:$F$101,2,FALSE)</f>
        <v>T_Economy_C</v>
      </c>
      <c r="Q95" s="239" t="str">
        <f>VLOOKUP(Table3[[#This Row],[Target type]],Table418[[Value name]:[Value idenifyer]],2,FALSE)</f>
        <v>T_BYE</v>
      </c>
      <c r="V95" s="233" t="str">
        <f>VLOOKUP(Table3[[#This Row],[Country Code]],Table29[],3,FALSE)</f>
        <v>Non-Annex I</v>
      </c>
      <c r="W95" s="233" t="str">
        <f>VLOOKUP(Table3[[#This Row],[Country Code]],Table29[],4,FALSE)</f>
        <v>Europe</v>
      </c>
      <c r="X95" s="233" t="str">
        <f>VLOOKUP(Table3[[#This Row],[Country Code]],Table29[],5,FALSE)</f>
        <v>Middle-income</v>
      </c>
      <c r="Y95" s="233" t="str">
        <f>VLOOKUP(Table3[[#This Row],[Country Code]],Table29[],6,FALSE)</f>
        <v>no</v>
      </c>
      <c r="Z95" s="233" t="str">
        <f>VLOOKUP(Table3[[#This Row],[Country Code]],Table29[],7,FALSE)</f>
        <v>no</v>
      </c>
      <c r="AA95" s="233" t="str">
        <f>VLOOKUP(Table3[[#This Row],[Country Code]],Table29[],8,FALSE)</f>
        <v>non-OECD</v>
      </c>
      <c r="AB95" s="233" t="str">
        <f>VLOOKUP(Table3[[#This Row],[Country Code]],Table29[],9,FALSE)</f>
        <v>no</v>
      </c>
      <c r="AC95" s="233" t="str">
        <f>VLOOKUP(Table3[[#This Row],[Country Code]],Table29[],10,FALSE)</f>
        <v>no</v>
      </c>
      <c r="AD95" s="235">
        <f>VLOOKUP(Table3[[#This Row],[Country Code]],Table29[],23,FALSE)</f>
        <v>29.397991348245998</v>
      </c>
      <c r="AE95" s="235">
        <f>VLOOKUP(Table3[[#This Row],[Country Code]],Table29[],24,FALSE)</f>
        <v>4.4436076081737648</v>
      </c>
      <c r="AF95" s="43"/>
    </row>
    <row r="96" spans="1:32" ht="30" x14ac:dyDescent="0.25">
      <c r="A96" s="360">
        <v>17536</v>
      </c>
      <c r="B96" s="233" t="str">
        <f>VLOOKUP(Table3[[#This Row],[Document ID]],Table1[],2,FALSE)</f>
        <v>BIH</v>
      </c>
      <c r="C96" s="233" t="str">
        <f>VLOOKUP(Table3[[#This Row],[Document ID]],Table1[],3,FALSE)</f>
        <v>Bosnia and Herzegovina</v>
      </c>
      <c r="D96" s="233" t="str">
        <f>VLOOKUP(Table3[[#This Row],[Document ID]],Table1[],5,FALSE)</f>
        <v>NDC</v>
      </c>
      <c r="E96" s="233" t="str">
        <f>VLOOKUP(Table3[[#This Row],[Document ID]],Table1[],7,FALSE)</f>
        <v>First NDC updated</v>
      </c>
      <c r="F96" s="233" t="str">
        <f>VLOOKUP(Table3[[#This Row],[Document ID]],Table1[],8,FALSE)</f>
        <v>NDC 1.1</v>
      </c>
      <c r="G96" s="233" t="str">
        <f>VLOOKUP(Table3[[#This Row],[Document ID]],Table1[],10,FALSE)</f>
        <v>Active</v>
      </c>
      <c r="H96" s="216" t="s">
        <v>1089</v>
      </c>
      <c r="I96" s="216" t="s">
        <v>1089</v>
      </c>
      <c r="J96" s="43" t="s">
        <v>1090</v>
      </c>
      <c r="K96" s="28" t="s">
        <v>1153</v>
      </c>
      <c r="L96" s="43" t="s">
        <v>1099</v>
      </c>
      <c r="M96" s="209">
        <v>2050</v>
      </c>
      <c r="N96" s="44" t="s">
        <v>1206</v>
      </c>
      <c r="O96" s="221">
        <v>4</v>
      </c>
      <c r="P96" s="238" t="str">
        <f>VLOOKUP(_xlfn.CONCAT(Table3[[#This Row],[Target area]],Table3[[#This Row],[GHG target?]],Table3[[#This Row],[Conditionality]]),'Drop down'!$E$81:$F$101,2,FALSE)</f>
        <v>T_Economy_Unc</v>
      </c>
      <c r="Q96" s="239" t="str">
        <f>VLOOKUP(Table3[[#This Row],[Target type]],Table418[[Value name]:[Value idenifyer]],2,FALSE)</f>
        <v>T_BYE</v>
      </c>
      <c r="V96" s="233" t="str">
        <f>VLOOKUP(Table3[[#This Row],[Country Code]],Table29[],3,FALSE)</f>
        <v>Non-Annex I</v>
      </c>
      <c r="W96" s="233" t="str">
        <f>VLOOKUP(Table3[[#This Row],[Country Code]],Table29[],4,FALSE)</f>
        <v>Europe</v>
      </c>
      <c r="X96" s="233" t="str">
        <f>VLOOKUP(Table3[[#This Row],[Country Code]],Table29[],5,FALSE)</f>
        <v>Middle-income</v>
      </c>
      <c r="Y96" s="233" t="str">
        <f>VLOOKUP(Table3[[#This Row],[Country Code]],Table29[],6,FALSE)</f>
        <v>no</v>
      </c>
      <c r="Z96" s="233" t="str">
        <f>VLOOKUP(Table3[[#This Row],[Country Code]],Table29[],7,FALSE)</f>
        <v>no</v>
      </c>
      <c r="AA96" s="233" t="str">
        <f>VLOOKUP(Table3[[#This Row],[Country Code]],Table29[],8,FALSE)</f>
        <v>non-OECD</v>
      </c>
      <c r="AB96" s="233" t="str">
        <f>VLOOKUP(Table3[[#This Row],[Country Code]],Table29[],9,FALSE)</f>
        <v>no</v>
      </c>
      <c r="AC96" s="233" t="str">
        <f>VLOOKUP(Table3[[#This Row],[Country Code]],Table29[],10,FALSE)</f>
        <v>no</v>
      </c>
      <c r="AD96" s="235">
        <f>VLOOKUP(Table3[[#This Row],[Country Code]],Table29[],23,FALSE)</f>
        <v>29.397991348245998</v>
      </c>
      <c r="AE96" s="235">
        <f>VLOOKUP(Table3[[#This Row],[Country Code]],Table29[],24,FALSE)</f>
        <v>4.4436076081737648</v>
      </c>
      <c r="AF96" s="43"/>
    </row>
    <row r="97" spans="1:32" x14ac:dyDescent="0.25">
      <c r="A97" s="360">
        <v>17535</v>
      </c>
      <c r="B97" s="233" t="str">
        <f>VLOOKUP(Table3[[#This Row],[Document ID]],Table1[],2,FALSE)</f>
        <v>BIH</v>
      </c>
      <c r="C97" s="233" t="str">
        <f>VLOOKUP(Table3[[#This Row],[Document ID]],Table1[],3,FALSE)</f>
        <v>Bosnia and Herzegovina</v>
      </c>
      <c r="D97" s="233" t="str">
        <f>VLOOKUP(Table3[[#This Row],[Document ID]],Table1[],5,FALSE)</f>
        <v>NDC</v>
      </c>
      <c r="E97" s="233" t="str">
        <f>VLOOKUP(Table3[[#This Row],[Document ID]],Table1[],7,FALSE)</f>
        <v>First NDC</v>
      </c>
      <c r="F97" s="233" t="str">
        <f>VLOOKUP(Table3[[#This Row],[Document ID]],Table1[],8,FALSE)</f>
        <v>NDC 1.0</v>
      </c>
      <c r="G97" s="233" t="str">
        <f>VLOOKUP(Table3[[#This Row],[Document ID]],Table1[],10,FALSE)</f>
        <v>Archived</v>
      </c>
      <c r="H97" s="216" t="s">
        <v>1089</v>
      </c>
      <c r="I97" s="216" t="s">
        <v>1089</v>
      </c>
      <c r="J97" s="43" t="s">
        <v>1090</v>
      </c>
      <c r="K97" s="28" t="s">
        <v>1091</v>
      </c>
      <c r="L97" s="42" t="s">
        <v>1099</v>
      </c>
      <c r="M97" s="209">
        <v>2030</v>
      </c>
      <c r="N97" s="176" t="s">
        <v>1207</v>
      </c>
      <c r="O97" s="258" t="s">
        <v>1094</v>
      </c>
      <c r="P97" s="238" t="str">
        <f>VLOOKUP(_xlfn.CONCAT(Table3[[#This Row],[Target area]],Table3[[#This Row],[GHG target?]],Table3[[#This Row],[Conditionality]]),'Drop down'!$E$81:$F$101,2,FALSE)</f>
        <v>T_Economy_Unc</v>
      </c>
      <c r="Q97" s="239" t="str">
        <f>VLOOKUP(Table3[[#This Row],[Target type]],Table418[[Value name]:[Value idenifyer]],2,FALSE)</f>
        <v>T_BAU</v>
      </c>
      <c r="V97" s="233" t="str">
        <f>VLOOKUP(Table3[[#This Row],[Country Code]],Table29[],3,FALSE)</f>
        <v>Non-Annex I</v>
      </c>
      <c r="W97" s="233" t="str">
        <f>VLOOKUP(Table3[[#This Row],[Country Code]],Table29[],4,FALSE)</f>
        <v>Europe</v>
      </c>
      <c r="X97" s="233" t="str">
        <f>VLOOKUP(Table3[[#This Row],[Country Code]],Table29[],5,FALSE)</f>
        <v>Middle-income</v>
      </c>
      <c r="Y97" s="233" t="str">
        <f>VLOOKUP(Table3[[#This Row],[Country Code]],Table29[],6,FALSE)</f>
        <v>no</v>
      </c>
      <c r="Z97" s="233" t="str">
        <f>VLOOKUP(Table3[[#This Row],[Country Code]],Table29[],7,FALSE)</f>
        <v>no</v>
      </c>
      <c r="AA97" s="233" t="str">
        <f>VLOOKUP(Table3[[#This Row],[Country Code]],Table29[],8,FALSE)</f>
        <v>non-OECD</v>
      </c>
      <c r="AB97" s="233" t="str">
        <f>VLOOKUP(Table3[[#This Row],[Country Code]],Table29[],9,FALSE)</f>
        <v>no</v>
      </c>
      <c r="AC97" s="233" t="str">
        <f>VLOOKUP(Table3[[#This Row],[Country Code]],Table29[],10,FALSE)</f>
        <v>no</v>
      </c>
      <c r="AD97" s="235">
        <f>VLOOKUP(Table3[[#This Row],[Country Code]],Table29[],23,FALSE)</f>
        <v>29.397991348245998</v>
      </c>
      <c r="AE97" s="235">
        <f>VLOOKUP(Table3[[#This Row],[Country Code]],Table29[],24,FALSE)</f>
        <v>4.4436076081737648</v>
      </c>
      <c r="AF97" s="43"/>
    </row>
    <row r="98" spans="1:32" x14ac:dyDescent="0.25">
      <c r="A98" s="360">
        <v>17535</v>
      </c>
      <c r="B98" s="233" t="str">
        <f>VLOOKUP(Table3[[#This Row],[Document ID]],Table1[],2,FALSE)</f>
        <v>BIH</v>
      </c>
      <c r="C98" s="233" t="str">
        <f>VLOOKUP(Table3[[#This Row],[Document ID]],Table1[],3,FALSE)</f>
        <v>Bosnia and Herzegovina</v>
      </c>
      <c r="D98" s="233" t="str">
        <f>VLOOKUP(Table3[[#This Row],[Document ID]],Table1[],5,FALSE)</f>
        <v>NDC</v>
      </c>
      <c r="E98" s="233" t="str">
        <f>VLOOKUP(Table3[[#This Row],[Document ID]],Table1[],7,FALSE)</f>
        <v>First NDC</v>
      </c>
      <c r="F98" s="233" t="str">
        <f>VLOOKUP(Table3[[#This Row],[Document ID]],Table1[],8,FALSE)</f>
        <v>NDC 1.0</v>
      </c>
      <c r="G98" s="233" t="str">
        <f>VLOOKUP(Table3[[#This Row],[Document ID]],Table1[],10,FALSE)</f>
        <v>Archived</v>
      </c>
      <c r="H98" s="216" t="s">
        <v>1089</v>
      </c>
      <c r="I98" s="216" t="s">
        <v>1089</v>
      </c>
      <c r="J98" s="43" t="s">
        <v>1090</v>
      </c>
      <c r="K98" s="28" t="s">
        <v>1091</v>
      </c>
      <c r="L98" s="216" t="s">
        <v>1092</v>
      </c>
      <c r="M98" s="209">
        <v>2030</v>
      </c>
      <c r="N98" s="176" t="s">
        <v>1208</v>
      </c>
      <c r="O98" s="258" t="s">
        <v>1094</v>
      </c>
      <c r="P98" s="238" t="str">
        <f>VLOOKUP(_xlfn.CONCAT(Table3[[#This Row],[Target area]],Table3[[#This Row],[GHG target?]],Table3[[#This Row],[Conditionality]]),'Drop down'!$E$81:$F$101,2,FALSE)</f>
        <v>T_Economy_C</v>
      </c>
      <c r="Q98" s="239" t="str">
        <f>VLOOKUP(Table3[[#This Row],[Target type]],Table418[[Value name]:[Value idenifyer]],2,FALSE)</f>
        <v>T_BAU</v>
      </c>
      <c r="V98" s="233" t="str">
        <f>VLOOKUP(Table3[[#This Row],[Country Code]],Table29[],3,FALSE)</f>
        <v>Non-Annex I</v>
      </c>
      <c r="W98" s="233" t="str">
        <f>VLOOKUP(Table3[[#This Row],[Country Code]],Table29[],4,FALSE)</f>
        <v>Europe</v>
      </c>
      <c r="X98" s="233" t="str">
        <f>VLOOKUP(Table3[[#This Row],[Country Code]],Table29[],5,FALSE)</f>
        <v>Middle-income</v>
      </c>
      <c r="Y98" s="233" t="str">
        <f>VLOOKUP(Table3[[#This Row],[Country Code]],Table29[],6,FALSE)</f>
        <v>no</v>
      </c>
      <c r="Z98" s="233" t="str">
        <f>VLOOKUP(Table3[[#This Row],[Country Code]],Table29[],7,FALSE)</f>
        <v>no</v>
      </c>
      <c r="AA98" s="233" t="str">
        <f>VLOOKUP(Table3[[#This Row],[Country Code]],Table29[],8,FALSE)</f>
        <v>non-OECD</v>
      </c>
      <c r="AB98" s="233" t="str">
        <f>VLOOKUP(Table3[[#This Row],[Country Code]],Table29[],9,FALSE)</f>
        <v>no</v>
      </c>
      <c r="AC98" s="233" t="str">
        <f>VLOOKUP(Table3[[#This Row],[Country Code]],Table29[],10,FALSE)</f>
        <v>no</v>
      </c>
      <c r="AD98" s="235">
        <f>VLOOKUP(Table3[[#This Row],[Country Code]],Table29[],23,FALSE)</f>
        <v>29.397991348245998</v>
      </c>
      <c r="AE98" s="235">
        <f>VLOOKUP(Table3[[#This Row],[Country Code]],Table29[],24,FALSE)</f>
        <v>4.4436076081737648</v>
      </c>
      <c r="AF98" s="43"/>
    </row>
    <row r="99" spans="1:32" x14ac:dyDescent="0.25">
      <c r="A99" s="360">
        <v>17537</v>
      </c>
      <c r="B99" s="233" t="str">
        <f>VLOOKUP(Table3[[#This Row],[Document ID]],Table1[],2,FALSE)</f>
        <v>BWA</v>
      </c>
      <c r="C99" s="233" t="str">
        <f>VLOOKUP(Table3[[#This Row],[Document ID]],Table1[],3,FALSE)</f>
        <v>Botswana</v>
      </c>
      <c r="D99" s="233" t="str">
        <f>VLOOKUP(Table3[[#This Row],[Document ID]],Table1[],5,FALSE)</f>
        <v>NDC</v>
      </c>
      <c r="E99" s="233" t="str">
        <f>VLOOKUP(Table3[[#This Row],[Document ID]],Table1[],7,FALSE)</f>
        <v>First NDC</v>
      </c>
      <c r="F99" s="233" t="str">
        <f>VLOOKUP(Table3[[#This Row],[Document ID]],Table1[],8,FALSE)</f>
        <v>NDC 1.0</v>
      </c>
      <c r="G99" s="233" t="str">
        <f>VLOOKUP(Table3[[#This Row],[Document ID]],Table1[],10,FALSE)</f>
        <v>Archived</v>
      </c>
      <c r="H99" s="216" t="s">
        <v>1089</v>
      </c>
      <c r="I99" s="216" t="s">
        <v>1089</v>
      </c>
      <c r="J99" s="43" t="s">
        <v>1090</v>
      </c>
      <c r="K99" s="28" t="s">
        <v>1153</v>
      </c>
      <c r="L99" s="216" t="s">
        <v>1092</v>
      </c>
      <c r="M99" s="209">
        <v>2030</v>
      </c>
      <c r="N99" s="176" t="s">
        <v>1209</v>
      </c>
      <c r="O99" s="258" t="s">
        <v>1094</v>
      </c>
      <c r="P99" s="238" t="str">
        <f>VLOOKUP(_xlfn.CONCAT(Table3[[#This Row],[Target area]],Table3[[#This Row],[GHG target?]],Table3[[#This Row],[Conditionality]]),'Drop down'!$E$81:$F$101,2,FALSE)</f>
        <v>T_Economy_C</v>
      </c>
      <c r="Q99" s="239" t="str">
        <f>VLOOKUP(Table3[[#This Row],[Target type]],Table418[[Value name]:[Value idenifyer]],2,FALSE)</f>
        <v>T_BYE</v>
      </c>
      <c r="V99" s="233" t="str">
        <f>VLOOKUP(Table3[[#This Row],[Country Code]],Table29[],3,FALSE)</f>
        <v>Non-Annex I</v>
      </c>
      <c r="W99" s="233" t="str">
        <f>VLOOKUP(Table3[[#This Row],[Country Code]],Table29[],4,FALSE)</f>
        <v>Africa</v>
      </c>
      <c r="X99" s="233" t="str">
        <f>VLOOKUP(Table3[[#This Row],[Country Code]],Table29[],5,FALSE)</f>
        <v>Middle-income</v>
      </c>
      <c r="Y99" s="233" t="str">
        <f>VLOOKUP(Table3[[#This Row],[Country Code]],Table29[],6,FALSE)</f>
        <v>no</v>
      </c>
      <c r="Z99" s="233" t="str">
        <f>VLOOKUP(Table3[[#This Row],[Country Code]],Table29[],7,FALSE)</f>
        <v>no</v>
      </c>
      <c r="AA99" s="233" t="str">
        <f>VLOOKUP(Table3[[#This Row],[Country Code]],Table29[],8,FALSE)</f>
        <v>non-OECD</v>
      </c>
      <c r="AB99" s="233" t="str">
        <f>VLOOKUP(Table3[[#This Row],[Country Code]],Table29[],9,FALSE)</f>
        <v>no</v>
      </c>
      <c r="AC99" s="233" t="str">
        <f>VLOOKUP(Table3[[#This Row],[Country Code]],Table29[],10,FALSE)</f>
        <v>no</v>
      </c>
      <c r="AD99" s="235">
        <f>VLOOKUP(Table3[[#This Row],[Country Code]],Table29[],23,FALSE)</f>
        <v>12.712755146957001</v>
      </c>
      <c r="AE99" s="235">
        <f>VLOOKUP(Table3[[#This Row],[Country Code]],Table29[],24,FALSE)</f>
        <v>2.440731678856535</v>
      </c>
      <c r="AF99" s="43"/>
    </row>
    <row r="100" spans="1:32" ht="30" x14ac:dyDescent="0.25">
      <c r="A100" s="360">
        <v>17539</v>
      </c>
      <c r="B100" s="233" t="str">
        <f>VLOOKUP(Table3[[#This Row],[Document ID]],Table1[],2,FALSE)</f>
        <v>BRA</v>
      </c>
      <c r="C100" s="233" t="str">
        <f>VLOOKUP(Table3[[#This Row],[Document ID]],Table1[],3,FALSE)</f>
        <v>Brazil</v>
      </c>
      <c r="D100" s="233" t="str">
        <f>VLOOKUP(Table3[[#This Row],[Document ID]],Table1[],5,FALSE)</f>
        <v>NDC</v>
      </c>
      <c r="E100" s="233" t="str">
        <f>VLOOKUP(Table3[[#This Row],[Document ID]],Table1[],7,FALSE)</f>
        <v>First NDC updated</v>
      </c>
      <c r="F100" s="233" t="str">
        <f>VLOOKUP(Table3[[#This Row],[Document ID]],Table1[],8,FALSE)</f>
        <v>NDC 1.1</v>
      </c>
      <c r="G100" s="233" t="str">
        <f>VLOOKUP(Table3[[#This Row],[Document ID]],Table1[],10,FALSE)</f>
        <v>Archived</v>
      </c>
      <c r="H100" s="216" t="s">
        <v>1089</v>
      </c>
      <c r="I100" s="216" t="s">
        <v>1089</v>
      </c>
      <c r="J100" s="43" t="s">
        <v>1090</v>
      </c>
      <c r="K100" s="28" t="s">
        <v>1153</v>
      </c>
      <c r="L100" s="42" t="s">
        <v>1099</v>
      </c>
      <c r="M100" s="209">
        <v>2030</v>
      </c>
      <c r="N100" s="44" t="s">
        <v>1210</v>
      </c>
      <c r="O100" s="221">
        <v>2</v>
      </c>
      <c r="P100" s="238" t="str">
        <f>VLOOKUP(_xlfn.CONCAT(Table3[[#This Row],[Target area]],Table3[[#This Row],[GHG target?]],Table3[[#This Row],[Conditionality]]),'Drop down'!$E$81:$F$101,2,FALSE)</f>
        <v>T_Economy_Unc</v>
      </c>
      <c r="Q100" s="239" t="str">
        <f>VLOOKUP(Table3[[#This Row],[Target type]],Table418[[Value name]:[Value idenifyer]],2,FALSE)</f>
        <v>T_BYE</v>
      </c>
      <c r="T100" s="234" t="s">
        <v>1113</v>
      </c>
      <c r="V100" s="233" t="str">
        <f>VLOOKUP(Table3[[#This Row],[Country Code]],Table29[],3,FALSE)</f>
        <v>Non-Annex I</v>
      </c>
      <c r="W100" s="233" t="str">
        <f>VLOOKUP(Table3[[#This Row],[Country Code]],Table29[],4,FALSE)</f>
        <v>Latin America and the Caribbean</v>
      </c>
      <c r="X100" s="233" t="str">
        <f>VLOOKUP(Table3[[#This Row],[Country Code]],Table29[],5,FALSE)</f>
        <v>Middle-income</v>
      </c>
      <c r="Y100" s="233" t="str">
        <f>VLOOKUP(Table3[[#This Row],[Country Code]],Table29[],6,FALSE)</f>
        <v>G20</v>
      </c>
      <c r="Z100" s="233" t="str">
        <f>VLOOKUP(Table3[[#This Row],[Country Code]],Table29[],7,FALSE)</f>
        <v>no</v>
      </c>
      <c r="AA100" s="233" t="str">
        <f>VLOOKUP(Table3[[#This Row],[Country Code]],Table29[],8,FALSE)</f>
        <v>non-OECD</v>
      </c>
      <c r="AB100" s="233" t="str">
        <f>VLOOKUP(Table3[[#This Row],[Country Code]],Table29[],9,FALSE)</f>
        <v>no</v>
      </c>
      <c r="AC100" s="233" t="str">
        <f>VLOOKUP(Table3[[#This Row],[Country Code]],Table29[],10,FALSE)</f>
        <v>no</v>
      </c>
      <c r="AD100" s="235">
        <f>VLOOKUP(Table3[[#This Row],[Country Code]],Table29[],23,FALSE)</f>
        <v>1300.1688666752</v>
      </c>
      <c r="AE100" s="235">
        <f>VLOOKUP(Table3[[#This Row],[Country Code]],Table29[],24,FALSE)</f>
        <v>221.12609205884911</v>
      </c>
      <c r="AF100" s="43"/>
    </row>
    <row r="101" spans="1:32" x14ac:dyDescent="0.25">
      <c r="A101" s="360">
        <v>26772</v>
      </c>
      <c r="B101" s="233" t="str">
        <f>VLOOKUP(Table3[[#This Row],[Document ID]],Table1[],2,FALSE)</f>
        <v>BRA</v>
      </c>
      <c r="C101" s="233" t="str">
        <f>VLOOKUP(Table3[[#This Row],[Document ID]],Table1[],3,FALSE)</f>
        <v>Brazil</v>
      </c>
      <c r="D101" s="233" t="str">
        <f>VLOOKUP(Table3[[#This Row],[Document ID]],Table1[],5,FALSE)</f>
        <v>NDC</v>
      </c>
      <c r="E101" s="233" t="str">
        <f>VLOOKUP(Table3[[#This Row],[Document ID]],Table1[],7,FALSE)</f>
        <v>First NDC updated</v>
      </c>
      <c r="F101" s="233" t="str">
        <f>VLOOKUP(Table3[[#This Row],[Document ID]],Table1[],8,FALSE)</f>
        <v>NDC 1.2</v>
      </c>
      <c r="G101" s="233" t="str">
        <f>VLOOKUP(Table3[[#This Row],[Document ID]],Table1[],10,FALSE)</f>
        <v>Archived</v>
      </c>
      <c r="H101" s="216" t="s">
        <v>1089</v>
      </c>
      <c r="I101" s="216" t="s">
        <v>1089</v>
      </c>
      <c r="J101" s="43" t="s">
        <v>1090</v>
      </c>
      <c r="K101" s="28" t="s">
        <v>1153</v>
      </c>
      <c r="L101" s="42" t="s">
        <v>1099</v>
      </c>
      <c r="M101" s="209">
        <v>2025</v>
      </c>
      <c r="N101" s="43" t="s">
        <v>1211</v>
      </c>
      <c r="O101" s="258">
        <v>1</v>
      </c>
      <c r="P101" s="238" t="str">
        <f>VLOOKUP(_xlfn.CONCAT(Table3[[#This Row],[Target area]],Table3[[#This Row],[GHG target?]],Table3[[#This Row],[Conditionality]]),'Drop down'!$E$81:$F$101,2,FALSE)</f>
        <v>T_Economy_Unc</v>
      </c>
      <c r="Q101" s="239" t="str">
        <f>VLOOKUP(Table3[[#This Row],[Target type]],Table418[[Value name]:[Value idenifyer]],2,FALSE)</f>
        <v>T_BYE</v>
      </c>
      <c r="T101" s="234" t="s">
        <v>1113</v>
      </c>
      <c r="V101" s="233" t="str">
        <f>VLOOKUP(Table3[[#This Row],[Country Code]],Table29[],3,FALSE)</f>
        <v>Non-Annex I</v>
      </c>
      <c r="W101" s="233" t="str">
        <f>VLOOKUP(Table3[[#This Row],[Country Code]],Table29[],4,FALSE)</f>
        <v>Latin America and the Caribbean</v>
      </c>
      <c r="X101" s="233" t="str">
        <f>VLOOKUP(Table3[[#This Row],[Country Code]],Table29[],5,FALSE)</f>
        <v>Middle-income</v>
      </c>
      <c r="Y101" s="233" t="str">
        <f>VLOOKUP(Table3[[#This Row],[Country Code]],Table29[],6,FALSE)</f>
        <v>G20</v>
      </c>
      <c r="Z101" s="233" t="str">
        <f>VLOOKUP(Table3[[#This Row],[Country Code]],Table29[],7,FALSE)</f>
        <v>no</v>
      </c>
      <c r="AA101" s="233" t="str">
        <f>VLOOKUP(Table3[[#This Row],[Country Code]],Table29[],8,FALSE)</f>
        <v>non-OECD</v>
      </c>
      <c r="AB101" s="233" t="str">
        <f>VLOOKUP(Table3[[#This Row],[Country Code]],Table29[],9,FALSE)</f>
        <v>no</v>
      </c>
      <c r="AC101" s="233" t="str">
        <f>VLOOKUP(Table3[[#This Row],[Country Code]],Table29[],10,FALSE)</f>
        <v>no</v>
      </c>
      <c r="AD101" s="235">
        <f>VLOOKUP(Table3[[#This Row],[Country Code]],Table29[],23,FALSE)</f>
        <v>1300.1688666752</v>
      </c>
      <c r="AE101" s="235">
        <f>VLOOKUP(Table3[[#This Row],[Country Code]],Table29[],24,FALSE)</f>
        <v>221.12609205884911</v>
      </c>
      <c r="AF101" s="43"/>
    </row>
    <row r="102" spans="1:32" x14ac:dyDescent="0.25">
      <c r="A102" s="360">
        <v>26772</v>
      </c>
      <c r="B102" s="233" t="str">
        <f>VLOOKUP(Table3[[#This Row],[Document ID]],Table1[],2,FALSE)</f>
        <v>BRA</v>
      </c>
      <c r="C102" s="233" t="str">
        <f>VLOOKUP(Table3[[#This Row],[Document ID]],Table1[],3,FALSE)</f>
        <v>Brazil</v>
      </c>
      <c r="D102" s="233" t="str">
        <f>VLOOKUP(Table3[[#This Row],[Document ID]],Table1[],5,FALSE)</f>
        <v>NDC</v>
      </c>
      <c r="E102" s="233" t="str">
        <f>VLOOKUP(Table3[[#This Row],[Document ID]],Table1[],7,FALSE)</f>
        <v>First NDC updated</v>
      </c>
      <c r="F102" s="233" t="str">
        <f>VLOOKUP(Table3[[#This Row],[Document ID]],Table1[],8,FALSE)</f>
        <v>NDC 1.2</v>
      </c>
      <c r="G102" s="233" t="str">
        <f>VLOOKUP(Table3[[#This Row],[Document ID]],Table1[],10,FALSE)</f>
        <v>Archived</v>
      </c>
      <c r="H102" s="216" t="s">
        <v>1089</v>
      </c>
      <c r="I102" s="216" t="s">
        <v>1089</v>
      </c>
      <c r="J102" s="43" t="s">
        <v>1090</v>
      </c>
      <c r="K102" s="28" t="s">
        <v>1153</v>
      </c>
      <c r="L102" s="42" t="s">
        <v>1099</v>
      </c>
      <c r="M102" s="209">
        <v>2030</v>
      </c>
      <c r="N102" s="43" t="s">
        <v>1212</v>
      </c>
      <c r="O102" s="258">
        <v>1</v>
      </c>
      <c r="P102" s="238" t="str">
        <f>VLOOKUP(_xlfn.CONCAT(Table3[[#This Row],[Target area]],Table3[[#This Row],[GHG target?]],Table3[[#This Row],[Conditionality]]),'Drop down'!$E$81:$F$101,2,FALSE)</f>
        <v>T_Economy_Unc</v>
      </c>
      <c r="Q102" s="239" t="str">
        <f>VLOOKUP(Table3[[#This Row],[Target type]],Table418[[Value name]:[Value idenifyer]],2,FALSE)</f>
        <v>T_BYE</v>
      </c>
      <c r="T102" s="234" t="s">
        <v>1113</v>
      </c>
      <c r="V102" s="233" t="str">
        <f>VLOOKUP(Table3[[#This Row],[Country Code]],Table29[],3,FALSE)</f>
        <v>Non-Annex I</v>
      </c>
      <c r="W102" s="233" t="str">
        <f>VLOOKUP(Table3[[#This Row],[Country Code]],Table29[],4,FALSE)</f>
        <v>Latin America and the Caribbean</v>
      </c>
      <c r="X102" s="233" t="str">
        <f>VLOOKUP(Table3[[#This Row],[Country Code]],Table29[],5,FALSE)</f>
        <v>Middle-income</v>
      </c>
      <c r="Y102" s="233" t="str">
        <f>VLOOKUP(Table3[[#This Row],[Country Code]],Table29[],6,FALSE)</f>
        <v>G20</v>
      </c>
      <c r="Z102" s="233" t="str">
        <f>VLOOKUP(Table3[[#This Row],[Country Code]],Table29[],7,FALSE)</f>
        <v>no</v>
      </c>
      <c r="AA102" s="233" t="str">
        <f>VLOOKUP(Table3[[#This Row],[Country Code]],Table29[],8,FALSE)</f>
        <v>non-OECD</v>
      </c>
      <c r="AB102" s="233" t="str">
        <f>VLOOKUP(Table3[[#This Row],[Country Code]],Table29[],9,FALSE)</f>
        <v>no</v>
      </c>
      <c r="AC102" s="233" t="str">
        <f>VLOOKUP(Table3[[#This Row],[Country Code]],Table29[],10,FALSE)</f>
        <v>no</v>
      </c>
      <c r="AD102" s="235">
        <f>VLOOKUP(Table3[[#This Row],[Country Code]],Table29[],23,FALSE)</f>
        <v>1300.1688666752</v>
      </c>
      <c r="AE102" s="235">
        <f>VLOOKUP(Table3[[#This Row],[Country Code]],Table29[],24,FALSE)</f>
        <v>221.12609205884911</v>
      </c>
      <c r="AF102" s="43"/>
    </row>
    <row r="103" spans="1:32" x14ac:dyDescent="0.25">
      <c r="A103" s="360">
        <v>26772</v>
      </c>
      <c r="B103" s="233" t="str">
        <f>VLOOKUP(Table3[[#This Row],[Document ID]],Table1[],2,FALSE)</f>
        <v>BRA</v>
      </c>
      <c r="C103" s="233" t="str">
        <f>VLOOKUP(Table3[[#This Row],[Document ID]],Table1[],3,FALSE)</f>
        <v>Brazil</v>
      </c>
      <c r="D103" s="233" t="str">
        <f>VLOOKUP(Table3[[#This Row],[Document ID]],Table1[],5,FALSE)</f>
        <v>NDC</v>
      </c>
      <c r="E103" s="233" t="str">
        <f>VLOOKUP(Table3[[#This Row],[Document ID]],Table1[],7,FALSE)</f>
        <v>First NDC updated</v>
      </c>
      <c r="F103" s="233" t="str">
        <f>VLOOKUP(Table3[[#This Row],[Document ID]],Table1[],8,FALSE)</f>
        <v>NDC 1.2</v>
      </c>
      <c r="G103" s="233" t="str">
        <f>VLOOKUP(Table3[[#This Row],[Document ID]],Table1[],10,FALSE)</f>
        <v>Archived</v>
      </c>
      <c r="H103" s="43" t="s">
        <v>1147</v>
      </c>
      <c r="I103" s="43" t="s">
        <v>1089</v>
      </c>
      <c r="J103" s="43" t="s">
        <v>1090</v>
      </c>
      <c r="K103" s="28" t="s">
        <v>1121</v>
      </c>
      <c r="L103" s="42" t="s">
        <v>1099</v>
      </c>
      <c r="M103" s="209">
        <v>2050</v>
      </c>
      <c r="N103" s="43" t="s">
        <v>1213</v>
      </c>
      <c r="O103" s="258">
        <v>1</v>
      </c>
      <c r="P103" s="238" t="str">
        <f>VLOOKUP(_xlfn.CONCAT(Table3[[#This Row],[Target area]],Table3[[#This Row],[GHG target?]],Table3[[#This Row],[Conditionality]]),'Drop down'!$E$81:$F$101,2,FALSE)</f>
        <v>T_Netzero_Unc</v>
      </c>
      <c r="Q103" s="239" t="str">
        <f>VLOOKUP(Table3[[#This Row],[Target type]],Table418[[Value name]:[Value idenifyer]],2,FALSE)</f>
        <v>T_FL</v>
      </c>
      <c r="T103" s="234" t="s">
        <v>1113</v>
      </c>
      <c r="V103" s="233" t="str">
        <f>VLOOKUP(Table3[[#This Row],[Country Code]],Table29[],3,FALSE)</f>
        <v>Non-Annex I</v>
      </c>
      <c r="W103" s="233" t="str">
        <f>VLOOKUP(Table3[[#This Row],[Country Code]],Table29[],4,FALSE)</f>
        <v>Latin America and the Caribbean</v>
      </c>
      <c r="X103" s="233" t="str">
        <f>VLOOKUP(Table3[[#This Row],[Country Code]],Table29[],5,FALSE)</f>
        <v>Middle-income</v>
      </c>
      <c r="Y103" s="233" t="str">
        <f>VLOOKUP(Table3[[#This Row],[Country Code]],Table29[],6,FALSE)</f>
        <v>G20</v>
      </c>
      <c r="Z103" s="233" t="str">
        <f>VLOOKUP(Table3[[#This Row],[Country Code]],Table29[],7,FALSE)</f>
        <v>no</v>
      </c>
      <c r="AA103" s="233" t="str">
        <f>VLOOKUP(Table3[[#This Row],[Country Code]],Table29[],8,FALSE)</f>
        <v>non-OECD</v>
      </c>
      <c r="AB103" s="233" t="str">
        <f>VLOOKUP(Table3[[#This Row],[Country Code]],Table29[],9,FALSE)</f>
        <v>no</v>
      </c>
      <c r="AC103" s="233" t="str">
        <f>VLOOKUP(Table3[[#This Row],[Country Code]],Table29[],10,FALSE)</f>
        <v>no</v>
      </c>
      <c r="AD103" s="235">
        <f>VLOOKUP(Table3[[#This Row],[Country Code]],Table29[],23,FALSE)</f>
        <v>1300.1688666752</v>
      </c>
      <c r="AE103" s="235">
        <f>VLOOKUP(Table3[[#This Row],[Country Code]],Table29[],24,FALSE)</f>
        <v>221.12609205884911</v>
      </c>
      <c r="AF103" s="43"/>
    </row>
    <row r="104" spans="1:32" x14ac:dyDescent="0.25">
      <c r="A104" s="360">
        <v>17538</v>
      </c>
      <c r="B104" s="233" t="str">
        <f>VLOOKUP(Table3[[#This Row],[Document ID]],Table1[],2,FALSE)</f>
        <v>BRA</v>
      </c>
      <c r="C104" s="233" t="str">
        <f>VLOOKUP(Table3[[#This Row],[Document ID]],Table1[],3,FALSE)</f>
        <v>Brazil</v>
      </c>
      <c r="D104" s="233" t="str">
        <f>VLOOKUP(Table3[[#This Row],[Document ID]],Table1[],5,FALSE)</f>
        <v>NDC</v>
      </c>
      <c r="E104" s="233" t="str">
        <f>VLOOKUP(Table3[[#This Row],[Document ID]],Table1[],7,FALSE)</f>
        <v>First NDC</v>
      </c>
      <c r="F104" s="233" t="str">
        <f>VLOOKUP(Table3[[#This Row],[Document ID]],Table1[],8,FALSE)</f>
        <v>NDC 1.0</v>
      </c>
      <c r="G104" s="233" t="str">
        <f>VLOOKUP(Table3[[#This Row],[Document ID]],Table1[],10,FALSE)</f>
        <v>Archived</v>
      </c>
      <c r="H104" s="216" t="s">
        <v>1089</v>
      </c>
      <c r="I104" s="216" t="s">
        <v>1089</v>
      </c>
      <c r="J104" s="43" t="s">
        <v>1090</v>
      </c>
      <c r="K104" s="28" t="s">
        <v>1153</v>
      </c>
      <c r="L104" s="42" t="s">
        <v>1099</v>
      </c>
      <c r="M104" s="209">
        <v>2030</v>
      </c>
      <c r="N104" s="176" t="s">
        <v>1214</v>
      </c>
      <c r="O104" s="258" t="s">
        <v>1094</v>
      </c>
      <c r="P104" s="238" t="str">
        <f>VLOOKUP(_xlfn.CONCAT(Table3[[#This Row],[Target area]],Table3[[#This Row],[GHG target?]],Table3[[#This Row],[Conditionality]]),'Drop down'!$E$81:$F$101,2,FALSE)</f>
        <v>T_Economy_Unc</v>
      </c>
      <c r="Q104" s="239" t="str">
        <f>VLOOKUP(Table3[[#This Row],[Target type]],Table418[[Value name]:[Value idenifyer]],2,FALSE)</f>
        <v>T_BYE</v>
      </c>
      <c r="T104" s="234" t="s">
        <v>1113</v>
      </c>
      <c r="V104" s="233" t="str">
        <f>VLOOKUP(Table3[[#This Row],[Country Code]],Table29[],3,FALSE)</f>
        <v>Non-Annex I</v>
      </c>
      <c r="W104" s="233" t="str">
        <f>VLOOKUP(Table3[[#This Row],[Country Code]],Table29[],4,FALSE)</f>
        <v>Latin America and the Caribbean</v>
      </c>
      <c r="X104" s="233" t="str">
        <f>VLOOKUP(Table3[[#This Row],[Country Code]],Table29[],5,FALSE)</f>
        <v>Middle-income</v>
      </c>
      <c r="Y104" s="233" t="str">
        <f>VLOOKUP(Table3[[#This Row],[Country Code]],Table29[],6,FALSE)</f>
        <v>G20</v>
      </c>
      <c r="Z104" s="233" t="str">
        <f>VLOOKUP(Table3[[#This Row],[Country Code]],Table29[],7,FALSE)</f>
        <v>no</v>
      </c>
      <c r="AA104" s="233" t="str">
        <f>VLOOKUP(Table3[[#This Row],[Country Code]],Table29[],8,FALSE)</f>
        <v>non-OECD</v>
      </c>
      <c r="AB104" s="233" t="str">
        <f>VLOOKUP(Table3[[#This Row],[Country Code]],Table29[],9,FALSE)</f>
        <v>no</v>
      </c>
      <c r="AC104" s="233" t="str">
        <f>VLOOKUP(Table3[[#This Row],[Country Code]],Table29[],10,FALSE)</f>
        <v>no</v>
      </c>
      <c r="AD104" s="235">
        <f>VLOOKUP(Table3[[#This Row],[Country Code]],Table29[],23,FALSE)</f>
        <v>1300.1688666752</v>
      </c>
      <c r="AE104" s="235">
        <f>VLOOKUP(Table3[[#This Row],[Country Code]],Table29[],24,FALSE)</f>
        <v>221.12609205884911</v>
      </c>
      <c r="AF104" s="43"/>
    </row>
    <row r="105" spans="1:32" ht="30" x14ac:dyDescent="0.25">
      <c r="A105" s="360">
        <v>17541</v>
      </c>
      <c r="B105" s="233" t="str">
        <f>VLOOKUP(Table3[[#This Row],[Document ID]],Table1[],2,FALSE)</f>
        <v>BRN</v>
      </c>
      <c r="C105" s="233" t="str">
        <f>VLOOKUP(Table3[[#This Row],[Document ID]],Table1[],3,FALSE)</f>
        <v>Brunei Darussalam</v>
      </c>
      <c r="D105" s="233" t="str">
        <f>VLOOKUP(Table3[[#This Row],[Document ID]],Table1[],5,FALSE)</f>
        <v>NDC</v>
      </c>
      <c r="E105" s="233" t="str">
        <f>VLOOKUP(Table3[[#This Row],[Document ID]],Table1[],7,FALSE)</f>
        <v>First NDC updated</v>
      </c>
      <c r="F105" s="233" t="str">
        <f>VLOOKUP(Table3[[#This Row],[Document ID]],Table1[],8,FALSE)</f>
        <v>NDC 1.1</v>
      </c>
      <c r="G105" s="233" t="str">
        <f>VLOOKUP(Table3[[#This Row],[Document ID]],Table1[],10,FALSE)</f>
        <v>Active</v>
      </c>
      <c r="H105" s="43" t="s">
        <v>1114</v>
      </c>
      <c r="I105" s="43" t="s">
        <v>1115</v>
      </c>
      <c r="J105" s="42" t="s">
        <v>1097</v>
      </c>
      <c r="K105" s="28" t="s">
        <v>1118</v>
      </c>
      <c r="L105" s="43" t="s">
        <v>1116</v>
      </c>
      <c r="M105" s="209">
        <v>2035</v>
      </c>
      <c r="N105" s="22" t="s">
        <v>1215</v>
      </c>
      <c r="O105" s="221">
        <v>10</v>
      </c>
      <c r="P105" s="238" t="str">
        <f>VLOOKUP(_xlfn.CONCAT(Table3[[#This Row],[Target area]],Table3[[#This Row],[GHG target?]],Table3[[#This Row],[Conditionality]]),'Drop down'!$E$81:$F$101,2,FALSE)</f>
        <v>T_Energy_O</v>
      </c>
      <c r="Q105" s="239" t="str">
        <f>VLOOKUP(Table3[[#This Row],[Target type]],Table418[[Value name]:[Value idenifyer]],2,FALSE)</f>
        <v>T_E_REN</v>
      </c>
      <c r="S105" s="233" t="s">
        <v>1101</v>
      </c>
      <c r="V105" s="233" t="str">
        <f>VLOOKUP(Table3[[#This Row],[Country Code]],Table29[],3,FALSE)</f>
        <v>Non-Annex I</v>
      </c>
      <c r="W105" s="233" t="str">
        <f>VLOOKUP(Table3[[#This Row],[Country Code]],Table29[],4,FALSE)</f>
        <v>Asia</v>
      </c>
      <c r="X105" s="233" t="str">
        <f>VLOOKUP(Table3[[#This Row],[Country Code]],Table29[],5,FALSE)</f>
        <v>High-income</v>
      </c>
      <c r="Y105" s="233" t="str">
        <f>VLOOKUP(Table3[[#This Row],[Country Code]],Table29[],6,FALSE)</f>
        <v>no</v>
      </c>
      <c r="Z105" s="233" t="str">
        <f>VLOOKUP(Table3[[#This Row],[Country Code]],Table29[],7,FALSE)</f>
        <v>no</v>
      </c>
      <c r="AA105" s="233" t="str">
        <f>VLOOKUP(Table3[[#This Row],[Country Code]],Table29[],8,FALSE)</f>
        <v>non-OECD</v>
      </c>
      <c r="AB105" s="233" t="str">
        <f>VLOOKUP(Table3[[#This Row],[Country Code]],Table29[],9,FALSE)</f>
        <v>no</v>
      </c>
      <c r="AC105" s="233" t="str">
        <f>VLOOKUP(Table3[[#This Row],[Country Code]],Table29[],10,FALSE)</f>
        <v>no</v>
      </c>
      <c r="AD105" s="235">
        <f>VLOOKUP(Table3[[#This Row],[Country Code]],Table29[],23,FALSE)</f>
        <v>12.157942508343</v>
      </c>
      <c r="AE105" s="235">
        <f>VLOOKUP(Table3[[#This Row],[Country Code]],Table29[],24,FALSE)</f>
        <v>1.259434350959115</v>
      </c>
      <c r="AF105" s="43"/>
    </row>
    <row r="106" spans="1:32" x14ac:dyDescent="0.25">
      <c r="A106" s="360">
        <v>17541</v>
      </c>
      <c r="B106" s="233" t="str">
        <f>VLOOKUP(Table3[[#This Row],[Document ID]],Table1[],2,FALSE)</f>
        <v>BRN</v>
      </c>
      <c r="C106" s="233" t="str">
        <f>VLOOKUP(Table3[[#This Row],[Document ID]],Table1[],3,FALSE)</f>
        <v>Brunei Darussalam</v>
      </c>
      <c r="D106" s="233" t="str">
        <f>VLOOKUP(Table3[[#This Row],[Document ID]],Table1[],5,FALSE)</f>
        <v>NDC</v>
      </c>
      <c r="E106" s="233" t="str">
        <f>VLOOKUP(Table3[[#This Row],[Document ID]],Table1[],7,FALSE)</f>
        <v>First NDC updated</v>
      </c>
      <c r="F106" s="233" t="str">
        <f>VLOOKUP(Table3[[#This Row],[Document ID]],Table1[],8,FALSE)</f>
        <v>NDC 1.1</v>
      </c>
      <c r="G106" s="233" t="str">
        <f>VLOOKUP(Table3[[#This Row],[Document ID]],Table1[],10,FALSE)</f>
        <v>Active</v>
      </c>
      <c r="H106" s="216" t="s">
        <v>1089</v>
      </c>
      <c r="I106" s="216" t="s">
        <v>1089</v>
      </c>
      <c r="J106" s="43" t="s">
        <v>1090</v>
      </c>
      <c r="K106" s="28" t="s">
        <v>1091</v>
      </c>
      <c r="L106" s="42" t="s">
        <v>1099</v>
      </c>
      <c r="M106" s="209">
        <v>2030</v>
      </c>
      <c r="N106" s="44" t="s">
        <v>1216</v>
      </c>
      <c r="O106" s="221"/>
      <c r="P106" s="238" t="str">
        <f>VLOOKUP(_xlfn.CONCAT(Table3[[#This Row],[Target area]],Table3[[#This Row],[GHG target?]],Table3[[#This Row],[Conditionality]]),'Drop down'!$E$81:$F$101,2,FALSE)</f>
        <v>T_Economy_Unc</v>
      </c>
      <c r="Q106" s="239" t="str">
        <f>VLOOKUP(Table3[[#This Row],[Target type]],Table418[[Value name]:[Value idenifyer]],2,FALSE)</f>
        <v>T_BAU</v>
      </c>
      <c r="S106" s="233" t="s">
        <v>1101</v>
      </c>
      <c r="V106" s="233" t="str">
        <f>VLOOKUP(Table3[[#This Row],[Country Code]],Table29[],3,FALSE)</f>
        <v>Non-Annex I</v>
      </c>
      <c r="W106" s="233" t="str">
        <f>VLOOKUP(Table3[[#This Row],[Country Code]],Table29[],4,FALSE)</f>
        <v>Asia</v>
      </c>
      <c r="X106" s="233" t="str">
        <f>VLOOKUP(Table3[[#This Row],[Country Code]],Table29[],5,FALSE)</f>
        <v>High-income</v>
      </c>
      <c r="Y106" s="233" t="str">
        <f>VLOOKUP(Table3[[#This Row],[Country Code]],Table29[],6,FALSE)</f>
        <v>no</v>
      </c>
      <c r="Z106" s="233" t="str">
        <f>VLOOKUP(Table3[[#This Row],[Country Code]],Table29[],7,FALSE)</f>
        <v>no</v>
      </c>
      <c r="AA106" s="233" t="str">
        <f>VLOOKUP(Table3[[#This Row],[Country Code]],Table29[],8,FALSE)</f>
        <v>non-OECD</v>
      </c>
      <c r="AB106" s="233" t="str">
        <f>VLOOKUP(Table3[[#This Row],[Country Code]],Table29[],9,FALSE)</f>
        <v>no</v>
      </c>
      <c r="AC106" s="233" t="str">
        <f>VLOOKUP(Table3[[#This Row],[Country Code]],Table29[],10,FALSE)</f>
        <v>no</v>
      </c>
      <c r="AD106" s="235">
        <f>VLOOKUP(Table3[[#This Row],[Country Code]],Table29[],23,FALSE)</f>
        <v>12.157942508343</v>
      </c>
      <c r="AE106" s="235">
        <f>VLOOKUP(Table3[[#This Row],[Country Code]],Table29[],24,FALSE)</f>
        <v>1.259434350959115</v>
      </c>
      <c r="AF106" s="43"/>
    </row>
    <row r="107" spans="1:32" s="150" customFormat="1" ht="45" x14ac:dyDescent="0.25">
      <c r="A107" s="368">
        <v>41747</v>
      </c>
      <c r="B107" s="233" t="str">
        <f>VLOOKUP(Table3[[#This Row],[Document ID]],Table1[],2,FALSE)</f>
        <v>ARM</v>
      </c>
      <c r="C107" s="233" t="str">
        <f>VLOOKUP(Table3[[#This Row],[Document ID]],Table1[],3,FALSE)</f>
        <v>Armenia</v>
      </c>
      <c r="D107" s="233" t="str">
        <f>VLOOKUP(Table3[[#This Row],[Document ID]],Table1[],5,FALSE)</f>
        <v>LTS</v>
      </c>
      <c r="E107" s="233" t="str">
        <f>VLOOKUP(Table3[[#This Row],[Document ID]],Table1[],7,FALSE)</f>
        <v>LTS</v>
      </c>
      <c r="F107" s="241" t="str">
        <f>VLOOKUP(Table3[[#This Row],[Document ID]],Table1[],8,FALSE)</f>
        <v>LTS 1.0</v>
      </c>
      <c r="G107" s="233" t="str">
        <f>VLOOKUP(Table3[[#This Row],[Document ID]],Table1[],10,FALSE)</f>
        <v>Active</v>
      </c>
      <c r="H107" s="42" t="s">
        <v>1095</v>
      </c>
      <c r="I107" s="42" t="s">
        <v>1096</v>
      </c>
      <c r="J107" s="42" t="s">
        <v>1097</v>
      </c>
      <c r="K107" s="28" t="s">
        <v>1175</v>
      </c>
      <c r="L107" s="42" t="s">
        <v>1099</v>
      </c>
      <c r="M107" s="209">
        <v>2050</v>
      </c>
      <c r="N107" s="209" t="s">
        <v>1217</v>
      </c>
      <c r="O107" s="258">
        <v>19</v>
      </c>
      <c r="P107" s="238" t="str">
        <f>VLOOKUP(_xlfn.CONCAT(Table3[[#This Row],[Target area]],Table3[[#This Row],[GHG target?]],Table3[[#This Row],[Conditionality]]),'Drop down'!$E$81:$F$101,2,FALSE)</f>
        <v>T_Transport_O_Unc</v>
      </c>
      <c r="Q107" s="239" t="str">
        <f>VLOOKUP(Table3[[#This Row],[Target type]],Table418[[Value name]:[Value idenifyer]],2,FALSE)</f>
        <v>T_O_AVOID</v>
      </c>
      <c r="R107" s="233"/>
      <c r="S107" s="233"/>
      <c r="T107" s="240"/>
      <c r="U107" s="234"/>
      <c r="V107" s="233" t="str">
        <f>VLOOKUP(Table3[[#This Row],[Country Code]],Table29[],3,FALSE)</f>
        <v>Non-Annex I</v>
      </c>
      <c r="W107" s="233" t="str">
        <f>VLOOKUP(Table3[[#This Row],[Country Code]],Table29[],4,FALSE)</f>
        <v>Asia</v>
      </c>
      <c r="X107" s="233" t="str">
        <f>VLOOKUP(Table3[[#This Row],[Country Code]],Table29[],5,FALSE)</f>
        <v>Middle-income</v>
      </c>
      <c r="Y107" s="233" t="str">
        <f>VLOOKUP(Table3[[#This Row],[Country Code]],Table29[],6,FALSE)</f>
        <v>no</v>
      </c>
      <c r="Z107" s="233" t="str">
        <f>VLOOKUP(Table3[[#This Row],[Country Code]],Table29[],7,FALSE)</f>
        <v>no</v>
      </c>
      <c r="AA107" s="233" t="str">
        <f>VLOOKUP(Table3[[#This Row],[Country Code]],Table29[],8,FALSE)</f>
        <v>non-OECD</v>
      </c>
      <c r="AB107" s="233" t="str">
        <f>VLOOKUP(Table3[[#This Row],[Country Code]],Table29[],9,FALSE)</f>
        <v>no</v>
      </c>
      <c r="AC107" s="233" t="str">
        <f>VLOOKUP(Table3[[#This Row],[Country Code]],Table29[],10,FALSE)</f>
        <v>no</v>
      </c>
      <c r="AD107" s="235">
        <f>VLOOKUP(Table3[[#This Row],[Country Code]],Table29[],23,FALSE)</f>
        <v>10.836336950669001</v>
      </c>
      <c r="AE107" s="235">
        <f>VLOOKUP(Table3[[#This Row],[Country Code]],Table29[],24,FALSE)</f>
        <v>2.5418316945039221</v>
      </c>
      <c r="AF107" s="42"/>
    </row>
    <row r="108" spans="1:32" s="150" customFormat="1" ht="30" x14ac:dyDescent="0.25">
      <c r="A108" s="368">
        <v>41747</v>
      </c>
      <c r="B108" s="233" t="str">
        <f>VLOOKUP(Table3[[#This Row],[Document ID]],Table1[],2,FALSE)</f>
        <v>ARM</v>
      </c>
      <c r="C108" s="233" t="str">
        <f>VLOOKUP(Table3[[#This Row],[Document ID]],Table1[],3,FALSE)</f>
        <v>Armenia</v>
      </c>
      <c r="D108" s="233" t="str">
        <f>VLOOKUP(Table3[[#This Row],[Document ID]],Table1[],5,FALSE)</f>
        <v>LTS</v>
      </c>
      <c r="E108" s="233" t="str">
        <f>VLOOKUP(Table3[[#This Row],[Document ID]],Table1[],7,FALSE)</f>
        <v>LTS</v>
      </c>
      <c r="F108" s="241" t="str">
        <f>VLOOKUP(Table3[[#This Row],[Document ID]],Table1[],8,FALSE)</f>
        <v>LTS 1.0</v>
      </c>
      <c r="G108" s="233" t="str">
        <f>VLOOKUP(Table3[[#This Row],[Document ID]],Table1[],10,FALSE)</f>
        <v>Active</v>
      </c>
      <c r="H108" s="42" t="s">
        <v>1095</v>
      </c>
      <c r="I108" s="42" t="s">
        <v>1096</v>
      </c>
      <c r="J108" s="42" t="s">
        <v>1097</v>
      </c>
      <c r="K108" s="28" t="s">
        <v>1104</v>
      </c>
      <c r="L108" s="42" t="s">
        <v>1099</v>
      </c>
      <c r="M108" s="209">
        <v>2050</v>
      </c>
      <c r="N108" s="209" t="s">
        <v>1218</v>
      </c>
      <c r="O108" s="258">
        <v>19</v>
      </c>
      <c r="P108" s="238" t="str">
        <f>VLOOKUP(_xlfn.CONCAT(Table3[[#This Row],[Target area]],Table3[[#This Row],[GHG target?]],Table3[[#This Row],[Conditionality]]),'Drop down'!$E$81:$F$101,2,FALSE)</f>
        <v>T_Transport_O_Unc</v>
      </c>
      <c r="Q108" s="239" t="str">
        <f>VLOOKUP(Table3[[#This Row],[Target type]],Table418[[Value name]:[Value idenifyer]],2,FALSE)</f>
        <v>T_O_ZERO</v>
      </c>
      <c r="R108" s="233"/>
      <c r="S108" s="233"/>
      <c r="T108" s="240"/>
      <c r="U108" s="234"/>
      <c r="V108" s="233" t="str">
        <f>VLOOKUP(Table3[[#This Row],[Country Code]],Table29[],3,FALSE)</f>
        <v>Non-Annex I</v>
      </c>
      <c r="W108" s="233" t="str">
        <f>VLOOKUP(Table3[[#This Row],[Country Code]],Table29[],4,FALSE)</f>
        <v>Asia</v>
      </c>
      <c r="X108" s="233" t="str">
        <f>VLOOKUP(Table3[[#This Row],[Country Code]],Table29[],5,FALSE)</f>
        <v>Middle-income</v>
      </c>
      <c r="Y108" s="233" t="str">
        <f>VLOOKUP(Table3[[#This Row],[Country Code]],Table29[],6,FALSE)</f>
        <v>no</v>
      </c>
      <c r="Z108" s="233" t="str">
        <f>VLOOKUP(Table3[[#This Row],[Country Code]],Table29[],7,FALSE)</f>
        <v>no</v>
      </c>
      <c r="AA108" s="233" t="str">
        <f>VLOOKUP(Table3[[#This Row],[Country Code]],Table29[],8,FALSE)</f>
        <v>non-OECD</v>
      </c>
      <c r="AB108" s="233" t="str">
        <f>VLOOKUP(Table3[[#This Row],[Country Code]],Table29[],9,FALSE)</f>
        <v>no</v>
      </c>
      <c r="AC108" s="233" t="str">
        <f>VLOOKUP(Table3[[#This Row],[Country Code]],Table29[],10,FALSE)</f>
        <v>no</v>
      </c>
      <c r="AD108" s="235">
        <f>VLOOKUP(Table3[[#This Row],[Country Code]],Table29[],23,FALSE)</f>
        <v>10.836336950669001</v>
      </c>
      <c r="AE108" s="235">
        <f>VLOOKUP(Table3[[#This Row],[Country Code]],Table29[],24,FALSE)</f>
        <v>2.5418316945039221</v>
      </c>
      <c r="AF108" s="42"/>
    </row>
    <row r="109" spans="1:32" s="150" customFormat="1" x14ac:dyDescent="0.25">
      <c r="A109" s="360">
        <v>17540</v>
      </c>
      <c r="B109" s="233" t="str">
        <f>VLOOKUP(Table3[[#This Row],[Document ID]],Table1[],2,FALSE)</f>
        <v>BRN</v>
      </c>
      <c r="C109" s="233" t="str">
        <f>VLOOKUP(Table3[[#This Row],[Document ID]],Table1[],3,FALSE)</f>
        <v>Brunei Darussalam</v>
      </c>
      <c r="D109" s="233" t="str">
        <f>VLOOKUP(Table3[[#This Row],[Document ID]],Table1[],5,FALSE)</f>
        <v>NDC</v>
      </c>
      <c r="E109" s="233" t="str">
        <f>VLOOKUP(Table3[[#This Row],[Document ID]],Table1[],7,FALSE)</f>
        <v>First NDC</v>
      </c>
      <c r="F109" s="233" t="str">
        <f>VLOOKUP(Table3[[#This Row],[Document ID]],Table1[],8,FALSE)</f>
        <v>NDC 1.0</v>
      </c>
      <c r="G109" s="233" t="str">
        <f>VLOOKUP(Table3[[#This Row],[Document ID]],Table1[],10,FALSE)</f>
        <v>Archived</v>
      </c>
      <c r="H109" s="216" t="s">
        <v>1089</v>
      </c>
      <c r="I109" s="216" t="s">
        <v>1089</v>
      </c>
      <c r="J109" s="43" t="s">
        <v>1090</v>
      </c>
      <c r="K109" s="28" t="s">
        <v>1091</v>
      </c>
      <c r="L109" s="42" t="s">
        <v>1099</v>
      </c>
      <c r="M109" s="209">
        <v>2035</v>
      </c>
      <c r="N109" s="176" t="s">
        <v>1219</v>
      </c>
      <c r="O109" s="258" t="s">
        <v>1094</v>
      </c>
      <c r="P109" s="238" t="str">
        <f>VLOOKUP(_xlfn.CONCAT(Table3[[#This Row],[Target area]],Table3[[#This Row],[GHG target?]],Table3[[#This Row],[Conditionality]]),'Drop down'!$E$81:$F$101,2,FALSE)</f>
        <v>T_Economy_Unc</v>
      </c>
      <c r="Q109" s="239" t="str">
        <f>VLOOKUP(Table3[[#This Row],[Target type]],Table418[[Value name]:[Value idenifyer]],2,FALSE)</f>
        <v>T_BAU</v>
      </c>
      <c r="R109" s="233"/>
      <c r="S109" s="233" t="s">
        <v>1101</v>
      </c>
      <c r="T109" s="234"/>
      <c r="U109" s="234"/>
      <c r="V109" s="233" t="str">
        <f>VLOOKUP(Table3[[#This Row],[Country Code]],Table29[],3,FALSE)</f>
        <v>Non-Annex I</v>
      </c>
      <c r="W109" s="233" t="str">
        <f>VLOOKUP(Table3[[#This Row],[Country Code]],Table29[],4,FALSE)</f>
        <v>Asia</v>
      </c>
      <c r="X109" s="233" t="str">
        <f>VLOOKUP(Table3[[#This Row],[Country Code]],Table29[],5,FALSE)</f>
        <v>High-income</v>
      </c>
      <c r="Y109" s="233" t="str">
        <f>VLOOKUP(Table3[[#This Row],[Country Code]],Table29[],6,FALSE)</f>
        <v>no</v>
      </c>
      <c r="Z109" s="233" t="str">
        <f>VLOOKUP(Table3[[#This Row],[Country Code]],Table29[],7,FALSE)</f>
        <v>no</v>
      </c>
      <c r="AA109" s="233" t="str">
        <f>VLOOKUP(Table3[[#This Row],[Country Code]],Table29[],8,FALSE)</f>
        <v>non-OECD</v>
      </c>
      <c r="AB109" s="233" t="str">
        <f>VLOOKUP(Table3[[#This Row],[Country Code]],Table29[],9,FALSE)</f>
        <v>no</v>
      </c>
      <c r="AC109" s="233" t="str">
        <f>VLOOKUP(Table3[[#This Row],[Country Code]],Table29[],10,FALSE)</f>
        <v>no</v>
      </c>
      <c r="AD109" s="235">
        <f>VLOOKUP(Table3[[#This Row],[Country Code]],Table29[],23,FALSE)</f>
        <v>12.157942508343</v>
      </c>
      <c r="AE109" s="235">
        <f>VLOOKUP(Table3[[#This Row],[Country Code]],Table29[],24,FALSE)</f>
        <v>1.259434350959115</v>
      </c>
      <c r="AF109" s="43"/>
    </row>
    <row r="110" spans="1:32" ht="30" x14ac:dyDescent="0.25">
      <c r="A110" s="360">
        <v>21764</v>
      </c>
      <c r="B110" s="233" t="str">
        <f>VLOOKUP(Table3[[#This Row],[Document ID]],Table1[],2,FALSE)</f>
        <v>ATG</v>
      </c>
      <c r="C110" s="233" t="str">
        <f>VLOOKUP(Table3[[#This Row],[Document ID]],Table1[],3,FALSE)</f>
        <v>Antigua and Barbuda</v>
      </c>
      <c r="D110" s="233" t="str">
        <f>VLOOKUP(Table3[[#This Row],[Document ID]],Table1[],5,FALSE)</f>
        <v>NDC</v>
      </c>
      <c r="E110" s="233" t="str">
        <f>VLOOKUP(Table3[[#This Row],[Document ID]],Table1[],7,FALSE)</f>
        <v>First NDC updated</v>
      </c>
      <c r="F110" s="233" t="str">
        <f>VLOOKUP(Table3[[#This Row],[Document ID]],Table1[],8,FALSE)</f>
        <v>NDC 1.1</v>
      </c>
      <c r="G110" s="233" t="str">
        <f>VLOOKUP(Table3[[#This Row],[Document ID]],Table1[],10,FALSE)</f>
        <v>Active</v>
      </c>
      <c r="H110" s="42" t="s">
        <v>1095</v>
      </c>
      <c r="I110" s="42" t="s">
        <v>1096</v>
      </c>
      <c r="J110" s="42" t="s">
        <v>1097</v>
      </c>
      <c r="K110" s="28" t="s">
        <v>1104</v>
      </c>
      <c r="L110" s="216" t="s">
        <v>1092</v>
      </c>
      <c r="M110" s="209">
        <v>2030</v>
      </c>
      <c r="N110" s="209" t="s">
        <v>1220</v>
      </c>
      <c r="O110" s="257">
        <v>19</v>
      </c>
      <c r="P110" s="238" t="str">
        <f>VLOOKUP(_xlfn.CONCAT(Table3[[#This Row],[Target area]],Table3[[#This Row],[GHG target?]],Table3[[#This Row],[Conditionality]]),'Drop down'!$E$81:$F$101,2,FALSE)</f>
        <v>T_Transport_O_C</v>
      </c>
      <c r="Q110" s="239" t="str">
        <f>VLOOKUP(Table3[[#This Row],[Target type]],Table418[[Value name]:[Value idenifyer]],2,FALSE)</f>
        <v>T_O_ZERO</v>
      </c>
      <c r="S110" s="233" t="s">
        <v>1101</v>
      </c>
      <c r="T110" s="240" t="s">
        <v>1113</v>
      </c>
      <c r="U110" s="240" t="s">
        <v>1221</v>
      </c>
      <c r="V110" s="233" t="str">
        <f>VLOOKUP(Table3[[#This Row],[Country Code]],Table29[],3,FALSE)</f>
        <v>Non-Annex I</v>
      </c>
      <c r="W110" s="233" t="str">
        <f>VLOOKUP(Table3[[#This Row],[Country Code]],Table29[],4,FALSE)</f>
        <v>Latin America and the Caribbean</v>
      </c>
      <c r="X110" s="233" t="str">
        <f>VLOOKUP(Table3[[#This Row],[Country Code]],Table29[],5,FALSE)</f>
        <v>High-income</v>
      </c>
      <c r="Y110" s="233" t="str">
        <f>VLOOKUP(Table3[[#This Row],[Country Code]],Table29[],6,FALSE)</f>
        <v>no</v>
      </c>
      <c r="Z110" s="233" t="str">
        <f>VLOOKUP(Table3[[#This Row],[Country Code]],Table29[],7,FALSE)</f>
        <v>no</v>
      </c>
      <c r="AA110" s="233" t="str">
        <f>VLOOKUP(Table3[[#This Row],[Country Code]],Table29[],8,FALSE)</f>
        <v>non-OECD</v>
      </c>
      <c r="AB110" s="233" t="str">
        <f>VLOOKUP(Table3[[#This Row],[Country Code]],Table29[],9,FALSE)</f>
        <v>no</v>
      </c>
      <c r="AC110" s="233" t="str">
        <f>VLOOKUP(Table3[[#This Row],[Country Code]],Table29[],10,FALSE)</f>
        <v>no</v>
      </c>
      <c r="AD110" s="235">
        <f>VLOOKUP(Table3[[#This Row],[Country Code]],Table29[],23,FALSE)</f>
        <v>0.38855617147726002</v>
      </c>
      <c r="AE110" s="235">
        <f>VLOOKUP(Table3[[#This Row],[Country Code]],Table29[],24,FALSE)</f>
        <v>0.1151781182188378</v>
      </c>
      <c r="AF110" s="43"/>
    </row>
    <row r="111" spans="1:32" ht="30" x14ac:dyDescent="0.25">
      <c r="A111" s="360">
        <v>17513</v>
      </c>
      <c r="B111" s="233" t="str">
        <f>VLOOKUP(Table3[[#This Row],[Document ID]],Table1[],2,FALSE)</f>
        <v>ATG</v>
      </c>
      <c r="C111" s="233" t="str">
        <f>VLOOKUP(Table3[[#This Row],[Document ID]],Table1[],3,FALSE)</f>
        <v>Antigua and Barbuda</v>
      </c>
      <c r="D111" s="233" t="str">
        <f>VLOOKUP(Table3[[#This Row],[Document ID]],Table1[],5,FALSE)</f>
        <v>NDC</v>
      </c>
      <c r="E111" s="233" t="str">
        <f>VLOOKUP(Table3[[#This Row],[Document ID]],Table1[],7,FALSE)</f>
        <v>First NDC</v>
      </c>
      <c r="F111" s="233" t="str">
        <f>VLOOKUP(Table3[[#This Row],[Document ID]],Table1[],8,FALSE)</f>
        <v>NDC 1.0</v>
      </c>
      <c r="G111" s="233" t="str">
        <f>VLOOKUP(Table3[[#This Row],[Document ID]],Table1[],10,FALSE)</f>
        <v>Archived</v>
      </c>
      <c r="H111" s="42" t="s">
        <v>1095</v>
      </c>
      <c r="I111" s="42" t="s">
        <v>1096</v>
      </c>
      <c r="J111" s="42" t="s">
        <v>1097</v>
      </c>
      <c r="K111" s="28" t="s">
        <v>1137</v>
      </c>
      <c r="L111" s="43" t="s">
        <v>1092</v>
      </c>
      <c r="M111" s="209">
        <v>2020</v>
      </c>
      <c r="N111" s="44" t="s">
        <v>1222</v>
      </c>
      <c r="O111" s="221">
        <v>2</v>
      </c>
      <c r="P111" s="238" t="str">
        <f>VLOOKUP(_xlfn.CONCAT(Table3[[#This Row],[Target area]],Table3[[#This Row],[GHG target?]],Table3[[#This Row],[Conditionality]]),'Drop down'!$E$81:$F$101,2,FALSE)</f>
        <v>T_Transport_O_C</v>
      </c>
      <c r="Q111" s="239" t="str">
        <f>VLOOKUP(Table3[[#This Row],[Target type]],Table418[[Value name]:[Value idenifyer]],2,FALSE)</f>
        <v>T_O_EFF</v>
      </c>
      <c r="S111" s="233" t="s">
        <v>1101</v>
      </c>
      <c r="T111" s="234" t="s">
        <v>1113</v>
      </c>
      <c r="V111" s="233" t="str">
        <f>VLOOKUP(Table3[[#This Row],[Country Code]],Table29[],3,FALSE)</f>
        <v>Non-Annex I</v>
      </c>
      <c r="W111" s="233" t="str">
        <f>VLOOKUP(Table3[[#This Row],[Country Code]],Table29[],4,FALSE)</f>
        <v>Latin America and the Caribbean</v>
      </c>
      <c r="X111" s="233" t="str">
        <f>VLOOKUP(Table3[[#This Row],[Country Code]],Table29[],5,FALSE)</f>
        <v>High-income</v>
      </c>
      <c r="Y111" s="233" t="str">
        <f>VLOOKUP(Table3[[#This Row],[Country Code]],Table29[],6,FALSE)</f>
        <v>no</v>
      </c>
      <c r="Z111" s="233" t="str">
        <f>VLOOKUP(Table3[[#This Row],[Country Code]],Table29[],7,FALSE)</f>
        <v>no</v>
      </c>
      <c r="AA111" s="233" t="str">
        <f>VLOOKUP(Table3[[#This Row],[Country Code]],Table29[],8,FALSE)</f>
        <v>non-OECD</v>
      </c>
      <c r="AB111" s="233" t="str">
        <f>VLOOKUP(Table3[[#This Row],[Country Code]],Table29[],9,FALSE)</f>
        <v>no</v>
      </c>
      <c r="AC111" s="233" t="str">
        <f>VLOOKUP(Table3[[#This Row],[Country Code]],Table29[],10,FALSE)</f>
        <v>no</v>
      </c>
      <c r="AD111" s="235">
        <f>VLOOKUP(Table3[[#This Row],[Country Code]],Table29[],23,FALSE)</f>
        <v>0.38855617147726002</v>
      </c>
      <c r="AE111" s="235">
        <f>VLOOKUP(Table3[[#This Row],[Country Code]],Table29[],24,FALSE)</f>
        <v>0.1151781182188378</v>
      </c>
      <c r="AF111" s="43"/>
    </row>
    <row r="112" spans="1:32" ht="30" x14ac:dyDescent="0.25">
      <c r="A112" s="360">
        <v>21764</v>
      </c>
      <c r="B112" s="233" t="str">
        <f>VLOOKUP(Table3[[#This Row],[Document ID]],Table1[],2,FALSE)</f>
        <v>ATG</v>
      </c>
      <c r="C112" s="233" t="str">
        <f>VLOOKUP(Table3[[#This Row],[Document ID]],Table1[],3,FALSE)</f>
        <v>Antigua and Barbuda</v>
      </c>
      <c r="D112" s="233" t="str">
        <f>VLOOKUP(Table3[[#This Row],[Document ID]],Table1[],5,FALSE)</f>
        <v>NDC</v>
      </c>
      <c r="E112" s="233" t="str">
        <f>VLOOKUP(Table3[[#This Row],[Document ID]],Table1[],7,FALSE)</f>
        <v>First NDC updated</v>
      </c>
      <c r="F112" s="233" t="str">
        <f>VLOOKUP(Table3[[#This Row],[Document ID]],Table1[],8,FALSE)</f>
        <v>NDC 1.1</v>
      </c>
      <c r="G112" s="233" t="str">
        <f>VLOOKUP(Table3[[#This Row],[Document ID]],Table1[],10,FALSE)</f>
        <v>Active</v>
      </c>
      <c r="H112" s="42" t="s">
        <v>1095</v>
      </c>
      <c r="I112" s="42" t="s">
        <v>1096</v>
      </c>
      <c r="J112" s="42" t="s">
        <v>1097</v>
      </c>
      <c r="K112" s="28" t="s">
        <v>1223</v>
      </c>
      <c r="L112" s="216" t="s">
        <v>1092</v>
      </c>
      <c r="M112" s="209">
        <v>2025</v>
      </c>
      <c r="N112" s="220" t="s">
        <v>1224</v>
      </c>
      <c r="O112" s="257">
        <v>19</v>
      </c>
      <c r="P112" s="238" t="str">
        <f>VLOOKUP(_xlfn.CONCAT(Table3[[#This Row],[Target area]],Table3[[#This Row],[GHG target?]],Table3[[#This Row],[Conditionality]]),'Drop down'!$E$81:$F$101,2,FALSE)</f>
        <v>T_Transport_O_C</v>
      </c>
      <c r="Q112" s="239" t="str">
        <f>VLOOKUP(Table3[[#This Row],[Target type]],Table418[[Value name]:[Value idenifyer]],2,FALSE)</f>
        <v>T_O_REN</v>
      </c>
      <c r="S112" s="233" t="s">
        <v>1101</v>
      </c>
      <c r="T112" s="240" t="s">
        <v>1113</v>
      </c>
      <c r="U112" s="240"/>
      <c r="V112" s="233" t="str">
        <f>VLOOKUP(Table3[[#This Row],[Country Code]],Table29[],3,FALSE)</f>
        <v>Non-Annex I</v>
      </c>
      <c r="W112" s="233" t="str">
        <f>VLOOKUP(Table3[[#This Row],[Country Code]],Table29[],4,FALSE)</f>
        <v>Latin America and the Caribbean</v>
      </c>
      <c r="X112" s="233" t="str">
        <f>VLOOKUP(Table3[[#This Row],[Country Code]],Table29[],5,FALSE)</f>
        <v>High-income</v>
      </c>
      <c r="Y112" s="233" t="str">
        <f>VLOOKUP(Table3[[#This Row],[Country Code]],Table29[],6,FALSE)</f>
        <v>no</v>
      </c>
      <c r="Z112" s="233" t="str">
        <f>VLOOKUP(Table3[[#This Row],[Country Code]],Table29[],7,FALSE)</f>
        <v>no</v>
      </c>
      <c r="AA112" s="233" t="str">
        <f>VLOOKUP(Table3[[#This Row],[Country Code]],Table29[],8,FALSE)</f>
        <v>non-OECD</v>
      </c>
      <c r="AB112" s="233" t="str">
        <f>VLOOKUP(Table3[[#This Row],[Country Code]],Table29[],9,FALSE)</f>
        <v>no</v>
      </c>
      <c r="AC112" s="233" t="str">
        <f>VLOOKUP(Table3[[#This Row],[Country Code]],Table29[],10,FALSE)</f>
        <v>no</v>
      </c>
      <c r="AD112" s="235">
        <f>VLOOKUP(Table3[[#This Row],[Country Code]],Table29[],23,FALSE)</f>
        <v>0.38855617147726002</v>
      </c>
      <c r="AE112" s="235">
        <f>VLOOKUP(Table3[[#This Row],[Country Code]],Table29[],24,FALSE)</f>
        <v>0.1151781182188378</v>
      </c>
      <c r="AF112" s="43"/>
    </row>
    <row r="113" spans="1:35" x14ac:dyDescent="0.25">
      <c r="A113" s="360">
        <v>23369</v>
      </c>
      <c r="B113" s="233" t="str">
        <f>VLOOKUP(Table3[[#This Row],[Document ID]],Table1[],2,FALSE)</f>
        <v>BFA</v>
      </c>
      <c r="C113" s="233" t="str">
        <f>VLOOKUP(Table3[[#This Row],[Document ID]],Table1[],3,FALSE)</f>
        <v>Burkina Faso</v>
      </c>
      <c r="D113" s="233" t="str">
        <f>VLOOKUP(Table3[[#This Row],[Document ID]],Table1[],5,FALSE)</f>
        <v>NDC</v>
      </c>
      <c r="E113" s="233" t="str">
        <f>VLOOKUP(Table3[[#This Row],[Document ID]],Table1[],7,FALSE)</f>
        <v>First NDC updated</v>
      </c>
      <c r="F113" s="233" t="str">
        <f>VLOOKUP(Table3[[#This Row],[Document ID]],Table1[],8,FALSE)</f>
        <v>NDC 1.1</v>
      </c>
      <c r="G113" s="233" t="str">
        <f>VLOOKUP(Table3[[#This Row],[Document ID]],Table1[],10,FALSE)</f>
        <v>Active</v>
      </c>
      <c r="H113" s="216" t="s">
        <v>1089</v>
      </c>
      <c r="I113" s="216" t="s">
        <v>1089</v>
      </c>
      <c r="J113" s="43" t="s">
        <v>1090</v>
      </c>
      <c r="K113" s="28" t="s">
        <v>1091</v>
      </c>
      <c r="L113" s="42" t="s">
        <v>1099</v>
      </c>
      <c r="M113" s="209">
        <v>2030</v>
      </c>
      <c r="N113" s="220" t="s">
        <v>1225</v>
      </c>
      <c r="O113" s="257" t="s">
        <v>1226</v>
      </c>
      <c r="P113" s="238" t="str">
        <f>VLOOKUP(_xlfn.CONCAT(Table3[[#This Row],[Target area]],Table3[[#This Row],[GHG target?]],Table3[[#This Row],[Conditionality]]),'Drop down'!$E$81:$F$101,2,FALSE)</f>
        <v>T_Economy_Unc</v>
      </c>
      <c r="Q113" s="239" t="str">
        <f>VLOOKUP(Table3[[#This Row],[Target type]],Table418[[Value name]:[Value idenifyer]],2,FALSE)</f>
        <v>T_BAU</v>
      </c>
      <c r="S113" s="233" t="s">
        <v>1112</v>
      </c>
      <c r="T113" s="240"/>
      <c r="U113" s="240"/>
      <c r="V113" s="233" t="str">
        <f>VLOOKUP(Table3[[#This Row],[Country Code]],Table29[],3,FALSE)</f>
        <v>Non-Annex I</v>
      </c>
      <c r="W113" s="233" t="str">
        <f>VLOOKUP(Table3[[#This Row],[Country Code]],Table29[],4,FALSE)</f>
        <v>Africa</v>
      </c>
      <c r="X113" s="233" t="str">
        <f>VLOOKUP(Table3[[#This Row],[Country Code]],Table29[],5,FALSE)</f>
        <v>Low-income</v>
      </c>
      <c r="Y113" s="233" t="str">
        <f>VLOOKUP(Table3[[#This Row],[Country Code]],Table29[],6,FALSE)</f>
        <v>no</v>
      </c>
      <c r="Z113" s="233" t="str">
        <f>VLOOKUP(Table3[[#This Row],[Country Code]],Table29[],7,FALSE)</f>
        <v>no</v>
      </c>
      <c r="AA113" s="233" t="str">
        <f>VLOOKUP(Table3[[#This Row],[Country Code]],Table29[],8,FALSE)</f>
        <v>non-OECD</v>
      </c>
      <c r="AB113" s="233" t="str">
        <f>VLOOKUP(Table3[[#This Row],[Country Code]],Table29[],9,FALSE)</f>
        <v>no</v>
      </c>
      <c r="AC113" s="233" t="str">
        <f>VLOOKUP(Table3[[#This Row],[Country Code]],Table29[],10,FALSE)</f>
        <v>no</v>
      </c>
      <c r="AD113" s="235">
        <f>VLOOKUP(Table3[[#This Row],[Country Code]],Table29[],23,FALSE)</f>
        <v>34.456815083210998</v>
      </c>
      <c r="AE113" s="235">
        <f>VLOOKUP(Table3[[#This Row],[Country Code]],Table29[],24,FALSE)</f>
        <v>2.783932508886048</v>
      </c>
      <c r="AF113" s="43"/>
    </row>
    <row r="114" spans="1:35" x14ac:dyDescent="0.25">
      <c r="A114" s="360">
        <v>23369</v>
      </c>
      <c r="B114" s="233" t="str">
        <f>VLOOKUP(Table3[[#This Row],[Document ID]],Table1[],2,FALSE)</f>
        <v>BFA</v>
      </c>
      <c r="C114" s="233" t="str">
        <f>VLOOKUP(Table3[[#This Row],[Document ID]],Table1[],3,FALSE)</f>
        <v>Burkina Faso</v>
      </c>
      <c r="D114" s="233" t="str">
        <f>VLOOKUP(Table3[[#This Row],[Document ID]],Table1[],5,FALSE)</f>
        <v>NDC</v>
      </c>
      <c r="E114" s="233" t="str">
        <f>VLOOKUP(Table3[[#This Row],[Document ID]],Table1[],7,FALSE)</f>
        <v>First NDC updated</v>
      </c>
      <c r="F114" s="233" t="str">
        <f>VLOOKUP(Table3[[#This Row],[Document ID]],Table1[],8,FALSE)</f>
        <v>NDC 1.1</v>
      </c>
      <c r="G114" s="233" t="str">
        <f>VLOOKUP(Table3[[#This Row],[Document ID]],Table1[],10,FALSE)</f>
        <v>Active</v>
      </c>
      <c r="H114" s="216" t="s">
        <v>1089</v>
      </c>
      <c r="I114" s="216" t="s">
        <v>1089</v>
      </c>
      <c r="J114" s="43" t="s">
        <v>1090</v>
      </c>
      <c r="K114" s="28" t="s">
        <v>1091</v>
      </c>
      <c r="L114" s="216" t="s">
        <v>1092</v>
      </c>
      <c r="M114" s="209">
        <v>2030</v>
      </c>
      <c r="N114" s="220" t="s">
        <v>1227</v>
      </c>
      <c r="O114" s="257" t="s">
        <v>1226</v>
      </c>
      <c r="P114" s="238" t="str">
        <f>VLOOKUP(_xlfn.CONCAT(Table3[[#This Row],[Target area]],Table3[[#This Row],[GHG target?]],Table3[[#This Row],[Conditionality]]),'Drop down'!$E$81:$F$101,2,FALSE)</f>
        <v>T_Economy_C</v>
      </c>
      <c r="Q114" s="239" t="str">
        <f>VLOOKUP(Table3[[#This Row],[Target type]],Table418[[Value name]:[Value idenifyer]],2,FALSE)</f>
        <v>T_BAU</v>
      </c>
      <c r="S114" s="233" t="s">
        <v>1112</v>
      </c>
      <c r="T114" s="240"/>
      <c r="U114" s="240"/>
      <c r="V114" s="233" t="str">
        <f>VLOOKUP(Table3[[#This Row],[Country Code]],Table29[],3,FALSE)</f>
        <v>Non-Annex I</v>
      </c>
      <c r="W114" s="233" t="str">
        <f>VLOOKUP(Table3[[#This Row],[Country Code]],Table29[],4,FALSE)</f>
        <v>Africa</v>
      </c>
      <c r="X114" s="233" t="str">
        <f>VLOOKUP(Table3[[#This Row],[Country Code]],Table29[],5,FALSE)</f>
        <v>Low-income</v>
      </c>
      <c r="Y114" s="233" t="str">
        <f>VLOOKUP(Table3[[#This Row],[Country Code]],Table29[],6,FALSE)</f>
        <v>no</v>
      </c>
      <c r="Z114" s="233" t="str">
        <f>VLOOKUP(Table3[[#This Row],[Country Code]],Table29[],7,FALSE)</f>
        <v>no</v>
      </c>
      <c r="AA114" s="233" t="str">
        <f>VLOOKUP(Table3[[#This Row],[Country Code]],Table29[],8,FALSE)</f>
        <v>non-OECD</v>
      </c>
      <c r="AB114" s="233" t="str">
        <f>VLOOKUP(Table3[[#This Row],[Country Code]],Table29[],9,FALSE)</f>
        <v>no</v>
      </c>
      <c r="AC114" s="233" t="str">
        <f>VLOOKUP(Table3[[#This Row],[Country Code]],Table29[],10,FALSE)</f>
        <v>no</v>
      </c>
      <c r="AD114" s="235">
        <f>VLOOKUP(Table3[[#This Row],[Country Code]],Table29[],23,FALSE)</f>
        <v>34.456815083210998</v>
      </c>
      <c r="AE114" s="235">
        <f>VLOOKUP(Table3[[#This Row],[Country Code]],Table29[],24,FALSE)</f>
        <v>2.783932508886048</v>
      </c>
      <c r="AF114" s="43"/>
    </row>
    <row r="115" spans="1:35" ht="30" x14ac:dyDescent="0.25">
      <c r="A115" s="360">
        <v>21764</v>
      </c>
      <c r="B115" s="233" t="str">
        <f>VLOOKUP(Table3[[#This Row],[Document ID]],Table1[],2,FALSE)</f>
        <v>ATG</v>
      </c>
      <c r="C115" s="233" t="str">
        <f>VLOOKUP(Table3[[#This Row],[Document ID]],Table1[],3,FALSE)</f>
        <v>Antigua and Barbuda</v>
      </c>
      <c r="D115" s="233" t="str">
        <f>VLOOKUP(Table3[[#This Row],[Document ID]],Table1[],5,FALSE)</f>
        <v>NDC</v>
      </c>
      <c r="E115" s="233" t="str">
        <f>VLOOKUP(Table3[[#This Row],[Document ID]],Table1[],7,FALSE)</f>
        <v>First NDC updated</v>
      </c>
      <c r="F115" s="233" t="str">
        <f>VLOOKUP(Table3[[#This Row],[Document ID]],Table1[],8,FALSE)</f>
        <v>NDC 1.1</v>
      </c>
      <c r="G115" s="233" t="str">
        <f>VLOOKUP(Table3[[#This Row],[Document ID]],Table1[],10,FALSE)</f>
        <v>Active</v>
      </c>
      <c r="H115" s="42" t="s">
        <v>1095</v>
      </c>
      <c r="I115" s="42" t="s">
        <v>1096</v>
      </c>
      <c r="J115" s="42" t="s">
        <v>1097</v>
      </c>
      <c r="K115" s="28" t="s">
        <v>1104</v>
      </c>
      <c r="L115" s="43" t="s">
        <v>1092</v>
      </c>
      <c r="M115" s="209">
        <v>2030</v>
      </c>
      <c r="N115" s="220" t="s">
        <v>1228</v>
      </c>
      <c r="O115" s="257">
        <v>19</v>
      </c>
      <c r="P115" s="238" t="str">
        <f>VLOOKUP(_xlfn.CONCAT(Table3[[#This Row],[Target area]],Table3[[#This Row],[GHG target?]],Table3[[#This Row],[Conditionality]]),'Drop down'!$E$81:$F$101,2,FALSE)</f>
        <v>T_Transport_O_C</v>
      </c>
      <c r="Q115" s="239" t="str">
        <f>VLOOKUP(Table3[[#This Row],[Target type]],Table418[[Value name]:[Value idenifyer]],2,FALSE)</f>
        <v>T_O_ZERO</v>
      </c>
      <c r="S115" s="233" t="s">
        <v>1101</v>
      </c>
      <c r="T115" s="240" t="s">
        <v>1113</v>
      </c>
      <c r="U115" s="240"/>
      <c r="V115" s="233" t="str">
        <f>VLOOKUP(Table3[[#This Row],[Country Code]],Table29[],3,FALSE)</f>
        <v>Non-Annex I</v>
      </c>
      <c r="W115" s="233" t="str">
        <f>VLOOKUP(Table3[[#This Row],[Country Code]],Table29[],4,FALSE)</f>
        <v>Latin America and the Caribbean</v>
      </c>
      <c r="X115" s="233" t="str">
        <f>VLOOKUP(Table3[[#This Row],[Country Code]],Table29[],5,FALSE)</f>
        <v>High-income</v>
      </c>
      <c r="Y115" s="233" t="str">
        <f>VLOOKUP(Table3[[#This Row],[Country Code]],Table29[],6,FALSE)</f>
        <v>no</v>
      </c>
      <c r="Z115" s="233" t="str">
        <f>VLOOKUP(Table3[[#This Row],[Country Code]],Table29[],7,FALSE)</f>
        <v>no</v>
      </c>
      <c r="AA115" s="233" t="str">
        <f>VLOOKUP(Table3[[#This Row],[Country Code]],Table29[],8,FALSE)</f>
        <v>non-OECD</v>
      </c>
      <c r="AB115" s="233" t="str">
        <f>VLOOKUP(Table3[[#This Row],[Country Code]],Table29[],9,FALSE)</f>
        <v>no</v>
      </c>
      <c r="AC115" s="233" t="str">
        <f>VLOOKUP(Table3[[#This Row],[Country Code]],Table29[],10,FALSE)</f>
        <v>no</v>
      </c>
      <c r="AD115" s="235">
        <f>VLOOKUP(Table3[[#This Row],[Country Code]],Table29[],23,FALSE)</f>
        <v>0.38855617147726002</v>
      </c>
      <c r="AE115" s="235">
        <f>VLOOKUP(Table3[[#This Row],[Country Code]],Table29[],24,FALSE)</f>
        <v>0.1151781182188378</v>
      </c>
      <c r="AF115" s="43"/>
    </row>
    <row r="116" spans="1:35" ht="30" x14ac:dyDescent="0.25">
      <c r="A116" s="360">
        <v>21764</v>
      </c>
      <c r="B116" s="233" t="str">
        <f>VLOOKUP(Table3[[#This Row],[Document ID]],Table1[],2,FALSE)</f>
        <v>ATG</v>
      </c>
      <c r="C116" s="233" t="str">
        <f>VLOOKUP(Table3[[#This Row],[Document ID]],Table1[],3,FALSE)</f>
        <v>Antigua and Barbuda</v>
      </c>
      <c r="D116" s="233" t="str">
        <f>VLOOKUP(Table3[[#This Row],[Document ID]],Table1[],5,FALSE)</f>
        <v>NDC</v>
      </c>
      <c r="E116" s="233" t="str">
        <f>VLOOKUP(Table3[[#This Row],[Document ID]],Table1[],7,FALSE)</f>
        <v>First NDC updated</v>
      </c>
      <c r="F116" s="233" t="str">
        <f>VLOOKUP(Table3[[#This Row],[Document ID]],Table1[],8,FALSE)</f>
        <v>NDC 1.1</v>
      </c>
      <c r="G116" s="233" t="str">
        <f>VLOOKUP(Table3[[#This Row],[Document ID]],Table1[],10,FALSE)</f>
        <v>Active</v>
      </c>
      <c r="H116" s="42" t="s">
        <v>1095</v>
      </c>
      <c r="I116" s="42" t="s">
        <v>1096</v>
      </c>
      <c r="J116" s="42" t="s">
        <v>1097</v>
      </c>
      <c r="K116" s="28" t="s">
        <v>1104</v>
      </c>
      <c r="L116" s="216" t="s">
        <v>1092</v>
      </c>
      <c r="M116" s="209">
        <v>2035</v>
      </c>
      <c r="N116" s="220" t="s">
        <v>1229</v>
      </c>
      <c r="O116" s="257">
        <v>19</v>
      </c>
      <c r="P116" s="238" t="str">
        <f>VLOOKUP(_xlfn.CONCAT(Table3[[#This Row],[Target area]],Table3[[#This Row],[GHG target?]],Table3[[#This Row],[Conditionality]]),'Drop down'!$E$81:$F$101,2,FALSE)</f>
        <v>T_Transport_O_C</v>
      </c>
      <c r="Q116" s="239" t="str">
        <f>VLOOKUP(Table3[[#This Row],[Target type]],Table418[[Value name]:[Value idenifyer]],2,FALSE)</f>
        <v>T_O_ZERO</v>
      </c>
      <c r="S116" s="233" t="s">
        <v>1101</v>
      </c>
      <c r="T116" s="240" t="s">
        <v>1113</v>
      </c>
      <c r="U116" s="240"/>
      <c r="V116" s="233" t="str">
        <f>VLOOKUP(Table3[[#This Row],[Country Code]],Table29[],3,FALSE)</f>
        <v>Non-Annex I</v>
      </c>
      <c r="W116" s="233" t="str">
        <f>VLOOKUP(Table3[[#This Row],[Country Code]],Table29[],4,FALSE)</f>
        <v>Latin America and the Caribbean</v>
      </c>
      <c r="X116" s="233" t="str">
        <f>VLOOKUP(Table3[[#This Row],[Country Code]],Table29[],5,FALSE)</f>
        <v>High-income</v>
      </c>
      <c r="Y116" s="233" t="str">
        <f>VLOOKUP(Table3[[#This Row],[Country Code]],Table29[],6,FALSE)</f>
        <v>no</v>
      </c>
      <c r="Z116" s="233" t="str">
        <f>VLOOKUP(Table3[[#This Row],[Country Code]],Table29[],7,FALSE)</f>
        <v>no</v>
      </c>
      <c r="AA116" s="233" t="str">
        <f>VLOOKUP(Table3[[#This Row],[Country Code]],Table29[],8,FALSE)</f>
        <v>non-OECD</v>
      </c>
      <c r="AB116" s="233" t="str">
        <f>VLOOKUP(Table3[[#This Row],[Country Code]],Table29[],9,FALSE)</f>
        <v>no</v>
      </c>
      <c r="AC116" s="233" t="str">
        <f>VLOOKUP(Table3[[#This Row],[Country Code]],Table29[],10,FALSE)</f>
        <v>no</v>
      </c>
      <c r="AD116" s="235">
        <f>VLOOKUP(Table3[[#This Row],[Country Code]],Table29[],23,FALSE)</f>
        <v>0.38855617147726002</v>
      </c>
      <c r="AE116" s="235">
        <f>VLOOKUP(Table3[[#This Row],[Country Code]],Table29[],24,FALSE)</f>
        <v>0.1151781182188378</v>
      </c>
      <c r="AF116" s="43"/>
    </row>
    <row r="117" spans="1:35" x14ac:dyDescent="0.25">
      <c r="A117" s="360">
        <v>17543</v>
      </c>
      <c r="B117" s="233" t="str">
        <f>VLOOKUP(Table3[[#This Row],[Document ID]],Table1[],2,FALSE)</f>
        <v>BFA</v>
      </c>
      <c r="C117" s="233" t="str">
        <f>VLOOKUP(Table3[[#This Row],[Document ID]],Table1[],3,FALSE)</f>
        <v>Burkina Faso</v>
      </c>
      <c r="D117" s="233" t="str">
        <f>VLOOKUP(Table3[[#This Row],[Document ID]],Table1[],5,FALSE)</f>
        <v>NDC</v>
      </c>
      <c r="E117" s="233" t="str">
        <f>VLOOKUP(Table3[[#This Row],[Document ID]],Table1[],7,FALSE)</f>
        <v>First NDC</v>
      </c>
      <c r="F117" s="233" t="str">
        <f>VLOOKUP(Table3[[#This Row],[Document ID]],Table1[],8,FALSE)</f>
        <v>NDC 1.0</v>
      </c>
      <c r="G117" s="233" t="str">
        <f>VLOOKUP(Table3[[#This Row],[Document ID]],Table1[],10,FALSE)</f>
        <v>Archived</v>
      </c>
      <c r="H117" s="216" t="s">
        <v>1089</v>
      </c>
      <c r="I117" s="216" t="s">
        <v>1089</v>
      </c>
      <c r="J117" s="43" t="s">
        <v>1090</v>
      </c>
      <c r="K117" s="28" t="s">
        <v>1091</v>
      </c>
      <c r="L117" s="42" t="s">
        <v>1099</v>
      </c>
      <c r="M117" s="209">
        <v>2030</v>
      </c>
      <c r="N117" s="176" t="s">
        <v>1230</v>
      </c>
      <c r="O117" s="258" t="s">
        <v>1094</v>
      </c>
      <c r="P117" s="238" t="str">
        <f>VLOOKUP(_xlfn.CONCAT(Table3[[#This Row],[Target area]],Table3[[#This Row],[GHG target?]],Table3[[#This Row],[Conditionality]]),'Drop down'!$E$81:$F$101,2,FALSE)</f>
        <v>T_Economy_Unc</v>
      </c>
      <c r="Q117" s="239" t="str">
        <f>VLOOKUP(Table3[[#This Row],[Target type]],Table418[[Value name]:[Value idenifyer]],2,FALSE)</f>
        <v>T_BAU</v>
      </c>
      <c r="S117" s="233" t="s">
        <v>1112</v>
      </c>
      <c r="T117" s="240"/>
      <c r="U117" s="240"/>
      <c r="V117" s="233" t="str">
        <f>VLOOKUP(Table3[[#This Row],[Country Code]],Table29[],3,FALSE)</f>
        <v>Non-Annex I</v>
      </c>
      <c r="W117" s="233" t="str">
        <f>VLOOKUP(Table3[[#This Row],[Country Code]],Table29[],4,FALSE)</f>
        <v>Africa</v>
      </c>
      <c r="X117" s="233" t="str">
        <f>VLOOKUP(Table3[[#This Row],[Country Code]],Table29[],5,FALSE)</f>
        <v>Low-income</v>
      </c>
      <c r="Y117" s="233" t="str">
        <f>VLOOKUP(Table3[[#This Row],[Country Code]],Table29[],6,FALSE)</f>
        <v>no</v>
      </c>
      <c r="Z117" s="233" t="str">
        <f>VLOOKUP(Table3[[#This Row],[Country Code]],Table29[],7,FALSE)</f>
        <v>no</v>
      </c>
      <c r="AA117" s="233" t="str">
        <f>VLOOKUP(Table3[[#This Row],[Country Code]],Table29[],8,FALSE)</f>
        <v>non-OECD</v>
      </c>
      <c r="AB117" s="233" t="str">
        <f>VLOOKUP(Table3[[#This Row],[Country Code]],Table29[],9,FALSE)</f>
        <v>no</v>
      </c>
      <c r="AC117" s="233" t="str">
        <f>VLOOKUP(Table3[[#This Row],[Country Code]],Table29[],10,FALSE)</f>
        <v>no</v>
      </c>
      <c r="AD117" s="235">
        <f>VLOOKUP(Table3[[#This Row],[Country Code]],Table29[],23,FALSE)</f>
        <v>34.456815083210998</v>
      </c>
      <c r="AE117" s="235">
        <f>VLOOKUP(Table3[[#This Row],[Country Code]],Table29[],24,FALSE)</f>
        <v>2.783932508886048</v>
      </c>
      <c r="AF117" s="43"/>
    </row>
    <row r="118" spans="1:35" x14ac:dyDescent="0.25">
      <c r="A118" s="360">
        <v>17543</v>
      </c>
      <c r="B118" s="233" t="str">
        <f>VLOOKUP(Table3[[#This Row],[Document ID]],Table1[],2,FALSE)</f>
        <v>BFA</v>
      </c>
      <c r="C118" s="233" t="str">
        <f>VLOOKUP(Table3[[#This Row],[Document ID]],Table1[],3,FALSE)</f>
        <v>Burkina Faso</v>
      </c>
      <c r="D118" s="233" t="str">
        <f>VLOOKUP(Table3[[#This Row],[Document ID]],Table1[],5,FALSE)</f>
        <v>NDC</v>
      </c>
      <c r="E118" s="233" t="str">
        <f>VLOOKUP(Table3[[#This Row],[Document ID]],Table1[],7,FALSE)</f>
        <v>First NDC</v>
      </c>
      <c r="F118" s="233" t="str">
        <f>VLOOKUP(Table3[[#This Row],[Document ID]],Table1[],8,FALSE)</f>
        <v>NDC 1.0</v>
      </c>
      <c r="G118" s="233" t="str">
        <f>VLOOKUP(Table3[[#This Row],[Document ID]],Table1[],10,FALSE)</f>
        <v>Archived</v>
      </c>
      <c r="H118" s="216" t="s">
        <v>1089</v>
      </c>
      <c r="I118" s="216" t="s">
        <v>1089</v>
      </c>
      <c r="J118" s="43" t="s">
        <v>1090</v>
      </c>
      <c r="K118" s="28" t="s">
        <v>1091</v>
      </c>
      <c r="L118" s="216" t="s">
        <v>1092</v>
      </c>
      <c r="M118" s="209">
        <v>2030</v>
      </c>
      <c r="N118" s="176" t="s">
        <v>1231</v>
      </c>
      <c r="O118" s="258" t="s">
        <v>1094</v>
      </c>
      <c r="P118" s="238" t="str">
        <f>VLOOKUP(_xlfn.CONCAT(Table3[[#This Row],[Target area]],Table3[[#This Row],[GHG target?]],Table3[[#This Row],[Conditionality]]),'Drop down'!$E$81:$F$101,2,FALSE)</f>
        <v>T_Economy_C</v>
      </c>
      <c r="Q118" s="239" t="str">
        <f>VLOOKUP(Table3[[#This Row],[Target type]],Table418[[Value name]:[Value idenifyer]],2,FALSE)</f>
        <v>T_BAU</v>
      </c>
      <c r="S118" s="233" t="s">
        <v>1112</v>
      </c>
      <c r="T118" s="240"/>
      <c r="U118" s="240"/>
      <c r="V118" s="233" t="str">
        <f>VLOOKUP(Table3[[#This Row],[Country Code]],Table29[],3,FALSE)</f>
        <v>Non-Annex I</v>
      </c>
      <c r="W118" s="233" t="str">
        <f>VLOOKUP(Table3[[#This Row],[Country Code]],Table29[],4,FALSE)</f>
        <v>Africa</v>
      </c>
      <c r="X118" s="233" t="str">
        <f>VLOOKUP(Table3[[#This Row],[Country Code]],Table29[],5,FALSE)</f>
        <v>Low-income</v>
      </c>
      <c r="Y118" s="233" t="str">
        <f>VLOOKUP(Table3[[#This Row],[Country Code]],Table29[],6,FALSE)</f>
        <v>no</v>
      </c>
      <c r="Z118" s="233" t="str">
        <f>VLOOKUP(Table3[[#This Row],[Country Code]],Table29[],7,FALSE)</f>
        <v>no</v>
      </c>
      <c r="AA118" s="233" t="str">
        <f>VLOOKUP(Table3[[#This Row],[Country Code]],Table29[],8,FALSE)</f>
        <v>non-OECD</v>
      </c>
      <c r="AB118" s="233" t="str">
        <f>VLOOKUP(Table3[[#This Row],[Country Code]],Table29[],9,FALSE)</f>
        <v>no</v>
      </c>
      <c r="AC118" s="233" t="str">
        <f>VLOOKUP(Table3[[#This Row],[Country Code]],Table29[],10,FALSE)</f>
        <v>no</v>
      </c>
      <c r="AD118" s="235">
        <f>VLOOKUP(Table3[[#This Row],[Country Code]],Table29[],23,FALSE)</f>
        <v>34.456815083210998</v>
      </c>
      <c r="AE118" s="235">
        <f>VLOOKUP(Table3[[#This Row],[Country Code]],Table29[],24,FALSE)</f>
        <v>2.783932508886048</v>
      </c>
      <c r="AF118" s="43"/>
    </row>
    <row r="119" spans="1:35" ht="45" x14ac:dyDescent="0.25">
      <c r="A119" s="360">
        <v>23247</v>
      </c>
      <c r="B119" s="233" t="str">
        <f>VLOOKUP(Table3[[#This Row],[Document ID]],Table1[],2,FALSE)</f>
        <v>BDI</v>
      </c>
      <c r="C119" s="233" t="str">
        <f>VLOOKUP(Table3[[#This Row],[Document ID]],Table1[],3,FALSE)</f>
        <v>Burundi</v>
      </c>
      <c r="D119" s="233" t="str">
        <f>VLOOKUP(Table3[[#This Row],[Document ID]],Table1[],5,FALSE)</f>
        <v>NDC</v>
      </c>
      <c r="E119" s="233" t="str">
        <f>VLOOKUP(Table3[[#This Row],[Document ID]],Table1[],7,FALSE)</f>
        <v>First NDC updated</v>
      </c>
      <c r="F119" s="233" t="str">
        <f>VLOOKUP(Table3[[#This Row],[Document ID]],Table1[],8,FALSE)</f>
        <v>NDC 1.1</v>
      </c>
      <c r="G119" s="233" t="str">
        <f>VLOOKUP(Table3[[#This Row],[Document ID]],Table1[],10,FALSE)</f>
        <v>Active</v>
      </c>
      <c r="H119" s="216" t="s">
        <v>1089</v>
      </c>
      <c r="I119" s="216" t="s">
        <v>1089</v>
      </c>
      <c r="J119" s="43" t="s">
        <v>1090</v>
      </c>
      <c r="K119" s="28" t="s">
        <v>1091</v>
      </c>
      <c r="L119" s="42" t="s">
        <v>1099</v>
      </c>
      <c r="M119" s="209">
        <v>2030</v>
      </c>
      <c r="N119" s="209" t="s">
        <v>1232</v>
      </c>
      <c r="O119" s="257">
        <v>2</v>
      </c>
      <c r="P119" s="238" t="str">
        <f>VLOOKUP(_xlfn.CONCAT(Table3[[#This Row],[Target area]],Table3[[#This Row],[GHG target?]],Table3[[#This Row],[Conditionality]]),'Drop down'!$E$81:$F$101,2,FALSE)</f>
        <v>T_Economy_Unc</v>
      </c>
      <c r="Q119" s="239" t="str">
        <f>VLOOKUP(Table3[[#This Row],[Target type]],Table418[[Value name]:[Value idenifyer]],2,FALSE)</f>
        <v>T_BAU</v>
      </c>
      <c r="T119" s="240"/>
      <c r="U119" s="240"/>
      <c r="V119" s="233" t="str">
        <f>VLOOKUP(Table3[[#This Row],[Country Code]],Table29[],3,FALSE)</f>
        <v>Non-Annex I</v>
      </c>
      <c r="W119" s="233" t="str">
        <f>VLOOKUP(Table3[[#This Row],[Country Code]],Table29[],4,FALSE)</f>
        <v>Africa</v>
      </c>
      <c r="X119" s="233" t="str">
        <f>VLOOKUP(Table3[[#This Row],[Country Code]],Table29[],5,FALSE)</f>
        <v>Low-income</v>
      </c>
      <c r="Y119" s="233" t="str">
        <f>VLOOKUP(Table3[[#This Row],[Country Code]],Table29[],6,FALSE)</f>
        <v>no</v>
      </c>
      <c r="Z119" s="233" t="str">
        <f>VLOOKUP(Table3[[#This Row],[Country Code]],Table29[],7,FALSE)</f>
        <v>no</v>
      </c>
      <c r="AA119" s="233" t="str">
        <f>VLOOKUP(Table3[[#This Row],[Country Code]],Table29[],8,FALSE)</f>
        <v>non-OECD</v>
      </c>
      <c r="AB119" s="233" t="str">
        <f>VLOOKUP(Table3[[#This Row],[Country Code]],Table29[],9,FALSE)</f>
        <v>no</v>
      </c>
      <c r="AC119" s="233" t="str">
        <f>VLOOKUP(Table3[[#This Row],[Country Code]],Table29[],10,FALSE)</f>
        <v>no</v>
      </c>
      <c r="AD119" s="235">
        <f>VLOOKUP(Table3[[#This Row],[Country Code]],Table29[],23,FALSE)</f>
        <v>7.0491399156994001</v>
      </c>
      <c r="AE119" s="235">
        <f>VLOOKUP(Table3[[#This Row],[Country Code]],Table29[],24,FALSE)</f>
        <v>0.4150090900095818</v>
      </c>
      <c r="AF119" s="43"/>
    </row>
    <row r="120" spans="1:35" x14ac:dyDescent="0.25">
      <c r="A120" s="360">
        <v>23247</v>
      </c>
      <c r="B120" s="233" t="str">
        <f>VLOOKUP(Table3[[#This Row],[Document ID]],Table1[],2,FALSE)</f>
        <v>BDI</v>
      </c>
      <c r="C120" s="233" t="str">
        <f>VLOOKUP(Table3[[#This Row],[Document ID]],Table1[],3,FALSE)</f>
        <v>Burundi</v>
      </c>
      <c r="D120" s="233" t="str">
        <f>VLOOKUP(Table3[[#This Row],[Document ID]],Table1[],5,FALSE)</f>
        <v>NDC</v>
      </c>
      <c r="E120" s="233" t="str">
        <f>VLOOKUP(Table3[[#This Row],[Document ID]],Table1[],7,FALSE)</f>
        <v>First NDC updated</v>
      </c>
      <c r="F120" s="233" t="str">
        <f>VLOOKUP(Table3[[#This Row],[Document ID]],Table1[],8,FALSE)</f>
        <v>NDC 1.1</v>
      </c>
      <c r="G120" s="233" t="str">
        <f>VLOOKUP(Table3[[#This Row],[Document ID]],Table1[],10,FALSE)</f>
        <v>Active</v>
      </c>
      <c r="H120" s="216" t="s">
        <v>1089</v>
      </c>
      <c r="I120" s="216" t="s">
        <v>1089</v>
      </c>
      <c r="J120" s="43" t="s">
        <v>1090</v>
      </c>
      <c r="K120" s="28" t="s">
        <v>1091</v>
      </c>
      <c r="L120" s="216" t="s">
        <v>1092</v>
      </c>
      <c r="M120" s="209">
        <v>2030</v>
      </c>
      <c r="N120" s="209" t="s">
        <v>1233</v>
      </c>
      <c r="O120" s="257">
        <v>2</v>
      </c>
      <c r="P120" s="238" t="str">
        <f>VLOOKUP(_xlfn.CONCAT(Table3[[#This Row],[Target area]],Table3[[#This Row],[GHG target?]],Table3[[#This Row],[Conditionality]]),'Drop down'!$E$81:$F$101,2,FALSE)</f>
        <v>T_Economy_C</v>
      </c>
      <c r="Q120" s="239" t="str">
        <f>VLOOKUP(Table3[[#This Row],[Target type]],Table418[[Value name]:[Value idenifyer]],2,FALSE)</f>
        <v>T_BAU</v>
      </c>
      <c r="T120" s="240"/>
      <c r="U120" s="240"/>
      <c r="V120" s="233" t="str">
        <f>VLOOKUP(Table3[[#This Row],[Country Code]],Table29[],3,FALSE)</f>
        <v>Non-Annex I</v>
      </c>
      <c r="W120" s="233" t="str">
        <f>VLOOKUP(Table3[[#This Row],[Country Code]],Table29[],4,FALSE)</f>
        <v>Africa</v>
      </c>
      <c r="X120" s="233" t="str">
        <f>VLOOKUP(Table3[[#This Row],[Country Code]],Table29[],5,FALSE)</f>
        <v>Low-income</v>
      </c>
      <c r="Y120" s="233" t="str">
        <f>VLOOKUP(Table3[[#This Row],[Country Code]],Table29[],6,FALSE)</f>
        <v>no</v>
      </c>
      <c r="Z120" s="233" t="str">
        <f>VLOOKUP(Table3[[#This Row],[Country Code]],Table29[],7,FALSE)</f>
        <v>no</v>
      </c>
      <c r="AA120" s="233" t="str">
        <f>VLOOKUP(Table3[[#This Row],[Country Code]],Table29[],8,FALSE)</f>
        <v>non-OECD</v>
      </c>
      <c r="AB120" s="233" t="str">
        <f>VLOOKUP(Table3[[#This Row],[Country Code]],Table29[],9,FALSE)</f>
        <v>no</v>
      </c>
      <c r="AC120" s="233" t="str">
        <f>VLOOKUP(Table3[[#This Row],[Country Code]],Table29[],10,FALSE)</f>
        <v>no</v>
      </c>
      <c r="AD120" s="235">
        <f>VLOOKUP(Table3[[#This Row],[Country Code]],Table29[],23,FALSE)</f>
        <v>7.0491399156994001</v>
      </c>
      <c r="AE120" s="235">
        <f>VLOOKUP(Table3[[#This Row],[Country Code]],Table29[],24,FALSE)</f>
        <v>0.4150090900095818</v>
      </c>
      <c r="AF120" s="43"/>
    </row>
    <row r="121" spans="1:35" ht="30" x14ac:dyDescent="0.25">
      <c r="A121" s="360">
        <v>23247</v>
      </c>
      <c r="B121" s="233" t="str">
        <f>VLOOKUP(Table3[[#This Row],[Document ID]],Table1[],2,FALSE)</f>
        <v>BDI</v>
      </c>
      <c r="C121" s="233" t="str">
        <f>VLOOKUP(Table3[[#This Row],[Document ID]],Table1[],3,FALSE)</f>
        <v>Burundi</v>
      </c>
      <c r="D121" s="233" t="str">
        <f>VLOOKUP(Table3[[#This Row],[Document ID]],Table1[],5,FALSE)</f>
        <v>NDC</v>
      </c>
      <c r="E121" s="233" t="str">
        <f>VLOOKUP(Table3[[#This Row],[Document ID]],Table1[],7,FALSE)</f>
        <v>First NDC updated</v>
      </c>
      <c r="F121" s="233" t="str">
        <f>VLOOKUP(Table3[[#This Row],[Document ID]],Table1[],8,FALSE)</f>
        <v>NDC 1.1</v>
      </c>
      <c r="G121" s="233" t="str">
        <f>VLOOKUP(Table3[[#This Row],[Document ID]],Table1[],10,FALSE)</f>
        <v>Active</v>
      </c>
      <c r="H121" s="43" t="s">
        <v>1139</v>
      </c>
      <c r="I121" s="43" t="s">
        <v>1096</v>
      </c>
      <c r="J121" s="42" t="s">
        <v>1097</v>
      </c>
      <c r="K121" s="28" t="s">
        <v>1140</v>
      </c>
      <c r="L121" s="42" t="s">
        <v>1099</v>
      </c>
      <c r="M121" s="209">
        <v>2027</v>
      </c>
      <c r="N121" s="209" t="s">
        <v>1234</v>
      </c>
      <c r="O121" s="257">
        <v>84</v>
      </c>
      <c r="P121" s="238" t="str">
        <f>VLOOKUP(_xlfn.CONCAT(Table3[[#This Row],[Target area]],Table3[[#This Row],[GHG target?]],Table3[[#This Row],[Conditionality]]),'Drop down'!$E$81:$F$101,2,FALSE)</f>
        <v>T_Adaptation_Unc</v>
      </c>
      <c r="Q121" s="239" t="str">
        <f>VLOOKUP(Table3[[#This Row],[Target type]],Table418[[Value name]:[Value idenifyer]],2,FALSE)</f>
        <v>T_A_GEN</v>
      </c>
      <c r="T121" s="240"/>
      <c r="U121" s="240"/>
      <c r="V121" s="233" t="str">
        <f>VLOOKUP(Table3[[#This Row],[Country Code]],Table29[],3,FALSE)</f>
        <v>Non-Annex I</v>
      </c>
      <c r="W121" s="233" t="str">
        <f>VLOOKUP(Table3[[#This Row],[Country Code]],Table29[],4,FALSE)</f>
        <v>Africa</v>
      </c>
      <c r="X121" s="233" t="str">
        <f>VLOOKUP(Table3[[#This Row],[Country Code]],Table29[],5,FALSE)</f>
        <v>Low-income</v>
      </c>
      <c r="Y121" s="233" t="str">
        <f>VLOOKUP(Table3[[#This Row],[Country Code]],Table29[],6,FALSE)</f>
        <v>no</v>
      </c>
      <c r="Z121" s="233" t="str">
        <f>VLOOKUP(Table3[[#This Row],[Country Code]],Table29[],7,FALSE)</f>
        <v>no</v>
      </c>
      <c r="AA121" s="233" t="str">
        <f>VLOOKUP(Table3[[#This Row],[Country Code]],Table29[],8,FALSE)</f>
        <v>non-OECD</v>
      </c>
      <c r="AB121" s="233" t="str">
        <f>VLOOKUP(Table3[[#This Row],[Country Code]],Table29[],9,FALSE)</f>
        <v>no</v>
      </c>
      <c r="AC121" s="233" t="str">
        <f>VLOOKUP(Table3[[#This Row],[Country Code]],Table29[],10,FALSE)</f>
        <v>no</v>
      </c>
      <c r="AD121" s="235">
        <f>VLOOKUP(Table3[[#This Row],[Country Code]],Table29[],23,FALSE)</f>
        <v>7.0491399156994001</v>
      </c>
      <c r="AE121" s="235">
        <f>VLOOKUP(Table3[[#This Row],[Country Code]],Table29[],24,FALSE)</f>
        <v>0.4150090900095818</v>
      </c>
      <c r="AF121" s="43"/>
      <c r="AI121" s="27" t="s">
        <v>1235</v>
      </c>
    </row>
    <row r="122" spans="1:35" ht="45" x14ac:dyDescent="0.25">
      <c r="A122" s="360">
        <v>23247</v>
      </c>
      <c r="B122" s="233" t="str">
        <f>VLOOKUP(Table3[[#This Row],[Document ID]],Table1[],2,FALSE)</f>
        <v>BDI</v>
      </c>
      <c r="C122" s="233" t="str">
        <f>VLOOKUP(Table3[[#This Row],[Document ID]],Table1[],3,FALSE)</f>
        <v>Burundi</v>
      </c>
      <c r="D122" s="233" t="str">
        <f>VLOOKUP(Table3[[#This Row],[Document ID]],Table1[],5,FALSE)</f>
        <v>NDC</v>
      </c>
      <c r="E122" s="233" t="str">
        <f>VLOOKUP(Table3[[#This Row],[Document ID]],Table1[],7,FALSE)</f>
        <v>First NDC updated</v>
      </c>
      <c r="F122" s="233" t="str">
        <f>VLOOKUP(Table3[[#This Row],[Document ID]],Table1[],8,FALSE)</f>
        <v>NDC 1.1</v>
      </c>
      <c r="G122" s="233" t="str">
        <f>VLOOKUP(Table3[[#This Row],[Document ID]],Table1[],10,FALSE)</f>
        <v>Active</v>
      </c>
      <c r="H122" s="43" t="s">
        <v>1139</v>
      </c>
      <c r="I122" s="43" t="s">
        <v>1096</v>
      </c>
      <c r="J122" s="42" t="s">
        <v>1097</v>
      </c>
      <c r="K122" s="28" t="s">
        <v>1140</v>
      </c>
      <c r="L122" s="43" t="s">
        <v>1092</v>
      </c>
      <c r="M122" s="209">
        <v>2027</v>
      </c>
      <c r="N122" s="209" t="s">
        <v>1236</v>
      </c>
      <c r="O122" s="257"/>
      <c r="P122" s="238" t="str">
        <f>VLOOKUP(_xlfn.CONCAT(Table3[[#This Row],[Target area]],Table3[[#This Row],[GHG target?]],Table3[[#This Row],[Conditionality]]),'Drop down'!$E$81:$F$101,2,FALSE)</f>
        <v>T_Adaptation_C</v>
      </c>
      <c r="Q122" s="239" t="str">
        <f>VLOOKUP(Table3[[#This Row],[Target type]],Table418[[Value name]:[Value idenifyer]],2,FALSE)</f>
        <v>T_A_GEN</v>
      </c>
      <c r="T122" s="240"/>
      <c r="U122" s="240"/>
      <c r="V122" s="233" t="str">
        <f>VLOOKUP(Table3[[#This Row],[Country Code]],Table29[],3,FALSE)</f>
        <v>Non-Annex I</v>
      </c>
      <c r="W122" s="233" t="str">
        <f>VLOOKUP(Table3[[#This Row],[Country Code]],Table29[],4,FALSE)</f>
        <v>Africa</v>
      </c>
      <c r="X122" s="233" t="str">
        <f>VLOOKUP(Table3[[#This Row],[Country Code]],Table29[],5,FALSE)</f>
        <v>Low-income</v>
      </c>
      <c r="Y122" s="233" t="str">
        <f>VLOOKUP(Table3[[#This Row],[Country Code]],Table29[],6,FALSE)</f>
        <v>no</v>
      </c>
      <c r="Z122" s="233" t="str">
        <f>VLOOKUP(Table3[[#This Row],[Country Code]],Table29[],7,FALSE)</f>
        <v>no</v>
      </c>
      <c r="AA122" s="233" t="str">
        <f>VLOOKUP(Table3[[#This Row],[Country Code]],Table29[],8,FALSE)</f>
        <v>non-OECD</v>
      </c>
      <c r="AB122" s="233" t="str">
        <f>VLOOKUP(Table3[[#This Row],[Country Code]],Table29[],9,FALSE)</f>
        <v>no</v>
      </c>
      <c r="AC122" s="233" t="str">
        <f>VLOOKUP(Table3[[#This Row],[Country Code]],Table29[],10,FALSE)</f>
        <v>no</v>
      </c>
      <c r="AD122" s="235">
        <f>VLOOKUP(Table3[[#This Row],[Country Code]],Table29[],23,FALSE)</f>
        <v>7.0491399156994001</v>
      </c>
      <c r="AE122" s="235">
        <f>VLOOKUP(Table3[[#This Row],[Country Code]],Table29[],24,FALSE)</f>
        <v>0.4150090900095818</v>
      </c>
      <c r="AF122" s="43"/>
      <c r="AI122" s="27" t="s">
        <v>1235</v>
      </c>
    </row>
    <row r="123" spans="1:35" x14ac:dyDescent="0.25">
      <c r="A123" s="360">
        <v>17544</v>
      </c>
      <c r="B123" s="233" t="str">
        <f>VLOOKUP(Table3[[#This Row],[Document ID]],Table1[],2,FALSE)</f>
        <v>BDI</v>
      </c>
      <c r="C123" s="233" t="str">
        <f>VLOOKUP(Table3[[#This Row],[Document ID]],Table1[],3,FALSE)</f>
        <v>Burundi</v>
      </c>
      <c r="D123" s="233" t="str">
        <f>VLOOKUP(Table3[[#This Row],[Document ID]],Table1[],5,FALSE)</f>
        <v>NDC</v>
      </c>
      <c r="E123" s="233" t="str">
        <f>VLOOKUP(Table3[[#This Row],[Document ID]],Table1[],7,FALSE)</f>
        <v>First NDC</v>
      </c>
      <c r="F123" s="233" t="str">
        <f>VLOOKUP(Table3[[#This Row],[Document ID]],Table1[],8,FALSE)</f>
        <v>NDC 1.0</v>
      </c>
      <c r="G123" s="233" t="str">
        <f>VLOOKUP(Table3[[#This Row],[Document ID]],Table1[],10,FALSE)</f>
        <v>Archived</v>
      </c>
      <c r="H123" s="216" t="s">
        <v>1089</v>
      </c>
      <c r="I123" s="216" t="s">
        <v>1089</v>
      </c>
      <c r="J123" s="43" t="s">
        <v>1090</v>
      </c>
      <c r="K123" s="28" t="s">
        <v>1091</v>
      </c>
      <c r="L123" s="42" t="s">
        <v>1099</v>
      </c>
      <c r="M123" s="209">
        <v>2030</v>
      </c>
      <c r="N123" s="176" t="s">
        <v>1237</v>
      </c>
      <c r="O123" s="258" t="s">
        <v>1094</v>
      </c>
      <c r="P123" s="238" t="str">
        <f>VLOOKUP(_xlfn.CONCAT(Table3[[#This Row],[Target area]],Table3[[#This Row],[GHG target?]],Table3[[#This Row],[Conditionality]]),'Drop down'!$E$81:$F$101,2,FALSE)</f>
        <v>T_Economy_Unc</v>
      </c>
      <c r="Q123" s="239" t="str">
        <f>VLOOKUP(Table3[[#This Row],[Target type]],Table418[[Value name]:[Value idenifyer]],2,FALSE)</f>
        <v>T_BAU</v>
      </c>
      <c r="T123" s="240"/>
      <c r="U123" s="240"/>
      <c r="V123" s="233" t="str">
        <f>VLOOKUP(Table3[[#This Row],[Country Code]],Table29[],3,FALSE)</f>
        <v>Non-Annex I</v>
      </c>
      <c r="W123" s="233" t="str">
        <f>VLOOKUP(Table3[[#This Row],[Country Code]],Table29[],4,FALSE)</f>
        <v>Africa</v>
      </c>
      <c r="X123" s="233" t="str">
        <f>VLOOKUP(Table3[[#This Row],[Country Code]],Table29[],5,FALSE)</f>
        <v>Low-income</v>
      </c>
      <c r="Y123" s="233" t="str">
        <f>VLOOKUP(Table3[[#This Row],[Country Code]],Table29[],6,FALSE)</f>
        <v>no</v>
      </c>
      <c r="Z123" s="233" t="str">
        <f>VLOOKUP(Table3[[#This Row],[Country Code]],Table29[],7,FALSE)</f>
        <v>no</v>
      </c>
      <c r="AA123" s="233" t="str">
        <f>VLOOKUP(Table3[[#This Row],[Country Code]],Table29[],8,FALSE)</f>
        <v>non-OECD</v>
      </c>
      <c r="AB123" s="233" t="str">
        <f>VLOOKUP(Table3[[#This Row],[Country Code]],Table29[],9,FALSE)</f>
        <v>no</v>
      </c>
      <c r="AC123" s="233" t="str">
        <f>VLOOKUP(Table3[[#This Row],[Country Code]],Table29[],10,FALSE)</f>
        <v>no</v>
      </c>
      <c r="AD123" s="235">
        <f>VLOOKUP(Table3[[#This Row],[Country Code]],Table29[],23,FALSE)</f>
        <v>7.0491399156994001</v>
      </c>
      <c r="AE123" s="235">
        <f>VLOOKUP(Table3[[#This Row],[Country Code]],Table29[],24,FALSE)</f>
        <v>0.4150090900095818</v>
      </c>
      <c r="AF123" s="43"/>
    </row>
    <row r="124" spans="1:35" x14ac:dyDescent="0.25">
      <c r="A124" s="360">
        <v>17544</v>
      </c>
      <c r="B124" s="233" t="str">
        <f>VLOOKUP(Table3[[#This Row],[Document ID]],Table1[],2,FALSE)</f>
        <v>BDI</v>
      </c>
      <c r="C124" s="233" t="str">
        <f>VLOOKUP(Table3[[#This Row],[Document ID]],Table1[],3,FALSE)</f>
        <v>Burundi</v>
      </c>
      <c r="D124" s="233" t="str">
        <f>VLOOKUP(Table3[[#This Row],[Document ID]],Table1[],5,FALSE)</f>
        <v>NDC</v>
      </c>
      <c r="E124" s="233" t="str">
        <f>VLOOKUP(Table3[[#This Row],[Document ID]],Table1[],7,FALSE)</f>
        <v>First NDC</v>
      </c>
      <c r="F124" s="233" t="str">
        <f>VLOOKUP(Table3[[#This Row],[Document ID]],Table1[],8,FALSE)</f>
        <v>NDC 1.0</v>
      </c>
      <c r="G124" s="233" t="str">
        <f>VLOOKUP(Table3[[#This Row],[Document ID]],Table1[],10,FALSE)</f>
        <v>Archived</v>
      </c>
      <c r="H124" s="216" t="s">
        <v>1089</v>
      </c>
      <c r="I124" s="216" t="s">
        <v>1089</v>
      </c>
      <c r="J124" s="43" t="s">
        <v>1090</v>
      </c>
      <c r="K124" s="28" t="s">
        <v>1091</v>
      </c>
      <c r="L124" s="216" t="s">
        <v>1092</v>
      </c>
      <c r="M124" s="209">
        <v>2030</v>
      </c>
      <c r="N124" s="176" t="s">
        <v>1238</v>
      </c>
      <c r="O124" s="258" t="s">
        <v>1094</v>
      </c>
      <c r="P124" s="238" t="str">
        <f>VLOOKUP(_xlfn.CONCAT(Table3[[#This Row],[Target area]],Table3[[#This Row],[GHG target?]],Table3[[#This Row],[Conditionality]]),'Drop down'!$E$81:$F$101,2,FALSE)</f>
        <v>T_Economy_C</v>
      </c>
      <c r="Q124" s="239" t="str">
        <f>VLOOKUP(Table3[[#This Row],[Target type]],Table418[[Value name]:[Value idenifyer]],2,FALSE)</f>
        <v>T_BAU</v>
      </c>
      <c r="T124" s="240"/>
      <c r="U124" s="240"/>
      <c r="V124" s="233" t="str">
        <f>VLOOKUP(Table3[[#This Row],[Country Code]],Table29[],3,FALSE)</f>
        <v>Non-Annex I</v>
      </c>
      <c r="W124" s="233" t="str">
        <f>VLOOKUP(Table3[[#This Row],[Country Code]],Table29[],4,FALSE)</f>
        <v>Africa</v>
      </c>
      <c r="X124" s="233" t="str">
        <f>VLOOKUP(Table3[[#This Row],[Country Code]],Table29[],5,FALSE)</f>
        <v>Low-income</v>
      </c>
      <c r="Y124" s="233" t="str">
        <f>VLOOKUP(Table3[[#This Row],[Country Code]],Table29[],6,FALSE)</f>
        <v>no</v>
      </c>
      <c r="Z124" s="233" t="str">
        <f>VLOOKUP(Table3[[#This Row],[Country Code]],Table29[],7,FALSE)</f>
        <v>no</v>
      </c>
      <c r="AA124" s="233" t="str">
        <f>VLOOKUP(Table3[[#This Row],[Country Code]],Table29[],8,FALSE)</f>
        <v>non-OECD</v>
      </c>
      <c r="AB124" s="233" t="str">
        <f>VLOOKUP(Table3[[#This Row],[Country Code]],Table29[],9,FALSE)</f>
        <v>no</v>
      </c>
      <c r="AC124" s="233" t="str">
        <f>VLOOKUP(Table3[[#This Row],[Country Code]],Table29[],10,FALSE)</f>
        <v>no</v>
      </c>
      <c r="AD124" s="235">
        <f>VLOOKUP(Table3[[#This Row],[Country Code]],Table29[],23,FALSE)</f>
        <v>7.0491399156994001</v>
      </c>
      <c r="AE124" s="235">
        <f>VLOOKUP(Table3[[#This Row],[Country Code]],Table29[],24,FALSE)</f>
        <v>0.4150090900095818</v>
      </c>
      <c r="AF124" s="43"/>
    </row>
    <row r="125" spans="1:35" x14ac:dyDescent="0.25">
      <c r="A125" s="368">
        <v>21764</v>
      </c>
      <c r="B125" s="233" t="str">
        <f>VLOOKUP(Table3[[#This Row],[Document ID]],Table1[],2,FALSE)</f>
        <v>ATG</v>
      </c>
      <c r="C125" s="233" t="str">
        <f>VLOOKUP(Table3[[#This Row],[Document ID]],Table1[],3,FALSE)</f>
        <v>Antigua and Barbuda</v>
      </c>
      <c r="D125" s="233" t="str">
        <f>VLOOKUP(Table3[[#This Row],[Document ID]],Table1[],5,FALSE)</f>
        <v>NDC</v>
      </c>
      <c r="E125" s="233" t="str">
        <f>VLOOKUP(Table3[[#This Row],[Document ID]],Table1[],7,FALSE)</f>
        <v>First NDC updated</v>
      </c>
      <c r="F125" s="233" t="str">
        <f>VLOOKUP(Table3[[#This Row],[Document ID]],Table1[],8,FALSE)</f>
        <v>NDC 1.1</v>
      </c>
      <c r="G125" s="233" t="str">
        <f>VLOOKUP(Table3[[#This Row],[Document ID]],Table1[],10,FALSE)</f>
        <v>Active</v>
      </c>
      <c r="H125" s="43" t="s">
        <v>1147</v>
      </c>
      <c r="I125" s="43" t="s">
        <v>1089</v>
      </c>
      <c r="J125" s="43" t="s">
        <v>1090</v>
      </c>
      <c r="K125" s="28" t="s">
        <v>1121</v>
      </c>
      <c r="L125" s="43" t="s">
        <v>1116</v>
      </c>
      <c r="M125" s="209">
        <v>2040</v>
      </c>
      <c r="N125" s="209" t="s">
        <v>1239</v>
      </c>
      <c r="O125" s="258">
        <v>19</v>
      </c>
      <c r="P125" s="238" t="str">
        <f>VLOOKUP(_xlfn.CONCAT(Table3[[#This Row],[Target area]],Table3[[#This Row],[GHG target?]],Table3[[#This Row],[Conditionality]]),'Drop down'!$E$81:$F$101,2,FALSE)</f>
        <v>T_Netzero</v>
      </c>
      <c r="Q125" s="239" t="str">
        <f>VLOOKUP(Table3[[#This Row],[Target type]],Table418[[Value name]:[Value idenifyer]],2,FALSE)</f>
        <v>T_FL</v>
      </c>
      <c r="T125" s="240"/>
      <c r="U125" s="234" t="s">
        <v>1240</v>
      </c>
      <c r="V125" s="233" t="str">
        <f>VLOOKUP(Table3[[#This Row],[Country Code]],Table29[],3,FALSE)</f>
        <v>Non-Annex I</v>
      </c>
      <c r="W125" s="233" t="str">
        <f>VLOOKUP(Table3[[#This Row],[Country Code]],Table29[],4,FALSE)</f>
        <v>Latin America and the Caribbean</v>
      </c>
      <c r="X125" s="233" t="str">
        <f>VLOOKUP(Table3[[#This Row],[Country Code]],Table29[],5,FALSE)</f>
        <v>High-income</v>
      </c>
      <c r="Y125" s="233" t="str">
        <f>VLOOKUP(Table3[[#This Row],[Country Code]],Table29[],6,FALSE)</f>
        <v>no</v>
      </c>
      <c r="Z125" s="233" t="str">
        <f>VLOOKUP(Table3[[#This Row],[Country Code]],Table29[],7,FALSE)</f>
        <v>no</v>
      </c>
      <c r="AA125" s="233" t="str">
        <f>VLOOKUP(Table3[[#This Row],[Country Code]],Table29[],8,FALSE)</f>
        <v>non-OECD</v>
      </c>
      <c r="AB125" s="233" t="str">
        <f>VLOOKUP(Table3[[#This Row],[Country Code]],Table29[],9,FALSE)</f>
        <v>no</v>
      </c>
      <c r="AC125" s="233" t="str">
        <f>VLOOKUP(Table3[[#This Row],[Country Code]],Table29[],10,FALSE)</f>
        <v>no</v>
      </c>
      <c r="AD125" s="235">
        <f>VLOOKUP(Table3[[#This Row],[Country Code]],Table29[],23,FALSE)</f>
        <v>0.38855617147726002</v>
      </c>
      <c r="AE125" s="235">
        <f>VLOOKUP(Table3[[#This Row],[Country Code]],Table29[],24,FALSE)</f>
        <v>0.1151781182188378</v>
      </c>
      <c r="AF125" s="42"/>
    </row>
    <row r="126" spans="1:35" x14ac:dyDescent="0.25">
      <c r="A126" s="360">
        <v>17551</v>
      </c>
      <c r="B126" s="233" t="str">
        <f>VLOOKUP(Table3[[#This Row],[Document ID]],Table1[],2,FALSE)</f>
        <v>CAN</v>
      </c>
      <c r="C126" s="233" t="str">
        <f>VLOOKUP(Table3[[#This Row],[Document ID]],Table1[],3,FALSE)</f>
        <v>Canada</v>
      </c>
      <c r="D126" s="233" t="str">
        <f>VLOOKUP(Table3[[#This Row],[Document ID]],Table1[],5,FALSE)</f>
        <v>LTS</v>
      </c>
      <c r="E126" s="233" t="str">
        <f>VLOOKUP(Table3[[#This Row],[Document ID]],Table1[],7,FALSE)</f>
        <v>Archived LTS 1.0</v>
      </c>
      <c r="F126" s="233" t="str">
        <f>VLOOKUP(Table3[[#This Row],[Document ID]],Table1[],8,FALSE)</f>
        <v>LTS 1.0</v>
      </c>
      <c r="G126" s="233" t="str">
        <f>VLOOKUP(Table3[[#This Row],[Document ID]],Table1[],10,FALSE)</f>
        <v>Archived</v>
      </c>
      <c r="H126" s="216" t="s">
        <v>1089</v>
      </c>
      <c r="I126" s="216" t="s">
        <v>1089</v>
      </c>
      <c r="J126" s="43" t="s">
        <v>1090</v>
      </c>
      <c r="K126" s="28" t="s">
        <v>1153</v>
      </c>
      <c r="L126" s="42" t="s">
        <v>1099</v>
      </c>
      <c r="M126" s="209">
        <v>2050</v>
      </c>
      <c r="N126" s="44" t="s">
        <v>1241</v>
      </c>
      <c r="O126" s="221">
        <v>3</v>
      </c>
      <c r="P126" s="238" t="str">
        <f>VLOOKUP(_xlfn.CONCAT(Table3[[#This Row],[Target area]],Table3[[#This Row],[GHG target?]],Table3[[#This Row],[Conditionality]]),'Drop down'!$E$81:$F$101,2,FALSE)</f>
        <v>T_Economy_Unc</v>
      </c>
      <c r="Q126" s="239" t="str">
        <f>VLOOKUP(Table3[[#This Row],[Target type]],Table418[[Value name]:[Value idenifyer]],2,FALSE)</f>
        <v>T_BYE</v>
      </c>
      <c r="T126" s="234" t="s">
        <v>1113</v>
      </c>
      <c r="U126" s="234">
        <v>2040</v>
      </c>
      <c r="V126" s="233" t="str">
        <f>VLOOKUP(Table3[[#This Row],[Country Code]],Table29[],3,FALSE)</f>
        <v>Annex I</v>
      </c>
      <c r="W126" s="233" t="str">
        <f>VLOOKUP(Table3[[#This Row],[Country Code]],Table29[],4,FALSE)</f>
        <v>Northern America</v>
      </c>
      <c r="X126" s="233" t="str">
        <f>VLOOKUP(Table3[[#This Row],[Country Code]],Table29[],5,FALSE)</f>
        <v>High-income</v>
      </c>
      <c r="Y126" s="233" t="str">
        <f>VLOOKUP(Table3[[#This Row],[Country Code]],Table29[],6,FALSE)</f>
        <v>G20</v>
      </c>
      <c r="Z126" s="233" t="str">
        <f>VLOOKUP(Table3[[#This Row],[Country Code]],Table29[],7,FALSE)</f>
        <v>G7</v>
      </c>
      <c r="AA126" s="233" t="str">
        <f>VLOOKUP(Table3[[#This Row],[Country Code]],Table29[],8,FALSE)</f>
        <v>OECD</v>
      </c>
      <c r="AB126" s="233" t="str">
        <f>VLOOKUP(Table3[[#This Row],[Country Code]],Table29[],9,FALSE)</f>
        <v>no</v>
      </c>
      <c r="AC126" s="233" t="str">
        <f>VLOOKUP(Table3[[#This Row],[Country Code]],Table29[],10,FALSE)</f>
        <v>no</v>
      </c>
      <c r="AD126" s="235">
        <f>VLOOKUP(Table3[[#This Row],[Country Code]],Table29[],23,FALSE)</f>
        <v>747.67802680902003</v>
      </c>
      <c r="AE126" s="235">
        <f>VLOOKUP(Table3[[#This Row],[Country Code]],Table29[],24,FALSE)</f>
        <v>169.021169926607</v>
      </c>
      <c r="AF126" s="43"/>
    </row>
    <row r="127" spans="1:35" x14ac:dyDescent="0.25">
      <c r="A127" s="360">
        <v>21061</v>
      </c>
      <c r="B127" s="233" t="str">
        <f>VLOOKUP(Table3[[#This Row],[Document ID]],Table1[],2,FALSE)</f>
        <v>CAN</v>
      </c>
      <c r="C127" s="233" t="str">
        <f>VLOOKUP(Table3[[#This Row],[Document ID]],Table1[],3,FALSE)</f>
        <v>Canada</v>
      </c>
      <c r="D127" s="233" t="str">
        <f>VLOOKUP(Table3[[#This Row],[Document ID]],Table1[],5,FALSE)</f>
        <v>NDC</v>
      </c>
      <c r="E127" s="233" t="str">
        <f>VLOOKUP(Table3[[#This Row],[Document ID]],Table1[],7,FALSE)</f>
        <v>First NDC updated</v>
      </c>
      <c r="F127" s="233" t="str">
        <f>VLOOKUP(Table3[[#This Row],[Document ID]],Table1[],8,FALSE)</f>
        <v>NDC 1.1</v>
      </c>
      <c r="G127" s="233" t="str">
        <f>VLOOKUP(Table3[[#This Row],[Document ID]],Table1[],10,FALSE)</f>
        <v>Archived</v>
      </c>
      <c r="H127" s="216" t="s">
        <v>1089</v>
      </c>
      <c r="I127" s="216" t="s">
        <v>1089</v>
      </c>
      <c r="J127" s="43" t="s">
        <v>1090</v>
      </c>
      <c r="K127" s="28" t="s">
        <v>1153</v>
      </c>
      <c r="L127" s="42" t="s">
        <v>1099</v>
      </c>
      <c r="M127" s="209">
        <v>2030</v>
      </c>
      <c r="N127" s="209" t="s">
        <v>1242</v>
      </c>
      <c r="O127" s="259">
        <v>1</v>
      </c>
      <c r="P127" s="238" t="str">
        <f>VLOOKUP(_xlfn.CONCAT(Table3[[#This Row],[Target area]],Table3[[#This Row],[GHG target?]],Table3[[#This Row],[Conditionality]]),'Drop down'!$E$81:$F$101,2,FALSE)</f>
        <v>T_Economy_Unc</v>
      </c>
      <c r="Q127" s="239" t="str">
        <f>VLOOKUP(Table3[[#This Row],[Target type]],Table418[[Value name]:[Value idenifyer]],2,FALSE)</f>
        <v>T_BYE</v>
      </c>
      <c r="T127" s="234" t="s">
        <v>1113</v>
      </c>
      <c r="U127" s="234">
        <v>2040</v>
      </c>
      <c r="V127" s="233" t="str">
        <f>VLOOKUP(Table3[[#This Row],[Country Code]],Table29[],3,FALSE)</f>
        <v>Annex I</v>
      </c>
      <c r="W127" s="233" t="str">
        <f>VLOOKUP(Table3[[#This Row],[Country Code]],Table29[],4,FALSE)</f>
        <v>Northern America</v>
      </c>
      <c r="X127" s="233" t="str">
        <f>VLOOKUP(Table3[[#This Row],[Country Code]],Table29[],5,FALSE)</f>
        <v>High-income</v>
      </c>
      <c r="Y127" s="233" t="str">
        <f>VLOOKUP(Table3[[#This Row],[Country Code]],Table29[],6,FALSE)</f>
        <v>G20</v>
      </c>
      <c r="Z127" s="233" t="str">
        <f>VLOOKUP(Table3[[#This Row],[Country Code]],Table29[],7,FALSE)</f>
        <v>G7</v>
      </c>
      <c r="AA127" s="233" t="str">
        <f>VLOOKUP(Table3[[#This Row],[Country Code]],Table29[],8,FALSE)</f>
        <v>OECD</v>
      </c>
      <c r="AB127" s="233" t="str">
        <f>VLOOKUP(Table3[[#This Row],[Country Code]],Table29[],9,FALSE)</f>
        <v>no</v>
      </c>
      <c r="AC127" s="233" t="str">
        <f>VLOOKUP(Table3[[#This Row],[Country Code]],Table29[],10,FALSE)</f>
        <v>no</v>
      </c>
      <c r="AD127" s="235">
        <f>VLOOKUP(Table3[[#This Row],[Country Code]],Table29[],23,FALSE)</f>
        <v>747.67802680902003</v>
      </c>
      <c r="AE127" s="235">
        <f>VLOOKUP(Table3[[#This Row],[Country Code]],Table29[],24,FALSE)</f>
        <v>169.021169926607</v>
      </c>
      <c r="AF127" s="43"/>
    </row>
    <row r="128" spans="1:35" x14ac:dyDescent="0.25">
      <c r="A128" s="368">
        <v>21061</v>
      </c>
      <c r="B128" s="233" t="str">
        <f>VLOOKUP(Table3[[#This Row],[Document ID]],Table1[],2,FALSE)</f>
        <v>CAN</v>
      </c>
      <c r="C128" s="233" t="str">
        <f>VLOOKUP(Table3[[#This Row],[Document ID]],Table1[],3,FALSE)</f>
        <v>Canada</v>
      </c>
      <c r="D128" s="233" t="str">
        <f>VLOOKUP(Table3[[#This Row],[Document ID]],Table1[],5,FALSE)</f>
        <v>NDC</v>
      </c>
      <c r="E128" s="233" t="str">
        <f>VLOOKUP(Table3[[#This Row],[Document ID]],Table1[],7,FALSE)</f>
        <v>First NDC updated</v>
      </c>
      <c r="F128" s="233" t="str">
        <f>VLOOKUP(Table3[[#This Row],[Document ID]],Table1[],8,FALSE)</f>
        <v>NDC 1.1</v>
      </c>
      <c r="G128" s="233" t="str">
        <f>VLOOKUP(Table3[[#This Row],[Document ID]],Table1[],10,FALSE)</f>
        <v>Archived</v>
      </c>
      <c r="H128" s="43" t="s">
        <v>1147</v>
      </c>
      <c r="I128" s="43" t="s">
        <v>1089</v>
      </c>
      <c r="J128" s="43" t="s">
        <v>1090</v>
      </c>
      <c r="K128" s="28" t="s">
        <v>1121</v>
      </c>
      <c r="L128" s="43" t="s">
        <v>1116</v>
      </c>
      <c r="M128" s="209">
        <v>2050</v>
      </c>
      <c r="N128" s="209" t="s">
        <v>1243</v>
      </c>
      <c r="O128" s="258">
        <v>1</v>
      </c>
      <c r="P128" s="238" t="str">
        <f>VLOOKUP(_xlfn.CONCAT(Table3[[#This Row],[Target area]],Table3[[#This Row],[GHG target?]],Table3[[#This Row],[Conditionality]]),'Drop down'!$E$81:$F$101,2,FALSE)</f>
        <v>T_Netzero</v>
      </c>
      <c r="Q128" s="239" t="str">
        <f>VLOOKUP(Table3[[#This Row],[Target type]],Table418[[Value name]:[Value idenifyer]],2,FALSE)</f>
        <v>T_FL</v>
      </c>
      <c r="T128" s="240"/>
      <c r="U128" s="234" t="s">
        <v>1244</v>
      </c>
      <c r="V128" s="233" t="str">
        <f>VLOOKUP(Table3[[#This Row],[Country Code]],Table29[],3,FALSE)</f>
        <v>Annex I</v>
      </c>
      <c r="W128" s="233" t="str">
        <f>VLOOKUP(Table3[[#This Row],[Country Code]],Table29[],4,FALSE)</f>
        <v>Northern America</v>
      </c>
      <c r="X128" s="233" t="str">
        <f>VLOOKUP(Table3[[#This Row],[Country Code]],Table29[],5,FALSE)</f>
        <v>High-income</v>
      </c>
      <c r="Y128" s="233" t="str">
        <f>VLOOKUP(Table3[[#This Row],[Country Code]],Table29[],6,FALSE)</f>
        <v>G20</v>
      </c>
      <c r="Z128" s="233" t="str">
        <f>VLOOKUP(Table3[[#This Row],[Country Code]],Table29[],7,FALSE)</f>
        <v>G7</v>
      </c>
      <c r="AA128" s="233" t="str">
        <f>VLOOKUP(Table3[[#This Row],[Country Code]],Table29[],8,FALSE)</f>
        <v>OECD</v>
      </c>
      <c r="AB128" s="233" t="str">
        <f>VLOOKUP(Table3[[#This Row],[Country Code]],Table29[],9,FALSE)</f>
        <v>no</v>
      </c>
      <c r="AC128" s="233" t="str">
        <f>VLOOKUP(Table3[[#This Row],[Country Code]],Table29[],10,FALSE)</f>
        <v>no</v>
      </c>
      <c r="AD128" s="235">
        <f>VLOOKUP(Table3[[#This Row],[Country Code]],Table29[],23,FALSE)</f>
        <v>747.67802680902003</v>
      </c>
      <c r="AE128" s="235">
        <f>VLOOKUP(Table3[[#This Row],[Country Code]],Table29[],24,FALSE)</f>
        <v>169.021169926607</v>
      </c>
      <c r="AF128" s="43"/>
    </row>
    <row r="129" spans="1:32" ht="45" x14ac:dyDescent="0.25">
      <c r="A129" s="360">
        <v>17548</v>
      </c>
      <c r="B129" s="233" t="str">
        <f>VLOOKUP(Table3[[#This Row],[Document ID]],Table1[],2,FALSE)</f>
        <v>KHM</v>
      </c>
      <c r="C129" s="233" t="str">
        <f>VLOOKUP(Table3[[#This Row],[Document ID]],Table1[],3,FALSE)</f>
        <v>Cambodia</v>
      </c>
      <c r="D129" s="233" t="str">
        <f>VLOOKUP(Table3[[#This Row],[Document ID]],Table1[],5,FALSE)</f>
        <v>NDC</v>
      </c>
      <c r="E129" s="233" t="str">
        <f>VLOOKUP(Table3[[#This Row],[Document ID]],Table1[],7,FALSE)</f>
        <v>First NDC updated</v>
      </c>
      <c r="F129" s="233" t="str">
        <f>VLOOKUP(Table3[[#This Row],[Document ID]],Table1[],8,FALSE)</f>
        <v>NDC 1.1</v>
      </c>
      <c r="G129" s="233" t="str">
        <f>VLOOKUP(Table3[[#This Row],[Document ID]],Table1[],10,FALSE)</f>
        <v>Active</v>
      </c>
      <c r="H129" s="43" t="s">
        <v>1139</v>
      </c>
      <c r="I129" s="43" t="s">
        <v>1096</v>
      </c>
      <c r="J129" s="42" t="s">
        <v>1097</v>
      </c>
      <c r="K129" s="28" t="s">
        <v>1140</v>
      </c>
      <c r="L129" s="42" t="s">
        <v>1099</v>
      </c>
      <c r="M129" s="209">
        <v>2030</v>
      </c>
      <c r="N129" s="44" t="s">
        <v>1245</v>
      </c>
      <c r="O129" s="221">
        <v>124</v>
      </c>
      <c r="P129" s="238" t="str">
        <f>VLOOKUP(_xlfn.CONCAT(Table3[[#This Row],[Target area]],Table3[[#This Row],[GHG target?]],Table3[[#This Row],[Conditionality]]),'Drop down'!$E$81:$F$101,2,FALSE)</f>
        <v>T_Adaptation_Unc</v>
      </c>
      <c r="Q129" s="239" t="str">
        <f>VLOOKUP(Table3[[#This Row],[Target type]],Table418[[Value name]:[Value idenifyer]],2,FALSE)</f>
        <v>T_A_GEN</v>
      </c>
      <c r="S129" s="233" t="s">
        <v>1101</v>
      </c>
      <c r="T129" s="234" t="s">
        <v>1113</v>
      </c>
      <c r="V129" s="233" t="str">
        <f>VLOOKUP(Table3[[#This Row],[Country Code]],Table29[],3,FALSE)</f>
        <v>Non-Annex I</v>
      </c>
      <c r="W129" s="233" t="str">
        <f>VLOOKUP(Table3[[#This Row],[Country Code]],Table29[],4,FALSE)</f>
        <v>Asia</v>
      </c>
      <c r="X129" s="233" t="str">
        <f>VLOOKUP(Table3[[#This Row],[Country Code]],Table29[],5,FALSE)</f>
        <v>Middle-income</v>
      </c>
      <c r="Y129" s="233" t="str">
        <f>VLOOKUP(Table3[[#This Row],[Country Code]],Table29[],6,FALSE)</f>
        <v>no</v>
      </c>
      <c r="Z129" s="233" t="str">
        <f>VLOOKUP(Table3[[#This Row],[Country Code]],Table29[],7,FALSE)</f>
        <v>no</v>
      </c>
      <c r="AA129" s="233" t="str">
        <f>VLOOKUP(Table3[[#This Row],[Country Code]],Table29[],8,FALSE)</f>
        <v>non-OECD</v>
      </c>
      <c r="AB129" s="233" t="str">
        <f>VLOOKUP(Table3[[#This Row],[Country Code]],Table29[],9,FALSE)</f>
        <v>no</v>
      </c>
      <c r="AC129" s="233" t="str">
        <f>VLOOKUP(Table3[[#This Row],[Country Code]],Table29[],10,FALSE)</f>
        <v>no</v>
      </c>
      <c r="AD129" s="235">
        <f>VLOOKUP(Table3[[#This Row],[Country Code]],Table29[],23,FALSE)</f>
        <v>48.774832204749998</v>
      </c>
      <c r="AE129" s="235">
        <f>VLOOKUP(Table3[[#This Row],[Country Code]],Table29[],24,FALSE)</f>
        <v>7.547213161316451</v>
      </c>
      <c r="AF129" s="43"/>
    </row>
    <row r="130" spans="1:32" ht="30" x14ac:dyDescent="0.25">
      <c r="A130" s="360">
        <v>17548</v>
      </c>
      <c r="B130" s="233" t="str">
        <f>VLOOKUP(Table3[[#This Row],[Document ID]],Table1[],2,FALSE)</f>
        <v>KHM</v>
      </c>
      <c r="C130" s="233" t="str">
        <f>VLOOKUP(Table3[[#This Row],[Document ID]],Table1[],3,FALSE)</f>
        <v>Cambodia</v>
      </c>
      <c r="D130" s="233" t="str">
        <f>VLOOKUP(Table3[[#This Row],[Document ID]],Table1[],5,FALSE)</f>
        <v>NDC</v>
      </c>
      <c r="E130" s="233" t="str">
        <f>VLOOKUP(Table3[[#This Row],[Document ID]],Table1[],7,FALSE)</f>
        <v>First NDC updated</v>
      </c>
      <c r="F130" s="233" t="str">
        <f>VLOOKUP(Table3[[#This Row],[Document ID]],Table1[],8,FALSE)</f>
        <v>NDC 1.1</v>
      </c>
      <c r="G130" s="233" t="str">
        <f>VLOOKUP(Table3[[#This Row],[Document ID]],Table1[],10,FALSE)</f>
        <v>Active</v>
      </c>
      <c r="H130" s="216" t="s">
        <v>1089</v>
      </c>
      <c r="I130" s="216" t="s">
        <v>1089</v>
      </c>
      <c r="J130" s="43" t="s">
        <v>1090</v>
      </c>
      <c r="K130" s="28" t="s">
        <v>1091</v>
      </c>
      <c r="L130" s="216" t="s">
        <v>1092</v>
      </c>
      <c r="M130" s="209">
        <v>2030</v>
      </c>
      <c r="N130" s="44" t="s">
        <v>1246</v>
      </c>
      <c r="O130" s="221">
        <v>3</v>
      </c>
      <c r="P130" s="238" t="str">
        <f>VLOOKUP(_xlfn.CONCAT(Table3[[#This Row],[Target area]],Table3[[#This Row],[GHG target?]],Table3[[#This Row],[Conditionality]]),'Drop down'!$E$81:$F$101,2,FALSE)</f>
        <v>T_Economy_C</v>
      </c>
      <c r="Q130" s="239" t="str">
        <f>VLOOKUP(Table3[[#This Row],[Target type]],Table418[[Value name]:[Value idenifyer]],2,FALSE)</f>
        <v>T_BAU</v>
      </c>
      <c r="S130" s="233" t="s">
        <v>1101</v>
      </c>
      <c r="T130" s="234" t="s">
        <v>1113</v>
      </c>
      <c r="V130" s="233" t="str">
        <f>VLOOKUP(Table3[[#This Row],[Country Code]],Table29[],3,FALSE)</f>
        <v>Non-Annex I</v>
      </c>
      <c r="W130" s="233" t="str">
        <f>VLOOKUP(Table3[[#This Row],[Country Code]],Table29[],4,FALSE)</f>
        <v>Asia</v>
      </c>
      <c r="X130" s="233" t="str">
        <f>VLOOKUP(Table3[[#This Row],[Country Code]],Table29[],5,FALSE)</f>
        <v>Middle-income</v>
      </c>
      <c r="Y130" s="233" t="str">
        <f>VLOOKUP(Table3[[#This Row],[Country Code]],Table29[],6,FALSE)</f>
        <v>no</v>
      </c>
      <c r="Z130" s="233" t="str">
        <f>VLOOKUP(Table3[[#This Row],[Country Code]],Table29[],7,FALSE)</f>
        <v>no</v>
      </c>
      <c r="AA130" s="233" t="str">
        <f>VLOOKUP(Table3[[#This Row],[Country Code]],Table29[],8,FALSE)</f>
        <v>non-OECD</v>
      </c>
      <c r="AB130" s="233" t="str">
        <f>VLOOKUP(Table3[[#This Row],[Country Code]],Table29[],9,FALSE)</f>
        <v>no</v>
      </c>
      <c r="AC130" s="233" t="str">
        <f>VLOOKUP(Table3[[#This Row],[Country Code]],Table29[],10,FALSE)</f>
        <v>no</v>
      </c>
      <c r="AD130" s="235">
        <f>VLOOKUP(Table3[[#This Row],[Country Code]],Table29[],23,FALSE)</f>
        <v>48.774832204749998</v>
      </c>
      <c r="AE130" s="235">
        <f>VLOOKUP(Table3[[#This Row],[Country Code]],Table29[],24,FALSE)</f>
        <v>7.547213161316451</v>
      </c>
      <c r="AF130" s="43"/>
    </row>
    <row r="131" spans="1:32" ht="30" x14ac:dyDescent="0.25">
      <c r="A131" s="360">
        <v>21764</v>
      </c>
      <c r="B131" s="233" t="str">
        <f>VLOOKUP(Table3[[#This Row],[Document ID]],Table1[],2,FALSE)</f>
        <v>ATG</v>
      </c>
      <c r="C131" s="233" t="str">
        <f>VLOOKUP(Table3[[#This Row],[Document ID]],Table1[],3,FALSE)</f>
        <v>Antigua and Barbuda</v>
      </c>
      <c r="D131" s="233" t="str">
        <f>VLOOKUP(Table3[[#This Row],[Document ID]],Table1[],5,FALSE)</f>
        <v>NDC</v>
      </c>
      <c r="E131" s="233" t="str">
        <f>VLOOKUP(Table3[[#This Row],[Document ID]],Table1[],7,FALSE)</f>
        <v>First NDC updated</v>
      </c>
      <c r="F131" s="233" t="str">
        <f>VLOOKUP(Table3[[#This Row],[Document ID]],Table1[],8,FALSE)</f>
        <v>NDC 1.1</v>
      </c>
      <c r="G131" s="233" t="str">
        <f>VLOOKUP(Table3[[#This Row],[Document ID]],Table1[],10,FALSE)</f>
        <v>Active</v>
      </c>
      <c r="H131" s="42" t="s">
        <v>1095</v>
      </c>
      <c r="I131" s="42" t="s">
        <v>1096</v>
      </c>
      <c r="J131" s="42" t="s">
        <v>1097</v>
      </c>
      <c r="K131" s="28" t="s">
        <v>1137</v>
      </c>
      <c r="L131" s="216" t="s">
        <v>1092</v>
      </c>
      <c r="M131" s="209">
        <v>2020</v>
      </c>
      <c r="N131" s="220" t="s">
        <v>1247</v>
      </c>
      <c r="O131" s="257">
        <v>19</v>
      </c>
      <c r="P131" s="238" t="str">
        <f>VLOOKUP(_xlfn.CONCAT(Table3[[#This Row],[Target area]],Table3[[#This Row],[GHG target?]],Table3[[#This Row],[Conditionality]]),'Drop down'!$E$81:$F$101,2,FALSE)</f>
        <v>T_Transport_O_C</v>
      </c>
      <c r="Q131" s="239" t="str">
        <f>VLOOKUP(Table3[[#This Row],[Target type]],Table418[[Value name]:[Value idenifyer]],2,FALSE)</f>
        <v>T_O_EFF</v>
      </c>
      <c r="S131" s="233" t="s">
        <v>1101</v>
      </c>
      <c r="T131" s="240" t="s">
        <v>1113</v>
      </c>
      <c r="U131" s="240"/>
      <c r="V131" s="233" t="str">
        <f>VLOOKUP(Table3[[#This Row],[Country Code]],Table29[],3,FALSE)</f>
        <v>Non-Annex I</v>
      </c>
      <c r="W131" s="233" t="str">
        <f>VLOOKUP(Table3[[#This Row],[Country Code]],Table29[],4,FALSE)</f>
        <v>Latin America and the Caribbean</v>
      </c>
      <c r="X131" s="233" t="str">
        <f>VLOOKUP(Table3[[#This Row],[Country Code]],Table29[],5,FALSE)</f>
        <v>High-income</v>
      </c>
      <c r="Y131" s="233" t="str">
        <f>VLOOKUP(Table3[[#This Row],[Country Code]],Table29[],6,FALSE)</f>
        <v>no</v>
      </c>
      <c r="Z131" s="233" t="str">
        <f>VLOOKUP(Table3[[#This Row],[Country Code]],Table29[],7,FALSE)</f>
        <v>no</v>
      </c>
      <c r="AA131" s="233" t="str">
        <f>VLOOKUP(Table3[[#This Row],[Country Code]],Table29[],8,FALSE)</f>
        <v>non-OECD</v>
      </c>
      <c r="AB131" s="233" t="str">
        <f>VLOOKUP(Table3[[#This Row],[Country Code]],Table29[],9,FALSE)</f>
        <v>no</v>
      </c>
      <c r="AC131" s="233" t="str">
        <f>VLOOKUP(Table3[[#This Row],[Country Code]],Table29[],10,FALSE)</f>
        <v>no</v>
      </c>
      <c r="AD131" s="235">
        <f>VLOOKUP(Table3[[#This Row],[Country Code]],Table29[],23,FALSE)</f>
        <v>0.38855617147726002</v>
      </c>
      <c r="AE131" s="235">
        <f>VLOOKUP(Table3[[#This Row],[Country Code]],Table29[],24,FALSE)</f>
        <v>0.1151781182188378</v>
      </c>
      <c r="AF131" s="43"/>
    </row>
    <row r="132" spans="1:32" ht="30" x14ac:dyDescent="0.25">
      <c r="A132" s="360">
        <v>26773</v>
      </c>
      <c r="B132" s="233" t="str">
        <f>VLOOKUP(Table3[[#This Row],[Document ID]],Table1[],2,FALSE)</f>
        <v>KHM</v>
      </c>
      <c r="C132" s="233" t="str">
        <f>VLOOKUP(Table3[[#This Row],[Document ID]],Table1[],3,FALSE)</f>
        <v>Cambodia</v>
      </c>
      <c r="D132" s="233" t="str">
        <f>VLOOKUP(Table3[[#This Row],[Document ID]],Table1[],5,FALSE)</f>
        <v>LTS</v>
      </c>
      <c r="E132" s="233" t="str">
        <f>VLOOKUP(Table3[[#This Row],[Document ID]],Table1[],7,FALSE)</f>
        <v>LTS</v>
      </c>
      <c r="F132" s="233" t="str">
        <f>VLOOKUP(Table3[[#This Row],[Document ID]],Table1[],8,FALSE)</f>
        <v>LTS 1.0</v>
      </c>
      <c r="G132" s="233" t="str">
        <f>VLOOKUP(Table3[[#This Row],[Document ID]],Table1[],10,FALSE)</f>
        <v>Active</v>
      </c>
      <c r="H132" s="216" t="s">
        <v>1089</v>
      </c>
      <c r="I132" s="216" t="s">
        <v>1089</v>
      </c>
      <c r="J132" s="43" t="s">
        <v>1090</v>
      </c>
      <c r="K132" s="28" t="s">
        <v>1121</v>
      </c>
      <c r="L132" s="216" t="s">
        <v>1092</v>
      </c>
      <c r="M132" s="209">
        <v>2050</v>
      </c>
      <c r="N132" s="209" t="s">
        <v>1248</v>
      </c>
      <c r="O132" s="257">
        <v>1</v>
      </c>
      <c r="P132" s="238" t="str">
        <f>VLOOKUP(_xlfn.CONCAT(Table3[[#This Row],[Target area]],Table3[[#This Row],[GHG target?]],Table3[[#This Row],[Conditionality]]),'Drop down'!$E$81:$F$101,2,FALSE)</f>
        <v>T_Economy_C</v>
      </c>
      <c r="Q132" s="239" t="str">
        <f>VLOOKUP(Table3[[#This Row],[Target type]],Table418[[Value name]:[Value idenifyer]],2,FALSE)</f>
        <v>T_FL</v>
      </c>
      <c r="S132" s="233" t="s">
        <v>1101</v>
      </c>
      <c r="T132" s="234" t="s">
        <v>1113</v>
      </c>
      <c r="V132" s="233" t="str">
        <f>VLOOKUP(Table3[[#This Row],[Country Code]],Table29[],3,FALSE)</f>
        <v>Non-Annex I</v>
      </c>
      <c r="W132" s="233" t="str">
        <f>VLOOKUP(Table3[[#This Row],[Country Code]],Table29[],4,FALSE)</f>
        <v>Asia</v>
      </c>
      <c r="X132" s="233" t="str">
        <f>VLOOKUP(Table3[[#This Row],[Country Code]],Table29[],5,FALSE)</f>
        <v>Middle-income</v>
      </c>
      <c r="Y132" s="233" t="str">
        <f>VLOOKUP(Table3[[#This Row],[Country Code]],Table29[],6,FALSE)</f>
        <v>no</v>
      </c>
      <c r="Z132" s="233" t="str">
        <f>VLOOKUP(Table3[[#This Row],[Country Code]],Table29[],7,FALSE)</f>
        <v>no</v>
      </c>
      <c r="AA132" s="233" t="str">
        <f>VLOOKUP(Table3[[#This Row],[Country Code]],Table29[],8,FALSE)</f>
        <v>non-OECD</v>
      </c>
      <c r="AB132" s="233" t="str">
        <f>VLOOKUP(Table3[[#This Row],[Country Code]],Table29[],9,FALSE)</f>
        <v>no</v>
      </c>
      <c r="AC132" s="233" t="str">
        <f>VLOOKUP(Table3[[#This Row],[Country Code]],Table29[],10,FALSE)</f>
        <v>no</v>
      </c>
      <c r="AD132" s="235">
        <f>VLOOKUP(Table3[[#This Row],[Country Code]],Table29[],23,FALSE)</f>
        <v>48.774832204749998</v>
      </c>
      <c r="AE132" s="235">
        <f>VLOOKUP(Table3[[#This Row],[Country Code]],Table29[],24,FALSE)</f>
        <v>7.547213161316451</v>
      </c>
      <c r="AF132" s="43"/>
    </row>
    <row r="133" spans="1:32" ht="30" x14ac:dyDescent="0.25">
      <c r="A133" s="360">
        <v>24678</v>
      </c>
      <c r="B133" s="233" t="str">
        <f>VLOOKUP(Table3[[#This Row],[Document ID]],Table1[],2,FALSE)</f>
        <v>AUT</v>
      </c>
      <c r="C133" s="233" t="str">
        <f>VLOOKUP(Table3[[#This Row],[Document ID]],Table1[],3,FALSE)</f>
        <v>Austria</v>
      </c>
      <c r="D133" s="233" t="str">
        <f>VLOOKUP(Table3[[#This Row],[Document ID]],Table1[],5,FALSE)</f>
        <v>LTS</v>
      </c>
      <c r="E133" s="233" t="str">
        <f>VLOOKUP(Table3[[#This Row],[Document ID]],Table1[],7,FALSE)</f>
        <v>LTS</v>
      </c>
      <c r="F133" s="233" t="str">
        <f>VLOOKUP(Table3[[#This Row],[Document ID]],Table1[],8,FALSE)</f>
        <v>LTS 1.0</v>
      </c>
      <c r="G133" s="233" t="str">
        <f>VLOOKUP(Table3[[#This Row],[Document ID]],Table1[],10,FALSE)</f>
        <v>Active</v>
      </c>
      <c r="H133" s="42" t="s">
        <v>1095</v>
      </c>
      <c r="I133" s="43" t="s">
        <v>1115</v>
      </c>
      <c r="J133" s="43" t="s">
        <v>1090</v>
      </c>
      <c r="K133" s="28" t="s">
        <v>1153</v>
      </c>
      <c r="L133" s="42" t="s">
        <v>1099</v>
      </c>
      <c r="M133" s="209">
        <v>2050</v>
      </c>
      <c r="N133" s="209" t="s">
        <v>1249</v>
      </c>
      <c r="O133" s="257">
        <v>17</v>
      </c>
      <c r="P133" s="238" t="str">
        <f>VLOOKUP(_xlfn.CONCAT(Table3[[#This Row],[Target area]],Table3[[#This Row],[GHG target?]],Table3[[#This Row],[Conditionality]]),'Drop down'!$E$81:$F$101,2,FALSE)</f>
        <v>T_Transport_Unc</v>
      </c>
      <c r="Q133" s="239" t="str">
        <f>VLOOKUP(Table3[[#This Row],[Target type]],Table418[[Value name]:[Value idenifyer]],2,FALSE)</f>
        <v>T_BYE</v>
      </c>
      <c r="R133" s="233" t="s">
        <v>526</v>
      </c>
      <c r="S133" s="233" t="s">
        <v>1112</v>
      </c>
      <c r="T133" s="234" t="s">
        <v>1113</v>
      </c>
      <c r="U133" s="240"/>
      <c r="V133" s="233" t="str">
        <f>VLOOKUP(Table3[[#This Row],[Country Code]],Table29[],3,FALSE)</f>
        <v>Annex I</v>
      </c>
      <c r="W133" s="233" t="str">
        <f>VLOOKUP(Table3[[#This Row],[Country Code]],Table29[],4,FALSE)</f>
        <v>Europe</v>
      </c>
      <c r="X133" s="233" t="str">
        <f>VLOOKUP(Table3[[#This Row],[Country Code]],Table29[],5,FALSE)</f>
        <v>High-income</v>
      </c>
      <c r="Y133" s="233" t="str">
        <f>VLOOKUP(Table3[[#This Row],[Country Code]],Table29[],6,FALSE)</f>
        <v>no</v>
      </c>
      <c r="Z133" s="233" t="str">
        <f>VLOOKUP(Table3[[#This Row],[Country Code]],Table29[],7,FALSE)</f>
        <v>no</v>
      </c>
      <c r="AA133" s="233" t="str">
        <f>VLOOKUP(Table3[[#This Row],[Country Code]],Table29[],8,FALSE)</f>
        <v>OECD</v>
      </c>
      <c r="AB133" s="233" t="str">
        <f>VLOOKUP(Table3[[#This Row],[Country Code]],Table29[],9,FALSE)</f>
        <v>EU27</v>
      </c>
      <c r="AC133" s="233" t="str">
        <f>VLOOKUP(Table3[[#This Row],[Country Code]],Table29[],10,FALSE)</f>
        <v>no</v>
      </c>
      <c r="AD133" s="235">
        <f>VLOOKUP(Table3[[#This Row],[Country Code]],Table29[],23,FALSE)</f>
        <v>72.921492529811999</v>
      </c>
      <c r="AE133" s="235">
        <f>VLOOKUP(Table3[[#This Row],[Country Code]],Table29[],24,FALSE)</f>
        <v>21.372731064834241</v>
      </c>
      <c r="AF133" s="43"/>
    </row>
    <row r="134" spans="1:32" ht="45" x14ac:dyDescent="0.25">
      <c r="A134" s="368">
        <v>41745</v>
      </c>
      <c r="B134" s="233" t="str">
        <f>VLOOKUP(Table3[[#This Row],[Document ID]],Table1[],2,FALSE)</f>
        <v>AUS</v>
      </c>
      <c r="C134" s="233" t="str">
        <f>VLOOKUP(Table3[[#This Row],[Document ID]],Table1[],3,FALSE)</f>
        <v>Australia</v>
      </c>
      <c r="D134" s="233" t="str">
        <f>VLOOKUP(Table3[[#This Row],[Document ID]],Table1[],5,FALSE)</f>
        <v>LTS</v>
      </c>
      <c r="E134" s="233" t="str">
        <f>VLOOKUP(Table3[[#This Row],[Document ID]],Table1[],7,FALSE)</f>
        <v>LTS</v>
      </c>
      <c r="F134" s="241" t="str">
        <f>VLOOKUP(Table3[[#This Row],[Document ID]],Table1[],8,FALSE)</f>
        <v>LTS 1.1</v>
      </c>
      <c r="G134" s="233" t="str">
        <f>VLOOKUP(Table3[[#This Row],[Document ID]],Table1[],10,FALSE)</f>
        <v>Active</v>
      </c>
      <c r="H134" s="42" t="s">
        <v>1095</v>
      </c>
      <c r="I134" s="42" t="s">
        <v>1115</v>
      </c>
      <c r="J134" s="43" t="s">
        <v>1090</v>
      </c>
      <c r="K134" s="28" t="s">
        <v>1153</v>
      </c>
      <c r="L134" s="42" t="s">
        <v>1099</v>
      </c>
      <c r="M134" s="209">
        <v>2050</v>
      </c>
      <c r="N134" s="209" t="s">
        <v>1250</v>
      </c>
      <c r="O134" s="258">
        <v>35</v>
      </c>
      <c r="P134" s="238" t="str">
        <f>VLOOKUP(_xlfn.CONCAT(Table3[[#This Row],[Target area]],Table3[[#This Row],[GHG target?]],Table3[[#This Row],[Conditionality]]),'Drop down'!$E$81:$F$101,2,FALSE)</f>
        <v>T_Transport_Unc</v>
      </c>
      <c r="Q134" s="239" t="str">
        <f>VLOOKUP(Table3[[#This Row],[Target type]],Table418[[Value name]:[Value idenifyer]],2,FALSE)</f>
        <v>T_BYE</v>
      </c>
      <c r="T134" s="240"/>
      <c r="V134" s="233" t="str">
        <f>VLOOKUP(Table3[[#This Row],[Country Code]],Table29[],3,FALSE)</f>
        <v>Annex I</v>
      </c>
      <c r="W134" s="233" t="str">
        <f>VLOOKUP(Table3[[#This Row],[Country Code]],Table29[],4,FALSE)</f>
        <v>Oceania</v>
      </c>
      <c r="X134" s="233" t="str">
        <f>VLOOKUP(Table3[[#This Row],[Country Code]],Table29[],5,FALSE)</f>
        <v>High-income</v>
      </c>
      <c r="Y134" s="233" t="str">
        <f>VLOOKUP(Table3[[#This Row],[Country Code]],Table29[],6,FALSE)</f>
        <v>G20</v>
      </c>
      <c r="Z134" s="233" t="str">
        <f>VLOOKUP(Table3[[#This Row],[Country Code]],Table29[],7,FALSE)</f>
        <v>no</v>
      </c>
      <c r="AA134" s="233" t="str">
        <f>VLOOKUP(Table3[[#This Row],[Country Code]],Table29[],8,FALSE)</f>
        <v>OECD</v>
      </c>
      <c r="AB134" s="233" t="str">
        <f>VLOOKUP(Table3[[#This Row],[Country Code]],Table29[],9,FALSE)</f>
        <v>no</v>
      </c>
      <c r="AC134" s="233" t="str">
        <f>VLOOKUP(Table3[[#This Row],[Country Code]],Table29[],10,FALSE)</f>
        <v>no</v>
      </c>
      <c r="AD134" s="235">
        <f>VLOOKUP(Table3[[#This Row],[Country Code]],Table29[],23,FALSE)</f>
        <v>571.83984854670996</v>
      </c>
      <c r="AE134" s="235">
        <f>VLOOKUP(Table3[[#This Row],[Country Code]],Table29[],24,FALSE)</f>
        <v>97.492958559878787</v>
      </c>
      <c r="AF134" s="42"/>
    </row>
    <row r="135" spans="1:32" ht="45" x14ac:dyDescent="0.25">
      <c r="A135" s="360">
        <v>17528</v>
      </c>
      <c r="B135" s="233" t="str">
        <f>VLOOKUP(Table3[[#This Row],[Document ID]],Table1[],2,FALSE)</f>
        <v>BEL</v>
      </c>
      <c r="C135" s="233" t="str">
        <f>VLOOKUP(Table3[[#This Row],[Document ID]],Table1[],3,FALSE)</f>
        <v>Belgium</v>
      </c>
      <c r="D135" s="233" t="str">
        <f>VLOOKUP(Table3[[#This Row],[Document ID]],Table1[],5,FALSE)</f>
        <v>LTS</v>
      </c>
      <c r="E135" s="233" t="str">
        <f>VLOOKUP(Table3[[#This Row],[Document ID]],Table1[],7,FALSE)</f>
        <v>EU-LTS</v>
      </c>
      <c r="F135" s="233" t="str">
        <f>VLOOKUP(Table3[[#This Row],[Document ID]],Table1[],8,FALSE)</f>
        <v>LTS 1.0</v>
      </c>
      <c r="G135" s="233" t="str">
        <f>VLOOKUP(Table3[[#This Row],[Document ID]],Table1[],10,FALSE)</f>
        <v>Active</v>
      </c>
      <c r="H135" s="42" t="s">
        <v>1095</v>
      </c>
      <c r="I135" s="43" t="s">
        <v>1115</v>
      </c>
      <c r="J135" s="43" t="s">
        <v>1090</v>
      </c>
      <c r="K135" s="28" t="s">
        <v>1121</v>
      </c>
      <c r="L135" s="42" t="s">
        <v>1099</v>
      </c>
      <c r="M135" s="209">
        <v>2050</v>
      </c>
      <c r="N135" s="44" t="s">
        <v>1251</v>
      </c>
      <c r="O135" s="221" t="s">
        <v>1252</v>
      </c>
      <c r="P135" s="238" t="str">
        <f>VLOOKUP(_xlfn.CONCAT(Table3[[#This Row],[Target area]],Table3[[#This Row],[GHG target?]],Table3[[#This Row],[Conditionality]]),'Drop down'!$E$81:$F$101,2,FALSE)</f>
        <v>T_Transport_Unc</v>
      </c>
      <c r="Q135" s="239" t="str">
        <f>VLOOKUP(Table3[[#This Row],[Target type]],Table418[[Value name]:[Value idenifyer]],2,FALSE)</f>
        <v>T_FL</v>
      </c>
      <c r="R135" s="233" t="s">
        <v>526</v>
      </c>
      <c r="S135" s="233" t="s">
        <v>1112</v>
      </c>
      <c r="T135" s="234" t="s">
        <v>1113</v>
      </c>
      <c r="V135" s="233" t="str">
        <f>VLOOKUP(Table3[[#This Row],[Country Code]],Table29[],3,FALSE)</f>
        <v>Annex I</v>
      </c>
      <c r="W135" s="233" t="str">
        <f>VLOOKUP(Table3[[#This Row],[Country Code]],Table29[],4,FALSE)</f>
        <v>Europe</v>
      </c>
      <c r="X135" s="233" t="str">
        <f>VLOOKUP(Table3[[#This Row],[Country Code]],Table29[],5,FALSE)</f>
        <v>High-income</v>
      </c>
      <c r="Y135" s="233" t="str">
        <f>VLOOKUP(Table3[[#This Row],[Country Code]],Table29[],6,FALSE)</f>
        <v>no</v>
      </c>
      <c r="Z135" s="233" t="str">
        <f>VLOOKUP(Table3[[#This Row],[Country Code]],Table29[],7,FALSE)</f>
        <v>no</v>
      </c>
      <c r="AA135" s="233" t="str">
        <f>VLOOKUP(Table3[[#This Row],[Country Code]],Table29[],8,FALSE)</f>
        <v>OECD</v>
      </c>
      <c r="AB135" s="233" t="str">
        <f>VLOOKUP(Table3[[#This Row],[Country Code]],Table29[],9,FALSE)</f>
        <v>EU27</v>
      </c>
      <c r="AC135" s="233" t="str">
        <f>VLOOKUP(Table3[[#This Row],[Country Code]],Table29[],10,FALSE)</f>
        <v>no</v>
      </c>
      <c r="AD135" s="235">
        <f>VLOOKUP(Table3[[#This Row],[Country Code]],Table29[],23,FALSE)</f>
        <v>106.37018790875</v>
      </c>
      <c r="AE135" s="235">
        <f>VLOOKUP(Table3[[#This Row],[Country Code]],Table29[],24,FALSE)</f>
        <v>22.197662702188101</v>
      </c>
      <c r="AF135" s="43"/>
    </row>
    <row r="136" spans="1:32" ht="75" x14ac:dyDescent="0.25">
      <c r="A136" s="360">
        <v>17543</v>
      </c>
      <c r="B136" s="233" t="str">
        <f>VLOOKUP(Table3[[#This Row],[Document ID]],Table1[],2,FALSE)</f>
        <v>BFA</v>
      </c>
      <c r="C136" s="233" t="str">
        <f>VLOOKUP(Table3[[#This Row],[Document ID]],Table1[],3,FALSE)</f>
        <v>Burkina Faso</v>
      </c>
      <c r="D136" s="233" t="str">
        <f>VLOOKUP(Table3[[#This Row],[Document ID]],Table1[],5,FALSE)</f>
        <v>NDC</v>
      </c>
      <c r="E136" s="233" t="str">
        <f>VLOOKUP(Table3[[#This Row],[Document ID]],Table1[],7,FALSE)</f>
        <v>First NDC</v>
      </c>
      <c r="F136" s="233" t="str">
        <f>VLOOKUP(Table3[[#This Row],[Document ID]],Table1[],8,FALSE)</f>
        <v>NDC 1.0</v>
      </c>
      <c r="G136" s="233" t="str">
        <f>VLOOKUP(Table3[[#This Row],[Document ID]],Table1[],10,FALSE)</f>
        <v>Archived</v>
      </c>
      <c r="H136" s="42" t="s">
        <v>1095</v>
      </c>
      <c r="I136" s="42" t="s">
        <v>1096</v>
      </c>
      <c r="J136" s="42" t="s">
        <v>1097</v>
      </c>
      <c r="K136" s="28" t="s">
        <v>1102</v>
      </c>
      <c r="L136" s="43" t="s">
        <v>1092</v>
      </c>
      <c r="M136" s="209">
        <v>2030</v>
      </c>
      <c r="N136" s="44" t="s">
        <v>1253</v>
      </c>
      <c r="O136" s="221">
        <v>39</v>
      </c>
      <c r="P136" s="238" t="str">
        <f>VLOOKUP(_xlfn.CONCAT(Table3[[#This Row],[Target area]],Table3[[#This Row],[GHG target?]],Table3[[#This Row],[Conditionality]]),'Drop down'!$E$81:$F$101,2,FALSE)</f>
        <v>T_Transport_O_C</v>
      </c>
      <c r="Q136" s="239" t="str">
        <f>VLOOKUP(Table3[[#This Row],[Target type]],Table418[[Value name]:[Value idenifyer]],2,FALSE)</f>
        <v>T_O_BIO</v>
      </c>
      <c r="S136" s="233" t="s">
        <v>1112</v>
      </c>
      <c r="V136" s="233" t="str">
        <f>VLOOKUP(Table3[[#This Row],[Country Code]],Table29[],3,FALSE)</f>
        <v>Non-Annex I</v>
      </c>
      <c r="W136" s="233" t="str">
        <f>VLOOKUP(Table3[[#This Row],[Country Code]],Table29[],4,FALSE)</f>
        <v>Africa</v>
      </c>
      <c r="X136" s="233" t="str">
        <f>VLOOKUP(Table3[[#This Row],[Country Code]],Table29[],5,FALSE)</f>
        <v>Low-income</v>
      </c>
      <c r="Y136" s="233" t="str">
        <f>VLOOKUP(Table3[[#This Row],[Country Code]],Table29[],6,FALSE)</f>
        <v>no</v>
      </c>
      <c r="Z136" s="233" t="str">
        <f>VLOOKUP(Table3[[#This Row],[Country Code]],Table29[],7,FALSE)</f>
        <v>no</v>
      </c>
      <c r="AA136" s="233" t="str">
        <f>VLOOKUP(Table3[[#This Row],[Country Code]],Table29[],8,FALSE)</f>
        <v>non-OECD</v>
      </c>
      <c r="AB136" s="233" t="str">
        <f>VLOOKUP(Table3[[#This Row],[Country Code]],Table29[],9,FALSE)</f>
        <v>no</v>
      </c>
      <c r="AC136" s="233" t="str">
        <f>VLOOKUP(Table3[[#This Row],[Country Code]],Table29[],10,FALSE)</f>
        <v>no</v>
      </c>
      <c r="AD136" s="235">
        <f>VLOOKUP(Table3[[#This Row],[Country Code]],Table29[],23,FALSE)</f>
        <v>34.456815083210998</v>
      </c>
      <c r="AE136" s="235">
        <f>VLOOKUP(Table3[[#This Row],[Country Code]],Table29[],24,FALSE)</f>
        <v>2.783932508886048</v>
      </c>
      <c r="AF136" s="43"/>
    </row>
    <row r="137" spans="1:32" x14ac:dyDescent="0.25">
      <c r="A137" s="360">
        <v>17547</v>
      </c>
      <c r="B137" s="233" t="str">
        <f>VLOOKUP(Table3[[#This Row],[Document ID]],Table1[],2,FALSE)</f>
        <v>KHM</v>
      </c>
      <c r="C137" s="233" t="str">
        <f>VLOOKUP(Table3[[#This Row],[Document ID]],Table1[],3,FALSE)</f>
        <v>Cambodia</v>
      </c>
      <c r="D137" s="233" t="str">
        <f>VLOOKUP(Table3[[#This Row],[Document ID]],Table1[],5,FALSE)</f>
        <v>NDC</v>
      </c>
      <c r="E137" s="233" t="str">
        <f>VLOOKUP(Table3[[#This Row],[Document ID]],Table1[],7,FALSE)</f>
        <v>First NDC</v>
      </c>
      <c r="F137" s="233" t="str">
        <f>VLOOKUP(Table3[[#This Row],[Document ID]],Table1[],8,FALSE)</f>
        <v>NDC 1.0</v>
      </c>
      <c r="G137" s="233" t="str">
        <f>VLOOKUP(Table3[[#This Row],[Document ID]],Table1[],10,FALSE)</f>
        <v>Archived</v>
      </c>
      <c r="H137" s="216" t="s">
        <v>1089</v>
      </c>
      <c r="I137" s="216" t="s">
        <v>1089</v>
      </c>
      <c r="J137" s="43" t="s">
        <v>1090</v>
      </c>
      <c r="K137" s="28" t="s">
        <v>1091</v>
      </c>
      <c r="L137" s="216" t="s">
        <v>1092</v>
      </c>
      <c r="M137" s="209">
        <v>2030</v>
      </c>
      <c r="N137" s="176" t="s">
        <v>1254</v>
      </c>
      <c r="O137" s="258" t="s">
        <v>1094</v>
      </c>
      <c r="P137" s="238" t="str">
        <f>VLOOKUP(_xlfn.CONCAT(Table3[[#This Row],[Target area]],Table3[[#This Row],[GHG target?]],Table3[[#This Row],[Conditionality]]),'Drop down'!$E$81:$F$101,2,FALSE)</f>
        <v>T_Economy_C</v>
      </c>
      <c r="Q137" s="239" t="str">
        <f>VLOOKUP(Table3[[#This Row],[Target type]],Table418[[Value name]:[Value idenifyer]],2,FALSE)</f>
        <v>T_BAU</v>
      </c>
      <c r="T137" s="234" t="s">
        <v>1113</v>
      </c>
      <c r="V137" s="233" t="str">
        <f>VLOOKUP(Table3[[#This Row],[Country Code]],Table29[],3,FALSE)</f>
        <v>Non-Annex I</v>
      </c>
      <c r="W137" s="233" t="str">
        <f>VLOOKUP(Table3[[#This Row],[Country Code]],Table29[],4,FALSE)</f>
        <v>Asia</v>
      </c>
      <c r="X137" s="233" t="str">
        <f>VLOOKUP(Table3[[#This Row],[Country Code]],Table29[],5,FALSE)</f>
        <v>Middle-income</v>
      </c>
      <c r="Y137" s="233" t="str">
        <f>VLOOKUP(Table3[[#This Row],[Country Code]],Table29[],6,FALSE)</f>
        <v>no</v>
      </c>
      <c r="Z137" s="233" t="str">
        <f>VLOOKUP(Table3[[#This Row],[Country Code]],Table29[],7,FALSE)</f>
        <v>no</v>
      </c>
      <c r="AA137" s="233" t="str">
        <f>VLOOKUP(Table3[[#This Row],[Country Code]],Table29[],8,FALSE)</f>
        <v>non-OECD</v>
      </c>
      <c r="AB137" s="233" t="str">
        <f>VLOOKUP(Table3[[#This Row],[Country Code]],Table29[],9,FALSE)</f>
        <v>no</v>
      </c>
      <c r="AC137" s="233" t="str">
        <f>VLOOKUP(Table3[[#This Row],[Country Code]],Table29[],10,FALSE)</f>
        <v>no</v>
      </c>
      <c r="AD137" s="235">
        <f>VLOOKUP(Table3[[#This Row],[Country Code]],Table29[],23,FALSE)</f>
        <v>48.774832204749998</v>
      </c>
      <c r="AE137" s="235">
        <f>VLOOKUP(Table3[[#This Row],[Country Code]],Table29[],24,FALSE)</f>
        <v>7.547213161316451</v>
      </c>
      <c r="AF137" s="43"/>
    </row>
    <row r="138" spans="1:32" x14ac:dyDescent="0.25">
      <c r="A138" s="360">
        <v>23371</v>
      </c>
      <c r="B138" s="233" t="str">
        <f>VLOOKUP(Table3[[#This Row],[Document ID]],Table1[],2,FALSE)</f>
        <v>CMR</v>
      </c>
      <c r="C138" s="233" t="str">
        <f>VLOOKUP(Table3[[#This Row],[Document ID]],Table1[],3,FALSE)</f>
        <v>Cameroon</v>
      </c>
      <c r="D138" s="233" t="str">
        <f>VLOOKUP(Table3[[#This Row],[Document ID]],Table1[],5,FALSE)</f>
        <v>NDC</v>
      </c>
      <c r="E138" s="233" t="str">
        <f>VLOOKUP(Table3[[#This Row],[Document ID]],Table1[],7,FALSE)</f>
        <v>First NDC updated</v>
      </c>
      <c r="F138" s="233" t="str">
        <f>VLOOKUP(Table3[[#This Row],[Document ID]],Table1[],8,FALSE)</f>
        <v>NDC 1.1</v>
      </c>
      <c r="G138" s="233" t="str">
        <f>VLOOKUP(Table3[[#This Row],[Document ID]],Table1[],10,FALSE)</f>
        <v>Active</v>
      </c>
      <c r="H138" s="216" t="s">
        <v>1089</v>
      </c>
      <c r="I138" s="216" t="s">
        <v>1089</v>
      </c>
      <c r="J138" s="43" t="s">
        <v>1090</v>
      </c>
      <c r="K138" s="28" t="s">
        <v>1091</v>
      </c>
      <c r="L138" s="42" t="s">
        <v>1099</v>
      </c>
      <c r="M138" s="209">
        <v>2030</v>
      </c>
      <c r="N138" s="209" t="s">
        <v>1255</v>
      </c>
      <c r="O138" s="257">
        <v>1</v>
      </c>
      <c r="P138" s="238" t="str">
        <f>VLOOKUP(_xlfn.CONCAT(Table3[[#This Row],[Target area]],Table3[[#This Row],[GHG target?]],Table3[[#This Row],[Conditionality]]),'Drop down'!$E$81:$F$101,2,FALSE)</f>
        <v>T_Economy_Unc</v>
      </c>
      <c r="Q138" s="239" t="str">
        <f>VLOOKUP(Table3[[#This Row],[Target type]],Table418[[Value name]:[Value idenifyer]],2,FALSE)</f>
        <v>T_BAU</v>
      </c>
      <c r="S138" s="233" t="s">
        <v>1101</v>
      </c>
      <c r="T138" s="240"/>
      <c r="U138" s="240"/>
      <c r="V138" s="233" t="str">
        <f>VLOOKUP(Table3[[#This Row],[Country Code]],Table29[],3,FALSE)</f>
        <v>Non-Annex I</v>
      </c>
      <c r="W138" s="233" t="str">
        <f>VLOOKUP(Table3[[#This Row],[Country Code]],Table29[],4,FALSE)</f>
        <v>Africa</v>
      </c>
      <c r="X138" s="233" t="str">
        <f>VLOOKUP(Table3[[#This Row],[Country Code]],Table29[],5,FALSE)</f>
        <v>Middle-income</v>
      </c>
      <c r="Y138" s="233" t="str">
        <f>VLOOKUP(Table3[[#This Row],[Country Code]],Table29[],6,FALSE)</f>
        <v>no</v>
      </c>
      <c r="Z138" s="233" t="str">
        <f>VLOOKUP(Table3[[#This Row],[Country Code]],Table29[],7,FALSE)</f>
        <v>no</v>
      </c>
      <c r="AA138" s="233" t="str">
        <f>VLOOKUP(Table3[[#This Row],[Country Code]],Table29[],8,FALSE)</f>
        <v>non-OECD</v>
      </c>
      <c r="AB138" s="233" t="str">
        <f>VLOOKUP(Table3[[#This Row],[Country Code]],Table29[],9,FALSE)</f>
        <v>no</v>
      </c>
      <c r="AC138" s="233" t="str">
        <f>VLOOKUP(Table3[[#This Row],[Country Code]],Table29[],10,FALSE)</f>
        <v>no</v>
      </c>
      <c r="AD138" s="235">
        <f>VLOOKUP(Table3[[#This Row],[Country Code]],Table29[],23,FALSE)</f>
        <v>39.377188823330997</v>
      </c>
      <c r="AE138" s="235">
        <f>VLOOKUP(Table3[[#This Row],[Country Code]],Table29[],24,FALSE)</f>
        <v>4.3438155341493783</v>
      </c>
      <c r="AF138" s="43"/>
    </row>
    <row r="139" spans="1:32" x14ac:dyDescent="0.25">
      <c r="A139" s="360">
        <v>23371</v>
      </c>
      <c r="B139" s="233" t="str">
        <f>VLOOKUP(Table3[[#This Row],[Document ID]],Table1[],2,FALSE)</f>
        <v>CMR</v>
      </c>
      <c r="C139" s="233" t="str">
        <f>VLOOKUP(Table3[[#This Row],[Document ID]],Table1[],3,FALSE)</f>
        <v>Cameroon</v>
      </c>
      <c r="D139" s="233" t="str">
        <f>VLOOKUP(Table3[[#This Row],[Document ID]],Table1[],5,FALSE)</f>
        <v>NDC</v>
      </c>
      <c r="E139" s="233" t="str">
        <f>VLOOKUP(Table3[[#This Row],[Document ID]],Table1[],7,FALSE)</f>
        <v>First NDC updated</v>
      </c>
      <c r="F139" s="233" t="str">
        <f>VLOOKUP(Table3[[#This Row],[Document ID]],Table1[],8,FALSE)</f>
        <v>NDC 1.1</v>
      </c>
      <c r="G139" s="233" t="str">
        <f>VLOOKUP(Table3[[#This Row],[Document ID]],Table1[],10,FALSE)</f>
        <v>Active</v>
      </c>
      <c r="H139" s="216" t="s">
        <v>1089</v>
      </c>
      <c r="I139" s="216" t="s">
        <v>1089</v>
      </c>
      <c r="J139" s="43" t="s">
        <v>1090</v>
      </c>
      <c r="K139" s="28" t="s">
        <v>1091</v>
      </c>
      <c r="L139" s="216" t="s">
        <v>1092</v>
      </c>
      <c r="M139" s="209">
        <v>2030</v>
      </c>
      <c r="N139" s="209" t="s">
        <v>1256</v>
      </c>
      <c r="O139" s="257">
        <v>1</v>
      </c>
      <c r="P139" s="238" t="str">
        <f>VLOOKUP(_xlfn.CONCAT(Table3[[#This Row],[Target area]],Table3[[#This Row],[GHG target?]],Table3[[#This Row],[Conditionality]]),'Drop down'!$E$81:$F$101,2,FALSE)</f>
        <v>T_Economy_C</v>
      </c>
      <c r="Q139" s="239" t="str">
        <f>VLOOKUP(Table3[[#This Row],[Target type]],Table418[[Value name]:[Value idenifyer]],2,FALSE)</f>
        <v>T_BAU</v>
      </c>
      <c r="T139" s="240"/>
      <c r="U139" s="240"/>
      <c r="V139" s="233" t="str">
        <f>VLOOKUP(Table3[[#This Row],[Country Code]],Table29[],3,FALSE)</f>
        <v>Non-Annex I</v>
      </c>
      <c r="W139" s="233" t="str">
        <f>VLOOKUP(Table3[[#This Row],[Country Code]],Table29[],4,FALSE)</f>
        <v>Africa</v>
      </c>
      <c r="X139" s="233" t="str">
        <f>VLOOKUP(Table3[[#This Row],[Country Code]],Table29[],5,FALSE)</f>
        <v>Middle-income</v>
      </c>
      <c r="Y139" s="233" t="str">
        <f>VLOOKUP(Table3[[#This Row],[Country Code]],Table29[],6,FALSE)</f>
        <v>no</v>
      </c>
      <c r="Z139" s="233" t="str">
        <f>VLOOKUP(Table3[[#This Row],[Country Code]],Table29[],7,FALSE)</f>
        <v>no</v>
      </c>
      <c r="AA139" s="233" t="str">
        <f>VLOOKUP(Table3[[#This Row],[Country Code]],Table29[],8,FALSE)</f>
        <v>non-OECD</v>
      </c>
      <c r="AB139" s="233" t="str">
        <f>VLOOKUP(Table3[[#This Row],[Country Code]],Table29[],9,FALSE)</f>
        <v>no</v>
      </c>
      <c r="AC139" s="233" t="str">
        <f>VLOOKUP(Table3[[#This Row],[Country Code]],Table29[],10,FALSE)</f>
        <v>no</v>
      </c>
      <c r="AD139" s="235">
        <f>VLOOKUP(Table3[[#This Row],[Country Code]],Table29[],23,FALSE)</f>
        <v>39.377188823330997</v>
      </c>
      <c r="AE139" s="235">
        <f>VLOOKUP(Table3[[#This Row],[Country Code]],Table29[],24,FALSE)</f>
        <v>4.3438155341493783</v>
      </c>
      <c r="AF139" s="43"/>
    </row>
    <row r="140" spans="1:32" x14ac:dyDescent="0.25">
      <c r="A140" s="360">
        <v>17549</v>
      </c>
      <c r="B140" s="233" t="str">
        <f>VLOOKUP(Table3[[#This Row],[Document ID]],Table1[],2,FALSE)</f>
        <v>CMR</v>
      </c>
      <c r="C140" s="233" t="str">
        <f>VLOOKUP(Table3[[#This Row],[Document ID]],Table1[],3,FALSE)</f>
        <v>Cameroon</v>
      </c>
      <c r="D140" s="233" t="str">
        <f>VLOOKUP(Table3[[#This Row],[Document ID]],Table1[],5,FALSE)</f>
        <v>NDC</v>
      </c>
      <c r="E140" s="233" t="str">
        <f>VLOOKUP(Table3[[#This Row],[Document ID]],Table1[],7,FALSE)</f>
        <v>First NDC</v>
      </c>
      <c r="F140" s="233" t="str">
        <f>VLOOKUP(Table3[[#This Row],[Document ID]],Table1[],8,FALSE)</f>
        <v>NDC 1.0</v>
      </c>
      <c r="G140" s="233" t="str">
        <f>VLOOKUP(Table3[[#This Row],[Document ID]],Table1[],10,FALSE)</f>
        <v>Archived</v>
      </c>
      <c r="H140" s="216" t="s">
        <v>1089</v>
      </c>
      <c r="I140" s="216" t="s">
        <v>1089</v>
      </c>
      <c r="J140" s="43" t="s">
        <v>1090</v>
      </c>
      <c r="K140" s="28" t="s">
        <v>1091</v>
      </c>
      <c r="L140" s="42" t="s">
        <v>1099</v>
      </c>
      <c r="M140" s="209">
        <v>2035</v>
      </c>
      <c r="N140" s="176" t="s">
        <v>1257</v>
      </c>
      <c r="O140" s="258" t="s">
        <v>1094</v>
      </c>
      <c r="P140" s="238" t="str">
        <f>VLOOKUP(_xlfn.CONCAT(Table3[[#This Row],[Target area]],Table3[[#This Row],[GHG target?]],Table3[[#This Row],[Conditionality]]),'Drop down'!$E$81:$F$101,2,FALSE)</f>
        <v>T_Economy_Unc</v>
      </c>
      <c r="Q140" s="239" t="str">
        <f>VLOOKUP(Table3[[#This Row],[Target type]],Table418[[Value name]:[Value idenifyer]],2,FALSE)</f>
        <v>T_BAU</v>
      </c>
      <c r="T140" s="240"/>
      <c r="U140" s="240"/>
      <c r="V140" s="233" t="str">
        <f>VLOOKUP(Table3[[#This Row],[Country Code]],Table29[],3,FALSE)</f>
        <v>Non-Annex I</v>
      </c>
      <c r="W140" s="233" t="str">
        <f>VLOOKUP(Table3[[#This Row],[Country Code]],Table29[],4,FALSE)</f>
        <v>Africa</v>
      </c>
      <c r="X140" s="233" t="str">
        <f>VLOOKUP(Table3[[#This Row],[Country Code]],Table29[],5,FALSE)</f>
        <v>Middle-income</v>
      </c>
      <c r="Y140" s="233" t="str">
        <f>VLOOKUP(Table3[[#This Row],[Country Code]],Table29[],6,FALSE)</f>
        <v>no</v>
      </c>
      <c r="Z140" s="233" t="str">
        <f>VLOOKUP(Table3[[#This Row],[Country Code]],Table29[],7,FALSE)</f>
        <v>no</v>
      </c>
      <c r="AA140" s="233" t="str">
        <f>VLOOKUP(Table3[[#This Row],[Country Code]],Table29[],8,FALSE)</f>
        <v>non-OECD</v>
      </c>
      <c r="AB140" s="233" t="str">
        <f>VLOOKUP(Table3[[#This Row],[Country Code]],Table29[],9,FALSE)</f>
        <v>no</v>
      </c>
      <c r="AC140" s="233" t="str">
        <f>VLOOKUP(Table3[[#This Row],[Country Code]],Table29[],10,FALSE)</f>
        <v>no</v>
      </c>
      <c r="AD140" s="235">
        <f>VLOOKUP(Table3[[#This Row],[Country Code]],Table29[],23,FALSE)</f>
        <v>39.377188823330997</v>
      </c>
      <c r="AE140" s="235">
        <f>VLOOKUP(Table3[[#This Row],[Country Code]],Table29[],24,FALSE)</f>
        <v>4.3438155341493783</v>
      </c>
      <c r="AF140" s="43"/>
    </row>
    <row r="141" spans="1:32" ht="30" x14ac:dyDescent="0.25">
      <c r="A141" s="360">
        <v>17558</v>
      </c>
      <c r="B141" s="233" t="str">
        <f>VLOOKUP(Table3[[#This Row],[Document ID]],Table1[],2,FALSE)</f>
        <v>COL</v>
      </c>
      <c r="C141" s="233" t="str">
        <f>VLOOKUP(Table3[[#This Row],[Document ID]],Table1[],3,FALSE)</f>
        <v>Colombia</v>
      </c>
      <c r="D141" s="233" t="str">
        <f>VLOOKUP(Table3[[#This Row],[Document ID]],Table1[],5,FALSE)</f>
        <v>NDC</v>
      </c>
      <c r="E141" s="233" t="str">
        <f>VLOOKUP(Table3[[#This Row],[Document ID]],Table1[],7,FALSE)</f>
        <v>First NDC updated</v>
      </c>
      <c r="F141" s="233" t="str">
        <f>VLOOKUP(Table3[[#This Row],[Document ID]],Table1[],8,FALSE)</f>
        <v>NDC 1.1</v>
      </c>
      <c r="G141" s="233" t="str">
        <f>VLOOKUP(Table3[[#This Row],[Document ID]],Table1[],10,FALSE)</f>
        <v>Active</v>
      </c>
      <c r="H141" s="216" t="s">
        <v>1089</v>
      </c>
      <c r="I141" s="216" t="s">
        <v>1089</v>
      </c>
      <c r="J141" s="43" t="s">
        <v>1090</v>
      </c>
      <c r="K141" s="28" t="s">
        <v>1121</v>
      </c>
      <c r="L141" s="42" t="s">
        <v>1099</v>
      </c>
      <c r="M141" s="209">
        <v>2030</v>
      </c>
      <c r="N141" s="44" t="s">
        <v>1258</v>
      </c>
      <c r="O141" s="221">
        <v>32</v>
      </c>
      <c r="P141" s="238" t="str">
        <f>VLOOKUP(_xlfn.CONCAT(Table3[[#This Row],[Target area]],Table3[[#This Row],[GHG target?]],Table3[[#This Row],[Conditionality]]),'Drop down'!$E$81:$F$101,2,FALSE)</f>
        <v>T_Economy_Unc</v>
      </c>
      <c r="Q141" s="239" t="str">
        <f>VLOOKUP(Table3[[#This Row],[Target type]],Table418[[Value name]:[Value idenifyer]],2,FALSE)</f>
        <v>T_FL</v>
      </c>
      <c r="S141" s="233" t="s">
        <v>1101</v>
      </c>
      <c r="T141" s="234" t="s">
        <v>1113</v>
      </c>
      <c r="U141" s="234" t="s">
        <v>1113</v>
      </c>
      <c r="V141" s="233" t="str">
        <f>VLOOKUP(Table3[[#This Row],[Country Code]],Table29[],3,FALSE)</f>
        <v>Non-Annex I</v>
      </c>
      <c r="W141" s="233" t="str">
        <f>VLOOKUP(Table3[[#This Row],[Country Code]],Table29[],4,FALSE)</f>
        <v>Latin America and the Caribbean</v>
      </c>
      <c r="X141" s="233" t="str">
        <f>VLOOKUP(Table3[[#This Row],[Country Code]],Table29[],5,FALSE)</f>
        <v>Middle-income</v>
      </c>
      <c r="Y141" s="233" t="str">
        <f>VLOOKUP(Table3[[#This Row],[Country Code]],Table29[],6,FALSE)</f>
        <v>no</v>
      </c>
      <c r="Z141" s="233" t="str">
        <f>VLOOKUP(Table3[[#This Row],[Country Code]],Table29[],7,FALSE)</f>
        <v>no</v>
      </c>
      <c r="AA141" s="233" t="str">
        <f>VLOOKUP(Table3[[#This Row],[Country Code]],Table29[],8,FALSE)</f>
        <v>OECD</v>
      </c>
      <c r="AB141" s="233" t="str">
        <f>VLOOKUP(Table3[[#This Row],[Country Code]],Table29[],9,FALSE)</f>
        <v>no</v>
      </c>
      <c r="AC141" s="233" t="str">
        <f>VLOOKUP(Table3[[#This Row],[Country Code]],Table29[],10,FALSE)</f>
        <v>no</v>
      </c>
      <c r="AD141" s="235">
        <f>VLOOKUP(Table3[[#This Row],[Country Code]],Table29[],23,FALSE)</f>
        <v>223.96663405241</v>
      </c>
      <c r="AE141" s="235">
        <f>VLOOKUP(Table3[[#This Row],[Country Code]],Table29[],24,FALSE)</f>
        <v>37.36796885652894</v>
      </c>
      <c r="AF141" s="43"/>
    </row>
    <row r="142" spans="1:32" x14ac:dyDescent="0.25">
      <c r="A142" s="360">
        <v>26777</v>
      </c>
      <c r="B142" s="233" t="str">
        <f>VLOOKUP(Table3[[#This Row],[Document ID]],Table1[],2,FALSE)</f>
        <v>COL</v>
      </c>
      <c r="C142" s="233" t="str">
        <f>VLOOKUP(Table3[[#This Row],[Document ID]],Table1[],3,FALSE)</f>
        <v>Colombia</v>
      </c>
      <c r="D142" s="233" t="str">
        <f>VLOOKUP(Table3[[#This Row],[Document ID]],Table1[],5,FALSE)</f>
        <v>LTS</v>
      </c>
      <c r="E142" s="233" t="str">
        <f>VLOOKUP(Table3[[#This Row],[Document ID]],Table1[],7,FALSE)</f>
        <v>LTS</v>
      </c>
      <c r="F142" s="233" t="str">
        <f>VLOOKUP(Table3[[#This Row],[Document ID]],Table1[],8,FALSE)</f>
        <v>LTS 1.0</v>
      </c>
      <c r="G142" s="233" t="str">
        <f>VLOOKUP(Table3[[#This Row],[Document ID]],Table1[],10,FALSE)</f>
        <v>Active</v>
      </c>
      <c r="H142" s="216" t="s">
        <v>1089</v>
      </c>
      <c r="I142" s="216" t="s">
        <v>1089</v>
      </c>
      <c r="J142" s="43" t="s">
        <v>1090</v>
      </c>
      <c r="K142" s="28" t="s">
        <v>1121</v>
      </c>
      <c r="L142" s="42" t="s">
        <v>1099</v>
      </c>
      <c r="M142" s="209">
        <v>2050</v>
      </c>
      <c r="N142" s="43" t="s">
        <v>1259</v>
      </c>
      <c r="O142" s="258">
        <v>23</v>
      </c>
      <c r="P142" s="238" t="str">
        <f>VLOOKUP(_xlfn.CONCAT(Table3[[#This Row],[Target area]],Table3[[#This Row],[GHG target?]],Table3[[#This Row],[Conditionality]]),'Drop down'!$E$81:$F$101,2,FALSE)</f>
        <v>T_Economy_Unc</v>
      </c>
      <c r="Q142" s="239" t="str">
        <f>VLOOKUP(Table3[[#This Row],[Target type]],Table418[[Value name]:[Value idenifyer]],2,FALSE)</f>
        <v>T_FL</v>
      </c>
      <c r="S142" s="233" t="s">
        <v>1101</v>
      </c>
      <c r="T142" s="234" t="s">
        <v>1113</v>
      </c>
      <c r="U142" s="234" t="s">
        <v>1113</v>
      </c>
      <c r="V142" s="233" t="str">
        <f>VLOOKUP(Table3[[#This Row],[Country Code]],Table29[],3,FALSE)</f>
        <v>Non-Annex I</v>
      </c>
      <c r="W142" s="233" t="str">
        <f>VLOOKUP(Table3[[#This Row],[Country Code]],Table29[],4,FALSE)</f>
        <v>Latin America and the Caribbean</v>
      </c>
      <c r="X142" s="233" t="str">
        <f>VLOOKUP(Table3[[#This Row],[Country Code]],Table29[],5,FALSE)</f>
        <v>Middle-income</v>
      </c>
      <c r="Y142" s="233" t="str">
        <f>VLOOKUP(Table3[[#This Row],[Country Code]],Table29[],6,FALSE)</f>
        <v>no</v>
      </c>
      <c r="Z142" s="233" t="str">
        <f>VLOOKUP(Table3[[#This Row],[Country Code]],Table29[],7,FALSE)</f>
        <v>no</v>
      </c>
      <c r="AA142" s="233" t="str">
        <f>VLOOKUP(Table3[[#This Row],[Country Code]],Table29[],8,FALSE)</f>
        <v>OECD</v>
      </c>
      <c r="AB142" s="233" t="str">
        <f>VLOOKUP(Table3[[#This Row],[Country Code]],Table29[],9,FALSE)</f>
        <v>no</v>
      </c>
      <c r="AC142" s="233" t="str">
        <f>VLOOKUP(Table3[[#This Row],[Country Code]],Table29[],10,FALSE)</f>
        <v>no</v>
      </c>
      <c r="AD142" s="235">
        <f>VLOOKUP(Table3[[#This Row],[Country Code]],Table29[],23,FALSE)</f>
        <v>223.96663405241</v>
      </c>
      <c r="AE142" s="235">
        <f>VLOOKUP(Table3[[#This Row],[Country Code]],Table29[],24,FALSE)</f>
        <v>37.36796885652894</v>
      </c>
      <c r="AF142" s="43"/>
    </row>
    <row r="143" spans="1:32" x14ac:dyDescent="0.25">
      <c r="A143" s="360">
        <v>17550</v>
      </c>
      <c r="B143" s="233" t="str">
        <f>VLOOKUP(Table3[[#This Row],[Document ID]],Table1[],2,FALSE)</f>
        <v>CAN</v>
      </c>
      <c r="C143" s="233" t="str">
        <f>VLOOKUP(Table3[[#This Row],[Document ID]],Table1[],3,FALSE)</f>
        <v>Canada</v>
      </c>
      <c r="D143" s="233" t="str">
        <f>VLOOKUP(Table3[[#This Row],[Document ID]],Table1[],5,FALSE)</f>
        <v>NDC</v>
      </c>
      <c r="E143" s="233" t="str">
        <f>VLOOKUP(Table3[[#This Row],[Document ID]],Table1[],7,FALSE)</f>
        <v>First NDC</v>
      </c>
      <c r="F143" s="233" t="str">
        <f>VLOOKUP(Table3[[#This Row],[Document ID]],Table1[],8,FALSE)</f>
        <v>NDC 1.0</v>
      </c>
      <c r="G143" s="233" t="str">
        <f>VLOOKUP(Table3[[#This Row],[Document ID]],Table1[],10,FALSE)</f>
        <v>Archived</v>
      </c>
      <c r="H143" s="216" t="s">
        <v>1089</v>
      </c>
      <c r="I143" s="216" t="s">
        <v>1089</v>
      </c>
      <c r="J143" s="43" t="s">
        <v>1090</v>
      </c>
      <c r="K143" s="28" t="s">
        <v>1153</v>
      </c>
      <c r="L143" s="42" t="s">
        <v>1099</v>
      </c>
      <c r="M143" s="209">
        <v>2030</v>
      </c>
      <c r="N143" s="176" t="s">
        <v>1260</v>
      </c>
      <c r="O143" s="258" t="s">
        <v>1094</v>
      </c>
      <c r="P143" s="238" t="str">
        <f>VLOOKUP(_xlfn.CONCAT(Table3[[#This Row],[Target area]],Table3[[#This Row],[GHG target?]],Table3[[#This Row],[Conditionality]]),'Drop down'!$E$81:$F$101,2,FALSE)</f>
        <v>T_Economy_Unc</v>
      </c>
      <c r="Q143" s="239" t="str">
        <f>VLOOKUP(Table3[[#This Row],[Target type]],Table418[[Value name]:[Value idenifyer]],2,FALSE)</f>
        <v>T_BYE</v>
      </c>
      <c r="T143" s="234" t="s">
        <v>1113</v>
      </c>
      <c r="V143" s="233" t="str">
        <f>VLOOKUP(Table3[[#This Row],[Country Code]],Table29[],3,FALSE)</f>
        <v>Annex I</v>
      </c>
      <c r="W143" s="233" t="str">
        <f>VLOOKUP(Table3[[#This Row],[Country Code]],Table29[],4,FALSE)</f>
        <v>Northern America</v>
      </c>
      <c r="X143" s="233" t="str">
        <f>VLOOKUP(Table3[[#This Row],[Country Code]],Table29[],5,FALSE)</f>
        <v>High-income</v>
      </c>
      <c r="Y143" s="233" t="str">
        <f>VLOOKUP(Table3[[#This Row],[Country Code]],Table29[],6,FALSE)</f>
        <v>G20</v>
      </c>
      <c r="Z143" s="233" t="str">
        <f>VLOOKUP(Table3[[#This Row],[Country Code]],Table29[],7,FALSE)</f>
        <v>G7</v>
      </c>
      <c r="AA143" s="233" t="str">
        <f>VLOOKUP(Table3[[#This Row],[Country Code]],Table29[],8,FALSE)</f>
        <v>OECD</v>
      </c>
      <c r="AB143" s="233" t="str">
        <f>VLOOKUP(Table3[[#This Row],[Country Code]],Table29[],9,FALSE)</f>
        <v>no</v>
      </c>
      <c r="AC143" s="233" t="str">
        <f>VLOOKUP(Table3[[#This Row],[Country Code]],Table29[],10,FALSE)</f>
        <v>no</v>
      </c>
      <c r="AD143" s="235">
        <f>VLOOKUP(Table3[[#This Row],[Country Code]],Table29[],23,FALSE)</f>
        <v>747.67802680902003</v>
      </c>
      <c r="AE143" s="235">
        <f>VLOOKUP(Table3[[#This Row],[Country Code]],Table29[],24,FALSE)</f>
        <v>169.021169926607</v>
      </c>
      <c r="AF143" s="43"/>
    </row>
    <row r="144" spans="1:32" x14ac:dyDescent="0.25">
      <c r="A144" s="360">
        <v>32531</v>
      </c>
      <c r="B144" s="233" t="str">
        <f>VLOOKUP(Table3[[#This Row],[Document ID]],Table1[],2,FALSE)</f>
        <v>CAN</v>
      </c>
      <c r="C144" s="233" t="str">
        <f>VLOOKUP(Table3[[#This Row],[Document ID]],Table1[],3,FALSE)</f>
        <v>Canada</v>
      </c>
      <c r="D144" s="233" t="str">
        <f>VLOOKUP(Table3[[#This Row],[Document ID]],Table1[],5,FALSE)</f>
        <v>LTS</v>
      </c>
      <c r="E144" s="233" t="str">
        <f>VLOOKUP(Table3[[#This Row],[Document ID]],Table1[],7,FALSE)</f>
        <v>LTS</v>
      </c>
      <c r="F144" s="233" t="str">
        <f>VLOOKUP(Table3[[#This Row],[Document ID]],Table1[],8,FALSE)</f>
        <v>LTS 2.0</v>
      </c>
      <c r="G144" s="233" t="str">
        <f>VLOOKUP(Table3[[#This Row],[Document ID]],Table1[],10,FALSE)</f>
        <v>Active</v>
      </c>
      <c r="H144" s="216" t="s">
        <v>1089</v>
      </c>
      <c r="I144" s="216" t="s">
        <v>1089</v>
      </c>
      <c r="J144" s="43" t="s">
        <v>1090</v>
      </c>
      <c r="K144" s="28" t="s">
        <v>1153</v>
      </c>
      <c r="L144" s="42" t="s">
        <v>1099</v>
      </c>
      <c r="M144" s="209">
        <v>2030</v>
      </c>
      <c r="N144" s="43" t="s">
        <v>1261</v>
      </c>
      <c r="O144" s="258">
        <v>2</v>
      </c>
      <c r="P144" s="238" t="str">
        <f>VLOOKUP(_xlfn.CONCAT(Table3[[#This Row],[Target area]],Table3[[#This Row],[GHG target?]],Table3[[#This Row],[Conditionality]]),'Drop down'!$E$81:$F$101,2,FALSE)</f>
        <v>T_Economy_Unc</v>
      </c>
      <c r="Q144" s="239" t="str">
        <f>VLOOKUP(Table3[[#This Row],[Target type]],Table418[[Value name]:[Value idenifyer]],2,FALSE)</f>
        <v>T_BYE</v>
      </c>
      <c r="S144" s="233" t="s">
        <v>1101</v>
      </c>
      <c r="T144" s="234" t="s">
        <v>1113</v>
      </c>
      <c r="V144" s="233" t="str">
        <f>VLOOKUP(Table3[[#This Row],[Country Code]],Table29[],3,FALSE)</f>
        <v>Annex I</v>
      </c>
      <c r="W144" s="233" t="str">
        <f>VLOOKUP(Table3[[#This Row],[Country Code]],Table29[],4,FALSE)</f>
        <v>Northern America</v>
      </c>
      <c r="X144" s="233" t="str">
        <f>VLOOKUP(Table3[[#This Row],[Country Code]],Table29[],5,FALSE)</f>
        <v>High-income</v>
      </c>
      <c r="Y144" s="233" t="str">
        <f>VLOOKUP(Table3[[#This Row],[Country Code]],Table29[],6,FALSE)</f>
        <v>G20</v>
      </c>
      <c r="Z144" s="233" t="str">
        <f>VLOOKUP(Table3[[#This Row],[Country Code]],Table29[],7,FALSE)</f>
        <v>G7</v>
      </c>
      <c r="AA144" s="233" t="str">
        <f>VLOOKUP(Table3[[#This Row],[Country Code]],Table29[],8,FALSE)</f>
        <v>OECD</v>
      </c>
      <c r="AB144" s="233" t="str">
        <f>VLOOKUP(Table3[[#This Row],[Country Code]],Table29[],9,FALSE)</f>
        <v>no</v>
      </c>
      <c r="AC144" s="233" t="str">
        <f>VLOOKUP(Table3[[#This Row],[Country Code]],Table29[],10,FALSE)</f>
        <v>no</v>
      </c>
      <c r="AD144" s="235">
        <f>VLOOKUP(Table3[[#This Row],[Country Code]],Table29[],23,FALSE)</f>
        <v>747.67802680902003</v>
      </c>
      <c r="AE144" s="235">
        <f>VLOOKUP(Table3[[#This Row],[Country Code]],Table29[],24,FALSE)</f>
        <v>169.021169926607</v>
      </c>
      <c r="AF144" s="43"/>
    </row>
    <row r="145" spans="1:32" x14ac:dyDescent="0.25">
      <c r="A145" s="360">
        <v>32531</v>
      </c>
      <c r="B145" s="233" t="str">
        <f>VLOOKUP(Table3[[#This Row],[Document ID]],Table1[],2,FALSE)</f>
        <v>CAN</v>
      </c>
      <c r="C145" s="233" t="str">
        <f>VLOOKUP(Table3[[#This Row],[Document ID]],Table1[],3,FALSE)</f>
        <v>Canada</v>
      </c>
      <c r="D145" s="233" t="str">
        <f>VLOOKUP(Table3[[#This Row],[Document ID]],Table1[],5,FALSE)</f>
        <v>LTS</v>
      </c>
      <c r="E145" s="233" t="str">
        <f>VLOOKUP(Table3[[#This Row],[Document ID]],Table1[],7,FALSE)</f>
        <v>LTS</v>
      </c>
      <c r="F145" s="233" t="str">
        <f>VLOOKUP(Table3[[#This Row],[Document ID]],Table1[],8,FALSE)</f>
        <v>LTS 2.0</v>
      </c>
      <c r="G145" s="233" t="str">
        <f>VLOOKUP(Table3[[#This Row],[Document ID]],Table1[],10,FALSE)</f>
        <v>Active</v>
      </c>
      <c r="H145" s="43" t="s">
        <v>1114</v>
      </c>
      <c r="I145" s="43" t="s">
        <v>1115</v>
      </c>
      <c r="J145" s="42" t="s">
        <v>1090</v>
      </c>
      <c r="K145" s="28" t="s">
        <v>1121</v>
      </c>
      <c r="L145" s="43" t="s">
        <v>1116</v>
      </c>
      <c r="M145" s="209">
        <v>2035</v>
      </c>
      <c r="N145" s="43" t="s">
        <v>1262</v>
      </c>
      <c r="O145" s="258">
        <v>14</v>
      </c>
      <c r="P145" s="238" t="str">
        <f>VLOOKUP(_xlfn.CONCAT(Table3[[#This Row],[Target area]],Table3[[#This Row],[GHG target?]],Table3[[#This Row],[Conditionality]]),'Drop down'!$E$81:$F$101,2,FALSE)</f>
        <v>T_Energy</v>
      </c>
      <c r="Q145" s="239" t="str">
        <f>VLOOKUP(Table3[[#This Row],[Target type]],Table418[[Value name]:[Value idenifyer]],2,FALSE)</f>
        <v>T_FL</v>
      </c>
      <c r="S145" s="233" t="s">
        <v>1101</v>
      </c>
      <c r="T145" s="234" t="s">
        <v>1113</v>
      </c>
      <c r="V145" s="233" t="str">
        <f>VLOOKUP(Table3[[#This Row],[Country Code]],Table29[],3,FALSE)</f>
        <v>Annex I</v>
      </c>
      <c r="W145" s="233" t="str">
        <f>VLOOKUP(Table3[[#This Row],[Country Code]],Table29[],4,FALSE)</f>
        <v>Northern America</v>
      </c>
      <c r="X145" s="233" t="str">
        <f>VLOOKUP(Table3[[#This Row],[Country Code]],Table29[],5,FALSE)</f>
        <v>High-income</v>
      </c>
      <c r="Y145" s="233" t="str">
        <f>VLOOKUP(Table3[[#This Row],[Country Code]],Table29[],6,FALSE)</f>
        <v>G20</v>
      </c>
      <c r="Z145" s="233" t="str">
        <f>VLOOKUP(Table3[[#This Row],[Country Code]],Table29[],7,FALSE)</f>
        <v>G7</v>
      </c>
      <c r="AA145" s="233" t="str">
        <f>VLOOKUP(Table3[[#This Row],[Country Code]],Table29[],8,FALSE)</f>
        <v>OECD</v>
      </c>
      <c r="AB145" s="233" t="str">
        <f>VLOOKUP(Table3[[#This Row],[Country Code]],Table29[],9,FALSE)</f>
        <v>no</v>
      </c>
      <c r="AC145" s="233" t="str">
        <f>VLOOKUP(Table3[[#This Row],[Country Code]],Table29[],10,FALSE)</f>
        <v>no</v>
      </c>
      <c r="AD145" s="235">
        <f>VLOOKUP(Table3[[#This Row],[Country Code]],Table29[],23,FALSE)</f>
        <v>747.67802680902003</v>
      </c>
      <c r="AE145" s="235">
        <f>VLOOKUP(Table3[[#This Row],[Country Code]],Table29[],24,FALSE)</f>
        <v>169.021169926607</v>
      </c>
      <c r="AF145" s="43"/>
    </row>
    <row r="146" spans="1:32" ht="30" x14ac:dyDescent="0.25">
      <c r="A146" s="360">
        <v>17543</v>
      </c>
      <c r="B146" s="233" t="str">
        <f>VLOOKUP(Table3[[#This Row],[Document ID]],Table1[],2,FALSE)</f>
        <v>BFA</v>
      </c>
      <c r="C146" s="233" t="str">
        <f>VLOOKUP(Table3[[#This Row],[Document ID]],Table1[],3,FALSE)</f>
        <v>Burkina Faso</v>
      </c>
      <c r="D146" s="233" t="str">
        <f>VLOOKUP(Table3[[#This Row],[Document ID]],Table1[],5,FALSE)</f>
        <v>NDC</v>
      </c>
      <c r="E146" s="233" t="str">
        <f>VLOOKUP(Table3[[#This Row],[Document ID]],Table1[],7,FALSE)</f>
        <v>First NDC</v>
      </c>
      <c r="F146" s="233" t="str">
        <f>VLOOKUP(Table3[[#This Row],[Document ID]],Table1[],8,FALSE)</f>
        <v>NDC 1.0</v>
      </c>
      <c r="G146" s="233" t="str">
        <f>VLOOKUP(Table3[[#This Row],[Document ID]],Table1[],10,FALSE)</f>
        <v>Archived</v>
      </c>
      <c r="H146" s="42" t="s">
        <v>1095</v>
      </c>
      <c r="I146" s="42" t="s">
        <v>1096</v>
      </c>
      <c r="J146" s="42" t="s">
        <v>1097</v>
      </c>
      <c r="K146" s="28" t="s">
        <v>1137</v>
      </c>
      <c r="L146" s="43" t="s">
        <v>1092</v>
      </c>
      <c r="M146" s="209">
        <v>2030</v>
      </c>
      <c r="N146" s="44" t="s">
        <v>1263</v>
      </c>
      <c r="O146" s="221">
        <v>39</v>
      </c>
      <c r="P146" s="238" t="str">
        <f>VLOOKUP(_xlfn.CONCAT(Table3[[#This Row],[Target area]],Table3[[#This Row],[GHG target?]],Table3[[#This Row],[Conditionality]]),'Drop down'!$E$81:$F$101,2,FALSE)</f>
        <v>T_Transport_O_C</v>
      </c>
      <c r="Q146" s="239" t="str">
        <f>VLOOKUP(Table3[[#This Row],[Target type]],Table418[[Value name]:[Value idenifyer]],2,FALSE)</f>
        <v>T_O_EFF</v>
      </c>
      <c r="S146" s="233" t="s">
        <v>1112</v>
      </c>
      <c r="V146" s="233" t="str">
        <f>VLOOKUP(Table3[[#This Row],[Country Code]],Table29[],3,FALSE)</f>
        <v>Non-Annex I</v>
      </c>
      <c r="W146" s="233" t="str">
        <f>VLOOKUP(Table3[[#This Row],[Country Code]],Table29[],4,FALSE)</f>
        <v>Africa</v>
      </c>
      <c r="X146" s="233" t="str">
        <f>VLOOKUP(Table3[[#This Row],[Country Code]],Table29[],5,FALSE)</f>
        <v>Low-income</v>
      </c>
      <c r="Y146" s="233" t="str">
        <f>VLOOKUP(Table3[[#This Row],[Country Code]],Table29[],6,FALSE)</f>
        <v>no</v>
      </c>
      <c r="Z146" s="233" t="str">
        <f>VLOOKUP(Table3[[#This Row],[Country Code]],Table29[],7,FALSE)</f>
        <v>no</v>
      </c>
      <c r="AA146" s="233" t="str">
        <f>VLOOKUP(Table3[[#This Row],[Country Code]],Table29[],8,FALSE)</f>
        <v>non-OECD</v>
      </c>
      <c r="AB146" s="233" t="str">
        <f>VLOOKUP(Table3[[#This Row],[Country Code]],Table29[],9,FALSE)</f>
        <v>no</v>
      </c>
      <c r="AC146" s="233" t="str">
        <f>VLOOKUP(Table3[[#This Row],[Country Code]],Table29[],10,FALSE)</f>
        <v>no</v>
      </c>
      <c r="AD146" s="235">
        <f>VLOOKUP(Table3[[#This Row],[Country Code]],Table29[],23,FALSE)</f>
        <v>34.456815083210998</v>
      </c>
      <c r="AE146" s="235">
        <f>VLOOKUP(Table3[[#This Row],[Country Code]],Table29[],24,FALSE)</f>
        <v>2.783932508886048</v>
      </c>
      <c r="AF146" s="43"/>
    </row>
    <row r="147" spans="1:32" x14ac:dyDescent="0.25">
      <c r="A147" s="360">
        <v>17543</v>
      </c>
      <c r="B147" s="233" t="str">
        <f>VLOOKUP(Table3[[#This Row],[Document ID]],Table1[],2,FALSE)</f>
        <v>BFA</v>
      </c>
      <c r="C147" s="233" t="str">
        <f>VLOOKUP(Table3[[#This Row],[Document ID]],Table1[],3,FALSE)</f>
        <v>Burkina Faso</v>
      </c>
      <c r="D147" s="233" t="str">
        <f>VLOOKUP(Table3[[#This Row],[Document ID]],Table1[],5,FALSE)</f>
        <v>NDC</v>
      </c>
      <c r="E147" s="233" t="str">
        <f>VLOOKUP(Table3[[#This Row],[Document ID]],Table1[],7,FALSE)</f>
        <v>First NDC</v>
      </c>
      <c r="F147" s="233" t="str">
        <f>VLOOKUP(Table3[[#This Row],[Document ID]],Table1[],8,FALSE)</f>
        <v>NDC 1.0</v>
      </c>
      <c r="G147" s="233" t="str">
        <f>VLOOKUP(Table3[[#This Row],[Document ID]],Table1[],10,FALSE)</f>
        <v>Archived</v>
      </c>
      <c r="H147" s="42" t="s">
        <v>1095</v>
      </c>
      <c r="I147" s="43" t="s">
        <v>1115</v>
      </c>
      <c r="J147" s="43" t="s">
        <v>1090</v>
      </c>
      <c r="K147" s="28" t="s">
        <v>1091</v>
      </c>
      <c r="L147" s="42" t="s">
        <v>1099</v>
      </c>
      <c r="M147" s="209">
        <v>2030</v>
      </c>
      <c r="N147" s="44" t="s">
        <v>1264</v>
      </c>
      <c r="O147" s="221">
        <v>9</v>
      </c>
      <c r="P147" s="238" t="str">
        <f>VLOOKUP(_xlfn.CONCAT(Table3[[#This Row],[Target area]],Table3[[#This Row],[GHG target?]],Table3[[#This Row],[Conditionality]]),'Drop down'!$E$81:$F$101,2,FALSE)</f>
        <v>T_Transport_Unc</v>
      </c>
      <c r="Q147" s="239" t="str">
        <f>VLOOKUP(Table3[[#This Row],[Target type]],Table418[[Value name]:[Value idenifyer]],2,FALSE)</f>
        <v>T_BAU</v>
      </c>
      <c r="R147" s="233" t="s">
        <v>1265</v>
      </c>
      <c r="S147" s="233" t="s">
        <v>1125</v>
      </c>
      <c r="V147" s="233" t="str">
        <f>VLOOKUP(Table3[[#This Row],[Country Code]],Table29[],3,FALSE)</f>
        <v>Non-Annex I</v>
      </c>
      <c r="W147" s="233" t="str">
        <f>VLOOKUP(Table3[[#This Row],[Country Code]],Table29[],4,FALSE)</f>
        <v>Africa</v>
      </c>
      <c r="X147" s="233" t="str">
        <f>VLOOKUP(Table3[[#This Row],[Country Code]],Table29[],5,FALSE)</f>
        <v>Low-income</v>
      </c>
      <c r="Y147" s="233" t="str">
        <f>VLOOKUP(Table3[[#This Row],[Country Code]],Table29[],6,FALSE)</f>
        <v>no</v>
      </c>
      <c r="Z147" s="233" t="str">
        <f>VLOOKUP(Table3[[#This Row],[Country Code]],Table29[],7,FALSE)</f>
        <v>no</v>
      </c>
      <c r="AA147" s="233" t="str">
        <f>VLOOKUP(Table3[[#This Row],[Country Code]],Table29[],8,FALSE)</f>
        <v>non-OECD</v>
      </c>
      <c r="AB147" s="233" t="str">
        <f>VLOOKUP(Table3[[#This Row],[Country Code]],Table29[],9,FALSE)</f>
        <v>no</v>
      </c>
      <c r="AC147" s="233" t="str">
        <f>VLOOKUP(Table3[[#This Row],[Country Code]],Table29[],10,FALSE)</f>
        <v>no</v>
      </c>
      <c r="AD147" s="235">
        <f>VLOOKUP(Table3[[#This Row],[Country Code]],Table29[],23,FALSE)</f>
        <v>34.456815083210998</v>
      </c>
      <c r="AE147" s="235">
        <f>VLOOKUP(Table3[[#This Row],[Country Code]],Table29[],24,FALSE)</f>
        <v>2.783932508886048</v>
      </c>
      <c r="AF147" s="43"/>
    </row>
    <row r="148" spans="1:32" x14ac:dyDescent="0.25">
      <c r="A148" s="360">
        <v>17543</v>
      </c>
      <c r="B148" s="233" t="str">
        <f>VLOOKUP(Table3[[#This Row],[Document ID]],Table1[],2,FALSE)</f>
        <v>BFA</v>
      </c>
      <c r="C148" s="233" t="str">
        <f>VLOOKUP(Table3[[#This Row],[Document ID]],Table1[],3,FALSE)</f>
        <v>Burkina Faso</v>
      </c>
      <c r="D148" s="233" t="str">
        <f>VLOOKUP(Table3[[#This Row],[Document ID]],Table1[],5,FALSE)</f>
        <v>NDC</v>
      </c>
      <c r="E148" s="233" t="str">
        <f>VLOOKUP(Table3[[#This Row],[Document ID]],Table1[],7,FALSE)</f>
        <v>First NDC</v>
      </c>
      <c r="F148" s="233" t="str">
        <f>VLOOKUP(Table3[[#This Row],[Document ID]],Table1[],8,FALSE)</f>
        <v>NDC 1.0</v>
      </c>
      <c r="G148" s="233" t="str">
        <f>VLOOKUP(Table3[[#This Row],[Document ID]],Table1[],10,FALSE)</f>
        <v>Archived</v>
      </c>
      <c r="H148" s="42" t="s">
        <v>1095</v>
      </c>
      <c r="I148" s="43" t="s">
        <v>1115</v>
      </c>
      <c r="J148" s="43" t="s">
        <v>1090</v>
      </c>
      <c r="K148" s="28" t="s">
        <v>1091</v>
      </c>
      <c r="L148" s="43" t="s">
        <v>1092</v>
      </c>
      <c r="M148" s="209">
        <v>2030</v>
      </c>
      <c r="N148" s="44" t="s">
        <v>1266</v>
      </c>
      <c r="O148" s="221">
        <v>9</v>
      </c>
      <c r="P148" s="238" t="str">
        <f>VLOOKUP(_xlfn.CONCAT(Table3[[#This Row],[Target area]],Table3[[#This Row],[GHG target?]],Table3[[#This Row],[Conditionality]]),'Drop down'!$E$81:$F$101,2,FALSE)</f>
        <v>T_Transport_C</v>
      </c>
      <c r="Q148" s="239" t="str">
        <f>VLOOKUP(Table3[[#This Row],[Target type]],Table418[[Value name]:[Value idenifyer]],2,FALSE)</f>
        <v>T_BAU</v>
      </c>
      <c r="R148" s="233" t="s">
        <v>539</v>
      </c>
      <c r="S148" s="233" t="s">
        <v>1112</v>
      </c>
      <c r="V148" s="233" t="str">
        <f>VLOOKUP(Table3[[#This Row],[Country Code]],Table29[],3,FALSE)</f>
        <v>Non-Annex I</v>
      </c>
      <c r="W148" s="233" t="str">
        <f>VLOOKUP(Table3[[#This Row],[Country Code]],Table29[],4,FALSE)</f>
        <v>Africa</v>
      </c>
      <c r="X148" s="233" t="str">
        <f>VLOOKUP(Table3[[#This Row],[Country Code]],Table29[],5,FALSE)</f>
        <v>Low-income</v>
      </c>
      <c r="Y148" s="233" t="str">
        <f>VLOOKUP(Table3[[#This Row],[Country Code]],Table29[],6,FALSE)</f>
        <v>no</v>
      </c>
      <c r="Z148" s="233" t="str">
        <f>VLOOKUP(Table3[[#This Row],[Country Code]],Table29[],7,FALSE)</f>
        <v>no</v>
      </c>
      <c r="AA148" s="233" t="str">
        <f>VLOOKUP(Table3[[#This Row],[Country Code]],Table29[],8,FALSE)</f>
        <v>non-OECD</v>
      </c>
      <c r="AB148" s="233" t="str">
        <f>VLOOKUP(Table3[[#This Row],[Country Code]],Table29[],9,FALSE)</f>
        <v>no</v>
      </c>
      <c r="AC148" s="233" t="str">
        <f>VLOOKUP(Table3[[#This Row],[Country Code]],Table29[],10,FALSE)</f>
        <v>no</v>
      </c>
      <c r="AD148" s="235">
        <f>VLOOKUP(Table3[[#This Row],[Country Code]],Table29[],23,FALSE)</f>
        <v>34.456815083210998</v>
      </c>
      <c r="AE148" s="235">
        <f>VLOOKUP(Table3[[#This Row],[Country Code]],Table29[],24,FALSE)</f>
        <v>2.783932508886048</v>
      </c>
      <c r="AF148" s="43"/>
    </row>
    <row r="149" spans="1:32" ht="45" x14ac:dyDescent="0.25">
      <c r="A149" s="360">
        <v>26774</v>
      </c>
      <c r="B149" s="233" t="str">
        <f>VLOOKUP(Table3[[#This Row],[Document ID]],Table1[],2,FALSE)</f>
        <v>CAF</v>
      </c>
      <c r="C149" s="233" t="str">
        <f>VLOOKUP(Table3[[#This Row],[Document ID]],Table1[],3,FALSE)</f>
        <v>Central African Republic</v>
      </c>
      <c r="D149" s="233" t="str">
        <f>VLOOKUP(Table3[[#This Row],[Document ID]],Table1[],5,FALSE)</f>
        <v>NDC</v>
      </c>
      <c r="E149" s="233" t="str">
        <f>VLOOKUP(Table3[[#This Row],[Document ID]],Table1[],7,FALSE)</f>
        <v>First NDC updated</v>
      </c>
      <c r="F149" s="233" t="str">
        <f>VLOOKUP(Table3[[#This Row],[Document ID]],Table1[],8,FALSE)</f>
        <v>NDC 1.1</v>
      </c>
      <c r="G149" s="233" t="str">
        <f>VLOOKUP(Table3[[#This Row],[Document ID]],Table1[],10,FALSE)</f>
        <v>Active</v>
      </c>
      <c r="H149" s="216" t="s">
        <v>1089</v>
      </c>
      <c r="I149" s="216" t="s">
        <v>1089</v>
      </c>
      <c r="J149" s="43" t="s">
        <v>1090</v>
      </c>
      <c r="K149" s="28" t="s">
        <v>1091</v>
      </c>
      <c r="L149" s="42" t="s">
        <v>1099</v>
      </c>
      <c r="M149" s="209">
        <v>2025</v>
      </c>
      <c r="N149" s="44" t="s">
        <v>1267</v>
      </c>
      <c r="O149" s="258">
        <v>3</v>
      </c>
      <c r="P149" s="238" t="str">
        <f>VLOOKUP(_xlfn.CONCAT(Table3[[#This Row],[Target area]],Table3[[#This Row],[GHG target?]],Table3[[#This Row],[Conditionality]]),'Drop down'!$E$81:$F$101,2,FALSE)</f>
        <v>T_Economy_Unc</v>
      </c>
      <c r="Q149" s="239" t="str">
        <f>VLOOKUP(Table3[[#This Row],[Target type]],Table418[[Value name]:[Value idenifyer]],2,FALSE)</f>
        <v>T_BAU</v>
      </c>
      <c r="V149" s="233" t="str">
        <f>VLOOKUP(Table3[[#This Row],[Country Code]],Table29[],3,FALSE)</f>
        <v>Non-Annex I</v>
      </c>
      <c r="W149" s="233" t="str">
        <f>VLOOKUP(Table3[[#This Row],[Country Code]],Table29[],4,FALSE)</f>
        <v>Africa</v>
      </c>
      <c r="X149" s="233" t="str">
        <f>VLOOKUP(Table3[[#This Row],[Country Code]],Table29[],5,FALSE)</f>
        <v>Low-income</v>
      </c>
      <c r="Y149" s="233" t="str">
        <f>VLOOKUP(Table3[[#This Row],[Country Code]],Table29[],6,FALSE)</f>
        <v>no</v>
      </c>
      <c r="Z149" s="233" t="str">
        <f>VLOOKUP(Table3[[#This Row],[Country Code]],Table29[],7,FALSE)</f>
        <v>no</v>
      </c>
      <c r="AA149" s="233" t="str">
        <f>VLOOKUP(Table3[[#This Row],[Country Code]],Table29[],8,FALSE)</f>
        <v>non-OECD</v>
      </c>
      <c r="AB149" s="233" t="str">
        <f>VLOOKUP(Table3[[#This Row],[Country Code]],Table29[],9,FALSE)</f>
        <v>no</v>
      </c>
      <c r="AC149" s="233" t="str">
        <f>VLOOKUP(Table3[[#This Row],[Country Code]],Table29[],10,FALSE)</f>
        <v>no</v>
      </c>
      <c r="AD149" s="235">
        <f>VLOOKUP(Table3[[#This Row],[Country Code]],Table29[],23,FALSE)</f>
        <v>12.502621395350999</v>
      </c>
      <c r="AE149" s="235">
        <f>VLOOKUP(Table3[[#This Row],[Country Code]],Table29[],24,FALSE)</f>
        <v>0.20891867830184049</v>
      </c>
      <c r="AF149" s="43"/>
    </row>
    <row r="150" spans="1:32" ht="45" x14ac:dyDescent="0.25">
      <c r="A150" s="360">
        <v>26774</v>
      </c>
      <c r="B150" s="233" t="str">
        <f>VLOOKUP(Table3[[#This Row],[Document ID]],Table1[],2,FALSE)</f>
        <v>CAF</v>
      </c>
      <c r="C150" s="233" t="str">
        <f>VLOOKUP(Table3[[#This Row],[Document ID]],Table1[],3,FALSE)</f>
        <v>Central African Republic</v>
      </c>
      <c r="D150" s="233" t="str">
        <f>VLOOKUP(Table3[[#This Row],[Document ID]],Table1[],5,FALSE)</f>
        <v>NDC</v>
      </c>
      <c r="E150" s="233" t="str">
        <f>VLOOKUP(Table3[[#This Row],[Document ID]],Table1[],7,FALSE)</f>
        <v>First NDC updated</v>
      </c>
      <c r="F150" s="233" t="str">
        <f>VLOOKUP(Table3[[#This Row],[Document ID]],Table1[],8,FALSE)</f>
        <v>NDC 1.1</v>
      </c>
      <c r="G150" s="233" t="str">
        <f>VLOOKUP(Table3[[#This Row],[Document ID]],Table1[],10,FALSE)</f>
        <v>Active</v>
      </c>
      <c r="H150" s="216" t="s">
        <v>1089</v>
      </c>
      <c r="I150" s="216" t="s">
        <v>1089</v>
      </c>
      <c r="J150" s="43" t="s">
        <v>1090</v>
      </c>
      <c r="K150" s="28" t="s">
        <v>1091</v>
      </c>
      <c r="L150" s="42" t="s">
        <v>1099</v>
      </c>
      <c r="M150" s="209">
        <v>2030</v>
      </c>
      <c r="N150" s="44" t="s">
        <v>1267</v>
      </c>
      <c r="O150" s="258">
        <v>3</v>
      </c>
      <c r="P150" s="238" t="str">
        <f>VLOOKUP(_xlfn.CONCAT(Table3[[#This Row],[Target area]],Table3[[#This Row],[GHG target?]],Table3[[#This Row],[Conditionality]]),'Drop down'!$E$81:$F$101,2,FALSE)</f>
        <v>T_Economy_Unc</v>
      </c>
      <c r="Q150" s="239" t="str">
        <f>VLOOKUP(Table3[[#This Row],[Target type]],Table418[[Value name]:[Value idenifyer]],2,FALSE)</f>
        <v>T_BAU</v>
      </c>
      <c r="V150" s="233" t="str">
        <f>VLOOKUP(Table3[[#This Row],[Country Code]],Table29[],3,FALSE)</f>
        <v>Non-Annex I</v>
      </c>
      <c r="W150" s="233" t="str">
        <f>VLOOKUP(Table3[[#This Row],[Country Code]],Table29[],4,FALSE)</f>
        <v>Africa</v>
      </c>
      <c r="X150" s="233" t="str">
        <f>VLOOKUP(Table3[[#This Row],[Country Code]],Table29[],5,FALSE)</f>
        <v>Low-income</v>
      </c>
      <c r="Y150" s="233" t="str">
        <f>VLOOKUP(Table3[[#This Row],[Country Code]],Table29[],6,FALSE)</f>
        <v>no</v>
      </c>
      <c r="Z150" s="233" t="str">
        <f>VLOOKUP(Table3[[#This Row],[Country Code]],Table29[],7,FALSE)</f>
        <v>no</v>
      </c>
      <c r="AA150" s="233" t="str">
        <f>VLOOKUP(Table3[[#This Row],[Country Code]],Table29[],8,FALSE)</f>
        <v>non-OECD</v>
      </c>
      <c r="AB150" s="233" t="str">
        <f>VLOOKUP(Table3[[#This Row],[Country Code]],Table29[],9,FALSE)</f>
        <v>no</v>
      </c>
      <c r="AC150" s="233" t="str">
        <f>VLOOKUP(Table3[[#This Row],[Country Code]],Table29[],10,FALSE)</f>
        <v>no</v>
      </c>
      <c r="AD150" s="235">
        <f>VLOOKUP(Table3[[#This Row],[Country Code]],Table29[],23,FALSE)</f>
        <v>12.502621395350999</v>
      </c>
      <c r="AE150" s="235">
        <f>VLOOKUP(Table3[[#This Row],[Country Code]],Table29[],24,FALSE)</f>
        <v>0.20891867830184049</v>
      </c>
      <c r="AF150" s="43"/>
    </row>
    <row r="151" spans="1:32" x14ac:dyDescent="0.25">
      <c r="A151" s="360">
        <v>26774</v>
      </c>
      <c r="B151" s="233" t="str">
        <f>VLOOKUP(Table3[[#This Row],[Document ID]],Table1[],2,FALSE)</f>
        <v>CAF</v>
      </c>
      <c r="C151" s="233" t="str">
        <f>VLOOKUP(Table3[[#This Row],[Document ID]],Table1[],3,FALSE)</f>
        <v>Central African Republic</v>
      </c>
      <c r="D151" s="233" t="str">
        <f>VLOOKUP(Table3[[#This Row],[Document ID]],Table1[],5,FALSE)</f>
        <v>NDC</v>
      </c>
      <c r="E151" s="233" t="str">
        <f>VLOOKUP(Table3[[#This Row],[Document ID]],Table1[],7,FALSE)</f>
        <v>First NDC updated</v>
      </c>
      <c r="F151" s="233" t="str">
        <f>VLOOKUP(Table3[[#This Row],[Document ID]],Table1[],8,FALSE)</f>
        <v>NDC 1.1</v>
      </c>
      <c r="G151" s="233" t="str">
        <f>VLOOKUP(Table3[[#This Row],[Document ID]],Table1[],10,FALSE)</f>
        <v>Active</v>
      </c>
      <c r="H151" s="216" t="s">
        <v>1089</v>
      </c>
      <c r="I151" s="216" t="s">
        <v>1089</v>
      </c>
      <c r="J151" s="43" t="s">
        <v>1090</v>
      </c>
      <c r="K151" s="28" t="s">
        <v>1091</v>
      </c>
      <c r="L151" s="216" t="s">
        <v>1092</v>
      </c>
      <c r="M151" s="209">
        <v>2025</v>
      </c>
      <c r="N151" s="43" t="s">
        <v>1268</v>
      </c>
      <c r="O151" s="258">
        <v>3</v>
      </c>
      <c r="P151" s="238" t="str">
        <f>VLOOKUP(_xlfn.CONCAT(Table3[[#This Row],[Target area]],Table3[[#This Row],[GHG target?]],Table3[[#This Row],[Conditionality]]),'Drop down'!$E$81:$F$101,2,FALSE)</f>
        <v>T_Economy_C</v>
      </c>
      <c r="Q151" s="239" t="str">
        <f>VLOOKUP(Table3[[#This Row],[Target type]],Table418[[Value name]:[Value idenifyer]],2,FALSE)</f>
        <v>T_BAU</v>
      </c>
      <c r="V151" s="233" t="str">
        <f>VLOOKUP(Table3[[#This Row],[Country Code]],Table29[],3,FALSE)</f>
        <v>Non-Annex I</v>
      </c>
      <c r="W151" s="233" t="str">
        <f>VLOOKUP(Table3[[#This Row],[Country Code]],Table29[],4,FALSE)</f>
        <v>Africa</v>
      </c>
      <c r="X151" s="233" t="str">
        <f>VLOOKUP(Table3[[#This Row],[Country Code]],Table29[],5,FALSE)</f>
        <v>Low-income</v>
      </c>
      <c r="Y151" s="233" t="str">
        <f>VLOOKUP(Table3[[#This Row],[Country Code]],Table29[],6,FALSE)</f>
        <v>no</v>
      </c>
      <c r="Z151" s="233" t="str">
        <f>VLOOKUP(Table3[[#This Row],[Country Code]],Table29[],7,FALSE)</f>
        <v>no</v>
      </c>
      <c r="AA151" s="233" t="str">
        <f>VLOOKUP(Table3[[#This Row],[Country Code]],Table29[],8,FALSE)</f>
        <v>non-OECD</v>
      </c>
      <c r="AB151" s="233" t="str">
        <f>VLOOKUP(Table3[[#This Row],[Country Code]],Table29[],9,FALSE)</f>
        <v>no</v>
      </c>
      <c r="AC151" s="233" t="str">
        <f>VLOOKUP(Table3[[#This Row],[Country Code]],Table29[],10,FALSE)</f>
        <v>no</v>
      </c>
      <c r="AD151" s="235">
        <f>VLOOKUP(Table3[[#This Row],[Country Code]],Table29[],23,FALSE)</f>
        <v>12.502621395350999</v>
      </c>
      <c r="AE151" s="235">
        <f>VLOOKUP(Table3[[#This Row],[Country Code]],Table29[],24,FALSE)</f>
        <v>0.20891867830184049</v>
      </c>
      <c r="AF151" s="43"/>
    </row>
    <row r="152" spans="1:32" x14ac:dyDescent="0.25">
      <c r="A152" s="360">
        <v>26774</v>
      </c>
      <c r="B152" s="233" t="str">
        <f>VLOOKUP(Table3[[#This Row],[Document ID]],Table1[],2,FALSE)</f>
        <v>CAF</v>
      </c>
      <c r="C152" s="233" t="str">
        <f>VLOOKUP(Table3[[#This Row],[Document ID]],Table1[],3,FALSE)</f>
        <v>Central African Republic</v>
      </c>
      <c r="D152" s="233" t="str">
        <f>VLOOKUP(Table3[[#This Row],[Document ID]],Table1[],5,FALSE)</f>
        <v>NDC</v>
      </c>
      <c r="E152" s="233" t="str">
        <f>VLOOKUP(Table3[[#This Row],[Document ID]],Table1[],7,FALSE)</f>
        <v>First NDC updated</v>
      </c>
      <c r="F152" s="233" t="str">
        <f>VLOOKUP(Table3[[#This Row],[Document ID]],Table1[],8,FALSE)</f>
        <v>NDC 1.1</v>
      </c>
      <c r="G152" s="233" t="str">
        <f>VLOOKUP(Table3[[#This Row],[Document ID]],Table1[],10,FALSE)</f>
        <v>Active</v>
      </c>
      <c r="H152" s="216" t="s">
        <v>1089</v>
      </c>
      <c r="I152" s="216" t="s">
        <v>1089</v>
      </c>
      <c r="J152" s="43" t="s">
        <v>1090</v>
      </c>
      <c r="K152" s="28" t="s">
        <v>1091</v>
      </c>
      <c r="L152" s="216" t="s">
        <v>1092</v>
      </c>
      <c r="M152" s="209">
        <v>2030</v>
      </c>
      <c r="N152" s="43" t="s">
        <v>1268</v>
      </c>
      <c r="O152" s="258">
        <v>3</v>
      </c>
      <c r="P152" s="238" t="str">
        <f>VLOOKUP(_xlfn.CONCAT(Table3[[#This Row],[Target area]],Table3[[#This Row],[GHG target?]],Table3[[#This Row],[Conditionality]]),'Drop down'!$E$81:$F$101,2,FALSE)</f>
        <v>T_Economy_C</v>
      </c>
      <c r="Q152" s="239" t="str">
        <f>VLOOKUP(Table3[[#This Row],[Target type]],Table418[[Value name]:[Value idenifyer]],2,FALSE)</f>
        <v>T_BAU</v>
      </c>
      <c r="V152" s="233" t="str">
        <f>VLOOKUP(Table3[[#This Row],[Country Code]],Table29[],3,FALSE)</f>
        <v>Non-Annex I</v>
      </c>
      <c r="W152" s="233" t="str">
        <f>VLOOKUP(Table3[[#This Row],[Country Code]],Table29[],4,FALSE)</f>
        <v>Africa</v>
      </c>
      <c r="X152" s="233" t="str">
        <f>VLOOKUP(Table3[[#This Row],[Country Code]],Table29[],5,FALSE)</f>
        <v>Low-income</v>
      </c>
      <c r="Y152" s="233" t="str">
        <f>VLOOKUP(Table3[[#This Row],[Country Code]],Table29[],6,FALSE)</f>
        <v>no</v>
      </c>
      <c r="Z152" s="233" t="str">
        <f>VLOOKUP(Table3[[#This Row],[Country Code]],Table29[],7,FALSE)</f>
        <v>no</v>
      </c>
      <c r="AA152" s="233" t="str">
        <f>VLOOKUP(Table3[[#This Row],[Country Code]],Table29[],8,FALSE)</f>
        <v>non-OECD</v>
      </c>
      <c r="AB152" s="233" t="str">
        <f>VLOOKUP(Table3[[#This Row],[Country Code]],Table29[],9,FALSE)</f>
        <v>no</v>
      </c>
      <c r="AC152" s="233" t="str">
        <f>VLOOKUP(Table3[[#This Row],[Country Code]],Table29[],10,FALSE)</f>
        <v>no</v>
      </c>
      <c r="AD152" s="235">
        <f>VLOOKUP(Table3[[#This Row],[Country Code]],Table29[],23,FALSE)</f>
        <v>12.502621395350999</v>
      </c>
      <c r="AE152" s="235">
        <f>VLOOKUP(Table3[[#This Row],[Country Code]],Table29[],24,FALSE)</f>
        <v>0.20891867830184049</v>
      </c>
      <c r="AF152" s="43"/>
    </row>
    <row r="153" spans="1:32" x14ac:dyDescent="0.25">
      <c r="A153" s="360">
        <v>17552</v>
      </c>
      <c r="B153" s="233" t="str">
        <f>VLOOKUP(Table3[[#This Row],[Document ID]],Table1[],2,FALSE)</f>
        <v>CAF</v>
      </c>
      <c r="C153" s="233" t="str">
        <f>VLOOKUP(Table3[[#This Row],[Document ID]],Table1[],3,FALSE)</f>
        <v>Central African Republic</v>
      </c>
      <c r="D153" s="233" t="str">
        <f>VLOOKUP(Table3[[#This Row],[Document ID]],Table1[],5,FALSE)</f>
        <v>NDC</v>
      </c>
      <c r="E153" s="233" t="str">
        <f>VLOOKUP(Table3[[#This Row],[Document ID]],Table1[],7,FALSE)</f>
        <v>First NDC</v>
      </c>
      <c r="F153" s="233" t="str">
        <f>VLOOKUP(Table3[[#This Row],[Document ID]],Table1[],8,FALSE)</f>
        <v>NDC 1.0</v>
      </c>
      <c r="G153" s="233" t="str">
        <f>VLOOKUP(Table3[[#This Row],[Document ID]],Table1[],10,FALSE)</f>
        <v>Archived</v>
      </c>
      <c r="H153" s="216" t="s">
        <v>1089</v>
      </c>
      <c r="I153" s="216" t="s">
        <v>1089</v>
      </c>
      <c r="J153" s="43" t="s">
        <v>1090</v>
      </c>
      <c r="K153" s="28" t="s">
        <v>1091</v>
      </c>
      <c r="L153" s="42" t="s">
        <v>1099</v>
      </c>
      <c r="M153" s="209">
        <v>2030</v>
      </c>
      <c r="N153" s="176" t="s">
        <v>1269</v>
      </c>
      <c r="O153" s="258" t="s">
        <v>1094</v>
      </c>
      <c r="P153" s="238" t="str">
        <f>VLOOKUP(_xlfn.CONCAT(Table3[[#This Row],[Target area]],Table3[[#This Row],[GHG target?]],Table3[[#This Row],[Conditionality]]),'Drop down'!$E$81:$F$101,2,FALSE)</f>
        <v>T_Economy_Unc</v>
      </c>
      <c r="Q153" s="239" t="str">
        <f>VLOOKUP(Table3[[#This Row],[Target type]],Table418[[Value name]:[Value idenifyer]],2,FALSE)</f>
        <v>T_BAU</v>
      </c>
      <c r="V153" s="233" t="str">
        <f>VLOOKUP(Table3[[#This Row],[Country Code]],Table29[],3,FALSE)</f>
        <v>Non-Annex I</v>
      </c>
      <c r="W153" s="233" t="str">
        <f>VLOOKUP(Table3[[#This Row],[Country Code]],Table29[],4,FALSE)</f>
        <v>Africa</v>
      </c>
      <c r="X153" s="233" t="str">
        <f>VLOOKUP(Table3[[#This Row],[Country Code]],Table29[],5,FALSE)</f>
        <v>Low-income</v>
      </c>
      <c r="Y153" s="233" t="str">
        <f>VLOOKUP(Table3[[#This Row],[Country Code]],Table29[],6,FALSE)</f>
        <v>no</v>
      </c>
      <c r="Z153" s="233" t="str">
        <f>VLOOKUP(Table3[[#This Row],[Country Code]],Table29[],7,FALSE)</f>
        <v>no</v>
      </c>
      <c r="AA153" s="233" t="str">
        <f>VLOOKUP(Table3[[#This Row],[Country Code]],Table29[],8,FALSE)</f>
        <v>non-OECD</v>
      </c>
      <c r="AB153" s="233" t="str">
        <f>VLOOKUP(Table3[[#This Row],[Country Code]],Table29[],9,FALSE)</f>
        <v>no</v>
      </c>
      <c r="AC153" s="233" t="str">
        <f>VLOOKUP(Table3[[#This Row],[Country Code]],Table29[],10,FALSE)</f>
        <v>no</v>
      </c>
      <c r="AD153" s="235">
        <f>VLOOKUP(Table3[[#This Row],[Country Code]],Table29[],23,FALSE)</f>
        <v>12.502621395350999</v>
      </c>
      <c r="AE153" s="235">
        <f>VLOOKUP(Table3[[#This Row],[Country Code]],Table29[],24,FALSE)</f>
        <v>0.20891867830184049</v>
      </c>
      <c r="AF153" s="43"/>
    </row>
    <row r="154" spans="1:32" x14ac:dyDescent="0.25">
      <c r="A154" s="373">
        <v>17552</v>
      </c>
      <c r="B154" s="233" t="str">
        <f>VLOOKUP(Table3[[#This Row],[Document ID]],Table1[],2,FALSE)</f>
        <v>CAF</v>
      </c>
      <c r="C154" s="233" t="str">
        <f>VLOOKUP(Table3[[#This Row],[Document ID]],Table1[],3,FALSE)</f>
        <v>Central African Republic</v>
      </c>
      <c r="D154" s="233" t="str">
        <f>VLOOKUP(Table3[[#This Row],[Document ID]],Table1[],5,FALSE)</f>
        <v>NDC</v>
      </c>
      <c r="E154" s="233" t="str">
        <f>VLOOKUP(Table3[[#This Row],[Document ID]],Table1[],7,FALSE)</f>
        <v>First NDC</v>
      </c>
      <c r="F154" s="243" t="str">
        <f>VLOOKUP(Table3[[#This Row],[Document ID]],Table1[],8,FALSE)</f>
        <v>NDC 1.0</v>
      </c>
      <c r="G154" s="233" t="str">
        <f>VLOOKUP(Table3[[#This Row],[Document ID]],Table1[],10,FALSE)</f>
        <v>Archived</v>
      </c>
      <c r="H154" s="216" t="s">
        <v>1089</v>
      </c>
      <c r="I154" s="216" t="s">
        <v>1089</v>
      </c>
      <c r="J154" s="43" t="s">
        <v>1090</v>
      </c>
      <c r="K154" s="28" t="s">
        <v>1091</v>
      </c>
      <c r="L154" s="176" t="s">
        <v>1092</v>
      </c>
      <c r="M154" s="209">
        <v>2050</v>
      </c>
      <c r="N154" s="176" t="s">
        <v>1270</v>
      </c>
      <c r="O154" s="258">
        <v>2</v>
      </c>
      <c r="P154" s="238" t="str">
        <f>VLOOKUP(_xlfn.CONCAT(Table3[[#This Row],[Target area]],Table3[[#This Row],[GHG target?]],Table3[[#This Row],[Conditionality]]),'Drop down'!$E$81:$F$101,2,FALSE)</f>
        <v>T_Economy_C</v>
      </c>
      <c r="Q154" s="239" t="str">
        <f>VLOOKUP(Table3[[#This Row],[Target type]],Table418[[Value name]:[Value idenifyer]],2,FALSE)</f>
        <v>T_BAU</v>
      </c>
      <c r="V154" s="233" t="str">
        <f>VLOOKUP(Table3[[#This Row],[Country Code]],Table29[],3,FALSE)</f>
        <v>Non-Annex I</v>
      </c>
      <c r="W154" s="233" t="str">
        <f>VLOOKUP(Table3[[#This Row],[Country Code]],Table29[],4,FALSE)</f>
        <v>Africa</v>
      </c>
      <c r="X154" s="233" t="str">
        <f>VLOOKUP(Table3[[#This Row],[Country Code]],Table29[],5,FALSE)</f>
        <v>Low-income</v>
      </c>
      <c r="Y154" s="233" t="str">
        <f>VLOOKUP(Table3[[#This Row],[Country Code]],Table29[],6,FALSE)</f>
        <v>no</v>
      </c>
      <c r="Z154" s="233" t="str">
        <f>VLOOKUP(Table3[[#This Row],[Country Code]],Table29[],7,FALSE)</f>
        <v>no</v>
      </c>
      <c r="AA154" s="233" t="str">
        <f>VLOOKUP(Table3[[#This Row],[Country Code]],Table29[],8,FALSE)</f>
        <v>non-OECD</v>
      </c>
      <c r="AB154" s="233" t="str">
        <f>VLOOKUP(Table3[[#This Row],[Country Code]],Table29[],9,FALSE)</f>
        <v>no</v>
      </c>
      <c r="AC154" s="233" t="str">
        <f>VLOOKUP(Table3[[#This Row],[Country Code]],Table29[],10,FALSE)</f>
        <v>no</v>
      </c>
      <c r="AD154" s="235">
        <f>VLOOKUP(Table3[[#This Row],[Country Code]],Table29[],23,FALSE)</f>
        <v>12.502621395350999</v>
      </c>
      <c r="AE154" s="235">
        <f>VLOOKUP(Table3[[#This Row],[Country Code]],Table29[],24,FALSE)</f>
        <v>0.20891867830184049</v>
      </c>
      <c r="AF154" s="43"/>
    </row>
    <row r="155" spans="1:32" ht="45" x14ac:dyDescent="0.25">
      <c r="A155" s="360">
        <v>24788</v>
      </c>
      <c r="B155" s="233" t="str">
        <f>VLOOKUP(Table3[[#This Row],[Document ID]],Table1[],2,FALSE)</f>
        <v>TCD</v>
      </c>
      <c r="C155" s="233" t="str">
        <f>VLOOKUP(Table3[[#This Row],[Document ID]],Table1[],3,FALSE)</f>
        <v>Chad</v>
      </c>
      <c r="D155" s="233" t="str">
        <f>VLOOKUP(Table3[[#This Row],[Document ID]],Table1[],5,FALSE)</f>
        <v>NDC</v>
      </c>
      <c r="E155" s="233" t="str">
        <f>VLOOKUP(Table3[[#This Row],[Document ID]],Table1[],7,FALSE)</f>
        <v>First NDC updated</v>
      </c>
      <c r="F155" s="233" t="str">
        <f>VLOOKUP(Table3[[#This Row],[Document ID]],Table1[],8,FALSE)</f>
        <v>NDC 1.1</v>
      </c>
      <c r="G155" s="233" t="str">
        <f>VLOOKUP(Table3[[#This Row],[Document ID]],Table1[],10,FALSE)</f>
        <v>Active</v>
      </c>
      <c r="H155" s="216" t="s">
        <v>1089</v>
      </c>
      <c r="I155" s="216" t="s">
        <v>1089</v>
      </c>
      <c r="J155" s="43" t="s">
        <v>1090</v>
      </c>
      <c r="K155" s="28" t="s">
        <v>1091</v>
      </c>
      <c r="L155" s="216" t="s">
        <v>1092</v>
      </c>
      <c r="M155" s="209">
        <v>2030</v>
      </c>
      <c r="N155" s="209" t="s">
        <v>1271</v>
      </c>
      <c r="O155" s="257">
        <v>8</v>
      </c>
      <c r="P155" s="238" t="str">
        <f>VLOOKUP(_xlfn.CONCAT(Table3[[#This Row],[Target area]],Table3[[#This Row],[GHG target?]],Table3[[#This Row],[Conditionality]]),'Drop down'!$E$81:$F$101,2,FALSE)</f>
        <v>T_Economy_C</v>
      </c>
      <c r="Q155" s="239" t="str">
        <f>VLOOKUP(Table3[[#This Row],[Target type]],Table418[[Value name]:[Value idenifyer]],2,FALSE)</f>
        <v>T_BAU</v>
      </c>
      <c r="T155" s="240"/>
      <c r="U155" s="240"/>
      <c r="V155" s="233" t="str">
        <f>VLOOKUP(Table3[[#This Row],[Country Code]],Table29[],3,FALSE)</f>
        <v>Non-Annex I</v>
      </c>
      <c r="W155" s="233" t="str">
        <f>VLOOKUP(Table3[[#This Row],[Country Code]],Table29[],4,FALSE)</f>
        <v>Africa</v>
      </c>
      <c r="X155" s="233" t="str">
        <f>VLOOKUP(Table3[[#This Row],[Country Code]],Table29[],5,FALSE)</f>
        <v>Low-income</v>
      </c>
      <c r="Y155" s="233" t="str">
        <f>VLOOKUP(Table3[[#This Row],[Country Code]],Table29[],6,FALSE)</f>
        <v>no</v>
      </c>
      <c r="Z155" s="233" t="str">
        <f>VLOOKUP(Table3[[#This Row],[Country Code]],Table29[],7,FALSE)</f>
        <v>no</v>
      </c>
      <c r="AA155" s="233" t="str">
        <f>VLOOKUP(Table3[[#This Row],[Country Code]],Table29[],8,FALSE)</f>
        <v>non-OECD</v>
      </c>
      <c r="AB155" s="233" t="str">
        <f>VLOOKUP(Table3[[#This Row],[Country Code]],Table29[],9,FALSE)</f>
        <v>no</v>
      </c>
      <c r="AC155" s="233" t="str">
        <f>VLOOKUP(Table3[[#This Row],[Country Code]],Table29[],10,FALSE)</f>
        <v>no</v>
      </c>
      <c r="AD155" s="235">
        <f>VLOOKUP(Table3[[#This Row],[Country Code]],Table29[],23,FALSE)</f>
        <v>95.377319649135998</v>
      </c>
      <c r="AE155" s="235">
        <f>VLOOKUP(Table3[[#This Row],[Country Code]],Table29[],24,FALSE)</f>
        <v>1.0943243015239441</v>
      </c>
      <c r="AF155" s="43"/>
    </row>
    <row r="156" spans="1:32" ht="90" x14ac:dyDescent="0.25">
      <c r="A156" s="360">
        <v>24788</v>
      </c>
      <c r="B156" s="233" t="str">
        <f>VLOOKUP(Table3[[#This Row],[Document ID]],Table1[],2,FALSE)</f>
        <v>TCD</v>
      </c>
      <c r="C156" s="233" t="str">
        <f>VLOOKUP(Table3[[#This Row],[Document ID]],Table1[],3,FALSE)</f>
        <v>Chad</v>
      </c>
      <c r="D156" s="233" t="str">
        <f>VLOOKUP(Table3[[#This Row],[Document ID]],Table1[],5,FALSE)</f>
        <v>NDC</v>
      </c>
      <c r="E156" s="233" t="str">
        <f>VLOOKUP(Table3[[#This Row],[Document ID]],Table1[],7,FALSE)</f>
        <v>First NDC updated</v>
      </c>
      <c r="F156" s="233" t="str">
        <f>VLOOKUP(Table3[[#This Row],[Document ID]],Table1[],8,FALSE)</f>
        <v>NDC 1.1</v>
      </c>
      <c r="G156" s="233" t="str">
        <f>VLOOKUP(Table3[[#This Row],[Document ID]],Table1[],10,FALSE)</f>
        <v>Active</v>
      </c>
      <c r="H156" s="43" t="s">
        <v>1114</v>
      </c>
      <c r="I156" s="43" t="s">
        <v>1115</v>
      </c>
      <c r="J156" s="42" t="s">
        <v>1090</v>
      </c>
      <c r="K156" s="28" t="s">
        <v>1091</v>
      </c>
      <c r="L156" s="43" t="s">
        <v>1116</v>
      </c>
      <c r="M156" s="209">
        <v>2030</v>
      </c>
      <c r="N156" s="209" t="s">
        <v>1272</v>
      </c>
      <c r="O156" s="257">
        <v>22</v>
      </c>
      <c r="P156" s="238" t="str">
        <f>VLOOKUP(_xlfn.CONCAT(Table3[[#This Row],[Target area]],Table3[[#This Row],[GHG target?]],Table3[[#This Row],[Conditionality]]),'Drop down'!$E$81:$F$101,2,FALSE)</f>
        <v>T_Energy</v>
      </c>
      <c r="Q156" s="239" t="str">
        <f>VLOOKUP(Table3[[#This Row],[Target type]],Table418[[Value name]:[Value idenifyer]],2,FALSE)</f>
        <v>T_BAU</v>
      </c>
      <c r="T156" s="240"/>
      <c r="U156" s="240"/>
      <c r="V156" s="233" t="str">
        <f>VLOOKUP(Table3[[#This Row],[Country Code]],Table29[],3,FALSE)</f>
        <v>Non-Annex I</v>
      </c>
      <c r="W156" s="233" t="str">
        <f>VLOOKUP(Table3[[#This Row],[Country Code]],Table29[],4,FALSE)</f>
        <v>Africa</v>
      </c>
      <c r="X156" s="233" t="str">
        <f>VLOOKUP(Table3[[#This Row],[Country Code]],Table29[],5,FALSE)</f>
        <v>Low-income</v>
      </c>
      <c r="Y156" s="233" t="str">
        <f>VLOOKUP(Table3[[#This Row],[Country Code]],Table29[],6,FALSE)</f>
        <v>no</v>
      </c>
      <c r="Z156" s="233" t="str">
        <f>VLOOKUP(Table3[[#This Row],[Country Code]],Table29[],7,FALSE)</f>
        <v>no</v>
      </c>
      <c r="AA156" s="233" t="str">
        <f>VLOOKUP(Table3[[#This Row],[Country Code]],Table29[],8,FALSE)</f>
        <v>non-OECD</v>
      </c>
      <c r="AB156" s="233" t="str">
        <f>VLOOKUP(Table3[[#This Row],[Country Code]],Table29[],9,FALSE)</f>
        <v>no</v>
      </c>
      <c r="AC156" s="233" t="str">
        <f>VLOOKUP(Table3[[#This Row],[Country Code]],Table29[],10,FALSE)</f>
        <v>no</v>
      </c>
      <c r="AD156" s="235">
        <f>VLOOKUP(Table3[[#This Row],[Country Code]],Table29[],23,FALSE)</f>
        <v>95.377319649135998</v>
      </c>
      <c r="AE156" s="235">
        <f>VLOOKUP(Table3[[#This Row],[Country Code]],Table29[],24,FALSE)</f>
        <v>1.0943243015239441</v>
      </c>
      <c r="AF156" s="43"/>
    </row>
    <row r="157" spans="1:32" x14ac:dyDescent="0.25">
      <c r="A157" s="360">
        <v>17553</v>
      </c>
      <c r="B157" s="233" t="str">
        <f>VLOOKUP(Table3[[#This Row],[Document ID]],Table1[],2,FALSE)</f>
        <v>TCD</v>
      </c>
      <c r="C157" s="233" t="str">
        <f>VLOOKUP(Table3[[#This Row],[Document ID]],Table1[],3,FALSE)</f>
        <v>Chad</v>
      </c>
      <c r="D157" s="233" t="str">
        <f>VLOOKUP(Table3[[#This Row],[Document ID]],Table1[],5,FALSE)</f>
        <v>NDC</v>
      </c>
      <c r="E157" s="233" t="str">
        <f>VLOOKUP(Table3[[#This Row],[Document ID]],Table1[],7,FALSE)</f>
        <v>First NDC</v>
      </c>
      <c r="F157" s="233" t="str">
        <f>VLOOKUP(Table3[[#This Row],[Document ID]],Table1[],8,FALSE)</f>
        <v>NDC 1.0</v>
      </c>
      <c r="G157" s="233" t="str">
        <f>VLOOKUP(Table3[[#This Row],[Document ID]],Table1[],10,FALSE)</f>
        <v>Archived</v>
      </c>
      <c r="H157" s="216" t="s">
        <v>1089</v>
      </c>
      <c r="I157" s="216" t="s">
        <v>1089</v>
      </c>
      <c r="J157" s="43" t="s">
        <v>1090</v>
      </c>
      <c r="K157" s="28" t="s">
        <v>1091</v>
      </c>
      <c r="L157" s="42" t="s">
        <v>1099</v>
      </c>
      <c r="M157" s="209">
        <v>2030</v>
      </c>
      <c r="N157" s="176" t="s">
        <v>1273</v>
      </c>
      <c r="O157" s="258" t="s">
        <v>1094</v>
      </c>
      <c r="P157" s="238" t="str">
        <f>VLOOKUP(_xlfn.CONCAT(Table3[[#This Row],[Target area]],Table3[[#This Row],[GHG target?]],Table3[[#This Row],[Conditionality]]),'Drop down'!$E$81:$F$101,2,FALSE)</f>
        <v>T_Economy_Unc</v>
      </c>
      <c r="Q157" s="239" t="str">
        <f>VLOOKUP(Table3[[#This Row],[Target type]],Table418[[Value name]:[Value idenifyer]],2,FALSE)</f>
        <v>T_BAU</v>
      </c>
      <c r="T157" s="240"/>
      <c r="U157" s="240"/>
      <c r="V157" s="233" t="str">
        <f>VLOOKUP(Table3[[#This Row],[Country Code]],Table29[],3,FALSE)</f>
        <v>Non-Annex I</v>
      </c>
      <c r="W157" s="233" t="str">
        <f>VLOOKUP(Table3[[#This Row],[Country Code]],Table29[],4,FALSE)</f>
        <v>Africa</v>
      </c>
      <c r="X157" s="233" t="str">
        <f>VLOOKUP(Table3[[#This Row],[Country Code]],Table29[],5,FALSE)</f>
        <v>Low-income</v>
      </c>
      <c r="Y157" s="233" t="str">
        <f>VLOOKUP(Table3[[#This Row],[Country Code]],Table29[],6,FALSE)</f>
        <v>no</v>
      </c>
      <c r="Z157" s="233" t="str">
        <f>VLOOKUP(Table3[[#This Row],[Country Code]],Table29[],7,FALSE)</f>
        <v>no</v>
      </c>
      <c r="AA157" s="233" t="str">
        <f>VLOOKUP(Table3[[#This Row],[Country Code]],Table29[],8,FALSE)</f>
        <v>non-OECD</v>
      </c>
      <c r="AB157" s="233" t="str">
        <f>VLOOKUP(Table3[[#This Row],[Country Code]],Table29[],9,FALSE)</f>
        <v>no</v>
      </c>
      <c r="AC157" s="233" t="str">
        <f>VLOOKUP(Table3[[#This Row],[Country Code]],Table29[],10,FALSE)</f>
        <v>no</v>
      </c>
      <c r="AD157" s="235">
        <f>VLOOKUP(Table3[[#This Row],[Country Code]],Table29[],23,FALSE)</f>
        <v>95.377319649135998</v>
      </c>
      <c r="AE157" s="235">
        <f>VLOOKUP(Table3[[#This Row],[Country Code]],Table29[],24,FALSE)</f>
        <v>1.0943243015239441</v>
      </c>
      <c r="AF157" s="43"/>
    </row>
    <row r="158" spans="1:32" x14ac:dyDescent="0.25">
      <c r="A158" s="360">
        <v>17553</v>
      </c>
      <c r="B158" s="233" t="str">
        <f>VLOOKUP(Table3[[#This Row],[Document ID]],Table1[],2,FALSE)</f>
        <v>TCD</v>
      </c>
      <c r="C158" s="233" t="str">
        <f>VLOOKUP(Table3[[#This Row],[Document ID]],Table1[],3,FALSE)</f>
        <v>Chad</v>
      </c>
      <c r="D158" s="233" t="str">
        <f>VLOOKUP(Table3[[#This Row],[Document ID]],Table1[],5,FALSE)</f>
        <v>NDC</v>
      </c>
      <c r="E158" s="233" t="str">
        <f>VLOOKUP(Table3[[#This Row],[Document ID]],Table1[],7,FALSE)</f>
        <v>First NDC</v>
      </c>
      <c r="F158" s="233" t="str">
        <f>VLOOKUP(Table3[[#This Row],[Document ID]],Table1[],8,FALSE)</f>
        <v>NDC 1.0</v>
      </c>
      <c r="G158" s="233" t="str">
        <f>VLOOKUP(Table3[[#This Row],[Document ID]],Table1[],10,FALSE)</f>
        <v>Archived</v>
      </c>
      <c r="H158" s="216" t="s">
        <v>1089</v>
      </c>
      <c r="I158" s="216" t="s">
        <v>1089</v>
      </c>
      <c r="J158" s="43" t="s">
        <v>1090</v>
      </c>
      <c r="K158" s="28" t="s">
        <v>1091</v>
      </c>
      <c r="L158" s="216" t="s">
        <v>1092</v>
      </c>
      <c r="M158" s="209">
        <v>2030</v>
      </c>
      <c r="N158" s="176" t="s">
        <v>1274</v>
      </c>
      <c r="O158" s="258" t="s">
        <v>1094</v>
      </c>
      <c r="P158" s="238" t="str">
        <f>VLOOKUP(_xlfn.CONCAT(Table3[[#This Row],[Target area]],Table3[[#This Row],[GHG target?]],Table3[[#This Row],[Conditionality]]),'Drop down'!$E$81:$F$101,2,FALSE)</f>
        <v>T_Economy_C</v>
      </c>
      <c r="Q158" s="239" t="str">
        <f>VLOOKUP(Table3[[#This Row],[Target type]],Table418[[Value name]:[Value idenifyer]],2,FALSE)</f>
        <v>T_BAU</v>
      </c>
      <c r="T158" s="240"/>
      <c r="U158" s="240"/>
      <c r="V158" s="233" t="str">
        <f>VLOOKUP(Table3[[#This Row],[Country Code]],Table29[],3,FALSE)</f>
        <v>Non-Annex I</v>
      </c>
      <c r="W158" s="233" t="str">
        <f>VLOOKUP(Table3[[#This Row],[Country Code]],Table29[],4,FALSE)</f>
        <v>Africa</v>
      </c>
      <c r="X158" s="233" t="str">
        <f>VLOOKUP(Table3[[#This Row],[Country Code]],Table29[],5,FALSE)</f>
        <v>Low-income</v>
      </c>
      <c r="Y158" s="233" t="str">
        <f>VLOOKUP(Table3[[#This Row],[Country Code]],Table29[],6,FALSE)</f>
        <v>no</v>
      </c>
      <c r="Z158" s="233" t="str">
        <f>VLOOKUP(Table3[[#This Row],[Country Code]],Table29[],7,FALSE)</f>
        <v>no</v>
      </c>
      <c r="AA158" s="233" t="str">
        <f>VLOOKUP(Table3[[#This Row],[Country Code]],Table29[],8,FALSE)</f>
        <v>non-OECD</v>
      </c>
      <c r="AB158" s="233" t="str">
        <f>VLOOKUP(Table3[[#This Row],[Country Code]],Table29[],9,FALSE)</f>
        <v>no</v>
      </c>
      <c r="AC158" s="233" t="str">
        <f>VLOOKUP(Table3[[#This Row],[Country Code]],Table29[],10,FALSE)</f>
        <v>no</v>
      </c>
      <c r="AD158" s="235">
        <f>VLOOKUP(Table3[[#This Row],[Country Code]],Table29[],23,FALSE)</f>
        <v>95.377319649135998</v>
      </c>
      <c r="AE158" s="235">
        <f>VLOOKUP(Table3[[#This Row],[Country Code]],Table29[],24,FALSE)</f>
        <v>1.0943243015239441</v>
      </c>
      <c r="AF158" s="43"/>
    </row>
    <row r="159" spans="1:32" ht="30" x14ac:dyDescent="0.25">
      <c r="A159" s="360">
        <v>17555</v>
      </c>
      <c r="B159" s="233" t="str">
        <f>VLOOKUP(Table3[[#This Row],[Document ID]],Table1[],2,FALSE)</f>
        <v>CHL</v>
      </c>
      <c r="C159" s="233" t="str">
        <f>VLOOKUP(Table3[[#This Row],[Document ID]],Table1[],3,FALSE)</f>
        <v>Chile</v>
      </c>
      <c r="D159" s="233" t="str">
        <f>VLOOKUP(Table3[[#This Row],[Document ID]],Table1[],5,FALSE)</f>
        <v>NDC</v>
      </c>
      <c r="E159" s="233" t="str">
        <f>VLOOKUP(Table3[[#This Row],[Document ID]],Table1[],7,FALSE)</f>
        <v>First NDC updated</v>
      </c>
      <c r="F159" s="233" t="str">
        <f>VLOOKUP(Table3[[#This Row],[Document ID]],Table1[],8,FALSE)</f>
        <v>NDC 1.1</v>
      </c>
      <c r="G159" s="233" t="str">
        <f>VLOOKUP(Table3[[#This Row],[Document ID]],Table1[],10,FALSE)</f>
        <v>Active</v>
      </c>
      <c r="H159" s="216" t="s">
        <v>1089</v>
      </c>
      <c r="I159" s="216" t="s">
        <v>1089</v>
      </c>
      <c r="J159" s="43" t="s">
        <v>1090</v>
      </c>
      <c r="K159" s="28" t="s">
        <v>1121</v>
      </c>
      <c r="L159" s="42" t="s">
        <v>1099</v>
      </c>
      <c r="M159" s="209">
        <v>2030</v>
      </c>
      <c r="N159" s="44" t="s">
        <v>1275</v>
      </c>
      <c r="O159" s="221">
        <v>33</v>
      </c>
      <c r="P159" s="238" t="str">
        <f>VLOOKUP(_xlfn.CONCAT(Table3[[#This Row],[Target area]],Table3[[#This Row],[GHG target?]],Table3[[#This Row],[Conditionality]]),'Drop down'!$E$81:$F$101,2,FALSE)</f>
        <v>T_Economy_Unc</v>
      </c>
      <c r="Q159" s="239" t="str">
        <f>VLOOKUP(Table3[[#This Row],[Target type]],Table418[[Value name]:[Value idenifyer]],2,FALSE)</f>
        <v>T_FL</v>
      </c>
      <c r="S159" s="233" t="s">
        <v>1101</v>
      </c>
      <c r="T159" s="234" t="s">
        <v>1113</v>
      </c>
      <c r="V159" s="233" t="str">
        <f>VLOOKUP(Table3[[#This Row],[Country Code]],Table29[],3,FALSE)</f>
        <v>Non-Annex I</v>
      </c>
      <c r="W159" s="233" t="str">
        <f>VLOOKUP(Table3[[#This Row],[Country Code]],Table29[],4,FALSE)</f>
        <v>Latin America and the Caribbean</v>
      </c>
      <c r="X159" s="233" t="str">
        <f>VLOOKUP(Table3[[#This Row],[Country Code]],Table29[],5,FALSE)</f>
        <v>High-income</v>
      </c>
      <c r="Y159" s="233" t="str">
        <f>VLOOKUP(Table3[[#This Row],[Country Code]],Table29[],6,FALSE)</f>
        <v>no</v>
      </c>
      <c r="Z159" s="233" t="str">
        <f>VLOOKUP(Table3[[#This Row],[Country Code]],Table29[],7,FALSE)</f>
        <v>no</v>
      </c>
      <c r="AA159" s="233" t="str">
        <f>VLOOKUP(Table3[[#This Row],[Country Code]],Table29[],8,FALSE)</f>
        <v>OECD</v>
      </c>
      <c r="AB159" s="233" t="str">
        <f>VLOOKUP(Table3[[#This Row],[Country Code]],Table29[],9,FALSE)</f>
        <v>no</v>
      </c>
      <c r="AC159" s="233" t="str">
        <f>VLOOKUP(Table3[[#This Row],[Country Code]],Table29[],10,FALSE)</f>
        <v>no</v>
      </c>
      <c r="AD159" s="235">
        <f>VLOOKUP(Table3[[#This Row],[Country Code]],Table29[],23,FALSE)</f>
        <v>121.46313217391</v>
      </c>
      <c r="AE159" s="235">
        <f>VLOOKUP(Table3[[#This Row],[Country Code]],Table29[],24,FALSE)</f>
        <v>32.478801178832768</v>
      </c>
      <c r="AF159" s="43"/>
    </row>
    <row r="160" spans="1:32" x14ac:dyDescent="0.25">
      <c r="A160" s="360">
        <v>26776</v>
      </c>
      <c r="B160" s="233" t="str">
        <f>VLOOKUP(Table3[[#This Row],[Document ID]],Table1[],2,FALSE)</f>
        <v>CHL</v>
      </c>
      <c r="C160" s="233" t="str">
        <f>VLOOKUP(Table3[[#This Row],[Document ID]],Table1[],3,FALSE)</f>
        <v>Chile</v>
      </c>
      <c r="D160" s="233" t="str">
        <f>VLOOKUP(Table3[[#This Row],[Document ID]],Table1[],5,FALSE)</f>
        <v>LTS</v>
      </c>
      <c r="E160" s="233" t="str">
        <f>VLOOKUP(Table3[[#This Row],[Document ID]],Table1[],7,FALSE)</f>
        <v>LTS</v>
      </c>
      <c r="F160" s="233" t="str">
        <f>VLOOKUP(Table3[[#This Row],[Document ID]],Table1[],8,FALSE)</f>
        <v>LTS 1.0</v>
      </c>
      <c r="G160" s="233" t="str">
        <f>VLOOKUP(Table3[[#This Row],[Document ID]],Table1[],10,FALSE)</f>
        <v>Active</v>
      </c>
      <c r="H160" s="216" t="s">
        <v>1089</v>
      </c>
      <c r="I160" s="216" t="s">
        <v>1089</v>
      </c>
      <c r="J160" s="43" t="s">
        <v>1090</v>
      </c>
      <c r="K160" s="28" t="s">
        <v>1121</v>
      </c>
      <c r="L160" s="42" t="s">
        <v>1099</v>
      </c>
      <c r="M160" s="209">
        <v>2050</v>
      </c>
      <c r="N160" s="17" t="s">
        <v>1276</v>
      </c>
      <c r="O160" s="258">
        <v>34</v>
      </c>
      <c r="P160" s="238" t="str">
        <f>VLOOKUP(_xlfn.CONCAT(Table3[[#This Row],[Target area]],Table3[[#This Row],[GHG target?]],Table3[[#This Row],[Conditionality]]),'Drop down'!$E$81:$F$101,2,FALSE)</f>
        <v>T_Economy_Unc</v>
      </c>
      <c r="Q160" s="239" t="str">
        <f>VLOOKUP(Table3[[#This Row],[Target type]],Table418[[Value name]:[Value idenifyer]],2,FALSE)</f>
        <v>T_FL</v>
      </c>
      <c r="T160" s="234" t="s">
        <v>1113</v>
      </c>
      <c r="V160" s="233" t="str">
        <f>VLOOKUP(Table3[[#This Row],[Country Code]],Table29[],3,FALSE)</f>
        <v>Non-Annex I</v>
      </c>
      <c r="W160" s="233" t="str">
        <f>VLOOKUP(Table3[[#This Row],[Country Code]],Table29[],4,FALSE)</f>
        <v>Latin America and the Caribbean</v>
      </c>
      <c r="X160" s="233" t="str">
        <f>VLOOKUP(Table3[[#This Row],[Country Code]],Table29[],5,FALSE)</f>
        <v>High-income</v>
      </c>
      <c r="Y160" s="233" t="str">
        <f>VLOOKUP(Table3[[#This Row],[Country Code]],Table29[],6,FALSE)</f>
        <v>no</v>
      </c>
      <c r="Z160" s="233" t="str">
        <f>VLOOKUP(Table3[[#This Row],[Country Code]],Table29[],7,FALSE)</f>
        <v>no</v>
      </c>
      <c r="AA160" s="233" t="str">
        <f>VLOOKUP(Table3[[#This Row],[Country Code]],Table29[],8,FALSE)</f>
        <v>OECD</v>
      </c>
      <c r="AB160" s="233" t="str">
        <f>VLOOKUP(Table3[[#This Row],[Country Code]],Table29[],9,FALSE)</f>
        <v>no</v>
      </c>
      <c r="AC160" s="233" t="str">
        <f>VLOOKUP(Table3[[#This Row],[Country Code]],Table29[],10,FALSE)</f>
        <v>no</v>
      </c>
      <c r="AD160" s="235">
        <f>VLOOKUP(Table3[[#This Row],[Country Code]],Table29[],23,FALSE)</f>
        <v>121.46313217391</v>
      </c>
      <c r="AE160" s="235">
        <f>VLOOKUP(Table3[[#This Row],[Country Code]],Table29[],24,FALSE)</f>
        <v>32.478801178832768</v>
      </c>
      <c r="AF160" s="43"/>
    </row>
    <row r="161" spans="1:32" ht="60" x14ac:dyDescent="0.25">
      <c r="A161" s="360">
        <v>23369</v>
      </c>
      <c r="B161" s="233" t="str">
        <f>VLOOKUP(Table3[[#This Row],[Document ID]],Table1[],2,FALSE)</f>
        <v>BFA</v>
      </c>
      <c r="C161" s="233" t="str">
        <f>VLOOKUP(Table3[[#This Row],[Document ID]],Table1[],3,FALSE)</f>
        <v>Burkina Faso</v>
      </c>
      <c r="D161" s="233" t="str">
        <f>VLOOKUP(Table3[[#This Row],[Document ID]],Table1[],5,FALSE)</f>
        <v>NDC</v>
      </c>
      <c r="E161" s="233" t="str">
        <f>VLOOKUP(Table3[[#This Row],[Document ID]],Table1[],7,FALSE)</f>
        <v>First NDC updated</v>
      </c>
      <c r="F161" s="233" t="str">
        <f>VLOOKUP(Table3[[#This Row],[Document ID]],Table1[],8,FALSE)</f>
        <v>NDC 1.1</v>
      </c>
      <c r="G161" s="233" t="str">
        <f>VLOOKUP(Table3[[#This Row],[Document ID]],Table1[],10,FALSE)</f>
        <v>Active</v>
      </c>
      <c r="H161" s="42" t="s">
        <v>1095</v>
      </c>
      <c r="I161" s="43" t="s">
        <v>1115</v>
      </c>
      <c r="J161" s="43" t="s">
        <v>1090</v>
      </c>
      <c r="K161" s="28" t="s">
        <v>1091</v>
      </c>
      <c r="L161" s="42" t="s">
        <v>1099</v>
      </c>
      <c r="M161" s="209">
        <v>2025</v>
      </c>
      <c r="N161" s="209" t="s">
        <v>1277</v>
      </c>
      <c r="O161" s="257">
        <v>11</v>
      </c>
      <c r="P161" s="238" t="str">
        <f>VLOOKUP(_xlfn.CONCAT(Table3[[#This Row],[Target area]],Table3[[#This Row],[GHG target?]],Table3[[#This Row],[Conditionality]]),'Drop down'!$E$81:$F$101,2,FALSE)</f>
        <v>T_Transport_Unc</v>
      </c>
      <c r="Q161" s="239" t="str">
        <f>VLOOKUP(Table3[[#This Row],[Target type]],Table418[[Value name]:[Value idenifyer]],2,FALSE)</f>
        <v>T_BAU</v>
      </c>
      <c r="R161" s="233" t="s">
        <v>1265</v>
      </c>
      <c r="S161" s="233" t="s">
        <v>1112</v>
      </c>
      <c r="T161" s="240"/>
      <c r="U161" s="240"/>
      <c r="V161" s="233" t="str">
        <f>VLOOKUP(Table3[[#This Row],[Country Code]],Table29[],3,FALSE)</f>
        <v>Non-Annex I</v>
      </c>
      <c r="W161" s="233" t="str">
        <f>VLOOKUP(Table3[[#This Row],[Country Code]],Table29[],4,FALSE)</f>
        <v>Africa</v>
      </c>
      <c r="X161" s="233" t="str">
        <f>VLOOKUP(Table3[[#This Row],[Country Code]],Table29[],5,FALSE)</f>
        <v>Low-income</v>
      </c>
      <c r="Y161" s="233" t="str">
        <f>VLOOKUP(Table3[[#This Row],[Country Code]],Table29[],6,FALSE)</f>
        <v>no</v>
      </c>
      <c r="Z161" s="233" t="str">
        <f>VLOOKUP(Table3[[#This Row],[Country Code]],Table29[],7,FALSE)</f>
        <v>no</v>
      </c>
      <c r="AA161" s="233" t="str">
        <f>VLOOKUP(Table3[[#This Row],[Country Code]],Table29[],8,FALSE)</f>
        <v>non-OECD</v>
      </c>
      <c r="AB161" s="233" t="str">
        <f>VLOOKUP(Table3[[#This Row],[Country Code]],Table29[],9,FALSE)</f>
        <v>no</v>
      </c>
      <c r="AC161" s="233" t="str">
        <f>VLOOKUP(Table3[[#This Row],[Country Code]],Table29[],10,FALSE)</f>
        <v>no</v>
      </c>
      <c r="AD161" s="235">
        <f>VLOOKUP(Table3[[#This Row],[Country Code]],Table29[],23,FALSE)</f>
        <v>34.456815083210998</v>
      </c>
      <c r="AE161" s="235">
        <f>VLOOKUP(Table3[[#This Row],[Country Code]],Table29[],24,FALSE)</f>
        <v>2.783932508886048</v>
      </c>
      <c r="AF161" s="43"/>
    </row>
    <row r="162" spans="1:32" x14ac:dyDescent="0.25">
      <c r="A162" s="360">
        <v>23369</v>
      </c>
      <c r="B162" s="233" t="str">
        <f>VLOOKUP(Table3[[#This Row],[Document ID]],Table1[],2,FALSE)</f>
        <v>BFA</v>
      </c>
      <c r="C162" s="233" t="str">
        <f>VLOOKUP(Table3[[#This Row],[Document ID]],Table1[],3,FALSE)</f>
        <v>Burkina Faso</v>
      </c>
      <c r="D162" s="233" t="str">
        <f>VLOOKUP(Table3[[#This Row],[Document ID]],Table1[],5,FALSE)</f>
        <v>NDC</v>
      </c>
      <c r="E162" s="233" t="str">
        <f>VLOOKUP(Table3[[#This Row],[Document ID]],Table1[],7,FALSE)</f>
        <v>First NDC updated</v>
      </c>
      <c r="F162" s="233" t="str">
        <f>VLOOKUP(Table3[[#This Row],[Document ID]],Table1[],8,FALSE)</f>
        <v>NDC 1.1</v>
      </c>
      <c r="G162" s="233" t="str">
        <f>VLOOKUP(Table3[[#This Row],[Document ID]],Table1[],10,FALSE)</f>
        <v>Active</v>
      </c>
      <c r="H162" s="42" t="s">
        <v>1095</v>
      </c>
      <c r="I162" s="43" t="s">
        <v>1115</v>
      </c>
      <c r="J162" s="43" t="s">
        <v>1090</v>
      </c>
      <c r="K162" s="28" t="s">
        <v>1091</v>
      </c>
      <c r="L162" s="43" t="s">
        <v>1092</v>
      </c>
      <c r="M162" s="209">
        <v>2025</v>
      </c>
      <c r="N162" s="209" t="s">
        <v>1278</v>
      </c>
      <c r="O162" s="257">
        <v>11</v>
      </c>
      <c r="P162" s="238" t="str">
        <f>VLOOKUP(_xlfn.CONCAT(Table3[[#This Row],[Target area]],Table3[[#This Row],[GHG target?]],Table3[[#This Row],[Conditionality]]),'Drop down'!$E$81:$F$101,2,FALSE)</f>
        <v>T_Transport_C</v>
      </c>
      <c r="Q162" s="239" t="str">
        <f>VLOOKUP(Table3[[#This Row],[Target type]],Table418[[Value name]:[Value idenifyer]],2,FALSE)</f>
        <v>T_BAU</v>
      </c>
      <c r="R162" s="233" t="s">
        <v>1265</v>
      </c>
      <c r="S162" s="233" t="s">
        <v>1112</v>
      </c>
      <c r="T162" s="240"/>
      <c r="U162" s="240"/>
      <c r="V162" s="233" t="str">
        <f>VLOOKUP(Table3[[#This Row],[Country Code]],Table29[],3,FALSE)</f>
        <v>Non-Annex I</v>
      </c>
      <c r="W162" s="233" t="str">
        <f>VLOOKUP(Table3[[#This Row],[Country Code]],Table29[],4,FALSE)</f>
        <v>Africa</v>
      </c>
      <c r="X162" s="233" t="str">
        <f>VLOOKUP(Table3[[#This Row],[Country Code]],Table29[],5,FALSE)</f>
        <v>Low-income</v>
      </c>
      <c r="Y162" s="233" t="str">
        <f>VLOOKUP(Table3[[#This Row],[Country Code]],Table29[],6,FALSE)</f>
        <v>no</v>
      </c>
      <c r="Z162" s="233" t="str">
        <f>VLOOKUP(Table3[[#This Row],[Country Code]],Table29[],7,FALSE)</f>
        <v>no</v>
      </c>
      <c r="AA162" s="233" t="str">
        <f>VLOOKUP(Table3[[#This Row],[Country Code]],Table29[],8,FALSE)</f>
        <v>non-OECD</v>
      </c>
      <c r="AB162" s="233" t="str">
        <f>VLOOKUP(Table3[[#This Row],[Country Code]],Table29[],9,FALSE)</f>
        <v>no</v>
      </c>
      <c r="AC162" s="233" t="str">
        <f>VLOOKUP(Table3[[#This Row],[Country Code]],Table29[],10,FALSE)</f>
        <v>no</v>
      </c>
      <c r="AD162" s="235">
        <f>VLOOKUP(Table3[[#This Row],[Country Code]],Table29[],23,FALSE)</f>
        <v>34.456815083210998</v>
      </c>
      <c r="AE162" s="235">
        <f>VLOOKUP(Table3[[#This Row],[Country Code]],Table29[],24,FALSE)</f>
        <v>2.783932508886048</v>
      </c>
      <c r="AF162" s="43"/>
    </row>
    <row r="163" spans="1:32" x14ac:dyDescent="0.25">
      <c r="A163" s="360">
        <v>17524</v>
      </c>
      <c r="B163" s="233" t="str">
        <f>VLOOKUP(Table3[[#This Row],[Document ID]],Table1[],2,FALSE)</f>
        <v>BGD</v>
      </c>
      <c r="C163" s="233" t="str">
        <f>VLOOKUP(Table3[[#This Row],[Document ID]],Table1[],3,FALSE)</f>
        <v>Bangladesh</v>
      </c>
      <c r="D163" s="233" t="str">
        <f>VLOOKUP(Table3[[#This Row],[Document ID]],Table1[],5,FALSE)</f>
        <v>NDC</v>
      </c>
      <c r="E163" s="233" t="str">
        <f>VLOOKUP(Table3[[#This Row],[Document ID]],Table1[],7,FALSE)</f>
        <v>First NDC</v>
      </c>
      <c r="F163" s="233" t="str">
        <f>VLOOKUP(Table3[[#This Row],[Document ID]],Table1[],8,FALSE)</f>
        <v>NDC 1.0</v>
      </c>
      <c r="G163" s="233" t="str">
        <f>VLOOKUP(Table3[[#This Row],[Document ID]],Table1[],10,FALSE)</f>
        <v>Archived</v>
      </c>
      <c r="H163" s="42" t="s">
        <v>1095</v>
      </c>
      <c r="I163" s="42" t="s">
        <v>1096</v>
      </c>
      <c r="J163" s="42" t="s">
        <v>1097</v>
      </c>
      <c r="K163" s="28" t="s">
        <v>1098</v>
      </c>
      <c r="L163" s="43" t="s">
        <v>1092</v>
      </c>
      <c r="M163" s="209">
        <v>2030</v>
      </c>
      <c r="N163" s="44" t="s">
        <v>1279</v>
      </c>
      <c r="O163" s="221">
        <v>6</v>
      </c>
      <c r="P163" s="238" t="str">
        <f>VLOOKUP(_xlfn.CONCAT(Table3[[#This Row],[Target area]],Table3[[#This Row],[GHG target?]],Table3[[#This Row],[Conditionality]]),'Drop down'!$E$81:$F$101,2,FALSE)</f>
        <v>T_Transport_O_C</v>
      </c>
      <c r="Q163" s="239" t="str">
        <f>VLOOKUP(Table3[[#This Row],[Target type]],Table418[[Value name]:[Value idenifyer]],2,FALSE)</f>
        <v>T_O_MODE</v>
      </c>
      <c r="S163" s="233" t="s">
        <v>1125</v>
      </c>
      <c r="V163" s="233" t="str">
        <f>VLOOKUP(Table3[[#This Row],[Country Code]],Table29[],3,FALSE)</f>
        <v>Non-Annex I</v>
      </c>
      <c r="W163" s="233" t="str">
        <f>VLOOKUP(Table3[[#This Row],[Country Code]],Table29[],4,FALSE)</f>
        <v>Asia</v>
      </c>
      <c r="X163" s="233" t="str">
        <f>VLOOKUP(Table3[[#This Row],[Country Code]],Table29[],5,FALSE)</f>
        <v>Middle-income</v>
      </c>
      <c r="Y163" s="233" t="str">
        <f>VLOOKUP(Table3[[#This Row],[Country Code]],Table29[],6,FALSE)</f>
        <v>no</v>
      </c>
      <c r="Z163" s="233" t="str">
        <f>VLOOKUP(Table3[[#This Row],[Country Code]],Table29[],7,FALSE)</f>
        <v>no</v>
      </c>
      <c r="AA163" s="233" t="str">
        <f>VLOOKUP(Table3[[#This Row],[Country Code]],Table29[],8,FALSE)</f>
        <v>non-OECD</v>
      </c>
      <c r="AB163" s="233" t="str">
        <f>VLOOKUP(Table3[[#This Row],[Country Code]],Table29[],9,FALSE)</f>
        <v>no</v>
      </c>
      <c r="AC163" s="233" t="str">
        <f>VLOOKUP(Table3[[#This Row],[Country Code]],Table29[],10,FALSE)</f>
        <v>no</v>
      </c>
      <c r="AD163" s="235">
        <f>VLOOKUP(Table3[[#This Row],[Country Code]],Table29[],23,FALSE)</f>
        <v>281.38053496815002</v>
      </c>
      <c r="AE163" s="235">
        <f>VLOOKUP(Table3[[#This Row],[Country Code]],Table29[],24,FALSE)</f>
        <v>12.410696897609901</v>
      </c>
      <c r="AF163" s="43"/>
    </row>
    <row r="164" spans="1:32" ht="30" x14ac:dyDescent="0.25">
      <c r="A164" s="360">
        <v>17524</v>
      </c>
      <c r="B164" s="233" t="str">
        <f>VLOOKUP(Table3[[#This Row],[Document ID]],Table1[],2,FALSE)</f>
        <v>BGD</v>
      </c>
      <c r="C164" s="233" t="str">
        <f>VLOOKUP(Table3[[#This Row],[Document ID]],Table1[],3,FALSE)</f>
        <v>Bangladesh</v>
      </c>
      <c r="D164" s="233" t="str">
        <f>VLOOKUP(Table3[[#This Row],[Document ID]],Table1[],5,FALSE)</f>
        <v>NDC</v>
      </c>
      <c r="E164" s="233" t="str">
        <f>VLOOKUP(Table3[[#This Row],[Document ID]],Table1[],7,FALSE)</f>
        <v>First NDC</v>
      </c>
      <c r="F164" s="233" t="str">
        <f>VLOOKUP(Table3[[#This Row],[Document ID]],Table1[],8,FALSE)</f>
        <v>NDC 1.0</v>
      </c>
      <c r="G164" s="233" t="str">
        <f>VLOOKUP(Table3[[#This Row],[Document ID]],Table1[],10,FALSE)</f>
        <v>Archived</v>
      </c>
      <c r="H164" s="42" t="s">
        <v>1095</v>
      </c>
      <c r="I164" s="42" t="s">
        <v>1096</v>
      </c>
      <c r="J164" s="42" t="s">
        <v>1097</v>
      </c>
      <c r="K164" s="28" t="s">
        <v>1137</v>
      </c>
      <c r="L164" s="43" t="s">
        <v>1092</v>
      </c>
      <c r="M164" s="209">
        <v>2030</v>
      </c>
      <c r="N164" s="17" t="s">
        <v>1280</v>
      </c>
      <c r="O164" s="221">
        <v>6</v>
      </c>
      <c r="P164" s="238" t="str">
        <f>VLOOKUP(_xlfn.CONCAT(Table3[[#This Row],[Target area]],Table3[[#This Row],[GHG target?]],Table3[[#This Row],[Conditionality]]),'Drop down'!$E$81:$F$101,2,FALSE)</f>
        <v>T_Transport_O_C</v>
      </c>
      <c r="Q164" s="239" t="str">
        <f>VLOOKUP(Table3[[#This Row],[Target type]],Table418[[Value name]:[Value idenifyer]],2,FALSE)</f>
        <v>T_O_EFF</v>
      </c>
      <c r="S164" s="233" t="s">
        <v>1125</v>
      </c>
      <c r="V164" s="233" t="str">
        <f>VLOOKUP(Table3[[#This Row],[Country Code]],Table29[],3,FALSE)</f>
        <v>Non-Annex I</v>
      </c>
      <c r="W164" s="233" t="str">
        <f>VLOOKUP(Table3[[#This Row],[Country Code]],Table29[],4,FALSE)</f>
        <v>Asia</v>
      </c>
      <c r="X164" s="233" t="str">
        <f>VLOOKUP(Table3[[#This Row],[Country Code]],Table29[],5,FALSE)</f>
        <v>Middle-income</v>
      </c>
      <c r="Y164" s="233" t="str">
        <f>VLOOKUP(Table3[[#This Row],[Country Code]],Table29[],6,FALSE)</f>
        <v>no</v>
      </c>
      <c r="Z164" s="233" t="str">
        <f>VLOOKUP(Table3[[#This Row],[Country Code]],Table29[],7,FALSE)</f>
        <v>no</v>
      </c>
      <c r="AA164" s="233" t="str">
        <f>VLOOKUP(Table3[[#This Row],[Country Code]],Table29[],8,FALSE)</f>
        <v>non-OECD</v>
      </c>
      <c r="AB164" s="233" t="str">
        <f>VLOOKUP(Table3[[#This Row],[Country Code]],Table29[],9,FALSE)</f>
        <v>no</v>
      </c>
      <c r="AC164" s="233" t="str">
        <f>VLOOKUP(Table3[[#This Row],[Country Code]],Table29[],10,FALSE)</f>
        <v>no</v>
      </c>
      <c r="AD164" s="235">
        <f>VLOOKUP(Table3[[#This Row],[Country Code]],Table29[],23,FALSE)</f>
        <v>281.38053496815002</v>
      </c>
      <c r="AE164" s="235">
        <f>VLOOKUP(Table3[[#This Row],[Country Code]],Table29[],24,FALSE)</f>
        <v>12.410696897609901</v>
      </c>
      <c r="AF164" s="43"/>
    </row>
    <row r="165" spans="1:32" x14ac:dyDescent="0.25">
      <c r="A165" s="360">
        <v>17554</v>
      </c>
      <c r="B165" s="233" t="str">
        <f>VLOOKUP(Table3[[#This Row],[Document ID]],Table1[],2,FALSE)</f>
        <v>CHL</v>
      </c>
      <c r="C165" s="233" t="str">
        <f>VLOOKUP(Table3[[#This Row],[Document ID]],Table1[],3,FALSE)</f>
        <v>Chile</v>
      </c>
      <c r="D165" s="233" t="str">
        <f>VLOOKUP(Table3[[#This Row],[Document ID]],Table1[],5,FALSE)</f>
        <v>NDC</v>
      </c>
      <c r="E165" s="233" t="str">
        <f>VLOOKUP(Table3[[#This Row],[Document ID]],Table1[],7,FALSE)</f>
        <v>First NDC</v>
      </c>
      <c r="F165" s="233" t="str">
        <f>VLOOKUP(Table3[[#This Row],[Document ID]],Table1[],8,FALSE)</f>
        <v>NDC 1.0</v>
      </c>
      <c r="G165" s="233" t="str">
        <f>VLOOKUP(Table3[[#This Row],[Document ID]],Table1[],10,FALSE)</f>
        <v>Archived</v>
      </c>
      <c r="H165" s="216" t="s">
        <v>1089</v>
      </c>
      <c r="I165" s="216" t="s">
        <v>1089</v>
      </c>
      <c r="J165" s="43" t="s">
        <v>1090</v>
      </c>
      <c r="K165" s="28" t="s">
        <v>1153</v>
      </c>
      <c r="L165" s="42" t="s">
        <v>1099</v>
      </c>
      <c r="M165" s="209">
        <v>2030</v>
      </c>
      <c r="N165" s="176" t="s">
        <v>1281</v>
      </c>
      <c r="O165" s="258" t="s">
        <v>1094</v>
      </c>
      <c r="P165" s="238" t="str">
        <f>VLOOKUP(_xlfn.CONCAT(Table3[[#This Row],[Target area]],Table3[[#This Row],[GHG target?]],Table3[[#This Row],[Conditionality]]),'Drop down'!$E$81:$F$101,2,FALSE)</f>
        <v>T_Economy_Unc</v>
      </c>
      <c r="Q165" s="239" t="str">
        <f>VLOOKUP(Table3[[#This Row],[Target type]],Table418[[Value name]:[Value idenifyer]],2,FALSE)</f>
        <v>T_BYE</v>
      </c>
      <c r="T165" s="234" t="s">
        <v>1113</v>
      </c>
      <c r="V165" s="233" t="str">
        <f>VLOOKUP(Table3[[#This Row],[Country Code]],Table29[],3,FALSE)</f>
        <v>Non-Annex I</v>
      </c>
      <c r="W165" s="233" t="str">
        <f>VLOOKUP(Table3[[#This Row],[Country Code]],Table29[],4,FALSE)</f>
        <v>Latin America and the Caribbean</v>
      </c>
      <c r="X165" s="233" t="str">
        <f>VLOOKUP(Table3[[#This Row],[Country Code]],Table29[],5,FALSE)</f>
        <v>High-income</v>
      </c>
      <c r="Y165" s="233" t="str">
        <f>VLOOKUP(Table3[[#This Row],[Country Code]],Table29[],6,FALSE)</f>
        <v>no</v>
      </c>
      <c r="Z165" s="233" t="str">
        <f>VLOOKUP(Table3[[#This Row],[Country Code]],Table29[],7,FALSE)</f>
        <v>no</v>
      </c>
      <c r="AA165" s="233" t="str">
        <f>VLOOKUP(Table3[[#This Row],[Country Code]],Table29[],8,FALSE)</f>
        <v>OECD</v>
      </c>
      <c r="AB165" s="233" t="str">
        <f>VLOOKUP(Table3[[#This Row],[Country Code]],Table29[],9,FALSE)</f>
        <v>no</v>
      </c>
      <c r="AC165" s="233" t="str">
        <f>VLOOKUP(Table3[[#This Row],[Country Code]],Table29[],10,FALSE)</f>
        <v>no</v>
      </c>
      <c r="AD165" s="235">
        <f>VLOOKUP(Table3[[#This Row],[Country Code]],Table29[],23,FALSE)</f>
        <v>121.46313217391</v>
      </c>
      <c r="AE165" s="235">
        <f>VLOOKUP(Table3[[#This Row],[Country Code]],Table29[],24,FALSE)</f>
        <v>32.478801178832768</v>
      </c>
      <c r="AF165" s="43"/>
    </row>
    <row r="166" spans="1:32" x14ac:dyDescent="0.25">
      <c r="A166" s="360">
        <v>17554</v>
      </c>
      <c r="B166" s="233" t="str">
        <f>VLOOKUP(Table3[[#This Row],[Document ID]],Table1[],2,FALSE)</f>
        <v>CHL</v>
      </c>
      <c r="C166" s="233" t="str">
        <f>VLOOKUP(Table3[[#This Row],[Document ID]],Table1[],3,FALSE)</f>
        <v>Chile</v>
      </c>
      <c r="D166" s="233" t="str">
        <f>VLOOKUP(Table3[[#This Row],[Document ID]],Table1[],5,FALSE)</f>
        <v>NDC</v>
      </c>
      <c r="E166" s="233" t="str">
        <f>VLOOKUP(Table3[[#This Row],[Document ID]],Table1[],7,FALSE)</f>
        <v>First NDC</v>
      </c>
      <c r="F166" s="233" t="str">
        <f>VLOOKUP(Table3[[#This Row],[Document ID]],Table1[],8,FALSE)</f>
        <v>NDC 1.0</v>
      </c>
      <c r="G166" s="233" t="str">
        <f>VLOOKUP(Table3[[#This Row],[Document ID]],Table1[],10,FALSE)</f>
        <v>Archived</v>
      </c>
      <c r="H166" s="216" t="s">
        <v>1089</v>
      </c>
      <c r="I166" s="216" t="s">
        <v>1089</v>
      </c>
      <c r="J166" s="43" t="s">
        <v>1090</v>
      </c>
      <c r="K166" s="28" t="s">
        <v>1153</v>
      </c>
      <c r="L166" s="216" t="s">
        <v>1092</v>
      </c>
      <c r="M166" s="209">
        <v>2030</v>
      </c>
      <c r="N166" s="176" t="s">
        <v>1282</v>
      </c>
      <c r="O166" s="258" t="s">
        <v>1094</v>
      </c>
      <c r="P166" s="238" t="str">
        <f>VLOOKUP(_xlfn.CONCAT(Table3[[#This Row],[Target area]],Table3[[#This Row],[GHG target?]],Table3[[#This Row],[Conditionality]]),'Drop down'!$E$81:$F$101,2,FALSE)</f>
        <v>T_Economy_C</v>
      </c>
      <c r="Q166" s="239" t="str">
        <f>VLOOKUP(Table3[[#This Row],[Target type]],Table418[[Value name]:[Value idenifyer]],2,FALSE)</f>
        <v>T_BYE</v>
      </c>
      <c r="T166" s="234" t="s">
        <v>1113</v>
      </c>
      <c r="V166" s="233" t="str">
        <f>VLOOKUP(Table3[[#This Row],[Country Code]],Table29[],3,FALSE)</f>
        <v>Non-Annex I</v>
      </c>
      <c r="W166" s="233" t="str">
        <f>VLOOKUP(Table3[[#This Row],[Country Code]],Table29[],4,FALSE)</f>
        <v>Latin America and the Caribbean</v>
      </c>
      <c r="X166" s="233" t="str">
        <f>VLOOKUP(Table3[[#This Row],[Country Code]],Table29[],5,FALSE)</f>
        <v>High-income</v>
      </c>
      <c r="Y166" s="233" t="str">
        <f>VLOOKUP(Table3[[#This Row],[Country Code]],Table29[],6,FALSE)</f>
        <v>no</v>
      </c>
      <c r="Z166" s="233" t="str">
        <f>VLOOKUP(Table3[[#This Row],[Country Code]],Table29[],7,FALSE)</f>
        <v>no</v>
      </c>
      <c r="AA166" s="233" t="str">
        <f>VLOOKUP(Table3[[#This Row],[Country Code]],Table29[],8,FALSE)</f>
        <v>OECD</v>
      </c>
      <c r="AB166" s="233" t="str">
        <f>VLOOKUP(Table3[[#This Row],[Country Code]],Table29[],9,FALSE)</f>
        <v>no</v>
      </c>
      <c r="AC166" s="233" t="str">
        <f>VLOOKUP(Table3[[#This Row],[Country Code]],Table29[],10,FALSE)</f>
        <v>no</v>
      </c>
      <c r="AD166" s="235">
        <f>VLOOKUP(Table3[[#This Row],[Country Code]],Table29[],23,FALSE)</f>
        <v>121.46313217391</v>
      </c>
      <c r="AE166" s="235">
        <f>VLOOKUP(Table3[[#This Row],[Country Code]],Table29[],24,FALSE)</f>
        <v>32.478801178832768</v>
      </c>
      <c r="AF166" s="43"/>
    </row>
    <row r="167" spans="1:32" x14ac:dyDescent="0.25">
      <c r="A167" s="360">
        <v>17524</v>
      </c>
      <c r="B167" s="233" t="str">
        <f>VLOOKUP(Table3[[#This Row],[Document ID]],Table1[],2,FALSE)</f>
        <v>BGD</v>
      </c>
      <c r="C167" s="233" t="str">
        <f>VLOOKUP(Table3[[#This Row],[Document ID]],Table1[],3,FALSE)</f>
        <v>Bangladesh</v>
      </c>
      <c r="D167" s="233" t="str">
        <f>VLOOKUP(Table3[[#This Row],[Document ID]],Table1[],5,FALSE)</f>
        <v>NDC</v>
      </c>
      <c r="E167" s="233" t="str">
        <f>VLOOKUP(Table3[[#This Row],[Document ID]],Table1[],7,FALSE)</f>
        <v>First NDC</v>
      </c>
      <c r="F167" s="233" t="str">
        <f>VLOOKUP(Table3[[#This Row],[Document ID]],Table1[],8,FALSE)</f>
        <v>NDC 1.0</v>
      </c>
      <c r="G167" s="233" t="str">
        <f>VLOOKUP(Table3[[#This Row],[Document ID]],Table1[],10,FALSE)</f>
        <v>Archived</v>
      </c>
      <c r="H167" s="42" t="s">
        <v>1095</v>
      </c>
      <c r="I167" s="43" t="s">
        <v>1115</v>
      </c>
      <c r="J167" s="43" t="s">
        <v>1090</v>
      </c>
      <c r="K167" s="28" t="s">
        <v>1091</v>
      </c>
      <c r="L167" s="43" t="s">
        <v>1092</v>
      </c>
      <c r="M167" s="209">
        <v>2030</v>
      </c>
      <c r="N167" s="21" t="s">
        <v>1283</v>
      </c>
      <c r="O167" s="259">
        <v>4</v>
      </c>
      <c r="P167" s="238" t="str">
        <f>VLOOKUP(_xlfn.CONCAT(Table3[[#This Row],[Target area]],Table3[[#This Row],[GHG target?]],Table3[[#This Row],[Conditionality]]),'Drop down'!$E$81:$F$101,2,FALSE)</f>
        <v>T_Transport_C</v>
      </c>
      <c r="Q167" s="239" t="str">
        <f>VLOOKUP(Table3[[#This Row],[Target type]],Table418[[Value name]:[Value idenifyer]],2,FALSE)</f>
        <v>T_BAU</v>
      </c>
      <c r="R167" s="233" t="s">
        <v>1265</v>
      </c>
      <c r="S167" s="233" t="s">
        <v>1125</v>
      </c>
      <c r="T167" s="240"/>
      <c r="U167" s="240"/>
      <c r="V167" s="233" t="str">
        <f>VLOOKUP(Table3[[#This Row],[Country Code]],Table29[],3,FALSE)</f>
        <v>Non-Annex I</v>
      </c>
      <c r="W167" s="233" t="str">
        <f>VLOOKUP(Table3[[#This Row],[Country Code]],Table29[],4,FALSE)</f>
        <v>Asia</v>
      </c>
      <c r="X167" s="233" t="str">
        <f>VLOOKUP(Table3[[#This Row],[Country Code]],Table29[],5,FALSE)</f>
        <v>Middle-income</v>
      </c>
      <c r="Y167" s="233" t="str">
        <f>VLOOKUP(Table3[[#This Row],[Country Code]],Table29[],6,FALSE)</f>
        <v>no</v>
      </c>
      <c r="Z167" s="233" t="str">
        <f>VLOOKUP(Table3[[#This Row],[Country Code]],Table29[],7,FALSE)</f>
        <v>no</v>
      </c>
      <c r="AA167" s="233" t="str">
        <f>VLOOKUP(Table3[[#This Row],[Country Code]],Table29[],8,FALSE)</f>
        <v>non-OECD</v>
      </c>
      <c r="AB167" s="233" t="str">
        <f>VLOOKUP(Table3[[#This Row],[Country Code]],Table29[],9,FALSE)</f>
        <v>no</v>
      </c>
      <c r="AC167" s="233" t="str">
        <f>VLOOKUP(Table3[[#This Row],[Country Code]],Table29[],10,FALSE)</f>
        <v>no</v>
      </c>
      <c r="AD167" s="235">
        <f>VLOOKUP(Table3[[#This Row],[Country Code]],Table29[],23,FALSE)</f>
        <v>281.38053496815002</v>
      </c>
      <c r="AE167" s="235">
        <f>VLOOKUP(Table3[[#This Row],[Country Code]],Table29[],24,FALSE)</f>
        <v>12.410696897609901</v>
      </c>
      <c r="AF167" s="43"/>
    </row>
    <row r="168" spans="1:32" ht="30" x14ac:dyDescent="0.25">
      <c r="A168" s="360">
        <v>23840</v>
      </c>
      <c r="B168" s="233" t="str">
        <f>VLOOKUP(Table3[[#This Row],[Document ID]],Table1[],2,FALSE)</f>
        <v>CHN</v>
      </c>
      <c r="C168" s="233" t="str">
        <f>VLOOKUP(Table3[[#This Row],[Document ID]],Table1[],3,FALSE)</f>
        <v>China</v>
      </c>
      <c r="D168" s="233" t="str">
        <f>VLOOKUP(Table3[[#This Row],[Document ID]],Table1[],5,FALSE)</f>
        <v>NDC</v>
      </c>
      <c r="E168" s="233" t="str">
        <f>VLOOKUP(Table3[[#This Row],[Document ID]],Table1[],7,FALSE)</f>
        <v>First NDC updated</v>
      </c>
      <c r="F168" s="233" t="str">
        <f>VLOOKUP(Table3[[#This Row],[Document ID]],Table1[],8,FALSE)</f>
        <v>NDC 1.1</v>
      </c>
      <c r="G168" s="233" t="str">
        <f>VLOOKUP(Table3[[#This Row],[Document ID]],Table1[],10,FALSE)</f>
        <v>Active</v>
      </c>
      <c r="H168" s="216" t="s">
        <v>1089</v>
      </c>
      <c r="I168" s="216" t="s">
        <v>1089</v>
      </c>
      <c r="J168" s="43" t="s">
        <v>1090</v>
      </c>
      <c r="K168" s="28" t="s">
        <v>1153</v>
      </c>
      <c r="L168" s="42" t="s">
        <v>1099</v>
      </c>
      <c r="M168" s="209">
        <v>2030</v>
      </c>
      <c r="N168" s="209" t="s">
        <v>1284</v>
      </c>
      <c r="O168" s="257">
        <v>2</v>
      </c>
      <c r="P168" s="238" t="str">
        <f>VLOOKUP(_xlfn.CONCAT(Table3[[#This Row],[Target area]],Table3[[#This Row],[GHG target?]],Table3[[#This Row],[Conditionality]]),'Drop down'!$E$81:$F$101,2,FALSE)</f>
        <v>T_Economy_Unc</v>
      </c>
      <c r="Q168" s="239" t="str">
        <f>VLOOKUP(Table3[[#This Row],[Target type]],Table418[[Value name]:[Value idenifyer]],2,FALSE)</f>
        <v>T_BYE</v>
      </c>
      <c r="T168" s="240" t="s">
        <v>1113</v>
      </c>
      <c r="U168" s="240"/>
      <c r="V168" s="233" t="str">
        <f>VLOOKUP(Table3[[#This Row],[Country Code]],Table29[],3,FALSE)</f>
        <v>Non-Annex I</v>
      </c>
      <c r="W168" s="233" t="str">
        <f>VLOOKUP(Table3[[#This Row],[Country Code]],Table29[],4,FALSE)</f>
        <v>Asia</v>
      </c>
      <c r="X168" s="233" t="str">
        <f>VLOOKUP(Table3[[#This Row],[Country Code]],Table29[],5,FALSE)</f>
        <v>Middle-income</v>
      </c>
      <c r="Y168" s="233" t="str">
        <f>VLOOKUP(Table3[[#This Row],[Country Code]],Table29[],6,FALSE)</f>
        <v>G20</v>
      </c>
      <c r="Z168" s="233" t="str">
        <f>VLOOKUP(Table3[[#This Row],[Country Code]],Table29[],7,FALSE)</f>
        <v>no</v>
      </c>
      <c r="AA168" s="233" t="str">
        <f>VLOOKUP(Table3[[#This Row],[Country Code]],Table29[],8,FALSE)</f>
        <v>non-OECD</v>
      </c>
      <c r="AB168" s="233" t="str">
        <f>VLOOKUP(Table3[[#This Row],[Country Code]],Table29[],9,FALSE)</f>
        <v>no</v>
      </c>
      <c r="AC168" s="233" t="str">
        <f>VLOOKUP(Table3[[#This Row],[Country Code]],Table29[],10,FALSE)</f>
        <v>no</v>
      </c>
      <c r="AD168" s="235">
        <f>VLOOKUP(Table3[[#This Row],[Country Code]],Table29[],23,FALSE)</f>
        <v>15943.986552905</v>
      </c>
      <c r="AE168" s="235">
        <f>VLOOKUP(Table3[[#This Row],[Country Code]],Table29[],24,FALSE)</f>
        <v>1110.1781062864729</v>
      </c>
      <c r="AF168" s="43"/>
    </row>
    <row r="169" spans="1:32" x14ac:dyDescent="0.25">
      <c r="A169" s="360">
        <v>17524</v>
      </c>
      <c r="B169" s="233" t="str">
        <f>VLOOKUP(Table3[[#This Row],[Document ID]],Table1[],2,FALSE)</f>
        <v>BGD</v>
      </c>
      <c r="C169" s="233" t="str">
        <f>VLOOKUP(Table3[[#This Row],[Document ID]],Table1[],3,FALSE)</f>
        <v>Bangladesh</v>
      </c>
      <c r="D169" s="233" t="str">
        <f>VLOOKUP(Table3[[#This Row],[Document ID]],Table1[],5,FALSE)</f>
        <v>NDC</v>
      </c>
      <c r="E169" s="233" t="str">
        <f>VLOOKUP(Table3[[#This Row],[Document ID]],Table1[],7,FALSE)</f>
        <v>First NDC</v>
      </c>
      <c r="F169" s="233" t="str">
        <f>VLOOKUP(Table3[[#This Row],[Document ID]],Table1[],8,FALSE)</f>
        <v>NDC 1.0</v>
      </c>
      <c r="G169" s="233" t="str">
        <f>VLOOKUP(Table3[[#This Row],[Document ID]],Table1[],10,FALSE)</f>
        <v>Archived</v>
      </c>
      <c r="H169" s="42" t="s">
        <v>1095</v>
      </c>
      <c r="I169" s="43" t="s">
        <v>1115</v>
      </c>
      <c r="J169" s="43" t="s">
        <v>1090</v>
      </c>
      <c r="K169" s="28" t="s">
        <v>1091</v>
      </c>
      <c r="L169" s="42" t="s">
        <v>1099</v>
      </c>
      <c r="M169" s="209">
        <v>2030</v>
      </c>
      <c r="N169" s="21" t="s">
        <v>1285</v>
      </c>
      <c r="O169" s="221">
        <v>4</v>
      </c>
      <c r="P169" s="238" t="str">
        <f>VLOOKUP(_xlfn.CONCAT(Table3[[#This Row],[Target area]],Table3[[#This Row],[GHG target?]],Table3[[#This Row],[Conditionality]]),'Drop down'!$E$81:$F$101,2,FALSE)</f>
        <v>T_Transport_Unc</v>
      </c>
      <c r="Q169" s="239" t="str">
        <f>VLOOKUP(Table3[[#This Row],[Target type]],Table418[[Value name]:[Value idenifyer]],2,FALSE)</f>
        <v>T_BAU</v>
      </c>
      <c r="R169" s="233" t="s">
        <v>1265</v>
      </c>
      <c r="S169" s="233" t="s">
        <v>1125</v>
      </c>
      <c r="V169" s="233" t="str">
        <f>VLOOKUP(Table3[[#This Row],[Country Code]],Table29[],3,FALSE)</f>
        <v>Non-Annex I</v>
      </c>
      <c r="W169" s="233" t="str">
        <f>VLOOKUP(Table3[[#This Row],[Country Code]],Table29[],4,FALSE)</f>
        <v>Asia</v>
      </c>
      <c r="X169" s="233" t="str">
        <f>VLOOKUP(Table3[[#This Row],[Country Code]],Table29[],5,FALSE)</f>
        <v>Middle-income</v>
      </c>
      <c r="Y169" s="233" t="str">
        <f>VLOOKUP(Table3[[#This Row],[Country Code]],Table29[],6,FALSE)</f>
        <v>no</v>
      </c>
      <c r="Z169" s="233" t="str">
        <f>VLOOKUP(Table3[[#This Row],[Country Code]],Table29[],7,FALSE)</f>
        <v>no</v>
      </c>
      <c r="AA169" s="233" t="str">
        <f>VLOOKUP(Table3[[#This Row],[Country Code]],Table29[],8,FALSE)</f>
        <v>non-OECD</v>
      </c>
      <c r="AB169" s="233" t="str">
        <f>VLOOKUP(Table3[[#This Row],[Country Code]],Table29[],9,FALSE)</f>
        <v>no</v>
      </c>
      <c r="AC169" s="233" t="str">
        <f>VLOOKUP(Table3[[#This Row],[Country Code]],Table29[],10,FALSE)</f>
        <v>no</v>
      </c>
      <c r="AD169" s="235">
        <f>VLOOKUP(Table3[[#This Row],[Country Code]],Table29[],23,FALSE)</f>
        <v>281.38053496815002</v>
      </c>
      <c r="AE169" s="235">
        <f>VLOOKUP(Table3[[#This Row],[Country Code]],Table29[],24,FALSE)</f>
        <v>12.410696897609901</v>
      </c>
      <c r="AF169" s="43"/>
    </row>
    <row r="170" spans="1:32" x14ac:dyDescent="0.25">
      <c r="A170" s="360">
        <v>21725</v>
      </c>
      <c r="B170" s="233" t="str">
        <f>VLOOKUP(Table3[[#This Row],[Document ID]],Table1[],2,FALSE)</f>
        <v>BGD</v>
      </c>
      <c r="C170" s="233" t="str">
        <f>VLOOKUP(Table3[[#This Row],[Document ID]],Table1[],3,FALSE)</f>
        <v>Bangladesh</v>
      </c>
      <c r="D170" s="233" t="str">
        <f>VLOOKUP(Table3[[#This Row],[Document ID]],Table1[],5,FALSE)</f>
        <v>NDC</v>
      </c>
      <c r="E170" s="233" t="str">
        <f>VLOOKUP(Table3[[#This Row],[Document ID]],Table1[],7,FALSE)</f>
        <v>First NDC updated</v>
      </c>
      <c r="F170" s="233" t="str">
        <f>VLOOKUP(Table3[[#This Row],[Document ID]],Table1[],8,FALSE)</f>
        <v>NDC 1.2</v>
      </c>
      <c r="G170" s="233" t="str">
        <f>VLOOKUP(Table3[[#This Row],[Document ID]],Table1[],10,FALSE)</f>
        <v>Active</v>
      </c>
      <c r="H170" s="42" t="s">
        <v>1095</v>
      </c>
      <c r="I170" s="43" t="s">
        <v>1115</v>
      </c>
      <c r="J170" s="43" t="s">
        <v>1090</v>
      </c>
      <c r="K170" s="28" t="s">
        <v>1091</v>
      </c>
      <c r="L170" s="42" t="s">
        <v>1099</v>
      </c>
      <c r="M170" s="209">
        <v>2030</v>
      </c>
      <c r="N170" s="209" t="s">
        <v>1286</v>
      </c>
      <c r="O170" s="257">
        <v>7</v>
      </c>
      <c r="P170" s="238" t="str">
        <f>VLOOKUP(_xlfn.CONCAT(Table3[[#This Row],[Target area]],Table3[[#This Row],[GHG target?]],Table3[[#This Row],[Conditionality]]),'Drop down'!$E$81:$F$101,2,FALSE)</f>
        <v>T_Transport_Unc</v>
      </c>
      <c r="Q170" s="239" t="str">
        <f>VLOOKUP(Table3[[#This Row],[Target type]],Table418[[Value name]:[Value idenifyer]],2,FALSE)</f>
        <v>T_BAU</v>
      </c>
      <c r="R170" s="233" t="s">
        <v>1265</v>
      </c>
      <c r="S170" s="233" t="s">
        <v>1112</v>
      </c>
      <c r="T170" s="240"/>
      <c r="U170" s="240"/>
      <c r="V170" s="233" t="str">
        <f>VLOOKUP(Table3[[#This Row],[Country Code]],Table29[],3,FALSE)</f>
        <v>Non-Annex I</v>
      </c>
      <c r="W170" s="233" t="str">
        <f>VLOOKUP(Table3[[#This Row],[Country Code]],Table29[],4,FALSE)</f>
        <v>Asia</v>
      </c>
      <c r="X170" s="233" t="str">
        <f>VLOOKUP(Table3[[#This Row],[Country Code]],Table29[],5,FALSE)</f>
        <v>Middle-income</v>
      </c>
      <c r="Y170" s="233" t="str">
        <f>VLOOKUP(Table3[[#This Row],[Country Code]],Table29[],6,FALSE)</f>
        <v>no</v>
      </c>
      <c r="Z170" s="233" t="str">
        <f>VLOOKUP(Table3[[#This Row],[Country Code]],Table29[],7,FALSE)</f>
        <v>no</v>
      </c>
      <c r="AA170" s="233" t="str">
        <f>VLOOKUP(Table3[[#This Row],[Country Code]],Table29[],8,FALSE)</f>
        <v>non-OECD</v>
      </c>
      <c r="AB170" s="233" t="str">
        <f>VLOOKUP(Table3[[#This Row],[Country Code]],Table29[],9,FALSE)</f>
        <v>no</v>
      </c>
      <c r="AC170" s="233" t="str">
        <f>VLOOKUP(Table3[[#This Row],[Country Code]],Table29[],10,FALSE)</f>
        <v>no</v>
      </c>
      <c r="AD170" s="235">
        <f>VLOOKUP(Table3[[#This Row],[Country Code]],Table29[],23,FALSE)</f>
        <v>281.38053496815002</v>
      </c>
      <c r="AE170" s="235">
        <f>VLOOKUP(Table3[[#This Row],[Country Code]],Table29[],24,FALSE)</f>
        <v>12.410696897609901</v>
      </c>
      <c r="AF170" s="43"/>
    </row>
    <row r="171" spans="1:32" x14ac:dyDescent="0.25">
      <c r="A171" s="360">
        <v>21725</v>
      </c>
      <c r="B171" s="233" t="str">
        <f>VLOOKUP(Table3[[#This Row],[Document ID]],Table1[],2,FALSE)</f>
        <v>BGD</v>
      </c>
      <c r="C171" s="233" t="str">
        <f>VLOOKUP(Table3[[#This Row],[Document ID]],Table1[],3,FALSE)</f>
        <v>Bangladesh</v>
      </c>
      <c r="D171" s="233" t="str">
        <f>VLOOKUP(Table3[[#This Row],[Document ID]],Table1[],5,FALSE)</f>
        <v>NDC</v>
      </c>
      <c r="E171" s="233" t="str">
        <f>VLOOKUP(Table3[[#This Row],[Document ID]],Table1[],7,FALSE)</f>
        <v>First NDC updated</v>
      </c>
      <c r="F171" s="233" t="str">
        <f>VLOOKUP(Table3[[#This Row],[Document ID]],Table1[],8,FALSE)</f>
        <v>NDC 1.2</v>
      </c>
      <c r="G171" s="233" t="str">
        <f>VLOOKUP(Table3[[#This Row],[Document ID]],Table1[],10,FALSE)</f>
        <v>Active</v>
      </c>
      <c r="H171" s="42" t="s">
        <v>1095</v>
      </c>
      <c r="I171" s="43" t="s">
        <v>1115</v>
      </c>
      <c r="J171" s="43" t="s">
        <v>1090</v>
      </c>
      <c r="K171" s="28" t="s">
        <v>1091</v>
      </c>
      <c r="L171" s="43" t="s">
        <v>1092</v>
      </c>
      <c r="M171" s="209">
        <v>2030</v>
      </c>
      <c r="N171" s="209" t="s">
        <v>1287</v>
      </c>
      <c r="O171" s="257">
        <v>7</v>
      </c>
      <c r="P171" s="238" t="str">
        <f>VLOOKUP(_xlfn.CONCAT(Table3[[#This Row],[Target area]],Table3[[#This Row],[GHG target?]],Table3[[#This Row],[Conditionality]]),'Drop down'!$E$81:$F$101,2,FALSE)</f>
        <v>T_Transport_C</v>
      </c>
      <c r="Q171" s="239" t="str">
        <f>VLOOKUP(Table3[[#This Row],[Target type]],Table418[[Value name]:[Value idenifyer]],2,FALSE)</f>
        <v>T_BAU</v>
      </c>
      <c r="R171" s="233" t="s">
        <v>1265</v>
      </c>
      <c r="S171" s="233" t="s">
        <v>1112</v>
      </c>
      <c r="T171" s="240"/>
      <c r="U171" s="240"/>
      <c r="V171" s="233" t="str">
        <f>VLOOKUP(Table3[[#This Row],[Country Code]],Table29[],3,FALSE)</f>
        <v>Non-Annex I</v>
      </c>
      <c r="W171" s="233" t="str">
        <f>VLOOKUP(Table3[[#This Row],[Country Code]],Table29[],4,FALSE)</f>
        <v>Asia</v>
      </c>
      <c r="X171" s="233" t="str">
        <f>VLOOKUP(Table3[[#This Row],[Country Code]],Table29[],5,FALSE)</f>
        <v>Middle-income</v>
      </c>
      <c r="Y171" s="233" t="str">
        <f>VLOOKUP(Table3[[#This Row],[Country Code]],Table29[],6,FALSE)</f>
        <v>no</v>
      </c>
      <c r="Z171" s="233" t="str">
        <f>VLOOKUP(Table3[[#This Row],[Country Code]],Table29[],7,FALSE)</f>
        <v>no</v>
      </c>
      <c r="AA171" s="233" t="str">
        <f>VLOOKUP(Table3[[#This Row],[Country Code]],Table29[],8,FALSE)</f>
        <v>non-OECD</v>
      </c>
      <c r="AB171" s="233" t="str">
        <f>VLOOKUP(Table3[[#This Row],[Country Code]],Table29[],9,FALSE)</f>
        <v>no</v>
      </c>
      <c r="AC171" s="233" t="str">
        <f>VLOOKUP(Table3[[#This Row],[Country Code]],Table29[],10,FALSE)</f>
        <v>no</v>
      </c>
      <c r="AD171" s="235">
        <f>VLOOKUP(Table3[[#This Row],[Country Code]],Table29[],23,FALSE)</f>
        <v>281.38053496815002</v>
      </c>
      <c r="AE171" s="235">
        <f>VLOOKUP(Table3[[#This Row],[Country Code]],Table29[],24,FALSE)</f>
        <v>12.410696897609901</v>
      </c>
      <c r="AF171" s="43"/>
    </row>
    <row r="172" spans="1:32" ht="45" x14ac:dyDescent="0.25">
      <c r="A172" s="360">
        <v>17556</v>
      </c>
      <c r="B172" s="233" t="str">
        <f>VLOOKUP(Table3[[#This Row],[Document ID]],Table1[],2,FALSE)</f>
        <v>CHN</v>
      </c>
      <c r="C172" s="233" t="str">
        <f>VLOOKUP(Table3[[#This Row],[Document ID]],Table1[],3,FALSE)</f>
        <v>China</v>
      </c>
      <c r="D172" s="233" t="str">
        <f>VLOOKUP(Table3[[#This Row],[Document ID]],Table1[],5,FALSE)</f>
        <v>NDC</v>
      </c>
      <c r="E172" s="233" t="str">
        <f>VLOOKUP(Table3[[#This Row],[Document ID]],Table1[],7,FALSE)</f>
        <v>First NDC</v>
      </c>
      <c r="F172" s="233" t="str">
        <f>VLOOKUP(Table3[[#This Row],[Document ID]],Table1[],8,FALSE)</f>
        <v>NDC 1.0</v>
      </c>
      <c r="G172" s="233" t="str">
        <f>VLOOKUP(Table3[[#This Row],[Document ID]],Table1[],10,FALSE)</f>
        <v>Archived</v>
      </c>
      <c r="H172" s="216" t="s">
        <v>1089</v>
      </c>
      <c r="I172" s="216" t="s">
        <v>1089</v>
      </c>
      <c r="J172" s="43" t="s">
        <v>1090</v>
      </c>
      <c r="K172" s="28" t="s">
        <v>1153</v>
      </c>
      <c r="L172" s="42" t="s">
        <v>1099</v>
      </c>
      <c r="M172" s="209">
        <v>2030</v>
      </c>
      <c r="N172" s="176" t="s">
        <v>1288</v>
      </c>
      <c r="O172" s="258" t="s">
        <v>1094</v>
      </c>
      <c r="P172" s="238" t="str">
        <f>VLOOKUP(_xlfn.CONCAT(Table3[[#This Row],[Target area]],Table3[[#This Row],[GHG target?]],Table3[[#This Row],[Conditionality]]),'Drop down'!$E$81:$F$101,2,FALSE)</f>
        <v>T_Economy_Unc</v>
      </c>
      <c r="Q172" s="239" t="str">
        <f>VLOOKUP(Table3[[#This Row],[Target type]],Table418[[Value name]:[Value idenifyer]],2,FALSE)</f>
        <v>T_BYE</v>
      </c>
      <c r="S172" s="233" t="s">
        <v>1101</v>
      </c>
      <c r="T172" s="234" t="s">
        <v>1113</v>
      </c>
      <c r="U172" s="240"/>
      <c r="V172" s="233" t="str">
        <f>VLOOKUP(Table3[[#This Row],[Country Code]],Table29[],3,FALSE)</f>
        <v>Non-Annex I</v>
      </c>
      <c r="W172" s="233" t="str">
        <f>VLOOKUP(Table3[[#This Row],[Country Code]],Table29[],4,FALSE)</f>
        <v>Asia</v>
      </c>
      <c r="X172" s="233" t="str">
        <f>VLOOKUP(Table3[[#This Row],[Country Code]],Table29[],5,FALSE)</f>
        <v>Middle-income</v>
      </c>
      <c r="Y172" s="233" t="str">
        <f>VLOOKUP(Table3[[#This Row],[Country Code]],Table29[],6,FALSE)</f>
        <v>G20</v>
      </c>
      <c r="Z172" s="233" t="str">
        <f>VLOOKUP(Table3[[#This Row],[Country Code]],Table29[],7,FALSE)</f>
        <v>no</v>
      </c>
      <c r="AA172" s="233" t="str">
        <f>VLOOKUP(Table3[[#This Row],[Country Code]],Table29[],8,FALSE)</f>
        <v>non-OECD</v>
      </c>
      <c r="AB172" s="233" t="str">
        <f>VLOOKUP(Table3[[#This Row],[Country Code]],Table29[],9,FALSE)</f>
        <v>no</v>
      </c>
      <c r="AC172" s="233" t="str">
        <f>VLOOKUP(Table3[[#This Row],[Country Code]],Table29[],10,FALSE)</f>
        <v>no</v>
      </c>
      <c r="AD172" s="235">
        <f>VLOOKUP(Table3[[#This Row],[Country Code]],Table29[],23,FALSE)</f>
        <v>15943.986552905</v>
      </c>
      <c r="AE172" s="235">
        <f>VLOOKUP(Table3[[#This Row],[Country Code]],Table29[],24,FALSE)</f>
        <v>1110.1781062864729</v>
      </c>
      <c r="AF172" s="43"/>
    </row>
    <row r="173" spans="1:32" ht="45" x14ac:dyDescent="0.25">
      <c r="A173" s="360">
        <v>26777</v>
      </c>
      <c r="B173" s="233" t="str">
        <f>VLOOKUP(Table3[[#This Row],[Document ID]],Table1[],2,FALSE)</f>
        <v>COL</v>
      </c>
      <c r="C173" s="233" t="str">
        <f>VLOOKUP(Table3[[#This Row],[Document ID]],Table1[],3,FALSE)</f>
        <v>Colombia</v>
      </c>
      <c r="D173" s="233" t="str">
        <f>VLOOKUP(Table3[[#This Row],[Document ID]],Table1[],5,FALSE)</f>
        <v>LTS</v>
      </c>
      <c r="E173" s="233" t="str">
        <f>VLOOKUP(Table3[[#This Row],[Document ID]],Table1[],7,FALSE)</f>
        <v>LTS</v>
      </c>
      <c r="F173" s="233" t="str">
        <f>VLOOKUP(Table3[[#This Row],[Document ID]],Table1[],8,FALSE)</f>
        <v>LTS 1.0</v>
      </c>
      <c r="G173" s="233" t="str">
        <f>VLOOKUP(Table3[[#This Row],[Document ID]],Table1[],10,FALSE)</f>
        <v>Active</v>
      </c>
      <c r="H173" s="216" t="s">
        <v>1089</v>
      </c>
      <c r="I173" s="216" t="s">
        <v>1089</v>
      </c>
      <c r="J173" s="43" t="s">
        <v>1090</v>
      </c>
      <c r="K173" s="43" t="s">
        <v>1289</v>
      </c>
      <c r="L173" s="42" t="s">
        <v>1099</v>
      </c>
      <c r="M173" s="209">
        <v>2030</v>
      </c>
      <c r="N173" s="44" t="s">
        <v>1290</v>
      </c>
      <c r="O173" s="258">
        <v>23</v>
      </c>
      <c r="P173" s="238" t="str">
        <f>VLOOKUP(_xlfn.CONCAT(Table3[[#This Row],[Target area]],Table3[[#This Row],[GHG target?]],Table3[[#This Row],[Conditionality]]),'Drop down'!$E$81:$F$101,2,FALSE)</f>
        <v>T_Economy_Unc</v>
      </c>
      <c r="Q173" s="239" t="str">
        <f>VLOOKUP(Table3[[#This Row],[Target type]],Table418[[Value name]:[Value idenifyer]],2,FALSE)</f>
        <v>T_TRA</v>
      </c>
      <c r="S173" s="233" t="s">
        <v>1101</v>
      </c>
      <c r="T173" s="234" t="s">
        <v>1291</v>
      </c>
      <c r="U173" s="234" t="s">
        <v>1113</v>
      </c>
      <c r="V173" s="233" t="str">
        <f>VLOOKUP(Table3[[#This Row],[Country Code]],Table29[],3,FALSE)</f>
        <v>Non-Annex I</v>
      </c>
      <c r="W173" s="233" t="str">
        <f>VLOOKUP(Table3[[#This Row],[Country Code]],Table29[],4,FALSE)</f>
        <v>Latin America and the Caribbean</v>
      </c>
      <c r="X173" s="233" t="str">
        <f>VLOOKUP(Table3[[#This Row],[Country Code]],Table29[],5,FALSE)</f>
        <v>Middle-income</v>
      </c>
      <c r="Y173" s="233" t="str">
        <f>VLOOKUP(Table3[[#This Row],[Country Code]],Table29[],6,FALSE)</f>
        <v>no</v>
      </c>
      <c r="Z173" s="233" t="str">
        <f>VLOOKUP(Table3[[#This Row],[Country Code]],Table29[],7,FALSE)</f>
        <v>no</v>
      </c>
      <c r="AA173" s="233" t="str">
        <f>VLOOKUP(Table3[[#This Row],[Country Code]],Table29[],8,FALSE)</f>
        <v>OECD</v>
      </c>
      <c r="AB173" s="233" t="str">
        <f>VLOOKUP(Table3[[#This Row],[Country Code]],Table29[],9,FALSE)</f>
        <v>no</v>
      </c>
      <c r="AC173" s="233" t="str">
        <f>VLOOKUP(Table3[[#This Row],[Country Code]],Table29[],10,FALSE)</f>
        <v>no</v>
      </c>
      <c r="AD173" s="235">
        <f>VLOOKUP(Table3[[#This Row],[Country Code]],Table29[],23,FALSE)</f>
        <v>223.96663405241</v>
      </c>
      <c r="AE173" s="235">
        <f>VLOOKUP(Table3[[#This Row],[Country Code]],Table29[],24,FALSE)</f>
        <v>37.36796885652894</v>
      </c>
      <c r="AF173" s="43"/>
    </row>
    <row r="174" spans="1:32" x14ac:dyDescent="0.25">
      <c r="A174" s="360">
        <v>26777</v>
      </c>
      <c r="B174" s="233" t="str">
        <f>VLOOKUP(Table3[[#This Row],[Document ID]],Table1[],2,FALSE)</f>
        <v>COL</v>
      </c>
      <c r="C174" s="233" t="str">
        <f>VLOOKUP(Table3[[#This Row],[Document ID]],Table1[],3,FALSE)</f>
        <v>Colombia</v>
      </c>
      <c r="D174" s="233" t="str">
        <f>VLOOKUP(Table3[[#This Row],[Document ID]],Table1[],5,FALSE)</f>
        <v>LTS</v>
      </c>
      <c r="E174" s="233" t="str">
        <f>VLOOKUP(Table3[[#This Row],[Document ID]],Table1[],7,FALSE)</f>
        <v>LTS</v>
      </c>
      <c r="F174" s="233" t="str">
        <f>VLOOKUP(Table3[[#This Row],[Document ID]],Table1[],8,FALSE)</f>
        <v>LTS 1.0</v>
      </c>
      <c r="G174" s="233" t="str">
        <f>VLOOKUP(Table3[[#This Row],[Document ID]],Table1[],10,FALSE)</f>
        <v>Active</v>
      </c>
      <c r="H174" s="216" t="s">
        <v>1089</v>
      </c>
      <c r="I174" s="216" t="s">
        <v>1089</v>
      </c>
      <c r="J174" s="43" t="s">
        <v>1090</v>
      </c>
      <c r="K174" s="28" t="s">
        <v>1121</v>
      </c>
      <c r="L174" s="42" t="s">
        <v>1099</v>
      </c>
      <c r="M174" s="209">
        <v>2050</v>
      </c>
      <c r="N174" s="43" t="s">
        <v>1292</v>
      </c>
      <c r="O174" s="258">
        <v>30</v>
      </c>
      <c r="P174" s="238" t="str">
        <f>VLOOKUP(_xlfn.CONCAT(Table3[[#This Row],[Target area]],Table3[[#This Row],[GHG target?]],Table3[[#This Row],[Conditionality]]),'Drop down'!$E$81:$F$101,2,FALSE)</f>
        <v>T_Economy_Unc</v>
      </c>
      <c r="Q174" s="239" t="str">
        <f>VLOOKUP(Table3[[#This Row],[Target type]],Table418[[Value name]:[Value idenifyer]],2,FALSE)</f>
        <v>T_FL</v>
      </c>
      <c r="S174" s="233" t="s">
        <v>1101</v>
      </c>
      <c r="T174" s="234" t="s">
        <v>1113</v>
      </c>
      <c r="U174" s="234" t="s">
        <v>1113</v>
      </c>
      <c r="V174" s="233" t="str">
        <f>VLOOKUP(Table3[[#This Row],[Country Code]],Table29[],3,FALSE)</f>
        <v>Non-Annex I</v>
      </c>
      <c r="W174" s="233" t="str">
        <f>VLOOKUP(Table3[[#This Row],[Country Code]],Table29[],4,FALSE)</f>
        <v>Latin America and the Caribbean</v>
      </c>
      <c r="X174" s="233" t="str">
        <f>VLOOKUP(Table3[[#This Row],[Country Code]],Table29[],5,FALSE)</f>
        <v>Middle-income</v>
      </c>
      <c r="Y174" s="233" t="str">
        <f>VLOOKUP(Table3[[#This Row],[Country Code]],Table29[],6,FALSE)</f>
        <v>no</v>
      </c>
      <c r="Z174" s="233" t="str">
        <f>VLOOKUP(Table3[[#This Row],[Country Code]],Table29[],7,FALSE)</f>
        <v>no</v>
      </c>
      <c r="AA174" s="233" t="str">
        <f>VLOOKUP(Table3[[#This Row],[Country Code]],Table29[],8,FALSE)</f>
        <v>OECD</v>
      </c>
      <c r="AB174" s="233" t="str">
        <f>VLOOKUP(Table3[[#This Row],[Country Code]],Table29[],9,FALSE)</f>
        <v>no</v>
      </c>
      <c r="AC174" s="233" t="str">
        <f>VLOOKUP(Table3[[#This Row],[Country Code]],Table29[],10,FALSE)</f>
        <v>no</v>
      </c>
      <c r="AD174" s="235">
        <f>VLOOKUP(Table3[[#This Row],[Country Code]],Table29[],23,FALSE)</f>
        <v>223.96663405241</v>
      </c>
      <c r="AE174" s="235">
        <f>VLOOKUP(Table3[[#This Row],[Country Code]],Table29[],24,FALSE)</f>
        <v>37.36796885652894</v>
      </c>
      <c r="AF174" s="43"/>
    </row>
    <row r="175" spans="1:32" ht="30" x14ac:dyDescent="0.25">
      <c r="A175" s="360">
        <v>32496</v>
      </c>
      <c r="B175" s="233" t="str">
        <f>VLOOKUP(Table3[[#This Row],[Document ID]],Table1[],2,FALSE)</f>
        <v>BHS</v>
      </c>
      <c r="C175" s="233" t="str">
        <f>VLOOKUP(Table3[[#This Row],[Document ID]],Table1[],3,FALSE)</f>
        <v>Bahamas</v>
      </c>
      <c r="D175" s="233" t="str">
        <f>VLOOKUP(Table3[[#This Row],[Document ID]],Table1[],5,FALSE)</f>
        <v>NDC</v>
      </c>
      <c r="E175" s="233" t="str">
        <f>VLOOKUP(Table3[[#This Row],[Document ID]],Table1[],7,FALSE)</f>
        <v>First NDC updated</v>
      </c>
      <c r="F175" s="233" t="str">
        <f>VLOOKUP(Table3[[#This Row],[Document ID]],Table1[],8,FALSE)</f>
        <v>NDC 1.1</v>
      </c>
      <c r="G175" s="233" t="str">
        <f>VLOOKUP(Table3[[#This Row],[Document ID]],Table1[],10,FALSE)</f>
        <v>Active</v>
      </c>
      <c r="H175" s="42" t="s">
        <v>1095</v>
      </c>
      <c r="I175" s="42" t="s">
        <v>1096</v>
      </c>
      <c r="J175" s="42" t="s">
        <v>1097</v>
      </c>
      <c r="K175" s="28" t="s">
        <v>1104</v>
      </c>
      <c r="L175" s="42" t="s">
        <v>1099</v>
      </c>
      <c r="M175" s="209">
        <v>2030</v>
      </c>
      <c r="N175" s="209" t="s">
        <v>1293</v>
      </c>
      <c r="O175" s="257">
        <v>35</v>
      </c>
      <c r="P175" s="238" t="str">
        <f>VLOOKUP(_xlfn.CONCAT(Table3[[#This Row],[Target area]],Table3[[#This Row],[GHG target?]],Table3[[#This Row],[Conditionality]]),'Drop down'!$E$81:$F$101,2,FALSE)</f>
        <v>T_Transport_O_Unc</v>
      </c>
      <c r="Q175" s="239" t="str">
        <f>VLOOKUP(Table3[[#This Row],[Target type]],Table418[[Value name]:[Value idenifyer]],2,FALSE)</f>
        <v>T_O_ZERO</v>
      </c>
      <c r="S175" s="233" t="s">
        <v>1101</v>
      </c>
      <c r="T175" s="240"/>
      <c r="V175" s="233" t="str">
        <f>VLOOKUP(Table3[[#This Row],[Country Code]],Table29[],3,FALSE)</f>
        <v>Non-Annex I</v>
      </c>
      <c r="W175" s="233" t="str">
        <f>VLOOKUP(Table3[[#This Row],[Country Code]],Table29[],4,FALSE)</f>
        <v>Latin America and the Caribbean</v>
      </c>
      <c r="X175" s="233" t="str">
        <f>VLOOKUP(Table3[[#This Row],[Country Code]],Table29[],5,FALSE)</f>
        <v>High-income</v>
      </c>
      <c r="Y175" s="233" t="str">
        <f>VLOOKUP(Table3[[#This Row],[Country Code]],Table29[],6,FALSE)</f>
        <v>no</v>
      </c>
      <c r="Z175" s="233" t="str">
        <f>VLOOKUP(Table3[[#This Row],[Country Code]],Table29[],7,FALSE)</f>
        <v>no</v>
      </c>
      <c r="AA175" s="233" t="str">
        <f>VLOOKUP(Table3[[#This Row],[Country Code]],Table29[],8,FALSE)</f>
        <v>non-OECD</v>
      </c>
      <c r="AB175" s="233" t="str">
        <f>VLOOKUP(Table3[[#This Row],[Country Code]],Table29[],9,FALSE)</f>
        <v>no</v>
      </c>
      <c r="AC175" s="233" t="str">
        <f>VLOOKUP(Table3[[#This Row],[Country Code]],Table29[],10,FALSE)</f>
        <v>no</v>
      </c>
      <c r="AD175" s="235">
        <f>VLOOKUP(Table3[[#This Row],[Country Code]],Table29[],23,FALSE)</f>
        <v>2.0502828926944998</v>
      </c>
      <c r="AE175" s="235">
        <f>VLOOKUP(Table3[[#This Row],[Country Code]],Table29[],24,FALSE)</f>
        <v>0.59970961940231238</v>
      </c>
      <c r="AF175" s="43"/>
    </row>
    <row r="176" spans="1:32" x14ac:dyDescent="0.25">
      <c r="A176" s="139">
        <v>39451</v>
      </c>
      <c r="B176" s="233" t="str">
        <f>VLOOKUP(Table3[[#This Row],[Document ID]],Table1[],2,FALSE)</f>
        <v>BIH</v>
      </c>
      <c r="C176" s="233" t="str">
        <f>VLOOKUP(Table3[[#This Row],[Document ID]],Table1[],3,FALSE)</f>
        <v>Bosnia and Herzegovina</v>
      </c>
      <c r="D176" s="233" t="str">
        <f>VLOOKUP(Table3[[#This Row],[Document ID]],Table1[],5,FALSE)</f>
        <v>LTS</v>
      </c>
      <c r="E176" s="233" t="str">
        <f>VLOOKUP(Table3[[#This Row],[Document ID]],Table1[],7,FALSE)</f>
        <v>LTS</v>
      </c>
      <c r="F176" s="207" t="str">
        <f>VLOOKUP(Table3[[#This Row],[Document ID]],Table1[],8,FALSE)</f>
        <v>LTS 1.0</v>
      </c>
      <c r="G176" s="233" t="str">
        <f>VLOOKUP(Table3[[#This Row],[Document ID]],Table1[],10,FALSE)</f>
        <v>Active</v>
      </c>
      <c r="H176" s="42" t="s">
        <v>1095</v>
      </c>
      <c r="I176" s="42" t="s">
        <v>1096</v>
      </c>
      <c r="J176" s="42" t="s">
        <v>1097</v>
      </c>
      <c r="K176" s="28" t="s">
        <v>1098</v>
      </c>
      <c r="L176" s="43" t="s">
        <v>1092</v>
      </c>
      <c r="M176" s="209">
        <v>2030</v>
      </c>
      <c r="N176" s="44" t="s">
        <v>1294</v>
      </c>
      <c r="O176" s="258">
        <v>89</v>
      </c>
      <c r="P176" s="238" t="str">
        <f>VLOOKUP(_xlfn.CONCAT(Table3[[#This Row],[Target area]],Table3[[#This Row],[GHG target?]],Table3[[#This Row],[Conditionality]]),'Drop down'!$E$81:$F$101,2,FALSE)</f>
        <v>T_Transport_O_C</v>
      </c>
      <c r="Q176" s="239" t="str">
        <f>VLOOKUP(Table3[[#This Row],[Target type]],Table418[[Value name]:[Value idenifyer]],2,FALSE)</f>
        <v>T_O_MODE</v>
      </c>
      <c r="S176" s="233" t="s">
        <v>1101</v>
      </c>
      <c r="U176" s="240"/>
      <c r="V176" s="233" t="str">
        <f>VLOOKUP(Table3[[#This Row],[Country Code]],Table29[],3,FALSE)</f>
        <v>Non-Annex I</v>
      </c>
      <c r="W176" s="233" t="str">
        <f>VLOOKUP(Table3[[#This Row],[Country Code]],Table29[],4,FALSE)</f>
        <v>Europe</v>
      </c>
      <c r="X176" s="233" t="str">
        <f>VLOOKUP(Table3[[#This Row],[Country Code]],Table29[],5,FALSE)</f>
        <v>Middle-income</v>
      </c>
      <c r="Y176" s="233" t="str">
        <f>VLOOKUP(Table3[[#This Row],[Country Code]],Table29[],6,FALSE)</f>
        <v>no</v>
      </c>
      <c r="Z176" s="233" t="str">
        <f>VLOOKUP(Table3[[#This Row],[Country Code]],Table29[],7,FALSE)</f>
        <v>no</v>
      </c>
      <c r="AA176" s="233" t="str">
        <f>VLOOKUP(Table3[[#This Row],[Country Code]],Table29[],8,FALSE)</f>
        <v>non-OECD</v>
      </c>
      <c r="AB176" s="233" t="str">
        <f>VLOOKUP(Table3[[#This Row],[Country Code]],Table29[],9,FALSE)</f>
        <v>no</v>
      </c>
      <c r="AC176" s="233" t="str">
        <f>VLOOKUP(Table3[[#This Row],[Country Code]],Table29[],10,FALSE)</f>
        <v>no</v>
      </c>
      <c r="AD176" s="235">
        <f>VLOOKUP(Table3[[#This Row],[Country Code]],Table29[],23,FALSE)</f>
        <v>29.397991348245998</v>
      </c>
      <c r="AE176" s="235">
        <f>VLOOKUP(Table3[[#This Row],[Country Code]],Table29[],24,FALSE)</f>
        <v>4.4436076081737648</v>
      </c>
      <c r="AF176" s="43"/>
    </row>
    <row r="177" spans="1:32" x14ac:dyDescent="0.25">
      <c r="A177" s="360">
        <v>17557</v>
      </c>
      <c r="B177" s="233" t="str">
        <f>VLOOKUP(Table3[[#This Row],[Document ID]],Table1[],2,FALSE)</f>
        <v>COL</v>
      </c>
      <c r="C177" s="233" t="str">
        <f>VLOOKUP(Table3[[#This Row],[Document ID]],Table1[],3,FALSE)</f>
        <v>Colombia</v>
      </c>
      <c r="D177" s="233" t="str">
        <f>VLOOKUP(Table3[[#This Row],[Document ID]],Table1[],5,FALSE)</f>
        <v>NDC</v>
      </c>
      <c r="E177" s="233" t="str">
        <f>VLOOKUP(Table3[[#This Row],[Document ID]],Table1[],7,FALSE)</f>
        <v>First NDC</v>
      </c>
      <c r="F177" s="233" t="str">
        <f>VLOOKUP(Table3[[#This Row],[Document ID]],Table1[],8,FALSE)</f>
        <v>NDC 1.0</v>
      </c>
      <c r="G177" s="233" t="str">
        <f>VLOOKUP(Table3[[#This Row],[Document ID]],Table1[],10,FALSE)</f>
        <v>Archived</v>
      </c>
      <c r="H177" s="216" t="s">
        <v>1089</v>
      </c>
      <c r="I177" s="216" t="s">
        <v>1089</v>
      </c>
      <c r="J177" s="43" t="s">
        <v>1090</v>
      </c>
      <c r="K177" s="28" t="s">
        <v>1091</v>
      </c>
      <c r="L177" s="42" t="s">
        <v>1099</v>
      </c>
      <c r="M177" s="209">
        <v>2030</v>
      </c>
      <c r="N177" s="176" t="s">
        <v>1295</v>
      </c>
      <c r="O177" s="258" t="s">
        <v>1094</v>
      </c>
      <c r="P177" s="238" t="str">
        <f>VLOOKUP(_xlfn.CONCAT(Table3[[#This Row],[Target area]],Table3[[#This Row],[GHG target?]],Table3[[#This Row],[Conditionality]]),'Drop down'!$E$81:$F$101,2,FALSE)</f>
        <v>T_Economy_Unc</v>
      </c>
      <c r="Q177" s="239" t="str">
        <f>VLOOKUP(Table3[[#This Row],[Target type]],Table418[[Value name]:[Value idenifyer]],2,FALSE)</f>
        <v>T_BAU</v>
      </c>
      <c r="T177" s="234" t="s">
        <v>1113</v>
      </c>
      <c r="U177" s="234" t="s">
        <v>1113</v>
      </c>
      <c r="V177" s="233" t="str">
        <f>VLOOKUP(Table3[[#This Row],[Country Code]],Table29[],3,FALSE)</f>
        <v>Non-Annex I</v>
      </c>
      <c r="W177" s="233" t="str">
        <f>VLOOKUP(Table3[[#This Row],[Country Code]],Table29[],4,FALSE)</f>
        <v>Latin America and the Caribbean</v>
      </c>
      <c r="X177" s="233" t="str">
        <f>VLOOKUP(Table3[[#This Row],[Country Code]],Table29[],5,FALSE)</f>
        <v>Middle-income</v>
      </c>
      <c r="Y177" s="233" t="str">
        <f>VLOOKUP(Table3[[#This Row],[Country Code]],Table29[],6,FALSE)</f>
        <v>no</v>
      </c>
      <c r="Z177" s="233" t="str">
        <f>VLOOKUP(Table3[[#This Row],[Country Code]],Table29[],7,FALSE)</f>
        <v>no</v>
      </c>
      <c r="AA177" s="233" t="str">
        <f>VLOOKUP(Table3[[#This Row],[Country Code]],Table29[],8,FALSE)</f>
        <v>OECD</v>
      </c>
      <c r="AB177" s="233" t="str">
        <f>VLOOKUP(Table3[[#This Row],[Country Code]],Table29[],9,FALSE)</f>
        <v>no</v>
      </c>
      <c r="AC177" s="233" t="str">
        <f>VLOOKUP(Table3[[#This Row],[Country Code]],Table29[],10,FALSE)</f>
        <v>no</v>
      </c>
      <c r="AD177" s="235">
        <f>VLOOKUP(Table3[[#This Row],[Country Code]],Table29[],23,FALSE)</f>
        <v>223.96663405241</v>
      </c>
      <c r="AE177" s="235">
        <f>VLOOKUP(Table3[[#This Row],[Country Code]],Table29[],24,FALSE)</f>
        <v>37.36796885652894</v>
      </c>
      <c r="AF177" s="43"/>
    </row>
    <row r="178" spans="1:32" x14ac:dyDescent="0.25">
      <c r="A178" s="360">
        <v>17557</v>
      </c>
      <c r="B178" s="233" t="str">
        <f>VLOOKUP(Table3[[#This Row],[Document ID]],Table1[],2,FALSE)</f>
        <v>COL</v>
      </c>
      <c r="C178" s="233" t="str">
        <f>VLOOKUP(Table3[[#This Row],[Document ID]],Table1[],3,FALSE)</f>
        <v>Colombia</v>
      </c>
      <c r="D178" s="233" t="str">
        <f>VLOOKUP(Table3[[#This Row],[Document ID]],Table1[],5,FALSE)</f>
        <v>NDC</v>
      </c>
      <c r="E178" s="233" t="str">
        <f>VLOOKUP(Table3[[#This Row],[Document ID]],Table1[],7,FALSE)</f>
        <v>First NDC</v>
      </c>
      <c r="F178" s="233" t="str">
        <f>VLOOKUP(Table3[[#This Row],[Document ID]],Table1[],8,FALSE)</f>
        <v>NDC 1.0</v>
      </c>
      <c r="G178" s="233" t="str">
        <f>VLOOKUP(Table3[[#This Row],[Document ID]],Table1[],10,FALSE)</f>
        <v>Archived</v>
      </c>
      <c r="H178" s="216" t="s">
        <v>1089</v>
      </c>
      <c r="I178" s="216" t="s">
        <v>1089</v>
      </c>
      <c r="J178" s="43" t="s">
        <v>1090</v>
      </c>
      <c r="K178" s="28" t="s">
        <v>1091</v>
      </c>
      <c r="L178" s="216" t="s">
        <v>1092</v>
      </c>
      <c r="M178" s="209">
        <v>2030</v>
      </c>
      <c r="N178" s="176" t="s">
        <v>1296</v>
      </c>
      <c r="O178" s="258" t="s">
        <v>1094</v>
      </c>
      <c r="P178" s="238" t="str">
        <f>VLOOKUP(_xlfn.CONCAT(Table3[[#This Row],[Target area]],Table3[[#This Row],[GHG target?]],Table3[[#This Row],[Conditionality]]),'Drop down'!$E$81:$F$101,2,FALSE)</f>
        <v>T_Economy_C</v>
      </c>
      <c r="Q178" s="239" t="str">
        <f>VLOOKUP(Table3[[#This Row],[Target type]],Table418[[Value name]:[Value idenifyer]],2,FALSE)</f>
        <v>T_BAU</v>
      </c>
      <c r="T178" s="234" t="s">
        <v>1113</v>
      </c>
      <c r="U178" s="234" t="s">
        <v>1113</v>
      </c>
      <c r="V178" s="233" t="str">
        <f>VLOOKUP(Table3[[#This Row],[Country Code]],Table29[],3,FALSE)</f>
        <v>Non-Annex I</v>
      </c>
      <c r="W178" s="233" t="str">
        <f>VLOOKUP(Table3[[#This Row],[Country Code]],Table29[],4,FALSE)</f>
        <v>Latin America and the Caribbean</v>
      </c>
      <c r="X178" s="233" t="str">
        <f>VLOOKUP(Table3[[#This Row],[Country Code]],Table29[],5,FALSE)</f>
        <v>Middle-income</v>
      </c>
      <c r="Y178" s="233" t="str">
        <f>VLOOKUP(Table3[[#This Row],[Country Code]],Table29[],6,FALSE)</f>
        <v>no</v>
      </c>
      <c r="Z178" s="233" t="str">
        <f>VLOOKUP(Table3[[#This Row],[Country Code]],Table29[],7,FALSE)</f>
        <v>no</v>
      </c>
      <c r="AA178" s="233" t="str">
        <f>VLOOKUP(Table3[[#This Row],[Country Code]],Table29[],8,FALSE)</f>
        <v>OECD</v>
      </c>
      <c r="AB178" s="233" t="str">
        <f>VLOOKUP(Table3[[#This Row],[Country Code]],Table29[],9,FALSE)</f>
        <v>no</v>
      </c>
      <c r="AC178" s="233" t="str">
        <f>VLOOKUP(Table3[[#This Row],[Country Code]],Table29[],10,FALSE)</f>
        <v>no</v>
      </c>
      <c r="AD178" s="235">
        <f>VLOOKUP(Table3[[#This Row],[Country Code]],Table29[],23,FALSE)</f>
        <v>223.96663405241</v>
      </c>
      <c r="AE178" s="235">
        <f>VLOOKUP(Table3[[#This Row],[Country Code]],Table29[],24,FALSE)</f>
        <v>37.36796885652894</v>
      </c>
      <c r="AF178" s="43"/>
    </row>
    <row r="179" spans="1:32" ht="30" x14ac:dyDescent="0.25">
      <c r="A179" s="360">
        <v>17558</v>
      </c>
      <c r="B179" s="233" t="str">
        <f>VLOOKUP(Table3[[#This Row],[Document ID]],Table1[],2,FALSE)</f>
        <v>COL</v>
      </c>
      <c r="C179" s="233" t="str">
        <f>VLOOKUP(Table3[[#This Row],[Document ID]],Table1[],3,FALSE)</f>
        <v>Colombia</v>
      </c>
      <c r="D179" s="233" t="str">
        <f>VLOOKUP(Table3[[#This Row],[Document ID]],Table1[],5,FALSE)</f>
        <v>NDC</v>
      </c>
      <c r="E179" s="233" t="str">
        <f>VLOOKUP(Table3[[#This Row],[Document ID]],Table1[],7,FALSE)</f>
        <v>First NDC updated</v>
      </c>
      <c r="F179" s="233" t="str">
        <f>VLOOKUP(Table3[[#This Row],[Document ID]],Table1[],8,FALSE)</f>
        <v>NDC 1.1</v>
      </c>
      <c r="G179" s="233" t="str">
        <f>VLOOKUP(Table3[[#This Row],[Document ID]],Table1[],10,FALSE)</f>
        <v>Active</v>
      </c>
      <c r="H179" s="43" t="s">
        <v>1147</v>
      </c>
      <c r="I179" s="43" t="s">
        <v>1089</v>
      </c>
      <c r="J179" s="43" t="s">
        <v>1090</v>
      </c>
      <c r="K179" s="28" t="s">
        <v>1121</v>
      </c>
      <c r="L179" s="43" t="s">
        <v>1116</v>
      </c>
      <c r="M179" s="209">
        <v>2050</v>
      </c>
      <c r="N179" s="44" t="s">
        <v>1297</v>
      </c>
      <c r="O179" s="258">
        <v>32</v>
      </c>
      <c r="P179" s="238" t="str">
        <f>VLOOKUP(_xlfn.CONCAT(Table3[[#This Row],[Target area]],Table3[[#This Row],[GHG target?]],Table3[[#This Row],[Conditionality]]),'Drop down'!$E$81:$F$101,2,FALSE)</f>
        <v>T_Netzero</v>
      </c>
      <c r="Q179" s="239" t="str">
        <f>VLOOKUP(Table3[[#This Row],[Target type]],Table418[[Value name]:[Value idenifyer]],2,FALSE)</f>
        <v>T_FL</v>
      </c>
      <c r="U179" s="234" t="s">
        <v>1298</v>
      </c>
      <c r="V179" s="233" t="str">
        <f>VLOOKUP(Table3[[#This Row],[Country Code]],Table29[],3,FALSE)</f>
        <v>Non-Annex I</v>
      </c>
      <c r="W179" s="233" t="str">
        <f>VLOOKUP(Table3[[#This Row],[Country Code]],Table29[],4,FALSE)</f>
        <v>Latin America and the Caribbean</v>
      </c>
      <c r="X179" s="233" t="str">
        <f>VLOOKUP(Table3[[#This Row],[Country Code]],Table29[],5,FALSE)</f>
        <v>Middle-income</v>
      </c>
      <c r="Y179" s="233" t="str">
        <f>VLOOKUP(Table3[[#This Row],[Country Code]],Table29[],6,FALSE)</f>
        <v>no</v>
      </c>
      <c r="Z179" s="233" t="str">
        <f>VLOOKUP(Table3[[#This Row],[Country Code]],Table29[],7,FALSE)</f>
        <v>no</v>
      </c>
      <c r="AA179" s="233" t="str">
        <f>VLOOKUP(Table3[[#This Row],[Country Code]],Table29[],8,FALSE)</f>
        <v>OECD</v>
      </c>
      <c r="AB179" s="233" t="str">
        <f>VLOOKUP(Table3[[#This Row],[Country Code]],Table29[],9,FALSE)</f>
        <v>no</v>
      </c>
      <c r="AC179" s="233" t="str">
        <f>VLOOKUP(Table3[[#This Row],[Country Code]],Table29[],10,FALSE)</f>
        <v>no</v>
      </c>
      <c r="AD179" s="235">
        <f>VLOOKUP(Table3[[#This Row],[Country Code]],Table29[],23,FALSE)</f>
        <v>223.96663405241</v>
      </c>
      <c r="AE179" s="235">
        <f>VLOOKUP(Table3[[#This Row],[Country Code]],Table29[],24,FALSE)</f>
        <v>37.36796885652894</v>
      </c>
      <c r="AF179" s="43"/>
    </row>
    <row r="180" spans="1:32" ht="30" x14ac:dyDescent="0.25">
      <c r="A180" s="360">
        <v>26777</v>
      </c>
      <c r="B180" s="233" t="str">
        <f>VLOOKUP(Table3[[#This Row],[Document ID]],Table1[],2,FALSE)</f>
        <v>COL</v>
      </c>
      <c r="C180" s="233" t="str">
        <f>VLOOKUP(Table3[[#This Row],[Document ID]],Table1[],3,FALSE)</f>
        <v>Colombia</v>
      </c>
      <c r="D180" s="233" t="str">
        <f>VLOOKUP(Table3[[#This Row],[Document ID]],Table1[],5,FALSE)</f>
        <v>LTS</v>
      </c>
      <c r="E180" s="233" t="str">
        <f>VLOOKUP(Table3[[#This Row],[Document ID]],Table1[],7,FALSE)</f>
        <v>LTS</v>
      </c>
      <c r="F180" s="233" t="str">
        <f>VLOOKUP(Table3[[#This Row],[Document ID]],Table1[],8,FALSE)</f>
        <v>LTS 1.0</v>
      </c>
      <c r="G180" s="233" t="str">
        <f>VLOOKUP(Table3[[#This Row],[Document ID]],Table1[],10,FALSE)</f>
        <v>Active</v>
      </c>
      <c r="H180" s="43" t="s">
        <v>1147</v>
      </c>
      <c r="I180" s="43" t="s">
        <v>1089</v>
      </c>
      <c r="J180" s="43" t="s">
        <v>1090</v>
      </c>
      <c r="K180" s="28" t="s">
        <v>1121</v>
      </c>
      <c r="L180" s="43" t="s">
        <v>1116</v>
      </c>
      <c r="M180" s="209">
        <v>2050</v>
      </c>
      <c r="N180" s="44" t="s">
        <v>1259</v>
      </c>
      <c r="O180" s="258">
        <v>23</v>
      </c>
      <c r="P180" s="238" t="str">
        <f>VLOOKUP(_xlfn.CONCAT(Table3[[#This Row],[Target area]],Table3[[#This Row],[GHG target?]],Table3[[#This Row],[Conditionality]]),'Drop down'!$E$81:$F$101,2,FALSE)</f>
        <v>T_Netzero</v>
      </c>
      <c r="Q180" s="239" t="str">
        <f>VLOOKUP(Table3[[#This Row],[Target type]],Table418[[Value name]:[Value idenifyer]],2,FALSE)</f>
        <v>T_FL</v>
      </c>
      <c r="U180" s="234" t="s">
        <v>1298</v>
      </c>
      <c r="V180" s="233" t="str">
        <f>VLOOKUP(Table3[[#This Row],[Country Code]],Table29[],3,FALSE)</f>
        <v>Non-Annex I</v>
      </c>
      <c r="W180" s="233" t="str">
        <f>VLOOKUP(Table3[[#This Row],[Country Code]],Table29[],4,FALSE)</f>
        <v>Latin America and the Caribbean</v>
      </c>
      <c r="X180" s="233" t="str">
        <f>VLOOKUP(Table3[[#This Row],[Country Code]],Table29[],5,FALSE)</f>
        <v>Middle-income</v>
      </c>
      <c r="Y180" s="233" t="str">
        <f>VLOOKUP(Table3[[#This Row],[Country Code]],Table29[],6,FALSE)</f>
        <v>no</v>
      </c>
      <c r="Z180" s="233" t="str">
        <f>VLOOKUP(Table3[[#This Row],[Country Code]],Table29[],7,FALSE)</f>
        <v>no</v>
      </c>
      <c r="AA180" s="233" t="str">
        <f>VLOOKUP(Table3[[#This Row],[Country Code]],Table29[],8,FALSE)</f>
        <v>OECD</v>
      </c>
      <c r="AB180" s="233" t="str">
        <f>VLOOKUP(Table3[[#This Row],[Country Code]],Table29[],9,FALSE)</f>
        <v>no</v>
      </c>
      <c r="AC180" s="233" t="str">
        <f>VLOOKUP(Table3[[#This Row],[Country Code]],Table29[],10,FALSE)</f>
        <v>no</v>
      </c>
      <c r="AD180" s="235">
        <f>VLOOKUP(Table3[[#This Row],[Country Code]],Table29[],23,FALSE)</f>
        <v>223.96663405241</v>
      </c>
      <c r="AE180" s="235">
        <f>VLOOKUP(Table3[[#This Row],[Country Code]],Table29[],24,FALSE)</f>
        <v>37.36796885652894</v>
      </c>
      <c r="AF180" s="43"/>
    </row>
    <row r="181" spans="1:32" ht="45" x14ac:dyDescent="0.25">
      <c r="A181" s="360">
        <v>24786</v>
      </c>
      <c r="B181" s="233" t="str">
        <f>VLOOKUP(Table3[[#This Row],[Document ID]],Table1[],2,FALSE)</f>
        <v>COM</v>
      </c>
      <c r="C181" s="233" t="str">
        <f>VLOOKUP(Table3[[#This Row],[Document ID]],Table1[],3,FALSE)</f>
        <v>Comoros</v>
      </c>
      <c r="D181" s="233" t="str">
        <f>VLOOKUP(Table3[[#This Row],[Document ID]],Table1[],5,FALSE)</f>
        <v>NDC</v>
      </c>
      <c r="E181" s="233" t="str">
        <f>VLOOKUP(Table3[[#This Row],[Document ID]],Table1[],7,FALSE)</f>
        <v>First NDC updated</v>
      </c>
      <c r="F181" s="233" t="str">
        <f>VLOOKUP(Table3[[#This Row],[Document ID]],Table1[],8,FALSE)</f>
        <v>NDC 1.1</v>
      </c>
      <c r="G181" s="233" t="str">
        <f>VLOOKUP(Table3[[#This Row],[Document ID]],Table1[],10,FALSE)</f>
        <v>Active</v>
      </c>
      <c r="H181" s="216" t="s">
        <v>1089</v>
      </c>
      <c r="I181" s="216" t="s">
        <v>1089</v>
      </c>
      <c r="J181" s="43" t="s">
        <v>1090</v>
      </c>
      <c r="K181" s="28" t="s">
        <v>1091</v>
      </c>
      <c r="L181" s="216" t="s">
        <v>1092</v>
      </c>
      <c r="M181" s="209">
        <v>2030</v>
      </c>
      <c r="N181" s="44" t="s">
        <v>1299</v>
      </c>
      <c r="O181" s="258">
        <v>3</v>
      </c>
      <c r="P181" s="238" t="str">
        <f>VLOOKUP(_xlfn.CONCAT(Table3[[#This Row],[Target area]],Table3[[#This Row],[GHG target?]],Table3[[#This Row],[Conditionality]]),'Drop down'!$E$81:$F$101,2,FALSE)</f>
        <v>T_Economy_C</v>
      </c>
      <c r="Q181" s="239" t="str">
        <f>VLOOKUP(Table3[[#This Row],[Target type]],Table418[[Value name]:[Value idenifyer]],2,FALSE)</f>
        <v>T_BAU</v>
      </c>
      <c r="T181" s="234" t="s">
        <v>1113</v>
      </c>
      <c r="V181" s="233" t="str">
        <f>VLOOKUP(Table3[[#This Row],[Country Code]],Table29[],3,FALSE)</f>
        <v>Non-Annex I</v>
      </c>
      <c r="W181" s="233" t="str">
        <f>VLOOKUP(Table3[[#This Row],[Country Code]],Table29[],4,FALSE)</f>
        <v>Africa</v>
      </c>
      <c r="X181" s="233" t="str">
        <f>VLOOKUP(Table3[[#This Row],[Country Code]],Table29[],5,FALSE)</f>
        <v>Middle-income</v>
      </c>
      <c r="Y181" s="233" t="str">
        <f>VLOOKUP(Table3[[#This Row],[Country Code]],Table29[],6,FALSE)</f>
        <v>no</v>
      </c>
      <c r="Z181" s="233" t="str">
        <f>VLOOKUP(Table3[[#This Row],[Country Code]],Table29[],7,FALSE)</f>
        <v>no</v>
      </c>
      <c r="AA181" s="233" t="str">
        <f>VLOOKUP(Table3[[#This Row],[Country Code]],Table29[],8,FALSE)</f>
        <v>non-OECD</v>
      </c>
      <c r="AB181" s="233" t="str">
        <f>VLOOKUP(Table3[[#This Row],[Country Code]],Table29[],9,FALSE)</f>
        <v>no</v>
      </c>
      <c r="AC181" s="233" t="str">
        <f>VLOOKUP(Table3[[#This Row],[Country Code]],Table29[],10,FALSE)</f>
        <v>no</v>
      </c>
      <c r="AD181" s="235">
        <f>VLOOKUP(Table3[[#This Row],[Country Code]],Table29[],23,FALSE)</f>
        <v>0.76176779618891</v>
      </c>
      <c r="AE181" s="235">
        <f>VLOOKUP(Table3[[#This Row],[Country Code]],Table29[],24,FALSE)</f>
        <v>0.18466117087691569</v>
      </c>
      <c r="AF181" s="43"/>
    </row>
    <row r="182" spans="1:32" x14ac:dyDescent="0.25">
      <c r="A182" s="360">
        <v>24786</v>
      </c>
      <c r="B182" s="233" t="str">
        <f>VLOOKUP(Table3[[#This Row],[Document ID]],Table1[],2,FALSE)</f>
        <v>COM</v>
      </c>
      <c r="C182" s="233" t="str">
        <f>VLOOKUP(Table3[[#This Row],[Document ID]],Table1[],3,FALSE)</f>
        <v>Comoros</v>
      </c>
      <c r="D182" s="233" t="str">
        <f>VLOOKUP(Table3[[#This Row],[Document ID]],Table1[],5,FALSE)</f>
        <v>NDC</v>
      </c>
      <c r="E182" s="233" t="str">
        <f>VLOOKUP(Table3[[#This Row],[Document ID]],Table1[],7,FALSE)</f>
        <v>First NDC updated</v>
      </c>
      <c r="F182" s="233" t="str">
        <f>VLOOKUP(Table3[[#This Row],[Document ID]],Table1[],8,FALSE)</f>
        <v>NDC 1.1</v>
      </c>
      <c r="G182" s="233" t="str">
        <f>VLOOKUP(Table3[[#This Row],[Document ID]],Table1[],10,FALSE)</f>
        <v>Active</v>
      </c>
      <c r="H182" s="216" t="s">
        <v>1089</v>
      </c>
      <c r="I182" s="216" t="s">
        <v>1089</v>
      </c>
      <c r="J182" s="43" t="s">
        <v>1090</v>
      </c>
      <c r="K182" s="28" t="s">
        <v>1121</v>
      </c>
      <c r="L182" s="216" t="s">
        <v>1092</v>
      </c>
      <c r="M182" s="209">
        <v>2030</v>
      </c>
      <c r="N182" s="222" t="s">
        <v>1300</v>
      </c>
      <c r="O182" s="258">
        <v>6</v>
      </c>
      <c r="P182" s="238" t="str">
        <f>VLOOKUP(_xlfn.CONCAT(Table3[[#This Row],[Target area]],Table3[[#This Row],[GHG target?]],Table3[[#This Row],[Conditionality]]),'Drop down'!$E$81:$F$101,2,FALSE)</f>
        <v>T_Economy_C</v>
      </c>
      <c r="Q182" s="239" t="str">
        <f>VLOOKUP(Table3[[#This Row],[Target type]],Table418[[Value name]:[Value idenifyer]],2,FALSE)</f>
        <v>T_FL</v>
      </c>
      <c r="T182" s="234" t="s">
        <v>1113</v>
      </c>
      <c r="V182" s="233" t="str">
        <f>VLOOKUP(Table3[[#This Row],[Country Code]],Table29[],3,FALSE)</f>
        <v>Non-Annex I</v>
      </c>
      <c r="W182" s="233" t="str">
        <f>VLOOKUP(Table3[[#This Row],[Country Code]],Table29[],4,FALSE)</f>
        <v>Africa</v>
      </c>
      <c r="X182" s="233" t="str">
        <f>VLOOKUP(Table3[[#This Row],[Country Code]],Table29[],5,FALSE)</f>
        <v>Middle-income</v>
      </c>
      <c r="Y182" s="233" t="str">
        <f>VLOOKUP(Table3[[#This Row],[Country Code]],Table29[],6,FALSE)</f>
        <v>no</v>
      </c>
      <c r="Z182" s="233" t="str">
        <f>VLOOKUP(Table3[[#This Row],[Country Code]],Table29[],7,FALSE)</f>
        <v>no</v>
      </c>
      <c r="AA182" s="233" t="str">
        <f>VLOOKUP(Table3[[#This Row],[Country Code]],Table29[],8,FALSE)</f>
        <v>non-OECD</v>
      </c>
      <c r="AB182" s="233" t="str">
        <f>VLOOKUP(Table3[[#This Row],[Country Code]],Table29[],9,FALSE)</f>
        <v>no</v>
      </c>
      <c r="AC182" s="233" t="str">
        <f>VLOOKUP(Table3[[#This Row],[Country Code]],Table29[],10,FALSE)</f>
        <v>no</v>
      </c>
      <c r="AD182" s="235">
        <f>VLOOKUP(Table3[[#This Row],[Country Code]],Table29[],23,FALSE)</f>
        <v>0.76176779618891</v>
      </c>
      <c r="AE182" s="235">
        <f>VLOOKUP(Table3[[#This Row],[Country Code]],Table29[],24,FALSE)</f>
        <v>0.18466117087691569</v>
      </c>
      <c r="AF182" s="43"/>
    </row>
    <row r="183" spans="1:32" x14ac:dyDescent="0.25">
      <c r="A183" s="360">
        <v>17559</v>
      </c>
      <c r="B183" s="233" t="str">
        <f>VLOOKUP(Table3[[#This Row],[Document ID]],Table1[],2,FALSE)</f>
        <v>COM</v>
      </c>
      <c r="C183" s="233" t="str">
        <f>VLOOKUP(Table3[[#This Row],[Document ID]],Table1[],3,FALSE)</f>
        <v>Comoros</v>
      </c>
      <c r="D183" s="233" t="str">
        <f>VLOOKUP(Table3[[#This Row],[Document ID]],Table1[],5,FALSE)</f>
        <v>NDC</v>
      </c>
      <c r="E183" s="233" t="str">
        <f>VLOOKUP(Table3[[#This Row],[Document ID]],Table1[],7,FALSE)</f>
        <v>First NDC</v>
      </c>
      <c r="F183" s="233" t="str">
        <f>VLOOKUP(Table3[[#This Row],[Document ID]],Table1[],8,FALSE)</f>
        <v>NDC 1.0</v>
      </c>
      <c r="G183" s="233" t="str">
        <f>VLOOKUP(Table3[[#This Row],[Document ID]],Table1[],10,FALSE)</f>
        <v>Archived</v>
      </c>
      <c r="H183" s="216" t="s">
        <v>1089</v>
      </c>
      <c r="I183" s="216" t="s">
        <v>1089</v>
      </c>
      <c r="J183" s="43" t="s">
        <v>1090</v>
      </c>
      <c r="K183" s="28" t="s">
        <v>1091</v>
      </c>
      <c r="L183" s="216" t="s">
        <v>1092</v>
      </c>
      <c r="M183" s="209">
        <v>2030</v>
      </c>
      <c r="N183" s="176" t="s">
        <v>1301</v>
      </c>
      <c r="O183" s="258" t="s">
        <v>1094</v>
      </c>
      <c r="P183" s="238" t="str">
        <f>VLOOKUP(_xlfn.CONCAT(Table3[[#This Row],[Target area]],Table3[[#This Row],[GHG target?]],Table3[[#This Row],[Conditionality]]),'Drop down'!$E$81:$F$101,2,FALSE)</f>
        <v>T_Economy_C</v>
      </c>
      <c r="Q183" s="239" t="str">
        <f>VLOOKUP(Table3[[#This Row],[Target type]],Table418[[Value name]:[Value idenifyer]],2,FALSE)</f>
        <v>T_BAU</v>
      </c>
      <c r="T183" s="234" t="s">
        <v>1113</v>
      </c>
      <c r="V183" s="233" t="str">
        <f>VLOOKUP(Table3[[#This Row],[Country Code]],Table29[],3,FALSE)</f>
        <v>Non-Annex I</v>
      </c>
      <c r="W183" s="233" t="str">
        <f>VLOOKUP(Table3[[#This Row],[Country Code]],Table29[],4,FALSE)</f>
        <v>Africa</v>
      </c>
      <c r="X183" s="233" t="str">
        <f>VLOOKUP(Table3[[#This Row],[Country Code]],Table29[],5,FALSE)</f>
        <v>Middle-income</v>
      </c>
      <c r="Y183" s="233" t="str">
        <f>VLOOKUP(Table3[[#This Row],[Country Code]],Table29[],6,FALSE)</f>
        <v>no</v>
      </c>
      <c r="Z183" s="233" t="str">
        <f>VLOOKUP(Table3[[#This Row],[Country Code]],Table29[],7,FALSE)</f>
        <v>no</v>
      </c>
      <c r="AA183" s="233" t="str">
        <f>VLOOKUP(Table3[[#This Row],[Country Code]],Table29[],8,FALSE)</f>
        <v>non-OECD</v>
      </c>
      <c r="AB183" s="233" t="str">
        <f>VLOOKUP(Table3[[#This Row],[Country Code]],Table29[],9,FALSE)</f>
        <v>no</v>
      </c>
      <c r="AC183" s="233" t="str">
        <f>VLOOKUP(Table3[[#This Row],[Country Code]],Table29[],10,FALSE)</f>
        <v>no</v>
      </c>
      <c r="AD183" s="235">
        <f>VLOOKUP(Table3[[#This Row],[Country Code]],Table29[],23,FALSE)</f>
        <v>0.76176779618891</v>
      </c>
      <c r="AE183" s="235">
        <f>VLOOKUP(Table3[[#This Row],[Country Code]],Table29[],24,FALSE)</f>
        <v>0.18466117087691569</v>
      </c>
      <c r="AF183" s="43"/>
    </row>
    <row r="184" spans="1:32" x14ac:dyDescent="0.25">
      <c r="A184" s="360">
        <v>21423</v>
      </c>
      <c r="B184" s="233" t="str">
        <f>VLOOKUP(Table3[[#This Row],[Document ID]],Table1[],2,FALSE)</f>
        <v>COG</v>
      </c>
      <c r="C184" s="233" t="str">
        <f>VLOOKUP(Table3[[#This Row],[Document ID]],Table1[],3,FALSE)</f>
        <v>Congo</v>
      </c>
      <c r="D184" s="233" t="str">
        <f>VLOOKUP(Table3[[#This Row],[Document ID]],Table1[],5,FALSE)</f>
        <v>NDC</v>
      </c>
      <c r="E184" s="233" t="str">
        <f>VLOOKUP(Table3[[#This Row],[Document ID]],Table1[],7,FALSE)</f>
        <v>First NDC updated</v>
      </c>
      <c r="F184" s="233" t="str">
        <f>VLOOKUP(Table3[[#This Row],[Document ID]],Table1[],8,FALSE)</f>
        <v>NDC 1.1</v>
      </c>
      <c r="G184" s="233" t="str">
        <f>VLOOKUP(Table3[[#This Row],[Document ID]],Table1[],10,FALSE)</f>
        <v>Active</v>
      </c>
      <c r="H184" s="216" t="s">
        <v>1089</v>
      </c>
      <c r="I184" s="216" t="s">
        <v>1089</v>
      </c>
      <c r="J184" s="43" t="s">
        <v>1090</v>
      </c>
      <c r="K184" s="28" t="s">
        <v>1091</v>
      </c>
      <c r="L184" s="42" t="s">
        <v>1099</v>
      </c>
      <c r="M184" s="209">
        <v>2030</v>
      </c>
      <c r="N184" s="44" t="s">
        <v>1302</v>
      </c>
      <c r="O184" s="258">
        <v>4</v>
      </c>
      <c r="P184" s="238" t="str">
        <f>VLOOKUP(_xlfn.CONCAT(Table3[[#This Row],[Target area]],Table3[[#This Row],[GHG target?]],Table3[[#This Row],[Conditionality]]),'Drop down'!$E$81:$F$101,2,FALSE)</f>
        <v>T_Economy_Unc</v>
      </c>
      <c r="Q184" s="239" t="str">
        <f>VLOOKUP(Table3[[#This Row],[Target type]],Table418[[Value name]:[Value idenifyer]],2,FALSE)</f>
        <v>T_BAU</v>
      </c>
      <c r="V184" s="233" t="str">
        <f>VLOOKUP(Table3[[#This Row],[Country Code]],Table29[],3,FALSE)</f>
        <v>Non-Annex I</v>
      </c>
      <c r="W184" s="233" t="str">
        <f>VLOOKUP(Table3[[#This Row],[Country Code]],Table29[],4,FALSE)</f>
        <v>Africa</v>
      </c>
      <c r="X184" s="233" t="str">
        <f>VLOOKUP(Table3[[#This Row],[Country Code]],Table29[],5,FALSE)</f>
        <v>Middle-income</v>
      </c>
      <c r="Y184" s="233" t="str">
        <f>VLOOKUP(Table3[[#This Row],[Country Code]],Table29[],6,FALSE)</f>
        <v>no</v>
      </c>
      <c r="Z184" s="233" t="str">
        <f>VLOOKUP(Table3[[#This Row],[Country Code]],Table29[],7,FALSE)</f>
        <v>no</v>
      </c>
      <c r="AA184" s="233" t="str">
        <f>VLOOKUP(Table3[[#This Row],[Country Code]],Table29[],8,FALSE)</f>
        <v>non-OECD</v>
      </c>
      <c r="AB184" s="233" t="str">
        <f>VLOOKUP(Table3[[#This Row],[Country Code]],Table29[],9,FALSE)</f>
        <v>no</v>
      </c>
      <c r="AC184" s="233" t="str">
        <f>VLOOKUP(Table3[[#This Row],[Country Code]],Table29[],10,FALSE)</f>
        <v>no</v>
      </c>
      <c r="AD184" s="235">
        <f>VLOOKUP(Table3[[#This Row],[Country Code]],Table29[],23,FALSE)</f>
        <v>23.702014388194002</v>
      </c>
      <c r="AE184" s="235">
        <f>VLOOKUP(Table3[[#This Row],[Country Code]],Table29[],24,FALSE)</f>
        <v>1.4878367477049981</v>
      </c>
      <c r="AF184" s="43"/>
    </row>
    <row r="185" spans="1:32" x14ac:dyDescent="0.25">
      <c r="A185" s="360">
        <v>21423</v>
      </c>
      <c r="B185" s="233" t="str">
        <f>VLOOKUP(Table3[[#This Row],[Document ID]],Table1[],2,FALSE)</f>
        <v>COG</v>
      </c>
      <c r="C185" s="233" t="str">
        <f>VLOOKUP(Table3[[#This Row],[Document ID]],Table1[],3,FALSE)</f>
        <v>Congo</v>
      </c>
      <c r="D185" s="233" t="str">
        <f>VLOOKUP(Table3[[#This Row],[Document ID]],Table1[],5,FALSE)</f>
        <v>NDC</v>
      </c>
      <c r="E185" s="233" t="str">
        <f>VLOOKUP(Table3[[#This Row],[Document ID]],Table1[],7,FALSE)</f>
        <v>First NDC updated</v>
      </c>
      <c r="F185" s="233" t="str">
        <f>VLOOKUP(Table3[[#This Row],[Document ID]],Table1[],8,FALSE)</f>
        <v>NDC 1.1</v>
      </c>
      <c r="G185" s="233" t="str">
        <f>VLOOKUP(Table3[[#This Row],[Document ID]],Table1[],10,FALSE)</f>
        <v>Active</v>
      </c>
      <c r="H185" s="216" t="s">
        <v>1089</v>
      </c>
      <c r="I185" s="216" t="s">
        <v>1089</v>
      </c>
      <c r="J185" s="43" t="s">
        <v>1090</v>
      </c>
      <c r="K185" s="28" t="s">
        <v>1091</v>
      </c>
      <c r="L185" s="216" t="s">
        <v>1092</v>
      </c>
      <c r="M185" s="209">
        <v>2030</v>
      </c>
      <c r="N185" s="44" t="s">
        <v>1303</v>
      </c>
      <c r="O185" s="258">
        <v>4</v>
      </c>
      <c r="P185" s="238" t="str">
        <f>VLOOKUP(_xlfn.CONCAT(Table3[[#This Row],[Target area]],Table3[[#This Row],[GHG target?]],Table3[[#This Row],[Conditionality]]),'Drop down'!$E$81:$F$101,2,FALSE)</f>
        <v>T_Economy_C</v>
      </c>
      <c r="Q185" s="239" t="str">
        <f>VLOOKUP(Table3[[#This Row],[Target type]],Table418[[Value name]:[Value idenifyer]],2,FALSE)</f>
        <v>T_BAU</v>
      </c>
      <c r="V185" s="233" t="str">
        <f>VLOOKUP(Table3[[#This Row],[Country Code]],Table29[],3,FALSE)</f>
        <v>Non-Annex I</v>
      </c>
      <c r="W185" s="233" t="str">
        <f>VLOOKUP(Table3[[#This Row],[Country Code]],Table29[],4,FALSE)</f>
        <v>Africa</v>
      </c>
      <c r="X185" s="233" t="str">
        <f>VLOOKUP(Table3[[#This Row],[Country Code]],Table29[],5,FALSE)</f>
        <v>Middle-income</v>
      </c>
      <c r="Y185" s="233" t="str">
        <f>VLOOKUP(Table3[[#This Row],[Country Code]],Table29[],6,FALSE)</f>
        <v>no</v>
      </c>
      <c r="Z185" s="233" t="str">
        <f>VLOOKUP(Table3[[#This Row],[Country Code]],Table29[],7,FALSE)</f>
        <v>no</v>
      </c>
      <c r="AA185" s="233" t="str">
        <f>VLOOKUP(Table3[[#This Row],[Country Code]],Table29[],8,FALSE)</f>
        <v>non-OECD</v>
      </c>
      <c r="AB185" s="233" t="str">
        <f>VLOOKUP(Table3[[#This Row],[Country Code]],Table29[],9,FALSE)</f>
        <v>no</v>
      </c>
      <c r="AC185" s="233" t="str">
        <f>VLOOKUP(Table3[[#This Row],[Country Code]],Table29[],10,FALSE)</f>
        <v>no</v>
      </c>
      <c r="AD185" s="235">
        <f>VLOOKUP(Table3[[#This Row],[Country Code]],Table29[],23,FALSE)</f>
        <v>23.702014388194002</v>
      </c>
      <c r="AE185" s="235">
        <f>VLOOKUP(Table3[[#This Row],[Country Code]],Table29[],24,FALSE)</f>
        <v>1.4878367477049981</v>
      </c>
      <c r="AF185" s="43"/>
    </row>
    <row r="186" spans="1:32" x14ac:dyDescent="0.25">
      <c r="A186" s="139">
        <v>39451</v>
      </c>
      <c r="B186" s="233" t="str">
        <f>VLOOKUP(Table3[[#This Row],[Document ID]],Table1[],2,FALSE)</f>
        <v>BIH</v>
      </c>
      <c r="C186" s="233" t="str">
        <f>VLOOKUP(Table3[[#This Row],[Document ID]],Table1[],3,FALSE)</f>
        <v>Bosnia and Herzegovina</v>
      </c>
      <c r="D186" s="233" t="str">
        <f>VLOOKUP(Table3[[#This Row],[Document ID]],Table1[],5,FALSE)</f>
        <v>LTS</v>
      </c>
      <c r="E186" s="233" t="str">
        <f>VLOOKUP(Table3[[#This Row],[Document ID]],Table1[],7,FALSE)</f>
        <v>LTS</v>
      </c>
      <c r="F186" s="207" t="str">
        <f>VLOOKUP(Table3[[#This Row],[Document ID]],Table1[],8,FALSE)</f>
        <v>LTS 1.0</v>
      </c>
      <c r="G186" s="233" t="str">
        <f>VLOOKUP(Table3[[#This Row],[Document ID]],Table1[],10,FALSE)</f>
        <v>Active</v>
      </c>
      <c r="H186" s="42" t="s">
        <v>1095</v>
      </c>
      <c r="I186" s="42" t="s">
        <v>1096</v>
      </c>
      <c r="J186" s="42" t="s">
        <v>1097</v>
      </c>
      <c r="K186" s="28" t="s">
        <v>1098</v>
      </c>
      <c r="L186" s="216" t="s">
        <v>1092</v>
      </c>
      <c r="M186" s="209">
        <v>2030</v>
      </c>
      <c r="N186" s="44" t="s">
        <v>1304</v>
      </c>
      <c r="O186" s="258">
        <v>89</v>
      </c>
      <c r="P186" s="238" t="str">
        <f>VLOOKUP(_xlfn.CONCAT(Table3[[#This Row],[Target area]],Table3[[#This Row],[GHG target?]],Table3[[#This Row],[Conditionality]]),'Drop down'!$E$81:$F$101,2,FALSE)</f>
        <v>T_Transport_O_C</v>
      </c>
      <c r="Q186" s="239" t="str">
        <f>VLOOKUP(Table3[[#This Row],[Target type]],Table418[[Value name]:[Value idenifyer]],2,FALSE)</f>
        <v>T_O_MODE</v>
      </c>
      <c r="S186" s="233" t="s">
        <v>1101</v>
      </c>
      <c r="U186" s="240"/>
      <c r="V186" s="233" t="str">
        <f>VLOOKUP(Table3[[#This Row],[Country Code]],Table29[],3,FALSE)</f>
        <v>Non-Annex I</v>
      </c>
      <c r="W186" s="233" t="str">
        <f>VLOOKUP(Table3[[#This Row],[Country Code]],Table29[],4,FALSE)</f>
        <v>Europe</v>
      </c>
      <c r="X186" s="233" t="str">
        <f>VLOOKUP(Table3[[#This Row],[Country Code]],Table29[],5,FALSE)</f>
        <v>Middle-income</v>
      </c>
      <c r="Y186" s="233" t="str">
        <f>VLOOKUP(Table3[[#This Row],[Country Code]],Table29[],6,FALSE)</f>
        <v>no</v>
      </c>
      <c r="Z186" s="233" t="str">
        <f>VLOOKUP(Table3[[#This Row],[Country Code]],Table29[],7,FALSE)</f>
        <v>no</v>
      </c>
      <c r="AA186" s="233" t="str">
        <f>VLOOKUP(Table3[[#This Row],[Country Code]],Table29[],8,FALSE)</f>
        <v>non-OECD</v>
      </c>
      <c r="AB186" s="233" t="str">
        <f>VLOOKUP(Table3[[#This Row],[Country Code]],Table29[],9,FALSE)</f>
        <v>no</v>
      </c>
      <c r="AC186" s="233" t="str">
        <f>VLOOKUP(Table3[[#This Row],[Country Code]],Table29[],10,FALSE)</f>
        <v>no</v>
      </c>
      <c r="AD186" s="235">
        <f>VLOOKUP(Table3[[#This Row],[Country Code]],Table29[],23,FALSE)</f>
        <v>29.397991348245998</v>
      </c>
      <c r="AE186" s="235">
        <f>VLOOKUP(Table3[[#This Row],[Country Code]],Table29[],24,FALSE)</f>
        <v>4.4436076081737648</v>
      </c>
      <c r="AF186" s="43"/>
    </row>
    <row r="187" spans="1:32" x14ac:dyDescent="0.25">
      <c r="A187" s="360">
        <v>17560</v>
      </c>
      <c r="B187" s="233" t="str">
        <f>VLOOKUP(Table3[[#This Row],[Document ID]],Table1[],2,FALSE)</f>
        <v>COG</v>
      </c>
      <c r="C187" s="233" t="str">
        <f>VLOOKUP(Table3[[#This Row],[Document ID]],Table1[],3,FALSE)</f>
        <v>Congo</v>
      </c>
      <c r="D187" s="233" t="str">
        <f>VLOOKUP(Table3[[#This Row],[Document ID]],Table1[],5,FALSE)</f>
        <v>NDC</v>
      </c>
      <c r="E187" s="233" t="str">
        <f>VLOOKUP(Table3[[#This Row],[Document ID]],Table1[],7,FALSE)</f>
        <v>First NDC</v>
      </c>
      <c r="F187" s="233" t="str">
        <f>VLOOKUP(Table3[[#This Row],[Document ID]],Table1[],8,FALSE)</f>
        <v>NDC 1.0</v>
      </c>
      <c r="G187" s="233" t="str">
        <f>VLOOKUP(Table3[[#This Row],[Document ID]],Table1[],10,FALSE)</f>
        <v>Archived</v>
      </c>
      <c r="H187" s="216" t="s">
        <v>1089</v>
      </c>
      <c r="I187" s="216" t="s">
        <v>1089</v>
      </c>
      <c r="J187" s="43" t="s">
        <v>1090</v>
      </c>
      <c r="K187" s="28" t="s">
        <v>1091</v>
      </c>
      <c r="L187" s="42" t="s">
        <v>1099</v>
      </c>
      <c r="M187" s="209">
        <v>2025</v>
      </c>
      <c r="N187" s="176" t="s">
        <v>1305</v>
      </c>
      <c r="O187" s="258" t="s">
        <v>1094</v>
      </c>
      <c r="P187" s="238" t="str">
        <f>VLOOKUP(_xlfn.CONCAT(Table3[[#This Row],[Target area]],Table3[[#This Row],[GHG target?]],Table3[[#This Row],[Conditionality]]),'Drop down'!$E$81:$F$101,2,FALSE)</f>
        <v>T_Economy_Unc</v>
      </c>
      <c r="Q187" s="239" t="str">
        <f>VLOOKUP(Table3[[#This Row],[Target type]],Table418[[Value name]:[Value idenifyer]],2,FALSE)</f>
        <v>T_BAU</v>
      </c>
      <c r="S187" s="233" t="s">
        <v>1112</v>
      </c>
      <c r="V187" s="233" t="str">
        <f>VLOOKUP(Table3[[#This Row],[Country Code]],Table29[],3,FALSE)</f>
        <v>Non-Annex I</v>
      </c>
      <c r="W187" s="233" t="str">
        <f>VLOOKUP(Table3[[#This Row],[Country Code]],Table29[],4,FALSE)</f>
        <v>Africa</v>
      </c>
      <c r="X187" s="233" t="str">
        <f>VLOOKUP(Table3[[#This Row],[Country Code]],Table29[],5,FALSE)</f>
        <v>Middle-income</v>
      </c>
      <c r="Y187" s="233" t="str">
        <f>VLOOKUP(Table3[[#This Row],[Country Code]],Table29[],6,FALSE)</f>
        <v>no</v>
      </c>
      <c r="Z187" s="233" t="str">
        <f>VLOOKUP(Table3[[#This Row],[Country Code]],Table29[],7,FALSE)</f>
        <v>no</v>
      </c>
      <c r="AA187" s="233" t="str">
        <f>VLOOKUP(Table3[[#This Row],[Country Code]],Table29[],8,FALSE)</f>
        <v>non-OECD</v>
      </c>
      <c r="AB187" s="233" t="str">
        <f>VLOOKUP(Table3[[#This Row],[Country Code]],Table29[],9,FALSE)</f>
        <v>no</v>
      </c>
      <c r="AC187" s="233" t="str">
        <f>VLOOKUP(Table3[[#This Row],[Country Code]],Table29[],10,FALSE)</f>
        <v>no</v>
      </c>
      <c r="AD187" s="235">
        <f>VLOOKUP(Table3[[#This Row],[Country Code]],Table29[],23,FALSE)</f>
        <v>23.702014388194002</v>
      </c>
      <c r="AE187" s="235">
        <f>VLOOKUP(Table3[[#This Row],[Country Code]],Table29[],24,FALSE)</f>
        <v>1.4878367477049981</v>
      </c>
      <c r="AF187" s="43"/>
    </row>
    <row r="188" spans="1:32" x14ac:dyDescent="0.25">
      <c r="A188" s="360">
        <v>17546</v>
      </c>
      <c r="B188" s="233" t="str">
        <f>VLOOKUP(Table3[[#This Row],[Document ID]],Table1[],2,FALSE)</f>
        <v>CPV</v>
      </c>
      <c r="C188" s="233" t="str">
        <f>VLOOKUP(Table3[[#This Row],[Document ID]],Table1[],3,FALSE)</f>
        <v>Cabo Verde</v>
      </c>
      <c r="D188" s="233" t="str">
        <f>VLOOKUP(Table3[[#This Row],[Document ID]],Table1[],5,FALSE)</f>
        <v>NDC</v>
      </c>
      <c r="E188" s="233" t="str">
        <f>VLOOKUP(Table3[[#This Row],[Document ID]],Table1[],7,FALSE)</f>
        <v>First NDC updated</v>
      </c>
      <c r="F188" s="233" t="str">
        <f>VLOOKUP(Table3[[#This Row],[Document ID]],Table1[],8,FALSE)</f>
        <v>NDC 1.1</v>
      </c>
      <c r="G188" s="233" t="str">
        <f>VLOOKUP(Table3[[#This Row],[Document ID]],Table1[],10,FALSE)</f>
        <v>Active</v>
      </c>
      <c r="H188" s="216" t="s">
        <v>1089</v>
      </c>
      <c r="I188" s="216" t="s">
        <v>1089</v>
      </c>
      <c r="J188" s="43" t="s">
        <v>1090</v>
      </c>
      <c r="K188" s="28" t="s">
        <v>1091</v>
      </c>
      <c r="L188" s="42" t="s">
        <v>1099</v>
      </c>
      <c r="M188" s="209">
        <v>2030</v>
      </c>
      <c r="N188" s="44" t="s">
        <v>1306</v>
      </c>
      <c r="O188" s="221">
        <v>5</v>
      </c>
      <c r="P188" s="238" t="str">
        <f>VLOOKUP(_xlfn.CONCAT(Table3[[#This Row],[Target area]],Table3[[#This Row],[GHG target?]],Table3[[#This Row],[Conditionality]]),'Drop down'!$E$81:$F$101,2,FALSE)</f>
        <v>T_Economy_Unc</v>
      </c>
      <c r="Q188" s="239" t="str">
        <f>VLOOKUP(Table3[[#This Row],[Target type]],Table418[[Value name]:[Value idenifyer]],2,FALSE)</f>
        <v>T_BAU</v>
      </c>
      <c r="S188" s="233" t="s">
        <v>1101</v>
      </c>
      <c r="T188" s="234" t="s">
        <v>1113</v>
      </c>
      <c r="U188" s="234">
        <v>2035</v>
      </c>
      <c r="V188" s="233" t="str">
        <f>VLOOKUP(Table3[[#This Row],[Country Code]],Table29[],3,FALSE)</f>
        <v>Non-Annex I</v>
      </c>
      <c r="W188" s="233" t="str">
        <f>VLOOKUP(Table3[[#This Row],[Country Code]],Table29[],4,FALSE)</f>
        <v>Africa</v>
      </c>
      <c r="X188" s="233" t="str">
        <f>VLOOKUP(Table3[[#This Row],[Country Code]],Table29[],5,FALSE)</f>
        <v>Middle-income</v>
      </c>
      <c r="Y188" s="233" t="str">
        <f>VLOOKUP(Table3[[#This Row],[Country Code]],Table29[],6,FALSE)</f>
        <v>no</v>
      </c>
      <c r="Z188" s="233" t="str">
        <f>VLOOKUP(Table3[[#This Row],[Country Code]],Table29[],7,FALSE)</f>
        <v>no</v>
      </c>
      <c r="AA188" s="233" t="str">
        <f>VLOOKUP(Table3[[#This Row],[Country Code]],Table29[],8,FALSE)</f>
        <v>non-OECD</v>
      </c>
      <c r="AB188" s="233" t="str">
        <f>VLOOKUP(Table3[[#This Row],[Country Code]],Table29[],9,FALSE)</f>
        <v>no</v>
      </c>
      <c r="AC188" s="233" t="str">
        <f>VLOOKUP(Table3[[#This Row],[Country Code]],Table29[],10,FALSE)</f>
        <v>no</v>
      </c>
      <c r="AD188" s="235">
        <f>VLOOKUP(Table3[[#This Row],[Country Code]],Table29[],23,FALSE)</f>
        <v>1.2315183876125</v>
      </c>
      <c r="AE188" s="235">
        <f>VLOOKUP(Table3[[#This Row],[Country Code]],Table29[],24,FALSE)</f>
        <v>0.58681111832995647</v>
      </c>
      <c r="AF188" s="43"/>
    </row>
    <row r="189" spans="1:32" x14ac:dyDescent="0.25">
      <c r="A189" s="360">
        <v>17546</v>
      </c>
      <c r="B189" s="233" t="str">
        <f>VLOOKUP(Table3[[#This Row],[Document ID]],Table1[],2,FALSE)</f>
        <v>CPV</v>
      </c>
      <c r="C189" s="233" t="str">
        <f>VLOOKUP(Table3[[#This Row],[Document ID]],Table1[],3,FALSE)</f>
        <v>Cabo Verde</v>
      </c>
      <c r="D189" s="233" t="str">
        <f>VLOOKUP(Table3[[#This Row],[Document ID]],Table1[],5,FALSE)</f>
        <v>NDC</v>
      </c>
      <c r="E189" s="233" t="str">
        <f>VLOOKUP(Table3[[#This Row],[Document ID]],Table1[],7,FALSE)</f>
        <v>First NDC updated</v>
      </c>
      <c r="F189" s="233" t="str">
        <f>VLOOKUP(Table3[[#This Row],[Document ID]],Table1[],8,FALSE)</f>
        <v>NDC 1.1</v>
      </c>
      <c r="G189" s="233" t="str">
        <f>VLOOKUP(Table3[[#This Row],[Document ID]],Table1[],10,FALSE)</f>
        <v>Active</v>
      </c>
      <c r="H189" s="216" t="s">
        <v>1089</v>
      </c>
      <c r="I189" s="216" t="s">
        <v>1089</v>
      </c>
      <c r="J189" s="43" t="s">
        <v>1090</v>
      </c>
      <c r="K189" s="28" t="s">
        <v>1091</v>
      </c>
      <c r="L189" s="216" t="s">
        <v>1092</v>
      </c>
      <c r="M189" s="209">
        <v>2030</v>
      </c>
      <c r="N189" s="44" t="s">
        <v>1307</v>
      </c>
      <c r="O189" s="221">
        <v>5</v>
      </c>
      <c r="P189" s="238" t="str">
        <f>VLOOKUP(_xlfn.CONCAT(Table3[[#This Row],[Target area]],Table3[[#This Row],[GHG target?]],Table3[[#This Row],[Conditionality]]),'Drop down'!$E$81:$F$101,2,FALSE)</f>
        <v>T_Economy_C</v>
      </c>
      <c r="Q189" s="239" t="str">
        <f>VLOOKUP(Table3[[#This Row],[Target type]],Table418[[Value name]:[Value idenifyer]],2,FALSE)</f>
        <v>T_BAU</v>
      </c>
      <c r="S189" s="233" t="s">
        <v>1101</v>
      </c>
      <c r="T189" s="234" t="s">
        <v>1113</v>
      </c>
      <c r="U189" s="234">
        <v>2035</v>
      </c>
      <c r="V189" s="233" t="str">
        <f>VLOOKUP(Table3[[#This Row],[Country Code]],Table29[],3,FALSE)</f>
        <v>Non-Annex I</v>
      </c>
      <c r="W189" s="233" t="str">
        <f>VLOOKUP(Table3[[#This Row],[Country Code]],Table29[],4,FALSE)</f>
        <v>Africa</v>
      </c>
      <c r="X189" s="233" t="str">
        <f>VLOOKUP(Table3[[#This Row],[Country Code]],Table29[],5,FALSE)</f>
        <v>Middle-income</v>
      </c>
      <c r="Y189" s="233" t="str">
        <f>VLOOKUP(Table3[[#This Row],[Country Code]],Table29[],6,FALSE)</f>
        <v>no</v>
      </c>
      <c r="Z189" s="233" t="str">
        <f>VLOOKUP(Table3[[#This Row],[Country Code]],Table29[],7,FALSE)</f>
        <v>no</v>
      </c>
      <c r="AA189" s="233" t="str">
        <f>VLOOKUP(Table3[[#This Row],[Country Code]],Table29[],8,FALSE)</f>
        <v>non-OECD</v>
      </c>
      <c r="AB189" s="233" t="str">
        <f>VLOOKUP(Table3[[#This Row],[Country Code]],Table29[],9,FALSE)</f>
        <v>no</v>
      </c>
      <c r="AC189" s="233" t="str">
        <f>VLOOKUP(Table3[[#This Row],[Country Code]],Table29[],10,FALSE)</f>
        <v>no</v>
      </c>
      <c r="AD189" s="235">
        <f>VLOOKUP(Table3[[#This Row],[Country Code]],Table29[],23,FALSE)</f>
        <v>1.2315183876125</v>
      </c>
      <c r="AE189" s="235">
        <f>VLOOKUP(Table3[[#This Row],[Country Code]],Table29[],24,FALSE)</f>
        <v>0.58681111832995647</v>
      </c>
      <c r="AF189" s="43"/>
    </row>
    <row r="190" spans="1:32" ht="30" x14ac:dyDescent="0.25">
      <c r="A190" s="139">
        <v>39451</v>
      </c>
      <c r="B190" s="233" t="str">
        <f>VLOOKUP(Table3[[#This Row],[Document ID]],Table1[],2,FALSE)</f>
        <v>BIH</v>
      </c>
      <c r="C190" s="233" t="str">
        <f>VLOOKUP(Table3[[#This Row],[Document ID]],Table1[],3,FALSE)</f>
        <v>Bosnia and Herzegovina</v>
      </c>
      <c r="D190" s="233" t="str">
        <f>VLOOKUP(Table3[[#This Row],[Document ID]],Table1[],5,FALSE)</f>
        <v>LTS</v>
      </c>
      <c r="E190" s="233" t="str">
        <f>VLOOKUP(Table3[[#This Row],[Document ID]],Table1[],7,FALSE)</f>
        <v>LTS</v>
      </c>
      <c r="F190" s="207" t="str">
        <f>VLOOKUP(Table3[[#This Row],[Document ID]],Table1[],8,FALSE)</f>
        <v>LTS 1.0</v>
      </c>
      <c r="G190" s="233" t="str">
        <f>VLOOKUP(Table3[[#This Row],[Document ID]],Table1[],10,FALSE)</f>
        <v>Active</v>
      </c>
      <c r="H190" s="42" t="s">
        <v>1095</v>
      </c>
      <c r="I190" s="42" t="s">
        <v>1096</v>
      </c>
      <c r="J190" s="42" t="s">
        <v>1097</v>
      </c>
      <c r="K190" s="28" t="s">
        <v>1098</v>
      </c>
      <c r="L190" s="43" t="s">
        <v>1092</v>
      </c>
      <c r="M190" s="209">
        <v>2030</v>
      </c>
      <c r="N190" s="44" t="s">
        <v>1308</v>
      </c>
      <c r="O190" s="258">
        <v>89</v>
      </c>
      <c r="P190" s="238" t="str">
        <f>VLOOKUP(_xlfn.CONCAT(Table3[[#This Row],[Target area]],Table3[[#This Row],[GHG target?]],Table3[[#This Row],[Conditionality]]),'Drop down'!$E$81:$F$101,2,FALSE)</f>
        <v>T_Transport_O_C</v>
      </c>
      <c r="Q190" s="239" t="str">
        <f>VLOOKUP(Table3[[#This Row],[Target type]],Table418[[Value name]:[Value idenifyer]],2,FALSE)</f>
        <v>T_O_MODE</v>
      </c>
      <c r="S190" s="233" t="s">
        <v>1101</v>
      </c>
      <c r="U190" s="240"/>
      <c r="V190" s="233" t="str">
        <f>VLOOKUP(Table3[[#This Row],[Country Code]],Table29[],3,FALSE)</f>
        <v>Non-Annex I</v>
      </c>
      <c r="W190" s="233" t="str">
        <f>VLOOKUP(Table3[[#This Row],[Country Code]],Table29[],4,FALSE)</f>
        <v>Europe</v>
      </c>
      <c r="X190" s="233" t="str">
        <f>VLOOKUP(Table3[[#This Row],[Country Code]],Table29[],5,FALSE)</f>
        <v>Middle-income</v>
      </c>
      <c r="Y190" s="233" t="str">
        <f>VLOOKUP(Table3[[#This Row],[Country Code]],Table29[],6,FALSE)</f>
        <v>no</v>
      </c>
      <c r="Z190" s="233" t="str">
        <f>VLOOKUP(Table3[[#This Row],[Country Code]],Table29[],7,FALSE)</f>
        <v>no</v>
      </c>
      <c r="AA190" s="233" t="str">
        <f>VLOOKUP(Table3[[#This Row],[Country Code]],Table29[],8,FALSE)</f>
        <v>non-OECD</v>
      </c>
      <c r="AB190" s="233" t="str">
        <f>VLOOKUP(Table3[[#This Row],[Country Code]],Table29[],9,FALSE)</f>
        <v>no</v>
      </c>
      <c r="AC190" s="233" t="str">
        <f>VLOOKUP(Table3[[#This Row],[Country Code]],Table29[],10,FALSE)</f>
        <v>no</v>
      </c>
      <c r="AD190" s="235">
        <f>VLOOKUP(Table3[[#This Row],[Country Code]],Table29[],23,FALSE)</f>
        <v>29.397991348245998</v>
      </c>
      <c r="AE190" s="235">
        <f>VLOOKUP(Table3[[#This Row],[Country Code]],Table29[],24,FALSE)</f>
        <v>4.4436076081737648</v>
      </c>
      <c r="AF190" s="43"/>
    </row>
    <row r="191" spans="1:32" ht="30" x14ac:dyDescent="0.25">
      <c r="A191" s="139">
        <v>39451</v>
      </c>
      <c r="B191" s="233" t="str">
        <f>VLOOKUP(Table3[[#This Row],[Document ID]],Table1[],2,FALSE)</f>
        <v>BIH</v>
      </c>
      <c r="C191" s="233" t="str">
        <f>VLOOKUP(Table3[[#This Row],[Document ID]],Table1[],3,FALSE)</f>
        <v>Bosnia and Herzegovina</v>
      </c>
      <c r="D191" s="233" t="str">
        <f>VLOOKUP(Table3[[#This Row],[Document ID]],Table1[],5,FALSE)</f>
        <v>LTS</v>
      </c>
      <c r="E191" s="233" t="str">
        <f>VLOOKUP(Table3[[#This Row],[Document ID]],Table1[],7,FALSE)</f>
        <v>LTS</v>
      </c>
      <c r="F191" s="207" t="str">
        <f>VLOOKUP(Table3[[#This Row],[Document ID]],Table1[],8,FALSE)</f>
        <v>LTS 1.0</v>
      </c>
      <c r="G191" s="233" t="str">
        <f>VLOOKUP(Table3[[#This Row],[Document ID]],Table1[],10,FALSE)</f>
        <v>Active</v>
      </c>
      <c r="H191" s="42" t="s">
        <v>1095</v>
      </c>
      <c r="I191" s="42" t="s">
        <v>1096</v>
      </c>
      <c r="J191" s="42" t="s">
        <v>1097</v>
      </c>
      <c r="K191" s="28" t="s">
        <v>1098</v>
      </c>
      <c r="L191" s="216" t="s">
        <v>1092</v>
      </c>
      <c r="M191" s="209">
        <v>2030</v>
      </c>
      <c r="N191" s="44" t="s">
        <v>1309</v>
      </c>
      <c r="O191" s="258">
        <v>89</v>
      </c>
      <c r="P191" s="238" t="str">
        <f>VLOOKUP(_xlfn.CONCAT(Table3[[#This Row],[Target area]],Table3[[#This Row],[GHG target?]],Table3[[#This Row],[Conditionality]]),'Drop down'!$E$81:$F$101,2,FALSE)</f>
        <v>T_Transport_O_C</v>
      </c>
      <c r="Q191" s="239" t="str">
        <f>VLOOKUP(Table3[[#This Row],[Target type]],Table418[[Value name]:[Value idenifyer]],2,FALSE)</f>
        <v>T_O_MODE</v>
      </c>
      <c r="S191" s="233" t="s">
        <v>1101</v>
      </c>
      <c r="U191" s="240"/>
      <c r="V191" s="233" t="str">
        <f>VLOOKUP(Table3[[#This Row],[Country Code]],Table29[],3,FALSE)</f>
        <v>Non-Annex I</v>
      </c>
      <c r="W191" s="233" t="str">
        <f>VLOOKUP(Table3[[#This Row],[Country Code]],Table29[],4,FALSE)</f>
        <v>Europe</v>
      </c>
      <c r="X191" s="233" t="str">
        <f>VLOOKUP(Table3[[#This Row],[Country Code]],Table29[],5,FALSE)</f>
        <v>Middle-income</v>
      </c>
      <c r="Y191" s="233" t="str">
        <f>VLOOKUP(Table3[[#This Row],[Country Code]],Table29[],6,FALSE)</f>
        <v>no</v>
      </c>
      <c r="Z191" s="233" t="str">
        <f>VLOOKUP(Table3[[#This Row],[Country Code]],Table29[],7,FALSE)</f>
        <v>no</v>
      </c>
      <c r="AA191" s="233" t="str">
        <f>VLOOKUP(Table3[[#This Row],[Country Code]],Table29[],8,FALSE)</f>
        <v>non-OECD</v>
      </c>
      <c r="AB191" s="233" t="str">
        <f>VLOOKUP(Table3[[#This Row],[Country Code]],Table29[],9,FALSE)</f>
        <v>no</v>
      </c>
      <c r="AC191" s="233" t="str">
        <f>VLOOKUP(Table3[[#This Row],[Country Code]],Table29[],10,FALSE)</f>
        <v>no</v>
      </c>
      <c r="AD191" s="235">
        <f>VLOOKUP(Table3[[#This Row],[Country Code]],Table29[],23,FALSE)</f>
        <v>29.397991348245998</v>
      </c>
      <c r="AE191" s="235">
        <f>VLOOKUP(Table3[[#This Row],[Country Code]],Table29[],24,FALSE)</f>
        <v>4.4436076081737648</v>
      </c>
      <c r="AF191" s="43"/>
    </row>
    <row r="192" spans="1:32" x14ac:dyDescent="0.25">
      <c r="A192" s="360">
        <v>17546</v>
      </c>
      <c r="B192" s="233" t="str">
        <f>VLOOKUP(Table3[[#This Row],[Document ID]],Table1[],2,FALSE)</f>
        <v>CPV</v>
      </c>
      <c r="C192" s="233" t="str">
        <f>VLOOKUP(Table3[[#This Row],[Document ID]],Table1[],3,FALSE)</f>
        <v>Cabo Verde</v>
      </c>
      <c r="D192" s="233" t="str">
        <f>VLOOKUP(Table3[[#This Row],[Document ID]],Table1[],5,FALSE)</f>
        <v>NDC</v>
      </c>
      <c r="E192" s="233" t="str">
        <f>VLOOKUP(Table3[[#This Row],[Document ID]],Table1[],7,FALSE)</f>
        <v>First NDC updated</v>
      </c>
      <c r="F192" s="233" t="str">
        <f>VLOOKUP(Table3[[#This Row],[Document ID]],Table1[],8,FALSE)</f>
        <v>NDC 1.1</v>
      </c>
      <c r="G192" s="233" t="str">
        <f>VLOOKUP(Table3[[#This Row],[Document ID]],Table1[],10,FALSE)</f>
        <v>Active</v>
      </c>
      <c r="H192" s="43" t="s">
        <v>1147</v>
      </c>
      <c r="I192" s="43" t="s">
        <v>1089</v>
      </c>
      <c r="J192" s="43" t="s">
        <v>1090</v>
      </c>
      <c r="K192" s="28" t="s">
        <v>1121</v>
      </c>
      <c r="L192" s="43" t="s">
        <v>1116</v>
      </c>
      <c r="M192" s="209">
        <v>2050</v>
      </c>
      <c r="N192" s="44" t="s">
        <v>1310</v>
      </c>
      <c r="O192" s="258">
        <v>5</v>
      </c>
      <c r="P192" s="238" t="str">
        <f>VLOOKUP(_xlfn.CONCAT(Table3[[#This Row],[Target area]],Table3[[#This Row],[GHG target?]],Table3[[#This Row],[Conditionality]]),'Drop down'!$E$81:$F$101,2,FALSE)</f>
        <v>T_Netzero</v>
      </c>
      <c r="Q192" s="239" t="str">
        <f>VLOOKUP(Table3[[#This Row],[Target type]],Table418[[Value name]:[Value idenifyer]],2,FALSE)</f>
        <v>T_FL</v>
      </c>
      <c r="U192" s="234" t="s">
        <v>1298</v>
      </c>
      <c r="V192" s="233" t="str">
        <f>VLOOKUP(Table3[[#This Row],[Country Code]],Table29[],3,FALSE)</f>
        <v>Non-Annex I</v>
      </c>
      <c r="W192" s="233" t="str">
        <f>VLOOKUP(Table3[[#This Row],[Country Code]],Table29[],4,FALSE)</f>
        <v>Africa</v>
      </c>
      <c r="X192" s="233" t="str">
        <f>VLOOKUP(Table3[[#This Row],[Country Code]],Table29[],5,FALSE)</f>
        <v>Middle-income</v>
      </c>
      <c r="Y192" s="233" t="str">
        <f>VLOOKUP(Table3[[#This Row],[Country Code]],Table29[],6,FALSE)</f>
        <v>no</v>
      </c>
      <c r="Z192" s="233" t="str">
        <f>VLOOKUP(Table3[[#This Row],[Country Code]],Table29[],7,FALSE)</f>
        <v>no</v>
      </c>
      <c r="AA192" s="233" t="str">
        <f>VLOOKUP(Table3[[#This Row],[Country Code]],Table29[],8,FALSE)</f>
        <v>non-OECD</v>
      </c>
      <c r="AB192" s="233" t="str">
        <f>VLOOKUP(Table3[[#This Row],[Country Code]],Table29[],9,FALSE)</f>
        <v>no</v>
      </c>
      <c r="AC192" s="233" t="str">
        <f>VLOOKUP(Table3[[#This Row],[Country Code]],Table29[],10,FALSE)</f>
        <v>no</v>
      </c>
      <c r="AD192" s="235">
        <f>VLOOKUP(Table3[[#This Row],[Country Code]],Table29[],23,FALSE)</f>
        <v>1.2315183876125</v>
      </c>
      <c r="AE192" s="235">
        <f>VLOOKUP(Table3[[#This Row],[Country Code]],Table29[],24,FALSE)</f>
        <v>0.58681111832995647</v>
      </c>
      <c r="AF192" s="43"/>
    </row>
    <row r="193" spans="1:32" ht="45" x14ac:dyDescent="0.25">
      <c r="A193" s="360">
        <v>17564</v>
      </c>
      <c r="B193" s="233" t="str">
        <f>VLOOKUP(Table3[[#This Row],[Document ID]],Table1[],2,FALSE)</f>
        <v>CRI</v>
      </c>
      <c r="C193" s="233" t="str">
        <f>VLOOKUP(Table3[[#This Row],[Document ID]],Table1[],3,FALSE)</f>
        <v>Costa Rica</v>
      </c>
      <c r="D193" s="233" t="str">
        <f>VLOOKUP(Table3[[#This Row],[Document ID]],Table1[],5,FALSE)</f>
        <v>NDC</v>
      </c>
      <c r="E193" s="233" t="str">
        <f>VLOOKUP(Table3[[#This Row],[Document ID]],Table1[],7,FALSE)</f>
        <v>First NDC updated</v>
      </c>
      <c r="F193" s="233" t="str">
        <f>VLOOKUP(Table3[[#This Row],[Document ID]],Table1[],8,FALSE)</f>
        <v>NDC 1.1</v>
      </c>
      <c r="G193" s="233" t="str">
        <f>VLOOKUP(Table3[[#This Row],[Document ID]],Table1[],10,FALSE)</f>
        <v>Active</v>
      </c>
      <c r="H193" s="216" t="s">
        <v>1089</v>
      </c>
      <c r="I193" s="216" t="s">
        <v>1089</v>
      </c>
      <c r="J193" s="43" t="s">
        <v>1090</v>
      </c>
      <c r="K193" s="28" t="s">
        <v>1121</v>
      </c>
      <c r="L193" s="42" t="s">
        <v>1099</v>
      </c>
      <c r="M193" s="209">
        <v>2030</v>
      </c>
      <c r="N193" s="44" t="s">
        <v>1311</v>
      </c>
      <c r="O193" s="221">
        <v>8</v>
      </c>
      <c r="P193" s="238" t="str">
        <f>VLOOKUP(_xlfn.CONCAT(Table3[[#This Row],[Target area]],Table3[[#This Row],[GHG target?]],Table3[[#This Row],[Conditionality]]),'Drop down'!$E$81:$F$101,2,FALSE)</f>
        <v>T_Economy_Unc</v>
      </c>
      <c r="Q193" s="239" t="str">
        <f>VLOOKUP(Table3[[#This Row],[Target type]],Table418[[Value name]:[Value idenifyer]],2,FALSE)</f>
        <v>T_FL</v>
      </c>
      <c r="S193" s="233" t="s">
        <v>1101</v>
      </c>
      <c r="T193" s="234" t="s">
        <v>1113</v>
      </c>
      <c r="U193" s="234" t="s">
        <v>1113</v>
      </c>
      <c r="V193" s="233" t="str">
        <f>VLOOKUP(Table3[[#This Row],[Country Code]],Table29[],3,FALSE)</f>
        <v>Non-Annex I</v>
      </c>
      <c r="W193" s="233" t="str">
        <f>VLOOKUP(Table3[[#This Row],[Country Code]],Table29[],4,FALSE)</f>
        <v>Latin America and the Caribbean</v>
      </c>
      <c r="X193" s="233" t="str">
        <f>VLOOKUP(Table3[[#This Row],[Country Code]],Table29[],5,FALSE)</f>
        <v>Middle-income</v>
      </c>
      <c r="Y193" s="233" t="str">
        <f>VLOOKUP(Table3[[#This Row],[Country Code]],Table29[],6,FALSE)</f>
        <v>no</v>
      </c>
      <c r="Z193" s="233" t="str">
        <f>VLOOKUP(Table3[[#This Row],[Country Code]],Table29[],7,FALSE)</f>
        <v>no</v>
      </c>
      <c r="AA193" s="233" t="str">
        <f>VLOOKUP(Table3[[#This Row],[Country Code]],Table29[],8,FALSE)</f>
        <v>OECD</v>
      </c>
      <c r="AB193" s="233" t="str">
        <f>VLOOKUP(Table3[[#This Row],[Country Code]],Table29[],9,FALSE)</f>
        <v>no</v>
      </c>
      <c r="AC193" s="233" t="str">
        <f>VLOOKUP(Table3[[#This Row],[Country Code]],Table29[],10,FALSE)</f>
        <v>no</v>
      </c>
      <c r="AD193" s="235">
        <f>VLOOKUP(Table3[[#This Row],[Country Code]],Table29[],23,FALSE)</f>
        <v>16.468143919330998</v>
      </c>
      <c r="AE193" s="235">
        <f>VLOOKUP(Table3[[#This Row],[Country Code]],Table29[],24,FALSE)</f>
        <v>6.1699800179976929</v>
      </c>
      <c r="AF193" s="43"/>
    </row>
    <row r="194" spans="1:32" x14ac:dyDescent="0.25">
      <c r="A194" s="360">
        <v>17563</v>
      </c>
      <c r="B194" s="233" t="str">
        <f>VLOOKUP(Table3[[#This Row],[Document ID]],Table1[],2,FALSE)</f>
        <v>CRI</v>
      </c>
      <c r="C194" s="233" t="str">
        <f>VLOOKUP(Table3[[#This Row],[Document ID]],Table1[],3,FALSE)</f>
        <v>Costa Rica</v>
      </c>
      <c r="D194" s="233" t="str">
        <f>VLOOKUP(Table3[[#This Row],[Document ID]],Table1[],5,FALSE)</f>
        <v>LTS</v>
      </c>
      <c r="E194" s="233" t="str">
        <f>VLOOKUP(Table3[[#This Row],[Document ID]],Table1[],7,FALSE)</f>
        <v>LTS</v>
      </c>
      <c r="F194" s="233" t="str">
        <f>VLOOKUP(Table3[[#This Row],[Document ID]],Table1[],8,FALSE)</f>
        <v>LTS 1.0</v>
      </c>
      <c r="G194" s="233" t="str">
        <f>VLOOKUP(Table3[[#This Row],[Document ID]],Table1[],10,FALSE)</f>
        <v>Active</v>
      </c>
      <c r="H194" s="216" t="s">
        <v>1089</v>
      </c>
      <c r="I194" s="216" t="s">
        <v>1089</v>
      </c>
      <c r="J194" s="43" t="s">
        <v>1090</v>
      </c>
      <c r="K194" s="28" t="s">
        <v>1121</v>
      </c>
      <c r="L194" s="42" t="s">
        <v>1099</v>
      </c>
      <c r="M194" s="209">
        <v>2050</v>
      </c>
      <c r="N194" s="44" t="s">
        <v>1312</v>
      </c>
      <c r="O194" s="221">
        <v>29</v>
      </c>
      <c r="P194" s="238" t="str">
        <f>VLOOKUP(_xlfn.CONCAT(Table3[[#This Row],[Target area]],Table3[[#This Row],[GHG target?]],Table3[[#This Row],[Conditionality]]),'Drop down'!$E$81:$F$101,2,FALSE)</f>
        <v>T_Economy_Unc</v>
      </c>
      <c r="Q194" s="239" t="str">
        <f>VLOOKUP(Table3[[#This Row],[Target type]],Table418[[Value name]:[Value idenifyer]],2,FALSE)</f>
        <v>T_FL</v>
      </c>
      <c r="S194" s="233" t="s">
        <v>1101</v>
      </c>
      <c r="T194" s="234" t="s">
        <v>1113</v>
      </c>
      <c r="U194" s="234" t="s">
        <v>1113</v>
      </c>
      <c r="V194" s="233" t="str">
        <f>VLOOKUP(Table3[[#This Row],[Country Code]],Table29[],3,FALSE)</f>
        <v>Non-Annex I</v>
      </c>
      <c r="W194" s="233" t="str">
        <f>VLOOKUP(Table3[[#This Row],[Country Code]],Table29[],4,FALSE)</f>
        <v>Latin America and the Caribbean</v>
      </c>
      <c r="X194" s="233" t="str">
        <f>VLOOKUP(Table3[[#This Row],[Country Code]],Table29[],5,FALSE)</f>
        <v>Middle-income</v>
      </c>
      <c r="Y194" s="233" t="str">
        <f>VLOOKUP(Table3[[#This Row],[Country Code]],Table29[],6,FALSE)</f>
        <v>no</v>
      </c>
      <c r="Z194" s="233" t="str">
        <f>VLOOKUP(Table3[[#This Row],[Country Code]],Table29[],7,FALSE)</f>
        <v>no</v>
      </c>
      <c r="AA194" s="233" t="str">
        <f>VLOOKUP(Table3[[#This Row],[Country Code]],Table29[],8,FALSE)</f>
        <v>OECD</v>
      </c>
      <c r="AB194" s="233" t="str">
        <f>VLOOKUP(Table3[[#This Row],[Country Code]],Table29[],9,FALSE)</f>
        <v>no</v>
      </c>
      <c r="AC194" s="233" t="str">
        <f>VLOOKUP(Table3[[#This Row],[Country Code]],Table29[],10,FALSE)</f>
        <v>no</v>
      </c>
      <c r="AD194" s="235">
        <f>VLOOKUP(Table3[[#This Row],[Country Code]],Table29[],23,FALSE)</f>
        <v>16.468143919330998</v>
      </c>
      <c r="AE194" s="235">
        <f>VLOOKUP(Table3[[#This Row],[Country Code]],Table29[],24,FALSE)</f>
        <v>6.1699800179976929</v>
      </c>
      <c r="AF194" s="43"/>
    </row>
    <row r="195" spans="1:32" ht="30" x14ac:dyDescent="0.25">
      <c r="A195" s="139">
        <v>39451</v>
      </c>
      <c r="B195" s="233" t="str">
        <f>VLOOKUP(Table3[[#This Row],[Document ID]],Table1[],2,FALSE)</f>
        <v>BIH</v>
      </c>
      <c r="C195" s="233" t="str">
        <f>VLOOKUP(Table3[[#This Row],[Document ID]],Table1[],3,FALSE)</f>
        <v>Bosnia and Herzegovina</v>
      </c>
      <c r="D195" s="233" t="str">
        <f>VLOOKUP(Table3[[#This Row],[Document ID]],Table1[],5,FALSE)</f>
        <v>LTS</v>
      </c>
      <c r="E195" s="233" t="str">
        <f>VLOOKUP(Table3[[#This Row],[Document ID]],Table1[],7,FALSE)</f>
        <v>LTS</v>
      </c>
      <c r="F195" s="207" t="str">
        <f>VLOOKUP(Table3[[#This Row],[Document ID]],Table1[],8,FALSE)</f>
        <v>LTS 1.0</v>
      </c>
      <c r="G195" s="233" t="str">
        <f>VLOOKUP(Table3[[#This Row],[Document ID]],Table1[],10,FALSE)</f>
        <v>Active</v>
      </c>
      <c r="H195" s="42" t="s">
        <v>1095</v>
      </c>
      <c r="I195" s="42" t="s">
        <v>1096</v>
      </c>
      <c r="J195" s="42" t="s">
        <v>1097</v>
      </c>
      <c r="K195" s="28" t="s">
        <v>1104</v>
      </c>
      <c r="L195" s="43" t="s">
        <v>1092</v>
      </c>
      <c r="M195" s="209">
        <v>2030</v>
      </c>
      <c r="N195" s="44" t="s">
        <v>1313</v>
      </c>
      <c r="O195" s="258">
        <v>89</v>
      </c>
      <c r="P195" s="238" t="str">
        <f>VLOOKUP(_xlfn.CONCAT(Table3[[#This Row],[Target area]],Table3[[#This Row],[GHG target?]],Table3[[#This Row],[Conditionality]]),'Drop down'!$E$81:$F$101,2,FALSE)</f>
        <v>T_Transport_O_C</v>
      </c>
      <c r="Q195" s="239" t="str">
        <f>VLOOKUP(Table3[[#This Row],[Target type]],Table418[[Value name]:[Value idenifyer]],2,FALSE)</f>
        <v>T_O_ZERO</v>
      </c>
      <c r="S195" s="233" t="s">
        <v>1101</v>
      </c>
      <c r="U195" s="240"/>
      <c r="V195" s="233" t="str">
        <f>VLOOKUP(Table3[[#This Row],[Country Code]],Table29[],3,FALSE)</f>
        <v>Non-Annex I</v>
      </c>
      <c r="W195" s="233" t="str">
        <f>VLOOKUP(Table3[[#This Row],[Country Code]],Table29[],4,FALSE)</f>
        <v>Europe</v>
      </c>
      <c r="X195" s="233" t="str">
        <f>VLOOKUP(Table3[[#This Row],[Country Code]],Table29[],5,FALSE)</f>
        <v>Middle-income</v>
      </c>
      <c r="Y195" s="233" t="str">
        <f>VLOOKUP(Table3[[#This Row],[Country Code]],Table29[],6,FALSE)</f>
        <v>no</v>
      </c>
      <c r="Z195" s="233" t="str">
        <f>VLOOKUP(Table3[[#This Row],[Country Code]],Table29[],7,FALSE)</f>
        <v>no</v>
      </c>
      <c r="AA195" s="233" t="str">
        <f>VLOOKUP(Table3[[#This Row],[Country Code]],Table29[],8,FALSE)</f>
        <v>non-OECD</v>
      </c>
      <c r="AB195" s="233" t="str">
        <f>VLOOKUP(Table3[[#This Row],[Country Code]],Table29[],9,FALSE)</f>
        <v>no</v>
      </c>
      <c r="AC195" s="233" t="str">
        <f>VLOOKUP(Table3[[#This Row],[Country Code]],Table29[],10,FALSE)</f>
        <v>no</v>
      </c>
      <c r="AD195" s="235">
        <f>VLOOKUP(Table3[[#This Row],[Country Code]],Table29[],23,FALSE)</f>
        <v>29.397991348245998</v>
      </c>
      <c r="AE195" s="235">
        <f>VLOOKUP(Table3[[#This Row],[Country Code]],Table29[],24,FALSE)</f>
        <v>4.4436076081737648</v>
      </c>
      <c r="AF195" s="43"/>
    </row>
    <row r="196" spans="1:32" ht="30" x14ac:dyDescent="0.25">
      <c r="A196" s="360">
        <v>17530</v>
      </c>
      <c r="B196" s="233" t="str">
        <f>VLOOKUP(Table3[[#This Row],[Document ID]],Table1[],2,FALSE)</f>
        <v>BLZ</v>
      </c>
      <c r="C196" s="233" t="str">
        <f>VLOOKUP(Table3[[#This Row],[Document ID]],Table1[],3,FALSE)</f>
        <v>Belize</v>
      </c>
      <c r="D196" s="233" t="str">
        <f>VLOOKUP(Table3[[#This Row],[Document ID]],Table1[],5,FALSE)</f>
        <v>NDC</v>
      </c>
      <c r="E196" s="233" t="str">
        <f>VLOOKUP(Table3[[#This Row],[Document ID]],Table1[],7,FALSE)</f>
        <v>First NDC</v>
      </c>
      <c r="F196" s="233" t="str">
        <f>VLOOKUP(Table3[[#This Row],[Document ID]],Table1[],8,FALSE)</f>
        <v>NDC 1.0</v>
      </c>
      <c r="G196" s="233" t="str">
        <f>VLOOKUP(Table3[[#This Row],[Document ID]],Table1[],10,FALSE)</f>
        <v>Archived</v>
      </c>
      <c r="H196" s="42" t="s">
        <v>1095</v>
      </c>
      <c r="I196" s="42" t="s">
        <v>1096</v>
      </c>
      <c r="J196" s="42" t="s">
        <v>1097</v>
      </c>
      <c r="K196" s="28" t="s">
        <v>1137</v>
      </c>
      <c r="L196" s="43" t="s">
        <v>1092</v>
      </c>
      <c r="M196" s="209">
        <v>2030</v>
      </c>
      <c r="N196" s="44" t="s">
        <v>1314</v>
      </c>
      <c r="O196" s="221">
        <v>4</v>
      </c>
      <c r="P196" s="238" t="str">
        <f>VLOOKUP(_xlfn.CONCAT(Table3[[#This Row],[Target area]],Table3[[#This Row],[GHG target?]],Table3[[#This Row],[Conditionality]]),'Drop down'!$E$81:$F$101,2,FALSE)</f>
        <v>T_Transport_O_C</v>
      </c>
      <c r="Q196" s="239" t="str">
        <f>VLOOKUP(Table3[[#This Row],[Target type]],Table418[[Value name]:[Value idenifyer]],2,FALSE)</f>
        <v>T_O_EFF</v>
      </c>
      <c r="S196" s="233" t="s">
        <v>1101</v>
      </c>
      <c r="T196" s="240" t="s">
        <v>1113</v>
      </c>
      <c r="V196" s="233" t="str">
        <f>VLOOKUP(Table3[[#This Row],[Country Code]],Table29[],3,FALSE)</f>
        <v>Non-Annex I</v>
      </c>
      <c r="W196" s="233" t="str">
        <f>VLOOKUP(Table3[[#This Row],[Country Code]],Table29[],4,FALSE)</f>
        <v>Latin America and the Caribbean</v>
      </c>
      <c r="X196" s="233" t="str">
        <f>VLOOKUP(Table3[[#This Row],[Country Code]],Table29[],5,FALSE)</f>
        <v>Middle-income</v>
      </c>
      <c r="Y196" s="233" t="str">
        <f>VLOOKUP(Table3[[#This Row],[Country Code]],Table29[],6,FALSE)</f>
        <v>no</v>
      </c>
      <c r="Z196" s="233" t="str">
        <f>VLOOKUP(Table3[[#This Row],[Country Code]],Table29[],7,FALSE)</f>
        <v>no</v>
      </c>
      <c r="AA196" s="233" t="str">
        <f>VLOOKUP(Table3[[#This Row],[Country Code]],Table29[],8,FALSE)</f>
        <v>non-OECD</v>
      </c>
      <c r="AB196" s="233" t="str">
        <f>VLOOKUP(Table3[[#This Row],[Country Code]],Table29[],9,FALSE)</f>
        <v>no</v>
      </c>
      <c r="AC196" s="233" t="str">
        <f>VLOOKUP(Table3[[#This Row],[Country Code]],Table29[],10,FALSE)</f>
        <v>no</v>
      </c>
      <c r="AD196" s="235">
        <f>VLOOKUP(Table3[[#This Row],[Country Code]],Table29[],23,FALSE)</f>
        <v>0.92034733748830999</v>
      </c>
      <c r="AE196" s="235">
        <f>VLOOKUP(Table3[[#This Row],[Country Code]],Table29[],24,FALSE)</f>
        <v>9.6336672952528554E-2</v>
      </c>
      <c r="AF196" s="43"/>
    </row>
    <row r="197" spans="1:32" ht="45" x14ac:dyDescent="0.25">
      <c r="A197" s="360">
        <v>21711</v>
      </c>
      <c r="B197" s="233" t="str">
        <f>VLOOKUP(Table3[[#This Row],[Document ID]],Table1[],2,FALSE)</f>
        <v>BLZ</v>
      </c>
      <c r="C197" s="233" t="str">
        <f>VLOOKUP(Table3[[#This Row],[Document ID]],Table1[],3,FALSE)</f>
        <v>Belize</v>
      </c>
      <c r="D197" s="233" t="str">
        <f>VLOOKUP(Table3[[#This Row],[Document ID]],Table1[],5,FALSE)</f>
        <v>NDC</v>
      </c>
      <c r="E197" s="233" t="str">
        <f>VLOOKUP(Table3[[#This Row],[Document ID]],Table1[],7,FALSE)</f>
        <v>First NDC updated</v>
      </c>
      <c r="F197" s="233" t="str">
        <f>VLOOKUP(Table3[[#This Row],[Document ID]],Table1[],8,FALSE)</f>
        <v>NDC 1.1</v>
      </c>
      <c r="G197" s="233" t="str">
        <f>VLOOKUP(Table3[[#This Row],[Document ID]],Table1[],10,FALSE)</f>
        <v>Active</v>
      </c>
      <c r="H197" s="42" t="s">
        <v>1095</v>
      </c>
      <c r="I197" s="43" t="s">
        <v>1115</v>
      </c>
      <c r="J197" s="43" t="s">
        <v>1090</v>
      </c>
      <c r="K197" s="28" t="s">
        <v>1121</v>
      </c>
      <c r="L197" s="42" t="s">
        <v>1099</v>
      </c>
      <c r="M197" s="209">
        <v>2030</v>
      </c>
      <c r="N197" s="209" t="s">
        <v>1315</v>
      </c>
      <c r="O197" s="257">
        <v>20</v>
      </c>
      <c r="P197" s="238" t="str">
        <f>VLOOKUP(_xlfn.CONCAT(Table3[[#This Row],[Target area]],Table3[[#This Row],[GHG target?]],Table3[[#This Row],[Conditionality]]),'Drop down'!$E$81:$F$101,2,FALSE)</f>
        <v>T_Transport_Unc</v>
      </c>
      <c r="Q197" s="239" t="str">
        <f>VLOOKUP(Table3[[#This Row],[Target type]],Table418[[Value name]:[Value idenifyer]],2,FALSE)</f>
        <v>T_FL</v>
      </c>
      <c r="R197" s="233" t="s">
        <v>526</v>
      </c>
      <c r="S197" s="233" t="s">
        <v>1112</v>
      </c>
      <c r="T197" s="240" t="s">
        <v>1113</v>
      </c>
      <c r="U197" s="240"/>
      <c r="V197" s="233" t="str">
        <f>VLOOKUP(Table3[[#This Row],[Country Code]],Table29[],3,FALSE)</f>
        <v>Non-Annex I</v>
      </c>
      <c r="W197" s="233" t="str">
        <f>VLOOKUP(Table3[[#This Row],[Country Code]],Table29[],4,FALSE)</f>
        <v>Latin America and the Caribbean</v>
      </c>
      <c r="X197" s="233" t="str">
        <f>VLOOKUP(Table3[[#This Row],[Country Code]],Table29[],5,FALSE)</f>
        <v>Middle-income</v>
      </c>
      <c r="Y197" s="233" t="str">
        <f>VLOOKUP(Table3[[#This Row],[Country Code]],Table29[],6,FALSE)</f>
        <v>no</v>
      </c>
      <c r="Z197" s="233" t="str">
        <f>VLOOKUP(Table3[[#This Row],[Country Code]],Table29[],7,FALSE)</f>
        <v>no</v>
      </c>
      <c r="AA197" s="233" t="str">
        <f>VLOOKUP(Table3[[#This Row],[Country Code]],Table29[],8,FALSE)</f>
        <v>non-OECD</v>
      </c>
      <c r="AB197" s="233" t="str">
        <f>VLOOKUP(Table3[[#This Row],[Country Code]],Table29[],9,FALSE)</f>
        <v>no</v>
      </c>
      <c r="AC197" s="233" t="str">
        <f>VLOOKUP(Table3[[#This Row],[Country Code]],Table29[],10,FALSE)</f>
        <v>no</v>
      </c>
      <c r="AD197" s="235">
        <f>VLOOKUP(Table3[[#This Row],[Country Code]],Table29[],23,FALSE)</f>
        <v>0.92034733748830999</v>
      </c>
      <c r="AE197" s="235">
        <f>VLOOKUP(Table3[[#This Row],[Country Code]],Table29[],24,FALSE)</f>
        <v>9.6336672952528554E-2</v>
      </c>
      <c r="AF197" s="43"/>
    </row>
    <row r="198" spans="1:32" ht="30" x14ac:dyDescent="0.25">
      <c r="A198" s="383">
        <v>39438</v>
      </c>
      <c r="B198" s="233" t="str">
        <f>VLOOKUP(Table3[[#This Row],[Document ID]],Table1[],2,FALSE)</f>
        <v>AZE</v>
      </c>
      <c r="C198" s="233" t="str">
        <f>VLOOKUP(Table3[[#This Row],[Document ID]],Table1[],3,FALSE)</f>
        <v>Azerbaijan</v>
      </c>
      <c r="D198" s="233" t="str">
        <f>VLOOKUP(Table3[[#This Row],[Document ID]],Table1[],5,FALSE)</f>
        <v>NDC</v>
      </c>
      <c r="E198" s="233" t="str">
        <f>VLOOKUP(Table3[[#This Row],[Document ID]],Table1[],7,FALSE)</f>
        <v>Second NDC</v>
      </c>
      <c r="F198" s="253" t="str">
        <f>VLOOKUP(Table3[[#This Row],[Document ID]],Table1[],8,FALSE)</f>
        <v>NDC 2.0</v>
      </c>
      <c r="G198" s="233" t="str">
        <f>VLOOKUP(Table3[[#This Row],[Document ID]],Table1[],10,FALSE)</f>
        <v>Active</v>
      </c>
      <c r="H198" s="42" t="s">
        <v>1095</v>
      </c>
      <c r="I198" s="42" t="s">
        <v>1096</v>
      </c>
      <c r="J198" s="42" t="s">
        <v>1097</v>
      </c>
      <c r="K198" s="28" t="s">
        <v>1137</v>
      </c>
      <c r="L198" s="43" t="s">
        <v>1092</v>
      </c>
      <c r="M198" s="209">
        <v>2050</v>
      </c>
      <c r="N198" s="209" t="s">
        <v>1316</v>
      </c>
      <c r="O198" s="258">
        <v>58</v>
      </c>
      <c r="P198" s="238" t="str">
        <f>VLOOKUP(_xlfn.CONCAT(Table3[[#This Row],[Target area]],Table3[[#This Row],[GHG target?]],Table3[[#This Row],[Conditionality]]),'Drop down'!$E$81:$F$101,2,FALSE)</f>
        <v>T_Transport_O_C</v>
      </c>
      <c r="Q198" s="239" t="str">
        <f>VLOOKUP(Table3[[#This Row],[Target type]],Table418[[Value name]:[Value idenifyer]],2,FALSE)</f>
        <v>T_O_EFF</v>
      </c>
      <c r="S198" s="233" t="s">
        <v>1125</v>
      </c>
      <c r="T198" s="240"/>
      <c r="V198" s="233" t="str">
        <f>VLOOKUP(Table3[[#This Row],[Country Code]],Table29[],3,FALSE)</f>
        <v>Non-Annex I</v>
      </c>
      <c r="W198" s="233" t="str">
        <f>VLOOKUP(Table3[[#This Row],[Country Code]],Table29[],4,FALSE)</f>
        <v>Asia</v>
      </c>
      <c r="X198" s="233" t="str">
        <f>VLOOKUP(Table3[[#This Row],[Country Code]],Table29[],5,FALSE)</f>
        <v>Middle-income</v>
      </c>
      <c r="Y198" s="233" t="str">
        <f>VLOOKUP(Table3[[#This Row],[Country Code]],Table29[],6,FALSE)</f>
        <v>no</v>
      </c>
      <c r="Z198" s="233" t="str">
        <f>VLOOKUP(Table3[[#This Row],[Country Code]],Table29[],7,FALSE)</f>
        <v>no</v>
      </c>
      <c r="AA198" s="233" t="str">
        <f>VLOOKUP(Table3[[#This Row],[Country Code]],Table29[],8,FALSE)</f>
        <v>non-OECD</v>
      </c>
      <c r="AB198" s="233" t="str">
        <f>VLOOKUP(Table3[[#This Row],[Country Code]],Table29[],9,FALSE)</f>
        <v>no</v>
      </c>
      <c r="AC198" s="233" t="str">
        <f>VLOOKUP(Table3[[#This Row],[Country Code]],Table29[],10,FALSE)</f>
        <v>no</v>
      </c>
      <c r="AD198" s="235">
        <f>VLOOKUP(Table3[[#This Row],[Country Code]],Table29[],23,FALSE)</f>
        <v>62.550294041306003</v>
      </c>
      <c r="AE198" s="235">
        <f>VLOOKUP(Table3[[#This Row],[Country Code]],Table29[],24,FALSE)</f>
        <v>8.4493328883147889</v>
      </c>
      <c r="AF198" s="42"/>
    </row>
    <row r="199" spans="1:32" ht="30" x14ac:dyDescent="0.25">
      <c r="A199" s="383">
        <v>39438</v>
      </c>
      <c r="B199" s="233" t="str">
        <f>VLOOKUP(Table3[[#This Row],[Document ID]],Table1[],2,FALSE)</f>
        <v>AZE</v>
      </c>
      <c r="C199" s="233" t="str">
        <f>VLOOKUP(Table3[[#This Row],[Document ID]],Table1[],3,FALSE)</f>
        <v>Azerbaijan</v>
      </c>
      <c r="D199" s="233" t="str">
        <f>VLOOKUP(Table3[[#This Row],[Document ID]],Table1[],5,FALSE)</f>
        <v>NDC</v>
      </c>
      <c r="E199" s="233" t="str">
        <f>VLOOKUP(Table3[[#This Row],[Document ID]],Table1[],7,FALSE)</f>
        <v>Second NDC</v>
      </c>
      <c r="F199" s="253" t="str">
        <f>VLOOKUP(Table3[[#This Row],[Document ID]],Table1[],8,FALSE)</f>
        <v>NDC 2.0</v>
      </c>
      <c r="G199" s="233" t="str">
        <f>VLOOKUP(Table3[[#This Row],[Document ID]],Table1[],10,FALSE)</f>
        <v>Active</v>
      </c>
      <c r="H199" s="42" t="s">
        <v>1095</v>
      </c>
      <c r="I199" s="42" t="s">
        <v>1096</v>
      </c>
      <c r="J199" s="42" t="s">
        <v>1097</v>
      </c>
      <c r="K199" s="28" t="s">
        <v>1098</v>
      </c>
      <c r="L199" s="43" t="s">
        <v>1092</v>
      </c>
      <c r="M199" s="209">
        <v>2050</v>
      </c>
      <c r="N199" s="209" t="s">
        <v>1317</v>
      </c>
      <c r="O199" s="258">
        <v>58</v>
      </c>
      <c r="P199" s="238" t="str">
        <f>VLOOKUP(_xlfn.CONCAT(Table3[[#This Row],[Target area]],Table3[[#This Row],[GHG target?]],Table3[[#This Row],[Conditionality]]),'Drop down'!$E$81:$F$101,2,FALSE)</f>
        <v>T_Transport_O_C</v>
      </c>
      <c r="Q199" s="239" t="str">
        <f>VLOOKUP(Table3[[#This Row],[Target type]],Table418[[Value name]:[Value idenifyer]],2,FALSE)</f>
        <v>T_O_MODE</v>
      </c>
      <c r="S199" s="233" t="s">
        <v>1125</v>
      </c>
      <c r="T199" s="240"/>
      <c r="V199" s="233" t="str">
        <f>VLOOKUP(Table3[[#This Row],[Country Code]],Table29[],3,FALSE)</f>
        <v>Non-Annex I</v>
      </c>
      <c r="W199" s="233" t="str">
        <f>VLOOKUP(Table3[[#This Row],[Country Code]],Table29[],4,FALSE)</f>
        <v>Asia</v>
      </c>
      <c r="X199" s="233" t="str">
        <f>VLOOKUP(Table3[[#This Row],[Country Code]],Table29[],5,FALSE)</f>
        <v>Middle-income</v>
      </c>
      <c r="Y199" s="233" t="str">
        <f>VLOOKUP(Table3[[#This Row],[Country Code]],Table29[],6,FALSE)</f>
        <v>no</v>
      </c>
      <c r="Z199" s="233" t="str">
        <f>VLOOKUP(Table3[[#This Row],[Country Code]],Table29[],7,FALSE)</f>
        <v>no</v>
      </c>
      <c r="AA199" s="233" t="str">
        <f>VLOOKUP(Table3[[#This Row],[Country Code]],Table29[],8,FALSE)</f>
        <v>non-OECD</v>
      </c>
      <c r="AB199" s="233" t="str">
        <f>VLOOKUP(Table3[[#This Row],[Country Code]],Table29[],9,FALSE)</f>
        <v>no</v>
      </c>
      <c r="AC199" s="233" t="str">
        <f>VLOOKUP(Table3[[#This Row],[Country Code]],Table29[],10,FALSE)</f>
        <v>no</v>
      </c>
      <c r="AD199" s="235">
        <f>VLOOKUP(Table3[[#This Row],[Country Code]],Table29[],23,FALSE)</f>
        <v>62.550294041306003</v>
      </c>
      <c r="AE199" s="235">
        <f>VLOOKUP(Table3[[#This Row],[Country Code]],Table29[],24,FALSE)</f>
        <v>8.4493328883147889</v>
      </c>
      <c r="AF199" s="42"/>
    </row>
    <row r="200" spans="1:32" ht="30" x14ac:dyDescent="0.25">
      <c r="A200" s="383">
        <v>39438</v>
      </c>
      <c r="B200" s="233" t="str">
        <f>VLOOKUP(Table3[[#This Row],[Document ID]],Table1[],2,FALSE)</f>
        <v>AZE</v>
      </c>
      <c r="C200" s="233" t="str">
        <f>VLOOKUP(Table3[[#This Row],[Document ID]],Table1[],3,FALSE)</f>
        <v>Azerbaijan</v>
      </c>
      <c r="D200" s="233" t="str">
        <f>VLOOKUP(Table3[[#This Row],[Document ID]],Table1[],5,FALSE)</f>
        <v>NDC</v>
      </c>
      <c r="E200" s="233" t="str">
        <f>VLOOKUP(Table3[[#This Row],[Document ID]],Table1[],7,FALSE)</f>
        <v>Second NDC</v>
      </c>
      <c r="F200" s="253" t="str">
        <f>VLOOKUP(Table3[[#This Row],[Document ID]],Table1[],8,FALSE)</f>
        <v>NDC 2.0</v>
      </c>
      <c r="G200" s="233" t="str">
        <f>VLOOKUP(Table3[[#This Row],[Document ID]],Table1[],10,FALSE)</f>
        <v>Active</v>
      </c>
      <c r="H200" s="42" t="s">
        <v>1095</v>
      </c>
      <c r="I200" s="42" t="s">
        <v>1096</v>
      </c>
      <c r="J200" s="42" t="s">
        <v>1097</v>
      </c>
      <c r="K200" s="28" t="s">
        <v>1098</v>
      </c>
      <c r="L200" s="43" t="s">
        <v>1092</v>
      </c>
      <c r="M200" s="209">
        <v>2050</v>
      </c>
      <c r="N200" s="209" t="s">
        <v>1318</v>
      </c>
      <c r="O200" s="258">
        <v>58</v>
      </c>
      <c r="P200" s="238" t="str">
        <f>VLOOKUP(_xlfn.CONCAT(Table3[[#This Row],[Target area]],Table3[[#This Row],[GHG target?]],Table3[[#This Row],[Conditionality]]),'Drop down'!$E$81:$F$101,2,FALSE)</f>
        <v>T_Transport_O_C</v>
      </c>
      <c r="Q200" s="239" t="str">
        <f>VLOOKUP(Table3[[#This Row],[Target type]],Table418[[Value name]:[Value idenifyer]],2,FALSE)</f>
        <v>T_O_MODE</v>
      </c>
      <c r="S200" s="233" t="s">
        <v>1125</v>
      </c>
      <c r="T200" s="240"/>
      <c r="V200" s="233" t="str">
        <f>VLOOKUP(Table3[[#This Row],[Country Code]],Table29[],3,FALSE)</f>
        <v>Non-Annex I</v>
      </c>
      <c r="W200" s="233" t="str">
        <f>VLOOKUP(Table3[[#This Row],[Country Code]],Table29[],4,FALSE)</f>
        <v>Asia</v>
      </c>
      <c r="X200" s="233" t="str">
        <f>VLOOKUP(Table3[[#This Row],[Country Code]],Table29[],5,FALSE)</f>
        <v>Middle-income</v>
      </c>
      <c r="Y200" s="233" t="str">
        <f>VLOOKUP(Table3[[#This Row],[Country Code]],Table29[],6,FALSE)</f>
        <v>no</v>
      </c>
      <c r="Z200" s="233" t="str">
        <f>VLOOKUP(Table3[[#This Row],[Country Code]],Table29[],7,FALSE)</f>
        <v>no</v>
      </c>
      <c r="AA200" s="233" t="str">
        <f>VLOOKUP(Table3[[#This Row],[Country Code]],Table29[],8,FALSE)</f>
        <v>non-OECD</v>
      </c>
      <c r="AB200" s="233" t="str">
        <f>VLOOKUP(Table3[[#This Row],[Country Code]],Table29[],9,FALSE)</f>
        <v>no</v>
      </c>
      <c r="AC200" s="233" t="str">
        <f>VLOOKUP(Table3[[#This Row],[Country Code]],Table29[],10,FALSE)</f>
        <v>no</v>
      </c>
      <c r="AD200" s="235">
        <f>VLOOKUP(Table3[[#This Row],[Country Code]],Table29[],23,FALSE)</f>
        <v>62.550294041306003</v>
      </c>
      <c r="AE200" s="235">
        <f>VLOOKUP(Table3[[#This Row],[Country Code]],Table29[],24,FALSE)</f>
        <v>8.4493328883147889</v>
      </c>
      <c r="AF200" s="42"/>
    </row>
    <row r="201" spans="1:32" ht="30" x14ac:dyDescent="0.25">
      <c r="A201" s="383">
        <v>39438</v>
      </c>
      <c r="B201" s="233" t="str">
        <f>VLOOKUP(Table3[[#This Row],[Document ID]],Table1[],2,FALSE)</f>
        <v>AZE</v>
      </c>
      <c r="C201" s="233" t="str">
        <f>VLOOKUP(Table3[[#This Row],[Document ID]],Table1[],3,FALSE)</f>
        <v>Azerbaijan</v>
      </c>
      <c r="D201" s="233" t="str">
        <f>VLOOKUP(Table3[[#This Row],[Document ID]],Table1[],5,FALSE)</f>
        <v>NDC</v>
      </c>
      <c r="E201" s="233" t="str">
        <f>VLOOKUP(Table3[[#This Row],[Document ID]],Table1[],7,FALSE)</f>
        <v>Second NDC</v>
      </c>
      <c r="F201" s="253" t="str">
        <f>VLOOKUP(Table3[[#This Row],[Document ID]],Table1[],8,FALSE)</f>
        <v>NDC 2.0</v>
      </c>
      <c r="G201" s="233" t="str">
        <f>VLOOKUP(Table3[[#This Row],[Document ID]],Table1[],10,FALSE)</f>
        <v>Active</v>
      </c>
      <c r="H201" s="42" t="s">
        <v>1095</v>
      </c>
      <c r="I201" s="42" t="s">
        <v>1096</v>
      </c>
      <c r="J201" s="42" t="s">
        <v>1097</v>
      </c>
      <c r="K201" s="28" t="s">
        <v>1098</v>
      </c>
      <c r="L201" s="43" t="s">
        <v>1092</v>
      </c>
      <c r="M201" s="209">
        <v>2050</v>
      </c>
      <c r="N201" s="209" t="s">
        <v>1319</v>
      </c>
      <c r="O201" s="258">
        <v>58</v>
      </c>
      <c r="P201" s="238" t="str">
        <f>VLOOKUP(_xlfn.CONCAT(Table3[[#This Row],[Target area]],Table3[[#This Row],[GHG target?]],Table3[[#This Row],[Conditionality]]),'Drop down'!$E$81:$F$101,2,FALSE)</f>
        <v>T_Transport_O_C</v>
      </c>
      <c r="Q201" s="239" t="str">
        <f>VLOOKUP(Table3[[#This Row],[Target type]],Table418[[Value name]:[Value idenifyer]],2,FALSE)</f>
        <v>T_O_MODE</v>
      </c>
      <c r="S201" s="233" t="s">
        <v>1125</v>
      </c>
      <c r="T201" s="240"/>
      <c r="V201" s="233" t="str">
        <f>VLOOKUP(Table3[[#This Row],[Country Code]],Table29[],3,FALSE)</f>
        <v>Non-Annex I</v>
      </c>
      <c r="W201" s="233" t="str">
        <f>VLOOKUP(Table3[[#This Row],[Country Code]],Table29[],4,FALSE)</f>
        <v>Asia</v>
      </c>
      <c r="X201" s="233" t="str">
        <f>VLOOKUP(Table3[[#This Row],[Country Code]],Table29[],5,FALSE)</f>
        <v>Middle-income</v>
      </c>
      <c r="Y201" s="233" t="str">
        <f>VLOOKUP(Table3[[#This Row],[Country Code]],Table29[],6,FALSE)</f>
        <v>no</v>
      </c>
      <c r="Z201" s="233" t="str">
        <f>VLOOKUP(Table3[[#This Row],[Country Code]],Table29[],7,FALSE)</f>
        <v>no</v>
      </c>
      <c r="AA201" s="233" t="str">
        <f>VLOOKUP(Table3[[#This Row],[Country Code]],Table29[],8,FALSE)</f>
        <v>non-OECD</v>
      </c>
      <c r="AB201" s="233" t="str">
        <f>VLOOKUP(Table3[[#This Row],[Country Code]],Table29[],9,FALSE)</f>
        <v>no</v>
      </c>
      <c r="AC201" s="233" t="str">
        <f>VLOOKUP(Table3[[#This Row],[Country Code]],Table29[],10,FALSE)</f>
        <v>no</v>
      </c>
      <c r="AD201" s="235">
        <f>VLOOKUP(Table3[[#This Row],[Country Code]],Table29[],23,FALSE)</f>
        <v>62.550294041306003</v>
      </c>
      <c r="AE201" s="235">
        <f>VLOOKUP(Table3[[#This Row],[Country Code]],Table29[],24,FALSE)</f>
        <v>8.4493328883147889</v>
      </c>
      <c r="AF201" s="42"/>
    </row>
    <row r="202" spans="1:32" ht="30" x14ac:dyDescent="0.25">
      <c r="A202" s="383">
        <v>39438</v>
      </c>
      <c r="B202" s="233" t="str">
        <f>VLOOKUP(Table3[[#This Row],[Document ID]],Table1[],2,FALSE)</f>
        <v>AZE</v>
      </c>
      <c r="C202" s="233" t="str">
        <f>VLOOKUP(Table3[[#This Row],[Document ID]],Table1[],3,FALSE)</f>
        <v>Azerbaijan</v>
      </c>
      <c r="D202" s="233" t="str">
        <f>VLOOKUP(Table3[[#This Row],[Document ID]],Table1[],5,FALSE)</f>
        <v>NDC</v>
      </c>
      <c r="E202" s="233" t="str">
        <f>VLOOKUP(Table3[[#This Row],[Document ID]],Table1[],7,FALSE)</f>
        <v>Second NDC</v>
      </c>
      <c r="F202" s="253" t="str">
        <f>VLOOKUP(Table3[[#This Row],[Document ID]],Table1[],8,FALSE)</f>
        <v>NDC 2.0</v>
      </c>
      <c r="G202" s="233" t="str">
        <f>VLOOKUP(Table3[[#This Row],[Document ID]],Table1[],10,FALSE)</f>
        <v>Active</v>
      </c>
      <c r="H202" s="42" t="s">
        <v>1095</v>
      </c>
      <c r="I202" s="42" t="s">
        <v>1096</v>
      </c>
      <c r="J202" s="42" t="s">
        <v>1097</v>
      </c>
      <c r="K202" s="28" t="s">
        <v>1104</v>
      </c>
      <c r="L202" s="43" t="s">
        <v>1092</v>
      </c>
      <c r="M202" s="209">
        <v>2050</v>
      </c>
      <c r="N202" s="209" t="s">
        <v>1320</v>
      </c>
      <c r="O202" s="258">
        <v>58</v>
      </c>
      <c r="P202" s="238" t="str">
        <f>VLOOKUP(_xlfn.CONCAT(Table3[[#This Row],[Target area]],Table3[[#This Row],[GHG target?]],Table3[[#This Row],[Conditionality]]),'Drop down'!$E$81:$F$101,2,FALSE)</f>
        <v>T_Transport_O_C</v>
      </c>
      <c r="Q202" s="239" t="str">
        <f>VLOOKUP(Table3[[#This Row],[Target type]],Table418[[Value name]:[Value idenifyer]],2,FALSE)</f>
        <v>T_O_ZERO</v>
      </c>
      <c r="S202" s="233" t="s">
        <v>1125</v>
      </c>
      <c r="T202" s="240"/>
      <c r="V202" s="233" t="str">
        <f>VLOOKUP(Table3[[#This Row],[Country Code]],Table29[],3,FALSE)</f>
        <v>Non-Annex I</v>
      </c>
      <c r="W202" s="233" t="str">
        <f>VLOOKUP(Table3[[#This Row],[Country Code]],Table29[],4,FALSE)</f>
        <v>Asia</v>
      </c>
      <c r="X202" s="233" t="str">
        <f>VLOOKUP(Table3[[#This Row],[Country Code]],Table29[],5,FALSE)</f>
        <v>Middle-income</v>
      </c>
      <c r="Y202" s="233" t="str">
        <f>VLOOKUP(Table3[[#This Row],[Country Code]],Table29[],6,FALSE)</f>
        <v>no</v>
      </c>
      <c r="Z202" s="233" t="str">
        <f>VLOOKUP(Table3[[#This Row],[Country Code]],Table29[],7,FALSE)</f>
        <v>no</v>
      </c>
      <c r="AA202" s="233" t="str">
        <f>VLOOKUP(Table3[[#This Row],[Country Code]],Table29[],8,FALSE)</f>
        <v>non-OECD</v>
      </c>
      <c r="AB202" s="233" t="str">
        <f>VLOOKUP(Table3[[#This Row],[Country Code]],Table29[],9,FALSE)</f>
        <v>no</v>
      </c>
      <c r="AC202" s="233" t="str">
        <f>VLOOKUP(Table3[[#This Row],[Country Code]],Table29[],10,FALSE)</f>
        <v>no</v>
      </c>
      <c r="AD202" s="235">
        <f>VLOOKUP(Table3[[#This Row],[Country Code]],Table29[],23,FALSE)</f>
        <v>62.550294041306003</v>
      </c>
      <c r="AE202" s="235">
        <f>VLOOKUP(Table3[[#This Row],[Country Code]],Table29[],24,FALSE)</f>
        <v>8.4493328883147889</v>
      </c>
      <c r="AF202" s="42"/>
    </row>
    <row r="203" spans="1:32" ht="30" x14ac:dyDescent="0.25">
      <c r="A203" s="383">
        <v>39438</v>
      </c>
      <c r="B203" s="233" t="str">
        <f>VLOOKUP(Table3[[#This Row],[Document ID]],Table1[],2,FALSE)</f>
        <v>AZE</v>
      </c>
      <c r="C203" s="233" t="str">
        <f>VLOOKUP(Table3[[#This Row],[Document ID]],Table1[],3,FALSE)</f>
        <v>Azerbaijan</v>
      </c>
      <c r="D203" s="233" t="str">
        <f>VLOOKUP(Table3[[#This Row],[Document ID]],Table1[],5,FALSE)</f>
        <v>NDC</v>
      </c>
      <c r="E203" s="233" t="str">
        <f>VLOOKUP(Table3[[#This Row],[Document ID]],Table1[],7,FALSE)</f>
        <v>Second NDC</v>
      </c>
      <c r="F203" s="253" t="str">
        <f>VLOOKUP(Table3[[#This Row],[Document ID]],Table1[],8,FALSE)</f>
        <v>NDC 2.0</v>
      </c>
      <c r="G203" s="233" t="str">
        <f>VLOOKUP(Table3[[#This Row],[Document ID]],Table1[],10,FALSE)</f>
        <v>Active</v>
      </c>
      <c r="H203" s="42" t="s">
        <v>1095</v>
      </c>
      <c r="I203" s="42" t="s">
        <v>1096</v>
      </c>
      <c r="J203" s="42" t="s">
        <v>1097</v>
      </c>
      <c r="K203" s="28" t="s">
        <v>1104</v>
      </c>
      <c r="L203" s="216" t="s">
        <v>1092</v>
      </c>
      <c r="M203" s="209">
        <v>2050</v>
      </c>
      <c r="N203" s="209" t="s">
        <v>1321</v>
      </c>
      <c r="O203" s="258">
        <v>58</v>
      </c>
      <c r="P203" s="238" t="str">
        <f>VLOOKUP(_xlfn.CONCAT(Table3[[#This Row],[Target area]],Table3[[#This Row],[GHG target?]],Table3[[#This Row],[Conditionality]]),'Drop down'!$E$81:$F$101,2,FALSE)</f>
        <v>T_Transport_O_C</v>
      </c>
      <c r="Q203" s="239" t="str">
        <f>VLOOKUP(Table3[[#This Row],[Target type]],Table418[[Value name]:[Value idenifyer]],2,FALSE)</f>
        <v>T_O_ZERO</v>
      </c>
      <c r="S203" s="233" t="s">
        <v>1125</v>
      </c>
      <c r="T203" s="240"/>
      <c r="V203" s="233" t="str">
        <f>VLOOKUP(Table3[[#This Row],[Country Code]],Table29[],3,FALSE)</f>
        <v>Non-Annex I</v>
      </c>
      <c r="W203" s="233" t="str">
        <f>VLOOKUP(Table3[[#This Row],[Country Code]],Table29[],4,FALSE)</f>
        <v>Asia</v>
      </c>
      <c r="X203" s="233" t="str">
        <f>VLOOKUP(Table3[[#This Row],[Country Code]],Table29[],5,FALSE)</f>
        <v>Middle-income</v>
      </c>
      <c r="Y203" s="233" t="str">
        <f>VLOOKUP(Table3[[#This Row],[Country Code]],Table29[],6,FALSE)</f>
        <v>no</v>
      </c>
      <c r="Z203" s="233" t="str">
        <f>VLOOKUP(Table3[[#This Row],[Country Code]],Table29[],7,FALSE)</f>
        <v>no</v>
      </c>
      <c r="AA203" s="233" t="str">
        <f>VLOOKUP(Table3[[#This Row],[Country Code]],Table29[],8,FALSE)</f>
        <v>non-OECD</v>
      </c>
      <c r="AB203" s="233" t="str">
        <f>VLOOKUP(Table3[[#This Row],[Country Code]],Table29[],9,FALSE)</f>
        <v>no</v>
      </c>
      <c r="AC203" s="233" t="str">
        <f>VLOOKUP(Table3[[#This Row],[Country Code]],Table29[],10,FALSE)</f>
        <v>no</v>
      </c>
      <c r="AD203" s="235">
        <f>VLOOKUP(Table3[[#This Row],[Country Code]],Table29[],23,FALSE)</f>
        <v>62.550294041306003</v>
      </c>
      <c r="AE203" s="235">
        <f>VLOOKUP(Table3[[#This Row],[Country Code]],Table29[],24,FALSE)</f>
        <v>8.4493328883147889</v>
      </c>
      <c r="AF203" s="42"/>
    </row>
    <row r="204" spans="1:32" ht="30" x14ac:dyDescent="0.25">
      <c r="A204" s="383">
        <v>39438</v>
      </c>
      <c r="B204" s="233" t="str">
        <f>VLOOKUP(Table3[[#This Row],[Document ID]],Table1[],2,FALSE)</f>
        <v>AZE</v>
      </c>
      <c r="C204" s="233" t="str">
        <f>VLOOKUP(Table3[[#This Row],[Document ID]],Table1[],3,FALSE)</f>
        <v>Azerbaijan</v>
      </c>
      <c r="D204" s="233" t="str">
        <f>VLOOKUP(Table3[[#This Row],[Document ID]],Table1[],5,FALSE)</f>
        <v>NDC</v>
      </c>
      <c r="E204" s="233" t="str">
        <f>VLOOKUP(Table3[[#This Row],[Document ID]],Table1[],7,FALSE)</f>
        <v>Second NDC</v>
      </c>
      <c r="F204" s="253" t="str">
        <f>VLOOKUP(Table3[[#This Row],[Document ID]],Table1[],8,FALSE)</f>
        <v>NDC 2.0</v>
      </c>
      <c r="G204" s="233" t="str">
        <f>VLOOKUP(Table3[[#This Row],[Document ID]],Table1[],10,FALSE)</f>
        <v>Active</v>
      </c>
      <c r="H204" s="42" t="s">
        <v>1095</v>
      </c>
      <c r="I204" s="42" t="s">
        <v>1096</v>
      </c>
      <c r="J204" s="42" t="s">
        <v>1097</v>
      </c>
      <c r="K204" s="28" t="s">
        <v>1104</v>
      </c>
      <c r="L204" s="43" t="s">
        <v>1092</v>
      </c>
      <c r="M204" s="209">
        <v>2050</v>
      </c>
      <c r="N204" s="209" t="s">
        <v>1322</v>
      </c>
      <c r="O204" s="258">
        <v>58</v>
      </c>
      <c r="P204" s="238" t="str">
        <f>VLOOKUP(_xlfn.CONCAT(Table3[[#This Row],[Target area]],Table3[[#This Row],[GHG target?]],Table3[[#This Row],[Conditionality]]),'Drop down'!$E$81:$F$101,2,FALSE)</f>
        <v>T_Transport_O_C</v>
      </c>
      <c r="Q204" s="239" t="str">
        <f>VLOOKUP(Table3[[#This Row],[Target type]],Table418[[Value name]:[Value idenifyer]],2,FALSE)</f>
        <v>T_O_ZERO</v>
      </c>
      <c r="S204" s="233" t="s">
        <v>1125</v>
      </c>
      <c r="T204" s="240"/>
      <c r="V204" s="233" t="str">
        <f>VLOOKUP(Table3[[#This Row],[Country Code]],Table29[],3,FALSE)</f>
        <v>Non-Annex I</v>
      </c>
      <c r="W204" s="233" t="str">
        <f>VLOOKUP(Table3[[#This Row],[Country Code]],Table29[],4,FALSE)</f>
        <v>Asia</v>
      </c>
      <c r="X204" s="233" t="str">
        <f>VLOOKUP(Table3[[#This Row],[Country Code]],Table29[],5,FALSE)</f>
        <v>Middle-income</v>
      </c>
      <c r="Y204" s="233" t="str">
        <f>VLOOKUP(Table3[[#This Row],[Country Code]],Table29[],6,FALSE)</f>
        <v>no</v>
      </c>
      <c r="Z204" s="233" t="str">
        <f>VLOOKUP(Table3[[#This Row],[Country Code]],Table29[],7,FALSE)</f>
        <v>no</v>
      </c>
      <c r="AA204" s="233" t="str">
        <f>VLOOKUP(Table3[[#This Row],[Country Code]],Table29[],8,FALSE)</f>
        <v>non-OECD</v>
      </c>
      <c r="AB204" s="233" t="str">
        <f>VLOOKUP(Table3[[#This Row],[Country Code]],Table29[],9,FALSE)</f>
        <v>no</v>
      </c>
      <c r="AC204" s="233" t="str">
        <f>VLOOKUP(Table3[[#This Row],[Country Code]],Table29[],10,FALSE)</f>
        <v>no</v>
      </c>
      <c r="AD204" s="235">
        <f>VLOOKUP(Table3[[#This Row],[Country Code]],Table29[],23,FALSE)</f>
        <v>62.550294041306003</v>
      </c>
      <c r="AE204" s="235">
        <f>VLOOKUP(Table3[[#This Row],[Country Code]],Table29[],24,FALSE)</f>
        <v>8.4493328883147889</v>
      </c>
      <c r="AF204" s="42"/>
    </row>
    <row r="205" spans="1:32" ht="30" x14ac:dyDescent="0.25">
      <c r="A205" s="383">
        <v>39438</v>
      </c>
      <c r="B205" s="233" t="str">
        <f>VLOOKUP(Table3[[#This Row],[Document ID]],Table1[],2,FALSE)</f>
        <v>AZE</v>
      </c>
      <c r="C205" s="233" t="str">
        <f>VLOOKUP(Table3[[#This Row],[Document ID]],Table1[],3,FALSE)</f>
        <v>Azerbaijan</v>
      </c>
      <c r="D205" s="233" t="str">
        <f>VLOOKUP(Table3[[#This Row],[Document ID]],Table1[],5,FALSE)</f>
        <v>NDC</v>
      </c>
      <c r="E205" s="233" t="str">
        <f>VLOOKUP(Table3[[#This Row],[Document ID]],Table1[],7,FALSE)</f>
        <v>Second NDC</v>
      </c>
      <c r="F205" s="253" t="str">
        <f>VLOOKUP(Table3[[#This Row],[Document ID]],Table1[],8,FALSE)</f>
        <v>NDC 2.0</v>
      </c>
      <c r="G205" s="233" t="str">
        <f>VLOOKUP(Table3[[#This Row],[Document ID]],Table1[],10,FALSE)</f>
        <v>Active</v>
      </c>
      <c r="H205" s="42" t="s">
        <v>1095</v>
      </c>
      <c r="I205" s="42" t="s">
        <v>1096</v>
      </c>
      <c r="J205" s="42" t="s">
        <v>1097</v>
      </c>
      <c r="K205" s="28" t="s">
        <v>1102</v>
      </c>
      <c r="L205" s="216" t="s">
        <v>1092</v>
      </c>
      <c r="M205" s="209">
        <v>2050</v>
      </c>
      <c r="N205" s="209" t="s">
        <v>1323</v>
      </c>
      <c r="O205" s="258">
        <v>58</v>
      </c>
      <c r="P205" s="238" t="str">
        <f>VLOOKUP(_xlfn.CONCAT(Table3[[#This Row],[Target area]],Table3[[#This Row],[GHG target?]],Table3[[#This Row],[Conditionality]]),'Drop down'!$E$81:$F$101,2,FALSE)</f>
        <v>T_Transport_O_C</v>
      </c>
      <c r="Q205" s="239" t="str">
        <f>VLOOKUP(Table3[[#This Row],[Target type]],Table418[[Value name]:[Value idenifyer]],2,FALSE)</f>
        <v>T_O_BIO</v>
      </c>
      <c r="S205" s="233" t="s">
        <v>1125</v>
      </c>
      <c r="T205" s="240"/>
      <c r="V205" s="233" t="str">
        <f>VLOOKUP(Table3[[#This Row],[Country Code]],Table29[],3,FALSE)</f>
        <v>Non-Annex I</v>
      </c>
      <c r="W205" s="233" t="str">
        <f>VLOOKUP(Table3[[#This Row],[Country Code]],Table29[],4,FALSE)</f>
        <v>Asia</v>
      </c>
      <c r="X205" s="233" t="str">
        <f>VLOOKUP(Table3[[#This Row],[Country Code]],Table29[],5,FALSE)</f>
        <v>Middle-income</v>
      </c>
      <c r="Y205" s="233" t="str">
        <f>VLOOKUP(Table3[[#This Row],[Country Code]],Table29[],6,FALSE)</f>
        <v>no</v>
      </c>
      <c r="Z205" s="233" t="str">
        <f>VLOOKUP(Table3[[#This Row],[Country Code]],Table29[],7,FALSE)</f>
        <v>no</v>
      </c>
      <c r="AA205" s="233" t="str">
        <f>VLOOKUP(Table3[[#This Row],[Country Code]],Table29[],8,FALSE)</f>
        <v>non-OECD</v>
      </c>
      <c r="AB205" s="233" t="str">
        <f>VLOOKUP(Table3[[#This Row],[Country Code]],Table29[],9,FALSE)</f>
        <v>no</v>
      </c>
      <c r="AC205" s="233" t="str">
        <f>VLOOKUP(Table3[[#This Row],[Country Code]],Table29[],10,FALSE)</f>
        <v>no</v>
      </c>
      <c r="AD205" s="235">
        <f>VLOOKUP(Table3[[#This Row],[Country Code]],Table29[],23,FALSE)</f>
        <v>62.550294041306003</v>
      </c>
      <c r="AE205" s="235">
        <f>VLOOKUP(Table3[[#This Row],[Country Code]],Table29[],24,FALSE)</f>
        <v>8.4493328883147889</v>
      </c>
      <c r="AF205" s="42"/>
    </row>
    <row r="206" spans="1:32" ht="30" x14ac:dyDescent="0.25">
      <c r="A206" s="383">
        <v>39438</v>
      </c>
      <c r="B206" s="233" t="str">
        <f>VLOOKUP(Table3[[#This Row],[Document ID]],Table1[],2,FALSE)</f>
        <v>AZE</v>
      </c>
      <c r="C206" s="233" t="str">
        <f>VLOOKUP(Table3[[#This Row],[Document ID]],Table1[],3,FALSE)</f>
        <v>Azerbaijan</v>
      </c>
      <c r="D206" s="233" t="str">
        <f>VLOOKUP(Table3[[#This Row],[Document ID]],Table1[],5,FALSE)</f>
        <v>NDC</v>
      </c>
      <c r="E206" s="233" t="str">
        <f>VLOOKUP(Table3[[#This Row],[Document ID]],Table1[],7,FALSE)</f>
        <v>Second NDC</v>
      </c>
      <c r="F206" s="253" t="str">
        <f>VLOOKUP(Table3[[#This Row],[Document ID]],Table1[],8,FALSE)</f>
        <v>NDC 2.0</v>
      </c>
      <c r="G206" s="233" t="str">
        <f>VLOOKUP(Table3[[#This Row],[Document ID]],Table1[],10,FALSE)</f>
        <v>Active</v>
      </c>
      <c r="H206" s="42" t="s">
        <v>1095</v>
      </c>
      <c r="I206" s="42" t="s">
        <v>1096</v>
      </c>
      <c r="J206" s="42" t="s">
        <v>1097</v>
      </c>
      <c r="K206" s="28" t="s">
        <v>1102</v>
      </c>
      <c r="L206" s="43" t="s">
        <v>1092</v>
      </c>
      <c r="M206" s="209">
        <v>2050</v>
      </c>
      <c r="N206" s="209" t="s">
        <v>1324</v>
      </c>
      <c r="O206" s="258">
        <v>58</v>
      </c>
      <c r="P206" s="238" t="str">
        <f>VLOOKUP(_xlfn.CONCAT(Table3[[#This Row],[Target area]],Table3[[#This Row],[GHG target?]],Table3[[#This Row],[Conditionality]]),'Drop down'!$E$81:$F$101,2,FALSE)</f>
        <v>T_Transport_O_C</v>
      </c>
      <c r="Q206" s="239" t="str">
        <f>VLOOKUP(Table3[[#This Row],[Target type]],Table418[[Value name]:[Value idenifyer]],2,FALSE)</f>
        <v>T_O_BIO</v>
      </c>
      <c r="S206" s="233" t="s">
        <v>1125</v>
      </c>
      <c r="T206" s="240"/>
      <c r="V206" s="233" t="str">
        <f>VLOOKUP(Table3[[#This Row],[Country Code]],Table29[],3,FALSE)</f>
        <v>Non-Annex I</v>
      </c>
      <c r="W206" s="233" t="str">
        <f>VLOOKUP(Table3[[#This Row],[Country Code]],Table29[],4,FALSE)</f>
        <v>Asia</v>
      </c>
      <c r="X206" s="233" t="str">
        <f>VLOOKUP(Table3[[#This Row],[Country Code]],Table29[],5,FALSE)</f>
        <v>Middle-income</v>
      </c>
      <c r="Y206" s="233" t="str">
        <f>VLOOKUP(Table3[[#This Row],[Country Code]],Table29[],6,FALSE)</f>
        <v>no</v>
      </c>
      <c r="Z206" s="233" t="str">
        <f>VLOOKUP(Table3[[#This Row],[Country Code]],Table29[],7,FALSE)</f>
        <v>no</v>
      </c>
      <c r="AA206" s="233" t="str">
        <f>VLOOKUP(Table3[[#This Row],[Country Code]],Table29[],8,FALSE)</f>
        <v>non-OECD</v>
      </c>
      <c r="AB206" s="233" t="str">
        <f>VLOOKUP(Table3[[#This Row],[Country Code]],Table29[],9,FALSE)</f>
        <v>no</v>
      </c>
      <c r="AC206" s="233" t="str">
        <f>VLOOKUP(Table3[[#This Row],[Country Code]],Table29[],10,FALSE)</f>
        <v>no</v>
      </c>
      <c r="AD206" s="235">
        <f>VLOOKUP(Table3[[#This Row],[Country Code]],Table29[],23,FALSE)</f>
        <v>62.550294041306003</v>
      </c>
      <c r="AE206" s="235">
        <f>VLOOKUP(Table3[[#This Row],[Country Code]],Table29[],24,FALSE)</f>
        <v>8.4493328883147889</v>
      </c>
      <c r="AF206" s="42"/>
    </row>
    <row r="207" spans="1:32" ht="30" x14ac:dyDescent="0.25">
      <c r="A207" s="383">
        <v>39438</v>
      </c>
      <c r="B207" s="233" t="str">
        <f>VLOOKUP(Table3[[#This Row],[Document ID]],Table1[],2,FALSE)</f>
        <v>AZE</v>
      </c>
      <c r="C207" s="233" t="str">
        <f>VLOOKUP(Table3[[#This Row],[Document ID]],Table1[],3,FALSE)</f>
        <v>Azerbaijan</v>
      </c>
      <c r="D207" s="233" t="str">
        <f>VLOOKUP(Table3[[#This Row],[Document ID]],Table1[],5,FALSE)</f>
        <v>NDC</v>
      </c>
      <c r="E207" s="233" t="str">
        <f>VLOOKUP(Table3[[#This Row],[Document ID]],Table1[],7,FALSE)</f>
        <v>Second NDC</v>
      </c>
      <c r="F207" s="253" t="str">
        <f>VLOOKUP(Table3[[#This Row],[Document ID]],Table1[],8,FALSE)</f>
        <v>NDC 2.0</v>
      </c>
      <c r="G207" s="233" t="str">
        <f>VLOOKUP(Table3[[#This Row],[Document ID]],Table1[],10,FALSE)</f>
        <v>Active</v>
      </c>
      <c r="H207" s="42" t="s">
        <v>1095</v>
      </c>
      <c r="I207" s="42" t="s">
        <v>1096</v>
      </c>
      <c r="J207" s="42" t="s">
        <v>1097</v>
      </c>
      <c r="K207" s="28" t="s">
        <v>1137</v>
      </c>
      <c r="L207" s="43" t="s">
        <v>1092</v>
      </c>
      <c r="M207" s="209">
        <v>2050</v>
      </c>
      <c r="N207" s="209" t="s">
        <v>1325</v>
      </c>
      <c r="O207" s="258">
        <v>58</v>
      </c>
      <c r="P207" s="238" t="str">
        <f>VLOOKUP(_xlfn.CONCAT(Table3[[#This Row],[Target area]],Table3[[#This Row],[GHG target?]],Table3[[#This Row],[Conditionality]]),'Drop down'!$E$81:$F$101,2,FALSE)</f>
        <v>T_Transport_O_C</v>
      </c>
      <c r="Q207" s="239" t="str">
        <f>VLOOKUP(Table3[[#This Row],[Target type]],Table418[[Value name]:[Value idenifyer]],2,FALSE)</f>
        <v>T_O_EFF</v>
      </c>
      <c r="S207" s="233" t="s">
        <v>1125</v>
      </c>
      <c r="T207" s="240"/>
      <c r="V207" s="233" t="str">
        <f>VLOOKUP(Table3[[#This Row],[Country Code]],Table29[],3,FALSE)</f>
        <v>Non-Annex I</v>
      </c>
      <c r="W207" s="233" t="str">
        <f>VLOOKUP(Table3[[#This Row],[Country Code]],Table29[],4,FALSE)</f>
        <v>Asia</v>
      </c>
      <c r="X207" s="233" t="str">
        <f>VLOOKUP(Table3[[#This Row],[Country Code]],Table29[],5,FALSE)</f>
        <v>Middle-income</v>
      </c>
      <c r="Y207" s="233" t="str">
        <f>VLOOKUP(Table3[[#This Row],[Country Code]],Table29[],6,FALSE)</f>
        <v>no</v>
      </c>
      <c r="Z207" s="233" t="str">
        <f>VLOOKUP(Table3[[#This Row],[Country Code]],Table29[],7,FALSE)</f>
        <v>no</v>
      </c>
      <c r="AA207" s="233" t="str">
        <f>VLOOKUP(Table3[[#This Row],[Country Code]],Table29[],8,FALSE)</f>
        <v>non-OECD</v>
      </c>
      <c r="AB207" s="233" t="str">
        <f>VLOOKUP(Table3[[#This Row],[Country Code]],Table29[],9,FALSE)</f>
        <v>no</v>
      </c>
      <c r="AC207" s="233" t="str">
        <f>VLOOKUP(Table3[[#This Row],[Country Code]],Table29[],10,FALSE)</f>
        <v>no</v>
      </c>
      <c r="AD207" s="235">
        <f>VLOOKUP(Table3[[#This Row],[Country Code]],Table29[],23,FALSE)</f>
        <v>62.550294041306003</v>
      </c>
      <c r="AE207" s="235">
        <f>VLOOKUP(Table3[[#This Row],[Country Code]],Table29[],24,FALSE)</f>
        <v>8.4493328883147889</v>
      </c>
      <c r="AF207" s="42"/>
    </row>
    <row r="208" spans="1:32" ht="45" x14ac:dyDescent="0.25">
      <c r="A208" s="360">
        <v>26797</v>
      </c>
      <c r="B208" s="233" t="str">
        <f>VLOOKUP(Table3[[#This Row],[Document ID]],Table1[],2,FALSE)</f>
        <v>CIV</v>
      </c>
      <c r="C208" s="233" t="str">
        <f>VLOOKUP(Table3[[#This Row],[Document ID]],Table1[],3,FALSE)</f>
        <v>Côte D'Ivoire</v>
      </c>
      <c r="D208" s="233" t="str">
        <f>VLOOKUP(Table3[[#This Row],[Document ID]],Table1[],5,FALSE)</f>
        <v>NDC</v>
      </c>
      <c r="E208" s="233" t="str">
        <f>VLOOKUP(Table3[[#This Row],[Document ID]],Table1[],7,FALSE)</f>
        <v>Second NDC</v>
      </c>
      <c r="F208" s="233" t="str">
        <f>VLOOKUP(Table3[[#This Row],[Document ID]],Table1[],8,FALSE)</f>
        <v>NDC 2.0</v>
      </c>
      <c r="G208" s="233" t="str">
        <f>VLOOKUP(Table3[[#This Row],[Document ID]],Table1[],10,FALSE)</f>
        <v>Active</v>
      </c>
      <c r="H208" s="216" t="s">
        <v>1089</v>
      </c>
      <c r="I208" s="216" t="s">
        <v>1089</v>
      </c>
      <c r="J208" s="43" t="s">
        <v>1090</v>
      </c>
      <c r="K208" s="28" t="s">
        <v>1091</v>
      </c>
      <c r="L208" s="42" t="s">
        <v>1099</v>
      </c>
      <c r="M208" s="209">
        <v>2030</v>
      </c>
      <c r="N208" s="209" t="s">
        <v>1326</v>
      </c>
      <c r="O208" s="257">
        <v>14</v>
      </c>
      <c r="P208" s="238" t="str">
        <f>VLOOKUP(_xlfn.CONCAT(Table3[[#This Row],[Target area]],Table3[[#This Row],[GHG target?]],Table3[[#This Row],[Conditionality]]),'Drop down'!$E$81:$F$101,2,FALSE)</f>
        <v>T_Economy_Unc</v>
      </c>
      <c r="Q208" s="239" t="str">
        <f>VLOOKUP(Table3[[#This Row],[Target type]],Table418[[Value name]:[Value idenifyer]],2,FALSE)</f>
        <v>T_BAU</v>
      </c>
      <c r="S208" s="233" t="s">
        <v>1101</v>
      </c>
      <c r="T208" s="240"/>
      <c r="U208" s="240"/>
      <c r="V208" s="233" t="str">
        <f>VLOOKUP(Table3[[#This Row],[Country Code]],Table29[],3,FALSE)</f>
        <v>Non-Annex I</v>
      </c>
      <c r="W208" s="233" t="str">
        <f>VLOOKUP(Table3[[#This Row],[Country Code]],Table29[],4,FALSE)</f>
        <v>Africa</v>
      </c>
      <c r="X208" s="233" t="str">
        <f>VLOOKUP(Table3[[#This Row],[Country Code]],Table29[],5,FALSE)</f>
        <v>Middle-income</v>
      </c>
      <c r="Y208" s="233" t="str">
        <f>VLOOKUP(Table3[[#This Row],[Country Code]],Table29[],6,FALSE)</f>
        <v>no</v>
      </c>
      <c r="Z208" s="233" t="str">
        <f>VLOOKUP(Table3[[#This Row],[Country Code]],Table29[],7,FALSE)</f>
        <v>no</v>
      </c>
      <c r="AA208" s="233" t="str">
        <f>VLOOKUP(Table3[[#This Row],[Country Code]],Table29[],8,FALSE)</f>
        <v>non-OECD</v>
      </c>
      <c r="AB208" s="233" t="str">
        <f>VLOOKUP(Table3[[#This Row],[Country Code]],Table29[],9,FALSE)</f>
        <v>no</v>
      </c>
      <c r="AC208" s="233" t="str">
        <f>VLOOKUP(Table3[[#This Row],[Country Code]],Table29[],10,FALSE)</f>
        <v>no</v>
      </c>
      <c r="AD208" s="235">
        <f>VLOOKUP(Table3[[#This Row],[Country Code]],Table29[],23,FALSE)</f>
        <v>32.184005493065001</v>
      </c>
      <c r="AE208" s="235">
        <f>VLOOKUP(Table3[[#This Row],[Country Code]],Table29[],24,FALSE)</f>
        <v>5.258263110860768</v>
      </c>
      <c r="AF208" s="43"/>
    </row>
    <row r="209" spans="1:32" ht="30" x14ac:dyDescent="0.25">
      <c r="A209" s="360">
        <v>26797</v>
      </c>
      <c r="B209" s="233" t="str">
        <f>VLOOKUP(Table3[[#This Row],[Document ID]],Table1[],2,FALSE)</f>
        <v>CIV</v>
      </c>
      <c r="C209" s="233" t="str">
        <f>VLOOKUP(Table3[[#This Row],[Document ID]],Table1[],3,FALSE)</f>
        <v>Côte D'Ivoire</v>
      </c>
      <c r="D209" s="233" t="str">
        <f>VLOOKUP(Table3[[#This Row],[Document ID]],Table1[],5,FALSE)</f>
        <v>NDC</v>
      </c>
      <c r="E209" s="233" t="str">
        <f>VLOOKUP(Table3[[#This Row],[Document ID]],Table1[],7,FALSE)</f>
        <v>Second NDC</v>
      </c>
      <c r="F209" s="233" t="str">
        <f>VLOOKUP(Table3[[#This Row],[Document ID]],Table1[],8,FALSE)</f>
        <v>NDC 2.0</v>
      </c>
      <c r="G209" s="233" t="str">
        <f>VLOOKUP(Table3[[#This Row],[Document ID]],Table1[],10,FALSE)</f>
        <v>Active</v>
      </c>
      <c r="H209" s="216" t="s">
        <v>1089</v>
      </c>
      <c r="I209" s="216" t="s">
        <v>1089</v>
      </c>
      <c r="J209" s="43" t="s">
        <v>1090</v>
      </c>
      <c r="K209" s="28" t="s">
        <v>1091</v>
      </c>
      <c r="L209" s="216" t="s">
        <v>1092</v>
      </c>
      <c r="M209" s="209">
        <v>2030</v>
      </c>
      <c r="N209" s="209" t="s">
        <v>1327</v>
      </c>
      <c r="O209" s="257">
        <v>14</v>
      </c>
      <c r="P209" s="238" t="str">
        <f>VLOOKUP(_xlfn.CONCAT(Table3[[#This Row],[Target area]],Table3[[#This Row],[GHG target?]],Table3[[#This Row],[Conditionality]]),'Drop down'!$E$81:$F$101,2,FALSE)</f>
        <v>T_Economy_C</v>
      </c>
      <c r="Q209" s="239" t="str">
        <f>VLOOKUP(Table3[[#This Row],[Target type]],Table418[[Value name]:[Value idenifyer]],2,FALSE)</f>
        <v>T_BAU</v>
      </c>
      <c r="S209" s="233" t="s">
        <v>1101</v>
      </c>
      <c r="T209" s="240"/>
      <c r="U209" s="240"/>
      <c r="V209" s="233" t="str">
        <f>VLOOKUP(Table3[[#This Row],[Country Code]],Table29[],3,FALSE)</f>
        <v>Non-Annex I</v>
      </c>
      <c r="W209" s="233" t="str">
        <f>VLOOKUP(Table3[[#This Row],[Country Code]],Table29[],4,FALSE)</f>
        <v>Africa</v>
      </c>
      <c r="X209" s="233" t="str">
        <f>VLOOKUP(Table3[[#This Row],[Country Code]],Table29[],5,FALSE)</f>
        <v>Middle-income</v>
      </c>
      <c r="Y209" s="233" t="str">
        <f>VLOOKUP(Table3[[#This Row],[Country Code]],Table29[],6,FALSE)</f>
        <v>no</v>
      </c>
      <c r="Z209" s="233" t="str">
        <f>VLOOKUP(Table3[[#This Row],[Country Code]],Table29[],7,FALSE)</f>
        <v>no</v>
      </c>
      <c r="AA209" s="233" t="str">
        <f>VLOOKUP(Table3[[#This Row],[Country Code]],Table29[],8,FALSE)</f>
        <v>non-OECD</v>
      </c>
      <c r="AB209" s="233" t="str">
        <f>VLOOKUP(Table3[[#This Row],[Country Code]],Table29[],9,FALSE)</f>
        <v>no</v>
      </c>
      <c r="AC209" s="233" t="str">
        <f>VLOOKUP(Table3[[#This Row],[Country Code]],Table29[],10,FALSE)</f>
        <v>no</v>
      </c>
      <c r="AD209" s="235">
        <f>VLOOKUP(Table3[[#This Row],[Country Code]],Table29[],23,FALSE)</f>
        <v>32.184005493065001</v>
      </c>
      <c r="AE209" s="235">
        <f>VLOOKUP(Table3[[#This Row],[Country Code]],Table29[],24,FALSE)</f>
        <v>5.258263110860768</v>
      </c>
      <c r="AF209" s="43"/>
    </row>
    <row r="210" spans="1:32" x14ac:dyDescent="0.25">
      <c r="A210" s="360">
        <v>17565</v>
      </c>
      <c r="B210" s="233" t="str">
        <f>VLOOKUP(Table3[[#This Row],[Document ID]],Table1[],2,FALSE)</f>
        <v>CIV</v>
      </c>
      <c r="C210" s="233" t="str">
        <f>VLOOKUP(Table3[[#This Row],[Document ID]],Table1[],3,FALSE)</f>
        <v>Côte D'Ivoire</v>
      </c>
      <c r="D210" s="233" t="str">
        <f>VLOOKUP(Table3[[#This Row],[Document ID]],Table1[],5,FALSE)</f>
        <v>NDC</v>
      </c>
      <c r="E210" s="233" t="str">
        <f>VLOOKUP(Table3[[#This Row],[Document ID]],Table1[],7,FALSE)</f>
        <v>First NDC</v>
      </c>
      <c r="F210" s="233" t="str">
        <f>VLOOKUP(Table3[[#This Row],[Document ID]],Table1[],8,FALSE)</f>
        <v>NDC 1.0</v>
      </c>
      <c r="G210" s="233" t="str">
        <f>VLOOKUP(Table3[[#This Row],[Document ID]],Table1[],10,FALSE)</f>
        <v>Archived</v>
      </c>
      <c r="H210" s="216" t="s">
        <v>1089</v>
      </c>
      <c r="I210" s="216" t="s">
        <v>1089</v>
      </c>
      <c r="J210" s="43" t="s">
        <v>1090</v>
      </c>
      <c r="K210" s="28" t="s">
        <v>1091</v>
      </c>
      <c r="L210" s="42" t="s">
        <v>1099</v>
      </c>
      <c r="M210" s="209">
        <v>2030</v>
      </c>
      <c r="N210" s="176" t="s">
        <v>1328</v>
      </c>
      <c r="O210" s="258" t="s">
        <v>1094</v>
      </c>
      <c r="P210" s="238" t="str">
        <f>VLOOKUP(_xlfn.CONCAT(Table3[[#This Row],[Target area]],Table3[[#This Row],[GHG target?]],Table3[[#This Row],[Conditionality]]),'Drop down'!$E$81:$F$101,2,FALSE)</f>
        <v>T_Economy_Unc</v>
      </c>
      <c r="Q210" s="239" t="str">
        <f>VLOOKUP(Table3[[#This Row],[Target type]],Table418[[Value name]:[Value idenifyer]],2,FALSE)</f>
        <v>T_BAU</v>
      </c>
      <c r="S210" s="233" t="s">
        <v>1112</v>
      </c>
      <c r="T210" s="240"/>
      <c r="U210" s="240"/>
      <c r="V210" s="233" t="str">
        <f>VLOOKUP(Table3[[#This Row],[Country Code]],Table29[],3,FALSE)</f>
        <v>Non-Annex I</v>
      </c>
      <c r="W210" s="233" t="str">
        <f>VLOOKUP(Table3[[#This Row],[Country Code]],Table29[],4,FALSE)</f>
        <v>Africa</v>
      </c>
      <c r="X210" s="233" t="str">
        <f>VLOOKUP(Table3[[#This Row],[Country Code]],Table29[],5,FALSE)</f>
        <v>Middle-income</v>
      </c>
      <c r="Y210" s="233" t="str">
        <f>VLOOKUP(Table3[[#This Row],[Country Code]],Table29[],6,FALSE)</f>
        <v>no</v>
      </c>
      <c r="Z210" s="233" t="str">
        <f>VLOOKUP(Table3[[#This Row],[Country Code]],Table29[],7,FALSE)</f>
        <v>no</v>
      </c>
      <c r="AA210" s="233" t="str">
        <f>VLOOKUP(Table3[[#This Row],[Country Code]],Table29[],8,FALSE)</f>
        <v>non-OECD</v>
      </c>
      <c r="AB210" s="233" t="str">
        <f>VLOOKUP(Table3[[#This Row],[Country Code]],Table29[],9,FALSE)</f>
        <v>no</v>
      </c>
      <c r="AC210" s="233" t="str">
        <f>VLOOKUP(Table3[[#This Row],[Country Code]],Table29[],10,FALSE)</f>
        <v>no</v>
      </c>
      <c r="AD210" s="235">
        <f>VLOOKUP(Table3[[#This Row],[Country Code]],Table29[],23,FALSE)</f>
        <v>32.184005493065001</v>
      </c>
      <c r="AE210" s="235">
        <f>VLOOKUP(Table3[[#This Row],[Country Code]],Table29[],24,FALSE)</f>
        <v>5.258263110860768</v>
      </c>
      <c r="AF210" s="43"/>
    </row>
    <row r="211" spans="1:32" ht="30" x14ac:dyDescent="0.25">
      <c r="A211" s="383">
        <v>39438</v>
      </c>
      <c r="B211" s="233" t="str">
        <f>VLOOKUP(Table3[[#This Row],[Document ID]],Table1[],2,FALSE)</f>
        <v>AZE</v>
      </c>
      <c r="C211" s="233" t="str">
        <f>VLOOKUP(Table3[[#This Row],[Document ID]],Table1[],3,FALSE)</f>
        <v>Azerbaijan</v>
      </c>
      <c r="D211" s="233" t="str">
        <f>VLOOKUP(Table3[[#This Row],[Document ID]],Table1[],5,FALSE)</f>
        <v>NDC</v>
      </c>
      <c r="E211" s="233" t="str">
        <f>VLOOKUP(Table3[[#This Row],[Document ID]],Table1[],7,FALSE)</f>
        <v>Second NDC</v>
      </c>
      <c r="F211" s="253" t="str">
        <f>VLOOKUP(Table3[[#This Row],[Document ID]],Table1[],8,FALSE)</f>
        <v>NDC 2.0</v>
      </c>
      <c r="G211" s="233" t="str">
        <f>VLOOKUP(Table3[[#This Row],[Document ID]],Table1[],10,FALSE)</f>
        <v>Active</v>
      </c>
      <c r="H211" s="42" t="s">
        <v>1095</v>
      </c>
      <c r="I211" s="42" t="s">
        <v>1096</v>
      </c>
      <c r="J211" s="42" t="s">
        <v>1097</v>
      </c>
      <c r="K211" s="28" t="s">
        <v>1137</v>
      </c>
      <c r="L211" s="43" t="s">
        <v>1092</v>
      </c>
      <c r="M211" s="209">
        <v>2050</v>
      </c>
      <c r="N211" s="209" t="s">
        <v>1329</v>
      </c>
      <c r="O211" s="258">
        <v>58</v>
      </c>
      <c r="P211" s="238" t="str">
        <f>VLOOKUP(_xlfn.CONCAT(Table3[[#This Row],[Target area]],Table3[[#This Row],[GHG target?]],Table3[[#This Row],[Conditionality]]),'Drop down'!$E$81:$F$101,2,FALSE)</f>
        <v>T_Transport_O_C</v>
      </c>
      <c r="Q211" s="239" t="str">
        <f>VLOOKUP(Table3[[#This Row],[Target type]],Table418[[Value name]:[Value idenifyer]],2,FALSE)</f>
        <v>T_O_EFF</v>
      </c>
      <c r="S211" s="233" t="s">
        <v>1125</v>
      </c>
      <c r="T211" s="240"/>
      <c r="V211" s="233" t="str">
        <f>VLOOKUP(Table3[[#This Row],[Country Code]],Table29[],3,FALSE)</f>
        <v>Non-Annex I</v>
      </c>
      <c r="W211" s="233" t="str">
        <f>VLOOKUP(Table3[[#This Row],[Country Code]],Table29[],4,FALSE)</f>
        <v>Asia</v>
      </c>
      <c r="X211" s="233" t="str">
        <f>VLOOKUP(Table3[[#This Row],[Country Code]],Table29[],5,FALSE)</f>
        <v>Middle-income</v>
      </c>
      <c r="Y211" s="233" t="str">
        <f>VLOOKUP(Table3[[#This Row],[Country Code]],Table29[],6,FALSE)</f>
        <v>no</v>
      </c>
      <c r="Z211" s="233" t="str">
        <f>VLOOKUP(Table3[[#This Row],[Country Code]],Table29[],7,FALSE)</f>
        <v>no</v>
      </c>
      <c r="AA211" s="233" t="str">
        <f>VLOOKUP(Table3[[#This Row],[Country Code]],Table29[],8,FALSE)</f>
        <v>non-OECD</v>
      </c>
      <c r="AB211" s="233" t="str">
        <f>VLOOKUP(Table3[[#This Row],[Country Code]],Table29[],9,FALSE)</f>
        <v>no</v>
      </c>
      <c r="AC211" s="233" t="str">
        <f>VLOOKUP(Table3[[#This Row],[Country Code]],Table29[],10,FALSE)</f>
        <v>no</v>
      </c>
      <c r="AD211" s="235">
        <f>VLOOKUP(Table3[[#This Row],[Country Code]],Table29[],23,FALSE)</f>
        <v>62.550294041306003</v>
      </c>
      <c r="AE211" s="235">
        <f>VLOOKUP(Table3[[#This Row],[Country Code]],Table29[],24,FALSE)</f>
        <v>8.4493328883147889</v>
      </c>
      <c r="AF211" s="42"/>
    </row>
    <row r="212" spans="1:32" ht="45" x14ac:dyDescent="0.25">
      <c r="A212" s="368">
        <v>32497</v>
      </c>
      <c r="B212" s="233" t="str">
        <f>VLOOKUP(Table3[[#This Row],[Document ID]],Table1[],2,FALSE)</f>
        <v>CYP</v>
      </c>
      <c r="C212" s="233" t="str">
        <f>VLOOKUP(Table3[[#This Row],[Document ID]],Table1[],3,FALSE)</f>
        <v>Cyprus</v>
      </c>
      <c r="D212" s="233" t="str">
        <f>VLOOKUP(Table3[[#This Row],[Document ID]],Table1[],5,FALSE)</f>
        <v>LTS</v>
      </c>
      <c r="E212" s="233" t="str">
        <f>VLOOKUP(Table3[[#This Row],[Document ID]],Table1[],7,FALSE)</f>
        <v>EU-LTS</v>
      </c>
      <c r="F212" s="241" t="str">
        <f>VLOOKUP(Table3[[#This Row],[Document ID]],Table1[],8,FALSE)</f>
        <v>LTS 1.0</v>
      </c>
      <c r="G212" s="233" t="str">
        <f>VLOOKUP(Table3[[#This Row],[Document ID]],Table1[],10,FALSE)</f>
        <v>Active</v>
      </c>
      <c r="H212" s="216" t="s">
        <v>1089</v>
      </c>
      <c r="I212" s="216" t="s">
        <v>1089</v>
      </c>
      <c r="J212" s="43" t="s">
        <v>1090</v>
      </c>
      <c r="K212" s="28" t="s">
        <v>1121</v>
      </c>
      <c r="L212" s="42" t="s">
        <v>1099</v>
      </c>
      <c r="M212" s="209">
        <v>2050</v>
      </c>
      <c r="N212" s="209" t="s">
        <v>1330</v>
      </c>
      <c r="O212" s="258">
        <v>7</v>
      </c>
      <c r="P212" s="238" t="str">
        <f>VLOOKUP(_xlfn.CONCAT(Table3[[#This Row],[Target area]],Table3[[#This Row],[GHG target?]],Table3[[#This Row],[Conditionality]]),'Drop down'!$E$81:$F$101,2,FALSE)</f>
        <v>T_Economy_Unc</v>
      </c>
      <c r="Q212" s="239" t="str">
        <f>VLOOKUP(Table3[[#This Row],[Target type]],Table418[[Value name]:[Value idenifyer]],2,FALSE)</f>
        <v>T_FL</v>
      </c>
      <c r="T212" s="234" t="s">
        <v>1113</v>
      </c>
      <c r="V212" s="233" t="str">
        <f>VLOOKUP(Table3[[#This Row],[Country Code]],Table29[],3,FALSE)</f>
        <v>Annex I</v>
      </c>
      <c r="W212" s="233" t="str">
        <f>VLOOKUP(Table3[[#This Row],[Country Code]],Table29[],4,FALSE)</f>
        <v>Asia</v>
      </c>
      <c r="X212" s="233" t="str">
        <f>VLOOKUP(Table3[[#This Row],[Country Code]],Table29[],5,FALSE)</f>
        <v>High-income</v>
      </c>
      <c r="Y212" s="233" t="str">
        <f>VLOOKUP(Table3[[#This Row],[Country Code]],Table29[],6,FALSE)</f>
        <v>no</v>
      </c>
      <c r="Z212" s="233" t="str">
        <f>VLOOKUP(Table3[[#This Row],[Country Code]],Table29[],7,FALSE)</f>
        <v>no</v>
      </c>
      <c r="AA212" s="233" t="str">
        <f>VLOOKUP(Table3[[#This Row],[Country Code]],Table29[],8,FALSE)</f>
        <v>non-OECD</v>
      </c>
      <c r="AB212" s="233" t="str">
        <f>VLOOKUP(Table3[[#This Row],[Country Code]],Table29[],9,FALSE)</f>
        <v>EU27</v>
      </c>
      <c r="AC212" s="233" t="str">
        <f>VLOOKUP(Table3[[#This Row],[Country Code]],Table29[],10,FALSE)</f>
        <v>no</v>
      </c>
      <c r="AD212" s="235">
        <f>VLOOKUP(Table3[[#This Row],[Country Code]],Table29[],23,FALSE)</f>
        <v>10.324656394181</v>
      </c>
      <c r="AE212" s="235">
        <f>VLOOKUP(Table3[[#This Row],[Country Code]],Table29[],24,FALSE)</f>
        <v>1.897782414839597</v>
      </c>
      <c r="AF212" s="43"/>
    </row>
    <row r="213" spans="1:32" ht="30" x14ac:dyDescent="0.25">
      <c r="A213" s="360">
        <v>17570</v>
      </c>
      <c r="B213" s="233" t="str">
        <f>VLOOKUP(Table3[[#This Row],[Document ID]],Table1[],2,FALSE)</f>
        <v>CZE</v>
      </c>
      <c r="C213" s="233" t="str">
        <f>VLOOKUP(Table3[[#This Row],[Document ID]],Table1[],3,FALSE)</f>
        <v>Czech Republic</v>
      </c>
      <c r="D213" s="233" t="str">
        <f>VLOOKUP(Table3[[#This Row],[Document ID]],Table1[],5,FALSE)</f>
        <v>LTS</v>
      </c>
      <c r="E213" s="233" t="str">
        <f>VLOOKUP(Table3[[#This Row],[Document ID]],Table1[],7,FALSE)</f>
        <v>EU-LTS</v>
      </c>
      <c r="F213" s="233" t="str">
        <f>VLOOKUP(Table3[[#This Row],[Document ID]],Table1[],8,FALSE)</f>
        <v>LTS 1.0</v>
      </c>
      <c r="G213" s="233" t="str">
        <f>VLOOKUP(Table3[[#This Row],[Document ID]],Table1[],10,FALSE)</f>
        <v>Active</v>
      </c>
      <c r="H213" s="216" t="s">
        <v>1089</v>
      </c>
      <c r="I213" s="216" t="s">
        <v>1089</v>
      </c>
      <c r="J213" s="43" t="s">
        <v>1090</v>
      </c>
      <c r="K213" s="28" t="s">
        <v>1121</v>
      </c>
      <c r="L213" s="42" t="s">
        <v>1099</v>
      </c>
      <c r="M213" s="209">
        <v>2050</v>
      </c>
      <c r="N213" s="44" t="s">
        <v>1331</v>
      </c>
      <c r="O213" s="221">
        <v>5</v>
      </c>
      <c r="P213" s="238" t="str">
        <f>VLOOKUP(_xlfn.CONCAT(Table3[[#This Row],[Target area]],Table3[[#This Row],[GHG target?]],Table3[[#This Row],[Conditionality]]),'Drop down'!$E$81:$F$101,2,FALSE)</f>
        <v>T_Economy_Unc</v>
      </c>
      <c r="Q213" s="239" t="str">
        <f>VLOOKUP(Table3[[#This Row],[Target type]],Table418[[Value name]:[Value idenifyer]],2,FALSE)</f>
        <v>T_FL</v>
      </c>
      <c r="T213" s="234" t="s">
        <v>1113</v>
      </c>
      <c r="V213" s="233" t="str">
        <f>VLOOKUP(Table3[[#This Row],[Country Code]],Table29[],3,FALSE)</f>
        <v>Annex I</v>
      </c>
      <c r="W213" s="233" t="str">
        <f>VLOOKUP(Table3[[#This Row],[Country Code]],Table29[],4,FALSE)</f>
        <v>Europe</v>
      </c>
      <c r="X213" s="233" t="str">
        <f>VLOOKUP(Table3[[#This Row],[Country Code]],Table29[],5,FALSE)</f>
        <v>High-income</v>
      </c>
      <c r="Y213" s="233" t="str">
        <f>VLOOKUP(Table3[[#This Row],[Country Code]],Table29[],6,FALSE)</f>
        <v>no</v>
      </c>
      <c r="Z213" s="233" t="str">
        <f>VLOOKUP(Table3[[#This Row],[Country Code]],Table29[],7,FALSE)</f>
        <v>no</v>
      </c>
      <c r="AA213" s="233" t="str">
        <f>VLOOKUP(Table3[[#This Row],[Country Code]],Table29[],8,FALSE)</f>
        <v>OECD</v>
      </c>
      <c r="AB213" s="233" t="str">
        <f>VLOOKUP(Table3[[#This Row],[Country Code]],Table29[],9,FALSE)</f>
        <v>EU27</v>
      </c>
      <c r="AC213" s="233" t="str">
        <f>VLOOKUP(Table3[[#This Row],[Country Code]],Table29[],10,FALSE)</f>
        <v>no</v>
      </c>
      <c r="AD213" s="235">
        <f>VLOOKUP(Table3[[#This Row],[Country Code]],Table29[],23,FALSE)</f>
        <v>114.43841612935999</v>
      </c>
      <c r="AE213" s="235">
        <f>VLOOKUP(Table3[[#This Row],[Country Code]],Table29[],24,FALSE)</f>
        <v>19.612786549290181</v>
      </c>
      <c r="AF213" s="43"/>
    </row>
    <row r="214" spans="1:32" ht="30" x14ac:dyDescent="0.25">
      <c r="A214" s="360">
        <v>17573</v>
      </c>
      <c r="B214" s="233" t="str">
        <f>VLOOKUP(Table3[[#This Row],[Document ID]],Table1[],2,FALSE)</f>
        <v>PRK</v>
      </c>
      <c r="C214" s="233" t="str">
        <f>VLOOKUP(Table3[[#This Row],[Document ID]],Table1[],3,FALSE)</f>
        <v>Democratic People's Republic of Korea</v>
      </c>
      <c r="D214" s="233" t="str">
        <f>VLOOKUP(Table3[[#This Row],[Document ID]],Table1[],5,FALSE)</f>
        <v>NDC</v>
      </c>
      <c r="E214" s="233" t="str">
        <f>VLOOKUP(Table3[[#This Row],[Document ID]],Table1[],7,FALSE)</f>
        <v>First NDC updated</v>
      </c>
      <c r="F214" s="233" t="str">
        <f>VLOOKUP(Table3[[#This Row],[Document ID]],Table1[],8,FALSE)</f>
        <v>NDC 1.1</v>
      </c>
      <c r="G214" s="233" t="str">
        <f>VLOOKUP(Table3[[#This Row],[Document ID]],Table1[],10,FALSE)</f>
        <v>Active</v>
      </c>
      <c r="H214" s="216" t="s">
        <v>1089</v>
      </c>
      <c r="I214" s="216" t="s">
        <v>1089</v>
      </c>
      <c r="J214" s="43" t="s">
        <v>1090</v>
      </c>
      <c r="K214" s="28" t="s">
        <v>1091</v>
      </c>
      <c r="L214" s="42" t="s">
        <v>1099</v>
      </c>
      <c r="M214" s="209">
        <v>2030</v>
      </c>
      <c r="N214" s="44" t="s">
        <v>1332</v>
      </c>
      <c r="O214" s="221">
        <v>2</v>
      </c>
      <c r="P214" s="238" t="str">
        <f>VLOOKUP(_xlfn.CONCAT(Table3[[#This Row],[Target area]],Table3[[#This Row],[GHG target?]],Table3[[#This Row],[Conditionality]]),'Drop down'!$E$81:$F$101,2,FALSE)</f>
        <v>T_Economy_Unc</v>
      </c>
      <c r="Q214" s="239" t="str">
        <f>VLOOKUP(Table3[[#This Row],[Target type]],Table418[[Value name]:[Value idenifyer]],2,FALSE)</f>
        <v>T_BAU</v>
      </c>
      <c r="V214" s="233" t="str">
        <f>VLOOKUP(Table3[[#This Row],[Country Code]],Table29[],3,FALSE)</f>
        <v>Non-Annex I</v>
      </c>
      <c r="W214" s="233" t="str">
        <f>VLOOKUP(Table3[[#This Row],[Country Code]],Table29[],4,FALSE)</f>
        <v>Asia</v>
      </c>
      <c r="X214" s="233" t="str">
        <f>VLOOKUP(Table3[[#This Row],[Country Code]],Table29[],5,FALSE)</f>
        <v>Low-income</v>
      </c>
      <c r="Y214" s="233" t="str">
        <f>VLOOKUP(Table3[[#This Row],[Country Code]],Table29[],6,FALSE)</f>
        <v>no</v>
      </c>
      <c r="Z214" s="233" t="str">
        <f>VLOOKUP(Table3[[#This Row],[Country Code]],Table29[],7,FALSE)</f>
        <v>no</v>
      </c>
      <c r="AA214" s="233" t="str">
        <f>VLOOKUP(Table3[[#This Row],[Country Code]],Table29[],8,FALSE)</f>
        <v>non-OECD</v>
      </c>
      <c r="AB214" s="233" t="str">
        <f>VLOOKUP(Table3[[#This Row],[Country Code]],Table29[],9,FALSE)</f>
        <v>no</v>
      </c>
      <c r="AC214" s="233" t="str">
        <f>VLOOKUP(Table3[[#This Row],[Country Code]],Table29[],10,FALSE)</f>
        <v>no</v>
      </c>
      <c r="AD214" s="235">
        <f>VLOOKUP(Table3[[#This Row],[Country Code]],Table29[],23,FALSE)</f>
        <v>90.148479942172997</v>
      </c>
      <c r="AE214" s="235">
        <f>VLOOKUP(Table3[[#This Row],[Country Code]],Table29[],24,FALSE)</f>
        <v>4.9656668892531348</v>
      </c>
      <c r="AF214" s="43"/>
    </row>
    <row r="215" spans="1:32" ht="45" x14ac:dyDescent="0.25">
      <c r="A215" s="360">
        <v>17573</v>
      </c>
      <c r="B215" s="233" t="str">
        <f>VLOOKUP(Table3[[#This Row],[Document ID]],Table1[],2,FALSE)</f>
        <v>PRK</v>
      </c>
      <c r="C215" s="233" t="str">
        <f>VLOOKUP(Table3[[#This Row],[Document ID]],Table1[],3,FALSE)</f>
        <v>Democratic People's Republic of Korea</v>
      </c>
      <c r="D215" s="233" t="str">
        <f>VLOOKUP(Table3[[#This Row],[Document ID]],Table1[],5,FALSE)</f>
        <v>NDC</v>
      </c>
      <c r="E215" s="233" t="str">
        <f>VLOOKUP(Table3[[#This Row],[Document ID]],Table1[],7,FALSE)</f>
        <v>First NDC updated</v>
      </c>
      <c r="F215" s="233" t="str">
        <f>VLOOKUP(Table3[[#This Row],[Document ID]],Table1[],8,FALSE)</f>
        <v>NDC 1.1</v>
      </c>
      <c r="G215" s="233" t="str">
        <f>VLOOKUP(Table3[[#This Row],[Document ID]],Table1[],10,FALSE)</f>
        <v>Active</v>
      </c>
      <c r="H215" s="216" t="s">
        <v>1089</v>
      </c>
      <c r="I215" s="216" t="s">
        <v>1089</v>
      </c>
      <c r="J215" s="43" t="s">
        <v>1090</v>
      </c>
      <c r="K215" s="28" t="s">
        <v>1091</v>
      </c>
      <c r="L215" s="216" t="s">
        <v>1092</v>
      </c>
      <c r="M215" s="209">
        <v>2030</v>
      </c>
      <c r="N215" s="44" t="s">
        <v>1333</v>
      </c>
      <c r="O215" s="221">
        <v>3</v>
      </c>
      <c r="P215" s="238" t="str">
        <f>VLOOKUP(_xlfn.CONCAT(Table3[[#This Row],[Target area]],Table3[[#This Row],[GHG target?]],Table3[[#This Row],[Conditionality]]),'Drop down'!$E$81:$F$101,2,FALSE)</f>
        <v>T_Economy_C</v>
      </c>
      <c r="Q215" s="239" t="str">
        <f>VLOOKUP(Table3[[#This Row],[Target type]],Table418[[Value name]:[Value idenifyer]],2,FALSE)</f>
        <v>T_BAU</v>
      </c>
      <c r="V215" s="233" t="str">
        <f>VLOOKUP(Table3[[#This Row],[Country Code]],Table29[],3,FALSE)</f>
        <v>Non-Annex I</v>
      </c>
      <c r="W215" s="233" t="str">
        <f>VLOOKUP(Table3[[#This Row],[Country Code]],Table29[],4,FALSE)</f>
        <v>Asia</v>
      </c>
      <c r="X215" s="233" t="str">
        <f>VLOOKUP(Table3[[#This Row],[Country Code]],Table29[],5,FALSE)</f>
        <v>Low-income</v>
      </c>
      <c r="Y215" s="233" t="str">
        <f>VLOOKUP(Table3[[#This Row],[Country Code]],Table29[],6,FALSE)</f>
        <v>no</v>
      </c>
      <c r="Z215" s="233" t="str">
        <f>VLOOKUP(Table3[[#This Row],[Country Code]],Table29[],7,FALSE)</f>
        <v>no</v>
      </c>
      <c r="AA215" s="233" t="str">
        <f>VLOOKUP(Table3[[#This Row],[Country Code]],Table29[],8,FALSE)</f>
        <v>non-OECD</v>
      </c>
      <c r="AB215" s="233" t="str">
        <f>VLOOKUP(Table3[[#This Row],[Country Code]],Table29[],9,FALSE)</f>
        <v>no</v>
      </c>
      <c r="AC215" s="233" t="str">
        <f>VLOOKUP(Table3[[#This Row],[Country Code]],Table29[],10,FALSE)</f>
        <v>no</v>
      </c>
      <c r="AD215" s="235">
        <f>VLOOKUP(Table3[[#This Row],[Country Code]],Table29[],23,FALSE)</f>
        <v>90.148479942172997</v>
      </c>
      <c r="AE215" s="235">
        <f>VLOOKUP(Table3[[#This Row],[Country Code]],Table29[],24,FALSE)</f>
        <v>4.9656668892531348</v>
      </c>
      <c r="AF215" s="43"/>
    </row>
    <row r="216" spans="1:32" x14ac:dyDescent="0.25">
      <c r="A216" s="360">
        <v>17572</v>
      </c>
      <c r="B216" s="233" t="str">
        <f>VLOOKUP(Table3[[#This Row],[Document ID]],Table1[],2,FALSE)</f>
        <v>PRK</v>
      </c>
      <c r="C216" s="233" t="str">
        <f>VLOOKUP(Table3[[#This Row],[Document ID]],Table1[],3,FALSE)</f>
        <v>Democratic People's Republic of Korea</v>
      </c>
      <c r="D216" s="233" t="str">
        <f>VLOOKUP(Table3[[#This Row],[Document ID]],Table1[],5,FALSE)</f>
        <v>NDC</v>
      </c>
      <c r="E216" s="233" t="str">
        <f>VLOOKUP(Table3[[#This Row],[Document ID]],Table1[],7,FALSE)</f>
        <v>First NDC</v>
      </c>
      <c r="F216" s="233" t="str">
        <f>VLOOKUP(Table3[[#This Row],[Document ID]],Table1[],8,FALSE)</f>
        <v>NDC 1.0</v>
      </c>
      <c r="G216" s="233" t="str">
        <f>VLOOKUP(Table3[[#This Row],[Document ID]],Table1[],10,FALSE)</f>
        <v>Archived</v>
      </c>
      <c r="H216" s="216" t="s">
        <v>1089</v>
      </c>
      <c r="I216" s="216" t="s">
        <v>1089</v>
      </c>
      <c r="J216" s="43" t="s">
        <v>1090</v>
      </c>
      <c r="K216" s="28" t="s">
        <v>1091</v>
      </c>
      <c r="L216" s="42" t="s">
        <v>1099</v>
      </c>
      <c r="M216" s="209">
        <v>2030</v>
      </c>
      <c r="N216" s="176" t="s">
        <v>1334</v>
      </c>
      <c r="O216" s="258" t="s">
        <v>1094</v>
      </c>
      <c r="P216" s="238" t="str">
        <f>VLOOKUP(_xlfn.CONCAT(Table3[[#This Row],[Target area]],Table3[[#This Row],[GHG target?]],Table3[[#This Row],[Conditionality]]),'Drop down'!$E$81:$F$101,2,FALSE)</f>
        <v>T_Economy_Unc</v>
      </c>
      <c r="Q216" s="239" t="str">
        <f>VLOOKUP(Table3[[#This Row],[Target type]],Table418[[Value name]:[Value idenifyer]],2,FALSE)</f>
        <v>T_BAU</v>
      </c>
      <c r="V216" s="233" t="str">
        <f>VLOOKUP(Table3[[#This Row],[Country Code]],Table29[],3,FALSE)</f>
        <v>Non-Annex I</v>
      </c>
      <c r="W216" s="233" t="str">
        <f>VLOOKUP(Table3[[#This Row],[Country Code]],Table29[],4,FALSE)</f>
        <v>Asia</v>
      </c>
      <c r="X216" s="233" t="str">
        <f>VLOOKUP(Table3[[#This Row],[Country Code]],Table29[],5,FALSE)</f>
        <v>Low-income</v>
      </c>
      <c r="Y216" s="233" t="str">
        <f>VLOOKUP(Table3[[#This Row],[Country Code]],Table29[],6,FALSE)</f>
        <v>no</v>
      </c>
      <c r="Z216" s="233" t="str">
        <f>VLOOKUP(Table3[[#This Row],[Country Code]],Table29[],7,FALSE)</f>
        <v>no</v>
      </c>
      <c r="AA216" s="233" t="str">
        <f>VLOOKUP(Table3[[#This Row],[Country Code]],Table29[],8,FALSE)</f>
        <v>non-OECD</v>
      </c>
      <c r="AB216" s="233" t="str">
        <f>VLOOKUP(Table3[[#This Row],[Country Code]],Table29[],9,FALSE)</f>
        <v>no</v>
      </c>
      <c r="AC216" s="233" t="str">
        <f>VLOOKUP(Table3[[#This Row],[Country Code]],Table29[],10,FALSE)</f>
        <v>no</v>
      </c>
      <c r="AD216" s="235">
        <f>VLOOKUP(Table3[[#This Row],[Country Code]],Table29[],23,FALSE)</f>
        <v>90.148479942172997</v>
      </c>
      <c r="AE216" s="235">
        <f>VLOOKUP(Table3[[#This Row],[Country Code]],Table29[],24,FALSE)</f>
        <v>4.9656668892531348</v>
      </c>
      <c r="AF216" s="43"/>
    </row>
    <row r="217" spans="1:32" ht="30" x14ac:dyDescent="0.25">
      <c r="A217" s="360">
        <v>17572</v>
      </c>
      <c r="B217" s="233" t="str">
        <f>VLOOKUP(Table3[[#This Row],[Document ID]],Table1[],2,FALSE)</f>
        <v>PRK</v>
      </c>
      <c r="C217" s="233" t="str">
        <f>VLOOKUP(Table3[[#This Row],[Document ID]],Table1[],3,FALSE)</f>
        <v>Democratic People's Republic of Korea</v>
      </c>
      <c r="D217" s="233" t="str">
        <f>VLOOKUP(Table3[[#This Row],[Document ID]],Table1[],5,FALSE)</f>
        <v>NDC</v>
      </c>
      <c r="E217" s="233" t="str">
        <f>VLOOKUP(Table3[[#This Row],[Document ID]],Table1[],7,FALSE)</f>
        <v>First NDC</v>
      </c>
      <c r="F217" s="233" t="str">
        <f>VLOOKUP(Table3[[#This Row],[Document ID]],Table1[],8,FALSE)</f>
        <v>NDC 1.0</v>
      </c>
      <c r="G217" s="233" t="str">
        <f>VLOOKUP(Table3[[#This Row],[Document ID]],Table1[],10,FALSE)</f>
        <v>Archived</v>
      </c>
      <c r="H217" s="216" t="s">
        <v>1089</v>
      </c>
      <c r="I217" s="216" t="s">
        <v>1089</v>
      </c>
      <c r="J217" s="43" t="s">
        <v>1090</v>
      </c>
      <c r="K217" s="28" t="s">
        <v>1091</v>
      </c>
      <c r="L217" s="216" t="s">
        <v>1092</v>
      </c>
      <c r="M217" s="209">
        <v>2030</v>
      </c>
      <c r="N217" s="176" t="s">
        <v>1335</v>
      </c>
      <c r="O217" s="258" t="s">
        <v>1094</v>
      </c>
      <c r="P217" s="238" t="str">
        <f>VLOOKUP(_xlfn.CONCAT(Table3[[#This Row],[Target area]],Table3[[#This Row],[GHG target?]],Table3[[#This Row],[Conditionality]]),'Drop down'!$E$81:$F$101,2,FALSE)</f>
        <v>T_Economy_C</v>
      </c>
      <c r="Q217" s="239" t="str">
        <f>VLOOKUP(Table3[[#This Row],[Target type]],Table418[[Value name]:[Value idenifyer]],2,FALSE)</f>
        <v>T_BAU</v>
      </c>
      <c r="V217" s="233" t="str">
        <f>VLOOKUP(Table3[[#This Row],[Country Code]],Table29[],3,FALSE)</f>
        <v>Non-Annex I</v>
      </c>
      <c r="W217" s="233" t="str">
        <f>VLOOKUP(Table3[[#This Row],[Country Code]],Table29[],4,FALSE)</f>
        <v>Asia</v>
      </c>
      <c r="X217" s="233" t="str">
        <f>VLOOKUP(Table3[[#This Row],[Country Code]],Table29[],5,FALSE)</f>
        <v>Low-income</v>
      </c>
      <c r="Y217" s="233" t="str">
        <f>VLOOKUP(Table3[[#This Row],[Country Code]],Table29[],6,FALSE)</f>
        <v>no</v>
      </c>
      <c r="Z217" s="233" t="str">
        <f>VLOOKUP(Table3[[#This Row],[Country Code]],Table29[],7,FALSE)</f>
        <v>no</v>
      </c>
      <c r="AA217" s="233" t="str">
        <f>VLOOKUP(Table3[[#This Row],[Country Code]],Table29[],8,FALSE)</f>
        <v>non-OECD</v>
      </c>
      <c r="AB217" s="233" t="str">
        <f>VLOOKUP(Table3[[#This Row],[Country Code]],Table29[],9,FALSE)</f>
        <v>no</v>
      </c>
      <c r="AC217" s="233" t="str">
        <f>VLOOKUP(Table3[[#This Row],[Country Code]],Table29[],10,FALSE)</f>
        <v>no</v>
      </c>
      <c r="AD217" s="235">
        <f>VLOOKUP(Table3[[#This Row],[Country Code]],Table29[],23,FALSE)</f>
        <v>90.148479942172997</v>
      </c>
      <c r="AE217" s="235">
        <f>VLOOKUP(Table3[[#This Row],[Country Code]],Table29[],24,FALSE)</f>
        <v>4.9656668892531348</v>
      </c>
      <c r="AF217" s="43"/>
    </row>
    <row r="218" spans="1:32" x14ac:dyDescent="0.25">
      <c r="A218" s="360">
        <v>26779</v>
      </c>
      <c r="B218" s="233" t="str">
        <f>VLOOKUP(Table3[[#This Row],[Document ID]],Table1[],2,FALSE)</f>
        <v>COD</v>
      </c>
      <c r="C218" s="233" t="str">
        <f>VLOOKUP(Table3[[#This Row],[Document ID]],Table1[],3,FALSE)</f>
        <v>Democratic Republic of the Congo</v>
      </c>
      <c r="D218" s="233" t="str">
        <f>VLOOKUP(Table3[[#This Row],[Document ID]],Table1[],5,FALSE)</f>
        <v>NDC</v>
      </c>
      <c r="E218" s="233" t="str">
        <f>VLOOKUP(Table3[[#This Row],[Document ID]],Table1[],7,FALSE)</f>
        <v>First NDC updated</v>
      </c>
      <c r="F218" s="233" t="str">
        <f>VLOOKUP(Table3[[#This Row],[Document ID]],Table1[],8,FALSE)</f>
        <v>NDC 1.1</v>
      </c>
      <c r="G218" s="233" t="str">
        <f>VLOOKUP(Table3[[#This Row],[Document ID]],Table1[],10,FALSE)</f>
        <v>Active</v>
      </c>
      <c r="H218" s="216" t="s">
        <v>1089</v>
      </c>
      <c r="I218" s="216" t="s">
        <v>1089</v>
      </c>
      <c r="J218" s="43" t="s">
        <v>1090</v>
      </c>
      <c r="K218" s="28" t="s">
        <v>1091</v>
      </c>
      <c r="L218" s="216" t="s">
        <v>1092</v>
      </c>
      <c r="M218" s="209">
        <v>2030</v>
      </c>
      <c r="N218" s="17" t="s">
        <v>1336</v>
      </c>
      <c r="O218" s="258" t="s">
        <v>1337</v>
      </c>
      <c r="P218" s="238" t="str">
        <f>VLOOKUP(_xlfn.CONCAT(Table3[[#This Row],[Target area]],Table3[[#This Row],[GHG target?]],Table3[[#This Row],[Conditionality]]),'Drop down'!$E$81:$F$101,2,FALSE)</f>
        <v>T_Economy_C</v>
      </c>
      <c r="Q218" s="239" t="str">
        <f>VLOOKUP(Table3[[#This Row],[Target type]],Table418[[Value name]:[Value idenifyer]],2,FALSE)</f>
        <v>T_BAU</v>
      </c>
      <c r="V218" s="233" t="str">
        <f>VLOOKUP(Table3[[#This Row],[Country Code]],Table29[],3,FALSE)</f>
        <v>Non-Annex I</v>
      </c>
      <c r="W218" s="233" t="str">
        <f>VLOOKUP(Table3[[#This Row],[Country Code]],Table29[],4,FALSE)</f>
        <v>Africa</v>
      </c>
      <c r="X218" s="233" t="str">
        <f>VLOOKUP(Table3[[#This Row],[Country Code]],Table29[],5,FALSE)</f>
        <v>Low-income</v>
      </c>
      <c r="Y218" s="233" t="str">
        <f>VLOOKUP(Table3[[#This Row],[Country Code]],Table29[],6,FALSE)</f>
        <v>no</v>
      </c>
      <c r="Z218" s="233" t="str">
        <f>VLOOKUP(Table3[[#This Row],[Country Code]],Table29[],7,FALSE)</f>
        <v>no</v>
      </c>
      <c r="AA218" s="233" t="str">
        <f>VLOOKUP(Table3[[#This Row],[Country Code]],Table29[],8,FALSE)</f>
        <v>non-OECD</v>
      </c>
      <c r="AB218" s="233" t="str">
        <f>VLOOKUP(Table3[[#This Row],[Country Code]],Table29[],9,FALSE)</f>
        <v>no</v>
      </c>
      <c r="AC218" s="233" t="str">
        <f>VLOOKUP(Table3[[#This Row],[Country Code]],Table29[],10,FALSE)</f>
        <v>no</v>
      </c>
      <c r="AD218" s="235">
        <f>VLOOKUP(Table3[[#This Row],[Country Code]],Table29[],23,FALSE)</f>
        <v>56.105911645372998</v>
      </c>
      <c r="AE218" s="235">
        <f>VLOOKUP(Table3[[#This Row],[Country Code]],Table29[],24,FALSE)</f>
        <v>2.8181763967662752</v>
      </c>
      <c r="AF218" s="43"/>
    </row>
    <row r="219" spans="1:32" x14ac:dyDescent="0.25">
      <c r="A219" s="360">
        <v>26779</v>
      </c>
      <c r="B219" s="233" t="str">
        <f>VLOOKUP(Table3[[#This Row],[Document ID]],Table1[],2,FALSE)</f>
        <v>COD</v>
      </c>
      <c r="C219" s="233" t="str">
        <f>VLOOKUP(Table3[[#This Row],[Document ID]],Table1[],3,FALSE)</f>
        <v>Democratic Republic of the Congo</v>
      </c>
      <c r="D219" s="233" t="str">
        <f>VLOOKUP(Table3[[#This Row],[Document ID]],Table1[],5,FALSE)</f>
        <v>NDC</v>
      </c>
      <c r="E219" s="233" t="str">
        <f>VLOOKUP(Table3[[#This Row],[Document ID]],Table1[],7,FALSE)</f>
        <v>First NDC updated</v>
      </c>
      <c r="F219" s="233" t="str">
        <f>VLOOKUP(Table3[[#This Row],[Document ID]],Table1[],8,FALSE)</f>
        <v>NDC 1.1</v>
      </c>
      <c r="G219" s="233" t="str">
        <f>VLOOKUP(Table3[[#This Row],[Document ID]],Table1[],10,FALSE)</f>
        <v>Active</v>
      </c>
      <c r="H219" s="216" t="s">
        <v>1089</v>
      </c>
      <c r="I219" s="216" t="s">
        <v>1089</v>
      </c>
      <c r="J219" s="43" t="s">
        <v>1090</v>
      </c>
      <c r="K219" s="28" t="s">
        <v>1091</v>
      </c>
      <c r="L219" s="42" t="s">
        <v>1099</v>
      </c>
      <c r="M219" s="209">
        <v>2030</v>
      </c>
      <c r="N219" s="17" t="s">
        <v>1336</v>
      </c>
      <c r="O219" s="258" t="s">
        <v>1337</v>
      </c>
      <c r="P219" s="238" t="str">
        <f>VLOOKUP(_xlfn.CONCAT(Table3[[#This Row],[Target area]],Table3[[#This Row],[GHG target?]],Table3[[#This Row],[Conditionality]]),'Drop down'!$E$81:$F$101,2,FALSE)</f>
        <v>T_Economy_Unc</v>
      </c>
      <c r="Q219" s="239" t="str">
        <f>VLOOKUP(Table3[[#This Row],[Target type]],Table418[[Value name]:[Value idenifyer]],2,FALSE)</f>
        <v>T_BAU</v>
      </c>
      <c r="V219" s="233" t="str">
        <f>VLOOKUP(Table3[[#This Row],[Country Code]],Table29[],3,FALSE)</f>
        <v>Non-Annex I</v>
      </c>
      <c r="W219" s="233" t="str">
        <f>VLOOKUP(Table3[[#This Row],[Country Code]],Table29[],4,FALSE)</f>
        <v>Africa</v>
      </c>
      <c r="X219" s="233" t="str">
        <f>VLOOKUP(Table3[[#This Row],[Country Code]],Table29[],5,FALSE)</f>
        <v>Low-income</v>
      </c>
      <c r="Y219" s="233" t="str">
        <f>VLOOKUP(Table3[[#This Row],[Country Code]],Table29[],6,FALSE)</f>
        <v>no</v>
      </c>
      <c r="Z219" s="233" t="str">
        <f>VLOOKUP(Table3[[#This Row],[Country Code]],Table29[],7,FALSE)</f>
        <v>no</v>
      </c>
      <c r="AA219" s="233" t="str">
        <f>VLOOKUP(Table3[[#This Row],[Country Code]],Table29[],8,FALSE)</f>
        <v>non-OECD</v>
      </c>
      <c r="AB219" s="233" t="str">
        <f>VLOOKUP(Table3[[#This Row],[Country Code]],Table29[],9,FALSE)</f>
        <v>no</v>
      </c>
      <c r="AC219" s="233" t="str">
        <f>VLOOKUP(Table3[[#This Row],[Country Code]],Table29[],10,FALSE)</f>
        <v>no</v>
      </c>
      <c r="AD219" s="235">
        <f>VLOOKUP(Table3[[#This Row],[Country Code]],Table29[],23,FALSE)</f>
        <v>56.105911645372998</v>
      </c>
      <c r="AE219" s="235">
        <f>VLOOKUP(Table3[[#This Row],[Country Code]],Table29[],24,FALSE)</f>
        <v>2.8181763967662752</v>
      </c>
      <c r="AF219" s="43"/>
    </row>
    <row r="220" spans="1:32" x14ac:dyDescent="0.25">
      <c r="A220" s="360">
        <v>17574</v>
      </c>
      <c r="B220" s="233" t="str">
        <f>VLOOKUP(Table3[[#This Row],[Document ID]],Table1[],2,FALSE)</f>
        <v>COD</v>
      </c>
      <c r="C220" s="233" t="str">
        <f>VLOOKUP(Table3[[#This Row],[Document ID]],Table1[],3,FALSE)</f>
        <v>Democratic Republic of the Congo</v>
      </c>
      <c r="D220" s="233" t="str">
        <f>VLOOKUP(Table3[[#This Row],[Document ID]],Table1[],5,FALSE)</f>
        <v>NDC</v>
      </c>
      <c r="E220" s="233" t="str">
        <f>VLOOKUP(Table3[[#This Row],[Document ID]],Table1[],7,FALSE)</f>
        <v>First NDC</v>
      </c>
      <c r="F220" s="233" t="str">
        <f>VLOOKUP(Table3[[#This Row],[Document ID]],Table1[],8,FALSE)</f>
        <v>NDC 1.0</v>
      </c>
      <c r="G220" s="233" t="str">
        <f>VLOOKUP(Table3[[#This Row],[Document ID]],Table1[],10,FALSE)</f>
        <v>Archived</v>
      </c>
      <c r="H220" s="216" t="s">
        <v>1089</v>
      </c>
      <c r="I220" s="216" t="s">
        <v>1089</v>
      </c>
      <c r="J220" s="43" t="s">
        <v>1090</v>
      </c>
      <c r="K220" s="28" t="s">
        <v>1091</v>
      </c>
      <c r="L220" s="42" t="s">
        <v>1099</v>
      </c>
      <c r="M220" s="209">
        <v>2030</v>
      </c>
      <c r="N220" s="176" t="s">
        <v>1338</v>
      </c>
      <c r="O220" s="258" t="s">
        <v>1094</v>
      </c>
      <c r="P220" s="238" t="str">
        <f>VLOOKUP(_xlfn.CONCAT(Table3[[#This Row],[Target area]],Table3[[#This Row],[GHG target?]],Table3[[#This Row],[Conditionality]]),'Drop down'!$E$81:$F$101,2,FALSE)</f>
        <v>T_Economy_Unc</v>
      </c>
      <c r="Q220" s="239" t="str">
        <f>VLOOKUP(Table3[[#This Row],[Target type]],Table418[[Value name]:[Value idenifyer]],2,FALSE)</f>
        <v>T_BAU</v>
      </c>
      <c r="V220" s="233" t="str">
        <f>VLOOKUP(Table3[[#This Row],[Country Code]],Table29[],3,FALSE)</f>
        <v>Non-Annex I</v>
      </c>
      <c r="W220" s="233" t="str">
        <f>VLOOKUP(Table3[[#This Row],[Country Code]],Table29[],4,FALSE)</f>
        <v>Africa</v>
      </c>
      <c r="X220" s="233" t="str">
        <f>VLOOKUP(Table3[[#This Row],[Country Code]],Table29[],5,FALSE)</f>
        <v>Low-income</v>
      </c>
      <c r="Y220" s="233" t="str">
        <f>VLOOKUP(Table3[[#This Row],[Country Code]],Table29[],6,FALSE)</f>
        <v>no</v>
      </c>
      <c r="Z220" s="233" t="str">
        <f>VLOOKUP(Table3[[#This Row],[Country Code]],Table29[],7,FALSE)</f>
        <v>no</v>
      </c>
      <c r="AA220" s="233" t="str">
        <f>VLOOKUP(Table3[[#This Row],[Country Code]],Table29[],8,FALSE)</f>
        <v>non-OECD</v>
      </c>
      <c r="AB220" s="233" t="str">
        <f>VLOOKUP(Table3[[#This Row],[Country Code]],Table29[],9,FALSE)</f>
        <v>no</v>
      </c>
      <c r="AC220" s="233" t="str">
        <f>VLOOKUP(Table3[[#This Row],[Country Code]],Table29[],10,FALSE)</f>
        <v>no</v>
      </c>
      <c r="AD220" s="235">
        <f>VLOOKUP(Table3[[#This Row],[Country Code]],Table29[],23,FALSE)</f>
        <v>56.105911645372998</v>
      </c>
      <c r="AE220" s="235">
        <f>VLOOKUP(Table3[[#This Row],[Country Code]],Table29[],24,FALSE)</f>
        <v>2.8181763967662752</v>
      </c>
      <c r="AF220" s="43"/>
    </row>
    <row r="221" spans="1:32" ht="30" x14ac:dyDescent="0.25">
      <c r="A221" s="360">
        <v>17575</v>
      </c>
      <c r="B221" s="233" t="str">
        <f>VLOOKUP(Table3[[#This Row],[Document ID]],Table1[],2,FALSE)</f>
        <v>DNK</v>
      </c>
      <c r="C221" s="233" t="str">
        <f>VLOOKUP(Table3[[#This Row],[Document ID]],Table1[],3,FALSE)</f>
        <v>Denmark</v>
      </c>
      <c r="D221" s="233" t="str">
        <f>VLOOKUP(Table3[[#This Row],[Document ID]],Table1[],5,FALSE)</f>
        <v>LTS</v>
      </c>
      <c r="E221" s="233" t="str">
        <f>VLOOKUP(Table3[[#This Row],[Document ID]],Table1[],7,FALSE)</f>
        <v>LTS</v>
      </c>
      <c r="F221" s="233" t="str">
        <f>VLOOKUP(Table3[[#This Row],[Document ID]],Table1[],8,FALSE)</f>
        <v>LTS 1.0</v>
      </c>
      <c r="G221" s="233" t="str">
        <f>VLOOKUP(Table3[[#This Row],[Document ID]],Table1[],10,FALSE)</f>
        <v>Active</v>
      </c>
      <c r="H221" s="216" t="s">
        <v>1089</v>
      </c>
      <c r="I221" s="216" t="s">
        <v>1089</v>
      </c>
      <c r="J221" s="43" t="s">
        <v>1090</v>
      </c>
      <c r="K221" s="28" t="s">
        <v>1121</v>
      </c>
      <c r="L221" s="42" t="s">
        <v>1099</v>
      </c>
      <c r="M221" s="209">
        <v>2050</v>
      </c>
      <c r="N221" s="44" t="s">
        <v>1339</v>
      </c>
      <c r="O221" s="221">
        <v>2</v>
      </c>
      <c r="P221" s="238" t="str">
        <f>VLOOKUP(_xlfn.CONCAT(Table3[[#This Row],[Target area]],Table3[[#This Row],[GHG target?]],Table3[[#This Row],[Conditionality]]),'Drop down'!$E$81:$F$101,2,FALSE)</f>
        <v>T_Economy_Unc</v>
      </c>
      <c r="Q221" s="239" t="str">
        <f>VLOOKUP(Table3[[#This Row],[Target type]],Table418[[Value name]:[Value idenifyer]],2,FALSE)</f>
        <v>T_FL</v>
      </c>
      <c r="T221" s="234" t="s">
        <v>1113</v>
      </c>
      <c r="V221" s="233" t="str">
        <f>VLOOKUP(Table3[[#This Row],[Country Code]],Table29[],3,FALSE)</f>
        <v>Annex I</v>
      </c>
      <c r="W221" s="233" t="str">
        <f>VLOOKUP(Table3[[#This Row],[Country Code]],Table29[],4,FALSE)</f>
        <v>Europe</v>
      </c>
      <c r="X221" s="233" t="str">
        <f>VLOOKUP(Table3[[#This Row],[Country Code]],Table29[],5,FALSE)</f>
        <v>High-income</v>
      </c>
      <c r="Y221" s="233" t="str">
        <f>VLOOKUP(Table3[[#This Row],[Country Code]],Table29[],6,FALSE)</f>
        <v>no</v>
      </c>
      <c r="Z221" s="233" t="str">
        <f>VLOOKUP(Table3[[#This Row],[Country Code]],Table29[],7,FALSE)</f>
        <v>no</v>
      </c>
      <c r="AA221" s="233" t="str">
        <f>VLOOKUP(Table3[[#This Row],[Country Code]],Table29[],8,FALSE)</f>
        <v>OECD</v>
      </c>
      <c r="AB221" s="233" t="str">
        <f>VLOOKUP(Table3[[#This Row],[Country Code]],Table29[],9,FALSE)</f>
        <v>EU27</v>
      </c>
      <c r="AC221" s="233" t="str">
        <f>VLOOKUP(Table3[[#This Row],[Country Code]],Table29[],10,FALSE)</f>
        <v>no</v>
      </c>
      <c r="AD221" s="235">
        <f>VLOOKUP(Table3[[#This Row],[Country Code]],Table29[],23,FALSE)</f>
        <v>41.831473036828001</v>
      </c>
      <c r="AE221" s="235">
        <f>VLOOKUP(Table3[[#This Row],[Country Code]],Table29[],24,FALSE)</f>
        <v>11.369548725375189</v>
      </c>
      <c r="AF221" s="43"/>
    </row>
    <row r="222" spans="1:32" x14ac:dyDescent="0.25">
      <c r="A222" s="360">
        <v>17577</v>
      </c>
      <c r="B222" s="233" t="str">
        <f>VLOOKUP(Table3[[#This Row],[Document ID]],Table1[],2,FALSE)</f>
        <v>DJI</v>
      </c>
      <c r="C222" s="233" t="str">
        <f>VLOOKUP(Table3[[#This Row],[Document ID]],Table1[],3,FALSE)</f>
        <v>Djibouti</v>
      </c>
      <c r="D222" s="233" t="str">
        <f>VLOOKUP(Table3[[#This Row],[Document ID]],Table1[],5,FALSE)</f>
        <v>NDC</v>
      </c>
      <c r="E222" s="233" t="str">
        <f>VLOOKUP(Table3[[#This Row],[Document ID]],Table1[],7,FALSE)</f>
        <v>First NDC</v>
      </c>
      <c r="F222" s="233" t="str">
        <f>VLOOKUP(Table3[[#This Row],[Document ID]],Table1[],8,FALSE)</f>
        <v>NDC 1.0</v>
      </c>
      <c r="G222" s="233" t="str">
        <f>VLOOKUP(Table3[[#This Row],[Document ID]],Table1[],10,FALSE)</f>
        <v>Active</v>
      </c>
      <c r="H222" s="216" t="s">
        <v>1089</v>
      </c>
      <c r="I222" s="216" t="s">
        <v>1089</v>
      </c>
      <c r="J222" s="43" t="s">
        <v>1090</v>
      </c>
      <c r="K222" s="28" t="s">
        <v>1091</v>
      </c>
      <c r="L222" s="42" t="s">
        <v>1099</v>
      </c>
      <c r="M222" s="209">
        <v>2030</v>
      </c>
      <c r="N222" s="176" t="s">
        <v>1340</v>
      </c>
      <c r="O222" s="258" t="s">
        <v>1094</v>
      </c>
      <c r="P222" s="238" t="str">
        <f>VLOOKUP(_xlfn.CONCAT(Table3[[#This Row],[Target area]],Table3[[#This Row],[GHG target?]],Table3[[#This Row],[Conditionality]]),'Drop down'!$E$81:$F$101,2,FALSE)</f>
        <v>T_Economy_Unc</v>
      </c>
      <c r="Q222" s="239" t="str">
        <f>VLOOKUP(Table3[[#This Row],[Target type]],Table418[[Value name]:[Value idenifyer]],2,FALSE)</f>
        <v>T_BAU</v>
      </c>
      <c r="V222" s="233" t="str">
        <f>VLOOKUP(Table3[[#This Row],[Country Code]],Table29[],3,FALSE)</f>
        <v>Non-Annex I</v>
      </c>
      <c r="W222" s="233" t="str">
        <f>VLOOKUP(Table3[[#This Row],[Country Code]],Table29[],4,FALSE)</f>
        <v>Africa</v>
      </c>
      <c r="X222" s="233" t="str">
        <f>VLOOKUP(Table3[[#This Row],[Country Code]],Table29[],5,FALSE)</f>
        <v>Middle-income</v>
      </c>
      <c r="Y222" s="233" t="str">
        <f>VLOOKUP(Table3[[#This Row],[Country Code]],Table29[],6,FALSE)</f>
        <v>no</v>
      </c>
      <c r="Z222" s="233" t="str">
        <f>VLOOKUP(Table3[[#This Row],[Country Code]],Table29[],7,FALSE)</f>
        <v>no</v>
      </c>
      <c r="AA222" s="233" t="str">
        <f>VLOOKUP(Table3[[#This Row],[Country Code]],Table29[],8,FALSE)</f>
        <v>non-OECD</v>
      </c>
      <c r="AB222" s="233" t="str">
        <f>VLOOKUP(Table3[[#This Row],[Country Code]],Table29[],9,FALSE)</f>
        <v>no</v>
      </c>
      <c r="AC222" s="233" t="str">
        <f>VLOOKUP(Table3[[#This Row],[Country Code]],Table29[],10,FALSE)</f>
        <v>MENA</v>
      </c>
      <c r="AD222" s="235">
        <f>VLOOKUP(Table3[[#This Row],[Country Code]],Table29[],23,FALSE)</f>
        <v>2.1324079847021999</v>
      </c>
      <c r="AE222" s="235">
        <f>VLOOKUP(Table3[[#This Row],[Country Code]],Table29[],24,FALSE)</f>
        <v>0.3545557540757589</v>
      </c>
      <c r="AF222" s="43"/>
    </row>
    <row r="223" spans="1:32" x14ac:dyDescent="0.25">
      <c r="A223" s="360">
        <v>17577</v>
      </c>
      <c r="B223" s="233" t="str">
        <f>VLOOKUP(Table3[[#This Row],[Document ID]],Table1[],2,FALSE)</f>
        <v>DJI</v>
      </c>
      <c r="C223" s="233" t="str">
        <f>VLOOKUP(Table3[[#This Row],[Document ID]],Table1[],3,FALSE)</f>
        <v>Djibouti</v>
      </c>
      <c r="D223" s="233" t="str">
        <f>VLOOKUP(Table3[[#This Row],[Document ID]],Table1[],5,FALSE)</f>
        <v>NDC</v>
      </c>
      <c r="E223" s="233" t="str">
        <f>VLOOKUP(Table3[[#This Row],[Document ID]],Table1[],7,FALSE)</f>
        <v>First NDC</v>
      </c>
      <c r="F223" s="233" t="str">
        <f>VLOOKUP(Table3[[#This Row],[Document ID]],Table1[],8,FALSE)</f>
        <v>NDC 1.0</v>
      </c>
      <c r="G223" s="233" t="str">
        <f>VLOOKUP(Table3[[#This Row],[Document ID]],Table1[],10,FALSE)</f>
        <v>Active</v>
      </c>
      <c r="H223" s="216" t="s">
        <v>1089</v>
      </c>
      <c r="I223" s="216" t="s">
        <v>1089</v>
      </c>
      <c r="J223" s="43" t="s">
        <v>1090</v>
      </c>
      <c r="K223" s="28" t="s">
        <v>1091</v>
      </c>
      <c r="L223" s="216" t="s">
        <v>1092</v>
      </c>
      <c r="M223" s="209">
        <v>2030</v>
      </c>
      <c r="N223" s="176" t="s">
        <v>1341</v>
      </c>
      <c r="O223" s="258" t="s">
        <v>1094</v>
      </c>
      <c r="P223" s="238" t="str">
        <f>VLOOKUP(_xlfn.CONCAT(Table3[[#This Row],[Target area]],Table3[[#This Row],[GHG target?]],Table3[[#This Row],[Conditionality]]),'Drop down'!$E$81:$F$101,2,FALSE)</f>
        <v>T_Economy_C</v>
      </c>
      <c r="Q223" s="239" t="str">
        <f>VLOOKUP(Table3[[#This Row],[Target type]],Table418[[Value name]:[Value idenifyer]],2,FALSE)</f>
        <v>T_BAU</v>
      </c>
      <c r="V223" s="233" t="str">
        <f>VLOOKUP(Table3[[#This Row],[Country Code]],Table29[],3,FALSE)</f>
        <v>Non-Annex I</v>
      </c>
      <c r="W223" s="233" t="str">
        <f>VLOOKUP(Table3[[#This Row],[Country Code]],Table29[],4,FALSE)</f>
        <v>Africa</v>
      </c>
      <c r="X223" s="233" t="str">
        <f>VLOOKUP(Table3[[#This Row],[Country Code]],Table29[],5,FALSE)</f>
        <v>Middle-income</v>
      </c>
      <c r="Y223" s="233" t="str">
        <f>VLOOKUP(Table3[[#This Row],[Country Code]],Table29[],6,FALSE)</f>
        <v>no</v>
      </c>
      <c r="Z223" s="233" t="str">
        <f>VLOOKUP(Table3[[#This Row],[Country Code]],Table29[],7,FALSE)</f>
        <v>no</v>
      </c>
      <c r="AA223" s="233" t="str">
        <f>VLOOKUP(Table3[[#This Row],[Country Code]],Table29[],8,FALSE)</f>
        <v>non-OECD</v>
      </c>
      <c r="AB223" s="233" t="str">
        <f>VLOOKUP(Table3[[#This Row],[Country Code]],Table29[],9,FALSE)</f>
        <v>no</v>
      </c>
      <c r="AC223" s="233" t="str">
        <f>VLOOKUP(Table3[[#This Row],[Country Code]],Table29[],10,FALSE)</f>
        <v>MENA</v>
      </c>
      <c r="AD223" s="235">
        <f>VLOOKUP(Table3[[#This Row],[Country Code]],Table29[],23,FALSE)</f>
        <v>2.1324079847021999</v>
      </c>
      <c r="AE223" s="235">
        <f>VLOOKUP(Table3[[#This Row],[Country Code]],Table29[],24,FALSE)</f>
        <v>0.3545557540757589</v>
      </c>
      <c r="AF223" s="43"/>
    </row>
    <row r="224" spans="1:32" ht="30" x14ac:dyDescent="0.25">
      <c r="A224" s="383">
        <v>39438</v>
      </c>
      <c r="B224" s="233" t="str">
        <f>VLOOKUP(Table3[[#This Row],[Document ID]],Table1[],2,FALSE)</f>
        <v>AZE</v>
      </c>
      <c r="C224" s="233" t="str">
        <f>VLOOKUP(Table3[[#This Row],[Document ID]],Table1[],3,FALSE)</f>
        <v>Azerbaijan</v>
      </c>
      <c r="D224" s="233" t="str">
        <f>VLOOKUP(Table3[[#This Row],[Document ID]],Table1[],5,FALSE)</f>
        <v>NDC</v>
      </c>
      <c r="E224" s="233" t="str">
        <f>VLOOKUP(Table3[[#This Row],[Document ID]],Table1[],7,FALSE)</f>
        <v>Second NDC</v>
      </c>
      <c r="F224" s="253" t="str">
        <f>VLOOKUP(Table3[[#This Row],[Document ID]],Table1[],8,FALSE)</f>
        <v>NDC 2.0</v>
      </c>
      <c r="G224" s="233" t="str">
        <f>VLOOKUP(Table3[[#This Row],[Document ID]],Table1[],10,FALSE)</f>
        <v>Active</v>
      </c>
      <c r="H224" s="42" t="s">
        <v>1095</v>
      </c>
      <c r="I224" s="42" t="s">
        <v>1096</v>
      </c>
      <c r="J224" s="42" t="s">
        <v>1097</v>
      </c>
      <c r="K224" s="28" t="s">
        <v>1098</v>
      </c>
      <c r="L224" s="216" t="s">
        <v>1092</v>
      </c>
      <c r="M224" s="209">
        <v>2050</v>
      </c>
      <c r="N224" s="209" t="s">
        <v>1342</v>
      </c>
      <c r="O224" s="258">
        <v>58</v>
      </c>
      <c r="P224" s="238" t="str">
        <f>VLOOKUP(_xlfn.CONCAT(Table3[[#This Row],[Target area]],Table3[[#This Row],[GHG target?]],Table3[[#This Row],[Conditionality]]),'Drop down'!$E$81:$F$101,2,FALSE)</f>
        <v>T_Transport_O_C</v>
      </c>
      <c r="Q224" s="239" t="str">
        <f>VLOOKUP(Table3[[#This Row],[Target type]],Table418[[Value name]:[Value idenifyer]],2,FALSE)</f>
        <v>T_O_MODE</v>
      </c>
      <c r="S224" s="233" t="s">
        <v>1125</v>
      </c>
      <c r="T224" s="240"/>
      <c r="V224" s="233" t="str">
        <f>VLOOKUP(Table3[[#This Row],[Country Code]],Table29[],3,FALSE)</f>
        <v>Non-Annex I</v>
      </c>
      <c r="W224" s="233" t="str">
        <f>VLOOKUP(Table3[[#This Row],[Country Code]],Table29[],4,FALSE)</f>
        <v>Asia</v>
      </c>
      <c r="X224" s="233" t="str">
        <f>VLOOKUP(Table3[[#This Row],[Country Code]],Table29[],5,FALSE)</f>
        <v>Middle-income</v>
      </c>
      <c r="Y224" s="233" t="str">
        <f>VLOOKUP(Table3[[#This Row],[Country Code]],Table29[],6,FALSE)</f>
        <v>no</v>
      </c>
      <c r="Z224" s="233" t="str">
        <f>VLOOKUP(Table3[[#This Row],[Country Code]],Table29[],7,FALSE)</f>
        <v>no</v>
      </c>
      <c r="AA224" s="233" t="str">
        <f>VLOOKUP(Table3[[#This Row],[Country Code]],Table29[],8,FALSE)</f>
        <v>non-OECD</v>
      </c>
      <c r="AB224" s="233" t="str">
        <f>VLOOKUP(Table3[[#This Row],[Country Code]],Table29[],9,FALSE)</f>
        <v>no</v>
      </c>
      <c r="AC224" s="233" t="str">
        <f>VLOOKUP(Table3[[#This Row],[Country Code]],Table29[],10,FALSE)</f>
        <v>no</v>
      </c>
      <c r="AD224" s="235">
        <f>VLOOKUP(Table3[[#This Row],[Country Code]],Table29[],23,FALSE)</f>
        <v>62.550294041306003</v>
      </c>
      <c r="AE224" s="235">
        <f>VLOOKUP(Table3[[#This Row],[Country Code]],Table29[],24,FALSE)</f>
        <v>8.4493328883147889</v>
      </c>
      <c r="AF224" s="42"/>
    </row>
    <row r="225" spans="1:32" ht="30" x14ac:dyDescent="0.25">
      <c r="A225" s="383">
        <v>39438</v>
      </c>
      <c r="B225" s="233" t="str">
        <f>VLOOKUP(Table3[[#This Row],[Document ID]],Table1[],2,FALSE)</f>
        <v>AZE</v>
      </c>
      <c r="C225" s="233" t="str">
        <f>VLOOKUP(Table3[[#This Row],[Document ID]],Table1[],3,FALSE)</f>
        <v>Azerbaijan</v>
      </c>
      <c r="D225" s="233" t="str">
        <f>VLOOKUP(Table3[[#This Row],[Document ID]],Table1[],5,FALSE)</f>
        <v>NDC</v>
      </c>
      <c r="E225" s="233" t="str">
        <f>VLOOKUP(Table3[[#This Row],[Document ID]],Table1[],7,FALSE)</f>
        <v>Second NDC</v>
      </c>
      <c r="F225" s="253" t="str">
        <f>VLOOKUP(Table3[[#This Row],[Document ID]],Table1[],8,FALSE)</f>
        <v>NDC 2.0</v>
      </c>
      <c r="G225" s="233" t="str">
        <f>VLOOKUP(Table3[[#This Row],[Document ID]],Table1[],10,FALSE)</f>
        <v>Active</v>
      </c>
      <c r="H225" s="42" t="s">
        <v>1095</v>
      </c>
      <c r="I225" s="42" t="s">
        <v>1096</v>
      </c>
      <c r="J225" s="42" t="s">
        <v>1097</v>
      </c>
      <c r="K225" s="28" t="s">
        <v>1104</v>
      </c>
      <c r="L225" s="43" t="s">
        <v>1092</v>
      </c>
      <c r="M225" s="209">
        <v>2050</v>
      </c>
      <c r="N225" s="209" t="s">
        <v>1343</v>
      </c>
      <c r="O225" s="258">
        <v>58</v>
      </c>
      <c r="P225" s="238" t="str">
        <f>VLOOKUP(_xlfn.CONCAT(Table3[[#This Row],[Target area]],Table3[[#This Row],[GHG target?]],Table3[[#This Row],[Conditionality]]),'Drop down'!$E$81:$F$101,2,FALSE)</f>
        <v>T_Transport_O_C</v>
      </c>
      <c r="Q225" s="239" t="str">
        <f>VLOOKUP(Table3[[#This Row],[Target type]],Table418[[Value name]:[Value idenifyer]],2,FALSE)</f>
        <v>T_O_ZERO</v>
      </c>
      <c r="S225" s="233" t="s">
        <v>1125</v>
      </c>
      <c r="T225" s="240"/>
      <c r="V225" s="233" t="str">
        <f>VLOOKUP(Table3[[#This Row],[Country Code]],Table29[],3,FALSE)</f>
        <v>Non-Annex I</v>
      </c>
      <c r="W225" s="233" t="str">
        <f>VLOOKUP(Table3[[#This Row],[Country Code]],Table29[],4,FALSE)</f>
        <v>Asia</v>
      </c>
      <c r="X225" s="233" t="str">
        <f>VLOOKUP(Table3[[#This Row],[Country Code]],Table29[],5,FALSE)</f>
        <v>Middle-income</v>
      </c>
      <c r="Y225" s="233" t="str">
        <f>VLOOKUP(Table3[[#This Row],[Country Code]],Table29[],6,FALSE)</f>
        <v>no</v>
      </c>
      <c r="Z225" s="233" t="str">
        <f>VLOOKUP(Table3[[#This Row],[Country Code]],Table29[],7,FALSE)</f>
        <v>no</v>
      </c>
      <c r="AA225" s="233" t="str">
        <f>VLOOKUP(Table3[[#This Row],[Country Code]],Table29[],8,FALSE)</f>
        <v>non-OECD</v>
      </c>
      <c r="AB225" s="233" t="str">
        <f>VLOOKUP(Table3[[#This Row],[Country Code]],Table29[],9,FALSE)</f>
        <v>no</v>
      </c>
      <c r="AC225" s="233" t="str">
        <f>VLOOKUP(Table3[[#This Row],[Country Code]],Table29[],10,FALSE)</f>
        <v>no</v>
      </c>
      <c r="AD225" s="235">
        <f>VLOOKUP(Table3[[#This Row],[Country Code]],Table29[],23,FALSE)</f>
        <v>62.550294041306003</v>
      </c>
      <c r="AE225" s="235">
        <f>VLOOKUP(Table3[[#This Row],[Country Code]],Table29[],24,FALSE)</f>
        <v>8.4493328883147889</v>
      </c>
      <c r="AF225" s="42"/>
    </row>
    <row r="226" spans="1:32" ht="45" x14ac:dyDescent="0.25">
      <c r="A226" s="367">
        <v>39438</v>
      </c>
      <c r="B226" s="233" t="str">
        <f>VLOOKUP(Table3[[#This Row],[Document ID]],Table1[],2,FALSE)</f>
        <v>AZE</v>
      </c>
      <c r="C226" s="233" t="str">
        <f>VLOOKUP(Table3[[#This Row],[Document ID]],Table1[],3,FALSE)</f>
        <v>Azerbaijan</v>
      </c>
      <c r="D226" s="233" t="str">
        <f>VLOOKUP(Table3[[#This Row],[Document ID]],Table1[],5,FALSE)</f>
        <v>NDC</v>
      </c>
      <c r="E226" s="233" t="str">
        <f>VLOOKUP(Table3[[#This Row],[Document ID]],Table1[],7,FALSE)</f>
        <v>Second NDC</v>
      </c>
      <c r="F226" s="241" t="str">
        <f>VLOOKUP(Table3[[#This Row],[Document ID]],Table1[],8,FALSE)</f>
        <v>NDC 2.0</v>
      </c>
      <c r="G226" s="233" t="str">
        <f>VLOOKUP(Table3[[#This Row],[Document ID]],Table1[],10,FALSE)</f>
        <v>Active</v>
      </c>
      <c r="H226" s="42" t="s">
        <v>1095</v>
      </c>
      <c r="I226" s="43" t="s">
        <v>1115</v>
      </c>
      <c r="J226" s="43" t="s">
        <v>1090</v>
      </c>
      <c r="K226" s="28" t="s">
        <v>1091</v>
      </c>
      <c r="L226" s="43" t="s">
        <v>1092</v>
      </c>
      <c r="M226" s="209">
        <v>2050</v>
      </c>
      <c r="N226" s="209" t="s">
        <v>1344</v>
      </c>
      <c r="O226" s="258">
        <v>79</v>
      </c>
      <c r="P226" s="238" t="str">
        <f>VLOOKUP(_xlfn.CONCAT(Table3[[#This Row],[Target area]],Table3[[#This Row],[GHG target?]],Table3[[#This Row],[Conditionality]]),'Drop down'!$E$81:$F$101,2,FALSE)</f>
        <v>T_Transport_C</v>
      </c>
      <c r="Q226" s="239" t="str">
        <f>VLOOKUP(Table3[[#This Row],[Target type]],Table418[[Value name]:[Value idenifyer]],2,FALSE)</f>
        <v>T_BAU</v>
      </c>
      <c r="S226" s="233" t="s">
        <v>1125</v>
      </c>
      <c r="T226" s="240"/>
      <c r="V226" s="233" t="str">
        <f>VLOOKUP(Table3[[#This Row],[Country Code]],Table29[],3,FALSE)</f>
        <v>Non-Annex I</v>
      </c>
      <c r="W226" s="233" t="str">
        <f>VLOOKUP(Table3[[#This Row],[Country Code]],Table29[],4,FALSE)</f>
        <v>Asia</v>
      </c>
      <c r="X226" s="233" t="str">
        <f>VLOOKUP(Table3[[#This Row],[Country Code]],Table29[],5,FALSE)</f>
        <v>Middle-income</v>
      </c>
      <c r="Y226" s="233" t="str">
        <f>VLOOKUP(Table3[[#This Row],[Country Code]],Table29[],6,FALSE)</f>
        <v>no</v>
      </c>
      <c r="Z226" s="233" t="str">
        <f>VLOOKUP(Table3[[#This Row],[Country Code]],Table29[],7,FALSE)</f>
        <v>no</v>
      </c>
      <c r="AA226" s="233" t="str">
        <f>VLOOKUP(Table3[[#This Row],[Country Code]],Table29[],8,FALSE)</f>
        <v>non-OECD</v>
      </c>
      <c r="AB226" s="233" t="str">
        <f>VLOOKUP(Table3[[#This Row],[Country Code]],Table29[],9,FALSE)</f>
        <v>no</v>
      </c>
      <c r="AC226" s="233" t="str">
        <f>VLOOKUP(Table3[[#This Row],[Country Code]],Table29[],10,FALSE)</f>
        <v>no</v>
      </c>
      <c r="AD226" s="235">
        <f>VLOOKUP(Table3[[#This Row],[Country Code]],Table29[],23,FALSE)</f>
        <v>62.550294041306003</v>
      </c>
      <c r="AE226" s="235">
        <f>VLOOKUP(Table3[[#This Row],[Country Code]],Table29[],24,FALSE)</f>
        <v>8.4493328883147889</v>
      </c>
      <c r="AF226" s="42"/>
    </row>
    <row r="227" spans="1:32" ht="30" x14ac:dyDescent="0.25">
      <c r="A227" s="360">
        <v>26798</v>
      </c>
      <c r="B227" s="233" t="str">
        <f>VLOOKUP(Table3[[#This Row],[Document ID]],Table1[],2,FALSE)</f>
        <v>BOL</v>
      </c>
      <c r="C227" s="233" t="str">
        <f>VLOOKUP(Table3[[#This Row],[Document ID]],Table1[],3,FALSE)</f>
        <v>Bolivia (Plurinational State of)</v>
      </c>
      <c r="D227" s="233" t="str">
        <f>VLOOKUP(Table3[[#This Row],[Document ID]],Table1[],5,FALSE)</f>
        <v>NDC</v>
      </c>
      <c r="E227" s="233" t="str">
        <f>VLOOKUP(Table3[[#This Row],[Document ID]],Table1[],7,FALSE)</f>
        <v>Second NDC</v>
      </c>
      <c r="F227" s="233" t="str">
        <f>VLOOKUP(Table3[[#This Row],[Document ID]],Table1[],8,FALSE)</f>
        <v>NDC 2.0</v>
      </c>
      <c r="G227" s="233" t="str">
        <f>VLOOKUP(Table3[[#This Row],[Document ID]],Table1[],10,FALSE)</f>
        <v>Active</v>
      </c>
      <c r="H227" s="42" t="s">
        <v>1095</v>
      </c>
      <c r="I227" s="42" t="s">
        <v>1096</v>
      </c>
      <c r="J227" s="42" t="s">
        <v>1097</v>
      </c>
      <c r="K227" s="28" t="s">
        <v>1104</v>
      </c>
      <c r="L227" s="42" t="s">
        <v>1099</v>
      </c>
      <c r="M227" s="209">
        <v>2030</v>
      </c>
      <c r="N227" s="209" t="s">
        <v>1345</v>
      </c>
      <c r="O227" s="257">
        <v>17</v>
      </c>
      <c r="P227" s="238" t="str">
        <f>VLOOKUP(_xlfn.CONCAT(Table3[[#This Row],[Target area]],Table3[[#This Row],[GHG target?]],Table3[[#This Row],[Conditionality]]),'Drop down'!$E$81:$F$101,2,FALSE)</f>
        <v>T_Transport_O_Unc</v>
      </c>
      <c r="Q227" s="239" t="str">
        <f>VLOOKUP(Table3[[#This Row],[Target type]],Table418[[Value name]:[Value idenifyer]],2,FALSE)</f>
        <v>T_O_ZERO</v>
      </c>
      <c r="S227" s="233" t="s">
        <v>1101</v>
      </c>
      <c r="T227" s="240"/>
      <c r="U227" s="240"/>
      <c r="V227" s="233" t="str">
        <f>VLOOKUP(Table3[[#This Row],[Country Code]],Table29[],3,FALSE)</f>
        <v>Non-Annex I</v>
      </c>
      <c r="W227" s="233" t="str">
        <f>VLOOKUP(Table3[[#This Row],[Country Code]],Table29[],4,FALSE)</f>
        <v>Latin America and the Caribbean</v>
      </c>
      <c r="X227" s="233" t="str">
        <f>VLOOKUP(Table3[[#This Row],[Country Code]],Table29[],5,FALSE)</f>
        <v>Middle-income</v>
      </c>
      <c r="Y227" s="233" t="str">
        <f>VLOOKUP(Table3[[#This Row],[Country Code]],Table29[],6,FALSE)</f>
        <v>no</v>
      </c>
      <c r="Z227" s="233" t="str">
        <f>VLOOKUP(Table3[[#This Row],[Country Code]],Table29[],7,FALSE)</f>
        <v>no</v>
      </c>
      <c r="AA227" s="233" t="str">
        <f>VLOOKUP(Table3[[#This Row],[Country Code]],Table29[],8,FALSE)</f>
        <v>non-OECD</v>
      </c>
      <c r="AB227" s="233" t="str">
        <f>VLOOKUP(Table3[[#This Row],[Country Code]],Table29[],9,FALSE)</f>
        <v>no</v>
      </c>
      <c r="AC227" s="233" t="str">
        <f>VLOOKUP(Table3[[#This Row],[Country Code]],Table29[],10,FALSE)</f>
        <v>no</v>
      </c>
      <c r="AD227" s="235">
        <f>VLOOKUP(Table3[[#This Row],[Country Code]],Table29[],23,FALSE)</f>
        <v>55.185652756247002</v>
      </c>
      <c r="AE227" s="235">
        <f>VLOOKUP(Table3[[#This Row],[Country Code]],Table29[],24,FALSE)</f>
        <v>12.14226630499595</v>
      </c>
      <c r="AF227" s="43"/>
    </row>
    <row r="228" spans="1:32" x14ac:dyDescent="0.25">
      <c r="A228" s="360">
        <v>17562</v>
      </c>
      <c r="B228" s="233" t="str">
        <f>VLOOKUP(Table3[[#This Row],[Document ID]],Table1[],2,FALSE)</f>
        <v>CRI</v>
      </c>
      <c r="C228" s="233" t="str">
        <f>VLOOKUP(Table3[[#This Row],[Document ID]],Table1[],3,FALSE)</f>
        <v>Costa Rica</v>
      </c>
      <c r="D228" s="233" t="str">
        <f>VLOOKUP(Table3[[#This Row],[Document ID]],Table1[],5,FALSE)</f>
        <v>NDC</v>
      </c>
      <c r="E228" s="233" t="str">
        <f>VLOOKUP(Table3[[#This Row],[Document ID]],Table1[],7,FALSE)</f>
        <v>First NDC</v>
      </c>
      <c r="F228" s="233" t="str">
        <f>VLOOKUP(Table3[[#This Row],[Document ID]],Table1[],8,FALSE)</f>
        <v>NDC 1.0</v>
      </c>
      <c r="G228" s="233" t="str">
        <f>VLOOKUP(Table3[[#This Row],[Document ID]],Table1[],10,FALSE)</f>
        <v>Archived</v>
      </c>
      <c r="H228" s="216" t="s">
        <v>1089</v>
      </c>
      <c r="I228" s="216" t="s">
        <v>1089</v>
      </c>
      <c r="J228" s="43" t="s">
        <v>1090</v>
      </c>
      <c r="K228" s="28" t="s">
        <v>1091</v>
      </c>
      <c r="L228" s="42" t="s">
        <v>1099</v>
      </c>
      <c r="M228" s="209">
        <v>2030</v>
      </c>
      <c r="N228" s="176" t="s">
        <v>1346</v>
      </c>
      <c r="O228" s="258" t="s">
        <v>1094</v>
      </c>
      <c r="P228" s="238" t="str">
        <f>VLOOKUP(_xlfn.CONCAT(Table3[[#This Row],[Target area]],Table3[[#This Row],[GHG target?]],Table3[[#This Row],[Conditionality]]),'Drop down'!$E$81:$F$101,2,FALSE)</f>
        <v>T_Economy_Unc</v>
      </c>
      <c r="Q228" s="239" t="str">
        <f>VLOOKUP(Table3[[#This Row],[Target type]],Table418[[Value name]:[Value idenifyer]],2,FALSE)</f>
        <v>T_BAU</v>
      </c>
      <c r="T228" s="234" t="s">
        <v>1113</v>
      </c>
      <c r="U228" s="234" t="s">
        <v>1113</v>
      </c>
      <c r="V228" s="233" t="str">
        <f>VLOOKUP(Table3[[#This Row],[Country Code]],Table29[],3,FALSE)</f>
        <v>Non-Annex I</v>
      </c>
      <c r="W228" s="233" t="str">
        <f>VLOOKUP(Table3[[#This Row],[Country Code]],Table29[],4,FALSE)</f>
        <v>Latin America and the Caribbean</v>
      </c>
      <c r="X228" s="233" t="str">
        <f>VLOOKUP(Table3[[#This Row],[Country Code]],Table29[],5,FALSE)</f>
        <v>Middle-income</v>
      </c>
      <c r="Y228" s="233" t="str">
        <f>VLOOKUP(Table3[[#This Row],[Country Code]],Table29[],6,FALSE)</f>
        <v>no</v>
      </c>
      <c r="Z228" s="233" t="str">
        <f>VLOOKUP(Table3[[#This Row],[Country Code]],Table29[],7,FALSE)</f>
        <v>no</v>
      </c>
      <c r="AA228" s="233" t="str">
        <f>VLOOKUP(Table3[[#This Row],[Country Code]],Table29[],8,FALSE)</f>
        <v>OECD</v>
      </c>
      <c r="AB228" s="233" t="str">
        <f>VLOOKUP(Table3[[#This Row],[Country Code]],Table29[],9,FALSE)</f>
        <v>no</v>
      </c>
      <c r="AC228" s="233" t="str">
        <f>VLOOKUP(Table3[[#This Row],[Country Code]],Table29[],10,FALSE)</f>
        <v>no</v>
      </c>
      <c r="AD228" s="235">
        <f>VLOOKUP(Table3[[#This Row],[Country Code]],Table29[],23,FALSE)</f>
        <v>16.468143919330998</v>
      </c>
      <c r="AE228" s="235">
        <f>VLOOKUP(Table3[[#This Row],[Country Code]],Table29[],24,FALSE)</f>
        <v>6.1699800179976929</v>
      </c>
      <c r="AF228" s="43"/>
    </row>
    <row r="229" spans="1:32" x14ac:dyDescent="0.25">
      <c r="A229" s="367">
        <v>17563</v>
      </c>
      <c r="B229" s="233" t="str">
        <f>VLOOKUP(Table3[[#This Row],[Document ID]],Table1[],2,FALSE)</f>
        <v>CRI</v>
      </c>
      <c r="C229" s="233" t="str">
        <f>VLOOKUP(Table3[[#This Row],[Document ID]],Table1[],3,FALSE)</f>
        <v>Costa Rica</v>
      </c>
      <c r="D229" s="233" t="str">
        <f>VLOOKUP(Table3[[#This Row],[Document ID]],Table1[],5,FALSE)</f>
        <v>LTS</v>
      </c>
      <c r="E229" s="233" t="str">
        <f>VLOOKUP(Table3[[#This Row],[Document ID]],Table1[],7,FALSE)</f>
        <v>LTS</v>
      </c>
      <c r="F229" s="233" t="str">
        <f>VLOOKUP(Table3[[#This Row],[Document ID]],Table1[],8,FALSE)</f>
        <v>LTS 1.0</v>
      </c>
      <c r="G229" s="233" t="str">
        <f>VLOOKUP(Table3[[#This Row],[Document ID]],Table1[],10,FALSE)</f>
        <v>Active</v>
      </c>
      <c r="H229" s="43" t="s">
        <v>1147</v>
      </c>
      <c r="I229" s="43" t="s">
        <v>1089</v>
      </c>
      <c r="J229" s="43" t="s">
        <v>1090</v>
      </c>
      <c r="K229" s="28" t="s">
        <v>1121</v>
      </c>
      <c r="L229" s="43" t="s">
        <v>1116</v>
      </c>
      <c r="M229" s="209">
        <v>2050</v>
      </c>
      <c r="N229" s="44" t="s">
        <v>1312</v>
      </c>
      <c r="O229" s="258">
        <v>29</v>
      </c>
      <c r="P229" s="238" t="str">
        <f>VLOOKUP(_xlfn.CONCAT(Table3[[#This Row],[Target area]],Table3[[#This Row],[GHG target?]],Table3[[#This Row],[Conditionality]]),'Drop down'!$E$81:$F$101,2,FALSE)</f>
        <v>T_Netzero</v>
      </c>
      <c r="Q229" s="239" t="str">
        <f>VLOOKUP(Table3[[#This Row],[Target type]],Table418[[Value name]:[Value idenifyer]],2,FALSE)</f>
        <v>T_FL</v>
      </c>
      <c r="U229" s="234" t="s">
        <v>1347</v>
      </c>
      <c r="V229" s="233" t="str">
        <f>VLOOKUP(Table3[[#This Row],[Country Code]],Table29[],3,FALSE)</f>
        <v>Non-Annex I</v>
      </c>
      <c r="W229" s="233" t="str">
        <f>VLOOKUP(Table3[[#This Row],[Country Code]],Table29[],4,FALSE)</f>
        <v>Latin America and the Caribbean</v>
      </c>
      <c r="X229" s="233" t="str">
        <f>VLOOKUP(Table3[[#This Row],[Country Code]],Table29[],5,FALSE)</f>
        <v>Middle-income</v>
      </c>
      <c r="Y229" s="233" t="str">
        <f>VLOOKUP(Table3[[#This Row],[Country Code]],Table29[],6,FALSE)</f>
        <v>no</v>
      </c>
      <c r="Z229" s="233" t="str">
        <f>VLOOKUP(Table3[[#This Row],[Country Code]],Table29[],7,FALSE)</f>
        <v>no</v>
      </c>
      <c r="AA229" s="233" t="str">
        <f>VLOOKUP(Table3[[#This Row],[Country Code]],Table29[],8,FALSE)</f>
        <v>OECD</v>
      </c>
      <c r="AB229" s="233" t="str">
        <f>VLOOKUP(Table3[[#This Row],[Country Code]],Table29[],9,FALSE)</f>
        <v>no</v>
      </c>
      <c r="AC229" s="233" t="str">
        <f>VLOOKUP(Table3[[#This Row],[Country Code]],Table29[],10,FALSE)</f>
        <v>no</v>
      </c>
      <c r="AD229" s="235">
        <f>VLOOKUP(Table3[[#This Row],[Country Code]],Table29[],23,FALSE)</f>
        <v>16.468143919330998</v>
      </c>
      <c r="AE229" s="235">
        <f>VLOOKUP(Table3[[#This Row],[Country Code]],Table29[],24,FALSE)</f>
        <v>6.1699800179976929</v>
      </c>
      <c r="AF229" s="43"/>
    </row>
    <row r="230" spans="1:32" x14ac:dyDescent="0.25">
      <c r="A230" s="360">
        <v>17580</v>
      </c>
      <c r="B230" s="233" t="str">
        <f>VLOOKUP(Table3[[#This Row],[Document ID]],Table1[],2,FALSE)</f>
        <v>DOM</v>
      </c>
      <c r="C230" s="233" t="str">
        <f>VLOOKUP(Table3[[#This Row],[Document ID]],Table1[],3,FALSE)</f>
        <v>Dominican Republic</v>
      </c>
      <c r="D230" s="233" t="str">
        <f>VLOOKUP(Table3[[#This Row],[Document ID]],Table1[],5,FALSE)</f>
        <v>NDC</v>
      </c>
      <c r="E230" s="233" t="str">
        <f>VLOOKUP(Table3[[#This Row],[Document ID]],Table1[],7,FALSE)</f>
        <v>First NDC updated</v>
      </c>
      <c r="F230" s="233" t="str">
        <f>VLOOKUP(Table3[[#This Row],[Document ID]],Table1[],8,FALSE)</f>
        <v>NDC 1.1</v>
      </c>
      <c r="G230" s="233" t="str">
        <f>VLOOKUP(Table3[[#This Row],[Document ID]],Table1[],10,FALSE)</f>
        <v>Active</v>
      </c>
      <c r="H230" s="216" t="s">
        <v>1089</v>
      </c>
      <c r="I230" s="216" t="s">
        <v>1089</v>
      </c>
      <c r="J230" s="43" t="s">
        <v>1090</v>
      </c>
      <c r="K230" s="28" t="s">
        <v>1091</v>
      </c>
      <c r="L230" s="216" t="s">
        <v>1092</v>
      </c>
      <c r="M230" s="209">
        <v>2030</v>
      </c>
      <c r="N230" s="44" t="s">
        <v>1348</v>
      </c>
      <c r="O230" s="221">
        <v>5</v>
      </c>
      <c r="P230" s="238" t="str">
        <f>VLOOKUP(_xlfn.CONCAT(Table3[[#This Row],[Target area]],Table3[[#This Row],[GHG target?]],Table3[[#This Row],[Conditionality]]),'Drop down'!$E$81:$F$101,2,FALSE)</f>
        <v>T_Economy_C</v>
      </c>
      <c r="Q230" s="239" t="str">
        <f>VLOOKUP(Table3[[#This Row],[Target type]],Table418[[Value name]:[Value idenifyer]],2,FALSE)</f>
        <v>T_BAU</v>
      </c>
      <c r="T230" s="234" t="s">
        <v>1113</v>
      </c>
      <c r="V230" s="233" t="str">
        <f>VLOOKUP(Table3[[#This Row],[Country Code]],Table29[],3,FALSE)</f>
        <v>Non-Annex I</v>
      </c>
      <c r="W230" s="233" t="str">
        <f>VLOOKUP(Table3[[#This Row],[Country Code]],Table29[],4,FALSE)</f>
        <v>Latin America and the Caribbean</v>
      </c>
      <c r="X230" s="233" t="str">
        <f>VLOOKUP(Table3[[#This Row],[Country Code]],Table29[],5,FALSE)</f>
        <v>Middle-income</v>
      </c>
      <c r="Y230" s="233" t="str">
        <f>VLOOKUP(Table3[[#This Row],[Country Code]],Table29[],6,FALSE)</f>
        <v>no</v>
      </c>
      <c r="Z230" s="233" t="str">
        <f>VLOOKUP(Table3[[#This Row],[Country Code]],Table29[],7,FALSE)</f>
        <v>no</v>
      </c>
      <c r="AA230" s="233" t="str">
        <f>VLOOKUP(Table3[[#This Row],[Country Code]],Table29[],8,FALSE)</f>
        <v>non-OECD</v>
      </c>
      <c r="AB230" s="233" t="str">
        <f>VLOOKUP(Table3[[#This Row],[Country Code]],Table29[],9,FALSE)</f>
        <v>no</v>
      </c>
      <c r="AC230" s="233" t="str">
        <f>VLOOKUP(Table3[[#This Row],[Country Code]],Table29[],10,FALSE)</f>
        <v>no</v>
      </c>
      <c r="AD230" s="235">
        <f>VLOOKUP(Table3[[#This Row],[Country Code]],Table29[],23,FALSE)</f>
        <v>48.396213040657997</v>
      </c>
      <c r="AE230" s="235">
        <f>VLOOKUP(Table3[[#This Row],[Country Code]],Table29[],24,FALSE)</f>
        <v>8.515708871390995</v>
      </c>
      <c r="AF230" s="43"/>
    </row>
    <row r="231" spans="1:32" ht="30" x14ac:dyDescent="0.25">
      <c r="A231" s="360">
        <v>17580</v>
      </c>
      <c r="B231" s="233" t="str">
        <f>VLOOKUP(Table3[[#This Row],[Document ID]],Table1[],2,FALSE)</f>
        <v>DOM</v>
      </c>
      <c r="C231" s="233" t="str">
        <f>VLOOKUP(Table3[[#This Row],[Document ID]],Table1[],3,FALSE)</f>
        <v>Dominican Republic</v>
      </c>
      <c r="D231" s="233" t="str">
        <f>VLOOKUP(Table3[[#This Row],[Document ID]],Table1[],5,FALSE)</f>
        <v>NDC</v>
      </c>
      <c r="E231" s="233" t="str">
        <f>VLOOKUP(Table3[[#This Row],[Document ID]],Table1[],7,FALSE)</f>
        <v>First NDC updated</v>
      </c>
      <c r="F231" s="233" t="str">
        <f>VLOOKUP(Table3[[#This Row],[Document ID]],Table1[],8,FALSE)</f>
        <v>NDC 1.1</v>
      </c>
      <c r="G231" s="233" t="str">
        <f>VLOOKUP(Table3[[#This Row],[Document ID]],Table1[],10,FALSE)</f>
        <v>Active</v>
      </c>
      <c r="H231" s="216" t="s">
        <v>1089</v>
      </c>
      <c r="I231" s="216" t="s">
        <v>1089</v>
      </c>
      <c r="J231" s="43" t="s">
        <v>1090</v>
      </c>
      <c r="K231" s="28" t="s">
        <v>1091</v>
      </c>
      <c r="L231" s="42" t="s">
        <v>1099</v>
      </c>
      <c r="M231" s="209">
        <v>2030</v>
      </c>
      <c r="N231" s="44" t="s">
        <v>1349</v>
      </c>
      <c r="O231" s="221">
        <v>5</v>
      </c>
      <c r="P231" s="238" t="str">
        <f>VLOOKUP(_xlfn.CONCAT(Table3[[#This Row],[Target area]],Table3[[#This Row],[GHG target?]],Table3[[#This Row],[Conditionality]]),'Drop down'!$E$81:$F$101,2,FALSE)</f>
        <v>T_Economy_Unc</v>
      </c>
      <c r="Q231" s="239" t="str">
        <f>VLOOKUP(Table3[[#This Row],[Target type]],Table418[[Value name]:[Value idenifyer]],2,FALSE)</f>
        <v>T_BAU</v>
      </c>
      <c r="T231" s="234" t="s">
        <v>1113</v>
      </c>
      <c r="V231" s="233" t="str">
        <f>VLOOKUP(Table3[[#This Row],[Country Code]],Table29[],3,FALSE)</f>
        <v>Non-Annex I</v>
      </c>
      <c r="W231" s="233" t="str">
        <f>VLOOKUP(Table3[[#This Row],[Country Code]],Table29[],4,FALSE)</f>
        <v>Latin America and the Caribbean</v>
      </c>
      <c r="X231" s="233" t="str">
        <f>VLOOKUP(Table3[[#This Row],[Country Code]],Table29[],5,FALSE)</f>
        <v>Middle-income</v>
      </c>
      <c r="Y231" s="233" t="str">
        <f>VLOOKUP(Table3[[#This Row],[Country Code]],Table29[],6,FALSE)</f>
        <v>no</v>
      </c>
      <c r="Z231" s="233" t="str">
        <f>VLOOKUP(Table3[[#This Row],[Country Code]],Table29[],7,FALSE)</f>
        <v>no</v>
      </c>
      <c r="AA231" s="233" t="str">
        <f>VLOOKUP(Table3[[#This Row],[Country Code]],Table29[],8,FALSE)</f>
        <v>non-OECD</v>
      </c>
      <c r="AB231" s="233" t="str">
        <f>VLOOKUP(Table3[[#This Row],[Country Code]],Table29[],9,FALSE)</f>
        <v>no</v>
      </c>
      <c r="AC231" s="233" t="str">
        <f>VLOOKUP(Table3[[#This Row],[Country Code]],Table29[],10,FALSE)</f>
        <v>no</v>
      </c>
      <c r="AD231" s="235">
        <f>VLOOKUP(Table3[[#This Row],[Country Code]],Table29[],23,FALSE)</f>
        <v>48.396213040657997</v>
      </c>
      <c r="AE231" s="235">
        <f>VLOOKUP(Table3[[#This Row],[Country Code]],Table29[],24,FALSE)</f>
        <v>8.515708871390995</v>
      </c>
      <c r="AF231" s="43"/>
    </row>
    <row r="232" spans="1:32" x14ac:dyDescent="0.25">
      <c r="A232" s="360">
        <v>17579</v>
      </c>
      <c r="B232" s="233" t="str">
        <f>VLOOKUP(Table3[[#This Row],[Document ID]],Table1[],2,FALSE)</f>
        <v>DOM</v>
      </c>
      <c r="C232" s="233" t="str">
        <f>VLOOKUP(Table3[[#This Row],[Document ID]],Table1[],3,FALSE)</f>
        <v>Dominican Republic</v>
      </c>
      <c r="D232" s="233" t="str">
        <f>VLOOKUP(Table3[[#This Row],[Document ID]],Table1[],5,FALSE)</f>
        <v>NDC</v>
      </c>
      <c r="E232" s="233" t="str">
        <f>VLOOKUP(Table3[[#This Row],[Document ID]],Table1[],7,FALSE)</f>
        <v>First NDC</v>
      </c>
      <c r="F232" s="233" t="str">
        <f>VLOOKUP(Table3[[#This Row],[Document ID]],Table1[],8,FALSE)</f>
        <v>NDC 1.0</v>
      </c>
      <c r="G232" s="233" t="str">
        <f>VLOOKUP(Table3[[#This Row],[Document ID]],Table1[],10,FALSE)</f>
        <v>Archived</v>
      </c>
      <c r="H232" s="216" t="s">
        <v>1089</v>
      </c>
      <c r="I232" s="216" t="s">
        <v>1089</v>
      </c>
      <c r="J232" s="43" t="s">
        <v>1090</v>
      </c>
      <c r="K232" s="28" t="s">
        <v>1153</v>
      </c>
      <c r="L232" s="216" t="s">
        <v>1092</v>
      </c>
      <c r="M232" s="209">
        <v>2030</v>
      </c>
      <c r="N232" s="176" t="s">
        <v>1350</v>
      </c>
      <c r="O232" s="258" t="s">
        <v>1094</v>
      </c>
      <c r="P232" s="238" t="str">
        <f>VLOOKUP(_xlfn.CONCAT(Table3[[#This Row],[Target area]],Table3[[#This Row],[GHG target?]],Table3[[#This Row],[Conditionality]]),'Drop down'!$E$81:$F$101,2,FALSE)</f>
        <v>T_Economy_C</v>
      </c>
      <c r="Q232" s="239" t="str">
        <f>VLOOKUP(Table3[[#This Row],[Target type]],Table418[[Value name]:[Value idenifyer]],2,FALSE)</f>
        <v>T_BYE</v>
      </c>
      <c r="T232" s="234" t="s">
        <v>1113</v>
      </c>
      <c r="V232" s="233" t="str">
        <f>VLOOKUP(Table3[[#This Row],[Country Code]],Table29[],3,FALSE)</f>
        <v>Non-Annex I</v>
      </c>
      <c r="W232" s="233" t="str">
        <f>VLOOKUP(Table3[[#This Row],[Country Code]],Table29[],4,FALSE)</f>
        <v>Latin America and the Caribbean</v>
      </c>
      <c r="X232" s="233" t="str">
        <f>VLOOKUP(Table3[[#This Row],[Country Code]],Table29[],5,FALSE)</f>
        <v>Middle-income</v>
      </c>
      <c r="Y232" s="233" t="str">
        <f>VLOOKUP(Table3[[#This Row],[Country Code]],Table29[],6,FALSE)</f>
        <v>no</v>
      </c>
      <c r="Z232" s="233" t="str">
        <f>VLOOKUP(Table3[[#This Row],[Country Code]],Table29[],7,FALSE)</f>
        <v>no</v>
      </c>
      <c r="AA232" s="233" t="str">
        <f>VLOOKUP(Table3[[#This Row],[Country Code]],Table29[],8,FALSE)</f>
        <v>non-OECD</v>
      </c>
      <c r="AB232" s="233" t="str">
        <f>VLOOKUP(Table3[[#This Row],[Country Code]],Table29[],9,FALSE)</f>
        <v>no</v>
      </c>
      <c r="AC232" s="233" t="str">
        <f>VLOOKUP(Table3[[#This Row],[Country Code]],Table29[],10,FALSE)</f>
        <v>no</v>
      </c>
      <c r="AD232" s="235">
        <f>VLOOKUP(Table3[[#This Row],[Country Code]],Table29[],23,FALSE)</f>
        <v>48.396213040657997</v>
      </c>
      <c r="AE232" s="235">
        <f>VLOOKUP(Table3[[#This Row],[Country Code]],Table29[],24,FALSE)</f>
        <v>8.515708871390995</v>
      </c>
      <c r="AF232" s="43"/>
    </row>
    <row r="233" spans="1:32" x14ac:dyDescent="0.25">
      <c r="A233" s="360">
        <v>32498</v>
      </c>
      <c r="B233" s="233" t="str">
        <f>VLOOKUP(Table3[[#This Row],[Document ID]],Table1[],2,FALSE)</f>
        <v>ECU</v>
      </c>
      <c r="C233" s="233" t="str">
        <f>VLOOKUP(Table3[[#This Row],[Document ID]],Table1[],3,FALSE)</f>
        <v>Ecuador</v>
      </c>
      <c r="D233" s="233" t="str">
        <f>VLOOKUP(Table3[[#This Row],[Document ID]],Table1[],5,FALSE)</f>
        <v>NDC</v>
      </c>
      <c r="E233" s="233" t="str">
        <f>VLOOKUP(Table3[[#This Row],[Document ID]],Table1[],7,FALSE)</f>
        <v>First NDC</v>
      </c>
      <c r="F233" s="233" t="str">
        <f>VLOOKUP(Table3[[#This Row],[Document ID]],Table1[],8,FALSE)</f>
        <v>NDC 1.0</v>
      </c>
      <c r="G233" s="233" t="str">
        <f>VLOOKUP(Table3[[#This Row],[Document ID]],Table1[],10,FALSE)</f>
        <v>Archived</v>
      </c>
      <c r="H233" s="216" t="s">
        <v>1089</v>
      </c>
      <c r="I233" s="216" t="s">
        <v>1089</v>
      </c>
      <c r="J233" s="43" t="s">
        <v>1090</v>
      </c>
      <c r="K233" s="28" t="s">
        <v>1091</v>
      </c>
      <c r="L233" s="42" t="s">
        <v>1099</v>
      </c>
      <c r="M233" s="209">
        <v>2025</v>
      </c>
      <c r="N233" s="209" t="s">
        <v>1351</v>
      </c>
      <c r="O233" s="257">
        <v>17</v>
      </c>
      <c r="P233" s="238" t="str">
        <f>VLOOKUP(_xlfn.CONCAT(Table3[[#This Row],[Target area]],Table3[[#This Row],[GHG target?]],Table3[[#This Row],[Conditionality]]),'Drop down'!$E$81:$F$101,2,FALSE)</f>
        <v>T_Economy_Unc</v>
      </c>
      <c r="Q233" s="239" t="str">
        <f>VLOOKUP(Table3[[#This Row],[Target type]],Table418[[Value name]:[Value idenifyer]],2,FALSE)</f>
        <v>T_BAU</v>
      </c>
      <c r="T233" s="240"/>
      <c r="U233" s="240"/>
      <c r="V233" s="233" t="str">
        <f>VLOOKUP(Table3[[#This Row],[Country Code]],Table29[],3,FALSE)</f>
        <v>Non-Annex I</v>
      </c>
      <c r="W233" s="233" t="str">
        <f>VLOOKUP(Table3[[#This Row],[Country Code]],Table29[],4,FALSE)</f>
        <v>Latin America and the Caribbean</v>
      </c>
      <c r="X233" s="233" t="str">
        <f>VLOOKUP(Table3[[#This Row],[Country Code]],Table29[],5,FALSE)</f>
        <v>Middle-income</v>
      </c>
      <c r="Y233" s="233" t="str">
        <f>VLOOKUP(Table3[[#This Row],[Country Code]],Table29[],6,FALSE)</f>
        <v>no</v>
      </c>
      <c r="Z233" s="233" t="str">
        <f>VLOOKUP(Table3[[#This Row],[Country Code]],Table29[],7,FALSE)</f>
        <v>no</v>
      </c>
      <c r="AA233" s="233" t="str">
        <f>VLOOKUP(Table3[[#This Row],[Country Code]],Table29[],8,FALSE)</f>
        <v>non-OECD</v>
      </c>
      <c r="AB233" s="233" t="str">
        <f>VLOOKUP(Table3[[#This Row],[Country Code]],Table29[],9,FALSE)</f>
        <v>no</v>
      </c>
      <c r="AC233" s="233" t="str">
        <f>VLOOKUP(Table3[[#This Row],[Country Code]],Table29[],10,FALSE)</f>
        <v>no</v>
      </c>
      <c r="AD233" s="235">
        <f>VLOOKUP(Table3[[#This Row],[Country Code]],Table29[],23,FALSE)</f>
        <v>73.604607615068005</v>
      </c>
      <c r="AE233" s="235">
        <f>VLOOKUP(Table3[[#This Row],[Country Code]],Table29[],24,FALSE)</f>
        <v>22.250312638556871</v>
      </c>
      <c r="AF233" s="43"/>
    </row>
    <row r="234" spans="1:32" x14ac:dyDescent="0.25">
      <c r="A234" s="360">
        <v>32498</v>
      </c>
      <c r="B234" s="233" t="str">
        <f>VLOOKUP(Table3[[#This Row],[Document ID]],Table1[],2,FALSE)</f>
        <v>ECU</v>
      </c>
      <c r="C234" s="233" t="str">
        <f>VLOOKUP(Table3[[#This Row],[Document ID]],Table1[],3,FALSE)</f>
        <v>Ecuador</v>
      </c>
      <c r="D234" s="233" t="str">
        <f>VLOOKUP(Table3[[#This Row],[Document ID]],Table1[],5,FALSE)</f>
        <v>NDC</v>
      </c>
      <c r="E234" s="233" t="str">
        <f>VLOOKUP(Table3[[#This Row],[Document ID]],Table1[],7,FALSE)</f>
        <v>First NDC</v>
      </c>
      <c r="F234" s="233" t="str">
        <f>VLOOKUP(Table3[[#This Row],[Document ID]],Table1[],8,FALSE)</f>
        <v>NDC 1.0</v>
      </c>
      <c r="G234" s="233" t="str">
        <f>VLOOKUP(Table3[[#This Row],[Document ID]],Table1[],10,FALSE)</f>
        <v>Archived</v>
      </c>
      <c r="H234" s="216" t="s">
        <v>1089</v>
      </c>
      <c r="I234" s="216" t="s">
        <v>1089</v>
      </c>
      <c r="J234" s="43" t="s">
        <v>1090</v>
      </c>
      <c r="K234" s="28" t="s">
        <v>1091</v>
      </c>
      <c r="L234" s="216" t="s">
        <v>1092</v>
      </c>
      <c r="M234" s="209">
        <v>2025</v>
      </c>
      <c r="N234" s="209" t="s">
        <v>1352</v>
      </c>
      <c r="O234" s="257">
        <v>17</v>
      </c>
      <c r="P234" s="238" t="str">
        <f>VLOOKUP(_xlfn.CONCAT(Table3[[#This Row],[Target area]],Table3[[#This Row],[GHG target?]],Table3[[#This Row],[Conditionality]]),'Drop down'!$E$81:$F$101,2,FALSE)</f>
        <v>T_Economy_C</v>
      </c>
      <c r="Q234" s="239" t="str">
        <f>VLOOKUP(Table3[[#This Row],[Target type]],Table418[[Value name]:[Value idenifyer]],2,FALSE)</f>
        <v>T_BAU</v>
      </c>
      <c r="T234" s="240"/>
      <c r="U234" s="240"/>
      <c r="V234" s="233" t="str">
        <f>VLOOKUP(Table3[[#This Row],[Country Code]],Table29[],3,FALSE)</f>
        <v>Non-Annex I</v>
      </c>
      <c r="W234" s="233" t="str">
        <f>VLOOKUP(Table3[[#This Row],[Country Code]],Table29[],4,FALSE)</f>
        <v>Latin America and the Caribbean</v>
      </c>
      <c r="X234" s="233" t="str">
        <f>VLOOKUP(Table3[[#This Row],[Country Code]],Table29[],5,FALSE)</f>
        <v>Middle-income</v>
      </c>
      <c r="Y234" s="233" t="str">
        <f>VLOOKUP(Table3[[#This Row],[Country Code]],Table29[],6,FALSE)</f>
        <v>no</v>
      </c>
      <c r="Z234" s="233" t="str">
        <f>VLOOKUP(Table3[[#This Row],[Country Code]],Table29[],7,FALSE)</f>
        <v>no</v>
      </c>
      <c r="AA234" s="233" t="str">
        <f>VLOOKUP(Table3[[#This Row],[Country Code]],Table29[],8,FALSE)</f>
        <v>non-OECD</v>
      </c>
      <c r="AB234" s="233" t="str">
        <f>VLOOKUP(Table3[[#This Row],[Country Code]],Table29[],9,FALSE)</f>
        <v>no</v>
      </c>
      <c r="AC234" s="233" t="str">
        <f>VLOOKUP(Table3[[#This Row],[Country Code]],Table29[],10,FALSE)</f>
        <v>no</v>
      </c>
      <c r="AD234" s="235">
        <f>VLOOKUP(Table3[[#This Row],[Country Code]],Table29[],23,FALSE)</f>
        <v>73.604607615068005</v>
      </c>
      <c r="AE234" s="235">
        <f>VLOOKUP(Table3[[#This Row],[Country Code]],Table29[],24,FALSE)</f>
        <v>22.250312638556871</v>
      </c>
      <c r="AF234" s="43"/>
    </row>
    <row r="235" spans="1:32" customFormat="1" ht="30" x14ac:dyDescent="0.25">
      <c r="A235" s="360">
        <v>17526</v>
      </c>
      <c r="B235" s="233" t="str">
        <f>VLOOKUP(Table3[[#This Row],[Document ID]],Table1[],2,FALSE)</f>
        <v>BRB</v>
      </c>
      <c r="C235" s="233" t="str">
        <f>VLOOKUP(Table3[[#This Row],[Document ID]],Table1[],3,FALSE)</f>
        <v>Barbados</v>
      </c>
      <c r="D235" s="233" t="str">
        <f>VLOOKUP(Table3[[#This Row],[Document ID]],Table1[],5,FALSE)</f>
        <v>NDC</v>
      </c>
      <c r="E235" s="233" t="str">
        <f>VLOOKUP(Table3[[#This Row],[Document ID]],Table1[],7,FALSE)</f>
        <v>First NDC</v>
      </c>
      <c r="F235" s="233" t="str">
        <f>VLOOKUP(Table3[[#This Row],[Document ID]],Table1[],8,FALSE)</f>
        <v>NDC 1.0</v>
      </c>
      <c r="G235" s="233" t="str">
        <f>VLOOKUP(Table3[[#This Row],[Document ID]],Table1[],10,FALSE)</f>
        <v>Archived</v>
      </c>
      <c r="H235" s="42" t="s">
        <v>1095</v>
      </c>
      <c r="I235" s="43" t="s">
        <v>1115</v>
      </c>
      <c r="J235" s="42" t="s">
        <v>1097</v>
      </c>
      <c r="K235" s="28" t="s">
        <v>1137</v>
      </c>
      <c r="L235" s="42" t="s">
        <v>1099</v>
      </c>
      <c r="M235" s="209">
        <v>2029</v>
      </c>
      <c r="N235" s="44" t="s">
        <v>1353</v>
      </c>
      <c r="O235" s="221">
        <v>5</v>
      </c>
      <c r="P235" s="238" t="str">
        <f>VLOOKUP(_xlfn.CONCAT(Table3[[#This Row],[Target area]],Table3[[#This Row],[GHG target?]],Table3[[#This Row],[Conditionality]]),'Drop down'!$E$81:$F$101,2,FALSE)</f>
        <v>T_Transport_O_Unc</v>
      </c>
      <c r="Q235" s="239" t="str">
        <f>VLOOKUP(Table3[[#This Row],[Target type]],Table418[[Value name]:[Value idenifyer]],2,FALSE)</f>
        <v>T_O_EFF</v>
      </c>
      <c r="R235" s="233"/>
      <c r="S235" s="233" t="s">
        <v>1101</v>
      </c>
      <c r="T235" s="234" t="s">
        <v>1113</v>
      </c>
      <c r="U235" s="240"/>
      <c r="V235" s="233" t="str">
        <f>VLOOKUP(Table3[[#This Row],[Country Code]],Table29[],3,FALSE)</f>
        <v>Non-Annex I</v>
      </c>
      <c r="W235" s="233" t="str">
        <f>VLOOKUP(Table3[[#This Row],[Country Code]],Table29[],4,FALSE)</f>
        <v>Latin America and the Caribbean</v>
      </c>
      <c r="X235" s="233" t="str">
        <f>VLOOKUP(Table3[[#This Row],[Country Code]],Table29[],5,FALSE)</f>
        <v>High-income</v>
      </c>
      <c r="Y235" s="233" t="str">
        <f>VLOOKUP(Table3[[#This Row],[Country Code]],Table29[],6,FALSE)</f>
        <v>no</v>
      </c>
      <c r="Z235" s="233" t="str">
        <f>VLOOKUP(Table3[[#This Row],[Country Code]],Table29[],7,FALSE)</f>
        <v>no</v>
      </c>
      <c r="AA235" s="233" t="str">
        <f>VLOOKUP(Table3[[#This Row],[Country Code]],Table29[],8,FALSE)</f>
        <v>non-OECD</v>
      </c>
      <c r="AB235" s="233" t="str">
        <f>VLOOKUP(Table3[[#This Row],[Country Code]],Table29[],9,FALSE)</f>
        <v>no</v>
      </c>
      <c r="AC235" s="233" t="str">
        <f>VLOOKUP(Table3[[#This Row],[Country Code]],Table29[],10,FALSE)</f>
        <v>no</v>
      </c>
      <c r="AD235" s="235">
        <f>VLOOKUP(Table3[[#This Row],[Country Code]],Table29[],23,FALSE)</f>
        <v>0.98904380539195003</v>
      </c>
      <c r="AE235" s="235">
        <f>VLOOKUP(Table3[[#This Row],[Country Code]],Table29[],24,FALSE)</f>
        <v>0.25128029300322258</v>
      </c>
      <c r="AF235" s="43"/>
    </row>
    <row r="236" spans="1:32" ht="30" x14ac:dyDescent="0.25">
      <c r="A236" s="360">
        <v>21371</v>
      </c>
      <c r="B236" s="233" t="str">
        <f>VLOOKUP(Table3[[#This Row],[Document ID]],Table1[],2,FALSE)</f>
        <v>BRB</v>
      </c>
      <c r="C236" s="233" t="str">
        <f>VLOOKUP(Table3[[#This Row],[Document ID]],Table1[],3,FALSE)</f>
        <v>Barbados</v>
      </c>
      <c r="D236" s="233" t="str">
        <f>VLOOKUP(Table3[[#This Row],[Document ID]],Table1[],5,FALSE)</f>
        <v>NDC</v>
      </c>
      <c r="E236" s="233" t="str">
        <f>VLOOKUP(Table3[[#This Row],[Document ID]],Table1[],7,FALSE)</f>
        <v>First NDC updated</v>
      </c>
      <c r="F236" s="233" t="str">
        <f>VLOOKUP(Table3[[#This Row],[Document ID]],Table1[],8,FALSE)</f>
        <v>NDC 1.1</v>
      </c>
      <c r="G236" s="233" t="str">
        <f>VLOOKUP(Table3[[#This Row],[Document ID]],Table1[],10,FALSE)</f>
        <v>Active</v>
      </c>
      <c r="H236" s="42" t="s">
        <v>1095</v>
      </c>
      <c r="I236" s="42" t="s">
        <v>1096</v>
      </c>
      <c r="J236" s="42" t="s">
        <v>1097</v>
      </c>
      <c r="K236" s="28" t="s">
        <v>1104</v>
      </c>
      <c r="L236" s="43" t="s">
        <v>1092</v>
      </c>
      <c r="M236" s="209">
        <v>2030</v>
      </c>
      <c r="N236" s="209" t="s">
        <v>1354</v>
      </c>
      <c r="O236" s="257">
        <v>15</v>
      </c>
      <c r="P236" s="238" t="str">
        <f>VLOOKUP(_xlfn.CONCAT(Table3[[#This Row],[Target area]],Table3[[#This Row],[GHG target?]],Table3[[#This Row],[Conditionality]]),'Drop down'!$E$81:$F$101,2,FALSE)</f>
        <v>T_Transport_O_C</v>
      </c>
      <c r="Q236" s="239" t="str">
        <f>VLOOKUP(Table3[[#This Row],[Target type]],Table418[[Value name]:[Value idenifyer]],2,FALSE)</f>
        <v>T_O_ZERO</v>
      </c>
      <c r="S236" s="233" t="s">
        <v>1101</v>
      </c>
      <c r="T236" s="234" t="s">
        <v>1113</v>
      </c>
      <c r="U236" s="240"/>
      <c r="V236" s="233" t="str">
        <f>VLOOKUP(Table3[[#This Row],[Country Code]],Table29[],3,FALSE)</f>
        <v>Non-Annex I</v>
      </c>
      <c r="W236" s="233" t="str">
        <f>VLOOKUP(Table3[[#This Row],[Country Code]],Table29[],4,FALSE)</f>
        <v>Latin America and the Caribbean</v>
      </c>
      <c r="X236" s="233" t="str">
        <f>VLOOKUP(Table3[[#This Row],[Country Code]],Table29[],5,FALSE)</f>
        <v>High-income</v>
      </c>
      <c r="Y236" s="233" t="str">
        <f>VLOOKUP(Table3[[#This Row],[Country Code]],Table29[],6,FALSE)</f>
        <v>no</v>
      </c>
      <c r="Z236" s="233" t="str">
        <f>VLOOKUP(Table3[[#This Row],[Country Code]],Table29[],7,FALSE)</f>
        <v>no</v>
      </c>
      <c r="AA236" s="233" t="str">
        <f>VLOOKUP(Table3[[#This Row],[Country Code]],Table29[],8,FALSE)</f>
        <v>non-OECD</v>
      </c>
      <c r="AB236" s="233" t="str">
        <f>VLOOKUP(Table3[[#This Row],[Country Code]],Table29[],9,FALSE)</f>
        <v>no</v>
      </c>
      <c r="AC236" s="233" t="str">
        <f>VLOOKUP(Table3[[#This Row],[Country Code]],Table29[],10,FALSE)</f>
        <v>no</v>
      </c>
      <c r="AD236" s="235">
        <f>VLOOKUP(Table3[[#This Row],[Country Code]],Table29[],23,FALSE)</f>
        <v>0.98904380539195003</v>
      </c>
      <c r="AE236" s="235">
        <f>VLOOKUP(Table3[[#This Row],[Country Code]],Table29[],24,FALSE)</f>
        <v>0.25128029300322258</v>
      </c>
      <c r="AF236" s="43"/>
    </row>
    <row r="237" spans="1:32" ht="60" x14ac:dyDescent="0.25">
      <c r="A237" s="360">
        <v>32499</v>
      </c>
      <c r="B237" s="233" t="str">
        <f>VLOOKUP(Table3[[#This Row],[Document ID]],Table1[],2,FALSE)</f>
        <v>GNQ</v>
      </c>
      <c r="C237" s="233" t="str">
        <f>VLOOKUP(Table3[[#This Row],[Document ID]],Table1[],3,FALSE)</f>
        <v>Equatorial Guinea</v>
      </c>
      <c r="D237" s="233" t="str">
        <f>VLOOKUP(Table3[[#This Row],[Document ID]],Table1[],5,FALSE)</f>
        <v>NDC</v>
      </c>
      <c r="E237" s="233" t="str">
        <f>VLOOKUP(Table3[[#This Row],[Document ID]],Table1[],7,FALSE)</f>
        <v>First NDC updated</v>
      </c>
      <c r="F237" s="233" t="str">
        <f>VLOOKUP(Table3[[#This Row],[Document ID]],Table1[],8,FALSE)</f>
        <v>NDC 1.1</v>
      </c>
      <c r="G237" s="233" t="str">
        <f>VLOOKUP(Table3[[#This Row],[Document ID]],Table1[],10,FALSE)</f>
        <v>Active</v>
      </c>
      <c r="H237" s="216" t="s">
        <v>1089</v>
      </c>
      <c r="I237" s="216" t="s">
        <v>1089</v>
      </c>
      <c r="J237" s="43" t="s">
        <v>1090</v>
      </c>
      <c r="K237" s="28" t="s">
        <v>1153</v>
      </c>
      <c r="L237" s="42" t="s">
        <v>1099</v>
      </c>
      <c r="M237" s="209">
        <v>2030</v>
      </c>
      <c r="N237" s="209" t="s">
        <v>1355</v>
      </c>
      <c r="O237" s="257">
        <v>5</v>
      </c>
      <c r="P237" s="238" t="str">
        <f>VLOOKUP(_xlfn.CONCAT(Table3[[#This Row],[Target area]],Table3[[#This Row],[GHG target?]],Table3[[#This Row],[Conditionality]]),'Drop down'!$E$81:$F$101,2,FALSE)</f>
        <v>T_Economy_Unc</v>
      </c>
      <c r="Q237" s="239" t="str">
        <f>VLOOKUP(Table3[[#This Row],[Target type]],Table418[[Value name]:[Value idenifyer]],2,FALSE)</f>
        <v>T_BYE</v>
      </c>
      <c r="T237" s="240"/>
      <c r="V237" s="233" t="str">
        <f>VLOOKUP(Table3[[#This Row],[Country Code]],Table29[],3,FALSE)</f>
        <v>Non-Annex I</v>
      </c>
      <c r="W237" s="233" t="str">
        <f>VLOOKUP(Table3[[#This Row],[Country Code]],Table29[],4,FALSE)</f>
        <v>Africa</v>
      </c>
      <c r="X237" s="233" t="str">
        <f>VLOOKUP(Table3[[#This Row],[Country Code]],Table29[],5,FALSE)</f>
        <v>Middle-income</v>
      </c>
      <c r="Y237" s="233" t="str">
        <f>VLOOKUP(Table3[[#This Row],[Country Code]],Table29[],6,FALSE)</f>
        <v>no</v>
      </c>
      <c r="Z237" s="233" t="str">
        <f>VLOOKUP(Table3[[#This Row],[Country Code]],Table29[],7,FALSE)</f>
        <v>no</v>
      </c>
      <c r="AA237" s="233" t="str">
        <f>VLOOKUP(Table3[[#This Row],[Country Code]],Table29[],8,FALSE)</f>
        <v>non-OECD</v>
      </c>
      <c r="AB237" s="233" t="str">
        <f>VLOOKUP(Table3[[#This Row],[Country Code]],Table29[],9,FALSE)</f>
        <v>no</v>
      </c>
      <c r="AC237" s="233" t="str">
        <f>VLOOKUP(Table3[[#This Row],[Country Code]],Table29[],10,FALSE)</f>
        <v>no</v>
      </c>
      <c r="AD237" s="235">
        <f>VLOOKUP(Table3[[#This Row],[Country Code]],Table29[],23,FALSE)</f>
        <v>6.9820980789903002</v>
      </c>
      <c r="AE237" s="235">
        <f>VLOOKUP(Table3[[#This Row],[Country Code]],Table29[],24,FALSE)</f>
        <v>0.54145530040743117</v>
      </c>
      <c r="AF237" s="43"/>
    </row>
    <row r="238" spans="1:32" x14ac:dyDescent="0.25">
      <c r="A238" s="360">
        <v>32499</v>
      </c>
      <c r="B238" s="233" t="str">
        <f>VLOOKUP(Table3[[#This Row],[Document ID]],Table1[],2,FALSE)</f>
        <v>GNQ</v>
      </c>
      <c r="C238" s="233" t="str">
        <f>VLOOKUP(Table3[[#This Row],[Document ID]],Table1[],3,FALSE)</f>
        <v>Equatorial Guinea</v>
      </c>
      <c r="D238" s="233" t="str">
        <f>VLOOKUP(Table3[[#This Row],[Document ID]],Table1[],5,FALSE)</f>
        <v>NDC</v>
      </c>
      <c r="E238" s="233" t="str">
        <f>VLOOKUP(Table3[[#This Row],[Document ID]],Table1[],7,FALSE)</f>
        <v>First NDC updated</v>
      </c>
      <c r="F238" s="233" t="str">
        <f>VLOOKUP(Table3[[#This Row],[Document ID]],Table1[],8,FALSE)</f>
        <v>NDC 1.1</v>
      </c>
      <c r="G238" s="233" t="str">
        <f>VLOOKUP(Table3[[#This Row],[Document ID]],Table1[],10,FALSE)</f>
        <v>Active</v>
      </c>
      <c r="H238" s="216" t="s">
        <v>1089</v>
      </c>
      <c r="I238" s="216" t="s">
        <v>1089</v>
      </c>
      <c r="J238" s="43" t="s">
        <v>1090</v>
      </c>
      <c r="K238" s="28" t="s">
        <v>1153</v>
      </c>
      <c r="L238" s="43" t="s">
        <v>1116</v>
      </c>
      <c r="M238" s="209">
        <v>2050</v>
      </c>
      <c r="N238" s="209" t="s">
        <v>1356</v>
      </c>
      <c r="O238" s="257"/>
      <c r="P238" s="238" t="str">
        <f>VLOOKUP(_xlfn.CONCAT(Table3[[#This Row],[Target area]],Table3[[#This Row],[GHG target?]],Table3[[#This Row],[Conditionality]]),'Drop down'!$E$81:$F$101,2,FALSE)</f>
        <v>T_Economy</v>
      </c>
      <c r="Q238" s="239" t="str">
        <f>VLOOKUP(Table3[[#This Row],[Target type]],Table418[[Value name]:[Value idenifyer]],2,FALSE)</f>
        <v>T_BYE</v>
      </c>
      <c r="T238" s="240"/>
      <c r="V238" s="233" t="str">
        <f>VLOOKUP(Table3[[#This Row],[Country Code]],Table29[],3,FALSE)</f>
        <v>Non-Annex I</v>
      </c>
      <c r="W238" s="233" t="str">
        <f>VLOOKUP(Table3[[#This Row],[Country Code]],Table29[],4,FALSE)</f>
        <v>Africa</v>
      </c>
      <c r="X238" s="233" t="str">
        <f>VLOOKUP(Table3[[#This Row],[Country Code]],Table29[],5,FALSE)</f>
        <v>Middle-income</v>
      </c>
      <c r="Y238" s="233" t="str">
        <f>VLOOKUP(Table3[[#This Row],[Country Code]],Table29[],6,FALSE)</f>
        <v>no</v>
      </c>
      <c r="Z238" s="233" t="str">
        <f>VLOOKUP(Table3[[#This Row],[Country Code]],Table29[],7,FALSE)</f>
        <v>no</v>
      </c>
      <c r="AA238" s="233" t="str">
        <f>VLOOKUP(Table3[[#This Row],[Country Code]],Table29[],8,FALSE)</f>
        <v>non-OECD</v>
      </c>
      <c r="AB238" s="233" t="str">
        <f>VLOOKUP(Table3[[#This Row],[Country Code]],Table29[],9,FALSE)</f>
        <v>no</v>
      </c>
      <c r="AC238" s="233" t="str">
        <f>VLOOKUP(Table3[[#This Row],[Country Code]],Table29[],10,FALSE)</f>
        <v>no</v>
      </c>
      <c r="AD238" s="235">
        <f>VLOOKUP(Table3[[#This Row],[Country Code]],Table29[],23,FALSE)</f>
        <v>6.9820980789903002</v>
      </c>
      <c r="AE238" s="235">
        <f>VLOOKUP(Table3[[#This Row],[Country Code]],Table29[],24,FALSE)</f>
        <v>0.54145530040743117</v>
      </c>
      <c r="AF238" s="43"/>
    </row>
    <row r="239" spans="1:32" x14ac:dyDescent="0.25">
      <c r="A239" s="360">
        <v>17584</v>
      </c>
      <c r="B239" s="233" t="str">
        <f>VLOOKUP(Table3[[#This Row],[Document ID]],Table1[],2,FALSE)</f>
        <v>GNQ</v>
      </c>
      <c r="C239" s="233" t="str">
        <f>VLOOKUP(Table3[[#This Row],[Document ID]],Table1[],3,FALSE)</f>
        <v>Equatorial Guinea</v>
      </c>
      <c r="D239" s="233" t="str">
        <f>VLOOKUP(Table3[[#This Row],[Document ID]],Table1[],5,FALSE)</f>
        <v>NDC</v>
      </c>
      <c r="E239" s="233" t="str">
        <f>VLOOKUP(Table3[[#This Row],[Document ID]],Table1[],7,FALSE)</f>
        <v>First NDC</v>
      </c>
      <c r="F239" s="233" t="str">
        <f>VLOOKUP(Table3[[#This Row],[Document ID]],Table1[],8,FALSE)</f>
        <v>NDC 1.0</v>
      </c>
      <c r="G239" s="233" t="str">
        <f>VLOOKUP(Table3[[#This Row],[Document ID]],Table1[],10,FALSE)</f>
        <v>Archived</v>
      </c>
      <c r="H239" s="216" t="s">
        <v>1089</v>
      </c>
      <c r="I239" s="216" t="s">
        <v>1089</v>
      </c>
      <c r="J239" s="43" t="s">
        <v>1090</v>
      </c>
      <c r="K239" s="28" t="s">
        <v>1091</v>
      </c>
      <c r="L239" s="42" t="s">
        <v>1099</v>
      </c>
      <c r="M239" s="209">
        <v>2030</v>
      </c>
      <c r="N239" s="176" t="s">
        <v>1357</v>
      </c>
      <c r="O239" s="258" t="s">
        <v>1094</v>
      </c>
      <c r="P239" s="238" t="str">
        <f>VLOOKUP(_xlfn.CONCAT(Table3[[#This Row],[Target area]],Table3[[#This Row],[GHG target?]],Table3[[#This Row],[Conditionality]]),'Drop down'!$E$81:$F$101,2,FALSE)</f>
        <v>T_Economy_Unc</v>
      </c>
      <c r="Q239" s="239" t="str">
        <f>VLOOKUP(Table3[[#This Row],[Target type]],Table418[[Value name]:[Value idenifyer]],2,FALSE)</f>
        <v>T_BAU</v>
      </c>
      <c r="T239" s="240"/>
      <c r="V239" s="233" t="str">
        <f>VLOOKUP(Table3[[#This Row],[Country Code]],Table29[],3,FALSE)</f>
        <v>Non-Annex I</v>
      </c>
      <c r="W239" s="233" t="str">
        <f>VLOOKUP(Table3[[#This Row],[Country Code]],Table29[],4,FALSE)</f>
        <v>Africa</v>
      </c>
      <c r="X239" s="233" t="str">
        <f>VLOOKUP(Table3[[#This Row],[Country Code]],Table29[],5,FALSE)</f>
        <v>Middle-income</v>
      </c>
      <c r="Y239" s="233" t="str">
        <f>VLOOKUP(Table3[[#This Row],[Country Code]],Table29[],6,FALSE)</f>
        <v>no</v>
      </c>
      <c r="Z239" s="233" t="str">
        <f>VLOOKUP(Table3[[#This Row],[Country Code]],Table29[],7,FALSE)</f>
        <v>no</v>
      </c>
      <c r="AA239" s="233" t="str">
        <f>VLOOKUP(Table3[[#This Row],[Country Code]],Table29[],8,FALSE)</f>
        <v>non-OECD</v>
      </c>
      <c r="AB239" s="233" t="str">
        <f>VLOOKUP(Table3[[#This Row],[Country Code]],Table29[],9,FALSE)</f>
        <v>no</v>
      </c>
      <c r="AC239" s="233" t="str">
        <f>VLOOKUP(Table3[[#This Row],[Country Code]],Table29[],10,FALSE)</f>
        <v>no</v>
      </c>
      <c r="AD239" s="235">
        <f>VLOOKUP(Table3[[#This Row],[Country Code]],Table29[],23,FALSE)</f>
        <v>6.9820980789903002</v>
      </c>
      <c r="AE239" s="235">
        <f>VLOOKUP(Table3[[#This Row],[Country Code]],Table29[],24,FALSE)</f>
        <v>0.54145530040743117</v>
      </c>
      <c r="AF239" s="43"/>
    </row>
    <row r="240" spans="1:32" ht="30" x14ac:dyDescent="0.25">
      <c r="A240" s="373">
        <v>17584</v>
      </c>
      <c r="B240" s="233" t="str">
        <f>VLOOKUP(Table3[[#This Row],[Document ID]],Table1[],2,FALSE)</f>
        <v>GNQ</v>
      </c>
      <c r="C240" s="233" t="str">
        <f>VLOOKUP(Table3[[#This Row],[Document ID]],Table1[],3,FALSE)</f>
        <v>Equatorial Guinea</v>
      </c>
      <c r="D240" s="233" t="str">
        <f>VLOOKUP(Table3[[#This Row],[Document ID]],Table1[],5,FALSE)</f>
        <v>NDC</v>
      </c>
      <c r="E240" s="233" t="str">
        <f>VLOOKUP(Table3[[#This Row],[Document ID]],Table1[],7,FALSE)</f>
        <v>First NDC</v>
      </c>
      <c r="F240" s="243" t="str">
        <f>VLOOKUP(Table3[[#This Row],[Document ID]],Table1[],8,FALSE)</f>
        <v>NDC 1.0</v>
      </c>
      <c r="G240" s="233" t="str">
        <f>VLOOKUP(Table3[[#This Row],[Document ID]],Table1[],10,FALSE)</f>
        <v>Archived</v>
      </c>
      <c r="H240" s="216" t="s">
        <v>1089</v>
      </c>
      <c r="I240" s="216" t="s">
        <v>1089</v>
      </c>
      <c r="J240" s="43" t="s">
        <v>1090</v>
      </c>
      <c r="K240" s="28" t="s">
        <v>1153</v>
      </c>
      <c r="L240" s="43" t="s">
        <v>1116</v>
      </c>
      <c r="M240" s="209"/>
      <c r="N240" s="176" t="s">
        <v>1358</v>
      </c>
      <c r="O240" s="258">
        <v>8</v>
      </c>
      <c r="P240" s="238" t="str">
        <f>VLOOKUP(_xlfn.CONCAT(Table3[[#This Row],[Target area]],Table3[[#This Row],[GHG target?]],Table3[[#This Row],[Conditionality]]),'Drop down'!$E$81:$F$101,2,FALSE)</f>
        <v>T_Economy</v>
      </c>
      <c r="Q240" s="239" t="str">
        <f>VLOOKUP(Table3[[#This Row],[Target type]],Table418[[Value name]:[Value idenifyer]],2,FALSE)</f>
        <v>T_BYE</v>
      </c>
      <c r="T240" s="240"/>
      <c r="V240" s="233" t="str">
        <f>VLOOKUP(Table3[[#This Row],[Country Code]],Table29[],3,FALSE)</f>
        <v>Non-Annex I</v>
      </c>
      <c r="W240" s="233" t="str">
        <f>VLOOKUP(Table3[[#This Row],[Country Code]],Table29[],4,FALSE)</f>
        <v>Africa</v>
      </c>
      <c r="X240" s="233" t="str">
        <f>VLOOKUP(Table3[[#This Row],[Country Code]],Table29[],5,FALSE)</f>
        <v>Middle-income</v>
      </c>
      <c r="Y240" s="233" t="str">
        <f>VLOOKUP(Table3[[#This Row],[Country Code]],Table29[],6,FALSE)</f>
        <v>no</v>
      </c>
      <c r="Z240" s="233" t="str">
        <f>VLOOKUP(Table3[[#This Row],[Country Code]],Table29[],7,FALSE)</f>
        <v>no</v>
      </c>
      <c r="AA240" s="233" t="str">
        <f>VLOOKUP(Table3[[#This Row],[Country Code]],Table29[],8,FALSE)</f>
        <v>non-OECD</v>
      </c>
      <c r="AB240" s="233" t="str">
        <f>VLOOKUP(Table3[[#This Row],[Country Code]],Table29[],9,FALSE)</f>
        <v>no</v>
      </c>
      <c r="AC240" s="233" t="str">
        <f>VLOOKUP(Table3[[#This Row],[Country Code]],Table29[],10,FALSE)</f>
        <v>no</v>
      </c>
      <c r="AD240" s="235">
        <f>VLOOKUP(Table3[[#This Row],[Country Code]],Table29[],23,FALSE)</f>
        <v>6.9820980789903002</v>
      </c>
      <c r="AE240" s="235">
        <f>VLOOKUP(Table3[[#This Row],[Country Code]],Table29[],24,FALSE)</f>
        <v>0.54145530040743117</v>
      </c>
      <c r="AF240" s="43"/>
    </row>
    <row r="241" spans="1:32" ht="30" x14ac:dyDescent="0.25">
      <c r="A241" s="360">
        <v>17585</v>
      </c>
      <c r="B241" s="233" t="str">
        <f>VLOOKUP(Table3[[#This Row],[Document ID]],Table1[],2,FALSE)</f>
        <v>ERI</v>
      </c>
      <c r="C241" s="233" t="str">
        <f>VLOOKUP(Table3[[#This Row],[Document ID]],Table1[],3,FALSE)</f>
        <v>Eritrea</v>
      </c>
      <c r="D241" s="233" t="str">
        <f>VLOOKUP(Table3[[#This Row],[Document ID]],Table1[],5,FALSE)</f>
        <v>NDC</v>
      </c>
      <c r="E241" s="233" t="str">
        <f>VLOOKUP(Table3[[#This Row],[Document ID]],Table1[],7,FALSE)</f>
        <v>First NDC</v>
      </c>
      <c r="F241" s="233" t="str">
        <f>VLOOKUP(Table3[[#This Row],[Document ID]],Table1[],8,FALSE)</f>
        <v>NDC 1.0</v>
      </c>
      <c r="G241" s="233" t="str">
        <f>VLOOKUP(Table3[[#This Row],[Document ID]],Table1[],10,FALSE)</f>
        <v>Active</v>
      </c>
      <c r="H241" s="216" t="s">
        <v>1089</v>
      </c>
      <c r="I241" s="216" t="s">
        <v>1089</v>
      </c>
      <c r="J241" s="43" t="s">
        <v>1090</v>
      </c>
      <c r="K241" s="28" t="s">
        <v>1091</v>
      </c>
      <c r="L241" s="42" t="s">
        <v>1099</v>
      </c>
      <c r="M241" s="209">
        <v>2025</v>
      </c>
      <c r="N241" s="176" t="s">
        <v>1359</v>
      </c>
      <c r="O241" s="258" t="s">
        <v>1094</v>
      </c>
      <c r="P241" s="238" t="str">
        <f>VLOOKUP(_xlfn.CONCAT(Table3[[#This Row],[Target area]],Table3[[#This Row],[GHG target?]],Table3[[#This Row],[Conditionality]]),'Drop down'!$E$81:$F$101,2,FALSE)</f>
        <v>T_Economy_Unc</v>
      </c>
      <c r="Q241" s="239" t="str">
        <f>VLOOKUP(Table3[[#This Row],[Target type]],Table418[[Value name]:[Value idenifyer]],2,FALSE)</f>
        <v>T_BAU</v>
      </c>
      <c r="T241" s="240"/>
      <c r="V241" s="233" t="str">
        <f>VLOOKUP(Table3[[#This Row],[Country Code]],Table29[],3,FALSE)</f>
        <v>Non-Annex I</v>
      </c>
      <c r="W241" s="233" t="str">
        <f>VLOOKUP(Table3[[#This Row],[Country Code]],Table29[],4,FALSE)</f>
        <v>Africa</v>
      </c>
      <c r="X241" s="233" t="str">
        <f>VLOOKUP(Table3[[#This Row],[Country Code]],Table29[],5,FALSE)</f>
        <v>Low-income</v>
      </c>
      <c r="Y241" s="233" t="str">
        <f>VLOOKUP(Table3[[#This Row],[Country Code]],Table29[],6,FALSE)</f>
        <v>no</v>
      </c>
      <c r="Z241" s="233" t="str">
        <f>VLOOKUP(Table3[[#This Row],[Country Code]],Table29[],7,FALSE)</f>
        <v>no</v>
      </c>
      <c r="AA241" s="233" t="str">
        <f>VLOOKUP(Table3[[#This Row],[Country Code]],Table29[],8,FALSE)</f>
        <v>non-OECD</v>
      </c>
      <c r="AB241" s="233" t="str">
        <f>VLOOKUP(Table3[[#This Row],[Country Code]],Table29[],9,FALSE)</f>
        <v>no</v>
      </c>
      <c r="AC241" s="233" t="str">
        <f>VLOOKUP(Table3[[#This Row],[Country Code]],Table29[],10,FALSE)</f>
        <v>no</v>
      </c>
      <c r="AD241" s="235">
        <f>VLOOKUP(Table3[[#This Row],[Country Code]],Table29[],23,FALSE)</f>
        <v>6.4018203690061002</v>
      </c>
      <c r="AE241" s="235">
        <f>VLOOKUP(Table3[[#This Row],[Country Code]],Table29[],24,FALSE)</f>
        <v>0.2140694731903762</v>
      </c>
      <c r="AF241" s="43"/>
    </row>
    <row r="242" spans="1:32" ht="30" x14ac:dyDescent="0.25">
      <c r="A242" s="360">
        <v>17585</v>
      </c>
      <c r="B242" s="233" t="str">
        <f>VLOOKUP(Table3[[#This Row],[Document ID]],Table1[],2,FALSE)</f>
        <v>ERI</v>
      </c>
      <c r="C242" s="233" t="str">
        <f>VLOOKUP(Table3[[#This Row],[Document ID]],Table1[],3,FALSE)</f>
        <v>Eritrea</v>
      </c>
      <c r="D242" s="233" t="str">
        <f>VLOOKUP(Table3[[#This Row],[Document ID]],Table1[],5,FALSE)</f>
        <v>NDC</v>
      </c>
      <c r="E242" s="233" t="str">
        <f>VLOOKUP(Table3[[#This Row],[Document ID]],Table1[],7,FALSE)</f>
        <v>First NDC</v>
      </c>
      <c r="F242" s="233" t="str">
        <f>VLOOKUP(Table3[[#This Row],[Document ID]],Table1[],8,FALSE)</f>
        <v>NDC 1.0</v>
      </c>
      <c r="G242" s="233" t="str">
        <f>VLOOKUP(Table3[[#This Row],[Document ID]],Table1[],10,FALSE)</f>
        <v>Active</v>
      </c>
      <c r="H242" s="216" t="s">
        <v>1089</v>
      </c>
      <c r="I242" s="216" t="s">
        <v>1089</v>
      </c>
      <c r="J242" s="43" t="s">
        <v>1090</v>
      </c>
      <c r="K242" s="28" t="s">
        <v>1091</v>
      </c>
      <c r="L242" s="216" t="s">
        <v>1092</v>
      </c>
      <c r="M242" s="209">
        <v>2030</v>
      </c>
      <c r="N242" s="176" t="s">
        <v>1360</v>
      </c>
      <c r="O242" s="258" t="s">
        <v>1094</v>
      </c>
      <c r="P242" s="238" t="str">
        <f>VLOOKUP(_xlfn.CONCAT(Table3[[#This Row],[Target area]],Table3[[#This Row],[GHG target?]],Table3[[#This Row],[Conditionality]]),'Drop down'!$E$81:$F$101,2,FALSE)</f>
        <v>T_Economy_C</v>
      </c>
      <c r="Q242" s="239" t="str">
        <f>VLOOKUP(Table3[[#This Row],[Target type]],Table418[[Value name]:[Value idenifyer]],2,FALSE)</f>
        <v>T_BAU</v>
      </c>
      <c r="T242" s="240"/>
      <c r="V242" s="233" t="str">
        <f>VLOOKUP(Table3[[#This Row],[Country Code]],Table29[],3,FALSE)</f>
        <v>Non-Annex I</v>
      </c>
      <c r="W242" s="233" t="str">
        <f>VLOOKUP(Table3[[#This Row],[Country Code]],Table29[],4,FALSE)</f>
        <v>Africa</v>
      </c>
      <c r="X242" s="233" t="str">
        <f>VLOOKUP(Table3[[#This Row],[Country Code]],Table29[],5,FALSE)</f>
        <v>Low-income</v>
      </c>
      <c r="Y242" s="233" t="str">
        <f>VLOOKUP(Table3[[#This Row],[Country Code]],Table29[],6,FALSE)</f>
        <v>no</v>
      </c>
      <c r="Z242" s="233" t="str">
        <f>VLOOKUP(Table3[[#This Row],[Country Code]],Table29[],7,FALSE)</f>
        <v>no</v>
      </c>
      <c r="AA242" s="233" t="str">
        <f>VLOOKUP(Table3[[#This Row],[Country Code]],Table29[],8,FALSE)</f>
        <v>non-OECD</v>
      </c>
      <c r="AB242" s="233" t="str">
        <f>VLOOKUP(Table3[[#This Row],[Country Code]],Table29[],9,FALSE)</f>
        <v>no</v>
      </c>
      <c r="AC242" s="233" t="str">
        <f>VLOOKUP(Table3[[#This Row],[Country Code]],Table29[],10,FALSE)</f>
        <v>no</v>
      </c>
      <c r="AD242" s="235">
        <f>VLOOKUP(Table3[[#This Row],[Country Code]],Table29[],23,FALSE)</f>
        <v>6.4018203690061002</v>
      </c>
      <c r="AE242" s="235">
        <f>VLOOKUP(Table3[[#This Row],[Country Code]],Table29[],24,FALSE)</f>
        <v>0.2140694731903762</v>
      </c>
      <c r="AF242" s="43"/>
    </row>
    <row r="243" spans="1:32" ht="30" x14ac:dyDescent="0.25">
      <c r="A243" s="360">
        <v>17540</v>
      </c>
      <c r="B243" s="233" t="str">
        <f>VLOOKUP(Table3[[#This Row],[Document ID]],Table1[],2,FALSE)</f>
        <v>BRN</v>
      </c>
      <c r="C243" s="233" t="str">
        <f>VLOOKUP(Table3[[#This Row],[Document ID]],Table1[],3,FALSE)</f>
        <v>Brunei Darussalam</v>
      </c>
      <c r="D243" s="233" t="str">
        <f>VLOOKUP(Table3[[#This Row],[Document ID]],Table1[],5,FALSE)</f>
        <v>NDC</v>
      </c>
      <c r="E243" s="233" t="str">
        <f>VLOOKUP(Table3[[#This Row],[Document ID]],Table1[],7,FALSE)</f>
        <v>First NDC</v>
      </c>
      <c r="F243" s="233" t="str">
        <f>VLOOKUP(Table3[[#This Row],[Document ID]],Table1[],8,FALSE)</f>
        <v>NDC 1.0</v>
      </c>
      <c r="G243" s="233" t="str">
        <f>VLOOKUP(Table3[[#This Row],[Document ID]],Table1[],10,FALSE)</f>
        <v>Archived</v>
      </c>
      <c r="H243" s="42" t="s">
        <v>1095</v>
      </c>
      <c r="I243" s="42" t="s">
        <v>1096</v>
      </c>
      <c r="J243" s="42" t="s">
        <v>1097</v>
      </c>
      <c r="K243" s="28" t="s">
        <v>1104</v>
      </c>
      <c r="L243" s="389" t="s">
        <v>1099</v>
      </c>
      <c r="M243" s="209">
        <v>2035</v>
      </c>
      <c r="N243" s="44" t="s">
        <v>1361</v>
      </c>
      <c r="O243" s="221">
        <v>10</v>
      </c>
      <c r="P243" s="238" t="str">
        <f>VLOOKUP(_xlfn.CONCAT(Table3[[#This Row],[Target area]],Table3[[#This Row],[GHG target?]],Table3[[#This Row],[Conditionality]]),'Drop down'!$E$81:$F$101,2,FALSE)</f>
        <v>T_Transport_O_Unc</v>
      </c>
      <c r="Q243" s="239" t="str">
        <f>VLOOKUP(Table3[[#This Row],[Target type]],Table418[[Value name]:[Value idenifyer]],2,FALSE)</f>
        <v>T_O_ZERO</v>
      </c>
      <c r="S243" s="233" t="s">
        <v>1101</v>
      </c>
      <c r="V243" s="233" t="str">
        <f>VLOOKUP(Table3[[#This Row],[Country Code]],Table29[],3,FALSE)</f>
        <v>Non-Annex I</v>
      </c>
      <c r="W243" s="233" t="str">
        <f>VLOOKUP(Table3[[#This Row],[Country Code]],Table29[],4,FALSE)</f>
        <v>Asia</v>
      </c>
      <c r="X243" s="233" t="str">
        <f>VLOOKUP(Table3[[#This Row],[Country Code]],Table29[],5,FALSE)</f>
        <v>High-income</v>
      </c>
      <c r="Y243" s="233" t="str">
        <f>VLOOKUP(Table3[[#This Row],[Country Code]],Table29[],6,FALSE)</f>
        <v>no</v>
      </c>
      <c r="Z243" s="233" t="str">
        <f>VLOOKUP(Table3[[#This Row],[Country Code]],Table29[],7,FALSE)</f>
        <v>no</v>
      </c>
      <c r="AA243" s="233" t="str">
        <f>VLOOKUP(Table3[[#This Row],[Country Code]],Table29[],8,FALSE)</f>
        <v>non-OECD</v>
      </c>
      <c r="AB243" s="233" t="str">
        <f>VLOOKUP(Table3[[#This Row],[Country Code]],Table29[],9,FALSE)</f>
        <v>no</v>
      </c>
      <c r="AC243" s="233" t="str">
        <f>VLOOKUP(Table3[[#This Row],[Country Code]],Table29[],10,FALSE)</f>
        <v>no</v>
      </c>
      <c r="AD243" s="235">
        <f>VLOOKUP(Table3[[#This Row],[Country Code]],Table29[],23,FALSE)</f>
        <v>12.157942508343</v>
      </c>
      <c r="AE243" s="235">
        <f>VLOOKUP(Table3[[#This Row],[Country Code]],Table29[],24,FALSE)</f>
        <v>1.259434350959115</v>
      </c>
      <c r="AF243" s="43"/>
    </row>
    <row r="244" spans="1:32" x14ac:dyDescent="0.25">
      <c r="A244" s="360">
        <v>23377</v>
      </c>
      <c r="B244" s="233" t="str">
        <f>VLOOKUP(Table3[[#This Row],[Document ID]],Table1[],2,FALSE)</f>
        <v>SWZ</v>
      </c>
      <c r="C244" s="233" t="str">
        <f>VLOOKUP(Table3[[#This Row],[Document ID]],Table1[],3,FALSE)</f>
        <v>Eswatini</v>
      </c>
      <c r="D244" s="233" t="str">
        <f>VLOOKUP(Table3[[#This Row],[Document ID]],Table1[],5,FALSE)</f>
        <v>NDC</v>
      </c>
      <c r="E244" s="233" t="str">
        <f>VLOOKUP(Table3[[#This Row],[Document ID]],Table1[],7,FALSE)</f>
        <v>First NDC updated</v>
      </c>
      <c r="F244" s="233" t="str">
        <f>VLOOKUP(Table3[[#This Row],[Document ID]],Table1[],8,FALSE)</f>
        <v>NDC 1.1</v>
      </c>
      <c r="G244" s="233" t="str">
        <f>VLOOKUP(Table3[[#This Row],[Document ID]],Table1[],10,FALSE)</f>
        <v>Active</v>
      </c>
      <c r="H244" s="216" t="s">
        <v>1089</v>
      </c>
      <c r="I244" s="216" t="s">
        <v>1089</v>
      </c>
      <c r="J244" s="43" t="s">
        <v>1090</v>
      </c>
      <c r="K244" s="28" t="s">
        <v>1091</v>
      </c>
      <c r="L244" s="42" t="s">
        <v>1099</v>
      </c>
      <c r="M244" s="209">
        <v>2030</v>
      </c>
      <c r="N244" s="209" t="s">
        <v>1362</v>
      </c>
      <c r="O244" s="257">
        <v>2</v>
      </c>
      <c r="P244" s="238" t="str">
        <f>VLOOKUP(_xlfn.CONCAT(Table3[[#This Row],[Target area]],Table3[[#This Row],[GHG target?]],Table3[[#This Row],[Conditionality]]),'Drop down'!$E$81:$F$101,2,FALSE)</f>
        <v>T_Economy_Unc</v>
      </c>
      <c r="Q244" s="239" t="str">
        <f>VLOOKUP(Table3[[#This Row],[Target type]],Table418[[Value name]:[Value idenifyer]],2,FALSE)</f>
        <v>T_BAU</v>
      </c>
      <c r="S244" s="233" t="s">
        <v>1101</v>
      </c>
      <c r="T244" s="240"/>
      <c r="U244" s="240"/>
      <c r="V244" s="233" t="str">
        <f>VLOOKUP(Table3[[#This Row],[Country Code]],Table29[],3,FALSE)</f>
        <v>Non-Annex I</v>
      </c>
      <c r="W244" s="233" t="str">
        <f>VLOOKUP(Table3[[#This Row],[Country Code]],Table29[],4,FALSE)</f>
        <v>Africa</v>
      </c>
      <c r="X244" s="233" t="str">
        <f>VLOOKUP(Table3[[#This Row],[Country Code]],Table29[],5,FALSE)</f>
        <v>Middle-income</v>
      </c>
      <c r="Y244" s="233" t="str">
        <f>VLOOKUP(Table3[[#This Row],[Country Code]],Table29[],6,FALSE)</f>
        <v>no</v>
      </c>
      <c r="Z244" s="233" t="str">
        <f>VLOOKUP(Table3[[#This Row],[Country Code]],Table29[],7,FALSE)</f>
        <v>no</v>
      </c>
      <c r="AA244" s="233" t="str">
        <f>VLOOKUP(Table3[[#This Row],[Country Code]],Table29[],8,FALSE)</f>
        <v>non-OECD</v>
      </c>
      <c r="AB244" s="233" t="str">
        <f>VLOOKUP(Table3[[#This Row],[Country Code]],Table29[],9,FALSE)</f>
        <v>no</v>
      </c>
      <c r="AC244" s="233" t="str">
        <f>VLOOKUP(Table3[[#This Row],[Country Code]],Table29[],10,FALSE)</f>
        <v>no</v>
      </c>
      <c r="AD244" s="235">
        <f>VLOOKUP(Table3[[#This Row],[Country Code]],Table29[],23,FALSE)</f>
        <v>3.2895503749739001</v>
      </c>
      <c r="AE244" s="235">
        <f>VLOOKUP(Table3[[#This Row],[Country Code]],Table29[],24,FALSE)</f>
        <v>0.8680947820135414</v>
      </c>
      <c r="AF244" s="43"/>
    </row>
    <row r="245" spans="1:32" x14ac:dyDescent="0.25">
      <c r="A245" s="360">
        <v>23377</v>
      </c>
      <c r="B245" s="233" t="str">
        <f>VLOOKUP(Table3[[#This Row],[Document ID]],Table1[],2,FALSE)</f>
        <v>SWZ</v>
      </c>
      <c r="C245" s="233" t="str">
        <f>VLOOKUP(Table3[[#This Row],[Document ID]],Table1[],3,FALSE)</f>
        <v>Eswatini</v>
      </c>
      <c r="D245" s="233" t="str">
        <f>VLOOKUP(Table3[[#This Row],[Document ID]],Table1[],5,FALSE)</f>
        <v>NDC</v>
      </c>
      <c r="E245" s="233" t="str">
        <f>VLOOKUP(Table3[[#This Row],[Document ID]],Table1[],7,FALSE)</f>
        <v>First NDC updated</v>
      </c>
      <c r="F245" s="233" t="str">
        <f>VLOOKUP(Table3[[#This Row],[Document ID]],Table1[],8,FALSE)</f>
        <v>NDC 1.1</v>
      </c>
      <c r="G245" s="233" t="str">
        <f>VLOOKUP(Table3[[#This Row],[Document ID]],Table1[],10,FALSE)</f>
        <v>Active</v>
      </c>
      <c r="H245" s="216" t="s">
        <v>1089</v>
      </c>
      <c r="I245" s="216" t="s">
        <v>1089</v>
      </c>
      <c r="J245" s="43" t="s">
        <v>1090</v>
      </c>
      <c r="K245" s="28" t="s">
        <v>1091</v>
      </c>
      <c r="L245" s="216" t="s">
        <v>1092</v>
      </c>
      <c r="M245" s="209">
        <v>2030</v>
      </c>
      <c r="N245" s="209" t="s">
        <v>1363</v>
      </c>
      <c r="O245" s="257">
        <v>2</v>
      </c>
      <c r="P245" s="238" t="str">
        <f>VLOOKUP(_xlfn.CONCAT(Table3[[#This Row],[Target area]],Table3[[#This Row],[GHG target?]],Table3[[#This Row],[Conditionality]]),'Drop down'!$E$81:$F$101,2,FALSE)</f>
        <v>T_Economy_C</v>
      </c>
      <c r="Q245" s="239" t="str">
        <f>VLOOKUP(Table3[[#This Row],[Target type]],Table418[[Value name]:[Value idenifyer]],2,FALSE)</f>
        <v>T_BAU</v>
      </c>
      <c r="S245" s="233" t="s">
        <v>1101</v>
      </c>
      <c r="T245" s="240"/>
      <c r="U245" s="240"/>
      <c r="V245" s="233" t="str">
        <f>VLOOKUP(Table3[[#This Row],[Country Code]],Table29[],3,FALSE)</f>
        <v>Non-Annex I</v>
      </c>
      <c r="W245" s="233" t="str">
        <f>VLOOKUP(Table3[[#This Row],[Country Code]],Table29[],4,FALSE)</f>
        <v>Africa</v>
      </c>
      <c r="X245" s="233" t="str">
        <f>VLOOKUP(Table3[[#This Row],[Country Code]],Table29[],5,FALSE)</f>
        <v>Middle-income</v>
      </c>
      <c r="Y245" s="233" t="str">
        <f>VLOOKUP(Table3[[#This Row],[Country Code]],Table29[],6,FALSE)</f>
        <v>no</v>
      </c>
      <c r="Z245" s="233" t="str">
        <f>VLOOKUP(Table3[[#This Row],[Country Code]],Table29[],7,FALSE)</f>
        <v>no</v>
      </c>
      <c r="AA245" s="233" t="str">
        <f>VLOOKUP(Table3[[#This Row],[Country Code]],Table29[],8,FALSE)</f>
        <v>non-OECD</v>
      </c>
      <c r="AB245" s="233" t="str">
        <f>VLOOKUP(Table3[[#This Row],[Country Code]],Table29[],9,FALSE)</f>
        <v>no</v>
      </c>
      <c r="AC245" s="233" t="str">
        <f>VLOOKUP(Table3[[#This Row],[Country Code]],Table29[],10,FALSE)</f>
        <v>no</v>
      </c>
      <c r="AD245" s="235">
        <f>VLOOKUP(Table3[[#This Row],[Country Code]],Table29[],23,FALSE)</f>
        <v>3.2895503749739001</v>
      </c>
      <c r="AE245" s="235">
        <f>VLOOKUP(Table3[[#This Row],[Country Code]],Table29[],24,FALSE)</f>
        <v>0.8680947820135414</v>
      </c>
      <c r="AF245" s="43"/>
    </row>
    <row r="246" spans="1:32" ht="30" x14ac:dyDescent="0.25">
      <c r="A246" s="360">
        <v>17541</v>
      </c>
      <c r="B246" s="233" t="str">
        <f>VLOOKUP(Table3[[#This Row],[Document ID]],Table1[],2,FALSE)</f>
        <v>BRN</v>
      </c>
      <c r="C246" s="233" t="str">
        <f>VLOOKUP(Table3[[#This Row],[Document ID]],Table1[],3,FALSE)</f>
        <v>Brunei Darussalam</v>
      </c>
      <c r="D246" s="233" t="str">
        <f>VLOOKUP(Table3[[#This Row],[Document ID]],Table1[],5,FALSE)</f>
        <v>NDC</v>
      </c>
      <c r="E246" s="233" t="str">
        <f>VLOOKUP(Table3[[#This Row],[Document ID]],Table1[],7,FALSE)</f>
        <v>First NDC updated</v>
      </c>
      <c r="F246" s="233" t="str">
        <f>VLOOKUP(Table3[[#This Row],[Document ID]],Table1[],8,FALSE)</f>
        <v>NDC 1.1</v>
      </c>
      <c r="G246" s="233" t="str">
        <f>VLOOKUP(Table3[[#This Row],[Document ID]],Table1[],10,FALSE)</f>
        <v>Active</v>
      </c>
      <c r="H246" s="42" t="s">
        <v>1095</v>
      </c>
      <c r="I246" s="42" t="s">
        <v>1096</v>
      </c>
      <c r="J246" s="42" t="s">
        <v>1097</v>
      </c>
      <c r="K246" s="28" t="s">
        <v>1104</v>
      </c>
      <c r="L246" s="42" t="s">
        <v>1099</v>
      </c>
      <c r="M246" s="209">
        <v>2035</v>
      </c>
      <c r="N246" s="22" t="s">
        <v>1364</v>
      </c>
      <c r="O246" s="221"/>
      <c r="P246" s="238" t="str">
        <f>VLOOKUP(_xlfn.CONCAT(Table3[[#This Row],[Target area]],Table3[[#This Row],[GHG target?]],Table3[[#This Row],[Conditionality]]),'Drop down'!$E$81:$F$101,2,FALSE)</f>
        <v>T_Transport_O_Unc</v>
      </c>
      <c r="Q246" s="239" t="str">
        <f>VLOOKUP(Table3[[#This Row],[Target type]],Table418[[Value name]:[Value idenifyer]],2,FALSE)</f>
        <v>T_O_ZERO</v>
      </c>
      <c r="S246" s="233" t="s">
        <v>1101</v>
      </c>
      <c r="V246" s="233" t="str">
        <f>VLOOKUP(Table3[[#This Row],[Country Code]],Table29[],3,FALSE)</f>
        <v>Non-Annex I</v>
      </c>
      <c r="W246" s="233" t="str">
        <f>VLOOKUP(Table3[[#This Row],[Country Code]],Table29[],4,FALSE)</f>
        <v>Asia</v>
      </c>
      <c r="X246" s="233" t="str">
        <f>VLOOKUP(Table3[[#This Row],[Country Code]],Table29[],5,FALSE)</f>
        <v>High-income</v>
      </c>
      <c r="Y246" s="233" t="str">
        <f>VLOOKUP(Table3[[#This Row],[Country Code]],Table29[],6,FALSE)</f>
        <v>no</v>
      </c>
      <c r="Z246" s="233" t="str">
        <f>VLOOKUP(Table3[[#This Row],[Country Code]],Table29[],7,FALSE)</f>
        <v>no</v>
      </c>
      <c r="AA246" s="233" t="str">
        <f>VLOOKUP(Table3[[#This Row],[Country Code]],Table29[],8,FALSE)</f>
        <v>non-OECD</v>
      </c>
      <c r="AB246" s="233" t="str">
        <f>VLOOKUP(Table3[[#This Row],[Country Code]],Table29[],9,FALSE)</f>
        <v>no</v>
      </c>
      <c r="AC246" s="233" t="str">
        <f>VLOOKUP(Table3[[#This Row],[Country Code]],Table29[],10,FALSE)</f>
        <v>no</v>
      </c>
      <c r="AD246" s="235">
        <f>VLOOKUP(Table3[[#This Row],[Country Code]],Table29[],23,FALSE)</f>
        <v>12.157942508343</v>
      </c>
      <c r="AE246" s="235">
        <f>VLOOKUP(Table3[[#This Row],[Country Code]],Table29[],24,FALSE)</f>
        <v>1.259434350959115</v>
      </c>
      <c r="AF246" s="43"/>
    </row>
    <row r="247" spans="1:32" x14ac:dyDescent="0.25">
      <c r="A247" s="360">
        <v>17588</v>
      </c>
      <c r="B247" s="233" t="str">
        <f>VLOOKUP(Table3[[#This Row],[Document ID]],Table1[],2,FALSE)</f>
        <v>ETH</v>
      </c>
      <c r="C247" s="233" t="str">
        <f>VLOOKUP(Table3[[#This Row],[Document ID]],Table1[],3,FALSE)</f>
        <v>Ethiopia</v>
      </c>
      <c r="D247" s="233" t="str">
        <f>VLOOKUP(Table3[[#This Row],[Document ID]],Table1[],5,FALSE)</f>
        <v>NDC</v>
      </c>
      <c r="E247" s="233" t="str">
        <f>VLOOKUP(Table3[[#This Row],[Document ID]],Table1[],7,FALSE)</f>
        <v>First NDC updated</v>
      </c>
      <c r="F247" s="233" t="str">
        <f>VLOOKUP(Table3[[#This Row],[Document ID]],Table1[],8,FALSE)</f>
        <v>NDC 1.1</v>
      </c>
      <c r="G247" s="233" t="str">
        <f>VLOOKUP(Table3[[#This Row],[Document ID]],Table1[],10,FALSE)</f>
        <v>Active</v>
      </c>
      <c r="H247" s="216" t="s">
        <v>1089</v>
      </c>
      <c r="I247" s="216" t="s">
        <v>1089</v>
      </c>
      <c r="J247" s="43" t="s">
        <v>1090</v>
      </c>
      <c r="K247" s="28" t="s">
        <v>1091</v>
      </c>
      <c r="L247" s="42" t="s">
        <v>1099</v>
      </c>
      <c r="M247" s="209">
        <v>2030</v>
      </c>
      <c r="N247" s="209" t="s">
        <v>1365</v>
      </c>
      <c r="O247" s="257">
        <v>10</v>
      </c>
      <c r="P247" s="238" t="str">
        <f>VLOOKUP(_xlfn.CONCAT(Table3[[#This Row],[Target area]],Table3[[#This Row],[GHG target?]],Table3[[#This Row],[Conditionality]]),'Drop down'!$E$81:$F$101,2,FALSE)</f>
        <v>T_Economy_Unc</v>
      </c>
      <c r="Q247" s="239" t="str">
        <f>VLOOKUP(Table3[[#This Row],[Target type]],Table418[[Value name]:[Value idenifyer]],2,FALSE)</f>
        <v>T_BAU</v>
      </c>
      <c r="T247" s="234" t="s">
        <v>1113</v>
      </c>
      <c r="V247" s="233" t="str">
        <f>VLOOKUP(Table3[[#This Row],[Country Code]],Table29[],3,FALSE)</f>
        <v>Non-Annex I</v>
      </c>
      <c r="W247" s="233" t="str">
        <f>VLOOKUP(Table3[[#This Row],[Country Code]],Table29[],4,FALSE)</f>
        <v>Africa</v>
      </c>
      <c r="X247" s="233" t="str">
        <f>VLOOKUP(Table3[[#This Row],[Country Code]],Table29[],5,FALSE)</f>
        <v>Low-income</v>
      </c>
      <c r="Y247" s="233" t="str">
        <f>VLOOKUP(Table3[[#This Row],[Country Code]],Table29[],6,FALSE)</f>
        <v>no</v>
      </c>
      <c r="Z247" s="233" t="str">
        <f>VLOOKUP(Table3[[#This Row],[Country Code]],Table29[],7,FALSE)</f>
        <v>no</v>
      </c>
      <c r="AA247" s="233" t="str">
        <f>VLOOKUP(Table3[[#This Row],[Country Code]],Table29[],8,FALSE)</f>
        <v>non-OECD</v>
      </c>
      <c r="AB247" s="233" t="str">
        <f>VLOOKUP(Table3[[#This Row],[Country Code]],Table29[],9,FALSE)</f>
        <v>no</v>
      </c>
      <c r="AC247" s="233" t="str">
        <f>VLOOKUP(Table3[[#This Row],[Country Code]],Table29[],10,FALSE)</f>
        <v>no</v>
      </c>
      <c r="AD247" s="235">
        <f>VLOOKUP(Table3[[#This Row],[Country Code]],Table29[],23,FALSE)</f>
        <v>170.03385065136999</v>
      </c>
      <c r="AE247" s="235">
        <f>VLOOKUP(Table3[[#This Row],[Country Code]],Table29[],24,FALSE)</f>
        <v>6.7537831121432941</v>
      </c>
      <c r="AF247" s="43"/>
    </row>
    <row r="248" spans="1:32" x14ac:dyDescent="0.25">
      <c r="A248" s="360">
        <v>17588</v>
      </c>
      <c r="B248" s="233" t="str">
        <f>VLOOKUP(Table3[[#This Row],[Document ID]],Table1[],2,FALSE)</f>
        <v>ETH</v>
      </c>
      <c r="C248" s="233" t="str">
        <f>VLOOKUP(Table3[[#This Row],[Document ID]],Table1[],3,FALSE)</f>
        <v>Ethiopia</v>
      </c>
      <c r="D248" s="233" t="str">
        <f>VLOOKUP(Table3[[#This Row],[Document ID]],Table1[],5,FALSE)</f>
        <v>NDC</v>
      </c>
      <c r="E248" s="233" t="str">
        <f>VLOOKUP(Table3[[#This Row],[Document ID]],Table1[],7,FALSE)</f>
        <v>First NDC updated</v>
      </c>
      <c r="F248" s="233" t="str">
        <f>VLOOKUP(Table3[[#This Row],[Document ID]],Table1[],8,FALSE)</f>
        <v>NDC 1.1</v>
      </c>
      <c r="G248" s="233" t="str">
        <f>VLOOKUP(Table3[[#This Row],[Document ID]],Table1[],10,FALSE)</f>
        <v>Active</v>
      </c>
      <c r="H248" s="216" t="s">
        <v>1089</v>
      </c>
      <c r="I248" s="216" t="s">
        <v>1089</v>
      </c>
      <c r="J248" s="43" t="s">
        <v>1090</v>
      </c>
      <c r="K248" s="28" t="s">
        <v>1091</v>
      </c>
      <c r="L248" s="216" t="s">
        <v>1092</v>
      </c>
      <c r="M248" s="209">
        <v>2030</v>
      </c>
      <c r="N248" s="209" t="s">
        <v>1366</v>
      </c>
      <c r="O248" s="257">
        <v>10</v>
      </c>
      <c r="P248" s="238" t="str">
        <f>VLOOKUP(_xlfn.CONCAT(Table3[[#This Row],[Target area]],Table3[[#This Row],[GHG target?]],Table3[[#This Row],[Conditionality]]),'Drop down'!$E$81:$F$101,2,FALSE)</f>
        <v>T_Economy_C</v>
      </c>
      <c r="Q248" s="239" t="str">
        <f>VLOOKUP(Table3[[#This Row],[Target type]],Table418[[Value name]:[Value idenifyer]],2,FALSE)</f>
        <v>T_BAU</v>
      </c>
      <c r="T248" s="234" t="s">
        <v>1113</v>
      </c>
      <c r="V248" s="233" t="str">
        <f>VLOOKUP(Table3[[#This Row],[Country Code]],Table29[],3,FALSE)</f>
        <v>Non-Annex I</v>
      </c>
      <c r="W248" s="233" t="str">
        <f>VLOOKUP(Table3[[#This Row],[Country Code]],Table29[],4,FALSE)</f>
        <v>Africa</v>
      </c>
      <c r="X248" s="233" t="str">
        <f>VLOOKUP(Table3[[#This Row],[Country Code]],Table29[],5,FALSE)</f>
        <v>Low-income</v>
      </c>
      <c r="Y248" s="233" t="str">
        <f>VLOOKUP(Table3[[#This Row],[Country Code]],Table29[],6,FALSE)</f>
        <v>no</v>
      </c>
      <c r="Z248" s="233" t="str">
        <f>VLOOKUP(Table3[[#This Row],[Country Code]],Table29[],7,FALSE)</f>
        <v>no</v>
      </c>
      <c r="AA248" s="233" t="str">
        <f>VLOOKUP(Table3[[#This Row],[Country Code]],Table29[],8,FALSE)</f>
        <v>non-OECD</v>
      </c>
      <c r="AB248" s="233" t="str">
        <f>VLOOKUP(Table3[[#This Row],[Country Code]],Table29[],9,FALSE)</f>
        <v>no</v>
      </c>
      <c r="AC248" s="233" t="str">
        <f>VLOOKUP(Table3[[#This Row],[Country Code]],Table29[],10,FALSE)</f>
        <v>no</v>
      </c>
      <c r="AD248" s="235">
        <f>VLOOKUP(Table3[[#This Row],[Country Code]],Table29[],23,FALSE)</f>
        <v>170.03385065136999</v>
      </c>
      <c r="AE248" s="235">
        <f>VLOOKUP(Table3[[#This Row],[Country Code]],Table29[],24,FALSE)</f>
        <v>6.7537831121432941</v>
      </c>
      <c r="AF248" s="43"/>
    </row>
    <row r="249" spans="1:32" ht="60" x14ac:dyDescent="0.25">
      <c r="A249" s="367">
        <v>39440</v>
      </c>
      <c r="B249" s="233" t="str">
        <f>VLOOKUP(Table3[[#This Row],[Document ID]],Table1[],2,FALSE)</f>
        <v>BTN</v>
      </c>
      <c r="C249" s="233" t="str">
        <f>VLOOKUP(Table3[[#This Row],[Document ID]],Table1[],3,FALSE)</f>
        <v>Bhutan</v>
      </c>
      <c r="D249" s="233" t="str">
        <f>VLOOKUP(Table3[[#This Row],[Document ID]],Table1[],5,FALSE)</f>
        <v>LTS</v>
      </c>
      <c r="E249" s="233" t="str">
        <f>VLOOKUP(Table3[[#This Row],[Document ID]],Table1[],7,FALSE)</f>
        <v>LTS</v>
      </c>
      <c r="F249" s="241" t="str">
        <f>VLOOKUP(Table3[[#This Row],[Document ID]],Table1[],8,FALSE)</f>
        <v>LTS 1.0</v>
      </c>
      <c r="G249" s="233" t="str">
        <f>VLOOKUP(Table3[[#This Row],[Document ID]],Table1[],10,FALSE)</f>
        <v>Active</v>
      </c>
      <c r="H249" s="42" t="s">
        <v>1095</v>
      </c>
      <c r="I249" s="43" t="s">
        <v>1115</v>
      </c>
      <c r="J249" s="42" t="s">
        <v>1097</v>
      </c>
      <c r="K249" s="28" t="s">
        <v>1104</v>
      </c>
      <c r="L249" s="389" t="s">
        <v>1099</v>
      </c>
      <c r="M249" s="209">
        <v>2050</v>
      </c>
      <c r="N249" s="209" t="s">
        <v>1367</v>
      </c>
      <c r="O249" s="258">
        <v>8</v>
      </c>
      <c r="P249" s="238" t="str">
        <f>VLOOKUP(_xlfn.CONCAT(Table3[[#This Row],[Target area]],Table3[[#This Row],[GHG target?]],Table3[[#This Row],[Conditionality]]),'Drop down'!$E$81:$F$101,2,FALSE)</f>
        <v>T_Transport_O_Unc</v>
      </c>
      <c r="Q249" s="239" t="str">
        <f>VLOOKUP(Table3[[#This Row],[Target type]],Table418[[Value name]:[Value idenifyer]],2,FALSE)</f>
        <v>T_O_ZERO</v>
      </c>
      <c r="S249" s="233" t="s">
        <v>1101</v>
      </c>
      <c r="T249" s="234" t="s">
        <v>1113</v>
      </c>
      <c r="U249" s="240"/>
      <c r="V249" s="233" t="str">
        <f>VLOOKUP(Table3[[#This Row],[Country Code]],Table29[],3,FALSE)</f>
        <v>Non-Annex I</v>
      </c>
      <c r="W249" s="233" t="str">
        <f>VLOOKUP(Table3[[#This Row],[Country Code]],Table29[],4,FALSE)</f>
        <v>Asia</v>
      </c>
      <c r="X249" s="233" t="str">
        <f>VLOOKUP(Table3[[#This Row],[Country Code]],Table29[],5,FALSE)</f>
        <v>Middle-income</v>
      </c>
      <c r="Y249" s="233" t="str">
        <f>VLOOKUP(Table3[[#This Row],[Country Code]],Table29[],6,FALSE)</f>
        <v>no</v>
      </c>
      <c r="Z249" s="233" t="str">
        <f>VLOOKUP(Table3[[#This Row],[Country Code]],Table29[],7,FALSE)</f>
        <v>no</v>
      </c>
      <c r="AA249" s="233" t="str">
        <f>VLOOKUP(Table3[[#This Row],[Country Code]],Table29[],8,FALSE)</f>
        <v>non-OECD</v>
      </c>
      <c r="AB249" s="233" t="str">
        <f>VLOOKUP(Table3[[#This Row],[Country Code]],Table29[],9,FALSE)</f>
        <v>no</v>
      </c>
      <c r="AC249" s="233" t="str">
        <f>VLOOKUP(Table3[[#This Row],[Country Code]],Table29[],10,FALSE)</f>
        <v>no</v>
      </c>
      <c r="AD249" s="235">
        <f>VLOOKUP(Table3[[#This Row],[Country Code]],Table29[],23,FALSE)</f>
        <v>3.2548573740653</v>
      </c>
      <c r="AE249" s="235">
        <f>VLOOKUP(Table3[[#This Row],[Country Code]],Table29[],24,FALSE)</f>
        <v>0.43507987337923443</v>
      </c>
      <c r="AF249" s="42"/>
    </row>
    <row r="250" spans="1:32" x14ac:dyDescent="0.25">
      <c r="A250" s="360">
        <v>17587</v>
      </c>
      <c r="B250" s="233" t="str">
        <f>VLOOKUP(Table3[[#This Row],[Document ID]],Table1[],2,FALSE)</f>
        <v>ETH</v>
      </c>
      <c r="C250" s="233" t="str">
        <f>VLOOKUP(Table3[[#This Row],[Document ID]],Table1[],3,FALSE)</f>
        <v>Ethiopia</v>
      </c>
      <c r="D250" s="233" t="str">
        <f>VLOOKUP(Table3[[#This Row],[Document ID]],Table1[],5,FALSE)</f>
        <v>NDC</v>
      </c>
      <c r="E250" s="233" t="str">
        <f>VLOOKUP(Table3[[#This Row],[Document ID]],Table1[],7,FALSE)</f>
        <v>First NDC</v>
      </c>
      <c r="F250" s="233" t="str">
        <f>VLOOKUP(Table3[[#This Row],[Document ID]],Table1[],8,FALSE)</f>
        <v>NDC 1.0</v>
      </c>
      <c r="G250" s="233" t="str">
        <f>VLOOKUP(Table3[[#This Row],[Document ID]],Table1[],10,FALSE)</f>
        <v>Archived</v>
      </c>
      <c r="H250" s="216" t="s">
        <v>1089</v>
      </c>
      <c r="I250" s="216" t="s">
        <v>1089</v>
      </c>
      <c r="J250" s="43" t="s">
        <v>1090</v>
      </c>
      <c r="K250" s="28" t="s">
        <v>1091</v>
      </c>
      <c r="L250" s="216" t="s">
        <v>1092</v>
      </c>
      <c r="M250" s="209">
        <v>2030</v>
      </c>
      <c r="N250" s="176" t="s">
        <v>1368</v>
      </c>
      <c r="O250" s="258" t="s">
        <v>1094</v>
      </c>
      <c r="P250" s="238" t="str">
        <f>VLOOKUP(_xlfn.CONCAT(Table3[[#This Row],[Target area]],Table3[[#This Row],[GHG target?]],Table3[[#This Row],[Conditionality]]),'Drop down'!$E$81:$F$101,2,FALSE)</f>
        <v>T_Economy_C</v>
      </c>
      <c r="Q250" s="239" t="str">
        <f>VLOOKUP(Table3[[#This Row],[Target type]],Table418[[Value name]:[Value idenifyer]],2,FALSE)</f>
        <v>T_BAU</v>
      </c>
      <c r="S250" s="233" t="s">
        <v>1112</v>
      </c>
      <c r="T250" s="234" t="s">
        <v>1113</v>
      </c>
      <c r="V250" s="233" t="str">
        <f>VLOOKUP(Table3[[#This Row],[Country Code]],Table29[],3,FALSE)</f>
        <v>Non-Annex I</v>
      </c>
      <c r="W250" s="233" t="str">
        <f>VLOOKUP(Table3[[#This Row],[Country Code]],Table29[],4,FALSE)</f>
        <v>Africa</v>
      </c>
      <c r="X250" s="233" t="str">
        <f>VLOOKUP(Table3[[#This Row],[Country Code]],Table29[],5,FALSE)</f>
        <v>Low-income</v>
      </c>
      <c r="Y250" s="233" t="str">
        <f>VLOOKUP(Table3[[#This Row],[Country Code]],Table29[],6,FALSE)</f>
        <v>no</v>
      </c>
      <c r="Z250" s="233" t="str">
        <f>VLOOKUP(Table3[[#This Row],[Country Code]],Table29[],7,FALSE)</f>
        <v>no</v>
      </c>
      <c r="AA250" s="233" t="str">
        <f>VLOOKUP(Table3[[#This Row],[Country Code]],Table29[],8,FALSE)</f>
        <v>non-OECD</v>
      </c>
      <c r="AB250" s="233" t="str">
        <f>VLOOKUP(Table3[[#This Row],[Country Code]],Table29[],9,FALSE)</f>
        <v>no</v>
      </c>
      <c r="AC250" s="233" t="str">
        <f>VLOOKUP(Table3[[#This Row],[Country Code]],Table29[],10,FALSE)</f>
        <v>no</v>
      </c>
      <c r="AD250" s="235">
        <f>VLOOKUP(Table3[[#This Row],[Country Code]],Table29[],23,FALSE)</f>
        <v>170.03385065136999</v>
      </c>
      <c r="AE250" s="235">
        <f>VLOOKUP(Table3[[#This Row],[Country Code]],Table29[],24,FALSE)</f>
        <v>6.7537831121432941</v>
      </c>
      <c r="AF250" s="43"/>
    </row>
    <row r="251" spans="1:32" x14ac:dyDescent="0.25">
      <c r="A251" s="360">
        <v>17591</v>
      </c>
      <c r="B251" s="233" t="str">
        <f>VLOOKUP(Table3[[#This Row],[Document ID]],Table1[],2,FALSE)</f>
        <v>EEU</v>
      </c>
      <c r="C251" s="233" t="str">
        <f>VLOOKUP(Table3[[#This Row],[Document ID]],Table1[],3,FALSE)</f>
        <v>European Union</v>
      </c>
      <c r="D251" s="233" t="str">
        <f>VLOOKUP(Table3[[#This Row],[Document ID]],Table1[],5,FALSE)</f>
        <v>NDC</v>
      </c>
      <c r="E251" s="233" t="str">
        <f>VLOOKUP(Table3[[#This Row],[Document ID]],Table1[],7,FALSE)</f>
        <v>First NDC updated</v>
      </c>
      <c r="F251" s="233" t="str">
        <f>VLOOKUP(Table3[[#This Row],[Document ID]],Table1[],8,FALSE)</f>
        <v>NDC 1.1</v>
      </c>
      <c r="G251" s="233" t="str">
        <f>VLOOKUP(Table3[[#This Row],[Document ID]],Table1[],10,FALSE)</f>
        <v>Archived</v>
      </c>
      <c r="H251" s="216" t="s">
        <v>1089</v>
      </c>
      <c r="I251" s="216" t="s">
        <v>1089</v>
      </c>
      <c r="J251" s="43" t="s">
        <v>1090</v>
      </c>
      <c r="K251" s="28" t="s">
        <v>1153</v>
      </c>
      <c r="L251" s="42" t="s">
        <v>1099</v>
      </c>
      <c r="M251" s="209">
        <v>2030</v>
      </c>
      <c r="N251" s="44" t="s">
        <v>1369</v>
      </c>
      <c r="O251" s="221">
        <v>6</v>
      </c>
      <c r="P251" s="238" t="str">
        <f>VLOOKUP(_xlfn.CONCAT(Table3[[#This Row],[Target area]],Table3[[#This Row],[GHG target?]],Table3[[#This Row],[Conditionality]]),'Drop down'!$E$81:$F$101,2,FALSE)</f>
        <v>T_Economy_Unc</v>
      </c>
      <c r="Q251" s="239" t="str">
        <f>VLOOKUP(Table3[[#This Row],[Target type]],Table418[[Value name]:[Value idenifyer]],2,FALSE)</f>
        <v>T_BYE</v>
      </c>
      <c r="T251" s="234" t="s">
        <v>1113</v>
      </c>
      <c r="V251" s="233" t="str">
        <f>VLOOKUP(Table3[[#This Row],[Country Code]],Table29[],3,FALSE)</f>
        <v>Annex I</v>
      </c>
      <c r="W251" s="233" t="str">
        <f>VLOOKUP(Table3[[#This Row],[Country Code]],Table29[],4,FALSE)</f>
        <v>Europe</v>
      </c>
      <c r="X251" s="233" t="str">
        <f>VLOOKUP(Table3[[#This Row],[Country Code]],Table29[],5,FALSE)</f>
        <v>N/A</v>
      </c>
      <c r="Y251" s="233" t="str">
        <f>VLOOKUP(Table3[[#This Row],[Country Code]],Table29[],6,FALSE)</f>
        <v>G20</v>
      </c>
      <c r="Z251" s="233" t="str">
        <f>VLOOKUP(Table3[[#This Row],[Country Code]],Table29[],7,FALSE)</f>
        <v>no</v>
      </c>
      <c r="AA251" s="233" t="str">
        <f>VLOOKUP(Table3[[#This Row],[Country Code]],Table29[],8,FALSE)</f>
        <v>non-OECD</v>
      </c>
      <c r="AB251" s="233" t="str">
        <f>VLOOKUP(Table3[[#This Row],[Country Code]],Table29[],9,FALSE)</f>
        <v>no</v>
      </c>
      <c r="AC251" s="233" t="str">
        <f>VLOOKUP(Table3[[#This Row],[Country Code]],Table29[],10,FALSE)</f>
        <v>no</v>
      </c>
      <c r="AD251" s="235" t="e">
        <f>VLOOKUP(Table3[[#This Row],[Country Code]],Table29[],23,FALSE)</f>
        <v>#N/A</v>
      </c>
      <c r="AE251" s="235" t="e">
        <f>VLOOKUP(Table3[[#This Row],[Country Code]],Table29[],24,FALSE)</f>
        <v>#N/A</v>
      </c>
      <c r="AF251" s="43"/>
    </row>
    <row r="252" spans="1:32" x14ac:dyDescent="0.25">
      <c r="A252" s="360">
        <v>17602</v>
      </c>
      <c r="B252" s="233" t="str">
        <f>VLOOKUP(Table3[[#This Row],[Document ID]],Table1[],2,FALSE)</f>
        <v>DEU</v>
      </c>
      <c r="C252" s="233" t="str">
        <f>VLOOKUP(Table3[[#This Row],[Document ID]],Table1[],3,FALSE)</f>
        <v>Germany</v>
      </c>
      <c r="D252" s="233" t="str">
        <f>VLOOKUP(Table3[[#This Row],[Document ID]],Table1[],5,FALSE)</f>
        <v>LTS</v>
      </c>
      <c r="E252" s="233" t="str">
        <f>VLOOKUP(Table3[[#This Row],[Document ID]],Table1[],7,FALSE)</f>
        <v>Archived LTS 1.0</v>
      </c>
      <c r="F252" s="233" t="str">
        <f>VLOOKUP(Table3[[#This Row],[Document ID]],Table1[],8,FALSE)</f>
        <v>LTS 1.0</v>
      </c>
      <c r="G252" s="233" t="str">
        <f>VLOOKUP(Table3[[#This Row],[Document ID]],Table1[],10,FALSE)</f>
        <v>Archived</v>
      </c>
      <c r="H252" s="216" t="s">
        <v>1089</v>
      </c>
      <c r="I252" s="216" t="s">
        <v>1089</v>
      </c>
      <c r="J252" s="43" t="s">
        <v>1090</v>
      </c>
      <c r="K252" s="28" t="s">
        <v>1153</v>
      </c>
      <c r="L252" s="42" t="s">
        <v>1099</v>
      </c>
      <c r="M252" s="209">
        <v>2050</v>
      </c>
      <c r="N252" s="44" t="s">
        <v>1370</v>
      </c>
      <c r="O252" s="221">
        <v>7</v>
      </c>
      <c r="P252" s="238" t="str">
        <f>VLOOKUP(_xlfn.CONCAT(Table3[[#This Row],[Target area]],Table3[[#This Row],[GHG target?]],Table3[[#This Row],[Conditionality]]),'Drop down'!$E$81:$F$101,2,FALSE)</f>
        <v>T_Economy_Unc</v>
      </c>
      <c r="Q252" s="239" t="str">
        <f>VLOOKUP(Table3[[#This Row],[Target type]],Table418[[Value name]:[Value idenifyer]],2,FALSE)</f>
        <v>T_BYE</v>
      </c>
      <c r="S252" s="233" t="s">
        <v>1112</v>
      </c>
      <c r="T252" s="234" t="s">
        <v>1113</v>
      </c>
      <c r="U252" s="234" t="s">
        <v>1113</v>
      </c>
      <c r="V252" s="233" t="str">
        <f>VLOOKUP(Table3[[#This Row],[Country Code]],Table29[],3,FALSE)</f>
        <v>Annex I</v>
      </c>
      <c r="W252" s="233" t="str">
        <f>VLOOKUP(Table3[[#This Row],[Country Code]],Table29[],4,FALSE)</f>
        <v>Europe</v>
      </c>
      <c r="X252" s="233" t="str">
        <f>VLOOKUP(Table3[[#This Row],[Country Code]],Table29[],5,FALSE)</f>
        <v>High-income</v>
      </c>
      <c r="Y252" s="233" t="str">
        <f>VLOOKUP(Table3[[#This Row],[Country Code]],Table29[],6,FALSE)</f>
        <v>G20</v>
      </c>
      <c r="Z252" s="233" t="str">
        <f>VLOOKUP(Table3[[#This Row],[Country Code]],Table29[],7,FALSE)</f>
        <v>G7</v>
      </c>
      <c r="AA252" s="233" t="str">
        <f>VLOOKUP(Table3[[#This Row],[Country Code]],Table29[],8,FALSE)</f>
        <v>OECD</v>
      </c>
      <c r="AB252" s="233" t="str">
        <f>VLOOKUP(Table3[[#This Row],[Country Code]],Table29[],9,FALSE)</f>
        <v>EU27</v>
      </c>
      <c r="AC252" s="233" t="str">
        <f>VLOOKUP(Table3[[#This Row],[Country Code]],Table29[],10,FALSE)</f>
        <v>no</v>
      </c>
      <c r="AD252" s="235">
        <f>VLOOKUP(Table3[[#This Row],[Country Code]],Table29[],23,FALSE)</f>
        <v>681.81032815186995</v>
      </c>
      <c r="AE252" s="235">
        <f>VLOOKUP(Table3[[#This Row],[Country Code]],Table29[],24,FALSE)</f>
        <v>141.2568578412648</v>
      </c>
      <c r="AF252" s="43"/>
    </row>
    <row r="253" spans="1:32" ht="30" x14ac:dyDescent="0.25">
      <c r="A253" s="360">
        <v>32531</v>
      </c>
      <c r="B253" s="233" t="str">
        <f>VLOOKUP(Table3[[#This Row],[Document ID]],Table1[],2,FALSE)</f>
        <v>CAN</v>
      </c>
      <c r="C253" s="233" t="str">
        <f>VLOOKUP(Table3[[#This Row],[Document ID]],Table1[],3,FALSE)</f>
        <v>Canada</v>
      </c>
      <c r="D253" s="233" t="str">
        <f>VLOOKUP(Table3[[#This Row],[Document ID]],Table1[],5,FALSE)</f>
        <v>LTS</v>
      </c>
      <c r="E253" s="233" t="str">
        <f>VLOOKUP(Table3[[#This Row],[Document ID]],Table1[],7,FALSE)</f>
        <v>LTS</v>
      </c>
      <c r="F253" s="233" t="str">
        <f>VLOOKUP(Table3[[#This Row],[Document ID]],Table1[],8,FALSE)</f>
        <v>LTS 2.0</v>
      </c>
      <c r="G253" s="233" t="str">
        <f>VLOOKUP(Table3[[#This Row],[Document ID]],Table1[],10,FALSE)</f>
        <v>Active</v>
      </c>
      <c r="H253" s="42" t="s">
        <v>1095</v>
      </c>
      <c r="I253" s="42" t="s">
        <v>1096</v>
      </c>
      <c r="J253" s="42" t="s">
        <v>1097</v>
      </c>
      <c r="K253" s="28" t="s">
        <v>1104</v>
      </c>
      <c r="L253" s="42" t="s">
        <v>1099</v>
      </c>
      <c r="M253" s="209">
        <v>2030</v>
      </c>
      <c r="N253" s="43" t="s">
        <v>1371</v>
      </c>
      <c r="O253" s="258">
        <v>14</v>
      </c>
      <c r="P253" s="238" t="str">
        <f>VLOOKUP(_xlfn.CONCAT(Table3[[#This Row],[Target area]],Table3[[#This Row],[GHG target?]],Table3[[#This Row],[Conditionality]]),'Drop down'!$E$81:$F$101,2,FALSE)</f>
        <v>T_Transport_O_Unc</v>
      </c>
      <c r="Q253" s="239" t="str">
        <f>VLOOKUP(Table3[[#This Row],[Target type]],Table418[[Value name]:[Value idenifyer]],2,FALSE)</f>
        <v>T_O_ZERO</v>
      </c>
      <c r="S253" s="233" t="s">
        <v>1101</v>
      </c>
      <c r="T253" s="234" t="s">
        <v>1113</v>
      </c>
      <c r="V253" s="233" t="str">
        <f>VLOOKUP(Table3[[#This Row],[Country Code]],Table29[],3,FALSE)</f>
        <v>Annex I</v>
      </c>
      <c r="W253" s="233" t="str">
        <f>VLOOKUP(Table3[[#This Row],[Country Code]],Table29[],4,FALSE)</f>
        <v>Northern America</v>
      </c>
      <c r="X253" s="233" t="str">
        <f>VLOOKUP(Table3[[#This Row],[Country Code]],Table29[],5,FALSE)</f>
        <v>High-income</v>
      </c>
      <c r="Y253" s="233" t="str">
        <f>VLOOKUP(Table3[[#This Row],[Country Code]],Table29[],6,FALSE)</f>
        <v>G20</v>
      </c>
      <c r="Z253" s="233" t="str">
        <f>VLOOKUP(Table3[[#This Row],[Country Code]],Table29[],7,FALSE)</f>
        <v>G7</v>
      </c>
      <c r="AA253" s="233" t="str">
        <f>VLOOKUP(Table3[[#This Row],[Country Code]],Table29[],8,FALSE)</f>
        <v>OECD</v>
      </c>
      <c r="AB253" s="233" t="str">
        <f>VLOOKUP(Table3[[#This Row],[Country Code]],Table29[],9,FALSE)</f>
        <v>no</v>
      </c>
      <c r="AC253" s="233" t="str">
        <f>VLOOKUP(Table3[[#This Row],[Country Code]],Table29[],10,FALSE)</f>
        <v>no</v>
      </c>
      <c r="AD253" s="235">
        <f>VLOOKUP(Table3[[#This Row],[Country Code]],Table29[],23,FALSE)</f>
        <v>747.67802680902003</v>
      </c>
      <c r="AE253" s="235">
        <f>VLOOKUP(Table3[[#This Row],[Country Code]],Table29[],24,FALSE)</f>
        <v>169.021169926607</v>
      </c>
      <c r="AF253" s="43"/>
    </row>
    <row r="254" spans="1:32" ht="45" x14ac:dyDescent="0.25">
      <c r="A254" s="360">
        <v>32531</v>
      </c>
      <c r="B254" s="233" t="str">
        <f>VLOOKUP(Table3[[#This Row],[Document ID]],Table1[],2,FALSE)</f>
        <v>CAN</v>
      </c>
      <c r="C254" s="233" t="str">
        <f>VLOOKUP(Table3[[#This Row],[Document ID]],Table1[],3,FALSE)</f>
        <v>Canada</v>
      </c>
      <c r="D254" s="233" t="str">
        <f>VLOOKUP(Table3[[#This Row],[Document ID]],Table1[],5,FALSE)</f>
        <v>LTS</v>
      </c>
      <c r="E254" s="233" t="str">
        <f>VLOOKUP(Table3[[#This Row],[Document ID]],Table1[],7,FALSE)</f>
        <v>LTS</v>
      </c>
      <c r="F254" s="233" t="str">
        <f>VLOOKUP(Table3[[#This Row],[Document ID]],Table1[],8,FALSE)</f>
        <v>LTS 2.0</v>
      </c>
      <c r="G254" s="233" t="str">
        <f>VLOOKUP(Table3[[#This Row],[Document ID]],Table1[],10,FALSE)</f>
        <v>Active</v>
      </c>
      <c r="H254" s="42" t="s">
        <v>1095</v>
      </c>
      <c r="I254" s="42" t="s">
        <v>1096</v>
      </c>
      <c r="J254" s="42" t="s">
        <v>1097</v>
      </c>
      <c r="K254" s="28" t="s">
        <v>1104</v>
      </c>
      <c r="L254" s="42" t="s">
        <v>1099</v>
      </c>
      <c r="M254" s="209">
        <v>2035</v>
      </c>
      <c r="N254" s="44" t="s">
        <v>1372</v>
      </c>
      <c r="O254" s="258">
        <v>14</v>
      </c>
      <c r="P254" s="238" t="str">
        <f>VLOOKUP(_xlfn.CONCAT(Table3[[#This Row],[Target area]],Table3[[#This Row],[GHG target?]],Table3[[#This Row],[Conditionality]]),'Drop down'!$E$81:$F$101,2,FALSE)</f>
        <v>T_Transport_O_Unc</v>
      </c>
      <c r="Q254" s="239" t="str">
        <f>VLOOKUP(Table3[[#This Row],[Target type]],Table418[[Value name]:[Value idenifyer]],2,FALSE)</f>
        <v>T_O_ZERO</v>
      </c>
      <c r="S254" s="233" t="s">
        <v>1101</v>
      </c>
      <c r="T254" s="234" t="s">
        <v>1113</v>
      </c>
      <c r="V254" s="233" t="str">
        <f>VLOOKUP(Table3[[#This Row],[Country Code]],Table29[],3,FALSE)</f>
        <v>Annex I</v>
      </c>
      <c r="W254" s="233" t="str">
        <f>VLOOKUP(Table3[[#This Row],[Country Code]],Table29[],4,FALSE)</f>
        <v>Northern America</v>
      </c>
      <c r="X254" s="233" t="str">
        <f>VLOOKUP(Table3[[#This Row],[Country Code]],Table29[],5,FALSE)</f>
        <v>High-income</v>
      </c>
      <c r="Y254" s="233" t="str">
        <f>VLOOKUP(Table3[[#This Row],[Country Code]],Table29[],6,FALSE)</f>
        <v>G20</v>
      </c>
      <c r="Z254" s="233" t="str">
        <f>VLOOKUP(Table3[[#This Row],[Country Code]],Table29[],7,FALSE)</f>
        <v>G7</v>
      </c>
      <c r="AA254" s="233" t="str">
        <f>VLOOKUP(Table3[[#This Row],[Country Code]],Table29[],8,FALSE)</f>
        <v>OECD</v>
      </c>
      <c r="AB254" s="233" t="str">
        <f>VLOOKUP(Table3[[#This Row],[Country Code]],Table29[],9,FALSE)</f>
        <v>no</v>
      </c>
      <c r="AC254" s="233" t="str">
        <f>VLOOKUP(Table3[[#This Row],[Country Code]],Table29[],10,FALSE)</f>
        <v>no</v>
      </c>
      <c r="AD254" s="235">
        <f>VLOOKUP(Table3[[#This Row],[Country Code]],Table29[],23,FALSE)</f>
        <v>747.67802680902003</v>
      </c>
      <c r="AE254" s="235">
        <f>VLOOKUP(Table3[[#This Row],[Country Code]],Table29[],24,FALSE)</f>
        <v>169.021169926607</v>
      </c>
      <c r="AF254" s="43"/>
    </row>
    <row r="255" spans="1:32" ht="45" x14ac:dyDescent="0.25">
      <c r="A255" s="360">
        <v>32531</v>
      </c>
      <c r="B255" s="233" t="str">
        <f>VLOOKUP(Table3[[#This Row],[Document ID]],Table1[],2,FALSE)</f>
        <v>CAN</v>
      </c>
      <c r="C255" s="233" t="str">
        <f>VLOOKUP(Table3[[#This Row],[Document ID]],Table1[],3,FALSE)</f>
        <v>Canada</v>
      </c>
      <c r="D255" s="233" t="str">
        <f>VLOOKUP(Table3[[#This Row],[Document ID]],Table1[],5,FALSE)</f>
        <v>LTS</v>
      </c>
      <c r="E255" s="233" t="str">
        <f>VLOOKUP(Table3[[#This Row],[Document ID]],Table1[],7,FALSE)</f>
        <v>LTS</v>
      </c>
      <c r="F255" s="233" t="str">
        <f>VLOOKUP(Table3[[#This Row],[Document ID]],Table1[],8,FALSE)</f>
        <v>LTS 2.0</v>
      </c>
      <c r="G255" s="233" t="str">
        <f>VLOOKUP(Table3[[#This Row],[Document ID]],Table1[],10,FALSE)</f>
        <v>Active</v>
      </c>
      <c r="H255" s="42" t="s">
        <v>1095</v>
      </c>
      <c r="I255" s="42" t="s">
        <v>1096</v>
      </c>
      <c r="J255" s="42" t="s">
        <v>1097</v>
      </c>
      <c r="K255" s="28" t="s">
        <v>1104</v>
      </c>
      <c r="L255" s="42" t="s">
        <v>1099</v>
      </c>
      <c r="M255" s="209">
        <v>2040</v>
      </c>
      <c r="N255" s="44" t="s">
        <v>1373</v>
      </c>
      <c r="O255" s="258">
        <v>14</v>
      </c>
      <c r="P255" s="238" t="str">
        <f>VLOOKUP(_xlfn.CONCAT(Table3[[#This Row],[Target area]],Table3[[#This Row],[GHG target?]],Table3[[#This Row],[Conditionality]]),'Drop down'!$E$81:$F$101,2,FALSE)</f>
        <v>T_Transport_O_Unc</v>
      </c>
      <c r="Q255" s="239" t="str">
        <f>VLOOKUP(Table3[[#This Row],[Target type]],Table418[[Value name]:[Value idenifyer]],2,FALSE)</f>
        <v>T_O_ZERO</v>
      </c>
      <c r="S255" s="233" t="s">
        <v>1101</v>
      </c>
      <c r="T255" s="234" t="s">
        <v>1113</v>
      </c>
      <c r="V255" s="233" t="str">
        <f>VLOOKUP(Table3[[#This Row],[Country Code]],Table29[],3,FALSE)</f>
        <v>Annex I</v>
      </c>
      <c r="W255" s="233" t="str">
        <f>VLOOKUP(Table3[[#This Row],[Country Code]],Table29[],4,FALSE)</f>
        <v>Northern America</v>
      </c>
      <c r="X255" s="233" t="str">
        <f>VLOOKUP(Table3[[#This Row],[Country Code]],Table29[],5,FALSE)</f>
        <v>High-income</v>
      </c>
      <c r="Y255" s="233" t="str">
        <f>VLOOKUP(Table3[[#This Row],[Country Code]],Table29[],6,FALSE)</f>
        <v>G20</v>
      </c>
      <c r="Z255" s="233" t="str">
        <f>VLOOKUP(Table3[[#This Row],[Country Code]],Table29[],7,FALSE)</f>
        <v>G7</v>
      </c>
      <c r="AA255" s="233" t="str">
        <f>VLOOKUP(Table3[[#This Row],[Country Code]],Table29[],8,FALSE)</f>
        <v>OECD</v>
      </c>
      <c r="AB255" s="233" t="str">
        <f>VLOOKUP(Table3[[#This Row],[Country Code]],Table29[],9,FALSE)</f>
        <v>no</v>
      </c>
      <c r="AC255" s="233" t="str">
        <f>VLOOKUP(Table3[[#This Row],[Country Code]],Table29[],10,FALSE)</f>
        <v>no</v>
      </c>
      <c r="AD255" s="235">
        <f>VLOOKUP(Table3[[#This Row],[Country Code]],Table29[],23,FALSE)</f>
        <v>747.67802680902003</v>
      </c>
      <c r="AE255" s="235">
        <f>VLOOKUP(Table3[[#This Row],[Country Code]],Table29[],24,FALSE)</f>
        <v>169.021169926607</v>
      </c>
      <c r="AF255" s="43"/>
    </row>
    <row r="256" spans="1:32" x14ac:dyDescent="0.25">
      <c r="A256" s="360">
        <v>17594</v>
      </c>
      <c r="B256" s="233" t="str">
        <f>VLOOKUP(Table3[[#This Row],[Document ID]],Table1[],2,FALSE)</f>
        <v>FJI</v>
      </c>
      <c r="C256" s="233" t="str">
        <f>VLOOKUP(Table3[[#This Row],[Document ID]],Table1[],3,FALSE)</f>
        <v>Fiji</v>
      </c>
      <c r="D256" s="233" t="str">
        <f>VLOOKUP(Table3[[#This Row],[Document ID]],Table1[],5,FALSE)</f>
        <v>NDC</v>
      </c>
      <c r="E256" s="233" t="str">
        <f>VLOOKUP(Table3[[#This Row],[Document ID]],Table1[],7,FALSE)</f>
        <v>First NDC updated</v>
      </c>
      <c r="F256" s="233" t="str">
        <f>VLOOKUP(Table3[[#This Row],[Document ID]],Table1[],8,FALSE)</f>
        <v>NDC 1.1</v>
      </c>
      <c r="G256" s="233" t="str">
        <f>VLOOKUP(Table3[[#This Row],[Document ID]],Table1[],10,FALSE)</f>
        <v>Active</v>
      </c>
      <c r="H256" s="216" t="s">
        <v>1089</v>
      </c>
      <c r="I256" s="216" t="s">
        <v>1089</v>
      </c>
      <c r="J256" s="43" t="s">
        <v>1090</v>
      </c>
      <c r="K256" s="28" t="s">
        <v>1091</v>
      </c>
      <c r="L256" s="42" t="s">
        <v>1099</v>
      </c>
      <c r="M256" s="209">
        <v>2030</v>
      </c>
      <c r="N256" s="44" t="s">
        <v>1374</v>
      </c>
      <c r="O256" s="221">
        <v>3</v>
      </c>
      <c r="P256" s="238" t="str">
        <f>VLOOKUP(_xlfn.CONCAT(Table3[[#This Row],[Target area]],Table3[[#This Row],[GHG target?]],Table3[[#This Row],[Conditionality]]),'Drop down'!$E$81:$F$101,2,FALSE)</f>
        <v>T_Economy_Unc</v>
      </c>
      <c r="Q256" s="239" t="str">
        <f>VLOOKUP(Table3[[#This Row],[Target type]],Table418[[Value name]:[Value idenifyer]],2,FALSE)</f>
        <v>T_BAU</v>
      </c>
      <c r="S256" s="233" t="s">
        <v>1112</v>
      </c>
      <c r="T256" s="234" t="s">
        <v>1113</v>
      </c>
      <c r="V256" s="233" t="str">
        <f>VLOOKUP(Table3[[#This Row],[Country Code]],Table29[],3,FALSE)</f>
        <v>Non-Annex I</v>
      </c>
      <c r="W256" s="233" t="str">
        <f>VLOOKUP(Table3[[#This Row],[Country Code]],Table29[],4,FALSE)</f>
        <v>Oceania</v>
      </c>
      <c r="X256" s="233" t="str">
        <f>VLOOKUP(Table3[[#This Row],[Country Code]],Table29[],5,FALSE)</f>
        <v>Middle-income</v>
      </c>
      <c r="Y256" s="233" t="str">
        <f>VLOOKUP(Table3[[#This Row],[Country Code]],Table29[],6,FALSE)</f>
        <v>no</v>
      </c>
      <c r="Z256" s="233" t="str">
        <f>VLOOKUP(Table3[[#This Row],[Country Code]],Table29[],7,FALSE)</f>
        <v>no</v>
      </c>
      <c r="AA256" s="233" t="str">
        <f>VLOOKUP(Table3[[#This Row],[Country Code]],Table29[],8,FALSE)</f>
        <v>non-OECD</v>
      </c>
      <c r="AB256" s="233" t="str">
        <f>VLOOKUP(Table3[[#This Row],[Country Code]],Table29[],9,FALSE)</f>
        <v>no</v>
      </c>
      <c r="AC256" s="233" t="str">
        <f>VLOOKUP(Table3[[#This Row],[Country Code]],Table29[],10,FALSE)</f>
        <v>no</v>
      </c>
      <c r="AD256" s="235">
        <f>VLOOKUP(Table3[[#This Row],[Country Code]],Table29[],23,FALSE)</f>
        <v>3.4009927758626</v>
      </c>
      <c r="AE256" s="235">
        <f>VLOOKUP(Table3[[#This Row],[Country Code]],Table29[],24,FALSE)</f>
        <v>1.126237744382208</v>
      </c>
      <c r="AF256" s="43"/>
    </row>
    <row r="257" spans="1:32" x14ac:dyDescent="0.25">
      <c r="A257" s="360">
        <v>17594</v>
      </c>
      <c r="B257" s="233" t="str">
        <f>VLOOKUP(Table3[[#This Row],[Document ID]],Table1[],2,FALSE)</f>
        <v>FJI</v>
      </c>
      <c r="C257" s="233" t="str">
        <f>VLOOKUP(Table3[[#This Row],[Document ID]],Table1[],3,FALSE)</f>
        <v>Fiji</v>
      </c>
      <c r="D257" s="233" t="str">
        <f>VLOOKUP(Table3[[#This Row],[Document ID]],Table1[],5,FALSE)</f>
        <v>NDC</v>
      </c>
      <c r="E257" s="233" t="str">
        <f>VLOOKUP(Table3[[#This Row],[Document ID]],Table1[],7,FALSE)</f>
        <v>First NDC updated</v>
      </c>
      <c r="F257" s="233" t="str">
        <f>VLOOKUP(Table3[[#This Row],[Document ID]],Table1[],8,FALSE)</f>
        <v>NDC 1.1</v>
      </c>
      <c r="G257" s="233" t="str">
        <f>VLOOKUP(Table3[[#This Row],[Document ID]],Table1[],10,FALSE)</f>
        <v>Active</v>
      </c>
      <c r="H257" s="216" t="s">
        <v>1089</v>
      </c>
      <c r="I257" s="216" t="s">
        <v>1089</v>
      </c>
      <c r="J257" s="43" t="s">
        <v>1090</v>
      </c>
      <c r="K257" s="28" t="s">
        <v>1091</v>
      </c>
      <c r="L257" s="216" t="s">
        <v>1092</v>
      </c>
      <c r="M257" s="209">
        <v>2030</v>
      </c>
      <c r="N257" s="44" t="s">
        <v>1375</v>
      </c>
      <c r="O257" s="221">
        <v>3</v>
      </c>
      <c r="P257" s="238" t="str">
        <f>VLOOKUP(_xlfn.CONCAT(Table3[[#This Row],[Target area]],Table3[[#This Row],[GHG target?]],Table3[[#This Row],[Conditionality]]),'Drop down'!$E$81:$F$101,2,FALSE)</f>
        <v>T_Economy_C</v>
      </c>
      <c r="Q257" s="239" t="str">
        <f>VLOOKUP(Table3[[#This Row],[Target type]],Table418[[Value name]:[Value idenifyer]],2,FALSE)</f>
        <v>T_BAU</v>
      </c>
      <c r="S257" s="233" t="s">
        <v>1112</v>
      </c>
      <c r="T257" s="234" t="s">
        <v>1113</v>
      </c>
      <c r="V257" s="233" t="str">
        <f>VLOOKUP(Table3[[#This Row],[Country Code]],Table29[],3,FALSE)</f>
        <v>Non-Annex I</v>
      </c>
      <c r="W257" s="233" t="str">
        <f>VLOOKUP(Table3[[#This Row],[Country Code]],Table29[],4,FALSE)</f>
        <v>Oceania</v>
      </c>
      <c r="X257" s="233" t="str">
        <f>VLOOKUP(Table3[[#This Row],[Country Code]],Table29[],5,FALSE)</f>
        <v>Middle-income</v>
      </c>
      <c r="Y257" s="233" t="str">
        <f>VLOOKUP(Table3[[#This Row],[Country Code]],Table29[],6,FALSE)</f>
        <v>no</v>
      </c>
      <c r="Z257" s="233" t="str">
        <f>VLOOKUP(Table3[[#This Row],[Country Code]],Table29[],7,FALSE)</f>
        <v>no</v>
      </c>
      <c r="AA257" s="233" t="str">
        <f>VLOOKUP(Table3[[#This Row],[Country Code]],Table29[],8,FALSE)</f>
        <v>non-OECD</v>
      </c>
      <c r="AB257" s="233" t="str">
        <f>VLOOKUP(Table3[[#This Row],[Country Code]],Table29[],9,FALSE)</f>
        <v>no</v>
      </c>
      <c r="AC257" s="233" t="str">
        <f>VLOOKUP(Table3[[#This Row],[Country Code]],Table29[],10,FALSE)</f>
        <v>no</v>
      </c>
      <c r="AD257" s="235">
        <f>VLOOKUP(Table3[[#This Row],[Country Code]],Table29[],23,FALSE)</f>
        <v>3.4009927758626</v>
      </c>
      <c r="AE257" s="235">
        <f>VLOOKUP(Table3[[#This Row],[Country Code]],Table29[],24,FALSE)</f>
        <v>1.126237744382208</v>
      </c>
      <c r="AF257" s="43"/>
    </row>
    <row r="258" spans="1:32" ht="30" x14ac:dyDescent="0.25">
      <c r="A258" s="360">
        <v>17594</v>
      </c>
      <c r="B258" s="233" t="str">
        <f>VLOOKUP(Table3[[#This Row],[Document ID]],Table1[],2,FALSE)</f>
        <v>FJI</v>
      </c>
      <c r="C258" s="233" t="str">
        <f>VLOOKUP(Table3[[#This Row],[Document ID]],Table1[],3,FALSE)</f>
        <v>Fiji</v>
      </c>
      <c r="D258" s="233" t="str">
        <f>VLOOKUP(Table3[[#This Row],[Document ID]],Table1[],5,FALSE)</f>
        <v>NDC</v>
      </c>
      <c r="E258" s="233" t="str">
        <f>VLOOKUP(Table3[[#This Row],[Document ID]],Table1[],7,FALSE)</f>
        <v>First NDC updated</v>
      </c>
      <c r="F258" s="233" t="str">
        <f>VLOOKUP(Table3[[#This Row],[Document ID]],Table1[],8,FALSE)</f>
        <v>NDC 1.1</v>
      </c>
      <c r="G258" s="233" t="str">
        <f>VLOOKUP(Table3[[#This Row],[Document ID]],Table1[],10,FALSE)</f>
        <v>Active</v>
      </c>
      <c r="H258" s="43" t="s">
        <v>1114</v>
      </c>
      <c r="I258" s="43" t="s">
        <v>1115</v>
      </c>
      <c r="J258" s="42" t="s">
        <v>1090</v>
      </c>
      <c r="K258" s="28" t="s">
        <v>1091</v>
      </c>
      <c r="L258" s="43" t="s">
        <v>1116</v>
      </c>
      <c r="M258" s="209">
        <v>2030</v>
      </c>
      <c r="N258" s="44" t="s">
        <v>1376</v>
      </c>
      <c r="O258" s="221">
        <v>5</v>
      </c>
      <c r="P258" s="238" t="str">
        <f>VLOOKUP(_xlfn.CONCAT(Table3[[#This Row],[Target area]],Table3[[#This Row],[GHG target?]],Table3[[#This Row],[Conditionality]]),'Drop down'!$E$81:$F$101,2,FALSE)</f>
        <v>T_Energy</v>
      </c>
      <c r="Q258" s="239" t="str">
        <f>VLOOKUP(Table3[[#This Row],[Target type]],Table418[[Value name]:[Value idenifyer]],2,FALSE)</f>
        <v>T_BAU</v>
      </c>
      <c r="S258" s="233" t="s">
        <v>1112</v>
      </c>
      <c r="T258" s="234" t="s">
        <v>1113</v>
      </c>
      <c r="V258" s="233" t="str">
        <f>VLOOKUP(Table3[[#This Row],[Country Code]],Table29[],3,FALSE)</f>
        <v>Non-Annex I</v>
      </c>
      <c r="W258" s="233" t="str">
        <f>VLOOKUP(Table3[[#This Row],[Country Code]],Table29[],4,FALSE)</f>
        <v>Oceania</v>
      </c>
      <c r="X258" s="233" t="str">
        <f>VLOOKUP(Table3[[#This Row],[Country Code]],Table29[],5,FALSE)</f>
        <v>Middle-income</v>
      </c>
      <c r="Y258" s="233" t="str">
        <f>VLOOKUP(Table3[[#This Row],[Country Code]],Table29[],6,FALSE)</f>
        <v>no</v>
      </c>
      <c r="Z258" s="233" t="str">
        <f>VLOOKUP(Table3[[#This Row],[Country Code]],Table29[],7,FALSE)</f>
        <v>no</v>
      </c>
      <c r="AA258" s="233" t="str">
        <f>VLOOKUP(Table3[[#This Row],[Country Code]],Table29[],8,FALSE)</f>
        <v>non-OECD</v>
      </c>
      <c r="AB258" s="233" t="str">
        <f>VLOOKUP(Table3[[#This Row],[Country Code]],Table29[],9,FALSE)</f>
        <v>no</v>
      </c>
      <c r="AC258" s="233" t="str">
        <f>VLOOKUP(Table3[[#This Row],[Country Code]],Table29[],10,FALSE)</f>
        <v>no</v>
      </c>
      <c r="AD258" s="235">
        <f>VLOOKUP(Table3[[#This Row],[Country Code]],Table29[],23,FALSE)</f>
        <v>3.4009927758626</v>
      </c>
      <c r="AE258" s="235">
        <f>VLOOKUP(Table3[[#This Row],[Country Code]],Table29[],24,FALSE)</f>
        <v>1.126237744382208</v>
      </c>
      <c r="AF258" s="43"/>
    </row>
    <row r="259" spans="1:32" x14ac:dyDescent="0.25">
      <c r="A259" s="360">
        <v>17593</v>
      </c>
      <c r="B259" s="233" t="str">
        <f>VLOOKUP(Table3[[#This Row],[Document ID]],Table1[],2,FALSE)</f>
        <v>FJI</v>
      </c>
      <c r="C259" s="233" t="str">
        <f>VLOOKUP(Table3[[#This Row],[Document ID]],Table1[],3,FALSE)</f>
        <v>Fiji</v>
      </c>
      <c r="D259" s="233" t="str">
        <f>VLOOKUP(Table3[[#This Row],[Document ID]],Table1[],5,FALSE)</f>
        <v>LTS</v>
      </c>
      <c r="E259" s="233" t="str">
        <f>VLOOKUP(Table3[[#This Row],[Document ID]],Table1[],7,FALSE)</f>
        <v>LTS</v>
      </c>
      <c r="F259" s="233" t="str">
        <f>VLOOKUP(Table3[[#This Row],[Document ID]],Table1[],8,FALSE)</f>
        <v>LTS 1.0</v>
      </c>
      <c r="G259" s="233" t="str">
        <f>VLOOKUP(Table3[[#This Row],[Document ID]],Table1[],10,FALSE)</f>
        <v>Active</v>
      </c>
      <c r="H259" s="216" t="s">
        <v>1089</v>
      </c>
      <c r="I259" s="216" t="s">
        <v>1089</v>
      </c>
      <c r="J259" s="43" t="s">
        <v>1090</v>
      </c>
      <c r="K259" s="28" t="s">
        <v>1121</v>
      </c>
      <c r="L259" s="42" t="s">
        <v>1099</v>
      </c>
      <c r="M259" s="209">
        <v>2050</v>
      </c>
      <c r="N259" s="44" t="s">
        <v>1377</v>
      </c>
      <c r="O259" s="221">
        <v>4</v>
      </c>
      <c r="P259" s="238" t="str">
        <f>VLOOKUP(_xlfn.CONCAT(Table3[[#This Row],[Target area]],Table3[[#This Row],[GHG target?]],Table3[[#This Row],[Conditionality]]),'Drop down'!$E$81:$F$101,2,FALSE)</f>
        <v>T_Economy_Unc</v>
      </c>
      <c r="Q259" s="239" t="str">
        <f>VLOOKUP(Table3[[#This Row],[Target type]],Table418[[Value name]:[Value idenifyer]],2,FALSE)</f>
        <v>T_FL</v>
      </c>
      <c r="T259" s="234" t="s">
        <v>1113</v>
      </c>
      <c r="V259" s="233" t="str">
        <f>VLOOKUP(Table3[[#This Row],[Country Code]],Table29[],3,FALSE)</f>
        <v>Non-Annex I</v>
      </c>
      <c r="W259" s="233" t="str">
        <f>VLOOKUP(Table3[[#This Row],[Country Code]],Table29[],4,FALSE)</f>
        <v>Oceania</v>
      </c>
      <c r="X259" s="233" t="str">
        <f>VLOOKUP(Table3[[#This Row],[Country Code]],Table29[],5,FALSE)</f>
        <v>Middle-income</v>
      </c>
      <c r="Y259" s="233" t="str">
        <f>VLOOKUP(Table3[[#This Row],[Country Code]],Table29[],6,FALSE)</f>
        <v>no</v>
      </c>
      <c r="Z259" s="233" t="str">
        <f>VLOOKUP(Table3[[#This Row],[Country Code]],Table29[],7,FALSE)</f>
        <v>no</v>
      </c>
      <c r="AA259" s="233" t="str">
        <f>VLOOKUP(Table3[[#This Row],[Country Code]],Table29[],8,FALSE)</f>
        <v>non-OECD</v>
      </c>
      <c r="AB259" s="233" t="str">
        <f>VLOOKUP(Table3[[#This Row],[Country Code]],Table29[],9,FALSE)</f>
        <v>no</v>
      </c>
      <c r="AC259" s="233" t="str">
        <f>VLOOKUP(Table3[[#This Row],[Country Code]],Table29[],10,FALSE)</f>
        <v>no</v>
      </c>
      <c r="AD259" s="235">
        <f>VLOOKUP(Table3[[#This Row],[Country Code]],Table29[],23,FALSE)</f>
        <v>3.4009927758626</v>
      </c>
      <c r="AE259" s="235">
        <f>VLOOKUP(Table3[[#This Row],[Country Code]],Table29[],24,FALSE)</f>
        <v>1.126237744382208</v>
      </c>
      <c r="AF259" s="43"/>
    </row>
    <row r="260" spans="1:32" ht="90" x14ac:dyDescent="0.25">
      <c r="A260" s="360">
        <v>17753</v>
      </c>
      <c r="B260" s="233" t="str">
        <f>VLOOKUP(Table3[[#This Row],[Document ID]],Table1[],2,FALSE)</f>
        <v>CHE</v>
      </c>
      <c r="C260" s="233" t="str">
        <f>VLOOKUP(Table3[[#This Row],[Document ID]],Table1[],3,FALSE)</f>
        <v>Switzerland</v>
      </c>
      <c r="D260" s="233" t="str">
        <f>VLOOKUP(Table3[[#This Row],[Document ID]],Table1[],5,FALSE)</f>
        <v>LTS</v>
      </c>
      <c r="E260" s="233" t="str">
        <f>VLOOKUP(Table3[[#This Row],[Document ID]],Table1[],7,FALSE)</f>
        <v>LTS</v>
      </c>
      <c r="F260" s="233" t="str">
        <f>VLOOKUP(Table3[[#This Row],[Document ID]],Table1[],8,FALSE)</f>
        <v>LTS 1.0</v>
      </c>
      <c r="G260" s="233" t="str">
        <f>VLOOKUP(Table3[[#This Row],[Document ID]],Table1[],10,FALSE)</f>
        <v>Active</v>
      </c>
      <c r="H260" s="42" t="s">
        <v>1095</v>
      </c>
      <c r="I260" s="43" t="s">
        <v>1115</v>
      </c>
      <c r="J260" s="43" t="s">
        <v>1090</v>
      </c>
      <c r="K260" s="28" t="s">
        <v>1121</v>
      </c>
      <c r="L260" s="42" t="s">
        <v>1099</v>
      </c>
      <c r="M260" s="209">
        <v>2050</v>
      </c>
      <c r="N260" s="44" t="s">
        <v>1378</v>
      </c>
      <c r="O260" s="221" t="s">
        <v>1379</v>
      </c>
      <c r="P260" s="238" t="str">
        <f>VLOOKUP(_xlfn.CONCAT(Table3[[#This Row],[Target area]],Table3[[#This Row],[GHG target?]],Table3[[#This Row],[Conditionality]]),'Drop down'!$E$81:$F$101,2,FALSE)</f>
        <v>T_Transport_Unc</v>
      </c>
      <c r="Q260" s="239" t="str">
        <f>VLOOKUP(Table3[[#This Row],[Target type]],Table418[[Value name]:[Value idenifyer]],2,FALSE)</f>
        <v>T_FL</v>
      </c>
      <c r="R260" s="233" t="s">
        <v>526</v>
      </c>
      <c r="S260" s="233" t="s">
        <v>1112</v>
      </c>
      <c r="T260" s="234" t="s">
        <v>1113</v>
      </c>
      <c r="V260" s="233" t="str">
        <f>VLOOKUP(Table3[[#This Row],[Country Code]],Table29[],3,FALSE)</f>
        <v>Annex I</v>
      </c>
      <c r="W260" s="233" t="str">
        <f>VLOOKUP(Table3[[#This Row],[Country Code]],Table29[],4,FALSE)</f>
        <v>Europe</v>
      </c>
      <c r="X260" s="233" t="str">
        <f>VLOOKUP(Table3[[#This Row],[Country Code]],Table29[],5,FALSE)</f>
        <v>High-income</v>
      </c>
      <c r="Y260" s="233" t="str">
        <f>VLOOKUP(Table3[[#This Row],[Country Code]],Table29[],6,FALSE)</f>
        <v>no</v>
      </c>
      <c r="Z260" s="233" t="str">
        <f>VLOOKUP(Table3[[#This Row],[Country Code]],Table29[],7,FALSE)</f>
        <v>no</v>
      </c>
      <c r="AA260" s="233" t="str">
        <f>VLOOKUP(Table3[[#This Row],[Country Code]],Table29[],8,FALSE)</f>
        <v>OECD</v>
      </c>
      <c r="AB260" s="233" t="str">
        <f>VLOOKUP(Table3[[#This Row],[Country Code]],Table29[],9,FALSE)</f>
        <v>no</v>
      </c>
      <c r="AC260" s="233" t="str">
        <f>VLOOKUP(Table3[[#This Row],[Country Code]],Table29[],10,FALSE)</f>
        <v>no</v>
      </c>
      <c r="AD260" s="235">
        <f>VLOOKUP(Table3[[#This Row],[Country Code]],Table29[],23,FALSE)</f>
        <v>43.446393813877002</v>
      </c>
      <c r="AE260" s="235">
        <f>VLOOKUP(Table3[[#This Row],[Country Code]],Table29[],24,FALSE)</f>
        <v>14.82381986485206</v>
      </c>
      <c r="AF260" s="43"/>
    </row>
    <row r="261" spans="1:32" x14ac:dyDescent="0.25">
      <c r="A261" s="360">
        <v>17592</v>
      </c>
      <c r="B261" s="233" t="str">
        <f>VLOOKUP(Table3[[#This Row],[Document ID]],Table1[],2,FALSE)</f>
        <v>FJI</v>
      </c>
      <c r="C261" s="233" t="str">
        <f>VLOOKUP(Table3[[#This Row],[Document ID]],Table1[],3,FALSE)</f>
        <v>Fiji</v>
      </c>
      <c r="D261" s="233" t="str">
        <f>VLOOKUP(Table3[[#This Row],[Document ID]],Table1[],5,FALSE)</f>
        <v>NDC</v>
      </c>
      <c r="E261" s="233" t="str">
        <f>VLOOKUP(Table3[[#This Row],[Document ID]],Table1[],7,FALSE)</f>
        <v>First NDC</v>
      </c>
      <c r="F261" s="233" t="str">
        <f>VLOOKUP(Table3[[#This Row],[Document ID]],Table1[],8,FALSE)</f>
        <v>NDC 1.0</v>
      </c>
      <c r="G261" s="233" t="str">
        <f>VLOOKUP(Table3[[#This Row],[Document ID]],Table1[],10,FALSE)</f>
        <v>Archived</v>
      </c>
      <c r="H261" s="216" t="s">
        <v>1089</v>
      </c>
      <c r="I261" s="216" t="s">
        <v>1089</v>
      </c>
      <c r="J261" s="43" t="s">
        <v>1090</v>
      </c>
      <c r="K261" s="28" t="s">
        <v>1091</v>
      </c>
      <c r="L261" s="42" t="s">
        <v>1099</v>
      </c>
      <c r="M261" s="209">
        <v>2030</v>
      </c>
      <c r="N261" s="176" t="s">
        <v>1380</v>
      </c>
      <c r="O261" s="258" t="s">
        <v>1094</v>
      </c>
      <c r="P261" s="238" t="str">
        <f>VLOOKUP(_xlfn.CONCAT(Table3[[#This Row],[Target area]],Table3[[#This Row],[GHG target?]],Table3[[#This Row],[Conditionality]]),'Drop down'!$E$81:$F$101,2,FALSE)</f>
        <v>T_Economy_Unc</v>
      </c>
      <c r="Q261" s="239" t="str">
        <f>VLOOKUP(Table3[[#This Row],[Target type]],Table418[[Value name]:[Value idenifyer]],2,FALSE)</f>
        <v>T_BAU</v>
      </c>
      <c r="T261" s="234" t="s">
        <v>1113</v>
      </c>
      <c r="V261" s="233" t="str">
        <f>VLOOKUP(Table3[[#This Row],[Country Code]],Table29[],3,FALSE)</f>
        <v>Non-Annex I</v>
      </c>
      <c r="W261" s="233" t="str">
        <f>VLOOKUP(Table3[[#This Row],[Country Code]],Table29[],4,FALSE)</f>
        <v>Oceania</v>
      </c>
      <c r="X261" s="233" t="str">
        <f>VLOOKUP(Table3[[#This Row],[Country Code]],Table29[],5,FALSE)</f>
        <v>Middle-income</v>
      </c>
      <c r="Y261" s="233" t="str">
        <f>VLOOKUP(Table3[[#This Row],[Country Code]],Table29[],6,FALSE)</f>
        <v>no</v>
      </c>
      <c r="Z261" s="233" t="str">
        <f>VLOOKUP(Table3[[#This Row],[Country Code]],Table29[],7,FALSE)</f>
        <v>no</v>
      </c>
      <c r="AA261" s="233" t="str">
        <f>VLOOKUP(Table3[[#This Row],[Country Code]],Table29[],8,FALSE)</f>
        <v>non-OECD</v>
      </c>
      <c r="AB261" s="233" t="str">
        <f>VLOOKUP(Table3[[#This Row],[Country Code]],Table29[],9,FALSE)</f>
        <v>no</v>
      </c>
      <c r="AC261" s="233" t="str">
        <f>VLOOKUP(Table3[[#This Row],[Country Code]],Table29[],10,FALSE)</f>
        <v>no</v>
      </c>
      <c r="AD261" s="235">
        <f>VLOOKUP(Table3[[#This Row],[Country Code]],Table29[],23,FALSE)</f>
        <v>3.4009927758626</v>
      </c>
      <c r="AE261" s="235">
        <f>VLOOKUP(Table3[[#This Row],[Country Code]],Table29[],24,FALSE)</f>
        <v>1.126237744382208</v>
      </c>
      <c r="AF261" s="43"/>
    </row>
    <row r="262" spans="1:32" x14ac:dyDescent="0.25">
      <c r="A262" s="360">
        <v>17592</v>
      </c>
      <c r="B262" s="233" t="str">
        <f>VLOOKUP(Table3[[#This Row],[Document ID]],Table1[],2,FALSE)</f>
        <v>FJI</v>
      </c>
      <c r="C262" s="233" t="str">
        <f>VLOOKUP(Table3[[#This Row],[Document ID]],Table1[],3,FALSE)</f>
        <v>Fiji</v>
      </c>
      <c r="D262" s="233" t="str">
        <f>VLOOKUP(Table3[[#This Row],[Document ID]],Table1[],5,FALSE)</f>
        <v>NDC</v>
      </c>
      <c r="E262" s="233" t="str">
        <f>VLOOKUP(Table3[[#This Row],[Document ID]],Table1[],7,FALSE)</f>
        <v>First NDC</v>
      </c>
      <c r="F262" s="233" t="str">
        <f>VLOOKUP(Table3[[#This Row],[Document ID]],Table1[],8,FALSE)</f>
        <v>NDC 1.0</v>
      </c>
      <c r="G262" s="233" t="str">
        <f>VLOOKUP(Table3[[#This Row],[Document ID]],Table1[],10,FALSE)</f>
        <v>Archived</v>
      </c>
      <c r="H262" s="216" t="s">
        <v>1089</v>
      </c>
      <c r="I262" s="216" t="s">
        <v>1089</v>
      </c>
      <c r="J262" s="43" t="s">
        <v>1090</v>
      </c>
      <c r="K262" s="28" t="s">
        <v>1091</v>
      </c>
      <c r="L262" s="216" t="s">
        <v>1092</v>
      </c>
      <c r="M262" s="209">
        <v>2030</v>
      </c>
      <c r="N262" s="176" t="s">
        <v>1381</v>
      </c>
      <c r="O262" s="258" t="s">
        <v>1094</v>
      </c>
      <c r="P262" s="238" t="str">
        <f>VLOOKUP(_xlfn.CONCAT(Table3[[#This Row],[Target area]],Table3[[#This Row],[GHG target?]],Table3[[#This Row],[Conditionality]]),'Drop down'!$E$81:$F$101,2,FALSE)</f>
        <v>T_Economy_C</v>
      </c>
      <c r="Q262" s="239" t="str">
        <f>VLOOKUP(Table3[[#This Row],[Target type]],Table418[[Value name]:[Value idenifyer]],2,FALSE)</f>
        <v>T_BAU</v>
      </c>
      <c r="T262" s="234" t="s">
        <v>1113</v>
      </c>
      <c r="V262" s="233" t="str">
        <f>VLOOKUP(Table3[[#This Row],[Country Code]],Table29[],3,FALSE)</f>
        <v>Non-Annex I</v>
      </c>
      <c r="W262" s="233" t="str">
        <f>VLOOKUP(Table3[[#This Row],[Country Code]],Table29[],4,FALSE)</f>
        <v>Oceania</v>
      </c>
      <c r="X262" s="233" t="str">
        <f>VLOOKUP(Table3[[#This Row],[Country Code]],Table29[],5,FALSE)</f>
        <v>Middle-income</v>
      </c>
      <c r="Y262" s="233" t="str">
        <f>VLOOKUP(Table3[[#This Row],[Country Code]],Table29[],6,FALSE)</f>
        <v>no</v>
      </c>
      <c r="Z262" s="233" t="str">
        <f>VLOOKUP(Table3[[#This Row],[Country Code]],Table29[],7,FALSE)</f>
        <v>no</v>
      </c>
      <c r="AA262" s="233" t="str">
        <f>VLOOKUP(Table3[[#This Row],[Country Code]],Table29[],8,FALSE)</f>
        <v>non-OECD</v>
      </c>
      <c r="AB262" s="233" t="str">
        <f>VLOOKUP(Table3[[#This Row],[Country Code]],Table29[],9,FALSE)</f>
        <v>no</v>
      </c>
      <c r="AC262" s="233" t="str">
        <f>VLOOKUP(Table3[[#This Row],[Country Code]],Table29[],10,FALSE)</f>
        <v>no</v>
      </c>
      <c r="AD262" s="235">
        <f>VLOOKUP(Table3[[#This Row],[Country Code]],Table29[],23,FALSE)</f>
        <v>3.4009927758626</v>
      </c>
      <c r="AE262" s="235">
        <f>VLOOKUP(Table3[[#This Row],[Country Code]],Table29[],24,FALSE)</f>
        <v>1.126237744382208</v>
      </c>
      <c r="AF262" s="43"/>
    </row>
    <row r="263" spans="1:32" ht="30" x14ac:dyDescent="0.25">
      <c r="A263" s="360">
        <v>17595</v>
      </c>
      <c r="B263" s="233" t="str">
        <f>VLOOKUP(Table3[[#This Row],[Document ID]],Table1[],2,FALSE)</f>
        <v>FIN</v>
      </c>
      <c r="C263" s="233" t="str">
        <f>VLOOKUP(Table3[[#This Row],[Document ID]],Table1[],3,FALSE)</f>
        <v>Finland</v>
      </c>
      <c r="D263" s="233" t="str">
        <f>VLOOKUP(Table3[[#This Row],[Document ID]],Table1[],5,FALSE)</f>
        <v>LTS</v>
      </c>
      <c r="E263" s="233" t="str">
        <f>VLOOKUP(Table3[[#This Row],[Document ID]],Table1[],7,FALSE)</f>
        <v>LTS</v>
      </c>
      <c r="F263" s="233" t="str">
        <f>VLOOKUP(Table3[[#This Row],[Document ID]],Table1[],8,FALSE)</f>
        <v>LTS 1.0</v>
      </c>
      <c r="G263" s="233" t="str">
        <f>VLOOKUP(Table3[[#This Row],[Document ID]],Table1[],10,FALSE)</f>
        <v>Active</v>
      </c>
      <c r="H263" s="216" t="s">
        <v>1089</v>
      </c>
      <c r="I263" s="216" t="s">
        <v>1089</v>
      </c>
      <c r="J263" s="43" t="s">
        <v>1090</v>
      </c>
      <c r="K263" s="28" t="s">
        <v>1153</v>
      </c>
      <c r="L263" s="42" t="s">
        <v>1099</v>
      </c>
      <c r="M263" s="209">
        <v>2035</v>
      </c>
      <c r="N263" s="44" t="s">
        <v>1382</v>
      </c>
      <c r="O263" s="221">
        <v>8</v>
      </c>
      <c r="P263" s="238" t="str">
        <f>VLOOKUP(_xlfn.CONCAT(Table3[[#This Row],[Target area]],Table3[[#This Row],[GHG target?]],Table3[[#This Row],[Conditionality]]),'Drop down'!$E$81:$F$101,2,FALSE)</f>
        <v>T_Economy_Unc</v>
      </c>
      <c r="Q263" s="239" t="str">
        <f>VLOOKUP(Table3[[#This Row],[Target type]],Table418[[Value name]:[Value idenifyer]],2,FALSE)</f>
        <v>T_BYE</v>
      </c>
      <c r="S263" s="233" t="s">
        <v>1101</v>
      </c>
      <c r="T263" s="234" t="s">
        <v>1113</v>
      </c>
      <c r="V263" s="233" t="str">
        <f>VLOOKUP(Table3[[#This Row],[Country Code]],Table29[],3,FALSE)</f>
        <v>Annex I</v>
      </c>
      <c r="W263" s="233" t="str">
        <f>VLOOKUP(Table3[[#This Row],[Country Code]],Table29[],4,FALSE)</f>
        <v>Europe</v>
      </c>
      <c r="X263" s="233" t="str">
        <f>VLOOKUP(Table3[[#This Row],[Country Code]],Table29[],5,FALSE)</f>
        <v>High-income</v>
      </c>
      <c r="Y263" s="233" t="str">
        <f>VLOOKUP(Table3[[#This Row],[Country Code]],Table29[],6,FALSE)</f>
        <v>no</v>
      </c>
      <c r="Z263" s="233" t="str">
        <f>VLOOKUP(Table3[[#This Row],[Country Code]],Table29[],7,FALSE)</f>
        <v>no</v>
      </c>
      <c r="AA263" s="233" t="str">
        <f>VLOOKUP(Table3[[#This Row],[Country Code]],Table29[],8,FALSE)</f>
        <v>OECD</v>
      </c>
      <c r="AB263" s="233" t="str">
        <f>VLOOKUP(Table3[[#This Row],[Country Code]],Table29[],9,FALSE)</f>
        <v>EU27</v>
      </c>
      <c r="AC263" s="233" t="str">
        <f>VLOOKUP(Table3[[#This Row],[Country Code]],Table29[],10,FALSE)</f>
        <v>no</v>
      </c>
      <c r="AD263" s="235">
        <f>VLOOKUP(Table3[[#This Row],[Country Code]],Table29[],23,FALSE)</f>
        <v>43.453536797250003</v>
      </c>
      <c r="AE263" s="235">
        <f>VLOOKUP(Table3[[#This Row],[Country Code]],Table29[],24,FALSE)</f>
        <v>9.0648298110143131</v>
      </c>
      <c r="AF263" s="43"/>
    </row>
    <row r="264" spans="1:32" ht="30" x14ac:dyDescent="0.25">
      <c r="A264" s="360">
        <v>17555</v>
      </c>
      <c r="B264" s="233" t="str">
        <f>VLOOKUP(Table3[[#This Row],[Document ID]],Table1[],2,FALSE)</f>
        <v>CHL</v>
      </c>
      <c r="C264" s="233" t="str">
        <f>VLOOKUP(Table3[[#This Row],[Document ID]],Table1[],3,FALSE)</f>
        <v>Chile</v>
      </c>
      <c r="D264" s="233" t="str">
        <f>VLOOKUP(Table3[[#This Row],[Document ID]],Table1[],5,FALSE)</f>
        <v>NDC</v>
      </c>
      <c r="E264" s="233" t="str">
        <f>VLOOKUP(Table3[[#This Row],[Document ID]],Table1[],7,FALSE)</f>
        <v>First NDC updated</v>
      </c>
      <c r="F264" s="233" t="str">
        <f>VLOOKUP(Table3[[#This Row],[Document ID]],Table1[],8,FALSE)</f>
        <v>NDC 1.1</v>
      </c>
      <c r="G264" s="233" t="str">
        <f>VLOOKUP(Table3[[#This Row],[Document ID]],Table1[],10,FALSE)</f>
        <v>Active</v>
      </c>
      <c r="H264" s="42" t="s">
        <v>1095</v>
      </c>
      <c r="I264" s="42" t="s">
        <v>1096</v>
      </c>
      <c r="J264" s="42" t="s">
        <v>1097</v>
      </c>
      <c r="K264" s="28" t="s">
        <v>1104</v>
      </c>
      <c r="L264" s="42" t="s">
        <v>1099</v>
      </c>
      <c r="M264" s="209">
        <v>2040</v>
      </c>
      <c r="N264" s="44" t="s">
        <v>1383</v>
      </c>
      <c r="O264" s="221">
        <v>34</v>
      </c>
      <c r="P264" s="238" t="str">
        <f>VLOOKUP(_xlfn.CONCAT(Table3[[#This Row],[Target area]],Table3[[#This Row],[GHG target?]],Table3[[#This Row],[Conditionality]]),'Drop down'!$E$81:$F$101,2,FALSE)</f>
        <v>T_Transport_O_Unc</v>
      </c>
      <c r="Q264" s="239" t="str">
        <f>VLOOKUP(Table3[[#This Row],[Target type]],Table418[[Value name]:[Value idenifyer]],2,FALSE)</f>
        <v>T_O_ZERO</v>
      </c>
      <c r="S264" s="233" t="s">
        <v>1101</v>
      </c>
      <c r="T264" s="234" t="s">
        <v>1113</v>
      </c>
      <c r="V264" s="233" t="str">
        <f>VLOOKUP(Table3[[#This Row],[Country Code]],Table29[],3,FALSE)</f>
        <v>Non-Annex I</v>
      </c>
      <c r="W264" s="233" t="str">
        <f>VLOOKUP(Table3[[#This Row],[Country Code]],Table29[],4,FALSE)</f>
        <v>Latin America and the Caribbean</v>
      </c>
      <c r="X264" s="233" t="str">
        <f>VLOOKUP(Table3[[#This Row],[Country Code]],Table29[],5,FALSE)</f>
        <v>High-income</v>
      </c>
      <c r="Y264" s="233" t="str">
        <f>VLOOKUP(Table3[[#This Row],[Country Code]],Table29[],6,FALSE)</f>
        <v>no</v>
      </c>
      <c r="Z264" s="233" t="str">
        <f>VLOOKUP(Table3[[#This Row],[Country Code]],Table29[],7,FALSE)</f>
        <v>no</v>
      </c>
      <c r="AA264" s="233" t="str">
        <f>VLOOKUP(Table3[[#This Row],[Country Code]],Table29[],8,FALSE)</f>
        <v>OECD</v>
      </c>
      <c r="AB264" s="233" t="str">
        <f>VLOOKUP(Table3[[#This Row],[Country Code]],Table29[],9,FALSE)</f>
        <v>no</v>
      </c>
      <c r="AC264" s="233" t="str">
        <f>VLOOKUP(Table3[[#This Row],[Country Code]],Table29[],10,FALSE)</f>
        <v>no</v>
      </c>
      <c r="AD264" s="235">
        <f>VLOOKUP(Table3[[#This Row],[Country Code]],Table29[],23,FALSE)</f>
        <v>121.46313217391</v>
      </c>
      <c r="AE264" s="235">
        <f>VLOOKUP(Table3[[#This Row],[Country Code]],Table29[],24,FALSE)</f>
        <v>32.478801178832768</v>
      </c>
      <c r="AF264" s="43"/>
    </row>
    <row r="265" spans="1:32" ht="30" x14ac:dyDescent="0.25">
      <c r="A265" s="360">
        <v>17555</v>
      </c>
      <c r="B265" s="233" t="str">
        <f>VLOOKUP(Table3[[#This Row],[Document ID]],Table1[],2,FALSE)</f>
        <v>CHL</v>
      </c>
      <c r="C265" s="233" t="str">
        <f>VLOOKUP(Table3[[#This Row],[Document ID]],Table1[],3,FALSE)</f>
        <v>Chile</v>
      </c>
      <c r="D265" s="233" t="str">
        <f>VLOOKUP(Table3[[#This Row],[Document ID]],Table1[],5,FALSE)</f>
        <v>NDC</v>
      </c>
      <c r="E265" s="233" t="str">
        <f>VLOOKUP(Table3[[#This Row],[Document ID]],Table1[],7,FALSE)</f>
        <v>First NDC updated</v>
      </c>
      <c r="F265" s="233" t="str">
        <f>VLOOKUP(Table3[[#This Row],[Document ID]],Table1[],8,FALSE)</f>
        <v>NDC 1.1</v>
      </c>
      <c r="G265" s="233" t="str">
        <f>VLOOKUP(Table3[[#This Row],[Document ID]],Table1[],10,FALSE)</f>
        <v>Active</v>
      </c>
      <c r="H265" s="42" t="s">
        <v>1095</v>
      </c>
      <c r="I265" s="42" t="s">
        <v>1096</v>
      </c>
      <c r="J265" s="42" t="s">
        <v>1097</v>
      </c>
      <c r="K265" s="28" t="s">
        <v>1137</v>
      </c>
      <c r="L265" s="42" t="s">
        <v>1099</v>
      </c>
      <c r="M265" s="209">
        <v>2030</v>
      </c>
      <c r="N265" s="44" t="s">
        <v>1384</v>
      </c>
      <c r="O265" s="221">
        <v>34</v>
      </c>
      <c r="P265" s="238" t="str">
        <f>VLOOKUP(_xlfn.CONCAT(Table3[[#This Row],[Target area]],Table3[[#This Row],[GHG target?]],Table3[[#This Row],[Conditionality]]),'Drop down'!$E$81:$F$101,2,FALSE)</f>
        <v>T_Transport_O_Unc</v>
      </c>
      <c r="Q265" s="239" t="str">
        <f>VLOOKUP(Table3[[#This Row],[Target type]],Table418[[Value name]:[Value idenifyer]],2,FALSE)</f>
        <v>T_O_EFF</v>
      </c>
      <c r="S265" s="233" t="s">
        <v>1101</v>
      </c>
      <c r="T265" s="234" t="s">
        <v>1113</v>
      </c>
      <c r="V265" s="233" t="str">
        <f>VLOOKUP(Table3[[#This Row],[Country Code]],Table29[],3,FALSE)</f>
        <v>Non-Annex I</v>
      </c>
      <c r="W265" s="233" t="str">
        <f>VLOOKUP(Table3[[#This Row],[Country Code]],Table29[],4,FALSE)</f>
        <v>Latin America and the Caribbean</v>
      </c>
      <c r="X265" s="233" t="str">
        <f>VLOOKUP(Table3[[#This Row],[Country Code]],Table29[],5,FALSE)</f>
        <v>High-income</v>
      </c>
      <c r="Y265" s="233" t="str">
        <f>VLOOKUP(Table3[[#This Row],[Country Code]],Table29[],6,FALSE)</f>
        <v>no</v>
      </c>
      <c r="Z265" s="233" t="str">
        <f>VLOOKUP(Table3[[#This Row],[Country Code]],Table29[],7,FALSE)</f>
        <v>no</v>
      </c>
      <c r="AA265" s="233" t="str">
        <f>VLOOKUP(Table3[[#This Row],[Country Code]],Table29[],8,FALSE)</f>
        <v>OECD</v>
      </c>
      <c r="AB265" s="233" t="str">
        <f>VLOOKUP(Table3[[#This Row],[Country Code]],Table29[],9,FALSE)</f>
        <v>no</v>
      </c>
      <c r="AC265" s="233" t="str">
        <f>VLOOKUP(Table3[[#This Row],[Country Code]],Table29[],10,FALSE)</f>
        <v>no</v>
      </c>
      <c r="AD265" s="235">
        <f>VLOOKUP(Table3[[#This Row],[Country Code]],Table29[],23,FALSE)</f>
        <v>121.46313217391</v>
      </c>
      <c r="AE265" s="235">
        <f>VLOOKUP(Table3[[#This Row],[Country Code]],Table29[],24,FALSE)</f>
        <v>32.478801178832768</v>
      </c>
      <c r="AF265" s="43"/>
    </row>
    <row r="266" spans="1:32" ht="30" x14ac:dyDescent="0.25">
      <c r="A266" s="360">
        <v>17555</v>
      </c>
      <c r="B266" s="233" t="str">
        <f>VLOOKUP(Table3[[#This Row],[Document ID]],Table1[],2,FALSE)</f>
        <v>CHL</v>
      </c>
      <c r="C266" s="233" t="str">
        <f>VLOOKUP(Table3[[#This Row],[Document ID]],Table1[],3,FALSE)</f>
        <v>Chile</v>
      </c>
      <c r="D266" s="233" t="str">
        <f>VLOOKUP(Table3[[#This Row],[Document ID]],Table1[],5,FALSE)</f>
        <v>NDC</v>
      </c>
      <c r="E266" s="233" t="str">
        <f>VLOOKUP(Table3[[#This Row],[Document ID]],Table1[],7,FALSE)</f>
        <v>First NDC updated</v>
      </c>
      <c r="F266" s="233" t="str">
        <f>VLOOKUP(Table3[[#This Row],[Document ID]],Table1[],8,FALSE)</f>
        <v>NDC 1.1</v>
      </c>
      <c r="G266" s="233" t="str">
        <f>VLOOKUP(Table3[[#This Row],[Document ID]],Table1[],10,FALSE)</f>
        <v>Active</v>
      </c>
      <c r="H266" s="42" t="s">
        <v>1095</v>
      </c>
      <c r="I266" s="42" t="s">
        <v>1096</v>
      </c>
      <c r="J266" s="42" t="s">
        <v>1097</v>
      </c>
      <c r="K266" s="28" t="s">
        <v>1104</v>
      </c>
      <c r="L266" s="42" t="s">
        <v>1099</v>
      </c>
      <c r="M266" s="209">
        <v>2050</v>
      </c>
      <c r="N266" s="44" t="s">
        <v>1385</v>
      </c>
      <c r="O266" s="221">
        <v>34</v>
      </c>
      <c r="P266" s="238" t="str">
        <f>VLOOKUP(_xlfn.CONCAT(Table3[[#This Row],[Target area]],Table3[[#This Row],[GHG target?]],Table3[[#This Row],[Conditionality]]),'Drop down'!$E$81:$F$101,2,FALSE)</f>
        <v>T_Transport_O_Unc</v>
      </c>
      <c r="Q266" s="239" t="str">
        <f>VLOOKUP(Table3[[#This Row],[Target type]],Table418[[Value name]:[Value idenifyer]],2,FALSE)</f>
        <v>T_O_ZERO</v>
      </c>
      <c r="S266" s="233" t="s">
        <v>1101</v>
      </c>
      <c r="T266" s="234" t="s">
        <v>1113</v>
      </c>
      <c r="V266" s="233" t="str">
        <f>VLOOKUP(Table3[[#This Row],[Country Code]],Table29[],3,FALSE)</f>
        <v>Non-Annex I</v>
      </c>
      <c r="W266" s="233" t="str">
        <f>VLOOKUP(Table3[[#This Row],[Country Code]],Table29[],4,FALSE)</f>
        <v>Latin America and the Caribbean</v>
      </c>
      <c r="X266" s="233" t="str">
        <f>VLOOKUP(Table3[[#This Row],[Country Code]],Table29[],5,FALSE)</f>
        <v>High-income</v>
      </c>
      <c r="Y266" s="233" t="str">
        <f>VLOOKUP(Table3[[#This Row],[Country Code]],Table29[],6,FALSE)</f>
        <v>no</v>
      </c>
      <c r="Z266" s="233" t="str">
        <f>VLOOKUP(Table3[[#This Row],[Country Code]],Table29[],7,FALSE)</f>
        <v>no</v>
      </c>
      <c r="AA266" s="233" t="str">
        <f>VLOOKUP(Table3[[#This Row],[Country Code]],Table29[],8,FALSE)</f>
        <v>OECD</v>
      </c>
      <c r="AB266" s="233" t="str">
        <f>VLOOKUP(Table3[[#This Row],[Country Code]],Table29[],9,FALSE)</f>
        <v>no</v>
      </c>
      <c r="AC266" s="233" t="str">
        <f>VLOOKUP(Table3[[#This Row],[Country Code]],Table29[],10,FALSE)</f>
        <v>no</v>
      </c>
      <c r="AD266" s="235">
        <f>VLOOKUP(Table3[[#This Row],[Country Code]],Table29[],23,FALSE)</f>
        <v>121.46313217391</v>
      </c>
      <c r="AE266" s="235">
        <f>VLOOKUP(Table3[[#This Row],[Country Code]],Table29[],24,FALSE)</f>
        <v>32.478801178832768</v>
      </c>
      <c r="AF266" s="43"/>
    </row>
    <row r="267" spans="1:32" ht="30" x14ac:dyDescent="0.25">
      <c r="A267" s="360">
        <v>17555</v>
      </c>
      <c r="B267" s="233" t="str">
        <f>VLOOKUP(Table3[[#This Row],[Document ID]],Table1[],2,FALSE)</f>
        <v>CHL</v>
      </c>
      <c r="C267" s="233" t="str">
        <f>VLOOKUP(Table3[[#This Row],[Document ID]],Table1[],3,FALSE)</f>
        <v>Chile</v>
      </c>
      <c r="D267" s="233" t="str">
        <f>VLOOKUP(Table3[[#This Row],[Document ID]],Table1[],5,FALSE)</f>
        <v>NDC</v>
      </c>
      <c r="E267" s="233" t="str">
        <f>VLOOKUP(Table3[[#This Row],[Document ID]],Table1[],7,FALSE)</f>
        <v>First NDC updated</v>
      </c>
      <c r="F267" s="233" t="str">
        <f>VLOOKUP(Table3[[#This Row],[Document ID]],Table1[],8,FALSE)</f>
        <v>NDC 1.1</v>
      </c>
      <c r="G267" s="233" t="str">
        <f>VLOOKUP(Table3[[#This Row],[Document ID]],Table1[],10,FALSE)</f>
        <v>Active</v>
      </c>
      <c r="H267" s="42" t="s">
        <v>1095</v>
      </c>
      <c r="I267" s="42" t="s">
        <v>1096</v>
      </c>
      <c r="J267" s="42" t="s">
        <v>1097</v>
      </c>
      <c r="K267" s="28" t="s">
        <v>1104</v>
      </c>
      <c r="L267" s="42" t="s">
        <v>1099</v>
      </c>
      <c r="M267" s="209">
        <v>2050</v>
      </c>
      <c r="N267" s="44" t="s">
        <v>1386</v>
      </c>
      <c r="O267" s="221">
        <v>34</v>
      </c>
      <c r="P267" s="238" t="str">
        <f>VLOOKUP(_xlfn.CONCAT(Table3[[#This Row],[Target area]],Table3[[#This Row],[GHG target?]],Table3[[#This Row],[Conditionality]]),'Drop down'!$E$81:$F$101,2,FALSE)</f>
        <v>T_Transport_O_Unc</v>
      </c>
      <c r="Q267" s="239" t="str">
        <f>VLOOKUP(Table3[[#This Row],[Target type]],Table418[[Value name]:[Value idenifyer]],2,FALSE)</f>
        <v>T_O_ZERO</v>
      </c>
      <c r="S267" s="233" t="s">
        <v>1101</v>
      </c>
      <c r="T267" s="234" t="s">
        <v>1113</v>
      </c>
      <c r="V267" s="233" t="str">
        <f>VLOOKUP(Table3[[#This Row],[Country Code]],Table29[],3,FALSE)</f>
        <v>Non-Annex I</v>
      </c>
      <c r="W267" s="233" t="str">
        <f>VLOOKUP(Table3[[#This Row],[Country Code]],Table29[],4,FALSE)</f>
        <v>Latin America and the Caribbean</v>
      </c>
      <c r="X267" s="233" t="str">
        <f>VLOOKUP(Table3[[#This Row],[Country Code]],Table29[],5,FALSE)</f>
        <v>High-income</v>
      </c>
      <c r="Y267" s="233" t="str">
        <f>VLOOKUP(Table3[[#This Row],[Country Code]],Table29[],6,FALSE)</f>
        <v>no</v>
      </c>
      <c r="Z267" s="233" t="str">
        <f>VLOOKUP(Table3[[#This Row],[Country Code]],Table29[],7,FALSE)</f>
        <v>no</v>
      </c>
      <c r="AA267" s="233" t="str">
        <f>VLOOKUP(Table3[[#This Row],[Country Code]],Table29[],8,FALSE)</f>
        <v>OECD</v>
      </c>
      <c r="AB267" s="233" t="str">
        <f>VLOOKUP(Table3[[#This Row],[Country Code]],Table29[],9,FALSE)</f>
        <v>no</v>
      </c>
      <c r="AC267" s="233" t="str">
        <f>VLOOKUP(Table3[[#This Row],[Country Code]],Table29[],10,FALSE)</f>
        <v>no</v>
      </c>
      <c r="AD267" s="235">
        <f>VLOOKUP(Table3[[#This Row],[Country Code]],Table29[],23,FALSE)</f>
        <v>121.46313217391</v>
      </c>
      <c r="AE267" s="235">
        <f>VLOOKUP(Table3[[#This Row],[Country Code]],Table29[],24,FALSE)</f>
        <v>32.478801178832768</v>
      </c>
      <c r="AF267" s="43"/>
    </row>
    <row r="268" spans="1:32" ht="60" x14ac:dyDescent="0.25">
      <c r="A268" s="360">
        <v>29229</v>
      </c>
      <c r="B268" s="233" t="str">
        <f>VLOOKUP(Table3[[#This Row],[Document ID]],Table1[],2,FALSE)</f>
        <v>GAB</v>
      </c>
      <c r="C268" s="233" t="str">
        <f>VLOOKUP(Table3[[#This Row],[Document ID]],Table1[],3,FALSE)</f>
        <v>Gabon</v>
      </c>
      <c r="D268" s="233" t="str">
        <f>VLOOKUP(Table3[[#This Row],[Document ID]],Table1[],5,FALSE)</f>
        <v>NDC</v>
      </c>
      <c r="E268" s="233" t="str">
        <f>VLOOKUP(Table3[[#This Row],[Document ID]],Table1[],7,FALSE)</f>
        <v>First NDC updated</v>
      </c>
      <c r="F268" s="233" t="str">
        <f>VLOOKUP(Table3[[#This Row],[Document ID]],Table1[],8,FALSE)</f>
        <v>NDC 1.1</v>
      </c>
      <c r="G268" s="233" t="str">
        <f>VLOOKUP(Table3[[#This Row],[Document ID]],Table1[],10,FALSE)</f>
        <v>Active</v>
      </c>
      <c r="H268" s="43" t="s">
        <v>1114</v>
      </c>
      <c r="I268" s="43" t="s">
        <v>1115</v>
      </c>
      <c r="J268" s="42" t="s">
        <v>1090</v>
      </c>
      <c r="K268" s="28" t="s">
        <v>1153</v>
      </c>
      <c r="L268" s="43" t="s">
        <v>1116</v>
      </c>
      <c r="M268" s="209">
        <v>2030</v>
      </c>
      <c r="N268" s="44" t="s">
        <v>1387</v>
      </c>
      <c r="O268" s="258">
        <v>17</v>
      </c>
      <c r="P268" s="238" t="str">
        <f>VLOOKUP(_xlfn.CONCAT(Table3[[#This Row],[Target area]],Table3[[#This Row],[GHG target?]],Table3[[#This Row],[Conditionality]]),'Drop down'!$E$81:$F$101,2,FALSE)</f>
        <v>T_Energy</v>
      </c>
      <c r="Q268" s="239" t="str">
        <f>VLOOKUP(Table3[[#This Row],[Target type]],Table418[[Value name]:[Value idenifyer]],2,FALSE)</f>
        <v>T_BYE</v>
      </c>
      <c r="T268" s="234" t="s">
        <v>1113</v>
      </c>
      <c r="V268" s="233" t="str">
        <f>VLOOKUP(Table3[[#This Row],[Country Code]],Table29[],3,FALSE)</f>
        <v>Non-Annex I</v>
      </c>
      <c r="W268" s="233" t="str">
        <f>VLOOKUP(Table3[[#This Row],[Country Code]],Table29[],4,FALSE)</f>
        <v>Africa</v>
      </c>
      <c r="X268" s="233" t="str">
        <f>VLOOKUP(Table3[[#This Row],[Country Code]],Table29[],5,FALSE)</f>
        <v>Middle-income</v>
      </c>
      <c r="Y268" s="233" t="str">
        <f>VLOOKUP(Table3[[#This Row],[Country Code]],Table29[],6,FALSE)</f>
        <v>no</v>
      </c>
      <c r="Z268" s="233" t="str">
        <f>VLOOKUP(Table3[[#This Row],[Country Code]],Table29[],7,FALSE)</f>
        <v>no</v>
      </c>
      <c r="AA268" s="233" t="str">
        <f>VLOOKUP(Table3[[#This Row],[Country Code]],Table29[],8,FALSE)</f>
        <v>non-OECD</v>
      </c>
      <c r="AB268" s="233" t="str">
        <f>VLOOKUP(Table3[[#This Row],[Country Code]],Table29[],9,FALSE)</f>
        <v>no</v>
      </c>
      <c r="AC268" s="233" t="str">
        <f>VLOOKUP(Table3[[#This Row],[Country Code]],Table29[],10,FALSE)</f>
        <v>no</v>
      </c>
      <c r="AD268" s="235">
        <f>VLOOKUP(Table3[[#This Row],[Country Code]],Table29[],23,FALSE)</f>
        <v>21.402080428809001</v>
      </c>
      <c r="AE268" s="235">
        <f>VLOOKUP(Table3[[#This Row],[Country Code]],Table29[],24,FALSE)</f>
        <v>0.2169319598307908</v>
      </c>
      <c r="AF268" s="43"/>
    </row>
    <row r="269" spans="1:32" x14ac:dyDescent="0.25">
      <c r="A269" s="360">
        <v>17599</v>
      </c>
      <c r="B269" s="233" t="str">
        <f>VLOOKUP(Table3[[#This Row],[Document ID]],Table1[],2,FALSE)</f>
        <v>GAB</v>
      </c>
      <c r="C269" s="233" t="str">
        <f>VLOOKUP(Table3[[#This Row],[Document ID]],Table1[],3,FALSE)</f>
        <v>Gabon</v>
      </c>
      <c r="D269" s="233" t="str">
        <f>VLOOKUP(Table3[[#This Row],[Document ID]],Table1[],5,FALSE)</f>
        <v>NDC</v>
      </c>
      <c r="E269" s="233" t="str">
        <f>VLOOKUP(Table3[[#This Row],[Document ID]],Table1[],7,FALSE)</f>
        <v>First NDC</v>
      </c>
      <c r="F269" s="233" t="str">
        <f>VLOOKUP(Table3[[#This Row],[Document ID]],Table1[],8,FALSE)</f>
        <v>NDC 1.0</v>
      </c>
      <c r="G269" s="233" t="str">
        <f>VLOOKUP(Table3[[#This Row],[Document ID]],Table1[],10,FALSE)</f>
        <v>Archived</v>
      </c>
      <c r="H269" s="216" t="s">
        <v>1089</v>
      </c>
      <c r="I269" s="216" t="s">
        <v>1089</v>
      </c>
      <c r="J269" s="43" t="s">
        <v>1090</v>
      </c>
      <c r="K269" s="28" t="s">
        <v>1091</v>
      </c>
      <c r="L269" s="42" t="s">
        <v>1099</v>
      </c>
      <c r="M269" s="209">
        <v>2025</v>
      </c>
      <c r="N269" s="176" t="s">
        <v>1388</v>
      </c>
      <c r="O269" s="258" t="s">
        <v>1094</v>
      </c>
      <c r="P269" s="238" t="str">
        <f>VLOOKUP(_xlfn.CONCAT(Table3[[#This Row],[Target area]],Table3[[#This Row],[GHG target?]],Table3[[#This Row],[Conditionality]]),'Drop down'!$E$81:$F$101,2,FALSE)</f>
        <v>T_Economy_Unc</v>
      </c>
      <c r="Q269" s="239" t="str">
        <f>VLOOKUP(Table3[[#This Row],[Target type]],Table418[[Value name]:[Value idenifyer]],2,FALSE)</f>
        <v>T_BAU</v>
      </c>
      <c r="S269" s="233" t="s">
        <v>1112</v>
      </c>
      <c r="T269" s="234" t="s">
        <v>1113</v>
      </c>
      <c r="V269" s="233" t="str">
        <f>VLOOKUP(Table3[[#This Row],[Country Code]],Table29[],3,FALSE)</f>
        <v>Non-Annex I</v>
      </c>
      <c r="W269" s="233" t="str">
        <f>VLOOKUP(Table3[[#This Row],[Country Code]],Table29[],4,FALSE)</f>
        <v>Africa</v>
      </c>
      <c r="X269" s="233" t="str">
        <f>VLOOKUP(Table3[[#This Row],[Country Code]],Table29[],5,FALSE)</f>
        <v>Middle-income</v>
      </c>
      <c r="Y269" s="233" t="str">
        <f>VLOOKUP(Table3[[#This Row],[Country Code]],Table29[],6,FALSE)</f>
        <v>no</v>
      </c>
      <c r="Z269" s="233" t="str">
        <f>VLOOKUP(Table3[[#This Row],[Country Code]],Table29[],7,FALSE)</f>
        <v>no</v>
      </c>
      <c r="AA269" s="233" t="str">
        <f>VLOOKUP(Table3[[#This Row],[Country Code]],Table29[],8,FALSE)</f>
        <v>non-OECD</v>
      </c>
      <c r="AB269" s="233" t="str">
        <f>VLOOKUP(Table3[[#This Row],[Country Code]],Table29[],9,FALSE)</f>
        <v>no</v>
      </c>
      <c r="AC269" s="233" t="str">
        <f>VLOOKUP(Table3[[#This Row],[Country Code]],Table29[],10,FALSE)</f>
        <v>no</v>
      </c>
      <c r="AD269" s="235">
        <f>VLOOKUP(Table3[[#This Row],[Country Code]],Table29[],23,FALSE)</f>
        <v>21.402080428809001</v>
      </c>
      <c r="AE269" s="235">
        <f>VLOOKUP(Table3[[#This Row],[Country Code]],Table29[],24,FALSE)</f>
        <v>0.2169319598307908</v>
      </c>
      <c r="AF269" s="43"/>
    </row>
    <row r="270" spans="1:32" x14ac:dyDescent="0.25">
      <c r="A270" s="360">
        <v>22162</v>
      </c>
      <c r="B270" s="233" t="str">
        <f>VLOOKUP(Table3[[#This Row],[Document ID]],Table1[],2,FALSE)</f>
        <v>GMB</v>
      </c>
      <c r="C270" s="233" t="str">
        <f>VLOOKUP(Table3[[#This Row],[Document ID]],Table1[],3,FALSE)</f>
        <v>Gambia (Republic of The)</v>
      </c>
      <c r="D270" s="233" t="str">
        <f>VLOOKUP(Table3[[#This Row],[Document ID]],Table1[],5,FALSE)</f>
        <v>LTS</v>
      </c>
      <c r="E270" s="233" t="str">
        <f>VLOOKUP(Table3[[#This Row],[Document ID]],Table1[],7,FALSE)</f>
        <v>LTS</v>
      </c>
      <c r="F270" s="233" t="str">
        <f>VLOOKUP(Table3[[#This Row],[Document ID]],Table1[],8,FALSE)</f>
        <v>LTS 1.0</v>
      </c>
      <c r="G270" s="233" t="str">
        <f>VLOOKUP(Table3[[#This Row],[Document ID]],Table1[],10,FALSE)</f>
        <v>Active</v>
      </c>
      <c r="H270" s="216" t="s">
        <v>1089</v>
      </c>
      <c r="I270" s="216" t="s">
        <v>1089</v>
      </c>
      <c r="J270" s="43" t="s">
        <v>1090</v>
      </c>
      <c r="K270" s="28" t="s">
        <v>1091</v>
      </c>
      <c r="L270" s="42" t="s">
        <v>1099</v>
      </c>
      <c r="M270" s="209">
        <v>2030</v>
      </c>
      <c r="N270" s="209" t="s">
        <v>1389</v>
      </c>
      <c r="O270" s="257">
        <v>4</v>
      </c>
      <c r="P270" s="238" t="str">
        <f>VLOOKUP(_xlfn.CONCAT(Table3[[#This Row],[Target area]],Table3[[#This Row],[GHG target?]],Table3[[#This Row],[Conditionality]]),'Drop down'!$E$81:$F$101,2,FALSE)</f>
        <v>T_Economy_Unc</v>
      </c>
      <c r="Q270" s="239" t="str">
        <f>VLOOKUP(Table3[[#This Row],[Target type]],Table418[[Value name]:[Value idenifyer]],2,FALSE)</f>
        <v>T_BAU</v>
      </c>
      <c r="S270" s="233" t="s">
        <v>1112</v>
      </c>
      <c r="T270" s="234" t="s">
        <v>1113</v>
      </c>
      <c r="U270" s="240"/>
      <c r="V270" s="233" t="str">
        <f>VLOOKUP(Table3[[#This Row],[Country Code]],Table29[],3,FALSE)</f>
        <v>Non-Annex I</v>
      </c>
      <c r="W270" s="233" t="str">
        <f>VLOOKUP(Table3[[#This Row],[Country Code]],Table29[],4,FALSE)</f>
        <v>Africa</v>
      </c>
      <c r="X270" s="233" t="str">
        <f>VLOOKUP(Table3[[#This Row],[Country Code]],Table29[],5,FALSE)</f>
        <v>Low-income</v>
      </c>
      <c r="Y270" s="233" t="str">
        <f>VLOOKUP(Table3[[#This Row],[Country Code]],Table29[],6,FALSE)</f>
        <v>no</v>
      </c>
      <c r="Z270" s="233" t="str">
        <f>VLOOKUP(Table3[[#This Row],[Country Code]],Table29[],7,FALSE)</f>
        <v>no</v>
      </c>
      <c r="AA270" s="233" t="str">
        <f>VLOOKUP(Table3[[#This Row],[Country Code]],Table29[],8,FALSE)</f>
        <v>non-OECD</v>
      </c>
      <c r="AB270" s="233" t="str">
        <f>VLOOKUP(Table3[[#This Row],[Country Code]],Table29[],9,FALSE)</f>
        <v>no</v>
      </c>
      <c r="AC270" s="233" t="str">
        <f>VLOOKUP(Table3[[#This Row],[Country Code]],Table29[],10,FALSE)</f>
        <v>no</v>
      </c>
      <c r="AD270" s="235">
        <f>VLOOKUP(Table3[[#This Row],[Country Code]],Table29[],23,FALSE)</f>
        <v>1.8888012914382</v>
      </c>
      <c r="AE270" s="235">
        <f>VLOOKUP(Table3[[#This Row],[Country Code]],Table29[],24,FALSE)</f>
        <v>0.35129125057719468</v>
      </c>
      <c r="AF270" s="43"/>
    </row>
    <row r="271" spans="1:32" ht="30" x14ac:dyDescent="0.25">
      <c r="A271" s="360">
        <v>17556</v>
      </c>
      <c r="B271" s="233" t="str">
        <f>VLOOKUP(Table3[[#This Row],[Document ID]],Table1[],2,FALSE)</f>
        <v>CHN</v>
      </c>
      <c r="C271" s="233" t="str">
        <f>VLOOKUP(Table3[[#This Row],[Document ID]],Table1[],3,FALSE)</f>
        <v>China</v>
      </c>
      <c r="D271" s="233" t="str">
        <f>VLOOKUP(Table3[[#This Row],[Document ID]],Table1[],5,FALSE)</f>
        <v>NDC</v>
      </c>
      <c r="E271" s="233" t="str">
        <f>VLOOKUP(Table3[[#This Row],[Document ID]],Table1[],7,FALSE)</f>
        <v>First NDC</v>
      </c>
      <c r="F271" s="233" t="str">
        <f>VLOOKUP(Table3[[#This Row],[Document ID]],Table1[],8,FALSE)</f>
        <v>NDC 1.0</v>
      </c>
      <c r="G271" s="233" t="str">
        <f>VLOOKUP(Table3[[#This Row],[Document ID]],Table1[],10,FALSE)</f>
        <v>Archived</v>
      </c>
      <c r="H271" s="42" t="s">
        <v>1095</v>
      </c>
      <c r="I271" s="42" t="s">
        <v>1096</v>
      </c>
      <c r="J271" s="42" t="s">
        <v>1097</v>
      </c>
      <c r="K271" s="28" t="s">
        <v>1098</v>
      </c>
      <c r="L271" s="389" t="s">
        <v>1099</v>
      </c>
      <c r="M271" s="209">
        <v>2020</v>
      </c>
      <c r="N271" s="44" t="s">
        <v>1390</v>
      </c>
      <c r="O271" s="221">
        <v>10</v>
      </c>
      <c r="P271" s="238" t="str">
        <f>VLOOKUP(_xlfn.CONCAT(Table3[[#This Row],[Target area]],Table3[[#This Row],[GHG target?]],Table3[[#This Row],[Conditionality]]),'Drop down'!$E$81:$F$101,2,FALSE)</f>
        <v>T_Transport_O_Unc</v>
      </c>
      <c r="Q271" s="239" t="str">
        <f>VLOOKUP(Table3[[#This Row],[Target type]],Table418[[Value name]:[Value idenifyer]],2,FALSE)</f>
        <v>T_O_MODE</v>
      </c>
      <c r="S271" s="233" t="s">
        <v>1101</v>
      </c>
      <c r="T271" s="234" t="s">
        <v>1113</v>
      </c>
      <c r="V271" s="233" t="str">
        <f>VLOOKUP(Table3[[#This Row],[Country Code]],Table29[],3,FALSE)</f>
        <v>Non-Annex I</v>
      </c>
      <c r="W271" s="233" t="str">
        <f>VLOOKUP(Table3[[#This Row],[Country Code]],Table29[],4,FALSE)</f>
        <v>Asia</v>
      </c>
      <c r="X271" s="233" t="str">
        <f>VLOOKUP(Table3[[#This Row],[Country Code]],Table29[],5,FALSE)</f>
        <v>Middle-income</v>
      </c>
      <c r="Y271" s="233" t="str">
        <f>VLOOKUP(Table3[[#This Row],[Country Code]],Table29[],6,FALSE)</f>
        <v>G20</v>
      </c>
      <c r="Z271" s="233" t="str">
        <f>VLOOKUP(Table3[[#This Row],[Country Code]],Table29[],7,FALSE)</f>
        <v>no</v>
      </c>
      <c r="AA271" s="233" t="str">
        <f>VLOOKUP(Table3[[#This Row],[Country Code]],Table29[],8,FALSE)</f>
        <v>non-OECD</v>
      </c>
      <c r="AB271" s="233" t="str">
        <f>VLOOKUP(Table3[[#This Row],[Country Code]],Table29[],9,FALSE)</f>
        <v>no</v>
      </c>
      <c r="AC271" s="233" t="str">
        <f>VLOOKUP(Table3[[#This Row],[Country Code]],Table29[],10,FALSE)</f>
        <v>no</v>
      </c>
      <c r="AD271" s="235">
        <f>VLOOKUP(Table3[[#This Row],[Country Code]],Table29[],23,FALSE)</f>
        <v>15943.986552905</v>
      </c>
      <c r="AE271" s="235">
        <f>VLOOKUP(Table3[[#This Row],[Country Code]],Table29[],24,FALSE)</f>
        <v>1110.1781062864729</v>
      </c>
      <c r="AF271" s="43"/>
    </row>
    <row r="272" spans="1:32" x14ac:dyDescent="0.25">
      <c r="A272" s="360">
        <v>17600</v>
      </c>
      <c r="B272" s="233" t="str">
        <f>VLOOKUP(Table3[[#This Row],[Document ID]],Table1[],2,FALSE)</f>
        <v>GMB</v>
      </c>
      <c r="C272" s="233" t="str">
        <f>VLOOKUP(Table3[[#This Row],[Document ID]],Table1[],3,FALSE)</f>
        <v>Gambia (Republic of The)</v>
      </c>
      <c r="D272" s="233" t="str">
        <f>VLOOKUP(Table3[[#This Row],[Document ID]],Table1[],5,FALSE)</f>
        <v>NDC</v>
      </c>
      <c r="E272" s="233" t="str">
        <f>VLOOKUP(Table3[[#This Row],[Document ID]],Table1[],7,FALSE)</f>
        <v>First NDC</v>
      </c>
      <c r="F272" s="233" t="str">
        <f>VLOOKUP(Table3[[#This Row],[Document ID]],Table1[],8,FALSE)</f>
        <v>NDC 1.0</v>
      </c>
      <c r="G272" s="233" t="str">
        <f>VLOOKUP(Table3[[#This Row],[Document ID]],Table1[],10,FALSE)</f>
        <v>Archived</v>
      </c>
      <c r="H272" s="216" t="s">
        <v>1089</v>
      </c>
      <c r="I272" s="216" t="s">
        <v>1089</v>
      </c>
      <c r="J272" s="43" t="s">
        <v>1090</v>
      </c>
      <c r="K272" s="28" t="s">
        <v>1091</v>
      </c>
      <c r="L272" s="42" t="s">
        <v>1099</v>
      </c>
      <c r="M272" s="209">
        <v>2030</v>
      </c>
      <c r="N272" s="176" t="s">
        <v>1391</v>
      </c>
      <c r="O272" s="258" t="s">
        <v>1094</v>
      </c>
      <c r="P272" s="238" t="str">
        <f>VLOOKUP(_xlfn.CONCAT(Table3[[#This Row],[Target area]],Table3[[#This Row],[GHG target?]],Table3[[#This Row],[Conditionality]]),'Drop down'!$E$81:$F$101,2,FALSE)</f>
        <v>T_Economy_Unc</v>
      </c>
      <c r="Q272" s="239" t="str">
        <f>VLOOKUP(Table3[[#This Row],[Target type]],Table418[[Value name]:[Value idenifyer]],2,FALSE)</f>
        <v>T_BAU</v>
      </c>
      <c r="S272" s="233" t="s">
        <v>1112</v>
      </c>
      <c r="T272" s="234" t="s">
        <v>1113</v>
      </c>
      <c r="U272" s="240"/>
      <c r="V272" s="233" t="str">
        <f>VLOOKUP(Table3[[#This Row],[Country Code]],Table29[],3,FALSE)</f>
        <v>Non-Annex I</v>
      </c>
      <c r="W272" s="233" t="str">
        <f>VLOOKUP(Table3[[#This Row],[Country Code]],Table29[],4,FALSE)</f>
        <v>Africa</v>
      </c>
      <c r="X272" s="233" t="str">
        <f>VLOOKUP(Table3[[#This Row],[Country Code]],Table29[],5,FALSE)</f>
        <v>Low-income</v>
      </c>
      <c r="Y272" s="233" t="str">
        <f>VLOOKUP(Table3[[#This Row],[Country Code]],Table29[],6,FALSE)</f>
        <v>no</v>
      </c>
      <c r="Z272" s="233" t="str">
        <f>VLOOKUP(Table3[[#This Row],[Country Code]],Table29[],7,FALSE)</f>
        <v>no</v>
      </c>
      <c r="AA272" s="233" t="str">
        <f>VLOOKUP(Table3[[#This Row],[Country Code]],Table29[],8,FALSE)</f>
        <v>non-OECD</v>
      </c>
      <c r="AB272" s="233" t="str">
        <f>VLOOKUP(Table3[[#This Row],[Country Code]],Table29[],9,FALSE)</f>
        <v>no</v>
      </c>
      <c r="AC272" s="233" t="str">
        <f>VLOOKUP(Table3[[#This Row],[Country Code]],Table29[],10,FALSE)</f>
        <v>no</v>
      </c>
      <c r="AD272" s="235">
        <f>VLOOKUP(Table3[[#This Row],[Country Code]],Table29[],23,FALSE)</f>
        <v>1.8888012914382</v>
      </c>
      <c r="AE272" s="235">
        <f>VLOOKUP(Table3[[#This Row],[Country Code]],Table29[],24,FALSE)</f>
        <v>0.35129125057719468</v>
      </c>
      <c r="AF272" s="43"/>
    </row>
    <row r="273" spans="1:32" ht="30" x14ac:dyDescent="0.25">
      <c r="A273" s="360">
        <v>24705</v>
      </c>
      <c r="B273" s="233" t="str">
        <f>VLOOKUP(Table3[[#This Row],[Document ID]],Table1[],2,FALSE)</f>
        <v>CHN</v>
      </c>
      <c r="C273" s="233" t="str">
        <f>VLOOKUP(Table3[[#This Row],[Document ID]],Table1[],3,FALSE)</f>
        <v>China</v>
      </c>
      <c r="D273" s="233" t="str">
        <f>VLOOKUP(Table3[[#This Row],[Document ID]],Table1[],5,FALSE)</f>
        <v>LTS</v>
      </c>
      <c r="E273" s="233" t="str">
        <f>VLOOKUP(Table3[[#This Row],[Document ID]],Table1[],7,FALSE)</f>
        <v>LTS</v>
      </c>
      <c r="F273" s="233" t="str">
        <f>VLOOKUP(Table3[[#This Row],[Document ID]],Table1[],8,FALSE)</f>
        <v>LTS 1.0</v>
      </c>
      <c r="G273" s="233" t="str">
        <f>VLOOKUP(Table3[[#This Row],[Document ID]],Table1[],10,FALSE)</f>
        <v>Active</v>
      </c>
      <c r="H273" s="42" t="s">
        <v>1095</v>
      </c>
      <c r="I273" s="42" t="s">
        <v>1096</v>
      </c>
      <c r="J273" s="42" t="s">
        <v>1097</v>
      </c>
      <c r="K273" s="28" t="s">
        <v>1104</v>
      </c>
      <c r="L273" s="389" t="s">
        <v>1099</v>
      </c>
      <c r="M273" s="209">
        <v>2030</v>
      </c>
      <c r="N273" s="209" t="s">
        <v>1392</v>
      </c>
      <c r="O273" s="257">
        <v>9</v>
      </c>
      <c r="P273" s="238" t="str">
        <f>VLOOKUP(_xlfn.CONCAT(Table3[[#This Row],[Target area]],Table3[[#This Row],[GHG target?]],Table3[[#This Row],[Conditionality]]),'Drop down'!$E$81:$F$101,2,FALSE)</f>
        <v>T_Transport_O_Unc</v>
      </c>
      <c r="Q273" s="239" t="str">
        <f>VLOOKUP(Table3[[#This Row],[Target type]],Table418[[Value name]:[Value idenifyer]],2,FALSE)</f>
        <v>T_O_ZERO</v>
      </c>
      <c r="S273" s="233" t="s">
        <v>1101</v>
      </c>
      <c r="T273" s="234" t="s">
        <v>1113</v>
      </c>
      <c r="U273" s="240"/>
      <c r="V273" s="233" t="str">
        <f>VLOOKUP(Table3[[#This Row],[Country Code]],Table29[],3,FALSE)</f>
        <v>Non-Annex I</v>
      </c>
      <c r="W273" s="233" t="str">
        <f>VLOOKUP(Table3[[#This Row],[Country Code]],Table29[],4,FALSE)</f>
        <v>Asia</v>
      </c>
      <c r="X273" s="233" t="str">
        <f>VLOOKUP(Table3[[#This Row],[Country Code]],Table29[],5,FALSE)</f>
        <v>Middle-income</v>
      </c>
      <c r="Y273" s="233" t="str">
        <f>VLOOKUP(Table3[[#This Row],[Country Code]],Table29[],6,FALSE)</f>
        <v>G20</v>
      </c>
      <c r="Z273" s="233" t="str">
        <f>VLOOKUP(Table3[[#This Row],[Country Code]],Table29[],7,FALSE)</f>
        <v>no</v>
      </c>
      <c r="AA273" s="233" t="str">
        <f>VLOOKUP(Table3[[#This Row],[Country Code]],Table29[],8,FALSE)</f>
        <v>non-OECD</v>
      </c>
      <c r="AB273" s="233" t="str">
        <f>VLOOKUP(Table3[[#This Row],[Country Code]],Table29[],9,FALSE)</f>
        <v>no</v>
      </c>
      <c r="AC273" s="233" t="str">
        <f>VLOOKUP(Table3[[#This Row],[Country Code]],Table29[],10,FALSE)</f>
        <v>no</v>
      </c>
      <c r="AD273" s="235">
        <f>VLOOKUP(Table3[[#This Row],[Country Code]],Table29[],23,FALSE)</f>
        <v>15943.986552905</v>
      </c>
      <c r="AE273" s="235">
        <f>VLOOKUP(Table3[[#This Row],[Country Code]],Table29[],24,FALSE)</f>
        <v>1110.1781062864729</v>
      </c>
      <c r="AF273" s="43"/>
    </row>
    <row r="274" spans="1:32" ht="60" x14ac:dyDescent="0.25">
      <c r="A274" s="368">
        <v>22162</v>
      </c>
      <c r="B274" s="233" t="str">
        <f>VLOOKUP(Table3[[#This Row],[Document ID]],Table1[],2,FALSE)</f>
        <v>GMB</v>
      </c>
      <c r="C274" s="233" t="str">
        <f>VLOOKUP(Table3[[#This Row],[Document ID]],Table1[],3,FALSE)</f>
        <v>Gambia (Republic of The)</v>
      </c>
      <c r="D274" s="233" t="str">
        <f>VLOOKUP(Table3[[#This Row],[Document ID]],Table1[],5,FALSE)</f>
        <v>LTS</v>
      </c>
      <c r="E274" s="233" t="str">
        <f>VLOOKUP(Table3[[#This Row],[Document ID]],Table1[],7,FALSE)</f>
        <v>LTS</v>
      </c>
      <c r="F274" s="241" t="str">
        <f>VLOOKUP(Table3[[#This Row],[Document ID]],Table1[],8,FALSE)</f>
        <v>LTS 1.0</v>
      </c>
      <c r="G274" s="233" t="str">
        <f>VLOOKUP(Table3[[#This Row],[Document ID]],Table1[],10,FALSE)</f>
        <v>Active</v>
      </c>
      <c r="H274" s="43" t="s">
        <v>1114</v>
      </c>
      <c r="I274" s="43" t="s">
        <v>1115</v>
      </c>
      <c r="J274" s="43" t="s">
        <v>1090</v>
      </c>
      <c r="K274" s="28" t="s">
        <v>1121</v>
      </c>
      <c r="L274" s="42" t="s">
        <v>1099</v>
      </c>
      <c r="M274" s="209">
        <v>2050</v>
      </c>
      <c r="N274" s="209" t="s">
        <v>1393</v>
      </c>
      <c r="O274" s="258">
        <v>4</v>
      </c>
      <c r="P274" s="238" t="str">
        <f>VLOOKUP(_xlfn.CONCAT(Table3[[#This Row],[Target area]],Table3[[#This Row],[GHG target?]],Table3[[#This Row],[Conditionality]]),'Drop down'!$E$81:$F$101,2,FALSE)</f>
        <v>T_Energy_Unc</v>
      </c>
      <c r="Q274" s="239" t="str">
        <f>VLOOKUP(Table3[[#This Row],[Target type]],Table418[[Value name]:[Value idenifyer]],2,FALSE)</f>
        <v>T_FL</v>
      </c>
      <c r="S274" s="233" t="s">
        <v>1112</v>
      </c>
      <c r="T274" s="240" t="s">
        <v>1113</v>
      </c>
      <c r="V274" s="233" t="str">
        <f>VLOOKUP(Table3[[#This Row],[Country Code]],Table29[],3,FALSE)</f>
        <v>Non-Annex I</v>
      </c>
      <c r="W274" s="233" t="str">
        <f>VLOOKUP(Table3[[#This Row],[Country Code]],Table29[],4,FALSE)</f>
        <v>Africa</v>
      </c>
      <c r="X274" s="233" t="str">
        <f>VLOOKUP(Table3[[#This Row],[Country Code]],Table29[],5,FALSE)</f>
        <v>Low-income</v>
      </c>
      <c r="Y274" s="233" t="str">
        <f>VLOOKUP(Table3[[#This Row],[Country Code]],Table29[],6,FALSE)</f>
        <v>no</v>
      </c>
      <c r="Z274" s="233" t="str">
        <f>VLOOKUP(Table3[[#This Row],[Country Code]],Table29[],7,FALSE)</f>
        <v>no</v>
      </c>
      <c r="AA274" s="233" t="str">
        <f>VLOOKUP(Table3[[#This Row],[Country Code]],Table29[],8,FALSE)</f>
        <v>non-OECD</v>
      </c>
      <c r="AB274" s="233" t="str">
        <f>VLOOKUP(Table3[[#This Row],[Country Code]],Table29[],9,FALSE)</f>
        <v>no</v>
      </c>
      <c r="AC274" s="233" t="str">
        <f>VLOOKUP(Table3[[#This Row],[Country Code]],Table29[],10,FALSE)</f>
        <v>no</v>
      </c>
      <c r="AD274" s="235">
        <f>VLOOKUP(Table3[[#This Row],[Country Code]],Table29[],23,FALSE)</f>
        <v>1.8888012914382</v>
      </c>
      <c r="AE274" s="235">
        <f>VLOOKUP(Table3[[#This Row],[Country Code]],Table29[],24,FALSE)</f>
        <v>0.35129125057719468</v>
      </c>
      <c r="AF274" s="43"/>
    </row>
    <row r="275" spans="1:32" ht="45" x14ac:dyDescent="0.25">
      <c r="A275" s="360">
        <v>24705</v>
      </c>
      <c r="B275" s="233" t="str">
        <f>VLOOKUP(Table3[[#This Row],[Document ID]],Table1[],2,FALSE)</f>
        <v>CHN</v>
      </c>
      <c r="C275" s="233" t="str">
        <f>VLOOKUP(Table3[[#This Row],[Document ID]],Table1[],3,FALSE)</f>
        <v>China</v>
      </c>
      <c r="D275" s="233" t="str">
        <f>VLOOKUP(Table3[[#This Row],[Document ID]],Table1[],5,FALSE)</f>
        <v>LTS</v>
      </c>
      <c r="E275" s="233" t="str">
        <f>VLOOKUP(Table3[[#This Row],[Document ID]],Table1[],7,FALSE)</f>
        <v>LTS</v>
      </c>
      <c r="F275" s="233" t="str">
        <f>VLOOKUP(Table3[[#This Row],[Document ID]],Table1[],8,FALSE)</f>
        <v>LTS 1.0</v>
      </c>
      <c r="G275" s="233" t="str">
        <f>VLOOKUP(Table3[[#This Row],[Document ID]],Table1[],10,FALSE)</f>
        <v>Active</v>
      </c>
      <c r="H275" s="42" t="s">
        <v>1095</v>
      </c>
      <c r="I275" s="42" t="s">
        <v>1096</v>
      </c>
      <c r="J275" s="42" t="s">
        <v>1097</v>
      </c>
      <c r="K275" s="28" t="s">
        <v>1137</v>
      </c>
      <c r="L275" s="389" t="s">
        <v>1099</v>
      </c>
      <c r="M275" s="209">
        <v>2030</v>
      </c>
      <c r="N275" s="209" t="s">
        <v>1394</v>
      </c>
      <c r="O275" s="257">
        <v>9</v>
      </c>
      <c r="P275" s="238" t="str">
        <f>VLOOKUP(_xlfn.CONCAT(Table3[[#This Row],[Target area]],Table3[[#This Row],[GHG target?]],Table3[[#This Row],[Conditionality]]),'Drop down'!$E$81:$F$101,2,FALSE)</f>
        <v>T_Transport_O_Unc</v>
      </c>
      <c r="Q275" s="239" t="str">
        <f>VLOOKUP(Table3[[#This Row],[Target type]],Table418[[Value name]:[Value idenifyer]],2,FALSE)</f>
        <v>T_O_EFF</v>
      </c>
      <c r="S275" s="233" t="s">
        <v>1101</v>
      </c>
      <c r="T275" s="234" t="s">
        <v>1113</v>
      </c>
      <c r="U275" s="240"/>
      <c r="V275" s="233" t="str">
        <f>VLOOKUP(Table3[[#This Row],[Country Code]],Table29[],3,FALSE)</f>
        <v>Non-Annex I</v>
      </c>
      <c r="W275" s="233" t="str">
        <f>VLOOKUP(Table3[[#This Row],[Country Code]],Table29[],4,FALSE)</f>
        <v>Asia</v>
      </c>
      <c r="X275" s="233" t="str">
        <f>VLOOKUP(Table3[[#This Row],[Country Code]],Table29[],5,FALSE)</f>
        <v>Middle-income</v>
      </c>
      <c r="Y275" s="233" t="str">
        <f>VLOOKUP(Table3[[#This Row],[Country Code]],Table29[],6,FALSE)</f>
        <v>G20</v>
      </c>
      <c r="Z275" s="233" t="str">
        <f>VLOOKUP(Table3[[#This Row],[Country Code]],Table29[],7,FALSE)</f>
        <v>no</v>
      </c>
      <c r="AA275" s="233" t="str">
        <f>VLOOKUP(Table3[[#This Row],[Country Code]],Table29[],8,FALSE)</f>
        <v>non-OECD</v>
      </c>
      <c r="AB275" s="233" t="str">
        <f>VLOOKUP(Table3[[#This Row],[Country Code]],Table29[],9,FALSE)</f>
        <v>no</v>
      </c>
      <c r="AC275" s="233" t="str">
        <f>VLOOKUP(Table3[[#This Row],[Country Code]],Table29[],10,FALSE)</f>
        <v>no</v>
      </c>
      <c r="AD275" s="235">
        <f>VLOOKUP(Table3[[#This Row],[Country Code]],Table29[],23,FALSE)</f>
        <v>15943.986552905</v>
      </c>
      <c r="AE275" s="235">
        <f>VLOOKUP(Table3[[#This Row],[Country Code]],Table29[],24,FALSE)</f>
        <v>1110.1781062864729</v>
      </c>
      <c r="AF275" s="43"/>
    </row>
    <row r="276" spans="1:32" x14ac:dyDescent="0.25">
      <c r="A276" s="360">
        <v>20334</v>
      </c>
      <c r="B276" s="233" t="str">
        <f>VLOOKUP(Table3[[#This Row],[Document ID]],Table1[],2,FALSE)</f>
        <v>GEO</v>
      </c>
      <c r="C276" s="233" t="str">
        <f>VLOOKUP(Table3[[#This Row],[Document ID]],Table1[],3,FALSE)</f>
        <v>Georgia</v>
      </c>
      <c r="D276" s="233" t="str">
        <f>VLOOKUP(Table3[[#This Row],[Document ID]],Table1[],5,FALSE)</f>
        <v>NDC</v>
      </c>
      <c r="E276" s="233" t="str">
        <f>VLOOKUP(Table3[[#This Row],[Document ID]],Table1[],7,FALSE)</f>
        <v>First NDC updated</v>
      </c>
      <c r="F276" s="233" t="str">
        <f>VLOOKUP(Table3[[#This Row],[Document ID]],Table1[],8,FALSE)</f>
        <v>NDC 1.1</v>
      </c>
      <c r="G276" s="233" t="str">
        <f>VLOOKUP(Table3[[#This Row],[Document ID]],Table1[],10,FALSE)</f>
        <v>Active</v>
      </c>
      <c r="H276" s="216" t="s">
        <v>1089</v>
      </c>
      <c r="I276" s="216" t="s">
        <v>1089</v>
      </c>
      <c r="J276" s="43" t="s">
        <v>1090</v>
      </c>
      <c r="K276" s="28" t="s">
        <v>1153</v>
      </c>
      <c r="L276" s="42" t="s">
        <v>1099</v>
      </c>
      <c r="M276" s="209">
        <v>2030</v>
      </c>
      <c r="N276" s="209" t="s">
        <v>1395</v>
      </c>
      <c r="O276" s="259">
        <v>8</v>
      </c>
      <c r="P276" s="238" t="str">
        <f>VLOOKUP(_xlfn.CONCAT(Table3[[#This Row],[Target area]],Table3[[#This Row],[GHG target?]],Table3[[#This Row],[Conditionality]]),'Drop down'!$E$81:$F$101,2,FALSE)</f>
        <v>T_Economy_Unc</v>
      </c>
      <c r="Q276" s="239" t="str">
        <f>VLOOKUP(Table3[[#This Row],[Target type]],Table418[[Value name]:[Value idenifyer]],2,FALSE)</f>
        <v>T_BYE</v>
      </c>
      <c r="S276" s="233" t="s">
        <v>1112</v>
      </c>
      <c r="T276" s="234" t="s">
        <v>1113</v>
      </c>
      <c r="V276" s="233" t="str">
        <f>VLOOKUP(Table3[[#This Row],[Country Code]],Table29[],3,FALSE)</f>
        <v>Non-Annex I</v>
      </c>
      <c r="W276" s="233" t="str">
        <f>VLOOKUP(Table3[[#This Row],[Country Code]],Table29[],4,FALSE)</f>
        <v>Asia</v>
      </c>
      <c r="X276" s="233" t="str">
        <f>VLOOKUP(Table3[[#This Row],[Country Code]],Table29[],5,FALSE)</f>
        <v>Middle-income</v>
      </c>
      <c r="Y276" s="233" t="str">
        <f>VLOOKUP(Table3[[#This Row],[Country Code]],Table29[],6,FALSE)</f>
        <v>no</v>
      </c>
      <c r="Z276" s="233" t="str">
        <f>VLOOKUP(Table3[[#This Row],[Country Code]],Table29[],7,FALSE)</f>
        <v>no</v>
      </c>
      <c r="AA276" s="233" t="str">
        <f>VLOOKUP(Table3[[#This Row],[Country Code]],Table29[],8,FALSE)</f>
        <v>non-OECD</v>
      </c>
      <c r="AB276" s="233" t="str">
        <f>VLOOKUP(Table3[[#This Row],[Country Code]],Table29[],9,FALSE)</f>
        <v>no</v>
      </c>
      <c r="AC276" s="233" t="str">
        <f>VLOOKUP(Table3[[#This Row],[Country Code]],Table29[],10,FALSE)</f>
        <v>no</v>
      </c>
      <c r="AD276" s="235">
        <f>VLOOKUP(Table3[[#This Row],[Country Code]],Table29[],23,FALSE)</f>
        <v>19.049153820466</v>
      </c>
      <c r="AE276" s="235">
        <f>VLOOKUP(Table3[[#This Row],[Country Code]],Table29[],24,FALSE)</f>
        <v>4.506874760733476</v>
      </c>
      <c r="AF276" s="43"/>
    </row>
    <row r="277" spans="1:32" x14ac:dyDescent="0.25">
      <c r="A277" s="360">
        <v>20334</v>
      </c>
      <c r="B277" s="233" t="str">
        <f>VLOOKUP(Table3[[#This Row],[Document ID]],Table1[],2,FALSE)</f>
        <v>GEO</v>
      </c>
      <c r="C277" s="233" t="str">
        <f>VLOOKUP(Table3[[#This Row],[Document ID]],Table1[],3,FALSE)</f>
        <v>Georgia</v>
      </c>
      <c r="D277" s="233" t="str">
        <f>VLOOKUP(Table3[[#This Row],[Document ID]],Table1[],5,FALSE)</f>
        <v>NDC</v>
      </c>
      <c r="E277" s="233" t="str">
        <f>VLOOKUP(Table3[[#This Row],[Document ID]],Table1[],7,FALSE)</f>
        <v>First NDC updated</v>
      </c>
      <c r="F277" s="233" t="str">
        <f>VLOOKUP(Table3[[#This Row],[Document ID]],Table1[],8,FALSE)</f>
        <v>NDC 1.1</v>
      </c>
      <c r="G277" s="233" t="str">
        <f>VLOOKUP(Table3[[#This Row],[Document ID]],Table1[],10,FALSE)</f>
        <v>Active</v>
      </c>
      <c r="H277" s="216" t="s">
        <v>1089</v>
      </c>
      <c r="I277" s="216" t="s">
        <v>1089</v>
      </c>
      <c r="J277" s="43" t="s">
        <v>1090</v>
      </c>
      <c r="K277" s="28" t="s">
        <v>1153</v>
      </c>
      <c r="L277" s="216" t="s">
        <v>1092</v>
      </c>
      <c r="M277" s="209">
        <v>2030</v>
      </c>
      <c r="N277" s="209" t="s">
        <v>1396</v>
      </c>
      <c r="O277" s="259">
        <v>8</v>
      </c>
      <c r="P277" s="238" t="str">
        <f>VLOOKUP(_xlfn.CONCAT(Table3[[#This Row],[Target area]],Table3[[#This Row],[GHG target?]],Table3[[#This Row],[Conditionality]]),'Drop down'!$E$81:$F$101,2,FALSE)</f>
        <v>T_Economy_C</v>
      </c>
      <c r="Q277" s="239" t="str">
        <f>VLOOKUP(Table3[[#This Row],[Target type]],Table418[[Value name]:[Value idenifyer]],2,FALSE)</f>
        <v>T_BYE</v>
      </c>
      <c r="S277" s="233" t="s">
        <v>1112</v>
      </c>
      <c r="T277" s="234" t="s">
        <v>1113</v>
      </c>
      <c r="V277" s="233" t="str">
        <f>VLOOKUP(Table3[[#This Row],[Country Code]],Table29[],3,FALSE)</f>
        <v>Non-Annex I</v>
      </c>
      <c r="W277" s="233" t="str">
        <f>VLOOKUP(Table3[[#This Row],[Country Code]],Table29[],4,FALSE)</f>
        <v>Asia</v>
      </c>
      <c r="X277" s="233" t="str">
        <f>VLOOKUP(Table3[[#This Row],[Country Code]],Table29[],5,FALSE)</f>
        <v>Middle-income</v>
      </c>
      <c r="Y277" s="233" t="str">
        <f>VLOOKUP(Table3[[#This Row],[Country Code]],Table29[],6,FALSE)</f>
        <v>no</v>
      </c>
      <c r="Z277" s="233" t="str">
        <f>VLOOKUP(Table3[[#This Row],[Country Code]],Table29[],7,FALSE)</f>
        <v>no</v>
      </c>
      <c r="AA277" s="233" t="str">
        <f>VLOOKUP(Table3[[#This Row],[Country Code]],Table29[],8,FALSE)</f>
        <v>non-OECD</v>
      </c>
      <c r="AB277" s="233" t="str">
        <f>VLOOKUP(Table3[[#This Row],[Country Code]],Table29[],9,FALSE)</f>
        <v>no</v>
      </c>
      <c r="AC277" s="233" t="str">
        <f>VLOOKUP(Table3[[#This Row],[Country Code]],Table29[],10,FALSE)</f>
        <v>no</v>
      </c>
      <c r="AD277" s="235">
        <f>VLOOKUP(Table3[[#This Row],[Country Code]],Table29[],23,FALSE)</f>
        <v>19.049153820466</v>
      </c>
      <c r="AE277" s="235">
        <f>VLOOKUP(Table3[[#This Row],[Country Code]],Table29[],24,FALSE)</f>
        <v>4.506874760733476</v>
      </c>
      <c r="AF277" s="43"/>
    </row>
    <row r="278" spans="1:32" ht="30" x14ac:dyDescent="0.25">
      <c r="A278" s="360">
        <v>24705</v>
      </c>
      <c r="B278" s="233" t="str">
        <f>VLOOKUP(Table3[[#This Row],[Document ID]],Table1[],2,FALSE)</f>
        <v>CHN</v>
      </c>
      <c r="C278" s="233" t="str">
        <f>VLOOKUP(Table3[[#This Row],[Document ID]],Table1[],3,FALSE)</f>
        <v>China</v>
      </c>
      <c r="D278" s="233" t="str">
        <f>VLOOKUP(Table3[[#This Row],[Document ID]],Table1[],5,FALSE)</f>
        <v>LTS</v>
      </c>
      <c r="E278" s="233" t="str">
        <f>VLOOKUP(Table3[[#This Row],[Document ID]],Table1[],7,FALSE)</f>
        <v>LTS</v>
      </c>
      <c r="F278" s="233" t="str">
        <f>VLOOKUP(Table3[[#This Row],[Document ID]],Table1[],8,FALSE)</f>
        <v>LTS 1.0</v>
      </c>
      <c r="G278" s="233" t="str">
        <f>VLOOKUP(Table3[[#This Row],[Document ID]],Table1[],10,FALSE)</f>
        <v>Active</v>
      </c>
      <c r="H278" s="42" t="s">
        <v>1095</v>
      </c>
      <c r="I278" s="42" t="s">
        <v>1096</v>
      </c>
      <c r="J278" s="42" t="s">
        <v>1097</v>
      </c>
      <c r="K278" s="28" t="s">
        <v>1397</v>
      </c>
      <c r="L278" s="42" t="s">
        <v>1099</v>
      </c>
      <c r="M278" s="209">
        <v>2030</v>
      </c>
      <c r="N278" s="209" t="s">
        <v>1398</v>
      </c>
      <c r="O278" s="257">
        <v>9</v>
      </c>
      <c r="P278" s="238" t="str">
        <f>VLOOKUP(_xlfn.CONCAT(Table3[[#This Row],[Target area]],Table3[[#This Row],[GHG target?]],Table3[[#This Row],[Conditionality]]),'Drop down'!$E$81:$F$101,2,FALSE)</f>
        <v>T_Transport_O_Unc</v>
      </c>
      <c r="Q278" s="239" t="str">
        <f>VLOOKUP(Table3[[#This Row],[Target type]],Table418[[Value name]:[Value idenifyer]],2,FALSE)</f>
        <v>T_O_Other</v>
      </c>
      <c r="S278" s="233" t="s">
        <v>1101</v>
      </c>
      <c r="T278" s="234" t="s">
        <v>1113</v>
      </c>
      <c r="U278" s="240"/>
      <c r="V278" s="233" t="str">
        <f>VLOOKUP(Table3[[#This Row],[Country Code]],Table29[],3,FALSE)</f>
        <v>Non-Annex I</v>
      </c>
      <c r="W278" s="233" t="str">
        <f>VLOOKUP(Table3[[#This Row],[Country Code]],Table29[],4,FALSE)</f>
        <v>Asia</v>
      </c>
      <c r="X278" s="233" t="str">
        <f>VLOOKUP(Table3[[#This Row],[Country Code]],Table29[],5,FALSE)</f>
        <v>Middle-income</v>
      </c>
      <c r="Y278" s="233" t="str">
        <f>VLOOKUP(Table3[[#This Row],[Country Code]],Table29[],6,FALSE)</f>
        <v>G20</v>
      </c>
      <c r="Z278" s="233" t="str">
        <f>VLOOKUP(Table3[[#This Row],[Country Code]],Table29[],7,FALSE)</f>
        <v>no</v>
      </c>
      <c r="AA278" s="233" t="str">
        <f>VLOOKUP(Table3[[#This Row],[Country Code]],Table29[],8,FALSE)</f>
        <v>non-OECD</v>
      </c>
      <c r="AB278" s="233" t="str">
        <f>VLOOKUP(Table3[[#This Row],[Country Code]],Table29[],9,FALSE)</f>
        <v>no</v>
      </c>
      <c r="AC278" s="233" t="str">
        <f>VLOOKUP(Table3[[#This Row],[Country Code]],Table29[],10,FALSE)</f>
        <v>no</v>
      </c>
      <c r="AD278" s="235">
        <f>VLOOKUP(Table3[[#This Row],[Country Code]],Table29[],23,FALSE)</f>
        <v>15943.986552905</v>
      </c>
      <c r="AE278" s="235">
        <f>VLOOKUP(Table3[[#This Row],[Country Code]],Table29[],24,FALSE)</f>
        <v>1110.1781062864729</v>
      </c>
      <c r="AF278" s="43"/>
    </row>
    <row r="279" spans="1:32" x14ac:dyDescent="0.25">
      <c r="A279" s="360">
        <v>17601</v>
      </c>
      <c r="B279" s="233" t="str">
        <f>VLOOKUP(Table3[[#This Row],[Document ID]],Table1[],2,FALSE)</f>
        <v>GEO</v>
      </c>
      <c r="C279" s="233" t="str">
        <f>VLOOKUP(Table3[[#This Row],[Document ID]],Table1[],3,FALSE)</f>
        <v>Georgia</v>
      </c>
      <c r="D279" s="233" t="str">
        <f>VLOOKUP(Table3[[#This Row],[Document ID]],Table1[],5,FALSE)</f>
        <v>NDC</v>
      </c>
      <c r="E279" s="233" t="str">
        <f>VLOOKUP(Table3[[#This Row],[Document ID]],Table1[],7,FALSE)</f>
        <v>First NDC</v>
      </c>
      <c r="F279" s="233" t="str">
        <f>VLOOKUP(Table3[[#This Row],[Document ID]],Table1[],8,FALSE)</f>
        <v>NDC 1.0</v>
      </c>
      <c r="G279" s="233" t="str">
        <f>VLOOKUP(Table3[[#This Row],[Document ID]],Table1[],10,FALSE)</f>
        <v>Archived</v>
      </c>
      <c r="H279" s="216" t="s">
        <v>1089</v>
      </c>
      <c r="I279" s="216" t="s">
        <v>1089</v>
      </c>
      <c r="J279" s="43" t="s">
        <v>1090</v>
      </c>
      <c r="K279" s="28" t="s">
        <v>1091</v>
      </c>
      <c r="L279" s="42" t="s">
        <v>1099</v>
      </c>
      <c r="M279" s="209">
        <v>2030</v>
      </c>
      <c r="N279" s="176" t="s">
        <v>1399</v>
      </c>
      <c r="O279" s="258" t="s">
        <v>1094</v>
      </c>
      <c r="P279" s="238" t="str">
        <f>VLOOKUP(_xlfn.CONCAT(Table3[[#This Row],[Target area]],Table3[[#This Row],[GHG target?]],Table3[[#This Row],[Conditionality]]),'Drop down'!$E$81:$F$101,2,FALSE)</f>
        <v>T_Economy_Unc</v>
      </c>
      <c r="Q279" s="239" t="str">
        <f>VLOOKUP(Table3[[#This Row],[Target type]],Table418[[Value name]:[Value idenifyer]],2,FALSE)</f>
        <v>T_BAU</v>
      </c>
      <c r="T279" s="234" t="s">
        <v>1113</v>
      </c>
      <c r="V279" s="233" t="str">
        <f>VLOOKUP(Table3[[#This Row],[Country Code]],Table29[],3,FALSE)</f>
        <v>Non-Annex I</v>
      </c>
      <c r="W279" s="233" t="str">
        <f>VLOOKUP(Table3[[#This Row],[Country Code]],Table29[],4,FALSE)</f>
        <v>Asia</v>
      </c>
      <c r="X279" s="233" t="str">
        <f>VLOOKUP(Table3[[#This Row],[Country Code]],Table29[],5,FALSE)</f>
        <v>Middle-income</v>
      </c>
      <c r="Y279" s="233" t="str">
        <f>VLOOKUP(Table3[[#This Row],[Country Code]],Table29[],6,FALSE)</f>
        <v>no</v>
      </c>
      <c r="Z279" s="233" t="str">
        <f>VLOOKUP(Table3[[#This Row],[Country Code]],Table29[],7,FALSE)</f>
        <v>no</v>
      </c>
      <c r="AA279" s="233" t="str">
        <f>VLOOKUP(Table3[[#This Row],[Country Code]],Table29[],8,FALSE)</f>
        <v>non-OECD</v>
      </c>
      <c r="AB279" s="233" t="str">
        <f>VLOOKUP(Table3[[#This Row],[Country Code]],Table29[],9,FALSE)</f>
        <v>no</v>
      </c>
      <c r="AC279" s="233" t="str">
        <f>VLOOKUP(Table3[[#This Row],[Country Code]],Table29[],10,FALSE)</f>
        <v>no</v>
      </c>
      <c r="AD279" s="235">
        <f>VLOOKUP(Table3[[#This Row],[Country Code]],Table29[],23,FALSE)</f>
        <v>19.049153820466</v>
      </c>
      <c r="AE279" s="235">
        <f>VLOOKUP(Table3[[#This Row],[Country Code]],Table29[],24,FALSE)</f>
        <v>4.506874760733476</v>
      </c>
      <c r="AF279" s="43"/>
    </row>
    <row r="280" spans="1:32" x14ac:dyDescent="0.25">
      <c r="A280" s="360">
        <v>17601</v>
      </c>
      <c r="B280" s="233" t="str">
        <f>VLOOKUP(Table3[[#This Row],[Document ID]],Table1[],2,FALSE)</f>
        <v>GEO</v>
      </c>
      <c r="C280" s="233" t="str">
        <f>VLOOKUP(Table3[[#This Row],[Document ID]],Table1[],3,FALSE)</f>
        <v>Georgia</v>
      </c>
      <c r="D280" s="233" t="str">
        <f>VLOOKUP(Table3[[#This Row],[Document ID]],Table1[],5,FALSE)</f>
        <v>NDC</v>
      </c>
      <c r="E280" s="233" t="str">
        <f>VLOOKUP(Table3[[#This Row],[Document ID]],Table1[],7,FALSE)</f>
        <v>First NDC</v>
      </c>
      <c r="F280" s="233" t="str">
        <f>VLOOKUP(Table3[[#This Row],[Document ID]],Table1[],8,FALSE)</f>
        <v>NDC 1.0</v>
      </c>
      <c r="G280" s="233" t="str">
        <f>VLOOKUP(Table3[[#This Row],[Document ID]],Table1[],10,FALSE)</f>
        <v>Archived</v>
      </c>
      <c r="H280" s="216" t="s">
        <v>1089</v>
      </c>
      <c r="I280" s="216" t="s">
        <v>1089</v>
      </c>
      <c r="J280" s="43" t="s">
        <v>1090</v>
      </c>
      <c r="K280" s="28" t="s">
        <v>1091</v>
      </c>
      <c r="L280" s="216" t="s">
        <v>1092</v>
      </c>
      <c r="M280" s="209">
        <v>2030</v>
      </c>
      <c r="N280" s="176" t="s">
        <v>1400</v>
      </c>
      <c r="O280" s="258" t="s">
        <v>1094</v>
      </c>
      <c r="P280" s="238" t="str">
        <f>VLOOKUP(_xlfn.CONCAT(Table3[[#This Row],[Target area]],Table3[[#This Row],[GHG target?]],Table3[[#This Row],[Conditionality]]),'Drop down'!$E$81:$F$101,2,FALSE)</f>
        <v>T_Economy_C</v>
      </c>
      <c r="Q280" s="239" t="str">
        <f>VLOOKUP(Table3[[#This Row],[Target type]],Table418[[Value name]:[Value idenifyer]],2,FALSE)</f>
        <v>T_BAU</v>
      </c>
      <c r="T280" s="234" t="s">
        <v>1113</v>
      </c>
      <c r="V280" s="233" t="str">
        <f>VLOOKUP(Table3[[#This Row],[Country Code]],Table29[],3,FALSE)</f>
        <v>Non-Annex I</v>
      </c>
      <c r="W280" s="233" t="str">
        <f>VLOOKUP(Table3[[#This Row],[Country Code]],Table29[],4,FALSE)</f>
        <v>Asia</v>
      </c>
      <c r="X280" s="233" t="str">
        <f>VLOOKUP(Table3[[#This Row],[Country Code]],Table29[],5,FALSE)</f>
        <v>Middle-income</v>
      </c>
      <c r="Y280" s="233" t="str">
        <f>VLOOKUP(Table3[[#This Row],[Country Code]],Table29[],6,FALSE)</f>
        <v>no</v>
      </c>
      <c r="Z280" s="233" t="str">
        <f>VLOOKUP(Table3[[#This Row],[Country Code]],Table29[],7,FALSE)</f>
        <v>no</v>
      </c>
      <c r="AA280" s="233" t="str">
        <f>VLOOKUP(Table3[[#This Row],[Country Code]],Table29[],8,FALSE)</f>
        <v>non-OECD</v>
      </c>
      <c r="AB280" s="233" t="str">
        <f>VLOOKUP(Table3[[#This Row],[Country Code]],Table29[],9,FALSE)</f>
        <v>no</v>
      </c>
      <c r="AC280" s="233" t="str">
        <f>VLOOKUP(Table3[[#This Row],[Country Code]],Table29[],10,FALSE)</f>
        <v>no</v>
      </c>
      <c r="AD280" s="235">
        <f>VLOOKUP(Table3[[#This Row],[Country Code]],Table29[],23,FALSE)</f>
        <v>19.049153820466</v>
      </c>
      <c r="AE280" s="235">
        <f>VLOOKUP(Table3[[#This Row],[Country Code]],Table29[],24,FALSE)</f>
        <v>4.506874760733476</v>
      </c>
      <c r="AF280" s="43"/>
    </row>
    <row r="281" spans="1:32" ht="60" x14ac:dyDescent="0.25">
      <c r="A281" s="360">
        <v>29230</v>
      </c>
      <c r="B281" s="233" t="str">
        <f>VLOOKUP(Table3[[#This Row],[Document ID]],Table1[],2,FALSE)</f>
        <v>DMA</v>
      </c>
      <c r="C281" s="233" t="str">
        <f>VLOOKUP(Table3[[#This Row],[Document ID]],Table1[],3,FALSE)</f>
        <v>Dominica</v>
      </c>
      <c r="D281" s="233" t="str">
        <f>VLOOKUP(Table3[[#This Row],[Document ID]],Table1[],5,FALSE)</f>
        <v>NDC</v>
      </c>
      <c r="E281" s="233" t="str">
        <f>VLOOKUP(Table3[[#This Row],[Document ID]],Table1[],7,FALSE)</f>
        <v>First NDC updated</v>
      </c>
      <c r="F281" s="233" t="str">
        <f>VLOOKUP(Table3[[#This Row],[Document ID]],Table1[],8,FALSE)</f>
        <v>NDC 1.1</v>
      </c>
      <c r="G281" s="233" t="str">
        <f>VLOOKUP(Table3[[#This Row],[Document ID]],Table1[],10,FALSE)</f>
        <v>Active</v>
      </c>
      <c r="H281" s="216" t="s">
        <v>1089</v>
      </c>
      <c r="I281" s="216" t="s">
        <v>1089</v>
      </c>
      <c r="J281" s="43" t="s">
        <v>1090</v>
      </c>
      <c r="K281" s="28" t="s">
        <v>1153</v>
      </c>
      <c r="L281" s="42" t="s">
        <v>1099</v>
      </c>
      <c r="M281" s="209">
        <v>2030</v>
      </c>
      <c r="N281" s="44" t="s">
        <v>1401</v>
      </c>
      <c r="O281" s="258">
        <v>63</v>
      </c>
      <c r="P281" s="238" t="str">
        <f>VLOOKUP(_xlfn.CONCAT(Table3[[#This Row],[Target area]],Table3[[#This Row],[GHG target?]],Table3[[#This Row],[Conditionality]]),'Drop down'!$E$81:$F$101,2,FALSE)</f>
        <v>T_Economy_Unc</v>
      </c>
      <c r="Q281" s="239" t="str">
        <f>VLOOKUP(Table3[[#This Row],[Target type]],Table418[[Value name]:[Value idenifyer]],2,FALSE)</f>
        <v>T_BYE</v>
      </c>
      <c r="S281" s="233" t="s">
        <v>1125</v>
      </c>
      <c r="T281" s="234" t="s">
        <v>1113</v>
      </c>
      <c r="U281" s="234" t="s">
        <v>1402</v>
      </c>
      <c r="V281" s="233" t="str">
        <f>VLOOKUP(Table3[[#This Row],[Country Code]],Table29[],3,FALSE)</f>
        <v>Non-Annex I</v>
      </c>
      <c r="W281" s="233" t="str">
        <f>VLOOKUP(Table3[[#This Row],[Country Code]],Table29[],4,FALSE)</f>
        <v>Latin America and the Caribbean</v>
      </c>
      <c r="X281" s="233" t="str">
        <f>VLOOKUP(Table3[[#This Row],[Country Code]],Table29[],5,FALSE)</f>
        <v>Middle-income</v>
      </c>
      <c r="Y281" s="233" t="str">
        <f>VLOOKUP(Table3[[#This Row],[Country Code]],Table29[],6,FALSE)</f>
        <v>no</v>
      </c>
      <c r="Z281" s="233" t="str">
        <f>VLOOKUP(Table3[[#This Row],[Country Code]],Table29[],7,FALSE)</f>
        <v>no</v>
      </c>
      <c r="AA281" s="233" t="str">
        <f>VLOOKUP(Table3[[#This Row],[Country Code]],Table29[],8,FALSE)</f>
        <v>non-OECD</v>
      </c>
      <c r="AB281" s="233" t="str">
        <f>VLOOKUP(Table3[[#This Row],[Country Code]],Table29[],9,FALSE)</f>
        <v>no</v>
      </c>
      <c r="AC281" s="233" t="str">
        <f>VLOOKUP(Table3[[#This Row],[Country Code]],Table29[],10,FALSE)</f>
        <v>no</v>
      </c>
      <c r="AD281" s="235">
        <f>VLOOKUP(Table3[[#This Row],[Country Code]],Table29[],23,FALSE)</f>
        <v>0.14691940907449</v>
      </c>
      <c r="AE281" s="235">
        <f>VLOOKUP(Table3[[#This Row],[Country Code]],Table29[],24,FALSE)</f>
        <v>2.8004429294222619E-2</v>
      </c>
      <c r="AF281" s="43"/>
    </row>
    <row r="282" spans="1:32" x14ac:dyDescent="0.25">
      <c r="A282" s="360">
        <v>29230</v>
      </c>
      <c r="B282" s="233" t="str">
        <f>VLOOKUP(Table3[[#This Row],[Document ID]],Table1[],2,FALSE)</f>
        <v>DMA</v>
      </c>
      <c r="C282" s="233" t="str">
        <f>VLOOKUP(Table3[[#This Row],[Document ID]],Table1[],3,FALSE)</f>
        <v>Dominica</v>
      </c>
      <c r="D282" s="233" t="str">
        <f>VLOOKUP(Table3[[#This Row],[Document ID]],Table1[],5,FALSE)</f>
        <v>NDC</v>
      </c>
      <c r="E282" s="233" t="str">
        <f>VLOOKUP(Table3[[#This Row],[Document ID]],Table1[],7,FALSE)</f>
        <v>First NDC updated</v>
      </c>
      <c r="F282" s="233" t="str">
        <f>VLOOKUP(Table3[[#This Row],[Document ID]],Table1[],8,FALSE)</f>
        <v>NDC 1.1</v>
      </c>
      <c r="G282" s="233" t="str">
        <f>VLOOKUP(Table3[[#This Row],[Document ID]],Table1[],10,FALSE)</f>
        <v>Active</v>
      </c>
      <c r="H282" s="43" t="s">
        <v>1114</v>
      </c>
      <c r="I282" s="43" t="s">
        <v>1115</v>
      </c>
      <c r="J282" s="42" t="s">
        <v>1097</v>
      </c>
      <c r="K282" s="28" t="s">
        <v>1118</v>
      </c>
      <c r="L282" s="43" t="s">
        <v>1116</v>
      </c>
      <c r="M282" s="209">
        <v>2030</v>
      </c>
      <c r="N282" s="44" t="s">
        <v>1403</v>
      </c>
      <c r="O282" s="258">
        <v>63</v>
      </c>
      <c r="P282" s="238" t="str">
        <f>VLOOKUP(_xlfn.CONCAT(Table3[[#This Row],[Target area]],Table3[[#This Row],[GHG target?]],Table3[[#This Row],[Conditionality]]),'Drop down'!$E$81:$F$101,2,FALSE)</f>
        <v>T_Energy_O</v>
      </c>
      <c r="Q282" s="239" t="str">
        <f>VLOOKUP(Table3[[#This Row],[Target type]],Table418[[Value name]:[Value idenifyer]],2,FALSE)</f>
        <v>T_E_REN</v>
      </c>
      <c r="S282" s="233" t="s">
        <v>1125</v>
      </c>
      <c r="T282" s="234" t="s">
        <v>1113</v>
      </c>
      <c r="U282" s="234" t="s">
        <v>1402</v>
      </c>
      <c r="V282" s="233" t="str">
        <f>VLOOKUP(Table3[[#This Row],[Country Code]],Table29[],3,FALSE)</f>
        <v>Non-Annex I</v>
      </c>
      <c r="W282" s="233" t="str">
        <f>VLOOKUP(Table3[[#This Row],[Country Code]],Table29[],4,FALSE)</f>
        <v>Latin America and the Caribbean</v>
      </c>
      <c r="X282" s="233" t="str">
        <f>VLOOKUP(Table3[[#This Row],[Country Code]],Table29[],5,FALSE)</f>
        <v>Middle-income</v>
      </c>
      <c r="Y282" s="233" t="str">
        <f>VLOOKUP(Table3[[#This Row],[Country Code]],Table29[],6,FALSE)</f>
        <v>no</v>
      </c>
      <c r="Z282" s="233" t="str">
        <f>VLOOKUP(Table3[[#This Row],[Country Code]],Table29[],7,FALSE)</f>
        <v>no</v>
      </c>
      <c r="AA282" s="233" t="str">
        <f>VLOOKUP(Table3[[#This Row],[Country Code]],Table29[],8,FALSE)</f>
        <v>non-OECD</v>
      </c>
      <c r="AB282" s="233" t="str">
        <f>VLOOKUP(Table3[[#This Row],[Country Code]],Table29[],9,FALSE)</f>
        <v>no</v>
      </c>
      <c r="AC282" s="233" t="str">
        <f>VLOOKUP(Table3[[#This Row],[Country Code]],Table29[],10,FALSE)</f>
        <v>no</v>
      </c>
      <c r="AD282" s="235">
        <f>VLOOKUP(Table3[[#This Row],[Country Code]],Table29[],23,FALSE)</f>
        <v>0.14691940907449</v>
      </c>
      <c r="AE282" s="235">
        <f>VLOOKUP(Table3[[#This Row],[Country Code]],Table29[],24,FALSE)</f>
        <v>2.8004429294222619E-2</v>
      </c>
      <c r="AF282" s="43"/>
    </row>
    <row r="283" spans="1:32" x14ac:dyDescent="0.25">
      <c r="A283" s="360">
        <v>32501</v>
      </c>
      <c r="B283" s="233" t="str">
        <f>VLOOKUP(Table3[[#This Row],[Document ID]],Table1[],2,FALSE)</f>
        <v>DEU</v>
      </c>
      <c r="C283" s="233" t="str">
        <f>VLOOKUP(Table3[[#This Row],[Document ID]],Table1[],3,FALSE)</f>
        <v>Germany</v>
      </c>
      <c r="D283" s="233" t="str">
        <f>VLOOKUP(Table3[[#This Row],[Document ID]],Table1[],5,FALSE)</f>
        <v>LTS</v>
      </c>
      <c r="E283" s="233" t="str">
        <f>VLOOKUP(Table3[[#This Row],[Document ID]],Table1[],7,FALSE)</f>
        <v>LTS</v>
      </c>
      <c r="F283" s="233" t="str">
        <f>VLOOKUP(Table3[[#This Row],[Document ID]],Table1[],8,FALSE)</f>
        <v>LTS 1.1</v>
      </c>
      <c r="G283" s="233" t="str">
        <f>VLOOKUP(Table3[[#This Row],[Document ID]],Table1[],10,FALSE)</f>
        <v>Active</v>
      </c>
      <c r="H283" s="216" t="s">
        <v>1089</v>
      </c>
      <c r="I283" s="216" t="s">
        <v>1089</v>
      </c>
      <c r="J283" s="43" t="s">
        <v>1090</v>
      </c>
      <c r="K283" s="28" t="s">
        <v>1153</v>
      </c>
      <c r="L283" s="42" t="s">
        <v>1099</v>
      </c>
      <c r="M283" s="209">
        <v>2030</v>
      </c>
      <c r="N283" s="43" t="s">
        <v>1404</v>
      </c>
      <c r="O283" s="258">
        <v>4</v>
      </c>
      <c r="P283" s="238" t="str">
        <f>VLOOKUP(_xlfn.CONCAT(Table3[[#This Row],[Target area]],Table3[[#This Row],[GHG target?]],Table3[[#This Row],[Conditionality]]),'Drop down'!$E$81:$F$101,2,FALSE)</f>
        <v>T_Economy_Unc</v>
      </c>
      <c r="Q283" s="239" t="str">
        <f>VLOOKUP(Table3[[#This Row],[Target type]],Table418[[Value name]:[Value idenifyer]],2,FALSE)</f>
        <v>T_BYE</v>
      </c>
      <c r="S283" s="233" t="s">
        <v>1125</v>
      </c>
      <c r="T283" s="234" t="s">
        <v>1113</v>
      </c>
      <c r="V283" s="233" t="str">
        <f>VLOOKUP(Table3[[#This Row],[Country Code]],Table29[],3,FALSE)</f>
        <v>Annex I</v>
      </c>
      <c r="W283" s="233" t="str">
        <f>VLOOKUP(Table3[[#This Row],[Country Code]],Table29[],4,FALSE)</f>
        <v>Europe</v>
      </c>
      <c r="X283" s="233" t="str">
        <f>VLOOKUP(Table3[[#This Row],[Country Code]],Table29[],5,FALSE)</f>
        <v>High-income</v>
      </c>
      <c r="Y283" s="233" t="str">
        <f>VLOOKUP(Table3[[#This Row],[Country Code]],Table29[],6,FALSE)</f>
        <v>G20</v>
      </c>
      <c r="Z283" s="233" t="str">
        <f>VLOOKUP(Table3[[#This Row],[Country Code]],Table29[],7,FALSE)</f>
        <v>G7</v>
      </c>
      <c r="AA283" s="233" t="str">
        <f>VLOOKUP(Table3[[#This Row],[Country Code]],Table29[],8,FALSE)</f>
        <v>OECD</v>
      </c>
      <c r="AB283" s="233" t="str">
        <f>VLOOKUP(Table3[[#This Row],[Country Code]],Table29[],9,FALSE)</f>
        <v>EU27</v>
      </c>
      <c r="AC283" s="233" t="str">
        <f>VLOOKUP(Table3[[#This Row],[Country Code]],Table29[],10,FALSE)</f>
        <v>no</v>
      </c>
      <c r="AD283" s="235">
        <f>VLOOKUP(Table3[[#This Row],[Country Code]],Table29[],23,FALSE)</f>
        <v>681.81032815186995</v>
      </c>
      <c r="AE283" s="235">
        <f>VLOOKUP(Table3[[#This Row],[Country Code]],Table29[],24,FALSE)</f>
        <v>141.2568578412648</v>
      </c>
      <c r="AF283" s="43"/>
    </row>
    <row r="284" spans="1:32" x14ac:dyDescent="0.25">
      <c r="A284" s="360">
        <v>32501</v>
      </c>
      <c r="B284" s="233" t="str">
        <f>VLOOKUP(Table3[[#This Row],[Document ID]],Table1[],2,FALSE)</f>
        <v>DEU</v>
      </c>
      <c r="C284" s="233" t="str">
        <f>VLOOKUP(Table3[[#This Row],[Document ID]],Table1[],3,FALSE)</f>
        <v>Germany</v>
      </c>
      <c r="D284" s="233" t="str">
        <f>VLOOKUP(Table3[[#This Row],[Document ID]],Table1[],5,FALSE)</f>
        <v>LTS</v>
      </c>
      <c r="E284" s="233" t="str">
        <f>VLOOKUP(Table3[[#This Row],[Document ID]],Table1[],7,FALSE)</f>
        <v>LTS</v>
      </c>
      <c r="F284" s="233" t="str">
        <f>VLOOKUP(Table3[[#This Row],[Document ID]],Table1[],8,FALSE)</f>
        <v>LTS 1.1</v>
      </c>
      <c r="G284" s="233" t="str">
        <f>VLOOKUP(Table3[[#This Row],[Document ID]],Table1[],10,FALSE)</f>
        <v>Active</v>
      </c>
      <c r="H284" s="216" t="s">
        <v>1089</v>
      </c>
      <c r="I284" s="216" t="s">
        <v>1089</v>
      </c>
      <c r="J284" s="43" t="s">
        <v>1090</v>
      </c>
      <c r="K284" s="28" t="s">
        <v>1153</v>
      </c>
      <c r="L284" s="42" t="s">
        <v>1099</v>
      </c>
      <c r="M284" s="209">
        <v>2040</v>
      </c>
      <c r="N284" s="17" t="s">
        <v>1405</v>
      </c>
      <c r="O284" s="258">
        <v>4</v>
      </c>
      <c r="P284" s="238" t="str">
        <f>VLOOKUP(_xlfn.CONCAT(Table3[[#This Row],[Target area]],Table3[[#This Row],[GHG target?]],Table3[[#This Row],[Conditionality]]),'Drop down'!$E$81:$F$101,2,FALSE)</f>
        <v>T_Economy_Unc</v>
      </c>
      <c r="Q284" s="239" t="str">
        <f>VLOOKUP(Table3[[#This Row],[Target type]],Table418[[Value name]:[Value idenifyer]],2,FALSE)</f>
        <v>T_BYE</v>
      </c>
      <c r="S284" s="233" t="s">
        <v>1125</v>
      </c>
      <c r="T284" s="234" t="s">
        <v>1113</v>
      </c>
      <c r="V284" s="233" t="str">
        <f>VLOOKUP(Table3[[#This Row],[Country Code]],Table29[],3,FALSE)</f>
        <v>Annex I</v>
      </c>
      <c r="W284" s="233" t="str">
        <f>VLOOKUP(Table3[[#This Row],[Country Code]],Table29[],4,FALSE)</f>
        <v>Europe</v>
      </c>
      <c r="X284" s="233" t="str">
        <f>VLOOKUP(Table3[[#This Row],[Country Code]],Table29[],5,FALSE)</f>
        <v>High-income</v>
      </c>
      <c r="Y284" s="233" t="str">
        <f>VLOOKUP(Table3[[#This Row],[Country Code]],Table29[],6,FALSE)</f>
        <v>G20</v>
      </c>
      <c r="Z284" s="233" t="str">
        <f>VLOOKUP(Table3[[#This Row],[Country Code]],Table29[],7,FALSE)</f>
        <v>G7</v>
      </c>
      <c r="AA284" s="233" t="str">
        <f>VLOOKUP(Table3[[#This Row],[Country Code]],Table29[],8,FALSE)</f>
        <v>OECD</v>
      </c>
      <c r="AB284" s="233" t="str">
        <f>VLOOKUP(Table3[[#This Row],[Country Code]],Table29[],9,FALSE)</f>
        <v>EU27</v>
      </c>
      <c r="AC284" s="233" t="str">
        <f>VLOOKUP(Table3[[#This Row],[Country Code]],Table29[],10,FALSE)</f>
        <v>no</v>
      </c>
      <c r="AD284" s="235">
        <f>VLOOKUP(Table3[[#This Row],[Country Code]],Table29[],23,FALSE)</f>
        <v>681.81032815186995</v>
      </c>
      <c r="AE284" s="235">
        <f>VLOOKUP(Table3[[#This Row],[Country Code]],Table29[],24,FALSE)</f>
        <v>141.2568578412648</v>
      </c>
      <c r="AF284" s="43"/>
    </row>
    <row r="285" spans="1:32" x14ac:dyDescent="0.25">
      <c r="A285" s="360">
        <v>17565</v>
      </c>
      <c r="B285" s="233" t="str">
        <f>VLOOKUP(Table3[[#This Row],[Document ID]],Table1[],2,FALSE)</f>
        <v>CIV</v>
      </c>
      <c r="C285" s="233" t="str">
        <f>VLOOKUP(Table3[[#This Row],[Document ID]],Table1[],3,FALSE)</f>
        <v>Côte D'Ivoire</v>
      </c>
      <c r="D285" s="233" t="str">
        <f>VLOOKUP(Table3[[#This Row],[Document ID]],Table1[],5,FALSE)</f>
        <v>NDC</v>
      </c>
      <c r="E285" s="233" t="str">
        <f>VLOOKUP(Table3[[#This Row],[Document ID]],Table1[],7,FALSE)</f>
        <v>First NDC</v>
      </c>
      <c r="F285" s="233" t="str">
        <f>VLOOKUP(Table3[[#This Row],[Document ID]],Table1[],8,FALSE)</f>
        <v>NDC 1.0</v>
      </c>
      <c r="G285" s="233" t="str">
        <f>VLOOKUP(Table3[[#This Row],[Document ID]],Table1[],10,FALSE)</f>
        <v>Archived</v>
      </c>
      <c r="H285" s="42" t="s">
        <v>1095</v>
      </c>
      <c r="I285" s="43" t="s">
        <v>1115</v>
      </c>
      <c r="J285" s="43" t="s">
        <v>1090</v>
      </c>
      <c r="K285" s="28" t="s">
        <v>1091</v>
      </c>
      <c r="L285" s="43" t="s">
        <v>1092</v>
      </c>
      <c r="M285" s="209">
        <v>2030</v>
      </c>
      <c r="N285" s="44" t="s">
        <v>1406</v>
      </c>
      <c r="O285" s="221">
        <v>3</v>
      </c>
      <c r="P285" s="238" t="str">
        <f>VLOOKUP(_xlfn.CONCAT(Table3[[#This Row],[Target area]],Table3[[#This Row],[GHG target?]],Table3[[#This Row],[Conditionality]]),'Drop down'!$E$81:$F$101,2,FALSE)</f>
        <v>T_Transport_C</v>
      </c>
      <c r="Q285" s="239" t="str">
        <f>VLOOKUP(Table3[[#This Row],[Target type]],Table418[[Value name]:[Value idenifyer]],2,FALSE)</f>
        <v>T_BAU</v>
      </c>
      <c r="R285" s="233" t="s">
        <v>526</v>
      </c>
      <c r="S285" s="233" t="s">
        <v>1112</v>
      </c>
      <c r="V285" s="233" t="str">
        <f>VLOOKUP(Table3[[#This Row],[Country Code]],Table29[],3,FALSE)</f>
        <v>Non-Annex I</v>
      </c>
      <c r="W285" s="233" t="str">
        <f>VLOOKUP(Table3[[#This Row],[Country Code]],Table29[],4,FALSE)</f>
        <v>Africa</v>
      </c>
      <c r="X285" s="233" t="str">
        <f>VLOOKUP(Table3[[#This Row],[Country Code]],Table29[],5,FALSE)</f>
        <v>Middle-income</v>
      </c>
      <c r="Y285" s="233" t="str">
        <f>VLOOKUP(Table3[[#This Row],[Country Code]],Table29[],6,FALSE)</f>
        <v>no</v>
      </c>
      <c r="Z285" s="233" t="str">
        <f>VLOOKUP(Table3[[#This Row],[Country Code]],Table29[],7,FALSE)</f>
        <v>no</v>
      </c>
      <c r="AA285" s="233" t="str">
        <f>VLOOKUP(Table3[[#This Row],[Country Code]],Table29[],8,FALSE)</f>
        <v>non-OECD</v>
      </c>
      <c r="AB285" s="233" t="str">
        <f>VLOOKUP(Table3[[#This Row],[Country Code]],Table29[],9,FALSE)</f>
        <v>no</v>
      </c>
      <c r="AC285" s="233" t="str">
        <f>VLOOKUP(Table3[[#This Row],[Country Code]],Table29[],10,FALSE)</f>
        <v>no</v>
      </c>
      <c r="AD285" s="235">
        <f>VLOOKUP(Table3[[#This Row],[Country Code]],Table29[],23,FALSE)</f>
        <v>32.184005493065001</v>
      </c>
      <c r="AE285" s="235">
        <f>VLOOKUP(Table3[[#This Row],[Country Code]],Table29[],24,FALSE)</f>
        <v>5.258263110860768</v>
      </c>
      <c r="AF285" s="43"/>
    </row>
    <row r="286" spans="1:32" x14ac:dyDescent="0.25">
      <c r="A286" s="360">
        <v>32501</v>
      </c>
      <c r="B286" s="233" t="str">
        <f>VLOOKUP(Table3[[#This Row],[Document ID]],Table1[],2,FALSE)</f>
        <v>DEU</v>
      </c>
      <c r="C286" s="233" t="str">
        <f>VLOOKUP(Table3[[#This Row],[Document ID]],Table1[],3,FALSE)</f>
        <v>Germany</v>
      </c>
      <c r="D286" s="233" t="str">
        <f>VLOOKUP(Table3[[#This Row],[Document ID]],Table1[],5,FALSE)</f>
        <v>LTS</v>
      </c>
      <c r="E286" s="233" t="str">
        <f>VLOOKUP(Table3[[#This Row],[Document ID]],Table1[],7,FALSE)</f>
        <v>LTS</v>
      </c>
      <c r="F286" s="233" t="str">
        <f>VLOOKUP(Table3[[#This Row],[Document ID]],Table1[],8,FALSE)</f>
        <v>LTS 1.1</v>
      </c>
      <c r="G286" s="233" t="str">
        <f>VLOOKUP(Table3[[#This Row],[Document ID]],Table1[],10,FALSE)</f>
        <v>Active</v>
      </c>
      <c r="H286" s="43" t="s">
        <v>1114</v>
      </c>
      <c r="I286" s="43" t="s">
        <v>1115</v>
      </c>
      <c r="J286" s="42" t="s">
        <v>1090</v>
      </c>
      <c r="K286" s="28" t="s">
        <v>1121</v>
      </c>
      <c r="L286" s="43" t="s">
        <v>1116</v>
      </c>
      <c r="M286" s="209">
        <v>2030</v>
      </c>
      <c r="N286" s="43" t="s">
        <v>1407</v>
      </c>
      <c r="O286" s="258">
        <v>5</v>
      </c>
      <c r="P286" s="238" t="str">
        <f>VLOOKUP(_xlfn.CONCAT(Table3[[#This Row],[Target area]],Table3[[#This Row],[GHG target?]],Table3[[#This Row],[Conditionality]]),'Drop down'!$E$81:$F$101,2,FALSE)</f>
        <v>T_Energy</v>
      </c>
      <c r="Q286" s="239" t="str">
        <f>VLOOKUP(Table3[[#This Row],[Target type]],Table418[[Value name]:[Value idenifyer]],2,FALSE)</f>
        <v>T_FL</v>
      </c>
      <c r="S286" s="233" t="s">
        <v>1125</v>
      </c>
      <c r="T286" s="234" t="s">
        <v>1113</v>
      </c>
      <c r="V286" s="233" t="str">
        <f>VLOOKUP(Table3[[#This Row],[Country Code]],Table29[],3,FALSE)</f>
        <v>Annex I</v>
      </c>
      <c r="W286" s="233" t="str">
        <f>VLOOKUP(Table3[[#This Row],[Country Code]],Table29[],4,FALSE)</f>
        <v>Europe</v>
      </c>
      <c r="X286" s="233" t="str">
        <f>VLOOKUP(Table3[[#This Row],[Country Code]],Table29[],5,FALSE)</f>
        <v>High-income</v>
      </c>
      <c r="Y286" s="233" t="str">
        <f>VLOOKUP(Table3[[#This Row],[Country Code]],Table29[],6,FALSE)</f>
        <v>G20</v>
      </c>
      <c r="Z286" s="233" t="str">
        <f>VLOOKUP(Table3[[#This Row],[Country Code]],Table29[],7,FALSE)</f>
        <v>G7</v>
      </c>
      <c r="AA286" s="233" t="str">
        <f>VLOOKUP(Table3[[#This Row],[Country Code]],Table29[],8,FALSE)</f>
        <v>OECD</v>
      </c>
      <c r="AB286" s="233" t="str">
        <f>VLOOKUP(Table3[[#This Row],[Country Code]],Table29[],9,FALSE)</f>
        <v>EU27</v>
      </c>
      <c r="AC286" s="233" t="str">
        <f>VLOOKUP(Table3[[#This Row],[Country Code]],Table29[],10,FALSE)</f>
        <v>no</v>
      </c>
      <c r="AD286" s="235">
        <f>VLOOKUP(Table3[[#This Row],[Country Code]],Table29[],23,FALSE)</f>
        <v>681.81032815186995</v>
      </c>
      <c r="AE286" s="235">
        <f>VLOOKUP(Table3[[#This Row],[Country Code]],Table29[],24,FALSE)</f>
        <v>141.2568578412648</v>
      </c>
      <c r="AF286" s="43"/>
    </row>
    <row r="287" spans="1:32" x14ac:dyDescent="0.25">
      <c r="A287" s="360">
        <v>32501</v>
      </c>
      <c r="B287" s="233" t="str">
        <f>VLOOKUP(Table3[[#This Row],[Document ID]],Table1[],2,FALSE)</f>
        <v>DEU</v>
      </c>
      <c r="C287" s="233" t="str">
        <f>VLOOKUP(Table3[[#This Row],[Document ID]],Table1[],3,FALSE)</f>
        <v>Germany</v>
      </c>
      <c r="D287" s="233" t="str">
        <f>VLOOKUP(Table3[[#This Row],[Document ID]],Table1[],5,FALSE)</f>
        <v>LTS</v>
      </c>
      <c r="E287" s="233" t="str">
        <f>VLOOKUP(Table3[[#This Row],[Document ID]],Table1[],7,FALSE)</f>
        <v>LTS</v>
      </c>
      <c r="F287" s="233" t="str">
        <f>VLOOKUP(Table3[[#This Row],[Document ID]],Table1[],8,FALSE)</f>
        <v>LTS 1.1</v>
      </c>
      <c r="G287" s="233" t="str">
        <f>VLOOKUP(Table3[[#This Row],[Document ID]],Table1[],10,FALSE)</f>
        <v>Active</v>
      </c>
      <c r="H287" s="43" t="s">
        <v>1114</v>
      </c>
      <c r="I287" s="43" t="s">
        <v>1115</v>
      </c>
      <c r="J287" s="42" t="s">
        <v>1090</v>
      </c>
      <c r="K287" s="28" t="s">
        <v>1121</v>
      </c>
      <c r="L287" s="43" t="s">
        <v>1116</v>
      </c>
      <c r="M287" s="209" t="s">
        <v>147</v>
      </c>
      <c r="N287" s="43" t="s">
        <v>1408</v>
      </c>
      <c r="O287" s="258">
        <v>5</v>
      </c>
      <c r="P287" s="238" t="str">
        <f>VLOOKUP(_xlfn.CONCAT(Table3[[#This Row],[Target area]],Table3[[#This Row],[GHG target?]],Table3[[#This Row],[Conditionality]]),'Drop down'!$E$81:$F$101,2,FALSE)</f>
        <v>T_Energy</v>
      </c>
      <c r="Q287" s="239" t="str">
        <f>VLOOKUP(Table3[[#This Row],[Target type]],Table418[[Value name]:[Value idenifyer]],2,FALSE)</f>
        <v>T_FL</v>
      </c>
      <c r="S287" s="233" t="s">
        <v>1125</v>
      </c>
      <c r="T287" s="234" t="s">
        <v>1113</v>
      </c>
      <c r="V287" s="233" t="str">
        <f>VLOOKUP(Table3[[#This Row],[Country Code]],Table29[],3,FALSE)</f>
        <v>Annex I</v>
      </c>
      <c r="W287" s="233" t="str">
        <f>VLOOKUP(Table3[[#This Row],[Country Code]],Table29[],4,FALSE)</f>
        <v>Europe</v>
      </c>
      <c r="X287" s="233" t="str">
        <f>VLOOKUP(Table3[[#This Row],[Country Code]],Table29[],5,FALSE)</f>
        <v>High-income</v>
      </c>
      <c r="Y287" s="233" t="str">
        <f>VLOOKUP(Table3[[#This Row],[Country Code]],Table29[],6,FALSE)</f>
        <v>G20</v>
      </c>
      <c r="Z287" s="233" t="str">
        <f>VLOOKUP(Table3[[#This Row],[Country Code]],Table29[],7,FALSE)</f>
        <v>G7</v>
      </c>
      <c r="AA287" s="233" t="str">
        <f>VLOOKUP(Table3[[#This Row],[Country Code]],Table29[],8,FALSE)</f>
        <v>OECD</v>
      </c>
      <c r="AB287" s="233" t="str">
        <f>VLOOKUP(Table3[[#This Row],[Country Code]],Table29[],9,FALSE)</f>
        <v>EU27</v>
      </c>
      <c r="AC287" s="233" t="str">
        <f>VLOOKUP(Table3[[#This Row],[Country Code]],Table29[],10,FALSE)</f>
        <v>no</v>
      </c>
      <c r="AD287" s="235">
        <f>VLOOKUP(Table3[[#This Row],[Country Code]],Table29[],23,FALSE)</f>
        <v>681.81032815186995</v>
      </c>
      <c r="AE287" s="235">
        <f>VLOOKUP(Table3[[#This Row],[Country Code]],Table29[],24,FALSE)</f>
        <v>141.2568578412648</v>
      </c>
      <c r="AF287" s="43"/>
    </row>
    <row r="288" spans="1:32" ht="30" x14ac:dyDescent="0.25">
      <c r="A288" s="360">
        <v>26797</v>
      </c>
      <c r="B288" s="233" t="str">
        <f>VLOOKUP(Table3[[#This Row],[Document ID]],Table1[],2,FALSE)</f>
        <v>CIV</v>
      </c>
      <c r="C288" s="233" t="str">
        <f>VLOOKUP(Table3[[#This Row],[Document ID]],Table1[],3,FALSE)</f>
        <v>Côte D'Ivoire</v>
      </c>
      <c r="D288" s="233" t="str">
        <f>VLOOKUP(Table3[[#This Row],[Document ID]],Table1[],5,FALSE)</f>
        <v>NDC</v>
      </c>
      <c r="E288" s="233" t="str">
        <f>VLOOKUP(Table3[[#This Row],[Document ID]],Table1[],7,FALSE)</f>
        <v>Second NDC</v>
      </c>
      <c r="F288" s="233" t="str">
        <f>VLOOKUP(Table3[[#This Row],[Document ID]],Table1[],8,FALSE)</f>
        <v>NDC 2.0</v>
      </c>
      <c r="G288" s="233" t="str">
        <f>VLOOKUP(Table3[[#This Row],[Document ID]],Table1[],10,FALSE)</f>
        <v>Active</v>
      </c>
      <c r="H288" s="42" t="s">
        <v>1095</v>
      </c>
      <c r="I288" s="42" t="s">
        <v>1096</v>
      </c>
      <c r="J288" s="42" t="s">
        <v>1097</v>
      </c>
      <c r="K288" s="28" t="s">
        <v>1104</v>
      </c>
      <c r="L288" s="42" t="s">
        <v>1099</v>
      </c>
      <c r="M288" s="209">
        <v>2030</v>
      </c>
      <c r="N288" s="209" t="s">
        <v>1409</v>
      </c>
      <c r="O288" s="257">
        <v>29</v>
      </c>
      <c r="P288" s="238" t="str">
        <f>VLOOKUP(_xlfn.CONCAT(Table3[[#This Row],[Target area]],Table3[[#This Row],[GHG target?]],Table3[[#This Row],[Conditionality]]),'Drop down'!$E$81:$F$101,2,FALSE)</f>
        <v>T_Transport_O_Unc</v>
      </c>
      <c r="Q288" s="239" t="str">
        <f>VLOOKUP(Table3[[#This Row],[Target type]],Table418[[Value name]:[Value idenifyer]],2,FALSE)</f>
        <v>T_O_ZERO</v>
      </c>
      <c r="S288" s="233" t="s">
        <v>1101</v>
      </c>
      <c r="T288" s="240"/>
      <c r="U288" s="240"/>
      <c r="V288" s="233" t="str">
        <f>VLOOKUP(Table3[[#This Row],[Country Code]],Table29[],3,FALSE)</f>
        <v>Non-Annex I</v>
      </c>
      <c r="W288" s="233" t="str">
        <f>VLOOKUP(Table3[[#This Row],[Country Code]],Table29[],4,FALSE)</f>
        <v>Africa</v>
      </c>
      <c r="X288" s="233" t="str">
        <f>VLOOKUP(Table3[[#This Row],[Country Code]],Table29[],5,FALSE)</f>
        <v>Middle-income</v>
      </c>
      <c r="Y288" s="233" t="str">
        <f>VLOOKUP(Table3[[#This Row],[Country Code]],Table29[],6,FALSE)</f>
        <v>no</v>
      </c>
      <c r="Z288" s="233" t="str">
        <f>VLOOKUP(Table3[[#This Row],[Country Code]],Table29[],7,FALSE)</f>
        <v>no</v>
      </c>
      <c r="AA288" s="233" t="str">
        <f>VLOOKUP(Table3[[#This Row],[Country Code]],Table29[],8,FALSE)</f>
        <v>non-OECD</v>
      </c>
      <c r="AB288" s="233" t="str">
        <f>VLOOKUP(Table3[[#This Row],[Country Code]],Table29[],9,FALSE)</f>
        <v>no</v>
      </c>
      <c r="AC288" s="233" t="str">
        <f>VLOOKUP(Table3[[#This Row],[Country Code]],Table29[],10,FALSE)</f>
        <v>no</v>
      </c>
      <c r="AD288" s="235">
        <f>VLOOKUP(Table3[[#This Row],[Country Code]],Table29[],23,FALSE)</f>
        <v>32.184005493065001</v>
      </c>
      <c r="AE288" s="235">
        <f>VLOOKUP(Table3[[#This Row],[Country Code]],Table29[],24,FALSE)</f>
        <v>5.258263110860768</v>
      </c>
      <c r="AF288" s="43"/>
    </row>
    <row r="289" spans="1:32" ht="30" x14ac:dyDescent="0.25">
      <c r="A289" s="360">
        <v>26797</v>
      </c>
      <c r="B289" s="233" t="str">
        <f>VLOOKUP(Table3[[#This Row],[Document ID]],Table1[],2,FALSE)</f>
        <v>CIV</v>
      </c>
      <c r="C289" s="233" t="str">
        <f>VLOOKUP(Table3[[#This Row],[Document ID]],Table1[],3,FALSE)</f>
        <v>Côte D'Ivoire</v>
      </c>
      <c r="D289" s="233" t="str">
        <f>VLOOKUP(Table3[[#This Row],[Document ID]],Table1[],5,FALSE)</f>
        <v>NDC</v>
      </c>
      <c r="E289" s="233" t="str">
        <f>VLOOKUP(Table3[[#This Row],[Document ID]],Table1[],7,FALSE)</f>
        <v>Second NDC</v>
      </c>
      <c r="F289" s="233" t="str">
        <f>VLOOKUP(Table3[[#This Row],[Document ID]],Table1[],8,FALSE)</f>
        <v>NDC 2.0</v>
      </c>
      <c r="G289" s="233" t="str">
        <f>VLOOKUP(Table3[[#This Row],[Document ID]],Table1[],10,FALSE)</f>
        <v>Active</v>
      </c>
      <c r="H289" s="42" t="s">
        <v>1095</v>
      </c>
      <c r="I289" s="42" t="s">
        <v>1096</v>
      </c>
      <c r="J289" s="42" t="s">
        <v>1097</v>
      </c>
      <c r="K289" s="28" t="s">
        <v>1104</v>
      </c>
      <c r="L289" s="43" t="s">
        <v>1092</v>
      </c>
      <c r="M289" s="209">
        <v>2030</v>
      </c>
      <c r="N289" s="209" t="s">
        <v>1410</v>
      </c>
      <c r="O289" s="257">
        <v>30</v>
      </c>
      <c r="P289" s="238" t="str">
        <f>VLOOKUP(_xlfn.CONCAT(Table3[[#This Row],[Target area]],Table3[[#This Row],[GHG target?]],Table3[[#This Row],[Conditionality]]),'Drop down'!$E$81:$F$101,2,FALSE)</f>
        <v>T_Transport_O_C</v>
      </c>
      <c r="Q289" s="239" t="str">
        <f>VLOOKUP(Table3[[#This Row],[Target type]],Table418[[Value name]:[Value idenifyer]],2,FALSE)</f>
        <v>T_O_ZERO</v>
      </c>
      <c r="S289" s="233" t="s">
        <v>1101</v>
      </c>
      <c r="T289" s="240"/>
      <c r="U289" s="240"/>
      <c r="V289" s="233" t="str">
        <f>VLOOKUP(Table3[[#This Row],[Country Code]],Table29[],3,FALSE)</f>
        <v>Non-Annex I</v>
      </c>
      <c r="W289" s="233" t="str">
        <f>VLOOKUP(Table3[[#This Row],[Country Code]],Table29[],4,FALSE)</f>
        <v>Africa</v>
      </c>
      <c r="X289" s="233" t="str">
        <f>VLOOKUP(Table3[[#This Row],[Country Code]],Table29[],5,FALSE)</f>
        <v>Middle-income</v>
      </c>
      <c r="Y289" s="233" t="str">
        <f>VLOOKUP(Table3[[#This Row],[Country Code]],Table29[],6,FALSE)</f>
        <v>no</v>
      </c>
      <c r="Z289" s="233" t="str">
        <f>VLOOKUP(Table3[[#This Row],[Country Code]],Table29[],7,FALSE)</f>
        <v>no</v>
      </c>
      <c r="AA289" s="233" t="str">
        <f>VLOOKUP(Table3[[#This Row],[Country Code]],Table29[],8,FALSE)</f>
        <v>non-OECD</v>
      </c>
      <c r="AB289" s="233" t="str">
        <f>VLOOKUP(Table3[[#This Row],[Country Code]],Table29[],9,FALSE)</f>
        <v>no</v>
      </c>
      <c r="AC289" s="233" t="str">
        <f>VLOOKUP(Table3[[#This Row],[Country Code]],Table29[],10,FALSE)</f>
        <v>no</v>
      </c>
      <c r="AD289" s="235">
        <f>VLOOKUP(Table3[[#This Row],[Country Code]],Table29[],23,FALSE)</f>
        <v>32.184005493065001</v>
      </c>
      <c r="AE289" s="235">
        <f>VLOOKUP(Table3[[#This Row],[Country Code]],Table29[],24,FALSE)</f>
        <v>5.258263110860768</v>
      </c>
      <c r="AF289" s="43"/>
    </row>
    <row r="290" spans="1:32" ht="30" x14ac:dyDescent="0.25">
      <c r="A290" s="360">
        <v>26797</v>
      </c>
      <c r="B290" s="233" t="str">
        <f>VLOOKUP(Table3[[#This Row],[Document ID]],Table1[],2,FALSE)</f>
        <v>CIV</v>
      </c>
      <c r="C290" s="233" t="str">
        <f>VLOOKUP(Table3[[#This Row],[Document ID]],Table1[],3,FALSE)</f>
        <v>Côte D'Ivoire</v>
      </c>
      <c r="D290" s="233" t="str">
        <f>VLOOKUP(Table3[[#This Row],[Document ID]],Table1[],5,FALSE)</f>
        <v>NDC</v>
      </c>
      <c r="E290" s="233" t="str">
        <f>VLOOKUP(Table3[[#This Row],[Document ID]],Table1[],7,FALSE)</f>
        <v>Second NDC</v>
      </c>
      <c r="F290" s="233" t="str">
        <f>VLOOKUP(Table3[[#This Row],[Document ID]],Table1[],8,FALSE)</f>
        <v>NDC 2.0</v>
      </c>
      <c r="G290" s="233" t="str">
        <f>VLOOKUP(Table3[[#This Row],[Document ID]],Table1[],10,FALSE)</f>
        <v>Active</v>
      </c>
      <c r="H290" s="42" t="s">
        <v>1095</v>
      </c>
      <c r="I290" s="42" t="s">
        <v>1096</v>
      </c>
      <c r="J290" s="42" t="s">
        <v>1097</v>
      </c>
      <c r="K290" s="28" t="s">
        <v>1137</v>
      </c>
      <c r="L290" s="42" t="s">
        <v>1099</v>
      </c>
      <c r="M290" s="209">
        <v>2030</v>
      </c>
      <c r="N290" s="209" t="s">
        <v>1411</v>
      </c>
      <c r="O290" s="257">
        <v>30</v>
      </c>
      <c r="P290" s="238" t="str">
        <f>VLOOKUP(_xlfn.CONCAT(Table3[[#This Row],[Target area]],Table3[[#This Row],[GHG target?]],Table3[[#This Row],[Conditionality]]),'Drop down'!$E$81:$F$101,2,FALSE)</f>
        <v>T_Transport_O_Unc</v>
      </c>
      <c r="Q290" s="239" t="str">
        <f>VLOOKUP(Table3[[#This Row],[Target type]],Table418[[Value name]:[Value idenifyer]],2,FALSE)</f>
        <v>T_O_EFF</v>
      </c>
      <c r="S290" s="233" t="s">
        <v>1101</v>
      </c>
      <c r="T290" s="240"/>
      <c r="U290" s="240"/>
      <c r="V290" s="233" t="str">
        <f>VLOOKUP(Table3[[#This Row],[Country Code]],Table29[],3,FALSE)</f>
        <v>Non-Annex I</v>
      </c>
      <c r="W290" s="233" t="str">
        <f>VLOOKUP(Table3[[#This Row],[Country Code]],Table29[],4,FALSE)</f>
        <v>Africa</v>
      </c>
      <c r="X290" s="233" t="str">
        <f>VLOOKUP(Table3[[#This Row],[Country Code]],Table29[],5,FALSE)</f>
        <v>Middle-income</v>
      </c>
      <c r="Y290" s="233" t="str">
        <f>VLOOKUP(Table3[[#This Row],[Country Code]],Table29[],6,FALSE)</f>
        <v>no</v>
      </c>
      <c r="Z290" s="233" t="str">
        <f>VLOOKUP(Table3[[#This Row],[Country Code]],Table29[],7,FALSE)</f>
        <v>no</v>
      </c>
      <c r="AA290" s="233" t="str">
        <f>VLOOKUP(Table3[[#This Row],[Country Code]],Table29[],8,FALSE)</f>
        <v>non-OECD</v>
      </c>
      <c r="AB290" s="233" t="str">
        <f>VLOOKUP(Table3[[#This Row],[Country Code]],Table29[],9,FALSE)</f>
        <v>no</v>
      </c>
      <c r="AC290" s="233" t="str">
        <f>VLOOKUP(Table3[[#This Row],[Country Code]],Table29[],10,FALSE)</f>
        <v>no</v>
      </c>
      <c r="AD290" s="235">
        <f>VLOOKUP(Table3[[#This Row],[Country Code]],Table29[],23,FALSE)</f>
        <v>32.184005493065001</v>
      </c>
      <c r="AE290" s="235">
        <f>VLOOKUP(Table3[[#This Row],[Country Code]],Table29[],24,FALSE)</f>
        <v>5.258263110860768</v>
      </c>
      <c r="AF290" s="43"/>
    </row>
    <row r="291" spans="1:32" ht="30" x14ac:dyDescent="0.25">
      <c r="A291" s="360">
        <v>26797</v>
      </c>
      <c r="B291" s="233" t="str">
        <f>VLOOKUP(Table3[[#This Row],[Document ID]],Table1[],2,FALSE)</f>
        <v>CIV</v>
      </c>
      <c r="C291" s="233" t="str">
        <f>VLOOKUP(Table3[[#This Row],[Document ID]],Table1[],3,FALSE)</f>
        <v>Côte D'Ivoire</v>
      </c>
      <c r="D291" s="233" t="str">
        <f>VLOOKUP(Table3[[#This Row],[Document ID]],Table1[],5,FALSE)</f>
        <v>NDC</v>
      </c>
      <c r="E291" s="233" t="str">
        <f>VLOOKUP(Table3[[#This Row],[Document ID]],Table1[],7,FALSE)</f>
        <v>Second NDC</v>
      </c>
      <c r="F291" s="233" t="str">
        <f>VLOOKUP(Table3[[#This Row],[Document ID]],Table1[],8,FALSE)</f>
        <v>NDC 2.0</v>
      </c>
      <c r="G291" s="233" t="str">
        <f>VLOOKUP(Table3[[#This Row],[Document ID]],Table1[],10,FALSE)</f>
        <v>Active</v>
      </c>
      <c r="H291" s="42" t="s">
        <v>1095</v>
      </c>
      <c r="I291" s="42" t="s">
        <v>1096</v>
      </c>
      <c r="J291" s="42" t="s">
        <v>1097</v>
      </c>
      <c r="K291" s="28" t="s">
        <v>1137</v>
      </c>
      <c r="L291" s="42" t="s">
        <v>1099</v>
      </c>
      <c r="M291" s="209">
        <v>2024</v>
      </c>
      <c r="N291" s="209" t="s">
        <v>1412</v>
      </c>
      <c r="O291" s="257">
        <v>30</v>
      </c>
      <c r="P291" s="238" t="str">
        <f>VLOOKUP(_xlfn.CONCAT(Table3[[#This Row],[Target area]],Table3[[#This Row],[GHG target?]],Table3[[#This Row],[Conditionality]]),'Drop down'!$E$81:$F$101,2,FALSE)</f>
        <v>T_Transport_O_Unc</v>
      </c>
      <c r="Q291" s="239" t="str">
        <f>VLOOKUP(Table3[[#This Row],[Target type]],Table418[[Value name]:[Value idenifyer]],2,FALSE)</f>
        <v>T_O_EFF</v>
      </c>
      <c r="S291" s="233" t="s">
        <v>1101</v>
      </c>
      <c r="T291" s="240"/>
      <c r="U291" s="240"/>
      <c r="V291" s="233" t="str">
        <f>VLOOKUP(Table3[[#This Row],[Country Code]],Table29[],3,FALSE)</f>
        <v>Non-Annex I</v>
      </c>
      <c r="W291" s="233" t="str">
        <f>VLOOKUP(Table3[[#This Row],[Country Code]],Table29[],4,FALSE)</f>
        <v>Africa</v>
      </c>
      <c r="X291" s="233" t="str">
        <f>VLOOKUP(Table3[[#This Row],[Country Code]],Table29[],5,FALSE)</f>
        <v>Middle-income</v>
      </c>
      <c r="Y291" s="233" t="str">
        <f>VLOOKUP(Table3[[#This Row],[Country Code]],Table29[],6,FALSE)</f>
        <v>no</v>
      </c>
      <c r="Z291" s="233" t="str">
        <f>VLOOKUP(Table3[[#This Row],[Country Code]],Table29[],7,FALSE)</f>
        <v>no</v>
      </c>
      <c r="AA291" s="233" t="str">
        <f>VLOOKUP(Table3[[#This Row],[Country Code]],Table29[],8,FALSE)</f>
        <v>non-OECD</v>
      </c>
      <c r="AB291" s="233" t="str">
        <f>VLOOKUP(Table3[[#This Row],[Country Code]],Table29[],9,FALSE)</f>
        <v>no</v>
      </c>
      <c r="AC291" s="233" t="str">
        <f>VLOOKUP(Table3[[#This Row],[Country Code]],Table29[],10,FALSE)</f>
        <v>no</v>
      </c>
      <c r="AD291" s="235">
        <f>VLOOKUP(Table3[[#This Row],[Country Code]],Table29[],23,FALSE)</f>
        <v>32.184005493065001</v>
      </c>
      <c r="AE291" s="235">
        <f>VLOOKUP(Table3[[#This Row],[Country Code]],Table29[],24,FALSE)</f>
        <v>5.258263110860768</v>
      </c>
      <c r="AF291" s="43"/>
    </row>
    <row r="292" spans="1:32" ht="30" x14ac:dyDescent="0.25">
      <c r="A292" s="360">
        <v>26795</v>
      </c>
      <c r="B292" s="233" t="str">
        <f>VLOOKUP(Table3[[#This Row],[Document ID]],Table1[],2,FALSE)</f>
        <v>GHA</v>
      </c>
      <c r="C292" s="233" t="str">
        <f>VLOOKUP(Table3[[#This Row],[Document ID]],Table1[],3,FALSE)</f>
        <v>Ghana</v>
      </c>
      <c r="D292" s="233" t="str">
        <f>VLOOKUP(Table3[[#This Row],[Document ID]],Table1[],5,FALSE)</f>
        <v>NDC</v>
      </c>
      <c r="E292" s="233" t="str">
        <f>VLOOKUP(Table3[[#This Row],[Document ID]],Table1[],7,FALSE)</f>
        <v>First NDC updated</v>
      </c>
      <c r="F292" s="233" t="str">
        <f>VLOOKUP(Table3[[#This Row],[Document ID]],Table1[],8,FALSE)</f>
        <v>NDC 1.2</v>
      </c>
      <c r="G292" s="233" t="str">
        <f>VLOOKUP(Table3[[#This Row],[Document ID]],Table1[],10,FALSE)</f>
        <v>Active</v>
      </c>
      <c r="H292" s="216" t="s">
        <v>1089</v>
      </c>
      <c r="I292" s="216" t="s">
        <v>1089</v>
      </c>
      <c r="J292" s="43" t="s">
        <v>1090</v>
      </c>
      <c r="K292" s="43" t="s">
        <v>1153</v>
      </c>
      <c r="L292" s="216" t="s">
        <v>1092</v>
      </c>
      <c r="M292" s="209"/>
      <c r="N292" s="18" t="s">
        <v>1413</v>
      </c>
      <c r="O292" s="257">
        <v>9</v>
      </c>
      <c r="P292" s="238" t="str">
        <f>VLOOKUP(_xlfn.CONCAT(Table3[[#This Row],[Target area]],Table3[[#This Row],[GHG target?]],Table3[[#This Row],[Conditionality]]),'Drop down'!$E$81:$F$101,2,FALSE)</f>
        <v>T_Economy_C</v>
      </c>
      <c r="Q292" s="239" t="str">
        <f>VLOOKUP(Table3[[#This Row],[Target type]],Table418[[Value name]:[Value idenifyer]],2,FALSE)</f>
        <v>T_BYE</v>
      </c>
      <c r="T292" s="234" t="s">
        <v>1113</v>
      </c>
      <c r="U292" s="240"/>
      <c r="V292" s="233" t="str">
        <f>VLOOKUP(Table3[[#This Row],[Country Code]],Table29[],3,FALSE)</f>
        <v>Non-Annex I</v>
      </c>
      <c r="W292" s="233" t="str">
        <f>VLOOKUP(Table3[[#This Row],[Country Code]],Table29[],4,FALSE)</f>
        <v>Africa</v>
      </c>
      <c r="X292" s="233" t="str">
        <f>VLOOKUP(Table3[[#This Row],[Country Code]],Table29[],5,FALSE)</f>
        <v>Middle-income</v>
      </c>
      <c r="Y292" s="233" t="str">
        <f>VLOOKUP(Table3[[#This Row],[Country Code]],Table29[],6,FALSE)</f>
        <v>no</v>
      </c>
      <c r="Z292" s="233" t="str">
        <f>VLOOKUP(Table3[[#This Row],[Country Code]],Table29[],7,FALSE)</f>
        <v>no</v>
      </c>
      <c r="AA292" s="233" t="str">
        <f>VLOOKUP(Table3[[#This Row],[Country Code]],Table29[],8,FALSE)</f>
        <v>non-OECD</v>
      </c>
      <c r="AB292" s="233" t="str">
        <f>VLOOKUP(Table3[[#This Row],[Country Code]],Table29[],9,FALSE)</f>
        <v>no</v>
      </c>
      <c r="AC292" s="233" t="str">
        <f>VLOOKUP(Table3[[#This Row],[Country Code]],Table29[],10,FALSE)</f>
        <v>no</v>
      </c>
      <c r="AD292" s="235">
        <f>VLOOKUP(Table3[[#This Row],[Country Code]],Table29[],23,FALSE)</f>
        <v>48.265926450338</v>
      </c>
      <c r="AE292" s="235">
        <f>VLOOKUP(Table3[[#This Row],[Country Code]],Table29[],24,FALSE)</f>
        <v>9.2203647608909662</v>
      </c>
      <c r="AF292" s="43"/>
    </row>
    <row r="293" spans="1:32" ht="45" x14ac:dyDescent="0.25">
      <c r="A293" s="360">
        <v>26795</v>
      </c>
      <c r="B293" s="233" t="str">
        <f>VLOOKUP(Table3[[#This Row],[Document ID]],Table1[],2,FALSE)</f>
        <v>GHA</v>
      </c>
      <c r="C293" s="233" t="str">
        <f>VLOOKUP(Table3[[#This Row],[Document ID]],Table1[],3,FALSE)</f>
        <v>Ghana</v>
      </c>
      <c r="D293" s="233" t="str">
        <f>VLOOKUP(Table3[[#This Row],[Document ID]],Table1[],5,FALSE)</f>
        <v>NDC</v>
      </c>
      <c r="E293" s="233" t="str">
        <f>VLOOKUP(Table3[[#This Row],[Document ID]],Table1[],7,FALSE)</f>
        <v>First NDC updated</v>
      </c>
      <c r="F293" s="233" t="str">
        <f>VLOOKUP(Table3[[#This Row],[Document ID]],Table1[],8,FALSE)</f>
        <v>NDC 1.2</v>
      </c>
      <c r="G293" s="233" t="str">
        <f>VLOOKUP(Table3[[#This Row],[Document ID]],Table1[],10,FALSE)</f>
        <v>Active</v>
      </c>
      <c r="H293" s="216" t="s">
        <v>1089</v>
      </c>
      <c r="I293" s="216" t="s">
        <v>1089</v>
      </c>
      <c r="J293" s="43" t="s">
        <v>1090</v>
      </c>
      <c r="K293" s="28" t="s">
        <v>1153</v>
      </c>
      <c r="L293" s="42" t="s">
        <v>1099</v>
      </c>
      <c r="M293" s="209">
        <v>2025</v>
      </c>
      <c r="N293" s="209" t="s">
        <v>1414</v>
      </c>
      <c r="O293" s="257">
        <v>9</v>
      </c>
      <c r="P293" s="238" t="str">
        <f>VLOOKUP(_xlfn.CONCAT(Table3[[#This Row],[Target area]],Table3[[#This Row],[GHG target?]],Table3[[#This Row],[Conditionality]]),'Drop down'!$E$81:$F$101,2,FALSE)</f>
        <v>T_Economy_Unc</v>
      </c>
      <c r="Q293" s="239" t="str">
        <f>VLOOKUP(Table3[[#This Row],[Target type]],Table418[[Value name]:[Value idenifyer]],2,FALSE)</f>
        <v>T_BYE</v>
      </c>
      <c r="T293" s="234" t="s">
        <v>1113</v>
      </c>
      <c r="U293" s="240"/>
      <c r="V293" s="233" t="str">
        <f>VLOOKUP(Table3[[#This Row],[Country Code]],Table29[],3,FALSE)</f>
        <v>Non-Annex I</v>
      </c>
      <c r="W293" s="233" t="str">
        <f>VLOOKUP(Table3[[#This Row],[Country Code]],Table29[],4,FALSE)</f>
        <v>Africa</v>
      </c>
      <c r="X293" s="233" t="str">
        <f>VLOOKUP(Table3[[#This Row],[Country Code]],Table29[],5,FALSE)</f>
        <v>Middle-income</v>
      </c>
      <c r="Y293" s="233" t="str">
        <f>VLOOKUP(Table3[[#This Row],[Country Code]],Table29[],6,FALSE)</f>
        <v>no</v>
      </c>
      <c r="Z293" s="233" t="str">
        <f>VLOOKUP(Table3[[#This Row],[Country Code]],Table29[],7,FALSE)</f>
        <v>no</v>
      </c>
      <c r="AA293" s="233" t="str">
        <f>VLOOKUP(Table3[[#This Row],[Country Code]],Table29[],8,FALSE)</f>
        <v>non-OECD</v>
      </c>
      <c r="AB293" s="233" t="str">
        <f>VLOOKUP(Table3[[#This Row],[Country Code]],Table29[],9,FALSE)</f>
        <v>no</v>
      </c>
      <c r="AC293" s="233" t="str">
        <f>VLOOKUP(Table3[[#This Row],[Country Code]],Table29[],10,FALSE)</f>
        <v>no</v>
      </c>
      <c r="AD293" s="235">
        <f>VLOOKUP(Table3[[#This Row],[Country Code]],Table29[],23,FALSE)</f>
        <v>48.265926450338</v>
      </c>
      <c r="AE293" s="235">
        <f>VLOOKUP(Table3[[#This Row],[Country Code]],Table29[],24,FALSE)</f>
        <v>9.2203647608909662</v>
      </c>
      <c r="AF293" s="43"/>
    </row>
    <row r="294" spans="1:32" ht="45" x14ac:dyDescent="0.25">
      <c r="A294" s="360">
        <v>26795</v>
      </c>
      <c r="B294" s="233" t="str">
        <f>VLOOKUP(Table3[[#This Row],[Document ID]],Table1[],2,FALSE)</f>
        <v>GHA</v>
      </c>
      <c r="C294" s="233" t="str">
        <f>VLOOKUP(Table3[[#This Row],[Document ID]],Table1[],3,FALSE)</f>
        <v>Ghana</v>
      </c>
      <c r="D294" s="233" t="str">
        <f>VLOOKUP(Table3[[#This Row],[Document ID]],Table1[],5,FALSE)</f>
        <v>NDC</v>
      </c>
      <c r="E294" s="233" t="str">
        <f>VLOOKUP(Table3[[#This Row],[Document ID]],Table1[],7,FALSE)</f>
        <v>First NDC updated</v>
      </c>
      <c r="F294" s="233" t="str">
        <f>VLOOKUP(Table3[[#This Row],[Document ID]],Table1[],8,FALSE)</f>
        <v>NDC 1.2</v>
      </c>
      <c r="G294" s="233" t="str">
        <f>VLOOKUP(Table3[[#This Row],[Document ID]],Table1[],10,FALSE)</f>
        <v>Active</v>
      </c>
      <c r="H294" s="216" t="s">
        <v>1089</v>
      </c>
      <c r="I294" s="216" t="s">
        <v>1089</v>
      </c>
      <c r="J294" s="43" t="s">
        <v>1090</v>
      </c>
      <c r="K294" s="28" t="s">
        <v>1153</v>
      </c>
      <c r="L294" s="42" t="s">
        <v>1099</v>
      </c>
      <c r="M294" s="209">
        <v>2030</v>
      </c>
      <c r="N294" s="209" t="s">
        <v>1414</v>
      </c>
      <c r="O294" s="257">
        <v>9</v>
      </c>
      <c r="P294" s="238" t="str">
        <f>VLOOKUP(_xlfn.CONCAT(Table3[[#This Row],[Target area]],Table3[[#This Row],[GHG target?]],Table3[[#This Row],[Conditionality]]),'Drop down'!$E$81:$F$101,2,FALSE)</f>
        <v>T_Economy_Unc</v>
      </c>
      <c r="Q294" s="239" t="str">
        <f>VLOOKUP(Table3[[#This Row],[Target type]],Table418[[Value name]:[Value idenifyer]],2,FALSE)</f>
        <v>T_BYE</v>
      </c>
      <c r="T294" s="234" t="s">
        <v>1113</v>
      </c>
      <c r="U294" s="240"/>
      <c r="V294" s="233" t="str">
        <f>VLOOKUP(Table3[[#This Row],[Country Code]],Table29[],3,FALSE)</f>
        <v>Non-Annex I</v>
      </c>
      <c r="W294" s="233" t="str">
        <f>VLOOKUP(Table3[[#This Row],[Country Code]],Table29[],4,FALSE)</f>
        <v>Africa</v>
      </c>
      <c r="X294" s="233" t="str">
        <f>VLOOKUP(Table3[[#This Row],[Country Code]],Table29[],5,FALSE)</f>
        <v>Middle-income</v>
      </c>
      <c r="Y294" s="233" t="str">
        <f>VLOOKUP(Table3[[#This Row],[Country Code]],Table29[],6,FALSE)</f>
        <v>no</v>
      </c>
      <c r="Z294" s="233" t="str">
        <f>VLOOKUP(Table3[[#This Row],[Country Code]],Table29[],7,FALSE)</f>
        <v>no</v>
      </c>
      <c r="AA294" s="233" t="str">
        <f>VLOOKUP(Table3[[#This Row],[Country Code]],Table29[],8,FALSE)</f>
        <v>non-OECD</v>
      </c>
      <c r="AB294" s="233" t="str">
        <f>VLOOKUP(Table3[[#This Row],[Country Code]],Table29[],9,FALSE)</f>
        <v>no</v>
      </c>
      <c r="AC294" s="233" t="str">
        <f>VLOOKUP(Table3[[#This Row],[Country Code]],Table29[],10,FALSE)</f>
        <v>no</v>
      </c>
      <c r="AD294" s="235">
        <f>VLOOKUP(Table3[[#This Row],[Country Code]],Table29[],23,FALSE)</f>
        <v>48.265926450338</v>
      </c>
      <c r="AE294" s="235">
        <f>VLOOKUP(Table3[[#This Row],[Country Code]],Table29[],24,FALSE)</f>
        <v>9.2203647608909662</v>
      </c>
      <c r="AF294" s="43"/>
    </row>
    <row r="295" spans="1:32" ht="45" x14ac:dyDescent="0.25">
      <c r="A295" s="360">
        <v>26795</v>
      </c>
      <c r="B295" s="233" t="str">
        <f>VLOOKUP(Table3[[#This Row],[Document ID]],Table1[],2,FALSE)</f>
        <v>GHA</v>
      </c>
      <c r="C295" s="233" t="str">
        <f>VLOOKUP(Table3[[#This Row],[Document ID]],Table1[],3,FALSE)</f>
        <v>Ghana</v>
      </c>
      <c r="D295" s="233" t="str">
        <f>VLOOKUP(Table3[[#This Row],[Document ID]],Table1[],5,FALSE)</f>
        <v>NDC</v>
      </c>
      <c r="E295" s="233" t="str">
        <f>VLOOKUP(Table3[[#This Row],[Document ID]],Table1[],7,FALSE)</f>
        <v>First NDC updated</v>
      </c>
      <c r="F295" s="233" t="str">
        <f>VLOOKUP(Table3[[#This Row],[Document ID]],Table1[],8,FALSE)</f>
        <v>NDC 1.2</v>
      </c>
      <c r="G295" s="233" t="str">
        <f>VLOOKUP(Table3[[#This Row],[Document ID]],Table1[],10,FALSE)</f>
        <v>Active</v>
      </c>
      <c r="H295" s="216" t="s">
        <v>1089</v>
      </c>
      <c r="I295" s="216" t="s">
        <v>1089</v>
      </c>
      <c r="J295" s="43" t="s">
        <v>1090</v>
      </c>
      <c r="K295" s="28" t="s">
        <v>1153</v>
      </c>
      <c r="L295" s="216" t="s">
        <v>1092</v>
      </c>
      <c r="M295" s="209">
        <v>2025</v>
      </c>
      <c r="N295" s="18" t="s">
        <v>1415</v>
      </c>
      <c r="O295" s="257">
        <v>9</v>
      </c>
      <c r="P295" s="238" t="str">
        <f>VLOOKUP(_xlfn.CONCAT(Table3[[#This Row],[Target area]],Table3[[#This Row],[GHG target?]],Table3[[#This Row],[Conditionality]]),'Drop down'!$E$81:$F$101,2,FALSE)</f>
        <v>T_Economy_C</v>
      </c>
      <c r="Q295" s="239" t="str">
        <f>VLOOKUP(Table3[[#This Row],[Target type]],Table418[[Value name]:[Value idenifyer]],2,FALSE)</f>
        <v>T_BYE</v>
      </c>
      <c r="T295" s="234" t="s">
        <v>1113</v>
      </c>
      <c r="U295" s="240"/>
      <c r="V295" s="233" t="str">
        <f>VLOOKUP(Table3[[#This Row],[Country Code]],Table29[],3,FALSE)</f>
        <v>Non-Annex I</v>
      </c>
      <c r="W295" s="233" t="str">
        <f>VLOOKUP(Table3[[#This Row],[Country Code]],Table29[],4,FALSE)</f>
        <v>Africa</v>
      </c>
      <c r="X295" s="233" t="str">
        <f>VLOOKUP(Table3[[#This Row],[Country Code]],Table29[],5,FALSE)</f>
        <v>Middle-income</v>
      </c>
      <c r="Y295" s="233" t="str">
        <f>VLOOKUP(Table3[[#This Row],[Country Code]],Table29[],6,FALSE)</f>
        <v>no</v>
      </c>
      <c r="Z295" s="233" t="str">
        <f>VLOOKUP(Table3[[#This Row],[Country Code]],Table29[],7,FALSE)</f>
        <v>no</v>
      </c>
      <c r="AA295" s="233" t="str">
        <f>VLOOKUP(Table3[[#This Row],[Country Code]],Table29[],8,FALSE)</f>
        <v>non-OECD</v>
      </c>
      <c r="AB295" s="233" t="str">
        <f>VLOOKUP(Table3[[#This Row],[Country Code]],Table29[],9,FALSE)</f>
        <v>no</v>
      </c>
      <c r="AC295" s="233" t="str">
        <f>VLOOKUP(Table3[[#This Row],[Country Code]],Table29[],10,FALSE)</f>
        <v>no</v>
      </c>
      <c r="AD295" s="235">
        <f>VLOOKUP(Table3[[#This Row],[Country Code]],Table29[],23,FALSE)</f>
        <v>48.265926450338</v>
      </c>
      <c r="AE295" s="235">
        <f>VLOOKUP(Table3[[#This Row],[Country Code]],Table29[],24,FALSE)</f>
        <v>9.2203647608909662</v>
      </c>
      <c r="AF295" s="43"/>
    </row>
    <row r="296" spans="1:32" ht="45" x14ac:dyDescent="0.25">
      <c r="A296" s="360">
        <v>26795</v>
      </c>
      <c r="B296" s="233" t="str">
        <f>VLOOKUP(Table3[[#This Row],[Document ID]],Table1[],2,FALSE)</f>
        <v>GHA</v>
      </c>
      <c r="C296" s="233" t="str">
        <f>VLOOKUP(Table3[[#This Row],[Document ID]],Table1[],3,FALSE)</f>
        <v>Ghana</v>
      </c>
      <c r="D296" s="233" t="str">
        <f>VLOOKUP(Table3[[#This Row],[Document ID]],Table1[],5,FALSE)</f>
        <v>NDC</v>
      </c>
      <c r="E296" s="233" t="str">
        <f>VLOOKUP(Table3[[#This Row],[Document ID]],Table1[],7,FALSE)</f>
        <v>First NDC updated</v>
      </c>
      <c r="F296" s="233" t="str">
        <f>VLOOKUP(Table3[[#This Row],[Document ID]],Table1[],8,FALSE)</f>
        <v>NDC 1.2</v>
      </c>
      <c r="G296" s="233" t="str">
        <f>VLOOKUP(Table3[[#This Row],[Document ID]],Table1[],10,FALSE)</f>
        <v>Active</v>
      </c>
      <c r="H296" s="216" t="s">
        <v>1089</v>
      </c>
      <c r="I296" s="216" t="s">
        <v>1089</v>
      </c>
      <c r="J296" s="43" t="s">
        <v>1090</v>
      </c>
      <c r="K296" s="28" t="s">
        <v>1153</v>
      </c>
      <c r="L296" s="216" t="s">
        <v>1092</v>
      </c>
      <c r="M296" s="209">
        <v>2030</v>
      </c>
      <c r="N296" s="209" t="s">
        <v>1415</v>
      </c>
      <c r="O296" s="257">
        <v>9</v>
      </c>
      <c r="P296" s="238" t="str">
        <f>VLOOKUP(_xlfn.CONCAT(Table3[[#This Row],[Target area]],Table3[[#This Row],[GHG target?]],Table3[[#This Row],[Conditionality]]),'Drop down'!$E$81:$F$101,2,FALSE)</f>
        <v>T_Economy_C</v>
      </c>
      <c r="Q296" s="239" t="str">
        <f>VLOOKUP(Table3[[#This Row],[Target type]],Table418[[Value name]:[Value idenifyer]],2,FALSE)</f>
        <v>T_BYE</v>
      </c>
      <c r="T296" s="234" t="s">
        <v>1113</v>
      </c>
      <c r="U296" s="240"/>
      <c r="V296" s="233" t="str">
        <f>VLOOKUP(Table3[[#This Row],[Country Code]],Table29[],3,FALSE)</f>
        <v>Non-Annex I</v>
      </c>
      <c r="W296" s="233" t="str">
        <f>VLOOKUP(Table3[[#This Row],[Country Code]],Table29[],4,FALSE)</f>
        <v>Africa</v>
      </c>
      <c r="X296" s="233" t="str">
        <f>VLOOKUP(Table3[[#This Row],[Country Code]],Table29[],5,FALSE)</f>
        <v>Middle-income</v>
      </c>
      <c r="Y296" s="233" t="str">
        <f>VLOOKUP(Table3[[#This Row],[Country Code]],Table29[],6,FALSE)</f>
        <v>no</v>
      </c>
      <c r="Z296" s="233" t="str">
        <f>VLOOKUP(Table3[[#This Row],[Country Code]],Table29[],7,FALSE)</f>
        <v>no</v>
      </c>
      <c r="AA296" s="233" t="str">
        <f>VLOOKUP(Table3[[#This Row],[Country Code]],Table29[],8,FALSE)</f>
        <v>non-OECD</v>
      </c>
      <c r="AB296" s="233" t="str">
        <f>VLOOKUP(Table3[[#This Row],[Country Code]],Table29[],9,FALSE)</f>
        <v>no</v>
      </c>
      <c r="AC296" s="233" t="str">
        <f>VLOOKUP(Table3[[#This Row],[Country Code]],Table29[],10,FALSE)</f>
        <v>no</v>
      </c>
      <c r="AD296" s="235">
        <f>VLOOKUP(Table3[[#This Row],[Country Code]],Table29[],23,FALSE)</f>
        <v>48.265926450338</v>
      </c>
      <c r="AE296" s="235">
        <f>VLOOKUP(Table3[[#This Row],[Country Code]],Table29[],24,FALSE)</f>
        <v>9.2203647608909662</v>
      </c>
      <c r="AF296" s="43"/>
    </row>
    <row r="297" spans="1:32" ht="45" x14ac:dyDescent="0.25">
      <c r="A297" s="360">
        <v>24789</v>
      </c>
      <c r="B297" s="233" t="str">
        <f>VLOOKUP(Table3[[#This Row],[Document ID]],Table1[],2,FALSE)</f>
        <v>GHA</v>
      </c>
      <c r="C297" s="233" t="str">
        <f>VLOOKUP(Table3[[#This Row],[Document ID]],Table1[],3,FALSE)</f>
        <v>Ghana</v>
      </c>
      <c r="D297" s="233" t="str">
        <f>VLOOKUP(Table3[[#This Row],[Document ID]],Table1[],5,FALSE)</f>
        <v>NDC</v>
      </c>
      <c r="E297" s="233" t="str">
        <f>VLOOKUP(Table3[[#This Row],[Document ID]],Table1[],7,FALSE)</f>
        <v>First NDC updated</v>
      </c>
      <c r="F297" s="233" t="str">
        <f>VLOOKUP(Table3[[#This Row],[Document ID]],Table1[],8,FALSE)</f>
        <v>NDC 1.1</v>
      </c>
      <c r="G297" s="233" t="str">
        <f>VLOOKUP(Table3[[#This Row],[Document ID]],Table1[],10,FALSE)</f>
        <v>Archived</v>
      </c>
      <c r="H297" s="216" t="s">
        <v>1089</v>
      </c>
      <c r="I297" s="216" t="s">
        <v>1089</v>
      </c>
      <c r="J297" s="43" t="s">
        <v>1090</v>
      </c>
      <c r="K297" s="28" t="s">
        <v>1091</v>
      </c>
      <c r="L297" s="42" t="s">
        <v>1099</v>
      </c>
      <c r="M297" s="209">
        <v>2025</v>
      </c>
      <c r="N297" s="18" t="s">
        <v>1416</v>
      </c>
      <c r="O297" s="257">
        <v>1</v>
      </c>
      <c r="P297" s="238" t="str">
        <f>VLOOKUP(_xlfn.CONCAT(Table3[[#This Row],[Target area]],Table3[[#This Row],[GHG target?]],Table3[[#This Row],[Conditionality]]),'Drop down'!$E$81:$F$101,2,FALSE)</f>
        <v>T_Economy_Unc</v>
      </c>
      <c r="Q297" s="239" t="str">
        <f>VLOOKUP(Table3[[#This Row],[Target type]],Table418[[Value name]:[Value idenifyer]],2,FALSE)</f>
        <v>T_BAU</v>
      </c>
      <c r="T297" s="234" t="s">
        <v>1113</v>
      </c>
      <c r="U297" s="240"/>
      <c r="V297" s="233" t="str">
        <f>VLOOKUP(Table3[[#This Row],[Country Code]],Table29[],3,FALSE)</f>
        <v>Non-Annex I</v>
      </c>
      <c r="W297" s="233" t="str">
        <f>VLOOKUP(Table3[[#This Row],[Country Code]],Table29[],4,FALSE)</f>
        <v>Africa</v>
      </c>
      <c r="X297" s="233" t="str">
        <f>VLOOKUP(Table3[[#This Row],[Country Code]],Table29[],5,FALSE)</f>
        <v>Middle-income</v>
      </c>
      <c r="Y297" s="233" t="str">
        <f>VLOOKUP(Table3[[#This Row],[Country Code]],Table29[],6,FALSE)</f>
        <v>no</v>
      </c>
      <c r="Z297" s="233" t="str">
        <f>VLOOKUP(Table3[[#This Row],[Country Code]],Table29[],7,FALSE)</f>
        <v>no</v>
      </c>
      <c r="AA297" s="233" t="str">
        <f>VLOOKUP(Table3[[#This Row],[Country Code]],Table29[],8,FALSE)</f>
        <v>non-OECD</v>
      </c>
      <c r="AB297" s="233" t="str">
        <f>VLOOKUP(Table3[[#This Row],[Country Code]],Table29[],9,FALSE)</f>
        <v>no</v>
      </c>
      <c r="AC297" s="233" t="str">
        <f>VLOOKUP(Table3[[#This Row],[Country Code]],Table29[],10,FALSE)</f>
        <v>no</v>
      </c>
      <c r="AD297" s="235">
        <f>VLOOKUP(Table3[[#This Row],[Country Code]],Table29[],23,FALSE)</f>
        <v>48.265926450338</v>
      </c>
      <c r="AE297" s="235">
        <f>VLOOKUP(Table3[[#This Row],[Country Code]],Table29[],24,FALSE)</f>
        <v>9.2203647608909662</v>
      </c>
      <c r="AF297" s="43"/>
    </row>
    <row r="298" spans="1:32" ht="45" x14ac:dyDescent="0.25">
      <c r="A298" s="360">
        <v>24789</v>
      </c>
      <c r="B298" s="233" t="str">
        <f>VLOOKUP(Table3[[#This Row],[Document ID]],Table1[],2,FALSE)</f>
        <v>GHA</v>
      </c>
      <c r="C298" s="233" t="str">
        <f>VLOOKUP(Table3[[#This Row],[Document ID]],Table1[],3,FALSE)</f>
        <v>Ghana</v>
      </c>
      <c r="D298" s="233" t="str">
        <f>VLOOKUP(Table3[[#This Row],[Document ID]],Table1[],5,FALSE)</f>
        <v>NDC</v>
      </c>
      <c r="E298" s="233" t="str">
        <f>VLOOKUP(Table3[[#This Row],[Document ID]],Table1[],7,FALSE)</f>
        <v>First NDC updated</v>
      </c>
      <c r="F298" s="233" t="str">
        <f>VLOOKUP(Table3[[#This Row],[Document ID]],Table1[],8,FALSE)</f>
        <v>NDC 1.1</v>
      </c>
      <c r="G298" s="233" t="str">
        <f>VLOOKUP(Table3[[#This Row],[Document ID]],Table1[],10,FALSE)</f>
        <v>Archived</v>
      </c>
      <c r="H298" s="216" t="s">
        <v>1089</v>
      </c>
      <c r="I298" s="216" t="s">
        <v>1089</v>
      </c>
      <c r="J298" s="43" t="s">
        <v>1090</v>
      </c>
      <c r="K298" s="28" t="s">
        <v>1091</v>
      </c>
      <c r="L298" s="42" t="s">
        <v>1099</v>
      </c>
      <c r="M298" s="209">
        <v>2030</v>
      </c>
      <c r="N298" s="209" t="s">
        <v>1417</v>
      </c>
      <c r="O298" s="257">
        <v>1</v>
      </c>
      <c r="P298" s="238" t="str">
        <f>VLOOKUP(_xlfn.CONCAT(Table3[[#This Row],[Target area]],Table3[[#This Row],[GHG target?]],Table3[[#This Row],[Conditionality]]),'Drop down'!$E$81:$F$101,2,FALSE)</f>
        <v>T_Economy_Unc</v>
      </c>
      <c r="Q298" s="239" t="str">
        <f>VLOOKUP(Table3[[#This Row],[Target type]],Table418[[Value name]:[Value idenifyer]],2,FALSE)</f>
        <v>T_BAU</v>
      </c>
      <c r="T298" s="234" t="s">
        <v>1113</v>
      </c>
      <c r="U298" s="240"/>
      <c r="V298" s="233" t="str">
        <f>VLOOKUP(Table3[[#This Row],[Country Code]],Table29[],3,FALSE)</f>
        <v>Non-Annex I</v>
      </c>
      <c r="W298" s="233" t="str">
        <f>VLOOKUP(Table3[[#This Row],[Country Code]],Table29[],4,FALSE)</f>
        <v>Africa</v>
      </c>
      <c r="X298" s="233" t="str">
        <f>VLOOKUP(Table3[[#This Row],[Country Code]],Table29[],5,FALSE)</f>
        <v>Middle-income</v>
      </c>
      <c r="Y298" s="233" t="str">
        <f>VLOOKUP(Table3[[#This Row],[Country Code]],Table29[],6,FALSE)</f>
        <v>no</v>
      </c>
      <c r="Z298" s="233" t="str">
        <f>VLOOKUP(Table3[[#This Row],[Country Code]],Table29[],7,FALSE)</f>
        <v>no</v>
      </c>
      <c r="AA298" s="233" t="str">
        <f>VLOOKUP(Table3[[#This Row],[Country Code]],Table29[],8,FALSE)</f>
        <v>non-OECD</v>
      </c>
      <c r="AB298" s="233" t="str">
        <f>VLOOKUP(Table3[[#This Row],[Country Code]],Table29[],9,FALSE)</f>
        <v>no</v>
      </c>
      <c r="AC298" s="233" t="str">
        <f>VLOOKUP(Table3[[#This Row],[Country Code]],Table29[],10,FALSE)</f>
        <v>no</v>
      </c>
      <c r="AD298" s="235">
        <f>VLOOKUP(Table3[[#This Row],[Country Code]],Table29[],23,FALSE)</f>
        <v>48.265926450338</v>
      </c>
      <c r="AE298" s="235">
        <f>VLOOKUP(Table3[[#This Row],[Country Code]],Table29[],24,FALSE)</f>
        <v>9.2203647608909662</v>
      </c>
      <c r="AF298" s="43"/>
    </row>
    <row r="299" spans="1:32" ht="45" x14ac:dyDescent="0.25">
      <c r="A299" s="360">
        <v>24789</v>
      </c>
      <c r="B299" s="233" t="str">
        <f>VLOOKUP(Table3[[#This Row],[Document ID]],Table1[],2,FALSE)</f>
        <v>GHA</v>
      </c>
      <c r="C299" s="233" t="str">
        <f>VLOOKUP(Table3[[#This Row],[Document ID]],Table1[],3,FALSE)</f>
        <v>Ghana</v>
      </c>
      <c r="D299" s="233" t="str">
        <f>VLOOKUP(Table3[[#This Row],[Document ID]],Table1[],5,FALSE)</f>
        <v>NDC</v>
      </c>
      <c r="E299" s="233" t="str">
        <f>VLOOKUP(Table3[[#This Row],[Document ID]],Table1[],7,FALSE)</f>
        <v>First NDC updated</v>
      </c>
      <c r="F299" s="233" t="str">
        <f>VLOOKUP(Table3[[#This Row],[Document ID]],Table1[],8,FALSE)</f>
        <v>NDC 1.1</v>
      </c>
      <c r="G299" s="233" t="str">
        <f>VLOOKUP(Table3[[#This Row],[Document ID]],Table1[],10,FALSE)</f>
        <v>Archived</v>
      </c>
      <c r="H299" s="216" t="s">
        <v>1089</v>
      </c>
      <c r="I299" s="216" t="s">
        <v>1089</v>
      </c>
      <c r="J299" s="43" t="s">
        <v>1090</v>
      </c>
      <c r="K299" s="28" t="s">
        <v>1091</v>
      </c>
      <c r="L299" s="216" t="s">
        <v>1092</v>
      </c>
      <c r="M299" s="209">
        <v>2025</v>
      </c>
      <c r="N299" s="18" t="s">
        <v>1418</v>
      </c>
      <c r="O299" s="257" t="s">
        <v>1419</v>
      </c>
      <c r="P299" s="238" t="str">
        <f>VLOOKUP(_xlfn.CONCAT(Table3[[#This Row],[Target area]],Table3[[#This Row],[GHG target?]],Table3[[#This Row],[Conditionality]]),'Drop down'!$E$81:$F$101,2,FALSE)</f>
        <v>T_Economy_C</v>
      </c>
      <c r="Q299" s="239" t="str">
        <f>VLOOKUP(Table3[[#This Row],[Target type]],Table418[[Value name]:[Value idenifyer]],2,FALSE)</f>
        <v>T_BAU</v>
      </c>
      <c r="T299" s="234" t="s">
        <v>1113</v>
      </c>
      <c r="U299" s="240"/>
      <c r="V299" s="233" t="str">
        <f>VLOOKUP(Table3[[#This Row],[Country Code]],Table29[],3,FALSE)</f>
        <v>Non-Annex I</v>
      </c>
      <c r="W299" s="233" t="str">
        <f>VLOOKUP(Table3[[#This Row],[Country Code]],Table29[],4,FALSE)</f>
        <v>Africa</v>
      </c>
      <c r="X299" s="233" t="str">
        <f>VLOOKUP(Table3[[#This Row],[Country Code]],Table29[],5,FALSE)</f>
        <v>Middle-income</v>
      </c>
      <c r="Y299" s="233" t="str">
        <f>VLOOKUP(Table3[[#This Row],[Country Code]],Table29[],6,FALSE)</f>
        <v>no</v>
      </c>
      <c r="Z299" s="233" t="str">
        <f>VLOOKUP(Table3[[#This Row],[Country Code]],Table29[],7,FALSE)</f>
        <v>no</v>
      </c>
      <c r="AA299" s="233" t="str">
        <f>VLOOKUP(Table3[[#This Row],[Country Code]],Table29[],8,FALSE)</f>
        <v>non-OECD</v>
      </c>
      <c r="AB299" s="233" t="str">
        <f>VLOOKUP(Table3[[#This Row],[Country Code]],Table29[],9,FALSE)</f>
        <v>no</v>
      </c>
      <c r="AC299" s="233" t="str">
        <f>VLOOKUP(Table3[[#This Row],[Country Code]],Table29[],10,FALSE)</f>
        <v>no</v>
      </c>
      <c r="AD299" s="235">
        <f>VLOOKUP(Table3[[#This Row],[Country Code]],Table29[],23,FALSE)</f>
        <v>48.265926450338</v>
      </c>
      <c r="AE299" s="235">
        <f>VLOOKUP(Table3[[#This Row],[Country Code]],Table29[],24,FALSE)</f>
        <v>9.2203647608909662</v>
      </c>
      <c r="AF299" s="43"/>
    </row>
    <row r="300" spans="1:32" ht="45" x14ac:dyDescent="0.25">
      <c r="A300" s="360">
        <v>24789</v>
      </c>
      <c r="B300" s="233" t="str">
        <f>VLOOKUP(Table3[[#This Row],[Document ID]],Table1[],2,FALSE)</f>
        <v>GHA</v>
      </c>
      <c r="C300" s="233" t="str">
        <f>VLOOKUP(Table3[[#This Row],[Document ID]],Table1[],3,FALSE)</f>
        <v>Ghana</v>
      </c>
      <c r="D300" s="233" t="str">
        <f>VLOOKUP(Table3[[#This Row],[Document ID]],Table1[],5,FALSE)</f>
        <v>NDC</v>
      </c>
      <c r="E300" s="233" t="str">
        <f>VLOOKUP(Table3[[#This Row],[Document ID]],Table1[],7,FALSE)</f>
        <v>First NDC updated</v>
      </c>
      <c r="F300" s="233" t="str">
        <f>VLOOKUP(Table3[[#This Row],[Document ID]],Table1[],8,FALSE)</f>
        <v>NDC 1.1</v>
      </c>
      <c r="G300" s="233" t="str">
        <f>VLOOKUP(Table3[[#This Row],[Document ID]],Table1[],10,FALSE)</f>
        <v>Archived</v>
      </c>
      <c r="H300" s="216" t="s">
        <v>1089</v>
      </c>
      <c r="I300" s="216" t="s">
        <v>1089</v>
      </c>
      <c r="J300" s="43" t="s">
        <v>1090</v>
      </c>
      <c r="K300" s="28" t="s">
        <v>1091</v>
      </c>
      <c r="L300" s="216" t="s">
        <v>1092</v>
      </c>
      <c r="M300" s="209">
        <v>2030</v>
      </c>
      <c r="N300" s="209" t="s">
        <v>1418</v>
      </c>
      <c r="O300" s="257">
        <v>2</v>
      </c>
      <c r="P300" s="238" t="str">
        <f>VLOOKUP(_xlfn.CONCAT(Table3[[#This Row],[Target area]],Table3[[#This Row],[GHG target?]],Table3[[#This Row],[Conditionality]]),'Drop down'!$E$81:$F$101,2,FALSE)</f>
        <v>T_Economy_C</v>
      </c>
      <c r="Q300" s="239" t="str">
        <f>VLOOKUP(Table3[[#This Row],[Target type]],Table418[[Value name]:[Value idenifyer]],2,FALSE)</f>
        <v>T_BAU</v>
      </c>
      <c r="T300" s="234" t="s">
        <v>1113</v>
      </c>
      <c r="U300" s="240"/>
      <c r="V300" s="233" t="str">
        <f>VLOOKUP(Table3[[#This Row],[Country Code]],Table29[],3,FALSE)</f>
        <v>Non-Annex I</v>
      </c>
      <c r="W300" s="233" t="str">
        <f>VLOOKUP(Table3[[#This Row],[Country Code]],Table29[],4,FALSE)</f>
        <v>Africa</v>
      </c>
      <c r="X300" s="233" t="str">
        <f>VLOOKUP(Table3[[#This Row],[Country Code]],Table29[],5,FALSE)</f>
        <v>Middle-income</v>
      </c>
      <c r="Y300" s="233" t="str">
        <f>VLOOKUP(Table3[[#This Row],[Country Code]],Table29[],6,FALSE)</f>
        <v>no</v>
      </c>
      <c r="Z300" s="233" t="str">
        <f>VLOOKUP(Table3[[#This Row],[Country Code]],Table29[],7,FALSE)</f>
        <v>no</v>
      </c>
      <c r="AA300" s="233" t="str">
        <f>VLOOKUP(Table3[[#This Row],[Country Code]],Table29[],8,FALSE)</f>
        <v>non-OECD</v>
      </c>
      <c r="AB300" s="233" t="str">
        <f>VLOOKUP(Table3[[#This Row],[Country Code]],Table29[],9,FALSE)</f>
        <v>no</v>
      </c>
      <c r="AC300" s="233" t="str">
        <f>VLOOKUP(Table3[[#This Row],[Country Code]],Table29[],10,FALSE)</f>
        <v>no</v>
      </c>
      <c r="AD300" s="235">
        <f>VLOOKUP(Table3[[#This Row],[Country Code]],Table29[],23,FALSE)</f>
        <v>48.265926450338</v>
      </c>
      <c r="AE300" s="235">
        <f>VLOOKUP(Table3[[#This Row],[Country Code]],Table29[],24,FALSE)</f>
        <v>9.2203647608909662</v>
      </c>
      <c r="AF300" s="43"/>
    </row>
    <row r="301" spans="1:32" x14ac:dyDescent="0.25">
      <c r="A301" s="360">
        <v>17604</v>
      </c>
      <c r="B301" s="233" t="str">
        <f>VLOOKUP(Table3[[#This Row],[Document ID]],Table1[],2,FALSE)</f>
        <v>GHA</v>
      </c>
      <c r="C301" s="233" t="str">
        <f>VLOOKUP(Table3[[#This Row],[Document ID]],Table1[],3,FALSE)</f>
        <v>Ghana</v>
      </c>
      <c r="D301" s="233" t="str">
        <f>VLOOKUP(Table3[[#This Row],[Document ID]],Table1[],5,FALSE)</f>
        <v>NDC</v>
      </c>
      <c r="E301" s="233" t="str">
        <f>VLOOKUP(Table3[[#This Row],[Document ID]],Table1[],7,FALSE)</f>
        <v>First NDC</v>
      </c>
      <c r="F301" s="233" t="str">
        <f>VLOOKUP(Table3[[#This Row],[Document ID]],Table1[],8,FALSE)</f>
        <v>NDC 1.0</v>
      </c>
      <c r="G301" s="233" t="str">
        <f>VLOOKUP(Table3[[#This Row],[Document ID]],Table1[],10,FALSE)</f>
        <v>Archived</v>
      </c>
      <c r="H301" s="216" t="s">
        <v>1089</v>
      </c>
      <c r="I301" s="216" t="s">
        <v>1089</v>
      </c>
      <c r="J301" s="43" t="s">
        <v>1090</v>
      </c>
      <c r="K301" s="28" t="s">
        <v>1091</v>
      </c>
      <c r="L301" s="42" t="s">
        <v>1099</v>
      </c>
      <c r="M301" s="209">
        <v>2030</v>
      </c>
      <c r="N301" s="176" t="s">
        <v>1420</v>
      </c>
      <c r="O301" s="258" t="s">
        <v>1094</v>
      </c>
      <c r="P301" s="238" t="str">
        <f>VLOOKUP(_xlfn.CONCAT(Table3[[#This Row],[Target area]],Table3[[#This Row],[GHG target?]],Table3[[#This Row],[Conditionality]]),'Drop down'!$E$81:$F$101,2,FALSE)</f>
        <v>T_Economy_Unc</v>
      </c>
      <c r="Q301" s="239" t="str">
        <f>VLOOKUP(Table3[[#This Row],[Target type]],Table418[[Value name]:[Value idenifyer]],2,FALSE)</f>
        <v>T_BAU</v>
      </c>
      <c r="T301" s="234" t="s">
        <v>1113</v>
      </c>
      <c r="U301" s="240"/>
      <c r="V301" s="233" t="str">
        <f>VLOOKUP(Table3[[#This Row],[Country Code]],Table29[],3,FALSE)</f>
        <v>Non-Annex I</v>
      </c>
      <c r="W301" s="233" t="str">
        <f>VLOOKUP(Table3[[#This Row],[Country Code]],Table29[],4,FALSE)</f>
        <v>Africa</v>
      </c>
      <c r="X301" s="233" t="str">
        <f>VLOOKUP(Table3[[#This Row],[Country Code]],Table29[],5,FALSE)</f>
        <v>Middle-income</v>
      </c>
      <c r="Y301" s="233" t="str">
        <f>VLOOKUP(Table3[[#This Row],[Country Code]],Table29[],6,FALSE)</f>
        <v>no</v>
      </c>
      <c r="Z301" s="233" t="str">
        <f>VLOOKUP(Table3[[#This Row],[Country Code]],Table29[],7,FALSE)</f>
        <v>no</v>
      </c>
      <c r="AA301" s="233" t="str">
        <f>VLOOKUP(Table3[[#This Row],[Country Code]],Table29[],8,FALSE)</f>
        <v>non-OECD</v>
      </c>
      <c r="AB301" s="233" t="str">
        <f>VLOOKUP(Table3[[#This Row],[Country Code]],Table29[],9,FALSE)</f>
        <v>no</v>
      </c>
      <c r="AC301" s="233" t="str">
        <f>VLOOKUP(Table3[[#This Row],[Country Code]],Table29[],10,FALSE)</f>
        <v>no</v>
      </c>
      <c r="AD301" s="235">
        <f>VLOOKUP(Table3[[#This Row],[Country Code]],Table29[],23,FALSE)</f>
        <v>48.265926450338</v>
      </c>
      <c r="AE301" s="235">
        <f>VLOOKUP(Table3[[#This Row],[Country Code]],Table29[],24,FALSE)</f>
        <v>9.2203647608909662</v>
      </c>
      <c r="AF301" s="43"/>
    </row>
    <row r="302" spans="1:32" x14ac:dyDescent="0.25">
      <c r="A302" s="360">
        <v>17604</v>
      </c>
      <c r="B302" s="233" t="str">
        <f>VLOOKUP(Table3[[#This Row],[Document ID]],Table1[],2,FALSE)</f>
        <v>GHA</v>
      </c>
      <c r="C302" s="233" t="str">
        <f>VLOOKUP(Table3[[#This Row],[Document ID]],Table1[],3,FALSE)</f>
        <v>Ghana</v>
      </c>
      <c r="D302" s="233" t="str">
        <f>VLOOKUP(Table3[[#This Row],[Document ID]],Table1[],5,FALSE)</f>
        <v>NDC</v>
      </c>
      <c r="E302" s="233" t="str">
        <f>VLOOKUP(Table3[[#This Row],[Document ID]],Table1[],7,FALSE)</f>
        <v>First NDC</v>
      </c>
      <c r="F302" s="233" t="str">
        <f>VLOOKUP(Table3[[#This Row],[Document ID]],Table1[],8,FALSE)</f>
        <v>NDC 1.0</v>
      </c>
      <c r="G302" s="233" t="str">
        <f>VLOOKUP(Table3[[#This Row],[Document ID]],Table1[],10,FALSE)</f>
        <v>Archived</v>
      </c>
      <c r="H302" s="216" t="s">
        <v>1089</v>
      </c>
      <c r="I302" s="216" t="s">
        <v>1089</v>
      </c>
      <c r="J302" s="43" t="s">
        <v>1090</v>
      </c>
      <c r="K302" s="28" t="s">
        <v>1091</v>
      </c>
      <c r="L302" s="216" t="s">
        <v>1092</v>
      </c>
      <c r="M302" s="209">
        <v>2030</v>
      </c>
      <c r="N302" s="176" t="s">
        <v>1421</v>
      </c>
      <c r="O302" s="258" t="s">
        <v>1094</v>
      </c>
      <c r="P302" s="238" t="str">
        <f>VLOOKUP(_xlfn.CONCAT(Table3[[#This Row],[Target area]],Table3[[#This Row],[GHG target?]],Table3[[#This Row],[Conditionality]]),'Drop down'!$E$81:$F$101,2,FALSE)</f>
        <v>T_Economy_C</v>
      </c>
      <c r="Q302" s="239" t="str">
        <f>VLOOKUP(Table3[[#This Row],[Target type]],Table418[[Value name]:[Value idenifyer]],2,FALSE)</f>
        <v>T_BAU</v>
      </c>
      <c r="T302" s="234" t="s">
        <v>1113</v>
      </c>
      <c r="U302" s="240"/>
      <c r="V302" s="233" t="str">
        <f>VLOOKUP(Table3[[#This Row],[Country Code]],Table29[],3,FALSE)</f>
        <v>Non-Annex I</v>
      </c>
      <c r="W302" s="233" t="str">
        <f>VLOOKUP(Table3[[#This Row],[Country Code]],Table29[],4,FALSE)</f>
        <v>Africa</v>
      </c>
      <c r="X302" s="233" t="str">
        <f>VLOOKUP(Table3[[#This Row],[Country Code]],Table29[],5,FALSE)</f>
        <v>Middle-income</v>
      </c>
      <c r="Y302" s="233" t="str">
        <f>VLOOKUP(Table3[[#This Row],[Country Code]],Table29[],6,FALSE)</f>
        <v>no</v>
      </c>
      <c r="Z302" s="233" t="str">
        <f>VLOOKUP(Table3[[#This Row],[Country Code]],Table29[],7,FALSE)</f>
        <v>no</v>
      </c>
      <c r="AA302" s="233" t="str">
        <f>VLOOKUP(Table3[[#This Row],[Country Code]],Table29[],8,FALSE)</f>
        <v>non-OECD</v>
      </c>
      <c r="AB302" s="233" t="str">
        <f>VLOOKUP(Table3[[#This Row],[Country Code]],Table29[],9,FALSE)</f>
        <v>no</v>
      </c>
      <c r="AC302" s="233" t="str">
        <f>VLOOKUP(Table3[[#This Row],[Country Code]],Table29[],10,FALSE)</f>
        <v>no</v>
      </c>
      <c r="AD302" s="235">
        <f>VLOOKUP(Table3[[#This Row],[Country Code]],Table29[],23,FALSE)</f>
        <v>48.265926450338</v>
      </c>
      <c r="AE302" s="235">
        <f>VLOOKUP(Table3[[#This Row],[Country Code]],Table29[],24,FALSE)</f>
        <v>9.2203647608909662</v>
      </c>
      <c r="AF302" s="43"/>
    </row>
    <row r="303" spans="1:32" x14ac:dyDescent="0.25">
      <c r="A303" s="360">
        <v>17607</v>
      </c>
      <c r="B303" s="233" t="str">
        <f>VLOOKUP(Table3[[#This Row],[Document ID]],Table1[],2,FALSE)</f>
        <v>GRD</v>
      </c>
      <c r="C303" s="233" t="str">
        <f>VLOOKUP(Table3[[#This Row],[Document ID]],Table1[],3,FALSE)</f>
        <v>Grenada</v>
      </c>
      <c r="D303" s="233" t="str">
        <f>VLOOKUP(Table3[[#This Row],[Document ID]],Table1[],5,FALSE)</f>
        <v>NDC</v>
      </c>
      <c r="E303" s="233" t="str">
        <f>VLOOKUP(Table3[[#This Row],[Document ID]],Table1[],7,FALSE)</f>
        <v>Second NDC</v>
      </c>
      <c r="F303" s="233" t="str">
        <f>VLOOKUP(Table3[[#This Row],[Document ID]],Table1[],8,FALSE)</f>
        <v>NDC 2.0</v>
      </c>
      <c r="G303" s="233" t="str">
        <f>VLOOKUP(Table3[[#This Row],[Document ID]],Table1[],10,FALSE)</f>
        <v>Active</v>
      </c>
      <c r="H303" s="216" t="s">
        <v>1089</v>
      </c>
      <c r="I303" s="216" t="s">
        <v>1089</v>
      </c>
      <c r="J303" s="43" t="s">
        <v>1090</v>
      </c>
      <c r="K303" s="28" t="s">
        <v>1153</v>
      </c>
      <c r="L303" s="216" t="s">
        <v>1092</v>
      </c>
      <c r="M303" s="209">
        <v>2030</v>
      </c>
      <c r="N303" s="44" t="s">
        <v>1422</v>
      </c>
      <c r="O303" s="221">
        <v>4</v>
      </c>
      <c r="P303" s="238" t="str">
        <f>VLOOKUP(_xlfn.CONCAT(Table3[[#This Row],[Target area]],Table3[[#This Row],[GHG target?]],Table3[[#This Row],[Conditionality]]),'Drop down'!$E$81:$F$101,2,FALSE)</f>
        <v>T_Economy_C</v>
      </c>
      <c r="Q303" s="239" t="str">
        <f>VLOOKUP(Table3[[#This Row],[Target type]],Table418[[Value name]:[Value idenifyer]],2,FALSE)</f>
        <v>T_BYE</v>
      </c>
      <c r="S303" s="233" t="s">
        <v>1112</v>
      </c>
      <c r="V303" s="233" t="str">
        <f>VLOOKUP(Table3[[#This Row],[Country Code]],Table29[],3,FALSE)</f>
        <v>Non-Annex I</v>
      </c>
      <c r="W303" s="233" t="str">
        <f>VLOOKUP(Table3[[#This Row],[Country Code]],Table29[],4,FALSE)</f>
        <v>Latin America and the Caribbean</v>
      </c>
      <c r="X303" s="233" t="str">
        <f>VLOOKUP(Table3[[#This Row],[Country Code]],Table29[],5,FALSE)</f>
        <v>Middle-income</v>
      </c>
      <c r="Y303" s="233" t="str">
        <f>VLOOKUP(Table3[[#This Row],[Country Code]],Table29[],6,FALSE)</f>
        <v>no</v>
      </c>
      <c r="Z303" s="233" t="str">
        <f>VLOOKUP(Table3[[#This Row],[Country Code]],Table29[],7,FALSE)</f>
        <v>no</v>
      </c>
      <c r="AA303" s="233" t="str">
        <f>VLOOKUP(Table3[[#This Row],[Country Code]],Table29[],8,FALSE)</f>
        <v>non-OECD</v>
      </c>
      <c r="AB303" s="233" t="str">
        <f>VLOOKUP(Table3[[#This Row],[Country Code]],Table29[],9,FALSE)</f>
        <v>no</v>
      </c>
      <c r="AC303" s="233" t="str">
        <f>VLOOKUP(Table3[[#This Row],[Country Code]],Table29[],10,FALSE)</f>
        <v>no</v>
      </c>
      <c r="AD303" s="235">
        <f>VLOOKUP(Table3[[#This Row],[Country Code]],Table29[],23,FALSE)</f>
        <v>0.20040725685748001</v>
      </c>
      <c r="AE303" s="235">
        <f>VLOOKUP(Table3[[#This Row],[Country Code]],Table29[],24,FALSE)</f>
        <v>5.0827063801383333E-2</v>
      </c>
      <c r="AF303" s="43"/>
    </row>
    <row r="304" spans="1:32" ht="45" x14ac:dyDescent="0.25">
      <c r="A304" s="360">
        <v>17560</v>
      </c>
      <c r="B304" s="233" t="str">
        <f>VLOOKUP(Table3[[#This Row],[Document ID]],Table1[],2,FALSE)</f>
        <v>COG</v>
      </c>
      <c r="C304" s="233" t="str">
        <f>VLOOKUP(Table3[[#This Row],[Document ID]],Table1[],3,FALSE)</f>
        <v>Congo</v>
      </c>
      <c r="D304" s="233" t="str">
        <f>VLOOKUP(Table3[[#This Row],[Document ID]],Table1[],5,FALSE)</f>
        <v>NDC</v>
      </c>
      <c r="E304" s="233" t="str">
        <f>VLOOKUP(Table3[[#This Row],[Document ID]],Table1[],7,FALSE)</f>
        <v>First NDC</v>
      </c>
      <c r="F304" s="233" t="str">
        <f>VLOOKUP(Table3[[#This Row],[Document ID]],Table1[],8,FALSE)</f>
        <v>NDC 1.0</v>
      </c>
      <c r="G304" s="233" t="str">
        <f>VLOOKUP(Table3[[#This Row],[Document ID]],Table1[],10,FALSE)</f>
        <v>Archived</v>
      </c>
      <c r="H304" s="42" t="s">
        <v>1095</v>
      </c>
      <c r="I304" s="43" t="s">
        <v>1115</v>
      </c>
      <c r="J304" s="43" t="s">
        <v>1090</v>
      </c>
      <c r="K304" s="28" t="s">
        <v>1091</v>
      </c>
      <c r="L304" s="43" t="s">
        <v>1092</v>
      </c>
      <c r="M304" s="209">
        <v>2025</v>
      </c>
      <c r="N304" s="44" t="s">
        <v>1423</v>
      </c>
      <c r="O304" s="221">
        <v>10</v>
      </c>
      <c r="P304" s="238" t="str">
        <f>VLOOKUP(_xlfn.CONCAT(Table3[[#This Row],[Target area]],Table3[[#This Row],[GHG target?]],Table3[[#This Row],[Conditionality]]),'Drop down'!$E$81:$F$101,2,FALSE)</f>
        <v>T_Transport_C</v>
      </c>
      <c r="Q304" s="239" t="str">
        <f>VLOOKUP(Table3[[#This Row],[Target type]],Table418[[Value name]:[Value idenifyer]],2,FALSE)</f>
        <v>T_BAU</v>
      </c>
      <c r="R304" s="233" t="s">
        <v>539</v>
      </c>
      <c r="S304" s="233" t="s">
        <v>1112</v>
      </c>
      <c r="V304" s="233" t="str">
        <f>VLOOKUP(Table3[[#This Row],[Country Code]],Table29[],3,FALSE)</f>
        <v>Non-Annex I</v>
      </c>
      <c r="W304" s="233" t="str">
        <f>VLOOKUP(Table3[[#This Row],[Country Code]],Table29[],4,FALSE)</f>
        <v>Africa</v>
      </c>
      <c r="X304" s="233" t="str">
        <f>VLOOKUP(Table3[[#This Row],[Country Code]],Table29[],5,FALSE)</f>
        <v>Middle-income</v>
      </c>
      <c r="Y304" s="233" t="str">
        <f>VLOOKUP(Table3[[#This Row],[Country Code]],Table29[],6,FALSE)</f>
        <v>no</v>
      </c>
      <c r="Z304" s="233" t="str">
        <f>VLOOKUP(Table3[[#This Row],[Country Code]],Table29[],7,FALSE)</f>
        <v>no</v>
      </c>
      <c r="AA304" s="233" t="str">
        <f>VLOOKUP(Table3[[#This Row],[Country Code]],Table29[],8,FALSE)</f>
        <v>non-OECD</v>
      </c>
      <c r="AB304" s="233" t="str">
        <f>VLOOKUP(Table3[[#This Row],[Country Code]],Table29[],9,FALSE)</f>
        <v>no</v>
      </c>
      <c r="AC304" s="233" t="str">
        <f>VLOOKUP(Table3[[#This Row],[Country Code]],Table29[],10,FALSE)</f>
        <v>no</v>
      </c>
      <c r="AD304" s="235">
        <f>VLOOKUP(Table3[[#This Row],[Country Code]],Table29[],23,FALSE)</f>
        <v>23.702014388194002</v>
      </c>
      <c r="AE304" s="235">
        <f>VLOOKUP(Table3[[#This Row],[Country Code]],Table29[],24,FALSE)</f>
        <v>1.4878367477049981</v>
      </c>
      <c r="AF304" s="43"/>
    </row>
    <row r="305" spans="1:32" ht="30" x14ac:dyDescent="0.25">
      <c r="A305" s="360">
        <v>26777</v>
      </c>
      <c r="B305" s="233" t="str">
        <f>VLOOKUP(Table3[[#This Row],[Document ID]],Table1[],2,FALSE)</f>
        <v>COL</v>
      </c>
      <c r="C305" s="233" t="str">
        <f>VLOOKUP(Table3[[#This Row],[Document ID]],Table1[],3,FALSE)</f>
        <v>Colombia</v>
      </c>
      <c r="D305" s="233" t="str">
        <f>VLOOKUP(Table3[[#This Row],[Document ID]],Table1[],5,FALSE)</f>
        <v>LTS</v>
      </c>
      <c r="E305" s="233" t="str">
        <f>VLOOKUP(Table3[[#This Row],[Document ID]],Table1[],7,FALSE)</f>
        <v>LTS</v>
      </c>
      <c r="F305" s="233" t="str">
        <f>VLOOKUP(Table3[[#This Row],[Document ID]],Table1[],8,FALSE)</f>
        <v>LTS 1.0</v>
      </c>
      <c r="G305" s="233" t="str">
        <f>VLOOKUP(Table3[[#This Row],[Document ID]],Table1[],10,FALSE)</f>
        <v>Active</v>
      </c>
      <c r="H305" s="42" t="s">
        <v>1095</v>
      </c>
      <c r="I305" s="42" t="s">
        <v>1096</v>
      </c>
      <c r="J305" s="42" t="s">
        <v>1097</v>
      </c>
      <c r="K305" s="28" t="s">
        <v>1098</v>
      </c>
      <c r="L305" s="389" t="s">
        <v>1099</v>
      </c>
      <c r="M305" s="209">
        <v>2050</v>
      </c>
      <c r="N305" s="44" t="s">
        <v>1424</v>
      </c>
      <c r="O305" s="258"/>
      <c r="P305" s="238" t="str">
        <f>VLOOKUP(_xlfn.CONCAT(Table3[[#This Row],[Target area]],Table3[[#This Row],[GHG target?]],Table3[[#This Row],[Conditionality]]),'Drop down'!$E$81:$F$101,2,FALSE)</f>
        <v>T_Transport_O_Unc</v>
      </c>
      <c r="Q305" s="239" t="str">
        <f>VLOOKUP(Table3[[#This Row],[Target type]],Table418[[Value name]:[Value idenifyer]],2,FALSE)</f>
        <v>T_O_MODE</v>
      </c>
      <c r="S305" s="233" t="s">
        <v>1101</v>
      </c>
      <c r="T305" s="234" t="s">
        <v>1113</v>
      </c>
      <c r="U305" s="234" t="s">
        <v>1113</v>
      </c>
      <c r="V305" s="233" t="str">
        <f>VLOOKUP(Table3[[#This Row],[Country Code]],Table29[],3,FALSE)</f>
        <v>Non-Annex I</v>
      </c>
      <c r="W305" s="233" t="str">
        <f>VLOOKUP(Table3[[#This Row],[Country Code]],Table29[],4,FALSE)</f>
        <v>Latin America and the Caribbean</v>
      </c>
      <c r="X305" s="233" t="str">
        <f>VLOOKUP(Table3[[#This Row],[Country Code]],Table29[],5,FALSE)</f>
        <v>Middle-income</v>
      </c>
      <c r="Y305" s="233" t="str">
        <f>VLOOKUP(Table3[[#This Row],[Country Code]],Table29[],6,FALSE)</f>
        <v>no</v>
      </c>
      <c r="Z305" s="233" t="str">
        <f>VLOOKUP(Table3[[#This Row],[Country Code]],Table29[],7,FALSE)</f>
        <v>no</v>
      </c>
      <c r="AA305" s="233" t="str">
        <f>VLOOKUP(Table3[[#This Row],[Country Code]],Table29[],8,FALSE)</f>
        <v>OECD</v>
      </c>
      <c r="AB305" s="233" t="str">
        <f>VLOOKUP(Table3[[#This Row],[Country Code]],Table29[],9,FALSE)</f>
        <v>no</v>
      </c>
      <c r="AC305" s="233" t="str">
        <f>VLOOKUP(Table3[[#This Row],[Country Code]],Table29[],10,FALSE)</f>
        <v>no</v>
      </c>
      <c r="AD305" s="235">
        <f>VLOOKUP(Table3[[#This Row],[Country Code]],Table29[],23,FALSE)</f>
        <v>223.96663405241</v>
      </c>
      <c r="AE305" s="235">
        <f>VLOOKUP(Table3[[#This Row],[Country Code]],Table29[],24,FALSE)</f>
        <v>37.36796885652894</v>
      </c>
      <c r="AF305" s="43"/>
    </row>
    <row r="306" spans="1:32" x14ac:dyDescent="0.25">
      <c r="A306" s="360">
        <v>17606</v>
      </c>
      <c r="B306" s="233" t="str">
        <f>VLOOKUP(Table3[[#This Row],[Document ID]],Table1[],2,FALSE)</f>
        <v>GRD</v>
      </c>
      <c r="C306" s="233" t="str">
        <f>VLOOKUP(Table3[[#This Row],[Document ID]],Table1[],3,FALSE)</f>
        <v>Grenada</v>
      </c>
      <c r="D306" s="233" t="str">
        <f>VLOOKUP(Table3[[#This Row],[Document ID]],Table1[],5,FALSE)</f>
        <v>NDC</v>
      </c>
      <c r="E306" s="233" t="str">
        <f>VLOOKUP(Table3[[#This Row],[Document ID]],Table1[],7,FALSE)</f>
        <v>First NDC</v>
      </c>
      <c r="F306" s="233" t="str">
        <f>VLOOKUP(Table3[[#This Row],[Document ID]],Table1[],8,FALSE)</f>
        <v>NDC 1.0</v>
      </c>
      <c r="G306" s="233" t="str">
        <f>VLOOKUP(Table3[[#This Row],[Document ID]],Table1[],10,FALSE)</f>
        <v>Archived</v>
      </c>
      <c r="H306" s="216" t="s">
        <v>1089</v>
      </c>
      <c r="I306" s="216" t="s">
        <v>1089</v>
      </c>
      <c r="J306" s="43" t="s">
        <v>1090</v>
      </c>
      <c r="K306" s="28" t="s">
        <v>1153</v>
      </c>
      <c r="L306" s="42" t="s">
        <v>1099</v>
      </c>
      <c r="M306" s="209">
        <v>2025</v>
      </c>
      <c r="N306" s="176" t="s">
        <v>1425</v>
      </c>
      <c r="O306" s="258" t="s">
        <v>1094</v>
      </c>
      <c r="P306" s="238" t="str">
        <f>VLOOKUP(_xlfn.CONCAT(Table3[[#This Row],[Target area]],Table3[[#This Row],[GHG target?]],Table3[[#This Row],[Conditionality]]),'Drop down'!$E$81:$F$101,2,FALSE)</f>
        <v>T_Economy_Unc</v>
      </c>
      <c r="Q306" s="239" t="str">
        <f>VLOOKUP(Table3[[#This Row],[Target type]],Table418[[Value name]:[Value idenifyer]],2,FALSE)</f>
        <v>T_BYE</v>
      </c>
      <c r="S306" s="233" t="s">
        <v>1112</v>
      </c>
      <c r="V306" s="233" t="str">
        <f>VLOOKUP(Table3[[#This Row],[Country Code]],Table29[],3,FALSE)</f>
        <v>Non-Annex I</v>
      </c>
      <c r="W306" s="233" t="str">
        <f>VLOOKUP(Table3[[#This Row],[Country Code]],Table29[],4,FALSE)</f>
        <v>Latin America and the Caribbean</v>
      </c>
      <c r="X306" s="233" t="str">
        <f>VLOOKUP(Table3[[#This Row],[Country Code]],Table29[],5,FALSE)</f>
        <v>Middle-income</v>
      </c>
      <c r="Y306" s="233" t="str">
        <f>VLOOKUP(Table3[[#This Row],[Country Code]],Table29[],6,FALSE)</f>
        <v>no</v>
      </c>
      <c r="Z306" s="233" t="str">
        <f>VLOOKUP(Table3[[#This Row],[Country Code]],Table29[],7,FALSE)</f>
        <v>no</v>
      </c>
      <c r="AA306" s="233" t="str">
        <f>VLOOKUP(Table3[[#This Row],[Country Code]],Table29[],8,FALSE)</f>
        <v>non-OECD</v>
      </c>
      <c r="AB306" s="233" t="str">
        <f>VLOOKUP(Table3[[#This Row],[Country Code]],Table29[],9,FALSE)</f>
        <v>no</v>
      </c>
      <c r="AC306" s="233" t="str">
        <f>VLOOKUP(Table3[[#This Row],[Country Code]],Table29[],10,FALSE)</f>
        <v>no</v>
      </c>
      <c r="AD306" s="235">
        <f>VLOOKUP(Table3[[#This Row],[Country Code]],Table29[],23,FALSE)</f>
        <v>0.20040725685748001</v>
      </c>
      <c r="AE306" s="235">
        <f>VLOOKUP(Table3[[#This Row],[Country Code]],Table29[],24,FALSE)</f>
        <v>5.0827063801383333E-2</v>
      </c>
      <c r="AF306" s="43"/>
    </row>
    <row r="307" spans="1:32" ht="30" x14ac:dyDescent="0.25">
      <c r="A307" s="360">
        <v>21097</v>
      </c>
      <c r="B307" s="233" t="str">
        <f>VLOOKUP(Table3[[#This Row],[Document ID]],Table1[],2,FALSE)</f>
        <v>GTM</v>
      </c>
      <c r="C307" s="233" t="str">
        <f>VLOOKUP(Table3[[#This Row],[Document ID]],Table1[],3,FALSE)</f>
        <v>Guatemala</v>
      </c>
      <c r="D307" s="233" t="str">
        <f>VLOOKUP(Table3[[#This Row],[Document ID]],Table1[],5,FALSE)</f>
        <v>LTS</v>
      </c>
      <c r="E307" s="233" t="str">
        <f>VLOOKUP(Table3[[#This Row],[Document ID]],Table1[],7,FALSE)</f>
        <v>LTS</v>
      </c>
      <c r="F307" s="233" t="str">
        <f>VLOOKUP(Table3[[#This Row],[Document ID]],Table1[],8,FALSE)</f>
        <v>LTS 1.0</v>
      </c>
      <c r="G307" s="233" t="str">
        <f>VLOOKUP(Table3[[#This Row],[Document ID]],Table1[],10,FALSE)</f>
        <v>Active</v>
      </c>
      <c r="H307" s="216" t="s">
        <v>1089</v>
      </c>
      <c r="I307" s="216" t="s">
        <v>1089</v>
      </c>
      <c r="J307" s="43" t="s">
        <v>1090</v>
      </c>
      <c r="K307" s="28" t="s">
        <v>1091</v>
      </c>
      <c r="L307" s="42" t="s">
        <v>1099</v>
      </c>
      <c r="M307" s="209">
        <v>2050</v>
      </c>
      <c r="N307" s="44" t="s">
        <v>1426</v>
      </c>
      <c r="O307" s="258"/>
      <c r="P307" s="238" t="str">
        <f>VLOOKUP(_xlfn.CONCAT(Table3[[#This Row],[Target area]],Table3[[#This Row],[GHG target?]],Table3[[#This Row],[Conditionality]]),'Drop down'!$E$81:$F$101,2,FALSE)</f>
        <v>T_Economy_Unc</v>
      </c>
      <c r="Q307" s="239" t="str">
        <f>VLOOKUP(Table3[[#This Row],[Target type]],Table418[[Value name]:[Value idenifyer]],2,FALSE)</f>
        <v>T_BAU</v>
      </c>
      <c r="V307" s="233" t="str">
        <f>VLOOKUP(Table3[[#This Row],[Country Code]],Table29[],3,FALSE)</f>
        <v>Non-Annex I</v>
      </c>
      <c r="W307" s="233" t="str">
        <f>VLOOKUP(Table3[[#This Row],[Country Code]],Table29[],4,FALSE)</f>
        <v>Latin America and the Caribbean</v>
      </c>
      <c r="X307" s="233" t="str">
        <f>VLOOKUP(Table3[[#This Row],[Country Code]],Table29[],5,FALSE)</f>
        <v>Middle-income</v>
      </c>
      <c r="Y307" s="233" t="str">
        <f>VLOOKUP(Table3[[#This Row],[Country Code]],Table29[],6,FALSE)</f>
        <v>no</v>
      </c>
      <c r="Z307" s="233" t="str">
        <f>VLOOKUP(Table3[[#This Row],[Country Code]],Table29[],7,FALSE)</f>
        <v>no</v>
      </c>
      <c r="AA307" s="233" t="str">
        <f>VLOOKUP(Table3[[#This Row],[Country Code]],Table29[],8,FALSE)</f>
        <v>non-OECD</v>
      </c>
      <c r="AB307" s="233" t="str">
        <f>VLOOKUP(Table3[[#This Row],[Country Code]],Table29[],9,FALSE)</f>
        <v>no</v>
      </c>
      <c r="AC307" s="233" t="str">
        <f>VLOOKUP(Table3[[#This Row],[Country Code]],Table29[],10,FALSE)</f>
        <v>no</v>
      </c>
      <c r="AD307" s="235">
        <f>VLOOKUP(Table3[[#This Row],[Country Code]],Table29[],23,FALSE)</f>
        <v>43.981074467992002</v>
      </c>
      <c r="AE307" s="235">
        <f>VLOOKUP(Table3[[#This Row],[Country Code]],Table29[],24,FALSE)</f>
        <v>11.70609674588653</v>
      </c>
      <c r="AF307" s="43"/>
    </row>
    <row r="308" spans="1:32" ht="45" x14ac:dyDescent="0.25">
      <c r="A308" s="360">
        <v>17558</v>
      </c>
      <c r="B308" s="233" t="str">
        <f>VLOOKUP(Table3[[#This Row],[Document ID]],Table1[],2,FALSE)</f>
        <v>COL</v>
      </c>
      <c r="C308" s="233" t="str">
        <f>VLOOKUP(Table3[[#This Row],[Document ID]],Table1[],3,FALSE)</f>
        <v>Colombia</v>
      </c>
      <c r="D308" s="233" t="str">
        <f>VLOOKUP(Table3[[#This Row],[Document ID]],Table1[],5,FALSE)</f>
        <v>NDC</v>
      </c>
      <c r="E308" s="233" t="str">
        <f>VLOOKUP(Table3[[#This Row],[Document ID]],Table1[],7,FALSE)</f>
        <v>First NDC updated</v>
      </c>
      <c r="F308" s="233" t="str">
        <f>VLOOKUP(Table3[[#This Row],[Document ID]],Table1[],8,FALSE)</f>
        <v>NDC 1.1</v>
      </c>
      <c r="G308" s="233" t="str">
        <f>VLOOKUP(Table3[[#This Row],[Document ID]],Table1[],10,FALSE)</f>
        <v>Active</v>
      </c>
      <c r="H308" s="42" t="s">
        <v>1095</v>
      </c>
      <c r="I308" s="42" t="s">
        <v>1096</v>
      </c>
      <c r="J308" s="42" t="s">
        <v>1097</v>
      </c>
      <c r="K308" s="28" t="s">
        <v>1104</v>
      </c>
      <c r="L308" s="42" t="s">
        <v>1099</v>
      </c>
      <c r="M308" s="209">
        <v>2030</v>
      </c>
      <c r="N308" s="44" t="s">
        <v>1427</v>
      </c>
      <c r="O308" s="221" t="s">
        <v>1428</v>
      </c>
      <c r="P308" s="238" t="str">
        <f>VLOOKUP(_xlfn.CONCAT(Table3[[#This Row],[Target area]],Table3[[#This Row],[GHG target?]],Table3[[#This Row],[Conditionality]]),'Drop down'!$E$81:$F$101,2,FALSE)</f>
        <v>T_Transport_O_Unc</v>
      </c>
      <c r="Q308" s="239" t="str">
        <f>VLOOKUP(Table3[[#This Row],[Target type]],Table418[[Value name]:[Value idenifyer]],2,FALSE)</f>
        <v>T_O_ZERO</v>
      </c>
      <c r="S308" s="233" t="s">
        <v>1101</v>
      </c>
      <c r="T308" s="234" t="s">
        <v>1113</v>
      </c>
      <c r="U308" s="234" t="s">
        <v>1113</v>
      </c>
      <c r="V308" s="233" t="str">
        <f>VLOOKUP(Table3[[#This Row],[Country Code]],Table29[],3,FALSE)</f>
        <v>Non-Annex I</v>
      </c>
      <c r="W308" s="233" t="str">
        <f>VLOOKUP(Table3[[#This Row],[Country Code]],Table29[],4,FALSE)</f>
        <v>Latin America and the Caribbean</v>
      </c>
      <c r="X308" s="233" t="str">
        <f>VLOOKUP(Table3[[#This Row],[Country Code]],Table29[],5,FALSE)</f>
        <v>Middle-income</v>
      </c>
      <c r="Y308" s="233" t="str">
        <f>VLOOKUP(Table3[[#This Row],[Country Code]],Table29[],6,FALSE)</f>
        <v>no</v>
      </c>
      <c r="Z308" s="233" t="str">
        <f>VLOOKUP(Table3[[#This Row],[Country Code]],Table29[],7,FALSE)</f>
        <v>no</v>
      </c>
      <c r="AA308" s="233" t="str">
        <f>VLOOKUP(Table3[[#This Row],[Country Code]],Table29[],8,FALSE)</f>
        <v>OECD</v>
      </c>
      <c r="AB308" s="233" t="str">
        <f>VLOOKUP(Table3[[#This Row],[Country Code]],Table29[],9,FALSE)</f>
        <v>no</v>
      </c>
      <c r="AC308" s="233" t="str">
        <f>VLOOKUP(Table3[[#This Row],[Country Code]],Table29[],10,FALSE)</f>
        <v>no</v>
      </c>
      <c r="AD308" s="235">
        <f>VLOOKUP(Table3[[#This Row],[Country Code]],Table29[],23,FALSE)</f>
        <v>223.96663405241</v>
      </c>
      <c r="AE308" s="235">
        <f>VLOOKUP(Table3[[#This Row],[Country Code]],Table29[],24,FALSE)</f>
        <v>37.36796885652894</v>
      </c>
      <c r="AF308" s="43"/>
    </row>
    <row r="309" spans="1:32" ht="30" x14ac:dyDescent="0.25">
      <c r="A309" s="360">
        <v>17546</v>
      </c>
      <c r="B309" s="233" t="str">
        <f>VLOOKUP(Table3[[#This Row],[Document ID]],Table1[],2,FALSE)</f>
        <v>CPV</v>
      </c>
      <c r="C309" s="233" t="str">
        <f>VLOOKUP(Table3[[#This Row],[Document ID]],Table1[],3,FALSE)</f>
        <v>Cabo Verde</v>
      </c>
      <c r="D309" s="233" t="str">
        <f>VLOOKUP(Table3[[#This Row],[Document ID]],Table1[],5,FALSE)</f>
        <v>NDC</v>
      </c>
      <c r="E309" s="233" t="str">
        <f>VLOOKUP(Table3[[#This Row],[Document ID]],Table1[],7,FALSE)</f>
        <v>First NDC updated</v>
      </c>
      <c r="F309" s="233" t="str">
        <f>VLOOKUP(Table3[[#This Row],[Document ID]],Table1[],8,FALSE)</f>
        <v>NDC 1.1</v>
      </c>
      <c r="G309" s="233" t="str">
        <f>VLOOKUP(Table3[[#This Row],[Document ID]],Table1[],10,FALSE)</f>
        <v>Active</v>
      </c>
      <c r="H309" s="42" t="s">
        <v>1095</v>
      </c>
      <c r="I309" s="42" t="s">
        <v>1096</v>
      </c>
      <c r="J309" s="42" t="s">
        <v>1097</v>
      </c>
      <c r="K309" s="28" t="s">
        <v>1104</v>
      </c>
      <c r="L309" s="42" t="s">
        <v>1099</v>
      </c>
      <c r="M309" s="209">
        <v>2030</v>
      </c>
      <c r="N309" s="44" t="s">
        <v>1429</v>
      </c>
      <c r="O309" s="221">
        <v>26</v>
      </c>
      <c r="P309" s="238" t="str">
        <f>VLOOKUP(_xlfn.CONCAT(Table3[[#This Row],[Target area]],Table3[[#This Row],[GHG target?]],Table3[[#This Row],[Conditionality]]),'Drop down'!$E$81:$F$101,2,FALSE)</f>
        <v>T_Transport_O_Unc</v>
      </c>
      <c r="Q309" s="239" t="str">
        <f>VLOOKUP(Table3[[#This Row],[Target type]],Table418[[Value name]:[Value idenifyer]],2,FALSE)</f>
        <v>T_O_ZERO</v>
      </c>
      <c r="S309" s="233" t="s">
        <v>1101</v>
      </c>
      <c r="T309" s="234" t="s">
        <v>1113</v>
      </c>
      <c r="U309" s="234">
        <v>2035</v>
      </c>
      <c r="V309" s="233" t="str">
        <f>VLOOKUP(Table3[[#This Row],[Country Code]],Table29[],3,FALSE)</f>
        <v>Non-Annex I</v>
      </c>
      <c r="W309" s="233" t="str">
        <f>VLOOKUP(Table3[[#This Row],[Country Code]],Table29[],4,FALSE)</f>
        <v>Africa</v>
      </c>
      <c r="X309" s="233" t="str">
        <f>VLOOKUP(Table3[[#This Row],[Country Code]],Table29[],5,FALSE)</f>
        <v>Middle-income</v>
      </c>
      <c r="Y309" s="233" t="str">
        <f>VLOOKUP(Table3[[#This Row],[Country Code]],Table29[],6,FALSE)</f>
        <v>no</v>
      </c>
      <c r="Z309" s="233" t="str">
        <f>VLOOKUP(Table3[[#This Row],[Country Code]],Table29[],7,FALSE)</f>
        <v>no</v>
      </c>
      <c r="AA309" s="233" t="str">
        <f>VLOOKUP(Table3[[#This Row],[Country Code]],Table29[],8,FALSE)</f>
        <v>non-OECD</v>
      </c>
      <c r="AB309" s="233" t="str">
        <f>VLOOKUP(Table3[[#This Row],[Country Code]],Table29[],9,FALSE)</f>
        <v>no</v>
      </c>
      <c r="AC309" s="233" t="str">
        <f>VLOOKUP(Table3[[#This Row],[Country Code]],Table29[],10,FALSE)</f>
        <v>no</v>
      </c>
      <c r="AD309" s="235">
        <f>VLOOKUP(Table3[[#This Row],[Country Code]],Table29[],23,FALSE)</f>
        <v>1.2315183876125</v>
      </c>
      <c r="AE309" s="235">
        <f>VLOOKUP(Table3[[#This Row],[Country Code]],Table29[],24,FALSE)</f>
        <v>0.58681111832995647</v>
      </c>
      <c r="AF309" s="43"/>
    </row>
    <row r="310" spans="1:32" s="41" customFormat="1" x14ac:dyDescent="0.25">
      <c r="A310" s="360">
        <v>26802</v>
      </c>
      <c r="B310" s="233" t="str">
        <f>VLOOKUP(Table3[[#This Row],[Document ID]],Table1[],2,FALSE)</f>
        <v>GTM</v>
      </c>
      <c r="C310" s="233" t="str">
        <f>VLOOKUP(Table3[[#This Row],[Document ID]],Table1[],3,FALSE)</f>
        <v>Guatemala</v>
      </c>
      <c r="D310" s="233" t="str">
        <f>VLOOKUP(Table3[[#This Row],[Document ID]],Table1[],5,FALSE)</f>
        <v>NDC</v>
      </c>
      <c r="E310" s="233" t="str">
        <f>VLOOKUP(Table3[[#This Row],[Document ID]],Table1[],7,FALSE)</f>
        <v>First NDC updated</v>
      </c>
      <c r="F310" s="233" t="str">
        <f>VLOOKUP(Table3[[#This Row],[Document ID]],Table1[],8,FALSE)</f>
        <v>NDC 1.2</v>
      </c>
      <c r="G310" s="233" t="str">
        <f>VLOOKUP(Table3[[#This Row],[Document ID]],Table1[],10,FALSE)</f>
        <v>Active</v>
      </c>
      <c r="H310" s="216" t="s">
        <v>1089</v>
      </c>
      <c r="I310" s="216" t="s">
        <v>1089</v>
      </c>
      <c r="J310" s="43" t="s">
        <v>1090</v>
      </c>
      <c r="K310" s="28" t="s">
        <v>1091</v>
      </c>
      <c r="L310" s="42" t="s">
        <v>1099</v>
      </c>
      <c r="M310" s="209">
        <v>2030</v>
      </c>
      <c r="N310" s="17" t="s">
        <v>1430</v>
      </c>
      <c r="O310" s="258">
        <v>65</v>
      </c>
      <c r="P310" s="238" t="str">
        <f>VLOOKUP(_xlfn.CONCAT(Table3[[#This Row],[Target area]],Table3[[#This Row],[GHG target?]],Table3[[#This Row],[Conditionality]]),'Drop down'!$E$81:$F$101,2,FALSE)</f>
        <v>T_Economy_Unc</v>
      </c>
      <c r="Q310" s="239" t="str">
        <f>VLOOKUP(Table3[[#This Row],[Target type]],Table418[[Value name]:[Value idenifyer]],2,FALSE)</f>
        <v>T_BAU</v>
      </c>
      <c r="R310" s="233"/>
      <c r="S310" s="233" t="s">
        <v>1101</v>
      </c>
      <c r="T310" s="234"/>
      <c r="U310" s="234"/>
      <c r="V310" s="233" t="str">
        <f>VLOOKUP(Table3[[#This Row],[Country Code]],Table29[],3,FALSE)</f>
        <v>Non-Annex I</v>
      </c>
      <c r="W310" s="233" t="str">
        <f>VLOOKUP(Table3[[#This Row],[Country Code]],Table29[],4,FALSE)</f>
        <v>Latin America and the Caribbean</v>
      </c>
      <c r="X310" s="233" t="str">
        <f>VLOOKUP(Table3[[#This Row],[Country Code]],Table29[],5,FALSE)</f>
        <v>Middle-income</v>
      </c>
      <c r="Y310" s="233" t="str">
        <f>VLOOKUP(Table3[[#This Row],[Country Code]],Table29[],6,FALSE)</f>
        <v>no</v>
      </c>
      <c r="Z310" s="233" t="str">
        <f>VLOOKUP(Table3[[#This Row],[Country Code]],Table29[],7,FALSE)</f>
        <v>no</v>
      </c>
      <c r="AA310" s="233" t="str">
        <f>VLOOKUP(Table3[[#This Row],[Country Code]],Table29[],8,FALSE)</f>
        <v>non-OECD</v>
      </c>
      <c r="AB310" s="233" t="str">
        <f>VLOOKUP(Table3[[#This Row],[Country Code]],Table29[],9,FALSE)</f>
        <v>no</v>
      </c>
      <c r="AC310" s="233" t="str">
        <f>VLOOKUP(Table3[[#This Row],[Country Code]],Table29[],10,FALSE)</f>
        <v>no</v>
      </c>
      <c r="AD310" s="235">
        <f>VLOOKUP(Table3[[#This Row],[Country Code]],Table29[],23,FALSE)</f>
        <v>43.981074467992002</v>
      </c>
      <c r="AE310" s="235">
        <f>VLOOKUP(Table3[[#This Row],[Country Code]],Table29[],24,FALSE)</f>
        <v>11.70609674588653</v>
      </c>
      <c r="AF310" s="43"/>
    </row>
    <row r="311" spans="1:32" ht="30" x14ac:dyDescent="0.25">
      <c r="A311" s="360">
        <v>26802</v>
      </c>
      <c r="B311" s="233" t="str">
        <f>VLOOKUP(Table3[[#This Row],[Document ID]],Table1[],2,FALSE)</f>
        <v>GTM</v>
      </c>
      <c r="C311" s="233" t="str">
        <f>VLOOKUP(Table3[[#This Row],[Document ID]],Table1[],3,FALSE)</f>
        <v>Guatemala</v>
      </c>
      <c r="D311" s="233" t="str">
        <f>VLOOKUP(Table3[[#This Row],[Document ID]],Table1[],5,FALSE)</f>
        <v>NDC</v>
      </c>
      <c r="E311" s="233" t="str">
        <f>VLOOKUP(Table3[[#This Row],[Document ID]],Table1[],7,FALSE)</f>
        <v>First NDC updated</v>
      </c>
      <c r="F311" s="233" t="str">
        <f>VLOOKUP(Table3[[#This Row],[Document ID]],Table1[],8,FALSE)</f>
        <v>NDC 1.2</v>
      </c>
      <c r="G311" s="233" t="str">
        <f>VLOOKUP(Table3[[#This Row],[Document ID]],Table1[],10,FALSE)</f>
        <v>Active</v>
      </c>
      <c r="H311" s="216" t="s">
        <v>1089</v>
      </c>
      <c r="I311" s="216" t="s">
        <v>1089</v>
      </c>
      <c r="J311" s="43" t="s">
        <v>1090</v>
      </c>
      <c r="K311" s="28" t="s">
        <v>1091</v>
      </c>
      <c r="L311" s="216" t="s">
        <v>1092</v>
      </c>
      <c r="M311" s="209">
        <v>2030</v>
      </c>
      <c r="N311" s="209" t="s">
        <v>1431</v>
      </c>
      <c r="O311" s="257">
        <v>65</v>
      </c>
      <c r="P311" s="238" t="str">
        <f>VLOOKUP(_xlfn.CONCAT(Table3[[#This Row],[Target area]],Table3[[#This Row],[GHG target?]],Table3[[#This Row],[Conditionality]]),'Drop down'!$E$81:$F$101,2,FALSE)</f>
        <v>T_Economy_C</v>
      </c>
      <c r="Q311" s="239" t="str">
        <f>VLOOKUP(Table3[[#This Row],[Target type]],Table418[[Value name]:[Value idenifyer]],2,FALSE)</f>
        <v>T_BAU</v>
      </c>
      <c r="S311" s="233" t="s">
        <v>1101</v>
      </c>
      <c r="T311" s="240"/>
      <c r="V311" s="233" t="str">
        <f>VLOOKUP(Table3[[#This Row],[Country Code]],Table29[],3,FALSE)</f>
        <v>Non-Annex I</v>
      </c>
      <c r="W311" s="233" t="str">
        <f>VLOOKUP(Table3[[#This Row],[Country Code]],Table29[],4,FALSE)</f>
        <v>Latin America and the Caribbean</v>
      </c>
      <c r="X311" s="233" t="str">
        <f>VLOOKUP(Table3[[#This Row],[Country Code]],Table29[],5,FALSE)</f>
        <v>Middle-income</v>
      </c>
      <c r="Y311" s="233" t="str">
        <f>VLOOKUP(Table3[[#This Row],[Country Code]],Table29[],6,FALSE)</f>
        <v>no</v>
      </c>
      <c r="Z311" s="233" t="str">
        <f>VLOOKUP(Table3[[#This Row],[Country Code]],Table29[],7,FALSE)</f>
        <v>no</v>
      </c>
      <c r="AA311" s="233" t="str">
        <f>VLOOKUP(Table3[[#This Row],[Country Code]],Table29[],8,FALSE)</f>
        <v>non-OECD</v>
      </c>
      <c r="AB311" s="233" t="str">
        <f>VLOOKUP(Table3[[#This Row],[Country Code]],Table29[],9,FALSE)</f>
        <v>no</v>
      </c>
      <c r="AC311" s="233" t="str">
        <f>VLOOKUP(Table3[[#This Row],[Country Code]],Table29[],10,FALSE)</f>
        <v>no</v>
      </c>
      <c r="AD311" s="235">
        <f>VLOOKUP(Table3[[#This Row],[Country Code]],Table29[],23,FALSE)</f>
        <v>43.981074467992002</v>
      </c>
      <c r="AE311" s="235">
        <f>VLOOKUP(Table3[[#This Row],[Country Code]],Table29[],24,FALSE)</f>
        <v>11.70609674588653</v>
      </c>
      <c r="AF311" s="43"/>
    </row>
    <row r="312" spans="1:32" x14ac:dyDescent="0.25">
      <c r="A312" s="360">
        <v>26801</v>
      </c>
      <c r="B312" s="233" t="str">
        <f>VLOOKUP(Table3[[#This Row],[Document ID]],Table1[],2,FALSE)</f>
        <v>GTM</v>
      </c>
      <c r="C312" s="233" t="str">
        <f>VLOOKUP(Table3[[#This Row],[Document ID]],Table1[],3,FALSE)</f>
        <v>Guatemala</v>
      </c>
      <c r="D312" s="233" t="str">
        <f>VLOOKUP(Table3[[#This Row],[Document ID]],Table1[],5,FALSE)</f>
        <v>NDC</v>
      </c>
      <c r="E312" s="233" t="str">
        <f>VLOOKUP(Table3[[#This Row],[Document ID]],Table1[],7,FALSE)</f>
        <v>First NDC updated</v>
      </c>
      <c r="F312" s="233" t="str">
        <f>VLOOKUP(Table3[[#This Row],[Document ID]],Table1[],8,FALSE)</f>
        <v>NDC 1.1</v>
      </c>
      <c r="G312" s="233" t="str">
        <f>VLOOKUP(Table3[[#This Row],[Document ID]],Table1[],10,FALSE)</f>
        <v>Archived</v>
      </c>
      <c r="H312" s="216" t="s">
        <v>1089</v>
      </c>
      <c r="I312" s="216" t="s">
        <v>1089</v>
      </c>
      <c r="J312" s="43" t="s">
        <v>1090</v>
      </c>
      <c r="K312" s="28" t="s">
        <v>1091</v>
      </c>
      <c r="L312" s="42" t="s">
        <v>1099</v>
      </c>
      <c r="M312" s="209">
        <v>2030</v>
      </c>
      <c r="N312" s="17" t="s">
        <v>1430</v>
      </c>
      <c r="O312" s="258">
        <v>65</v>
      </c>
      <c r="P312" s="238" t="str">
        <f>VLOOKUP(_xlfn.CONCAT(Table3[[#This Row],[Target area]],Table3[[#This Row],[GHG target?]],Table3[[#This Row],[Conditionality]]),'Drop down'!$E$81:$F$101,2,FALSE)</f>
        <v>T_Economy_Unc</v>
      </c>
      <c r="Q312" s="239" t="str">
        <f>VLOOKUP(Table3[[#This Row],[Target type]],Table418[[Value name]:[Value idenifyer]],2,FALSE)</f>
        <v>T_BAU</v>
      </c>
      <c r="V312" s="233" t="str">
        <f>VLOOKUP(Table3[[#This Row],[Country Code]],Table29[],3,FALSE)</f>
        <v>Non-Annex I</v>
      </c>
      <c r="W312" s="233" t="str">
        <f>VLOOKUP(Table3[[#This Row],[Country Code]],Table29[],4,FALSE)</f>
        <v>Latin America and the Caribbean</v>
      </c>
      <c r="X312" s="233" t="str">
        <f>VLOOKUP(Table3[[#This Row],[Country Code]],Table29[],5,FALSE)</f>
        <v>Middle-income</v>
      </c>
      <c r="Y312" s="233" t="str">
        <f>VLOOKUP(Table3[[#This Row],[Country Code]],Table29[],6,FALSE)</f>
        <v>no</v>
      </c>
      <c r="Z312" s="233" t="str">
        <f>VLOOKUP(Table3[[#This Row],[Country Code]],Table29[],7,FALSE)</f>
        <v>no</v>
      </c>
      <c r="AA312" s="233" t="str">
        <f>VLOOKUP(Table3[[#This Row],[Country Code]],Table29[],8,FALSE)</f>
        <v>non-OECD</v>
      </c>
      <c r="AB312" s="233" t="str">
        <f>VLOOKUP(Table3[[#This Row],[Country Code]],Table29[],9,FALSE)</f>
        <v>no</v>
      </c>
      <c r="AC312" s="233" t="str">
        <f>VLOOKUP(Table3[[#This Row],[Country Code]],Table29[],10,FALSE)</f>
        <v>no</v>
      </c>
      <c r="AD312" s="235">
        <f>VLOOKUP(Table3[[#This Row],[Country Code]],Table29[],23,FALSE)</f>
        <v>43.981074467992002</v>
      </c>
      <c r="AE312" s="235">
        <f>VLOOKUP(Table3[[#This Row],[Country Code]],Table29[],24,FALSE)</f>
        <v>11.70609674588653</v>
      </c>
      <c r="AF312" s="43"/>
    </row>
    <row r="313" spans="1:32" x14ac:dyDescent="0.25">
      <c r="A313" s="360">
        <v>26801</v>
      </c>
      <c r="B313" s="233" t="str">
        <f>VLOOKUP(Table3[[#This Row],[Document ID]],Table1[],2,FALSE)</f>
        <v>GTM</v>
      </c>
      <c r="C313" s="233" t="str">
        <f>VLOOKUP(Table3[[#This Row],[Document ID]],Table1[],3,FALSE)</f>
        <v>Guatemala</v>
      </c>
      <c r="D313" s="233" t="str">
        <f>VLOOKUP(Table3[[#This Row],[Document ID]],Table1[],5,FALSE)</f>
        <v>NDC</v>
      </c>
      <c r="E313" s="233" t="str">
        <f>VLOOKUP(Table3[[#This Row],[Document ID]],Table1[],7,FALSE)</f>
        <v>First NDC updated</v>
      </c>
      <c r="F313" s="233" t="str">
        <f>VLOOKUP(Table3[[#This Row],[Document ID]],Table1[],8,FALSE)</f>
        <v>NDC 1.1</v>
      </c>
      <c r="G313" s="233" t="str">
        <f>VLOOKUP(Table3[[#This Row],[Document ID]],Table1[],10,FALSE)</f>
        <v>Archived</v>
      </c>
      <c r="H313" s="216" t="s">
        <v>1089</v>
      </c>
      <c r="I313" s="216" t="s">
        <v>1089</v>
      </c>
      <c r="J313" s="43" t="s">
        <v>1090</v>
      </c>
      <c r="K313" s="28" t="s">
        <v>1091</v>
      </c>
      <c r="L313" s="216" t="s">
        <v>1092</v>
      </c>
      <c r="M313" s="209">
        <v>2030</v>
      </c>
      <c r="N313" s="17" t="s">
        <v>1430</v>
      </c>
      <c r="O313" s="258">
        <v>65</v>
      </c>
      <c r="P313" s="238" t="str">
        <f>VLOOKUP(_xlfn.CONCAT(Table3[[#This Row],[Target area]],Table3[[#This Row],[GHG target?]],Table3[[#This Row],[Conditionality]]),'Drop down'!$E$81:$F$101,2,FALSE)</f>
        <v>T_Economy_C</v>
      </c>
      <c r="Q313" s="239" t="str">
        <f>VLOOKUP(Table3[[#This Row],[Target type]],Table418[[Value name]:[Value idenifyer]],2,FALSE)</f>
        <v>T_BAU</v>
      </c>
      <c r="V313" s="233" t="str">
        <f>VLOOKUP(Table3[[#This Row],[Country Code]],Table29[],3,FALSE)</f>
        <v>Non-Annex I</v>
      </c>
      <c r="W313" s="233" t="str">
        <f>VLOOKUP(Table3[[#This Row],[Country Code]],Table29[],4,FALSE)</f>
        <v>Latin America and the Caribbean</v>
      </c>
      <c r="X313" s="233" t="str">
        <f>VLOOKUP(Table3[[#This Row],[Country Code]],Table29[],5,FALSE)</f>
        <v>Middle-income</v>
      </c>
      <c r="Y313" s="233" t="str">
        <f>VLOOKUP(Table3[[#This Row],[Country Code]],Table29[],6,FALSE)</f>
        <v>no</v>
      </c>
      <c r="Z313" s="233" t="str">
        <f>VLOOKUP(Table3[[#This Row],[Country Code]],Table29[],7,FALSE)</f>
        <v>no</v>
      </c>
      <c r="AA313" s="233" t="str">
        <f>VLOOKUP(Table3[[#This Row],[Country Code]],Table29[],8,FALSE)</f>
        <v>non-OECD</v>
      </c>
      <c r="AB313" s="233" t="str">
        <f>VLOOKUP(Table3[[#This Row],[Country Code]],Table29[],9,FALSE)</f>
        <v>no</v>
      </c>
      <c r="AC313" s="233" t="str">
        <f>VLOOKUP(Table3[[#This Row],[Country Code]],Table29[],10,FALSE)</f>
        <v>no</v>
      </c>
      <c r="AD313" s="235">
        <f>VLOOKUP(Table3[[#This Row],[Country Code]],Table29[],23,FALSE)</f>
        <v>43.981074467992002</v>
      </c>
      <c r="AE313" s="235">
        <f>VLOOKUP(Table3[[#This Row],[Country Code]],Table29[],24,FALSE)</f>
        <v>11.70609674588653</v>
      </c>
      <c r="AF313" s="43"/>
    </row>
    <row r="314" spans="1:32" x14ac:dyDescent="0.25">
      <c r="A314" s="360">
        <v>17608</v>
      </c>
      <c r="B314" s="233" t="str">
        <f>VLOOKUP(Table3[[#This Row],[Document ID]],Table1[],2,FALSE)</f>
        <v>GTM</v>
      </c>
      <c r="C314" s="233" t="str">
        <f>VLOOKUP(Table3[[#This Row],[Document ID]],Table1[],3,FALSE)</f>
        <v>Guatemala</v>
      </c>
      <c r="D314" s="233" t="str">
        <f>VLOOKUP(Table3[[#This Row],[Document ID]],Table1[],5,FALSE)</f>
        <v>NDC</v>
      </c>
      <c r="E314" s="233" t="str">
        <f>VLOOKUP(Table3[[#This Row],[Document ID]],Table1[],7,FALSE)</f>
        <v>First NDC</v>
      </c>
      <c r="F314" s="233" t="str">
        <f>VLOOKUP(Table3[[#This Row],[Document ID]],Table1[],8,FALSE)</f>
        <v>NDC 1.0</v>
      </c>
      <c r="G314" s="233" t="str">
        <f>VLOOKUP(Table3[[#This Row],[Document ID]],Table1[],10,FALSE)</f>
        <v>Archived</v>
      </c>
      <c r="H314" s="216" t="s">
        <v>1089</v>
      </c>
      <c r="I314" s="216" t="s">
        <v>1089</v>
      </c>
      <c r="J314" s="43" t="s">
        <v>1090</v>
      </c>
      <c r="K314" s="28" t="s">
        <v>1153</v>
      </c>
      <c r="L314" s="42" t="s">
        <v>1099</v>
      </c>
      <c r="M314" s="209">
        <v>2030</v>
      </c>
      <c r="N314" s="176" t="s">
        <v>1432</v>
      </c>
      <c r="O314" s="258" t="s">
        <v>1094</v>
      </c>
      <c r="P314" s="238" t="str">
        <f>VLOOKUP(_xlfn.CONCAT(Table3[[#This Row],[Target area]],Table3[[#This Row],[GHG target?]],Table3[[#This Row],[Conditionality]]),'Drop down'!$E$81:$F$101,2,FALSE)</f>
        <v>T_Economy_Unc</v>
      </c>
      <c r="Q314" s="239" t="str">
        <f>VLOOKUP(Table3[[#This Row],[Target type]],Table418[[Value name]:[Value idenifyer]],2,FALSE)</f>
        <v>T_BYE</v>
      </c>
      <c r="V314" s="233" t="str">
        <f>VLOOKUP(Table3[[#This Row],[Country Code]],Table29[],3,FALSE)</f>
        <v>Non-Annex I</v>
      </c>
      <c r="W314" s="233" t="str">
        <f>VLOOKUP(Table3[[#This Row],[Country Code]],Table29[],4,FALSE)</f>
        <v>Latin America and the Caribbean</v>
      </c>
      <c r="X314" s="233" t="str">
        <f>VLOOKUP(Table3[[#This Row],[Country Code]],Table29[],5,FALSE)</f>
        <v>Middle-income</v>
      </c>
      <c r="Y314" s="233" t="str">
        <f>VLOOKUP(Table3[[#This Row],[Country Code]],Table29[],6,FALSE)</f>
        <v>no</v>
      </c>
      <c r="Z314" s="233" t="str">
        <f>VLOOKUP(Table3[[#This Row],[Country Code]],Table29[],7,FALSE)</f>
        <v>no</v>
      </c>
      <c r="AA314" s="233" t="str">
        <f>VLOOKUP(Table3[[#This Row],[Country Code]],Table29[],8,FALSE)</f>
        <v>non-OECD</v>
      </c>
      <c r="AB314" s="233" t="str">
        <f>VLOOKUP(Table3[[#This Row],[Country Code]],Table29[],9,FALSE)</f>
        <v>no</v>
      </c>
      <c r="AC314" s="233" t="str">
        <f>VLOOKUP(Table3[[#This Row],[Country Code]],Table29[],10,FALSE)</f>
        <v>no</v>
      </c>
      <c r="AD314" s="235">
        <f>VLOOKUP(Table3[[#This Row],[Country Code]],Table29[],23,FALSE)</f>
        <v>43.981074467992002</v>
      </c>
      <c r="AE314" s="235">
        <f>VLOOKUP(Table3[[#This Row],[Country Code]],Table29[],24,FALSE)</f>
        <v>11.70609674588653</v>
      </c>
      <c r="AF314" s="43"/>
    </row>
    <row r="315" spans="1:32" x14ac:dyDescent="0.25">
      <c r="A315" s="360">
        <v>21964</v>
      </c>
      <c r="B315" s="233" t="str">
        <f>VLOOKUP(Table3[[#This Row],[Document ID]],Table1[],2,FALSE)</f>
        <v>GIN</v>
      </c>
      <c r="C315" s="233" t="str">
        <f>VLOOKUP(Table3[[#This Row],[Document ID]],Table1[],3,FALSE)</f>
        <v>Guinea</v>
      </c>
      <c r="D315" s="233" t="str">
        <f>VLOOKUP(Table3[[#This Row],[Document ID]],Table1[],5,FALSE)</f>
        <v>NDC</v>
      </c>
      <c r="E315" s="233" t="str">
        <f>VLOOKUP(Table3[[#This Row],[Document ID]],Table1[],7,FALSE)</f>
        <v>First NDC updated</v>
      </c>
      <c r="F315" s="233" t="str">
        <f>VLOOKUP(Table3[[#This Row],[Document ID]],Table1[],8,FALSE)</f>
        <v>NDC 1.1</v>
      </c>
      <c r="G315" s="233" t="str">
        <f>VLOOKUP(Table3[[#This Row],[Document ID]],Table1[],10,FALSE)</f>
        <v>Active</v>
      </c>
      <c r="H315" s="216" t="s">
        <v>1089</v>
      </c>
      <c r="I315" s="216" t="s">
        <v>1089</v>
      </c>
      <c r="J315" s="43" t="s">
        <v>1090</v>
      </c>
      <c r="K315" s="28" t="s">
        <v>1091</v>
      </c>
      <c r="L315" s="42" t="s">
        <v>1099</v>
      </c>
      <c r="M315" s="209">
        <v>2030</v>
      </c>
      <c r="N315" s="17" t="s">
        <v>1433</v>
      </c>
      <c r="O315" s="258">
        <v>24</v>
      </c>
      <c r="P315" s="238" t="str">
        <f>VLOOKUP(_xlfn.CONCAT(Table3[[#This Row],[Target area]],Table3[[#This Row],[GHG target?]],Table3[[#This Row],[Conditionality]]),'Drop down'!$E$81:$F$101,2,FALSE)</f>
        <v>T_Economy_Unc</v>
      </c>
      <c r="Q315" s="239" t="str">
        <f>VLOOKUP(Table3[[#This Row],[Target type]],Table418[[Value name]:[Value idenifyer]],2,FALSE)</f>
        <v>T_BAU</v>
      </c>
      <c r="S315" s="233" t="s">
        <v>1125</v>
      </c>
      <c r="V315" s="233" t="str">
        <f>VLOOKUP(Table3[[#This Row],[Country Code]],Table29[],3,FALSE)</f>
        <v>Non-Annex I</v>
      </c>
      <c r="W315" s="233" t="str">
        <f>VLOOKUP(Table3[[#This Row],[Country Code]],Table29[],4,FALSE)</f>
        <v>Africa</v>
      </c>
      <c r="X315" s="233" t="str">
        <f>VLOOKUP(Table3[[#This Row],[Country Code]],Table29[],5,FALSE)</f>
        <v>Low-income</v>
      </c>
      <c r="Y315" s="233" t="str">
        <f>VLOOKUP(Table3[[#This Row],[Country Code]],Table29[],6,FALSE)</f>
        <v>no</v>
      </c>
      <c r="Z315" s="233" t="str">
        <f>VLOOKUP(Table3[[#This Row],[Country Code]],Table29[],7,FALSE)</f>
        <v>no</v>
      </c>
      <c r="AA315" s="233" t="str">
        <f>VLOOKUP(Table3[[#This Row],[Country Code]],Table29[],8,FALSE)</f>
        <v>non-OECD</v>
      </c>
      <c r="AB315" s="233" t="str">
        <f>VLOOKUP(Table3[[#This Row],[Country Code]],Table29[],9,FALSE)</f>
        <v>no</v>
      </c>
      <c r="AC315" s="233" t="str">
        <f>VLOOKUP(Table3[[#This Row],[Country Code]],Table29[],10,FALSE)</f>
        <v>no</v>
      </c>
      <c r="AD315" s="235">
        <f>VLOOKUP(Table3[[#This Row],[Country Code]],Table29[],23,FALSE)</f>
        <v>28.634657504101</v>
      </c>
      <c r="AE315" s="235">
        <f>VLOOKUP(Table3[[#This Row],[Country Code]],Table29[],24,FALSE)</f>
        <v>1.791571476776437</v>
      </c>
      <c r="AF315" s="43"/>
    </row>
    <row r="316" spans="1:32" x14ac:dyDescent="0.25">
      <c r="A316" s="360">
        <v>21964</v>
      </c>
      <c r="B316" s="233" t="str">
        <f>VLOOKUP(Table3[[#This Row],[Document ID]],Table1[],2,FALSE)</f>
        <v>GIN</v>
      </c>
      <c r="C316" s="233" t="str">
        <f>VLOOKUP(Table3[[#This Row],[Document ID]],Table1[],3,FALSE)</f>
        <v>Guinea</v>
      </c>
      <c r="D316" s="233" t="str">
        <f>VLOOKUP(Table3[[#This Row],[Document ID]],Table1[],5,FALSE)</f>
        <v>NDC</v>
      </c>
      <c r="E316" s="233" t="str">
        <f>VLOOKUP(Table3[[#This Row],[Document ID]],Table1[],7,FALSE)</f>
        <v>First NDC updated</v>
      </c>
      <c r="F316" s="233" t="str">
        <f>VLOOKUP(Table3[[#This Row],[Document ID]],Table1[],8,FALSE)</f>
        <v>NDC 1.1</v>
      </c>
      <c r="G316" s="233" t="str">
        <f>VLOOKUP(Table3[[#This Row],[Document ID]],Table1[],10,FALSE)</f>
        <v>Active</v>
      </c>
      <c r="H316" s="216" t="s">
        <v>1089</v>
      </c>
      <c r="I316" s="216" t="s">
        <v>1089</v>
      </c>
      <c r="J316" s="43" t="s">
        <v>1090</v>
      </c>
      <c r="K316" s="28" t="s">
        <v>1091</v>
      </c>
      <c r="L316" s="216" t="s">
        <v>1092</v>
      </c>
      <c r="M316" s="209">
        <v>2030</v>
      </c>
      <c r="N316" s="43" t="s">
        <v>1434</v>
      </c>
      <c r="O316" s="258">
        <v>24</v>
      </c>
      <c r="P316" s="238" t="str">
        <f>VLOOKUP(_xlfn.CONCAT(Table3[[#This Row],[Target area]],Table3[[#This Row],[GHG target?]],Table3[[#This Row],[Conditionality]]),'Drop down'!$E$81:$F$101,2,FALSE)</f>
        <v>T_Economy_C</v>
      </c>
      <c r="Q316" s="239" t="str">
        <f>VLOOKUP(Table3[[#This Row],[Target type]],Table418[[Value name]:[Value idenifyer]],2,FALSE)</f>
        <v>T_BAU</v>
      </c>
      <c r="S316" s="233" t="s">
        <v>1125</v>
      </c>
      <c r="V316" s="233" t="str">
        <f>VLOOKUP(Table3[[#This Row],[Country Code]],Table29[],3,FALSE)</f>
        <v>Non-Annex I</v>
      </c>
      <c r="W316" s="233" t="str">
        <f>VLOOKUP(Table3[[#This Row],[Country Code]],Table29[],4,FALSE)</f>
        <v>Africa</v>
      </c>
      <c r="X316" s="233" t="str">
        <f>VLOOKUP(Table3[[#This Row],[Country Code]],Table29[],5,FALSE)</f>
        <v>Low-income</v>
      </c>
      <c r="Y316" s="233" t="str">
        <f>VLOOKUP(Table3[[#This Row],[Country Code]],Table29[],6,FALSE)</f>
        <v>no</v>
      </c>
      <c r="Z316" s="233" t="str">
        <f>VLOOKUP(Table3[[#This Row],[Country Code]],Table29[],7,FALSE)</f>
        <v>no</v>
      </c>
      <c r="AA316" s="233" t="str">
        <f>VLOOKUP(Table3[[#This Row],[Country Code]],Table29[],8,FALSE)</f>
        <v>non-OECD</v>
      </c>
      <c r="AB316" s="233" t="str">
        <f>VLOOKUP(Table3[[#This Row],[Country Code]],Table29[],9,FALSE)</f>
        <v>no</v>
      </c>
      <c r="AC316" s="233" t="str">
        <f>VLOOKUP(Table3[[#This Row],[Country Code]],Table29[],10,FALSE)</f>
        <v>no</v>
      </c>
      <c r="AD316" s="235">
        <f>VLOOKUP(Table3[[#This Row],[Country Code]],Table29[],23,FALSE)</f>
        <v>28.634657504101</v>
      </c>
      <c r="AE316" s="235">
        <f>VLOOKUP(Table3[[#This Row],[Country Code]],Table29[],24,FALSE)</f>
        <v>1.791571476776437</v>
      </c>
      <c r="AF316" s="43"/>
    </row>
    <row r="317" spans="1:32" x14ac:dyDescent="0.25">
      <c r="A317" s="360">
        <v>17546</v>
      </c>
      <c r="B317" s="233" t="str">
        <f>VLOOKUP(Table3[[#This Row],[Document ID]],Table1[],2,FALSE)</f>
        <v>CPV</v>
      </c>
      <c r="C317" s="233" t="str">
        <f>VLOOKUP(Table3[[#This Row],[Document ID]],Table1[],3,FALSE)</f>
        <v>Cabo Verde</v>
      </c>
      <c r="D317" s="233" t="str">
        <f>VLOOKUP(Table3[[#This Row],[Document ID]],Table1[],5,FALSE)</f>
        <v>NDC</v>
      </c>
      <c r="E317" s="233" t="str">
        <f>VLOOKUP(Table3[[#This Row],[Document ID]],Table1[],7,FALSE)</f>
        <v>First NDC updated</v>
      </c>
      <c r="F317" s="233" t="str">
        <f>VLOOKUP(Table3[[#This Row],[Document ID]],Table1[],8,FALSE)</f>
        <v>NDC 1.1</v>
      </c>
      <c r="G317" s="233" t="str">
        <f>VLOOKUP(Table3[[#This Row],[Document ID]],Table1[],10,FALSE)</f>
        <v>Active</v>
      </c>
      <c r="H317" s="42" t="s">
        <v>1095</v>
      </c>
      <c r="I317" s="42" t="s">
        <v>1096</v>
      </c>
      <c r="J317" s="42" t="s">
        <v>1097</v>
      </c>
      <c r="K317" s="28" t="s">
        <v>1098</v>
      </c>
      <c r="L317" s="43" t="s">
        <v>1092</v>
      </c>
      <c r="M317" s="209">
        <v>2030</v>
      </c>
      <c r="N317" s="44" t="s">
        <v>1435</v>
      </c>
      <c r="O317" s="221">
        <v>26</v>
      </c>
      <c r="P317" s="238" t="str">
        <f>VLOOKUP(_xlfn.CONCAT(Table3[[#This Row],[Target area]],Table3[[#This Row],[GHG target?]],Table3[[#This Row],[Conditionality]]),'Drop down'!$E$81:$F$101,2,FALSE)</f>
        <v>T_Transport_O_C</v>
      </c>
      <c r="Q317" s="239" t="str">
        <f>VLOOKUP(Table3[[#This Row],[Target type]],Table418[[Value name]:[Value idenifyer]],2,FALSE)</f>
        <v>T_O_MODE</v>
      </c>
      <c r="S317" s="233" t="s">
        <v>1101</v>
      </c>
      <c r="T317" s="234" t="s">
        <v>1113</v>
      </c>
      <c r="U317" s="234">
        <v>2035</v>
      </c>
      <c r="V317" s="233" t="str">
        <f>VLOOKUP(Table3[[#This Row],[Country Code]],Table29[],3,FALSE)</f>
        <v>Non-Annex I</v>
      </c>
      <c r="W317" s="233" t="str">
        <f>VLOOKUP(Table3[[#This Row],[Country Code]],Table29[],4,FALSE)</f>
        <v>Africa</v>
      </c>
      <c r="X317" s="233" t="str">
        <f>VLOOKUP(Table3[[#This Row],[Country Code]],Table29[],5,FALSE)</f>
        <v>Middle-income</v>
      </c>
      <c r="Y317" s="233" t="str">
        <f>VLOOKUP(Table3[[#This Row],[Country Code]],Table29[],6,FALSE)</f>
        <v>no</v>
      </c>
      <c r="Z317" s="233" t="str">
        <f>VLOOKUP(Table3[[#This Row],[Country Code]],Table29[],7,FALSE)</f>
        <v>no</v>
      </c>
      <c r="AA317" s="233" t="str">
        <f>VLOOKUP(Table3[[#This Row],[Country Code]],Table29[],8,FALSE)</f>
        <v>non-OECD</v>
      </c>
      <c r="AB317" s="233" t="str">
        <f>VLOOKUP(Table3[[#This Row],[Country Code]],Table29[],9,FALSE)</f>
        <v>no</v>
      </c>
      <c r="AC317" s="233" t="str">
        <f>VLOOKUP(Table3[[#This Row],[Country Code]],Table29[],10,FALSE)</f>
        <v>no</v>
      </c>
      <c r="AD317" s="235">
        <f>VLOOKUP(Table3[[#This Row],[Country Code]],Table29[],23,FALSE)</f>
        <v>1.2315183876125</v>
      </c>
      <c r="AE317" s="235">
        <f>VLOOKUP(Table3[[#This Row],[Country Code]],Table29[],24,FALSE)</f>
        <v>0.58681111832995647</v>
      </c>
      <c r="AF317" s="43"/>
    </row>
    <row r="318" spans="1:32" ht="30" x14ac:dyDescent="0.25">
      <c r="A318" s="360">
        <v>17563</v>
      </c>
      <c r="B318" s="233" t="str">
        <f>VLOOKUP(Table3[[#This Row],[Document ID]],Table1[],2,FALSE)</f>
        <v>CRI</v>
      </c>
      <c r="C318" s="233" t="str">
        <f>VLOOKUP(Table3[[#This Row],[Document ID]],Table1[],3,FALSE)</f>
        <v>Costa Rica</v>
      </c>
      <c r="D318" s="233" t="str">
        <f>VLOOKUP(Table3[[#This Row],[Document ID]],Table1[],5,FALSE)</f>
        <v>LTS</v>
      </c>
      <c r="E318" s="233" t="str">
        <f>VLOOKUP(Table3[[#This Row],[Document ID]],Table1[],7,FALSE)</f>
        <v>LTS</v>
      </c>
      <c r="F318" s="233" t="str">
        <f>VLOOKUP(Table3[[#This Row],[Document ID]],Table1[],8,FALSE)</f>
        <v>LTS 1.0</v>
      </c>
      <c r="G318" s="233" t="str">
        <f>VLOOKUP(Table3[[#This Row],[Document ID]],Table1[],10,FALSE)</f>
        <v>Active</v>
      </c>
      <c r="H318" s="42" t="s">
        <v>1095</v>
      </c>
      <c r="I318" s="42" t="s">
        <v>1096</v>
      </c>
      <c r="J318" s="42" t="s">
        <v>1097</v>
      </c>
      <c r="K318" s="28" t="s">
        <v>1104</v>
      </c>
      <c r="L318" s="389" t="s">
        <v>1099</v>
      </c>
      <c r="M318" s="209">
        <v>2035</v>
      </c>
      <c r="N318" s="44" t="s">
        <v>1436</v>
      </c>
      <c r="O318" s="221">
        <v>32</v>
      </c>
      <c r="P318" s="238" t="str">
        <f>VLOOKUP(_xlfn.CONCAT(Table3[[#This Row],[Target area]],Table3[[#This Row],[GHG target?]],Table3[[#This Row],[Conditionality]]),'Drop down'!$E$81:$F$101,2,FALSE)</f>
        <v>T_Transport_O_Unc</v>
      </c>
      <c r="Q318" s="239" t="str">
        <f>VLOOKUP(Table3[[#This Row],[Target type]],Table418[[Value name]:[Value idenifyer]],2,FALSE)</f>
        <v>T_O_ZERO</v>
      </c>
      <c r="S318" s="233" t="s">
        <v>1101</v>
      </c>
      <c r="T318" s="234" t="s">
        <v>1113</v>
      </c>
      <c r="U318" s="234" t="s">
        <v>1113</v>
      </c>
      <c r="V318" s="233" t="str">
        <f>VLOOKUP(Table3[[#This Row],[Country Code]],Table29[],3,FALSE)</f>
        <v>Non-Annex I</v>
      </c>
      <c r="W318" s="233" t="str">
        <f>VLOOKUP(Table3[[#This Row],[Country Code]],Table29[],4,FALSE)</f>
        <v>Latin America and the Caribbean</v>
      </c>
      <c r="X318" s="233" t="str">
        <f>VLOOKUP(Table3[[#This Row],[Country Code]],Table29[],5,FALSE)</f>
        <v>Middle-income</v>
      </c>
      <c r="Y318" s="233" t="str">
        <f>VLOOKUP(Table3[[#This Row],[Country Code]],Table29[],6,FALSE)</f>
        <v>no</v>
      </c>
      <c r="Z318" s="233" t="str">
        <f>VLOOKUP(Table3[[#This Row],[Country Code]],Table29[],7,FALSE)</f>
        <v>no</v>
      </c>
      <c r="AA318" s="233" t="str">
        <f>VLOOKUP(Table3[[#This Row],[Country Code]],Table29[],8,FALSE)</f>
        <v>OECD</v>
      </c>
      <c r="AB318" s="233" t="str">
        <f>VLOOKUP(Table3[[#This Row],[Country Code]],Table29[],9,FALSE)</f>
        <v>no</v>
      </c>
      <c r="AC318" s="233" t="str">
        <f>VLOOKUP(Table3[[#This Row],[Country Code]],Table29[],10,FALSE)</f>
        <v>no</v>
      </c>
      <c r="AD318" s="235">
        <f>VLOOKUP(Table3[[#This Row],[Country Code]],Table29[],23,FALSE)</f>
        <v>16.468143919330998</v>
      </c>
      <c r="AE318" s="235">
        <f>VLOOKUP(Table3[[#This Row],[Country Code]],Table29[],24,FALSE)</f>
        <v>6.1699800179976929</v>
      </c>
      <c r="AF318" s="43"/>
    </row>
    <row r="319" spans="1:32" ht="30" x14ac:dyDescent="0.25">
      <c r="A319" s="360">
        <v>17563</v>
      </c>
      <c r="B319" s="233" t="str">
        <f>VLOOKUP(Table3[[#This Row],[Document ID]],Table1[],2,FALSE)</f>
        <v>CRI</v>
      </c>
      <c r="C319" s="233" t="str">
        <f>VLOOKUP(Table3[[#This Row],[Document ID]],Table1[],3,FALSE)</f>
        <v>Costa Rica</v>
      </c>
      <c r="D319" s="233" t="str">
        <f>VLOOKUP(Table3[[#This Row],[Document ID]],Table1[],5,FALSE)</f>
        <v>LTS</v>
      </c>
      <c r="E319" s="233" t="str">
        <f>VLOOKUP(Table3[[#This Row],[Document ID]],Table1[],7,FALSE)</f>
        <v>LTS</v>
      </c>
      <c r="F319" s="233" t="str">
        <f>VLOOKUP(Table3[[#This Row],[Document ID]],Table1[],8,FALSE)</f>
        <v>LTS 1.0</v>
      </c>
      <c r="G319" s="233" t="str">
        <f>VLOOKUP(Table3[[#This Row],[Document ID]],Table1[],10,FALSE)</f>
        <v>Active</v>
      </c>
      <c r="H319" s="42" t="s">
        <v>1095</v>
      </c>
      <c r="I319" s="42" t="s">
        <v>1096</v>
      </c>
      <c r="J319" s="42" t="s">
        <v>1097</v>
      </c>
      <c r="K319" s="28" t="s">
        <v>1098</v>
      </c>
      <c r="L319" s="42" t="s">
        <v>1099</v>
      </c>
      <c r="M319" s="209">
        <v>2050</v>
      </c>
      <c r="N319" s="44" t="s">
        <v>1437</v>
      </c>
      <c r="O319" s="221">
        <v>32</v>
      </c>
      <c r="P319" s="238" t="str">
        <f>VLOOKUP(_xlfn.CONCAT(Table3[[#This Row],[Target area]],Table3[[#This Row],[GHG target?]],Table3[[#This Row],[Conditionality]]),'Drop down'!$E$81:$F$101,2,FALSE)</f>
        <v>T_Transport_O_Unc</v>
      </c>
      <c r="Q319" s="239" t="str">
        <f>VLOOKUP(Table3[[#This Row],[Target type]],Table418[[Value name]:[Value idenifyer]],2,FALSE)</f>
        <v>T_O_MODE</v>
      </c>
      <c r="S319" s="233" t="s">
        <v>1101</v>
      </c>
      <c r="T319" s="234" t="s">
        <v>1113</v>
      </c>
      <c r="U319" s="234" t="s">
        <v>1113</v>
      </c>
      <c r="V319" s="233" t="str">
        <f>VLOOKUP(Table3[[#This Row],[Country Code]],Table29[],3,FALSE)</f>
        <v>Non-Annex I</v>
      </c>
      <c r="W319" s="233" t="str">
        <f>VLOOKUP(Table3[[#This Row],[Country Code]],Table29[],4,FALSE)</f>
        <v>Latin America and the Caribbean</v>
      </c>
      <c r="X319" s="233" t="str">
        <f>VLOOKUP(Table3[[#This Row],[Country Code]],Table29[],5,FALSE)</f>
        <v>Middle-income</v>
      </c>
      <c r="Y319" s="233" t="str">
        <f>VLOOKUP(Table3[[#This Row],[Country Code]],Table29[],6,FALSE)</f>
        <v>no</v>
      </c>
      <c r="Z319" s="233" t="str">
        <f>VLOOKUP(Table3[[#This Row],[Country Code]],Table29[],7,FALSE)</f>
        <v>no</v>
      </c>
      <c r="AA319" s="233" t="str">
        <f>VLOOKUP(Table3[[#This Row],[Country Code]],Table29[],8,FALSE)</f>
        <v>OECD</v>
      </c>
      <c r="AB319" s="233" t="str">
        <f>VLOOKUP(Table3[[#This Row],[Country Code]],Table29[],9,FALSE)</f>
        <v>no</v>
      </c>
      <c r="AC319" s="233" t="str">
        <f>VLOOKUP(Table3[[#This Row],[Country Code]],Table29[],10,FALSE)</f>
        <v>no</v>
      </c>
      <c r="AD319" s="235">
        <f>VLOOKUP(Table3[[#This Row],[Country Code]],Table29[],23,FALSE)</f>
        <v>16.468143919330998</v>
      </c>
      <c r="AE319" s="235">
        <f>VLOOKUP(Table3[[#This Row],[Country Code]],Table29[],24,FALSE)</f>
        <v>6.1699800179976929</v>
      </c>
      <c r="AF319" s="43"/>
    </row>
    <row r="320" spans="1:32" ht="30" x14ac:dyDescent="0.25">
      <c r="A320" s="360">
        <v>17563</v>
      </c>
      <c r="B320" s="233" t="str">
        <f>VLOOKUP(Table3[[#This Row],[Document ID]],Table1[],2,FALSE)</f>
        <v>CRI</v>
      </c>
      <c r="C320" s="233" t="str">
        <f>VLOOKUP(Table3[[#This Row],[Document ID]],Table1[],3,FALSE)</f>
        <v>Costa Rica</v>
      </c>
      <c r="D320" s="233" t="str">
        <f>VLOOKUP(Table3[[#This Row],[Document ID]],Table1[],5,FALSE)</f>
        <v>LTS</v>
      </c>
      <c r="E320" s="233" t="str">
        <f>VLOOKUP(Table3[[#This Row],[Document ID]],Table1[],7,FALSE)</f>
        <v>LTS</v>
      </c>
      <c r="F320" s="233" t="str">
        <f>VLOOKUP(Table3[[#This Row],[Document ID]],Table1[],8,FALSE)</f>
        <v>LTS 1.0</v>
      </c>
      <c r="G320" s="233" t="str">
        <f>VLOOKUP(Table3[[#This Row],[Document ID]],Table1[],10,FALSE)</f>
        <v>Active</v>
      </c>
      <c r="H320" s="42" t="s">
        <v>1095</v>
      </c>
      <c r="I320" s="42" t="s">
        <v>1096</v>
      </c>
      <c r="J320" s="42" t="s">
        <v>1097</v>
      </c>
      <c r="K320" s="28" t="s">
        <v>1104</v>
      </c>
      <c r="L320" s="42" t="s">
        <v>1099</v>
      </c>
      <c r="M320" s="209">
        <v>2050</v>
      </c>
      <c r="N320" s="44" t="s">
        <v>1438</v>
      </c>
      <c r="O320" s="221">
        <v>32</v>
      </c>
      <c r="P320" s="238" t="str">
        <f>VLOOKUP(_xlfn.CONCAT(Table3[[#This Row],[Target area]],Table3[[#This Row],[GHG target?]],Table3[[#This Row],[Conditionality]]),'Drop down'!$E$81:$F$101,2,FALSE)</f>
        <v>T_Transport_O_Unc</v>
      </c>
      <c r="Q320" s="239" t="str">
        <f>VLOOKUP(Table3[[#This Row],[Target type]],Table418[[Value name]:[Value idenifyer]],2,FALSE)</f>
        <v>T_O_ZERO</v>
      </c>
      <c r="S320" s="233" t="s">
        <v>1101</v>
      </c>
      <c r="T320" s="234" t="s">
        <v>1113</v>
      </c>
      <c r="U320" s="234" t="s">
        <v>1113</v>
      </c>
      <c r="V320" s="233" t="str">
        <f>VLOOKUP(Table3[[#This Row],[Country Code]],Table29[],3,FALSE)</f>
        <v>Non-Annex I</v>
      </c>
      <c r="W320" s="233" t="str">
        <f>VLOOKUP(Table3[[#This Row],[Country Code]],Table29[],4,FALSE)</f>
        <v>Latin America and the Caribbean</v>
      </c>
      <c r="X320" s="233" t="str">
        <f>VLOOKUP(Table3[[#This Row],[Country Code]],Table29[],5,FALSE)</f>
        <v>Middle-income</v>
      </c>
      <c r="Y320" s="233" t="str">
        <f>VLOOKUP(Table3[[#This Row],[Country Code]],Table29[],6,FALSE)</f>
        <v>no</v>
      </c>
      <c r="Z320" s="233" t="str">
        <f>VLOOKUP(Table3[[#This Row],[Country Code]],Table29[],7,FALSE)</f>
        <v>no</v>
      </c>
      <c r="AA320" s="233" t="str">
        <f>VLOOKUP(Table3[[#This Row],[Country Code]],Table29[],8,FALSE)</f>
        <v>OECD</v>
      </c>
      <c r="AB320" s="233" t="str">
        <f>VLOOKUP(Table3[[#This Row],[Country Code]],Table29[],9,FALSE)</f>
        <v>no</v>
      </c>
      <c r="AC320" s="233" t="str">
        <f>VLOOKUP(Table3[[#This Row],[Country Code]],Table29[],10,FALSE)</f>
        <v>no</v>
      </c>
      <c r="AD320" s="235">
        <f>VLOOKUP(Table3[[#This Row],[Country Code]],Table29[],23,FALSE)</f>
        <v>16.468143919330998</v>
      </c>
      <c r="AE320" s="235">
        <f>VLOOKUP(Table3[[#This Row],[Country Code]],Table29[],24,FALSE)</f>
        <v>6.1699800179976929</v>
      </c>
      <c r="AF320" s="43"/>
    </row>
    <row r="321" spans="1:32" ht="30" x14ac:dyDescent="0.25">
      <c r="A321" s="360">
        <v>17563</v>
      </c>
      <c r="B321" s="233" t="str">
        <f>VLOOKUP(Table3[[#This Row],[Document ID]],Table1[],2,FALSE)</f>
        <v>CRI</v>
      </c>
      <c r="C321" s="233" t="str">
        <f>VLOOKUP(Table3[[#This Row],[Document ID]],Table1[],3,FALSE)</f>
        <v>Costa Rica</v>
      </c>
      <c r="D321" s="233" t="str">
        <f>VLOOKUP(Table3[[#This Row],[Document ID]],Table1[],5,FALSE)</f>
        <v>LTS</v>
      </c>
      <c r="E321" s="233" t="str">
        <f>VLOOKUP(Table3[[#This Row],[Document ID]],Table1[],7,FALSE)</f>
        <v>LTS</v>
      </c>
      <c r="F321" s="233" t="str">
        <f>VLOOKUP(Table3[[#This Row],[Document ID]],Table1[],8,FALSE)</f>
        <v>LTS 1.0</v>
      </c>
      <c r="G321" s="233" t="str">
        <f>VLOOKUP(Table3[[#This Row],[Document ID]],Table1[],10,FALSE)</f>
        <v>Active</v>
      </c>
      <c r="H321" s="42" t="s">
        <v>1095</v>
      </c>
      <c r="I321" s="42" t="s">
        <v>1096</v>
      </c>
      <c r="J321" s="42" t="s">
        <v>1097</v>
      </c>
      <c r="K321" s="28" t="s">
        <v>1098</v>
      </c>
      <c r="L321" s="42" t="s">
        <v>1099</v>
      </c>
      <c r="M321" s="209">
        <v>2050</v>
      </c>
      <c r="N321" s="44" t="s">
        <v>1439</v>
      </c>
      <c r="O321" s="221">
        <v>32</v>
      </c>
      <c r="P321" s="238" t="str">
        <f>VLOOKUP(_xlfn.CONCAT(Table3[[#This Row],[Target area]],Table3[[#This Row],[GHG target?]],Table3[[#This Row],[Conditionality]]),'Drop down'!$E$81:$F$101,2,FALSE)</f>
        <v>T_Transport_O_Unc</v>
      </c>
      <c r="Q321" s="239" t="str">
        <f>VLOOKUP(Table3[[#This Row],[Target type]],Table418[[Value name]:[Value idenifyer]],2,FALSE)</f>
        <v>T_O_MODE</v>
      </c>
      <c r="S321" s="233" t="s">
        <v>1101</v>
      </c>
      <c r="T321" s="234" t="s">
        <v>1113</v>
      </c>
      <c r="U321" s="234" t="s">
        <v>1113</v>
      </c>
      <c r="V321" s="233" t="str">
        <f>VLOOKUP(Table3[[#This Row],[Country Code]],Table29[],3,FALSE)</f>
        <v>Non-Annex I</v>
      </c>
      <c r="W321" s="233" t="str">
        <f>VLOOKUP(Table3[[#This Row],[Country Code]],Table29[],4,FALSE)</f>
        <v>Latin America and the Caribbean</v>
      </c>
      <c r="X321" s="233" t="str">
        <f>VLOOKUP(Table3[[#This Row],[Country Code]],Table29[],5,FALSE)</f>
        <v>Middle-income</v>
      </c>
      <c r="Y321" s="233" t="str">
        <f>VLOOKUP(Table3[[#This Row],[Country Code]],Table29[],6,FALSE)</f>
        <v>no</v>
      </c>
      <c r="Z321" s="233" t="str">
        <f>VLOOKUP(Table3[[#This Row],[Country Code]],Table29[],7,FALSE)</f>
        <v>no</v>
      </c>
      <c r="AA321" s="233" t="str">
        <f>VLOOKUP(Table3[[#This Row],[Country Code]],Table29[],8,FALSE)</f>
        <v>OECD</v>
      </c>
      <c r="AB321" s="233" t="str">
        <f>VLOOKUP(Table3[[#This Row],[Country Code]],Table29[],9,FALSE)</f>
        <v>no</v>
      </c>
      <c r="AC321" s="233" t="str">
        <f>VLOOKUP(Table3[[#This Row],[Country Code]],Table29[],10,FALSE)</f>
        <v>no</v>
      </c>
      <c r="AD321" s="235">
        <f>VLOOKUP(Table3[[#This Row],[Country Code]],Table29[],23,FALSE)</f>
        <v>16.468143919330998</v>
      </c>
      <c r="AE321" s="235">
        <f>VLOOKUP(Table3[[#This Row],[Country Code]],Table29[],24,FALSE)</f>
        <v>6.1699800179976929</v>
      </c>
      <c r="AF321" s="43"/>
    </row>
    <row r="322" spans="1:32" ht="30" x14ac:dyDescent="0.25">
      <c r="A322" s="360">
        <v>17564</v>
      </c>
      <c r="B322" s="233" t="str">
        <f>VLOOKUP(Table3[[#This Row],[Document ID]],Table1[],2,FALSE)</f>
        <v>CRI</v>
      </c>
      <c r="C322" s="233" t="str">
        <f>VLOOKUP(Table3[[#This Row],[Document ID]],Table1[],3,FALSE)</f>
        <v>Costa Rica</v>
      </c>
      <c r="D322" s="233" t="str">
        <f>VLOOKUP(Table3[[#This Row],[Document ID]],Table1[],5,FALSE)</f>
        <v>NDC</v>
      </c>
      <c r="E322" s="233" t="str">
        <f>VLOOKUP(Table3[[#This Row],[Document ID]],Table1[],7,FALSE)</f>
        <v>First NDC updated</v>
      </c>
      <c r="F322" s="233" t="str">
        <f>VLOOKUP(Table3[[#This Row],[Document ID]],Table1[],8,FALSE)</f>
        <v>NDC 1.1</v>
      </c>
      <c r="G322" s="233" t="str">
        <f>VLOOKUP(Table3[[#This Row],[Document ID]],Table1[],10,FALSE)</f>
        <v>Active</v>
      </c>
      <c r="H322" s="42" t="s">
        <v>1095</v>
      </c>
      <c r="I322" s="42" t="s">
        <v>1096</v>
      </c>
      <c r="J322" s="42" t="s">
        <v>1097</v>
      </c>
      <c r="K322" s="28" t="s">
        <v>1104</v>
      </c>
      <c r="L322" s="389" t="s">
        <v>1099</v>
      </c>
      <c r="M322" s="209">
        <v>2030</v>
      </c>
      <c r="N322" s="44" t="s">
        <v>1440</v>
      </c>
      <c r="O322" s="221">
        <v>18</v>
      </c>
      <c r="P322" s="238" t="str">
        <f>VLOOKUP(_xlfn.CONCAT(Table3[[#This Row],[Target area]],Table3[[#This Row],[GHG target?]],Table3[[#This Row],[Conditionality]]),'Drop down'!$E$81:$F$101,2,FALSE)</f>
        <v>T_Transport_O_Unc</v>
      </c>
      <c r="Q322" s="239" t="str">
        <f>VLOOKUP(Table3[[#This Row],[Target type]],Table418[[Value name]:[Value idenifyer]],2,FALSE)</f>
        <v>T_O_ZERO</v>
      </c>
      <c r="S322" s="233" t="s">
        <v>1101</v>
      </c>
      <c r="T322" s="234" t="s">
        <v>1113</v>
      </c>
      <c r="U322" s="234" t="s">
        <v>1113</v>
      </c>
      <c r="V322" s="233" t="str">
        <f>VLOOKUP(Table3[[#This Row],[Country Code]],Table29[],3,FALSE)</f>
        <v>Non-Annex I</v>
      </c>
      <c r="W322" s="233" t="str">
        <f>VLOOKUP(Table3[[#This Row],[Country Code]],Table29[],4,FALSE)</f>
        <v>Latin America and the Caribbean</v>
      </c>
      <c r="X322" s="233" t="str">
        <f>VLOOKUP(Table3[[#This Row],[Country Code]],Table29[],5,FALSE)</f>
        <v>Middle-income</v>
      </c>
      <c r="Y322" s="233" t="str">
        <f>VLOOKUP(Table3[[#This Row],[Country Code]],Table29[],6,FALSE)</f>
        <v>no</v>
      </c>
      <c r="Z322" s="233" t="str">
        <f>VLOOKUP(Table3[[#This Row],[Country Code]],Table29[],7,FALSE)</f>
        <v>no</v>
      </c>
      <c r="AA322" s="233" t="str">
        <f>VLOOKUP(Table3[[#This Row],[Country Code]],Table29[],8,FALSE)</f>
        <v>OECD</v>
      </c>
      <c r="AB322" s="233" t="str">
        <f>VLOOKUP(Table3[[#This Row],[Country Code]],Table29[],9,FALSE)</f>
        <v>no</v>
      </c>
      <c r="AC322" s="233" t="str">
        <f>VLOOKUP(Table3[[#This Row],[Country Code]],Table29[],10,FALSE)</f>
        <v>no</v>
      </c>
      <c r="AD322" s="235">
        <f>VLOOKUP(Table3[[#This Row],[Country Code]],Table29[],23,FALSE)</f>
        <v>16.468143919330998</v>
      </c>
      <c r="AE322" s="235">
        <f>VLOOKUP(Table3[[#This Row],[Country Code]],Table29[],24,FALSE)</f>
        <v>6.1699800179976929</v>
      </c>
      <c r="AF322" s="43"/>
    </row>
    <row r="323" spans="1:32" ht="45" x14ac:dyDescent="0.25">
      <c r="A323" s="360">
        <v>17564</v>
      </c>
      <c r="B323" s="233" t="str">
        <f>VLOOKUP(Table3[[#This Row],[Document ID]],Table1[],2,FALSE)</f>
        <v>CRI</v>
      </c>
      <c r="C323" s="233" t="str">
        <f>VLOOKUP(Table3[[#This Row],[Document ID]],Table1[],3,FALSE)</f>
        <v>Costa Rica</v>
      </c>
      <c r="D323" s="233" t="str">
        <f>VLOOKUP(Table3[[#This Row],[Document ID]],Table1[],5,FALSE)</f>
        <v>NDC</v>
      </c>
      <c r="E323" s="233" t="str">
        <f>VLOOKUP(Table3[[#This Row],[Document ID]],Table1[],7,FALSE)</f>
        <v>First NDC updated</v>
      </c>
      <c r="F323" s="233" t="str">
        <f>VLOOKUP(Table3[[#This Row],[Document ID]],Table1[],8,FALSE)</f>
        <v>NDC 1.1</v>
      </c>
      <c r="G323" s="233" t="str">
        <f>VLOOKUP(Table3[[#This Row],[Document ID]],Table1[],10,FALSE)</f>
        <v>Active</v>
      </c>
      <c r="H323" s="42" t="s">
        <v>1095</v>
      </c>
      <c r="I323" s="42" t="s">
        <v>1096</v>
      </c>
      <c r="J323" s="42" t="s">
        <v>1097</v>
      </c>
      <c r="K323" s="28" t="s">
        <v>1098</v>
      </c>
      <c r="L323" s="389" t="s">
        <v>1099</v>
      </c>
      <c r="M323" s="209">
        <v>2030</v>
      </c>
      <c r="N323" s="224" t="s">
        <v>1441</v>
      </c>
      <c r="O323" s="221">
        <v>18</v>
      </c>
      <c r="P323" s="238" t="str">
        <f>VLOOKUP(_xlfn.CONCAT(Table3[[#This Row],[Target area]],Table3[[#This Row],[GHG target?]],Table3[[#This Row],[Conditionality]]),'Drop down'!$E$81:$F$101,2,FALSE)</f>
        <v>T_Transport_O_Unc</v>
      </c>
      <c r="Q323" s="239" t="str">
        <f>VLOOKUP(Table3[[#This Row],[Target type]],Table418[[Value name]:[Value idenifyer]],2,FALSE)</f>
        <v>T_O_MODE</v>
      </c>
      <c r="S323" s="233" t="s">
        <v>1101</v>
      </c>
      <c r="T323" s="234" t="s">
        <v>1113</v>
      </c>
      <c r="U323" s="234" t="s">
        <v>1113</v>
      </c>
      <c r="V323" s="233" t="str">
        <f>VLOOKUP(Table3[[#This Row],[Country Code]],Table29[],3,FALSE)</f>
        <v>Non-Annex I</v>
      </c>
      <c r="W323" s="233" t="str">
        <f>VLOOKUP(Table3[[#This Row],[Country Code]],Table29[],4,FALSE)</f>
        <v>Latin America and the Caribbean</v>
      </c>
      <c r="X323" s="233" t="str">
        <f>VLOOKUP(Table3[[#This Row],[Country Code]],Table29[],5,FALSE)</f>
        <v>Middle-income</v>
      </c>
      <c r="Y323" s="233" t="str">
        <f>VLOOKUP(Table3[[#This Row],[Country Code]],Table29[],6,FALSE)</f>
        <v>no</v>
      </c>
      <c r="Z323" s="233" t="str">
        <f>VLOOKUP(Table3[[#This Row],[Country Code]],Table29[],7,FALSE)</f>
        <v>no</v>
      </c>
      <c r="AA323" s="233" t="str">
        <f>VLOOKUP(Table3[[#This Row],[Country Code]],Table29[],8,FALSE)</f>
        <v>OECD</v>
      </c>
      <c r="AB323" s="233" t="str">
        <f>VLOOKUP(Table3[[#This Row],[Country Code]],Table29[],9,FALSE)</f>
        <v>no</v>
      </c>
      <c r="AC323" s="233" t="str">
        <f>VLOOKUP(Table3[[#This Row],[Country Code]],Table29[],10,FALSE)</f>
        <v>no</v>
      </c>
      <c r="AD323" s="235">
        <f>VLOOKUP(Table3[[#This Row],[Country Code]],Table29[],23,FALSE)</f>
        <v>16.468143919330998</v>
      </c>
      <c r="AE323" s="235">
        <f>VLOOKUP(Table3[[#This Row],[Country Code]],Table29[],24,FALSE)</f>
        <v>6.1699800179976929</v>
      </c>
      <c r="AF323" s="43"/>
    </row>
    <row r="324" spans="1:32" ht="30" x14ac:dyDescent="0.25">
      <c r="A324" s="360">
        <v>17564</v>
      </c>
      <c r="B324" s="233" t="str">
        <f>VLOOKUP(Table3[[#This Row],[Document ID]],Table1[],2,FALSE)</f>
        <v>CRI</v>
      </c>
      <c r="C324" s="233" t="str">
        <f>VLOOKUP(Table3[[#This Row],[Document ID]],Table1[],3,FALSE)</f>
        <v>Costa Rica</v>
      </c>
      <c r="D324" s="233" t="str">
        <f>VLOOKUP(Table3[[#This Row],[Document ID]],Table1[],5,FALSE)</f>
        <v>NDC</v>
      </c>
      <c r="E324" s="233" t="str">
        <f>VLOOKUP(Table3[[#This Row],[Document ID]],Table1[],7,FALSE)</f>
        <v>First NDC updated</v>
      </c>
      <c r="F324" s="233" t="str">
        <f>VLOOKUP(Table3[[#This Row],[Document ID]],Table1[],8,FALSE)</f>
        <v>NDC 1.1</v>
      </c>
      <c r="G324" s="233" t="str">
        <f>VLOOKUP(Table3[[#This Row],[Document ID]],Table1[],10,FALSE)</f>
        <v>Active</v>
      </c>
      <c r="H324" s="42" t="s">
        <v>1095</v>
      </c>
      <c r="I324" s="42" t="s">
        <v>1096</v>
      </c>
      <c r="J324" s="42" t="s">
        <v>1097</v>
      </c>
      <c r="K324" s="28" t="s">
        <v>1104</v>
      </c>
      <c r="L324" s="389" t="s">
        <v>1099</v>
      </c>
      <c r="M324" s="209">
        <v>2025</v>
      </c>
      <c r="N324" s="224" t="s">
        <v>1442</v>
      </c>
      <c r="O324" s="221">
        <v>18</v>
      </c>
      <c r="P324" s="238" t="str">
        <f>VLOOKUP(_xlfn.CONCAT(Table3[[#This Row],[Target area]],Table3[[#This Row],[GHG target?]],Table3[[#This Row],[Conditionality]]),'Drop down'!$E$81:$F$101,2,FALSE)</f>
        <v>T_Transport_O_Unc</v>
      </c>
      <c r="Q324" s="239" t="str">
        <f>VLOOKUP(Table3[[#This Row],[Target type]],Table418[[Value name]:[Value idenifyer]],2,FALSE)</f>
        <v>T_O_ZERO</v>
      </c>
      <c r="S324" s="233" t="s">
        <v>1101</v>
      </c>
      <c r="T324" s="234" t="s">
        <v>1113</v>
      </c>
      <c r="U324" s="234" t="s">
        <v>1113</v>
      </c>
      <c r="V324" s="233" t="str">
        <f>VLOOKUP(Table3[[#This Row],[Country Code]],Table29[],3,FALSE)</f>
        <v>Non-Annex I</v>
      </c>
      <c r="W324" s="233" t="str">
        <f>VLOOKUP(Table3[[#This Row],[Country Code]],Table29[],4,FALSE)</f>
        <v>Latin America and the Caribbean</v>
      </c>
      <c r="X324" s="233" t="str">
        <f>VLOOKUP(Table3[[#This Row],[Country Code]],Table29[],5,FALSE)</f>
        <v>Middle-income</v>
      </c>
      <c r="Y324" s="233" t="str">
        <f>VLOOKUP(Table3[[#This Row],[Country Code]],Table29[],6,FALSE)</f>
        <v>no</v>
      </c>
      <c r="Z324" s="233" t="str">
        <f>VLOOKUP(Table3[[#This Row],[Country Code]],Table29[],7,FALSE)</f>
        <v>no</v>
      </c>
      <c r="AA324" s="233" t="str">
        <f>VLOOKUP(Table3[[#This Row],[Country Code]],Table29[],8,FALSE)</f>
        <v>OECD</v>
      </c>
      <c r="AB324" s="233" t="str">
        <f>VLOOKUP(Table3[[#This Row],[Country Code]],Table29[],9,FALSE)</f>
        <v>no</v>
      </c>
      <c r="AC324" s="233" t="str">
        <f>VLOOKUP(Table3[[#This Row],[Country Code]],Table29[],10,FALSE)</f>
        <v>no</v>
      </c>
      <c r="AD324" s="235">
        <f>VLOOKUP(Table3[[#This Row],[Country Code]],Table29[],23,FALSE)</f>
        <v>16.468143919330998</v>
      </c>
      <c r="AE324" s="235">
        <f>VLOOKUP(Table3[[#This Row],[Country Code]],Table29[],24,FALSE)</f>
        <v>6.1699800179976929</v>
      </c>
      <c r="AF324" s="43"/>
    </row>
    <row r="325" spans="1:32" x14ac:dyDescent="0.25">
      <c r="A325" s="360">
        <v>17609</v>
      </c>
      <c r="B325" s="233" t="str">
        <f>VLOOKUP(Table3[[#This Row],[Document ID]],Table1[],2,FALSE)</f>
        <v>GIN</v>
      </c>
      <c r="C325" s="233" t="str">
        <f>VLOOKUP(Table3[[#This Row],[Document ID]],Table1[],3,FALSE)</f>
        <v>Guinea</v>
      </c>
      <c r="D325" s="233" t="str">
        <f>VLOOKUP(Table3[[#This Row],[Document ID]],Table1[],5,FALSE)</f>
        <v>NDC</v>
      </c>
      <c r="E325" s="233" t="str">
        <f>VLOOKUP(Table3[[#This Row],[Document ID]],Table1[],7,FALSE)</f>
        <v>First NDC</v>
      </c>
      <c r="F325" s="233" t="str">
        <f>VLOOKUP(Table3[[#This Row],[Document ID]],Table1[],8,FALSE)</f>
        <v>NDC 1.0</v>
      </c>
      <c r="G325" s="233" t="str">
        <f>VLOOKUP(Table3[[#This Row],[Document ID]],Table1[],10,FALSE)</f>
        <v>Archived</v>
      </c>
      <c r="H325" s="216" t="s">
        <v>1089</v>
      </c>
      <c r="I325" s="216" t="s">
        <v>1089</v>
      </c>
      <c r="J325" s="43" t="s">
        <v>1090</v>
      </c>
      <c r="K325" s="28" t="s">
        <v>1091</v>
      </c>
      <c r="L325" s="216" t="s">
        <v>1092</v>
      </c>
      <c r="M325" s="209">
        <v>2030</v>
      </c>
      <c r="N325" s="176" t="s">
        <v>1443</v>
      </c>
      <c r="O325" s="258" t="s">
        <v>1094</v>
      </c>
      <c r="P325" s="238" t="str">
        <f>VLOOKUP(_xlfn.CONCAT(Table3[[#This Row],[Target area]],Table3[[#This Row],[GHG target?]],Table3[[#This Row],[Conditionality]]),'Drop down'!$E$81:$F$101,2,FALSE)</f>
        <v>T_Economy_C</v>
      </c>
      <c r="Q325" s="239" t="str">
        <f>VLOOKUP(Table3[[#This Row],[Target type]],Table418[[Value name]:[Value idenifyer]],2,FALSE)</f>
        <v>T_BAU</v>
      </c>
      <c r="V325" s="233" t="str">
        <f>VLOOKUP(Table3[[#This Row],[Country Code]],Table29[],3,FALSE)</f>
        <v>Non-Annex I</v>
      </c>
      <c r="W325" s="233" t="str">
        <f>VLOOKUP(Table3[[#This Row],[Country Code]],Table29[],4,FALSE)</f>
        <v>Africa</v>
      </c>
      <c r="X325" s="233" t="str">
        <f>VLOOKUP(Table3[[#This Row],[Country Code]],Table29[],5,FALSE)</f>
        <v>Low-income</v>
      </c>
      <c r="Y325" s="233" t="str">
        <f>VLOOKUP(Table3[[#This Row],[Country Code]],Table29[],6,FALSE)</f>
        <v>no</v>
      </c>
      <c r="Z325" s="233" t="str">
        <f>VLOOKUP(Table3[[#This Row],[Country Code]],Table29[],7,FALSE)</f>
        <v>no</v>
      </c>
      <c r="AA325" s="233" t="str">
        <f>VLOOKUP(Table3[[#This Row],[Country Code]],Table29[],8,FALSE)</f>
        <v>non-OECD</v>
      </c>
      <c r="AB325" s="233" t="str">
        <f>VLOOKUP(Table3[[#This Row],[Country Code]],Table29[],9,FALSE)</f>
        <v>no</v>
      </c>
      <c r="AC325" s="233" t="str">
        <f>VLOOKUP(Table3[[#This Row],[Country Code]],Table29[],10,FALSE)</f>
        <v>no</v>
      </c>
      <c r="AD325" s="235">
        <f>VLOOKUP(Table3[[#This Row],[Country Code]],Table29[],23,FALSE)</f>
        <v>28.634657504101</v>
      </c>
      <c r="AE325" s="235">
        <f>VLOOKUP(Table3[[#This Row],[Country Code]],Table29[],24,FALSE)</f>
        <v>1.791571476776437</v>
      </c>
      <c r="AF325" s="43"/>
    </row>
    <row r="326" spans="1:32" x14ac:dyDescent="0.25">
      <c r="A326" s="360">
        <v>23373</v>
      </c>
      <c r="B326" s="233" t="str">
        <f>VLOOKUP(Table3[[#This Row],[Document ID]],Table1[],2,FALSE)</f>
        <v>GNB</v>
      </c>
      <c r="C326" s="233" t="str">
        <f>VLOOKUP(Table3[[#This Row],[Document ID]],Table1[],3,FALSE)</f>
        <v>Guinea Bissau</v>
      </c>
      <c r="D326" s="233" t="str">
        <f>VLOOKUP(Table3[[#This Row],[Document ID]],Table1[],5,FALSE)</f>
        <v>NDC</v>
      </c>
      <c r="E326" s="233" t="str">
        <f>VLOOKUP(Table3[[#This Row],[Document ID]],Table1[],7,FALSE)</f>
        <v>First NDC updated</v>
      </c>
      <c r="F326" s="233" t="str">
        <f>VLOOKUP(Table3[[#This Row],[Document ID]],Table1[],8,FALSE)</f>
        <v>NDC 1.1</v>
      </c>
      <c r="G326" s="233" t="str">
        <f>VLOOKUP(Table3[[#This Row],[Document ID]],Table1[],10,FALSE)</f>
        <v>Active</v>
      </c>
      <c r="H326" s="216" t="s">
        <v>1089</v>
      </c>
      <c r="I326" s="216" t="s">
        <v>1089</v>
      </c>
      <c r="J326" s="43" t="s">
        <v>1090</v>
      </c>
      <c r="K326" s="28" t="s">
        <v>1091</v>
      </c>
      <c r="L326" s="42" t="s">
        <v>1099</v>
      </c>
      <c r="M326" s="209">
        <v>2030</v>
      </c>
      <c r="N326" s="209" t="s">
        <v>1444</v>
      </c>
      <c r="O326" s="257">
        <v>13</v>
      </c>
      <c r="P326" s="238" t="str">
        <f>VLOOKUP(_xlfn.CONCAT(Table3[[#This Row],[Target area]],Table3[[#This Row],[GHG target?]],Table3[[#This Row],[Conditionality]]),'Drop down'!$E$81:$F$101,2,FALSE)</f>
        <v>T_Economy_Unc</v>
      </c>
      <c r="Q326" s="239" t="str">
        <f>VLOOKUP(Table3[[#This Row],[Target type]],Table418[[Value name]:[Value idenifyer]],2,FALSE)</f>
        <v>T_BAU</v>
      </c>
      <c r="V326" s="233" t="str">
        <f>VLOOKUP(Table3[[#This Row],[Country Code]],Table29[],3,FALSE)</f>
        <v>Non-Annex I</v>
      </c>
      <c r="W326" s="233" t="str">
        <f>VLOOKUP(Table3[[#This Row],[Country Code]],Table29[],4,FALSE)</f>
        <v>Africa</v>
      </c>
      <c r="X326" s="233" t="str">
        <f>VLOOKUP(Table3[[#This Row],[Country Code]],Table29[],5,FALSE)</f>
        <v>Low-income</v>
      </c>
      <c r="Y326" s="233" t="str">
        <f>VLOOKUP(Table3[[#This Row],[Country Code]],Table29[],6,FALSE)</f>
        <v>no</v>
      </c>
      <c r="Z326" s="233" t="str">
        <f>VLOOKUP(Table3[[#This Row],[Country Code]],Table29[],7,FALSE)</f>
        <v>no</v>
      </c>
      <c r="AA326" s="233" t="str">
        <f>VLOOKUP(Table3[[#This Row],[Country Code]],Table29[],8,FALSE)</f>
        <v>non-OECD</v>
      </c>
      <c r="AB326" s="233" t="str">
        <f>VLOOKUP(Table3[[#This Row],[Country Code]],Table29[],9,FALSE)</f>
        <v>no</v>
      </c>
      <c r="AC326" s="233" t="str">
        <f>VLOOKUP(Table3[[#This Row],[Country Code]],Table29[],10,FALSE)</f>
        <v>no</v>
      </c>
      <c r="AD326" s="235">
        <f>VLOOKUP(Table3[[#This Row],[Country Code]],Table29[],23,FALSE)</f>
        <v>2.9974771167324001</v>
      </c>
      <c r="AE326" s="235">
        <f>VLOOKUP(Table3[[#This Row],[Country Code]],Table29[],24,FALSE)</f>
        <v>0.19986352177742761</v>
      </c>
      <c r="AF326" s="43"/>
    </row>
    <row r="327" spans="1:32" x14ac:dyDescent="0.25">
      <c r="A327" s="360">
        <v>23373</v>
      </c>
      <c r="B327" s="233" t="str">
        <f>VLOOKUP(Table3[[#This Row],[Document ID]],Table1[],2,FALSE)</f>
        <v>GNB</v>
      </c>
      <c r="C327" s="233" t="str">
        <f>VLOOKUP(Table3[[#This Row],[Document ID]],Table1[],3,FALSE)</f>
        <v>Guinea Bissau</v>
      </c>
      <c r="D327" s="233" t="str">
        <f>VLOOKUP(Table3[[#This Row],[Document ID]],Table1[],5,FALSE)</f>
        <v>NDC</v>
      </c>
      <c r="E327" s="233" t="str">
        <f>VLOOKUP(Table3[[#This Row],[Document ID]],Table1[],7,FALSE)</f>
        <v>First NDC updated</v>
      </c>
      <c r="F327" s="233" t="str">
        <f>VLOOKUP(Table3[[#This Row],[Document ID]],Table1[],8,FALSE)</f>
        <v>NDC 1.1</v>
      </c>
      <c r="G327" s="233" t="str">
        <f>VLOOKUP(Table3[[#This Row],[Document ID]],Table1[],10,FALSE)</f>
        <v>Active</v>
      </c>
      <c r="H327" s="216" t="s">
        <v>1089</v>
      </c>
      <c r="I327" s="216" t="s">
        <v>1089</v>
      </c>
      <c r="J327" s="43" t="s">
        <v>1090</v>
      </c>
      <c r="K327" s="28" t="s">
        <v>1091</v>
      </c>
      <c r="L327" s="216" t="s">
        <v>1092</v>
      </c>
      <c r="M327" s="209">
        <v>2030</v>
      </c>
      <c r="N327" s="209" t="s">
        <v>1445</v>
      </c>
      <c r="O327" s="257">
        <v>13</v>
      </c>
      <c r="P327" s="238" t="str">
        <f>VLOOKUP(_xlfn.CONCAT(Table3[[#This Row],[Target area]],Table3[[#This Row],[GHG target?]],Table3[[#This Row],[Conditionality]]),'Drop down'!$E$81:$F$101,2,FALSE)</f>
        <v>T_Economy_C</v>
      </c>
      <c r="Q327" s="239" t="str">
        <f>VLOOKUP(Table3[[#This Row],[Target type]],Table418[[Value name]:[Value idenifyer]],2,FALSE)</f>
        <v>T_BAU</v>
      </c>
      <c r="V327" s="233" t="str">
        <f>VLOOKUP(Table3[[#This Row],[Country Code]],Table29[],3,FALSE)</f>
        <v>Non-Annex I</v>
      </c>
      <c r="W327" s="233" t="str">
        <f>VLOOKUP(Table3[[#This Row],[Country Code]],Table29[],4,FALSE)</f>
        <v>Africa</v>
      </c>
      <c r="X327" s="233" t="str">
        <f>VLOOKUP(Table3[[#This Row],[Country Code]],Table29[],5,FALSE)</f>
        <v>Low-income</v>
      </c>
      <c r="Y327" s="233" t="str">
        <f>VLOOKUP(Table3[[#This Row],[Country Code]],Table29[],6,FALSE)</f>
        <v>no</v>
      </c>
      <c r="Z327" s="233" t="str">
        <f>VLOOKUP(Table3[[#This Row],[Country Code]],Table29[],7,FALSE)</f>
        <v>no</v>
      </c>
      <c r="AA327" s="233" t="str">
        <f>VLOOKUP(Table3[[#This Row],[Country Code]],Table29[],8,FALSE)</f>
        <v>non-OECD</v>
      </c>
      <c r="AB327" s="233" t="str">
        <f>VLOOKUP(Table3[[#This Row],[Country Code]],Table29[],9,FALSE)</f>
        <v>no</v>
      </c>
      <c r="AC327" s="233" t="str">
        <f>VLOOKUP(Table3[[#This Row],[Country Code]],Table29[],10,FALSE)</f>
        <v>no</v>
      </c>
      <c r="AD327" s="235">
        <f>VLOOKUP(Table3[[#This Row],[Country Code]],Table29[],23,FALSE)</f>
        <v>2.9974771167324001</v>
      </c>
      <c r="AE327" s="235">
        <f>VLOOKUP(Table3[[#This Row],[Country Code]],Table29[],24,FALSE)</f>
        <v>0.19986352177742761</v>
      </c>
      <c r="AF327" s="43"/>
    </row>
    <row r="328" spans="1:32" x14ac:dyDescent="0.25">
      <c r="A328" s="360">
        <v>17611</v>
      </c>
      <c r="B328" s="233" t="str">
        <f>VLOOKUP(Table3[[#This Row],[Document ID]],Table1[],2,FALSE)</f>
        <v>GUY</v>
      </c>
      <c r="C328" s="233" t="str">
        <f>VLOOKUP(Table3[[#This Row],[Document ID]],Table1[],3,FALSE)</f>
        <v>Guyana</v>
      </c>
      <c r="D328" s="233" t="str">
        <f>VLOOKUP(Table3[[#This Row],[Document ID]],Table1[],5,FALSE)</f>
        <v>NDC</v>
      </c>
      <c r="E328" s="233" t="str">
        <f>VLOOKUP(Table3[[#This Row],[Document ID]],Table1[],7,FALSE)</f>
        <v>First NDC</v>
      </c>
      <c r="F328" s="233" t="str">
        <f>VLOOKUP(Table3[[#This Row],[Document ID]],Table1[],8,FALSE)</f>
        <v>NDC 1.0</v>
      </c>
      <c r="G328" s="233" t="str">
        <f>VLOOKUP(Table3[[#This Row],[Document ID]],Table1[],10,FALSE)</f>
        <v>Active</v>
      </c>
      <c r="H328" s="216" t="s">
        <v>1089</v>
      </c>
      <c r="I328" s="216" t="s">
        <v>1089</v>
      </c>
      <c r="J328" s="43" t="s">
        <v>1090</v>
      </c>
      <c r="K328" s="28" t="s">
        <v>1121</v>
      </c>
      <c r="L328" s="42" t="s">
        <v>1099</v>
      </c>
      <c r="M328" s="209">
        <v>2025</v>
      </c>
      <c r="N328" s="176" t="s">
        <v>1446</v>
      </c>
      <c r="O328" s="258" t="s">
        <v>1094</v>
      </c>
      <c r="P328" s="238" t="str">
        <f>VLOOKUP(_xlfn.CONCAT(Table3[[#This Row],[Target area]],Table3[[#This Row],[GHG target?]],Table3[[#This Row],[Conditionality]]),'Drop down'!$E$81:$F$101,2,FALSE)</f>
        <v>T_Economy_Unc</v>
      </c>
      <c r="Q328" s="239" t="str">
        <f>VLOOKUP(Table3[[#This Row],[Target type]],Table418[[Value name]:[Value idenifyer]],2,FALSE)</f>
        <v>T_FL</v>
      </c>
      <c r="V328" s="233" t="str">
        <f>VLOOKUP(Table3[[#This Row],[Country Code]],Table29[],3,FALSE)</f>
        <v>Non-Annex I</v>
      </c>
      <c r="W328" s="233" t="str">
        <f>VLOOKUP(Table3[[#This Row],[Country Code]],Table29[],4,FALSE)</f>
        <v>Latin America and the Caribbean</v>
      </c>
      <c r="X328" s="233" t="str">
        <f>VLOOKUP(Table3[[#This Row],[Country Code]],Table29[],5,FALSE)</f>
        <v>Middle-income</v>
      </c>
      <c r="Y328" s="233" t="str">
        <f>VLOOKUP(Table3[[#This Row],[Country Code]],Table29[],6,FALSE)</f>
        <v>no</v>
      </c>
      <c r="Z328" s="233" t="str">
        <f>VLOOKUP(Table3[[#This Row],[Country Code]],Table29[],7,FALSE)</f>
        <v>no</v>
      </c>
      <c r="AA328" s="233" t="str">
        <f>VLOOKUP(Table3[[#This Row],[Country Code]],Table29[],8,FALSE)</f>
        <v>non-OECD</v>
      </c>
      <c r="AB328" s="233" t="str">
        <f>VLOOKUP(Table3[[#This Row],[Country Code]],Table29[],9,FALSE)</f>
        <v>no</v>
      </c>
      <c r="AC328" s="233" t="str">
        <f>VLOOKUP(Table3[[#This Row],[Country Code]],Table29[],10,FALSE)</f>
        <v>no</v>
      </c>
      <c r="AD328" s="235">
        <f>VLOOKUP(Table3[[#This Row],[Country Code]],Table29[],23,FALSE)</f>
        <v>8.1909886010150004</v>
      </c>
      <c r="AE328" s="235">
        <f>VLOOKUP(Table3[[#This Row],[Country Code]],Table29[],24,FALSE)</f>
        <v>1.0576736759870471</v>
      </c>
      <c r="AF328" s="43"/>
    </row>
    <row r="329" spans="1:32" ht="30" x14ac:dyDescent="0.25">
      <c r="A329" s="360">
        <v>17564</v>
      </c>
      <c r="B329" s="233" t="str">
        <f>VLOOKUP(Table3[[#This Row],[Document ID]],Table1[],2,FALSE)</f>
        <v>CRI</v>
      </c>
      <c r="C329" s="233" t="str">
        <f>VLOOKUP(Table3[[#This Row],[Document ID]],Table1[],3,FALSE)</f>
        <v>Costa Rica</v>
      </c>
      <c r="D329" s="233" t="str">
        <f>VLOOKUP(Table3[[#This Row],[Document ID]],Table1[],5,FALSE)</f>
        <v>NDC</v>
      </c>
      <c r="E329" s="233" t="str">
        <f>VLOOKUP(Table3[[#This Row],[Document ID]],Table1[],7,FALSE)</f>
        <v>First NDC updated</v>
      </c>
      <c r="F329" s="233" t="str">
        <f>VLOOKUP(Table3[[#This Row],[Document ID]],Table1[],8,FALSE)</f>
        <v>NDC 1.1</v>
      </c>
      <c r="G329" s="233" t="str">
        <f>VLOOKUP(Table3[[#This Row],[Document ID]],Table1[],10,FALSE)</f>
        <v>Active</v>
      </c>
      <c r="H329" s="42" t="s">
        <v>1095</v>
      </c>
      <c r="I329" s="42" t="s">
        <v>1096</v>
      </c>
      <c r="J329" s="42" t="s">
        <v>1097</v>
      </c>
      <c r="K329" s="28" t="s">
        <v>1104</v>
      </c>
      <c r="L329" s="389" t="s">
        <v>1099</v>
      </c>
      <c r="M329" s="209">
        <v>2030</v>
      </c>
      <c r="N329" s="44" t="s">
        <v>1447</v>
      </c>
      <c r="O329" s="221">
        <v>18</v>
      </c>
      <c r="P329" s="238" t="str">
        <f>VLOOKUP(_xlfn.CONCAT(Table3[[#This Row],[Target area]],Table3[[#This Row],[GHG target?]],Table3[[#This Row],[Conditionality]]),'Drop down'!$E$81:$F$101,2,FALSE)</f>
        <v>T_Transport_O_Unc</v>
      </c>
      <c r="Q329" s="239" t="str">
        <f>VLOOKUP(Table3[[#This Row],[Target type]],Table418[[Value name]:[Value idenifyer]],2,FALSE)</f>
        <v>T_O_ZERO</v>
      </c>
      <c r="S329" s="233" t="s">
        <v>1101</v>
      </c>
      <c r="T329" s="234" t="s">
        <v>1113</v>
      </c>
      <c r="U329" s="234" t="s">
        <v>1113</v>
      </c>
      <c r="V329" s="233" t="str">
        <f>VLOOKUP(Table3[[#This Row],[Country Code]],Table29[],3,FALSE)</f>
        <v>Non-Annex I</v>
      </c>
      <c r="W329" s="233" t="str">
        <f>VLOOKUP(Table3[[#This Row],[Country Code]],Table29[],4,FALSE)</f>
        <v>Latin America and the Caribbean</v>
      </c>
      <c r="X329" s="233" t="str">
        <f>VLOOKUP(Table3[[#This Row],[Country Code]],Table29[],5,FALSE)</f>
        <v>Middle-income</v>
      </c>
      <c r="Y329" s="233" t="str">
        <f>VLOOKUP(Table3[[#This Row],[Country Code]],Table29[],6,FALSE)</f>
        <v>no</v>
      </c>
      <c r="Z329" s="233" t="str">
        <f>VLOOKUP(Table3[[#This Row],[Country Code]],Table29[],7,FALSE)</f>
        <v>no</v>
      </c>
      <c r="AA329" s="233" t="str">
        <f>VLOOKUP(Table3[[#This Row],[Country Code]],Table29[],8,FALSE)</f>
        <v>OECD</v>
      </c>
      <c r="AB329" s="233" t="str">
        <f>VLOOKUP(Table3[[#This Row],[Country Code]],Table29[],9,FALSE)</f>
        <v>no</v>
      </c>
      <c r="AC329" s="233" t="str">
        <f>VLOOKUP(Table3[[#This Row],[Country Code]],Table29[],10,FALSE)</f>
        <v>no</v>
      </c>
      <c r="AD329" s="235">
        <f>VLOOKUP(Table3[[#This Row],[Country Code]],Table29[],23,FALSE)</f>
        <v>16.468143919330998</v>
      </c>
      <c r="AE329" s="235">
        <f>VLOOKUP(Table3[[#This Row],[Country Code]],Table29[],24,FALSE)</f>
        <v>6.1699800179976929</v>
      </c>
      <c r="AF329" s="43"/>
    </row>
    <row r="330" spans="1:32" ht="45" x14ac:dyDescent="0.25">
      <c r="A330" s="360">
        <v>17564</v>
      </c>
      <c r="B330" s="233" t="str">
        <f>VLOOKUP(Table3[[#This Row],[Document ID]],Table1[],2,FALSE)</f>
        <v>CRI</v>
      </c>
      <c r="C330" s="233" t="str">
        <f>VLOOKUP(Table3[[#This Row],[Document ID]],Table1[],3,FALSE)</f>
        <v>Costa Rica</v>
      </c>
      <c r="D330" s="233" t="str">
        <f>VLOOKUP(Table3[[#This Row],[Document ID]],Table1[],5,FALSE)</f>
        <v>NDC</v>
      </c>
      <c r="E330" s="233" t="str">
        <f>VLOOKUP(Table3[[#This Row],[Document ID]],Table1[],7,FALSE)</f>
        <v>First NDC updated</v>
      </c>
      <c r="F330" s="233" t="str">
        <f>VLOOKUP(Table3[[#This Row],[Document ID]],Table1[],8,FALSE)</f>
        <v>NDC 1.1</v>
      </c>
      <c r="G330" s="233" t="str">
        <f>VLOOKUP(Table3[[#This Row],[Document ID]],Table1[],10,FALSE)</f>
        <v>Active</v>
      </c>
      <c r="H330" s="42" t="s">
        <v>1095</v>
      </c>
      <c r="I330" s="42" t="s">
        <v>1096</v>
      </c>
      <c r="J330" s="42" t="s">
        <v>1097</v>
      </c>
      <c r="K330" s="28" t="s">
        <v>1162</v>
      </c>
      <c r="L330" s="42" t="s">
        <v>1099</v>
      </c>
      <c r="M330" s="209">
        <v>2025</v>
      </c>
      <c r="N330" s="44" t="s">
        <v>1448</v>
      </c>
      <c r="O330" s="221">
        <v>18</v>
      </c>
      <c r="P330" s="238" t="str">
        <f>VLOOKUP(_xlfn.CONCAT(Table3[[#This Row],[Target area]],Table3[[#This Row],[GHG target?]],Table3[[#This Row],[Conditionality]]),'Drop down'!$E$81:$F$101,2,FALSE)</f>
        <v>T_Transport_O_Unc</v>
      </c>
      <c r="Q330" s="239" t="str">
        <f>VLOOKUP(Table3[[#This Row],[Target type]],Table418[[Value name]:[Value idenifyer]],2,FALSE)</f>
        <v>T_O_INFRA</v>
      </c>
      <c r="S330" s="233" t="s">
        <v>1101</v>
      </c>
      <c r="T330" s="234" t="s">
        <v>1113</v>
      </c>
      <c r="U330" s="234" t="s">
        <v>1113</v>
      </c>
      <c r="V330" s="233" t="str">
        <f>VLOOKUP(Table3[[#This Row],[Country Code]],Table29[],3,FALSE)</f>
        <v>Non-Annex I</v>
      </c>
      <c r="W330" s="233" t="str">
        <f>VLOOKUP(Table3[[#This Row],[Country Code]],Table29[],4,FALSE)</f>
        <v>Latin America and the Caribbean</v>
      </c>
      <c r="X330" s="233" t="str">
        <f>VLOOKUP(Table3[[#This Row],[Country Code]],Table29[],5,FALSE)</f>
        <v>Middle-income</v>
      </c>
      <c r="Y330" s="233" t="str">
        <f>VLOOKUP(Table3[[#This Row],[Country Code]],Table29[],6,FALSE)</f>
        <v>no</v>
      </c>
      <c r="Z330" s="233" t="str">
        <f>VLOOKUP(Table3[[#This Row],[Country Code]],Table29[],7,FALSE)</f>
        <v>no</v>
      </c>
      <c r="AA330" s="233" t="str">
        <f>VLOOKUP(Table3[[#This Row],[Country Code]],Table29[],8,FALSE)</f>
        <v>OECD</v>
      </c>
      <c r="AB330" s="233" t="str">
        <f>VLOOKUP(Table3[[#This Row],[Country Code]],Table29[],9,FALSE)</f>
        <v>no</v>
      </c>
      <c r="AC330" s="233" t="str">
        <f>VLOOKUP(Table3[[#This Row],[Country Code]],Table29[],10,FALSE)</f>
        <v>no</v>
      </c>
      <c r="AD330" s="235">
        <f>VLOOKUP(Table3[[#This Row],[Country Code]],Table29[],23,FALSE)</f>
        <v>16.468143919330998</v>
      </c>
      <c r="AE330" s="235">
        <f>VLOOKUP(Table3[[#This Row],[Country Code]],Table29[],24,FALSE)</f>
        <v>6.1699800179976929</v>
      </c>
      <c r="AF330" s="43"/>
    </row>
    <row r="331" spans="1:32" ht="90" x14ac:dyDescent="0.25">
      <c r="A331" s="360">
        <v>17564</v>
      </c>
      <c r="B331" s="233" t="str">
        <f>VLOOKUP(Table3[[#This Row],[Document ID]],Table1[],2,FALSE)</f>
        <v>CRI</v>
      </c>
      <c r="C331" s="233" t="str">
        <f>VLOOKUP(Table3[[#This Row],[Document ID]],Table1[],3,FALSE)</f>
        <v>Costa Rica</v>
      </c>
      <c r="D331" s="233" t="str">
        <f>VLOOKUP(Table3[[#This Row],[Document ID]],Table1[],5,FALSE)</f>
        <v>NDC</v>
      </c>
      <c r="E331" s="233" t="str">
        <f>VLOOKUP(Table3[[#This Row],[Document ID]],Table1[],7,FALSE)</f>
        <v>First NDC updated</v>
      </c>
      <c r="F331" s="233" t="str">
        <f>VLOOKUP(Table3[[#This Row],[Document ID]],Table1[],8,FALSE)</f>
        <v>NDC 1.1</v>
      </c>
      <c r="G331" s="233" t="str">
        <f>VLOOKUP(Table3[[#This Row],[Document ID]],Table1[],10,FALSE)</f>
        <v>Active</v>
      </c>
      <c r="H331" s="42" t="s">
        <v>1095</v>
      </c>
      <c r="I331" s="42" t="s">
        <v>1096</v>
      </c>
      <c r="J331" s="42" t="s">
        <v>1097</v>
      </c>
      <c r="K331" s="28" t="s">
        <v>1175</v>
      </c>
      <c r="L331" s="42" t="s">
        <v>1099</v>
      </c>
      <c r="M331" s="209">
        <v>2030</v>
      </c>
      <c r="N331" s="44" t="s">
        <v>1449</v>
      </c>
      <c r="O331" s="221">
        <v>18</v>
      </c>
      <c r="P331" s="238" t="str">
        <f>VLOOKUP(_xlfn.CONCAT(Table3[[#This Row],[Target area]],Table3[[#This Row],[GHG target?]],Table3[[#This Row],[Conditionality]]),'Drop down'!$E$81:$F$101,2,FALSE)</f>
        <v>T_Transport_O_Unc</v>
      </c>
      <c r="Q331" s="239" t="str">
        <f>VLOOKUP(Table3[[#This Row],[Target type]],Table418[[Value name]:[Value idenifyer]],2,FALSE)</f>
        <v>T_O_AVOID</v>
      </c>
      <c r="S331" s="233" t="s">
        <v>1101</v>
      </c>
      <c r="T331" s="234" t="s">
        <v>1113</v>
      </c>
      <c r="U331" s="234" t="s">
        <v>1113</v>
      </c>
      <c r="V331" s="233" t="str">
        <f>VLOOKUP(Table3[[#This Row],[Country Code]],Table29[],3,FALSE)</f>
        <v>Non-Annex I</v>
      </c>
      <c r="W331" s="233" t="str">
        <f>VLOOKUP(Table3[[#This Row],[Country Code]],Table29[],4,FALSE)</f>
        <v>Latin America and the Caribbean</v>
      </c>
      <c r="X331" s="233" t="str">
        <f>VLOOKUP(Table3[[#This Row],[Country Code]],Table29[],5,FALSE)</f>
        <v>Middle-income</v>
      </c>
      <c r="Y331" s="233" t="str">
        <f>VLOOKUP(Table3[[#This Row],[Country Code]],Table29[],6,FALSE)</f>
        <v>no</v>
      </c>
      <c r="Z331" s="233" t="str">
        <f>VLOOKUP(Table3[[#This Row],[Country Code]],Table29[],7,FALSE)</f>
        <v>no</v>
      </c>
      <c r="AA331" s="233" t="str">
        <f>VLOOKUP(Table3[[#This Row],[Country Code]],Table29[],8,FALSE)</f>
        <v>OECD</v>
      </c>
      <c r="AB331" s="233" t="str">
        <f>VLOOKUP(Table3[[#This Row],[Country Code]],Table29[],9,FALSE)</f>
        <v>no</v>
      </c>
      <c r="AC331" s="233" t="str">
        <f>VLOOKUP(Table3[[#This Row],[Country Code]],Table29[],10,FALSE)</f>
        <v>no</v>
      </c>
      <c r="AD331" s="235">
        <f>VLOOKUP(Table3[[#This Row],[Country Code]],Table29[],23,FALSE)</f>
        <v>16.468143919330998</v>
      </c>
      <c r="AE331" s="235">
        <f>VLOOKUP(Table3[[#This Row],[Country Code]],Table29[],24,FALSE)</f>
        <v>6.1699800179976929</v>
      </c>
      <c r="AF331" s="43"/>
    </row>
    <row r="332" spans="1:32" ht="45" x14ac:dyDescent="0.25">
      <c r="A332" s="360">
        <v>26799</v>
      </c>
      <c r="B332" s="233" t="str">
        <f>VLOOKUP(Table3[[#This Row],[Document ID]],Table1[],2,FALSE)</f>
        <v>HTI</v>
      </c>
      <c r="C332" s="233" t="str">
        <f>VLOOKUP(Table3[[#This Row],[Document ID]],Table1[],3,FALSE)</f>
        <v>Haiti</v>
      </c>
      <c r="D332" s="233" t="str">
        <f>VLOOKUP(Table3[[#This Row],[Document ID]],Table1[],5,FALSE)</f>
        <v>NDC</v>
      </c>
      <c r="E332" s="233" t="str">
        <f>VLOOKUP(Table3[[#This Row],[Document ID]],Table1[],7,FALSE)</f>
        <v>First NDC updated</v>
      </c>
      <c r="F332" s="233" t="str">
        <f>VLOOKUP(Table3[[#This Row],[Document ID]],Table1[],8,FALSE)</f>
        <v>NDC 1.1</v>
      </c>
      <c r="G332" s="233" t="str">
        <f>VLOOKUP(Table3[[#This Row],[Document ID]],Table1[],10,FALSE)</f>
        <v>Active</v>
      </c>
      <c r="H332" s="216" t="s">
        <v>1089</v>
      </c>
      <c r="I332" s="216" t="s">
        <v>1089</v>
      </c>
      <c r="J332" s="43" t="s">
        <v>1090</v>
      </c>
      <c r="K332" s="28" t="s">
        <v>1091</v>
      </c>
      <c r="L332" s="42" t="s">
        <v>1099</v>
      </c>
      <c r="M332" s="209">
        <v>2030</v>
      </c>
      <c r="N332" s="209" t="s">
        <v>1450</v>
      </c>
      <c r="O332" s="257">
        <v>35</v>
      </c>
      <c r="P332" s="238" t="str">
        <f>VLOOKUP(_xlfn.CONCAT(Table3[[#This Row],[Target area]],Table3[[#This Row],[GHG target?]],Table3[[#This Row],[Conditionality]]),'Drop down'!$E$81:$F$101,2,FALSE)</f>
        <v>T_Economy_Unc</v>
      </c>
      <c r="Q332" s="239" t="str">
        <f>VLOOKUP(Table3[[#This Row],[Target type]],Table418[[Value name]:[Value idenifyer]],2,FALSE)</f>
        <v>T_BAU</v>
      </c>
      <c r="S332" s="233" t="s">
        <v>1101</v>
      </c>
      <c r="T332" s="240"/>
      <c r="V332" s="233" t="str">
        <f>VLOOKUP(Table3[[#This Row],[Country Code]],Table29[],3,FALSE)</f>
        <v>Non-Annex I</v>
      </c>
      <c r="W332" s="233" t="str">
        <f>VLOOKUP(Table3[[#This Row],[Country Code]],Table29[],4,FALSE)</f>
        <v>Latin America and the Caribbean</v>
      </c>
      <c r="X332" s="233" t="str">
        <f>VLOOKUP(Table3[[#This Row],[Country Code]],Table29[],5,FALSE)</f>
        <v>Middle-income</v>
      </c>
      <c r="Y332" s="233" t="str">
        <f>VLOOKUP(Table3[[#This Row],[Country Code]],Table29[],6,FALSE)</f>
        <v>no</v>
      </c>
      <c r="Z332" s="233" t="str">
        <f>VLOOKUP(Table3[[#This Row],[Country Code]],Table29[],7,FALSE)</f>
        <v>no</v>
      </c>
      <c r="AA332" s="233" t="str">
        <f>VLOOKUP(Table3[[#This Row],[Country Code]],Table29[],8,FALSE)</f>
        <v>non-OECD</v>
      </c>
      <c r="AB332" s="233" t="str">
        <f>VLOOKUP(Table3[[#This Row],[Country Code]],Table29[],9,FALSE)</f>
        <v>no</v>
      </c>
      <c r="AC332" s="233" t="str">
        <f>VLOOKUP(Table3[[#This Row],[Country Code]],Table29[],10,FALSE)</f>
        <v>no</v>
      </c>
      <c r="AD332" s="235">
        <f>VLOOKUP(Table3[[#This Row],[Country Code]],Table29[],23,FALSE)</f>
        <v>13.656955798463001</v>
      </c>
      <c r="AE332" s="235">
        <f>VLOOKUP(Table3[[#This Row],[Country Code]],Table29[],24,FALSE)</f>
        <v>1.477654993185334</v>
      </c>
      <c r="AF332" s="43"/>
    </row>
    <row r="333" spans="1:32" ht="30" x14ac:dyDescent="0.25">
      <c r="A333" s="360">
        <v>26799</v>
      </c>
      <c r="B333" s="233" t="str">
        <f>VLOOKUP(Table3[[#This Row],[Document ID]],Table1[],2,FALSE)</f>
        <v>HTI</v>
      </c>
      <c r="C333" s="233" t="str">
        <f>VLOOKUP(Table3[[#This Row],[Document ID]],Table1[],3,FALSE)</f>
        <v>Haiti</v>
      </c>
      <c r="D333" s="233" t="str">
        <f>VLOOKUP(Table3[[#This Row],[Document ID]],Table1[],5,FALSE)</f>
        <v>NDC</v>
      </c>
      <c r="E333" s="233" t="str">
        <f>VLOOKUP(Table3[[#This Row],[Document ID]],Table1[],7,FALSE)</f>
        <v>First NDC updated</v>
      </c>
      <c r="F333" s="233" t="str">
        <f>VLOOKUP(Table3[[#This Row],[Document ID]],Table1[],8,FALSE)</f>
        <v>NDC 1.1</v>
      </c>
      <c r="G333" s="233" t="str">
        <f>VLOOKUP(Table3[[#This Row],[Document ID]],Table1[],10,FALSE)</f>
        <v>Active</v>
      </c>
      <c r="H333" s="216" t="s">
        <v>1089</v>
      </c>
      <c r="I333" s="216" t="s">
        <v>1089</v>
      </c>
      <c r="J333" s="43" t="s">
        <v>1090</v>
      </c>
      <c r="K333" s="28" t="s">
        <v>1091</v>
      </c>
      <c r="L333" s="216" t="s">
        <v>1092</v>
      </c>
      <c r="M333" s="209">
        <v>2030</v>
      </c>
      <c r="N333" s="44" t="s">
        <v>1451</v>
      </c>
      <c r="O333" s="258">
        <v>35</v>
      </c>
      <c r="P333" s="238" t="str">
        <f>VLOOKUP(_xlfn.CONCAT(Table3[[#This Row],[Target area]],Table3[[#This Row],[GHG target?]],Table3[[#This Row],[Conditionality]]),'Drop down'!$E$81:$F$101,2,FALSE)</f>
        <v>T_Economy_C</v>
      </c>
      <c r="Q333" s="239" t="str">
        <f>VLOOKUP(Table3[[#This Row],[Target type]],Table418[[Value name]:[Value idenifyer]],2,FALSE)</f>
        <v>T_BAU</v>
      </c>
      <c r="S333" s="233" t="s">
        <v>1101</v>
      </c>
      <c r="V333" s="233" t="str">
        <f>VLOOKUP(Table3[[#This Row],[Country Code]],Table29[],3,FALSE)</f>
        <v>Non-Annex I</v>
      </c>
      <c r="W333" s="233" t="str">
        <f>VLOOKUP(Table3[[#This Row],[Country Code]],Table29[],4,FALSE)</f>
        <v>Latin America and the Caribbean</v>
      </c>
      <c r="X333" s="233" t="str">
        <f>VLOOKUP(Table3[[#This Row],[Country Code]],Table29[],5,FALSE)</f>
        <v>Middle-income</v>
      </c>
      <c r="Y333" s="233" t="str">
        <f>VLOOKUP(Table3[[#This Row],[Country Code]],Table29[],6,FALSE)</f>
        <v>no</v>
      </c>
      <c r="Z333" s="233" t="str">
        <f>VLOOKUP(Table3[[#This Row],[Country Code]],Table29[],7,FALSE)</f>
        <v>no</v>
      </c>
      <c r="AA333" s="233" t="str">
        <f>VLOOKUP(Table3[[#This Row],[Country Code]],Table29[],8,FALSE)</f>
        <v>non-OECD</v>
      </c>
      <c r="AB333" s="233" t="str">
        <f>VLOOKUP(Table3[[#This Row],[Country Code]],Table29[],9,FALSE)</f>
        <v>no</v>
      </c>
      <c r="AC333" s="233" t="str">
        <f>VLOOKUP(Table3[[#This Row],[Country Code]],Table29[],10,FALSE)</f>
        <v>no</v>
      </c>
      <c r="AD333" s="235">
        <f>VLOOKUP(Table3[[#This Row],[Country Code]],Table29[],23,FALSE)</f>
        <v>13.656955798463001</v>
      </c>
      <c r="AE333" s="235">
        <f>VLOOKUP(Table3[[#This Row],[Country Code]],Table29[],24,FALSE)</f>
        <v>1.477654993185334</v>
      </c>
      <c r="AF333" s="43"/>
    </row>
    <row r="334" spans="1:32" x14ac:dyDescent="0.25">
      <c r="A334" s="360">
        <v>17612</v>
      </c>
      <c r="B334" s="233" t="str">
        <f>VLOOKUP(Table3[[#This Row],[Document ID]],Table1[],2,FALSE)</f>
        <v>HTI</v>
      </c>
      <c r="C334" s="233" t="str">
        <f>VLOOKUP(Table3[[#This Row],[Document ID]],Table1[],3,FALSE)</f>
        <v>Haiti</v>
      </c>
      <c r="D334" s="233" t="str">
        <f>VLOOKUP(Table3[[#This Row],[Document ID]],Table1[],5,FALSE)</f>
        <v>NDC</v>
      </c>
      <c r="E334" s="233" t="str">
        <f>VLOOKUP(Table3[[#This Row],[Document ID]],Table1[],7,FALSE)</f>
        <v>First NDC</v>
      </c>
      <c r="F334" s="233" t="str">
        <f>VLOOKUP(Table3[[#This Row],[Document ID]],Table1[],8,FALSE)</f>
        <v>NDC 1.0</v>
      </c>
      <c r="G334" s="233" t="str">
        <f>VLOOKUP(Table3[[#This Row],[Document ID]],Table1[],10,FALSE)</f>
        <v>Archived</v>
      </c>
      <c r="H334" s="216" t="s">
        <v>1089</v>
      </c>
      <c r="I334" s="216" t="s">
        <v>1089</v>
      </c>
      <c r="J334" s="43" t="s">
        <v>1090</v>
      </c>
      <c r="K334" s="28" t="s">
        <v>1091</v>
      </c>
      <c r="L334" s="42" t="s">
        <v>1099</v>
      </c>
      <c r="M334" s="209">
        <v>2030</v>
      </c>
      <c r="N334" s="176" t="s">
        <v>1452</v>
      </c>
      <c r="O334" s="258" t="s">
        <v>1094</v>
      </c>
      <c r="P334" s="238" t="str">
        <f>VLOOKUP(_xlfn.CONCAT(Table3[[#This Row],[Target area]],Table3[[#This Row],[GHG target?]],Table3[[#This Row],[Conditionality]]),'Drop down'!$E$81:$F$101,2,FALSE)</f>
        <v>T_Economy_Unc</v>
      </c>
      <c r="Q334" s="239" t="str">
        <f>VLOOKUP(Table3[[#This Row],[Target type]],Table418[[Value name]:[Value idenifyer]],2,FALSE)</f>
        <v>T_BAU</v>
      </c>
      <c r="V334" s="233" t="str">
        <f>VLOOKUP(Table3[[#This Row],[Country Code]],Table29[],3,FALSE)</f>
        <v>Non-Annex I</v>
      </c>
      <c r="W334" s="233" t="str">
        <f>VLOOKUP(Table3[[#This Row],[Country Code]],Table29[],4,FALSE)</f>
        <v>Latin America and the Caribbean</v>
      </c>
      <c r="X334" s="233" t="str">
        <f>VLOOKUP(Table3[[#This Row],[Country Code]],Table29[],5,FALSE)</f>
        <v>Middle-income</v>
      </c>
      <c r="Y334" s="233" t="str">
        <f>VLOOKUP(Table3[[#This Row],[Country Code]],Table29[],6,FALSE)</f>
        <v>no</v>
      </c>
      <c r="Z334" s="233" t="str">
        <f>VLOOKUP(Table3[[#This Row],[Country Code]],Table29[],7,FALSE)</f>
        <v>no</v>
      </c>
      <c r="AA334" s="233" t="str">
        <f>VLOOKUP(Table3[[#This Row],[Country Code]],Table29[],8,FALSE)</f>
        <v>non-OECD</v>
      </c>
      <c r="AB334" s="233" t="str">
        <f>VLOOKUP(Table3[[#This Row],[Country Code]],Table29[],9,FALSE)</f>
        <v>no</v>
      </c>
      <c r="AC334" s="233" t="str">
        <f>VLOOKUP(Table3[[#This Row],[Country Code]],Table29[],10,FALSE)</f>
        <v>no</v>
      </c>
      <c r="AD334" s="235">
        <f>VLOOKUP(Table3[[#This Row],[Country Code]],Table29[],23,FALSE)</f>
        <v>13.656955798463001</v>
      </c>
      <c r="AE334" s="235">
        <f>VLOOKUP(Table3[[#This Row],[Country Code]],Table29[],24,FALSE)</f>
        <v>1.477654993185334</v>
      </c>
      <c r="AF334" s="43"/>
    </row>
    <row r="335" spans="1:32" x14ac:dyDescent="0.25">
      <c r="A335" s="360">
        <v>17612</v>
      </c>
      <c r="B335" s="233" t="str">
        <f>VLOOKUP(Table3[[#This Row],[Document ID]],Table1[],2,FALSE)</f>
        <v>HTI</v>
      </c>
      <c r="C335" s="233" t="str">
        <f>VLOOKUP(Table3[[#This Row],[Document ID]],Table1[],3,FALSE)</f>
        <v>Haiti</v>
      </c>
      <c r="D335" s="233" t="str">
        <f>VLOOKUP(Table3[[#This Row],[Document ID]],Table1[],5,FALSE)</f>
        <v>NDC</v>
      </c>
      <c r="E335" s="233" t="str">
        <f>VLOOKUP(Table3[[#This Row],[Document ID]],Table1[],7,FALSE)</f>
        <v>First NDC</v>
      </c>
      <c r="F335" s="233" t="str">
        <f>VLOOKUP(Table3[[#This Row],[Document ID]],Table1[],8,FALSE)</f>
        <v>NDC 1.0</v>
      </c>
      <c r="G335" s="233" t="str">
        <f>VLOOKUP(Table3[[#This Row],[Document ID]],Table1[],10,FALSE)</f>
        <v>Archived</v>
      </c>
      <c r="H335" s="216" t="s">
        <v>1089</v>
      </c>
      <c r="I335" s="216" t="s">
        <v>1089</v>
      </c>
      <c r="J335" s="43" t="s">
        <v>1090</v>
      </c>
      <c r="K335" s="28" t="s">
        <v>1091</v>
      </c>
      <c r="L335" s="216" t="s">
        <v>1092</v>
      </c>
      <c r="M335" s="209">
        <v>2030</v>
      </c>
      <c r="N335" s="176" t="s">
        <v>1453</v>
      </c>
      <c r="O335" s="258" t="s">
        <v>1094</v>
      </c>
      <c r="P335" s="238" t="str">
        <f>VLOOKUP(_xlfn.CONCAT(Table3[[#This Row],[Target area]],Table3[[#This Row],[GHG target?]],Table3[[#This Row],[Conditionality]]),'Drop down'!$E$81:$F$101,2,FALSE)</f>
        <v>T_Economy_C</v>
      </c>
      <c r="Q335" s="239" t="str">
        <f>VLOOKUP(Table3[[#This Row],[Target type]],Table418[[Value name]:[Value idenifyer]],2,FALSE)</f>
        <v>T_BAU</v>
      </c>
      <c r="V335" s="233" t="str">
        <f>VLOOKUP(Table3[[#This Row],[Country Code]],Table29[],3,FALSE)</f>
        <v>Non-Annex I</v>
      </c>
      <c r="W335" s="233" t="str">
        <f>VLOOKUP(Table3[[#This Row],[Country Code]],Table29[],4,FALSE)</f>
        <v>Latin America and the Caribbean</v>
      </c>
      <c r="X335" s="233" t="str">
        <f>VLOOKUP(Table3[[#This Row],[Country Code]],Table29[],5,FALSE)</f>
        <v>Middle-income</v>
      </c>
      <c r="Y335" s="233" t="str">
        <f>VLOOKUP(Table3[[#This Row],[Country Code]],Table29[],6,FALSE)</f>
        <v>no</v>
      </c>
      <c r="Z335" s="233" t="str">
        <f>VLOOKUP(Table3[[#This Row],[Country Code]],Table29[],7,FALSE)</f>
        <v>no</v>
      </c>
      <c r="AA335" s="233" t="str">
        <f>VLOOKUP(Table3[[#This Row],[Country Code]],Table29[],8,FALSE)</f>
        <v>non-OECD</v>
      </c>
      <c r="AB335" s="233" t="str">
        <f>VLOOKUP(Table3[[#This Row],[Country Code]],Table29[],9,FALSE)</f>
        <v>no</v>
      </c>
      <c r="AC335" s="233" t="str">
        <f>VLOOKUP(Table3[[#This Row],[Country Code]],Table29[],10,FALSE)</f>
        <v>no</v>
      </c>
      <c r="AD335" s="235">
        <f>VLOOKUP(Table3[[#This Row],[Country Code]],Table29[],23,FALSE)</f>
        <v>13.656955798463001</v>
      </c>
      <c r="AE335" s="235">
        <f>VLOOKUP(Table3[[#This Row],[Country Code]],Table29[],24,FALSE)</f>
        <v>1.477654993185334</v>
      </c>
      <c r="AF335" s="43"/>
    </row>
    <row r="336" spans="1:32" x14ac:dyDescent="0.25">
      <c r="A336" s="368">
        <v>39453</v>
      </c>
      <c r="B336" s="233" t="str">
        <f>VLOOKUP(Table3[[#This Row],[Document ID]],Table1[],2,FALSE)</f>
        <v>VAT</v>
      </c>
      <c r="C336" s="233" t="str">
        <f>VLOOKUP(Table3[[#This Row],[Document ID]],Table1[],3,FALSE)</f>
        <v>Vatican</v>
      </c>
      <c r="D336" s="233" t="str">
        <f>VLOOKUP(Table3[[#This Row],[Document ID]],Table1[],5,FALSE)</f>
        <v>NDC</v>
      </c>
      <c r="E336" s="233" t="str">
        <f>VLOOKUP(Table3[[#This Row],[Document ID]],Table1[],7,FALSE)</f>
        <v>First NDC</v>
      </c>
      <c r="F336" s="241" t="str">
        <f>VLOOKUP(Table3[[#This Row],[Document ID]],Table1[],8,FALSE)</f>
        <v>NDC 1.0</v>
      </c>
      <c r="G336" s="233" t="str">
        <f>VLOOKUP(Table3[[#This Row],[Document ID]],Table1[],10,FALSE)</f>
        <v>Active</v>
      </c>
      <c r="H336" s="216" t="s">
        <v>1089</v>
      </c>
      <c r="I336" s="216" t="s">
        <v>1089</v>
      </c>
      <c r="J336" s="43" t="s">
        <v>1090</v>
      </c>
      <c r="K336" s="28" t="s">
        <v>1153</v>
      </c>
      <c r="L336" s="42" t="s">
        <v>1099</v>
      </c>
      <c r="M336" s="209">
        <v>2030</v>
      </c>
      <c r="N336" s="209" t="s">
        <v>1454</v>
      </c>
      <c r="O336" s="258">
        <v>2</v>
      </c>
      <c r="P336" s="238" t="str">
        <f>VLOOKUP(_xlfn.CONCAT(Table3[[#This Row],[Target area]],Table3[[#This Row],[GHG target?]],Table3[[#This Row],[Conditionality]]),'Drop down'!$E$81:$F$101,2,FALSE)</f>
        <v>T_Economy_Unc</v>
      </c>
      <c r="Q336" s="239" t="str">
        <f>VLOOKUP(Table3[[#This Row],[Target type]],Table418[[Value name]:[Value idenifyer]],2,FALSE)</f>
        <v>T_BYE</v>
      </c>
      <c r="V336" s="233" t="str">
        <f>VLOOKUP(Table3[[#This Row],[Country Code]],Table29[],3,FALSE)</f>
        <v>NA</v>
      </c>
      <c r="W336" s="233" t="str">
        <f>VLOOKUP(Table3[[#This Row],[Country Code]],Table29[],4,FALSE)</f>
        <v>Europe</v>
      </c>
      <c r="X336" s="233" t="str">
        <f>VLOOKUP(Table3[[#This Row],[Country Code]],Table29[],5,FALSE)</f>
        <v>NA</v>
      </c>
      <c r="Y336" s="233" t="str">
        <f>VLOOKUP(Table3[[#This Row],[Country Code]],Table29[],6,FALSE)</f>
        <v>no</v>
      </c>
      <c r="Z336" s="233" t="str">
        <f>VLOOKUP(Table3[[#This Row],[Country Code]],Table29[],7,FALSE)</f>
        <v>no</v>
      </c>
      <c r="AA336" s="233" t="str">
        <f>VLOOKUP(Table3[[#This Row],[Country Code]],Table29[],8,FALSE)</f>
        <v>NA</v>
      </c>
      <c r="AB336" s="233" t="str">
        <f>VLOOKUP(Table3[[#This Row],[Country Code]],Table29[],9,FALSE)</f>
        <v>no</v>
      </c>
      <c r="AC336" s="233" t="str">
        <f>VLOOKUP(Table3[[#This Row],[Country Code]],Table29[],10,FALSE)</f>
        <v>no</v>
      </c>
      <c r="AD336" s="235" t="e">
        <f>VLOOKUP(Table3[[#This Row],[Country Code]],Table29[],23,FALSE)</f>
        <v>#N/A</v>
      </c>
      <c r="AE336" s="235" t="e">
        <f>VLOOKUP(Table3[[#This Row],[Country Code]],Table29[],24,FALSE)</f>
        <v>#N/A</v>
      </c>
      <c r="AF336" s="43"/>
    </row>
    <row r="337" spans="1:32" ht="30" x14ac:dyDescent="0.25">
      <c r="A337" s="360">
        <v>20477</v>
      </c>
      <c r="B337" s="233" t="str">
        <f>VLOOKUP(Table3[[#This Row],[Document ID]],Table1[],2,FALSE)</f>
        <v>HND</v>
      </c>
      <c r="C337" s="233" t="str">
        <f>VLOOKUP(Table3[[#This Row],[Document ID]],Table1[],3,FALSE)</f>
        <v>Honduras</v>
      </c>
      <c r="D337" s="233" t="str">
        <f>VLOOKUP(Table3[[#This Row],[Document ID]],Table1[],5,FALSE)</f>
        <v>NDC</v>
      </c>
      <c r="E337" s="233" t="str">
        <f>VLOOKUP(Table3[[#This Row],[Document ID]],Table1[],7,FALSE)</f>
        <v>First NDC updated</v>
      </c>
      <c r="F337" s="233" t="str">
        <f>VLOOKUP(Table3[[#This Row],[Document ID]],Table1[],8,FALSE)</f>
        <v>NDC 1.1</v>
      </c>
      <c r="G337" s="233" t="str">
        <f>VLOOKUP(Table3[[#This Row],[Document ID]],Table1[],10,FALSE)</f>
        <v>Active</v>
      </c>
      <c r="H337" s="216" t="s">
        <v>1089</v>
      </c>
      <c r="I337" s="216" t="s">
        <v>1089</v>
      </c>
      <c r="J337" s="43" t="s">
        <v>1090</v>
      </c>
      <c r="K337" s="28" t="s">
        <v>1091</v>
      </c>
      <c r="L337" s="42" t="s">
        <v>1099</v>
      </c>
      <c r="M337" s="209">
        <v>2030</v>
      </c>
      <c r="N337" s="209" t="s">
        <v>1455</v>
      </c>
      <c r="O337" s="259">
        <v>20</v>
      </c>
      <c r="P337" s="238" t="str">
        <f>VLOOKUP(_xlfn.CONCAT(Table3[[#This Row],[Target area]],Table3[[#This Row],[GHG target?]],Table3[[#This Row],[Conditionality]]),'Drop down'!$E$81:$F$101,2,FALSE)</f>
        <v>T_Economy_Unc</v>
      </c>
      <c r="Q337" s="239" t="str">
        <f>VLOOKUP(Table3[[#This Row],[Target type]],Table418[[Value name]:[Value idenifyer]],2,FALSE)</f>
        <v>T_BAU</v>
      </c>
      <c r="S337" s="233" t="s">
        <v>1101</v>
      </c>
      <c r="V337" s="233" t="str">
        <f>VLOOKUP(Table3[[#This Row],[Country Code]],Table29[],3,FALSE)</f>
        <v>Non-Annex I</v>
      </c>
      <c r="W337" s="233" t="str">
        <f>VLOOKUP(Table3[[#This Row],[Country Code]],Table29[],4,FALSE)</f>
        <v>Latin America and the Caribbean</v>
      </c>
      <c r="X337" s="233" t="str">
        <f>VLOOKUP(Table3[[#This Row],[Country Code]],Table29[],5,FALSE)</f>
        <v>Middle-income</v>
      </c>
      <c r="Y337" s="233" t="str">
        <f>VLOOKUP(Table3[[#This Row],[Country Code]],Table29[],6,FALSE)</f>
        <v>no</v>
      </c>
      <c r="Z337" s="233" t="str">
        <f>VLOOKUP(Table3[[#This Row],[Country Code]],Table29[],7,FALSE)</f>
        <v>no</v>
      </c>
      <c r="AA337" s="233" t="str">
        <f>VLOOKUP(Table3[[#This Row],[Country Code]],Table29[],8,FALSE)</f>
        <v>non-OECD</v>
      </c>
      <c r="AB337" s="233" t="str">
        <f>VLOOKUP(Table3[[#This Row],[Country Code]],Table29[],9,FALSE)</f>
        <v>no</v>
      </c>
      <c r="AC337" s="233" t="str">
        <f>VLOOKUP(Table3[[#This Row],[Country Code]],Table29[],10,FALSE)</f>
        <v>no</v>
      </c>
      <c r="AD337" s="235">
        <f>VLOOKUP(Table3[[#This Row],[Country Code]],Table29[],23,FALSE)</f>
        <v>22.920141542444</v>
      </c>
      <c r="AE337" s="235">
        <f>VLOOKUP(Table3[[#This Row],[Country Code]],Table29[],24,FALSE)</f>
        <v>5.0392120768310251</v>
      </c>
      <c r="AF337" s="43"/>
    </row>
    <row r="338" spans="1:32" ht="45" x14ac:dyDescent="0.25">
      <c r="A338" s="360">
        <v>17564</v>
      </c>
      <c r="B338" s="233" t="str">
        <f>VLOOKUP(Table3[[#This Row],[Document ID]],Table1[],2,FALSE)</f>
        <v>CRI</v>
      </c>
      <c r="C338" s="233" t="str">
        <f>VLOOKUP(Table3[[#This Row],[Document ID]],Table1[],3,FALSE)</f>
        <v>Costa Rica</v>
      </c>
      <c r="D338" s="233" t="str">
        <f>VLOOKUP(Table3[[#This Row],[Document ID]],Table1[],5,FALSE)</f>
        <v>NDC</v>
      </c>
      <c r="E338" s="233" t="str">
        <f>VLOOKUP(Table3[[#This Row],[Document ID]],Table1[],7,FALSE)</f>
        <v>First NDC updated</v>
      </c>
      <c r="F338" s="233" t="str">
        <f>VLOOKUP(Table3[[#This Row],[Document ID]],Table1[],8,FALSE)</f>
        <v>NDC 1.1</v>
      </c>
      <c r="G338" s="233" t="str">
        <f>VLOOKUP(Table3[[#This Row],[Document ID]],Table1[],10,FALSE)</f>
        <v>Active</v>
      </c>
      <c r="H338" s="42" t="s">
        <v>1095</v>
      </c>
      <c r="I338" s="42" t="s">
        <v>1096</v>
      </c>
      <c r="J338" s="42" t="s">
        <v>1097</v>
      </c>
      <c r="K338" s="28" t="s">
        <v>1137</v>
      </c>
      <c r="L338" s="42" t="s">
        <v>1099</v>
      </c>
      <c r="M338" s="209">
        <v>2030</v>
      </c>
      <c r="N338" s="44" t="s">
        <v>1456</v>
      </c>
      <c r="O338" s="221">
        <v>18</v>
      </c>
      <c r="P338" s="238" t="str">
        <f>VLOOKUP(_xlfn.CONCAT(Table3[[#This Row],[Target area]],Table3[[#This Row],[GHG target?]],Table3[[#This Row],[Conditionality]]),'Drop down'!$E$81:$F$101,2,FALSE)</f>
        <v>T_Transport_O_Unc</v>
      </c>
      <c r="Q338" s="239" t="str">
        <f>VLOOKUP(Table3[[#This Row],[Target type]],Table418[[Value name]:[Value idenifyer]],2,FALSE)</f>
        <v>T_O_EFF</v>
      </c>
      <c r="S338" s="233" t="s">
        <v>1101</v>
      </c>
      <c r="T338" s="234" t="s">
        <v>1113</v>
      </c>
      <c r="U338" s="234" t="s">
        <v>1113</v>
      </c>
      <c r="V338" s="233" t="str">
        <f>VLOOKUP(Table3[[#This Row],[Country Code]],Table29[],3,FALSE)</f>
        <v>Non-Annex I</v>
      </c>
      <c r="W338" s="233" t="str">
        <f>VLOOKUP(Table3[[#This Row],[Country Code]],Table29[],4,FALSE)</f>
        <v>Latin America and the Caribbean</v>
      </c>
      <c r="X338" s="233" t="str">
        <f>VLOOKUP(Table3[[#This Row],[Country Code]],Table29[],5,FALSE)</f>
        <v>Middle-income</v>
      </c>
      <c r="Y338" s="233" t="str">
        <f>VLOOKUP(Table3[[#This Row],[Country Code]],Table29[],6,FALSE)</f>
        <v>no</v>
      </c>
      <c r="Z338" s="233" t="str">
        <f>VLOOKUP(Table3[[#This Row],[Country Code]],Table29[],7,FALSE)</f>
        <v>no</v>
      </c>
      <c r="AA338" s="233" t="str">
        <f>VLOOKUP(Table3[[#This Row],[Country Code]],Table29[],8,FALSE)</f>
        <v>OECD</v>
      </c>
      <c r="AB338" s="233" t="str">
        <f>VLOOKUP(Table3[[#This Row],[Country Code]],Table29[],9,FALSE)</f>
        <v>no</v>
      </c>
      <c r="AC338" s="233" t="str">
        <f>VLOOKUP(Table3[[#This Row],[Country Code]],Table29[],10,FALSE)</f>
        <v>no</v>
      </c>
      <c r="AD338" s="235">
        <f>VLOOKUP(Table3[[#This Row],[Country Code]],Table29[],23,FALSE)</f>
        <v>16.468143919330998</v>
      </c>
      <c r="AE338" s="235">
        <f>VLOOKUP(Table3[[#This Row],[Country Code]],Table29[],24,FALSE)</f>
        <v>6.1699800179976929</v>
      </c>
      <c r="AF338" s="43"/>
    </row>
    <row r="339" spans="1:32" x14ac:dyDescent="0.25">
      <c r="A339" s="360">
        <v>17613</v>
      </c>
      <c r="B339" s="233" t="str">
        <f>VLOOKUP(Table3[[#This Row],[Document ID]],Table1[],2,FALSE)</f>
        <v>HND</v>
      </c>
      <c r="C339" s="233" t="str">
        <f>VLOOKUP(Table3[[#This Row],[Document ID]],Table1[],3,FALSE)</f>
        <v>Honduras</v>
      </c>
      <c r="D339" s="233" t="str">
        <f>VLOOKUP(Table3[[#This Row],[Document ID]],Table1[],5,FALSE)</f>
        <v>NDC</v>
      </c>
      <c r="E339" s="233" t="str">
        <f>VLOOKUP(Table3[[#This Row],[Document ID]],Table1[],7,FALSE)</f>
        <v>First NDC</v>
      </c>
      <c r="F339" s="233" t="str">
        <f>VLOOKUP(Table3[[#This Row],[Document ID]],Table1[],8,FALSE)</f>
        <v>NDC 1.0</v>
      </c>
      <c r="G339" s="233" t="str">
        <f>VLOOKUP(Table3[[#This Row],[Document ID]],Table1[],10,FALSE)</f>
        <v>Archived</v>
      </c>
      <c r="H339" s="216" t="s">
        <v>1089</v>
      </c>
      <c r="I339" s="216" t="s">
        <v>1089</v>
      </c>
      <c r="J339" s="43" t="s">
        <v>1090</v>
      </c>
      <c r="K339" s="28" t="s">
        <v>1091</v>
      </c>
      <c r="L339" s="216" t="s">
        <v>1092</v>
      </c>
      <c r="M339" s="209">
        <v>2030</v>
      </c>
      <c r="N339" s="176" t="s">
        <v>1457</v>
      </c>
      <c r="O339" s="258" t="s">
        <v>1094</v>
      </c>
      <c r="P339" s="238" t="str">
        <f>VLOOKUP(_xlfn.CONCAT(Table3[[#This Row],[Target area]],Table3[[#This Row],[GHG target?]],Table3[[#This Row],[Conditionality]]),'Drop down'!$E$81:$F$101,2,FALSE)</f>
        <v>T_Economy_C</v>
      </c>
      <c r="Q339" s="239" t="str">
        <f>VLOOKUP(Table3[[#This Row],[Target type]],Table418[[Value name]:[Value idenifyer]],2,FALSE)</f>
        <v>T_BAU</v>
      </c>
      <c r="V339" s="233" t="str">
        <f>VLOOKUP(Table3[[#This Row],[Country Code]],Table29[],3,FALSE)</f>
        <v>Non-Annex I</v>
      </c>
      <c r="W339" s="233" t="str">
        <f>VLOOKUP(Table3[[#This Row],[Country Code]],Table29[],4,FALSE)</f>
        <v>Latin America and the Caribbean</v>
      </c>
      <c r="X339" s="233" t="str">
        <f>VLOOKUP(Table3[[#This Row],[Country Code]],Table29[],5,FALSE)</f>
        <v>Middle-income</v>
      </c>
      <c r="Y339" s="233" t="str">
        <f>VLOOKUP(Table3[[#This Row],[Country Code]],Table29[],6,FALSE)</f>
        <v>no</v>
      </c>
      <c r="Z339" s="233" t="str">
        <f>VLOOKUP(Table3[[#This Row],[Country Code]],Table29[],7,FALSE)</f>
        <v>no</v>
      </c>
      <c r="AA339" s="233" t="str">
        <f>VLOOKUP(Table3[[#This Row],[Country Code]],Table29[],8,FALSE)</f>
        <v>non-OECD</v>
      </c>
      <c r="AB339" s="233" t="str">
        <f>VLOOKUP(Table3[[#This Row],[Country Code]],Table29[],9,FALSE)</f>
        <v>no</v>
      </c>
      <c r="AC339" s="233" t="str">
        <f>VLOOKUP(Table3[[#This Row],[Country Code]],Table29[],10,FALSE)</f>
        <v>no</v>
      </c>
      <c r="AD339" s="235">
        <f>VLOOKUP(Table3[[#This Row],[Country Code]],Table29[],23,FALSE)</f>
        <v>22.920141542444</v>
      </c>
      <c r="AE339" s="235">
        <f>VLOOKUP(Table3[[#This Row],[Country Code]],Table29[],24,FALSE)</f>
        <v>5.0392120768310251</v>
      </c>
      <c r="AF339" s="43"/>
    </row>
    <row r="340" spans="1:32" x14ac:dyDescent="0.25">
      <c r="A340" s="360">
        <v>22328</v>
      </c>
      <c r="B340" s="233" t="str">
        <f>VLOOKUP(Table3[[#This Row],[Document ID]],Table1[],2,FALSE)</f>
        <v>HUN</v>
      </c>
      <c r="C340" s="233" t="str">
        <f>VLOOKUP(Table3[[#This Row],[Document ID]],Table1[],3,FALSE)</f>
        <v>Hungary</v>
      </c>
      <c r="D340" s="233" t="str">
        <f>VLOOKUP(Table3[[#This Row],[Document ID]],Table1[],5,FALSE)</f>
        <v>LTS</v>
      </c>
      <c r="E340" s="233" t="str">
        <f>VLOOKUP(Table3[[#This Row],[Document ID]],Table1[],7,FALSE)</f>
        <v>LTS</v>
      </c>
      <c r="F340" s="233" t="str">
        <f>VLOOKUP(Table3[[#This Row],[Document ID]],Table1[],8,FALSE)</f>
        <v>LTS 1.0</v>
      </c>
      <c r="G340" s="233" t="str">
        <f>VLOOKUP(Table3[[#This Row],[Document ID]],Table1[],10,FALSE)</f>
        <v>Active</v>
      </c>
      <c r="H340" s="216" t="s">
        <v>1089</v>
      </c>
      <c r="I340" s="216" t="s">
        <v>1089</v>
      </c>
      <c r="J340" s="43" t="s">
        <v>1090</v>
      </c>
      <c r="K340" s="28" t="s">
        <v>1121</v>
      </c>
      <c r="L340" s="42" t="s">
        <v>1099</v>
      </c>
      <c r="M340" s="209">
        <v>2050</v>
      </c>
      <c r="N340" s="209" t="s">
        <v>1458</v>
      </c>
      <c r="O340" s="257">
        <v>9</v>
      </c>
      <c r="P340" s="238" t="str">
        <f>VLOOKUP(_xlfn.CONCAT(Table3[[#This Row],[Target area]],Table3[[#This Row],[GHG target?]],Table3[[#This Row],[Conditionality]]),'Drop down'!$E$81:$F$101,2,FALSE)</f>
        <v>T_Economy_Unc</v>
      </c>
      <c r="Q340" s="239" t="str">
        <f>VLOOKUP(Table3[[#This Row],[Target type]],Table418[[Value name]:[Value idenifyer]],2,FALSE)</f>
        <v>T_FL</v>
      </c>
      <c r="T340" s="240" t="s">
        <v>1113</v>
      </c>
      <c r="U340" s="240"/>
      <c r="V340" s="233" t="str">
        <f>VLOOKUP(Table3[[#This Row],[Country Code]],Table29[],3,FALSE)</f>
        <v>Annex I</v>
      </c>
      <c r="W340" s="233" t="str">
        <f>VLOOKUP(Table3[[#This Row],[Country Code]],Table29[],4,FALSE)</f>
        <v>Europe</v>
      </c>
      <c r="X340" s="233" t="str">
        <f>VLOOKUP(Table3[[#This Row],[Country Code]],Table29[],5,FALSE)</f>
        <v>High-income</v>
      </c>
      <c r="Y340" s="233" t="str">
        <f>VLOOKUP(Table3[[#This Row],[Country Code]],Table29[],6,FALSE)</f>
        <v>no</v>
      </c>
      <c r="Z340" s="233" t="str">
        <f>VLOOKUP(Table3[[#This Row],[Country Code]],Table29[],7,FALSE)</f>
        <v>no</v>
      </c>
      <c r="AA340" s="233" t="str">
        <f>VLOOKUP(Table3[[#This Row],[Country Code]],Table29[],8,FALSE)</f>
        <v>OECD</v>
      </c>
      <c r="AB340" s="233" t="str">
        <f>VLOOKUP(Table3[[#This Row],[Country Code]],Table29[],9,FALSE)</f>
        <v>EU27</v>
      </c>
      <c r="AC340" s="233" t="str">
        <f>VLOOKUP(Table3[[#This Row],[Country Code]],Table29[],10,FALSE)</f>
        <v>no</v>
      </c>
      <c r="AD340" s="235">
        <f>VLOOKUP(Table3[[#This Row],[Country Code]],Table29[],23,FALSE)</f>
        <v>60.926771856729999</v>
      </c>
      <c r="AE340" s="235">
        <f>VLOOKUP(Table3[[#This Row],[Country Code]],Table29[],24,FALSE)</f>
        <v>14.39810129879295</v>
      </c>
      <c r="AF340" s="43"/>
    </row>
    <row r="341" spans="1:32" x14ac:dyDescent="0.25">
      <c r="A341" s="360">
        <v>17578</v>
      </c>
      <c r="B341" s="233" t="str">
        <f>VLOOKUP(Table3[[#This Row],[Document ID]],Table1[],2,FALSE)</f>
        <v>DMA</v>
      </c>
      <c r="C341" s="233" t="str">
        <f>VLOOKUP(Table3[[#This Row],[Document ID]],Table1[],3,FALSE)</f>
        <v>Dominica</v>
      </c>
      <c r="D341" s="233" t="str">
        <f>VLOOKUP(Table3[[#This Row],[Document ID]],Table1[],5,FALSE)</f>
        <v>NDC</v>
      </c>
      <c r="E341" s="233" t="str">
        <f>VLOOKUP(Table3[[#This Row],[Document ID]],Table1[],7,FALSE)</f>
        <v>First NDC</v>
      </c>
      <c r="F341" s="233" t="str">
        <f>VLOOKUP(Table3[[#This Row],[Document ID]],Table1[],8,FALSE)</f>
        <v>NDC 1.0</v>
      </c>
      <c r="G341" s="233" t="str">
        <f>VLOOKUP(Table3[[#This Row],[Document ID]],Table1[],10,FALSE)</f>
        <v>Archived</v>
      </c>
      <c r="H341" s="216" t="s">
        <v>1089</v>
      </c>
      <c r="I341" s="216" t="s">
        <v>1089</v>
      </c>
      <c r="J341" s="43" t="s">
        <v>1090</v>
      </c>
      <c r="K341" s="28" t="s">
        <v>1153</v>
      </c>
      <c r="L341" s="42" t="s">
        <v>1099</v>
      </c>
      <c r="M341" s="209">
        <v>2030</v>
      </c>
      <c r="N341" s="176" t="s">
        <v>1459</v>
      </c>
      <c r="O341" s="258" t="s">
        <v>1094</v>
      </c>
      <c r="P341" s="238" t="str">
        <f>VLOOKUP(_xlfn.CONCAT(Table3[[#This Row],[Target area]],Table3[[#This Row],[GHG target?]],Table3[[#This Row],[Conditionality]]),'Drop down'!$E$81:$F$101,2,FALSE)</f>
        <v>T_Economy_Unc</v>
      </c>
      <c r="Q341" s="239" t="str">
        <f>VLOOKUP(Table3[[#This Row],[Target type]],Table418[[Value name]:[Value idenifyer]],2,FALSE)</f>
        <v>T_BYE</v>
      </c>
      <c r="S341" s="233" t="s">
        <v>1112</v>
      </c>
      <c r="T341" s="234" t="s">
        <v>1113</v>
      </c>
      <c r="U341" s="234" t="s">
        <v>1402</v>
      </c>
      <c r="V341" s="233" t="str">
        <f>VLOOKUP(Table3[[#This Row],[Country Code]],Table29[],3,FALSE)</f>
        <v>Non-Annex I</v>
      </c>
      <c r="W341" s="233" t="str">
        <f>VLOOKUP(Table3[[#This Row],[Country Code]],Table29[],4,FALSE)</f>
        <v>Latin America and the Caribbean</v>
      </c>
      <c r="X341" s="233" t="str">
        <f>VLOOKUP(Table3[[#This Row],[Country Code]],Table29[],5,FALSE)</f>
        <v>Middle-income</v>
      </c>
      <c r="Y341" s="233" t="str">
        <f>VLOOKUP(Table3[[#This Row],[Country Code]],Table29[],6,FALSE)</f>
        <v>no</v>
      </c>
      <c r="Z341" s="233" t="str">
        <f>VLOOKUP(Table3[[#This Row],[Country Code]],Table29[],7,FALSE)</f>
        <v>no</v>
      </c>
      <c r="AA341" s="233" t="str">
        <f>VLOOKUP(Table3[[#This Row],[Country Code]],Table29[],8,FALSE)</f>
        <v>non-OECD</v>
      </c>
      <c r="AB341" s="233" t="str">
        <f>VLOOKUP(Table3[[#This Row],[Country Code]],Table29[],9,FALSE)</f>
        <v>no</v>
      </c>
      <c r="AC341" s="233" t="str">
        <f>VLOOKUP(Table3[[#This Row],[Country Code]],Table29[],10,FALSE)</f>
        <v>no</v>
      </c>
      <c r="AD341" s="235">
        <f>VLOOKUP(Table3[[#This Row],[Country Code]],Table29[],23,FALSE)</f>
        <v>0.14691940907449</v>
      </c>
      <c r="AE341" s="235">
        <f>VLOOKUP(Table3[[#This Row],[Country Code]],Table29[],24,FALSE)</f>
        <v>2.8004429294222619E-2</v>
      </c>
      <c r="AF341" s="43"/>
    </row>
    <row r="342" spans="1:32" ht="30" x14ac:dyDescent="0.25">
      <c r="A342" s="360">
        <v>17575</v>
      </c>
      <c r="B342" s="233" t="str">
        <f>VLOOKUP(Table3[[#This Row],[Document ID]],Table1[],2,FALSE)</f>
        <v>DNK</v>
      </c>
      <c r="C342" s="233" t="str">
        <f>VLOOKUP(Table3[[#This Row],[Document ID]],Table1[],3,FALSE)</f>
        <v>Denmark</v>
      </c>
      <c r="D342" s="233" t="str">
        <f>VLOOKUP(Table3[[#This Row],[Document ID]],Table1[],5,FALSE)</f>
        <v>LTS</v>
      </c>
      <c r="E342" s="233" t="str">
        <f>VLOOKUP(Table3[[#This Row],[Document ID]],Table1[],7,FALSE)</f>
        <v>LTS</v>
      </c>
      <c r="F342" s="233" t="str">
        <f>VLOOKUP(Table3[[#This Row],[Document ID]],Table1[],8,FALSE)</f>
        <v>LTS 1.0</v>
      </c>
      <c r="G342" s="233" t="str">
        <f>VLOOKUP(Table3[[#This Row],[Document ID]],Table1[],10,FALSE)</f>
        <v>Active</v>
      </c>
      <c r="H342" s="43" t="s">
        <v>1147</v>
      </c>
      <c r="I342" s="43" t="s">
        <v>1089</v>
      </c>
      <c r="J342" s="43" t="s">
        <v>1090</v>
      </c>
      <c r="K342" s="28" t="s">
        <v>1121</v>
      </c>
      <c r="L342" s="43" t="s">
        <v>1116</v>
      </c>
      <c r="M342" s="209">
        <v>2050</v>
      </c>
      <c r="N342" s="44" t="s">
        <v>1339</v>
      </c>
      <c r="O342" s="258">
        <v>2</v>
      </c>
      <c r="P342" s="238" t="str">
        <f>VLOOKUP(_xlfn.CONCAT(Table3[[#This Row],[Target area]],Table3[[#This Row],[GHG target?]],Table3[[#This Row],[Conditionality]]),'Drop down'!$E$81:$F$101,2,FALSE)</f>
        <v>T_Netzero</v>
      </c>
      <c r="Q342" s="239" t="str">
        <f>VLOOKUP(Table3[[#This Row],[Target type]],Table418[[Value name]:[Value idenifyer]],2,FALSE)</f>
        <v>T_FL</v>
      </c>
      <c r="U342" s="234" t="s">
        <v>1240</v>
      </c>
      <c r="V342" s="233" t="str">
        <f>VLOOKUP(Table3[[#This Row],[Country Code]],Table29[],3,FALSE)</f>
        <v>Annex I</v>
      </c>
      <c r="W342" s="233" t="str">
        <f>VLOOKUP(Table3[[#This Row],[Country Code]],Table29[],4,FALSE)</f>
        <v>Europe</v>
      </c>
      <c r="X342" s="233" t="str">
        <f>VLOOKUP(Table3[[#This Row],[Country Code]],Table29[],5,FALSE)</f>
        <v>High-income</v>
      </c>
      <c r="Y342" s="233" t="str">
        <f>VLOOKUP(Table3[[#This Row],[Country Code]],Table29[],6,FALSE)</f>
        <v>no</v>
      </c>
      <c r="Z342" s="233" t="str">
        <f>VLOOKUP(Table3[[#This Row],[Country Code]],Table29[],7,FALSE)</f>
        <v>no</v>
      </c>
      <c r="AA342" s="233" t="str">
        <f>VLOOKUP(Table3[[#This Row],[Country Code]],Table29[],8,FALSE)</f>
        <v>OECD</v>
      </c>
      <c r="AB342" s="233" t="str">
        <f>VLOOKUP(Table3[[#This Row],[Country Code]],Table29[],9,FALSE)</f>
        <v>EU27</v>
      </c>
      <c r="AC342" s="233" t="str">
        <f>VLOOKUP(Table3[[#This Row],[Country Code]],Table29[],10,FALSE)</f>
        <v>no</v>
      </c>
      <c r="AD342" s="235">
        <f>VLOOKUP(Table3[[#This Row],[Country Code]],Table29[],23,FALSE)</f>
        <v>41.831473036828001</v>
      </c>
      <c r="AE342" s="235">
        <f>VLOOKUP(Table3[[#This Row],[Country Code]],Table29[],24,FALSE)</f>
        <v>11.369548725375189</v>
      </c>
      <c r="AF342" s="43"/>
    </row>
    <row r="343" spans="1:32" ht="30" x14ac:dyDescent="0.25">
      <c r="A343" s="360">
        <v>39443</v>
      </c>
      <c r="B343" s="233" t="str">
        <f>VLOOKUP(Table3[[#This Row],[Document ID]],Table1[],2,FALSE)</f>
        <v>EEU</v>
      </c>
      <c r="C343" s="233" t="str">
        <f>VLOOKUP(Table3[[#This Row],[Document ID]],Table1[],3,FALSE)</f>
        <v>European Union</v>
      </c>
      <c r="D343" s="233" t="str">
        <f>VLOOKUP(Table3[[#This Row],[Document ID]],Table1[],5,FALSE)</f>
        <v>NDC</v>
      </c>
      <c r="E343" s="233" t="str">
        <f>VLOOKUP(Table3[[#This Row],[Document ID]],Table1[],7,FALSE)</f>
        <v>First NDC updated</v>
      </c>
      <c r="F343" s="233" t="str">
        <f>VLOOKUP(Table3[[#This Row],[Document ID]],Table1[],8,FALSE)</f>
        <v>NDC 1.2</v>
      </c>
      <c r="G343" s="233" t="str">
        <f>VLOOKUP(Table3[[#This Row],[Document ID]],Table1[],10,FALSE)</f>
        <v>Active</v>
      </c>
      <c r="H343" s="216" t="s">
        <v>1089</v>
      </c>
      <c r="I343" s="216" t="s">
        <v>1089</v>
      </c>
      <c r="J343" s="43" t="s">
        <v>1090</v>
      </c>
      <c r="K343" s="28" t="s">
        <v>1153</v>
      </c>
      <c r="L343" s="42" t="s">
        <v>1099</v>
      </c>
      <c r="M343" s="209">
        <v>2030</v>
      </c>
      <c r="N343" s="44" t="s">
        <v>1460</v>
      </c>
      <c r="O343" s="221">
        <v>8</v>
      </c>
      <c r="P343" s="238" t="str">
        <f>VLOOKUP(_xlfn.CONCAT(Table3[[#This Row],[Target area]],Table3[[#This Row],[GHG target?]],Table3[[#This Row],[Conditionality]]),'Drop down'!$E$81:$F$101,2,FALSE)</f>
        <v>T_Economy_Unc</v>
      </c>
      <c r="Q343" s="239" t="str">
        <f>VLOOKUP(Table3[[#This Row],[Target type]],Table418[[Value name]:[Value idenifyer]],2,FALSE)</f>
        <v>T_BYE</v>
      </c>
      <c r="S343" s="233" t="s">
        <v>1112</v>
      </c>
      <c r="T343" s="234" t="s">
        <v>1113</v>
      </c>
      <c r="U343" s="234" t="s">
        <v>1402</v>
      </c>
      <c r="V343" s="233" t="str">
        <f>VLOOKUP(Table3[[#This Row],[Country Code]],Table29[],3,FALSE)</f>
        <v>Annex I</v>
      </c>
      <c r="W343" s="233" t="str">
        <f>VLOOKUP(Table3[[#This Row],[Country Code]],Table29[],4,FALSE)</f>
        <v>Europe</v>
      </c>
      <c r="X343" s="233" t="str">
        <f>VLOOKUP(Table3[[#This Row],[Country Code]],Table29[],5,FALSE)</f>
        <v>N/A</v>
      </c>
      <c r="Y343" s="233" t="str">
        <f>VLOOKUP(Table3[[#This Row],[Country Code]],Table29[],6,FALSE)</f>
        <v>G20</v>
      </c>
      <c r="Z343" s="233" t="str">
        <f>VLOOKUP(Table3[[#This Row],[Country Code]],Table29[],7,FALSE)</f>
        <v>no</v>
      </c>
      <c r="AA343" s="233" t="str">
        <f>VLOOKUP(Table3[[#This Row],[Country Code]],Table29[],8,FALSE)</f>
        <v>non-OECD</v>
      </c>
      <c r="AB343" s="233" t="str">
        <f>VLOOKUP(Table3[[#This Row],[Country Code]],Table29[],9,FALSE)</f>
        <v>no</v>
      </c>
      <c r="AC343" s="233" t="str">
        <f>VLOOKUP(Table3[[#This Row],[Country Code]],Table29[],10,FALSE)</f>
        <v>no</v>
      </c>
      <c r="AD343" s="235" t="e">
        <f>VLOOKUP(Table3[[#This Row],[Country Code]],Table29[],23,FALSE)</f>
        <v>#N/A</v>
      </c>
      <c r="AE343" s="235" t="e">
        <f>VLOOKUP(Table3[[#This Row],[Country Code]],Table29[],24,FALSE)</f>
        <v>#N/A</v>
      </c>
      <c r="AF343" s="43"/>
    </row>
    <row r="344" spans="1:32" ht="30" x14ac:dyDescent="0.25">
      <c r="A344" s="360">
        <v>17568</v>
      </c>
      <c r="B344" s="233" t="str">
        <f>VLOOKUP(Table3[[#This Row],[Document ID]],Table1[],2,FALSE)</f>
        <v>CUB</v>
      </c>
      <c r="C344" s="233" t="str">
        <f>VLOOKUP(Table3[[#This Row],[Document ID]],Table1[],3,FALSE)</f>
        <v>Cuba</v>
      </c>
      <c r="D344" s="233" t="str">
        <f>VLOOKUP(Table3[[#This Row],[Document ID]],Table1[],5,FALSE)</f>
        <v>NDC</v>
      </c>
      <c r="E344" s="233" t="str">
        <f>VLOOKUP(Table3[[#This Row],[Document ID]],Table1[],7,FALSE)</f>
        <v>First NDC updated</v>
      </c>
      <c r="F344" s="233" t="str">
        <f>VLOOKUP(Table3[[#This Row],[Document ID]],Table1[],8,FALSE)</f>
        <v>NDC 1.1</v>
      </c>
      <c r="G344" s="233" t="str">
        <f>VLOOKUP(Table3[[#This Row],[Document ID]],Table1[],10,FALSE)</f>
        <v>Archived</v>
      </c>
      <c r="H344" s="42" t="s">
        <v>1095</v>
      </c>
      <c r="I344" s="42" t="s">
        <v>1096</v>
      </c>
      <c r="J344" s="42" t="s">
        <v>1097</v>
      </c>
      <c r="K344" s="28" t="s">
        <v>1137</v>
      </c>
      <c r="L344" s="42" t="s">
        <v>1099</v>
      </c>
      <c r="M344" s="209">
        <v>2030</v>
      </c>
      <c r="N344" s="44" t="s">
        <v>1461</v>
      </c>
      <c r="O344" s="221">
        <v>15</v>
      </c>
      <c r="P344" s="238" t="str">
        <f>VLOOKUP(_xlfn.CONCAT(Table3[[#This Row],[Target area]],Table3[[#This Row],[GHG target?]],Table3[[#This Row],[Conditionality]]),'Drop down'!$E$81:$F$101,2,FALSE)</f>
        <v>T_Transport_O_Unc</v>
      </c>
      <c r="Q344" s="239" t="str">
        <f>VLOOKUP(Table3[[#This Row],[Target type]],Table418[[Value name]:[Value idenifyer]],2,FALSE)</f>
        <v>T_O_EFF</v>
      </c>
      <c r="S344" s="233" t="s">
        <v>1101</v>
      </c>
      <c r="V344" s="233" t="str">
        <f>VLOOKUP(Table3[[#This Row],[Country Code]],Table29[],3,FALSE)</f>
        <v>Non-Annex I</v>
      </c>
      <c r="W344" s="233" t="str">
        <f>VLOOKUP(Table3[[#This Row],[Country Code]],Table29[],4,FALSE)</f>
        <v>Latin America and the Caribbean</v>
      </c>
      <c r="X344" s="233" t="str">
        <f>VLOOKUP(Table3[[#This Row],[Country Code]],Table29[],5,FALSE)</f>
        <v>Middle-income</v>
      </c>
      <c r="Y344" s="233" t="str">
        <f>VLOOKUP(Table3[[#This Row],[Country Code]],Table29[],6,FALSE)</f>
        <v>no</v>
      </c>
      <c r="Z344" s="233" t="str">
        <f>VLOOKUP(Table3[[#This Row],[Country Code]],Table29[],7,FALSE)</f>
        <v>no</v>
      </c>
      <c r="AA344" s="233" t="str">
        <f>VLOOKUP(Table3[[#This Row],[Country Code]],Table29[],8,FALSE)</f>
        <v>non-OECD</v>
      </c>
      <c r="AB344" s="233" t="str">
        <f>VLOOKUP(Table3[[#This Row],[Country Code]],Table29[],9,FALSE)</f>
        <v>no</v>
      </c>
      <c r="AC344" s="233" t="str">
        <f>VLOOKUP(Table3[[#This Row],[Country Code]],Table29[],10,FALSE)</f>
        <v>no</v>
      </c>
      <c r="AD344" s="235">
        <f>VLOOKUP(Table3[[#This Row],[Country Code]],Table29[],23,FALSE)</f>
        <v>39.400331633766001</v>
      </c>
      <c r="AE344" s="235">
        <f>VLOOKUP(Table3[[#This Row],[Country Code]],Table29[],24,FALSE)</f>
        <v>1.240586761635627</v>
      </c>
      <c r="AF344" s="43"/>
    </row>
    <row r="345" spans="1:32" ht="30" x14ac:dyDescent="0.25">
      <c r="A345" s="360">
        <v>17602</v>
      </c>
      <c r="B345" s="233" t="str">
        <f>VLOOKUP(Table3[[#This Row],[Document ID]],Table1[],2,FALSE)</f>
        <v>DEU</v>
      </c>
      <c r="C345" s="233" t="str">
        <f>VLOOKUP(Table3[[#This Row],[Document ID]],Table1[],3,FALSE)</f>
        <v>Germany</v>
      </c>
      <c r="D345" s="233" t="str">
        <f>VLOOKUP(Table3[[#This Row],[Document ID]],Table1[],5,FALSE)</f>
        <v>LTS</v>
      </c>
      <c r="E345" s="233" t="str">
        <f>VLOOKUP(Table3[[#This Row],[Document ID]],Table1[],7,FALSE)</f>
        <v>Archived LTS 1.0</v>
      </c>
      <c r="F345" s="233" t="str">
        <f>VLOOKUP(Table3[[#This Row],[Document ID]],Table1[],8,FALSE)</f>
        <v>LTS 1.0</v>
      </c>
      <c r="G345" s="233" t="str">
        <f>VLOOKUP(Table3[[#This Row],[Document ID]],Table1[],10,FALSE)</f>
        <v>Archived</v>
      </c>
      <c r="H345" s="42" t="s">
        <v>1095</v>
      </c>
      <c r="I345" s="43" t="s">
        <v>1115</v>
      </c>
      <c r="J345" s="43" t="s">
        <v>1090</v>
      </c>
      <c r="K345" s="28" t="s">
        <v>1153</v>
      </c>
      <c r="L345" s="389" t="s">
        <v>1099</v>
      </c>
      <c r="M345" s="209">
        <v>2030</v>
      </c>
      <c r="N345" s="44" t="s">
        <v>1462</v>
      </c>
      <c r="O345" s="221">
        <v>8</v>
      </c>
      <c r="P345" s="238" t="str">
        <f>VLOOKUP(_xlfn.CONCAT(Table3[[#This Row],[Target area]],Table3[[#This Row],[GHG target?]],Table3[[#This Row],[Conditionality]]),'Drop down'!$E$81:$F$101,2,FALSE)</f>
        <v>T_Transport_Unc</v>
      </c>
      <c r="Q345" s="239" t="str">
        <f>VLOOKUP(Table3[[#This Row],[Target type]],Table418[[Value name]:[Value idenifyer]],2,FALSE)</f>
        <v>T_BYE</v>
      </c>
      <c r="R345" s="233" t="s">
        <v>526</v>
      </c>
      <c r="S345" s="233" t="s">
        <v>1112</v>
      </c>
      <c r="T345" s="234" t="s">
        <v>1113</v>
      </c>
      <c r="U345" s="234" t="s">
        <v>1113</v>
      </c>
      <c r="V345" s="233" t="str">
        <f>VLOOKUP(Table3[[#This Row],[Country Code]],Table29[],3,FALSE)</f>
        <v>Annex I</v>
      </c>
      <c r="W345" s="233" t="str">
        <f>VLOOKUP(Table3[[#This Row],[Country Code]],Table29[],4,FALSE)</f>
        <v>Europe</v>
      </c>
      <c r="X345" s="233" t="str">
        <f>VLOOKUP(Table3[[#This Row],[Country Code]],Table29[],5,FALSE)</f>
        <v>High-income</v>
      </c>
      <c r="Y345" s="233" t="str">
        <f>VLOOKUP(Table3[[#This Row],[Country Code]],Table29[],6,FALSE)</f>
        <v>G20</v>
      </c>
      <c r="Z345" s="233" t="str">
        <f>VLOOKUP(Table3[[#This Row],[Country Code]],Table29[],7,FALSE)</f>
        <v>G7</v>
      </c>
      <c r="AA345" s="233" t="str">
        <f>VLOOKUP(Table3[[#This Row],[Country Code]],Table29[],8,FALSE)</f>
        <v>OECD</v>
      </c>
      <c r="AB345" s="233" t="str">
        <f>VLOOKUP(Table3[[#This Row],[Country Code]],Table29[],9,FALSE)</f>
        <v>EU27</v>
      </c>
      <c r="AC345" s="233" t="str">
        <f>VLOOKUP(Table3[[#This Row],[Country Code]],Table29[],10,FALSE)</f>
        <v>no</v>
      </c>
      <c r="AD345" s="235">
        <f>VLOOKUP(Table3[[#This Row],[Country Code]],Table29[],23,FALSE)</f>
        <v>681.81032815186995</v>
      </c>
      <c r="AE345" s="235">
        <f>VLOOKUP(Table3[[#This Row],[Country Code]],Table29[],24,FALSE)</f>
        <v>141.2568578412648</v>
      </c>
      <c r="AF345" s="43"/>
    </row>
    <row r="346" spans="1:32" x14ac:dyDescent="0.25">
      <c r="A346" s="360">
        <v>29233</v>
      </c>
      <c r="B346" s="233" t="str">
        <f>VLOOKUP(Table3[[#This Row],[Document ID]],Table1[],2,FALSE)</f>
        <v>IND</v>
      </c>
      <c r="C346" s="233" t="str">
        <f>VLOOKUP(Table3[[#This Row],[Document ID]],Table1[],3,FALSE)</f>
        <v>India</v>
      </c>
      <c r="D346" s="233" t="str">
        <f>VLOOKUP(Table3[[#This Row],[Document ID]],Table1[],5,FALSE)</f>
        <v>NDC</v>
      </c>
      <c r="E346" s="233" t="str">
        <f>VLOOKUP(Table3[[#This Row],[Document ID]],Table1[],7,FALSE)</f>
        <v>First NDC updated</v>
      </c>
      <c r="F346" s="233" t="str">
        <f>VLOOKUP(Table3[[#This Row],[Document ID]],Table1[],8,FALSE)</f>
        <v>NDC 1.1</v>
      </c>
      <c r="G346" s="233" t="str">
        <f>VLOOKUP(Table3[[#This Row],[Document ID]],Table1[],10,FALSE)</f>
        <v>Active</v>
      </c>
      <c r="H346" s="216" t="s">
        <v>1089</v>
      </c>
      <c r="I346" s="216" t="s">
        <v>1089</v>
      </c>
      <c r="J346" s="43" t="s">
        <v>1090</v>
      </c>
      <c r="K346" s="28" t="s">
        <v>1153</v>
      </c>
      <c r="L346" s="42" t="s">
        <v>1099</v>
      </c>
      <c r="M346" s="209">
        <v>2030</v>
      </c>
      <c r="N346" s="209" t="s">
        <v>1463</v>
      </c>
      <c r="O346" s="257">
        <v>2</v>
      </c>
      <c r="P346" s="238" t="str">
        <f>VLOOKUP(_xlfn.CONCAT(Table3[[#This Row],[Target area]],Table3[[#This Row],[GHG target?]],Table3[[#This Row],[Conditionality]]),'Drop down'!$E$81:$F$101,2,FALSE)</f>
        <v>T_Economy_Unc</v>
      </c>
      <c r="Q346" s="239" t="str">
        <f>VLOOKUP(Table3[[#This Row],[Target type]],Table418[[Value name]:[Value idenifyer]],2,FALSE)</f>
        <v>T_BYE</v>
      </c>
      <c r="T346" s="234" t="s">
        <v>1113</v>
      </c>
      <c r="V346" s="233" t="str">
        <f>VLOOKUP(Table3[[#This Row],[Country Code]],Table29[],3,FALSE)</f>
        <v>Non-Annex I</v>
      </c>
      <c r="W346" s="233" t="str">
        <f>VLOOKUP(Table3[[#This Row],[Country Code]],Table29[],4,FALSE)</f>
        <v>Asia</v>
      </c>
      <c r="X346" s="233" t="str">
        <f>VLOOKUP(Table3[[#This Row],[Country Code]],Table29[],5,FALSE)</f>
        <v>Middle-income</v>
      </c>
      <c r="Y346" s="233" t="str">
        <f>VLOOKUP(Table3[[#This Row],[Country Code]],Table29[],6,FALSE)</f>
        <v>G20</v>
      </c>
      <c r="Z346" s="233" t="str">
        <f>VLOOKUP(Table3[[#This Row],[Country Code]],Table29[],7,FALSE)</f>
        <v>no</v>
      </c>
      <c r="AA346" s="233" t="str">
        <f>VLOOKUP(Table3[[#This Row],[Country Code]],Table29[],8,FALSE)</f>
        <v>non-OECD</v>
      </c>
      <c r="AB346" s="233" t="str">
        <f>VLOOKUP(Table3[[#This Row],[Country Code]],Table29[],9,FALSE)</f>
        <v>no</v>
      </c>
      <c r="AC346" s="233" t="str">
        <f>VLOOKUP(Table3[[#This Row],[Country Code]],Table29[],10,FALSE)</f>
        <v>no</v>
      </c>
      <c r="AD346" s="235">
        <f>VLOOKUP(Table3[[#This Row],[Country Code]],Table29[],23,FALSE)</f>
        <v>4133.5543557464998</v>
      </c>
      <c r="AE346" s="235">
        <f>VLOOKUP(Table3[[#This Row],[Country Code]],Table29[],24,FALSE)</f>
        <v>349.27466196453167</v>
      </c>
      <c r="AF346" s="43"/>
    </row>
    <row r="347" spans="1:32" ht="45" x14ac:dyDescent="0.25">
      <c r="A347" s="360">
        <v>29233</v>
      </c>
      <c r="B347" s="233" t="str">
        <f>VLOOKUP(Table3[[#This Row],[Document ID]],Table1[],2,FALSE)</f>
        <v>IND</v>
      </c>
      <c r="C347" s="233" t="str">
        <f>VLOOKUP(Table3[[#This Row],[Document ID]],Table1[],3,FALSE)</f>
        <v>India</v>
      </c>
      <c r="D347" s="233" t="str">
        <f>VLOOKUP(Table3[[#This Row],[Document ID]],Table1[],5,FALSE)</f>
        <v>NDC</v>
      </c>
      <c r="E347" s="233" t="str">
        <f>VLOOKUP(Table3[[#This Row],[Document ID]],Table1[],7,FALSE)</f>
        <v>First NDC updated</v>
      </c>
      <c r="F347" s="233" t="str">
        <f>VLOOKUP(Table3[[#This Row],[Document ID]],Table1[],8,FALSE)</f>
        <v>NDC 1.1</v>
      </c>
      <c r="G347" s="233" t="str">
        <f>VLOOKUP(Table3[[#This Row],[Document ID]],Table1[],10,FALSE)</f>
        <v>Active</v>
      </c>
      <c r="H347" s="43" t="s">
        <v>1114</v>
      </c>
      <c r="I347" s="43" t="s">
        <v>1115</v>
      </c>
      <c r="J347" s="42" t="s">
        <v>1097</v>
      </c>
      <c r="K347" s="28" t="s">
        <v>1118</v>
      </c>
      <c r="L347" s="43" t="s">
        <v>1092</v>
      </c>
      <c r="M347" s="209">
        <v>2030</v>
      </c>
      <c r="N347" s="209" t="s">
        <v>1464</v>
      </c>
      <c r="O347" s="257">
        <v>2</v>
      </c>
      <c r="P347" s="238" t="str">
        <f>VLOOKUP(_xlfn.CONCAT(Table3[[#This Row],[Target area]],Table3[[#This Row],[GHG target?]],Table3[[#This Row],[Conditionality]]),'Drop down'!$E$81:$F$101,2,FALSE)</f>
        <v>T_Energy_O_C</v>
      </c>
      <c r="Q347" s="239" t="str">
        <f>VLOOKUP(Table3[[#This Row],[Target type]],Table418[[Value name]:[Value idenifyer]],2,FALSE)</f>
        <v>T_E_REN</v>
      </c>
      <c r="T347" s="234" t="s">
        <v>1113</v>
      </c>
      <c r="V347" s="233" t="str">
        <f>VLOOKUP(Table3[[#This Row],[Country Code]],Table29[],3,FALSE)</f>
        <v>Non-Annex I</v>
      </c>
      <c r="W347" s="233" t="str">
        <f>VLOOKUP(Table3[[#This Row],[Country Code]],Table29[],4,FALSE)</f>
        <v>Asia</v>
      </c>
      <c r="X347" s="233" t="str">
        <f>VLOOKUP(Table3[[#This Row],[Country Code]],Table29[],5,FALSE)</f>
        <v>Middle-income</v>
      </c>
      <c r="Y347" s="233" t="str">
        <f>VLOOKUP(Table3[[#This Row],[Country Code]],Table29[],6,FALSE)</f>
        <v>G20</v>
      </c>
      <c r="Z347" s="233" t="str">
        <f>VLOOKUP(Table3[[#This Row],[Country Code]],Table29[],7,FALSE)</f>
        <v>no</v>
      </c>
      <c r="AA347" s="233" t="str">
        <f>VLOOKUP(Table3[[#This Row],[Country Code]],Table29[],8,FALSE)</f>
        <v>non-OECD</v>
      </c>
      <c r="AB347" s="233" t="str">
        <f>VLOOKUP(Table3[[#This Row],[Country Code]],Table29[],9,FALSE)</f>
        <v>no</v>
      </c>
      <c r="AC347" s="233" t="str">
        <f>VLOOKUP(Table3[[#This Row],[Country Code]],Table29[],10,FALSE)</f>
        <v>no</v>
      </c>
      <c r="AD347" s="235">
        <f>VLOOKUP(Table3[[#This Row],[Country Code]],Table29[],23,FALSE)</f>
        <v>4133.5543557464998</v>
      </c>
      <c r="AE347" s="235">
        <f>VLOOKUP(Table3[[#This Row],[Country Code]],Table29[],24,FALSE)</f>
        <v>349.27466196453167</v>
      </c>
      <c r="AF347" s="43"/>
    </row>
    <row r="348" spans="1:32" x14ac:dyDescent="0.25">
      <c r="A348" s="360">
        <v>32501</v>
      </c>
      <c r="B348" s="233" t="str">
        <f>VLOOKUP(Table3[[#This Row],[Document ID]],Table1[],2,FALSE)</f>
        <v>DEU</v>
      </c>
      <c r="C348" s="233" t="str">
        <f>VLOOKUP(Table3[[#This Row],[Document ID]],Table1[],3,FALSE)</f>
        <v>Germany</v>
      </c>
      <c r="D348" s="233" t="str">
        <f>VLOOKUP(Table3[[#This Row],[Document ID]],Table1[],5,FALSE)</f>
        <v>LTS</v>
      </c>
      <c r="E348" s="233" t="str">
        <f>VLOOKUP(Table3[[#This Row],[Document ID]],Table1[],7,FALSE)</f>
        <v>LTS</v>
      </c>
      <c r="F348" s="233" t="str">
        <f>VLOOKUP(Table3[[#This Row],[Document ID]],Table1[],8,FALSE)</f>
        <v>LTS 1.1</v>
      </c>
      <c r="G348" s="233" t="str">
        <f>VLOOKUP(Table3[[#This Row],[Document ID]],Table1[],10,FALSE)</f>
        <v>Active</v>
      </c>
      <c r="H348" s="42" t="s">
        <v>1095</v>
      </c>
      <c r="I348" s="43" t="s">
        <v>1115</v>
      </c>
      <c r="J348" s="43" t="s">
        <v>1090</v>
      </c>
      <c r="K348" s="28" t="s">
        <v>1121</v>
      </c>
      <c r="L348" s="42" t="s">
        <v>1099</v>
      </c>
      <c r="M348" s="209">
        <v>2030</v>
      </c>
      <c r="N348" s="43" t="s">
        <v>1465</v>
      </c>
      <c r="O348" s="258">
        <v>4</v>
      </c>
      <c r="P348" s="238" t="str">
        <f>VLOOKUP(_xlfn.CONCAT(Table3[[#This Row],[Target area]],Table3[[#This Row],[GHG target?]],Table3[[#This Row],[Conditionality]]),'Drop down'!$E$81:$F$101,2,FALSE)</f>
        <v>T_Transport_Unc</v>
      </c>
      <c r="Q348" s="239" t="str">
        <f>VLOOKUP(Table3[[#This Row],[Target type]],Table418[[Value name]:[Value idenifyer]],2,FALSE)</f>
        <v>T_FL</v>
      </c>
      <c r="R348" s="233" t="s">
        <v>526</v>
      </c>
      <c r="S348" s="233" t="s">
        <v>1125</v>
      </c>
      <c r="T348" s="234" t="s">
        <v>1113</v>
      </c>
      <c r="V348" s="233" t="str">
        <f>VLOOKUP(Table3[[#This Row],[Country Code]],Table29[],3,FALSE)</f>
        <v>Annex I</v>
      </c>
      <c r="W348" s="233" t="str">
        <f>VLOOKUP(Table3[[#This Row],[Country Code]],Table29[],4,FALSE)</f>
        <v>Europe</v>
      </c>
      <c r="X348" s="233" t="str">
        <f>VLOOKUP(Table3[[#This Row],[Country Code]],Table29[],5,FALSE)</f>
        <v>High-income</v>
      </c>
      <c r="Y348" s="233" t="str">
        <f>VLOOKUP(Table3[[#This Row],[Country Code]],Table29[],6,FALSE)</f>
        <v>G20</v>
      </c>
      <c r="Z348" s="233" t="str">
        <f>VLOOKUP(Table3[[#This Row],[Country Code]],Table29[],7,FALSE)</f>
        <v>G7</v>
      </c>
      <c r="AA348" s="233" t="str">
        <f>VLOOKUP(Table3[[#This Row],[Country Code]],Table29[],8,FALSE)</f>
        <v>OECD</v>
      </c>
      <c r="AB348" s="233" t="str">
        <f>VLOOKUP(Table3[[#This Row],[Country Code]],Table29[],9,FALSE)</f>
        <v>EU27</v>
      </c>
      <c r="AC348" s="233" t="str">
        <f>VLOOKUP(Table3[[#This Row],[Country Code]],Table29[],10,FALSE)</f>
        <v>no</v>
      </c>
      <c r="AD348" s="235">
        <f>VLOOKUP(Table3[[#This Row],[Country Code]],Table29[],23,FALSE)</f>
        <v>681.81032815186995</v>
      </c>
      <c r="AE348" s="235">
        <f>VLOOKUP(Table3[[#This Row],[Country Code]],Table29[],24,FALSE)</f>
        <v>141.2568578412648</v>
      </c>
      <c r="AF348" s="43"/>
    </row>
    <row r="349" spans="1:32" ht="30" x14ac:dyDescent="0.25">
      <c r="A349" s="360">
        <v>32501</v>
      </c>
      <c r="B349" s="233" t="str">
        <f>VLOOKUP(Table3[[#This Row],[Document ID]],Table1[],2,FALSE)</f>
        <v>DEU</v>
      </c>
      <c r="C349" s="233" t="str">
        <f>VLOOKUP(Table3[[#This Row],[Document ID]],Table1[],3,FALSE)</f>
        <v>Germany</v>
      </c>
      <c r="D349" s="233" t="str">
        <f>VLOOKUP(Table3[[#This Row],[Document ID]],Table1[],5,FALSE)</f>
        <v>LTS</v>
      </c>
      <c r="E349" s="233" t="str">
        <f>VLOOKUP(Table3[[#This Row],[Document ID]],Table1[],7,FALSE)</f>
        <v>LTS</v>
      </c>
      <c r="F349" s="233" t="str">
        <f>VLOOKUP(Table3[[#This Row],[Document ID]],Table1[],8,FALSE)</f>
        <v>LTS 1.1</v>
      </c>
      <c r="G349" s="233" t="str">
        <f>VLOOKUP(Table3[[#This Row],[Document ID]],Table1[],10,FALSE)</f>
        <v>Active</v>
      </c>
      <c r="H349" s="42" t="s">
        <v>1095</v>
      </c>
      <c r="I349" s="42" t="s">
        <v>1096</v>
      </c>
      <c r="J349" s="42" t="s">
        <v>1097</v>
      </c>
      <c r="K349" s="28" t="s">
        <v>1104</v>
      </c>
      <c r="L349" s="42" t="s">
        <v>1099</v>
      </c>
      <c r="M349" s="209">
        <v>2030</v>
      </c>
      <c r="N349" s="43" t="s">
        <v>1466</v>
      </c>
      <c r="O349" s="258">
        <v>6</v>
      </c>
      <c r="P349" s="238" t="str">
        <f>VLOOKUP(_xlfn.CONCAT(Table3[[#This Row],[Target area]],Table3[[#This Row],[GHG target?]],Table3[[#This Row],[Conditionality]]),'Drop down'!$E$81:$F$101,2,FALSE)</f>
        <v>T_Transport_O_Unc</v>
      </c>
      <c r="Q349" s="239" t="str">
        <f>VLOOKUP(Table3[[#This Row],[Target type]],Table418[[Value name]:[Value idenifyer]],2,FALSE)</f>
        <v>T_O_ZERO</v>
      </c>
      <c r="S349" s="233" t="s">
        <v>1125</v>
      </c>
      <c r="T349" s="234" t="s">
        <v>1113</v>
      </c>
      <c r="V349" s="233" t="str">
        <f>VLOOKUP(Table3[[#This Row],[Country Code]],Table29[],3,FALSE)</f>
        <v>Annex I</v>
      </c>
      <c r="W349" s="233" t="str">
        <f>VLOOKUP(Table3[[#This Row],[Country Code]],Table29[],4,FALSE)</f>
        <v>Europe</v>
      </c>
      <c r="X349" s="233" t="str">
        <f>VLOOKUP(Table3[[#This Row],[Country Code]],Table29[],5,FALSE)</f>
        <v>High-income</v>
      </c>
      <c r="Y349" s="233" t="str">
        <f>VLOOKUP(Table3[[#This Row],[Country Code]],Table29[],6,FALSE)</f>
        <v>G20</v>
      </c>
      <c r="Z349" s="233" t="str">
        <f>VLOOKUP(Table3[[#This Row],[Country Code]],Table29[],7,FALSE)</f>
        <v>G7</v>
      </c>
      <c r="AA349" s="233" t="str">
        <f>VLOOKUP(Table3[[#This Row],[Country Code]],Table29[],8,FALSE)</f>
        <v>OECD</v>
      </c>
      <c r="AB349" s="233" t="str">
        <f>VLOOKUP(Table3[[#This Row],[Country Code]],Table29[],9,FALSE)</f>
        <v>EU27</v>
      </c>
      <c r="AC349" s="233" t="str">
        <f>VLOOKUP(Table3[[#This Row],[Country Code]],Table29[],10,FALSE)</f>
        <v>no</v>
      </c>
      <c r="AD349" s="235">
        <f>VLOOKUP(Table3[[#This Row],[Country Code]],Table29[],23,FALSE)</f>
        <v>681.81032815186995</v>
      </c>
      <c r="AE349" s="235">
        <f>VLOOKUP(Table3[[#This Row],[Country Code]],Table29[],24,FALSE)</f>
        <v>141.2568578412648</v>
      </c>
      <c r="AF349" s="43"/>
    </row>
    <row r="350" spans="1:32" ht="30" x14ac:dyDescent="0.25">
      <c r="A350" s="360">
        <v>32501</v>
      </c>
      <c r="B350" s="233" t="str">
        <f>VLOOKUP(Table3[[#This Row],[Document ID]],Table1[],2,FALSE)</f>
        <v>DEU</v>
      </c>
      <c r="C350" s="233" t="str">
        <f>VLOOKUP(Table3[[#This Row],[Document ID]],Table1[],3,FALSE)</f>
        <v>Germany</v>
      </c>
      <c r="D350" s="233" t="str">
        <f>VLOOKUP(Table3[[#This Row],[Document ID]],Table1[],5,FALSE)</f>
        <v>LTS</v>
      </c>
      <c r="E350" s="233" t="str">
        <f>VLOOKUP(Table3[[#This Row],[Document ID]],Table1[],7,FALSE)</f>
        <v>LTS</v>
      </c>
      <c r="F350" s="233" t="str">
        <f>VLOOKUP(Table3[[#This Row],[Document ID]],Table1[],8,FALSE)</f>
        <v>LTS 1.1</v>
      </c>
      <c r="G350" s="233" t="str">
        <f>VLOOKUP(Table3[[#This Row],[Document ID]],Table1[],10,FALSE)</f>
        <v>Active</v>
      </c>
      <c r="H350" s="42" t="s">
        <v>1095</v>
      </c>
      <c r="I350" s="42" t="s">
        <v>1096</v>
      </c>
      <c r="J350" s="42" t="s">
        <v>1097</v>
      </c>
      <c r="K350" s="28" t="s">
        <v>1104</v>
      </c>
      <c r="L350" s="42" t="s">
        <v>1099</v>
      </c>
      <c r="M350" s="209">
        <v>2030</v>
      </c>
      <c r="N350" s="43" t="s">
        <v>1467</v>
      </c>
      <c r="O350" s="258">
        <v>6</v>
      </c>
      <c r="P350" s="238" t="str">
        <f>VLOOKUP(_xlfn.CONCAT(Table3[[#This Row],[Target area]],Table3[[#This Row],[GHG target?]],Table3[[#This Row],[Conditionality]]),'Drop down'!$E$81:$F$101,2,FALSE)</f>
        <v>T_Transport_O_Unc</v>
      </c>
      <c r="Q350" s="239" t="str">
        <f>VLOOKUP(Table3[[#This Row],[Target type]],Table418[[Value name]:[Value idenifyer]],2,FALSE)</f>
        <v>T_O_ZERO</v>
      </c>
      <c r="S350" s="233" t="s">
        <v>1125</v>
      </c>
      <c r="T350" s="234" t="s">
        <v>1113</v>
      </c>
      <c r="V350" s="233" t="str">
        <f>VLOOKUP(Table3[[#This Row],[Country Code]],Table29[],3,FALSE)</f>
        <v>Annex I</v>
      </c>
      <c r="W350" s="233" t="str">
        <f>VLOOKUP(Table3[[#This Row],[Country Code]],Table29[],4,FALSE)</f>
        <v>Europe</v>
      </c>
      <c r="X350" s="233" t="str">
        <f>VLOOKUP(Table3[[#This Row],[Country Code]],Table29[],5,FALSE)</f>
        <v>High-income</v>
      </c>
      <c r="Y350" s="233" t="str">
        <f>VLOOKUP(Table3[[#This Row],[Country Code]],Table29[],6,FALSE)</f>
        <v>G20</v>
      </c>
      <c r="Z350" s="233" t="str">
        <f>VLOOKUP(Table3[[#This Row],[Country Code]],Table29[],7,FALSE)</f>
        <v>G7</v>
      </c>
      <c r="AA350" s="233" t="str">
        <f>VLOOKUP(Table3[[#This Row],[Country Code]],Table29[],8,FALSE)</f>
        <v>OECD</v>
      </c>
      <c r="AB350" s="233" t="str">
        <f>VLOOKUP(Table3[[#This Row],[Country Code]],Table29[],9,FALSE)</f>
        <v>EU27</v>
      </c>
      <c r="AC350" s="233" t="str">
        <f>VLOOKUP(Table3[[#This Row],[Country Code]],Table29[],10,FALSE)</f>
        <v>no</v>
      </c>
      <c r="AD350" s="235">
        <f>VLOOKUP(Table3[[#This Row],[Country Code]],Table29[],23,FALSE)</f>
        <v>681.81032815186995</v>
      </c>
      <c r="AE350" s="235">
        <f>VLOOKUP(Table3[[#This Row],[Country Code]],Table29[],24,FALSE)</f>
        <v>141.2568578412648</v>
      </c>
      <c r="AF350" s="43"/>
    </row>
    <row r="351" spans="1:32" x14ac:dyDescent="0.25">
      <c r="A351" s="360">
        <v>17617</v>
      </c>
      <c r="B351" s="233" t="str">
        <f>VLOOKUP(Table3[[#This Row],[Document ID]],Table1[],2,FALSE)</f>
        <v>IND</v>
      </c>
      <c r="C351" s="233" t="str">
        <f>VLOOKUP(Table3[[#This Row],[Document ID]],Table1[],3,FALSE)</f>
        <v>India</v>
      </c>
      <c r="D351" s="233" t="str">
        <f>VLOOKUP(Table3[[#This Row],[Document ID]],Table1[],5,FALSE)</f>
        <v>NDC</v>
      </c>
      <c r="E351" s="233" t="str">
        <f>VLOOKUP(Table3[[#This Row],[Document ID]],Table1[],7,FALSE)</f>
        <v>First NDC</v>
      </c>
      <c r="F351" s="233" t="str">
        <f>VLOOKUP(Table3[[#This Row],[Document ID]],Table1[],8,FALSE)</f>
        <v>NDC 1.0</v>
      </c>
      <c r="G351" s="233" t="str">
        <f>VLOOKUP(Table3[[#This Row],[Document ID]],Table1[],10,FALSE)</f>
        <v>Archived</v>
      </c>
      <c r="H351" s="216" t="s">
        <v>1089</v>
      </c>
      <c r="I351" s="216" t="s">
        <v>1089</v>
      </c>
      <c r="J351" s="43" t="s">
        <v>1090</v>
      </c>
      <c r="K351" s="28" t="s">
        <v>1153</v>
      </c>
      <c r="L351" s="216" t="s">
        <v>1092</v>
      </c>
      <c r="M351" s="209">
        <v>2030</v>
      </c>
      <c r="N351" s="176" t="s">
        <v>1468</v>
      </c>
      <c r="O351" s="258" t="s">
        <v>1094</v>
      </c>
      <c r="P351" s="238" t="str">
        <f>VLOOKUP(_xlfn.CONCAT(Table3[[#This Row],[Target area]],Table3[[#This Row],[GHG target?]],Table3[[#This Row],[Conditionality]]),'Drop down'!$E$81:$F$101,2,FALSE)</f>
        <v>T_Economy_C</v>
      </c>
      <c r="Q351" s="239" t="str">
        <f>VLOOKUP(Table3[[#This Row],[Target type]],Table418[[Value name]:[Value idenifyer]],2,FALSE)</f>
        <v>T_BYE</v>
      </c>
      <c r="S351" s="233" t="s">
        <v>1101</v>
      </c>
      <c r="T351" s="234" t="s">
        <v>1113</v>
      </c>
      <c r="V351" s="233" t="str">
        <f>VLOOKUP(Table3[[#This Row],[Country Code]],Table29[],3,FALSE)</f>
        <v>Non-Annex I</v>
      </c>
      <c r="W351" s="233" t="str">
        <f>VLOOKUP(Table3[[#This Row],[Country Code]],Table29[],4,FALSE)</f>
        <v>Asia</v>
      </c>
      <c r="X351" s="233" t="str">
        <f>VLOOKUP(Table3[[#This Row],[Country Code]],Table29[],5,FALSE)</f>
        <v>Middle-income</v>
      </c>
      <c r="Y351" s="233" t="str">
        <f>VLOOKUP(Table3[[#This Row],[Country Code]],Table29[],6,FALSE)</f>
        <v>G20</v>
      </c>
      <c r="Z351" s="233" t="str">
        <f>VLOOKUP(Table3[[#This Row],[Country Code]],Table29[],7,FALSE)</f>
        <v>no</v>
      </c>
      <c r="AA351" s="233" t="str">
        <f>VLOOKUP(Table3[[#This Row],[Country Code]],Table29[],8,FALSE)</f>
        <v>non-OECD</v>
      </c>
      <c r="AB351" s="233" t="str">
        <f>VLOOKUP(Table3[[#This Row],[Country Code]],Table29[],9,FALSE)</f>
        <v>no</v>
      </c>
      <c r="AC351" s="233" t="str">
        <f>VLOOKUP(Table3[[#This Row],[Country Code]],Table29[],10,FALSE)</f>
        <v>no</v>
      </c>
      <c r="AD351" s="235">
        <f>VLOOKUP(Table3[[#This Row],[Country Code]],Table29[],23,FALSE)</f>
        <v>4133.5543557464998</v>
      </c>
      <c r="AE351" s="235">
        <f>VLOOKUP(Table3[[#This Row],[Country Code]],Table29[],24,FALSE)</f>
        <v>349.27466196453167</v>
      </c>
      <c r="AF351" s="43"/>
    </row>
    <row r="352" spans="1:32" x14ac:dyDescent="0.25">
      <c r="A352" s="360">
        <v>21226</v>
      </c>
      <c r="B352" s="233" t="str">
        <f>VLOOKUP(Table3[[#This Row],[Document ID]],Table1[],2,FALSE)</f>
        <v>IDN</v>
      </c>
      <c r="C352" s="233" t="str">
        <f>VLOOKUP(Table3[[#This Row],[Document ID]],Table1[],3,FALSE)</f>
        <v>Indonesia</v>
      </c>
      <c r="D352" s="233" t="str">
        <f>VLOOKUP(Table3[[#This Row],[Document ID]],Table1[],5,FALSE)</f>
        <v>NDC</v>
      </c>
      <c r="E352" s="233" t="str">
        <f>VLOOKUP(Table3[[#This Row],[Document ID]],Table1[],7,FALSE)</f>
        <v>First NDC updated</v>
      </c>
      <c r="F352" s="233" t="str">
        <f>VLOOKUP(Table3[[#This Row],[Document ID]],Table1[],8,FALSE)</f>
        <v>NDC 1.1</v>
      </c>
      <c r="G352" s="233" t="str">
        <f>VLOOKUP(Table3[[#This Row],[Document ID]],Table1[],10,FALSE)</f>
        <v>Archived</v>
      </c>
      <c r="H352" s="216" t="s">
        <v>1089</v>
      </c>
      <c r="I352" s="216" t="s">
        <v>1089</v>
      </c>
      <c r="J352" s="43" t="s">
        <v>1090</v>
      </c>
      <c r="K352" s="28" t="s">
        <v>1091</v>
      </c>
      <c r="L352" s="42" t="s">
        <v>1099</v>
      </c>
      <c r="M352" s="209">
        <v>2030</v>
      </c>
      <c r="N352" s="209" t="s">
        <v>1469</v>
      </c>
      <c r="O352" s="257">
        <v>10</v>
      </c>
      <c r="P352" s="238" t="str">
        <f>VLOOKUP(_xlfn.CONCAT(Table3[[#This Row],[Target area]],Table3[[#This Row],[GHG target?]],Table3[[#This Row],[Conditionality]]),'Drop down'!$E$81:$F$101,2,FALSE)</f>
        <v>T_Economy_Unc</v>
      </c>
      <c r="Q352" s="239" t="str">
        <f>VLOOKUP(Table3[[#This Row],[Target type]],Table418[[Value name]:[Value idenifyer]],2,FALSE)</f>
        <v>T_BAU</v>
      </c>
      <c r="T352" s="234" t="s">
        <v>1113</v>
      </c>
      <c r="V352" s="233" t="str">
        <f>VLOOKUP(Table3[[#This Row],[Country Code]],Table29[],3,FALSE)</f>
        <v>Non-Annex I</v>
      </c>
      <c r="W352" s="233" t="str">
        <f>VLOOKUP(Table3[[#This Row],[Country Code]],Table29[],4,FALSE)</f>
        <v>Asia</v>
      </c>
      <c r="X352" s="233" t="str">
        <f>VLOOKUP(Table3[[#This Row],[Country Code]],Table29[],5,FALSE)</f>
        <v>Middle-income</v>
      </c>
      <c r="Y352" s="233" t="str">
        <f>VLOOKUP(Table3[[#This Row],[Country Code]],Table29[],6,FALSE)</f>
        <v>G20</v>
      </c>
      <c r="Z352" s="233" t="str">
        <f>VLOOKUP(Table3[[#This Row],[Country Code]],Table29[],7,FALSE)</f>
        <v>no</v>
      </c>
      <c r="AA352" s="233" t="str">
        <f>VLOOKUP(Table3[[#This Row],[Country Code]],Table29[],8,FALSE)</f>
        <v>non-OECD</v>
      </c>
      <c r="AB352" s="233" t="str">
        <f>VLOOKUP(Table3[[#This Row],[Country Code]],Table29[],9,FALSE)</f>
        <v>no</v>
      </c>
      <c r="AC352" s="233" t="str">
        <f>VLOOKUP(Table3[[#This Row],[Country Code]],Table29[],10,FALSE)</f>
        <v>no</v>
      </c>
      <c r="AD352" s="235">
        <f>VLOOKUP(Table3[[#This Row],[Country Code]],Table29[],23,FALSE)</f>
        <v>1200.1997867973</v>
      </c>
      <c r="AE352" s="235">
        <f>VLOOKUP(Table3[[#This Row],[Country Code]],Table29[],24,FALSE)</f>
        <v>152.1133830762208</v>
      </c>
      <c r="AF352" s="43"/>
    </row>
    <row r="353" spans="1:32" x14ac:dyDescent="0.25">
      <c r="A353" s="360">
        <v>21226</v>
      </c>
      <c r="B353" s="233" t="str">
        <f>VLOOKUP(Table3[[#This Row],[Document ID]],Table1[],2,FALSE)</f>
        <v>IDN</v>
      </c>
      <c r="C353" s="233" t="str">
        <f>VLOOKUP(Table3[[#This Row],[Document ID]],Table1[],3,FALSE)</f>
        <v>Indonesia</v>
      </c>
      <c r="D353" s="233" t="str">
        <f>VLOOKUP(Table3[[#This Row],[Document ID]],Table1[],5,FALSE)</f>
        <v>NDC</v>
      </c>
      <c r="E353" s="233" t="str">
        <f>VLOOKUP(Table3[[#This Row],[Document ID]],Table1[],7,FALSE)</f>
        <v>First NDC updated</v>
      </c>
      <c r="F353" s="233" t="str">
        <f>VLOOKUP(Table3[[#This Row],[Document ID]],Table1[],8,FALSE)</f>
        <v>NDC 1.1</v>
      </c>
      <c r="G353" s="233" t="str">
        <f>VLOOKUP(Table3[[#This Row],[Document ID]],Table1[],10,FALSE)</f>
        <v>Archived</v>
      </c>
      <c r="H353" s="216" t="s">
        <v>1089</v>
      </c>
      <c r="I353" s="216" t="s">
        <v>1089</v>
      </c>
      <c r="J353" s="43" t="s">
        <v>1090</v>
      </c>
      <c r="K353" s="28" t="s">
        <v>1091</v>
      </c>
      <c r="L353" s="216" t="s">
        <v>1092</v>
      </c>
      <c r="M353" s="209">
        <v>2030</v>
      </c>
      <c r="N353" s="209" t="s">
        <v>1470</v>
      </c>
      <c r="O353" s="257">
        <v>10</v>
      </c>
      <c r="P353" s="238" t="str">
        <f>VLOOKUP(_xlfn.CONCAT(Table3[[#This Row],[Target area]],Table3[[#This Row],[GHG target?]],Table3[[#This Row],[Conditionality]]),'Drop down'!$E$81:$F$101,2,FALSE)</f>
        <v>T_Economy_C</v>
      </c>
      <c r="Q353" s="239" t="str">
        <f>VLOOKUP(Table3[[#This Row],[Target type]],Table418[[Value name]:[Value idenifyer]],2,FALSE)</f>
        <v>T_BAU</v>
      </c>
      <c r="T353" s="234" t="s">
        <v>1113</v>
      </c>
      <c r="V353" s="233" t="str">
        <f>VLOOKUP(Table3[[#This Row],[Country Code]],Table29[],3,FALSE)</f>
        <v>Non-Annex I</v>
      </c>
      <c r="W353" s="233" t="str">
        <f>VLOOKUP(Table3[[#This Row],[Country Code]],Table29[],4,FALSE)</f>
        <v>Asia</v>
      </c>
      <c r="X353" s="233" t="str">
        <f>VLOOKUP(Table3[[#This Row],[Country Code]],Table29[],5,FALSE)</f>
        <v>Middle-income</v>
      </c>
      <c r="Y353" s="233" t="str">
        <f>VLOOKUP(Table3[[#This Row],[Country Code]],Table29[],6,FALSE)</f>
        <v>G20</v>
      </c>
      <c r="Z353" s="233" t="str">
        <f>VLOOKUP(Table3[[#This Row],[Country Code]],Table29[],7,FALSE)</f>
        <v>no</v>
      </c>
      <c r="AA353" s="233" t="str">
        <f>VLOOKUP(Table3[[#This Row],[Country Code]],Table29[],8,FALSE)</f>
        <v>non-OECD</v>
      </c>
      <c r="AB353" s="233" t="str">
        <f>VLOOKUP(Table3[[#This Row],[Country Code]],Table29[],9,FALSE)</f>
        <v>no</v>
      </c>
      <c r="AC353" s="233" t="str">
        <f>VLOOKUP(Table3[[#This Row],[Country Code]],Table29[],10,FALSE)</f>
        <v>no</v>
      </c>
      <c r="AD353" s="235">
        <f>VLOOKUP(Table3[[#This Row],[Country Code]],Table29[],23,FALSE)</f>
        <v>1200.1997867973</v>
      </c>
      <c r="AE353" s="235">
        <f>VLOOKUP(Table3[[#This Row],[Country Code]],Table29[],24,FALSE)</f>
        <v>152.1133830762208</v>
      </c>
      <c r="AF353" s="43"/>
    </row>
    <row r="354" spans="1:32" ht="30" x14ac:dyDescent="0.25">
      <c r="A354" s="360">
        <v>22315</v>
      </c>
      <c r="B354" s="233" t="str">
        <f>VLOOKUP(Table3[[#This Row],[Document ID]],Table1[],2,FALSE)</f>
        <v>IDN</v>
      </c>
      <c r="C354" s="233" t="str">
        <f>VLOOKUP(Table3[[#This Row],[Document ID]],Table1[],3,FALSE)</f>
        <v>Indonesia</v>
      </c>
      <c r="D354" s="233" t="str">
        <f>VLOOKUP(Table3[[#This Row],[Document ID]],Table1[],5,FALSE)</f>
        <v>LTS</v>
      </c>
      <c r="E354" s="233" t="str">
        <f>VLOOKUP(Table3[[#This Row],[Document ID]],Table1[],7,FALSE)</f>
        <v>LTS</v>
      </c>
      <c r="F354" s="233" t="str">
        <f>VLOOKUP(Table3[[#This Row],[Document ID]],Table1[],8,FALSE)</f>
        <v>LTS 1.0</v>
      </c>
      <c r="G354" s="233" t="str">
        <f>VLOOKUP(Table3[[#This Row],[Document ID]],Table1[],10,FALSE)</f>
        <v>Active</v>
      </c>
      <c r="H354" s="216" t="s">
        <v>1089</v>
      </c>
      <c r="I354" s="216" t="s">
        <v>1089</v>
      </c>
      <c r="J354" s="43" t="s">
        <v>1090</v>
      </c>
      <c r="K354" s="28" t="s">
        <v>1121</v>
      </c>
      <c r="L354" s="42" t="s">
        <v>1099</v>
      </c>
      <c r="M354" s="209">
        <v>2050</v>
      </c>
      <c r="N354" s="209" t="s">
        <v>1471</v>
      </c>
      <c r="O354" s="257">
        <v>33</v>
      </c>
      <c r="P354" s="238" t="str">
        <f>VLOOKUP(_xlfn.CONCAT(Table3[[#This Row],[Target area]],Table3[[#This Row],[GHG target?]],Table3[[#This Row],[Conditionality]]),'Drop down'!$E$81:$F$101,2,FALSE)</f>
        <v>T_Economy_Unc</v>
      </c>
      <c r="Q354" s="239" t="str">
        <f>VLOOKUP(Table3[[#This Row],[Target type]],Table418[[Value name]:[Value idenifyer]],2,FALSE)</f>
        <v>T_FL</v>
      </c>
      <c r="T354" s="234" t="s">
        <v>1113</v>
      </c>
      <c r="U354" s="240"/>
      <c r="V354" s="233" t="str">
        <f>VLOOKUP(Table3[[#This Row],[Country Code]],Table29[],3,FALSE)</f>
        <v>Non-Annex I</v>
      </c>
      <c r="W354" s="233" t="str">
        <f>VLOOKUP(Table3[[#This Row],[Country Code]],Table29[],4,FALSE)</f>
        <v>Asia</v>
      </c>
      <c r="X354" s="233" t="str">
        <f>VLOOKUP(Table3[[#This Row],[Country Code]],Table29[],5,FALSE)</f>
        <v>Middle-income</v>
      </c>
      <c r="Y354" s="233" t="str">
        <f>VLOOKUP(Table3[[#This Row],[Country Code]],Table29[],6,FALSE)</f>
        <v>G20</v>
      </c>
      <c r="Z354" s="233" t="str">
        <f>VLOOKUP(Table3[[#This Row],[Country Code]],Table29[],7,FALSE)</f>
        <v>no</v>
      </c>
      <c r="AA354" s="233" t="str">
        <f>VLOOKUP(Table3[[#This Row],[Country Code]],Table29[],8,FALSE)</f>
        <v>non-OECD</v>
      </c>
      <c r="AB354" s="233" t="str">
        <f>VLOOKUP(Table3[[#This Row],[Country Code]],Table29[],9,FALSE)</f>
        <v>no</v>
      </c>
      <c r="AC354" s="233" t="str">
        <f>VLOOKUP(Table3[[#This Row],[Country Code]],Table29[],10,FALSE)</f>
        <v>no</v>
      </c>
      <c r="AD354" s="235">
        <f>VLOOKUP(Table3[[#This Row],[Country Code]],Table29[],23,FALSE)</f>
        <v>1200.1997867973</v>
      </c>
      <c r="AE354" s="235">
        <f>VLOOKUP(Table3[[#This Row],[Country Code]],Table29[],24,FALSE)</f>
        <v>152.1133830762208</v>
      </c>
      <c r="AF354" s="43"/>
    </row>
    <row r="355" spans="1:32" x14ac:dyDescent="0.25">
      <c r="A355" s="360">
        <v>32503</v>
      </c>
      <c r="B355" s="233" t="str">
        <f>VLOOKUP(Table3[[#This Row],[Document ID]],Table1[],2,FALSE)</f>
        <v>IDN</v>
      </c>
      <c r="C355" s="233" t="str">
        <f>VLOOKUP(Table3[[#This Row],[Document ID]],Table1[],3,FALSE)</f>
        <v>Indonesia</v>
      </c>
      <c r="D355" s="233" t="str">
        <f>VLOOKUP(Table3[[#This Row],[Document ID]],Table1[],5,FALSE)</f>
        <v>NDC</v>
      </c>
      <c r="E355" s="233" t="str">
        <f>VLOOKUP(Table3[[#This Row],[Document ID]],Table1[],7,FALSE)</f>
        <v>First NDC updated</v>
      </c>
      <c r="F355" s="233" t="str">
        <f>VLOOKUP(Table3[[#This Row],[Document ID]],Table1[],8,FALSE)</f>
        <v>NDC 1.2</v>
      </c>
      <c r="G355" s="233" t="str">
        <f>VLOOKUP(Table3[[#This Row],[Document ID]],Table1[],10,FALSE)</f>
        <v>Active</v>
      </c>
      <c r="H355" s="216" t="s">
        <v>1089</v>
      </c>
      <c r="I355" s="216" t="s">
        <v>1089</v>
      </c>
      <c r="J355" s="43" t="s">
        <v>1090</v>
      </c>
      <c r="K355" s="28" t="s">
        <v>1091</v>
      </c>
      <c r="L355" s="42" t="s">
        <v>1099</v>
      </c>
      <c r="M355" s="209">
        <v>2030</v>
      </c>
      <c r="N355" s="209" t="s">
        <v>1472</v>
      </c>
      <c r="O355" s="257">
        <v>12</v>
      </c>
      <c r="P355" s="238" t="str">
        <f>VLOOKUP(_xlfn.CONCAT(Table3[[#This Row],[Target area]],Table3[[#This Row],[GHG target?]],Table3[[#This Row],[Conditionality]]),'Drop down'!$E$81:$F$101,2,FALSE)</f>
        <v>T_Economy_Unc</v>
      </c>
      <c r="Q355" s="239" t="str">
        <f>VLOOKUP(Table3[[#This Row],[Target type]],Table418[[Value name]:[Value idenifyer]],2,FALSE)</f>
        <v>T_BAU</v>
      </c>
      <c r="T355" s="234" t="s">
        <v>1113</v>
      </c>
      <c r="U355" s="240"/>
      <c r="V355" s="233" t="str">
        <f>VLOOKUP(Table3[[#This Row],[Country Code]],Table29[],3,FALSE)</f>
        <v>Non-Annex I</v>
      </c>
      <c r="W355" s="233" t="str">
        <f>VLOOKUP(Table3[[#This Row],[Country Code]],Table29[],4,FALSE)</f>
        <v>Asia</v>
      </c>
      <c r="X355" s="233" t="str">
        <f>VLOOKUP(Table3[[#This Row],[Country Code]],Table29[],5,FALSE)</f>
        <v>Middle-income</v>
      </c>
      <c r="Y355" s="233" t="str">
        <f>VLOOKUP(Table3[[#This Row],[Country Code]],Table29[],6,FALSE)</f>
        <v>G20</v>
      </c>
      <c r="Z355" s="233" t="str">
        <f>VLOOKUP(Table3[[#This Row],[Country Code]],Table29[],7,FALSE)</f>
        <v>no</v>
      </c>
      <c r="AA355" s="233" t="str">
        <f>VLOOKUP(Table3[[#This Row],[Country Code]],Table29[],8,FALSE)</f>
        <v>non-OECD</v>
      </c>
      <c r="AB355" s="233" t="str">
        <f>VLOOKUP(Table3[[#This Row],[Country Code]],Table29[],9,FALSE)</f>
        <v>no</v>
      </c>
      <c r="AC355" s="233" t="str">
        <f>VLOOKUP(Table3[[#This Row],[Country Code]],Table29[],10,FALSE)</f>
        <v>no</v>
      </c>
      <c r="AD355" s="235">
        <f>VLOOKUP(Table3[[#This Row],[Country Code]],Table29[],23,FALSE)</f>
        <v>1200.1997867973</v>
      </c>
      <c r="AE355" s="235">
        <f>VLOOKUP(Table3[[#This Row],[Country Code]],Table29[],24,FALSE)</f>
        <v>152.1133830762208</v>
      </c>
      <c r="AF355" s="43"/>
    </row>
    <row r="356" spans="1:32" ht="30" x14ac:dyDescent="0.25">
      <c r="A356" s="360">
        <v>32503</v>
      </c>
      <c r="B356" s="233" t="str">
        <f>VLOOKUP(Table3[[#This Row],[Document ID]],Table1[],2,FALSE)</f>
        <v>IDN</v>
      </c>
      <c r="C356" s="233" t="str">
        <f>VLOOKUP(Table3[[#This Row],[Document ID]],Table1[],3,FALSE)</f>
        <v>Indonesia</v>
      </c>
      <c r="D356" s="233" t="str">
        <f>VLOOKUP(Table3[[#This Row],[Document ID]],Table1[],5,FALSE)</f>
        <v>NDC</v>
      </c>
      <c r="E356" s="233" t="str">
        <f>VLOOKUP(Table3[[#This Row],[Document ID]],Table1[],7,FALSE)</f>
        <v>First NDC updated</v>
      </c>
      <c r="F356" s="233" t="str">
        <f>VLOOKUP(Table3[[#This Row],[Document ID]],Table1[],8,FALSE)</f>
        <v>NDC 1.2</v>
      </c>
      <c r="G356" s="233" t="str">
        <f>VLOOKUP(Table3[[#This Row],[Document ID]],Table1[],10,FALSE)</f>
        <v>Active</v>
      </c>
      <c r="H356" s="216" t="s">
        <v>1089</v>
      </c>
      <c r="I356" s="216" t="s">
        <v>1089</v>
      </c>
      <c r="J356" s="43" t="s">
        <v>1090</v>
      </c>
      <c r="K356" s="28" t="s">
        <v>1091</v>
      </c>
      <c r="L356" s="216" t="s">
        <v>1092</v>
      </c>
      <c r="M356" s="209">
        <v>2030</v>
      </c>
      <c r="N356" s="209" t="s">
        <v>1473</v>
      </c>
      <c r="O356" s="257">
        <v>12</v>
      </c>
      <c r="P356" s="238" t="str">
        <f>VLOOKUP(_xlfn.CONCAT(Table3[[#This Row],[Target area]],Table3[[#This Row],[GHG target?]],Table3[[#This Row],[Conditionality]]),'Drop down'!$E$81:$F$101,2,FALSE)</f>
        <v>T_Economy_C</v>
      </c>
      <c r="Q356" s="239" t="str">
        <f>VLOOKUP(Table3[[#This Row],[Target type]],Table418[[Value name]:[Value idenifyer]],2,FALSE)</f>
        <v>T_BAU</v>
      </c>
      <c r="T356" s="234" t="s">
        <v>1113</v>
      </c>
      <c r="U356" s="240"/>
      <c r="V356" s="233" t="str">
        <f>VLOOKUP(Table3[[#This Row],[Country Code]],Table29[],3,FALSE)</f>
        <v>Non-Annex I</v>
      </c>
      <c r="W356" s="233" t="str">
        <f>VLOOKUP(Table3[[#This Row],[Country Code]],Table29[],4,FALSE)</f>
        <v>Asia</v>
      </c>
      <c r="X356" s="233" t="str">
        <f>VLOOKUP(Table3[[#This Row],[Country Code]],Table29[],5,FALSE)</f>
        <v>Middle-income</v>
      </c>
      <c r="Y356" s="233" t="str">
        <f>VLOOKUP(Table3[[#This Row],[Country Code]],Table29[],6,FALSE)</f>
        <v>G20</v>
      </c>
      <c r="Z356" s="233" t="str">
        <f>VLOOKUP(Table3[[#This Row],[Country Code]],Table29[],7,FALSE)</f>
        <v>no</v>
      </c>
      <c r="AA356" s="233" t="str">
        <f>VLOOKUP(Table3[[#This Row],[Country Code]],Table29[],8,FALSE)</f>
        <v>non-OECD</v>
      </c>
      <c r="AB356" s="233" t="str">
        <f>VLOOKUP(Table3[[#This Row],[Country Code]],Table29[],9,FALSE)</f>
        <v>no</v>
      </c>
      <c r="AC356" s="233" t="str">
        <f>VLOOKUP(Table3[[#This Row],[Country Code]],Table29[],10,FALSE)</f>
        <v>no</v>
      </c>
      <c r="AD356" s="235">
        <f>VLOOKUP(Table3[[#This Row],[Country Code]],Table29[],23,FALSE)</f>
        <v>1200.1997867973</v>
      </c>
      <c r="AE356" s="235">
        <f>VLOOKUP(Table3[[#This Row],[Country Code]],Table29[],24,FALSE)</f>
        <v>152.1133830762208</v>
      </c>
      <c r="AF356" s="43"/>
    </row>
    <row r="357" spans="1:32" x14ac:dyDescent="0.25">
      <c r="A357" s="360">
        <v>17618</v>
      </c>
      <c r="B357" s="233" t="str">
        <f>VLOOKUP(Table3[[#This Row],[Document ID]],Table1[],2,FALSE)</f>
        <v>IDN</v>
      </c>
      <c r="C357" s="233" t="str">
        <f>VLOOKUP(Table3[[#This Row],[Document ID]],Table1[],3,FALSE)</f>
        <v>Indonesia</v>
      </c>
      <c r="D357" s="233" t="str">
        <f>VLOOKUP(Table3[[#This Row],[Document ID]],Table1[],5,FALSE)</f>
        <v>NDC</v>
      </c>
      <c r="E357" s="233" t="str">
        <f>VLOOKUP(Table3[[#This Row],[Document ID]],Table1[],7,FALSE)</f>
        <v>First NDC</v>
      </c>
      <c r="F357" s="233" t="str">
        <f>VLOOKUP(Table3[[#This Row],[Document ID]],Table1[],8,FALSE)</f>
        <v>NDC 1.0</v>
      </c>
      <c r="G357" s="233" t="str">
        <f>VLOOKUP(Table3[[#This Row],[Document ID]],Table1[],10,FALSE)</f>
        <v>Archived</v>
      </c>
      <c r="H357" s="216" t="s">
        <v>1089</v>
      </c>
      <c r="I357" s="216" t="s">
        <v>1089</v>
      </c>
      <c r="J357" s="43" t="s">
        <v>1090</v>
      </c>
      <c r="K357" s="28" t="s">
        <v>1091</v>
      </c>
      <c r="L357" s="42" t="s">
        <v>1099</v>
      </c>
      <c r="M357" s="209">
        <v>2020</v>
      </c>
      <c r="N357" s="176" t="s">
        <v>1474</v>
      </c>
      <c r="O357" s="258" t="s">
        <v>1094</v>
      </c>
      <c r="P357" s="238" t="str">
        <f>VLOOKUP(_xlfn.CONCAT(Table3[[#This Row],[Target area]],Table3[[#This Row],[GHG target?]],Table3[[#This Row],[Conditionality]]),'Drop down'!$E$81:$F$101,2,FALSE)</f>
        <v>T_Economy_Unc</v>
      </c>
      <c r="Q357" s="239" t="str">
        <f>VLOOKUP(Table3[[#This Row],[Target type]],Table418[[Value name]:[Value idenifyer]],2,FALSE)</f>
        <v>T_BAU</v>
      </c>
      <c r="T357" s="234" t="s">
        <v>1113</v>
      </c>
      <c r="U357" s="240"/>
      <c r="V357" s="233" t="str">
        <f>VLOOKUP(Table3[[#This Row],[Country Code]],Table29[],3,FALSE)</f>
        <v>Non-Annex I</v>
      </c>
      <c r="W357" s="233" t="str">
        <f>VLOOKUP(Table3[[#This Row],[Country Code]],Table29[],4,FALSE)</f>
        <v>Asia</v>
      </c>
      <c r="X357" s="233" t="str">
        <f>VLOOKUP(Table3[[#This Row],[Country Code]],Table29[],5,FALSE)</f>
        <v>Middle-income</v>
      </c>
      <c r="Y357" s="233" t="str">
        <f>VLOOKUP(Table3[[#This Row],[Country Code]],Table29[],6,FALSE)</f>
        <v>G20</v>
      </c>
      <c r="Z357" s="233" t="str">
        <f>VLOOKUP(Table3[[#This Row],[Country Code]],Table29[],7,FALSE)</f>
        <v>no</v>
      </c>
      <c r="AA357" s="233" t="str">
        <f>VLOOKUP(Table3[[#This Row],[Country Code]],Table29[],8,FALSE)</f>
        <v>non-OECD</v>
      </c>
      <c r="AB357" s="233" t="str">
        <f>VLOOKUP(Table3[[#This Row],[Country Code]],Table29[],9,FALSE)</f>
        <v>no</v>
      </c>
      <c r="AC357" s="233" t="str">
        <f>VLOOKUP(Table3[[#This Row],[Country Code]],Table29[],10,FALSE)</f>
        <v>no</v>
      </c>
      <c r="AD357" s="235">
        <f>VLOOKUP(Table3[[#This Row],[Country Code]],Table29[],23,FALSE)</f>
        <v>1200.1997867973</v>
      </c>
      <c r="AE357" s="235">
        <f>VLOOKUP(Table3[[#This Row],[Country Code]],Table29[],24,FALSE)</f>
        <v>152.1133830762208</v>
      </c>
      <c r="AF357" s="43"/>
    </row>
    <row r="358" spans="1:32" x14ac:dyDescent="0.25">
      <c r="A358" s="360">
        <v>17618</v>
      </c>
      <c r="B358" s="233" t="str">
        <f>VLOOKUP(Table3[[#This Row],[Document ID]],Table1[],2,FALSE)</f>
        <v>IDN</v>
      </c>
      <c r="C358" s="233" t="str">
        <f>VLOOKUP(Table3[[#This Row],[Document ID]],Table1[],3,FALSE)</f>
        <v>Indonesia</v>
      </c>
      <c r="D358" s="233" t="str">
        <f>VLOOKUP(Table3[[#This Row],[Document ID]],Table1[],5,FALSE)</f>
        <v>NDC</v>
      </c>
      <c r="E358" s="233" t="str">
        <f>VLOOKUP(Table3[[#This Row],[Document ID]],Table1[],7,FALSE)</f>
        <v>First NDC</v>
      </c>
      <c r="F358" s="233" t="str">
        <f>VLOOKUP(Table3[[#This Row],[Document ID]],Table1[],8,FALSE)</f>
        <v>NDC 1.0</v>
      </c>
      <c r="G358" s="233" t="str">
        <f>VLOOKUP(Table3[[#This Row],[Document ID]],Table1[],10,FALSE)</f>
        <v>Archived</v>
      </c>
      <c r="H358" s="216" t="s">
        <v>1089</v>
      </c>
      <c r="I358" s="216" t="s">
        <v>1089</v>
      </c>
      <c r="J358" s="43" t="s">
        <v>1090</v>
      </c>
      <c r="K358" s="28" t="s">
        <v>1091</v>
      </c>
      <c r="L358" s="216" t="s">
        <v>1092</v>
      </c>
      <c r="M358" s="209"/>
      <c r="N358" s="176" t="s">
        <v>1475</v>
      </c>
      <c r="O358" s="258" t="s">
        <v>1094</v>
      </c>
      <c r="P358" s="238" t="str">
        <f>VLOOKUP(_xlfn.CONCAT(Table3[[#This Row],[Target area]],Table3[[#This Row],[GHG target?]],Table3[[#This Row],[Conditionality]]),'Drop down'!$E$81:$F$101,2,FALSE)</f>
        <v>T_Economy_C</v>
      </c>
      <c r="Q358" s="239" t="str">
        <f>VLOOKUP(Table3[[#This Row],[Target type]],Table418[[Value name]:[Value idenifyer]],2,FALSE)</f>
        <v>T_BAU</v>
      </c>
      <c r="T358" s="234" t="s">
        <v>1113</v>
      </c>
      <c r="U358" s="240"/>
      <c r="V358" s="233" t="str">
        <f>VLOOKUP(Table3[[#This Row],[Country Code]],Table29[],3,FALSE)</f>
        <v>Non-Annex I</v>
      </c>
      <c r="W358" s="233" t="str">
        <f>VLOOKUP(Table3[[#This Row],[Country Code]],Table29[],4,FALSE)</f>
        <v>Asia</v>
      </c>
      <c r="X358" s="233" t="str">
        <f>VLOOKUP(Table3[[#This Row],[Country Code]],Table29[],5,FALSE)</f>
        <v>Middle-income</v>
      </c>
      <c r="Y358" s="233" t="str">
        <f>VLOOKUP(Table3[[#This Row],[Country Code]],Table29[],6,FALSE)</f>
        <v>G20</v>
      </c>
      <c r="Z358" s="233" t="str">
        <f>VLOOKUP(Table3[[#This Row],[Country Code]],Table29[],7,FALSE)</f>
        <v>no</v>
      </c>
      <c r="AA358" s="233" t="str">
        <f>VLOOKUP(Table3[[#This Row],[Country Code]],Table29[],8,FALSE)</f>
        <v>non-OECD</v>
      </c>
      <c r="AB358" s="233" t="str">
        <f>VLOOKUP(Table3[[#This Row],[Country Code]],Table29[],9,FALSE)</f>
        <v>no</v>
      </c>
      <c r="AC358" s="233" t="str">
        <f>VLOOKUP(Table3[[#This Row],[Country Code]],Table29[],10,FALSE)</f>
        <v>no</v>
      </c>
      <c r="AD358" s="235">
        <f>VLOOKUP(Table3[[#This Row],[Country Code]],Table29[],23,FALSE)</f>
        <v>1200.1997867973</v>
      </c>
      <c r="AE358" s="235">
        <f>VLOOKUP(Table3[[#This Row],[Country Code]],Table29[],24,FALSE)</f>
        <v>152.1133830762208</v>
      </c>
      <c r="AF358" s="43"/>
    </row>
    <row r="359" spans="1:32" ht="45" x14ac:dyDescent="0.25">
      <c r="A359" s="360">
        <v>23939</v>
      </c>
      <c r="B359" s="233" t="str">
        <f>VLOOKUP(Table3[[#This Row],[Document ID]],Table1[],2,FALSE)</f>
        <v>IRQ</v>
      </c>
      <c r="C359" s="233" t="str">
        <f>VLOOKUP(Table3[[#This Row],[Document ID]],Table1[],3,FALSE)</f>
        <v>Iraq</v>
      </c>
      <c r="D359" s="233" t="str">
        <f>VLOOKUP(Table3[[#This Row],[Document ID]],Table1[],5,FALSE)</f>
        <v>NDC</v>
      </c>
      <c r="E359" s="233" t="str">
        <f>VLOOKUP(Table3[[#This Row],[Document ID]],Table1[],7,FALSE)</f>
        <v>First NDC</v>
      </c>
      <c r="F359" s="233" t="str">
        <f>VLOOKUP(Table3[[#This Row],[Document ID]],Table1[],8,FALSE)</f>
        <v>NDC 1.0</v>
      </c>
      <c r="G359" s="233" t="str">
        <f>VLOOKUP(Table3[[#This Row],[Document ID]],Table1[],10,FALSE)</f>
        <v>Active</v>
      </c>
      <c r="H359" s="216" t="s">
        <v>1089</v>
      </c>
      <c r="I359" s="216" t="s">
        <v>1089</v>
      </c>
      <c r="J359" s="43" t="s">
        <v>1090</v>
      </c>
      <c r="K359" s="28" t="s">
        <v>1121</v>
      </c>
      <c r="L359" s="42" t="s">
        <v>1099</v>
      </c>
      <c r="M359" s="209">
        <v>2030</v>
      </c>
      <c r="N359" s="209" t="s">
        <v>1476</v>
      </c>
      <c r="O359" s="257">
        <v>20</v>
      </c>
      <c r="P359" s="238" t="str">
        <f>VLOOKUP(_xlfn.CONCAT(Table3[[#This Row],[Target area]],Table3[[#This Row],[GHG target?]],Table3[[#This Row],[Conditionality]]),'Drop down'!$E$81:$F$101,2,FALSE)</f>
        <v>T_Economy_Unc</v>
      </c>
      <c r="Q359" s="239" t="str">
        <f>VLOOKUP(Table3[[#This Row],[Target type]],Table418[[Value name]:[Value idenifyer]],2,FALSE)</f>
        <v>T_FL</v>
      </c>
      <c r="T359" s="240"/>
      <c r="U359" s="240"/>
      <c r="V359" s="233" t="str">
        <f>VLOOKUP(Table3[[#This Row],[Country Code]],Table29[],3,FALSE)</f>
        <v>Non-Annex I</v>
      </c>
      <c r="W359" s="233" t="str">
        <f>VLOOKUP(Table3[[#This Row],[Country Code]],Table29[],4,FALSE)</f>
        <v>Asia</v>
      </c>
      <c r="X359" s="233" t="str">
        <f>VLOOKUP(Table3[[#This Row],[Country Code]],Table29[],5,FALSE)</f>
        <v>Middle-income</v>
      </c>
      <c r="Y359" s="233" t="str">
        <f>VLOOKUP(Table3[[#This Row],[Country Code]],Table29[],6,FALSE)</f>
        <v>no</v>
      </c>
      <c r="Z359" s="233" t="str">
        <f>VLOOKUP(Table3[[#This Row],[Country Code]],Table29[],7,FALSE)</f>
        <v>no</v>
      </c>
      <c r="AA359" s="233" t="str">
        <f>VLOOKUP(Table3[[#This Row],[Country Code]],Table29[],8,FALSE)</f>
        <v>non-OECD</v>
      </c>
      <c r="AB359" s="233" t="str">
        <f>VLOOKUP(Table3[[#This Row],[Country Code]],Table29[],9,FALSE)</f>
        <v>no</v>
      </c>
      <c r="AC359" s="233" t="str">
        <f>VLOOKUP(Table3[[#This Row],[Country Code]],Table29[],10,FALSE)</f>
        <v>MENA</v>
      </c>
      <c r="AD359" s="235">
        <f>VLOOKUP(Table3[[#This Row],[Country Code]],Table29[],23,FALSE)</f>
        <v>362.78479656291</v>
      </c>
      <c r="AE359" s="235">
        <f>VLOOKUP(Table3[[#This Row],[Country Code]],Table29[],24,FALSE)</f>
        <v>40.534963091292582</v>
      </c>
      <c r="AF359" s="43"/>
    </row>
    <row r="360" spans="1:32" ht="45" x14ac:dyDescent="0.25">
      <c r="A360" s="360">
        <v>23939</v>
      </c>
      <c r="B360" s="233" t="str">
        <f>VLOOKUP(Table3[[#This Row],[Document ID]],Table1[],2,FALSE)</f>
        <v>IRQ</v>
      </c>
      <c r="C360" s="233" t="str">
        <f>VLOOKUP(Table3[[#This Row],[Document ID]],Table1[],3,FALSE)</f>
        <v>Iraq</v>
      </c>
      <c r="D360" s="233" t="str">
        <f>VLOOKUP(Table3[[#This Row],[Document ID]],Table1[],5,FALSE)</f>
        <v>NDC</v>
      </c>
      <c r="E360" s="233" t="str">
        <f>VLOOKUP(Table3[[#This Row],[Document ID]],Table1[],7,FALSE)</f>
        <v>First NDC</v>
      </c>
      <c r="F360" s="233" t="str">
        <f>VLOOKUP(Table3[[#This Row],[Document ID]],Table1[],8,FALSE)</f>
        <v>NDC 1.0</v>
      </c>
      <c r="G360" s="233" t="str">
        <f>VLOOKUP(Table3[[#This Row],[Document ID]],Table1[],10,FALSE)</f>
        <v>Active</v>
      </c>
      <c r="H360" s="216" t="s">
        <v>1089</v>
      </c>
      <c r="I360" s="216" t="s">
        <v>1089</v>
      </c>
      <c r="J360" s="43" t="s">
        <v>1090</v>
      </c>
      <c r="K360" s="28" t="s">
        <v>1121</v>
      </c>
      <c r="L360" s="216" t="s">
        <v>1092</v>
      </c>
      <c r="M360" s="209">
        <v>2030</v>
      </c>
      <c r="N360" s="209" t="s">
        <v>1477</v>
      </c>
      <c r="O360" s="257">
        <v>20</v>
      </c>
      <c r="P360" s="238" t="str">
        <f>VLOOKUP(_xlfn.CONCAT(Table3[[#This Row],[Target area]],Table3[[#This Row],[GHG target?]],Table3[[#This Row],[Conditionality]]),'Drop down'!$E$81:$F$101,2,FALSE)</f>
        <v>T_Economy_C</v>
      </c>
      <c r="Q360" s="239" t="str">
        <f>VLOOKUP(Table3[[#This Row],[Target type]],Table418[[Value name]:[Value idenifyer]],2,FALSE)</f>
        <v>T_FL</v>
      </c>
      <c r="T360" s="240"/>
      <c r="U360" s="240"/>
      <c r="V360" s="233" t="str">
        <f>VLOOKUP(Table3[[#This Row],[Country Code]],Table29[],3,FALSE)</f>
        <v>Non-Annex I</v>
      </c>
      <c r="W360" s="233" t="str">
        <f>VLOOKUP(Table3[[#This Row],[Country Code]],Table29[],4,FALSE)</f>
        <v>Asia</v>
      </c>
      <c r="X360" s="233" t="str">
        <f>VLOOKUP(Table3[[#This Row],[Country Code]],Table29[],5,FALSE)</f>
        <v>Middle-income</v>
      </c>
      <c r="Y360" s="233" t="str">
        <f>VLOOKUP(Table3[[#This Row],[Country Code]],Table29[],6,FALSE)</f>
        <v>no</v>
      </c>
      <c r="Z360" s="233" t="str">
        <f>VLOOKUP(Table3[[#This Row],[Country Code]],Table29[],7,FALSE)</f>
        <v>no</v>
      </c>
      <c r="AA360" s="233" t="str">
        <f>VLOOKUP(Table3[[#This Row],[Country Code]],Table29[],8,FALSE)</f>
        <v>non-OECD</v>
      </c>
      <c r="AB360" s="233" t="str">
        <f>VLOOKUP(Table3[[#This Row],[Country Code]],Table29[],9,FALSE)</f>
        <v>no</v>
      </c>
      <c r="AC360" s="233" t="str">
        <f>VLOOKUP(Table3[[#This Row],[Country Code]],Table29[],10,FALSE)</f>
        <v>MENA</v>
      </c>
      <c r="AD360" s="235">
        <f>VLOOKUP(Table3[[#This Row],[Country Code]],Table29[],23,FALSE)</f>
        <v>362.78479656291</v>
      </c>
      <c r="AE360" s="235">
        <f>VLOOKUP(Table3[[#This Row],[Country Code]],Table29[],24,FALSE)</f>
        <v>40.534963091292582</v>
      </c>
      <c r="AF360" s="43"/>
    </row>
    <row r="361" spans="1:32" x14ac:dyDescent="0.25">
      <c r="A361" s="360">
        <v>41995</v>
      </c>
      <c r="B361" s="233" t="str">
        <f>VLOOKUP(Table3[[#This Row],[Document ID]],Table1[],2,FALSE)</f>
        <v>BHR</v>
      </c>
      <c r="C361" s="233" t="str">
        <f>VLOOKUP(Table3[[#This Row],[Document ID]],Table1[],3,FALSE)</f>
        <v>Bahrain</v>
      </c>
      <c r="D361" s="233" t="str">
        <f>VLOOKUP(Table3[[#This Row],[Document ID]],Table1[],5,FALSE)</f>
        <v>Other</v>
      </c>
      <c r="E361" s="233" t="str">
        <f>VLOOKUP(Table3[[#This Row],[Document ID]],Table1[],7,FALSE)</f>
        <v>WRI Net Zero Tracker</v>
      </c>
      <c r="F361" s="233" t="str">
        <f>VLOOKUP(Table3[[#This Row],[Document ID]],Table1[],8,FALSE)</f>
        <v>NA</v>
      </c>
      <c r="G361" s="233" t="str">
        <f>VLOOKUP(Table3[[#This Row],[Document ID]],Table1[],10,FALSE)</f>
        <v>Active</v>
      </c>
      <c r="H361" s="216" t="s">
        <v>1147</v>
      </c>
      <c r="I361" s="43" t="s">
        <v>1089</v>
      </c>
      <c r="J361" s="43" t="s">
        <v>1090</v>
      </c>
      <c r="K361" s="28" t="s">
        <v>1121</v>
      </c>
      <c r="L361" s="43" t="s">
        <v>1116</v>
      </c>
      <c r="M361" s="209">
        <v>2060</v>
      </c>
      <c r="N361" s="43" t="s">
        <v>1478</v>
      </c>
      <c r="O361" s="258"/>
      <c r="P361" s="238" t="str">
        <f>VLOOKUP(_xlfn.CONCAT(Table3[[#This Row],[Target area]],Table3[[#This Row],[GHG target?]],Table3[[#This Row],[Conditionality]]),'Drop down'!$E$81:$F$101,2,FALSE)</f>
        <v>T_Netzero</v>
      </c>
      <c r="Q361" s="239" t="str">
        <f>VLOOKUP(Table3[[#This Row],[Target type]],Table418[[Value name]:[Value idenifyer]],2,FALSE)</f>
        <v>T_FL</v>
      </c>
      <c r="V361" s="233" t="str">
        <f>VLOOKUP(Table3[[#This Row],[Country Code]],Table29[],3,FALSE)</f>
        <v>Non-Annex I</v>
      </c>
      <c r="W361" s="233" t="str">
        <f>VLOOKUP(Table3[[#This Row],[Country Code]],Table29[],4,FALSE)</f>
        <v>Asia</v>
      </c>
      <c r="X361" s="233" t="str">
        <f>VLOOKUP(Table3[[#This Row],[Country Code]],Table29[],5,FALSE)</f>
        <v>High-income</v>
      </c>
      <c r="Y361" s="233" t="str">
        <f>VLOOKUP(Table3[[#This Row],[Country Code]],Table29[],6,FALSE)</f>
        <v>no</v>
      </c>
      <c r="Z361" s="233" t="str">
        <f>VLOOKUP(Table3[[#This Row],[Country Code]],Table29[],7,FALSE)</f>
        <v>no</v>
      </c>
      <c r="AA361" s="233" t="str">
        <f>VLOOKUP(Table3[[#This Row],[Country Code]],Table29[],8,FALSE)</f>
        <v>non-OECD</v>
      </c>
      <c r="AB361" s="233" t="str">
        <f>VLOOKUP(Table3[[#This Row],[Country Code]],Table29[],9,FALSE)</f>
        <v>no</v>
      </c>
      <c r="AC361" s="233" t="str">
        <f>VLOOKUP(Table3[[#This Row],[Country Code]],Table29[],10,FALSE)</f>
        <v>MENA</v>
      </c>
      <c r="AD361" s="235">
        <f>VLOOKUP(Table3[[#This Row],[Country Code]],Table29[],23,FALSE)</f>
        <v>63.733860649409003</v>
      </c>
      <c r="AE361" s="235">
        <f>VLOOKUP(Table3[[#This Row],[Country Code]],Table29[],24,FALSE)</f>
        <v>3.5591794715172291</v>
      </c>
      <c r="AF361" s="43"/>
    </row>
    <row r="362" spans="1:32" x14ac:dyDescent="0.25">
      <c r="A362" s="360">
        <v>17590</v>
      </c>
      <c r="B362" s="233" t="str">
        <f>VLOOKUP(Table3[[#This Row],[Document ID]],Table1[],2,FALSE)</f>
        <v>EEU</v>
      </c>
      <c r="C362" s="233" t="str">
        <f>VLOOKUP(Table3[[#This Row],[Document ID]],Table1[],3,FALSE)</f>
        <v>European Union</v>
      </c>
      <c r="D362" s="233" t="str">
        <f>VLOOKUP(Table3[[#This Row],[Document ID]],Table1[],5,FALSE)</f>
        <v>LTS</v>
      </c>
      <c r="E362" s="233" t="str">
        <f>VLOOKUP(Table3[[#This Row],[Document ID]],Table1[],7,FALSE)</f>
        <v>LTS</v>
      </c>
      <c r="F362" s="233" t="str">
        <f>VLOOKUP(Table3[[#This Row],[Document ID]],Table1[],8,FALSE)</f>
        <v>LTS 1.0</v>
      </c>
      <c r="G362" s="233" t="str">
        <f>VLOOKUP(Table3[[#This Row],[Document ID]],Table1[],10,FALSE)</f>
        <v>Active</v>
      </c>
      <c r="H362" s="216" t="s">
        <v>1089</v>
      </c>
      <c r="I362" s="216" t="s">
        <v>1089</v>
      </c>
      <c r="J362" s="43" t="s">
        <v>1090</v>
      </c>
      <c r="K362" s="28" t="s">
        <v>1121</v>
      </c>
      <c r="L362" s="42" t="s">
        <v>1099</v>
      </c>
      <c r="M362" s="209">
        <v>2050</v>
      </c>
      <c r="N362" s="44" t="s">
        <v>1479</v>
      </c>
      <c r="O362" s="221">
        <v>3</v>
      </c>
      <c r="P362" s="238" t="str">
        <f>VLOOKUP(_xlfn.CONCAT(Table3[[#This Row],[Target area]],Table3[[#This Row],[GHG target?]],Table3[[#This Row],[Conditionality]]),'Drop down'!$E$81:$F$101,2,FALSE)</f>
        <v>T_Economy_Unc</v>
      </c>
      <c r="Q362" s="239" t="str">
        <f>VLOOKUP(Table3[[#This Row],[Target type]],Table418[[Value name]:[Value idenifyer]],2,FALSE)</f>
        <v>T_FL</v>
      </c>
      <c r="T362" s="234" t="s">
        <v>1113</v>
      </c>
      <c r="U362" s="234" t="s">
        <v>1402</v>
      </c>
      <c r="V362" s="233" t="str">
        <f>VLOOKUP(Table3[[#This Row],[Country Code]],Table29[],3,FALSE)</f>
        <v>Annex I</v>
      </c>
      <c r="W362" s="233" t="str">
        <f>VLOOKUP(Table3[[#This Row],[Country Code]],Table29[],4,FALSE)</f>
        <v>Europe</v>
      </c>
      <c r="X362" s="233" t="str">
        <f>VLOOKUP(Table3[[#This Row],[Country Code]],Table29[],5,FALSE)</f>
        <v>N/A</v>
      </c>
      <c r="Y362" s="233" t="str">
        <f>VLOOKUP(Table3[[#This Row],[Country Code]],Table29[],6,FALSE)</f>
        <v>G20</v>
      </c>
      <c r="Z362" s="233" t="str">
        <f>VLOOKUP(Table3[[#This Row],[Country Code]],Table29[],7,FALSE)</f>
        <v>no</v>
      </c>
      <c r="AA362" s="233" t="str">
        <f>VLOOKUP(Table3[[#This Row],[Country Code]],Table29[],8,FALSE)</f>
        <v>non-OECD</v>
      </c>
      <c r="AB362" s="233" t="str">
        <f>VLOOKUP(Table3[[#This Row],[Country Code]],Table29[],9,FALSE)</f>
        <v>no</v>
      </c>
      <c r="AC362" s="233" t="str">
        <f>VLOOKUP(Table3[[#This Row],[Country Code]],Table29[],10,FALSE)</f>
        <v>no</v>
      </c>
      <c r="AD362" s="235" t="e">
        <f>VLOOKUP(Table3[[#This Row],[Country Code]],Table29[],23,FALSE)</f>
        <v>#N/A</v>
      </c>
      <c r="AE362" s="235" t="e">
        <f>VLOOKUP(Table3[[#This Row],[Country Code]],Table29[],24,FALSE)</f>
        <v>#N/A</v>
      </c>
      <c r="AF362" s="43"/>
    </row>
    <row r="363" spans="1:32" ht="60" x14ac:dyDescent="0.25">
      <c r="A363" s="360">
        <v>17743</v>
      </c>
      <c r="B363" s="233" t="str">
        <f>VLOOKUP(Table3[[#This Row],[Document ID]],Table1[],2,FALSE)</f>
        <v>ESP</v>
      </c>
      <c r="C363" s="233" t="str">
        <f>VLOOKUP(Table3[[#This Row],[Document ID]],Table1[],3,FALSE)</f>
        <v>Spain</v>
      </c>
      <c r="D363" s="233" t="str">
        <f>VLOOKUP(Table3[[#This Row],[Document ID]],Table1[],5,FALSE)</f>
        <v>LTS</v>
      </c>
      <c r="E363" s="233" t="str">
        <f>VLOOKUP(Table3[[#This Row],[Document ID]],Table1[],7,FALSE)</f>
        <v>LTS</v>
      </c>
      <c r="F363" s="233" t="str">
        <f>VLOOKUP(Table3[[#This Row],[Document ID]],Table1[],8,FALSE)</f>
        <v>LTS 1.0</v>
      </c>
      <c r="G363" s="233" t="str">
        <f>VLOOKUP(Table3[[#This Row],[Document ID]],Table1[],10,FALSE)</f>
        <v>Active</v>
      </c>
      <c r="H363" s="43" t="s">
        <v>1147</v>
      </c>
      <c r="I363" s="43" t="s">
        <v>1089</v>
      </c>
      <c r="J363" s="43" t="s">
        <v>1090</v>
      </c>
      <c r="K363" s="28" t="s">
        <v>1121</v>
      </c>
      <c r="L363" s="43" t="s">
        <v>1116</v>
      </c>
      <c r="M363" s="209">
        <v>2050</v>
      </c>
      <c r="N363" s="44" t="s">
        <v>1480</v>
      </c>
      <c r="O363" s="258">
        <v>5</v>
      </c>
      <c r="P363" s="238" t="str">
        <f>VLOOKUP(_xlfn.CONCAT(Table3[[#This Row],[Target area]],Table3[[#This Row],[GHG target?]],Table3[[#This Row],[Conditionality]]),'Drop down'!$E$81:$F$101,2,FALSE)</f>
        <v>T_Netzero</v>
      </c>
      <c r="Q363" s="239" t="str">
        <f>VLOOKUP(Table3[[#This Row],[Target type]],Table418[[Value name]:[Value idenifyer]],2,FALSE)</f>
        <v>T_FL</v>
      </c>
      <c r="U363" s="234" t="s">
        <v>1244</v>
      </c>
      <c r="V363" s="233" t="str">
        <f>VLOOKUP(Table3[[#This Row],[Country Code]],Table29[],3,FALSE)</f>
        <v>Annex I</v>
      </c>
      <c r="W363" s="233" t="str">
        <f>VLOOKUP(Table3[[#This Row],[Country Code]],Table29[],4,FALSE)</f>
        <v>Europe</v>
      </c>
      <c r="X363" s="233" t="str">
        <f>VLOOKUP(Table3[[#This Row],[Country Code]],Table29[],5,FALSE)</f>
        <v>High-income</v>
      </c>
      <c r="Y363" s="233" t="str">
        <f>VLOOKUP(Table3[[#This Row],[Country Code]],Table29[],6,FALSE)</f>
        <v>no</v>
      </c>
      <c r="Z363" s="233" t="str">
        <f>VLOOKUP(Table3[[#This Row],[Country Code]],Table29[],7,FALSE)</f>
        <v>no</v>
      </c>
      <c r="AA363" s="233" t="str">
        <f>VLOOKUP(Table3[[#This Row],[Country Code]],Table29[],8,FALSE)</f>
        <v>OECD</v>
      </c>
      <c r="AB363" s="233" t="str">
        <f>VLOOKUP(Table3[[#This Row],[Country Code]],Table29[],9,FALSE)</f>
        <v>EU27</v>
      </c>
      <c r="AC363" s="233" t="str">
        <f>VLOOKUP(Table3[[#This Row],[Country Code]],Table29[],10,FALSE)</f>
        <v>no</v>
      </c>
      <c r="AD363" s="235">
        <f>VLOOKUP(Table3[[#This Row],[Country Code]],Table29[],23,FALSE)</f>
        <v>285.38389989719002</v>
      </c>
      <c r="AE363" s="235">
        <f>VLOOKUP(Table3[[#This Row],[Country Code]],Table29[],24,FALSE)</f>
        <v>93.111859614661455</v>
      </c>
      <c r="AF363" s="43"/>
    </row>
    <row r="364" spans="1:32" x14ac:dyDescent="0.25">
      <c r="A364" s="360">
        <v>17589</v>
      </c>
      <c r="B364" s="233" t="str">
        <f>VLOOKUP(Table3[[#This Row],[Document ID]],Table1[],2,FALSE)</f>
        <v>EEU</v>
      </c>
      <c r="C364" s="233" t="str">
        <f>VLOOKUP(Table3[[#This Row],[Document ID]],Table1[],3,FALSE)</f>
        <v>European Union</v>
      </c>
      <c r="D364" s="233" t="str">
        <f>VLOOKUP(Table3[[#This Row],[Document ID]],Table1[],5,FALSE)</f>
        <v>NDC</v>
      </c>
      <c r="E364" s="233" t="str">
        <f>VLOOKUP(Table3[[#This Row],[Document ID]],Table1[],7,FALSE)</f>
        <v>First NDC</v>
      </c>
      <c r="F364" s="233" t="str">
        <f>VLOOKUP(Table3[[#This Row],[Document ID]],Table1[],8,FALSE)</f>
        <v>NDC 1.0</v>
      </c>
      <c r="G364" s="233" t="str">
        <f>VLOOKUP(Table3[[#This Row],[Document ID]],Table1[],10,FALSE)</f>
        <v>Archived</v>
      </c>
      <c r="H364" s="216" t="s">
        <v>1089</v>
      </c>
      <c r="I364" s="216" t="s">
        <v>1089</v>
      </c>
      <c r="J364" s="43" t="s">
        <v>1090</v>
      </c>
      <c r="K364" s="28" t="s">
        <v>1153</v>
      </c>
      <c r="L364" s="42" t="s">
        <v>1099</v>
      </c>
      <c r="M364" s="209">
        <v>2030</v>
      </c>
      <c r="N364" s="176" t="s">
        <v>1481</v>
      </c>
      <c r="O364" s="258" t="s">
        <v>1094</v>
      </c>
      <c r="P364" s="238" t="str">
        <f>VLOOKUP(_xlfn.CONCAT(Table3[[#This Row],[Target area]],Table3[[#This Row],[GHG target?]],Table3[[#This Row],[Conditionality]]),'Drop down'!$E$81:$F$101,2,FALSE)</f>
        <v>T_Economy_Unc</v>
      </c>
      <c r="Q364" s="239" t="str">
        <f>VLOOKUP(Table3[[#This Row],[Target type]],Table418[[Value name]:[Value idenifyer]],2,FALSE)</f>
        <v>T_BYE</v>
      </c>
      <c r="T364" s="234" t="s">
        <v>1113</v>
      </c>
      <c r="U364" s="234" t="s">
        <v>1402</v>
      </c>
      <c r="V364" s="233" t="str">
        <f>VLOOKUP(Table3[[#This Row],[Country Code]],Table29[],3,FALSE)</f>
        <v>Annex I</v>
      </c>
      <c r="W364" s="233" t="str">
        <f>VLOOKUP(Table3[[#This Row],[Country Code]],Table29[],4,FALSE)</f>
        <v>Europe</v>
      </c>
      <c r="X364" s="233" t="str">
        <f>VLOOKUP(Table3[[#This Row],[Country Code]],Table29[],5,FALSE)</f>
        <v>N/A</v>
      </c>
      <c r="Y364" s="233" t="str">
        <f>VLOOKUP(Table3[[#This Row],[Country Code]],Table29[],6,FALSE)</f>
        <v>G20</v>
      </c>
      <c r="Z364" s="233" t="str">
        <f>VLOOKUP(Table3[[#This Row],[Country Code]],Table29[],7,FALSE)</f>
        <v>no</v>
      </c>
      <c r="AA364" s="233" t="str">
        <f>VLOOKUP(Table3[[#This Row],[Country Code]],Table29[],8,FALSE)</f>
        <v>non-OECD</v>
      </c>
      <c r="AB364" s="233" t="str">
        <f>VLOOKUP(Table3[[#This Row],[Country Code]],Table29[],9,FALSE)</f>
        <v>no</v>
      </c>
      <c r="AC364" s="233" t="str">
        <f>VLOOKUP(Table3[[#This Row],[Country Code]],Table29[],10,FALSE)</f>
        <v>no</v>
      </c>
      <c r="AD364" s="235" t="e">
        <f>VLOOKUP(Table3[[#This Row],[Country Code]],Table29[],23,FALSE)</f>
        <v>#N/A</v>
      </c>
      <c r="AE364" s="235" t="e">
        <f>VLOOKUP(Table3[[#This Row],[Country Code]],Table29[],24,FALSE)</f>
        <v>#N/A</v>
      </c>
      <c r="AF364" s="43"/>
    </row>
    <row r="365" spans="1:32" x14ac:dyDescent="0.25">
      <c r="A365" s="360">
        <v>17597</v>
      </c>
      <c r="B365" s="233" t="str">
        <f>VLOOKUP(Table3[[#This Row],[Document ID]],Table1[],2,FALSE)</f>
        <v>FRA</v>
      </c>
      <c r="C365" s="233" t="str">
        <f>VLOOKUP(Table3[[#This Row],[Document ID]],Table1[],3,FALSE)</f>
        <v>France</v>
      </c>
      <c r="D365" s="233" t="str">
        <f>VLOOKUP(Table3[[#This Row],[Document ID]],Table1[],5,FALSE)</f>
        <v>LTS</v>
      </c>
      <c r="E365" s="233" t="str">
        <f>VLOOKUP(Table3[[#This Row],[Document ID]],Table1[],7,FALSE)</f>
        <v>LTS</v>
      </c>
      <c r="F365" s="233" t="str">
        <f>VLOOKUP(Table3[[#This Row],[Document ID]],Table1[],8,FALSE)</f>
        <v>LTS 1.0</v>
      </c>
      <c r="G365" s="233" t="str">
        <f>VLOOKUP(Table3[[#This Row],[Document ID]],Table1[],10,FALSE)</f>
        <v>Active</v>
      </c>
      <c r="H365" s="216" t="s">
        <v>1089</v>
      </c>
      <c r="I365" s="216" t="s">
        <v>1089</v>
      </c>
      <c r="J365" s="43" t="s">
        <v>1090</v>
      </c>
      <c r="K365" s="28" t="s">
        <v>1121</v>
      </c>
      <c r="L365" s="42" t="s">
        <v>1099</v>
      </c>
      <c r="M365" s="209">
        <v>2050</v>
      </c>
      <c r="N365" s="44" t="s">
        <v>1482</v>
      </c>
      <c r="O365" s="221">
        <v>15</v>
      </c>
      <c r="P365" s="238" t="str">
        <f>VLOOKUP(_xlfn.CONCAT(Table3[[#This Row],[Target area]],Table3[[#This Row],[GHG target?]],Table3[[#This Row],[Conditionality]]),'Drop down'!$E$81:$F$101,2,FALSE)</f>
        <v>T_Economy_Unc</v>
      </c>
      <c r="Q365" s="239" t="str">
        <f>VLOOKUP(Table3[[#This Row],[Target type]],Table418[[Value name]:[Value idenifyer]],2,FALSE)</f>
        <v>T_FL</v>
      </c>
      <c r="T365" s="234" t="s">
        <v>1113</v>
      </c>
      <c r="U365" s="234" t="s">
        <v>1113</v>
      </c>
      <c r="V365" s="233" t="str">
        <f>VLOOKUP(Table3[[#This Row],[Country Code]],Table29[],3,FALSE)</f>
        <v>Annex I</v>
      </c>
      <c r="W365" s="233" t="str">
        <f>VLOOKUP(Table3[[#This Row],[Country Code]],Table29[],4,FALSE)</f>
        <v>Europe</v>
      </c>
      <c r="X365" s="233" t="str">
        <f>VLOOKUP(Table3[[#This Row],[Country Code]],Table29[],5,FALSE)</f>
        <v>High-income</v>
      </c>
      <c r="Y365" s="233" t="str">
        <f>VLOOKUP(Table3[[#This Row],[Country Code]],Table29[],6,FALSE)</f>
        <v>G20</v>
      </c>
      <c r="Z365" s="233" t="str">
        <f>VLOOKUP(Table3[[#This Row],[Country Code]],Table29[],7,FALSE)</f>
        <v>G7</v>
      </c>
      <c r="AA365" s="233" t="str">
        <f>VLOOKUP(Table3[[#This Row],[Country Code]],Table29[],8,FALSE)</f>
        <v>OECD</v>
      </c>
      <c r="AB365" s="233" t="str">
        <f>VLOOKUP(Table3[[#This Row],[Country Code]],Table29[],9,FALSE)</f>
        <v>EU27</v>
      </c>
      <c r="AC365" s="233" t="str">
        <f>VLOOKUP(Table3[[#This Row],[Country Code]],Table29[],10,FALSE)</f>
        <v>no</v>
      </c>
      <c r="AD365" s="235">
        <f>VLOOKUP(Table3[[#This Row],[Country Code]],Table29[],23,FALSE)</f>
        <v>385.52011950564003</v>
      </c>
      <c r="AE365" s="235">
        <f>VLOOKUP(Table3[[#This Row],[Country Code]],Table29[],24,FALSE)</f>
        <v>123.5644117217294</v>
      </c>
      <c r="AF365" s="43"/>
    </row>
    <row r="366" spans="1:32" x14ac:dyDescent="0.25">
      <c r="A366" s="360">
        <v>17597</v>
      </c>
      <c r="B366" s="233" t="str">
        <f>VLOOKUP(Table3[[#This Row],[Document ID]],Table1[],2,FALSE)</f>
        <v>FRA</v>
      </c>
      <c r="C366" s="233" t="str">
        <f>VLOOKUP(Table3[[#This Row],[Document ID]],Table1[],3,FALSE)</f>
        <v>France</v>
      </c>
      <c r="D366" s="233" t="str">
        <f>VLOOKUP(Table3[[#This Row],[Document ID]],Table1[],5,FALSE)</f>
        <v>LTS</v>
      </c>
      <c r="E366" s="233" t="str">
        <f>VLOOKUP(Table3[[#This Row],[Document ID]],Table1[],7,FALSE)</f>
        <v>LTS</v>
      </c>
      <c r="F366" s="233" t="str">
        <f>VLOOKUP(Table3[[#This Row],[Document ID]],Table1[],8,FALSE)</f>
        <v>LTS 1.0</v>
      </c>
      <c r="G366" s="233" t="str">
        <f>VLOOKUP(Table3[[#This Row],[Document ID]],Table1[],10,FALSE)</f>
        <v>Active</v>
      </c>
      <c r="H366" s="43" t="s">
        <v>1147</v>
      </c>
      <c r="I366" s="43" t="s">
        <v>1089</v>
      </c>
      <c r="J366" s="43" t="s">
        <v>1090</v>
      </c>
      <c r="K366" s="28" t="s">
        <v>1121</v>
      </c>
      <c r="L366" s="43" t="s">
        <v>1116</v>
      </c>
      <c r="M366" s="209">
        <v>2050</v>
      </c>
      <c r="N366" s="44" t="s">
        <v>1482</v>
      </c>
      <c r="O366" s="258">
        <v>15</v>
      </c>
      <c r="P366" s="238" t="str">
        <f>VLOOKUP(_xlfn.CONCAT(Table3[[#This Row],[Target area]],Table3[[#This Row],[GHG target?]],Table3[[#This Row],[Conditionality]]),'Drop down'!$E$81:$F$101,2,FALSE)</f>
        <v>T_Netzero</v>
      </c>
      <c r="Q366" s="239" t="str">
        <f>VLOOKUP(Table3[[#This Row],[Target type]],Table418[[Value name]:[Value idenifyer]],2,FALSE)</f>
        <v>T_FL</v>
      </c>
      <c r="U366" s="234" t="s">
        <v>1244</v>
      </c>
      <c r="V366" s="233" t="str">
        <f>VLOOKUP(Table3[[#This Row],[Country Code]],Table29[],3,FALSE)</f>
        <v>Annex I</v>
      </c>
      <c r="W366" s="233" t="str">
        <f>VLOOKUP(Table3[[#This Row],[Country Code]],Table29[],4,FALSE)</f>
        <v>Europe</v>
      </c>
      <c r="X366" s="233" t="str">
        <f>VLOOKUP(Table3[[#This Row],[Country Code]],Table29[],5,FALSE)</f>
        <v>High-income</v>
      </c>
      <c r="Y366" s="233" t="str">
        <f>VLOOKUP(Table3[[#This Row],[Country Code]],Table29[],6,FALSE)</f>
        <v>G20</v>
      </c>
      <c r="Z366" s="233" t="str">
        <f>VLOOKUP(Table3[[#This Row],[Country Code]],Table29[],7,FALSE)</f>
        <v>G7</v>
      </c>
      <c r="AA366" s="233" t="str">
        <f>VLOOKUP(Table3[[#This Row],[Country Code]],Table29[],8,FALSE)</f>
        <v>OECD</v>
      </c>
      <c r="AB366" s="233" t="str">
        <f>VLOOKUP(Table3[[#This Row],[Country Code]],Table29[],9,FALSE)</f>
        <v>EU27</v>
      </c>
      <c r="AC366" s="233" t="str">
        <f>VLOOKUP(Table3[[#This Row],[Country Code]],Table29[],10,FALSE)</f>
        <v>no</v>
      </c>
      <c r="AD366" s="235">
        <f>VLOOKUP(Table3[[#This Row],[Country Code]],Table29[],23,FALSE)</f>
        <v>385.52011950564003</v>
      </c>
      <c r="AE366" s="235">
        <f>VLOOKUP(Table3[[#This Row],[Country Code]],Table29[],24,FALSE)</f>
        <v>123.5644117217294</v>
      </c>
      <c r="AF366" s="43"/>
    </row>
    <row r="367" spans="1:32" x14ac:dyDescent="0.25">
      <c r="A367" s="360">
        <v>17776</v>
      </c>
      <c r="B367" s="233" t="str">
        <f>VLOOKUP(Table3[[#This Row],[Document ID]],Table1[],2,FALSE)</f>
        <v>GBR</v>
      </c>
      <c r="C367" s="233" t="str">
        <f>VLOOKUP(Table3[[#This Row],[Document ID]],Table1[],3,FALSE)</f>
        <v>United Kingdom</v>
      </c>
      <c r="D367" s="233" t="str">
        <f>VLOOKUP(Table3[[#This Row],[Document ID]],Table1[],5,FALSE)</f>
        <v>NDC</v>
      </c>
      <c r="E367" s="233" t="str">
        <f>VLOOKUP(Table3[[#This Row],[Document ID]],Table1[],7,FALSE)</f>
        <v>First NDC updated</v>
      </c>
      <c r="F367" s="233" t="str">
        <f>VLOOKUP(Table3[[#This Row],[Document ID]],Table1[],8,FALSE)</f>
        <v>NDC 1.1</v>
      </c>
      <c r="G367" s="233" t="str">
        <f>VLOOKUP(Table3[[#This Row],[Document ID]],Table1[],10,FALSE)</f>
        <v>Archived</v>
      </c>
      <c r="H367" s="216" t="s">
        <v>1089</v>
      </c>
      <c r="I367" s="216" t="s">
        <v>1089</v>
      </c>
      <c r="J367" s="43" t="s">
        <v>1090</v>
      </c>
      <c r="K367" s="28" t="s">
        <v>1153</v>
      </c>
      <c r="L367" s="42" t="s">
        <v>1099</v>
      </c>
      <c r="M367" s="209">
        <v>2030</v>
      </c>
      <c r="N367" s="44" t="s">
        <v>1483</v>
      </c>
      <c r="O367" s="221">
        <v>1</v>
      </c>
      <c r="P367" s="238" t="str">
        <f>VLOOKUP(_xlfn.CONCAT(Table3[[#This Row],[Target area]],Table3[[#This Row],[GHG target?]],Table3[[#This Row],[Conditionality]]),'Drop down'!$E$81:$F$101,2,FALSE)</f>
        <v>T_Economy_Unc</v>
      </c>
      <c r="Q367" s="239" t="str">
        <f>VLOOKUP(Table3[[#This Row],[Target type]],Table418[[Value name]:[Value idenifyer]],2,FALSE)</f>
        <v>T_BYE</v>
      </c>
      <c r="T367" s="234" t="s">
        <v>1113</v>
      </c>
      <c r="U367" s="242" t="s">
        <v>1402</v>
      </c>
      <c r="V367" s="233" t="str">
        <f>VLOOKUP(Table3[[#This Row],[Country Code]],Table29[],3,FALSE)</f>
        <v>Annex I</v>
      </c>
      <c r="W367" s="233" t="str">
        <f>VLOOKUP(Table3[[#This Row],[Country Code]],Table29[],4,FALSE)</f>
        <v>Europe</v>
      </c>
      <c r="X367" s="233" t="str">
        <f>VLOOKUP(Table3[[#This Row],[Country Code]],Table29[],5,FALSE)</f>
        <v>High-income</v>
      </c>
      <c r="Y367" s="233" t="str">
        <f>VLOOKUP(Table3[[#This Row],[Country Code]],Table29[],6,FALSE)</f>
        <v>G20</v>
      </c>
      <c r="Z367" s="233" t="str">
        <f>VLOOKUP(Table3[[#This Row],[Country Code]],Table29[],7,FALSE)</f>
        <v>G7</v>
      </c>
      <c r="AA367" s="233" t="str">
        <f>VLOOKUP(Table3[[#This Row],[Country Code]],Table29[],8,FALSE)</f>
        <v>OECD</v>
      </c>
      <c r="AB367" s="233" t="str">
        <f>VLOOKUP(Table3[[#This Row],[Country Code]],Table29[],9,FALSE)</f>
        <v>no</v>
      </c>
      <c r="AC367" s="233" t="str">
        <f>VLOOKUP(Table3[[#This Row],[Country Code]],Table29[],10,FALSE)</f>
        <v>no</v>
      </c>
      <c r="AD367" s="235">
        <f>VLOOKUP(Table3[[#This Row],[Country Code]],Table29[],23,FALSE)</f>
        <v>379.31858785213001</v>
      </c>
      <c r="AE367" s="235">
        <f>VLOOKUP(Table3[[#This Row],[Country Code]],Table29[],24,FALSE)</f>
        <v>109.75048777474809</v>
      </c>
      <c r="AF367" s="43"/>
    </row>
    <row r="368" spans="1:32" x14ac:dyDescent="0.25">
      <c r="A368" s="360">
        <v>17774</v>
      </c>
      <c r="B368" s="233" t="str">
        <f>VLOOKUP(Table3[[#This Row],[Document ID]],Table1[],2,FALSE)</f>
        <v>GBR</v>
      </c>
      <c r="C368" s="233" t="str">
        <f>VLOOKUP(Table3[[#This Row],[Document ID]],Table1[],3,FALSE)</f>
        <v>United Kingdom</v>
      </c>
      <c r="D368" s="233" t="str">
        <f>VLOOKUP(Table3[[#This Row],[Document ID]],Table1[],5,FALSE)</f>
        <v>LTS</v>
      </c>
      <c r="E368" s="233" t="str">
        <f>VLOOKUP(Table3[[#This Row],[Document ID]],Table1[],7,FALSE)</f>
        <v>Archived LTS 1.0</v>
      </c>
      <c r="F368" s="233" t="str">
        <f>VLOOKUP(Table3[[#This Row],[Document ID]],Table1[],8,FALSE)</f>
        <v>LTS 1.0</v>
      </c>
      <c r="G368" s="233" t="str">
        <f>VLOOKUP(Table3[[#This Row],[Document ID]],Table1[],10,FALSE)</f>
        <v>Archived</v>
      </c>
      <c r="H368" s="216" t="s">
        <v>1089</v>
      </c>
      <c r="I368" s="216" t="s">
        <v>1089</v>
      </c>
      <c r="J368" s="43" t="s">
        <v>1090</v>
      </c>
      <c r="K368" s="28" t="s">
        <v>1153</v>
      </c>
      <c r="L368" s="42" t="s">
        <v>1099</v>
      </c>
      <c r="M368" s="209">
        <v>2050</v>
      </c>
      <c r="N368" s="44" t="s">
        <v>1484</v>
      </c>
      <c r="O368" s="221">
        <v>5</v>
      </c>
      <c r="P368" s="238" t="str">
        <f>VLOOKUP(_xlfn.CONCAT(Table3[[#This Row],[Target area]],Table3[[#This Row],[GHG target?]],Table3[[#This Row],[Conditionality]]),'Drop down'!$E$81:$F$101,2,FALSE)</f>
        <v>T_Economy_Unc</v>
      </c>
      <c r="Q368" s="239" t="str">
        <f>VLOOKUP(Table3[[#This Row],[Target type]],Table418[[Value name]:[Value idenifyer]],2,FALSE)</f>
        <v>T_BYE</v>
      </c>
      <c r="T368" s="234" t="s">
        <v>1113</v>
      </c>
      <c r="U368" s="242" t="s">
        <v>1402</v>
      </c>
      <c r="V368" s="233" t="str">
        <f>VLOOKUP(Table3[[#This Row],[Country Code]],Table29[],3,FALSE)</f>
        <v>Annex I</v>
      </c>
      <c r="W368" s="233" t="str">
        <f>VLOOKUP(Table3[[#This Row],[Country Code]],Table29[],4,FALSE)</f>
        <v>Europe</v>
      </c>
      <c r="X368" s="233" t="str">
        <f>VLOOKUP(Table3[[#This Row],[Country Code]],Table29[],5,FALSE)</f>
        <v>High-income</v>
      </c>
      <c r="Y368" s="233" t="str">
        <f>VLOOKUP(Table3[[#This Row],[Country Code]],Table29[],6,FALSE)</f>
        <v>G20</v>
      </c>
      <c r="Z368" s="233" t="str">
        <f>VLOOKUP(Table3[[#This Row],[Country Code]],Table29[],7,FALSE)</f>
        <v>G7</v>
      </c>
      <c r="AA368" s="233" t="str">
        <f>VLOOKUP(Table3[[#This Row],[Country Code]],Table29[],8,FALSE)</f>
        <v>OECD</v>
      </c>
      <c r="AB368" s="233" t="str">
        <f>VLOOKUP(Table3[[#This Row],[Country Code]],Table29[],9,FALSE)</f>
        <v>no</v>
      </c>
      <c r="AC368" s="233" t="str">
        <f>VLOOKUP(Table3[[#This Row],[Country Code]],Table29[],10,FALSE)</f>
        <v>no</v>
      </c>
      <c r="AD368" s="235">
        <f>VLOOKUP(Table3[[#This Row],[Country Code]],Table29[],23,FALSE)</f>
        <v>379.31858785213001</v>
      </c>
      <c r="AE368" s="235">
        <f>VLOOKUP(Table3[[#This Row],[Country Code]],Table29[],24,FALSE)</f>
        <v>109.75048777474809</v>
      </c>
      <c r="AF368" s="43"/>
    </row>
    <row r="369" spans="1:32" x14ac:dyDescent="0.25">
      <c r="A369" s="360">
        <v>26792</v>
      </c>
      <c r="B369" s="233" t="str">
        <f>VLOOKUP(Table3[[#This Row],[Document ID]],Table1[],2,FALSE)</f>
        <v>GBR</v>
      </c>
      <c r="C369" s="233" t="str">
        <f>VLOOKUP(Table3[[#This Row],[Document ID]],Table1[],3,FALSE)</f>
        <v>United Kingdom</v>
      </c>
      <c r="D369" s="233" t="str">
        <f>VLOOKUP(Table3[[#This Row],[Document ID]],Table1[],5,FALSE)</f>
        <v>LTS</v>
      </c>
      <c r="E369" s="233" t="str">
        <f>VLOOKUP(Table3[[#This Row],[Document ID]],Table1[],7,FALSE)</f>
        <v>LTS</v>
      </c>
      <c r="F369" s="233" t="str">
        <f>VLOOKUP(Table3[[#This Row],[Document ID]],Table1[],8,FALSE)</f>
        <v>LTS 1.1</v>
      </c>
      <c r="G369" s="233" t="str">
        <f>VLOOKUP(Table3[[#This Row],[Document ID]],Table1[],10,FALSE)</f>
        <v>Active</v>
      </c>
      <c r="H369" s="216" t="s">
        <v>1089</v>
      </c>
      <c r="I369" s="216" t="s">
        <v>1089</v>
      </c>
      <c r="J369" s="43" t="s">
        <v>1090</v>
      </c>
      <c r="K369" s="28" t="s">
        <v>1121</v>
      </c>
      <c r="L369" s="42" t="s">
        <v>1099</v>
      </c>
      <c r="M369" s="209">
        <v>2050</v>
      </c>
      <c r="N369" s="43" t="s">
        <v>1485</v>
      </c>
      <c r="O369" s="258">
        <v>16</v>
      </c>
      <c r="P369" s="238" t="str">
        <f>VLOOKUP(_xlfn.CONCAT(Table3[[#This Row],[Target area]],Table3[[#This Row],[GHG target?]],Table3[[#This Row],[Conditionality]]),'Drop down'!$E$81:$F$101,2,FALSE)</f>
        <v>T_Economy_Unc</v>
      </c>
      <c r="Q369" s="239" t="str">
        <f>VLOOKUP(Table3[[#This Row],[Target type]],Table418[[Value name]:[Value idenifyer]],2,FALSE)</f>
        <v>T_FL</v>
      </c>
      <c r="S369" s="233" t="s">
        <v>1125</v>
      </c>
      <c r="T369" s="234" t="s">
        <v>1113</v>
      </c>
      <c r="U369" s="242" t="s">
        <v>1402</v>
      </c>
      <c r="V369" s="233" t="str">
        <f>VLOOKUP(Table3[[#This Row],[Country Code]],Table29[],3,FALSE)</f>
        <v>Annex I</v>
      </c>
      <c r="W369" s="233" t="str">
        <f>VLOOKUP(Table3[[#This Row],[Country Code]],Table29[],4,FALSE)</f>
        <v>Europe</v>
      </c>
      <c r="X369" s="233" t="str">
        <f>VLOOKUP(Table3[[#This Row],[Country Code]],Table29[],5,FALSE)</f>
        <v>High-income</v>
      </c>
      <c r="Y369" s="233" t="str">
        <f>VLOOKUP(Table3[[#This Row],[Country Code]],Table29[],6,FALSE)</f>
        <v>G20</v>
      </c>
      <c r="Z369" s="233" t="str">
        <f>VLOOKUP(Table3[[#This Row],[Country Code]],Table29[],7,FALSE)</f>
        <v>G7</v>
      </c>
      <c r="AA369" s="233" t="str">
        <f>VLOOKUP(Table3[[#This Row],[Country Code]],Table29[],8,FALSE)</f>
        <v>OECD</v>
      </c>
      <c r="AB369" s="233" t="str">
        <f>VLOOKUP(Table3[[#This Row],[Country Code]],Table29[],9,FALSE)</f>
        <v>no</v>
      </c>
      <c r="AC369" s="233" t="str">
        <f>VLOOKUP(Table3[[#This Row],[Country Code]],Table29[],10,FALSE)</f>
        <v>no</v>
      </c>
      <c r="AD369" s="235">
        <f>VLOOKUP(Table3[[#This Row],[Country Code]],Table29[],23,FALSE)</f>
        <v>379.31858785213001</v>
      </c>
      <c r="AE369" s="235">
        <f>VLOOKUP(Table3[[#This Row],[Country Code]],Table29[],24,FALSE)</f>
        <v>109.75048777474809</v>
      </c>
      <c r="AF369" s="43"/>
    </row>
    <row r="370" spans="1:32" x14ac:dyDescent="0.25">
      <c r="A370" s="360">
        <v>17625</v>
      </c>
      <c r="B370" s="233" t="str">
        <f>VLOOKUP(Table3[[#This Row],[Document ID]],Table1[],2,FALSE)</f>
        <v>JAM</v>
      </c>
      <c r="C370" s="233" t="str">
        <f>VLOOKUP(Table3[[#This Row],[Document ID]],Table1[],3,FALSE)</f>
        <v>Jamaica</v>
      </c>
      <c r="D370" s="233" t="str">
        <f>VLOOKUP(Table3[[#This Row],[Document ID]],Table1[],5,FALSE)</f>
        <v>NDC</v>
      </c>
      <c r="E370" s="233" t="str">
        <f>VLOOKUP(Table3[[#This Row],[Document ID]],Table1[],7,FALSE)</f>
        <v>First NDC updated</v>
      </c>
      <c r="F370" s="233" t="str">
        <f>VLOOKUP(Table3[[#This Row],[Document ID]],Table1[],8,FALSE)</f>
        <v>NDC 1.1</v>
      </c>
      <c r="G370" s="233" t="str">
        <f>VLOOKUP(Table3[[#This Row],[Document ID]],Table1[],10,FALSE)</f>
        <v>Active</v>
      </c>
      <c r="H370" s="216" t="s">
        <v>1089</v>
      </c>
      <c r="I370" s="216" t="s">
        <v>1089</v>
      </c>
      <c r="J370" s="43" t="s">
        <v>1090</v>
      </c>
      <c r="K370" s="28" t="s">
        <v>1091</v>
      </c>
      <c r="L370" s="42" t="s">
        <v>1099</v>
      </c>
      <c r="M370" s="209">
        <v>2030</v>
      </c>
      <c r="N370" s="44" t="s">
        <v>1486</v>
      </c>
      <c r="O370" s="221" t="s">
        <v>1487</v>
      </c>
      <c r="P370" s="238" t="str">
        <f>VLOOKUP(_xlfn.CONCAT(Table3[[#This Row],[Target area]],Table3[[#This Row],[GHG target?]],Table3[[#This Row],[Conditionality]]),'Drop down'!$E$81:$F$101,2,FALSE)</f>
        <v>T_Economy_Unc</v>
      </c>
      <c r="Q370" s="239" t="str">
        <f>VLOOKUP(Table3[[#This Row],[Target type]],Table418[[Value name]:[Value idenifyer]],2,FALSE)</f>
        <v>T_BAU</v>
      </c>
      <c r="T370" s="234" t="s">
        <v>1113</v>
      </c>
      <c r="V370" s="233" t="str">
        <f>VLOOKUP(Table3[[#This Row],[Country Code]],Table29[],3,FALSE)</f>
        <v>Non-Annex I</v>
      </c>
      <c r="W370" s="233" t="str">
        <f>VLOOKUP(Table3[[#This Row],[Country Code]],Table29[],4,FALSE)</f>
        <v>Latin America and the Caribbean</v>
      </c>
      <c r="X370" s="233" t="str">
        <f>VLOOKUP(Table3[[#This Row],[Country Code]],Table29[],5,FALSE)</f>
        <v>Middle-income</v>
      </c>
      <c r="Y370" s="233" t="str">
        <f>VLOOKUP(Table3[[#This Row],[Country Code]],Table29[],6,FALSE)</f>
        <v>no</v>
      </c>
      <c r="Z370" s="233" t="str">
        <f>VLOOKUP(Table3[[#This Row],[Country Code]],Table29[],7,FALSE)</f>
        <v>no</v>
      </c>
      <c r="AA370" s="233" t="str">
        <f>VLOOKUP(Table3[[#This Row],[Country Code]],Table29[],8,FALSE)</f>
        <v>non-OECD</v>
      </c>
      <c r="AB370" s="233" t="str">
        <f>VLOOKUP(Table3[[#This Row],[Country Code]],Table29[],9,FALSE)</f>
        <v>no</v>
      </c>
      <c r="AC370" s="233" t="str">
        <f>VLOOKUP(Table3[[#This Row],[Country Code]],Table29[],10,FALSE)</f>
        <v>no</v>
      </c>
      <c r="AD370" s="235">
        <f>VLOOKUP(Table3[[#This Row],[Country Code]],Table29[],23,FALSE)</f>
        <v>8.1629239257775001</v>
      </c>
      <c r="AE370" s="235">
        <f>VLOOKUP(Table3[[#This Row],[Country Code]],Table29[],24,FALSE)</f>
        <v>2.4498640842511992</v>
      </c>
      <c r="AF370" s="43"/>
    </row>
    <row r="371" spans="1:32" x14ac:dyDescent="0.25">
      <c r="A371" s="360">
        <v>17625</v>
      </c>
      <c r="B371" s="233" t="str">
        <f>VLOOKUP(Table3[[#This Row],[Document ID]],Table1[],2,FALSE)</f>
        <v>JAM</v>
      </c>
      <c r="C371" s="233" t="str">
        <f>VLOOKUP(Table3[[#This Row],[Document ID]],Table1[],3,FALSE)</f>
        <v>Jamaica</v>
      </c>
      <c r="D371" s="233" t="str">
        <f>VLOOKUP(Table3[[#This Row],[Document ID]],Table1[],5,FALSE)</f>
        <v>NDC</v>
      </c>
      <c r="E371" s="233" t="str">
        <f>VLOOKUP(Table3[[#This Row],[Document ID]],Table1[],7,FALSE)</f>
        <v>First NDC updated</v>
      </c>
      <c r="F371" s="233" t="str">
        <f>VLOOKUP(Table3[[#This Row],[Document ID]],Table1[],8,FALSE)</f>
        <v>NDC 1.1</v>
      </c>
      <c r="G371" s="233" t="str">
        <f>VLOOKUP(Table3[[#This Row],[Document ID]],Table1[],10,FALSE)</f>
        <v>Active</v>
      </c>
      <c r="H371" s="216" t="s">
        <v>1089</v>
      </c>
      <c r="I371" s="216" t="s">
        <v>1089</v>
      </c>
      <c r="J371" s="43" t="s">
        <v>1090</v>
      </c>
      <c r="K371" s="28" t="s">
        <v>1091</v>
      </c>
      <c r="L371" s="216" t="s">
        <v>1092</v>
      </c>
      <c r="M371" s="209">
        <v>2030</v>
      </c>
      <c r="N371" s="44" t="s">
        <v>1488</v>
      </c>
      <c r="O371" s="221" t="s">
        <v>1487</v>
      </c>
      <c r="P371" s="238" t="str">
        <f>VLOOKUP(_xlfn.CONCAT(Table3[[#This Row],[Target area]],Table3[[#This Row],[GHG target?]],Table3[[#This Row],[Conditionality]]),'Drop down'!$E$81:$F$101,2,FALSE)</f>
        <v>T_Economy_C</v>
      </c>
      <c r="Q371" s="239" t="str">
        <f>VLOOKUP(Table3[[#This Row],[Target type]],Table418[[Value name]:[Value idenifyer]],2,FALSE)</f>
        <v>T_BAU</v>
      </c>
      <c r="T371" s="234" t="s">
        <v>1113</v>
      </c>
      <c r="V371" s="233" t="str">
        <f>VLOOKUP(Table3[[#This Row],[Country Code]],Table29[],3,FALSE)</f>
        <v>Non-Annex I</v>
      </c>
      <c r="W371" s="233" t="str">
        <f>VLOOKUP(Table3[[#This Row],[Country Code]],Table29[],4,FALSE)</f>
        <v>Latin America and the Caribbean</v>
      </c>
      <c r="X371" s="233" t="str">
        <f>VLOOKUP(Table3[[#This Row],[Country Code]],Table29[],5,FALSE)</f>
        <v>Middle-income</v>
      </c>
      <c r="Y371" s="233" t="str">
        <f>VLOOKUP(Table3[[#This Row],[Country Code]],Table29[],6,FALSE)</f>
        <v>no</v>
      </c>
      <c r="Z371" s="233" t="str">
        <f>VLOOKUP(Table3[[#This Row],[Country Code]],Table29[],7,FALSE)</f>
        <v>no</v>
      </c>
      <c r="AA371" s="233" t="str">
        <f>VLOOKUP(Table3[[#This Row],[Country Code]],Table29[],8,FALSE)</f>
        <v>non-OECD</v>
      </c>
      <c r="AB371" s="233" t="str">
        <f>VLOOKUP(Table3[[#This Row],[Country Code]],Table29[],9,FALSE)</f>
        <v>no</v>
      </c>
      <c r="AC371" s="233" t="str">
        <f>VLOOKUP(Table3[[#This Row],[Country Code]],Table29[],10,FALSE)</f>
        <v>no</v>
      </c>
      <c r="AD371" s="235">
        <f>VLOOKUP(Table3[[#This Row],[Country Code]],Table29[],23,FALSE)</f>
        <v>8.1629239257775001</v>
      </c>
      <c r="AE371" s="235">
        <f>VLOOKUP(Table3[[#This Row],[Country Code]],Table29[],24,FALSE)</f>
        <v>2.4498640842511992</v>
      </c>
      <c r="AF371" s="43"/>
    </row>
    <row r="372" spans="1:32" ht="60" x14ac:dyDescent="0.25">
      <c r="A372" s="360">
        <v>17625</v>
      </c>
      <c r="B372" s="233" t="str">
        <f>VLOOKUP(Table3[[#This Row],[Document ID]],Table1[],2,FALSE)</f>
        <v>JAM</v>
      </c>
      <c r="C372" s="233" t="str">
        <f>VLOOKUP(Table3[[#This Row],[Document ID]],Table1[],3,FALSE)</f>
        <v>Jamaica</v>
      </c>
      <c r="D372" s="233" t="str">
        <f>VLOOKUP(Table3[[#This Row],[Document ID]],Table1[],5,FALSE)</f>
        <v>NDC</v>
      </c>
      <c r="E372" s="233" t="str">
        <f>VLOOKUP(Table3[[#This Row],[Document ID]],Table1[],7,FALSE)</f>
        <v>First NDC updated</v>
      </c>
      <c r="F372" s="233" t="str">
        <f>VLOOKUP(Table3[[#This Row],[Document ID]],Table1[],8,FALSE)</f>
        <v>NDC 1.1</v>
      </c>
      <c r="G372" s="233" t="str">
        <f>VLOOKUP(Table3[[#This Row],[Document ID]],Table1[],10,FALSE)</f>
        <v>Active</v>
      </c>
      <c r="H372" s="43" t="s">
        <v>1114</v>
      </c>
      <c r="I372" s="43" t="s">
        <v>1115</v>
      </c>
      <c r="J372" s="42" t="s">
        <v>1090</v>
      </c>
      <c r="K372" s="28" t="s">
        <v>1091</v>
      </c>
      <c r="L372" s="43" t="s">
        <v>1099</v>
      </c>
      <c r="M372" s="209">
        <v>2030</v>
      </c>
      <c r="N372" s="44" t="s">
        <v>1489</v>
      </c>
      <c r="O372" s="221" t="s">
        <v>1487</v>
      </c>
      <c r="P372" s="238" t="str">
        <f>VLOOKUP(_xlfn.CONCAT(Table3[[#This Row],[Target area]],Table3[[#This Row],[GHG target?]],Table3[[#This Row],[Conditionality]]),'Drop down'!$E$81:$F$101,2,FALSE)</f>
        <v>T_Energy_Unc</v>
      </c>
      <c r="Q372" s="239" t="str">
        <f>VLOOKUP(Table3[[#This Row],[Target type]],Table418[[Value name]:[Value idenifyer]],2,FALSE)</f>
        <v>T_BAU</v>
      </c>
      <c r="T372" s="234" t="s">
        <v>1113</v>
      </c>
      <c r="V372" s="233" t="str">
        <f>VLOOKUP(Table3[[#This Row],[Country Code]],Table29[],3,FALSE)</f>
        <v>Non-Annex I</v>
      </c>
      <c r="W372" s="233" t="str">
        <f>VLOOKUP(Table3[[#This Row],[Country Code]],Table29[],4,FALSE)</f>
        <v>Latin America and the Caribbean</v>
      </c>
      <c r="X372" s="233" t="str">
        <f>VLOOKUP(Table3[[#This Row],[Country Code]],Table29[],5,FALSE)</f>
        <v>Middle-income</v>
      </c>
      <c r="Y372" s="233" t="str">
        <f>VLOOKUP(Table3[[#This Row],[Country Code]],Table29[],6,FALSE)</f>
        <v>no</v>
      </c>
      <c r="Z372" s="233" t="str">
        <f>VLOOKUP(Table3[[#This Row],[Country Code]],Table29[],7,FALSE)</f>
        <v>no</v>
      </c>
      <c r="AA372" s="233" t="str">
        <f>VLOOKUP(Table3[[#This Row],[Country Code]],Table29[],8,FALSE)</f>
        <v>non-OECD</v>
      </c>
      <c r="AB372" s="233" t="str">
        <f>VLOOKUP(Table3[[#This Row],[Country Code]],Table29[],9,FALSE)</f>
        <v>no</v>
      </c>
      <c r="AC372" s="233" t="str">
        <f>VLOOKUP(Table3[[#This Row],[Country Code]],Table29[],10,FALSE)</f>
        <v>no</v>
      </c>
      <c r="AD372" s="235">
        <f>VLOOKUP(Table3[[#This Row],[Country Code]],Table29[],23,FALSE)</f>
        <v>8.1629239257775001</v>
      </c>
      <c r="AE372" s="235">
        <f>VLOOKUP(Table3[[#This Row],[Country Code]],Table29[],24,FALSE)</f>
        <v>2.4498640842511992</v>
      </c>
      <c r="AF372" s="43"/>
    </row>
    <row r="373" spans="1:32" x14ac:dyDescent="0.25">
      <c r="A373" s="360">
        <v>17624</v>
      </c>
      <c r="B373" s="233" t="str">
        <f>VLOOKUP(Table3[[#This Row],[Document ID]],Table1[],2,FALSE)</f>
        <v>JAM</v>
      </c>
      <c r="C373" s="233" t="str">
        <f>VLOOKUP(Table3[[#This Row],[Document ID]],Table1[],3,FALSE)</f>
        <v>Jamaica</v>
      </c>
      <c r="D373" s="233" t="str">
        <f>VLOOKUP(Table3[[#This Row],[Document ID]],Table1[],5,FALSE)</f>
        <v>NDC</v>
      </c>
      <c r="E373" s="233" t="str">
        <f>VLOOKUP(Table3[[#This Row],[Document ID]],Table1[],7,FALSE)</f>
        <v>First NDC</v>
      </c>
      <c r="F373" s="233" t="str">
        <f>VLOOKUP(Table3[[#This Row],[Document ID]],Table1[],8,FALSE)</f>
        <v>NDC 1.0</v>
      </c>
      <c r="G373" s="233" t="str">
        <f>VLOOKUP(Table3[[#This Row],[Document ID]],Table1[],10,FALSE)</f>
        <v>Archived</v>
      </c>
      <c r="H373" s="216" t="s">
        <v>1089</v>
      </c>
      <c r="I373" s="216" t="s">
        <v>1089</v>
      </c>
      <c r="J373" s="43" t="s">
        <v>1090</v>
      </c>
      <c r="K373" s="28" t="s">
        <v>1091</v>
      </c>
      <c r="L373" s="42" t="s">
        <v>1099</v>
      </c>
      <c r="M373" s="209">
        <v>2030</v>
      </c>
      <c r="N373" s="176" t="s">
        <v>1490</v>
      </c>
      <c r="O373" s="258" t="s">
        <v>1094</v>
      </c>
      <c r="P373" s="238" t="str">
        <f>VLOOKUP(_xlfn.CONCAT(Table3[[#This Row],[Target area]],Table3[[#This Row],[GHG target?]],Table3[[#This Row],[Conditionality]]),'Drop down'!$E$81:$F$101,2,FALSE)</f>
        <v>T_Economy_Unc</v>
      </c>
      <c r="Q373" s="239" t="str">
        <f>VLOOKUP(Table3[[#This Row],[Target type]],Table418[[Value name]:[Value idenifyer]],2,FALSE)</f>
        <v>T_BAU</v>
      </c>
      <c r="T373" s="234" t="s">
        <v>1113</v>
      </c>
      <c r="V373" s="233" t="str">
        <f>VLOOKUP(Table3[[#This Row],[Country Code]],Table29[],3,FALSE)</f>
        <v>Non-Annex I</v>
      </c>
      <c r="W373" s="233" t="str">
        <f>VLOOKUP(Table3[[#This Row],[Country Code]],Table29[],4,FALSE)</f>
        <v>Latin America and the Caribbean</v>
      </c>
      <c r="X373" s="233" t="str">
        <f>VLOOKUP(Table3[[#This Row],[Country Code]],Table29[],5,FALSE)</f>
        <v>Middle-income</v>
      </c>
      <c r="Y373" s="233" t="str">
        <f>VLOOKUP(Table3[[#This Row],[Country Code]],Table29[],6,FALSE)</f>
        <v>no</v>
      </c>
      <c r="Z373" s="233" t="str">
        <f>VLOOKUP(Table3[[#This Row],[Country Code]],Table29[],7,FALSE)</f>
        <v>no</v>
      </c>
      <c r="AA373" s="233" t="str">
        <f>VLOOKUP(Table3[[#This Row],[Country Code]],Table29[],8,FALSE)</f>
        <v>non-OECD</v>
      </c>
      <c r="AB373" s="233" t="str">
        <f>VLOOKUP(Table3[[#This Row],[Country Code]],Table29[],9,FALSE)</f>
        <v>no</v>
      </c>
      <c r="AC373" s="233" t="str">
        <f>VLOOKUP(Table3[[#This Row],[Country Code]],Table29[],10,FALSE)</f>
        <v>no</v>
      </c>
      <c r="AD373" s="235">
        <f>VLOOKUP(Table3[[#This Row],[Country Code]],Table29[],23,FALSE)</f>
        <v>8.1629239257775001</v>
      </c>
      <c r="AE373" s="235">
        <f>VLOOKUP(Table3[[#This Row],[Country Code]],Table29[],24,FALSE)</f>
        <v>2.4498640842511992</v>
      </c>
      <c r="AF373" s="43"/>
    </row>
    <row r="374" spans="1:32" x14ac:dyDescent="0.25">
      <c r="A374" s="360">
        <v>17624</v>
      </c>
      <c r="B374" s="233" t="str">
        <f>VLOOKUP(Table3[[#This Row],[Document ID]],Table1[],2,FALSE)</f>
        <v>JAM</v>
      </c>
      <c r="C374" s="233" t="str">
        <f>VLOOKUP(Table3[[#This Row],[Document ID]],Table1[],3,FALSE)</f>
        <v>Jamaica</v>
      </c>
      <c r="D374" s="233" t="str">
        <f>VLOOKUP(Table3[[#This Row],[Document ID]],Table1[],5,FALSE)</f>
        <v>NDC</v>
      </c>
      <c r="E374" s="233" t="str">
        <f>VLOOKUP(Table3[[#This Row],[Document ID]],Table1[],7,FALSE)</f>
        <v>First NDC</v>
      </c>
      <c r="F374" s="233" t="str">
        <f>VLOOKUP(Table3[[#This Row],[Document ID]],Table1[],8,FALSE)</f>
        <v>NDC 1.0</v>
      </c>
      <c r="G374" s="233" t="str">
        <f>VLOOKUP(Table3[[#This Row],[Document ID]],Table1[],10,FALSE)</f>
        <v>Archived</v>
      </c>
      <c r="H374" s="216" t="s">
        <v>1089</v>
      </c>
      <c r="I374" s="216" t="s">
        <v>1089</v>
      </c>
      <c r="J374" s="43" t="s">
        <v>1090</v>
      </c>
      <c r="K374" s="28" t="s">
        <v>1091</v>
      </c>
      <c r="L374" s="42" t="s">
        <v>1099</v>
      </c>
      <c r="M374" s="209">
        <v>2030</v>
      </c>
      <c r="N374" s="176" t="s">
        <v>1490</v>
      </c>
      <c r="O374" s="258" t="s">
        <v>1094</v>
      </c>
      <c r="P374" s="238" t="str">
        <f>VLOOKUP(_xlfn.CONCAT(Table3[[#This Row],[Target area]],Table3[[#This Row],[GHG target?]],Table3[[#This Row],[Conditionality]]),'Drop down'!$E$81:$F$101,2,FALSE)</f>
        <v>T_Economy_Unc</v>
      </c>
      <c r="Q374" s="239" t="str">
        <f>VLOOKUP(Table3[[#This Row],[Target type]],Table418[[Value name]:[Value idenifyer]],2,FALSE)</f>
        <v>T_BAU</v>
      </c>
      <c r="T374" s="234" t="s">
        <v>1113</v>
      </c>
      <c r="V374" s="233" t="str">
        <f>VLOOKUP(Table3[[#This Row],[Country Code]],Table29[],3,FALSE)</f>
        <v>Non-Annex I</v>
      </c>
      <c r="W374" s="233" t="str">
        <f>VLOOKUP(Table3[[#This Row],[Country Code]],Table29[],4,FALSE)</f>
        <v>Latin America and the Caribbean</v>
      </c>
      <c r="X374" s="233" t="str">
        <f>VLOOKUP(Table3[[#This Row],[Country Code]],Table29[],5,FALSE)</f>
        <v>Middle-income</v>
      </c>
      <c r="Y374" s="233" t="str">
        <f>VLOOKUP(Table3[[#This Row],[Country Code]],Table29[],6,FALSE)</f>
        <v>no</v>
      </c>
      <c r="Z374" s="233" t="str">
        <f>VLOOKUP(Table3[[#This Row],[Country Code]],Table29[],7,FALSE)</f>
        <v>no</v>
      </c>
      <c r="AA374" s="233" t="str">
        <f>VLOOKUP(Table3[[#This Row],[Country Code]],Table29[],8,FALSE)</f>
        <v>non-OECD</v>
      </c>
      <c r="AB374" s="233" t="str">
        <f>VLOOKUP(Table3[[#This Row],[Country Code]],Table29[],9,FALSE)</f>
        <v>no</v>
      </c>
      <c r="AC374" s="233" t="str">
        <f>VLOOKUP(Table3[[#This Row],[Country Code]],Table29[],10,FALSE)</f>
        <v>no</v>
      </c>
      <c r="AD374" s="235">
        <f>VLOOKUP(Table3[[#This Row],[Country Code]],Table29[],23,FALSE)</f>
        <v>8.1629239257775001</v>
      </c>
      <c r="AE374" s="235">
        <f>VLOOKUP(Table3[[#This Row],[Country Code]],Table29[],24,FALSE)</f>
        <v>2.4498640842511992</v>
      </c>
      <c r="AF374" s="43"/>
    </row>
    <row r="375" spans="1:32" ht="30" x14ac:dyDescent="0.25">
      <c r="A375" s="360">
        <v>17624</v>
      </c>
      <c r="B375" s="233" t="str">
        <f>VLOOKUP(Table3[[#This Row],[Document ID]],Table1[],2,FALSE)</f>
        <v>JAM</v>
      </c>
      <c r="C375" s="233" t="str">
        <f>VLOOKUP(Table3[[#This Row],[Document ID]],Table1[],3,FALSE)</f>
        <v>Jamaica</v>
      </c>
      <c r="D375" s="233" t="str">
        <f>VLOOKUP(Table3[[#This Row],[Document ID]],Table1[],5,FALSE)</f>
        <v>NDC</v>
      </c>
      <c r="E375" s="233" t="str">
        <f>VLOOKUP(Table3[[#This Row],[Document ID]],Table1[],7,FALSE)</f>
        <v>First NDC</v>
      </c>
      <c r="F375" s="233" t="str">
        <f>VLOOKUP(Table3[[#This Row],[Document ID]],Table1[],8,FALSE)</f>
        <v>NDC 1.0</v>
      </c>
      <c r="G375" s="233" t="str">
        <f>VLOOKUP(Table3[[#This Row],[Document ID]],Table1[],10,FALSE)</f>
        <v>Archived</v>
      </c>
      <c r="H375" s="216" t="s">
        <v>1089</v>
      </c>
      <c r="I375" s="216" t="s">
        <v>1089</v>
      </c>
      <c r="J375" s="43" t="s">
        <v>1090</v>
      </c>
      <c r="K375" s="28" t="s">
        <v>1091</v>
      </c>
      <c r="L375" s="216" t="s">
        <v>1092</v>
      </c>
      <c r="M375" s="209">
        <v>2030</v>
      </c>
      <c r="N375" s="176" t="s">
        <v>1491</v>
      </c>
      <c r="O375" s="258" t="s">
        <v>1094</v>
      </c>
      <c r="P375" s="238" t="str">
        <f>VLOOKUP(_xlfn.CONCAT(Table3[[#This Row],[Target area]],Table3[[#This Row],[GHG target?]],Table3[[#This Row],[Conditionality]]),'Drop down'!$E$81:$F$101,2,FALSE)</f>
        <v>T_Economy_C</v>
      </c>
      <c r="Q375" s="239" t="str">
        <f>VLOOKUP(Table3[[#This Row],[Target type]],Table418[[Value name]:[Value idenifyer]],2,FALSE)</f>
        <v>T_BAU</v>
      </c>
      <c r="T375" s="234" t="s">
        <v>1113</v>
      </c>
      <c r="V375" s="233" t="str">
        <f>VLOOKUP(Table3[[#This Row],[Country Code]],Table29[],3,FALSE)</f>
        <v>Non-Annex I</v>
      </c>
      <c r="W375" s="233" t="str">
        <f>VLOOKUP(Table3[[#This Row],[Country Code]],Table29[],4,FALSE)</f>
        <v>Latin America and the Caribbean</v>
      </c>
      <c r="X375" s="233" t="str">
        <f>VLOOKUP(Table3[[#This Row],[Country Code]],Table29[],5,FALSE)</f>
        <v>Middle-income</v>
      </c>
      <c r="Y375" s="233" t="str">
        <f>VLOOKUP(Table3[[#This Row],[Country Code]],Table29[],6,FALSE)</f>
        <v>no</v>
      </c>
      <c r="Z375" s="233" t="str">
        <f>VLOOKUP(Table3[[#This Row],[Country Code]],Table29[],7,FALSE)</f>
        <v>no</v>
      </c>
      <c r="AA375" s="233" t="str">
        <f>VLOOKUP(Table3[[#This Row],[Country Code]],Table29[],8,FALSE)</f>
        <v>non-OECD</v>
      </c>
      <c r="AB375" s="233" t="str">
        <f>VLOOKUP(Table3[[#This Row],[Country Code]],Table29[],9,FALSE)</f>
        <v>no</v>
      </c>
      <c r="AC375" s="233" t="str">
        <f>VLOOKUP(Table3[[#This Row],[Country Code]],Table29[],10,FALSE)</f>
        <v>no</v>
      </c>
      <c r="AD375" s="235">
        <f>VLOOKUP(Table3[[#This Row],[Country Code]],Table29[],23,FALSE)</f>
        <v>8.1629239257775001</v>
      </c>
      <c r="AE375" s="235">
        <f>VLOOKUP(Table3[[#This Row],[Country Code]],Table29[],24,FALSE)</f>
        <v>2.4498640842511992</v>
      </c>
      <c r="AF375" s="43"/>
    </row>
    <row r="376" spans="1:32" x14ac:dyDescent="0.25">
      <c r="A376" s="360">
        <v>17628</v>
      </c>
      <c r="B376" s="233" t="str">
        <f>VLOOKUP(Table3[[#This Row],[Document ID]],Table1[],2,FALSE)</f>
        <v>JPN</v>
      </c>
      <c r="C376" s="233" t="str">
        <f>VLOOKUP(Table3[[#This Row],[Document ID]],Table1[],3,FALSE)</f>
        <v>Japan</v>
      </c>
      <c r="D376" s="233" t="str">
        <f>VLOOKUP(Table3[[#This Row],[Document ID]],Table1[],5,FALSE)</f>
        <v>NDC</v>
      </c>
      <c r="E376" s="233" t="str">
        <f>VLOOKUP(Table3[[#This Row],[Document ID]],Table1[],7,FALSE)</f>
        <v>First NDC updated</v>
      </c>
      <c r="F376" s="233" t="str">
        <f>VLOOKUP(Table3[[#This Row],[Document ID]],Table1[],8,FALSE)</f>
        <v>NDC 1.1</v>
      </c>
      <c r="G376" s="233" t="str">
        <f>VLOOKUP(Table3[[#This Row],[Document ID]],Table1[],10,FALSE)</f>
        <v>Archived</v>
      </c>
      <c r="H376" s="216" t="s">
        <v>1089</v>
      </c>
      <c r="I376" s="216" t="s">
        <v>1089</v>
      </c>
      <c r="J376" s="43" t="s">
        <v>1090</v>
      </c>
      <c r="K376" s="28" t="s">
        <v>1153</v>
      </c>
      <c r="L376" s="42" t="s">
        <v>1099</v>
      </c>
      <c r="M376" s="209">
        <v>2030</v>
      </c>
      <c r="N376" s="44" t="s">
        <v>1492</v>
      </c>
      <c r="O376" s="221">
        <v>2</v>
      </c>
      <c r="P376" s="238" t="str">
        <f>VLOOKUP(_xlfn.CONCAT(Table3[[#This Row],[Target area]],Table3[[#This Row],[GHG target?]],Table3[[#This Row],[Conditionality]]),'Drop down'!$E$81:$F$101,2,FALSE)</f>
        <v>T_Economy_Unc</v>
      </c>
      <c r="Q376" s="239" t="str">
        <f>VLOOKUP(Table3[[#This Row],[Target type]],Table418[[Value name]:[Value idenifyer]],2,FALSE)</f>
        <v>T_BYE</v>
      </c>
      <c r="T376" s="234" t="s">
        <v>1113</v>
      </c>
      <c r="V376" s="233" t="str">
        <f>VLOOKUP(Table3[[#This Row],[Country Code]],Table29[],3,FALSE)</f>
        <v>Annex I</v>
      </c>
      <c r="W376" s="233" t="str">
        <f>VLOOKUP(Table3[[#This Row],[Country Code]],Table29[],4,FALSE)</f>
        <v>Asia</v>
      </c>
      <c r="X376" s="233" t="str">
        <f>VLOOKUP(Table3[[#This Row],[Country Code]],Table29[],5,FALSE)</f>
        <v>High-income</v>
      </c>
      <c r="Y376" s="233" t="str">
        <f>VLOOKUP(Table3[[#This Row],[Country Code]],Table29[],6,FALSE)</f>
        <v>G20</v>
      </c>
      <c r="Z376" s="233" t="str">
        <f>VLOOKUP(Table3[[#This Row],[Country Code]],Table29[],7,FALSE)</f>
        <v>G7</v>
      </c>
      <c r="AA376" s="233" t="str">
        <f>VLOOKUP(Table3[[#This Row],[Country Code]],Table29[],8,FALSE)</f>
        <v>OECD</v>
      </c>
      <c r="AB376" s="233" t="str">
        <f>VLOOKUP(Table3[[#This Row],[Country Code]],Table29[],9,FALSE)</f>
        <v>no</v>
      </c>
      <c r="AC376" s="233" t="str">
        <f>VLOOKUP(Table3[[#This Row],[Country Code]],Table29[],10,FALSE)</f>
        <v>no</v>
      </c>
      <c r="AD376" s="235">
        <f>VLOOKUP(Table3[[#This Row],[Country Code]],Table29[],23,FALSE)</f>
        <v>1041.0128248686999</v>
      </c>
      <c r="AE376" s="235">
        <f>VLOOKUP(Table3[[#This Row],[Country Code]],Table29[],24,FALSE)</f>
        <v>181.96191357547141</v>
      </c>
      <c r="AF376" s="43"/>
    </row>
    <row r="377" spans="1:32" ht="30" x14ac:dyDescent="0.25">
      <c r="A377" s="360">
        <v>32501</v>
      </c>
      <c r="B377" s="233" t="str">
        <f>VLOOKUP(Table3[[#This Row],[Document ID]],Table1[],2,FALSE)</f>
        <v>DEU</v>
      </c>
      <c r="C377" s="233" t="str">
        <f>VLOOKUP(Table3[[#This Row],[Document ID]],Table1[],3,FALSE)</f>
        <v>Germany</v>
      </c>
      <c r="D377" s="233" t="str">
        <f>VLOOKUP(Table3[[#This Row],[Document ID]],Table1[],5,FALSE)</f>
        <v>LTS</v>
      </c>
      <c r="E377" s="233" t="str">
        <f>VLOOKUP(Table3[[#This Row],[Document ID]],Table1[],7,FALSE)</f>
        <v>LTS</v>
      </c>
      <c r="F377" s="233" t="str">
        <f>VLOOKUP(Table3[[#This Row],[Document ID]],Table1[],8,FALSE)</f>
        <v>LTS 1.1</v>
      </c>
      <c r="G377" s="233" t="str">
        <f>VLOOKUP(Table3[[#This Row],[Document ID]],Table1[],10,FALSE)</f>
        <v>Active</v>
      </c>
      <c r="H377" s="42" t="s">
        <v>1095</v>
      </c>
      <c r="I377" s="42" t="s">
        <v>1096</v>
      </c>
      <c r="J377" s="42" t="s">
        <v>1097</v>
      </c>
      <c r="K377" s="28" t="s">
        <v>1104</v>
      </c>
      <c r="L377" s="42" t="s">
        <v>1099</v>
      </c>
      <c r="M377" s="209">
        <v>2030</v>
      </c>
      <c r="N377" s="43" t="s">
        <v>1493</v>
      </c>
      <c r="O377" s="258">
        <v>6</v>
      </c>
      <c r="P377" s="238" t="str">
        <f>VLOOKUP(_xlfn.CONCAT(Table3[[#This Row],[Target area]],Table3[[#This Row],[GHG target?]],Table3[[#This Row],[Conditionality]]),'Drop down'!$E$81:$F$101,2,FALSE)</f>
        <v>T_Transport_O_Unc</v>
      </c>
      <c r="Q377" s="239" t="str">
        <f>VLOOKUP(Table3[[#This Row],[Target type]],Table418[[Value name]:[Value idenifyer]],2,FALSE)</f>
        <v>T_O_ZERO</v>
      </c>
      <c r="S377" s="233" t="s">
        <v>1125</v>
      </c>
      <c r="T377" s="234" t="s">
        <v>1113</v>
      </c>
      <c r="V377" s="233" t="str">
        <f>VLOOKUP(Table3[[#This Row],[Country Code]],Table29[],3,FALSE)</f>
        <v>Annex I</v>
      </c>
      <c r="W377" s="233" t="str">
        <f>VLOOKUP(Table3[[#This Row],[Country Code]],Table29[],4,FALSE)</f>
        <v>Europe</v>
      </c>
      <c r="X377" s="233" t="str">
        <f>VLOOKUP(Table3[[#This Row],[Country Code]],Table29[],5,FALSE)</f>
        <v>High-income</v>
      </c>
      <c r="Y377" s="233" t="str">
        <f>VLOOKUP(Table3[[#This Row],[Country Code]],Table29[],6,FALSE)</f>
        <v>G20</v>
      </c>
      <c r="Z377" s="233" t="str">
        <f>VLOOKUP(Table3[[#This Row],[Country Code]],Table29[],7,FALSE)</f>
        <v>G7</v>
      </c>
      <c r="AA377" s="233" t="str">
        <f>VLOOKUP(Table3[[#This Row],[Country Code]],Table29[],8,FALSE)</f>
        <v>OECD</v>
      </c>
      <c r="AB377" s="233" t="str">
        <f>VLOOKUP(Table3[[#This Row],[Country Code]],Table29[],9,FALSE)</f>
        <v>EU27</v>
      </c>
      <c r="AC377" s="233" t="str">
        <f>VLOOKUP(Table3[[#This Row],[Country Code]],Table29[],10,FALSE)</f>
        <v>no</v>
      </c>
      <c r="AD377" s="235">
        <f>VLOOKUP(Table3[[#This Row],[Country Code]],Table29[],23,FALSE)</f>
        <v>681.81032815186995</v>
      </c>
      <c r="AE377" s="235">
        <f>VLOOKUP(Table3[[#This Row],[Country Code]],Table29[],24,FALSE)</f>
        <v>141.2568578412648</v>
      </c>
      <c r="AF377" s="43"/>
    </row>
    <row r="378" spans="1:32" ht="30" x14ac:dyDescent="0.25">
      <c r="A378" s="360">
        <v>32501</v>
      </c>
      <c r="B378" s="233" t="str">
        <f>VLOOKUP(Table3[[#This Row],[Document ID]],Table1[],2,FALSE)</f>
        <v>DEU</v>
      </c>
      <c r="C378" s="233" t="str">
        <f>VLOOKUP(Table3[[#This Row],[Document ID]],Table1[],3,FALSE)</f>
        <v>Germany</v>
      </c>
      <c r="D378" s="233" t="str">
        <f>VLOOKUP(Table3[[#This Row],[Document ID]],Table1[],5,FALSE)</f>
        <v>LTS</v>
      </c>
      <c r="E378" s="233" t="str">
        <f>VLOOKUP(Table3[[#This Row],[Document ID]],Table1[],7,FALSE)</f>
        <v>LTS</v>
      </c>
      <c r="F378" s="233" t="str">
        <f>VLOOKUP(Table3[[#This Row],[Document ID]],Table1[],8,FALSE)</f>
        <v>LTS 1.1</v>
      </c>
      <c r="G378" s="233" t="str">
        <f>VLOOKUP(Table3[[#This Row],[Document ID]],Table1[],10,FALSE)</f>
        <v>Active</v>
      </c>
      <c r="H378" s="42" t="s">
        <v>1095</v>
      </c>
      <c r="I378" s="42" t="s">
        <v>1096</v>
      </c>
      <c r="J378" s="42" t="s">
        <v>1097</v>
      </c>
      <c r="K378" s="28" t="s">
        <v>1104</v>
      </c>
      <c r="L378" s="42" t="s">
        <v>1099</v>
      </c>
      <c r="M378" s="209">
        <v>2025</v>
      </c>
      <c r="N378" s="43" t="s">
        <v>1494</v>
      </c>
      <c r="O378" s="258">
        <v>6</v>
      </c>
      <c r="P378" s="238" t="str">
        <f>VLOOKUP(_xlfn.CONCAT(Table3[[#This Row],[Target area]],Table3[[#This Row],[GHG target?]],Table3[[#This Row],[Conditionality]]),'Drop down'!$E$81:$F$101,2,FALSE)</f>
        <v>T_Transport_O_Unc</v>
      </c>
      <c r="Q378" s="239" t="str">
        <f>VLOOKUP(Table3[[#This Row],[Target type]],Table418[[Value name]:[Value idenifyer]],2,FALSE)</f>
        <v>T_O_ZERO</v>
      </c>
      <c r="S378" s="233" t="s">
        <v>1125</v>
      </c>
      <c r="T378" s="234" t="s">
        <v>1113</v>
      </c>
      <c r="V378" s="233" t="str">
        <f>VLOOKUP(Table3[[#This Row],[Country Code]],Table29[],3,FALSE)</f>
        <v>Annex I</v>
      </c>
      <c r="W378" s="233" t="str">
        <f>VLOOKUP(Table3[[#This Row],[Country Code]],Table29[],4,FALSE)</f>
        <v>Europe</v>
      </c>
      <c r="X378" s="233" t="str">
        <f>VLOOKUP(Table3[[#This Row],[Country Code]],Table29[],5,FALSE)</f>
        <v>High-income</v>
      </c>
      <c r="Y378" s="233" t="str">
        <f>VLOOKUP(Table3[[#This Row],[Country Code]],Table29[],6,FALSE)</f>
        <v>G20</v>
      </c>
      <c r="Z378" s="233" t="str">
        <f>VLOOKUP(Table3[[#This Row],[Country Code]],Table29[],7,FALSE)</f>
        <v>G7</v>
      </c>
      <c r="AA378" s="233" t="str">
        <f>VLOOKUP(Table3[[#This Row],[Country Code]],Table29[],8,FALSE)</f>
        <v>OECD</v>
      </c>
      <c r="AB378" s="233" t="str">
        <f>VLOOKUP(Table3[[#This Row],[Country Code]],Table29[],9,FALSE)</f>
        <v>EU27</v>
      </c>
      <c r="AC378" s="233" t="str">
        <f>VLOOKUP(Table3[[#This Row],[Country Code]],Table29[],10,FALSE)</f>
        <v>no</v>
      </c>
      <c r="AD378" s="235">
        <f>VLOOKUP(Table3[[#This Row],[Country Code]],Table29[],23,FALSE)</f>
        <v>681.81032815186995</v>
      </c>
      <c r="AE378" s="235">
        <f>VLOOKUP(Table3[[#This Row],[Country Code]],Table29[],24,FALSE)</f>
        <v>141.2568578412648</v>
      </c>
      <c r="AF378" s="43"/>
    </row>
    <row r="379" spans="1:32" x14ac:dyDescent="0.25">
      <c r="A379" s="360">
        <v>17578</v>
      </c>
      <c r="B379" s="233" t="str">
        <f>VLOOKUP(Table3[[#This Row],[Document ID]],Table1[],2,FALSE)</f>
        <v>DMA</v>
      </c>
      <c r="C379" s="233" t="str">
        <f>VLOOKUP(Table3[[#This Row],[Document ID]],Table1[],3,FALSE)</f>
        <v>Dominica</v>
      </c>
      <c r="D379" s="233" t="str">
        <f>VLOOKUP(Table3[[#This Row],[Document ID]],Table1[],5,FALSE)</f>
        <v>NDC</v>
      </c>
      <c r="E379" s="233" t="str">
        <f>VLOOKUP(Table3[[#This Row],[Document ID]],Table1[],7,FALSE)</f>
        <v>First NDC</v>
      </c>
      <c r="F379" s="233" t="str">
        <f>VLOOKUP(Table3[[#This Row],[Document ID]],Table1[],8,FALSE)</f>
        <v>NDC 1.0</v>
      </c>
      <c r="G379" s="233" t="str">
        <f>VLOOKUP(Table3[[#This Row],[Document ID]],Table1[],10,FALSE)</f>
        <v>Archived</v>
      </c>
      <c r="H379" s="42" t="s">
        <v>1095</v>
      </c>
      <c r="I379" s="43" t="s">
        <v>1115</v>
      </c>
      <c r="J379" s="43" t="s">
        <v>1090</v>
      </c>
      <c r="K379" s="28" t="s">
        <v>1091</v>
      </c>
      <c r="L379" s="43" t="s">
        <v>1092</v>
      </c>
      <c r="M379" s="209">
        <v>2030</v>
      </c>
      <c r="N379" s="44" t="s">
        <v>1495</v>
      </c>
      <c r="O379" s="221">
        <v>1</v>
      </c>
      <c r="P379" s="238" t="str">
        <f>VLOOKUP(_xlfn.CONCAT(Table3[[#This Row],[Target area]],Table3[[#This Row],[GHG target?]],Table3[[#This Row],[Conditionality]]),'Drop down'!$E$81:$F$101,2,FALSE)</f>
        <v>T_Transport_C</v>
      </c>
      <c r="Q379" s="239" t="str">
        <f>VLOOKUP(Table3[[#This Row],[Target type]],Table418[[Value name]:[Value idenifyer]],2,FALSE)</f>
        <v>T_BAU</v>
      </c>
      <c r="R379" s="233" t="s">
        <v>526</v>
      </c>
      <c r="S379" s="233" t="s">
        <v>1112</v>
      </c>
      <c r="T379" s="234" t="s">
        <v>1113</v>
      </c>
      <c r="V379" s="233" t="str">
        <f>VLOOKUP(Table3[[#This Row],[Country Code]],Table29[],3,FALSE)</f>
        <v>Non-Annex I</v>
      </c>
      <c r="W379" s="233" t="str">
        <f>VLOOKUP(Table3[[#This Row],[Country Code]],Table29[],4,FALSE)</f>
        <v>Latin America and the Caribbean</v>
      </c>
      <c r="X379" s="233" t="str">
        <f>VLOOKUP(Table3[[#This Row],[Country Code]],Table29[],5,FALSE)</f>
        <v>Middle-income</v>
      </c>
      <c r="Y379" s="233" t="str">
        <f>VLOOKUP(Table3[[#This Row],[Country Code]],Table29[],6,FALSE)</f>
        <v>no</v>
      </c>
      <c r="Z379" s="233" t="str">
        <f>VLOOKUP(Table3[[#This Row],[Country Code]],Table29[],7,FALSE)</f>
        <v>no</v>
      </c>
      <c r="AA379" s="233" t="str">
        <f>VLOOKUP(Table3[[#This Row],[Country Code]],Table29[],8,FALSE)</f>
        <v>non-OECD</v>
      </c>
      <c r="AB379" s="233" t="str">
        <f>VLOOKUP(Table3[[#This Row],[Country Code]],Table29[],9,FALSE)</f>
        <v>no</v>
      </c>
      <c r="AC379" s="233" t="str">
        <f>VLOOKUP(Table3[[#This Row],[Country Code]],Table29[],10,FALSE)</f>
        <v>no</v>
      </c>
      <c r="AD379" s="235">
        <f>VLOOKUP(Table3[[#This Row],[Country Code]],Table29[],23,FALSE)</f>
        <v>0.14691940907449</v>
      </c>
      <c r="AE379" s="235">
        <f>VLOOKUP(Table3[[#This Row],[Country Code]],Table29[],24,FALSE)</f>
        <v>2.8004429294222619E-2</v>
      </c>
      <c r="AF379" s="43"/>
    </row>
    <row r="380" spans="1:32" x14ac:dyDescent="0.25">
      <c r="A380" s="360">
        <v>29230</v>
      </c>
      <c r="B380" s="233" t="str">
        <f>VLOOKUP(Table3[[#This Row],[Document ID]],Table1[],2,FALSE)</f>
        <v>DMA</v>
      </c>
      <c r="C380" s="233" t="str">
        <f>VLOOKUP(Table3[[#This Row],[Document ID]],Table1[],3,FALSE)</f>
        <v>Dominica</v>
      </c>
      <c r="D380" s="233" t="str">
        <f>VLOOKUP(Table3[[#This Row],[Document ID]],Table1[],5,FALSE)</f>
        <v>NDC</v>
      </c>
      <c r="E380" s="233" t="str">
        <f>VLOOKUP(Table3[[#This Row],[Document ID]],Table1[],7,FALSE)</f>
        <v>First NDC updated</v>
      </c>
      <c r="F380" s="233" t="str">
        <f>VLOOKUP(Table3[[#This Row],[Document ID]],Table1[],8,FALSE)</f>
        <v>NDC 1.1</v>
      </c>
      <c r="G380" s="233" t="str">
        <f>VLOOKUP(Table3[[#This Row],[Document ID]],Table1[],10,FALSE)</f>
        <v>Active</v>
      </c>
      <c r="H380" s="42" t="s">
        <v>1095</v>
      </c>
      <c r="I380" s="43" t="s">
        <v>1115</v>
      </c>
      <c r="J380" s="43" t="s">
        <v>1090</v>
      </c>
      <c r="K380" s="28" t="s">
        <v>1153</v>
      </c>
      <c r="L380" s="42" t="s">
        <v>1099</v>
      </c>
      <c r="M380" s="209">
        <v>2030</v>
      </c>
      <c r="N380" s="44" t="s">
        <v>1496</v>
      </c>
      <c r="O380" s="258">
        <v>53</v>
      </c>
      <c r="P380" s="238" t="str">
        <f>VLOOKUP(_xlfn.CONCAT(Table3[[#This Row],[Target area]],Table3[[#This Row],[GHG target?]],Table3[[#This Row],[Conditionality]]),'Drop down'!$E$81:$F$101,2,FALSE)</f>
        <v>T_Transport_Unc</v>
      </c>
      <c r="Q380" s="239" t="str">
        <f>VLOOKUP(Table3[[#This Row],[Target type]],Table418[[Value name]:[Value idenifyer]],2,FALSE)</f>
        <v>T_BYE</v>
      </c>
      <c r="R380" s="233" t="s">
        <v>526</v>
      </c>
      <c r="S380" s="233" t="s">
        <v>1125</v>
      </c>
      <c r="T380" s="234" t="s">
        <v>1113</v>
      </c>
      <c r="U380" s="234" t="s">
        <v>1402</v>
      </c>
      <c r="V380" s="233" t="str">
        <f>VLOOKUP(Table3[[#This Row],[Country Code]],Table29[],3,FALSE)</f>
        <v>Non-Annex I</v>
      </c>
      <c r="W380" s="233" t="str">
        <f>VLOOKUP(Table3[[#This Row],[Country Code]],Table29[],4,FALSE)</f>
        <v>Latin America and the Caribbean</v>
      </c>
      <c r="X380" s="233" t="str">
        <f>VLOOKUP(Table3[[#This Row],[Country Code]],Table29[],5,FALSE)</f>
        <v>Middle-income</v>
      </c>
      <c r="Y380" s="233" t="str">
        <f>VLOOKUP(Table3[[#This Row],[Country Code]],Table29[],6,FALSE)</f>
        <v>no</v>
      </c>
      <c r="Z380" s="233" t="str">
        <f>VLOOKUP(Table3[[#This Row],[Country Code]],Table29[],7,FALSE)</f>
        <v>no</v>
      </c>
      <c r="AA380" s="233" t="str">
        <f>VLOOKUP(Table3[[#This Row],[Country Code]],Table29[],8,FALSE)</f>
        <v>non-OECD</v>
      </c>
      <c r="AB380" s="233" t="str">
        <f>VLOOKUP(Table3[[#This Row],[Country Code]],Table29[],9,FALSE)</f>
        <v>no</v>
      </c>
      <c r="AC380" s="233" t="str">
        <f>VLOOKUP(Table3[[#This Row],[Country Code]],Table29[],10,FALSE)</f>
        <v>no</v>
      </c>
      <c r="AD380" s="235">
        <f>VLOOKUP(Table3[[#This Row],[Country Code]],Table29[],23,FALSE)</f>
        <v>0.14691940907449</v>
      </c>
      <c r="AE380" s="235">
        <f>VLOOKUP(Table3[[#This Row],[Country Code]],Table29[],24,FALSE)</f>
        <v>2.8004429294222619E-2</v>
      </c>
      <c r="AF380" s="43"/>
    </row>
    <row r="381" spans="1:32" ht="30" x14ac:dyDescent="0.25">
      <c r="A381" s="360">
        <v>29230</v>
      </c>
      <c r="B381" s="233" t="str">
        <f>VLOOKUP(Table3[[#This Row],[Document ID]],Table1[],2,FALSE)</f>
        <v>DMA</v>
      </c>
      <c r="C381" s="233" t="str">
        <f>VLOOKUP(Table3[[#This Row],[Document ID]],Table1[],3,FALSE)</f>
        <v>Dominica</v>
      </c>
      <c r="D381" s="233" t="str">
        <f>VLOOKUP(Table3[[#This Row],[Document ID]],Table1[],5,FALSE)</f>
        <v>NDC</v>
      </c>
      <c r="E381" s="233" t="str">
        <f>VLOOKUP(Table3[[#This Row],[Document ID]],Table1[],7,FALSE)</f>
        <v>First NDC updated</v>
      </c>
      <c r="F381" s="233" t="str">
        <f>VLOOKUP(Table3[[#This Row],[Document ID]],Table1[],8,FALSE)</f>
        <v>NDC 1.1</v>
      </c>
      <c r="G381" s="233" t="str">
        <f>VLOOKUP(Table3[[#This Row],[Document ID]],Table1[],10,FALSE)</f>
        <v>Active</v>
      </c>
      <c r="H381" s="42" t="s">
        <v>1095</v>
      </c>
      <c r="I381" s="43" t="s">
        <v>1096</v>
      </c>
      <c r="J381" s="43" t="s">
        <v>1090</v>
      </c>
      <c r="K381" s="28" t="s">
        <v>1153</v>
      </c>
      <c r="L381" s="42" t="s">
        <v>1099</v>
      </c>
      <c r="M381" s="209">
        <v>2030</v>
      </c>
      <c r="N381" s="44" t="s">
        <v>1497</v>
      </c>
      <c r="O381" s="258">
        <v>54</v>
      </c>
      <c r="P381" s="238" t="str">
        <f>VLOOKUP(_xlfn.CONCAT(Table3[[#This Row],[Target area]],Table3[[#This Row],[GHG target?]],Table3[[#This Row],[Conditionality]]),'Drop down'!$E$81:$F$101,2,FALSE)</f>
        <v>T_Transport_Unc</v>
      </c>
      <c r="Q381" s="239" t="str">
        <f>VLOOKUP(Table3[[#This Row],[Target type]],Table418[[Value name]:[Value idenifyer]],2,FALSE)</f>
        <v>T_BYE</v>
      </c>
      <c r="S381" s="233" t="s">
        <v>1125</v>
      </c>
      <c r="T381" s="234" t="s">
        <v>1113</v>
      </c>
      <c r="U381" s="234" t="s">
        <v>1402</v>
      </c>
      <c r="V381" s="233" t="str">
        <f>VLOOKUP(Table3[[#This Row],[Country Code]],Table29[],3,FALSE)</f>
        <v>Non-Annex I</v>
      </c>
      <c r="W381" s="233" t="str">
        <f>VLOOKUP(Table3[[#This Row],[Country Code]],Table29[],4,FALSE)</f>
        <v>Latin America and the Caribbean</v>
      </c>
      <c r="X381" s="233" t="str">
        <f>VLOOKUP(Table3[[#This Row],[Country Code]],Table29[],5,FALSE)</f>
        <v>Middle-income</v>
      </c>
      <c r="Y381" s="233" t="str">
        <f>VLOOKUP(Table3[[#This Row],[Country Code]],Table29[],6,FALSE)</f>
        <v>no</v>
      </c>
      <c r="Z381" s="233" t="str">
        <f>VLOOKUP(Table3[[#This Row],[Country Code]],Table29[],7,FALSE)</f>
        <v>no</v>
      </c>
      <c r="AA381" s="233" t="str">
        <f>VLOOKUP(Table3[[#This Row],[Country Code]],Table29[],8,FALSE)</f>
        <v>non-OECD</v>
      </c>
      <c r="AB381" s="233" t="str">
        <f>VLOOKUP(Table3[[#This Row],[Country Code]],Table29[],9,FALSE)</f>
        <v>no</v>
      </c>
      <c r="AC381" s="233" t="str">
        <f>VLOOKUP(Table3[[#This Row],[Country Code]],Table29[],10,FALSE)</f>
        <v>no</v>
      </c>
      <c r="AD381" s="235">
        <f>VLOOKUP(Table3[[#This Row],[Country Code]],Table29[],23,FALSE)</f>
        <v>0.14691940907449</v>
      </c>
      <c r="AE381" s="235">
        <f>VLOOKUP(Table3[[#This Row],[Country Code]],Table29[],24,FALSE)</f>
        <v>2.8004429294222619E-2</v>
      </c>
      <c r="AF381" s="43"/>
    </row>
    <row r="382" spans="1:32" ht="30" x14ac:dyDescent="0.25">
      <c r="A382" s="360">
        <v>29230</v>
      </c>
      <c r="B382" s="233" t="str">
        <f>VLOOKUP(Table3[[#This Row],[Document ID]],Table1[],2,FALSE)</f>
        <v>DMA</v>
      </c>
      <c r="C382" s="233" t="str">
        <f>VLOOKUP(Table3[[#This Row],[Document ID]],Table1[],3,FALSE)</f>
        <v>Dominica</v>
      </c>
      <c r="D382" s="233" t="str">
        <f>VLOOKUP(Table3[[#This Row],[Document ID]],Table1[],5,FALSE)</f>
        <v>NDC</v>
      </c>
      <c r="E382" s="233" t="str">
        <f>VLOOKUP(Table3[[#This Row],[Document ID]],Table1[],7,FALSE)</f>
        <v>First NDC updated</v>
      </c>
      <c r="F382" s="233" t="str">
        <f>VLOOKUP(Table3[[#This Row],[Document ID]],Table1[],8,FALSE)</f>
        <v>NDC 1.1</v>
      </c>
      <c r="G382" s="233" t="str">
        <f>VLOOKUP(Table3[[#This Row],[Document ID]],Table1[],10,FALSE)</f>
        <v>Active</v>
      </c>
      <c r="H382" s="42" t="s">
        <v>1095</v>
      </c>
      <c r="I382" s="42" t="s">
        <v>1096</v>
      </c>
      <c r="J382" s="42" t="s">
        <v>1097</v>
      </c>
      <c r="K382" s="28" t="s">
        <v>1104</v>
      </c>
      <c r="L382" s="42" t="s">
        <v>1099</v>
      </c>
      <c r="M382" s="209">
        <v>2030</v>
      </c>
      <c r="N382" s="209" t="s">
        <v>1498</v>
      </c>
      <c r="O382" s="257">
        <v>43</v>
      </c>
      <c r="P382" s="238" t="str">
        <f>VLOOKUP(_xlfn.CONCAT(Table3[[#This Row],[Target area]],Table3[[#This Row],[GHG target?]],Table3[[#This Row],[Conditionality]]),'Drop down'!$E$81:$F$101,2,FALSE)</f>
        <v>T_Transport_O_Unc</v>
      </c>
      <c r="Q382" s="239" t="str">
        <f>VLOOKUP(Table3[[#This Row],[Target type]],Table418[[Value name]:[Value idenifyer]],2,FALSE)</f>
        <v>T_O_ZERO</v>
      </c>
      <c r="S382" s="233" t="s">
        <v>1125</v>
      </c>
      <c r="T382" s="234" t="s">
        <v>1113</v>
      </c>
      <c r="U382" s="234" t="s">
        <v>1402</v>
      </c>
      <c r="V382" s="233" t="str">
        <f>VLOOKUP(Table3[[#This Row],[Country Code]],Table29[],3,FALSE)</f>
        <v>Non-Annex I</v>
      </c>
      <c r="W382" s="233" t="str">
        <f>VLOOKUP(Table3[[#This Row],[Country Code]],Table29[],4,FALSE)</f>
        <v>Latin America and the Caribbean</v>
      </c>
      <c r="X382" s="233" t="str">
        <f>VLOOKUP(Table3[[#This Row],[Country Code]],Table29[],5,FALSE)</f>
        <v>Middle-income</v>
      </c>
      <c r="Y382" s="233" t="str">
        <f>VLOOKUP(Table3[[#This Row],[Country Code]],Table29[],6,FALSE)</f>
        <v>no</v>
      </c>
      <c r="Z382" s="233" t="str">
        <f>VLOOKUP(Table3[[#This Row],[Country Code]],Table29[],7,FALSE)</f>
        <v>no</v>
      </c>
      <c r="AA382" s="233" t="str">
        <f>VLOOKUP(Table3[[#This Row],[Country Code]],Table29[],8,FALSE)</f>
        <v>non-OECD</v>
      </c>
      <c r="AB382" s="233" t="str">
        <f>VLOOKUP(Table3[[#This Row],[Country Code]],Table29[],9,FALSE)</f>
        <v>no</v>
      </c>
      <c r="AC382" s="233" t="str">
        <f>VLOOKUP(Table3[[#This Row],[Country Code]],Table29[],10,FALSE)</f>
        <v>no</v>
      </c>
      <c r="AD382" s="235">
        <f>VLOOKUP(Table3[[#This Row],[Country Code]],Table29[],23,FALSE)</f>
        <v>0.14691940907449</v>
      </c>
      <c r="AE382" s="235">
        <f>VLOOKUP(Table3[[#This Row],[Country Code]],Table29[],24,FALSE)</f>
        <v>2.8004429294222619E-2</v>
      </c>
      <c r="AF382" s="43"/>
    </row>
    <row r="383" spans="1:32" ht="75" x14ac:dyDescent="0.25">
      <c r="A383" s="360">
        <v>39443</v>
      </c>
      <c r="B383" s="233" t="str">
        <f>VLOOKUP(Table3[[#This Row],[Document ID]],Table1[],2,FALSE)</f>
        <v>EEU</v>
      </c>
      <c r="C383" s="233" t="str">
        <f>VLOOKUP(Table3[[#This Row],[Document ID]],Table1[],3,FALSE)</f>
        <v>European Union</v>
      </c>
      <c r="D383" s="233" t="str">
        <f>VLOOKUP(Table3[[#This Row],[Document ID]],Table1[],5,FALSE)</f>
        <v>NDC</v>
      </c>
      <c r="E383" s="233" t="str">
        <f>VLOOKUP(Table3[[#This Row],[Document ID]],Table1[],7,FALSE)</f>
        <v>First NDC updated</v>
      </c>
      <c r="F383" s="233" t="str">
        <f>VLOOKUP(Table3[[#This Row],[Document ID]],Table1[],8,FALSE)</f>
        <v>NDC 1.2</v>
      </c>
      <c r="G383" s="233" t="str">
        <f>VLOOKUP(Table3[[#This Row],[Document ID]],Table1[],10,FALSE)</f>
        <v>Active</v>
      </c>
      <c r="H383" s="42" t="s">
        <v>1095</v>
      </c>
      <c r="I383" s="43" t="s">
        <v>1096</v>
      </c>
      <c r="J383" s="43" t="s">
        <v>1090</v>
      </c>
      <c r="K383" s="28" t="s">
        <v>1153</v>
      </c>
      <c r="L383" s="42" t="s">
        <v>1099</v>
      </c>
      <c r="M383" s="209">
        <v>2030</v>
      </c>
      <c r="N383" s="44" t="s">
        <v>1499</v>
      </c>
      <c r="O383" s="258">
        <v>4</v>
      </c>
      <c r="P383" s="238" t="str">
        <f>VLOOKUP(_xlfn.CONCAT(Table3[[#This Row],[Target area]],Table3[[#This Row],[GHG target?]],Table3[[#This Row],[Conditionality]]),'Drop down'!$E$81:$F$101,2,FALSE)</f>
        <v>T_Transport_Unc</v>
      </c>
      <c r="Q383" s="239" t="str">
        <f>VLOOKUP(Table3[[#This Row],[Target type]],Table418[[Value name]:[Value idenifyer]],2,FALSE)</f>
        <v>T_BYE</v>
      </c>
      <c r="R383" s="233" t="s">
        <v>526</v>
      </c>
      <c r="S383" s="233" t="s">
        <v>1112</v>
      </c>
      <c r="T383" s="234" t="s">
        <v>1113</v>
      </c>
      <c r="U383" s="234" t="s">
        <v>1402</v>
      </c>
      <c r="V383" s="233" t="str">
        <f>VLOOKUP(Table3[[#This Row],[Country Code]],Table29[],3,FALSE)</f>
        <v>Annex I</v>
      </c>
      <c r="W383" s="233" t="str">
        <f>VLOOKUP(Table3[[#This Row],[Country Code]],Table29[],4,FALSE)</f>
        <v>Europe</v>
      </c>
      <c r="X383" s="233" t="str">
        <f>VLOOKUP(Table3[[#This Row],[Country Code]],Table29[],5,FALSE)</f>
        <v>N/A</v>
      </c>
      <c r="Y383" s="233" t="str">
        <f>VLOOKUP(Table3[[#This Row],[Country Code]],Table29[],6,FALSE)</f>
        <v>G20</v>
      </c>
      <c r="Z383" s="233" t="str">
        <f>VLOOKUP(Table3[[#This Row],[Country Code]],Table29[],7,FALSE)</f>
        <v>no</v>
      </c>
      <c r="AA383" s="233" t="str">
        <f>VLOOKUP(Table3[[#This Row],[Country Code]],Table29[],8,FALSE)</f>
        <v>non-OECD</v>
      </c>
      <c r="AB383" s="233" t="str">
        <f>VLOOKUP(Table3[[#This Row],[Country Code]],Table29[],9,FALSE)</f>
        <v>no</v>
      </c>
      <c r="AC383" s="233" t="str">
        <f>VLOOKUP(Table3[[#This Row],[Country Code]],Table29[],10,FALSE)</f>
        <v>no</v>
      </c>
      <c r="AD383" s="235" t="e">
        <f>VLOOKUP(Table3[[#This Row],[Country Code]],Table29[],23,FALSE)</f>
        <v>#N/A</v>
      </c>
      <c r="AE383" s="235" t="e">
        <f>VLOOKUP(Table3[[#This Row],[Country Code]],Table29[],24,FALSE)</f>
        <v>#N/A</v>
      </c>
      <c r="AF383" s="43"/>
    </row>
    <row r="384" spans="1:32" ht="30" x14ac:dyDescent="0.25">
      <c r="A384" s="360">
        <v>29227</v>
      </c>
      <c r="B384" s="233" t="str">
        <f>VLOOKUP(Table3[[#This Row],[Document ID]],Table1[],2,FALSE)</f>
        <v>EGY</v>
      </c>
      <c r="C384" s="233" t="str">
        <f>VLOOKUP(Table3[[#This Row],[Document ID]],Table1[],3,FALSE)</f>
        <v>Egypt</v>
      </c>
      <c r="D384" s="233" t="str">
        <f>VLOOKUP(Table3[[#This Row],[Document ID]],Table1[],5,FALSE)</f>
        <v>NDC</v>
      </c>
      <c r="E384" s="233" t="str">
        <f>VLOOKUP(Table3[[#This Row],[Document ID]],Table1[],7,FALSE)</f>
        <v>First NDC updated</v>
      </c>
      <c r="F384" s="253" t="str">
        <f>VLOOKUP(Table3[[#This Row],[Document ID]],Table1[],8,FALSE)</f>
        <v>NDC 1.1</v>
      </c>
      <c r="G384" s="233" t="str">
        <f>VLOOKUP(Table3[[#This Row],[Document ID]],Table1[],10,FALSE)</f>
        <v>Archived</v>
      </c>
      <c r="H384" s="42" t="s">
        <v>1095</v>
      </c>
      <c r="I384" s="43" t="s">
        <v>1115</v>
      </c>
      <c r="J384" s="43" t="s">
        <v>1090</v>
      </c>
      <c r="K384" s="28" t="s">
        <v>1091</v>
      </c>
      <c r="L384" s="42" t="s">
        <v>1099</v>
      </c>
      <c r="M384" s="209">
        <v>2030</v>
      </c>
      <c r="N384" s="209" t="s">
        <v>1500</v>
      </c>
      <c r="O384" s="257">
        <v>16</v>
      </c>
      <c r="P384" s="238" t="str">
        <f>VLOOKUP(_xlfn.CONCAT(Table3[[#This Row],[Target area]],Table3[[#This Row],[GHG target?]],Table3[[#This Row],[Conditionality]]),'Drop down'!$E$81:$F$101,2,FALSE)</f>
        <v>T_Transport_Unc</v>
      </c>
      <c r="Q384" s="239" t="str">
        <f>VLOOKUP(Table3[[#This Row],[Target type]],Table418[[Value name]:[Value idenifyer]],2,FALSE)</f>
        <v>T_BAU</v>
      </c>
      <c r="S384" s="233" t="s">
        <v>1112</v>
      </c>
      <c r="T384" s="240"/>
      <c r="V384" s="233" t="str">
        <f>VLOOKUP(Table3[[#This Row],[Country Code]],Table29[],3,FALSE)</f>
        <v>Non-Annex I</v>
      </c>
      <c r="W384" s="233" t="str">
        <f>VLOOKUP(Table3[[#This Row],[Country Code]],Table29[],4,FALSE)</f>
        <v>Africa</v>
      </c>
      <c r="X384" s="233" t="str">
        <f>VLOOKUP(Table3[[#This Row],[Country Code]],Table29[],5,FALSE)</f>
        <v>Middle-income</v>
      </c>
      <c r="Y384" s="233" t="str">
        <f>VLOOKUP(Table3[[#This Row],[Country Code]],Table29[],6,FALSE)</f>
        <v>no</v>
      </c>
      <c r="Z384" s="233" t="str">
        <f>VLOOKUP(Table3[[#This Row],[Country Code]],Table29[],7,FALSE)</f>
        <v>no</v>
      </c>
      <c r="AA384" s="233" t="str">
        <f>VLOOKUP(Table3[[#This Row],[Country Code]],Table29[],8,FALSE)</f>
        <v>non-OECD</v>
      </c>
      <c r="AB384" s="233" t="str">
        <f>VLOOKUP(Table3[[#This Row],[Country Code]],Table29[],9,FALSE)</f>
        <v>no</v>
      </c>
      <c r="AC384" s="233" t="str">
        <f>VLOOKUP(Table3[[#This Row],[Country Code]],Table29[],10,FALSE)</f>
        <v>MENA</v>
      </c>
      <c r="AD384" s="235">
        <f>VLOOKUP(Table3[[#This Row],[Country Code]],Table29[],23,FALSE)</f>
        <v>335.96804878175999</v>
      </c>
      <c r="AE384" s="235">
        <f>VLOOKUP(Table3[[#This Row],[Country Code]],Table29[],24,FALSE)</f>
        <v>53.140796953162749</v>
      </c>
      <c r="AF384" s="219"/>
    </row>
    <row r="385" spans="1:32" ht="30" x14ac:dyDescent="0.25">
      <c r="A385" s="368">
        <v>39441</v>
      </c>
      <c r="B385" s="233" t="str">
        <f>VLOOKUP(Table3[[#This Row],[Document ID]],Table1[],2,FALSE)</f>
        <v>EGY</v>
      </c>
      <c r="C385" s="233" t="str">
        <f>VLOOKUP(Table3[[#This Row],[Document ID]],Table1[],3,FALSE)</f>
        <v>Egypt</v>
      </c>
      <c r="D385" s="233" t="str">
        <f>VLOOKUP(Table3[[#This Row],[Document ID]],Table1[],5,FALSE)</f>
        <v>NDC</v>
      </c>
      <c r="E385" s="233" t="str">
        <f>VLOOKUP(Table3[[#This Row],[Document ID]],Table1[],7,FALSE)</f>
        <v>First NDC updated</v>
      </c>
      <c r="F385" s="241" t="str">
        <f>VLOOKUP(Table3[[#This Row],[Document ID]],Table1[],8,FALSE)</f>
        <v>NDC 1.2</v>
      </c>
      <c r="G385" s="233" t="str">
        <f>VLOOKUP(Table3[[#This Row],[Document ID]],Table1[],10,FALSE)</f>
        <v>Active</v>
      </c>
      <c r="H385" s="42" t="s">
        <v>1095</v>
      </c>
      <c r="I385" s="43" t="s">
        <v>1115</v>
      </c>
      <c r="J385" s="43" t="s">
        <v>1090</v>
      </c>
      <c r="K385" s="28" t="s">
        <v>1091</v>
      </c>
      <c r="L385" s="42" t="s">
        <v>1099</v>
      </c>
      <c r="M385" s="209">
        <v>2030</v>
      </c>
      <c r="N385" s="209" t="s">
        <v>1500</v>
      </c>
      <c r="O385" s="257">
        <v>16</v>
      </c>
      <c r="P385" s="238" t="str">
        <f>VLOOKUP(_xlfn.CONCAT(Table3[[#This Row],[Target area]],Table3[[#This Row],[GHG target?]],Table3[[#This Row],[Conditionality]]),'Drop down'!$E$81:$F$101,2,FALSE)</f>
        <v>T_Transport_Unc</v>
      </c>
      <c r="Q385" s="239" t="str">
        <f>VLOOKUP(Table3[[#This Row],[Target type]],Table418[[Value name]:[Value idenifyer]],2,FALSE)</f>
        <v>T_BAU</v>
      </c>
      <c r="S385" s="233" t="s">
        <v>1112</v>
      </c>
      <c r="T385" s="240"/>
      <c r="V385" s="233" t="str">
        <f>VLOOKUP(Table3[[#This Row],[Country Code]],Table29[],3,FALSE)</f>
        <v>Non-Annex I</v>
      </c>
      <c r="W385" s="233" t="str">
        <f>VLOOKUP(Table3[[#This Row],[Country Code]],Table29[],4,FALSE)</f>
        <v>Africa</v>
      </c>
      <c r="X385" s="233" t="str">
        <f>VLOOKUP(Table3[[#This Row],[Country Code]],Table29[],5,FALSE)</f>
        <v>Middle-income</v>
      </c>
      <c r="Y385" s="233" t="str">
        <f>VLOOKUP(Table3[[#This Row],[Country Code]],Table29[],6,FALSE)</f>
        <v>no</v>
      </c>
      <c r="Z385" s="233" t="str">
        <f>VLOOKUP(Table3[[#This Row],[Country Code]],Table29[],7,FALSE)</f>
        <v>no</v>
      </c>
      <c r="AA385" s="233" t="str">
        <f>VLOOKUP(Table3[[#This Row],[Country Code]],Table29[],8,FALSE)</f>
        <v>non-OECD</v>
      </c>
      <c r="AB385" s="233" t="str">
        <f>VLOOKUP(Table3[[#This Row],[Country Code]],Table29[],9,FALSE)</f>
        <v>no</v>
      </c>
      <c r="AC385" s="233" t="str">
        <f>VLOOKUP(Table3[[#This Row],[Country Code]],Table29[],10,FALSE)</f>
        <v>MENA</v>
      </c>
      <c r="AD385" s="235">
        <f>VLOOKUP(Table3[[#This Row],[Country Code]],Table29[],23,FALSE)</f>
        <v>335.96804878175999</v>
      </c>
      <c r="AE385" s="235">
        <f>VLOOKUP(Table3[[#This Row],[Country Code]],Table29[],24,FALSE)</f>
        <v>53.140796953162749</v>
      </c>
      <c r="AF385" s="219"/>
    </row>
    <row r="386" spans="1:32" ht="60" x14ac:dyDescent="0.25">
      <c r="A386" s="360">
        <v>17743</v>
      </c>
      <c r="B386" s="233" t="str">
        <f>VLOOKUP(Table3[[#This Row],[Document ID]],Table1[],2,FALSE)</f>
        <v>ESP</v>
      </c>
      <c r="C386" s="233" t="str">
        <f>VLOOKUP(Table3[[#This Row],[Document ID]],Table1[],3,FALSE)</f>
        <v>Spain</v>
      </c>
      <c r="D386" s="233" t="str">
        <f>VLOOKUP(Table3[[#This Row],[Document ID]],Table1[],5,FALSE)</f>
        <v>LTS</v>
      </c>
      <c r="E386" s="233" t="str">
        <f>VLOOKUP(Table3[[#This Row],[Document ID]],Table1[],7,FALSE)</f>
        <v>LTS</v>
      </c>
      <c r="F386" s="233" t="str">
        <f>VLOOKUP(Table3[[#This Row],[Document ID]],Table1[],8,FALSE)</f>
        <v>LTS 1.0</v>
      </c>
      <c r="G386" s="233" t="str">
        <f>VLOOKUP(Table3[[#This Row],[Document ID]],Table1[],10,FALSE)</f>
        <v>Active</v>
      </c>
      <c r="H386" s="42" t="s">
        <v>1095</v>
      </c>
      <c r="I386" s="43" t="s">
        <v>1115</v>
      </c>
      <c r="J386" s="43" t="s">
        <v>1090</v>
      </c>
      <c r="K386" s="28" t="s">
        <v>1153</v>
      </c>
      <c r="L386" s="42" t="s">
        <v>1099</v>
      </c>
      <c r="M386" s="209">
        <v>2030</v>
      </c>
      <c r="N386" s="44" t="s">
        <v>1501</v>
      </c>
      <c r="O386" s="221">
        <v>37</v>
      </c>
      <c r="P386" s="238" t="str">
        <f>VLOOKUP(_xlfn.CONCAT(Table3[[#This Row],[Target area]],Table3[[#This Row],[GHG target?]],Table3[[#This Row],[Conditionality]]),'Drop down'!$E$81:$F$101,2,FALSE)</f>
        <v>T_Transport_Unc</v>
      </c>
      <c r="Q386" s="239" t="str">
        <f>VLOOKUP(Table3[[#This Row],[Target type]],Table418[[Value name]:[Value idenifyer]],2,FALSE)</f>
        <v>T_BYE</v>
      </c>
      <c r="R386" s="233" t="s">
        <v>526</v>
      </c>
      <c r="S386" s="233" t="s">
        <v>1125</v>
      </c>
      <c r="T386" s="234" t="s">
        <v>1113</v>
      </c>
      <c r="V386" s="233" t="str">
        <f>VLOOKUP(Table3[[#This Row],[Country Code]],Table29[],3,FALSE)</f>
        <v>Annex I</v>
      </c>
      <c r="W386" s="233" t="str">
        <f>VLOOKUP(Table3[[#This Row],[Country Code]],Table29[],4,FALSE)</f>
        <v>Europe</v>
      </c>
      <c r="X386" s="233" t="str">
        <f>VLOOKUP(Table3[[#This Row],[Country Code]],Table29[],5,FALSE)</f>
        <v>High-income</v>
      </c>
      <c r="Y386" s="233" t="str">
        <f>VLOOKUP(Table3[[#This Row],[Country Code]],Table29[],6,FALSE)</f>
        <v>no</v>
      </c>
      <c r="Z386" s="233" t="str">
        <f>VLOOKUP(Table3[[#This Row],[Country Code]],Table29[],7,FALSE)</f>
        <v>no</v>
      </c>
      <c r="AA386" s="233" t="str">
        <f>VLOOKUP(Table3[[#This Row],[Country Code]],Table29[],8,FALSE)</f>
        <v>OECD</v>
      </c>
      <c r="AB386" s="233" t="str">
        <f>VLOOKUP(Table3[[#This Row],[Country Code]],Table29[],9,FALSE)</f>
        <v>EU27</v>
      </c>
      <c r="AC386" s="233" t="str">
        <f>VLOOKUP(Table3[[#This Row],[Country Code]],Table29[],10,FALSE)</f>
        <v>no</v>
      </c>
      <c r="AD386" s="235">
        <f>VLOOKUP(Table3[[#This Row],[Country Code]],Table29[],23,FALSE)</f>
        <v>285.38389989719002</v>
      </c>
      <c r="AE386" s="235">
        <f>VLOOKUP(Table3[[#This Row],[Country Code]],Table29[],24,FALSE)</f>
        <v>93.111859614661455</v>
      </c>
      <c r="AF386" s="43"/>
    </row>
    <row r="387" spans="1:32" ht="60" x14ac:dyDescent="0.25">
      <c r="A387" s="360">
        <v>17743</v>
      </c>
      <c r="B387" s="233" t="str">
        <f>VLOOKUP(Table3[[#This Row],[Document ID]],Table1[],2,FALSE)</f>
        <v>ESP</v>
      </c>
      <c r="C387" s="233" t="str">
        <f>VLOOKUP(Table3[[#This Row],[Document ID]],Table1[],3,FALSE)</f>
        <v>Spain</v>
      </c>
      <c r="D387" s="233" t="str">
        <f>VLOOKUP(Table3[[#This Row],[Document ID]],Table1[],5,FALSE)</f>
        <v>LTS</v>
      </c>
      <c r="E387" s="233" t="str">
        <f>VLOOKUP(Table3[[#This Row],[Document ID]],Table1[],7,FALSE)</f>
        <v>LTS</v>
      </c>
      <c r="F387" s="233" t="str">
        <f>VLOOKUP(Table3[[#This Row],[Document ID]],Table1[],8,FALSE)</f>
        <v>LTS 1.0</v>
      </c>
      <c r="G387" s="233" t="str">
        <f>VLOOKUP(Table3[[#This Row],[Document ID]],Table1[],10,FALSE)</f>
        <v>Active</v>
      </c>
      <c r="H387" s="42" t="s">
        <v>1095</v>
      </c>
      <c r="I387" s="42" t="s">
        <v>1096</v>
      </c>
      <c r="J387" s="42" t="s">
        <v>1097</v>
      </c>
      <c r="K387" s="28" t="s">
        <v>1223</v>
      </c>
      <c r="L387" s="42" t="s">
        <v>1099</v>
      </c>
      <c r="M387" s="209">
        <v>2030</v>
      </c>
      <c r="N387" s="44" t="s">
        <v>1502</v>
      </c>
      <c r="O387" s="221">
        <v>37</v>
      </c>
      <c r="P387" s="238" t="str">
        <f>VLOOKUP(_xlfn.CONCAT(Table3[[#This Row],[Target area]],Table3[[#This Row],[GHG target?]],Table3[[#This Row],[Conditionality]]),'Drop down'!$E$81:$F$101,2,FALSE)</f>
        <v>T_Transport_O_Unc</v>
      </c>
      <c r="Q387" s="239" t="str">
        <f>VLOOKUP(Table3[[#This Row],[Target type]],Table418[[Value name]:[Value idenifyer]],2,FALSE)</f>
        <v>T_O_REN</v>
      </c>
      <c r="S387" s="233" t="s">
        <v>1125</v>
      </c>
      <c r="T387" s="234" t="s">
        <v>1113</v>
      </c>
      <c r="V387" s="233" t="str">
        <f>VLOOKUP(Table3[[#This Row],[Country Code]],Table29[],3,FALSE)</f>
        <v>Annex I</v>
      </c>
      <c r="W387" s="233" t="str">
        <f>VLOOKUP(Table3[[#This Row],[Country Code]],Table29[],4,FALSE)</f>
        <v>Europe</v>
      </c>
      <c r="X387" s="233" t="str">
        <f>VLOOKUP(Table3[[#This Row],[Country Code]],Table29[],5,FALSE)</f>
        <v>High-income</v>
      </c>
      <c r="Y387" s="233" t="str">
        <f>VLOOKUP(Table3[[#This Row],[Country Code]],Table29[],6,FALSE)</f>
        <v>no</v>
      </c>
      <c r="Z387" s="233" t="str">
        <f>VLOOKUP(Table3[[#This Row],[Country Code]],Table29[],7,FALSE)</f>
        <v>no</v>
      </c>
      <c r="AA387" s="233" t="str">
        <f>VLOOKUP(Table3[[#This Row],[Country Code]],Table29[],8,FALSE)</f>
        <v>OECD</v>
      </c>
      <c r="AB387" s="233" t="str">
        <f>VLOOKUP(Table3[[#This Row],[Country Code]],Table29[],9,FALSE)</f>
        <v>EU27</v>
      </c>
      <c r="AC387" s="233" t="str">
        <f>VLOOKUP(Table3[[#This Row],[Country Code]],Table29[],10,FALSE)</f>
        <v>no</v>
      </c>
      <c r="AD387" s="235">
        <f>VLOOKUP(Table3[[#This Row],[Country Code]],Table29[],23,FALSE)</f>
        <v>285.38389989719002</v>
      </c>
      <c r="AE387" s="235">
        <f>VLOOKUP(Table3[[#This Row],[Country Code]],Table29[],24,FALSE)</f>
        <v>93.111859614661455</v>
      </c>
      <c r="AF387" s="43"/>
    </row>
    <row r="388" spans="1:32" x14ac:dyDescent="0.25">
      <c r="A388" s="360">
        <v>17587</v>
      </c>
      <c r="B388" s="233" t="str">
        <f>VLOOKUP(Table3[[#This Row],[Document ID]],Table1[],2,FALSE)</f>
        <v>ETH</v>
      </c>
      <c r="C388" s="233" t="str">
        <f>VLOOKUP(Table3[[#This Row],[Document ID]],Table1[],3,FALSE)</f>
        <v>Ethiopia</v>
      </c>
      <c r="D388" s="233" t="str">
        <f>VLOOKUP(Table3[[#This Row],[Document ID]],Table1[],5,FALSE)</f>
        <v>NDC</v>
      </c>
      <c r="E388" s="233" t="str">
        <f>VLOOKUP(Table3[[#This Row],[Document ID]],Table1[],7,FALSE)</f>
        <v>First NDC</v>
      </c>
      <c r="F388" s="233" t="str">
        <f>VLOOKUP(Table3[[#This Row],[Document ID]],Table1[],8,FALSE)</f>
        <v>NDC 1.0</v>
      </c>
      <c r="G388" s="233" t="str">
        <f>VLOOKUP(Table3[[#This Row],[Document ID]],Table1[],10,FALSE)</f>
        <v>Archived</v>
      </c>
      <c r="H388" s="42" t="s">
        <v>1095</v>
      </c>
      <c r="I388" s="43" t="s">
        <v>1115</v>
      </c>
      <c r="J388" s="43" t="s">
        <v>1090</v>
      </c>
      <c r="K388" s="28" t="s">
        <v>1091</v>
      </c>
      <c r="L388" s="43" t="s">
        <v>1092</v>
      </c>
      <c r="M388" s="209">
        <v>2030</v>
      </c>
      <c r="N388" s="44" t="s">
        <v>1503</v>
      </c>
      <c r="O388" s="221">
        <v>3</v>
      </c>
      <c r="P388" s="238" t="str">
        <f>VLOOKUP(_xlfn.CONCAT(Table3[[#This Row],[Target area]],Table3[[#This Row],[GHG target?]],Table3[[#This Row],[Conditionality]]),'Drop down'!$E$81:$F$101,2,FALSE)</f>
        <v>T_Transport_C</v>
      </c>
      <c r="Q388" s="239" t="str">
        <f>VLOOKUP(Table3[[#This Row],[Target type]],Table418[[Value name]:[Value idenifyer]],2,FALSE)</f>
        <v>T_BAU</v>
      </c>
      <c r="R388" s="233" t="s">
        <v>526</v>
      </c>
      <c r="S388" s="233" t="s">
        <v>1112</v>
      </c>
      <c r="T388" s="234" t="s">
        <v>1113</v>
      </c>
      <c r="V388" s="233" t="str">
        <f>VLOOKUP(Table3[[#This Row],[Country Code]],Table29[],3,FALSE)</f>
        <v>Non-Annex I</v>
      </c>
      <c r="W388" s="233" t="str">
        <f>VLOOKUP(Table3[[#This Row],[Country Code]],Table29[],4,FALSE)</f>
        <v>Africa</v>
      </c>
      <c r="X388" s="233" t="str">
        <f>VLOOKUP(Table3[[#This Row],[Country Code]],Table29[],5,FALSE)</f>
        <v>Low-income</v>
      </c>
      <c r="Y388" s="233" t="str">
        <f>VLOOKUP(Table3[[#This Row],[Country Code]],Table29[],6,FALSE)</f>
        <v>no</v>
      </c>
      <c r="Z388" s="233" t="str">
        <f>VLOOKUP(Table3[[#This Row],[Country Code]],Table29[],7,FALSE)</f>
        <v>no</v>
      </c>
      <c r="AA388" s="233" t="str">
        <f>VLOOKUP(Table3[[#This Row],[Country Code]],Table29[],8,FALSE)</f>
        <v>non-OECD</v>
      </c>
      <c r="AB388" s="233" t="str">
        <f>VLOOKUP(Table3[[#This Row],[Country Code]],Table29[],9,FALSE)</f>
        <v>no</v>
      </c>
      <c r="AC388" s="233" t="str">
        <f>VLOOKUP(Table3[[#This Row],[Country Code]],Table29[],10,FALSE)</f>
        <v>no</v>
      </c>
      <c r="AD388" s="235">
        <f>VLOOKUP(Table3[[#This Row],[Country Code]],Table29[],23,FALSE)</f>
        <v>170.03385065136999</v>
      </c>
      <c r="AE388" s="235">
        <f>VLOOKUP(Table3[[#This Row],[Country Code]],Table29[],24,FALSE)</f>
        <v>6.7537831121432941</v>
      </c>
      <c r="AF388" s="43"/>
    </row>
    <row r="389" spans="1:32" x14ac:dyDescent="0.25">
      <c r="A389" s="384">
        <v>39442</v>
      </c>
      <c r="B389" s="233" t="str">
        <f>VLOOKUP(Table3[[#This Row],[Document ID]],Table1[],2,FALSE)</f>
        <v>ETH</v>
      </c>
      <c r="C389" s="233" t="str">
        <f>VLOOKUP(Table3[[#This Row],[Document ID]],Table1[],3,FALSE)</f>
        <v>Ethiopia</v>
      </c>
      <c r="D389" s="233" t="str">
        <f>VLOOKUP(Table3[[#This Row],[Document ID]],Table1[],5,FALSE)</f>
        <v>LTS</v>
      </c>
      <c r="E389" s="233" t="str">
        <f>VLOOKUP(Table3[[#This Row],[Document ID]],Table1[],7,FALSE)</f>
        <v>LTS</v>
      </c>
      <c r="F389" s="253" t="str">
        <f>VLOOKUP(Table3[[#This Row],[Document ID]],Table1[],8,FALSE)</f>
        <v>LTS 1.0</v>
      </c>
      <c r="G389" s="233" t="str">
        <f>VLOOKUP(Table3[[#This Row],[Document ID]],Table1[],10,FALSE)</f>
        <v>Active</v>
      </c>
      <c r="H389" s="42" t="s">
        <v>1095</v>
      </c>
      <c r="I389" s="42" t="s">
        <v>1096</v>
      </c>
      <c r="J389" s="42" t="s">
        <v>1097</v>
      </c>
      <c r="K389" s="28" t="s">
        <v>1162</v>
      </c>
      <c r="L389" s="43" t="s">
        <v>1092</v>
      </c>
      <c r="M389" s="209">
        <v>2030</v>
      </c>
      <c r="N389" s="44" t="s">
        <v>1504</v>
      </c>
      <c r="O389" s="258">
        <v>26</v>
      </c>
      <c r="P389" s="238" t="str">
        <f>VLOOKUP(_xlfn.CONCAT(Table3[[#This Row],[Target area]],Table3[[#This Row],[GHG target?]],Table3[[#This Row],[Conditionality]]),'Drop down'!$E$81:$F$101,2,FALSE)</f>
        <v>T_Transport_O_C</v>
      </c>
      <c r="Q389" s="239" t="str">
        <f>VLOOKUP(Table3[[#This Row],[Target type]],Table418[[Value name]:[Value idenifyer]],2,FALSE)</f>
        <v>T_O_INFRA</v>
      </c>
      <c r="S389" s="233" t="s">
        <v>1101</v>
      </c>
      <c r="T389" s="234" t="s">
        <v>1113</v>
      </c>
      <c r="U389" s="240"/>
      <c r="V389" s="233" t="str">
        <f>VLOOKUP(Table3[[#This Row],[Country Code]],Table29[],3,FALSE)</f>
        <v>Non-Annex I</v>
      </c>
      <c r="W389" s="233" t="str">
        <f>VLOOKUP(Table3[[#This Row],[Country Code]],Table29[],4,FALSE)</f>
        <v>Africa</v>
      </c>
      <c r="X389" s="233" t="str">
        <f>VLOOKUP(Table3[[#This Row],[Country Code]],Table29[],5,FALSE)</f>
        <v>Low-income</v>
      </c>
      <c r="Y389" s="233" t="str">
        <f>VLOOKUP(Table3[[#This Row],[Country Code]],Table29[],6,FALSE)</f>
        <v>no</v>
      </c>
      <c r="Z389" s="233" t="str">
        <f>VLOOKUP(Table3[[#This Row],[Country Code]],Table29[],7,FALSE)</f>
        <v>no</v>
      </c>
      <c r="AA389" s="233" t="str">
        <f>VLOOKUP(Table3[[#This Row],[Country Code]],Table29[],8,FALSE)</f>
        <v>non-OECD</v>
      </c>
      <c r="AB389" s="233" t="str">
        <f>VLOOKUP(Table3[[#This Row],[Country Code]],Table29[],9,FALSE)</f>
        <v>no</v>
      </c>
      <c r="AC389" s="233" t="str">
        <f>VLOOKUP(Table3[[#This Row],[Country Code]],Table29[],10,FALSE)</f>
        <v>no</v>
      </c>
      <c r="AD389" s="235">
        <f>VLOOKUP(Table3[[#This Row],[Country Code]],Table29[],23,FALSE)</f>
        <v>170.03385065136999</v>
      </c>
      <c r="AE389" s="235">
        <f>VLOOKUP(Table3[[#This Row],[Country Code]],Table29[],24,FALSE)</f>
        <v>6.7537831121432941</v>
      </c>
      <c r="AF389" s="43"/>
    </row>
    <row r="390" spans="1:32" x14ac:dyDescent="0.25">
      <c r="A390" s="384">
        <v>39442</v>
      </c>
      <c r="B390" s="233" t="str">
        <f>VLOOKUP(Table3[[#This Row],[Document ID]],Table1[],2,FALSE)</f>
        <v>ETH</v>
      </c>
      <c r="C390" s="233" t="str">
        <f>VLOOKUP(Table3[[#This Row],[Document ID]],Table1[],3,FALSE)</f>
        <v>Ethiopia</v>
      </c>
      <c r="D390" s="233" t="str">
        <f>VLOOKUP(Table3[[#This Row],[Document ID]],Table1[],5,FALSE)</f>
        <v>LTS</v>
      </c>
      <c r="E390" s="233" t="str">
        <f>VLOOKUP(Table3[[#This Row],[Document ID]],Table1[],7,FALSE)</f>
        <v>LTS</v>
      </c>
      <c r="F390" s="253" t="str">
        <f>VLOOKUP(Table3[[#This Row],[Document ID]],Table1[],8,FALSE)</f>
        <v>LTS 1.0</v>
      </c>
      <c r="G390" s="233" t="str">
        <f>VLOOKUP(Table3[[#This Row],[Document ID]],Table1[],10,FALSE)</f>
        <v>Active</v>
      </c>
      <c r="H390" s="42" t="s">
        <v>1095</v>
      </c>
      <c r="I390" s="42" t="s">
        <v>1096</v>
      </c>
      <c r="J390" s="42" t="s">
        <v>1097</v>
      </c>
      <c r="K390" s="28" t="s">
        <v>1098</v>
      </c>
      <c r="L390" s="43" t="s">
        <v>1092</v>
      </c>
      <c r="M390" s="209">
        <v>2030</v>
      </c>
      <c r="N390" s="44" t="s">
        <v>1505</v>
      </c>
      <c r="O390" s="258">
        <v>26</v>
      </c>
      <c r="P390" s="238" t="str">
        <f>VLOOKUP(_xlfn.CONCAT(Table3[[#This Row],[Target area]],Table3[[#This Row],[GHG target?]],Table3[[#This Row],[Conditionality]]),'Drop down'!$E$81:$F$101,2,FALSE)</f>
        <v>T_Transport_O_C</v>
      </c>
      <c r="Q390" s="239" t="str">
        <f>VLOOKUP(Table3[[#This Row],[Target type]],Table418[[Value name]:[Value idenifyer]],2,FALSE)</f>
        <v>T_O_MODE</v>
      </c>
      <c r="S390" s="233" t="s">
        <v>1101</v>
      </c>
      <c r="T390" s="234" t="s">
        <v>1113</v>
      </c>
      <c r="U390" s="240"/>
      <c r="V390" s="233" t="str">
        <f>VLOOKUP(Table3[[#This Row],[Country Code]],Table29[],3,FALSE)</f>
        <v>Non-Annex I</v>
      </c>
      <c r="W390" s="233" t="str">
        <f>VLOOKUP(Table3[[#This Row],[Country Code]],Table29[],4,FALSE)</f>
        <v>Africa</v>
      </c>
      <c r="X390" s="233" t="str">
        <f>VLOOKUP(Table3[[#This Row],[Country Code]],Table29[],5,FALSE)</f>
        <v>Low-income</v>
      </c>
      <c r="Y390" s="233" t="str">
        <f>VLOOKUP(Table3[[#This Row],[Country Code]],Table29[],6,FALSE)</f>
        <v>no</v>
      </c>
      <c r="Z390" s="233" t="str">
        <f>VLOOKUP(Table3[[#This Row],[Country Code]],Table29[],7,FALSE)</f>
        <v>no</v>
      </c>
      <c r="AA390" s="233" t="str">
        <f>VLOOKUP(Table3[[#This Row],[Country Code]],Table29[],8,FALSE)</f>
        <v>non-OECD</v>
      </c>
      <c r="AB390" s="233" t="str">
        <f>VLOOKUP(Table3[[#This Row],[Country Code]],Table29[],9,FALSE)</f>
        <v>no</v>
      </c>
      <c r="AC390" s="233" t="str">
        <f>VLOOKUP(Table3[[#This Row],[Country Code]],Table29[],10,FALSE)</f>
        <v>no</v>
      </c>
      <c r="AD390" s="235">
        <f>VLOOKUP(Table3[[#This Row],[Country Code]],Table29[],23,FALSE)</f>
        <v>170.03385065136999</v>
      </c>
      <c r="AE390" s="235">
        <f>VLOOKUP(Table3[[#This Row],[Country Code]],Table29[],24,FALSE)</f>
        <v>6.7537831121432941</v>
      </c>
      <c r="AF390" s="43"/>
    </row>
    <row r="391" spans="1:32" x14ac:dyDescent="0.25">
      <c r="A391" s="384">
        <v>39442</v>
      </c>
      <c r="B391" s="233" t="str">
        <f>VLOOKUP(Table3[[#This Row],[Document ID]],Table1[],2,FALSE)</f>
        <v>ETH</v>
      </c>
      <c r="C391" s="233" t="str">
        <f>VLOOKUP(Table3[[#This Row],[Document ID]],Table1[],3,FALSE)</f>
        <v>Ethiopia</v>
      </c>
      <c r="D391" s="233" t="str">
        <f>VLOOKUP(Table3[[#This Row],[Document ID]],Table1[],5,FALSE)</f>
        <v>LTS</v>
      </c>
      <c r="E391" s="233" t="str">
        <f>VLOOKUP(Table3[[#This Row],[Document ID]],Table1[],7,FALSE)</f>
        <v>LTS</v>
      </c>
      <c r="F391" s="253" t="str">
        <f>VLOOKUP(Table3[[#This Row],[Document ID]],Table1[],8,FALSE)</f>
        <v>LTS 1.0</v>
      </c>
      <c r="G391" s="233" t="str">
        <f>VLOOKUP(Table3[[#This Row],[Document ID]],Table1[],10,FALSE)</f>
        <v>Active</v>
      </c>
      <c r="H391" s="42" t="s">
        <v>1095</v>
      </c>
      <c r="I391" s="42" t="s">
        <v>1096</v>
      </c>
      <c r="J391" s="42" t="s">
        <v>1097</v>
      </c>
      <c r="K391" s="28" t="s">
        <v>1098</v>
      </c>
      <c r="L391" s="43" t="s">
        <v>1092</v>
      </c>
      <c r="M391" s="209">
        <v>2030</v>
      </c>
      <c r="N391" s="44" t="s">
        <v>1506</v>
      </c>
      <c r="O391" s="258">
        <v>26</v>
      </c>
      <c r="P391" s="238" t="str">
        <f>VLOOKUP(_xlfn.CONCAT(Table3[[#This Row],[Target area]],Table3[[#This Row],[GHG target?]],Table3[[#This Row],[Conditionality]]),'Drop down'!$E$81:$F$101,2,FALSE)</f>
        <v>T_Transport_O_C</v>
      </c>
      <c r="Q391" s="239" t="str">
        <f>VLOOKUP(Table3[[#This Row],[Target type]],Table418[[Value name]:[Value idenifyer]],2,FALSE)</f>
        <v>T_O_MODE</v>
      </c>
      <c r="S391" s="233" t="s">
        <v>1101</v>
      </c>
      <c r="T391" s="234" t="s">
        <v>1113</v>
      </c>
      <c r="U391" s="240"/>
      <c r="V391" s="233" t="str">
        <f>VLOOKUP(Table3[[#This Row],[Country Code]],Table29[],3,FALSE)</f>
        <v>Non-Annex I</v>
      </c>
      <c r="W391" s="233" t="str">
        <f>VLOOKUP(Table3[[#This Row],[Country Code]],Table29[],4,FALSE)</f>
        <v>Africa</v>
      </c>
      <c r="X391" s="233" t="str">
        <f>VLOOKUP(Table3[[#This Row],[Country Code]],Table29[],5,FALSE)</f>
        <v>Low-income</v>
      </c>
      <c r="Y391" s="233" t="str">
        <f>VLOOKUP(Table3[[#This Row],[Country Code]],Table29[],6,FALSE)</f>
        <v>no</v>
      </c>
      <c r="Z391" s="233" t="str">
        <f>VLOOKUP(Table3[[#This Row],[Country Code]],Table29[],7,FALSE)</f>
        <v>no</v>
      </c>
      <c r="AA391" s="233" t="str">
        <f>VLOOKUP(Table3[[#This Row],[Country Code]],Table29[],8,FALSE)</f>
        <v>non-OECD</v>
      </c>
      <c r="AB391" s="233" t="str">
        <f>VLOOKUP(Table3[[#This Row],[Country Code]],Table29[],9,FALSE)</f>
        <v>no</v>
      </c>
      <c r="AC391" s="233" t="str">
        <f>VLOOKUP(Table3[[#This Row],[Country Code]],Table29[],10,FALSE)</f>
        <v>no</v>
      </c>
      <c r="AD391" s="235">
        <f>VLOOKUP(Table3[[#This Row],[Country Code]],Table29[],23,FALSE)</f>
        <v>170.03385065136999</v>
      </c>
      <c r="AE391" s="235">
        <f>VLOOKUP(Table3[[#This Row],[Country Code]],Table29[],24,FALSE)</f>
        <v>6.7537831121432941</v>
      </c>
      <c r="AF391" s="43"/>
    </row>
    <row r="392" spans="1:32" x14ac:dyDescent="0.25">
      <c r="A392" s="384">
        <v>39442</v>
      </c>
      <c r="B392" s="233" t="str">
        <f>VLOOKUP(Table3[[#This Row],[Document ID]],Table1[],2,FALSE)</f>
        <v>ETH</v>
      </c>
      <c r="C392" s="233" t="str">
        <f>VLOOKUP(Table3[[#This Row],[Document ID]],Table1[],3,FALSE)</f>
        <v>Ethiopia</v>
      </c>
      <c r="D392" s="233" t="str">
        <f>VLOOKUP(Table3[[#This Row],[Document ID]],Table1[],5,FALSE)</f>
        <v>LTS</v>
      </c>
      <c r="E392" s="233" t="str">
        <f>VLOOKUP(Table3[[#This Row],[Document ID]],Table1[],7,FALSE)</f>
        <v>LTS</v>
      </c>
      <c r="F392" s="253" t="str">
        <f>VLOOKUP(Table3[[#This Row],[Document ID]],Table1[],8,FALSE)</f>
        <v>LTS 1.0</v>
      </c>
      <c r="G392" s="233" t="str">
        <f>VLOOKUP(Table3[[#This Row],[Document ID]],Table1[],10,FALSE)</f>
        <v>Active</v>
      </c>
      <c r="H392" s="42" t="s">
        <v>1095</v>
      </c>
      <c r="I392" s="42" t="s">
        <v>1096</v>
      </c>
      <c r="J392" s="42" t="s">
        <v>1097</v>
      </c>
      <c r="K392" s="28" t="s">
        <v>1162</v>
      </c>
      <c r="L392" s="43" t="s">
        <v>1092</v>
      </c>
      <c r="M392" s="209">
        <v>2035</v>
      </c>
      <c r="N392" s="44" t="s">
        <v>1507</v>
      </c>
      <c r="O392" s="258">
        <v>26</v>
      </c>
      <c r="P392" s="238" t="str">
        <f>VLOOKUP(_xlfn.CONCAT(Table3[[#This Row],[Target area]],Table3[[#This Row],[GHG target?]],Table3[[#This Row],[Conditionality]]),'Drop down'!$E$81:$F$101,2,FALSE)</f>
        <v>T_Transport_O_C</v>
      </c>
      <c r="Q392" s="239" t="str">
        <f>VLOOKUP(Table3[[#This Row],[Target type]],Table418[[Value name]:[Value idenifyer]],2,FALSE)</f>
        <v>T_O_INFRA</v>
      </c>
      <c r="S392" s="233" t="s">
        <v>1101</v>
      </c>
      <c r="T392" s="234" t="s">
        <v>1113</v>
      </c>
      <c r="U392" s="240"/>
      <c r="V392" s="233" t="str">
        <f>VLOOKUP(Table3[[#This Row],[Country Code]],Table29[],3,FALSE)</f>
        <v>Non-Annex I</v>
      </c>
      <c r="W392" s="233" t="str">
        <f>VLOOKUP(Table3[[#This Row],[Country Code]],Table29[],4,FALSE)</f>
        <v>Africa</v>
      </c>
      <c r="X392" s="233" t="str">
        <f>VLOOKUP(Table3[[#This Row],[Country Code]],Table29[],5,FALSE)</f>
        <v>Low-income</v>
      </c>
      <c r="Y392" s="233" t="str">
        <f>VLOOKUP(Table3[[#This Row],[Country Code]],Table29[],6,FALSE)</f>
        <v>no</v>
      </c>
      <c r="Z392" s="233" t="str">
        <f>VLOOKUP(Table3[[#This Row],[Country Code]],Table29[],7,FALSE)</f>
        <v>no</v>
      </c>
      <c r="AA392" s="233" t="str">
        <f>VLOOKUP(Table3[[#This Row],[Country Code]],Table29[],8,FALSE)</f>
        <v>non-OECD</v>
      </c>
      <c r="AB392" s="233" t="str">
        <f>VLOOKUP(Table3[[#This Row],[Country Code]],Table29[],9,FALSE)</f>
        <v>no</v>
      </c>
      <c r="AC392" s="233" t="str">
        <f>VLOOKUP(Table3[[#This Row],[Country Code]],Table29[],10,FALSE)</f>
        <v>no</v>
      </c>
      <c r="AD392" s="235">
        <f>VLOOKUP(Table3[[#This Row],[Country Code]],Table29[],23,FALSE)</f>
        <v>170.03385065136999</v>
      </c>
      <c r="AE392" s="235">
        <f>VLOOKUP(Table3[[#This Row],[Country Code]],Table29[],24,FALSE)</f>
        <v>6.7537831121432941</v>
      </c>
      <c r="AF392" s="43"/>
    </row>
    <row r="393" spans="1:32" x14ac:dyDescent="0.25">
      <c r="A393" s="384">
        <v>39442</v>
      </c>
      <c r="B393" s="233" t="str">
        <f>VLOOKUP(Table3[[#This Row],[Document ID]],Table1[],2,FALSE)</f>
        <v>ETH</v>
      </c>
      <c r="C393" s="233" t="str">
        <f>VLOOKUP(Table3[[#This Row],[Document ID]],Table1[],3,FALSE)</f>
        <v>Ethiopia</v>
      </c>
      <c r="D393" s="233" t="str">
        <f>VLOOKUP(Table3[[#This Row],[Document ID]],Table1[],5,FALSE)</f>
        <v>LTS</v>
      </c>
      <c r="E393" s="233" t="str">
        <f>VLOOKUP(Table3[[#This Row],[Document ID]],Table1[],7,FALSE)</f>
        <v>LTS</v>
      </c>
      <c r="F393" s="253" t="str">
        <f>VLOOKUP(Table3[[#This Row],[Document ID]],Table1[],8,FALSE)</f>
        <v>LTS 1.0</v>
      </c>
      <c r="G393" s="233" t="str">
        <f>VLOOKUP(Table3[[#This Row],[Document ID]],Table1[],10,FALSE)</f>
        <v>Active</v>
      </c>
      <c r="H393" s="42" t="s">
        <v>1095</v>
      </c>
      <c r="I393" s="42" t="s">
        <v>1096</v>
      </c>
      <c r="J393" s="42" t="s">
        <v>1097</v>
      </c>
      <c r="K393" s="28" t="s">
        <v>1162</v>
      </c>
      <c r="L393" s="43" t="s">
        <v>1092</v>
      </c>
      <c r="M393" s="209">
        <v>2030</v>
      </c>
      <c r="N393" s="44" t="s">
        <v>1508</v>
      </c>
      <c r="O393" s="258">
        <v>26</v>
      </c>
      <c r="P393" s="238" t="str">
        <f>VLOOKUP(_xlfn.CONCAT(Table3[[#This Row],[Target area]],Table3[[#This Row],[GHG target?]],Table3[[#This Row],[Conditionality]]),'Drop down'!$E$81:$F$101,2,FALSE)</f>
        <v>T_Transport_O_C</v>
      </c>
      <c r="Q393" s="239" t="str">
        <f>VLOOKUP(Table3[[#This Row],[Target type]],Table418[[Value name]:[Value idenifyer]],2,FALSE)</f>
        <v>T_O_INFRA</v>
      </c>
      <c r="S393" s="233" t="s">
        <v>1101</v>
      </c>
      <c r="T393" s="234" t="s">
        <v>1113</v>
      </c>
      <c r="U393" s="240"/>
      <c r="V393" s="233" t="str">
        <f>VLOOKUP(Table3[[#This Row],[Country Code]],Table29[],3,FALSE)</f>
        <v>Non-Annex I</v>
      </c>
      <c r="W393" s="233" t="str">
        <f>VLOOKUP(Table3[[#This Row],[Country Code]],Table29[],4,FALSE)</f>
        <v>Africa</v>
      </c>
      <c r="X393" s="233" t="str">
        <f>VLOOKUP(Table3[[#This Row],[Country Code]],Table29[],5,FALSE)</f>
        <v>Low-income</v>
      </c>
      <c r="Y393" s="233" t="str">
        <f>VLOOKUP(Table3[[#This Row],[Country Code]],Table29[],6,FALSE)</f>
        <v>no</v>
      </c>
      <c r="Z393" s="233" t="str">
        <f>VLOOKUP(Table3[[#This Row],[Country Code]],Table29[],7,FALSE)</f>
        <v>no</v>
      </c>
      <c r="AA393" s="233" t="str">
        <f>VLOOKUP(Table3[[#This Row],[Country Code]],Table29[],8,FALSE)</f>
        <v>non-OECD</v>
      </c>
      <c r="AB393" s="233" t="str">
        <f>VLOOKUP(Table3[[#This Row],[Country Code]],Table29[],9,FALSE)</f>
        <v>no</v>
      </c>
      <c r="AC393" s="233" t="str">
        <f>VLOOKUP(Table3[[#This Row],[Country Code]],Table29[],10,FALSE)</f>
        <v>no</v>
      </c>
      <c r="AD393" s="235">
        <f>VLOOKUP(Table3[[#This Row],[Country Code]],Table29[],23,FALSE)</f>
        <v>170.03385065136999</v>
      </c>
      <c r="AE393" s="235">
        <f>VLOOKUP(Table3[[#This Row],[Country Code]],Table29[],24,FALSE)</f>
        <v>6.7537831121432941</v>
      </c>
      <c r="AF393" s="43"/>
    </row>
    <row r="394" spans="1:32" ht="30" x14ac:dyDescent="0.25">
      <c r="A394" s="384">
        <v>39442</v>
      </c>
      <c r="B394" s="233" t="str">
        <f>VLOOKUP(Table3[[#This Row],[Document ID]],Table1[],2,FALSE)</f>
        <v>ETH</v>
      </c>
      <c r="C394" s="233" t="str">
        <f>VLOOKUP(Table3[[#This Row],[Document ID]],Table1[],3,FALSE)</f>
        <v>Ethiopia</v>
      </c>
      <c r="D394" s="233" t="str">
        <f>VLOOKUP(Table3[[#This Row],[Document ID]],Table1[],5,FALSE)</f>
        <v>LTS</v>
      </c>
      <c r="E394" s="233" t="str">
        <f>VLOOKUP(Table3[[#This Row],[Document ID]],Table1[],7,FALSE)</f>
        <v>LTS</v>
      </c>
      <c r="F394" s="253" t="str">
        <f>VLOOKUP(Table3[[#This Row],[Document ID]],Table1[],8,FALSE)</f>
        <v>LTS 1.0</v>
      </c>
      <c r="G394" s="233" t="str">
        <f>VLOOKUP(Table3[[#This Row],[Document ID]],Table1[],10,FALSE)</f>
        <v>Active</v>
      </c>
      <c r="H394" s="42" t="s">
        <v>1095</v>
      </c>
      <c r="I394" s="42" t="s">
        <v>1096</v>
      </c>
      <c r="J394" s="42" t="s">
        <v>1097</v>
      </c>
      <c r="K394" s="28" t="s">
        <v>1137</v>
      </c>
      <c r="L394" s="43" t="s">
        <v>1092</v>
      </c>
      <c r="M394" s="209">
        <v>2030</v>
      </c>
      <c r="N394" s="44" t="s">
        <v>1509</v>
      </c>
      <c r="O394" s="258">
        <v>26</v>
      </c>
      <c r="P394" s="238" t="str">
        <f>VLOOKUP(_xlfn.CONCAT(Table3[[#This Row],[Target area]],Table3[[#This Row],[GHG target?]],Table3[[#This Row],[Conditionality]]),'Drop down'!$E$81:$F$101,2,FALSE)</f>
        <v>T_Transport_O_C</v>
      </c>
      <c r="Q394" s="239" t="str">
        <f>VLOOKUP(Table3[[#This Row],[Target type]],Table418[[Value name]:[Value idenifyer]],2,FALSE)</f>
        <v>T_O_EFF</v>
      </c>
      <c r="S394" s="233" t="s">
        <v>1101</v>
      </c>
      <c r="T394" s="234" t="s">
        <v>1113</v>
      </c>
      <c r="U394" s="240"/>
      <c r="V394" s="233" t="str">
        <f>VLOOKUP(Table3[[#This Row],[Country Code]],Table29[],3,FALSE)</f>
        <v>Non-Annex I</v>
      </c>
      <c r="W394" s="233" t="str">
        <f>VLOOKUP(Table3[[#This Row],[Country Code]],Table29[],4,FALSE)</f>
        <v>Africa</v>
      </c>
      <c r="X394" s="233" t="str">
        <f>VLOOKUP(Table3[[#This Row],[Country Code]],Table29[],5,FALSE)</f>
        <v>Low-income</v>
      </c>
      <c r="Y394" s="233" t="str">
        <f>VLOOKUP(Table3[[#This Row],[Country Code]],Table29[],6,FALSE)</f>
        <v>no</v>
      </c>
      <c r="Z394" s="233" t="str">
        <f>VLOOKUP(Table3[[#This Row],[Country Code]],Table29[],7,FALSE)</f>
        <v>no</v>
      </c>
      <c r="AA394" s="233" t="str">
        <f>VLOOKUP(Table3[[#This Row],[Country Code]],Table29[],8,FALSE)</f>
        <v>non-OECD</v>
      </c>
      <c r="AB394" s="233" t="str">
        <f>VLOOKUP(Table3[[#This Row],[Country Code]],Table29[],9,FALSE)</f>
        <v>no</v>
      </c>
      <c r="AC394" s="233" t="str">
        <f>VLOOKUP(Table3[[#This Row],[Country Code]],Table29[],10,FALSE)</f>
        <v>no</v>
      </c>
      <c r="AD394" s="235">
        <f>VLOOKUP(Table3[[#This Row],[Country Code]],Table29[],23,FALSE)</f>
        <v>170.03385065136999</v>
      </c>
      <c r="AE394" s="235">
        <f>VLOOKUP(Table3[[#This Row],[Country Code]],Table29[],24,FALSE)</f>
        <v>6.7537831121432941</v>
      </c>
      <c r="AF394" s="43"/>
    </row>
    <row r="395" spans="1:32" ht="30" x14ac:dyDescent="0.25">
      <c r="A395" s="360">
        <v>17595</v>
      </c>
      <c r="B395" s="233" t="str">
        <f>VLOOKUP(Table3[[#This Row],[Document ID]],Table1[],2,FALSE)</f>
        <v>FIN</v>
      </c>
      <c r="C395" s="233" t="str">
        <f>VLOOKUP(Table3[[#This Row],[Document ID]],Table1[],3,FALSE)</f>
        <v>Finland</v>
      </c>
      <c r="D395" s="233" t="str">
        <f>VLOOKUP(Table3[[#This Row],[Document ID]],Table1[],5,FALSE)</f>
        <v>LTS</v>
      </c>
      <c r="E395" s="233" t="str">
        <f>VLOOKUP(Table3[[#This Row],[Document ID]],Table1[],7,FALSE)</f>
        <v>LTS</v>
      </c>
      <c r="F395" s="233" t="str">
        <f>VLOOKUP(Table3[[#This Row],[Document ID]],Table1[],8,FALSE)</f>
        <v>LTS 1.0</v>
      </c>
      <c r="G395" s="233" t="str">
        <f>VLOOKUP(Table3[[#This Row],[Document ID]],Table1[],10,FALSE)</f>
        <v>Active</v>
      </c>
      <c r="H395" s="42" t="s">
        <v>1095</v>
      </c>
      <c r="I395" s="42" t="s">
        <v>1096</v>
      </c>
      <c r="J395" s="42" t="s">
        <v>1097</v>
      </c>
      <c r="K395" s="28" t="s">
        <v>1102</v>
      </c>
      <c r="L395" s="42" t="s">
        <v>1099</v>
      </c>
      <c r="M395" s="209">
        <v>2030</v>
      </c>
      <c r="N395" s="44" t="s">
        <v>1510</v>
      </c>
      <c r="O395" s="221">
        <v>9</v>
      </c>
      <c r="P395" s="238" t="str">
        <f>VLOOKUP(_xlfn.CONCAT(Table3[[#This Row],[Target area]],Table3[[#This Row],[GHG target?]],Table3[[#This Row],[Conditionality]]),'Drop down'!$E$81:$F$101,2,FALSE)</f>
        <v>T_Transport_O_Unc</v>
      </c>
      <c r="Q395" s="239" t="str">
        <f>VLOOKUP(Table3[[#This Row],[Target type]],Table418[[Value name]:[Value idenifyer]],2,FALSE)</f>
        <v>T_O_BIO</v>
      </c>
      <c r="S395" s="233" t="s">
        <v>1101</v>
      </c>
      <c r="T395" s="234" t="s">
        <v>1113</v>
      </c>
      <c r="V395" s="233" t="str">
        <f>VLOOKUP(Table3[[#This Row],[Country Code]],Table29[],3,FALSE)</f>
        <v>Annex I</v>
      </c>
      <c r="W395" s="233" t="str">
        <f>VLOOKUP(Table3[[#This Row],[Country Code]],Table29[],4,FALSE)</f>
        <v>Europe</v>
      </c>
      <c r="X395" s="233" t="str">
        <f>VLOOKUP(Table3[[#This Row],[Country Code]],Table29[],5,FALSE)</f>
        <v>High-income</v>
      </c>
      <c r="Y395" s="233" t="str">
        <f>VLOOKUP(Table3[[#This Row],[Country Code]],Table29[],6,FALSE)</f>
        <v>no</v>
      </c>
      <c r="Z395" s="233" t="str">
        <f>VLOOKUP(Table3[[#This Row],[Country Code]],Table29[],7,FALSE)</f>
        <v>no</v>
      </c>
      <c r="AA395" s="233" t="str">
        <f>VLOOKUP(Table3[[#This Row],[Country Code]],Table29[],8,FALSE)</f>
        <v>OECD</v>
      </c>
      <c r="AB395" s="233" t="str">
        <f>VLOOKUP(Table3[[#This Row],[Country Code]],Table29[],9,FALSE)</f>
        <v>EU27</v>
      </c>
      <c r="AC395" s="233" t="str">
        <f>VLOOKUP(Table3[[#This Row],[Country Code]],Table29[],10,FALSE)</f>
        <v>no</v>
      </c>
      <c r="AD395" s="235">
        <f>VLOOKUP(Table3[[#This Row],[Country Code]],Table29[],23,FALSE)</f>
        <v>43.453536797250003</v>
      </c>
      <c r="AE395" s="235">
        <f>VLOOKUP(Table3[[#This Row],[Country Code]],Table29[],24,FALSE)</f>
        <v>9.0648298110143131</v>
      </c>
      <c r="AF395" s="43"/>
    </row>
    <row r="396" spans="1:32" ht="30" x14ac:dyDescent="0.25">
      <c r="A396" s="360">
        <v>17595</v>
      </c>
      <c r="B396" s="233" t="str">
        <f>VLOOKUP(Table3[[#This Row],[Document ID]],Table1[],2,FALSE)</f>
        <v>FIN</v>
      </c>
      <c r="C396" s="233" t="str">
        <f>VLOOKUP(Table3[[#This Row],[Document ID]],Table1[],3,FALSE)</f>
        <v>Finland</v>
      </c>
      <c r="D396" s="233" t="str">
        <f>VLOOKUP(Table3[[#This Row],[Document ID]],Table1[],5,FALSE)</f>
        <v>LTS</v>
      </c>
      <c r="E396" s="233" t="str">
        <f>VLOOKUP(Table3[[#This Row],[Document ID]],Table1[],7,FALSE)</f>
        <v>LTS</v>
      </c>
      <c r="F396" s="233" t="str">
        <f>VLOOKUP(Table3[[#This Row],[Document ID]],Table1[],8,FALSE)</f>
        <v>LTS 1.0</v>
      </c>
      <c r="G396" s="233" t="str">
        <f>VLOOKUP(Table3[[#This Row],[Document ID]],Table1[],10,FALSE)</f>
        <v>Active</v>
      </c>
      <c r="H396" s="42" t="s">
        <v>1095</v>
      </c>
      <c r="I396" s="42" t="s">
        <v>1096</v>
      </c>
      <c r="J396" s="42" t="s">
        <v>1097</v>
      </c>
      <c r="K396" s="28" t="s">
        <v>1104</v>
      </c>
      <c r="L396" s="42" t="s">
        <v>1099</v>
      </c>
      <c r="M396" s="209">
        <v>2030</v>
      </c>
      <c r="N396" s="44" t="s">
        <v>1511</v>
      </c>
      <c r="O396" s="221">
        <v>9</v>
      </c>
      <c r="P396" s="238" t="str">
        <f>VLOOKUP(_xlfn.CONCAT(Table3[[#This Row],[Target area]],Table3[[#This Row],[GHG target?]],Table3[[#This Row],[Conditionality]]),'Drop down'!$E$81:$F$101,2,FALSE)</f>
        <v>T_Transport_O_Unc</v>
      </c>
      <c r="Q396" s="239" t="str">
        <f>VLOOKUP(Table3[[#This Row],[Target type]],Table418[[Value name]:[Value idenifyer]],2,FALSE)</f>
        <v>T_O_ZERO</v>
      </c>
      <c r="S396" s="233" t="s">
        <v>1101</v>
      </c>
      <c r="T396" s="234" t="s">
        <v>1113</v>
      </c>
      <c r="V396" s="233" t="str">
        <f>VLOOKUP(Table3[[#This Row],[Country Code]],Table29[],3,FALSE)</f>
        <v>Annex I</v>
      </c>
      <c r="W396" s="233" t="str">
        <f>VLOOKUP(Table3[[#This Row],[Country Code]],Table29[],4,FALSE)</f>
        <v>Europe</v>
      </c>
      <c r="X396" s="233" t="str">
        <f>VLOOKUP(Table3[[#This Row],[Country Code]],Table29[],5,FALSE)</f>
        <v>High-income</v>
      </c>
      <c r="Y396" s="233" t="str">
        <f>VLOOKUP(Table3[[#This Row],[Country Code]],Table29[],6,FALSE)</f>
        <v>no</v>
      </c>
      <c r="Z396" s="233" t="str">
        <f>VLOOKUP(Table3[[#This Row],[Country Code]],Table29[],7,FALSE)</f>
        <v>no</v>
      </c>
      <c r="AA396" s="233" t="str">
        <f>VLOOKUP(Table3[[#This Row],[Country Code]],Table29[],8,FALSE)</f>
        <v>OECD</v>
      </c>
      <c r="AB396" s="233" t="str">
        <f>VLOOKUP(Table3[[#This Row],[Country Code]],Table29[],9,FALSE)</f>
        <v>EU27</v>
      </c>
      <c r="AC396" s="233" t="str">
        <f>VLOOKUP(Table3[[#This Row],[Country Code]],Table29[],10,FALSE)</f>
        <v>no</v>
      </c>
      <c r="AD396" s="235">
        <f>VLOOKUP(Table3[[#This Row],[Country Code]],Table29[],23,FALSE)</f>
        <v>43.453536797250003</v>
      </c>
      <c r="AE396" s="235">
        <f>VLOOKUP(Table3[[#This Row],[Country Code]],Table29[],24,FALSE)</f>
        <v>9.0648298110143131</v>
      </c>
      <c r="AF396" s="43"/>
    </row>
    <row r="397" spans="1:32" x14ac:dyDescent="0.25">
      <c r="A397" s="360">
        <v>17594</v>
      </c>
      <c r="B397" s="233" t="str">
        <f>VLOOKUP(Table3[[#This Row],[Document ID]],Table1[],2,FALSE)</f>
        <v>FJI</v>
      </c>
      <c r="C397" s="233" t="str">
        <f>VLOOKUP(Table3[[#This Row],[Document ID]],Table1[],3,FALSE)</f>
        <v>Fiji</v>
      </c>
      <c r="D397" s="233" t="str">
        <f>VLOOKUP(Table3[[#This Row],[Document ID]],Table1[],5,FALSE)</f>
        <v>NDC</v>
      </c>
      <c r="E397" s="233" t="str">
        <f>VLOOKUP(Table3[[#This Row],[Document ID]],Table1[],7,FALSE)</f>
        <v>First NDC updated</v>
      </c>
      <c r="F397" s="233" t="str">
        <f>VLOOKUP(Table3[[#This Row],[Document ID]],Table1[],8,FALSE)</f>
        <v>NDC 1.1</v>
      </c>
      <c r="G397" s="233" t="str">
        <f>VLOOKUP(Table3[[#This Row],[Document ID]],Table1[],10,FALSE)</f>
        <v>Active</v>
      </c>
      <c r="H397" s="42" t="s">
        <v>1095</v>
      </c>
      <c r="I397" s="43" t="s">
        <v>1096</v>
      </c>
      <c r="J397" s="43" t="s">
        <v>1090</v>
      </c>
      <c r="K397" s="28" t="s">
        <v>1091</v>
      </c>
      <c r="L397" s="42" t="s">
        <v>1099</v>
      </c>
      <c r="M397" s="209">
        <v>2030</v>
      </c>
      <c r="N397" s="44" t="s">
        <v>1512</v>
      </c>
      <c r="O397" s="221">
        <v>4</v>
      </c>
      <c r="P397" s="238" t="str">
        <f>VLOOKUP(_xlfn.CONCAT(Table3[[#This Row],[Target area]],Table3[[#This Row],[GHG target?]],Table3[[#This Row],[Conditionality]]),'Drop down'!$E$81:$F$101,2,FALSE)</f>
        <v>T_Transport_Unc</v>
      </c>
      <c r="Q397" s="239" t="str">
        <f>VLOOKUP(Table3[[#This Row],[Target type]],Table418[[Value name]:[Value idenifyer]],2,FALSE)</f>
        <v>T_BAU</v>
      </c>
      <c r="R397" s="233" t="s">
        <v>526</v>
      </c>
      <c r="S397" s="233" t="s">
        <v>1112</v>
      </c>
      <c r="T397" s="234" t="s">
        <v>1113</v>
      </c>
      <c r="V397" s="233" t="str">
        <f>VLOOKUP(Table3[[#This Row],[Country Code]],Table29[],3,FALSE)</f>
        <v>Non-Annex I</v>
      </c>
      <c r="W397" s="233" t="str">
        <f>VLOOKUP(Table3[[#This Row],[Country Code]],Table29[],4,FALSE)</f>
        <v>Oceania</v>
      </c>
      <c r="X397" s="233" t="str">
        <f>VLOOKUP(Table3[[#This Row],[Country Code]],Table29[],5,FALSE)</f>
        <v>Middle-income</v>
      </c>
      <c r="Y397" s="233" t="str">
        <f>VLOOKUP(Table3[[#This Row],[Country Code]],Table29[],6,FALSE)</f>
        <v>no</v>
      </c>
      <c r="Z397" s="233" t="str">
        <f>VLOOKUP(Table3[[#This Row],[Country Code]],Table29[],7,FALSE)</f>
        <v>no</v>
      </c>
      <c r="AA397" s="233" t="str">
        <f>VLOOKUP(Table3[[#This Row],[Country Code]],Table29[],8,FALSE)</f>
        <v>non-OECD</v>
      </c>
      <c r="AB397" s="233" t="str">
        <f>VLOOKUP(Table3[[#This Row],[Country Code]],Table29[],9,FALSE)</f>
        <v>no</v>
      </c>
      <c r="AC397" s="233" t="str">
        <f>VLOOKUP(Table3[[#This Row],[Country Code]],Table29[],10,FALSE)</f>
        <v>no</v>
      </c>
      <c r="AD397" s="235">
        <f>VLOOKUP(Table3[[#This Row],[Country Code]],Table29[],23,FALSE)</f>
        <v>3.4009927758626</v>
      </c>
      <c r="AE397" s="235">
        <f>VLOOKUP(Table3[[#This Row],[Country Code]],Table29[],24,FALSE)</f>
        <v>1.126237744382208</v>
      </c>
      <c r="AF397" s="43"/>
    </row>
    <row r="398" spans="1:32" x14ac:dyDescent="0.25">
      <c r="A398" s="360">
        <v>17599</v>
      </c>
      <c r="B398" s="233" t="str">
        <f>VLOOKUP(Table3[[#This Row],[Document ID]],Table1[],2,FALSE)</f>
        <v>GAB</v>
      </c>
      <c r="C398" s="233" t="str">
        <f>VLOOKUP(Table3[[#This Row],[Document ID]],Table1[],3,FALSE)</f>
        <v>Gabon</v>
      </c>
      <c r="D398" s="233" t="str">
        <f>VLOOKUP(Table3[[#This Row],[Document ID]],Table1[],5,FALSE)</f>
        <v>NDC</v>
      </c>
      <c r="E398" s="233" t="str">
        <f>VLOOKUP(Table3[[#This Row],[Document ID]],Table1[],7,FALSE)</f>
        <v>First NDC</v>
      </c>
      <c r="F398" s="233" t="str">
        <f>VLOOKUP(Table3[[#This Row],[Document ID]],Table1[],8,FALSE)</f>
        <v>NDC 1.0</v>
      </c>
      <c r="G398" s="233" t="str">
        <f>VLOOKUP(Table3[[#This Row],[Document ID]],Table1[],10,FALSE)</f>
        <v>Archived</v>
      </c>
      <c r="H398" s="42" t="s">
        <v>1095</v>
      </c>
      <c r="I398" s="43" t="s">
        <v>1115</v>
      </c>
      <c r="J398" s="43" t="s">
        <v>1090</v>
      </c>
      <c r="K398" s="28" t="s">
        <v>1091</v>
      </c>
      <c r="L398" s="389" t="s">
        <v>1099</v>
      </c>
      <c r="M398" s="209">
        <v>2025</v>
      </c>
      <c r="N398" s="44" t="s">
        <v>1513</v>
      </c>
      <c r="O398" s="221">
        <v>10</v>
      </c>
      <c r="P398" s="238" t="str">
        <f>VLOOKUP(_xlfn.CONCAT(Table3[[#This Row],[Target area]],Table3[[#This Row],[GHG target?]],Table3[[#This Row],[Conditionality]]),'Drop down'!$E$81:$F$101,2,FALSE)</f>
        <v>T_Transport_Unc</v>
      </c>
      <c r="Q398" s="239" t="str">
        <f>VLOOKUP(Table3[[#This Row],[Target type]],Table418[[Value name]:[Value idenifyer]],2,FALSE)</f>
        <v>T_BAU</v>
      </c>
      <c r="R398" s="233" t="s">
        <v>526</v>
      </c>
      <c r="S398" s="233" t="s">
        <v>1112</v>
      </c>
      <c r="T398" s="234" t="s">
        <v>1113</v>
      </c>
      <c r="V398" s="233" t="str">
        <f>VLOOKUP(Table3[[#This Row],[Country Code]],Table29[],3,FALSE)</f>
        <v>Non-Annex I</v>
      </c>
      <c r="W398" s="233" t="str">
        <f>VLOOKUP(Table3[[#This Row],[Country Code]],Table29[],4,FALSE)</f>
        <v>Africa</v>
      </c>
      <c r="X398" s="233" t="str">
        <f>VLOOKUP(Table3[[#This Row],[Country Code]],Table29[],5,FALSE)</f>
        <v>Middle-income</v>
      </c>
      <c r="Y398" s="233" t="str">
        <f>VLOOKUP(Table3[[#This Row],[Country Code]],Table29[],6,FALSE)</f>
        <v>no</v>
      </c>
      <c r="Z398" s="233" t="str">
        <f>VLOOKUP(Table3[[#This Row],[Country Code]],Table29[],7,FALSE)</f>
        <v>no</v>
      </c>
      <c r="AA398" s="233" t="str">
        <f>VLOOKUP(Table3[[#This Row],[Country Code]],Table29[],8,FALSE)</f>
        <v>non-OECD</v>
      </c>
      <c r="AB398" s="233" t="str">
        <f>VLOOKUP(Table3[[#This Row],[Country Code]],Table29[],9,FALSE)</f>
        <v>no</v>
      </c>
      <c r="AC398" s="233" t="str">
        <f>VLOOKUP(Table3[[#This Row],[Country Code]],Table29[],10,FALSE)</f>
        <v>no</v>
      </c>
      <c r="AD398" s="235">
        <f>VLOOKUP(Table3[[#This Row],[Country Code]],Table29[],23,FALSE)</f>
        <v>21.402080428809001</v>
      </c>
      <c r="AE398" s="235">
        <f>VLOOKUP(Table3[[#This Row],[Country Code]],Table29[],24,FALSE)</f>
        <v>0.2169319598307908</v>
      </c>
      <c r="AF398" s="43"/>
    </row>
    <row r="399" spans="1:32" x14ac:dyDescent="0.25">
      <c r="A399" s="360">
        <v>23378</v>
      </c>
      <c r="B399" s="233" t="str">
        <f>VLOOKUP(Table3[[#This Row],[Document ID]],Table1[],2,FALSE)</f>
        <v>JOR</v>
      </c>
      <c r="C399" s="233" t="str">
        <f>VLOOKUP(Table3[[#This Row],[Document ID]],Table1[],3,FALSE)</f>
        <v>Jordan</v>
      </c>
      <c r="D399" s="233" t="str">
        <f>VLOOKUP(Table3[[#This Row],[Document ID]],Table1[],5,FALSE)</f>
        <v>NDC</v>
      </c>
      <c r="E399" s="233" t="str">
        <f>VLOOKUP(Table3[[#This Row],[Document ID]],Table1[],7,FALSE)</f>
        <v>First NDC updated</v>
      </c>
      <c r="F399" s="233" t="str">
        <f>VLOOKUP(Table3[[#This Row],[Document ID]],Table1[],8,FALSE)</f>
        <v>NDC 1.1</v>
      </c>
      <c r="G399" s="233" t="str">
        <f>VLOOKUP(Table3[[#This Row],[Document ID]],Table1[],10,FALSE)</f>
        <v>Active</v>
      </c>
      <c r="H399" s="216" t="s">
        <v>1089</v>
      </c>
      <c r="I399" s="216" t="s">
        <v>1089</v>
      </c>
      <c r="J399" s="43" t="s">
        <v>1090</v>
      </c>
      <c r="K399" s="28" t="s">
        <v>1091</v>
      </c>
      <c r="L399" s="42" t="s">
        <v>1099</v>
      </c>
      <c r="M399" s="209">
        <v>2030</v>
      </c>
      <c r="N399" s="209" t="s">
        <v>1514</v>
      </c>
      <c r="O399" s="257">
        <v>63</v>
      </c>
      <c r="P399" s="238" t="str">
        <f>VLOOKUP(_xlfn.CONCAT(Table3[[#This Row],[Target area]],Table3[[#This Row],[GHG target?]],Table3[[#This Row],[Conditionality]]),'Drop down'!$E$81:$F$101,2,FALSE)</f>
        <v>T_Economy_Unc</v>
      </c>
      <c r="Q399" s="239" t="str">
        <f>VLOOKUP(Table3[[#This Row],[Target type]],Table418[[Value name]:[Value idenifyer]],2,FALSE)</f>
        <v>T_BAU</v>
      </c>
      <c r="S399" s="233" t="s">
        <v>1101</v>
      </c>
      <c r="T399" s="240"/>
      <c r="U399" s="240"/>
      <c r="V399" s="233" t="str">
        <f>VLOOKUP(Table3[[#This Row],[Country Code]],Table29[],3,FALSE)</f>
        <v>Non-Annex I</v>
      </c>
      <c r="W399" s="233" t="str">
        <f>VLOOKUP(Table3[[#This Row],[Country Code]],Table29[],4,FALSE)</f>
        <v>Asia</v>
      </c>
      <c r="X399" s="233" t="str">
        <f>VLOOKUP(Table3[[#This Row],[Country Code]],Table29[],5,FALSE)</f>
        <v>Middle-income</v>
      </c>
      <c r="Y399" s="233" t="str">
        <f>VLOOKUP(Table3[[#This Row],[Country Code]],Table29[],6,FALSE)</f>
        <v>no</v>
      </c>
      <c r="Z399" s="233" t="str">
        <f>VLOOKUP(Table3[[#This Row],[Country Code]],Table29[],7,FALSE)</f>
        <v>no</v>
      </c>
      <c r="AA399" s="233" t="str">
        <f>VLOOKUP(Table3[[#This Row],[Country Code]],Table29[],8,FALSE)</f>
        <v>non-OECD</v>
      </c>
      <c r="AB399" s="233" t="str">
        <f>VLOOKUP(Table3[[#This Row],[Country Code]],Table29[],9,FALSE)</f>
        <v>no</v>
      </c>
      <c r="AC399" s="233" t="str">
        <f>VLOOKUP(Table3[[#This Row],[Country Code]],Table29[],10,FALSE)</f>
        <v>MENA</v>
      </c>
      <c r="AD399" s="235">
        <f>VLOOKUP(Table3[[#This Row],[Country Code]],Table29[],23,FALSE)</f>
        <v>33.407709056244002</v>
      </c>
      <c r="AE399" s="235">
        <f>VLOOKUP(Table3[[#This Row],[Country Code]],Table29[],24,FALSE)</f>
        <v>7.9780713824704446</v>
      </c>
      <c r="AF399" s="43"/>
    </row>
    <row r="400" spans="1:32" x14ac:dyDescent="0.25">
      <c r="A400" s="360">
        <v>23378</v>
      </c>
      <c r="B400" s="233" t="str">
        <f>VLOOKUP(Table3[[#This Row],[Document ID]],Table1[],2,FALSE)</f>
        <v>JOR</v>
      </c>
      <c r="C400" s="233" t="str">
        <f>VLOOKUP(Table3[[#This Row],[Document ID]],Table1[],3,FALSE)</f>
        <v>Jordan</v>
      </c>
      <c r="D400" s="233" t="str">
        <f>VLOOKUP(Table3[[#This Row],[Document ID]],Table1[],5,FALSE)</f>
        <v>NDC</v>
      </c>
      <c r="E400" s="233" t="str">
        <f>VLOOKUP(Table3[[#This Row],[Document ID]],Table1[],7,FALSE)</f>
        <v>First NDC updated</v>
      </c>
      <c r="F400" s="233" t="str">
        <f>VLOOKUP(Table3[[#This Row],[Document ID]],Table1[],8,FALSE)</f>
        <v>NDC 1.1</v>
      </c>
      <c r="G400" s="233" t="str">
        <f>VLOOKUP(Table3[[#This Row],[Document ID]],Table1[],10,FALSE)</f>
        <v>Active</v>
      </c>
      <c r="H400" s="216" t="s">
        <v>1089</v>
      </c>
      <c r="I400" s="216" t="s">
        <v>1089</v>
      </c>
      <c r="J400" s="43" t="s">
        <v>1090</v>
      </c>
      <c r="K400" s="28" t="s">
        <v>1091</v>
      </c>
      <c r="L400" s="216" t="s">
        <v>1092</v>
      </c>
      <c r="M400" s="209">
        <v>2030</v>
      </c>
      <c r="N400" s="209" t="s">
        <v>1515</v>
      </c>
      <c r="O400" s="257">
        <v>63</v>
      </c>
      <c r="P400" s="238" t="str">
        <f>VLOOKUP(_xlfn.CONCAT(Table3[[#This Row],[Target area]],Table3[[#This Row],[GHG target?]],Table3[[#This Row],[Conditionality]]),'Drop down'!$E$81:$F$101,2,FALSE)</f>
        <v>T_Economy_C</v>
      </c>
      <c r="Q400" s="239" t="str">
        <f>VLOOKUP(Table3[[#This Row],[Target type]],Table418[[Value name]:[Value idenifyer]],2,FALSE)</f>
        <v>T_BAU</v>
      </c>
      <c r="S400" s="233" t="s">
        <v>1101</v>
      </c>
      <c r="T400" s="240"/>
      <c r="U400" s="240"/>
      <c r="V400" s="233" t="str">
        <f>VLOOKUP(Table3[[#This Row],[Country Code]],Table29[],3,FALSE)</f>
        <v>Non-Annex I</v>
      </c>
      <c r="W400" s="233" t="str">
        <f>VLOOKUP(Table3[[#This Row],[Country Code]],Table29[],4,FALSE)</f>
        <v>Asia</v>
      </c>
      <c r="X400" s="233" t="str">
        <f>VLOOKUP(Table3[[#This Row],[Country Code]],Table29[],5,FALSE)</f>
        <v>Middle-income</v>
      </c>
      <c r="Y400" s="233" t="str">
        <f>VLOOKUP(Table3[[#This Row],[Country Code]],Table29[],6,FALSE)</f>
        <v>no</v>
      </c>
      <c r="Z400" s="233" t="str">
        <f>VLOOKUP(Table3[[#This Row],[Country Code]],Table29[],7,FALSE)</f>
        <v>no</v>
      </c>
      <c r="AA400" s="233" t="str">
        <f>VLOOKUP(Table3[[#This Row],[Country Code]],Table29[],8,FALSE)</f>
        <v>non-OECD</v>
      </c>
      <c r="AB400" s="233" t="str">
        <f>VLOOKUP(Table3[[#This Row],[Country Code]],Table29[],9,FALSE)</f>
        <v>no</v>
      </c>
      <c r="AC400" s="233" t="str">
        <f>VLOOKUP(Table3[[#This Row],[Country Code]],Table29[],10,FALSE)</f>
        <v>MENA</v>
      </c>
      <c r="AD400" s="235">
        <f>VLOOKUP(Table3[[#This Row],[Country Code]],Table29[],23,FALSE)</f>
        <v>33.407709056244002</v>
      </c>
      <c r="AE400" s="235">
        <f>VLOOKUP(Table3[[#This Row],[Country Code]],Table29[],24,FALSE)</f>
        <v>7.9780713824704446</v>
      </c>
      <c r="AF400" s="43"/>
    </row>
    <row r="401" spans="1:32" s="41" customFormat="1" ht="30" x14ac:dyDescent="0.25">
      <c r="A401" s="360">
        <v>26792</v>
      </c>
      <c r="B401" s="233" t="str">
        <f>VLOOKUP(Table3[[#This Row],[Document ID]],Table1[],2,FALSE)</f>
        <v>GBR</v>
      </c>
      <c r="C401" s="233" t="str">
        <f>VLOOKUP(Table3[[#This Row],[Document ID]],Table1[],3,FALSE)</f>
        <v>United Kingdom</v>
      </c>
      <c r="D401" s="233" t="str">
        <f>VLOOKUP(Table3[[#This Row],[Document ID]],Table1[],5,FALSE)</f>
        <v>LTS</v>
      </c>
      <c r="E401" s="233" t="str">
        <f>VLOOKUP(Table3[[#This Row],[Document ID]],Table1[],7,FALSE)</f>
        <v>LTS</v>
      </c>
      <c r="F401" s="233" t="str">
        <f>VLOOKUP(Table3[[#This Row],[Document ID]],Table1[],8,FALSE)</f>
        <v>LTS 1.1</v>
      </c>
      <c r="G401" s="233" t="str">
        <f>VLOOKUP(Table3[[#This Row],[Document ID]],Table1[],10,FALSE)</f>
        <v>Active</v>
      </c>
      <c r="H401" s="42" t="s">
        <v>1095</v>
      </c>
      <c r="I401" s="42" t="s">
        <v>1096</v>
      </c>
      <c r="J401" s="42" t="s">
        <v>1097</v>
      </c>
      <c r="K401" s="28" t="s">
        <v>1104</v>
      </c>
      <c r="L401" s="42" t="s">
        <v>1099</v>
      </c>
      <c r="M401" s="209">
        <v>2030</v>
      </c>
      <c r="N401" s="43" t="s">
        <v>1516</v>
      </c>
      <c r="O401" s="258">
        <v>152</v>
      </c>
      <c r="P401" s="238" t="str">
        <f>VLOOKUP(_xlfn.CONCAT(Table3[[#This Row],[Target area]],Table3[[#This Row],[GHG target?]],Table3[[#This Row],[Conditionality]]),'Drop down'!$E$81:$F$101,2,FALSE)</f>
        <v>T_Transport_O_Unc</v>
      </c>
      <c r="Q401" s="239" t="str">
        <f>VLOOKUP(Table3[[#This Row],[Target type]],Table418[[Value name]:[Value idenifyer]],2,FALSE)</f>
        <v>T_O_ZERO</v>
      </c>
      <c r="R401" s="233"/>
      <c r="S401" s="233" t="s">
        <v>1125</v>
      </c>
      <c r="T401" s="234" t="s">
        <v>1113</v>
      </c>
      <c r="U401" s="242" t="s">
        <v>1402</v>
      </c>
      <c r="V401" s="233" t="str">
        <f>VLOOKUP(Table3[[#This Row],[Country Code]],Table29[],3,FALSE)</f>
        <v>Annex I</v>
      </c>
      <c r="W401" s="233" t="str">
        <f>VLOOKUP(Table3[[#This Row],[Country Code]],Table29[],4,FALSE)</f>
        <v>Europe</v>
      </c>
      <c r="X401" s="233" t="str">
        <f>VLOOKUP(Table3[[#This Row],[Country Code]],Table29[],5,FALSE)</f>
        <v>High-income</v>
      </c>
      <c r="Y401" s="233" t="str">
        <f>VLOOKUP(Table3[[#This Row],[Country Code]],Table29[],6,FALSE)</f>
        <v>G20</v>
      </c>
      <c r="Z401" s="233" t="str">
        <f>VLOOKUP(Table3[[#This Row],[Country Code]],Table29[],7,FALSE)</f>
        <v>G7</v>
      </c>
      <c r="AA401" s="233" t="str">
        <f>VLOOKUP(Table3[[#This Row],[Country Code]],Table29[],8,FALSE)</f>
        <v>OECD</v>
      </c>
      <c r="AB401" s="233" t="str">
        <f>VLOOKUP(Table3[[#This Row],[Country Code]],Table29[],9,FALSE)</f>
        <v>no</v>
      </c>
      <c r="AC401" s="233" t="str">
        <f>VLOOKUP(Table3[[#This Row],[Country Code]],Table29[],10,FALSE)</f>
        <v>no</v>
      </c>
      <c r="AD401" s="235">
        <f>VLOOKUP(Table3[[#This Row],[Country Code]],Table29[],23,FALSE)</f>
        <v>379.31858785213001</v>
      </c>
      <c r="AE401" s="235">
        <f>VLOOKUP(Table3[[#This Row],[Country Code]],Table29[],24,FALSE)</f>
        <v>109.75048777474809</v>
      </c>
      <c r="AF401" s="43"/>
    </row>
    <row r="402" spans="1:32" x14ac:dyDescent="0.25">
      <c r="A402" s="360">
        <v>17629</v>
      </c>
      <c r="B402" s="233" t="str">
        <f>VLOOKUP(Table3[[#This Row],[Document ID]],Table1[],2,FALSE)</f>
        <v>JOR</v>
      </c>
      <c r="C402" s="233" t="str">
        <f>VLOOKUP(Table3[[#This Row],[Document ID]],Table1[],3,FALSE)</f>
        <v>Jordan</v>
      </c>
      <c r="D402" s="233" t="str">
        <f>VLOOKUP(Table3[[#This Row],[Document ID]],Table1[],5,FALSE)</f>
        <v>NDC</v>
      </c>
      <c r="E402" s="233" t="str">
        <f>VLOOKUP(Table3[[#This Row],[Document ID]],Table1[],7,FALSE)</f>
        <v>First NDC</v>
      </c>
      <c r="F402" s="233" t="str">
        <f>VLOOKUP(Table3[[#This Row],[Document ID]],Table1[],8,FALSE)</f>
        <v>NDC 1.0</v>
      </c>
      <c r="G402" s="233" t="str">
        <f>VLOOKUP(Table3[[#This Row],[Document ID]],Table1[],10,FALSE)</f>
        <v>Archived</v>
      </c>
      <c r="H402" s="216" t="s">
        <v>1089</v>
      </c>
      <c r="I402" s="216" t="s">
        <v>1089</v>
      </c>
      <c r="J402" s="43" t="s">
        <v>1090</v>
      </c>
      <c r="K402" s="28" t="s">
        <v>1091</v>
      </c>
      <c r="L402" s="42" t="s">
        <v>1099</v>
      </c>
      <c r="M402" s="209">
        <v>2030</v>
      </c>
      <c r="N402" s="176" t="s">
        <v>1517</v>
      </c>
      <c r="O402" s="258" t="s">
        <v>1094</v>
      </c>
      <c r="P402" s="238" t="str">
        <f>VLOOKUP(_xlfn.CONCAT(Table3[[#This Row],[Target area]],Table3[[#This Row],[GHG target?]],Table3[[#This Row],[Conditionality]]),'Drop down'!$E$81:$F$101,2,FALSE)</f>
        <v>T_Economy_Unc</v>
      </c>
      <c r="Q402" s="239" t="str">
        <f>VLOOKUP(Table3[[#This Row],[Target type]],Table418[[Value name]:[Value idenifyer]],2,FALSE)</f>
        <v>T_BAU</v>
      </c>
      <c r="S402" s="233" t="s">
        <v>1101</v>
      </c>
      <c r="T402" s="240"/>
      <c r="U402" s="240"/>
      <c r="V402" s="233" t="str">
        <f>VLOOKUP(Table3[[#This Row],[Country Code]],Table29[],3,FALSE)</f>
        <v>Non-Annex I</v>
      </c>
      <c r="W402" s="233" t="str">
        <f>VLOOKUP(Table3[[#This Row],[Country Code]],Table29[],4,FALSE)</f>
        <v>Asia</v>
      </c>
      <c r="X402" s="233" t="str">
        <f>VLOOKUP(Table3[[#This Row],[Country Code]],Table29[],5,FALSE)</f>
        <v>Middle-income</v>
      </c>
      <c r="Y402" s="233" t="str">
        <f>VLOOKUP(Table3[[#This Row],[Country Code]],Table29[],6,FALSE)</f>
        <v>no</v>
      </c>
      <c r="Z402" s="233" t="str">
        <f>VLOOKUP(Table3[[#This Row],[Country Code]],Table29[],7,FALSE)</f>
        <v>no</v>
      </c>
      <c r="AA402" s="233" t="str">
        <f>VLOOKUP(Table3[[#This Row],[Country Code]],Table29[],8,FALSE)</f>
        <v>non-OECD</v>
      </c>
      <c r="AB402" s="233" t="str">
        <f>VLOOKUP(Table3[[#This Row],[Country Code]],Table29[],9,FALSE)</f>
        <v>no</v>
      </c>
      <c r="AC402" s="233" t="str">
        <f>VLOOKUP(Table3[[#This Row],[Country Code]],Table29[],10,FALSE)</f>
        <v>MENA</v>
      </c>
      <c r="AD402" s="235">
        <f>VLOOKUP(Table3[[#This Row],[Country Code]],Table29[],23,FALSE)</f>
        <v>33.407709056244002</v>
      </c>
      <c r="AE402" s="235">
        <f>VLOOKUP(Table3[[#This Row],[Country Code]],Table29[],24,FALSE)</f>
        <v>7.9780713824704446</v>
      </c>
      <c r="AF402" s="43"/>
    </row>
    <row r="403" spans="1:32" x14ac:dyDescent="0.25">
      <c r="A403" s="360">
        <v>17629</v>
      </c>
      <c r="B403" s="233" t="str">
        <f>VLOOKUP(Table3[[#This Row],[Document ID]],Table1[],2,FALSE)</f>
        <v>JOR</v>
      </c>
      <c r="C403" s="233" t="str">
        <f>VLOOKUP(Table3[[#This Row],[Document ID]],Table1[],3,FALSE)</f>
        <v>Jordan</v>
      </c>
      <c r="D403" s="233" t="str">
        <f>VLOOKUP(Table3[[#This Row],[Document ID]],Table1[],5,FALSE)</f>
        <v>NDC</v>
      </c>
      <c r="E403" s="233" t="str">
        <f>VLOOKUP(Table3[[#This Row],[Document ID]],Table1[],7,FALSE)</f>
        <v>First NDC</v>
      </c>
      <c r="F403" s="233" t="str">
        <f>VLOOKUP(Table3[[#This Row],[Document ID]],Table1[],8,FALSE)</f>
        <v>NDC 1.0</v>
      </c>
      <c r="G403" s="233" t="str">
        <f>VLOOKUP(Table3[[#This Row],[Document ID]],Table1[],10,FALSE)</f>
        <v>Archived</v>
      </c>
      <c r="H403" s="216" t="s">
        <v>1089</v>
      </c>
      <c r="I403" s="216" t="s">
        <v>1089</v>
      </c>
      <c r="J403" s="43" t="s">
        <v>1090</v>
      </c>
      <c r="K403" s="28" t="s">
        <v>1091</v>
      </c>
      <c r="L403" s="216" t="s">
        <v>1092</v>
      </c>
      <c r="M403" s="209">
        <v>2030</v>
      </c>
      <c r="N403" s="176" t="s">
        <v>1518</v>
      </c>
      <c r="O403" s="258" t="s">
        <v>1094</v>
      </c>
      <c r="P403" s="238" t="str">
        <f>VLOOKUP(_xlfn.CONCAT(Table3[[#This Row],[Target area]],Table3[[#This Row],[GHG target?]],Table3[[#This Row],[Conditionality]]),'Drop down'!$E$81:$F$101,2,FALSE)</f>
        <v>T_Economy_C</v>
      </c>
      <c r="Q403" s="239" t="str">
        <f>VLOOKUP(Table3[[#This Row],[Target type]],Table418[[Value name]:[Value idenifyer]],2,FALSE)</f>
        <v>T_BAU</v>
      </c>
      <c r="S403" s="233" t="s">
        <v>1101</v>
      </c>
      <c r="T403" s="240"/>
      <c r="U403" s="240"/>
      <c r="V403" s="233" t="str">
        <f>VLOOKUP(Table3[[#This Row],[Country Code]],Table29[],3,FALSE)</f>
        <v>Non-Annex I</v>
      </c>
      <c r="W403" s="233" t="str">
        <f>VLOOKUP(Table3[[#This Row],[Country Code]],Table29[],4,FALSE)</f>
        <v>Asia</v>
      </c>
      <c r="X403" s="233" t="str">
        <f>VLOOKUP(Table3[[#This Row],[Country Code]],Table29[],5,FALSE)</f>
        <v>Middle-income</v>
      </c>
      <c r="Y403" s="233" t="str">
        <f>VLOOKUP(Table3[[#This Row],[Country Code]],Table29[],6,FALSE)</f>
        <v>no</v>
      </c>
      <c r="Z403" s="233" t="str">
        <f>VLOOKUP(Table3[[#This Row],[Country Code]],Table29[],7,FALSE)</f>
        <v>no</v>
      </c>
      <c r="AA403" s="233" t="str">
        <f>VLOOKUP(Table3[[#This Row],[Country Code]],Table29[],8,FALSE)</f>
        <v>non-OECD</v>
      </c>
      <c r="AB403" s="233" t="str">
        <f>VLOOKUP(Table3[[#This Row],[Country Code]],Table29[],9,FALSE)</f>
        <v>no</v>
      </c>
      <c r="AC403" s="233" t="str">
        <f>VLOOKUP(Table3[[#This Row],[Country Code]],Table29[],10,FALSE)</f>
        <v>MENA</v>
      </c>
      <c r="AD403" s="235">
        <f>VLOOKUP(Table3[[#This Row],[Country Code]],Table29[],23,FALSE)</f>
        <v>33.407709056244002</v>
      </c>
      <c r="AE403" s="235">
        <f>VLOOKUP(Table3[[#This Row],[Country Code]],Table29[],24,FALSE)</f>
        <v>7.9780713824704446</v>
      </c>
      <c r="AF403" s="43"/>
    </row>
    <row r="404" spans="1:32" x14ac:dyDescent="0.25">
      <c r="A404" s="360">
        <v>17630</v>
      </c>
      <c r="B404" s="233" t="str">
        <f>VLOOKUP(Table3[[#This Row],[Document ID]],Table1[],2,FALSE)</f>
        <v>KAZ</v>
      </c>
      <c r="C404" s="233" t="str">
        <f>VLOOKUP(Table3[[#This Row],[Document ID]],Table1[],3,FALSE)</f>
        <v>Kazakhstan</v>
      </c>
      <c r="D404" s="233" t="str">
        <f>VLOOKUP(Table3[[#This Row],[Document ID]],Table1[],5,FALSE)</f>
        <v>NDC</v>
      </c>
      <c r="E404" s="233" t="str">
        <f>VLOOKUP(Table3[[#This Row],[Document ID]],Table1[],7,FALSE)</f>
        <v>First NDC</v>
      </c>
      <c r="F404" s="233" t="str">
        <f>VLOOKUP(Table3[[#This Row],[Document ID]],Table1[],8,FALSE)</f>
        <v>NDC 1.0</v>
      </c>
      <c r="G404" s="233" t="str">
        <f>VLOOKUP(Table3[[#This Row],[Document ID]],Table1[],10,FALSE)</f>
        <v>Archived</v>
      </c>
      <c r="H404" s="216" t="s">
        <v>1089</v>
      </c>
      <c r="I404" s="216" t="s">
        <v>1089</v>
      </c>
      <c r="J404" s="43" t="s">
        <v>1090</v>
      </c>
      <c r="K404" s="28" t="s">
        <v>1153</v>
      </c>
      <c r="L404" s="42" t="s">
        <v>1099</v>
      </c>
      <c r="M404" s="209">
        <v>2030</v>
      </c>
      <c r="N404" s="176" t="s">
        <v>1519</v>
      </c>
      <c r="O404" s="258" t="s">
        <v>1094</v>
      </c>
      <c r="P404" s="238" t="str">
        <f>VLOOKUP(_xlfn.CONCAT(Table3[[#This Row],[Target area]],Table3[[#This Row],[GHG target?]],Table3[[#This Row],[Conditionality]]),'Drop down'!$E$81:$F$101,2,FALSE)</f>
        <v>T_Economy_Unc</v>
      </c>
      <c r="Q404" s="239" t="str">
        <f>VLOOKUP(Table3[[#This Row],[Target type]],Table418[[Value name]:[Value idenifyer]],2,FALSE)</f>
        <v>T_BYE</v>
      </c>
      <c r="T404" s="234" t="s">
        <v>1113</v>
      </c>
      <c r="U404" s="240"/>
      <c r="V404" s="233" t="str">
        <f>VLOOKUP(Table3[[#This Row],[Country Code]],Table29[],3,FALSE)</f>
        <v>Non-Annex I</v>
      </c>
      <c r="W404" s="233" t="str">
        <f>VLOOKUP(Table3[[#This Row],[Country Code]],Table29[],4,FALSE)</f>
        <v>Asia</v>
      </c>
      <c r="X404" s="233" t="str">
        <f>VLOOKUP(Table3[[#This Row],[Country Code]],Table29[],5,FALSE)</f>
        <v>Middle-income</v>
      </c>
      <c r="Y404" s="233" t="str">
        <f>VLOOKUP(Table3[[#This Row],[Country Code]],Table29[],6,FALSE)</f>
        <v>no</v>
      </c>
      <c r="Z404" s="233" t="str">
        <f>VLOOKUP(Table3[[#This Row],[Country Code]],Table29[],7,FALSE)</f>
        <v>no</v>
      </c>
      <c r="AA404" s="233" t="str">
        <f>VLOOKUP(Table3[[#This Row],[Country Code]],Table29[],8,FALSE)</f>
        <v>non-OECD</v>
      </c>
      <c r="AB404" s="233" t="str">
        <f>VLOOKUP(Table3[[#This Row],[Country Code]],Table29[],9,FALSE)</f>
        <v>no</v>
      </c>
      <c r="AC404" s="233" t="str">
        <f>VLOOKUP(Table3[[#This Row],[Country Code]],Table29[],10,FALSE)</f>
        <v>no</v>
      </c>
      <c r="AD404" s="235">
        <f>VLOOKUP(Table3[[#This Row],[Country Code]],Table29[],23,FALSE)</f>
        <v>320.34998496393001</v>
      </c>
      <c r="AE404" s="235">
        <f>VLOOKUP(Table3[[#This Row],[Country Code]],Table29[],24,FALSE)</f>
        <v>24.00450259503398</v>
      </c>
      <c r="AF404" s="43"/>
    </row>
    <row r="405" spans="1:32" x14ac:dyDescent="0.25">
      <c r="A405" s="360">
        <v>17630</v>
      </c>
      <c r="B405" s="233" t="str">
        <f>VLOOKUP(Table3[[#This Row],[Document ID]],Table1[],2,FALSE)</f>
        <v>KAZ</v>
      </c>
      <c r="C405" s="233" t="str">
        <f>VLOOKUP(Table3[[#This Row],[Document ID]],Table1[],3,FALSE)</f>
        <v>Kazakhstan</v>
      </c>
      <c r="D405" s="233" t="str">
        <f>VLOOKUP(Table3[[#This Row],[Document ID]],Table1[],5,FALSE)</f>
        <v>NDC</v>
      </c>
      <c r="E405" s="233" t="str">
        <f>VLOOKUP(Table3[[#This Row],[Document ID]],Table1[],7,FALSE)</f>
        <v>First NDC</v>
      </c>
      <c r="F405" s="233" t="str">
        <f>VLOOKUP(Table3[[#This Row],[Document ID]],Table1[],8,FALSE)</f>
        <v>NDC 1.0</v>
      </c>
      <c r="G405" s="233" t="str">
        <f>VLOOKUP(Table3[[#This Row],[Document ID]],Table1[],10,FALSE)</f>
        <v>Archived</v>
      </c>
      <c r="H405" s="216" t="s">
        <v>1089</v>
      </c>
      <c r="I405" s="216" t="s">
        <v>1089</v>
      </c>
      <c r="J405" s="43" t="s">
        <v>1090</v>
      </c>
      <c r="K405" s="28" t="s">
        <v>1153</v>
      </c>
      <c r="L405" s="216" t="s">
        <v>1092</v>
      </c>
      <c r="M405" s="209">
        <v>2030</v>
      </c>
      <c r="N405" s="176" t="s">
        <v>1520</v>
      </c>
      <c r="O405" s="258" t="s">
        <v>1094</v>
      </c>
      <c r="P405" s="238" t="str">
        <f>VLOOKUP(_xlfn.CONCAT(Table3[[#This Row],[Target area]],Table3[[#This Row],[GHG target?]],Table3[[#This Row],[Conditionality]]),'Drop down'!$E$81:$F$101,2,FALSE)</f>
        <v>T_Economy_C</v>
      </c>
      <c r="Q405" s="239" t="str">
        <f>VLOOKUP(Table3[[#This Row],[Target type]],Table418[[Value name]:[Value idenifyer]],2,FALSE)</f>
        <v>T_BYE</v>
      </c>
      <c r="T405" s="234" t="s">
        <v>1113</v>
      </c>
      <c r="U405" s="240"/>
      <c r="V405" s="233" t="str">
        <f>VLOOKUP(Table3[[#This Row],[Country Code]],Table29[],3,FALSE)</f>
        <v>Non-Annex I</v>
      </c>
      <c r="W405" s="233" t="str">
        <f>VLOOKUP(Table3[[#This Row],[Country Code]],Table29[],4,FALSE)</f>
        <v>Asia</v>
      </c>
      <c r="X405" s="233" t="str">
        <f>VLOOKUP(Table3[[#This Row],[Country Code]],Table29[],5,FALSE)</f>
        <v>Middle-income</v>
      </c>
      <c r="Y405" s="233" t="str">
        <f>VLOOKUP(Table3[[#This Row],[Country Code]],Table29[],6,FALSE)</f>
        <v>no</v>
      </c>
      <c r="Z405" s="233" t="str">
        <f>VLOOKUP(Table3[[#This Row],[Country Code]],Table29[],7,FALSE)</f>
        <v>no</v>
      </c>
      <c r="AA405" s="233" t="str">
        <f>VLOOKUP(Table3[[#This Row],[Country Code]],Table29[],8,FALSE)</f>
        <v>non-OECD</v>
      </c>
      <c r="AB405" s="233" t="str">
        <f>VLOOKUP(Table3[[#This Row],[Country Code]],Table29[],9,FALSE)</f>
        <v>no</v>
      </c>
      <c r="AC405" s="233" t="str">
        <f>VLOOKUP(Table3[[#This Row],[Country Code]],Table29[],10,FALSE)</f>
        <v>no</v>
      </c>
      <c r="AD405" s="235">
        <f>VLOOKUP(Table3[[#This Row],[Country Code]],Table29[],23,FALSE)</f>
        <v>320.34998496393001</v>
      </c>
      <c r="AE405" s="235">
        <f>VLOOKUP(Table3[[#This Row],[Country Code]],Table29[],24,FALSE)</f>
        <v>24.00450259503398</v>
      </c>
      <c r="AF405" s="43"/>
    </row>
    <row r="406" spans="1:32" x14ac:dyDescent="0.25">
      <c r="A406" s="360">
        <v>39446</v>
      </c>
      <c r="B406" s="233" t="str">
        <f>VLOOKUP(Table3[[#This Row],[Document ID]],Table1[],2,FALSE)</f>
        <v>KAZ</v>
      </c>
      <c r="C406" s="233" t="str">
        <f>VLOOKUP(Table3[[#This Row],[Document ID]],Table1[],3,FALSE)</f>
        <v>Kazakhstan</v>
      </c>
      <c r="D406" s="233" t="str">
        <f>VLOOKUP(Table3[[#This Row],[Document ID]],Table1[],5,FALSE)</f>
        <v>NDC</v>
      </c>
      <c r="E406" s="233" t="str">
        <f>VLOOKUP(Table3[[#This Row],[Document ID]],Table1[],7,FALSE)</f>
        <v>First NDC updated</v>
      </c>
      <c r="F406" s="233" t="str">
        <f>VLOOKUP(Table3[[#This Row],[Document ID]],Table1[],8,FALSE)</f>
        <v>NDC 1.1</v>
      </c>
      <c r="G406" s="233" t="str">
        <f>VLOOKUP(Table3[[#This Row],[Document ID]],Table1[],10,FALSE)</f>
        <v>Active</v>
      </c>
      <c r="H406" s="216" t="s">
        <v>1089</v>
      </c>
      <c r="I406" s="216" t="s">
        <v>1089</v>
      </c>
      <c r="J406" s="43" t="s">
        <v>1090</v>
      </c>
      <c r="K406" s="28" t="s">
        <v>1153</v>
      </c>
      <c r="L406" s="216" t="s">
        <v>1092</v>
      </c>
      <c r="M406" s="209">
        <v>2030</v>
      </c>
      <c r="N406" s="17" t="s">
        <v>1521</v>
      </c>
      <c r="O406" s="258">
        <v>4</v>
      </c>
      <c r="P406" s="238" t="str">
        <f>VLOOKUP(_xlfn.CONCAT(Table3[[#This Row],[Target area]],Table3[[#This Row],[GHG target?]],Table3[[#This Row],[Conditionality]]),'Drop down'!$E$81:$F$101,2,FALSE)</f>
        <v>T_Economy_C</v>
      </c>
      <c r="Q406" s="239" t="str">
        <f>VLOOKUP(Table3[[#This Row],[Target type]],Table418[[Value name]:[Value idenifyer]],2,FALSE)</f>
        <v>T_BYE</v>
      </c>
      <c r="T406" s="234" t="s">
        <v>1113</v>
      </c>
      <c r="U406" s="240"/>
      <c r="V406" s="233" t="str">
        <f>VLOOKUP(Table3[[#This Row],[Country Code]],Table29[],3,FALSE)</f>
        <v>Non-Annex I</v>
      </c>
      <c r="W406" s="233" t="str">
        <f>VLOOKUP(Table3[[#This Row],[Country Code]],Table29[],4,FALSE)</f>
        <v>Asia</v>
      </c>
      <c r="X406" s="233" t="str">
        <f>VLOOKUP(Table3[[#This Row],[Country Code]],Table29[],5,FALSE)</f>
        <v>Middle-income</v>
      </c>
      <c r="Y406" s="233" t="str">
        <f>VLOOKUP(Table3[[#This Row],[Country Code]],Table29[],6,FALSE)</f>
        <v>no</v>
      </c>
      <c r="Z406" s="233" t="str">
        <f>VLOOKUP(Table3[[#This Row],[Country Code]],Table29[],7,FALSE)</f>
        <v>no</v>
      </c>
      <c r="AA406" s="233" t="str">
        <f>VLOOKUP(Table3[[#This Row],[Country Code]],Table29[],8,FALSE)</f>
        <v>non-OECD</v>
      </c>
      <c r="AB406" s="233" t="str">
        <f>VLOOKUP(Table3[[#This Row],[Country Code]],Table29[],9,FALSE)</f>
        <v>no</v>
      </c>
      <c r="AC406" s="233" t="str">
        <f>VLOOKUP(Table3[[#This Row],[Country Code]],Table29[],10,FALSE)</f>
        <v>no</v>
      </c>
      <c r="AD406" s="235">
        <f>VLOOKUP(Table3[[#This Row],[Country Code]],Table29[],23,FALSE)</f>
        <v>320.34998496393001</v>
      </c>
      <c r="AE406" s="235">
        <f>VLOOKUP(Table3[[#This Row],[Country Code]],Table29[],24,FALSE)</f>
        <v>24.00450259503398</v>
      </c>
      <c r="AF406" s="43"/>
    </row>
    <row r="407" spans="1:32" x14ac:dyDescent="0.25">
      <c r="A407" s="360">
        <v>39446</v>
      </c>
      <c r="B407" s="233" t="str">
        <f>VLOOKUP(Table3[[#This Row],[Document ID]],Table1[],2,FALSE)</f>
        <v>KAZ</v>
      </c>
      <c r="C407" s="233" t="str">
        <f>VLOOKUP(Table3[[#This Row],[Document ID]],Table1[],3,FALSE)</f>
        <v>Kazakhstan</v>
      </c>
      <c r="D407" s="233" t="str">
        <f>VLOOKUP(Table3[[#This Row],[Document ID]],Table1[],5,FALSE)</f>
        <v>NDC</v>
      </c>
      <c r="E407" s="233" t="str">
        <f>VLOOKUP(Table3[[#This Row],[Document ID]],Table1[],7,FALSE)</f>
        <v>First NDC updated</v>
      </c>
      <c r="F407" s="233" t="str">
        <f>VLOOKUP(Table3[[#This Row],[Document ID]],Table1[],8,FALSE)</f>
        <v>NDC 1.1</v>
      </c>
      <c r="G407" s="233" t="str">
        <f>VLOOKUP(Table3[[#This Row],[Document ID]],Table1[],10,FALSE)</f>
        <v>Active</v>
      </c>
      <c r="H407" s="216" t="s">
        <v>1089</v>
      </c>
      <c r="I407" s="216" t="s">
        <v>1089</v>
      </c>
      <c r="J407" s="43" t="s">
        <v>1090</v>
      </c>
      <c r="K407" s="28" t="s">
        <v>1153</v>
      </c>
      <c r="L407" s="42" t="s">
        <v>1099</v>
      </c>
      <c r="M407" s="209">
        <v>2030</v>
      </c>
      <c r="N407" s="43" t="s">
        <v>1522</v>
      </c>
      <c r="O407" s="258">
        <v>4</v>
      </c>
      <c r="P407" s="238" t="str">
        <f>VLOOKUP(_xlfn.CONCAT(Table3[[#This Row],[Target area]],Table3[[#This Row],[GHG target?]],Table3[[#This Row],[Conditionality]]),'Drop down'!$E$81:$F$101,2,FALSE)</f>
        <v>T_Economy_Unc</v>
      </c>
      <c r="Q407" s="239" t="str">
        <f>VLOOKUP(Table3[[#This Row],[Target type]],Table418[[Value name]:[Value idenifyer]],2,FALSE)</f>
        <v>T_BYE</v>
      </c>
      <c r="T407" s="234" t="s">
        <v>1113</v>
      </c>
      <c r="U407" s="240"/>
      <c r="V407" s="233" t="str">
        <f>VLOOKUP(Table3[[#This Row],[Country Code]],Table29[],3,FALSE)</f>
        <v>Non-Annex I</v>
      </c>
      <c r="W407" s="233" t="str">
        <f>VLOOKUP(Table3[[#This Row],[Country Code]],Table29[],4,FALSE)</f>
        <v>Asia</v>
      </c>
      <c r="X407" s="233" t="str">
        <f>VLOOKUP(Table3[[#This Row],[Country Code]],Table29[],5,FALSE)</f>
        <v>Middle-income</v>
      </c>
      <c r="Y407" s="233" t="str">
        <f>VLOOKUP(Table3[[#This Row],[Country Code]],Table29[],6,FALSE)</f>
        <v>no</v>
      </c>
      <c r="Z407" s="233" t="str">
        <f>VLOOKUP(Table3[[#This Row],[Country Code]],Table29[],7,FALSE)</f>
        <v>no</v>
      </c>
      <c r="AA407" s="233" t="str">
        <f>VLOOKUP(Table3[[#This Row],[Country Code]],Table29[],8,FALSE)</f>
        <v>non-OECD</v>
      </c>
      <c r="AB407" s="233" t="str">
        <f>VLOOKUP(Table3[[#This Row],[Country Code]],Table29[],9,FALSE)</f>
        <v>no</v>
      </c>
      <c r="AC407" s="233" t="str">
        <f>VLOOKUP(Table3[[#This Row],[Country Code]],Table29[],10,FALSE)</f>
        <v>no</v>
      </c>
      <c r="AD407" s="235">
        <f>VLOOKUP(Table3[[#This Row],[Country Code]],Table29[],23,FALSE)</f>
        <v>320.34998496393001</v>
      </c>
      <c r="AE407" s="235">
        <f>VLOOKUP(Table3[[#This Row],[Country Code]],Table29[],24,FALSE)</f>
        <v>24.00450259503398</v>
      </c>
      <c r="AF407" s="43"/>
    </row>
    <row r="408" spans="1:32" x14ac:dyDescent="0.25">
      <c r="A408" s="360">
        <v>39446</v>
      </c>
      <c r="B408" s="233" t="str">
        <f>VLOOKUP(Table3[[#This Row],[Document ID]],Table1[],2,FALSE)</f>
        <v>KAZ</v>
      </c>
      <c r="C408" s="233" t="str">
        <f>VLOOKUP(Table3[[#This Row],[Document ID]],Table1[],3,FALSE)</f>
        <v>Kazakhstan</v>
      </c>
      <c r="D408" s="233" t="str">
        <f>VLOOKUP(Table3[[#This Row],[Document ID]],Table1[],5,FALSE)</f>
        <v>NDC</v>
      </c>
      <c r="E408" s="233" t="str">
        <f>VLOOKUP(Table3[[#This Row],[Document ID]],Table1[],7,FALSE)</f>
        <v>First NDC updated</v>
      </c>
      <c r="F408" s="233" t="str">
        <f>VLOOKUP(Table3[[#This Row],[Document ID]],Table1[],8,FALSE)</f>
        <v>NDC 1.1</v>
      </c>
      <c r="G408" s="233" t="str">
        <f>VLOOKUP(Table3[[#This Row],[Document ID]],Table1[],10,FALSE)</f>
        <v>Active</v>
      </c>
      <c r="H408" s="43" t="s">
        <v>1114</v>
      </c>
      <c r="I408" s="43" t="s">
        <v>1115</v>
      </c>
      <c r="J408" s="42" t="s">
        <v>1097</v>
      </c>
      <c r="K408" s="28" t="s">
        <v>1118</v>
      </c>
      <c r="L408" s="43" t="s">
        <v>1116</v>
      </c>
      <c r="M408" s="209">
        <v>2050</v>
      </c>
      <c r="N408" s="43" t="s">
        <v>1523</v>
      </c>
      <c r="O408" s="258">
        <v>5</v>
      </c>
      <c r="P408" s="238" t="str">
        <f>VLOOKUP(_xlfn.CONCAT(Table3[[#This Row],[Target area]],Table3[[#This Row],[GHG target?]],Table3[[#This Row],[Conditionality]]),'Drop down'!$E$81:$F$101,2,FALSE)</f>
        <v>T_Energy_O</v>
      </c>
      <c r="Q408" s="239" t="str">
        <f>VLOOKUP(Table3[[#This Row],[Target type]],Table418[[Value name]:[Value idenifyer]],2,FALSE)</f>
        <v>T_E_REN</v>
      </c>
      <c r="T408" s="234" t="s">
        <v>1113</v>
      </c>
      <c r="U408" s="240"/>
      <c r="V408" s="233" t="str">
        <f>VLOOKUP(Table3[[#This Row],[Country Code]],Table29[],3,FALSE)</f>
        <v>Non-Annex I</v>
      </c>
      <c r="W408" s="233" t="str">
        <f>VLOOKUP(Table3[[#This Row],[Country Code]],Table29[],4,FALSE)</f>
        <v>Asia</v>
      </c>
      <c r="X408" s="233" t="str">
        <f>VLOOKUP(Table3[[#This Row],[Country Code]],Table29[],5,FALSE)</f>
        <v>Middle-income</v>
      </c>
      <c r="Y408" s="233" t="str">
        <f>VLOOKUP(Table3[[#This Row],[Country Code]],Table29[],6,FALSE)</f>
        <v>no</v>
      </c>
      <c r="Z408" s="233" t="str">
        <f>VLOOKUP(Table3[[#This Row],[Country Code]],Table29[],7,FALSE)</f>
        <v>no</v>
      </c>
      <c r="AA408" s="233" t="str">
        <f>VLOOKUP(Table3[[#This Row],[Country Code]],Table29[],8,FALSE)</f>
        <v>non-OECD</v>
      </c>
      <c r="AB408" s="233" t="str">
        <f>VLOOKUP(Table3[[#This Row],[Country Code]],Table29[],9,FALSE)</f>
        <v>no</v>
      </c>
      <c r="AC408" s="233" t="str">
        <f>VLOOKUP(Table3[[#This Row],[Country Code]],Table29[],10,FALSE)</f>
        <v>no</v>
      </c>
      <c r="AD408" s="235">
        <f>VLOOKUP(Table3[[#This Row],[Country Code]],Table29[],23,FALSE)</f>
        <v>320.34998496393001</v>
      </c>
      <c r="AE408" s="235">
        <f>VLOOKUP(Table3[[#This Row],[Country Code]],Table29[],24,FALSE)</f>
        <v>24.00450259503398</v>
      </c>
      <c r="AF408" s="43"/>
    </row>
    <row r="409" spans="1:32" x14ac:dyDescent="0.25">
      <c r="A409" s="360">
        <v>17632</v>
      </c>
      <c r="B409" s="233" t="str">
        <f>VLOOKUP(Table3[[#This Row],[Document ID]],Table1[],2,FALSE)</f>
        <v>KEN</v>
      </c>
      <c r="C409" s="233" t="str">
        <f>VLOOKUP(Table3[[#This Row],[Document ID]],Table1[],3,FALSE)</f>
        <v>Kenya</v>
      </c>
      <c r="D409" s="233" t="str">
        <f>VLOOKUP(Table3[[#This Row],[Document ID]],Table1[],5,FALSE)</f>
        <v>NDC</v>
      </c>
      <c r="E409" s="233" t="str">
        <f>VLOOKUP(Table3[[#This Row],[Document ID]],Table1[],7,FALSE)</f>
        <v>First NDC updated</v>
      </c>
      <c r="F409" s="233" t="str">
        <f>VLOOKUP(Table3[[#This Row],[Document ID]],Table1[],8,FALSE)</f>
        <v>NDC 1.1</v>
      </c>
      <c r="G409" s="233" t="str">
        <f>VLOOKUP(Table3[[#This Row],[Document ID]],Table1[],10,FALSE)</f>
        <v>Active</v>
      </c>
      <c r="H409" s="216" t="s">
        <v>1089</v>
      </c>
      <c r="I409" s="216" t="s">
        <v>1089</v>
      </c>
      <c r="J409" s="43" t="s">
        <v>1090</v>
      </c>
      <c r="K409" s="28" t="s">
        <v>1091</v>
      </c>
      <c r="L409" s="42" t="s">
        <v>1099</v>
      </c>
      <c r="M409" s="209">
        <v>2030</v>
      </c>
      <c r="N409" s="44" t="s">
        <v>1524</v>
      </c>
      <c r="O409" s="221">
        <v>8</v>
      </c>
      <c r="P409" s="238" t="str">
        <f>VLOOKUP(_xlfn.CONCAT(Table3[[#This Row],[Target area]],Table3[[#This Row],[GHG target?]],Table3[[#This Row],[Conditionality]]),'Drop down'!$E$81:$F$101,2,FALSE)</f>
        <v>T_Economy_Unc</v>
      </c>
      <c r="Q409" s="239" t="str">
        <f>VLOOKUP(Table3[[#This Row],[Target type]],Table418[[Value name]:[Value idenifyer]],2,FALSE)</f>
        <v>T_BAU</v>
      </c>
      <c r="V409" s="233" t="str">
        <f>VLOOKUP(Table3[[#This Row],[Country Code]],Table29[],3,FALSE)</f>
        <v>Non-Annex I</v>
      </c>
      <c r="W409" s="233" t="str">
        <f>VLOOKUP(Table3[[#This Row],[Country Code]],Table29[],4,FALSE)</f>
        <v>Africa</v>
      </c>
      <c r="X409" s="233" t="str">
        <f>VLOOKUP(Table3[[#This Row],[Country Code]],Table29[],5,FALSE)</f>
        <v>Middle-income</v>
      </c>
      <c r="Y409" s="233" t="str">
        <f>VLOOKUP(Table3[[#This Row],[Country Code]],Table29[],6,FALSE)</f>
        <v>no</v>
      </c>
      <c r="Z409" s="233" t="str">
        <f>VLOOKUP(Table3[[#This Row],[Country Code]],Table29[],7,FALSE)</f>
        <v>no</v>
      </c>
      <c r="AA409" s="233" t="str">
        <f>VLOOKUP(Table3[[#This Row],[Country Code]],Table29[],8,FALSE)</f>
        <v>non-OECD</v>
      </c>
      <c r="AB409" s="233" t="str">
        <f>VLOOKUP(Table3[[#This Row],[Country Code]],Table29[],9,FALSE)</f>
        <v>no</v>
      </c>
      <c r="AC409" s="233" t="str">
        <f>VLOOKUP(Table3[[#This Row],[Country Code]],Table29[],10,FALSE)</f>
        <v>no</v>
      </c>
      <c r="AD409" s="235">
        <f>VLOOKUP(Table3[[#This Row],[Country Code]],Table29[],23,FALSE)</f>
        <v>107.97690921511</v>
      </c>
      <c r="AE409" s="235">
        <f>VLOOKUP(Table3[[#This Row],[Country Code]],Table29[],24,FALSE)</f>
        <v>10.8093492744944</v>
      </c>
      <c r="AF409" s="43"/>
    </row>
    <row r="410" spans="1:32" ht="30" x14ac:dyDescent="0.25">
      <c r="A410" s="360">
        <v>17632</v>
      </c>
      <c r="B410" s="233" t="str">
        <f>VLOOKUP(Table3[[#This Row],[Document ID]],Table1[],2,FALSE)</f>
        <v>KEN</v>
      </c>
      <c r="C410" s="233" t="str">
        <f>VLOOKUP(Table3[[#This Row],[Document ID]],Table1[],3,FALSE)</f>
        <v>Kenya</v>
      </c>
      <c r="D410" s="233" t="str">
        <f>VLOOKUP(Table3[[#This Row],[Document ID]],Table1[],5,FALSE)</f>
        <v>NDC</v>
      </c>
      <c r="E410" s="233" t="str">
        <f>VLOOKUP(Table3[[#This Row],[Document ID]],Table1[],7,FALSE)</f>
        <v>First NDC updated</v>
      </c>
      <c r="F410" s="233" t="str">
        <f>VLOOKUP(Table3[[#This Row],[Document ID]],Table1[],8,FALSE)</f>
        <v>NDC 1.1</v>
      </c>
      <c r="G410" s="233" t="str">
        <f>VLOOKUP(Table3[[#This Row],[Document ID]],Table1[],10,FALSE)</f>
        <v>Active</v>
      </c>
      <c r="H410" s="43" t="s">
        <v>1139</v>
      </c>
      <c r="I410" s="43" t="s">
        <v>1096</v>
      </c>
      <c r="J410" s="42" t="s">
        <v>1097</v>
      </c>
      <c r="K410" s="28" t="s">
        <v>1140</v>
      </c>
      <c r="L410" s="42" t="s">
        <v>1099</v>
      </c>
      <c r="M410" s="209">
        <v>2030</v>
      </c>
      <c r="N410" s="44" t="s">
        <v>1525</v>
      </c>
      <c r="O410" s="258">
        <v>15</v>
      </c>
      <c r="P410" s="238" t="str">
        <f>VLOOKUP(_xlfn.CONCAT(Table3[[#This Row],[Target area]],Table3[[#This Row],[GHG target?]],Table3[[#This Row],[Conditionality]]),'Drop down'!$E$81:$F$101,2,FALSE)</f>
        <v>T_Adaptation_Unc</v>
      </c>
      <c r="Q410" s="239" t="str">
        <f>VLOOKUP(Table3[[#This Row],[Target type]],Table418[[Value name]:[Value idenifyer]],2,FALSE)</f>
        <v>T_A_GEN</v>
      </c>
      <c r="V410" s="233" t="str">
        <f>VLOOKUP(Table3[[#This Row],[Country Code]],Table29[],3,FALSE)</f>
        <v>Non-Annex I</v>
      </c>
      <c r="W410" s="233" t="str">
        <f>VLOOKUP(Table3[[#This Row],[Country Code]],Table29[],4,FALSE)</f>
        <v>Africa</v>
      </c>
      <c r="X410" s="233" t="str">
        <f>VLOOKUP(Table3[[#This Row],[Country Code]],Table29[],5,FALSE)</f>
        <v>Middle-income</v>
      </c>
      <c r="Y410" s="233" t="str">
        <f>VLOOKUP(Table3[[#This Row],[Country Code]],Table29[],6,FALSE)</f>
        <v>no</v>
      </c>
      <c r="Z410" s="233" t="str">
        <f>VLOOKUP(Table3[[#This Row],[Country Code]],Table29[],7,FALSE)</f>
        <v>no</v>
      </c>
      <c r="AA410" s="233" t="str">
        <f>VLOOKUP(Table3[[#This Row],[Country Code]],Table29[],8,FALSE)</f>
        <v>non-OECD</v>
      </c>
      <c r="AB410" s="233" t="str">
        <f>VLOOKUP(Table3[[#This Row],[Country Code]],Table29[],9,FALSE)</f>
        <v>no</v>
      </c>
      <c r="AC410" s="233" t="str">
        <f>VLOOKUP(Table3[[#This Row],[Country Code]],Table29[],10,FALSE)</f>
        <v>no</v>
      </c>
      <c r="AD410" s="235">
        <f>VLOOKUP(Table3[[#This Row],[Country Code]],Table29[],23,FALSE)</f>
        <v>107.97690921511</v>
      </c>
      <c r="AE410" s="235">
        <f>VLOOKUP(Table3[[#This Row],[Country Code]],Table29[],24,FALSE)</f>
        <v>10.8093492744944</v>
      </c>
      <c r="AF410" s="43"/>
    </row>
    <row r="411" spans="1:32" x14ac:dyDescent="0.25">
      <c r="A411" s="360">
        <v>17631</v>
      </c>
      <c r="B411" s="233" t="str">
        <f>VLOOKUP(Table3[[#This Row],[Document ID]],Table1[],2,FALSE)</f>
        <v>KEN</v>
      </c>
      <c r="C411" s="233" t="str">
        <f>VLOOKUP(Table3[[#This Row],[Document ID]],Table1[],3,FALSE)</f>
        <v>Kenya</v>
      </c>
      <c r="D411" s="233" t="str">
        <f>VLOOKUP(Table3[[#This Row],[Document ID]],Table1[],5,FALSE)</f>
        <v>NDC</v>
      </c>
      <c r="E411" s="233" t="str">
        <f>VLOOKUP(Table3[[#This Row],[Document ID]],Table1[],7,FALSE)</f>
        <v>First NDC</v>
      </c>
      <c r="F411" s="233" t="str">
        <f>VLOOKUP(Table3[[#This Row],[Document ID]],Table1[],8,FALSE)</f>
        <v>NDC 1.0</v>
      </c>
      <c r="G411" s="233" t="str">
        <f>VLOOKUP(Table3[[#This Row],[Document ID]],Table1[],10,FALSE)</f>
        <v>Archived</v>
      </c>
      <c r="H411" s="216" t="s">
        <v>1089</v>
      </c>
      <c r="I411" s="216" t="s">
        <v>1089</v>
      </c>
      <c r="J411" s="43" t="s">
        <v>1090</v>
      </c>
      <c r="K411" s="28" t="s">
        <v>1091</v>
      </c>
      <c r="L411" s="216" t="s">
        <v>1092</v>
      </c>
      <c r="M411" s="209">
        <v>2030</v>
      </c>
      <c r="N411" s="176" t="s">
        <v>1526</v>
      </c>
      <c r="O411" s="258" t="s">
        <v>1094</v>
      </c>
      <c r="P411" s="238" t="str">
        <f>VLOOKUP(_xlfn.CONCAT(Table3[[#This Row],[Target area]],Table3[[#This Row],[GHG target?]],Table3[[#This Row],[Conditionality]]),'Drop down'!$E$81:$F$101,2,FALSE)</f>
        <v>T_Economy_C</v>
      </c>
      <c r="Q411" s="239" t="str">
        <f>VLOOKUP(Table3[[#This Row],[Target type]],Table418[[Value name]:[Value idenifyer]],2,FALSE)</f>
        <v>T_BAU</v>
      </c>
      <c r="V411" s="233" t="str">
        <f>VLOOKUP(Table3[[#This Row],[Country Code]],Table29[],3,FALSE)</f>
        <v>Non-Annex I</v>
      </c>
      <c r="W411" s="233" t="str">
        <f>VLOOKUP(Table3[[#This Row],[Country Code]],Table29[],4,FALSE)</f>
        <v>Africa</v>
      </c>
      <c r="X411" s="233" t="str">
        <f>VLOOKUP(Table3[[#This Row],[Country Code]],Table29[],5,FALSE)</f>
        <v>Middle-income</v>
      </c>
      <c r="Y411" s="233" t="str">
        <f>VLOOKUP(Table3[[#This Row],[Country Code]],Table29[],6,FALSE)</f>
        <v>no</v>
      </c>
      <c r="Z411" s="233" t="str">
        <f>VLOOKUP(Table3[[#This Row],[Country Code]],Table29[],7,FALSE)</f>
        <v>no</v>
      </c>
      <c r="AA411" s="233" t="str">
        <f>VLOOKUP(Table3[[#This Row],[Country Code]],Table29[],8,FALSE)</f>
        <v>non-OECD</v>
      </c>
      <c r="AB411" s="233" t="str">
        <f>VLOOKUP(Table3[[#This Row],[Country Code]],Table29[],9,FALSE)</f>
        <v>no</v>
      </c>
      <c r="AC411" s="233" t="str">
        <f>VLOOKUP(Table3[[#This Row],[Country Code]],Table29[],10,FALSE)</f>
        <v>no</v>
      </c>
      <c r="AD411" s="235">
        <f>VLOOKUP(Table3[[#This Row],[Country Code]],Table29[],23,FALSE)</f>
        <v>107.97690921511</v>
      </c>
      <c r="AE411" s="235">
        <f>VLOOKUP(Table3[[#This Row],[Country Code]],Table29[],24,FALSE)</f>
        <v>10.8093492744944</v>
      </c>
      <c r="AF411" s="43"/>
    </row>
    <row r="412" spans="1:32" x14ac:dyDescent="0.25">
      <c r="A412" s="360">
        <v>17633</v>
      </c>
      <c r="B412" s="233" t="str">
        <f>VLOOKUP(Table3[[#This Row],[Document ID]],Table1[],2,FALSE)</f>
        <v>KIR</v>
      </c>
      <c r="C412" s="233" t="str">
        <f>VLOOKUP(Table3[[#This Row],[Document ID]],Table1[],3,FALSE)</f>
        <v>Kiribati</v>
      </c>
      <c r="D412" s="233" t="str">
        <f>VLOOKUP(Table3[[#This Row],[Document ID]],Table1[],5,FALSE)</f>
        <v>NDC</v>
      </c>
      <c r="E412" s="233" t="str">
        <f>VLOOKUP(Table3[[#This Row],[Document ID]],Table1[],7,FALSE)</f>
        <v>First NDC</v>
      </c>
      <c r="F412" s="233" t="str">
        <f>VLOOKUP(Table3[[#This Row],[Document ID]],Table1[],8,FALSE)</f>
        <v>NDC 1.0</v>
      </c>
      <c r="G412" s="233" t="str">
        <f>VLOOKUP(Table3[[#This Row],[Document ID]],Table1[],10,FALSE)</f>
        <v>Archived</v>
      </c>
      <c r="H412" s="216" t="s">
        <v>1089</v>
      </c>
      <c r="I412" s="216" t="s">
        <v>1089</v>
      </c>
      <c r="J412" s="43" t="s">
        <v>1090</v>
      </c>
      <c r="K412" s="28" t="s">
        <v>1091</v>
      </c>
      <c r="L412" s="42" t="s">
        <v>1099</v>
      </c>
      <c r="M412" s="209">
        <v>2030</v>
      </c>
      <c r="N412" s="176" t="s">
        <v>1527</v>
      </c>
      <c r="O412" s="258">
        <v>6</v>
      </c>
      <c r="P412" s="238" t="str">
        <f>VLOOKUP(_xlfn.CONCAT(Table3[[#This Row],[Target area]],Table3[[#This Row],[GHG target?]],Table3[[#This Row],[Conditionality]]),'Drop down'!$E$81:$F$101,2,FALSE)</f>
        <v>T_Economy_Unc</v>
      </c>
      <c r="Q412" s="239" t="str">
        <f>VLOOKUP(Table3[[#This Row],[Target type]],Table418[[Value name]:[Value idenifyer]],2,FALSE)</f>
        <v>T_BAU</v>
      </c>
      <c r="V412" s="233" t="str">
        <f>VLOOKUP(Table3[[#This Row],[Country Code]],Table29[],3,FALSE)</f>
        <v>Non-Annex I</v>
      </c>
      <c r="W412" s="233" t="str">
        <f>VLOOKUP(Table3[[#This Row],[Country Code]],Table29[],4,FALSE)</f>
        <v>Oceania</v>
      </c>
      <c r="X412" s="233" t="str">
        <f>VLOOKUP(Table3[[#This Row],[Country Code]],Table29[],5,FALSE)</f>
        <v>Middle-income</v>
      </c>
      <c r="Y412" s="233" t="str">
        <f>VLOOKUP(Table3[[#This Row],[Country Code]],Table29[],6,FALSE)</f>
        <v>no</v>
      </c>
      <c r="Z412" s="233" t="str">
        <f>VLOOKUP(Table3[[#This Row],[Country Code]],Table29[],7,FALSE)</f>
        <v>no</v>
      </c>
      <c r="AA412" s="233" t="str">
        <f>VLOOKUP(Table3[[#This Row],[Country Code]],Table29[],8,FALSE)</f>
        <v>non-OECD</v>
      </c>
      <c r="AB412" s="233" t="str">
        <f>VLOOKUP(Table3[[#This Row],[Country Code]],Table29[],9,FALSE)</f>
        <v>no</v>
      </c>
      <c r="AC412" s="233" t="str">
        <f>VLOOKUP(Table3[[#This Row],[Country Code]],Table29[],10,FALSE)</f>
        <v>no</v>
      </c>
      <c r="AD412" s="235">
        <f>VLOOKUP(Table3[[#This Row],[Country Code]],Table29[],23,FALSE)</f>
        <v>0.13017626101136001</v>
      </c>
      <c r="AE412" s="235">
        <f>VLOOKUP(Table3[[#This Row],[Country Code]],Table29[],24,FALSE)</f>
        <v>5.0508932626793582E-2</v>
      </c>
      <c r="AF412" s="43"/>
    </row>
    <row r="413" spans="1:32" x14ac:dyDescent="0.25">
      <c r="A413" s="360">
        <v>17633</v>
      </c>
      <c r="B413" s="233" t="str">
        <f>VLOOKUP(Table3[[#This Row],[Document ID]],Table1[],2,FALSE)</f>
        <v>KIR</v>
      </c>
      <c r="C413" s="233" t="str">
        <f>VLOOKUP(Table3[[#This Row],[Document ID]],Table1[],3,FALSE)</f>
        <v>Kiribati</v>
      </c>
      <c r="D413" s="233" t="str">
        <f>VLOOKUP(Table3[[#This Row],[Document ID]],Table1[],5,FALSE)</f>
        <v>NDC</v>
      </c>
      <c r="E413" s="233" t="str">
        <f>VLOOKUP(Table3[[#This Row],[Document ID]],Table1[],7,FALSE)</f>
        <v>First NDC</v>
      </c>
      <c r="F413" s="233" t="str">
        <f>VLOOKUP(Table3[[#This Row],[Document ID]],Table1[],8,FALSE)</f>
        <v>NDC 1.0</v>
      </c>
      <c r="G413" s="233" t="str">
        <f>VLOOKUP(Table3[[#This Row],[Document ID]],Table1[],10,FALSE)</f>
        <v>Archived</v>
      </c>
      <c r="H413" s="216" t="s">
        <v>1089</v>
      </c>
      <c r="I413" s="216" t="s">
        <v>1089</v>
      </c>
      <c r="J413" s="43" t="s">
        <v>1090</v>
      </c>
      <c r="K413" s="28" t="s">
        <v>1091</v>
      </c>
      <c r="L413" s="216" t="s">
        <v>1092</v>
      </c>
      <c r="M413" s="209">
        <v>2030</v>
      </c>
      <c r="N413" s="176" t="s">
        <v>1528</v>
      </c>
      <c r="O413" s="258" t="s">
        <v>1094</v>
      </c>
      <c r="P413" s="238" t="str">
        <f>VLOOKUP(_xlfn.CONCAT(Table3[[#This Row],[Target area]],Table3[[#This Row],[GHG target?]],Table3[[#This Row],[Conditionality]]),'Drop down'!$E$81:$F$101,2,FALSE)</f>
        <v>T_Economy_C</v>
      </c>
      <c r="Q413" s="239" t="str">
        <f>VLOOKUP(Table3[[#This Row],[Target type]],Table418[[Value name]:[Value idenifyer]],2,FALSE)</f>
        <v>T_BAU</v>
      </c>
      <c r="V413" s="233" t="str">
        <f>VLOOKUP(Table3[[#This Row],[Country Code]],Table29[],3,FALSE)</f>
        <v>Non-Annex I</v>
      </c>
      <c r="W413" s="233" t="str">
        <f>VLOOKUP(Table3[[#This Row],[Country Code]],Table29[],4,FALSE)</f>
        <v>Oceania</v>
      </c>
      <c r="X413" s="233" t="str">
        <f>VLOOKUP(Table3[[#This Row],[Country Code]],Table29[],5,FALSE)</f>
        <v>Middle-income</v>
      </c>
      <c r="Y413" s="233" t="str">
        <f>VLOOKUP(Table3[[#This Row],[Country Code]],Table29[],6,FALSE)</f>
        <v>no</v>
      </c>
      <c r="Z413" s="233" t="str">
        <f>VLOOKUP(Table3[[#This Row],[Country Code]],Table29[],7,FALSE)</f>
        <v>no</v>
      </c>
      <c r="AA413" s="233" t="str">
        <f>VLOOKUP(Table3[[#This Row],[Country Code]],Table29[],8,FALSE)</f>
        <v>non-OECD</v>
      </c>
      <c r="AB413" s="233" t="str">
        <f>VLOOKUP(Table3[[#This Row],[Country Code]],Table29[],9,FALSE)</f>
        <v>no</v>
      </c>
      <c r="AC413" s="233" t="str">
        <f>VLOOKUP(Table3[[#This Row],[Country Code]],Table29[],10,FALSE)</f>
        <v>no</v>
      </c>
      <c r="AD413" s="235">
        <f>VLOOKUP(Table3[[#This Row],[Country Code]],Table29[],23,FALSE)</f>
        <v>0.13017626101136001</v>
      </c>
      <c r="AE413" s="235">
        <f>VLOOKUP(Table3[[#This Row],[Country Code]],Table29[],24,FALSE)</f>
        <v>5.0508932626793582E-2</v>
      </c>
      <c r="AF413" s="43"/>
    </row>
    <row r="414" spans="1:32" x14ac:dyDescent="0.25">
      <c r="A414" s="368">
        <v>32504</v>
      </c>
      <c r="B414" s="233" t="str">
        <f>VLOOKUP(Table3[[#This Row],[Document ID]],Table1[],2,FALSE)</f>
        <v>KIR</v>
      </c>
      <c r="C414" s="233" t="str">
        <f>VLOOKUP(Table3[[#This Row],[Document ID]],Table1[],3,FALSE)</f>
        <v>Kiribati</v>
      </c>
      <c r="D414" s="233" t="str">
        <f>VLOOKUP(Table3[[#This Row],[Document ID]],Table1[],5,FALSE)</f>
        <v>NDC</v>
      </c>
      <c r="E414" s="233" t="str">
        <f>VLOOKUP(Table3[[#This Row],[Document ID]],Table1[],7,FALSE)</f>
        <v>First NDC updated</v>
      </c>
      <c r="F414" s="241" t="str">
        <f>VLOOKUP(Table3[[#This Row],[Document ID]],Table1[],8,FALSE)</f>
        <v>NDC 1.1</v>
      </c>
      <c r="G414" s="233" t="str">
        <f>VLOOKUP(Table3[[#This Row],[Document ID]],Table1[],10,FALSE)</f>
        <v>Active</v>
      </c>
      <c r="H414" s="216" t="s">
        <v>1089</v>
      </c>
      <c r="I414" s="216" t="s">
        <v>1089</v>
      </c>
      <c r="J414" s="43" t="s">
        <v>1090</v>
      </c>
      <c r="K414" s="28" t="s">
        <v>1091</v>
      </c>
      <c r="L414" s="42" t="s">
        <v>1099</v>
      </c>
      <c r="M414" s="209">
        <v>2030</v>
      </c>
      <c r="N414" s="209" t="s">
        <v>1529</v>
      </c>
      <c r="O414" s="258">
        <v>18</v>
      </c>
      <c r="P414" s="238" t="str">
        <f>VLOOKUP(_xlfn.CONCAT(Table3[[#This Row],[Target area]],Table3[[#This Row],[GHG target?]],Table3[[#This Row],[Conditionality]]),'Drop down'!$E$81:$F$101,2,FALSE)</f>
        <v>T_Economy_Unc</v>
      </c>
      <c r="Q414" s="239" t="str">
        <f>VLOOKUP(Table3[[#This Row],[Target type]],Table418[[Value name]:[Value idenifyer]],2,FALSE)</f>
        <v>T_BAU</v>
      </c>
      <c r="V414" s="233" t="str">
        <f>VLOOKUP(Table3[[#This Row],[Country Code]],Table29[],3,FALSE)</f>
        <v>Non-Annex I</v>
      </c>
      <c r="W414" s="233" t="str">
        <f>VLOOKUP(Table3[[#This Row],[Country Code]],Table29[],4,FALSE)</f>
        <v>Oceania</v>
      </c>
      <c r="X414" s="233" t="str">
        <f>VLOOKUP(Table3[[#This Row],[Country Code]],Table29[],5,FALSE)</f>
        <v>Middle-income</v>
      </c>
      <c r="Y414" s="233" t="str">
        <f>VLOOKUP(Table3[[#This Row],[Country Code]],Table29[],6,FALSE)</f>
        <v>no</v>
      </c>
      <c r="Z414" s="233" t="str">
        <f>VLOOKUP(Table3[[#This Row],[Country Code]],Table29[],7,FALSE)</f>
        <v>no</v>
      </c>
      <c r="AA414" s="233" t="str">
        <f>VLOOKUP(Table3[[#This Row],[Country Code]],Table29[],8,FALSE)</f>
        <v>non-OECD</v>
      </c>
      <c r="AB414" s="233" t="str">
        <f>VLOOKUP(Table3[[#This Row],[Country Code]],Table29[],9,FALSE)</f>
        <v>no</v>
      </c>
      <c r="AC414" s="233" t="str">
        <f>VLOOKUP(Table3[[#This Row],[Country Code]],Table29[],10,FALSE)</f>
        <v>no</v>
      </c>
      <c r="AD414" s="235">
        <f>VLOOKUP(Table3[[#This Row],[Country Code]],Table29[],23,FALSE)</f>
        <v>0.13017626101136001</v>
      </c>
      <c r="AE414" s="235">
        <f>VLOOKUP(Table3[[#This Row],[Country Code]],Table29[],24,FALSE)</f>
        <v>5.0508932626793582E-2</v>
      </c>
      <c r="AF414" s="43"/>
    </row>
    <row r="415" spans="1:32" x14ac:dyDescent="0.25">
      <c r="A415" s="368">
        <v>32504</v>
      </c>
      <c r="B415" s="233" t="str">
        <f>VLOOKUP(Table3[[#This Row],[Document ID]],Table1[],2,FALSE)</f>
        <v>KIR</v>
      </c>
      <c r="C415" s="233" t="str">
        <f>VLOOKUP(Table3[[#This Row],[Document ID]],Table1[],3,FALSE)</f>
        <v>Kiribati</v>
      </c>
      <c r="D415" s="233" t="str">
        <f>VLOOKUP(Table3[[#This Row],[Document ID]],Table1[],5,FALSE)</f>
        <v>NDC</v>
      </c>
      <c r="E415" s="233" t="str">
        <f>VLOOKUP(Table3[[#This Row],[Document ID]],Table1[],7,FALSE)</f>
        <v>First NDC updated</v>
      </c>
      <c r="F415" s="241" t="str">
        <f>VLOOKUP(Table3[[#This Row],[Document ID]],Table1[],8,FALSE)</f>
        <v>NDC 1.1</v>
      </c>
      <c r="G415" s="233" t="str">
        <f>VLOOKUP(Table3[[#This Row],[Document ID]],Table1[],10,FALSE)</f>
        <v>Active</v>
      </c>
      <c r="H415" s="216" t="s">
        <v>1089</v>
      </c>
      <c r="I415" s="216" t="s">
        <v>1089</v>
      </c>
      <c r="J415" s="43" t="s">
        <v>1090</v>
      </c>
      <c r="K415" s="28" t="s">
        <v>1091</v>
      </c>
      <c r="L415" s="216" t="s">
        <v>1092</v>
      </c>
      <c r="M415" s="209">
        <v>2030</v>
      </c>
      <c r="N415" s="209" t="s">
        <v>1530</v>
      </c>
      <c r="O415" s="258">
        <v>18</v>
      </c>
      <c r="P415" s="238" t="str">
        <f>VLOOKUP(_xlfn.CONCAT(Table3[[#This Row],[Target area]],Table3[[#This Row],[GHG target?]],Table3[[#This Row],[Conditionality]]),'Drop down'!$E$81:$F$101,2,FALSE)</f>
        <v>T_Economy_C</v>
      </c>
      <c r="Q415" s="239" t="str">
        <f>VLOOKUP(Table3[[#This Row],[Target type]],Table418[[Value name]:[Value idenifyer]],2,FALSE)</f>
        <v>T_BAU</v>
      </c>
      <c r="T415" s="240"/>
      <c r="V415" s="233" t="str">
        <f>VLOOKUP(Table3[[#This Row],[Country Code]],Table29[],3,FALSE)</f>
        <v>Non-Annex I</v>
      </c>
      <c r="W415" s="233" t="str">
        <f>VLOOKUP(Table3[[#This Row],[Country Code]],Table29[],4,FALSE)</f>
        <v>Oceania</v>
      </c>
      <c r="X415" s="233" t="str">
        <f>VLOOKUP(Table3[[#This Row],[Country Code]],Table29[],5,FALSE)</f>
        <v>Middle-income</v>
      </c>
      <c r="Y415" s="233" t="str">
        <f>VLOOKUP(Table3[[#This Row],[Country Code]],Table29[],6,FALSE)</f>
        <v>no</v>
      </c>
      <c r="Z415" s="233" t="str">
        <f>VLOOKUP(Table3[[#This Row],[Country Code]],Table29[],7,FALSE)</f>
        <v>no</v>
      </c>
      <c r="AA415" s="233" t="str">
        <f>VLOOKUP(Table3[[#This Row],[Country Code]],Table29[],8,FALSE)</f>
        <v>non-OECD</v>
      </c>
      <c r="AB415" s="233" t="str">
        <f>VLOOKUP(Table3[[#This Row],[Country Code]],Table29[],9,FALSE)</f>
        <v>no</v>
      </c>
      <c r="AC415" s="233" t="str">
        <f>VLOOKUP(Table3[[#This Row],[Country Code]],Table29[],10,FALSE)</f>
        <v>no</v>
      </c>
      <c r="AD415" s="235">
        <f>VLOOKUP(Table3[[#This Row],[Country Code]],Table29[],23,FALSE)</f>
        <v>0.13017626101136001</v>
      </c>
      <c r="AE415" s="235">
        <f>VLOOKUP(Table3[[#This Row],[Country Code]],Table29[],24,FALSE)</f>
        <v>5.0508932626793582E-2</v>
      </c>
      <c r="AF415" s="43"/>
    </row>
    <row r="416" spans="1:32" ht="30" x14ac:dyDescent="0.25">
      <c r="A416" s="360">
        <v>23379</v>
      </c>
      <c r="B416" s="233" t="str">
        <f>VLOOKUP(Table3[[#This Row],[Document ID]],Table1[],2,FALSE)</f>
        <v>KWT</v>
      </c>
      <c r="C416" s="233" t="str">
        <f>VLOOKUP(Table3[[#This Row],[Document ID]],Table1[],3,FALSE)</f>
        <v>Kuwait</v>
      </c>
      <c r="D416" s="233" t="str">
        <f>VLOOKUP(Table3[[#This Row],[Document ID]],Table1[],5,FALSE)</f>
        <v>NDC</v>
      </c>
      <c r="E416" s="233" t="str">
        <f>VLOOKUP(Table3[[#This Row],[Document ID]],Table1[],7,FALSE)</f>
        <v>First NDC updated</v>
      </c>
      <c r="F416" s="233" t="str">
        <f>VLOOKUP(Table3[[#This Row],[Document ID]],Table1[],8,FALSE)</f>
        <v>NDC 1.1</v>
      </c>
      <c r="G416" s="233" t="str">
        <f>VLOOKUP(Table3[[#This Row],[Document ID]],Table1[],10,FALSE)</f>
        <v>Active</v>
      </c>
      <c r="H416" s="216" t="s">
        <v>1089</v>
      </c>
      <c r="I416" s="216" t="s">
        <v>1089</v>
      </c>
      <c r="J416" s="43" t="s">
        <v>1090</v>
      </c>
      <c r="K416" s="28" t="s">
        <v>1091</v>
      </c>
      <c r="L416" s="42" t="s">
        <v>1099</v>
      </c>
      <c r="M416" s="209">
        <v>2035</v>
      </c>
      <c r="N416" s="209" t="s">
        <v>1531</v>
      </c>
      <c r="O416" s="257" t="s">
        <v>1532</v>
      </c>
      <c r="P416" s="238" t="str">
        <f>VLOOKUP(_xlfn.CONCAT(Table3[[#This Row],[Target area]],Table3[[#This Row],[GHG target?]],Table3[[#This Row],[Conditionality]]),'Drop down'!$E$81:$F$101,2,FALSE)</f>
        <v>T_Economy_Unc</v>
      </c>
      <c r="Q416" s="239" t="str">
        <f>VLOOKUP(Table3[[#This Row],[Target type]],Table418[[Value name]:[Value idenifyer]],2,FALSE)</f>
        <v>T_BAU</v>
      </c>
      <c r="T416" s="234" t="s">
        <v>1113</v>
      </c>
      <c r="U416" s="240"/>
      <c r="V416" s="233" t="str">
        <f>VLOOKUP(Table3[[#This Row],[Country Code]],Table29[],3,FALSE)</f>
        <v>Non-Annex I</v>
      </c>
      <c r="W416" s="233" t="str">
        <f>VLOOKUP(Table3[[#This Row],[Country Code]],Table29[],4,FALSE)</f>
        <v>Asia</v>
      </c>
      <c r="X416" s="233" t="str">
        <f>VLOOKUP(Table3[[#This Row],[Country Code]],Table29[],5,FALSE)</f>
        <v>High-income</v>
      </c>
      <c r="Y416" s="233" t="str">
        <f>VLOOKUP(Table3[[#This Row],[Country Code]],Table29[],6,FALSE)</f>
        <v>no</v>
      </c>
      <c r="Z416" s="233" t="str">
        <f>VLOOKUP(Table3[[#This Row],[Country Code]],Table29[],7,FALSE)</f>
        <v>no</v>
      </c>
      <c r="AA416" s="233" t="str">
        <f>VLOOKUP(Table3[[#This Row],[Country Code]],Table29[],8,FALSE)</f>
        <v>non-OECD</v>
      </c>
      <c r="AB416" s="233" t="str">
        <f>VLOOKUP(Table3[[#This Row],[Country Code]],Table29[],9,FALSE)</f>
        <v>no</v>
      </c>
      <c r="AC416" s="233" t="str">
        <f>VLOOKUP(Table3[[#This Row],[Country Code]],Table29[],10,FALSE)</f>
        <v>MENA</v>
      </c>
      <c r="AD416" s="235">
        <f>VLOOKUP(Table3[[#This Row],[Country Code]],Table29[],23,FALSE)</f>
        <v>167.91576883104</v>
      </c>
      <c r="AE416" s="235">
        <f>VLOOKUP(Table3[[#This Row],[Country Code]],Table29[],24,FALSE)</f>
        <v>15.277707011973771</v>
      </c>
      <c r="AF416" s="43"/>
    </row>
    <row r="417" spans="1:32" x14ac:dyDescent="0.25">
      <c r="A417" s="360">
        <v>17636</v>
      </c>
      <c r="B417" s="233" t="str">
        <f>VLOOKUP(Table3[[#This Row],[Document ID]],Table1[],2,FALSE)</f>
        <v>KGZ</v>
      </c>
      <c r="C417" s="233" t="str">
        <f>VLOOKUP(Table3[[#This Row],[Document ID]],Table1[],3,FALSE)</f>
        <v>Kyrgyzstan</v>
      </c>
      <c r="D417" s="233" t="str">
        <f>VLOOKUP(Table3[[#This Row],[Document ID]],Table1[],5,FALSE)</f>
        <v>NDC</v>
      </c>
      <c r="E417" s="233" t="str">
        <f>VLOOKUP(Table3[[#This Row],[Document ID]],Table1[],7,FALSE)</f>
        <v>First NDC</v>
      </c>
      <c r="F417" s="233" t="str">
        <f>VLOOKUP(Table3[[#This Row],[Document ID]],Table1[],8,FALSE)</f>
        <v>NDC 1.0</v>
      </c>
      <c r="G417" s="233" t="str">
        <f>VLOOKUP(Table3[[#This Row],[Document ID]],Table1[],10,FALSE)</f>
        <v>Archived</v>
      </c>
      <c r="H417" s="216" t="s">
        <v>1089</v>
      </c>
      <c r="I417" s="216" t="s">
        <v>1089</v>
      </c>
      <c r="J417" s="43" t="s">
        <v>1090</v>
      </c>
      <c r="K417" s="28" t="s">
        <v>1091</v>
      </c>
      <c r="L417" s="42" t="s">
        <v>1099</v>
      </c>
      <c r="M417" s="209">
        <v>2030</v>
      </c>
      <c r="N417" s="209" t="s">
        <v>1533</v>
      </c>
      <c r="O417" s="257">
        <v>3</v>
      </c>
      <c r="P417" s="238" t="str">
        <f>VLOOKUP(_xlfn.CONCAT(Table3[[#This Row],[Target area]],Table3[[#This Row],[GHG target?]],Table3[[#This Row],[Conditionality]]),'Drop down'!$E$81:$F$101,2,FALSE)</f>
        <v>T_Economy_Unc</v>
      </c>
      <c r="Q417" s="239" t="str">
        <f>VLOOKUP(Table3[[#This Row],[Target type]],Table418[[Value name]:[Value idenifyer]],2,FALSE)</f>
        <v>T_BAU</v>
      </c>
      <c r="T417" s="240"/>
      <c r="U417" s="240"/>
      <c r="V417" s="233" t="str">
        <f>VLOOKUP(Table3[[#This Row],[Country Code]],Table29[],3,FALSE)</f>
        <v>Non-Annex I</v>
      </c>
      <c r="W417" s="233" t="str">
        <f>VLOOKUP(Table3[[#This Row],[Country Code]],Table29[],4,FALSE)</f>
        <v>Asia</v>
      </c>
      <c r="X417" s="233" t="str">
        <f>VLOOKUP(Table3[[#This Row],[Country Code]],Table29[],5,FALSE)</f>
        <v>Middle-income</v>
      </c>
      <c r="Y417" s="233" t="str">
        <f>VLOOKUP(Table3[[#This Row],[Country Code]],Table29[],6,FALSE)</f>
        <v>no</v>
      </c>
      <c r="Z417" s="233" t="str">
        <f>VLOOKUP(Table3[[#This Row],[Country Code]],Table29[],7,FALSE)</f>
        <v>no</v>
      </c>
      <c r="AA417" s="233" t="str">
        <f>VLOOKUP(Table3[[#This Row],[Country Code]],Table29[],8,FALSE)</f>
        <v>non-OECD</v>
      </c>
      <c r="AB417" s="233" t="str">
        <f>VLOOKUP(Table3[[#This Row],[Country Code]],Table29[],9,FALSE)</f>
        <v>no</v>
      </c>
      <c r="AC417" s="233" t="str">
        <f>VLOOKUP(Table3[[#This Row],[Country Code]],Table29[],10,FALSE)</f>
        <v>no</v>
      </c>
      <c r="AD417" s="235">
        <f>VLOOKUP(Table3[[#This Row],[Country Code]],Table29[],23,FALSE)</f>
        <v>21.698229839443002</v>
      </c>
      <c r="AE417" s="235">
        <f>VLOOKUP(Table3[[#This Row],[Country Code]],Table29[],24,FALSE)</f>
        <v>1.744567668774214</v>
      </c>
      <c r="AF417" s="43"/>
    </row>
    <row r="418" spans="1:32" ht="30" x14ac:dyDescent="0.25">
      <c r="A418" s="360">
        <v>17636</v>
      </c>
      <c r="B418" s="233" t="str">
        <f>VLOOKUP(Table3[[#This Row],[Document ID]],Table1[],2,FALSE)</f>
        <v>KGZ</v>
      </c>
      <c r="C418" s="233" t="str">
        <f>VLOOKUP(Table3[[#This Row],[Document ID]],Table1[],3,FALSE)</f>
        <v>Kyrgyzstan</v>
      </c>
      <c r="D418" s="233" t="str">
        <f>VLOOKUP(Table3[[#This Row],[Document ID]],Table1[],5,FALSE)</f>
        <v>NDC</v>
      </c>
      <c r="E418" s="233" t="str">
        <f>VLOOKUP(Table3[[#This Row],[Document ID]],Table1[],7,FALSE)</f>
        <v>First NDC</v>
      </c>
      <c r="F418" s="233" t="str">
        <f>VLOOKUP(Table3[[#This Row],[Document ID]],Table1[],8,FALSE)</f>
        <v>NDC 1.0</v>
      </c>
      <c r="G418" s="233" t="str">
        <f>VLOOKUP(Table3[[#This Row],[Document ID]],Table1[],10,FALSE)</f>
        <v>Archived</v>
      </c>
      <c r="H418" s="216" t="s">
        <v>1089</v>
      </c>
      <c r="I418" s="216" t="s">
        <v>1089</v>
      </c>
      <c r="J418" s="43" t="s">
        <v>1090</v>
      </c>
      <c r="K418" s="28" t="s">
        <v>1091</v>
      </c>
      <c r="L418" s="216" t="s">
        <v>1092</v>
      </c>
      <c r="M418" s="209">
        <v>2030</v>
      </c>
      <c r="N418" s="44" t="s">
        <v>1534</v>
      </c>
      <c r="O418" s="258">
        <v>3</v>
      </c>
      <c r="P418" s="238" t="str">
        <f>VLOOKUP(_xlfn.CONCAT(Table3[[#This Row],[Target area]],Table3[[#This Row],[GHG target?]],Table3[[#This Row],[Conditionality]]),'Drop down'!$E$81:$F$101,2,FALSE)</f>
        <v>T_Economy_C</v>
      </c>
      <c r="Q418" s="239" t="str">
        <f>VLOOKUP(Table3[[#This Row],[Target type]],Table418[[Value name]:[Value idenifyer]],2,FALSE)</f>
        <v>T_BAU</v>
      </c>
      <c r="V418" s="233" t="str">
        <f>VLOOKUP(Table3[[#This Row],[Country Code]],Table29[],3,FALSE)</f>
        <v>Non-Annex I</v>
      </c>
      <c r="W418" s="233" t="str">
        <f>VLOOKUP(Table3[[#This Row],[Country Code]],Table29[],4,FALSE)</f>
        <v>Asia</v>
      </c>
      <c r="X418" s="233" t="str">
        <f>VLOOKUP(Table3[[#This Row],[Country Code]],Table29[],5,FALSE)</f>
        <v>Middle-income</v>
      </c>
      <c r="Y418" s="233" t="str">
        <f>VLOOKUP(Table3[[#This Row],[Country Code]],Table29[],6,FALSE)</f>
        <v>no</v>
      </c>
      <c r="Z418" s="233" t="str">
        <f>VLOOKUP(Table3[[#This Row],[Country Code]],Table29[],7,FALSE)</f>
        <v>no</v>
      </c>
      <c r="AA418" s="233" t="str">
        <f>VLOOKUP(Table3[[#This Row],[Country Code]],Table29[],8,FALSE)</f>
        <v>non-OECD</v>
      </c>
      <c r="AB418" s="233" t="str">
        <f>VLOOKUP(Table3[[#This Row],[Country Code]],Table29[],9,FALSE)</f>
        <v>no</v>
      </c>
      <c r="AC418" s="233" t="str">
        <f>VLOOKUP(Table3[[#This Row],[Country Code]],Table29[],10,FALSE)</f>
        <v>no</v>
      </c>
      <c r="AD418" s="235">
        <f>VLOOKUP(Table3[[#This Row],[Country Code]],Table29[],23,FALSE)</f>
        <v>21.698229839443002</v>
      </c>
      <c r="AE418" s="235">
        <f>VLOOKUP(Table3[[#This Row],[Country Code]],Table29[],24,FALSE)</f>
        <v>1.744567668774214</v>
      </c>
      <c r="AF418" s="43"/>
    </row>
    <row r="419" spans="1:32" x14ac:dyDescent="0.25">
      <c r="A419" s="360">
        <v>17636</v>
      </c>
      <c r="B419" s="233" t="str">
        <f>VLOOKUP(Table3[[#This Row],[Document ID]],Table1[],2,FALSE)</f>
        <v>KGZ</v>
      </c>
      <c r="C419" s="233" t="str">
        <f>VLOOKUP(Table3[[#This Row],[Document ID]],Table1[],3,FALSE)</f>
        <v>Kyrgyzstan</v>
      </c>
      <c r="D419" s="233" t="str">
        <f>VLOOKUP(Table3[[#This Row],[Document ID]],Table1[],5,FALSE)</f>
        <v>NDC</v>
      </c>
      <c r="E419" s="233" t="str">
        <f>VLOOKUP(Table3[[#This Row],[Document ID]],Table1[],7,FALSE)</f>
        <v>First NDC</v>
      </c>
      <c r="F419" s="233" t="str">
        <f>VLOOKUP(Table3[[#This Row],[Document ID]],Table1[],8,FALSE)</f>
        <v>NDC 1.0</v>
      </c>
      <c r="G419" s="233" t="str">
        <f>VLOOKUP(Table3[[#This Row],[Document ID]],Table1[],10,FALSE)</f>
        <v>Archived</v>
      </c>
      <c r="H419" s="216" t="s">
        <v>1089</v>
      </c>
      <c r="I419" s="216" t="s">
        <v>1089</v>
      </c>
      <c r="J419" s="43" t="s">
        <v>1090</v>
      </c>
      <c r="K419" s="28" t="s">
        <v>1091</v>
      </c>
      <c r="L419" s="42" t="s">
        <v>1099</v>
      </c>
      <c r="M419" s="209">
        <v>2050</v>
      </c>
      <c r="N419" s="44" t="s">
        <v>1535</v>
      </c>
      <c r="O419" s="258">
        <v>3</v>
      </c>
      <c r="P419" s="238" t="str">
        <f>VLOOKUP(_xlfn.CONCAT(Table3[[#This Row],[Target area]],Table3[[#This Row],[GHG target?]],Table3[[#This Row],[Conditionality]]),'Drop down'!$E$81:$F$101,2,FALSE)</f>
        <v>T_Economy_Unc</v>
      </c>
      <c r="Q419" s="239" t="str">
        <f>VLOOKUP(Table3[[#This Row],[Target type]],Table418[[Value name]:[Value idenifyer]],2,FALSE)</f>
        <v>T_BAU</v>
      </c>
      <c r="V419" s="233" t="str">
        <f>VLOOKUP(Table3[[#This Row],[Country Code]],Table29[],3,FALSE)</f>
        <v>Non-Annex I</v>
      </c>
      <c r="W419" s="233" t="str">
        <f>VLOOKUP(Table3[[#This Row],[Country Code]],Table29[],4,FALSE)</f>
        <v>Asia</v>
      </c>
      <c r="X419" s="233" t="str">
        <f>VLOOKUP(Table3[[#This Row],[Country Code]],Table29[],5,FALSE)</f>
        <v>Middle-income</v>
      </c>
      <c r="Y419" s="233" t="str">
        <f>VLOOKUP(Table3[[#This Row],[Country Code]],Table29[],6,FALSE)</f>
        <v>no</v>
      </c>
      <c r="Z419" s="233" t="str">
        <f>VLOOKUP(Table3[[#This Row],[Country Code]],Table29[],7,FALSE)</f>
        <v>no</v>
      </c>
      <c r="AA419" s="233" t="str">
        <f>VLOOKUP(Table3[[#This Row],[Country Code]],Table29[],8,FALSE)</f>
        <v>non-OECD</v>
      </c>
      <c r="AB419" s="233" t="str">
        <f>VLOOKUP(Table3[[#This Row],[Country Code]],Table29[],9,FALSE)</f>
        <v>no</v>
      </c>
      <c r="AC419" s="233" t="str">
        <f>VLOOKUP(Table3[[#This Row],[Country Code]],Table29[],10,FALSE)</f>
        <v>no</v>
      </c>
      <c r="AD419" s="235">
        <f>VLOOKUP(Table3[[#This Row],[Country Code]],Table29[],23,FALSE)</f>
        <v>21.698229839443002</v>
      </c>
      <c r="AE419" s="235">
        <f>VLOOKUP(Table3[[#This Row],[Country Code]],Table29[],24,FALSE)</f>
        <v>1.744567668774214</v>
      </c>
      <c r="AF419" s="43"/>
    </row>
    <row r="420" spans="1:32" ht="30" x14ac:dyDescent="0.25">
      <c r="A420" s="360">
        <v>17636</v>
      </c>
      <c r="B420" s="233" t="str">
        <f>VLOOKUP(Table3[[#This Row],[Document ID]],Table1[],2,FALSE)</f>
        <v>KGZ</v>
      </c>
      <c r="C420" s="233" t="str">
        <f>VLOOKUP(Table3[[#This Row],[Document ID]],Table1[],3,FALSE)</f>
        <v>Kyrgyzstan</v>
      </c>
      <c r="D420" s="233" t="str">
        <f>VLOOKUP(Table3[[#This Row],[Document ID]],Table1[],5,FALSE)</f>
        <v>NDC</v>
      </c>
      <c r="E420" s="233" t="str">
        <f>VLOOKUP(Table3[[#This Row],[Document ID]],Table1[],7,FALSE)</f>
        <v>First NDC</v>
      </c>
      <c r="F420" s="233" t="str">
        <f>VLOOKUP(Table3[[#This Row],[Document ID]],Table1[],8,FALSE)</f>
        <v>NDC 1.0</v>
      </c>
      <c r="G420" s="233" t="str">
        <f>VLOOKUP(Table3[[#This Row],[Document ID]],Table1[],10,FALSE)</f>
        <v>Archived</v>
      </c>
      <c r="H420" s="216" t="s">
        <v>1089</v>
      </c>
      <c r="I420" s="216" t="s">
        <v>1089</v>
      </c>
      <c r="J420" s="43" t="s">
        <v>1090</v>
      </c>
      <c r="K420" s="28" t="s">
        <v>1091</v>
      </c>
      <c r="L420" s="216" t="s">
        <v>1092</v>
      </c>
      <c r="M420" s="209">
        <v>2050</v>
      </c>
      <c r="N420" s="44" t="s">
        <v>1536</v>
      </c>
      <c r="O420" s="258">
        <v>3</v>
      </c>
      <c r="P420" s="238" t="str">
        <f>VLOOKUP(_xlfn.CONCAT(Table3[[#This Row],[Target area]],Table3[[#This Row],[GHG target?]],Table3[[#This Row],[Conditionality]]),'Drop down'!$E$81:$F$101,2,FALSE)</f>
        <v>T_Economy_C</v>
      </c>
      <c r="Q420" s="239" t="str">
        <f>VLOOKUP(Table3[[#This Row],[Target type]],Table418[[Value name]:[Value idenifyer]],2,FALSE)</f>
        <v>T_BAU</v>
      </c>
      <c r="V420" s="233" t="str">
        <f>VLOOKUP(Table3[[#This Row],[Country Code]],Table29[],3,FALSE)</f>
        <v>Non-Annex I</v>
      </c>
      <c r="W420" s="233" t="str">
        <f>VLOOKUP(Table3[[#This Row],[Country Code]],Table29[],4,FALSE)</f>
        <v>Asia</v>
      </c>
      <c r="X420" s="233" t="str">
        <f>VLOOKUP(Table3[[#This Row],[Country Code]],Table29[],5,FALSE)</f>
        <v>Middle-income</v>
      </c>
      <c r="Y420" s="233" t="str">
        <f>VLOOKUP(Table3[[#This Row],[Country Code]],Table29[],6,FALSE)</f>
        <v>no</v>
      </c>
      <c r="Z420" s="233" t="str">
        <f>VLOOKUP(Table3[[#This Row],[Country Code]],Table29[],7,FALSE)</f>
        <v>no</v>
      </c>
      <c r="AA420" s="233" t="str">
        <f>VLOOKUP(Table3[[#This Row],[Country Code]],Table29[],8,FALSE)</f>
        <v>non-OECD</v>
      </c>
      <c r="AB420" s="233" t="str">
        <f>VLOOKUP(Table3[[#This Row],[Country Code]],Table29[],9,FALSE)</f>
        <v>no</v>
      </c>
      <c r="AC420" s="233" t="str">
        <f>VLOOKUP(Table3[[#This Row],[Country Code]],Table29[],10,FALSE)</f>
        <v>no</v>
      </c>
      <c r="AD420" s="235">
        <f>VLOOKUP(Table3[[#This Row],[Country Code]],Table29[],23,FALSE)</f>
        <v>21.698229839443002</v>
      </c>
      <c r="AE420" s="235">
        <f>VLOOKUP(Table3[[#This Row],[Country Code]],Table29[],24,FALSE)</f>
        <v>1.744567668774214</v>
      </c>
      <c r="AF420" s="43"/>
    </row>
    <row r="421" spans="1:32" x14ac:dyDescent="0.25">
      <c r="A421" s="360">
        <v>17636</v>
      </c>
      <c r="B421" s="233" t="str">
        <f>VLOOKUP(Table3[[#This Row],[Document ID]],Table1[],2,FALSE)</f>
        <v>KGZ</v>
      </c>
      <c r="C421" s="233" t="str">
        <f>VLOOKUP(Table3[[#This Row],[Document ID]],Table1[],3,FALSE)</f>
        <v>Kyrgyzstan</v>
      </c>
      <c r="D421" s="233" t="str">
        <f>VLOOKUP(Table3[[#This Row],[Document ID]],Table1[],5,FALSE)</f>
        <v>NDC</v>
      </c>
      <c r="E421" s="233" t="str">
        <f>VLOOKUP(Table3[[#This Row],[Document ID]],Table1[],7,FALSE)</f>
        <v>First NDC</v>
      </c>
      <c r="F421" s="233" t="str">
        <f>VLOOKUP(Table3[[#This Row],[Document ID]],Table1[],8,FALSE)</f>
        <v>NDC 1.0</v>
      </c>
      <c r="G421" s="233" t="str">
        <f>VLOOKUP(Table3[[#This Row],[Document ID]],Table1[],10,FALSE)</f>
        <v>Archived</v>
      </c>
      <c r="H421" s="216" t="s">
        <v>1089</v>
      </c>
      <c r="I421" s="216" t="s">
        <v>1089</v>
      </c>
      <c r="J421" s="43" t="s">
        <v>1090</v>
      </c>
      <c r="K421" s="28" t="s">
        <v>1537</v>
      </c>
      <c r="L421" s="43" t="s">
        <v>1116</v>
      </c>
      <c r="M421" s="209">
        <v>2050</v>
      </c>
      <c r="N421" s="44" t="s">
        <v>1538</v>
      </c>
      <c r="O421" s="258">
        <v>3</v>
      </c>
      <c r="P421" s="238" t="str">
        <f>VLOOKUP(_xlfn.CONCAT(Table3[[#This Row],[Target area]],Table3[[#This Row],[GHG target?]],Table3[[#This Row],[Conditionality]]),'Drop down'!$E$81:$F$101,2,FALSE)</f>
        <v>T_Economy</v>
      </c>
      <c r="Q421" s="239" t="str">
        <f>VLOOKUP(Table3[[#This Row],[Target type]],Table418[[Value name]:[Value idenifyer]],2,FALSE)</f>
        <v>T_Other</v>
      </c>
      <c r="V421" s="233" t="str">
        <f>VLOOKUP(Table3[[#This Row],[Country Code]],Table29[],3,FALSE)</f>
        <v>Non-Annex I</v>
      </c>
      <c r="W421" s="233" t="str">
        <f>VLOOKUP(Table3[[#This Row],[Country Code]],Table29[],4,FALSE)</f>
        <v>Asia</v>
      </c>
      <c r="X421" s="233" t="str">
        <f>VLOOKUP(Table3[[#This Row],[Country Code]],Table29[],5,FALSE)</f>
        <v>Middle-income</v>
      </c>
      <c r="Y421" s="233" t="str">
        <f>VLOOKUP(Table3[[#This Row],[Country Code]],Table29[],6,FALSE)</f>
        <v>no</v>
      </c>
      <c r="Z421" s="233" t="str">
        <f>VLOOKUP(Table3[[#This Row],[Country Code]],Table29[],7,FALSE)</f>
        <v>no</v>
      </c>
      <c r="AA421" s="233" t="str">
        <f>VLOOKUP(Table3[[#This Row],[Country Code]],Table29[],8,FALSE)</f>
        <v>non-OECD</v>
      </c>
      <c r="AB421" s="233" t="str">
        <f>VLOOKUP(Table3[[#This Row],[Country Code]],Table29[],9,FALSE)</f>
        <v>no</v>
      </c>
      <c r="AC421" s="233" t="str">
        <f>VLOOKUP(Table3[[#This Row],[Country Code]],Table29[],10,FALSE)</f>
        <v>no</v>
      </c>
      <c r="AD421" s="235">
        <f>VLOOKUP(Table3[[#This Row],[Country Code]],Table29[],23,FALSE)</f>
        <v>21.698229839443002</v>
      </c>
      <c r="AE421" s="235">
        <f>VLOOKUP(Table3[[#This Row],[Country Code]],Table29[],24,FALSE)</f>
        <v>1.744567668774214</v>
      </c>
      <c r="AF421" s="43"/>
    </row>
    <row r="422" spans="1:32" x14ac:dyDescent="0.25">
      <c r="A422" s="360">
        <v>23384</v>
      </c>
      <c r="B422" s="233" t="str">
        <f>VLOOKUP(Table3[[#This Row],[Document ID]],Table1[],2,FALSE)</f>
        <v>KGZ</v>
      </c>
      <c r="C422" s="233" t="str">
        <f>VLOOKUP(Table3[[#This Row],[Document ID]],Table1[],3,FALSE)</f>
        <v>Kyrgyzstan</v>
      </c>
      <c r="D422" s="233" t="str">
        <f>VLOOKUP(Table3[[#This Row],[Document ID]],Table1[],5,FALSE)</f>
        <v>NDC</v>
      </c>
      <c r="E422" s="233" t="str">
        <f>VLOOKUP(Table3[[#This Row],[Document ID]],Table1[],7,FALSE)</f>
        <v>First NDC updated</v>
      </c>
      <c r="F422" s="233" t="str">
        <f>VLOOKUP(Table3[[#This Row],[Document ID]],Table1[],8,FALSE)</f>
        <v>NDC 1.1</v>
      </c>
      <c r="G422" s="233" t="str">
        <f>VLOOKUP(Table3[[#This Row],[Document ID]],Table1[],10,FALSE)</f>
        <v>Active</v>
      </c>
      <c r="H422" s="216" t="s">
        <v>1089</v>
      </c>
      <c r="I422" s="216" t="s">
        <v>1089</v>
      </c>
      <c r="J422" s="43" t="s">
        <v>1090</v>
      </c>
      <c r="K422" s="28" t="s">
        <v>1091</v>
      </c>
      <c r="L422" s="42" t="s">
        <v>1099</v>
      </c>
      <c r="M422" s="209">
        <v>2030</v>
      </c>
      <c r="N422" s="209" t="s">
        <v>1539</v>
      </c>
      <c r="O422" s="257">
        <v>5</v>
      </c>
      <c r="P422" s="238" t="str">
        <f>VLOOKUP(_xlfn.CONCAT(Table3[[#This Row],[Target area]],Table3[[#This Row],[GHG target?]],Table3[[#This Row],[Conditionality]]),'Drop down'!$E$81:$F$101,2,FALSE)</f>
        <v>T_Economy_Unc</v>
      </c>
      <c r="Q422" s="239" t="str">
        <f>VLOOKUP(Table3[[#This Row],[Target type]],Table418[[Value name]:[Value idenifyer]],2,FALSE)</f>
        <v>T_BAU</v>
      </c>
      <c r="T422" s="240"/>
      <c r="U422" s="240"/>
      <c r="V422" s="233" t="str">
        <f>VLOOKUP(Table3[[#This Row],[Country Code]],Table29[],3,FALSE)</f>
        <v>Non-Annex I</v>
      </c>
      <c r="W422" s="233" t="str">
        <f>VLOOKUP(Table3[[#This Row],[Country Code]],Table29[],4,FALSE)</f>
        <v>Asia</v>
      </c>
      <c r="X422" s="233" t="str">
        <f>VLOOKUP(Table3[[#This Row],[Country Code]],Table29[],5,FALSE)</f>
        <v>Middle-income</v>
      </c>
      <c r="Y422" s="233" t="str">
        <f>VLOOKUP(Table3[[#This Row],[Country Code]],Table29[],6,FALSE)</f>
        <v>no</v>
      </c>
      <c r="Z422" s="233" t="str">
        <f>VLOOKUP(Table3[[#This Row],[Country Code]],Table29[],7,FALSE)</f>
        <v>no</v>
      </c>
      <c r="AA422" s="233" t="str">
        <f>VLOOKUP(Table3[[#This Row],[Country Code]],Table29[],8,FALSE)</f>
        <v>non-OECD</v>
      </c>
      <c r="AB422" s="233" t="str">
        <f>VLOOKUP(Table3[[#This Row],[Country Code]],Table29[],9,FALSE)</f>
        <v>no</v>
      </c>
      <c r="AC422" s="233" t="str">
        <f>VLOOKUP(Table3[[#This Row],[Country Code]],Table29[],10,FALSE)</f>
        <v>no</v>
      </c>
      <c r="AD422" s="235">
        <f>VLOOKUP(Table3[[#This Row],[Country Code]],Table29[],23,FALSE)</f>
        <v>21.698229839443002</v>
      </c>
      <c r="AE422" s="235">
        <f>VLOOKUP(Table3[[#This Row],[Country Code]],Table29[],24,FALSE)</f>
        <v>1.744567668774214</v>
      </c>
      <c r="AF422" s="43"/>
    </row>
    <row r="423" spans="1:32" x14ac:dyDescent="0.25">
      <c r="A423" s="360">
        <v>23384</v>
      </c>
      <c r="B423" s="233" t="str">
        <f>VLOOKUP(Table3[[#This Row],[Document ID]],Table1[],2,FALSE)</f>
        <v>KGZ</v>
      </c>
      <c r="C423" s="233" t="str">
        <f>VLOOKUP(Table3[[#This Row],[Document ID]],Table1[],3,FALSE)</f>
        <v>Kyrgyzstan</v>
      </c>
      <c r="D423" s="233" t="str">
        <f>VLOOKUP(Table3[[#This Row],[Document ID]],Table1[],5,FALSE)</f>
        <v>NDC</v>
      </c>
      <c r="E423" s="233" t="str">
        <f>VLOOKUP(Table3[[#This Row],[Document ID]],Table1[],7,FALSE)</f>
        <v>First NDC updated</v>
      </c>
      <c r="F423" s="233" t="str">
        <f>VLOOKUP(Table3[[#This Row],[Document ID]],Table1[],8,FALSE)</f>
        <v>NDC 1.1</v>
      </c>
      <c r="G423" s="233" t="str">
        <f>VLOOKUP(Table3[[#This Row],[Document ID]],Table1[],10,FALSE)</f>
        <v>Active</v>
      </c>
      <c r="H423" s="216" t="s">
        <v>1089</v>
      </c>
      <c r="I423" s="216" t="s">
        <v>1089</v>
      </c>
      <c r="J423" s="43" t="s">
        <v>1090</v>
      </c>
      <c r="K423" s="28" t="s">
        <v>1091</v>
      </c>
      <c r="L423" s="216" t="s">
        <v>1092</v>
      </c>
      <c r="M423" s="209">
        <v>2030</v>
      </c>
      <c r="N423" s="209" t="s">
        <v>1540</v>
      </c>
      <c r="O423" s="257">
        <v>5</v>
      </c>
      <c r="P423" s="238" t="str">
        <f>VLOOKUP(_xlfn.CONCAT(Table3[[#This Row],[Target area]],Table3[[#This Row],[GHG target?]],Table3[[#This Row],[Conditionality]]),'Drop down'!$E$81:$F$101,2,FALSE)</f>
        <v>T_Economy_C</v>
      </c>
      <c r="Q423" s="239" t="str">
        <f>VLOOKUP(Table3[[#This Row],[Target type]],Table418[[Value name]:[Value idenifyer]],2,FALSE)</f>
        <v>T_BAU</v>
      </c>
      <c r="T423" s="240"/>
      <c r="U423" s="240"/>
      <c r="V423" s="233" t="str">
        <f>VLOOKUP(Table3[[#This Row],[Country Code]],Table29[],3,FALSE)</f>
        <v>Non-Annex I</v>
      </c>
      <c r="W423" s="233" t="str">
        <f>VLOOKUP(Table3[[#This Row],[Country Code]],Table29[],4,FALSE)</f>
        <v>Asia</v>
      </c>
      <c r="X423" s="233" t="str">
        <f>VLOOKUP(Table3[[#This Row],[Country Code]],Table29[],5,FALSE)</f>
        <v>Middle-income</v>
      </c>
      <c r="Y423" s="233" t="str">
        <f>VLOOKUP(Table3[[#This Row],[Country Code]],Table29[],6,FALSE)</f>
        <v>no</v>
      </c>
      <c r="Z423" s="233" t="str">
        <f>VLOOKUP(Table3[[#This Row],[Country Code]],Table29[],7,FALSE)</f>
        <v>no</v>
      </c>
      <c r="AA423" s="233" t="str">
        <f>VLOOKUP(Table3[[#This Row],[Country Code]],Table29[],8,FALSE)</f>
        <v>non-OECD</v>
      </c>
      <c r="AB423" s="233" t="str">
        <f>VLOOKUP(Table3[[#This Row],[Country Code]],Table29[],9,FALSE)</f>
        <v>no</v>
      </c>
      <c r="AC423" s="233" t="str">
        <f>VLOOKUP(Table3[[#This Row],[Country Code]],Table29[],10,FALSE)</f>
        <v>no</v>
      </c>
      <c r="AD423" s="235">
        <f>VLOOKUP(Table3[[#This Row],[Country Code]],Table29[],23,FALSE)</f>
        <v>21.698229839443002</v>
      </c>
      <c r="AE423" s="235">
        <f>VLOOKUP(Table3[[#This Row],[Country Code]],Table29[],24,FALSE)</f>
        <v>1.744567668774214</v>
      </c>
      <c r="AF423" s="43"/>
    </row>
    <row r="424" spans="1:32" x14ac:dyDescent="0.25">
      <c r="A424" s="360">
        <v>17636</v>
      </c>
      <c r="B424" s="233" t="str">
        <f>VLOOKUP(Table3[[#This Row],[Document ID]],Table1[],2,FALSE)</f>
        <v>KGZ</v>
      </c>
      <c r="C424" s="233" t="str">
        <f>VLOOKUP(Table3[[#This Row],[Document ID]],Table1[],3,FALSE)</f>
        <v>Kyrgyzstan</v>
      </c>
      <c r="D424" s="233" t="str">
        <f>VLOOKUP(Table3[[#This Row],[Document ID]],Table1[],5,FALSE)</f>
        <v>NDC</v>
      </c>
      <c r="E424" s="233" t="str">
        <f>VLOOKUP(Table3[[#This Row],[Document ID]],Table1[],7,FALSE)</f>
        <v>First NDC</v>
      </c>
      <c r="F424" s="233" t="str">
        <f>VLOOKUP(Table3[[#This Row],[Document ID]],Table1[],8,FALSE)</f>
        <v>NDC 1.0</v>
      </c>
      <c r="G424" s="233" t="str">
        <f>VLOOKUP(Table3[[#This Row],[Document ID]],Table1[],10,FALSE)</f>
        <v>Archived</v>
      </c>
      <c r="H424" s="216" t="s">
        <v>1089</v>
      </c>
      <c r="I424" s="216" t="s">
        <v>1089</v>
      </c>
      <c r="J424" s="43" t="s">
        <v>1090</v>
      </c>
      <c r="K424" s="28" t="s">
        <v>1091</v>
      </c>
      <c r="L424" s="42" t="s">
        <v>1099</v>
      </c>
      <c r="M424" s="209">
        <v>2030</v>
      </c>
      <c r="N424" s="176" t="s">
        <v>1541</v>
      </c>
      <c r="O424" s="258" t="s">
        <v>1094</v>
      </c>
      <c r="P424" s="238" t="str">
        <f>VLOOKUP(_xlfn.CONCAT(Table3[[#This Row],[Target area]],Table3[[#This Row],[GHG target?]],Table3[[#This Row],[Conditionality]]),'Drop down'!$E$81:$F$101,2,FALSE)</f>
        <v>T_Economy_Unc</v>
      </c>
      <c r="Q424" s="239" t="str">
        <f>VLOOKUP(Table3[[#This Row],[Target type]],Table418[[Value name]:[Value idenifyer]],2,FALSE)</f>
        <v>T_BAU</v>
      </c>
      <c r="T424" s="240"/>
      <c r="U424" s="240"/>
      <c r="V424" s="233" t="str">
        <f>VLOOKUP(Table3[[#This Row],[Country Code]],Table29[],3,FALSE)</f>
        <v>Non-Annex I</v>
      </c>
      <c r="W424" s="233" t="str">
        <f>VLOOKUP(Table3[[#This Row],[Country Code]],Table29[],4,FALSE)</f>
        <v>Asia</v>
      </c>
      <c r="X424" s="233" t="str">
        <f>VLOOKUP(Table3[[#This Row],[Country Code]],Table29[],5,FALSE)</f>
        <v>Middle-income</v>
      </c>
      <c r="Y424" s="233" t="str">
        <f>VLOOKUP(Table3[[#This Row],[Country Code]],Table29[],6,FALSE)</f>
        <v>no</v>
      </c>
      <c r="Z424" s="233" t="str">
        <f>VLOOKUP(Table3[[#This Row],[Country Code]],Table29[],7,FALSE)</f>
        <v>no</v>
      </c>
      <c r="AA424" s="233" t="str">
        <f>VLOOKUP(Table3[[#This Row],[Country Code]],Table29[],8,FALSE)</f>
        <v>non-OECD</v>
      </c>
      <c r="AB424" s="233" t="str">
        <f>VLOOKUP(Table3[[#This Row],[Country Code]],Table29[],9,FALSE)</f>
        <v>no</v>
      </c>
      <c r="AC424" s="233" t="str">
        <f>VLOOKUP(Table3[[#This Row],[Country Code]],Table29[],10,FALSE)</f>
        <v>no</v>
      </c>
      <c r="AD424" s="235">
        <f>VLOOKUP(Table3[[#This Row],[Country Code]],Table29[],23,FALSE)</f>
        <v>21.698229839443002</v>
      </c>
      <c r="AE424" s="235">
        <f>VLOOKUP(Table3[[#This Row],[Country Code]],Table29[],24,FALSE)</f>
        <v>1.744567668774214</v>
      </c>
      <c r="AF424" s="43"/>
    </row>
    <row r="425" spans="1:32" x14ac:dyDescent="0.25">
      <c r="A425" s="360">
        <v>17636</v>
      </c>
      <c r="B425" s="233" t="str">
        <f>VLOOKUP(Table3[[#This Row],[Document ID]],Table1[],2,FALSE)</f>
        <v>KGZ</v>
      </c>
      <c r="C425" s="233" t="str">
        <f>VLOOKUP(Table3[[#This Row],[Document ID]],Table1[],3,FALSE)</f>
        <v>Kyrgyzstan</v>
      </c>
      <c r="D425" s="233" t="str">
        <f>VLOOKUP(Table3[[#This Row],[Document ID]],Table1[],5,FALSE)</f>
        <v>NDC</v>
      </c>
      <c r="E425" s="233" t="str">
        <f>VLOOKUP(Table3[[#This Row],[Document ID]],Table1[],7,FALSE)</f>
        <v>First NDC</v>
      </c>
      <c r="F425" s="233" t="str">
        <f>VLOOKUP(Table3[[#This Row],[Document ID]],Table1[],8,FALSE)</f>
        <v>NDC 1.0</v>
      </c>
      <c r="G425" s="233" t="str">
        <f>VLOOKUP(Table3[[#This Row],[Document ID]],Table1[],10,FALSE)</f>
        <v>Archived</v>
      </c>
      <c r="H425" s="216" t="s">
        <v>1089</v>
      </c>
      <c r="I425" s="216" t="s">
        <v>1089</v>
      </c>
      <c r="J425" s="43" t="s">
        <v>1090</v>
      </c>
      <c r="K425" s="28" t="s">
        <v>1091</v>
      </c>
      <c r="L425" s="216" t="s">
        <v>1092</v>
      </c>
      <c r="M425" s="209">
        <v>2030</v>
      </c>
      <c r="N425" s="176" t="s">
        <v>1542</v>
      </c>
      <c r="O425" s="258" t="s">
        <v>1094</v>
      </c>
      <c r="P425" s="238" t="str">
        <f>VLOOKUP(_xlfn.CONCAT(Table3[[#This Row],[Target area]],Table3[[#This Row],[GHG target?]],Table3[[#This Row],[Conditionality]]),'Drop down'!$E$81:$F$101,2,FALSE)</f>
        <v>T_Economy_C</v>
      </c>
      <c r="Q425" s="239" t="str">
        <f>VLOOKUP(Table3[[#This Row],[Target type]],Table418[[Value name]:[Value idenifyer]],2,FALSE)</f>
        <v>T_BAU</v>
      </c>
      <c r="T425" s="240"/>
      <c r="U425" s="240"/>
      <c r="V425" s="233" t="str">
        <f>VLOOKUP(Table3[[#This Row],[Country Code]],Table29[],3,FALSE)</f>
        <v>Non-Annex I</v>
      </c>
      <c r="W425" s="233" t="str">
        <f>VLOOKUP(Table3[[#This Row],[Country Code]],Table29[],4,FALSE)</f>
        <v>Asia</v>
      </c>
      <c r="X425" s="233" t="str">
        <f>VLOOKUP(Table3[[#This Row],[Country Code]],Table29[],5,FALSE)</f>
        <v>Middle-income</v>
      </c>
      <c r="Y425" s="233" t="str">
        <f>VLOOKUP(Table3[[#This Row],[Country Code]],Table29[],6,FALSE)</f>
        <v>no</v>
      </c>
      <c r="Z425" s="233" t="str">
        <f>VLOOKUP(Table3[[#This Row],[Country Code]],Table29[],7,FALSE)</f>
        <v>no</v>
      </c>
      <c r="AA425" s="233" t="str">
        <f>VLOOKUP(Table3[[#This Row],[Country Code]],Table29[],8,FALSE)</f>
        <v>non-OECD</v>
      </c>
      <c r="AB425" s="233" t="str">
        <f>VLOOKUP(Table3[[#This Row],[Country Code]],Table29[],9,FALSE)</f>
        <v>no</v>
      </c>
      <c r="AC425" s="233" t="str">
        <f>VLOOKUP(Table3[[#This Row],[Country Code]],Table29[],10,FALSE)</f>
        <v>no</v>
      </c>
      <c r="AD425" s="235">
        <f>VLOOKUP(Table3[[#This Row],[Country Code]],Table29[],23,FALSE)</f>
        <v>21.698229839443002</v>
      </c>
      <c r="AE425" s="235">
        <f>VLOOKUP(Table3[[#This Row],[Country Code]],Table29[],24,FALSE)</f>
        <v>1.744567668774214</v>
      </c>
      <c r="AF425" s="43"/>
    </row>
    <row r="426" spans="1:32" ht="45" x14ac:dyDescent="0.25">
      <c r="A426" s="373">
        <v>17636</v>
      </c>
      <c r="B426" s="233" t="str">
        <f>VLOOKUP(Table3[[#This Row],[Document ID]],Table1[],2,FALSE)</f>
        <v>KGZ</v>
      </c>
      <c r="C426" s="233" t="str">
        <f>VLOOKUP(Table3[[#This Row],[Document ID]],Table1[],3,FALSE)</f>
        <v>Kyrgyzstan</v>
      </c>
      <c r="D426" s="233" t="str">
        <f>VLOOKUP(Table3[[#This Row],[Document ID]],Table1[],5,FALSE)</f>
        <v>NDC</v>
      </c>
      <c r="E426" s="233" t="str">
        <f>VLOOKUP(Table3[[#This Row],[Document ID]],Table1[],7,FALSE)</f>
        <v>First NDC</v>
      </c>
      <c r="F426" s="243" t="str">
        <f>VLOOKUP(Table3[[#This Row],[Document ID]],Table1[],8,FALSE)</f>
        <v>NDC 1.0</v>
      </c>
      <c r="G426" s="233" t="str">
        <f>VLOOKUP(Table3[[#This Row],[Document ID]],Table1[],10,FALSE)</f>
        <v>Archived</v>
      </c>
      <c r="H426" s="216" t="s">
        <v>1089</v>
      </c>
      <c r="I426" s="216" t="s">
        <v>1089</v>
      </c>
      <c r="J426" s="43" t="s">
        <v>1090</v>
      </c>
      <c r="K426" s="28" t="s">
        <v>1091</v>
      </c>
      <c r="L426" s="176" t="s">
        <v>1092</v>
      </c>
      <c r="M426" s="209">
        <v>2050</v>
      </c>
      <c r="N426" s="176" t="s">
        <v>1543</v>
      </c>
      <c r="O426" s="258">
        <v>3</v>
      </c>
      <c r="P426" s="238" t="str">
        <f>VLOOKUP(_xlfn.CONCAT(Table3[[#This Row],[Target area]],Table3[[#This Row],[GHG target?]],Table3[[#This Row],[Conditionality]]),'Drop down'!$E$81:$F$101,2,FALSE)</f>
        <v>T_Economy_C</v>
      </c>
      <c r="Q426" s="239" t="str">
        <f>VLOOKUP(Table3[[#This Row],[Target type]],Table418[[Value name]:[Value idenifyer]],2,FALSE)</f>
        <v>T_BAU</v>
      </c>
      <c r="T426" s="240"/>
      <c r="U426" s="240"/>
      <c r="V426" s="233" t="str">
        <f>VLOOKUP(Table3[[#This Row],[Country Code]],Table29[],3,FALSE)</f>
        <v>Non-Annex I</v>
      </c>
      <c r="W426" s="233" t="str">
        <f>VLOOKUP(Table3[[#This Row],[Country Code]],Table29[],4,FALSE)</f>
        <v>Asia</v>
      </c>
      <c r="X426" s="233" t="str">
        <f>VLOOKUP(Table3[[#This Row],[Country Code]],Table29[],5,FALSE)</f>
        <v>Middle-income</v>
      </c>
      <c r="Y426" s="233" t="str">
        <f>VLOOKUP(Table3[[#This Row],[Country Code]],Table29[],6,FALSE)</f>
        <v>no</v>
      </c>
      <c r="Z426" s="233" t="str">
        <f>VLOOKUP(Table3[[#This Row],[Country Code]],Table29[],7,FALSE)</f>
        <v>no</v>
      </c>
      <c r="AA426" s="233" t="str">
        <f>VLOOKUP(Table3[[#This Row],[Country Code]],Table29[],8,FALSE)</f>
        <v>non-OECD</v>
      </c>
      <c r="AB426" s="233" t="str">
        <f>VLOOKUP(Table3[[#This Row],[Country Code]],Table29[],9,FALSE)</f>
        <v>no</v>
      </c>
      <c r="AC426" s="233" t="str">
        <f>VLOOKUP(Table3[[#This Row],[Country Code]],Table29[],10,FALSE)</f>
        <v>no</v>
      </c>
      <c r="AD426" s="235">
        <f>VLOOKUP(Table3[[#This Row],[Country Code]],Table29[],23,FALSE)</f>
        <v>21.698229839443002</v>
      </c>
      <c r="AE426" s="235">
        <f>VLOOKUP(Table3[[#This Row],[Country Code]],Table29[],24,FALSE)</f>
        <v>1.744567668774214</v>
      </c>
      <c r="AF426" s="43"/>
    </row>
    <row r="427" spans="1:32" ht="30" x14ac:dyDescent="0.25">
      <c r="A427" s="360">
        <v>20343</v>
      </c>
      <c r="B427" s="233" t="str">
        <f>VLOOKUP(Table3[[#This Row],[Document ID]],Table1[],2,FALSE)</f>
        <v>LAO</v>
      </c>
      <c r="C427" s="233" t="str">
        <f>VLOOKUP(Table3[[#This Row],[Document ID]],Table1[],3,FALSE)</f>
        <v>Lao People’s Democratic Republic</v>
      </c>
      <c r="D427" s="233" t="str">
        <f>VLOOKUP(Table3[[#This Row],[Document ID]],Table1[],5,FALSE)</f>
        <v>NDC</v>
      </c>
      <c r="E427" s="233" t="str">
        <f>VLOOKUP(Table3[[#This Row],[Document ID]],Table1[],7,FALSE)</f>
        <v>First NDC updated</v>
      </c>
      <c r="F427" s="233" t="str">
        <f>VLOOKUP(Table3[[#This Row],[Document ID]],Table1[],8,FALSE)</f>
        <v>NDC 1.1</v>
      </c>
      <c r="G427" s="233" t="str">
        <f>VLOOKUP(Table3[[#This Row],[Document ID]],Table1[],10,FALSE)</f>
        <v>Active</v>
      </c>
      <c r="H427" s="216" t="s">
        <v>1089</v>
      </c>
      <c r="I427" s="216" t="s">
        <v>1089</v>
      </c>
      <c r="J427" s="43" t="s">
        <v>1090</v>
      </c>
      <c r="K427" s="28" t="s">
        <v>1091</v>
      </c>
      <c r="L427" s="42" t="s">
        <v>1099</v>
      </c>
      <c r="M427" s="209">
        <v>2030</v>
      </c>
      <c r="N427" s="209" t="s">
        <v>1544</v>
      </c>
      <c r="O427" s="259">
        <v>6</v>
      </c>
      <c r="P427" s="238" t="str">
        <f>VLOOKUP(_xlfn.CONCAT(Table3[[#This Row],[Target area]],Table3[[#This Row],[GHG target?]],Table3[[#This Row],[Conditionality]]),'Drop down'!$E$81:$F$101,2,FALSE)</f>
        <v>T_Economy_Unc</v>
      </c>
      <c r="Q427" s="239" t="str">
        <f>VLOOKUP(Table3[[#This Row],[Target type]],Table418[[Value name]:[Value idenifyer]],2,FALSE)</f>
        <v>T_BAU</v>
      </c>
      <c r="S427" s="233" t="s">
        <v>1101</v>
      </c>
      <c r="T427" s="234" t="s">
        <v>1113</v>
      </c>
      <c r="V427" s="233" t="str">
        <f>VLOOKUP(Table3[[#This Row],[Country Code]],Table29[],3,FALSE)</f>
        <v>Non-Annex I</v>
      </c>
      <c r="W427" s="233" t="str">
        <f>VLOOKUP(Table3[[#This Row],[Country Code]],Table29[],4,FALSE)</f>
        <v>Asia</v>
      </c>
      <c r="X427" s="233" t="str">
        <f>VLOOKUP(Table3[[#This Row],[Country Code]],Table29[],5,FALSE)</f>
        <v>Middle-income</v>
      </c>
      <c r="Y427" s="233" t="str">
        <f>VLOOKUP(Table3[[#This Row],[Country Code]],Table29[],6,FALSE)</f>
        <v>no</v>
      </c>
      <c r="Z427" s="233" t="str">
        <f>VLOOKUP(Table3[[#This Row],[Country Code]],Table29[],7,FALSE)</f>
        <v>no</v>
      </c>
      <c r="AA427" s="233" t="str">
        <f>VLOOKUP(Table3[[#This Row],[Country Code]],Table29[],8,FALSE)</f>
        <v>non-OECD</v>
      </c>
      <c r="AB427" s="233" t="str">
        <f>VLOOKUP(Table3[[#This Row],[Country Code]],Table29[],9,FALSE)</f>
        <v>no</v>
      </c>
      <c r="AC427" s="233" t="str">
        <f>VLOOKUP(Table3[[#This Row],[Country Code]],Table29[],10,FALSE)</f>
        <v>no</v>
      </c>
      <c r="AD427" s="235">
        <f>VLOOKUP(Table3[[#This Row],[Country Code]],Table29[],23,FALSE)</f>
        <v>42.056212706049003</v>
      </c>
      <c r="AE427" s="235">
        <f>VLOOKUP(Table3[[#This Row],[Country Code]],Table29[],24,FALSE)</f>
        <v>2.7307302074001272</v>
      </c>
      <c r="AF427" s="43"/>
    </row>
    <row r="428" spans="1:32" ht="30" x14ac:dyDescent="0.25">
      <c r="A428" s="360">
        <v>26792</v>
      </c>
      <c r="B428" s="233" t="str">
        <f>VLOOKUP(Table3[[#This Row],[Document ID]],Table1[],2,FALSE)</f>
        <v>GBR</v>
      </c>
      <c r="C428" s="233" t="str">
        <f>VLOOKUP(Table3[[#This Row],[Document ID]],Table1[],3,FALSE)</f>
        <v>United Kingdom</v>
      </c>
      <c r="D428" s="233" t="str">
        <f>VLOOKUP(Table3[[#This Row],[Document ID]],Table1[],5,FALSE)</f>
        <v>LTS</v>
      </c>
      <c r="E428" s="233" t="str">
        <f>VLOOKUP(Table3[[#This Row],[Document ID]],Table1[],7,FALSE)</f>
        <v>LTS</v>
      </c>
      <c r="F428" s="233" t="str">
        <f>VLOOKUP(Table3[[#This Row],[Document ID]],Table1[],8,FALSE)</f>
        <v>LTS 1.1</v>
      </c>
      <c r="G428" s="233" t="str">
        <f>VLOOKUP(Table3[[#This Row],[Document ID]],Table1[],10,FALSE)</f>
        <v>Active</v>
      </c>
      <c r="H428" s="42" t="s">
        <v>1095</v>
      </c>
      <c r="I428" s="42" t="s">
        <v>1096</v>
      </c>
      <c r="J428" s="42" t="s">
        <v>1097</v>
      </c>
      <c r="K428" s="28" t="s">
        <v>1104</v>
      </c>
      <c r="L428" s="389" t="s">
        <v>1099</v>
      </c>
      <c r="M428" s="209">
        <v>2035</v>
      </c>
      <c r="N428" s="44" t="s">
        <v>1545</v>
      </c>
      <c r="O428" s="258">
        <v>152</v>
      </c>
      <c r="P428" s="238" t="str">
        <f>VLOOKUP(_xlfn.CONCAT(Table3[[#This Row],[Target area]],Table3[[#This Row],[GHG target?]],Table3[[#This Row],[Conditionality]]),'Drop down'!$E$81:$F$101,2,FALSE)</f>
        <v>T_Transport_O_Unc</v>
      </c>
      <c r="Q428" s="239" t="str">
        <f>VLOOKUP(Table3[[#This Row],[Target type]],Table418[[Value name]:[Value idenifyer]],2,FALSE)</f>
        <v>T_O_ZERO</v>
      </c>
      <c r="S428" s="233" t="s">
        <v>1125</v>
      </c>
      <c r="T428" s="234" t="s">
        <v>1113</v>
      </c>
      <c r="U428" s="242" t="s">
        <v>1402</v>
      </c>
      <c r="V428" s="233" t="str">
        <f>VLOOKUP(Table3[[#This Row],[Country Code]],Table29[],3,FALSE)</f>
        <v>Annex I</v>
      </c>
      <c r="W428" s="233" t="str">
        <f>VLOOKUP(Table3[[#This Row],[Country Code]],Table29[],4,FALSE)</f>
        <v>Europe</v>
      </c>
      <c r="X428" s="233" t="str">
        <f>VLOOKUP(Table3[[#This Row],[Country Code]],Table29[],5,FALSE)</f>
        <v>High-income</v>
      </c>
      <c r="Y428" s="233" t="str">
        <f>VLOOKUP(Table3[[#This Row],[Country Code]],Table29[],6,FALSE)</f>
        <v>G20</v>
      </c>
      <c r="Z428" s="233" t="str">
        <f>VLOOKUP(Table3[[#This Row],[Country Code]],Table29[],7,FALSE)</f>
        <v>G7</v>
      </c>
      <c r="AA428" s="233" t="str">
        <f>VLOOKUP(Table3[[#This Row],[Country Code]],Table29[],8,FALSE)</f>
        <v>OECD</v>
      </c>
      <c r="AB428" s="233" t="str">
        <f>VLOOKUP(Table3[[#This Row],[Country Code]],Table29[],9,FALSE)</f>
        <v>no</v>
      </c>
      <c r="AC428" s="233" t="str">
        <f>VLOOKUP(Table3[[#This Row],[Country Code]],Table29[],10,FALSE)</f>
        <v>no</v>
      </c>
      <c r="AD428" s="235">
        <f>VLOOKUP(Table3[[#This Row],[Country Code]],Table29[],23,FALSE)</f>
        <v>379.31858785213001</v>
      </c>
      <c r="AE428" s="235">
        <f>VLOOKUP(Table3[[#This Row],[Country Code]],Table29[],24,FALSE)</f>
        <v>109.75048777474809</v>
      </c>
      <c r="AF428" s="43"/>
    </row>
    <row r="429" spans="1:32" ht="30" x14ac:dyDescent="0.25">
      <c r="A429" s="360">
        <v>26792</v>
      </c>
      <c r="B429" s="233" t="str">
        <f>VLOOKUP(Table3[[#This Row],[Document ID]],Table1[],2,FALSE)</f>
        <v>GBR</v>
      </c>
      <c r="C429" s="233" t="str">
        <f>VLOOKUP(Table3[[#This Row],[Document ID]],Table1[],3,FALSE)</f>
        <v>United Kingdom</v>
      </c>
      <c r="D429" s="233" t="str">
        <f>VLOOKUP(Table3[[#This Row],[Document ID]],Table1[],5,FALSE)</f>
        <v>LTS</v>
      </c>
      <c r="E429" s="233" t="str">
        <f>VLOOKUP(Table3[[#This Row],[Document ID]],Table1[],7,FALSE)</f>
        <v>LTS</v>
      </c>
      <c r="F429" s="233" t="str">
        <f>VLOOKUP(Table3[[#This Row],[Document ID]],Table1[],8,FALSE)</f>
        <v>LTS 1.1</v>
      </c>
      <c r="G429" s="233" t="str">
        <f>VLOOKUP(Table3[[#This Row],[Document ID]],Table1[],10,FALSE)</f>
        <v>Active</v>
      </c>
      <c r="H429" s="42" t="s">
        <v>1095</v>
      </c>
      <c r="I429" s="42" t="s">
        <v>1096</v>
      </c>
      <c r="J429" s="42" t="s">
        <v>1097</v>
      </c>
      <c r="K429" s="28" t="s">
        <v>1104</v>
      </c>
      <c r="L429" s="42" t="s">
        <v>1099</v>
      </c>
      <c r="M429" s="209">
        <v>2024</v>
      </c>
      <c r="N429" s="43" t="s">
        <v>1546</v>
      </c>
      <c r="O429" s="258">
        <v>152</v>
      </c>
      <c r="P429" s="238" t="str">
        <f>VLOOKUP(_xlfn.CONCAT(Table3[[#This Row],[Target area]],Table3[[#This Row],[GHG target?]],Table3[[#This Row],[Conditionality]]),'Drop down'!$E$81:$F$101,2,FALSE)</f>
        <v>T_Transport_O_Unc</v>
      </c>
      <c r="Q429" s="239" t="str">
        <f>VLOOKUP(Table3[[#This Row],[Target type]],Table418[[Value name]:[Value idenifyer]],2,FALSE)</f>
        <v>T_O_ZERO</v>
      </c>
      <c r="S429" s="233" t="s">
        <v>1125</v>
      </c>
      <c r="T429" s="234" t="s">
        <v>1113</v>
      </c>
      <c r="U429" s="242" t="s">
        <v>1402</v>
      </c>
      <c r="V429" s="233" t="str">
        <f>VLOOKUP(Table3[[#This Row],[Country Code]],Table29[],3,FALSE)</f>
        <v>Annex I</v>
      </c>
      <c r="W429" s="233" t="str">
        <f>VLOOKUP(Table3[[#This Row],[Country Code]],Table29[],4,FALSE)</f>
        <v>Europe</v>
      </c>
      <c r="X429" s="233" t="str">
        <f>VLOOKUP(Table3[[#This Row],[Country Code]],Table29[],5,FALSE)</f>
        <v>High-income</v>
      </c>
      <c r="Y429" s="233" t="str">
        <f>VLOOKUP(Table3[[#This Row],[Country Code]],Table29[],6,FALSE)</f>
        <v>G20</v>
      </c>
      <c r="Z429" s="233" t="str">
        <f>VLOOKUP(Table3[[#This Row],[Country Code]],Table29[],7,FALSE)</f>
        <v>G7</v>
      </c>
      <c r="AA429" s="233" t="str">
        <f>VLOOKUP(Table3[[#This Row],[Country Code]],Table29[],8,FALSE)</f>
        <v>OECD</v>
      </c>
      <c r="AB429" s="233" t="str">
        <f>VLOOKUP(Table3[[#This Row],[Country Code]],Table29[],9,FALSE)</f>
        <v>no</v>
      </c>
      <c r="AC429" s="233" t="str">
        <f>VLOOKUP(Table3[[#This Row],[Country Code]],Table29[],10,FALSE)</f>
        <v>no</v>
      </c>
      <c r="AD429" s="235">
        <f>VLOOKUP(Table3[[#This Row],[Country Code]],Table29[],23,FALSE)</f>
        <v>379.31858785213001</v>
      </c>
      <c r="AE429" s="235">
        <f>VLOOKUP(Table3[[#This Row],[Country Code]],Table29[],24,FALSE)</f>
        <v>109.75048777474809</v>
      </c>
      <c r="AF429" s="43"/>
    </row>
    <row r="430" spans="1:32" ht="30" x14ac:dyDescent="0.25">
      <c r="A430" s="360">
        <v>26792</v>
      </c>
      <c r="B430" s="233" t="str">
        <f>VLOOKUP(Table3[[#This Row],[Document ID]],Table1[],2,FALSE)</f>
        <v>GBR</v>
      </c>
      <c r="C430" s="233" t="str">
        <f>VLOOKUP(Table3[[#This Row],[Document ID]],Table1[],3,FALSE)</f>
        <v>United Kingdom</v>
      </c>
      <c r="D430" s="233" t="str">
        <f>VLOOKUP(Table3[[#This Row],[Document ID]],Table1[],5,FALSE)</f>
        <v>LTS</v>
      </c>
      <c r="E430" s="233" t="str">
        <f>VLOOKUP(Table3[[#This Row],[Document ID]],Table1[],7,FALSE)</f>
        <v>LTS</v>
      </c>
      <c r="F430" s="233" t="str">
        <f>VLOOKUP(Table3[[#This Row],[Document ID]],Table1[],8,FALSE)</f>
        <v>LTS 1.1</v>
      </c>
      <c r="G430" s="233" t="str">
        <f>VLOOKUP(Table3[[#This Row],[Document ID]],Table1[],10,FALSE)</f>
        <v>Active</v>
      </c>
      <c r="H430" s="42" t="s">
        <v>1095</v>
      </c>
      <c r="I430" s="42" t="s">
        <v>1096</v>
      </c>
      <c r="J430" s="42" t="s">
        <v>1097</v>
      </c>
      <c r="K430" s="28" t="s">
        <v>1104</v>
      </c>
      <c r="L430" s="389" t="s">
        <v>1099</v>
      </c>
      <c r="M430" s="209">
        <v>2040</v>
      </c>
      <c r="N430" s="43" t="s">
        <v>1547</v>
      </c>
      <c r="O430" s="258">
        <v>152</v>
      </c>
      <c r="P430" s="238" t="str">
        <f>VLOOKUP(_xlfn.CONCAT(Table3[[#This Row],[Target area]],Table3[[#This Row],[GHG target?]],Table3[[#This Row],[Conditionality]]),'Drop down'!$E$81:$F$101,2,FALSE)</f>
        <v>T_Transport_O_Unc</v>
      </c>
      <c r="Q430" s="239" t="str">
        <f>VLOOKUP(Table3[[#This Row],[Target type]],Table418[[Value name]:[Value idenifyer]],2,FALSE)</f>
        <v>T_O_ZERO</v>
      </c>
      <c r="S430" s="233" t="s">
        <v>1125</v>
      </c>
      <c r="T430" s="234" t="s">
        <v>1113</v>
      </c>
      <c r="U430" s="242" t="s">
        <v>1402</v>
      </c>
      <c r="V430" s="233" t="str">
        <f>VLOOKUP(Table3[[#This Row],[Country Code]],Table29[],3,FALSE)</f>
        <v>Annex I</v>
      </c>
      <c r="W430" s="233" t="str">
        <f>VLOOKUP(Table3[[#This Row],[Country Code]],Table29[],4,FALSE)</f>
        <v>Europe</v>
      </c>
      <c r="X430" s="233" t="str">
        <f>VLOOKUP(Table3[[#This Row],[Country Code]],Table29[],5,FALSE)</f>
        <v>High-income</v>
      </c>
      <c r="Y430" s="233" t="str">
        <f>VLOOKUP(Table3[[#This Row],[Country Code]],Table29[],6,FALSE)</f>
        <v>G20</v>
      </c>
      <c r="Z430" s="233" t="str">
        <f>VLOOKUP(Table3[[#This Row],[Country Code]],Table29[],7,FALSE)</f>
        <v>G7</v>
      </c>
      <c r="AA430" s="233" t="str">
        <f>VLOOKUP(Table3[[#This Row],[Country Code]],Table29[],8,FALSE)</f>
        <v>OECD</v>
      </c>
      <c r="AB430" s="233" t="str">
        <f>VLOOKUP(Table3[[#This Row],[Country Code]],Table29[],9,FALSE)</f>
        <v>no</v>
      </c>
      <c r="AC430" s="233" t="str">
        <f>VLOOKUP(Table3[[#This Row],[Country Code]],Table29[],10,FALSE)</f>
        <v>no</v>
      </c>
      <c r="AD430" s="235">
        <f>VLOOKUP(Table3[[#This Row],[Country Code]],Table29[],23,FALSE)</f>
        <v>379.31858785213001</v>
      </c>
      <c r="AE430" s="235">
        <f>VLOOKUP(Table3[[#This Row],[Country Code]],Table29[],24,FALSE)</f>
        <v>109.75048777474809</v>
      </c>
      <c r="AF430" s="43"/>
    </row>
    <row r="431" spans="1:32" ht="30" x14ac:dyDescent="0.25">
      <c r="A431" s="360">
        <v>26792</v>
      </c>
      <c r="B431" s="233" t="str">
        <f>VLOOKUP(Table3[[#This Row],[Document ID]],Table1[],2,FALSE)</f>
        <v>GBR</v>
      </c>
      <c r="C431" s="233" t="str">
        <f>VLOOKUP(Table3[[#This Row],[Document ID]],Table1[],3,FALSE)</f>
        <v>United Kingdom</v>
      </c>
      <c r="D431" s="233" t="str">
        <f>VLOOKUP(Table3[[#This Row],[Document ID]],Table1[],5,FALSE)</f>
        <v>LTS</v>
      </c>
      <c r="E431" s="233" t="str">
        <f>VLOOKUP(Table3[[#This Row],[Document ID]],Table1[],7,FALSE)</f>
        <v>LTS</v>
      </c>
      <c r="F431" s="233" t="str">
        <f>VLOOKUP(Table3[[#This Row],[Document ID]],Table1[],8,FALSE)</f>
        <v>LTS 1.1</v>
      </c>
      <c r="G431" s="233" t="str">
        <f>VLOOKUP(Table3[[#This Row],[Document ID]],Table1[],10,FALSE)</f>
        <v>Active</v>
      </c>
      <c r="H431" s="42" t="s">
        <v>1095</v>
      </c>
      <c r="I431" s="42" t="s">
        <v>1096</v>
      </c>
      <c r="J431" s="42" t="s">
        <v>1097</v>
      </c>
      <c r="K431" s="28" t="s">
        <v>1104</v>
      </c>
      <c r="L431" s="389" t="s">
        <v>1099</v>
      </c>
      <c r="M431" s="209">
        <v>2022</v>
      </c>
      <c r="N431" s="43" t="s">
        <v>1548</v>
      </c>
      <c r="O431" s="258">
        <v>152</v>
      </c>
      <c r="P431" s="238" t="str">
        <f>VLOOKUP(_xlfn.CONCAT(Table3[[#This Row],[Target area]],Table3[[#This Row],[GHG target?]],Table3[[#This Row],[Conditionality]]),'Drop down'!$E$81:$F$101,2,FALSE)</f>
        <v>T_Transport_O_Unc</v>
      </c>
      <c r="Q431" s="239" t="str">
        <f>VLOOKUP(Table3[[#This Row],[Target type]],Table418[[Value name]:[Value idenifyer]],2,FALSE)</f>
        <v>T_O_ZERO</v>
      </c>
      <c r="S431" s="233" t="s">
        <v>1125</v>
      </c>
      <c r="T431" s="234" t="s">
        <v>1113</v>
      </c>
      <c r="U431" s="242" t="s">
        <v>1402</v>
      </c>
      <c r="V431" s="233" t="str">
        <f>VLOOKUP(Table3[[#This Row],[Country Code]],Table29[],3,FALSE)</f>
        <v>Annex I</v>
      </c>
      <c r="W431" s="233" t="str">
        <f>VLOOKUP(Table3[[#This Row],[Country Code]],Table29[],4,FALSE)</f>
        <v>Europe</v>
      </c>
      <c r="X431" s="233" t="str">
        <f>VLOOKUP(Table3[[#This Row],[Country Code]],Table29[],5,FALSE)</f>
        <v>High-income</v>
      </c>
      <c r="Y431" s="233" t="str">
        <f>VLOOKUP(Table3[[#This Row],[Country Code]],Table29[],6,FALSE)</f>
        <v>G20</v>
      </c>
      <c r="Z431" s="233" t="str">
        <f>VLOOKUP(Table3[[#This Row],[Country Code]],Table29[],7,FALSE)</f>
        <v>G7</v>
      </c>
      <c r="AA431" s="233" t="str">
        <f>VLOOKUP(Table3[[#This Row],[Country Code]],Table29[],8,FALSE)</f>
        <v>OECD</v>
      </c>
      <c r="AB431" s="233" t="str">
        <f>VLOOKUP(Table3[[#This Row],[Country Code]],Table29[],9,FALSE)</f>
        <v>no</v>
      </c>
      <c r="AC431" s="233" t="str">
        <f>VLOOKUP(Table3[[#This Row],[Country Code]],Table29[],10,FALSE)</f>
        <v>no</v>
      </c>
      <c r="AD431" s="235">
        <f>VLOOKUP(Table3[[#This Row],[Country Code]],Table29[],23,FALSE)</f>
        <v>379.31858785213001</v>
      </c>
      <c r="AE431" s="235">
        <f>VLOOKUP(Table3[[#This Row],[Country Code]],Table29[],24,FALSE)</f>
        <v>109.75048777474809</v>
      </c>
      <c r="AF431" s="43"/>
    </row>
    <row r="432" spans="1:32" x14ac:dyDescent="0.25">
      <c r="A432" s="360">
        <v>17637</v>
      </c>
      <c r="B432" s="233" t="str">
        <f>VLOOKUP(Table3[[#This Row],[Document ID]],Table1[],2,FALSE)</f>
        <v>LAO</v>
      </c>
      <c r="C432" s="233" t="str">
        <f>VLOOKUP(Table3[[#This Row],[Document ID]],Table1[],3,FALSE)</f>
        <v>Lao People’s Democratic Republic</v>
      </c>
      <c r="D432" s="233" t="str">
        <f>VLOOKUP(Table3[[#This Row],[Document ID]],Table1[],5,FALSE)</f>
        <v>NDC</v>
      </c>
      <c r="E432" s="233" t="str">
        <f>VLOOKUP(Table3[[#This Row],[Document ID]],Table1[],7,FALSE)</f>
        <v>First NDC</v>
      </c>
      <c r="F432" s="233" t="str">
        <f>VLOOKUP(Table3[[#This Row],[Document ID]],Table1[],8,FALSE)</f>
        <v>NDC 1.0</v>
      </c>
      <c r="G432" s="233" t="str">
        <f>VLOOKUP(Table3[[#This Row],[Document ID]],Table1[],10,FALSE)</f>
        <v>Archived</v>
      </c>
      <c r="H432" s="216" t="s">
        <v>1089</v>
      </c>
      <c r="I432" s="216" t="s">
        <v>1089</v>
      </c>
      <c r="J432" s="43" t="s">
        <v>1090</v>
      </c>
      <c r="K432" s="28" t="s">
        <v>1121</v>
      </c>
      <c r="L432" s="216" t="s">
        <v>1092</v>
      </c>
      <c r="M432" s="209">
        <v>2025</v>
      </c>
      <c r="N432" s="176" t="s">
        <v>1549</v>
      </c>
      <c r="O432" s="258" t="s">
        <v>1094</v>
      </c>
      <c r="P432" s="238" t="str">
        <f>VLOOKUP(_xlfn.CONCAT(Table3[[#This Row],[Target area]],Table3[[#This Row],[GHG target?]],Table3[[#This Row],[Conditionality]]),'Drop down'!$E$81:$F$101,2,FALSE)</f>
        <v>T_Economy_C</v>
      </c>
      <c r="Q432" s="239" t="str">
        <f>VLOOKUP(Table3[[#This Row],[Target type]],Table418[[Value name]:[Value idenifyer]],2,FALSE)</f>
        <v>T_FL</v>
      </c>
      <c r="S432" s="233" t="s">
        <v>1101</v>
      </c>
      <c r="T432" s="234" t="s">
        <v>1113</v>
      </c>
      <c r="V432" s="233" t="str">
        <f>VLOOKUP(Table3[[#This Row],[Country Code]],Table29[],3,FALSE)</f>
        <v>Non-Annex I</v>
      </c>
      <c r="W432" s="233" t="str">
        <f>VLOOKUP(Table3[[#This Row],[Country Code]],Table29[],4,FALSE)</f>
        <v>Asia</v>
      </c>
      <c r="X432" s="233" t="str">
        <f>VLOOKUP(Table3[[#This Row],[Country Code]],Table29[],5,FALSE)</f>
        <v>Middle-income</v>
      </c>
      <c r="Y432" s="233" t="str">
        <f>VLOOKUP(Table3[[#This Row],[Country Code]],Table29[],6,FALSE)</f>
        <v>no</v>
      </c>
      <c r="Z432" s="233" t="str">
        <f>VLOOKUP(Table3[[#This Row],[Country Code]],Table29[],7,FALSE)</f>
        <v>no</v>
      </c>
      <c r="AA432" s="233" t="str">
        <f>VLOOKUP(Table3[[#This Row],[Country Code]],Table29[],8,FALSE)</f>
        <v>non-OECD</v>
      </c>
      <c r="AB432" s="233" t="str">
        <f>VLOOKUP(Table3[[#This Row],[Country Code]],Table29[],9,FALSE)</f>
        <v>no</v>
      </c>
      <c r="AC432" s="233" t="str">
        <f>VLOOKUP(Table3[[#This Row],[Country Code]],Table29[],10,FALSE)</f>
        <v>no</v>
      </c>
      <c r="AD432" s="235">
        <f>VLOOKUP(Table3[[#This Row],[Country Code]],Table29[],23,FALSE)</f>
        <v>42.056212706049003</v>
      </c>
      <c r="AE432" s="235">
        <f>VLOOKUP(Table3[[#This Row],[Country Code]],Table29[],24,FALSE)</f>
        <v>2.7307302074001272</v>
      </c>
      <c r="AF432" s="43"/>
    </row>
    <row r="433" spans="1:32" ht="60" x14ac:dyDescent="0.25">
      <c r="A433" s="360">
        <v>17638</v>
      </c>
      <c r="B433" s="233" t="str">
        <f>VLOOKUP(Table3[[#This Row],[Document ID]],Table1[],2,FALSE)</f>
        <v>LVA</v>
      </c>
      <c r="C433" s="233" t="str">
        <f>VLOOKUP(Table3[[#This Row],[Document ID]],Table1[],3,FALSE)</f>
        <v>Latvia</v>
      </c>
      <c r="D433" s="233" t="str">
        <f>VLOOKUP(Table3[[#This Row],[Document ID]],Table1[],5,FALSE)</f>
        <v>LTS</v>
      </c>
      <c r="E433" s="233" t="str">
        <f>VLOOKUP(Table3[[#This Row],[Document ID]],Table1[],7,FALSE)</f>
        <v>LTS</v>
      </c>
      <c r="F433" s="233" t="str">
        <f>VLOOKUP(Table3[[#This Row],[Document ID]],Table1[],8,FALSE)</f>
        <v>LTS 1.0</v>
      </c>
      <c r="G433" s="233" t="str">
        <f>VLOOKUP(Table3[[#This Row],[Document ID]],Table1[],10,FALSE)</f>
        <v>Active</v>
      </c>
      <c r="H433" s="216" t="s">
        <v>1089</v>
      </c>
      <c r="I433" s="216" t="s">
        <v>1089</v>
      </c>
      <c r="J433" s="43" t="s">
        <v>1090</v>
      </c>
      <c r="K433" s="28" t="s">
        <v>1153</v>
      </c>
      <c r="L433" s="42" t="s">
        <v>1099</v>
      </c>
      <c r="M433" s="209">
        <v>2050</v>
      </c>
      <c r="N433" s="44" t="s">
        <v>1550</v>
      </c>
      <c r="O433" s="221">
        <v>9</v>
      </c>
      <c r="P433" s="238" t="str">
        <f>VLOOKUP(_xlfn.CONCAT(Table3[[#This Row],[Target area]],Table3[[#This Row],[GHG target?]],Table3[[#This Row],[Conditionality]]),'Drop down'!$E$81:$F$101,2,FALSE)</f>
        <v>T_Economy_Unc</v>
      </c>
      <c r="Q433" s="239" t="str">
        <f>VLOOKUP(Table3[[#This Row],[Target type]],Table418[[Value name]:[Value idenifyer]],2,FALSE)</f>
        <v>T_BYE</v>
      </c>
      <c r="T433" s="234" t="s">
        <v>1113</v>
      </c>
      <c r="V433" s="233" t="str">
        <f>VLOOKUP(Table3[[#This Row],[Country Code]],Table29[],3,FALSE)</f>
        <v>Annex I</v>
      </c>
      <c r="W433" s="233" t="str">
        <f>VLOOKUP(Table3[[#This Row],[Country Code]],Table29[],4,FALSE)</f>
        <v>Europe</v>
      </c>
      <c r="X433" s="233" t="str">
        <f>VLOOKUP(Table3[[#This Row],[Country Code]],Table29[],5,FALSE)</f>
        <v>High-income</v>
      </c>
      <c r="Y433" s="233" t="str">
        <f>VLOOKUP(Table3[[#This Row],[Country Code]],Table29[],6,FALSE)</f>
        <v>no</v>
      </c>
      <c r="Z433" s="233" t="str">
        <f>VLOOKUP(Table3[[#This Row],[Country Code]],Table29[],7,FALSE)</f>
        <v>no</v>
      </c>
      <c r="AA433" s="233" t="str">
        <f>VLOOKUP(Table3[[#This Row],[Country Code]],Table29[],8,FALSE)</f>
        <v>OECD</v>
      </c>
      <c r="AB433" s="233" t="str">
        <f>VLOOKUP(Table3[[#This Row],[Country Code]],Table29[],9,FALSE)</f>
        <v>EU27</v>
      </c>
      <c r="AC433" s="233" t="str">
        <f>VLOOKUP(Table3[[#This Row],[Country Code]],Table29[],10,FALSE)</f>
        <v>no</v>
      </c>
      <c r="AD433" s="235">
        <f>VLOOKUP(Table3[[#This Row],[Country Code]],Table29[],23,FALSE)</f>
        <v>10.957491923456001</v>
      </c>
      <c r="AE433" s="235">
        <f>VLOOKUP(Table3[[#This Row],[Country Code]],Table29[],24,FALSE)</f>
        <v>3.102706195463615</v>
      </c>
      <c r="AF433" s="43"/>
    </row>
    <row r="434" spans="1:32" x14ac:dyDescent="0.25">
      <c r="A434" s="360">
        <v>17641</v>
      </c>
      <c r="B434" s="233" t="str">
        <f>VLOOKUP(Table3[[#This Row],[Document ID]],Table1[],2,FALSE)</f>
        <v>LBN</v>
      </c>
      <c r="C434" s="233" t="str">
        <f>VLOOKUP(Table3[[#This Row],[Document ID]],Table1[],3,FALSE)</f>
        <v>Lebanon</v>
      </c>
      <c r="D434" s="233" t="str">
        <f>VLOOKUP(Table3[[#This Row],[Document ID]],Table1[],5,FALSE)</f>
        <v>NDC</v>
      </c>
      <c r="E434" s="233" t="str">
        <f>VLOOKUP(Table3[[#This Row],[Document ID]],Table1[],7,FALSE)</f>
        <v>First NDC updated</v>
      </c>
      <c r="F434" s="233" t="str">
        <f>VLOOKUP(Table3[[#This Row],[Document ID]],Table1[],8,FALSE)</f>
        <v>NDC 1.1</v>
      </c>
      <c r="G434" s="233" t="str">
        <f>VLOOKUP(Table3[[#This Row],[Document ID]],Table1[],10,FALSE)</f>
        <v>Active</v>
      </c>
      <c r="H434" s="216" t="s">
        <v>1089</v>
      </c>
      <c r="I434" s="216" t="s">
        <v>1089</v>
      </c>
      <c r="J434" s="43" t="s">
        <v>1090</v>
      </c>
      <c r="K434" s="28" t="s">
        <v>1091</v>
      </c>
      <c r="L434" s="42" t="s">
        <v>1099</v>
      </c>
      <c r="M434" s="209">
        <v>2030</v>
      </c>
      <c r="N434" s="44" t="s">
        <v>1551</v>
      </c>
      <c r="O434" s="221">
        <v>6</v>
      </c>
      <c r="P434" s="238" t="str">
        <f>VLOOKUP(_xlfn.CONCAT(Table3[[#This Row],[Target area]],Table3[[#This Row],[GHG target?]],Table3[[#This Row],[Conditionality]]),'Drop down'!$E$81:$F$101,2,FALSE)</f>
        <v>T_Economy_Unc</v>
      </c>
      <c r="Q434" s="239" t="str">
        <f>VLOOKUP(Table3[[#This Row],[Target type]],Table418[[Value name]:[Value idenifyer]],2,FALSE)</f>
        <v>T_BAU</v>
      </c>
      <c r="V434" s="233" t="str">
        <f>VLOOKUP(Table3[[#This Row],[Country Code]],Table29[],3,FALSE)</f>
        <v>Non-Annex I</v>
      </c>
      <c r="W434" s="233" t="str">
        <f>VLOOKUP(Table3[[#This Row],[Country Code]],Table29[],4,FALSE)</f>
        <v>Asia</v>
      </c>
      <c r="X434" s="233" t="str">
        <f>VLOOKUP(Table3[[#This Row],[Country Code]],Table29[],5,FALSE)</f>
        <v>Middle-income</v>
      </c>
      <c r="Y434" s="233" t="str">
        <f>VLOOKUP(Table3[[#This Row],[Country Code]],Table29[],6,FALSE)</f>
        <v>no</v>
      </c>
      <c r="Z434" s="233" t="str">
        <f>VLOOKUP(Table3[[#This Row],[Country Code]],Table29[],7,FALSE)</f>
        <v>no</v>
      </c>
      <c r="AA434" s="233" t="str">
        <f>VLOOKUP(Table3[[#This Row],[Country Code]],Table29[],8,FALSE)</f>
        <v>non-OECD</v>
      </c>
      <c r="AB434" s="233" t="str">
        <f>VLOOKUP(Table3[[#This Row],[Country Code]],Table29[],9,FALSE)</f>
        <v>no</v>
      </c>
      <c r="AC434" s="233" t="str">
        <f>VLOOKUP(Table3[[#This Row],[Country Code]],Table29[],10,FALSE)</f>
        <v>MENA</v>
      </c>
      <c r="AD434" s="235">
        <f>VLOOKUP(Table3[[#This Row],[Country Code]],Table29[],23,FALSE)</f>
        <v>24.672324496902</v>
      </c>
      <c r="AE434" s="235">
        <f>VLOOKUP(Table3[[#This Row],[Country Code]],Table29[],24,FALSE)</f>
        <v>7.1354134198886934</v>
      </c>
      <c r="AF434" s="43"/>
    </row>
    <row r="435" spans="1:32" x14ac:dyDescent="0.25">
      <c r="A435" s="360">
        <v>17641</v>
      </c>
      <c r="B435" s="233" t="str">
        <f>VLOOKUP(Table3[[#This Row],[Document ID]],Table1[],2,FALSE)</f>
        <v>LBN</v>
      </c>
      <c r="C435" s="233" t="str">
        <f>VLOOKUP(Table3[[#This Row],[Document ID]],Table1[],3,FALSE)</f>
        <v>Lebanon</v>
      </c>
      <c r="D435" s="233" t="str">
        <f>VLOOKUP(Table3[[#This Row],[Document ID]],Table1[],5,FALSE)</f>
        <v>NDC</v>
      </c>
      <c r="E435" s="233" t="str">
        <f>VLOOKUP(Table3[[#This Row],[Document ID]],Table1[],7,FALSE)</f>
        <v>First NDC updated</v>
      </c>
      <c r="F435" s="233" t="str">
        <f>VLOOKUP(Table3[[#This Row],[Document ID]],Table1[],8,FALSE)</f>
        <v>NDC 1.1</v>
      </c>
      <c r="G435" s="233" t="str">
        <f>VLOOKUP(Table3[[#This Row],[Document ID]],Table1[],10,FALSE)</f>
        <v>Active</v>
      </c>
      <c r="H435" s="216" t="s">
        <v>1089</v>
      </c>
      <c r="I435" s="216" t="s">
        <v>1089</v>
      </c>
      <c r="J435" s="43" t="s">
        <v>1090</v>
      </c>
      <c r="K435" s="28" t="s">
        <v>1091</v>
      </c>
      <c r="L435" s="216" t="s">
        <v>1092</v>
      </c>
      <c r="M435" s="209">
        <v>2030</v>
      </c>
      <c r="N435" s="44" t="s">
        <v>1552</v>
      </c>
      <c r="O435" s="221">
        <v>6</v>
      </c>
      <c r="P435" s="238" t="str">
        <f>VLOOKUP(_xlfn.CONCAT(Table3[[#This Row],[Target area]],Table3[[#This Row],[GHG target?]],Table3[[#This Row],[Conditionality]]),'Drop down'!$E$81:$F$101,2,FALSE)</f>
        <v>T_Economy_C</v>
      </c>
      <c r="Q435" s="239" t="str">
        <f>VLOOKUP(Table3[[#This Row],[Target type]],Table418[[Value name]:[Value idenifyer]],2,FALSE)</f>
        <v>T_BAU</v>
      </c>
      <c r="V435" s="233" t="str">
        <f>VLOOKUP(Table3[[#This Row],[Country Code]],Table29[],3,FALSE)</f>
        <v>Non-Annex I</v>
      </c>
      <c r="W435" s="233" t="str">
        <f>VLOOKUP(Table3[[#This Row],[Country Code]],Table29[],4,FALSE)</f>
        <v>Asia</v>
      </c>
      <c r="X435" s="233" t="str">
        <f>VLOOKUP(Table3[[#This Row],[Country Code]],Table29[],5,FALSE)</f>
        <v>Middle-income</v>
      </c>
      <c r="Y435" s="233" t="str">
        <f>VLOOKUP(Table3[[#This Row],[Country Code]],Table29[],6,FALSE)</f>
        <v>no</v>
      </c>
      <c r="Z435" s="233" t="str">
        <f>VLOOKUP(Table3[[#This Row],[Country Code]],Table29[],7,FALSE)</f>
        <v>no</v>
      </c>
      <c r="AA435" s="233" t="str">
        <f>VLOOKUP(Table3[[#This Row],[Country Code]],Table29[],8,FALSE)</f>
        <v>non-OECD</v>
      </c>
      <c r="AB435" s="233" t="str">
        <f>VLOOKUP(Table3[[#This Row],[Country Code]],Table29[],9,FALSE)</f>
        <v>no</v>
      </c>
      <c r="AC435" s="233" t="str">
        <f>VLOOKUP(Table3[[#This Row],[Country Code]],Table29[],10,FALSE)</f>
        <v>MENA</v>
      </c>
      <c r="AD435" s="235">
        <f>VLOOKUP(Table3[[#This Row],[Country Code]],Table29[],23,FALSE)</f>
        <v>24.672324496902</v>
      </c>
      <c r="AE435" s="235">
        <f>VLOOKUP(Table3[[#This Row],[Country Code]],Table29[],24,FALSE)</f>
        <v>7.1354134198886934</v>
      </c>
      <c r="AF435" s="43"/>
    </row>
    <row r="436" spans="1:32" x14ac:dyDescent="0.25">
      <c r="A436" s="360">
        <v>17640</v>
      </c>
      <c r="B436" s="233" t="str">
        <f>VLOOKUP(Table3[[#This Row],[Document ID]],Table1[],2,FALSE)</f>
        <v>LBN</v>
      </c>
      <c r="C436" s="233" t="str">
        <f>VLOOKUP(Table3[[#This Row],[Document ID]],Table1[],3,FALSE)</f>
        <v>Lebanon</v>
      </c>
      <c r="D436" s="233" t="str">
        <f>VLOOKUP(Table3[[#This Row],[Document ID]],Table1[],5,FALSE)</f>
        <v>NDC</v>
      </c>
      <c r="E436" s="233" t="str">
        <f>VLOOKUP(Table3[[#This Row],[Document ID]],Table1[],7,FALSE)</f>
        <v>First NDC</v>
      </c>
      <c r="F436" s="233" t="str">
        <f>VLOOKUP(Table3[[#This Row],[Document ID]],Table1[],8,FALSE)</f>
        <v>NDC 1.0</v>
      </c>
      <c r="G436" s="233" t="str">
        <f>VLOOKUP(Table3[[#This Row],[Document ID]],Table1[],10,FALSE)</f>
        <v>Archived</v>
      </c>
      <c r="H436" s="216" t="s">
        <v>1089</v>
      </c>
      <c r="I436" s="216" t="s">
        <v>1089</v>
      </c>
      <c r="J436" s="43" t="s">
        <v>1090</v>
      </c>
      <c r="K436" s="28" t="s">
        <v>1091</v>
      </c>
      <c r="L436" s="42" t="s">
        <v>1099</v>
      </c>
      <c r="M436" s="209">
        <v>2030</v>
      </c>
      <c r="N436" s="176" t="s">
        <v>1420</v>
      </c>
      <c r="O436" s="258" t="s">
        <v>1094</v>
      </c>
      <c r="P436" s="238" t="str">
        <f>VLOOKUP(_xlfn.CONCAT(Table3[[#This Row],[Target area]],Table3[[#This Row],[GHG target?]],Table3[[#This Row],[Conditionality]]),'Drop down'!$E$81:$F$101,2,FALSE)</f>
        <v>T_Economy_Unc</v>
      </c>
      <c r="Q436" s="239" t="str">
        <f>VLOOKUP(Table3[[#This Row],[Target type]],Table418[[Value name]:[Value idenifyer]],2,FALSE)</f>
        <v>T_BAU</v>
      </c>
      <c r="V436" s="233" t="str">
        <f>VLOOKUP(Table3[[#This Row],[Country Code]],Table29[],3,FALSE)</f>
        <v>Non-Annex I</v>
      </c>
      <c r="W436" s="233" t="str">
        <f>VLOOKUP(Table3[[#This Row],[Country Code]],Table29[],4,FALSE)</f>
        <v>Asia</v>
      </c>
      <c r="X436" s="233" t="str">
        <f>VLOOKUP(Table3[[#This Row],[Country Code]],Table29[],5,FALSE)</f>
        <v>Middle-income</v>
      </c>
      <c r="Y436" s="233" t="str">
        <f>VLOOKUP(Table3[[#This Row],[Country Code]],Table29[],6,FALSE)</f>
        <v>no</v>
      </c>
      <c r="Z436" s="233" t="str">
        <f>VLOOKUP(Table3[[#This Row],[Country Code]],Table29[],7,FALSE)</f>
        <v>no</v>
      </c>
      <c r="AA436" s="233" t="str">
        <f>VLOOKUP(Table3[[#This Row],[Country Code]],Table29[],8,FALSE)</f>
        <v>non-OECD</v>
      </c>
      <c r="AB436" s="233" t="str">
        <f>VLOOKUP(Table3[[#This Row],[Country Code]],Table29[],9,FALSE)</f>
        <v>no</v>
      </c>
      <c r="AC436" s="233" t="str">
        <f>VLOOKUP(Table3[[#This Row],[Country Code]],Table29[],10,FALSE)</f>
        <v>MENA</v>
      </c>
      <c r="AD436" s="235">
        <f>VLOOKUP(Table3[[#This Row],[Country Code]],Table29[],23,FALSE)</f>
        <v>24.672324496902</v>
      </c>
      <c r="AE436" s="235">
        <f>VLOOKUP(Table3[[#This Row],[Country Code]],Table29[],24,FALSE)</f>
        <v>7.1354134198886934</v>
      </c>
      <c r="AF436" s="43"/>
    </row>
    <row r="437" spans="1:32" x14ac:dyDescent="0.25">
      <c r="A437" s="360">
        <v>17640</v>
      </c>
      <c r="B437" s="233" t="str">
        <f>VLOOKUP(Table3[[#This Row],[Document ID]],Table1[],2,FALSE)</f>
        <v>LBN</v>
      </c>
      <c r="C437" s="233" t="str">
        <f>VLOOKUP(Table3[[#This Row],[Document ID]],Table1[],3,FALSE)</f>
        <v>Lebanon</v>
      </c>
      <c r="D437" s="233" t="str">
        <f>VLOOKUP(Table3[[#This Row],[Document ID]],Table1[],5,FALSE)</f>
        <v>NDC</v>
      </c>
      <c r="E437" s="233" t="str">
        <f>VLOOKUP(Table3[[#This Row],[Document ID]],Table1[],7,FALSE)</f>
        <v>First NDC</v>
      </c>
      <c r="F437" s="233" t="str">
        <f>VLOOKUP(Table3[[#This Row],[Document ID]],Table1[],8,FALSE)</f>
        <v>NDC 1.0</v>
      </c>
      <c r="G437" s="233" t="str">
        <f>VLOOKUP(Table3[[#This Row],[Document ID]],Table1[],10,FALSE)</f>
        <v>Archived</v>
      </c>
      <c r="H437" s="216" t="s">
        <v>1089</v>
      </c>
      <c r="I437" s="216" t="s">
        <v>1089</v>
      </c>
      <c r="J437" s="43" t="s">
        <v>1090</v>
      </c>
      <c r="K437" s="28" t="s">
        <v>1091</v>
      </c>
      <c r="L437" s="216" t="s">
        <v>1092</v>
      </c>
      <c r="M437" s="209">
        <v>2030</v>
      </c>
      <c r="N437" s="176" t="s">
        <v>1553</v>
      </c>
      <c r="O437" s="258" t="s">
        <v>1094</v>
      </c>
      <c r="P437" s="238" t="str">
        <f>VLOOKUP(_xlfn.CONCAT(Table3[[#This Row],[Target area]],Table3[[#This Row],[GHG target?]],Table3[[#This Row],[Conditionality]]),'Drop down'!$E$81:$F$101,2,FALSE)</f>
        <v>T_Economy_C</v>
      </c>
      <c r="Q437" s="239" t="str">
        <f>VLOOKUP(Table3[[#This Row],[Target type]],Table418[[Value name]:[Value idenifyer]],2,FALSE)</f>
        <v>T_BAU</v>
      </c>
      <c r="V437" s="233" t="str">
        <f>VLOOKUP(Table3[[#This Row],[Country Code]],Table29[],3,FALSE)</f>
        <v>Non-Annex I</v>
      </c>
      <c r="W437" s="233" t="str">
        <f>VLOOKUP(Table3[[#This Row],[Country Code]],Table29[],4,FALSE)</f>
        <v>Asia</v>
      </c>
      <c r="X437" s="233" t="str">
        <f>VLOOKUP(Table3[[#This Row],[Country Code]],Table29[],5,FALSE)</f>
        <v>Middle-income</v>
      </c>
      <c r="Y437" s="233" t="str">
        <f>VLOOKUP(Table3[[#This Row],[Country Code]],Table29[],6,FALSE)</f>
        <v>no</v>
      </c>
      <c r="Z437" s="233" t="str">
        <f>VLOOKUP(Table3[[#This Row],[Country Code]],Table29[],7,FALSE)</f>
        <v>no</v>
      </c>
      <c r="AA437" s="233" t="str">
        <f>VLOOKUP(Table3[[#This Row],[Country Code]],Table29[],8,FALSE)</f>
        <v>non-OECD</v>
      </c>
      <c r="AB437" s="233" t="str">
        <f>VLOOKUP(Table3[[#This Row],[Country Code]],Table29[],9,FALSE)</f>
        <v>no</v>
      </c>
      <c r="AC437" s="233" t="str">
        <f>VLOOKUP(Table3[[#This Row],[Country Code]],Table29[],10,FALSE)</f>
        <v>MENA</v>
      </c>
      <c r="AD437" s="235">
        <f>VLOOKUP(Table3[[#This Row],[Country Code]],Table29[],23,FALSE)</f>
        <v>24.672324496902</v>
      </c>
      <c r="AE437" s="235">
        <f>VLOOKUP(Table3[[#This Row],[Country Code]],Table29[],24,FALSE)</f>
        <v>7.1354134198886934</v>
      </c>
      <c r="AF437" s="43"/>
    </row>
    <row r="438" spans="1:32" x14ac:dyDescent="0.25">
      <c r="A438" s="360">
        <v>17642</v>
      </c>
      <c r="B438" s="233" t="str">
        <f>VLOOKUP(Table3[[#This Row],[Document ID]],Table1[],2,FALSE)</f>
        <v>LSO</v>
      </c>
      <c r="C438" s="233" t="str">
        <f>VLOOKUP(Table3[[#This Row],[Document ID]],Table1[],3,FALSE)</f>
        <v>Lesotho</v>
      </c>
      <c r="D438" s="233" t="str">
        <f>VLOOKUP(Table3[[#This Row],[Document ID]],Table1[],5,FALSE)</f>
        <v>NDC</v>
      </c>
      <c r="E438" s="233" t="str">
        <f>VLOOKUP(Table3[[#This Row],[Document ID]],Table1[],7,FALSE)</f>
        <v>First NDC</v>
      </c>
      <c r="F438" s="233" t="str">
        <f>VLOOKUP(Table3[[#This Row],[Document ID]],Table1[],8,FALSE)</f>
        <v>NDC 1.0</v>
      </c>
      <c r="G438" s="233" t="str">
        <f>VLOOKUP(Table3[[#This Row],[Document ID]],Table1[],10,FALSE)</f>
        <v>Archived</v>
      </c>
      <c r="H438" s="216" t="s">
        <v>1089</v>
      </c>
      <c r="I438" s="216" t="s">
        <v>1089</v>
      </c>
      <c r="J438" s="43" t="s">
        <v>1090</v>
      </c>
      <c r="K438" s="28" t="s">
        <v>1091</v>
      </c>
      <c r="L438" s="42" t="s">
        <v>1099</v>
      </c>
      <c r="M438" s="209">
        <v>2030</v>
      </c>
      <c r="N438" s="176" t="s">
        <v>1554</v>
      </c>
      <c r="O438" s="258" t="s">
        <v>1094</v>
      </c>
      <c r="P438" s="238" t="str">
        <f>VLOOKUP(_xlfn.CONCAT(Table3[[#This Row],[Target area]],Table3[[#This Row],[GHG target?]],Table3[[#This Row],[Conditionality]]),'Drop down'!$E$81:$F$101,2,FALSE)</f>
        <v>T_Economy_Unc</v>
      </c>
      <c r="Q438" s="239" t="str">
        <f>VLOOKUP(Table3[[#This Row],[Target type]],Table418[[Value name]:[Value idenifyer]],2,FALSE)</f>
        <v>T_BAU</v>
      </c>
      <c r="V438" s="233" t="str">
        <f>VLOOKUP(Table3[[#This Row],[Country Code]],Table29[],3,FALSE)</f>
        <v>Non-Annex I</v>
      </c>
      <c r="W438" s="233" t="str">
        <f>VLOOKUP(Table3[[#This Row],[Country Code]],Table29[],4,FALSE)</f>
        <v>Africa</v>
      </c>
      <c r="X438" s="233" t="str">
        <f>VLOOKUP(Table3[[#This Row],[Country Code]],Table29[],5,FALSE)</f>
        <v>Middle-income</v>
      </c>
      <c r="Y438" s="233" t="str">
        <f>VLOOKUP(Table3[[#This Row],[Country Code]],Table29[],6,FALSE)</f>
        <v>no</v>
      </c>
      <c r="Z438" s="233" t="str">
        <f>VLOOKUP(Table3[[#This Row],[Country Code]],Table29[],7,FALSE)</f>
        <v>no</v>
      </c>
      <c r="AA438" s="233" t="str">
        <f>VLOOKUP(Table3[[#This Row],[Country Code]],Table29[],8,FALSE)</f>
        <v>non-OECD</v>
      </c>
      <c r="AB438" s="233" t="str">
        <f>VLOOKUP(Table3[[#This Row],[Country Code]],Table29[],9,FALSE)</f>
        <v>no</v>
      </c>
      <c r="AC438" s="233" t="str">
        <f>VLOOKUP(Table3[[#This Row],[Country Code]],Table29[],10,FALSE)</f>
        <v>no</v>
      </c>
      <c r="AD438" s="235">
        <f>VLOOKUP(Table3[[#This Row],[Country Code]],Table29[],23,FALSE)</f>
        <v>2.6019212840000998</v>
      </c>
      <c r="AE438" s="235">
        <f>VLOOKUP(Table3[[#This Row],[Country Code]],Table29[],24,FALSE)</f>
        <v>0.50992867306348366</v>
      </c>
      <c r="AF438" s="43"/>
    </row>
    <row r="439" spans="1:32" x14ac:dyDescent="0.25">
      <c r="A439" s="360">
        <v>17642</v>
      </c>
      <c r="B439" s="233" t="str">
        <f>VLOOKUP(Table3[[#This Row],[Document ID]],Table1[],2,FALSE)</f>
        <v>LSO</v>
      </c>
      <c r="C439" s="233" t="str">
        <f>VLOOKUP(Table3[[#This Row],[Document ID]],Table1[],3,FALSE)</f>
        <v>Lesotho</v>
      </c>
      <c r="D439" s="233" t="str">
        <f>VLOOKUP(Table3[[#This Row],[Document ID]],Table1[],5,FALSE)</f>
        <v>NDC</v>
      </c>
      <c r="E439" s="233" t="str">
        <f>VLOOKUP(Table3[[#This Row],[Document ID]],Table1[],7,FALSE)</f>
        <v>First NDC</v>
      </c>
      <c r="F439" s="233" t="str">
        <f>VLOOKUP(Table3[[#This Row],[Document ID]],Table1[],8,FALSE)</f>
        <v>NDC 1.0</v>
      </c>
      <c r="G439" s="233" t="str">
        <f>VLOOKUP(Table3[[#This Row],[Document ID]],Table1[],10,FALSE)</f>
        <v>Archived</v>
      </c>
      <c r="H439" s="216" t="s">
        <v>1089</v>
      </c>
      <c r="I439" s="216" t="s">
        <v>1089</v>
      </c>
      <c r="J439" s="43" t="s">
        <v>1090</v>
      </c>
      <c r="K439" s="28" t="s">
        <v>1091</v>
      </c>
      <c r="L439" s="216" t="s">
        <v>1092</v>
      </c>
      <c r="M439" s="209">
        <v>2030</v>
      </c>
      <c r="N439" s="176" t="s">
        <v>1555</v>
      </c>
      <c r="O439" s="258" t="s">
        <v>1094</v>
      </c>
      <c r="P439" s="238" t="str">
        <f>VLOOKUP(_xlfn.CONCAT(Table3[[#This Row],[Target area]],Table3[[#This Row],[GHG target?]],Table3[[#This Row],[Conditionality]]),'Drop down'!$E$81:$F$101,2,FALSE)</f>
        <v>T_Economy_C</v>
      </c>
      <c r="Q439" s="239" t="str">
        <f>VLOOKUP(Table3[[#This Row],[Target type]],Table418[[Value name]:[Value idenifyer]],2,FALSE)</f>
        <v>T_BAU</v>
      </c>
      <c r="V439" s="233" t="str">
        <f>VLOOKUP(Table3[[#This Row],[Country Code]],Table29[],3,FALSE)</f>
        <v>Non-Annex I</v>
      </c>
      <c r="W439" s="233" t="str">
        <f>VLOOKUP(Table3[[#This Row],[Country Code]],Table29[],4,FALSE)</f>
        <v>Africa</v>
      </c>
      <c r="X439" s="233" t="str">
        <f>VLOOKUP(Table3[[#This Row],[Country Code]],Table29[],5,FALSE)</f>
        <v>Middle-income</v>
      </c>
      <c r="Y439" s="233" t="str">
        <f>VLOOKUP(Table3[[#This Row],[Country Code]],Table29[],6,FALSE)</f>
        <v>no</v>
      </c>
      <c r="Z439" s="233" t="str">
        <f>VLOOKUP(Table3[[#This Row],[Country Code]],Table29[],7,FALSE)</f>
        <v>no</v>
      </c>
      <c r="AA439" s="233" t="str">
        <f>VLOOKUP(Table3[[#This Row],[Country Code]],Table29[],8,FALSE)</f>
        <v>non-OECD</v>
      </c>
      <c r="AB439" s="233" t="str">
        <f>VLOOKUP(Table3[[#This Row],[Country Code]],Table29[],9,FALSE)</f>
        <v>no</v>
      </c>
      <c r="AC439" s="233" t="str">
        <f>VLOOKUP(Table3[[#This Row],[Country Code]],Table29[],10,FALSE)</f>
        <v>no</v>
      </c>
      <c r="AD439" s="235">
        <f>VLOOKUP(Table3[[#This Row],[Country Code]],Table29[],23,FALSE)</f>
        <v>2.6019212840000998</v>
      </c>
      <c r="AE439" s="235">
        <f>VLOOKUP(Table3[[#This Row],[Country Code]],Table29[],24,FALSE)</f>
        <v>0.50992867306348366</v>
      </c>
      <c r="AF439" s="43"/>
    </row>
    <row r="440" spans="1:32" ht="30" x14ac:dyDescent="0.25">
      <c r="A440" s="360">
        <v>21432</v>
      </c>
      <c r="B440" s="233" t="str">
        <f>VLOOKUP(Table3[[#This Row],[Document ID]],Table1[],2,FALSE)</f>
        <v>LBR</v>
      </c>
      <c r="C440" s="233" t="str">
        <f>VLOOKUP(Table3[[#This Row],[Document ID]],Table1[],3,FALSE)</f>
        <v>Liberia</v>
      </c>
      <c r="D440" s="233" t="str">
        <f>VLOOKUP(Table3[[#This Row],[Document ID]],Table1[],5,FALSE)</f>
        <v>NDC</v>
      </c>
      <c r="E440" s="233" t="str">
        <f>VLOOKUP(Table3[[#This Row],[Document ID]],Table1[],7,FALSE)</f>
        <v>First NDC updated</v>
      </c>
      <c r="F440" s="233" t="str">
        <f>VLOOKUP(Table3[[#This Row],[Document ID]],Table1[],8,FALSE)</f>
        <v>NDC 1.1</v>
      </c>
      <c r="G440" s="233" t="str">
        <f>VLOOKUP(Table3[[#This Row],[Document ID]],Table1[],10,FALSE)</f>
        <v>Active</v>
      </c>
      <c r="H440" s="216" t="s">
        <v>1089</v>
      </c>
      <c r="I440" s="216" t="s">
        <v>1089</v>
      </c>
      <c r="J440" s="43" t="s">
        <v>1090</v>
      </c>
      <c r="K440" s="28" t="s">
        <v>1091</v>
      </c>
      <c r="L440" s="42" t="s">
        <v>1099</v>
      </c>
      <c r="M440" s="209">
        <v>2030</v>
      </c>
      <c r="N440" s="44" t="s">
        <v>1556</v>
      </c>
      <c r="O440" s="258">
        <v>16</v>
      </c>
      <c r="P440" s="238" t="str">
        <f>VLOOKUP(_xlfn.CONCAT(Table3[[#This Row],[Target area]],Table3[[#This Row],[GHG target?]],Table3[[#This Row],[Conditionality]]),'Drop down'!$E$81:$F$101,2,FALSE)</f>
        <v>T_Economy_Unc</v>
      </c>
      <c r="Q440" s="239" t="str">
        <f>VLOOKUP(Table3[[#This Row],[Target type]],Table418[[Value name]:[Value idenifyer]],2,FALSE)</f>
        <v>T_BAU</v>
      </c>
      <c r="S440" s="233" t="s">
        <v>1112</v>
      </c>
      <c r="T440" s="234" t="s">
        <v>1113</v>
      </c>
      <c r="V440" s="233" t="str">
        <f>VLOOKUP(Table3[[#This Row],[Country Code]],Table29[],3,FALSE)</f>
        <v>Non-Annex I</v>
      </c>
      <c r="W440" s="233" t="str">
        <f>VLOOKUP(Table3[[#This Row],[Country Code]],Table29[],4,FALSE)</f>
        <v>Africa</v>
      </c>
      <c r="X440" s="233" t="str">
        <f>VLOOKUP(Table3[[#This Row],[Country Code]],Table29[],5,FALSE)</f>
        <v>Low-income</v>
      </c>
      <c r="Y440" s="233" t="str">
        <f>VLOOKUP(Table3[[#This Row],[Country Code]],Table29[],6,FALSE)</f>
        <v>no</v>
      </c>
      <c r="Z440" s="233" t="str">
        <f>VLOOKUP(Table3[[#This Row],[Country Code]],Table29[],7,FALSE)</f>
        <v>no</v>
      </c>
      <c r="AA440" s="233" t="str">
        <f>VLOOKUP(Table3[[#This Row],[Country Code]],Table29[],8,FALSE)</f>
        <v>non-OECD</v>
      </c>
      <c r="AB440" s="233" t="str">
        <f>VLOOKUP(Table3[[#This Row],[Country Code]],Table29[],9,FALSE)</f>
        <v>no</v>
      </c>
      <c r="AC440" s="233" t="str">
        <f>VLOOKUP(Table3[[#This Row],[Country Code]],Table29[],10,FALSE)</f>
        <v>no</v>
      </c>
      <c r="AD440" s="235">
        <f>VLOOKUP(Table3[[#This Row],[Country Code]],Table29[],23,FALSE)</f>
        <v>4.5323879353986003</v>
      </c>
      <c r="AE440" s="235">
        <f>VLOOKUP(Table3[[#This Row],[Country Code]],Table29[],24,FALSE)</f>
        <v>0.82749853268205653</v>
      </c>
      <c r="AF440" s="43"/>
    </row>
    <row r="441" spans="1:32" ht="30" x14ac:dyDescent="0.25">
      <c r="A441" s="360">
        <v>21432</v>
      </c>
      <c r="B441" s="233" t="str">
        <f>VLOOKUP(Table3[[#This Row],[Document ID]],Table1[],2,FALSE)</f>
        <v>LBR</v>
      </c>
      <c r="C441" s="233" t="str">
        <f>VLOOKUP(Table3[[#This Row],[Document ID]],Table1[],3,FALSE)</f>
        <v>Liberia</v>
      </c>
      <c r="D441" s="233" t="str">
        <f>VLOOKUP(Table3[[#This Row],[Document ID]],Table1[],5,FALSE)</f>
        <v>NDC</v>
      </c>
      <c r="E441" s="233" t="str">
        <f>VLOOKUP(Table3[[#This Row],[Document ID]],Table1[],7,FALSE)</f>
        <v>First NDC updated</v>
      </c>
      <c r="F441" s="233" t="str">
        <f>VLOOKUP(Table3[[#This Row],[Document ID]],Table1[],8,FALSE)</f>
        <v>NDC 1.1</v>
      </c>
      <c r="G441" s="233" t="str">
        <f>VLOOKUP(Table3[[#This Row],[Document ID]],Table1[],10,FALSE)</f>
        <v>Active</v>
      </c>
      <c r="H441" s="216" t="s">
        <v>1089</v>
      </c>
      <c r="I441" s="216" t="s">
        <v>1089</v>
      </c>
      <c r="J441" s="43" t="s">
        <v>1090</v>
      </c>
      <c r="K441" s="28" t="s">
        <v>1091</v>
      </c>
      <c r="L441" s="216" t="s">
        <v>1092</v>
      </c>
      <c r="M441" s="209">
        <v>2030</v>
      </c>
      <c r="N441" s="44" t="s">
        <v>1557</v>
      </c>
      <c r="O441" s="258">
        <v>16</v>
      </c>
      <c r="P441" s="238" t="str">
        <f>VLOOKUP(_xlfn.CONCAT(Table3[[#This Row],[Target area]],Table3[[#This Row],[GHG target?]],Table3[[#This Row],[Conditionality]]),'Drop down'!$E$81:$F$101,2,FALSE)</f>
        <v>T_Economy_C</v>
      </c>
      <c r="Q441" s="239" t="str">
        <f>VLOOKUP(Table3[[#This Row],[Target type]],Table418[[Value name]:[Value idenifyer]],2,FALSE)</f>
        <v>T_BAU</v>
      </c>
      <c r="S441" s="233" t="s">
        <v>1112</v>
      </c>
      <c r="T441" s="234" t="s">
        <v>1113</v>
      </c>
      <c r="V441" s="233" t="str">
        <f>VLOOKUP(Table3[[#This Row],[Country Code]],Table29[],3,FALSE)</f>
        <v>Non-Annex I</v>
      </c>
      <c r="W441" s="233" t="str">
        <f>VLOOKUP(Table3[[#This Row],[Country Code]],Table29[],4,FALSE)</f>
        <v>Africa</v>
      </c>
      <c r="X441" s="233" t="str">
        <f>VLOOKUP(Table3[[#This Row],[Country Code]],Table29[],5,FALSE)</f>
        <v>Low-income</v>
      </c>
      <c r="Y441" s="233" t="str">
        <f>VLOOKUP(Table3[[#This Row],[Country Code]],Table29[],6,FALSE)</f>
        <v>no</v>
      </c>
      <c r="Z441" s="233" t="str">
        <f>VLOOKUP(Table3[[#This Row],[Country Code]],Table29[],7,FALSE)</f>
        <v>no</v>
      </c>
      <c r="AA441" s="233" t="str">
        <f>VLOOKUP(Table3[[#This Row],[Country Code]],Table29[],8,FALSE)</f>
        <v>non-OECD</v>
      </c>
      <c r="AB441" s="233" t="str">
        <f>VLOOKUP(Table3[[#This Row],[Country Code]],Table29[],9,FALSE)</f>
        <v>no</v>
      </c>
      <c r="AC441" s="233" t="str">
        <f>VLOOKUP(Table3[[#This Row],[Country Code]],Table29[],10,FALSE)</f>
        <v>no</v>
      </c>
      <c r="AD441" s="235">
        <f>VLOOKUP(Table3[[#This Row],[Country Code]],Table29[],23,FALSE)</f>
        <v>4.5323879353986003</v>
      </c>
      <c r="AE441" s="235">
        <f>VLOOKUP(Table3[[#This Row],[Country Code]],Table29[],24,FALSE)</f>
        <v>0.82749853268205653</v>
      </c>
      <c r="AF441" s="43"/>
    </row>
    <row r="442" spans="1:32" ht="75" x14ac:dyDescent="0.25">
      <c r="A442" s="360">
        <v>21432</v>
      </c>
      <c r="B442" s="233" t="str">
        <f>VLOOKUP(Table3[[#This Row],[Document ID]],Table1[],2,FALSE)</f>
        <v>LBR</v>
      </c>
      <c r="C442" s="233" t="str">
        <f>VLOOKUP(Table3[[#This Row],[Document ID]],Table1[],3,FALSE)</f>
        <v>Liberia</v>
      </c>
      <c r="D442" s="233" t="str">
        <f>VLOOKUP(Table3[[#This Row],[Document ID]],Table1[],5,FALSE)</f>
        <v>NDC</v>
      </c>
      <c r="E442" s="233" t="str">
        <f>VLOOKUP(Table3[[#This Row],[Document ID]],Table1[],7,FALSE)</f>
        <v>First NDC updated</v>
      </c>
      <c r="F442" s="233" t="str">
        <f>VLOOKUP(Table3[[#This Row],[Document ID]],Table1[],8,FALSE)</f>
        <v>NDC 1.1</v>
      </c>
      <c r="G442" s="233" t="str">
        <f>VLOOKUP(Table3[[#This Row],[Document ID]],Table1[],10,FALSE)</f>
        <v>Active</v>
      </c>
      <c r="H442" s="43" t="s">
        <v>1139</v>
      </c>
      <c r="I442" s="43" t="s">
        <v>1096</v>
      </c>
      <c r="J442" s="42" t="s">
        <v>1097</v>
      </c>
      <c r="K442" s="28" t="s">
        <v>1140</v>
      </c>
      <c r="L442" s="43" t="s">
        <v>1092</v>
      </c>
      <c r="M442" s="209">
        <v>2030</v>
      </c>
      <c r="N442" s="44" t="s">
        <v>1558</v>
      </c>
      <c r="O442" s="258">
        <v>36</v>
      </c>
      <c r="P442" s="238" t="str">
        <f>VLOOKUP(_xlfn.CONCAT(Table3[[#This Row],[Target area]],Table3[[#This Row],[GHG target?]],Table3[[#This Row],[Conditionality]]),'Drop down'!$E$81:$F$101,2,FALSE)</f>
        <v>T_Adaptation_C</v>
      </c>
      <c r="Q442" s="239" t="str">
        <f>VLOOKUP(Table3[[#This Row],[Target type]],Table418[[Value name]:[Value idenifyer]],2,FALSE)</f>
        <v>T_A_GEN</v>
      </c>
      <c r="S442" s="233" t="s">
        <v>1112</v>
      </c>
      <c r="T442" s="234" t="s">
        <v>1113</v>
      </c>
      <c r="V442" s="233" t="str">
        <f>VLOOKUP(Table3[[#This Row],[Country Code]],Table29[],3,FALSE)</f>
        <v>Non-Annex I</v>
      </c>
      <c r="W442" s="233" t="str">
        <f>VLOOKUP(Table3[[#This Row],[Country Code]],Table29[],4,FALSE)</f>
        <v>Africa</v>
      </c>
      <c r="X442" s="233" t="str">
        <f>VLOOKUP(Table3[[#This Row],[Country Code]],Table29[],5,FALSE)</f>
        <v>Low-income</v>
      </c>
      <c r="Y442" s="233" t="str">
        <f>VLOOKUP(Table3[[#This Row],[Country Code]],Table29[],6,FALSE)</f>
        <v>no</v>
      </c>
      <c r="Z442" s="233" t="str">
        <f>VLOOKUP(Table3[[#This Row],[Country Code]],Table29[],7,FALSE)</f>
        <v>no</v>
      </c>
      <c r="AA442" s="233" t="str">
        <f>VLOOKUP(Table3[[#This Row],[Country Code]],Table29[],8,FALSE)</f>
        <v>non-OECD</v>
      </c>
      <c r="AB442" s="233" t="str">
        <f>VLOOKUP(Table3[[#This Row],[Country Code]],Table29[],9,FALSE)</f>
        <v>no</v>
      </c>
      <c r="AC442" s="233" t="str">
        <f>VLOOKUP(Table3[[#This Row],[Country Code]],Table29[],10,FALSE)</f>
        <v>no</v>
      </c>
      <c r="AD442" s="235">
        <f>VLOOKUP(Table3[[#This Row],[Country Code]],Table29[],23,FALSE)</f>
        <v>4.5323879353986003</v>
      </c>
      <c r="AE442" s="235">
        <f>VLOOKUP(Table3[[#This Row],[Country Code]],Table29[],24,FALSE)</f>
        <v>0.82749853268205653</v>
      </c>
      <c r="AF442" s="43"/>
    </row>
    <row r="443" spans="1:32" ht="30" x14ac:dyDescent="0.25">
      <c r="A443" s="360">
        <v>26792</v>
      </c>
      <c r="B443" s="233" t="str">
        <f>VLOOKUP(Table3[[#This Row],[Document ID]],Table1[],2,FALSE)</f>
        <v>GBR</v>
      </c>
      <c r="C443" s="233" t="str">
        <f>VLOOKUP(Table3[[#This Row],[Document ID]],Table1[],3,FALSE)</f>
        <v>United Kingdom</v>
      </c>
      <c r="D443" s="233" t="str">
        <f>VLOOKUP(Table3[[#This Row],[Document ID]],Table1[],5,FALSE)</f>
        <v>LTS</v>
      </c>
      <c r="E443" s="233" t="str">
        <f>VLOOKUP(Table3[[#This Row],[Document ID]],Table1[],7,FALSE)</f>
        <v>LTS</v>
      </c>
      <c r="F443" s="233" t="str">
        <f>VLOOKUP(Table3[[#This Row],[Document ID]],Table1[],8,FALSE)</f>
        <v>LTS 1.1</v>
      </c>
      <c r="G443" s="233" t="str">
        <f>VLOOKUP(Table3[[#This Row],[Document ID]],Table1[],10,FALSE)</f>
        <v>Active</v>
      </c>
      <c r="H443" s="42" t="s">
        <v>1095</v>
      </c>
      <c r="I443" s="42" t="s">
        <v>1096</v>
      </c>
      <c r="J443" s="42" t="s">
        <v>1097</v>
      </c>
      <c r="K443" s="28" t="s">
        <v>1104</v>
      </c>
      <c r="L443" s="389" t="s">
        <v>1099</v>
      </c>
      <c r="M443" s="209">
        <v>2027</v>
      </c>
      <c r="N443" s="43" t="s">
        <v>1559</v>
      </c>
      <c r="O443" s="258">
        <v>152</v>
      </c>
      <c r="P443" s="238" t="str">
        <f>VLOOKUP(_xlfn.CONCAT(Table3[[#This Row],[Target area]],Table3[[#This Row],[GHG target?]],Table3[[#This Row],[Conditionality]]),'Drop down'!$E$81:$F$101,2,FALSE)</f>
        <v>T_Transport_O_Unc</v>
      </c>
      <c r="Q443" s="239" t="str">
        <f>VLOOKUP(Table3[[#This Row],[Target type]],Table418[[Value name]:[Value idenifyer]],2,FALSE)</f>
        <v>T_O_ZERO</v>
      </c>
      <c r="S443" s="233" t="s">
        <v>1125</v>
      </c>
      <c r="T443" s="234" t="s">
        <v>1113</v>
      </c>
      <c r="U443" s="242" t="s">
        <v>1402</v>
      </c>
      <c r="V443" s="233" t="str">
        <f>VLOOKUP(Table3[[#This Row],[Country Code]],Table29[],3,FALSE)</f>
        <v>Annex I</v>
      </c>
      <c r="W443" s="233" t="str">
        <f>VLOOKUP(Table3[[#This Row],[Country Code]],Table29[],4,FALSE)</f>
        <v>Europe</v>
      </c>
      <c r="X443" s="233" t="str">
        <f>VLOOKUP(Table3[[#This Row],[Country Code]],Table29[],5,FALSE)</f>
        <v>High-income</v>
      </c>
      <c r="Y443" s="233" t="str">
        <f>VLOOKUP(Table3[[#This Row],[Country Code]],Table29[],6,FALSE)</f>
        <v>G20</v>
      </c>
      <c r="Z443" s="233" t="str">
        <f>VLOOKUP(Table3[[#This Row],[Country Code]],Table29[],7,FALSE)</f>
        <v>G7</v>
      </c>
      <c r="AA443" s="233" t="str">
        <f>VLOOKUP(Table3[[#This Row],[Country Code]],Table29[],8,FALSE)</f>
        <v>OECD</v>
      </c>
      <c r="AB443" s="233" t="str">
        <f>VLOOKUP(Table3[[#This Row],[Country Code]],Table29[],9,FALSE)</f>
        <v>no</v>
      </c>
      <c r="AC443" s="233" t="str">
        <f>VLOOKUP(Table3[[#This Row],[Country Code]],Table29[],10,FALSE)</f>
        <v>no</v>
      </c>
      <c r="AD443" s="235">
        <f>VLOOKUP(Table3[[#This Row],[Country Code]],Table29[],23,FALSE)</f>
        <v>379.31858785213001</v>
      </c>
      <c r="AE443" s="235">
        <f>VLOOKUP(Table3[[#This Row],[Country Code]],Table29[],24,FALSE)</f>
        <v>109.75048777474809</v>
      </c>
      <c r="AF443" s="43"/>
    </row>
    <row r="444" spans="1:32" ht="30" x14ac:dyDescent="0.25">
      <c r="A444" s="360">
        <v>26792</v>
      </c>
      <c r="B444" s="233" t="str">
        <f>VLOOKUP(Table3[[#This Row],[Document ID]],Table1[],2,FALSE)</f>
        <v>GBR</v>
      </c>
      <c r="C444" s="233" t="str">
        <f>VLOOKUP(Table3[[#This Row],[Document ID]],Table1[],3,FALSE)</f>
        <v>United Kingdom</v>
      </c>
      <c r="D444" s="233" t="str">
        <f>VLOOKUP(Table3[[#This Row],[Document ID]],Table1[],5,FALSE)</f>
        <v>LTS</v>
      </c>
      <c r="E444" s="233" t="str">
        <f>VLOOKUP(Table3[[#This Row],[Document ID]],Table1[],7,FALSE)</f>
        <v>LTS</v>
      </c>
      <c r="F444" s="233" t="str">
        <f>VLOOKUP(Table3[[#This Row],[Document ID]],Table1[],8,FALSE)</f>
        <v>LTS 1.1</v>
      </c>
      <c r="G444" s="233" t="str">
        <f>VLOOKUP(Table3[[#This Row],[Document ID]],Table1[],10,FALSE)</f>
        <v>Active</v>
      </c>
      <c r="H444" s="42" t="s">
        <v>1095</v>
      </c>
      <c r="I444" s="42" t="s">
        <v>1096</v>
      </c>
      <c r="J444" s="42" t="s">
        <v>1097</v>
      </c>
      <c r="K444" s="28" t="s">
        <v>1162</v>
      </c>
      <c r="L444" s="389" t="s">
        <v>1099</v>
      </c>
      <c r="M444" s="209" t="s">
        <v>1122</v>
      </c>
      <c r="N444" s="43" t="s">
        <v>1560</v>
      </c>
      <c r="O444" s="258">
        <v>152</v>
      </c>
      <c r="P444" s="238" t="str">
        <f>VLOOKUP(_xlfn.CONCAT(Table3[[#This Row],[Target area]],Table3[[#This Row],[GHG target?]],Table3[[#This Row],[Conditionality]]),'Drop down'!$E$81:$F$101,2,FALSE)</f>
        <v>T_Transport_O_Unc</v>
      </c>
      <c r="Q444" s="239" t="str">
        <f>VLOOKUP(Table3[[#This Row],[Target type]],Table418[[Value name]:[Value idenifyer]],2,FALSE)</f>
        <v>T_O_INFRA</v>
      </c>
      <c r="S444" s="233" t="s">
        <v>1125</v>
      </c>
      <c r="T444" s="234" t="s">
        <v>1113</v>
      </c>
      <c r="U444" s="242" t="s">
        <v>1402</v>
      </c>
      <c r="V444" s="233" t="str">
        <f>VLOOKUP(Table3[[#This Row],[Country Code]],Table29[],3,FALSE)</f>
        <v>Annex I</v>
      </c>
      <c r="W444" s="233" t="str">
        <f>VLOOKUP(Table3[[#This Row],[Country Code]],Table29[],4,FALSE)</f>
        <v>Europe</v>
      </c>
      <c r="X444" s="233" t="str">
        <f>VLOOKUP(Table3[[#This Row],[Country Code]],Table29[],5,FALSE)</f>
        <v>High-income</v>
      </c>
      <c r="Y444" s="233" t="str">
        <f>VLOOKUP(Table3[[#This Row],[Country Code]],Table29[],6,FALSE)</f>
        <v>G20</v>
      </c>
      <c r="Z444" s="233" t="str">
        <f>VLOOKUP(Table3[[#This Row],[Country Code]],Table29[],7,FALSE)</f>
        <v>G7</v>
      </c>
      <c r="AA444" s="233" t="str">
        <f>VLOOKUP(Table3[[#This Row],[Country Code]],Table29[],8,FALSE)</f>
        <v>OECD</v>
      </c>
      <c r="AB444" s="233" t="str">
        <f>VLOOKUP(Table3[[#This Row],[Country Code]],Table29[],9,FALSE)</f>
        <v>no</v>
      </c>
      <c r="AC444" s="233" t="str">
        <f>VLOOKUP(Table3[[#This Row],[Country Code]],Table29[],10,FALSE)</f>
        <v>no</v>
      </c>
      <c r="AD444" s="235">
        <f>VLOOKUP(Table3[[#This Row],[Country Code]],Table29[],23,FALSE)</f>
        <v>379.31858785213001</v>
      </c>
      <c r="AE444" s="235">
        <f>VLOOKUP(Table3[[#This Row],[Country Code]],Table29[],24,FALSE)</f>
        <v>109.75048777474809</v>
      </c>
      <c r="AF444" s="43"/>
    </row>
    <row r="445" spans="1:32" x14ac:dyDescent="0.25">
      <c r="A445" s="360">
        <v>17643</v>
      </c>
      <c r="B445" s="233" t="str">
        <f>VLOOKUP(Table3[[#This Row],[Document ID]],Table1[],2,FALSE)</f>
        <v>LBR</v>
      </c>
      <c r="C445" s="233" t="str">
        <f>VLOOKUP(Table3[[#This Row],[Document ID]],Table1[],3,FALSE)</f>
        <v>Liberia</v>
      </c>
      <c r="D445" s="233" t="str">
        <f>VLOOKUP(Table3[[#This Row],[Document ID]],Table1[],5,FALSE)</f>
        <v>NDC</v>
      </c>
      <c r="E445" s="233" t="str">
        <f>VLOOKUP(Table3[[#This Row],[Document ID]],Table1[],7,FALSE)</f>
        <v>First NDC</v>
      </c>
      <c r="F445" s="233" t="str">
        <f>VLOOKUP(Table3[[#This Row],[Document ID]],Table1[],8,FALSE)</f>
        <v>NDC 1.0</v>
      </c>
      <c r="G445" s="233" t="str">
        <f>VLOOKUP(Table3[[#This Row],[Document ID]],Table1[],10,FALSE)</f>
        <v>Archived</v>
      </c>
      <c r="H445" s="216" t="s">
        <v>1089</v>
      </c>
      <c r="I445" s="216" t="s">
        <v>1089</v>
      </c>
      <c r="J445" s="43" t="s">
        <v>1090</v>
      </c>
      <c r="K445" s="28" t="s">
        <v>1091</v>
      </c>
      <c r="L445" s="42" t="s">
        <v>1099</v>
      </c>
      <c r="M445" s="209">
        <v>2030</v>
      </c>
      <c r="N445" s="176" t="s">
        <v>1561</v>
      </c>
      <c r="O445" s="258" t="s">
        <v>1094</v>
      </c>
      <c r="P445" s="238" t="str">
        <f>VLOOKUP(_xlfn.CONCAT(Table3[[#This Row],[Target area]],Table3[[#This Row],[GHG target?]],Table3[[#This Row],[Conditionality]]),'Drop down'!$E$81:$F$101,2,FALSE)</f>
        <v>T_Economy_Unc</v>
      </c>
      <c r="Q445" s="239" t="str">
        <f>VLOOKUP(Table3[[#This Row],[Target type]],Table418[[Value name]:[Value idenifyer]],2,FALSE)</f>
        <v>T_BAU</v>
      </c>
      <c r="S445" s="233" t="s">
        <v>1101</v>
      </c>
      <c r="T445" s="234" t="s">
        <v>1113</v>
      </c>
      <c r="V445" s="233" t="str">
        <f>VLOOKUP(Table3[[#This Row],[Country Code]],Table29[],3,FALSE)</f>
        <v>Non-Annex I</v>
      </c>
      <c r="W445" s="233" t="str">
        <f>VLOOKUP(Table3[[#This Row],[Country Code]],Table29[],4,FALSE)</f>
        <v>Africa</v>
      </c>
      <c r="X445" s="233" t="str">
        <f>VLOOKUP(Table3[[#This Row],[Country Code]],Table29[],5,FALSE)</f>
        <v>Low-income</v>
      </c>
      <c r="Y445" s="233" t="str">
        <f>VLOOKUP(Table3[[#This Row],[Country Code]],Table29[],6,FALSE)</f>
        <v>no</v>
      </c>
      <c r="Z445" s="233" t="str">
        <f>VLOOKUP(Table3[[#This Row],[Country Code]],Table29[],7,FALSE)</f>
        <v>no</v>
      </c>
      <c r="AA445" s="233" t="str">
        <f>VLOOKUP(Table3[[#This Row],[Country Code]],Table29[],8,FALSE)</f>
        <v>non-OECD</v>
      </c>
      <c r="AB445" s="233" t="str">
        <f>VLOOKUP(Table3[[#This Row],[Country Code]],Table29[],9,FALSE)</f>
        <v>no</v>
      </c>
      <c r="AC445" s="233" t="str">
        <f>VLOOKUP(Table3[[#This Row],[Country Code]],Table29[],10,FALSE)</f>
        <v>no</v>
      </c>
      <c r="AD445" s="235">
        <f>VLOOKUP(Table3[[#This Row],[Country Code]],Table29[],23,FALSE)</f>
        <v>4.5323879353986003</v>
      </c>
      <c r="AE445" s="235">
        <f>VLOOKUP(Table3[[#This Row],[Country Code]],Table29[],24,FALSE)</f>
        <v>0.82749853268205653</v>
      </c>
      <c r="AF445" s="43"/>
    </row>
    <row r="446" spans="1:32" x14ac:dyDescent="0.25">
      <c r="A446" s="360">
        <v>17645</v>
      </c>
      <c r="B446" s="233" t="str">
        <f>VLOOKUP(Table3[[#This Row],[Document ID]],Table1[],2,FALSE)</f>
        <v>LIE</v>
      </c>
      <c r="C446" s="233" t="str">
        <f>VLOOKUP(Table3[[#This Row],[Document ID]],Table1[],3,FALSE)</f>
        <v>Liechtenstein</v>
      </c>
      <c r="D446" s="233" t="str">
        <f>VLOOKUP(Table3[[#This Row],[Document ID]],Table1[],5,FALSE)</f>
        <v>NDC</v>
      </c>
      <c r="E446" s="233" t="str">
        <f>VLOOKUP(Table3[[#This Row],[Document ID]],Table1[],7,FALSE)</f>
        <v>First NDC</v>
      </c>
      <c r="F446" s="233" t="str">
        <f>VLOOKUP(Table3[[#This Row],[Document ID]],Table1[],8,FALSE)</f>
        <v>NDC 1.0</v>
      </c>
      <c r="G446" s="233" t="str">
        <f>VLOOKUP(Table3[[#This Row],[Document ID]],Table1[],10,FALSE)</f>
        <v>Active</v>
      </c>
      <c r="H446" s="216" t="s">
        <v>1089</v>
      </c>
      <c r="I446" s="216" t="s">
        <v>1089</v>
      </c>
      <c r="J446" s="43" t="s">
        <v>1090</v>
      </c>
      <c r="K446" s="28" t="s">
        <v>1153</v>
      </c>
      <c r="L446" s="42" t="s">
        <v>1099</v>
      </c>
      <c r="M446" s="209">
        <v>2030</v>
      </c>
      <c r="N446" s="176" t="s">
        <v>1562</v>
      </c>
      <c r="O446" s="258" t="s">
        <v>1094</v>
      </c>
      <c r="P446" s="238" t="str">
        <f>VLOOKUP(_xlfn.CONCAT(Table3[[#This Row],[Target area]],Table3[[#This Row],[GHG target?]],Table3[[#This Row],[Conditionality]]),'Drop down'!$E$81:$F$101,2,FALSE)</f>
        <v>T_Economy_Unc</v>
      </c>
      <c r="Q446" s="239" t="str">
        <f>VLOOKUP(Table3[[#This Row],[Target type]],Table418[[Value name]:[Value idenifyer]],2,FALSE)</f>
        <v>T_BYE</v>
      </c>
      <c r="V446" s="233" t="str">
        <f>VLOOKUP(Table3[[#This Row],[Country Code]],Table29[],3,FALSE)</f>
        <v>Annex I</v>
      </c>
      <c r="W446" s="233" t="str">
        <f>VLOOKUP(Table3[[#This Row],[Country Code]],Table29[],4,FALSE)</f>
        <v>Europe</v>
      </c>
      <c r="X446" s="233" t="str">
        <f>VLOOKUP(Table3[[#This Row],[Country Code]],Table29[],5,FALSE)</f>
        <v>High-income</v>
      </c>
      <c r="Y446" s="233" t="str">
        <f>VLOOKUP(Table3[[#This Row],[Country Code]],Table29[],6,FALSE)</f>
        <v>no</v>
      </c>
      <c r="Z446" s="233" t="str">
        <f>VLOOKUP(Table3[[#This Row],[Country Code]],Table29[],7,FALSE)</f>
        <v>no</v>
      </c>
      <c r="AA446" s="233" t="str">
        <f>VLOOKUP(Table3[[#This Row],[Country Code]],Table29[],8,FALSE)</f>
        <v>non-OECD</v>
      </c>
      <c r="AB446" s="233" t="str">
        <f>VLOOKUP(Table3[[#This Row],[Country Code]],Table29[],9,FALSE)</f>
        <v>no</v>
      </c>
      <c r="AC446" s="233" t="str">
        <f>VLOOKUP(Table3[[#This Row],[Country Code]],Table29[],10,FALSE)</f>
        <v>no</v>
      </c>
      <c r="AD446" s="235">
        <f>VLOOKUP(Table3[[#This Row],[Country Code]],Table29[],23,FALSE)</f>
        <v>0</v>
      </c>
      <c r="AE446" s="235">
        <f>VLOOKUP(Table3[[#This Row],[Country Code]],Table29[],24,FALSE)</f>
        <v>0</v>
      </c>
      <c r="AF446" s="43"/>
    </row>
    <row r="447" spans="1:32" x14ac:dyDescent="0.25">
      <c r="A447" s="360">
        <v>26792</v>
      </c>
      <c r="B447" s="233" t="str">
        <f>VLOOKUP(Table3[[#This Row],[Document ID]],Table1[],2,FALSE)</f>
        <v>GBR</v>
      </c>
      <c r="C447" s="233" t="str">
        <f>VLOOKUP(Table3[[#This Row],[Document ID]],Table1[],3,FALSE)</f>
        <v>United Kingdom</v>
      </c>
      <c r="D447" s="233" t="str">
        <f>VLOOKUP(Table3[[#This Row],[Document ID]],Table1[],5,FALSE)</f>
        <v>LTS</v>
      </c>
      <c r="E447" s="233" t="str">
        <f>VLOOKUP(Table3[[#This Row],[Document ID]],Table1[],7,FALSE)</f>
        <v>LTS</v>
      </c>
      <c r="F447" s="233" t="str">
        <f>VLOOKUP(Table3[[#This Row],[Document ID]],Table1[],8,FALSE)</f>
        <v>LTS 1.1</v>
      </c>
      <c r="G447" s="233" t="str">
        <f>VLOOKUP(Table3[[#This Row],[Document ID]],Table1[],10,FALSE)</f>
        <v>Active</v>
      </c>
      <c r="H447" s="42" t="s">
        <v>1095</v>
      </c>
      <c r="I447" s="42" t="s">
        <v>1096</v>
      </c>
      <c r="J447" s="42" t="s">
        <v>1097</v>
      </c>
      <c r="K447" s="28" t="s">
        <v>1098</v>
      </c>
      <c r="L447" s="42" t="s">
        <v>1099</v>
      </c>
      <c r="M447" s="209">
        <v>2030</v>
      </c>
      <c r="N447" s="43" t="s">
        <v>1563</v>
      </c>
      <c r="O447" s="258">
        <v>152</v>
      </c>
      <c r="P447" s="238" t="str">
        <f>VLOOKUP(_xlfn.CONCAT(Table3[[#This Row],[Target area]],Table3[[#This Row],[GHG target?]],Table3[[#This Row],[Conditionality]]),'Drop down'!$E$81:$F$101,2,FALSE)</f>
        <v>T_Transport_O_Unc</v>
      </c>
      <c r="Q447" s="239" t="str">
        <f>VLOOKUP(Table3[[#This Row],[Target type]],Table418[[Value name]:[Value idenifyer]],2,FALSE)</f>
        <v>T_O_MODE</v>
      </c>
      <c r="S447" s="233" t="s">
        <v>1125</v>
      </c>
      <c r="T447" s="234" t="s">
        <v>1113</v>
      </c>
      <c r="U447" s="242" t="s">
        <v>1402</v>
      </c>
      <c r="V447" s="233" t="str">
        <f>VLOOKUP(Table3[[#This Row],[Country Code]],Table29[],3,FALSE)</f>
        <v>Annex I</v>
      </c>
      <c r="W447" s="233" t="str">
        <f>VLOOKUP(Table3[[#This Row],[Country Code]],Table29[],4,FALSE)</f>
        <v>Europe</v>
      </c>
      <c r="X447" s="233" t="str">
        <f>VLOOKUP(Table3[[#This Row],[Country Code]],Table29[],5,FALSE)</f>
        <v>High-income</v>
      </c>
      <c r="Y447" s="233" t="str">
        <f>VLOOKUP(Table3[[#This Row],[Country Code]],Table29[],6,FALSE)</f>
        <v>G20</v>
      </c>
      <c r="Z447" s="233" t="str">
        <f>VLOOKUP(Table3[[#This Row],[Country Code]],Table29[],7,FALSE)</f>
        <v>G7</v>
      </c>
      <c r="AA447" s="233" t="str">
        <f>VLOOKUP(Table3[[#This Row],[Country Code]],Table29[],8,FALSE)</f>
        <v>OECD</v>
      </c>
      <c r="AB447" s="233" t="str">
        <f>VLOOKUP(Table3[[#This Row],[Country Code]],Table29[],9,FALSE)</f>
        <v>no</v>
      </c>
      <c r="AC447" s="233" t="str">
        <f>VLOOKUP(Table3[[#This Row],[Country Code]],Table29[],10,FALSE)</f>
        <v>no</v>
      </c>
      <c r="AD447" s="235">
        <f>VLOOKUP(Table3[[#This Row],[Country Code]],Table29[],23,FALSE)</f>
        <v>379.31858785213001</v>
      </c>
      <c r="AE447" s="235">
        <f>VLOOKUP(Table3[[#This Row],[Country Code]],Table29[],24,FALSE)</f>
        <v>109.75048777474809</v>
      </c>
      <c r="AF447" s="43"/>
    </row>
    <row r="448" spans="1:32" ht="30" x14ac:dyDescent="0.25">
      <c r="A448" s="360">
        <v>26792</v>
      </c>
      <c r="B448" s="233" t="str">
        <f>VLOOKUP(Table3[[#This Row],[Document ID]],Table1[],2,FALSE)</f>
        <v>GBR</v>
      </c>
      <c r="C448" s="233" t="str">
        <f>VLOOKUP(Table3[[#This Row],[Document ID]],Table1[],3,FALSE)</f>
        <v>United Kingdom</v>
      </c>
      <c r="D448" s="233" t="str">
        <f>VLOOKUP(Table3[[#This Row],[Document ID]],Table1[],5,FALSE)</f>
        <v>LTS</v>
      </c>
      <c r="E448" s="233" t="str">
        <f>VLOOKUP(Table3[[#This Row],[Document ID]],Table1[],7,FALSE)</f>
        <v>LTS</v>
      </c>
      <c r="F448" s="233" t="str">
        <f>VLOOKUP(Table3[[#This Row],[Document ID]],Table1[],8,FALSE)</f>
        <v>LTS 1.1</v>
      </c>
      <c r="G448" s="233" t="str">
        <f>VLOOKUP(Table3[[#This Row],[Document ID]],Table1[],10,FALSE)</f>
        <v>Active</v>
      </c>
      <c r="H448" s="42" t="s">
        <v>1095</v>
      </c>
      <c r="I448" s="42" t="s">
        <v>1096</v>
      </c>
      <c r="J448" s="42" t="s">
        <v>1097</v>
      </c>
      <c r="K448" s="28" t="s">
        <v>1104</v>
      </c>
      <c r="L448" s="42" t="s">
        <v>1099</v>
      </c>
      <c r="M448" s="209">
        <v>2040</v>
      </c>
      <c r="N448" s="209" t="s">
        <v>1564</v>
      </c>
      <c r="O448" s="258">
        <v>153</v>
      </c>
      <c r="P448" s="238" t="str">
        <f>VLOOKUP(_xlfn.CONCAT(Table3[[#This Row],[Target area]],Table3[[#This Row],[GHG target?]],Table3[[#This Row],[Conditionality]]),'Drop down'!$E$81:$F$101,2,FALSE)</f>
        <v>T_Transport_O_Unc</v>
      </c>
      <c r="Q448" s="239" t="str">
        <f>VLOOKUP(Table3[[#This Row],[Target type]],Table418[[Value name]:[Value idenifyer]],2,FALSE)</f>
        <v>T_O_ZERO</v>
      </c>
      <c r="S448" s="233" t="s">
        <v>1125</v>
      </c>
      <c r="T448" s="234" t="s">
        <v>1113</v>
      </c>
      <c r="U448" s="242" t="s">
        <v>1402</v>
      </c>
      <c r="V448" s="233" t="str">
        <f>VLOOKUP(Table3[[#This Row],[Country Code]],Table29[],3,FALSE)</f>
        <v>Annex I</v>
      </c>
      <c r="W448" s="233" t="str">
        <f>VLOOKUP(Table3[[#This Row],[Country Code]],Table29[],4,FALSE)</f>
        <v>Europe</v>
      </c>
      <c r="X448" s="233" t="str">
        <f>VLOOKUP(Table3[[#This Row],[Country Code]],Table29[],5,FALSE)</f>
        <v>High-income</v>
      </c>
      <c r="Y448" s="233" t="str">
        <f>VLOOKUP(Table3[[#This Row],[Country Code]],Table29[],6,FALSE)</f>
        <v>G20</v>
      </c>
      <c r="Z448" s="233" t="str">
        <f>VLOOKUP(Table3[[#This Row],[Country Code]],Table29[],7,FALSE)</f>
        <v>G7</v>
      </c>
      <c r="AA448" s="233" t="str">
        <f>VLOOKUP(Table3[[#This Row],[Country Code]],Table29[],8,FALSE)</f>
        <v>OECD</v>
      </c>
      <c r="AB448" s="233" t="str">
        <f>VLOOKUP(Table3[[#This Row],[Country Code]],Table29[],9,FALSE)</f>
        <v>no</v>
      </c>
      <c r="AC448" s="233" t="str">
        <f>VLOOKUP(Table3[[#This Row],[Country Code]],Table29[],10,FALSE)</f>
        <v>no</v>
      </c>
      <c r="AD448" s="235">
        <f>VLOOKUP(Table3[[#This Row],[Country Code]],Table29[],23,FALSE)</f>
        <v>379.31858785213001</v>
      </c>
      <c r="AE448" s="235">
        <f>VLOOKUP(Table3[[#This Row],[Country Code]],Table29[],24,FALSE)</f>
        <v>109.75048777474809</v>
      </c>
      <c r="AF448" s="43"/>
    </row>
    <row r="449" spans="1:32" ht="30" x14ac:dyDescent="0.25">
      <c r="A449" s="360">
        <v>26792</v>
      </c>
      <c r="B449" s="233" t="str">
        <f>VLOOKUP(Table3[[#This Row],[Document ID]],Table1[],2,FALSE)</f>
        <v>GBR</v>
      </c>
      <c r="C449" s="233" t="str">
        <f>VLOOKUP(Table3[[#This Row],[Document ID]],Table1[],3,FALSE)</f>
        <v>United Kingdom</v>
      </c>
      <c r="D449" s="233" t="str">
        <f>VLOOKUP(Table3[[#This Row],[Document ID]],Table1[],5,FALSE)</f>
        <v>LTS</v>
      </c>
      <c r="E449" s="233" t="str">
        <f>VLOOKUP(Table3[[#This Row],[Document ID]],Table1[],7,FALSE)</f>
        <v>LTS</v>
      </c>
      <c r="F449" s="233" t="str">
        <f>VLOOKUP(Table3[[#This Row],[Document ID]],Table1[],8,FALSE)</f>
        <v>LTS 1.1</v>
      </c>
      <c r="G449" s="233" t="str">
        <f>VLOOKUP(Table3[[#This Row],[Document ID]],Table1[],10,FALSE)</f>
        <v>Active</v>
      </c>
      <c r="H449" s="42" t="s">
        <v>1095</v>
      </c>
      <c r="I449" s="42" t="s">
        <v>1096</v>
      </c>
      <c r="J449" s="42" t="s">
        <v>1097</v>
      </c>
      <c r="K449" s="28" t="s">
        <v>1104</v>
      </c>
      <c r="L449" s="42" t="s">
        <v>1099</v>
      </c>
      <c r="M449" s="209">
        <v>2050</v>
      </c>
      <c r="N449" s="209" t="s">
        <v>1564</v>
      </c>
      <c r="O449" s="258">
        <v>153</v>
      </c>
      <c r="P449" s="238" t="str">
        <f>VLOOKUP(_xlfn.CONCAT(Table3[[#This Row],[Target area]],Table3[[#This Row],[GHG target?]],Table3[[#This Row],[Conditionality]]),'Drop down'!$E$81:$F$101,2,FALSE)</f>
        <v>T_Transport_O_Unc</v>
      </c>
      <c r="Q449" s="239" t="str">
        <f>VLOOKUP(Table3[[#This Row],[Target type]],Table418[[Value name]:[Value idenifyer]],2,FALSE)</f>
        <v>T_O_ZERO</v>
      </c>
      <c r="S449" s="233" t="s">
        <v>1125</v>
      </c>
      <c r="T449" s="234" t="s">
        <v>1113</v>
      </c>
      <c r="U449" s="242" t="s">
        <v>1402</v>
      </c>
      <c r="V449" s="233" t="str">
        <f>VLOOKUP(Table3[[#This Row],[Country Code]],Table29[],3,FALSE)</f>
        <v>Annex I</v>
      </c>
      <c r="W449" s="233" t="str">
        <f>VLOOKUP(Table3[[#This Row],[Country Code]],Table29[],4,FALSE)</f>
        <v>Europe</v>
      </c>
      <c r="X449" s="233" t="str">
        <f>VLOOKUP(Table3[[#This Row],[Country Code]],Table29[],5,FALSE)</f>
        <v>High-income</v>
      </c>
      <c r="Y449" s="233" t="str">
        <f>VLOOKUP(Table3[[#This Row],[Country Code]],Table29[],6,FALSE)</f>
        <v>G20</v>
      </c>
      <c r="Z449" s="233" t="str">
        <f>VLOOKUP(Table3[[#This Row],[Country Code]],Table29[],7,FALSE)</f>
        <v>G7</v>
      </c>
      <c r="AA449" s="233" t="str">
        <f>VLOOKUP(Table3[[#This Row],[Country Code]],Table29[],8,FALSE)</f>
        <v>OECD</v>
      </c>
      <c r="AB449" s="233" t="str">
        <f>VLOOKUP(Table3[[#This Row],[Country Code]],Table29[],9,FALSE)</f>
        <v>no</v>
      </c>
      <c r="AC449" s="233" t="str">
        <f>VLOOKUP(Table3[[#This Row],[Country Code]],Table29[],10,FALSE)</f>
        <v>no</v>
      </c>
      <c r="AD449" s="235">
        <f>VLOOKUP(Table3[[#This Row],[Country Code]],Table29[],23,FALSE)</f>
        <v>379.31858785213001</v>
      </c>
      <c r="AE449" s="235">
        <f>VLOOKUP(Table3[[#This Row],[Country Code]],Table29[],24,FALSE)</f>
        <v>109.75048777474809</v>
      </c>
      <c r="AF449" s="43"/>
    </row>
    <row r="450" spans="1:32" ht="30" x14ac:dyDescent="0.25">
      <c r="A450" s="360">
        <v>26792</v>
      </c>
      <c r="B450" s="233" t="str">
        <f>VLOOKUP(Table3[[#This Row],[Document ID]],Table1[],2,FALSE)</f>
        <v>GBR</v>
      </c>
      <c r="C450" s="233" t="str">
        <f>VLOOKUP(Table3[[#This Row],[Document ID]],Table1[],3,FALSE)</f>
        <v>United Kingdom</v>
      </c>
      <c r="D450" s="233" t="str">
        <f>VLOOKUP(Table3[[#This Row],[Document ID]],Table1[],5,FALSE)</f>
        <v>LTS</v>
      </c>
      <c r="E450" s="233" t="str">
        <f>VLOOKUP(Table3[[#This Row],[Document ID]],Table1[],7,FALSE)</f>
        <v>LTS</v>
      </c>
      <c r="F450" s="233" t="str">
        <f>VLOOKUP(Table3[[#This Row],[Document ID]],Table1[],8,FALSE)</f>
        <v>LTS 1.1</v>
      </c>
      <c r="G450" s="233" t="str">
        <f>VLOOKUP(Table3[[#This Row],[Document ID]],Table1[],10,FALSE)</f>
        <v>Active</v>
      </c>
      <c r="H450" s="42" t="s">
        <v>1095</v>
      </c>
      <c r="I450" s="42" t="s">
        <v>1096</v>
      </c>
      <c r="J450" s="42" t="s">
        <v>1097</v>
      </c>
      <c r="K450" s="28" t="s">
        <v>1104</v>
      </c>
      <c r="L450" s="42" t="s">
        <v>1099</v>
      </c>
      <c r="M450" s="209" t="s">
        <v>1565</v>
      </c>
      <c r="N450" s="43" t="s">
        <v>1566</v>
      </c>
      <c r="O450" s="258">
        <v>154</v>
      </c>
      <c r="P450" s="238" t="str">
        <f>VLOOKUP(_xlfn.CONCAT(Table3[[#This Row],[Target area]],Table3[[#This Row],[GHG target?]],Table3[[#This Row],[Conditionality]]),'Drop down'!$E$81:$F$101,2,FALSE)</f>
        <v>T_Transport_O_Unc</v>
      </c>
      <c r="Q450" s="239" t="str">
        <f>VLOOKUP(Table3[[#This Row],[Target type]],Table418[[Value name]:[Value idenifyer]],2,FALSE)</f>
        <v>T_O_ZERO</v>
      </c>
      <c r="S450" s="233" t="s">
        <v>1125</v>
      </c>
      <c r="T450" s="234" t="s">
        <v>1113</v>
      </c>
      <c r="U450" s="242" t="s">
        <v>1402</v>
      </c>
      <c r="V450" s="233" t="str">
        <f>VLOOKUP(Table3[[#This Row],[Country Code]],Table29[],3,FALSE)</f>
        <v>Annex I</v>
      </c>
      <c r="W450" s="233" t="str">
        <f>VLOOKUP(Table3[[#This Row],[Country Code]],Table29[],4,FALSE)</f>
        <v>Europe</v>
      </c>
      <c r="X450" s="233" t="str">
        <f>VLOOKUP(Table3[[#This Row],[Country Code]],Table29[],5,FALSE)</f>
        <v>High-income</v>
      </c>
      <c r="Y450" s="233" t="str">
        <f>VLOOKUP(Table3[[#This Row],[Country Code]],Table29[],6,FALSE)</f>
        <v>G20</v>
      </c>
      <c r="Z450" s="233" t="str">
        <f>VLOOKUP(Table3[[#This Row],[Country Code]],Table29[],7,FALSE)</f>
        <v>G7</v>
      </c>
      <c r="AA450" s="233" t="str">
        <f>VLOOKUP(Table3[[#This Row],[Country Code]],Table29[],8,FALSE)</f>
        <v>OECD</v>
      </c>
      <c r="AB450" s="233" t="str">
        <f>VLOOKUP(Table3[[#This Row],[Country Code]],Table29[],9,FALSE)</f>
        <v>no</v>
      </c>
      <c r="AC450" s="233" t="str">
        <f>VLOOKUP(Table3[[#This Row],[Country Code]],Table29[],10,FALSE)</f>
        <v>no</v>
      </c>
      <c r="AD450" s="235">
        <f>VLOOKUP(Table3[[#This Row],[Country Code]],Table29[],23,FALSE)</f>
        <v>379.31858785213001</v>
      </c>
      <c r="AE450" s="235">
        <f>VLOOKUP(Table3[[#This Row],[Country Code]],Table29[],24,FALSE)</f>
        <v>109.75048777474809</v>
      </c>
      <c r="AF450" s="43"/>
    </row>
    <row r="451" spans="1:32" x14ac:dyDescent="0.25">
      <c r="A451" s="360">
        <v>26792</v>
      </c>
      <c r="B451" s="233" t="str">
        <f>VLOOKUP(Table3[[#This Row],[Document ID]],Table1[],2,FALSE)</f>
        <v>GBR</v>
      </c>
      <c r="C451" s="233" t="str">
        <f>VLOOKUP(Table3[[#This Row],[Document ID]],Table1[],3,FALSE)</f>
        <v>United Kingdom</v>
      </c>
      <c r="D451" s="233" t="str">
        <f>VLOOKUP(Table3[[#This Row],[Document ID]],Table1[],5,FALSE)</f>
        <v>LTS</v>
      </c>
      <c r="E451" s="233" t="str">
        <f>VLOOKUP(Table3[[#This Row],[Document ID]],Table1[],7,FALSE)</f>
        <v>LTS</v>
      </c>
      <c r="F451" s="233" t="str">
        <f>VLOOKUP(Table3[[#This Row],[Document ID]],Table1[],8,FALSE)</f>
        <v>LTS 1.1</v>
      </c>
      <c r="G451" s="233" t="str">
        <f>VLOOKUP(Table3[[#This Row],[Document ID]],Table1[],10,FALSE)</f>
        <v>Active</v>
      </c>
      <c r="H451" s="42" t="s">
        <v>1095</v>
      </c>
      <c r="I451" s="43" t="s">
        <v>1096</v>
      </c>
      <c r="J451" s="43" t="s">
        <v>1090</v>
      </c>
      <c r="K451" s="28" t="s">
        <v>1121</v>
      </c>
      <c r="L451" s="42" t="s">
        <v>1099</v>
      </c>
      <c r="M451" s="209">
        <v>2050</v>
      </c>
      <c r="N451" s="43" t="s">
        <v>1567</v>
      </c>
      <c r="O451" s="258">
        <v>156</v>
      </c>
      <c r="P451" s="238" t="str">
        <f>VLOOKUP(_xlfn.CONCAT(Table3[[#This Row],[Target area]],Table3[[#This Row],[GHG target?]],Table3[[#This Row],[Conditionality]]),'Drop down'!$E$81:$F$101,2,FALSE)</f>
        <v>T_Transport_Unc</v>
      </c>
      <c r="Q451" s="239" t="str">
        <f>VLOOKUP(Table3[[#This Row],[Target type]],Table418[[Value name]:[Value idenifyer]],2,FALSE)</f>
        <v>T_FL</v>
      </c>
      <c r="R451" s="233" t="s">
        <v>526</v>
      </c>
      <c r="S451" s="233" t="s">
        <v>1125</v>
      </c>
      <c r="T451" s="234" t="s">
        <v>1113</v>
      </c>
      <c r="U451" s="242" t="s">
        <v>1402</v>
      </c>
      <c r="V451" s="233" t="str">
        <f>VLOOKUP(Table3[[#This Row],[Country Code]],Table29[],3,FALSE)</f>
        <v>Annex I</v>
      </c>
      <c r="W451" s="233" t="str">
        <f>VLOOKUP(Table3[[#This Row],[Country Code]],Table29[],4,FALSE)</f>
        <v>Europe</v>
      </c>
      <c r="X451" s="233" t="str">
        <f>VLOOKUP(Table3[[#This Row],[Country Code]],Table29[],5,FALSE)</f>
        <v>High-income</v>
      </c>
      <c r="Y451" s="233" t="str">
        <f>VLOOKUP(Table3[[#This Row],[Country Code]],Table29[],6,FALSE)</f>
        <v>G20</v>
      </c>
      <c r="Z451" s="233" t="str">
        <f>VLOOKUP(Table3[[#This Row],[Country Code]],Table29[],7,FALSE)</f>
        <v>G7</v>
      </c>
      <c r="AA451" s="233" t="str">
        <f>VLOOKUP(Table3[[#This Row],[Country Code]],Table29[],8,FALSE)</f>
        <v>OECD</v>
      </c>
      <c r="AB451" s="233" t="str">
        <f>VLOOKUP(Table3[[#This Row],[Country Code]],Table29[],9,FALSE)</f>
        <v>no</v>
      </c>
      <c r="AC451" s="233" t="str">
        <f>VLOOKUP(Table3[[#This Row],[Country Code]],Table29[],10,FALSE)</f>
        <v>no</v>
      </c>
      <c r="AD451" s="235">
        <f>VLOOKUP(Table3[[#This Row],[Country Code]],Table29[],23,FALSE)</f>
        <v>379.31858785213001</v>
      </c>
      <c r="AE451" s="235">
        <f>VLOOKUP(Table3[[#This Row],[Country Code]],Table29[],24,FALSE)</f>
        <v>109.75048777474809</v>
      </c>
      <c r="AF451" s="43"/>
    </row>
    <row r="452" spans="1:32" x14ac:dyDescent="0.25">
      <c r="A452" s="360">
        <v>26792</v>
      </c>
      <c r="B452" s="233" t="str">
        <f>VLOOKUP(Table3[[#This Row],[Document ID]],Table1[],2,FALSE)</f>
        <v>GBR</v>
      </c>
      <c r="C452" s="233" t="str">
        <f>VLOOKUP(Table3[[#This Row],[Document ID]],Table1[],3,FALSE)</f>
        <v>United Kingdom</v>
      </c>
      <c r="D452" s="233" t="str">
        <f>VLOOKUP(Table3[[#This Row],[Document ID]],Table1[],5,FALSE)</f>
        <v>LTS</v>
      </c>
      <c r="E452" s="233" t="str">
        <f>VLOOKUP(Table3[[#This Row],[Document ID]],Table1[],7,FALSE)</f>
        <v>LTS</v>
      </c>
      <c r="F452" s="233" t="str">
        <f>VLOOKUP(Table3[[#This Row],[Document ID]],Table1[],8,FALSE)</f>
        <v>LTS 1.1</v>
      </c>
      <c r="G452" s="233" t="str">
        <f>VLOOKUP(Table3[[#This Row],[Document ID]],Table1[],10,FALSE)</f>
        <v>Active</v>
      </c>
      <c r="H452" s="42" t="s">
        <v>1095</v>
      </c>
      <c r="I452" s="42" t="s">
        <v>1096</v>
      </c>
      <c r="J452" s="42" t="s">
        <v>1097</v>
      </c>
      <c r="K452" s="28" t="s">
        <v>1162</v>
      </c>
      <c r="L452" s="42" t="s">
        <v>1099</v>
      </c>
      <c r="M452" s="209">
        <v>2040</v>
      </c>
      <c r="N452" s="43" t="s">
        <v>1568</v>
      </c>
      <c r="O452" s="258">
        <v>159</v>
      </c>
      <c r="P452" s="238" t="str">
        <f>VLOOKUP(_xlfn.CONCAT(Table3[[#This Row],[Target area]],Table3[[#This Row],[GHG target?]],Table3[[#This Row],[Conditionality]]),'Drop down'!$E$81:$F$101,2,FALSE)</f>
        <v>T_Transport_O_Unc</v>
      </c>
      <c r="Q452" s="239" t="str">
        <f>VLOOKUP(Table3[[#This Row],[Target type]],Table418[[Value name]:[Value idenifyer]],2,FALSE)</f>
        <v>T_O_INFRA</v>
      </c>
      <c r="S452" s="233" t="s">
        <v>1125</v>
      </c>
      <c r="T452" s="234" t="s">
        <v>1113</v>
      </c>
      <c r="U452" s="242" t="s">
        <v>1402</v>
      </c>
      <c r="V452" s="233" t="str">
        <f>VLOOKUP(Table3[[#This Row],[Country Code]],Table29[],3,FALSE)</f>
        <v>Annex I</v>
      </c>
      <c r="W452" s="233" t="str">
        <f>VLOOKUP(Table3[[#This Row],[Country Code]],Table29[],4,FALSE)</f>
        <v>Europe</v>
      </c>
      <c r="X452" s="233" t="str">
        <f>VLOOKUP(Table3[[#This Row],[Country Code]],Table29[],5,FALSE)</f>
        <v>High-income</v>
      </c>
      <c r="Y452" s="233" t="str">
        <f>VLOOKUP(Table3[[#This Row],[Country Code]],Table29[],6,FALSE)</f>
        <v>G20</v>
      </c>
      <c r="Z452" s="233" t="str">
        <f>VLOOKUP(Table3[[#This Row],[Country Code]],Table29[],7,FALSE)</f>
        <v>G7</v>
      </c>
      <c r="AA452" s="233" t="str">
        <f>VLOOKUP(Table3[[#This Row],[Country Code]],Table29[],8,FALSE)</f>
        <v>OECD</v>
      </c>
      <c r="AB452" s="233" t="str">
        <f>VLOOKUP(Table3[[#This Row],[Country Code]],Table29[],9,FALSE)</f>
        <v>no</v>
      </c>
      <c r="AC452" s="233" t="str">
        <f>VLOOKUP(Table3[[#This Row],[Country Code]],Table29[],10,FALSE)</f>
        <v>no</v>
      </c>
      <c r="AD452" s="235">
        <f>VLOOKUP(Table3[[#This Row],[Country Code]],Table29[],23,FALSE)</f>
        <v>379.31858785213001</v>
      </c>
      <c r="AE452" s="235">
        <f>VLOOKUP(Table3[[#This Row],[Country Code]],Table29[],24,FALSE)</f>
        <v>109.75048777474809</v>
      </c>
      <c r="AF452" s="43"/>
    </row>
    <row r="453" spans="1:32" x14ac:dyDescent="0.25">
      <c r="A453" s="360">
        <v>26792</v>
      </c>
      <c r="B453" s="233" t="str">
        <f>VLOOKUP(Table3[[#This Row],[Document ID]],Table1[],2,FALSE)</f>
        <v>GBR</v>
      </c>
      <c r="C453" s="233" t="str">
        <f>VLOOKUP(Table3[[#This Row],[Document ID]],Table1[],3,FALSE)</f>
        <v>United Kingdom</v>
      </c>
      <c r="D453" s="233" t="str">
        <f>VLOOKUP(Table3[[#This Row],[Document ID]],Table1[],5,FALSE)</f>
        <v>LTS</v>
      </c>
      <c r="E453" s="233" t="str">
        <f>VLOOKUP(Table3[[#This Row],[Document ID]],Table1[],7,FALSE)</f>
        <v>LTS</v>
      </c>
      <c r="F453" s="233" t="str">
        <f>VLOOKUP(Table3[[#This Row],[Document ID]],Table1[],8,FALSE)</f>
        <v>LTS 1.1</v>
      </c>
      <c r="G453" s="233" t="str">
        <f>VLOOKUP(Table3[[#This Row],[Document ID]],Table1[],10,FALSE)</f>
        <v>Active</v>
      </c>
      <c r="H453" s="42" t="s">
        <v>1095</v>
      </c>
      <c r="I453" s="43" t="s">
        <v>1096</v>
      </c>
      <c r="J453" s="43" t="s">
        <v>1090</v>
      </c>
      <c r="K453" s="28" t="s">
        <v>1121</v>
      </c>
      <c r="L453" s="42" t="s">
        <v>1099</v>
      </c>
      <c r="M453" s="209">
        <v>2050</v>
      </c>
      <c r="N453" s="43" t="s">
        <v>1569</v>
      </c>
      <c r="O453" s="258">
        <v>159</v>
      </c>
      <c r="P453" s="238" t="str">
        <f>VLOOKUP(_xlfn.CONCAT(Table3[[#This Row],[Target area]],Table3[[#This Row],[GHG target?]],Table3[[#This Row],[Conditionality]]),'Drop down'!$E$81:$F$101,2,FALSE)</f>
        <v>T_Transport_Unc</v>
      </c>
      <c r="Q453" s="239" t="str">
        <f>VLOOKUP(Table3[[#This Row],[Target type]],Table418[[Value name]:[Value idenifyer]],2,FALSE)</f>
        <v>T_FL</v>
      </c>
      <c r="R453" s="233" t="s">
        <v>526</v>
      </c>
      <c r="S453" s="233" t="s">
        <v>1125</v>
      </c>
      <c r="T453" s="234" t="s">
        <v>1113</v>
      </c>
      <c r="U453" s="242" t="s">
        <v>1402</v>
      </c>
      <c r="V453" s="233" t="str">
        <f>VLOOKUP(Table3[[#This Row],[Country Code]],Table29[],3,FALSE)</f>
        <v>Annex I</v>
      </c>
      <c r="W453" s="233" t="str">
        <f>VLOOKUP(Table3[[#This Row],[Country Code]],Table29[],4,FALSE)</f>
        <v>Europe</v>
      </c>
      <c r="X453" s="233" t="str">
        <f>VLOOKUP(Table3[[#This Row],[Country Code]],Table29[],5,FALSE)</f>
        <v>High-income</v>
      </c>
      <c r="Y453" s="233" t="str">
        <f>VLOOKUP(Table3[[#This Row],[Country Code]],Table29[],6,FALSE)</f>
        <v>G20</v>
      </c>
      <c r="Z453" s="233" t="str">
        <f>VLOOKUP(Table3[[#This Row],[Country Code]],Table29[],7,FALSE)</f>
        <v>G7</v>
      </c>
      <c r="AA453" s="233" t="str">
        <f>VLOOKUP(Table3[[#This Row],[Country Code]],Table29[],8,FALSE)</f>
        <v>OECD</v>
      </c>
      <c r="AB453" s="233" t="str">
        <f>VLOOKUP(Table3[[#This Row],[Country Code]],Table29[],9,FALSE)</f>
        <v>no</v>
      </c>
      <c r="AC453" s="233" t="str">
        <f>VLOOKUP(Table3[[#This Row],[Country Code]],Table29[],10,FALSE)</f>
        <v>no</v>
      </c>
      <c r="AD453" s="235">
        <f>VLOOKUP(Table3[[#This Row],[Country Code]],Table29[],23,FALSE)</f>
        <v>379.31858785213001</v>
      </c>
      <c r="AE453" s="235">
        <f>VLOOKUP(Table3[[#This Row],[Country Code]],Table29[],24,FALSE)</f>
        <v>109.75048777474809</v>
      </c>
      <c r="AF453" s="43"/>
    </row>
    <row r="454" spans="1:32" ht="30" x14ac:dyDescent="0.25">
      <c r="A454" s="360">
        <v>26792</v>
      </c>
      <c r="B454" s="233" t="str">
        <f>VLOOKUP(Table3[[#This Row],[Document ID]],Table1[],2,FALSE)</f>
        <v>GBR</v>
      </c>
      <c r="C454" s="233" t="str">
        <f>VLOOKUP(Table3[[#This Row],[Document ID]],Table1[],3,FALSE)</f>
        <v>United Kingdom</v>
      </c>
      <c r="D454" s="233" t="str">
        <f>VLOOKUP(Table3[[#This Row],[Document ID]],Table1[],5,FALSE)</f>
        <v>LTS</v>
      </c>
      <c r="E454" s="233" t="str">
        <f>VLOOKUP(Table3[[#This Row],[Document ID]],Table1[],7,FALSE)</f>
        <v>LTS</v>
      </c>
      <c r="F454" s="233" t="str">
        <f>VLOOKUP(Table3[[#This Row],[Document ID]],Table1[],8,FALSE)</f>
        <v>LTS 1.1</v>
      </c>
      <c r="G454" s="233" t="str">
        <f>VLOOKUP(Table3[[#This Row],[Document ID]],Table1[],10,FALSE)</f>
        <v>Active</v>
      </c>
      <c r="H454" s="42" t="s">
        <v>1095</v>
      </c>
      <c r="I454" s="42" t="s">
        <v>1096</v>
      </c>
      <c r="J454" s="42" t="s">
        <v>1097</v>
      </c>
      <c r="K454" s="28" t="s">
        <v>1104</v>
      </c>
      <c r="L454" s="42" t="s">
        <v>1099</v>
      </c>
      <c r="M454" s="209">
        <v>2040</v>
      </c>
      <c r="N454" s="43" t="s">
        <v>1570</v>
      </c>
      <c r="O454" s="258">
        <v>159</v>
      </c>
      <c r="P454" s="238" t="str">
        <f>VLOOKUP(_xlfn.CONCAT(Table3[[#This Row],[Target area]],Table3[[#This Row],[GHG target?]],Table3[[#This Row],[Conditionality]]),'Drop down'!$E$81:$F$101,2,FALSE)</f>
        <v>T_Transport_O_Unc</v>
      </c>
      <c r="Q454" s="239" t="str">
        <f>VLOOKUP(Table3[[#This Row],[Target type]],Table418[[Value name]:[Value idenifyer]],2,FALSE)</f>
        <v>T_O_ZERO</v>
      </c>
      <c r="S454" s="233" t="s">
        <v>1125</v>
      </c>
      <c r="T454" s="234" t="s">
        <v>1113</v>
      </c>
      <c r="U454" s="242" t="s">
        <v>1402</v>
      </c>
      <c r="V454" s="233" t="str">
        <f>VLOOKUP(Table3[[#This Row],[Country Code]],Table29[],3,FALSE)</f>
        <v>Annex I</v>
      </c>
      <c r="W454" s="233" t="str">
        <f>VLOOKUP(Table3[[#This Row],[Country Code]],Table29[],4,FALSE)</f>
        <v>Europe</v>
      </c>
      <c r="X454" s="233" t="str">
        <f>VLOOKUP(Table3[[#This Row],[Country Code]],Table29[],5,FALSE)</f>
        <v>High-income</v>
      </c>
      <c r="Y454" s="233" t="str">
        <f>VLOOKUP(Table3[[#This Row],[Country Code]],Table29[],6,FALSE)</f>
        <v>G20</v>
      </c>
      <c r="Z454" s="233" t="str">
        <f>VLOOKUP(Table3[[#This Row],[Country Code]],Table29[],7,FALSE)</f>
        <v>G7</v>
      </c>
      <c r="AA454" s="233" t="str">
        <f>VLOOKUP(Table3[[#This Row],[Country Code]],Table29[],8,FALSE)</f>
        <v>OECD</v>
      </c>
      <c r="AB454" s="233" t="str">
        <f>VLOOKUP(Table3[[#This Row],[Country Code]],Table29[],9,FALSE)</f>
        <v>no</v>
      </c>
      <c r="AC454" s="233" t="str">
        <f>VLOOKUP(Table3[[#This Row],[Country Code]],Table29[],10,FALSE)</f>
        <v>no</v>
      </c>
      <c r="AD454" s="235">
        <f>VLOOKUP(Table3[[#This Row],[Country Code]],Table29[],23,FALSE)</f>
        <v>379.31858785213001</v>
      </c>
      <c r="AE454" s="235">
        <f>VLOOKUP(Table3[[#This Row],[Country Code]],Table29[],24,FALSE)</f>
        <v>109.75048777474809</v>
      </c>
      <c r="AF454" s="43"/>
    </row>
    <row r="455" spans="1:32" ht="30" x14ac:dyDescent="0.25">
      <c r="A455" s="360">
        <v>26792</v>
      </c>
      <c r="B455" s="233" t="str">
        <f>VLOOKUP(Table3[[#This Row],[Document ID]],Table1[],2,FALSE)</f>
        <v>GBR</v>
      </c>
      <c r="C455" s="233" t="str">
        <f>VLOOKUP(Table3[[#This Row],[Document ID]],Table1[],3,FALSE)</f>
        <v>United Kingdom</v>
      </c>
      <c r="D455" s="233" t="str">
        <f>VLOOKUP(Table3[[#This Row],[Document ID]],Table1[],5,FALSE)</f>
        <v>LTS</v>
      </c>
      <c r="E455" s="233" t="str">
        <f>VLOOKUP(Table3[[#This Row],[Document ID]],Table1[],7,FALSE)</f>
        <v>LTS</v>
      </c>
      <c r="F455" s="233" t="str">
        <f>VLOOKUP(Table3[[#This Row],[Document ID]],Table1[],8,FALSE)</f>
        <v>LTS 1.1</v>
      </c>
      <c r="G455" s="233" t="str">
        <f>VLOOKUP(Table3[[#This Row],[Document ID]],Table1[],10,FALSE)</f>
        <v>Active</v>
      </c>
      <c r="H455" s="42" t="s">
        <v>1095</v>
      </c>
      <c r="I455" s="42" t="s">
        <v>1096</v>
      </c>
      <c r="J455" s="42" t="s">
        <v>1097</v>
      </c>
      <c r="K455" s="28" t="s">
        <v>1104</v>
      </c>
      <c r="L455" s="42" t="s">
        <v>1099</v>
      </c>
      <c r="M455" s="209">
        <v>2030</v>
      </c>
      <c r="N455" s="43" t="s">
        <v>1571</v>
      </c>
      <c r="O455" s="258">
        <v>160</v>
      </c>
      <c r="P455" s="238" t="str">
        <f>VLOOKUP(_xlfn.CONCAT(Table3[[#This Row],[Target area]],Table3[[#This Row],[GHG target?]],Table3[[#This Row],[Conditionality]]),'Drop down'!$E$81:$F$101,2,FALSE)</f>
        <v>T_Transport_O_Unc</v>
      </c>
      <c r="Q455" s="239" t="str">
        <f>VLOOKUP(Table3[[#This Row],[Target type]],Table418[[Value name]:[Value idenifyer]],2,FALSE)</f>
        <v>T_O_ZERO</v>
      </c>
      <c r="S455" s="233" t="s">
        <v>1125</v>
      </c>
      <c r="T455" s="234" t="s">
        <v>1113</v>
      </c>
      <c r="U455" s="242" t="s">
        <v>1402</v>
      </c>
      <c r="V455" s="233" t="str">
        <f>VLOOKUP(Table3[[#This Row],[Country Code]],Table29[],3,FALSE)</f>
        <v>Annex I</v>
      </c>
      <c r="W455" s="233" t="str">
        <f>VLOOKUP(Table3[[#This Row],[Country Code]],Table29[],4,FALSE)</f>
        <v>Europe</v>
      </c>
      <c r="X455" s="233" t="str">
        <f>VLOOKUP(Table3[[#This Row],[Country Code]],Table29[],5,FALSE)</f>
        <v>High-income</v>
      </c>
      <c r="Y455" s="233" t="str">
        <f>VLOOKUP(Table3[[#This Row],[Country Code]],Table29[],6,FALSE)</f>
        <v>G20</v>
      </c>
      <c r="Z455" s="233" t="str">
        <f>VLOOKUP(Table3[[#This Row],[Country Code]],Table29[],7,FALSE)</f>
        <v>G7</v>
      </c>
      <c r="AA455" s="233" t="str">
        <f>VLOOKUP(Table3[[#This Row],[Country Code]],Table29[],8,FALSE)</f>
        <v>OECD</v>
      </c>
      <c r="AB455" s="233" t="str">
        <f>VLOOKUP(Table3[[#This Row],[Country Code]],Table29[],9,FALSE)</f>
        <v>no</v>
      </c>
      <c r="AC455" s="233" t="str">
        <f>VLOOKUP(Table3[[#This Row],[Country Code]],Table29[],10,FALSE)</f>
        <v>no</v>
      </c>
      <c r="AD455" s="235">
        <f>VLOOKUP(Table3[[#This Row],[Country Code]],Table29[],23,FALSE)</f>
        <v>379.31858785213001</v>
      </c>
      <c r="AE455" s="235">
        <f>VLOOKUP(Table3[[#This Row],[Country Code]],Table29[],24,FALSE)</f>
        <v>109.75048777474809</v>
      </c>
      <c r="AF455" s="43"/>
    </row>
    <row r="456" spans="1:32" ht="30" x14ac:dyDescent="0.25">
      <c r="A456" s="360">
        <v>26792</v>
      </c>
      <c r="B456" s="233" t="str">
        <f>VLOOKUP(Table3[[#This Row],[Document ID]],Table1[],2,FALSE)</f>
        <v>GBR</v>
      </c>
      <c r="C456" s="233" t="str">
        <f>VLOOKUP(Table3[[#This Row],[Document ID]],Table1[],3,FALSE)</f>
        <v>United Kingdom</v>
      </c>
      <c r="D456" s="233" t="str">
        <f>VLOOKUP(Table3[[#This Row],[Document ID]],Table1[],5,FALSE)</f>
        <v>LTS</v>
      </c>
      <c r="E456" s="233" t="str">
        <f>VLOOKUP(Table3[[#This Row],[Document ID]],Table1[],7,FALSE)</f>
        <v>LTS</v>
      </c>
      <c r="F456" s="233" t="str">
        <f>VLOOKUP(Table3[[#This Row],[Document ID]],Table1[],8,FALSE)</f>
        <v>LTS 1.1</v>
      </c>
      <c r="G456" s="233" t="str">
        <f>VLOOKUP(Table3[[#This Row],[Document ID]],Table1[],10,FALSE)</f>
        <v>Active</v>
      </c>
      <c r="H456" s="42" t="s">
        <v>1095</v>
      </c>
      <c r="I456" s="42" t="s">
        <v>1096</v>
      </c>
      <c r="J456" s="42" t="s">
        <v>1097</v>
      </c>
      <c r="K456" s="28" t="s">
        <v>1104</v>
      </c>
      <c r="L456" s="42" t="s">
        <v>1099</v>
      </c>
      <c r="M456" s="209">
        <v>2035</v>
      </c>
      <c r="N456" s="43" t="s">
        <v>1572</v>
      </c>
      <c r="O456" s="258">
        <v>160</v>
      </c>
      <c r="P456" s="238" t="str">
        <f>VLOOKUP(_xlfn.CONCAT(Table3[[#This Row],[Target area]],Table3[[#This Row],[GHG target?]],Table3[[#This Row],[Conditionality]]),'Drop down'!$E$81:$F$101,2,FALSE)</f>
        <v>T_Transport_O_Unc</v>
      </c>
      <c r="Q456" s="239" t="str">
        <f>VLOOKUP(Table3[[#This Row],[Target type]],Table418[[Value name]:[Value idenifyer]],2,FALSE)</f>
        <v>T_O_ZERO</v>
      </c>
      <c r="S456" s="233" t="s">
        <v>1125</v>
      </c>
      <c r="T456" s="234" t="s">
        <v>1113</v>
      </c>
      <c r="U456" s="242" t="s">
        <v>1402</v>
      </c>
      <c r="V456" s="233" t="str">
        <f>VLOOKUP(Table3[[#This Row],[Country Code]],Table29[],3,FALSE)</f>
        <v>Annex I</v>
      </c>
      <c r="W456" s="233" t="str">
        <f>VLOOKUP(Table3[[#This Row],[Country Code]],Table29[],4,FALSE)</f>
        <v>Europe</v>
      </c>
      <c r="X456" s="233" t="str">
        <f>VLOOKUP(Table3[[#This Row],[Country Code]],Table29[],5,FALSE)</f>
        <v>High-income</v>
      </c>
      <c r="Y456" s="233" t="str">
        <f>VLOOKUP(Table3[[#This Row],[Country Code]],Table29[],6,FALSE)</f>
        <v>G20</v>
      </c>
      <c r="Z456" s="233" t="str">
        <f>VLOOKUP(Table3[[#This Row],[Country Code]],Table29[],7,FALSE)</f>
        <v>G7</v>
      </c>
      <c r="AA456" s="233" t="str">
        <f>VLOOKUP(Table3[[#This Row],[Country Code]],Table29[],8,FALSE)</f>
        <v>OECD</v>
      </c>
      <c r="AB456" s="233" t="str">
        <f>VLOOKUP(Table3[[#This Row],[Country Code]],Table29[],9,FALSE)</f>
        <v>no</v>
      </c>
      <c r="AC456" s="233" t="str">
        <f>VLOOKUP(Table3[[#This Row],[Country Code]],Table29[],10,FALSE)</f>
        <v>no</v>
      </c>
      <c r="AD456" s="235">
        <f>VLOOKUP(Table3[[#This Row],[Country Code]],Table29[],23,FALSE)</f>
        <v>379.31858785213001</v>
      </c>
      <c r="AE456" s="235">
        <f>VLOOKUP(Table3[[#This Row],[Country Code]],Table29[],24,FALSE)</f>
        <v>109.75048777474809</v>
      </c>
      <c r="AF456" s="43"/>
    </row>
    <row r="457" spans="1:32" ht="30" x14ac:dyDescent="0.25">
      <c r="A457" s="360">
        <v>26792</v>
      </c>
      <c r="B457" s="233" t="str">
        <f>VLOOKUP(Table3[[#This Row],[Document ID]],Table1[],2,FALSE)</f>
        <v>GBR</v>
      </c>
      <c r="C457" s="233" t="str">
        <f>VLOOKUP(Table3[[#This Row],[Document ID]],Table1[],3,FALSE)</f>
        <v>United Kingdom</v>
      </c>
      <c r="D457" s="233" t="str">
        <f>VLOOKUP(Table3[[#This Row],[Document ID]],Table1[],5,FALSE)</f>
        <v>LTS</v>
      </c>
      <c r="E457" s="233" t="str">
        <f>VLOOKUP(Table3[[#This Row],[Document ID]],Table1[],7,FALSE)</f>
        <v>LTS</v>
      </c>
      <c r="F457" s="233" t="str">
        <f>VLOOKUP(Table3[[#This Row],[Document ID]],Table1[],8,FALSE)</f>
        <v>LTS 1.1</v>
      </c>
      <c r="G457" s="233" t="str">
        <f>VLOOKUP(Table3[[#This Row],[Document ID]],Table1[],10,FALSE)</f>
        <v>Active</v>
      </c>
      <c r="H457" s="42" t="s">
        <v>1095</v>
      </c>
      <c r="I457" s="42" t="s">
        <v>1096</v>
      </c>
      <c r="J457" s="42" t="s">
        <v>1097</v>
      </c>
      <c r="K457" s="28" t="s">
        <v>1104</v>
      </c>
      <c r="L457" s="42" t="s">
        <v>1099</v>
      </c>
      <c r="M457" s="209">
        <v>2022</v>
      </c>
      <c r="N457" t="s">
        <v>1573</v>
      </c>
      <c r="O457" s="258">
        <v>160</v>
      </c>
      <c r="P457" s="238" t="str">
        <f>VLOOKUP(_xlfn.CONCAT(Table3[[#This Row],[Target area]],Table3[[#This Row],[GHG target?]],Table3[[#This Row],[Conditionality]]),'Drop down'!$E$81:$F$101,2,FALSE)</f>
        <v>T_Transport_O_Unc</v>
      </c>
      <c r="Q457" s="239" t="str">
        <f>VLOOKUP(Table3[[#This Row],[Target type]],Table418[[Value name]:[Value idenifyer]],2,FALSE)</f>
        <v>T_O_ZERO</v>
      </c>
      <c r="S457" s="233" t="s">
        <v>1125</v>
      </c>
      <c r="T457" s="234" t="s">
        <v>1113</v>
      </c>
      <c r="U457" s="242" t="s">
        <v>1402</v>
      </c>
      <c r="V457" s="233" t="str">
        <f>VLOOKUP(Table3[[#This Row],[Country Code]],Table29[],3,FALSE)</f>
        <v>Annex I</v>
      </c>
      <c r="W457" s="233" t="str">
        <f>VLOOKUP(Table3[[#This Row],[Country Code]],Table29[],4,FALSE)</f>
        <v>Europe</v>
      </c>
      <c r="X457" s="233" t="str">
        <f>VLOOKUP(Table3[[#This Row],[Country Code]],Table29[],5,FALSE)</f>
        <v>High-income</v>
      </c>
      <c r="Y457" s="233" t="str">
        <f>VLOOKUP(Table3[[#This Row],[Country Code]],Table29[],6,FALSE)</f>
        <v>G20</v>
      </c>
      <c r="Z457" s="233" t="str">
        <f>VLOOKUP(Table3[[#This Row],[Country Code]],Table29[],7,FALSE)</f>
        <v>G7</v>
      </c>
      <c r="AA457" s="233" t="str">
        <f>VLOOKUP(Table3[[#This Row],[Country Code]],Table29[],8,FALSE)</f>
        <v>OECD</v>
      </c>
      <c r="AB457" s="233" t="str">
        <f>VLOOKUP(Table3[[#This Row],[Country Code]],Table29[],9,FALSE)</f>
        <v>no</v>
      </c>
      <c r="AC457" s="233" t="str">
        <f>VLOOKUP(Table3[[#This Row],[Country Code]],Table29[],10,FALSE)</f>
        <v>no</v>
      </c>
      <c r="AD457" s="235">
        <f>VLOOKUP(Table3[[#This Row],[Country Code]],Table29[],23,FALSE)</f>
        <v>379.31858785213001</v>
      </c>
      <c r="AE457" s="235">
        <f>VLOOKUP(Table3[[#This Row],[Country Code]],Table29[],24,FALSE)</f>
        <v>109.75048777474809</v>
      </c>
      <c r="AF457" s="43"/>
    </row>
    <row r="458" spans="1:32" ht="30" x14ac:dyDescent="0.25">
      <c r="A458" s="360">
        <v>26792</v>
      </c>
      <c r="B458" s="233" t="str">
        <f>VLOOKUP(Table3[[#This Row],[Document ID]],Table1[],2,FALSE)</f>
        <v>GBR</v>
      </c>
      <c r="C458" s="233" t="str">
        <f>VLOOKUP(Table3[[#This Row],[Document ID]],Table1[],3,FALSE)</f>
        <v>United Kingdom</v>
      </c>
      <c r="D458" s="233" t="str">
        <f>VLOOKUP(Table3[[#This Row],[Document ID]],Table1[],5,FALSE)</f>
        <v>LTS</v>
      </c>
      <c r="E458" s="233" t="str">
        <f>VLOOKUP(Table3[[#This Row],[Document ID]],Table1[],7,FALSE)</f>
        <v>LTS</v>
      </c>
      <c r="F458" s="233" t="str">
        <f>VLOOKUP(Table3[[#This Row],[Document ID]],Table1[],8,FALSE)</f>
        <v>LTS 1.1</v>
      </c>
      <c r="G458" s="233" t="str">
        <f>VLOOKUP(Table3[[#This Row],[Document ID]],Table1[],10,FALSE)</f>
        <v>Active</v>
      </c>
      <c r="H458" s="42" t="s">
        <v>1095</v>
      </c>
      <c r="I458" s="42" t="s">
        <v>1096</v>
      </c>
      <c r="J458" s="42" t="s">
        <v>1097</v>
      </c>
      <c r="K458" s="28" t="s">
        <v>1104</v>
      </c>
      <c r="L458" s="42" t="s">
        <v>1099</v>
      </c>
      <c r="M458" s="209">
        <v>2027</v>
      </c>
      <c r="N458" s="43" t="s">
        <v>1573</v>
      </c>
      <c r="O458" s="258">
        <v>160</v>
      </c>
      <c r="P458" s="238" t="str">
        <f>VLOOKUP(_xlfn.CONCAT(Table3[[#This Row],[Target area]],Table3[[#This Row],[GHG target?]],Table3[[#This Row],[Conditionality]]),'Drop down'!$E$81:$F$101,2,FALSE)</f>
        <v>T_Transport_O_Unc</v>
      </c>
      <c r="Q458" s="239" t="str">
        <f>VLOOKUP(Table3[[#This Row],[Target type]],Table418[[Value name]:[Value idenifyer]],2,FALSE)</f>
        <v>T_O_ZERO</v>
      </c>
      <c r="S458" s="233" t="s">
        <v>1125</v>
      </c>
      <c r="T458" s="234" t="s">
        <v>1113</v>
      </c>
      <c r="U458" s="242" t="s">
        <v>1402</v>
      </c>
      <c r="V458" s="233" t="str">
        <f>VLOOKUP(Table3[[#This Row],[Country Code]],Table29[],3,FALSE)</f>
        <v>Annex I</v>
      </c>
      <c r="W458" s="233" t="str">
        <f>VLOOKUP(Table3[[#This Row],[Country Code]],Table29[],4,FALSE)</f>
        <v>Europe</v>
      </c>
      <c r="X458" s="233" t="str">
        <f>VLOOKUP(Table3[[#This Row],[Country Code]],Table29[],5,FALSE)</f>
        <v>High-income</v>
      </c>
      <c r="Y458" s="233" t="str">
        <f>VLOOKUP(Table3[[#This Row],[Country Code]],Table29[],6,FALSE)</f>
        <v>G20</v>
      </c>
      <c r="Z458" s="233" t="str">
        <f>VLOOKUP(Table3[[#This Row],[Country Code]],Table29[],7,FALSE)</f>
        <v>G7</v>
      </c>
      <c r="AA458" s="233" t="str">
        <f>VLOOKUP(Table3[[#This Row],[Country Code]],Table29[],8,FALSE)</f>
        <v>OECD</v>
      </c>
      <c r="AB458" s="233" t="str">
        <f>VLOOKUP(Table3[[#This Row],[Country Code]],Table29[],9,FALSE)</f>
        <v>no</v>
      </c>
      <c r="AC458" s="233" t="str">
        <f>VLOOKUP(Table3[[#This Row],[Country Code]],Table29[],10,FALSE)</f>
        <v>no</v>
      </c>
      <c r="AD458" s="235">
        <f>VLOOKUP(Table3[[#This Row],[Country Code]],Table29[],23,FALSE)</f>
        <v>379.31858785213001</v>
      </c>
      <c r="AE458" s="235">
        <f>VLOOKUP(Table3[[#This Row],[Country Code]],Table29[],24,FALSE)</f>
        <v>109.75048777474809</v>
      </c>
      <c r="AF458" s="43"/>
    </row>
    <row r="459" spans="1:32" ht="30" x14ac:dyDescent="0.25">
      <c r="A459" s="360">
        <v>26792</v>
      </c>
      <c r="B459" s="233" t="str">
        <f>VLOOKUP(Table3[[#This Row],[Document ID]],Table1[],2,FALSE)</f>
        <v>GBR</v>
      </c>
      <c r="C459" s="233" t="str">
        <f>VLOOKUP(Table3[[#This Row],[Document ID]],Table1[],3,FALSE)</f>
        <v>United Kingdom</v>
      </c>
      <c r="D459" s="233" t="str">
        <f>VLOOKUP(Table3[[#This Row],[Document ID]],Table1[],5,FALSE)</f>
        <v>LTS</v>
      </c>
      <c r="E459" s="233" t="str">
        <f>VLOOKUP(Table3[[#This Row],[Document ID]],Table1[],7,FALSE)</f>
        <v>LTS</v>
      </c>
      <c r="F459" s="233" t="str">
        <f>VLOOKUP(Table3[[#This Row],[Document ID]],Table1[],8,FALSE)</f>
        <v>LTS 1.1</v>
      </c>
      <c r="G459" s="233" t="str">
        <f>VLOOKUP(Table3[[#This Row],[Document ID]],Table1[],10,FALSE)</f>
        <v>Active</v>
      </c>
      <c r="H459" s="42" t="s">
        <v>1095</v>
      </c>
      <c r="I459" s="43" t="s">
        <v>1096</v>
      </c>
      <c r="J459" s="43" t="s">
        <v>1090</v>
      </c>
      <c r="K459" s="28" t="s">
        <v>1121</v>
      </c>
      <c r="L459" s="42" t="s">
        <v>1099</v>
      </c>
      <c r="M459" s="209">
        <v>2030</v>
      </c>
      <c r="N459" s="44" t="s">
        <v>1574</v>
      </c>
      <c r="O459" s="258">
        <v>161</v>
      </c>
      <c r="P459" s="238" t="str">
        <f>VLOOKUP(_xlfn.CONCAT(Table3[[#This Row],[Target area]],Table3[[#This Row],[GHG target?]],Table3[[#This Row],[Conditionality]]),'Drop down'!$E$81:$F$101,2,FALSE)</f>
        <v>T_Transport_Unc</v>
      </c>
      <c r="Q459" s="239" t="str">
        <f>VLOOKUP(Table3[[#This Row],[Target type]],Table418[[Value name]:[Value idenifyer]],2,FALSE)</f>
        <v>T_FL</v>
      </c>
      <c r="R459" s="233" t="s">
        <v>526</v>
      </c>
      <c r="S459" s="233" t="s">
        <v>1125</v>
      </c>
      <c r="T459" s="234" t="s">
        <v>1113</v>
      </c>
      <c r="U459" s="242" t="s">
        <v>1402</v>
      </c>
      <c r="V459" s="233" t="str">
        <f>VLOOKUP(Table3[[#This Row],[Country Code]],Table29[],3,FALSE)</f>
        <v>Annex I</v>
      </c>
      <c r="W459" s="233" t="str">
        <f>VLOOKUP(Table3[[#This Row],[Country Code]],Table29[],4,FALSE)</f>
        <v>Europe</v>
      </c>
      <c r="X459" s="233" t="str">
        <f>VLOOKUP(Table3[[#This Row],[Country Code]],Table29[],5,FALSE)</f>
        <v>High-income</v>
      </c>
      <c r="Y459" s="233" t="str">
        <f>VLOOKUP(Table3[[#This Row],[Country Code]],Table29[],6,FALSE)</f>
        <v>G20</v>
      </c>
      <c r="Z459" s="233" t="str">
        <f>VLOOKUP(Table3[[#This Row],[Country Code]],Table29[],7,FALSE)</f>
        <v>G7</v>
      </c>
      <c r="AA459" s="233" t="str">
        <f>VLOOKUP(Table3[[#This Row],[Country Code]],Table29[],8,FALSE)</f>
        <v>OECD</v>
      </c>
      <c r="AB459" s="233" t="str">
        <f>VLOOKUP(Table3[[#This Row],[Country Code]],Table29[],9,FALSE)</f>
        <v>no</v>
      </c>
      <c r="AC459" s="233" t="str">
        <f>VLOOKUP(Table3[[#This Row],[Country Code]],Table29[],10,FALSE)</f>
        <v>no</v>
      </c>
      <c r="AD459" s="235">
        <f>VLOOKUP(Table3[[#This Row],[Country Code]],Table29[],23,FALSE)</f>
        <v>379.31858785213001</v>
      </c>
      <c r="AE459" s="235">
        <f>VLOOKUP(Table3[[#This Row],[Country Code]],Table29[],24,FALSE)</f>
        <v>109.75048777474809</v>
      </c>
      <c r="AF459" s="43"/>
    </row>
    <row r="460" spans="1:32" x14ac:dyDescent="0.25">
      <c r="A460" s="360">
        <v>26792</v>
      </c>
      <c r="B460" s="233" t="str">
        <f>VLOOKUP(Table3[[#This Row],[Document ID]],Table1[],2,FALSE)</f>
        <v>GBR</v>
      </c>
      <c r="C460" s="233" t="str">
        <f>VLOOKUP(Table3[[#This Row],[Document ID]],Table1[],3,FALSE)</f>
        <v>United Kingdom</v>
      </c>
      <c r="D460" s="233" t="str">
        <f>VLOOKUP(Table3[[#This Row],[Document ID]],Table1[],5,FALSE)</f>
        <v>LTS</v>
      </c>
      <c r="E460" s="233" t="str">
        <f>VLOOKUP(Table3[[#This Row],[Document ID]],Table1[],7,FALSE)</f>
        <v>LTS</v>
      </c>
      <c r="F460" s="233" t="str">
        <f>VLOOKUP(Table3[[#This Row],[Document ID]],Table1[],8,FALSE)</f>
        <v>LTS 1.1</v>
      </c>
      <c r="G460" s="233" t="str">
        <f>VLOOKUP(Table3[[#This Row],[Document ID]],Table1[],10,FALSE)</f>
        <v>Active</v>
      </c>
      <c r="H460" s="42" t="s">
        <v>1095</v>
      </c>
      <c r="I460" s="42" t="s">
        <v>1096</v>
      </c>
      <c r="J460" s="42" t="s">
        <v>1097</v>
      </c>
      <c r="K460" s="28" t="s">
        <v>1102</v>
      </c>
      <c r="L460" s="42" t="s">
        <v>1099</v>
      </c>
      <c r="M460" s="209">
        <v>2030</v>
      </c>
      <c r="N460" s="43" t="s">
        <v>1575</v>
      </c>
      <c r="O460" s="258">
        <v>161</v>
      </c>
      <c r="P460" s="238" t="str">
        <f>VLOOKUP(_xlfn.CONCAT(Table3[[#This Row],[Target area]],Table3[[#This Row],[GHG target?]],Table3[[#This Row],[Conditionality]]),'Drop down'!$E$81:$F$101,2,FALSE)</f>
        <v>T_Transport_O_Unc</v>
      </c>
      <c r="Q460" s="239" t="str">
        <f>VLOOKUP(Table3[[#This Row],[Target type]],Table418[[Value name]:[Value idenifyer]],2,FALSE)</f>
        <v>T_O_BIO</v>
      </c>
      <c r="S460" s="233" t="s">
        <v>1125</v>
      </c>
      <c r="T460" s="234" t="s">
        <v>1113</v>
      </c>
      <c r="U460" s="242" t="s">
        <v>1402</v>
      </c>
      <c r="V460" s="233" t="str">
        <f>VLOOKUP(Table3[[#This Row],[Country Code]],Table29[],3,FALSE)</f>
        <v>Annex I</v>
      </c>
      <c r="W460" s="233" t="str">
        <f>VLOOKUP(Table3[[#This Row],[Country Code]],Table29[],4,FALSE)</f>
        <v>Europe</v>
      </c>
      <c r="X460" s="233" t="str">
        <f>VLOOKUP(Table3[[#This Row],[Country Code]],Table29[],5,FALSE)</f>
        <v>High-income</v>
      </c>
      <c r="Y460" s="233" t="str">
        <f>VLOOKUP(Table3[[#This Row],[Country Code]],Table29[],6,FALSE)</f>
        <v>G20</v>
      </c>
      <c r="Z460" s="233" t="str">
        <f>VLOOKUP(Table3[[#This Row],[Country Code]],Table29[],7,FALSE)</f>
        <v>G7</v>
      </c>
      <c r="AA460" s="233" t="str">
        <f>VLOOKUP(Table3[[#This Row],[Country Code]],Table29[],8,FALSE)</f>
        <v>OECD</v>
      </c>
      <c r="AB460" s="233" t="str">
        <f>VLOOKUP(Table3[[#This Row],[Country Code]],Table29[],9,FALSE)</f>
        <v>no</v>
      </c>
      <c r="AC460" s="233" t="str">
        <f>VLOOKUP(Table3[[#This Row],[Country Code]],Table29[],10,FALSE)</f>
        <v>no</v>
      </c>
      <c r="AD460" s="235">
        <f>VLOOKUP(Table3[[#This Row],[Country Code]],Table29[],23,FALSE)</f>
        <v>379.31858785213001</v>
      </c>
      <c r="AE460" s="235">
        <f>VLOOKUP(Table3[[#This Row],[Country Code]],Table29[],24,FALSE)</f>
        <v>109.75048777474809</v>
      </c>
      <c r="AF460" s="43"/>
    </row>
    <row r="461" spans="1:32" ht="30" x14ac:dyDescent="0.25">
      <c r="A461" s="360">
        <v>20334</v>
      </c>
      <c r="B461" s="233" t="str">
        <f>VLOOKUP(Table3[[#This Row],[Document ID]],Table1[],2,FALSE)</f>
        <v>GEO</v>
      </c>
      <c r="C461" s="233" t="str">
        <f>VLOOKUP(Table3[[#This Row],[Document ID]],Table1[],3,FALSE)</f>
        <v>Georgia</v>
      </c>
      <c r="D461" s="233" t="str">
        <f>VLOOKUP(Table3[[#This Row],[Document ID]],Table1[],5,FALSE)</f>
        <v>NDC</v>
      </c>
      <c r="E461" s="233" t="str">
        <f>VLOOKUP(Table3[[#This Row],[Document ID]],Table1[],7,FALSE)</f>
        <v>First NDC updated</v>
      </c>
      <c r="F461" s="233" t="str">
        <f>VLOOKUP(Table3[[#This Row],[Document ID]],Table1[],8,FALSE)</f>
        <v>NDC 1.1</v>
      </c>
      <c r="G461" s="233" t="str">
        <f>VLOOKUP(Table3[[#This Row],[Document ID]],Table1[],10,FALSE)</f>
        <v>Active</v>
      </c>
      <c r="H461" s="42" t="s">
        <v>1095</v>
      </c>
      <c r="I461" s="43" t="s">
        <v>1115</v>
      </c>
      <c r="J461" s="43" t="s">
        <v>1090</v>
      </c>
      <c r="K461" s="28" t="s">
        <v>1153</v>
      </c>
      <c r="L461" s="42" t="s">
        <v>1099</v>
      </c>
      <c r="M461" s="209">
        <v>2030</v>
      </c>
      <c r="N461" s="209" t="s">
        <v>1576</v>
      </c>
      <c r="O461" s="259">
        <v>28</v>
      </c>
      <c r="P461" s="238" t="str">
        <f>VLOOKUP(_xlfn.CONCAT(Table3[[#This Row],[Target area]],Table3[[#This Row],[GHG target?]],Table3[[#This Row],[Conditionality]]),'Drop down'!$E$81:$F$101,2,FALSE)</f>
        <v>T_Transport_Unc</v>
      </c>
      <c r="Q461" s="239" t="str">
        <f>VLOOKUP(Table3[[#This Row],[Target type]],Table418[[Value name]:[Value idenifyer]],2,FALSE)</f>
        <v>T_BYE</v>
      </c>
      <c r="R461" s="233" t="s">
        <v>526</v>
      </c>
      <c r="S461" s="233" t="s">
        <v>1112</v>
      </c>
      <c r="T461" s="234" t="s">
        <v>1113</v>
      </c>
      <c r="V461" s="233" t="str">
        <f>VLOOKUP(Table3[[#This Row],[Country Code]],Table29[],3,FALSE)</f>
        <v>Non-Annex I</v>
      </c>
      <c r="W461" s="233" t="str">
        <f>VLOOKUP(Table3[[#This Row],[Country Code]],Table29[],4,FALSE)</f>
        <v>Asia</v>
      </c>
      <c r="X461" s="233" t="str">
        <f>VLOOKUP(Table3[[#This Row],[Country Code]],Table29[],5,FALSE)</f>
        <v>Middle-income</v>
      </c>
      <c r="Y461" s="233" t="str">
        <f>VLOOKUP(Table3[[#This Row],[Country Code]],Table29[],6,FALSE)</f>
        <v>no</v>
      </c>
      <c r="Z461" s="233" t="str">
        <f>VLOOKUP(Table3[[#This Row],[Country Code]],Table29[],7,FALSE)</f>
        <v>no</v>
      </c>
      <c r="AA461" s="233" t="str">
        <f>VLOOKUP(Table3[[#This Row],[Country Code]],Table29[],8,FALSE)</f>
        <v>non-OECD</v>
      </c>
      <c r="AB461" s="233" t="str">
        <f>VLOOKUP(Table3[[#This Row],[Country Code]],Table29[],9,FALSE)</f>
        <v>no</v>
      </c>
      <c r="AC461" s="233" t="str">
        <f>VLOOKUP(Table3[[#This Row],[Country Code]],Table29[],10,FALSE)</f>
        <v>no</v>
      </c>
      <c r="AD461" s="235">
        <f>VLOOKUP(Table3[[#This Row],[Country Code]],Table29[],23,FALSE)</f>
        <v>19.049153820466</v>
      </c>
      <c r="AE461" s="235">
        <f>VLOOKUP(Table3[[#This Row],[Country Code]],Table29[],24,FALSE)</f>
        <v>4.506874760733476</v>
      </c>
      <c r="AF461" s="43"/>
    </row>
    <row r="462" spans="1:32" x14ac:dyDescent="0.25">
      <c r="A462" s="360">
        <v>21964</v>
      </c>
      <c r="B462" s="233" t="str">
        <f>VLOOKUP(Table3[[#This Row],[Document ID]],Table1[],2,FALSE)</f>
        <v>GIN</v>
      </c>
      <c r="C462" s="233" t="str">
        <f>VLOOKUP(Table3[[#This Row],[Document ID]],Table1[],3,FALSE)</f>
        <v>Guinea</v>
      </c>
      <c r="D462" s="233" t="str">
        <f>VLOOKUP(Table3[[#This Row],[Document ID]],Table1[],5,FALSE)</f>
        <v>NDC</v>
      </c>
      <c r="E462" s="233" t="str">
        <f>VLOOKUP(Table3[[#This Row],[Document ID]],Table1[],7,FALSE)</f>
        <v>First NDC updated</v>
      </c>
      <c r="F462" s="233" t="str">
        <f>VLOOKUP(Table3[[#This Row],[Document ID]],Table1[],8,FALSE)</f>
        <v>NDC 1.1</v>
      </c>
      <c r="G462" s="233" t="str">
        <f>VLOOKUP(Table3[[#This Row],[Document ID]],Table1[],10,FALSE)</f>
        <v>Active</v>
      </c>
      <c r="H462" s="42" t="s">
        <v>1095</v>
      </c>
      <c r="I462" s="43" t="s">
        <v>1096</v>
      </c>
      <c r="J462" s="43" t="s">
        <v>1090</v>
      </c>
      <c r="K462" s="28" t="s">
        <v>1091</v>
      </c>
      <c r="L462" s="42" t="s">
        <v>1099</v>
      </c>
      <c r="M462" s="209">
        <v>2030</v>
      </c>
      <c r="N462" s="17" t="s">
        <v>1577</v>
      </c>
      <c r="O462" s="258">
        <v>24</v>
      </c>
      <c r="P462" s="238" t="str">
        <f>VLOOKUP(_xlfn.CONCAT(Table3[[#This Row],[Target area]],Table3[[#This Row],[GHG target?]],Table3[[#This Row],[Conditionality]]),'Drop down'!$E$81:$F$101,2,FALSE)</f>
        <v>T_Transport_Unc</v>
      </c>
      <c r="Q462" s="239" t="str">
        <f>VLOOKUP(Table3[[#This Row],[Target type]],Table418[[Value name]:[Value idenifyer]],2,FALSE)</f>
        <v>T_BAU</v>
      </c>
      <c r="R462" s="233" t="s">
        <v>1265</v>
      </c>
      <c r="S462" s="233" t="s">
        <v>1125</v>
      </c>
      <c r="V462" s="233" t="str">
        <f>VLOOKUP(Table3[[#This Row],[Country Code]],Table29[],3,FALSE)</f>
        <v>Non-Annex I</v>
      </c>
      <c r="W462" s="233" t="str">
        <f>VLOOKUP(Table3[[#This Row],[Country Code]],Table29[],4,FALSE)</f>
        <v>Africa</v>
      </c>
      <c r="X462" s="233" t="str">
        <f>VLOOKUP(Table3[[#This Row],[Country Code]],Table29[],5,FALSE)</f>
        <v>Low-income</v>
      </c>
      <c r="Y462" s="233" t="str">
        <f>VLOOKUP(Table3[[#This Row],[Country Code]],Table29[],6,FALSE)</f>
        <v>no</v>
      </c>
      <c r="Z462" s="233" t="str">
        <f>VLOOKUP(Table3[[#This Row],[Country Code]],Table29[],7,FALSE)</f>
        <v>no</v>
      </c>
      <c r="AA462" s="233" t="str">
        <f>VLOOKUP(Table3[[#This Row],[Country Code]],Table29[],8,FALSE)</f>
        <v>non-OECD</v>
      </c>
      <c r="AB462" s="233" t="str">
        <f>VLOOKUP(Table3[[#This Row],[Country Code]],Table29[],9,FALSE)</f>
        <v>no</v>
      </c>
      <c r="AC462" s="233" t="str">
        <f>VLOOKUP(Table3[[#This Row],[Country Code]],Table29[],10,FALSE)</f>
        <v>no</v>
      </c>
      <c r="AD462" s="235">
        <f>VLOOKUP(Table3[[#This Row],[Country Code]],Table29[],23,FALSE)</f>
        <v>28.634657504101</v>
      </c>
      <c r="AE462" s="235">
        <f>VLOOKUP(Table3[[#This Row],[Country Code]],Table29[],24,FALSE)</f>
        <v>1.791571476776437</v>
      </c>
      <c r="AF462" s="43"/>
    </row>
    <row r="463" spans="1:32" x14ac:dyDescent="0.25">
      <c r="A463" s="360">
        <v>21964</v>
      </c>
      <c r="B463" s="233" t="str">
        <f>VLOOKUP(Table3[[#This Row],[Document ID]],Table1[],2,FALSE)</f>
        <v>GIN</v>
      </c>
      <c r="C463" s="233" t="str">
        <f>VLOOKUP(Table3[[#This Row],[Document ID]],Table1[],3,FALSE)</f>
        <v>Guinea</v>
      </c>
      <c r="D463" s="233" t="str">
        <f>VLOOKUP(Table3[[#This Row],[Document ID]],Table1[],5,FALSE)</f>
        <v>NDC</v>
      </c>
      <c r="E463" s="233" t="str">
        <f>VLOOKUP(Table3[[#This Row],[Document ID]],Table1[],7,FALSE)</f>
        <v>First NDC updated</v>
      </c>
      <c r="F463" s="233" t="str">
        <f>VLOOKUP(Table3[[#This Row],[Document ID]],Table1[],8,FALSE)</f>
        <v>NDC 1.1</v>
      </c>
      <c r="G463" s="233" t="str">
        <f>VLOOKUP(Table3[[#This Row],[Document ID]],Table1[],10,FALSE)</f>
        <v>Active</v>
      </c>
      <c r="H463" s="42" t="s">
        <v>1095</v>
      </c>
      <c r="I463" s="43" t="s">
        <v>1096</v>
      </c>
      <c r="J463" s="43" t="s">
        <v>1090</v>
      </c>
      <c r="K463" s="28" t="s">
        <v>1091</v>
      </c>
      <c r="L463" s="43" t="s">
        <v>1092</v>
      </c>
      <c r="M463" s="209">
        <v>2030</v>
      </c>
      <c r="N463" s="18" t="s">
        <v>1578</v>
      </c>
      <c r="O463" s="258">
        <v>24</v>
      </c>
      <c r="P463" s="238" t="str">
        <f>VLOOKUP(_xlfn.CONCAT(Table3[[#This Row],[Target area]],Table3[[#This Row],[GHG target?]],Table3[[#This Row],[Conditionality]]),'Drop down'!$E$81:$F$101,2,FALSE)</f>
        <v>T_Transport_C</v>
      </c>
      <c r="Q463" s="239" t="str">
        <f>VLOOKUP(Table3[[#This Row],[Target type]],Table418[[Value name]:[Value idenifyer]],2,FALSE)</f>
        <v>T_BAU</v>
      </c>
      <c r="R463" s="233" t="s">
        <v>1265</v>
      </c>
      <c r="S463" s="233" t="s">
        <v>1125</v>
      </c>
      <c r="V463" s="233" t="str">
        <f>VLOOKUP(Table3[[#This Row],[Country Code]],Table29[],3,FALSE)</f>
        <v>Non-Annex I</v>
      </c>
      <c r="W463" s="233" t="str">
        <f>VLOOKUP(Table3[[#This Row],[Country Code]],Table29[],4,FALSE)</f>
        <v>Africa</v>
      </c>
      <c r="X463" s="233" t="str">
        <f>VLOOKUP(Table3[[#This Row],[Country Code]],Table29[],5,FALSE)</f>
        <v>Low-income</v>
      </c>
      <c r="Y463" s="233" t="str">
        <f>VLOOKUP(Table3[[#This Row],[Country Code]],Table29[],6,FALSE)</f>
        <v>no</v>
      </c>
      <c r="Z463" s="233" t="str">
        <f>VLOOKUP(Table3[[#This Row],[Country Code]],Table29[],7,FALSE)</f>
        <v>no</v>
      </c>
      <c r="AA463" s="233" t="str">
        <f>VLOOKUP(Table3[[#This Row],[Country Code]],Table29[],8,FALSE)</f>
        <v>non-OECD</v>
      </c>
      <c r="AB463" s="233" t="str">
        <f>VLOOKUP(Table3[[#This Row],[Country Code]],Table29[],9,FALSE)</f>
        <v>no</v>
      </c>
      <c r="AC463" s="233" t="str">
        <f>VLOOKUP(Table3[[#This Row],[Country Code]],Table29[],10,FALSE)</f>
        <v>no</v>
      </c>
      <c r="AD463" s="235">
        <f>VLOOKUP(Table3[[#This Row],[Country Code]],Table29[],23,FALSE)</f>
        <v>28.634657504101</v>
      </c>
      <c r="AE463" s="235">
        <f>VLOOKUP(Table3[[#This Row],[Country Code]],Table29[],24,FALSE)</f>
        <v>1.791571476776437</v>
      </c>
      <c r="AF463" s="43"/>
    </row>
    <row r="464" spans="1:32" ht="30" x14ac:dyDescent="0.25">
      <c r="A464" s="360">
        <v>21964</v>
      </c>
      <c r="B464" s="233" t="str">
        <f>VLOOKUP(Table3[[#This Row],[Document ID]],Table1[],2,FALSE)</f>
        <v>GIN</v>
      </c>
      <c r="C464" s="233" t="str">
        <f>VLOOKUP(Table3[[#This Row],[Document ID]],Table1[],3,FALSE)</f>
        <v>Guinea</v>
      </c>
      <c r="D464" s="233" t="str">
        <f>VLOOKUP(Table3[[#This Row],[Document ID]],Table1[],5,FALSE)</f>
        <v>NDC</v>
      </c>
      <c r="E464" s="233" t="str">
        <f>VLOOKUP(Table3[[#This Row],[Document ID]],Table1[],7,FALSE)</f>
        <v>First NDC updated</v>
      </c>
      <c r="F464" s="233" t="str">
        <f>VLOOKUP(Table3[[#This Row],[Document ID]],Table1[],8,FALSE)</f>
        <v>NDC 1.1</v>
      </c>
      <c r="G464" s="233" t="str">
        <f>VLOOKUP(Table3[[#This Row],[Document ID]],Table1[],10,FALSE)</f>
        <v>Active</v>
      </c>
      <c r="H464" s="42" t="s">
        <v>1095</v>
      </c>
      <c r="I464" s="42" t="s">
        <v>1096</v>
      </c>
      <c r="J464" s="42" t="s">
        <v>1097</v>
      </c>
      <c r="K464" s="28" t="s">
        <v>1137</v>
      </c>
      <c r="L464" s="42" t="s">
        <v>1099</v>
      </c>
      <c r="M464" s="209">
        <v>2025</v>
      </c>
      <c r="N464" s="17" t="s">
        <v>1579</v>
      </c>
      <c r="O464" s="258">
        <v>31</v>
      </c>
      <c r="P464" s="238" t="str">
        <f>VLOOKUP(_xlfn.CONCAT(Table3[[#This Row],[Target area]],Table3[[#This Row],[GHG target?]],Table3[[#This Row],[Conditionality]]),'Drop down'!$E$81:$F$101,2,FALSE)</f>
        <v>T_Transport_O_Unc</v>
      </c>
      <c r="Q464" s="239" t="str">
        <f>VLOOKUP(Table3[[#This Row],[Target type]],Table418[[Value name]:[Value idenifyer]],2,FALSE)</f>
        <v>T_O_EFF</v>
      </c>
      <c r="S464" s="233" t="s">
        <v>1125</v>
      </c>
      <c r="V464" s="233" t="str">
        <f>VLOOKUP(Table3[[#This Row],[Country Code]],Table29[],3,FALSE)</f>
        <v>Non-Annex I</v>
      </c>
      <c r="W464" s="233" t="str">
        <f>VLOOKUP(Table3[[#This Row],[Country Code]],Table29[],4,FALSE)</f>
        <v>Africa</v>
      </c>
      <c r="X464" s="233" t="str">
        <f>VLOOKUP(Table3[[#This Row],[Country Code]],Table29[],5,FALSE)</f>
        <v>Low-income</v>
      </c>
      <c r="Y464" s="233" t="str">
        <f>VLOOKUP(Table3[[#This Row],[Country Code]],Table29[],6,FALSE)</f>
        <v>no</v>
      </c>
      <c r="Z464" s="233" t="str">
        <f>VLOOKUP(Table3[[#This Row],[Country Code]],Table29[],7,FALSE)</f>
        <v>no</v>
      </c>
      <c r="AA464" s="233" t="str">
        <f>VLOOKUP(Table3[[#This Row],[Country Code]],Table29[],8,FALSE)</f>
        <v>non-OECD</v>
      </c>
      <c r="AB464" s="233" t="str">
        <f>VLOOKUP(Table3[[#This Row],[Country Code]],Table29[],9,FALSE)</f>
        <v>no</v>
      </c>
      <c r="AC464" s="233" t="str">
        <f>VLOOKUP(Table3[[#This Row],[Country Code]],Table29[],10,FALSE)</f>
        <v>no</v>
      </c>
      <c r="AD464" s="235">
        <f>VLOOKUP(Table3[[#This Row],[Country Code]],Table29[],23,FALSE)</f>
        <v>28.634657504101</v>
      </c>
      <c r="AE464" s="235">
        <f>VLOOKUP(Table3[[#This Row],[Country Code]],Table29[],24,FALSE)</f>
        <v>1.791571476776437</v>
      </c>
      <c r="AF464" s="43"/>
    </row>
    <row r="465" spans="1:32" ht="30" x14ac:dyDescent="0.25">
      <c r="A465" s="360">
        <v>21964</v>
      </c>
      <c r="B465" s="233" t="str">
        <f>VLOOKUP(Table3[[#This Row],[Document ID]],Table1[],2,FALSE)</f>
        <v>GIN</v>
      </c>
      <c r="C465" s="233" t="str">
        <f>VLOOKUP(Table3[[#This Row],[Document ID]],Table1[],3,FALSE)</f>
        <v>Guinea</v>
      </c>
      <c r="D465" s="233" t="str">
        <f>VLOOKUP(Table3[[#This Row],[Document ID]],Table1[],5,FALSE)</f>
        <v>NDC</v>
      </c>
      <c r="E465" s="233" t="str">
        <f>VLOOKUP(Table3[[#This Row],[Document ID]],Table1[],7,FALSE)</f>
        <v>First NDC updated</v>
      </c>
      <c r="F465" s="233" t="str">
        <f>VLOOKUP(Table3[[#This Row],[Document ID]],Table1[],8,FALSE)</f>
        <v>NDC 1.1</v>
      </c>
      <c r="G465" s="233" t="str">
        <f>VLOOKUP(Table3[[#This Row],[Document ID]],Table1[],10,FALSE)</f>
        <v>Active</v>
      </c>
      <c r="H465" s="42" t="s">
        <v>1095</v>
      </c>
      <c r="I465" s="42" t="s">
        <v>1096</v>
      </c>
      <c r="J465" s="42" t="s">
        <v>1097</v>
      </c>
      <c r="K465" s="28" t="s">
        <v>1137</v>
      </c>
      <c r="L465" s="42" t="s">
        <v>1099</v>
      </c>
      <c r="M465" s="209">
        <v>2030</v>
      </c>
      <c r="N465" s="43" t="s">
        <v>1580</v>
      </c>
      <c r="O465" s="258" t="s">
        <v>1581</v>
      </c>
      <c r="P465" s="238" t="str">
        <f>VLOOKUP(_xlfn.CONCAT(Table3[[#This Row],[Target area]],Table3[[#This Row],[GHG target?]],Table3[[#This Row],[Conditionality]]),'Drop down'!$E$81:$F$101,2,FALSE)</f>
        <v>T_Transport_O_Unc</v>
      </c>
      <c r="Q465" s="239" t="str">
        <f>VLOOKUP(Table3[[#This Row],[Target type]],Table418[[Value name]:[Value idenifyer]],2,FALSE)</f>
        <v>T_O_EFF</v>
      </c>
      <c r="S465" s="233" t="s">
        <v>1125</v>
      </c>
      <c r="V465" s="233" t="str">
        <f>VLOOKUP(Table3[[#This Row],[Country Code]],Table29[],3,FALSE)</f>
        <v>Non-Annex I</v>
      </c>
      <c r="W465" s="233" t="str">
        <f>VLOOKUP(Table3[[#This Row],[Country Code]],Table29[],4,FALSE)</f>
        <v>Africa</v>
      </c>
      <c r="X465" s="233" t="str">
        <f>VLOOKUP(Table3[[#This Row],[Country Code]],Table29[],5,FALSE)</f>
        <v>Low-income</v>
      </c>
      <c r="Y465" s="233" t="str">
        <f>VLOOKUP(Table3[[#This Row],[Country Code]],Table29[],6,FALSE)</f>
        <v>no</v>
      </c>
      <c r="Z465" s="233" t="str">
        <f>VLOOKUP(Table3[[#This Row],[Country Code]],Table29[],7,FALSE)</f>
        <v>no</v>
      </c>
      <c r="AA465" s="233" t="str">
        <f>VLOOKUP(Table3[[#This Row],[Country Code]],Table29[],8,FALSE)</f>
        <v>non-OECD</v>
      </c>
      <c r="AB465" s="233" t="str">
        <f>VLOOKUP(Table3[[#This Row],[Country Code]],Table29[],9,FALSE)</f>
        <v>no</v>
      </c>
      <c r="AC465" s="233" t="str">
        <f>VLOOKUP(Table3[[#This Row],[Country Code]],Table29[],10,FALSE)</f>
        <v>no</v>
      </c>
      <c r="AD465" s="235">
        <f>VLOOKUP(Table3[[#This Row],[Country Code]],Table29[],23,FALSE)</f>
        <v>28.634657504101</v>
      </c>
      <c r="AE465" s="235">
        <f>VLOOKUP(Table3[[#This Row],[Country Code]],Table29[],24,FALSE)</f>
        <v>1.791571476776437</v>
      </c>
      <c r="AF465" s="43"/>
    </row>
    <row r="466" spans="1:32" ht="30" x14ac:dyDescent="0.25">
      <c r="A466" s="360">
        <v>21964</v>
      </c>
      <c r="B466" s="233" t="str">
        <f>VLOOKUP(Table3[[#This Row],[Document ID]],Table1[],2,FALSE)</f>
        <v>GIN</v>
      </c>
      <c r="C466" s="233" t="str">
        <f>VLOOKUP(Table3[[#This Row],[Document ID]],Table1[],3,FALSE)</f>
        <v>Guinea</v>
      </c>
      <c r="D466" s="233" t="str">
        <f>VLOOKUP(Table3[[#This Row],[Document ID]],Table1[],5,FALSE)</f>
        <v>NDC</v>
      </c>
      <c r="E466" s="233" t="str">
        <f>VLOOKUP(Table3[[#This Row],[Document ID]],Table1[],7,FALSE)</f>
        <v>First NDC updated</v>
      </c>
      <c r="F466" s="233" t="str">
        <f>VLOOKUP(Table3[[#This Row],[Document ID]],Table1[],8,FALSE)</f>
        <v>NDC 1.1</v>
      </c>
      <c r="G466" s="233" t="str">
        <f>VLOOKUP(Table3[[#This Row],[Document ID]],Table1[],10,FALSE)</f>
        <v>Active</v>
      </c>
      <c r="H466" s="42" t="s">
        <v>1095</v>
      </c>
      <c r="I466" s="42" t="s">
        <v>1096</v>
      </c>
      <c r="J466" s="42" t="s">
        <v>1097</v>
      </c>
      <c r="K466" s="28" t="s">
        <v>1162</v>
      </c>
      <c r="L466" s="42" t="s">
        <v>1099</v>
      </c>
      <c r="M466" s="209">
        <v>2025</v>
      </c>
      <c r="N466" s="18" t="s">
        <v>1582</v>
      </c>
      <c r="O466" s="258" t="s">
        <v>1581</v>
      </c>
      <c r="P466" s="238" t="str">
        <f>VLOOKUP(_xlfn.CONCAT(Table3[[#This Row],[Target area]],Table3[[#This Row],[GHG target?]],Table3[[#This Row],[Conditionality]]),'Drop down'!$E$81:$F$101,2,FALSE)</f>
        <v>T_Transport_O_Unc</v>
      </c>
      <c r="Q466" s="239" t="str">
        <f>VLOOKUP(Table3[[#This Row],[Target type]],Table418[[Value name]:[Value idenifyer]],2,FALSE)</f>
        <v>T_O_INFRA</v>
      </c>
      <c r="S466" s="233" t="s">
        <v>1125</v>
      </c>
      <c r="V466" s="233" t="str">
        <f>VLOOKUP(Table3[[#This Row],[Country Code]],Table29[],3,FALSE)</f>
        <v>Non-Annex I</v>
      </c>
      <c r="W466" s="233" t="str">
        <f>VLOOKUP(Table3[[#This Row],[Country Code]],Table29[],4,FALSE)</f>
        <v>Africa</v>
      </c>
      <c r="X466" s="233" t="str">
        <f>VLOOKUP(Table3[[#This Row],[Country Code]],Table29[],5,FALSE)</f>
        <v>Low-income</v>
      </c>
      <c r="Y466" s="233" t="str">
        <f>VLOOKUP(Table3[[#This Row],[Country Code]],Table29[],6,FALSE)</f>
        <v>no</v>
      </c>
      <c r="Z466" s="233" t="str">
        <f>VLOOKUP(Table3[[#This Row],[Country Code]],Table29[],7,FALSE)</f>
        <v>no</v>
      </c>
      <c r="AA466" s="233" t="str">
        <f>VLOOKUP(Table3[[#This Row],[Country Code]],Table29[],8,FALSE)</f>
        <v>non-OECD</v>
      </c>
      <c r="AB466" s="233" t="str">
        <f>VLOOKUP(Table3[[#This Row],[Country Code]],Table29[],9,FALSE)</f>
        <v>no</v>
      </c>
      <c r="AC466" s="233" t="str">
        <f>VLOOKUP(Table3[[#This Row],[Country Code]],Table29[],10,FALSE)</f>
        <v>no</v>
      </c>
      <c r="AD466" s="235">
        <f>VLOOKUP(Table3[[#This Row],[Country Code]],Table29[],23,FALSE)</f>
        <v>28.634657504101</v>
      </c>
      <c r="AE466" s="235">
        <f>VLOOKUP(Table3[[#This Row],[Country Code]],Table29[],24,FALSE)</f>
        <v>1.791571476776437</v>
      </c>
      <c r="AF466" s="43"/>
    </row>
    <row r="467" spans="1:32" ht="30" x14ac:dyDescent="0.25">
      <c r="A467" s="360">
        <v>21964</v>
      </c>
      <c r="B467" s="233" t="str">
        <f>VLOOKUP(Table3[[#This Row],[Document ID]],Table1[],2,FALSE)</f>
        <v>GIN</v>
      </c>
      <c r="C467" s="233" t="str">
        <f>VLOOKUP(Table3[[#This Row],[Document ID]],Table1[],3,FALSE)</f>
        <v>Guinea</v>
      </c>
      <c r="D467" s="233" t="str">
        <f>VLOOKUP(Table3[[#This Row],[Document ID]],Table1[],5,FALSE)</f>
        <v>NDC</v>
      </c>
      <c r="E467" s="233" t="str">
        <f>VLOOKUP(Table3[[#This Row],[Document ID]],Table1[],7,FALSE)</f>
        <v>First NDC updated</v>
      </c>
      <c r="F467" s="233" t="str">
        <f>VLOOKUP(Table3[[#This Row],[Document ID]],Table1[],8,FALSE)</f>
        <v>NDC 1.1</v>
      </c>
      <c r="G467" s="233" t="str">
        <f>VLOOKUP(Table3[[#This Row],[Document ID]],Table1[],10,FALSE)</f>
        <v>Active</v>
      </c>
      <c r="H467" s="42" t="s">
        <v>1095</v>
      </c>
      <c r="I467" s="42" t="s">
        <v>1096</v>
      </c>
      <c r="J467" s="42" t="s">
        <v>1097</v>
      </c>
      <c r="K467" s="28" t="s">
        <v>1137</v>
      </c>
      <c r="L467" s="43" t="s">
        <v>1092</v>
      </c>
      <c r="M467" s="209">
        <v>2025</v>
      </c>
      <c r="N467" s="44" t="s">
        <v>1583</v>
      </c>
      <c r="O467" s="258">
        <v>32</v>
      </c>
      <c r="P467" s="238" t="str">
        <f>VLOOKUP(_xlfn.CONCAT(Table3[[#This Row],[Target area]],Table3[[#This Row],[GHG target?]],Table3[[#This Row],[Conditionality]]),'Drop down'!$E$81:$F$101,2,FALSE)</f>
        <v>T_Transport_O_C</v>
      </c>
      <c r="Q467" s="239" t="str">
        <f>VLOOKUP(Table3[[#This Row],[Target type]],Table418[[Value name]:[Value idenifyer]],2,FALSE)</f>
        <v>T_O_EFF</v>
      </c>
      <c r="S467" s="233" t="s">
        <v>1125</v>
      </c>
      <c r="V467" s="233" t="str">
        <f>VLOOKUP(Table3[[#This Row],[Country Code]],Table29[],3,FALSE)</f>
        <v>Non-Annex I</v>
      </c>
      <c r="W467" s="233" t="str">
        <f>VLOOKUP(Table3[[#This Row],[Country Code]],Table29[],4,FALSE)</f>
        <v>Africa</v>
      </c>
      <c r="X467" s="233" t="str">
        <f>VLOOKUP(Table3[[#This Row],[Country Code]],Table29[],5,FALSE)</f>
        <v>Low-income</v>
      </c>
      <c r="Y467" s="233" t="str">
        <f>VLOOKUP(Table3[[#This Row],[Country Code]],Table29[],6,FALSE)</f>
        <v>no</v>
      </c>
      <c r="Z467" s="233" t="str">
        <f>VLOOKUP(Table3[[#This Row],[Country Code]],Table29[],7,FALSE)</f>
        <v>no</v>
      </c>
      <c r="AA467" s="233" t="str">
        <f>VLOOKUP(Table3[[#This Row],[Country Code]],Table29[],8,FALSE)</f>
        <v>non-OECD</v>
      </c>
      <c r="AB467" s="233" t="str">
        <f>VLOOKUP(Table3[[#This Row],[Country Code]],Table29[],9,FALSE)</f>
        <v>no</v>
      </c>
      <c r="AC467" s="233" t="str">
        <f>VLOOKUP(Table3[[#This Row],[Country Code]],Table29[],10,FALSE)</f>
        <v>no</v>
      </c>
      <c r="AD467" s="235">
        <f>VLOOKUP(Table3[[#This Row],[Country Code]],Table29[],23,FALSE)</f>
        <v>28.634657504101</v>
      </c>
      <c r="AE467" s="235">
        <f>VLOOKUP(Table3[[#This Row],[Country Code]],Table29[],24,FALSE)</f>
        <v>1.791571476776437</v>
      </c>
      <c r="AF467" s="43"/>
    </row>
    <row r="468" spans="1:32" ht="30" x14ac:dyDescent="0.25">
      <c r="A468" s="360">
        <v>21964</v>
      </c>
      <c r="B468" s="233" t="str">
        <f>VLOOKUP(Table3[[#This Row],[Document ID]],Table1[],2,FALSE)</f>
        <v>GIN</v>
      </c>
      <c r="C468" s="233" t="str">
        <f>VLOOKUP(Table3[[#This Row],[Document ID]],Table1[],3,FALSE)</f>
        <v>Guinea</v>
      </c>
      <c r="D468" s="233" t="str">
        <f>VLOOKUP(Table3[[#This Row],[Document ID]],Table1[],5,FALSE)</f>
        <v>NDC</v>
      </c>
      <c r="E468" s="233" t="str">
        <f>VLOOKUP(Table3[[#This Row],[Document ID]],Table1[],7,FALSE)</f>
        <v>First NDC updated</v>
      </c>
      <c r="F468" s="233" t="str">
        <f>VLOOKUP(Table3[[#This Row],[Document ID]],Table1[],8,FALSE)</f>
        <v>NDC 1.1</v>
      </c>
      <c r="G468" s="233" t="str">
        <f>VLOOKUP(Table3[[#This Row],[Document ID]],Table1[],10,FALSE)</f>
        <v>Active</v>
      </c>
      <c r="H468" s="42" t="s">
        <v>1095</v>
      </c>
      <c r="I468" s="42" t="s">
        <v>1096</v>
      </c>
      <c r="J468" s="42" t="s">
        <v>1097</v>
      </c>
      <c r="K468" s="28" t="s">
        <v>1137</v>
      </c>
      <c r="L468" s="43" t="s">
        <v>1092</v>
      </c>
      <c r="M468" s="209">
        <v>2030</v>
      </c>
      <c r="N468" s="44" t="s">
        <v>1584</v>
      </c>
      <c r="O468" s="258">
        <v>32</v>
      </c>
      <c r="P468" s="238" t="str">
        <f>VLOOKUP(_xlfn.CONCAT(Table3[[#This Row],[Target area]],Table3[[#This Row],[GHG target?]],Table3[[#This Row],[Conditionality]]),'Drop down'!$E$81:$F$101,2,FALSE)</f>
        <v>T_Transport_O_C</v>
      </c>
      <c r="Q468" s="239" t="str">
        <f>VLOOKUP(Table3[[#This Row],[Target type]],Table418[[Value name]:[Value idenifyer]],2,FALSE)</f>
        <v>T_O_EFF</v>
      </c>
      <c r="S468" s="233" t="s">
        <v>1125</v>
      </c>
      <c r="V468" s="233" t="str">
        <f>VLOOKUP(Table3[[#This Row],[Country Code]],Table29[],3,FALSE)</f>
        <v>Non-Annex I</v>
      </c>
      <c r="W468" s="233" t="str">
        <f>VLOOKUP(Table3[[#This Row],[Country Code]],Table29[],4,FALSE)</f>
        <v>Africa</v>
      </c>
      <c r="X468" s="233" t="str">
        <f>VLOOKUP(Table3[[#This Row],[Country Code]],Table29[],5,FALSE)</f>
        <v>Low-income</v>
      </c>
      <c r="Y468" s="233" t="str">
        <f>VLOOKUP(Table3[[#This Row],[Country Code]],Table29[],6,FALSE)</f>
        <v>no</v>
      </c>
      <c r="Z468" s="233" t="str">
        <f>VLOOKUP(Table3[[#This Row],[Country Code]],Table29[],7,FALSE)</f>
        <v>no</v>
      </c>
      <c r="AA468" s="233" t="str">
        <f>VLOOKUP(Table3[[#This Row],[Country Code]],Table29[],8,FALSE)</f>
        <v>non-OECD</v>
      </c>
      <c r="AB468" s="233" t="str">
        <f>VLOOKUP(Table3[[#This Row],[Country Code]],Table29[],9,FALSE)</f>
        <v>no</v>
      </c>
      <c r="AC468" s="233" t="str">
        <f>VLOOKUP(Table3[[#This Row],[Country Code]],Table29[],10,FALSE)</f>
        <v>no</v>
      </c>
      <c r="AD468" s="235">
        <f>VLOOKUP(Table3[[#This Row],[Country Code]],Table29[],23,FALSE)</f>
        <v>28.634657504101</v>
      </c>
      <c r="AE468" s="235">
        <f>VLOOKUP(Table3[[#This Row],[Country Code]],Table29[],24,FALSE)</f>
        <v>1.791571476776437</v>
      </c>
      <c r="AF468" s="43"/>
    </row>
    <row r="469" spans="1:32" x14ac:dyDescent="0.25">
      <c r="A469" s="360">
        <v>26781</v>
      </c>
      <c r="B469" s="233" t="str">
        <f>VLOOKUP(Table3[[#This Row],[Document ID]],Table1[],2,FALSE)</f>
        <v>LUX</v>
      </c>
      <c r="C469" s="233" t="str">
        <f>VLOOKUP(Table3[[#This Row],[Document ID]],Table1[],3,FALSE)</f>
        <v>Luxembourg</v>
      </c>
      <c r="D469" s="233" t="str">
        <f>VLOOKUP(Table3[[#This Row],[Document ID]],Table1[],5,FALSE)</f>
        <v>LTS</v>
      </c>
      <c r="E469" s="233" t="str">
        <f>VLOOKUP(Table3[[#This Row],[Document ID]],Table1[],7,FALSE)</f>
        <v>LTS</v>
      </c>
      <c r="F469" s="233" t="str">
        <f>VLOOKUP(Table3[[#This Row],[Document ID]],Table1[],8,FALSE)</f>
        <v>LTS 1.0</v>
      </c>
      <c r="G469" s="233" t="str">
        <f>VLOOKUP(Table3[[#This Row],[Document ID]],Table1[],10,FALSE)</f>
        <v>Active</v>
      </c>
      <c r="H469" s="43" t="s">
        <v>1147</v>
      </c>
      <c r="I469" s="43" t="s">
        <v>1089</v>
      </c>
      <c r="J469" s="43" t="s">
        <v>1090</v>
      </c>
      <c r="K469" s="28" t="s">
        <v>1121</v>
      </c>
      <c r="L469" s="42" t="s">
        <v>1099</v>
      </c>
      <c r="M469" s="209">
        <v>2050</v>
      </c>
      <c r="N469" s="44" t="s">
        <v>1585</v>
      </c>
      <c r="O469" s="258"/>
      <c r="P469" s="238" t="str">
        <f>VLOOKUP(_xlfn.CONCAT(Table3[[#This Row],[Target area]],Table3[[#This Row],[GHG target?]],Table3[[#This Row],[Conditionality]]),'Drop down'!$E$81:$F$101,2,FALSE)</f>
        <v>T_Netzero_Unc</v>
      </c>
      <c r="Q469" s="239" t="str">
        <f>VLOOKUP(Table3[[#This Row],[Target type]],Table418[[Value name]:[Value idenifyer]],2,FALSE)</f>
        <v>T_FL</v>
      </c>
      <c r="S469" s="233" t="s">
        <v>1101</v>
      </c>
      <c r="T469" s="234" t="s">
        <v>1113</v>
      </c>
      <c r="V469" s="233" t="str">
        <f>VLOOKUP(Table3[[#This Row],[Country Code]],Table29[],3,FALSE)</f>
        <v>Annex I</v>
      </c>
      <c r="W469" s="233" t="str">
        <f>VLOOKUP(Table3[[#This Row],[Country Code]],Table29[],4,FALSE)</f>
        <v>Europe</v>
      </c>
      <c r="X469" s="233" t="str">
        <f>VLOOKUP(Table3[[#This Row],[Country Code]],Table29[],5,FALSE)</f>
        <v>High-income</v>
      </c>
      <c r="Y469" s="233" t="str">
        <f>VLOOKUP(Table3[[#This Row],[Country Code]],Table29[],6,FALSE)</f>
        <v>no</v>
      </c>
      <c r="Z469" s="233" t="str">
        <f>VLOOKUP(Table3[[#This Row],[Country Code]],Table29[],7,FALSE)</f>
        <v>no</v>
      </c>
      <c r="AA469" s="233" t="str">
        <f>VLOOKUP(Table3[[#This Row],[Country Code]],Table29[],8,FALSE)</f>
        <v>OECD</v>
      </c>
      <c r="AB469" s="233" t="str">
        <f>VLOOKUP(Table3[[#This Row],[Country Code]],Table29[],9,FALSE)</f>
        <v>EU27</v>
      </c>
      <c r="AC469" s="233" t="str">
        <f>VLOOKUP(Table3[[#This Row],[Country Code]],Table29[],10,FALSE)</f>
        <v>no</v>
      </c>
      <c r="AD469" s="235">
        <f>VLOOKUP(Table3[[#This Row],[Country Code]],Table29[],23,FALSE)</f>
        <v>7.8609330392057002</v>
      </c>
      <c r="AE469" s="235">
        <f>VLOOKUP(Table3[[#This Row],[Country Code]],Table29[],24,FALSE)</f>
        <v>4.2423658408849461</v>
      </c>
      <c r="AF469" s="43"/>
    </row>
    <row r="470" spans="1:32" ht="75" x14ac:dyDescent="0.25">
      <c r="A470" s="360">
        <v>21964</v>
      </c>
      <c r="B470" s="233" t="str">
        <f>VLOOKUP(Table3[[#This Row],[Document ID]],Table1[],2,FALSE)</f>
        <v>GIN</v>
      </c>
      <c r="C470" s="233" t="str">
        <f>VLOOKUP(Table3[[#This Row],[Document ID]],Table1[],3,FALSE)</f>
        <v>Guinea</v>
      </c>
      <c r="D470" s="233" t="str">
        <f>VLOOKUP(Table3[[#This Row],[Document ID]],Table1[],5,FALSE)</f>
        <v>NDC</v>
      </c>
      <c r="E470" s="233" t="str">
        <f>VLOOKUP(Table3[[#This Row],[Document ID]],Table1[],7,FALSE)</f>
        <v>First NDC updated</v>
      </c>
      <c r="F470" s="233" t="str">
        <f>VLOOKUP(Table3[[#This Row],[Document ID]],Table1[],8,FALSE)</f>
        <v>NDC 1.1</v>
      </c>
      <c r="G470" s="233" t="str">
        <f>VLOOKUP(Table3[[#This Row],[Document ID]],Table1[],10,FALSE)</f>
        <v>Active</v>
      </c>
      <c r="H470" s="42" t="s">
        <v>1095</v>
      </c>
      <c r="I470" s="42" t="s">
        <v>1096</v>
      </c>
      <c r="J470" s="42" t="s">
        <v>1097</v>
      </c>
      <c r="K470" s="28" t="s">
        <v>1162</v>
      </c>
      <c r="L470" s="43" t="s">
        <v>1092</v>
      </c>
      <c r="M470" s="209">
        <v>2030</v>
      </c>
      <c r="N470" s="393" t="s">
        <v>1586</v>
      </c>
      <c r="O470" s="258">
        <v>32</v>
      </c>
      <c r="P470" s="238" t="str">
        <f>VLOOKUP(_xlfn.CONCAT(Table3[[#This Row],[Target area]],Table3[[#This Row],[GHG target?]],Table3[[#This Row],[Conditionality]]),'Drop down'!$E$81:$F$101,2,FALSE)</f>
        <v>T_Transport_O_C</v>
      </c>
      <c r="Q470" s="239" t="str">
        <f>VLOOKUP(Table3[[#This Row],[Target type]],Table418[[Value name]:[Value idenifyer]],2,FALSE)</f>
        <v>T_O_INFRA</v>
      </c>
      <c r="S470" s="233" t="s">
        <v>1125</v>
      </c>
      <c r="V470" s="233" t="str">
        <f>VLOOKUP(Table3[[#This Row],[Country Code]],Table29[],3,FALSE)</f>
        <v>Non-Annex I</v>
      </c>
      <c r="W470" s="233" t="str">
        <f>VLOOKUP(Table3[[#This Row],[Country Code]],Table29[],4,FALSE)</f>
        <v>Africa</v>
      </c>
      <c r="X470" s="233" t="str">
        <f>VLOOKUP(Table3[[#This Row],[Country Code]],Table29[],5,FALSE)</f>
        <v>Low-income</v>
      </c>
      <c r="Y470" s="233" t="str">
        <f>VLOOKUP(Table3[[#This Row],[Country Code]],Table29[],6,FALSE)</f>
        <v>no</v>
      </c>
      <c r="Z470" s="233" t="str">
        <f>VLOOKUP(Table3[[#This Row],[Country Code]],Table29[],7,FALSE)</f>
        <v>no</v>
      </c>
      <c r="AA470" s="233" t="str">
        <f>VLOOKUP(Table3[[#This Row],[Country Code]],Table29[],8,FALSE)</f>
        <v>non-OECD</v>
      </c>
      <c r="AB470" s="233" t="str">
        <f>VLOOKUP(Table3[[#This Row],[Country Code]],Table29[],9,FALSE)</f>
        <v>no</v>
      </c>
      <c r="AC470" s="233" t="str">
        <f>VLOOKUP(Table3[[#This Row],[Country Code]],Table29[],10,FALSE)</f>
        <v>no</v>
      </c>
      <c r="AD470" s="235">
        <f>VLOOKUP(Table3[[#This Row],[Country Code]],Table29[],23,FALSE)</f>
        <v>28.634657504101</v>
      </c>
      <c r="AE470" s="235">
        <f>VLOOKUP(Table3[[#This Row],[Country Code]],Table29[],24,FALSE)</f>
        <v>1.791571476776437</v>
      </c>
      <c r="AF470" s="43"/>
    </row>
    <row r="471" spans="1:32" x14ac:dyDescent="0.25">
      <c r="A471" s="360">
        <v>17648</v>
      </c>
      <c r="B471" s="233" t="str">
        <f>VLOOKUP(Table3[[#This Row],[Document ID]],Table1[],2,FALSE)</f>
        <v>MDG</v>
      </c>
      <c r="C471" s="233" t="str">
        <f>VLOOKUP(Table3[[#This Row],[Document ID]],Table1[],3,FALSE)</f>
        <v>Madagascar</v>
      </c>
      <c r="D471" s="233" t="str">
        <f>VLOOKUP(Table3[[#This Row],[Document ID]],Table1[],5,FALSE)</f>
        <v>NDC</v>
      </c>
      <c r="E471" s="233" t="str">
        <f>VLOOKUP(Table3[[#This Row],[Document ID]],Table1[],7,FALSE)</f>
        <v>First NDC</v>
      </c>
      <c r="F471" s="233" t="str">
        <f>VLOOKUP(Table3[[#This Row],[Document ID]],Table1[],8,FALSE)</f>
        <v>NDC 1.0</v>
      </c>
      <c r="G471" s="233" t="str">
        <f>VLOOKUP(Table3[[#This Row],[Document ID]],Table1[],10,FALSE)</f>
        <v>Archived</v>
      </c>
      <c r="H471" s="216" t="s">
        <v>1089</v>
      </c>
      <c r="I471" s="216" t="s">
        <v>1089</v>
      </c>
      <c r="J471" s="43" t="s">
        <v>1090</v>
      </c>
      <c r="K471" s="28" t="s">
        <v>1091</v>
      </c>
      <c r="L471" s="42" t="s">
        <v>1099</v>
      </c>
      <c r="M471" s="209">
        <v>2030</v>
      </c>
      <c r="N471" s="176" t="s">
        <v>1587</v>
      </c>
      <c r="O471" s="258" t="s">
        <v>1094</v>
      </c>
      <c r="P471" s="238" t="str">
        <f>VLOOKUP(_xlfn.CONCAT(Table3[[#This Row],[Target area]],Table3[[#This Row],[GHG target?]],Table3[[#This Row],[Conditionality]]),'Drop down'!$E$81:$F$101,2,FALSE)</f>
        <v>T_Economy_Unc</v>
      </c>
      <c r="Q471" s="239" t="str">
        <f>VLOOKUP(Table3[[#This Row],[Target type]],Table418[[Value name]:[Value idenifyer]],2,FALSE)</f>
        <v>T_BAU</v>
      </c>
      <c r="V471" s="233" t="str">
        <f>VLOOKUP(Table3[[#This Row],[Country Code]],Table29[],3,FALSE)</f>
        <v>Non-Annex I</v>
      </c>
      <c r="W471" s="233" t="str">
        <f>VLOOKUP(Table3[[#This Row],[Country Code]],Table29[],4,FALSE)</f>
        <v>Africa</v>
      </c>
      <c r="X471" s="233" t="str">
        <f>VLOOKUP(Table3[[#This Row],[Country Code]],Table29[],5,FALSE)</f>
        <v>Low-income</v>
      </c>
      <c r="Y471" s="233" t="str">
        <f>VLOOKUP(Table3[[#This Row],[Country Code]],Table29[],6,FALSE)</f>
        <v>no</v>
      </c>
      <c r="Z471" s="233" t="str">
        <f>VLOOKUP(Table3[[#This Row],[Country Code]],Table29[],7,FALSE)</f>
        <v>no</v>
      </c>
      <c r="AA471" s="233" t="str">
        <f>VLOOKUP(Table3[[#This Row],[Country Code]],Table29[],8,FALSE)</f>
        <v>non-OECD</v>
      </c>
      <c r="AB471" s="233" t="str">
        <f>VLOOKUP(Table3[[#This Row],[Country Code]],Table29[],9,FALSE)</f>
        <v>no</v>
      </c>
      <c r="AC471" s="233" t="str">
        <f>VLOOKUP(Table3[[#This Row],[Country Code]],Table29[],10,FALSE)</f>
        <v>no</v>
      </c>
      <c r="AD471" s="235">
        <f>VLOOKUP(Table3[[#This Row],[Country Code]],Table29[],23,FALSE)</f>
        <v>33.150776404127001</v>
      </c>
      <c r="AE471" s="235">
        <f>VLOOKUP(Table3[[#This Row],[Country Code]],Table29[],24,FALSE)</f>
        <v>1.378876889046607</v>
      </c>
      <c r="AF471" s="43"/>
    </row>
    <row r="472" spans="1:32" x14ac:dyDescent="0.25">
      <c r="A472" s="360">
        <v>21299</v>
      </c>
      <c r="B472" s="233" t="str">
        <f>VLOOKUP(Table3[[#This Row],[Document ID]],Table1[],2,FALSE)</f>
        <v>MWI</v>
      </c>
      <c r="C472" s="233" t="str">
        <f>VLOOKUP(Table3[[#This Row],[Document ID]],Table1[],3,FALSE)</f>
        <v>Malawi</v>
      </c>
      <c r="D472" s="233" t="str">
        <f>VLOOKUP(Table3[[#This Row],[Document ID]],Table1[],5,FALSE)</f>
        <v>NDC</v>
      </c>
      <c r="E472" s="233" t="str">
        <f>VLOOKUP(Table3[[#This Row],[Document ID]],Table1[],7,FALSE)</f>
        <v>First NDC updated</v>
      </c>
      <c r="F472" s="233" t="str">
        <f>VLOOKUP(Table3[[#This Row],[Document ID]],Table1[],8,FALSE)</f>
        <v>NDC 1.1</v>
      </c>
      <c r="G472" s="233" t="str">
        <f>VLOOKUP(Table3[[#This Row],[Document ID]],Table1[],10,FALSE)</f>
        <v>Active</v>
      </c>
      <c r="H472" s="216" t="s">
        <v>1089</v>
      </c>
      <c r="I472" s="216" t="s">
        <v>1089</v>
      </c>
      <c r="J472" s="43" t="s">
        <v>1090</v>
      </c>
      <c r="K472" s="28" t="s">
        <v>1091</v>
      </c>
      <c r="L472" s="42" t="s">
        <v>1099</v>
      </c>
      <c r="M472" s="209">
        <v>2040</v>
      </c>
      <c r="N472" s="209" t="s">
        <v>1588</v>
      </c>
      <c r="O472" s="257" t="s">
        <v>1589</v>
      </c>
      <c r="P472" s="238" t="str">
        <f>VLOOKUP(_xlfn.CONCAT(Table3[[#This Row],[Target area]],Table3[[#This Row],[GHG target?]],Table3[[#This Row],[Conditionality]]),'Drop down'!$E$81:$F$101,2,FALSE)</f>
        <v>T_Economy_Unc</v>
      </c>
      <c r="Q472" s="239" t="str">
        <f>VLOOKUP(Table3[[#This Row],[Target type]],Table418[[Value name]:[Value idenifyer]],2,FALSE)</f>
        <v>T_BAU</v>
      </c>
      <c r="S472" s="233" t="s">
        <v>1101</v>
      </c>
      <c r="T472" s="234" t="s">
        <v>1113</v>
      </c>
      <c r="V472" s="233" t="str">
        <f>VLOOKUP(Table3[[#This Row],[Country Code]],Table29[],3,FALSE)</f>
        <v>Non-Annex I</v>
      </c>
      <c r="W472" s="233" t="str">
        <f>VLOOKUP(Table3[[#This Row],[Country Code]],Table29[],4,FALSE)</f>
        <v>Africa</v>
      </c>
      <c r="X472" s="233" t="str">
        <f>VLOOKUP(Table3[[#This Row],[Country Code]],Table29[],5,FALSE)</f>
        <v>Low-income</v>
      </c>
      <c r="Y472" s="233" t="str">
        <f>VLOOKUP(Table3[[#This Row],[Country Code]],Table29[],6,FALSE)</f>
        <v>no</v>
      </c>
      <c r="Z472" s="233" t="str">
        <f>VLOOKUP(Table3[[#This Row],[Country Code]],Table29[],7,FALSE)</f>
        <v>no</v>
      </c>
      <c r="AA472" s="233" t="str">
        <f>VLOOKUP(Table3[[#This Row],[Country Code]],Table29[],8,FALSE)</f>
        <v>non-OECD</v>
      </c>
      <c r="AB472" s="233" t="str">
        <f>VLOOKUP(Table3[[#This Row],[Country Code]],Table29[],9,FALSE)</f>
        <v>no</v>
      </c>
      <c r="AC472" s="233" t="str">
        <f>VLOOKUP(Table3[[#This Row],[Country Code]],Table29[],10,FALSE)</f>
        <v>no</v>
      </c>
      <c r="AD472" s="235">
        <f>VLOOKUP(Table3[[#This Row],[Country Code]],Table29[],23,FALSE)</f>
        <v>19.714051394182</v>
      </c>
      <c r="AE472" s="235">
        <f>VLOOKUP(Table3[[#This Row],[Country Code]],Table29[],24,FALSE)</f>
        <v>0.78331093542905961</v>
      </c>
      <c r="AF472" s="43"/>
    </row>
    <row r="473" spans="1:32" x14ac:dyDescent="0.25">
      <c r="A473" s="360">
        <v>21299</v>
      </c>
      <c r="B473" s="233" t="str">
        <f>VLOOKUP(Table3[[#This Row],[Document ID]],Table1[],2,FALSE)</f>
        <v>MWI</v>
      </c>
      <c r="C473" s="233" t="str">
        <f>VLOOKUP(Table3[[#This Row],[Document ID]],Table1[],3,FALSE)</f>
        <v>Malawi</v>
      </c>
      <c r="D473" s="233" t="str">
        <f>VLOOKUP(Table3[[#This Row],[Document ID]],Table1[],5,FALSE)</f>
        <v>NDC</v>
      </c>
      <c r="E473" s="233" t="str">
        <f>VLOOKUP(Table3[[#This Row],[Document ID]],Table1[],7,FALSE)</f>
        <v>First NDC updated</v>
      </c>
      <c r="F473" s="233" t="str">
        <f>VLOOKUP(Table3[[#This Row],[Document ID]],Table1[],8,FALSE)</f>
        <v>NDC 1.1</v>
      </c>
      <c r="G473" s="233" t="str">
        <f>VLOOKUP(Table3[[#This Row],[Document ID]],Table1[],10,FALSE)</f>
        <v>Active</v>
      </c>
      <c r="H473" s="216" t="s">
        <v>1089</v>
      </c>
      <c r="I473" s="216" t="s">
        <v>1089</v>
      </c>
      <c r="J473" s="43" t="s">
        <v>1090</v>
      </c>
      <c r="K473" s="28" t="s">
        <v>1091</v>
      </c>
      <c r="L473" s="216" t="s">
        <v>1092</v>
      </c>
      <c r="M473" s="209">
        <v>2040</v>
      </c>
      <c r="N473" s="209" t="s">
        <v>1590</v>
      </c>
      <c r="O473" s="257" t="s">
        <v>1589</v>
      </c>
      <c r="P473" s="238" t="str">
        <f>VLOOKUP(_xlfn.CONCAT(Table3[[#This Row],[Target area]],Table3[[#This Row],[GHG target?]],Table3[[#This Row],[Conditionality]]),'Drop down'!$E$81:$F$101,2,FALSE)</f>
        <v>T_Economy_C</v>
      </c>
      <c r="Q473" s="239" t="str">
        <f>VLOOKUP(Table3[[#This Row],[Target type]],Table418[[Value name]:[Value idenifyer]],2,FALSE)</f>
        <v>T_BAU</v>
      </c>
      <c r="S473" s="233" t="s">
        <v>1101</v>
      </c>
      <c r="T473" s="234" t="s">
        <v>1113</v>
      </c>
      <c r="V473" s="233" t="str">
        <f>VLOOKUP(Table3[[#This Row],[Country Code]],Table29[],3,FALSE)</f>
        <v>Non-Annex I</v>
      </c>
      <c r="W473" s="233" t="str">
        <f>VLOOKUP(Table3[[#This Row],[Country Code]],Table29[],4,FALSE)</f>
        <v>Africa</v>
      </c>
      <c r="X473" s="233" t="str">
        <f>VLOOKUP(Table3[[#This Row],[Country Code]],Table29[],5,FALSE)</f>
        <v>Low-income</v>
      </c>
      <c r="Y473" s="233" t="str">
        <f>VLOOKUP(Table3[[#This Row],[Country Code]],Table29[],6,FALSE)</f>
        <v>no</v>
      </c>
      <c r="Z473" s="233" t="str">
        <f>VLOOKUP(Table3[[#This Row],[Country Code]],Table29[],7,FALSE)</f>
        <v>no</v>
      </c>
      <c r="AA473" s="233" t="str">
        <f>VLOOKUP(Table3[[#This Row],[Country Code]],Table29[],8,FALSE)</f>
        <v>non-OECD</v>
      </c>
      <c r="AB473" s="233" t="str">
        <f>VLOOKUP(Table3[[#This Row],[Country Code]],Table29[],9,FALSE)</f>
        <v>no</v>
      </c>
      <c r="AC473" s="233" t="str">
        <f>VLOOKUP(Table3[[#This Row],[Country Code]],Table29[],10,FALSE)</f>
        <v>no</v>
      </c>
      <c r="AD473" s="235">
        <f>VLOOKUP(Table3[[#This Row],[Country Code]],Table29[],23,FALSE)</f>
        <v>19.714051394182</v>
      </c>
      <c r="AE473" s="235">
        <f>VLOOKUP(Table3[[#This Row],[Country Code]],Table29[],24,FALSE)</f>
        <v>0.78331093542905961</v>
      </c>
      <c r="AF473" s="43"/>
    </row>
    <row r="474" spans="1:32" x14ac:dyDescent="0.25">
      <c r="A474" s="360">
        <v>22162</v>
      </c>
      <c r="B474" s="233" t="str">
        <f>VLOOKUP(Table3[[#This Row],[Document ID]],Table1[],2,FALSE)</f>
        <v>GMB</v>
      </c>
      <c r="C474" s="233" t="str">
        <f>VLOOKUP(Table3[[#This Row],[Document ID]],Table1[],3,FALSE)</f>
        <v>Gambia (Republic of The)</v>
      </c>
      <c r="D474" s="233" t="str">
        <f>VLOOKUP(Table3[[#This Row],[Document ID]],Table1[],5,FALSE)</f>
        <v>LTS</v>
      </c>
      <c r="E474" s="233" t="str">
        <f>VLOOKUP(Table3[[#This Row],[Document ID]],Table1[],7,FALSE)</f>
        <v>LTS</v>
      </c>
      <c r="F474" s="233" t="str">
        <f>VLOOKUP(Table3[[#This Row],[Document ID]],Table1[],8,FALSE)</f>
        <v>LTS 1.0</v>
      </c>
      <c r="G474" s="233" t="str">
        <f>VLOOKUP(Table3[[#This Row],[Document ID]],Table1[],10,FALSE)</f>
        <v>Active</v>
      </c>
      <c r="H474" s="42" t="s">
        <v>1095</v>
      </c>
      <c r="I474" s="43" t="s">
        <v>1115</v>
      </c>
      <c r="J474" s="43" t="s">
        <v>1090</v>
      </c>
      <c r="K474" s="28" t="s">
        <v>1091</v>
      </c>
      <c r="L474" s="43" t="s">
        <v>1092</v>
      </c>
      <c r="M474" s="209">
        <v>2030</v>
      </c>
      <c r="N474" s="209" t="s">
        <v>1591</v>
      </c>
      <c r="O474" s="257">
        <v>16</v>
      </c>
      <c r="P474" s="238" t="str">
        <f>VLOOKUP(_xlfn.CONCAT(Table3[[#This Row],[Target area]],Table3[[#This Row],[GHG target?]],Table3[[#This Row],[Conditionality]]),'Drop down'!$E$81:$F$101,2,FALSE)</f>
        <v>T_Transport_C</v>
      </c>
      <c r="Q474" s="239" t="str">
        <f>VLOOKUP(Table3[[#This Row],[Target type]],Table418[[Value name]:[Value idenifyer]],2,FALSE)</f>
        <v>T_BAU</v>
      </c>
      <c r="R474" s="233" t="s">
        <v>539</v>
      </c>
      <c r="S474" s="233" t="s">
        <v>1112</v>
      </c>
      <c r="T474" s="234" t="s">
        <v>1113</v>
      </c>
      <c r="U474" s="240"/>
      <c r="V474" s="233" t="str">
        <f>VLOOKUP(Table3[[#This Row],[Country Code]],Table29[],3,FALSE)</f>
        <v>Non-Annex I</v>
      </c>
      <c r="W474" s="233" t="str">
        <f>VLOOKUP(Table3[[#This Row],[Country Code]],Table29[],4,FALSE)</f>
        <v>Africa</v>
      </c>
      <c r="X474" s="233" t="str">
        <f>VLOOKUP(Table3[[#This Row],[Country Code]],Table29[],5,FALSE)</f>
        <v>Low-income</v>
      </c>
      <c r="Y474" s="233" t="str">
        <f>VLOOKUP(Table3[[#This Row],[Country Code]],Table29[],6,FALSE)</f>
        <v>no</v>
      </c>
      <c r="Z474" s="233" t="str">
        <f>VLOOKUP(Table3[[#This Row],[Country Code]],Table29[],7,FALSE)</f>
        <v>no</v>
      </c>
      <c r="AA474" s="233" t="str">
        <f>VLOOKUP(Table3[[#This Row],[Country Code]],Table29[],8,FALSE)</f>
        <v>non-OECD</v>
      </c>
      <c r="AB474" s="233" t="str">
        <f>VLOOKUP(Table3[[#This Row],[Country Code]],Table29[],9,FALSE)</f>
        <v>no</v>
      </c>
      <c r="AC474" s="233" t="str">
        <f>VLOOKUP(Table3[[#This Row],[Country Code]],Table29[],10,FALSE)</f>
        <v>no</v>
      </c>
      <c r="AD474" s="235">
        <f>VLOOKUP(Table3[[#This Row],[Country Code]],Table29[],23,FALSE)</f>
        <v>1.8888012914382</v>
      </c>
      <c r="AE474" s="235">
        <f>VLOOKUP(Table3[[#This Row],[Country Code]],Table29[],24,FALSE)</f>
        <v>0.35129125057719468</v>
      </c>
      <c r="AF474" s="43"/>
    </row>
    <row r="475" spans="1:32" ht="45" x14ac:dyDescent="0.25">
      <c r="A475" s="360">
        <v>17600</v>
      </c>
      <c r="B475" s="233" t="str">
        <f>VLOOKUP(Table3[[#This Row],[Document ID]],Table1[],2,FALSE)</f>
        <v>GMB</v>
      </c>
      <c r="C475" s="233" t="str">
        <f>VLOOKUP(Table3[[#This Row],[Document ID]],Table1[],3,FALSE)</f>
        <v>Gambia (Republic of The)</v>
      </c>
      <c r="D475" s="233" t="str">
        <f>VLOOKUP(Table3[[#This Row],[Document ID]],Table1[],5,FALSE)</f>
        <v>NDC</v>
      </c>
      <c r="E475" s="233" t="str">
        <f>VLOOKUP(Table3[[#This Row],[Document ID]],Table1[],7,FALSE)</f>
        <v>First NDC</v>
      </c>
      <c r="F475" s="233" t="str">
        <f>VLOOKUP(Table3[[#This Row],[Document ID]],Table1[],8,FALSE)</f>
        <v>NDC 1.0</v>
      </c>
      <c r="G475" s="233" t="str">
        <f>VLOOKUP(Table3[[#This Row],[Document ID]],Table1[],10,FALSE)</f>
        <v>Archived</v>
      </c>
      <c r="H475" s="42" t="s">
        <v>1095</v>
      </c>
      <c r="I475" s="42" t="s">
        <v>1096</v>
      </c>
      <c r="J475" s="43" t="s">
        <v>1090</v>
      </c>
      <c r="K475" s="28" t="s">
        <v>1091</v>
      </c>
      <c r="L475" s="216" t="s">
        <v>1092</v>
      </c>
      <c r="M475" s="209">
        <v>2030</v>
      </c>
      <c r="N475" s="44" t="s">
        <v>1592</v>
      </c>
      <c r="O475" s="221">
        <v>8</v>
      </c>
      <c r="P475" s="238" t="str">
        <f>VLOOKUP(_xlfn.CONCAT(Table3[[#This Row],[Target area]],Table3[[#This Row],[GHG target?]],Table3[[#This Row],[Conditionality]]),'Drop down'!$E$81:$F$101,2,FALSE)</f>
        <v>T_Transport_C</v>
      </c>
      <c r="Q475" s="239" t="str">
        <f>VLOOKUP(Table3[[#This Row],[Target type]],Table418[[Value name]:[Value idenifyer]],2,FALSE)</f>
        <v>T_BAU</v>
      </c>
      <c r="S475" s="233" t="s">
        <v>1112</v>
      </c>
      <c r="T475" s="234" t="s">
        <v>1113</v>
      </c>
      <c r="U475" s="240"/>
      <c r="V475" s="233" t="str">
        <f>VLOOKUP(Table3[[#This Row],[Country Code]],Table29[],3,FALSE)</f>
        <v>Non-Annex I</v>
      </c>
      <c r="W475" s="233" t="str">
        <f>VLOOKUP(Table3[[#This Row],[Country Code]],Table29[],4,FALSE)</f>
        <v>Africa</v>
      </c>
      <c r="X475" s="233" t="str">
        <f>VLOOKUP(Table3[[#This Row],[Country Code]],Table29[],5,FALSE)</f>
        <v>Low-income</v>
      </c>
      <c r="Y475" s="233" t="str">
        <f>VLOOKUP(Table3[[#This Row],[Country Code]],Table29[],6,FALSE)</f>
        <v>no</v>
      </c>
      <c r="Z475" s="233" t="str">
        <f>VLOOKUP(Table3[[#This Row],[Country Code]],Table29[],7,FALSE)</f>
        <v>no</v>
      </c>
      <c r="AA475" s="233" t="str">
        <f>VLOOKUP(Table3[[#This Row],[Country Code]],Table29[],8,FALSE)</f>
        <v>non-OECD</v>
      </c>
      <c r="AB475" s="233" t="str">
        <f>VLOOKUP(Table3[[#This Row],[Country Code]],Table29[],9,FALSE)</f>
        <v>no</v>
      </c>
      <c r="AC475" s="233" t="str">
        <f>VLOOKUP(Table3[[#This Row],[Country Code]],Table29[],10,FALSE)</f>
        <v>no</v>
      </c>
      <c r="AD475" s="235">
        <f>VLOOKUP(Table3[[#This Row],[Country Code]],Table29[],23,FALSE)</f>
        <v>1.8888012914382</v>
      </c>
      <c r="AE475" s="235">
        <f>VLOOKUP(Table3[[#This Row],[Country Code]],Table29[],24,FALSE)</f>
        <v>0.35129125057719468</v>
      </c>
      <c r="AF475" s="43"/>
    </row>
    <row r="476" spans="1:32" ht="30" x14ac:dyDescent="0.25">
      <c r="A476" s="368">
        <v>22162</v>
      </c>
      <c r="B476" s="233" t="str">
        <f>VLOOKUP(Table3[[#This Row],[Document ID]],Table1[],2,FALSE)</f>
        <v>GMB</v>
      </c>
      <c r="C476" s="233" t="str">
        <f>VLOOKUP(Table3[[#This Row],[Document ID]],Table1[],3,FALSE)</f>
        <v>Gambia (Republic of The)</v>
      </c>
      <c r="D476" s="233" t="str">
        <f>VLOOKUP(Table3[[#This Row],[Document ID]],Table1[],5,FALSE)</f>
        <v>LTS</v>
      </c>
      <c r="E476" s="233" t="str">
        <f>VLOOKUP(Table3[[#This Row],[Document ID]],Table1[],7,FALSE)</f>
        <v>LTS</v>
      </c>
      <c r="F476" s="241" t="str">
        <f>VLOOKUP(Table3[[#This Row],[Document ID]],Table1[],8,FALSE)</f>
        <v>LTS 1.0</v>
      </c>
      <c r="G476" s="233" t="str">
        <f>VLOOKUP(Table3[[#This Row],[Document ID]],Table1[],10,FALSE)</f>
        <v>Active</v>
      </c>
      <c r="H476" s="42" t="s">
        <v>1095</v>
      </c>
      <c r="I476" s="42" t="s">
        <v>1115</v>
      </c>
      <c r="J476" s="43" t="s">
        <v>1090</v>
      </c>
      <c r="K476" s="28" t="s">
        <v>1091</v>
      </c>
      <c r="L476" s="216" t="s">
        <v>1092</v>
      </c>
      <c r="M476" s="209">
        <v>2030</v>
      </c>
      <c r="N476" s="209" t="s">
        <v>1593</v>
      </c>
      <c r="O476" s="258">
        <v>41</v>
      </c>
      <c r="P476" s="238" t="str">
        <f>VLOOKUP(_xlfn.CONCAT(Table3[[#This Row],[Target area]],Table3[[#This Row],[GHG target?]],Table3[[#This Row],[Conditionality]]),'Drop down'!$E$81:$F$101,2,FALSE)</f>
        <v>T_Transport_C</v>
      </c>
      <c r="Q476" s="239" t="str">
        <f>VLOOKUP(Table3[[#This Row],[Target type]],Table418[[Value name]:[Value idenifyer]],2,FALSE)</f>
        <v>T_BAU</v>
      </c>
      <c r="S476" s="233" t="s">
        <v>1112</v>
      </c>
      <c r="T476" s="234" t="s">
        <v>1113</v>
      </c>
      <c r="V476" s="233" t="str">
        <f>VLOOKUP(Table3[[#This Row],[Country Code]],Table29[],3,FALSE)</f>
        <v>Non-Annex I</v>
      </c>
      <c r="W476" s="233" t="str">
        <f>VLOOKUP(Table3[[#This Row],[Country Code]],Table29[],4,FALSE)</f>
        <v>Africa</v>
      </c>
      <c r="X476" s="233" t="str">
        <f>VLOOKUP(Table3[[#This Row],[Country Code]],Table29[],5,FALSE)</f>
        <v>Low-income</v>
      </c>
      <c r="Y476" s="233" t="str">
        <f>VLOOKUP(Table3[[#This Row],[Country Code]],Table29[],6,FALSE)</f>
        <v>no</v>
      </c>
      <c r="Z476" s="233" t="str">
        <f>VLOOKUP(Table3[[#This Row],[Country Code]],Table29[],7,FALSE)</f>
        <v>no</v>
      </c>
      <c r="AA476" s="233" t="str">
        <f>VLOOKUP(Table3[[#This Row],[Country Code]],Table29[],8,FALSE)</f>
        <v>non-OECD</v>
      </c>
      <c r="AB476" s="233" t="str">
        <f>VLOOKUP(Table3[[#This Row],[Country Code]],Table29[],9,FALSE)</f>
        <v>no</v>
      </c>
      <c r="AC476" s="233" t="str">
        <f>VLOOKUP(Table3[[#This Row],[Country Code]],Table29[],10,FALSE)</f>
        <v>no</v>
      </c>
      <c r="AD476" s="235">
        <f>VLOOKUP(Table3[[#This Row],[Country Code]],Table29[],23,FALSE)</f>
        <v>1.8888012914382</v>
      </c>
      <c r="AE476" s="235">
        <f>VLOOKUP(Table3[[#This Row],[Country Code]],Table29[],24,FALSE)</f>
        <v>0.35129125057719468</v>
      </c>
      <c r="AF476" s="43"/>
    </row>
    <row r="477" spans="1:32" ht="75" x14ac:dyDescent="0.25">
      <c r="A477" s="368">
        <v>22162</v>
      </c>
      <c r="B477" s="233" t="str">
        <f>VLOOKUP(Table3[[#This Row],[Document ID]],Table1[],2,FALSE)</f>
        <v>GMB</v>
      </c>
      <c r="C477" s="233" t="str">
        <f>VLOOKUP(Table3[[#This Row],[Document ID]],Table1[],3,FALSE)</f>
        <v>Gambia (Republic of The)</v>
      </c>
      <c r="D477" s="233" t="str">
        <f>VLOOKUP(Table3[[#This Row],[Document ID]],Table1[],5,FALSE)</f>
        <v>LTS</v>
      </c>
      <c r="E477" s="233" t="str">
        <f>VLOOKUP(Table3[[#This Row],[Document ID]],Table1[],7,FALSE)</f>
        <v>LTS</v>
      </c>
      <c r="F477" s="241" t="str">
        <f>VLOOKUP(Table3[[#This Row],[Document ID]],Table1[],8,FALSE)</f>
        <v>LTS 1.0</v>
      </c>
      <c r="G477" s="233" t="str">
        <f>VLOOKUP(Table3[[#This Row],[Document ID]],Table1[],10,FALSE)</f>
        <v>Active</v>
      </c>
      <c r="H477" s="42" t="s">
        <v>1095</v>
      </c>
      <c r="I477" s="42" t="s">
        <v>1115</v>
      </c>
      <c r="J477" s="43" t="s">
        <v>1090</v>
      </c>
      <c r="K477" s="28" t="s">
        <v>1091</v>
      </c>
      <c r="L477" s="216" t="s">
        <v>1092</v>
      </c>
      <c r="M477" s="209">
        <v>2050</v>
      </c>
      <c r="N477" s="209" t="s">
        <v>1594</v>
      </c>
      <c r="O477" s="258">
        <v>42</v>
      </c>
      <c r="P477" s="238" t="str">
        <f>VLOOKUP(_xlfn.CONCAT(Table3[[#This Row],[Target area]],Table3[[#This Row],[GHG target?]],Table3[[#This Row],[Conditionality]]),'Drop down'!$E$81:$F$101,2,FALSE)</f>
        <v>T_Transport_C</v>
      </c>
      <c r="Q477" s="239" t="str">
        <f>VLOOKUP(Table3[[#This Row],[Target type]],Table418[[Value name]:[Value idenifyer]],2,FALSE)</f>
        <v>T_BAU</v>
      </c>
      <c r="S477" s="233" t="s">
        <v>1112</v>
      </c>
      <c r="T477" s="234" t="s">
        <v>1113</v>
      </c>
      <c r="V477" s="233" t="str">
        <f>VLOOKUP(Table3[[#This Row],[Country Code]],Table29[],3,FALSE)</f>
        <v>Non-Annex I</v>
      </c>
      <c r="W477" s="233" t="str">
        <f>VLOOKUP(Table3[[#This Row],[Country Code]],Table29[],4,FALSE)</f>
        <v>Africa</v>
      </c>
      <c r="X477" s="233" t="str">
        <f>VLOOKUP(Table3[[#This Row],[Country Code]],Table29[],5,FALSE)</f>
        <v>Low-income</v>
      </c>
      <c r="Y477" s="233" t="str">
        <f>VLOOKUP(Table3[[#This Row],[Country Code]],Table29[],6,FALSE)</f>
        <v>no</v>
      </c>
      <c r="Z477" s="233" t="str">
        <f>VLOOKUP(Table3[[#This Row],[Country Code]],Table29[],7,FALSE)</f>
        <v>no</v>
      </c>
      <c r="AA477" s="233" t="str">
        <f>VLOOKUP(Table3[[#This Row],[Country Code]],Table29[],8,FALSE)</f>
        <v>non-OECD</v>
      </c>
      <c r="AB477" s="233" t="str">
        <f>VLOOKUP(Table3[[#This Row],[Country Code]],Table29[],9,FALSE)</f>
        <v>no</v>
      </c>
      <c r="AC477" s="233" t="str">
        <f>VLOOKUP(Table3[[#This Row],[Country Code]],Table29[],10,FALSE)</f>
        <v>no</v>
      </c>
      <c r="AD477" s="235">
        <f>VLOOKUP(Table3[[#This Row],[Country Code]],Table29[],23,FALSE)</f>
        <v>1.8888012914382</v>
      </c>
      <c r="AE477" s="235">
        <f>VLOOKUP(Table3[[#This Row],[Country Code]],Table29[],24,FALSE)</f>
        <v>0.35129125057719468</v>
      </c>
      <c r="AF477" s="43"/>
    </row>
    <row r="478" spans="1:32" ht="30" x14ac:dyDescent="0.25">
      <c r="A478" s="360">
        <v>41738</v>
      </c>
      <c r="B478" s="233" t="str">
        <f>VLOOKUP(Table3[[#This Row],[Document ID]],Table1[],2,FALSE)</f>
        <v>GNQ</v>
      </c>
      <c r="C478" s="233" t="str">
        <f>VLOOKUP(Table3[[#This Row],[Document ID]],Table1[],3,FALSE)</f>
        <v>Equatorial Guinea</v>
      </c>
      <c r="D478" s="233" t="str">
        <f>VLOOKUP(Table3[[#This Row],[Document ID]],Table1[],5,FALSE)</f>
        <v>LTS</v>
      </c>
      <c r="E478" s="233" t="str">
        <f>VLOOKUP(Table3[[#This Row],[Document ID]],Table1[],7,FALSE)</f>
        <v>LTS</v>
      </c>
      <c r="F478" s="233" t="str">
        <f>VLOOKUP(Table3[[#This Row],[Document ID]],Table1[],8,FALSE)</f>
        <v>LTS 1.0</v>
      </c>
      <c r="G478" s="233" t="str">
        <f>VLOOKUP(Table3[[#This Row],[Document ID]],Table1[],10,FALSE)</f>
        <v>Active</v>
      </c>
      <c r="H478" s="42" t="s">
        <v>1095</v>
      </c>
      <c r="I478" s="42" t="s">
        <v>1096</v>
      </c>
      <c r="J478" s="42" t="s">
        <v>1097</v>
      </c>
      <c r="K478" s="28" t="s">
        <v>1098</v>
      </c>
      <c r="L478" s="389" t="s">
        <v>1099</v>
      </c>
      <c r="M478" s="209">
        <v>2050</v>
      </c>
      <c r="N478" s="44" t="s">
        <v>1595</v>
      </c>
      <c r="O478" s="258">
        <v>29</v>
      </c>
      <c r="P478" s="238" t="str">
        <f>VLOOKUP(_xlfn.CONCAT(Table3[[#This Row],[Target area]],Table3[[#This Row],[GHG target?]],Table3[[#This Row],[Conditionality]]),'Drop down'!$E$81:$F$101,2,FALSE)</f>
        <v>T_Transport_O_Unc</v>
      </c>
      <c r="Q478" s="239" t="str">
        <f>VLOOKUP(Table3[[#This Row],[Target type]],Table418[[Value name]:[Value idenifyer]],2,FALSE)</f>
        <v>T_O_MODE</v>
      </c>
      <c r="V478" s="233" t="str">
        <f>VLOOKUP(Table3[[#This Row],[Country Code]],Table29[],3,FALSE)</f>
        <v>Non-Annex I</v>
      </c>
      <c r="W478" s="233" t="str">
        <f>VLOOKUP(Table3[[#This Row],[Country Code]],Table29[],4,FALSE)</f>
        <v>Africa</v>
      </c>
      <c r="X478" s="233" t="str">
        <f>VLOOKUP(Table3[[#This Row],[Country Code]],Table29[],5,FALSE)</f>
        <v>Middle-income</v>
      </c>
      <c r="Y478" s="233" t="str">
        <f>VLOOKUP(Table3[[#This Row],[Country Code]],Table29[],6,FALSE)</f>
        <v>no</v>
      </c>
      <c r="Z478" s="233" t="str">
        <f>VLOOKUP(Table3[[#This Row],[Country Code]],Table29[],7,FALSE)</f>
        <v>no</v>
      </c>
      <c r="AA478" s="233" t="str">
        <f>VLOOKUP(Table3[[#This Row],[Country Code]],Table29[],8,FALSE)</f>
        <v>non-OECD</v>
      </c>
      <c r="AB478" s="233" t="str">
        <f>VLOOKUP(Table3[[#This Row],[Country Code]],Table29[],9,FALSE)</f>
        <v>no</v>
      </c>
      <c r="AC478" s="233" t="str">
        <f>VLOOKUP(Table3[[#This Row],[Country Code]],Table29[],10,FALSE)</f>
        <v>no</v>
      </c>
      <c r="AD478" s="235">
        <f>VLOOKUP(Table3[[#This Row],[Country Code]],Table29[],23,FALSE)</f>
        <v>6.9820980789903002</v>
      </c>
      <c r="AE478" s="235">
        <f>VLOOKUP(Table3[[#This Row],[Country Code]],Table29[],24,FALSE)</f>
        <v>0.54145530040743117</v>
      </c>
      <c r="AF478" s="43"/>
    </row>
    <row r="479" spans="1:32" x14ac:dyDescent="0.25">
      <c r="A479" s="360">
        <v>17649</v>
      </c>
      <c r="B479" s="233" t="str">
        <f>VLOOKUP(Table3[[#This Row],[Document ID]],Table1[],2,FALSE)</f>
        <v>MWI</v>
      </c>
      <c r="C479" s="233" t="str">
        <f>VLOOKUP(Table3[[#This Row],[Document ID]],Table1[],3,FALSE)</f>
        <v>Malawi</v>
      </c>
      <c r="D479" s="233" t="str">
        <f>VLOOKUP(Table3[[#This Row],[Document ID]],Table1[],5,FALSE)</f>
        <v>NDC</v>
      </c>
      <c r="E479" s="233" t="str">
        <f>VLOOKUP(Table3[[#This Row],[Document ID]],Table1[],7,FALSE)</f>
        <v>First NDC</v>
      </c>
      <c r="F479" s="233" t="str">
        <f>VLOOKUP(Table3[[#This Row],[Document ID]],Table1[],8,FALSE)</f>
        <v>NDC 1.0</v>
      </c>
      <c r="G479" s="233" t="str">
        <f>VLOOKUP(Table3[[#This Row],[Document ID]],Table1[],10,FALSE)</f>
        <v>Archived</v>
      </c>
      <c r="H479" s="216" t="s">
        <v>1089</v>
      </c>
      <c r="I479" s="216" t="s">
        <v>1089</v>
      </c>
      <c r="J479" s="43" t="s">
        <v>1090</v>
      </c>
      <c r="K479" s="28" t="s">
        <v>1153</v>
      </c>
      <c r="L479" s="216" t="s">
        <v>1092</v>
      </c>
      <c r="M479" s="209">
        <v>2030</v>
      </c>
      <c r="N479" s="176" t="s">
        <v>1596</v>
      </c>
      <c r="O479" s="258" t="s">
        <v>1094</v>
      </c>
      <c r="P479" s="238" t="str">
        <f>VLOOKUP(_xlfn.CONCAT(Table3[[#This Row],[Target area]],Table3[[#This Row],[GHG target?]],Table3[[#This Row],[Conditionality]]),'Drop down'!$E$81:$F$101,2,FALSE)</f>
        <v>T_Economy_C</v>
      </c>
      <c r="Q479" s="239" t="str">
        <f>VLOOKUP(Table3[[#This Row],[Target type]],Table418[[Value name]:[Value idenifyer]],2,FALSE)</f>
        <v>T_BYE</v>
      </c>
      <c r="T479" s="234" t="s">
        <v>1113</v>
      </c>
      <c r="V479" s="233" t="str">
        <f>VLOOKUP(Table3[[#This Row],[Country Code]],Table29[],3,FALSE)</f>
        <v>Non-Annex I</v>
      </c>
      <c r="W479" s="233" t="str">
        <f>VLOOKUP(Table3[[#This Row],[Country Code]],Table29[],4,FALSE)</f>
        <v>Africa</v>
      </c>
      <c r="X479" s="233" t="str">
        <f>VLOOKUP(Table3[[#This Row],[Country Code]],Table29[],5,FALSE)</f>
        <v>Low-income</v>
      </c>
      <c r="Y479" s="233" t="str">
        <f>VLOOKUP(Table3[[#This Row],[Country Code]],Table29[],6,FALSE)</f>
        <v>no</v>
      </c>
      <c r="Z479" s="233" t="str">
        <f>VLOOKUP(Table3[[#This Row],[Country Code]],Table29[],7,FALSE)</f>
        <v>no</v>
      </c>
      <c r="AA479" s="233" t="str">
        <f>VLOOKUP(Table3[[#This Row],[Country Code]],Table29[],8,FALSE)</f>
        <v>non-OECD</v>
      </c>
      <c r="AB479" s="233" t="str">
        <f>VLOOKUP(Table3[[#This Row],[Country Code]],Table29[],9,FALSE)</f>
        <v>no</v>
      </c>
      <c r="AC479" s="233" t="str">
        <f>VLOOKUP(Table3[[#This Row],[Country Code]],Table29[],10,FALSE)</f>
        <v>no</v>
      </c>
      <c r="AD479" s="235">
        <f>VLOOKUP(Table3[[#This Row],[Country Code]],Table29[],23,FALSE)</f>
        <v>19.714051394182</v>
      </c>
      <c r="AE479" s="235">
        <f>VLOOKUP(Table3[[#This Row],[Country Code]],Table29[],24,FALSE)</f>
        <v>0.78331093542905961</v>
      </c>
      <c r="AF479" s="43"/>
    </row>
    <row r="480" spans="1:32" ht="45" x14ac:dyDescent="0.25">
      <c r="A480" s="360">
        <v>32506</v>
      </c>
      <c r="B480" s="233" t="str">
        <f>VLOOKUP(Table3[[#This Row],[Document ID]],Table1[],2,FALSE)</f>
        <v>MYS</v>
      </c>
      <c r="C480" s="233" t="str">
        <f>VLOOKUP(Table3[[#This Row],[Document ID]],Table1[],3,FALSE)</f>
        <v>Malaysia</v>
      </c>
      <c r="D480" s="233" t="str">
        <f>VLOOKUP(Table3[[#This Row],[Document ID]],Table1[],5,FALSE)</f>
        <v>NDC</v>
      </c>
      <c r="E480" s="233" t="str">
        <f>VLOOKUP(Table3[[#This Row],[Document ID]],Table1[],7,FALSE)</f>
        <v>First NDC updated</v>
      </c>
      <c r="F480" s="233" t="str">
        <f>VLOOKUP(Table3[[#This Row],[Document ID]],Table1[],8,FALSE)</f>
        <v>NDC 1.1</v>
      </c>
      <c r="G480" s="233" t="str">
        <f>VLOOKUP(Table3[[#This Row],[Document ID]],Table1[],10,FALSE)</f>
        <v>Active</v>
      </c>
      <c r="H480" s="216" t="s">
        <v>1089</v>
      </c>
      <c r="I480" s="216" t="s">
        <v>1089</v>
      </c>
      <c r="J480" s="43" t="s">
        <v>1090</v>
      </c>
      <c r="K480" s="28" t="s">
        <v>1153</v>
      </c>
      <c r="L480" s="42" t="s">
        <v>1099</v>
      </c>
      <c r="M480" s="209">
        <v>2030</v>
      </c>
      <c r="N480" s="18" t="s">
        <v>1597</v>
      </c>
      <c r="O480" s="258">
        <v>1</v>
      </c>
      <c r="P480" s="238" t="str">
        <f>VLOOKUP(_xlfn.CONCAT(Table3[[#This Row],[Target area]],Table3[[#This Row],[GHG target?]],Table3[[#This Row],[Conditionality]]),'Drop down'!$E$81:$F$101,2,FALSE)</f>
        <v>T_Economy_Unc</v>
      </c>
      <c r="Q480" s="239" t="str">
        <f>VLOOKUP(Table3[[#This Row],[Target type]],Table418[[Value name]:[Value idenifyer]],2,FALSE)</f>
        <v>T_BYE</v>
      </c>
      <c r="T480" s="234" t="s">
        <v>1113</v>
      </c>
      <c r="V480" s="233" t="str">
        <f>VLOOKUP(Table3[[#This Row],[Country Code]],Table29[],3,FALSE)</f>
        <v>Non-Annex I</v>
      </c>
      <c r="W480" s="233" t="str">
        <f>VLOOKUP(Table3[[#This Row],[Country Code]],Table29[],4,FALSE)</f>
        <v>Asia</v>
      </c>
      <c r="X480" s="233" t="str">
        <f>VLOOKUP(Table3[[#This Row],[Country Code]],Table29[],5,FALSE)</f>
        <v>Middle-income</v>
      </c>
      <c r="Y480" s="233" t="str">
        <f>VLOOKUP(Table3[[#This Row],[Country Code]],Table29[],6,FALSE)</f>
        <v>no</v>
      </c>
      <c r="Z480" s="233" t="str">
        <f>VLOOKUP(Table3[[#This Row],[Country Code]],Table29[],7,FALSE)</f>
        <v>no</v>
      </c>
      <c r="AA480" s="233" t="str">
        <f>VLOOKUP(Table3[[#This Row],[Country Code]],Table29[],8,FALSE)</f>
        <v>non-OECD</v>
      </c>
      <c r="AB480" s="233" t="str">
        <f>VLOOKUP(Table3[[#This Row],[Country Code]],Table29[],9,FALSE)</f>
        <v>no</v>
      </c>
      <c r="AC480" s="233" t="str">
        <f>VLOOKUP(Table3[[#This Row],[Country Code]],Table29[],10,FALSE)</f>
        <v>no</v>
      </c>
      <c r="AD480" s="235">
        <f>VLOOKUP(Table3[[#This Row],[Country Code]],Table29[],23,FALSE)</f>
        <v>325.40584765841999</v>
      </c>
      <c r="AE480" s="235">
        <f>VLOOKUP(Table3[[#This Row],[Country Code]],Table29[],24,FALSE)</f>
        <v>67.382333718297971</v>
      </c>
      <c r="AF480" s="43"/>
    </row>
    <row r="481" spans="1:32" x14ac:dyDescent="0.25">
      <c r="A481" s="360">
        <v>17650</v>
      </c>
      <c r="B481" s="233" t="str">
        <f>VLOOKUP(Table3[[#This Row],[Document ID]],Table1[],2,FALSE)</f>
        <v>MYS</v>
      </c>
      <c r="C481" s="233" t="str">
        <f>VLOOKUP(Table3[[#This Row],[Document ID]],Table1[],3,FALSE)</f>
        <v>Malaysia</v>
      </c>
      <c r="D481" s="233" t="str">
        <f>VLOOKUP(Table3[[#This Row],[Document ID]],Table1[],5,FALSE)</f>
        <v>NDC</v>
      </c>
      <c r="E481" s="233" t="str">
        <f>VLOOKUP(Table3[[#This Row],[Document ID]],Table1[],7,FALSE)</f>
        <v>First NDC</v>
      </c>
      <c r="F481" s="233" t="str">
        <f>VLOOKUP(Table3[[#This Row],[Document ID]],Table1[],8,FALSE)</f>
        <v>NDC 1.0</v>
      </c>
      <c r="G481" s="233" t="str">
        <f>VLOOKUP(Table3[[#This Row],[Document ID]],Table1[],10,FALSE)</f>
        <v>Archived</v>
      </c>
      <c r="H481" s="216" t="s">
        <v>1089</v>
      </c>
      <c r="I481" s="216" t="s">
        <v>1089</v>
      </c>
      <c r="J481" s="43" t="s">
        <v>1090</v>
      </c>
      <c r="K481" s="28" t="s">
        <v>1153</v>
      </c>
      <c r="L481" s="42" t="s">
        <v>1099</v>
      </c>
      <c r="M481" s="209">
        <v>2030</v>
      </c>
      <c r="N481" s="176" t="s">
        <v>1598</v>
      </c>
      <c r="O481" s="258" t="s">
        <v>1094</v>
      </c>
      <c r="P481" s="238" t="str">
        <f>VLOOKUP(_xlfn.CONCAT(Table3[[#This Row],[Target area]],Table3[[#This Row],[GHG target?]],Table3[[#This Row],[Conditionality]]),'Drop down'!$E$81:$F$101,2,FALSE)</f>
        <v>T_Economy_Unc</v>
      </c>
      <c r="Q481" s="239" t="str">
        <f>VLOOKUP(Table3[[#This Row],[Target type]],Table418[[Value name]:[Value idenifyer]],2,FALSE)</f>
        <v>T_BYE</v>
      </c>
      <c r="T481" s="234" t="s">
        <v>1113</v>
      </c>
      <c r="V481" s="233" t="str">
        <f>VLOOKUP(Table3[[#This Row],[Country Code]],Table29[],3,FALSE)</f>
        <v>Non-Annex I</v>
      </c>
      <c r="W481" s="233" t="str">
        <f>VLOOKUP(Table3[[#This Row],[Country Code]],Table29[],4,FALSE)</f>
        <v>Asia</v>
      </c>
      <c r="X481" s="233" t="str">
        <f>VLOOKUP(Table3[[#This Row],[Country Code]],Table29[],5,FALSE)</f>
        <v>Middle-income</v>
      </c>
      <c r="Y481" s="233" t="str">
        <f>VLOOKUP(Table3[[#This Row],[Country Code]],Table29[],6,FALSE)</f>
        <v>no</v>
      </c>
      <c r="Z481" s="233" t="str">
        <f>VLOOKUP(Table3[[#This Row],[Country Code]],Table29[],7,FALSE)</f>
        <v>no</v>
      </c>
      <c r="AA481" s="233" t="str">
        <f>VLOOKUP(Table3[[#This Row],[Country Code]],Table29[],8,FALSE)</f>
        <v>non-OECD</v>
      </c>
      <c r="AB481" s="233" t="str">
        <f>VLOOKUP(Table3[[#This Row],[Country Code]],Table29[],9,FALSE)</f>
        <v>no</v>
      </c>
      <c r="AC481" s="233" t="str">
        <f>VLOOKUP(Table3[[#This Row],[Country Code]],Table29[],10,FALSE)</f>
        <v>no</v>
      </c>
      <c r="AD481" s="235">
        <f>VLOOKUP(Table3[[#This Row],[Country Code]],Table29[],23,FALSE)</f>
        <v>325.40584765841999</v>
      </c>
      <c r="AE481" s="235">
        <f>VLOOKUP(Table3[[#This Row],[Country Code]],Table29[],24,FALSE)</f>
        <v>67.382333718297971</v>
      </c>
      <c r="AF481" s="43"/>
    </row>
    <row r="482" spans="1:32" x14ac:dyDescent="0.25">
      <c r="A482" s="360">
        <v>17650</v>
      </c>
      <c r="B482" s="233" t="str">
        <f>VLOOKUP(Table3[[#This Row],[Document ID]],Table1[],2,FALSE)</f>
        <v>MYS</v>
      </c>
      <c r="C482" s="233" t="str">
        <f>VLOOKUP(Table3[[#This Row],[Document ID]],Table1[],3,FALSE)</f>
        <v>Malaysia</v>
      </c>
      <c r="D482" s="233" t="str">
        <f>VLOOKUP(Table3[[#This Row],[Document ID]],Table1[],5,FALSE)</f>
        <v>NDC</v>
      </c>
      <c r="E482" s="233" t="str">
        <f>VLOOKUP(Table3[[#This Row],[Document ID]],Table1[],7,FALSE)</f>
        <v>First NDC</v>
      </c>
      <c r="F482" s="233" t="str">
        <f>VLOOKUP(Table3[[#This Row],[Document ID]],Table1[],8,FALSE)</f>
        <v>NDC 1.0</v>
      </c>
      <c r="G482" s="233" t="str">
        <f>VLOOKUP(Table3[[#This Row],[Document ID]],Table1[],10,FALSE)</f>
        <v>Archived</v>
      </c>
      <c r="H482" s="216" t="s">
        <v>1089</v>
      </c>
      <c r="I482" s="216" t="s">
        <v>1089</v>
      </c>
      <c r="J482" s="43" t="s">
        <v>1090</v>
      </c>
      <c r="K482" s="28" t="s">
        <v>1153</v>
      </c>
      <c r="L482" s="216" t="s">
        <v>1092</v>
      </c>
      <c r="M482" s="209">
        <v>2030</v>
      </c>
      <c r="N482" s="176" t="s">
        <v>1599</v>
      </c>
      <c r="O482" s="258" t="s">
        <v>1094</v>
      </c>
      <c r="P482" s="238" t="str">
        <f>VLOOKUP(_xlfn.CONCAT(Table3[[#This Row],[Target area]],Table3[[#This Row],[GHG target?]],Table3[[#This Row],[Conditionality]]),'Drop down'!$E$81:$F$101,2,FALSE)</f>
        <v>T_Economy_C</v>
      </c>
      <c r="Q482" s="239" t="str">
        <f>VLOOKUP(Table3[[#This Row],[Target type]],Table418[[Value name]:[Value idenifyer]],2,FALSE)</f>
        <v>T_BYE</v>
      </c>
      <c r="T482" s="234" t="s">
        <v>1113</v>
      </c>
      <c r="V482" s="233" t="str">
        <f>VLOOKUP(Table3[[#This Row],[Country Code]],Table29[],3,FALSE)</f>
        <v>Non-Annex I</v>
      </c>
      <c r="W482" s="233" t="str">
        <f>VLOOKUP(Table3[[#This Row],[Country Code]],Table29[],4,FALSE)</f>
        <v>Asia</v>
      </c>
      <c r="X482" s="233" t="str">
        <f>VLOOKUP(Table3[[#This Row],[Country Code]],Table29[],5,FALSE)</f>
        <v>Middle-income</v>
      </c>
      <c r="Y482" s="233" t="str">
        <f>VLOOKUP(Table3[[#This Row],[Country Code]],Table29[],6,FALSE)</f>
        <v>no</v>
      </c>
      <c r="Z482" s="233" t="str">
        <f>VLOOKUP(Table3[[#This Row],[Country Code]],Table29[],7,FALSE)</f>
        <v>no</v>
      </c>
      <c r="AA482" s="233" t="str">
        <f>VLOOKUP(Table3[[#This Row],[Country Code]],Table29[],8,FALSE)</f>
        <v>non-OECD</v>
      </c>
      <c r="AB482" s="233" t="str">
        <f>VLOOKUP(Table3[[#This Row],[Country Code]],Table29[],9,FALSE)</f>
        <v>no</v>
      </c>
      <c r="AC482" s="233" t="str">
        <f>VLOOKUP(Table3[[#This Row],[Country Code]],Table29[],10,FALSE)</f>
        <v>no</v>
      </c>
      <c r="AD482" s="235">
        <f>VLOOKUP(Table3[[#This Row],[Country Code]],Table29[],23,FALSE)</f>
        <v>325.40584765841999</v>
      </c>
      <c r="AE482" s="235">
        <f>VLOOKUP(Table3[[#This Row],[Country Code]],Table29[],24,FALSE)</f>
        <v>67.382333718297971</v>
      </c>
      <c r="AF482" s="43"/>
    </row>
    <row r="483" spans="1:32" ht="30" x14ac:dyDescent="0.25">
      <c r="A483" s="360">
        <v>17652</v>
      </c>
      <c r="B483" s="233" t="str">
        <f>VLOOKUP(Table3[[#This Row],[Document ID]],Table1[],2,FALSE)</f>
        <v>MDV</v>
      </c>
      <c r="C483" s="233" t="str">
        <f>VLOOKUP(Table3[[#This Row],[Document ID]],Table1[],3,FALSE)</f>
        <v>Maldives</v>
      </c>
      <c r="D483" s="233" t="str">
        <f>VLOOKUP(Table3[[#This Row],[Document ID]],Table1[],5,FALSE)</f>
        <v>NDC</v>
      </c>
      <c r="E483" s="233" t="str">
        <f>VLOOKUP(Table3[[#This Row],[Document ID]],Table1[],7,FALSE)</f>
        <v>First NDC updated</v>
      </c>
      <c r="F483" s="233" t="str">
        <f>VLOOKUP(Table3[[#This Row],[Document ID]],Table1[],8,FALSE)</f>
        <v>NDC 1.1</v>
      </c>
      <c r="G483" s="233" t="str">
        <f>VLOOKUP(Table3[[#This Row],[Document ID]],Table1[],10,FALSE)</f>
        <v>Archived</v>
      </c>
      <c r="H483" s="216" t="s">
        <v>1089</v>
      </c>
      <c r="I483" s="216" t="s">
        <v>1089</v>
      </c>
      <c r="J483" s="43" t="s">
        <v>1090</v>
      </c>
      <c r="K483" s="28" t="s">
        <v>1091</v>
      </c>
      <c r="L483" s="216" t="s">
        <v>1092</v>
      </c>
      <c r="M483" s="209">
        <v>2030</v>
      </c>
      <c r="N483" s="44" t="s">
        <v>1600</v>
      </c>
      <c r="O483" s="221">
        <v>3</v>
      </c>
      <c r="P483" s="238" t="str">
        <f>VLOOKUP(_xlfn.CONCAT(Table3[[#This Row],[Target area]],Table3[[#This Row],[GHG target?]],Table3[[#This Row],[Conditionality]]),'Drop down'!$E$81:$F$101,2,FALSE)</f>
        <v>T_Economy_C</v>
      </c>
      <c r="Q483" s="239" t="str">
        <f>VLOOKUP(Table3[[#This Row],[Target type]],Table418[[Value name]:[Value idenifyer]],2,FALSE)</f>
        <v>T_BAU</v>
      </c>
      <c r="T483" s="234" t="s">
        <v>1113</v>
      </c>
      <c r="V483" s="233" t="str">
        <f>VLOOKUP(Table3[[#This Row],[Country Code]],Table29[],3,FALSE)</f>
        <v>Non-Annex I</v>
      </c>
      <c r="W483" s="233" t="str">
        <f>VLOOKUP(Table3[[#This Row],[Country Code]],Table29[],4,FALSE)</f>
        <v>Asia</v>
      </c>
      <c r="X483" s="233" t="str">
        <f>VLOOKUP(Table3[[#This Row],[Country Code]],Table29[],5,FALSE)</f>
        <v>Middle-income</v>
      </c>
      <c r="Y483" s="233" t="str">
        <f>VLOOKUP(Table3[[#This Row],[Country Code]],Table29[],6,FALSE)</f>
        <v>no</v>
      </c>
      <c r="Z483" s="233" t="str">
        <f>VLOOKUP(Table3[[#This Row],[Country Code]],Table29[],7,FALSE)</f>
        <v>no</v>
      </c>
      <c r="AA483" s="233" t="str">
        <f>VLOOKUP(Table3[[#This Row],[Country Code]],Table29[],8,FALSE)</f>
        <v>non-OECD</v>
      </c>
      <c r="AB483" s="233" t="str">
        <f>VLOOKUP(Table3[[#This Row],[Country Code]],Table29[],9,FALSE)</f>
        <v>no</v>
      </c>
      <c r="AC483" s="233" t="str">
        <f>VLOOKUP(Table3[[#This Row],[Country Code]],Table29[],10,FALSE)</f>
        <v>no</v>
      </c>
      <c r="AD483" s="235">
        <f>VLOOKUP(Table3[[#This Row],[Country Code]],Table29[],23,FALSE)</f>
        <v>3.0879519663505</v>
      </c>
      <c r="AE483" s="235">
        <f>VLOOKUP(Table3[[#This Row],[Country Code]],Table29[],24,FALSE)</f>
        <v>1.4972669707005819</v>
      </c>
      <c r="AF483" s="43"/>
    </row>
    <row r="484" spans="1:32" x14ac:dyDescent="0.25">
      <c r="A484" s="360">
        <v>17651</v>
      </c>
      <c r="B484" s="233" t="str">
        <f>VLOOKUP(Table3[[#This Row],[Document ID]],Table1[],2,FALSE)</f>
        <v>MDV</v>
      </c>
      <c r="C484" s="233" t="str">
        <f>VLOOKUP(Table3[[#This Row],[Document ID]],Table1[],3,FALSE)</f>
        <v>Maldives</v>
      </c>
      <c r="D484" s="233" t="str">
        <f>VLOOKUP(Table3[[#This Row],[Document ID]],Table1[],5,FALSE)</f>
        <v>NDC</v>
      </c>
      <c r="E484" s="233" t="str">
        <f>VLOOKUP(Table3[[#This Row],[Document ID]],Table1[],7,FALSE)</f>
        <v>First NDC</v>
      </c>
      <c r="F484" s="233" t="str">
        <f>VLOOKUP(Table3[[#This Row],[Document ID]],Table1[],8,FALSE)</f>
        <v>NDC 1.0</v>
      </c>
      <c r="G484" s="233" t="str">
        <f>VLOOKUP(Table3[[#This Row],[Document ID]],Table1[],10,FALSE)</f>
        <v>Archived</v>
      </c>
      <c r="H484" s="216" t="s">
        <v>1089</v>
      </c>
      <c r="I484" s="216" t="s">
        <v>1089</v>
      </c>
      <c r="J484" s="43" t="s">
        <v>1090</v>
      </c>
      <c r="K484" s="28" t="s">
        <v>1091</v>
      </c>
      <c r="L484" s="42" t="s">
        <v>1099</v>
      </c>
      <c r="M484" s="209">
        <v>2030</v>
      </c>
      <c r="N484" s="176" t="s">
        <v>1601</v>
      </c>
      <c r="O484" s="258" t="s">
        <v>1094</v>
      </c>
      <c r="P484" s="238" t="str">
        <f>VLOOKUP(_xlfn.CONCAT(Table3[[#This Row],[Target area]],Table3[[#This Row],[GHG target?]],Table3[[#This Row],[Conditionality]]),'Drop down'!$E$81:$F$101,2,FALSE)</f>
        <v>T_Economy_Unc</v>
      </c>
      <c r="Q484" s="239" t="str">
        <f>VLOOKUP(Table3[[#This Row],[Target type]],Table418[[Value name]:[Value idenifyer]],2,FALSE)</f>
        <v>T_BAU</v>
      </c>
      <c r="T484" s="234" t="s">
        <v>1113</v>
      </c>
      <c r="V484" s="233" t="str">
        <f>VLOOKUP(Table3[[#This Row],[Country Code]],Table29[],3,FALSE)</f>
        <v>Non-Annex I</v>
      </c>
      <c r="W484" s="233" t="str">
        <f>VLOOKUP(Table3[[#This Row],[Country Code]],Table29[],4,FALSE)</f>
        <v>Asia</v>
      </c>
      <c r="X484" s="233" t="str">
        <f>VLOOKUP(Table3[[#This Row],[Country Code]],Table29[],5,FALSE)</f>
        <v>Middle-income</v>
      </c>
      <c r="Y484" s="233" t="str">
        <f>VLOOKUP(Table3[[#This Row],[Country Code]],Table29[],6,FALSE)</f>
        <v>no</v>
      </c>
      <c r="Z484" s="233" t="str">
        <f>VLOOKUP(Table3[[#This Row],[Country Code]],Table29[],7,FALSE)</f>
        <v>no</v>
      </c>
      <c r="AA484" s="233" t="str">
        <f>VLOOKUP(Table3[[#This Row],[Country Code]],Table29[],8,FALSE)</f>
        <v>non-OECD</v>
      </c>
      <c r="AB484" s="233" t="str">
        <f>VLOOKUP(Table3[[#This Row],[Country Code]],Table29[],9,FALSE)</f>
        <v>no</v>
      </c>
      <c r="AC484" s="233" t="str">
        <f>VLOOKUP(Table3[[#This Row],[Country Code]],Table29[],10,FALSE)</f>
        <v>no</v>
      </c>
      <c r="AD484" s="235">
        <f>VLOOKUP(Table3[[#This Row],[Country Code]],Table29[],23,FALSE)</f>
        <v>3.0879519663505</v>
      </c>
      <c r="AE484" s="235">
        <f>VLOOKUP(Table3[[#This Row],[Country Code]],Table29[],24,FALSE)</f>
        <v>1.4972669707005819</v>
      </c>
      <c r="AF484" s="43"/>
    </row>
    <row r="485" spans="1:32" x14ac:dyDescent="0.25">
      <c r="A485" s="360">
        <v>17651</v>
      </c>
      <c r="B485" s="233" t="str">
        <f>VLOOKUP(Table3[[#This Row],[Document ID]],Table1[],2,FALSE)</f>
        <v>MDV</v>
      </c>
      <c r="C485" s="233" t="str">
        <f>VLOOKUP(Table3[[#This Row],[Document ID]],Table1[],3,FALSE)</f>
        <v>Maldives</v>
      </c>
      <c r="D485" s="233" t="str">
        <f>VLOOKUP(Table3[[#This Row],[Document ID]],Table1[],5,FALSE)</f>
        <v>NDC</v>
      </c>
      <c r="E485" s="233" t="str">
        <f>VLOOKUP(Table3[[#This Row],[Document ID]],Table1[],7,FALSE)</f>
        <v>First NDC</v>
      </c>
      <c r="F485" s="233" t="str">
        <f>VLOOKUP(Table3[[#This Row],[Document ID]],Table1[],8,FALSE)</f>
        <v>NDC 1.0</v>
      </c>
      <c r="G485" s="233" t="str">
        <f>VLOOKUP(Table3[[#This Row],[Document ID]],Table1[],10,FALSE)</f>
        <v>Archived</v>
      </c>
      <c r="H485" s="216" t="s">
        <v>1089</v>
      </c>
      <c r="I485" s="216" t="s">
        <v>1089</v>
      </c>
      <c r="J485" s="43" t="s">
        <v>1090</v>
      </c>
      <c r="K485" s="28" t="s">
        <v>1091</v>
      </c>
      <c r="L485" s="216" t="s">
        <v>1092</v>
      </c>
      <c r="M485" s="209">
        <v>2030</v>
      </c>
      <c r="N485" s="176" t="s">
        <v>1602</v>
      </c>
      <c r="O485" s="258" t="s">
        <v>1094</v>
      </c>
      <c r="P485" s="238" t="str">
        <f>VLOOKUP(_xlfn.CONCAT(Table3[[#This Row],[Target area]],Table3[[#This Row],[GHG target?]],Table3[[#This Row],[Conditionality]]),'Drop down'!$E$81:$F$101,2,FALSE)</f>
        <v>T_Economy_C</v>
      </c>
      <c r="Q485" s="239" t="str">
        <f>VLOOKUP(Table3[[#This Row],[Target type]],Table418[[Value name]:[Value idenifyer]],2,FALSE)</f>
        <v>T_BAU</v>
      </c>
      <c r="T485" s="234" t="s">
        <v>1113</v>
      </c>
      <c r="V485" s="233" t="str">
        <f>VLOOKUP(Table3[[#This Row],[Country Code]],Table29[],3,FALSE)</f>
        <v>Non-Annex I</v>
      </c>
      <c r="W485" s="233" t="str">
        <f>VLOOKUP(Table3[[#This Row],[Country Code]],Table29[],4,FALSE)</f>
        <v>Asia</v>
      </c>
      <c r="X485" s="233" t="str">
        <f>VLOOKUP(Table3[[#This Row],[Country Code]],Table29[],5,FALSE)</f>
        <v>Middle-income</v>
      </c>
      <c r="Y485" s="233" t="str">
        <f>VLOOKUP(Table3[[#This Row],[Country Code]],Table29[],6,FALSE)</f>
        <v>no</v>
      </c>
      <c r="Z485" s="233" t="str">
        <f>VLOOKUP(Table3[[#This Row],[Country Code]],Table29[],7,FALSE)</f>
        <v>no</v>
      </c>
      <c r="AA485" s="233" t="str">
        <f>VLOOKUP(Table3[[#This Row],[Country Code]],Table29[],8,FALSE)</f>
        <v>non-OECD</v>
      </c>
      <c r="AB485" s="233" t="str">
        <f>VLOOKUP(Table3[[#This Row],[Country Code]],Table29[],9,FALSE)</f>
        <v>no</v>
      </c>
      <c r="AC485" s="233" t="str">
        <f>VLOOKUP(Table3[[#This Row],[Country Code]],Table29[],10,FALSE)</f>
        <v>no</v>
      </c>
      <c r="AD485" s="235">
        <f>VLOOKUP(Table3[[#This Row],[Country Code]],Table29[],23,FALSE)</f>
        <v>3.0879519663505</v>
      </c>
      <c r="AE485" s="235">
        <f>VLOOKUP(Table3[[#This Row],[Country Code]],Table29[],24,FALSE)</f>
        <v>1.4972669707005819</v>
      </c>
      <c r="AF485" s="43"/>
    </row>
    <row r="486" spans="1:32" ht="30" x14ac:dyDescent="0.25">
      <c r="A486" s="360">
        <v>41738</v>
      </c>
      <c r="B486" s="233" t="str">
        <f>VLOOKUP(Table3[[#This Row],[Document ID]],Table1[],2,FALSE)</f>
        <v>GNQ</v>
      </c>
      <c r="C486" s="233" t="str">
        <f>VLOOKUP(Table3[[#This Row],[Document ID]],Table1[],3,FALSE)</f>
        <v>Equatorial Guinea</v>
      </c>
      <c r="D486" s="233" t="str">
        <f>VLOOKUP(Table3[[#This Row],[Document ID]],Table1[],5,FALSE)</f>
        <v>LTS</v>
      </c>
      <c r="E486" s="233" t="str">
        <f>VLOOKUP(Table3[[#This Row],[Document ID]],Table1[],7,FALSE)</f>
        <v>LTS</v>
      </c>
      <c r="F486" s="233" t="str">
        <f>VLOOKUP(Table3[[#This Row],[Document ID]],Table1[],8,FALSE)</f>
        <v>LTS 1.0</v>
      </c>
      <c r="G486" s="233" t="str">
        <f>VLOOKUP(Table3[[#This Row],[Document ID]],Table1[],10,FALSE)</f>
        <v>Active</v>
      </c>
      <c r="H486" s="42" t="s">
        <v>1095</v>
      </c>
      <c r="I486" s="42" t="s">
        <v>1096</v>
      </c>
      <c r="J486" s="42" t="s">
        <v>1097</v>
      </c>
      <c r="K486" s="28" t="s">
        <v>1104</v>
      </c>
      <c r="L486" s="42" t="s">
        <v>1099</v>
      </c>
      <c r="M486" s="209">
        <v>2050</v>
      </c>
      <c r="N486" s="44" t="s">
        <v>1603</v>
      </c>
      <c r="O486" s="258">
        <v>28</v>
      </c>
      <c r="P486" s="238" t="str">
        <f>VLOOKUP(_xlfn.CONCAT(Table3[[#This Row],[Target area]],Table3[[#This Row],[GHG target?]],Table3[[#This Row],[Conditionality]]),'Drop down'!$E$81:$F$101,2,FALSE)</f>
        <v>T_Transport_O_Unc</v>
      </c>
      <c r="Q486" s="239" t="str">
        <f>VLOOKUP(Table3[[#This Row],[Target type]],Table418[[Value name]:[Value idenifyer]],2,FALSE)</f>
        <v>T_O_ZERO</v>
      </c>
      <c r="V486" s="233" t="str">
        <f>VLOOKUP(Table3[[#This Row],[Country Code]],Table29[],3,FALSE)</f>
        <v>Non-Annex I</v>
      </c>
      <c r="W486" s="233" t="str">
        <f>VLOOKUP(Table3[[#This Row],[Country Code]],Table29[],4,FALSE)</f>
        <v>Africa</v>
      </c>
      <c r="X486" s="233" t="str">
        <f>VLOOKUP(Table3[[#This Row],[Country Code]],Table29[],5,FALSE)</f>
        <v>Middle-income</v>
      </c>
      <c r="Y486" s="233" t="str">
        <f>VLOOKUP(Table3[[#This Row],[Country Code]],Table29[],6,FALSE)</f>
        <v>no</v>
      </c>
      <c r="Z486" s="233" t="str">
        <f>VLOOKUP(Table3[[#This Row],[Country Code]],Table29[],7,FALSE)</f>
        <v>no</v>
      </c>
      <c r="AA486" s="233" t="str">
        <f>VLOOKUP(Table3[[#This Row],[Country Code]],Table29[],8,FALSE)</f>
        <v>non-OECD</v>
      </c>
      <c r="AB486" s="233" t="str">
        <f>VLOOKUP(Table3[[#This Row],[Country Code]],Table29[],9,FALSE)</f>
        <v>no</v>
      </c>
      <c r="AC486" s="233" t="str">
        <f>VLOOKUP(Table3[[#This Row],[Country Code]],Table29[],10,FALSE)</f>
        <v>no</v>
      </c>
      <c r="AD486" s="235">
        <f>VLOOKUP(Table3[[#This Row],[Country Code]],Table29[],23,FALSE)</f>
        <v>6.9820980789903002</v>
      </c>
      <c r="AE486" s="235">
        <f>VLOOKUP(Table3[[#This Row],[Country Code]],Table29[],24,FALSE)</f>
        <v>0.54145530040743117</v>
      </c>
      <c r="AF486" s="43"/>
    </row>
    <row r="487" spans="1:32" x14ac:dyDescent="0.25">
      <c r="A487" s="360">
        <v>17606</v>
      </c>
      <c r="B487" s="233" t="str">
        <f>VLOOKUP(Table3[[#This Row],[Document ID]],Table1[],2,FALSE)</f>
        <v>GRD</v>
      </c>
      <c r="C487" s="233" t="str">
        <f>VLOOKUP(Table3[[#This Row],[Document ID]],Table1[],3,FALSE)</f>
        <v>Grenada</v>
      </c>
      <c r="D487" s="233" t="str">
        <f>VLOOKUP(Table3[[#This Row],[Document ID]],Table1[],5,FALSE)</f>
        <v>NDC</v>
      </c>
      <c r="E487" s="233" t="str">
        <f>VLOOKUP(Table3[[#This Row],[Document ID]],Table1[],7,FALSE)</f>
        <v>First NDC</v>
      </c>
      <c r="F487" s="233" t="str">
        <f>VLOOKUP(Table3[[#This Row],[Document ID]],Table1[],8,FALSE)</f>
        <v>NDC 1.0</v>
      </c>
      <c r="G487" s="233" t="str">
        <f>VLOOKUP(Table3[[#This Row],[Document ID]],Table1[],10,FALSE)</f>
        <v>Archived</v>
      </c>
      <c r="H487" s="42" t="s">
        <v>1095</v>
      </c>
      <c r="I487" s="43" t="s">
        <v>1115</v>
      </c>
      <c r="J487" s="43" t="s">
        <v>1090</v>
      </c>
      <c r="K487" s="28" t="s">
        <v>1091</v>
      </c>
      <c r="L487" s="42" t="s">
        <v>1099</v>
      </c>
      <c r="M487" s="209">
        <v>2025</v>
      </c>
      <c r="N487" s="44" t="s">
        <v>1604</v>
      </c>
      <c r="O487" s="221">
        <v>8</v>
      </c>
      <c r="P487" s="238" t="str">
        <f>VLOOKUP(_xlfn.CONCAT(Table3[[#This Row],[Target area]],Table3[[#This Row],[GHG target?]],Table3[[#This Row],[Conditionality]]),'Drop down'!$E$81:$F$101,2,FALSE)</f>
        <v>T_Transport_Unc</v>
      </c>
      <c r="Q487" s="239" t="str">
        <f>VLOOKUP(Table3[[#This Row],[Target type]],Table418[[Value name]:[Value idenifyer]],2,FALSE)</f>
        <v>T_BAU</v>
      </c>
      <c r="R487" s="233" t="s">
        <v>526</v>
      </c>
      <c r="S487" s="233" t="s">
        <v>1112</v>
      </c>
      <c r="V487" s="233" t="str">
        <f>VLOOKUP(Table3[[#This Row],[Country Code]],Table29[],3,FALSE)</f>
        <v>Non-Annex I</v>
      </c>
      <c r="W487" s="233" t="str">
        <f>VLOOKUP(Table3[[#This Row],[Country Code]],Table29[],4,FALSE)</f>
        <v>Latin America and the Caribbean</v>
      </c>
      <c r="X487" s="233" t="str">
        <f>VLOOKUP(Table3[[#This Row],[Country Code]],Table29[],5,FALSE)</f>
        <v>Middle-income</v>
      </c>
      <c r="Y487" s="233" t="str">
        <f>VLOOKUP(Table3[[#This Row],[Country Code]],Table29[],6,FALSE)</f>
        <v>no</v>
      </c>
      <c r="Z487" s="233" t="str">
        <f>VLOOKUP(Table3[[#This Row],[Country Code]],Table29[],7,FALSE)</f>
        <v>no</v>
      </c>
      <c r="AA487" s="233" t="str">
        <f>VLOOKUP(Table3[[#This Row],[Country Code]],Table29[],8,FALSE)</f>
        <v>non-OECD</v>
      </c>
      <c r="AB487" s="233" t="str">
        <f>VLOOKUP(Table3[[#This Row],[Country Code]],Table29[],9,FALSE)</f>
        <v>no</v>
      </c>
      <c r="AC487" s="233" t="str">
        <f>VLOOKUP(Table3[[#This Row],[Country Code]],Table29[],10,FALSE)</f>
        <v>no</v>
      </c>
      <c r="AD487" s="235">
        <f>VLOOKUP(Table3[[#This Row],[Country Code]],Table29[],23,FALSE)</f>
        <v>0.20040725685748001</v>
      </c>
      <c r="AE487" s="235">
        <f>VLOOKUP(Table3[[#This Row],[Country Code]],Table29[],24,FALSE)</f>
        <v>5.0827063801383333E-2</v>
      </c>
      <c r="AF487" s="43"/>
    </row>
    <row r="488" spans="1:32" x14ac:dyDescent="0.25">
      <c r="A488" s="360">
        <v>17653</v>
      </c>
      <c r="B488" s="233" t="str">
        <f>VLOOKUP(Table3[[#This Row],[Document ID]],Table1[],2,FALSE)</f>
        <v>MLI</v>
      </c>
      <c r="C488" s="233" t="str">
        <f>VLOOKUP(Table3[[#This Row],[Document ID]],Table1[],3,FALSE)</f>
        <v>Mali</v>
      </c>
      <c r="D488" s="233" t="str">
        <f>VLOOKUP(Table3[[#This Row],[Document ID]],Table1[],5,FALSE)</f>
        <v>NDC</v>
      </c>
      <c r="E488" s="233" t="str">
        <f>VLOOKUP(Table3[[#This Row],[Document ID]],Table1[],7,FALSE)</f>
        <v>First NDC</v>
      </c>
      <c r="F488" s="233" t="str">
        <f>VLOOKUP(Table3[[#This Row],[Document ID]],Table1[],8,FALSE)</f>
        <v>NDC 1.0</v>
      </c>
      <c r="G488" s="233" t="str">
        <f>VLOOKUP(Table3[[#This Row],[Document ID]],Table1[],10,FALSE)</f>
        <v>Archived</v>
      </c>
      <c r="H488" s="216" t="s">
        <v>1089</v>
      </c>
      <c r="I488" s="216" t="s">
        <v>1089</v>
      </c>
      <c r="J488" s="43" t="s">
        <v>1090</v>
      </c>
      <c r="K488" s="28" t="s">
        <v>1091</v>
      </c>
      <c r="L488" s="216" t="s">
        <v>1092</v>
      </c>
      <c r="M488" s="209">
        <v>2030</v>
      </c>
      <c r="N488" s="176" t="s">
        <v>1605</v>
      </c>
      <c r="O488" s="258" t="s">
        <v>1094</v>
      </c>
      <c r="P488" s="238" t="str">
        <f>VLOOKUP(_xlfn.CONCAT(Table3[[#This Row],[Target area]],Table3[[#This Row],[GHG target?]],Table3[[#This Row],[Conditionality]]),'Drop down'!$E$81:$F$101,2,FALSE)</f>
        <v>T_Economy_C</v>
      </c>
      <c r="Q488" s="239" t="str">
        <f>VLOOKUP(Table3[[#This Row],[Target type]],Table418[[Value name]:[Value idenifyer]],2,FALSE)</f>
        <v>T_BAU</v>
      </c>
      <c r="T488" s="240"/>
      <c r="U488" s="240"/>
      <c r="V488" s="233" t="str">
        <f>VLOOKUP(Table3[[#This Row],[Country Code]],Table29[],3,FALSE)</f>
        <v>Non-Annex I</v>
      </c>
      <c r="W488" s="233" t="str">
        <f>VLOOKUP(Table3[[#This Row],[Country Code]],Table29[],4,FALSE)</f>
        <v>Africa</v>
      </c>
      <c r="X488" s="233" t="str">
        <f>VLOOKUP(Table3[[#This Row],[Country Code]],Table29[],5,FALSE)</f>
        <v>Low-income</v>
      </c>
      <c r="Y488" s="233" t="str">
        <f>VLOOKUP(Table3[[#This Row],[Country Code]],Table29[],6,FALSE)</f>
        <v>no</v>
      </c>
      <c r="Z488" s="233" t="str">
        <f>VLOOKUP(Table3[[#This Row],[Country Code]],Table29[],7,FALSE)</f>
        <v>no</v>
      </c>
      <c r="AA488" s="233" t="str">
        <f>VLOOKUP(Table3[[#This Row],[Country Code]],Table29[],8,FALSE)</f>
        <v>non-OECD</v>
      </c>
      <c r="AB488" s="233" t="str">
        <f>VLOOKUP(Table3[[#This Row],[Country Code]],Table29[],9,FALSE)</f>
        <v>no</v>
      </c>
      <c r="AC488" s="233" t="str">
        <f>VLOOKUP(Table3[[#This Row],[Country Code]],Table29[],10,FALSE)</f>
        <v>no</v>
      </c>
      <c r="AD488" s="235">
        <f>VLOOKUP(Table3[[#This Row],[Country Code]],Table29[],23,FALSE)</f>
        <v>45.463097500300002</v>
      </c>
      <c r="AE488" s="235">
        <f>VLOOKUP(Table3[[#This Row],[Country Code]],Table29[],24,FALSE)</f>
        <v>3.3931668151860381</v>
      </c>
      <c r="AF488" s="43"/>
    </row>
    <row r="489" spans="1:32" x14ac:dyDescent="0.25">
      <c r="A489" s="360">
        <v>26782</v>
      </c>
      <c r="B489" s="233" t="str">
        <f>VLOOKUP(Table3[[#This Row],[Document ID]],Table1[],2,FALSE)</f>
        <v>MLT</v>
      </c>
      <c r="C489" s="233" t="str">
        <f>VLOOKUP(Table3[[#This Row],[Document ID]],Table1[],3,FALSE)</f>
        <v>Malta</v>
      </c>
      <c r="D489" s="233" t="str">
        <f>VLOOKUP(Table3[[#This Row],[Document ID]],Table1[],5,FALSE)</f>
        <v>LTS</v>
      </c>
      <c r="E489" s="233" t="str">
        <f>VLOOKUP(Table3[[#This Row],[Document ID]],Table1[],7,FALSE)</f>
        <v>LTS</v>
      </c>
      <c r="F489" s="233" t="str">
        <f>VLOOKUP(Table3[[#This Row],[Document ID]],Table1[],8,FALSE)</f>
        <v>LTS 1.0</v>
      </c>
      <c r="G489" s="233" t="str">
        <f>VLOOKUP(Table3[[#This Row],[Document ID]],Table1[],10,FALSE)</f>
        <v>Active</v>
      </c>
      <c r="H489" s="216" t="s">
        <v>1089</v>
      </c>
      <c r="I489" s="216" t="s">
        <v>1089</v>
      </c>
      <c r="J489" s="43" t="s">
        <v>1090</v>
      </c>
      <c r="K489" s="28" t="s">
        <v>1121</v>
      </c>
      <c r="L489" s="42" t="s">
        <v>1099</v>
      </c>
      <c r="M489" s="209">
        <v>2050</v>
      </c>
      <c r="N489" s="17" t="s">
        <v>1606</v>
      </c>
      <c r="O489" s="258">
        <v>20</v>
      </c>
      <c r="P489" s="238" t="str">
        <f>VLOOKUP(_xlfn.CONCAT(Table3[[#This Row],[Target area]],Table3[[#This Row],[GHG target?]],Table3[[#This Row],[Conditionality]]),'Drop down'!$E$81:$F$101,2,FALSE)</f>
        <v>T_Economy_Unc</v>
      </c>
      <c r="Q489" s="239" t="str">
        <f>VLOOKUP(Table3[[#This Row],[Target type]],Table418[[Value name]:[Value idenifyer]],2,FALSE)</f>
        <v>T_FL</v>
      </c>
      <c r="T489" s="234" t="s">
        <v>1113</v>
      </c>
      <c r="V489" s="233" t="str">
        <f>VLOOKUP(Table3[[#This Row],[Country Code]],Table29[],3,FALSE)</f>
        <v>Annex I</v>
      </c>
      <c r="W489" s="233" t="str">
        <f>VLOOKUP(Table3[[#This Row],[Country Code]],Table29[],4,FALSE)</f>
        <v>Europe</v>
      </c>
      <c r="X489" s="233" t="str">
        <f>VLOOKUP(Table3[[#This Row],[Country Code]],Table29[],5,FALSE)</f>
        <v>High-income</v>
      </c>
      <c r="Y489" s="233" t="str">
        <f>VLOOKUP(Table3[[#This Row],[Country Code]],Table29[],6,FALSE)</f>
        <v>no</v>
      </c>
      <c r="Z489" s="233" t="str">
        <f>VLOOKUP(Table3[[#This Row],[Country Code]],Table29[],7,FALSE)</f>
        <v>no</v>
      </c>
      <c r="AA489" s="233" t="str">
        <f>VLOOKUP(Table3[[#This Row],[Country Code]],Table29[],8,FALSE)</f>
        <v>non-OECD</v>
      </c>
      <c r="AB489" s="233" t="str">
        <f>VLOOKUP(Table3[[#This Row],[Country Code]],Table29[],9,FALSE)</f>
        <v>EU27</v>
      </c>
      <c r="AC489" s="233" t="str">
        <f>VLOOKUP(Table3[[#This Row],[Country Code]],Table29[],10,FALSE)</f>
        <v>no</v>
      </c>
      <c r="AD489" s="235">
        <f>VLOOKUP(Table3[[#This Row],[Country Code]],Table29[],23,FALSE)</f>
        <v>2.0338652584277002</v>
      </c>
      <c r="AE489" s="235">
        <f>VLOOKUP(Table3[[#This Row],[Country Code]],Table29[],24,FALSE)</f>
        <v>0.73042728349636687</v>
      </c>
      <c r="AF489" s="43"/>
    </row>
    <row r="490" spans="1:32" ht="30" x14ac:dyDescent="0.25">
      <c r="A490" s="360">
        <v>17656</v>
      </c>
      <c r="B490" s="233" t="str">
        <f>VLOOKUP(Table3[[#This Row],[Document ID]],Table1[],2,FALSE)</f>
        <v>MHL</v>
      </c>
      <c r="C490" s="233" t="str">
        <f>VLOOKUP(Table3[[#This Row],[Document ID]],Table1[],3,FALSE)</f>
        <v>Marshall Islands</v>
      </c>
      <c r="D490" s="233" t="str">
        <f>VLOOKUP(Table3[[#This Row],[Document ID]],Table1[],5,FALSE)</f>
        <v>NDC</v>
      </c>
      <c r="E490" s="233" t="str">
        <f>VLOOKUP(Table3[[#This Row],[Document ID]],Table1[],7,FALSE)</f>
        <v>Second NDC</v>
      </c>
      <c r="F490" s="233" t="str">
        <f>VLOOKUP(Table3[[#This Row],[Document ID]],Table1[],8,FALSE)</f>
        <v>NDC 2.0</v>
      </c>
      <c r="G490" s="233" t="str">
        <f>VLOOKUP(Table3[[#This Row],[Document ID]],Table1[],10,FALSE)</f>
        <v>Archived</v>
      </c>
      <c r="H490" s="216" t="s">
        <v>1089</v>
      </c>
      <c r="I490" s="216" t="s">
        <v>1089</v>
      </c>
      <c r="J490" s="43" t="s">
        <v>1090</v>
      </c>
      <c r="K490" s="28" t="s">
        <v>1153</v>
      </c>
      <c r="L490" s="42" t="s">
        <v>1099</v>
      </c>
      <c r="M490" s="209">
        <v>2030</v>
      </c>
      <c r="N490" s="44" t="s">
        <v>1607</v>
      </c>
      <c r="O490" s="221">
        <v>2</v>
      </c>
      <c r="P490" s="238" t="str">
        <f>VLOOKUP(_xlfn.CONCAT(Table3[[#This Row],[Target area]],Table3[[#This Row],[GHG target?]],Table3[[#This Row],[Conditionality]]),'Drop down'!$E$81:$F$101,2,FALSE)</f>
        <v>T_Economy_Unc</v>
      </c>
      <c r="Q490" s="239" t="str">
        <f>VLOOKUP(Table3[[#This Row],[Target type]],Table418[[Value name]:[Value idenifyer]],2,FALSE)</f>
        <v>T_BYE</v>
      </c>
      <c r="T490" s="234" t="s">
        <v>1113</v>
      </c>
      <c r="V490" s="233" t="str">
        <f>VLOOKUP(Table3[[#This Row],[Country Code]],Table29[],3,FALSE)</f>
        <v>Non-Annex I</v>
      </c>
      <c r="W490" s="233" t="str">
        <f>VLOOKUP(Table3[[#This Row],[Country Code]],Table29[],4,FALSE)</f>
        <v>Oceania</v>
      </c>
      <c r="X490" s="233" t="str">
        <f>VLOOKUP(Table3[[#This Row],[Country Code]],Table29[],5,FALSE)</f>
        <v>Middle-income</v>
      </c>
      <c r="Y490" s="233" t="str">
        <f>VLOOKUP(Table3[[#This Row],[Country Code]],Table29[],6,FALSE)</f>
        <v>no</v>
      </c>
      <c r="Z490" s="233" t="str">
        <f>VLOOKUP(Table3[[#This Row],[Country Code]],Table29[],7,FALSE)</f>
        <v>no</v>
      </c>
      <c r="AA490" s="233" t="str">
        <f>VLOOKUP(Table3[[#This Row],[Country Code]],Table29[],8,FALSE)</f>
        <v>non-OECD</v>
      </c>
      <c r="AB490" s="233" t="str">
        <f>VLOOKUP(Table3[[#This Row],[Country Code]],Table29[],9,FALSE)</f>
        <v>no</v>
      </c>
      <c r="AC490" s="233" t="str">
        <f>VLOOKUP(Table3[[#This Row],[Country Code]],Table29[],10,FALSE)</f>
        <v>no</v>
      </c>
      <c r="AD490" s="235">
        <f>VLOOKUP(Table3[[#This Row],[Country Code]],Table29[],23,FALSE)</f>
        <v>0</v>
      </c>
      <c r="AE490" s="235">
        <f>VLOOKUP(Table3[[#This Row],[Country Code]],Table29[],24,FALSE)</f>
        <v>0</v>
      </c>
      <c r="AF490" s="43"/>
    </row>
    <row r="491" spans="1:32" x14ac:dyDescent="0.25">
      <c r="A491" s="360">
        <v>17657</v>
      </c>
      <c r="B491" s="233" t="str">
        <f>VLOOKUP(Table3[[#This Row],[Document ID]],Table1[],2,FALSE)</f>
        <v>MHL</v>
      </c>
      <c r="C491" s="233" t="str">
        <f>VLOOKUP(Table3[[#This Row],[Document ID]],Table1[],3,FALSE)</f>
        <v>Marshall Islands</v>
      </c>
      <c r="D491" s="233" t="str">
        <f>VLOOKUP(Table3[[#This Row],[Document ID]],Table1[],5,FALSE)</f>
        <v>LTS</v>
      </c>
      <c r="E491" s="233" t="str">
        <f>VLOOKUP(Table3[[#This Row],[Document ID]],Table1[],7,FALSE)</f>
        <v>LTS</v>
      </c>
      <c r="F491" s="233" t="str">
        <f>VLOOKUP(Table3[[#This Row],[Document ID]],Table1[],8,FALSE)</f>
        <v>LTS 1.0</v>
      </c>
      <c r="G491" s="233" t="str">
        <f>VLOOKUP(Table3[[#This Row],[Document ID]],Table1[],10,FALSE)</f>
        <v>Active</v>
      </c>
      <c r="H491" s="216" t="s">
        <v>1089</v>
      </c>
      <c r="I491" s="216" t="s">
        <v>1089</v>
      </c>
      <c r="J491" s="43" t="s">
        <v>1090</v>
      </c>
      <c r="K491" s="28" t="s">
        <v>1153</v>
      </c>
      <c r="L491" s="42" t="s">
        <v>1099</v>
      </c>
      <c r="M491" s="209">
        <v>2025</v>
      </c>
      <c r="N491" s="44" t="s">
        <v>1608</v>
      </c>
      <c r="O491" s="221">
        <v>2</v>
      </c>
      <c r="P491" s="238" t="str">
        <f>VLOOKUP(_xlfn.CONCAT(Table3[[#This Row],[Target area]],Table3[[#This Row],[GHG target?]],Table3[[#This Row],[Conditionality]]),'Drop down'!$E$81:$F$101,2,FALSE)</f>
        <v>T_Economy_Unc</v>
      </c>
      <c r="Q491" s="239" t="str">
        <f>VLOOKUP(Table3[[#This Row],[Target type]],Table418[[Value name]:[Value idenifyer]],2,FALSE)</f>
        <v>T_BYE</v>
      </c>
      <c r="S491" s="233" t="s">
        <v>1101</v>
      </c>
      <c r="T491" s="234" t="s">
        <v>1113</v>
      </c>
      <c r="V491" s="233" t="str">
        <f>VLOOKUP(Table3[[#This Row],[Country Code]],Table29[],3,FALSE)</f>
        <v>Non-Annex I</v>
      </c>
      <c r="W491" s="233" t="str">
        <f>VLOOKUP(Table3[[#This Row],[Country Code]],Table29[],4,FALSE)</f>
        <v>Oceania</v>
      </c>
      <c r="X491" s="233" t="str">
        <f>VLOOKUP(Table3[[#This Row],[Country Code]],Table29[],5,FALSE)</f>
        <v>Middle-income</v>
      </c>
      <c r="Y491" s="233" t="str">
        <f>VLOOKUP(Table3[[#This Row],[Country Code]],Table29[],6,FALSE)</f>
        <v>no</v>
      </c>
      <c r="Z491" s="233" t="str">
        <f>VLOOKUP(Table3[[#This Row],[Country Code]],Table29[],7,FALSE)</f>
        <v>no</v>
      </c>
      <c r="AA491" s="233" t="str">
        <f>VLOOKUP(Table3[[#This Row],[Country Code]],Table29[],8,FALSE)</f>
        <v>non-OECD</v>
      </c>
      <c r="AB491" s="233" t="str">
        <f>VLOOKUP(Table3[[#This Row],[Country Code]],Table29[],9,FALSE)</f>
        <v>no</v>
      </c>
      <c r="AC491" s="233" t="str">
        <f>VLOOKUP(Table3[[#This Row],[Country Code]],Table29[],10,FALSE)</f>
        <v>no</v>
      </c>
      <c r="AD491" s="235">
        <f>VLOOKUP(Table3[[#This Row],[Country Code]],Table29[],23,FALSE)</f>
        <v>0</v>
      </c>
      <c r="AE491" s="235">
        <f>VLOOKUP(Table3[[#This Row],[Country Code]],Table29[],24,FALSE)</f>
        <v>0</v>
      </c>
      <c r="AF491" s="43"/>
    </row>
    <row r="492" spans="1:32" x14ac:dyDescent="0.25">
      <c r="A492" s="360">
        <v>17657</v>
      </c>
      <c r="B492" s="233" t="str">
        <f>VLOOKUP(Table3[[#This Row],[Document ID]],Table1[],2,FALSE)</f>
        <v>MHL</v>
      </c>
      <c r="C492" s="233" t="str">
        <f>VLOOKUP(Table3[[#This Row],[Document ID]],Table1[],3,FALSE)</f>
        <v>Marshall Islands</v>
      </c>
      <c r="D492" s="233" t="str">
        <f>VLOOKUP(Table3[[#This Row],[Document ID]],Table1[],5,FALSE)</f>
        <v>LTS</v>
      </c>
      <c r="E492" s="233" t="str">
        <f>VLOOKUP(Table3[[#This Row],[Document ID]],Table1[],7,FALSE)</f>
        <v>LTS</v>
      </c>
      <c r="F492" s="233" t="str">
        <f>VLOOKUP(Table3[[#This Row],[Document ID]],Table1[],8,FALSE)</f>
        <v>LTS 1.0</v>
      </c>
      <c r="G492" s="233" t="str">
        <f>VLOOKUP(Table3[[#This Row],[Document ID]],Table1[],10,FALSE)</f>
        <v>Active</v>
      </c>
      <c r="H492" s="216" t="s">
        <v>1089</v>
      </c>
      <c r="I492" s="216" t="s">
        <v>1089</v>
      </c>
      <c r="J492" s="43" t="s">
        <v>1090</v>
      </c>
      <c r="K492" s="28" t="s">
        <v>1153</v>
      </c>
      <c r="L492" s="42" t="s">
        <v>1099</v>
      </c>
      <c r="M492" s="209">
        <v>2030</v>
      </c>
      <c r="N492" s="44" t="s">
        <v>1609</v>
      </c>
      <c r="O492" s="221">
        <v>2</v>
      </c>
      <c r="P492" s="238" t="str">
        <f>VLOOKUP(_xlfn.CONCAT(Table3[[#This Row],[Target area]],Table3[[#This Row],[GHG target?]],Table3[[#This Row],[Conditionality]]),'Drop down'!$E$81:$F$101,2,FALSE)</f>
        <v>T_Economy_Unc</v>
      </c>
      <c r="Q492" s="239" t="str">
        <f>VLOOKUP(Table3[[#This Row],[Target type]],Table418[[Value name]:[Value idenifyer]],2,FALSE)</f>
        <v>T_BYE</v>
      </c>
      <c r="S492" s="233" t="s">
        <v>1101</v>
      </c>
      <c r="T492" s="234" t="s">
        <v>1113</v>
      </c>
      <c r="V492" s="233" t="str">
        <f>VLOOKUP(Table3[[#This Row],[Country Code]],Table29[],3,FALSE)</f>
        <v>Non-Annex I</v>
      </c>
      <c r="W492" s="233" t="str">
        <f>VLOOKUP(Table3[[#This Row],[Country Code]],Table29[],4,FALSE)</f>
        <v>Oceania</v>
      </c>
      <c r="X492" s="233" t="str">
        <f>VLOOKUP(Table3[[#This Row],[Country Code]],Table29[],5,FALSE)</f>
        <v>Middle-income</v>
      </c>
      <c r="Y492" s="233" t="str">
        <f>VLOOKUP(Table3[[#This Row],[Country Code]],Table29[],6,FALSE)</f>
        <v>no</v>
      </c>
      <c r="Z492" s="233" t="str">
        <f>VLOOKUP(Table3[[#This Row],[Country Code]],Table29[],7,FALSE)</f>
        <v>no</v>
      </c>
      <c r="AA492" s="233" t="str">
        <f>VLOOKUP(Table3[[#This Row],[Country Code]],Table29[],8,FALSE)</f>
        <v>non-OECD</v>
      </c>
      <c r="AB492" s="233" t="str">
        <f>VLOOKUP(Table3[[#This Row],[Country Code]],Table29[],9,FALSE)</f>
        <v>no</v>
      </c>
      <c r="AC492" s="233" t="str">
        <f>VLOOKUP(Table3[[#This Row],[Country Code]],Table29[],10,FALSE)</f>
        <v>no</v>
      </c>
      <c r="AD492" s="235">
        <f>VLOOKUP(Table3[[#This Row],[Country Code]],Table29[],23,FALSE)</f>
        <v>0</v>
      </c>
      <c r="AE492" s="235">
        <f>VLOOKUP(Table3[[#This Row],[Country Code]],Table29[],24,FALSE)</f>
        <v>0</v>
      </c>
      <c r="AF492" s="43"/>
    </row>
    <row r="493" spans="1:32" x14ac:dyDescent="0.25">
      <c r="A493" s="360">
        <v>17657</v>
      </c>
      <c r="B493" s="233" t="str">
        <f>VLOOKUP(Table3[[#This Row],[Document ID]],Table1[],2,FALSE)</f>
        <v>MHL</v>
      </c>
      <c r="C493" s="233" t="str">
        <f>VLOOKUP(Table3[[#This Row],[Document ID]],Table1[],3,FALSE)</f>
        <v>Marshall Islands</v>
      </c>
      <c r="D493" s="233" t="str">
        <f>VLOOKUP(Table3[[#This Row],[Document ID]],Table1[],5,FALSE)</f>
        <v>LTS</v>
      </c>
      <c r="E493" s="233" t="str">
        <f>VLOOKUP(Table3[[#This Row],[Document ID]],Table1[],7,FALSE)</f>
        <v>LTS</v>
      </c>
      <c r="F493" s="233" t="str">
        <f>VLOOKUP(Table3[[#This Row],[Document ID]],Table1[],8,FALSE)</f>
        <v>LTS 1.0</v>
      </c>
      <c r="G493" s="233" t="str">
        <f>VLOOKUP(Table3[[#This Row],[Document ID]],Table1[],10,FALSE)</f>
        <v>Active</v>
      </c>
      <c r="H493" s="216" t="s">
        <v>1089</v>
      </c>
      <c r="I493" s="216" t="s">
        <v>1089</v>
      </c>
      <c r="J493" s="43" t="s">
        <v>1090</v>
      </c>
      <c r="K493" s="28" t="s">
        <v>1153</v>
      </c>
      <c r="L493" s="42" t="s">
        <v>1099</v>
      </c>
      <c r="M493" s="209">
        <v>2035</v>
      </c>
      <c r="N493" s="44" t="s">
        <v>1610</v>
      </c>
      <c r="O493" s="221">
        <v>2</v>
      </c>
      <c r="P493" s="238" t="str">
        <f>VLOOKUP(_xlfn.CONCAT(Table3[[#This Row],[Target area]],Table3[[#This Row],[GHG target?]],Table3[[#This Row],[Conditionality]]),'Drop down'!$E$81:$F$101,2,FALSE)</f>
        <v>T_Economy_Unc</v>
      </c>
      <c r="Q493" s="239" t="str">
        <f>VLOOKUP(Table3[[#This Row],[Target type]],Table418[[Value name]:[Value idenifyer]],2,FALSE)</f>
        <v>T_BYE</v>
      </c>
      <c r="S493" s="233" t="s">
        <v>1101</v>
      </c>
      <c r="T493" s="234" t="s">
        <v>1113</v>
      </c>
      <c r="V493" s="233" t="str">
        <f>VLOOKUP(Table3[[#This Row],[Country Code]],Table29[],3,FALSE)</f>
        <v>Non-Annex I</v>
      </c>
      <c r="W493" s="233" t="str">
        <f>VLOOKUP(Table3[[#This Row],[Country Code]],Table29[],4,FALSE)</f>
        <v>Oceania</v>
      </c>
      <c r="X493" s="233" t="str">
        <f>VLOOKUP(Table3[[#This Row],[Country Code]],Table29[],5,FALSE)</f>
        <v>Middle-income</v>
      </c>
      <c r="Y493" s="233" t="str">
        <f>VLOOKUP(Table3[[#This Row],[Country Code]],Table29[],6,FALSE)</f>
        <v>no</v>
      </c>
      <c r="Z493" s="233" t="str">
        <f>VLOOKUP(Table3[[#This Row],[Country Code]],Table29[],7,FALSE)</f>
        <v>no</v>
      </c>
      <c r="AA493" s="233" t="str">
        <f>VLOOKUP(Table3[[#This Row],[Country Code]],Table29[],8,FALSE)</f>
        <v>non-OECD</v>
      </c>
      <c r="AB493" s="233" t="str">
        <f>VLOOKUP(Table3[[#This Row],[Country Code]],Table29[],9,FALSE)</f>
        <v>no</v>
      </c>
      <c r="AC493" s="233" t="str">
        <f>VLOOKUP(Table3[[#This Row],[Country Code]],Table29[],10,FALSE)</f>
        <v>no</v>
      </c>
      <c r="AD493" s="235">
        <f>VLOOKUP(Table3[[#This Row],[Country Code]],Table29[],23,FALSE)</f>
        <v>0</v>
      </c>
      <c r="AE493" s="235">
        <f>VLOOKUP(Table3[[#This Row],[Country Code]],Table29[],24,FALSE)</f>
        <v>0</v>
      </c>
      <c r="AF493" s="43"/>
    </row>
    <row r="494" spans="1:32" x14ac:dyDescent="0.25">
      <c r="A494" s="360">
        <v>17657</v>
      </c>
      <c r="B494" s="233" t="str">
        <f>VLOOKUP(Table3[[#This Row],[Document ID]],Table1[],2,FALSE)</f>
        <v>MHL</v>
      </c>
      <c r="C494" s="233" t="str">
        <f>VLOOKUP(Table3[[#This Row],[Document ID]],Table1[],3,FALSE)</f>
        <v>Marshall Islands</v>
      </c>
      <c r="D494" s="233" t="str">
        <f>VLOOKUP(Table3[[#This Row],[Document ID]],Table1[],5,FALSE)</f>
        <v>LTS</v>
      </c>
      <c r="E494" s="233" t="str">
        <f>VLOOKUP(Table3[[#This Row],[Document ID]],Table1[],7,FALSE)</f>
        <v>LTS</v>
      </c>
      <c r="F494" s="233" t="str">
        <f>VLOOKUP(Table3[[#This Row],[Document ID]],Table1[],8,FALSE)</f>
        <v>LTS 1.0</v>
      </c>
      <c r="G494" s="233" t="str">
        <f>VLOOKUP(Table3[[#This Row],[Document ID]],Table1[],10,FALSE)</f>
        <v>Active</v>
      </c>
      <c r="H494" s="216" t="s">
        <v>1089</v>
      </c>
      <c r="I494" s="216" t="s">
        <v>1089</v>
      </c>
      <c r="J494" s="43" t="s">
        <v>1090</v>
      </c>
      <c r="K494" s="28" t="s">
        <v>1153</v>
      </c>
      <c r="L494" s="42" t="s">
        <v>1099</v>
      </c>
      <c r="M494" s="209">
        <v>2050</v>
      </c>
      <c r="N494" s="44" t="s">
        <v>1611</v>
      </c>
      <c r="O494" s="221">
        <v>2</v>
      </c>
      <c r="P494" s="238" t="str">
        <f>VLOOKUP(_xlfn.CONCAT(Table3[[#This Row],[Target area]],Table3[[#This Row],[GHG target?]],Table3[[#This Row],[Conditionality]]),'Drop down'!$E$81:$F$101,2,FALSE)</f>
        <v>T_Economy_Unc</v>
      </c>
      <c r="Q494" s="239" t="str">
        <f>VLOOKUP(Table3[[#This Row],[Target type]],Table418[[Value name]:[Value idenifyer]],2,FALSE)</f>
        <v>T_BYE</v>
      </c>
      <c r="S494" s="233" t="s">
        <v>1101</v>
      </c>
      <c r="T494" s="234" t="s">
        <v>1113</v>
      </c>
      <c r="V494" s="233" t="str">
        <f>VLOOKUP(Table3[[#This Row],[Country Code]],Table29[],3,FALSE)</f>
        <v>Non-Annex I</v>
      </c>
      <c r="W494" s="233" t="str">
        <f>VLOOKUP(Table3[[#This Row],[Country Code]],Table29[],4,FALSE)</f>
        <v>Oceania</v>
      </c>
      <c r="X494" s="233" t="str">
        <f>VLOOKUP(Table3[[#This Row],[Country Code]],Table29[],5,FALSE)</f>
        <v>Middle-income</v>
      </c>
      <c r="Y494" s="233" t="str">
        <f>VLOOKUP(Table3[[#This Row],[Country Code]],Table29[],6,FALSE)</f>
        <v>no</v>
      </c>
      <c r="Z494" s="233" t="str">
        <f>VLOOKUP(Table3[[#This Row],[Country Code]],Table29[],7,FALSE)</f>
        <v>no</v>
      </c>
      <c r="AA494" s="233" t="str">
        <f>VLOOKUP(Table3[[#This Row],[Country Code]],Table29[],8,FALSE)</f>
        <v>non-OECD</v>
      </c>
      <c r="AB494" s="233" t="str">
        <f>VLOOKUP(Table3[[#This Row],[Country Code]],Table29[],9,FALSE)</f>
        <v>no</v>
      </c>
      <c r="AC494" s="233" t="str">
        <f>VLOOKUP(Table3[[#This Row],[Country Code]],Table29[],10,FALSE)</f>
        <v>no</v>
      </c>
      <c r="AD494" s="235">
        <f>VLOOKUP(Table3[[#This Row],[Country Code]],Table29[],23,FALSE)</f>
        <v>0</v>
      </c>
      <c r="AE494" s="235">
        <f>VLOOKUP(Table3[[#This Row],[Country Code]],Table29[],24,FALSE)</f>
        <v>0</v>
      </c>
      <c r="AF494" s="43"/>
    </row>
    <row r="495" spans="1:32" ht="90" x14ac:dyDescent="0.25">
      <c r="A495" s="360">
        <v>17607</v>
      </c>
      <c r="B495" s="233" t="str">
        <f>VLOOKUP(Table3[[#This Row],[Document ID]],Table1[],2,FALSE)</f>
        <v>GRD</v>
      </c>
      <c r="C495" s="233" t="str">
        <f>VLOOKUP(Table3[[#This Row],[Document ID]],Table1[],3,FALSE)</f>
        <v>Grenada</v>
      </c>
      <c r="D495" s="233" t="str">
        <f>VLOOKUP(Table3[[#This Row],[Document ID]],Table1[],5,FALSE)</f>
        <v>NDC</v>
      </c>
      <c r="E495" s="233" t="str">
        <f>VLOOKUP(Table3[[#This Row],[Document ID]],Table1[],7,FALSE)</f>
        <v>Second NDC</v>
      </c>
      <c r="F495" s="233" t="str">
        <f>VLOOKUP(Table3[[#This Row],[Document ID]],Table1[],8,FALSE)</f>
        <v>NDC 2.0</v>
      </c>
      <c r="G495" s="233" t="str">
        <f>VLOOKUP(Table3[[#This Row],[Document ID]],Table1[],10,FALSE)</f>
        <v>Active</v>
      </c>
      <c r="H495" s="42" t="s">
        <v>1095</v>
      </c>
      <c r="I495" s="43" t="s">
        <v>1115</v>
      </c>
      <c r="J495" s="43" t="s">
        <v>1090</v>
      </c>
      <c r="K495" s="28" t="s">
        <v>1153</v>
      </c>
      <c r="L495" s="43" t="s">
        <v>1092</v>
      </c>
      <c r="M495" s="209">
        <v>2025</v>
      </c>
      <c r="N495" s="223" t="s">
        <v>1612</v>
      </c>
      <c r="O495" s="221">
        <v>14</v>
      </c>
      <c r="P495" s="238" t="str">
        <f>VLOOKUP(_xlfn.CONCAT(Table3[[#This Row],[Target area]],Table3[[#This Row],[GHG target?]],Table3[[#This Row],[Conditionality]]),'Drop down'!$E$81:$F$101,2,FALSE)</f>
        <v>T_Transport_C</v>
      </c>
      <c r="Q495" s="239" t="str">
        <f>VLOOKUP(Table3[[#This Row],[Target type]],Table418[[Value name]:[Value idenifyer]],2,FALSE)</f>
        <v>T_BYE</v>
      </c>
      <c r="R495" s="233" t="s">
        <v>539</v>
      </c>
      <c r="S495" s="233" t="s">
        <v>1112</v>
      </c>
      <c r="V495" s="233" t="str">
        <f>VLOOKUP(Table3[[#This Row],[Country Code]],Table29[],3,FALSE)</f>
        <v>Non-Annex I</v>
      </c>
      <c r="W495" s="233" t="str">
        <f>VLOOKUP(Table3[[#This Row],[Country Code]],Table29[],4,FALSE)</f>
        <v>Latin America and the Caribbean</v>
      </c>
      <c r="X495" s="233" t="str">
        <f>VLOOKUP(Table3[[#This Row],[Country Code]],Table29[],5,FALSE)</f>
        <v>Middle-income</v>
      </c>
      <c r="Y495" s="233" t="str">
        <f>VLOOKUP(Table3[[#This Row],[Country Code]],Table29[],6,FALSE)</f>
        <v>no</v>
      </c>
      <c r="Z495" s="233" t="str">
        <f>VLOOKUP(Table3[[#This Row],[Country Code]],Table29[],7,FALSE)</f>
        <v>no</v>
      </c>
      <c r="AA495" s="233" t="str">
        <f>VLOOKUP(Table3[[#This Row],[Country Code]],Table29[],8,FALSE)</f>
        <v>non-OECD</v>
      </c>
      <c r="AB495" s="233" t="str">
        <f>VLOOKUP(Table3[[#This Row],[Country Code]],Table29[],9,FALSE)</f>
        <v>no</v>
      </c>
      <c r="AC495" s="233" t="str">
        <f>VLOOKUP(Table3[[#This Row],[Country Code]],Table29[],10,FALSE)</f>
        <v>no</v>
      </c>
      <c r="AD495" s="235">
        <f>VLOOKUP(Table3[[#This Row],[Country Code]],Table29[],23,FALSE)</f>
        <v>0.20040725685748001</v>
      </c>
      <c r="AE495" s="235">
        <f>VLOOKUP(Table3[[#This Row],[Country Code]],Table29[],24,FALSE)</f>
        <v>5.0827063801383333E-2</v>
      </c>
      <c r="AF495" s="43"/>
    </row>
    <row r="496" spans="1:32" ht="45" x14ac:dyDescent="0.25">
      <c r="A496" s="360">
        <v>26802</v>
      </c>
      <c r="B496" s="233" t="str">
        <f>VLOOKUP(Table3[[#This Row],[Document ID]],Table1[],2,FALSE)</f>
        <v>GTM</v>
      </c>
      <c r="C496" s="233" t="str">
        <f>VLOOKUP(Table3[[#This Row],[Document ID]],Table1[],3,FALSE)</f>
        <v>Guatemala</v>
      </c>
      <c r="D496" s="233" t="str">
        <f>VLOOKUP(Table3[[#This Row],[Document ID]],Table1[],5,FALSE)</f>
        <v>NDC</v>
      </c>
      <c r="E496" s="233" t="str">
        <f>VLOOKUP(Table3[[#This Row],[Document ID]],Table1[],7,FALSE)</f>
        <v>First NDC updated</v>
      </c>
      <c r="F496" s="233" t="str">
        <f>VLOOKUP(Table3[[#This Row],[Document ID]],Table1[],8,FALSE)</f>
        <v>NDC 1.2</v>
      </c>
      <c r="G496" s="233" t="str">
        <f>VLOOKUP(Table3[[#This Row],[Document ID]],Table1[],10,FALSE)</f>
        <v>Active</v>
      </c>
      <c r="H496" s="42" t="s">
        <v>1095</v>
      </c>
      <c r="I496" s="42" t="s">
        <v>1096</v>
      </c>
      <c r="J496" s="42" t="s">
        <v>1097</v>
      </c>
      <c r="K496" s="28" t="s">
        <v>1104</v>
      </c>
      <c r="L496" s="42" t="s">
        <v>1099</v>
      </c>
      <c r="M496" s="209">
        <v>2032</v>
      </c>
      <c r="N496" s="44" t="s">
        <v>1613</v>
      </c>
      <c r="O496" s="258">
        <v>72</v>
      </c>
      <c r="P496" s="238" t="str">
        <f>VLOOKUP(_xlfn.CONCAT(Table3[[#This Row],[Target area]],Table3[[#This Row],[GHG target?]],Table3[[#This Row],[Conditionality]]),'Drop down'!$E$81:$F$101,2,FALSE)</f>
        <v>T_Transport_O_Unc</v>
      </c>
      <c r="Q496" s="239" t="str">
        <f>VLOOKUP(Table3[[#This Row],[Target type]],Table418[[Value name]:[Value idenifyer]],2,FALSE)</f>
        <v>T_O_ZERO</v>
      </c>
      <c r="S496" s="233" t="s">
        <v>1101</v>
      </c>
      <c r="V496" s="233" t="str">
        <f>VLOOKUP(Table3[[#This Row],[Country Code]],Table29[],3,FALSE)</f>
        <v>Non-Annex I</v>
      </c>
      <c r="W496" s="233" t="str">
        <f>VLOOKUP(Table3[[#This Row],[Country Code]],Table29[],4,FALSE)</f>
        <v>Latin America and the Caribbean</v>
      </c>
      <c r="X496" s="233" t="str">
        <f>VLOOKUP(Table3[[#This Row],[Country Code]],Table29[],5,FALSE)</f>
        <v>Middle-income</v>
      </c>
      <c r="Y496" s="233" t="str">
        <f>VLOOKUP(Table3[[#This Row],[Country Code]],Table29[],6,FALSE)</f>
        <v>no</v>
      </c>
      <c r="Z496" s="233" t="str">
        <f>VLOOKUP(Table3[[#This Row],[Country Code]],Table29[],7,FALSE)</f>
        <v>no</v>
      </c>
      <c r="AA496" s="233" t="str">
        <f>VLOOKUP(Table3[[#This Row],[Country Code]],Table29[],8,FALSE)</f>
        <v>non-OECD</v>
      </c>
      <c r="AB496" s="233" t="str">
        <f>VLOOKUP(Table3[[#This Row],[Country Code]],Table29[],9,FALSE)</f>
        <v>no</v>
      </c>
      <c r="AC496" s="233" t="str">
        <f>VLOOKUP(Table3[[#This Row],[Country Code]],Table29[],10,FALSE)</f>
        <v>no</v>
      </c>
      <c r="AD496" s="235">
        <f>VLOOKUP(Table3[[#This Row],[Country Code]],Table29[],23,FALSE)</f>
        <v>43.981074467992002</v>
      </c>
      <c r="AE496" s="235">
        <f>VLOOKUP(Table3[[#This Row],[Country Code]],Table29[],24,FALSE)</f>
        <v>11.70609674588653</v>
      </c>
      <c r="AF496" s="43"/>
    </row>
    <row r="497" spans="1:32" x14ac:dyDescent="0.25">
      <c r="A497" s="360">
        <v>17655</v>
      </c>
      <c r="B497" s="233" t="str">
        <f>VLOOKUP(Table3[[#This Row],[Document ID]],Table1[],2,FALSE)</f>
        <v>MHL</v>
      </c>
      <c r="C497" s="233" t="str">
        <f>VLOOKUP(Table3[[#This Row],[Document ID]],Table1[],3,FALSE)</f>
        <v>Marshall Islands</v>
      </c>
      <c r="D497" s="233" t="str">
        <f>VLOOKUP(Table3[[#This Row],[Document ID]],Table1[],5,FALSE)</f>
        <v>NDC</v>
      </c>
      <c r="E497" s="233" t="str">
        <f>VLOOKUP(Table3[[#This Row],[Document ID]],Table1[],7,FALSE)</f>
        <v>First NDC</v>
      </c>
      <c r="F497" s="233" t="str">
        <f>VLOOKUP(Table3[[#This Row],[Document ID]],Table1[],8,FALSE)</f>
        <v>NDC 1.0</v>
      </c>
      <c r="G497" s="233" t="str">
        <f>VLOOKUP(Table3[[#This Row],[Document ID]],Table1[],10,FALSE)</f>
        <v>Archived</v>
      </c>
      <c r="H497" s="216" t="s">
        <v>1089</v>
      </c>
      <c r="I497" s="216" t="s">
        <v>1089</v>
      </c>
      <c r="J497" s="43" t="s">
        <v>1090</v>
      </c>
      <c r="K497" s="28" t="s">
        <v>1153</v>
      </c>
      <c r="L497" s="42" t="s">
        <v>1099</v>
      </c>
      <c r="M497" s="209">
        <v>2025</v>
      </c>
      <c r="N497" s="176" t="s">
        <v>1614</v>
      </c>
      <c r="O497" s="258" t="s">
        <v>1094</v>
      </c>
      <c r="P497" s="238" t="str">
        <f>VLOOKUP(_xlfn.CONCAT(Table3[[#This Row],[Target area]],Table3[[#This Row],[GHG target?]],Table3[[#This Row],[Conditionality]]),'Drop down'!$E$81:$F$101,2,FALSE)</f>
        <v>T_Economy_Unc</v>
      </c>
      <c r="Q497" s="239" t="str">
        <f>VLOOKUP(Table3[[#This Row],[Target type]],Table418[[Value name]:[Value idenifyer]],2,FALSE)</f>
        <v>T_BYE</v>
      </c>
      <c r="S497" s="233" t="s">
        <v>1112</v>
      </c>
      <c r="T497" s="234" t="s">
        <v>1113</v>
      </c>
      <c r="V497" s="233" t="str">
        <f>VLOOKUP(Table3[[#This Row],[Country Code]],Table29[],3,FALSE)</f>
        <v>Non-Annex I</v>
      </c>
      <c r="W497" s="233" t="str">
        <f>VLOOKUP(Table3[[#This Row],[Country Code]],Table29[],4,FALSE)</f>
        <v>Oceania</v>
      </c>
      <c r="X497" s="233" t="str">
        <f>VLOOKUP(Table3[[#This Row],[Country Code]],Table29[],5,FALSE)</f>
        <v>Middle-income</v>
      </c>
      <c r="Y497" s="233" t="str">
        <f>VLOOKUP(Table3[[#This Row],[Country Code]],Table29[],6,FALSE)</f>
        <v>no</v>
      </c>
      <c r="Z497" s="233" t="str">
        <f>VLOOKUP(Table3[[#This Row],[Country Code]],Table29[],7,FALSE)</f>
        <v>no</v>
      </c>
      <c r="AA497" s="233" t="str">
        <f>VLOOKUP(Table3[[#This Row],[Country Code]],Table29[],8,FALSE)</f>
        <v>non-OECD</v>
      </c>
      <c r="AB497" s="233" t="str">
        <f>VLOOKUP(Table3[[#This Row],[Country Code]],Table29[],9,FALSE)</f>
        <v>no</v>
      </c>
      <c r="AC497" s="233" t="str">
        <f>VLOOKUP(Table3[[#This Row],[Country Code]],Table29[],10,FALSE)</f>
        <v>no</v>
      </c>
      <c r="AD497" s="235">
        <f>VLOOKUP(Table3[[#This Row],[Country Code]],Table29[],23,FALSE)</f>
        <v>0</v>
      </c>
      <c r="AE497" s="235">
        <f>VLOOKUP(Table3[[#This Row],[Country Code]],Table29[],24,FALSE)</f>
        <v>0</v>
      </c>
      <c r="AF497" s="43"/>
    </row>
    <row r="498" spans="1:32" ht="45" x14ac:dyDescent="0.25">
      <c r="A498" s="360">
        <v>23385</v>
      </c>
      <c r="B498" s="233" t="str">
        <f>VLOOKUP(Table3[[#This Row],[Document ID]],Table1[],2,FALSE)</f>
        <v>MRT</v>
      </c>
      <c r="C498" s="233" t="str">
        <f>VLOOKUP(Table3[[#This Row],[Document ID]],Table1[],3,FALSE)</f>
        <v>Mauritania</v>
      </c>
      <c r="D498" s="233" t="str">
        <f>VLOOKUP(Table3[[#This Row],[Document ID]],Table1[],5,FALSE)</f>
        <v>NDC</v>
      </c>
      <c r="E498" s="233" t="str">
        <f>VLOOKUP(Table3[[#This Row],[Document ID]],Table1[],7,FALSE)</f>
        <v>First NDC updated</v>
      </c>
      <c r="F498" s="233" t="str">
        <f>VLOOKUP(Table3[[#This Row],[Document ID]],Table1[],8,FALSE)</f>
        <v>NDC 1.1</v>
      </c>
      <c r="G498" s="233" t="str">
        <f>VLOOKUP(Table3[[#This Row],[Document ID]],Table1[],10,FALSE)</f>
        <v>Active</v>
      </c>
      <c r="H498" s="216" t="s">
        <v>1089</v>
      </c>
      <c r="I498" s="216" t="s">
        <v>1089</v>
      </c>
      <c r="J498" s="43" t="s">
        <v>1090</v>
      </c>
      <c r="K498" s="28" t="s">
        <v>1091</v>
      </c>
      <c r="L498" s="42" t="s">
        <v>1099</v>
      </c>
      <c r="M498" s="209">
        <v>2030</v>
      </c>
      <c r="N498" s="209" t="s">
        <v>1615</v>
      </c>
      <c r="O498" s="257">
        <v>7</v>
      </c>
      <c r="P498" s="238" t="str">
        <f>VLOOKUP(_xlfn.CONCAT(Table3[[#This Row],[Target area]],Table3[[#This Row],[GHG target?]],Table3[[#This Row],[Conditionality]]),'Drop down'!$E$81:$F$101,2,FALSE)</f>
        <v>T_Economy_Unc</v>
      </c>
      <c r="Q498" s="239" t="str">
        <f>VLOOKUP(Table3[[#This Row],[Target type]],Table418[[Value name]:[Value idenifyer]],2,FALSE)</f>
        <v>T_BAU</v>
      </c>
      <c r="S498" s="233" t="s">
        <v>1112</v>
      </c>
      <c r="T498" s="234" t="s">
        <v>1113</v>
      </c>
      <c r="U498" s="240"/>
      <c r="V498" s="233" t="str">
        <f>VLOOKUP(Table3[[#This Row],[Country Code]],Table29[],3,FALSE)</f>
        <v>Non-Annex I</v>
      </c>
      <c r="W498" s="233" t="str">
        <f>VLOOKUP(Table3[[#This Row],[Country Code]],Table29[],4,FALSE)</f>
        <v>Africa</v>
      </c>
      <c r="X498" s="233" t="str">
        <f>VLOOKUP(Table3[[#This Row],[Country Code]],Table29[],5,FALSE)</f>
        <v>Middle-income</v>
      </c>
      <c r="Y498" s="233" t="str">
        <f>VLOOKUP(Table3[[#This Row],[Country Code]],Table29[],6,FALSE)</f>
        <v>no</v>
      </c>
      <c r="Z498" s="233" t="str">
        <f>VLOOKUP(Table3[[#This Row],[Country Code]],Table29[],7,FALSE)</f>
        <v>no</v>
      </c>
      <c r="AA498" s="233" t="str">
        <f>VLOOKUP(Table3[[#This Row],[Country Code]],Table29[],8,FALSE)</f>
        <v>non-OECD</v>
      </c>
      <c r="AB498" s="233" t="str">
        <f>VLOOKUP(Table3[[#This Row],[Country Code]],Table29[],9,FALSE)</f>
        <v>no</v>
      </c>
      <c r="AC498" s="233" t="str">
        <f>VLOOKUP(Table3[[#This Row],[Country Code]],Table29[],10,FALSE)</f>
        <v>no</v>
      </c>
      <c r="AD498" s="235">
        <f>VLOOKUP(Table3[[#This Row],[Country Code]],Table29[],23,FALSE)</f>
        <v>16.509274363264002</v>
      </c>
      <c r="AE498" s="235">
        <f>VLOOKUP(Table3[[#This Row],[Country Code]],Table29[],24,FALSE)</f>
        <v>2.480994947533218</v>
      </c>
      <c r="AF498" s="43"/>
    </row>
    <row r="499" spans="1:32" ht="30" x14ac:dyDescent="0.25">
      <c r="A499" s="360">
        <v>23385</v>
      </c>
      <c r="B499" s="233" t="str">
        <f>VLOOKUP(Table3[[#This Row],[Document ID]],Table1[],2,FALSE)</f>
        <v>MRT</v>
      </c>
      <c r="C499" s="233" t="str">
        <f>VLOOKUP(Table3[[#This Row],[Document ID]],Table1[],3,FALSE)</f>
        <v>Mauritania</v>
      </c>
      <c r="D499" s="233" t="str">
        <f>VLOOKUP(Table3[[#This Row],[Document ID]],Table1[],5,FALSE)</f>
        <v>NDC</v>
      </c>
      <c r="E499" s="233" t="str">
        <f>VLOOKUP(Table3[[#This Row],[Document ID]],Table1[],7,FALSE)</f>
        <v>First NDC updated</v>
      </c>
      <c r="F499" s="233" t="str">
        <f>VLOOKUP(Table3[[#This Row],[Document ID]],Table1[],8,FALSE)</f>
        <v>NDC 1.1</v>
      </c>
      <c r="G499" s="233" t="str">
        <f>VLOOKUP(Table3[[#This Row],[Document ID]],Table1[],10,FALSE)</f>
        <v>Active</v>
      </c>
      <c r="H499" s="216" t="s">
        <v>1089</v>
      </c>
      <c r="I499" s="216" t="s">
        <v>1089</v>
      </c>
      <c r="J499" s="43" t="s">
        <v>1090</v>
      </c>
      <c r="K499" s="28" t="s">
        <v>1091</v>
      </c>
      <c r="L499" s="216" t="s">
        <v>1092</v>
      </c>
      <c r="M499" s="209">
        <v>2030</v>
      </c>
      <c r="N499" s="209" t="s">
        <v>1616</v>
      </c>
      <c r="O499" s="257">
        <v>7</v>
      </c>
      <c r="P499" s="238" t="str">
        <f>VLOOKUP(_xlfn.CONCAT(Table3[[#This Row],[Target area]],Table3[[#This Row],[GHG target?]],Table3[[#This Row],[Conditionality]]),'Drop down'!$E$81:$F$101,2,FALSE)</f>
        <v>T_Economy_C</v>
      </c>
      <c r="Q499" s="239" t="str">
        <f>VLOOKUP(Table3[[#This Row],[Target type]],Table418[[Value name]:[Value idenifyer]],2,FALSE)</f>
        <v>T_BAU</v>
      </c>
      <c r="S499" s="233" t="s">
        <v>1112</v>
      </c>
      <c r="T499" s="234" t="s">
        <v>1113</v>
      </c>
      <c r="U499" s="240"/>
      <c r="V499" s="233" t="str">
        <f>VLOOKUP(Table3[[#This Row],[Country Code]],Table29[],3,FALSE)</f>
        <v>Non-Annex I</v>
      </c>
      <c r="W499" s="233" t="str">
        <f>VLOOKUP(Table3[[#This Row],[Country Code]],Table29[],4,FALSE)</f>
        <v>Africa</v>
      </c>
      <c r="X499" s="233" t="str">
        <f>VLOOKUP(Table3[[#This Row],[Country Code]],Table29[],5,FALSE)</f>
        <v>Middle-income</v>
      </c>
      <c r="Y499" s="233" t="str">
        <f>VLOOKUP(Table3[[#This Row],[Country Code]],Table29[],6,FALSE)</f>
        <v>no</v>
      </c>
      <c r="Z499" s="233" t="str">
        <f>VLOOKUP(Table3[[#This Row],[Country Code]],Table29[],7,FALSE)</f>
        <v>no</v>
      </c>
      <c r="AA499" s="233" t="str">
        <f>VLOOKUP(Table3[[#This Row],[Country Code]],Table29[],8,FALSE)</f>
        <v>non-OECD</v>
      </c>
      <c r="AB499" s="233" t="str">
        <f>VLOOKUP(Table3[[#This Row],[Country Code]],Table29[],9,FALSE)</f>
        <v>no</v>
      </c>
      <c r="AC499" s="233" t="str">
        <f>VLOOKUP(Table3[[#This Row],[Country Code]],Table29[],10,FALSE)</f>
        <v>no</v>
      </c>
      <c r="AD499" s="235">
        <f>VLOOKUP(Table3[[#This Row],[Country Code]],Table29[],23,FALSE)</f>
        <v>16.509274363264002</v>
      </c>
      <c r="AE499" s="235">
        <f>VLOOKUP(Table3[[#This Row],[Country Code]],Table29[],24,FALSE)</f>
        <v>2.480994947533218</v>
      </c>
      <c r="AF499" s="43"/>
    </row>
    <row r="500" spans="1:32" ht="30" x14ac:dyDescent="0.25">
      <c r="A500" s="360">
        <v>26802</v>
      </c>
      <c r="B500" s="233" t="str">
        <f>VLOOKUP(Table3[[#This Row],[Document ID]],Table1[],2,FALSE)</f>
        <v>GTM</v>
      </c>
      <c r="C500" s="233" t="str">
        <f>VLOOKUP(Table3[[#This Row],[Document ID]],Table1[],3,FALSE)</f>
        <v>Guatemala</v>
      </c>
      <c r="D500" s="233" t="str">
        <f>VLOOKUP(Table3[[#This Row],[Document ID]],Table1[],5,FALSE)</f>
        <v>NDC</v>
      </c>
      <c r="E500" s="233" t="str">
        <f>VLOOKUP(Table3[[#This Row],[Document ID]],Table1[],7,FALSE)</f>
        <v>First NDC updated</v>
      </c>
      <c r="F500" s="233" t="str">
        <f>VLOOKUP(Table3[[#This Row],[Document ID]],Table1[],8,FALSE)</f>
        <v>NDC 1.2</v>
      </c>
      <c r="G500" s="233" t="str">
        <f>VLOOKUP(Table3[[#This Row],[Document ID]],Table1[],10,FALSE)</f>
        <v>Active</v>
      </c>
      <c r="H500" s="42" t="s">
        <v>1095</v>
      </c>
      <c r="I500" s="42" t="s">
        <v>1096</v>
      </c>
      <c r="J500" s="42" t="s">
        <v>1097</v>
      </c>
      <c r="K500" s="28" t="s">
        <v>1102</v>
      </c>
      <c r="L500" s="42" t="s">
        <v>1099</v>
      </c>
      <c r="M500" s="209">
        <v>2032</v>
      </c>
      <c r="N500" s="44" t="s">
        <v>1617</v>
      </c>
      <c r="O500" s="258">
        <v>72</v>
      </c>
      <c r="P500" s="238" t="str">
        <f>VLOOKUP(_xlfn.CONCAT(Table3[[#This Row],[Target area]],Table3[[#This Row],[GHG target?]],Table3[[#This Row],[Conditionality]]),'Drop down'!$E$81:$F$101,2,FALSE)</f>
        <v>T_Transport_O_Unc</v>
      </c>
      <c r="Q500" s="239" t="str">
        <f>VLOOKUP(Table3[[#This Row],[Target type]],Table418[[Value name]:[Value idenifyer]],2,FALSE)</f>
        <v>T_O_BIO</v>
      </c>
      <c r="S500" s="233" t="s">
        <v>1101</v>
      </c>
      <c r="V500" s="233" t="str">
        <f>VLOOKUP(Table3[[#This Row],[Country Code]],Table29[],3,FALSE)</f>
        <v>Non-Annex I</v>
      </c>
      <c r="W500" s="233" t="str">
        <f>VLOOKUP(Table3[[#This Row],[Country Code]],Table29[],4,FALSE)</f>
        <v>Latin America and the Caribbean</v>
      </c>
      <c r="X500" s="233" t="str">
        <f>VLOOKUP(Table3[[#This Row],[Country Code]],Table29[],5,FALSE)</f>
        <v>Middle-income</v>
      </c>
      <c r="Y500" s="233" t="str">
        <f>VLOOKUP(Table3[[#This Row],[Country Code]],Table29[],6,FALSE)</f>
        <v>no</v>
      </c>
      <c r="Z500" s="233" t="str">
        <f>VLOOKUP(Table3[[#This Row],[Country Code]],Table29[],7,FALSE)</f>
        <v>no</v>
      </c>
      <c r="AA500" s="233" t="str">
        <f>VLOOKUP(Table3[[#This Row],[Country Code]],Table29[],8,FALSE)</f>
        <v>non-OECD</v>
      </c>
      <c r="AB500" s="233" t="str">
        <f>VLOOKUP(Table3[[#This Row],[Country Code]],Table29[],9,FALSE)</f>
        <v>no</v>
      </c>
      <c r="AC500" s="233" t="str">
        <f>VLOOKUP(Table3[[#This Row],[Country Code]],Table29[],10,FALSE)</f>
        <v>no</v>
      </c>
      <c r="AD500" s="235">
        <f>VLOOKUP(Table3[[#This Row],[Country Code]],Table29[],23,FALSE)</f>
        <v>43.981074467992002</v>
      </c>
      <c r="AE500" s="235">
        <f>VLOOKUP(Table3[[#This Row],[Country Code]],Table29[],24,FALSE)</f>
        <v>11.70609674588653</v>
      </c>
      <c r="AF500" s="43"/>
    </row>
    <row r="501" spans="1:32" ht="165" x14ac:dyDescent="0.25">
      <c r="A501" s="360">
        <v>20477</v>
      </c>
      <c r="B501" s="233" t="str">
        <f>VLOOKUP(Table3[[#This Row],[Document ID]],Table1[],2,FALSE)</f>
        <v>HND</v>
      </c>
      <c r="C501" s="233" t="str">
        <f>VLOOKUP(Table3[[#This Row],[Document ID]],Table1[],3,FALSE)</f>
        <v>Honduras</v>
      </c>
      <c r="D501" s="233" t="str">
        <f>VLOOKUP(Table3[[#This Row],[Document ID]],Table1[],5,FALSE)</f>
        <v>NDC</v>
      </c>
      <c r="E501" s="233" t="str">
        <f>VLOOKUP(Table3[[#This Row],[Document ID]],Table1[],7,FALSE)</f>
        <v>First NDC updated</v>
      </c>
      <c r="F501" s="233" t="str">
        <f>VLOOKUP(Table3[[#This Row],[Document ID]],Table1[],8,FALSE)</f>
        <v>NDC 1.1</v>
      </c>
      <c r="G501" s="233" t="str">
        <f>VLOOKUP(Table3[[#This Row],[Document ID]],Table1[],10,FALSE)</f>
        <v>Active</v>
      </c>
      <c r="H501" s="42" t="s">
        <v>1095</v>
      </c>
      <c r="I501" s="42" t="s">
        <v>1096</v>
      </c>
      <c r="J501" s="42" t="s">
        <v>1097</v>
      </c>
      <c r="K501" s="28" t="s">
        <v>1104</v>
      </c>
      <c r="L501" s="389" t="s">
        <v>1099</v>
      </c>
      <c r="M501" s="209">
        <v>2030</v>
      </c>
      <c r="N501" s="209" t="s">
        <v>1618</v>
      </c>
      <c r="O501" s="259">
        <v>5</v>
      </c>
      <c r="P501" s="238" t="str">
        <f>VLOOKUP(_xlfn.CONCAT(Table3[[#This Row],[Target area]],Table3[[#This Row],[GHG target?]],Table3[[#This Row],[Conditionality]]),'Drop down'!$E$81:$F$101,2,FALSE)</f>
        <v>T_Transport_O_Unc</v>
      </c>
      <c r="Q501" s="239" t="str">
        <f>VLOOKUP(Table3[[#This Row],[Target type]],Table418[[Value name]:[Value idenifyer]],2,FALSE)</f>
        <v>T_O_ZERO</v>
      </c>
      <c r="S501" s="233" t="s">
        <v>1101</v>
      </c>
      <c r="V501" s="233" t="str">
        <f>VLOOKUP(Table3[[#This Row],[Country Code]],Table29[],3,FALSE)</f>
        <v>Non-Annex I</v>
      </c>
      <c r="W501" s="233" t="str">
        <f>VLOOKUP(Table3[[#This Row],[Country Code]],Table29[],4,FALSE)</f>
        <v>Latin America and the Caribbean</v>
      </c>
      <c r="X501" s="233" t="str">
        <f>VLOOKUP(Table3[[#This Row],[Country Code]],Table29[],5,FALSE)</f>
        <v>Middle-income</v>
      </c>
      <c r="Y501" s="233" t="str">
        <f>VLOOKUP(Table3[[#This Row],[Country Code]],Table29[],6,FALSE)</f>
        <v>no</v>
      </c>
      <c r="Z501" s="233" t="str">
        <f>VLOOKUP(Table3[[#This Row],[Country Code]],Table29[],7,FALSE)</f>
        <v>no</v>
      </c>
      <c r="AA501" s="233" t="str">
        <f>VLOOKUP(Table3[[#This Row],[Country Code]],Table29[],8,FALSE)</f>
        <v>non-OECD</v>
      </c>
      <c r="AB501" s="233" t="str">
        <f>VLOOKUP(Table3[[#This Row],[Country Code]],Table29[],9,FALSE)</f>
        <v>no</v>
      </c>
      <c r="AC501" s="233" t="str">
        <f>VLOOKUP(Table3[[#This Row],[Country Code]],Table29[],10,FALSE)</f>
        <v>no</v>
      </c>
      <c r="AD501" s="235">
        <f>VLOOKUP(Table3[[#This Row],[Country Code]],Table29[],23,FALSE)</f>
        <v>22.920141542444</v>
      </c>
      <c r="AE501" s="235">
        <f>VLOOKUP(Table3[[#This Row],[Country Code]],Table29[],24,FALSE)</f>
        <v>5.0392120768310251</v>
      </c>
      <c r="AF501" s="43"/>
    </row>
    <row r="502" spans="1:32" x14ac:dyDescent="0.25">
      <c r="A502" s="360">
        <v>17658</v>
      </c>
      <c r="B502" s="233" t="str">
        <f>VLOOKUP(Table3[[#This Row],[Document ID]],Table1[],2,FALSE)</f>
        <v>MRT</v>
      </c>
      <c r="C502" s="233" t="str">
        <f>VLOOKUP(Table3[[#This Row],[Document ID]],Table1[],3,FALSE)</f>
        <v>Mauritania</v>
      </c>
      <c r="D502" s="233" t="str">
        <f>VLOOKUP(Table3[[#This Row],[Document ID]],Table1[],5,FALSE)</f>
        <v>NDC</v>
      </c>
      <c r="E502" s="233" t="str">
        <f>VLOOKUP(Table3[[#This Row],[Document ID]],Table1[],7,FALSE)</f>
        <v>First NDC</v>
      </c>
      <c r="F502" s="233" t="str">
        <f>VLOOKUP(Table3[[#This Row],[Document ID]],Table1[],8,FALSE)</f>
        <v>NDC 1.0</v>
      </c>
      <c r="G502" s="233" t="str">
        <f>VLOOKUP(Table3[[#This Row],[Document ID]],Table1[],10,FALSE)</f>
        <v>Archived</v>
      </c>
      <c r="H502" s="216" t="s">
        <v>1089</v>
      </c>
      <c r="I502" s="216" t="s">
        <v>1089</v>
      </c>
      <c r="J502" s="43" t="s">
        <v>1090</v>
      </c>
      <c r="K502" s="28" t="s">
        <v>1091</v>
      </c>
      <c r="L502" s="42" t="s">
        <v>1099</v>
      </c>
      <c r="M502" s="209">
        <v>2030</v>
      </c>
      <c r="N502" s="176" t="s">
        <v>1619</v>
      </c>
      <c r="O502" s="258" t="s">
        <v>1094</v>
      </c>
      <c r="P502" s="238" t="str">
        <f>VLOOKUP(_xlfn.CONCAT(Table3[[#This Row],[Target area]],Table3[[#This Row],[GHG target?]],Table3[[#This Row],[Conditionality]]),'Drop down'!$E$81:$F$101,2,FALSE)</f>
        <v>T_Economy_Unc</v>
      </c>
      <c r="Q502" s="239" t="str">
        <f>VLOOKUP(Table3[[#This Row],[Target type]],Table418[[Value name]:[Value idenifyer]],2,FALSE)</f>
        <v>T_BAU</v>
      </c>
      <c r="T502" s="234" t="s">
        <v>1113</v>
      </c>
      <c r="V502" s="233" t="str">
        <f>VLOOKUP(Table3[[#This Row],[Country Code]],Table29[],3,FALSE)</f>
        <v>Non-Annex I</v>
      </c>
      <c r="W502" s="233" t="str">
        <f>VLOOKUP(Table3[[#This Row],[Country Code]],Table29[],4,FALSE)</f>
        <v>Africa</v>
      </c>
      <c r="X502" s="233" t="str">
        <f>VLOOKUP(Table3[[#This Row],[Country Code]],Table29[],5,FALSE)</f>
        <v>Middle-income</v>
      </c>
      <c r="Y502" s="233" t="str">
        <f>VLOOKUP(Table3[[#This Row],[Country Code]],Table29[],6,FALSE)</f>
        <v>no</v>
      </c>
      <c r="Z502" s="233" t="str">
        <f>VLOOKUP(Table3[[#This Row],[Country Code]],Table29[],7,FALSE)</f>
        <v>no</v>
      </c>
      <c r="AA502" s="233" t="str">
        <f>VLOOKUP(Table3[[#This Row],[Country Code]],Table29[],8,FALSE)</f>
        <v>non-OECD</v>
      </c>
      <c r="AB502" s="233" t="str">
        <f>VLOOKUP(Table3[[#This Row],[Country Code]],Table29[],9,FALSE)</f>
        <v>no</v>
      </c>
      <c r="AC502" s="233" t="str">
        <f>VLOOKUP(Table3[[#This Row],[Country Code]],Table29[],10,FALSE)</f>
        <v>no</v>
      </c>
      <c r="AD502" s="235">
        <f>VLOOKUP(Table3[[#This Row],[Country Code]],Table29[],23,FALSE)</f>
        <v>16.509274363264002</v>
      </c>
      <c r="AE502" s="235">
        <f>VLOOKUP(Table3[[#This Row],[Country Code]],Table29[],24,FALSE)</f>
        <v>2.480994947533218</v>
      </c>
      <c r="AF502" s="43"/>
    </row>
    <row r="503" spans="1:32" ht="30" x14ac:dyDescent="0.25">
      <c r="A503" s="360">
        <v>23367</v>
      </c>
      <c r="B503" s="233" t="str">
        <f>VLOOKUP(Table3[[#This Row],[Document ID]],Table1[],2,FALSE)</f>
        <v>MUS</v>
      </c>
      <c r="C503" s="233" t="str">
        <f>VLOOKUP(Table3[[#This Row],[Document ID]],Table1[],3,FALSE)</f>
        <v>Mauritius</v>
      </c>
      <c r="D503" s="233" t="str">
        <f>VLOOKUP(Table3[[#This Row],[Document ID]],Table1[],5,FALSE)</f>
        <v>NDC</v>
      </c>
      <c r="E503" s="233" t="str">
        <f>VLOOKUP(Table3[[#This Row],[Document ID]],Table1[],7,FALSE)</f>
        <v>First NDC updated</v>
      </c>
      <c r="F503" s="233" t="str">
        <f>VLOOKUP(Table3[[#This Row],[Document ID]],Table1[],8,FALSE)</f>
        <v>NDC 1.1</v>
      </c>
      <c r="G503" s="233" t="str">
        <f>VLOOKUP(Table3[[#This Row],[Document ID]],Table1[],10,FALSE)</f>
        <v>Active</v>
      </c>
      <c r="H503" s="216" t="s">
        <v>1089</v>
      </c>
      <c r="I503" s="216" t="s">
        <v>1089</v>
      </c>
      <c r="J503" s="43" t="s">
        <v>1090</v>
      </c>
      <c r="K503" s="28" t="s">
        <v>1091</v>
      </c>
      <c r="L503" s="42" t="s">
        <v>1099</v>
      </c>
      <c r="M503" s="209">
        <v>2030</v>
      </c>
      <c r="N503" s="209" t="s">
        <v>1620</v>
      </c>
      <c r="O503" s="257">
        <v>3</v>
      </c>
      <c r="P503" s="238" t="str">
        <f>VLOOKUP(_xlfn.CONCAT(Table3[[#This Row],[Target area]],Table3[[#This Row],[GHG target?]],Table3[[#This Row],[Conditionality]]),'Drop down'!$E$81:$F$101,2,FALSE)</f>
        <v>T_Economy_Unc</v>
      </c>
      <c r="Q503" s="239" t="str">
        <f>VLOOKUP(Table3[[#This Row],[Target type]],Table418[[Value name]:[Value idenifyer]],2,FALSE)</f>
        <v>T_BAU</v>
      </c>
      <c r="S503" s="233" t="s">
        <v>1112</v>
      </c>
      <c r="T503" s="234" t="s">
        <v>1113</v>
      </c>
      <c r="U503" s="240"/>
      <c r="V503" s="233" t="str">
        <f>VLOOKUP(Table3[[#This Row],[Country Code]],Table29[],3,FALSE)</f>
        <v>Non-Annex I</v>
      </c>
      <c r="W503" s="233" t="str">
        <f>VLOOKUP(Table3[[#This Row],[Country Code]],Table29[],4,FALSE)</f>
        <v>Africa</v>
      </c>
      <c r="X503" s="233" t="str">
        <f>VLOOKUP(Table3[[#This Row],[Country Code]],Table29[],5,FALSE)</f>
        <v>Middle-income</v>
      </c>
      <c r="Y503" s="233" t="str">
        <f>VLOOKUP(Table3[[#This Row],[Country Code]],Table29[],6,FALSE)</f>
        <v>no</v>
      </c>
      <c r="Z503" s="233" t="str">
        <f>VLOOKUP(Table3[[#This Row],[Country Code]],Table29[],7,FALSE)</f>
        <v>no</v>
      </c>
      <c r="AA503" s="233" t="str">
        <f>VLOOKUP(Table3[[#This Row],[Country Code]],Table29[],8,FALSE)</f>
        <v>non-OECD</v>
      </c>
      <c r="AB503" s="233" t="str">
        <f>VLOOKUP(Table3[[#This Row],[Country Code]],Table29[],9,FALSE)</f>
        <v>no</v>
      </c>
      <c r="AC503" s="233" t="str">
        <f>VLOOKUP(Table3[[#This Row],[Country Code]],Table29[],10,FALSE)</f>
        <v>no</v>
      </c>
      <c r="AD503" s="235">
        <f>VLOOKUP(Table3[[#This Row],[Country Code]],Table29[],23,FALSE)</f>
        <v>6.1987377637868999</v>
      </c>
      <c r="AE503" s="235">
        <f>VLOOKUP(Table3[[#This Row],[Country Code]],Table29[],24,FALSE)</f>
        <v>1.164355346283908</v>
      </c>
      <c r="AF503" s="43"/>
    </row>
    <row r="504" spans="1:32" ht="30" x14ac:dyDescent="0.25">
      <c r="A504" s="360">
        <v>26799</v>
      </c>
      <c r="B504" s="233" t="str">
        <f>VLOOKUP(Table3[[#This Row],[Document ID]],Table1[],2,FALSE)</f>
        <v>HTI</v>
      </c>
      <c r="C504" s="233" t="str">
        <f>VLOOKUP(Table3[[#This Row],[Document ID]],Table1[],3,FALSE)</f>
        <v>Haiti</v>
      </c>
      <c r="D504" s="233" t="str">
        <f>VLOOKUP(Table3[[#This Row],[Document ID]],Table1[],5,FALSE)</f>
        <v>NDC</v>
      </c>
      <c r="E504" s="233" t="str">
        <f>VLOOKUP(Table3[[#This Row],[Document ID]],Table1[],7,FALSE)</f>
        <v>First NDC updated</v>
      </c>
      <c r="F504" s="233" t="str">
        <f>VLOOKUP(Table3[[#This Row],[Document ID]],Table1[],8,FALSE)</f>
        <v>NDC 1.1</v>
      </c>
      <c r="G504" s="233" t="str">
        <f>VLOOKUP(Table3[[#This Row],[Document ID]],Table1[],10,FALSE)</f>
        <v>Active</v>
      </c>
      <c r="H504" s="42" t="s">
        <v>1095</v>
      </c>
      <c r="I504" s="42" t="s">
        <v>1096</v>
      </c>
      <c r="J504" s="42" t="s">
        <v>1097</v>
      </c>
      <c r="K504" s="28" t="s">
        <v>1137</v>
      </c>
      <c r="L504" s="43" t="s">
        <v>1092</v>
      </c>
      <c r="M504" s="209">
        <v>2030</v>
      </c>
      <c r="N504" s="24" t="s">
        <v>1621</v>
      </c>
      <c r="O504" s="257">
        <v>30</v>
      </c>
      <c r="P504" s="238" t="str">
        <f>VLOOKUP(_xlfn.CONCAT(Table3[[#This Row],[Target area]],Table3[[#This Row],[GHG target?]],Table3[[#This Row],[Conditionality]]),'Drop down'!$E$81:$F$101,2,FALSE)</f>
        <v>T_Transport_O_C</v>
      </c>
      <c r="Q504" s="239" t="str">
        <f>VLOOKUP(Table3[[#This Row],[Target type]],Table418[[Value name]:[Value idenifyer]],2,FALSE)</f>
        <v>T_O_EFF</v>
      </c>
      <c r="S504" s="233" t="s">
        <v>1101</v>
      </c>
      <c r="T504" s="240"/>
      <c r="V504" s="233" t="str">
        <f>VLOOKUP(Table3[[#This Row],[Country Code]],Table29[],3,FALSE)</f>
        <v>Non-Annex I</v>
      </c>
      <c r="W504" s="233" t="str">
        <f>VLOOKUP(Table3[[#This Row],[Country Code]],Table29[],4,FALSE)</f>
        <v>Latin America and the Caribbean</v>
      </c>
      <c r="X504" s="233" t="str">
        <f>VLOOKUP(Table3[[#This Row],[Country Code]],Table29[],5,FALSE)</f>
        <v>Middle-income</v>
      </c>
      <c r="Y504" s="233" t="str">
        <f>VLOOKUP(Table3[[#This Row],[Country Code]],Table29[],6,FALSE)</f>
        <v>no</v>
      </c>
      <c r="Z504" s="233" t="str">
        <f>VLOOKUP(Table3[[#This Row],[Country Code]],Table29[],7,FALSE)</f>
        <v>no</v>
      </c>
      <c r="AA504" s="233" t="str">
        <f>VLOOKUP(Table3[[#This Row],[Country Code]],Table29[],8,FALSE)</f>
        <v>non-OECD</v>
      </c>
      <c r="AB504" s="233" t="str">
        <f>VLOOKUP(Table3[[#This Row],[Country Code]],Table29[],9,FALSE)</f>
        <v>no</v>
      </c>
      <c r="AC504" s="233" t="str">
        <f>VLOOKUP(Table3[[#This Row],[Country Code]],Table29[],10,FALSE)</f>
        <v>no</v>
      </c>
      <c r="AD504" s="235">
        <f>VLOOKUP(Table3[[#This Row],[Country Code]],Table29[],23,FALSE)</f>
        <v>13.656955798463001</v>
      </c>
      <c r="AE504" s="235">
        <f>VLOOKUP(Table3[[#This Row],[Country Code]],Table29[],24,FALSE)</f>
        <v>1.477654993185334</v>
      </c>
      <c r="AF504" s="43"/>
    </row>
    <row r="505" spans="1:32" x14ac:dyDescent="0.25">
      <c r="A505" s="360">
        <v>17659</v>
      </c>
      <c r="B505" s="233" t="str">
        <f>VLOOKUP(Table3[[#This Row],[Document ID]],Table1[],2,FALSE)</f>
        <v>MUS</v>
      </c>
      <c r="C505" s="233" t="str">
        <f>VLOOKUP(Table3[[#This Row],[Document ID]],Table1[],3,FALSE)</f>
        <v>Mauritius</v>
      </c>
      <c r="D505" s="233" t="str">
        <f>VLOOKUP(Table3[[#This Row],[Document ID]],Table1[],5,FALSE)</f>
        <v>NDC</v>
      </c>
      <c r="E505" s="233" t="str">
        <f>VLOOKUP(Table3[[#This Row],[Document ID]],Table1[],7,FALSE)</f>
        <v>First NDC</v>
      </c>
      <c r="F505" s="233" t="str">
        <f>VLOOKUP(Table3[[#This Row],[Document ID]],Table1[],8,FALSE)</f>
        <v>NDC 1.0</v>
      </c>
      <c r="G505" s="233" t="str">
        <f>VLOOKUP(Table3[[#This Row],[Document ID]],Table1[],10,FALSE)</f>
        <v>Archived</v>
      </c>
      <c r="H505" s="216" t="s">
        <v>1089</v>
      </c>
      <c r="I505" s="216" t="s">
        <v>1089</v>
      </c>
      <c r="J505" s="43" t="s">
        <v>1090</v>
      </c>
      <c r="K505" s="28" t="s">
        <v>1091</v>
      </c>
      <c r="L505" s="42" t="s">
        <v>1099</v>
      </c>
      <c r="M505" s="209">
        <v>2030</v>
      </c>
      <c r="N505" s="176" t="s">
        <v>1622</v>
      </c>
      <c r="O505" s="258" t="s">
        <v>1094</v>
      </c>
      <c r="P505" s="238" t="str">
        <f>VLOOKUP(_xlfn.CONCAT(Table3[[#This Row],[Target area]],Table3[[#This Row],[GHG target?]],Table3[[#This Row],[Conditionality]]),'Drop down'!$E$81:$F$101,2,FALSE)</f>
        <v>T_Economy_Unc</v>
      </c>
      <c r="Q505" s="239" t="str">
        <f>VLOOKUP(Table3[[#This Row],[Target type]],Table418[[Value name]:[Value idenifyer]],2,FALSE)</f>
        <v>T_BAU</v>
      </c>
      <c r="T505" s="234" t="s">
        <v>1113</v>
      </c>
      <c r="V505" s="233" t="str">
        <f>VLOOKUP(Table3[[#This Row],[Country Code]],Table29[],3,FALSE)</f>
        <v>Non-Annex I</v>
      </c>
      <c r="W505" s="233" t="str">
        <f>VLOOKUP(Table3[[#This Row],[Country Code]],Table29[],4,FALSE)</f>
        <v>Africa</v>
      </c>
      <c r="X505" s="233" t="str">
        <f>VLOOKUP(Table3[[#This Row],[Country Code]],Table29[],5,FALSE)</f>
        <v>Middle-income</v>
      </c>
      <c r="Y505" s="233" t="str">
        <f>VLOOKUP(Table3[[#This Row],[Country Code]],Table29[],6,FALSE)</f>
        <v>no</v>
      </c>
      <c r="Z505" s="233" t="str">
        <f>VLOOKUP(Table3[[#This Row],[Country Code]],Table29[],7,FALSE)</f>
        <v>no</v>
      </c>
      <c r="AA505" s="233" t="str">
        <f>VLOOKUP(Table3[[#This Row],[Country Code]],Table29[],8,FALSE)</f>
        <v>non-OECD</v>
      </c>
      <c r="AB505" s="233" t="str">
        <f>VLOOKUP(Table3[[#This Row],[Country Code]],Table29[],9,FALSE)</f>
        <v>no</v>
      </c>
      <c r="AC505" s="233" t="str">
        <f>VLOOKUP(Table3[[#This Row],[Country Code]],Table29[],10,FALSE)</f>
        <v>no</v>
      </c>
      <c r="AD505" s="235">
        <f>VLOOKUP(Table3[[#This Row],[Country Code]],Table29[],23,FALSE)</f>
        <v>6.1987377637868999</v>
      </c>
      <c r="AE505" s="235">
        <f>VLOOKUP(Table3[[#This Row],[Country Code]],Table29[],24,FALSE)</f>
        <v>1.164355346283908</v>
      </c>
      <c r="AF505" s="43"/>
    </row>
    <row r="506" spans="1:32" ht="30" x14ac:dyDescent="0.25">
      <c r="A506" s="360">
        <v>17662</v>
      </c>
      <c r="B506" s="233" t="str">
        <f>VLOOKUP(Table3[[#This Row],[Document ID]],Table1[],2,FALSE)</f>
        <v>MEX</v>
      </c>
      <c r="C506" s="233" t="str">
        <f>VLOOKUP(Table3[[#This Row],[Document ID]],Table1[],3,FALSE)</f>
        <v>Mexico</v>
      </c>
      <c r="D506" s="233" t="str">
        <f>VLOOKUP(Table3[[#This Row],[Document ID]],Table1[],5,FALSE)</f>
        <v>NDC</v>
      </c>
      <c r="E506" s="233" t="str">
        <f>VLOOKUP(Table3[[#This Row],[Document ID]],Table1[],7,FALSE)</f>
        <v>First NDC updated</v>
      </c>
      <c r="F506" s="233" t="str">
        <f>VLOOKUP(Table3[[#This Row],[Document ID]],Table1[],8,FALSE)</f>
        <v>NDC 1.1</v>
      </c>
      <c r="G506" s="233" t="str">
        <f>VLOOKUP(Table3[[#This Row],[Document ID]],Table1[],10,FALSE)</f>
        <v>Archived</v>
      </c>
      <c r="H506" s="216" t="s">
        <v>1089</v>
      </c>
      <c r="I506" s="216" t="s">
        <v>1089</v>
      </c>
      <c r="J506" s="43" t="s">
        <v>1090</v>
      </c>
      <c r="K506" s="28" t="s">
        <v>1091</v>
      </c>
      <c r="L506" s="42" t="s">
        <v>1099</v>
      </c>
      <c r="M506" s="209">
        <v>2030</v>
      </c>
      <c r="N506" s="44" t="s">
        <v>1623</v>
      </c>
      <c r="O506" s="221">
        <v>5</v>
      </c>
      <c r="P506" s="238" t="str">
        <f>VLOOKUP(_xlfn.CONCAT(Table3[[#This Row],[Target area]],Table3[[#This Row],[GHG target?]],Table3[[#This Row],[Conditionality]]),'Drop down'!$E$81:$F$101,2,FALSE)</f>
        <v>T_Economy_Unc</v>
      </c>
      <c r="Q506" s="239" t="str">
        <f>VLOOKUP(Table3[[#This Row],[Target type]],Table418[[Value name]:[Value idenifyer]],2,FALSE)</f>
        <v>T_BAU</v>
      </c>
      <c r="V506" s="233" t="str">
        <f>VLOOKUP(Table3[[#This Row],[Country Code]],Table29[],3,FALSE)</f>
        <v>Non-Annex I</v>
      </c>
      <c r="W506" s="233" t="str">
        <f>VLOOKUP(Table3[[#This Row],[Country Code]],Table29[],4,FALSE)</f>
        <v>Latin America and the Caribbean</v>
      </c>
      <c r="X506" s="233" t="str">
        <f>VLOOKUP(Table3[[#This Row],[Country Code]],Table29[],5,FALSE)</f>
        <v>Middle-income</v>
      </c>
      <c r="Y506" s="233" t="str">
        <f>VLOOKUP(Table3[[#This Row],[Country Code]],Table29[],6,FALSE)</f>
        <v>G20</v>
      </c>
      <c r="Z506" s="233" t="str">
        <f>VLOOKUP(Table3[[#This Row],[Country Code]],Table29[],7,FALSE)</f>
        <v>no</v>
      </c>
      <c r="AA506" s="233" t="str">
        <f>VLOOKUP(Table3[[#This Row],[Country Code]],Table29[],8,FALSE)</f>
        <v>OECD</v>
      </c>
      <c r="AB506" s="233" t="str">
        <f>VLOOKUP(Table3[[#This Row],[Country Code]],Table29[],9,FALSE)</f>
        <v>no</v>
      </c>
      <c r="AC506" s="233" t="str">
        <f>VLOOKUP(Table3[[#This Row],[Country Code]],Table29[],10,FALSE)</f>
        <v>no</v>
      </c>
      <c r="AD506" s="235">
        <f>VLOOKUP(Table3[[#This Row],[Country Code]],Table29[],23,FALSE)</f>
        <v>712.10209803987004</v>
      </c>
      <c r="AE506" s="235">
        <f>VLOOKUP(Table3[[#This Row],[Country Code]],Table29[],24,FALSE)</f>
        <v>132.220611733639</v>
      </c>
      <c r="AF506" s="43"/>
    </row>
    <row r="507" spans="1:32" ht="30" x14ac:dyDescent="0.25">
      <c r="A507" s="360">
        <v>17662</v>
      </c>
      <c r="B507" s="233" t="str">
        <f>VLOOKUP(Table3[[#This Row],[Document ID]],Table1[],2,FALSE)</f>
        <v>MEX</v>
      </c>
      <c r="C507" s="233" t="str">
        <f>VLOOKUP(Table3[[#This Row],[Document ID]],Table1[],3,FALSE)</f>
        <v>Mexico</v>
      </c>
      <c r="D507" s="233" t="str">
        <f>VLOOKUP(Table3[[#This Row],[Document ID]],Table1[],5,FALSE)</f>
        <v>NDC</v>
      </c>
      <c r="E507" s="233" t="str">
        <f>VLOOKUP(Table3[[#This Row],[Document ID]],Table1[],7,FALSE)</f>
        <v>First NDC updated</v>
      </c>
      <c r="F507" s="233" t="str">
        <f>VLOOKUP(Table3[[#This Row],[Document ID]],Table1[],8,FALSE)</f>
        <v>NDC 1.1</v>
      </c>
      <c r="G507" s="233" t="str">
        <f>VLOOKUP(Table3[[#This Row],[Document ID]],Table1[],10,FALSE)</f>
        <v>Archived</v>
      </c>
      <c r="H507" s="216" t="s">
        <v>1089</v>
      </c>
      <c r="I507" s="216" t="s">
        <v>1089</v>
      </c>
      <c r="J507" s="43" t="s">
        <v>1090</v>
      </c>
      <c r="K507" s="28" t="s">
        <v>1091</v>
      </c>
      <c r="L507" s="216" t="s">
        <v>1092</v>
      </c>
      <c r="M507" s="209">
        <v>2030</v>
      </c>
      <c r="N507" s="44" t="s">
        <v>1624</v>
      </c>
      <c r="O507" s="221">
        <v>5</v>
      </c>
      <c r="P507" s="238" t="str">
        <f>VLOOKUP(_xlfn.CONCAT(Table3[[#This Row],[Target area]],Table3[[#This Row],[GHG target?]],Table3[[#This Row],[Conditionality]]),'Drop down'!$E$81:$F$101,2,FALSE)</f>
        <v>T_Economy_C</v>
      </c>
      <c r="Q507" s="239" t="str">
        <f>VLOOKUP(Table3[[#This Row],[Target type]],Table418[[Value name]:[Value idenifyer]],2,FALSE)</f>
        <v>T_BAU</v>
      </c>
      <c r="V507" s="233" t="str">
        <f>VLOOKUP(Table3[[#This Row],[Country Code]],Table29[],3,FALSE)</f>
        <v>Non-Annex I</v>
      </c>
      <c r="W507" s="233" t="str">
        <f>VLOOKUP(Table3[[#This Row],[Country Code]],Table29[],4,FALSE)</f>
        <v>Latin America and the Caribbean</v>
      </c>
      <c r="X507" s="233" t="str">
        <f>VLOOKUP(Table3[[#This Row],[Country Code]],Table29[],5,FALSE)</f>
        <v>Middle-income</v>
      </c>
      <c r="Y507" s="233" t="str">
        <f>VLOOKUP(Table3[[#This Row],[Country Code]],Table29[],6,FALSE)</f>
        <v>G20</v>
      </c>
      <c r="Z507" s="233" t="str">
        <f>VLOOKUP(Table3[[#This Row],[Country Code]],Table29[],7,FALSE)</f>
        <v>no</v>
      </c>
      <c r="AA507" s="233" t="str">
        <f>VLOOKUP(Table3[[#This Row],[Country Code]],Table29[],8,FALSE)</f>
        <v>OECD</v>
      </c>
      <c r="AB507" s="233" t="str">
        <f>VLOOKUP(Table3[[#This Row],[Country Code]],Table29[],9,FALSE)</f>
        <v>no</v>
      </c>
      <c r="AC507" s="233" t="str">
        <f>VLOOKUP(Table3[[#This Row],[Country Code]],Table29[],10,FALSE)</f>
        <v>no</v>
      </c>
      <c r="AD507" s="235">
        <f>VLOOKUP(Table3[[#This Row],[Country Code]],Table29[],23,FALSE)</f>
        <v>712.10209803987004</v>
      </c>
      <c r="AE507" s="235">
        <f>VLOOKUP(Table3[[#This Row],[Country Code]],Table29[],24,FALSE)</f>
        <v>132.220611733639</v>
      </c>
      <c r="AF507" s="43"/>
    </row>
    <row r="508" spans="1:32" x14ac:dyDescent="0.25">
      <c r="A508" s="360">
        <v>17660</v>
      </c>
      <c r="B508" s="233" t="str">
        <f>VLOOKUP(Table3[[#This Row],[Document ID]],Table1[],2,FALSE)</f>
        <v>MEX</v>
      </c>
      <c r="C508" s="233" t="str">
        <f>VLOOKUP(Table3[[#This Row],[Document ID]],Table1[],3,FALSE)</f>
        <v>Mexico</v>
      </c>
      <c r="D508" s="233" t="str">
        <f>VLOOKUP(Table3[[#This Row],[Document ID]],Table1[],5,FALSE)</f>
        <v>NDC</v>
      </c>
      <c r="E508" s="233" t="str">
        <f>VLOOKUP(Table3[[#This Row],[Document ID]],Table1[],7,FALSE)</f>
        <v>First NDC</v>
      </c>
      <c r="F508" s="233" t="str">
        <f>VLOOKUP(Table3[[#This Row],[Document ID]],Table1[],8,FALSE)</f>
        <v>NDC 1.0</v>
      </c>
      <c r="G508" s="233" t="str">
        <f>VLOOKUP(Table3[[#This Row],[Document ID]],Table1[],10,FALSE)</f>
        <v>Archived</v>
      </c>
      <c r="H508" s="216" t="s">
        <v>1089</v>
      </c>
      <c r="I508" s="216" t="s">
        <v>1089</v>
      </c>
      <c r="J508" s="43" t="s">
        <v>1090</v>
      </c>
      <c r="K508" s="28" t="s">
        <v>1091</v>
      </c>
      <c r="L508" s="42" t="s">
        <v>1099</v>
      </c>
      <c r="M508" s="209">
        <v>2030</v>
      </c>
      <c r="N508" s="176" t="s">
        <v>1625</v>
      </c>
      <c r="O508" s="258" t="s">
        <v>1094</v>
      </c>
      <c r="P508" s="238" t="str">
        <f>VLOOKUP(_xlfn.CONCAT(Table3[[#This Row],[Target area]],Table3[[#This Row],[GHG target?]],Table3[[#This Row],[Conditionality]]),'Drop down'!$E$81:$F$101,2,FALSE)</f>
        <v>T_Economy_Unc</v>
      </c>
      <c r="Q508" s="239" t="str">
        <f>VLOOKUP(Table3[[#This Row],[Target type]],Table418[[Value name]:[Value idenifyer]],2,FALSE)</f>
        <v>T_BAU</v>
      </c>
      <c r="V508" s="233" t="str">
        <f>VLOOKUP(Table3[[#This Row],[Country Code]],Table29[],3,FALSE)</f>
        <v>Non-Annex I</v>
      </c>
      <c r="W508" s="233" t="str">
        <f>VLOOKUP(Table3[[#This Row],[Country Code]],Table29[],4,FALSE)</f>
        <v>Latin America and the Caribbean</v>
      </c>
      <c r="X508" s="233" t="str">
        <f>VLOOKUP(Table3[[#This Row],[Country Code]],Table29[],5,FALSE)</f>
        <v>Middle-income</v>
      </c>
      <c r="Y508" s="233" t="str">
        <f>VLOOKUP(Table3[[#This Row],[Country Code]],Table29[],6,FALSE)</f>
        <v>G20</v>
      </c>
      <c r="Z508" s="233" t="str">
        <f>VLOOKUP(Table3[[#This Row],[Country Code]],Table29[],7,FALSE)</f>
        <v>no</v>
      </c>
      <c r="AA508" s="233" t="str">
        <f>VLOOKUP(Table3[[#This Row],[Country Code]],Table29[],8,FALSE)</f>
        <v>OECD</v>
      </c>
      <c r="AB508" s="233" t="str">
        <f>VLOOKUP(Table3[[#This Row],[Country Code]],Table29[],9,FALSE)</f>
        <v>no</v>
      </c>
      <c r="AC508" s="233" t="str">
        <f>VLOOKUP(Table3[[#This Row],[Country Code]],Table29[],10,FALSE)</f>
        <v>no</v>
      </c>
      <c r="AD508" s="235">
        <f>VLOOKUP(Table3[[#This Row],[Country Code]],Table29[],23,FALSE)</f>
        <v>712.10209803987004</v>
      </c>
      <c r="AE508" s="235">
        <f>VLOOKUP(Table3[[#This Row],[Country Code]],Table29[],24,FALSE)</f>
        <v>132.220611733639</v>
      </c>
      <c r="AF508" s="43"/>
    </row>
    <row r="509" spans="1:32" x14ac:dyDescent="0.25">
      <c r="A509" s="360">
        <v>17660</v>
      </c>
      <c r="B509" s="233" t="str">
        <f>VLOOKUP(Table3[[#This Row],[Document ID]],Table1[],2,FALSE)</f>
        <v>MEX</v>
      </c>
      <c r="C509" s="233" t="str">
        <f>VLOOKUP(Table3[[#This Row],[Document ID]],Table1[],3,FALSE)</f>
        <v>Mexico</v>
      </c>
      <c r="D509" s="233" t="str">
        <f>VLOOKUP(Table3[[#This Row],[Document ID]],Table1[],5,FALSE)</f>
        <v>NDC</v>
      </c>
      <c r="E509" s="233" t="str">
        <f>VLOOKUP(Table3[[#This Row],[Document ID]],Table1[],7,FALSE)</f>
        <v>First NDC</v>
      </c>
      <c r="F509" s="233" t="str">
        <f>VLOOKUP(Table3[[#This Row],[Document ID]],Table1[],8,FALSE)</f>
        <v>NDC 1.0</v>
      </c>
      <c r="G509" s="233" t="str">
        <f>VLOOKUP(Table3[[#This Row],[Document ID]],Table1[],10,FALSE)</f>
        <v>Archived</v>
      </c>
      <c r="H509" s="216" t="s">
        <v>1089</v>
      </c>
      <c r="I509" s="216" t="s">
        <v>1089</v>
      </c>
      <c r="J509" s="43" t="s">
        <v>1090</v>
      </c>
      <c r="K509" s="28" t="s">
        <v>1091</v>
      </c>
      <c r="L509" s="216" t="s">
        <v>1092</v>
      </c>
      <c r="M509" s="209">
        <v>2030</v>
      </c>
      <c r="N509" s="176" t="s">
        <v>1626</v>
      </c>
      <c r="O509" s="258" t="s">
        <v>1094</v>
      </c>
      <c r="P509" s="238" t="str">
        <f>VLOOKUP(_xlfn.CONCAT(Table3[[#This Row],[Target area]],Table3[[#This Row],[GHG target?]],Table3[[#This Row],[Conditionality]]),'Drop down'!$E$81:$F$101,2,FALSE)</f>
        <v>T_Economy_C</v>
      </c>
      <c r="Q509" s="239" t="str">
        <f>VLOOKUP(Table3[[#This Row],[Target type]],Table418[[Value name]:[Value idenifyer]],2,FALSE)</f>
        <v>T_BAU</v>
      </c>
      <c r="V509" s="233" t="str">
        <f>VLOOKUP(Table3[[#This Row],[Country Code]],Table29[],3,FALSE)</f>
        <v>Non-Annex I</v>
      </c>
      <c r="W509" s="233" t="str">
        <f>VLOOKUP(Table3[[#This Row],[Country Code]],Table29[],4,FALSE)</f>
        <v>Latin America and the Caribbean</v>
      </c>
      <c r="X509" s="233" t="str">
        <f>VLOOKUP(Table3[[#This Row],[Country Code]],Table29[],5,FALSE)</f>
        <v>Middle-income</v>
      </c>
      <c r="Y509" s="233" t="str">
        <f>VLOOKUP(Table3[[#This Row],[Country Code]],Table29[],6,FALSE)</f>
        <v>G20</v>
      </c>
      <c r="Z509" s="233" t="str">
        <f>VLOOKUP(Table3[[#This Row],[Country Code]],Table29[],7,FALSE)</f>
        <v>no</v>
      </c>
      <c r="AA509" s="233" t="str">
        <f>VLOOKUP(Table3[[#This Row],[Country Code]],Table29[],8,FALSE)</f>
        <v>OECD</v>
      </c>
      <c r="AB509" s="233" t="str">
        <f>VLOOKUP(Table3[[#This Row],[Country Code]],Table29[],9,FALSE)</f>
        <v>no</v>
      </c>
      <c r="AC509" s="233" t="str">
        <f>VLOOKUP(Table3[[#This Row],[Country Code]],Table29[],10,FALSE)</f>
        <v>no</v>
      </c>
      <c r="AD509" s="235">
        <f>VLOOKUP(Table3[[#This Row],[Country Code]],Table29[],23,FALSE)</f>
        <v>712.10209803987004</v>
      </c>
      <c r="AE509" s="235">
        <f>VLOOKUP(Table3[[#This Row],[Country Code]],Table29[],24,FALSE)</f>
        <v>132.220611733639</v>
      </c>
      <c r="AF509" s="43"/>
    </row>
    <row r="510" spans="1:32" x14ac:dyDescent="0.25">
      <c r="A510" s="373">
        <v>17660</v>
      </c>
      <c r="B510" s="233" t="str">
        <f>VLOOKUP(Table3[[#This Row],[Document ID]],Table1[],2,FALSE)</f>
        <v>MEX</v>
      </c>
      <c r="C510" s="233" t="str">
        <f>VLOOKUP(Table3[[#This Row],[Document ID]],Table1[],3,FALSE)</f>
        <v>Mexico</v>
      </c>
      <c r="D510" s="233" t="str">
        <f>VLOOKUP(Table3[[#This Row],[Document ID]],Table1[],5,FALSE)</f>
        <v>NDC</v>
      </c>
      <c r="E510" s="233" t="str">
        <f>VLOOKUP(Table3[[#This Row],[Document ID]],Table1[],7,FALSE)</f>
        <v>First NDC</v>
      </c>
      <c r="F510" s="243" t="str">
        <f>VLOOKUP(Table3[[#This Row],[Document ID]],Table1[],8,FALSE)</f>
        <v>NDC 1.0</v>
      </c>
      <c r="G510" s="233" t="str">
        <f>VLOOKUP(Table3[[#This Row],[Document ID]],Table1[],10,FALSE)</f>
        <v>Archived</v>
      </c>
      <c r="H510" s="216" t="s">
        <v>1089</v>
      </c>
      <c r="I510" s="216" t="s">
        <v>1089</v>
      </c>
      <c r="J510" s="43" t="s">
        <v>1090</v>
      </c>
      <c r="K510" s="28" t="s">
        <v>1153</v>
      </c>
      <c r="L510" s="43" t="s">
        <v>1116</v>
      </c>
      <c r="M510" s="209">
        <v>2050</v>
      </c>
      <c r="N510" s="176" t="s">
        <v>1627</v>
      </c>
      <c r="O510" s="258">
        <v>2</v>
      </c>
      <c r="P510" s="238" t="str">
        <f>VLOOKUP(_xlfn.CONCAT(Table3[[#This Row],[Target area]],Table3[[#This Row],[GHG target?]],Table3[[#This Row],[Conditionality]]),'Drop down'!$E$81:$F$101,2,FALSE)</f>
        <v>T_Economy</v>
      </c>
      <c r="Q510" s="239" t="str">
        <f>VLOOKUP(Table3[[#This Row],[Target type]],Table418[[Value name]:[Value idenifyer]],2,FALSE)</f>
        <v>T_BYE</v>
      </c>
      <c r="V510" s="233" t="str">
        <f>VLOOKUP(Table3[[#This Row],[Country Code]],Table29[],3,FALSE)</f>
        <v>Non-Annex I</v>
      </c>
      <c r="W510" s="233" t="str">
        <f>VLOOKUP(Table3[[#This Row],[Country Code]],Table29[],4,FALSE)</f>
        <v>Latin America and the Caribbean</v>
      </c>
      <c r="X510" s="233" t="str">
        <f>VLOOKUP(Table3[[#This Row],[Country Code]],Table29[],5,FALSE)</f>
        <v>Middle-income</v>
      </c>
      <c r="Y510" s="233" t="str">
        <f>VLOOKUP(Table3[[#This Row],[Country Code]],Table29[],6,FALSE)</f>
        <v>G20</v>
      </c>
      <c r="Z510" s="233" t="str">
        <f>VLOOKUP(Table3[[#This Row],[Country Code]],Table29[],7,FALSE)</f>
        <v>no</v>
      </c>
      <c r="AA510" s="233" t="str">
        <f>VLOOKUP(Table3[[#This Row],[Country Code]],Table29[],8,FALSE)</f>
        <v>OECD</v>
      </c>
      <c r="AB510" s="233" t="str">
        <f>VLOOKUP(Table3[[#This Row],[Country Code]],Table29[],9,FALSE)</f>
        <v>no</v>
      </c>
      <c r="AC510" s="233" t="str">
        <f>VLOOKUP(Table3[[#This Row],[Country Code]],Table29[],10,FALSE)</f>
        <v>no</v>
      </c>
      <c r="AD510" s="235">
        <f>VLOOKUP(Table3[[#This Row],[Country Code]],Table29[],23,FALSE)</f>
        <v>712.10209803987004</v>
      </c>
      <c r="AE510" s="235">
        <f>VLOOKUP(Table3[[#This Row],[Country Code]],Table29[],24,FALSE)</f>
        <v>132.220611733639</v>
      </c>
      <c r="AF510" s="43"/>
    </row>
    <row r="511" spans="1:32" ht="60" x14ac:dyDescent="0.25">
      <c r="A511" s="360">
        <v>32507</v>
      </c>
      <c r="B511" s="233" t="str">
        <f>VLOOKUP(Table3[[#This Row],[Document ID]],Table1[],2,FALSE)</f>
        <v>MEX</v>
      </c>
      <c r="C511" s="233" t="str">
        <f>VLOOKUP(Table3[[#This Row],[Document ID]],Table1[],3,FALSE)</f>
        <v>Mexico</v>
      </c>
      <c r="D511" s="233" t="str">
        <f>VLOOKUP(Table3[[#This Row],[Document ID]],Table1[],5,FALSE)</f>
        <v>NDC</v>
      </c>
      <c r="E511" s="233" t="str">
        <f>VLOOKUP(Table3[[#This Row],[Document ID]],Table1[],7,FALSE)</f>
        <v>First NDC updated</v>
      </c>
      <c r="F511" s="233" t="str">
        <f>VLOOKUP(Table3[[#This Row],[Document ID]],Table1[],8,FALSE)</f>
        <v>NDC 1.2</v>
      </c>
      <c r="G511" s="233" t="str">
        <f>VLOOKUP(Table3[[#This Row],[Document ID]],Table1[],10,FALSE)</f>
        <v>Active</v>
      </c>
      <c r="H511" s="216" t="s">
        <v>1089</v>
      </c>
      <c r="I511" s="216" t="s">
        <v>1089</v>
      </c>
      <c r="J511" s="43" t="s">
        <v>1090</v>
      </c>
      <c r="K511" s="28" t="s">
        <v>1091</v>
      </c>
      <c r="L511" s="42" t="s">
        <v>1099</v>
      </c>
      <c r="M511" s="209">
        <v>2030</v>
      </c>
      <c r="N511" s="44" t="s">
        <v>1628</v>
      </c>
      <c r="O511" s="258">
        <v>9</v>
      </c>
      <c r="P511" s="238" t="str">
        <f>VLOOKUP(_xlfn.CONCAT(Table3[[#This Row],[Target area]],Table3[[#This Row],[GHG target?]],Table3[[#This Row],[Conditionality]]),'Drop down'!$E$81:$F$101,2,FALSE)</f>
        <v>T_Economy_Unc</v>
      </c>
      <c r="Q511" s="239" t="str">
        <f>VLOOKUP(Table3[[#This Row],[Target type]],Table418[[Value name]:[Value idenifyer]],2,FALSE)</f>
        <v>T_BAU</v>
      </c>
      <c r="V511" s="233" t="str">
        <f>VLOOKUP(Table3[[#This Row],[Country Code]],Table29[],3,FALSE)</f>
        <v>Non-Annex I</v>
      </c>
      <c r="W511" s="233" t="str">
        <f>VLOOKUP(Table3[[#This Row],[Country Code]],Table29[],4,FALSE)</f>
        <v>Latin America and the Caribbean</v>
      </c>
      <c r="X511" s="233" t="str">
        <f>VLOOKUP(Table3[[#This Row],[Country Code]],Table29[],5,FALSE)</f>
        <v>Middle-income</v>
      </c>
      <c r="Y511" s="233" t="str">
        <f>VLOOKUP(Table3[[#This Row],[Country Code]],Table29[],6,FALSE)</f>
        <v>G20</v>
      </c>
      <c r="Z511" s="233" t="str">
        <f>VLOOKUP(Table3[[#This Row],[Country Code]],Table29[],7,FALSE)</f>
        <v>no</v>
      </c>
      <c r="AA511" s="233" t="str">
        <f>VLOOKUP(Table3[[#This Row],[Country Code]],Table29[],8,FALSE)</f>
        <v>OECD</v>
      </c>
      <c r="AB511" s="233" t="str">
        <f>VLOOKUP(Table3[[#This Row],[Country Code]],Table29[],9,FALSE)</f>
        <v>no</v>
      </c>
      <c r="AC511" s="233" t="str">
        <f>VLOOKUP(Table3[[#This Row],[Country Code]],Table29[],10,FALSE)</f>
        <v>no</v>
      </c>
      <c r="AD511" s="235">
        <f>VLOOKUP(Table3[[#This Row],[Country Code]],Table29[],23,FALSE)</f>
        <v>712.10209803987004</v>
      </c>
      <c r="AE511" s="235">
        <f>VLOOKUP(Table3[[#This Row],[Country Code]],Table29[],24,FALSE)</f>
        <v>132.220611733639</v>
      </c>
      <c r="AF511" s="43"/>
    </row>
    <row r="512" spans="1:32" ht="105" x14ac:dyDescent="0.25">
      <c r="A512" s="360">
        <v>32507</v>
      </c>
      <c r="B512" s="233" t="str">
        <f>VLOOKUP(Table3[[#This Row],[Document ID]],Table1[],2,FALSE)</f>
        <v>MEX</v>
      </c>
      <c r="C512" s="233" t="str">
        <f>VLOOKUP(Table3[[#This Row],[Document ID]],Table1[],3,FALSE)</f>
        <v>Mexico</v>
      </c>
      <c r="D512" s="233" t="str">
        <f>VLOOKUP(Table3[[#This Row],[Document ID]],Table1[],5,FALSE)</f>
        <v>NDC</v>
      </c>
      <c r="E512" s="233" t="str">
        <f>VLOOKUP(Table3[[#This Row],[Document ID]],Table1[],7,FALSE)</f>
        <v>First NDC updated</v>
      </c>
      <c r="F512" s="233" t="str">
        <f>VLOOKUP(Table3[[#This Row],[Document ID]],Table1[],8,FALSE)</f>
        <v>NDC 1.2</v>
      </c>
      <c r="G512" s="233" t="str">
        <f>VLOOKUP(Table3[[#This Row],[Document ID]],Table1[],10,FALSE)</f>
        <v>Active</v>
      </c>
      <c r="H512" s="216" t="s">
        <v>1089</v>
      </c>
      <c r="I512" s="216" t="s">
        <v>1089</v>
      </c>
      <c r="J512" s="43" t="s">
        <v>1090</v>
      </c>
      <c r="K512" s="28" t="s">
        <v>1091</v>
      </c>
      <c r="L512" s="216" t="s">
        <v>1092</v>
      </c>
      <c r="M512" s="209">
        <v>2030</v>
      </c>
      <c r="N512" s="44" t="s">
        <v>1629</v>
      </c>
      <c r="O512" s="258">
        <v>9</v>
      </c>
      <c r="P512" s="238" t="str">
        <f>VLOOKUP(_xlfn.CONCAT(Table3[[#This Row],[Target area]],Table3[[#This Row],[GHG target?]],Table3[[#This Row],[Conditionality]]),'Drop down'!$E$81:$F$101,2,FALSE)</f>
        <v>T_Economy_C</v>
      </c>
      <c r="Q512" s="239" t="str">
        <f>VLOOKUP(Table3[[#This Row],[Target type]],Table418[[Value name]:[Value idenifyer]],2,FALSE)</f>
        <v>T_BAU</v>
      </c>
      <c r="V512" s="233" t="str">
        <f>VLOOKUP(Table3[[#This Row],[Country Code]],Table29[],3,FALSE)</f>
        <v>Non-Annex I</v>
      </c>
      <c r="W512" s="233" t="str">
        <f>VLOOKUP(Table3[[#This Row],[Country Code]],Table29[],4,FALSE)</f>
        <v>Latin America and the Caribbean</v>
      </c>
      <c r="X512" s="233" t="str">
        <f>VLOOKUP(Table3[[#This Row],[Country Code]],Table29[],5,FALSE)</f>
        <v>Middle-income</v>
      </c>
      <c r="Y512" s="233" t="str">
        <f>VLOOKUP(Table3[[#This Row],[Country Code]],Table29[],6,FALSE)</f>
        <v>G20</v>
      </c>
      <c r="Z512" s="233" t="str">
        <f>VLOOKUP(Table3[[#This Row],[Country Code]],Table29[],7,FALSE)</f>
        <v>no</v>
      </c>
      <c r="AA512" s="233" t="str">
        <f>VLOOKUP(Table3[[#This Row],[Country Code]],Table29[],8,FALSE)</f>
        <v>OECD</v>
      </c>
      <c r="AB512" s="233" t="str">
        <f>VLOOKUP(Table3[[#This Row],[Country Code]],Table29[],9,FALSE)</f>
        <v>no</v>
      </c>
      <c r="AC512" s="233" t="str">
        <f>VLOOKUP(Table3[[#This Row],[Country Code]],Table29[],10,FALSE)</f>
        <v>no</v>
      </c>
      <c r="AD512" s="235">
        <f>VLOOKUP(Table3[[#This Row],[Country Code]],Table29[],23,FALSE)</f>
        <v>712.10209803987004</v>
      </c>
      <c r="AE512" s="235">
        <f>VLOOKUP(Table3[[#This Row],[Country Code]],Table29[],24,FALSE)</f>
        <v>132.220611733639</v>
      </c>
      <c r="AF512" s="43"/>
    </row>
    <row r="513" spans="1:32" x14ac:dyDescent="0.25">
      <c r="A513" s="360">
        <v>32507</v>
      </c>
      <c r="B513" s="233" t="str">
        <f>VLOOKUP(Table3[[#This Row],[Document ID]],Table1[],2,FALSE)</f>
        <v>MEX</v>
      </c>
      <c r="C513" s="233" t="str">
        <f>VLOOKUP(Table3[[#This Row],[Document ID]],Table1[],3,FALSE)</f>
        <v>Mexico</v>
      </c>
      <c r="D513" s="233" t="str">
        <f>VLOOKUP(Table3[[#This Row],[Document ID]],Table1[],5,FALSE)</f>
        <v>NDC</v>
      </c>
      <c r="E513" s="233" t="str">
        <f>VLOOKUP(Table3[[#This Row],[Document ID]],Table1[],7,FALSE)</f>
        <v>First NDC updated</v>
      </c>
      <c r="F513" s="233" t="str">
        <f>VLOOKUP(Table3[[#This Row],[Document ID]],Table1[],8,FALSE)</f>
        <v>NDC 1.2</v>
      </c>
      <c r="G513" s="233" t="str">
        <f>VLOOKUP(Table3[[#This Row],[Document ID]],Table1[],10,FALSE)</f>
        <v>Active</v>
      </c>
      <c r="H513" s="216" t="s">
        <v>1089</v>
      </c>
      <c r="I513" s="216" t="s">
        <v>1089</v>
      </c>
      <c r="J513" s="43" t="s">
        <v>1090</v>
      </c>
      <c r="K513" s="28" t="s">
        <v>1091</v>
      </c>
      <c r="L513" s="42" t="s">
        <v>1099</v>
      </c>
      <c r="M513" s="209">
        <v>2030</v>
      </c>
      <c r="N513" s="17" t="s">
        <v>1630</v>
      </c>
      <c r="O513" s="258">
        <v>9</v>
      </c>
      <c r="P513" s="238" t="str">
        <f>VLOOKUP(_xlfn.CONCAT(Table3[[#This Row],[Target area]],Table3[[#This Row],[GHG target?]],Table3[[#This Row],[Conditionality]]),'Drop down'!$E$81:$F$101,2,FALSE)</f>
        <v>T_Economy_Unc</v>
      </c>
      <c r="Q513" s="239" t="str">
        <f>VLOOKUP(Table3[[#This Row],[Target type]],Table418[[Value name]:[Value idenifyer]],2,FALSE)</f>
        <v>T_BAU</v>
      </c>
      <c r="V513" s="233" t="str">
        <f>VLOOKUP(Table3[[#This Row],[Country Code]],Table29[],3,FALSE)</f>
        <v>Non-Annex I</v>
      </c>
      <c r="W513" s="233" t="str">
        <f>VLOOKUP(Table3[[#This Row],[Country Code]],Table29[],4,FALSE)</f>
        <v>Latin America and the Caribbean</v>
      </c>
      <c r="X513" s="233" t="str">
        <f>VLOOKUP(Table3[[#This Row],[Country Code]],Table29[],5,FALSE)</f>
        <v>Middle-income</v>
      </c>
      <c r="Y513" s="233" t="str">
        <f>VLOOKUP(Table3[[#This Row],[Country Code]],Table29[],6,FALSE)</f>
        <v>G20</v>
      </c>
      <c r="Z513" s="233" t="str">
        <f>VLOOKUP(Table3[[#This Row],[Country Code]],Table29[],7,FALSE)</f>
        <v>no</v>
      </c>
      <c r="AA513" s="233" t="str">
        <f>VLOOKUP(Table3[[#This Row],[Country Code]],Table29[],8,FALSE)</f>
        <v>OECD</v>
      </c>
      <c r="AB513" s="233" t="str">
        <f>VLOOKUP(Table3[[#This Row],[Country Code]],Table29[],9,FALSE)</f>
        <v>no</v>
      </c>
      <c r="AC513" s="233" t="str">
        <f>VLOOKUP(Table3[[#This Row],[Country Code]],Table29[],10,FALSE)</f>
        <v>no</v>
      </c>
      <c r="AD513" s="235">
        <f>VLOOKUP(Table3[[#This Row],[Country Code]],Table29[],23,FALSE)</f>
        <v>712.10209803987004</v>
      </c>
      <c r="AE513" s="235">
        <f>VLOOKUP(Table3[[#This Row],[Country Code]],Table29[],24,FALSE)</f>
        <v>132.220611733639</v>
      </c>
      <c r="AF513" s="43"/>
    </row>
    <row r="514" spans="1:32" x14ac:dyDescent="0.25">
      <c r="A514" s="360">
        <v>32507</v>
      </c>
      <c r="B514" s="233" t="str">
        <f>VLOOKUP(Table3[[#This Row],[Document ID]],Table1[],2,FALSE)</f>
        <v>MEX</v>
      </c>
      <c r="C514" s="233" t="str">
        <f>VLOOKUP(Table3[[#This Row],[Document ID]],Table1[],3,FALSE)</f>
        <v>Mexico</v>
      </c>
      <c r="D514" s="233" t="str">
        <f>VLOOKUP(Table3[[#This Row],[Document ID]],Table1[],5,FALSE)</f>
        <v>NDC</v>
      </c>
      <c r="E514" s="233" t="str">
        <f>VLOOKUP(Table3[[#This Row],[Document ID]],Table1[],7,FALSE)</f>
        <v>First NDC updated</v>
      </c>
      <c r="F514" s="233" t="str">
        <f>VLOOKUP(Table3[[#This Row],[Document ID]],Table1[],8,FALSE)</f>
        <v>NDC 1.2</v>
      </c>
      <c r="G514" s="233" t="str">
        <f>VLOOKUP(Table3[[#This Row],[Document ID]],Table1[],10,FALSE)</f>
        <v>Active</v>
      </c>
      <c r="H514" s="216" t="s">
        <v>1089</v>
      </c>
      <c r="I514" s="216" t="s">
        <v>1089</v>
      </c>
      <c r="J514" s="43" t="s">
        <v>1090</v>
      </c>
      <c r="K514" s="28" t="s">
        <v>1091</v>
      </c>
      <c r="L514" s="216" t="s">
        <v>1092</v>
      </c>
      <c r="M514" s="209">
        <v>2030</v>
      </c>
      <c r="N514" s="43" t="s">
        <v>1630</v>
      </c>
      <c r="O514" s="258">
        <v>9</v>
      </c>
      <c r="P514" s="238" t="str">
        <f>VLOOKUP(_xlfn.CONCAT(Table3[[#This Row],[Target area]],Table3[[#This Row],[GHG target?]],Table3[[#This Row],[Conditionality]]),'Drop down'!$E$81:$F$101,2,FALSE)</f>
        <v>T_Economy_C</v>
      </c>
      <c r="Q514" s="239" t="str">
        <f>VLOOKUP(Table3[[#This Row],[Target type]],Table418[[Value name]:[Value idenifyer]],2,FALSE)</f>
        <v>T_BAU</v>
      </c>
      <c r="V514" s="233" t="str">
        <f>VLOOKUP(Table3[[#This Row],[Country Code]],Table29[],3,FALSE)</f>
        <v>Non-Annex I</v>
      </c>
      <c r="W514" s="233" t="str">
        <f>VLOOKUP(Table3[[#This Row],[Country Code]],Table29[],4,FALSE)</f>
        <v>Latin America and the Caribbean</v>
      </c>
      <c r="X514" s="233" t="str">
        <f>VLOOKUP(Table3[[#This Row],[Country Code]],Table29[],5,FALSE)</f>
        <v>Middle-income</v>
      </c>
      <c r="Y514" s="233" t="str">
        <f>VLOOKUP(Table3[[#This Row],[Country Code]],Table29[],6,FALSE)</f>
        <v>G20</v>
      </c>
      <c r="Z514" s="233" t="str">
        <f>VLOOKUP(Table3[[#This Row],[Country Code]],Table29[],7,FALSE)</f>
        <v>no</v>
      </c>
      <c r="AA514" s="233" t="str">
        <f>VLOOKUP(Table3[[#This Row],[Country Code]],Table29[],8,FALSE)</f>
        <v>OECD</v>
      </c>
      <c r="AB514" s="233" t="str">
        <f>VLOOKUP(Table3[[#This Row],[Country Code]],Table29[],9,FALSE)</f>
        <v>no</v>
      </c>
      <c r="AC514" s="233" t="str">
        <f>VLOOKUP(Table3[[#This Row],[Country Code]],Table29[],10,FALSE)</f>
        <v>no</v>
      </c>
      <c r="AD514" s="235">
        <f>VLOOKUP(Table3[[#This Row],[Country Code]],Table29[],23,FALSE)</f>
        <v>712.10209803987004</v>
      </c>
      <c r="AE514" s="235">
        <f>VLOOKUP(Table3[[#This Row],[Country Code]],Table29[],24,FALSE)</f>
        <v>132.220611733639</v>
      </c>
      <c r="AF514" s="43"/>
    </row>
    <row r="515" spans="1:32" x14ac:dyDescent="0.25">
      <c r="A515" s="360">
        <v>32507</v>
      </c>
      <c r="B515" s="233" t="str">
        <f>VLOOKUP(Table3[[#This Row],[Document ID]],Table1[],2,FALSE)</f>
        <v>MEX</v>
      </c>
      <c r="C515" s="233" t="str">
        <f>VLOOKUP(Table3[[#This Row],[Document ID]],Table1[],3,FALSE)</f>
        <v>Mexico</v>
      </c>
      <c r="D515" s="233" t="str">
        <f>VLOOKUP(Table3[[#This Row],[Document ID]],Table1[],5,FALSE)</f>
        <v>NDC</v>
      </c>
      <c r="E515" s="233" t="str">
        <f>VLOOKUP(Table3[[#This Row],[Document ID]],Table1[],7,FALSE)</f>
        <v>First NDC updated</v>
      </c>
      <c r="F515" s="233" t="str">
        <f>VLOOKUP(Table3[[#This Row],[Document ID]],Table1[],8,FALSE)</f>
        <v>NDC 1.2</v>
      </c>
      <c r="G515" s="233" t="str">
        <f>VLOOKUP(Table3[[#This Row],[Document ID]],Table1[],10,FALSE)</f>
        <v>Active</v>
      </c>
      <c r="H515" s="43" t="s">
        <v>1114</v>
      </c>
      <c r="I515" s="43" t="s">
        <v>1115</v>
      </c>
      <c r="J515" s="42" t="s">
        <v>1097</v>
      </c>
      <c r="K515" s="28" t="s">
        <v>1118</v>
      </c>
      <c r="L515" s="43" t="s">
        <v>1116</v>
      </c>
      <c r="M515" s="209" t="s">
        <v>1094</v>
      </c>
      <c r="N515" s="43" t="s">
        <v>1631</v>
      </c>
      <c r="O515" s="258">
        <v>13</v>
      </c>
      <c r="P515" s="238" t="str">
        <f>VLOOKUP(_xlfn.CONCAT(Table3[[#This Row],[Target area]],Table3[[#This Row],[GHG target?]],Table3[[#This Row],[Conditionality]]),'Drop down'!$E$81:$F$101,2,FALSE)</f>
        <v>T_Energy_O</v>
      </c>
      <c r="Q515" s="239" t="str">
        <f>VLOOKUP(Table3[[#This Row],[Target type]],Table418[[Value name]:[Value idenifyer]],2,FALSE)</f>
        <v>T_E_REN</v>
      </c>
      <c r="V515" s="233" t="str">
        <f>VLOOKUP(Table3[[#This Row],[Country Code]],Table29[],3,FALSE)</f>
        <v>Non-Annex I</v>
      </c>
      <c r="W515" s="233" t="str">
        <f>VLOOKUP(Table3[[#This Row],[Country Code]],Table29[],4,FALSE)</f>
        <v>Latin America and the Caribbean</v>
      </c>
      <c r="X515" s="233" t="str">
        <f>VLOOKUP(Table3[[#This Row],[Country Code]],Table29[],5,FALSE)</f>
        <v>Middle-income</v>
      </c>
      <c r="Y515" s="233" t="str">
        <f>VLOOKUP(Table3[[#This Row],[Country Code]],Table29[],6,FALSE)</f>
        <v>G20</v>
      </c>
      <c r="Z515" s="233" t="str">
        <f>VLOOKUP(Table3[[#This Row],[Country Code]],Table29[],7,FALSE)</f>
        <v>no</v>
      </c>
      <c r="AA515" s="233" t="str">
        <f>VLOOKUP(Table3[[#This Row],[Country Code]],Table29[],8,FALSE)</f>
        <v>OECD</v>
      </c>
      <c r="AB515" s="233" t="str">
        <f>VLOOKUP(Table3[[#This Row],[Country Code]],Table29[],9,FALSE)</f>
        <v>no</v>
      </c>
      <c r="AC515" s="233" t="str">
        <f>VLOOKUP(Table3[[#This Row],[Country Code]],Table29[],10,FALSE)</f>
        <v>no</v>
      </c>
      <c r="AD515" s="235">
        <f>VLOOKUP(Table3[[#This Row],[Country Code]],Table29[],23,FALSE)</f>
        <v>712.10209803987004</v>
      </c>
      <c r="AE515" s="235">
        <f>VLOOKUP(Table3[[#This Row],[Country Code]],Table29[],24,FALSE)</f>
        <v>132.220611733639</v>
      </c>
      <c r="AF515" s="43"/>
    </row>
    <row r="516" spans="1:32" ht="30" x14ac:dyDescent="0.25">
      <c r="A516" s="360">
        <v>32508</v>
      </c>
      <c r="B516" s="233" t="str">
        <f>VLOOKUP(Table3[[#This Row],[Document ID]],Table1[],2,FALSE)</f>
        <v>FSM</v>
      </c>
      <c r="C516" s="233" t="str">
        <f>VLOOKUP(Table3[[#This Row],[Document ID]],Table1[],3,FALSE)</f>
        <v>Micronesia (Federated States of)</v>
      </c>
      <c r="D516" s="233" t="str">
        <f>VLOOKUP(Table3[[#This Row],[Document ID]],Table1[],5,FALSE)</f>
        <v>NDC</v>
      </c>
      <c r="E516" s="233" t="str">
        <f>VLOOKUP(Table3[[#This Row],[Document ID]],Table1[],7,FALSE)</f>
        <v>First NDC updated</v>
      </c>
      <c r="F516" s="233" t="str">
        <f>VLOOKUP(Table3[[#This Row],[Document ID]],Table1[],8,FALSE)</f>
        <v>NDC 1.1</v>
      </c>
      <c r="G516" s="233" t="str">
        <f>VLOOKUP(Table3[[#This Row],[Document ID]],Table1[],10,FALSE)</f>
        <v>Active</v>
      </c>
      <c r="H516" s="43" t="s">
        <v>1139</v>
      </c>
      <c r="I516" s="43" t="s">
        <v>1096</v>
      </c>
      <c r="J516" s="42" t="s">
        <v>1097</v>
      </c>
      <c r="K516" s="28" t="s">
        <v>1140</v>
      </c>
      <c r="L516" s="42" t="s">
        <v>1099</v>
      </c>
      <c r="M516" s="209">
        <v>2030</v>
      </c>
      <c r="N516" s="209" t="s">
        <v>1632</v>
      </c>
      <c r="O516" s="257">
        <v>5</v>
      </c>
      <c r="P516" s="238" t="str">
        <f>VLOOKUP(_xlfn.CONCAT(Table3[[#This Row],[Target area]],Table3[[#This Row],[GHG target?]],Table3[[#This Row],[Conditionality]]),'Drop down'!$E$81:$F$101,2,FALSE)</f>
        <v>T_Adaptation_Unc</v>
      </c>
      <c r="Q516" s="239" t="str">
        <f>VLOOKUP(Table3[[#This Row],[Target type]],Table418[[Value name]:[Value idenifyer]],2,FALSE)</f>
        <v>T_A_GEN</v>
      </c>
      <c r="T516" s="240"/>
      <c r="V516" s="233" t="str">
        <f>VLOOKUP(Table3[[#This Row],[Country Code]],Table29[],3,FALSE)</f>
        <v>Non-Annex I</v>
      </c>
      <c r="W516" s="233" t="str">
        <f>VLOOKUP(Table3[[#This Row],[Country Code]],Table29[],4,FALSE)</f>
        <v>Oceania</v>
      </c>
      <c r="X516" s="233" t="str">
        <f>VLOOKUP(Table3[[#This Row],[Country Code]],Table29[],5,FALSE)</f>
        <v>Middle-income</v>
      </c>
      <c r="Y516" s="233" t="str">
        <f>VLOOKUP(Table3[[#This Row],[Country Code]],Table29[],6,FALSE)</f>
        <v>no</v>
      </c>
      <c r="Z516" s="233" t="str">
        <f>VLOOKUP(Table3[[#This Row],[Country Code]],Table29[],7,FALSE)</f>
        <v>no</v>
      </c>
      <c r="AA516" s="233" t="str">
        <f>VLOOKUP(Table3[[#This Row],[Country Code]],Table29[],8,FALSE)</f>
        <v>non-OECD</v>
      </c>
      <c r="AB516" s="233" t="str">
        <f>VLOOKUP(Table3[[#This Row],[Country Code]],Table29[],9,FALSE)</f>
        <v>no</v>
      </c>
      <c r="AC516" s="233" t="str">
        <f>VLOOKUP(Table3[[#This Row],[Country Code]],Table29[],10,FALSE)</f>
        <v>no</v>
      </c>
      <c r="AD516" s="235">
        <f>VLOOKUP(Table3[[#This Row],[Country Code]],Table29[],23,FALSE)</f>
        <v>0</v>
      </c>
      <c r="AE516" s="235">
        <f>VLOOKUP(Table3[[#This Row],[Country Code]],Table29[],24,FALSE)</f>
        <v>0</v>
      </c>
      <c r="AF516" s="43"/>
    </row>
    <row r="517" spans="1:32" ht="30" x14ac:dyDescent="0.25">
      <c r="A517" s="360">
        <v>32508</v>
      </c>
      <c r="B517" s="233" t="str">
        <f>VLOOKUP(Table3[[#This Row],[Document ID]],Table1[],2,FALSE)</f>
        <v>FSM</v>
      </c>
      <c r="C517" s="233" t="str">
        <f>VLOOKUP(Table3[[#This Row],[Document ID]],Table1[],3,FALSE)</f>
        <v>Micronesia (Federated States of)</v>
      </c>
      <c r="D517" s="233" t="str">
        <f>VLOOKUP(Table3[[#This Row],[Document ID]],Table1[],5,FALSE)</f>
        <v>NDC</v>
      </c>
      <c r="E517" s="233" t="str">
        <f>VLOOKUP(Table3[[#This Row],[Document ID]],Table1[],7,FALSE)</f>
        <v>First NDC updated</v>
      </c>
      <c r="F517" s="233" t="str">
        <f>VLOOKUP(Table3[[#This Row],[Document ID]],Table1[],8,FALSE)</f>
        <v>NDC 1.1</v>
      </c>
      <c r="G517" s="233" t="str">
        <f>VLOOKUP(Table3[[#This Row],[Document ID]],Table1[],10,FALSE)</f>
        <v>Active</v>
      </c>
      <c r="H517" s="43" t="s">
        <v>1139</v>
      </c>
      <c r="I517" s="43" t="s">
        <v>1096</v>
      </c>
      <c r="J517" s="42" t="s">
        <v>1097</v>
      </c>
      <c r="K517" s="28" t="s">
        <v>1140</v>
      </c>
      <c r="L517" s="42" t="s">
        <v>1099</v>
      </c>
      <c r="M517" s="209">
        <v>2030</v>
      </c>
      <c r="N517" s="209" t="s">
        <v>1633</v>
      </c>
      <c r="O517" s="257">
        <v>5</v>
      </c>
      <c r="P517" s="238" t="str">
        <f>VLOOKUP(_xlfn.CONCAT(Table3[[#This Row],[Target area]],Table3[[#This Row],[GHG target?]],Table3[[#This Row],[Conditionality]]),'Drop down'!$E$81:$F$101,2,FALSE)</f>
        <v>T_Adaptation_Unc</v>
      </c>
      <c r="Q517" s="239" t="str">
        <f>VLOOKUP(Table3[[#This Row],[Target type]],Table418[[Value name]:[Value idenifyer]],2,FALSE)</f>
        <v>T_A_GEN</v>
      </c>
      <c r="T517" s="240"/>
      <c r="V517" s="233" t="str">
        <f>VLOOKUP(Table3[[#This Row],[Country Code]],Table29[],3,FALSE)</f>
        <v>Non-Annex I</v>
      </c>
      <c r="W517" s="233" t="str">
        <f>VLOOKUP(Table3[[#This Row],[Country Code]],Table29[],4,FALSE)</f>
        <v>Oceania</v>
      </c>
      <c r="X517" s="233" t="str">
        <f>VLOOKUP(Table3[[#This Row],[Country Code]],Table29[],5,FALSE)</f>
        <v>Middle-income</v>
      </c>
      <c r="Y517" s="233" t="str">
        <f>VLOOKUP(Table3[[#This Row],[Country Code]],Table29[],6,FALSE)</f>
        <v>no</v>
      </c>
      <c r="Z517" s="233" t="str">
        <f>VLOOKUP(Table3[[#This Row],[Country Code]],Table29[],7,FALSE)</f>
        <v>no</v>
      </c>
      <c r="AA517" s="233" t="str">
        <f>VLOOKUP(Table3[[#This Row],[Country Code]],Table29[],8,FALSE)</f>
        <v>non-OECD</v>
      </c>
      <c r="AB517" s="233" t="str">
        <f>VLOOKUP(Table3[[#This Row],[Country Code]],Table29[],9,FALSE)</f>
        <v>no</v>
      </c>
      <c r="AC517" s="233" t="str">
        <f>VLOOKUP(Table3[[#This Row],[Country Code]],Table29[],10,FALSE)</f>
        <v>no</v>
      </c>
      <c r="AD517" s="235">
        <f>VLOOKUP(Table3[[#This Row],[Country Code]],Table29[],23,FALSE)</f>
        <v>0</v>
      </c>
      <c r="AE517" s="235">
        <f>VLOOKUP(Table3[[#This Row],[Country Code]],Table29[],24,FALSE)</f>
        <v>0</v>
      </c>
      <c r="AF517" s="43"/>
    </row>
    <row r="518" spans="1:32" x14ac:dyDescent="0.25">
      <c r="A518" s="360">
        <v>32508</v>
      </c>
      <c r="B518" s="233" t="str">
        <f>VLOOKUP(Table3[[#This Row],[Document ID]],Table1[],2,FALSE)</f>
        <v>FSM</v>
      </c>
      <c r="C518" s="233" t="str">
        <f>VLOOKUP(Table3[[#This Row],[Document ID]],Table1[],3,FALSE)</f>
        <v>Micronesia (Federated States of)</v>
      </c>
      <c r="D518" s="233" t="str">
        <f>VLOOKUP(Table3[[#This Row],[Document ID]],Table1[],5,FALSE)</f>
        <v>NDC</v>
      </c>
      <c r="E518" s="233" t="str">
        <f>VLOOKUP(Table3[[#This Row],[Document ID]],Table1[],7,FALSE)</f>
        <v>First NDC updated</v>
      </c>
      <c r="F518" s="233" t="str">
        <f>VLOOKUP(Table3[[#This Row],[Document ID]],Table1[],8,FALSE)</f>
        <v>NDC 1.1</v>
      </c>
      <c r="G518" s="233" t="str">
        <f>VLOOKUP(Table3[[#This Row],[Document ID]],Table1[],10,FALSE)</f>
        <v>Active</v>
      </c>
      <c r="H518" s="43" t="s">
        <v>1114</v>
      </c>
      <c r="I518" s="43" t="s">
        <v>1115</v>
      </c>
      <c r="J518" s="42" t="s">
        <v>1097</v>
      </c>
      <c r="K518" s="28" t="s">
        <v>1118</v>
      </c>
      <c r="L518" s="43" t="s">
        <v>1116</v>
      </c>
      <c r="M518" s="209">
        <v>2030</v>
      </c>
      <c r="N518" s="209" t="s">
        <v>1634</v>
      </c>
      <c r="O518" s="257">
        <v>4</v>
      </c>
      <c r="P518" s="238" t="str">
        <f>VLOOKUP(_xlfn.CONCAT(Table3[[#This Row],[Target area]],Table3[[#This Row],[GHG target?]],Table3[[#This Row],[Conditionality]]),'Drop down'!$E$81:$F$101,2,FALSE)</f>
        <v>T_Energy_O</v>
      </c>
      <c r="Q518" s="239" t="str">
        <f>VLOOKUP(Table3[[#This Row],[Target type]],Table418[[Value name]:[Value idenifyer]],2,FALSE)</f>
        <v>T_E_REN</v>
      </c>
      <c r="T518" s="240"/>
      <c r="V518" s="233" t="str">
        <f>VLOOKUP(Table3[[#This Row],[Country Code]],Table29[],3,FALSE)</f>
        <v>Non-Annex I</v>
      </c>
      <c r="W518" s="233" t="str">
        <f>VLOOKUP(Table3[[#This Row],[Country Code]],Table29[],4,FALSE)</f>
        <v>Oceania</v>
      </c>
      <c r="X518" s="233" t="str">
        <f>VLOOKUP(Table3[[#This Row],[Country Code]],Table29[],5,FALSE)</f>
        <v>Middle-income</v>
      </c>
      <c r="Y518" s="233" t="str">
        <f>VLOOKUP(Table3[[#This Row],[Country Code]],Table29[],6,FALSE)</f>
        <v>no</v>
      </c>
      <c r="Z518" s="233" t="str">
        <f>VLOOKUP(Table3[[#This Row],[Country Code]],Table29[],7,FALSE)</f>
        <v>no</v>
      </c>
      <c r="AA518" s="233" t="str">
        <f>VLOOKUP(Table3[[#This Row],[Country Code]],Table29[],8,FALSE)</f>
        <v>non-OECD</v>
      </c>
      <c r="AB518" s="233" t="str">
        <f>VLOOKUP(Table3[[#This Row],[Country Code]],Table29[],9,FALSE)</f>
        <v>no</v>
      </c>
      <c r="AC518" s="233" t="str">
        <f>VLOOKUP(Table3[[#This Row],[Country Code]],Table29[],10,FALSE)</f>
        <v>no</v>
      </c>
      <c r="AD518" s="235">
        <f>VLOOKUP(Table3[[#This Row],[Country Code]],Table29[],23,FALSE)</f>
        <v>0</v>
      </c>
      <c r="AE518" s="235">
        <f>VLOOKUP(Table3[[#This Row],[Country Code]],Table29[],24,FALSE)</f>
        <v>0</v>
      </c>
      <c r="AF518" s="43"/>
    </row>
    <row r="519" spans="1:32" x14ac:dyDescent="0.25">
      <c r="A519" s="360">
        <v>17663</v>
      </c>
      <c r="B519" s="233" t="str">
        <f>VLOOKUP(Table3[[#This Row],[Document ID]],Table1[],2,FALSE)</f>
        <v>FSM</v>
      </c>
      <c r="C519" s="233" t="str">
        <f>VLOOKUP(Table3[[#This Row],[Document ID]],Table1[],3,FALSE)</f>
        <v>Micronesia (Federated States of)</v>
      </c>
      <c r="D519" s="233" t="str">
        <f>VLOOKUP(Table3[[#This Row],[Document ID]],Table1[],5,FALSE)</f>
        <v>NDC</v>
      </c>
      <c r="E519" s="233" t="str">
        <f>VLOOKUP(Table3[[#This Row],[Document ID]],Table1[],7,FALSE)</f>
        <v>First NDC</v>
      </c>
      <c r="F519" s="233" t="str">
        <f>VLOOKUP(Table3[[#This Row],[Document ID]],Table1[],8,FALSE)</f>
        <v>NDC 1.0</v>
      </c>
      <c r="G519" s="233" t="str">
        <f>VLOOKUP(Table3[[#This Row],[Document ID]],Table1[],10,FALSE)</f>
        <v>Archived</v>
      </c>
      <c r="H519" s="216" t="s">
        <v>1089</v>
      </c>
      <c r="I519" s="216" t="s">
        <v>1089</v>
      </c>
      <c r="J519" s="43" t="s">
        <v>1090</v>
      </c>
      <c r="K519" s="28" t="s">
        <v>1153</v>
      </c>
      <c r="L519" s="42" t="s">
        <v>1099</v>
      </c>
      <c r="M519" s="209">
        <v>2025</v>
      </c>
      <c r="N519" s="176" t="s">
        <v>1635</v>
      </c>
      <c r="O519" s="258" t="s">
        <v>1094</v>
      </c>
      <c r="P519" s="238" t="str">
        <f>VLOOKUP(_xlfn.CONCAT(Table3[[#This Row],[Target area]],Table3[[#This Row],[GHG target?]],Table3[[#This Row],[Conditionality]]),'Drop down'!$E$81:$F$101,2,FALSE)</f>
        <v>T_Economy_Unc</v>
      </c>
      <c r="Q519" s="239" t="str">
        <f>VLOOKUP(Table3[[#This Row],[Target type]],Table418[[Value name]:[Value idenifyer]],2,FALSE)</f>
        <v>T_BYE</v>
      </c>
      <c r="T519" s="240"/>
      <c r="V519" s="233" t="str">
        <f>VLOOKUP(Table3[[#This Row],[Country Code]],Table29[],3,FALSE)</f>
        <v>Non-Annex I</v>
      </c>
      <c r="W519" s="233" t="str">
        <f>VLOOKUP(Table3[[#This Row],[Country Code]],Table29[],4,FALSE)</f>
        <v>Oceania</v>
      </c>
      <c r="X519" s="233" t="str">
        <f>VLOOKUP(Table3[[#This Row],[Country Code]],Table29[],5,FALSE)</f>
        <v>Middle-income</v>
      </c>
      <c r="Y519" s="233" t="str">
        <f>VLOOKUP(Table3[[#This Row],[Country Code]],Table29[],6,FALSE)</f>
        <v>no</v>
      </c>
      <c r="Z519" s="233" t="str">
        <f>VLOOKUP(Table3[[#This Row],[Country Code]],Table29[],7,FALSE)</f>
        <v>no</v>
      </c>
      <c r="AA519" s="233" t="str">
        <f>VLOOKUP(Table3[[#This Row],[Country Code]],Table29[],8,FALSE)</f>
        <v>non-OECD</v>
      </c>
      <c r="AB519" s="233" t="str">
        <f>VLOOKUP(Table3[[#This Row],[Country Code]],Table29[],9,FALSE)</f>
        <v>no</v>
      </c>
      <c r="AC519" s="233" t="str">
        <f>VLOOKUP(Table3[[#This Row],[Country Code]],Table29[],10,FALSE)</f>
        <v>no</v>
      </c>
      <c r="AD519" s="235">
        <f>VLOOKUP(Table3[[#This Row],[Country Code]],Table29[],23,FALSE)</f>
        <v>0</v>
      </c>
      <c r="AE519" s="235">
        <f>VLOOKUP(Table3[[#This Row],[Country Code]],Table29[],24,FALSE)</f>
        <v>0</v>
      </c>
      <c r="AF519" s="43"/>
    </row>
    <row r="520" spans="1:32" x14ac:dyDescent="0.25">
      <c r="A520" s="360">
        <v>17663</v>
      </c>
      <c r="B520" s="233" t="str">
        <f>VLOOKUP(Table3[[#This Row],[Document ID]],Table1[],2,FALSE)</f>
        <v>FSM</v>
      </c>
      <c r="C520" s="233" t="str">
        <f>VLOOKUP(Table3[[#This Row],[Document ID]],Table1[],3,FALSE)</f>
        <v>Micronesia (Federated States of)</v>
      </c>
      <c r="D520" s="233" t="str">
        <f>VLOOKUP(Table3[[#This Row],[Document ID]],Table1[],5,FALSE)</f>
        <v>NDC</v>
      </c>
      <c r="E520" s="233" t="str">
        <f>VLOOKUP(Table3[[#This Row],[Document ID]],Table1[],7,FALSE)</f>
        <v>First NDC</v>
      </c>
      <c r="F520" s="233" t="str">
        <f>VLOOKUP(Table3[[#This Row],[Document ID]],Table1[],8,FALSE)</f>
        <v>NDC 1.0</v>
      </c>
      <c r="G520" s="233" t="str">
        <f>VLOOKUP(Table3[[#This Row],[Document ID]],Table1[],10,FALSE)</f>
        <v>Archived</v>
      </c>
      <c r="H520" s="216" t="s">
        <v>1089</v>
      </c>
      <c r="I520" s="216" t="s">
        <v>1089</v>
      </c>
      <c r="J520" s="43" t="s">
        <v>1090</v>
      </c>
      <c r="K520" s="28" t="s">
        <v>1153</v>
      </c>
      <c r="L520" s="216" t="s">
        <v>1092</v>
      </c>
      <c r="M520" s="209">
        <v>2025</v>
      </c>
      <c r="N520" s="176" t="s">
        <v>1636</v>
      </c>
      <c r="O520" s="258" t="s">
        <v>1094</v>
      </c>
      <c r="P520" s="238" t="str">
        <f>VLOOKUP(_xlfn.CONCAT(Table3[[#This Row],[Target area]],Table3[[#This Row],[GHG target?]],Table3[[#This Row],[Conditionality]]),'Drop down'!$E$81:$F$101,2,FALSE)</f>
        <v>T_Economy_C</v>
      </c>
      <c r="Q520" s="239" t="str">
        <f>VLOOKUP(Table3[[#This Row],[Target type]],Table418[[Value name]:[Value idenifyer]],2,FALSE)</f>
        <v>T_BYE</v>
      </c>
      <c r="T520" s="240"/>
      <c r="V520" s="233" t="str">
        <f>VLOOKUP(Table3[[#This Row],[Country Code]],Table29[],3,FALSE)</f>
        <v>Non-Annex I</v>
      </c>
      <c r="W520" s="233" t="str">
        <f>VLOOKUP(Table3[[#This Row],[Country Code]],Table29[],4,FALSE)</f>
        <v>Oceania</v>
      </c>
      <c r="X520" s="233" t="str">
        <f>VLOOKUP(Table3[[#This Row],[Country Code]],Table29[],5,FALSE)</f>
        <v>Middle-income</v>
      </c>
      <c r="Y520" s="233" t="str">
        <f>VLOOKUP(Table3[[#This Row],[Country Code]],Table29[],6,FALSE)</f>
        <v>no</v>
      </c>
      <c r="Z520" s="233" t="str">
        <f>VLOOKUP(Table3[[#This Row],[Country Code]],Table29[],7,FALSE)</f>
        <v>no</v>
      </c>
      <c r="AA520" s="233" t="str">
        <f>VLOOKUP(Table3[[#This Row],[Country Code]],Table29[],8,FALSE)</f>
        <v>non-OECD</v>
      </c>
      <c r="AB520" s="233" t="str">
        <f>VLOOKUP(Table3[[#This Row],[Country Code]],Table29[],9,FALSE)</f>
        <v>no</v>
      </c>
      <c r="AC520" s="233" t="str">
        <f>VLOOKUP(Table3[[#This Row],[Country Code]],Table29[],10,FALSE)</f>
        <v>no</v>
      </c>
      <c r="AD520" s="235">
        <f>VLOOKUP(Table3[[#This Row],[Country Code]],Table29[],23,FALSE)</f>
        <v>0</v>
      </c>
      <c r="AE520" s="235">
        <f>VLOOKUP(Table3[[#This Row],[Country Code]],Table29[],24,FALSE)</f>
        <v>0</v>
      </c>
      <c r="AF520" s="43"/>
    </row>
    <row r="521" spans="1:32" ht="30" x14ac:dyDescent="0.25">
      <c r="A521" s="360">
        <v>32523</v>
      </c>
      <c r="B521" s="233" t="str">
        <f>VLOOKUP(Table3[[#This Row],[Document ID]],Table1[],2,FALSE)</f>
        <v>GBR</v>
      </c>
      <c r="C521" s="233" t="str">
        <f>VLOOKUP(Table3[[#This Row],[Document ID]],Table1[],3,FALSE)</f>
        <v>United Kingdom</v>
      </c>
      <c r="D521" s="233" t="str">
        <f>VLOOKUP(Table3[[#This Row],[Document ID]],Table1[],5,FALSE)</f>
        <v>NDC</v>
      </c>
      <c r="E521" s="233" t="str">
        <f>VLOOKUP(Table3[[#This Row],[Document ID]],Table1[],7,FALSE)</f>
        <v>First NDC updated</v>
      </c>
      <c r="F521" s="233" t="str">
        <f>VLOOKUP(Table3[[#This Row],[Document ID]],Table1[],8,FALSE)</f>
        <v>NDC 1.2</v>
      </c>
      <c r="G521" s="233" t="str">
        <f>VLOOKUP(Table3[[#This Row],[Document ID]],Table1[],10,FALSE)</f>
        <v>Archived</v>
      </c>
      <c r="H521" s="216" t="s">
        <v>1089</v>
      </c>
      <c r="I521" s="216" t="s">
        <v>1089</v>
      </c>
      <c r="J521" s="43" t="s">
        <v>1090</v>
      </c>
      <c r="K521" s="28" t="s">
        <v>1153</v>
      </c>
      <c r="L521" s="42" t="s">
        <v>1099</v>
      </c>
      <c r="M521" s="209">
        <v>2030</v>
      </c>
      <c r="N521" s="209" t="s">
        <v>1637</v>
      </c>
      <c r="O521" s="257">
        <v>1</v>
      </c>
      <c r="P521" s="238" t="str">
        <f>VLOOKUP(_xlfn.CONCAT(Table3[[#This Row],[Target area]],Table3[[#This Row],[GHG target?]],Table3[[#This Row],[Conditionality]]),'Drop down'!$E$81:$F$101,2,FALSE)</f>
        <v>T_Economy_Unc</v>
      </c>
      <c r="Q521" s="239" t="str">
        <f>VLOOKUP(Table3[[#This Row],[Target type]],Table418[[Value name]:[Value idenifyer]],2,FALSE)</f>
        <v>T_BYE</v>
      </c>
      <c r="T521" s="234" t="s">
        <v>1113</v>
      </c>
      <c r="U521" s="242" t="s">
        <v>1402</v>
      </c>
      <c r="V521" s="233" t="str">
        <f>VLOOKUP(Table3[[#This Row],[Country Code]],Table29[],3,FALSE)</f>
        <v>Annex I</v>
      </c>
      <c r="W521" s="233" t="str">
        <f>VLOOKUP(Table3[[#This Row],[Country Code]],Table29[],4,FALSE)</f>
        <v>Europe</v>
      </c>
      <c r="X521" s="233" t="str">
        <f>VLOOKUP(Table3[[#This Row],[Country Code]],Table29[],5,FALSE)</f>
        <v>High-income</v>
      </c>
      <c r="Y521" s="233" t="str">
        <f>VLOOKUP(Table3[[#This Row],[Country Code]],Table29[],6,FALSE)</f>
        <v>G20</v>
      </c>
      <c r="Z521" s="233" t="str">
        <f>VLOOKUP(Table3[[#This Row],[Country Code]],Table29[],7,FALSE)</f>
        <v>G7</v>
      </c>
      <c r="AA521" s="233" t="str">
        <f>VLOOKUP(Table3[[#This Row],[Country Code]],Table29[],8,FALSE)</f>
        <v>OECD</v>
      </c>
      <c r="AB521" s="233" t="str">
        <f>VLOOKUP(Table3[[#This Row],[Country Code]],Table29[],9,FALSE)</f>
        <v>no</v>
      </c>
      <c r="AC521" s="233" t="str">
        <f>VLOOKUP(Table3[[#This Row],[Country Code]],Table29[],10,FALSE)</f>
        <v>no</v>
      </c>
      <c r="AD521" s="235">
        <f>VLOOKUP(Table3[[#This Row],[Country Code]],Table29[],23,FALSE)</f>
        <v>379.31858785213001</v>
      </c>
      <c r="AE521" s="235">
        <f>VLOOKUP(Table3[[#This Row],[Country Code]],Table29[],24,FALSE)</f>
        <v>109.75048777474809</v>
      </c>
      <c r="AF521" s="43"/>
    </row>
    <row r="522" spans="1:32" ht="30" x14ac:dyDescent="0.25">
      <c r="A522" s="360">
        <v>26792</v>
      </c>
      <c r="B522" s="233" t="str">
        <f>VLOOKUP(Table3[[#This Row],[Document ID]],Table1[],2,FALSE)</f>
        <v>GBR</v>
      </c>
      <c r="C522" s="233" t="str">
        <f>VLOOKUP(Table3[[#This Row],[Document ID]],Table1[],3,FALSE)</f>
        <v>United Kingdom</v>
      </c>
      <c r="D522" s="233" t="str">
        <f>VLOOKUP(Table3[[#This Row],[Document ID]],Table1[],5,FALSE)</f>
        <v>LTS</v>
      </c>
      <c r="E522" s="233" t="str">
        <f>VLOOKUP(Table3[[#This Row],[Document ID]],Table1[],7,FALSE)</f>
        <v>LTS</v>
      </c>
      <c r="F522" s="233" t="str">
        <f>VLOOKUP(Table3[[#This Row],[Document ID]],Table1[],8,FALSE)</f>
        <v>LTS 1.1</v>
      </c>
      <c r="G522" s="233" t="str">
        <f>VLOOKUP(Table3[[#This Row],[Document ID]],Table1[],10,FALSE)</f>
        <v>Active</v>
      </c>
      <c r="H522" s="43" t="s">
        <v>1147</v>
      </c>
      <c r="I522" s="43" t="s">
        <v>1089</v>
      </c>
      <c r="J522" s="43" t="s">
        <v>1090</v>
      </c>
      <c r="K522" s="28" t="s">
        <v>1121</v>
      </c>
      <c r="L522" s="43" t="s">
        <v>1116</v>
      </c>
      <c r="M522" s="209">
        <v>2050</v>
      </c>
      <c r="N522" s="44" t="s">
        <v>1485</v>
      </c>
      <c r="O522" s="258">
        <v>16</v>
      </c>
      <c r="P522" s="238" t="str">
        <f>VLOOKUP(_xlfn.CONCAT(Table3[[#This Row],[Target area]],Table3[[#This Row],[GHG target?]],Table3[[#This Row],[Conditionality]]),'Drop down'!$E$81:$F$101,2,FALSE)</f>
        <v>T_Netzero</v>
      </c>
      <c r="Q522" s="239" t="str">
        <f>VLOOKUP(Table3[[#This Row],[Target type]],Table418[[Value name]:[Value idenifyer]],2,FALSE)</f>
        <v>T_FL</v>
      </c>
      <c r="U522" s="234" t="s">
        <v>1240</v>
      </c>
      <c r="V522" s="233" t="str">
        <f>VLOOKUP(Table3[[#This Row],[Country Code]],Table29[],3,FALSE)</f>
        <v>Annex I</v>
      </c>
      <c r="W522" s="233" t="str">
        <f>VLOOKUP(Table3[[#This Row],[Country Code]],Table29[],4,FALSE)</f>
        <v>Europe</v>
      </c>
      <c r="X522" s="233" t="str">
        <f>VLOOKUP(Table3[[#This Row],[Country Code]],Table29[],5,FALSE)</f>
        <v>High-income</v>
      </c>
      <c r="Y522" s="233" t="str">
        <f>VLOOKUP(Table3[[#This Row],[Country Code]],Table29[],6,FALSE)</f>
        <v>G20</v>
      </c>
      <c r="Z522" s="233" t="str">
        <f>VLOOKUP(Table3[[#This Row],[Country Code]],Table29[],7,FALSE)</f>
        <v>G7</v>
      </c>
      <c r="AA522" s="233" t="str">
        <f>VLOOKUP(Table3[[#This Row],[Country Code]],Table29[],8,FALSE)</f>
        <v>OECD</v>
      </c>
      <c r="AB522" s="233" t="str">
        <f>VLOOKUP(Table3[[#This Row],[Country Code]],Table29[],9,FALSE)</f>
        <v>no</v>
      </c>
      <c r="AC522" s="233" t="str">
        <f>VLOOKUP(Table3[[#This Row],[Country Code]],Table29[],10,FALSE)</f>
        <v>no</v>
      </c>
      <c r="AD522" s="235">
        <f>VLOOKUP(Table3[[#This Row],[Country Code]],Table29[],23,FALSE)</f>
        <v>379.31858785213001</v>
      </c>
      <c r="AE522" s="235">
        <f>VLOOKUP(Table3[[#This Row],[Country Code]],Table29[],24,FALSE)</f>
        <v>109.75048777474809</v>
      </c>
      <c r="AF522" s="43"/>
    </row>
    <row r="523" spans="1:32" ht="30" x14ac:dyDescent="0.25">
      <c r="A523" s="368">
        <v>39445</v>
      </c>
      <c r="B523" s="233" t="str">
        <f>VLOOKUP(Table3[[#This Row],[Document ID]],Table1[],2,FALSE)</f>
        <v>IRL</v>
      </c>
      <c r="C523" s="233" t="str">
        <f>VLOOKUP(Table3[[#This Row],[Document ID]],Table1[],3,FALSE)</f>
        <v>Ireland</v>
      </c>
      <c r="D523" s="233" t="str">
        <f>VLOOKUP(Table3[[#This Row],[Document ID]],Table1[],5,FALSE)</f>
        <v>LTS</v>
      </c>
      <c r="E523" s="233" t="str">
        <f>VLOOKUP(Table3[[#This Row],[Document ID]],Table1[],7,FALSE)</f>
        <v>EU-LTS</v>
      </c>
      <c r="F523" s="233" t="str">
        <f>VLOOKUP(Table3[[#This Row],[Document ID]],Table1[],8,FALSE)</f>
        <v>LTS 1.0</v>
      </c>
      <c r="G523" s="233" t="str">
        <f>VLOOKUP(Table3[[#This Row],[Document ID]],Table1[],10,FALSE)</f>
        <v>Archived</v>
      </c>
      <c r="H523" s="43" t="s">
        <v>1147</v>
      </c>
      <c r="I523" s="43" t="s">
        <v>1089</v>
      </c>
      <c r="J523" s="43" t="s">
        <v>1090</v>
      </c>
      <c r="K523" s="28" t="s">
        <v>1121</v>
      </c>
      <c r="L523" s="43" t="s">
        <v>1116</v>
      </c>
      <c r="M523" s="209">
        <v>2050</v>
      </c>
      <c r="N523" s="44" t="s">
        <v>1638</v>
      </c>
      <c r="O523" s="258"/>
      <c r="P523" s="238" t="str">
        <f>VLOOKUP(_xlfn.CONCAT(Table3[[#This Row],[Target area]],Table3[[#This Row],[GHG target?]],Table3[[#This Row],[Conditionality]]),'Drop down'!$E$81:$F$101,2,FALSE)</f>
        <v>T_Netzero</v>
      </c>
      <c r="Q523" s="239" t="str">
        <f>VLOOKUP(Table3[[#This Row],[Target type]],Table418[[Value name]:[Value idenifyer]],2,FALSE)</f>
        <v>T_FL</v>
      </c>
      <c r="U523" s="234" t="s">
        <v>1240</v>
      </c>
      <c r="V523" s="233" t="str">
        <f>VLOOKUP(Table3[[#This Row],[Country Code]],Table29[],3,FALSE)</f>
        <v>Annex I</v>
      </c>
      <c r="W523" s="233" t="str">
        <f>VLOOKUP(Table3[[#This Row],[Country Code]],Table29[],4,FALSE)</f>
        <v>Europe</v>
      </c>
      <c r="X523" s="233" t="str">
        <f>VLOOKUP(Table3[[#This Row],[Country Code]],Table29[],5,FALSE)</f>
        <v>High-income</v>
      </c>
      <c r="Y523" s="233" t="str">
        <f>VLOOKUP(Table3[[#This Row],[Country Code]],Table29[],6,FALSE)</f>
        <v>no</v>
      </c>
      <c r="Z523" s="233" t="str">
        <f>VLOOKUP(Table3[[#This Row],[Country Code]],Table29[],7,FALSE)</f>
        <v>no</v>
      </c>
      <c r="AA523" s="233" t="str">
        <f>VLOOKUP(Table3[[#This Row],[Country Code]],Table29[],8,FALSE)</f>
        <v>OECD</v>
      </c>
      <c r="AB523" s="233" t="str">
        <f>VLOOKUP(Table3[[#This Row],[Country Code]],Table29[],9,FALSE)</f>
        <v>EU27</v>
      </c>
      <c r="AC523" s="233" t="str">
        <f>VLOOKUP(Table3[[#This Row],[Country Code]],Table29[],10,FALSE)</f>
        <v>no</v>
      </c>
      <c r="AD523" s="235">
        <f>VLOOKUP(Table3[[#This Row],[Country Code]],Table29[],23,FALSE)</f>
        <v>57.853266947361</v>
      </c>
      <c r="AE523" s="235">
        <f>VLOOKUP(Table3[[#This Row],[Country Code]],Table29[],24,FALSE)</f>
        <v>11.23875075000765</v>
      </c>
      <c r="AF523" s="43"/>
    </row>
    <row r="524" spans="1:32" ht="30" x14ac:dyDescent="0.25">
      <c r="A524" s="360">
        <v>17667</v>
      </c>
      <c r="B524" s="233" t="str">
        <f>VLOOKUP(Table3[[#This Row],[Document ID]],Table1[],2,FALSE)</f>
        <v>MNG</v>
      </c>
      <c r="C524" s="233" t="str">
        <f>VLOOKUP(Table3[[#This Row],[Document ID]],Table1[],3,FALSE)</f>
        <v>Mongolia</v>
      </c>
      <c r="D524" s="233" t="str">
        <f>VLOOKUP(Table3[[#This Row],[Document ID]],Table1[],5,FALSE)</f>
        <v>NDC</v>
      </c>
      <c r="E524" s="233" t="str">
        <f>VLOOKUP(Table3[[#This Row],[Document ID]],Table1[],7,FALSE)</f>
        <v>First NDC updated</v>
      </c>
      <c r="F524" s="233" t="str">
        <f>VLOOKUP(Table3[[#This Row],[Document ID]],Table1[],8,FALSE)</f>
        <v>NDC 1.1</v>
      </c>
      <c r="G524" s="233" t="str">
        <f>VLOOKUP(Table3[[#This Row],[Document ID]],Table1[],10,FALSE)</f>
        <v>Active</v>
      </c>
      <c r="H524" s="216" t="s">
        <v>1089</v>
      </c>
      <c r="I524" s="216" t="s">
        <v>1089</v>
      </c>
      <c r="J524" s="43" t="s">
        <v>1090</v>
      </c>
      <c r="K524" s="28" t="s">
        <v>1091</v>
      </c>
      <c r="L524" s="42" t="s">
        <v>1099</v>
      </c>
      <c r="M524" s="209">
        <v>2030</v>
      </c>
      <c r="N524" s="44" t="s">
        <v>1639</v>
      </c>
      <c r="O524" s="221">
        <v>3</v>
      </c>
      <c r="P524" s="238" t="str">
        <f>VLOOKUP(_xlfn.CONCAT(Table3[[#This Row],[Target area]],Table3[[#This Row],[GHG target?]],Table3[[#This Row],[Conditionality]]),'Drop down'!$E$81:$F$101,2,FALSE)</f>
        <v>T_Economy_Unc</v>
      </c>
      <c r="Q524" s="239" t="str">
        <f>VLOOKUP(Table3[[#This Row],[Target type]],Table418[[Value name]:[Value idenifyer]],2,FALSE)</f>
        <v>T_BAU</v>
      </c>
      <c r="V524" s="233" t="str">
        <f>VLOOKUP(Table3[[#This Row],[Country Code]],Table29[],3,FALSE)</f>
        <v>Non-Annex I</v>
      </c>
      <c r="W524" s="233" t="str">
        <f>VLOOKUP(Table3[[#This Row],[Country Code]],Table29[],4,FALSE)</f>
        <v>Asia</v>
      </c>
      <c r="X524" s="233" t="str">
        <f>VLOOKUP(Table3[[#This Row],[Country Code]],Table29[],5,FALSE)</f>
        <v>Middle-income</v>
      </c>
      <c r="Y524" s="233" t="str">
        <f>VLOOKUP(Table3[[#This Row],[Country Code]],Table29[],6,FALSE)</f>
        <v>no</v>
      </c>
      <c r="Z524" s="233" t="str">
        <f>VLOOKUP(Table3[[#This Row],[Country Code]],Table29[],7,FALSE)</f>
        <v>no</v>
      </c>
      <c r="AA524" s="233" t="str">
        <f>VLOOKUP(Table3[[#This Row],[Country Code]],Table29[],8,FALSE)</f>
        <v>non-OECD</v>
      </c>
      <c r="AB524" s="233" t="str">
        <f>VLOOKUP(Table3[[#This Row],[Country Code]],Table29[],9,FALSE)</f>
        <v>no</v>
      </c>
      <c r="AC524" s="233" t="str">
        <f>VLOOKUP(Table3[[#This Row],[Country Code]],Table29[],10,FALSE)</f>
        <v>no</v>
      </c>
      <c r="AD524" s="235">
        <f>VLOOKUP(Table3[[#This Row],[Country Code]],Table29[],23,FALSE)</f>
        <v>83.704559899686998</v>
      </c>
      <c r="AE524" s="235">
        <f>VLOOKUP(Table3[[#This Row],[Country Code]],Table29[],24,FALSE)</f>
        <v>3.0053836949054058</v>
      </c>
      <c r="AF524" s="43"/>
    </row>
    <row r="525" spans="1:32" ht="30" x14ac:dyDescent="0.25">
      <c r="A525" s="360">
        <v>26799</v>
      </c>
      <c r="B525" s="233" t="str">
        <f>VLOOKUP(Table3[[#This Row],[Document ID]],Table1[],2,FALSE)</f>
        <v>HTI</v>
      </c>
      <c r="C525" s="233" t="str">
        <f>VLOOKUP(Table3[[#This Row],[Document ID]],Table1[],3,FALSE)</f>
        <v>Haiti</v>
      </c>
      <c r="D525" s="233" t="str">
        <f>VLOOKUP(Table3[[#This Row],[Document ID]],Table1[],5,FALSE)</f>
        <v>NDC</v>
      </c>
      <c r="E525" s="233" t="str">
        <f>VLOOKUP(Table3[[#This Row],[Document ID]],Table1[],7,FALSE)</f>
        <v>First NDC updated</v>
      </c>
      <c r="F525" s="233" t="str">
        <f>VLOOKUP(Table3[[#This Row],[Document ID]],Table1[],8,FALSE)</f>
        <v>NDC 1.1</v>
      </c>
      <c r="G525" s="233" t="str">
        <f>VLOOKUP(Table3[[#This Row],[Document ID]],Table1[],10,FALSE)</f>
        <v>Active</v>
      </c>
      <c r="H525" s="42" t="s">
        <v>1095</v>
      </c>
      <c r="I525" s="42" t="s">
        <v>1096</v>
      </c>
      <c r="J525" s="42" t="s">
        <v>1097</v>
      </c>
      <c r="K525" s="28" t="s">
        <v>1137</v>
      </c>
      <c r="L525" s="389" t="s">
        <v>1099</v>
      </c>
      <c r="M525" s="209">
        <v>2030</v>
      </c>
      <c r="N525" s="24" t="s">
        <v>1640</v>
      </c>
      <c r="O525" s="257">
        <v>33</v>
      </c>
      <c r="P525" s="238" t="str">
        <f>VLOOKUP(_xlfn.CONCAT(Table3[[#This Row],[Target area]],Table3[[#This Row],[GHG target?]],Table3[[#This Row],[Conditionality]]),'Drop down'!$E$81:$F$101,2,FALSE)</f>
        <v>T_Transport_O_Unc</v>
      </c>
      <c r="Q525" s="239" t="str">
        <f>VLOOKUP(Table3[[#This Row],[Target type]],Table418[[Value name]:[Value idenifyer]],2,FALSE)</f>
        <v>T_O_EFF</v>
      </c>
      <c r="S525" s="233" t="s">
        <v>1101</v>
      </c>
      <c r="T525" s="240"/>
      <c r="V525" s="233" t="str">
        <f>VLOOKUP(Table3[[#This Row],[Country Code]],Table29[],3,FALSE)</f>
        <v>Non-Annex I</v>
      </c>
      <c r="W525" s="233" t="str">
        <f>VLOOKUP(Table3[[#This Row],[Country Code]],Table29[],4,FALSE)</f>
        <v>Latin America and the Caribbean</v>
      </c>
      <c r="X525" s="233" t="str">
        <f>VLOOKUP(Table3[[#This Row],[Country Code]],Table29[],5,FALSE)</f>
        <v>Middle-income</v>
      </c>
      <c r="Y525" s="233" t="str">
        <f>VLOOKUP(Table3[[#This Row],[Country Code]],Table29[],6,FALSE)</f>
        <v>no</v>
      </c>
      <c r="Z525" s="233" t="str">
        <f>VLOOKUP(Table3[[#This Row],[Country Code]],Table29[],7,FALSE)</f>
        <v>no</v>
      </c>
      <c r="AA525" s="233" t="str">
        <f>VLOOKUP(Table3[[#This Row],[Country Code]],Table29[],8,FALSE)</f>
        <v>non-OECD</v>
      </c>
      <c r="AB525" s="233" t="str">
        <f>VLOOKUP(Table3[[#This Row],[Country Code]],Table29[],9,FALSE)</f>
        <v>no</v>
      </c>
      <c r="AC525" s="233" t="str">
        <f>VLOOKUP(Table3[[#This Row],[Country Code]],Table29[],10,FALSE)</f>
        <v>no</v>
      </c>
      <c r="AD525" s="235">
        <f>VLOOKUP(Table3[[#This Row],[Country Code]],Table29[],23,FALSE)</f>
        <v>13.656955798463001</v>
      </c>
      <c r="AE525" s="235">
        <f>VLOOKUP(Table3[[#This Row],[Country Code]],Table29[],24,FALSE)</f>
        <v>1.477654993185334</v>
      </c>
      <c r="AF525" s="43"/>
    </row>
    <row r="526" spans="1:32" ht="30" x14ac:dyDescent="0.25">
      <c r="A526" s="360">
        <v>26799</v>
      </c>
      <c r="B526" s="233" t="str">
        <f>VLOOKUP(Table3[[#This Row],[Document ID]],Table1[],2,FALSE)</f>
        <v>HTI</v>
      </c>
      <c r="C526" s="233" t="str">
        <f>VLOOKUP(Table3[[#This Row],[Document ID]],Table1[],3,FALSE)</f>
        <v>Haiti</v>
      </c>
      <c r="D526" s="233" t="str">
        <f>VLOOKUP(Table3[[#This Row],[Document ID]],Table1[],5,FALSE)</f>
        <v>NDC</v>
      </c>
      <c r="E526" s="233" t="str">
        <f>VLOOKUP(Table3[[#This Row],[Document ID]],Table1[],7,FALSE)</f>
        <v>First NDC updated</v>
      </c>
      <c r="F526" s="233" t="str">
        <f>VLOOKUP(Table3[[#This Row],[Document ID]],Table1[],8,FALSE)</f>
        <v>NDC 1.1</v>
      </c>
      <c r="G526" s="233" t="str">
        <f>VLOOKUP(Table3[[#This Row],[Document ID]],Table1[],10,FALSE)</f>
        <v>Active</v>
      </c>
      <c r="H526" s="42" t="s">
        <v>1095</v>
      </c>
      <c r="I526" s="42" t="s">
        <v>1096</v>
      </c>
      <c r="J526" s="42" t="s">
        <v>1097</v>
      </c>
      <c r="K526" s="28" t="s">
        <v>1137</v>
      </c>
      <c r="L526" s="389" t="s">
        <v>1099</v>
      </c>
      <c r="M526" s="209">
        <v>2030</v>
      </c>
      <c r="N526" s="24" t="s">
        <v>1641</v>
      </c>
      <c r="O526" s="257">
        <v>33</v>
      </c>
      <c r="P526" s="238" t="str">
        <f>VLOOKUP(_xlfn.CONCAT(Table3[[#This Row],[Target area]],Table3[[#This Row],[GHG target?]],Table3[[#This Row],[Conditionality]]),'Drop down'!$E$81:$F$101,2,FALSE)</f>
        <v>T_Transport_O_Unc</v>
      </c>
      <c r="Q526" s="239" t="str">
        <f>VLOOKUP(Table3[[#This Row],[Target type]],Table418[[Value name]:[Value idenifyer]],2,FALSE)</f>
        <v>T_O_EFF</v>
      </c>
      <c r="S526" s="233" t="s">
        <v>1101</v>
      </c>
      <c r="T526" s="240"/>
      <c r="V526" s="233" t="str">
        <f>VLOOKUP(Table3[[#This Row],[Country Code]],Table29[],3,FALSE)</f>
        <v>Non-Annex I</v>
      </c>
      <c r="W526" s="233" t="str">
        <f>VLOOKUP(Table3[[#This Row],[Country Code]],Table29[],4,FALSE)</f>
        <v>Latin America and the Caribbean</v>
      </c>
      <c r="X526" s="233" t="str">
        <f>VLOOKUP(Table3[[#This Row],[Country Code]],Table29[],5,FALSE)</f>
        <v>Middle-income</v>
      </c>
      <c r="Y526" s="233" t="str">
        <f>VLOOKUP(Table3[[#This Row],[Country Code]],Table29[],6,FALSE)</f>
        <v>no</v>
      </c>
      <c r="Z526" s="233" t="str">
        <f>VLOOKUP(Table3[[#This Row],[Country Code]],Table29[],7,FALSE)</f>
        <v>no</v>
      </c>
      <c r="AA526" s="233" t="str">
        <f>VLOOKUP(Table3[[#This Row],[Country Code]],Table29[],8,FALSE)</f>
        <v>non-OECD</v>
      </c>
      <c r="AB526" s="233" t="str">
        <f>VLOOKUP(Table3[[#This Row],[Country Code]],Table29[],9,FALSE)</f>
        <v>no</v>
      </c>
      <c r="AC526" s="233" t="str">
        <f>VLOOKUP(Table3[[#This Row],[Country Code]],Table29[],10,FALSE)</f>
        <v>no</v>
      </c>
      <c r="AD526" s="235">
        <f>VLOOKUP(Table3[[#This Row],[Country Code]],Table29[],23,FALSE)</f>
        <v>13.656955798463001</v>
      </c>
      <c r="AE526" s="235">
        <f>VLOOKUP(Table3[[#This Row],[Country Code]],Table29[],24,FALSE)</f>
        <v>1.477654993185334</v>
      </c>
      <c r="AF526" s="43"/>
    </row>
    <row r="527" spans="1:32" x14ac:dyDescent="0.25">
      <c r="A527" s="360">
        <v>17617</v>
      </c>
      <c r="B527" s="233" t="str">
        <f>VLOOKUP(Table3[[#This Row],[Document ID]],Table1[],2,FALSE)</f>
        <v>IND</v>
      </c>
      <c r="C527" s="233" t="str">
        <f>VLOOKUP(Table3[[#This Row],[Document ID]],Table1[],3,FALSE)</f>
        <v>India</v>
      </c>
      <c r="D527" s="233" t="str">
        <f>VLOOKUP(Table3[[#This Row],[Document ID]],Table1[],5,FALSE)</f>
        <v>NDC</v>
      </c>
      <c r="E527" s="233" t="str">
        <f>VLOOKUP(Table3[[#This Row],[Document ID]],Table1[],7,FALSE)</f>
        <v>First NDC</v>
      </c>
      <c r="F527" s="233" t="str">
        <f>VLOOKUP(Table3[[#This Row],[Document ID]],Table1[],8,FALSE)</f>
        <v>NDC 1.0</v>
      </c>
      <c r="G527" s="233" t="str">
        <f>VLOOKUP(Table3[[#This Row],[Document ID]],Table1[],10,FALSE)</f>
        <v>Archived</v>
      </c>
      <c r="H527" s="42" t="s">
        <v>1095</v>
      </c>
      <c r="I527" s="42" t="s">
        <v>1096</v>
      </c>
      <c r="J527" s="42" t="s">
        <v>1097</v>
      </c>
      <c r="K527" s="28" t="s">
        <v>1098</v>
      </c>
      <c r="L527" s="216" t="s">
        <v>1092</v>
      </c>
      <c r="M527" s="209"/>
      <c r="N527" s="44" t="s">
        <v>1642</v>
      </c>
      <c r="O527" s="221">
        <v>14</v>
      </c>
      <c r="P527" s="238" t="str">
        <f>VLOOKUP(_xlfn.CONCAT(Table3[[#This Row],[Target area]],Table3[[#This Row],[GHG target?]],Table3[[#This Row],[Conditionality]]),'Drop down'!$E$81:$F$101,2,FALSE)</f>
        <v>T_Transport_O_C</v>
      </c>
      <c r="Q527" s="239" t="str">
        <f>VLOOKUP(Table3[[#This Row],[Target type]],Table418[[Value name]:[Value idenifyer]],2,FALSE)</f>
        <v>T_O_MODE</v>
      </c>
      <c r="S527" s="233" t="s">
        <v>1101</v>
      </c>
      <c r="T527" s="234" t="s">
        <v>1113</v>
      </c>
      <c r="V527" s="233" t="str">
        <f>VLOOKUP(Table3[[#This Row],[Country Code]],Table29[],3,FALSE)</f>
        <v>Non-Annex I</v>
      </c>
      <c r="W527" s="233" t="str">
        <f>VLOOKUP(Table3[[#This Row],[Country Code]],Table29[],4,FALSE)</f>
        <v>Asia</v>
      </c>
      <c r="X527" s="233" t="str">
        <f>VLOOKUP(Table3[[#This Row],[Country Code]],Table29[],5,FALSE)</f>
        <v>Middle-income</v>
      </c>
      <c r="Y527" s="233" t="str">
        <f>VLOOKUP(Table3[[#This Row],[Country Code]],Table29[],6,FALSE)</f>
        <v>G20</v>
      </c>
      <c r="Z527" s="233" t="str">
        <f>VLOOKUP(Table3[[#This Row],[Country Code]],Table29[],7,FALSE)</f>
        <v>no</v>
      </c>
      <c r="AA527" s="233" t="str">
        <f>VLOOKUP(Table3[[#This Row],[Country Code]],Table29[],8,FALSE)</f>
        <v>non-OECD</v>
      </c>
      <c r="AB527" s="233" t="str">
        <f>VLOOKUP(Table3[[#This Row],[Country Code]],Table29[],9,FALSE)</f>
        <v>no</v>
      </c>
      <c r="AC527" s="233" t="str">
        <f>VLOOKUP(Table3[[#This Row],[Country Code]],Table29[],10,FALSE)</f>
        <v>no</v>
      </c>
      <c r="AD527" s="235">
        <f>VLOOKUP(Table3[[#This Row],[Country Code]],Table29[],23,FALSE)</f>
        <v>4133.5543557464998</v>
      </c>
      <c r="AE527" s="235">
        <f>VLOOKUP(Table3[[#This Row],[Country Code]],Table29[],24,FALSE)</f>
        <v>349.27466196453167</v>
      </c>
      <c r="AF527" s="43"/>
    </row>
    <row r="528" spans="1:32" x14ac:dyDescent="0.25">
      <c r="A528" s="360">
        <v>17666</v>
      </c>
      <c r="B528" s="233" t="str">
        <f>VLOOKUP(Table3[[#This Row],[Document ID]],Table1[],2,FALSE)</f>
        <v>MNG</v>
      </c>
      <c r="C528" s="233" t="str">
        <f>VLOOKUP(Table3[[#This Row],[Document ID]],Table1[],3,FALSE)</f>
        <v>Mongolia</v>
      </c>
      <c r="D528" s="233" t="str">
        <f>VLOOKUP(Table3[[#This Row],[Document ID]],Table1[],5,FALSE)</f>
        <v>NDC</v>
      </c>
      <c r="E528" s="233" t="str">
        <f>VLOOKUP(Table3[[#This Row],[Document ID]],Table1[],7,FALSE)</f>
        <v>First NDC</v>
      </c>
      <c r="F528" s="233" t="str">
        <f>VLOOKUP(Table3[[#This Row],[Document ID]],Table1[],8,FALSE)</f>
        <v>NDC 1.0</v>
      </c>
      <c r="G528" s="233" t="str">
        <f>VLOOKUP(Table3[[#This Row],[Document ID]],Table1[],10,FALSE)</f>
        <v>Archived</v>
      </c>
      <c r="H528" s="216" t="s">
        <v>1089</v>
      </c>
      <c r="I528" s="216" t="s">
        <v>1089</v>
      </c>
      <c r="J528" s="43" t="s">
        <v>1090</v>
      </c>
      <c r="K528" s="28" t="s">
        <v>1091</v>
      </c>
      <c r="L528" s="42" t="s">
        <v>1099</v>
      </c>
      <c r="M528" s="209">
        <v>2030</v>
      </c>
      <c r="N528" s="176" t="s">
        <v>1643</v>
      </c>
      <c r="O528" s="258" t="s">
        <v>1094</v>
      </c>
      <c r="P528" s="238" t="str">
        <f>VLOOKUP(_xlfn.CONCAT(Table3[[#This Row],[Target area]],Table3[[#This Row],[GHG target?]],Table3[[#This Row],[Conditionality]]),'Drop down'!$E$81:$F$101,2,FALSE)</f>
        <v>T_Economy_Unc</v>
      </c>
      <c r="Q528" s="239" t="str">
        <f>VLOOKUP(Table3[[#This Row],[Target type]],Table418[[Value name]:[Value idenifyer]],2,FALSE)</f>
        <v>T_BAU</v>
      </c>
      <c r="S528" s="233" t="s">
        <v>1101</v>
      </c>
      <c r="V528" s="233" t="str">
        <f>VLOOKUP(Table3[[#This Row],[Country Code]],Table29[],3,FALSE)</f>
        <v>Non-Annex I</v>
      </c>
      <c r="W528" s="233" t="str">
        <f>VLOOKUP(Table3[[#This Row],[Country Code]],Table29[],4,FALSE)</f>
        <v>Asia</v>
      </c>
      <c r="X528" s="233" t="str">
        <f>VLOOKUP(Table3[[#This Row],[Country Code]],Table29[],5,FALSE)</f>
        <v>Middle-income</v>
      </c>
      <c r="Y528" s="233" t="str">
        <f>VLOOKUP(Table3[[#This Row],[Country Code]],Table29[],6,FALSE)</f>
        <v>no</v>
      </c>
      <c r="Z528" s="233" t="str">
        <f>VLOOKUP(Table3[[#This Row],[Country Code]],Table29[],7,FALSE)</f>
        <v>no</v>
      </c>
      <c r="AA528" s="233" t="str">
        <f>VLOOKUP(Table3[[#This Row],[Country Code]],Table29[],8,FALSE)</f>
        <v>non-OECD</v>
      </c>
      <c r="AB528" s="233" t="str">
        <f>VLOOKUP(Table3[[#This Row],[Country Code]],Table29[],9,FALSE)</f>
        <v>no</v>
      </c>
      <c r="AC528" s="233" t="str">
        <f>VLOOKUP(Table3[[#This Row],[Country Code]],Table29[],10,FALSE)</f>
        <v>no</v>
      </c>
      <c r="AD528" s="235">
        <f>VLOOKUP(Table3[[#This Row],[Country Code]],Table29[],23,FALSE)</f>
        <v>83.704559899686998</v>
      </c>
      <c r="AE528" s="235">
        <f>VLOOKUP(Table3[[#This Row],[Country Code]],Table29[],24,FALSE)</f>
        <v>3.0053836949054058</v>
      </c>
      <c r="AF528" s="43"/>
    </row>
    <row r="529" spans="1:32" ht="30" x14ac:dyDescent="0.25">
      <c r="A529" s="360">
        <v>20838</v>
      </c>
      <c r="B529" s="233" t="str">
        <f>VLOOKUP(Table3[[#This Row],[Document ID]],Table1[],2,FALSE)</f>
        <v>MNE</v>
      </c>
      <c r="C529" s="233" t="str">
        <f>VLOOKUP(Table3[[#This Row],[Document ID]],Table1[],3,FALSE)</f>
        <v>Montenegro</v>
      </c>
      <c r="D529" s="233" t="str">
        <f>VLOOKUP(Table3[[#This Row],[Document ID]],Table1[],5,FALSE)</f>
        <v>NDC</v>
      </c>
      <c r="E529" s="233" t="str">
        <f>VLOOKUP(Table3[[#This Row],[Document ID]],Table1[],7,FALSE)</f>
        <v>First NDC updated</v>
      </c>
      <c r="F529" s="233" t="str">
        <f>VLOOKUP(Table3[[#This Row],[Document ID]],Table1[],8,FALSE)</f>
        <v>NDC 1.1</v>
      </c>
      <c r="G529" s="233" t="str">
        <f>VLOOKUP(Table3[[#This Row],[Document ID]],Table1[],10,FALSE)</f>
        <v>Archived</v>
      </c>
      <c r="H529" s="216" t="s">
        <v>1089</v>
      </c>
      <c r="I529" s="216" t="s">
        <v>1089</v>
      </c>
      <c r="J529" s="43" t="s">
        <v>1090</v>
      </c>
      <c r="K529" s="28" t="s">
        <v>1153</v>
      </c>
      <c r="L529" s="42" t="s">
        <v>1099</v>
      </c>
      <c r="M529" s="209">
        <v>2030</v>
      </c>
      <c r="N529" s="209" t="s">
        <v>1644</v>
      </c>
      <c r="O529" s="259">
        <v>1</v>
      </c>
      <c r="P529" s="238" t="str">
        <f>VLOOKUP(_xlfn.CONCAT(Table3[[#This Row],[Target area]],Table3[[#This Row],[GHG target?]],Table3[[#This Row],[Conditionality]]),'Drop down'!$E$81:$F$101,2,FALSE)</f>
        <v>T_Economy_Unc</v>
      </c>
      <c r="Q529" s="239" t="str">
        <f>VLOOKUP(Table3[[#This Row],[Target type]],Table418[[Value name]:[Value idenifyer]],2,FALSE)</f>
        <v>T_BYE</v>
      </c>
      <c r="T529" s="234" t="s">
        <v>1113</v>
      </c>
      <c r="V529" s="233" t="str">
        <f>VLOOKUP(Table3[[#This Row],[Country Code]],Table29[],3,FALSE)</f>
        <v>Non-Annex I</v>
      </c>
      <c r="W529" s="233" t="str">
        <f>VLOOKUP(Table3[[#This Row],[Country Code]],Table29[],4,FALSE)</f>
        <v>Europe</v>
      </c>
      <c r="X529" s="233" t="str">
        <f>VLOOKUP(Table3[[#This Row],[Country Code]],Table29[],5,FALSE)</f>
        <v>Middle-income</v>
      </c>
      <c r="Y529" s="233" t="str">
        <f>VLOOKUP(Table3[[#This Row],[Country Code]],Table29[],6,FALSE)</f>
        <v>no</v>
      </c>
      <c r="Z529" s="233" t="str">
        <f>VLOOKUP(Table3[[#This Row],[Country Code]],Table29[],7,FALSE)</f>
        <v>no</v>
      </c>
      <c r="AA529" s="233" t="str">
        <f>VLOOKUP(Table3[[#This Row],[Country Code]],Table29[],8,FALSE)</f>
        <v>non-OECD</v>
      </c>
      <c r="AB529" s="233" t="str">
        <f>VLOOKUP(Table3[[#This Row],[Country Code]],Table29[],9,FALSE)</f>
        <v>no</v>
      </c>
      <c r="AC529" s="233" t="str">
        <f>VLOOKUP(Table3[[#This Row],[Country Code]],Table29[],10,FALSE)</f>
        <v>no</v>
      </c>
      <c r="AD529" s="235">
        <f>VLOOKUP(Table3[[#This Row],[Country Code]],Table29[],23,FALSE)</f>
        <v>0</v>
      </c>
      <c r="AE529" s="235">
        <f>VLOOKUP(Table3[[#This Row],[Country Code]],Table29[],24,FALSE)</f>
        <v>0</v>
      </c>
      <c r="AF529" s="43"/>
    </row>
    <row r="530" spans="1:32" x14ac:dyDescent="0.25">
      <c r="A530" s="360">
        <v>17668</v>
      </c>
      <c r="B530" s="233" t="str">
        <f>VLOOKUP(Table3[[#This Row],[Document ID]],Table1[],2,FALSE)</f>
        <v>MNE</v>
      </c>
      <c r="C530" s="233" t="str">
        <f>VLOOKUP(Table3[[#This Row],[Document ID]],Table1[],3,FALSE)</f>
        <v>Montenegro</v>
      </c>
      <c r="D530" s="233" t="str">
        <f>VLOOKUP(Table3[[#This Row],[Document ID]],Table1[],5,FALSE)</f>
        <v>NDC</v>
      </c>
      <c r="E530" s="233" t="str">
        <f>VLOOKUP(Table3[[#This Row],[Document ID]],Table1[],7,FALSE)</f>
        <v>First NDC</v>
      </c>
      <c r="F530" s="233" t="str">
        <f>VLOOKUP(Table3[[#This Row],[Document ID]],Table1[],8,FALSE)</f>
        <v>NDC 1.0</v>
      </c>
      <c r="G530" s="233" t="str">
        <f>VLOOKUP(Table3[[#This Row],[Document ID]],Table1[],10,FALSE)</f>
        <v>Archived</v>
      </c>
      <c r="H530" s="216" t="s">
        <v>1089</v>
      </c>
      <c r="I530" s="216" t="s">
        <v>1089</v>
      </c>
      <c r="J530" s="43" t="s">
        <v>1090</v>
      </c>
      <c r="K530" s="28" t="s">
        <v>1153</v>
      </c>
      <c r="L530" s="42" t="s">
        <v>1099</v>
      </c>
      <c r="M530" s="209">
        <v>2030</v>
      </c>
      <c r="N530" s="176" t="s">
        <v>1645</v>
      </c>
      <c r="O530" s="258" t="s">
        <v>1094</v>
      </c>
      <c r="P530" s="238" t="str">
        <f>VLOOKUP(_xlfn.CONCAT(Table3[[#This Row],[Target area]],Table3[[#This Row],[GHG target?]],Table3[[#This Row],[Conditionality]]),'Drop down'!$E$81:$F$101,2,FALSE)</f>
        <v>T_Economy_Unc</v>
      </c>
      <c r="Q530" s="239" t="str">
        <f>VLOOKUP(Table3[[#This Row],[Target type]],Table418[[Value name]:[Value idenifyer]],2,FALSE)</f>
        <v>T_BYE</v>
      </c>
      <c r="T530" s="234" t="s">
        <v>1113</v>
      </c>
      <c r="V530" s="233" t="str">
        <f>VLOOKUP(Table3[[#This Row],[Country Code]],Table29[],3,FALSE)</f>
        <v>Non-Annex I</v>
      </c>
      <c r="W530" s="233" t="str">
        <f>VLOOKUP(Table3[[#This Row],[Country Code]],Table29[],4,FALSE)</f>
        <v>Europe</v>
      </c>
      <c r="X530" s="233" t="str">
        <f>VLOOKUP(Table3[[#This Row],[Country Code]],Table29[],5,FALSE)</f>
        <v>Middle-income</v>
      </c>
      <c r="Y530" s="233" t="str">
        <f>VLOOKUP(Table3[[#This Row],[Country Code]],Table29[],6,FALSE)</f>
        <v>no</v>
      </c>
      <c r="Z530" s="233" t="str">
        <f>VLOOKUP(Table3[[#This Row],[Country Code]],Table29[],7,FALSE)</f>
        <v>no</v>
      </c>
      <c r="AA530" s="233" t="str">
        <f>VLOOKUP(Table3[[#This Row],[Country Code]],Table29[],8,FALSE)</f>
        <v>non-OECD</v>
      </c>
      <c r="AB530" s="233" t="str">
        <f>VLOOKUP(Table3[[#This Row],[Country Code]],Table29[],9,FALSE)</f>
        <v>no</v>
      </c>
      <c r="AC530" s="233" t="str">
        <f>VLOOKUP(Table3[[#This Row],[Country Code]],Table29[],10,FALSE)</f>
        <v>no</v>
      </c>
      <c r="AD530" s="235">
        <f>VLOOKUP(Table3[[#This Row],[Country Code]],Table29[],23,FALSE)</f>
        <v>0</v>
      </c>
      <c r="AE530" s="235">
        <f>VLOOKUP(Table3[[#This Row],[Country Code]],Table29[],24,FALSE)</f>
        <v>0</v>
      </c>
      <c r="AF530" s="43"/>
    </row>
    <row r="531" spans="1:32" x14ac:dyDescent="0.25">
      <c r="A531" s="360">
        <v>32502</v>
      </c>
      <c r="B531" s="233" t="str">
        <f>VLOOKUP(Table3[[#This Row],[Document ID]],Table1[],2,FALSE)</f>
        <v>IND</v>
      </c>
      <c r="C531" s="233" t="str">
        <f>VLOOKUP(Table3[[#This Row],[Document ID]],Table1[],3,FALSE)</f>
        <v>India</v>
      </c>
      <c r="D531" s="233" t="str">
        <f>VLOOKUP(Table3[[#This Row],[Document ID]],Table1[],5,FALSE)</f>
        <v>LTS</v>
      </c>
      <c r="E531" s="233" t="str">
        <f>VLOOKUP(Table3[[#This Row],[Document ID]],Table1[],7,FALSE)</f>
        <v>LTS</v>
      </c>
      <c r="F531" s="233" t="str">
        <f>VLOOKUP(Table3[[#This Row],[Document ID]],Table1[],8,FALSE)</f>
        <v>LTS 1.0</v>
      </c>
      <c r="G531" s="233" t="str">
        <f>VLOOKUP(Table3[[#This Row],[Document ID]],Table1[],10,FALSE)</f>
        <v>Active</v>
      </c>
      <c r="H531" s="42" t="s">
        <v>1095</v>
      </c>
      <c r="I531" s="42" t="s">
        <v>1096</v>
      </c>
      <c r="J531" s="42" t="s">
        <v>1097</v>
      </c>
      <c r="K531" s="28" t="s">
        <v>1102</v>
      </c>
      <c r="L531" s="42" t="s">
        <v>1099</v>
      </c>
      <c r="M531" s="209">
        <v>2025</v>
      </c>
      <c r="N531" s="42" t="s">
        <v>1646</v>
      </c>
      <c r="O531" s="257">
        <v>8</v>
      </c>
      <c r="P531" s="238" t="str">
        <f>VLOOKUP(_xlfn.CONCAT(Table3[[#This Row],[Target area]],Table3[[#This Row],[GHG target?]],Table3[[#This Row],[Conditionality]]),'Drop down'!$E$81:$F$101,2,FALSE)</f>
        <v>T_Transport_O_Unc</v>
      </c>
      <c r="Q531" s="239" t="str">
        <f>VLOOKUP(Table3[[#This Row],[Target type]],Table418[[Value name]:[Value idenifyer]],2,FALSE)</f>
        <v>T_O_BIO</v>
      </c>
      <c r="S531" s="233" t="s">
        <v>1101</v>
      </c>
      <c r="T531" s="234" t="s">
        <v>1113</v>
      </c>
      <c r="V531" s="233" t="str">
        <f>VLOOKUP(Table3[[#This Row],[Country Code]],Table29[],3,FALSE)</f>
        <v>Non-Annex I</v>
      </c>
      <c r="W531" s="233" t="str">
        <f>VLOOKUP(Table3[[#This Row],[Country Code]],Table29[],4,FALSE)</f>
        <v>Asia</v>
      </c>
      <c r="X531" s="233" t="str">
        <f>VLOOKUP(Table3[[#This Row],[Country Code]],Table29[],5,FALSE)</f>
        <v>Middle-income</v>
      </c>
      <c r="Y531" s="233" t="str">
        <f>VLOOKUP(Table3[[#This Row],[Country Code]],Table29[],6,FALSE)</f>
        <v>G20</v>
      </c>
      <c r="Z531" s="233" t="str">
        <f>VLOOKUP(Table3[[#This Row],[Country Code]],Table29[],7,FALSE)</f>
        <v>no</v>
      </c>
      <c r="AA531" s="233" t="str">
        <f>VLOOKUP(Table3[[#This Row],[Country Code]],Table29[],8,FALSE)</f>
        <v>non-OECD</v>
      </c>
      <c r="AB531" s="233" t="str">
        <f>VLOOKUP(Table3[[#This Row],[Country Code]],Table29[],9,FALSE)</f>
        <v>no</v>
      </c>
      <c r="AC531" s="233" t="str">
        <f>VLOOKUP(Table3[[#This Row],[Country Code]],Table29[],10,FALSE)</f>
        <v>no</v>
      </c>
      <c r="AD531" s="235">
        <f>VLOOKUP(Table3[[#This Row],[Country Code]],Table29[],23,FALSE)</f>
        <v>4133.5543557464998</v>
      </c>
      <c r="AE531" s="235">
        <f>VLOOKUP(Table3[[#This Row],[Country Code]],Table29[],24,FALSE)</f>
        <v>349.27466196453167</v>
      </c>
      <c r="AF531" s="43"/>
    </row>
    <row r="532" spans="1:32" ht="30" x14ac:dyDescent="0.25">
      <c r="A532" s="360">
        <v>20864</v>
      </c>
      <c r="B532" s="233" t="str">
        <f>VLOOKUP(Table3[[#This Row],[Document ID]],Table1[],2,FALSE)</f>
        <v>MAR</v>
      </c>
      <c r="C532" s="233" t="str">
        <f>VLOOKUP(Table3[[#This Row],[Document ID]],Table1[],3,FALSE)</f>
        <v>Morocco</v>
      </c>
      <c r="D532" s="233" t="str">
        <f>VLOOKUP(Table3[[#This Row],[Document ID]],Table1[],5,FALSE)</f>
        <v>NDC</v>
      </c>
      <c r="E532" s="233" t="str">
        <f>VLOOKUP(Table3[[#This Row],[Document ID]],Table1[],7,FALSE)</f>
        <v>First NDC updated</v>
      </c>
      <c r="F532" s="233" t="str">
        <f>VLOOKUP(Table3[[#This Row],[Document ID]],Table1[],8,FALSE)</f>
        <v>NDC 1.1</v>
      </c>
      <c r="G532" s="233" t="str">
        <f>VLOOKUP(Table3[[#This Row],[Document ID]],Table1[],10,FALSE)</f>
        <v>Active</v>
      </c>
      <c r="H532" s="216" t="s">
        <v>1089</v>
      </c>
      <c r="I532" s="216" t="s">
        <v>1089</v>
      </c>
      <c r="J532" s="43" t="s">
        <v>1090</v>
      </c>
      <c r="K532" s="28" t="s">
        <v>1091</v>
      </c>
      <c r="L532" s="42" t="s">
        <v>1099</v>
      </c>
      <c r="M532" s="209">
        <v>2030</v>
      </c>
      <c r="N532" s="209" t="s">
        <v>1647</v>
      </c>
      <c r="O532" s="259">
        <v>10</v>
      </c>
      <c r="P532" s="238" t="str">
        <f>VLOOKUP(_xlfn.CONCAT(Table3[[#This Row],[Target area]],Table3[[#This Row],[GHG target?]],Table3[[#This Row],[Conditionality]]),'Drop down'!$E$81:$F$101,2,FALSE)</f>
        <v>T_Economy_Unc</v>
      </c>
      <c r="Q532" s="239" t="str">
        <f>VLOOKUP(Table3[[#This Row],[Target type]],Table418[[Value name]:[Value idenifyer]],2,FALSE)</f>
        <v>T_BAU</v>
      </c>
      <c r="S532" s="233" t="s">
        <v>1101</v>
      </c>
      <c r="T532" s="234" t="s">
        <v>1113</v>
      </c>
      <c r="V532" s="233" t="str">
        <f>VLOOKUP(Table3[[#This Row],[Country Code]],Table29[],3,FALSE)</f>
        <v>Non-Annex I</v>
      </c>
      <c r="W532" s="233" t="str">
        <f>VLOOKUP(Table3[[#This Row],[Country Code]],Table29[],4,FALSE)</f>
        <v>Africa</v>
      </c>
      <c r="X532" s="233" t="str">
        <f>VLOOKUP(Table3[[#This Row],[Country Code]],Table29[],5,FALSE)</f>
        <v>Middle-income</v>
      </c>
      <c r="Y532" s="233" t="str">
        <f>VLOOKUP(Table3[[#This Row],[Country Code]],Table29[],6,FALSE)</f>
        <v>no</v>
      </c>
      <c r="Z532" s="233" t="str">
        <f>VLOOKUP(Table3[[#This Row],[Country Code]],Table29[],7,FALSE)</f>
        <v>no</v>
      </c>
      <c r="AA532" s="233" t="str">
        <f>VLOOKUP(Table3[[#This Row],[Country Code]],Table29[],8,FALSE)</f>
        <v>non-OECD</v>
      </c>
      <c r="AB532" s="233" t="str">
        <f>VLOOKUP(Table3[[#This Row],[Country Code]],Table29[],9,FALSE)</f>
        <v>no</v>
      </c>
      <c r="AC532" s="233" t="str">
        <f>VLOOKUP(Table3[[#This Row],[Country Code]],Table29[],10,FALSE)</f>
        <v>MENA</v>
      </c>
      <c r="AD532" s="235">
        <f>VLOOKUP(Table3[[#This Row],[Country Code]],Table29[],23,FALSE)</f>
        <v>106.60223103187001</v>
      </c>
      <c r="AE532" s="235">
        <f>VLOOKUP(Table3[[#This Row],[Country Code]],Table29[],24,FALSE)</f>
        <v>17.689478774478111</v>
      </c>
      <c r="AF532" s="43"/>
    </row>
    <row r="533" spans="1:32" ht="30" x14ac:dyDescent="0.25">
      <c r="A533" s="360">
        <v>20864</v>
      </c>
      <c r="B533" s="233" t="str">
        <f>VLOOKUP(Table3[[#This Row],[Document ID]],Table1[],2,FALSE)</f>
        <v>MAR</v>
      </c>
      <c r="C533" s="233" t="str">
        <f>VLOOKUP(Table3[[#This Row],[Document ID]],Table1[],3,FALSE)</f>
        <v>Morocco</v>
      </c>
      <c r="D533" s="233" t="str">
        <f>VLOOKUP(Table3[[#This Row],[Document ID]],Table1[],5,FALSE)</f>
        <v>NDC</v>
      </c>
      <c r="E533" s="233" t="str">
        <f>VLOOKUP(Table3[[#This Row],[Document ID]],Table1[],7,FALSE)</f>
        <v>First NDC updated</v>
      </c>
      <c r="F533" s="233" t="str">
        <f>VLOOKUP(Table3[[#This Row],[Document ID]],Table1[],8,FALSE)</f>
        <v>NDC 1.1</v>
      </c>
      <c r="G533" s="233" t="str">
        <f>VLOOKUP(Table3[[#This Row],[Document ID]],Table1[],10,FALSE)</f>
        <v>Active</v>
      </c>
      <c r="H533" s="216" t="s">
        <v>1089</v>
      </c>
      <c r="I533" s="216" t="s">
        <v>1089</v>
      </c>
      <c r="J533" s="43" t="s">
        <v>1090</v>
      </c>
      <c r="K533" s="28" t="s">
        <v>1091</v>
      </c>
      <c r="L533" s="216" t="s">
        <v>1092</v>
      </c>
      <c r="M533" s="209">
        <v>2030</v>
      </c>
      <c r="N533" s="209" t="s">
        <v>1648</v>
      </c>
      <c r="O533" s="259">
        <v>10</v>
      </c>
      <c r="P533" s="238" t="str">
        <f>VLOOKUP(_xlfn.CONCAT(Table3[[#This Row],[Target area]],Table3[[#This Row],[GHG target?]],Table3[[#This Row],[Conditionality]]),'Drop down'!$E$81:$F$101,2,FALSE)</f>
        <v>T_Economy_C</v>
      </c>
      <c r="Q533" s="239" t="str">
        <f>VLOOKUP(Table3[[#This Row],[Target type]],Table418[[Value name]:[Value idenifyer]],2,FALSE)</f>
        <v>T_BAU</v>
      </c>
      <c r="S533" s="233" t="s">
        <v>1101</v>
      </c>
      <c r="T533" s="234" t="s">
        <v>1113</v>
      </c>
      <c r="V533" s="233" t="str">
        <f>VLOOKUP(Table3[[#This Row],[Country Code]],Table29[],3,FALSE)</f>
        <v>Non-Annex I</v>
      </c>
      <c r="W533" s="233" t="str">
        <f>VLOOKUP(Table3[[#This Row],[Country Code]],Table29[],4,FALSE)</f>
        <v>Africa</v>
      </c>
      <c r="X533" s="233" t="str">
        <f>VLOOKUP(Table3[[#This Row],[Country Code]],Table29[],5,FALSE)</f>
        <v>Middle-income</v>
      </c>
      <c r="Y533" s="233" t="str">
        <f>VLOOKUP(Table3[[#This Row],[Country Code]],Table29[],6,FALSE)</f>
        <v>no</v>
      </c>
      <c r="Z533" s="233" t="str">
        <f>VLOOKUP(Table3[[#This Row],[Country Code]],Table29[],7,FALSE)</f>
        <v>no</v>
      </c>
      <c r="AA533" s="233" t="str">
        <f>VLOOKUP(Table3[[#This Row],[Country Code]],Table29[],8,FALSE)</f>
        <v>non-OECD</v>
      </c>
      <c r="AB533" s="233" t="str">
        <f>VLOOKUP(Table3[[#This Row],[Country Code]],Table29[],9,FALSE)</f>
        <v>no</v>
      </c>
      <c r="AC533" s="233" t="str">
        <f>VLOOKUP(Table3[[#This Row],[Country Code]],Table29[],10,FALSE)</f>
        <v>MENA</v>
      </c>
      <c r="AD533" s="235">
        <f>VLOOKUP(Table3[[#This Row],[Country Code]],Table29[],23,FALSE)</f>
        <v>106.60223103187001</v>
      </c>
      <c r="AE533" s="235">
        <f>VLOOKUP(Table3[[#This Row],[Country Code]],Table29[],24,FALSE)</f>
        <v>17.689478774478111</v>
      </c>
      <c r="AF533" s="43"/>
    </row>
    <row r="534" spans="1:32" ht="30" x14ac:dyDescent="0.25">
      <c r="A534" s="360">
        <v>32502</v>
      </c>
      <c r="B534" s="233" t="str">
        <f>VLOOKUP(Table3[[#This Row],[Document ID]],Table1[],2,FALSE)</f>
        <v>IND</v>
      </c>
      <c r="C534" s="233" t="str">
        <f>VLOOKUP(Table3[[#This Row],[Document ID]],Table1[],3,FALSE)</f>
        <v>India</v>
      </c>
      <c r="D534" s="233" t="str">
        <f>VLOOKUP(Table3[[#This Row],[Document ID]],Table1[],5,FALSE)</f>
        <v>LTS</v>
      </c>
      <c r="E534" s="233" t="str">
        <f>VLOOKUP(Table3[[#This Row],[Document ID]],Table1[],7,FALSE)</f>
        <v>LTS</v>
      </c>
      <c r="F534" s="233" t="str">
        <f>VLOOKUP(Table3[[#This Row],[Document ID]],Table1[],8,FALSE)</f>
        <v>LTS 1.0</v>
      </c>
      <c r="G534" s="233" t="str">
        <f>VLOOKUP(Table3[[#This Row],[Document ID]],Table1[],10,FALSE)</f>
        <v>Active</v>
      </c>
      <c r="H534" s="42" t="s">
        <v>1095</v>
      </c>
      <c r="I534" s="42" t="s">
        <v>1096</v>
      </c>
      <c r="J534" s="42" t="s">
        <v>1097</v>
      </c>
      <c r="K534" s="28" t="s">
        <v>1104</v>
      </c>
      <c r="L534" s="42" t="s">
        <v>1099</v>
      </c>
      <c r="M534" s="209">
        <v>2030</v>
      </c>
      <c r="N534" s="42" t="s">
        <v>1649</v>
      </c>
      <c r="O534" s="257">
        <v>8</v>
      </c>
      <c r="P534" s="238" t="str">
        <f>VLOOKUP(_xlfn.CONCAT(Table3[[#This Row],[Target area]],Table3[[#This Row],[GHG target?]],Table3[[#This Row],[Conditionality]]),'Drop down'!$E$81:$F$101,2,FALSE)</f>
        <v>T_Transport_O_Unc</v>
      </c>
      <c r="Q534" s="239" t="str">
        <f>VLOOKUP(Table3[[#This Row],[Target type]],Table418[[Value name]:[Value idenifyer]],2,FALSE)</f>
        <v>T_O_ZERO</v>
      </c>
      <c r="S534" s="233" t="s">
        <v>1101</v>
      </c>
      <c r="T534" s="234" t="s">
        <v>1113</v>
      </c>
      <c r="V534" s="233" t="str">
        <f>VLOOKUP(Table3[[#This Row],[Country Code]],Table29[],3,FALSE)</f>
        <v>Non-Annex I</v>
      </c>
      <c r="W534" s="233" t="str">
        <f>VLOOKUP(Table3[[#This Row],[Country Code]],Table29[],4,FALSE)</f>
        <v>Asia</v>
      </c>
      <c r="X534" s="233" t="str">
        <f>VLOOKUP(Table3[[#This Row],[Country Code]],Table29[],5,FALSE)</f>
        <v>Middle-income</v>
      </c>
      <c r="Y534" s="233" t="str">
        <f>VLOOKUP(Table3[[#This Row],[Country Code]],Table29[],6,FALSE)</f>
        <v>G20</v>
      </c>
      <c r="Z534" s="233" t="str">
        <f>VLOOKUP(Table3[[#This Row],[Country Code]],Table29[],7,FALSE)</f>
        <v>no</v>
      </c>
      <c r="AA534" s="233" t="str">
        <f>VLOOKUP(Table3[[#This Row],[Country Code]],Table29[],8,FALSE)</f>
        <v>non-OECD</v>
      </c>
      <c r="AB534" s="233" t="str">
        <f>VLOOKUP(Table3[[#This Row],[Country Code]],Table29[],9,FALSE)</f>
        <v>no</v>
      </c>
      <c r="AC534" s="233" t="str">
        <f>VLOOKUP(Table3[[#This Row],[Country Code]],Table29[],10,FALSE)</f>
        <v>no</v>
      </c>
      <c r="AD534" s="235">
        <f>VLOOKUP(Table3[[#This Row],[Country Code]],Table29[],23,FALSE)</f>
        <v>4133.5543557464998</v>
      </c>
      <c r="AE534" s="235">
        <f>VLOOKUP(Table3[[#This Row],[Country Code]],Table29[],24,FALSE)</f>
        <v>349.27466196453167</v>
      </c>
      <c r="AF534" s="43"/>
    </row>
    <row r="535" spans="1:32" ht="30" x14ac:dyDescent="0.25">
      <c r="A535" s="360">
        <v>32502</v>
      </c>
      <c r="B535" s="233" t="str">
        <f>VLOOKUP(Table3[[#This Row],[Document ID]],Table1[],2,FALSE)</f>
        <v>IND</v>
      </c>
      <c r="C535" s="233" t="str">
        <f>VLOOKUP(Table3[[#This Row],[Document ID]],Table1[],3,FALSE)</f>
        <v>India</v>
      </c>
      <c r="D535" s="233" t="str">
        <f>VLOOKUP(Table3[[#This Row],[Document ID]],Table1[],5,FALSE)</f>
        <v>LTS</v>
      </c>
      <c r="E535" s="233" t="str">
        <f>VLOOKUP(Table3[[#This Row],[Document ID]],Table1[],7,FALSE)</f>
        <v>LTS</v>
      </c>
      <c r="F535" s="233" t="str">
        <f>VLOOKUP(Table3[[#This Row],[Document ID]],Table1[],8,FALSE)</f>
        <v>LTS 1.0</v>
      </c>
      <c r="G535" s="233" t="str">
        <f>VLOOKUP(Table3[[#This Row],[Document ID]],Table1[],10,FALSE)</f>
        <v>Active</v>
      </c>
      <c r="H535" s="42" t="s">
        <v>1095</v>
      </c>
      <c r="I535" s="42" t="s">
        <v>1096</v>
      </c>
      <c r="J535" s="42" t="s">
        <v>1097</v>
      </c>
      <c r="K535" s="28" t="s">
        <v>1137</v>
      </c>
      <c r="L535" s="42" t="s">
        <v>1099</v>
      </c>
      <c r="M535" s="209">
        <v>2030</v>
      </c>
      <c r="N535" s="42" t="s">
        <v>1650</v>
      </c>
      <c r="O535" s="257">
        <v>8</v>
      </c>
      <c r="P535" s="238" t="str">
        <f>VLOOKUP(_xlfn.CONCAT(Table3[[#This Row],[Target area]],Table3[[#This Row],[GHG target?]],Table3[[#This Row],[Conditionality]]),'Drop down'!$E$81:$F$101,2,FALSE)</f>
        <v>T_Transport_O_Unc</v>
      </c>
      <c r="Q535" s="239" t="str">
        <f>VLOOKUP(Table3[[#This Row],[Target type]],Table418[[Value name]:[Value idenifyer]],2,FALSE)</f>
        <v>T_O_EFF</v>
      </c>
      <c r="S535" s="233" t="s">
        <v>1101</v>
      </c>
      <c r="T535" s="234" t="s">
        <v>1113</v>
      </c>
      <c r="V535" s="233" t="str">
        <f>VLOOKUP(Table3[[#This Row],[Country Code]],Table29[],3,FALSE)</f>
        <v>Non-Annex I</v>
      </c>
      <c r="W535" s="233" t="str">
        <f>VLOOKUP(Table3[[#This Row],[Country Code]],Table29[],4,FALSE)</f>
        <v>Asia</v>
      </c>
      <c r="X535" s="233" t="str">
        <f>VLOOKUP(Table3[[#This Row],[Country Code]],Table29[],5,FALSE)</f>
        <v>Middle-income</v>
      </c>
      <c r="Y535" s="233" t="str">
        <f>VLOOKUP(Table3[[#This Row],[Country Code]],Table29[],6,FALSE)</f>
        <v>G20</v>
      </c>
      <c r="Z535" s="233" t="str">
        <f>VLOOKUP(Table3[[#This Row],[Country Code]],Table29[],7,FALSE)</f>
        <v>no</v>
      </c>
      <c r="AA535" s="233" t="str">
        <f>VLOOKUP(Table3[[#This Row],[Country Code]],Table29[],8,FALSE)</f>
        <v>non-OECD</v>
      </c>
      <c r="AB535" s="233" t="str">
        <f>VLOOKUP(Table3[[#This Row],[Country Code]],Table29[],9,FALSE)</f>
        <v>no</v>
      </c>
      <c r="AC535" s="233" t="str">
        <f>VLOOKUP(Table3[[#This Row],[Country Code]],Table29[],10,FALSE)</f>
        <v>no</v>
      </c>
      <c r="AD535" s="235">
        <f>VLOOKUP(Table3[[#This Row],[Country Code]],Table29[],23,FALSE)</f>
        <v>4133.5543557464998</v>
      </c>
      <c r="AE535" s="235">
        <f>VLOOKUP(Table3[[#This Row],[Country Code]],Table29[],24,FALSE)</f>
        <v>349.27466196453167</v>
      </c>
      <c r="AF535" s="43"/>
    </row>
    <row r="536" spans="1:32" x14ac:dyDescent="0.25">
      <c r="A536" s="368">
        <v>39445</v>
      </c>
      <c r="B536" s="233" t="str">
        <f>VLOOKUP(Table3[[#This Row],[Document ID]],Table1[],2,FALSE)</f>
        <v>IRL</v>
      </c>
      <c r="C536" s="233" t="str">
        <f>VLOOKUP(Table3[[#This Row],[Document ID]],Table1[],3,FALSE)</f>
        <v>Ireland</v>
      </c>
      <c r="D536" s="233" t="str">
        <f>VLOOKUP(Table3[[#This Row],[Document ID]],Table1[],5,FALSE)</f>
        <v>LTS</v>
      </c>
      <c r="E536" s="233" t="str">
        <f>VLOOKUP(Table3[[#This Row],[Document ID]],Table1[],7,FALSE)</f>
        <v>EU-LTS</v>
      </c>
      <c r="F536" s="233" t="str">
        <f>VLOOKUP(Table3[[#This Row],[Document ID]],Table1[],8,FALSE)</f>
        <v>LTS 1.0</v>
      </c>
      <c r="G536" s="233" t="str">
        <f>VLOOKUP(Table3[[#This Row],[Document ID]],Table1[],10,FALSE)</f>
        <v>Archived</v>
      </c>
      <c r="H536" s="42" t="s">
        <v>1095</v>
      </c>
      <c r="I536" s="43" t="s">
        <v>1115</v>
      </c>
      <c r="J536" s="43" t="s">
        <v>1090</v>
      </c>
      <c r="K536" s="28" t="s">
        <v>1153</v>
      </c>
      <c r="L536" s="42" t="s">
        <v>1099</v>
      </c>
      <c r="M536" s="209">
        <v>2030</v>
      </c>
      <c r="N536" s="44" t="s">
        <v>1651</v>
      </c>
      <c r="O536" s="258">
        <v>16</v>
      </c>
      <c r="P536" s="238" t="str">
        <f>VLOOKUP(_xlfn.CONCAT(Table3[[#This Row],[Target area]],Table3[[#This Row],[GHG target?]],Table3[[#This Row],[Conditionality]]),'Drop down'!$E$81:$F$101,2,FALSE)</f>
        <v>T_Transport_Unc</v>
      </c>
      <c r="Q536" s="239" t="str">
        <f>VLOOKUP(Table3[[#This Row],[Target type]],Table418[[Value name]:[Value idenifyer]],2,FALSE)</f>
        <v>T_BYE</v>
      </c>
      <c r="R536" s="233" t="s">
        <v>526</v>
      </c>
      <c r="S536" s="233" t="s">
        <v>1112</v>
      </c>
      <c r="T536" s="234" t="s">
        <v>1113</v>
      </c>
      <c r="U536" s="240"/>
      <c r="V536" s="233" t="str">
        <f>VLOOKUP(Table3[[#This Row],[Country Code]],Table29[],3,FALSE)</f>
        <v>Annex I</v>
      </c>
      <c r="W536" s="233" t="str">
        <f>VLOOKUP(Table3[[#This Row],[Country Code]],Table29[],4,FALSE)</f>
        <v>Europe</v>
      </c>
      <c r="X536" s="233" t="str">
        <f>VLOOKUP(Table3[[#This Row],[Country Code]],Table29[],5,FALSE)</f>
        <v>High-income</v>
      </c>
      <c r="Y536" s="233" t="str">
        <f>VLOOKUP(Table3[[#This Row],[Country Code]],Table29[],6,FALSE)</f>
        <v>no</v>
      </c>
      <c r="Z536" s="233" t="str">
        <f>VLOOKUP(Table3[[#This Row],[Country Code]],Table29[],7,FALSE)</f>
        <v>no</v>
      </c>
      <c r="AA536" s="233" t="str">
        <f>VLOOKUP(Table3[[#This Row],[Country Code]],Table29[],8,FALSE)</f>
        <v>OECD</v>
      </c>
      <c r="AB536" s="233" t="str">
        <f>VLOOKUP(Table3[[#This Row],[Country Code]],Table29[],9,FALSE)</f>
        <v>EU27</v>
      </c>
      <c r="AC536" s="233" t="str">
        <f>VLOOKUP(Table3[[#This Row],[Country Code]],Table29[],10,FALSE)</f>
        <v>no</v>
      </c>
      <c r="AD536" s="235">
        <f>VLOOKUP(Table3[[#This Row],[Country Code]],Table29[],23,FALSE)</f>
        <v>57.853266947361</v>
      </c>
      <c r="AE536" s="235">
        <f>VLOOKUP(Table3[[#This Row],[Country Code]],Table29[],24,FALSE)</f>
        <v>11.23875075000765</v>
      </c>
      <c r="AF536" s="43"/>
    </row>
    <row r="537" spans="1:32" x14ac:dyDescent="0.25">
      <c r="A537" s="360">
        <v>17669</v>
      </c>
      <c r="B537" s="233" t="str">
        <f>VLOOKUP(Table3[[#This Row],[Document ID]],Table1[],2,FALSE)</f>
        <v>MAR</v>
      </c>
      <c r="C537" s="233" t="str">
        <f>VLOOKUP(Table3[[#This Row],[Document ID]],Table1[],3,FALSE)</f>
        <v>Morocco</v>
      </c>
      <c r="D537" s="233" t="str">
        <f>VLOOKUP(Table3[[#This Row],[Document ID]],Table1[],5,FALSE)</f>
        <v>NDC</v>
      </c>
      <c r="E537" s="233" t="str">
        <f>VLOOKUP(Table3[[#This Row],[Document ID]],Table1[],7,FALSE)</f>
        <v>First NDC</v>
      </c>
      <c r="F537" s="233" t="str">
        <f>VLOOKUP(Table3[[#This Row],[Document ID]],Table1[],8,FALSE)</f>
        <v>NDC 1.0</v>
      </c>
      <c r="G537" s="233" t="str">
        <f>VLOOKUP(Table3[[#This Row],[Document ID]],Table1[],10,FALSE)</f>
        <v>Archived</v>
      </c>
      <c r="H537" s="216" t="s">
        <v>1089</v>
      </c>
      <c r="I537" s="216" t="s">
        <v>1089</v>
      </c>
      <c r="J537" s="43" t="s">
        <v>1090</v>
      </c>
      <c r="K537" s="28" t="s">
        <v>1091</v>
      </c>
      <c r="L537" s="42" t="s">
        <v>1099</v>
      </c>
      <c r="M537" s="209">
        <v>2030</v>
      </c>
      <c r="N537" s="176" t="s">
        <v>1652</v>
      </c>
      <c r="O537" s="258" t="s">
        <v>1094</v>
      </c>
      <c r="P537" s="238" t="str">
        <f>VLOOKUP(_xlfn.CONCAT(Table3[[#This Row],[Target area]],Table3[[#This Row],[GHG target?]],Table3[[#This Row],[Conditionality]]),'Drop down'!$E$81:$F$101,2,FALSE)</f>
        <v>T_Economy_Unc</v>
      </c>
      <c r="Q537" s="239" t="str">
        <f>VLOOKUP(Table3[[#This Row],[Target type]],Table418[[Value name]:[Value idenifyer]],2,FALSE)</f>
        <v>T_BAU</v>
      </c>
      <c r="S537" s="233" t="s">
        <v>1101</v>
      </c>
      <c r="T537" s="234" t="s">
        <v>1113</v>
      </c>
      <c r="V537" s="233" t="str">
        <f>VLOOKUP(Table3[[#This Row],[Country Code]],Table29[],3,FALSE)</f>
        <v>Non-Annex I</v>
      </c>
      <c r="W537" s="233" t="str">
        <f>VLOOKUP(Table3[[#This Row],[Country Code]],Table29[],4,FALSE)</f>
        <v>Africa</v>
      </c>
      <c r="X537" s="233" t="str">
        <f>VLOOKUP(Table3[[#This Row],[Country Code]],Table29[],5,FALSE)</f>
        <v>Middle-income</v>
      </c>
      <c r="Y537" s="233" t="str">
        <f>VLOOKUP(Table3[[#This Row],[Country Code]],Table29[],6,FALSE)</f>
        <v>no</v>
      </c>
      <c r="Z537" s="233" t="str">
        <f>VLOOKUP(Table3[[#This Row],[Country Code]],Table29[],7,FALSE)</f>
        <v>no</v>
      </c>
      <c r="AA537" s="233" t="str">
        <f>VLOOKUP(Table3[[#This Row],[Country Code]],Table29[],8,FALSE)</f>
        <v>non-OECD</v>
      </c>
      <c r="AB537" s="233" t="str">
        <f>VLOOKUP(Table3[[#This Row],[Country Code]],Table29[],9,FALSE)</f>
        <v>no</v>
      </c>
      <c r="AC537" s="233" t="str">
        <f>VLOOKUP(Table3[[#This Row],[Country Code]],Table29[],10,FALSE)</f>
        <v>MENA</v>
      </c>
      <c r="AD537" s="235">
        <f>VLOOKUP(Table3[[#This Row],[Country Code]],Table29[],23,FALSE)</f>
        <v>106.60223103187001</v>
      </c>
      <c r="AE537" s="235">
        <f>VLOOKUP(Table3[[#This Row],[Country Code]],Table29[],24,FALSE)</f>
        <v>17.689478774478111</v>
      </c>
      <c r="AF537" s="43"/>
    </row>
    <row r="538" spans="1:32" x14ac:dyDescent="0.25">
      <c r="A538" s="360">
        <v>17669</v>
      </c>
      <c r="B538" s="233" t="str">
        <f>VLOOKUP(Table3[[#This Row],[Document ID]],Table1[],2,FALSE)</f>
        <v>MAR</v>
      </c>
      <c r="C538" s="233" t="str">
        <f>VLOOKUP(Table3[[#This Row],[Document ID]],Table1[],3,FALSE)</f>
        <v>Morocco</v>
      </c>
      <c r="D538" s="233" t="str">
        <f>VLOOKUP(Table3[[#This Row],[Document ID]],Table1[],5,FALSE)</f>
        <v>NDC</v>
      </c>
      <c r="E538" s="233" t="str">
        <f>VLOOKUP(Table3[[#This Row],[Document ID]],Table1[],7,FALSE)</f>
        <v>First NDC</v>
      </c>
      <c r="F538" s="233" t="str">
        <f>VLOOKUP(Table3[[#This Row],[Document ID]],Table1[],8,FALSE)</f>
        <v>NDC 1.0</v>
      </c>
      <c r="G538" s="233" t="str">
        <f>VLOOKUP(Table3[[#This Row],[Document ID]],Table1[],10,FALSE)</f>
        <v>Archived</v>
      </c>
      <c r="H538" s="216" t="s">
        <v>1089</v>
      </c>
      <c r="I538" s="216" t="s">
        <v>1089</v>
      </c>
      <c r="J538" s="43" t="s">
        <v>1090</v>
      </c>
      <c r="K538" s="28" t="s">
        <v>1091</v>
      </c>
      <c r="L538" s="216" t="s">
        <v>1092</v>
      </c>
      <c r="M538" s="209">
        <v>2030</v>
      </c>
      <c r="N538" s="176" t="s">
        <v>1653</v>
      </c>
      <c r="O538" s="258" t="s">
        <v>1094</v>
      </c>
      <c r="P538" s="238" t="str">
        <f>VLOOKUP(_xlfn.CONCAT(Table3[[#This Row],[Target area]],Table3[[#This Row],[GHG target?]],Table3[[#This Row],[Conditionality]]),'Drop down'!$E$81:$F$101,2,FALSE)</f>
        <v>T_Economy_C</v>
      </c>
      <c r="Q538" s="239" t="str">
        <f>VLOOKUP(Table3[[#This Row],[Target type]],Table418[[Value name]:[Value idenifyer]],2,FALSE)</f>
        <v>T_BAU</v>
      </c>
      <c r="S538" s="233" t="s">
        <v>1101</v>
      </c>
      <c r="T538" s="234" t="s">
        <v>1113</v>
      </c>
      <c r="V538" s="233" t="str">
        <f>VLOOKUP(Table3[[#This Row],[Country Code]],Table29[],3,FALSE)</f>
        <v>Non-Annex I</v>
      </c>
      <c r="W538" s="233" t="str">
        <f>VLOOKUP(Table3[[#This Row],[Country Code]],Table29[],4,FALSE)</f>
        <v>Africa</v>
      </c>
      <c r="X538" s="233" t="str">
        <f>VLOOKUP(Table3[[#This Row],[Country Code]],Table29[],5,FALSE)</f>
        <v>Middle-income</v>
      </c>
      <c r="Y538" s="233" t="str">
        <f>VLOOKUP(Table3[[#This Row],[Country Code]],Table29[],6,FALSE)</f>
        <v>no</v>
      </c>
      <c r="Z538" s="233" t="str">
        <f>VLOOKUP(Table3[[#This Row],[Country Code]],Table29[],7,FALSE)</f>
        <v>no</v>
      </c>
      <c r="AA538" s="233" t="str">
        <f>VLOOKUP(Table3[[#This Row],[Country Code]],Table29[],8,FALSE)</f>
        <v>non-OECD</v>
      </c>
      <c r="AB538" s="233" t="str">
        <f>VLOOKUP(Table3[[#This Row],[Country Code]],Table29[],9,FALSE)</f>
        <v>no</v>
      </c>
      <c r="AC538" s="233" t="str">
        <f>VLOOKUP(Table3[[#This Row],[Country Code]],Table29[],10,FALSE)</f>
        <v>MENA</v>
      </c>
      <c r="AD538" s="235">
        <f>VLOOKUP(Table3[[#This Row],[Country Code]],Table29[],23,FALSE)</f>
        <v>106.60223103187001</v>
      </c>
      <c r="AE538" s="235">
        <f>VLOOKUP(Table3[[#This Row],[Country Code]],Table29[],24,FALSE)</f>
        <v>17.689478774478111</v>
      </c>
      <c r="AF538" s="43"/>
    </row>
    <row r="539" spans="1:32" ht="30" x14ac:dyDescent="0.25">
      <c r="A539" s="360">
        <v>24791</v>
      </c>
      <c r="B539" s="233" t="str">
        <f>VLOOKUP(Table3[[#This Row],[Document ID]],Table1[],2,FALSE)</f>
        <v>MOZ</v>
      </c>
      <c r="C539" s="233" t="str">
        <f>VLOOKUP(Table3[[#This Row],[Document ID]],Table1[],3,FALSE)</f>
        <v>Mozambique</v>
      </c>
      <c r="D539" s="233" t="str">
        <f>VLOOKUP(Table3[[#This Row],[Document ID]],Table1[],5,FALSE)</f>
        <v>NDC</v>
      </c>
      <c r="E539" s="233" t="str">
        <f>VLOOKUP(Table3[[#This Row],[Document ID]],Table1[],7,FALSE)</f>
        <v>First NDC updated</v>
      </c>
      <c r="F539" s="233" t="str">
        <f>VLOOKUP(Table3[[#This Row],[Document ID]],Table1[],8,FALSE)</f>
        <v>NDC 1.1</v>
      </c>
      <c r="G539" s="233" t="str">
        <f>VLOOKUP(Table3[[#This Row],[Document ID]],Table1[],10,FALSE)</f>
        <v>Active</v>
      </c>
      <c r="H539" s="216" t="s">
        <v>1089</v>
      </c>
      <c r="I539" s="216" t="s">
        <v>1089</v>
      </c>
      <c r="J539" s="43" t="s">
        <v>1090</v>
      </c>
      <c r="K539" s="28" t="s">
        <v>1121</v>
      </c>
      <c r="L539" s="216" t="s">
        <v>1092</v>
      </c>
      <c r="M539" s="209">
        <v>2025</v>
      </c>
      <c r="N539" s="209" t="s">
        <v>1654</v>
      </c>
      <c r="O539" s="257" t="s">
        <v>1655</v>
      </c>
      <c r="P539" s="238" t="str">
        <f>VLOOKUP(_xlfn.CONCAT(Table3[[#This Row],[Target area]],Table3[[#This Row],[GHG target?]],Table3[[#This Row],[Conditionality]]),'Drop down'!$E$81:$F$101,2,FALSE)</f>
        <v>T_Economy_C</v>
      </c>
      <c r="Q539" s="239" t="str">
        <f>VLOOKUP(Table3[[#This Row],[Target type]],Table418[[Value name]:[Value idenifyer]],2,FALSE)</f>
        <v>T_FL</v>
      </c>
      <c r="S539" s="233" t="s">
        <v>1101</v>
      </c>
      <c r="T539" s="240"/>
      <c r="V539" s="233" t="str">
        <f>VLOOKUP(Table3[[#This Row],[Country Code]],Table29[],3,FALSE)</f>
        <v>Non-Annex I</v>
      </c>
      <c r="W539" s="233" t="str">
        <f>VLOOKUP(Table3[[#This Row],[Country Code]],Table29[],4,FALSE)</f>
        <v>Africa</v>
      </c>
      <c r="X539" s="233" t="str">
        <f>VLOOKUP(Table3[[#This Row],[Country Code]],Table29[],5,FALSE)</f>
        <v>Low-income</v>
      </c>
      <c r="Y539" s="233" t="str">
        <f>VLOOKUP(Table3[[#This Row],[Country Code]],Table29[],6,FALSE)</f>
        <v>no</v>
      </c>
      <c r="Z539" s="233" t="str">
        <f>VLOOKUP(Table3[[#This Row],[Country Code]],Table29[],7,FALSE)</f>
        <v>no</v>
      </c>
      <c r="AA539" s="233" t="str">
        <f>VLOOKUP(Table3[[#This Row],[Country Code]],Table29[],8,FALSE)</f>
        <v>non-OECD</v>
      </c>
      <c r="AB539" s="233" t="str">
        <f>VLOOKUP(Table3[[#This Row],[Country Code]],Table29[],9,FALSE)</f>
        <v>no</v>
      </c>
      <c r="AC539" s="233" t="str">
        <f>VLOOKUP(Table3[[#This Row],[Country Code]],Table29[],10,FALSE)</f>
        <v>no</v>
      </c>
      <c r="AD539" s="235">
        <f>VLOOKUP(Table3[[#This Row],[Country Code]],Table29[],23,FALSE)</f>
        <v>33.953984042408003</v>
      </c>
      <c r="AE539" s="235">
        <f>VLOOKUP(Table3[[#This Row],[Country Code]],Table29[],24,FALSE)</f>
        <v>3.9936406306970689</v>
      </c>
      <c r="AF539" s="43"/>
    </row>
    <row r="540" spans="1:32" ht="30" x14ac:dyDescent="0.25">
      <c r="A540" s="360">
        <v>26780</v>
      </c>
      <c r="B540" s="233" t="str">
        <f>VLOOKUP(Table3[[#This Row],[Document ID]],Table1[],2,FALSE)</f>
        <v>ISL</v>
      </c>
      <c r="C540" s="233" t="str">
        <f>VLOOKUP(Table3[[#This Row],[Document ID]],Table1[],3,FALSE)</f>
        <v>Iceland</v>
      </c>
      <c r="D540" s="233" t="str">
        <f>VLOOKUP(Table3[[#This Row],[Document ID]],Table1[],5,FALSE)</f>
        <v>LTS</v>
      </c>
      <c r="E540" s="233" t="str">
        <f>VLOOKUP(Table3[[#This Row],[Document ID]],Table1[],7,FALSE)</f>
        <v>LTS</v>
      </c>
      <c r="F540" s="233" t="str">
        <f>VLOOKUP(Table3[[#This Row],[Document ID]],Table1[],8,FALSE)</f>
        <v>LTS 1.0</v>
      </c>
      <c r="G540" s="233" t="str">
        <f>VLOOKUP(Table3[[#This Row],[Document ID]],Table1[],10,FALSE)</f>
        <v>Active</v>
      </c>
      <c r="H540" s="42" t="s">
        <v>1095</v>
      </c>
      <c r="I540" s="42" t="s">
        <v>1096</v>
      </c>
      <c r="J540" s="42" t="s">
        <v>1097</v>
      </c>
      <c r="K540" s="28" t="s">
        <v>1104</v>
      </c>
      <c r="L540" s="389" t="s">
        <v>1099</v>
      </c>
      <c r="M540" s="209">
        <v>2030</v>
      </c>
      <c r="N540" s="209" t="s">
        <v>1656</v>
      </c>
      <c r="O540" s="257">
        <v>32</v>
      </c>
      <c r="P540" s="238" t="str">
        <f>VLOOKUP(_xlfn.CONCAT(Table3[[#This Row],[Target area]],Table3[[#This Row],[GHG target?]],Table3[[#This Row],[Conditionality]]),'Drop down'!$E$81:$F$101,2,FALSE)</f>
        <v>T_Transport_O_Unc</v>
      </c>
      <c r="Q540" s="239" t="str">
        <f>VLOOKUP(Table3[[#This Row],[Target type]],Table418[[Value name]:[Value idenifyer]],2,FALSE)</f>
        <v>T_O_ZERO</v>
      </c>
      <c r="S540" s="233" t="s">
        <v>1101</v>
      </c>
      <c r="T540" s="234" t="s">
        <v>1113</v>
      </c>
      <c r="U540" s="240" t="s">
        <v>1221</v>
      </c>
      <c r="V540" s="233" t="str">
        <f>VLOOKUP(Table3[[#This Row],[Country Code]],Table29[],3,FALSE)</f>
        <v>Annex I</v>
      </c>
      <c r="W540" s="233" t="str">
        <f>VLOOKUP(Table3[[#This Row],[Country Code]],Table29[],4,FALSE)</f>
        <v>Europe</v>
      </c>
      <c r="X540" s="233" t="str">
        <f>VLOOKUP(Table3[[#This Row],[Country Code]],Table29[],5,FALSE)</f>
        <v>High-income</v>
      </c>
      <c r="Y540" s="233" t="str">
        <f>VLOOKUP(Table3[[#This Row],[Country Code]],Table29[],6,FALSE)</f>
        <v>no</v>
      </c>
      <c r="Z540" s="233" t="str">
        <f>VLOOKUP(Table3[[#This Row],[Country Code]],Table29[],7,FALSE)</f>
        <v>no</v>
      </c>
      <c r="AA540" s="233" t="str">
        <f>VLOOKUP(Table3[[#This Row],[Country Code]],Table29[],8,FALSE)</f>
        <v>OECD</v>
      </c>
      <c r="AB540" s="233" t="str">
        <f>VLOOKUP(Table3[[#This Row],[Country Code]],Table29[],9,FALSE)</f>
        <v>no</v>
      </c>
      <c r="AC540" s="233" t="str">
        <f>VLOOKUP(Table3[[#This Row],[Country Code]],Table29[],10,FALSE)</f>
        <v>no</v>
      </c>
      <c r="AD540" s="235">
        <f>VLOOKUP(Table3[[#This Row],[Country Code]],Table29[],23,FALSE)</f>
        <v>4.171936013462</v>
      </c>
      <c r="AE540" s="235">
        <f>VLOOKUP(Table3[[#This Row],[Country Code]],Table29[],24,FALSE)</f>
        <v>0.90770990400120422</v>
      </c>
      <c r="AF540" s="43"/>
    </row>
    <row r="541" spans="1:32" x14ac:dyDescent="0.25">
      <c r="A541" s="360">
        <v>17670</v>
      </c>
      <c r="B541" s="233" t="str">
        <f>VLOOKUP(Table3[[#This Row],[Document ID]],Table1[],2,FALSE)</f>
        <v>MOZ</v>
      </c>
      <c r="C541" s="233" t="str">
        <f>VLOOKUP(Table3[[#This Row],[Document ID]],Table1[],3,FALSE)</f>
        <v>Mozambique</v>
      </c>
      <c r="D541" s="233" t="str">
        <f>VLOOKUP(Table3[[#This Row],[Document ID]],Table1[],5,FALSE)</f>
        <v>NDC</v>
      </c>
      <c r="E541" s="233" t="str">
        <f>VLOOKUP(Table3[[#This Row],[Document ID]],Table1[],7,FALSE)</f>
        <v>First NDC</v>
      </c>
      <c r="F541" s="233" t="str">
        <f>VLOOKUP(Table3[[#This Row],[Document ID]],Table1[],8,FALSE)</f>
        <v>NDC 1.0</v>
      </c>
      <c r="G541" s="233" t="str">
        <f>VLOOKUP(Table3[[#This Row],[Document ID]],Table1[],10,FALSE)</f>
        <v>Archived</v>
      </c>
      <c r="H541" s="216" t="s">
        <v>1089</v>
      </c>
      <c r="I541" s="216" t="s">
        <v>1089</v>
      </c>
      <c r="J541" s="43" t="s">
        <v>1090</v>
      </c>
      <c r="K541" s="28" t="s">
        <v>1121</v>
      </c>
      <c r="L541" s="216" t="s">
        <v>1092</v>
      </c>
      <c r="M541" s="209">
        <v>2030</v>
      </c>
      <c r="N541" s="176" t="s">
        <v>1657</v>
      </c>
      <c r="O541" s="258" t="s">
        <v>1094</v>
      </c>
      <c r="P541" s="238" t="str">
        <f>VLOOKUP(_xlfn.CONCAT(Table3[[#This Row],[Target area]],Table3[[#This Row],[GHG target?]],Table3[[#This Row],[Conditionality]]),'Drop down'!$E$81:$F$101,2,FALSE)</f>
        <v>T_Economy_C</v>
      </c>
      <c r="Q541" s="239" t="str">
        <f>VLOOKUP(Table3[[#This Row],[Target type]],Table418[[Value name]:[Value idenifyer]],2,FALSE)</f>
        <v>T_FL</v>
      </c>
      <c r="T541" s="240"/>
      <c r="V541" s="233" t="str">
        <f>VLOOKUP(Table3[[#This Row],[Country Code]],Table29[],3,FALSE)</f>
        <v>Non-Annex I</v>
      </c>
      <c r="W541" s="233" t="str">
        <f>VLOOKUP(Table3[[#This Row],[Country Code]],Table29[],4,FALSE)</f>
        <v>Africa</v>
      </c>
      <c r="X541" s="233" t="str">
        <f>VLOOKUP(Table3[[#This Row],[Country Code]],Table29[],5,FALSE)</f>
        <v>Low-income</v>
      </c>
      <c r="Y541" s="233" t="str">
        <f>VLOOKUP(Table3[[#This Row],[Country Code]],Table29[],6,FALSE)</f>
        <v>no</v>
      </c>
      <c r="Z541" s="233" t="str">
        <f>VLOOKUP(Table3[[#This Row],[Country Code]],Table29[],7,FALSE)</f>
        <v>no</v>
      </c>
      <c r="AA541" s="233" t="str">
        <f>VLOOKUP(Table3[[#This Row],[Country Code]],Table29[],8,FALSE)</f>
        <v>non-OECD</v>
      </c>
      <c r="AB541" s="233" t="str">
        <f>VLOOKUP(Table3[[#This Row],[Country Code]],Table29[],9,FALSE)</f>
        <v>no</v>
      </c>
      <c r="AC541" s="233" t="str">
        <f>VLOOKUP(Table3[[#This Row],[Country Code]],Table29[],10,FALSE)</f>
        <v>no</v>
      </c>
      <c r="AD541" s="235">
        <f>VLOOKUP(Table3[[#This Row],[Country Code]],Table29[],23,FALSE)</f>
        <v>33.953984042408003</v>
      </c>
      <c r="AE541" s="235">
        <f>VLOOKUP(Table3[[#This Row],[Country Code]],Table29[],24,FALSE)</f>
        <v>3.9936406306970689</v>
      </c>
      <c r="AF541" s="43"/>
    </row>
    <row r="542" spans="1:32" x14ac:dyDescent="0.25">
      <c r="A542" s="360">
        <v>28253</v>
      </c>
      <c r="B542" s="233" t="str">
        <f>VLOOKUP(Table3[[#This Row],[Document ID]],Table1[],2,FALSE)</f>
        <v>MMR</v>
      </c>
      <c r="C542" s="233" t="str">
        <f>VLOOKUP(Table3[[#This Row],[Document ID]],Table1[],3,FALSE)</f>
        <v>Myanmar</v>
      </c>
      <c r="D542" s="233" t="str">
        <f>VLOOKUP(Table3[[#This Row],[Document ID]],Table1[],5,FALSE)</f>
        <v>NDC</v>
      </c>
      <c r="E542" s="233" t="str">
        <f>VLOOKUP(Table3[[#This Row],[Document ID]],Table1[],7,FALSE)</f>
        <v>First NDC updated</v>
      </c>
      <c r="F542" s="233" t="str">
        <f>VLOOKUP(Table3[[#This Row],[Document ID]],Table1[],8,FALSE)</f>
        <v>NDC 1.1</v>
      </c>
      <c r="G542" s="233" t="str">
        <f>VLOOKUP(Table3[[#This Row],[Document ID]],Table1[],10,FALSE)</f>
        <v>Active</v>
      </c>
      <c r="H542" s="216" t="s">
        <v>1089</v>
      </c>
      <c r="I542" s="216" t="s">
        <v>1089</v>
      </c>
      <c r="J542" s="43" t="s">
        <v>1090</v>
      </c>
      <c r="K542" s="28" t="s">
        <v>1121</v>
      </c>
      <c r="L542" s="42" t="s">
        <v>1099</v>
      </c>
      <c r="M542" s="209">
        <v>2030</v>
      </c>
      <c r="N542" s="209" t="s">
        <v>1658</v>
      </c>
      <c r="O542" s="257">
        <v>30</v>
      </c>
      <c r="P542" s="238" t="str">
        <f>VLOOKUP(_xlfn.CONCAT(Table3[[#This Row],[Target area]],Table3[[#This Row],[GHG target?]],Table3[[#This Row],[Conditionality]]),'Drop down'!$E$81:$F$101,2,FALSE)</f>
        <v>T_Economy_Unc</v>
      </c>
      <c r="Q542" s="239" t="str">
        <f>VLOOKUP(Table3[[#This Row],[Target type]],Table418[[Value name]:[Value idenifyer]],2,FALSE)</f>
        <v>T_FL</v>
      </c>
      <c r="T542" s="240"/>
      <c r="U542" s="240"/>
      <c r="V542" s="233" t="str">
        <f>VLOOKUP(Table3[[#This Row],[Country Code]],Table29[],3,FALSE)</f>
        <v>Non-Annex I</v>
      </c>
      <c r="W542" s="233" t="str">
        <f>VLOOKUP(Table3[[#This Row],[Country Code]],Table29[],4,FALSE)</f>
        <v>Asia</v>
      </c>
      <c r="X542" s="233" t="str">
        <f>VLOOKUP(Table3[[#This Row],[Country Code]],Table29[],5,FALSE)</f>
        <v>Middle-income</v>
      </c>
      <c r="Y542" s="233" t="str">
        <f>VLOOKUP(Table3[[#This Row],[Country Code]],Table29[],6,FALSE)</f>
        <v>no</v>
      </c>
      <c r="Z542" s="233" t="str">
        <f>VLOOKUP(Table3[[#This Row],[Country Code]],Table29[],7,FALSE)</f>
        <v>no</v>
      </c>
      <c r="AA542" s="233" t="str">
        <f>VLOOKUP(Table3[[#This Row],[Country Code]],Table29[],8,FALSE)</f>
        <v>non-OECD</v>
      </c>
      <c r="AB542" s="233" t="str">
        <f>VLOOKUP(Table3[[#This Row],[Country Code]],Table29[],9,FALSE)</f>
        <v>no</v>
      </c>
      <c r="AC542" s="233" t="str">
        <f>VLOOKUP(Table3[[#This Row],[Country Code]],Table29[],10,FALSE)</f>
        <v>no</v>
      </c>
      <c r="AD542" s="235">
        <f>VLOOKUP(Table3[[#This Row],[Country Code]],Table29[],23,FALSE)</f>
        <v>115.07725289766</v>
      </c>
      <c r="AE542" s="235">
        <f>VLOOKUP(Table3[[#This Row],[Country Code]],Table29[],24,FALSE)</f>
        <v>5.5409798384290738</v>
      </c>
      <c r="AF542" s="43"/>
    </row>
    <row r="543" spans="1:32" x14ac:dyDescent="0.25">
      <c r="A543" s="360">
        <v>28253</v>
      </c>
      <c r="B543" s="233" t="str">
        <f>VLOOKUP(Table3[[#This Row],[Document ID]],Table1[],2,FALSE)</f>
        <v>MMR</v>
      </c>
      <c r="C543" s="233" t="str">
        <f>VLOOKUP(Table3[[#This Row],[Document ID]],Table1[],3,FALSE)</f>
        <v>Myanmar</v>
      </c>
      <c r="D543" s="233" t="str">
        <f>VLOOKUP(Table3[[#This Row],[Document ID]],Table1[],5,FALSE)</f>
        <v>NDC</v>
      </c>
      <c r="E543" s="233" t="str">
        <f>VLOOKUP(Table3[[#This Row],[Document ID]],Table1[],7,FALSE)</f>
        <v>First NDC updated</v>
      </c>
      <c r="F543" s="233" t="str">
        <f>VLOOKUP(Table3[[#This Row],[Document ID]],Table1[],8,FALSE)</f>
        <v>NDC 1.1</v>
      </c>
      <c r="G543" s="233" t="str">
        <f>VLOOKUP(Table3[[#This Row],[Document ID]],Table1[],10,FALSE)</f>
        <v>Active</v>
      </c>
      <c r="H543" s="216" t="s">
        <v>1089</v>
      </c>
      <c r="I543" s="216" t="s">
        <v>1089</v>
      </c>
      <c r="J543" s="43" t="s">
        <v>1090</v>
      </c>
      <c r="K543" s="28" t="s">
        <v>1121</v>
      </c>
      <c r="L543" s="216" t="s">
        <v>1092</v>
      </c>
      <c r="M543" s="209">
        <v>2030</v>
      </c>
      <c r="N543" s="209" t="s">
        <v>1659</v>
      </c>
      <c r="O543" s="257">
        <v>30</v>
      </c>
      <c r="P543" s="238" t="str">
        <f>VLOOKUP(_xlfn.CONCAT(Table3[[#This Row],[Target area]],Table3[[#This Row],[GHG target?]],Table3[[#This Row],[Conditionality]]),'Drop down'!$E$81:$F$101,2,FALSE)</f>
        <v>T_Economy_C</v>
      </c>
      <c r="Q543" s="239" t="str">
        <f>VLOOKUP(Table3[[#This Row],[Target type]],Table418[[Value name]:[Value idenifyer]],2,FALSE)</f>
        <v>T_FL</v>
      </c>
      <c r="T543" s="240"/>
      <c r="U543" s="240"/>
      <c r="V543" s="233" t="str">
        <f>VLOOKUP(Table3[[#This Row],[Country Code]],Table29[],3,FALSE)</f>
        <v>Non-Annex I</v>
      </c>
      <c r="W543" s="233" t="str">
        <f>VLOOKUP(Table3[[#This Row],[Country Code]],Table29[],4,FALSE)</f>
        <v>Asia</v>
      </c>
      <c r="X543" s="233" t="str">
        <f>VLOOKUP(Table3[[#This Row],[Country Code]],Table29[],5,FALSE)</f>
        <v>Middle-income</v>
      </c>
      <c r="Y543" s="233" t="str">
        <f>VLOOKUP(Table3[[#This Row],[Country Code]],Table29[],6,FALSE)</f>
        <v>no</v>
      </c>
      <c r="Z543" s="233" t="str">
        <f>VLOOKUP(Table3[[#This Row],[Country Code]],Table29[],7,FALSE)</f>
        <v>no</v>
      </c>
      <c r="AA543" s="233" t="str">
        <f>VLOOKUP(Table3[[#This Row],[Country Code]],Table29[],8,FALSE)</f>
        <v>non-OECD</v>
      </c>
      <c r="AB543" s="233" t="str">
        <f>VLOOKUP(Table3[[#This Row],[Country Code]],Table29[],9,FALSE)</f>
        <v>no</v>
      </c>
      <c r="AC543" s="233" t="str">
        <f>VLOOKUP(Table3[[#This Row],[Country Code]],Table29[],10,FALSE)</f>
        <v>no</v>
      </c>
      <c r="AD543" s="235">
        <f>VLOOKUP(Table3[[#This Row],[Country Code]],Table29[],23,FALSE)</f>
        <v>115.07725289766</v>
      </c>
      <c r="AE543" s="235">
        <f>VLOOKUP(Table3[[#This Row],[Country Code]],Table29[],24,FALSE)</f>
        <v>5.5409798384290738</v>
      </c>
      <c r="AF543" s="43"/>
    </row>
    <row r="544" spans="1:32" x14ac:dyDescent="0.25">
      <c r="A544" s="360">
        <v>28253</v>
      </c>
      <c r="B544" s="233" t="str">
        <f>VLOOKUP(Table3[[#This Row],[Document ID]],Table1[],2,FALSE)</f>
        <v>MMR</v>
      </c>
      <c r="C544" s="233" t="str">
        <f>VLOOKUP(Table3[[#This Row],[Document ID]],Table1[],3,FALSE)</f>
        <v>Myanmar</v>
      </c>
      <c r="D544" s="233" t="str">
        <f>VLOOKUP(Table3[[#This Row],[Document ID]],Table1[],5,FALSE)</f>
        <v>NDC</v>
      </c>
      <c r="E544" s="233" t="str">
        <f>VLOOKUP(Table3[[#This Row],[Document ID]],Table1[],7,FALSE)</f>
        <v>First NDC updated</v>
      </c>
      <c r="F544" s="233" t="str">
        <f>VLOOKUP(Table3[[#This Row],[Document ID]],Table1[],8,FALSE)</f>
        <v>NDC 1.1</v>
      </c>
      <c r="G544" s="233" t="str">
        <f>VLOOKUP(Table3[[#This Row],[Document ID]],Table1[],10,FALSE)</f>
        <v>Active</v>
      </c>
      <c r="H544" s="43" t="s">
        <v>1114</v>
      </c>
      <c r="I544" s="43" t="s">
        <v>1115</v>
      </c>
      <c r="J544" s="42" t="s">
        <v>1097</v>
      </c>
      <c r="K544" s="28" t="s">
        <v>1118</v>
      </c>
      <c r="L544" s="43" t="s">
        <v>1116</v>
      </c>
      <c r="M544" s="209">
        <v>2030</v>
      </c>
      <c r="N544" s="209" t="s">
        <v>1660</v>
      </c>
      <c r="O544" s="257">
        <v>8</v>
      </c>
      <c r="P544" s="238" t="str">
        <f>VLOOKUP(_xlfn.CONCAT(Table3[[#This Row],[Target area]],Table3[[#This Row],[GHG target?]],Table3[[#This Row],[Conditionality]]),'Drop down'!$E$81:$F$101,2,FALSE)</f>
        <v>T_Energy_O</v>
      </c>
      <c r="Q544" s="239" t="str">
        <f>VLOOKUP(Table3[[#This Row],[Target type]],Table418[[Value name]:[Value idenifyer]],2,FALSE)</f>
        <v>T_E_REN</v>
      </c>
      <c r="T544" s="240"/>
      <c r="U544" s="240"/>
      <c r="V544" s="233" t="str">
        <f>VLOOKUP(Table3[[#This Row],[Country Code]],Table29[],3,FALSE)</f>
        <v>Non-Annex I</v>
      </c>
      <c r="W544" s="233" t="str">
        <f>VLOOKUP(Table3[[#This Row],[Country Code]],Table29[],4,FALSE)</f>
        <v>Asia</v>
      </c>
      <c r="X544" s="233" t="str">
        <f>VLOOKUP(Table3[[#This Row],[Country Code]],Table29[],5,FALSE)</f>
        <v>Middle-income</v>
      </c>
      <c r="Y544" s="233" t="str">
        <f>VLOOKUP(Table3[[#This Row],[Country Code]],Table29[],6,FALSE)</f>
        <v>no</v>
      </c>
      <c r="Z544" s="233" t="str">
        <f>VLOOKUP(Table3[[#This Row],[Country Code]],Table29[],7,FALSE)</f>
        <v>no</v>
      </c>
      <c r="AA544" s="233" t="str">
        <f>VLOOKUP(Table3[[#This Row],[Country Code]],Table29[],8,FALSE)</f>
        <v>non-OECD</v>
      </c>
      <c r="AB544" s="233" t="str">
        <f>VLOOKUP(Table3[[#This Row],[Country Code]],Table29[],9,FALSE)</f>
        <v>no</v>
      </c>
      <c r="AC544" s="233" t="str">
        <f>VLOOKUP(Table3[[#This Row],[Country Code]],Table29[],10,FALSE)</f>
        <v>no</v>
      </c>
      <c r="AD544" s="235">
        <f>VLOOKUP(Table3[[#This Row],[Country Code]],Table29[],23,FALSE)</f>
        <v>115.07725289766</v>
      </c>
      <c r="AE544" s="235">
        <f>VLOOKUP(Table3[[#This Row],[Country Code]],Table29[],24,FALSE)</f>
        <v>5.5409798384290738</v>
      </c>
      <c r="AF544" s="43"/>
    </row>
    <row r="545" spans="1:32" ht="60" x14ac:dyDescent="0.25">
      <c r="A545" s="360">
        <v>17672</v>
      </c>
      <c r="B545" s="233" t="str">
        <f>VLOOKUP(Table3[[#This Row],[Document ID]],Table1[],2,FALSE)</f>
        <v>NAM</v>
      </c>
      <c r="C545" s="233" t="str">
        <f>VLOOKUP(Table3[[#This Row],[Document ID]],Table1[],3,FALSE)</f>
        <v>Namibia</v>
      </c>
      <c r="D545" s="233" t="str">
        <f>VLOOKUP(Table3[[#This Row],[Document ID]],Table1[],5,FALSE)</f>
        <v>NDC</v>
      </c>
      <c r="E545" s="233" t="str">
        <f>VLOOKUP(Table3[[#This Row],[Document ID]],Table1[],7,FALSE)</f>
        <v>First NDC</v>
      </c>
      <c r="F545" s="233" t="str">
        <f>VLOOKUP(Table3[[#This Row],[Document ID]],Table1[],8,FALSE)</f>
        <v>NDC 1.0</v>
      </c>
      <c r="G545" s="233" t="str">
        <f>VLOOKUP(Table3[[#This Row],[Document ID]],Table1[],10,FALSE)</f>
        <v>Archived</v>
      </c>
      <c r="H545" s="216" t="s">
        <v>1089</v>
      </c>
      <c r="I545" s="216" t="s">
        <v>1089</v>
      </c>
      <c r="J545" s="43" t="s">
        <v>1090</v>
      </c>
      <c r="K545" s="28" t="s">
        <v>1091</v>
      </c>
      <c r="L545" s="216" t="s">
        <v>1092</v>
      </c>
      <c r="M545" s="209">
        <v>2030</v>
      </c>
      <c r="N545" s="44" t="s">
        <v>1661</v>
      </c>
      <c r="O545" s="258">
        <v>1</v>
      </c>
      <c r="P545" s="238" t="str">
        <f>VLOOKUP(_xlfn.CONCAT(Table3[[#This Row],[Target area]],Table3[[#This Row],[GHG target?]],Table3[[#This Row],[Conditionality]]),'Drop down'!$E$81:$F$101,2,FALSE)</f>
        <v>T_Economy_C</v>
      </c>
      <c r="Q545" s="239" t="str">
        <f>VLOOKUP(Table3[[#This Row],[Target type]],Table418[[Value name]:[Value idenifyer]],2,FALSE)</f>
        <v>T_BAU</v>
      </c>
      <c r="S545" s="233" t="s">
        <v>1101</v>
      </c>
      <c r="T545" s="234" t="s">
        <v>1113</v>
      </c>
      <c r="V545" s="233" t="str">
        <f>VLOOKUP(Table3[[#This Row],[Country Code]],Table29[],3,FALSE)</f>
        <v>Non-Annex I</v>
      </c>
      <c r="W545" s="233" t="str">
        <f>VLOOKUP(Table3[[#This Row],[Country Code]],Table29[],4,FALSE)</f>
        <v>Africa</v>
      </c>
      <c r="X545" s="233" t="str">
        <f>VLOOKUP(Table3[[#This Row],[Country Code]],Table29[],5,FALSE)</f>
        <v>Middle-income</v>
      </c>
      <c r="Y545" s="233" t="str">
        <f>VLOOKUP(Table3[[#This Row],[Country Code]],Table29[],6,FALSE)</f>
        <v>no</v>
      </c>
      <c r="Z545" s="233" t="str">
        <f>VLOOKUP(Table3[[#This Row],[Country Code]],Table29[],7,FALSE)</f>
        <v>no</v>
      </c>
      <c r="AA545" s="233" t="str">
        <f>VLOOKUP(Table3[[#This Row],[Country Code]],Table29[],8,FALSE)</f>
        <v>non-OECD</v>
      </c>
      <c r="AB545" s="233" t="str">
        <f>VLOOKUP(Table3[[#This Row],[Country Code]],Table29[],9,FALSE)</f>
        <v>no</v>
      </c>
      <c r="AC545" s="233" t="str">
        <f>VLOOKUP(Table3[[#This Row],[Country Code]],Table29[],10,FALSE)</f>
        <v>no</v>
      </c>
      <c r="AD545" s="235">
        <f>VLOOKUP(Table3[[#This Row],[Country Code]],Table29[],23,FALSE)</f>
        <v>12.885675050293001</v>
      </c>
      <c r="AE545" s="235">
        <f>VLOOKUP(Table3[[#This Row],[Country Code]],Table29[],24,FALSE)</f>
        <v>2.1850282301150679</v>
      </c>
      <c r="AF545" s="43"/>
    </row>
    <row r="546" spans="1:32" ht="45" x14ac:dyDescent="0.25">
      <c r="A546" s="360">
        <v>17672</v>
      </c>
      <c r="B546" s="233" t="str">
        <f>VLOOKUP(Table3[[#This Row],[Document ID]],Table1[],2,FALSE)</f>
        <v>NAM</v>
      </c>
      <c r="C546" s="233" t="str">
        <f>VLOOKUP(Table3[[#This Row],[Document ID]],Table1[],3,FALSE)</f>
        <v>Namibia</v>
      </c>
      <c r="D546" s="233" t="str">
        <f>VLOOKUP(Table3[[#This Row],[Document ID]],Table1[],5,FALSE)</f>
        <v>NDC</v>
      </c>
      <c r="E546" s="233" t="str">
        <f>VLOOKUP(Table3[[#This Row],[Document ID]],Table1[],7,FALSE)</f>
        <v>First NDC</v>
      </c>
      <c r="F546" s="233" t="str">
        <f>VLOOKUP(Table3[[#This Row],[Document ID]],Table1[],8,FALSE)</f>
        <v>NDC 1.0</v>
      </c>
      <c r="G546" s="233" t="str">
        <f>VLOOKUP(Table3[[#This Row],[Document ID]],Table1[],10,FALSE)</f>
        <v>Archived</v>
      </c>
      <c r="H546" s="216" t="s">
        <v>1089</v>
      </c>
      <c r="I546" s="216" t="s">
        <v>1089</v>
      </c>
      <c r="J546" s="43" t="s">
        <v>1090</v>
      </c>
      <c r="K546" s="28" t="s">
        <v>1091</v>
      </c>
      <c r="L546" s="42" t="s">
        <v>1099</v>
      </c>
      <c r="M546" s="209">
        <v>2030</v>
      </c>
      <c r="N546" s="44" t="s">
        <v>1662</v>
      </c>
      <c r="O546" s="258">
        <v>3</v>
      </c>
      <c r="P546" s="238" t="str">
        <f>VLOOKUP(_xlfn.CONCAT(Table3[[#This Row],[Target area]],Table3[[#This Row],[GHG target?]],Table3[[#This Row],[Conditionality]]),'Drop down'!$E$81:$F$101,2,FALSE)</f>
        <v>T_Economy_Unc</v>
      </c>
      <c r="Q546" s="239" t="str">
        <f>VLOOKUP(Table3[[#This Row],[Target type]],Table418[[Value name]:[Value idenifyer]],2,FALSE)</f>
        <v>T_BAU</v>
      </c>
      <c r="S546" s="233" t="s">
        <v>1101</v>
      </c>
      <c r="T546" s="234" t="s">
        <v>1113</v>
      </c>
      <c r="V546" s="233" t="str">
        <f>VLOOKUP(Table3[[#This Row],[Country Code]],Table29[],3,FALSE)</f>
        <v>Non-Annex I</v>
      </c>
      <c r="W546" s="233" t="str">
        <f>VLOOKUP(Table3[[#This Row],[Country Code]],Table29[],4,FALSE)</f>
        <v>Africa</v>
      </c>
      <c r="X546" s="233" t="str">
        <f>VLOOKUP(Table3[[#This Row],[Country Code]],Table29[],5,FALSE)</f>
        <v>Middle-income</v>
      </c>
      <c r="Y546" s="233" t="str">
        <f>VLOOKUP(Table3[[#This Row],[Country Code]],Table29[],6,FALSE)</f>
        <v>no</v>
      </c>
      <c r="Z546" s="233" t="str">
        <f>VLOOKUP(Table3[[#This Row],[Country Code]],Table29[],7,FALSE)</f>
        <v>no</v>
      </c>
      <c r="AA546" s="233" t="str">
        <f>VLOOKUP(Table3[[#This Row],[Country Code]],Table29[],8,FALSE)</f>
        <v>non-OECD</v>
      </c>
      <c r="AB546" s="233" t="str">
        <f>VLOOKUP(Table3[[#This Row],[Country Code]],Table29[],9,FALSE)</f>
        <v>no</v>
      </c>
      <c r="AC546" s="233" t="str">
        <f>VLOOKUP(Table3[[#This Row],[Country Code]],Table29[],10,FALSE)</f>
        <v>no</v>
      </c>
      <c r="AD546" s="235">
        <f>VLOOKUP(Table3[[#This Row],[Country Code]],Table29[],23,FALSE)</f>
        <v>12.885675050293001</v>
      </c>
      <c r="AE546" s="235">
        <f>VLOOKUP(Table3[[#This Row],[Country Code]],Table29[],24,FALSE)</f>
        <v>2.1850282301150679</v>
      </c>
      <c r="AF546" s="43"/>
    </row>
    <row r="547" spans="1:32" ht="30" x14ac:dyDescent="0.25">
      <c r="A547" s="360">
        <v>17672</v>
      </c>
      <c r="B547" s="233" t="str">
        <f>VLOOKUP(Table3[[#This Row],[Document ID]],Table1[],2,FALSE)</f>
        <v>NAM</v>
      </c>
      <c r="C547" s="233" t="str">
        <f>VLOOKUP(Table3[[#This Row],[Document ID]],Table1[],3,FALSE)</f>
        <v>Namibia</v>
      </c>
      <c r="D547" s="233" t="str">
        <f>VLOOKUP(Table3[[#This Row],[Document ID]],Table1[],5,FALSE)</f>
        <v>NDC</v>
      </c>
      <c r="E547" s="233" t="str">
        <f>VLOOKUP(Table3[[#This Row],[Document ID]],Table1[],7,FALSE)</f>
        <v>First NDC</v>
      </c>
      <c r="F547" s="233" t="str">
        <f>VLOOKUP(Table3[[#This Row],[Document ID]],Table1[],8,FALSE)</f>
        <v>NDC 1.0</v>
      </c>
      <c r="G547" s="233" t="str">
        <f>VLOOKUP(Table3[[#This Row],[Document ID]],Table1[],10,FALSE)</f>
        <v>Archived</v>
      </c>
      <c r="H547" s="43" t="s">
        <v>1114</v>
      </c>
      <c r="I547" s="43" t="s">
        <v>1115</v>
      </c>
      <c r="J547" s="42" t="s">
        <v>1090</v>
      </c>
      <c r="K547" s="28" t="s">
        <v>1091</v>
      </c>
      <c r="L547" s="43" t="s">
        <v>1116</v>
      </c>
      <c r="M547" s="209">
        <v>2030</v>
      </c>
      <c r="N547" s="44" t="s">
        <v>1663</v>
      </c>
      <c r="O547" s="258">
        <v>11</v>
      </c>
      <c r="P547" s="238" t="str">
        <f>VLOOKUP(_xlfn.CONCAT(Table3[[#This Row],[Target area]],Table3[[#This Row],[GHG target?]],Table3[[#This Row],[Conditionality]]),'Drop down'!$E$81:$F$101,2,FALSE)</f>
        <v>T_Energy</v>
      </c>
      <c r="Q547" s="239" t="str">
        <f>VLOOKUP(Table3[[#This Row],[Target type]],Table418[[Value name]:[Value idenifyer]],2,FALSE)</f>
        <v>T_BAU</v>
      </c>
      <c r="S547" s="233" t="s">
        <v>1101</v>
      </c>
      <c r="T547" s="234" t="s">
        <v>1113</v>
      </c>
      <c r="V547" s="233" t="str">
        <f>VLOOKUP(Table3[[#This Row],[Country Code]],Table29[],3,FALSE)</f>
        <v>Non-Annex I</v>
      </c>
      <c r="W547" s="233" t="str">
        <f>VLOOKUP(Table3[[#This Row],[Country Code]],Table29[],4,FALSE)</f>
        <v>Africa</v>
      </c>
      <c r="X547" s="233" t="str">
        <f>VLOOKUP(Table3[[#This Row],[Country Code]],Table29[],5,FALSE)</f>
        <v>Middle-income</v>
      </c>
      <c r="Y547" s="233" t="str">
        <f>VLOOKUP(Table3[[#This Row],[Country Code]],Table29[],6,FALSE)</f>
        <v>no</v>
      </c>
      <c r="Z547" s="233" t="str">
        <f>VLOOKUP(Table3[[#This Row],[Country Code]],Table29[],7,FALSE)</f>
        <v>no</v>
      </c>
      <c r="AA547" s="233" t="str">
        <f>VLOOKUP(Table3[[#This Row],[Country Code]],Table29[],8,FALSE)</f>
        <v>non-OECD</v>
      </c>
      <c r="AB547" s="233" t="str">
        <f>VLOOKUP(Table3[[#This Row],[Country Code]],Table29[],9,FALSE)</f>
        <v>no</v>
      </c>
      <c r="AC547" s="233" t="str">
        <f>VLOOKUP(Table3[[#This Row],[Country Code]],Table29[],10,FALSE)</f>
        <v>no</v>
      </c>
      <c r="AD547" s="235">
        <f>VLOOKUP(Table3[[#This Row],[Country Code]],Table29[],23,FALSE)</f>
        <v>12.885675050293001</v>
      </c>
      <c r="AE547" s="235">
        <f>VLOOKUP(Table3[[#This Row],[Country Code]],Table29[],24,FALSE)</f>
        <v>2.1850282301150679</v>
      </c>
      <c r="AF547" s="43"/>
    </row>
    <row r="548" spans="1:32" ht="105" x14ac:dyDescent="0.25">
      <c r="A548" s="360">
        <v>21254</v>
      </c>
      <c r="B548" s="233" t="str">
        <f>VLOOKUP(Table3[[#This Row],[Document ID]],Table1[],2,FALSE)</f>
        <v>ISR</v>
      </c>
      <c r="C548" s="233" t="str">
        <f>VLOOKUP(Table3[[#This Row],[Document ID]],Table1[],3,FALSE)</f>
        <v>Israel</v>
      </c>
      <c r="D548" s="233" t="str">
        <f>VLOOKUP(Table3[[#This Row],[Document ID]],Table1[],5,FALSE)</f>
        <v>NDC</v>
      </c>
      <c r="E548" s="233" t="str">
        <f>VLOOKUP(Table3[[#This Row],[Document ID]],Table1[],7,FALSE)</f>
        <v>First NDC updated</v>
      </c>
      <c r="F548" s="233" t="str">
        <f>VLOOKUP(Table3[[#This Row],[Document ID]],Table1[],8,FALSE)</f>
        <v>NDC 1.1</v>
      </c>
      <c r="G548" s="233" t="str">
        <f>VLOOKUP(Table3[[#This Row],[Document ID]],Table1[],10,FALSE)</f>
        <v>Active</v>
      </c>
      <c r="H548" s="42" t="s">
        <v>1095</v>
      </c>
      <c r="I548" s="43" t="s">
        <v>1115</v>
      </c>
      <c r="J548" s="43" t="s">
        <v>1090</v>
      </c>
      <c r="K548" s="28" t="s">
        <v>1153</v>
      </c>
      <c r="L548" s="389" t="s">
        <v>1099</v>
      </c>
      <c r="M548" s="209">
        <v>2030</v>
      </c>
      <c r="N548" s="209" t="s">
        <v>1664</v>
      </c>
      <c r="O548" s="257">
        <v>2</v>
      </c>
      <c r="P548" s="238" t="str">
        <f>VLOOKUP(_xlfn.CONCAT(Table3[[#This Row],[Target area]],Table3[[#This Row],[GHG target?]],Table3[[#This Row],[Conditionality]]),'Drop down'!$E$81:$F$101,2,FALSE)</f>
        <v>T_Transport_Unc</v>
      </c>
      <c r="Q548" s="239" t="str">
        <f>VLOOKUP(Table3[[#This Row],[Target type]],Table418[[Value name]:[Value idenifyer]],2,FALSE)</f>
        <v>T_BYE</v>
      </c>
      <c r="R548" s="233" t="s">
        <v>526</v>
      </c>
      <c r="S548" s="233" t="s">
        <v>1125</v>
      </c>
      <c r="T548" s="234" t="s">
        <v>1113</v>
      </c>
      <c r="U548" s="234" t="s">
        <v>1113</v>
      </c>
      <c r="V548" s="233" t="str">
        <f>VLOOKUP(Table3[[#This Row],[Country Code]],Table29[],3,FALSE)</f>
        <v>Non-Annex I</v>
      </c>
      <c r="W548" s="233" t="str">
        <f>VLOOKUP(Table3[[#This Row],[Country Code]],Table29[],4,FALSE)</f>
        <v>Asia</v>
      </c>
      <c r="X548" s="233" t="str">
        <f>VLOOKUP(Table3[[#This Row],[Country Code]],Table29[],5,FALSE)</f>
        <v>High-income</v>
      </c>
      <c r="Y548" s="233" t="str">
        <f>VLOOKUP(Table3[[#This Row],[Country Code]],Table29[],6,FALSE)</f>
        <v>no</v>
      </c>
      <c r="Z548" s="233" t="str">
        <f>VLOOKUP(Table3[[#This Row],[Country Code]],Table29[],7,FALSE)</f>
        <v>no</v>
      </c>
      <c r="AA548" s="233" t="str">
        <f>VLOOKUP(Table3[[#This Row],[Country Code]],Table29[],8,FALSE)</f>
        <v>OECD</v>
      </c>
      <c r="AB548" s="233" t="str">
        <f>VLOOKUP(Table3[[#This Row],[Country Code]],Table29[],9,FALSE)</f>
        <v>no</v>
      </c>
      <c r="AC548" s="233" t="str">
        <f>VLOOKUP(Table3[[#This Row],[Country Code]],Table29[],10,FALSE)</f>
        <v>MENA</v>
      </c>
      <c r="AD548" s="235">
        <f>VLOOKUP(Table3[[#This Row],[Country Code]],Table29[],23,FALSE)</f>
        <v>79.578174881425994</v>
      </c>
      <c r="AE548" s="235">
        <f>VLOOKUP(Table3[[#This Row],[Country Code]],Table29[],24,FALSE)</f>
        <v>18.692155253646391</v>
      </c>
      <c r="AF548" s="43"/>
    </row>
    <row r="549" spans="1:32" ht="31.5" x14ac:dyDescent="0.25">
      <c r="A549" s="360">
        <v>21254</v>
      </c>
      <c r="B549" s="233" t="str">
        <f>VLOOKUP(Table3[[#This Row],[Document ID]],Table1[],2,FALSE)</f>
        <v>ISR</v>
      </c>
      <c r="C549" s="233" t="str">
        <f>VLOOKUP(Table3[[#This Row],[Document ID]],Table1[],3,FALSE)</f>
        <v>Israel</v>
      </c>
      <c r="D549" s="233" t="str">
        <f>VLOOKUP(Table3[[#This Row],[Document ID]],Table1[],5,FALSE)</f>
        <v>NDC</v>
      </c>
      <c r="E549" s="233" t="str">
        <f>VLOOKUP(Table3[[#This Row],[Document ID]],Table1[],7,FALSE)</f>
        <v>First NDC updated</v>
      </c>
      <c r="F549" s="233" t="str">
        <f>VLOOKUP(Table3[[#This Row],[Document ID]],Table1[],8,FALSE)</f>
        <v>NDC 1.1</v>
      </c>
      <c r="G549" s="233" t="str">
        <f>VLOOKUP(Table3[[#This Row],[Document ID]],Table1[],10,FALSE)</f>
        <v>Active</v>
      </c>
      <c r="H549" s="42" t="s">
        <v>1095</v>
      </c>
      <c r="I549" s="43" t="s">
        <v>1115</v>
      </c>
      <c r="J549" s="43" t="s">
        <v>1090</v>
      </c>
      <c r="K549" s="28" t="s">
        <v>1153</v>
      </c>
      <c r="L549" s="389" t="s">
        <v>1099</v>
      </c>
      <c r="M549" s="209">
        <v>2050</v>
      </c>
      <c r="N549" s="209" t="s">
        <v>1665</v>
      </c>
      <c r="O549" s="257">
        <v>2</v>
      </c>
      <c r="P549" s="238" t="str">
        <f>VLOOKUP(_xlfn.CONCAT(Table3[[#This Row],[Target area]],Table3[[#This Row],[GHG target?]],Table3[[#This Row],[Conditionality]]),'Drop down'!$E$81:$F$101,2,FALSE)</f>
        <v>T_Transport_Unc</v>
      </c>
      <c r="Q549" s="239" t="str">
        <f>VLOOKUP(Table3[[#This Row],[Target type]],Table418[[Value name]:[Value idenifyer]],2,FALSE)</f>
        <v>T_BYE</v>
      </c>
      <c r="R549" s="233" t="s">
        <v>526</v>
      </c>
      <c r="S549" s="233" t="s">
        <v>1125</v>
      </c>
      <c r="T549" s="234" t="s">
        <v>1113</v>
      </c>
      <c r="U549" s="234" t="s">
        <v>1113</v>
      </c>
      <c r="V549" s="233" t="str">
        <f>VLOOKUP(Table3[[#This Row],[Country Code]],Table29[],3,FALSE)</f>
        <v>Non-Annex I</v>
      </c>
      <c r="W549" s="233" t="str">
        <f>VLOOKUP(Table3[[#This Row],[Country Code]],Table29[],4,FALSE)</f>
        <v>Asia</v>
      </c>
      <c r="X549" s="233" t="str">
        <f>VLOOKUP(Table3[[#This Row],[Country Code]],Table29[],5,FALSE)</f>
        <v>High-income</v>
      </c>
      <c r="Y549" s="233" t="str">
        <f>VLOOKUP(Table3[[#This Row],[Country Code]],Table29[],6,FALSE)</f>
        <v>no</v>
      </c>
      <c r="Z549" s="233" t="str">
        <f>VLOOKUP(Table3[[#This Row],[Country Code]],Table29[],7,FALSE)</f>
        <v>no</v>
      </c>
      <c r="AA549" s="233" t="str">
        <f>VLOOKUP(Table3[[#This Row],[Country Code]],Table29[],8,FALSE)</f>
        <v>OECD</v>
      </c>
      <c r="AB549" s="233" t="str">
        <f>VLOOKUP(Table3[[#This Row],[Country Code]],Table29[],9,FALSE)</f>
        <v>no</v>
      </c>
      <c r="AC549" s="233" t="str">
        <f>VLOOKUP(Table3[[#This Row],[Country Code]],Table29[],10,FALSE)</f>
        <v>MENA</v>
      </c>
      <c r="AD549" s="235">
        <f>VLOOKUP(Table3[[#This Row],[Country Code]],Table29[],23,FALSE)</f>
        <v>79.578174881425994</v>
      </c>
      <c r="AE549" s="235">
        <f>VLOOKUP(Table3[[#This Row],[Country Code]],Table29[],24,FALSE)</f>
        <v>18.692155253646391</v>
      </c>
      <c r="AF549" s="43"/>
    </row>
    <row r="550" spans="1:32" ht="30" x14ac:dyDescent="0.25">
      <c r="A550" s="360">
        <v>21254</v>
      </c>
      <c r="B550" s="233" t="str">
        <f>VLOOKUP(Table3[[#This Row],[Document ID]],Table1[],2,FALSE)</f>
        <v>ISR</v>
      </c>
      <c r="C550" s="233" t="str">
        <f>VLOOKUP(Table3[[#This Row],[Document ID]],Table1[],3,FALSE)</f>
        <v>Israel</v>
      </c>
      <c r="D550" s="233" t="str">
        <f>VLOOKUP(Table3[[#This Row],[Document ID]],Table1[],5,FALSE)</f>
        <v>NDC</v>
      </c>
      <c r="E550" s="233" t="str">
        <f>VLOOKUP(Table3[[#This Row],[Document ID]],Table1[],7,FALSE)</f>
        <v>First NDC updated</v>
      </c>
      <c r="F550" s="233" t="str">
        <f>VLOOKUP(Table3[[#This Row],[Document ID]],Table1[],8,FALSE)</f>
        <v>NDC 1.1</v>
      </c>
      <c r="G550" s="233" t="str">
        <f>VLOOKUP(Table3[[#This Row],[Document ID]],Table1[],10,FALSE)</f>
        <v>Active</v>
      </c>
      <c r="H550" s="42" t="s">
        <v>1095</v>
      </c>
      <c r="I550" s="42" t="s">
        <v>1096</v>
      </c>
      <c r="J550" s="42" t="s">
        <v>1097</v>
      </c>
      <c r="K550" s="28" t="s">
        <v>1104</v>
      </c>
      <c r="L550" s="42" t="s">
        <v>1099</v>
      </c>
      <c r="M550" s="209">
        <v>2026</v>
      </c>
      <c r="N550" s="44" t="s">
        <v>1666</v>
      </c>
      <c r="O550" s="258">
        <v>2</v>
      </c>
      <c r="P550" s="238" t="str">
        <f>VLOOKUP(_xlfn.CONCAT(Table3[[#This Row],[Target area]],Table3[[#This Row],[GHG target?]],Table3[[#This Row],[Conditionality]]),'Drop down'!$E$81:$F$101,2,FALSE)</f>
        <v>T_Transport_O_Unc</v>
      </c>
      <c r="Q550" s="239" t="str">
        <f>VLOOKUP(Table3[[#This Row],[Target type]],Table418[[Value name]:[Value idenifyer]],2,FALSE)</f>
        <v>T_O_ZERO</v>
      </c>
      <c r="S550" s="233" t="s">
        <v>1125</v>
      </c>
      <c r="T550" s="234" t="s">
        <v>1113</v>
      </c>
      <c r="U550" s="234" t="s">
        <v>1113</v>
      </c>
      <c r="V550" s="233" t="str">
        <f>VLOOKUP(Table3[[#This Row],[Country Code]],Table29[],3,FALSE)</f>
        <v>Non-Annex I</v>
      </c>
      <c r="W550" s="233" t="str">
        <f>VLOOKUP(Table3[[#This Row],[Country Code]],Table29[],4,FALSE)</f>
        <v>Asia</v>
      </c>
      <c r="X550" s="233" t="str">
        <f>VLOOKUP(Table3[[#This Row],[Country Code]],Table29[],5,FALSE)</f>
        <v>High-income</v>
      </c>
      <c r="Y550" s="233" t="str">
        <f>VLOOKUP(Table3[[#This Row],[Country Code]],Table29[],6,FALSE)</f>
        <v>no</v>
      </c>
      <c r="Z550" s="233" t="str">
        <f>VLOOKUP(Table3[[#This Row],[Country Code]],Table29[],7,FALSE)</f>
        <v>no</v>
      </c>
      <c r="AA550" s="233" t="str">
        <f>VLOOKUP(Table3[[#This Row],[Country Code]],Table29[],8,FALSE)</f>
        <v>OECD</v>
      </c>
      <c r="AB550" s="233" t="str">
        <f>VLOOKUP(Table3[[#This Row],[Country Code]],Table29[],9,FALSE)</f>
        <v>no</v>
      </c>
      <c r="AC550" s="233" t="str">
        <f>VLOOKUP(Table3[[#This Row],[Country Code]],Table29[],10,FALSE)</f>
        <v>MENA</v>
      </c>
      <c r="AD550" s="235">
        <f>VLOOKUP(Table3[[#This Row],[Country Code]],Table29[],23,FALSE)</f>
        <v>79.578174881425994</v>
      </c>
      <c r="AE550" s="235">
        <f>VLOOKUP(Table3[[#This Row],[Country Code]],Table29[],24,FALSE)</f>
        <v>18.692155253646391</v>
      </c>
      <c r="AF550" s="43"/>
    </row>
    <row r="551" spans="1:32" x14ac:dyDescent="0.25">
      <c r="A551" s="360">
        <v>17622</v>
      </c>
      <c r="B551" s="233" t="str">
        <f>VLOOKUP(Table3[[#This Row],[Document ID]],Table1[],2,FALSE)</f>
        <v>ISR</v>
      </c>
      <c r="C551" s="233" t="str">
        <f>VLOOKUP(Table3[[#This Row],[Document ID]],Table1[],3,FALSE)</f>
        <v>Israel</v>
      </c>
      <c r="D551" s="233" t="str">
        <f>VLOOKUP(Table3[[#This Row],[Document ID]],Table1[],5,FALSE)</f>
        <v>NDC</v>
      </c>
      <c r="E551" s="233" t="str">
        <f>VLOOKUP(Table3[[#This Row],[Document ID]],Table1[],7,FALSE)</f>
        <v>First NDC</v>
      </c>
      <c r="F551" s="233" t="str">
        <f>VLOOKUP(Table3[[#This Row],[Document ID]],Table1[],8,FALSE)</f>
        <v>NDC 1.0</v>
      </c>
      <c r="G551" s="233" t="str">
        <f>VLOOKUP(Table3[[#This Row],[Document ID]],Table1[],10,FALSE)</f>
        <v>Archived</v>
      </c>
      <c r="H551" s="42" t="s">
        <v>1095</v>
      </c>
      <c r="I551" s="42" t="s">
        <v>1096</v>
      </c>
      <c r="J551" s="42" t="s">
        <v>1097</v>
      </c>
      <c r="K551" s="28" t="s">
        <v>1098</v>
      </c>
      <c r="L551" s="42" t="s">
        <v>1099</v>
      </c>
      <c r="M551" s="209" t="s">
        <v>1094</v>
      </c>
      <c r="N551" s="44" t="s">
        <v>1667</v>
      </c>
      <c r="O551" s="258">
        <v>3</v>
      </c>
      <c r="P551" s="238" t="str">
        <f>VLOOKUP(_xlfn.CONCAT(Table3[[#This Row],[Target area]],Table3[[#This Row],[GHG target?]],Table3[[#This Row],[Conditionality]]),'Drop down'!$E$81:$F$101,2,FALSE)</f>
        <v>T_Transport_O_Unc</v>
      </c>
      <c r="Q551" s="239" t="str">
        <f>VLOOKUP(Table3[[#This Row],[Target type]],Table418[[Value name]:[Value idenifyer]],2,FALSE)</f>
        <v>T_O_MODE</v>
      </c>
      <c r="S551" s="233" t="s">
        <v>1125</v>
      </c>
      <c r="T551" s="234" t="s">
        <v>1113</v>
      </c>
      <c r="U551" s="234" t="s">
        <v>1113</v>
      </c>
      <c r="V551" s="233" t="str">
        <f>VLOOKUP(Table3[[#This Row],[Country Code]],Table29[],3,FALSE)</f>
        <v>Non-Annex I</v>
      </c>
      <c r="W551" s="233" t="str">
        <f>VLOOKUP(Table3[[#This Row],[Country Code]],Table29[],4,FALSE)</f>
        <v>Asia</v>
      </c>
      <c r="X551" s="233" t="str">
        <f>VLOOKUP(Table3[[#This Row],[Country Code]],Table29[],5,FALSE)</f>
        <v>High-income</v>
      </c>
      <c r="Y551" s="233" t="str">
        <f>VLOOKUP(Table3[[#This Row],[Country Code]],Table29[],6,FALSE)</f>
        <v>no</v>
      </c>
      <c r="Z551" s="233" t="str">
        <f>VLOOKUP(Table3[[#This Row],[Country Code]],Table29[],7,FALSE)</f>
        <v>no</v>
      </c>
      <c r="AA551" s="233" t="str">
        <f>VLOOKUP(Table3[[#This Row],[Country Code]],Table29[],8,FALSE)</f>
        <v>OECD</v>
      </c>
      <c r="AB551" s="233" t="str">
        <f>VLOOKUP(Table3[[#This Row],[Country Code]],Table29[],9,FALSE)</f>
        <v>no</v>
      </c>
      <c r="AC551" s="233" t="str">
        <f>VLOOKUP(Table3[[#This Row],[Country Code]],Table29[],10,FALSE)</f>
        <v>MENA</v>
      </c>
      <c r="AD551" s="235">
        <f>VLOOKUP(Table3[[#This Row],[Country Code]],Table29[],23,FALSE)</f>
        <v>79.578174881425994</v>
      </c>
      <c r="AE551" s="235">
        <f>VLOOKUP(Table3[[#This Row],[Country Code]],Table29[],24,FALSE)</f>
        <v>18.692155253646391</v>
      </c>
      <c r="AF551" s="43"/>
    </row>
    <row r="552" spans="1:32" ht="30" x14ac:dyDescent="0.25">
      <c r="A552" s="360">
        <v>17629</v>
      </c>
      <c r="B552" s="233" t="str">
        <f>VLOOKUP(Table3[[#This Row],[Document ID]],Table1[],2,FALSE)</f>
        <v>JOR</v>
      </c>
      <c r="C552" s="233" t="str">
        <f>VLOOKUP(Table3[[#This Row],[Document ID]],Table1[],3,FALSE)</f>
        <v>Jordan</v>
      </c>
      <c r="D552" s="233" t="str">
        <f>VLOOKUP(Table3[[#This Row],[Document ID]],Table1[],5,FALSE)</f>
        <v>NDC</v>
      </c>
      <c r="E552" s="233" t="str">
        <f>VLOOKUP(Table3[[#This Row],[Document ID]],Table1[],7,FALSE)</f>
        <v>First NDC</v>
      </c>
      <c r="F552" s="233" t="str">
        <f>VLOOKUP(Table3[[#This Row],[Document ID]],Table1[],8,FALSE)</f>
        <v>NDC 1.0</v>
      </c>
      <c r="G552" s="233" t="str">
        <f>VLOOKUP(Table3[[#This Row],[Document ID]],Table1[],10,FALSE)</f>
        <v>Archived</v>
      </c>
      <c r="H552" s="42" t="s">
        <v>1095</v>
      </c>
      <c r="I552" s="42" t="s">
        <v>1096</v>
      </c>
      <c r="J552" s="42" t="s">
        <v>1097</v>
      </c>
      <c r="K552" s="28" t="s">
        <v>1098</v>
      </c>
      <c r="L552" s="43" t="s">
        <v>1092</v>
      </c>
      <c r="M552" s="209">
        <v>2025</v>
      </c>
      <c r="N552" s="44" t="s">
        <v>1668</v>
      </c>
      <c r="O552" s="221">
        <v>7</v>
      </c>
      <c r="P552" s="238" t="str">
        <f>VLOOKUP(_xlfn.CONCAT(Table3[[#This Row],[Target area]],Table3[[#This Row],[GHG target?]],Table3[[#This Row],[Conditionality]]),'Drop down'!$E$81:$F$101,2,FALSE)</f>
        <v>T_Transport_O_C</v>
      </c>
      <c r="Q552" s="239" t="str">
        <f>VLOOKUP(Table3[[#This Row],[Target type]],Table418[[Value name]:[Value idenifyer]],2,FALSE)</f>
        <v>T_O_MODE</v>
      </c>
      <c r="S552" s="233" t="s">
        <v>1101</v>
      </c>
      <c r="V552" s="233" t="str">
        <f>VLOOKUP(Table3[[#This Row],[Country Code]],Table29[],3,FALSE)</f>
        <v>Non-Annex I</v>
      </c>
      <c r="W552" s="233" t="str">
        <f>VLOOKUP(Table3[[#This Row],[Country Code]],Table29[],4,FALSE)</f>
        <v>Asia</v>
      </c>
      <c r="X552" s="233" t="str">
        <f>VLOOKUP(Table3[[#This Row],[Country Code]],Table29[],5,FALSE)</f>
        <v>Middle-income</v>
      </c>
      <c r="Y552" s="233" t="str">
        <f>VLOOKUP(Table3[[#This Row],[Country Code]],Table29[],6,FALSE)</f>
        <v>no</v>
      </c>
      <c r="Z552" s="233" t="str">
        <f>VLOOKUP(Table3[[#This Row],[Country Code]],Table29[],7,FALSE)</f>
        <v>no</v>
      </c>
      <c r="AA552" s="233" t="str">
        <f>VLOOKUP(Table3[[#This Row],[Country Code]],Table29[],8,FALSE)</f>
        <v>non-OECD</v>
      </c>
      <c r="AB552" s="233" t="str">
        <f>VLOOKUP(Table3[[#This Row],[Country Code]],Table29[],9,FALSE)</f>
        <v>no</v>
      </c>
      <c r="AC552" s="233" t="str">
        <f>VLOOKUP(Table3[[#This Row],[Country Code]],Table29[],10,FALSE)</f>
        <v>MENA</v>
      </c>
      <c r="AD552" s="235">
        <f>VLOOKUP(Table3[[#This Row],[Country Code]],Table29[],23,FALSE)</f>
        <v>33.407709056244002</v>
      </c>
      <c r="AE552" s="235">
        <f>VLOOKUP(Table3[[#This Row],[Country Code]],Table29[],24,FALSE)</f>
        <v>7.9780713824704446</v>
      </c>
      <c r="AF552" s="43"/>
    </row>
    <row r="553" spans="1:32" ht="30" x14ac:dyDescent="0.25">
      <c r="A553" s="360">
        <v>23378</v>
      </c>
      <c r="B553" s="233" t="str">
        <f>VLOOKUP(Table3[[#This Row],[Document ID]],Table1[],2,FALSE)</f>
        <v>JOR</v>
      </c>
      <c r="C553" s="233" t="str">
        <f>VLOOKUP(Table3[[#This Row],[Document ID]],Table1[],3,FALSE)</f>
        <v>Jordan</v>
      </c>
      <c r="D553" s="233" t="str">
        <f>VLOOKUP(Table3[[#This Row],[Document ID]],Table1[],5,FALSE)</f>
        <v>NDC</v>
      </c>
      <c r="E553" s="233" t="str">
        <f>VLOOKUP(Table3[[#This Row],[Document ID]],Table1[],7,FALSE)</f>
        <v>First NDC updated</v>
      </c>
      <c r="F553" s="233" t="str">
        <f>VLOOKUP(Table3[[#This Row],[Document ID]],Table1[],8,FALSE)</f>
        <v>NDC 1.1</v>
      </c>
      <c r="G553" s="233" t="str">
        <f>VLOOKUP(Table3[[#This Row],[Document ID]],Table1[],10,FALSE)</f>
        <v>Active</v>
      </c>
      <c r="H553" s="42" t="s">
        <v>1095</v>
      </c>
      <c r="I553" s="42" t="s">
        <v>1096</v>
      </c>
      <c r="J553" s="42" t="s">
        <v>1097</v>
      </c>
      <c r="K553" s="28" t="s">
        <v>1104</v>
      </c>
      <c r="L553" s="42" t="s">
        <v>1099</v>
      </c>
      <c r="M553" s="209">
        <v>2030</v>
      </c>
      <c r="N553" s="209" t="s">
        <v>1669</v>
      </c>
      <c r="O553" s="257">
        <v>29</v>
      </c>
      <c r="P553" s="238" t="str">
        <f>VLOOKUP(_xlfn.CONCAT(Table3[[#This Row],[Target area]],Table3[[#This Row],[GHG target?]],Table3[[#This Row],[Conditionality]]),'Drop down'!$E$81:$F$101,2,FALSE)</f>
        <v>T_Transport_O_Unc</v>
      </c>
      <c r="Q553" s="239" t="str">
        <f>VLOOKUP(Table3[[#This Row],[Target type]],Table418[[Value name]:[Value idenifyer]],2,FALSE)</f>
        <v>T_O_ZERO</v>
      </c>
      <c r="S553" s="233" t="s">
        <v>1101</v>
      </c>
      <c r="T553" s="240"/>
      <c r="U553" s="240"/>
      <c r="V553" s="233" t="str">
        <f>VLOOKUP(Table3[[#This Row],[Country Code]],Table29[],3,FALSE)</f>
        <v>Non-Annex I</v>
      </c>
      <c r="W553" s="233" t="str">
        <f>VLOOKUP(Table3[[#This Row],[Country Code]],Table29[],4,FALSE)</f>
        <v>Asia</v>
      </c>
      <c r="X553" s="233" t="str">
        <f>VLOOKUP(Table3[[#This Row],[Country Code]],Table29[],5,FALSE)</f>
        <v>Middle-income</v>
      </c>
      <c r="Y553" s="233" t="str">
        <f>VLOOKUP(Table3[[#This Row],[Country Code]],Table29[],6,FALSE)</f>
        <v>no</v>
      </c>
      <c r="Z553" s="233" t="str">
        <f>VLOOKUP(Table3[[#This Row],[Country Code]],Table29[],7,FALSE)</f>
        <v>no</v>
      </c>
      <c r="AA553" s="233" t="str">
        <f>VLOOKUP(Table3[[#This Row],[Country Code]],Table29[],8,FALSE)</f>
        <v>non-OECD</v>
      </c>
      <c r="AB553" s="233" t="str">
        <f>VLOOKUP(Table3[[#This Row],[Country Code]],Table29[],9,FALSE)</f>
        <v>no</v>
      </c>
      <c r="AC553" s="233" t="str">
        <f>VLOOKUP(Table3[[#This Row],[Country Code]],Table29[],10,FALSE)</f>
        <v>MENA</v>
      </c>
      <c r="AD553" s="235">
        <f>VLOOKUP(Table3[[#This Row],[Country Code]],Table29[],23,FALSE)</f>
        <v>33.407709056244002</v>
      </c>
      <c r="AE553" s="235">
        <f>VLOOKUP(Table3[[#This Row],[Country Code]],Table29[],24,FALSE)</f>
        <v>7.9780713824704446</v>
      </c>
      <c r="AF553" s="43"/>
    </row>
    <row r="554" spans="1:32" x14ac:dyDescent="0.25">
      <c r="A554" s="360">
        <v>17672</v>
      </c>
      <c r="B554" s="233" t="str">
        <f>VLOOKUP(Table3[[#This Row],[Document ID]],Table1[],2,FALSE)</f>
        <v>NAM</v>
      </c>
      <c r="C554" s="233" t="str">
        <f>VLOOKUP(Table3[[#This Row],[Document ID]],Table1[],3,FALSE)</f>
        <v>Namibia</v>
      </c>
      <c r="D554" s="233" t="str">
        <f>VLOOKUP(Table3[[#This Row],[Document ID]],Table1[],5,FALSE)</f>
        <v>NDC</v>
      </c>
      <c r="E554" s="233" t="str">
        <f>VLOOKUP(Table3[[#This Row],[Document ID]],Table1[],7,FALSE)</f>
        <v>First NDC</v>
      </c>
      <c r="F554" s="233" t="str">
        <f>VLOOKUP(Table3[[#This Row],[Document ID]],Table1[],8,FALSE)</f>
        <v>NDC 1.0</v>
      </c>
      <c r="G554" s="233" t="str">
        <f>VLOOKUP(Table3[[#This Row],[Document ID]],Table1[],10,FALSE)</f>
        <v>Archived</v>
      </c>
      <c r="H554" s="216" t="s">
        <v>1089</v>
      </c>
      <c r="I554" s="216" t="s">
        <v>1089</v>
      </c>
      <c r="J554" s="43" t="s">
        <v>1090</v>
      </c>
      <c r="K554" s="28" t="s">
        <v>1091</v>
      </c>
      <c r="L554" s="42" t="s">
        <v>1099</v>
      </c>
      <c r="M554" s="209">
        <v>2030</v>
      </c>
      <c r="N554" s="176" t="s">
        <v>1670</v>
      </c>
      <c r="O554" s="258" t="s">
        <v>1094</v>
      </c>
      <c r="P554" s="238" t="str">
        <f>VLOOKUP(_xlfn.CONCAT(Table3[[#This Row],[Target area]],Table3[[#This Row],[GHG target?]],Table3[[#This Row],[Conditionality]]),'Drop down'!$E$81:$F$101,2,FALSE)</f>
        <v>T_Economy_Unc</v>
      </c>
      <c r="Q554" s="239" t="str">
        <f>VLOOKUP(Table3[[#This Row],[Target type]],Table418[[Value name]:[Value idenifyer]],2,FALSE)</f>
        <v>T_BAU</v>
      </c>
      <c r="S554" s="233" t="s">
        <v>1125</v>
      </c>
      <c r="T554" s="234" t="s">
        <v>1113</v>
      </c>
      <c r="V554" s="233" t="str">
        <f>VLOOKUP(Table3[[#This Row],[Country Code]],Table29[],3,FALSE)</f>
        <v>Non-Annex I</v>
      </c>
      <c r="W554" s="233" t="str">
        <f>VLOOKUP(Table3[[#This Row],[Country Code]],Table29[],4,FALSE)</f>
        <v>Africa</v>
      </c>
      <c r="X554" s="233" t="str">
        <f>VLOOKUP(Table3[[#This Row],[Country Code]],Table29[],5,FALSE)</f>
        <v>Middle-income</v>
      </c>
      <c r="Y554" s="233" t="str">
        <f>VLOOKUP(Table3[[#This Row],[Country Code]],Table29[],6,FALSE)</f>
        <v>no</v>
      </c>
      <c r="Z554" s="233" t="str">
        <f>VLOOKUP(Table3[[#This Row],[Country Code]],Table29[],7,FALSE)</f>
        <v>no</v>
      </c>
      <c r="AA554" s="233" t="str">
        <f>VLOOKUP(Table3[[#This Row],[Country Code]],Table29[],8,FALSE)</f>
        <v>non-OECD</v>
      </c>
      <c r="AB554" s="233" t="str">
        <f>VLOOKUP(Table3[[#This Row],[Country Code]],Table29[],9,FALSE)</f>
        <v>no</v>
      </c>
      <c r="AC554" s="233" t="str">
        <f>VLOOKUP(Table3[[#This Row],[Country Code]],Table29[],10,FALSE)</f>
        <v>no</v>
      </c>
      <c r="AD554" s="235">
        <f>VLOOKUP(Table3[[#This Row],[Country Code]],Table29[],23,FALSE)</f>
        <v>12.885675050293001</v>
      </c>
      <c r="AE554" s="235">
        <f>VLOOKUP(Table3[[#This Row],[Country Code]],Table29[],24,FALSE)</f>
        <v>2.1850282301150679</v>
      </c>
      <c r="AF554" s="43"/>
    </row>
    <row r="555" spans="1:32" x14ac:dyDescent="0.25">
      <c r="A555" s="360">
        <v>17672</v>
      </c>
      <c r="B555" s="233" t="str">
        <f>VLOOKUP(Table3[[#This Row],[Document ID]],Table1[],2,FALSE)</f>
        <v>NAM</v>
      </c>
      <c r="C555" s="233" t="str">
        <f>VLOOKUP(Table3[[#This Row],[Document ID]],Table1[],3,FALSE)</f>
        <v>Namibia</v>
      </c>
      <c r="D555" s="233" t="str">
        <f>VLOOKUP(Table3[[#This Row],[Document ID]],Table1[],5,FALSE)</f>
        <v>NDC</v>
      </c>
      <c r="E555" s="233" t="str">
        <f>VLOOKUP(Table3[[#This Row],[Document ID]],Table1[],7,FALSE)</f>
        <v>First NDC</v>
      </c>
      <c r="F555" s="233" t="str">
        <f>VLOOKUP(Table3[[#This Row],[Document ID]],Table1[],8,FALSE)</f>
        <v>NDC 1.0</v>
      </c>
      <c r="G555" s="233" t="str">
        <f>VLOOKUP(Table3[[#This Row],[Document ID]],Table1[],10,FALSE)</f>
        <v>Archived</v>
      </c>
      <c r="H555" s="216" t="s">
        <v>1089</v>
      </c>
      <c r="I555" s="216" t="s">
        <v>1089</v>
      </c>
      <c r="J555" s="43" t="s">
        <v>1090</v>
      </c>
      <c r="K555" s="28" t="s">
        <v>1091</v>
      </c>
      <c r="L555" s="216" t="s">
        <v>1092</v>
      </c>
      <c r="M555" s="209">
        <v>2030</v>
      </c>
      <c r="N555" s="176" t="s">
        <v>1671</v>
      </c>
      <c r="O555" s="258" t="s">
        <v>1094</v>
      </c>
      <c r="P555" s="238" t="str">
        <f>VLOOKUP(_xlfn.CONCAT(Table3[[#This Row],[Target area]],Table3[[#This Row],[GHG target?]],Table3[[#This Row],[Conditionality]]),'Drop down'!$E$81:$F$101,2,FALSE)</f>
        <v>T_Economy_C</v>
      </c>
      <c r="Q555" s="239" t="str">
        <f>VLOOKUP(Table3[[#This Row],[Target type]],Table418[[Value name]:[Value idenifyer]],2,FALSE)</f>
        <v>T_BAU</v>
      </c>
      <c r="S555" s="233" t="s">
        <v>1125</v>
      </c>
      <c r="T555" s="234" t="s">
        <v>1113</v>
      </c>
      <c r="V555" s="233" t="str">
        <f>VLOOKUP(Table3[[#This Row],[Country Code]],Table29[],3,FALSE)</f>
        <v>Non-Annex I</v>
      </c>
      <c r="W555" s="233" t="str">
        <f>VLOOKUP(Table3[[#This Row],[Country Code]],Table29[],4,FALSE)</f>
        <v>Africa</v>
      </c>
      <c r="X555" s="233" t="str">
        <f>VLOOKUP(Table3[[#This Row],[Country Code]],Table29[],5,FALSE)</f>
        <v>Middle-income</v>
      </c>
      <c r="Y555" s="233" t="str">
        <f>VLOOKUP(Table3[[#This Row],[Country Code]],Table29[],6,FALSE)</f>
        <v>no</v>
      </c>
      <c r="Z555" s="233" t="str">
        <f>VLOOKUP(Table3[[#This Row],[Country Code]],Table29[],7,FALSE)</f>
        <v>no</v>
      </c>
      <c r="AA555" s="233" t="str">
        <f>VLOOKUP(Table3[[#This Row],[Country Code]],Table29[],8,FALSE)</f>
        <v>non-OECD</v>
      </c>
      <c r="AB555" s="233" t="str">
        <f>VLOOKUP(Table3[[#This Row],[Country Code]],Table29[],9,FALSE)</f>
        <v>no</v>
      </c>
      <c r="AC555" s="233" t="str">
        <f>VLOOKUP(Table3[[#This Row],[Country Code]],Table29[],10,FALSE)</f>
        <v>no</v>
      </c>
      <c r="AD555" s="235">
        <f>VLOOKUP(Table3[[#This Row],[Country Code]],Table29[],23,FALSE)</f>
        <v>12.885675050293001</v>
      </c>
      <c r="AE555" s="235">
        <f>VLOOKUP(Table3[[#This Row],[Country Code]],Table29[],24,FALSE)</f>
        <v>2.1850282301150679</v>
      </c>
      <c r="AF555" s="43"/>
    </row>
    <row r="556" spans="1:32" ht="30" x14ac:dyDescent="0.25">
      <c r="A556" s="360">
        <v>26796</v>
      </c>
      <c r="B556" s="233" t="str">
        <f>VLOOKUP(Table3[[#This Row],[Document ID]],Table1[],2,FALSE)</f>
        <v>JPN</v>
      </c>
      <c r="C556" s="233" t="str">
        <f>VLOOKUP(Table3[[#This Row],[Document ID]],Table1[],3,FALSE)</f>
        <v>Japan</v>
      </c>
      <c r="D556" s="233" t="str">
        <f>VLOOKUP(Table3[[#This Row],[Document ID]],Table1[],5,FALSE)</f>
        <v>LTS</v>
      </c>
      <c r="E556" s="233" t="str">
        <f>VLOOKUP(Table3[[#This Row],[Document ID]],Table1[],7,FALSE)</f>
        <v>LTS</v>
      </c>
      <c r="F556" s="233" t="str">
        <f>VLOOKUP(Table3[[#This Row],[Document ID]],Table1[],8,FALSE)</f>
        <v>LTS 1.1</v>
      </c>
      <c r="G556" s="233" t="str">
        <f>VLOOKUP(Table3[[#This Row],[Document ID]],Table1[],10,FALSE)</f>
        <v>Active</v>
      </c>
      <c r="H556" s="42" t="s">
        <v>1095</v>
      </c>
      <c r="I556" s="42" t="s">
        <v>1096</v>
      </c>
      <c r="J556" s="42" t="s">
        <v>1097</v>
      </c>
      <c r="K556" s="28" t="s">
        <v>1104</v>
      </c>
      <c r="L556" s="389" t="s">
        <v>1099</v>
      </c>
      <c r="M556" s="209">
        <v>2035</v>
      </c>
      <c r="N556" s="43" t="s">
        <v>1672</v>
      </c>
      <c r="O556" s="258">
        <v>38</v>
      </c>
      <c r="P556" s="238" t="str">
        <f>VLOOKUP(_xlfn.CONCAT(Table3[[#This Row],[Target area]],Table3[[#This Row],[GHG target?]],Table3[[#This Row],[Conditionality]]),'Drop down'!$E$81:$F$101,2,FALSE)</f>
        <v>T_Transport_O_Unc</v>
      </c>
      <c r="Q556" s="239" t="str">
        <f>VLOOKUP(Table3[[#This Row],[Target type]],Table418[[Value name]:[Value idenifyer]],2,FALSE)</f>
        <v>T_O_ZERO</v>
      </c>
      <c r="S556" s="233" t="s">
        <v>1101</v>
      </c>
      <c r="T556" s="234" t="s">
        <v>1113</v>
      </c>
      <c r="U556" s="242" t="s">
        <v>1402</v>
      </c>
      <c r="V556" s="233" t="str">
        <f>VLOOKUP(Table3[[#This Row],[Country Code]],Table29[],3,FALSE)</f>
        <v>Annex I</v>
      </c>
      <c r="W556" s="233" t="str">
        <f>VLOOKUP(Table3[[#This Row],[Country Code]],Table29[],4,FALSE)</f>
        <v>Asia</v>
      </c>
      <c r="X556" s="233" t="str">
        <f>VLOOKUP(Table3[[#This Row],[Country Code]],Table29[],5,FALSE)</f>
        <v>High-income</v>
      </c>
      <c r="Y556" s="233" t="str">
        <f>VLOOKUP(Table3[[#This Row],[Country Code]],Table29[],6,FALSE)</f>
        <v>G20</v>
      </c>
      <c r="Z556" s="233" t="str">
        <f>VLOOKUP(Table3[[#This Row],[Country Code]],Table29[],7,FALSE)</f>
        <v>G7</v>
      </c>
      <c r="AA556" s="233" t="str">
        <f>VLOOKUP(Table3[[#This Row],[Country Code]],Table29[],8,FALSE)</f>
        <v>OECD</v>
      </c>
      <c r="AB556" s="233" t="str">
        <f>VLOOKUP(Table3[[#This Row],[Country Code]],Table29[],9,FALSE)</f>
        <v>no</v>
      </c>
      <c r="AC556" s="233" t="str">
        <f>VLOOKUP(Table3[[#This Row],[Country Code]],Table29[],10,FALSE)</f>
        <v>no</v>
      </c>
      <c r="AD556" s="235">
        <f>VLOOKUP(Table3[[#This Row],[Country Code]],Table29[],23,FALSE)</f>
        <v>1041.0128248686999</v>
      </c>
      <c r="AE556" s="235">
        <f>VLOOKUP(Table3[[#This Row],[Country Code]],Table29[],24,FALSE)</f>
        <v>181.96191357547141</v>
      </c>
      <c r="AF556" s="43"/>
    </row>
    <row r="557" spans="1:32" ht="150" x14ac:dyDescent="0.25">
      <c r="A557" s="360">
        <v>26785</v>
      </c>
      <c r="B557" s="233" t="str">
        <f>VLOOKUP(Table3[[#This Row],[Document ID]],Table1[],2,FALSE)</f>
        <v>NPL</v>
      </c>
      <c r="C557" s="233" t="str">
        <f>VLOOKUP(Table3[[#This Row],[Document ID]],Table1[],3,FALSE)</f>
        <v>Nepal</v>
      </c>
      <c r="D557" s="233" t="str">
        <f>VLOOKUP(Table3[[#This Row],[Document ID]],Table1[],5,FALSE)</f>
        <v>LTS</v>
      </c>
      <c r="E557" s="233" t="str">
        <f>VLOOKUP(Table3[[#This Row],[Document ID]],Table1[],7,FALSE)</f>
        <v>LTS</v>
      </c>
      <c r="F557" s="233" t="str">
        <f>VLOOKUP(Table3[[#This Row],[Document ID]],Table1[],8,FALSE)</f>
        <v>LTS 1.0</v>
      </c>
      <c r="G557" s="233" t="str">
        <f>VLOOKUP(Table3[[#This Row],[Document ID]],Table1[],10,FALSE)</f>
        <v>Active</v>
      </c>
      <c r="H557" s="216" t="s">
        <v>1089</v>
      </c>
      <c r="I557" s="216" t="s">
        <v>1089</v>
      </c>
      <c r="J557" s="43" t="s">
        <v>1090</v>
      </c>
      <c r="K557" s="28" t="s">
        <v>1121</v>
      </c>
      <c r="L557" s="42" t="s">
        <v>1099</v>
      </c>
      <c r="M557" s="209">
        <v>2045</v>
      </c>
      <c r="N557" s="209" t="s">
        <v>1673</v>
      </c>
      <c r="O557" s="257" t="s">
        <v>1674</v>
      </c>
      <c r="P557" s="238" t="str">
        <f>VLOOKUP(_xlfn.CONCAT(Table3[[#This Row],[Target area]],Table3[[#This Row],[GHG target?]],Table3[[#This Row],[Conditionality]]),'Drop down'!$E$81:$F$101,2,FALSE)</f>
        <v>T_Economy_Unc</v>
      </c>
      <c r="Q557" s="239" t="str">
        <f>VLOOKUP(Table3[[#This Row],[Target type]],Table418[[Value name]:[Value idenifyer]],2,FALSE)</f>
        <v>T_FL</v>
      </c>
      <c r="S557" s="233" t="s">
        <v>1101</v>
      </c>
      <c r="T557" s="240" t="s">
        <v>1113</v>
      </c>
      <c r="U557" s="240"/>
      <c r="V557" s="233" t="str">
        <f>VLOOKUP(Table3[[#This Row],[Country Code]],Table29[],3,FALSE)</f>
        <v>Non-Annex I</v>
      </c>
      <c r="W557" s="233" t="str">
        <f>VLOOKUP(Table3[[#This Row],[Country Code]],Table29[],4,FALSE)</f>
        <v>Asia</v>
      </c>
      <c r="X557" s="233" t="str">
        <f>VLOOKUP(Table3[[#This Row],[Country Code]],Table29[],5,FALSE)</f>
        <v>Middle-income</v>
      </c>
      <c r="Y557" s="233" t="str">
        <f>VLOOKUP(Table3[[#This Row],[Country Code]],Table29[],6,FALSE)</f>
        <v>no</v>
      </c>
      <c r="Z557" s="233" t="str">
        <f>VLOOKUP(Table3[[#This Row],[Country Code]],Table29[],7,FALSE)</f>
        <v>no</v>
      </c>
      <c r="AA557" s="233" t="str">
        <f>VLOOKUP(Table3[[#This Row],[Country Code]],Table29[],8,FALSE)</f>
        <v>non-OECD</v>
      </c>
      <c r="AB557" s="233" t="str">
        <f>VLOOKUP(Table3[[#This Row],[Country Code]],Table29[],9,FALSE)</f>
        <v>no</v>
      </c>
      <c r="AC557" s="233" t="str">
        <f>VLOOKUP(Table3[[#This Row],[Country Code]],Table29[],10,FALSE)</f>
        <v>no</v>
      </c>
      <c r="AD557" s="235">
        <f>VLOOKUP(Table3[[#This Row],[Country Code]],Table29[],23,FALSE)</f>
        <v>56.830982733611002</v>
      </c>
      <c r="AE557" s="235">
        <f>VLOOKUP(Table3[[#This Row],[Country Code]],Table29[],24,FALSE)</f>
        <v>4.8627503945089332</v>
      </c>
      <c r="AF557" s="43"/>
    </row>
    <row r="558" spans="1:32" ht="30" x14ac:dyDescent="0.25">
      <c r="A558" s="360">
        <v>26796</v>
      </c>
      <c r="B558" s="233" t="str">
        <f>VLOOKUP(Table3[[#This Row],[Document ID]],Table1[],2,FALSE)</f>
        <v>JPN</v>
      </c>
      <c r="C558" s="233" t="str">
        <f>VLOOKUP(Table3[[#This Row],[Document ID]],Table1[],3,FALSE)</f>
        <v>Japan</v>
      </c>
      <c r="D558" s="233" t="str">
        <f>VLOOKUP(Table3[[#This Row],[Document ID]],Table1[],5,FALSE)</f>
        <v>LTS</v>
      </c>
      <c r="E558" s="233" t="str">
        <f>VLOOKUP(Table3[[#This Row],[Document ID]],Table1[],7,FALSE)</f>
        <v>LTS</v>
      </c>
      <c r="F558" s="233" t="str">
        <f>VLOOKUP(Table3[[#This Row],[Document ID]],Table1[],8,FALSE)</f>
        <v>LTS 1.1</v>
      </c>
      <c r="G558" s="233" t="str">
        <f>VLOOKUP(Table3[[#This Row],[Document ID]],Table1[],10,FALSE)</f>
        <v>Active</v>
      </c>
      <c r="H558" s="42" t="s">
        <v>1095</v>
      </c>
      <c r="I558" s="42" t="s">
        <v>1096</v>
      </c>
      <c r="J558" s="42" t="s">
        <v>1097</v>
      </c>
      <c r="K558" s="28" t="s">
        <v>1104</v>
      </c>
      <c r="L558" s="42" t="s">
        <v>1099</v>
      </c>
      <c r="M558" s="209">
        <v>2030</v>
      </c>
      <c r="N558" s="43" t="s">
        <v>1675</v>
      </c>
      <c r="O558" s="258">
        <v>38</v>
      </c>
      <c r="P558" s="238" t="str">
        <f>VLOOKUP(_xlfn.CONCAT(Table3[[#This Row],[Target area]],Table3[[#This Row],[GHG target?]],Table3[[#This Row],[Conditionality]]),'Drop down'!$E$81:$F$101,2,FALSE)</f>
        <v>T_Transport_O_Unc</v>
      </c>
      <c r="Q558" s="239" t="str">
        <f>VLOOKUP(Table3[[#This Row],[Target type]],Table418[[Value name]:[Value idenifyer]],2,FALSE)</f>
        <v>T_O_ZERO</v>
      </c>
      <c r="S558" s="233" t="s">
        <v>1101</v>
      </c>
      <c r="T558" s="234" t="s">
        <v>1113</v>
      </c>
      <c r="U558" s="242" t="s">
        <v>1402</v>
      </c>
      <c r="V558" s="233" t="str">
        <f>VLOOKUP(Table3[[#This Row],[Country Code]],Table29[],3,FALSE)</f>
        <v>Annex I</v>
      </c>
      <c r="W558" s="233" t="str">
        <f>VLOOKUP(Table3[[#This Row],[Country Code]],Table29[],4,FALSE)</f>
        <v>Asia</v>
      </c>
      <c r="X558" s="233" t="str">
        <f>VLOOKUP(Table3[[#This Row],[Country Code]],Table29[],5,FALSE)</f>
        <v>High-income</v>
      </c>
      <c r="Y558" s="233" t="str">
        <f>VLOOKUP(Table3[[#This Row],[Country Code]],Table29[],6,FALSE)</f>
        <v>G20</v>
      </c>
      <c r="Z558" s="233" t="str">
        <f>VLOOKUP(Table3[[#This Row],[Country Code]],Table29[],7,FALSE)</f>
        <v>G7</v>
      </c>
      <c r="AA558" s="233" t="str">
        <f>VLOOKUP(Table3[[#This Row],[Country Code]],Table29[],8,FALSE)</f>
        <v>OECD</v>
      </c>
      <c r="AB558" s="233" t="str">
        <f>VLOOKUP(Table3[[#This Row],[Country Code]],Table29[],9,FALSE)</f>
        <v>no</v>
      </c>
      <c r="AC558" s="233" t="str">
        <f>VLOOKUP(Table3[[#This Row],[Country Code]],Table29[],10,FALSE)</f>
        <v>no</v>
      </c>
      <c r="AD558" s="235">
        <f>VLOOKUP(Table3[[#This Row],[Country Code]],Table29[],23,FALSE)</f>
        <v>1041.0128248686999</v>
      </c>
      <c r="AE558" s="235">
        <f>VLOOKUP(Table3[[#This Row],[Country Code]],Table29[],24,FALSE)</f>
        <v>181.96191357547141</v>
      </c>
      <c r="AF558" s="43"/>
    </row>
    <row r="559" spans="1:32" ht="30" x14ac:dyDescent="0.25">
      <c r="A559" s="360">
        <v>26796</v>
      </c>
      <c r="B559" s="233" t="str">
        <f>VLOOKUP(Table3[[#This Row],[Document ID]],Table1[],2,FALSE)</f>
        <v>JPN</v>
      </c>
      <c r="C559" s="233" t="str">
        <f>VLOOKUP(Table3[[#This Row],[Document ID]],Table1[],3,FALSE)</f>
        <v>Japan</v>
      </c>
      <c r="D559" s="233" t="str">
        <f>VLOOKUP(Table3[[#This Row],[Document ID]],Table1[],5,FALSE)</f>
        <v>LTS</v>
      </c>
      <c r="E559" s="233" t="str">
        <f>VLOOKUP(Table3[[#This Row],[Document ID]],Table1[],7,FALSE)</f>
        <v>LTS</v>
      </c>
      <c r="F559" s="233" t="str">
        <f>VLOOKUP(Table3[[#This Row],[Document ID]],Table1[],8,FALSE)</f>
        <v>LTS 1.1</v>
      </c>
      <c r="G559" s="233" t="str">
        <f>VLOOKUP(Table3[[#This Row],[Document ID]],Table1[],10,FALSE)</f>
        <v>Active</v>
      </c>
      <c r="H559" s="42" t="s">
        <v>1095</v>
      </c>
      <c r="I559" s="42" t="s">
        <v>1096</v>
      </c>
      <c r="J559" s="42" t="s">
        <v>1097</v>
      </c>
      <c r="K559" s="28" t="s">
        <v>1104</v>
      </c>
      <c r="L559" s="42" t="s">
        <v>1099</v>
      </c>
      <c r="M559" s="209">
        <v>2040</v>
      </c>
      <c r="N559" s="43" t="s">
        <v>1676</v>
      </c>
      <c r="O559" s="258">
        <v>38</v>
      </c>
      <c r="P559" s="238" t="str">
        <f>VLOOKUP(_xlfn.CONCAT(Table3[[#This Row],[Target area]],Table3[[#This Row],[GHG target?]],Table3[[#This Row],[Conditionality]]),'Drop down'!$E$81:$F$101,2,FALSE)</f>
        <v>T_Transport_O_Unc</v>
      </c>
      <c r="Q559" s="239" t="str">
        <f>VLOOKUP(Table3[[#This Row],[Target type]],Table418[[Value name]:[Value idenifyer]],2,FALSE)</f>
        <v>T_O_ZERO</v>
      </c>
      <c r="S559" s="233" t="s">
        <v>1101</v>
      </c>
      <c r="T559" s="234" t="s">
        <v>1113</v>
      </c>
      <c r="U559" s="242" t="s">
        <v>1402</v>
      </c>
      <c r="V559" s="233" t="str">
        <f>VLOOKUP(Table3[[#This Row],[Country Code]],Table29[],3,FALSE)</f>
        <v>Annex I</v>
      </c>
      <c r="W559" s="233" t="str">
        <f>VLOOKUP(Table3[[#This Row],[Country Code]],Table29[],4,FALSE)</f>
        <v>Asia</v>
      </c>
      <c r="X559" s="233" t="str">
        <f>VLOOKUP(Table3[[#This Row],[Country Code]],Table29[],5,FALSE)</f>
        <v>High-income</v>
      </c>
      <c r="Y559" s="233" t="str">
        <f>VLOOKUP(Table3[[#This Row],[Country Code]],Table29[],6,FALSE)</f>
        <v>G20</v>
      </c>
      <c r="Z559" s="233" t="str">
        <f>VLOOKUP(Table3[[#This Row],[Country Code]],Table29[],7,FALSE)</f>
        <v>G7</v>
      </c>
      <c r="AA559" s="233" t="str">
        <f>VLOOKUP(Table3[[#This Row],[Country Code]],Table29[],8,FALSE)</f>
        <v>OECD</v>
      </c>
      <c r="AB559" s="233" t="str">
        <f>VLOOKUP(Table3[[#This Row],[Country Code]],Table29[],9,FALSE)</f>
        <v>no</v>
      </c>
      <c r="AC559" s="233" t="str">
        <f>VLOOKUP(Table3[[#This Row],[Country Code]],Table29[],10,FALSE)</f>
        <v>no</v>
      </c>
      <c r="AD559" s="235">
        <f>VLOOKUP(Table3[[#This Row],[Country Code]],Table29[],23,FALSE)</f>
        <v>1041.0128248686999</v>
      </c>
      <c r="AE559" s="235">
        <f>VLOOKUP(Table3[[#This Row],[Country Code]],Table29[],24,FALSE)</f>
        <v>181.96191357547141</v>
      </c>
      <c r="AF559" s="43"/>
    </row>
    <row r="560" spans="1:32" ht="30" x14ac:dyDescent="0.25">
      <c r="A560" s="360">
        <v>26796</v>
      </c>
      <c r="B560" s="233" t="str">
        <f>VLOOKUP(Table3[[#This Row],[Document ID]],Table1[],2,FALSE)</f>
        <v>JPN</v>
      </c>
      <c r="C560" s="233" t="str">
        <f>VLOOKUP(Table3[[#This Row],[Document ID]],Table1[],3,FALSE)</f>
        <v>Japan</v>
      </c>
      <c r="D560" s="233" t="str">
        <f>VLOOKUP(Table3[[#This Row],[Document ID]],Table1[],5,FALSE)</f>
        <v>LTS</v>
      </c>
      <c r="E560" s="233" t="str">
        <f>VLOOKUP(Table3[[#This Row],[Document ID]],Table1[],7,FALSE)</f>
        <v>LTS</v>
      </c>
      <c r="F560" s="233" t="str">
        <f>VLOOKUP(Table3[[#This Row],[Document ID]],Table1[],8,FALSE)</f>
        <v>LTS 1.1</v>
      </c>
      <c r="G560" s="233" t="str">
        <f>VLOOKUP(Table3[[#This Row],[Document ID]],Table1[],10,FALSE)</f>
        <v>Active</v>
      </c>
      <c r="H560" s="42" t="s">
        <v>1095</v>
      </c>
      <c r="I560" s="42" t="s">
        <v>1096</v>
      </c>
      <c r="J560" s="42" t="s">
        <v>1097</v>
      </c>
      <c r="K560" s="28" t="s">
        <v>1104</v>
      </c>
      <c r="L560" s="389" t="s">
        <v>1099</v>
      </c>
      <c r="M560" s="209" t="s">
        <v>1677</v>
      </c>
      <c r="N560" s="43" t="s">
        <v>1678</v>
      </c>
      <c r="O560" s="258">
        <v>38</v>
      </c>
      <c r="P560" s="238" t="str">
        <f>VLOOKUP(_xlfn.CONCAT(Table3[[#This Row],[Target area]],Table3[[#This Row],[GHG target?]],Table3[[#This Row],[Conditionality]]),'Drop down'!$E$81:$F$101,2,FALSE)</f>
        <v>T_Transport_O_Unc</v>
      </c>
      <c r="Q560" s="239" t="str">
        <f>VLOOKUP(Table3[[#This Row],[Target type]],Table418[[Value name]:[Value idenifyer]],2,FALSE)</f>
        <v>T_O_ZERO</v>
      </c>
      <c r="S560" s="233" t="s">
        <v>1101</v>
      </c>
      <c r="T560" s="234" t="s">
        <v>1113</v>
      </c>
      <c r="U560" s="242" t="s">
        <v>1402</v>
      </c>
      <c r="V560" s="233" t="str">
        <f>VLOOKUP(Table3[[#This Row],[Country Code]],Table29[],3,FALSE)</f>
        <v>Annex I</v>
      </c>
      <c r="W560" s="233" t="str">
        <f>VLOOKUP(Table3[[#This Row],[Country Code]],Table29[],4,FALSE)</f>
        <v>Asia</v>
      </c>
      <c r="X560" s="233" t="str">
        <f>VLOOKUP(Table3[[#This Row],[Country Code]],Table29[],5,FALSE)</f>
        <v>High-income</v>
      </c>
      <c r="Y560" s="233" t="str">
        <f>VLOOKUP(Table3[[#This Row],[Country Code]],Table29[],6,FALSE)</f>
        <v>G20</v>
      </c>
      <c r="Z560" s="233" t="str">
        <f>VLOOKUP(Table3[[#This Row],[Country Code]],Table29[],7,FALSE)</f>
        <v>G7</v>
      </c>
      <c r="AA560" s="233" t="str">
        <f>VLOOKUP(Table3[[#This Row],[Country Code]],Table29[],8,FALSE)</f>
        <v>OECD</v>
      </c>
      <c r="AB560" s="233" t="str">
        <f>VLOOKUP(Table3[[#This Row],[Country Code]],Table29[],9,FALSE)</f>
        <v>no</v>
      </c>
      <c r="AC560" s="233" t="str">
        <f>VLOOKUP(Table3[[#This Row],[Country Code]],Table29[],10,FALSE)</f>
        <v>no</v>
      </c>
      <c r="AD560" s="235">
        <f>VLOOKUP(Table3[[#This Row],[Country Code]],Table29[],23,FALSE)</f>
        <v>1041.0128248686999</v>
      </c>
      <c r="AE560" s="235">
        <f>VLOOKUP(Table3[[#This Row],[Country Code]],Table29[],24,FALSE)</f>
        <v>181.96191357547141</v>
      </c>
      <c r="AF560" s="43"/>
    </row>
    <row r="561" spans="1:32" x14ac:dyDescent="0.25">
      <c r="A561" s="360">
        <v>17628</v>
      </c>
      <c r="B561" s="233" t="str">
        <f>VLOOKUP(Table3[[#This Row],[Document ID]],Table1[],2,FALSE)</f>
        <v>JPN</v>
      </c>
      <c r="C561" s="233" t="str">
        <f>VLOOKUP(Table3[[#This Row],[Document ID]],Table1[],3,FALSE)</f>
        <v>Japan</v>
      </c>
      <c r="D561" s="233" t="str">
        <f>VLOOKUP(Table3[[#This Row],[Document ID]],Table1[],5,FALSE)</f>
        <v>NDC</v>
      </c>
      <c r="E561" s="233" t="str">
        <f>VLOOKUP(Table3[[#This Row],[Document ID]],Table1[],7,FALSE)</f>
        <v>First NDC updated</v>
      </c>
      <c r="F561" s="233" t="str">
        <f>VLOOKUP(Table3[[#This Row],[Document ID]],Table1[],8,FALSE)</f>
        <v>NDC 1.1</v>
      </c>
      <c r="G561" s="233" t="str">
        <f>VLOOKUP(Table3[[#This Row],[Document ID]],Table1[],10,FALSE)</f>
        <v>Archived</v>
      </c>
      <c r="H561" s="42" t="s">
        <v>1095</v>
      </c>
      <c r="I561" s="43" t="s">
        <v>1115</v>
      </c>
      <c r="J561" s="43" t="s">
        <v>1090</v>
      </c>
      <c r="K561" s="28" t="s">
        <v>1121</v>
      </c>
      <c r="L561" s="389" t="s">
        <v>1099</v>
      </c>
      <c r="M561" s="209">
        <v>2030</v>
      </c>
      <c r="N561" s="44" t="s">
        <v>1679</v>
      </c>
      <c r="O561" s="221">
        <v>8</v>
      </c>
      <c r="P561" s="238" t="str">
        <f>VLOOKUP(_xlfn.CONCAT(Table3[[#This Row],[Target area]],Table3[[#This Row],[GHG target?]],Table3[[#This Row],[Conditionality]]),'Drop down'!$E$81:$F$101,2,FALSE)</f>
        <v>T_Transport_Unc</v>
      </c>
      <c r="Q561" s="239" t="str">
        <f>VLOOKUP(Table3[[#This Row],[Target type]],Table418[[Value name]:[Value idenifyer]],2,FALSE)</f>
        <v>T_FL</v>
      </c>
      <c r="R561" s="233" t="s">
        <v>526</v>
      </c>
      <c r="T561" s="234" t="s">
        <v>1113</v>
      </c>
      <c r="U561" s="242" t="s">
        <v>1402</v>
      </c>
      <c r="V561" s="233" t="str">
        <f>VLOOKUP(Table3[[#This Row],[Country Code]],Table29[],3,FALSE)</f>
        <v>Annex I</v>
      </c>
      <c r="W561" s="233" t="str">
        <f>VLOOKUP(Table3[[#This Row],[Country Code]],Table29[],4,FALSE)</f>
        <v>Asia</v>
      </c>
      <c r="X561" s="233" t="str">
        <f>VLOOKUP(Table3[[#This Row],[Country Code]],Table29[],5,FALSE)</f>
        <v>High-income</v>
      </c>
      <c r="Y561" s="233" t="str">
        <f>VLOOKUP(Table3[[#This Row],[Country Code]],Table29[],6,FALSE)</f>
        <v>G20</v>
      </c>
      <c r="Z561" s="233" t="str">
        <f>VLOOKUP(Table3[[#This Row],[Country Code]],Table29[],7,FALSE)</f>
        <v>G7</v>
      </c>
      <c r="AA561" s="233" t="str">
        <f>VLOOKUP(Table3[[#This Row],[Country Code]],Table29[],8,FALSE)</f>
        <v>OECD</v>
      </c>
      <c r="AB561" s="233" t="str">
        <f>VLOOKUP(Table3[[#This Row],[Country Code]],Table29[],9,FALSE)</f>
        <v>no</v>
      </c>
      <c r="AC561" s="233" t="str">
        <f>VLOOKUP(Table3[[#This Row],[Country Code]],Table29[],10,FALSE)</f>
        <v>no</v>
      </c>
      <c r="AD561" s="235">
        <f>VLOOKUP(Table3[[#This Row],[Country Code]],Table29[],23,FALSE)</f>
        <v>1041.0128248686999</v>
      </c>
      <c r="AE561" s="235">
        <f>VLOOKUP(Table3[[#This Row],[Country Code]],Table29[],24,FALSE)</f>
        <v>181.96191357547141</v>
      </c>
      <c r="AF561" s="43"/>
    </row>
    <row r="562" spans="1:32" ht="105" x14ac:dyDescent="0.25">
      <c r="A562" s="360">
        <v>17627</v>
      </c>
      <c r="B562" s="233" t="str">
        <f>VLOOKUP(Table3[[#This Row],[Document ID]],Table1[],2,FALSE)</f>
        <v>JPN</v>
      </c>
      <c r="C562" s="233" t="str">
        <f>VLOOKUP(Table3[[#This Row],[Document ID]],Table1[],3,FALSE)</f>
        <v>Japan</v>
      </c>
      <c r="D562" s="233" t="str">
        <f>VLOOKUP(Table3[[#This Row],[Document ID]],Table1[],5,FALSE)</f>
        <v>LTS</v>
      </c>
      <c r="E562" s="233" t="str">
        <f>VLOOKUP(Table3[[#This Row],[Document ID]],Table1[],7,FALSE)</f>
        <v>Archived LTS 1.0</v>
      </c>
      <c r="F562" s="233" t="str">
        <f>VLOOKUP(Table3[[#This Row],[Document ID]],Table1[],8,FALSE)</f>
        <v>LTS 1.0</v>
      </c>
      <c r="G562" s="233" t="str">
        <f>VLOOKUP(Table3[[#This Row],[Document ID]],Table1[],10,FALSE)</f>
        <v>Archived</v>
      </c>
      <c r="H562" s="42" t="s">
        <v>1095</v>
      </c>
      <c r="I562" s="42" t="s">
        <v>1096</v>
      </c>
      <c r="J562" s="42" t="s">
        <v>1097</v>
      </c>
      <c r="K562" s="28" t="s">
        <v>1104</v>
      </c>
      <c r="L562" s="389" t="s">
        <v>1099</v>
      </c>
      <c r="M562" s="209">
        <v>2050</v>
      </c>
      <c r="N562" s="44" t="s">
        <v>1680</v>
      </c>
      <c r="O562" s="221">
        <v>2</v>
      </c>
      <c r="P562" s="238" t="str">
        <f>VLOOKUP(_xlfn.CONCAT(Table3[[#This Row],[Target area]],Table3[[#This Row],[GHG target?]],Table3[[#This Row],[Conditionality]]),'Drop down'!$E$81:$F$101,2,FALSE)</f>
        <v>T_Transport_O_Unc</v>
      </c>
      <c r="Q562" s="239" t="str">
        <f>VLOOKUP(Table3[[#This Row],[Target type]],Table418[[Value name]:[Value idenifyer]],2,FALSE)</f>
        <v>T_O_ZERO</v>
      </c>
      <c r="S562" s="233" t="s">
        <v>1125</v>
      </c>
      <c r="T562" s="234" t="s">
        <v>1113</v>
      </c>
      <c r="U562" s="242" t="s">
        <v>1402</v>
      </c>
      <c r="V562" s="233" t="str">
        <f>VLOOKUP(Table3[[#This Row],[Country Code]],Table29[],3,FALSE)</f>
        <v>Annex I</v>
      </c>
      <c r="W562" s="233" t="str">
        <f>VLOOKUP(Table3[[#This Row],[Country Code]],Table29[],4,FALSE)</f>
        <v>Asia</v>
      </c>
      <c r="X562" s="233" t="str">
        <f>VLOOKUP(Table3[[#This Row],[Country Code]],Table29[],5,FALSE)</f>
        <v>High-income</v>
      </c>
      <c r="Y562" s="233" t="str">
        <f>VLOOKUP(Table3[[#This Row],[Country Code]],Table29[],6,FALSE)</f>
        <v>G20</v>
      </c>
      <c r="Z562" s="233" t="str">
        <f>VLOOKUP(Table3[[#This Row],[Country Code]],Table29[],7,FALSE)</f>
        <v>G7</v>
      </c>
      <c r="AA562" s="233" t="str">
        <f>VLOOKUP(Table3[[#This Row],[Country Code]],Table29[],8,FALSE)</f>
        <v>OECD</v>
      </c>
      <c r="AB562" s="233" t="str">
        <f>VLOOKUP(Table3[[#This Row],[Country Code]],Table29[],9,FALSE)</f>
        <v>no</v>
      </c>
      <c r="AC562" s="233" t="str">
        <f>VLOOKUP(Table3[[#This Row],[Country Code]],Table29[],10,FALSE)</f>
        <v>no</v>
      </c>
      <c r="AD562" s="235">
        <f>VLOOKUP(Table3[[#This Row],[Country Code]],Table29[],23,FALSE)</f>
        <v>1041.0128248686999</v>
      </c>
      <c r="AE562" s="235">
        <f>VLOOKUP(Table3[[#This Row],[Country Code]],Table29[],24,FALSE)</f>
        <v>181.96191357547141</v>
      </c>
      <c r="AF562" s="43"/>
    </row>
    <row r="563" spans="1:32" ht="30" x14ac:dyDescent="0.25">
      <c r="A563" s="360">
        <v>17676</v>
      </c>
      <c r="B563" s="233" t="str">
        <f>VLOOKUP(Table3[[#This Row],[Document ID]],Table1[],2,FALSE)</f>
        <v>NLD</v>
      </c>
      <c r="C563" s="233" t="str">
        <f>VLOOKUP(Table3[[#This Row],[Document ID]],Table1[],3,FALSE)</f>
        <v>Netherlands</v>
      </c>
      <c r="D563" s="233" t="str">
        <f>VLOOKUP(Table3[[#This Row],[Document ID]],Table1[],5,FALSE)</f>
        <v>LTS</v>
      </c>
      <c r="E563" s="233" t="str">
        <f>VLOOKUP(Table3[[#This Row],[Document ID]],Table1[],7,FALSE)</f>
        <v>EU-LTS</v>
      </c>
      <c r="F563" s="233" t="str">
        <f>VLOOKUP(Table3[[#This Row],[Document ID]],Table1[],8,FALSE)</f>
        <v>LTS 1.0</v>
      </c>
      <c r="G563" s="233" t="str">
        <f>VLOOKUP(Table3[[#This Row],[Document ID]],Table1[],10,FALSE)</f>
        <v>Active</v>
      </c>
      <c r="H563" s="216" t="s">
        <v>1089</v>
      </c>
      <c r="I563" s="216" t="s">
        <v>1089</v>
      </c>
      <c r="J563" s="43" t="s">
        <v>1090</v>
      </c>
      <c r="K563" s="28" t="s">
        <v>1153</v>
      </c>
      <c r="L563" s="42" t="s">
        <v>1099</v>
      </c>
      <c r="M563" s="209">
        <v>2050</v>
      </c>
      <c r="N563" s="44" t="s">
        <v>1681</v>
      </c>
      <c r="O563" s="221">
        <v>1</v>
      </c>
      <c r="P563" s="238" t="str">
        <f>VLOOKUP(_xlfn.CONCAT(Table3[[#This Row],[Target area]],Table3[[#This Row],[GHG target?]],Table3[[#This Row],[Conditionality]]),'Drop down'!$E$81:$F$101,2,FALSE)</f>
        <v>T_Economy_Unc</v>
      </c>
      <c r="Q563" s="239" t="str">
        <f>VLOOKUP(Table3[[#This Row],[Target type]],Table418[[Value name]:[Value idenifyer]],2,FALSE)</f>
        <v>T_BYE</v>
      </c>
      <c r="T563" s="234" t="s">
        <v>1113</v>
      </c>
      <c r="V563" s="233" t="str">
        <f>VLOOKUP(Table3[[#This Row],[Country Code]],Table29[],3,FALSE)</f>
        <v>Annex I</v>
      </c>
      <c r="W563" s="233" t="str">
        <f>VLOOKUP(Table3[[#This Row],[Country Code]],Table29[],4,FALSE)</f>
        <v>Europe</v>
      </c>
      <c r="X563" s="233" t="str">
        <f>VLOOKUP(Table3[[#This Row],[Country Code]],Table29[],5,FALSE)</f>
        <v>High-income</v>
      </c>
      <c r="Y563" s="233" t="str">
        <f>VLOOKUP(Table3[[#This Row],[Country Code]],Table29[],6,FALSE)</f>
        <v>no</v>
      </c>
      <c r="Z563" s="233" t="str">
        <f>VLOOKUP(Table3[[#This Row],[Country Code]],Table29[],7,FALSE)</f>
        <v>no</v>
      </c>
      <c r="AA563" s="233" t="str">
        <f>VLOOKUP(Table3[[#This Row],[Country Code]],Table29[],8,FALSE)</f>
        <v>OECD</v>
      </c>
      <c r="AB563" s="233" t="str">
        <f>VLOOKUP(Table3[[#This Row],[Country Code]],Table29[],9,FALSE)</f>
        <v>EU27</v>
      </c>
      <c r="AC563" s="233" t="str">
        <f>VLOOKUP(Table3[[#This Row],[Country Code]],Table29[],10,FALSE)</f>
        <v>no</v>
      </c>
      <c r="AD563" s="235">
        <f>VLOOKUP(Table3[[#This Row],[Country Code]],Table29[],23,FALSE)</f>
        <v>150.74579824257</v>
      </c>
      <c r="AE563" s="235">
        <f>VLOOKUP(Table3[[#This Row],[Country Code]],Table29[],24,FALSE)</f>
        <v>25.78124755164097</v>
      </c>
      <c r="AF563" s="43"/>
    </row>
    <row r="564" spans="1:32" ht="45" x14ac:dyDescent="0.25">
      <c r="A564" s="360">
        <v>17680</v>
      </c>
      <c r="B564" s="233" t="str">
        <f>VLOOKUP(Table3[[#This Row],[Document ID]],Table1[],2,FALSE)</f>
        <v>NZL</v>
      </c>
      <c r="C564" s="233" t="str">
        <f>VLOOKUP(Table3[[#This Row],[Document ID]],Table1[],3,FALSE)</f>
        <v>New Zealand</v>
      </c>
      <c r="D564" s="233" t="str">
        <f>VLOOKUP(Table3[[#This Row],[Document ID]],Table1[],5,FALSE)</f>
        <v>NDC</v>
      </c>
      <c r="E564" s="233" t="str">
        <f>VLOOKUP(Table3[[#This Row],[Document ID]],Table1[],7,FALSE)</f>
        <v>First NDC updated</v>
      </c>
      <c r="F564" s="233" t="str">
        <f>VLOOKUP(Table3[[#This Row],[Document ID]],Table1[],8,FALSE)</f>
        <v>NDC 1.1</v>
      </c>
      <c r="G564" s="233" t="str">
        <f>VLOOKUP(Table3[[#This Row],[Document ID]],Table1[],10,FALSE)</f>
        <v>Archived</v>
      </c>
      <c r="H564" s="216" t="s">
        <v>1089</v>
      </c>
      <c r="I564" s="216" t="s">
        <v>1089</v>
      </c>
      <c r="J564" s="43" t="s">
        <v>1090</v>
      </c>
      <c r="K564" s="28" t="s">
        <v>1121</v>
      </c>
      <c r="L564" s="42" t="s">
        <v>1099</v>
      </c>
      <c r="M564" s="209">
        <v>2050</v>
      </c>
      <c r="N564" s="44" t="s">
        <v>1682</v>
      </c>
      <c r="O564" s="221">
        <v>1</v>
      </c>
      <c r="P564" s="238" t="str">
        <f>VLOOKUP(_xlfn.CONCAT(Table3[[#This Row],[Target area]],Table3[[#This Row],[GHG target?]],Table3[[#This Row],[Conditionality]]),'Drop down'!$E$81:$F$101,2,FALSE)</f>
        <v>T_Economy_Unc</v>
      </c>
      <c r="Q564" s="239" t="str">
        <f>VLOOKUP(Table3[[#This Row],[Target type]],Table418[[Value name]:[Value idenifyer]],2,FALSE)</f>
        <v>T_FL</v>
      </c>
      <c r="T564" s="234" t="s">
        <v>1113</v>
      </c>
      <c r="V564" s="233" t="str">
        <f>VLOOKUP(Table3[[#This Row],[Country Code]],Table29[],3,FALSE)</f>
        <v>Annex I</v>
      </c>
      <c r="W564" s="233" t="str">
        <f>VLOOKUP(Table3[[#This Row],[Country Code]],Table29[],4,FALSE)</f>
        <v>Oceania</v>
      </c>
      <c r="X564" s="233" t="str">
        <f>VLOOKUP(Table3[[#This Row],[Country Code]],Table29[],5,FALSE)</f>
        <v>High-income</v>
      </c>
      <c r="Y564" s="233" t="str">
        <f>VLOOKUP(Table3[[#This Row],[Country Code]],Table29[],6,FALSE)</f>
        <v>no</v>
      </c>
      <c r="Z564" s="233" t="str">
        <f>VLOOKUP(Table3[[#This Row],[Country Code]],Table29[],7,FALSE)</f>
        <v>no</v>
      </c>
      <c r="AA564" s="233" t="str">
        <f>VLOOKUP(Table3[[#This Row],[Country Code]],Table29[],8,FALSE)</f>
        <v>OECD</v>
      </c>
      <c r="AB564" s="233" t="str">
        <f>VLOOKUP(Table3[[#This Row],[Country Code]],Table29[],9,FALSE)</f>
        <v>no</v>
      </c>
      <c r="AC564" s="233" t="str">
        <f>VLOOKUP(Table3[[#This Row],[Country Code]],Table29[],10,FALSE)</f>
        <v>no</v>
      </c>
      <c r="AD564" s="235">
        <f>VLOOKUP(Table3[[#This Row],[Country Code]],Table29[],23,FALSE)</f>
        <v>84.209811532415003</v>
      </c>
      <c r="AE564" s="235">
        <f>VLOOKUP(Table3[[#This Row],[Country Code]],Table29[],24,FALSE)</f>
        <v>16.240725424217811</v>
      </c>
      <c r="AF564" s="43"/>
    </row>
    <row r="565" spans="1:32" x14ac:dyDescent="0.25">
      <c r="A565" s="360">
        <v>41996</v>
      </c>
      <c r="B565" s="233" t="str">
        <f>VLOOKUP(Table3[[#This Row],[Document ID]],Table1[],2,FALSE)</f>
        <v>BRB</v>
      </c>
      <c r="C565" s="233" t="str">
        <f>VLOOKUP(Table3[[#This Row],[Document ID]],Table1[],3,FALSE)</f>
        <v>Barbados</v>
      </c>
      <c r="D565" s="233" t="str">
        <f>VLOOKUP(Table3[[#This Row],[Document ID]],Table1[],5,FALSE)</f>
        <v>Other</v>
      </c>
      <c r="E565" s="233" t="str">
        <f>VLOOKUP(Table3[[#This Row],[Document ID]],Table1[],7,FALSE)</f>
        <v>WRI Net Zero Tracker</v>
      </c>
      <c r="F565" s="233" t="str">
        <f>VLOOKUP(Table3[[#This Row],[Document ID]],Table1[],8,FALSE)</f>
        <v>NA</v>
      </c>
      <c r="G565" s="233" t="str">
        <f>VLOOKUP(Table3[[#This Row],[Document ID]],Table1[],10,FALSE)</f>
        <v>Active</v>
      </c>
      <c r="H565" s="216" t="s">
        <v>1147</v>
      </c>
      <c r="I565" s="43" t="s">
        <v>1089</v>
      </c>
      <c r="J565" s="43" t="s">
        <v>1090</v>
      </c>
      <c r="K565" s="28" t="s">
        <v>1121</v>
      </c>
      <c r="L565" s="43" t="s">
        <v>1116</v>
      </c>
      <c r="M565" s="209">
        <v>2030</v>
      </c>
      <c r="N565" s="43" t="s">
        <v>1683</v>
      </c>
      <c r="O565" s="258"/>
      <c r="P565" s="238" t="str">
        <f>VLOOKUP(_xlfn.CONCAT(Table3[[#This Row],[Target area]],Table3[[#This Row],[GHG target?]],Table3[[#This Row],[Conditionality]]),'Drop down'!$E$81:$F$101,2,FALSE)</f>
        <v>T_Netzero</v>
      </c>
      <c r="Q565" s="239" t="str">
        <f>VLOOKUP(Table3[[#This Row],[Target type]],Table418[[Value name]:[Value idenifyer]],2,FALSE)</f>
        <v>T_FL</v>
      </c>
      <c r="V565" s="233" t="str">
        <f>VLOOKUP(Table3[[#This Row],[Country Code]],Table29[],3,FALSE)</f>
        <v>Non-Annex I</v>
      </c>
      <c r="W565" s="233" t="str">
        <f>VLOOKUP(Table3[[#This Row],[Country Code]],Table29[],4,FALSE)</f>
        <v>Latin America and the Caribbean</v>
      </c>
      <c r="X565" s="233" t="str">
        <f>VLOOKUP(Table3[[#This Row],[Country Code]],Table29[],5,FALSE)</f>
        <v>High-income</v>
      </c>
      <c r="Y565" s="233" t="str">
        <f>VLOOKUP(Table3[[#This Row],[Country Code]],Table29[],6,FALSE)</f>
        <v>no</v>
      </c>
      <c r="Z565" s="233" t="str">
        <f>VLOOKUP(Table3[[#This Row],[Country Code]],Table29[],7,FALSE)</f>
        <v>no</v>
      </c>
      <c r="AA565" s="233" t="str">
        <f>VLOOKUP(Table3[[#This Row],[Country Code]],Table29[],8,FALSE)</f>
        <v>non-OECD</v>
      </c>
      <c r="AB565" s="233" t="str">
        <f>VLOOKUP(Table3[[#This Row],[Country Code]],Table29[],9,FALSE)</f>
        <v>no</v>
      </c>
      <c r="AC565" s="233" t="str">
        <f>VLOOKUP(Table3[[#This Row],[Country Code]],Table29[],10,FALSE)</f>
        <v>no</v>
      </c>
      <c r="AD565" s="235">
        <f>VLOOKUP(Table3[[#This Row],[Country Code]],Table29[],23,FALSE)</f>
        <v>0.98904380539195003</v>
      </c>
      <c r="AE565" s="235">
        <f>VLOOKUP(Table3[[#This Row],[Country Code]],Table29[],24,FALSE)</f>
        <v>0.25128029300322258</v>
      </c>
      <c r="AF565" s="43"/>
    </row>
    <row r="566" spans="1:32" ht="30" x14ac:dyDescent="0.25">
      <c r="A566" s="360">
        <v>23933</v>
      </c>
      <c r="B566" s="233" t="str">
        <f>VLOOKUP(Table3[[#This Row],[Document ID]],Table1[],2,FALSE)</f>
        <v>NZL</v>
      </c>
      <c r="C566" s="233" t="str">
        <f>VLOOKUP(Table3[[#This Row],[Document ID]],Table1[],3,FALSE)</f>
        <v>New Zealand</v>
      </c>
      <c r="D566" s="233" t="str">
        <f>VLOOKUP(Table3[[#This Row],[Document ID]],Table1[],5,FALSE)</f>
        <v>NDC</v>
      </c>
      <c r="E566" s="233" t="str">
        <f>VLOOKUP(Table3[[#This Row],[Document ID]],Table1[],7,FALSE)</f>
        <v>First NDC updated</v>
      </c>
      <c r="F566" s="233" t="str">
        <f>VLOOKUP(Table3[[#This Row],[Document ID]],Table1[],8,FALSE)</f>
        <v>NDC 1.2</v>
      </c>
      <c r="G566" s="233" t="str">
        <f>VLOOKUP(Table3[[#This Row],[Document ID]],Table1[],10,FALSE)</f>
        <v>Archived</v>
      </c>
      <c r="H566" s="216" t="s">
        <v>1089</v>
      </c>
      <c r="I566" s="216" t="s">
        <v>1089</v>
      </c>
      <c r="J566" s="43" t="s">
        <v>1090</v>
      </c>
      <c r="K566" s="28" t="s">
        <v>1153</v>
      </c>
      <c r="L566" s="42" t="s">
        <v>1099</v>
      </c>
      <c r="M566" s="209">
        <v>2030</v>
      </c>
      <c r="N566" s="209" t="s">
        <v>1684</v>
      </c>
      <c r="O566" s="257">
        <v>2</v>
      </c>
      <c r="P566" s="238" t="str">
        <f>VLOOKUP(_xlfn.CONCAT(Table3[[#This Row],[Target area]],Table3[[#This Row],[GHG target?]],Table3[[#This Row],[Conditionality]]),'Drop down'!$E$81:$F$101,2,FALSE)</f>
        <v>T_Economy_Unc</v>
      </c>
      <c r="Q566" s="239" t="str">
        <f>VLOOKUP(Table3[[#This Row],[Target type]],Table418[[Value name]:[Value idenifyer]],2,FALSE)</f>
        <v>T_BYE</v>
      </c>
      <c r="T566" s="240" t="s">
        <v>1113</v>
      </c>
      <c r="U566" s="240"/>
      <c r="V566" s="233" t="str">
        <f>VLOOKUP(Table3[[#This Row],[Country Code]],Table29[],3,FALSE)</f>
        <v>Annex I</v>
      </c>
      <c r="W566" s="233" t="str">
        <f>VLOOKUP(Table3[[#This Row],[Country Code]],Table29[],4,FALSE)</f>
        <v>Oceania</v>
      </c>
      <c r="X566" s="233" t="str">
        <f>VLOOKUP(Table3[[#This Row],[Country Code]],Table29[],5,FALSE)</f>
        <v>High-income</v>
      </c>
      <c r="Y566" s="233" t="str">
        <f>VLOOKUP(Table3[[#This Row],[Country Code]],Table29[],6,FALSE)</f>
        <v>no</v>
      </c>
      <c r="Z566" s="233" t="str">
        <f>VLOOKUP(Table3[[#This Row],[Country Code]],Table29[],7,FALSE)</f>
        <v>no</v>
      </c>
      <c r="AA566" s="233" t="str">
        <f>VLOOKUP(Table3[[#This Row],[Country Code]],Table29[],8,FALSE)</f>
        <v>OECD</v>
      </c>
      <c r="AB566" s="233" t="str">
        <f>VLOOKUP(Table3[[#This Row],[Country Code]],Table29[],9,FALSE)</f>
        <v>no</v>
      </c>
      <c r="AC566" s="233" t="str">
        <f>VLOOKUP(Table3[[#This Row],[Country Code]],Table29[],10,FALSE)</f>
        <v>no</v>
      </c>
      <c r="AD566" s="235">
        <f>VLOOKUP(Table3[[#This Row],[Country Code]],Table29[],23,FALSE)</f>
        <v>84.209811532415003</v>
      </c>
      <c r="AE566" s="235">
        <f>VLOOKUP(Table3[[#This Row],[Country Code]],Table29[],24,FALSE)</f>
        <v>16.240725424217811</v>
      </c>
      <c r="AF566" s="43"/>
    </row>
    <row r="567" spans="1:32" x14ac:dyDescent="0.25">
      <c r="A567" s="360">
        <v>26786</v>
      </c>
      <c r="B567" s="233" t="str">
        <f>VLOOKUP(Table3[[#This Row],[Document ID]],Table1[],2,FALSE)</f>
        <v>NZL</v>
      </c>
      <c r="C567" s="233" t="str">
        <f>VLOOKUP(Table3[[#This Row],[Document ID]],Table1[],3,FALSE)</f>
        <v>New Zealand</v>
      </c>
      <c r="D567" s="233" t="str">
        <f>VLOOKUP(Table3[[#This Row],[Document ID]],Table1[],5,FALSE)</f>
        <v>LTS</v>
      </c>
      <c r="E567" s="233" t="str">
        <f>VLOOKUP(Table3[[#This Row],[Document ID]],Table1[],7,FALSE)</f>
        <v>LTS</v>
      </c>
      <c r="F567" s="233" t="str">
        <f>VLOOKUP(Table3[[#This Row],[Document ID]],Table1[],8,FALSE)</f>
        <v>LTS 1.0</v>
      </c>
      <c r="G567" s="233" t="str">
        <f>VLOOKUP(Table3[[#This Row],[Document ID]],Table1[],10,FALSE)</f>
        <v>Active</v>
      </c>
      <c r="H567" s="216" t="s">
        <v>1089</v>
      </c>
      <c r="I567" s="216" t="s">
        <v>1089</v>
      </c>
      <c r="J567" s="43" t="s">
        <v>1090</v>
      </c>
      <c r="K567" s="28" t="s">
        <v>1153</v>
      </c>
      <c r="L567" s="42" t="s">
        <v>1099</v>
      </c>
      <c r="M567" s="209">
        <v>2050</v>
      </c>
      <c r="N567" s="17" t="s">
        <v>1685</v>
      </c>
      <c r="O567" s="258">
        <v>13</v>
      </c>
      <c r="P567" s="238" t="str">
        <f>VLOOKUP(_xlfn.CONCAT(Table3[[#This Row],[Target area]],Table3[[#This Row],[GHG target?]],Table3[[#This Row],[Conditionality]]),'Drop down'!$E$81:$F$101,2,FALSE)</f>
        <v>T_Economy_Unc</v>
      </c>
      <c r="Q567" s="239" t="str">
        <f>VLOOKUP(Table3[[#This Row],[Target type]],Table418[[Value name]:[Value idenifyer]],2,FALSE)</f>
        <v>T_BYE</v>
      </c>
      <c r="S567" s="233" t="s">
        <v>1112</v>
      </c>
      <c r="T567" s="234" t="s">
        <v>1113</v>
      </c>
      <c r="V567" s="233" t="str">
        <f>VLOOKUP(Table3[[#This Row],[Country Code]],Table29[],3,FALSE)</f>
        <v>Annex I</v>
      </c>
      <c r="W567" s="233" t="str">
        <f>VLOOKUP(Table3[[#This Row],[Country Code]],Table29[],4,FALSE)</f>
        <v>Oceania</v>
      </c>
      <c r="X567" s="233" t="str">
        <f>VLOOKUP(Table3[[#This Row],[Country Code]],Table29[],5,FALSE)</f>
        <v>High-income</v>
      </c>
      <c r="Y567" s="233" t="str">
        <f>VLOOKUP(Table3[[#This Row],[Country Code]],Table29[],6,FALSE)</f>
        <v>no</v>
      </c>
      <c r="Z567" s="233" t="str">
        <f>VLOOKUP(Table3[[#This Row],[Country Code]],Table29[],7,FALSE)</f>
        <v>no</v>
      </c>
      <c r="AA567" s="233" t="str">
        <f>VLOOKUP(Table3[[#This Row],[Country Code]],Table29[],8,FALSE)</f>
        <v>OECD</v>
      </c>
      <c r="AB567" s="233" t="str">
        <f>VLOOKUP(Table3[[#This Row],[Country Code]],Table29[],9,FALSE)</f>
        <v>no</v>
      </c>
      <c r="AC567" s="233" t="str">
        <f>VLOOKUP(Table3[[#This Row],[Country Code]],Table29[],10,FALSE)</f>
        <v>no</v>
      </c>
      <c r="AD567" s="235">
        <f>VLOOKUP(Table3[[#This Row],[Country Code]],Table29[],23,FALSE)</f>
        <v>84.209811532415003</v>
      </c>
      <c r="AE567" s="235">
        <f>VLOOKUP(Table3[[#This Row],[Country Code]],Table29[],24,FALSE)</f>
        <v>16.240725424217811</v>
      </c>
      <c r="AF567" s="43"/>
    </row>
    <row r="568" spans="1:32" ht="45" x14ac:dyDescent="0.25">
      <c r="A568" s="360">
        <v>17627</v>
      </c>
      <c r="B568" s="233" t="str">
        <f>VLOOKUP(Table3[[#This Row],[Document ID]],Table1[],2,FALSE)</f>
        <v>JPN</v>
      </c>
      <c r="C568" s="233" t="str">
        <f>VLOOKUP(Table3[[#This Row],[Document ID]],Table1[],3,FALSE)</f>
        <v>Japan</v>
      </c>
      <c r="D568" s="233" t="str">
        <f>VLOOKUP(Table3[[#This Row],[Document ID]],Table1[],5,FALSE)</f>
        <v>LTS</v>
      </c>
      <c r="E568" s="233" t="str">
        <f>VLOOKUP(Table3[[#This Row],[Document ID]],Table1[],7,FALSE)</f>
        <v>Archived LTS 1.0</v>
      </c>
      <c r="F568" s="233" t="str">
        <f>VLOOKUP(Table3[[#This Row],[Document ID]],Table1[],8,FALSE)</f>
        <v>LTS 1.0</v>
      </c>
      <c r="G568" s="233" t="str">
        <f>VLOOKUP(Table3[[#This Row],[Document ID]],Table1[],10,FALSE)</f>
        <v>Archived</v>
      </c>
      <c r="H568" s="42" t="s">
        <v>1095</v>
      </c>
      <c r="I568" s="43" t="s">
        <v>1096</v>
      </c>
      <c r="J568" s="43" t="s">
        <v>1090</v>
      </c>
      <c r="K568" s="28" t="s">
        <v>1153</v>
      </c>
      <c r="L568" s="42" t="s">
        <v>1099</v>
      </c>
      <c r="M568" s="209">
        <v>2050</v>
      </c>
      <c r="N568" s="44" t="s">
        <v>1686</v>
      </c>
      <c r="O568" s="221">
        <v>43</v>
      </c>
      <c r="P568" s="238" t="str">
        <f>VLOOKUP(_xlfn.CONCAT(Table3[[#This Row],[Target area]],Table3[[#This Row],[GHG target?]],Table3[[#This Row],[Conditionality]]),'Drop down'!$E$81:$F$101,2,FALSE)</f>
        <v>T_Transport_Unc</v>
      </c>
      <c r="Q568" s="239" t="str">
        <f>VLOOKUP(Table3[[#This Row],[Target type]],Table418[[Value name]:[Value idenifyer]],2,FALSE)</f>
        <v>T_BYE</v>
      </c>
      <c r="R568" s="233" t="s">
        <v>526</v>
      </c>
      <c r="S568" s="233" t="s">
        <v>1125</v>
      </c>
      <c r="T568" s="234" t="s">
        <v>1113</v>
      </c>
      <c r="U568" s="242" t="s">
        <v>1402</v>
      </c>
      <c r="V568" s="233" t="str">
        <f>VLOOKUP(Table3[[#This Row],[Country Code]],Table29[],3,FALSE)</f>
        <v>Annex I</v>
      </c>
      <c r="W568" s="233" t="str">
        <f>VLOOKUP(Table3[[#This Row],[Country Code]],Table29[],4,FALSE)</f>
        <v>Asia</v>
      </c>
      <c r="X568" s="233" t="str">
        <f>VLOOKUP(Table3[[#This Row],[Country Code]],Table29[],5,FALSE)</f>
        <v>High-income</v>
      </c>
      <c r="Y568" s="233" t="str">
        <f>VLOOKUP(Table3[[#This Row],[Country Code]],Table29[],6,FALSE)</f>
        <v>G20</v>
      </c>
      <c r="Z568" s="233" t="str">
        <f>VLOOKUP(Table3[[#This Row],[Country Code]],Table29[],7,FALSE)</f>
        <v>G7</v>
      </c>
      <c r="AA568" s="233" t="str">
        <f>VLOOKUP(Table3[[#This Row],[Country Code]],Table29[],8,FALSE)</f>
        <v>OECD</v>
      </c>
      <c r="AB568" s="233" t="str">
        <f>VLOOKUP(Table3[[#This Row],[Country Code]],Table29[],9,FALSE)</f>
        <v>no</v>
      </c>
      <c r="AC568" s="233" t="str">
        <f>VLOOKUP(Table3[[#This Row],[Country Code]],Table29[],10,FALSE)</f>
        <v>no</v>
      </c>
      <c r="AD568" s="235">
        <f>VLOOKUP(Table3[[#This Row],[Country Code]],Table29[],23,FALSE)</f>
        <v>1041.0128248686999</v>
      </c>
      <c r="AE568" s="235">
        <f>VLOOKUP(Table3[[#This Row],[Country Code]],Table29[],24,FALSE)</f>
        <v>181.96191357547141</v>
      </c>
      <c r="AF568" s="43"/>
    </row>
    <row r="569" spans="1:32" x14ac:dyDescent="0.25">
      <c r="A569" s="360">
        <v>17678</v>
      </c>
      <c r="B569" s="233" t="str">
        <f>VLOOKUP(Table3[[#This Row],[Document ID]],Table1[],2,FALSE)</f>
        <v>NZL</v>
      </c>
      <c r="C569" s="233" t="str">
        <f>VLOOKUP(Table3[[#This Row],[Document ID]],Table1[],3,FALSE)</f>
        <v>New Zealand</v>
      </c>
      <c r="D569" s="233" t="str">
        <f>VLOOKUP(Table3[[#This Row],[Document ID]],Table1[],5,FALSE)</f>
        <v>NDC</v>
      </c>
      <c r="E569" s="233" t="str">
        <f>VLOOKUP(Table3[[#This Row],[Document ID]],Table1[],7,FALSE)</f>
        <v>First NDC</v>
      </c>
      <c r="F569" s="233" t="str">
        <f>VLOOKUP(Table3[[#This Row],[Document ID]],Table1[],8,FALSE)</f>
        <v>NDC 1.0</v>
      </c>
      <c r="G569" s="233" t="str">
        <f>VLOOKUP(Table3[[#This Row],[Document ID]],Table1[],10,FALSE)</f>
        <v>Archived</v>
      </c>
      <c r="H569" s="216" t="s">
        <v>1089</v>
      </c>
      <c r="I569" s="216" t="s">
        <v>1089</v>
      </c>
      <c r="J569" s="43" t="s">
        <v>1090</v>
      </c>
      <c r="K569" s="28" t="s">
        <v>1153</v>
      </c>
      <c r="L569" s="42" t="s">
        <v>1099</v>
      </c>
      <c r="M569" s="209">
        <v>2030</v>
      </c>
      <c r="N569" s="176" t="s">
        <v>1260</v>
      </c>
      <c r="O569" s="258" t="s">
        <v>1094</v>
      </c>
      <c r="P569" s="238" t="str">
        <f>VLOOKUP(_xlfn.CONCAT(Table3[[#This Row],[Target area]],Table3[[#This Row],[GHG target?]],Table3[[#This Row],[Conditionality]]),'Drop down'!$E$81:$F$101,2,FALSE)</f>
        <v>T_Economy_Unc</v>
      </c>
      <c r="Q569" s="239" t="str">
        <f>VLOOKUP(Table3[[#This Row],[Target type]],Table418[[Value name]:[Value idenifyer]],2,FALSE)</f>
        <v>T_BYE</v>
      </c>
      <c r="T569" s="234" t="s">
        <v>1113</v>
      </c>
      <c r="V569" s="233" t="str">
        <f>VLOOKUP(Table3[[#This Row],[Country Code]],Table29[],3,FALSE)</f>
        <v>Annex I</v>
      </c>
      <c r="W569" s="233" t="str">
        <f>VLOOKUP(Table3[[#This Row],[Country Code]],Table29[],4,FALSE)</f>
        <v>Oceania</v>
      </c>
      <c r="X569" s="233" t="str">
        <f>VLOOKUP(Table3[[#This Row],[Country Code]],Table29[],5,FALSE)</f>
        <v>High-income</v>
      </c>
      <c r="Y569" s="233" t="str">
        <f>VLOOKUP(Table3[[#This Row],[Country Code]],Table29[],6,FALSE)</f>
        <v>no</v>
      </c>
      <c r="Z569" s="233" t="str">
        <f>VLOOKUP(Table3[[#This Row],[Country Code]],Table29[],7,FALSE)</f>
        <v>no</v>
      </c>
      <c r="AA569" s="233" t="str">
        <f>VLOOKUP(Table3[[#This Row],[Country Code]],Table29[],8,FALSE)</f>
        <v>OECD</v>
      </c>
      <c r="AB569" s="233" t="str">
        <f>VLOOKUP(Table3[[#This Row],[Country Code]],Table29[],9,FALSE)</f>
        <v>no</v>
      </c>
      <c r="AC569" s="233" t="str">
        <f>VLOOKUP(Table3[[#This Row],[Country Code]],Table29[],10,FALSE)</f>
        <v>no</v>
      </c>
      <c r="AD569" s="235">
        <f>VLOOKUP(Table3[[#This Row],[Country Code]],Table29[],23,FALSE)</f>
        <v>84.209811532415003</v>
      </c>
      <c r="AE569" s="235">
        <f>VLOOKUP(Table3[[#This Row],[Country Code]],Table29[],24,FALSE)</f>
        <v>16.240725424217811</v>
      </c>
      <c r="AF569" s="43"/>
    </row>
    <row r="570" spans="1:32" ht="30" x14ac:dyDescent="0.25">
      <c r="A570" s="360">
        <v>17682</v>
      </c>
      <c r="B570" s="233" t="str">
        <f>VLOOKUP(Table3[[#This Row],[Document ID]],Table1[],2,FALSE)</f>
        <v>NIC</v>
      </c>
      <c r="C570" s="233" t="str">
        <f>VLOOKUP(Table3[[#This Row],[Document ID]],Table1[],3,FALSE)</f>
        <v>Nicaragua</v>
      </c>
      <c r="D570" s="233" t="str">
        <f>VLOOKUP(Table3[[#This Row],[Document ID]],Table1[],5,FALSE)</f>
        <v>NDC</v>
      </c>
      <c r="E570" s="233" t="str">
        <f>VLOOKUP(Table3[[#This Row],[Document ID]],Table1[],7,FALSE)</f>
        <v>First NDC updated</v>
      </c>
      <c r="F570" s="233" t="str">
        <f>VLOOKUP(Table3[[#This Row],[Document ID]],Table1[],8,FALSE)</f>
        <v>NDC 1.1</v>
      </c>
      <c r="G570" s="233" t="str">
        <f>VLOOKUP(Table3[[#This Row],[Document ID]],Table1[],10,FALSE)</f>
        <v>Active</v>
      </c>
      <c r="H570" s="43" t="s">
        <v>1114</v>
      </c>
      <c r="I570" s="43" t="s">
        <v>1115</v>
      </c>
      <c r="J570" s="42" t="s">
        <v>1097</v>
      </c>
      <c r="K570" s="28" t="s">
        <v>1118</v>
      </c>
      <c r="L570" s="43" t="s">
        <v>1116</v>
      </c>
      <c r="M570" s="209">
        <v>2030</v>
      </c>
      <c r="N570" s="44" t="s">
        <v>1687</v>
      </c>
      <c r="O570" s="221">
        <v>56</v>
      </c>
      <c r="P570" s="238" t="str">
        <f>VLOOKUP(_xlfn.CONCAT(Table3[[#This Row],[Target area]],Table3[[#This Row],[GHG target?]],Table3[[#This Row],[Conditionality]]),'Drop down'!$E$81:$F$101,2,FALSE)</f>
        <v>T_Energy_O</v>
      </c>
      <c r="Q570" s="239" t="str">
        <f>VLOOKUP(Table3[[#This Row],[Target type]],Table418[[Value name]:[Value idenifyer]],2,FALSE)</f>
        <v>T_E_REN</v>
      </c>
      <c r="V570" s="233" t="str">
        <f>VLOOKUP(Table3[[#This Row],[Country Code]],Table29[],3,FALSE)</f>
        <v>Non-Annex I</v>
      </c>
      <c r="W570" s="233" t="str">
        <f>VLOOKUP(Table3[[#This Row],[Country Code]],Table29[],4,FALSE)</f>
        <v>Latin America and the Caribbean</v>
      </c>
      <c r="X570" s="233" t="str">
        <f>VLOOKUP(Table3[[#This Row],[Country Code]],Table29[],5,FALSE)</f>
        <v>Middle-income</v>
      </c>
      <c r="Y570" s="233" t="str">
        <f>VLOOKUP(Table3[[#This Row],[Country Code]],Table29[],6,FALSE)</f>
        <v>no</v>
      </c>
      <c r="Z570" s="233" t="str">
        <f>VLOOKUP(Table3[[#This Row],[Country Code]],Table29[],7,FALSE)</f>
        <v>no</v>
      </c>
      <c r="AA570" s="233" t="str">
        <f>VLOOKUP(Table3[[#This Row],[Country Code]],Table29[],8,FALSE)</f>
        <v>non-OECD</v>
      </c>
      <c r="AB570" s="233" t="str">
        <f>VLOOKUP(Table3[[#This Row],[Country Code]],Table29[],9,FALSE)</f>
        <v>no</v>
      </c>
      <c r="AC570" s="233" t="str">
        <f>VLOOKUP(Table3[[#This Row],[Country Code]],Table29[],10,FALSE)</f>
        <v>no</v>
      </c>
      <c r="AD570" s="235">
        <f>VLOOKUP(Table3[[#This Row],[Country Code]],Table29[],23,FALSE)</f>
        <v>20.628271187746002</v>
      </c>
      <c r="AE570" s="235">
        <f>VLOOKUP(Table3[[#This Row],[Country Code]],Table29[],24,FALSE)</f>
        <v>2.7684154135495191</v>
      </c>
      <c r="AF570" s="43"/>
    </row>
    <row r="571" spans="1:32" ht="30" x14ac:dyDescent="0.25">
      <c r="A571" s="360">
        <v>24790</v>
      </c>
      <c r="B571" s="233" t="str">
        <f>VLOOKUP(Table3[[#This Row],[Document ID]],Table1[],2,FALSE)</f>
        <v>NER</v>
      </c>
      <c r="C571" s="233" t="str">
        <f>VLOOKUP(Table3[[#This Row],[Document ID]],Table1[],3,FALSE)</f>
        <v>Niger</v>
      </c>
      <c r="D571" s="233" t="str">
        <f>VLOOKUP(Table3[[#This Row],[Document ID]],Table1[],5,FALSE)</f>
        <v>NDC</v>
      </c>
      <c r="E571" s="233" t="str">
        <f>VLOOKUP(Table3[[#This Row],[Document ID]],Table1[],7,FALSE)</f>
        <v>First NDC updated</v>
      </c>
      <c r="F571" s="233" t="str">
        <f>VLOOKUP(Table3[[#This Row],[Document ID]],Table1[],8,FALSE)</f>
        <v>NDC 1.1</v>
      </c>
      <c r="G571" s="233" t="str">
        <f>VLOOKUP(Table3[[#This Row],[Document ID]],Table1[],10,FALSE)</f>
        <v>Active</v>
      </c>
      <c r="H571" s="216" t="s">
        <v>1089</v>
      </c>
      <c r="I571" s="216" t="s">
        <v>1089</v>
      </c>
      <c r="J571" s="43" t="s">
        <v>1090</v>
      </c>
      <c r="K571" s="28" t="s">
        <v>1091</v>
      </c>
      <c r="L571" s="42" t="s">
        <v>1099</v>
      </c>
      <c r="M571" s="209">
        <v>2030</v>
      </c>
      <c r="N571" s="209" t="s">
        <v>1688</v>
      </c>
      <c r="O571" s="257">
        <v>4</v>
      </c>
      <c r="P571" s="238" t="str">
        <f>VLOOKUP(_xlfn.CONCAT(Table3[[#This Row],[Target area]],Table3[[#This Row],[GHG target?]],Table3[[#This Row],[Conditionality]]),'Drop down'!$E$81:$F$101,2,FALSE)</f>
        <v>T_Economy_Unc</v>
      </c>
      <c r="Q571" s="239" t="str">
        <f>VLOOKUP(Table3[[#This Row],[Target type]],Table418[[Value name]:[Value idenifyer]],2,FALSE)</f>
        <v>T_BAU</v>
      </c>
      <c r="S571" s="233" t="s">
        <v>1101</v>
      </c>
      <c r="T571" s="240"/>
      <c r="V571" s="233" t="str">
        <f>VLOOKUP(Table3[[#This Row],[Country Code]],Table29[],3,FALSE)</f>
        <v>Non-Annex I</v>
      </c>
      <c r="W571" s="233" t="str">
        <f>VLOOKUP(Table3[[#This Row],[Country Code]],Table29[],4,FALSE)</f>
        <v>Africa</v>
      </c>
      <c r="X571" s="233" t="str">
        <f>VLOOKUP(Table3[[#This Row],[Country Code]],Table29[],5,FALSE)</f>
        <v>Low-income</v>
      </c>
      <c r="Y571" s="233" t="str">
        <f>VLOOKUP(Table3[[#This Row],[Country Code]],Table29[],6,FALSE)</f>
        <v>no</v>
      </c>
      <c r="Z571" s="233" t="str">
        <f>VLOOKUP(Table3[[#This Row],[Country Code]],Table29[],7,FALSE)</f>
        <v>no</v>
      </c>
      <c r="AA571" s="233" t="str">
        <f>VLOOKUP(Table3[[#This Row],[Country Code]],Table29[],8,FALSE)</f>
        <v>non-OECD</v>
      </c>
      <c r="AB571" s="233" t="str">
        <f>VLOOKUP(Table3[[#This Row],[Country Code]],Table29[],9,FALSE)</f>
        <v>no</v>
      </c>
      <c r="AC571" s="233" t="str">
        <f>VLOOKUP(Table3[[#This Row],[Country Code]],Table29[],10,FALSE)</f>
        <v>no</v>
      </c>
      <c r="AD571" s="235">
        <f>VLOOKUP(Table3[[#This Row],[Country Code]],Table29[],23,FALSE)</f>
        <v>42.334092053638997</v>
      </c>
      <c r="AE571" s="235">
        <f>VLOOKUP(Table3[[#This Row],[Country Code]],Table29[],24,FALSE)</f>
        <v>1.2904826169822099</v>
      </c>
      <c r="AF571" s="43"/>
    </row>
    <row r="572" spans="1:32" ht="30" x14ac:dyDescent="0.25">
      <c r="A572" s="360">
        <v>24790</v>
      </c>
      <c r="B572" s="233" t="str">
        <f>VLOOKUP(Table3[[#This Row],[Document ID]],Table1[],2,FALSE)</f>
        <v>NER</v>
      </c>
      <c r="C572" s="233" t="str">
        <f>VLOOKUP(Table3[[#This Row],[Document ID]],Table1[],3,FALSE)</f>
        <v>Niger</v>
      </c>
      <c r="D572" s="233" t="str">
        <f>VLOOKUP(Table3[[#This Row],[Document ID]],Table1[],5,FALSE)</f>
        <v>NDC</v>
      </c>
      <c r="E572" s="233" t="str">
        <f>VLOOKUP(Table3[[#This Row],[Document ID]],Table1[],7,FALSE)</f>
        <v>First NDC updated</v>
      </c>
      <c r="F572" s="233" t="str">
        <f>VLOOKUP(Table3[[#This Row],[Document ID]],Table1[],8,FALSE)</f>
        <v>NDC 1.1</v>
      </c>
      <c r="G572" s="233" t="str">
        <f>VLOOKUP(Table3[[#This Row],[Document ID]],Table1[],10,FALSE)</f>
        <v>Active</v>
      </c>
      <c r="H572" s="216" t="s">
        <v>1089</v>
      </c>
      <c r="I572" s="216" t="s">
        <v>1089</v>
      </c>
      <c r="J572" s="43" t="s">
        <v>1090</v>
      </c>
      <c r="K572" s="28" t="s">
        <v>1091</v>
      </c>
      <c r="L572" s="216" t="s">
        <v>1092</v>
      </c>
      <c r="M572" s="209">
        <v>2030</v>
      </c>
      <c r="N572" s="209" t="s">
        <v>1689</v>
      </c>
      <c r="O572" s="257"/>
      <c r="P572" s="238" t="str">
        <f>VLOOKUP(_xlfn.CONCAT(Table3[[#This Row],[Target area]],Table3[[#This Row],[GHG target?]],Table3[[#This Row],[Conditionality]]),'Drop down'!$E$81:$F$101,2,FALSE)</f>
        <v>T_Economy_C</v>
      </c>
      <c r="Q572" s="239" t="str">
        <f>VLOOKUP(Table3[[#This Row],[Target type]],Table418[[Value name]:[Value idenifyer]],2,FALSE)</f>
        <v>T_BAU</v>
      </c>
      <c r="S572" s="233" t="s">
        <v>1101</v>
      </c>
      <c r="T572" s="240"/>
      <c r="V572" s="233" t="str">
        <f>VLOOKUP(Table3[[#This Row],[Country Code]],Table29[],3,FALSE)</f>
        <v>Non-Annex I</v>
      </c>
      <c r="W572" s="233" t="str">
        <f>VLOOKUP(Table3[[#This Row],[Country Code]],Table29[],4,FALSE)</f>
        <v>Africa</v>
      </c>
      <c r="X572" s="233" t="str">
        <f>VLOOKUP(Table3[[#This Row],[Country Code]],Table29[],5,FALSE)</f>
        <v>Low-income</v>
      </c>
      <c r="Y572" s="233" t="str">
        <f>VLOOKUP(Table3[[#This Row],[Country Code]],Table29[],6,FALSE)</f>
        <v>no</v>
      </c>
      <c r="Z572" s="233" t="str">
        <f>VLOOKUP(Table3[[#This Row],[Country Code]],Table29[],7,FALSE)</f>
        <v>no</v>
      </c>
      <c r="AA572" s="233" t="str">
        <f>VLOOKUP(Table3[[#This Row],[Country Code]],Table29[],8,FALSE)</f>
        <v>non-OECD</v>
      </c>
      <c r="AB572" s="233" t="str">
        <f>VLOOKUP(Table3[[#This Row],[Country Code]],Table29[],9,FALSE)</f>
        <v>no</v>
      </c>
      <c r="AC572" s="233" t="str">
        <f>VLOOKUP(Table3[[#This Row],[Country Code]],Table29[],10,FALSE)</f>
        <v>no</v>
      </c>
      <c r="AD572" s="235">
        <f>VLOOKUP(Table3[[#This Row],[Country Code]],Table29[],23,FALSE)</f>
        <v>42.334092053638997</v>
      </c>
      <c r="AE572" s="235">
        <f>VLOOKUP(Table3[[#This Row],[Country Code]],Table29[],24,FALSE)</f>
        <v>1.2904826169822099</v>
      </c>
      <c r="AF572" s="43"/>
    </row>
    <row r="573" spans="1:32" ht="30" x14ac:dyDescent="0.25">
      <c r="A573" s="360">
        <v>17626</v>
      </c>
      <c r="B573" s="233" t="str">
        <f>VLOOKUP(Table3[[#This Row],[Document ID]],Table1[],2,FALSE)</f>
        <v>JPN</v>
      </c>
      <c r="C573" s="233" t="str">
        <f>VLOOKUP(Table3[[#This Row],[Document ID]],Table1[],3,FALSE)</f>
        <v>Japan</v>
      </c>
      <c r="D573" s="233" t="str">
        <f>VLOOKUP(Table3[[#This Row],[Document ID]],Table1[],5,FALSE)</f>
        <v>NDC</v>
      </c>
      <c r="E573" s="233" t="str">
        <f>VLOOKUP(Table3[[#This Row],[Document ID]],Table1[],7,FALSE)</f>
        <v>First NDC</v>
      </c>
      <c r="F573" s="233" t="str">
        <f>VLOOKUP(Table3[[#This Row],[Document ID]],Table1[],8,FALSE)</f>
        <v>NDC 1.0</v>
      </c>
      <c r="G573" s="233" t="str">
        <f>VLOOKUP(Table3[[#This Row],[Document ID]],Table1[],10,FALSE)</f>
        <v>Archived</v>
      </c>
      <c r="H573" s="42" t="s">
        <v>1095</v>
      </c>
      <c r="I573" s="43" t="s">
        <v>1115</v>
      </c>
      <c r="J573" s="43" t="s">
        <v>1090</v>
      </c>
      <c r="K573" s="28" t="s">
        <v>1153</v>
      </c>
      <c r="L573" s="42" t="s">
        <v>1099</v>
      </c>
      <c r="M573" s="209">
        <v>2030</v>
      </c>
      <c r="N573" s="44" t="s">
        <v>1690</v>
      </c>
      <c r="O573" s="221">
        <v>4</v>
      </c>
      <c r="P573" s="238" t="str">
        <f>VLOOKUP(_xlfn.CONCAT(Table3[[#This Row],[Target area]],Table3[[#This Row],[GHG target?]],Table3[[#This Row],[Conditionality]]),'Drop down'!$E$81:$F$101,2,FALSE)</f>
        <v>T_Transport_Unc</v>
      </c>
      <c r="Q573" s="239" t="str">
        <f>VLOOKUP(Table3[[#This Row],[Target type]],Table418[[Value name]:[Value idenifyer]],2,FALSE)</f>
        <v>T_BYE</v>
      </c>
      <c r="R573" s="233" t="s">
        <v>526</v>
      </c>
      <c r="S573" s="233" t="s">
        <v>1112</v>
      </c>
      <c r="T573" s="234" t="s">
        <v>1113</v>
      </c>
      <c r="U573" s="242" t="s">
        <v>1402</v>
      </c>
      <c r="V573" s="233" t="str">
        <f>VLOOKUP(Table3[[#This Row],[Country Code]],Table29[],3,FALSE)</f>
        <v>Annex I</v>
      </c>
      <c r="W573" s="233" t="str">
        <f>VLOOKUP(Table3[[#This Row],[Country Code]],Table29[],4,FALSE)</f>
        <v>Asia</v>
      </c>
      <c r="X573" s="233" t="str">
        <f>VLOOKUP(Table3[[#This Row],[Country Code]],Table29[],5,FALSE)</f>
        <v>High-income</v>
      </c>
      <c r="Y573" s="233" t="str">
        <f>VLOOKUP(Table3[[#This Row],[Country Code]],Table29[],6,FALSE)</f>
        <v>G20</v>
      </c>
      <c r="Z573" s="233" t="str">
        <f>VLOOKUP(Table3[[#This Row],[Country Code]],Table29[],7,FALSE)</f>
        <v>G7</v>
      </c>
      <c r="AA573" s="233" t="str">
        <f>VLOOKUP(Table3[[#This Row],[Country Code]],Table29[],8,FALSE)</f>
        <v>OECD</v>
      </c>
      <c r="AB573" s="233" t="str">
        <f>VLOOKUP(Table3[[#This Row],[Country Code]],Table29[],9,FALSE)</f>
        <v>no</v>
      </c>
      <c r="AC573" s="233" t="str">
        <f>VLOOKUP(Table3[[#This Row],[Country Code]],Table29[],10,FALSE)</f>
        <v>no</v>
      </c>
      <c r="AD573" s="235">
        <f>VLOOKUP(Table3[[#This Row],[Country Code]],Table29[],23,FALSE)</f>
        <v>1041.0128248686999</v>
      </c>
      <c r="AE573" s="235">
        <f>VLOOKUP(Table3[[#This Row],[Country Code]],Table29[],24,FALSE)</f>
        <v>181.96191357547141</v>
      </c>
      <c r="AF573" s="43"/>
    </row>
    <row r="574" spans="1:32" x14ac:dyDescent="0.25">
      <c r="A574" s="360">
        <v>17628</v>
      </c>
      <c r="B574" s="233" t="str">
        <f>VLOOKUP(Table3[[#This Row],[Document ID]],Table1[],2,FALSE)</f>
        <v>JPN</v>
      </c>
      <c r="C574" s="233" t="str">
        <f>VLOOKUP(Table3[[#This Row],[Document ID]],Table1[],3,FALSE)</f>
        <v>Japan</v>
      </c>
      <c r="D574" s="233" t="str">
        <f>VLOOKUP(Table3[[#This Row],[Document ID]],Table1[],5,FALSE)</f>
        <v>NDC</v>
      </c>
      <c r="E574" s="233" t="str">
        <f>VLOOKUP(Table3[[#This Row],[Document ID]],Table1[],7,FALSE)</f>
        <v>First NDC updated</v>
      </c>
      <c r="F574" s="233" t="str">
        <f>VLOOKUP(Table3[[#This Row],[Document ID]],Table1[],8,FALSE)</f>
        <v>NDC 1.1</v>
      </c>
      <c r="G574" s="233" t="str">
        <f>VLOOKUP(Table3[[#This Row],[Document ID]],Table1[],10,FALSE)</f>
        <v>Archived</v>
      </c>
      <c r="H574" s="42" t="s">
        <v>1095</v>
      </c>
      <c r="I574" s="43" t="s">
        <v>1115</v>
      </c>
      <c r="J574" s="43" t="s">
        <v>1090</v>
      </c>
      <c r="K574" s="28" t="s">
        <v>1121</v>
      </c>
      <c r="L574" s="42" t="s">
        <v>1099</v>
      </c>
      <c r="M574" s="209">
        <v>2030</v>
      </c>
      <c r="N574" s="209" t="s">
        <v>1691</v>
      </c>
      <c r="O574" s="257">
        <v>1</v>
      </c>
      <c r="P574" s="238" t="str">
        <f>VLOOKUP(_xlfn.CONCAT(Table3[[#This Row],[Target area]],Table3[[#This Row],[GHG target?]],Table3[[#This Row],[Conditionality]]),'Drop down'!$E$81:$F$101,2,FALSE)</f>
        <v>T_Transport_Unc</v>
      </c>
      <c r="Q574" s="239" t="str">
        <f>VLOOKUP(Table3[[#This Row],[Target type]],Table418[[Value name]:[Value idenifyer]],2,FALSE)</f>
        <v>T_FL</v>
      </c>
      <c r="R574" s="233" t="s">
        <v>526</v>
      </c>
      <c r="S574" s="233" t="s">
        <v>1112</v>
      </c>
      <c r="T574" s="240" t="s">
        <v>1113</v>
      </c>
      <c r="U574" s="242" t="s">
        <v>1402</v>
      </c>
      <c r="V574" s="233" t="str">
        <f>VLOOKUP(Table3[[#This Row],[Country Code]],Table29[],3,FALSE)</f>
        <v>Annex I</v>
      </c>
      <c r="W574" s="233" t="str">
        <f>VLOOKUP(Table3[[#This Row],[Country Code]],Table29[],4,FALSE)</f>
        <v>Asia</v>
      </c>
      <c r="X574" s="233" t="str">
        <f>VLOOKUP(Table3[[#This Row],[Country Code]],Table29[],5,FALSE)</f>
        <v>High-income</v>
      </c>
      <c r="Y574" s="233" t="str">
        <f>VLOOKUP(Table3[[#This Row],[Country Code]],Table29[],6,FALSE)</f>
        <v>G20</v>
      </c>
      <c r="Z574" s="233" t="str">
        <f>VLOOKUP(Table3[[#This Row],[Country Code]],Table29[],7,FALSE)</f>
        <v>G7</v>
      </c>
      <c r="AA574" s="233" t="str">
        <f>VLOOKUP(Table3[[#This Row],[Country Code]],Table29[],8,FALSE)</f>
        <v>OECD</v>
      </c>
      <c r="AB574" s="233" t="str">
        <f>VLOOKUP(Table3[[#This Row],[Country Code]],Table29[],9,FALSE)</f>
        <v>no</v>
      </c>
      <c r="AC574" s="233" t="str">
        <f>VLOOKUP(Table3[[#This Row],[Country Code]],Table29[],10,FALSE)</f>
        <v>no</v>
      </c>
      <c r="AD574" s="235">
        <f>VLOOKUP(Table3[[#This Row],[Country Code]],Table29[],23,FALSE)</f>
        <v>1041.0128248686999</v>
      </c>
      <c r="AE574" s="235">
        <f>VLOOKUP(Table3[[#This Row],[Country Code]],Table29[],24,FALSE)</f>
        <v>181.96191357547141</v>
      </c>
      <c r="AF574" s="43"/>
    </row>
    <row r="575" spans="1:32" x14ac:dyDescent="0.25">
      <c r="A575" s="360">
        <v>32530</v>
      </c>
      <c r="B575" s="233" t="str">
        <f>VLOOKUP(Table3[[#This Row],[Document ID]],Table1[],2,FALSE)</f>
        <v>JPN</v>
      </c>
      <c r="C575" s="233" t="str">
        <f>VLOOKUP(Table3[[#This Row],[Document ID]],Table1[],3,FALSE)</f>
        <v>Japan</v>
      </c>
      <c r="D575" s="233" t="str">
        <f>VLOOKUP(Table3[[#This Row],[Document ID]],Table1[],5,FALSE)</f>
        <v>NDC</v>
      </c>
      <c r="E575" s="233" t="str">
        <f>VLOOKUP(Table3[[#This Row],[Document ID]],Table1[],7,FALSE)</f>
        <v>First NDC updated</v>
      </c>
      <c r="F575" s="233" t="str">
        <f>VLOOKUP(Table3[[#This Row],[Document ID]],Table1[],8,FALSE)</f>
        <v>NDC 1.3</v>
      </c>
      <c r="G575" s="233" t="str">
        <f>VLOOKUP(Table3[[#This Row],[Document ID]],Table1[],10,FALSE)</f>
        <v>Archived</v>
      </c>
      <c r="H575" s="42" t="s">
        <v>1095</v>
      </c>
      <c r="I575" s="43" t="s">
        <v>1115</v>
      </c>
      <c r="J575" s="43" t="s">
        <v>1090</v>
      </c>
      <c r="K575" s="28" t="s">
        <v>1121</v>
      </c>
      <c r="L575" s="42" t="s">
        <v>1099</v>
      </c>
      <c r="M575" s="209">
        <v>2030</v>
      </c>
      <c r="N575" s="209" t="s">
        <v>1692</v>
      </c>
      <c r="O575" s="257">
        <v>1</v>
      </c>
      <c r="P575" s="238" t="str">
        <f>VLOOKUP(_xlfn.CONCAT(Table3[[#This Row],[Target area]],Table3[[#This Row],[GHG target?]],Table3[[#This Row],[Conditionality]]),'Drop down'!$E$81:$F$101,2,FALSE)</f>
        <v>T_Transport_Unc</v>
      </c>
      <c r="Q575" s="239" t="str">
        <f>VLOOKUP(Table3[[#This Row],[Target type]],Table418[[Value name]:[Value idenifyer]],2,FALSE)</f>
        <v>T_FL</v>
      </c>
      <c r="R575" s="233" t="s">
        <v>526</v>
      </c>
      <c r="S575" s="233" t="s">
        <v>1112</v>
      </c>
      <c r="T575" s="234" t="s">
        <v>1113</v>
      </c>
      <c r="U575" s="242" t="s">
        <v>1402</v>
      </c>
      <c r="V575" s="233" t="str">
        <f>VLOOKUP(Table3[[#This Row],[Country Code]],Table29[],3,FALSE)</f>
        <v>Annex I</v>
      </c>
      <c r="W575" s="233" t="str">
        <f>VLOOKUP(Table3[[#This Row],[Country Code]],Table29[],4,FALSE)</f>
        <v>Asia</v>
      </c>
      <c r="X575" s="233" t="str">
        <f>VLOOKUP(Table3[[#This Row],[Country Code]],Table29[],5,FALSE)</f>
        <v>High-income</v>
      </c>
      <c r="Y575" s="233" t="str">
        <f>VLOOKUP(Table3[[#This Row],[Country Code]],Table29[],6,FALSE)</f>
        <v>G20</v>
      </c>
      <c r="Z575" s="233" t="str">
        <f>VLOOKUP(Table3[[#This Row],[Country Code]],Table29[],7,FALSE)</f>
        <v>G7</v>
      </c>
      <c r="AA575" s="233" t="str">
        <f>VLOOKUP(Table3[[#This Row],[Country Code]],Table29[],8,FALSE)</f>
        <v>OECD</v>
      </c>
      <c r="AB575" s="233" t="str">
        <f>VLOOKUP(Table3[[#This Row],[Country Code]],Table29[],9,FALSE)</f>
        <v>no</v>
      </c>
      <c r="AC575" s="233" t="str">
        <f>VLOOKUP(Table3[[#This Row],[Country Code]],Table29[],10,FALSE)</f>
        <v>no</v>
      </c>
      <c r="AD575" s="235">
        <f>VLOOKUP(Table3[[#This Row],[Country Code]],Table29[],23,FALSE)</f>
        <v>1041.0128248686999</v>
      </c>
      <c r="AE575" s="235">
        <f>VLOOKUP(Table3[[#This Row],[Country Code]],Table29[],24,FALSE)</f>
        <v>181.96191357547141</v>
      </c>
      <c r="AF575" s="43"/>
    </row>
    <row r="576" spans="1:32" x14ac:dyDescent="0.25">
      <c r="A576" s="360">
        <v>17683</v>
      </c>
      <c r="B576" s="233" t="str">
        <f>VLOOKUP(Table3[[#This Row],[Document ID]],Table1[],2,FALSE)</f>
        <v>NER</v>
      </c>
      <c r="C576" s="233" t="str">
        <f>VLOOKUP(Table3[[#This Row],[Document ID]],Table1[],3,FALSE)</f>
        <v>Niger</v>
      </c>
      <c r="D576" s="233" t="str">
        <f>VLOOKUP(Table3[[#This Row],[Document ID]],Table1[],5,FALSE)</f>
        <v>NDC</v>
      </c>
      <c r="E576" s="233" t="str">
        <f>VLOOKUP(Table3[[#This Row],[Document ID]],Table1[],7,FALSE)</f>
        <v>First NDC</v>
      </c>
      <c r="F576" s="233" t="str">
        <f>VLOOKUP(Table3[[#This Row],[Document ID]],Table1[],8,FALSE)</f>
        <v>NDC 1.0</v>
      </c>
      <c r="G576" s="233" t="str">
        <f>VLOOKUP(Table3[[#This Row],[Document ID]],Table1[],10,FALSE)</f>
        <v>Archived</v>
      </c>
      <c r="H576" s="216" t="s">
        <v>1089</v>
      </c>
      <c r="I576" s="216" t="s">
        <v>1089</v>
      </c>
      <c r="J576" s="43" t="s">
        <v>1090</v>
      </c>
      <c r="K576" s="28" t="s">
        <v>1091</v>
      </c>
      <c r="L576" s="42" t="s">
        <v>1099</v>
      </c>
      <c r="M576" s="209">
        <v>2030</v>
      </c>
      <c r="N576" s="176" t="s">
        <v>1198</v>
      </c>
      <c r="O576" s="258" t="s">
        <v>1094</v>
      </c>
      <c r="P576" s="238" t="str">
        <f>VLOOKUP(_xlfn.CONCAT(Table3[[#This Row],[Target area]],Table3[[#This Row],[GHG target?]],Table3[[#This Row],[Conditionality]]),'Drop down'!$E$81:$F$101,2,FALSE)</f>
        <v>T_Economy_Unc</v>
      </c>
      <c r="Q576" s="239" t="str">
        <f>VLOOKUP(Table3[[#This Row],[Target type]],Table418[[Value name]:[Value idenifyer]],2,FALSE)</f>
        <v>T_BAU</v>
      </c>
      <c r="T576" s="240"/>
      <c r="V576" s="233" t="str">
        <f>VLOOKUP(Table3[[#This Row],[Country Code]],Table29[],3,FALSE)</f>
        <v>Non-Annex I</v>
      </c>
      <c r="W576" s="233" t="str">
        <f>VLOOKUP(Table3[[#This Row],[Country Code]],Table29[],4,FALSE)</f>
        <v>Africa</v>
      </c>
      <c r="X576" s="233" t="str">
        <f>VLOOKUP(Table3[[#This Row],[Country Code]],Table29[],5,FALSE)</f>
        <v>Low-income</v>
      </c>
      <c r="Y576" s="233" t="str">
        <f>VLOOKUP(Table3[[#This Row],[Country Code]],Table29[],6,FALSE)</f>
        <v>no</v>
      </c>
      <c r="Z576" s="233" t="str">
        <f>VLOOKUP(Table3[[#This Row],[Country Code]],Table29[],7,FALSE)</f>
        <v>no</v>
      </c>
      <c r="AA576" s="233" t="str">
        <f>VLOOKUP(Table3[[#This Row],[Country Code]],Table29[],8,FALSE)</f>
        <v>non-OECD</v>
      </c>
      <c r="AB576" s="233" t="str">
        <f>VLOOKUP(Table3[[#This Row],[Country Code]],Table29[],9,FALSE)</f>
        <v>no</v>
      </c>
      <c r="AC576" s="233" t="str">
        <f>VLOOKUP(Table3[[#This Row],[Country Code]],Table29[],10,FALSE)</f>
        <v>no</v>
      </c>
      <c r="AD576" s="235">
        <f>VLOOKUP(Table3[[#This Row],[Country Code]],Table29[],23,FALSE)</f>
        <v>42.334092053638997</v>
      </c>
      <c r="AE576" s="235">
        <f>VLOOKUP(Table3[[#This Row],[Country Code]],Table29[],24,FALSE)</f>
        <v>1.2904826169822099</v>
      </c>
      <c r="AF576" s="43"/>
    </row>
    <row r="577" spans="1:32" x14ac:dyDescent="0.25">
      <c r="A577" s="360">
        <v>17683</v>
      </c>
      <c r="B577" s="233" t="str">
        <f>VLOOKUP(Table3[[#This Row],[Document ID]],Table1[],2,FALSE)</f>
        <v>NER</v>
      </c>
      <c r="C577" s="233" t="str">
        <f>VLOOKUP(Table3[[#This Row],[Document ID]],Table1[],3,FALSE)</f>
        <v>Niger</v>
      </c>
      <c r="D577" s="233" t="str">
        <f>VLOOKUP(Table3[[#This Row],[Document ID]],Table1[],5,FALSE)</f>
        <v>NDC</v>
      </c>
      <c r="E577" s="233" t="str">
        <f>VLOOKUP(Table3[[#This Row],[Document ID]],Table1[],7,FALSE)</f>
        <v>First NDC</v>
      </c>
      <c r="F577" s="233" t="str">
        <f>VLOOKUP(Table3[[#This Row],[Document ID]],Table1[],8,FALSE)</f>
        <v>NDC 1.0</v>
      </c>
      <c r="G577" s="233" t="str">
        <f>VLOOKUP(Table3[[#This Row],[Document ID]],Table1[],10,FALSE)</f>
        <v>Archived</v>
      </c>
      <c r="H577" s="216" t="s">
        <v>1089</v>
      </c>
      <c r="I577" s="216" t="s">
        <v>1089</v>
      </c>
      <c r="J577" s="43" t="s">
        <v>1090</v>
      </c>
      <c r="K577" s="28" t="s">
        <v>1091</v>
      </c>
      <c r="L577" s="216" t="s">
        <v>1092</v>
      </c>
      <c r="M577" s="209">
        <v>2030</v>
      </c>
      <c r="N577" s="176" t="s">
        <v>1693</v>
      </c>
      <c r="O577" s="258" t="s">
        <v>1094</v>
      </c>
      <c r="P577" s="238" t="str">
        <f>VLOOKUP(_xlfn.CONCAT(Table3[[#This Row],[Target area]],Table3[[#This Row],[GHG target?]],Table3[[#This Row],[Conditionality]]),'Drop down'!$E$81:$F$101,2,FALSE)</f>
        <v>T_Economy_C</v>
      </c>
      <c r="Q577" s="239" t="str">
        <f>VLOOKUP(Table3[[#This Row],[Target type]],Table418[[Value name]:[Value idenifyer]],2,FALSE)</f>
        <v>T_BAU</v>
      </c>
      <c r="T577" s="240"/>
      <c r="V577" s="233" t="str">
        <f>VLOOKUP(Table3[[#This Row],[Country Code]],Table29[],3,FALSE)</f>
        <v>Non-Annex I</v>
      </c>
      <c r="W577" s="233" t="str">
        <f>VLOOKUP(Table3[[#This Row],[Country Code]],Table29[],4,FALSE)</f>
        <v>Africa</v>
      </c>
      <c r="X577" s="233" t="str">
        <f>VLOOKUP(Table3[[#This Row],[Country Code]],Table29[],5,FALSE)</f>
        <v>Low-income</v>
      </c>
      <c r="Y577" s="233" t="str">
        <f>VLOOKUP(Table3[[#This Row],[Country Code]],Table29[],6,FALSE)</f>
        <v>no</v>
      </c>
      <c r="Z577" s="233" t="str">
        <f>VLOOKUP(Table3[[#This Row],[Country Code]],Table29[],7,FALSE)</f>
        <v>no</v>
      </c>
      <c r="AA577" s="233" t="str">
        <f>VLOOKUP(Table3[[#This Row],[Country Code]],Table29[],8,FALSE)</f>
        <v>non-OECD</v>
      </c>
      <c r="AB577" s="233" t="str">
        <f>VLOOKUP(Table3[[#This Row],[Country Code]],Table29[],9,FALSE)</f>
        <v>no</v>
      </c>
      <c r="AC577" s="233" t="str">
        <f>VLOOKUP(Table3[[#This Row],[Country Code]],Table29[],10,FALSE)</f>
        <v>no</v>
      </c>
      <c r="AD577" s="235">
        <f>VLOOKUP(Table3[[#This Row],[Country Code]],Table29[],23,FALSE)</f>
        <v>42.334092053638997</v>
      </c>
      <c r="AE577" s="235">
        <f>VLOOKUP(Table3[[#This Row],[Country Code]],Table29[],24,FALSE)</f>
        <v>1.2904826169822099</v>
      </c>
      <c r="AF577" s="43"/>
    </row>
    <row r="578" spans="1:32" ht="30" x14ac:dyDescent="0.25">
      <c r="A578" s="360">
        <v>32509</v>
      </c>
      <c r="B578" s="233" t="str">
        <f>VLOOKUP(Table3[[#This Row],[Document ID]],Table1[],2,FALSE)</f>
        <v>NGA</v>
      </c>
      <c r="C578" s="233" t="str">
        <f>VLOOKUP(Table3[[#This Row],[Document ID]],Table1[],3,FALSE)</f>
        <v>Nigeria</v>
      </c>
      <c r="D578" s="233" t="str">
        <f>VLOOKUP(Table3[[#This Row],[Document ID]],Table1[],5,FALSE)</f>
        <v>NDC</v>
      </c>
      <c r="E578" s="233" t="str">
        <f>VLOOKUP(Table3[[#This Row],[Document ID]],Table1[],7,FALSE)</f>
        <v>First NDC updated</v>
      </c>
      <c r="F578" s="233" t="str">
        <f>VLOOKUP(Table3[[#This Row],[Document ID]],Table1[],8,FALSE)</f>
        <v>NDC 1.2</v>
      </c>
      <c r="G578" s="233" t="str">
        <f>VLOOKUP(Table3[[#This Row],[Document ID]],Table1[],10,FALSE)</f>
        <v>Active</v>
      </c>
      <c r="H578" s="216" t="s">
        <v>1089</v>
      </c>
      <c r="I578" s="216" t="s">
        <v>1089</v>
      </c>
      <c r="J578" s="43" t="s">
        <v>1090</v>
      </c>
      <c r="K578" s="28" t="s">
        <v>1121</v>
      </c>
      <c r="L578" s="42" t="s">
        <v>1099</v>
      </c>
      <c r="M578" s="209">
        <v>2030</v>
      </c>
      <c r="N578" s="209" t="s">
        <v>1694</v>
      </c>
      <c r="O578" s="259">
        <v>4</v>
      </c>
      <c r="P578" s="238" t="str">
        <f>VLOOKUP(_xlfn.CONCAT(Table3[[#This Row],[Target area]],Table3[[#This Row],[GHG target?]],Table3[[#This Row],[Conditionality]]),'Drop down'!$E$81:$F$101,2,FALSE)</f>
        <v>T_Economy_Unc</v>
      </c>
      <c r="Q578" s="239" t="str">
        <f>VLOOKUP(Table3[[#This Row],[Target type]],Table418[[Value name]:[Value idenifyer]],2,FALSE)</f>
        <v>T_FL</v>
      </c>
      <c r="S578" s="233" t="s">
        <v>1101</v>
      </c>
      <c r="T578" s="234" t="s">
        <v>1113</v>
      </c>
      <c r="V578" s="233" t="str">
        <f>VLOOKUP(Table3[[#This Row],[Country Code]],Table29[],3,FALSE)</f>
        <v>Non-Annex I</v>
      </c>
      <c r="W578" s="233" t="str">
        <f>VLOOKUP(Table3[[#This Row],[Country Code]],Table29[],4,FALSE)</f>
        <v>Africa</v>
      </c>
      <c r="X578" s="233" t="str">
        <f>VLOOKUP(Table3[[#This Row],[Country Code]],Table29[],5,FALSE)</f>
        <v>Middle-income</v>
      </c>
      <c r="Y578" s="233" t="str">
        <f>VLOOKUP(Table3[[#This Row],[Country Code]],Table29[],6,FALSE)</f>
        <v>no</v>
      </c>
      <c r="Z578" s="233" t="str">
        <f>VLOOKUP(Table3[[#This Row],[Country Code]],Table29[],7,FALSE)</f>
        <v>no</v>
      </c>
      <c r="AA578" s="233" t="str">
        <f>VLOOKUP(Table3[[#This Row],[Country Code]],Table29[],8,FALSE)</f>
        <v>non-OECD</v>
      </c>
      <c r="AB578" s="233" t="str">
        <f>VLOOKUP(Table3[[#This Row],[Country Code]],Table29[],9,FALSE)</f>
        <v>no</v>
      </c>
      <c r="AC578" s="233" t="str">
        <f>VLOOKUP(Table3[[#This Row],[Country Code]],Table29[],10,FALSE)</f>
        <v>no</v>
      </c>
      <c r="AD578" s="235">
        <f>VLOOKUP(Table3[[#This Row],[Country Code]],Table29[],23,FALSE)</f>
        <v>385.11288377147002</v>
      </c>
      <c r="AE578" s="235">
        <f>VLOOKUP(Table3[[#This Row],[Country Code]],Table29[],24,FALSE)</f>
        <v>58.971195919965467</v>
      </c>
      <c r="AF578" s="43"/>
    </row>
    <row r="579" spans="1:32" x14ac:dyDescent="0.25">
      <c r="A579" s="360">
        <v>32509</v>
      </c>
      <c r="B579" s="233" t="str">
        <f>VLOOKUP(Table3[[#This Row],[Document ID]],Table1[],2,FALSE)</f>
        <v>NGA</v>
      </c>
      <c r="C579" s="233" t="str">
        <f>VLOOKUP(Table3[[#This Row],[Document ID]],Table1[],3,FALSE)</f>
        <v>Nigeria</v>
      </c>
      <c r="D579" s="233" t="str">
        <f>VLOOKUP(Table3[[#This Row],[Document ID]],Table1[],5,FALSE)</f>
        <v>NDC</v>
      </c>
      <c r="E579" s="233" t="str">
        <f>VLOOKUP(Table3[[#This Row],[Document ID]],Table1[],7,FALSE)</f>
        <v>First NDC updated</v>
      </c>
      <c r="F579" s="233" t="str">
        <f>VLOOKUP(Table3[[#This Row],[Document ID]],Table1[],8,FALSE)</f>
        <v>NDC 1.2</v>
      </c>
      <c r="G579" s="233" t="str">
        <f>VLOOKUP(Table3[[#This Row],[Document ID]],Table1[],10,FALSE)</f>
        <v>Active</v>
      </c>
      <c r="H579" s="216" t="s">
        <v>1089</v>
      </c>
      <c r="I579" s="216" t="s">
        <v>1089</v>
      </c>
      <c r="J579" s="43" t="s">
        <v>1090</v>
      </c>
      <c r="K579" s="28" t="s">
        <v>1091</v>
      </c>
      <c r="L579" s="42" t="s">
        <v>1099</v>
      </c>
      <c r="M579" s="209">
        <v>2030</v>
      </c>
      <c r="N579" s="44" t="s">
        <v>1695</v>
      </c>
      <c r="O579" s="258" t="s">
        <v>1696</v>
      </c>
      <c r="P579" s="238" t="str">
        <f>VLOOKUP(_xlfn.CONCAT(Table3[[#This Row],[Target area]],Table3[[#This Row],[GHG target?]],Table3[[#This Row],[Conditionality]]),'Drop down'!$E$81:$F$101,2,FALSE)</f>
        <v>T_Economy_Unc</v>
      </c>
      <c r="Q579" s="239" t="str">
        <f>VLOOKUP(Table3[[#This Row],[Target type]],Table418[[Value name]:[Value idenifyer]],2,FALSE)</f>
        <v>T_BAU</v>
      </c>
      <c r="S579" s="233" t="s">
        <v>1101</v>
      </c>
      <c r="T579" s="234" t="s">
        <v>1113</v>
      </c>
      <c r="V579" s="233" t="str">
        <f>VLOOKUP(Table3[[#This Row],[Country Code]],Table29[],3,FALSE)</f>
        <v>Non-Annex I</v>
      </c>
      <c r="W579" s="233" t="str">
        <f>VLOOKUP(Table3[[#This Row],[Country Code]],Table29[],4,FALSE)</f>
        <v>Africa</v>
      </c>
      <c r="X579" s="233" t="str">
        <f>VLOOKUP(Table3[[#This Row],[Country Code]],Table29[],5,FALSE)</f>
        <v>Middle-income</v>
      </c>
      <c r="Y579" s="233" t="str">
        <f>VLOOKUP(Table3[[#This Row],[Country Code]],Table29[],6,FALSE)</f>
        <v>no</v>
      </c>
      <c r="Z579" s="233" t="str">
        <f>VLOOKUP(Table3[[#This Row],[Country Code]],Table29[],7,FALSE)</f>
        <v>no</v>
      </c>
      <c r="AA579" s="233" t="str">
        <f>VLOOKUP(Table3[[#This Row],[Country Code]],Table29[],8,FALSE)</f>
        <v>non-OECD</v>
      </c>
      <c r="AB579" s="233" t="str">
        <f>VLOOKUP(Table3[[#This Row],[Country Code]],Table29[],9,FALSE)</f>
        <v>no</v>
      </c>
      <c r="AC579" s="233" t="str">
        <f>VLOOKUP(Table3[[#This Row],[Country Code]],Table29[],10,FALSE)</f>
        <v>no</v>
      </c>
      <c r="AD579" s="235">
        <f>VLOOKUP(Table3[[#This Row],[Country Code]],Table29[],23,FALSE)</f>
        <v>385.11288377147002</v>
      </c>
      <c r="AE579" s="235">
        <f>VLOOKUP(Table3[[#This Row],[Country Code]],Table29[],24,FALSE)</f>
        <v>58.971195919965467</v>
      </c>
      <c r="AF579" s="43"/>
    </row>
    <row r="580" spans="1:32" x14ac:dyDescent="0.25">
      <c r="A580" s="360">
        <v>32509</v>
      </c>
      <c r="B580" s="233" t="str">
        <f>VLOOKUP(Table3[[#This Row],[Document ID]],Table1[],2,FALSE)</f>
        <v>NGA</v>
      </c>
      <c r="C580" s="233" t="str">
        <f>VLOOKUP(Table3[[#This Row],[Document ID]],Table1[],3,FALSE)</f>
        <v>Nigeria</v>
      </c>
      <c r="D580" s="233" t="str">
        <f>VLOOKUP(Table3[[#This Row],[Document ID]],Table1[],5,FALSE)</f>
        <v>NDC</v>
      </c>
      <c r="E580" s="233" t="str">
        <f>VLOOKUP(Table3[[#This Row],[Document ID]],Table1[],7,FALSE)</f>
        <v>First NDC updated</v>
      </c>
      <c r="F580" s="233" t="str">
        <f>VLOOKUP(Table3[[#This Row],[Document ID]],Table1[],8,FALSE)</f>
        <v>NDC 1.2</v>
      </c>
      <c r="G580" s="233" t="str">
        <f>VLOOKUP(Table3[[#This Row],[Document ID]],Table1[],10,FALSE)</f>
        <v>Active</v>
      </c>
      <c r="H580" s="216" t="s">
        <v>1089</v>
      </c>
      <c r="I580" s="216" t="s">
        <v>1089</v>
      </c>
      <c r="J580" s="43" t="s">
        <v>1090</v>
      </c>
      <c r="K580" s="28" t="s">
        <v>1091</v>
      </c>
      <c r="L580" s="216" t="s">
        <v>1092</v>
      </c>
      <c r="M580" s="209">
        <v>2030</v>
      </c>
      <c r="N580" s="209" t="s">
        <v>1697</v>
      </c>
      <c r="O580" s="257" t="s">
        <v>1696</v>
      </c>
      <c r="P580" s="238" t="str">
        <f>VLOOKUP(_xlfn.CONCAT(Table3[[#This Row],[Target area]],Table3[[#This Row],[GHG target?]],Table3[[#This Row],[Conditionality]]),'Drop down'!$E$81:$F$101,2,FALSE)</f>
        <v>T_Economy_C</v>
      </c>
      <c r="Q580" s="239" t="str">
        <f>VLOOKUP(Table3[[#This Row],[Target type]],Table418[[Value name]:[Value idenifyer]],2,FALSE)</f>
        <v>T_BAU</v>
      </c>
      <c r="S580" s="233" t="s">
        <v>1101</v>
      </c>
      <c r="T580" s="234" t="s">
        <v>1113</v>
      </c>
      <c r="V580" s="233" t="str">
        <f>VLOOKUP(Table3[[#This Row],[Country Code]],Table29[],3,FALSE)</f>
        <v>Non-Annex I</v>
      </c>
      <c r="W580" s="233" t="str">
        <f>VLOOKUP(Table3[[#This Row],[Country Code]],Table29[],4,FALSE)</f>
        <v>Africa</v>
      </c>
      <c r="X580" s="233" t="str">
        <f>VLOOKUP(Table3[[#This Row],[Country Code]],Table29[],5,FALSE)</f>
        <v>Middle-income</v>
      </c>
      <c r="Y580" s="233" t="str">
        <f>VLOOKUP(Table3[[#This Row],[Country Code]],Table29[],6,FALSE)</f>
        <v>no</v>
      </c>
      <c r="Z580" s="233" t="str">
        <f>VLOOKUP(Table3[[#This Row],[Country Code]],Table29[],7,FALSE)</f>
        <v>no</v>
      </c>
      <c r="AA580" s="233" t="str">
        <f>VLOOKUP(Table3[[#This Row],[Country Code]],Table29[],8,FALSE)</f>
        <v>non-OECD</v>
      </c>
      <c r="AB580" s="233" t="str">
        <f>VLOOKUP(Table3[[#This Row],[Country Code]],Table29[],9,FALSE)</f>
        <v>no</v>
      </c>
      <c r="AC580" s="233" t="str">
        <f>VLOOKUP(Table3[[#This Row],[Country Code]],Table29[],10,FALSE)</f>
        <v>no</v>
      </c>
      <c r="AD580" s="235">
        <f>VLOOKUP(Table3[[#This Row],[Country Code]],Table29[],23,FALSE)</f>
        <v>385.11288377147002</v>
      </c>
      <c r="AE580" s="235">
        <f>VLOOKUP(Table3[[#This Row],[Country Code]],Table29[],24,FALSE)</f>
        <v>58.971195919965467</v>
      </c>
      <c r="AF580" s="43"/>
    </row>
    <row r="581" spans="1:32" x14ac:dyDescent="0.25">
      <c r="A581" s="360">
        <v>17547</v>
      </c>
      <c r="B581" s="233" t="str">
        <f>VLOOKUP(Table3[[#This Row],[Document ID]],Table1[],2,FALSE)</f>
        <v>KHM</v>
      </c>
      <c r="C581" s="233" t="str">
        <f>VLOOKUP(Table3[[#This Row],[Document ID]],Table1[],3,FALSE)</f>
        <v>Cambodia</v>
      </c>
      <c r="D581" s="233" t="str">
        <f>VLOOKUP(Table3[[#This Row],[Document ID]],Table1[],5,FALSE)</f>
        <v>NDC</v>
      </c>
      <c r="E581" s="233" t="str">
        <f>VLOOKUP(Table3[[#This Row],[Document ID]],Table1[],7,FALSE)</f>
        <v>First NDC</v>
      </c>
      <c r="F581" s="233" t="str">
        <f>VLOOKUP(Table3[[#This Row],[Document ID]],Table1[],8,FALSE)</f>
        <v>NDC 1.0</v>
      </c>
      <c r="G581" s="233" t="str">
        <f>VLOOKUP(Table3[[#This Row],[Document ID]],Table1[],10,FALSE)</f>
        <v>Archived</v>
      </c>
      <c r="H581" s="42" t="s">
        <v>1095</v>
      </c>
      <c r="I581" s="43" t="s">
        <v>1115</v>
      </c>
      <c r="J581" s="43" t="s">
        <v>1090</v>
      </c>
      <c r="K581" s="28" t="s">
        <v>1091</v>
      </c>
      <c r="L581" s="216" t="s">
        <v>1092</v>
      </c>
      <c r="M581" s="209">
        <v>2030</v>
      </c>
      <c r="N581" s="44" t="s">
        <v>1698</v>
      </c>
      <c r="O581" s="221">
        <v>6</v>
      </c>
      <c r="P581" s="238" t="str">
        <f>VLOOKUP(_xlfn.CONCAT(Table3[[#This Row],[Target area]],Table3[[#This Row],[GHG target?]],Table3[[#This Row],[Conditionality]]),'Drop down'!$E$81:$F$101,2,FALSE)</f>
        <v>T_Transport_C</v>
      </c>
      <c r="Q581" s="239" t="str">
        <f>VLOOKUP(Table3[[#This Row],[Target type]],Table418[[Value name]:[Value idenifyer]],2,FALSE)</f>
        <v>T_BAU</v>
      </c>
      <c r="R581" s="233" t="s">
        <v>526</v>
      </c>
      <c r="S581" s="233" t="s">
        <v>1112</v>
      </c>
      <c r="T581" s="234" t="s">
        <v>1113</v>
      </c>
      <c r="V581" s="233" t="str">
        <f>VLOOKUP(Table3[[#This Row],[Country Code]],Table29[],3,FALSE)</f>
        <v>Non-Annex I</v>
      </c>
      <c r="W581" s="233" t="str">
        <f>VLOOKUP(Table3[[#This Row],[Country Code]],Table29[],4,FALSE)</f>
        <v>Asia</v>
      </c>
      <c r="X581" s="233" t="str">
        <f>VLOOKUP(Table3[[#This Row],[Country Code]],Table29[],5,FALSE)</f>
        <v>Middle-income</v>
      </c>
      <c r="Y581" s="233" t="str">
        <f>VLOOKUP(Table3[[#This Row],[Country Code]],Table29[],6,FALSE)</f>
        <v>no</v>
      </c>
      <c r="Z581" s="233" t="str">
        <f>VLOOKUP(Table3[[#This Row],[Country Code]],Table29[],7,FALSE)</f>
        <v>no</v>
      </c>
      <c r="AA581" s="233" t="str">
        <f>VLOOKUP(Table3[[#This Row],[Country Code]],Table29[],8,FALSE)</f>
        <v>non-OECD</v>
      </c>
      <c r="AB581" s="233" t="str">
        <f>VLOOKUP(Table3[[#This Row],[Country Code]],Table29[],9,FALSE)</f>
        <v>no</v>
      </c>
      <c r="AC581" s="233" t="str">
        <f>VLOOKUP(Table3[[#This Row],[Country Code]],Table29[],10,FALSE)</f>
        <v>no</v>
      </c>
      <c r="AD581" s="235">
        <f>VLOOKUP(Table3[[#This Row],[Country Code]],Table29[],23,FALSE)</f>
        <v>48.774832204749998</v>
      </c>
      <c r="AE581" s="235">
        <f>VLOOKUP(Table3[[#This Row],[Country Code]],Table29[],24,FALSE)</f>
        <v>7.547213161316451</v>
      </c>
      <c r="AF581" s="43"/>
    </row>
    <row r="582" spans="1:32" ht="30" x14ac:dyDescent="0.25">
      <c r="A582" s="360">
        <v>26773</v>
      </c>
      <c r="B582" s="233" t="str">
        <f>VLOOKUP(Table3[[#This Row],[Document ID]],Table1[],2,FALSE)</f>
        <v>KHM</v>
      </c>
      <c r="C582" s="233" t="str">
        <f>VLOOKUP(Table3[[#This Row],[Document ID]],Table1[],3,FALSE)</f>
        <v>Cambodia</v>
      </c>
      <c r="D582" s="233" t="str">
        <f>VLOOKUP(Table3[[#This Row],[Document ID]],Table1[],5,FALSE)</f>
        <v>LTS</v>
      </c>
      <c r="E582" s="233" t="str">
        <f>VLOOKUP(Table3[[#This Row],[Document ID]],Table1[],7,FALSE)</f>
        <v>LTS</v>
      </c>
      <c r="F582" s="233" t="str">
        <f>VLOOKUP(Table3[[#This Row],[Document ID]],Table1[],8,FALSE)</f>
        <v>LTS 1.0</v>
      </c>
      <c r="G582" s="233" t="str">
        <f>VLOOKUP(Table3[[#This Row],[Document ID]],Table1[],10,FALSE)</f>
        <v>Active</v>
      </c>
      <c r="H582" s="42" t="s">
        <v>1095</v>
      </c>
      <c r="I582" s="42" t="s">
        <v>1096</v>
      </c>
      <c r="J582" s="42" t="s">
        <v>1097</v>
      </c>
      <c r="K582" s="28" t="s">
        <v>1104</v>
      </c>
      <c r="L582" s="42" t="s">
        <v>1099</v>
      </c>
      <c r="M582" s="209">
        <v>2050</v>
      </c>
      <c r="N582" s="209" t="s">
        <v>1699</v>
      </c>
      <c r="O582" s="257">
        <v>3</v>
      </c>
      <c r="P582" s="238" t="str">
        <f>VLOOKUP(_xlfn.CONCAT(Table3[[#This Row],[Target area]],Table3[[#This Row],[GHG target?]],Table3[[#This Row],[Conditionality]]),'Drop down'!$E$81:$F$101,2,FALSE)</f>
        <v>T_Transport_O_Unc</v>
      </c>
      <c r="Q582" s="239" t="str">
        <f>VLOOKUP(Table3[[#This Row],[Target type]],Table418[[Value name]:[Value idenifyer]],2,FALSE)</f>
        <v>T_O_ZERO</v>
      </c>
      <c r="S582" s="233" t="s">
        <v>1101</v>
      </c>
      <c r="T582" s="234" t="s">
        <v>1113</v>
      </c>
      <c r="V582" s="233" t="str">
        <f>VLOOKUP(Table3[[#This Row],[Country Code]],Table29[],3,FALSE)</f>
        <v>Non-Annex I</v>
      </c>
      <c r="W582" s="233" t="str">
        <f>VLOOKUP(Table3[[#This Row],[Country Code]],Table29[],4,FALSE)</f>
        <v>Asia</v>
      </c>
      <c r="X582" s="233" t="str">
        <f>VLOOKUP(Table3[[#This Row],[Country Code]],Table29[],5,FALSE)</f>
        <v>Middle-income</v>
      </c>
      <c r="Y582" s="233" t="str">
        <f>VLOOKUP(Table3[[#This Row],[Country Code]],Table29[],6,FALSE)</f>
        <v>no</v>
      </c>
      <c r="Z582" s="233" t="str">
        <f>VLOOKUP(Table3[[#This Row],[Country Code]],Table29[],7,FALSE)</f>
        <v>no</v>
      </c>
      <c r="AA582" s="233" t="str">
        <f>VLOOKUP(Table3[[#This Row],[Country Code]],Table29[],8,FALSE)</f>
        <v>non-OECD</v>
      </c>
      <c r="AB582" s="233" t="str">
        <f>VLOOKUP(Table3[[#This Row],[Country Code]],Table29[],9,FALSE)</f>
        <v>no</v>
      </c>
      <c r="AC582" s="233" t="str">
        <f>VLOOKUP(Table3[[#This Row],[Country Code]],Table29[],10,FALSE)</f>
        <v>no</v>
      </c>
      <c r="AD582" s="235">
        <f>VLOOKUP(Table3[[#This Row],[Country Code]],Table29[],23,FALSE)</f>
        <v>48.774832204749998</v>
      </c>
      <c r="AE582" s="235">
        <f>VLOOKUP(Table3[[#This Row],[Country Code]],Table29[],24,FALSE)</f>
        <v>7.547213161316451</v>
      </c>
      <c r="AF582" s="43"/>
    </row>
    <row r="583" spans="1:32" ht="30" x14ac:dyDescent="0.25">
      <c r="A583" s="360">
        <v>26773</v>
      </c>
      <c r="B583" s="233" t="str">
        <f>VLOOKUP(Table3[[#This Row],[Document ID]],Table1[],2,FALSE)</f>
        <v>KHM</v>
      </c>
      <c r="C583" s="233" t="str">
        <f>VLOOKUP(Table3[[#This Row],[Document ID]],Table1[],3,FALSE)</f>
        <v>Cambodia</v>
      </c>
      <c r="D583" s="233" t="str">
        <f>VLOOKUP(Table3[[#This Row],[Document ID]],Table1[],5,FALSE)</f>
        <v>LTS</v>
      </c>
      <c r="E583" s="233" t="str">
        <f>VLOOKUP(Table3[[#This Row],[Document ID]],Table1[],7,FALSE)</f>
        <v>LTS</v>
      </c>
      <c r="F583" s="233" t="str">
        <f>VLOOKUP(Table3[[#This Row],[Document ID]],Table1[],8,FALSE)</f>
        <v>LTS 1.0</v>
      </c>
      <c r="G583" s="233" t="str">
        <f>VLOOKUP(Table3[[#This Row],[Document ID]],Table1[],10,FALSE)</f>
        <v>Active</v>
      </c>
      <c r="H583" s="42" t="s">
        <v>1095</v>
      </c>
      <c r="I583" s="42" t="s">
        <v>1096</v>
      </c>
      <c r="J583" s="42" t="s">
        <v>1097</v>
      </c>
      <c r="K583" s="28" t="s">
        <v>1137</v>
      </c>
      <c r="L583" s="42" t="s">
        <v>1099</v>
      </c>
      <c r="M583" s="209">
        <v>2050</v>
      </c>
      <c r="N583" s="209" t="s">
        <v>1700</v>
      </c>
      <c r="O583" s="257">
        <v>5</v>
      </c>
      <c r="P583" s="238" t="str">
        <f>VLOOKUP(_xlfn.CONCAT(Table3[[#This Row],[Target area]],Table3[[#This Row],[GHG target?]],Table3[[#This Row],[Conditionality]]),'Drop down'!$E$81:$F$101,2,FALSE)</f>
        <v>T_Transport_O_Unc</v>
      </c>
      <c r="Q583" s="239" t="str">
        <f>VLOOKUP(Table3[[#This Row],[Target type]],Table418[[Value name]:[Value idenifyer]],2,FALSE)</f>
        <v>T_O_EFF</v>
      </c>
      <c r="S583" s="233" t="s">
        <v>1101</v>
      </c>
      <c r="T583" s="234" t="s">
        <v>1113</v>
      </c>
      <c r="V583" s="233" t="str">
        <f>VLOOKUP(Table3[[#This Row],[Country Code]],Table29[],3,FALSE)</f>
        <v>Non-Annex I</v>
      </c>
      <c r="W583" s="233" t="str">
        <f>VLOOKUP(Table3[[#This Row],[Country Code]],Table29[],4,FALSE)</f>
        <v>Asia</v>
      </c>
      <c r="X583" s="233" t="str">
        <f>VLOOKUP(Table3[[#This Row],[Country Code]],Table29[],5,FALSE)</f>
        <v>Middle-income</v>
      </c>
      <c r="Y583" s="233" t="str">
        <f>VLOOKUP(Table3[[#This Row],[Country Code]],Table29[],6,FALSE)</f>
        <v>no</v>
      </c>
      <c r="Z583" s="233" t="str">
        <f>VLOOKUP(Table3[[#This Row],[Country Code]],Table29[],7,FALSE)</f>
        <v>no</v>
      </c>
      <c r="AA583" s="233" t="str">
        <f>VLOOKUP(Table3[[#This Row],[Country Code]],Table29[],8,FALSE)</f>
        <v>non-OECD</v>
      </c>
      <c r="AB583" s="233" t="str">
        <f>VLOOKUP(Table3[[#This Row],[Country Code]],Table29[],9,FALSE)</f>
        <v>no</v>
      </c>
      <c r="AC583" s="233" t="str">
        <f>VLOOKUP(Table3[[#This Row],[Country Code]],Table29[],10,FALSE)</f>
        <v>no</v>
      </c>
      <c r="AD583" s="235">
        <f>VLOOKUP(Table3[[#This Row],[Country Code]],Table29[],23,FALSE)</f>
        <v>48.774832204749998</v>
      </c>
      <c r="AE583" s="235">
        <f>VLOOKUP(Table3[[#This Row],[Country Code]],Table29[],24,FALSE)</f>
        <v>7.547213161316451</v>
      </c>
      <c r="AF583" s="43"/>
    </row>
    <row r="584" spans="1:32" x14ac:dyDescent="0.25">
      <c r="A584" s="360">
        <v>26787</v>
      </c>
      <c r="B584" s="233" t="str">
        <f>VLOOKUP(Table3[[#This Row],[Document ID]],Table1[],2,FALSE)</f>
        <v>NGA</v>
      </c>
      <c r="C584" s="233" t="str">
        <f>VLOOKUP(Table3[[#This Row],[Document ID]],Table1[],3,FALSE)</f>
        <v>Nigeria</v>
      </c>
      <c r="D584" s="233" t="str">
        <f>VLOOKUP(Table3[[#This Row],[Document ID]],Table1[],5,FALSE)</f>
        <v>LTS</v>
      </c>
      <c r="E584" s="233" t="str">
        <f>VLOOKUP(Table3[[#This Row],[Document ID]],Table1[],7,FALSE)</f>
        <v>Archived LTS 1.0</v>
      </c>
      <c r="F584" s="233" t="str">
        <f>VLOOKUP(Table3[[#This Row],[Document ID]],Table1[],8,FALSE)</f>
        <v>LTS 1.0</v>
      </c>
      <c r="G584" s="233" t="str">
        <f>VLOOKUP(Table3[[#This Row],[Document ID]],Table1[],10,FALSE)</f>
        <v>Archived</v>
      </c>
      <c r="H584" s="216" t="s">
        <v>1089</v>
      </c>
      <c r="I584" s="216" t="s">
        <v>1089</v>
      </c>
      <c r="J584" s="43" t="s">
        <v>1090</v>
      </c>
      <c r="K584" s="28" t="s">
        <v>1091</v>
      </c>
      <c r="L584" s="42" t="s">
        <v>1099</v>
      </c>
      <c r="M584" s="209">
        <v>2030</v>
      </c>
      <c r="N584" s="17" t="s">
        <v>1701</v>
      </c>
      <c r="O584" s="258">
        <v>11</v>
      </c>
      <c r="P584" s="238" t="str">
        <f>VLOOKUP(_xlfn.CONCAT(Table3[[#This Row],[Target area]],Table3[[#This Row],[GHG target?]],Table3[[#This Row],[Conditionality]]),'Drop down'!$E$81:$F$101,2,FALSE)</f>
        <v>T_Economy_Unc</v>
      </c>
      <c r="Q584" s="239" t="str">
        <f>VLOOKUP(Table3[[#This Row],[Target type]],Table418[[Value name]:[Value idenifyer]],2,FALSE)</f>
        <v>T_BAU</v>
      </c>
      <c r="S584" s="233" t="s">
        <v>1125</v>
      </c>
      <c r="T584" s="234" t="s">
        <v>1113</v>
      </c>
      <c r="V584" s="233" t="str">
        <f>VLOOKUP(Table3[[#This Row],[Country Code]],Table29[],3,FALSE)</f>
        <v>Non-Annex I</v>
      </c>
      <c r="W584" s="233" t="str">
        <f>VLOOKUP(Table3[[#This Row],[Country Code]],Table29[],4,FALSE)</f>
        <v>Africa</v>
      </c>
      <c r="X584" s="233" t="str">
        <f>VLOOKUP(Table3[[#This Row],[Country Code]],Table29[],5,FALSE)</f>
        <v>Middle-income</v>
      </c>
      <c r="Y584" s="233" t="str">
        <f>VLOOKUP(Table3[[#This Row],[Country Code]],Table29[],6,FALSE)</f>
        <v>no</v>
      </c>
      <c r="Z584" s="233" t="str">
        <f>VLOOKUP(Table3[[#This Row],[Country Code]],Table29[],7,FALSE)</f>
        <v>no</v>
      </c>
      <c r="AA584" s="233" t="str">
        <f>VLOOKUP(Table3[[#This Row],[Country Code]],Table29[],8,FALSE)</f>
        <v>non-OECD</v>
      </c>
      <c r="AB584" s="233" t="str">
        <f>VLOOKUP(Table3[[#This Row],[Country Code]],Table29[],9,FALSE)</f>
        <v>no</v>
      </c>
      <c r="AC584" s="233" t="str">
        <f>VLOOKUP(Table3[[#This Row],[Country Code]],Table29[],10,FALSE)</f>
        <v>no</v>
      </c>
      <c r="AD584" s="235">
        <f>VLOOKUP(Table3[[#This Row],[Country Code]],Table29[],23,FALSE)</f>
        <v>385.11288377147002</v>
      </c>
      <c r="AE584" s="235">
        <f>VLOOKUP(Table3[[#This Row],[Country Code]],Table29[],24,FALSE)</f>
        <v>58.971195919965467</v>
      </c>
      <c r="AF584" s="43"/>
    </row>
    <row r="585" spans="1:32" ht="30" x14ac:dyDescent="0.25">
      <c r="A585" s="360">
        <v>26787</v>
      </c>
      <c r="B585" s="233" t="str">
        <f>VLOOKUP(Table3[[#This Row],[Document ID]],Table1[],2,FALSE)</f>
        <v>NGA</v>
      </c>
      <c r="C585" s="233" t="str">
        <f>VLOOKUP(Table3[[#This Row],[Document ID]],Table1[],3,FALSE)</f>
        <v>Nigeria</v>
      </c>
      <c r="D585" s="233" t="str">
        <f>VLOOKUP(Table3[[#This Row],[Document ID]],Table1[],5,FALSE)</f>
        <v>LTS</v>
      </c>
      <c r="E585" s="233" t="str">
        <f>VLOOKUP(Table3[[#This Row],[Document ID]],Table1[],7,FALSE)</f>
        <v>Archived LTS 1.0</v>
      </c>
      <c r="F585" s="233" t="str">
        <f>VLOOKUP(Table3[[#This Row],[Document ID]],Table1[],8,FALSE)</f>
        <v>LTS 1.0</v>
      </c>
      <c r="G585" s="233" t="str">
        <f>VLOOKUP(Table3[[#This Row],[Document ID]],Table1[],10,FALSE)</f>
        <v>Archived</v>
      </c>
      <c r="H585" s="216" t="s">
        <v>1089</v>
      </c>
      <c r="I585" s="216" t="s">
        <v>1089</v>
      </c>
      <c r="J585" s="43" t="s">
        <v>1090</v>
      </c>
      <c r="K585" s="28" t="s">
        <v>1091</v>
      </c>
      <c r="L585" s="216" t="s">
        <v>1092</v>
      </c>
      <c r="M585" s="209">
        <v>2030</v>
      </c>
      <c r="N585" s="18" t="s">
        <v>1702</v>
      </c>
      <c r="O585" s="258">
        <v>11</v>
      </c>
      <c r="P585" s="238" t="str">
        <f>VLOOKUP(_xlfn.CONCAT(Table3[[#This Row],[Target area]],Table3[[#This Row],[GHG target?]],Table3[[#This Row],[Conditionality]]),'Drop down'!$E$81:$F$101,2,FALSE)</f>
        <v>T_Economy_C</v>
      </c>
      <c r="Q585" s="239" t="str">
        <f>VLOOKUP(Table3[[#This Row],[Target type]],Table418[[Value name]:[Value idenifyer]],2,FALSE)</f>
        <v>T_BAU</v>
      </c>
      <c r="S585" s="233" t="s">
        <v>1125</v>
      </c>
      <c r="T585" s="234" t="s">
        <v>1113</v>
      </c>
      <c r="V585" s="233" t="str">
        <f>VLOOKUP(Table3[[#This Row],[Country Code]],Table29[],3,FALSE)</f>
        <v>Non-Annex I</v>
      </c>
      <c r="W585" s="233" t="str">
        <f>VLOOKUP(Table3[[#This Row],[Country Code]],Table29[],4,FALSE)</f>
        <v>Africa</v>
      </c>
      <c r="X585" s="233" t="str">
        <f>VLOOKUP(Table3[[#This Row],[Country Code]],Table29[],5,FALSE)</f>
        <v>Middle-income</v>
      </c>
      <c r="Y585" s="233" t="str">
        <f>VLOOKUP(Table3[[#This Row],[Country Code]],Table29[],6,FALSE)</f>
        <v>no</v>
      </c>
      <c r="Z585" s="233" t="str">
        <f>VLOOKUP(Table3[[#This Row],[Country Code]],Table29[],7,FALSE)</f>
        <v>no</v>
      </c>
      <c r="AA585" s="233" t="str">
        <f>VLOOKUP(Table3[[#This Row],[Country Code]],Table29[],8,FALSE)</f>
        <v>non-OECD</v>
      </c>
      <c r="AB585" s="233" t="str">
        <f>VLOOKUP(Table3[[#This Row],[Country Code]],Table29[],9,FALSE)</f>
        <v>no</v>
      </c>
      <c r="AC585" s="233" t="str">
        <f>VLOOKUP(Table3[[#This Row],[Country Code]],Table29[],10,FALSE)</f>
        <v>no</v>
      </c>
      <c r="AD585" s="235">
        <f>VLOOKUP(Table3[[#This Row],[Country Code]],Table29[],23,FALSE)</f>
        <v>385.11288377147002</v>
      </c>
      <c r="AE585" s="235">
        <f>VLOOKUP(Table3[[#This Row],[Country Code]],Table29[],24,FALSE)</f>
        <v>58.971195919965467</v>
      </c>
      <c r="AF585" s="43"/>
    </row>
    <row r="586" spans="1:32" x14ac:dyDescent="0.25">
      <c r="A586" s="360">
        <v>26773</v>
      </c>
      <c r="B586" s="233" t="str">
        <f>VLOOKUP(Table3[[#This Row],[Document ID]],Table1[],2,FALSE)</f>
        <v>KHM</v>
      </c>
      <c r="C586" s="233" t="str">
        <f>VLOOKUP(Table3[[#This Row],[Document ID]],Table1[],3,FALSE)</f>
        <v>Cambodia</v>
      </c>
      <c r="D586" s="233" t="str">
        <f>VLOOKUP(Table3[[#This Row],[Document ID]],Table1[],5,FALSE)</f>
        <v>LTS</v>
      </c>
      <c r="E586" s="233" t="str">
        <f>VLOOKUP(Table3[[#This Row],[Document ID]],Table1[],7,FALSE)</f>
        <v>LTS</v>
      </c>
      <c r="F586" s="233" t="str">
        <f>VLOOKUP(Table3[[#This Row],[Document ID]],Table1[],8,FALSE)</f>
        <v>LTS 1.0</v>
      </c>
      <c r="G586" s="233" t="str">
        <f>VLOOKUP(Table3[[#This Row],[Document ID]],Table1[],10,FALSE)</f>
        <v>Active</v>
      </c>
      <c r="H586" s="42" t="s">
        <v>1095</v>
      </c>
      <c r="I586" s="42" t="s">
        <v>1096</v>
      </c>
      <c r="J586" s="42" t="s">
        <v>1097</v>
      </c>
      <c r="K586" s="28" t="s">
        <v>1098</v>
      </c>
      <c r="L586" s="389" t="s">
        <v>1099</v>
      </c>
      <c r="M586" s="209">
        <v>2050</v>
      </c>
      <c r="N586" s="209" t="s">
        <v>1703</v>
      </c>
      <c r="O586" s="257">
        <v>5</v>
      </c>
      <c r="P586" s="238" t="str">
        <f>VLOOKUP(_xlfn.CONCAT(Table3[[#This Row],[Target area]],Table3[[#This Row],[GHG target?]],Table3[[#This Row],[Conditionality]]),'Drop down'!$E$81:$F$101,2,FALSE)</f>
        <v>T_Transport_O_Unc</v>
      </c>
      <c r="Q586" s="239" t="str">
        <f>VLOOKUP(Table3[[#This Row],[Target type]],Table418[[Value name]:[Value idenifyer]],2,FALSE)</f>
        <v>T_O_MODE</v>
      </c>
      <c r="S586" s="233" t="s">
        <v>1101</v>
      </c>
      <c r="T586" s="234" t="s">
        <v>1113</v>
      </c>
      <c r="V586" s="233" t="str">
        <f>VLOOKUP(Table3[[#This Row],[Country Code]],Table29[],3,FALSE)</f>
        <v>Non-Annex I</v>
      </c>
      <c r="W586" s="233" t="str">
        <f>VLOOKUP(Table3[[#This Row],[Country Code]],Table29[],4,FALSE)</f>
        <v>Asia</v>
      </c>
      <c r="X586" s="233" t="str">
        <f>VLOOKUP(Table3[[#This Row],[Country Code]],Table29[],5,FALSE)</f>
        <v>Middle-income</v>
      </c>
      <c r="Y586" s="233" t="str">
        <f>VLOOKUP(Table3[[#This Row],[Country Code]],Table29[],6,FALSE)</f>
        <v>no</v>
      </c>
      <c r="Z586" s="233" t="str">
        <f>VLOOKUP(Table3[[#This Row],[Country Code]],Table29[],7,FALSE)</f>
        <v>no</v>
      </c>
      <c r="AA586" s="233" t="str">
        <f>VLOOKUP(Table3[[#This Row],[Country Code]],Table29[],8,FALSE)</f>
        <v>non-OECD</v>
      </c>
      <c r="AB586" s="233" t="str">
        <f>VLOOKUP(Table3[[#This Row],[Country Code]],Table29[],9,FALSE)</f>
        <v>no</v>
      </c>
      <c r="AC586" s="233" t="str">
        <f>VLOOKUP(Table3[[#This Row],[Country Code]],Table29[],10,FALSE)</f>
        <v>no</v>
      </c>
      <c r="AD586" s="235">
        <f>VLOOKUP(Table3[[#This Row],[Country Code]],Table29[],23,FALSE)</f>
        <v>48.774832204749998</v>
      </c>
      <c r="AE586" s="235">
        <f>VLOOKUP(Table3[[#This Row],[Country Code]],Table29[],24,FALSE)</f>
        <v>7.547213161316451</v>
      </c>
      <c r="AF586" s="43"/>
    </row>
    <row r="587" spans="1:32" ht="45" x14ac:dyDescent="0.25">
      <c r="A587" s="360">
        <v>17548</v>
      </c>
      <c r="B587" s="233" t="str">
        <f>VLOOKUP(Table3[[#This Row],[Document ID]],Table1[],2,FALSE)</f>
        <v>KHM</v>
      </c>
      <c r="C587" s="233" t="str">
        <f>VLOOKUP(Table3[[#This Row],[Document ID]],Table1[],3,FALSE)</f>
        <v>Cambodia</v>
      </c>
      <c r="D587" s="233" t="str">
        <f>VLOOKUP(Table3[[#This Row],[Document ID]],Table1[],5,FALSE)</f>
        <v>NDC</v>
      </c>
      <c r="E587" s="233" t="str">
        <f>VLOOKUP(Table3[[#This Row],[Document ID]],Table1[],7,FALSE)</f>
        <v>First NDC updated</v>
      </c>
      <c r="F587" s="233" t="str">
        <f>VLOOKUP(Table3[[#This Row],[Document ID]],Table1[],8,FALSE)</f>
        <v>NDC 1.1</v>
      </c>
      <c r="G587" s="233" t="str">
        <f>VLOOKUP(Table3[[#This Row],[Document ID]],Table1[],10,FALSE)</f>
        <v>Active</v>
      </c>
      <c r="H587" s="42" t="s">
        <v>1095</v>
      </c>
      <c r="I587" s="42" t="s">
        <v>1096</v>
      </c>
      <c r="J587" s="42" t="s">
        <v>1097</v>
      </c>
      <c r="K587" s="28" t="s">
        <v>1137</v>
      </c>
      <c r="L587" s="389" t="s">
        <v>1099</v>
      </c>
      <c r="M587" s="209">
        <v>2030</v>
      </c>
      <c r="N587" s="44" t="s">
        <v>1704</v>
      </c>
      <c r="O587" s="221">
        <v>98</v>
      </c>
      <c r="P587" s="238" t="str">
        <f>VLOOKUP(_xlfn.CONCAT(Table3[[#This Row],[Target area]],Table3[[#This Row],[GHG target?]],Table3[[#This Row],[Conditionality]]),'Drop down'!$E$81:$F$101,2,FALSE)</f>
        <v>T_Transport_O_Unc</v>
      </c>
      <c r="Q587" s="239" t="str">
        <f>VLOOKUP(Table3[[#This Row],[Target type]],Table418[[Value name]:[Value idenifyer]],2,FALSE)</f>
        <v>T_O_EFF</v>
      </c>
      <c r="S587" s="233" t="s">
        <v>1101</v>
      </c>
      <c r="T587" s="234" t="s">
        <v>1113</v>
      </c>
      <c r="V587" s="233" t="str">
        <f>VLOOKUP(Table3[[#This Row],[Country Code]],Table29[],3,FALSE)</f>
        <v>Non-Annex I</v>
      </c>
      <c r="W587" s="233" t="str">
        <f>VLOOKUP(Table3[[#This Row],[Country Code]],Table29[],4,FALSE)</f>
        <v>Asia</v>
      </c>
      <c r="X587" s="233" t="str">
        <f>VLOOKUP(Table3[[#This Row],[Country Code]],Table29[],5,FALSE)</f>
        <v>Middle-income</v>
      </c>
      <c r="Y587" s="233" t="str">
        <f>VLOOKUP(Table3[[#This Row],[Country Code]],Table29[],6,FALSE)</f>
        <v>no</v>
      </c>
      <c r="Z587" s="233" t="str">
        <f>VLOOKUP(Table3[[#This Row],[Country Code]],Table29[],7,FALSE)</f>
        <v>no</v>
      </c>
      <c r="AA587" s="233" t="str">
        <f>VLOOKUP(Table3[[#This Row],[Country Code]],Table29[],8,FALSE)</f>
        <v>non-OECD</v>
      </c>
      <c r="AB587" s="233" t="str">
        <f>VLOOKUP(Table3[[#This Row],[Country Code]],Table29[],9,FALSE)</f>
        <v>no</v>
      </c>
      <c r="AC587" s="233" t="str">
        <f>VLOOKUP(Table3[[#This Row],[Country Code]],Table29[],10,FALSE)</f>
        <v>no</v>
      </c>
      <c r="AD587" s="235">
        <f>VLOOKUP(Table3[[#This Row],[Country Code]],Table29[],23,FALSE)</f>
        <v>48.774832204749998</v>
      </c>
      <c r="AE587" s="235">
        <f>VLOOKUP(Table3[[#This Row],[Country Code]],Table29[],24,FALSE)</f>
        <v>7.547213161316451</v>
      </c>
      <c r="AF587" s="43"/>
    </row>
    <row r="588" spans="1:32" ht="30" x14ac:dyDescent="0.25">
      <c r="A588" s="360">
        <v>23829</v>
      </c>
      <c r="B588" s="233" t="str">
        <f>VLOOKUP(Table3[[#This Row],[Document ID]],Table1[],2,FALSE)</f>
        <v>KNA</v>
      </c>
      <c r="C588" s="233" t="str">
        <f>VLOOKUP(Table3[[#This Row],[Document ID]],Table1[],3,FALSE)</f>
        <v>Saint Kitts and Nevis</v>
      </c>
      <c r="D588" s="233" t="str">
        <f>VLOOKUP(Table3[[#This Row],[Document ID]],Table1[],5,FALSE)</f>
        <v>NDC</v>
      </c>
      <c r="E588" s="233" t="str">
        <f>VLOOKUP(Table3[[#This Row],[Document ID]],Table1[],7,FALSE)</f>
        <v>First NDC updated</v>
      </c>
      <c r="F588" s="233" t="str">
        <f>VLOOKUP(Table3[[#This Row],[Document ID]],Table1[],8,FALSE)</f>
        <v>NDC 1.1</v>
      </c>
      <c r="G588" s="233" t="str">
        <f>VLOOKUP(Table3[[#This Row],[Document ID]],Table1[],10,FALSE)</f>
        <v>Active</v>
      </c>
      <c r="H588" s="42" t="s">
        <v>1095</v>
      </c>
      <c r="I588" s="42" t="s">
        <v>1096</v>
      </c>
      <c r="J588" s="42" t="s">
        <v>1097</v>
      </c>
      <c r="K588" s="28" t="s">
        <v>1104</v>
      </c>
      <c r="L588" s="216" t="s">
        <v>1092</v>
      </c>
      <c r="M588" s="209">
        <v>2030</v>
      </c>
      <c r="N588" s="209" t="s">
        <v>1705</v>
      </c>
      <c r="O588" s="257">
        <v>2</v>
      </c>
      <c r="P588" s="238" t="str">
        <f>VLOOKUP(_xlfn.CONCAT(Table3[[#This Row],[Target area]],Table3[[#This Row],[GHG target?]],Table3[[#This Row],[Conditionality]]),'Drop down'!$E$81:$F$101,2,FALSE)</f>
        <v>T_Transport_O_C</v>
      </c>
      <c r="Q588" s="239" t="str">
        <f>VLOOKUP(Table3[[#This Row],[Target type]],Table418[[Value name]:[Value idenifyer]],2,FALSE)</f>
        <v>T_O_ZERO</v>
      </c>
      <c r="S588" s="233" t="s">
        <v>1101</v>
      </c>
      <c r="T588" s="240"/>
      <c r="U588" s="240"/>
      <c r="V588" s="233" t="str">
        <f>VLOOKUP(Table3[[#This Row],[Country Code]],Table29[],3,FALSE)</f>
        <v>Non-Annex I</v>
      </c>
      <c r="W588" s="233" t="str">
        <f>VLOOKUP(Table3[[#This Row],[Country Code]],Table29[],4,FALSE)</f>
        <v>Latin America and the Caribbean</v>
      </c>
      <c r="X588" s="233" t="str">
        <f>VLOOKUP(Table3[[#This Row],[Country Code]],Table29[],5,FALSE)</f>
        <v>High-income</v>
      </c>
      <c r="Y588" s="233" t="str">
        <f>VLOOKUP(Table3[[#This Row],[Country Code]],Table29[],6,FALSE)</f>
        <v>no</v>
      </c>
      <c r="Z588" s="233" t="str">
        <f>VLOOKUP(Table3[[#This Row],[Country Code]],Table29[],7,FALSE)</f>
        <v>no</v>
      </c>
      <c r="AA588" s="233" t="str">
        <f>VLOOKUP(Table3[[#This Row],[Country Code]],Table29[],8,FALSE)</f>
        <v>non-OECD</v>
      </c>
      <c r="AB588" s="233" t="str">
        <f>VLOOKUP(Table3[[#This Row],[Country Code]],Table29[],9,FALSE)</f>
        <v>no</v>
      </c>
      <c r="AC588" s="233" t="str">
        <f>VLOOKUP(Table3[[#This Row],[Country Code]],Table29[],10,FALSE)</f>
        <v>no</v>
      </c>
      <c r="AD588" s="235">
        <f>VLOOKUP(Table3[[#This Row],[Country Code]],Table29[],23,FALSE)</f>
        <v>0.17447409234332001</v>
      </c>
      <c r="AE588" s="235">
        <f>VLOOKUP(Table3[[#This Row],[Country Code]],Table29[],24,FALSE)</f>
        <v>4.2331182061763992E-2</v>
      </c>
      <c r="AF588" s="43"/>
    </row>
    <row r="589" spans="1:32" x14ac:dyDescent="0.25">
      <c r="A589" s="360">
        <v>17684</v>
      </c>
      <c r="B589" s="233" t="str">
        <f>VLOOKUP(Table3[[#This Row],[Document ID]],Table1[],2,FALSE)</f>
        <v>NGA</v>
      </c>
      <c r="C589" s="233" t="str">
        <f>VLOOKUP(Table3[[#This Row],[Document ID]],Table1[],3,FALSE)</f>
        <v>Nigeria</v>
      </c>
      <c r="D589" s="233" t="str">
        <f>VLOOKUP(Table3[[#This Row],[Document ID]],Table1[],5,FALSE)</f>
        <v>NDC</v>
      </c>
      <c r="E589" s="233" t="str">
        <f>VLOOKUP(Table3[[#This Row],[Document ID]],Table1[],7,FALSE)</f>
        <v>First NDC</v>
      </c>
      <c r="F589" s="233" t="str">
        <f>VLOOKUP(Table3[[#This Row],[Document ID]],Table1[],8,FALSE)</f>
        <v>NDC 1.0</v>
      </c>
      <c r="G589" s="233" t="str">
        <f>VLOOKUP(Table3[[#This Row],[Document ID]],Table1[],10,FALSE)</f>
        <v>Archived</v>
      </c>
      <c r="H589" s="216" t="s">
        <v>1089</v>
      </c>
      <c r="I589" s="216" t="s">
        <v>1089</v>
      </c>
      <c r="J589" s="43" t="s">
        <v>1090</v>
      </c>
      <c r="K589" s="28" t="s">
        <v>1091</v>
      </c>
      <c r="L589" s="42" t="s">
        <v>1099</v>
      </c>
      <c r="M589" s="209">
        <v>2030</v>
      </c>
      <c r="N589" s="225" t="s">
        <v>1357</v>
      </c>
      <c r="O589" s="258" t="s">
        <v>1094</v>
      </c>
      <c r="P589" s="238" t="str">
        <f>VLOOKUP(_xlfn.CONCAT(Table3[[#This Row],[Target area]],Table3[[#This Row],[GHG target?]],Table3[[#This Row],[Conditionality]]),'Drop down'!$E$81:$F$101,2,FALSE)</f>
        <v>T_Economy_Unc</v>
      </c>
      <c r="Q589" s="239" t="str">
        <f>VLOOKUP(Table3[[#This Row],[Target type]],Table418[[Value name]:[Value idenifyer]],2,FALSE)</f>
        <v>T_BAU</v>
      </c>
      <c r="T589" s="234" t="s">
        <v>1113</v>
      </c>
      <c r="V589" s="233" t="str">
        <f>VLOOKUP(Table3[[#This Row],[Country Code]],Table29[],3,FALSE)</f>
        <v>Non-Annex I</v>
      </c>
      <c r="W589" s="233" t="str">
        <f>VLOOKUP(Table3[[#This Row],[Country Code]],Table29[],4,FALSE)</f>
        <v>Africa</v>
      </c>
      <c r="X589" s="233" t="str">
        <f>VLOOKUP(Table3[[#This Row],[Country Code]],Table29[],5,FALSE)</f>
        <v>Middle-income</v>
      </c>
      <c r="Y589" s="233" t="str">
        <f>VLOOKUP(Table3[[#This Row],[Country Code]],Table29[],6,FALSE)</f>
        <v>no</v>
      </c>
      <c r="Z589" s="233" t="str">
        <f>VLOOKUP(Table3[[#This Row],[Country Code]],Table29[],7,FALSE)</f>
        <v>no</v>
      </c>
      <c r="AA589" s="233" t="str">
        <f>VLOOKUP(Table3[[#This Row],[Country Code]],Table29[],8,FALSE)</f>
        <v>non-OECD</v>
      </c>
      <c r="AB589" s="233" t="str">
        <f>VLOOKUP(Table3[[#This Row],[Country Code]],Table29[],9,FALSE)</f>
        <v>no</v>
      </c>
      <c r="AC589" s="233" t="str">
        <f>VLOOKUP(Table3[[#This Row],[Country Code]],Table29[],10,FALSE)</f>
        <v>no</v>
      </c>
      <c r="AD589" s="235">
        <f>VLOOKUP(Table3[[#This Row],[Country Code]],Table29[],23,FALSE)</f>
        <v>385.11288377147002</v>
      </c>
      <c r="AE589" s="235">
        <f>VLOOKUP(Table3[[#This Row],[Country Code]],Table29[],24,FALSE)</f>
        <v>58.971195919965467</v>
      </c>
      <c r="AF589" s="43"/>
    </row>
    <row r="590" spans="1:32" x14ac:dyDescent="0.25">
      <c r="A590" s="360">
        <v>17684</v>
      </c>
      <c r="B590" s="233" t="str">
        <f>VLOOKUP(Table3[[#This Row],[Document ID]],Table1[],2,FALSE)</f>
        <v>NGA</v>
      </c>
      <c r="C590" s="233" t="str">
        <f>VLOOKUP(Table3[[#This Row],[Document ID]],Table1[],3,FALSE)</f>
        <v>Nigeria</v>
      </c>
      <c r="D590" s="233" t="str">
        <f>VLOOKUP(Table3[[#This Row],[Document ID]],Table1[],5,FALSE)</f>
        <v>NDC</v>
      </c>
      <c r="E590" s="233" t="str">
        <f>VLOOKUP(Table3[[#This Row],[Document ID]],Table1[],7,FALSE)</f>
        <v>First NDC</v>
      </c>
      <c r="F590" s="233" t="str">
        <f>VLOOKUP(Table3[[#This Row],[Document ID]],Table1[],8,FALSE)</f>
        <v>NDC 1.0</v>
      </c>
      <c r="G590" s="233" t="str">
        <f>VLOOKUP(Table3[[#This Row],[Document ID]],Table1[],10,FALSE)</f>
        <v>Archived</v>
      </c>
      <c r="H590" s="216" t="s">
        <v>1089</v>
      </c>
      <c r="I590" s="216" t="s">
        <v>1089</v>
      </c>
      <c r="J590" s="43" t="s">
        <v>1090</v>
      </c>
      <c r="K590" s="28" t="s">
        <v>1091</v>
      </c>
      <c r="L590" s="216" t="s">
        <v>1092</v>
      </c>
      <c r="M590" s="209">
        <v>2030</v>
      </c>
      <c r="N590" s="176" t="s">
        <v>1421</v>
      </c>
      <c r="O590" s="258" t="s">
        <v>1094</v>
      </c>
      <c r="P590" s="238" t="str">
        <f>VLOOKUP(_xlfn.CONCAT(Table3[[#This Row],[Target area]],Table3[[#This Row],[GHG target?]],Table3[[#This Row],[Conditionality]]),'Drop down'!$E$81:$F$101,2,FALSE)</f>
        <v>T_Economy_C</v>
      </c>
      <c r="Q590" s="239" t="str">
        <f>VLOOKUP(Table3[[#This Row],[Target type]],Table418[[Value name]:[Value idenifyer]],2,FALSE)</f>
        <v>T_BAU</v>
      </c>
      <c r="T590" s="234" t="s">
        <v>1113</v>
      </c>
      <c r="V590" s="233" t="str">
        <f>VLOOKUP(Table3[[#This Row],[Country Code]],Table29[],3,FALSE)</f>
        <v>Non-Annex I</v>
      </c>
      <c r="W590" s="233" t="str">
        <f>VLOOKUP(Table3[[#This Row],[Country Code]],Table29[],4,FALSE)</f>
        <v>Africa</v>
      </c>
      <c r="X590" s="233" t="str">
        <f>VLOOKUP(Table3[[#This Row],[Country Code]],Table29[],5,FALSE)</f>
        <v>Middle-income</v>
      </c>
      <c r="Y590" s="233" t="str">
        <f>VLOOKUP(Table3[[#This Row],[Country Code]],Table29[],6,FALSE)</f>
        <v>no</v>
      </c>
      <c r="Z590" s="233" t="str">
        <f>VLOOKUP(Table3[[#This Row],[Country Code]],Table29[],7,FALSE)</f>
        <v>no</v>
      </c>
      <c r="AA590" s="233" t="str">
        <f>VLOOKUP(Table3[[#This Row],[Country Code]],Table29[],8,FALSE)</f>
        <v>non-OECD</v>
      </c>
      <c r="AB590" s="233" t="str">
        <f>VLOOKUP(Table3[[#This Row],[Country Code]],Table29[],9,FALSE)</f>
        <v>no</v>
      </c>
      <c r="AC590" s="233" t="str">
        <f>VLOOKUP(Table3[[#This Row],[Country Code]],Table29[],10,FALSE)</f>
        <v>no</v>
      </c>
      <c r="AD590" s="235">
        <f>VLOOKUP(Table3[[#This Row],[Country Code]],Table29[],23,FALSE)</f>
        <v>385.11288377147002</v>
      </c>
      <c r="AE590" s="235">
        <f>VLOOKUP(Table3[[#This Row],[Country Code]],Table29[],24,FALSE)</f>
        <v>58.971195919965467</v>
      </c>
      <c r="AF590" s="43"/>
    </row>
    <row r="591" spans="1:32" x14ac:dyDescent="0.25">
      <c r="A591" s="360">
        <v>17688</v>
      </c>
      <c r="B591" s="233" t="str">
        <f>VLOOKUP(Table3[[#This Row],[Document ID]],Table1[],2,FALSE)</f>
        <v>NOR</v>
      </c>
      <c r="C591" s="233" t="str">
        <f>VLOOKUP(Table3[[#This Row],[Document ID]],Table1[],3,FALSE)</f>
        <v>Norway</v>
      </c>
      <c r="D591" s="233" t="str">
        <f>VLOOKUP(Table3[[#This Row],[Document ID]],Table1[],5,FALSE)</f>
        <v>NDC</v>
      </c>
      <c r="E591" s="233" t="str">
        <f>VLOOKUP(Table3[[#This Row],[Document ID]],Table1[],7,FALSE)</f>
        <v>First NDC updated</v>
      </c>
      <c r="F591" s="233" t="str">
        <f>VLOOKUP(Table3[[#This Row],[Document ID]],Table1[],8,FALSE)</f>
        <v>NDC 1.1</v>
      </c>
      <c r="G591" s="233" t="str">
        <f>VLOOKUP(Table3[[#This Row],[Document ID]],Table1[],10,FALSE)</f>
        <v>Archived</v>
      </c>
      <c r="H591" s="216" t="s">
        <v>1089</v>
      </c>
      <c r="I591" s="216" t="s">
        <v>1089</v>
      </c>
      <c r="J591" s="43" t="s">
        <v>1090</v>
      </c>
      <c r="K591" s="28" t="s">
        <v>1153</v>
      </c>
      <c r="L591" s="42" t="s">
        <v>1099</v>
      </c>
      <c r="M591" s="209">
        <v>2030</v>
      </c>
      <c r="N591" s="44" t="s">
        <v>1706</v>
      </c>
      <c r="O591" s="221">
        <v>1</v>
      </c>
      <c r="P591" s="238" t="str">
        <f>VLOOKUP(_xlfn.CONCAT(Table3[[#This Row],[Target area]],Table3[[#This Row],[GHG target?]],Table3[[#This Row],[Conditionality]]),'Drop down'!$E$81:$F$101,2,FALSE)</f>
        <v>T_Economy_Unc</v>
      </c>
      <c r="Q591" s="239" t="str">
        <f>VLOOKUP(Table3[[#This Row],[Target type]],Table418[[Value name]:[Value idenifyer]],2,FALSE)</f>
        <v>T_BYE</v>
      </c>
      <c r="V591" s="233" t="str">
        <f>VLOOKUP(Table3[[#This Row],[Country Code]],Table29[],3,FALSE)</f>
        <v>Annex I</v>
      </c>
      <c r="W591" s="233" t="str">
        <f>VLOOKUP(Table3[[#This Row],[Country Code]],Table29[],4,FALSE)</f>
        <v>Europe</v>
      </c>
      <c r="X591" s="233" t="str">
        <f>VLOOKUP(Table3[[#This Row],[Country Code]],Table29[],5,FALSE)</f>
        <v>High-income</v>
      </c>
      <c r="Y591" s="233" t="str">
        <f>VLOOKUP(Table3[[#This Row],[Country Code]],Table29[],6,FALSE)</f>
        <v>no</v>
      </c>
      <c r="Z591" s="233" t="str">
        <f>VLOOKUP(Table3[[#This Row],[Country Code]],Table29[],7,FALSE)</f>
        <v>no</v>
      </c>
      <c r="AA591" s="233" t="str">
        <f>VLOOKUP(Table3[[#This Row],[Country Code]],Table29[],8,FALSE)</f>
        <v>OECD</v>
      </c>
      <c r="AB591" s="233" t="str">
        <f>VLOOKUP(Table3[[#This Row],[Country Code]],Table29[],9,FALSE)</f>
        <v>no</v>
      </c>
      <c r="AC591" s="233" t="str">
        <f>VLOOKUP(Table3[[#This Row],[Country Code]],Table29[],10,FALSE)</f>
        <v>no</v>
      </c>
      <c r="AD591" s="235">
        <f>VLOOKUP(Table3[[#This Row],[Country Code]],Table29[],23,FALSE)</f>
        <v>56.717099715738001</v>
      </c>
      <c r="AE591" s="235">
        <f>VLOOKUP(Table3[[#This Row],[Country Code]],Table29[],24,FALSE)</f>
        <v>13.64916488890823</v>
      </c>
      <c r="AF591" s="43"/>
    </row>
    <row r="592" spans="1:32" ht="30" x14ac:dyDescent="0.25">
      <c r="A592" s="360">
        <v>17687</v>
      </c>
      <c r="B592" s="233" t="str">
        <f>VLOOKUP(Table3[[#This Row],[Document ID]],Table1[],2,FALSE)</f>
        <v>NOR</v>
      </c>
      <c r="C592" s="233" t="str">
        <f>VLOOKUP(Table3[[#This Row],[Document ID]],Table1[],3,FALSE)</f>
        <v>Norway</v>
      </c>
      <c r="D592" s="233" t="str">
        <f>VLOOKUP(Table3[[#This Row],[Document ID]],Table1[],5,FALSE)</f>
        <v>LTS</v>
      </c>
      <c r="E592" s="233" t="str">
        <f>VLOOKUP(Table3[[#This Row],[Document ID]],Table1[],7,FALSE)</f>
        <v>LTS</v>
      </c>
      <c r="F592" s="233" t="str">
        <f>VLOOKUP(Table3[[#This Row],[Document ID]],Table1[],8,FALSE)</f>
        <v>LTS 1.0</v>
      </c>
      <c r="G592" s="233" t="str">
        <f>VLOOKUP(Table3[[#This Row],[Document ID]],Table1[],10,FALSE)</f>
        <v>Active</v>
      </c>
      <c r="H592" s="216" t="s">
        <v>1089</v>
      </c>
      <c r="I592" s="216" t="s">
        <v>1089</v>
      </c>
      <c r="J592" s="43" t="s">
        <v>1090</v>
      </c>
      <c r="K592" s="28" t="s">
        <v>1121</v>
      </c>
      <c r="L592" s="42" t="s">
        <v>1099</v>
      </c>
      <c r="M592" s="209">
        <v>2050</v>
      </c>
      <c r="N592" s="44" t="s">
        <v>1707</v>
      </c>
      <c r="O592" s="221">
        <v>2</v>
      </c>
      <c r="P592" s="238" t="str">
        <f>VLOOKUP(_xlfn.CONCAT(Table3[[#This Row],[Target area]],Table3[[#This Row],[GHG target?]],Table3[[#This Row],[Conditionality]]),'Drop down'!$E$81:$F$101,2,FALSE)</f>
        <v>T_Economy_Unc</v>
      </c>
      <c r="Q592" s="239" t="str">
        <f>VLOOKUP(Table3[[#This Row],[Target type]],Table418[[Value name]:[Value idenifyer]],2,FALSE)</f>
        <v>T_FL</v>
      </c>
      <c r="V592" s="233" t="str">
        <f>VLOOKUP(Table3[[#This Row],[Country Code]],Table29[],3,FALSE)</f>
        <v>Annex I</v>
      </c>
      <c r="W592" s="233" t="str">
        <f>VLOOKUP(Table3[[#This Row],[Country Code]],Table29[],4,FALSE)</f>
        <v>Europe</v>
      </c>
      <c r="X592" s="233" t="str">
        <f>VLOOKUP(Table3[[#This Row],[Country Code]],Table29[],5,FALSE)</f>
        <v>High-income</v>
      </c>
      <c r="Y592" s="233" t="str">
        <f>VLOOKUP(Table3[[#This Row],[Country Code]],Table29[],6,FALSE)</f>
        <v>no</v>
      </c>
      <c r="Z592" s="233" t="str">
        <f>VLOOKUP(Table3[[#This Row],[Country Code]],Table29[],7,FALSE)</f>
        <v>no</v>
      </c>
      <c r="AA592" s="233" t="str">
        <f>VLOOKUP(Table3[[#This Row],[Country Code]],Table29[],8,FALSE)</f>
        <v>OECD</v>
      </c>
      <c r="AB592" s="233" t="str">
        <f>VLOOKUP(Table3[[#This Row],[Country Code]],Table29[],9,FALSE)</f>
        <v>no</v>
      </c>
      <c r="AC592" s="233" t="str">
        <f>VLOOKUP(Table3[[#This Row],[Country Code]],Table29[],10,FALSE)</f>
        <v>no</v>
      </c>
      <c r="AD592" s="235">
        <f>VLOOKUP(Table3[[#This Row],[Country Code]],Table29[],23,FALSE)</f>
        <v>56.717099715738001</v>
      </c>
      <c r="AE592" s="235">
        <f>VLOOKUP(Table3[[#This Row],[Country Code]],Table29[],24,FALSE)</f>
        <v>13.64916488890823</v>
      </c>
      <c r="AF592" s="43"/>
    </row>
    <row r="593" spans="1:32" x14ac:dyDescent="0.25">
      <c r="A593" s="360">
        <v>17686</v>
      </c>
      <c r="B593" s="233" t="str">
        <f>VLOOKUP(Table3[[#This Row],[Document ID]],Table1[],2,FALSE)</f>
        <v>NOR</v>
      </c>
      <c r="C593" s="233" t="str">
        <f>VLOOKUP(Table3[[#This Row],[Document ID]],Table1[],3,FALSE)</f>
        <v>Norway</v>
      </c>
      <c r="D593" s="233" t="str">
        <f>VLOOKUP(Table3[[#This Row],[Document ID]],Table1[],5,FALSE)</f>
        <v>NDC</v>
      </c>
      <c r="E593" s="233" t="str">
        <f>VLOOKUP(Table3[[#This Row],[Document ID]],Table1[],7,FALSE)</f>
        <v>First NDC</v>
      </c>
      <c r="F593" s="233" t="str">
        <f>VLOOKUP(Table3[[#This Row],[Document ID]],Table1[],8,FALSE)</f>
        <v>NDC 1.0</v>
      </c>
      <c r="G593" s="233" t="str">
        <f>VLOOKUP(Table3[[#This Row],[Document ID]],Table1[],10,FALSE)</f>
        <v>Archived</v>
      </c>
      <c r="H593" s="216" t="s">
        <v>1089</v>
      </c>
      <c r="I593" s="216" t="s">
        <v>1089</v>
      </c>
      <c r="J593" s="43" t="s">
        <v>1090</v>
      </c>
      <c r="K593" s="28" t="s">
        <v>1153</v>
      </c>
      <c r="L593" s="42" t="s">
        <v>1099</v>
      </c>
      <c r="M593" s="209">
        <v>2030</v>
      </c>
      <c r="N593" s="176" t="s">
        <v>1708</v>
      </c>
      <c r="O593" s="258" t="s">
        <v>1094</v>
      </c>
      <c r="P593" s="238" t="str">
        <f>VLOOKUP(_xlfn.CONCAT(Table3[[#This Row],[Target area]],Table3[[#This Row],[GHG target?]],Table3[[#This Row],[Conditionality]]),'Drop down'!$E$81:$F$101,2,FALSE)</f>
        <v>T_Economy_Unc</v>
      </c>
      <c r="Q593" s="239" t="str">
        <f>VLOOKUP(Table3[[#This Row],[Target type]],Table418[[Value name]:[Value idenifyer]],2,FALSE)</f>
        <v>T_BYE</v>
      </c>
      <c r="V593" s="233" t="str">
        <f>VLOOKUP(Table3[[#This Row],[Country Code]],Table29[],3,FALSE)</f>
        <v>Annex I</v>
      </c>
      <c r="W593" s="233" t="str">
        <f>VLOOKUP(Table3[[#This Row],[Country Code]],Table29[],4,FALSE)</f>
        <v>Europe</v>
      </c>
      <c r="X593" s="233" t="str">
        <f>VLOOKUP(Table3[[#This Row],[Country Code]],Table29[],5,FALSE)</f>
        <v>High-income</v>
      </c>
      <c r="Y593" s="233" t="str">
        <f>VLOOKUP(Table3[[#This Row],[Country Code]],Table29[],6,FALSE)</f>
        <v>no</v>
      </c>
      <c r="Z593" s="233" t="str">
        <f>VLOOKUP(Table3[[#This Row],[Country Code]],Table29[],7,FALSE)</f>
        <v>no</v>
      </c>
      <c r="AA593" s="233" t="str">
        <f>VLOOKUP(Table3[[#This Row],[Country Code]],Table29[],8,FALSE)</f>
        <v>OECD</v>
      </c>
      <c r="AB593" s="233" t="str">
        <f>VLOOKUP(Table3[[#This Row],[Country Code]],Table29[],9,FALSE)</f>
        <v>no</v>
      </c>
      <c r="AC593" s="233" t="str">
        <f>VLOOKUP(Table3[[#This Row],[Country Code]],Table29[],10,FALSE)</f>
        <v>no</v>
      </c>
      <c r="AD593" s="235">
        <f>VLOOKUP(Table3[[#This Row],[Country Code]],Table29[],23,FALSE)</f>
        <v>56.717099715738001</v>
      </c>
      <c r="AE593" s="235">
        <f>VLOOKUP(Table3[[#This Row],[Country Code]],Table29[],24,FALSE)</f>
        <v>13.64916488890823</v>
      </c>
      <c r="AF593" s="43"/>
    </row>
    <row r="594" spans="1:32" x14ac:dyDescent="0.25">
      <c r="A594" s="360">
        <v>32510</v>
      </c>
      <c r="B594" s="233" t="str">
        <f>VLOOKUP(Table3[[#This Row],[Document ID]],Table1[],2,FALSE)</f>
        <v>NOR</v>
      </c>
      <c r="C594" s="233" t="str">
        <f>VLOOKUP(Table3[[#This Row],[Document ID]],Table1[],3,FALSE)</f>
        <v>Norway</v>
      </c>
      <c r="D594" s="233" t="str">
        <f>VLOOKUP(Table3[[#This Row],[Document ID]],Table1[],5,FALSE)</f>
        <v>NDC</v>
      </c>
      <c r="E594" s="233" t="str">
        <f>VLOOKUP(Table3[[#This Row],[Document ID]],Table1[],7,FALSE)</f>
        <v>First NDC updated</v>
      </c>
      <c r="F594" s="233" t="str">
        <f>VLOOKUP(Table3[[#This Row],[Document ID]],Table1[],8,FALSE)</f>
        <v>NDC 1.2</v>
      </c>
      <c r="G594" s="233" t="str">
        <f>VLOOKUP(Table3[[#This Row],[Document ID]],Table1[],10,FALSE)</f>
        <v>Active</v>
      </c>
      <c r="H594" s="216" t="s">
        <v>1089</v>
      </c>
      <c r="I594" s="216" t="s">
        <v>1089</v>
      </c>
      <c r="J594" s="43" t="s">
        <v>1090</v>
      </c>
      <c r="K594" s="28" t="s">
        <v>1153</v>
      </c>
      <c r="L594" s="42" t="s">
        <v>1099</v>
      </c>
      <c r="M594" s="209">
        <v>2030</v>
      </c>
      <c r="N594" s="43" t="s">
        <v>1709</v>
      </c>
      <c r="O594" s="258">
        <v>1</v>
      </c>
      <c r="P594" s="238" t="str">
        <f>VLOOKUP(_xlfn.CONCAT(Table3[[#This Row],[Target area]],Table3[[#This Row],[GHG target?]],Table3[[#This Row],[Conditionality]]),'Drop down'!$E$81:$F$101,2,FALSE)</f>
        <v>T_Economy_Unc</v>
      </c>
      <c r="Q594" s="239" t="str">
        <f>VLOOKUP(Table3[[#This Row],[Target type]],Table418[[Value name]:[Value idenifyer]],2,FALSE)</f>
        <v>T_BYE</v>
      </c>
      <c r="V594" s="233" t="str">
        <f>VLOOKUP(Table3[[#This Row],[Country Code]],Table29[],3,FALSE)</f>
        <v>Annex I</v>
      </c>
      <c r="W594" s="233" t="str">
        <f>VLOOKUP(Table3[[#This Row],[Country Code]],Table29[],4,FALSE)</f>
        <v>Europe</v>
      </c>
      <c r="X594" s="233" t="str">
        <f>VLOOKUP(Table3[[#This Row],[Country Code]],Table29[],5,FALSE)</f>
        <v>High-income</v>
      </c>
      <c r="Y594" s="233" t="str">
        <f>VLOOKUP(Table3[[#This Row],[Country Code]],Table29[],6,FALSE)</f>
        <v>no</v>
      </c>
      <c r="Z594" s="233" t="str">
        <f>VLOOKUP(Table3[[#This Row],[Country Code]],Table29[],7,FALSE)</f>
        <v>no</v>
      </c>
      <c r="AA594" s="233" t="str">
        <f>VLOOKUP(Table3[[#This Row],[Country Code]],Table29[],8,FALSE)</f>
        <v>OECD</v>
      </c>
      <c r="AB594" s="233" t="str">
        <f>VLOOKUP(Table3[[#This Row],[Country Code]],Table29[],9,FALSE)</f>
        <v>no</v>
      </c>
      <c r="AC594" s="233" t="str">
        <f>VLOOKUP(Table3[[#This Row],[Country Code]],Table29[],10,FALSE)</f>
        <v>no</v>
      </c>
      <c r="AD594" s="235">
        <f>VLOOKUP(Table3[[#This Row],[Country Code]],Table29[],23,FALSE)</f>
        <v>56.717099715738001</v>
      </c>
      <c r="AE594" s="235">
        <f>VLOOKUP(Table3[[#This Row],[Country Code]],Table29[],24,FALSE)</f>
        <v>13.64916488890823</v>
      </c>
      <c r="AF594" s="43"/>
    </row>
    <row r="595" spans="1:32" x14ac:dyDescent="0.25">
      <c r="A595" s="360">
        <v>17616</v>
      </c>
      <c r="B595" s="233" t="str">
        <f>VLOOKUP(Table3[[#This Row],[Document ID]],Table1[],2,FALSE)</f>
        <v>ISL</v>
      </c>
      <c r="C595" s="233" t="str">
        <f>VLOOKUP(Table3[[#This Row],[Document ID]],Table1[],3,FALSE)</f>
        <v>Iceland</v>
      </c>
      <c r="D595" s="233" t="str">
        <f>VLOOKUP(Table3[[#This Row],[Document ID]],Table1[],5,FALSE)</f>
        <v>NDC</v>
      </c>
      <c r="E595" s="233" t="str">
        <f>VLOOKUP(Table3[[#This Row],[Document ID]],Table1[],7,FALSE)</f>
        <v>First NDC updated</v>
      </c>
      <c r="F595" s="233" t="str">
        <f>VLOOKUP(Table3[[#This Row],[Document ID]],Table1[],8,FALSE)</f>
        <v>NDC 1.1</v>
      </c>
      <c r="G595" s="233" t="str">
        <f>VLOOKUP(Table3[[#This Row],[Document ID]],Table1[],10,FALSE)</f>
        <v>Active</v>
      </c>
      <c r="H595" s="216" t="s">
        <v>1089</v>
      </c>
      <c r="I595" s="216" t="s">
        <v>1089</v>
      </c>
      <c r="J595" s="43" t="s">
        <v>1090</v>
      </c>
      <c r="K595" s="28" t="s">
        <v>1153</v>
      </c>
      <c r="L595" s="42" t="s">
        <v>1099</v>
      </c>
      <c r="M595" s="209">
        <v>2030</v>
      </c>
      <c r="N595" s="44" t="s">
        <v>1710</v>
      </c>
      <c r="O595" s="221">
        <v>2</v>
      </c>
      <c r="P595" s="238" t="str">
        <f>VLOOKUP(_xlfn.CONCAT(Table3[[#This Row],[Target area]],Table3[[#This Row],[GHG target?]],Table3[[#This Row],[Conditionality]]),'Drop down'!$E$81:$F$101,2,FALSE)</f>
        <v>T_Economy_Unc</v>
      </c>
      <c r="Q595" s="239" t="str">
        <f>VLOOKUP(Table3[[#This Row],[Target type]],Table418[[Value name]:[Value idenifyer]],2,FALSE)</f>
        <v>T_BYE</v>
      </c>
      <c r="T595" s="234" t="s">
        <v>1113</v>
      </c>
      <c r="U595" s="240" t="s">
        <v>1221</v>
      </c>
      <c r="V595" s="233" t="str">
        <f>VLOOKUP(Table3[[#This Row],[Country Code]],Table29[],3,FALSE)</f>
        <v>Annex I</v>
      </c>
      <c r="W595" s="233" t="str">
        <f>VLOOKUP(Table3[[#This Row],[Country Code]],Table29[],4,FALSE)</f>
        <v>Europe</v>
      </c>
      <c r="X595" s="233" t="str">
        <f>VLOOKUP(Table3[[#This Row],[Country Code]],Table29[],5,FALSE)</f>
        <v>High-income</v>
      </c>
      <c r="Y595" s="233" t="str">
        <f>VLOOKUP(Table3[[#This Row],[Country Code]],Table29[],6,FALSE)</f>
        <v>no</v>
      </c>
      <c r="Z595" s="233" t="str">
        <f>VLOOKUP(Table3[[#This Row],[Country Code]],Table29[],7,FALSE)</f>
        <v>no</v>
      </c>
      <c r="AA595" s="233" t="str">
        <f>VLOOKUP(Table3[[#This Row],[Country Code]],Table29[],8,FALSE)</f>
        <v>OECD</v>
      </c>
      <c r="AB595" s="233" t="str">
        <f>VLOOKUP(Table3[[#This Row],[Country Code]],Table29[],9,FALSE)</f>
        <v>no</v>
      </c>
      <c r="AC595" s="233" t="str">
        <f>VLOOKUP(Table3[[#This Row],[Country Code]],Table29[],10,FALSE)</f>
        <v>no</v>
      </c>
      <c r="AD595" s="235">
        <f>VLOOKUP(Table3[[#This Row],[Country Code]],Table29[],23,FALSE)</f>
        <v>4.171936013462</v>
      </c>
      <c r="AE595" s="235">
        <f>VLOOKUP(Table3[[#This Row],[Country Code]],Table29[],24,FALSE)</f>
        <v>0.90770990400120422</v>
      </c>
      <c r="AF595" s="43"/>
    </row>
    <row r="596" spans="1:32" ht="45" x14ac:dyDescent="0.25">
      <c r="A596" s="360">
        <v>26780</v>
      </c>
      <c r="B596" s="233" t="str">
        <f>VLOOKUP(Table3[[#This Row],[Document ID]],Table1[],2,FALSE)</f>
        <v>ISL</v>
      </c>
      <c r="C596" s="233" t="str">
        <f>VLOOKUP(Table3[[#This Row],[Document ID]],Table1[],3,FALSE)</f>
        <v>Iceland</v>
      </c>
      <c r="D596" s="233" t="str">
        <f>VLOOKUP(Table3[[#This Row],[Document ID]],Table1[],5,FALSE)</f>
        <v>LTS</v>
      </c>
      <c r="E596" s="233" t="str">
        <f>VLOOKUP(Table3[[#This Row],[Document ID]],Table1[],7,FALSE)</f>
        <v>LTS</v>
      </c>
      <c r="F596" s="233" t="str">
        <f>VLOOKUP(Table3[[#This Row],[Document ID]],Table1[],8,FALSE)</f>
        <v>LTS 1.0</v>
      </c>
      <c r="G596" s="233" t="str">
        <f>VLOOKUP(Table3[[#This Row],[Document ID]],Table1[],10,FALSE)</f>
        <v>Active</v>
      </c>
      <c r="H596" s="216" t="s">
        <v>1089</v>
      </c>
      <c r="I596" s="216" t="s">
        <v>1089</v>
      </c>
      <c r="J596" s="43" t="s">
        <v>1090</v>
      </c>
      <c r="K596" s="28" t="s">
        <v>1121</v>
      </c>
      <c r="L596" s="42" t="s">
        <v>1099</v>
      </c>
      <c r="M596" s="209">
        <v>2040</v>
      </c>
      <c r="N596" s="209" t="s">
        <v>1711</v>
      </c>
      <c r="O596" s="257">
        <v>6</v>
      </c>
      <c r="P596" s="238" t="str">
        <f>VLOOKUP(_xlfn.CONCAT(Table3[[#This Row],[Target area]],Table3[[#This Row],[GHG target?]],Table3[[#This Row],[Conditionality]]),'Drop down'!$E$81:$F$101,2,FALSE)</f>
        <v>T_Economy_Unc</v>
      </c>
      <c r="Q596" s="239" t="str">
        <f>VLOOKUP(Table3[[#This Row],[Target type]],Table418[[Value name]:[Value idenifyer]],2,FALSE)</f>
        <v>T_FL</v>
      </c>
      <c r="S596" s="233" t="s">
        <v>1101</v>
      </c>
      <c r="T596" s="240" t="s">
        <v>1113</v>
      </c>
      <c r="U596" s="240" t="s">
        <v>1221</v>
      </c>
      <c r="V596" s="233" t="str">
        <f>VLOOKUP(Table3[[#This Row],[Country Code]],Table29[],3,FALSE)</f>
        <v>Annex I</v>
      </c>
      <c r="W596" s="233" t="str">
        <f>VLOOKUP(Table3[[#This Row],[Country Code]],Table29[],4,FALSE)</f>
        <v>Europe</v>
      </c>
      <c r="X596" s="233" t="str">
        <f>VLOOKUP(Table3[[#This Row],[Country Code]],Table29[],5,FALSE)</f>
        <v>High-income</v>
      </c>
      <c r="Y596" s="233" t="str">
        <f>VLOOKUP(Table3[[#This Row],[Country Code]],Table29[],6,FALSE)</f>
        <v>no</v>
      </c>
      <c r="Z596" s="233" t="str">
        <f>VLOOKUP(Table3[[#This Row],[Country Code]],Table29[],7,FALSE)</f>
        <v>no</v>
      </c>
      <c r="AA596" s="233" t="str">
        <f>VLOOKUP(Table3[[#This Row],[Country Code]],Table29[],8,FALSE)</f>
        <v>OECD</v>
      </c>
      <c r="AB596" s="233" t="str">
        <f>VLOOKUP(Table3[[#This Row],[Country Code]],Table29[],9,FALSE)</f>
        <v>no</v>
      </c>
      <c r="AC596" s="233" t="str">
        <f>VLOOKUP(Table3[[#This Row],[Country Code]],Table29[],10,FALSE)</f>
        <v>no</v>
      </c>
      <c r="AD596" s="235">
        <f>VLOOKUP(Table3[[#This Row],[Country Code]],Table29[],23,FALSE)</f>
        <v>4.171936013462</v>
      </c>
      <c r="AE596" s="235">
        <f>VLOOKUP(Table3[[#This Row],[Country Code]],Table29[],24,FALSE)</f>
        <v>0.90770990400120422</v>
      </c>
      <c r="AF596" s="43"/>
    </row>
    <row r="597" spans="1:32" ht="30" x14ac:dyDescent="0.25">
      <c r="A597" s="360">
        <v>17708</v>
      </c>
      <c r="B597" s="233" t="str">
        <f>VLOOKUP(Table3[[#This Row],[Document ID]],Table1[],2,FALSE)</f>
        <v>KOR</v>
      </c>
      <c r="C597" s="233" t="str">
        <f>VLOOKUP(Table3[[#This Row],[Document ID]],Table1[],3,FALSE)</f>
        <v>Republic of Korea</v>
      </c>
      <c r="D597" s="233" t="str">
        <f>VLOOKUP(Table3[[#This Row],[Document ID]],Table1[],5,FALSE)</f>
        <v>NDC</v>
      </c>
      <c r="E597" s="233" t="str">
        <f>VLOOKUP(Table3[[#This Row],[Document ID]],Table1[],7,FALSE)</f>
        <v>First NDC updated</v>
      </c>
      <c r="F597" s="233" t="str">
        <f>VLOOKUP(Table3[[#This Row],[Document ID]],Table1[],8,FALSE)</f>
        <v>NDC 1.1</v>
      </c>
      <c r="G597" s="233" t="str">
        <f>VLOOKUP(Table3[[#This Row],[Document ID]],Table1[],10,FALSE)</f>
        <v>Archived</v>
      </c>
      <c r="H597" s="42" t="s">
        <v>1095</v>
      </c>
      <c r="I597" s="42" t="s">
        <v>1096</v>
      </c>
      <c r="J597" s="42" t="s">
        <v>1097</v>
      </c>
      <c r="K597" s="28" t="s">
        <v>1104</v>
      </c>
      <c r="L597" s="42" t="s">
        <v>1099</v>
      </c>
      <c r="M597" s="209">
        <v>2030</v>
      </c>
      <c r="N597" s="44" t="s">
        <v>1712</v>
      </c>
      <c r="O597" s="221">
        <v>11</v>
      </c>
      <c r="P597" s="238" t="str">
        <f>VLOOKUP(_xlfn.CONCAT(Table3[[#This Row],[Target area]],Table3[[#This Row],[GHG target?]],Table3[[#This Row],[Conditionality]]),'Drop down'!$E$81:$F$101,2,FALSE)</f>
        <v>T_Transport_O_Unc</v>
      </c>
      <c r="Q597" s="239" t="str">
        <f>VLOOKUP(Table3[[#This Row],[Target type]],Table418[[Value name]:[Value idenifyer]],2,FALSE)</f>
        <v>T_O_ZERO</v>
      </c>
      <c r="S597" s="233" t="s">
        <v>1101</v>
      </c>
      <c r="T597" s="234" t="s">
        <v>1113</v>
      </c>
      <c r="V597" s="233" t="str">
        <f>VLOOKUP(Table3[[#This Row],[Country Code]],Table29[],3,FALSE)</f>
        <v>Non-Annex I</v>
      </c>
      <c r="W597" s="233" t="str">
        <f>VLOOKUP(Table3[[#This Row],[Country Code]],Table29[],4,FALSE)</f>
        <v>Asia</v>
      </c>
      <c r="X597" s="233" t="str">
        <f>VLOOKUP(Table3[[#This Row],[Country Code]],Table29[],5,FALSE)</f>
        <v>High-income</v>
      </c>
      <c r="Y597" s="233" t="str">
        <f>VLOOKUP(Table3[[#This Row],[Country Code]],Table29[],6,FALSE)</f>
        <v>G20</v>
      </c>
      <c r="Z597" s="233" t="str">
        <f>VLOOKUP(Table3[[#This Row],[Country Code]],Table29[],7,FALSE)</f>
        <v>no</v>
      </c>
      <c r="AA597" s="233" t="str">
        <f>VLOOKUP(Table3[[#This Row],[Country Code]],Table29[],8,FALSE)</f>
        <v>OECD</v>
      </c>
      <c r="AB597" s="233" t="str">
        <f>VLOOKUP(Table3[[#This Row],[Country Code]],Table29[],9,FALSE)</f>
        <v>no</v>
      </c>
      <c r="AC597" s="233" t="str">
        <f>VLOOKUP(Table3[[#This Row],[Country Code]],Table29[],10,FALSE)</f>
        <v>no</v>
      </c>
      <c r="AD597" s="235">
        <f>VLOOKUP(Table3[[#This Row],[Country Code]],Table29[],23,FALSE)</f>
        <v>653.84613998739997</v>
      </c>
      <c r="AE597" s="235">
        <f>VLOOKUP(Table3[[#This Row],[Country Code]],Table29[],24,FALSE)</f>
        <v>107.9154569951917</v>
      </c>
      <c r="AF597" s="43"/>
    </row>
    <row r="598" spans="1:32" x14ac:dyDescent="0.25">
      <c r="A598" s="360">
        <v>17615</v>
      </c>
      <c r="B598" s="233" t="str">
        <f>VLOOKUP(Table3[[#This Row],[Document ID]],Table1[],2,FALSE)</f>
        <v>ISL</v>
      </c>
      <c r="C598" s="233" t="str">
        <f>VLOOKUP(Table3[[#This Row],[Document ID]],Table1[],3,FALSE)</f>
        <v>Iceland</v>
      </c>
      <c r="D598" s="233" t="str">
        <f>VLOOKUP(Table3[[#This Row],[Document ID]],Table1[],5,FALSE)</f>
        <v>NDC</v>
      </c>
      <c r="E598" s="233" t="str">
        <f>VLOOKUP(Table3[[#This Row],[Document ID]],Table1[],7,FALSE)</f>
        <v>First NDC</v>
      </c>
      <c r="F598" s="233" t="str">
        <f>VLOOKUP(Table3[[#This Row],[Document ID]],Table1[],8,FALSE)</f>
        <v>NDC 1.0</v>
      </c>
      <c r="G598" s="233" t="str">
        <f>VLOOKUP(Table3[[#This Row],[Document ID]],Table1[],10,FALSE)</f>
        <v>Archived</v>
      </c>
      <c r="H598" s="216" t="s">
        <v>1089</v>
      </c>
      <c r="I598" s="216" t="s">
        <v>1089</v>
      </c>
      <c r="J598" s="43" t="s">
        <v>1090</v>
      </c>
      <c r="K598" s="28" t="s">
        <v>1153</v>
      </c>
      <c r="L598" s="42" t="s">
        <v>1099</v>
      </c>
      <c r="M598" s="209">
        <v>2030</v>
      </c>
      <c r="N598" s="176" t="s">
        <v>1713</v>
      </c>
      <c r="O598" s="258" t="s">
        <v>1094</v>
      </c>
      <c r="P598" s="238" t="str">
        <f>VLOOKUP(_xlfn.CONCAT(Table3[[#This Row],[Target area]],Table3[[#This Row],[GHG target?]],Table3[[#This Row],[Conditionality]]),'Drop down'!$E$81:$F$101,2,FALSE)</f>
        <v>T_Economy_Unc</v>
      </c>
      <c r="Q598" s="239" t="str">
        <f>VLOOKUP(Table3[[#This Row],[Target type]],Table418[[Value name]:[Value idenifyer]],2,FALSE)</f>
        <v>T_BYE</v>
      </c>
      <c r="T598" s="234" t="s">
        <v>1113</v>
      </c>
      <c r="U598" s="240" t="s">
        <v>1221</v>
      </c>
      <c r="V598" s="233" t="str">
        <f>VLOOKUP(Table3[[#This Row],[Country Code]],Table29[],3,FALSE)</f>
        <v>Annex I</v>
      </c>
      <c r="W598" s="233" t="str">
        <f>VLOOKUP(Table3[[#This Row],[Country Code]],Table29[],4,FALSE)</f>
        <v>Europe</v>
      </c>
      <c r="X598" s="233" t="str">
        <f>VLOOKUP(Table3[[#This Row],[Country Code]],Table29[],5,FALSE)</f>
        <v>High-income</v>
      </c>
      <c r="Y598" s="233" t="str">
        <f>VLOOKUP(Table3[[#This Row],[Country Code]],Table29[],6,FALSE)</f>
        <v>no</v>
      </c>
      <c r="Z598" s="233" t="str">
        <f>VLOOKUP(Table3[[#This Row],[Country Code]],Table29[],7,FALSE)</f>
        <v>no</v>
      </c>
      <c r="AA598" s="233" t="str">
        <f>VLOOKUP(Table3[[#This Row],[Country Code]],Table29[],8,FALSE)</f>
        <v>OECD</v>
      </c>
      <c r="AB598" s="233" t="str">
        <f>VLOOKUP(Table3[[#This Row],[Country Code]],Table29[],9,FALSE)</f>
        <v>no</v>
      </c>
      <c r="AC598" s="233" t="str">
        <f>VLOOKUP(Table3[[#This Row],[Country Code]],Table29[],10,FALSE)</f>
        <v>no</v>
      </c>
      <c r="AD598" s="235">
        <f>VLOOKUP(Table3[[#This Row],[Country Code]],Table29[],23,FALSE)</f>
        <v>4.171936013462</v>
      </c>
      <c r="AE598" s="235">
        <f>VLOOKUP(Table3[[#This Row],[Country Code]],Table29[],24,FALSE)</f>
        <v>0.90770990400120422</v>
      </c>
      <c r="AF598" s="43"/>
    </row>
    <row r="599" spans="1:32" ht="45" x14ac:dyDescent="0.25">
      <c r="A599" s="368">
        <v>26780</v>
      </c>
      <c r="B599" s="233" t="str">
        <f>VLOOKUP(Table3[[#This Row],[Document ID]],Table1[],2,FALSE)</f>
        <v>ISL</v>
      </c>
      <c r="C599" s="233" t="str">
        <f>VLOOKUP(Table3[[#This Row],[Document ID]],Table1[],3,FALSE)</f>
        <v>Iceland</v>
      </c>
      <c r="D599" s="233" t="str">
        <f>VLOOKUP(Table3[[#This Row],[Document ID]],Table1[],5,FALSE)</f>
        <v>LTS</v>
      </c>
      <c r="E599" s="233" t="str">
        <f>VLOOKUP(Table3[[#This Row],[Document ID]],Table1[],7,FALSE)</f>
        <v>LTS</v>
      </c>
      <c r="F599" s="233" t="str">
        <f>VLOOKUP(Table3[[#This Row],[Document ID]],Table1[],8,FALSE)</f>
        <v>LTS 1.0</v>
      </c>
      <c r="G599" s="233" t="str">
        <f>VLOOKUP(Table3[[#This Row],[Document ID]],Table1[],10,FALSE)</f>
        <v>Active</v>
      </c>
      <c r="H599" s="43" t="s">
        <v>1147</v>
      </c>
      <c r="I599" s="43" t="s">
        <v>1089</v>
      </c>
      <c r="J599" s="43" t="s">
        <v>1090</v>
      </c>
      <c r="K599" s="28" t="s">
        <v>1121</v>
      </c>
      <c r="L599" s="43" t="s">
        <v>1116</v>
      </c>
      <c r="M599" s="209">
        <v>2040</v>
      </c>
      <c r="N599" s="209" t="s">
        <v>1711</v>
      </c>
      <c r="O599" s="258">
        <v>6</v>
      </c>
      <c r="P599" s="238" t="str">
        <f>VLOOKUP(_xlfn.CONCAT(Table3[[#This Row],[Target area]],Table3[[#This Row],[GHG target?]],Table3[[#This Row],[Conditionality]]),'Drop down'!$E$81:$F$101,2,FALSE)</f>
        <v>T_Netzero</v>
      </c>
      <c r="Q599" s="239" t="str">
        <f>VLOOKUP(Table3[[#This Row],[Target type]],Table418[[Value name]:[Value idenifyer]],2,FALSE)</f>
        <v>T_FL</v>
      </c>
      <c r="T599" s="240"/>
      <c r="U599" s="234" t="s">
        <v>1240</v>
      </c>
      <c r="V599" s="233" t="str">
        <f>VLOOKUP(Table3[[#This Row],[Country Code]],Table29[],3,FALSE)</f>
        <v>Annex I</v>
      </c>
      <c r="W599" s="233" t="str">
        <f>VLOOKUP(Table3[[#This Row],[Country Code]],Table29[],4,FALSE)</f>
        <v>Europe</v>
      </c>
      <c r="X599" s="233" t="str">
        <f>VLOOKUP(Table3[[#This Row],[Country Code]],Table29[],5,FALSE)</f>
        <v>High-income</v>
      </c>
      <c r="Y599" s="233" t="str">
        <f>VLOOKUP(Table3[[#This Row],[Country Code]],Table29[],6,FALSE)</f>
        <v>no</v>
      </c>
      <c r="Z599" s="233" t="str">
        <f>VLOOKUP(Table3[[#This Row],[Country Code]],Table29[],7,FALSE)</f>
        <v>no</v>
      </c>
      <c r="AA599" s="233" t="str">
        <f>VLOOKUP(Table3[[#This Row],[Country Code]],Table29[],8,FALSE)</f>
        <v>OECD</v>
      </c>
      <c r="AB599" s="233" t="str">
        <f>VLOOKUP(Table3[[#This Row],[Country Code]],Table29[],9,FALSE)</f>
        <v>no</v>
      </c>
      <c r="AC599" s="233" t="str">
        <f>VLOOKUP(Table3[[#This Row],[Country Code]],Table29[],10,FALSE)</f>
        <v>no</v>
      </c>
      <c r="AD599" s="235">
        <f>VLOOKUP(Table3[[#This Row],[Country Code]],Table29[],23,FALSE)</f>
        <v>4.171936013462</v>
      </c>
      <c r="AE599" s="235">
        <f>VLOOKUP(Table3[[#This Row],[Country Code]],Table29[],24,FALSE)</f>
        <v>0.90770990400120422</v>
      </c>
      <c r="AF599" s="42"/>
    </row>
    <row r="600" spans="1:32" ht="60" x14ac:dyDescent="0.25">
      <c r="A600" s="360">
        <v>21254</v>
      </c>
      <c r="B600" s="233" t="str">
        <f>VLOOKUP(Table3[[#This Row],[Document ID]],Table1[],2,FALSE)</f>
        <v>ISR</v>
      </c>
      <c r="C600" s="233" t="str">
        <f>VLOOKUP(Table3[[#This Row],[Document ID]],Table1[],3,FALSE)</f>
        <v>Israel</v>
      </c>
      <c r="D600" s="233" t="str">
        <f>VLOOKUP(Table3[[#This Row],[Document ID]],Table1[],5,FALSE)</f>
        <v>NDC</v>
      </c>
      <c r="E600" s="233" t="str">
        <f>VLOOKUP(Table3[[#This Row],[Document ID]],Table1[],7,FALSE)</f>
        <v>First NDC updated</v>
      </c>
      <c r="F600" s="233" t="str">
        <f>VLOOKUP(Table3[[#This Row],[Document ID]],Table1[],8,FALSE)</f>
        <v>NDC 1.1</v>
      </c>
      <c r="G600" s="233" t="str">
        <f>VLOOKUP(Table3[[#This Row],[Document ID]],Table1[],10,FALSE)</f>
        <v>Active</v>
      </c>
      <c r="H600" s="216" t="s">
        <v>1089</v>
      </c>
      <c r="I600" s="216" t="s">
        <v>1089</v>
      </c>
      <c r="J600" s="43" t="s">
        <v>1090</v>
      </c>
      <c r="K600" s="28" t="s">
        <v>1153</v>
      </c>
      <c r="L600" s="42" t="s">
        <v>1099</v>
      </c>
      <c r="M600" s="209">
        <v>2030</v>
      </c>
      <c r="N600" s="44" t="s">
        <v>1714</v>
      </c>
      <c r="O600" s="258">
        <v>1</v>
      </c>
      <c r="P600" s="238" t="str">
        <f>VLOOKUP(_xlfn.CONCAT(Table3[[#This Row],[Target area]],Table3[[#This Row],[GHG target?]],Table3[[#This Row],[Conditionality]]),'Drop down'!$E$81:$F$101,2,FALSE)</f>
        <v>T_Economy_Unc</v>
      </c>
      <c r="Q600" s="239" t="str">
        <f>VLOOKUP(Table3[[#This Row],[Target type]],Table418[[Value name]:[Value idenifyer]],2,FALSE)</f>
        <v>T_BYE</v>
      </c>
      <c r="S600" s="233" t="s">
        <v>1125</v>
      </c>
      <c r="T600" s="234" t="s">
        <v>1113</v>
      </c>
      <c r="U600" s="234" t="s">
        <v>1113</v>
      </c>
      <c r="V600" s="233" t="str">
        <f>VLOOKUP(Table3[[#This Row],[Country Code]],Table29[],3,FALSE)</f>
        <v>Non-Annex I</v>
      </c>
      <c r="W600" s="233" t="str">
        <f>VLOOKUP(Table3[[#This Row],[Country Code]],Table29[],4,FALSE)</f>
        <v>Asia</v>
      </c>
      <c r="X600" s="233" t="str">
        <f>VLOOKUP(Table3[[#This Row],[Country Code]],Table29[],5,FALSE)</f>
        <v>High-income</v>
      </c>
      <c r="Y600" s="233" t="str">
        <f>VLOOKUP(Table3[[#This Row],[Country Code]],Table29[],6,FALSE)</f>
        <v>no</v>
      </c>
      <c r="Z600" s="233" t="str">
        <f>VLOOKUP(Table3[[#This Row],[Country Code]],Table29[],7,FALSE)</f>
        <v>no</v>
      </c>
      <c r="AA600" s="233" t="str">
        <f>VLOOKUP(Table3[[#This Row],[Country Code]],Table29[],8,FALSE)</f>
        <v>OECD</v>
      </c>
      <c r="AB600" s="233" t="str">
        <f>VLOOKUP(Table3[[#This Row],[Country Code]],Table29[],9,FALSE)</f>
        <v>no</v>
      </c>
      <c r="AC600" s="233" t="str">
        <f>VLOOKUP(Table3[[#This Row],[Country Code]],Table29[],10,FALSE)</f>
        <v>MENA</v>
      </c>
      <c r="AD600" s="235">
        <f>VLOOKUP(Table3[[#This Row],[Country Code]],Table29[],23,FALSE)</f>
        <v>79.578174881425994</v>
      </c>
      <c r="AE600" s="235">
        <f>VLOOKUP(Table3[[#This Row],[Country Code]],Table29[],24,FALSE)</f>
        <v>18.692155253646391</v>
      </c>
      <c r="AF600" s="43"/>
    </row>
    <row r="601" spans="1:32" ht="45" x14ac:dyDescent="0.25">
      <c r="A601" s="360">
        <v>21254</v>
      </c>
      <c r="B601" s="233" t="str">
        <f>VLOOKUP(Table3[[#This Row],[Document ID]],Table1[],2,FALSE)</f>
        <v>ISR</v>
      </c>
      <c r="C601" s="233" t="str">
        <f>VLOOKUP(Table3[[#This Row],[Document ID]],Table1[],3,FALSE)</f>
        <v>Israel</v>
      </c>
      <c r="D601" s="233" t="str">
        <f>VLOOKUP(Table3[[#This Row],[Document ID]],Table1[],5,FALSE)</f>
        <v>NDC</v>
      </c>
      <c r="E601" s="233" t="str">
        <f>VLOOKUP(Table3[[#This Row],[Document ID]],Table1[],7,FALSE)</f>
        <v>First NDC updated</v>
      </c>
      <c r="F601" s="233" t="str">
        <f>VLOOKUP(Table3[[#This Row],[Document ID]],Table1[],8,FALSE)</f>
        <v>NDC 1.1</v>
      </c>
      <c r="G601" s="233" t="str">
        <f>VLOOKUP(Table3[[#This Row],[Document ID]],Table1[],10,FALSE)</f>
        <v>Active</v>
      </c>
      <c r="H601" s="216" t="s">
        <v>1089</v>
      </c>
      <c r="I601" s="216" t="s">
        <v>1089</v>
      </c>
      <c r="J601" s="43" t="s">
        <v>1090</v>
      </c>
      <c r="K601" s="28" t="s">
        <v>1153</v>
      </c>
      <c r="L601" s="42" t="s">
        <v>1099</v>
      </c>
      <c r="M601" s="209">
        <v>2050</v>
      </c>
      <c r="N601" s="44" t="s">
        <v>1715</v>
      </c>
      <c r="O601" s="258">
        <v>1</v>
      </c>
      <c r="P601" s="238" t="str">
        <f>VLOOKUP(_xlfn.CONCAT(Table3[[#This Row],[Target area]],Table3[[#This Row],[GHG target?]],Table3[[#This Row],[Conditionality]]),'Drop down'!$E$81:$F$101,2,FALSE)</f>
        <v>T_Economy_Unc</v>
      </c>
      <c r="Q601" s="239" t="str">
        <f>VLOOKUP(Table3[[#This Row],[Target type]],Table418[[Value name]:[Value idenifyer]],2,FALSE)</f>
        <v>T_BYE</v>
      </c>
      <c r="S601" s="233" t="s">
        <v>1125</v>
      </c>
      <c r="T601" s="234" t="s">
        <v>1113</v>
      </c>
      <c r="U601" s="234" t="s">
        <v>1113</v>
      </c>
      <c r="V601" s="233" t="str">
        <f>VLOOKUP(Table3[[#This Row],[Country Code]],Table29[],3,FALSE)</f>
        <v>Non-Annex I</v>
      </c>
      <c r="W601" s="233" t="str">
        <f>VLOOKUP(Table3[[#This Row],[Country Code]],Table29[],4,FALSE)</f>
        <v>Asia</v>
      </c>
      <c r="X601" s="233" t="str">
        <f>VLOOKUP(Table3[[#This Row],[Country Code]],Table29[],5,FALSE)</f>
        <v>High-income</v>
      </c>
      <c r="Y601" s="233" t="str">
        <f>VLOOKUP(Table3[[#This Row],[Country Code]],Table29[],6,FALSE)</f>
        <v>no</v>
      </c>
      <c r="Z601" s="233" t="str">
        <f>VLOOKUP(Table3[[#This Row],[Country Code]],Table29[],7,FALSE)</f>
        <v>no</v>
      </c>
      <c r="AA601" s="233" t="str">
        <f>VLOOKUP(Table3[[#This Row],[Country Code]],Table29[],8,FALSE)</f>
        <v>OECD</v>
      </c>
      <c r="AB601" s="233" t="str">
        <f>VLOOKUP(Table3[[#This Row],[Country Code]],Table29[],9,FALSE)</f>
        <v>no</v>
      </c>
      <c r="AC601" s="233" t="str">
        <f>VLOOKUP(Table3[[#This Row],[Country Code]],Table29[],10,FALSE)</f>
        <v>MENA</v>
      </c>
      <c r="AD601" s="235">
        <f>VLOOKUP(Table3[[#This Row],[Country Code]],Table29[],23,FALSE)</f>
        <v>79.578174881425994</v>
      </c>
      <c r="AE601" s="235">
        <f>VLOOKUP(Table3[[#This Row],[Country Code]],Table29[],24,FALSE)</f>
        <v>18.692155253646391</v>
      </c>
      <c r="AF601" s="43"/>
    </row>
    <row r="602" spans="1:32" ht="60" x14ac:dyDescent="0.25">
      <c r="A602" s="360">
        <v>21254</v>
      </c>
      <c r="B602" s="233" t="str">
        <f>VLOOKUP(Table3[[#This Row],[Document ID]],Table1[],2,FALSE)</f>
        <v>ISR</v>
      </c>
      <c r="C602" s="233" t="str">
        <f>VLOOKUP(Table3[[#This Row],[Document ID]],Table1[],3,FALSE)</f>
        <v>Israel</v>
      </c>
      <c r="D602" s="233" t="str">
        <f>VLOOKUP(Table3[[#This Row],[Document ID]],Table1[],5,FALSE)</f>
        <v>NDC</v>
      </c>
      <c r="E602" s="233" t="str">
        <f>VLOOKUP(Table3[[#This Row],[Document ID]],Table1[],7,FALSE)</f>
        <v>First NDC updated</v>
      </c>
      <c r="F602" s="233" t="str">
        <f>VLOOKUP(Table3[[#This Row],[Document ID]],Table1[],8,FALSE)</f>
        <v>NDC 1.1</v>
      </c>
      <c r="G602" s="233" t="str">
        <f>VLOOKUP(Table3[[#This Row],[Document ID]],Table1[],10,FALSE)</f>
        <v>Active</v>
      </c>
      <c r="H602" s="216" t="s">
        <v>1089</v>
      </c>
      <c r="I602" s="216" t="s">
        <v>1089</v>
      </c>
      <c r="J602" s="43" t="s">
        <v>1090</v>
      </c>
      <c r="K602" s="28" t="s">
        <v>1121</v>
      </c>
      <c r="L602" s="43" t="s">
        <v>1116</v>
      </c>
      <c r="M602" s="209">
        <v>2050</v>
      </c>
      <c r="N602" s="209" t="s">
        <v>1716</v>
      </c>
      <c r="O602" s="257">
        <v>3</v>
      </c>
      <c r="P602" s="238" t="str">
        <f>VLOOKUP(_xlfn.CONCAT(Table3[[#This Row],[Target area]],Table3[[#This Row],[GHG target?]],Table3[[#This Row],[Conditionality]]),'Drop down'!$E$81:$F$101,2,FALSE)</f>
        <v>T_Economy</v>
      </c>
      <c r="Q602" s="239" t="str">
        <f>VLOOKUP(Table3[[#This Row],[Target type]],Table418[[Value name]:[Value idenifyer]],2,FALSE)</f>
        <v>T_FL</v>
      </c>
      <c r="S602" s="233" t="s">
        <v>1125</v>
      </c>
      <c r="T602" s="234" t="s">
        <v>1113</v>
      </c>
      <c r="U602" s="234" t="s">
        <v>1113</v>
      </c>
      <c r="V602" s="233" t="str">
        <f>VLOOKUP(Table3[[#This Row],[Country Code]],Table29[],3,FALSE)</f>
        <v>Non-Annex I</v>
      </c>
      <c r="W602" s="233" t="str">
        <f>VLOOKUP(Table3[[#This Row],[Country Code]],Table29[],4,FALSE)</f>
        <v>Asia</v>
      </c>
      <c r="X602" s="233" t="str">
        <f>VLOOKUP(Table3[[#This Row],[Country Code]],Table29[],5,FALSE)</f>
        <v>High-income</v>
      </c>
      <c r="Y602" s="233" t="str">
        <f>VLOOKUP(Table3[[#This Row],[Country Code]],Table29[],6,FALSE)</f>
        <v>no</v>
      </c>
      <c r="Z602" s="233" t="str">
        <f>VLOOKUP(Table3[[#This Row],[Country Code]],Table29[],7,FALSE)</f>
        <v>no</v>
      </c>
      <c r="AA602" s="233" t="str">
        <f>VLOOKUP(Table3[[#This Row],[Country Code]],Table29[],8,FALSE)</f>
        <v>OECD</v>
      </c>
      <c r="AB602" s="233" t="str">
        <f>VLOOKUP(Table3[[#This Row],[Country Code]],Table29[],9,FALSE)</f>
        <v>no</v>
      </c>
      <c r="AC602" s="233" t="str">
        <f>VLOOKUP(Table3[[#This Row],[Country Code]],Table29[],10,FALSE)</f>
        <v>MENA</v>
      </c>
      <c r="AD602" s="235">
        <f>VLOOKUP(Table3[[#This Row],[Country Code]],Table29[],23,FALSE)</f>
        <v>79.578174881425994</v>
      </c>
      <c r="AE602" s="235">
        <f>VLOOKUP(Table3[[#This Row],[Country Code]],Table29[],24,FALSE)</f>
        <v>18.692155253646391</v>
      </c>
      <c r="AF602" s="43"/>
    </row>
    <row r="603" spans="1:32" ht="30" x14ac:dyDescent="0.25">
      <c r="A603" s="360">
        <v>17637</v>
      </c>
      <c r="B603" s="233" t="str">
        <f>VLOOKUP(Table3[[#This Row],[Document ID]],Table1[],2,FALSE)</f>
        <v>LAO</v>
      </c>
      <c r="C603" s="233" t="str">
        <f>VLOOKUP(Table3[[#This Row],[Document ID]],Table1[],3,FALSE)</f>
        <v>Lao People’s Democratic Republic</v>
      </c>
      <c r="D603" s="233" t="str">
        <f>VLOOKUP(Table3[[#This Row],[Document ID]],Table1[],5,FALSE)</f>
        <v>NDC</v>
      </c>
      <c r="E603" s="233" t="str">
        <f>VLOOKUP(Table3[[#This Row],[Document ID]],Table1[],7,FALSE)</f>
        <v>First NDC</v>
      </c>
      <c r="F603" s="233" t="str">
        <f>VLOOKUP(Table3[[#This Row],[Document ID]],Table1[],8,FALSE)</f>
        <v>NDC 1.0</v>
      </c>
      <c r="G603" s="233" t="str">
        <f>VLOOKUP(Table3[[#This Row],[Document ID]],Table1[],10,FALSE)</f>
        <v>Archived</v>
      </c>
      <c r="H603" s="42" t="s">
        <v>1095</v>
      </c>
      <c r="I603" s="42" t="s">
        <v>1096</v>
      </c>
      <c r="J603" s="42" t="s">
        <v>1097</v>
      </c>
      <c r="K603" s="28" t="s">
        <v>1102</v>
      </c>
      <c r="L603" s="43" t="s">
        <v>1092</v>
      </c>
      <c r="M603" s="209">
        <v>2025</v>
      </c>
      <c r="N603" s="44" t="s">
        <v>1717</v>
      </c>
      <c r="O603" s="221">
        <v>3</v>
      </c>
      <c r="P603" s="238" t="str">
        <f>VLOOKUP(_xlfn.CONCAT(Table3[[#This Row],[Target area]],Table3[[#This Row],[GHG target?]],Table3[[#This Row],[Conditionality]]),'Drop down'!$E$81:$F$101,2,FALSE)</f>
        <v>T_Transport_O_C</v>
      </c>
      <c r="Q603" s="239" t="str">
        <f>VLOOKUP(Table3[[#This Row],[Target type]],Table418[[Value name]:[Value idenifyer]],2,FALSE)</f>
        <v>T_O_BIO</v>
      </c>
      <c r="S603" s="233" t="s">
        <v>1101</v>
      </c>
      <c r="T603" s="234" t="s">
        <v>1113</v>
      </c>
      <c r="V603" s="233" t="str">
        <f>VLOOKUP(Table3[[#This Row],[Country Code]],Table29[],3,FALSE)</f>
        <v>Non-Annex I</v>
      </c>
      <c r="W603" s="233" t="str">
        <f>VLOOKUP(Table3[[#This Row],[Country Code]],Table29[],4,FALSE)</f>
        <v>Asia</v>
      </c>
      <c r="X603" s="233" t="str">
        <f>VLOOKUP(Table3[[#This Row],[Country Code]],Table29[],5,FALSE)</f>
        <v>Middle-income</v>
      </c>
      <c r="Y603" s="233" t="str">
        <f>VLOOKUP(Table3[[#This Row],[Country Code]],Table29[],6,FALSE)</f>
        <v>no</v>
      </c>
      <c r="Z603" s="233" t="str">
        <f>VLOOKUP(Table3[[#This Row],[Country Code]],Table29[],7,FALSE)</f>
        <v>no</v>
      </c>
      <c r="AA603" s="233" t="str">
        <f>VLOOKUP(Table3[[#This Row],[Country Code]],Table29[],8,FALSE)</f>
        <v>non-OECD</v>
      </c>
      <c r="AB603" s="233" t="str">
        <f>VLOOKUP(Table3[[#This Row],[Country Code]],Table29[],9,FALSE)</f>
        <v>no</v>
      </c>
      <c r="AC603" s="233" t="str">
        <f>VLOOKUP(Table3[[#This Row],[Country Code]],Table29[],10,FALSE)</f>
        <v>no</v>
      </c>
      <c r="AD603" s="235">
        <f>VLOOKUP(Table3[[#This Row],[Country Code]],Table29[],23,FALSE)</f>
        <v>42.056212706049003</v>
      </c>
      <c r="AE603" s="235">
        <f>VLOOKUP(Table3[[#This Row],[Country Code]],Table29[],24,FALSE)</f>
        <v>2.7307302074001272</v>
      </c>
      <c r="AF603" s="43"/>
    </row>
    <row r="604" spans="1:32" ht="45" x14ac:dyDescent="0.25">
      <c r="A604" s="360">
        <v>23380</v>
      </c>
      <c r="B604" s="233" t="str">
        <f>VLOOKUP(Table3[[#This Row],[Document ID]],Table1[],2,FALSE)</f>
        <v>PAK</v>
      </c>
      <c r="C604" s="233" t="str">
        <f>VLOOKUP(Table3[[#This Row],[Document ID]],Table1[],3,FALSE)</f>
        <v>Pakistan</v>
      </c>
      <c r="D604" s="233" t="str">
        <f>VLOOKUP(Table3[[#This Row],[Document ID]],Table1[],5,FALSE)</f>
        <v>NDC</v>
      </c>
      <c r="E604" s="233" t="str">
        <f>VLOOKUP(Table3[[#This Row],[Document ID]],Table1[],7,FALSE)</f>
        <v>First NDC updated</v>
      </c>
      <c r="F604" s="233" t="str">
        <f>VLOOKUP(Table3[[#This Row],[Document ID]],Table1[],8,FALSE)</f>
        <v>NDC 1.2</v>
      </c>
      <c r="G604" s="233" t="str">
        <f>VLOOKUP(Table3[[#This Row],[Document ID]],Table1[],10,FALSE)</f>
        <v>Active</v>
      </c>
      <c r="H604" s="216" t="s">
        <v>1089</v>
      </c>
      <c r="I604" s="216" t="s">
        <v>1089</v>
      </c>
      <c r="J604" s="43" t="s">
        <v>1090</v>
      </c>
      <c r="K604" s="28" t="s">
        <v>1091</v>
      </c>
      <c r="L604" s="42" t="s">
        <v>1099</v>
      </c>
      <c r="M604" s="209">
        <v>2030</v>
      </c>
      <c r="N604" s="209" t="s">
        <v>1718</v>
      </c>
      <c r="O604" s="257">
        <v>14</v>
      </c>
      <c r="P604" s="238" t="str">
        <f>VLOOKUP(_xlfn.CONCAT(Table3[[#This Row],[Target area]],Table3[[#This Row],[GHG target?]],Table3[[#This Row],[Conditionality]]),'Drop down'!$E$81:$F$101,2,FALSE)</f>
        <v>T_Economy_Unc</v>
      </c>
      <c r="Q604" s="239" t="str">
        <f>VLOOKUP(Table3[[#This Row],[Target type]],Table418[[Value name]:[Value idenifyer]],2,FALSE)</f>
        <v>T_BAU</v>
      </c>
      <c r="S604" s="233" t="s">
        <v>1101</v>
      </c>
      <c r="T604" s="240"/>
      <c r="U604" s="240"/>
      <c r="V604" s="233" t="str">
        <f>VLOOKUP(Table3[[#This Row],[Country Code]],Table29[],3,FALSE)</f>
        <v>Non-Annex I</v>
      </c>
      <c r="W604" s="233" t="str">
        <f>VLOOKUP(Table3[[#This Row],[Country Code]],Table29[],4,FALSE)</f>
        <v>Asia</v>
      </c>
      <c r="X604" s="233" t="str">
        <f>VLOOKUP(Table3[[#This Row],[Country Code]],Table29[],5,FALSE)</f>
        <v>Middle-income</v>
      </c>
      <c r="Y604" s="233" t="str">
        <f>VLOOKUP(Table3[[#This Row],[Country Code]],Table29[],6,FALSE)</f>
        <v>no</v>
      </c>
      <c r="Z604" s="233" t="str">
        <f>VLOOKUP(Table3[[#This Row],[Country Code]],Table29[],7,FALSE)</f>
        <v>no</v>
      </c>
      <c r="AA604" s="233" t="str">
        <f>VLOOKUP(Table3[[#This Row],[Country Code]],Table29[],8,FALSE)</f>
        <v>non-OECD</v>
      </c>
      <c r="AB604" s="233" t="str">
        <f>VLOOKUP(Table3[[#This Row],[Country Code]],Table29[],9,FALSE)</f>
        <v>no</v>
      </c>
      <c r="AC604" s="233" t="str">
        <f>VLOOKUP(Table3[[#This Row],[Country Code]],Table29[],10,FALSE)</f>
        <v>no</v>
      </c>
      <c r="AD604" s="235">
        <f>VLOOKUP(Table3[[#This Row],[Country Code]],Table29[],23,FALSE)</f>
        <v>532.37448361891995</v>
      </c>
      <c r="AE604" s="235">
        <f>VLOOKUP(Table3[[#This Row],[Country Code]],Table29[],24,FALSE)</f>
        <v>44.891195611563681</v>
      </c>
      <c r="AF604" s="43"/>
    </row>
    <row r="605" spans="1:32" x14ac:dyDescent="0.25">
      <c r="A605" s="360">
        <v>23380</v>
      </c>
      <c r="B605" s="233" t="str">
        <f>VLOOKUP(Table3[[#This Row],[Document ID]],Table1[],2,FALSE)</f>
        <v>PAK</v>
      </c>
      <c r="C605" s="233" t="str">
        <f>VLOOKUP(Table3[[#This Row],[Document ID]],Table1[],3,FALSE)</f>
        <v>Pakistan</v>
      </c>
      <c r="D605" s="233" t="str">
        <f>VLOOKUP(Table3[[#This Row],[Document ID]],Table1[],5,FALSE)</f>
        <v>NDC</v>
      </c>
      <c r="E605" s="233" t="str">
        <f>VLOOKUP(Table3[[#This Row],[Document ID]],Table1[],7,FALSE)</f>
        <v>First NDC updated</v>
      </c>
      <c r="F605" s="233" t="str">
        <f>VLOOKUP(Table3[[#This Row],[Document ID]],Table1[],8,FALSE)</f>
        <v>NDC 1.2</v>
      </c>
      <c r="G605" s="233" t="str">
        <f>VLOOKUP(Table3[[#This Row],[Document ID]],Table1[],10,FALSE)</f>
        <v>Active</v>
      </c>
      <c r="H605" s="216" t="s">
        <v>1089</v>
      </c>
      <c r="I605" s="216" t="s">
        <v>1089</v>
      </c>
      <c r="J605" s="43" t="s">
        <v>1090</v>
      </c>
      <c r="K605" s="28" t="s">
        <v>1091</v>
      </c>
      <c r="L605" s="216" t="s">
        <v>1092</v>
      </c>
      <c r="M605" s="209">
        <v>2030</v>
      </c>
      <c r="N605" s="209" t="s">
        <v>1719</v>
      </c>
      <c r="O605" s="257">
        <v>14</v>
      </c>
      <c r="P605" s="238" t="str">
        <f>VLOOKUP(_xlfn.CONCAT(Table3[[#This Row],[Target area]],Table3[[#This Row],[GHG target?]],Table3[[#This Row],[Conditionality]]),'Drop down'!$E$81:$F$101,2,FALSE)</f>
        <v>T_Economy_C</v>
      </c>
      <c r="Q605" s="239" t="str">
        <f>VLOOKUP(Table3[[#This Row],[Target type]],Table418[[Value name]:[Value idenifyer]],2,FALSE)</f>
        <v>T_BAU</v>
      </c>
      <c r="S605" s="233" t="s">
        <v>1101</v>
      </c>
      <c r="T605" s="240"/>
      <c r="U605" s="240"/>
      <c r="V605" s="233" t="str">
        <f>VLOOKUP(Table3[[#This Row],[Country Code]],Table29[],3,FALSE)</f>
        <v>Non-Annex I</v>
      </c>
      <c r="W605" s="233" t="str">
        <f>VLOOKUP(Table3[[#This Row],[Country Code]],Table29[],4,FALSE)</f>
        <v>Asia</v>
      </c>
      <c r="X605" s="233" t="str">
        <f>VLOOKUP(Table3[[#This Row],[Country Code]],Table29[],5,FALSE)</f>
        <v>Middle-income</v>
      </c>
      <c r="Y605" s="233" t="str">
        <f>VLOOKUP(Table3[[#This Row],[Country Code]],Table29[],6,FALSE)</f>
        <v>no</v>
      </c>
      <c r="Z605" s="233" t="str">
        <f>VLOOKUP(Table3[[#This Row],[Country Code]],Table29[],7,FALSE)</f>
        <v>no</v>
      </c>
      <c r="AA605" s="233" t="str">
        <f>VLOOKUP(Table3[[#This Row],[Country Code]],Table29[],8,FALSE)</f>
        <v>non-OECD</v>
      </c>
      <c r="AB605" s="233" t="str">
        <f>VLOOKUP(Table3[[#This Row],[Country Code]],Table29[],9,FALSE)</f>
        <v>no</v>
      </c>
      <c r="AC605" s="233" t="str">
        <f>VLOOKUP(Table3[[#This Row],[Country Code]],Table29[],10,FALSE)</f>
        <v>no</v>
      </c>
      <c r="AD605" s="235">
        <f>VLOOKUP(Table3[[#This Row],[Country Code]],Table29[],23,FALSE)</f>
        <v>532.37448361891995</v>
      </c>
      <c r="AE605" s="235">
        <f>VLOOKUP(Table3[[#This Row],[Country Code]],Table29[],24,FALSE)</f>
        <v>44.891195611563681</v>
      </c>
      <c r="AF605" s="43"/>
    </row>
    <row r="606" spans="1:32" ht="45" x14ac:dyDescent="0.25">
      <c r="A606" s="360">
        <v>20343</v>
      </c>
      <c r="B606" s="233" t="str">
        <f>VLOOKUP(Table3[[#This Row],[Document ID]],Table1[],2,FALSE)</f>
        <v>LAO</v>
      </c>
      <c r="C606" s="233" t="str">
        <f>VLOOKUP(Table3[[#This Row],[Document ID]],Table1[],3,FALSE)</f>
        <v>Lao People’s Democratic Republic</v>
      </c>
      <c r="D606" s="233" t="str">
        <f>VLOOKUP(Table3[[#This Row],[Document ID]],Table1[],5,FALSE)</f>
        <v>NDC</v>
      </c>
      <c r="E606" s="233" t="str">
        <f>VLOOKUP(Table3[[#This Row],[Document ID]],Table1[],7,FALSE)</f>
        <v>First NDC updated</v>
      </c>
      <c r="F606" s="233" t="str">
        <f>VLOOKUP(Table3[[#This Row],[Document ID]],Table1[],8,FALSE)</f>
        <v>NDC 1.1</v>
      </c>
      <c r="G606" s="233" t="str">
        <f>VLOOKUP(Table3[[#This Row],[Document ID]],Table1[],10,FALSE)</f>
        <v>Active</v>
      </c>
      <c r="H606" s="42" t="s">
        <v>1095</v>
      </c>
      <c r="I606" s="42" t="s">
        <v>1096</v>
      </c>
      <c r="J606" s="42" t="s">
        <v>1097</v>
      </c>
      <c r="K606" s="28" t="s">
        <v>1162</v>
      </c>
      <c r="L606" s="42" t="s">
        <v>1099</v>
      </c>
      <c r="M606" s="209">
        <v>2030</v>
      </c>
      <c r="N606" s="209" t="s">
        <v>1720</v>
      </c>
      <c r="O606" s="259">
        <v>5</v>
      </c>
      <c r="P606" s="238" t="str">
        <f>VLOOKUP(_xlfn.CONCAT(Table3[[#This Row],[Target area]],Table3[[#This Row],[GHG target?]],Table3[[#This Row],[Conditionality]]),'Drop down'!$E$81:$F$101,2,FALSE)</f>
        <v>T_Transport_O_Unc</v>
      </c>
      <c r="Q606" s="239" t="str">
        <f>VLOOKUP(Table3[[#This Row],[Target type]],Table418[[Value name]:[Value idenifyer]],2,FALSE)</f>
        <v>T_O_INFRA</v>
      </c>
      <c r="S606" s="233" t="s">
        <v>1101</v>
      </c>
      <c r="T606" s="234" t="s">
        <v>1113</v>
      </c>
      <c r="V606" s="233" t="str">
        <f>VLOOKUP(Table3[[#This Row],[Country Code]],Table29[],3,FALSE)</f>
        <v>Non-Annex I</v>
      </c>
      <c r="W606" s="233" t="str">
        <f>VLOOKUP(Table3[[#This Row],[Country Code]],Table29[],4,FALSE)</f>
        <v>Asia</v>
      </c>
      <c r="X606" s="233" t="str">
        <f>VLOOKUP(Table3[[#This Row],[Country Code]],Table29[],5,FALSE)</f>
        <v>Middle-income</v>
      </c>
      <c r="Y606" s="233" t="str">
        <f>VLOOKUP(Table3[[#This Row],[Country Code]],Table29[],6,FALSE)</f>
        <v>no</v>
      </c>
      <c r="Z606" s="233" t="str">
        <f>VLOOKUP(Table3[[#This Row],[Country Code]],Table29[],7,FALSE)</f>
        <v>no</v>
      </c>
      <c r="AA606" s="233" t="str">
        <f>VLOOKUP(Table3[[#This Row],[Country Code]],Table29[],8,FALSE)</f>
        <v>non-OECD</v>
      </c>
      <c r="AB606" s="233" t="str">
        <f>VLOOKUP(Table3[[#This Row],[Country Code]],Table29[],9,FALSE)</f>
        <v>no</v>
      </c>
      <c r="AC606" s="233" t="str">
        <f>VLOOKUP(Table3[[#This Row],[Country Code]],Table29[],10,FALSE)</f>
        <v>no</v>
      </c>
      <c r="AD606" s="235">
        <f>VLOOKUP(Table3[[#This Row],[Country Code]],Table29[],23,FALSE)</f>
        <v>42.056212706049003</v>
      </c>
      <c r="AE606" s="235">
        <f>VLOOKUP(Table3[[#This Row],[Country Code]],Table29[],24,FALSE)</f>
        <v>2.7307302074001272</v>
      </c>
      <c r="AF606" s="43"/>
    </row>
    <row r="607" spans="1:32" ht="30" x14ac:dyDescent="0.25">
      <c r="A607" s="360">
        <v>20343</v>
      </c>
      <c r="B607" s="233" t="str">
        <f>VLOOKUP(Table3[[#This Row],[Document ID]],Table1[],2,FALSE)</f>
        <v>LAO</v>
      </c>
      <c r="C607" s="233" t="str">
        <f>VLOOKUP(Table3[[#This Row],[Document ID]],Table1[],3,FALSE)</f>
        <v>Lao People’s Democratic Republic</v>
      </c>
      <c r="D607" s="233" t="str">
        <f>VLOOKUP(Table3[[#This Row],[Document ID]],Table1[],5,FALSE)</f>
        <v>NDC</v>
      </c>
      <c r="E607" s="233" t="str">
        <f>VLOOKUP(Table3[[#This Row],[Document ID]],Table1[],7,FALSE)</f>
        <v>First NDC updated</v>
      </c>
      <c r="F607" s="233" t="str">
        <f>VLOOKUP(Table3[[#This Row],[Document ID]],Table1[],8,FALSE)</f>
        <v>NDC 1.1</v>
      </c>
      <c r="G607" s="233" t="str">
        <f>VLOOKUP(Table3[[#This Row],[Document ID]],Table1[],10,FALSE)</f>
        <v>Active</v>
      </c>
      <c r="H607" s="42" t="s">
        <v>1095</v>
      </c>
      <c r="I607" s="42" t="s">
        <v>1096</v>
      </c>
      <c r="J607" s="42" t="s">
        <v>1097</v>
      </c>
      <c r="K607" s="28" t="s">
        <v>1104</v>
      </c>
      <c r="L607" s="216" t="s">
        <v>1092</v>
      </c>
      <c r="M607" s="209">
        <v>2030</v>
      </c>
      <c r="N607" s="209" t="s">
        <v>1721</v>
      </c>
      <c r="O607" s="259">
        <v>6</v>
      </c>
      <c r="P607" s="238" t="str">
        <f>VLOOKUP(_xlfn.CONCAT(Table3[[#This Row],[Target area]],Table3[[#This Row],[GHG target?]],Table3[[#This Row],[Conditionality]]),'Drop down'!$E$81:$F$101,2,FALSE)</f>
        <v>T_Transport_O_C</v>
      </c>
      <c r="Q607" s="239" t="str">
        <f>VLOOKUP(Table3[[#This Row],[Target type]],Table418[[Value name]:[Value idenifyer]],2,FALSE)</f>
        <v>T_O_ZERO</v>
      </c>
      <c r="S607" s="233" t="s">
        <v>1101</v>
      </c>
      <c r="T607" s="234" t="s">
        <v>1113</v>
      </c>
      <c r="V607" s="233" t="str">
        <f>VLOOKUP(Table3[[#This Row],[Country Code]],Table29[],3,FALSE)</f>
        <v>Non-Annex I</v>
      </c>
      <c r="W607" s="233" t="str">
        <f>VLOOKUP(Table3[[#This Row],[Country Code]],Table29[],4,FALSE)</f>
        <v>Asia</v>
      </c>
      <c r="X607" s="233" t="str">
        <f>VLOOKUP(Table3[[#This Row],[Country Code]],Table29[],5,FALSE)</f>
        <v>Middle-income</v>
      </c>
      <c r="Y607" s="233" t="str">
        <f>VLOOKUP(Table3[[#This Row],[Country Code]],Table29[],6,FALSE)</f>
        <v>no</v>
      </c>
      <c r="Z607" s="233" t="str">
        <f>VLOOKUP(Table3[[#This Row],[Country Code]],Table29[],7,FALSE)</f>
        <v>no</v>
      </c>
      <c r="AA607" s="233" t="str">
        <f>VLOOKUP(Table3[[#This Row],[Country Code]],Table29[],8,FALSE)</f>
        <v>non-OECD</v>
      </c>
      <c r="AB607" s="233" t="str">
        <f>VLOOKUP(Table3[[#This Row],[Country Code]],Table29[],9,FALSE)</f>
        <v>no</v>
      </c>
      <c r="AC607" s="233" t="str">
        <f>VLOOKUP(Table3[[#This Row],[Country Code]],Table29[],10,FALSE)</f>
        <v>no</v>
      </c>
      <c r="AD607" s="235">
        <f>VLOOKUP(Table3[[#This Row],[Country Code]],Table29[],23,FALSE)</f>
        <v>42.056212706049003</v>
      </c>
      <c r="AE607" s="235">
        <f>VLOOKUP(Table3[[#This Row],[Country Code]],Table29[],24,FALSE)</f>
        <v>2.7307302074001272</v>
      </c>
      <c r="AF607" s="43"/>
    </row>
    <row r="608" spans="1:32" ht="30" x14ac:dyDescent="0.25">
      <c r="A608" s="360">
        <v>17690</v>
      </c>
      <c r="B608" s="233" t="str">
        <f>VLOOKUP(Table3[[#This Row],[Document ID]],Table1[],2,FALSE)</f>
        <v>PAK</v>
      </c>
      <c r="C608" s="233" t="str">
        <f>VLOOKUP(Table3[[#This Row],[Document ID]],Table1[],3,FALSE)</f>
        <v>Pakistan</v>
      </c>
      <c r="D608" s="233" t="str">
        <f>VLOOKUP(Table3[[#This Row],[Document ID]],Table1[],5,FALSE)</f>
        <v>NDC</v>
      </c>
      <c r="E608" s="233" t="str">
        <f>VLOOKUP(Table3[[#This Row],[Document ID]],Table1[],7,FALSE)</f>
        <v>First NDC</v>
      </c>
      <c r="F608" s="233" t="str">
        <f>VLOOKUP(Table3[[#This Row],[Document ID]],Table1[],8,FALSE)</f>
        <v>NDC 1.0</v>
      </c>
      <c r="G608" s="233" t="str">
        <f>VLOOKUP(Table3[[#This Row],[Document ID]],Table1[],10,FALSE)</f>
        <v>Archived</v>
      </c>
      <c r="H608" s="216" t="s">
        <v>1089</v>
      </c>
      <c r="I608" s="216" t="s">
        <v>1089</v>
      </c>
      <c r="J608" s="43" t="s">
        <v>1090</v>
      </c>
      <c r="K608" s="28" t="s">
        <v>1091</v>
      </c>
      <c r="L608" s="216" t="s">
        <v>1092</v>
      </c>
      <c r="M608" s="209">
        <v>2030</v>
      </c>
      <c r="N608" s="176" t="s">
        <v>1722</v>
      </c>
      <c r="O608" s="258" t="s">
        <v>1094</v>
      </c>
      <c r="P608" s="238" t="str">
        <f>VLOOKUP(_xlfn.CONCAT(Table3[[#This Row],[Target area]],Table3[[#This Row],[GHG target?]],Table3[[#This Row],[Conditionality]]),'Drop down'!$E$81:$F$101,2,FALSE)</f>
        <v>T_Economy_C</v>
      </c>
      <c r="Q608" s="239" t="str">
        <f>VLOOKUP(Table3[[#This Row],[Target type]],Table418[[Value name]:[Value idenifyer]],2,FALSE)</f>
        <v>T_BAU</v>
      </c>
      <c r="T608" s="240"/>
      <c r="U608" s="240"/>
      <c r="V608" s="233" t="str">
        <f>VLOOKUP(Table3[[#This Row],[Country Code]],Table29[],3,FALSE)</f>
        <v>Non-Annex I</v>
      </c>
      <c r="W608" s="233" t="str">
        <f>VLOOKUP(Table3[[#This Row],[Country Code]],Table29[],4,FALSE)</f>
        <v>Asia</v>
      </c>
      <c r="X608" s="233" t="str">
        <f>VLOOKUP(Table3[[#This Row],[Country Code]],Table29[],5,FALSE)</f>
        <v>Middle-income</v>
      </c>
      <c r="Y608" s="233" t="str">
        <f>VLOOKUP(Table3[[#This Row],[Country Code]],Table29[],6,FALSE)</f>
        <v>no</v>
      </c>
      <c r="Z608" s="233" t="str">
        <f>VLOOKUP(Table3[[#This Row],[Country Code]],Table29[],7,FALSE)</f>
        <v>no</v>
      </c>
      <c r="AA608" s="233" t="str">
        <f>VLOOKUP(Table3[[#This Row],[Country Code]],Table29[],8,FALSE)</f>
        <v>non-OECD</v>
      </c>
      <c r="AB608" s="233" t="str">
        <f>VLOOKUP(Table3[[#This Row],[Country Code]],Table29[],9,FALSE)</f>
        <v>no</v>
      </c>
      <c r="AC608" s="233" t="str">
        <f>VLOOKUP(Table3[[#This Row],[Country Code]],Table29[],10,FALSE)</f>
        <v>no</v>
      </c>
      <c r="AD608" s="235">
        <f>VLOOKUP(Table3[[#This Row],[Country Code]],Table29[],23,FALSE)</f>
        <v>532.37448361891995</v>
      </c>
      <c r="AE608" s="235">
        <f>VLOOKUP(Table3[[#This Row],[Country Code]],Table29[],24,FALSE)</f>
        <v>44.891195611563681</v>
      </c>
      <c r="AF608" s="43"/>
    </row>
    <row r="609" spans="1:32" x14ac:dyDescent="0.25">
      <c r="A609" s="360">
        <v>17691</v>
      </c>
      <c r="B609" s="233" t="str">
        <f>VLOOKUP(Table3[[#This Row],[Document ID]],Table1[],2,FALSE)</f>
        <v>PLW</v>
      </c>
      <c r="C609" s="233" t="str">
        <f>VLOOKUP(Table3[[#This Row],[Document ID]],Table1[],3,FALSE)</f>
        <v>Palau</v>
      </c>
      <c r="D609" s="233" t="str">
        <f>VLOOKUP(Table3[[#This Row],[Document ID]],Table1[],5,FALSE)</f>
        <v>NDC</v>
      </c>
      <c r="E609" s="233" t="str">
        <f>VLOOKUP(Table3[[#This Row],[Document ID]],Table1[],7,FALSE)</f>
        <v>First NDC</v>
      </c>
      <c r="F609" s="233" t="str">
        <f>VLOOKUP(Table3[[#This Row],[Document ID]],Table1[],8,FALSE)</f>
        <v>NDC 1.0</v>
      </c>
      <c r="G609" s="233" t="str">
        <f>VLOOKUP(Table3[[#This Row],[Document ID]],Table1[],10,FALSE)</f>
        <v>Active</v>
      </c>
      <c r="H609" s="216" t="s">
        <v>1089</v>
      </c>
      <c r="I609" s="216" t="s">
        <v>1089</v>
      </c>
      <c r="J609" s="43" t="s">
        <v>1090</v>
      </c>
      <c r="K609" s="28" t="s">
        <v>1091</v>
      </c>
      <c r="L609" s="216" t="s">
        <v>1092</v>
      </c>
      <c r="M609" s="209">
        <v>2025</v>
      </c>
      <c r="N609" s="176" t="s">
        <v>1723</v>
      </c>
      <c r="O609" s="258" t="s">
        <v>1094</v>
      </c>
      <c r="P609" s="238" t="str">
        <f>VLOOKUP(_xlfn.CONCAT(Table3[[#This Row],[Target area]],Table3[[#This Row],[GHG target?]],Table3[[#This Row],[Conditionality]]),'Drop down'!$E$81:$F$101,2,FALSE)</f>
        <v>T_Economy_C</v>
      </c>
      <c r="Q609" s="239" t="str">
        <f>VLOOKUP(Table3[[#This Row],[Target type]],Table418[[Value name]:[Value idenifyer]],2,FALSE)</f>
        <v>T_BAU</v>
      </c>
      <c r="T609" s="240"/>
      <c r="U609" s="240"/>
      <c r="V609" s="233" t="str">
        <f>VLOOKUP(Table3[[#This Row],[Country Code]],Table29[],3,FALSE)</f>
        <v>Non-Annex I</v>
      </c>
      <c r="W609" s="233" t="str">
        <f>VLOOKUP(Table3[[#This Row],[Country Code]],Table29[],4,FALSE)</f>
        <v>Oceania</v>
      </c>
      <c r="X609" s="233" t="str">
        <f>VLOOKUP(Table3[[#This Row],[Country Code]],Table29[],5,FALSE)</f>
        <v>High-income</v>
      </c>
      <c r="Y609" s="233" t="str">
        <f>VLOOKUP(Table3[[#This Row],[Country Code]],Table29[],6,FALSE)</f>
        <v>no</v>
      </c>
      <c r="Z609" s="233" t="str">
        <f>VLOOKUP(Table3[[#This Row],[Country Code]],Table29[],7,FALSE)</f>
        <v>no</v>
      </c>
      <c r="AA609" s="233" t="str">
        <f>VLOOKUP(Table3[[#This Row],[Country Code]],Table29[],8,FALSE)</f>
        <v>non-OECD</v>
      </c>
      <c r="AB609" s="233" t="str">
        <f>VLOOKUP(Table3[[#This Row],[Country Code]],Table29[],9,FALSE)</f>
        <v>no</v>
      </c>
      <c r="AC609" s="233" t="str">
        <f>VLOOKUP(Table3[[#This Row],[Country Code]],Table29[],10,FALSE)</f>
        <v>no</v>
      </c>
      <c r="AD609" s="235">
        <f>VLOOKUP(Table3[[#This Row],[Country Code]],Table29[],23,FALSE)</f>
        <v>1.5016528321032001</v>
      </c>
      <c r="AE609" s="235">
        <f>VLOOKUP(Table3[[#This Row],[Country Code]],Table29[],24,FALSE)</f>
        <v>0.76697976393919287</v>
      </c>
      <c r="AF609" s="43"/>
    </row>
    <row r="610" spans="1:32" x14ac:dyDescent="0.25">
      <c r="A610" s="360">
        <v>20343</v>
      </c>
      <c r="B610" s="233" t="str">
        <f>VLOOKUP(Table3[[#This Row],[Document ID]],Table1[],2,FALSE)</f>
        <v>LAO</v>
      </c>
      <c r="C610" s="233" t="str">
        <f>VLOOKUP(Table3[[#This Row],[Document ID]],Table1[],3,FALSE)</f>
        <v>Lao People’s Democratic Republic</v>
      </c>
      <c r="D610" s="233" t="str">
        <f>VLOOKUP(Table3[[#This Row],[Document ID]],Table1[],5,FALSE)</f>
        <v>NDC</v>
      </c>
      <c r="E610" s="233" t="str">
        <f>VLOOKUP(Table3[[#This Row],[Document ID]],Table1[],7,FALSE)</f>
        <v>First NDC updated</v>
      </c>
      <c r="F610" s="233" t="str">
        <f>VLOOKUP(Table3[[#This Row],[Document ID]],Table1[],8,FALSE)</f>
        <v>NDC 1.1</v>
      </c>
      <c r="G610" s="233" t="str">
        <f>VLOOKUP(Table3[[#This Row],[Document ID]],Table1[],10,FALSE)</f>
        <v>Active</v>
      </c>
      <c r="H610" s="42" t="s">
        <v>1095</v>
      </c>
      <c r="I610" s="42" t="s">
        <v>1096</v>
      </c>
      <c r="J610" s="42" t="s">
        <v>1097</v>
      </c>
      <c r="K610" s="28" t="s">
        <v>1102</v>
      </c>
      <c r="L610" s="216" t="s">
        <v>1092</v>
      </c>
      <c r="M610" s="209">
        <v>2030</v>
      </c>
      <c r="N610" s="209" t="s">
        <v>1724</v>
      </c>
      <c r="O610" s="259">
        <v>6</v>
      </c>
      <c r="P610" s="238" t="str">
        <f>VLOOKUP(_xlfn.CONCAT(Table3[[#This Row],[Target area]],Table3[[#This Row],[GHG target?]],Table3[[#This Row],[Conditionality]]),'Drop down'!$E$81:$F$101,2,FALSE)</f>
        <v>T_Transport_O_C</v>
      </c>
      <c r="Q610" s="239" t="str">
        <f>VLOOKUP(Table3[[#This Row],[Target type]],Table418[[Value name]:[Value idenifyer]],2,FALSE)</f>
        <v>T_O_BIO</v>
      </c>
      <c r="S610" s="233" t="s">
        <v>1101</v>
      </c>
      <c r="T610" s="234" t="s">
        <v>1113</v>
      </c>
      <c r="V610" s="233" t="str">
        <f>VLOOKUP(Table3[[#This Row],[Country Code]],Table29[],3,FALSE)</f>
        <v>Non-Annex I</v>
      </c>
      <c r="W610" s="233" t="str">
        <f>VLOOKUP(Table3[[#This Row],[Country Code]],Table29[],4,FALSE)</f>
        <v>Asia</v>
      </c>
      <c r="X610" s="233" t="str">
        <f>VLOOKUP(Table3[[#This Row],[Country Code]],Table29[],5,FALSE)</f>
        <v>Middle-income</v>
      </c>
      <c r="Y610" s="233" t="str">
        <f>VLOOKUP(Table3[[#This Row],[Country Code]],Table29[],6,FALSE)</f>
        <v>no</v>
      </c>
      <c r="Z610" s="233" t="str">
        <f>VLOOKUP(Table3[[#This Row],[Country Code]],Table29[],7,FALSE)</f>
        <v>no</v>
      </c>
      <c r="AA610" s="233" t="str">
        <f>VLOOKUP(Table3[[#This Row],[Country Code]],Table29[],8,FALSE)</f>
        <v>non-OECD</v>
      </c>
      <c r="AB610" s="233" t="str">
        <f>VLOOKUP(Table3[[#This Row],[Country Code]],Table29[],9,FALSE)</f>
        <v>no</v>
      </c>
      <c r="AC610" s="233" t="str">
        <f>VLOOKUP(Table3[[#This Row],[Country Code]],Table29[],10,FALSE)</f>
        <v>no</v>
      </c>
      <c r="AD610" s="235">
        <f>VLOOKUP(Table3[[#This Row],[Country Code]],Table29[],23,FALSE)</f>
        <v>42.056212706049003</v>
      </c>
      <c r="AE610" s="235">
        <f>VLOOKUP(Table3[[#This Row],[Country Code]],Table29[],24,FALSE)</f>
        <v>2.7307302074001272</v>
      </c>
      <c r="AF610" s="43"/>
    </row>
    <row r="611" spans="1:32" ht="30" x14ac:dyDescent="0.25">
      <c r="A611" s="360">
        <v>17643</v>
      </c>
      <c r="B611" s="233" t="str">
        <f>VLOOKUP(Table3[[#This Row],[Document ID]],Table1[],2,FALSE)</f>
        <v>LBR</v>
      </c>
      <c r="C611" s="233" t="str">
        <f>VLOOKUP(Table3[[#This Row],[Document ID]],Table1[],3,FALSE)</f>
        <v>Liberia</v>
      </c>
      <c r="D611" s="233" t="str">
        <f>VLOOKUP(Table3[[#This Row],[Document ID]],Table1[],5,FALSE)</f>
        <v>NDC</v>
      </c>
      <c r="E611" s="233" t="str">
        <f>VLOOKUP(Table3[[#This Row],[Document ID]],Table1[],7,FALSE)</f>
        <v>First NDC</v>
      </c>
      <c r="F611" s="233" t="str">
        <f>VLOOKUP(Table3[[#This Row],[Document ID]],Table1[],8,FALSE)</f>
        <v>NDC 1.0</v>
      </c>
      <c r="G611" s="233" t="str">
        <f>VLOOKUP(Table3[[#This Row],[Document ID]],Table1[],10,FALSE)</f>
        <v>Archived</v>
      </c>
      <c r="H611" s="42" t="s">
        <v>1095</v>
      </c>
      <c r="I611" s="42" t="s">
        <v>1096</v>
      </c>
      <c r="J611" s="42" t="s">
        <v>1097</v>
      </c>
      <c r="K611" s="28" t="s">
        <v>1102</v>
      </c>
      <c r="L611" s="216" t="s">
        <v>1092</v>
      </c>
      <c r="M611" s="209">
        <v>2030</v>
      </c>
      <c r="N611" s="44" t="s">
        <v>1725</v>
      </c>
      <c r="O611" s="221">
        <v>12</v>
      </c>
      <c r="P611" s="238" t="str">
        <f>VLOOKUP(_xlfn.CONCAT(Table3[[#This Row],[Target area]],Table3[[#This Row],[GHG target?]],Table3[[#This Row],[Conditionality]]),'Drop down'!$E$81:$F$101,2,FALSE)</f>
        <v>T_Transport_O_C</v>
      </c>
      <c r="Q611" s="239" t="str">
        <f>VLOOKUP(Table3[[#This Row],[Target type]],Table418[[Value name]:[Value idenifyer]],2,FALSE)</f>
        <v>T_O_BIO</v>
      </c>
      <c r="S611" s="233" t="s">
        <v>1101</v>
      </c>
      <c r="T611" s="234" t="s">
        <v>1113</v>
      </c>
      <c r="V611" s="233" t="str">
        <f>VLOOKUP(Table3[[#This Row],[Country Code]],Table29[],3,FALSE)</f>
        <v>Non-Annex I</v>
      </c>
      <c r="W611" s="233" t="str">
        <f>VLOOKUP(Table3[[#This Row],[Country Code]],Table29[],4,FALSE)</f>
        <v>Africa</v>
      </c>
      <c r="X611" s="233" t="str">
        <f>VLOOKUP(Table3[[#This Row],[Country Code]],Table29[],5,FALSE)</f>
        <v>Low-income</v>
      </c>
      <c r="Y611" s="233" t="str">
        <f>VLOOKUP(Table3[[#This Row],[Country Code]],Table29[],6,FALSE)</f>
        <v>no</v>
      </c>
      <c r="Z611" s="233" t="str">
        <f>VLOOKUP(Table3[[#This Row],[Country Code]],Table29[],7,FALSE)</f>
        <v>no</v>
      </c>
      <c r="AA611" s="233" t="str">
        <f>VLOOKUP(Table3[[#This Row],[Country Code]],Table29[],8,FALSE)</f>
        <v>non-OECD</v>
      </c>
      <c r="AB611" s="233" t="str">
        <f>VLOOKUP(Table3[[#This Row],[Country Code]],Table29[],9,FALSE)</f>
        <v>no</v>
      </c>
      <c r="AC611" s="233" t="str">
        <f>VLOOKUP(Table3[[#This Row],[Country Code]],Table29[],10,FALSE)</f>
        <v>no</v>
      </c>
      <c r="AD611" s="235">
        <f>VLOOKUP(Table3[[#This Row],[Country Code]],Table29[],23,FALSE)</f>
        <v>4.5323879353986003</v>
      </c>
      <c r="AE611" s="235">
        <f>VLOOKUP(Table3[[#This Row],[Country Code]],Table29[],24,FALSE)</f>
        <v>0.82749853268205653</v>
      </c>
      <c r="AF611" s="43"/>
    </row>
    <row r="612" spans="1:32" ht="60" x14ac:dyDescent="0.25">
      <c r="A612" s="360">
        <v>23368</v>
      </c>
      <c r="B612" s="233" t="str">
        <f>VLOOKUP(Table3[[#This Row],[Document ID]],Table1[],2,FALSE)</f>
        <v>PSE</v>
      </c>
      <c r="C612" s="233" t="str">
        <f>VLOOKUP(Table3[[#This Row],[Document ID]],Table1[],3,FALSE)</f>
        <v>Palestine</v>
      </c>
      <c r="D612" s="233" t="str">
        <f>VLOOKUP(Table3[[#This Row],[Document ID]],Table1[],5,FALSE)</f>
        <v>NDC</v>
      </c>
      <c r="E612" s="233" t="str">
        <f>VLOOKUP(Table3[[#This Row],[Document ID]],Table1[],7,FALSE)</f>
        <v>First NDC updated</v>
      </c>
      <c r="F612" s="233" t="str">
        <f>VLOOKUP(Table3[[#This Row],[Document ID]],Table1[],8,FALSE)</f>
        <v>NDC 1.1</v>
      </c>
      <c r="G612" s="233" t="str">
        <f>VLOOKUP(Table3[[#This Row],[Document ID]],Table1[],10,FALSE)</f>
        <v>Active</v>
      </c>
      <c r="H612" s="216" t="s">
        <v>1089</v>
      </c>
      <c r="I612" s="216" t="s">
        <v>1089</v>
      </c>
      <c r="J612" s="43" t="s">
        <v>1090</v>
      </c>
      <c r="K612" s="28" t="s">
        <v>1091</v>
      </c>
      <c r="L612" s="216" t="s">
        <v>1092</v>
      </c>
      <c r="M612" s="209">
        <v>2040</v>
      </c>
      <c r="N612" s="209" t="s">
        <v>1726</v>
      </c>
      <c r="O612" s="257">
        <v>20</v>
      </c>
      <c r="P612" s="238" t="str">
        <f>VLOOKUP(_xlfn.CONCAT(Table3[[#This Row],[Target area]],Table3[[#This Row],[GHG target?]],Table3[[#This Row],[Conditionality]]),'Drop down'!$E$81:$F$101,2,FALSE)</f>
        <v>T_Economy_C</v>
      </c>
      <c r="Q612" s="239" t="str">
        <f>VLOOKUP(Table3[[#This Row],[Target type]],Table418[[Value name]:[Value idenifyer]],2,FALSE)</f>
        <v>T_BAU</v>
      </c>
      <c r="S612" s="233" t="s">
        <v>1101</v>
      </c>
      <c r="T612" s="240"/>
      <c r="U612" s="240"/>
      <c r="V612" s="233" t="str">
        <f>VLOOKUP(Table3[[#This Row],[Country Code]],Table29[],3,FALSE)</f>
        <v>Non-Annex I</v>
      </c>
      <c r="W612" s="233" t="str">
        <f>VLOOKUP(Table3[[#This Row],[Country Code]],Table29[],4,FALSE)</f>
        <v>Asia</v>
      </c>
      <c r="X612" s="233" t="str">
        <f>VLOOKUP(Table3[[#This Row],[Country Code]],Table29[],5,FALSE)</f>
        <v>Middle-income</v>
      </c>
      <c r="Y612" s="233" t="str">
        <f>VLOOKUP(Table3[[#This Row],[Country Code]],Table29[],6,FALSE)</f>
        <v>no</v>
      </c>
      <c r="Z612" s="233" t="str">
        <f>VLOOKUP(Table3[[#This Row],[Country Code]],Table29[],7,FALSE)</f>
        <v>no</v>
      </c>
      <c r="AA612" s="233" t="str">
        <f>VLOOKUP(Table3[[#This Row],[Country Code]],Table29[],8,FALSE)</f>
        <v>non-OECD</v>
      </c>
      <c r="AB612" s="233" t="str">
        <f>VLOOKUP(Table3[[#This Row],[Country Code]],Table29[],9,FALSE)</f>
        <v>no</v>
      </c>
      <c r="AC612" s="233" t="str">
        <f>VLOOKUP(Table3[[#This Row],[Country Code]],Table29[],10,FALSE)</f>
        <v>MENA</v>
      </c>
      <c r="AD612" s="235">
        <f>VLOOKUP(Table3[[#This Row],[Country Code]],Table29[],23,FALSE)</f>
        <v>0</v>
      </c>
      <c r="AE612" s="235">
        <f>VLOOKUP(Table3[[#This Row],[Country Code]],Table29[],24,FALSE)</f>
        <v>0</v>
      </c>
      <c r="AF612" s="43"/>
    </row>
    <row r="613" spans="1:32" x14ac:dyDescent="0.25">
      <c r="A613" s="360">
        <v>21432</v>
      </c>
      <c r="B613" s="233" t="str">
        <f>VLOOKUP(Table3[[#This Row],[Document ID]],Table1[],2,FALSE)</f>
        <v>LBR</v>
      </c>
      <c r="C613" s="233" t="str">
        <f>VLOOKUP(Table3[[#This Row],[Document ID]],Table1[],3,FALSE)</f>
        <v>Liberia</v>
      </c>
      <c r="D613" s="233" t="str">
        <f>VLOOKUP(Table3[[#This Row],[Document ID]],Table1[],5,FALSE)</f>
        <v>NDC</v>
      </c>
      <c r="E613" s="233" t="str">
        <f>VLOOKUP(Table3[[#This Row],[Document ID]],Table1[],7,FALSE)</f>
        <v>First NDC updated</v>
      </c>
      <c r="F613" s="233" t="str">
        <f>VLOOKUP(Table3[[#This Row],[Document ID]],Table1[],8,FALSE)</f>
        <v>NDC 1.1</v>
      </c>
      <c r="G613" s="233" t="str">
        <f>VLOOKUP(Table3[[#This Row],[Document ID]],Table1[],10,FALSE)</f>
        <v>Active</v>
      </c>
      <c r="H613" s="42" t="s">
        <v>1095</v>
      </c>
      <c r="I613" s="43" t="s">
        <v>1115</v>
      </c>
      <c r="J613" s="43" t="s">
        <v>1090</v>
      </c>
      <c r="K613" s="28" t="s">
        <v>1091</v>
      </c>
      <c r="L613" s="216" t="s">
        <v>1092</v>
      </c>
      <c r="M613" s="209">
        <v>2030</v>
      </c>
      <c r="N613" s="44" t="s">
        <v>1727</v>
      </c>
      <c r="O613" s="258">
        <v>12</v>
      </c>
      <c r="P613" s="238" t="str">
        <f>VLOOKUP(_xlfn.CONCAT(Table3[[#This Row],[Target area]],Table3[[#This Row],[GHG target?]],Table3[[#This Row],[Conditionality]]),'Drop down'!$E$81:$F$101,2,FALSE)</f>
        <v>T_Transport_C</v>
      </c>
      <c r="Q613" s="239" t="str">
        <f>VLOOKUP(Table3[[#This Row],[Target type]],Table418[[Value name]:[Value idenifyer]],2,FALSE)</f>
        <v>T_BAU</v>
      </c>
      <c r="R613" s="233" t="s">
        <v>539</v>
      </c>
      <c r="S613" s="233" t="s">
        <v>1112</v>
      </c>
      <c r="T613" s="234" t="s">
        <v>1113</v>
      </c>
      <c r="V613" s="233" t="str">
        <f>VLOOKUP(Table3[[#This Row],[Country Code]],Table29[],3,FALSE)</f>
        <v>Non-Annex I</v>
      </c>
      <c r="W613" s="233" t="str">
        <f>VLOOKUP(Table3[[#This Row],[Country Code]],Table29[],4,FALSE)</f>
        <v>Africa</v>
      </c>
      <c r="X613" s="233" t="str">
        <f>VLOOKUP(Table3[[#This Row],[Country Code]],Table29[],5,FALSE)</f>
        <v>Low-income</v>
      </c>
      <c r="Y613" s="233" t="str">
        <f>VLOOKUP(Table3[[#This Row],[Country Code]],Table29[],6,FALSE)</f>
        <v>no</v>
      </c>
      <c r="Z613" s="233" t="str">
        <f>VLOOKUP(Table3[[#This Row],[Country Code]],Table29[],7,FALSE)</f>
        <v>no</v>
      </c>
      <c r="AA613" s="233" t="str">
        <f>VLOOKUP(Table3[[#This Row],[Country Code]],Table29[],8,FALSE)</f>
        <v>non-OECD</v>
      </c>
      <c r="AB613" s="233" t="str">
        <f>VLOOKUP(Table3[[#This Row],[Country Code]],Table29[],9,FALSE)</f>
        <v>no</v>
      </c>
      <c r="AC613" s="233" t="str">
        <f>VLOOKUP(Table3[[#This Row],[Country Code]],Table29[],10,FALSE)</f>
        <v>no</v>
      </c>
      <c r="AD613" s="235">
        <f>VLOOKUP(Table3[[#This Row],[Country Code]],Table29[],23,FALSE)</f>
        <v>4.5323879353986003</v>
      </c>
      <c r="AE613" s="235">
        <f>VLOOKUP(Table3[[#This Row],[Country Code]],Table29[],24,FALSE)</f>
        <v>0.82749853268205653</v>
      </c>
      <c r="AF613" s="43"/>
    </row>
    <row r="614" spans="1:32" ht="60" x14ac:dyDescent="0.25">
      <c r="A614" s="360">
        <v>21314</v>
      </c>
      <c r="B614" s="233" t="str">
        <f>VLOOKUP(Table3[[#This Row],[Document ID]],Table1[],2,FALSE)</f>
        <v>LKA</v>
      </c>
      <c r="C614" s="233" t="str">
        <f>VLOOKUP(Table3[[#This Row],[Document ID]],Table1[],3,FALSE)</f>
        <v>Sri Lanka</v>
      </c>
      <c r="D614" s="233" t="str">
        <f>VLOOKUP(Table3[[#This Row],[Document ID]],Table1[],5,FALSE)</f>
        <v>NDC</v>
      </c>
      <c r="E614" s="233" t="str">
        <f>VLOOKUP(Table3[[#This Row],[Document ID]],Table1[],7,FALSE)</f>
        <v>First NDC updated</v>
      </c>
      <c r="F614" s="233" t="str">
        <f>VLOOKUP(Table3[[#This Row],[Document ID]],Table1[],8,FALSE)</f>
        <v>NDC 1.1</v>
      </c>
      <c r="G614" s="233" t="str">
        <f>VLOOKUP(Table3[[#This Row],[Document ID]],Table1[],10,FALSE)</f>
        <v>Active</v>
      </c>
      <c r="H614" s="42" t="s">
        <v>1095</v>
      </c>
      <c r="I614" s="43" t="s">
        <v>1115</v>
      </c>
      <c r="J614" s="43" t="s">
        <v>1090</v>
      </c>
      <c r="K614" s="28" t="s">
        <v>1091</v>
      </c>
      <c r="L614" s="389" t="s">
        <v>1099</v>
      </c>
      <c r="M614" s="209">
        <v>2030</v>
      </c>
      <c r="N614" s="209" t="s">
        <v>1728</v>
      </c>
      <c r="O614" s="257">
        <v>14</v>
      </c>
      <c r="P614" s="238" t="str">
        <f>VLOOKUP(_xlfn.CONCAT(Table3[[#This Row],[Target area]],Table3[[#This Row],[GHG target?]],Table3[[#This Row],[Conditionality]]),'Drop down'!$E$81:$F$101,2,FALSE)</f>
        <v>T_Transport_Unc</v>
      </c>
      <c r="Q614" s="239" t="str">
        <f>VLOOKUP(Table3[[#This Row],[Target type]],Table418[[Value name]:[Value idenifyer]],2,FALSE)</f>
        <v>T_BAU</v>
      </c>
      <c r="R614" s="233" t="s">
        <v>1265</v>
      </c>
      <c r="S614" s="233" t="s">
        <v>1112</v>
      </c>
      <c r="T614" s="234" t="s">
        <v>1113</v>
      </c>
      <c r="V614" s="233" t="str">
        <f>VLOOKUP(Table3[[#This Row],[Country Code]],Table29[],3,FALSE)</f>
        <v>Non-Annex I</v>
      </c>
      <c r="W614" s="233" t="str">
        <f>VLOOKUP(Table3[[#This Row],[Country Code]],Table29[],4,FALSE)</f>
        <v>Asia</v>
      </c>
      <c r="X614" s="233" t="str">
        <f>VLOOKUP(Table3[[#This Row],[Country Code]],Table29[],5,FALSE)</f>
        <v>Middle-income</v>
      </c>
      <c r="Y614" s="233" t="str">
        <f>VLOOKUP(Table3[[#This Row],[Country Code]],Table29[],6,FALSE)</f>
        <v>no</v>
      </c>
      <c r="Z614" s="233" t="str">
        <f>VLOOKUP(Table3[[#This Row],[Country Code]],Table29[],7,FALSE)</f>
        <v>no</v>
      </c>
      <c r="AA614" s="233" t="str">
        <f>VLOOKUP(Table3[[#This Row],[Country Code]],Table29[],8,FALSE)</f>
        <v>non-OECD</v>
      </c>
      <c r="AB614" s="233" t="str">
        <f>VLOOKUP(Table3[[#This Row],[Country Code]],Table29[],9,FALSE)</f>
        <v>no</v>
      </c>
      <c r="AC614" s="233" t="str">
        <f>VLOOKUP(Table3[[#This Row],[Country Code]],Table29[],10,FALSE)</f>
        <v>no</v>
      </c>
      <c r="AD614" s="235">
        <f>VLOOKUP(Table3[[#This Row],[Country Code]],Table29[],23,FALSE)</f>
        <v>38.403849844142002</v>
      </c>
      <c r="AE614" s="235">
        <f>VLOOKUP(Table3[[#This Row],[Country Code]],Table29[],24,FALSE)</f>
        <v>9.6330858743096854</v>
      </c>
      <c r="AF614" s="43"/>
    </row>
    <row r="615" spans="1:32" x14ac:dyDescent="0.25">
      <c r="A615" s="360">
        <v>17745</v>
      </c>
      <c r="B615" s="233" t="str">
        <f>VLOOKUP(Table3[[#This Row],[Document ID]],Table1[],2,FALSE)</f>
        <v>LKA</v>
      </c>
      <c r="C615" s="233" t="str">
        <f>VLOOKUP(Table3[[#This Row],[Document ID]],Table1[],3,FALSE)</f>
        <v>Sri Lanka</v>
      </c>
      <c r="D615" s="233" t="str">
        <f>VLOOKUP(Table3[[#This Row],[Document ID]],Table1[],5,FALSE)</f>
        <v>NDC</v>
      </c>
      <c r="E615" s="233" t="str">
        <f>VLOOKUP(Table3[[#This Row],[Document ID]],Table1[],7,FALSE)</f>
        <v>First NDC</v>
      </c>
      <c r="F615" s="233" t="str">
        <f>VLOOKUP(Table3[[#This Row],[Document ID]],Table1[],8,FALSE)</f>
        <v>NDC 1.0</v>
      </c>
      <c r="G615" s="233" t="str">
        <f>VLOOKUP(Table3[[#This Row],[Document ID]],Table1[],10,FALSE)</f>
        <v>Archived</v>
      </c>
      <c r="H615" s="42" t="s">
        <v>1095</v>
      </c>
      <c r="I615" s="42" t="s">
        <v>1096</v>
      </c>
      <c r="J615" s="42" t="s">
        <v>1097</v>
      </c>
      <c r="K615" s="28" t="s">
        <v>1175</v>
      </c>
      <c r="L615" s="389" t="s">
        <v>1099</v>
      </c>
      <c r="M615" s="209">
        <v>2025</v>
      </c>
      <c r="N615" s="44" t="s">
        <v>1729</v>
      </c>
      <c r="O615" s="221">
        <v>9</v>
      </c>
      <c r="P615" s="238" t="str">
        <f>VLOOKUP(_xlfn.CONCAT(Table3[[#This Row],[Target area]],Table3[[#This Row],[GHG target?]],Table3[[#This Row],[Conditionality]]),'Drop down'!$E$81:$F$101,2,FALSE)</f>
        <v>T_Transport_O_Unc</v>
      </c>
      <c r="Q615" s="239" t="str">
        <f>VLOOKUP(Table3[[#This Row],[Target type]],Table418[[Value name]:[Value idenifyer]],2,FALSE)</f>
        <v>T_O_AVOID</v>
      </c>
      <c r="S615" s="233" t="s">
        <v>1125</v>
      </c>
      <c r="T615" s="234" t="s">
        <v>1113</v>
      </c>
      <c r="V615" s="233" t="str">
        <f>VLOOKUP(Table3[[#This Row],[Country Code]],Table29[],3,FALSE)</f>
        <v>Non-Annex I</v>
      </c>
      <c r="W615" s="233" t="str">
        <f>VLOOKUP(Table3[[#This Row],[Country Code]],Table29[],4,FALSE)</f>
        <v>Asia</v>
      </c>
      <c r="X615" s="233" t="str">
        <f>VLOOKUP(Table3[[#This Row],[Country Code]],Table29[],5,FALSE)</f>
        <v>Middle-income</v>
      </c>
      <c r="Y615" s="233" t="str">
        <f>VLOOKUP(Table3[[#This Row],[Country Code]],Table29[],6,FALSE)</f>
        <v>no</v>
      </c>
      <c r="Z615" s="233" t="str">
        <f>VLOOKUP(Table3[[#This Row],[Country Code]],Table29[],7,FALSE)</f>
        <v>no</v>
      </c>
      <c r="AA615" s="233" t="str">
        <f>VLOOKUP(Table3[[#This Row],[Country Code]],Table29[],8,FALSE)</f>
        <v>non-OECD</v>
      </c>
      <c r="AB615" s="233" t="str">
        <f>VLOOKUP(Table3[[#This Row],[Country Code]],Table29[],9,FALSE)</f>
        <v>no</v>
      </c>
      <c r="AC615" s="233" t="str">
        <f>VLOOKUP(Table3[[#This Row],[Country Code]],Table29[],10,FALSE)</f>
        <v>no</v>
      </c>
      <c r="AD615" s="235">
        <f>VLOOKUP(Table3[[#This Row],[Country Code]],Table29[],23,FALSE)</f>
        <v>38.403849844142002</v>
      </c>
      <c r="AE615" s="235">
        <f>VLOOKUP(Table3[[#This Row],[Country Code]],Table29[],24,FALSE)</f>
        <v>9.6330858743096854</v>
      </c>
      <c r="AF615" s="43"/>
    </row>
    <row r="616" spans="1:32" ht="30" x14ac:dyDescent="0.25">
      <c r="A616" s="360">
        <v>17745</v>
      </c>
      <c r="B616" s="233" t="str">
        <f>VLOOKUP(Table3[[#This Row],[Document ID]],Table1[],2,FALSE)</f>
        <v>LKA</v>
      </c>
      <c r="C616" s="233" t="str">
        <f>VLOOKUP(Table3[[#This Row],[Document ID]],Table1[],3,FALSE)</f>
        <v>Sri Lanka</v>
      </c>
      <c r="D616" s="233" t="str">
        <f>VLOOKUP(Table3[[#This Row],[Document ID]],Table1[],5,FALSE)</f>
        <v>NDC</v>
      </c>
      <c r="E616" s="233" t="str">
        <f>VLOOKUP(Table3[[#This Row],[Document ID]],Table1[],7,FALSE)</f>
        <v>First NDC</v>
      </c>
      <c r="F616" s="233" t="str">
        <f>VLOOKUP(Table3[[#This Row],[Document ID]],Table1[],8,FALSE)</f>
        <v>NDC 1.0</v>
      </c>
      <c r="G616" s="233" t="str">
        <f>VLOOKUP(Table3[[#This Row],[Document ID]],Table1[],10,FALSE)</f>
        <v>Archived</v>
      </c>
      <c r="H616" s="42" t="s">
        <v>1095</v>
      </c>
      <c r="I616" s="42" t="s">
        <v>1096</v>
      </c>
      <c r="J616" s="42" t="s">
        <v>1097</v>
      </c>
      <c r="K616" s="28" t="s">
        <v>1137</v>
      </c>
      <c r="L616" s="216" t="s">
        <v>1092</v>
      </c>
      <c r="M616" s="209">
        <v>2025</v>
      </c>
      <c r="N616" s="44" t="s">
        <v>1730</v>
      </c>
      <c r="O616" s="221">
        <v>9</v>
      </c>
      <c r="P616" s="238" t="str">
        <f>VLOOKUP(_xlfn.CONCAT(Table3[[#This Row],[Target area]],Table3[[#This Row],[GHG target?]],Table3[[#This Row],[Conditionality]]),'Drop down'!$E$81:$F$101,2,FALSE)</f>
        <v>T_Transport_O_C</v>
      </c>
      <c r="Q616" s="239" t="str">
        <f>VLOOKUP(Table3[[#This Row],[Target type]],Table418[[Value name]:[Value idenifyer]],2,FALSE)</f>
        <v>T_O_EFF</v>
      </c>
      <c r="S616" s="233" t="s">
        <v>1125</v>
      </c>
      <c r="T616" s="234" t="s">
        <v>1113</v>
      </c>
      <c r="V616" s="233" t="str">
        <f>VLOOKUP(Table3[[#This Row],[Country Code]],Table29[],3,FALSE)</f>
        <v>Non-Annex I</v>
      </c>
      <c r="W616" s="233" t="str">
        <f>VLOOKUP(Table3[[#This Row],[Country Code]],Table29[],4,FALSE)</f>
        <v>Asia</v>
      </c>
      <c r="X616" s="233" t="str">
        <f>VLOOKUP(Table3[[#This Row],[Country Code]],Table29[],5,FALSE)</f>
        <v>Middle-income</v>
      </c>
      <c r="Y616" s="233" t="str">
        <f>VLOOKUP(Table3[[#This Row],[Country Code]],Table29[],6,FALSE)</f>
        <v>no</v>
      </c>
      <c r="Z616" s="233" t="str">
        <f>VLOOKUP(Table3[[#This Row],[Country Code]],Table29[],7,FALSE)</f>
        <v>no</v>
      </c>
      <c r="AA616" s="233" t="str">
        <f>VLOOKUP(Table3[[#This Row],[Country Code]],Table29[],8,FALSE)</f>
        <v>non-OECD</v>
      </c>
      <c r="AB616" s="233" t="str">
        <f>VLOOKUP(Table3[[#This Row],[Country Code]],Table29[],9,FALSE)</f>
        <v>no</v>
      </c>
      <c r="AC616" s="233" t="str">
        <f>VLOOKUP(Table3[[#This Row],[Country Code]],Table29[],10,FALSE)</f>
        <v>no</v>
      </c>
      <c r="AD616" s="235">
        <f>VLOOKUP(Table3[[#This Row],[Country Code]],Table29[],23,FALSE)</f>
        <v>38.403849844142002</v>
      </c>
      <c r="AE616" s="235">
        <f>VLOOKUP(Table3[[#This Row],[Country Code]],Table29[],24,FALSE)</f>
        <v>9.6330858743096854</v>
      </c>
      <c r="AF616" s="43"/>
    </row>
    <row r="617" spans="1:32" ht="30" x14ac:dyDescent="0.25">
      <c r="A617" s="360">
        <v>17745</v>
      </c>
      <c r="B617" s="233" t="str">
        <f>VLOOKUP(Table3[[#This Row],[Document ID]],Table1[],2,FALSE)</f>
        <v>LKA</v>
      </c>
      <c r="C617" s="233" t="str">
        <f>VLOOKUP(Table3[[#This Row],[Document ID]],Table1[],3,FALSE)</f>
        <v>Sri Lanka</v>
      </c>
      <c r="D617" s="233" t="str">
        <f>VLOOKUP(Table3[[#This Row],[Document ID]],Table1[],5,FALSE)</f>
        <v>NDC</v>
      </c>
      <c r="E617" s="233" t="str">
        <f>VLOOKUP(Table3[[#This Row],[Document ID]],Table1[],7,FALSE)</f>
        <v>First NDC</v>
      </c>
      <c r="F617" s="233" t="str">
        <f>VLOOKUP(Table3[[#This Row],[Document ID]],Table1[],8,FALSE)</f>
        <v>NDC 1.0</v>
      </c>
      <c r="G617" s="233" t="str">
        <f>VLOOKUP(Table3[[#This Row],[Document ID]],Table1[],10,FALSE)</f>
        <v>Archived</v>
      </c>
      <c r="H617" s="42" t="s">
        <v>1095</v>
      </c>
      <c r="I617" s="43" t="s">
        <v>1115</v>
      </c>
      <c r="J617" s="43" t="s">
        <v>1090</v>
      </c>
      <c r="K617" s="28" t="s">
        <v>1091</v>
      </c>
      <c r="L617" s="389" t="s">
        <v>1099</v>
      </c>
      <c r="M617" s="209">
        <v>2030</v>
      </c>
      <c r="N617" s="44" t="s">
        <v>1731</v>
      </c>
      <c r="O617" s="259">
        <v>9</v>
      </c>
      <c r="P617" s="238" t="str">
        <f>VLOOKUP(_xlfn.CONCAT(Table3[[#This Row],[Target area]],Table3[[#This Row],[GHG target?]],Table3[[#This Row],[Conditionality]]),'Drop down'!$E$81:$F$101,2,FALSE)</f>
        <v>T_Transport_Unc</v>
      </c>
      <c r="Q617" s="239" t="str">
        <f>VLOOKUP(Table3[[#This Row],[Target type]],Table418[[Value name]:[Value idenifyer]],2,FALSE)</f>
        <v>T_BAU</v>
      </c>
      <c r="R617" s="233" t="s">
        <v>1265</v>
      </c>
      <c r="S617" s="233" t="s">
        <v>1125</v>
      </c>
      <c r="T617" s="234" t="s">
        <v>1113</v>
      </c>
      <c r="U617" s="240"/>
      <c r="V617" s="233" t="str">
        <f>VLOOKUP(Table3[[#This Row],[Country Code]],Table29[],3,FALSE)</f>
        <v>Non-Annex I</v>
      </c>
      <c r="W617" s="233" t="str">
        <f>VLOOKUP(Table3[[#This Row],[Country Code]],Table29[],4,FALSE)</f>
        <v>Asia</v>
      </c>
      <c r="X617" s="233" t="str">
        <f>VLOOKUP(Table3[[#This Row],[Country Code]],Table29[],5,FALSE)</f>
        <v>Middle-income</v>
      </c>
      <c r="Y617" s="233" t="str">
        <f>VLOOKUP(Table3[[#This Row],[Country Code]],Table29[],6,FALSE)</f>
        <v>no</v>
      </c>
      <c r="Z617" s="233" t="str">
        <f>VLOOKUP(Table3[[#This Row],[Country Code]],Table29[],7,FALSE)</f>
        <v>no</v>
      </c>
      <c r="AA617" s="233" t="str">
        <f>VLOOKUP(Table3[[#This Row],[Country Code]],Table29[],8,FALSE)</f>
        <v>non-OECD</v>
      </c>
      <c r="AB617" s="233" t="str">
        <f>VLOOKUP(Table3[[#This Row],[Country Code]],Table29[],9,FALSE)</f>
        <v>no</v>
      </c>
      <c r="AC617" s="233" t="str">
        <f>VLOOKUP(Table3[[#This Row],[Country Code]],Table29[],10,FALSE)</f>
        <v>no</v>
      </c>
      <c r="AD617" s="235">
        <f>VLOOKUP(Table3[[#This Row],[Country Code]],Table29[],23,FALSE)</f>
        <v>38.403849844142002</v>
      </c>
      <c r="AE617" s="235">
        <f>VLOOKUP(Table3[[#This Row],[Country Code]],Table29[],24,FALSE)</f>
        <v>9.6330858743096854</v>
      </c>
      <c r="AF617" s="43"/>
    </row>
    <row r="618" spans="1:32" ht="30" x14ac:dyDescent="0.25">
      <c r="A618" s="360">
        <v>17692</v>
      </c>
      <c r="B618" s="233" t="str">
        <f>VLOOKUP(Table3[[#This Row],[Document ID]],Table1[],2,FALSE)</f>
        <v>PSE</v>
      </c>
      <c r="C618" s="233" t="str">
        <f>VLOOKUP(Table3[[#This Row],[Document ID]],Table1[],3,FALSE)</f>
        <v>Palestine</v>
      </c>
      <c r="D618" s="233" t="str">
        <f>VLOOKUP(Table3[[#This Row],[Document ID]],Table1[],5,FALSE)</f>
        <v>NDC</v>
      </c>
      <c r="E618" s="233" t="str">
        <f>VLOOKUP(Table3[[#This Row],[Document ID]],Table1[],7,FALSE)</f>
        <v>First NDC</v>
      </c>
      <c r="F618" s="233" t="str">
        <f>VLOOKUP(Table3[[#This Row],[Document ID]],Table1[],8,FALSE)</f>
        <v>NDC 1.0</v>
      </c>
      <c r="G618" s="233" t="str">
        <f>VLOOKUP(Table3[[#This Row],[Document ID]],Table1[],10,FALSE)</f>
        <v>Archived</v>
      </c>
      <c r="H618" s="216" t="s">
        <v>1089</v>
      </c>
      <c r="I618" s="216" t="s">
        <v>1089</v>
      </c>
      <c r="J618" s="43" t="s">
        <v>1090</v>
      </c>
      <c r="K618" s="28" t="s">
        <v>1091</v>
      </c>
      <c r="L618" s="216" t="s">
        <v>1092</v>
      </c>
      <c r="M618" s="209">
        <v>2040</v>
      </c>
      <c r="N618" s="176" t="s">
        <v>1732</v>
      </c>
      <c r="O618" s="258" t="s">
        <v>1094</v>
      </c>
      <c r="P618" s="238" t="str">
        <f>VLOOKUP(_xlfn.CONCAT(Table3[[#This Row],[Target area]],Table3[[#This Row],[GHG target?]],Table3[[#This Row],[Conditionality]]),'Drop down'!$E$81:$F$101,2,FALSE)</f>
        <v>T_Economy_C</v>
      </c>
      <c r="Q618" s="239" t="str">
        <f>VLOOKUP(Table3[[#This Row],[Target type]],Table418[[Value name]:[Value idenifyer]],2,FALSE)</f>
        <v>T_BAU</v>
      </c>
      <c r="S618" s="233" t="s">
        <v>1101</v>
      </c>
      <c r="T618" s="240"/>
      <c r="U618" s="240"/>
      <c r="V618" s="233" t="str">
        <f>VLOOKUP(Table3[[#This Row],[Country Code]],Table29[],3,FALSE)</f>
        <v>Non-Annex I</v>
      </c>
      <c r="W618" s="233" t="str">
        <f>VLOOKUP(Table3[[#This Row],[Country Code]],Table29[],4,FALSE)</f>
        <v>Asia</v>
      </c>
      <c r="X618" s="233" t="str">
        <f>VLOOKUP(Table3[[#This Row],[Country Code]],Table29[],5,FALSE)</f>
        <v>Middle-income</v>
      </c>
      <c r="Y618" s="233" t="str">
        <f>VLOOKUP(Table3[[#This Row],[Country Code]],Table29[],6,FALSE)</f>
        <v>no</v>
      </c>
      <c r="Z618" s="233" t="str">
        <f>VLOOKUP(Table3[[#This Row],[Country Code]],Table29[],7,FALSE)</f>
        <v>no</v>
      </c>
      <c r="AA618" s="233" t="str">
        <f>VLOOKUP(Table3[[#This Row],[Country Code]],Table29[],8,FALSE)</f>
        <v>non-OECD</v>
      </c>
      <c r="AB618" s="233" t="str">
        <f>VLOOKUP(Table3[[#This Row],[Country Code]],Table29[],9,FALSE)</f>
        <v>no</v>
      </c>
      <c r="AC618" s="233" t="str">
        <f>VLOOKUP(Table3[[#This Row],[Country Code]],Table29[],10,FALSE)</f>
        <v>MENA</v>
      </c>
      <c r="AD618" s="235">
        <f>VLOOKUP(Table3[[#This Row],[Country Code]],Table29[],23,FALSE)</f>
        <v>0</v>
      </c>
      <c r="AE618" s="235">
        <f>VLOOKUP(Table3[[#This Row],[Country Code]],Table29[],24,FALSE)</f>
        <v>0</v>
      </c>
      <c r="AF618" s="43"/>
    </row>
    <row r="619" spans="1:32" ht="45" x14ac:dyDescent="0.25">
      <c r="A619" s="360">
        <v>17694</v>
      </c>
      <c r="B619" s="233" t="str">
        <f>VLOOKUP(Table3[[#This Row],[Document ID]],Table1[],2,FALSE)</f>
        <v>PAN</v>
      </c>
      <c r="C619" s="233" t="str">
        <f>VLOOKUP(Table3[[#This Row],[Document ID]],Table1[],3,FALSE)</f>
        <v>Panama</v>
      </c>
      <c r="D619" s="233" t="str">
        <f>VLOOKUP(Table3[[#This Row],[Document ID]],Table1[],5,FALSE)</f>
        <v>NDC</v>
      </c>
      <c r="E619" s="233" t="str">
        <f>VLOOKUP(Table3[[#This Row],[Document ID]],Table1[],7,FALSE)</f>
        <v>First NDC updated</v>
      </c>
      <c r="F619" s="233" t="str">
        <f>VLOOKUP(Table3[[#This Row],[Document ID]],Table1[],8,FALSE)</f>
        <v>NDC 1.1</v>
      </c>
      <c r="G619" s="233" t="str">
        <f>VLOOKUP(Table3[[#This Row],[Document ID]],Table1[],10,FALSE)</f>
        <v>Archived</v>
      </c>
      <c r="H619" s="216" t="s">
        <v>1089</v>
      </c>
      <c r="I619" s="216" t="s">
        <v>1089</v>
      </c>
      <c r="J619" s="43" t="s">
        <v>1090</v>
      </c>
      <c r="K619" s="28" t="s">
        <v>1091</v>
      </c>
      <c r="L619" s="42" t="s">
        <v>1099</v>
      </c>
      <c r="M619" s="209">
        <v>2030</v>
      </c>
      <c r="N619" s="44" t="s">
        <v>1733</v>
      </c>
      <c r="O619" s="221">
        <v>44</v>
      </c>
      <c r="P619" s="238" t="str">
        <f>VLOOKUP(_xlfn.CONCAT(Table3[[#This Row],[Target area]],Table3[[#This Row],[GHG target?]],Table3[[#This Row],[Conditionality]]),'Drop down'!$E$81:$F$101,2,FALSE)</f>
        <v>T_Economy_Unc</v>
      </c>
      <c r="Q619" s="239" t="str">
        <f>VLOOKUP(Table3[[#This Row],[Target type]],Table418[[Value name]:[Value idenifyer]],2,FALSE)</f>
        <v>T_BAU</v>
      </c>
      <c r="S619" s="233" t="s">
        <v>1101</v>
      </c>
      <c r="T619" s="234" t="s">
        <v>1113</v>
      </c>
      <c r="V619" s="233" t="str">
        <f>VLOOKUP(Table3[[#This Row],[Country Code]],Table29[],3,FALSE)</f>
        <v>Non-Annex I</v>
      </c>
      <c r="W619" s="233" t="str">
        <f>VLOOKUP(Table3[[#This Row],[Country Code]],Table29[],4,FALSE)</f>
        <v>Latin America and the Caribbean</v>
      </c>
      <c r="X619" s="233" t="str">
        <f>VLOOKUP(Table3[[#This Row],[Country Code]],Table29[],5,FALSE)</f>
        <v>Middle-income</v>
      </c>
      <c r="Y619" s="233" t="str">
        <f>VLOOKUP(Table3[[#This Row],[Country Code]],Table29[],6,FALSE)</f>
        <v>no</v>
      </c>
      <c r="Z619" s="233" t="str">
        <f>VLOOKUP(Table3[[#This Row],[Country Code]],Table29[],7,FALSE)</f>
        <v>no</v>
      </c>
      <c r="AA619" s="233" t="str">
        <f>VLOOKUP(Table3[[#This Row],[Country Code]],Table29[],8,FALSE)</f>
        <v>non-OECD</v>
      </c>
      <c r="AB619" s="233" t="str">
        <f>VLOOKUP(Table3[[#This Row],[Country Code]],Table29[],9,FALSE)</f>
        <v>no</v>
      </c>
      <c r="AC619" s="233" t="str">
        <f>VLOOKUP(Table3[[#This Row],[Country Code]],Table29[],10,FALSE)</f>
        <v>no</v>
      </c>
      <c r="AD619" s="235">
        <f>VLOOKUP(Table3[[#This Row],[Country Code]],Table29[],23,FALSE)</f>
        <v>21.281689073780999</v>
      </c>
      <c r="AE619" s="235">
        <f>VLOOKUP(Table3[[#This Row],[Country Code]],Table29[],24,FALSE)</f>
        <v>5.7357943404010889</v>
      </c>
      <c r="AF619" s="43"/>
    </row>
    <row r="620" spans="1:32" ht="30" x14ac:dyDescent="0.25">
      <c r="A620" s="360">
        <v>17694</v>
      </c>
      <c r="B620" s="233" t="str">
        <f>VLOOKUP(Table3[[#This Row],[Document ID]],Table1[],2,FALSE)</f>
        <v>PAN</v>
      </c>
      <c r="C620" s="233" t="str">
        <f>VLOOKUP(Table3[[#This Row],[Document ID]],Table1[],3,FALSE)</f>
        <v>Panama</v>
      </c>
      <c r="D620" s="233" t="str">
        <f>VLOOKUP(Table3[[#This Row],[Document ID]],Table1[],5,FALSE)</f>
        <v>NDC</v>
      </c>
      <c r="E620" s="233" t="str">
        <f>VLOOKUP(Table3[[#This Row],[Document ID]],Table1[],7,FALSE)</f>
        <v>First NDC updated</v>
      </c>
      <c r="F620" s="233" t="str">
        <f>VLOOKUP(Table3[[#This Row],[Document ID]],Table1[],8,FALSE)</f>
        <v>NDC 1.1</v>
      </c>
      <c r="G620" s="233" t="str">
        <f>VLOOKUP(Table3[[#This Row],[Document ID]],Table1[],10,FALSE)</f>
        <v>Archived</v>
      </c>
      <c r="H620" s="216" t="s">
        <v>1089</v>
      </c>
      <c r="I620" s="216" t="s">
        <v>1089</v>
      </c>
      <c r="J620" s="43" t="s">
        <v>1090</v>
      </c>
      <c r="K620" s="28" t="s">
        <v>1091</v>
      </c>
      <c r="L620" s="43" t="s">
        <v>1116</v>
      </c>
      <c r="M620" s="209">
        <v>2050</v>
      </c>
      <c r="N620" s="44" t="s">
        <v>1734</v>
      </c>
      <c r="O620" s="221">
        <v>44</v>
      </c>
      <c r="P620" s="238" t="str">
        <f>VLOOKUP(_xlfn.CONCAT(Table3[[#This Row],[Target area]],Table3[[#This Row],[GHG target?]],Table3[[#This Row],[Conditionality]]),'Drop down'!$E$81:$F$101,2,FALSE)</f>
        <v>T_Economy</v>
      </c>
      <c r="Q620" s="239" t="str">
        <f>VLOOKUP(Table3[[#This Row],[Target type]],Table418[[Value name]:[Value idenifyer]],2,FALSE)</f>
        <v>T_BAU</v>
      </c>
      <c r="S620" s="233" t="s">
        <v>1101</v>
      </c>
      <c r="T620" s="234" t="s">
        <v>1113</v>
      </c>
      <c r="V620" s="233" t="str">
        <f>VLOOKUP(Table3[[#This Row],[Country Code]],Table29[],3,FALSE)</f>
        <v>Non-Annex I</v>
      </c>
      <c r="W620" s="233" t="str">
        <f>VLOOKUP(Table3[[#This Row],[Country Code]],Table29[],4,FALSE)</f>
        <v>Latin America and the Caribbean</v>
      </c>
      <c r="X620" s="233" t="str">
        <f>VLOOKUP(Table3[[#This Row],[Country Code]],Table29[],5,FALSE)</f>
        <v>Middle-income</v>
      </c>
      <c r="Y620" s="233" t="str">
        <f>VLOOKUP(Table3[[#This Row],[Country Code]],Table29[],6,FALSE)</f>
        <v>no</v>
      </c>
      <c r="Z620" s="233" t="str">
        <f>VLOOKUP(Table3[[#This Row],[Country Code]],Table29[],7,FALSE)</f>
        <v>no</v>
      </c>
      <c r="AA620" s="233" t="str">
        <f>VLOOKUP(Table3[[#This Row],[Country Code]],Table29[],8,FALSE)</f>
        <v>non-OECD</v>
      </c>
      <c r="AB620" s="233" t="str">
        <f>VLOOKUP(Table3[[#This Row],[Country Code]],Table29[],9,FALSE)</f>
        <v>no</v>
      </c>
      <c r="AC620" s="233" t="str">
        <f>VLOOKUP(Table3[[#This Row],[Country Code]],Table29[],10,FALSE)</f>
        <v>no</v>
      </c>
      <c r="AD620" s="235">
        <f>VLOOKUP(Table3[[#This Row],[Country Code]],Table29[],23,FALSE)</f>
        <v>21.281689073780999</v>
      </c>
      <c r="AE620" s="235">
        <f>VLOOKUP(Table3[[#This Row],[Country Code]],Table29[],24,FALSE)</f>
        <v>5.7357943404010889</v>
      </c>
      <c r="AF620" s="43"/>
    </row>
    <row r="621" spans="1:32" ht="30" x14ac:dyDescent="0.25">
      <c r="A621" s="360">
        <v>17745</v>
      </c>
      <c r="B621" s="233" t="str">
        <f>VLOOKUP(Table3[[#This Row],[Document ID]],Table1[],2,FALSE)</f>
        <v>LKA</v>
      </c>
      <c r="C621" s="233" t="str">
        <f>VLOOKUP(Table3[[#This Row],[Document ID]],Table1[],3,FALSE)</f>
        <v>Sri Lanka</v>
      </c>
      <c r="D621" s="233" t="str">
        <f>VLOOKUP(Table3[[#This Row],[Document ID]],Table1[],5,FALSE)</f>
        <v>NDC</v>
      </c>
      <c r="E621" s="233" t="str">
        <f>VLOOKUP(Table3[[#This Row],[Document ID]],Table1[],7,FALSE)</f>
        <v>First NDC</v>
      </c>
      <c r="F621" s="233" t="str">
        <f>VLOOKUP(Table3[[#This Row],[Document ID]],Table1[],8,FALSE)</f>
        <v>NDC 1.0</v>
      </c>
      <c r="G621" s="233" t="str">
        <f>VLOOKUP(Table3[[#This Row],[Document ID]],Table1[],10,FALSE)</f>
        <v>Archived</v>
      </c>
      <c r="H621" s="42" t="s">
        <v>1095</v>
      </c>
      <c r="I621" s="43" t="s">
        <v>1115</v>
      </c>
      <c r="J621" s="43" t="s">
        <v>1090</v>
      </c>
      <c r="K621" s="28" t="s">
        <v>1091</v>
      </c>
      <c r="L621" s="43" t="s">
        <v>1092</v>
      </c>
      <c r="M621" s="209">
        <v>2030</v>
      </c>
      <c r="N621" s="44" t="s">
        <v>1731</v>
      </c>
      <c r="O621" s="221">
        <v>9</v>
      </c>
      <c r="P621" s="238" t="str">
        <f>VLOOKUP(_xlfn.CONCAT(Table3[[#This Row],[Target area]],Table3[[#This Row],[GHG target?]],Table3[[#This Row],[Conditionality]]),'Drop down'!$E$81:$F$101,2,FALSE)</f>
        <v>T_Transport_C</v>
      </c>
      <c r="Q621" s="239" t="str">
        <f>VLOOKUP(Table3[[#This Row],[Target type]],Table418[[Value name]:[Value idenifyer]],2,FALSE)</f>
        <v>T_BAU</v>
      </c>
      <c r="R621" s="233" t="s">
        <v>1265</v>
      </c>
      <c r="S621" s="233" t="s">
        <v>1125</v>
      </c>
      <c r="T621" s="234" t="s">
        <v>1113</v>
      </c>
      <c r="V621" s="233" t="str">
        <f>VLOOKUP(Table3[[#This Row],[Country Code]],Table29[],3,FALSE)</f>
        <v>Non-Annex I</v>
      </c>
      <c r="W621" s="233" t="str">
        <f>VLOOKUP(Table3[[#This Row],[Country Code]],Table29[],4,FALSE)</f>
        <v>Asia</v>
      </c>
      <c r="X621" s="233" t="str">
        <f>VLOOKUP(Table3[[#This Row],[Country Code]],Table29[],5,FALSE)</f>
        <v>Middle-income</v>
      </c>
      <c r="Y621" s="233" t="str">
        <f>VLOOKUP(Table3[[#This Row],[Country Code]],Table29[],6,FALSE)</f>
        <v>no</v>
      </c>
      <c r="Z621" s="233" t="str">
        <f>VLOOKUP(Table3[[#This Row],[Country Code]],Table29[],7,FALSE)</f>
        <v>no</v>
      </c>
      <c r="AA621" s="233" t="str">
        <f>VLOOKUP(Table3[[#This Row],[Country Code]],Table29[],8,FALSE)</f>
        <v>non-OECD</v>
      </c>
      <c r="AB621" s="233" t="str">
        <f>VLOOKUP(Table3[[#This Row],[Country Code]],Table29[],9,FALSE)</f>
        <v>no</v>
      </c>
      <c r="AC621" s="233" t="str">
        <f>VLOOKUP(Table3[[#This Row],[Country Code]],Table29[],10,FALSE)</f>
        <v>no</v>
      </c>
      <c r="AD621" s="235">
        <f>VLOOKUP(Table3[[#This Row],[Country Code]],Table29[],23,FALSE)</f>
        <v>38.403849844142002</v>
      </c>
      <c r="AE621" s="235">
        <f>VLOOKUP(Table3[[#This Row],[Country Code]],Table29[],24,FALSE)</f>
        <v>9.6330858743096854</v>
      </c>
      <c r="AF621" s="43"/>
    </row>
    <row r="622" spans="1:32" ht="30" x14ac:dyDescent="0.25">
      <c r="A622" s="360">
        <v>17696</v>
      </c>
      <c r="B622" s="233" t="str">
        <f>VLOOKUP(Table3[[#This Row],[Document ID]],Table1[],2,FALSE)</f>
        <v>PNG</v>
      </c>
      <c r="C622" s="233" t="str">
        <f>VLOOKUP(Table3[[#This Row],[Document ID]],Table1[],3,FALSE)</f>
        <v>Papua New Guinea</v>
      </c>
      <c r="D622" s="233" t="str">
        <f>VLOOKUP(Table3[[#This Row],[Document ID]],Table1[],5,FALSE)</f>
        <v>NDC</v>
      </c>
      <c r="E622" s="233" t="str">
        <f>VLOOKUP(Table3[[#This Row],[Document ID]],Table1[],7,FALSE)</f>
        <v>Second NDC</v>
      </c>
      <c r="F622" s="233" t="str">
        <f>VLOOKUP(Table3[[#This Row],[Document ID]],Table1[],8,FALSE)</f>
        <v>NDC 2.0</v>
      </c>
      <c r="G622" s="233" t="str">
        <f>VLOOKUP(Table3[[#This Row],[Document ID]],Table1[],10,FALSE)</f>
        <v>Active</v>
      </c>
      <c r="H622" s="43" t="s">
        <v>1139</v>
      </c>
      <c r="I622" s="43" t="s">
        <v>1115</v>
      </c>
      <c r="J622" s="42" t="s">
        <v>1097</v>
      </c>
      <c r="K622" s="28" t="s">
        <v>1140</v>
      </c>
      <c r="L622" s="42" t="s">
        <v>1099</v>
      </c>
      <c r="M622" s="209">
        <v>2030</v>
      </c>
      <c r="N622" s="44" t="s">
        <v>1735</v>
      </c>
      <c r="O622" s="221">
        <v>30</v>
      </c>
      <c r="P622" s="238" t="str">
        <f>VLOOKUP(_xlfn.CONCAT(Table3[[#This Row],[Target area]],Table3[[#This Row],[GHG target?]],Table3[[#This Row],[Conditionality]]),'Drop down'!$E$81:$F$101,2,FALSE)</f>
        <v>T_Adaptation_Unc</v>
      </c>
      <c r="Q622" s="239" t="str">
        <f>VLOOKUP(Table3[[#This Row],[Target type]],Table418[[Value name]:[Value idenifyer]],2,FALSE)</f>
        <v>T_A_GEN</v>
      </c>
      <c r="T622" s="234" t="s">
        <v>1113</v>
      </c>
      <c r="V622" s="233" t="str">
        <f>VLOOKUP(Table3[[#This Row],[Country Code]],Table29[],3,FALSE)</f>
        <v>Non-Annex I</v>
      </c>
      <c r="W622" s="233" t="str">
        <f>VLOOKUP(Table3[[#This Row],[Country Code]],Table29[],4,FALSE)</f>
        <v>Oceania</v>
      </c>
      <c r="X622" s="233" t="str">
        <f>VLOOKUP(Table3[[#This Row],[Country Code]],Table29[],5,FALSE)</f>
        <v>Middle-income</v>
      </c>
      <c r="Y622" s="233" t="str">
        <f>VLOOKUP(Table3[[#This Row],[Country Code]],Table29[],6,FALSE)</f>
        <v>no</v>
      </c>
      <c r="Z622" s="233" t="str">
        <f>VLOOKUP(Table3[[#This Row],[Country Code]],Table29[],7,FALSE)</f>
        <v>no</v>
      </c>
      <c r="AA622" s="233" t="str">
        <f>VLOOKUP(Table3[[#This Row],[Country Code]],Table29[],8,FALSE)</f>
        <v>non-OECD</v>
      </c>
      <c r="AB622" s="233" t="str">
        <f>VLOOKUP(Table3[[#This Row],[Country Code]],Table29[],9,FALSE)</f>
        <v>no</v>
      </c>
      <c r="AC622" s="233" t="str">
        <f>VLOOKUP(Table3[[#This Row],[Country Code]],Table29[],10,FALSE)</f>
        <v>no</v>
      </c>
      <c r="AD622" s="235">
        <f>VLOOKUP(Table3[[#This Row],[Country Code]],Table29[],23,FALSE)</f>
        <v>9.6409981982956001</v>
      </c>
      <c r="AE622" s="235">
        <f>VLOOKUP(Table3[[#This Row],[Country Code]],Table29[],24,FALSE)</f>
        <v>2.6300908312311049</v>
      </c>
      <c r="AF622" s="43"/>
    </row>
    <row r="623" spans="1:32" x14ac:dyDescent="0.25">
      <c r="A623" s="360">
        <v>21215</v>
      </c>
      <c r="B623" s="233" t="str">
        <f>VLOOKUP(Table3[[#This Row],[Document ID]],Table1[],2,FALSE)</f>
        <v>PRY</v>
      </c>
      <c r="C623" s="233" t="str">
        <f>VLOOKUP(Table3[[#This Row],[Document ID]],Table1[],3,FALSE)</f>
        <v>Paraguay</v>
      </c>
      <c r="D623" s="233" t="str">
        <f>VLOOKUP(Table3[[#This Row],[Document ID]],Table1[],5,FALSE)</f>
        <v>NDC</v>
      </c>
      <c r="E623" s="233" t="str">
        <f>VLOOKUP(Table3[[#This Row],[Document ID]],Table1[],7,FALSE)</f>
        <v>First NDC updated</v>
      </c>
      <c r="F623" s="233" t="str">
        <f>VLOOKUP(Table3[[#This Row],[Document ID]],Table1[],8,FALSE)</f>
        <v>NDC 1.1</v>
      </c>
      <c r="G623" s="233" t="str">
        <f>VLOOKUP(Table3[[#This Row],[Document ID]],Table1[],10,FALSE)</f>
        <v>Active</v>
      </c>
      <c r="H623" s="216" t="s">
        <v>1089</v>
      </c>
      <c r="I623" s="216" t="s">
        <v>1089</v>
      </c>
      <c r="J623" s="43" t="s">
        <v>1090</v>
      </c>
      <c r="K623" s="28" t="s">
        <v>1091</v>
      </c>
      <c r="L623" s="42" t="s">
        <v>1099</v>
      </c>
      <c r="M623" s="209">
        <v>2030</v>
      </c>
      <c r="N623" s="209" t="s">
        <v>1736</v>
      </c>
      <c r="O623" s="259">
        <v>5</v>
      </c>
      <c r="P623" s="238" t="str">
        <f>VLOOKUP(_xlfn.CONCAT(Table3[[#This Row],[Target area]],Table3[[#This Row],[GHG target?]],Table3[[#This Row],[Conditionality]]),'Drop down'!$E$81:$F$101,2,FALSE)</f>
        <v>T_Economy_Unc</v>
      </c>
      <c r="Q623" s="239" t="str">
        <f>VLOOKUP(Table3[[#This Row],[Target type]],Table418[[Value name]:[Value idenifyer]],2,FALSE)</f>
        <v>T_BAU</v>
      </c>
      <c r="V623" s="233" t="str">
        <f>VLOOKUP(Table3[[#This Row],[Country Code]],Table29[],3,FALSE)</f>
        <v>Non-Annex I</v>
      </c>
      <c r="W623" s="233" t="str">
        <f>VLOOKUP(Table3[[#This Row],[Country Code]],Table29[],4,FALSE)</f>
        <v>Latin America and the Caribbean</v>
      </c>
      <c r="X623" s="233" t="str">
        <f>VLOOKUP(Table3[[#This Row],[Country Code]],Table29[],5,FALSE)</f>
        <v>Middle-income</v>
      </c>
      <c r="Y623" s="233" t="str">
        <f>VLOOKUP(Table3[[#This Row],[Country Code]],Table29[],6,FALSE)</f>
        <v>no</v>
      </c>
      <c r="Z623" s="233" t="str">
        <f>VLOOKUP(Table3[[#This Row],[Country Code]],Table29[],7,FALSE)</f>
        <v>no</v>
      </c>
      <c r="AA623" s="233" t="str">
        <f>VLOOKUP(Table3[[#This Row],[Country Code]],Table29[],8,FALSE)</f>
        <v>non-OECD</v>
      </c>
      <c r="AB623" s="233" t="str">
        <f>VLOOKUP(Table3[[#This Row],[Country Code]],Table29[],9,FALSE)</f>
        <v>no</v>
      </c>
      <c r="AC623" s="233" t="str">
        <f>VLOOKUP(Table3[[#This Row],[Country Code]],Table29[],10,FALSE)</f>
        <v>no</v>
      </c>
      <c r="AD623" s="235">
        <f>VLOOKUP(Table3[[#This Row],[Country Code]],Table29[],23,FALSE)</f>
        <v>41.6245592458</v>
      </c>
      <c r="AE623" s="235">
        <f>VLOOKUP(Table3[[#This Row],[Country Code]],Table29[],24,FALSE)</f>
        <v>7.3033302222678547</v>
      </c>
      <c r="AF623" s="43"/>
    </row>
    <row r="624" spans="1:32" x14ac:dyDescent="0.25">
      <c r="A624" s="360">
        <v>21215</v>
      </c>
      <c r="B624" s="233" t="str">
        <f>VLOOKUP(Table3[[#This Row],[Document ID]],Table1[],2,FALSE)</f>
        <v>PRY</v>
      </c>
      <c r="C624" s="233" t="str">
        <f>VLOOKUP(Table3[[#This Row],[Document ID]],Table1[],3,FALSE)</f>
        <v>Paraguay</v>
      </c>
      <c r="D624" s="233" t="str">
        <f>VLOOKUP(Table3[[#This Row],[Document ID]],Table1[],5,FALSE)</f>
        <v>NDC</v>
      </c>
      <c r="E624" s="233" t="str">
        <f>VLOOKUP(Table3[[#This Row],[Document ID]],Table1[],7,FALSE)</f>
        <v>First NDC updated</v>
      </c>
      <c r="F624" s="233" t="str">
        <f>VLOOKUP(Table3[[#This Row],[Document ID]],Table1[],8,FALSE)</f>
        <v>NDC 1.1</v>
      </c>
      <c r="G624" s="233" t="str">
        <f>VLOOKUP(Table3[[#This Row],[Document ID]],Table1[],10,FALSE)</f>
        <v>Active</v>
      </c>
      <c r="H624" s="216" t="s">
        <v>1089</v>
      </c>
      <c r="I624" s="216" t="s">
        <v>1089</v>
      </c>
      <c r="J624" s="43" t="s">
        <v>1090</v>
      </c>
      <c r="K624" s="28" t="s">
        <v>1091</v>
      </c>
      <c r="L624" s="216" t="s">
        <v>1092</v>
      </c>
      <c r="M624" s="209">
        <v>2030</v>
      </c>
      <c r="N624" s="209" t="s">
        <v>1737</v>
      </c>
      <c r="O624" s="259">
        <v>5</v>
      </c>
      <c r="P624" s="238" t="str">
        <f>VLOOKUP(_xlfn.CONCAT(Table3[[#This Row],[Target area]],Table3[[#This Row],[GHG target?]],Table3[[#This Row],[Conditionality]]),'Drop down'!$E$81:$F$101,2,FALSE)</f>
        <v>T_Economy_C</v>
      </c>
      <c r="Q624" s="239" t="str">
        <f>VLOOKUP(Table3[[#This Row],[Target type]],Table418[[Value name]:[Value idenifyer]],2,FALSE)</f>
        <v>T_BAU</v>
      </c>
      <c r="V624" s="233" t="str">
        <f>VLOOKUP(Table3[[#This Row],[Country Code]],Table29[],3,FALSE)</f>
        <v>Non-Annex I</v>
      </c>
      <c r="W624" s="233" t="str">
        <f>VLOOKUP(Table3[[#This Row],[Country Code]],Table29[],4,FALSE)</f>
        <v>Latin America and the Caribbean</v>
      </c>
      <c r="X624" s="233" t="str">
        <f>VLOOKUP(Table3[[#This Row],[Country Code]],Table29[],5,FALSE)</f>
        <v>Middle-income</v>
      </c>
      <c r="Y624" s="233" t="str">
        <f>VLOOKUP(Table3[[#This Row],[Country Code]],Table29[],6,FALSE)</f>
        <v>no</v>
      </c>
      <c r="Z624" s="233" t="str">
        <f>VLOOKUP(Table3[[#This Row],[Country Code]],Table29[],7,FALSE)</f>
        <v>no</v>
      </c>
      <c r="AA624" s="233" t="str">
        <f>VLOOKUP(Table3[[#This Row],[Country Code]],Table29[],8,FALSE)</f>
        <v>non-OECD</v>
      </c>
      <c r="AB624" s="233" t="str">
        <f>VLOOKUP(Table3[[#This Row],[Country Code]],Table29[],9,FALSE)</f>
        <v>no</v>
      </c>
      <c r="AC624" s="233" t="str">
        <f>VLOOKUP(Table3[[#This Row],[Country Code]],Table29[],10,FALSE)</f>
        <v>no</v>
      </c>
      <c r="AD624" s="235">
        <f>VLOOKUP(Table3[[#This Row],[Country Code]],Table29[],23,FALSE)</f>
        <v>41.6245592458</v>
      </c>
      <c r="AE624" s="235">
        <f>VLOOKUP(Table3[[#This Row],[Country Code]],Table29[],24,FALSE)</f>
        <v>7.3033302222678547</v>
      </c>
      <c r="AF624" s="43"/>
    </row>
    <row r="625" spans="1:32" x14ac:dyDescent="0.25">
      <c r="A625" s="360">
        <v>17697</v>
      </c>
      <c r="B625" s="233" t="str">
        <f>VLOOKUP(Table3[[#This Row],[Document ID]],Table1[],2,FALSE)</f>
        <v>PRY</v>
      </c>
      <c r="C625" s="233" t="str">
        <f>VLOOKUP(Table3[[#This Row],[Document ID]],Table1[],3,FALSE)</f>
        <v>Paraguay</v>
      </c>
      <c r="D625" s="233" t="str">
        <f>VLOOKUP(Table3[[#This Row],[Document ID]],Table1[],5,FALSE)</f>
        <v>NDC</v>
      </c>
      <c r="E625" s="233" t="str">
        <f>VLOOKUP(Table3[[#This Row],[Document ID]],Table1[],7,FALSE)</f>
        <v>First NDC</v>
      </c>
      <c r="F625" s="233" t="str">
        <f>VLOOKUP(Table3[[#This Row],[Document ID]],Table1[],8,FALSE)</f>
        <v>NDC 1.0</v>
      </c>
      <c r="G625" s="233" t="str">
        <f>VLOOKUP(Table3[[#This Row],[Document ID]],Table1[],10,FALSE)</f>
        <v>Archived</v>
      </c>
      <c r="H625" s="216" t="s">
        <v>1089</v>
      </c>
      <c r="I625" s="216" t="s">
        <v>1089</v>
      </c>
      <c r="J625" s="43" t="s">
        <v>1090</v>
      </c>
      <c r="K625" s="28" t="s">
        <v>1091</v>
      </c>
      <c r="L625" s="42" t="s">
        <v>1099</v>
      </c>
      <c r="M625" s="209">
        <v>2030</v>
      </c>
      <c r="N625" s="176" t="s">
        <v>1738</v>
      </c>
      <c r="O625" s="258" t="s">
        <v>1094</v>
      </c>
      <c r="P625" s="238" t="str">
        <f>VLOOKUP(_xlfn.CONCAT(Table3[[#This Row],[Target area]],Table3[[#This Row],[GHG target?]],Table3[[#This Row],[Conditionality]]),'Drop down'!$E$81:$F$101,2,FALSE)</f>
        <v>T_Economy_Unc</v>
      </c>
      <c r="Q625" s="239" t="str">
        <f>VLOOKUP(Table3[[#This Row],[Target type]],Table418[[Value name]:[Value idenifyer]],2,FALSE)</f>
        <v>T_BAU</v>
      </c>
      <c r="V625" s="233" t="str">
        <f>VLOOKUP(Table3[[#This Row],[Country Code]],Table29[],3,FALSE)</f>
        <v>Non-Annex I</v>
      </c>
      <c r="W625" s="233" t="str">
        <f>VLOOKUP(Table3[[#This Row],[Country Code]],Table29[],4,FALSE)</f>
        <v>Latin America and the Caribbean</v>
      </c>
      <c r="X625" s="233" t="str">
        <f>VLOOKUP(Table3[[#This Row],[Country Code]],Table29[],5,FALSE)</f>
        <v>Middle-income</v>
      </c>
      <c r="Y625" s="233" t="str">
        <f>VLOOKUP(Table3[[#This Row],[Country Code]],Table29[],6,FALSE)</f>
        <v>no</v>
      </c>
      <c r="Z625" s="233" t="str">
        <f>VLOOKUP(Table3[[#This Row],[Country Code]],Table29[],7,FALSE)</f>
        <v>no</v>
      </c>
      <c r="AA625" s="233" t="str">
        <f>VLOOKUP(Table3[[#This Row],[Country Code]],Table29[],8,FALSE)</f>
        <v>non-OECD</v>
      </c>
      <c r="AB625" s="233" t="str">
        <f>VLOOKUP(Table3[[#This Row],[Country Code]],Table29[],9,FALSE)</f>
        <v>no</v>
      </c>
      <c r="AC625" s="233" t="str">
        <f>VLOOKUP(Table3[[#This Row],[Country Code]],Table29[],10,FALSE)</f>
        <v>no</v>
      </c>
      <c r="AD625" s="235">
        <f>VLOOKUP(Table3[[#This Row],[Country Code]],Table29[],23,FALSE)</f>
        <v>41.6245592458</v>
      </c>
      <c r="AE625" s="235">
        <f>VLOOKUP(Table3[[#This Row],[Country Code]],Table29[],24,FALSE)</f>
        <v>7.3033302222678547</v>
      </c>
      <c r="AF625" s="43"/>
    </row>
    <row r="626" spans="1:32" x14ac:dyDescent="0.25">
      <c r="A626" s="360">
        <v>17697</v>
      </c>
      <c r="B626" s="233" t="str">
        <f>VLOOKUP(Table3[[#This Row],[Document ID]],Table1[],2,FALSE)</f>
        <v>PRY</v>
      </c>
      <c r="C626" s="233" t="str">
        <f>VLOOKUP(Table3[[#This Row],[Document ID]],Table1[],3,FALSE)</f>
        <v>Paraguay</v>
      </c>
      <c r="D626" s="233" t="str">
        <f>VLOOKUP(Table3[[#This Row],[Document ID]],Table1[],5,FALSE)</f>
        <v>NDC</v>
      </c>
      <c r="E626" s="233" t="str">
        <f>VLOOKUP(Table3[[#This Row],[Document ID]],Table1[],7,FALSE)</f>
        <v>First NDC</v>
      </c>
      <c r="F626" s="233" t="str">
        <f>VLOOKUP(Table3[[#This Row],[Document ID]],Table1[],8,FALSE)</f>
        <v>NDC 1.0</v>
      </c>
      <c r="G626" s="233" t="str">
        <f>VLOOKUP(Table3[[#This Row],[Document ID]],Table1[],10,FALSE)</f>
        <v>Archived</v>
      </c>
      <c r="H626" s="216" t="s">
        <v>1089</v>
      </c>
      <c r="I626" s="216" t="s">
        <v>1089</v>
      </c>
      <c r="J626" s="43" t="s">
        <v>1090</v>
      </c>
      <c r="K626" s="28" t="s">
        <v>1091</v>
      </c>
      <c r="L626" s="216" t="s">
        <v>1092</v>
      </c>
      <c r="M626" s="209">
        <v>2030</v>
      </c>
      <c r="N626" s="176" t="s">
        <v>1739</v>
      </c>
      <c r="O626" s="258" t="s">
        <v>1094</v>
      </c>
      <c r="P626" s="238" t="str">
        <f>VLOOKUP(_xlfn.CONCAT(Table3[[#This Row],[Target area]],Table3[[#This Row],[GHG target?]],Table3[[#This Row],[Conditionality]]),'Drop down'!$E$81:$F$101,2,FALSE)</f>
        <v>T_Economy_C</v>
      </c>
      <c r="Q626" s="239" t="str">
        <f>VLOOKUP(Table3[[#This Row],[Target type]],Table418[[Value name]:[Value idenifyer]],2,FALSE)</f>
        <v>T_BAU</v>
      </c>
      <c r="V626" s="233" t="str">
        <f>VLOOKUP(Table3[[#This Row],[Country Code]],Table29[],3,FALSE)</f>
        <v>Non-Annex I</v>
      </c>
      <c r="W626" s="233" t="str">
        <f>VLOOKUP(Table3[[#This Row],[Country Code]],Table29[],4,FALSE)</f>
        <v>Latin America and the Caribbean</v>
      </c>
      <c r="X626" s="233" t="str">
        <f>VLOOKUP(Table3[[#This Row],[Country Code]],Table29[],5,FALSE)</f>
        <v>Middle-income</v>
      </c>
      <c r="Y626" s="233" t="str">
        <f>VLOOKUP(Table3[[#This Row],[Country Code]],Table29[],6,FALSE)</f>
        <v>no</v>
      </c>
      <c r="Z626" s="233" t="str">
        <f>VLOOKUP(Table3[[#This Row],[Country Code]],Table29[],7,FALSE)</f>
        <v>no</v>
      </c>
      <c r="AA626" s="233" t="str">
        <f>VLOOKUP(Table3[[#This Row],[Country Code]],Table29[],8,FALSE)</f>
        <v>non-OECD</v>
      </c>
      <c r="AB626" s="233" t="str">
        <f>VLOOKUP(Table3[[#This Row],[Country Code]],Table29[],9,FALSE)</f>
        <v>no</v>
      </c>
      <c r="AC626" s="233" t="str">
        <f>VLOOKUP(Table3[[#This Row],[Country Code]],Table29[],10,FALSE)</f>
        <v>no</v>
      </c>
      <c r="AD626" s="235">
        <f>VLOOKUP(Table3[[#This Row],[Country Code]],Table29[],23,FALSE)</f>
        <v>41.6245592458</v>
      </c>
      <c r="AE626" s="235">
        <f>VLOOKUP(Table3[[#This Row],[Country Code]],Table29[],24,FALSE)</f>
        <v>7.3033302222678547</v>
      </c>
      <c r="AF626" s="43"/>
    </row>
    <row r="627" spans="1:32" x14ac:dyDescent="0.25">
      <c r="A627" s="360">
        <v>17699</v>
      </c>
      <c r="B627" s="233" t="str">
        <f>VLOOKUP(Table3[[#This Row],[Document ID]],Table1[],2,FALSE)</f>
        <v>PER</v>
      </c>
      <c r="C627" s="233" t="str">
        <f>VLOOKUP(Table3[[#This Row],[Document ID]],Table1[],3,FALSE)</f>
        <v>Peru</v>
      </c>
      <c r="D627" s="233" t="str">
        <f>VLOOKUP(Table3[[#This Row],[Document ID]],Table1[],5,FALSE)</f>
        <v>NDC</v>
      </c>
      <c r="E627" s="233" t="str">
        <f>VLOOKUP(Table3[[#This Row],[Document ID]],Table1[],7,FALSE)</f>
        <v>First NDC updated</v>
      </c>
      <c r="F627" s="233" t="str">
        <f>VLOOKUP(Table3[[#This Row],[Document ID]],Table1[],8,FALSE)</f>
        <v>NDC 1.1</v>
      </c>
      <c r="G627" s="233" t="str">
        <f>VLOOKUP(Table3[[#This Row],[Document ID]],Table1[],10,FALSE)</f>
        <v>Active</v>
      </c>
      <c r="H627" s="216" t="s">
        <v>1089</v>
      </c>
      <c r="I627" s="216" t="s">
        <v>1089</v>
      </c>
      <c r="J627" s="43" t="s">
        <v>1090</v>
      </c>
      <c r="K627" s="28" t="s">
        <v>1121</v>
      </c>
      <c r="L627" s="42" t="s">
        <v>1099</v>
      </c>
      <c r="M627" s="209">
        <v>2030</v>
      </c>
      <c r="N627" s="44" t="s">
        <v>1740</v>
      </c>
      <c r="O627" s="221">
        <v>9</v>
      </c>
      <c r="P627" s="238" t="str">
        <f>VLOOKUP(_xlfn.CONCAT(Table3[[#This Row],[Target area]],Table3[[#This Row],[GHG target?]],Table3[[#This Row],[Conditionality]]),'Drop down'!$E$81:$F$101,2,FALSE)</f>
        <v>T_Economy_Unc</v>
      </c>
      <c r="Q627" s="239" t="str">
        <f>VLOOKUP(Table3[[#This Row],[Target type]],Table418[[Value name]:[Value idenifyer]],2,FALSE)</f>
        <v>T_FL</v>
      </c>
      <c r="T627" s="234" t="s">
        <v>1113</v>
      </c>
      <c r="V627" s="233" t="str">
        <f>VLOOKUP(Table3[[#This Row],[Country Code]],Table29[],3,FALSE)</f>
        <v>Non-Annex I</v>
      </c>
      <c r="W627" s="233" t="str">
        <f>VLOOKUP(Table3[[#This Row],[Country Code]],Table29[],4,FALSE)</f>
        <v>Latin America and the Caribbean</v>
      </c>
      <c r="X627" s="233" t="str">
        <f>VLOOKUP(Table3[[#This Row],[Country Code]],Table29[],5,FALSE)</f>
        <v>Middle-income</v>
      </c>
      <c r="Y627" s="233" t="str">
        <f>VLOOKUP(Table3[[#This Row],[Country Code]],Table29[],6,FALSE)</f>
        <v>no</v>
      </c>
      <c r="Z627" s="233" t="str">
        <f>VLOOKUP(Table3[[#This Row],[Country Code]],Table29[],7,FALSE)</f>
        <v>no</v>
      </c>
      <c r="AA627" s="233" t="str">
        <f>VLOOKUP(Table3[[#This Row],[Country Code]],Table29[],8,FALSE)</f>
        <v>non-OECD</v>
      </c>
      <c r="AB627" s="233" t="str">
        <f>VLOOKUP(Table3[[#This Row],[Country Code]],Table29[],9,FALSE)</f>
        <v>no</v>
      </c>
      <c r="AC627" s="233" t="str">
        <f>VLOOKUP(Table3[[#This Row],[Country Code]],Table29[],10,FALSE)</f>
        <v>no</v>
      </c>
      <c r="AD627" s="235">
        <f>VLOOKUP(Table3[[#This Row],[Country Code]],Table29[],23,FALSE)</f>
        <v>94.048681371835997</v>
      </c>
      <c r="AE627" s="235">
        <f>VLOOKUP(Table3[[#This Row],[Country Code]],Table29[],24,FALSE)</f>
        <v>24.487842900424742</v>
      </c>
      <c r="AF627" s="43"/>
    </row>
    <row r="628" spans="1:32" ht="45" x14ac:dyDescent="0.25">
      <c r="A628" s="360">
        <v>17699</v>
      </c>
      <c r="B628" s="233" t="str">
        <f>VLOOKUP(Table3[[#This Row],[Document ID]],Table1[],2,FALSE)</f>
        <v>PER</v>
      </c>
      <c r="C628" s="233" t="str">
        <f>VLOOKUP(Table3[[#This Row],[Document ID]],Table1[],3,FALSE)</f>
        <v>Peru</v>
      </c>
      <c r="D628" s="233" t="str">
        <f>VLOOKUP(Table3[[#This Row],[Document ID]],Table1[],5,FALSE)</f>
        <v>NDC</v>
      </c>
      <c r="E628" s="233" t="str">
        <f>VLOOKUP(Table3[[#This Row],[Document ID]],Table1[],7,FALSE)</f>
        <v>First NDC updated</v>
      </c>
      <c r="F628" s="233" t="str">
        <f>VLOOKUP(Table3[[#This Row],[Document ID]],Table1[],8,FALSE)</f>
        <v>NDC 1.1</v>
      </c>
      <c r="G628" s="233" t="str">
        <f>VLOOKUP(Table3[[#This Row],[Document ID]],Table1[],10,FALSE)</f>
        <v>Active</v>
      </c>
      <c r="H628" s="216" t="s">
        <v>1089</v>
      </c>
      <c r="I628" s="216" t="s">
        <v>1089</v>
      </c>
      <c r="J628" s="43" t="s">
        <v>1090</v>
      </c>
      <c r="K628" s="28" t="s">
        <v>1121</v>
      </c>
      <c r="L628" s="216" t="s">
        <v>1092</v>
      </c>
      <c r="M628" s="209">
        <v>2030</v>
      </c>
      <c r="N628" s="44" t="s">
        <v>1741</v>
      </c>
      <c r="O628" s="221">
        <v>9</v>
      </c>
      <c r="P628" s="238" t="str">
        <f>VLOOKUP(_xlfn.CONCAT(Table3[[#This Row],[Target area]],Table3[[#This Row],[GHG target?]],Table3[[#This Row],[Conditionality]]),'Drop down'!$E$81:$F$101,2,FALSE)</f>
        <v>T_Economy_C</v>
      </c>
      <c r="Q628" s="239" t="str">
        <f>VLOOKUP(Table3[[#This Row],[Target type]],Table418[[Value name]:[Value idenifyer]],2,FALSE)</f>
        <v>T_FL</v>
      </c>
      <c r="T628" s="234" t="s">
        <v>1113</v>
      </c>
      <c r="V628" s="233" t="str">
        <f>VLOOKUP(Table3[[#This Row],[Country Code]],Table29[],3,FALSE)</f>
        <v>Non-Annex I</v>
      </c>
      <c r="W628" s="233" t="str">
        <f>VLOOKUP(Table3[[#This Row],[Country Code]],Table29[],4,FALSE)</f>
        <v>Latin America and the Caribbean</v>
      </c>
      <c r="X628" s="233" t="str">
        <f>VLOOKUP(Table3[[#This Row],[Country Code]],Table29[],5,FALSE)</f>
        <v>Middle-income</v>
      </c>
      <c r="Y628" s="233" t="str">
        <f>VLOOKUP(Table3[[#This Row],[Country Code]],Table29[],6,FALSE)</f>
        <v>no</v>
      </c>
      <c r="Z628" s="233" t="str">
        <f>VLOOKUP(Table3[[#This Row],[Country Code]],Table29[],7,FALSE)</f>
        <v>no</v>
      </c>
      <c r="AA628" s="233" t="str">
        <f>VLOOKUP(Table3[[#This Row],[Country Code]],Table29[],8,FALSE)</f>
        <v>non-OECD</v>
      </c>
      <c r="AB628" s="233" t="str">
        <f>VLOOKUP(Table3[[#This Row],[Country Code]],Table29[],9,FALSE)</f>
        <v>no</v>
      </c>
      <c r="AC628" s="233" t="str">
        <f>VLOOKUP(Table3[[#This Row],[Country Code]],Table29[],10,FALSE)</f>
        <v>no</v>
      </c>
      <c r="AD628" s="235">
        <f>VLOOKUP(Table3[[#This Row],[Country Code]],Table29[],23,FALSE)</f>
        <v>94.048681371835997</v>
      </c>
      <c r="AE628" s="235">
        <f>VLOOKUP(Table3[[#This Row],[Country Code]],Table29[],24,FALSE)</f>
        <v>24.487842900424742</v>
      </c>
      <c r="AF628" s="43"/>
    </row>
    <row r="629" spans="1:32" x14ac:dyDescent="0.25">
      <c r="A629" s="360">
        <v>17698</v>
      </c>
      <c r="B629" s="233" t="str">
        <f>VLOOKUP(Table3[[#This Row],[Document ID]],Table1[],2,FALSE)</f>
        <v>PER</v>
      </c>
      <c r="C629" s="233" t="str">
        <f>VLOOKUP(Table3[[#This Row],[Document ID]],Table1[],3,FALSE)</f>
        <v>Peru</v>
      </c>
      <c r="D629" s="233" t="str">
        <f>VLOOKUP(Table3[[#This Row],[Document ID]],Table1[],5,FALSE)</f>
        <v>NDC</v>
      </c>
      <c r="E629" s="233" t="str">
        <f>VLOOKUP(Table3[[#This Row],[Document ID]],Table1[],7,FALSE)</f>
        <v>First NDC</v>
      </c>
      <c r="F629" s="233" t="str">
        <f>VLOOKUP(Table3[[#This Row],[Document ID]],Table1[],8,FALSE)</f>
        <v>NDC 1.0</v>
      </c>
      <c r="G629" s="233" t="str">
        <f>VLOOKUP(Table3[[#This Row],[Document ID]],Table1[],10,FALSE)</f>
        <v>Archived</v>
      </c>
      <c r="H629" s="216" t="s">
        <v>1089</v>
      </c>
      <c r="I629" s="216" t="s">
        <v>1089</v>
      </c>
      <c r="J629" s="43" t="s">
        <v>1090</v>
      </c>
      <c r="K629" s="28" t="s">
        <v>1153</v>
      </c>
      <c r="L629" s="42" t="s">
        <v>1099</v>
      </c>
      <c r="M629" s="209">
        <v>2030</v>
      </c>
      <c r="N629" s="176" t="s">
        <v>1357</v>
      </c>
      <c r="O629" s="258" t="s">
        <v>1094</v>
      </c>
      <c r="P629" s="238" t="str">
        <f>VLOOKUP(_xlfn.CONCAT(Table3[[#This Row],[Target area]],Table3[[#This Row],[GHG target?]],Table3[[#This Row],[Conditionality]]),'Drop down'!$E$81:$F$101,2,FALSE)</f>
        <v>T_Economy_Unc</v>
      </c>
      <c r="Q629" s="239" t="str">
        <f>VLOOKUP(Table3[[#This Row],[Target type]],Table418[[Value name]:[Value idenifyer]],2,FALSE)</f>
        <v>T_BYE</v>
      </c>
      <c r="T629" s="234" t="s">
        <v>1113</v>
      </c>
      <c r="V629" s="233" t="str">
        <f>VLOOKUP(Table3[[#This Row],[Country Code]],Table29[],3,FALSE)</f>
        <v>Non-Annex I</v>
      </c>
      <c r="W629" s="233" t="str">
        <f>VLOOKUP(Table3[[#This Row],[Country Code]],Table29[],4,FALSE)</f>
        <v>Latin America and the Caribbean</v>
      </c>
      <c r="X629" s="233" t="str">
        <f>VLOOKUP(Table3[[#This Row],[Country Code]],Table29[],5,FALSE)</f>
        <v>Middle-income</v>
      </c>
      <c r="Y629" s="233" t="str">
        <f>VLOOKUP(Table3[[#This Row],[Country Code]],Table29[],6,FALSE)</f>
        <v>no</v>
      </c>
      <c r="Z629" s="233" t="str">
        <f>VLOOKUP(Table3[[#This Row],[Country Code]],Table29[],7,FALSE)</f>
        <v>no</v>
      </c>
      <c r="AA629" s="233" t="str">
        <f>VLOOKUP(Table3[[#This Row],[Country Code]],Table29[],8,FALSE)</f>
        <v>non-OECD</v>
      </c>
      <c r="AB629" s="233" t="str">
        <f>VLOOKUP(Table3[[#This Row],[Country Code]],Table29[],9,FALSE)</f>
        <v>no</v>
      </c>
      <c r="AC629" s="233" t="str">
        <f>VLOOKUP(Table3[[#This Row],[Country Code]],Table29[],10,FALSE)</f>
        <v>no</v>
      </c>
      <c r="AD629" s="235">
        <f>VLOOKUP(Table3[[#This Row],[Country Code]],Table29[],23,FALSE)</f>
        <v>94.048681371835997</v>
      </c>
      <c r="AE629" s="235">
        <f>VLOOKUP(Table3[[#This Row],[Country Code]],Table29[],24,FALSE)</f>
        <v>24.487842900424742</v>
      </c>
      <c r="AF629" s="43"/>
    </row>
    <row r="630" spans="1:32" x14ac:dyDescent="0.25">
      <c r="A630" s="360">
        <v>17698</v>
      </c>
      <c r="B630" s="233" t="str">
        <f>VLOOKUP(Table3[[#This Row],[Document ID]],Table1[],2,FALSE)</f>
        <v>PER</v>
      </c>
      <c r="C630" s="233" t="str">
        <f>VLOOKUP(Table3[[#This Row],[Document ID]],Table1[],3,FALSE)</f>
        <v>Peru</v>
      </c>
      <c r="D630" s="233" t="str">
        <f>VLOOKUP(Table3[[#This Row],[Document ID]],Table1[],5,FALSE)</f>
        <v>NDC</v>
      </c>
      <c r="E630" s="233" t="str">
        <f>VLOOKUP(Table3[[#This Row],[Document ID]],Table1[],7,FALSE)</f>
        <v>First NDC</v>
      </c>
      <c r="F630" s="233" t="str">
        <f>VLOOKUP(Table3[[#This Row],[Document ID]],Table1[],8,FALSE)</f>
        <v>NDC 1.0</v>
      </c>
      <c r="G630" s="233" t="str">
        <f>VLOOKUP(Table3[[#This Row],[Document ID]],Table1[],10,FALSE)</f>
        <v>Archived</v>
      </c>
      <c r="H630" s="216" t="s">
        <v>1089</v>
      </c>
      <c r="I630" s="216" t="s">
        <v>1089</v>
      </c>
      <c r="J630" s="43" t="s">
        <v>1090</v>
      </c>
      <c r="K630" s="28" t="s">
        <v>1091</v>
      </c>
      <c r="L630" s="216" t="s">
        <v>1092</v>
      </c>
      <c r="M630" s="209">
        <v>2030</v>
      </c>
      <c r="N630" s="176" t="s">
        <v>1742</v>
      </c>
      <c r="O630" s="258" t="s">
        <v>1094</v>
      </c>
      <c r="P630" s="238" t="str">
        <f>VLOOKUP(_xlfn.CONCAT(Table3[[#This Row],[Target area]],Table3[[#This Row],[GHG target?]],Table3[[#This Row],[Conditionality]]),'Drop down'!$E$81:$F$101,2,FALSE)</f>
        <v>T_Economy_C</v>
      </c>
      <c r="Q630" s="239" t="str">
        <f>VLOOKUP(Table3[[#This Row],[Target type]],Table418[[Value name]:[Value idenifyer]],2,FALSE)</f>
        <v>T_BAU</v>
      </c>
      <c r="T630" s="234" t="s">
        <v>1113</v>
      </c>
      <c r="V630" s="233" t="str">
        <f>VLOOKUP(Table3[[#This Row],[Country Code]],Table29[],3,FALSE)</f>
        <v>Non-Annex I</v>
      </c>
      <c r="W630" s="233" t="str">
        <f>VLOOKUP(Table3[[#This Row],[Country Code]],Table29[],4,FALSE)</f>
        <v>Latin America and the Caribbean</v>
      </c>
      <c r="X630" s="233" t="str">
        <f>VLOOKUP(Table3[[#This Row],[Country Code]],Table29[],5,FALSE)</f>
        <v>Middle-income</v>
      </c>
      <c r="Y630" s="233" t="str">
        <f>VLOOKUP(Table3[[#This Row],[Country Code]],Table29[],6,FALSE)</f>
        <v>no</v>
      </c>
      <c r="Z630" s="233" t="str">
        <f>VLOOKUP(Table3[[#This Row],[Country Code]],Table29[],7,FALSE)</f>
        <v>no</v>
      </c>
      <c r="AA630" s="233" t="str">
        <f>VLOOKUP(Table3[[#This Row],[Country Code]],Table29[],8,FALSE)</f>
        <v>non-OECD</v>
      </c>
      <c r="AB630" s="233" t="str">
        <f>VLOOKUP(Table3[[#This Row],[Country Code]],Table29[],9,FALSE)</f>
        <v>no</v>
      </c>
      <c r="AC630" s="233" t="str">
        <f>VLOOKUP(Table3[[#This Row],[Country Code]],Table29[],10,FALSE)</f>
        <v>no</v>
      </c>
      <c r="AD630" s="235">
        <f>VLOOKUP(Table3[[#This Row],[Country Code]],Table29[],23,FALSE)</f>
        <v>94.048681371835997</v>
      </c>
      <c r="AE630" s="235">
        <f>VLOOKUP(Table3[[#This Row],[Country Code]],Table29[],24,FALSE)</f>
        <v>24.487842900424742</v>
      </c>
      <c r="AF630" s="43"/>
    </row>
    <row r="631" spans="1:32" x14ac:dyDescent="0.25">
      <c r="A631" s="360">
        <v>17701</v>
      </c>
      <c r="B631" s="233" t="str">
        <f>VLOOKUP(Table3[[#This Row],[Document ID]],Table1[],2,FALSE)</f>
        <v>PHL</v>
      </c>
      <c r="C631" s="233" t="str">
        <f>VLOOKUP(Table3[[#This Row],[Document ID]],Table1[],3,FALSE)</f>
        <v>Philippines</v>
      </c>
      <c r="D631" s="233" t="str">
        <f>VLOOKUP(Table3[[#This Row],[Document ID]],Table1[],5,FALSE)</f>
        <v>NDC</v>
      </c>
      <c r="E631" s="233" t="str">
        <f>VLOOKUP(Table3[[#This Row],[Document ID]],Table1[],7,FALSE)</f>
        <v>First NDC updated</v>
      </c>
      <c r="F631" s="233" t="str">
        <f>VLOOKUP(Table3[[#This Row],[Document ID]],Table1[],8,FALSE)</f>
        <v>NDC 1.1</v>
      </c>
      <c r="G631" s="233" t="str">
        <f>VLOOKUP(Table3[[#This Row],[Document ID]],Table1[],10,FALSE)</f>
        <v>Active</v>
      </c>
      <c r="H631" s="216" t="s">
        <v>1089</v>
      </c>
      <c r="I631" s="216" t="s">
        <v>1089</v>
      </c>
      <c r="J631" s="43" t="s">
        <v>1090</v>
      </c>
      <c r="K631" s="28" t="s">
        <v>1091</v>
      </c>
      <c r="L631" s="42" t="s">
        <v>1099</v>
      </c>
      <c r="M631" s="209">
        <v>2030</v>
      </c>
      <c r="N631" s="209" t="s">
        <v>1743</v>
      </c>
      <c r="O631" s="221">
        <v>4</v>
      </c>
      <c r="P631" s="238" t="str">
        <f>VLOOKUP(_xlfn.CONCAT(Table3[[#This Row],[Target area]],Table3[[#This Row],[GHG target?]],Table3[[#This Row],[Conditionality]]),'Drop down'!$E$81:$F$101,2,FALSE)</f>
        <v>T_Economy_Unc</v>
      </c>
      <c r="Q631" s="239" t="str">
        <f>VLOOKUP(Table3[[#This Row],[Target type]],Table418[[Value name]:[Value idenifyer]],2,FALSE)</f>
        <v>T_BAU</v>
      </c>
      <c r="V631" s="233" t="str">
        <f>VLOOKUP(Table3[[#This Row],[Country Code]],Table29[],3,FALSE)</f>
        <v>Non-Annex I</v>
      </c>
      <c r="W631" s="233" t="str">
        <f>VLOOKUP(Table3[[#This Row],[Country Code]],Table29[],4,FALSE)</f>
        <v>Asia</v>
      </c>
      <c r="X631" s="233" t="str">
        <f>VLOOKUP(Table3[[#This Row],[Country Code]],Table29[],5,FALSE)</f>
        <v>Middle-income</v>
      </c>
      <c r="Y631" s="233" t="str">
        <f>VLOOKUP(Table3[[#This Row],[Country Code]],Table29[],6,FALSE)</f>
        <v>no</v>
      </c>
      <c r="Z631" s="233" t="str">
        <f>VLOOKUP(Table3[[#This Row],[Country Code]],Table29[],7,FALSE)</f>
        <v>no</v>
      </c>
      <c r="AA631" s="233" t="str">
        <f>VLOOKUP(Table3[[#This Row],[Country Code]],Table29[],8,FALSE)</f>
        <v>non-OECD</v>
      </c>
      <c r="AB631" s="233" t="str">
        <f>VLOOKUP(Table3[[#This Row],[Country Code]],Table29[],9,FALSE)</f>
        <v>no</v>
      </c>
      <c r="AC631" s="233" t="str">
        <f>VLOOKUP(Table3[[#This Row],[Country Code]],Table29[],10,FALSE)</f>
        <v>no</v>
      </c>
      <c r="AD631" s="235">
        <f>VLOOKUP(Table3[[#This Row],[Country Code]],Table29[],23,FALSE)</f>
        <v>256.14715481705002</v>
      </c>
      <c r="AE631" s="235">
        <f>VLOOKUP(Table3[[#This Row],[Country Code]],Table29[],24,FALSE)</f>
        <v>37.005617460716273</v>
      </c>
      <c r="AF631" s="43"/>
    </row>
    <row r="632" spans="1:32" x14ac:dyDescent="0.25">
      <c r="A632" s="360">
        <v>17701</v>
      </c>
      <c r="B632" s="233" t="str">
        <f>VLOOKUP(Table3[[#This Row],[Document ID]],Table1[],2,FALSE)</f>
        <v>PHL</v>
      </c>
      <c r="C632" s="233" t="str">
        <f>VLOOKUP(Table3[[#This Row],[Document ID]],Table1[],3,FALSE)</f>
        <v>Philippines</v>
      </c>
      <c r="D632" s="233" t="str">
        <f>VLOOKUP(Table3[[#This Row],[Document ID]],Table1[],5,FALSE)</f>
        <v>NDC</v>
      </c>
      <c r="E632" s="233" t="str">
        <f>VLOOKUP(Table3[[#This Row],[Document ID]],Table1[],7,FALSE)</f>
        <v>First NDC updated</v>
      </c>
      <c r="F632" s="233" t="str">
        <f>VLOOKUP(Table3[[#This Row],[Document ID]],Table1[],8,FALSE)</f>
        <v>NDC 1.1</v>
      </c>
      <c r="G632" s="233" t="str">
        <f>VLOOKUP(Table3[[#This Row],[Document ID]],Table1[],10,FALSE)</f>
        <v>Active</v>
      </c>
      <c r="H632" s="216" t="s">
        <v>1089</v>
      </c>
      <c r="I632" s="216" t="s">
        <v>1089</v>
      </c>
      <c r="J632" s="43" t="s">
        <v>1090</v>
      </c>
      <c r="K632" s="28" t="s">
        <v>1091</v>
      </c>
      <c r="L632" s="216" t="s">
        <v>1092</v>
      </c>
      <c r="M632" s="209">
        <v>2030</v>
      </c>
      <c r="N632" s="44" t="s">
        <v>1744</v>
      </c>
      <c r="O632" s="221">
        <v>4</v>
      </c>
      <c r="P632" s="238" t="str">
        <f>VLOOKUP(_xlfn.CONCAT(Table3[[#This Row],[Target area]],Table3[[#This Row],[GHG target?]],Table3[[#This Row],[Conditionality]]),'Drop down'!$E$81:$F$101,2,FALSE)</f>
        <v>T_Economy_C</v>
      </c>
      <c r="Q632" s="239" t="str">
        <f>VLOOKUP(Table3[[#This Row],[Target type]],Table418[[Value name]:[Value idenifyer]],2,FALSE)</f>
        <v>T_BAU</v>
      </c>
      <c r="V632" s="233" t="str">
        <f>VLOOKUP(Table3[[#This Row],[Country Code]],Table29[],3,FALSE)</f>
        <v>Non-Annex I</v>
      </c>
      <c r="W632" s="233" t="str">
        <f>VLOOKUP(Table3[[#This Row],[Country Code]],Table29[],4,FALSE)</f>
        <v>Asia</v>
      </c>
      <c r="X632" s="233" t="str">
        <f>VLOOKUP(Table3[[#This Row],[Country Code]],Table29[],5,FALSE)</f>
        <v>Middle-income</v>
      </c>
      <c r="Y632" s="233" t="str">
        <f>VLOOKUP(Table3[[#This Row],[Country Code]],Table29[],6,FALSE)</f>
        <v>no</v>
      </c>
      <c r="Z632" s="233" t="str">
        <f>VLOOKUP(Table3[[#This Row],[Country Code]],Table29[],7,FALSE)</f>
        <v>no</v>
      </c>
      <c r="AA632" s="233" t="str">
        <f>VLOOKUP(Table3[[#This Row],[Country Code]],Table29[],8,FALSE)</f>
        <v>non-OECD</v>
      </c>
      <c r="AB632" s="233" t="str">
        <f>VLOOKUP(Table3[[#This Row],[Country Code]],Table29[],9,FALSE)</f>
        <v>no</v>
      </c>
      <c r="AC632" s="233" t="str">
        <f>VLOOKUP(Table3[[#This Row],[Country Code]],Table29[],10,FALSE)</f>
        <v>no</v>
      </c>
      <c r="AD632" s="235">
        <f>VLOOKUP(Table3[[#This Row],[Country Code]],Table29[],23,FALSE)</f>
        <v>256.14715481705002</v>
      </c>
      <c r="AE632" s="235">
        <f>VLOOKUP(Table3[[#This Row],[Country Code]],Table29[],24,FALSE)</f>
        <v>37.005617460716273</v>
      </c>
      <c r="AF632" s="43"/>
    </row>
    <row r="633" spans="1:32" x14ac:dyDescent="0.25">
      <c r="A633" s="360">
        <v>17701</v>
      </c>
      <c r="B633" s="233" t="str">
        <f>VLOOKUP(Table3[[#This Row],[Document ID]],Table1[],2,FALSE)</f>
        <v>PHL</v>
      </c>
      <c r="C633" s="233" t="str">
        <f>VLOOKUP(Table3[[#This Row],[Document ID]],Table1[],3,FALSE)</f>
        <v>Philippines</v>
      </c>
      <c r="D633" s="233" t="str">
        <f>VLOOKUP(Table3[[#This Row],[Document ID]],Table1[],5,FALSE)</f>
        <v>NDC</v>
      </c>
      <c r="E633" s="233" t="str">
        <f>VLOOKUP(Table3[[#This Row],[Document ID]],Table1[],7,FALSE)</f>
        <v>First NDC updated</v>
      </c>
      <c r="F633" s="233" t="str">
        <f>VLOOKUP(Table3[[#This Row],[Document ID]],Table1[],8,FALSE)</f>
        <v>NDC 1.1</v>
      </c>
      <c r="G633" s="233" t="str">
        <f>VLOOKUP(Table3[[#This Row],[Document ID]],Table1[],10,FALSE)</f>
        <v>Active</v>
      </c>
      <c r="H633" s="216" t="s">
        <v>1089</v>
      </c>
      <c r="I633" s="216" t="s">
        <v>1089</v>
      </c>
      <c r="J633" s="43" t="s">
        <v>1090</v>
      </c>
      <c r="K633" s="28" t="s">
        <v>1091</v>
      </c>
      <c r="L633" s="216" t="s">
        <v>1092</v>
      </c>
      <c r="M633" s="209">
        <v>2030</v>
      </c>
      <c r="N633" s="176" t="s">
        <v>1745</v>
      </c>
      <c r="O633" s="258" t="s">
        <v>1094</v>
      </c>
      <c r="P633" s="238" t="str">
        <f>VLOOKUP(_xlfn.CONCAT(Table3[[#This Row],[Target area]],Table3[[#This Row],[GHG target?]],Table3[[#This Row],[Conditionality]]),'Drop down'!$E$81:$F$101,2,FALSE)</f>
        <v>T_Economy_C</v>
      </c>
      <c r="Q633" s="239" t="str">
        <f>VLOOKUP(Table3[[#This Row],[Target type]],Table418[[Value name]:[Value idenifyer]],2,FALSE)</f>
        <v>T_BAU</v>
      </c>
      <c r="V633" s="233" t="str">
        <f>VLOOKUP(Table3[[#This Row],[Country Code]],Table29[],3,FALSE)</f>
        <v>Non-Annex I</v>
      </c>
      <c r="W633" s="233" t="str">
        <f>VLOOKUP(Table3[[#This Row],[Country Code]],Table29[],4,FALSE)</f>
        <v>Asia</v>
      </c>
      <c r="X633" s="233" t="str">
        <f>VLOOKUP(Table3[[#This Row],[Country Code]],Table29[],5,FALSE)</f>
        <v>Middle-income</v>
      </c>
      <c r="Y633" s="233" t="str">
        <f>VLOOKUP(Table3[[#This Row],[Country Code]],Table29[],6,FALSE)</f>
        <v>no</v>
      </c>
      <c r="Z633" s="233" t="str">
        <f>VLOOKUP(Table3[[#This Row],[Country Code]],Table29[],7,FALSE)</f>
        <v>no</v>
      </c>
      <c r="AA633" s="233" t="str">
        <f>VLOOKUP(Table3[[#This Row],[Country Code]],Table29[],8,FALSE)</f>
        <v>non-OECD</v>
      </c>
      <c r="AB633" s="233" t="str">
        <f>VLOOKUP(Table3[[#This Row],[Country Code]],Table29[],9,FALSE)</f>
        <v>no</v>
      </c>
      <c r="AC633" s="233" t="str">
        <f>VLOOKUP(Table3[[#This Row],[Country Code]],Table29[],10,FALSE)</f>
        <v>no</v>
      </c>
      <c r="AD633" s="235">
        <f>VLOOKUP(Table3[[#This Row],[Country Code]],Table29[],23,FALSE)</f>
        <v>256.14715481705002</v>
      </c>
      <c r="AE633" s="235">
        <f>VLOOKUP(Table3[[#This Row],[Country Code]],Table29[],24,FALSE)</f>
        <v>37.005617460716273</v>
      </c>
      <c r="AF633" s="43"/>
    </row>
    <row r="634" spans="1:32" x14ac:dyDescent="0.25">
      <c r="A634" s="360">
        <v>17703</v>
      </c>
      <c r="B634" s="233" t="str">
        <f>VLOOKUP(Table3[[#This Row],[Document ID]],Table1[],2,FALSE)</f>
        <v>PRT</v>
      </c>
      <c r="C634" s="233" t="str">
        <f>VLOOKUP(Table3[[#This Row],[Document ID]],Table1[],3,FALSE)</f>
        <v>Portugal</v>
      </c>
      <c r="D634" s="233" t="str">
        <f>VLOOKUP(Table3[[#This Row],[Document ID]],Table1[],5,FALSE)</f>
        <v>LTS</v>
      </c>
      <c r="E634" s="233" t="str">
        <f>VLOOKUP(Table3[[#This Row],[Document ID]],Table1[],7,FALSE)</f>
        <v>LTS</v>
      </c>
      <c r="F634" s="233" t="str">
        <f>VLOOKUP(Table3[[#This Row],[Document ID]],Table1[],8,FALSE)</f>
        <v>LTS 1.0</v>
      </c>
      <c r="G634" s="233" t="str">
        <f>VLOOKUP(Table3[[#This Row],[Document ID]],Table1[],10,FALSE)</f>
        <v>Active</v>
      </c>
      <c r="H634" s="216" t="s">
        <v>1089</v>
      </c>
      <c r="I634" s="216" t="s">
        <v>1089</v>
      </c>
      <c r="J634" s="43" t="s">
        <v>1090</v>
      </c>
      <c r="K634" s="28" t="s">
        <v>1153</v>
      </c>
      <c r="L634" s="42" t="s">
        <v>1099</v>
      </c>
      <c r="M634" s="209">
        <v>2050</v>
      </c>
      <c r="N634" s="44" t="s">
        <v>1746</v>
      </c>
      <c r="O634" s="221">
        <v>17</v>
      </c>
      <c r="P634" s="238" t="str">
        <f>VLOOKUP(_xlfn.CONCAT(Table3[[#This Row],[Target area]],Table3[[#This Row],[GHG target?]],Table3[[#This Row],[Conditionality]]),'Drop down'!$E$81:$F$101,2,FALSE)</f>
        <v>T_Economy_Unc</v>
      </c>
      <c r="Q634" s="239" t="str">
        <f>VLOOKUP(Table3[[#This Row],[Target type]],Table418[[Value name]:[Value idenifyer]],2,FALSE)</f>
        <v>T_BYE</v>
      </c>
      <c r="S634" s="233" t="s">
        <v>1112</v>
      </c>
      <c r="T634" s="234" t="s">
        <v>1113</v>
      </c>
      <c r="V634" s="233" t="str">
        <f>VLOOKUP(Table3[[#This Row],[Country Code]],Table29[],3,FALSE)</f>
        <v>Annex I</v>
      </c>
      <c r="W634" s="233" t="str">
        <f>VLOOKUP(Table3[[#This Row],[Country Code]],Table29[],4,FALSE)</f>
        <v>Europe</v>
      </c>
      <c r="X634" s="233" t="str">
        <f>VLOOKUP(Table3[[#This Row],[Country Code]],Table29[],5,FALSE)</f>
        <v>High-income</v>
      </c>
      <c r="Y634" s="233" t="str">
        <f>VLOOKUP(Table3[[#This Row],[Country Code]],Table29[],6,FALSE)</f>
        <v>no</v>
      </c>
      <c r="Z634" s="233" t="str">
        <f>VLOOKUP(Table3[[#This Row],[Country Code]],Table29[],7,FALSE)</f>
        <v>no</v>
      </c>
      <c r="AA634" s="233" t="str">
        <f>VLOOKUP(Table3[[#This Row],[Country Code]],Table29[],8,FALSE)</f>
        <v>OECD</v>
      </c>
      <c r="AB634" s="233" t="str">
        <f>VLOOKUP(Table3[[#This Row],[Country Code]],Table29[],9,FALSE)</f>
        <v>EU27</v>
      </c>
      <c r="AC634" s="233" t="str">
        <f>VLOOKUP(Table3[[#This Row],[Country Code]],Table29[],10,FALSE)</f>
        <v>no</v>
      </c>
      <c r="AD634" s="235">
        <f>VLOOKUP(Table3[[#This Row],[Country Code]],Table29[],23,FALSE)</f>
        <v>53.004607295263</v>
      </c>
      <c r="AE634" s="235">
        <f>VLOOKUP(Table3[[#This Row],[Country Code]],Table29[],24,FALSE)</f>
        <v>15.947366338037449</v>
      </c>
      <c r="AF634" s="43"/>
    </row>
    <row r="635" spans="1:32" ht="60" x14ac:dyDescent="0.25">
      <c r="A635" s="360">
        <v>21314</v>
      </c>
      <c r="B635" s="233" t="str">
        <f>VLOOKUP(Table3[[#This Row],[Document ID]],Table1[],2,FALSE)</f>
        <v>LKA</v>
      </c>
      <c r="C635" s="233" t="str">
        <f>VLOOKUP(Table3[[#This Row],[Document ID]],Table1[],3,FALSE)</f>
        <v>Sri Lanka</v>
      </c>
      <c r="D635" s="233" t="str">
        <f>VLOOKUP(Table3[[#This Row],[Document ID]],Table1[],5,FALSE)</f>
        <v>NDC</v>
      </c>
      <c r="E635" s="233" t="str">
        <f>VLOOKUP(Table3[[#This Row],[Document ID]],Table1[],7,FALSE)</f>
        <v>First NDC updated</v>
      </c>
      <c r="F635" s="233" t="str">
        <f>VLOOKUP(Table3[[#This Row],[Document ID]],Table1[],8,FALSE)</f>
        <v>NDC 1.1</v>
      </c>
      <c r="G635" s="233" t="str">
        <f>VLOOKUP(Table3[[#This Row],[Document ID]],Table1[],10,FALSE)</f>
        <v>Active</v>
      </c>
      <c r="H635" s="42" t="s">
        <v>1095</v>
      </c>
      <c r="I635" s="43" t="s">
        <v>1115</v>
      </c>
      <c r="J635" s="43" t="s">
        <v>1090</v>
      </c>
      <c r="K635" s="28" t="s">
        <v>1091</v>
      </c>
      <c r="L635" s="43" t="s">
        <v>1092</v>
      </c>
      <c r="M635" s="209">
        <v>2030</v>
      </c>
      <c r="N635" s="209" t="s">
        <v>1728</v>
      </c>
      <c r="O635" s="257">
        <v>14</v>
      </c>
      <c r="P635" s="238" t="str">
        <f>VLOOKUP(_xlfn.CONCAT(Table3[[#This Row],[Target area]],Table3[[#This Row],[GHG target?]],Table3[[#This Row],[Conditionality]]),'Drop down'!$E$81:$F$101,2,FALSE)</f>
        <v>T_Transport_C</v>
      </c>
      <c r="Q635" s="239" t="str">
        <f>VLOOKUP(Table3[[#This Row],[Target type]],Table418[[Value name]:[Value idenifyer]],2,FALSE)</f>
        <v>T_BAU</v>
      </c>
      <c r="R635" s="233" t="s">
        <v>1265</v>
      </c>
      <c r="S635" s="233" t="s">
        <v>1112</v>
      </c>
      <c r="T635" s="234" t="s">
        <v>1113</v>
      </c>
      <c r="V635" s="233" t="str">
        <f>VLOOKUP(Table3[[#This Row],[Country Code]],Table29[],3,FALSE)</f>
        <v>Non-Annex I</v>
      </c>
      <c r="W635" s="233" t="str">
        <f>VLOOKUP(Table3[[#This Row],[Country Code]],Table29[],4,FALSE)</f>
        <v>Asia</v>
      </c>
      <c r="X635" s="233" t="str">
        <f>VLOOKUP(Table3[[#This Row],[Country Code]],Table29[],5,FALSE)</f>
        <v>Middle-income</v>
      </c>
      <c r="Y635" s="233" t="str">
        <f>VLOOKUP(Table3[[#This Row],[Country Code]],Table29[],6,FALSE)</f>
        <v>no</v>
      </c>
      <c r="Z635" s="233" t="str">
        <f>VLOOKUP(Table3[[#This Row],[Country Code]],Table29[],7,FALSE)</f>
        <v>no</v>
      </c>
      <c r="AA635" s="233" t="str">
        <f>VLOOKUP(Table3[[#This Row],[Country Code]],Table29[],8,FALSE)</f>
        <v>non-OECD</v>
      </c>
      <c r="AB635" s="233" t="str">
        <f>VLOOKUP(Table3[[#This Row],[Country Code]],Table29[],9,FALSE)</f>
        <v>no</v>
      </c>
      <c r="AC635" s="233" t="str">
        <f>VLOOKUP(Table3[[#This Row],[Country Code]],Table29[],10,FALSE)</f>
        <v>no</v>
      </c>
      <c r="AD635" s="235">
        <f>VLOOKUP(Table3[[#This Row],[Country Code]],Table29[],23,FALSE)</f>
        <v>38.403849844142002</v>
      </c>
      <c r="AE635" s="235">
        <f>VLOOKUP(Table3[[#This Row],[Country Code]],Table29[],24,FALSE)</f>
        <v>9.6330858743096854</v>
      </c>
      <c r="AF635" s="43"/>
    </row>
    <row r="636" spans="1:32" x14ac:dyDescent="0.25">
      <c r="A636" s="360">
        <v>21704</v>
      </c>
      <c r="B636" s="233" t="str">
        <f>VLOOKUP(Table3[[#This Row],[Document ID]],Table1[],2,FALSE)</f>
        <v>QAT</v>
      </c>
      <c r="C636" s="233" t="str">
        <f>VLOOKUP(Table3[[#This Row],[Document ID]],Table1[],3,FALSE)</f>
        <v>Qatar</v>
      </c>
      <c r="D636" s="233" t="str">
        <f>VLOOKUP(Table3[[#This Row],[Document ID]],Table1[],5,FALSE)</f>
        <v>NDC</v>
      </c>
      <c r="E636" s="233" t="str">
        <f>VLOOKUP(Table3[[#This Row],[Document ID]],Table1[],7,FALSE)</f>
        <v>First NDC updated</v>
      </c>
      <c r="F636" s="233" t="str">
        <f>VLOOKUP(Table3[[#This Row],[Document ID]],Table1[],8,FALSE)</f>
        <v>NDC 1.1</v>
      </c>
      <c r="G636" s="233" t="str">
        <f>VLOOKUP(Table3[[#This Row],[Document ID]],Table1[],10,FALSE)</f>
        <v>Active</v>
      </c>
      <c r="H636" s="216" t="s">
        <v>1089</v>
      </c>
      <c r="I636" s="216" t="s">
        <v>1089</v>
      </c>
      <c r="J636" s="43" t="s">
        <v>1090</v>
      </c>
      <c r="K636" s="28" t="s">
        <v>1091</v>
      </c>
      <c r="L636" s="42" t="s">
        <v>1099</v>
      </c>
      <c r="M636" s="209">
        <v>2030</v>
      </c>
      <c r="N636" s="209" t="s">
        <v>1747</v>
      </c>
      <c r="O636" s="257">
        <v>2</v>
      </c>
      <c r="P636" s="238" t="str">
        <f>VLOOKUP(_xlfn.CONCAT(Table3[[#This Row],[Target area]],Table3[[#This Row],[GHG target?]],Table3[[#This Row],[Conditionality]]),'Drop down'!$E$81:$F$101,2,FALSE)</f>
        <v>T_Economy_Unc</v>
      </c>
      <c r="Q636" s="239" t="str">
        <f>VLOOKUP(Table3[[#This Row],[Target type]],Table418[[Value name]:[Value idenifyer]],2,FALSE)</f>
        <v>T_BAU</v>
      </c>
      <c r="T636" s="240"/>
      <c r="U636" s="240"/>
      <c r="V636" s="233" t="str">
        <f>VLOOKUP(Table3[[#This Row],[Country Code]],Table29[],3,FALSE)</f>
        <v>Non-Annex I</v>
      </c>
      <c r="W636" s="233" t="str">
        <f>VLOOKUP(Table3[[#This Row],[Country Code]],Table29[],4,FALSE)</f>
        <v>Asia</v>
      </c>
      <c r="X636" s="233" t="str">
        <f>VLOOKUP(Table3[[#This Row],[Country Code]],Table29[],5,FALSE)</f>
        <v>High-income</v>
      </c>
      <c r="Y636" s="233" t="str">
        <f>VLOOKUP(Table3[[#This Row],[Country Code]],Table29[],6,FALSE)</f>
        <v>no</v>
      </c>
      <c r="Z636" s="233" t="str">
        <f>VLOOKUP(Table3[[#This Row],[Country Code]],Table29[],7,FALSE)</f>
        <v>no</v>
      </c>
      <c r="AA636" s="233" t="str">
        <f>VLOOKUP(Table3[[#This Row],[Country Code]],Table29[],8,FALSE)</f>
        <v>non-OECD</v>
      </c>
      <c r="AB636" s="233" t="str">
        <f>VLOOKUP(Table3[[#This Row],[Country Code]],Table29[],9,FALSE)</f>
        <v>no</v>
      </c>
      <c r="AC636" s="233" t="str">
        <f>VLOOKUP(Table3[[#This Row],[Country Code]],Table29[],10,FALSE)</f>
        <v>MENA</v>
      </c>
      <c r="AD636" s="235">
        <f>VLOOKUP(Table3[[#This Row],[Country Code]],Table29[],23,FALSE)</f>
        <v>154.38356524030999</v>
      </c>
      <c r="AE636" s="235">
        <f>VLOOKUP(Table3[[#This Row],[Country Code]],Table29[],24,FALSE)</f>
        <v>15.0080032885677</v>
      </c>
      <c r="AF636" s="43"/>
    </row>
    <row r="637" spans="1:32" ht="30" x14ac:dyDescent="0.25">
      <c r="A637" s="360">
        <v>17708</v>
      </c>
      <c r="B637" s="233" t="str">
        <f>VLOOKUP(Table3[[#This Row],[Document ID]],Table1[],2,FALSE)</f>
        <v>KOR</v>
      </c>
      <c r="C637" s="233" t="str">
        <f>VLOOKUP(Table3[[#This Row],[Document ID]],Table1[],3,FALSE)</f>
        <v>Republic of Korea</v>
      </c>
      <c r="D637" s="233" t="str">
        <f>VLOOKUP(Table3[[#This Row],[Document ID]],Table1[],5,FALSE)</f>
        <v>NDC</v>
      </c>
      <c r="E637" s="233" t="str">
        <f>VLOOKUP(Table3[[#This Row],[Document ID]],Table1[],7,FALSE)</f>
        <v>First NDC updated</v>
      </c>
      <c r="F637" s="233" t="str">
        <f>VLOOKUP(Table3[[#This Row],[Document ID]],Table1[],8,FALSE)</f>
        <v>NDC 1.1</v>
      </c>
      <c r="G637" s="233" t="str">
        <f>VLOOKUP(Table3[[#This Row],[Document ID]],Table1[],10,FALSE)</f>
        <v>Archived</v>
      </c>
      <c r="H637" s="216" t="s">
        <v>1089</v>
      </c>
      <c r="I637" s="216" t="s">
        <v>1089</v>
      </c>
      <c r="J637" s="43" t="s">
        <v>1090</v>
      </c>
      <c r="K637" s="28" t="s">
        <v>1153</v>
      </c>
      <c r="L637" s="42" t="s">
        <v>1099</v>
      </c>
      <c r="M637" s="209">
        <v>2030</v>
      </c>
      <c r="N637" s="44" t="s">
        <v>1748</v>
      </c>
      <c r="O637" s="221"/>
      <c r="P637" s="238" t="str">
        <f>VLOOKUP(_xlfn.CONCAT(Table3[[#This Row],[Target area]],Table3[[#This Row],[GHG target?]],Table3[[#This Row],[Conditionality]]),'Drop down'!$E$81:$F$101,2,FALSE)</f>
        <v>T_Economy_Unc</v>
      </c>
      <c r="Q637" s="239" t="str">
        <f>VLOOKUP(Table3[[#This Row],[Target type]],Table418[[Value name]:[Value idenifyer]],2,FALSE)</f>
        <v>T_BYE</v>
      </c>
      <c r="S637" s="233" t="s">
        <v>1101</v>
      </c>
      <c r="T637" s="234" t="s">
        <v>1113</v>
      </c>
      <c r="V637" s="233" t="str">
        <f>VLOOKUP(Table3[[#This Row],[Country Code]],Table29[],3,FALSE)</f>
        <v>Non-Annex I</v>
      </c>
      <c r="W637" s="233" t="str">
        <f>VLOOKUP(Table3[[#This Row],[Country Code]],Table29[],4,FALSE)</f>
        <v>Asia</v>
      </c>
      <c r="X637" s="233" t="str">
        <f>VLOOKUP(Table3[[#This Row],[Country Code]],Table29[],5,FALSE)</f>
        <v>High-income</v>
      </c>
      <c r="Y637" s="233" t="str">
        <f>VLOOKUP(Table3[[#This Row],[Country Code]],Table29[],6,FALSE)</f>
        <v>G20</v>
      </c>
      <c r="Z637" s="233" t="str">
        <f>VLOOKUP(Table3[[#This Row],[Country Code]],Table29[],7,FALSE)</f>
        <v>no</v>
      </c>
      <c r="AA637" s="233" t="str">
        <f>VLOOKUP(Table3[[#This Row],[Country Code]],Table29[],8,FALSE)</f>
        <v>OECD</v>
      </c>
      <c r="AB637" s="233" t="str">
        <f>VLOOKUP(Table3[[#This Row],[Country Code]],Table29[],9,FALSE)</f>
        <v>no</v>
      </c>
      <c r="AC637" s="233" t="str">
        <f>VLOOKUP(Table3[[#This Row],[Country Code]],Table29[],10,FALSE)</f>
        <v>no</v>
      </c>
      <c r="AD637" s="235">
        <f>VLOOKUP(Table3[[#This Row],[Country Code]],Table29[],23,FALSE)</f>
        <v>653.84613998739997</v>
      </c>
      <c r="AE637" s="235">
        <f>VLOOKUP(Table3[[#This Row],[Country Code]],Table29[],24,FALSE)</f>
        <v>107.9154569951917</v>
      </c>
      <c r="AF637" s="43"/>
    </row>
    <row r="638" spans="1:32" x14ac:dyDescent="0.25">
      <c r="A638" s="360">
        <v>17707</v>
      </c>
      <c r="B638" s="233" t="str">
        <f>VLOOKUP(Table3[[#This Row],[Document ID]],Table1[],2,FALSE)</f>
        <v>KOR</v>
      </c>
      <c r="C638" s="233" t="str">
        <f>VLOOKUP(Table3[[#This Row],[Document ID]],Table1[],3,FALSE)</f>
        <v>Republic of Korea</v>
      </c>
      <c r="D638" s="233" t="str">
        <f>VLOOKUP(Table3[[#This Row],[Document ID]],Table1[],5,FALSE)</f>
        <v>LTS</v>
      </c>
      <c r="E638" s="233" t="str">
        <f>VLOOKUP(Table3[[#This Row],[Document ID]],Table1[],7,FALSE)</f>
        <v>LTS</v>
      </c>
      <c r="F638" s="233" t="str">
        <f>VLOOKUP(Table3[[#This Row],[Document ID]],Table1[],8,FALSE)</f>
        <v>LTS 1.0</v>
      </c>
      <c r="G638" s="233" t="str">
        <f>VLOOKUP(Table3[[#This Row],[Document ID]],Table1[],10,FALSE)</f>
        <v>Active</v>
      </c>
      <c r="H638" s="216" t="s">
        <v>1089</v>
      </c>
      <c r="I638" s="216" t="s">
        <v>1089</v>
      </c>
      <c r="J638" s="43" t="s">
        <v>1090</v>
      </c>
      <c r="K638" s="28" t="s">
        <v>1121</v>
      </c>
      <c r="L638" s="42" t="s">
        <v>1099</v>
      </c>
      <c r="M638" s="209">
        <v>2050</v>
      </c>
      <c r="N638" s="44" t="s">
        <v>1749</v>
      </c>
      <c r="O638" s="221">
        <v>6</v>
      </c>
      <c r="P638" s="238" t="str">
        <f>VLOOKUP(_xlfn.CONCAT(Table3[[#This Row],[Target area]],Table3[[#This Row],[GHG target?]],Table3[[#This Row],[Conditionality]]),'Drop down'!$E$81:$F$101,2,FALSE)</f>
        <v>T_Economy_Unc</v>
      </c>
      <c r="Q638" s="239" t="str">
        <f>VLOOKUP(Table3[[#This Row],[Target type]],Table418[[Value name]:[Value idenifyer]],2,FALSE)</f>
        <v>T_FL</v>
      </c>
      <c r="T638" s="234" t="s">
        <v>1113</v>
      </c>
      <c r="V638" s="233" t="str">
        <f>VLOOKUP(Table3[[#This Row],[Country Code]],Table29[],3,FALSE)</f>
        <v>Non-Annex I</v>
      </c>
      <c r="W638" s="233" t="str">
        <f>VLOOKUP(Table3[[#This Row],[Country Code]],Table29[],4,FALSE)</f>
        <v>Asia</v>
      </c>
      <c r="X638" s="233" t="str">
        <f>VLOOKUP(Table3[[#This Row],[Country Code]],Table29[],5,FALSE)</f>
        <v>High-income</v>
      </c>
      <c r="Y638" s="233" t="str">
        <f>VLOOKUP(Table3[[#This Row],[Country Code]],Table29[],6,FALSE)</f>
        <v>G20</v>
      </c>
      <c r="Z638" s="233" t="str">
        <f>VLOOKUP(Table3[[#This Row],[Country Code]],Table29[],7,FALSE)</f>
        <v>no</v>
      </c>
      <c r="AA638" s="233" t="str">
        <f>VLOOKUP(Table3[[#This Row],[Country Code]],Table29[],8,FALSE)</f>
        <v>OECD</v>
      </c>
      <c r="AB638" s="233" t="str">
        <f>VLOOKUP(Table3[[#This Row],[Country Code]],Table29[],9,FALSE)</f>
        <v>no</v>
      </c>
      <c r="AC638" s="233" t="str">
        <f>VLOOKUP(Table3[[#This Row],[Country Code]],Table29[],10,FALSE)</f>
        <v>no</v>
      </c>
      <c r="AD638" s="235">
        <f>VLOOKUP(Table3[[#This Row],[Country Code]],Table29[],23,FALSE)</f>
        <v>653.84613998739997</v>
      </c>
      <c r="AE638" s="235">
        <f>VLOOKUP(Table3[[#This Row],[Country Code]],Table29[],24,FALSE)</f>
        <v>107.9154569951917</v>
      </c>
      <c r="AF638" s="43"/>
    </row>
    <row r="639" spans="1:32" ht="30" x14ac:dyDescent="0.25">
      <c r="A639" s="368">
        <v>39449</v>
      </c>
      <c r="B639" s="233" t="str">
        <f>VLOOKUP(Table3[[#This Row],[Document ID]],Table1[],2,FALSE)</f>
        <v>LKA</v>
      </c>
      <c r="C639" s="233" t="str">
        <f>VLOOKUP(Table3[[#This Row],[Document ID]],Table1[],3,FALSE)</f>
        <v>Sri Lanka</v>
      </c>
      <c r="D639" s="233" t="str">
        <f>VLOOKUP(Table3[[#This Row],[Document ID]],Table1[],5,FALSE)</f>
        <v>LTS</v>
      </c>
      <c r="E639" s="233" t="str">
        <f>VLOOKUP(Table3[[#This Row],[Document ID]],Table1[],7,FALSE)</f>
        <v>LTS</v>
      </c>
      <c r="F639" s="241" t="str">
        <f>VLOOKUP(Table3[[#This Row],[Document ID]],Table1[],8,FALSE)</f>
        <v>LTS 1.0</v>
      </c>
      <c r="G639" s="233" t="str">
        <f>VLOOKUP(Table3[[#This Row],[Document ID]],Table1[],10,FALSE)</f>
        <v>Active</v>
      </c>
      <c r="H639" s="42" t="s">
        <v>1095</v>
      </c>
      <c r="I639" s="42" t="s">
        <v>1096</v>
      </c>
      <c r="J639" s="42" t="s">
        <v>1097</v>
      </c>
      <c r="K639" s="28" t="s">
        <v>1104</v>
      </c>
      <c r="L639" s="42" t="s">
        <v>1099</v>
      </c>
      <c r="M639" s="209">
        <v>2035</v>
      </c>
      <c r="N639" s="209" t="s">
        <v>1750</v>
      </c>
      <c r="O639" s="258">
        <v>18</v>
      </c>
      <c r="P639" s="238" t="str">
        <f>VLOOKUP(_xlfn.CONCAT(Table3[[#This Row],[Target area]],Table3[[#This Row],[GHG target?]],Table3[[#This Row],[Conditionality]]),'Drop down'!$E$81:$F$101,2,FALSE)</f>
        <v>T_Transport_O_Unc</v>
      </c>
      <c r="Q639" s="239" t="str">
        <f>VLOOKUP(Table3[[#This Row],[Target type]],Table418[[Value name]:[Value idenifyer]],2,FALSE)</f>
        <v>T_O_ZERO</v>
      </c>
      <c r="S639" s="233" t="s">
        <v>1101</v>
      </c>
      <c r="T639" s="234" t="s">
        <v>1113</v>
      </c>
      <c r="U639" s="240"/>
      <c r="V639" s="233" t="str">
        <f>VLOOKUP(Table3[[#This Row],[Country Code]],Table29[],3,FALSE)</f>
        <v>Non-Annex I</v>
      </c>
      <c r="W639" s="233" t="str">
        <f>VLOOKUP(Table3[[#This Row],[Country Code]],Table29[],4,FALSE)</f>
        <v>Asia</v>
      </c>
      <c r="X639" s="233" t="str">
        <f>VLOOKUP(Table3[[#This Row],[Country Code]],Table29[],5,FALSE)</f>
        <v>Middle-income</v>
      </c>
      <c r="Y639" s="233" t="str">
        <f>VLOOKUP(Table3[[#This Row],[Country Code]],Table29[],6,FALSE)</f>
        <v>no</v>
      </c>
      <c r="Z639" s="233" t="str">
        <f>VLOOKUP(Table3[[#This Row],[Country Code]],Table29[],7,FALSE)</f>
        <v>no</v>
      </c>
      <c r="AA639" s="233" t="str">
        <f>VLOOKUP(Table3[[#This Row],[Country Code]],Table29[],8,FALSE)</f>
        <v>non-OECD</v>
      </c>
      <c r="AB639" s="233" t="str">
        <f>VLOOKUP(Table3[[#This Row],[Country Code]],Table29[],9,FALSE)</f>
        <v>no</v>
      </c>
      <c r="AC639" s="233" t="str">
        <f>VLOOKUP(Table3[[#This Row],[Country Code]],Table29[],10,FALSE)</f>
        <v>no</v>
      </c>
      <c r="AD639" s="235">
        <f>VLOOKUP(Table3[[#This Row],[Country Code]],Table29[],23,FALSE)</f>
        <v>38.403849844142002</v>
      </c>
      <c r="AE639" s="235">
        <f>VLOOKUP(Table3[[#This Row],[Country Code]],Table29[],24,FALSE)</f>
        <v>9.6330858743096854</v>
      </c>
      <c r="AF639" s="42"/>
    </row>
    <row r="640" spans="1:32" ht="45" x14ac:dyDescent="0.25">
      <c r="A640" s="360">
        <v>32511</v>
      </c>
      <c r="B640" s="233" t="str">
        <f>VLOOKUP(Table3[[#This Row],[Document ID]],Table1[],2,FALSE)</f>
        <v>KOR</v>
      </c>
      <c r="C640" s="233" t="str">
        <f>VLOOKUP(Table3[[#This Row],[Document ID]],Table1[],3,FALSE)</f>
        <v>Republic of Korea</v>
      </c>
      <c r="D640" s="233" t="str">
        <f>VLOOKUP(Table3[[#This Row],[Document ID]],Table1[],5,FALSE)</f>
        <v>NDC</v>
      </c>
      <c r="E640" s="233" t="str">
        <f>VLOOKUP(Table3[[#This Row],[Document ID]],Table1[],7,FALSE)</f>
        <v>First NDC updated</v>
      </c>
      <c r="F640" s="233" t="str">
        <f>VLOOKUP(Table3[[#This Row],[Document ID]],Table1[],8,FALSE)</f>
        <v>NDC 1.2</v>
      </c>
      <c r="G640" s="233" t="str">
        <f>VLOOKUP(Table3[[#This Row],[Document ID]],Table1[],10,FALSE)</f>
        <v>Active</v>
      </c>
      <c r="H640" s="216" t="s">
        <v>1089</v>
      </c>
      <c r="I640" s="216" t="s">
        <v>1089</v>
      </c>
      <c r="J640" s="43" t="s">
        <v>1090</v>
      </c>
      <c r="K640" s="28" t="s">
        <v>1153</v>
      </c>
      <c r="L640" s="42" t="s">
        <v>1099</v>
      </c>
      <c r="M640" s="209">
        <v>2030</v>
      </c>
      <c r="N640" s="209" t="s">
        <v>1751</v>
      </c>
      <c r="O640" s="257">
        <v>2</v>
      </c>
      <c r="P640" s="238" t="str">
        <f>VLOOKUP(_xlfn.CONCAT(Table3[[#This Row],[Target area]],Table3[[#This Row],[GHG target?]],Table3[[#This Row],[Conditionality]]),'Drop down'!$E$81:$F$101,2,FALSE)</f>
        <v>T_Economy_Unc</v>
      </c>
      <c r="Q640" s="239" t="str">
        <f>VLOOKUP(Table3[[#This Row],[Target type]],Table418[[Value name]:[Value idenifyer]],2,FALSE)</f>
        <v>T_BYE</v>
      </c>
      <c r="T640" s="240" t="s">
        <v>1113</v>
      </c>
      <c r="V640" s="233" t="str">
        <f>VLOOKUP(Table3[[#This Row],[Country Code]],Table29[],3,FALSE)</f>
        <v>Non-Annex I</v>
      </c>
      <c r="W640" s="233" t="str">
        <f>VLOOKUP(Table3[[#This Row],[Country Code]],Table29[],4,FALSE)</f>
        <v>Asia</v>
      </c>
      <c r="X640" s="233" t="str">
        <f>VLOOKUP(Table3[[#This Row],[Country Code]],Table29[],5,FALSE)</f>
        <v>High-income</v>
      </c>
      <c r="Y640" s="233" t="str">
        <f>VLOOKUP(Table3[[#This Row],[Country Code]],Table29[],6,FALSE)</f>
        <v>G20</v>
      </c>
      <c r="Z640" s="233" t="str">
        <f>VLOOKUP(Table3[[#This Row],[Country Code]],Table29[],7,FALSE)</f>
        <v>no</v>
      </c>
      <c r="AA640" s="233" t="str">
        <f>VLOOKUP(Table3[[#This Row],[Country Code]],Table29[],8,FALSE)</f>
        <v>OECD</v>
      </c>
      <c r="AB640" s="233" t="str">
        <f>VLOOKUP(Table3[[#This Row],[Country Code]],Table29[],9,FALSE)</f>
        <v>no</v>
      </c>
      <c r="AC640" s="233" t="str">
        <f>VLOOKUP(Table3[[#This Row],[Country Code]],Table29[],10,FALSE)</f>
        <v>no</v>
      </c>
      <c r="AD640" s="235">
        <f>VLOOKUP(Table3[[#This Row],[Country Code]],Table29[],23,FALSE)</f>
        <v>653.84613998739997</v>
      </c>
      <c r="AE640" s="235">
        <f>VLOOKUP(Table3[[#This Row],[Country Code]],Table29[],24,FALSE)</f>
        <v>107.9154569951917</v>
      </c>
      <c r="AF640" s="43"/>
    </row>
    <row r="641" spans="1:32" x14ac:dyDescent="0.25">
      <c r="A641" s="360">
        <v>17706</v>
      </c>
      <c r="B641" s="233" t="str">
        <f>VLOOKUP(Table3[[#This Row],[Document ID]],Table1[],2,FALSE)</f>
        <v>KOR</v>
      </c>
      <c r="C641" s="233" t="str">
        <f>VLOOKUP(Table3[[#This Row],[Document ID]],Table1[],3,FALSE)</f>
        <v>Republic of Korea</v>
      </c>
      <c r="D641" s="233" t="str">
        <f>VLOOKUP(Table3[[#This Row],[Document ID]],Table1[],5,FALSE)</f>
        <v>NDC</v>
      </c>
      <c r="E641" s="233" t="str">
        <f>VLOOKUP(Table3[[#This Row],[Document ID]],Table1[],7,FALSE)</f>
        <v>First NDC</v>
      </c>
      <c r="F641" s="233" t="str">
        <f>VLOOKUP(Table3[[#This Row],[Document ID]],Table1[],8,FALSE)</f>
        <v>NDC 1.0</v>
      </c>
      <c r="G641" s="233" t="str">
        <f>VLOOKUP(Table3[[#This Row],[Document ID]],Table1[],10,FALSE)</f>
        <v>Archived</v>
      </c>
      <c r="H641" s="216" t="s">
        <v>1089</v>
      </c>
      <c r="I641" s="216" t="s">
        <v>1089</v>
      </c>
      <c r="J641" s="43" t="s">
        <v>1090</v>
      </c>
      <c r="K641" s="28" t="s">
        <v>1091</v>
      </c>
      <c r="L641" s="42" t="s">
        <v>1099</v>
      </c>
      <c r="M641" s="209">
        <v>2030</v>
      </c>
      <c r="N641" s="176" t="s">
        <v>1752</v>
      </c>
      <c r="O641" s="258" t="s">
        <v>1094</v>
      </c>
      <c r="P641" s="238" t="str">
        <f>VLOOKUP(_xlfn.CONCAT(Table3[[#This Row],[Target area]],Table3[[#This Row],[GHG target?]],Table3[[#This Row],[Conditionality]]),'Drop down'!$E$81:$F$101,2,FALSE)</f>
        <v>T_Economy_Unc</v>
      </c>
      <c r="Q641" s="239" t="str">
        <f>VLOOKUP(Table3[[#This Row],[Target type]],Table418[[Value name]:[Value idenifyer]],2,FALSE)</f>
        <v>T_BAU</v>
      </c>
      <c r="T641" s="234" t="s">
        <v>1113</v>
      </c>
      <c r="V641" s="233" t="str">
        <f>VLOOKUP(Table3[[#This Row],[Country Code]],Table29[],3,FALSE)</f>
        <v>Non-Annex I</v>
      </c>
      <c r="W641" s="233" t="str">
        <f>VLOOKUP(Table3[[#This Row],[Country Code]],Table29[],4,FALSE)</f>
        <v>Asia</v>
      </c>
      <c r="X641" s="233" t="str">
        <f>VLOOKUP(Table3[[#This Row],[Country Code]],Table29[],5,FALSE)</f>
        <v>High-income</v>
      </c>
      <c r="Y641" s="233" t="str">
        <f>VLOOKUP(Table3[[#This Row],[Country Code]],Table29[],6,FALSE)</f>
        <v>G20</v>
      </c>
      <c r="Z641" s="233" t="str">
        <f>VLOOKUP(Table3[[#This Row],[Country Code]],Table29[],7,FALSE)</f>
        <v>no</v>
      </c>
      <c r="AA641" s="233" t="str">
        <f>VLOOKUP(Table3[[#This Row],[Country Code]],Table29[],8,FALSE)</f>
        <v>OECD</v>
      </c>
      <c r="AB641" s="233" t="str">
        <f>VLOOKUP(Table3[[#This Row],[Country Code]],Table29[],9,FALSE)</f>
        <v>no</v>
      </c>
      <c r="AC641" s="233" t="str">
        <f>VLOOKUP(Table3[[#This Row],[Country Code]],Table29[],10,FALSE)</f>
        <v>no</v>
      </c>
      <c r="AD641" s="235">
        <f>VLOOKUP(Table3[[#This Row],[Country Code]],Table29[],23,FALSE)</f>
        <v>653.84613998739997</v>
      </c>
      <c r="AE641" s="235">
        <f>VLOOKUP(Table3[[#This Row],[Country Code]],Table29[],24,FALSE)</f>
        <v>107.9154569951917</v>
      </c>
      <c r="AF641" s="43"/>
    </row>
    <row r="642" spans="1:32" ht="30" x14ac:dyDescent="0.25">
      <c r="A642" s="360">
        <v>17710</v>
      </c>
      <c r="B642" s="233" t="str">
        <f>VLOOKUP(Table3[[#This Row],[Document ID]],Table1[],2,FALSE)</f>
        <v>MDA</v>
      </c>
      <c r="C642" s="233" t="str">
        <f>VLOOKUP(Table3[[#This Row],[Document ID]],Table1[],3,FALSE)</f>
        <v>Republic of Moldova</v>
      </c>
      <c r="D642" s="233" t="str">
        <f>VLOOKUP(Table3[[#This Row],[Document ID]],Table1[],5,FALSE)</f>
        <v>NDC</v>
      </c>
      <c r="E642" s="233" t="str">
        <f>VLOOKUP(Table3[[#This Row],[Document ID]],Table1[],7,FALSE)</f>
        <v>First NDC updated</v>
      </c>
      <c r="F642" s="233" t="str">
        <f>VLOOKUP(Table3[[#This Row],[Document ID]],Table1[],8,FALSE)</f>
        <v>NDC 1.1</v>
      </c>
      <c r="G642" s="233" t="str">
        <f>VLOOKUP(Table3[[#This Row],[Document ID]],Table1[],10,FALSE)</f>
        <v>Active</v>
      </c>
      <c r="H642" s="216" t="s">
        <v>1089</v>
      </c>
      <c r="I642" s="216" t="s">
        <v>1089</v>
      </c>
      <c r="J642" s="43" t="s">
        <v>1090</v>
      </c>
      <c r="K642" s="28" t="s">
        <v>1153</v>
      </c>
      <c r="L642" s="42" t="s">
        <v>1099</v>
      </c>
      <c r="M642" s="209">
        <v>2030</v>
      </c>
      <c r="N642" s="44" t="s">
        <v>1753</v>
      </c>
      <c r="O642" s="221">
        <v>3</v>
      </c>
      <c r="P642" s="238" t="str">
        <f>VLOOKUP(_xlfn.CONCAT(Table3[[#This Row],[Target area]],Table3[[#This Row],[GHG target?]],Table3[[#This Row],[Conditionality]]),'Drop down'!$E$81:$F$101,2,FALSE)</f>
        <v>T_Economy_Unc</v>
      </c>
      <c r="Q642" s="239" t="str">
        <f>VLOOKUP(Table3[[#This Row],[Target type]],Table418[[Value name]:[Value idenifyer]],2,FALSE)</f>
        <v>T_BYE</v>
      </c>
      <c r="V642" s="233" t="str">
        <f>VLOOKUP(Table3[[#This Row],[Country Code]],Table29[],3,FALSE)</f>
        <v>Non-Annex I</v>
      </c>
      <c r="W642" s="233" t="str">
        <f>VLOOKUP(Table3[[#This Row],[Country Code]],Table29[],4,FALSE)</f>
        <v>Europe</v>
      </c>
      <c r="X642" s="233" t="str">
        <f>VLOOKUP(Table3[[#This Row],[Country Code]],Table29[],5,FALSE)</f>
        <v>Middle-income</v>
      </c>
      <c r="Y642" s="233" t="str">
        <f>VLOOKUP(Table3[[#This Row],[Country Code]],Table29[],6,FALSE)</f>
        <v>no</v>
      </c>
      <c r="Z642" s="233" t="str">
        <f>VLOOKUP(Table3[[#This Row],[Country Code]],Table29[],7,FALSE)</f>
        <v>no</v>
      </c>
      <c r="AA642" s="233" t="str">
        <f>VLOOKUP(Table3[[#This Row],[Country Code]],Table29[],8,FALSE)</f>
        <v>non-OECD</v>
      </c>
      <c r="AB642" s="233" t="str">
        <f>VLOOKUP(Table3[[#This Row],[Country Code]],Table29[],9,FALSE)</f>
        <v>no</v>
      </c>
      <c r="AC642" s="233" t="str">
        <f>VLOOKUP(Table3[[#This Row],[Country Code]],Table29[],10,FALSE)</f>
        <v>no</v>
      </c>
      <c r="AD642" s="235">
        <f>VLOOKUP(Table3[[#This Row],[Country Code]],Table29[],23,FALSE)</f>
        <v>13.54241150505</v>
      </c>
      <c r="AE642" s="235">
        <f>VLOOKUP(Table3[[#This Row],[Country Code]],Table29[],24,FALSE)</f>
        <v>2.4025361889764838</v>
      </c>
      <c r="AF642" s="43"/>
    </row>
    <row r="643" spans="1:32" x14ac:dyDescent="0.25">
      <c r="A643" s="360">
        <v>17710</v>
      </c>
      <c r="B643" s="233" t="str">
        <f>VLOOKUP(Table3[[#This Row],[Document ID]],Table1[],2,FALSE)</f>
        <v>MDA</v>
      </c>
      <c r="C643" s="233" t="str">
        <f>VLOOKUP(Table3[[#This Row],[Document ID]],Table1[],3,FALSE)</f>
        <v>Republic of Moldova</v>
      </c>
      <c r="D643" s="233" t="str">
        <f>VLOOKUP(Table3[[#This Row],[Document ID]],Table1[],5,FALSE)</f>
        <v>NDC</v>
      </c>
      <c r="E643" s="233" t="str">
        <f>VLOOKUP(Table3[[#This Row],[Document ID]],Table1[],7,FALSE)</f>
        <v>First NDC updated</v>
      </c>
      <c r="F643" s="233" t="str">
        <f>VLOOKUP(Table3[[#This Row],[Document ID]],Table1[],8,FALSE)</f>
        <v>NDC 1.1</v>
      </c>
      <c r="G643" s="233" t="str">
        <f>VLOOKUP(Table3[[#This Row],[Document ID]],Table1[],10,FALSE)</f>
        <v>Active</v>
      </c>
      <c r="H643" s="216" t="s">
        <v>1089</v>
      </c>
      <c r="I643" s="216" t="s">
        <v>1089</v>
      </c>
      <c r="J643" s="43" t="s">
        <v>1090</v>
      </c>
      <c r="K643" s="28" t="s">
        <v>1153</v>
      </c>
      <c r="L643" s="216" t="s">
        <v>1092</v>
      </c>
      <c r="M643" s="209">
        <v>2030</v>
      </c>
      <c r="N643" s="44" t="s">
        <v>1754</v>
      </c>
      <c r="O643" s="221">
        <v>3</v>
      </c>
      <c r="P643" s="238" t="str">
        <f>VLOOKUP(_xlfn.CONCAT(Table3[[#This Row],[Target area]],Table3[[#This Row],[GHG target?]],Table3[[#This Row],[Conditionality]]),'Drop down'!$E$81:$F$101,2,FALSE)</f>
        <v>T_Economy_C</v>
      </c>
      <c r="Q643" s="239" t="str">
        <f>VLOOKUP(Table3[[#This Row],[Target type]],Table418[[Value name]:[Value idenifyer]],2,FALSE)</f>
        <v>T_BYE</v>
      </c>
      <c r="V643" s="233" t="str">
        <f>VLOOKUP(Table3[[#This Row],[Country Code]],Table29[],3,FALSE)</f>
        <v>Non-Annex I</v>
      </c>
      <c r="W643" s="233" t="str">
        <f>VLOOKUP(Table3[[#This Row],[Country Code]],Table29[],4,FALSE)</f>
        <v>Europe</v>
      </c>
      <c r="X643" s="233" t="str">
        <f>VLOOKUP(Table3[[#This Row],[Country Code]],Table29[],5,FALSE)</f>
        <v>Middle-income</v>
      </c>
      <c r="Y643" s="233" t="str">
        <f>VLOOKUP(Table3[[#This Row],[Country Code]],Table29[],6,FALSE)</f>
        <v>no</v>
      </c>
      <c r="Z643" s="233" t="str">
        <f>VLOOKUP(Table3[[#This Row],[Country Code]],Table29[],7,FALSE)</f>
        <v>no</v>
      </c>
      <c r="AA643" s="233" t="str">
        <f>VLOOKUP(Table3[[#This Row],[Country Code]],Table29[],8,FALSE)</f>
        <v>non-OECD</v>
      </c>
      <c r="AB643" s="233" t="str">
        <f>VLOOKUP(Table3[[#This Row],[Country Code]],Table29[],9,FALSE)</f>
        <v>no</v>
      </c>
      <c r="AC643" s="233" t="str">
        <f>VLOOKUP(Table3[[#This Row],[Country Code]],Table29[],10,FALSE)</f>
        <v>no</v>
      </c>
      <c r="AD643" s="235">
        <f>VLOOKUP(Table3[[#This Row],[Country Code]],Table29[],23,FALSE)</f>
        <v>13.54241150505</v>
      </c>
      <c r="AE643" s="235">
        <f>VLOOKUP(Table3[[#This Row],[Country Code]],Table29[],24,FALSE)</f>
        <v>2.4025361889764838</v>
      </c>
      <c r="AF643" s="43"/>
    </row>
    <row r="644" spans="1:32" ht="30" x14ac:dyDescent="0.25">
      <c r="A644" s="368">
        <v>39449</v>
      </c>
      <c r="B644" s="233" t="str">
        <f>VLOOKUP(Table3[[#This Row],[Document ID]],Table1[],2,FALSE)</f>
        <v>LKA</v>
      </c>
      <c r="C644" s="233" t="str">
        <f>VLOOKUP(Table3[[#This Row],[Document ID]],Table1[],3,FALSE)</f>
        <v>Sri Lanka</v>
      </c>
      <c r="D644" s="233" t="str">
        <f>VLOOKUP(Table3[[#This Row],[Document ID]],Table1[],5,FALSE)</f>
        <v>LTS</v>
      </c>
      <c r="E644" s="233" t="str">
        <f>VLOOKUP(Table3[[#This Row],[Document ID]],Table1[],7,FALSE)</f>
        <v>LTS</v>
      </c>
      <c r="F644" s="241" t="str">
        <f>VLOOKUP(Table3[[#This Row],[Document ID]],Table1[],8,FALSE)</f>
        <v>LTS 1.0</v>
      </c>
      <c r="G644" s="233" t="str">
        <f>VLOOKUP(Table3[[#This Row],[Document ID]],Table1[],10,FALSE)</f>
        <v>Active</v>
      </c>
      <c r="H644" s="42" t="s">
        <v>1095</v>
      </c>
      <c r="I644" s="42" t="s">
        <v>1096</v>
      </c>
      <c r="J644" s="42" t="s">
        <v>1097</v>
      </c>
      <c r="K644" s="28" t="s">
        <v>1104</v>
      </c>
      <c r="L644" s="42" t="s">
        <v>1099</v>
      </c>
      <c r="M644" s="209">
        <v>2035</v>
      </c>
      <c r="N644" s="209" t="s">
        <v>1755</v>
      </c>
      <c r="O644" s="258">
        <v>18</v>
      </c>
      <c r="P644" s="238" t="str">
        <f>VLOOKUP(_xlfn.CONCAT(Table3[[#This Row],[Target area]],Table3[[#This Row],[GHG target?]],Table3[[#This Row],[Conditionality]]),'Drop down'!$E$81:$F$101,2,FALSE)</f>
        <v>T_Transport_O_Unc</v>
      </c>
      <c r="Q644" s="239" t="str">
        <f>VLOOKUP(Table3[[#This Row],[Target type]],Table418[[Value name]:[Value idenifyer]],2,FALSE)</f>
        <v>T_O_ZERO</v>
      </c>
      <c r="S644" s="233" t="s">
        <v>1101</v>
      </c>
      <c r="T644" s="234" t="s">
        <v>1113</v>
      </c>
      <c r="U644" s="240"/>
      <c r="V644" s="233" t="str">
        <f>VLOOKUP(Table3[[#This Row],[Country Code]],Table29[],3,FALSE)</f>
        <v>Non-Annex I</v>
      </c>
      <c r="W644" s="233" t="str">
        <f>VLOOKUP(Table3[[#This Row],[Country Code]],Table29[],4,FALSE)</f>
        <v>Asia</v>
      </c>
      <c r="X644" s="233" t="str">
        <f>VLOOKUP(Table3[[#This Row],[Country Code]],Table29[],5,FALSE)</f>
        <v>Middle-income</v>
      </c>
      <c r="Y644" s="233" t="str">
        <f>VLOOKUP(Table3[[#This Row],[Country Code]],Table29[],6,FALSE)</f>
        <v>no</v>
      </c>
      <c r="Z644" s="233" t="str">
        <f>VLOOKUP(Table3[[#This Row],[Country Code]],Table29[],7,FALSE)</f>
        <v>no</v>
      </c>
      <c r="AA644" s="233" t="str">
        <f>VLOOKUP(Table3[[#This Row],[Country Code]],Table29[],8,FALSE)</f>
        <v>non-OECD</v>
      </c>
      <c r="AB644" s="233" t="str">
        <f>VLOOKUP(Table3[[#This Row],[Country Code]],Table29[],9,FALSE)</f>
        <v>no</v>
      </c>
      <c r="AC644" s="233" t="str">
        <f>VLOOKUP(Table3[[#This Row],[Country Code]],Table29[],10,FALSE)</f>
        <v>no</v>
      </c>
      <c r="AD644" s="235">
        <f>VLOOKUP(Table3[[#This Row],[Country Code]],Table29[],23,FALSE)</f>
        <v>38.403849844142002</v>
      </c>
      <c r="AE644" s="235">
        <f>VLOOKUP(Table3[[#This Row],[Country Code]],Table29[],24,FALSE)</f>
        <v>9.6330858743096854</v>
      </c>
      <c r="AF644" s="42"/>
    </row>
    <row r="645" spans="1:32" x14ac:dyDescent="0.25">
      <c r="A645" s="360">
        <v>17709</v>
      </c>
      <c r="B645" s="233" t="str">
        <f>VLOOKUP(Table3[[#This Row],[Document ID]],Table1[],2,FALSE)</f>
        <v>MDA</v>
      </c>
      <c r="C645" s="233" t="str">
        <f>VLOOKUP(Table3[[#This Row],[Document ID]],Table1[],3,FALSE)</f>
        <v>Republic of Moldova</v>
      </c>
      <c r="D645" s="233" t="str">
        <f>VLOOKUP(Table3[[#This Row],[Document ID]],Table1[],5,FALSE)</f>
        <v>NDC</v>
      </c>
      <c r="E645" s="233" t="str">
        <f>VLOOKUP(Table3[[#This Row],[Document ID]],Table1[],7,FALSE)</f>
        <v>First NDC</v>
      </c>
      <c r="F645" s="233" t="str">
        <f>VLOOKUP(Table3[[#This Row],[Document ID]],Table1[],8,FALSE)</f>
        <v>NDC 1.0</v>
      </c>
      <c r="G645" s="233" t="str">
        <f>VLOOKUP(Table3[[#This Row],[Document ID]],Table1[],10,FALSE)</f>
        <v>Archived</v>
      </c>
      <c r="H645" s="216" t="s">
        <v>1089</v>
      </c>
      <c r="I645" s="216" t="s">
        <v>1089</v>
      </c>
      <c r="J645" s="43" t="s">
        <v>1090</v>
      </c>
      <c r="K645" s="28" t="s">
        <v>1153</v>
      </c>
      <c r="L645" s="42" t="s">
        <v>1099</v>
      </c>
      <c r="M645" s="209">
        <v>2030</v>
      </c>
      <c r="N645" s="176" t="s">
        <v>1756</v>
      </c>
      <c r="O645" s="258" t="s">
        <v>1094</v>
      </c>
      <c r="P645" s="238" t="str">
        <f>VLOOKUP(_xlfn.CONCAT(Table3[[#This Row],[Target area]],Table3[[#This Row],[GHG target?]],Table3[[#This Row],[Conditionality]]),'Drop down'!$E$81:$F$101,2,FALSE)</f>
        <v>T_Economy_Unc</v>
      </c>
      <c r="Q645" s="239" t="str">
        <f>VLOOKUP(Table3[[#This Row],[Target type]],Table418[[Value name]:[Value idenifyer]],2,FALSE)</f>
        <v>T_BYE</v>
      </c>
      <c r="V645" s="233" t="str">
        <f>VLOOKUP(Table3[[#This Row],[Country Code]],Table29[],3,FALSE)</f>
        <v>Non-Annex I</v>
      </c>
      <c r="W645" s="233" t="str">
        <f>VLOOKUP(Table3[[#This Row],[Country Code]],Table29[],4,FALSE)</f>
        <v>Europe</v>
      </c>
      <c r="X645" s="233" t="str">
        <f>VLOOKUP(Table3[[#This Row],[Country Code]],Table29[],5,FALSE)</f>
        <v>Middle-income</v>
      </c>
      <c r="Y645" s="233" t="str">
        <f>VLOOKUP(Table3[[#This Row],[Country Code]],Table29[],6,FALSE)</f>
        <v>no</v>
      </c>
      <c r="Z645" s="233" t="str">
        <f>VLOOKUP(Table3[[#This Row],[Country Code]],Table29[],7,FALSE)</f>
        <v>no</v>
      </c>
      <c r="AA645" s="233" t="str">
        <f>VLOOKUP(Table3[[#This Row],[Country Code]],Table29[],8,FALSE)</f>
        <v>non-OECD</v>
      </c>
      <c r="AB645" s="233" t="str">
        <f>VLOOKUP(Table3[[#This Row],[Country Code]],Table29[],9,FALSE)</f>
        <v>no</v>
      </c>
      <c r="AC645" s="233" t="str">
        <f>VLOOKUP(Table3[[#This Row],[Country Code]],Table29[],10,FALSE)</f>
        <v>no</v>
      </c>
      <c r="AD645" s="235">
        <f>VLOOKUP(Table3[[#This Row],[Country Code]],Table29[],23,FALSE)</f>
        <v>13.54241150505</v>
      </c>
      <c r="AE645" s="235">
        <f>VLOOKUP(Table3[[#This Row],[Country Code]],Table29[],24,FALSE)</f>
        <v>2.4025361889764838</v>
      </c>
      <c r="AF645" s="43"/>
    </row>
    <row r="646" spans="1:32" x14ac:dyDescent="0.25">
      <c r="A646" s="360">
        <v>17709</v>
      </c>
      <c r="B646" s="233" t="str">
        <f>VLOOKUP(Table3[[#This Row],[Document ID]],Table1[],2,FALSE)</f>
        <v>MDA</v>
      </c>
      <c r="C646" s="233" t="str">
        <f>VLOOKUP(Table3[[#This Row],[Document ID]],Table1[],3,FALSE)</f>
        <v>Republic of Moldova</v>
      </c>
      <c r="D646" s="233" t="str">
        <f>VLOOKUP(Table3[[#This Row],[Document ID]],Table1[],5,FALSE)</f>
        <v>NDC</v>
      </c>
      <c r="E646" s="233" t="str">
        <f>VLOOKUP(Table3[[#This Row],[Document ID]],Table1[],7,FALSE)</f>
        <v>First NDC</v>
      </c>
      <c r="F646" s="233" t="str">
        <f>VLOOKUP(Table3[[#This Row],[Document ID]],Table1[],8,FALSE)</f>
        <v>NDC 1.0</v>
      </c>
      <c r="G646" s="233" t="str">
        <f>VLOOKUP(Table3[[#This Row],[Document ID]],Table1[],10,FALSE)</f>
        <v>Archived</v>
      </c>
      <c r="H646" s="216" t="s">
        <v>1089</v>
      </c>
      <c r="I646" s="216" t="s">
        <v>1089</v>
      </c>
      <c r="J646" s="43" t="s">
        <v>1090</v>
      </c>
      <c r="K646" s="28" t="s">
        <v>1153</v>
      </c>
      <c r="L646" s="216" t="s">
        <v>1092</v>
      </c>
      <c r="M646" s="209">
        <v>2030</v>
      </c>
      <c r="N646" s="176" t="s">
        <v>1757</v>
      </c>
      <c r="O646" s="258" t="s">
        <v>1094</v>
      </c>
      <c r="P646" s="238" t="str">
        <f>VLOOKUP(_xlfn.CONCAT(Table3[[#This Row],[Target area]],Table3[[#This Row],[GHG target?]],Table3[[#This Row],[Conditionality]]),'Drop down'!$E$81:$F$101,2,FALSE)</f>
        <v>T_Economy_C</v>
      </c>
      <c r="Q646" s="239" t="str">
        <f>VLOOKUP(Table3[[#This Row],[Target type]],Table418[[Value name]:[Value idenifyer]],2,FALSE)</f>
        <v>T_BYE</v>
      </c>
      <c r="V646" s="233" t="str">
        <f>VLOOKUP(Table3[[#This Row],[Country Code]],Table29[],3,FALSE)</f>
        <v>Non-Annex I</v>
      </c>
      <c r="W646" s="233" t="str">
        <f>VLOOKUP(Table3[[#This Row],[Country Code]],Table29[],4,FALSE)</f>
        <v>Europe</v>
      </c>
      <c r="X646" s="233" t="str">
        <f>VLOOKUP(Table3[[#This Row],[Country Code]],Table29[],5,FALSE)</f>
        <v>Middle-income</v>
      </c>
      <c r="Y646" s="233" t="str">
        <f>VLOOKUP(Table3[[#This Row],[Country Code]],Table29[],6,FALSE)</f>
        <v>no</v>
      </c>
      <c r="Z646" s="233" t="str">
        <f>VLOOKUP(Table3[[#This Row],[Country Code]],Table29[],7,FALSE)</f>
        <v>no</v>
      </c>
      <c r="AA646" s="233" t="str">
        <f>VLOOKUP(Table3[[#This Row],[Country Code]],Table29[],8,FALSE)</f>
        <v>non-OECD</v>
      </c>
      <c r="AB646" s="233" t="str">
        <f>VLOOKUP(Table3[[#This Row],[Country Code]],Table29[],9,FALSE)</f>
        <v>no</v>
      </c>
      <c r="AC646" s="233" t="str">
        <f>VLOOKUP(Table3[[#This Row],[Country Code]],Table29[],10,FALSE)</f>
        <v>no</v>
      </c>
      <c r="AD646" s="235">
        <f>VLOOKUP(Table3[[#This Row],[Country Code]],Table29[],23,FALSE)</f>
        <v>13.54241150505</v>
      </c>
      <c r="AE646" s="235">
        <f>VLOOKUP(Table3[[#This Row],[Country Code]],Table29[],24,FALSE)</f>
        <v>2.4025361889764838</v>
      </c>
      <c r="AF646" s="43"/>
    </row>
    <row r="647" spans="1:32" x14ac:dyDescent="0.25">
      <c r="A647" s="360">
        <v>17712</v>
      </c>
      <c r="B647" s="233" t="str">
        <f>VLOOKUP(Table3[[#This Row],[Document ID]],Table1[],2,FALSE)</f>
        <v>MKD</v>
      </c>
      <c r="C647" s="233" t="str">
        <f>VLOOKUP(Table3[[#This Row],[Document ID]],Table1[],3,FALSE)</f>
        <v>Republic of North Macedonia</v>
      </c>
      <c r="D647" s="233" t="str">
        <f>VLOOKUP(Table3[[#This Row],[Document ID]],Table1[],5,FALSE)</f>
        <v>NDC</v>
      </c>
      <c r="E647" s="233" t="str">
        <f>VLOOKUP(Table3[[#This Row],[Document ID]],Table1[],7,FALSE)</f>
        <v>First NDC updated</v>
      </c>
      <c r="F647" s="233" t="str">
        <f>VLOOKUP(Table3[[#This Row],[Document ID]],Table1[],8,FALSE)</f>
        <v>NDC 1.1</v>
      </c>
      <c r="G647" s="233" t="str">
        <f>VLOOKUP(Table3[[#This Row],[Document ID]],Table1[],10,FALSE)</f>
        <v>Active</v>
      </c>
      <c r="H647" s="216" t="s">
        <v>1089</v>
      </c>
      <c r="I647" s="216" t="s">
        <v>1089</v>
      </c>
      <c r="J647" s="43" t="s">
        <v>1090</v>
      </c>
      <c r="K647" s="28" t="s">
        <v>1153</v>
      </c>
      <c r="L647" s="42" t="s">
        <v>1099</v>
      </c>
      <c r="M647" s="209">
        <v>2030</v>
      </c>
      <c r="N647" s="44" t="s">
        <v>1758</v>
      </c>
      <c r="O647" s="221">
        <v>2</v>
      </c>
      <c r="P647" s="238" t="str">
        <f>VLOOKUP(_xlfn.CONCAT(Table3[[#This Row],[Target area]],Table3[[#This Row],[GHG target?]],Table3[[#This Row],[Conditionality]]),'Drop down'!$E$81:$F$101,2,FALSE)</f>
        <v>T_Economy_Unc</v>
      </c>
      <c r="Q647" s="239" t="str">
        <f>VLOOKUP(Table3[[#This Row],[Target type]],Table418[[Value name]:[Value idenifyer]],2,FALSE)</f>
        <v>T_BYE</v>
      </c>
      <c r="S647" s="233" t="s">
        <v>1101</v>
      </c>
      <c r="V647" s="233" t="str">
        <f>VLOOKUP(Table3[[#This Row],[Country Code]],Table29[],3,FALSE)</f>
        <v>Non-Annex I</v>
      </c>
      <c r="W647" s="233" t="str">
        <f>VLOOKUP(Table3[[#This Row],[Country Code]],Table29[],4,FALSE)</f>
        <v>Europe</v>
      </c>
      <c r="X647" s="233" t="str">
        <f>VLOOKUP(Table3[[#This Row],[Country Code]],Table29[],5,FALSE)</f>
        <v>Middle-income</v>
      </c>
      <c r="Y647" s="233" t="str">
        <f>VLOOKUP(Table3[[#This Row],[Country Code]],Table29[],6,FALSE)</f>
        <v>no</v>
      </c>
      <c r="Z647" s="233" t="str">
        <f>VLOOKUP(Table3[[#This Row],[Country Code]],Table29[],7,FALSE)</f>
        <v>no</v>
      </c>
      <c r="AA647" s="233" t="str">
        <f>VLOOKUP(Table3[[#This Row],[Country Code]],Table29[],8,FALSE)</f>
        <v>non-OECD</v>
      </c>
      <c r="AB647" s="233" t="str">
        <f>VLOOKUP(Table3[[#This Row],[Country Code]],Table29[],9,FALSE)</f>
        <v>no</v>
      </c>
      <c r="AC647" s="233" t="str">
        <f>VLOOKUP(Table3[[#This Row],[Country Code]],Table29[],10,FALSE)</f>
        <v>no</v>
      </c>
      <c r="AD647" s="235">
        <f>VLOOKUP(Table3[[#This Row],[Country Code]],Table29[],23,FALSE)</f>
        <v>11.370029305485</v>
      </c>
      <c r="AE647" s="235">
        <f>VLOOKUP(Table3[[#This Row],[Country Code]],Table29[],24,FALSE)</f>
        <v>2.5209386628390988</v>
      </c>
      <c r="AF647" s="43"/>
    </row>
    <row r="648" spans="1:32" ht="60" x14ac:dyDescent="0.25">
      <c r="A648" s="360">
        <v>26788</v>
      </c>
      <c r="B648" s="233" t="str">
        <f>VLOOKUP(Table3[[#This Row],[Document ID]],Table1[],2,FALSE)</f>
        <v>MKD</v>
      </c>
      <c r="C648" s="233" t="str">
        <f>VLOOKUP(Table3[[#This Row],[Document ID]],Table1[],3,FALSE)</f>
        <v>Republic of North Macedonia</v>
      </c>
      <c r="D648" s="233" t="str">
        <f>VLOOKUP(Table3[[#This Row],[Document ID]],Table1[],5,FALSE)</f>
        <v>LTS</v>
      </c>
      <c r="E648" s="233" t="str">
        <f>VLOOKUP(Table3[[#This Row],[Document ID]],Table1[],7,FALSE)</f>
        <v>LTS</v>
      </c>
      <c r="F648" s="233" t="str">
        <f>VLOOKUP(Table3[[#This Row],[Document ID]],Table1[],8,FALSE)</f>
        <v>LTS 1.0</v>
      </c>
      <c r="G648" s="233" t="str">
        <f>VLOOKUP(Table3[[#This Row],[Document ID]],Table1[],10,FALSE)</f>
        <v>Active</v>
      </c>
      <c r="H648" s="216" t="s">
        <v>1089</v>
      </c>
      <c r="I648" s="216" t="s">
        <v>1089</v>
      </c>
      <c r="J648" s="43" t="s">
        <v>1090</v>
      </c>
      <c r="K648" s="28" t="s">
        <v>1153</v>
      </c>
      <c r="L648" s="42" t="s">
        <v>1099</v>
      </c>
      <c r="M648" s="209">
        <v>2050</v>
      </c>
      <c r="N648" s="44" t="s">
        <v>1759</v>
      </c>
      <c r="O648" s="258">
        <v>6</v>
      </c>
      <c r="P648" s="238" t="str">
        <f>VLOOKUP(_xlfn.CONCAT(Table3[[#This Row],[Target area]],Table3[[#This Row],[GHG target?]],Table3[[#This Row],[Conditionality]]),'Drop down'!$E$81:$F$101,2,FALSE)</f>
        <v>T_Economy_Unc</v>
      </c>
      <c r="Q648" s="239" t="str">
        <f>VLOOKUP(Table3[[#This Row],[Target type]],Table418[[Value name]:[Value idenifyer]],2,FALSE)</f>
        <v>T_BYE</v>
      </c>
      <c r="S648" s="233" t="s">
        <v>1101</v>
      </c>
      <c r="V648" s="233" t="str">
        <f>VLOOKUP(Table3[[#This Row],[Country Code]],Table29[],3,FALSE)</f>
        <v>Non-Annex I</v>
      </c>
      <c r="W648" s="233" t="str">
        <f>VLOOKUP(Table3[[#This Row],[Country Code]],Table29[],4,FALSE)</f>
        <v>Europe</v>
      </c>
      <c r="X648" s="233" t="str">
        <f>VLOOKUP(Table3[[#This Row],[Country Code]],Table29[],5,FALSE)</f>
        <v>Middle-income</v>
      </c>
      <c r="Y648" s="233" t="str">
        <f>VLOOKUP(Table3[[#This Row],[Country Code]],Table29[],6,FALSE)</f>
        <v>no</v>
      </c>
      <c r="Z648" s="233" t="str">
        <f>VLOOKUP(Table3[[#This Row],[Country Code]],Table29[],7,FALSE)</f>
        <v>no</v>
      </c>
      <c r="AA648" s="233" t="str">
        <f>VLOOKUP(Table3[[#This Row],[Country Code]],Table29[],8,FALSE)</f>
        <v>non-OECD</v>
      </c>
      <c r="AB648" s="233" t="str">
        <f>VLOOKUP(Table3[[#This Row],[Country Code]],Table29[],9,FALSE)</f>
        <v>no</v>
      </c>
      <c r="AC648" s="233" t="str">
        <f>VLOOKUP(Table3[[#This Row],[Country Code]],Table29[],10,FALSE)</f>
        <v>no</v>
      </c>
      <c r="AD648" s="235">
        <f>VLOOKUP(Table3[[#This Row],[Country Code]],Table29[],23,FALSE)</f>
        <v>11.370029305485</v>
      </c>
      <c r="AE648" s="235">
        <f>VLOOKUP(Table3[[#This Row],[Country Code]],Table29[],24,FALSE)</f>
        <v>2.5209386628390988</v>
      </c>
      <c r="AF648" s="43"/>
    </row>
    <row r="649" spans="1:32" x14ac:dyDescent="0.25">
      <c r="A649" s="368">
        <v>39449</v>
      </c>
      <c r="B649" s="233" t="str">
        <f>VLOOKUP(Table3[[#This Row],[Document ID]],Table1[],2,FALSE)</f>
        <v>LKA</v>
      </c>
      <c r="C649" s="233" t="str">
        <f>VLOOKUP(Table3[[#This Row],[Document ID]],Table1[],3,FALSE)</f>
        <v>Sri Lanka</v>
      </c>
      <c r="D649" s="233" t="str">
        <f>VLOOKUP(Table3[[#This Row],[Document ID]],Table1[],5,FALSE)</f>
        <v>LTS</v>
      </c>
      <c r="E649" s="233" t="str">
        <f>VLOOKUP(Table3[[#This Row],[Document ID]],Table1[],7,FALSE)</f>
        <v>LTS</v>
      </c>
      <c r="F649" s="241" t="str">
        <f>VLOOKUP(Table3[[#This Row],[Document ID]],Table1[],8,FALSE)</f>
        <v>LTS 1.0</v>
      </c>
      <c r="G649" s="233" t="str">
        <f>VLOOKUP(Table3[[#This Row],[Document ID]],Table1[],10,FALSE)</f>
        <v>Active</v>
      </c>
      <c r="H649" s="42" t="s">
        <v>1095</v>
      </c>
      <c r="I649" s="42" t="s">
        <v>1096</v>
      </c>
      <c r="J649" s="42" t="s">
        <v>1097</v>
      </c>
      <c r="K649" s="28" t="s">
        <v>1162</v>
      </c>
      <c r="L649" s="42" t="s">
        <v>1099</v>
      </c>
      <c r="M649" s="209">
        <v>2025</v>
      </c>
      <c r="N649" s="209" t="s">
        <v>1760</v>
      </c>
      <c r="O649" s="258">
        <v>18</v>
      </c>
      <c r="P649" s="238" t="str">
        <f>VLOOKUP(_xlfn.CONCAT(Table3[[#This Row],[Target area]],Table3[[#This Row],[GHG target?]],Table3[[#This Row],[Conditionality]]),'Drop down'!$E$81:$F$101,2,FALSE)</f>
        <v>T_Transport_O_Unc</v>
      </c>
      <c r="Q649" s="239" t="str">
        <f>VLOOKUP(Table3[[#This Row],[Target type]],Table418[[Value name]:[Value idenifyer]],2,FALSE)</f>
        <v>T_O_INFRA</v>
      </c>
      <c r="S649" s="233" t="s">
        <v>1101</v>
      </c>
      <c r="T649" s="234" t="s">
        <v>1113</v>
      </c>
      <c r="U649" s="240"/>
      <c r="V649" s="233" t="str">
        <f>VLOOKUP(Table3[[#This Row],[Country Code]],Table29[],3,FALSE)</f>
        <v>Non-Annex I</v>
      </c>
      <c r="W649" s="233" t="str">
        <f>VLOOKUP(Table3[[#This Row],[Country Code]],Table29[],4,FALSE)</f>
        <v>Asia</v>
      </c>
      <c r="X649" s="233" t="str">
        <f>VLOOKUP(Table3[[#This Row],[Country Code]],Table29[],5,FALSE)</f>
        <v>Middle-income</v>
      </c>
      <c r="Y649" s="233" t="str">
        <f>VLOOKUP(Table3[[#This Row],[Country Code]],Table29[],6,FALSE)</f>
        <v>no</v>
      </c>
      <c r="Z649" s="233" t="str">
        <f>VLOOKUP(Table3[[#This Row],[Country Code]],Table29[],7,FALSE)</f>
        <v>no</v>
      </c>
      <c r="AA649" s="233" t="str">
        <f>VLOOKUP(Table3[[#This Row],[Country Code]],Table29[],8,FALSE)</f>
        <v>non-OECD</v>
      </c>
      <c r="AB649" s="233" t="str">
        <f>VLOOKUP(Table3[[#This Row],[Country Code]],Table29[],9,FALSE)</f>
        <v>no</v>
      </c>
      <c r="AC649" s="233" t="str">
        <f>VLOOKUP(Table3[[#This Row],[Country Code]],Table29[],10,FALSE)</f>
        <v>no</v>
      </c>
      <c r="AD649" s="235">
        <f>VLOOKUP(Table3[[#This Row],[Country Code]],Table29[],23,FALSE)</f>
        <v>38.403849844142002</v>
      </c>
      <c r="AE649" s="235">
        <f>VLOOKUP(Table3[[#This Row],[Country Code]],Table29[],24,FALSE)</f>
        <v>9.6330858743096854</v>
      </c>
      <c r="AF649" s="42"/>
    </row>
    <row r="650" spans="1:32" x14ac:dyDescent="0.25">
      <c r="A650" s="368">
        <v>39449</v>
      </c>
      <c r="B650" s="233" t="str">
        <f>VLOOKUP(Table3[[#This Row],[Document ID]],Table1[],2,FALSE)</f>
        <v>LKA</v>
      </c>
      <c r="C650" s="233" t="str">
        <f>VLOOKUP(Table3[[#This Row],[Document ID]],Table1[],3,FALSE)</f>
        <v>Sri Lanka</v>
      </c>
      <c r="D650" s="233" t="str">
        <f>VLOOKUP(Table3[[#This Row],[Document ID]],Table1[],5,FALSE)</f>
        <v>LTS</v>
      </c>
      <c r="E650" s="233" t="str">
        <f>VLOOKUP(Table3[[#This Row],[Document ID]],Table1[],7,FALSE)</f>
        <v>LTS</v>
      </c>
      <c r="F650" s="241" t="str">
        <f>VLOOKUP(Table3[[#This Row],[Document ID]],Table1[],8,FALSE)</f>
        <v>LTS 1.0</v>
      </c>
      <c r="G650" s="233" t="str">
        <f>VLOOKUP(Table3[[#This Row],[Document ID]],Table1[],10,FALSE)</f>
        <v>Active</v>
      </c>
      <c r="H650" s="42" t="s">
        <v>1095</v>
      </c>
      <c r="I650" s="42" t="s">
        <v>1096</v>
      </c>
      <c r="J650" s="42" t="s">
        <v>1097</v>
      </c>
      <c r="K650" s="28" t="s">
        <v>1162</v>
      </c>
      <c r="L650" s="42" t="s">
        <v>1099</v>
      </c>
      <c r="M650" s="209">
        <v>2035</v>
      </c>
      <c r="N650" s="209" t="s">
        <v>1761</v>
      </c>
      <c r="O650" s="258">
        <v>18</v>
      </c>
      <c r="P650" s="238" t="str">
        <f>VLOOKUP(_xlfn.CONCAT(Table3[[#This Row],[Target area]],Table3[[#This Row],[GHG target?]],Table3[[#This Row],[Conditionality]]),'Drop down'!$E$81:$F$101,2,FALSE)</f>
        <v>T_Transport_O_Unc</v>
      </c>
      <c r="Q650" s="239" t="str">
        <f>VLOOKUP(Table3[[#This Row],[Target type]],Table418[[Value name]:[Value idenifyer]],2,FALSE)</f>
        <v>T_O_INFRA</v>
      </c>
      <c r="S650" s="233" t="s">
        <v>1101</v>
      </c>
      <c r="T650" s="234" t="s">
        <v>1113</v>
      </c>
      <c r="U650" s="240"/>
      <c r="V650" s="233" t="str">
        <f>VLOOKUP(Table3[[#This Row],[Country Code]],Table29[],3,FALSE)</f>
        <v>Non-Annex I</v>
      </c>
      <c r="W650" s="233" t="str">
        <f>VLOOKUP(Table3[[#This Row],[Country Code]],Table29[],4,FALSE)</f>
        <v>Asia</v>
      </c>
      <c r="X650" s="233" t="str">
        <f>VLOOKUP(Table3[[#This Row],[Country Code]],Table29[],5,FALSE)</f>
        <v>Middle-income</v>
      </c>
      <c r="Y650" s="233" t="str">
        <f>VLOOKUP(Table3[[#This Row],[Country Code]],Table29[],6,FALSE)</f>
        <v>no</v>
      </c>
      <c r="Z650" s="233" t="str">
        <f>VLOOKUP(Table3[[#This Row],[Country Code]],Table29[],7,FALSE)</f>
        <v>no</v>
      </c>
      <c r="AA650" s="233" t="str">
        <f>VLOOKUP(Table3[[#This Row],[Country Code]],Table29[],8,FALSE)</f>
        <v>non-OECD</v>
      </c>
      <c r="AB650" s="233" t="str">
        <f>VLOOKUP(Table3[[#This Row],[Country Code]],Table29[],9,FALSE)</f>
        <v>no</v>
      </c>
      <c r="AC650" s="233" t="str">
        <f>VLOOKUP(Table3[[#This Row],[Country Code]],Table29[],10,FALSE)</f>
        <v>no</v>
      </c>
      <c r="AD650" s="235">
        <f>VLOOKUP(Table3[[#This Row],[Country Code]],Table29[],23,FALSE)</f>
        <v>38.403849844142002</v>
      </c>
      <c r="AE650" s="235">
        <f>VLOOKUP(Table3[[#This Row],[Country Code]],Table29[],24,FALSE)</f>
        <v>9.6330858743096854</v>
      </c>
      <c r="AF650" s="42"/>
    </row>
    <row r="651" spans="1:32" x14ac:dyDescent="0.25">
      <c r="A651" s="360">
        <v>17715</v>
      </c>
      <c r="B651" s="233" t="str">
        <f>VLOOKUP(Table3[[#This Row],[Document ID]],Table1[],2,FALSE)</f>
        <v>RUS</v>
      </c>
      <c r="C651" s="233" t="str">
        <f>VLOOKUP(Table3[[#This Row],[Document ID]],Table1[],3,FALSE)</f>
        <v>Russian Federation</v>
      </c>
      <c r="D651" s="233" t="str">
        <f>VLOOKUP(Table3[[#This Row],[Document ID]],Table1[],5,FALSE)</f>
        <v>NDC</v>
      </c>
      <c r="E651" s="233" t="str">
        <f>VLOOKUP(Table3[[#This Row],[Document ID]],Table1[],7,FALSE)</f>
        <v>First NDC</v>
      </c>
      <c r="F651" s="233" t="str">
        <f>VLOOKUP(Table3[[#This Row],[Document ID]],Table1[],8,FALSE)</f>
        <v>NDC 1.0</v>
      </c>
      <c r="G651" s="233" t="str">
        <f>VLOOKUP(Table3[[#This Row],[Document ID]],Table1[],10,FALSE)</f>
        <v>Active</v>
      </c>
      <c r="H651" s="216" t="s">
        <v>1089</v>
      </c>
      <c r="I651" s="216" t="s">
        <v>1089</v>
      </c>
      <c r="J651" s="43" t="s">
        <v>1090</v>
      </c>
      <c r="K651" s="28" t="s">
        <v>1153</v>
      </c>
      <c r="L651" s="42" t="s">
        <v>1099</v>
      </c>
      <c r="M651" s="209">
        <v>2030</v>
      </c>
      <c r="N651" s="44" t="s">
        <v>1762</v>
      </c>
      <c r="O651" s="221">
        <v>7</v>
      </c>
      <c r="P651" s="238" t="str">
        <f>VLOOKUP(_xlfn.CONCAT(Table3[[#This Row],[Target area]],Table3[[#This Row],[GHG target?]],Table3[[#This Row],[Conditionality]]),'Drop down'!$E$81:$F$101,2,FALSE)</f>
        <v>T_Economy_Unc</v>
      </c>
      <c r="Q651" s="239" t="str">
        <f>VLOOKUP(Table3[[#This Row],[Target type]],Table418[[Value name]:[Value idenifyer]],2,FALSE)</f>
        <v>T_BYE</v>
      </c>
      <c r="T651" s="234" t="s">
        <v>1113</v>
      </c>
      <c r="V651" s="233" t="str">
        <f>VLOOKUP(Table3[[#This Row],[Country Code]],Table29[],3,FALSE)</f>
        <v>Annex I</v>
      </c>
      <c r="W651" s="233" t="str">
        <f>VLOOKUP(Table3[[#This Row],[Country Code]],Table29[],4,FALSE)</f>
        <v>Europe</v>
      </c>
      <c r="X651" s="233" t="str">
        <f>VLOOKUP(Table3[[#This Row],[Country Code]],Table29[],5,FALSE)</f>
        <v>Middle-income</v>
      </c>
      <c r="Y651" s="233" t="str">
        <f>VLOOKUP(Table3[[#This Row],[Country Code]],Table29[],6,FALSE)</f>
        <v>G20</v>
      </c>
      <c r="Z651" s="233" t="str">
        <f>VLOOKUP(Table3[[#This Row],[Country Code]],Table29[],7,FALSE)</f>
        <v>no</v>
      </c>
      <c r="AA651" s="233" t="str">
        <f>VLOOKUP(Table3[[#This Row],[Country Code]],Table29[],8,FALSE)</f>
        <v>non-OECD</v>
      </c>
      <c r="AB651" s="233" t="str">
        <f>VLOOKUP(Table3[[#This Row],[Country Code]],Table29[],9,FALSE)</f>
        <v>no</v>
      </c>
      <c r="AC651" s="233" t="str">
        <f>VLOOKUP(Table3[[#This Row],[Country Code]],Table29[],10,FALSE)</f>
        <v>no</v>
      </c>
      <c r="AD651" s="235">
        <f>VLOOKUP(Table3[[#This Row],[Country Code]],Table29[],23,FALSE)</f>
        <v>2672.0394366031001</v>
      </c>
      <c r="AE651" s="235">
        <f>VLOOKUP(Table3[[#This Row],[Country Code]],Table29[],24,FALSE)</f>
        <v>265.70074531042741</v>
      </c>
      <c r="AF651" s="43"/>
    </row>
    <row r="652" spans="1:32" x14ac:dyDescent="0.25">
      <c r="A652" s="360">
        <v>17714</v>
      </c>
      <c r="B652" s="233" t="str">
        <f>VLOOKUP(Table3[[#This Row],[Document ID]],Table1[],2,FALSE)</f>
        <v>RUS</v>
      </c>
      <c r="C652" s="233" t="str">
        <f>VLOOKUP(Table3[[#This Row],[Document ID]],Table1[],3,FALSE)</f>
        <v>Russian Federation</v>
      </c>
      <c r="D652" s="233" t="str">
        <f>VLOOKUP(Table3[[#This Row],[Document ID]],Table1[],5,FALSE)</f>
        <v>NDC</v>
      </c>
      <c r="E652" s="233" t="str">
        <f>VLOOKUP(Table3[[#This Row],[Document ID]],Table1[],7,FALSE)</f>
        <v>First NDC</v>
      </c>
      <c r="F652" s="233" t="str">
        <f>VLOOKUP(Table3[[#This Row],[Document ID]],Table1[],8,FALSE)</f>
        <v>NDC 1.0</v>
      </c>
      <c r="G652" s="233" t="str">
        <f>VLOOKUP(Table3[[#This Row],[Document ID]],Table1[],10,FALSE)</f>
        <v>Archived</v>
      </c>
      <c r="H652" s="216" t="s">
        <v>1089</v>
      </c>
      <c r="I652" s="216" t="s">
        <v>1089</v>
      </c>
      <c r="J652" s="43" t="s">
        <v>1090</v>
      </c>
      <c r="K652" s="28" t="s">
        <v>1153</v>
      </c>
      <c r="L652" s="216" t="s">
        <v>1092</v>
      </c>
      <c r="M652" s="209">
        <v>2030</v>
      </c>
      <c r="N652" s="176" t="s">
        <v>1763</v>
      </c>
      <c r="O652" s="258" t="s">
        <v>1094</v>
      </c>
      <c r="P652" s="238" t="str">
        <f>VLOOKUP(_xlfn.CONCAT(Table3[[#This Row],[Target area]],Table3[[#This Row],[GHG target?]],Table3[[#This Row],[Conditionality]]),'Drop down'!$E$81:$F$101,2,FALSE)</f>
        <v>T_Economy_C</v>
      </c>
      <c r="Q652" s="239" t="str">
        <f>VLOOKUP(Table3[[#This Row],[Target type]],Table418[[Value name]:[Value idenifyer]],2,FALSE)</f>
        <v>T_BYE</v>
      </c>
      <c r="T652" s="234" t="s">
        <v>1113</v>
      </c>
      <c r="V652" s="233" t="str">
        <f>VLOOKUP(Table3[[#This Row],[Country Code]],Table29[],3,FALSE)</f>
        <v>Annex I</v>
      </c>
      <c r="W652" s="233" t="str">
        <f>VLOOKUP(Table3[[#This Row],[Country Code]],Table29[],4,FALSE)</f>
        <v>Europe</v>
      </c>
      <c r="X652" s="233" t="str">
        <f>VLOOKUP(Table3[[#This Row],[Country Code]],Table29[],5,FALSE)</f>
        <v>Middle-income</v>
      </c>
      <c r="Y652" s="233" t="str">
        <f>VLOOKUP(Table3[[#This Row],[Country Code]],Table29[],6,FALSE)</f>
        <v>G20</v>
      </c>
      <c r="Z652" s="233" t="str">
        <f>VLOOKUP(Table3[[#This Row],[Country Code]],Table29[],7,FALSE)</f>
        <v>no</v>
      </c>
      <c r="AA652" s="233" t="str">
        <f>VLOOKUP(Table3[[#This Row],[Country Code]],Table29[],8,FALSE)</f>
        <v>non-OECD</v>
      </c>
      <c r="AB652" s="233" t="str">
        <f>VLOOKUP(Table3[[#This Row],[Country Code]],Table29[],9,FALSE)</f>
        <v>no</v>
      </c>
      <c r="AC652" s="233" t="str">
        <f>VLOOKUP(Table3[[#This Row],[Country Code]],Table29[],10,FALSE)</f>
        <v>no</v>
      </c>
      <c r="AD652" s="235">
        <f>VLOOKUP(Table3[[#This Row],[Country Code]],Table29[],23,FALSE)</f>
        <v>2672.0394366031001</v>
      </c>
      <c r="AE652" s="235">
        <f>VLOOKUP(Table3[[#This Row],[Country Code]],Table29[],24,FALSE)</f>
        <v>265.70074531042741</v>
      </c>
      <c r="AF652" s="43"/>
    </row>
    <row r="653" spans="1:32" x14ac:dyDescent="0.25">
      <c r="A653" s="368">
        <v>32512</v>
      </c>
      <c r="B653" s="233" t="str">
        <f>VLOOKUP(Table3[[#This Row],[Document ID]],Table1[],2,FALSE)</f>
        <v>RUS</v>
      </c>
      <c r="C653" s="233" t="str">
        <f>VLOOKUP(Table3[[#This Row],[Document ID]],Table1[],3,FALSE)</f>
        <v>Russian Federation</v>
      </c>
      <c r="D653" s="233" t="str">
        <f>VLOOKUP(Table3[[#This Row],[Document ID]],Table1[],5,FALSE)</f>
        <v>LTS</v>
      </c>
      <c r="E653" s="233" t="str">
        <f>VLOOKUP(Table3[[#This Row],[Document ID]],Table1[],7,FALSE)</f>
        <v>LTS</v>
      </c>
      <c r="F653" s="241" t="str">
        <f>VLOOKUP(Table3[[#This Row],[Document ID]],Table1[],8,FALSE)</f>
        <v>LTS 1.0</v>
      </c>
      <c r="G653" s="233" t="str">
        <f>VLOOKUP(Table3[[#This Row],[Document ID]],Table1[],10,FALSE)</f>
        <v>Active</v>
      </c>
      <c r="H653" s="216" t="s">
        <v>1089</v>
      </c>
      <c r="I653" s="216" t="s">
        <v>1089</v>
      </c>
      <c r="J653" s="43" t="s">
        <v>1090</v>
      </c>
      <c r="K653" s="28" t="s">
        <v>1121</v>
      </c>
      <c r="L653" s="42" t="s">
        <v>1099</v>
      </c>
      <c r="M653" s="209">
        <v>2050</v>
      </c>
      <c r="N653" s="209" t="s">
        <v>1764</v>
      </c>
      <c r="O653" s="258">
        <v>34</v>
      </c>
      <c r="P653" s="238" t="str">
        <f>VLOOKUP(_xlfn.CONCAT(Table3[[#This Row],[Target area]],Table3[[#This Row],[GHG target?]],Table3[[#This Row],[Conditionality]]),'Drop down'!$E$81:$F$101,2,FALSE)</f>
        <v>T_Economy_Unc</v>
      </c>
      <c r="Q653" s="239" t="str">
        <f>VLOOKUP(Table3[[#This Row],[Target type]],Table418[[Value name]:[Value idenifyer]],2,FALSE)</f>
        <v>T_FL</v>
      </c>
      <c r="T653" s="234" t="s">
        <v>1113</v>
      </c>
      <c r="V653" s="233" t="str">
        <f>VLOOKUP(Table3[[#This Row],[Country Code]],Table29[],3,FALSE)</f>
        <v>Annex I</v>
      </c>
      <c r="W653" s="233" t="str">
        <f>VLOOKUP(Table3[[#This Row],[Country Code]],Table29[],4,FALSE)</f>
        <v>Europe</v>
      </c>
      <c r="X653" s="233" t="str">
        <f>VLOOKUP(Table3[[#This Row],[Country Code]],Table29[],5,FALSE)</f>
        <v>Middle-income</v>
      </c>
      <c r="Y653" s="233" t="str">
        <f>VLOOKUP(Table3[[#This Row],[Country Code]],Table29[],6,FALSE)</f>
        <v>G20</v>
      </c>
      <c r="Z653" s="233" t="str">
        <f>VLOOKUP(Table3[[#This Row],[Country Code]],Table29[],7,FALSE)</f>
        <v>no</v>
      </c>
      <c r="AA653" s="233" t="str">
        <f>VLOOKUP(Table3[[#This Row],[Country Code]],Table29[],8,FALSE)</f>
        <v>non-OECD</v>
      </c>
      <c r="AB653" s="233" t="str">
        <f>VLOOKUP(Table3[[#This Row],[Country Code]],Table29[],9,FALSE)</f>
        <v>no</v>
      </c>
      <c r="AC653" s="233" t="str">
        <f>VLOOKUP(Table3[[#This Row],[Country Code]],Table29[],10,FALSE)</f>
        <v>no</v>
      </c>
      <c r="AD653" s="235">
        <f>VLOOKUP(Table3[[#This Row],[Country Code]],Table29[],23,FALSE)</f>
        <v>2672.0394366031001</v>
      </c>
      <c r="AE653" s="235">
        <f>VLOOKUP(Table3[[#This Row],[Country Code]],Table29[],24,FALSE)</f>
        <v>265.70074531042741</v>
      </c>
      <c r="AF653" s="43"/>
    </row>
    <row r="654" spans="1:32" x14ac:dyDescent="0.25">
      <c r="A654" s="360">
        <v>17717</v>
      </c>
      <c r="B654" s="233" t="str">
        <f>VLOOKUP(Table3[[#This Row],[Document ID]],Table1[],2,FALSE)</f>
        <v>RWA</v>
      </c>
      <c r="C654" s="233" t="str">
        <f>VLOOKUP(Table3[[#This Row],[Document ID]],Table1[],3,FALSE)</f>
        <v>Rwanda</v>
      </c>
      <c r="D654" s="233" t="str">
        <f>VLOOKUP(Table3[[#This Row],[Document ID]],Table1[],5,FALSE)</f>
        <v>NDC</v>
      </c>
      <c r="E654" s="233" t="str">
        <f>VLOOKUP(Table3[[#This Row],[Document ID]],Table1[],7,FALSE)</f>
        <v>First NDC updated</v>
      </c>
      <c r="F654" s="233" t="str">
        <f>VLOOKUP(Table3[[#This Row],[Document ID]],Table1[],8,FALSE)</f>
        <v>NDC 1.1</v>
      </c>
      <c r="G654" s="233" t="str">
        <f>VLOOKUP(Table3[[#This Row],[Document ID]],Table1[],10,FALSE)</f>
        <v>Active</v>
      </c>
      <c r="H654" s="216" t="s">
        <v>1089</v>
      </c>
      <c r="I654" s="216" t="s">
        <v>1089</v>
      </c>
      <c r="J654" s="43" t="s">
        <v>1090</v>
      </c>
      <c r="K654" s="28" t="s">
        <v>1091</v>
      </c>
      <c r="L654" s="42" t="s">
        <v>1099</v>
      </c>
      <c r="M654" s="209">
        <v>2030</v>
      </c>
      <c r="N654" s="44" t="s">
        <v>1765</v>
      </c>
      <c r="O654" s="221">
        <v>2</v>
      </c>
      <c r="P654" s="238" t="str">
        <f>VLOOKUP(_xlfn.CONCAT(Table3[[#This Row],[Target area]],Table3[[#This Row],[GHG target?]],Table3[[#This Row],[Conditionality]]),'Drop down'!$E$81:$F$101,2,FALSE)</f>
        <v>T_Economy_Unc</v>
      </c>
      <c r="Q654" s="239" t="str">
        <f>VLOOKUP(Table3[[#This Row],[Target type]],Table418[[Value name]:[Value idenifyer]],2,FALSE)</f>
        <v>T_BAU</v>
      </c>
      <c r="T654" s="234" t="s">
        <v>1113</v>
      </c>
      <c r="V654" s="233" t="str">
        <f>VLOOKUP(Table3[[#This Row],[Country Code]],Table29[],3,FALSE)</f>
        <v>Non-Annex I</v>
      </c>
      <c r="W654" s="233" t="str">
        <f>VLOOKUP(Table3[[#This Row],[Country Code]],Table29[],4,FALSE)</f>
        <v>Africa</v>
      </c>
      <c r="X654" s="233" t="str">
        <f>VLOOKUP(Table3[[#This Row],[Country Code]],Table29[],5,FALSE)</f>
        <v>Low-income</v>
      </c>
      <c r="Y654" s="233" t="str">
        <f>VLOOKUP(Table3[[#This Row],[Country Code]],Table29[],6,FALSE)</f>
        <v>no</v>
      </c>
      <c r="Z654" s="233" t="str">
        <f>VLOOKUP(Table3[[#This Row],[Country Code]],Table29[],7,FALSE)</f>
        <v>no</v>
      </c>
      <c r="AA654" s="233" t="str">
        <f>VLOOKUP(Table3[[#This Row],[Country Code]],Table29[],8,FALSE)</f>
        <v>non-OECD</v>
      </c>
      <c r="AB654" s="233" t="str">
        <f>VLOOKUP(Table3[[#This Row],[Country Code]],Table29[],9,FALSE)</f>
        <v>no</v>
      </c>
      <c r="AC654" s="233" t="str">
        <f>VLOOKUP(Table3[[#This Row],[Country Code]],Table29[],10,FALSE)</f>
        <v>no</v>
      </c>
      <c r="AD654" s="235">
        <f>VLOOKUP(Table3[[#This Row],[Country Code]],Table29[],23,FALSE)</f>
        <v>7.4932661090210999</v>
      </c>
      <c r="AE654" s="235">
        <f>VLOOKUP(Table3[[#This Row],[Country Code]],Table29[],24,FALSE)</f>
        <v>0.60722858848321359</v>
      </c>
      <c r="AF654" s="43"/>
    </row>
    <row r="655" spans="1:32" x14ac:dyDescent="0.25">
      <c r="A655" s="360">
        <v>17717</v>
      </c>
      <c r="B655" s="233" t="str">
        <f>VLOOKUP(Table3[[#This Row],[Document ID]],Table1[],2,FALSE)</f>
        <v>RWA</v>
      </c>
      <c r="C655" s="233" t="str">
        <f>VLOOKUP(Table3[[#This Row],[Document ID]],Table1[],3,FALSE)</f>
        <v>Rwanda</v>
      </c>
      <c r="D655" s="233" t="str">
        <f>VLOOKUP(Table3[[#This Row],[Document ID]],Table1[],5,FALSE)</f>
        <v>NDC</v>
      </c>
      <c r="E655" s="233" t="str">
        <f>VLOOKUP(Table3[[#This Row],[Document ID]],Table1[],7,FALSE)</f>
        <v>First NDC updated</v>
      </c>
      <c r="F655" s="233" t="str">
        <f>VLOOKUP(Table3[[#This Row],[Document ID]],Table1[],8,FALSE)</f>
        <v>NDC 1.1</v>
      </c>
      <c r="G655" s="233" t="str">
        <f>VLOOKUP(Table3[[#This Row],[Document ID]],Table1[],10,FALSE)</f>
        <v>Active</v>
      </c>
      <c r="H655" s="216" t="s">
        <v>1089</v>
      </c>
      <c r="I655" s="216" t="s">
        <v>1089</v>
      </c>
      <c r="J655" s="43" t="s">
        <v>1090</v>
      </c>
      <c r="K655" s="28" t="s">
        <v>1091</v>
      </c>
      <c r="L655" s="216" t="s">
        <v>1092</v>
      </c>
      <c r="M655" s="209">
        <v>2030</v>
      </c>
      <c r="N655" s="44" t="s">
        <v>1766</v>
      </c>
      <c r="O655" s="221" t="s">
        <v>1767</v>
      </c>
      <c r="P655" s="238" t="str">
        <f>VLOOKUP(_xlfn.CONCAT(Table3[[#This Row],[Target area]],Table3[[#This Row],[GHG target?]],Table3[[#This Row],[Conditionality]]),'Drop down'!$E$81:$F$101,2,FALSE)</f>
        <v>T_Economy_C</v>
      </c>
      <c r="Q655" s="239" t="str">
        <f>VLOOKUP(Table3[[#This Row],[Target type]],Table418[[Value name]:[Value idenifyer]],2,FALSE)</f>
        <v>T_BAU</v>
      </c>
      <c r="T655" s="234" t="s">
        <v>1113</v>
      </c>
      <c r="V655" s="233" t="str">
        <f>VLOOKUP(Table3[[#This Row],[Country Code]],Table29[],3,FALSE)</f>
        <v>Non-Annex I</v>
      </c>
      <c r="W655" s="233" t="str">
        <f>VLOOKUP(Table3[[#This Row],[Country Code]],Table29[],4,FALSE)</f>
        <v>Africa</v>
      </c>
      <c r="X655" s="233" t="str">
        <f>VLOOKUP(Table3[[#This Row],[Country Code]],Table29[],5,FALSE)</f>
        <v>Low-income</v>
      </c>
      <c r="Y655" s="233" t="str">
        <f>VLOOKUP(Table3[[#This Row],[Country Code]],Table29[],6,FALSE)</f>
        <v>no</v>
      </c>
      <c r="Z655" s="233" t="str">
        <f>VLOOKUP(Table3[[#This Row],[Country Code]],Table29[],7,FALSE)</f>
        <v>no</v>
      </c>
      <c r="AA655" s="233" t="str">
        <f>VLOOKUP(Table3[[#This Row],[Country Code]],Table29[],8,FALSE)</f>
        <v>non-OECD</v>
      </c>
      <c r="AB655" s="233" t="str">
        <f>VLOOKUP(Table3[[#This Row],[Country Code]],Table29[],9,FALSE)</f>
        <v>no</v>
      </c>
      <c r="AC655" s="233" t="str">
        <f>VLOOKUP(Table3[[#This Row],[Country Code]],Table29[],10,FALSE)</f>
        <v>no</v>
      </c>
      <c r="AD655" s="235">
        <f>VLOOKUP(Table3[[#This Row],[Country Code]],Table29[],23,FALSE)</f>
        <v>7.4932661090210999</v>
      </c>
      <c r="AE655" s="235">
        <f>VLOOKUP(Table3[[#This Row],[Country Code]],Table29[],24,FALSE)</f>
        <v>0.60722858848321359</v>
      </c>
      <c r="AF655" s="43"/>
    </row>
    <row r="656" spans="1:32" x14ac:dyDescent="0.25">
      <c r="A656" s="360">
        <v>23829</v>
      </c>
      <c r="B656" s="233" t="str">
        <f>VLOOKUP(Table3[[#This Row],[Document ID]],Table1[],2,FALSE)</f>
        <v>KNA</v>
      </c>
      <c r="C656" s="233" t="str">
        <f>VLOOKUP(Table3[[#This Row],[Document ID]],Table1[],3,FALSE)</f>
        <v>Saint Kitts and Nevis</v>
      </c>
      <c r="D656" s="233" t="str">
        <f>VLOOKUP(Table3[[#This Row],[Document ID]],Table1[],5,FALSE)</f>
        <v>NDC</v>
      </c>
      <c r="E656" s="233" t="str">
        <f>VLOOKUP(Table3[[#This Row],[Document ID]],Table1[],7,FALSE)</f>
        <v>First NDC updated</v>
      </c>
      <c r="F656" s="233" t="str">
        <f>VLOOKUP(Table3[[#This Row],[Document ID]],Table1[],8,FALSE)</f>
        <v>NDC 1.1</v>
      </c>
      <c r="G656" s="233" t="str">
        <f>VLOOKUP(Table3[[#This Row],[Document ID]],Table1[],10,FALSE)</f>
        <v>Active</v>
      </c>
      <c r="H656" s="216" t="s">
        <v>1089</v>
      </c>
      <c r="I656" s="216" t="s">
        <v>1089</v>
      </c>
      <c r="J656" s="43" t="s">
        <v>1090</v>
      </c>
      <c r="K656" s="28" t="s">
        <v>1153</v>
      </c>
      <c r="L656" s="216" t="s">
        <v>1092</v>
      </c>
      <c r="M656" s="209">
        <v>2030</v>
      </c>
      <c r="N656" s="209" t="s">
        <v>1768</v>
      </c>
      <c r="O656" s="257">
        <v>2</v>
      </c>
      <c r="P656" s="238" t="str">
        <f>VLOOKUP(_xlfn.CONCAT(Table3[[#This Row],[Target area]],Table3[[#This Row],[GHG target?]],Table3[[#This Row],[Conditionality]]),'Drop down'!$E$81:$F$101,2,FALSE)</f>
        <v>T_Economy_C</v>
      </c>
      <c r="Q656" s="239" t="str">
        <f>VLOOKUP(Table3[[#This Row],[Target type]],Table418[[Value name]:[Value idenifyer]],2,FALSE)</f>
        <v>T_BYE</v>
      </c>
      <c r="S656" s="233" t="s">
        <v>1101</v>
      </c>
      <c r="T656" s="240"/>
      <c r="U656" s="240"/>
      <c r="V656" s="233" t="str">
        <f>VLOOKUP(Table3[[#This Row],[Country Code]],Table29[],3,FALSE)</f>
        <v>Non-Annex I</v>
      </c>
      <c r="W656" s="233" t="str">
        <f>VLOOKUP(Table3[[#This Row],[Country Code]],Table29[],4,FALSE)</f>
        <v>Latin America and the Caribbean</v>
      </c>
      <c r="X656" s="233" t="str">
        <f>VLOOKUP(Table3[[#This Row],[Country Code]],Table29[],5,FALSE)</f>
        <v>High-income</v>
      </c>
      <c r="Y656" s="233" t="str">
        <f>VLOOKUP(Table3[[#This Row],[Country Code]],Table29[],6,FALSE)</f>
        <v>no</v>
      </c>
      <c r="Z656" s="233" t="str">
        <f>VLOOKUP(Table3[[#This Row],[Country Code]],Table29[],7,FALSE)</f>
        <v>no</v>
      </c>
      <c r="AA656" s="233" t="str">
        <f>VLOOKUP(Table3[[#This Row],[Country Code]],Table29[],8,FALSE)</f>
        <v>non-OECD</v>
      </c>
      <c r="AB656" s="233" t="str">
        <f>VLOOKUP(Table3[[#This Row],[Country Code]],Table29[],9,FALSE)</f>
        <v>no</v>
      </c>
      <c r="AC656" s="233" t="str">
        <f>VLOOKUP(Table3[[#This Row],[Country Code]],Table29[],10,FALSE)</f>
        <v>no</v>
      </c>
      <c r="AD656" s="235">
        <f>VLOOKUP(Table3[[#This Row],[Country Code]],Table29[],23,FALSE)</f>
        <v>0.17447409234332001</v>
      </c>
      <c r="AE656" s="235">
        <f>VLOOKUP(Table3[[#This Row],[Country Code]],Table29[],24,FALSE)</f>
        <v>4.2331182061763992E-2</v>
      </c>
      <c r="AF656" s="43"/>
    </row>
    <row r="657" spans="1:32" x14ac:dyDescent="0.25">
      <c r="A657" s="368">
        <v>39449</v>
      </c>
      <c r="B657" s="233" t="str">
        <f>VLOOKUP(Table3[[#This Row],[Document ID]],Table1[],2,FALSE)</f>
        <v>LKA</v>
      </c>
      <c r="C657" s="233" t="str">
        <f>VLOOKUP(Table3[[#This Row],[Document ID]],Table1[],3,FALSE)</f>
        <v>Sri Lanka</v>
      </c>
      <c r="D657" s="233" t="str">
        <f>VLOOKUP(Table3[[#This Row],[Document ID]],Table1[],5,FALSE)</f>
        <v>LTS</v>
      </c>
      <c r="E657" s="233" t="str">
        <f>VLOOKUP(Table3[[#This Row],[Document ID]],Table1[],7,FALSE)</f>
        <v>LTS</v>
      </c>
      <c r="F657" s="241" t="str">
        <f>VLOOKUP(Table3[[#This Row],[Document ID]],Table1[],8,FALSE)</f>
        <v>LTS 1.0</v>
      </c>
      <c r="G657" s="233" t="str">
        <f>VLOOKUP(Table3[[#This Row],[Document ID]],Table1[],10,FALSE)</f>
        <v>Active</v>
      </c>
      <c r="H657" s="42" t="s">
        <v>1095</v>
      </c>
      <c r="I657" s="42" t="s">
        <v>1096</v>
      </c>
      <c r="J657" s="42" t="s">
        <v>1097</v>
      </c>
      <c r="K657" s="28" t="s">
        <v>1098</v>
      </c>
      <c r="L657" s="389" t="s">
        <v>1099</v>
      </c>
      <c r="M657" s="209">
        <v>2025</v>
      </c>
      <c r="N657" s="209" t="s">
        <v>1769</v>
      </c>
      <c r="O657" s="258">
        <v>18</v>
      </c>
      <c r="P657" s="238" t="str">
        <f>VLOOKUP(_xlfn.CONCAT(Table3[[#This Row],[Target area]],Table3[[#This Row],[GHG target?]],Table3[[#This Row],[Conditionality]]),'Drop down'!$E$81:$F$101,2,FALSE)</f>
        <v>T_Transport_O_Unc</v>
      </c>
      <c r="Q657" s="239" t="str">
        <f>VLOOKUP(Table3[[#This Row],[Target type]],Table418[[Value name]:[Value idenifyer]],2,FALSE)</f>
        <v>T_O_MODE</v>
      </c>
      <c r="S657" s="233" t="s">
        <v>1101</v>
      </c>
      <c r="T657" s="234" t="s">
        <v>1113</v>
      </c>
      <c r="U657" s="240"/>
      <c r="V657" s="233" t="str">
        <f>VLOOKUP(Table3[[#This Row],[Country Code]],Table29[],3,FALSE)</f>
        <v>Non-Annex I</v>
      </c>
      <c r="W657" s="233" t="str">
        <f>VLOOKUP(Table3[[#This Row],[Country Code]],Table29[],4,FALSE)</f>
        <v>Asia</v>
      </c>
      <c r="X657" s="233" t="str">
        <f>VLOOKUP(Table3[[#This Row],[Country Code]],Table29[],5,FALSE)</f>
        <v>Middle-income</v>
      </c>
      <c r="Y657" s="233" t="str">
        <f>VLOOKUP(Table3[[#This Row],[Country Code]],Table29[],6,FALSE)</f>
        <v>no</v>
      </c>
      <c r="Z657" s="233" t="str">
        <f>VLOOKUP(Table3[[#This Row],[Country Code]],Table29[],7,FALSE)</f>
        <v>no</v>
      </c>
      <c r="AA657" s="233" t="str">
        <f>VLOOKUP(Table3[[#This Row],[Country Code]],Table29[],8,FALSE)</f>
        <v>non-OECD</v>
      </c>
      <c r="AB657" s="233" t="str">
        <f>VLOOKUP(Table3[[#This Row],[Country Code]],Table29[],9,FALSE)</f>
        <v>no</v>
      </c>
      <c r="AC657" s="233" t="str">
        <f>VLOOKUP(Table3[[#This Row],[Country Code]],Table29[],10,FALSE)</f>
        <v>no</v>
      </c>
      <c r="AD657" s="235">
        <f>VLOOKUP(Table3[[#This Row],[Country Code]],Table29[],23,FALSE)</f>
        <v>38.403849844142002</v>
      </c>
      <c r="AE657" s="235">
        <f>VLOOKUP(Table3[[#This Row],[Country Code]],Table29[],24,FALSE)</f>
        <v>9.6330858743096854</v>
      </c>
      <c r="AF657" s="42"/>
    </row>
    <row r="658" spans="1:32" ht="30" x14ac:dyDescent="0.25">
      <c r="A658" s="360">
        <v>17718</v>
      </c>
      <c r="B658" s="233" t="str">
        <f>VLOOKUP(Table3[[#This Row],[Document ID]],Table1[],2,FALSE)</f>
        <v>KNA</v>
      </c>
      <c r="C658" s="233" t="str">
        <f>VLOOKUP(Table3[[#This Row],[Document ID]],Table1[],3,FALSE)</f>
        <v>Saint Kitts and Nevis</v>
      </c>
      <c r="D658" s="233" t="str">
        <f>VLOOKUP(Table3[[#This Row],[Document ID]],Table1[],5,FALSE)</f>
        <v>NDC</v>
      </c>
      <c r="E658" s="233" t="str">
        <f>VLOOKUP(Table3[[#This Row],[Document ID]],Table1[],7,FALSE)</f>
        <v>First NDC</v>
      </c>
      <c r="F658" s="233" t="str">
        <f>VLOOKUP(Table3[[#This Row],[Document ID]],Table1[],8,FALSE)</f>
        <v>NDC 1.0</v>
      </c>
      <c r="G658" s="233" t="str">
        <f>VLOOKUP(Table3[[#This Row],[Document ID]],Table1[],10,FALSE)</f>
        <v>Archived</v>
      </c>
      <c r="H658" s="216" t="s">
        <v>1089</v>
      </c>
      <c r="I658" s="216" t="s">
        <v>1089</v>
      </c>
      <c r="J658" s="43" t="s">
        <v>1090</v>
      </c>
      <c r="K658" s="28" t="s">
        <v>1091</v>
      </c>
      <c r="L658" s="216" t="s">
        <v>1092</v>
      </c>
      <c r="M658" s="209">
        <v>2030</v>
      </c>
      <c r="N658" s="176" t="s">
        <v>1770</v>
      </c>
      <c r="O658" s="258" t="s">
        <v>1094</v>
      </c>
      <c r="P658" s="238" t="str">
        <f>VLOOKUP(_xlfn.CONCAT(Table3[[#This Row],[Target area]],Table3[[#This Row],[GHG target?]],Table3[[#This Row],[Conditionality]]),'Drop down'!$E$81:$F$101,2,FALSE)</f>
        <v>T_Economy_C</v>
      </c>
      <c r="Q658" s="239" t="str">
        <f>VLOOKUP(Table3[[#This Row],[Target type]],Table418[[Value name]:[Value idenifyer]],2,FALSE)</f>
        <v>T_BAU</v>
      </c>
      <c r="T658" s="240"/>
      <c r="U658" s="240"/>
      <c r="V658" s="233" t="str">
        <f>VLOOKUP(Table3[[#This Row],[Country Code]],Table29[],3,FALSE)</f>
        <v>Non-Annex I</v>
      </c>
      <c r="W658" s="233" t="str">
        <f>VLOOKUP(Table3[[#This Row],[Country Code]],Table29[],4,FALSE)</f>
        <v>Latin America and the Caribbean</v>
      </c>
      <c r="X658" s="233" t="str">
        <f>VLOOKUP(Table3[[#This Row],[Country Code]],Table29[],5,FALSE)</f>
        <v>High-income</v>
      </c>
      <c r="Y658" s="233" t="str">
        <f>VLOOKUP(Table3[[#This Row],[Country Code]],Table29[],6,FALSE)</f>
        <v>no</v>
      </c>
      <c r="Z658" s="233" t="str">
        <f>VLOOKUP(Table3[[#This Row],[Country Code]],Table29[],7,FALSE)</f>
        <v>no</v>
      </c>
      <c r="AA658" s="233" t="str">
        <f>VLOOKUP(Table3[[#This Row],[Country Code]],Table29[],8,FALSE)</f>
        <v>non-OECD</v>
      </c>
      <c r="AB658" s="233" t="str">
        <f>VLOOKUP(Table3[[#This Row],[Country Code]],Table29[],9,FALSE)</f>
        <v>no</v>
      </c>
      <c r="AC658" s="233" t="str">
        <f>VLOOKUP(Table3[[#This Row],[Country Code]],Table29[],10,FALSE)</f>
        <v>no</v>
      </c>
      <c r="AD658" s="235">
        <f>VLOOKUP(Table3[[#This Row],[Country Code]],Table29[],23,FALSE)</f>
        <v>0.17447409234332001</v>
      </c>
      <c r="AE658" s="235">
        <f>VLOOKUP(Table3[[#This Row],[Country Code]],Table29[],24,FALSE)</f>
        <v>4.2331182061763992E-2</v>
      </c>
      <c r="AF658" s="43"/>
    </row>
    <row r="659" spans="1:32" x14ac:dyDescent="0.25">
      <c r="A659" s="360">
        <v>17720</v>
      </c>
      <c r="B659" s="233" t="str">
        <f>VLOOKUP(Table3[[#This Row],[Document ID]],Table1[],2,FALSE)</f>
        <v>LCA</v>
      </c>
      <c r="C659" s="233" t="str">
        <f>VLOOKUP(Table3[[#This Row],[Document ID]],Table1[],3,FALSE)</f>
        <v>Saint Lucia</v>
      </c>
      <c r="D659" s="233" t="str">
        <f>VLOOKUP(Table3[[#This Row],[Document ID]],Table1[],5,FALSE)</f>
        <v>NDC</v>
      </c>
      <c r="E659" s="233" t="str">
        <f>VLOOKUP(Table3[[#This Row],[Document ID]],Table1[],7,FALSE)</f>
        <v>First NDC updated</v>
      </c>
      <c r="F659" s="233" t="str">
        <f>VLOOKUP(Table3[[#This Row],[Document ID]],Table1[],8,FALSE)</f>
        <v>NDC 1.1</v>
      </c>
      <c r="G659" s="233" t="str">
        <f>VLOOKUP(Table3[[#This Row],[Document ID]],Table1[],10,FALSE)</f>
        <v>Archived</v>
      </c>
      <c r="H659" s="216" t="s">
        <v>1089</v>
      </c>
      <c r="I659" s="216" t="s">
        <v>1089</v>
      </c>
      <c r="J659" s="43" t="s">
        <v>1090</v>
      </c>
      <c r="K659" s="28" t="s">
        <v>1153</v>
      </c>
      <c r="L659" s="42" t="s">
        <v>1099</v>
      </c>
      <c r="M659" s="209">
        <v>2030</v>
      </c>
      <c r="N659" s="44" t="s">
        <v>1771</v>
      </c>
      <c r="O659" s="221">
        <v>10</v>
      </c>
      <c r="P659" s="238" t="str">
        <f>VLOOKUP(_xlfn.CONCAT(Table3[[#This Row],[Target area]],Table3[[#This Row],[GHG target?]],Table3[[#This Row],[Conditionality]]),'Drop down'!$E$81:$F$101,2,FALSE)</f>
        <v>T_Economy_Unc</v>
      </c>
      <c r="Q659" s="239" t="str">
        <f>VLOOKUP(Table3[[#This Row],[Target type]],Table418[[Value name]:[Value idenifyer]],2,FALSE)</f>
        <v>T_BYE</v>
      </c>
      <c r="V659" s="233" t="str">
        <f>VLOOKUP(Table3[[#This Row],[Country Code]],Table29[],3,FALSE)</f>
        <v>Non-Annex I</v>
      </c>
      <c r="W659" s="233" t="str">
        <f>VLOOKUP(Table3[[#This Row],[Country Code]],Table29[],4,FALSE)</f>
        <v>Latin America and the Caribbean</v>
      </c>
      <c r="X659" s="233" t="str">
        <f>VLOOKUP(Table3[[#This Row],[Country Code]],Table29[],5,FALSE)</f>
        <v>Middle-income</v>
      </c>
      <c r="Y659" s="233" t="str">
        <f>VLOOKUP(Table3[[#This Row],[Country Code]],Table29[],6,FALSE)</f>
        <v>no</v>
      </c>
      <c r="Z659" s="233" t="str">
        <f>VLOOKUP(Table3[[#This Row],[Country Code]],Table29[],7,FALSE)</f>
        <v>no</v>
      </c>
      <c r="AA659" s="233" t="str">
        <f>VLOOKUP(Table3[[#This Row],[Country Code]],Table29[],8,FALSE)</f>
        <v>non-OECD</v>
      </c>
      <c r="AB659" s="233" t="str">
        <f>VLOOKUP(Table3[[#This Row],[Country Code]],Table29[],9,FALSE)</f>
        <v>no</v>
      </c>
      <c r="AC659" s="233" t="str">
        <f>VLOOKUP(Table3[[#This Row],[Country Code]],Table29[],10,FALSE)</f>
        <v>no</v>
      </c>
      <c r="AD659" s="235">
        <f>VLOOKUP(Table3[[#This Row],[Country Code]],Table29[],23,FALSE)</f>
        <v>0.45126691251345002</v>
      </c>
      <c r="AE659" s="235">
        <f>VLOOKUP(Table3[[#This Row],[Country Code]],Table29[],24,FALSE)</f>
        <v>0.10561796037965671</v>
      </c>
      <c r="AF659" s="43"/>
    </row>
    <row r="660" spans="1:32" x14ac:dyDescent="0.25">
      <c r="A660" s="360">
        <v>17719</v>
      </c>
      <c r="B660" s="233" t="str">
        <f>VLOOKUP(Table3[[#This Row],[Document ID]],Table1[],2,FALSE)</f>
        <v>LCA</v>
      </c>
      <c r="C660" s="233" t="str">
        <f>VLOOKUP(Table3[[#This Row],[Document ID]],Table1[],3,FALSE)</f>
        <v>Saint Lucia</v>
      </c>
      <c r="D660" s="233" t="str">
        <f>VLOOKUP(Table3[[#This Row],[Document ID]],Table1[],5,FALSE)</f>
        <v>NDC</v>
      </c>
      <c r="E660" s="233" t="str">
        <f>VLOOKUP(Table3[[#This Row],[Document ID]],Table1[],7,FALSE)</f>
        <v>First NDC</v>
      </c>
      <c r="F660" s="233" t="str">
        <f>VLOOKUP(Table3[[#This Row],[Document ID]],Table1[],8,FALSE)</f>
        <v>NDC 1.0</v>
      </c>
      <c r="G660" s="233" t="str">
        <f>VLOOKUP(Table3[[#This Row],[Document ID]],Table1[],10,FALSE)</f>
        <v>Archived</v>
      </c>
      <c r="H660" s="216" t="s">
        <v>1089</v>
      </c>
      <c r="I660" s="216" t="s">
        <v>1089</v>
      </c>
      <c r="J660" s="43" t="s">
        <v>1090</v>
      </c>
      <c r="K660" s="28" t="s">
        <v>1091</v>
      </c>
      <c r="L660" s="216" t="s">
        <v>1092</v>
      </c>
      <c r="M660" s="209">
        <v>2025</v>
      </c>
      <c r="N660" s="176" t="s">
        <v>1772</v>
      </c>
      <c r="O660" s="258" t="s">
        <v>1094</v>
      </c>
      <c r="P660" s="238" t="str">
        <f>VLOOKUP(_xlfn.CONCAT(Table3[[#This Row],[Target area]],Table3[[#This Row],[GHG target?]],Table3[[#This Row],[Conditionality]]),'Drop down'!$E$81:$F$101,2,FALSE)</f>
        <v>T_Economy_C</v>
      </c>
      <c r="Q660" s="239" t="str">
        <f>VLOOKUP(Table3[[#This Row],[Target type]],Table418[[Value name]:[Value idenifyer]],2,FALSE)</f>
        <v>T_BAU</v>
      </c>
      <c r="V660" s="233" t="str">
        <f>VLOOKUP(Table3[[#This Row],[Country Code]],Table29[],3,FALSE)</f>
        <v>Non-Annex I</v>
      </c>
      <c r="W660" s="233" t="str">
        <f>VLOOKUP(Table3[[#This Row],[Country Code]],Table29[],4,FALSE)</f>
        <v>Latin America and the Caribbean</v>
      </c>
      <c r="X660" s="233" t="str">
        <f>VLOOKUP(Table3[[#This Row],[Country Code]],Table29[],5,FALSE)</f>
        <v>Middle-income</v>
      </c>
      <c r="Y660" s="233" t="str">
        <f>VLOOKUP(Table3[[#This Row],[Country Code]],Table29[],6,FALSE)</f>
        <v>no</v>
      </c>
      <c r="Z660" s="233" t="str">
        <f>VLOOKUP(Table3[[#This Row],[Country Code]],Table29[],7,FALSE)</f>
        <v>no</v>
      </c>
      <c r="AA660" s="233" t="str">
        <f>VLOOKUP(Table3[[#This Row],[Country Code]],Table29[],8,FALSE)</f>
        <v>non-OECD</v>
      </c>
      <c r="AB660" s="233" t="str">
        <f>VLOOKUP(Table3[[#This Row],[Country Code]],Table29[],9,FALSE)</f>
        <v>no</v>
      </c>
      <c r="AC660" s="233" t="str">
        <f>VLOOKUP(Table3[[#This Row],[Country Code]],Table29[],10,FALSE)</f>
        <v>no</v>
      </c>
      <c r="AD660" s="235">
        <f>VLOOKUP(Table3[[#This Row],[Country Code]],Table29[],23,FALSE)</f>
        <v>0.45126691251345002</v>
      </c>
      <c r="AE660" s="235">
        <f>VLOOKUP(Table3[[#This Row],[Country Code]],Table29[],24,FALSE)</f>
        <v>0.10561796037965671</v>
      </c>
      <c r="AF660" s="43"/>
    </row>
    <row r="661" spans="1:32" x14ac:dyDescent="0.25">
      <c r="A661" s="360">
        <v>17721</v>
      </c>
      <c r="B661" s="233" t="str">
        <f>VLOOKUP(Table3[[#This Row],[Document ID]],Table1[],2,FALSE)</f>
        <v>VCT</v>
      </c>
      <c r="C661" s="233" t="str">
        <f>VLOOKUP(Table3[[#This Row],[Document ID]],Table1[],3,FALSE)</f>
        <v>Saint Vincent and the Grenadines</v>
      </c>
      <c r="D661" s="233" t="str">
        <f>VLOOKUP(Table3[[#This Row],[Document ID]],Table1[],5,FALSE)</f>
        <v>NDC</v>
      </c>
      <c r="E661" s="233" t="str">
        <f>VLOOKUP(Table3[[#This Row],[Document ID]],Table1[],7,FALSE)</f>
        <v>First NDC</v>
      </c>
      <c r="F661" s="233" t="str">
        <f>VLOOKUP(Table3[[#This Row],[Document ID]],Table1[],8,FALSE)</f>
        <v>NDC 1.0</v>
      </c>
      <c r="G661" s="233" t="str">
        <f>VLOOKUP(Table3[[#This Row],[Document ID]],Table1[],10,FALSE)</f>
        <v>Active</v>
      </c>
      <c r="H661" s="216" t="s">
        <v>1089</v>
      </c>
      <c r="I661" s="216" t="s">
        <v>1089</v>
      </c>
      <c r="J661" s="43" t="s">
        <v>1090</v>
      </c>
      <c r="K661" s="28" t="s">
        <v>1091</v>
      </c>
      <c r="L661" s="42" t="s">
        <v>1099</v>
      </c>
      <c r="M661" s="209">
        <v>2025</v>
      </c>
      <c r="N661" s="176" t="s">
        <v>1773</v>
      </c>
      <c r="O661" s="258" t="s">
        <v>1094</v>
      </c>
      <c r="P661" s="238" t="str">
        <f>VLOOKUP(_xlfn.CONCAT(Table3[[#This Row],[Target area]],Table3[[#This Row],[GHG target?]],Table3[[#This Row],[Conditionality]]),'Drop down'!$E$81:$F$101,2,FALSE)</f>
        <v>T_Economy_Unc</v>
      </c>
      <c r="Q661" s="239" t="str">
        <f>VLOOKUP(Table3[[#This Row],[Target type]],Table418[[Value name]:[Value idenifyer]],2,FALSE)</f>
        <v>T_BAU</v>
      </c>
      <c r="V661" s="233" t="str">
        <f>VLOOKUP(Table3[[#This Row],[Country Code]],Table29[],3,FALSE)</f>
        <v>Non-Annex I</v>
      </c>
      <c r="W661" s="233" t="str">
        <f>VLOOKUP(Table3[[#This Row],[Country Code]],Table29[],4,FALSE)</f>
        <v>Latin America and the Caribbean</v>
      </c>
      <c r="X661" s="233" t="str">
        <f>VLOOKUP(Table3[[#This Row],[Country Code]],Table29[],5,FALSE)</f>
        <v>Middle-income</v>
      </c>
      <c r="Y661" s="233" t="str">
        <f>VLOOKUP(Table3[[#This Row],[Country Code]],Table29[],6,FALSE)</f>
        <v>no</v>
      </c>
      <c r="Z661" s="233" t="str">
        <f>VLOOKUP(Table3[[#This Row],[Country Code]],Table29[],7,FALSE)</f>
        <v>no</v>
      </c>
      <c r="AA661" s="233" t="str">
        <f>VLOOKUP(Table3[[#This Row],[Country Code]],Table29[],8,FALSE)</f>
        <v>non-OECD</v>
      </c>
      <c r="AB661" s="233" t="str">
        <f>VLOOKUP(Table3[[#This Row],[Country Code]],Table29[],9,FALSE)</f>
        <v>no</v>
      </c>
      <c r="AC661" s="233" t="str">
        <f>VLOOKUP(Table3[[#This Row],[Country Code]],Table29[],10,FALSE)</f>
        <v>no</v>
      </c>
      <c r="AD661" s="235">
        <f>VLOOKUP(Table3[[#This Row],[Country Code]],Table29[],23,FALSE)</f>
        <v>0.15077509193013</v>
      </c>
      <c r="AE661" s="235">
        <f>VLOOKUP(Table3[[#This Row],[Country Code]],Table29[],24,FALSE)</f>
        <v>3.4275975279875179E-2</v>
      </c>
      <c r="AF661" s="43"/>
    </row>
    <row r="662" spans="1:32" ht="75" x14ac:dyDescent="0.25">
      <c r="A662" s="360">
        <v>22007</v>
      </c>
      <c r="B662" s="233" t="str">
        <f>VLOOKUP(Table3[[#This Row],[Document ID]],Table1[],2,FALSE)</f>
        <v>WSM</v>
      </c>
      <c r="C662" s="233" t="str">
        <f>VLOOKUP(Table3[[#This Row],[Document ID]],Table1[],3,FALSE)</f>
        <v>Samoa</v>
      </c>
      <c r="D662" s="233" t="str">
        <f>VLOOKUP(Table3[[#This Row],[Document ID]],Table1[],5,FALSE)</f>
        <v>NDC</v>
      </c>
      <c r="E662" s="233" t="str">
        <f>VLOOKUP(Table3[[#This Row],[Document ID]],Table1[],7,FALSE)</f>
        <v>Second NDC</v>
      </c>
      <c r="F662" s="233" t="str">
        <f>VLOOKUP(Table3[[#This Row],[Document ID]],Table1[],8,FALSE)</f>
        <v>NDC 2.0</v>
      </c>
      <c r="G662" s="233" t="str">
        <f>VLOOKUP(Table3[[#This Row],[Document ID]],Table1[],10,FALSE)</f>
        <v>Active</v>
      </c>
      <c r="H662" s="216" t="s">
        <v>1089</v>
      </c>
      <c r="I662" s="216" t="s">
        <v>1089</v>
      </c>
      <c r="J662" s="43" t="s">
        <v>1090</v>
      </c>
      <c r="K662" s="28" t="s">
        <v>1153</v>
      </c>
      <c r="L662" s="216" t="s">
        <v>1092</v>
      </c>
      <c r="M662" s="209">
        <v>2030</v>
      </c>
      <c r="N662" s="44" t="s">
        <v>1774</v>
      </c>
      <c r="O662" s="258">
        <v>6</v>
      </c>
      <c r="P662" s="238" t="str">
        <f>VLOOKUP(_xlfn.CONCAT(Table3[[#This Row],[Target area]],Table3[[#This Row],[GHG target?]],Table3[[#This Row],[Conditionality]]),'Drop down'!$E$81:$F$101,2,FALSE)</f>
        <v>T_Economy_C</v>
      </c>
      <c r="Q662" s="239" t="str">
        <f>VLOOKUP(Table3[[#This Row],[Target type]],Table418[[Value name]:[Value idenifyer]],2,FALSE)</f>
        <v>T_BYE</v>
      </c>
      <c r="S662" s="233" t="s">
        <v>1112</v>
      </c>
      <c r="V662" s="233" t="str">
        <f>VLOOKUP(Table3[[#This Row],[Country Code]],Table29[],3,FALSE)</f>
        <v>Non-Annex I</v>
      </c>
      <c r="W662" s="233" t="str">
        <f>VLOOKUP(Table3[[#This Row],[Country Code]],Table29[],4,FALSE)</f>
        <v>Oceania</v>
      </c>
      <c r="X662" s="233" t="str">
        <f>VLOOKUP(Table3[[#This Row],[Country Code]],Table29[],5,FALSE)</f>
        <v>Middle-income</v>
      </c>
      <c r="Y662" s="233" t="str">
        <f>VLOOKUP(Table3[[#This Row],[Country Code]],Table29[],6,FALSE)</f>
        <v>no</v>
      </c>
      <c r="Z662" s="233" t="str">
        <f>VLOOKUP(Table3[[#This Row],[Country Code]],Table29[],7,FALSE)</f>
        <v>no</v>
      </c>
      <c r="AA662" s="233" t="str">
        <f>VLOOKUP(Table3[[#This Row],[Country Code]],Table29[],8,FALSE)</f>
        <v>non-OECD</v>
      </c>
      <c r="AB662" s="233" t="str">
        <f>VLOOKUP(Table3[[#This Row],[Country Code]],Table29[],9,FALSE)</f>
        <v>no</v>
      </c>
      <c r="AC662" s="233" t="str">
        <f>VLOOKUP(Table3[[#This Row],[Country Code]],Table29[],10,FALSE)</f>
        <v>no</v>
      </c>
      <c r="AD662" s="235">
        <f>VLOOKUP(Table3[[#This Row],[Country Code]],Table29[],23,FALSE)</f>
        <v>0.64614359538246002</v>
      </c>
      <c r="AE662" s="235">
        <f>VLOOKUP(Table3[[#This Row],[Country Code]],Table29[],24,FALSE)</f>
        <v>0.2431860191561139</v>
      </c>
      <c r="AF662" s="43"/>
    </row>
    <row r="663" spans="1:32" ht="30" x14ac:dyDescent="0.25">
      <c r="A663" s="360">
        <v>22007</v>
      </c>
      <c r="B663" s="233" t="str">
        <f>VLOOKUP(Table3[[#This Row],[Document ID]],Table1[],2,FALSE)</f>
        <v>WSM</v>
      </c>
      <c r="C663" s="233" t="str">
        <f>VLOOKUP(Table3[[#This Row],[Document ID]],Table1[],3,FALSE)</f>
        <v>Samoa</v>
      </c>
      <c r="D663" s="233" t="str">
        <f>VLOOKUP(Table3[[#This Row],[Document ID]],Table1[],5,FALSE)</f>
        <v>NDC</v>
      </c>
      <c r="E663" s="233" t="str">
        <f>VLOOKUP(Table3[[#This Row],[Document ID]],Table1[],7,FALSE)</f>
        <v>Second NDC</v>
      </c>
      <c r="F663" s="233" t="str">
        <f>VLOOKUP(Table3[[#This Row],[Document ID]],Table1[],8,FALSE)</f>
        <v>NDC 2.0</v>
      </c>
      <c r="G663" s="233" t="str">
        <f>VLOOKUP(Table3[[#This Row],[Document ID]],Table1[],10,FALSE)</f>
        <v>Active</v>
      </c>
      <c r="H663" s="43" t="s">
        <v>1114</v>
      </c>
      <c r="I663" s="43" t="s">
        <v>1115</v>
      </c>
      <c r="J663" s="42" t="s">
        <v>1090</v>
      </c>
      <c r="K663" s="28" t="s">
        <v>1121</v>
      </c>
      <c r="L663" s="43" t="s">
        <v>1116</v>
      </c>
      <c r="M663" s="209">
        <v>2030</v>
      </c>
      <c r="N663" s="18" t="s">
        <v>1775</v>
      </c>
      <c r="O663" s="258">
        <v>6</v>
      </c>
      <c r="P663" s="238" t="str">
        <f>VLOOKUP(_xlfn.CONCAT(Table3[[#This Row],[Target area]],Table3[[#This Row],[GHG target?]],Table3[[#This Row],[Conditionality]]),'Drop down'!$E$81:$F$101,2,FALSE)</f>
        <v>T_Energy</v>
      </c>
      <c r="Q663" s="239" t="str">
        <f>VLOOKUP(Table3[[#This Row],[Target type]],Table418[[Value name]:[Value idenifyer]],2,FALSE)</f>
        <v>T_FL</v>
      </c>
      <c r="S663" s="233" t="s">
        <v>1112</v>
      </c>
      <c r="V663" s="233" t="str">
        <f>VLOOKUP(Table3[[#This Row],[Country Code]],Table29[],3,FALSE)</f>
        <v>Non-Annex I</v>
      </c>
      <c r="W663" s="233" t="str">
        <f>VLOOKUP(Table3[[#This Row],[Country Code]],Table29[],4,FALSE)</f>
        <v>Oceania</v>
      </c>
      <c r="X663" s="233" t="str">
        <f>VLOOKUP(Table3[[#This Row],[Country Code]],Table29[],5,FALSE)</f>
        <v>Middle-income</v>
      </c>
      <c r="Y663" s="233" t="str">
        <f>VLOOKUP(Table3[[#This Row],[Country Code]],Table29[],6,FALSE)</f>
        <v>no</v>
      </c>
      <c r="Z663" s="233" t="str">
        <f>VLOOKUP(Table3[[#This Row],[Country Code]],Table29[],7,FALSE)</f>
        <v>no</v>
      </c>
      <c r="AA663" s="233" t="str">
        <f>VLOOKUP(Table3[[#This Row],[Country Code]],Table29[],8,FALSE)</f>
        <v>non-OECD</v>
      </c>
      <c r="AB663" s="233" t="str">
        <f>VLOOKUP(Table3[[#This Row],[Country Code]],Table29[],9,FALSE)</f>
        <v>no</v>
      </c>
      <c r="AC663" s="233" t="str">
        <f>VLOOKUP(Table3[[#This Row],[Country Code]],Table29[],10,FALSE)</f>
        <v>no</v>
      </c>
      <c r="AD663" s="235">
        <f>VLOOKUP(Table3[[#This Row],[Country Code]],Table29[],23,FALSE)</f>
        <v>0.64614359538246002</v>
      </c>
      <c r="AE663" s="235">
        <f>VLOOKUP(Table3[[#This Row],[Country Code]],Table29[],24,FALSE)</f>
        <v>0.2431860191561139</v>
      </c>
      <c r="AF663" s="43"/>
    </row>
    <row r="664" spans="1:32" x14ac:dyDescent="0.25">
      <c r="A664" s="368">
        <v>39449</v>
      </c>
      <c r="B664" s="233" t="str">
        <f>VLOOKUP(Table3[[#This Row],[Document ID]],Table1[],2,FALSE)</f>
        <v>LKA</v>
      </c>
      <c r="C664" s="233" t="str">
        <f>VLOOKUP(Table3[[#This Row],[Document ID]],Table1[],3,FALSE)</f>
        <v>Sri Lanka</v>
      </c>
      <c r="D664" s="233" t="str">
        <f>VLOOKUP(Table3[[#This Row],[Document ID]],Table1[],5,FALSE)</f>
        <v>LTS</v>
      </c>
      <c r="E664" s="233" t="str">
        <f>VLOOKUP(Table3[[#This Row],[Document ID]],Table1[],7,FALSE)</f>
        <v>LTS</v>
      </c>
      <c r="F664" s="241" t="str">
        <f>VLOOKUP(Table3[[#This Row],[Document ID]],Table1[],8,FALSE)</f>
        <v>LTS 1.0</v>
      </c>
      <c r="G664" s="233" t="str">
        <f>VLOOKUP(Table3[[#This Row],[Document ID]],Table1[],10,FALSE)</f>
        <v>Active</v>
      </c>
      <c r="H664" s="42" t="s">
        <v>1095</v>
      </c>
      <c r="I664" s="42" t="s">
        <v>1096</v>
      </c>
      <c r="J664" s="42" t="s">
        <v>1097</v>
      </c>
      <c r="K664" s="28" t="s">
        <v>1098</v>
      </c>
      <c r="L664" s="389" t="s">
        <v>1099</v>
      </c>
      <c r="M664" s="209">
        <v>2035</v>
      </c>
      <c r="N664" s="209" t="s">
        <v>1776</v>
      </c>
      <c r="O664" s="258">
        <v>19</v>
      </c>
      <c r="P664" s="238" t="str">
        <f>VLOOKUP(_xlfn.CONCAT(Table3[[#This Row],[Target area]],Table3[[#This Row],[GHG target?]],Table3[[#This Row],[Conditionality]]),'Drop down'!$E$81:$F$101,2,FALSE)</f>
        <v>T_Transport_O_Unc</v>
      </c>
      <c r="Q664" s="239" t="str">
        <f>VLOOKUP(Table3[[#This Row],[Target type]],Table418[[Value name]:[Value idenifyer]],2,FALSE)</f>
        <v>T_O_MODE</v>
      </c>
      <c r="S664" s="233" t="s">
        <v>1101</v>
      </c>
      <c r="T664" s="234" t="s">
        <v>1113</v>
      </c>
      <c r="U664" s="240"/>
      <c r="V664" s="233" t="str">
        <f>VLOOKUP(Table3[[#This Row],[Country Code]],Table29[],3,FALSE)</f>
        <v>Non-Annex I</v>
      </c>
      <c r="W664" s="233" t="str">
        <f>VLOOKUP(Table3[[#This Row],[Country Code]],Table29[],4,FALSE)</f>
        <v>Asia</v>
      </c>
      <c r="X664" s="233" t="str">
        <f>VLOOKUP(Table3[[#This Row],[Country Code]],Table29[],5,FALSE)</f>
        <v>Middle-income</v>
      </c>
      <c r="Y664" s="233" t="str">
        <f>VLOOKUP(Table3[[#This Row],[Country Code]],Table29[],6,FALSE)</f>
        <v>no</v>
      </c>
      <c r="Z664" s="233" t="str">
        <f>VLOOKUP(Table3[[#This Row],[Country Code]],Table29[],7,FALSE)</f>
        <v>no</v>
      </c>
      <c r="AA664" s="233" t="str">
        <f>VLOOKUP(Table3[[#This Row],[Country Code]],Table29[],8,FALSE)</f>
        <v>non-OECD</v>
      </c>
      <c r="AB664" s="233" t="str">
        <f>VLOOKUP(Table3[[#This Row],[Country Code]],Table29[],9,FALSE)</f>
        <v>no</v>
      </c>
      <c r="AC664" s="233" t="str">
        <f>VLOOKUP(Table3[[#This Row],[Country Code]],Table29[],10,FALSE)</f>
        <v>no</v>
      </c>
      <c r="AD664" s="235">
        <f>VLOOKUP(Table3[[#This Row],[Country Code]],Table29[],23,FALSE)</f>
        <v>38.403849844142002</v>
      </c>
      <c r="AE664" s="235">
        <f>VLOOKUP(Table3[[#This Row],[Country Code]],Table29[],24,FALSE)</f>
        <v>9.6330858743096854</v>
      </c>
      <c r="AF664" s="42"/>
    </row>
    <row r="665" spans="1:32" x14ac:dyDescent="0.25">
      <c r="A665" s="360">
        <v>17723</v>
      </c>
      <c r="B665" s="233" t="str">
        <f>VLOOKUP(Table3[[#This Row],[Document ID]],Table1[],2,FALSE)</f>
        <v>SMR</v>
      </c>
      <c r="C665" s="233" t="str">
        <f>VLOOKUP(Table3[[#This Row],[Document ID]],Table1[],3,FALSE)</f>
        <v>San Marino</v>
      </c>
      <c r="D665" s="233" t="str">
        <f>VLOOKUP(Table3[[#This Row],[Document ID]],Table1[],5,FALSE)</f>
        <v>NDC</v>
      </c>
      <c r="E665" s="233" t="str">
        <f>VLOOKUP(Table3[[#This Row],[Document ID]],Table1[],7,FALSE)</f>
        <v>First NDC</v>
      </c>
      <c r="F665" s="233" t="str">
        <f>VLOOKUP(Table3[[#This Row],[Document ID]],Table1[],8,FALSE)</f>
        <v>NDC 1.0</v>
      </c>
      <c r="G665" s="233" t="str">
        <f>VLOOKUP(Table3[[#This Row],[Document ID]],Table1[],10,FALSE)</f>
        <v>Active</v>
      </c>
      <c r="H665" s="216" t="s">
        <v>1089</v>
      </c>
      <c r="I665" s="216" t="s">
        <v>1089</v>
      </c>
      <c r="J665" s="43" t="s">
        <v>1090</v>
      </c>
      <c r="K665" s="28" t="s">
        <v>1153</v>
      </c>
      <c r="L665" s="42" t="s">
        <v>1099</v>
      </c>
      <c r="M665" s="209">
        <v>2030</v>
      </c>
      <c r="N665" s="176" t="s">
        <v>1777</v>
      </c>
      <c r="O665" s="258" t="s">
        <v>1094</v>
      </c>
      <c r="P665" s="238" t="str">
        <f>VLOOKUP(_xlfn.CONCAT(Table3[[#This Row],[Target area]],Table3[[#This Row],[GHG target?]],Table3[[#This Row],[Conditionality]]),'Drop down'!$E$81:$F$101,2,FALSE)</f>
        <v>T_Economy_Unc</v>
      </c>
      <c r="Q665" s="239" t="str">
        <f>VLOOKUP(Table3[[#This Row],[Target type]],Table418[[Value name]:[Value idenifyer]],2,FALSE)</f>
        <v>T_BYE</v>
      </c>
      <c r="V665" s="233" t="str">
        <f>VLOOKUP(Table3[[#This Row],[Country Code]],Table29[],3,FALSE)</f>
        <v>Non-Annex I</v>
      </c>
      <c r="W665" s="233" t="str">
        <f>VLOOKUP(Table3[[#This Row],[Country Code]],Table29[],4,FALSE)</f>
        <v>Europe</v>
      </c>
      <c r="X665" s="233" t="str">
        <f>VLOOKUP(Table3[[#This Row],[Country Code]],Table29[],5,FALSE)</f>
        <v>High-income</v>
      </c>
      <c r="Y665" s="233" t="str">
        <f>VLOOKUP(Table3[[#This Row],[Country Code]],Table29[],6,FALSE)</f>
        <v>no</v>
      </c>
      <c r="Z665" s="233" t="str">
        <f>VLOOKUP(Table3[[#This Row],[Country Code]],Table29[],7,FALSE)</f>
        <v>no</v>
      </c>
      <c r="AA665" s="233" t="str">
        <f>VLOOKUP(Table3[[#This Row],[Country Code]],Table29[],8,FALSE)</f>
        <v>non-OECD</v>
      </c>
      <c r="AB665" s="233" t="str">
        <f>VLOOKUP(Table3[[#This Row],[Country Code]],Table29[],9,FALSE)</f>
        <v>no</v>
      </c>
      <c r="AC665" s="233" t="str">
        <f>VLOOKUP(Table3[[#This Row],[Country Code]],Table29[],10,FALSE)</f>
        <v>no</v>
      </c>
      <c r="AD665" s="235">
        <f>VLOOKUP(Table3[[#This Row],[Country Code]],Table29[],23,FALSE)</f>
        <v>0</v>
      </c>
      <c r="AE665" s="235">
        <f>VLOOKUP(Table3[[#This Row],[Country Code]],Table29[],24,FALSE)</f>
        <v>0</v>
      </c>
      <c r="AF665" s="43"/>
    </row>
    <row r="666" spans="1:32" x14ac:dyDescent="0.25">
      <c r="A666" s="360">
        <v>32513</v>
      </c>
      <c r="B666" s="233" t="str">
        <f>VLOOKUP(Table3[[#This Row],[Document ID]],Table1[],2,FALSE)</f>
        <v>STP</v>
      </c>
      <c r="C666" s="233" t="str">
        <f>VLOOKUP(Table3[[#This Row],[Document ID]],Table1[],3,FALSE)</f>
        <v>Sao Tome and Principe</v>
      </c>
      <c r="D666" s="233" t="str">
        <f>VLOOKUP(Table3[[#This Row],[Document ID]],Table1[],5,FALSE)</f>
        <v>NDC</v>
      </c>
      <c r="E666" s="233" t="str">
        <f>VLOOKUP(Table3[[#This Row],[Document ID]],Table1[],7,FALSE)</f>
        <v>First NDC updated</v>
      </c>
      <c r="F666" s="233" t="str">
        <f>VLOOKUP(Table3[[#This Row],[Document ID]],Table1[],8,FALSE)</f>
        <v>NDC 1.1</v>
      </c>
      <c r="G666" s="233" t="str">
        <f>VLOOKUP(Table3[[#This Row],[Document ID]],Table1[],10,FALSE)</f>
        <v>Active</v>
      </c>
      <c r="H666" s="216" t="s">
        <v>1089</v>
      </c>
      <c r="I666" s="216" t="s">
        <v>1089</v>
      </c>
      <c r="J666" s="43" t="s">
        <v>1090</v>
      </c>
      <c r="K666" s="28" t="s">
        <v>1153</v>
      </c>
      <c r="L666" s="216" t="s">
        <v>1092</v>
      </c>
      <c r="M666" s="209">
        <v>2030</v>
      </c>
      <c r="N666" s="209" t="s">
        <v>1778</v>
      </c>
      <c r="O666" s="257">
        <v>4</v>
      </c>
      <c r="P666" s="238" t="str">
        <f>VLOOKUP(_xlfn.CONCAT(Table3[[#This Row],[Target area]],Table3[[#This Row],[GHG target?]],Table3[[#This Row],[Conditionality]]),'Drop down'!$E$81:$F$101,2,FALSE)</f>
        <v>T_Economy_C</v>
      </c>
      <c r="Q666" s="239" t="str">
        <f>VLOOKUP(Table3[[#This Row],[Target type]],Table418[[Value name]:[Value idenifyer]],2,FALSE)</f>
        <v>T_BYE</v>
      </c>
      <c r="V666" s="233" t="str">
        <f>VLOOKUP(Table3[[#This Row],[Country Code]],Table29[],3,FALSE)</f>
        <v>Non-Annex I</v>
      </c>
      <c r="W666" s="233" t="str">
        <f>VLOOKUP(Table3[[#This Row],[Country Code]],Table29[],4,FALSE)</f>
        <v>Africa</v>
      </c>
      <c r="X666" s="233" t="str">
        <f>VLOOKUP(Table3[[#This Row],[Country Code]],Table29[],5,FALSE)</f>
        <v>Middle-income</v>
      </c>
      <c r="Y666" s="233" t="str">
        <f>VLOOKUP(Table3[[#This Row],[Country Code]],Table29[],6,FALSE)</f>
        <v>no</v>
      </c>
      <c r="Z666" s="233" t="str">
        <f>VLOOKUP(Table3[[#This Row],[Country Code]],Table29[],7,FALSE)</f>
        <v>no</v>
      </c>
      <c r="AA666" s="233" t="str">
        <f>VLOOKUP(Table3[[#This Row],[Country Code]],Table29[],8,FALSE)</f>
        <v>non-OECD</v>
      </c>
      <c r="AB666" s="233" t="str">
        <f>VLOOKUP(Table3[[#This Row],[Country Code]],Table29[],9,FALSE)</f>
        <v>no</v>
      </c>
      <c r="AC666" s="233" t="str">
        <f>VLOOKUP(Table3[[#This Row],[Country Code]],Table29[],10,FALSE)</f>
        <v>no</v>
      </c>
      <c r="AD666" s="235">
        <f>VLOOKUP(Table3[[#This Row],[Country Code]],Table29[],23,FALSE)</f>
        <v>0.30345441468402001</v>
      </c>
      <c r="AE666" s="235">
        <f>VLOOKUP(Table3[[#This Row],[Country Code]],Table29[],24,FALSE)</f>
        <v>0.1245490218738666</v>
      </c>
      <c r="AF666" s="43"/>
    </row>
    <row r="667" spans="1:32" x14ac:dyDescent="0.25">
      <c r="A667" s="360">
        <v>17724</v>
      </c>
      <c r="B667" s="233" t="str">
        <f>VLOOKUP(Table3[[#This Row],[Document ID]],Table1[],2,FALSE)</f>
        <v>STP</v>
      </c>
      <c r="C667" s="233" t="str">
        <f>VLOOKUP(Table3[[#This Row],[Document ID]],Table1[],3,FALSE)</f>
        <v>Sao Tome and Principe</v>
      </c>
      <c r="D667" s="233" t="str">
        <f>VLOOKUP(Table3[[#This Row],[Document ID]],Table1[],5,FALSE)</f>
        <v>NDC</v>
      </c>
      <c r="E667" s="233" t="str">
        <f>VLOOKUP(Table3[[#This Row],[Document ID]],Table1[],7,FALSE)</f>
        <v>First NDC</v>
      </c>
      <c r="F667" s="233" t="str">
        <f>VLOOKUP(Table3[[#This Row],[Document ID]],Table1[],8,FALSE)</f>
        <v>NDC 1.0</v>
      </c>
      <c r="G667" s="233" t="str">
        <f>VLOOKUP(Table3[[#This Row],[Document ID]],Table1[],10,FALSE)</f>
        <v>Archived</v>
      </c>
      <c r="H667" s="216" t="s">
        <v>1089</v>
      </c>
      <c r="I667" s="216" t="s">
        <v>1089</v>
      </c>
      <c r="J667" s="43" t="s">
        <v>1090</v>
      </c>
      <c r="K667" s="28" t="s">
        <v>1153</v>
      </c>
      <c r="L667" s="42" t="s">
        <v>1099</v>
      </c>
      <c r="M667" s="209">
        <v>2030</v>
      </c>
      <c r="N667" s="176" t="s">
        <v>1779</v>
      </c>
      <c r="O667" s="258" t="s">
        <v>1094</v>
      </c>
      <c r="P667" s="238" t="str">
        <f>VLOOKUP(_xlfn.CONCAT(Table3[[#This Row],[Target area]],Table3[[#This Row],[GHG target?]],Table3[[#This Row],[Conditionality]]),'Drop down'!$E$81:$F$101,2,FALSE)</f>
        <v>T_Economy_Unc</v>
      </c>
      <c r="Q667" s="239" t="str">
        <f>VLOOKUP(Table3[[#This Row],[Target type]],Table418[[Value name]:[Value idenifyer]],2,FALSE)</f>
        <v>T_BYE</v>
      </c>
      <c r="V667" s="233" t="str">
        <f>VLOOKUP(Table3[[#This Row],[Country Code]],Table29[],3,FALSE)</f>
        <v>Non-Annex I</v>
      </c>
      <c r="W667" s="233" t="str">
        <f>VLOOKUP(Table3[[#This Row],[Country Code]],Table29[],4,FALSE)</f>
        <v>Africa</v>
      </c>
      <c r="X667" s="233" t="str">
        <f>VLOOKUP(Table3[[#This Row],[Country Code]],Table29[],5,FALSE)</f>
        <v>Middle-income</v>
      </c>
      <c r="Y667" s="233" t="str">
        <f>VLOOKUP(Table3[[#This Row],[Country Code]],Table29[],6,FALSE)</f>
        <v>no</v>
      </c>
      <c r="Z667" s="233" t="str">
        <f>VLOOKUP(Table3[[#This Row],[Country Code]],Table29[],7,FALSE)</f>
        <v>no</v>
      </c>
      <c r="AA667" s="233" t="str">
        <f>VLOOKUP(Table3[[#This Row],[Country Code]],Table29[],8,FALSE)</f>
        <v>non-OECD</v>
      </c>
      <c r="AB667" s="233" t="str">
        <f>VLOOKUP(Table3[[#This Row],[Country Code]],Table29[],9,FALSE)</f>
        <v>no</v>
      </c>
      <c r="AC667" s="233" t="str">
        <f>VLOOKUP(Table3[[#This Row],[Country Code]],Table29[],10,FALSE)</f>
        <v>no</v>
      </c>
      <c r="AD667" s="235">
        <f>VLOOKUP(Table3[[#This Row],[Country Code]],Table29[],23,FALSE)</f>
        <v>0.30345441468402001</v>
      </c>
      <c r="AE667" s="235">
        <f>VLOOKUP(Table3[[#This Row],[Country Code]],Table29[],24,FALSE)</f>
        <v>0.1245490218738666</v>
      </c>
      <c r="AF667" s="43"/>
    </row>
    <row r="668" spans="1:32" ht="45" x14ac:dyDescent="0.25">
      <c r="A668" s="360">
        <v>24784</v>
      </c>
      <c r="B668" s="233" t="str">
        <f>VLOOKUP(Table3[[#This Row],[Document ID]],Table1[],2,FALSE)</f>
        <v>SAU</v>
      </c>
      <c r="C668" s="233" t="str">
        <f>VLOOKUP(Table3[[#This Row],[Document ID]],Table1[],3,FALSE)</f>
        <v>Saudi Arabia</v>
      </c>
      <c r="D668" s="233" t="str">
        <f>VLOOKUP(Table3[[#This Row],[Document ID]],Table1[],5,FALSE)</f>
        <v>NDC</v>
      </c>
      <c r="E668" s="233" t="str">
        <f>VLOOKUP(Table3[[#This Row],[Document ID]],Table1[],7,FALSE)</f>
        <v>First NDC updated</v>
      </c>
      <c r="F668" s="233" t="str">
        <f>VLOOKUP(Table3[[#This Row],[Document ID]],Table1[],8,FALSE)</f>
        <v>NDC 1.1</v>
      </c>
      <c r="G668" s="233" t="str">
        <f>VLOOKUP(Table3[[#This Row],[Document ID]],Table1[],10,FALSE)</f>
        <v>Active</v>
      </c>
      <c r="H668" s="216" t="s">
        <v>1089</v>
      </c>
      <c r="I668" s="216" t="s">
        <v>1089</v>
      </c>
      <c r="J668" s="43" t="s">
        <v>1090</v>
      </c>
      <c r="K668" s="28" t="s">
        <v>1153</v>
      </c>
      <c r="L668" s="42" t="s">
        <v>1099</v>
      </c>
      <c r="M668" s="209">
        <v>2030</v>
      </c>
      <c r="N668" s="44" t="s">
        <v>1780</v>
      </c>
      <c r="O668" s="258">
        <v>2</v>
      </c>
      <c r="P668" s="238" t="str">
        <f>VLOOKUP(_xlfn.CONCAT(Table3[[#This Row],[Target area]],Table3[[#This Row],[GHG target?]],Table3[[#This Row],[Conditionality]]),'Drop down'!$E$81:$F$101,2,FALSE)</f>
        <v>T_Economy_Unc</v>
      </c>
      <c r="Q668" s="239" t="str">
        <f>VLOOKUP(Table3[[#This Row],[Target type]],Table418[[Value name]:[Value idenifyer]],2,FALSE)</f>
        <v>T_BYE</v>
      </c>
      <c r="T668" s="234" t="s">
        <v>1113</v>
      </c>
      <c r="V668" s="233" t="str">
        <f>VLOOKUP(Table3[[#This Row],[Country Code]],Table29[],3,FALSE)</f>
        <v>Non-Annex I</v>
      </c>
      <c r="W668" s="233" t="str">
        <f>VLOOKUP(Table3[[#This Row],[Country Code]],Table29[],4,FALSE)</f>
        <v>Asia</v>
      </c>
      <c r="X668" s="233" t="str">
        <f>VLOOKUP(Table3[[#This Row],[Country Code]],Table29[],5,FALSE)</f>
        <v>High-income</v>
      </c>
      <c r="Y668" s="233" t="str">
        <f>VLOOKUP(Table3[[#This Row],[Country Code]],Table29[],6,FALSE)</f>
        <v>G20</v>
      </c>
      <c r="Z668" s="233" t="str">
        <f>VLOOKUP(Table3[[#This Row],[Country Code]],Table29[],7,FALSE)</f>
        <v>no</v>
      </c>
      <c r="AA668" s="233" t="str">
        <f>VLOOKUP(Table3[[#This Row],[Country Code]],Table29[],8,FALSE)</f>
        <v>non-OECD</v>
      </c>
      <c r="AB668" s="233" t="str">
        <f>VLOOKUP(Table3[[#This Row],[Country Code]],Table29[],9,FALSE)</f>
        <v>no</v>
      </c>
      <c r="AC668" s="233" t="str">
        <f>VLOOKUP(Table3[[#This Row],[Country Code]],Table29[],10,FALSE)</f>
        <v>MENA</v>
      </c>
      <c r="AD668" s="235">
        <f>VLOOKUP(Table3[[#This Row],[Country Code]],Table29[],23,FALSE)</f>
        <v>805.15810845823</v>
      </c>
      <c r="AE668" s="235">
        <f>VLOOKUP(Table3[[#This Row],[Country Code]],Table29[],24,FALSE)</f>
        <v>147.5856941379987</v>
      </c>
      <c r="AF668" s="43"/>
    </row>
    <row r="669" spans="1:32" x14ac:dyDescent="0.25">
      <c r="A669" s="360">
        <v>17725</v>
      </c>
      <c r="B669" s="233" t="str">
        <f>VLOOKUP(Table3[[#This Row],[Document ID]],Table1[],2,FALSE)</f>
        <v>SAU</v>
      </c>
      <c r="C669" s="233" t="str">
        <f>VLOOKUP(Table3[[#This Row],[Document ID]],Table1[],3,FALSE)</f>
        <v>Saudi Arabia</v>
      </c>
      <c r="D669" s="233" t="str">
        <f>VLOOKUP(Table3[[#This Row],[Document ID]],Table1[],5,FALSE)</f>
        <v>NDC</v>
      </c>
      <c r="E669" s="233" t="str">
        <f>VLOOKUP(Table3[[#This Row],[Document ID]],Table1[],7,FALSE)</f>
        <v>First NDC</v>
      </c>
      <c r="F669" s="233" t="str">
        <f>VLOOKUP(Table3[[#This Row],[Document ID]],Table1[],8,FALSE)</f>
        <v>NDC 1.0</v>
      </c>
      <c r="G669" s="233" t="str">
        <f>VLOOKUP(Table3[[#This Row],[Document ID]],Table1[],10,FALSE)</f>
        <v>Archived</v>
      </c>
      <c r="H669" s="216" t="s">
        <v>1089</v>
      </c>
      <c r="I669" s="216" t="s">
        <v>1089</v>
      </c>
      <c r="J669" s="43" t="s">
        <v>1090</v>
      </c>
      <c r="K669" s="28" t="s">
        <v>1121</v>
      </c>
      <c r="L669" s="42" t="s">
        <v>1099</v>
      </c>
      <c r="M669" s="209">
        <v>2030</v>
      </c>
      <c r="N669" s="176" t="s">
        <v>1781</v>
      </c>
      <c r="O669" s="258" t="s">
        <v>1094</v>
      </c>
      <c r="P669" s="238" t="str">
        <f>VLOOKUP(_xlfn.CONCAT(Table3[[#This Row],[Target area]],Table3[[#This Row],[GHG target?]],Table3[[#This Row],[Conditionality]]),'Drop down'!$E$81:$F$101,2,FALSE)</f>
        <v>T_Economy_Unc</v>
      </c>
      <c r="Q669" s="239" t="str">
        <f>VLOOKUP(Table3[[#This Row],[Target type]],Table418[[Value name]:[Value idenifyer]],2,FALSE)</f>
        <v>T_FL</v>
      </c>
      <c r="T669" s="234" t="s">
        <v>1113</v>
      </c>
      <c r="V669" s="233" t="str">
        <f>VLOOKUP(Table3[[#This Row],[Country Code]],Table29[],3,FALSE)</f>
        <v>Non-Annex I</v>
      </c>
      <c r="W669" s="233" t="str">
        <f>VLOOKUP(Table3[[#This Row],[Country Code]],Table29[],4,FALSE)</f>
        <v>Asia</v>
      </c>
      <c r="X669" s="233" t="str">
        <f>VLOOKUP(Table3[[#This Row],[Country Code]],Table29[],5,FALSE)</f>
        <v>High-income</v>
      </c>
      <c r="Y669" s="233" t="str">
        <f>VLOOKUP(Table3[[#This Row],[Country Code]],Table29[],6,FALSE)</f>
        <v>G20</v>
      </c>
      <c r="Z669" s="233" t="str">
        <f>VLOOKUP(Table3[[#This Row],[Country Code]],Table29[],7,FALSE)</f>
        <v>no</v>
      </c>
      <c r="AA669" s="233" t="str">
        <f>VLOOKUP(Table3[[#This Row],[Country Code]],Table29[],8,FALSE)</f>
        <v>non-OECD</v>
      </c>
      <c r="AB669" s="233" t="str">
        <f>VLOOKUP(Table3[[#This Row],[Country Code]],Table29[],9,FALSE)</f>
        <v>no</v>
      </c>
      <c r="AC669" s="233" t="str">
        <f>VLOOKUP(Table3[[#This Row],[Country Code]],Table29[],10,FALSE)</f>
        <v>MENA</v>
      </c>
      <c r="AD669" s="235">
        <f>VLOOKUP(Table3[[#This Row],[Country Code]],Table29[],23,FALSE)</f>
        <v>805.15810845823</v>
      </c>
      <c r="AE669" s="235">
        <f>VLOOKUP(Table3[[#This Row],[Country Code]],Table29[],24,FALSE)</f>
        <v>147.5856941379987</v>
      </c>
      <c r="AF669" s="43"/>
    </row>
    <row r="670" spans="1:32" x14ac:dyDescent="0.25">
      <c r="A670" s="360">
        <v>17727</v>
      </c>
      <c r="B670" s="233" t="str">
        <f>VLOOKUP(Table3[[#This Row],[Document ID]],Table1[],2,FALSE)</f>
        <v>SEN</v>
      </c>
      <c r="C670" s="233" t="str">
        <f>VLOOKUP(Table3[[#This Row],[Document ID]],Table1[],3,FALSE)</f>
        <v>Senegal</v>
      </c>
      <c r="D670" s="233" t="str">
        <f>VLOOKUP(Table3[[#This Row],[Document ID]],Table1[],5,FALSE)</f>
        <v>NDC</v>
      </c>
      <c r="E670" s="233" t="str">
        <f>VLOOKUP(Table3[[#This Row],[Document ID]],Table1[],7,FALSE)</f>
        <v>First NDC</v>
      </c>
      <c r="F670" s="233" t="str">
        <f>VLOOKUP(Table3[[#This Row],[Document ID]],Table1[],8,FALSE)</f>
        <v>NDC 1.0</v>
      </c>
      <c r="G670" s="233" t="str">
        <f>VLOOKUP(Table3[[#This Row],[Document ID]],Table1[],10,FALSE)</f>
        <v>Active</v>
      </c>
      <c r="H670" s="216" t="s">
        <v>1089</v>
      </c>
      <c r="I670" s="216" t="s">
        <v>1089</v>
      </c>
      <c r="J670" s="43" t="s">
        <v>1090</v>
      </c>
      <c r="K670" s="28" t="s">
        <v>1091</v>
      </c>
      <c r="L670" s="42" t="s">
        <v>1099</v>
      </c>
      <c r="M670" s="209">
        <v>2030</v>
      </c>
      <c r="N670" s="44" t="s">
        <v>1782</v>
      </c>
      <c r="O670" s="221">
        <v>22</v>
      </c>
      <c r="P670" s="238" t="str">
        <f>VLOOKUP(_xlfn.CONCAT(Table3[[#This Row],[Target area]],Table3[[#This Row],[GHG target?]],Table3[[#This Row],[Conditionality]]),'Drop down'!$E$81:$F$101,2,FALSE)</f>
        <v>T_Economy_Unc</v>
      </c>
      <c r="Q670" s="239" t="str">
        <f>VLOOKUP(Table3[[#This Row],[Target type]],Table418[[Value name]:[Value idenifyer]],2,FALSE)</f>
        <v>T_BAU</v>
      </c>
      <c r="V670" s="233" t="str">
        <f>VLOOKUP(Table3[[#This Row],[Country Code]],Table29[],3,FALSE)</f>
        <v>Non-Annex I</v>
      </c>
      <c r="W670" s="233" t="str">
        <f>VLOOKUP(Table3[[#This Row],[Country Code]],Table29[],4,FALSE)</f>
        <v>Africa</v>
      </c>
      <c r="X670" s="233" t="str">
        <f>VLOOKUP(Table3[[#This Row],[Country Code]],Table29[],5,FALSE)</f>
        <v>Middle-income</v>
      </c>
      <c r="Y670" s="233" t="str">
        <f>VLOOKUP(Table3[[#This Row],[Country Code]],Table29[],6,FALSE)</f>
        <v>no</v>
      </c>
      <c r="Z670" s="233" t="str">
        <f>VLOOKUP(Table3[[#This Row],[Country Code]],Table29[],7,FALSE)</f>
        <v>no</v>
      </c>
      <c r="AA670" s="233" t="str">
        <f>VLOOKUP(Table3[[#This Row],[Country Code]],Table29[],8,FALSE)</f>
        <v>non-OECD</v>
      </c>
      <c r="AB670" s="233" t="str">
        <f>VLOOKUP(Table3[[#This Row],[Country Code]],Table29[],9,FALSE)</f>
        <v>no</v>
      </c>
      <c r="AC670" s="233" t="str">
        <f>VLOOKUP(Table3[[#This Row],[Country Code]],Table29[],10,FALSE)</f>
        <v>no</v>
      </c>
      <c r="AD670" s="235">
        <f>VLOOKUP(Table3[[#This Row],[Country Code]],Table29[],23,FALSE)</f>
        <v>28.843732000256001</v>
      </c>
      <c r="AE670" s="235">
        <f>VLOOKUP(Table3[[#This Row],[Country Code]],Table29[],24,FALSE)</f>
        <v>3.4891679152500248</v>
      </c>
      <c r="AF670" s="43"/>
    </row>
    <row r="671" spans="1:32" x14ac:dyDescent="0.25">
      <c r="A671" s="360">
        <v>17727</v>
      </c>
      <c r="B671" s="233" t="str">
        <f>VLOOKUP(Table3[[#This Row],[Document ID]],Table1[],2,FALSE)</f>
        <v>SEN</v>
      </c>
      <c r="C671" s="233" t="str">
        <f>VLOOKUP(Table3[[#This Row],[Document ID]],Table1[],3,FALSE)</f>
        <v>Senegal</v>
      </c>
      <c r="D671" s="233" t="str">
        <f>VLOOKUP(Table3[[#This Row],[Document ID]],Table1[],5,FALSE)</f>
        <v>NDC</v>
      </c>
      <c r="E671" s="233" t="str">
        <f>VLOOKUP(Table3[[#This Row],[Document ID]],Table1[],7,FALSE)</f>
        <v>First NDC</v>
      </c>
      <c r="F671" s="233" t="str">
        <f>VLOOKUP(Table3[[#This Row],[Document ID]],Table1[],8,FALSE)</f>
        <v>NDC 1.0</v>
      </c>
      <c r="G671" s="233" t="str">
        <f>VLOOKUP(Table3[[#This Row],[Document ID]],Table1[],10,FALSE)</f>
        <v>Active</v>
      </c>
      <c r="H671" s="216" t="s">
        <v>1089</v>
      </c>
      <c r="I671" s="216" t="s">
        <v>1089</v>
      </c>
      <c r="J671" s="43" t="s">
        <v>1090</v>
      </c>
      <c r="K671" s="28" t="s">
        <v>1091</v>
      </c>
      <c r="L671" s="216" t="s">
        <v>1092</v>
      </c>
      <c r="M671" s="209">
        <v>2030</v>
      </c>
      <c r="N671" s="44" t="s">
        <v>1783</v>
      </c>
      <c r="O671" s="221">
        <v>22</v>
      </c>
      <c r="P671" s="238" t="str">
        <f>VLOOKUP(_xlfn.CONCAT(Table3[[#This Row],[Target area]],Table3[[#This Row],[GHG target?]],Table3[[#This Row],[Conditionality]]),'Drop down'!$E$81:$F$101,2,FALSE)</f>
        <v>T_Economy_C</v>
      </c>
      <c r="Q671" s="239" t="str">
        <f>VLOOKUP(Table3[[#This Row],[Target type]],Table418[[Value name]:[Value idenifyer]],2,FALSE)</f>
        <v>T_BAU</v>
      </c>
      <c r="V671" s="233" t="str">
        <f>VLOOKUP(Table3[[#This Row],[Country Code]],Table29[],3,FALSE)</f>
        <v>Non-Annex I</v>
      </c>
      <c r="W671" s="233" t="str">
        <f>VLOOKUP(Table3[[#This Row],[Country Code]],Table29[],4,FALSE)</f>
        <v>Africa</v>
      </c>
      <c r="X671" s="233" t="str">
        <f>VLOOKUP(Table3[[#This Row],[Country Code]],Table29[],5,FALSE)</f>
        <v>Middle-income</v>
      </c>
      <c r="Y671" s="233" t="str">
        <f>VLOOKUP(Table3[[#This Row],[Country Code]],Table29[],6,FALSE)</f>
        <v>no</v>
      </c>
      <c r="Z671" s="233" t="str">
        <f>VLOOKUP(Table3[[#This Row],[Country Code]],Table29[],7,FALSE)</f>
        <v>no</v>
      </c>
      <c r="AA671" s="233" t="str">
        <f>VLOOKUP(Table3[[#This Row],[Country Code]],Table29[],8,FALSE)</f>
        <v>non-OECD</v>
      </c>
      <c r="AB671" s="233" t="str">
        <f>VLOOKUP(Table3[[#This Row],[Country Code]],Table29[],9,FALSE)</f>
        <v>no</v>
      </c>
      <c r="AC671" s="233" t="str">
        <f>VLOOKUP(Table3[[#This Row],[Country Code]],Table29[],10,FALSE)</f>
        <v>no</v>
      </c>
      <c r="AD671" s="235">
        <f>VLOOKUP(Table3[[#This Row],[Country Code]],Table29[],23,FALSE)</f>
        <v>28.843732000256001</v>
      </c>
      <c r="AE671" s="235">
        <f>VLOOKUP(Table3[[#This Row],[Country Code]],Table29[],24,FALSE)</f>
        <v>3.4891679152500248</v>
      </c>
      <c r="AF671" s="43"/>
    </row>
    <row r="672" spans="1:32" x14ac:dyDescent="0.25">
      <c r="A672" s="360">
        <v>17726</v>
      </c>
      <c r="B672" s="233" t="str">
        <f>VLOOKUP(Table3[[#This Row],[Document ID]],Table1[],2,FALSE)</f>
        <v>SEN</v>
      </c>
      <c r="C672" s="233" t="str">
        <f>VLOOKUP(Table3[[#This Row],[Document ID]],Table1[],3,FALSE)</f>
        <v>Senegal</v>
      </c>
      <c r="D672" s="233" t="str">
        <f>VLOOKUP(Table3[[#This Row],[Document ID]],Table1[],5,FALSE)</f>
        <v>NDC</v>
      </c>
      <c r="E672" s="233" t="str">
        <f>VLOOKUP(Table3[[#This Row],[Document ID]],Table1[],7,FALSE)</f>
        <v>First NDC</v>
      </c>
      <c r="F672" s="233" t="str">
        <f>VLOOKUP(Table3[[#This Row],[Document ID]],Table1[],8,FALSE)</f>
        <v>NDC 1.0</v>
      </c>
      <c r="G672" s="233" t="str">
        <f>VLOOKUP(Table3[[#This Row],[Document ID]],Table1[],10,FALSE)</f>
        <v>Archived</v>
      </c>
      <c r="H672" s="216" t="s">
        <v>1089</v>
      </c>
      <c r="I672" s="216" t="s">
        <v>1089</v>
      </c>
      <c r="J672" s="43" t="s">
        <v>1090</v>
      </c>
      <c r="K672" s="28" t="s">
        <v>1091</v>
      </c>
      <c r="L672" s="42" t="s">
        <v>1099</v>
      </c>
      <c r="M672" s="209">
        <v>2030</v>
      </c>
      <c r="N672" s="176" t="s">
        <v>1784</v>
      </c>
      <c r="O672" s="258" t="s">
        <v>1094</v>
      </c>
      <c r="P672" s="238" t="str">
        <f>VLOOKUP(_xlfn.CONCAT(Table3[[#This Row],[Target area]],Table3[[#This Row],[GHG target?]],Table3[[#This Row],[Conditionality]]),'Drop down'!$E$81:$F$101,2,FALSE)</f>
        <v>T_Economy_Unc</v>
      </c>
      <c r="Q672" s="239" t="str">
        <f>VLOOKUP(Table3[[#This Row],[Target type]],Table418[[Value name]:[Value idenifyer]],2,FALSE)</f>
        <v>T_BAU</v>
      </c>
      <c r="V672" s="233" t="str">
        <f>VLOOKUP(Table3[[#This Row],[Country Code]],Table29[],3,FALSE)</f>
        <v>Non-Annex I</v>
      </c>
      <c r="W672" s="233" t="str">
        <f>VLOOKUP(Table3[[#This Row],[Country Code]],Table29[],4,FALSE)</f>
        <v>Africa</v>
      </c>
      <c r="X672" s="233" t="str">
        <f>VLOOKUP(Table3[[#This Row],[Country Code]],Table29[],5,FALSE)</f>
        <v>Middle-income</v>
      </c>
      <c r="Y672" s="233" t="str">
        <f>VLOOKUP(Table3[[#This Row],[Country Code]],Table29[],6,FALSE)</f>
        <v>no</v>
      </c>
      <c r="Z672" s="233" t="str">
        <f>VLOOKUP(Table3[[#This Row],[Country Code]],Table29[],7,FALSE)</f>
        <v>no</v>
      </c>
      <c r="AA672" s="233" t="str">
        <f>VLOOKUP(Table3[[#This Row],[Country Code]],Table29[],8,FALSE)</f>
        <v>non-OECD</v>
      </c>
      <c r="AB672" s="233" t="str">
        <f>VLOOKUP(Table3[[#This Row],[Country Code]],Table29[],9,FALSE)</f>
        <v>no</v>
      </c>
      <c r="AC672" s="233" t="str">
        <f>VLOOKUP(Table3[[#This Row],[Country Code]],Table29[],10,FALSE)</f>
        <v>no</v>
      </c>
      <c r="AD672" s="235">
        <f>VLOOKUP(Table3[[#This Row],[Country Code]],Table29[],23,FALSE)</f>
        <v>28.843732000256001</v>
      </c>
      <c r="AE672" s="235">
        <f>VLOOKUP(Table3[[#This Row],[Country Code]],Table29[],24,FALSE)</f>
        <v>3.4891679152500248</v>
      </c>
      <c r="AF672" s="43"/>
    </row>
    <row r="673" spans="1:32" x14ac:dyDescent="0.25">
      <c r="A673" s="360">
        <v>17726</v>
      </c>
      <c r="B673" s="233" t="str">
        <f>VLOOKUP(Table3[[#This Row],[Document ID]],Table1[],2,FALSE)</f>
        <v>SEN</v>
      </c>
      <c r="C673" s="233" t="str">
        <f>VLOOKUP(Table3[[#This Row],[Document ID]],Table1[],3,FALSE)</f>
        <v>Senegal</v>
      </c>
      <c r="D673" s="233" t="str">
        <f>VLOOKUP(Table3[[#This Row],[Document ID]],Table1[],5,FALSE)</f>
        <v>NDC</v>
      </c>
      <c r="E673" s="233" t="str">
        <f>VLOOKUP(Table3[[#This Row],[Document ID]],Table1[],7,FALSE)</f>
        <v>First NDC</v>
      </c>
      <c r="F673" s="233" t="str">
        <f>VLOOKUP(Table3[[#This Row],[Document ID]],Table1[],8,FALSE)</f>
        <v>NDC 1.0</v>
      </c>
      <c r="G673" s="233" t="str">
        <f>VLOOKUP(Table3[[#This Row],[Document ID]],Table1[],10,FALSE)</f>
        <v>Archived</v>
      </c>
      <c r="H673" s="216" t="s">
        <v>1089</v>
      </c>
      <c r="I673" s="216" t="s">
        <v>1089</v>
      </c>
      <c r="J673" s="43" t="s">
        <v>1090</v>
      </c>
      <c r="K673" s="28" t="s">
        <v>1091</v>
      </c>
      <c r="L673" s="216" t="s">
        <v>1092</v>
      </c>
      <c r="M673" s="209">
        <v>2030</v>
      </c>
      <c r="N673" s="176" t="s">
        <v>1785</v>
      </c>
      <c r="O673" s="258" t="s">
        <v>1094</v>
      </c>
      <c r="P673" s="238" t="str">
        <f>VLOOKUP(_xlfn.CONCAT(Table3[[#This Row],[Target area]],Table3[[#This Row],[GHG target?]],Table3[[#This Row],[Conditionality]]),'Drop down'!$E$81:$F$101,2,FALSE)</f>
        <v>T_Economy_C</v>
      </c>
      <c r="Q673" s="239" t="str">
        <f>VLOOKUP(Table3[[#This Row],[Target type]],Table418[[Value name]:[Value idenifyer]],2,FALSE)</f>
        <v>T_BAU</v>
      </c>
      <c r="V673" s="233" t="str">
        <f>VLOOKUP(Table3[[#This Row],[Country Code]],Table29[],3,FALSE)</f>
        <v>Non-Annex I</v>
      </c>
      <c r="W673" s="233" t="str">
        <f>VLOOKUP(Table3[[#This Row],[Country Code]],Table29[],4,FALSE)</f>
        <v>Africa</v>
      </c>
      <c r="X673" s="233" t="str">
        <f>VLOOKUP(Table3[[#This Row],[Country Code]],Table29[],5,FALSE)</f>
        <v>Middle-income</v>
      </c>
      <c r="Y673" s="233" t="str">
        <f>VLOOKUP(Table3[[#This Row],[Country Code]],Table29[],6,FALSE)</f>
        <v>no</v>
      </c>
      <c r="Z673" s="233" t="str">
        <f>VLOOKUP(Table3[[#This Row],[Country Code]],Table29[],7,FALSE)</f>
        <v>no</v>
      </c>
      <c r="AA673" s="233" t="str">
        <f>VLOOKUP(Table3[[#This Row],[Country Code]],Table29[],8,FALSE)</f>
        <v>non-OECD</v>
      </c>
      <c r="AB673" s="233" t="str">
        <f>VLOOKUP(Table3[[#This Row],[Country Code]],Table29[],9,FALSE)</f>
        <v>no</v>
      </c>
      <c r="AC673" s="233" t="str">
        <f>VLOOKUP(Table3[[#This Row],[Country Code]],Table29[],10,FALSE)</f>
        <v>no</v>
      </c>
      <c r="AD673" s="235">
        <f>VLOOKUP(Table3[[#This Row],[Country Code]],Table29[],23,FALSE)</f>
        <v>28.843732000256001</v>
      </c>
      <c r="AE673" s="235">
        <f>VLOOKUP(Table3[[#This Row],[Country Code]],Table29[],24,FALSE)</f>
        <v>3.4891679152500248</v>
      </c>
      <c r="AF673" s="43"/>
    </row>
    <row r="674" spans="1:32" ht="45" x14ac:dyDescent="0.25">
      <c r="A674" s="360">
        <v>29232</v>
      </c>
      <c r="B674" s="233" t="str">
        <f>VLOOKUP(Table3[[#This Row],[Document ID]],Table1[],2,FALSE)</f>
        <v>SRB</v>
      </c>
      <c r="C674" s="233" t="str">
        <f>VLOOKUP(Table3[[#This Row],[Document ID]],Table1[],3,FALSE)</f>
        <v>Serbia</v>
      </c>
      <c r="D674" s="233" t="str">
        <f>VLOOKUP(Table3[[#This Row],[Document ID]],Table1[],5,FALSE)</f>
        <v>NDC</v>
      </c>
      <c r="E674" s="233" t="str">
        <f>VLOOKUP(Table3[[#This Row],[Document ID]],Table1[],7,FALSE)</f>
        <v>First NDC updated</v>
      </c>
      <c r="F674" s="233" t="str">
        <f>VLOOKUP(Table3[[#This Row],[Document ID]],Table1[],8,FALSE)</f>
        <v>NDC 1.1</v>
      </c>
      <c r="G674" s="233" t="str">
        <f>VLOOKUP(Table3[[#This Row],[Document ID]],Table1[],10,FALSE)</f>
        <v>Active</v>
      </c>
      <c r="H674" s="216" t="s">
        <v>1089</v>
      </c>
      <c r="I674" s="216" t="s">
        <v>1089</v>
      </c>
      <c r="J674" s="43" t="s">
        <v>1090</v>
      </c>
      <c r="K674" s="28" t="s">
        <v>1153</v>
      </c>
      <c r="L674" s="42" t="s">
        <v>1099</v>
      </c>
      <c r="M674" s="209">
        <v>2030</v>
      </c>
      <c r="N674" s="209" t="s">
        <v>1786</v>
      </c>
      <c r="O674" s="257">
        <v>2</v>
      </c>
      <c r="P674" s="238" t="str">
        <f>VLOOKUP(_xlfn.CONCAT(Table3[[#This Row],[Target area]],Table3[[#This Row],[GHG target?]],Table3[[#This Row],[Conditionality]]),'Drop down'!$E$81:$F$101,2,FALSE)</f>
        <v>T_Economy_Unc</v>
      </c>
      <c r="Q674" s="239" t="str">
        <f>VLOOKUP(Table3[[#This Row],[Target type]],Table418[[Value name]:[Value idenifyer]],2,FALSE)</f>
        <v>T_BYE</v>
      </c>
      <c r="V674" s="233" t="str">
        <f>VLOOKUP(Table3[[#This Row],[Country Code]],Table29[],3,FALSE)</f>
        <v>Non-Annex I</v>
      </c>
      <c r="W674" s="233" t="str">
        <f>VLOOKUP(Table3[[#This Row],[Country Code]],Table29[],4,FALSE)</f>
        <v>Europe</v>
      </c>
      <c r="X674" s="233" t="str">
        <f>VLOOKUP(Table3[[#This Row],[Country Code]],Table29[],5,FALSE)</f>
        <v>Middle-income</v>
      </c>
      <c r="Y674" s="233" t="str">
        <f>VLOOKUP(Table3[[#This Row],[Country Code]],Table29[],6,FALSE)</f>
        <v>no</v>
      </c>
      <c r="Z674" s="233" t="str">
        <f>VLOOKUP(Table3[[#This Row],[Country Code]],Table29[],7,FALSE)</f>
        <v>no</v>
      </c>
      <c r="AA674" s="233" t="str">
        <f>VLOOKUP(Table3[[#This Row],[Country Code]],Table29[],8,FALSE)</f>
        <v>non-OECD</v>
      </c>
      <c r="AB674" s="233" t="str">
        <f>VLOOKUP(Table3[[#This Row],[Country Code]],Table29[],9,FALSE)</f>
        <v>no</v>
      </c>
      <c r="AC674" s="233" t="str">
        <f>VLOOKUP(Table3[[#This Row],[Country Code]],Table29[],10,FALSE)</f>
        <v>no</v>
      </c>
      <c r="AD674" s="235">
        <f>VLOOKUP(Table3[[#This Row],[Country Code]],Table29[],23,FALSE)</f>
        <v>67.214992478558003</v>
      </c>
      <c r="AE674" s="235">
        <f>VLOOKUP(Table3[[#This Row],[Country Code]],Table29[],24,FALSE)</f>
        <v>10.45024022782124</v>
      </c>
      <c r="AF674" s="43"/>
    </row>
    <row r="675" spans="1:32" x14ac:dyDescent="0.25">
      <c r="A675" s="360">
        <v>17728</v>
      </c>
      <c r="B675" s="233" t="str">
        <f>VLOOKUP(Table3[[#This Row],[Document ID]],Table1[],2,FALSE)</f>
        <v>SRB</v>
      </c>
      <c r="C675" s="233" t="str">
        <f>VLOOKUP(Table3[[#This Row],[Document ID]],Table1[],3,FALSE)</f>
        <v>Serbia</v>
      </c>
      <c r="D675" s="233" t="str">
        <f>VLOOKUP(Table3[[#This Row],[Document ID]],Table1[],5,FALSE)</f>
        <v>NDC</v>
      </c>
      <c r="E675" s="233" t="str">
        <f>VLOOKUP(Table3[[#This Row],[Document ID]],Table1[],7,FALSE)</f>
        <v>First NDC</v>
      </c>
      <c r="F675" s="233" t="str">
        <f>VLOOKUP(Table3[[#This Row],[Document ID]],Table1[],8,FALSE)</f>
        <v>NDC 1.0</v>
      </c>
      <c r="G675" s="233" t="str">
        <f>VLOOKUP(Table3[[#This Row],[Document ID]],Table1[],10,FALSE)</f>
        <v>Archived</v>
      </c>
      <c r="H675" s="216" t="s">
        <v>1089</v>
      </c>
      <c r="I675" s="216" t="s">
        <v>1089</v>
      </c>
      <c r="J675" s="43" t="s">
        <v>1090</v>
      </c>
      <c r="K675" s="28" t="s">
        <v>1153</v>
      </c>
      <c r="L675" s="42" t="s">
        <v>1099</v>
      </c>
      <c r="M675" s="209">
        <v>2030</v>
      </c>
      <c r="N675" s="176" t="s">
        <v>1787</v>
      </c>
      <c r="O675" s="258" t="s">
        <v>1094</v>
      </c>
      <c r="P675" s="238" t="str">
        <f>VLOOKUP(_xlfn.CONCAT(Table3[[#This Row],[Target area]],Table3[[#This Row],[GHG target?]],Table3[[#This Row],[Conditionality]]),'Drop down'!$E$81:$F$101,2,FALSE)</f>
        <v>T_Economy_Unc</v>
      </c>
      <c r="Q675" s="239" t="str">
        <f>VLOOKUP(Table3[[#This Row],[Target type]],Table418[[Value name]:[Value idenifyer]],2,FALSE)</f>
        <v>T_BYE</v>
      </c>
      <c r="V675" s="233" t="str">
        <f>VLOOKUP(Table3[[#This Row],[Country Code]],Table29[],3,FALSE)</f>
        <v>Non-Annex I</v>
      </c>
      <c r="W675" s="233" t="str">
        <f>VLOOKUP(Table3[[#This Row],[Country Code]],Table29[],4,FALSE)</f>
        <v>Europe</v>
      </c>
      <c r="X675" s="233" t="str">
        <f>VLOOKUP(Table3[[#This Row],[Country Code]],Table29[],5,FALSE)</f>
        <v>Middle-income</v>
      </c>
      <c r="Y675" s="233" t="str">
        <f>VLOOKUP(Table3[[#This Row],[Country Code]],Table29[],6,FALSE)</f>
        <v>no</v>
      </c>
      <c r="Z675" s="233" t="str">
        <f>VLOOKUP(Table3[[#This Row],[Country Code]],Table29[],7,FALSE)</f>
        <v>no</v>
      </c>
      <c r="AA675" s="233" t="str">
        <f>VLOOKUP(Table3[[#This Row],[Country Code]],Table29[],8,FALSE)</f>
        <v>non-OECD</v>
      </c>
      <c r="AB675" s="233" t="str">
        <f>VLOOKUP(Table3[[#This Row],[Country Code]],Table29[],9,FALSE)</f>
        <v>no</v>
      </c>
      <c r="AC675" s="233" t="str">
        <f>VLOOKUP(Table3[[#This Row],[Country Code]],Table29[],10,FALSE)</f>
        <v>no</v>
      </c>
      <c r="AD675" s="235">
        <f>VLOOKUP(Table3[[#This Row],[Country Code]],Table29[],23,FALSE)</f>
        <v>67.214992478558003</v>
      </c>
      <c r="AE675" s="235">
        <f>VLOOKUP(Table3[[#This Row],[Country Code]],Table29[],24,FALSE)</f>
        <v>10.45024022782124</v>
      </c>
      <c r="AF675" s="43"/>
    </row>
    <row r="676" spans="1:32" x14ac:dyDescent="0.25">
      <c r="A676" s="360">
        <v>21279</v>
      </c>
      <c r="B676" s="233" t="str">
        <f>VLOOKUP(Table3[[#This Row],[Document ID]],Table1[],2,FALSE)</f>
        <v>SYC</v>
      </c>
      <c r="C676" s="233" t="str">
        <f>VLOOKUP(Table3[[#This Row],[Document ID]],Table1[],3,FALSE)</f>
        <v>Seychelles</v>
      </c>
      <c r="D676" s="233" t="str">
        <f>VLOOKUP(Table3[[#This Row],[Document ID]],Table1[],5,FALSE)</f>
        <v>NDC</v>
      </c>
      <c r="E676" s="233" t="str">
        <f>VLOOKUP(Table3[[#This Row],[Document ID]],Table1[],7,FALSE)</f>
        <v>First NDC updated</v>
      </c>
      <c r="F676" s="233" t="str">
        <f>VLOOKUP(Table3[[#This Row],[Document ID]],Table1[],8,FALSE)</f>
        <v>NDC 1.1</v>
      </c>
      <c r="G676" s="233" t="str">
        <f>VLOOKUP(Table3[[#This Row],[Document ID]],Table1[],10,FALSE)</f>
        <v>Active</v>
      </c>
      <c r="H676" s="216" t="s">
        <v>1089</v>
      </c>
      <c r="I676" s="216" t="s">
        <v>1089</v>
      </c>
      <c r="J676" s="43" t="s">
        <v>1090</v>
      </c>
      <c r="K676" s="28" t="s">
        <v>1091</v>
      </c>
      <c r="L676" s="42" t="s">
        <v>1099</v>
      </c>
      <c r="M676" s="209">
        <v>2030</v>
      </c>
      <c r="N676" s="209" t="s">
        <v>1788</v>
      </c>
      <c r="O676" s="257">
        <v>9</v>
      </c>
      <c r="P676" s="238" t="str">
        <f>VLOOKUP(_xlfn.CONCAT(Table3[[#This Row],[Target area]],Table3[[#This Row],[GHG target?]],Table3[[#This Row],[Conditionality]]),'Drop down'!$E$81:$F$101,2,FALSE)</f>
        <v>T_Economy_Unc</v>
      </c>
      <c r="Q676" s="239" t="str">
        <f>VLOOKUP(Table3[[#This Row],[Target type]],Table418[[Value name]:[Value idenifyer]],2,FALSE)</f>
        <v>T_BAU</v>
      </c>
      <c r="S676" s="233" t="s">
        <v>1125</v>
      </c>
      <c r="T676" s="234" t="s">
        <v>1113</v>
      </c>
      <c r="V676" s="233" t="str">
        <f>VLOOKUP(Table3[[#This Row],[Country Code]],Table29[],3,FALSE)</f>
        <v>Non-Annex I</v>
      </c>
      <c r="W676" s="233" t="str">
        <f>VLOOKUP(Table3[[#This Row],[Country Code]],Table29[],4,FALSE)</f>
        <v>Africa</v>
      </c>
      <c r="X676" s="233" t="str">
        <f>VLOOKUP(Table3[[#This Row],[Country Code]],Table29[],5,FALSE)</f>
        <v>High-income</v>
      </c>
      <c r="Y676" s="233" t="str">
        <f>VLOOKUP(Table3[[#This Row],[Country Code]],Table29[],6,FALSE)</f>
        <v>no</v>
      </c>
      <c r="Z676" s="233" t="str">
        <f>VLOOKUP(Table3[[#This Row],[Country Code]],Table29[],7,FALSE)</f>
        <v>no</v>
      </c>
      <c r="AA676" s="233" t="str">
        <f>VLOOKUP(Table3[[#This Row],[Country Code]],Table29[],8,FALSE)</f>
        <v>non-OECD</v>
      </c>
      <c r="AB676" s="233" t="str">
        <f>VLOOKUP(Table3[[#This Row],[Country Code]],Table29[],9,FALSE)</f>
        <v>no</v>
      </c>
      <c r="AC676" s="233" t="str">
        <f>VLOOKUP(Table3[[#This Row],[Country Code]],Table29[],10,FALSE)</f>
        <v>no</v>
      </c>
      <c r="AD676" s="235">
        <f>VLOOKUP(Table3[[#This Row],[Country Code]],Table29[],23,FALSE)</f>
        <v>1.3387084460448999</v>
      </c>
      <c r="AE676" s="235">
        <f>VLOOKUP(Table3[[#This Row],[Country Code]],Table29[],24,FALSE)</f>
        <v>0.72161504168930912</v>
      </c>
      <c r="AF676" s="43"/>
    </row>
    <row r="677" spans="1:32" x14ac:dyDescent="0.25">
      <c r="A677" s="360">
        <v>21279</v>
      </c>
      <c r="B677" s="233" t="str">
        <f>VLOOKUP(Table3[[#This Row],[Document ID]],Table1[],2,FALSE)</f>
        <v>SYC</v>
      </c>
      <c r="C677" s="233" t="str">
        <f>VLOOKUP(Table3[[#This Row],[Document ID]],Table1[],3,FALSE)</f>
        <v>Seychelles</v>
      </c>
      <c r="D677" s="233" t="str">
        <f>VLOOKUP(Table3[[#This Row],[Document ID]],Table1[],5,FALSE)</f>
        <v>NDC</v>
      </c>
      <c r="E677" s="233" t="str">
        <f>VLOOKUP(Table3[[#This Row],[Document ID]],Table1[],7,FALSE)</f>
        <v>First NDC updated</v>
      </c>
      <c r="F677" s="233" t="str">
        <f>VLOOKUP(Table3[[#This Row],[Document ID]],Table1[],8,FALSE)</f>
        <v>NDC 1.1</v>
      </c>
      <c r="G677" s="233" t="str">
        <f>VLOOKUP(Table3[[#This Row],[Document ID]],Table1[],10,FALSE)</f>
        <v>Active</v>
      </c>
      <c r="H677" s="216" t="s">
        <v>1089</v>
      </c>
      <c r="I677" s="216" t="s">
        <v>1089</v>
      </c>
      <c r="J677" s="43" t="s">
        <v>1090</v>
      </c>
      <c r="K677" s="28" t="s">
        <v>1091</v>
      </c>
      <c r="L677" s="216" t="s">
        <v>1092</v>
      </c>
      <c r="M677" s="209">
        <v>2030</v>
      </c>
      <c r="N677" s="209" t="s">
        <v>1789</v>
      </c>
      <c r="O677" s="257">
        <v>9</v>
      </c>
      <c r="P677" s="238" t="str">
        <f>VLOOKUP(_xlfn.CONCAT(Table3[[#This Row],[Target area]],Table3[[#This Row],[GHG target?]],Table3[[#This Row],[Conditionality]]),'Drop down'!$E$81:$F$101,2,FALSE)</f>
        <v>T_Economy_C</v>
      </c>
      <c r="Q677" s="239" t="str">
        <f>VLOOKUP(Table3[[#This Row],[Target type]],Table418[[Value name]:[Value idenifyer]],2,FALSE)</f>
        <v>T_BAU</v>
      </c>
      <c r="S677" s="233" t="s">
        <v>1125</v>
      </c>
      <c r="T677" s="234" t="s">
        <v>1113</v>
      </c>
      <c r="V677" s="233" t="str">
        <f>VLOOKUP(Table3[[#This Row],[Country Code]],Table29[],3,FALSE)</f>
        <v>Non-Annex I</v>
      </c>
      <c r="W677" s="233" t="str">
        <f>VLOOKUP(Table3[[#This Row],[Country Code]],Table29[],4,FALSE)</f>
        <v>Africa</v>
      </c>
      <c r="X677" s="233" t="str">
        <f>VLOOKUP(Table3[[#This Row],[Country Code]],Table29[],5,FALSE)</f>
        <v>High-income</v>
      </c>
      <c r="Y677" s="233" t="str">
        <f>VLOOKUP(Table3[[#This Row],[Country Code]],Table29[],6,FALSE)</f>
        <v>no</v>
      </c>
      <c r="Z677" s="233" t="str">
        <f>VLOOKUP(Table3[[#This Row],[Country Code]],Table29[],7,FALSE)</f>
        <v>no</v>
      </c>
      <c r="AA677" s="233" t="str">
        <f>VLOOKUP(Table3[[#This Row],[Country Code]],Table29[],8,FALSE)</f>
        <v>non-OECD</v>
      </c>
      <c r="AB677" s="233" t="str">
        <f>VLOOKUP(Table3[[#This Row],[Country Code]],Table29[],9,FALSE)</f>
        <v>no</v>
      </c>
      <c r="AC677" s="233" t="str">
        <f>VLOOKUP(Table3[[#This Row],[Country Code]],Table29[],10,FALSE)</f>
        <v>no</v>
      </c>
      <c r="AD677" s="235">
        <f>VLOOKUP(Table3[[#This Row],[Country Code]],Table29[],23,FALSE)</f>
        <v>1.3387084460448999</v>
      </c>
      <c r="AE677" s="235">
        <f>VLOOKUP(Table3[[#This Row],[Country Code]],Table29[],24,FALSE)</f>
        <v>0.72161504168930912</v>
      </c>
      <c r="AF677" s="43"/>
    </row>
    <row r="678" spans="1:32" x14ac:dyDescent="0.25">
      <c r="A678" s="360">
        <v>32505</v>
      </c>
      <c r="B678" s="233" t="str">
        <f>VLOOKUP(Table3[[#This Row],[Document ID]],Table1[],2,FALSE)</f>
        <v>LTU</v>
      </c>
      <c r="C678" s="233" t="str">
        <f>VLOOKUP(Table3[[#This Row],[Document ID]],Table1[],3,FALSE)</f>
        <v>Lithuania</v>
      </c>
      <c r="D678" s="233" t="str">
        <f>VLOOKUP(Table3[[#This Row],[Document ID]],Table1[],5,FALSE)</f>
        <v>LTS</v>
      </c>
      <c r="E678" s="233" t="str">
        <f>VLOOKUP(Table3[[#This Row],[Document ID]],Table1[],7,FALSE)</f>
        <v>EU-LTS</v>
      </c>
      <c r="F678" s="233" t="str">
        <f>VLOOKUP(Table3[[#This Row],[Document ID]],Table1[],8,FALSE)</f>
        <v>LTS 1.0</v>
      </c>
      <c r="G678" s="233" t="str">
        <f>VLOOKUP(Table3[[#This Row],[Document ID]],Table1[],10,FALSE)</f>
        <v>Active</v>
      </c>
      <c r="H678" s="42" t="s">
        <v>1095</v>
      </c>
      <c r="I678" s="43" t="s">
        <v>1115</v>
      </c>
      <c r="J678" s="43" t="s">
        <v>1090</v>
      </c>
      <c r="K678" s="28" t="s">
        <v>1153</v>
      </c>
      <c r="L678" s="389" t="s">
        <v>1099</v>
      </c>
      <c r="M678" s="209">
        <v>2030</v>
      </c>
      <c r="N678" s="209" t="s">
        <v>1790</v>
      </c>
      <c r="O678" s="257">
        <v>21</v>
      </c>
      <c r="P678" s="238" t="str">
        <f>VLOOKUP(_xlfn.CONCAT(Table3[[#This Row],[Target area]],Table3[[#This Row],[GHG target?]],Table3[[#This Row],[Conditionality]]),'Drop down'!$E$81:$F$101,2,FALSE)</f>
        <v>T_Transport_Unc</v>
      </c>
      <c r="Q678" s="239" t="str">
        <f>VLOOKUP(Table3[[#This Row],[Target type]],Table418[[Value name]:[Value idenifyer]],2,FALSE)</f>
        <v>T_BYE</v>
      </c>
      <c r="S678" s="233" t="s">
        <v>1125</v>
      </c>
      <c r="T678" s="234" t="s">
        <v>1113</v>
      </c>
      <c r="V678" s="233" t="str">
        <f>VLOOKUP(Table3[[#This Row],[Country Code]],Table29[],3,FALSE)</f>
        <v>Annex I</v>
      </c>
      <c r="W678" s="233" t="str">
        <f>VLOOKUP(Table3[[#This Row],[Country Code]],Table29[],4,FALSE)</f>
        <v>Europe</v>
      </c>
      <c r="X678" s="233" t="str">
        <f>VLOOKUP(Table3[[#This Row],[Country Code]],Table29[],5,FALSE)</f>
        <v>High-income</v>
      </c>
      <c r="Y678" s="233" t="str">
        <f>VLOOKUP(Table3[[#This Row],[Country Code]],Table29[],6,FALSE)</f>
        <v>no</v>
      </c>
      <c r="Z678" s="233" t="str">
        <f>VLOOKUP(Table3[[#This Row],[Country Code]],Table29[],7,FALSE)</f>
        <v>no</v>
      </c>
      <c r="AA678" s="233" t="str">
        <f>VLOOKUP(Table3[[#This Row],[Country Code]],Table29[],8,FALSE)</f>
        <v>OECD</v>
      </c>
      <c r="AB678" s="233" t="str">
        <f>VLOOKUP(Table3[[#This Row],[Country Code]],Table29[],9,FALSE)</f>
        <v>EU27</v>
      </c>
      <c r="AC678" s="233" t="str">
        <f>VLOOKUP(Table3[[#This Row],[Country Code]],Table29[],10,FALSE)</f>
        <v>no</v>
      </c>
      <c r="AD678" s="235">
        <f>VLOOKUP(Table3[[#This Row],[Country Code]],Table29[],23,FALSE)</f>
        <v>20.683656998446001</v>
      </c>
      <c r="AE678" s="235">
        <f>VLOOKUP(Table3[[#This Row],[Country Code]],Table29[],24,FALSE)</f>
        <v>6.2808070704944967</v>
      </c>
      <c r="AF678" s="43"/>
    </row>
    <row r="679" spans="1:32" x14ac:dyDescent="0.25">
      <c r="A679" s="360">
        <v>32505</v>
      </c>
      <c r="B679" s="233" t="str">
        <f>VLOOKUP(Table3[[#This Row],[Document ID]],Table1[],2,FALSE)</f>
        <v>LTU</v>
      </c>
      <c r="C679" s="233" t="str">
        <f>VLOOKUP(Table3[[#This Row],[Document ID]],Table1[],3,FALSE)</f>
        <v>Lithuania</v>
      </c>
      <c r="D679" s="233" t="str">
        <f>VLOOKUP(Table3[[#This Row],[Document ID]],Table1[],5,FALSE)</f>
        <v>LTS</v>
      </c>
      <c r="E679" s="233" t="str">
        <f>VLOOKUP(Table3[[#This Row],[Document ID]],Table1[],7,FALSE)</f>
        <v>EU-LTS</v>
      </c>
      <c r="F679" s="233" t="str">
        <f>VLOOKUP(Table3[[#This Row],[Document ID]],Table1[],8,FALSE)</f>
        <v>LTS 1.0</v>
      </c>
      <c r="G679" s="233" t="str">
        <f>VLOOKUP(Table3[[#This Row],[Document ID]],Table1[],10,FALSE)</f>
        <v>Active</v>
      </c>
      <c r="H679" s="42" t="s">
        <v>1095</v>
      </c>
      <c r="I679" s="43" t="s">
        <v>1115</v>
      </c>
      <c r="J679" s="43" t="s">
        <v>1090</v>
      </c>
      <c r="K679" s="28" t="s">
        <v>1153</v>
      </c>
      <c r="L679" s="389" t="s">
        <v>1099</v>
      </c>
      <c r="M679" s="209">
        <v>2050</v>
      </c>
      <c r="N679" s="209" t="s">
        <v>1791</v>
      </c>
      <c r="O679" s="258">
        <v>23</v>
      </c>
      <c r="P679" s="238" t="str">
        <f>VLOOKUP(_xlfn.CONCAT(Table3[[#This Row],[Target area]],Table3[[#This Row],[GHG target?]],Table3[[#This Row],[Conditionality]]),'Drop down'!$E$81:$F$101,2,FALSE)</f>
        <v>T_Transport_Unc</v>
      </c>
      <c r="Q679" s="239" t="str">
        <f>VLOOKUP(Table3[[#This Row],[Target type]],Table418[[Value name]:[Value idenifyer]],2,FALSE)</f>
        <v>T_BYE</v>
      </c>
      <c r="S679" s="233" t="s">
        <v>1125</v>
      </c>
      <c r="T679" s="234" t="s">
        <v>1113</v>
      </c>
      <c r="V679" s="233" t="str">
        <f>VLOOKUP(Table3[[#This Row],[Country Code]],Table29[],3,FALSE)</f>
        <v>Annex I</v>
      </c>
      <c r="W679" s="233" t="str">
        <f>VLOOKUP(Table3[[#This Row],[Country Code]],Table29[],4,FALSE)</f>
        <v>Europe</v>
      </c>
      <c r="X679" s="233" t="str">
        <f>VLOOKUP(Table3[[#This Row],[Country Code]],Table29[],5,FALSE)</f>
        <v>High-income</v>
      </c>
      <c r="Y679" s="233" t="str">
        <f>VLOOKUP(Table3[[#This Row],[Country Code]],Table29[],6,FALSE)</f>
        <v>no</v>
      </c>
      <c r="Z679" s="233" t="str">
        <f>VLOOKUP(Table3[[#This Row],[Country Code]],Table29[],7,FALSE)</f>
        <v>no</v>
      </c>
      <c r="AA679" s="233" t="str">
        <f>VLOOKUP(Table3[[#This Row],[Country Code]],Table29[],8,FALSE)</f>
        <v>OECD</v>
      </c>
      <c r="AB679" s="233" t="str">
        <f>VLOOKUP(Table3[[#This Row],[Country Code]],Table29[],9,FALSE)</f>
        <v>EU27</v>
      </c>
      <c r="AC679" s="233" t="str">
        <f>VLOOKUP(Table3[[#This Row],[Country Code]],Table29[],10,FALSE)</f>
        <v>no</v>
      </c>
      <c r="AD679" s="235">
        <f>VLOOKUP(Table3[[#This Row],[Country Code]],Table29[],23,FALSE)</f>
        <v>20.683656998446001</v>
      </c>
      <c r="AE679" s="235">
        <f>VLOOKUP(Table3[[#This Row],[Country Code]],Table29[],24,FALSE)</f>
        <v>6.2808070704944967</v>
      </c>
      <c r="AF679" s="43"/>
    </row>
    <row r="680" spans="1:32" ht="30" x14ac:dyDescent="0.25">
      <c r="A680" s="360">
        <v>32505</v>
      </c>
      <c r="B680" s="233" t="str">
        <f>VLOOKUP(Table3[[#This Row],[Document ID]],Table1[],2,FALSE)</f>
        <v>LTU</v>
      </c>
      <c r="C680" s="233" t="str">
        <f>VLOOKUP(Table3[[#This Row],[Document ID]],Table1[],3,FALSE)</f>
        <v>Lithuania</v>
      </c>
      <c r="D680" s="233" t="str">
        <f>VLOOKUP(Table3[[#This Row],[Document ID]],Table1[],5,FALSE)</f>
        <v>LTS</v>
      </c>
      <c r="E680" s="233" t="str">
        <f>VLOOKUP(Table3[[#This Row],[Document ID]],Table1[],7,FALSE)</f>
        <v>EU-LTS</v>
      </c>
      <c r="F680" s="233" t="str">
        <f>VLOOKUP(Table3[[#This Row],[Document ID]],Table1[],8,FALSE)</f>
        <v>LTS 1.0</v>
      </c>
      <c r="G680" s="233" t="str">
        <f>VLOOKUP(Table3[[#This Row],[Document ID]],Table1[],10,FALSE)</f>
        <v>Active</v>
      </c>
      <c r="H680" s="42" t="s">
        <v>1095</v>
      </c>
      <c r="I680" s="42" t="s">
        <v>1096</v>
      </c>
      <c r="J680" s="42" t="s">
        <v>1097</v>
      </c>
      <c r="K680" s="28" t="s">
        <v>1137</v>
      </c>
      <c r="L680" s="389" t="s">
        <v>1099</v>
      </c>
      <c r="M680" s="209">
        <v>2030</v>
      </c>
      <c r="N680" s="209" t="s">
        <v>1792</v>
      </c>
      <c r="O680" s="257">
        <v>22</v>
      </c>
      <c r="P680" s="238" t="str">
        <f>VLOOKUP(_xlfn.CONCAT(Table3[[#This Row],[Target area]],Table3[[#This Row],[GHG target?]],Table3[[#This Row],[Conditionality]]),'Drop down'!$E$81:$F$101,2,FALSE)</f>
        <v>T_Transport_O_Unc</v>
      </c>
      <c r="Q680" s="239" t="str">
        <f>VLOOKUP(Table3[[#This Row],[Target type]],Table418[[Value name]:[Value idenifyer]],2,FALSE)</f>
        <v>T_O_EFF</v>
      </c>
      <c r="S680" s="233" t="s">
        <v>1125</v>
      </c>
      <c r="T680" s="234" t="s">
        <v>1113</v>
      </c>
      <c r="V680" s="233" t="str">
        <f>VLOOKUP(Table3[[#This Row],[Country Code]],Table29[],3,FALSE)</f>
        <v>Annex I</v>
      </c>
      <c r="W680" s="233" t="str">
        <f>VLOOKUP(Table3[[#This Row],[Country Code]],Table29[],4,FALSE)</f>
        <v>Europe</v>
      </c>
      <c r="X680" s="233" t="str">
        <f>VLOOKUP(Table3[[#This Row],[Country Code]],Table29[],5,FALSE)</f>
        <v>High-income</v>
      </c>
      <c r="Y680" s="233" t="str">
        <f>VLOOKUP(Table3[[#This Row],[Country Code]],Table29[],6,FALSE)</f>
        <v>no</v>
      </c>
      <c r="Z680" s="233" t="str">
        <f>VLOOKUP(Table3[[#This Row],[Country Code]],Table29[],7,FALSE)</f>
        <v>no</v>
      </c>
      <c r="AA680" s="233" t="str">
        <f>VLOOKUP(Table3[[#This Row],[Country Code]],Table29[],8,FALSE)</f>
        <v>OECD</v>
      </c>
      <c r="AB680" s="233" t="str">
        <f>VLOOKUP(Table3[[#This Row],[Country Code]],Table29[],9,FALSE)</f>
        <v>EU27</v>
      </c>
      <c r="AC680" s="233" t="str">
        <f>VLOOKUP(Table3[[#This Row],[Country Code]],Table29[],10,FALSE)</f>
        <v>no</v>
      </c>
      <c r="AD680" s="235">
        <f>VLOOKUP(Table3[[#This Row],[Country Code]],Table29[],23,FALSE)</f>
        <v>20.683656998446001</v>
      </c>
      <c r="AE680" s="235">
        <f>VLOOKUP(Table3[[#This Row],[Country Code]],Table29[],24,FALSE)</f>
        <v>6.2808070704944967</v>
      </c>
      <c r="AF680" s="43"/>
    </row>
    <row r="681" spans="1:32" ht="30" x14ac:dyDescent="0.25">
      <c r="A681" s="360">
        <v>32505</v>
      </c>
      <c r="B681" s="233" t="str">
        <f>VLOOKUP(Table3[[#This Row],[Document ID]],Table1[],2,FALSE)</f>
        <v>LTU</v>
      </c>
      <c r="C681" s="233" t="str">
        <f>VLOOKUP(Table3[[#This Row],[Document ID]],Table1[],3,FALSE)</f>
        <v>Lithuania</v>
      </c>
      <c r="D681" s="233" t="str">
        <f>VLOOKUP(Table3[[#This Row],[Document ID]],Table1[],5,FALSE)</f>
        <v>LTS</v>
      </c>
      <c r="E681" s="233" t="str">
        <f>VLOOKUP(Table3[[#This Row],[Document ID]],Table1[],7,FALSE)</f>
        <v>EU-LTS</v>
      </c>
      <c r="F681" s="233" t="str">
        <f>VLOOKUP(Table3[[#This Row],[Document ID]],Table1[],8,FALSE)</f>
        <v>LTS 1.0</v>
      </c>
      <c r="G681" s="233" t="str">
        <f>VLOOKUP(Table3[[#This Row],[Document ID]],Table1[],10,FALSE)</f>
        <v>Active</v>
      </c>
      <c r="H681" s="42" t="s">
        <v>1095</v>
      </c>
      <c r="I681" s="42" t="s">
        <v>1096</v>
      </c>
      <c r="J681" s="42" t="s">
        <v>1097</v>
      </c>
      <c r="K681" s="28" t="s">
        <v>1223</v>
      </c>
      <c r="L681" s="389" t="s">
        <v>1099</v>
      </c>
      <c r="M681" s="209">
        <v>2030</v>
      </c>
      <c r="N681" s="209" t="s">
        <v>1793</v>
      </c>
      <c r="O681" s="257">
        <v>22</v>
      </c>
      <c r="P681" s="238" t="str">
        <f>VLOOKUP(_xlfn.CONCAT(Table3[[#This Row],[Target area]],Table3[[#This Row],[GHG target?]],Table3[[#This Row],[Conditionality]]),'Drop down'!$E$81:$F$101,2,FALSE)</f>
        <v>T_Transport_O_Unc</v>
      </c>
      <c r="Q681" s="239" t="str">
        <f>VLOOKUP(Table3[[#This Row],[Target type]],Table418[[Value name]:[Value idenifyer]],2,FALSE)</f>
        <v>T_O_REN</v>
      </c>
      <c r="S681" s="233" t="s">
        <v>1125</v>
      </c>
      <c r="T681" s="234" t="s">
        <v>1113</v>
      </c>
      <c r="V681" s="233" t="str">
        <f>VLOOKUP(Table3[[#This Row],[Country Code]],Table29[],3,FALSE)</f>
        <v>Annex I</v>
      </c>
      <c r="W681" s="233" t="str">
        <f>VLOOKUP(Table3[[#This Row],[Country Code]],Table29[],4,FALSE)</f>
        <v>Europe</v>
      </c>
      <c r="X681" s="233" t="str">
        <f>VLOOKUP(Table3[[#This Row],[Country Code]],Table29[],5,FALSE)</f>
        <v>High-income</v>
      </c>
      <c r="Y681" s="233" t="str">
        <f>VLOOKUP(Table3[[#This Row],[Country Code]],Table29[],6,FALSE)</f>
        <v>no</v>
      </c>
      <c r="Z681" s="233" t="str">
        <f>VLOOKUP(Table3[[#This Row],[Country Code]],Table29[],7,FALSE)</f>
        <v>no</v>
      </c>
      <c r="AA681" s="233" t="str">
        <f>VLOOKUP(Table3[[#This Row],[Country Code]],Table29[],8,FALSE)</f>
        <v>OECD</v>
      </c>
      <c r="AB681" s="233" t="str">
        <f>VLOOKUP(Table3[[#This Row],[Country Code]],Table29[],9,FALSE)</f>
        <v>EU27</v>
      </c>
      <c r="AC681" s="233" t="str">
        <f>VLOOKUP(Table3[[#This Row],[Country Code]],Table29[],10,FALSE)</f>
        <v>no</v>
      </c>
      <c r="AD681" s="235">
        <f>VLOOKUP(Table3[[#This Row],[Country Code]],Table29[],23,FALSE)</f>
        <v>20.683656998446001</v>
      </c>
      <c r="AE681" s="235">
        <f>VLOOKUP(Table3[[#This Row],[Country Code]],Table29[],24,FALSE)</f>
        <v>6.2808070704944967</v>
      </c>
      <c r="AF681" s="43"/>
    </row>
    <row r="682" spans="1:32" ht="30" x14ac:dyDescent="0.25">
      <c r="A682" s="360">
        <v>32505</v>
      </c>
      <c r="B682" s="233" t="str">
        <f>VLOOKUP(Table3[[#This Row],[Document ID]],Table1[],2,FALSE)</f>
        <v>LTU</v>
      </c>
      <c r="C682" s="233" t="str">
        <f>VLOOKUP(Table3[[#This Row],[Document ID]],Table1[],3,FALSE)</f>
        <v>Lithuania</v>
      </c>
      <c r="D682" s="233" t="str">
        <f>VLOOKUP(Table3[[#This Row],[Document ID]],Table1[],5,FALSE)</f>
        <v>LTS</v>
      </c>
      <c r="E682" s="233" t="str">
        <f>VLOOKUP(Table3[[#This Row],[Document ID]],Table1[],7,FALSE)</f>
        <v>EU-LTS</v>
      </c>
      <c r="F682" s="233" t="str">
        <f>VLOOKUP(Table3[[#This Row],[Document ID]],Table1[],8,FALSE)</f>
        <v>LTS 1.0</v>
      </c>
      <c r="G682" s="233" t="str">
        <f>VLOOKUP(Table3[[#This Row],[Document ID]],Table1[],10,FALSE)</f>
        <v>Active</v>
      </c>
      <c r="H682" s="42" t="s">
        <v>1095</v>
      </c>
      <c r="I682" s="42" t="s">
        <v>1096</v>
      </c>
      <c r="J682" s="42" t="s">
        <v>1097</v>
      </c>
      <c r="K682" s="28" t="s">
        <v>1397</v>
      </c>
      <c r="L682" s="389" t="s">
        <v>1099</v>
      </c>
      <c r="M682" s="209">
        <v>2030</v>
      </c>
      <c r="N682" s="209" t="s">
        <v>1794</v>
      </c>
      <c r="O682" s="257">
        <v>22</v>
      </c>
      <c r="P682" s="238" t="str">
        <f>VLOOKUP(_xlfn.CONCAT(Table3[[#This Row],[Target area]],Table3[[#This Row],[GHG target?]],Table3[[#This Row],[Conditionality]]),'Drop down'!$E$81:$F$101,2,FALSE)</f>
        <v>T_Transport_O_Unc</v>
      </c>
      <c r="Q682" s="239" t="str">
        <f>VLOOKUP(Table3[[#This Row],[Target type]],Table418[[Value name]:[Value idenifyer]],2,FALSE)</f>
        <v>T_O_Other</v>
      </c>
      <c r="S682" s="233" t="s">
        <v>1125</v>
      </c>
      <c r="T682" s="234" t="s">
        <v>1113</v>
      </c>
      <c r="V682" s="233" t="str">
        <f>VLOOKUP(Table3[[#This Row],[Country Code]],Table29[],3,FALSE)</f>
        <v>Annex I</v>
      </c>
      <c r="W682" s="233" t="str">
        <f>VLOOKUP(Table3[[#This Row],[Country Code]],Table29[],4,FALSE)</f>
        <v>Europe</v>
      </c>
      <c r="X682" s="233" t="str">
        <f>VLOOKUP(Table3[[#This Row],[Country Code]],Table29[],5,FALSE)</f>
        <v>High-income</v>
      </c>
      <c r="Y682" s="233" t="str">
        <f>VLOOKUP(Table3[[#This Row],[Country Code]],Table29[],6,FALSE)</f>
        <v>no</v>
      </c>
      <c r="Z682" s="233" t="str">
        <f>VLOOKUP(Table3[[#This Row],[Country Code]],Table29[],7,FALSE)</f>
        <v>no</v>
      </c>
      <c r="AA682" s="233" t="str">
        <f>VLOOKUP(Table3[[#This Row],[Country Code]],Table29[],8,FALSE)</f>
        <v>OECD</v>
      </c>
      <c r="AB682" s="233" t="str">
        <f>VLOOKUP(Table3[[#This Row],[Country Code]],Table29[],9,FALSE)</f>
        <v>EU27</v>
      </c>
      <c r="AC682" s="233" t="str">
        <f>VLOOKUP(Table3[[#This Row],[Country Code]],Table29[],10,FALSE)</f>
        <v>no</v>
      </c>
      <c r="AD682" s="235">
        <f>VLOOKUP(Table3[[#This Row],[Country Code]],Table29[],23,FALSE)</f>
        <v>20.683656998446001</v>
      </c>
      <c r="AE682" s="235">
        <f>VLOOKUP(Table3[[#This Row],[Country Code]],Table29[],24,FALSE)</f>
        <v>6.2808070704944967</v>
      </c>
      <c r="AF682" s="43"/>
    </row>
    <row r="683" spans="1:32" ht="30" x14ac:dyDescent="0.25">
      <c r="A683" s="360">
        <v>32505</v>
      </c>
      <c r="B683" s="233" t="str">
        <f>VLOOKUP(Table3[[#This Row],[Document ID]],Table1[],2,FALSE)</f>
        <v>LTU</v>
      </c>
      <c r="C683" s="233" t="str">
        <f>VLOOKUP(Table3[[#This Row],[Document ID]],Table1[],3,FALSE)</f>
        <v>Lithuania</v>
      </c>
      <c r="D683" s="233" t="str">
        <f>VLOOKUP(Table3[[#This Row],[Document ID]],Table1[],5,FALSE)</f>
        <v>LTS</v>
      </c>
      <c r="E683" s="233" t="str">
        <f>VLOOKUP(Table3[[#This Row],[Document ID]],Table1[],7,FALSE)</f>
        <v>EU-LTS</v>
      </c>
      <c r="F683" s="233" t="str">
        <f>VLOOKUP(Table3[[#This Row],[Document ID]],Table1[],8,FALSE)</f>
        <v>LTS 1.0</v>
      </c>
      <c r="G683" s="233" t="str">
        <f>VLOOKUP(Table3[[#This Row],[Document ID]],Table1[],10,FALSE)</f>
        <v>Active</v>
      </c>
      <c r="H683" s="42" t="s">
        <v>1095</v>
      </c>
      <c r="I683" s="42" t="s">
        <v>1096</v>
      </c>
      <c r="J683" s="42" t="s">
        <v>1097</v>
      </c>
      <c r="K683" s="28" t="s">
        <v>1223</v>
      </c>
      <c r="L683" s="42" t="s">
        <v>1099</v>
      </c>
      <c r="M683" s="209">
        <v>2030</v>
      </c>
      <c r="N683" s="209" t="s">
        <v>1795</v>
      </c>
      <c r="O683" s="257">
        <v>22</v>
      </c>
      <c r="P683" s="238" t="str">
        <f>VLOOKUP(_xlfn.CONCAT(Table3[[#This Row],[Target area]],Table3[[#This Row],[GHG target?]],Table3[[#This Row],[Conditionality]]),'Drop down'!$E$81:$F$101,2,FALSE)</f>
        <v>T_Transport_O_Unc</v>
      </c>
      <c r="Q683" s="239" t="str">
        <f>VLOOKUP(Table3[[#This Row],[Target type]],Table418[[Value name]:[Value idenifyer]],2,FALSE)</f>
        <v>T_O_REN</v>
      </c>
      <c r="S683" s="233" t="s">
        <v>1125</v>
      </c>
      <c r="T683" s="234" t="s">
        <v>1113</v>
      </c>
      <c r="V683" s="233" t="str">
        <f>VLOOKUP(Table3[[#This Row],[Country Code]],Table29[],3,FALSE)</f>
        <v>Annex I</v>
      </c>
      <c r="W683" s="233" t="str">
        <f>VLOOKUP(Table3[[#This Row],[Country Code]],Table29[],4,FALSE)</f>
        <v>Europe</v>
      </c>
      <c r="X683" s="233" t="str">
        <f>VLOOKUP(Table3[[#This Row],[Country Code]],Table29[],5,FALSE)</f>
        <v>High-income</v>
      </c>
      <c r="Y683" s="233" t="str">
        <f>VLOOKUP(Table3[[#This Row],[Country Code]],Table29[],6,FALSE)</f>
        <v>no</v>
      </c>
      <c r="Z683" s="233" t="str">
        <f>VLOOKUP(Table3[[#This Row],[Country Code]],Table29[],7,FALSE)</f>
        <v>no</v>
      </c>
      <c r="AA683" s="233" t="str">
        <f>VLOOKUP(Table3[[#This Row],[Country Code]],Table29[],8,FALSE)</f>
        <v>OECD</v>
      </c>
      <c r="AB683" s="233" t="str">
        <f>VLOOKUP(Table3[[#This Row],[Country Code]],Table29[],9,FALSE)</f>
        <v>EU27</v>
      </c>
      <c r="AC683" s="233" t="str">
        <f>VLOOKUP(Table3[[#This Row],[Country Code]],Table29[],10,FALSE)</f>
        <v>no</v>
      </c>
      <c r="AD683" s="235">
        <f>VLOOKUP(Table3[[#This Row],[Country Code]],Table29[],23,FALSE)</f>
        <v>20.683656998446001</v>
      </c>
      <c r="AE683" s="235">
        <f>VLOOKUP(Table3[[#This Row],[Country Code]],Table29[],24,FALSE)</f>
        <v>6.2808070704944967</v>
      </c>
      <c r="AF683" s="43"/>
    </row>
    <row r="684" spans="1:32" ht="30" x14ac:dyDescent="0.25">
      <c r="A684" s="360">
        <v>17729</v>
      </c>
      <c r="B684" s="233" t="str">
        <f>VLOOKUP(Table3[[#This Row],[Document ID]],Table1[],2,FALSE)</f>
        <v>SYC</v>
      </c>
      <c r="C684" s="233" t="str">
        <f>VLOOKUP(Table3[[#This Row],[Document ID]],Table1[],3,FALSE)</f>
        <v>Seychelles</v>
      </c>
      <c r="D684" s="233" t="str">
        <f>VLOOKUP(Table3[[#This Row],[Document ID]],Table1[],5,FALSE)</f>
        <v>NDC</v>
      </c>
      <c r="E684" s="233" t="str">
        <f>VLOOKUP(Table3[[#This Row],[Document ID]],Table1[],7,FALSE)</f>
        <v>First NDC</v>
      </c>
      <c r="F684" s="233" t="str">
        <f>VLOOKUP(Table3[[#This Row],[Document ID]],Table1[],8,FALSE)</f>
        <v>NDC 1.0</v>
      </c>
      <c r="G684" s="233" t="str">
        <f>VLOOKUP(Table3[[#This Row],[Document ID]],Table1[],10,FALSE)</f>
        <v>Archived</v>
      </c>
      <c r="H684" s="216" t="s">
        <v>1089</v>
      </c>
      <c r="I684" s="216" t="s">
        <v>1089</v>
      </c>
      <c r="J684" s="43" t="s">
        <v>1090</v>
      </c>
      <c r="K684" s="28" t="s">
        <v>1091</v>
      </c>
      <c r="L684" s="216" t="s">
        <v>1092</v>
      </c>
      <c r="M684" s="209">
        <v>2025</v>
      </c>
      <c r="N684" s="176" t="s">
        <v>1796</v>
      </c>
      <c r="O684" s="258" t="s">
        <v>1094</v>
      </c>
      <c r="P684" s="238" t="str">
        <f>VLOOKUP(_xlfn.CONCAT(Table3[[#This Row],[Target area]],Table3[[#This Row],[GHG target?]],Table3[[#This Row],[Conditionality]]),'Drop down'!$E$81:$F$101,2,FALSE)</f>
        <v>T_Economy_C</v>
      </c>
      <c r="Q684" s="239" t="str">
        <f>VLOOKUP(Table3[[#This Row],[Target type]],Table418[[Value name]:[Value idenifyer]],2,FALSE)</f>
        <v>T_BAU</v>
      </c>
      <c r="S684" s="233" t="s">
        <v>1125</v>
      </c>
      <c r="T684" s="234" t="s">
        <v>1113</v>
      </c>
      <c r="V684" s="233" t="str">
        <f>VLOOKUP(Table3[[#This Row],[Country Code]],Table29[],3,FALSE)</f>
        <v>Non-Annex I</v>
      </c>
      <c r="W684" s="233" t="str">
        <f>VLOOKUP(Table3[[#This Row],[Country Code]],Table29[],4,FALSE)</f>
        <v>Africa</v>
      </c>
      <c r="X684" s="233" t="str">
        <f>VLOOKUP(Table3[[#This Row],[Country Code]],Table29[],5,FALSE)</f>
        <v>High-income</v>
      </c>
      <c r="Y684" s="233" t="str">
        <f>VLOOKUP(Table3[[#This Row],[Country Code]],Table29[],6,FALSE)</f>
        <v>no</v>
      </c>
      <c r="Z684" s="233" t="str">
        <f>VLOOKUP(Table3[[#This Row],[Country Code]],Table29[],7,FALSE)</f>
        <v>no</v>
      </c>
      <c r="AA684" s="233" t="str">
        <f>VLOOKUP(Table3[[#This Row],[Country Code]],Table29[],8,FALSE)</f>
        <v>non-OECD</v>
      </c>
      <c r="AB684" s="233" t="str">
        <f>VLOOKUP(Table3[[#This Row],[Country Code]],Table29[],9,FALSE)</f>
        <v>no</v>
      </c>
      <c r="AC684" s="233" t="str">
        <f>VLOOKUP(Table3[[#This Row],[Country Code]],Table29[],10,FALSE)</f>
        <v>no</v>
      </c>
      <c r="AD684" s="235">
        <f>VLOOKUP(Table3[[#This Row],[Country Code]],Table29[],23,FALSE)</f>
        <v>1.3387084460448999</v>
      </c>
      <c r="AE684" s="235">
        <f>VLOOKUP(Table3[[#This Row],[Country Code]],Table29[],24,FALSE)</f>
        <v>0.72161504168930912</v>
      </c>
      <c r="AF684" s="43"/>
    </row>
    <row r="685" spans="1:32" x14ac:dyDescent="0.25">
      <c r="A685" s="360">
        <v>32505</v>
      </c>
      <c r="B685" s="233" t="str">
        <f>VLOOKUP(Table3[[#This Row],[Document ID]],Table1[],2,FALSE)</f>
        <v>LTU</v>
      </c>
      <c r="C685" s="233" t="str">
        <f>VLOOKUP(Table3[[#This Row],[Document ID]],Table1[],3,FALSE)</f>
        <v>Lithuania</v>
      </c>
      <c r="D685" s="233" t="str">
        <f>VLOOKUP(Table3[[#This Row],[Document ID]],Table1[],5,FALSE)</f>
        <v>LTS</v>
      </c>
      <c r="E685" s="233" t="str">
        <f>VLOOKUP(Table3[[#This Row],[Document ID]],Table1[],7,FALSE)</f>
        <v>EU-LTS</v>
      </c>
      <c r="F685" s="233" t="str">
        <f>VLOOKUP(Table3[[#This Row],[Document ID]],Table1[],8,FALSE)</f>
        <v>LTS 1.0</v>
      </c>
      <c r="G685" s="233" t="str">
        <f>VLOOKUP(Table3[[#This Row],[Document ID]],Table1[],10,FALSE)</f>
        <v>Active</v>
      </c>
      <c r="H685" s="42" t="s">
        <v>1095</v>
      </c>
      <c r="I685" s="42" t="s">
        <v>1096</v>
      </c>
      <c r="J685" s="42" t="s">
        <v>1097</v>
      </c>
      <c r="K685" s="28" t="s">
        <v>1098</v>
      </c>
      <c r="L685" s="389" t="s">
        <v>1099</v>
      </c>
      <c r="M685" s="209">
        <v>2030</v>
      </c>
      <c r="N685" s="209" t="s">
        <v>1797</v>
      </c>
      <c r="O685" s="257">
        <v>22</v>
      </c>
      <c r="P685" s="238" t="str">
        <f>VLOOKUP(_xlfn.CONCAT(Table3[[#This Row],[Target area]],Table3[[#This Row],[GHG target?]],Table3[[#This Row],[Conditionality]]),'Drop down'!$E$81:$F$101,2,FALSE)</f>
        <v>T_Transport_O_Unc</v>
      </c>
      <c r="Q685" s="239" t="str">
        <f>VLOOKUP(Table3[[#This Row],[Target type]],Table418[[Value name]:[Value idenifyer]],2,FALSE)</f>
        <v>T_O_MODE</v>
      </c>
      <c r="S685" s="233" t="s">
        <v>1125</v>
      </c>
      <c r="T685" s="234" t="s">
        <v>1113</v>
      </c>
      <c r="V685" s="233" t="str">
        <f>VLOOKUP(Table3[[#This Row],[Country Code]],Table29[],3,FALSE)</f>
        <v>Annex I</v>
      </c>
      <c r="W685" s="233" t="str">
        <f>VLOOKUP(Table3[[#This Row],[Country Code]],Table29[],4,FALSE)</f>
        <v>Europe</v>
      </c>
      <c r="X685" s="233" t="str">
        <f>VLOOKUP(Table3[[#This Row],[Country Code]],Table29[],5,FALSE)</f>
        <v>High-income</v>
      </c>
      <c r="Y685" s="233" t="str">
        <f>VLOOKUP(Table3[[#This Row],[Country Code]],Table29[],6,FALSE)</f>
        <v>no</v>
      </c>
      <c r="Z685" s="233" t="str">
        <f>VLOOKUP(Table3[[#This Row],[Country Code]],Table29[],7,FALSE)</f>
        <v>no</v>
      </c>
      <c r="AA685" s="233" t="str">
        <f>VLOOKUP(Table3[[#This Row],[Country Code]],Table29[],8,FALSE)</f>
        <v>OECD</v>
      </c>
      <c r="AB685" s="233" t="str">
        <f>VLOOKUP(Table3[[#This Row],[Country Code]],Table29[],9,FALSE)</f>
        <v>EU27</v>
      </c>
      <c r="AC685" s="233" t="str">
        <f>VLOOKUP(Table3[[#This Row],[Country Code]],Table29[],10,FALSE)</f>
        <v>no</v>
      </c>
      <c r="AD685" s="235">
        <f>VLOOKUP(Table3[[#This Row],[Country Code]],Table29[],23,FALSE)</f>
        <v>20.683656998446001</v>
      </c>
      <c r="AE685" s="235">
        <f>VLOOKUP(Table3[[#This Row],[Country Code]],Table29[],24,FALSE)</f>
        <v>6.2808070704944967</v>
      </c>
      <c r="AF685" s="43"/>
    </row>
    <row r="686" spans="1:32" ht="30" x14ac:dyDescent="0.25">
      <c r="A686" s="360">
        <v>21385</v>
      </c>
      <c r="B686" s="233" t="str">
        <f>VLOOKUP(Table3[[#This Row],[Document ID]],Table1[],2,FALSE)</f>
        <v>SLE</v>
      </c>
      <c r="C686" s="233" t="str">
        <f>VLOOKUP(Table3[[#This Row],[Document ID]],Table1[],3,FALSE)</f>
        <v>Sierra Leone</v>
      </c>
      <c r="D686" s="233" t="str">
        <f>VLOOKUP(Table3[[#This Row],[Document ID]],Table1[],5,FALSE)</f>
        <v>NDC</v>
      </c>
      <c r="E686" s="233" t="str">
        <f>VLOOKUP(Table3[[#This Row],[Document ID]],Table1[],7,FALSE)</f>
        <v>First NDC updated</v>
      </c>
      <c r="F686" s="233" t="str">
        <f>VLOOKUP(Table3[[#This Row],[Document ID]],Table1[],8,FALSE)</f>
        <v>NDC 1.1</v>
      </c>
      <c r="G686" s="233" t="str">
        <f>VLOOKUP(Table3[[#This Row],[Document ID]],Table1[],10,FALSE)</f>
        <v>Active</v>
      </c>
      <c r="H686" s="216" t="s">
        <v>1089</v>
      </c>
      <c r="I686" s="216" t="s">
        <v>1089</v>
      </c>
      <c r="J686" s="43" t="s">
        <v>1090</v>
      </c>
      <c r="K686" s="28" t="s">
        <v>1091</v>
      </c>
      <c r="L686" s="42" t="s">
        <v>1099</v>
      </c>
      <c r="M686" s="209">
        <v>2030</v>
      </c>
      <c r="N686" s="209" t="s">
        <v>1798</v>
      </c>
      <c r="O686" s="257">
        <v>22</v>
      </c>
      <c r="P686" s="238" t="str">
        <f>VLOOKUP(_xlfn.CONCAT(Table3[[#This Row],[Target area]],Table3[[#This Row],[GHG target?]],Table3[[#This Row],[Conditionality]]),'Drop down'!$E$81:$F$101,2,FALSE)</f>
        <v>T_Economy_Unc</v>
      </c>
      <c r="Q686" s="239" t="str">
        <f>VLOOKUP(Table3[[#This Row],[Target type]],Table418[[Value name]:[Value idenifyer]],2,FALSE)</f>
        <v>T_BAU</v>
      </c>
      <c r="V686" s="233" t="str">
        <f>VLOOKUP(Table3[[#This Row],[Country Code]],Table29[],3,FALSE)</f>
        <v>Non-Annex I</v>
      </c>
      <c r="W686" s="233" t="str">
        <f>VLOOKUP(Table3[[#This Row],[Country Code]],Table29[],4,FALSE)</f>
        <v>Africa</v>
      </c>
      <c r="X686" s="233" t="str">
        <f>VLOOKUP(Table3[[#This Row],[Country Code]],Table29[],5,FALSE)</f>
        <v>Low-income</v>
      </c>
      <c r="Y686" s="233" t="str">
        <f>VLOOKUP(Table3[[#This Row],[Country Code]],Table29[],6,FALSE)</f>
        <v>no</v>
      </c>
      <c r="Z686" s="233" t="str">
        <f>VLOOKUP(Table3[[#This Row],[Country Code]],Table29[],7,FALSE)</f>
        <v>no</v>
      </c>
      <c r="AA686" s="233" t="str">
        <f>VLOOKUP(Table3[[#This Row],[Country Code]],Table29[],8,FALSE)</f>
        <v>non-OECD</v>
      </c>
      <c r="AB686" s="233" t="str">
        <f>VLOOKUP(Table3[[#This Row],[Country Code]],Table29[],9,FALSE)</f>
        <v>no</v>
      </c>
      <c r="AC686" s="233" t="str">
        <f>VLOOKUP(Table3[[#This Row],[Country Code]],Table29[],10,FALSE)</f>
        <v>no</v>
      </c>
      <c r="AD686" s="235">
        <f>VLOOKUP(Table3[[#This Row],[Country Code]],Table29[],23,FALSE)</f>
        <v>6.9377160598997998</v>
      </c>
      <c r="AE686" s="235">
        <f>VLOOKUP(Table3[[#This Row],[Country Code]],Table29[],24,FALSE)</f>
        <v>0.537288258748986</v>
      </c>
      <c r="AF686" s="43"/>
    </row>
    <row r="687" spans="1:32" x14ac:dyDescent="0.25">
      <c r="A687" s="360">
        <v>17730</v>
      </c>
      <c r="B687" s="233" t="str">
        <f>VLOOKUP(Table3[[#This Row],[Document ID]],Table1[],2,FALSE)</f>
        <v>SLE</v>
      </c>
      <c r="C687" s="233" t="str">
        <f>VLOOKUP(Table3[[#This Row],[Document ID]],Table1[],3,FALSE)</f>
        <v>Sierra Leone</v>
      </c>
      <c r="D687" s="233" t="str">
        <f>VLOOKUP(Table3[[#This Row],[Document ID]],Table1[],5,FALSE)</f>
        <v>NDC</v>
      </c>
      <c r="E687" s="233" t="str">
        <f>VLOOKUP(Table3[[#This Row],[Document ID]],Table1[],7,FALSE)</f>
        <v>First NDC</v>
      </c>
      <c r="F687" s="233" t="str">
        <f>VLOOKUP(Table3[[#This Row],[Document ID]],Table1[],8,FALSE)</f>
        <v>NDC 1.0</v>
      </c>
      <c r="G687" s="233" t="str">
        <f>VLOOKUP(Table3[[#This Row],[Document ID]],Table1[],10,FALSE)</f>
        <v>Archived</v>
      </c>
      <c r="H687" s="216" t="s">
        <v>1089</v>
      </c>
      <c r="I687" s="216" t="s">
        <v>1089</v>
      </c>
      <c r="J687" s="43" t="s">
        <v>1090</v>
      </c>
      <c r="K687" s="28" t="s">
        <v>1121</v>
      </c>
      <c r="L687" s="216" t="s">
        <v>1092</v>
      </c>
      <c r="M687" s="209">
        <v>2035</v>
      </c>
      <c r="N687" s="176" t="s">
        <v>1799</v>
      </c>
      <c r="O687" s="258" t="s">
        <v>1094</v>
      </c>
      <c r="P687" s="238" t="str">
        <f>VLOOKUP(_xlfn.CONCAT(Table3[[#This Row],[Target area]],Table3[[#This Row],[GHG target?]],Table3[[#This Row],[Conditionality]]),'Drop down'!$E$81:$F$101,2,FALSE)</f>
        <v>T_Economy_C</v>
      </c>
      <c r="Q687" s="239" t="str">
        <f>VLOOKUP(Table3[[#This Row],[Target type]],Table418[[Value name]:[Value idenifyer]],2,FALSE)</f>
        <v>T_FL</v>
      </c>
      <c r="V687" s="233" t="str">
        <f>VLOOKUP(Table3[[#This Row],[Country Code]],Table29[],3,FALSE)</f>
        <v>Non-Annex I</v>
      </c>
      <c r="W687" s="233" t="str">
        <f>VLOOKUP(Table3[[#This Row],[Country Code]],Table29[],4,FALSE)</f>
        <v>Africa</v>
      </c>
      <c r="X687" s="233" t="str">
        <f>VLOOKUP(Table3[[#This Row],[Country Code]],Table29[],5,FALSE)</f>
        <v>Low-income</v>
      </c>
      <c r="Y687" s="233" t="str">
        <f>VLOOKUP(Table3[[#This Row],[Country Code]],Table29[],6,FALSE)</f>
        <v>no</v>
      </c>
      <c r="Z687" s="233" t="str">
        <f>VLOOKUP(Table3[[#This Row],[Country Code]],Table29[],7,FALSE)</f>
        <v>no</v>
      </c>
      <c r="AA687" s="233" t="str">
        <f>VLOOKUP(Table3[[#This Row],[Country Code]],Table29[],8,FALSE)</f>
        <v>non-OECD</v>
      </c>
      <c r="AB687" s="233" t="str">
        <f>VLOOKUP(Table3[[#This Row],[Country Code]],Table29[],9,FALSE)</f>
        <v>no</v>
      </c>
      <c r="AC687" s="233" t="str">
        <f>VLOOKUP(Table3[[#This Row],[Country Code]],Table29[],10,FALSE)</f>
        <v>no</v>
      </c>
      <c r="AD687" s="235">
        <f>VLOOKUP(Table3[[#This Row],[Country Code]],Table29[],23,FALSE)</f>
        <v>6.9377160598997998</v>
      </c>
      <c r="AE687" s="235">
        <f>VLOOKUP(Table3[[#This Row],[Country Code]],Table29[],24,FALSE)</f>
        <v>0.537288258748986</v>
      </c>
      <c r="AF687" s="43"/>
    </row>
    <row r="688" spans="1:32" ht="45" x14ac:dyDescent="0.25">
      <c r="A688" s="360">
        <v>32505</v>
      </c>
      <c r="B688" s="233" t="str">
        <f>VLOOKUP(Table3[[#This Row],[Document ID]],Table1[],2,FALSE)</f>
        <v>LTU</v>
      </c>
      <c r="C688" s="233" t="str">
        <f>VLOOKUP(Table3[[#This Row],[Document ID]],Table1[],3,FALSE)</f>
        <v>Lithuania</v>
      </c>
      <c r="D688" s="233" t="str">
        <f>VLOOKUP(Table3[[#This Row],[Document ID]],Table1[],5,FALSE)</f>
        <v>LTS</v>
      </c>
      <c r="E688" s="233" t="str">
        <f>VLOOKUP(Table3[[#This Row],[Document ID]],Table1[],7,FALSE)</f>
        <v>EU-LTS</v>
      </c>
      <c r="F688" s="233" t="str">
        <f>VLOOKUP(Table3[[#This Row],[Document ID]],Table1[],8,FALSE)</f>
        <v>LTS 1.0</v>
      </c>
      <c r="G688" s="233" t="str">
        <f>VLOOKUP(Table3[[#This Row],[Document ID]],Table1[],10,FALSE)</f>
        <v>Active</v>
      </c>
      <c r="H688" s="42" t="s">
        <v>1095</v>
      </c>
      <c r="I688" s="42" t="s">
        <v>1096</v>
      </c>
      <c r="J688" s="42" t="s">
        <v>1097</v>
      </c>
      <c r="K688" s="28" t="s">
        <v>1098</v>
      </c>
      <c r="L688" s="42" t="s">
        <v>1099</v>
      </c>
      <c r="M688" s="209">
        <v>2030</v>
      </c>
      <c r="N688" s="209" t="s">
        <v>1800</v>
      </c>
      <c r="O688" s="257">
        <v>22</v>
      </c>
      <c r="P688" s="238" t="str">
        <f>VLOOKUP(_xlfn.CONCAT(Table3[[#This Row],[Target area]],Table3[[#This Row],[GHG target?]],Table3[[#This Row],[Conditionality]]),'Drop down'!$E$81:$F$101,2,FALSE)</f>
        <v>T_Transport_O_Unc</v>
      </c>
      <c r="Q688" s="239" t="str">
        <f>VLOOKUP(Table3[[#This Row],[Target type]],Table418[[Value name]:[Value idenifyer]],2,FALSE)</f>
        <v>T_O_MODE</v>
      </c>
      <c r="S688" s="233" t="s">
        <v>1125</v>
      </c>
      <c r="T688" s="234" t="s">
        <v>1113</v>
      </c>
      <c r="V688" s="233" t="str">
        <f>VLOOKUP(Table3[[#This Row],[Country Code]],Table29[],3,FALSE)</f>
        <v>Annex I</v>
      </c>
      <c r="W688" s="233" t="str">
        <f>VLOOKUP(Table3[[#This Row],[Country Code]],Table29[],4,FALSE)</f>
        <v>Europe</v>
      </c>
      <c r="X688" s="233" t="str">
        <f>VLOOKUP(Table3[[#This Row],[Country Code]],Table29[],5,FALSE)</f>
        <v>High-income</v>
      </c>
      <c r="Y688" s="233" t="str">
        <f>VLOOKUP(Table3[[#This Row],[Country Code]],Table29[],6,FALSE)</f>
        <v>no</v>
      </c>
      <c r="Z688" s="233" t="str">
        <f>VLOOKUP(Table3[[#This Row],[Country Code]],Table29[],7,FALSE)</f>
        <v>no</v>
      </c>
      <c r="AA688" s="233" t="str">
        <f>VLOOKUP(Table3[[#This Row],[Country Code]],Table29[],8,FALSE)</f>
        <v>OECD</v>
      </c>
      <c r="AB688" s="233" t="str">
        <f>VLOOKUP(Table3[[#This Row],[Country Code]],Table29[],9,FALSE)</f>
        <v>EU27</v>
      </c>
      <c r="AC688" s="233" t="str">
        <f>VLOOKUP(Table3[[#This Row],[Country Code]],Table29[],10,FALSE)</f>
        <v>no</v>
      </c>
      <c r="AD688" s="235">
        <f>VLOOKUP(Table3[[#This Row],[Country Code]],Table29[],23,FALSE)</f>
        <v>20.683656998446001</v>
      </c>
      <c r="AE688" s="235">
        <f>VLOOKUP(Table3[[#This Row],[Country Code]],Table29[],24,FALSE)</f>
        <v>6.2808070704944967</v>
      </c>
      <c r="AF688" s="43"/>
    </row>
    <row r="689" spans="1:32" ht="30" x14ac:dyDescent="0.25">
      <c r="A689" s="360">
        <v>32505</v>
      </c>
      <c r="B689" s="233" t="str">
        <f>VLOOKUP(Table3[[#This Row],[Document ID]],Table1[],2,FALSE)</f>
        <v>LTU</v>
      </c>
      <c r="C689" s="233" t="str">
        <f>VLOOKUP(Table3[[#This Row],[Document ID]],Table1[],3,FALSE)</f>
        <v>Lithuania</v>
      </c>
      <c r="D689" s="233" t="str">
        <f>VLOOKUP(Table3[[#This Row],[Document ID]],Table1[],5,FALSE)</f>
        <v>LTS</v>
      </c>
      <c r="E689" s="233" t="str">
        <f>VLOOKUP(Table3[[#This Row],[Document ID]],Table1[],7,FALSE)</f>
        <v>EU-LTS</v>
      </c>
      <c r="F689" s="233" t="str">
        <f>VLOOKUP(Table3[[#This Row],[Document ID]],Table1[],8,FALSE)</f>
        <v>LTS 1.0</v>
      </c>
      <c r="G689" s="233" t="str">
        <f>VLOOKUP(Table3[[#This Row],[Document ID]],Table1[],10,FALSE)</f>
        <v>Active</v>
      </c>
      <c r="H689" s="42" t="s">
        <v>1095</v>
      </c>
      <c r="I689" s="42" t="s">
        <v>1096</v>
      </c>
      <c r="J689" s="42" t="s">
        <v>1097</v>
      </c>
      <c r="K689" s="28" t="s">
        <v>1102</v>
      </c>
      <c r="L689" s="42" t="s">
        <v>1099</v>
      </c>
      <c r="M689" s="209">
        <v>2030</v>
      </c>
      <c r="N689" s="209" t="s">
        <v>1801</v>
      </c>
      <c r="O689" s="257">
        <v>22</v>
      </c>
      <c r="P689" s="238" t="str">
        <f>VLOOKUP(_xlfn.CONCAT(Table3[[#This Row],[Target area]],Table3[[#This Row],[GHG target?]],Table3[[#This Row],[Conditionality]]),'Drop down'!$E$81:$F$101,2,FALSE)</f>
        <v>T_Transport_O_Unc</v>
      </c>
      <c r="Q689" s="239" t="str">
        <f>VLOOKUP(Table3[[#This Row],[Target type]],Table418[[Value name]:[Value idenifyer]],2,FALSE)</f>
        <v>T_O_BIO</v>
      </c>
      <c r="S689" s="233" t="s">
        <v>1125</v>
      </c>
      <c r="T689" s="234" t="s">
        <v>1113</v>
      </c>
      <c r="V689" s="233" t="str">
        <f>VLOOKUP(Table3[[#This Row],[Country Code]],Table29[],3,FALSE)</f>
        <v>Annex I</v>
      </c>
      <c r="W689" s="233" t="str">
        <f>VLOOKUP(Table3[[#This Row],[Country Code]],Table29[],4,FALSE)</f>
        <v>Europe</v>
      </c>
      <c r="X689" s="233" t="str">
        <f>VLOOKUP(Table3[[#This Row],[Country Code]],Table29[],5,FALSE)</f>
        <v>High-income</v>
      </c>
      <c r="Y689" s="233" t="str">
        <f>VLOOKUP(Table3[[#This Row],[Country Code]],Table29[],6,FALSE)</f>
        <v>no</v>
      </c>
      <c r="Z689" s="233" t="str">
        <f>VLOOKUP(Table3[[#This Row],[Country Code]],Table29[],7,FALSE)</f>
        <v>no</v>
      </c>
      <c r="AA689" s="233" t="str">
        <f>VLOOKUP(Table3[[#This Row],[Country Code]],Table29[],8,FALSE)</f>
        <v>OECD</v>
      </c>
      <c r="AB689" s="233" t="str">
        <f>VLOOKUP(Table3[[#This Row],[Country Code]],Table29[],9,FALSE)</f>
        <v>EU27</v>
      </c>
      <c r="AC689" s="233" t="str">
        <f>VLOOKUP(Table3[[#This Row],[Country Code]],Table29[],10,FALSE)</f>
        <v>no</v>
      </c>
      <c r="AD689" s="235">
        <f>VLOOKUP(Table3[[#This Row],[Country Code]],Table29[],23,FALSE)</f>
        <v>20.683656998446001</v>
      </c>
      <c r="AE689" s="235">
        <f>VLOOKUP(Table3[[#This Row],[Country Code]],Table29[],24,FALSE)</f>
        <v>6.2808070704944967</v>
      </c>
      <c r="AF689" s="43"/>
    </row>
    <row r="690" spans="1:32" ht="45" x14ac:dyDescent="0.25">
      <c r="A690" s="360">
        <v>17622</v>
      </c>
      <c r="B690" s="233" t="str">
        <f>VLOOKUP(Table3[[#This Row],[Document ID]],Table1[],2,FALSE)</f>
        <v>ISR</v>
      </c>
      <c r="C690" s="233" t="str">
        <f>VLOOKUP(Table3[[#This Row],[Document ID]],Table1[],3,FALSE)</f>
        <v>Israel</v>
      </c>
      <c r="D690" s="233" t="str">
        <f>VLOOKUP(Table3[[#This Row],[Document ID]],Table1[],5,FALSE)</f>
        <v>NDC</v>
      </c>
      <c r="E690" s="233" t="str">
        <f>VLOOKUP(Table3[[#This Row],[Document ID]],Table1[],7,FALSE)</f>
        <v>First NDC</v>
      </c>
      <c r="F690" s="233" t="str">
        <f>VLOOKUP(Table3[[#This Row],[Document ID]],Table1[],8,FALSE)</f>
        <v>NDC 1.0</v>
      </c>
      <c r="G690" s="233" t="str">
        <f>VLOOKUP(Table3[[#This Row],[Document ID]],Table1[],10,FALSE)</f>
        <v>Archived</v>
      </c>
      <c r="H690" s="216" t="s">
        <v>1089</v>
      </c>
      <c r="I690" s="216" t="s">
        <v>1089</v>
      </c>
      <c r="J690" s="43" t="s">
        <v>1090</v>
      </c>
      <c r="K690" s="28" t="s">
        <v>1153</v>
      </c>
      <c r="L690" s="42" t="s">
        <v>1099</v>
      </c>
      <c r="M690" s="209">
        <v>2025</v>
      </c>
      <c r="N690" s="176" t="s">
        <v>1802</v>
      </c>
      <c r="O690" s="258" t="s">
        <v>1094</v>
      </c>
      <c r="P690" s="238" t="str">
        <f>VLOOKUP(_xlfn.CONCAT(Table3[[#This Row],[Target area]],Table3[[#This Row],[GHG target?]],Table3[[#This Row],[Conditionality]]),'Drop down'!$E$81:$F$101,2,FALSE)</f>
        <v>T_Economy_Unc</v>
      </c>
      <c r="Q690" s="239" t="str">
        <f>VLOOKUP(Table3[[#This Row],[Target type]],Table418[[Value name]:[Value idenifyer]],2,FALSE)</f>
        <v>T_BYE</v>
      </c>
      <c r="S690" s="233" t="s">
        <v>1125</v>
      </c>
      <c r="T690" s="234" t="s">
        <v>1113</v>
      </c>
      <c r="U690" s="234" t="s">
        <v>1113</v>
      </c>
      <c r="V690" s="233" t="str">
        <f>VLOOKUP(Table3[[#This Row],[Country Code]],Table29[],3,FALSE)</f>
        <v>Non-Annex I</v>
      </c>
      <c r="W690" s="233" t="str">
        <f>VLOOKUP(Table3[[#This Row],[Country Code]],Table29[],4,FALSE)</f>
        <v>Asia</v>
      </c>
      <c r="X690" s="233" t="str">
        <f>VLOOKUP(Table3[[#This Row],[Country Code]],Table29[],5,FALSE)</f>
        <v>High-income</v>
      </c>
      <c r="Y690" s="233" t="str">
        <f>VLOOKUP(Table3[[#This Row],[Country Code]],Table29[],6,FALSE)</f>
        <v>no</v>
      </c>
      <c r="Z690" s="233" t="str">
        <f>VLOOKUP(Table3[[#This Row],[Country Code]],Table29[],7,FALSE)</f>
        <v>no</v>
      </c>
      <c r="AA690" s="233" t="str">
        <f>VLOOKUP(Table3[[#This Row],[Country Code]],Table29[],8,FALSE)</f>
        <v>OECD</v>
      </c>
      <c r="AB690" s="233" t="str">
        <f>VLOOKUP(Table3[[#This Row],[Country Code]],Table29[],9,FALSE)</f>
        <v>no</v>
      </c>
      <c r="AC690" s="233" t="str">
        <f>VLOOKUP(Table3[[#This Row],[Country Code]],Table29[],10,FALSE)</f>
        <v>MENA</v>
      </c>
      <c r="AD690" s="235">
        <f>VLOOKUP(Table3[[#This Row],[Country Code]],Table29[],23,FALSE)</f>
        <v>79.578174881425994</v>
      </c>
      <c r="AE690" s="235">
        <f>VLOOKUP(Table3[[#This Row],[Country Code]],Table29[],24,FALSE)</f>
        <v>18.692155253646391</v>
      </c>
      <c r="AF690" s="43"/>
    </row>
    <row r="691" spans="1:32" ht="30" x14ac:dyDescent="0.25">
      <c r="A691" s="360">
        <v>32505</v>
      </c>
      <c r="B691" s="233" t="str">
        <f>VLOOKUP(Table3[[#This Row],[Document ID]],Table1[],2,FALSE)</f>
        <v>LTU</v>
      </c>
      <c r="C691" s="233" t="str">
        <f>VLOOKUP(Table3[[#This Row],[Document ID]],Table1[],3,FALSE)</f>
        <v>Lithuania</v>
      </c>
      <c r="D691" s="233" t="str">
        <f>VLOOKUP(Table3[[#This Row],[Document ID]],Table1[],5,FALSE)</f>
        <v>LTS</v>
      </c>
      <c r="E691" s="233" t="str">
        <f>VLOOKUP(Table3[[#This Row],[Document ID]],Table1[],7,FALSE)</f>
        <v>EU-LTS</v>
      </c>
      <c r="F691" s="233" t="str">
        <f>VLOOKUP(Table3[[#This Row],[Document ID]],Table1[],8,FALSE)</f>
        <v>LTS 1.0</v>
      </c>
      <c r="G691" s="233" t="str">
        <f>VLOOKUP(Table3[[#This Row],[Document ID]],Table1[],10,FALSE)</f>
        <v>Active</v>
      </c>
      <c r="H691" s="42" t="s">
        <v>1095</v>
      </c>
      <c r="I691" s="42" t="s">
        <v>1096</v>
      </c>
      <c r="J691" s="42" t="s">
        <v>1097</v>
      </c>
      <c r="K691" s="28" t="s">
        <v>1104</v>
      </c>
      <c r="L691" s="42" t="s">
        <v>1099</v>
      </c>
      <c r="M691" s="209">
        <v>2030</v>
      </c>
      <c r="N691" s="209" t="s">
        <v>1803</v>
      </c>
      <c r="O691" s="257">
        <v>22</v>
      </c>
      <c r="P691" s="238" t="str">
        <f>VLOOKUP(_xlfn.CONCAT(Table3[[#This Row],[Target area]],Table3[[#This Row],[GHG target?]],Table3[[#This Row],[Conditionality]]),'Drop down'!$E$81:$F$101,2,FALSE)</f>
        <v>T_Transport_O_Unc</v>
      </c>
      <c r="Q691" s="239" t="str">
        <f>VLOOKUP(Table3[[#This Row],[Target type]],Table418[[Value name]:[Value idenifyer]],2,FALSE)</f>
        <v>T_O_ZERO</v>
      </c>
      <c r="S691" s="233" t="s">
        <v>1125</v>
      </c>
      <c r="T691" s="234" t="s">
        <v>1113</v>
      </c>
      <c r="V691" s="233" t="str">
        <f>VLOOKUP(Table3[[#This Row],[Country Code]],Table29[],3,FALSE)</f>
        <v>Annex I</v>
      </c>
      <c r="W691" s="233" t="str">
        <f>VLOOKUP(Table3[[#This Row],[Country Code]],Table29[],4,FALSE)</f>
        <v>Europe</v>
      </c>
      <c r="X691" s="233" t="str">
        <f>VLOOKUP(Table3[[#This Row],[Country Code]],Table29[],5,FALSE)</f>
        <v>High-income</v>
      </c>
      <c r="Y691" s="233" t="str">
        <f>VLOOKUP(Table3[[#This Row],[Country Code]],Table29[],6,FALSE)</f>
        <v>no</v>
      </c>
      <c r="Z691" s="233" t="str">
        <f>VLOOKUP(Table3[[#This Row],[Country Code]],Table29[],7,FALSE)</f>
        <v>no</v>
      </c>
      <c r="AA691" s="233" t="str">
        <f>VLOOKUP(Table3[[#This Row],[Country Code]],Table29[],8,FALSE)</f>
        <v>OECD</v>
      </c>
      <c r="AB691" s="233" t="str">
        <f>VLOOKUP(Table3[[#This Row],[Country Code]],Table29[],9,FALSE)</f>
        <v>EU27</v>
      </c>
      <c r="AC691" s="233" t="str">
        <f>VLOOKUP(Table3[[#This Row],[Country Code]],Table29[],10,FALSE)</f>
        <v>no</v>
      </c>
      <c r="AD691" s="235">
        <f>VLOOKUP(Table3[[#This Row],[Country Code]],Table29[],23,FALSE)</f>
        <v>20.683656998446001</v>
      </c>
      <c r="AE691" s="235">
        <f>VLOOKUP(Table3[[#This Row],[Country Code]],Table29[],24,FALSE)</f>
        <v>6.2808070704944967</v>
      </c>
      <c r="AF691" s="43"/>
    </row>
    <row r="692" spans="1:32" ht="30" x14ac:dyDescent="0.25">
      <c r="A692" s="360">
        <v>41997</v>
      </c>
      <c r="B692" s="233" t="str">
        <f>VLOOKUP(Table3[[#This Row],[Document ID]],Table1[],2,FALSE)</f>
        <v>DMA</v>
      </c>
      <c r="C692" s="233" t="str">
        <f>VLOOKUP(Table3[[#This Row],[Document ID]],Table1[],3,FALSE)</f>
        <v>Dominica</v>
      </c>
      <c r="D692" s="233" t="str">
        <f>VLOOKUP(Table3[[#This Row],[Document ID]],Table1[],5,FALSE)</f>
        <v>National policy document</v>
      </c>
      <c r="E692" s="233" t="str">
        <f>VLOOKUP(Table3[[#This Row],[Document ID]],Table1[],7,FALSE)</f>
        <v>National policy document</v>
      </c>
      <c r="F692" s="233" t="str">
        <f>VLOOKUP(Table3[[#This Row],[Document ID]],Table1[],8,FALSE)</f>
        <v>NA</v>
      </c>
      <c r="G692" s="233" t="str">
        <f>VLOOKUP(Table3[[#This Row],[Document ID]],Table1[],10,FALSE)</f>
        <v>Active</v>
      </c>
      <c r="H692" s="43" t="s">
        <v>1147</v>
      </c>
      <c r="I692" s="43" t="s">
        <v>1089</v>
      </c>
      <c r="J692" s="43" t="s">
        <v>1090</v>
      </c>
      <c r="K692" s="28" t="s">
        <v>1121</v>
      </c>
      <c r="L692" s="43" t="s">
        <v>1116</v>
      </c>
      <c r="M692" s="209">
        <v>2030</v>
      </c>
      <c r="N692" s="44" t="s">
        <v>1804</v>
      </c>
      <c r="O692" s="258" t="s">
        <v>1696</v>
      </c>
      <c r="P692" s="238" t="str">
        <f>VLOOKUP(_xlfn.CONCAT(Table3[[#This Row],[Target area]],Table3[[#This Row],[GHG target?]],Table3[[#This Row],[Conditionality]]),'Drop down'!$E$81:$F$101,2,FALSE)</f>
        <v>T_Netzero</v>
      </c>
      <c r="Q692" s="239" t="str">
        <f>VLOOKUP(Table3[[#This Row],[Target type]],Table418[[Value name]:[Value idenifyer]],2,FALSE)</f>
        <v>T_FL</v>
      </c>
      <c r="V692" s="233" t="str">
        <f>VLOOKUP(Table3[[#This Row],[Country Code]],Table29[],3,FALSE)</f>
        <v>Non-Annex I</v>
      </c>
      <c r="W692" s="233" t="str">
        <f>VLOOKUP(Table3[[#This Row],[Country Code]],Table29[],4,FALSE)</f>
        <v>Latin America and the Caribbean</v>
      </c>
      <c r="X692" s="233" t="str">
        <f>VLOOKUP(Table3[[#This Row],[Country Code]],Table29[],5,FALSE)</f>
        <v>Middle-income</v>
      </c>
      <c r="Y692" s="233" t="str">
        <f>VLOOKUP(Table3[[#This Row],[Country Code]],Table29[],6,FALSE)</f>
        <v>no</v>
      </c>
      <c r="Z692" s="233" t="str">
        <f>VLOOKUP(Table3[[#This Row],[Country Code]],Table29[],7,FALSE)</f>
        <v>no</v>
      </c>
      <c r="AA692" s="233" t="str">
        <f>VLOOKUP(Table3[[#This Row],[Country Code]],Table29[],8,FALSE)</f>
        <v>non-OECD</v>
      </c>
      <c r="AB692" s="233" t="str">
        <f>VLOOKUP(Table3[[#This Row],[Country Code]],Table29[],9,FALSE)</f>
        <v>no</v>
      </c>
      <c r="AC692" s="233" t="str">
        <f>VLOOKUP(Table3[[#This Row],[Country Code]],Table29[],10,FALSE)</f>
        <v>no</v>
      </c>
      <c r="AD692" s="235">
        <f>VLOOKUP(Table3[[#This Row],[Country Code]],Table29[],23,FALSE)</f>
        <v>0.14691940907449</v>
      </c>
      <c r="AE692" s="235">
        <f>VLOOKUP(Table3[[#This Row],[Country Code]],Table29[],24,FALSE)</f>
        <v>2.8004429294222619E-2</v>
      </c>
      <c r="AF692" s="43"/>
    </row>
    <row r="693" spans="1:32" x14ac:dyDescent="0.25">
      <c r="A693" s="360">
        <v>26796</v>
      </c>
      <c r="B693" s="233" t="str">
        <f>VLOOKUP(Table3[[#This Row],[Document ID]],Table1[],2,FALSE)</f>
        <v>JPN</v>
      </c>
      <c r="C693" s="233" t="str">
        <f>VLOOKUP(Table3[[#This Row],[Document ID]],Table1[],3,FALSE)</f>
        <v>Japan</v>
      </c>
      <c r="D693" s="233" t="str">
        <f>VLOOKUP(Table3[[#This Row],[Document ID]],Table1[],5,FALSE)</f>
        <v>LTS</v>
      </c>
      <c r="E693" s="233" t="str">
        <f>VLOOKUP(Table3[[#This Row],[Document ID]],Table1[],7,FALSE)</f>
        <v>LTS</v>
      </c>
      <c r="F693" s="233" t="str">
        <f>VLOOKUP(Table3[[#This Row],[Document ID]],Table1[],8,FALSE)</f>
        <v>LTS 1.1</v>
      </c>
      <c r="G693" s="233" t="str">
        <f>VLOOKUP(Table3[[#This Row],[Document ID]],Table1[],10,FALSE)</f>
        <v>Active</v>
      </c>
      <c r="H693" s="43" t="s">
        <v>1114</v>
      </c>
      <c r="I693" s="43" t="s">
        <v>1115</v>
      </c>
      <c r="J693" s="42" t="s">
        <v>1097</v>
      </c>
      <c r="K693" s="28" t="s">
        <v>1118</v>
      </c>
      <c r="L693" s="43" t="s">
        <v>1116</v>
      </c>
      <c r="M693" s="209">
        <v>2030</v>
      </c>
      <c r="N693" s="42" t="s">
        <v>1805</v>
      </c>
      <c r="O693" s="257">
        <v>13</v>
      </c>
      <c r="P693" s="238" t="str">
        <f>VLOOKUP(_xlfn.CONCAT(Table3[[#This Row],[Target area]],Table3[[#This Row],[GHG target?]],Table3[[#This Row],[Conditionality]]),'Drop down'!$E$81:$F$101,2,FALSE)</f>
        <v>T_Energy_O</v>
      </c>
      <c r="Q693" s="239" t="str">
        <f>VLOOKUP(Table3[[#This Row],[Target type]],Table418[[Value name]:[Value idenifyer]],2,FALSE)</f>
        <v>T_E_REN</v>
      </c>
      <c r="S693" s="233" t="s">
        <v>1101</v>
      </c>
      <c r="T693" s="234" t="s">
        <v>1113</v>
      </c>
      <c r="U693" s="242" t="s">
        <v>1402</v>
      </c>
      <c r="V693" s="233" t="str">
        <f>VLOOKUP(Table3[[#This Row],[Country Code]],Table29[],3,FALSE)</f>
        <v>Annex I</v>
      </c>
      <c r="W693" s="233" t="str">
        <f>VLOOKUP(Table3[[#This Row],[Country Code]],Table29[],4,FALSE)</f>
        <v>Asia</v>
      </c>
      <c r="X693" s="233" t="str">
        <f>VLOOKUP(Table3[[#This Row],[Country Code]],Table29[],5,FALSE)</f>
        <v>High-income</v>
      </c>
      <c r="Y693" s="233" t="str">
        <f>VLOOKUP(Table3[[#This Row],[Country Code]],Table29[],6,FALSE)</f>
        <v>G20</v>
      </c>
      <c r="Z693" s="233" t="str">
        <f>VLOOKUP(Table3[[#This Row],[Country Code]],Table29[],7,FALSE)</f>
        <v>G7</v>
      </c>
      <c r="AA693" s="233" t="str">
        <f>VLOOKUP(Table3[[#This Row],[Country Code]],Table29[],8,FALSE)</f>
        <v>OECD</v>
      </c>
      <c r="AB693" s="233" t="str">
        <f>VLOOKUP(Table3[[#This Row],[Country Code]],Table29[],9,FALSE)</f>
        <v>no</v>
      </c>
      <c r="AC693" s="233" t="str">
        <f>VLOOKUP(Table3[[#This Row],[Country Code]],Table29[],10,FALSE)</f>
        <v>no</v>
      </c>
      <c r="AD693" s="235">
        <f>VLOOKUP(Table3[[#This Row],[Country Code]],Table29[],23,FALSE)</f>
        <v>1041.0128248686999</v>
      </c>
      <c r="AE693" s="235">
        <f>VLOOKUP(Table3[[#This Row],[Country Code]],Table29[],24,FALSE)</f>
        <v>181.96191357547141</v>
      </c>
      <c r="AF693" s="43"/>
    </row>
    <row r="694" spans="1:32" x14ac:dyDescent="0.25">
      <c r="A694" s="360">
        <v>26796</v>
      </c>
      <c r="B694" s="233" t="str">
        <f>VLOOKUP(Table3[[#This Row],[Document ID]],Table1[],2,FALSE)</f>
        <v>JPN</v>
      </c>
      <c r="C694" s="233" t="str">
        <f>VLOOKUP(Table3[[#This Row],[Document ID]],Table1[],3,FALSE)</f>
        <v>Japan</v>
      </c>
      <c r="D694" s="233" t="str">
        <f>VLOOKUP(Table3[[#This Row],[Document ID]],Table1[],5,FALSE)</f>
        <v>LTS</v>
      </c>
      <c r="E694" s="233" t="str">
        <f>VLOOKUP(Table3[[#This Row],[Document ID]],Table1[],7,FALSE)</f>
        <v>LTS</v>
      </c>
      <c r="F694" s="233" t="str">
        <f>VLOOKUP(Table3[[#This Row],[Document ID]],Table1[],8,FALSE)</f>
        <v>LTS 1.1</v>
      </c>
      <c r="G694" s="233" t="str">
        <f>VLOOKUP(Table3[[#This Row],[Document ID]],Table1[],10,FALSE)</f>
        <v>Active</v>
      </c>
      <c r="H694" s="43" t="s">
        <v>1114</v>
      </c>
      <c r="I694" s="43" t="s">
        <v>1115</v>
      </c>
      <c r="J694" s="42" t="s">
        <v>1097</v>
      </c>
      <c r="K694" s="28" t="s">
        <v>1118</v>
      </c>
      <c r="L694" s="43" t="s">
        <v>1116</v>
      </c>
      <c r="M694" s="209">
        <v>2030</v>
      </c>
      <c r="N694" s="42" t="s">
        <v>1806</v>
      </c>
      <c r="O694" s="257">
        <v>13</v>
      </c>
      <c r="P694" s="238" t="str">
        <f>VLOOKUP(_xlfn.CONCAT(Table3[[#This Row],[Target area]],Table3[[#This Row],[GHG target?]],Table3[[#This Row],[Conditionality]]),'Drop down'!$E$81:$F$101,2,FALSE)</f>
        <v>T_Energy_O</v>
      </c>
      <c r="Q694" s="239" t="str">
        <f>VLOOKUP(Table3[[#This Row],[Target type]],Table418[[Value name]:[Value idenifyer]],2,FALSE)</f>
        <v>T_E_REN</v>
      </c>
      <c r="S694" s="233" t="s">
        <v>1101</v>
      </c>
      <c r="T694" s="234" t="s">
        <v>1113</v>
      </c>
      <c r="U694" s="242" t="s">
        <v>1402</v>
      </c>
      <c r="V694" s="233" t="str">
        <f>VLOOKUP(Table3[[#This Row],[Country Code]],Table29[],3,FALSE)</f>
        <v>Annex I</v>
      </c>
      <c r="W694" s="233" t="str">
        <f>VLOOKUP(Table3[[#This Row],[Country Code]],Table29[],4,FALSE)</f>
        <v>Asia</v>
      </c>
      <c r="X694" s="233" t="str">
        <f>VLOOKUP(Table3[[#This Row],[Country Code]],Table29[],5,FALSE)</f>
        <v>High-income</v>
      </c>
      <c r="Y694" s="233" t="str">
        <f>VLOOKUP(Table3[[#This Row],[Country Code]],Table29[],6,FALSE)</f>
        <v>G20</v>
      </c>
      <c r="Z694" s="233" t="str">
        <f>VLOOKUP(Table3[[#This Row],[Country Code]],Table29[],7,FALSE)</f>
        <v>G7</v>
      </c>
      <c r="AA694" s="233" t="str">
        <f>VLOOKUP(Table3[[#This Row],[Country Code]],Table29[],8,FALSE)</f>
        <v>OECD</v>
      </c>
      <c r="AB694" s="233" t="str">
        <f>VLOOKUP(Table3[[#This Row],[Country Code]],Table29[],9,FALSE)</f>
        <v>no</v>
      </c>
      <c r="AC694" s="233" t="str">
        <f>VLOOKUP(Table3[[#This Row],[Country Code]],Table29[],10,FALSE)</f>
        <v>no</v>
      </c>
      <c r="AD694" s="235">
        <f>VLOOKUP(Table3[[#This Row],[Country Code]],Table29[],23,FALSE)</f>
        <v>1041.0128248686999</v>
      </c>
      <c r="AE694" s="235">
        <f>VLOOKUP(Table3[[#This Row],[Country Code]],Table29[],24,FALSE)</f>
        <v>181.96191357547141</v>
      </c>
      <c r="AF694" s="43"/>
    </row>
    <row r="695" spans="1:32" ht="30" x14ac:dyDescent="0.25">
      <c r="A695" s="360">
        <v>32505</v>
      </c>
      <c r="B695" s="233" t="str">
        <f>VLOOKUP(Table3[[#This Row],[Document ID]],Table1[],2,FALSE)</f>
        <v>LTU</v>
      </c>
      <c r="C695" s="233" t="str">
        <f>VLOOKUP(Table3[[#This Row],[Document ID]],Table1[],3,FALSE)</f>
        <v>Lithuania</v>
      </c>
      <c r="D695" s="233" t="str">
        <f>VLOOKUP(Table3[[#This Row],[Document ID]],Table1[],5,FALSE)</f>
        <v>LTS</v>
      </c>
      <c r="E695" s="233" t="str">
        <f>VLOOKUP(Table3[[#This Row],[Document ID]],Table1[],7,FALSE)</f>
        <v>EU-LTS</v>
      </c>
      <c r="F695" s="233" t="str">
        <f>VLOOKUP(Table3[[#This Row],[Document ID]],Table1[],8,FALSE)</f>
        <v>LTS 1.0</v>
      </c>
      <c r="G695" s="233" t="str">
        <f>VLOOKUP(Table3[[#This Row],[Document ID]],Table1[],10,FALSE)</f>
        <v>Active</v>
      </c>
      <c r="H695" s="42" t="s">
        <v>1095</v>
      </c>
      <c r="I695" s="42" t="s">
        <v>1096</v>
      </c>
      <c r="J695" s="42" t="s">
        <v>1097</v>
      </c>
      <c r="K695" s="28" t="s">
        <v>1397</v>
      </c>
      <c r="L695" s="42" t="s">
        <v>1099</v>
      </c>
      <c r="M695" s="209">
        <v>2030</v>
      </c>
      <c r="N695" s="209" t="s">
        <v>1807</v>
      </c>
      <c r="O695" s="257">
        <v>22</v>
      </c>
      <c r="P695" s="238" t="str">
        <f>VLOOKUP(_xlfn.CONCAT(Table3[[#This Row],[Target area]],Table3[[#This Row],[GHG target?]],Table3[[#This Row],[Conditionality]]),'Drop down'!$E$81:$F$101,2,FALSE)</f>
        <v>T_Transport_O_Unc</v>
      </c>
      <c r="Q695" s="239" t="str">
        <f>VLOOKUP(Table3[[#This Row],[Target type]],Table418[[Value name]:[Value idenifyer]],2,FALSE)</f>
        <v>T_O_Other</v>
      </c>
      <c r="S695" s="233" t="s">
        <v>1125</v>
      </c>
      <c r="T695" s="234" t="s">
        <v>1113</v>
      </c>
      <c r="V695" s="233" t="str">
        <f>VLOOKUP(Table3[[#This Row],[Country Code]],Table29[],3,FALSE)</f>
        <v>Annex I</v>
      </c>
      <c r="W695" s="233" t="str">
        <f>VLOOKUP(Table3[[#This Row],[Country Code]],Table29[],4,FALSE)</f>
        <v>Europe</v>
      </c>
      <c r="X695" s="233" t="str">
        <f>VLOOKUP(Table3[[#This Row],[Country Code]],Table29[],5,FALSE)</f>
        <v>High-income</v>
      </c>
      <c r="Y695" s="233" t="str">
        <f>VLOOKUP(Table3[[#This Row],[Country Code]],Table29[],6,FALSE)</f>
        <v>no</v>
      </c>
      <c r="Z695" s="233" t="str">
        <f>VLOOKUP(Table3[[#This Row],[Country Code]],Table29[],7,FALSE)</f>
        <v>no</v>
      </c>
      <c r="AA695" s="233" t="str">
        <f>VLOOKUP(Table3[[#This Row],[Country Code]],Table29[],8,FALSE)</f>
        <v>OECD</v>
      </c>
      <c r="AB695" s="233" t="str">
        <f>VLOOKUP(Table3[[#This Row],[Country Code]],Table29[],9,FALSE)</f>
        <v>EU27</v>
      </c>
      <c r="AC695" s="233" t="str">
        <f>VLOOKUP(Table3[[#This Row],[Country Code]],Table29[],10,FALSE)</f>
        <v>no</v>
      </c>
      <c r="AD695" s="235">
        <f>VLOOKUP(Table3[[#This Row],[Country Code]],Table29[],23,FALSE)</f>
        <v>20.683656998446001</v>
      </c>
      <c r="AE695" s="235">
        <f>VLOOKUP(Table3[[#This Row],[Country Code]],Table29[],24,FALSE)</f>
        <v>6.2808070704944967</v>
      </c>
      <c r="AF695" s="43"/>
    </row>
    <row r="696" spans="1:32" ht="135" x14ac:dyDescent="0.25">
      <c r="A696" s="360">
        <v>32505</v>
      </c>
      <c r="B696" s="233" t="str">
        <f>VLOOKUP(Table3[[#This Row],[Document ID]],Table1[],2,FALSE)</f>
        <v>LTU</v>
      </c>
      <c r="C696" s="233" t="str">
        <f>VLOOKUP(Table3[[#This Row],[Document ID]],Table1[],3,FALSE)</f>
        <v>Lithuania</v>
      </c>
      <c r="D696" s="233" t="str">
        <f>VLOOKUP(Table3[[#This Row],[Document ID]],Table1[],5,FALSE)</f>
        <v>LTS</v>
      </c>
      <c r="E696" s="233" t="str">
        <f>VLOOKUP(Table3[[#This Row],[Document ID]],Table1[],7,FALSE)</f>
        <v>EU-LTS</v>
      </c>
      <c r="F696" s="233" t="str">
        <f>VLOOKUP(Table3[[#This Row],[Document ID]],Table1[],8,FALSE)</f>
        <v>LTS 1.0</v>
      </c>
      <c r="G696" s="233" t="str">
        <f>VLOOKUP(Table3[[#This Row],[Document ID]],Table1[],10,FALSE)</f>
        <v>Active</v>
      </c>
      <c r="H696" s="42" t="s">
        <v>1095</v>
      </c>
      <c r="I696" s="42" t="s">
        <v>1096</v>
      </c>
      <c r="J696" s="42" t="s">
        <v>1097</v>
      </c>
      <c r="K696" s="28" t="s">
        <v>1104</v>
      </c>
      <c r="L696" s="42" t="s">
        <v>1099</v>
      </c>
      <c r="M696" s="209">
        <v>2030</v>
      </c>
      <c r="N696" s="209" t="s">
        <v>1808</v>
      </c>
      <c r="O696" s="257">
        <v>22</v>
      </c>
      <c r="P696" s="238" t="str">
        <f>VLOOKUP(_xlfn.CONCAT(Table3[[#This Row],[Target area]],Table3[[#This Row],[GHG target?]],Table3[[#This Row],[Conditionality]]),'Drop down'!$E$81:$F$101,2,FALSE)</f>
        <v>T_Transport_O_Unc</v>
      </c>
      <c r="Q696" s="239" t="str">
        <f>VLOOKUP(Table3[[#This Row],[Target type]],Table418[[Value name]:[Value idenifyer]],2,FALSE)</f>
        <v>T_O_ZERO</v>
      </c>
      <c r="S696" s="233" t="s">
        <v>1125</v>
      </c>
      <c r="T696" s="234" t="s">
        <v>1113</v>
      </c>
      <c r="V696" s="233" t="str">
        <f>VLOOKUP(Table3[[#This Row],[Country Code]],Table29[],3,FALSE)</f>
        <v>Annex I</v>
      </c>
      <c r="W696" s="233" t="str">
        <f>VLOOKUP(Table3[[#This Row],[Country Code]],Table29[],4,FALSE)</f>
        <v>Europe</v>
      </c>
      <c r="X696" s="233" t="str">
        <f>VLOOKUP(Table3[[#This Row],[Country Code]],Table29[],5,FALSE)</f>
        <v>High-income</v>
      </c>
      <c r="Y696" s="233" t="str">
        <f>VLOOKUP(Table3[[#This Row],[Country Code]],Table29[],6,FALSE)</f>
        <v>no</v>
      </c>
      <c r="Z696" s="233" t="str">
        <f>VLOOKUP(Table3[[#This Row],[Country Code]],Table29[],7,FALSE)</f>
        <v>no</v>
      </c>
      <c r="AA696" s="233" t="str">
        <f>VLOOKUP(Table3[[#This Row],[Country Code]],Table29[],8,FALSE)</f>
        <v>OECD</v>
      </c>
      <c r="AB696" s="233" t="str">
        <f>VLOOKUP(Table3[[#This Row],[Country Code]],Table29[],9,FALSE)</f>
        <v>EU27</v>
      </c>
      <c r="AC696" s="233" t="str">
        <f>VLOOKUP(Table3[[#This Row],[Country Code]],Table29[],10,FALSE)</f>
        <v>no</v>
      </c>
      <c r="AD696" s="235">
        <f>VLOOKUP(Table3[[#This Row],[Country Code]],Table29[],23,FALSE)</f>
        <v>20.683656998446001</v>
      </c>
      <c r="AE696" s="235">
        <f>VLOOKUP(Table3[[#This Row],[Country Code]],Table29[],24,FALSE)</f>
        <v>6.2808070704944967</v>
      </c>
      <c r="AF696" s="43"/>
    </row>
    <row r="697" spans="1:32" ht="165" x14ac:dyDescent="0.25">
      <c r="A697" s="360">
        <v>32505</v>
      </c>
      <c r="B697" s="233" t="str">
        <f>VLOOKUP(Table3[[#This Row],[Document ID]],Table1[],2,FALSE)</f>
        <v>LTU</v>
      </c>
      <c r="C697" s="233" t="str">
        <f>VLOOKUP(Table3[[#This Row],[Document ID]],Table1[],3,FALSE)</f>
        <v>Lithuania</v>
      </c>
      <c r="D697" s="233" t="str">
        <f>VLOOKUP(Table3[[#This Row],[Document ID]],Table1[],5,FALSE)</f>
        <v>LTS</v>
      </c>
      <c r="E697" s="233" t="str">
        <f>VLOOKUP(Table3[[#This Row],[Document ID]],Table1[],7,FALSE)</f>
        <v>EU-LTS</v>
      </c>
      <c r="F697" s="233" t="str">
        <f>VLOOKUP(Table3[[#This Row],[Document ID]],Table1[],8,FALSE)</f>
        <v>LTS 1.0</v>
      </c>
      <c r="G697" s="233" t="str">
        <f>VLOOKUP(Table3[[#This Row],[Document ID]],Table1[],10,FALSE)</f>
        <v>Active</v>
      </c>
      <c r="H697" s="42" t="s">
        <v>1095</v>
      </c>
      <c r="I697" s="42" t="s">
        <v>1096</v>
      </c>
      <c r="J697" s="42" t="s">
        <v>1097</v>
      </c>
      <c r="K697" s="28" t="s">
        <v>1104</v>
      </c>
      <c r="L697" s="42" t="s">
        <v>1099</v>
      </c>
      <c r="M697" s="209">
        <v>2030</v>
      </c>
      <c r="N697" s="209" t="s">
        <v>1809</v>
      </c>
      <c r="O697" s="258">
        <v>23</v>
      </c>
      <c r="P697" s="238" t="str">
        <f>VLOOKUP(_xlfn.CONCAT(Table3[[#This Row],[Target area]],Table3[[#This Row],[GHG target?]],Table3[[#This Row],[Conditionality]]),'Drop down'!$E$81:$F$101,2,FALSE)</f>
        <v>T_Transport_O_Unc</v>
      </c>
      <c r="Q697" s="239" t="str">
        <f>VLOOKUP(Table3[[#This Row],[Target type]],Table418[[Value name]:[Value idenifyer]],2,FALSE)</f>
        <v>T_O_ZERO</v>
      </c>
      <c r="S697" s="233" t="s">
        <v>1125</v>
      </c>
      <c r="T697" s="234" t="s">
        <v>1113</v>
      </c>
      <c r="V697" s="233" t="str">
        <f>VLOOKUP(Table3[[#This Row],[Country Code]],Table29[],3,FALSE)</f>
        <v>Annex I</v>
      </c>
      <c r="W697" s="233" t="str">
        <f>VLOOKUP(Table3[[#This Row],[Country Code]],Table29[],4,FALSE)</f>
        <v>Europe</v>
      </c>
      <c r="X697" s="233" t="str">
        <f>VLOOKUP(Table3[[#This Row],[Country Code]],Table29[],5,FALSE)</f>
        <v>High-income</v>
      </c>
      <c r="Y697" s="233" t="str">
        <f>VLOOKUP(Table3[[#This Row],[Country Code]],Table29[],6,FALSE)</f>
        <v>no</v>
      </c>
      <c r="Z697" s="233" t="str">
        <f>VLOOKUP(Table3[[#This Row],[Country Code]],Table29[],7,FALSE)</f>
        <v>no</v>
      </c>
      <c r="AA697" s="233" t="str">
        <f>VLOOKUP(Table3[[#This Row],[Country Code]],Table29[],8,FALSE)</f>
        <v>OECD</v>
      </c>
      <c r="AB697" s="233" t="str">
        <f>VLOOKUP(Table3[[#This Row],[Country Code]],Table29[],9,FALSE)</f>
        <v>EU27</v>
      </c>
      <c r="AC697" s="233" t="str">
        <f>VLOOKUP(Table3[[#This Row],[Country Code]],Table29[],10,FALSE)</f>
        <v>no</v>
      </c>
      <c r="AD697" s="235">
        <f>VLOOKUP(Table3[[#This Row],[Country Code]],Table29[],23,FALSE)</f>
        <v>20.683656998446001</v>
      </c>
      <c r="AE697" s="235">
        <f>VLOOKUP(Table3[[#This Row],[Country Code]],Table29[],24,FALSE)</f>
        <v>6.2808070704944967</v>
      </c>
      <c r="AF697" s="43"/>
    </row>
    <row r="698" spans="1:32" ht="45" x14ac:dyDescent="0.25">
      <c r="A698" s="360">
        <v>32505</v>
      </c>
      <c r="B698" s="233" t="str">
        <f>VLOOKUP(Table3[[#This Row],[Document ID]],Table1[],2,FALSE)</f>
        <v>LTU</v>
      </c>
      <c r="C698" s="233" t="str">
        <f>VLOOKUP(Table3[[#This Row],[Document ID]],Table1[],3,FALSE)</f>
        <v>Lithuania</v>
      </c>
      <c r="D698" s="233" t="str">
        <f>VLOOKUP(Table3[[#This Row],[Document ID]],Table1[],5,FALSE)</f>
        <v>LTS</v>
      </c>
      <c r="E698" s="233" t="str">
        <f>VLOOKUP(Table3[[#This Row],[Document ID]],Table1[],7,FALSE)</f>
        <v>EU-LTS</v>
      </c>
      <c r="F698" s="233" t="str">
        <f>VLOOKUP(Table3[[#This Row],[Document ID]],Table1[],8,FALSE)</f>
        <v>LTS 1.0</v>
      </c>
      <c r="G698" s="233" t="str">
        <f>VLOOKUP(Table3[[#This Row],[Document ID]],Table1[],10,FALSE)</f>
        <v>Active</v>
      </c>
      <c r="H698" s="42" t="s">
        <v>1095</v>
      </c>
      <c r="I698" s="42" t="s">
        <v>1096</v>
      </c>
      <c r="J698" s="42" t="s">
        <v>1097</v>
      </c>
      <c r="K698" s="28" t="s">
        <v>1137</v>
      </c>
      <c r="L698" s="42" t="s">
        <v>1099</v>
      </c>
      <c r="M698" s="209">
        <v>2035</v>
      </c>
      <c r="N698" s="209" t="s">
        <v>1810</v>
      </c>
      <c r="O698" s="258">
        <v>23</v>
      </c>
      <c r="P698" s="238" t="str">
        <f>VLOOKUP(_xlfn.CONCAT(Table3[[#This Row],[Target area]],Table3[[#This Row],[GHG target?]],Table3[[#This Row],[Conditionality]]),'Drop down'!$E$81:$F$101,2,FALSE)</f>
        <v>T_Transport_O_Unc</v>
      </c>
      <c r="Q698" s="239" t="str">
        <f>VLOOKUP(Table3[[#This Row],[Target type]],Table418[[Value name]:[Value idenifyer]],2,FALSE)</f>
        <v>T_O_EFF</v>
      </c>
      <c r="S698" s="233" t="s">
        <v>1125</v>
      </c>
      <c r="T698" s="234" t="s">
        <v>1113</v>
      </c>
      <c r="V698" s="233" t="str">
        <f>VLOOKUP(Table3[[#This Row],[Country Code]],Table29[],3,FALSE)</f>
        <v>Annex I</v>
      </c>
      <c r="W698" s="233" t="str">
        <f>VLOOKUP(Table3[[#This Row],[Country Code]],Table29[],4,FALSE)</f>
        <v>Europe</v>
      </c>
      <c r="X698" s="233" t="str">
        <f>VLOOKUP(Table3[[#This Row],[Country Code]],Table29[],5,FALSE)</f>
        <v>High-income</v>
      </c>
      <c r="Y698" s="233" t="str">
        <f>VLOOKUP(Table3[[#This Row],[Country Code]],Table29[],6,FALSE)</f>
        <v>no</v>
      </c>
      <c r="Z698" s="233" t="str">
        <f>VLOOKUP(Table3[[#This Row],[Country Code]],Table29[],7,FALSE)</f>
        <v>no</v>
      </c>
      <c r="AA698" s="233" t="str">
        <f>VLOOKUP(Table3[[#This Row],[Country Code]],Table29[],8,FALSE)</f>
        <v>OECD</v>
      </c>
      <c r="AB698" s="233" t="str">
        <f>VLOOKUP(Table3[[#This Row],[Country Code]],Table29[],9,FALSE)</f>
        <v>EU27</v>
      </c>
      <c r="AC698" s="233" t="str">
        <f>VLOOKUP(Table3[[#This Row],[Country Code]],Table29[],10,FALSE)</f>
        <v>no</v>
      </c>
      <c r="AD698" s="235">
        <f>VLOOKUP(Table3[[#This Row],[Country Code]],Table29[],23,FALSE)</f>
        <v>20.683656998446001</v>
      </c>
      <c r="AE698" s="235">
        <f>VLOOKUP(Table3[[#This Row],[Country Code]],Table29[],24,FALSE)</f>
        <v>6.2808070704944967</v>
      </c>
      <c r="AF698" s="43"/>
    </row>
    <row r="699" spans="1:32" x14ac:dyDescent="0.25">
      <c r="A699" s="360">
        <v>17734</v>
      </c>
      <c r="B699" s="233" t="str">
        <f>VLOOKUP(Table3[[#This Row],[Document ID]],Table1[],2,FALSE)</f>
        <v>SVK</v>
      </c>
      <c r="C699" s="233" t="str">
        <f>VLOOKUP(Table3[[#This Row],[Document ID]],Table1[],3,FALSE)</f>
        <v>Slovakia</v>
      </c>
      <c r="D699" s="233" t="str">
        <f>VLOOKUP(Table3[[#This Row],[Document ID]],Table1[],5,FALSE)</f>
        <v>LTS</v>
      </c>
      <c r="E699" s="233" t="str">
        <f>VLOOKUP(Table3[[#This Row],[Document ID]],Table1[],7,FALSE)</f>
        <v>LTS</v>
      </c>
      <c r="F699" s="233" t="str">
        <f>VLOOKUP(Table3[[#This Row],[Document ID]],Table1[],8,FALSE)</f>
        <v>LTS 1.0</v>
      </c>
      <c r="G699" s="233" t="str">
        <f>VLOOKUP(Table3[[#This Row],[Document ID]],Table1[],10,FALSE)</f>
        <v>Active</v>
      </c>
      <c r="H699" s="216" t="s">
        <v>1089</v>
      </c>
      <c r="I699" s="216" t="s">
        <v>1089</v>
      </c>
      <c r="J699" s="43" t="s">
        <v>1090</v>
      </c>
      <c r="K699" s="28" t="s">
        <v>1153</v>
      </c>
      <c r="L699" s="42" t="s">
        <v>1099</v>
      </c>
      <c r="M699" s="209">
        <v>2050</v>
      </c>
      <c r="N699" s="44" t="s">
        <v>1811</v>
      </c>
      <c r="O699" s="221" t="s">
        <v>1812</v>
      </c>
      <c r="P699" s="238" t="str">
        <f>VLOOKUP(_xlfn.CONCAT(Table3[[#This Row],[Target area]],Table3[[#This Row],[GHG target?]],Table3[[#This Row],[Conditionality]]),'Drop down'!$E$81:$F$101,2,FALSE)</f>
        <v>T_Economy_Unc</v>
      </c>
      <c r="Q699" s="239" t="str">
        <f>VLOOKUP(Table3[[#This Row],[Target type]],Table418[[Value name]:[Value idenifyer]],2,FALSE)</f>
        <v>T_BYE</v>
      </c>
      <c r="S699" s="233" t="s">
        <v>1101</v>
      </c>
      <c r="T699" s="234" t="s">
        <v>1113</v>
      </c>
      <c r="V699" s="233" t="str">
        <f>VLOOKUP(Table3[[#This Row],[Country Code]],Table29[],3,FALSE)</f>
        <v>Annex I</v>
      </c>
      <c r="W699" s="233" t="str">
        <f>VLOOKUP(Table3[[#This Row],[Country Code]],Table29[],4,FALSE)</f>
        <v>Europe</v>
      </c>
      <c r="X699" s="233" t="str">
        <f>VLOOKUP(Table3[[#This Row],[Country Code]],Table29[],5,FALSE)</f>
        <v>High-income</v>
      </c>
      <c r="Y699" s="233" t="str">
        <f>VLOOKUP(Table3[[#This Row],[Country Code]],Table29[],6,FALSE)</f>
        <v>no</v>
      </c>
      <c r="Z699" s="233" t="str">
        <f>VLOOKUP(Table3[[#This Row],[Country Code]],Table29[],7,FALSE)</f>
        <v>no</v>
      </c>
      <c r="AA699" s="233" t="str">
        <f>VLOOKUP(Table3[[#This Row],[Country Code]],Table29[],8,FALSE)</f>
        <v>OECD</v>
      </c>
      <c r="AB699" s="233" t="str">
        <f>VLOOKUP(Table3[[#This Row],[Country Code]],Table29[],9,FALSE)</f>
        <v>EU27</v>
      </c>
      <c r="AC699" s="233" t="str">
        <f>VLOOKUP(Table3[[#This Row],[Country Code]],Table29[],10,FALSE)</f>
        <v>no</v>
      </c>
      <c r="AD699" s="235">
        <f>VLOOKUP(Table3[[#This Row],[Country Code]],Table29[],23,FALSE)</f>
        <v>44.775610890682003</v>
      </c>
      <c r="AE699" s="235">
        <f>VLOOKUP(Table3[[#This Row],[Country Code]],Table29[],24,FALSE)</f>
        <v>7.6629333129442534</v>
      </c>
      <c r="AF699" s="43"/>
    </row>
    <row r="700" spans="1:32" ht="30" x14ac:dyDescent="0.25">
      <c r="A700" s="360">
        <v>32505</v>
      </c>
      <c r="B700" s="233" t="str">
        <f>VLOOKUP(Table3[[#This Row],[Document ID]],Table1[],2,FALSE)</f>
        <v>LTU</v>
      </c>
      <c r="C700" s="233" t="str">
        <f>VLOOKUP(Table3[[#This Row],[Document ID]],Table1[],3,FALSE)</f>
        <v>Lithuania</v>
      </c>
      <c r="D700" s="233" t="str">
        <f>VLOOKUP(Table3[[#This Row],[Document ID]],Table1[],5,FALSE)</f>
        <v>LTS</v>
      </c>
      <c r="E700" s="233" t="str">
        <f>VLOOKUP(Table3[[#This Row],[Document ID]],Table1[],7,FALSE)</f>
        <v>EU-LTS</v>
      </c>
      <c r="F700" s="233" t="str">
        <f>VLOOKUP(Table3[[#This Row],[Document ID]],Table1[],8,FALSE)</f>
        <v>LTS 1.0</v>
      </c>
      <c r="G700" s="233" t="str">
        <f>VLOOKUP(Table3[[#This Row],[Document ID]],Table1[],10,FALSE)</f>
        <v>Active</v>
      </c>
      <c r="H700" s="42" t="s">
        <v>1095</v>
      </c>
      <c r="I700" s="42" t="s">
        <v>1096</v>
      </c>
      <c r="J700" s="42" t="s">
        <v>1097</v>
      </c>
      <c r="K700" s="28" t="s">
        <v>1104</v>
      </c>
      <c r="L700" s="42" t="s">
        <v>1099</v>
      </c>
      <c r="M700" s="209">
        <v>2040</v>
      </c>
      <c r="N700" s="209" t="s">
        <v>1813</v>
      </c>
      <c r="O700" s="258">
        <v>23</v>
      </c>
      <c r="P700" s="238" t="str">
        <f>VLOOKUP(_xlfn.CONCAT(Table3[[#This Row],[Target area]],Table3[[#This Row],[GHG target?]],Table3[[#This Row],[Conditionality]]),'Drop down'!$E$81:$F$101,2,FALSE)</f>
        <v>T_Transport_O_Unc</v>
      </c>
      <c r="Q700" s="239" t="str">
        <f>VLOOKUP(Table3[[#This Row],[Target type]],Table418[[Value name]:[Value idenifyer]],2,FALSE)</f>
        <v>T_O_ZERO</v>
      </c>
      <c r="S700" s="233" t="s">
        <v>1125</v>
      </c>
      <c r="T700" s="234" t="s">
        <v>1113</v>
      </c>
      <c r="V700" s="233" t="str">
        <f>VLOOKUP(Table3[[#This Row],[Country Code]],Table29[],3,FALSE)</f>
        <v>Annex I</v>
      </c>
      <c r="W700" s="233" t="str">
        <f>VLOOKUP(Table3[[#This Row],[Country Code]],Table29[],4,FALSE)</f>
        <v>Europe</v>
      </c>
      <c r="X700" s="233" t="str">
        <f>VLOOKUP(Table3[[#This Row],[Country Code]],Table29[],5,FALSE)</f>
        <v>High-income</v>
      </c>
      <c r="Y700" s="233" t="str">
        <f>VLOOKUP(Table3[[#This Row],[Country Code]],Table29[],6,FALSE)</f>
        <v>no</v>
      </c>
      <c r="Z700" s="233" t="str">
        <f>VLOOKUP(Table3[[#This Row],[Country Code]],Table29[],7,FALSE)</f>
        <v>no</v>
      </c>
      <c r="AA700" s="233" t="str">
        <f>VLOOKUP(Table3[[#This Row],[Country Code]],Table29[],8,FALSE)</f>
        <v>OECD</v>
      </c>
      <c r="AB700" s="233" t="str">
        <f>VLOOKUP(Table3[[#This Row],[Country Code]],Table29[],9,FALSE)</f>
        <v>EU27</v>
      </c>
      <c r="AC700" s="233" t="str">
        <f>VLOOKUP(Table3[[#This Row],[Country Code]],Table29[],10,FALSE)</f>
        <v>no</v>
      </c>
      <c r="AD700" s="235">
        <f>VLOOKUP(Table3[[#This Row],[Country Code]],Table29[],23,FALSE)</f>
        <v>20.683656998446001</v>
      </c>
      <c r="AE700" s="235">
        <f>VLOOKUP(Table3[[#This Row],[Country Code]],Table29[],24,FALSE)</f>
        <v>6.2808070704944967</v>
      </c>
      <c r="AF700" s="43"/>
    </row>
    <row r="701" spans="1:32" ht="30" x14ac:dyDescent="0.25">
      <c r="A701" s="360">
        <v>32515</v>
      </c>
      <c r="B701" s="233" t="str">
        <f>VLOOKUP(Table3[[#This Row],[Document ID]],Table1[],2,FALSE)</f>
        <v>SVN</v>
      </c>
      <c r="C701" s="233" t="str">
        <f>VLOOKUP(Table3[[#This Row],[Document ID]],Table1[],3,FALSE)</f>
        <v>Slovenia</v>
      </c>
      <c r="D701" s="233" t="str">
        <f>VLOOKUP(Table3[[#This Row],[Document ID]],Table1[],5,FALSE)</f>
        <v>LTS</v>
      </c>
      <c r="E701" s="233" t="str">
        <f>VLOOKUP(Table3[[#This Row],[Document ID]],Table1[],7,FALSE)</f>
        <v>LTS</v>
      </c>
      <c r="F701" s="233" t="str">
        <f>VLOOKUP(Table3[[#This Row],[Document ID]],Table1[],8,FALSE)</f>
        <v>LTS 1.0</v>
      </c>
      <c r="G701" s="233" t="str">
        <f>VLOOKUP(Table3[[#This Row],[Document ID]],Table1[],10,FALSE)</f>
        <v>Active</v>
      </c>
      <c r="H701" s="216" t="s">
        <v>1089</v>
      </c>
      <c r="I701" s="216" t="s">
        <v>1089</v>
      </c>
      <c r="J701" s="43" t="s">
        <v>1090</v>
      </c>
      <c r="K701" s="28" t="s">
        <v>1121</v>
      </c>
      <c r="L701" s="42" t="s">
        <v>1099</v>
      </c>
      <c r="M701" s="209">
        <v>2050</v>
      </c>
      <c r="N701" s="209" t="s">
        <v>1814</v>
      </c>
      <c r="O701" s="257">
        <v>15</v>
      </c>
      <c r="P701" s="238" t="str">
        <f>VLOOKUP(_xlfn.CONCAT(Table3[[#This Row],[Target area]],Table3[[#This Row],[GHG target?]],Table3[[#This Row],[Conditionality]]),'Drop down'!$E$81:$F$101,2,FALSE)</f>
        <v>T_Economy_Unc</v>
      </c>
      <c r="Q701" s="239" t="str">
        <f>VLOOKUP(Table3[[#This Row],[Target type]],Table418[[Value name]:[Value idenifyer]],2,FALSE)</f>
        <v>T_FL</v>
      </c>
      <c r="S701" s="233" t="s">
        <v>1112</v>
      </c>
      <c r="T701" s="240" t="s">
        <v>1113</v>
      </c>
      <c r="U701" s="240"/>
      <c r="V701" s="233" t="str">
        <f>VLOOKUP(Table3[[#This Row],[Country Code]],Table29[],3,FALSE)</f>
        <v>Annex I</v>
      </c>
      <c r="W701" s="233" t="str">
        <f>VLOOKUP(Table3[[#This Row],[Country Code]],Table29[],4,FALSE)</f>
        <v>Europe</v>
      </c>
      <c r="X701" s="233" t="str">
        <f>VLOOKUP(Table3[[#This Row],[Country Code]],Table29[],5,FALSE)</f>
        <v>High-income</v>
      </c>
      <c r="Y701" s="233" t="str">
        <f>VLOOKUP(Table3[[#This Row],[Country Code]],Table29[],6,FALSE)</f>
        <v>no</v>
      </c>
      <c r="Z701" s="233" t="str">
        <f>VLOOKUP(Table3[[#This Row],[Country Code]],Table29[],7,FALSE)</f>
        <v>no</v>
      </c>
      <c r="AA701" s="233" t="str">
        <f>VLOOKUP(Table3[[#This Row],[Country Code]],Table29[],8,FALSE)</f>
        <v>OECD</v>
      </c>
      <c r="AB701" s="233" t="str">
        <f>VLOOKUP(Table3[[#This Row],[Country Code]],Table29[],9,FALSE)</f>
        <v>EU27</v>
      </c>
      <c r="AC701" s="233" t="str">
        <f>VLOOKUP(Table3[[#This Row],[Country Code]],Table29[],10,FALSE)</f>
        <v>no</v>
      </c>
      <c r="AD701" s="235">
        <f>VLOOKUP(Table3[[#This Row],[Country Code]],Table29[],23,FALSE)</f>
        <v>15.993517423122</v>
      </c>
      <c r="AE701" s="235">
        <f>VLOOKUP(Table3[[#This Row],[Country Code]],Table29[],24,FALSE)</f>
        <v>4.830209372200426</v>
      </c>
      <c r="AF701" s="43"/>
    </row>
    <row r="702" spans="1:32" ht="30" x14ac:dyDescent="0.25">
      <c r="A702" s="360">
        <v>32505</v>
      </c>
      <c r="B702" s="233" t="str">
        <f>VLOOKUP(Table3[[#This Row],[Document ID]],Table1[],2,FALSE)</f>
        <v>LTU</v>
      </c>
      <c r="C702" s="233" t="str">
        <f>VLOOKUP(Table3[[#This Row],[Document ID]],Table1[],3,FALSE)</f>
        <v>Lithuania</v>
      </c>
      <c r="D702" s="233" t="str">
        <f>VLOOKUP(Table3[[#This Row],[Document ID]],Table1[],5,FALSE)</f>
        <v>LTS</v>
      </c>
      <c r="E702" s="233" t="str">
        <f>VLOOKUP(Table3[[#This Row],[Document ID]],Table1[],7,FALSE)</f>
        <v>EU-LTS</v>
      </c>
      <c r="F702" s="233" t="str">
        <f>VLOOKUP(Table3[[#This Row],[Document ID]],Table1[],8,FALSE)</f>
        <v>LTS 1.0</v>
      </c>
      <c r="G702" s="233" t="str">
        <f>VLOOKUP(Table3[[#This Row],[Document ID]],Table1[],10,FALSE)</f>
        <v>Active</v>
      </c>
      <c r="H702" s="42" t="s">
        <v>1095</v>
      </c>
      <c r="I702" s="42" t="s">
        <v>1096</v>
      </c>
      <c r="J702" s="42" t="s">
        <v>1097</v>
      </c>
      <c r="K702" s="28" t="s">
        <v>1104</v>
      </c>
      <c r="L702" s="42" t="s">
        <v>1099</v>
      </c>
      <c r="M702" s="209">
        <v>2040</v>
      </c>
      <c r="N702" s="209" t="s">
        <v>1815</v>
      </c>
      <c r="O702" s="258">
        <v>23</v>
      </c>
      <c r="P702" s="238" t="str">
        <f>VLOOKUP(_xlfn.CONCAT(Table3[[#This Row],[Target area]],Table3[[#This Row],[GHG target?]],Table3[[#This Row],[Conditionality]]),'Drop down'!$E$81:$F$101,2,FALSE)</f>
        <v>T_Transport_O_Unc</v>
      </c>
      <c r="Q702" s="239" t="str">
        <f>VLOOKUP(Table3[[#This Row],[Target type]],Table418[[Value name]:[Value idenifyer]],2,FALSE)</f>
        <v>T_O_ZERO</v>
      </c>
      <c r="S702" s="233" t="s">
        <v>1125</v>
      </c>
      <c r="T702" s="234" t="s">
        <v>1113</v>
      </c>
      <c r="V702" s="233" t="str">
        <f>VLOOKUP(Table3[[#This Row],[Country Code]],Table29[],3,FALSE)</f>
        <v>Annex I</v>
      </c>
      <c r="W702" s="233" t="str">
        <f>VLOOKUP(Table3[[#This Row],[Country Code]],Table29[],4,FALSE)</f>
        <v>Europe</v>
      </c>
      <c r="X702" s="233" t="str">
        <f>VLOOKUP(Table3[[#This Row],[Country Code]],Table29[],5,FALSE)</f>
        <v>High-income</v>
      </c>
      <c r="Y702" s="233" t="str">
        <f>VLOOKUP(Table3[[#This Row],[Country Code]],Table29[],6,FALSE)</f>
        <v>no</v>
      </c>
      <c r="Z702" s="233" t="str">
        <f>VLOOKUP(Table3[[#This Row],[Country Code]],Table29[],7,FALSE)</f>
        <v>no</v>
      </c>
      <c r="AA702" s="233" t="str">
        <f>VLOOKUP(Table3[[#This Row],[Country Code]],Table29[],8,FALSE)</f>
        <v>OECD</v>
      </c>
      <c r="AB702" s="233" t="str">
        <f>VLOOKUP(Table3[[#This Row],[Country Code]],Table29[],9,FALSE)</f>
        <v>EU27</v>
      </c>
      <c r="AC702" s="233" t="str">
        <f>VLOOKUP(Table3[[#This Row],[Country Code]],Table29[],10,FALSE)</f>
        <v>no</v>
      </c>
      <c r="AD702" s="235">
        <f>VLOOKUP(Table3[[#This Row],[Country Code]],Table29[],23,FALSE)</f>
        <v>20.683656998446001</v>
      </c>
      <c r="AE702" s="235">
        <f>VLOOKUP(Table3[[#This Row],[Country Code]],Table29[],24,FALSE)</f>
        <v>6.2808070704944967</v>
      </c>
      <c r="AF702" s="43"/>
    </row>
    <row r="703" spans="1:32" x14ac:dyDescent="0.25">
      <c r="A703" s="360">
        <v>21220</v>
      </c>
      <c r="B703" s="233" t="str">
        <f>VLOOKUP(Table3[[#This Row],[Document ID]],Table1[],2,FALSE)</f>
        <v>SLB</v>
      </c>
      <c r="C703" s="233" t="str">
        <f>VLOOKUP(Table3[[#This Row],[Document ID]],Table1[],3,FALSE)</f>
        <v>Solomon Islands</v>
      </c>
      <c r="D703" s="233" t="str">
        <f>VLOOKUP(Table3[[#This Row],[Document ID]],Table1[],5,FALSE)</f>
        <v>NDC</v>
      </c>
      <c r="E703" s="233" t="str">
        <f>VLOOKUP(Table3[[#This Row],[Document ID]],Table1[],7,FALSE)</f>
        <v>First NDC updated</v>
      </c>
      <c r="F703" s="233" t="str">
        <f>VLOOKUP(Table3[[#This Row],[Document ID]],Table1[],8,FALSE)</f>
        <v>NDC 1.1</v>
      </c>
      <c r="G703" s="233" t="str">
        <f>VLOOKUP(Table3[[#This Row],[Document ID]],Table1[],10,FALSE)</f>
        <v>Active</v>
      </c>
      <c r="H703" s="216" t="s">
        <v>1089</v>
      </c>
      <c r="I703" s="216" t="s">
        <v>1089</v>
      </c>
      <c r="J703" s="43" t="s">
        <v>1090</v>
      </c>
      <c r="K703" s="28" t="s">
        <v>1091</v>
      </c>
      <c r="L703" s="42" t="s">
        <v>1099</v>
      </c>
      <c r="M703" s="209">
        <v>2030</v>
      </c>
      <c r="N703" s="209" t="s">
        <v>1816</v>
      </c>
      <c r="O703" s="259">
        <v>9</v>
      </c>
      <c r="P703" s="238" t="str">
        <f>VLOOKUP(_xlfn.CONCAT(Table3[[#This Row],[Target area]],Table3[[#This Row],[GHG target?]],Table3[[#This Row],[Conditionality]]),'Drop down'!$E$81:$F$101,2,FALSE)</f>
        <v>T_Economy_Unc</v>
      </c>
      <c r="Q703" s="239" t="str">
        <f>VLOOKUP(Table3[[#This Row],[Target type]],Table418[[Value name]:[Value idenifyer]],2,FALSE)</f>
        <v>T_BAU</v>
      </c>
      <c r="T703" s="234" t="s">
        <v>1113</v>
      </c>
      <c r="V703" s="233" t="str">
        <f>VLOOKUP(Table3[[#This Row],[Country Code]],Table29[],3,FALSE)</f>
        <v>Non-Annex I</v>
      </c>
      <c r="W703" s="233" t="str">
        <f>VLOOKUP(Table3[[#This Row],[Country Code]],Table29[],4,FALSE)</f>
        <v>Oceania</v>
      </c>
      <c r="X703" s="233" t="str">
        <f>VLOOKUP(Table3[[#This Row],[Country Code]],Table29[],5,FALSE)</f>
        <v>Middle-income</v>
      </c>
      <c r="Y703" s="233" t="str">
        <f>VLOOKUP(Table3[[#This Row],[Country Code]],Table29[],6,FALSE)</f>
        <v>no</v>
      </c>
      <c r="Z703" s="233" t="str">
        <f>VLOOKUP(Table3[[#This Row],[Country Code]],Table29[],7,FALSE)</f>
        <v>no</v>
      </c>
      <c r="AA703" s="233" t="str">
        <f>VLOOKUP(Table3[[#This Row],[Country Code]],Table29[],8,FALSE)</f>
        <v>non-OECD</v>
      </c>
      <c r="AB703" s="233" t="str">
        <f>VLOOKUP(Table3[[#This Row],[Country Code]],Table29[],9,FALSE)</f>
        <v>no</v>
      </c>
      <c r="AC703" s="233" t="str">
        <f>VLOOKUP(Table3[[#This Row],[Country Code]],Table29[],10,FALSE)</f>
        <v>no</v>
      </c>
      <c r="AD703" s="235">
        <f>VLOOKUP(Table3[[#This Row],[Country Code]],Table29[],23,FALSE)</f>
        <v>0.72081774636639995</v>
      </c>
      <c r="AE703" s="235">
        <f>VLOOKUP(Table3[[#This Row],[Country Code]],Table29[],24,FALSE)</f>
        <v>0.21700975961810029</v>
      </c>
      <c r="AF703" s="43"/>
    </row>
    <row r="704" spans="1:32" ht="30" x14ac:dyDescent="0.25">
      <c r="A704" s="360">
        <v>21220</v>
      </c>
      <c r="B704" s="233" t="str">
        <f>VLOOKUP(Table3[[#This Row],[Document ID]],Table1[],2,FALSE)</f>
        <v>SLB</v>
      </c>
      <c r="C704" s="233" t="str">
        <f>VLOOKUP(Table3[[#This Row],[Document ID]],Table1[],3,FALSE)</f>
        <v>Solomon Islands</v>
      </c>
      <c r="D704" s="233" t="str">
        <f>VLOOKUP(Table3[[#This Row],[Document ID]],Table1[],5,FALSE)</f>
        <v>NDC</v>
      </c>
      <c r="E704" s="233" t="str">
        <f>VLOOKUP(Table3[[#This Row],[Document ID]],Table1[],7,FALSE)</f>
        <v>First NDC updated</v>
      </c>
      <c r="F704" s="233" t="str">
        <f>VLOOKUP(Table3[[#This Row],[Document ID]],Table1[],8,FALSE)</f>
        <v>NDC 1.1</v>
      </c>
      <c r="G704" s="233" t="str">
        <f>VLOOKUP(Table3[[#This Row],[Document ID]],Table1[],10,FALSE)</f>
        <v>Active</v>
      </c>
      <c r="H704" s="216" t="s">
        <v>1089</v>
      </c>
      <c r="I704" s="216" t="s">
        <v>1089</v>
      </c>
      <c r="J704" s="43" t="s">
        <v>1090</v>
      </c>
      <c r="K704" s="28" t="s">
        <v>1091</v>
      </c>
      <c r="L704" s="216" t="s">
        <v>1092</v>
      </c>
      <c r="M704" s="209">
        <v>2030</v>
      </c>
      <c r="N704" s="209" t="s">
        <v>1817</v>
      </c>
      <c r="O704" s="259">
        <v>9</v>
      </c>
      <c r="P704" s="238" t="str">
        <f>VLOOKUP(_xlfn.CONCAT(Table3[[#This Row],[Target area]],Table3[[#This Row],[GHG target?]],Table3[[#This Row],[Conditionality]]),'Drop down'!$E$81:$F$101,2,FALSE)</f>
        <v>T_Economy_C</v>
      </c>
      <c r="Q704" s="239" t="str">
        <f>VLOOKUP(Table3[[#This Row],[Target type]],Table418[[Value name]:[Value idenifyer]],2,FALSE)</f>
        <v>T_BAU</v>
      </c>
      <c r="T704" s="234" t="s">
        <v>1113</v>
      </c>
      <c r="V704" s="233" t="str">
        <f>VLOOKUP(Table3[[#This Row],[Country Code]],Table29[],3,FALSE)</f>
        <v>Non-Annex I</v>
      </c>
      <c r="W704" s="233" t="str">
        <f>VLOOKUP(Table3[[#This Row],[Country Code]],Table29[],4,FALSE)</f>
        <v>Oceania</v>
      </c>
      <c r="X704" s="233" t="str">
        <f>VLOOKUP(Table3[[#This Row],[Country Code]],Table29[],5,FALSE)</f>
        <v>Middle-income</v>
      </c>
      <c r="Y704" s="233" t="str">
        <f>VLOOKUP(Table3[[#This Row],[Country Code]],Table29[],6,FALSE)</f>
        <v>no</v>
      </c>
      <c r="Z704" s="233" t="str">
        <f>VLOOKUP(Table3[[#This Row],[Country Code]],Table29[],7,FALSE)</f>
        <v>no</v>
      </c>
      <c r="AA704" s="233" t="str">
        <f>VLOOKUP(Table3[[#This Row],[Country Code]],Table29[],8,FALSE)</f>
        <v>non-OECD</v>
      </c>
      <c r="AB704" s="233" t="str">
        <f>VLOOKUP(Table3[[#This Row],[Country Code]],Table29[],9,FALSE)</f>
        <v>no</v>
      </c>
      <c r="AC704" s="233" t="str">
        <f>VLOOKUP(Table3[[#This Row],[Country Code]],Table29[],10,FALSE)</f>
        <v>no</v>
      </c>
      <c r="AD704" s="235">
        <f>VLOOKUP(Table3[[#This Row],[Country Code]],Table29[],23,FALSE)</f>
        <v>0.72081774636639995</v>
      </c>
      <c r="AE704" s="235">
        <f>VLOOKUP(Table3[[#This Row],[Country Code]],Table29[],24,FALSE)</f>
        <v>0.21700975961810029</v>
      </c>
      <c r="AF704" s="43"/>
    </row>
    <row r="705" spans="1:32" x14ac:dyDescent="0.25">
      <c r="A705" s="360">
        <v>21220</v>
      </c>
      <c r="B705" s="233" t="str">
        <f>VLOOKUP(Table3[[#This Row],[Document ID]],Table1[],2,FALSE)</f>
        <v>SLB</v>
      </c>
      <c r="C705" s="233" t="str">
        <f>VLOOKUP(Table3[[#This Row],[Document ID]],Table1[],3,FALSE)</f>
        <v>Solomon Islands</v>
      </c>
      <c r="D705" s="233" t="str">
        <f>VLOOKUP(Table3[[#This Row],[Document ID]],Table1[],5,FALSE)</f>
        <v>NDC</v>
      </c>
      <c r="E705" s="233" t="str">
        <f>VLOOKUP(Table3[[#This Row],[Document ID]],Table1[],7,FALSE)</f>
        <v>First NDC updated</v>
      </c>
      <c r="F705" s="233" t="str">
        <f>VLOOKUP(Table3[[#This Row],[Document ID]],Table1[],8,FALSE)</f>
        <v>NDC 1.1</v>
      </c>
      <c r="G705" s="233" t="str">
        <f>VLOOKUP(Table3[[#This Row],[Document ID]],Table1[],10,FALSE)</f>
        <v>Active</v>
      </c>
      <c r="H705" s="43" t="s">
        <v>1147</v>
      </c>
      <c r="I705" s="43" t="s">
        <v>1089</v>
      </c>
      <c r="J705" s="43" t="s">
        <v>1090</v>
      </c>
      <c r="K705" s="28" t="s">
        <v>1091</v>
      </c>
      <c r="L705" s="43" t="s">
        <v>1116</v>
      </c>
      <c r="M705" s="209">
        <v>2050</v>
      </c>
      <c r="N705" s="209" t="s">
        <v>1818</v>
      </c>
      <c r="O705" s="259">
        <v>9</v>
      </c>
      <c r="P705" s="238" t="str">
        <f>VLOOKUP(_xlfn.CONCAT(Table3[[#This Row],[Target area]],Table3[[#This Row],[GHG target?]],Table3[[#This Row],[Conditionality]]),'Drop down'!$E$81:$F$101,2,FALSE)</f>
        <v>T_Netzero</v>
      </c>
      <c r="Q705" s="239" t="str">
        <f>VLOOKUP(Table3[[#This Row],[Target type]],Table418[[Value name]:[Value idenifyer]],2,FALSE)</f>
        <v>T_BAU</v>
      </c>
      <c r="T705" s="234" t="s">
        <v>1113</v>
      </c>
      <c r="V705" s="233" t="str">
        <f>VLOOKUP(Table3[[#This Row],[Country Code]],Table29[],3,FALSE)</f>
        <v>Non-Annex I</v>
      </c>
      <c r="W705" s="233" t="str">
        <f>VLOOKUP(Table3[[#This Row],[Country Code]],Table29[],4,FALSE)</f>
        <v>Oceania</v>
      </c>
      <c r="X705" s="233" t="str">
        <f>VLOOKUP(Table3[[#This Row],[Country Code]],Table29[],5,FALSE)</f>
        <v>Middle-income</v>
      </c>
      <c r="Y705" s="233" t="str">
        <f>VLOOKUP(Table3[[#This Row],[Country Code]],Table29[],6,FALSE)</f>
        <v>no</v>
      </c>
      <c r="Z705" s="233" t="str">
        <f>VLOOKUP(Table3[[#This Row],[Country Code]],Table29[],7,FALSE)</f>
        <v>no</v>
      </c>
      <c r="AA705" s="233" t="str">
        <f>VLOOKUP(Table3[[#This Row],[Country Code]],Table29[],8,FALSE)</f>
        <v>non-OECD</v>
      </c>
      <c r="AB705" s="233" t="str">
        <f>VLOOKUP(Table3[[#This Row],[Country Code]],Table29[],9,FALSE)</f>
        <v>no</v>
      </c>
      <c r="AC705" s="233" t="str">
        <f>VLOOKUP(Table3[[#This Row],[Country Code]],Table29[],10,FALSE)</f>
        <v>no</v>
      </c>
      <c r="AD705" s="235">
        <f>VLOOKUP(Table3[[#This Row],[Country Code]],Table29[],23,FALSE)</f>
        <v>0.72081774636639995</v>
      </c>
      <c r="AE705" s="235">
        <f>VLOOKUP(Table3[[#This Row],[Country Code]],Table29[],24,FALSE)</f>
        <v>0.21700975961810029</v>
      </c>
      <c r="AF705" s="43"/>
    </row>
    <row r="706" spans="1:32" x14ac:dyDescent="0.25">
      <c r="A706" s="360">
        <v>17737</v>
      </c>
      <c r="B706" s="233" t="str">
        <f>VLOOKUP(Table3[[#This Row],[Document ID]],Table1[],2,FALSE)</f>
        <v>SLB</v>
      </c>
      <c r="C706" s="233" t="str">
        <f>VLOOKUP(Table3[[#This Row],[Document ID]],Table1[],3,FALSE)</f>
        <v>Solomon Islands</v>
      </c>
      <c r="D706" s="233" t="str">
        <f>VLOOKUP(Table3[[#This Row],[Document ID]],Table1[],5,FALSE)</f>
        <v>NDC</v>
      </c>
      <c r="E706" s="233" t="str">
        <f>VLOOKUP(Table3[[#This Row],[Document ID]],Table1[],7,FALSE)</f>
        <v>First NDC</v>
      </c>
      <c r="F706" s="233" t="str">
        <f>VLOOKUP(Table3[[#This Row],[Document ID]],Table1[],8,FALSE)</f>
        <v>NDC 1.0</v>
      </c>
      <c r="G706" s="233" t="str">
        <f>VLOOKUP(Table3[[#This Row],[Document ID]],Table1[],10,FALSE)</f>
        <v>Archived</v>
      </c>
      <c r="H706" s="216" t="s">
        <v>1089</v>
      </c>
      <c r="I706" s="216" t="s">
        <v>1089</v>
      </c>
      <c r="J706" s="43" t="s">
        <v>1090</v>
      </c>
      <c r="K706" s="28" t="s">
        <v>1153</v>
      </c>
      <c r="L706" s="42" t="s">
        <v>1099</v>
      </c>
      <c r="M706" s="209">
        <v>2030</v>
      </c>
      <c r="N706" s="176" t="s">
        <v>1819</v>
      </c>
      <c r="O706" s="258" t="s">
        <v>1094</v>
      </c>
      <c r="P706" s="238" t="str">
        <f>VLOOKUP(_xlfn.CONCAT(Table3[[#This Row],[Target area]],Table3[[#This Row],[GHG target?]],Table3[[#This Row],[Conditionality]]),'Drop down'!$E$81:$F$101,2,FALSE)</f>
        <v>T_Economy_Unc</v>
      </c>
      <c r="Q706" s="239" t="str">
        <f>VLOOKUP(Table3[[#This Row],[Target type]],Table418[[Value name]:[Value idenifyer]],2,FALSE)</f>
        <v>T_BYE</v>
      </c>
      <c r="T706" s="234" t="s">
        <v>1113</v>
      </c>
      <c r="V706" s="233" t="str">
        <f>VLOOKUP(Table3[[#This Row],[Country Code]],Table29[],3,FALSE)</f>
        <v>Non-Annex I</v>
      </c>
      <c r="W706" s="233" t="str">
        <f>VLOOKUP(Table3[[#This Row],[Country Code]],Table29[],4,FALSE)</f>
        <v>Oceania</v>
      </c>
      <c r="X706" s="233" t="str">
        <f>VLOOKUP(Table3[[#This Row],[Country Code]],Table29[],5,FALSE)</f>
        <v>Middle-income</v>
      </c>
      <c r="Y706" s="233" t="str">
        <f>VLOOKUP(Table3[[#This Row],[Country Code]],Table29[],6,FALSE)</f>
        <v>no</v>
      </c>
      <c r="Z706" s="233" t="str">
        <f>VLOOKUP(Table3[[#This Row],[Country Code]],Table29[],7,FALSE)</f>
        <v>no</v>
      </c>
      <c r="AA706" s="233" t="str">
        <f>VLOOKUP(Table3[[#This Row],[Country Code]],Table29[],8,FALSE)</f>
        <v>non-OECD</v>
      </c>
      <c r="AB706" s="233" t="str">
        <f>VLOOKUP(Table3[[#This Row],[Country Code]],Table29[],9,FALSE)</f>
        <v>no</v>
      </c>
      <c r="AC706" s="233" t="str">
        <f>VLOOKUP(Table3[[#This Row],[Country Code]],Table29[],10,FALSE)</f>
        <v>no</v>
      </c>
      <c r="AD706" s="235">
        <f>VLOOKUP(Table3[[#This Row],[Country Code]],Table29[],23,FALSE)</f>
        <v>0.72081774636639995</v>
      </c>
      <c r="AE706" s="235">
        <f>VLOOKUP(Table3[[#This Row],[Country Code]],Table29[],24,FALSE)</f>
        <v>0.21700975961810029</v>
      </c>
      <c r="AF706" s="43"/>
    </row>
    <row r="707" spans="1:32" x14ac:dyDescent="0.25">
      <c r="A707" s="360">
        <v>17737</v>
      </c>
      <c r="B707" s="233" t="str">
        <f>VLOOKUP(Table3[[#This Row],[Document ID]],Table1[],2,FALSE)</f>
        <v>SLB</v>
      </c>
      <c r="C707" s="233" t="str">
        <f>VLOOKUP(Table3[[#This Row],[Document ID]],Table1[],3,FALSE)</f>
        <v>Solomon Islands</v>
      </c>
      <c r="D707" s="233" t="str">
        <f>VLOOKUP(Table3[[#This Row],[Document ID]],Table1[],5,FALSE)</f>
        <v>NDC</v>
      </c>
      <c r="E707" s="233" t="str">
        <f>VLOOKUP(Table3[[#This Row],[Document ID]],Table1[],7,FALSE)</f>
        <v>First NDC</v>
      </c>
      <c r="F707" s="233" t="str">
        <f>VLOOKUP(Table3[[#This Row],[Document ID]],Table1[],8,FALSE)</f>
        <v>NDC 1.0</v>
      </c>
      <c r="G707" s="233" t="str">
        <f>VLOOKUP(Table3[[#This Row],[Document ID]],Table1[],10,FALSE)</f>
        <v>Archived</v>
      </c>
      <c r="H707" s="216" t="s">
        <v>1089</v>
      </c>
      <c r="I707" s="216" t="s">
        <v>1089</v>
      </c>
      <c r="J707" s="43" t="s">
        <v>1090</v>
      </c>
      <c r="K707" s="28" t="s">
        <v>1091</v>
      </c>
      <c r="L707" s="216" t="s">
        <v>1092</v>
      </c>
      <c r="M707" s="209">
        <v>2030</v>
      </c>
      <c r="N707" s="176" t="s">
        <v>1820</v>
      </c>
      <c r="O707" s="258" t="s">
        <v>1094</v>
      </c>
      <c r="P707" s="238" t="str">
        <f>VLOOKUP(_xlfn.CONCAT(Table3[[#This Row],[Target area]],Table3[[#This Row],[GHG target?]],Table3[[#This Row],[Conditionality]]),'Drop down'!$E$81:$F$101,2,FALSE)</f>
        <v>T_Economy_C</v>
      </c>
      <c r="Q707" s="239" t="str">
        <f>VLOOKUP(Table3[[#This Row],[Target type]],Table418[[Value name]:[Value idenifyer]],2,FALSE)</f>
        <v>T_BAU</v>
      </c>
      <c r="T707" s="234" t="s">
        <v>1113</v>
      </c>
      <c r="V707" s="233" t="str">
        <f>VLOOKUP(Table3[[#This Row],[Country Code]],Table29[],3,FALSE)</f>
        <v>Non-Annex I</v>
      </c>
      <c r="W707" s="233" t="str">
        <f>VLOOKUP(Table3[[#This Row],[Country Code]],Table29[],4,FALSE)</f>
        <v>Oceania</v>
      </c>
      <c r="X707" s="233" t="str">
        <f>VLOOKUP(Table3[[#This Row],[Country Code]],Table29[],5,FALSE)</f>
        <v>Middle-income</v>
      </c>
      <c r="Y707" s="233" t="str">
        <f>VLOOKUP(Table3[[#This Row],[Country Code]],Table29[],6,FALSE)</f>
        <v>no</v>
      </c>
      <c r="Z707" s="233" t="str">
        <f>VLOOKUP(Table3[[#This Row],[Country Code]],Table29[],7,FALSE)</f>
        <v>no</v>
      </c>
      <c r="AA707" s="233" t="str">
        <f>VLOOKUP(Table3[[#This Row],[Country Code]],Table29[],8,FALSE)</f>
        <v>non-OECD</v>
      </c>
      <c r="AB707" s="233" t="str">
        <f>VLOOKUP(Table3[[#This Row],[Country Code]],Table29[],9,FALSE)</f>
        <v>no</v>
      </c>
      <c r="AC707" s="233" t="str">
        <f>VLOOKUP(Table3[[#This Row],[Country Code]],Table29[],10,FALSE)</f>
        <v>no</v>
      </c>
      <c r="AD707" s="235">
        <f>VLOOKUP(Table3[[#This Row],[Country Code]],Table29[],23,FALSE)</f>
        <v>0.72081774636639995</v>
      </c>
      <c r="AE707" s="235">
        <f>VLOOKUP(Table3[[#This Row],[Country Code]],Table29[],24,FALSE)</f>
        <v>0.21700975961810029</v>
      </c>
      <c r="AF707" s="43"/>
    </row>
    <row r="708" spans="1:32" ht="30" x14ac:dyDescent="0.25">
      <c r="A708" s="373">
        <v>17737</v>
      </c>
      <c r="B708" s="233" t="str">
        <f>VLOOKUP(Table3[[#This Row],[Document ID]],Table1[],2,FALSE)</f>
        <v>SLB</v>
      </c>
      <c r="C708" s="233" t="str">
        <f>VLOOKUP(Table3[[#This Row],[Document ID]],Table1[],3,FALSE)</f>
        <v>Solomon Islands</v>
      </c>
      <c r="D708" s="233" t="str">
        <f>VLOOKUP(Table3[[#This Row],[Document ID]],Table1[],5,FALSE)</f>
        <v>NDC</v>
      </c>
      <c r="E708" s="233" t="str">
        <f>VLOOKUP(Table3[[#This Row],[Document ID]],Table1[],7,FALSE)</f>
        <v>First NDC</v>
      </c>
      <c r="F708" s="243" t="str">
        <f>VLOOKUP(Table3[[#This Row],[Document ID]],Table1[],8,FALSE)</f>
        <v>NDC 1.0</v>
      </c>
      <c r="G708" s="233" t="str">
        <f>VLOOKUP(Table3[[#This Row],[Document ID]],Table1[],10,FALSE)</f>
        <v>Archived</v>
      </c>
      <c r="H708" s="216" t="s">
        <v>1089</v>
      </c>
      <c r="I708" s="216" t="s">
        <v>1089</v>
      </c>
      <c r="J708" s="43" t="s">
        <v>1090</v>
      </c>
      <c r="K708" s="28" t="s">
        <v>1091</v>
      </c>
      <c r="L708" s="176" t="s">
        <v>1092</v>
      </c>
      <c r="M708" s="209">
        <v>2050</v>
      </c>
      <c r="N708" s="176" t="s">
        <v>1821</v>
      </c>
      <c r="O708" s="258">
        <v>7</v>
      </c>
      <c r="P708" s="238" t="str">
        <f>VLOOKUP(_xlfn.CONCAT(Table3[[#This Row],[Target area]],Table3[[#This Row],[GHG target?]],Table3[[#This Row],[Conditionality]]),'Drop down'!$E$81:$F$101,2,FALSE)</f>
        <v>T_Economy_C</v>
      </c>
      <c r="Q708" s="239" t="str">
        <f>VLOOKUP(Table3[[#This Row],[Target type]],Table418[[Value name]:[Value idenifyer]],2,FALSE)</f>
        <v>T_BAU</v>
      </c>
      <c r="T708" s="234" t="s">
        <v>1113</v>
      </c>
      <c r="V708" s="233" t="str">
        <f>VLOOKUP(Table3[[#This Row],[Country Code]],Table29[],3,FALSE)</f>
        <v>Non-Annex I</v>
      </c>
      <c r="W708" s="233" t="str">
        <f>VLOOKUP(Table3[[#This Row],[Country Code]],Table29[],4,FALSE)</f>
        <v>Oceania</v>
      </c>
      <c r="X708" s="233" t="str">
        <f>VLOOKUP(Table3[[#This Row],[Country Code]],Table29[],5,FALSE)</f>
        <v>Middle-income</v>
      </c>
      <c r="Y708" s="233" t="str">
        <f>VLOOKUP(Table3[[#This Row],[Country Code]],Table29[],6,FALSE)</f>
        <v>no</v>
      </c>
      <c r="Z708" s="233" t="str">
        <f>VLOOKUP(Table3[[#This Row],[Country Code]],Table29[],7,FALSE)</f>
        <v>no</v>
      </c>
      <c r="AA708" s="233" t="str">
        <f>VLOOKUP(Table3[[#This Row],[Country Code]],Table29[],8,FALSE)</f>
        <v>non-OECD</v>
      </c>
      <c r="AB708" s="233" t="str">
        <f>VLOOKUP(Table3[[#This Row],[Country Code]],Table29[],9,FALSE)</f>
        <v>no</v>
      </c>
      <c r="AC708" s="233" t="str">
        <f>VLOOKUP(Table3[[#This Row],[Country Code]],Table29[],10,FALSE)</f>
        <v>no</v>
      </c>
      <c r="AD708" s="235">
        <f>VLOOKUP(Table3[[#This Row],[Country Code]],Table29[],23,FALSE)</f>
        <v>0.72081774636639995</v>
      </c>
      <c r="AE708" s="235">
        <f>VLOOKUP(Table3[[#This Row],[Country Code]],Table29[],24,FALSE)</f>
        <v>0.21700975961810029</v>
      </c>
      <c r="AF708" s="43"/>
    </row>
    <row r="709" spans="1:32" ht="30" x14ac:dyDescent="0.25">
      <c r="A709" s="360">
        <v>21415</v>
      </c>
      <c r="B709" s="233" t="str">
        <f>VLOOKUP(Table3[[#This Row],[Document ID]],Table1[],2,FALSE)</f>
        <v>SOM</v>
      </c>
      <c r="C709" s="233" t="str">
        <f>VLOOKUP(Table3[[#This Row],[Document ID]],Table1[],3,FALSE)</f>
        <v>Somalia</v>
      </c>
      <c r="D709" s="233" t="str">
        <f>VLOOKUP(Table3[[#This Row],[Document ID]],Table1[],5,FALSE)</f>
        <v>NDC</v>
      </c>
      <c r="E709" s="233" t="str">
        <f>VLOOKUP(Table3[[#This Row],[Document ID]],Table1[],7,FALSE)</f>
        <v>First NDC updated</v>
      </c>
      <c r="F709" s="233" t="str">
        <f>VLOOKUP(Table3[[#This Row],[Document ID]],Table1[],8,FALSE)</f>
        <v>NDC 1.1</v>
      </c>
      <c r="G709" s="233" t="str">
        <f>VLOOKUP(Table3[[#This Row],[Document ID]],Table1[],10,FALSE)</f>
        <v>Active</v>
      </c>
      <c r="H709" s="216" t="s">
        <v>1089</v>
      </c>
      <c r="I709" s="216" t="s">
        <v>1089</v>
      </c>
      <c r="J709" s="43" t="s">
        <v>1090</v>
      </c>
      <c r="K709" s="28" t="s">
        <v>1091</v>
      </c>
      <c r="L709" s="216" t="s">
        <v>1092</v>
      </c>
      <c r="M709" s="209">
        <v>2030</v>
      </c>
      <c r="N709" s="44" t="s">
        <v>1822</v>
      </c>
      <c r="O709" s="258">
        <v>7</v>
      </c>
      <c r="P709" s="238" t="str">
        <f>VLOOKUP(_xlfn.CONCAT(Table3[[#This Row],[Target area]],Table3[[#This Row],[GHG target?]],Table3[[#This Row],[Conditionality]]),'Drop down'!$E$81:$F$101,2,FALSE)</f>
        <v>T_Economy_C</v>
      </c>
      <c r="Q709" s="239" t="str">
        <f>VLOOKUP(Table3[[#This Row],[Target type]],Table418[[Value name]:[Value idenifyer]],2,FALSE)</f>
        <v>T_BAU</v>
      </c>
      <c r="V709" s="233" t="str">
        <f>VLOOKUP(Table3[[#This Row],[Country Code]],Table29[],3,FALSE)</f>
        <v>Non-Annex I</v>
      </c>
      <c r="W709" s="233" t="str">
        <f>VLOOKUP(Table3[[#This Row],[Country Code]],Table29[],4,FALSE)</f>
        <v>Africa</v>
      </c>
      <c r="X709" s="233" t="str">
        <f>VLOOKUP(Table3[[#This Row],[Country Code]],Table29[],5,FALSE)</f>
        <v>Low-income</v>
      </c>
      <c r="Y709" s="233" t="str">
        <f>VLOOKUP(Table3[[#This Row],[Country Code]],Table29[],6,FALSE)</f>
        <v>no</v>
      </c>
      <c r="Z709" s="233" t="str">
        <f>VLOOKUP(Table3[[#This Row],[Country Code]],Table29[],7,FALSE)</f>
        <v>no</v>
      </c>
      <c r="AA709" s="233" t="str">
        <f>VLOOKUP(Table3[[#This Row],[Country Code]],Table29[],8,FALSE)</f>
        <v>non-OECD</v>
      </c>
      <c r="AB709" s="233" t="str">
        <f>VLOOKUP(Table3[[#This Row],[Country Code]],Table29[],9,FALSE)</f>
        <v>no</v>
      </c>
      <c r="AC709" s="233" t="str">
        <f>VLOOKUP(Table3[[#This Row],[Country Code]],Table29[],10,FALSE)</f>
        <v>no</v>
      </c>
      <c r="AD709" s="235">
        <f>VLOOKUP(Table3[[#This Row],[Country Code]],Table29[],23,FALSE)</f>
        <v>32.499935850652001</v>
      </c>
      <c r="AE709" s="235">
        <f>VLOOKUP(Table3[[#This Row],[Country Code]],Table29[],24,FALSE)</f>
        <v>0.489420024592578</v>
      </c>
      <c r="AF709" s="43"/>
    </row>
    <row r="710" spans="1:32" ht="45" x14ac:dyDescent="0.25">
      <c r="A710" s="360">
        <v>32505</v>
      </c>
      <c r="B710" s="233" t="str">
        <f>VLOOKUP(Table3[[#This Row],[Document ID]],Table1[],2,FALSE)</f>
        <v>LTU</v>
      </c>
      <c r="C710" s="233" t="str">
        <f>VLOOKUP(Table3[[#This Row],[Document ID]],Table1[],3,FALSE)</f>
        <v>Lithuania</v>
      </c>
      <c r="D710" s="233" t="str">
        <f>VLOOKUP(Table3[[#This Row],[Document ID]],Table1[],5,FALSE)</f>
        <v>LTS</v>
      </c>
      <c r="E710" s="233" t="str">
        <f>VLOOKUP(Table3[[#This Row],[Document ID]],Table1[],7,FALSE)</f>
        <v>EU-LTS</v>
      </c>
      <c r="F710" s="233" t="str">
        <f>VLOOKUP(Table3[[#This Row],[Document ID]],Table1[],8,FALSE)</f>
        <v>LTS 1.0</v>
      </c>
      <c r="G710" s="233" t="str">
        <f>VLOOKUP(Table3[[#This Row],[Document ID]],Table1[],10,FALSE)</f>
        <v>Active</v>
      </c>
      <c r="H710" s="42" t="s">
        <v>1095</v>
      </c>
      <c r="I710" s="42" t="s">
        <v>1096</v>
      </c>
      <c r="J710" s="42" t="s">
        <v>1097</v>
      </c>
      <c r="K710" s="28" t="s">
        <v>1098</v>
      </c>
      <c r="L710" s="42" t="s">
        <v>1099</v>
      </c>
      <c r="M710" s="209">
        <v>2040</v>
      </c>
      <c r="N710" s="209" t="s">
        <v>1823</v>
      </c>
      <c r="O710" s="258">
        <v>23</v>
      </c>
      <c r="P710" s="238" t="str">
        <f>VLOOKUP(_xlfn.CONCAT(Table3[[#This Row],[Target area]],Table3[[#This Row],[GHG target?]],Table3[[#This Row],[Conditionality]]),'Drop down'!$E$81:$F$101,2,FALSE)</f>
        <v>T_Transport_O_Unc</v>
      </c>
      <c r="Q710" s="239" t="str">
        <f>VLOOKUP(Table3[[#This Row],[Target type]],Table418[[Value name]:[Value idenifyer]],2,FALSE)</f>
        <v>T_O_MODE</v>
      </c>
      <c r="S710" s="233" t="s">
        <v>1125</v>
      </c>
      <c r="T710" s="234" t="s">
        <v>1113</v>
      </c>
      <c r="V710" s="233" t="str">
        <f>VLOOKUP(Table3[[#This Row],[Country Code]],Table29[],3,FALSE)</f>
        <v>Annex I</v>
      </c>
      <c r="W710" s="233" t="str">
        <f>VLOOKUP(Table3[[#This Row],[Country Code]],Table29[],4,FALSE)</f>
        <v>Europe</v>
      </c>
      <c r="X710" s="233" t="str">
        <f>VLOOKUP(Table3[[#This Row],[Country Code]],Table29[],5,FALSE)</f>
        <v>High-income</v>
      </c>
      <c r="Y710" s="233" t="str">
        <f>VLOOKUP(Table3[[#This Row],[Country Code]],Table29[],6,FALSE)</f>
        <v>no</v>
      </c>
      <c r="Z710" s="233" t="str">
        <f>VLOOKUP(Table3[[#This Row],[Country Code]],Table29[],7,FALSE)</f>
        <v>no</v>
      </c>
      <c r="AA710" s="233" t="str">
        <f>VLOOKUP(Table3[[#This Row],[Country Code]],Table29[],8,FALSE)</f>
        <v>OECD</v>
      </c>
      <c r="AB710" s="233" t="str">
        <f>VLOOKUP(Table3[[#This Row],[Country Code]],Table29[],9,FALSE)</f>
        <v>EU27</v>
      </c>
      <c r="AC710" s="233" t="str">
        <f>VLOOKUP(Table3[[#This Row],[Country Code]],Table29[],10,FALSE)</f>
        <v>no</v>
      </c>
      <c r="AD710" s="235">
        <f>VLOOKUP(Table3[[#This Row],[Country Code]],Table29[],23,FALSE)</f>
        <v>20.683656998446001</v>
      </c>
      <c r="AE710" s="235">
        <f>VLOOKUP(Table3[[#This Row],[Country Code]],Table29[],24,FALSE)</f>
        <v>6.2808070704944967</v>
      </c>
      <c r="AF710" s="43"/>
    </row>
    <row r="711" spans="1:32" ht="30" x14ac:dyDescent="0.25">
      <c r="A711" s="360">
        <v>32505</v>
      </c>
      <c r="B711" s="233" t="str">
        <f>VLOOKUP(Table3[[#This Row],[Document ID]],Table1[],2,FALSE)</f>
        <v>LTU</v>
      </c>
      <c r="C711" s="233" t="str">
        <f>VLOOKUP(Table3[[#This Row],[Document ID]],Table1[],3,FALSE)</f>
        <v>Lithuania</v>
      </c>
      <c r="D711" s="233" t="str">
        <f>VLOOKUP(Table3[[#This Row],[Document ID]],Table1[],5,FALSE)</f>
        <v>LTS</v>
      </c>
      <c r="E711" s="233" t="str">
        <f>VLOOKUP(Table3[[#This Row],[Document ID]],Table1[],7,FALSE)</f>
        <v>EU-LTS</v>
      </c>
      <c r="F711" s="233" t="str">
        <f>VLOOKUP(Table3[[#This Row],[Document ID]],Table1[],8,FALSE)</f>
        <v>LTS 1.0</v>
      </c>
      <c r="G711" s="233" t="str">
        <f>VLOOKUP(Table3[[#This Row],[Document ID]],Table1[],10,FALSE)</f>
        <v>Active</v>
      </c>
      <c r="H711" s="42" t="s">
        <v>1095</v>
      </c>
      <c r="I711" s="42" t="s">
        <v>1096</v>
      </c>
      <c r="J711" s="42" t="s">
        <v>1097</v>
      </c>
      <c r="K711" s="28" t="s">
        <v>1397</v>
      </c>
      <c r="L711" s="42" t="s">
        <v>1099</v>
      </c>
      <c r="M711" s="209">
        <v>2040</v>
      </c>
      <c r="N711" s="209" t="s">
        <v>1824</v>
      </c>
      <c r="O711" s="258">
        <v>23</v>
      </c>
      <c r="P711" s="238" t="str">
        <f>VLOOKUP(_xlfn.CONCAT(Table3[[#This Row],[Target area]],Table3[[#This Row],[GHG target?]],Table3[[#This Row],[Conditionality]]),'Drop down'!$E$81:$F$101,2,FALSE)</f>
        <v>T_Transport_O_Unc</v>
      </c>
      <c r="Q711" s="239" t="str">
        <f>VLOOKUP(Table3[[#This Row],[Target type]],Table418[[Value name]:[Value idenifyer]],2,FALSE)</f>
        <v>T_O_Other</v>
      </c>
      <c r="S711" s="233" t="s">
        <v>1125</v>
      </c>
      <c r="T711" s="234" t="s">
        <v>1113</v>
      </c>
      <c r="V711" s="233" t="str">
        <f>VLOOKUP(Table3[[#This Row],[Country Code]],Table29[],3,FALSE)</f>
        <v>Annex I</v>
      </c>
      <c r="W711" s="233" t="str">
        <f>VLOOKUP(Table3[[#This Row],[Country Code]],Table29[],4,FALSE)</f>
        <v>Europe</v>
      </c>
      <c r="X711" s="233" t="str">
        <f>VLOOKUP(Table3[[#This Row],[Country Code]],Table29[],5,FALSE)</f>
        <v>High-income</v>
      </c>
      <c r="Y711" s="233" t="str">
        <f>VLOOKUP(Table3[[#This Row],[Country Code]],Table29[],6,FALSE)</f>
        <v>no</v>
      </c>
      <c r="Z711" s="233" t="str">
        <f>VLOOKUP(Table3[[#This Row],[Country Code]],Table29[],7,FALSE)</f>
        <v>no</v>
      </c>
      <c r="AA711" s="233" t="str">
        <f>VLOOKUP(Table3[[#This Row],[Country Code]],Table29[],8,FALSE)</f>
        <v>OECD</v>
      </c>
      <c r="AB711" s="233" t="str">
        <f>VLOOKUP(Table3[[#This Row],[Country Code]],Table29[],9,FALSE)</f>
        <v>EU27</v>
      </c>
      <c r="AC711" s="233" t="str">
        <f>VLOOKUP(Table3[[#This Row],[Country Code]],Table29[],10,FALSE)</f>
        <v>no</v>
      </c>
      <c r="AD711" s="235">
        <f>VLOOKUP(Table3[[#This Row],[Country Code]],Table29[],23,FALSE)</f>
        <v>20.683656998446001</v>
      </c>
      <c r="AE711" s="235">
        <f>VLOOKUP(Table3[[#This Row],[Country Code]],Table29[],24,FALSE)</f>
        <v>6.2808070704944967</v>
      </c>
      <c r="AF711" s="43"/>
    </row>
    <row r="712" spans="1:32" ht="30" x14ac:dyDescent="0.25">
      <c r="A712" s="360">
        <v>26789</v>
      </c>
      <c r="B712" s="233" t="str">
        <f>VLOOKUP(Table3[[#This Row],[Document ID]],Table1[],2,FALSE)</f>
        <v>ZAF</v>
      </c>
      <c r="C712" s="233" t="str">
        <f>VLOOKUP(Table3[[#This Row],[Document ID]],Table1[],3,FALSE)</f>
        <v>South Africa</v>
      </c>
      <c r="D712" s="233" t="str">
        <f>VLOOKUP(Table3[[#This Row],[Document ID]],Table1[],5,FALSE)</f>
        <v>NDC</v>
      </c>
      <c r="E712" s="233" t="str">
        <f>VLOOKUP(Table3[[#This Row],[Document ID]],Table1[],7,FALSE)</f>
        <v>First NDC updated</v>
      </c>
      <c r="F712" s="233" t="str">
        <f>VLOOKUP(Table3[[#This Row],[Document ID]],Table1[],8,FALSE)</f>
        <v>NDC 1.1</v>
      </c>
      <c r="G712" s="233" t="str">
        <f>VLOOKUP(Table3[[#This Row],[Document ID]],Table1[],10,FALSE)</f>
        <v>Active</v>
      </c>
      <c r="H712" s="216" t="s">
        <v>1089</v>
      </c>
      <c r="I712" s="216" t="s">
        <v>1089</v>
      </c>
      <c r="J712" s="43" t="s">
        <v>1090</v>
      </c>
      <c r="K712" s="28" t="s">
        <v>1121</v>
      </c>
      <c r="L712" s="42" t="s">
        <v>1099</v>
      </c>
      <c r="M712" s="209">
        <v>2030</v>
      </c>
      <c r="N712" s="209" t="s">
        <v>1825</v>
      </c>
      <c r="O712" s="257"/>
      <c r="P712" s="238" t="str">
        <f>VLOOKUP(_xlfn.CONCAT(Table3[[#This Row],[Target area]],Table3[[#This Row],[GHG target?]],Table3[[#This Row],[Conditionality]]),'Drop down'!$E$81:$F$101,2,FALSE)</f>
        <v>T_Economy_Unc</v>
      </c>
      <c r="Q712" s="239" t="str">
        <f>VLOOKUP(Table3[[#This Row],[Target type]],Table418[[Value name]:[Value idenifyer]],2,FALSE)</f>
        <v>T_FL</v>
      </c>
      <c r="T712" s="234" t="s">
        <v>1113</v>
      </c>
      <c r="V712" s="233" t="str">
        <f>VLOOKUP(Table3[[#This Row],[Country Code]],Table29[],3,FALSE)</f>
        <v>Non-Annex I</v>
      </c>
      <c r="W712" s="233" t="str">
        <f>VLOOKUP(Table3[[#This Row],[Country Code]],Table29[],4,FALSE)</f>
        <v>Africa</v>
      </c>
      <c r="X712" s="233" t="str">
        <f>VLOOKUP(Table3[[#This Row],[Country Code]],Table29[],5,FALSE)</f>
        <v>Middle-income</v>
      </c>
      <c r="Y712" s="233" t="str">
        <f>VLOOKUP(Table3[[#This Row],[Country Code]],Table29[],6,FALSE)</f>
        <v>G20</v>
      </c>
      <c r="Z712" s="233" t="str">
        <f>VLOOKUP(Table3[[#This Row],[Country Code]],Table29[],7,FALSE)</f>
        <v>no</v>
      </c>
      <c r="AA712" s="233" t="str">
        <f>VLOOKUP(Table3[[#This Row],[Country Code]],Table29[],8,FALSE)</f>
        <v>non-OECD</v>
      </c>
      <c r="AB712" s="233" t="str">
        <f>VLOOKUP(Table3[[#This Row],[Country Code]],Table29[],9,FALSE)</f>
        <v>no</v>
      </c>
      <c r="AC712" s="233" t="str">
        <f>VLOOKUP(Table3[[#This Row],[Country Code]],Table29[],10,FALSE)</f>
        <v>no</v>
      </c>
      <c r="AD712" s="235">
        <f>VLOOKUP(Table3[[#This Row],[Country Code]],Table29[],23,FALSE)</f>
        <v>522.11549112330999</v>
      </c>
      <c r="AE712" s="235">
        <f>VLOOKUP(Table3[[#This Row],[Country Code]],Table29[],24,FALSE)</f>
        <v>50.351995093376694</v>
      </c>
      <c r="AF712" s="43"/>
    </row>
    <row r="713" spans="1:32" x14ac:dyDescent="0.25">
      <c r="A713" s="360">
        <v>17739</v>
      </c>
      <c r="B713" s="233" t="str">
        <f>VLOOKUP(Table3[[#This Row],[Document ID]],Table1[],2,FALSE)</f>
        <v>ZAF</v>
      </c>
      <c r="C713" s="233" t="str">
        <f>VLOOKUP(Table3[[#This Row],[Document ID]],Table1[],3,FALSE)</f>
        <v>South Africa</v>
      </c>
      <c r="D713" s="233" t="str">
        <f>VLOOKUP(Table3[[#This Row],[Document ID]],Table1[],5,FALSE)</f>
        <v>NDC</v>
      </c>
      <c r="E713" s="233" t="str">
        <f>VLOOKUP(Table3[[#This Row],[Document ID]],Table1[],7,FALSE)</f>
        <v>First NDC</v>
      </c>
      <c r="F713" s="233" t="str">
        <f>VLOOKUP(Table3[[#This Row],[Document ID]],Table1[],8,FALSE)</f>
        <v>NDC 1.0</v>
      </c>
      <c r="G713" s="233" t="str">
        <f>VLOOKUP(Table3[[#This Row],[Document ID]],Table1[],10,FALSE)</f>
        <v>Archived</v>
      </c>
      <c r="H713" s="216" t="s">
        <v>1089</v>
      </c>
      <c r="I713" s="216" t="s">
        <v>1089</v>
      </c>
      <c r="J713" s="43" t="s">
        <v>1090</v>
      </c>
      <c r="K713" s="28" t="s">
        <v>1121</v>
      </c>
      <c r="L713" s="42" t="s">
        <v>1099</v>
      </c>
      <c r="M713" s="209">
        <v>2030</v>
      </c>
      <c r="N713" s="176" t="s">
        <v>1826</v>
      </c>
      <c r="O713" s="258" t="s">
        <v>1094</v>
      </c>
      <c r="P713" s="238" t="str">
        <f>VLOOKUP(_xlfn.CONCAT(Table3[[#This Row],[Target area]],Table3[[#This Row],[GHG target?]],Table3[[#This Row],[Conditionality]]),'Drop down'!$E$81:$F$101,2,FALSE)</f>
        <v>T_Economy_Unc</v>
      </c>
      <c r="Q713" s="239" t="str">
        <f>VLOOKUP(Table3[[#This Row],[Target type]],Table418[[Value name]:[Value idenifyer]],2,FALSE)</f>
        <v>T_FL</v>
      </c>
      <c r="S713" s="233" t="s">
        <v>1101</v>
      </c>
      <c r="T713" s="234" t="s">
        <v>1113</v>
      </c>
      <c r="V713" s="233" t="str">
        <f>VLOOKUP(Table3[[#This Row],[Country Code]],Table29[],3,FALSE)</f>
        <v>Non-Annex I</v>
      </c>
      <c r="W713" s="233" t="str">
        <f>VLOOKUP(Table3[[#This Row],[Country Code]],Table29[],4,FALSE)</f>
        <v>Africa</v>
      </c>
      <c r="X713" s="233" t="str">
        <f>VLOOKUP(Table3[[#This Row],[Country Code]],Table29[],5,FALSE)</f>
        <v>Middle-income</v>
      </c>
      <c r="Y713" s="233" t="str">
        <f>VLOOKUP(Table3[[#This Row],[Country Code]],Table29[],6,FALSE)</f>
        <v>G20</v>
      </c>
      <c r="Z713" s="233" t="str">
        <f>VLOOKUP(Table3[[#This Row],[Country Code]],Table29[],7,FALSE)</f>
        <v>no</v>
      </c>
      <c r="AA713" s="233" t="str">
        <f>VLOOKUP(Table3[[#This Row],[Country Code]],Table29[],8,FALSE)</f>
        <v>non-OECD</v>
      </c>
      <c r="AB713" s="233" t="str">
        <f>VLOOKUP(Table3[[#This Row],[Country Code]],Table29[],9,FALSE)</f>
        <v>no</v>
      </c>
      <c r="AC713" s="233" t="str">
        <f>VLOOKUP(Table3[[#This Row],[Country Code]],Table29[],10,FALSE)</f>
        <v>no</v>
      </c>
      <c r="AD713" s="235">
        <f>VLOOKUP(Table3[[#This Row],[Country Code]],Table29[],23,FALSE)</f>
        <v>522.11549112330999</v>
      </c>
      <c r="AE713" s="235">
        <f>VLOOKUP(Table3[[#This Row],[Country Code]],Table29[],24,FALSE)</f>
        <v>50.351995093376694</v>
      </c>
      <c r="AF713" s="43"/>
    </row>
    <row r="714" spans="1:32" ht="45" x14ac:dyDescent="0.25">
      <c r="A714" s="360">
        <v>32505</v>
      </c>
      <c r="B714" s="233" t="str">
        <f>VLOOKUP(Table3[[#This Row],[Document ID]],Table1[],2,FALSE)</f>
        <v>LTU</v>
      </c>
      <c r="C714" s="233" t="str">
        <f>VLOOKUP(Table3[[#This Row],[Document ID]],Table1[],3,FALSE)</f>
        <v>Lithuania</v>
      </c>
      <c r="D714" s="233" t="str">
        <f>VLOOKUP(Table3[[#This Row],[Document ID]],Table1[],5,FALSE)</f>
        <v>LTS</v>
      </c>
      <c r="E714" s="233" t="str">
        <f>VLOOKUP(Table3[[#This Row],[Document ID]],Table1[],7,FALSE)</f>
        <v>EU-LTS</v>
      </c>
      <c r="F714" s="233" t="str">
        <f>VLOOKUP(Table3[[#This Row],[Document ID]],Table1[],8,FALSE)</f>
        <v>LTS 1.0</v>
      </c>
      <c r="G714" s="233" t="str">
        <f>VLOOKUP(Table3[[#This Row],[Document ID]],Table1[],10,FALSE)</f>
        <v>Active</v>
      </c>
      <c r="H714" s="42" t="s">
        <v>1095</v>
      </c>
      <c r="I714" s="42" t="s">
        <v>1096</v>
      </c>
      <c r="J714" s="42" t="s">
        <v>1097</v>
      </c>
      <c r="K714" s="28" t="s">
        <v>1104</v>
      </c>
      <c r="L714" s="42" t="s">
        <v>1099</v>
      </c>
      <c r="M714" s="209">
        <v>2050</v>
      </c>
      <c r="N714" s="209" t="s">
        <v>1827</v>
      </c>
      <c r="O714" s="258">
        <v>23</v>
      </c>
      <c r="P714" s="238" t="str">
        <f>VLOOKUP(_xlfn.CONCAT(Table3[[#This Row],[Target area]],Table3[[#This Row],[GHG target?]],Table3[[#This Row],[Conditionality]]),'Drop down'!$E$81:$F$101,2,FALSE)</f>
        <v>T_Transport_O_Unc</v>
      </c>
      <c r="Q714" s="239" t="str">
        <f>VLOOKUP(Table3[[#This Row],[Target type]],Table418[[Value name]:[Value idenifyer]],2,FALSE)</f>
        <v>T_O_ZERO</v>
      </c>
      <c r="S714" s="233" t="s">
        <v>1125</v>
      </c>
      <c r="T714" s="234" t="s">
        <v>1113</v>
      </c>
      <c r="V714" s="233" t="str">
        <f>VLOOKUP(Table3[[#This Row],[Country Code]],Table29[],3,FALSE)</f>
        <v>Annex I</v>
      </c>
      <c r="W714" s="233" t="str">
        <f>VLOOKUP(Table3[[#This Row],[Country Code]],Table29[],4,FALSE)</f>
        <v>Europe</v>
      </c>
      <c r="X714" s="233" t="str">
        <f>VLOOKUP(Table3[[#This Row],[Country Code]],Table29[],5,FALSE)</f>
        <v>High-income</v>
      </c>
      <c r="Y714" s="233" t="str">
        <f>VLOOKUP(Table3[[#This Row],[Country Code]],Table29[],6,FALSE)</f>
        <v>no</v>
      </c>
      <c r="Z714" s="233" t="str">
        <f>VLOOKUP(Table3[[#This Row],[Country Code]],Table29[],7,FALSE)</f>
        <v>no</v>
      </c>
      <c r="AA714" s="233" t="str">
        <f>VLOOKUP(Table3[[#This Row],[Country Code]],Table29[],8,FALSE)</f>
        <v>OECD</v>
      </c>
      <c r="AB714" s="233" t="str">
        <f>VLOOKUP(Table3[[#This Row],[Country Code]],Table29[],9,FALSE)</f>
        <v>EU27</v>
      </c>
      <c r="AC714" s="233" t="str">
        <f>VLOOKUP(Table3[[#This Row],[Country Code]],Table29[],10,FALSE)</f>
        <v>no</v>
      </c>
      <c r="AD714" s="235">
        <f>VLOOKUP(Table3[[#This Row],[Country Code]],Table29[],23,FALSE)</f>
        <v>20.683656998446001</v>
      </c>
      <c r="AE714" s="235">
        <f>VLOOKUP(Table3[[#This Row],[Country Code]],Table29[],24,FALSE)</f>
        <v>6.2808070704944967</v>
      </c>
      <c r="AF714" s="43"/>
    </row>
    <row r="715" spans="1:32" ht="30" x14ac:dyDescent="0.25">
      <c r="A715" s="360">
        <v>32505</v>
      </c>
      <c r="B715" s="233" t="str">
        <f>VLOOKUP(Table3[[#This Row],[Document ID]],Table1[],2,FALSE)</f>
        <v>LTU</v>
      </c>
      <c r="C715" s="233" t="str">
        <f>VLOOKUP(Table3[[#This Row],[Document ID]],Table1[],3,FALSE)</f>
        <v>Lithuania</v>
      </c>
      <c r="D715" s="233" t="str">
        <f>VLOOKUP(Table3[[#This Row],[Document ID]],Table1[],5,FALSE)</f>
        <v>LTS</v>
      </c>
      <c r="E715" s="233" t="str">
        <f>VLOOKUP(Table3[[#This Row],[Document ID]],Table1[],7,FALSE)</f>
        <v>EU-LTS</v>
      </c>
      <c r="F715" s="233" t="str">
        <f>VLOOKUP(Table3[[#This Row],[Document ID]],Table1[],8,FALSE)</f>
        <v>LTS 1.0</v>
      </c>
      <c r="G715" s="233" t="str">
        <f>VLOOKUP(Table3[[#This Row],[Document ID]],Table1[],10,FALSE)</f>
        <v>Active</v>
      </c>
      <c r="H715" s="42" t="s">
        <v>1095</v>
      </c>
      <c r="I715" s="42" t="s">
        <v>1096</v>
      </c>
      <c r="J715" s="42" t="s">
        <v>1097</v>
      </c>
      <c r="K715" s="28" t="s">
        <v>1098</v>
      </c>
      <c r="L715" s="42" t="s">
        <v>1099</v>
      </c>
      <c r="M715" s="209">
        <v>2050</v>
      </c>
      <c r="N715" s="209" t="s">
        <v>1828</v>
      </c>
      <c r="O715" s="258">
        <v>23</v>
      </c>
      <c r="P715" s="238" t="str">
        <f>VLOOKUP(_xlfn.CONCAT(Table3[[#This Row],[Target area]],Table3[[#This Row],[GHG target?]],Table3[[#This Row],[Conditionality]]),'Drop down'!$E$81:$F$101,2,FALSE)</f>
        <v>T_Transport_O_Unc</v>
      </c>
      <c r="Q715" s="239" t="str">
        <f>VLOOKUP(Table3[[#This Row],[Target type]],Table418[[Value name]:[Value idenifyer]],2,FALSE)</f>
        <v>T_O_MODE</v>
      </c>
      <c r="S715" s="233" t="s">
        <v>1125</v>
      </c>
      <c r="T715" s="234" t="s">
        <v>1113</v>
      </c>
      <c r="V715" s="233" t="str">
        <f>VLOOKUP(Table3[[#This Row],[Country Code]],Table29[],3,FALSE)</f>
        <v>Annex I</v>
      </c>
      <c r="W715" s="233" t="str">
        <f>VLOOKUP(Table3[[#This Row],[Country Code]],Table29[],4,FALSE)</f>
        <v>Europe</v>
      </c>
      <c r="X715" s="233" t="str">
        <f>VLOOKUP(Table3[[#This Row],[Country Code]],Table29[],5,FALSE)</f>
        <v>High-income</v>
      </c>
      <c r="Y715" s="233" t="str">
        <f>VLOOKUP(Table3[[#This Row],[Country Code]],Table29[],6,FALSE)</f>
        <v>no</v>
      </c>
      <c r="Z715" s="233" t="str">
        <f>VLOOKUP(Table3[[#This Row],[Country Code]],Table29[],7,FALSE)</f>
        <v>no</v>
      </c>
      <c r="AA715" s="233" t="str">
        <f>VLOOKUP(Table3[[#This Row],[Country Code]],Table29[],8,FALSE)</f>
        <v>OECD</v>
      </c>
      <c r="AB715" s="233" t="str">
        <f>VLOOKUP(Table3[[#This Row],[Country Code]],Table29[],9,FALSE)</f>
        <v>EU27</v>
      </c>
      <c r="AC715" s="233" t="str">
        <f>VLOOKUP(Table3[[#This Row],[Country Code]],Table29[],10,FALSE)</f>
        <v>no</v>
      </c>
      <c r="AD715" s="235">
        <f>VLOOKUP(Table3[[#This Row],[Country Code]],Table29[],23,FALSE)</f>
        <v>20.683656998446001</v>
      </c>
      <c r="AE715" s="235">
        <f>VLOOKUP(Table3[[#This Row],[Country Code]],Table29[],24,FALSE)</f>
        <v>6.2808070704944967</v>
      </c>
      <c r="AF715" s="43"/>
    </row>
    <row r="716" spans="1:32" ht="30" x14ac:dyDescent="0.25">
      <c r="A716" s="360">
        <v>32505</v>
      </c>
      <c r="B716" s="233" t="str">
        <f>VLOOKUP(Table3[[#This Row],[Document ID]],Table1[],2,FALSE)</f>
        <v>LTU</v>
      </c>
      <c r="C716" s="233" t="str">
        <f>VLOOKUP(Table3[[#This Row],[Document ID]],Table1[],3,FALSE)</f>
        <v>Lithuania</v>
      </c>
      <c r="D716" s="233" t="str">
        <f>VLOOKUP(Table3[[#This Row],[Document ID]],Table1[],5,FALSE)</f>
        <v>LTS</v>
      </c>
      <c r="E716" s="233" t="str">
        <f>VLOOKUP(Table3[[#This Row],[Document ID]],Table1[],7,FALSE)</f>
        <v>EU-LTS</v>
      </c>
      <c r="F716" s="233" t="str">
        <f>VLOOKUP(Table3[[#This Row],[Document ID]],Table1[],8,FALSE)</f>
        <v>LTS 1.0</v>
      </c>
      <c r="G716" s="233" t="str">
        <f>VLOOKUP(Table3[[#This Row],[Document ID]],Table1[],10,FALSE)</f>
        <v>Active</v>
      </c>
      <c r="H716" s="42" t="s">
        <v>1095</v>
      </c>
      <c r="I716" s="42" t="s">
        <v>1096</v>
      </c>
      <c r="J716" s="42" t="s">
        <v>1097</v>
      </c>
      <c r="K716" s="28" t="s">
        <v>1223</v>
      </c>
      <c r="L716" s="42" t="s">
        <v>1099</v>
      </c>
      <c r="M716" s="209">
        <v>2050</v>
      </c>
      <c r="N716" s="209" t="s">
        <v>1829</v>
      </c>
      <c r="O716" s="258">
        <v>23</v>
      </c>
      <c r="P716" s="238" t="str">
        <f>VLOOKUP(_xlfn.CONCAT(Table3[[#This Row],[Target area]],Table3[[#This Row],[GHG target?]],Table3[[#This Row],[Conditionality]]),'Drop down'!$E$81:$F$101,2,FALSE)</f>
        <v>T_Transport_O_Unc</v>
      </c>
      <c r="Q716" s="239" t="str">
        <f>VLOOKUP(Table3[[#This Row],[Target type]],Table418[[Value name]:[Value idenifyer]],2,FALSE)</f>
        <v>T_O_REN</v>
      </c>
      <c r="S716" s="233" t="s">
        <v>1125</v>
      </c>
      <c r="T716" s="234" t="s">
        <v>1113</v>
      </c>
      <c r="V716" s="233" t="str">
        <f>VLOOKUP(Table3[[#This Row],[Country Code]],Table29[],3,FALSE)</f>
        <v>Annex I</v>
      </c>
      <c r="W716" s="233" t="str">
        <f>VLOOKUP(Table3[[#This Row],[Country Code]],Table29[],4,FALSE)</f>
        <v>Europe</v>
      </c>
      <c r="X716" s="233" t="str">
        <f>VLOOKUP(Table3[[#This Row],[Country Code]],Table29[],5,FALSE)</f>
        <v>High-income</v>
      </c>
      <c r="Y716" s="233" t="str">
        <f>VLOOKUP(Table3[[#This Row],[Country Code]],Table29[],6,FALSE)</f>
        <v>no</v>
      </c>
      <c r="Z716" s="233" t="str">
        <f>VLOOKUP(Table3[[#This Row],[Country Code]],Table29[],7,FALSE)</f>
        <v>no</v>
      </c>
      <c r="AA716" s="233" t="str">
        <f>VLOOKUP(Table3[[#This Row],[Country Code]],Table29[],8,FALSE)</f>
        <v>OECD</v>
      </c>
      <c r="AB716" s="233" t="str">
        <f>VLOOKUP(Table3[[#This Row],[Country Code]],Table29[],9,FALSE)</f>
        <v>EU27</v>
      </c>
      <c r="AC716" s="233" t="str">
        <f>VLOOKUP(Table3[[#This Row],[Country Code]],Table29[],10,FALSE)</f>
        <v>no</v>
      </c>
      <c r="AD716" s="235">
        <f>VLOOKUP(Table3[[#This Row],[Country Code]],Table29[],23,FALSE)</f>
        <v>20.683656998446001</v>
      </c>
      <c r="AE716" s="235">
        <f>VLOOKUP(Table3[[#This Row],[Country Code]],Table29[],24,FALSE)</f>
        <v>6.2808070704944967</v>
      </c>
      <c r="AF716" s="43"/>
    </row>
    <row r="717" spans="1:32" ht="30" x14ac:dyDescent="0.25">
      <c r="A717" s="360">
        <v>21314</v>
      </c>
      <c r="B717" s="233" t="str">
        <f>VLOOKUP(Table3[[#This Row],[Document ID]],Table1[],2,FALSE)</f>
        <v>LKA</v>
      </c>
      <c r="C717" s="233" t="str">
        <f>VLOOKUP(Table3[[#This Row],[Document ID]],Table1[],3,FALSE)</f>
        <v>Sri Lanka</v>
      </c>
      <c r="D717" s="233" t="str">
        <f>VLOOKUP(Table3[[#This Row],[Document ID]],Table1[],5,FALSE)</f>
        <v>NDC</v>
      </c>
      <c r="E717" s="233" t="str">
        <f>VLOOKUP(Table3[[#This Row],[Document ID]],Table1[],7,FALSE)</f>
        <v>First NDC updated</v>
      </c>
      <c r="F717" s="233" t="str">
        <f>VLOOKUP(Table3[[#This Row],[Document ID]],Table1[],8,FALSE)</f>
        <v>NDC 1.1</v>
      </c>
      <c r="G717" s="233" t="str">
        <f>VLOOKUP(Table3[[#This Row],[Document ID]],Table1[],10,FALSE)</f>
        <v>Active</v>
      </c>
      <c r="H717" s="216" t="s">
        <v>1089</v>
      </c>
      <c r="I717" s="216" t="s">
        <v>1089</v>
      </c>
      <c r="J717" s="43" t="s">
        <v>1090</v>
      </c>
      <c r="K717" s="28" t="s">
        <v>1091</v>
      </c>
      <c r="L717" s="42" t="s">
        <v>1099</v>
      </c>
      <c r="M717" s="209">
        <v>2030</v>
      </c>
      <c r="N717" s="209" t="s">
        <v>1830</v>
      </c>
      <c r="O717" s="257">
        <v>7</v>
      </c>
      <c r="P717" s="238" t="str">
        <f>VLOOKUP(_xlfn.CONCAT(Table3[[#This Row],[Target area]],Table3[[#This Row],[GHG target?]],Table3[[#This Row],[Conditionality]]),'Drop down'!$E$81:$F$101,2,FALSE)</f>
        <v>T_Economy_Unc</v>
      </c>
      <c r="Q717" s="239" t="str">
        <f>VLOOKUP(Table3[[#This Row],[Target type]],Table418[[Value name]:[Value idenifyer]],2,FALSE)</f>
        <v>T_BAU</v>
      </c>
      <c r="S717" s="233" t="s">
        <v>1112</v>
      </c>
      <c r="T717" s="234" t="s">
        <v>1113</v>
      </c>
      <c r="V717" s="233" t="str">
        <f>VLOOKUP(Table3[[#This Row],[Country Code]],Table29[],3,FALSE)</f>
        <v>Non-Annex I</v>
      </c>
      <c r="W717" s="233" t="str">
        <f>VLOOKUP(Table3[[#This Row],[Country Code]],Table29[],4,FALSE)</f>
        <v>Asia</v>
      </c>
      <c r="X717" s="233" t="str">
        <f>VLOOKUP(Table3[[#This Row],[Country Code]],Table29[],5,FALSE)</f>
        <v>Middle-income</v>
      </c>
      <c r="Y717" s="233" t="str">
        <f>VLOOKUP(Table3[[#This Row],[Country Code]],Table29[],6,FALSE)</f>
        <v>no</v>
      </c>
      <c r="Z717" s="233" t="str">
        <f>VLOOKUP(Table3[[#This Row],[Country Code]],Table29[],7,FALSE)</f>
        <v>no</v>
      </c>
      <c r="AA717" s="233" t="str">
        <f>VLOOKUP(Table3[[#This Row],[Country Code]],Table29[],8,FALSE)</f>
        <v>non-OECD</v>
      </c>
      <c r="AB717" s="233" t="str">
        <f>VLOOKUP(Table3[[#This Row],[Country Code]],Table29[],9,FALSE)</f>
        <v>no</v>
      </c>
      <c r="AC717" s="233" t="str">
        <f>VLOOKUP(Table3[[#This Row],[Country Code]],Table29[],10,FALSE)</f>
        <v>no</v>
      </c>
      <c r="AD717" s="235">
        <f>VLOOKUP(Table3[[#This Row],[Country Code]],Table29[],23,FALSE)</f>
        <v>38.403849844142002</v>
      </c>
      <c r="AE717" s="235">
        <f>VLOOKUP(Table3[[#This Row],[Country Code]],Table29[],24,FALSE)</f>
        <v>9.6330858743096854</v>
      </c>
      <c r="AF717" s="43"/>
    </row>
    <row r="718" spans="1:32" x14ac:dyDescent="0.25">
      <c r="A718" s="360">
        <v>21314</v>
      </c>
      <c r="B718" s="233" t="str">
        <f>VLOOKUP(Table3[[#This Row],[Document ID]],Table1[],2,FALSE)</f>
        <v>LKA</v>
      </c>
      <c r="C718" s="233" t="str">
        <f>VLOOKUP(Table3[[#This Row],[Document ID]],Table1[],3,FALSE)</f>
        <v>Sri Lanka</v>
      </c>
      <c r="D718" s="233" t="str">
        <f>VLOOKUP(Table3[[#This Row],[Document ID]],Table1[],5,FALSE)</f>
        <v>NDC</v>
      </c>
      <c r="E718" s="233" t="str">
        <f>VLOOKUP(Table3[[#This Row],[Document ID]],Table1[],7,FALSE)</f>
        <v>First NDC updated</v>
      </c>
      <c r="F718" s="233" t="str">
        <f>VLOOKUP(Table3[[#This Row],[Document ID]],Table1[],8,FALSE)</f>
        <v>NDC 1.1</v>
      </c>
      <c r="G718" s="233" t="str">
        <f>VLOOKUP(Table3[[#This Row],[Document ID]],Table1[],10,FALSE)</f>
        <v>Active</v>
      </c>
      <c r="H718" s="216" t="s">
        <v>1089</v>
      </c>
      <c r="I718" s="216" t="s">
        <v>1089</v>
      </c>
      <c r="J718" s="43" t="s">
        <v>1090</v>
      </c>
      <c r="K718" s="28" t="s">
        <v>1091</v>
      </c>
      <c r="L718" s="216" t="s">
        <v>1092</v>
      </c>
      <c r="M718" s="209">
        <v>2030</v>
      </c>
      <c r="N718" s="209" t="s">
        <v>1831</v>
      </c>
      <c r="O718" s="257">
        <v>7</v>
      </c>
      <c r="P718" s="238" t="str">
        <f>VLOOKUP(_xlfn.CONCAT(Table3[[#This Row],[Target area]],Table3[[#This Row],[GHG target?]],Table3[[#This Row],[Conditionality]]),'Drop down'!$E$81:$F$101,2,FALSE)</f>
        <v>T_Economy_C</v>
      </c>
      <c r="Q718" s="239" t="str">
        <f>VLOOKUP(Table3[[#This Row],[Target type]],Table418[[Value name]:[Value idenifyer]],2,FALSE)</f>
        <v>T_BAU</v>
      </c>
      <c r="S718" s="233" t="s">
        <v>1112</v>
      </c>
      <c r="T718" s="234" t="s">
        <v>1113</v>
      </c>
      <c r="V718" s="233" t="str">
        <f>VLOOKUP(Table3[[#This Row],[Country Code]],Table29[],3,FALSE)</f>
        <v>Non-Annex I</v>
      </c>
      <c r="W718" s="233" t="str">
        <f>VLOOKUP(Table3[[#This Row],[Country Code]],Table29[],4,FALSE)</f>
        <v>Asia</v>
      </c>
      <c r="X718" s="233" t="str">
        <f>VLOOKUP(Table3[[#This Row],[Country Code]],Table29[],5,FALSE)</f>
        <v>Middle-income</v>
      </c>
      <c r="Y718" s="233" t="str">
        <f>VLOOKUP(Table3[[#This Row],[Country Code]],Table29[],6,FALSE)</f>
        <v>no</v>
      </c>
      <c r="Z718" s="233" t="str">
        <f>VLOOKUP(Table3[[#This Row],[Country Code]],Table29[],7,FALSE)</f>
        <v>no</v>
      </c>
      <c r="AA718" s="233" t="str">
        <f>VLOOKUP(Table3[[#This Row],[Country Code]],Table29[],8,FALSE)</f>
        <v>non-OECD</v>
      </c>
      <c r="AB718" s="233" t="str">
        <f>VLOOKUP(Table3[[#This Row],[Country Code]],Table29[],9,FALSE)</f>
        <v>no</v>
      </c>
      <c r="AC718" s="233" t="str">
        <f>VLOOKUP(Table3[[#This Row],[Country Code]],Table29[],10,FALSE)</f>
        <v>no</v>
      </c>
      <c r="AD718" s="235">
        <f>VLOOKUP(Table3[[#This Row],[Country Code]],Table29[],23,FALSE)</f>
        <v>38.403849844142002</v>
      </c>
      <c r="AE718" s="235">
        <f>VLOOKUP(Table3[[#This Row],[Country Code]],Table29[],24,FALSE)</f>
        <v>9.6330858743096854</v>
      </c>
      <c r="AF718" s="43"/>
    </row>
    <row r="719" spans="1:32" ht="30" x14ac:dyDescent="0.25">
      <c r="A719" s="360">
        <v>26781</v>
      </c>
      <c r="B719" s="233" t="str">
        <f>VLOOKUP(Table3[[#This Row],[Document ID]],Table1[],2,FALSE)</f>
        <v>LUX</v>
      </c>
      <c r="C719" s="233" t="str">
        <f>VLOOKUP(Table3[[#This Row],[Document ID]],Table1[],3,FALSE)</f>
        <v>Luxembourg</v>
      </c>
      <c r="D719" s="233" t="str">
        <f>VLOOKUP(Table3[[#This Row],[Document ID]],Table1[],5,FALSE)</f>
        <v>LTS</v>
      </c>
      <c r="E719" s="233" t="str">
        <f>VLOOKUP(Table3[[#This Row],[Document ID]],Table1[],7,FALSE)</f>
        <v>LTS</v>
      </c>
      <c r="F719" s="233" t="str">
        <f>VLOOKUP(Table3[[#This Row],[Document ID]],Table1[],8,FALSE)</f>
        <v>LTS 1.0</v>
      </c>
      <c r="G719" s="233" t="str">
        <f>VLOOKUP(Table3[[#This Row],[Document ID]],Table1[],10,FALSE)</f>
        <v>Active</v>
      </c>
      <c r="H719" s="42" t="s">
        <v>1095</v>
      </c>
      <c r="I719" s="42" t="s">
        <v>1096</v>
      </c>
      <c r="J719" s="42" t="s">
        <v>1097</v>
      </c>
      <c r="K719" s="28" t="s">
        <v>1104</v>
      </c>
      <c r="L719" s="42" t="s">
        <v>1099</v>
      </c>
      <c r="M719" s="209">
        <v>2050</v>
      </c>
      <c r="N719" s="43" t="s">
        <v>1832</v>
      </c>
      <c r="O719" s="258">
        <v>65</v>
      </c>
      <c r="P719" s="238" t="str">
        <f>VLOOKUP(_xlfn.CONCAT(Table3[[#This Row],[Target area]],Table3[[#This Row],[GHG target?]],Table3[[#This Row],[Conditionality]]),'Drop down'!$E$81:$F$101,2,FALSE)</f>
        <v>T_Transport_O_Unc</v>
      </c>
      <c r="Q719" s="239" t="str">
        <f>VLOOKUP(Table3[[#This Row],[Target type]],Table418[[Value name]:[Value idenifyer]],2,FALSE)</f>
        <v>T_O_ZERO</v>
      </c>
      <c r="S719" s="233" t="s">
        <v>1101</v>
      </c>
      <c r="T719" s="234" t="s">
        <v>1113</v>
      </c>
      <c r="V719" s="233" t="str">
        <f>VLOOKUP(Table3[[#This Row],[Country Code]],Table29[],3,FALSE)</f>
        <v>Annex I</v>
      </c>
      <c r="W719" s="233" t="str">
        <f>VLOOKUP(Table3[[#This Row],[Country Code]],Table29[],4,FALSE)</f>
        <v>Europe</v>
      </c>
      <c r="X719" s="233" t="str">
        <f>VLOOKUP(Table3[[#This Row],[Country Code]],Table29[],5,FALSE)</f>
        <v>High-income</v>
      </c>
      <c r="Y719" s="233" t="str">
        <f>VLOOKUP(Table3[[#This Row],[Country Code]],Table29[],6,FALSE)</f>
        <v>no</v>
      </c>
      <c r="Z719" s="233" t="str">
        <f>VLOOKUP(Table3[[#This Row],[Country Code]],Table29[],7,FALSE)</f>
        <v>no</v>
      </c>
      <c r="AA719" s="233" t="str">
        <f>VLOOKUP(Table3[[#This Row],[Country Code]],Table29[],8,FALSE)</f>
        <v>OECD</v>
      </c>
      <c r="AB719" s="233" t="str">
        <f>VLOOKUP(Table3[[#This Row],[Country Code]],Table29[],9,FALSE)</f>
        <v>EU27</v>
      </c>
      <c r="AC719" s="233" t="str">
        <f>VLOOKUP(Table3[[#This Row],[Country Code]],Table29[],10,FALSE)</f>
        <v>no</v>
      </c>
      <c r="AD719" s="235">
        <f>VLOOKUP(Table3[[#This Row],[Country Code]],Table29[],23,FALSE)</f>
        <v>7.8609330392057002</v>
      </c>
      <c r="AE719" s="235">
        <f>VLOOKUP(Table3[[#This Row],[Country Code]],Table29[],24,FALSE)</f>
        <v>4.2423658408849461</v>
      </c>
      <c r="AF719" s="43"/>
    </row>
    <row r="720" spans="1:32" ht="30" x14ac:dyDescent="0.25">
      <c r="A720" s="360">
        <v>26781</v>
      </c>
      <c r="B720" s="233" t="str">
        <f>VLOOKUP(Table3[[#This Row],[Document ID]],Table1[],2,FALSE)</f>
        <v>LUX</v>
      </c>
      <c r="C720" s="233" t="str">
        <f>VLOOKUP(Table3[[#This Row],[Document ID]],Table1[],3,FALSE)</f>
        <v>Luxembourg</v>
      </c>
      <c r="D720" s="233" t="str">
        <f>VLOOKUP(Table3[[#This Row],[Document ID]],Table1[],5,FALSE)</f>
        <v>LTS</v>
      </c>
      <c r="E720" s="233" t="str">
        <f>VLOOKUP(Table3[[#This Row],[Document ID]],Table1[],7,FALSE)</f>
        <v>LTS</v>
      </c>
      <c r="F720" s="233" t="str">
        <f>VLOOKUP(Table3[[#This Row],[Document ID]],Table1[],8,FALSE)</f>
        <v>LTS 1.0</v>
      </c>
      <c r="G720" s="233" t="str">
        <f>VLOOKUP(Table3[[#This Row],[Document ID]],Table1[],10,FALSE)</f>
        <v>Active</v>
      </c>
      <c r="H720" s="42" t="s">
        <v>1095</v>
      </c>
      <c r="I720" s="42" t="s">
        <v>1096</v>
      </c>
      <c r="J720" s="42" t="s">
        <v>1097</v>
      </c>
      <c r="K720" s="28" t="s">
        <v>1104</v>
      </c>
      <c r="L720" s="42" t="s">
        <v>1099</v>
      </c>
      <c r="M720" s="209">
        <v>2030</v>
      </c>
      <c r="N720" s="44" t="s">
        <v>1833</v>
      </c>
      <c r="O720" s="258">
        <v>64</v>
      </c>
      <c r="P720" s="238" t="str">
        <f>VLOOKUP(_xlfn.CONCAT(Table3[[#This Row],[Target area]],Table3[[#This Row],[GHG target?]],Table3[[#This Row],[Conditionality]]),'Drop down'!$E$81:$F$101,2,FALSE)</f>
        <v>T_Transport_O_Unc</v>
      </c>
      <c r="Q720" s="239" t="str">
        <f>VLOOKUP(Table3[[#This Row],[Target type]],Table418[[Value name]:[Value idenifyer]],2,FALSE)</f>
        <v>T_O_ZERO</v>
      </c>
      <c r="S720" s="233" t="s">
        <v>1101</v>
      </c>
      <c r="T720" s="234" t="s">
        <v>1113</v>
      </c>
      <c r="V720" s="233" t="str">
        <f>VLOOKUP(Table3[[#This Row],[Country Code]],Table29[],3,FALSE)</f>
        <v>Annex I</v>
      </c>
      <c r="W720" s="233" t="str">
        <f>VLOOKUP(Table3[[#This Row],[Country Code]],Table29[],4,FALSE)</f>
        <v>Europe</v>
      </c>
      <c r="X720" s="233" t="str">
        <f>VLOOKUP(Table3[[#This Row],[Country Code]],Table29[],5,FALSE)</f>
        <v>High-income</v>
      </c>
      <c r="Y720" s="233" t="str">
        <f>VLOOKUP(Table3[[#This Row],[Country Code]],Table29[],6,FALSE)</f>
        <v>no</v>
      </c>
      <c r="Z720" s="233" t="str">
        <f>VLOOKUP(Table3[[#This Row],[Country Code]],Table29[],7,FALSE)</f>
        <v>no</v>
      </c>
      <c r="AA720" s="233" t="str">
        <f>VLOOKUP(Table3[[#This Row],[Country Code]],Table29[],8,FALSE)</f>
        <v>OECD</v>
      </c>
      <c r="AB720" s="233" t="str">
        <f>VLOOKUP(Table3[[#This Row],[Country Code]],Table29[],9,FALSE)</f>
        <v>EU27</v>
      </c>
      <c r="AC720" s="233" t="str">
        <f>VLOOKUP(Table3[[#This Row],[Country Code]],Table29[],10,FALSE)</f>
        <v>no</v>
      </c>
      <c r="AD720" s="235">
        <f>VLOOKUP(Table3[[#This Row],[Country Code]],Table29[],23,FALSE)</f>
        <v>7.8609330392057002</v>
      </c>
      <c r="AE720" s="235">
        <f>VLOOKUP(Table3[[#This Row],[Country Code]],Table29[],24,FALSE)</f>
        <v>4.2423658408849461</v>
      </c>
      <c r="AF720" s="43"/>
    </row>
    <row r="721" spans="1:32" ht="30" x14ac:dyDescent="0.25">
      <c r="A721" s="360">
        <v>17669</v>
      </c>
      <c r="B721" s="233" t="str">
        <f>VLOOKUP(Table3[[#This Row],[Document ID]],Table1[],2,FALSE)</f>
        <v>MAR</v>
      </c>
      <c r="C721" s="233" t="str">
        <f>VLOOKUP(Table3[[#This Row],[Document ID]],Table1[],3,FALSE)</f>
        <v>Morocco</v>
      </c>
      <c r="D721" s="233" t="str">
        <f>VLOOKUP(Table3[[#This Row],[Document ID]],Table1[],5,FALSE)</f>
        <v>NDC</v>
      </c>
      <c r="E721" s="233" t="str">
        <f>VLOOKUP(Table3[[#This Row],[Document ID]],Table1[],7,FALSE)</f>
        <v>First NDC</v>
      </c>
      <c r="F721" s="233" t="str">
        <f>VLOOKUP(Table3[[#This Row],[Document ID]],Table1[],8,FALSE)</f>
        <v>NDC 1.0</v>
      </c>
      <c r="G721" s="233" t="str">
        <f>VLOOKUP(Table3[[#This Row],[Document ID]],Table1[],10,FALSE)</f>
        <v>Archived</v>
      </c>
      <c r="H721" s="42" t="s">
        <v>1095</v>
      </c>
      <c r="I721" s="42" t="s">
        <v>1096</v>
      </c>
      <c r="J721" s="42" t="s">
        <v>1097</v>
      </c>
      <c r="K721" s="28" t="s">
        <v>1397</v>
      </c>
      <c r="L721" s="389" t="s">
        <v>1099</v>
      </c>
      <c r="M721" s="209">
        <v>2030</v>
      </c>
      <c r="N721" s="44" t="s">
        <v>1834</v>
      </c>
      <c r="O721" s="221">
        <v>10</v>
      </c>
      <c r="P721" s="238" t="str">
        <f>VLOOKUP(_xlfn.CONCAT(Table3[[#This Row],[Target area]],Table3[[#This Row],[GHG target?]],Table3[[#This Row],[Conditionality]]),'Drop down'!$E$81:$F$101,2,FALSE)</f>
        <v>T_Transport_O_Unc</v>
      </c>
      <c r="Q721" s="239" t="str">
        <f>VLOOKUP(Table3[[#This Row],[Target type]],Table418[[Value name]:[Value idenifyer]],2,FALSE)</f>
        <v>T_O_Other</v>
      </c>
      <c r="S721" s="233" t="s">
        <v>1101</v>
      </c>
      <c r="T721" s="234" t="s">
        <v>1113</v>
      </c>
      <c r="V721" s="233" t="str">
        <f>VLOOKUP(Table3[[#This Row],[Country Code]],Table29[],3,FALSE)</f>
        <v>Non-Annex I</v>
      </c>
      <c r="W721" s="233" t="str">
        <f>VLOOKUP(Table3[[#This Row],[Country Code]],Table29[],4,FALSE)</f>
        <v>Africa</v>
      </c>
      <c r="X721" s="233" t="str">
        <f>VLOOKUP(Table3[[#This Row],[Country Code]],Table29[],5,FALSE)</f>
        <v>Middle-income</v>
      </c>
      <c r="Y721" s="233" t="str">
        <f>VLOOKUP(Table3[[#This Row],[Country Code]],Table29[],6,FALSE)</f>
        <v>no</v>
      </c>
      <c r="Z721" s="233" t="str">
        <f>VLOOKUP(Table3[[#This Row],[Country Code]],Table29[],7,FALSE)</f>
        <v>no</v>
      </c>
      <c r="AA721" s="233" t="str">
        <f>VLOOKUP(Table3[[#This Row],[Country Code]],Table29[],8,FALSE)</f>
        <v>non-OECD</v>
      </c>
      <c r="AB721" s="233" t="str">
        <f>VLOOKUP(Table3[[#This Row],[Country Code]],Table29[],9,FALSE)</f>
        <v>no</v>
      </c>
      <c r="AC721" s="233" t="str">
        <f>VLOOKUP(Table3[[#This Row],[Country Code]],Table29[],10,FALSE)</f>
        <v>MENA</v>
      </c>
      <c r="AD721" s="235">
        <f>VLOOKUP(Table3[[#This Row],[Country Code]],Table29[],23,FALSE)</f>
        <v>106.60223103187001</v>
      </c>
      <c r="AE721" s="235">
        <f>VLOOKUP(Table3[[#This Row],[Country Code]],Table29[],24,FALSE)</f>
        <v>17.689478774478111</v>
      </c>
      <c r="AF721" s="43"/>
    </row>
    <row r="722" spans="1:32" x14ac:dyDescent="0.25">
      <c r="A722" s="360">
        <v>17669</v>
      </c>
      <c r="B722" s="233" t="str">
        <f>VLOOKUP(Table3[[#This Row],[Document ID]],Table1[],2,FALSE)</f>
        <v>MAR</v>
      </c>
      <c r="C722" s="233" t="str">
        <f>VLOOKUP(Table3[[#This Row],[Document ID]],Table1[],3,FALSE)</f>
        <v>Morocco</v>
      </c>
      <c r="D722" s="233" t="str">
        <f>VLOOKUP(Table3[[#This Row],[Document ID]],Table1[],5,FALSE)</f>
        <v>NDC</v>
      </c>
      <c r="E722" s="233" t="str">
        <f>VLOOKUP(Table3[[#This Row],[Document ID]],Table1[],7,FALSE)</f>
        <v>First NDC</v>
      </c>
      <c r="F722" s="233" t="str">
        <f>VLOOKUP(Table3[[#This Row],[Document ID]],Table1[],8,FALSE)</f>
        <v>NDC 1.0</v>
      </c>
      <c r="G722" s="233" t="str">
        <f>VLOOKUP(Table3[[#This Row],[Document ID]],Table1[],10,FALSE)</f>
        <v>Archived</v>
      </c>
      <c r="H722" s="42" t="s">
        <v>1095</v>
      </c>
      <c r="I722" s="42" t="s">
        <v>1096</v>
      </c>
      <c r="J722" s="42" t="s">
        <v>1097</v>
      </c>
      <c r="K722" s="28" t="s">
        <v>1098</v>
      </c>
      <c r="L722" s="42" t="s">
        <v>1099</v>
      </c>
      <c r="M722" s="209"/>
      <c r="N722" s="44" t="s">
        <v>1835</v>
      </c>
      <c r="O722" s="221">
        <v>10</v>
      </c>
      <c r="P722" s="238" t="str">
        <f>VLOOKUP(_xlfn.CONCAT(Table3[[#This Row],[Target area]],Table3[[#This Row],[GHG target?]],Table3[[#This Row],[Conditionality]]),'Drop down'!$E$81:$F$101,2,FALSE)</f>
        <v>T_Transport_O_Unc</v>
      </c>
      <c r="Q722" s="239" t="str">
        <f>VLOOKUP(Table3[[#This Row],[Target type]],Table418[[Value name]:[Value idenifyer]],2,FALSE)</f>
        <v>T_O_MODE</v>
      </c>
      <c r="S722" s="233" t="s">
        <v>1101</v>
      </c>
      <c r="T722" s="234" t="s">
        <v>1113</v>
      </c>
      <c r="V722" s="233" t="str">
        <f>VLOOKUP(Table3[[#This Row],[Country Code]],Table29[],3,FALSE)</f>
        <v>Non-Annex I</v>
      </c>
      <c r="W722" s="233" t="str">
        <f>VLOOKUP(Table3[[#This Row],[Country Code]],Table29[],4,FALSE)</f>
        <v>Africa</v>
      </c>
      <c r="X722" s="233" t="str">
        <f>VLOOKUP(Table3[[#This Row],[Country Code]],Table29[],5,FALSE)</f>
        <v>Middle-income</v>
      </c>
      <c r="Y722" s="233" t="str">
        <f>VLOOKUP(Table3[[#This Row],[Country Code]],Table29[],6,FALSE)</f>
        <v>no</v>
      </c>
      <c r="Z722" s="233" t="str">
        <f>VLOOKUP(Table3[[#This Row],[Country Code]],Table29[],7,FALSE)</f>
        <v>no</v>
      </c>
      <c r="AA722" s="233" t="str">
        <f>VLOOKUP(Table3[[#This Row],[Country Code]],Table29[],8,FALSE)</f>
        <v>non-OECD</v>
      </c>
      <c r="AB722" s="233" t="str">
        <f>VLOOKUP(Table3[[#This Row],[Country Code]],Table29[],9,FALSE)</f>
        <v>no</v>
      </c>
      <c r="AC722" s="233" t="str">
        <f>VLOOKUP(Table3[[#This Row],[Country Code]],Table29[],10,FALSE)</f>
        <v>MENA</v>
      </c>
      <c r="AD722" s="235">
        <f>VLOOKUP(Table3[[#This Row],[Country Code]],Table29[],23,FALSE)</f>
        <v>106.60223103187001</v>
      </c>
      <c r="AE722" s="235">
        <f>VLOOKUP(Table3[[#This Row],[Country Code]],Table29[],24,FALSE)</f>
        <v>17.689478774478111</v>
      </c>
      <c r="AF722" s="43"/>
    </row>
    <row r="723" spans="1:32" ht="30" x14ac:dyDescent="0.25">
      <c r="A723" s="360">
        <v>17669</v>
      </c>
      <c r="B723" s="233" t="str">
        <f>VLOOKUP(Table3[[#This Row],[Document ID]],Table1[],2,FALSE)</f>
        <v>MAR</v>
      </c>
      <c r="C723" s="233" t="str">
        <f>VLOOKUP(Table3[[#This Row],[Document ID]],Table1[],3,FALSE)</f>
        <v>Morocco</v>
      </c>
      <c r="D723" s="233" t="str">
        <f>VLOOKUP(Table3[[#This Row],[Document ID]],Table1[],5,FALSE)</f>
        <v>NDC</v>
      </c>
      <c r="E723" s="233" t="str">
        <f>VLOOKUP(Table3[[#This Row],[Document ID]],Table1[],7,FALSE)</f>
        <v>First NDC</v>
      </c>
      <c r="F723" s="233" t="str">
        <f>VLOOKUP(Table3[[#This Row],[Document ID]],Table1[],8,FALSE)</f>
        <v>NDC 1.0</v>
      </c>
      <c r="G723" s="233" t="str">
        <f>VLOOKUP(Table3[[#This Row],[Document ID]],Table1[],10,FALSE)</f>
        <v>Archived</v>
      </c>
      <c r="H723" s="42" t="s">
        <v>1095</v>
      </c>
      <c r="I723" s="42" t="s">
        <v>1096</v>
      </c>
      <c r="J723" s="42" t="s">
        <v>1097</v>
      </c>
      <c r="K723" s="28" t="s">
        <v>1137</v>
      </c>
      <c r="L723" s="389" t="s">
        <v>1099</v>
      </c>
      <c r="M723" s="209">
        <v>2020</v>
      </c>
      <c r="N723" s="44" t="s">
        <v>1836</v>
      </c>
      <c r="O723" s="221">
        <v>10</v>
      </c>
      <c r="P723" s="238" t="str">
        <f>VLOOKUP(_xlfn.CONCAT(Table3[[#This Row],[Target area]],Table3[[#This Row],[GHG target?]],Table3[[#This Row],[Conditionality]]),'Drop down'!$E$81:$F$101,2,FALSE)</f>
        <v>T_Transport_O_Unc</v>
      </c>
      <c r="Q723" s="239" t="str">
        <f>VLOOKUP(Table3[[#This Row],[Target type]],Table418[[Value name]:[Value idenifyer]],2,FALSE)</f>
        <v>T_O_EFF</v>
      </c>
      <c r="S723" s="233" t="s">
        <v>1101</v>
      </c>
      <c r="T723" s="234" t="s">
        <v>1113</v>
      </c>
      <c r="V723" s="233" t="str">
        <f>VLOOKUP(Table3[[#This Row],[Country Code]],Table29[],3,FALSE)</f>
        <v>Non-Annex I</v>
      </c>
      <c r="W723" s="233" t="str">
        <f>VLOOKUP(Table3[[#This Row],[Country Code]],Table29[],4,FALSE)</f>
        <v>Africa</v>
      </c>
      <c r="X723" s="233" t="str">
        <f>VLOOKUP(Table3[[#This Row],[Country Code]],Table29[],5,FALSE)</f>
        <v>Middle-income</v>
      </c>
      <c r="Y723" s="233" t="str">
        <f>VLOOKUP(Table3[[#This Row],[Country Code]],Table29[],6,FALSE)</f>
        <v>no</v>
      </c>
      <c r="Z723" s="233" t="str">
        <f>VLOOKUP(Table3[[#This Row],[Country Code]],Table29[],7,FALSE)</f>
        <v>no</v>
      </c>
      <c r="AA723" s="233" t="str">
        <f>VLOOKUP(Table3[[#This Row],[Country Code]],Table29[],8,FALSE)</f>
        <v>non-OECD</v>
      </c>
      <c r="AB723" s="233" t="str">
        <f>VLOOKUP(Table3[[#This Row],[Country Code]],Table29[],9,FALSE)</f>
        <v>no</v>
      </c>
      <c r="AC723" s="233" t="str">
        <f>VLOOKUP(Table3[[#This Row],[Country Code]],Table29[],10,FALSE)</f>
        <v>MENA</v>
      </c>
      <c r="AD723" s="235">
        <f>VLOOKUP(Table3[[#This Row],[Country Code]],Table29[],23,FALSE)</f>
        <v>106.60223103187001</v>
      </c>
      <c r="AE723" s="235">
        <f>VLOOKUP(Table3[[#This Row],[Country Code]],Table29[],24,FALSE)</f>
        <v>17.689478774478111</v>
      </c>
      <c r="AF723" s="43"/>
    </row>
    <row r="724" spans="1:32" s="175" customFormat="1" ht="30" x14ac:dyDescent="0.25">
      <c r="A724" s="360">
        <v>20864</v>
      </c>
      <c r="B724" s="233" t="str">
        <f>VLOOKUP(Table3[[#This Row],[Document ID]],Table1[],2,FALSE)</f>
        <v>MAR</v>
      </c>
      <c r="C724" s="233" t="str">
        <f>VLOOKUP(Table3[[#This Row],[Document ID]],Table1[],3,FALSE)</f>
        <v>Morocco</v>
      </c>
      <c r="D724" s="233" t="str">
        <f>VLOOKUP(Table3[[#This Row],[Document ID]],Table1[],5,FALSE)</f>
        <v>NDC</v>
      </c>
      <c r="E724" s="233" t="str">
        <f>VLOOKUP(Table3[[#This Row],[Document ID]],Table1[],7,FALSE)</f>
        <v>First NDC updated</v>
      </c>
      <c r="F724" s="233" t="str">
        <f>VLOOKUP(Table3[[#This Row],[Document ID]],Table1[],8,FALSE)</f>
        <v>NDC 1.1</v>
      </c>
      <c r="G724" s="233" t="str">
        <f>VLOOKUP(Table3[[#This Row],[Document ID]],Table1[],10,FALSE)</f>
        <v>Active</v>
      </c>
      <c r="H724" s="42" t="s">
        <v>1095</v>
      </c>
      <c r="I724" s="42" t="s">
        <v>1096</v>
      </c>
      <c r="J724" s="42" t="s">
        <v>1097</v>
      </c>
      <c r="K724" s="28" t="s">
        <v>1137</v>
      </c>
      <c r="L724" s="389" t="s">
        <v>1099</v>
      </c>
      <c r="M724" s="209">
        <v>2030</v>
      </c>
      <c r="N724" s="209" t="s">
        <v>1837</v>
      </c>
      <c r="O724" s="259">
        <v>18</v>
      </c>
      <c r="P724" s="238" t="str">
        <f>VLOOKUP(_xlfn.CONCAT(Table3[[#This Row],[Target area]],Table3[[#This Row],[GHG target?]],Table3[[#This Row],[Conditionality]]),'Drop down'!$E$81:$F$101,2,FALSE)</f>
        <v>T_Transport_O_Unc</v>
      </c>
      <c r="Q724" s="239" t="str">
        <f>VLOOKUP(Table3[[#This Row],[Target type]],Table418[[Value name]:[Value idenifyer]],2,FALSE)</f>
        <v>T_O_EFF</v>
      </c>
      <c r="R724" s="233"/>
      <c r="S724" s="233" t="s">
        <v>1101</v>
      </c>
      <c r="T724" s="234" t="s">
        <v>1113</v>
      </c>
      <c r="U724" s="234"/>
      <c r="V724" s="233" t="str">
        <f>VLOOKUP(Table3[[#This Row],[Country Code]],Table29[],3,FALSE)</f>
        <v>Non-Annex I</v>
      </c>
      <c r="W724" s="233" t="str">
        <f>VLOOKUP(Table3[[#This Row],[Country Code]],Table29[],4,FALSE)</f>
        <v>Africa</v>
      </c>
      <c r="X724" s="233" t="str">
        <f>VLOOKUP(Table3[[#This Row],[Country Code]],Table29[],5,FALSE)</f>
        <v>Middle-income</v>
      </c>
      <c r="Y724" s="233" t="str">
        <f>VLOOKUP(Table3[[#This Row],[Country Code]],Table29[],6,FALSE)</f>
        <v>no</v>
      </c>
      <c r="Z724" s="233" t="str">
        <f>VLOOKUP(Table3[[#This Row],[Country Code]],Table29[],7,FALSE)</f>
        <v>no</v>
      </c>
      <c r="AA724" s="233" t="str">
        <f>VLOOKUP(Table3[[#This Row],[Country Code]],Table29[],8,FALSE)</f>
        <v>non-OECD</v>
      </c>
      <c r="AB724" s="233" t="str">
        <f>VLOOKUP(Table3[[#This Row],[Country Code]],Table29[],9,FALSE)</f>
        <v>no</v>
      </c>
      <c r="AC724" s="233" t="str">
        <f>VLOOKUP(Table3[[#This Row],[Country Code]],Table29[],10,FALSE)</f>
        <v>MENA</v>
      </c>
      <c r="AD724" s="235">
        <f>VLOOKUP(Table3[[#This Row],[Country Code]],Table29[],23,FALSE)</f>
        <v>106.60223103187001</v>
      </c>
      <c r="AE724" s="235">
        <f>VLOOKUP(Table3[[#This Row],[Country Code]],Table29[],24,FALSE)</f>
        <v>17.689478774478111</v>
      </c>
      <c r="AF724" s="43"/>
    </row>
    <row r="725" spans="1:32" ht="30" x14ac:dyDescent="0.25">
      <c r="A725" s="360">
        <v>17745</v>
      </c>
      <c r="B725" s="233" t="str">
        <f>VLOOKUP(Table3[[#This Row],[Document ID]],Table1[],2,FALSE)</f>
        <v>LKA</v>
      </c>
      <c r="C725" s="233" t="str">
        <f>VLOOKUP(Table3[[#This Row],[Document ID]],Table1[],3,FALSE)</f>
        <v>Sri Lanka</v>
      </c>
      <c r="D725" s="233" t="str">
        <f>VLOOKUP(Table3[[#This Row],[Document ID]],Table1[],5,FALSE)</f>
        <v>NDC</v>
      </c>
      <c r="E725" s="233" t="str">
        <f>VLOOKUP(Table3[[#This Row],[Document ID]],Table1[],7,FALSE)</f>
        <v>First NDC</v>
      </c>
      <c r="F725" s="233" t="str">
        <f>VLOOKUP(Table3[[#This Row],[Document ID]],Table1[],8,FALSE)</f>
        <v>NDC 1.0</v>
      </c>
      <c r="G725" s="233" t="str">
        <f>VLOOKUP(Table3[[#This Row],[Document ID]],Table1[],10,FALSE)</f>
        <v>Archived</v>
      </c>
      <c r="H725" s="216" t="s">
        <v>1089</v>
      </c>
      <c r="I725" s="216" t="s">
        <v>1089</v>
      </c>
      <c r="J725" s="43" t="s">
        <v>1090</v>
      </c>
      <c r="K725" s="28" t="s">
        <v>1091</v>
      </c>
      <c r="L725" s="42" t="s">
        <v>1099</v>
      </c>
      <c r="M725" s="209"/>
      <c r="N725" s="176" t="s">
        <v>1838</v>
      </c>
      <c r="O725" s="258" t="s">
        <v>1094</v>
      </c>
      <c r="P725" s="238" t="str">
        <f>VLOOKUP(_xlfn.CONCAT(Table3[[#This Row],[Target area]],Table3[[#This Row],[GHG target?]],Table3[[#This Row],[Conditionality]]),'Drop down'!$E$81:$F$101,2,FALSE)</f>
        <v>T_Economy_Unc</v>
      </c>
      <c r="Q725" s="239" t="str">
        <f>VLOOKUP(Table3[[#This Row],[Target type]],Table418[[Value name]:[Value idenifyer]],2,FALSE)</f>
        <v>T_BAU</v>
      </c>
      <c r="S725" s="233" t="s">
        <v>1125</v>
      </c>
      <c r="T725" s="234" t="s">
        <v>1113</v>
      </c>
      <c r="V725" s="233" t="str">
        <f>VLOOKUP(Table3[[#This Row],[Country Code]],Table29[],3,FALSE)</f>
        <v>Non-Annex I</v>
      </c>
      <c r="W725" s="233" t="str">
        <f>VLOOKUP(Table3[[#This Row],[Country Code]],Table29[],4,FALSE)</f>
        <v>Asia</v>
      </c>
      <c r="X725" s="233" t="str">
        <f>VLOOKUP(Table3[[#This Row],[Country Code]],Table29[],5,FALSE)</f>
        <v>Middle-income</v>
      </c>
      <c r="Y725" s="233" t="str">
        <f>VLOOKUP(Table3[[#This Row],[Country Code]],Table29[],6,FALSE)</f>
        <v>no</v>
      </c>
      <c r="Z725" s="233" t="str">
        <f>VLOOKUP(Table3[[#This Row],[Country Code]],Table29[],7,FALSE)</f>
        <v>no</v>
      </c>
      <c r="AA725" s="233" t="str">
        <f>VLOOKUP(Table3[[#This Row],[Country Code]],Table29[],8,FALSE)</f>
        <v>non-OECD</v>
      </c>
      <c r="AB725" s="233" t="str">
        <f>VLOOKUP(Table3[[#This Row],[Country Code]],Table29[],9,FALSE)</f>
        <v>no</v>
      </c>
      <c r="AC725" s="233" t="str">
        <f>VLOOKUP(Table3[[#This Row],[Country Code]],Table29[],10,FALSE)</f>
        <v>no</v>
      </c>
      <c r="AD725" s="235">
        <f>VLOOKUP(Table3[[#This Row],[Country Code]],Table29[],23,FALSE)</f>
        <v>38.403849844142002</v>
      </c>
      <c r="AE725" s="235">
        <f>VLOOKUP(Table3[[#This Row],[Country Code]],Table29[],24,FALSE)</f>
        <v>9.6330858743096854</v>
      </c>
      <c r="AF725" s="43"/>
    </row>
    <row r="726" spans="1:32" ht="30" x14ac:dyDescent="0.25">
      <c r="A726" s="360">
        <v>17745</v>
      </c>
      <c r="B726" s="233" t="str">
        <f>VLOOKUP(Table3[[#This Row],[Document ID]],Table1[],2,FALSE)</f>
        <v>LKA</v>
      </c>
      <c r="C726" s="233" t="str">
        <f>VLOOKUP(Table3[[#This Row],[Document ID]],Table1[],3,FALSE)</f>
        <v>Sri Lanka</v>
      </c>
      <c r="D726" s="233" t="str">
        <f>VLOOKUP(Table3[[#This Row],[Document ID]],Table1[],5,FALSE)</f>
        <v>NDC</v>
      </c>
      <c r="E726" s="233" t="str">
        <f>VLOOKUP(Table3[[#This Row],[Document ID]],Table1[],7,FALSE)</f>
        <v>First NDC</v>
      </c>
      <c r="F726" s="233" t="str">
        <f>VLOOKUP(Table3[[#This Row],[Document ID]],Table1[],8,FALSE)</f>
        <v>NDC 1.0</v>
      </c>
      <c r="G726" s="233" t="str">
        <f>VLOOKUP(Table3[[#This Row],[Document ID]],Table1[],10,FALSE)</f>
        <v>Archived</v>
      </c>
      <c r="H726" s="216" t="s">
        <v>1089</v>
      </c>
      <c r="I726" s="216" t="s">
        <v>1089</v>
      </c>
      <c r="J726" s="43" t="s">
        <v>1090</v>
      </c>
      <c r="K726" s="28" t="s">
        <v>1091</v>
      </c>
      <c r="L726" s="216" t="s">
        <v>1092</v>
      </c>
      <c r="M726" s="209"/>
      <c r="N726" s="176" t="s">
        <v>1838</v>
      </c>
      <c r="O726" s="258" t="s">
        <v>1094</v>
      </c>
      <c r="P726" s="238" t="str">
        <f>VLOOKUP(_xlfn.CONCAT(Table3[[#This Row],[Target area]],Table3[[#This Row],[GHG target?]],Table3[[#This Row],[Conditionality]]),'Drop down'!$E$81:$F$101,2,FALSE)</f>
        <v>T_Economy_C</v>
      </c>
      <c r="Q726" s="239" t="str">
        <f>VLOOKUP(Table3[[#This Row],[Target type]],Table418[[Value name]:[Value idenifyer]],2,FALSE)</f>
        <v>T_BAU</v>
      </c>
      <c r="S726" s="233" t="s">
        <v>1125</v>
      </c>
      <c r="T726" s="234" t="s">
        <v>1113</v>
      </c>
      <c r="V726" s="233" t="str">
        <f>VLOOKUP(Table3[[#This Row],[Country Code]],Table29[],3,FALSE)</f>
        <v>Non-Annex I</v>
      </c>
      <c r="W726" s="233" t="str">
        <f>VLOOKUP(Table3[[#This Row],[Country Code]],Table29[],4,FALSE)</f>
        <v>Asia</v>
      </c>
      <c r="X726" s="233" t="str">
        <f>VLOOKUP(Table3[[#This Row],[Country Code]],Table29[],5,FALSE)</f>
        <v>Middle-income</v>
      </c>
      <c r="Y726" s="233" t="str">
        <f>VLOOKUP(Table3[[#This Row],[Country Code]],Table29[],6,FALSE)</f>
        <v>no</v>
      </c>
      <c r="Z726" s="233" t="str">
        <f>VLOOKUP(Table3[[#This Row],[Country Code]],Table29[],7,FALSE)</f>
        <v>no</v>
      </c>
      <c r="AA726" s="233" t="str">
        <f>VLOOKUP(Table3[[#This Row],[Country Code]],Table29[],8,FALSE)</f>
        <v>non-OECD</v>
      </c>
      <c r="AB726" s="233" t="str">
        <f>VLOOKUP(Table3[[#This Row],[Country Code]],Table29[],9,FALSE)</f>
        <v>no</v>
      </c>
      <c r="AC726" s="233" t="str">
        <f>VLOOKUP(Table3[[#This Row],[Country Code]],Table29[],10,FALSE)</f>
        <v>no</v>
      </c>
      <c r="AD726" s="235">
        <f>VLOOKUP(Table3[[#This Row],[Country Code]],Table29[],23,FALSE)</f>
        <v>38.403849844142002</v>
      </c>
      <c r="AE726" s="235">
        <f>VLOOKUP(Table3[[#This Row],[Country Code]],Table29[],24,FALSE)</f>
        <v>9.6330858743096854</v>
      </c>
      <c r="AF726" s="43"/>
    </row>
    <row r="727" spans="1:32" x14ac:dyDescent="0.25">
      <c r="A727" s="360">
        <v>32516</v>
      </c>
      <c r="B727" s="233" t="str">
        <f>VLOOKUP(Table3[[#This Row],[Document ID]],Table1[],2,FALSE)</f>
        <v>SDN</v>
      </c>
      <c r="C727" s="233" t="str">
        <f>VLOOKUP(Table3[[#This Row],[Document ID]],Table1[],3,FALSE)</f>
        <v>Sudan</v>
      </c>
      <c r="D727" s="233" t="str">
        <f>VLOOKUP(Table3[[#This Row],[Document ID]],Table1[],5,FALSE)</f>
        <v>NDC</v>
      </c>
      <c r="E727" s="233" t="str">
        <f>VLOOKUP(Table3[[#This Row],[Document ID]],Table1[],7,FALSE)</f>
        <v>First NDC updated</v>
      </c>
      <c r="F727" s="233" t="str">
        <f>VLOOKUP(Table3[[#This Row],[Document ID]],Table1[],8,FALSE)</f>
        <v>NDC 1.2</v>
      </c>
      <c r="G727" s="233" t="str">
        <f>VLOOKUP(Table3[[#This Row],[Document ID]],Table1[],10,FALSE)</f>
        <v>Active</v>
      </c>
      <c r="H727" s="216" t="s">
        <v>1089</v>
      </c>
      <c r="I727" s="216" t="s">
        <v>1089</v>
      </c>
      <c r="J727" s="43" t="s">
        <v>1090</v>
      </c>
      <c r="K727" s="28" t="s">
        <v>1091</v>
      </c>
      <c r="L727" s="42" t="s">
        <v>1099</v>
      </c>
      <c r="M727" s="209">
        <v>2030</v>
      </c>
      <c r="N727" s="43" t="s">
        <v>1839</v>
      </c>
      <c r="O727" s="258">
        <v>7</v>
      </c>
      <c r="P727" s="238" t="str">
        <f>VLOOKUP(_xlfn.CONCAT(Table3[[#This Row],[Target area]],Table3[[#This Row],[GHG target?]],Table3[[#This Row],[Conditionality]]),'Drop down'!$E$81:$F$101,2,FALSE)</f>
        <v>T_Economy_Unc</v>
      </c>
      <c r="Q727" s="239" t="str">
        <f>VLOOKUP(Table3[[#This Row],[Target type]],Table418[[Value name]:[Value idenifyer]],2,FALSE)</f>
        <v>T_BAU</v>
      </c>
      <c r="V727" s="233" t="str">
        <f>VLOOKUP(Table3[[#This Row],[Country Code]],Table29[],3,FALSE)</f>
        <v>Non-Annex I</v>
      </c>
      <c r="W727" s="233" t="str">
        <f>VLOOKUP(Table3[[#This Row],[Country Code]],Table29[],4,FALSE)</f>
        <v>Africa</v>
      </c>
      <c r="X727" s="233" t="str">
        <f>VLOOKUP(Table3[[#This Row],[Country Code]],Table29[],5,FALSE)</f>
        <v>Low-income</v>
      </c>
      <c r="Y727" s="233" t="str">
        <f>VLOOKUP(Table3[[#This Row],[Country Code]],Table29[],6,FALSE)</f>
        <v>no</v>
      </c>
      <c r="Z727" s="233" t="str">
        <f>VLOOKUP(Table3[[#This Row],[Country Code]],Table29[],7,FALSE)</f>
        <v>no</v>
      </c>
      <c r="AA727" s="233" t="str">
        <f>VLOOKUP(Table3[[#This Row],[Country Code]],Table29[],8,FALSE)</f>
        <v>non-OECD</v>
      </c>
      <c r="AB727" s="233" t="str">
        <f>VLOOKUP(Table3[[#This Row],[Country Code]],Table29[],9,FALSE)</f>
        <v>no</v>
      </c>
      <c r="AC727" s="233" t="str">
        <f>VLOOKUP(Table3[[#This Row],[Country Code]],Table29[],10,FALSE)</f>
        <v>no</v>
      </c>
      <c r="AD727" s="235">
        <f>VLOOKUP(Table3[[#This Row],[Country Code]],Table29[],23,FALSE)</f>
        <v>138.74157453583999</v>
      </c>
      <c r="AE727" s="235">
        <f>VLOOKUP(Table3[[#This Row],[Country Code]],Table29[],24,FALSE)</f>
        <v>12.273351752549781</v>
      </c>
      <c r="AF727" s="43"/>
    </row>
    <row r="728" spans="1:32" x14ac:dyDescent="0.25">
      <c r="A728" s="360">
        <v>32516</v>
      </c>
      <c r="B728" s="233" t="str">
        <f>VLOOKUP(Table3[[#This Row],[Document ID]],Table1[],2,FALSE)</f>
        <v>SDN</v>
      </c>
      <c r="C728" s="233" t="str">
        <f>VLOOKUP(Table3[[#This Row],[Document ID]],Table1[],3,FALSE)</f>
        <v>Sudan</v>
      </c>
      <c r="D728" s="233" t="str">
        <f>VLOOKUP(Table3[[#This Row],[Document ID]],Table1[],5,FALSE)</f>
        <v>NDC</v>
      </c>
      <c r="E728" s="233" t="str">
        <f>VLOOKUP(Table3[[#This Row],[Document ID]],Table1[],7,FALSE)</f>
        <v>First NDC updated</v>
      </c>
      <c r="F728" s="233" t="str">
        <f>VLOOKUP(Table3[[#This Row],[Document ID]],Table1[],8,FALSE)</f>
        <v>NDC 1.2</v>
      </c>
      <c r="G728" s="233" t="str">
        <f>VLOOKUP(Table3[[#This Row],[Document ID]],Table1[],10,FALSE)</f>
        <v>Active</v>
      </c>
      <c r="H728" s="43" t="s">
        <v>1114</v>
      </c>
      <c r="I728" s="43" t="s">
        <v>1115</v>
      </c>
      <c r="J728" s="42" t="s">
        <v>1090</v>
      </c>
      <c r="K728" s="28" t="s">
        <v>1091</v>
      </c>
      <c r="L728" s="43" t="s">
        <v>1116</v>
      </c>
      <c r="M728" s="209">
        <v>2030</v>
      </c>
      <c r="N728" s="44" t="s">
        <v>1840</v>
      </c>
      <c r="O728" s="258">
        <v>5</v>
      </c>
      <c r="P728" s="238" t="str">
        <f>VLOOKUP(_xlfn.CONCAT(Table3[[#This Row],[Target area]],Table3[[#This Row],[GHG target?]],Table3[[#This Row],[Conditionality]]),'Drop down'!$E$81:$F$101,2,FALSE)</f>
        <v>T_Energy</v>
      </c>
      <c r="Q728" s="239" t="str">
        <f>VLOOKUP(Table3[[#This Row],[Target type]],Table418[[Value name]:[Value idenifyer]],2,FALSE)</f>
        <v>T_BAU</v>
      </c>
      <c r="V728" s="233" t="str">
        <f>VLOOKUP(Table3[[#This Row],[Country Code]],Table29[],3,FALSE)</f>
        <v>Non-Annex I</v>
      </c>
      <c r="W728" s="233" t="str">
        <f>VLOOKUP(Table3[[#This Row],[Country Code]],Table29[],4,FALSE)</f>
        <v>Africa</v>
      </c>
      <c r="X728" s="233" t="str">
        <f>VLOOKUP(Table3[[#This Row],[Country Code]],Table29[],5,FALSE)</f>
        <v>Low-income</v>
      </c>
      <c r="Y728" s="233" t="str">
        <f>VLOOKUP(Table3[[#This Row],[Country Code]],Table29[],6,FALSE)</f>
        <v>no</v>
      </c>
      <c r="Z728" s="233" t="str">
        <f>VLOOKUP(Table3[[#This Row],[Country Code]],Table29[],7,FALSE)</f>
        <v>no</v>
      </c>
      <c r="AA728" s="233" t="str">
        <f>VLOOKUP(Table3[[#This Row],[Country Code]],Table29[],8,FALSE)</f>
        <v>non-OECD</v>
      </c>
      <c r="AB728" s="233" t="str">
        <f>VLOOKUP(Table3[[#This Row],[Country Code]],Table29[],9,FALSE)</f>
        <v>no</v>
      </c>
      <c r="AC728" s="233" t="str">
        <f>VLOOKUP(Table3[[#This Row],[Country Code]],Table29[],10,FALSE)</f>
        <v>no</v>
      </c>
      <c r="AD728" s="235">
        <f>VLOOKUP(Table3[[#This Row],[Country Code]],Table29[],23,FALSE)</f>
        <v>138.74157453583999</v>
      </c>
      <c r="AE728" s="235">
        <f>VLOOKUP(Table3[[#This Row],[Country Code]],Table29[],24,FALSE)</f>
        <v>12.273351752549781</v>
      </c>
      <c r="AF728" s="43"/>
    </row>
    <row r="729" spans="1:32" x14ac:dyDescent="0.25">
      <c r="A729" s="360">
        <v>17748</v>
      </c>
      <c r="B729" s="233" t="str">
        <f>VLOOKUP(Table3[[#This Row],[Document ID]],Table1[],2,FALSE)</f>
        <v>SUR</v>
      </c>
      <c r="C729" s="233" t="str">
        <f>VLOOKUP(Table3[[#This Row],[Document ID]],Table1[],3,FALSE)</f>
        <v>Suriname</v>
      </c>
      <c r="D729" s="233" t="str">
        <f>VLOOKUP(Table3[[#This Row],[Document ID]],Table1[],5,FALSE)</f>
        <v>NDC</v>
      </c>
      <c r="E729" s="233" t="str">
        <f>VLOOKUP(Table3[[#This Row],[Document ID]],Table1[],7,FALSE)</f>
        <v>Second NDC</v>
      </c>
      <c r="F729" s="233" t="str">
        <f>VLOOKUP(Table3[[#This Row],[Document ID]],Table1[],8,FALSE)</f>
        <v>NDC 2.0</v>
      </c>
      <c r="G729" s="233" t="str">
        <f>VLOOKUP(Table3[[#This Row],[Document ID]],Table1[],10,FALSE)</f>
        <v>Active</v>
      </c>
      <c r="H729" s="43" t="s">
        <v>1114</v>
      </c>
      <c r="I729" s="43" t="s">
        <v>1115</v>
      </c>
      <c r="J729" s="42" t="s">
        <v>1097</v>
      </c>
      <c r="K729" s="28" t="s">
        <v>1118</v>
      </c>
      <c r="L729" s="43" t="s">
        <v>1116</v>
      </c>
      <c r="M729" s="209">
        <v>2030</v>
      </c>
      <c r="N729" s="44" t="s">
        <v>1841</v>
      </c>
      <c r="O729" s="221">
        <v>21</v>
      </c>
      <c r="P729" s="238" t="str">
        <f>VLOOKUP(_xlfn.CONCAT(Table3[[#This Row],[Target area]],Table3[[#This Row],[GHG target?]],Table3[[#This Row],[Conditionality]]),'Drop down'!$E$81:$F$101,2,FALSE)</f>
        <v>T_Energy_O</v>
      </c>
      <c r="Q729" s="239" t="str">
        <f>VLOOKUP(Table3[[#This Row],[Target type]],Table418[[Value name]:[Value idenifyer]],2,FALSE)</f>
        <v>T_E_REN</v>
      </c>
      <c r="V729" s="233" t="str">
        <f>VLOOKUP(Table3[[#This Row],[Country Code]],Table29[],3,FALSE)</f>
        <v>Non-Annex I</v>
      </c>
      <c r="W729" s="233" t="str">
        <f>VLOOKUP(Table3[[#This Row],[Country Code]],Table29[],4,FALSE)</f>
        <v>Latin America and the Caribbean</v>
      </c>
      <c r="X729" s="233" t="str">
        <f>VLOOKUP(Table3[[#This Row],[Country Code]],Table29[],5,FALSE)</f>
        <v>Middle-income</v>
      </c>
      <c r="Y729" s="233" t="str">
        <f>VLOOKUP(Table3[[#This Row],[Country Code]],Table29[],6,FALSE)</f>
        <v>no</v>
      </c>
      <c r="Z729" s="233" t="str">
        <f>VLOOKUP(Table3[[#This Row],[Country Code]],Table29[],7,FALSE)</f>
        <v>no</v>
      </c>
      <c r="AA729" s="233" t="str">
        <f>VLOOKUP(Table3[[#This Row],[Country Code]],Table29[],8,FALSE)</f>
        <v>non-OECD</v>
      </c>
      <c r="AB729" s="233" t="str">
        <f>VLOOKUP(Table3[[#This Row],[Country Code]],Table29[],9,FALSE)</f>
        <v>no</v>
      </c>
      <c r="AC729" s="233" t="str">
        <f>VLOOKUP(Table3[[#This Row],[Country Code]],Table29[],10,FALSE)</f>
        <v>no</v>
      </c>
      <c r="AD729" s="235">
        <f>VLOOKUP(Table3[[#This Row],[Country Code]],Table29[],23,FALSE)</f>
        <v>3.7377177696646</v>
      </c>
      <c r="AE729" s="235">
        <f>VLOOKUP(Table3[[#This Row],[Country Code]],Table29[],24,FALSE)</f>
        <v>0.84541140960197392</v>
      </c>
      <c r="AF729" s="43"/>
    </row>
    <row r="730" spans="1:32" x14ac:dyDescent="0.25">
      <c r="A730" s="360">
        <v>17750</v>
      </c>
      <c r="B730" s="233" t="str">
        <f>VLOOKUP(Table3[[#This Row],[Document ID]],Table1[],2,FALSE)</f>
        <v>SWE</v>
      </c>
      <c r="C730" s="233" t="str">
        <f>VLOOKUP(Table3[[#This Row],[Document ID]],Table1[],3,FALSE)</f>
        <v>Sweden</v>
      </c>
      <c r="D730" s="233" t="str">
        <f>VLOOKUP(Table3[[#This Row],[Document ID]],Table1[],5,FALSE)</f>
        <v>LTS</v>
      </c>
      <c r="E730" s="233" t="str">
        <f>VLOOKUP(Table3[[#This Row],[Document ID]],Table1[],7,FALSE)</f>
        <v>LTS</v>
      </c>
      <c r="F730" s="233" t="str">
        <f>VLOOKUP(Table3[[#This Row],[Document ID]],Table1[],8,FALSE)</f>
        <v>LTS 1.0</v>
      </c>
      <c r="G730" s="233" t="str">
        <f>VLOOKUP(Table3[[#This Row],[Document ID]],Table1[],10,FALSE)</f>
        <v>Active</v>
      </c>
      <c r="H730" s="216" t="s">
        <v>1089</v>
      </c>
      <c r="I730" s="216" t="s">
        <v>1089</v>
      </c>
      <c r="J730" s="43" t="s">
        <v>1090</v>
      </c>
      <c r="K730" s="28" t="s">
        <v>1153</v>
      </c>
      <c r="L730" s="42" t="s">
        <v>1099</v>
      </c>
      <c r="M730" s="209">
        <v>2045</v>
      </c>
      <c r="N730" s="44" t="s">
        <v>1842</v>
      </c>
      <c r="O730" s="221">
        <v>3</v>
      </c>
      <c r="P730" s="238" t="str">
        <f>VLOOKUP(_xlfn.CONCAT(Table3[[#This Row],[Target area]],Table3[[#This Row],[GHG target?]],Table3[[#This Row],[Conditionality]]),'Drop down'!$E$81:$F$101,2,FALSE)</f>
        <v>T_Economy_Unc</v>
      </c>
      <c r="Q730" s="239" t="str">
        <f>VLOOKUP(Table3[[#This Row],[Target type]],Table418[[Value name]:[Value idenifyer]],2,FALSE)</f>
        <v>T_BYE</v>
      </c>
      <c r="S730" s="233" t="s">
        <v>1112</v>
      </c>
      <c r="T730" s="234" t="s">
        <v>1113</v>
      </c>
      <c r="V730" s="233" t="str">
        <f>VLOOKUP(Table3[[#This Row],[Country Code]],Table29[],3,FALSE)</f>
        <v>Annex I</v>
      </c>
      <c r="W730" s="233" t="str">
        <f>VLOOKUP(Table3[[#This Row],[Country Code]],Table29[],4,FALSE)</f>
        <v>Europe</v>
      </c>
      <c r="X730" s="233" t="str">
        <f>VLOOKUP(Table3[[#This Row],[Country Code]],Table29[],5,FALSE)</f>
        <v>High-income</v>
      </c>
      <c r="Y730" s="233" t="str">
        <f>VLOOKUP(Table3[[#This Row],[Country Code]],Table29[],6,FALSE)</f>
        <v>no</v>
      </c>
      <c r="Z730" s="233" t="str">
        <f>VLOOKUP(Table3[[#This Row],[Country Code]],Table29[],7,FALSE)</f>
        <v>no</v>
      </c>
      <c r="AA730" s="233" t="str">
        <f>VLOOKUP(Table3[[#This Row],[Country Code]],Table29[],8,FALSE)</f>
        <v>OECD</v>
      </c>
      <c r="AB730" s="233" t="str">
        <f>VLOOKUP(Table3[[#This Row],[Country Code]],Table29[],9,FALSE)</f>
        <v>EU27</v>
      </c>
      <c r="AC730" s="233" t="str">
        <f>VLOOKUP(Table3[[#This Row],[Country Code]],Table29[],10,FALSE)</f>
        <v>no</v>
      </c>
      <c r="AD730" s="235">
        <f>VLOOKUP(Table3[[#This Row],[Country Code]],Table29[],23,FALSE)</f>
        <v>49.118373633418003</v>
      </c>
      <c r="AE730" s="235">
        <f>VLOOKUP(Table3[[#This Row],[Country Code]],Table29[],24,FALSE)</f>
        <v>13.502992277371289</v>
      </c>
      <c r="AF730" s="43"/>
    </row>
    <row r="731" spans="1:32" ht="30" x14ac:dyDescent="0.25">
      <c r="A731" s="360">
        <v>17665</v>
      </c>
      <c r="B731" s="233" t="str">
        <f>VLOOKUP(Table3[[#This Row],[Document ID]],Table1[],2,FALSE)</f>
        <v>MCO</v>
      </c>
      <c r="C731" s="233" t="str">
        <f>VLOOKUP(Table3[[#This Row],[Document ID]],Table1[],3,FALSE)</f>
        <v>Monaco</v>
      </c>
      <c r="D731" s="233" t="str">
        <f>VLOOKUP(Table3[[#This Row],[Document ID]],Table1[],5,FALSE)</f>
        <v>NDC</v>
      </c>
      <c r="E731" s="233" t="str">
        <f>VLOOKUP(Table3[[#This Row],[Document ID]],Table1[],7,FALSE)</f>
        <v>First NDC updated</v>
      </c>
      <c r="F731" s="233" t="str">
        <f>VLOOKUP(Table3[[#This Row],[Document ID]],Table1[],8,FALSE)</f>
        <v>NDC 1.1</v>
      </c>
      <c r="G731" s="233" t="str">
        <f>VLOOKUP(Table3[[#This Row],[Document ID]],Table1[],10,FALSE)</f>
        <v>Active</v>
      </c>
      <c r="H731" s="42" t="s">
        <v>1095</v>
      </c>
      <c r="I731" s="42" t="s">
        <v>1096</v>
      </c>
      <c r="J731" s="42" t="s">
        <v>1097</v>
      </c>
      <c r="K731" s="28" t="s">
        <v>1104</v>
      </c>
      <c r="L731" s="42" t="s">
        <v>1099</v>
      </c>
      <c r="M731" s="209">
        <v>2030</v>
      </c>
      <c r="N731" s="44" t="s">
        <v>1843</v>
      </c>
      <c r="O731" s="221">
        <v>27</v>
      </c>
      <c r="P731" s="238" t="str">
        <f>VLOOKUP(_xlfn.CONCAT(Table3[[#This Row],[Target area]],Table3[[#This Row],[GHG target?]],Table3[[#This Row],[Conditionality]]),'Drop down'!$E$81:$F$101,2,FALSE)</f>
        <v>T_Transport_O_Unc</v>
      </c>
      <c r="Q731" s="239" t="str">
        <f>VLOOKUP(Table3[[#This Row],[Target type]],Table418[[Value name]:[Value idenifyer]],2,FALSE)</f>
        <v>T_O_ZERO</v>
      </c>
      <c r="S731" s="233" t="s">
        <v>1101</v>
      </c>
      <c r="T731" s="234" t="s">
        <v>1113</v>
      </c>
      <c r="U731" s="234" t="s">
        <v>1844</v>
      </c>
      <c r="V731" s="233" t="str">
        <f>VLOOKUP(Table3[[#This Row],[Country Code]],Table29[],3,FALSE)</f>
        <v>Annex I</v>
      </c>
      <c r="W731" s="233" t="str">
        <f>VLOOKUP(Table3[[#This Row],[Country Code]],Table29[],4,FALSE)</f>
        <v>Europe</v>
      </c>
      <c r="X731" s="233" t="str">
        <f>VLOOKUP(Table3[[#This Row],[Country Code]],Table29[],5,FALSE)</f>
        <v>High-income</v>
      </c>
      <c r="Y731" s="233" t="str">
        <f>VLOOKUP(Table3[[#This Row],[Country Code]],Table29[],6,FALSE)</f>
        <v>no</v>
      </c>
      <c r="Z731" s="233" t="str">
        <f>VLOOKUP(Table3[[#This Row],[Country Code]],Table29[],7,FALSE)</f>
        <v>no</v>
      </c>
      <c r="AA731" s="233" t="str">
        <f>VLOOKUP(Table3[[#This Row],[Country Code]],Table29[],8,FALSE)</f>
        <v>non-OECD</v>
      </c>
      <c r="AB731" s="233" t="str">
        <f>VLOOKUP(Table3[[#This Row],[Country Code]],Table29[],9,FALSE)</f>
        <v>no</v>
      </c>
      <c r="AC731" s="233" t="str">
        <f>VLOOKUP(Table3[[#This Row],[Country Code]],Table29[],10,FALSE)</f>
        <v>no</v>
      </c>
      <c r="AD731" s="235">
        <f>VLOOKUP(Table3[[#This Row],[Country Code]],Table29[],23,FALSE)</f>
        <v>0</v>
      </c>
      <c r="AE731" s="235">
        <f>VLOOKUP(Table3[[#This Row],[Country Code]],Table29[],24,FALSE)</f>
        <v>0</v>
      </c>
      <c r="AF731" s="43"/>
    </row>
    <row r="732" spans="1:32" x14ac:dyDescent="0.25">
      <c r="A732" s="360">
        <v>17754</v>
      </c>
      <c r="B732" s="233" t="str">
        <f>VLOOKUP(Table3[[#This Row],[Document ID]],Table1[],2,FALSE)</f>
        <v>CHE</v>
      </c>
      <c r="C732" s="233" t="str">
        <f>VLOOKUP(Table3[[#This Row],[Document ID]],Table1[],3,FALSE)</f>
        <v>Switzerland</v>
      </c>
      <c r="D732" s="233" t="str">
        <f>VLOOKUP(Table3[[#This Row],[Document ID]],Table1[],5,FALSE)</f>
        <v>NDC</v>
      </c>
      <c r="E732" s="233" t="str">
        <f>VLOOKUP(Table3[[#This Row],[Document ID]],Table1[],7,FALSE)</f>
        <v>First NDC updated</v>
      </c>
      <c r="F732" s="233" t="str">
        <f>VLOOKUP(Table3[[#This Row],[Document ID]],Table1[],8,FALSE)</f>
        <v>NDC 1.1</v>
      </c>
      <c r="G732" s="233" t="str">
        <f>VLOOKUP(Table3[[#This Row],[Document ID]],Table1[],10,FALSE)</f>
        <v>Archived</v>
      </c>
      <c r="H732" s="216" t="s">
        <v>1089</v>
      </c>
      <c r="I732" s="216" t="s">
        <v>1089</v>
      </c>
      <c r="J732" s="43" t="s">
        <v>1090</v>
      </c>
      <c r="K732" s="28" t="s">
        <v>1153</v>
      </c>
      <c r="L732" s="42" t="s">
        <v>1099</v>
      </c>
      <c r="M732" s="209">
        <v>2030</v>
      </c>
      <c r="N732" s="44" t="s">
        <v>1845</v>
      </c>
      <c r="O732" s="221">
        <v>2</v>
      </c>
      <c r="P732" s="238" t="str">
        <f>VLOOKUP(_xlfn.CONCAT(Table3[[#This Row],[Target area]],Table3[[#This Row],[GHG target?]],Table3[[#This Row],[Conditionality]]),'Drop down'!$E$81:$F$101,2,FALSE)</f>
        <v>T_Economy_Unc</v>
      </c>
      <c r="Q732" s="239" t="str">
        <f>VLOOKUP(Table3[[#This Row],[Target type]],Table418[[Value name]:[Value idenifyer]],2,FALSE)</f>
        <v>T_BYE</v>
      </c>
      <c r="T732" s="234" t="s">
        <v>1113</v>
      </c>
      <c r="V732" s="233" t="str">
        <f>VLOOKUP(Table3[[#This Row],[Country Code]],Table29[],3,FALSE)</f>
        <v>Annex I</v>
      </c>
      <c r="W732" s="233" t="str">
        <f>VLOOKUP(Table3[[#This Row],[Country Code]],Table29[],4,FALSE)</f>
        <v>Europe</v>
      </c>
      <c r="X732" s="233" t="str">
        <f>VLOOKUP(Table3[[#This Row],[Country Code]],Table29[],5,FALSE)</f>
        <v>High-income</v>
      </c>
      <c r="Y732" s="233" t="str">
        <f>VLOOKUP(Table3[[#This Row],[Country Code]],Table29[],6,FALSE)</f>
        <v>no</v>
      </c>
      <c r="Z732" s="233" t="str">
        <f>VLOOKUP(Table3[[#This Row],[Country Code]],Table29[],7,FALSE)</f>
        <v>no</v>
      </c>
      <c r="AA732" s="233" t="str">
        <f>VLOOKUP(Table3[[#This Row],[Country Code]],Table29[],8,FALSE)</f>
        <v>OECD</v>
      </c>
      <c r="AB732" s="233" t="str">
        <f>VLOOKUP(Table3[[#This Row],[Country Code]],Table29[],9,FALSE)</f>
        <v>no</v>
      </c>
      <c r="AC732" s="233" t="str">
        <f>VLOOKUP(Table3[[#This Row],[Country Code]],Table29[],10,FALSE)</f>
        <v>no</v>
      </c>
      <c r="AD732" s="235">
        <f>VLOOKUP(Table3[[#This Row],[Country Code]],Table29[],23,FALSE)</f>
        <v>43.446393813877002</v>
      </c>
      <c r="AE732" s="235">
        <f>VLOOKUP(Table3[[#This Row],[Country Code]],Table29[],24,FALSE)</f>
        <v>14.82381986485206</v>
      </c>
      <c r="AF732" s="43"/>
    </row>
    <row r="733" spans="1:32" x14ac:dyDescent="0.25">
      <c r="A733" s="360">
        <v>17753</v>
      </c>
      <c r="B733" s="233" t="str">
        <f>VLOOKUP(Table3[[#This Row],[Document ID]],Table1[],2,FALSE)</f>
        <v>CHE</v>
      </c>
      <c r="C733" s="233" t="str">
        <f>VLOOKUP(Table3[[#This Row],[Document ID]],Table1[],3,FALSE)</f>
        <v>Switzerland</v>
      </c>
      <c r="D733" s="233" t="str">
        <f>VLOOKUP(Table3[[#This Row],[Document ID]],Table1[],5,FALSE)</f>
        <v>LTS</v>
      </c>
      <c r="E733" s="233" t="str">
        <f>VLOOKUP(Table3[[#This Row],[Document ID]],Table1[],7,FALSE)</f>
        <v>LTS</v>
      </c>
      <c r="F733" s="233" t="str">
        <f>VLOOKUP(Table3[[#This Row],[Document ID]],Table1[],8,FALSE)</f>
        <v>LTS 1.0</v>
      </c>
      <c r="G733" s="233" t="str">
        <f>VLOOKUP(Table3[[#This Row],[Document ID]],Table1[],10,FALSE)</f>
        <v>Active</v>
      </c>
      <c r="H733" s="216" t="s">
        <v>1089</v>
      </c>
      <c r="I733" s="216" t="s">
        <v>1089</v>
      </c>
      <c r="J733" s="43" t="s">
        <v>1090</v>
      </c>
      <c r="K733" s="28" t="s">
        <v>1121</v>
      </c>
      <c r="L733" s="42" t="s">
        <v>1099</v>
      </c>
      <c r="M733" s="209">
        <v>2050</v>
      </c>
      <c r="N733" s="44" t="s">
        <v>1846</v>
      </c>
      <c r="O733" s="221">
        <v>13</v>
      </c>
      <c r="P733" s="238" t="str">
        <f>VLOOKUP(_xlfn.CONCAT(Table3[[#This Row],[Target area]],Table3[[#This Row],[GHG target?]],Table3[[#This Row],[Conditionality]]),'Drop down'!$E$81:$F$101,2,FALSE)</f>
        <v>T_Economy_Unc</v>
      </c>
      <c r="Q733" s="239" t="str">
        <f>VLOOKUP(Table3[[#This Row],[Target type]],Table418[[Value name]:[Value idenifyer]],2,FALSE)</f>
        <v>T_FL</v>
      </c>
      <c r="S733" s="233" t="s">
        <v>1112</v>
      </c>
      <c r="T733" s="234" t="s">
        <v>1113</v>
      </c>
      <c r="V733" s="233" t="str">
        <f>VLOOKUP(Table3[[#This Row],[Country Code]],Table29[],3,FALSE)</f>
        <v>Annex I</v>
      </c>
      <c r="W733" s="233" t="str">
        <f>VLOOKUP(Table3[[#This Row],[Country Code]],Table29[],4,FALSE)</f>
        <v>Europe</v>
      </c>
      <c r="X733" s="233" t="str">
        <f>VLOOKUP(Table3[[#This Row],[Country Code]],Table29[],5,FALSE)</f>
        <v>High-income</v>
      </c>
      <c r="Y733" s="233" t="str">
        <f>VLOOKUP(Table3[[#This Row],[Country Code]],Table29[],6,FALSE)</f>
        <v>no</v>
      </c>
      <c r="Z733" s="233" t="str">
        <f>VLOOKUP(Table3[[#This Row],[Country Code]],Table29[],7,FALSE)</f>
        <v>no</v>
      </c>
      <c r="AA733" s="233" t="str">
        <f>VLOOKUP(Table3[[#This Row],[Country Code]],Table29[],8,FALSE)</f>
        <v>OECD</v>
      </c>
      <c r="AB733" s="233" t="str">
        <f>VLOOKUP(Table3[[#This Row],[Country Code]],Table29[],9,FALSE)</f>
        <v>no</v>
      </c>
      <c r="AC733" s="233" t="str">
        <f>VLOOKUP(Table3[[#This Row],[Country Code]],Table29[],10,FALSE)</f>
        <v>no</v>
      </c>
      <c r="AD733" s="235">
        <f>VLOOKUP(Table3[[#This Row],[Country Code]],Table29[],23,FALSE)</f>
        <v>43.446393813877002</v>
      </c>
      <c r="AE733" s="235">
        <f>VLOOKUP(Table3[[#This Row],[Country Code]],Table29[],24,FALSE)</f>
        <v>14.82381986485206</v>
      </c>
      <c r="AF733" s="43"/>
    </row>
    <row r="734" spans="1:32" ht="30" x14ac:dyDescent="0.25">
      <c r="A734" s="360">
        <v>17709</v>
      </c>
      <c r="B734" s="233" t="str">
        <f>VLOOKUP(Table3[[#This Row],[Document ID]],Table1[],2,FALSE)</f>
        <v>MDA</v>
      </c>
      <c r="C734" s="233" t="str">
        <f>VLOOKUP(Table3[[#This Row],[Document ID]],Table1[],3,FALSE)</f>
        <v>Republic of Moldova</v>
      </c>
      <c r="D734" s="233" t="str">
        <f>VLOOKUP(Table3[[#This Row],[Document ID]],Table1[],5,FALSE)</f>
        <v>NDC</v>
      </c>
      <c r="E734" s="233" t="str">
        <f>VLOOKUP(Table3[[#This Row],[Document ID]],Table1[],7,FALSE)</f>
        <v>First NDC</v>
      </c>
      <c r="F734" s="233" t="str">
        <f>VLOOKUP(Table3[[#This Row],[Document ID]],Table1[],8,FALSE)</f>
        <v>NDC 1.0</v>
      </c>
      <c r="G734" s="233" t="str">
        <f>VLOOKUP(Table3[[#This Row],[Document ID]],Table1[],10,FALSE)</f>
        <v>Archived</v>
      </c>
      <c r="H734" s="42" t="s">
        <v>1095</v>
      </c>
      <c r="I734" s="43" t="s">
        <v>1115</v>
      </c>
      <c r="J734" s="43" t="s">
        <v>1090</v>
      </c>
      <c r="K734" s="28" t="s">
        <v>1091</v>
      </c>
      <c r="L734" s="42" t="s">
        <v>1099</v>
      </c>
      <c r="M734" s="209">
        <v>2030</v>
      </c>
      <c r="N734" s="44" t="s">
        <v>1847</v>
      </c>
      <c r="O734" s="221">
        <v>8</v>
      </c>
      <c r="P734" s="238" t="str">
        <f>VLOOKUP(_xlfn.CONCAT(Table3[[#This Row],[Target area]],Table3[[#This Row],[GHG target?]],Table3[[#This Row],[Conditionality]]),'Drop down'!$E$81:$F$101,2,FALSE)</f>
        <v>T_Transport_Unc</v>
      </c>
      <c r="Q734" s="239" t="str">
        <f>VLOOKUP(Table3[[#This Row],[Target type]],Table418[[Value name]:[Value idenifyer]],2,FALSE)</f>
        <v>T_BAU</v>
      </c>
      <c r="R734" s="233" t="s">
        <v>526</v>
      </c>
      <c r="S734" s="233" t="s">
        <v>1112</v>
      </c>
      <c r="V734" s="233" t="str">
        <f>VLOOKUP(Table3[[#This Row],[Country Code]],Table29[],3,FALSE)</f>
        <v>Non-Annex I</v>
      </c>
      <c r="W734" s="233" t="str">
        <f>VLOOKUP(Table3[[#This Row],[Country Code]],Table29[],4,FALSE)</f>
        <v>Europe</v>
      </c>
      <c r="X734" s="233" t="str">
        <f>VLOOKUP(Table3[[#This Row],[Country Code]],Table29[],5,FALSE)</f>
        <v>Middle-income</v>
      </c>
      <c r="Y734" s="233" t="str">
        <f>VLOOKUP(Table3[[#This Row],[Country Code]],Table29[],6,FALSE)</f>
        <v>no</v>
      </c>
      <c r="Z734" s="233" t="str">
        <f>VLOOKUP(Table3[[#This Row],[Country Code]],Table29[],7,FALSE)</f>
        <v>no</v>
      </c>
      <c r="AA734" s="233" t="str">
        <f>VLOOKUP(Table3[[#This Row],[Country Code]],Table29[],8,FALSE)</f>
        <v>non-OECD</v>
      </c>
      <c r="AB734" s="233" t="str">
        <f>VLOOKUP(Table3[[#This Row],[Country Code]],Table29[],9,FALSE)</f>
        <v>no</v>
      </c>
      <c r="AC734" s="233" t="str">
        <f>VLOOKUP(Table3[[#This Row],[Country Code]],Table29[],10,FALSE)</f>
        <v>no</v>
      </c>
      <c r="AD734" s="235">
        <f>VLOOKUP(Table3[[#This Row],[Country Code]],Table29[],23,FALSE)</f>
        <v>13.54241150505</v>
      </c>
      <c r="AE734" s="235">
        <f>VLOOKUP(Table3[[#This Row],[Country Code]],Table29[],24,FALSE)</f>
        <v>2.4025361889764838</v>
      </c>
      <c r="AF734" s="43"/>
    </row>
    <row r="735" spans="1:32" x14ac:dyDescent="0.25">
      <c r="A735" s="360">
        <v>26790</v>
      </c>
      <c r="B735" s="233" t="str">
        <f>VLOOKUP(Table3[[#This Row],[Document ID]],Table1[],2,FALSE)</f>
        <v>CHE</v>
      </c>
      <c r="C735" s="233" t="str">
        <f>VLOOKUP(Table3[[#This Row],[Document ID]],Table1[],3,FALSE)</f>
        <v>Switzerland</v>
      </c>
      <c r="D735" s="233" t="str">
        <f>VLOOKUP(Table3[[#This Row],[Document ID]],Table1[],5,FALSE)</f>
        <v>NDC</v>
      </c>
      <c r="E735" s="233" t="str">
        <f>VLOOKUP(Table3[[#This Row],[Document ID]],Table1[],7,FALSE)</f>
        <v>First NDC updated</v>
      </c>
      <c r="F735" s="233" t="str">
        <f>VLOOKUP(Table3[[#This Row],[Document ID]],Table1[],8,FALSE)</f>
        <v>NDC 1.2</v>
      </c>
      <c r="G735" s="233" t="str">
        <f>VLOOKUP(Table3[[#This Row],[Document ID]],Table1[],10,FALSE)</f>
        <v>Archived</v>
      </c>
      <c r="H735" s="216" t="s">
        <v>1089</v>
      </c>
      <c r="I735" s="216" t="s">
        <v>1089</v>
      </c>
      <c r="J735" s="43" t="s">
        <v>1090</v>
      </c>
      <c r="K735" s="28" t="s">
        <v>1153</v>
      </c>
      <c r="L735" s="42" t="s">
        <v>1099</v>
      </c>
      <c r="M735" s="209">
        <v>2030</v>
      </c>
      <c r="N735" s="17" t="s">
        <v>1848</v>
      </c>
      <c r="O735" s="258">
        <v>2</v>
      </c>
      <c r="P735" s="238" t="str">
        <f>VLOOKUP(_xlfn.CONCAT(Table3[[#This Row],[Target area]],Table3[[#This Row],[GHG target?]],Table3[[#This Row],[Conditionality]]),'Drop down'!$E$81:$F$101,2,FALSE)</f>
        <v>T_Economy_Unc</v>
      </c>
      <c r="Q735" s="239" t="str">
        <f>VLOOKUP(Table3[[#This Row],[Target type]],Table418[[Value name]:[Value idenifyer]],2,FALSE)</f>
        <v>T_BYE</v>
      </c>
      <c r="T735" s="234" t="s">
        <v>1113</v>
      </c>
      <c r="V735" s="233" t="str">
        <f>VLOOKUP(Table3[[#This Row],[Country Code]],Table29[],3,FALSE)</f>
        <v>Annex I</v>
      </c>
      <c r="W735" s="233" t="str">
        <f>VLOOKUP(Table3[[#This Row],[Country Code]],Table29[],4,FALSE)</f>
        <v>Europe</v>
      </c>
      <c r="X735" s="233" t="str">
        <f>VLOOKUP(Table3[[#This Row],[Country Code]],Table29[],5,FALSE)</f>
        <v>High-income</v>
      </c>
      <c r="Y735" s="233" t="str">
        <f>VLOOKUP(Table3[[#This Row],[Country Code]],Table29[],6,FALSE)</f>
        <v>no</v>
      </c>
      <c r="Z735" s="233" t="str">
        <f>VLOOKUP(Table3[[#This Row],[Country Code]],Table29[],7,FALSE)</f>
        <v>no</v>
      </c>
      <c r="AA735" s="233" t="str">
        <f>VLOOKUP(Table3[[#This Row],[Country Code]],Table29[],8,FALSE)</f>
        <v>OECD</v>
      </c>
      <c r="AB735" s="233" t="str">
        <f>VLOOKUP(Table3[[#This Row],[Country Code]],Table29[],9,FALSE)</f>
        <v>no</v>
      </c>
      <c r="AC735" s="233" t="str">
        <f>VLOOKUP(Table3[[#This Row],[Country Code]],Table29[],10,FALSE)</f>
        <v>no</v>
      </c>
      <c r="AD735" s="235">
        <f>VLOOKUP(Table3[[#This Row],[Country Code]],Table29[],23,FALSE)</f>
        <v>43.446393813877002</v>
      </c>
      <c r="AE735" s="235">
        <f>VLOOKUP(Table3[[#This Row],[Country Code]],Table29[],24,FALSE)</f>
        <v>14.82381986485206</v>
      </c>
      <c r="AF735" s="43"/>
    </row>
    <row r="736" spans="1:32" x14ac:dyDescent="0.25">
      <c r="A736" s="360">
        <v>26790</v>
      </c>
      <c r="B736" s="233" t="str">
        <f>VLOOKUP(Table3[[#This Row],[Document ID]],Table1[],2,FALSE)</f>
        <v>CHE</v>
      </c>
      <c r="C736" s="233" t="str">
        <f>VLOOKUP(Table3[[#This Row],[Document ID]],Table1[],3,FALSE)</f>
        <v>Switzerland</v>
      </c>
      <c r="D736" s="233" t="str">
        <f>VLOOKUP(Table3[[#This Row],[Document ID]],Table1[],5,FALSE)</f>
        <v>NDC</v>
      </c>
      <c r="E736" s="233" t="str">
        <f>VLOOKUP(Table3[[#This Row],[Document ID]],Table1[],7,FALSE)</f>
        <v>First NDC updated</v>
      </c>
      <c r="F736" s="233" t="str">
        <f>VLOOKUP(Table3[[#This Row],[Document ID]],Table1[],8,FALSE)</f>
        <v>NDC 1.2</v>
      </c>
      <c r="G736" s="233" t="str">
        <f>VLOOKUP(Table3[[#This Row],[Document ID]],Table1[],10,FALSE)</f>
        <v>Archived</v>
      </c>
      <c r="H736" s="216" t="s">
        <v>1089</v>
      </c>
      <c r="I736" s="216" t="s">
        <v>1089</v>
      </c>
      <c r="J736" s="43" t="s">
        <v>1090</v>
      </c>
      <c r="K736" s="28" t="s">
        <v>1153</v>
      </c>
      <c r="L736" s="42" t="s">
        <v>1099</v>
      </c>
      <c r="M736" s="209">
        <v>2025</v>
      </c>
      <c r="N736" s="43" t="s">
        <v>1849</v>
      </c>
      <c r="O736" s="258">
        <v>2</v>
      </c>
      <c r="P736" s="238" t="str">
        <f>VLOOKUP(_xlfn.CONCAT(Table3[[#This Row],[Target area]],Table3[[#This Row],[GHG target?]],Table3[[#This Row],[Conditionality]]),'Drop down'!$E$81:$F$101,2,FALSE)</f>
        <v>T_Economy_Unc</v>
      </c>
      <c r="Q736" s="239" t="str">
        <f>VLOOKUP(Table3[[#This Row],[Target type]],Table418[[Value name]:[Value idenifyer]],2,FALSE)</f>
        <v>T_BYE</v>
      </c>
      <c r="T736" s="234" t="s">
        <v>1113</v>
      </c>
      <c r="V736" s="233" t="str">
        <f>VLOOKUP(Table3[[#This Row],[Country Code]],Table29[],3,FALSE)</f>
        <v>Annex I</v>
      </c>
      <c r="W736" s="233" t="str">
        <f>VLOOKUP(Table3[[#This Row],[Country Code]],Table29[],4,FALSE)</f>
        <v>Europe</v>
      </c>
      <c r="X736" s="233" t="str">
        <f>VLOOKUP(Table3[[#This Row],[Country Code]],Table29[],5,FALSE)</f>
        <v>High-income</v>
      </c>
      <c r="Y736" s="233" t="str">
        <f>VLOOKUP(Table3[[#This Row],[Country Code]],Table29[],6,FALSE)</f>
        <v>no</v>
      </c>
      <c r="Z736" s="233" t="str">
        <f>VLOOKUP(Table3[[#This Row],[Country Code]],Table29[],7,FALSE)</f>
        <v>no</v>
      </c>
      <c r="AA736" s="233" t="str">
        <f>VLOOKUP(Table3[[#This Row],[Country Code]],Table29[],8,FALSE)</f>
        <v>OECD</v>
      </c>
      <c r="AB736" s="233" t="str">
        <f>VLOOKUP(Table3[[#This Row],[Country Code]],Table29[],9,FALSE)</f>
        <v>no</v>
      </c>
      <c r="AC736" s="233" t="str">
        <f>VLOOKUP(Table3[[#This Row],[Country Code]],Table29[],10,FALSE)</f>
        <v>no</v>
      </c>
      <c r="AD736" s="235">
        <f>VLOOKUP(Table3[[#This Row],[Country Code]],Table29[],23,FALSE)</f>
        <v>43.446393813877002</v>
      </c>
      <c r="AE736" s="235">
        <f>VLOOKUP(Table3[[#This Row],[Country Code]],Table29[],24,FALSE)</f>
        <v>14.82381986485206</v>
      </c>
      <c r="AF736" s="43"/>
    </row>
    <row r="737" spans="1:32" x14ac:dyDescent="0.25">
      <c r="A737" s="360">
        <v>26790</v>
      </c>
      <c r="B737" s="233" t="str">
        <f>VLOOKUP(Table3[[#This Row],[Document ID]],Table1[],2,FALSE)</f>
        <v>CHE</v>
      </c>
      <c r="C737" s="233" t="str">
        <f>VLOOKUP(Table3[[#This Row],[Document ID]],Table1[],3,FALSE)</f>
        <v>Switzerland</v>
      </c>
      <c r="D737" s="233" t="str">
        <f>VLOOKUP(Table3[[#This Row],[Document ID]],Table1[],5,FALSE)</f>
        <v>NDC</v>
      </c>
      <c r="E737" s="233" t="str">
        <f>VLOOKUP(Table3[[#This Row],[Document ID]],Table1[],7,FALSE)</f>
        <v>First NDC updated</v>
      </c>
      <c r="F737" s="233" t="str">
        <f>VLOOKUP(Table3[[#This Row],[Document ID]],Table1[],8,FALSE)</f>
        <v>NDC 1.2</v>
      </c>
      <c r="G737" s="233" t="str">
        <f>VLOOKUP(Table3[[#This Row],[Document ID]],Table1[],10,FALSE)</f>
        <v>Archived</v>
      </c>
      <c r="H737" s="216" t="s">
        <v>1089</v>
      </c>
      <c r="I737" s="216" t="s">
        <v>1089</v>
      </c>
      <c r="J737" s="43" t="s">
        <v>1090</v>
      </c>
      <c r="K737" s="28" t="s">
        <v>1153</v>
      </c>
      <c r="L737" s="42" t="s">
        <v>1099</v>
      </c>
      <c r="M737" s="209">
        <v>2030</v>
      </c>
      <c r="N737" s="17" t="s">
        <v>1848</v>
      </c>
      <c r="O737" s="258">
        <v>2</v>
      </c>
      <c r="P737" s="238" t="str">
        <f>VLOOKUP(_xlfn.CONCAT(Table3[[#This Row],[Target area]],Table3[[#This Row],[GHG target?]],Table3[[#This Row],[Conditionality]]),'Drop down'!$E$81:$F$101,2,FALSE)</f>
        <v>T_Economy_Unc</v>
      </c>
      <c r="Q737" s="239" t="str">
        <f>VLOOKUP(Table3[[#This Row],[Target type]],Table418[[Value name]:[Value idenifyer]],2,FALSE)</f>
        <v>T_BYE</v>
      </c>
      <c r="T737" s="234" t="s">
        <v>1113</v>
      </c>
      <c r="V737" s="233" t="str">
        <f>VLOOKUP(Table3[[#This Row],[Country Code]],Table29[],3,FALSE)</f>
        <v>Annex I</v>
      </c>
      <c r="W737" s="233" t="str">
        <f>VLOOKUP(Table3[[#This Row],[Country Code]],Table29[],4,FALSE)</f>
        <v>Europe</v>
      </c>
      <c r="X737" s="233" t="str">
        <f>VLOOKUP(Table3[[#This Row],[Country Code]],Table29[],5,FALSE)</f>
        <v>High-income</v>
      </c>
      <c r="Y737" s="233" t="str">
        <f>VLOOKUP(Table3[[#This Row],[Country Code]],Table29[],6,FALSE)</f>
        <v>no</v>
      </c>
      <c r="Z737" s="233" t="str">
        <f>VLOOKUP(Table3[[#This Row],[Country Code]],Table29[],7,FALSE)</f>
        <v>no</v>
      </c>
      <c r="AA737" s="233" t="str">
        <f>VLOOKUP(Table3[[#This Row],[Country Code]],Table29[],8,FALSE)</f>
        <v>OECD</v>
      </c>
      <c r="AB737" s="233" t="str">
        <f>VLOOKUP(Table3[[#This Row],[Country Code]],Table29[],9,FALSE)</f>
        <v>no</v>
      </c>
      <c r="AC737" s="233" t="str">
        <f>VLOOKUP(Table3[[#This Row],[Country Code]],Table29[],10,FALSE)</f>
        <v>no</v>
      </c>
      <c r="AD737" s="235">
        <f>VLOOKUP(Table3[[#This Row],[Country Code]],Table29[],23,FALSE)</f>
        <v>43.446393813877002</v>
      </c>
      <c r="AE737" s="235">
        <f>VLOOKUP(Table3[[#This Row],[Country Code]],Table29[],24,FALSE)</f>
        <v>14.82381986485206</v>
      </c>
      <c r="AF737" s="43"/>
    </row>
    <row r="738" spans="1:32" x14ac:dyDescent="0.25">
      <c r="A738" s="360">
        <v>17752</v>
      </c>
      <c r="B738" s="233" t="str">
        <f>VLOOKUP(Table3[[#This Row],[Document ID]],Table1[],2,FALSE)</f>
        <v>CHE</v>
      </c>
      <c r="C738" s="233" t="str">
        <f>VLOOKUP(Table3[[#This Row],[Document ID]],Table1[],3,FALSE)</f>
        <v>Switzerland</v>
      </c>
      <c r="D738" s="233" t="str">
        <f>VLOOKUP(Table3[[#This Row],[Document ID]],Table1[],5,FALSE)</f>
        <v>NDC</v>
      </c>
      <c r="E738" s="233" t="str">
        <f>VLOOKUP(Table3[[#This Row],[Document ID]],Table1[],7,FALSE)</f>
        <v>First NDC</v>
      </c>
      <c r="F738" s="233" t="str">
        <f>VLOOKUP(Table3[[#This Row],[Document ID]],Table1[],8,FALSE)</f>
        <v>NDC 1.0</v>
      </c>
      <c r="G738" s="233" t="str">
        <f>VLOOKUP(Table3[[#This Row],[Document ID]],Table1[],10,FALSE)</f>
        <v>Archived</v>
      </c>
      <c r="H738" s="216" t="s">
        <v>1089</v>
      </c>
      <c r="I738" s="216" t="s">
        <v>1089</v>
      </c>
      <c r="J738" s="43" t="s">
        <v>1090</v>
      </c>
      <c r="K738" s="28" t="s">
        <v>1153</v>
      </c>
      <c r="L738" s="42" t="s">
        <v>1099</v>
      </c>
      <c r="M738" s="209">
        <v>2030</v>
      </c>
      <c r="N738" s="176" t="s">
        <v>1850</v>
      </c>
      <c r="O738" s="258" t="s">
        <v>1094</v>
      </c>
      <c r="P738" s="238" t="str">
        <f>VLOOKUP(_xlfn.CONCAT(Table3[[#This Row],[Target area]],Table3[[#This Row],[GHG target?]],Table3[[#This Row],[Conditionality]]),'Drop down'!$E$81:$F$101,2,FALSE)</f>
        <v>T_Economy_Unc</v>
      </c>
      <c r="Q738" s="239" t="str">
        <f>VLOOKUP(Table3[[#This Row],[Target type]],Table418[[Value name]:[Value idenifyer]],2,FALSE)</f>
        <v>T_BYE</v>
      </c>
      <c r="T738" s="234" t="s">
        <v>1113</v>
      </c>
      <c r="V738" s="233" t="str">
        <f>VLOOKUP(Table3[[#This Row],[Country Code]],Table29[],3,FALSE)</f>
        <v>Annex I</v>
      </c>
      <c r="W738" s="233" t="str">
        <f>VLOOKUP(Table3[[#This Row],[Country Code]],Table29[],4,FALSE)</f>
        <v>Europe</v>
      </c>
      <c r="X738" s="233" t="str">
        <f>VLOOKUP(Table3[[#This Row],[Country Code]],Table29[],5,FALSE)</f>
        <v>High-income</v>
      </c>
      <c r="Y738" s="233" t="str">
        <f>VLOOKUP(Table3[[#This Row],[Country Code]],Table29[],6,FALSE)</f>
        <v>no</v>
      </c>
      <c r="Z738" s="233" t="str">
        <f>VLOOKUP(Table3[[#This Row],[Country Code]],Table29[],7,FALSE)</f>
        <v>no</v>
      </c>
      <c r="AA738" s="233" t="str">
        <f>VLOOKUP(Table3[[#This Row],[Country Code]],Table29[],8,FALSE)</f>
        <v>OECD</v>
      </c>
      <c r="AB738" s="233" t="str">
        <f>VLOOKUP(Table3[[#This Row],[Country Code]],Table29[],9,FALSE)</f>
        <v>no</v>
      </c>
      <c r="AC738" s="233" t="str">
        <f>VLOOKUP(Table3[[#This Row],[Country Code]],Table29[],10,FALSE)</f>
        <v>no</v>
      </c>
      <c r="AD738" s="235">
        <f>VLOOKUP(Table3[[#This Row],[Country Code]],Table29[],23,FALSE)</f>
        <v>43.446393813877002</v>
      </c>
      <c r="AE738" s="235">
        <f>VLOOKUP(Table3[[#This Row],[Country Code]],Table29[],24,FALSE)</f>
        <v>14.82381986485206</v>
      </c>
      <c r="AF738" s="43"/>
    </row>
    <row r="739" spans="1:32" x14ac:dyDescent="0.25">
      <c r="A739" s="360">
        <v>23376</v>
      </c>
      <c r="B739" s="233" t="str">
        <f>VLOOKUP(Table3[[#This Row],[Document ID]],Table1[],2,FALSE)</f>
        <v>TJK</v>
      </c>
      <c r="C739" s="233" t="str">
        <f>VLOOKUP(Table3[[#This Row],[Document ID]],Table1[],3,FALSE)</f>
        <v>Tajikistan</v>
      </c>
      <c r="D739" s="233" t="str">
        <f>VLOOKUP(Table3[[#This Row],[Document ID]],Table1[],5,FALSE)</f>
        <v>NDC</v>
      </c>
      <c r="E739" s="233" t="str">
        <f>VLOOKUP(Table3[[#This Row],[Document ID]],Table1[],7,FALSE)</f>
        <v>First NDC updated</v>
      </c>
      <c r="F739" s="233" t="str">
        <f>VLOOKUP(Table3[[#This Row],[Document ID]],Table1[],8,FALSE)</f>
        <v>NDC 1.1</v>
      </c>
      <c r="G739" s="233" t="str">
        <f>VLOOKUP(Table3[[#This Row],[Document ID]],Table1[],10,FALSE)</f>
        <v>Active</v>
      </c>
      <c r="H739" s="216" t="s">
        <v>1089</v>
      </c>
      <c r="I739" s="216" t="s">
        <v>1089</v>
      </c>
      <c r="J739" s="43" t="s">
        <v>1090</v>
      </c>
      <c r="K739" s="28" t="s">
        <v>1153</v>
      </c>
      <c r="L739" s="42" t="s">
        <v>1099</v>
      </c>
      <c r="M739" s="209">
        <v>2030</v>
      </c>
      <c r="N739" s="220" t="s">
        <v>1851</v>
      </c>
      <c r="O739" s="257">
        <v>5</v>
      </c>
      <c r="P739" s="238" t="str">
        <f>VLOOKUP(_xlfn.CONCAT(Table3[[#This Row],[Target area]],Table3[[#This Row],[GHG target?]],Table3[[#This Row],[Conditionality]]),'Drop down'!$E$81:$F$101,2,FALSE)</f>
        <v>T_Economy_Unc</v>
      </c>
      <c r="Q739" s="239" t="str">
        <f>VLOOKUP(Table3[[#This Row],[Target type]],Table418[[Value name]:[Value idenifyer]],2,FALSE)</f>
        <v>T_BYE</v>
      </c>
      <c r="T739" s="240"/>
      <c r="U739" s="240"/>
      <c r="V739" s="233" t="str">
        <f>VLOOKUP(Table3[[#This Row],[Country Code]],Table29[],3,FALSE)</f>
        <v>Non-Annex I</v>
      </c>
      <c r="W739" s="233" t="str">
        <f>VLOOKUP(Table3[[#This Row],[Country Code]],Table29[],4,FALSE)</f>
        <v>Asia</v>
      </c>
      <c r="X739" s="233" t="str">
        <f>VLOOKUP(Table3[[#This Row],[Country Code]],Table29[],5,FALSE)</f>
        <v>Middle-income</v>
      </c>
      <c r="Y739" s="233" t="str">
        <f>VLOOKUP(Table3[[#This Row],[Country Code]],Table29[],6,FALSE)</f>
        <v>no</v>
      </c>
      <c r="Z739" s="233" t="str">
        <f>VLOOKUP(Table3[[#This Row],[Country Code]],Table29[],7,FALSE)</f>
        <v>no</v>
      </c>
      <c r="AA739" s="233" t="str">
        <f>VLOOKUP(Table3[[#This Row],[Country Code]],Table29[],8,FALSE)</f>
        <v>non-OECD</v>
      </c>
      <c r="AB739" s="233" t="str">
        <f>VLOOKUP(Table3[[#This Row],[Country Code]],Table29[],9,FALSE)</f>
        <v>no</v>
      </c>
      <c r="AC739" s="233" t="str">
        <f>VLOOKUP(Table3[[#This Row],[Country Code]],Table29[],10,FALSE)</f>
        <v>no</v>
      </c>
      <c r="AD739" s="235">
        <f>VLOOKUP(Table3[[#This Row],[Country Code]],Table29[],23,FALSE)</f>
        <v>21.438119694097999</v>
      </c>
      <c r="AE739" s="235">
        <f>VLOOKUP(Table3[[#This Row],[Country Code]],Table29[],24,FALSE)</f>
        <v>1.9934951501956819</v>
      </c>
      <c r="AF739" s="43"/>
    </row>
    <row r="740" spans="1:32" x14ac:dyDescent="0.25">
      <c r="A740" s="360">
        <v>23376</v>
      </c>
      <c r="B740" s="233" t="str">
        <f>VLOOKUP(Table3[[#This Row],[Document ID]],Table1[],2,FALSE)</f>
        <v>TJK</v>
      </c>
      <c r="C740" s="233" t="str">
        <f>VLOOKUP(Table3[[#This Row],[Document ID]],Table1[],3,FALSE)</f>
        <v>Tajikistan</v>
      </c>
      <c r="D740" s="233" t="str">
        <f>VLOOKUP(Table3[[#This Row],[Document ID]],Table1[],5,FALSE)</f>
        <v>NDC</v>
      </c>
      <c r="E740" s="233" t="str">
        <f>VLOOKUP(Table3[[#This Row],[Document ID]],Table1[],7,FALSE)</f>
        <v>First NDC updated</v>
      </c>
      <c r="F740" s="233" t="str">
        <f>VLOOKUP(Table3[[#This Row],[Document ID]],Table1[],8,FALSE)</f>
        <v>NDC 1.1</v>
      </c>
      <c r="G740" s="233" t="str">
        <f>VLOOKUP(Table3[[#This Row],[Document ID]],Table1[],10,FALSE)</f>
        <v>Active</v>
      </c>
      <c r="H740" s="216" t="s">
        <v>1089</v>
      </c>
      <c r="I740" s="216" t="s">
        <v>1089</v>
      </c>
      <c r="J740" s="43" t="s">
        <v>1090</v>
      </c>
      <c r="K740" s="28" t="s">
        <v>1153</v>
      </c>
      <c r="L740" s="216" t="s">
        <v>1092</v>
      </c>
      <c r="M740" s="209">
        <v>2030</v>
      </c>
      <c r="N740" s="42" t="s">
        <v>1852</v>
      </c>
      <c r="O740" s="257">
        <v>5</v>
      </c>
      <c r="P740" s="238" t="str">
        <f>VLOOKUP(_xlfn.CONCAT(Table3[[#This Row],[Target area]],Table3[[#This Row],[GHG target?]],Table3[[#This Row],[Conditionality]]),'Drop down'!$E$81:$F$101,2,FALSE)</f>
        <v>T_Economy_C</v>
      </c>
      <c r="Q740" s="239" t="str">
        <f>VLOOKUP(Table3[[#This Row],[Target type]],Table418[[Value name]:[Value idenifyer]],2,FALSE)</f>
        <v>T_BYE</v>
      </c>
      <c r="T740" s="240"/>
      <c r="U740" s="240"/>
      <c r="V740" s="233" t="str">
        <f>VLOOKUP(Table3[[#This Row],[Country Code]],Table29[],3,FALSE)</f>
        <v>Non-Annex I</v>
      </c>
      <c r="W740" s="233" t="str">
        <f>VLOOKUP(Table3[[#This Row],[Country Code]],Table29[],4,FALSE)</f>
        <v>Asia</v>
      </c>
      <c r="X740" s="233" t="str">
        <f>VLOOKUP(Table3[[#This Row],[Country Code]],Table29[],5,FALSE)</f>
        <v>Middle-income</v>
      </c>
      <c r="Y740" s="233" t="str">
        <f>VLOOKUP(Table3[[#This Row],[Country Code]],Table29[],6,FALSE)</f>
        <v>no</v>
      </c>
      <c r="Z740" s="233" t="str">
        <f>VLOOKUP(Table3[[#This Row],[Country Code]],Table29[],7,FALSE)</f>
        <v>no</v>
      </c>
      <c r="AA740" s="233" t="str">
        <f>VLOOKUP(Table3[[#This Row],[Country Code]],Table29[],8,FALSE)</f>
        <v>non-OECD</v>
      </c>
      <c r="AB740" s="233" t="str">
        <f>VLOOKUP(Table3[[#This Row],[Country Code]],Table29[],9,FALSE)</f>
        <v>no</v>
      </c>
      <c r="AC740" s="233" t="str">
        <f>VLOOKUP(Table3[[#This Row],[Country Code]],Table29[],10,FALSE)</f>
        <v>no</v>
      </c>
      <c r="AD740" s="235">
        <f>VLOOKUP(Table3[[#This Row],[Country Code]],Table29[],23,FALSE)</f>
        <v>21.438119694097999</v>
      </c>
      <c r="AE740" s="235">
        <f>VLOOKUP(Table3[[#This Row],[Country Code]],Table29[],24,FALSE)</f>
        <v>1.9934951501956819</v>
      </c>
      <c r="AF740" s="43"/>
    </row>
    <row r="741" spans="1:32" x14ac:dyDescent="0.25">
      <c r="A741" s="360">
        <v>17756</v>
      </c>
      <c r="B741" s="233" t="str">
        <f>VLOOKUP(Table3[[#This Row],[Document ID]],Table1[],2,FALSE)</f>
        <v>TJK</v>
      </c>
      <c r="C741" s="233" t="str">
        <f>VLOOKUP(Table3[[#This Row],[Document ID]],Table1[],3,FALSE)</f>
        <v>Tajikistan</v>
      </c>
      <c r="D741" s="233" t="str">
        <f>VLOOKUP(Table3[[#This Row],[Document ID]],Table1[],5,FALSE)</f>
        <v>NDC</v>
      </c>
      <c r="E741" s="233" t="str">
        <f>VLOOKUP(Table3[[#This Row],[Document ID]],Table1[],7,FALSE)</f>
        <v>First NDC</v>
      </c>
      <c r="F741" s="233" t="str">
        <f>VLOOKUP(Table3[[#This Row],[Document ID]],Table1[],8,FALSE)</f>
        <v>NDC 1.0</v>
      </c>
      <c r="G741" s="233" t="str">
        <f>VLOOKUP(Table3[[#This Row],[Document ID]],Table1[],10,FALSE)</f>
        <v>Archived</v>
      </c>
      <c r="H741" s="216" t="s">
        <v>1089</v>
      </c>
      <c r="I741" s="216" t="s">
        <v>1089</v>
      </c>
      <c r="J741" s="43" t="s">
        <v>1090</v>
      </c>
      <c r="K741" s="28" t="s">
        <v>1153</v>
      </c>
      <c r="L741" s="42" t="s">
        <v>1099</v>
      </c>
      <c r="M741" s="209">
        <v>2030</v>
      </c>
      <c r="N741" s="176" t="s">
        <v>1853</v>
      </c>
      <c r="O741" s="258" t="s">
        <v>1094</v>
      </c>
      <c r="P741" s="238" t="str">
        <f>VLOOKUP(_xlfn.CONCAT(Table3[[#This Row],[Target area]],Table3[[#This Row],[GHG target?]],Table3[[#This Row],[Conditionality]]),'Drop down'!$E$81:$F$101,2,FALSE)</f>
        <v>T_Economy_Unc</v>
      </c>
      <c r="Q741" s="239" t="str">
        <f>VLOOKUP(Table3[[#This Row],[Target type]],Table418[[Value name]:[Value idenifyer]],2,FALSE)</f>
        <v>T_BYE</v>
      </c>
      <c r="T741" s="240"/>
      <c r="U741" s="240"/>
      <c r="V741" s="233" t="str">
        <f>VLOOKUP(Table3[[#This Row],[Country Code]],Table29[],3,FALSE)</f>
        <v>Non-Annex I</v>
      </c>
      <c r="W741" s="233" t="str">
        <f>VLOOKUP(Table3[[#This Row],[Country Code]],Table29[],4,FALSE)</f>
        <v>Asia</v>
      </c>
      <c r="X741" s="233" t="str">
        <f>VLOOKUP(Table3[[#This Row],[Country Code]],Table29[],5,FALSE)</f>
        <v>Middle-income</v>
      </c>
      <c r="Y741" s="233" t="str">
        <f>VLOOKUP(Table3[[#This Row],[Country Code]],Table29[],6,FALSE)</f>
        <v>no</v>
      </c>
      <c r="Z741" s="233" t="str">
        <f>VLOOKUP(Table3[[#This Row],[Country Code]],Table29[],7,FALSE)</f>
        <v>no</v>
      </c>
      <c r="AA741" s="233" t="str">
        <f>VLOOKUP(Table3[[#This Row],[Country Code]],Table29[],8,FALSE)</f>
        <v>non-OECD</v>
      </c>
      <c r="AB741" s="233" t="str">
        <f>VLOOKUP(Table3[[#This Row],[Country Code]],Table29[],9,FALSE)</f>
        <v>no</v>
      </c>
      <c r="AC741" s="233" t="str">
        <f>VLOOKUP(Table3[[#This Row],[Country Code]],Table29[],10,FALSE)</f>
        <v>no</v>
      </c>
      <c r="AD741" s="235">
        <f>VLOOKUP(Table3[[#This Row],[Country Code]],Table29[],23,FALSE)</f>
        <v>21.438119694097999</v>
      </c>
      <c r="AE741" s="235">
        <f>VLOOKUP(Table3[[#This Row],[Country Code]],Table29[],24,FALSE)</f>
        <v>1.9934951501956819</v>
      </c>
      <c r="AF741" s="43"/>
    </row>
    <row r="742" spans="1:32" x14ac:dyDescent="0.25">
      <c r="A742" s="360">
        <v>17756</v>
      </c>
      <c r="B742" s="233" t="str">
        <f>VLOOKUP(Table3[[#This Row],[Document ID]],Table1[],2,FALSE)</f>
        <v>TJK</v>
      </c>
      <c r="C742" s="233" t="str">
        <f>VLOOKUP(Table3[[#This Row],[Document ID]],Table1[],3,FALSE)</f>
        <v>Tajikistan</v>
      </c>
      <c r="D742" s="233" t="str">
        <f>VLOOKUP(Table3[[#This Row],[Document ID]],Table1[],5,FALSE)</f>
        <v>NDC</v>
      </c>
      <c r="E742" s="233" t="str">
        <f>VLOOKUP(Table3[[#This Row],[Document ID]],Table1[],7,FALSE)</f>
        <v>First NDC</v>
      </c>
      <c r="F742" s="233" t="str">
        <f>VLOOKUP(Table3[[#This Row],[Document ID]],Table1[],8,FALSE)</f>
        <v>NDC 1.0</v>
      </c>
      <c r="G742" s="233" t="str">
        <f>VLOOKUP(Table3[[#This Row],[Document ID]],Table1[],10,FALSE)</f>
        <v>Archived</v>
      </c>
      <c r="H742" s="216" t="s">
        <v>1089</v>
      </c>
      <c r="I742" s="216" t="s">
        <v>1089</v>
      </c>
      <c r="J742" s="43" t="s">
        <v>1090</v>
      </c>
      <c r="K742" s="28" t="s">
        <v>1153</v>
      </c>
      <c r="L742" s="216" t="s">
        <v>1092</v>
      </c>
      <c r="M742" s="209">
        <v>2030</v>
      </c>
      <c r="N742" s="176" t="s">
        <v>1854</v>
      </c>
      <c r="O742" s="258" t="s">
        <v>1094</v>
      </c>
      <c r="P742" s="238" t="str">
        <f>VLOOKUP(_xlfn.CONCAT(Table3[[#This Row],[Target area]],Table3[[#This Row],[GHG target?]],Table3[[#This Row],[Conditionality]]),'Drop down'!$E$81:$F$101,2,FALSE)</f>
        <v>T_Economy_C</v>
      </c>
      <c r="Q742" s="239" t="str">
        <f>VLOOKUP(Table3[[#This Row],[Target type]],Table418[[Value name]:[Value idenifyer]],2,FALSE)</f>
        <v>T_BYE</v>
      </c>
      <c r="T742" s="240"/>
      <c r="U742" s="240"/>
      <c r="V742" s="233" t="str">
        <f>VLOOKUP(Table3[[#This Row],[Country Code]],Table29[],3,FALSE)</f>
        <v>Non-Annex I</v>
      </c>
      <c r="W742" s="233" t="str">
        <f>VLOOKUP(Table3[[#This Row],[Country Code]],Table29[],4,FALSE)</f>
        <v>Asia</v>
      </c>
      <c r="X742" s="233" t="str">
        <f>VLOOKUP(Table3[[#This Row],[Country Code]],Table29[],5,FALSE)</f>
        <v>Middle-income</v>
      </c>
      <c r="Y742" s="233" t="str">
        <f>VLOOKUP(Table3[[#This Row],[Country Code]],Table29[],6,FALSE)</f>
        <v>no</v>
      </c>
      <c r="Z742" s="233" t="str">
        <f>VLOOKUP(Table3[[#This Row],[Country Code]],Table29[],7,FALSE)</f>
        <v>no</v>
      </c>
      <c r="AA742" s="233" t="str">
        <f>VLOOKUP(Table3[[#This Row],[Country Code]],Table29[],8,FALSE)</f>
        <v>non-OECD</v>
      </c>
      <c r="AB742" s="233" t="str">
        <f>VLOOKUP(Table3[[#This Row],[Country Code]],Table29[],9,FALSE)</f>
        <v>no</v>
      </c>
      <c r="AC742" s="233" t="str">
        <f>VLOOKUP(Table3[[#This Row],[Country Code]],Table29[],10,FALSE)</f>
        <v>no</v>
      </c>
      <c r="AD742" s="235">
        <f>VLOOKUP(Table3[[#This Row],[Country Code]],Table29[],23,FALSE)</f>
        <v>21.438119694097999</v>
      </c>
      <c r="AE742" s="235">
        <f>VLOOKUP(Table3[[#This Row],[Country Code]],Table29[],24,FALSE)</f>
        <v>1.9934951501956819</v>
      </c>
      <c r="AF742" s="43"/>
    </row>
    <row r="743" spans="1:32" x14ac:dyDescent="0.25">
      <c r="A743" s="360">
        <v>17758</v>
      </c>
      <c r="B743" s="233" t="str">
        <f>VLOOKUP(Table3[[#This Row],[Document ID]],Table1[],2,FALSE)</f>
        <v>THA</v>
      </c>
      <c r="C743" s="233" t="str">
        <f>VLOOKUP(Table3[[#This Row],[Document ID]],Table1[],3,FALSE)</f>
        <v>Thailand</v>
      </c>
      <c r="D743" s="233" t="str">
        <f>VLOOKUP(Table3[[#This Row],[Document ID]],Table1[],5,FALSE)</f>
        <v>NDC</v>
      </c>
      <c r="E743" s="233" t="str">
        <f>VLOOKUP(Table3[[#This Row],[Document ID]],Table1[],7,FALSE)</f>
        <v>First NDC updated</v>
      </c>
      <c r="F743" s="233" t="str">
        <f>VLOOKUP(Table3[[#This Row],[Document ID]],Table1[],8,FALSE)</f>
        <v>NDC 1.1</v>
      </c>
      <c r="G743" s="233" t="str">
        <f>VLOOKUP(Table3[[#This Row],[Document ID]],Table1[],10,FALSE)</f>
        <v>Archived</v>
      </c>
      <c r="H743" s="216" t="s">
        <v>1089</v>
      </c>
      <c r="I743" s="216" t="s">
        <v>1089</v>
      </c>
      <c r="J743" s="43" t="s">
        <v>1090</v>
      </c>
      <c r="K743" s="28" t="s">
        <v>1091</v>
      </c>
      <c r="L743" s="42" t="s">
        <v>1099</v>
      </c>
      <c r="M743" s="209">
        <v>2030</v>
      </c>
      <c r="N743" s="223" t="s">
        <v>1855</v>
      </c>
      <c r="O743" s="221">
        <v>2</v>
      </c>
      <c r="P743" s="238" t="str">
        <f>VLOOKUP(_xlfn.CONCAT(Table3[[#This Row],[Target area]],Table3[[#This Row],[GHG target?]],Table3[[#This Row],[Conditionality]]),'Drop down'!$E$81:$F$101,2,FALSE)</f>
        <v>T_Economy_Unc</v>
      </c>
      <c r="Q743" s="239" t="str">
        <f>VLOOKUP(Table3[[#This Row],[Target type]],Table418[[Value name]:[Value idenifyer]],2,FALSE)</f>
        <v>T_BAU</v>
      </c>
      <c r="T743" s="234" t="s">
        <v>1113</v>
      </c>
      <c r="V743" s="233" t="str">
        <f>VLOOKUP(Table3[[#This Row],[Country Code]],Table29[],3,FALSE)</f>
        <v>Non-Annex I</v>
      </c>
      <c r="W743" s="233" t="str">
        <f>VLOOKUP(Table3[[#This Row],[Country Code]],Table29[],4,FALSE)</f>
        <v>Asia</v>
      </c>
      <c r="X743" s="233" t="str">
        <f>VLOOKUP(Table3[[#This Row],[Country Code]],Table29[],5,FALSE)</f>
        <v>Middle-income</v>
      </c>
      <c r="Y743" s="233" t="str">
        <f>VLOOKUP(Table3[[#This Row],[Country Code]],Table29[],6,FALSE)</f>
        <v>no</v>
      </c>
      <c r="Z743" s="233" t="str">
        <f>VLOOKUP(Table3[[#This Row],[Country Code]],Table29[],7,FALSE)</f>
        <v>no</v>
      </c>
      <c r="AA743" s="233" t="str">
        <f>VLOOKUP(Table3[[#This Row],[Country Code]],Table29[],8,FALSE)</f>
        <v>non-OECD</v>
      </c>
      <c r="AB743" s="233" t="str">
        <f>VLOOKUP(Table3[[#This Row],[Country Code]],Table29[],9,FALSE)</f>
        <v>no</v>
      </c>
      <c r="AC743" s="233" t="str">
        <f>VLOOKUP(Table3[[#This Row],[Country Code]],Table29[],10,FALSE)</f>
        <v>no</v>
      </c>
      <c r="AD743" s="235">
        <f>VLOOKUP(Table3[[#This Row],[Country Code]],Table29[],23,FALSE)</f>
        <v>440.78301465571002</v>
      </c>
      <c r="AE743" s="235">
        <f>VLOOKUP(Table3[[#This Row],[Country Code]],Table29[],24,FALSE)</f>
        <v>81.217527676047013</v>
      </c>
      <c r="AF743" s="43"/>
    </row>
    <row r="744" spans="1:32" x14ac:dyDescent="0.25">
      <c r="A744" s="360">
        <v>17758</v>
      </c>
      <c r="B744" s="233" t="str">
        <f>VLOOKUP(Table3[[#This Row],[Document ID]],Table1[],2,FALSE)</f>
        <v>THA</v>
      </c>
      <c r="C744" s="233" t="str">
        <f>VLOOKUP(Table3[[#This Row],[Document ID]],Table1[],3,FALSE)</f>
        <v>Thailand</v>
      </c>
      <c r="D744" s="233" t="str">
        <f>VLOOKUP(Table3[[#This Row],[Document ID]],Table1[],5,FALSE)</f>
        <v>NDC</v>
      </c>
      <c r="E744" s="233" t="str">
        <f>VLOOKUP(Table3[[#This Row],[Document ID]],Table1[],7,FALSE)</f>
        <v>First NDC updated</v>
      </c>
      <c r="F744" s="233" t="str">
        <f>VLOOKUP(Table3[[#This Row],[Document ID]],Table1[],8,FALSE)</f>
        <v>NDC 1.1</v>
      </c>
      <c r="G744" s="233" t="str">
        <f>VLOOKUP(Table3[[#This Row],[Document ID]],Table1[],10,FALSE)</f>
        <v>Archived</v>
      </c>
      <c r="H744" s="216" t="s">
        <v>1089</v>
      </c>
      <c r="I744" s="216" t="s">
        <v>1089</v>
      </c>
      <c r="J744" s="43" t="s">
        <v>1090</v>
      </c>
      <c r="K744" s="28" t="s">
        <v>1091</v>
      </c>
      <c r="L744" s="216" t="s">
        <v>1092</v>
      </c>
      <c r="M744" s="209">
        <v>2030</v>
      </c>
      <c r="N744" s="44" t="s">
        <v>1856</v>
      </c>
      <c r="O744" s="221">
        <v>2</v>
      </c>
      <c r="P744" s="238" t="str">
        <f>VLOOKUP(_xlfn.CONCAT(Table3[[#This Row],[Target area]],Table3[[#This Row],[GHG target?]],Table3[[#This Row],[Conditionality]]),'Drop down'!$E$81:$F$101,2,FALSE)</f>
        <v>T_Economy_C</v>
      </c>
      <c r="Q744" s="239" t="str">
        <f>VLOOKUP(Table3[[#This Row],[Target type]],Table418[[Value name]:[Value idenifyer]],2,FALSE)</f>
        <v>T_BAU</v>
      </c>
      <c r="T744" s="234" t="s">
        <v>1113</v>
      </c>
      <c r="V744" s="233" t="str">
        <f>VLOOKUP(Table3[[#This Row],[Country Code]],Table29[],3,FALSE)</f>
        <v>Non-Annex I</v>
      </c>
      <c r="W744" s="233" t="str">
        <f>VLOOKUP(Table3[[#This Row],[Country Code]],Table29[],4,FALSE)</f>
        <v>Asia</v>
      </c>
      <c r="X744" s="233" t="str">
        <f>VLOOKUP(Table3[[#This Row],[Country Code]],Table29[],5,FALSE)</f>
        <v>Middle-income</v>
      </c>
      <c r="Y744" s="233" t="str">
        <f>VLOOKUP(Table3[[#This Row],[Country Code]],Table29[],6,FALSE)</f>
        <v>no</v>
      </c>
      <c r="Z744" s="233" t="str">
        <f>VLOOKUP(Table3[[#This Row],[Country Code]],Table29[],7,FALSE)</f>
        <v>no</v>
      </c>
      <c r="AA744" s="233" t="str">
        <f>VLOOKUP(Table3[[#This Row],[Country Code]],Table29[],8,FALSE)</f>
        <v>non-OECD</v>
      </c>
      <c r="AB744" s="233" t="str">
        <f>VLOOKUP(Table3[[#This Row],[Country Code]],Table29[],9,FALSE)</f>
        <v>no</v>
      </c>
      <c r="AC744" s="233" t="str">
        <f>VLOOKUP(Table3[[#This Row],[Country Code]],Table29[],10,FALSE)</f>
        <v>no</v>
      </c>
      <c r="AD744" s="235">
        <f>VLOOKUP(Table3[[#This Row],[Country Code]],Table29[],23,FALSE)</f>
        <v>440.78301465571002</v>
      </c>
      <c r="AE744" s="235">
        <f>VLOOKUP(Table3[[#This Row],[Country Code]],Table29[],24,FALSE)</f>
        <v>81.217527676047013</v>
      </c>
      <c r="AF744" s="43"/>
    </row>
    <row r="745" spans="1:32" ht="45" x14ac:dyDescent="0.25">
      <c r="A745" s="360">
        <v>24690</v>
      </c>
      <c r="B745" s="233" t="str">
        <f>VLOOKUP(Table3[[#This Row],[Document ID]],Table1[],2,FALSE)</f>
        <v>THA</v>
      </c>
      <c r="C745" s="233" t="str">
        <f>VLOOKUP(Table3[[#This Row],[Document ID]],Table1[],3,FALSE)</f>
        <v>Thailand</v>
      </c>
      <c r="D745" s="233" t="str">
        <f>VLOOKUP(Table3[[#This Row],[Document ID]],Table1[],5,FALSE)</f>
        <v>LTS</v>
      </c>
      <c r="E745" s="233" t="str">
        <f>VLOOKUP(Table3[[#This Row],[Document ID]],Table1[],7,FALSE)</f>
        <v>Archived LTS 1.0</v>
      </c>
      <c r="F745" s="253" t="str">
        <f>VLOOKUP(Table3[[#This Row],[Document ID]],Table1[],8,FALSE)</f>
        <v>LTS 1.0</v>
      </c>
      <c r="G745" s="233" t="str">
        <f>VLOOKUP(Table3[[#This Row],[Document ID]],Table1[],10,FALSE)</f>
        <v>Archived</v>
      </c>
      <c r="H745" s="216" t="s">
        <v>1089</v>
      </c>
      <c r="I745" s="216" t="s">
        <v>1089</v>
      </c>
      <c r="J745" s="43" t="s">
        <v>1090</v>
      </c>
      <c r="K745" s="28" t="s">
        <v>1121</v>
      </c>
      <c r="L745" s="216" t="s">
        <v>1092</v>
      </c>
      <c r="M745" s="209">
        <v>2065</v>
      </c>
      <c r="N745" s="209" t="s">
        <v>1857</v>
      </c>
      <c r="O745" s="257" t="s">
        <v>1858</v>
      </c>
      <c r="P745" s="238" t="str">
        <f>VLOOKUP(_xlfn.CONCAT(Table3[[#This Row],[Target area]],Table3[[#This Row],[GHG target?]],Table3[[#This Row],[Conditionality]]),'Drop down'!$E$81:$F$101,2,FALSE)</f>
        <v>T_Economy_C</v>
      </c>
      <c r="Q745" s="239" t="str">
        <f>VLOOKUP(Table3[[#This Row],[Target type]],Table418[[Value name]:[Value idenifyer]],2,FALSE)</f>
        <v>T_FL</v>
      </c>
      <c r="S745" s="233" t="s">
        <v>1101</v>
      </c>
      <c r="T745" s="240" t="s">
        <v>1113</v>
      </c>
      <c r="U745" s="240"/>
      <c r="V745" s="233" t="str">
        <f>VLOOKUP(Table3[[#This Row],[Country Code]],Table29[],3,FALSE)</f>
        <v>Non-Annex I</v>
      </c>
      <c r="W745" s="233" t="str">
        <f>VLOOKUP(Table3[[#This Row],[Country Code]],Table29[],4,FALSE)</f>
        <v>Asia</v>
      </c>
      <c r="X745" s="233" t="str">
        <f>VLOOKUP(Table3[[#This Row],[Country Code]],Table29[],5,FALSE)</f>
        <v>Middle-income</v>
      </c>
      <c r="Y745" s="233" t="str">
        <f>VLOOKUP(Table3[[#This Row],[Country Code]],Table29[],6,FALSE)</f>
        <v>no</v>
      </c>
      <c r="Z745" s="233" t="str">
        <f>VLOOKUP(Table3[[#This Row],[Country Code]],Table29[],7,FALSE)</f>
        <v>no</v>
      </c>
      <c r="AA745" s="233" t="str">
        <f>VLOOKUP(Table3[[#This Row],[Country Code]],Table29[],8,FALSE)</f>
        <v>non-OECD</v>
      </c>
      <c r="AB745" s="233" t="str">
        <f>VLOOKUP(Table3[[#This Row],[Country Code]],Table29[],9,FALSE)</f>
        <v>no</v>
      </c>
      <c r="AC745" s="233" t="str">
        <f>VLOOKUP(Table3[[#This Row],[Country Code]],Table29[],10,FALSE)</f>
        <v>no</v>
      </c>
      <c r="AD745" s="235">
        <f>VLOOKUP(Table3[[#This Row],[Country Code]],Table29[],23,FALSE)</f>
        <v>440.78301465571002</v>
      </c>
      <c r="AE745" s="235">
        <f>VLOOKUP(Table3[[#This Row],[Country Code]],Table29[],24,FALSE)</f>
        <v>81.217527676047013</v>
      </c>
      <c r="AF745" s="43"/>
    </row>
    <row r="746" spans="1:32" ht="30" x14ac:dyDescent="0.25">
      <c r="A746" s="360">
        <v>17657</v>
      </c>
      <c r="B746" s="233" t="str">
        <f>VLOOKUP(Table3[[#This Row],[Document ID]],Table1[],2,FALSE)</f>
        <v>MHL</v>
      </c>
      <c r="C746" s="233" t="str">
        <f>VLOOKUP(Table3[[#This Row],[Document ID]],Table1[],3,FALSE)</f>
        <v>Marshall Islands</v>
      </c>
      <c r="D746" s="233" t="str">
        <f>VLOOKUP(Table3[[#This Row],[Document ID]],Table1[],5,FALSE)</f>
        <v>LTS</v>
      </c>
      <c r="E746" s="233" t="str">
        <f>VLOOKUP(Table3[[#This Row],[Document ID]],Table1[],7,FALSE)</f>
        <v>LTS</v>
      </c>
      <c r="F746" s="233" t="str">
        <f>VLOOKUP(Table3[[#This Row],[Document ID]],Table1[],8,FALSE)</f>
        <v>LTS 1.0</v>
      </c>
      <c r="G746" s="233" t="str">
        <f>VLOOKUP(Table3[[#This Row],[Document ID]],Table1[],10,FALSE)</f>
        <v>Active</v>
      </c>
      <c r="H746" s="42" t="s">
        <v>1095</v>
      </c>
      <c r="I746" s="42" t="s">
        <v>1096</v>
      </c>
      <c r="J746" s="42" t="s">
        <v>1097</v>
      </c>
      <c r="K746" s="28" t="s">
        <v>1137</v>
      </c>
      <c r="L746" s="42" t="s">
        <v>1099</v>
      </c>
      <c r="M746" s="209">
        <v>2050</v>
      </c>
      <c r="N746" s="44" t="s">
        <v>1859</v>
      </c>
      <c r="O746" s="221">
        <v>2</v>
      </c>
      <c r="P746" s="238" t="str">
        <f>VLOOKUP(_xlfn.CONCAT(Table3[[#This Row],[Target area]],Table3[[#This Row],[GHG target?]],Table3[[#This Row],[Conditionality]]),'Drop down'!$E$81:$F$101,2,FALSE)</f>
        <v>T_Transport_O_Unc</v>
      </c>
      <c r="Q746" s="239" t="str">
        <f>VLOOKUP(Table3[[#This Row],[Target type]],Table418[[Value name]:[Value idenifyer]],2,FALSE)</f>
        <v>T_O_EFF</v>
      </c>
      <c r="S746" s="233" t="s">
        <v>1101</v>
      </c>
      <c r="T746" s="234" t="s">
        <v>1113</v>
      </c>
      <c r="V746" s="233" t="str">
        <f>VLOOKUP(Table3[[#This Row],[Country Code]],Table29[],3,FALSE)</f>
        <v>Non-Annex I</v>
      </c>
      <c r="W746" s="233" t="str">
        <f>VLOOKUP(Table3[[#This Row],[Country Code]],Table29[],4,FALSE)</f>
        <v>Oceania</v>
      </c>
      <c r="X746" s="233" t="str">
        <f>VLOOKUP(Table3[[#This Row],[Country Code]],Table29[],5,FALSE)</f>
        <v>Middle-income</v>
      </c>
      <c r="Y746" s="233" t="str">
        <f>VLOOKUP(Table3[[#This Row],[Country Code]],Table29[],6,FALSE)</f>
        <v>no</v>
      </c>
      <c r="Z746" s="233" t="str">
        <f>VLOOKUP(Table3[[#This Row],[Country Code]],Table29[],7,FALSE)</f>
        <v>no</v>
      </c>
      <c r="AA746" s="233" t="str">
        <f>VLOOKUP(Table3[[#This Row],[Country Code]],Table29[],8,FALSE)</f>
        <v>non-OECD</v>
      </c>
      <c r="AB746" s="233" t="str">
        <f>VLOOKUP(Table3[[#This Row],[Country Code]],Table29[],9,FALSE)</f>
        <v>no</v>
      </c>
      <c r="AC746" s="233" t="str">
        <f>VLOOKUP(Table3[[#This Row],[Country Code]],Table29[],10,FALSE)</f>
        <v>no</v>
      </c>
      <c r="AD746" s="235">
        <f>VLOOKUP(Table3[[#This Row],[Country Code]],Table29[],23,FALSE)</f>
        <v>0</v>
      </c>
      <c r="AE746" s="235">
        <f>VLOOKUP(Table3[[#This Row],[Country Code]],Table29[],24,FALSE)</f>
        <v>0</v>
      </c>
      <c r="AF746" s="43"/>
    </row>
    <row r="747" spans="1:32" x14ac:dyDescent="0.25">
      <c r="A747" s="360">
        <v>17655</v>
      </c>
      <c r="B747" s="233" t="str">
        <f>VLOOKUP(Table3[[#This Row],[Document ID]],Table1[],2,FALSE)</f>
        <v>MHL</v>
      </c>
      <c r="C747" s="233" t="str">
        <f>VLOOKUP(Table3[[#This Row],[Document ID]],Table1[],3,FALSE)</f>
        <v>Marshall Islands</v>
      </c>
      <c r="D747" s="233" t="str">
        <f>VLOOKUP(Table3[[#This Row],[Document ID]],Table1[],5,FALSE)</f>
        <v>NDC</v>
      </c>
      <c r="E747" s="233" t="str">
        <f>VLOOKUP(Table3[[#This Row],[Document ID]],Table1[],7,FALSE)</f>
        <v>First NDC</v>
      </c>
      <c r="F747" s="233" t="str">
        <f>VLOOKUP(Table3[[#This Row],[Document ID]],Table1[],8,FALSE)</f>
        <v>NDC 1.0</v>
      </c>
      <c r="G747" s="233" t="str">
        <f>VLOOKUP(Table3[[#This Row],[Document ID]],Table1[],10,FALSE)</f>
        <v>Archived</v>
      </c>
      <c r="H747" s="42" t="s">
        <v>1095</v>
      </c>
      <c r="I747" s="43" t="s">
        <v>1115</v>
      </c>
      <c r="J747" s="43" t="s">
        <v>1090</v>
      </c>
      <c r="K747" s="28" t="s">
        <v>1091</v>
      </c>
      <c r="L747" s="42" t="s">
        <v>1099</v>
      </c>
      <c r="M747" s="209">
        <v>2025</v>
      </c>
      <c r="N747" s="44" t="s">
        <v>1860</v>
      </c>
      <c r="O747" s="221">
        <v>7</v>
      </c>
      <c r="P747" s="238" t="str">
        <f>VLOOKUP(_xlfn.CONCAT(Table3[[#This Row],[Target area]],Table3[[#This Row],[GHG target?]],Table3[[#This Row],[Conditionality]]),'Drop down'!$E$81:$F$101,2,FALSE)</f>
        <v>T_Transport_Unc</v>
      </c>
      <c r="Q747" s="239" t="str">
        <f>VLOOKUP(Table3[[#This Row],[Target type]],Table418[[Value name]:[Value idenifyer]],2,FALSE)</f>
        <v>T_BAU</v>
      </c>
      <c r="R747" s="233" t="s">
        <v>526</v>
      </c>
      <c r="S747" s="233" t="s">
        <v>1112</v>
      </c>
      <c r="T747" s="234" t="s">
        <v>1113</v>
      </c>
      <c r="V747" s="233" t="str">
        <f>VLOOKUP(Table3[[#This Row],[Country Code]],Table29[],3,FALSE)</f>
        <v>Non-Annex I</v>
      </c>
      <c r="W747" s="233" t="str">
        <f>VLOOKUP(Table3[[#This Row],[Country Code]],Table29[],4,FALSE)</f>
        <v>Oceania</v>
      </c>
      <c r="X747" s="233" t="str">
        <f>VLOOKUP(Table3[[#This Row],[Country Code]],Table29[],5,FALSE)</f>
        <v>Middle-income</v>
      </c>
      <c r="Y747" s="233" t="str">
        <f>VLOOKUP(Table3[[#This Row],[Country Code]],Table29[],6,FALSE)</f>
        <v>no</v>
      </c>
      <c r="Z747" s="233" t="str">
        <f>VLOOKUP(Table3[[#This Row],[Country Code]],Table29[],7,FALSE)</f>
        <v>no</v>
      </c>
      <c r="AA747" s="233" t="str">
        <f>VLOOKUP(Table3[[#This Row],[Country Code]],Table29[],8,FALSE)</f>
        <v>non-OECD</v>
      </c>
      <c r="AB747" s="233" t="str">
        <f>VLOOKUP(Table3[[#This Row],[Country Code]],Table29[],9,FALSE)</f>
        <v>no</v>
      </c>
      <c r="AC747" s="233" t="str">
        <f>VLOOKUP(Table3[[#This Row],[Country Code]],Table29[],10,FALSE)</f>
        <v>no</v>
      </c>
      <c r="AD747" s="235">
        <f>VLOOKUP(Table3[[#This Row],[Country Code]],Table29[],23,FALSE)</f>
        <v>0</v>
      </c>
      <c r="AE747" s="235">
        <f>VLOOKUP(Table3[[#This Row],[Country Code]],Table29[],24,FALSE)</f>
        <v>0</v>
      </c>
      <c r="AF747" s="43"/>
    </row>
    <row r="748" spans="1:32" x14ac:dyDescent="0.25">
      <c r="A748" s="360">
        <v>17757</v>
      </c>
      <c r="B748" s="233" t="str">
        <f>VLOOKUP(Table3[[#This Row],[Document ID]],Table1[],2,FALSE)</f>
        <v>THA</v>
      </c>
      <c r="C748" s="233" t="str">
        <f>VLOOKUP(Table3[[#This Row],[Document ID]],Table1[],3,FALSE)</f>
        <v>Thailand</v>
      </c>
      <c r="D748" s="233" t="str">
        <f>VLOOKUP(Table3[[#This Row],[Document ID]],Table1[],5,FALSE)</f>
        <v>NDC</v>
      </c>
      <c r="E748" s="233" t="str">
        <f>VLOOKUP(Table3[[#This Row],[Document ID]],Table1[],7,FALSE)</f>
        <v>First NDC</v>
      </c>
      <c r="F748" s="233" t="str">
        <f>VLOOKUP(Table3[[#This Row],[Document ID]],Table1[],8,FALSE)</f>
        <v>NDC 1.0</v>
      </c>
      <c r="G748" s="233" t="str">
        <f>VLOOKUP(Table3[[#This Row],[Document ID]],Table1[],10,FALSE)</f>
        <v>Archived</v>
      </c>
      <c r="H748" s="216" t="s">
        <v>1089</v>
      </c>
      <c r="I748" s="216" t="s">
        <v>1089</v>
      </c>
      <c r="J748" s="43" t="s">
        <v>1090</v>
      </c>
      <c r="K748" s="28" t="s">
        <v>1091</v>
      </c>
      <c r="L748" s="42" t="s">
        <v>1099</v>
      </c>
      <c r="M748" s="209">
        <v>2030</v>
      </c>
      <c r="N748" s="176" t="s">
        <v>1861</v>
      </c>
      <c r="O748" s="258" t="s">
        <v>1094</v>
      </c>
      <c r="P748" s="238" t="str">
        <f>VLOOKUP(_xlfn.CONCAT(Table3[[#This Row],[Target area]],Table3[[#This Row],[GHG target?]],Table3[[#This Row],[Conditionality]]),'Drop down'!$E$81:$F$101,2,FALSE)</f>
        <v>T_Economy_Unc</v>
      </c>
      <c r="Q748" s="239" t="str">
        <f>VLOOKUP(Table3[[#This Row],[Target type]],Table418[[Value name]:[Value idenifyer]],2,FALSE)</f>
        <v>T_BAU</v>
      </c>
      <c r="T748" s="234" t="s">
        <v>1113</v>
      </c>
      <c r="U748" s="240"/>
      <c r="V748" s="233" t="str">
        <f>VLOOKUP(Table3[[#This Row],[Country Code]],Table29[],3,FALSE)</f>
        <v>Non-Annex I</v>
      </c>
      <c r="W748" s="233" t="str">
        <f>VLOOKUP(Table3[[#This Row],[Country Code]],Table29[],4,FALSE)</f>
        <v>Asia</v>
      </c>
      <c r="X748" s="233" t="str">
        <f>VLOOKUP(Table3[[#This Row],[Country Code]],Table29[],5,FALSE)</f>
        <v>Middle-income</v>
      </c>
      <c r="Y748" s="233" t="str">
        <f>VLOOKUP(Table3[[#This Row],[Country Code]],Table29[],6,FALSE)</f>
        <v>no</v>
      </c>
      <c r="Z748" s="233" t="str">
        <f>VLOOKUP(Table3[[#This Row],[Country Code]],Table29[],7,FALSE)</f>
        <v>no</v>
      </c>
      <c r="AA748" s="233" t="str">
        <f>VLOOKUP(Table3[[#This Row],[Country Code]],Table29[],8,FALSE)</f>
        <v>non-OECD</v>
      </c>
      <c r="AB748" s="233" t="str">
        <f>VLOOKUP(Table3[[#This Row],[Country Code]],Table29[],9,FALSE)</f>
        <v>no</v>
      </c>
      <c r="AC748" s="233" t="str">
        <f>VLOOKUP(Table3[[#This Row],[Country Code]],Table29[],10,FALSE)</f>
        <v>no</v>
      </c>
      <c r="AD748" s="235">
        <f>VLOOKUP(Table3[[#This Row],[Country Code]],Table29[],23,FALSE)</f>
        <v>440.78301465571002</v>
      </c>
      <c r="AE748" s="235">
        <f>VLOOKUP(Table3[[#This Row],[Country Code]],Table29[],24,FALSE)</f>
        <v>81.217527676047013</v>
      </c>
      <c r="AF748" s="43"/>
    </row>
    <row r="749" spans="1:32" x14ac:dyDescent="0.25">
      <c r="A749" s="360">
        <v>17757</v>
      </c>
      <c r="B749" s="233" t="str">
        <f>VLOOKUP(Table3[[#This Row],[Document ID]],Table1[],2,FALSE)</f>
        <v>THA</v>
      </c>
      <c r="C749" s="233" t="str">
        <f>VLOOKUP(Table3[[#This Row],[Document ID]],Table1[],3,FALSE)</f>
        <v>Thailand</v>
      </c>
      <c r="D749" s="233" t="str">
        <f>VLOOKUP(Table3[[#This Row],[Document ID]],Table1[],5,FALSE)</f>
        <v>NDC</v>
      </c>
      <c r="E749" s="233" t="str">
        <f>VLOOKUP(Table3[[#This Row],[Document ID]],Table1[],7,FALSE)</f>
        <v>First NDC</v>
      </c>
      <c r="F749" s="233" t="str">
        <f>VLOOKUP(Table3[[#This Row],[Document ID]],Table1[],8,FALSE)</f>
        <v>NDC 1.0</v>
      </c>
      <c r="G749" s="233" t="str">
        <f>VLOOKUP(Table3[[#This Row],[Document ID]],Table1[],10,FALSE)</f>
        <v>Archived</v>
      </c>
      <c r="H749" s="216" t="s">
        <v>1089</v>
      </c>
      <c r="I749" s="216" t="s">
        <v>1089</v>
      </c>
      <c r="J749" s="43" t="s">
        <v>1090</v>
      </c>
      <c r="K749" s="28" t="s">
        <v>1091</v>
      </c>
      <c r="L749" s="216" t="s">
        <v>1092</v>
      </c>
      <c r="M749" s="209">
        <v>2030</v>
      </c>
      <c r="N749" s="176" t="s">
        <v>1862</v>
      </c>
      <c r="O749" s="258" t="s">
        <v>1094</v>
      </c>
      <c r="P749" s="238" t="str">
        <f>VLOOKUP(_xlfn.CONCAT(Table3[[#This Row],[Target area]],Table3[[#This Row],[GHG target?]],Table3[[#This Row],[Conditionality]]),'Drop down'!$E$81:$F$101,2,FALSE)</f>
        <v>T_Economy_C</v>
      </c>
      <c r="Q749" s="239" t="str">
        <f>VLOOKUP(Table3[[#This Row],[Target type]],Table418[[Value name]:[Value idenifyer]],2,FALSE)</f>
        <v>T_BAU</v>
      </c>
      <c r="T749" s="234" t="s">
        <v>1113</v>
      </c>
      <c r="U749" s="240"/>
      <c r="V749" s="233" t="str">
        <f>VLOOKUP(Table3[[#This Row],[Country Code]],Table29[],3,FALSE)</f>
        <v>Non-Annex I</v>
      </c>
      <c r="W749" s="233" t="str">
        <f>VLOOKUP(Table3[[#This Row],[Country Code]],Table29[],4,FALSE)</f>
        <v>Asia</v>
      </c>
      <c r="X749" s="233" t="str">
        <f>VLOOKUP(Table3[[#This Row],[Country Code]],Table29[],5,FALSE)</f>
        <v>Middle-income</v>
      </c>
      <c r="Y749" s="233" t="str">
        <f>VLOOKUP(Table3[[#This Row],[Country Code]],Table29[],6,FALSE)</f>
        <v>no</v>
      </c>
      <c r="Z749" s="233" t="str">
        <f>VLOOKUP(Table3[[#This Row],[Country Code]],Table29[],7,FALSE)</f>
        <v>no</v>
      </c>
      <c r="AA749" s="233" t="str">
        <f>VLOOKUP(Table3[[#This Row],[Country Code]],Table29[],8,FALSE)</f>
        <v>non-OECD</v>
      </c>
      <c r="AB749" s="233" t="str">
        <f>VLOOKUP(Table3[[#This Row],[Country Code]],Table29[],9,FALSE)</f>
        <v>no</v>
      </c>
      <c r="AC749" s="233" t="str">
        <f>VLOOKUP(Table3[[#This Row],[Country Code]],Table29[],10,FALSE)</f>
        <v>no</v>
      </c>
      <c r="AD749" s="235">
        <f>VLOOKUP(Table3[[#This Row],[Country Code]],Table29[],23,FALSE)</f>
        <v>440.78301465571002</v>
      </c>
      <c r="AE749" s="235">
        <f>VLOOKUP(Table3[[#This Row],[Country Code]],Table29[],24,FALSE)</f>
        <v>81.217527676047013</v>
      </c>
      <c r="AF749" s="43"/>
    </row>
    <row r="750" spans="1:32" x14ac:dyDescent="0.25">
      <c r="A750" s="368">
        <v>32518</v>
      </c>
      <c r="B750" s="233" t="str">
        <f>VLOOKUP(Table3[[#This Row],[Document ID]],Table1[],2,FALSE)</f>
        <v>THA</v>
      </c>
      <c r="C750" s="233" t="str">
        <f>VLOOKUP(Table3[[#This Row],[Document ID]],Table1[],3,FALSE)</f>
        <v>Thailand</v>
      </c>
      <c r="D750" s="233" t="str">
        <f>VLOOKUP(Table3[[#This Row],[Document ID]],Table1[],5,FALSE)</f>
        <v>LTS</v>
      </c>
      <c r="E750" s="233" t="str">
        <f>VLOOKUP(Table3[[#This Row],[Document ID]],Table1[],7,FALSE)</f>
        <v>LTS</v>
      </c>
      <c r="F750" s="241" t="str">
        <f>VLOOKUP(Table3[[#This Row],[Document ID]],Table1[],8,FALSE)</f>
        <v>LTS 1.1</v>
      </c>
      <c r="G750" s="233" t="str">
        <f>VLOOKUP(Table3[[#This Row],[Document ID]],Table1[],10,FALSE)</f>
        <v>Active</v>
      </c>
      <c r="H750" s="216" t="s">
        <v>1089</v>
      </c>
      <c r="I750" s="216" t="s">
        <v>1089</v>
      </c>
      <c r="J750" s="43" t="s">
        <v>1090</v>
      </c>
      <c r="K750" s="28" t="s">
        <v>1121</v>
      </c>
      <c r="L750" s="42" t="s">
        <v>1099</v>
      </c>
      <c r="M750" s="209">
        <v>2050</v>
      </c>
      <c r="N750" s="209" t="s">
        <v>1863</v>
      </c>
      <c r="O750" s="258">
        <v>13</v>
      </c>
      <c r="P750" s="238" t="str">
        <f>VLOOKUP(_xlfn.CONCAT(Table3[[#This Row],[Target area]],Table3[[#This Row],[GHG target?]],Table3[[#This Row],[Conditionality]]),'Drop down'!$E$81:$F$101,2,FALSE)</f>
        <v>T_Economy_Unc</v>
      </c>
      <c r="Q750" s="239" t="str">
        <f>VLOOKUP(Table3[[#This Row],[Target type]],Table418[[Value name]:[Value idenifyer]],2,FALSE)</f>
        <v>T_FL</v>
      </c>
      <c r="S750" s="233" t="s">
        <v>1101</v>
      </c>
      <c r="T750" s="234" t="s">
        <v>1113</v>
      </c>
      <c r="U750" s="240"/>
      <c r="V750" s="233" t="str">
        <f>VLOOKUP(Table3[[#This Row],[Country Code]],Table29[],3,FALSE)</f>
        <v>Non-Annex I</v>
      </c>
      <c r="W750" s="233" t="str">
        <f>VLOOKUP(Table3[[#This Row],[Country Code]],Table29[],4,FALSE)</f>
        <v>Asia</v>
      </c>
      <c r="X750" s="233" t="str">
        <f>VLOOKUP(Table3[[#This Row],[Country Code]],Table29[],5,FALSE)</f>
        <v>Middle-income</v>
      </c>
      <c r="Y750" s="233" t="str">
        <f>VLOOKUP(Table3[[#This Row],[Country Code]],Table29[],6,FALSE)</f>
        <v>no</v>
      </c>
      <c r="Z750" s="233" t="str">
        <f>VLOOKUP(Table3[[#This Row],[Country Code]],Table29[],7,FALSE)</f>
        <v>no</v>
      </c>
      <c r="AA750" s="233" t="str">
        <f>VLOOKUP(Table3[[#This Row],[Country Code]],Table29[],8,FALSE)</f>
        <v>non-OECD</v>
      </c>
      <c r="AB750" s="233" t="str">
        <f>VLOOKUP(Table3[[#This Row],[Country Code]],Table29[],9,FALSE)</f>
        <v>no</v>
      </c>
      <c r="AC750" s="233" t="str">
        <f>VLOOKUP(Table3[[#This Row],[Country Code]],Table29[],10,FALSE)</f>
        <v>no</v>
      </c>
      <c r="AD750" s="235">
        <f>VLOOKUP(Table3[[#This Row],[Country Code]],Table29[],23,FALSE)</f>
        <v>440.78301465571002</v>
      </c>
      <c r="AE750" s="235">
        <f>VLOOKUP(Table3[[#This Row],[Country Code]],Table29[],24,FALSE)</f>
        <v>81.217527676047013</v>
      </c>
      <c r="AF750" s="43"/>
    </row>
    <row r="751" spans="1:32" ht="75" x14ac:dyDescent="0.25">
      <c r="A751" s="360">
        <v>26788</v>
      </c>
      <c r="B751" s="233" t="str">
        <f>VLOOKUP(Table3[[#This Row],[Document ID]],Table1[],2,FALSE)</f>
        <v>MKD</v>
      </c>
      <c r="C751" s="233" t="str">
        <f>VLOOKUP(Table3[[#This Row],[Document ID]],Table1[],3,FALSE)</f>
        <v>Republic of North Macedonia</v>
      </c>
      <c r="D751" s="233" t="str">
        <f>VLOOKUP(Table3[[#This Row],[Document ID]],Table1[],5,FALSE)</f>
        <v>LTS</v>
      </c>
      <c r="E751" s="233" t="str">
        <f>VLOOKUP(Table3[[#This Row],[Document ID]],Table1[],7,FALSE)</f>
        <v>LTS</v>
      </c>
      <c r="F751" s="233" t="str">
        <f>VLOOKUP(Table3[[#This Row],[Document ID]],Table1[],8,FALSE)</f>
        <v>LTS 1.0</v>
      </c>
      <c r="G751" s="233" t="str">
        <f>VLOOKUP(Table3[[#This Row],[Document ID]],Table1[],10,FALSE)</f>
        <v>Active</v>
      </c>
      <c r="H751" s="42" t="s">
        <v>1095</v>
      </c>
      <c r="I751" s="42" t="s">
        <v>1096</v>
      </c>
      <c r="J751" s="42" t="s">
        <v>1097</v>
      </c>
      <c r="K751" s="28" t="s">
        <v>1223</v>
      </c>
      <c r="L751" s="42" t="s">
        <v>1099</v>
      </c>
      <c r="M751" s="209">
        <v>2030</v>
      </c>
      <c r="N751" s="44" t="s">
        <v>1864</v>
      </c>
      <c r="O751" s="258">
        <v>69</v>
      </c>
      <c r="P751" s="238" t="str">
        <f>VLOOKUP(_xlfn.CONCAT(Table3[[#This Row],[Target area]],Table3[[#This Row],[GHG target?]],Table3[[#This Row],[Conditionality]]),'Drop down'!$E$81:$F$101,2,FALSE)</f>
        <v>T_Transport_O_Unc</v>
      </c>
      <c r="Q751" s="239" t="str">
        <f>VLOOKUP(Table3[[#This Row],[Target type]],Table418[[Value name]:[Value idenifyer]],2,FALSE)</f>
        <v>T_O_REN</v>
      </c>
      <c r="S751" s="233" t="s">
        <v>1101</v>
      </c>
      <c r="V751" s="233" t="str">
        <f>VLOOKUP(Table3[[#This Row],[Country Code]],Table29[],3,FALSE)</f>
        <v>Non-Annex I</v>
      </c>
      <c r="W751" s="233" t="str">
        <f>VLOOKUP(Table3[[#This Row],[Country Code]],Table29[],4,FALSE)</f>
        <v>Europe</v>
      </c>
      <c r="X751" s="233" t="str">
        <f>VLOOKUP(Table3[[#This Row],[Country Code]],Table29[],5,FALSE)</f>
        <v>Middle-income</v>
      </c>
      <c r="Y751" s="233" t="str">
        <f>VLOOKUP(Table3[[#This Row],[Country Code]],Table29[],6,FALSE)</f>
        <v>no</v>
      </c>
      <c r="Z751" s="233" t="str">
        <f>VLOOKUP(Table3[[#This Row],[Country Code]],Table29[],7,FALSE)</f>
        <v>no</v>
      </c>
      <c r="AA751" s="233" t="str">
        <f>VLOOKUP(Table3[[#This Row],[Country Code]],Table29[],8,FALSE)</f>
        <v>non-OECD</v>
      </c>
      <c r="AB751" s="233" t="str">
        <f>VLOOKUP(Table3[[#This Row],[Country Code]],Table29[],9,FALSE)</f>
        <v>no</v>
      </c>
      <c r="AC751" s="233" t="str">
        <f>VLOOKUP(Table3[[#This Row],[Country Code]],Table29[],10,FALSE)</f>
        <v>no</v>
      </c>
      <c r="AD751" s="235">
        <f>VLOOKUP(Table3[[#This Row],[Country Code]],Table29[],23,FALSE)</f>
        <v>11.370029305485</v>
      </c>
      <c r="AE751" s="235">
        <f>VLOOKUP(Table3[[#This Row],[Country Code]],Table29[],24,FALSE)</f>
        <v>2.5209386628390988</v>
      </c>
      <c r="AF751" s="43"/>
    </row>
    <row r="752" spans="1:32" ht="30" x14ac:dyDescent="0.25">
      <c r="A752" s="360">
        <v>32520</v>
      </c>
      <c r="B752" s="233" t="str">
        <f>VLOOKUP(Table3[[#This Row],[Document ID]],Table1[],2,FALSE)</f>
        <v>TLS</v>
      </c>
      <c r="C752" s="233" t="str">
        <f>VLOOKUP(Table3[[#This Row],[Document ID]],Table1[],3,FALSE)</f>
        <v>Timor-Leste</v>
      </c>
      <c r="D752" s="233" t="str">
        <f>VLOOKUP(Table3[[#This Row],[Document ID]],Table1[],5,FALSE)</f>
        <v>NDC</v>
      </c>
      <c r="E752" s="233" t="str">
        <f>VLOOKUP(Table3[[#This Row],[Document ID]],Table1[],7,FALSE)</f>
        <v>First NDC updated</v>
      </c>
      <c r="F752" s="233" t="str">
        <f>VLOOKUP(Table3[[#This Row],[Document ID]],Table1[],8,FALSE)</f>
        <v>NDC 1.1</v>
      </c>
      <c r="G752" s="233" t="str">
        <f>VLOOKUP(Table3[[#This Row],[Document ID]],Table1[],10,FALSE)</f>
        <v>Active</v>
      </c>
      <c r="H752" s="43" t="s">
        <v>1147</v>
      </c>
      <c r="I752" s="43" t="s">
        <v>1089</v>
      </c>
      <c r="J752" s="43" t="s">
        <v>1090</v>
      </c>
      <c r="K752" s="28" t="s">
        <v>1121</v>
      </c>
      <c r="L752" s="42" t="s">
        <v>1099</v>
      </c>
      <c r="M752" s="209">
        <v>2030</v>
      </c>
      <c r="N752" s="209" t="s">
        <v>1865</v>
      </c>
      <c r="O752" s="257">
        <v>52</v>
      </c>
      <c r="P752" s="238" t="str">
        <f>VLOOKUP(_xlfn.CONCAT(Table3[[#This Row],[Target area]],Table3[[#This Row],[GHG target?]],Table3[[#This Row],[Conditionality]]),'Drop down'!$E$81:$F$101,2,FALSE)</f>
        <v>T_Netzero_Unc</v>
      </c>
      <c r="Q752" s="239" t="str">
        <f>VLOOKUP(Table3[[#This Row],[Target type]],Table418[[Value name]:[Value idenifyer]],2,FALSE)</f>
        <v>T_FL</v>
      </c>
      <c r="T752" s="240"/>
      <c r="U752" s="240"/>
      <c r="V752" s="233" t="str">
        <f>VLOOKUP(Table3[[#This Row],[Country Code]],Table29[],3,FALSE)</f>
        <v>Non-Annex I</v>
      </c>
      <c r="W752" s="233" t="str">
        <f>VLOOKUP(Table3[[#This Row],[Country Code]],Table29[],4,FALSE)</f>
        <v>Asia</v>
      </c>
      <c r="X752" s="233" t="str">
        <f>VLOOKUP(Table3[[#This Row],[Country Code]],Table29[],5,FALSE)</f>
        <v>Middle-income</v>
      </c>
      <c r="Y752" s="233" t="str">
        <f>VLOOKUP(Table3[[#This Row],[Country Code]],Table29[],6,FALSE)</f>
        <v>no</v>
      </c>
      <c r="Z752" s="233" t="str">
        <f>VLOOKUP(Table3[[#This Row],[Country Code]],Table29[],7,FALSE)</f>
        <v>no</v>
      </c>
      <c r="AA752" s="233" t="str">
        <f>VLOOKUP(Table3[[#This Row],[Country Code]],Table29[],8,FALSE)</f>
        <v>non-OECD</v>
      </c>
      <c r="AB752" s="233" t="str">
        <f>VLOOKUP(Table3[[#This Row],[Country Code]],Table29[],9,FALSE)</f>
        <v>no</v>
      </c>
      <c r="AC752" s="233" t="str">
        <f>VLOOKUP(Table3[[#This Row],[Country Code]],Table29[],10,FALSE)</f>
        <v>no</v>
      </c>
      <c r="AD752" s="235">
        <f>VLOOKUP(Table3[[#This Row],[Country Code]],Table29[],23,FALSE)</f>
        <v>2.0071829501919001</v>
      </c>
      <c r="AE752" s="235">
        <f>VLOOKUP(Table3[[#This Row],[Country Code]],Table29[],24,FALSE)</f>
        <v>0.34628334680787631</v>
      </c>
      <c r="AF752" s="43"/>
    </row>
    <row r="753" spans="1:32" ht="30" x14ac:dyDescent="0.25">
      <c r="A753" s="360">
        <v>17712</v>
      </c>
      <c r="B753" s="233" t="str">
        <f>VLOOKUP(Table3[[#This Row],[Document ID]],Table1[],2,FALSE)</f>
        <v>MKD</v>
      </c>
      <c r="C753" s="233" t="str">
        <f>VLOOKUP(Table3[[#This Row],[Document ID]],Table1[],3,FALSE)</f>
        <v>Republic of North Macedonia</v>
      </c>
      <c r="D753" s="233" t="str">
        <f>VLOOKUP(Table3[[#This Row],[Document ID]],Table1[],5,FALSE)</f>
        <v>NDC</v>
      </c>
      <c r="E753" s="233" t="str">
        <f>VLOOKUP(Table3[[#This Row],[Document ID]],Table1[],7,FALSE)</f>
        <v>First NDC updated</v>
      </c>
      <c r="F753" s="233" t="str">
        <f>VLOOKUP(Table3[[#This Row],[Document ID]],Table1[],8,FALSE)</f>
        <v>NDC 1.1</v>
      </c>
      <c r="G753" s="233" t="str">
        <f>VLOOKUP(Table3[[#This Row],[Document ID]],Table1[],10,FALSE)</f>
        <v>Active</v>
      </c>
      <c r="H753" s="42" t="s">
        <v>1095</v>
      </c>
      <c r="I753" s="42" t="s">
        <v>1096</v>
      </c>
      <c r="J753" s="42" t="s">
        <v>1097</v>
      </c>
      <c r="K753" s="28" t="s">
        <v>1223</v>
      </c>
      <c r="L753" s="389" t="s">
        <v>1099</v>
      </c>
      <c r="M753" s="209">
        <v>2030</v>
      </c>
      <c r="N753" s="44" t="s">
        <v>1866</v>
      </c>
      <c r="O753" s="221">
        <v>4</v>
      </c>
      <c r="P753" s="238" t="str">
        <f>VLOOKUP(_xlfn.CONCAT(Table3[[#This Row],[Target area]],Table3[[#This Row],[GHG target?]],Table3[[#This Row],[Conditionality]]),'Drop down'!$E$81:$F$101,2,FALSE)</f>
        <v>T_Transport_O_Unc</v>
      </c>
      <c r="Q753" s="239" t="str">
        <f>VLOOKUP(Table3[[#This Row],[Target type]],Table418[[Value name]:[Value idenifyer]],2,FALSE)</f>
        <v>T_O_REN</v>
      </c>
      <c r="S753" s="233" t="s">
        <v>1101</v>
      </c>
      <c r="V753" s="233" t="str">
        <f>VLOOKUP(Table3[[#This Row],[Country Code]],Table29[],3,FALSE)</f>
        <v>Non-Annex I</v>
      </c>
      <c r="W753" s="233" t="str">
        <f>VLOOKUP(Table3[[#This Row],[Country Code]],Table29[],4,FALSE)</f>
        <v>Europe</v>
      </c>
      <c r="X753" s="233" t="str">
        <f>VLOOKUP(Table3[[#This Row],[Country Code]],Table29[],5,FALSE)</f>
        <v>Middle-income</v>
      </c>
      <c r="Y753" s="233" t="str">
        <f>VLOOKUP(Table3[[#This Row],[Country Code]],Table29[],6,FALSE)</f>
        <v>no</v>
      </c>
      <c r="Z753" s="233" t="str">
        <f>VLOOKUP(Table3[[#This Row],[Country Code]],Table29[],7,FALSE)</f>
        <v>no</v>
      </c>
      <c r="AA753" s="233" t="str">
        <f>VLOOKUP(Table3[[#This Row],[Country Code]],Table29[],8,FALSE)</f>
        <v>non-OECD</v>
      </c>
      <c r="AB753" s="233" t="str">
        <f>VLOOKUP(Table3[[#This Row],[Country Code]],Table29[],9,FALSE)</f>
        <v>no</v>
      </c>
      <c r="AC753" s="233" t="str">
        <f>VLOOKUP(Table3[[#This Row],[Country Code]],Table29[],10,FALSE)</f>
        <v>no</v>
      </c>
      <c r="AD753" s="235">
        <f>VLOOKUP(Table3[[#This Row],[Country Code]],Table29[],23,FALSE)</f>
        <v>11.370029305485</v>
      </c>
      <c r="AE753" s="235">
        <f>VLOOKUP(Table3[[#This Row],[Country Code]],Table29[],24,FALSE)</f>
        <v>2.5209386628390988</v>
      </c>
      <c r="AF753" s="43"/>
    </row>
    <row r="754" spans="1:32" ht="30" x14ac:dyDescent="0.25">
      <c r="A754" s="360">
        <v>23386</v>
      </c>
      <c r="B754" s="233" t="str">
        <f>VLOOKUP(Table3[[#This Row],[Document ID]],Table1[],2,FALSE)</f>
        <v>TGO</v>
      </c>
      <c r="C754" s="233" t="str">
        <f>VLOOKUP(Table3[[#This Row],[Document ID]],Table1[],3,FALSE)</f>
        <v>Togo</v>
      </c>
      <c r="D754" s="233" t="str">
        <f>VLOOKUP(Table3[[#This Row],[Document ID]],Table1[],5,FALSE)</f>
        <v>NDC</v>
      </c>
      <c r="E754" s="233" t="str">
        <f>VLOOKUP(Table3[[#This Row],[Document ID]],Table1[],7,FALSE)</f>
        <v>First NDC updated</v>
      </c>
      <c r="F754" s="233" t="str">
        <f>VLOOKUP(Table3[[#This Row],[Document ID]],Table1[],8,FALSE)</f>
        <v>NDC 1.1</v>
      </c>
      <c r="G754" s="233" t="str">
        <f>VLOOKUP(Table3[[#This Row],[Document ID]],Table1[],10,FALSE)</f>
        <v>Active</v>
      </c>
      <c r="H754" s="216" t="s">
        <v>1089</v>
      </c>
      <c r="I754" s="216" t="s">
        <v>1089</v>
      </c>
      <c r="J754" s="43" t="s">
        <v>1090</v>
      </c>
      <c r="K754" s="28" t="s">
        <v>1091</v>
      </c>
      <c r="L754" s="42" t="s">
        <v>1099</v>
      </c>
      <c r="M754" s="209">
        <v>2030</v>
      </c>
      <c r="N754" s="209" t="s">
        <v>1867</v>
      </c>
      <c r="O754" s="257">
        <v>11</v>
      </c>
      <c r="P754" s="238" t="str">
        <f>VLOOKUP(_xlfn.CONCAT(Table3[[#This Row],[Target area]],Table3[[#This Row],[GHG target?]],Table3[[#This Row],[Conditionality]]),'Drop down'!$E$81:$F$101,2,FALSE)</f>
        <v>T_Economy_Unc</v>
      </c>
      <c r="Q754" s="239" t="str">
        <f>VLOOKUP(Table3[[#This Row],[Target type]],Table418[[Value name]:[Value idenifyer]],2,FALSE)</f>
        <v>T_BAU</v>
      </c>
      <c r="S754" s="233" t="s">
        <v>1101</v>
      </c>
      <c r="T754" s="240"/>
      <c r="U754" s="240"/>
      <c r="V754" s="233" t="str">
        <f>VLOOKUP(Table3[[#This Row],[Country Code]],Table29[],3,FALSE)</f>
        <v>Non-Annex I</v>
      </c>
      <c r="W754" s="233" t="str">
        <f>VLOOKUP(Table3[[#This Row],[Country Code]],Table29[],4,FALSE)</f>
        <v>Africa</v>
      </c>
      <c r="X754" s="233" t="str">
        <f>VLOOKUP(Table3[[#This Row],[Country Code]],Table29[],5,FALSE)</f>
        <v>Low-income</v>
      </c>
      <c r="Y754" s="233" t="str">
        <f>VLOOKUP(Table3[[#This Row],[Country Code]],Table29[],6,FALSE)</f>
        <v>no</v>
      </c>
      <c r="Z754" s="233" t="str">
        <f>VLOOKUP(Table3[[#This Row],[Country Code]],Table29[],7,FALSE)</f>
        <v>no</v>
      </c>
      <c r="AA754" s="233" t="str">
        <f>VLOOKUP(Table3[[#This Row],[Country Code]],Table29[],8,FALSE)</f>
        <v>non-OECD</v>
      </c>
      <c r="AB754" s="233" t="str">
        <f>VLOOKUP(Table3[[#This Row],[Country Code]],Table29[],9,FALSE)</f>
        <v>no</v>
      </c>
      <c r="AC754" s="233" t="str">
        <f>VLOOKUP(Table3[[#This Row],[Country Code]],Table29[],10,FALSE)</f>
        <v>no</v>
      </c>
      <c r="AD754" s="235">
        <f>VLOOKUP(Table3[[#This Row],[Country Code]],Table29[],23,FALSE)</f>
        <v>10.612911987181</v>
      </c>
      <c r="AE754" s="235">
        <f>VLOOKUP(Table3[[#This Row],[Country Code]],Table29[],24,FALSE)</f>
        <v>1.3349461053649869</v>
      </c>
      <c r="AF754" s="43"/>
    </row>
    <row r="755" spans="1:32" x14ac:dyDescent="0.25">
      <c r="A755" s="360">
        <v>23386</v>
      </c>
      <c r="B755" s="233" t="str">
        <f>VLOOKUP(Table3[[#This Row],[Document ID]],Table1[],2,FALSE)</f>
        <v>TGO</v>
      </c>
      <c r="C755" s="233" t="str">
        <f>VLOOKUP(Table3[[#This Row],[Document ID]],Table1[],3,FALSE)</f>
        <v>Togo</v>
      </c>
      <c r="D755" s="233" t="str">
        <f>VLOOKUP(Table3[[#This Row],[Document ID]],Table1[],5,FALSE)</f>
        <v>NDC</v>
      </c>
      <c r="E755" s="233" t="str">
        <f>VLOOKUP(Table3[[#This Row],[Document ID]],Table1[],7,FALSE)</f>
        <v>First NDC updated</v>
      </c>
      <c r="F755" s="233" t="str">
        <f>VLOOKUP(Table3[[#This Row],[Document ID]],Table1[],8,FALSE)</f>
        <v>NDC 1.1</v>
      </c>
      <c r="G755" s="233" t="str">
        <f>VLOOKUP(Table3[[#This Row],[Document ID]],Table1[],10,FALSE)</f>
        <v>Active</v>
      </c>
      <c r="H755" s="216" t="s">
        <v>1089</v>
      </c>
      <c r="I755" s="216" t="s">
        <v>1089</v>
      </c>
      <c r="J755" s="43" t="s">
        <v>1090</v>
      </c>
      <c r="K755" s="28" t="s">
        <v>1091</v>
      </c>
      <c r="L755" s="216" t="s">
        <v>1092</v>
      </c>
      <c r="M755" s="209">
        <v>2030</v>
      </c>
      <c r="N755" s="209" t="s">
        <v>1868</v>
      </c>
      <c r="O755" s="257">
        <v>11</v>
      </c>
      <c r="P755" s="238" t="str">
        <f>VLOOKUP(_xlfn.CONCAT(Table3[[#This Row],[Target area]],Table3[[#This Row],[GHG target?]],Table3[[#This Row],[Conditionality]]),'Drop down'!$E$81:$F$101,2,FALSE)</f>
        <v>T_Economy_C</v>
      </c>
      <c r="Q755" s="239" t="str">
        <f>VLOOKUP(Table3[[#This Row],[Target type]],Table418[[Value name]:[Value idenifyer]],2,FALSE)</f>
        <v>T_BAU</v>
      </c>
      <c r="S755" s="233" t="s">
        <v>1101</v>
      </c>
      <c r="T755" s="240"/>
      <c r="U755" s="240"/>
      <c r="V755" s="233" t="str">
        <f>VLOOKUP(Table3[[#This Row],[Country Code]],Table29[],3,FALSE)</f>
        <v>Non-Annex I</v>
      </c>
      <c r="W755" s="233" t="str">
        <f>VLOOKUP(Table3[[#This Row],[Country Code]],Table29[],4,FALSE)</f>
        <v>Africa</v>
      </c>
      <c r="X755" s="233" t="str">
        <f>VLOOKUP(Table3[[#This Row],[Country Code]],Table29[],5,FALSE)</f>
        <v>Low-income</v>
      </c>
      <c r="Y755" s="233" t="str">
        <f>VLOOKUP(Table3[[#This Row],[Country Code]],Table29[],6,FALSE)</f>
        <v>no</v>
      </c>
      <c r="Z755" s="233" t="str">
        <f>VLOOKUP(Table3[[#This Row],[Country Code]],Table29[],7,FALSE)</f>
        <v>no</v>
      </c>
      <c r="AA755" s="233" t="str">
        <f>VLOOKUP(Table3[[#This Row],[Country Code]],Table29[],8,FALSE)</f>
        <v>non-OECD</v>
      </c>
      <c r="AB755" s="233" t="str">
        <f>VLOOKUP(Table3[[#This Row],[Country Code]],Table29[],9,FALSE)</f>
        <v>no</v>
      </c>
      <c r="AC755" s="233" t="str">
        <f>VLOOKUP(Table3[[#This Row],[Country Code]],Table29[],10,FALSE)</f>
        <v>no</v>
      </c>
      <c r="AD755" s="235">
        <f>VLOOKUP(Table3[[#This Row],[Country Code]],Table29[],23,FALSE)</f>
        <v>10.612911987181</v>
      </c>
      <c r="AE755" s="235">
        <f>VLOOKUP(Table3[[#This Row],[Country Code]],Table29[],24,FALSE)</f>
        <v>1.3349461053649869</v>
      </c>
      <c r="AF755" s="43"/>
    </row>
    <row r="756" spans="1:32" x14ac:dyDescent="0.25">
      <c r="A756" s="360">
        <v>23372</v>
      </c>
      <c r="B756" s="233" t="str">
        <f>VLOOKUP(Table3[[#This Row],[Document ID]],Table1[],2,FALSE)</f>
        <v>MLI</v>
      </c>
      <c r="C756" s="233" t="str">
        <f>VLOOKUP(Table3[[#This Row],[Document ID]],Table1[],3,FALSE)</f>
        <v>Mali</v>
      </c>
      <c r="D756" s="233" t="str">
        <f>VLOOKUP(Table3[[#This Row],[Document ID]],Table1[],5,FALSE)</f>
        <v>NDC</v>
      </c>
      <c r="E756" s="233" t="str">
        <f>VLOOKUP(Table3[[#This Row],[Document ID]],Table1[],7,FALSE)</f>
        <v>First NDC updated</v>
      </c>
      <c r="F756" s="233" t="str">
        <f>VLOOKUP(Table3[[#This Row],[Document ID]],Table1[],8,FALSE)</f>
        <v>NDC 1.1</v>
      </c>
      <c r="G756" s="233" t="str">
        <f>VLOOKUP(Table3[[#This Row],[Document ID]],Table1[],10,FALSE)</f>
        <v>Active</v>
      </c>
      <c r="H756" s="42" t="s">
        <v>1095</v>
      </c>
      <c r="I756" s="42" t="s">
        <v>1096</v>
      </c>
      <c r="J756" s="42" t="s">
        <v>1097</v>
      </c>
      <c r="K756" s="28" t="s">
        <v>1102</v>
      </c>
      <c r="L756" s="42" t="s">
        <v>1099</v>
      </c>
      <c r="M756" s="209">
        <v>2030</v>
      </c>
      <c r="N756" s="209" t="s">
        <v>1869</v>
      </c>
      <c r="O756" s="257">
        <v>57</v>
      </c>
      <c r="P756" s="238" t="str">
        <f>VLOOKUP(_xlfn.CONCAT(Table3[[#This Row],[Target area]],Table3[[#This Row],[GHG target?]],Table3[[#This Row],[Conditionality]]),'Drop down'!$E$81:$F$101,2,FALSE)</f>
        <v>T_Transport_O_Unc</v>
      </c>
      <c r="Q756" s="239" t="str">
        <f>VLOOKUP(Table3[[#This Row],[Target type]],Table418[[Value name]:[Value idenifyer]],2,FALSE)</f>
        <v>T_O_BIO</v>
      </c>
      <c r="S756" s="233" t="s">
        <v>1101</v>
      </c>
      <c r="T756" s="240"/>
      <c r="U756" s="240"/>
      <c r="V756" s="233" t="str">
        <f>VLOOKUP(Table3[[#This Row],[Country Code]],Table29[],3,FALSE)</f>
        <v>Non-Annex I</v>
      </c>
      <c r="W756" s="233" t="str">
        <f>VLOOKUP(Table3[[#This Row],[Country Code]],Table29[],4,FALSE)</f>
        <v>Africa</v>
      </c>
      <c r="X756" s="233" t="str">
        <f>VLOOKUP(Table3[[#This Row],[Country Code]],Table29[],5,FALSE)</f>
        <v>Low-income</v>
      </c>
      <c r="Y756" s="233" t="str">
        <f>VLOOKUP(Table3[[#This Row],[Country Code]],Table29[],6,FALSE)</f>
        <v>no</v>
      </c>
      <c r="Z756" s="233" t="str">
        <f>VLOOKUP(Table3[[#This Row],[Country Code]],Table29[],7,FALSE)</f>
        <v>no</v>
      </c>
      <c r="AA756" s="233" t="str">
        <f>VLOOKUP(Table3[[#This Row],[Country Code]],Table29[],8,FALSE)</f>
        <v>non-OECD</v>
      </c>
      <c r="AB756" s="233" t="str">
        <f>VLOOKUP(Table3[[#This Row],[Country Code]],Table29[],9,FALSE)</f>
        <v>no</v>
      </c>
      <c r="AC756" s="233" t="str">
        <f>VLOOKUP(Table3[[#This Row],[Country Code]],Table29[],10,FALSE)</f>
        <v>no</v>
      </c>
      <c r="AD756" s="235">
        <f>VLOOKUP(Table3[[#This Row],[Country Code]],Table29[],23,FALSE)</f>
        <v>45.463097500300002</v>
      </c>
      <c r="AE756" s="235">
        <f>VLOOKUP(Table3[[#This Row],[Country Code]],Table29[],24,FALSE)</f>
        <v>3.3931668151860381</v>
      </c>
      <c r="AF756" s="43"/>
    </row>
    <row r="757" spans="1:32" x14ac:dyDescent="0.25">
      <c r="A757" s="360">
        <v>23372</v>
      </c>
      <c r="B757" s="233" t="str">
        <f>VLOOKUP(Table3[[#This Row],[Document ID]],Table1[],2,FALSE)</f>
        <v>MLI</v>
      </c>
      <c r="C757" s="233" t="str">
        <f>VLOOKUP(Table3[[#This Row],[Document ID]],Table1[],3,FALSE)</f>
        <v>Mali</v>
      </c>
      <c r="D757" s="233" t="str">
        <f>VLOOKUP(Table3[[#This Row],[Document ID]],Table1[],5,FALSE)</f>
        <v>NDC</v>
      </c>
      <c r="E757" s="233" t="str">
        <f>VLOOKUP(Table3[[#This Row],[Document ID]],Table1[],7,FALSE)</f>
        <v>First NDC updated</v>
      </c>
      <c r="F757" s="233" t="str">
        <f>VLOOKUP(Table3[[#This Row],[Document ID]],Table1[],8,FALSE)</f>
        <v>NDC 1.1</v>
      </c>
      <c r="G757" s="233" t="str">
        <f>VLOOKUP(Table3[[#This Row],[Document ID]],Table1[],10,FALSE)</f>
        <v>Active</v>
      </c>
      <c r="H757" s="42" t="s">
        <v>1095</v>
      </c>
      <c r="I757" s="42" t="s">
        <v>1096</v>
      </c>
      <c r="J757" s="42" t="s">
        <v>1097</v>
      </c>
      <c r="K757" s="28" t="s">
        <v>1102</v>
      </c>
      <c r="L757" s="42" t="s">
        <v>1099</v>
      </c>
      <c r="M757" s="209">
        <v>2030</v>
      </c>
      <c r="N757" s="209" t="s">
        <v>1870</v>
      </c>
      <c r="O757" s="257">
        <v>57</v>
      </c>
      <c r="P757" s="238" t="str">
        <f>VLOOKUP(_xlfn.CONCAT(Table3[[#This Row],[Target area]],Table3[[#This Row],[GHG target?]],Table3[[#This Row],[Conditionality]]),'Drop down'!$E$81:$F$101,2,FALSE)</f>
        <v>T_Transport_O_Unc</v>
      </c>
      <c r="Q757" s="239" t="str">
        <f>VLOOKUP(Table3[[#This Row],[Target type]],Table418[[Value name]:[Value idenifyer]],2,FALSE)</f>
        <v>T_O_BIO</v>
      </c>
      <c r="S757" s="233" t="s">
        <v>1101</v>
      </c>
      <c r="T757" s="240"/>
      <c r="U757" s="240"/>
      <c r="V757" s="233" t="str">
        <f>VLOOKUP(Table3[[#This Row],[Country Code]],Table29[],3,FALSE)</f>
        <v>Non-Annex I</v>
      </c>
      <c r="W757" s="233" t="str">
        <f>VLOOKUP(Table3[[#This Row],[Country Code]],Table29[],4,FALSE)</f>
        <v>Africa</v>
      </c>
      <c r="X757" s="233" t="str">
        <f>VLOOKUP(Table3[[#This Row],[Country Code]],Table29[],5,FALSE)</f>
        <v>Low-income</v>
      </c>
      <c r="Y757" s="233" t="str">
        <f>VLOOKUP(Table3[[#This Row],[Country Code]],Table29[],6,FALSE)</f>
        <v>no</v>
      </c>
      <c r="Z757" s="233" t="str">
        <f>VLOOKUP(Table3[[#This Row],[Country Code]],Table29[],7,FALSE)</f>
        <v>no</v>
      </c>
      <c r="AA757" s="233" t="str">
        <f>VLOOKUP(Table3[[#This Row],[Country Code]],Table29[],8,FALSE)</f>
        <v>non-OECD</v>
      </c>
      <c r="AB757" s="233" t="str">
        <f>VLOOKUP(Table3[[#This Row],[Country Code]],Table29[],9,FALSE)</f>
        <v>no</v>
      </c>
      <c r="AC757" s="233" t="str">
        <f>VLOOKUP(Table3[[#This Row],[Country Code]],Table29[],10,FALSE)</f>
        <v>no</v>
      </c>
      <c r="AD757" s="235">
        <f>VLOOKUP(Table3[[#This Row],[Country Code]],Table29[],23,FALSE)</f>
        <v>45.463097500300002</v>
      </c>
      <c r="AE757" s="235">
        <f>VLOOKUP(Table3[[#This Row],[Country Code]],Table29[],24,FALSE)</f>
        <v>3.3931668151860381</v>
      </c>
      <c r="AF757" s="43"/>
    </row>
    <row r="758" spans="1:32" x14ac:dyDescent="0.25">
      <c r="A758" s="360">
        <v>17760</v>
      </c>
      <c r="B758" s="233" t="str">
        <f>VLOOKUP(Table3[[#This Row],[Document ID]],Table1[],2,FALSE)</f>
        <v>TGO</v>
      </c>
      <c r="C758" s="233" t="str">
        <f>VLOOKUP(Table3[[#This Row],[Document ID]],Table1[],3,FALSE)</f>
        <v>Togo</v>
      </c>
      <c r="D758" s="233" t="str">
        <f>VLOOKUP(Table3[[#This Row],[Document ID]],Table1[],5,FALSE)</f>
        <v>NDC</v>
      </c>
      <c r="E758" s="233" t="str">
        <f>VLOOKUP(Table3[[#This Row],[Document ID]],Table1[],7,FALSE)</f>
        <v>First NDC</v>
      </c>
      <c r="F758" s="233" t="str">
        <f>VLOOKUP(Table3[[#This Row],[Document ID]],Table1[],8,FALSE)</f>
        <v>NDC 1.0</v>
      </c>
      <c r="G758" s="233" t="str">
        <f>VLOOKUP(Table3[[#This Row],[Document ID]],Table1[],10,FALSE)</f>
        <v>Archived</v>
      </c>
      <c r="H758" s="216" t="s">
        <v>1089</v>
      </c>
      <c r="I758" s="216" t="s">
        <v>1089</v>
      </c>
      <c r="J758" s="43" t="s">
        <v>1090</v>
      </c>
      <c r="K758" s="28" t="s">
        <v>1091</v>
      </c>
      <c r="L758" s="42" t="s">
        <v>1099</v>
      </c>
      <c r="M758" s="209">
        <v>2030</v>
      </c>
      <c r="N758" s="176" t="s">
        <v>1871</v>
      </c>
      <c r="O758" s="258" t="s">
        <v>1094</v>
      </c>
      <c r="P758" s="238" t="str">
        <f>VLOOKUP(_xlfn.CONCAT(Table3[[#This Row],[Target area]],Table3[[#This Row],[GHG target?]],Table3[[#This Row],[Conditionality]]),'Drop down'!$E$81:$F$101,2,FALSE)</f>
        <v>T_Economy_Unc</v>
      </c>
      <c r="Q758" s="239" t="str">
        <f>VLOOKUP(Table3[[#This Row],[Target type]],Table418[[Value name]:[Value idenifyer]],2,FALSE)</f>
        <v>T_BAU</v>
      </c>
      <c r="S758" s="233" t="s">
        <v>1101</v>
      </c>
      <c r="T758" s="240"/>
      <c r="U758" s="240"/>
      <c r="V758" s="233" t="str">
        <f>VLOOKUP(Table3[[#This Row],[Country Code]],Table29[],3,FALSE)</f>
        <v>Non-Annex I</v>
      </c>
      <c r="W758" s="233" t="str">
        <f>VLOOKUP(Table3[[#This Row],[Country Code]],Table29[],4,FALSE)</f>
        <v>Africa</v>
      </c>
      <c r="X758" s="233" t="str">
        <f>VLOOKUP(Table3[[#This Row],[Country Code]],Table29[],5,FALSE)</f>
        <v>Low-income</v>
      </c>
      <c r="Y758" s="233" t="str">
        <f>VLOOKUP(Table3[[#This Row],[Country Code]],Table29[],6,FALSE)</f>
        <v>no</v>
      </c>
      <c r="Z758" s="233" t="str">
        <f>VLOOKUP(Table3[[#This Row],[Country Code]],Table29[],7,FALSE)</f>
        <v>no</v>
      </c>
      <c r="AA758" s="233" t="str">
        <f>VLOOKUP(Table3[[#This Row],[Country Code]],Table29[],8,FALSE)</f>
        <v>non-OECD</v>
      </c>
      <c r="AB758" s="233" t="str">
        <f>VLOOKUP(Table3[[#This Row],[Country Code]],Table29[],9,FALSE)</f>
        <v>no</v>
      </c>
      <c r="AC758" s="233" t="str">
        <f>VLOOKUP(Table3[[#This Row],[Country Code]],Table29[],10,FALSE)</f>
        <v>no</v>
      </c>
      <c r="AD758" s="235">
        <f>VLOOKUP(Table3[[#This Row],[Country Code]],Table29[],23,FALSE)</f>
        <v>10.612911987181</v>
      </c>
      <c r="AE758" s="235">
        <f>VLOOKUP(Table3[[#This Row],[Country Code]],Table29[],24,FALSE)</f>
        <v>1.3349461053649869</v>
      </c>
      <c r="AF758" s="43"/>
    </row>
    <row r="759" spans="1:32" x14ac:dyDescent="0.25">
      <c r="A759" s="360">
        <v>17760</v>
      </c>
      <c r="B759" s="233" t="str">
        <f>VLOOKUP(Table3[[#This Row],[Document ID]],Table1[],2,FALSE)</f>
        <v>TGO</v>
      </c>
      <c r="C759" s="233" t="str">
        <f>VLOOKUP(Table3[[#This Row],[Document ID]],Table1[],3,FALSE)</f>
        <v>Togo</v>
      </c>
      <c r="D759" s="233" t="str">
        <f>VLOOKUP(Table3[[#This Row],[Document ID]],Table1[],5,FALSE)</f>
        <v>NDC</v>
      </c>
      <c r="E759" s="233" t="str">
        <f>VLOOKUP(Table3[[#This Row],[Document ID]],Table1[],7,FALSE)</f>
        <v>First NDC</v>
      </c>
      <c r="F759" s="233" t="str">
        <f>VLOOKUP(Table3[[#This Row],[Document ID]],Table1[],8,FALSE)</f>
        <v>NDC 1.0</v>
      </c>
      <c r="G759" s="233" t="str">
        <f>VLOOKUP(Table3[[#This Row],[Document ID]],Table1[],10,FALSE)</f>
        <v>Archived</v>
      </c>
      <c r="H759" s="216" t="s">
        <v>1089</v>
      </c>
      <c r="I759" s="216" t="s">
        <v>1089</v>
      </c>
      <c r="J759" s="43" t="s">
        <v>1090</v>
      </c>
      <c r="K759" s="28" t="s">
        <v>1091</v>
      </c>
      <c r="L759" s="216" t="s">
        <v>1092</v>
      </c>
      <c r="M759" s="209">
        <v>2030</v>
      </c>
      <c r="N759" s="176" t="s">
        <v>1872</v>
      </c>
      <c r="O759" s="258" t="s">
        <v>1094</v>
      </c>
      <c r="P759" s="238" t="str">
        <f>VLOOKUP(_xlfn.CONCAT(Table3[[#This Row],[Target area]],Table3[[#This Row],[GHG target?]],Table3[[#This Row],[Conditionality]]),'Drop down'!$E$81:$F$101,2,FALSE)</f>
        <v>T_Economy_C</v>
      </c>
      <c r="Q759" s="239" t="str">
        <f>VLOOKUP(Table3[[#This Row],[Target type]],Table418[[Value name]:[Value idenifyer]],2,FALSE)</f>
        <v>T_BAU</v>
      </c>
      <c r="S759" s="233" t="s">
        <v>1101</v>
      </c>
      <c r="T759" s="240"/>
      <c r="U759" s="240"/>
      <c r="V759" s="233" t="str">
        <f>VLOOKUP(Table3[[#This Row],[Country Code]],Table29[],3,FALSE)</f>
        <v>Non-Annex I</v>
      </c>
      <c r="W759" s="233" t="str">
        <f>VLOOKUP(Table3[[#This Row],[Country Code]],Table29[],4,FALSE)</f>
        <v>Africa</v>
      </c>
      <c r="X759" s="233" t="str">
        <f>VLOOKUP(Table3[[#This Row],[Country Code]],Table29[],5,FALSE)</f>
        <v>Low-income</v>
      </c>
      <c r="Y759" s="233" t="str">
        <f>VLOOKUP(Table3[[#This Row],[Country Code]],Table29[],6,FALSE)</f>
        <v>no</v>
      </c>
      <c r="Z759" s="233" t="str">
        <f>VLOOKUP(Table3[[#This Row],[Country Code]],Table29[],7,FALSE)</f>
        <v>no</v>
      </c>
      <c r="AA759" s="233" t="str">
        <f>VLOOKUP(Table3[[#This Row],[Country Code]],Table29[],8,FALSE)</f>
        <v>non-OECD</v>
      </c>
      <c r="AB759" s="233" t="str">
        <f>VLOOKUP(Table3[[#This Row],[Country Code]],Table29[],9,FALSE)</f>
        <v>no</v>
      </c>
      <c r="AC759" s="233" t="str">
        <f>VLOOKUP(Table3[[#This Row],[Country Code]],Table29[],10,FALSE)</f>
        <v>no</v>
      </c>
      <c r="AD759" s="235">
        <f>VLOOKUP(Table3[[#This Row],[Country Code]],Table29[],23,FALSE)</f>
        <v>10.612911987181</v>
      </c>
      <c r="AE759" s="235">
        <f>VLOOKUP(Table3[[#This Row],[Country Code]],Table29[],24,FALSE)</f>
        <v>1.3349461053649869</v>
      </c>
      <c r="AF759" s="43"/>
    </row>
    <row r="760" spans="1:32" x14ac:dyDescent="0.25">
      <c r="A760" s="360">
        <v>17762</v>
      </c>
      <c r="B760" s="233" t="str">
        <f>VLOOKUP(Table3[[#This Row],[Document ID]],Table1[],2,FALSE)</f>
        <v>TON</v>
      </c>
      <c r="C760" s="233" t="str">
        <f>VLOOKUP(Table3[[#This Row],[Document ID]],Table1[],3,FALSE)</f>
        <v>Tonga</v>
      </c>
      <c r="D760" s="233" t="str">
        <f>VLOOKUP(Table3[[#This Row],[Document ID]],Table1[],5,FALSE)</f>
        <v>NDC</v>
      </c>
      <c r="E760" s="233" t="str">
        <f>VLOOKUP(Table3[[#This Row],[Document ID]],Table1[],7,FALSE)</f>
        <v>Second NDC</v>
      </c>
      <c r="F760" s="233" t="str">
        <f>VLOOKUP(Table3[[#This Row],[Document ID]],Table1[],8,FALSE)</f>
        <v>NDC 2.0</v>
      </c>
      <c r="G760" s="233" t="str">
        <f>VLOOKUP(Table3[[#This Row],[Document ID]],Table1[],10,FALSE)</f>
        <v>Active</v>
      </c>
      <c r="H760" s="216" t="s">
        <v>1089</v>
      </c>
      <c r="I760" s="216" t="s">
        <v>1089</v>
      </c>
      <c r="J760" s="43" t="s">
        <v>1090</v>
      </c>
      <c r="K760" s="28" t="s">
        <v>1153</v>
      </c>
      <c r="L760" s="42" t="s">
        <v>1099</v>
      </c>
      <c r="M760" s="209">
        <v>2030</v>
      </c>
      <c r="N760" s="44" t="s">
        <v>1873</v>
      </c>
      <c r="O760" s="221">
        <v>5</v>
      </c>
      <c r="P760" s="238" t="str">
        <f>VLOOKUP(_xlfn.CONCAT(Table3[[#This Row],[Target area]],Table3[[#This Row],[GHG target?]],Table3[[#This Row],[Conditionality]]),'Drop down'!$E$81:$F$101,2,FALSE)</f>
        <v>T_Economy_Unc</v>
      </c>
      <c r="Q760" s="239" t="str">
        <f>VLOOKUP(Table3[[#This Row],[Target type]],Table418[[Value name]:[Value idenifyer]],2,FALSE)</f>
        <v>T_BYE</v>
      </c>
      <c r="V760" s="233" t="str">
        <f>VLOOKUP(Table3[[#This Row],[Country Code]],Table29[],3,FALSE)</f>
        <v>Non-Annex I</v>
      </c>
      <c r="W760" s="233" t="str">
        <f>VLOOKUP(Table3[[#This Row],[Country Code]],Table29[],4,FALSE)</f>
        <v>Oceania</v>
      </c>
      <c r="X760" s="233" t="str">
        <f>VLOOKUP(Table3[[#This Row],[Country Code]],Table29[],5,FALSE)</f>
        <v>Middle-income</v>
      </c>
      <c r="Y760" s="233" t="str">
        <f>VLOOKUP(Table3[[#This Row],[Country Code]],Table29[],6,FALSE)</f>
        <v>no</v>
      </c>
      <c r="Z760" s="233" t="str">
        <f>VLOOKUP(Table3[[#This Row],[Country Code]],Table29[],7,FALSE)</f>
        <v>no</v>
      </c>
      <c r="AA760" s="233" t="str">
        <f>VLOOKUP(Table3[[#This Row],[Country Code]],Table29[],8,FALSE)</f>
        <v>non-OECD</v>
      </c>
      <c r="AB760" s="233" t="str">
        <f>VLOOKUP(Table3[[#This Row],[Country Code]],Table29[],9,FALSE)</f>
        <v>no</v>
      </c>
      <c r="AC760" s="233" t="str">
        <f>VLOOKUP(Table3[[#This Row],[Country Code]],Table29[],10,FALSE)</f>
        <v>no</v>
      </c>
      <c r="AD760" s="235">
        <f>VLOOKUP(Table3[[#This Row],[Country Code]],Table29[],23,FALSE)</f>
        <v>0.34210672521812002</v>
      </c>
      <c r="AE760" s="235">
        <f>VLOOKUP(Table3[[#This Row],[Country Code]],Table29[],24,FALSE)</f>
        <v>0.1141760738354758</v>
      </c>
      <c r="AF760" s="43"/>
    </row>
    <row r="761" spans="1:32" ht="45" x14ac:dyDescent="0.25">
      <c r="A761" s="360">
        <v>41998</v>
      </c>
      <c r="B761" s="233" t="str">
        <f>VLOOKUP(Table3[[#This Row],[Document ID]],Table1[],2,FALSE)</f>
        <v>GHA</v>
      </c>
      <c r="C761" s="233" t="str">
        <f>VLOOKUP(Table3[[#This Row],[Document ID]],Table1[],3,FALSE)</f>
        <v>Ghana</v>
      </c>
      <c r="D761" s="233" t="str">
        <f>VLOOKUP(Table3[[#This Row],[Document ID]],Table1[],5,FALSE)</f>
        <v>Other</v>
      </c>
      <c r="E761" s="233" t="str">
        <f>VLOOKUP(Table3[[#This Row],[Document ID]],Table1[],7,FALSE)</f>
        <v>WRI Net Zero Tracker</v>
      </c>
      <c r="F761" s="233" t="str">
        <f>VLOOKUP(Table3[[#This Row],[Document ID]],Table1[],8,FALSE)</f>
        <v>NA</v>
      </c>
      <c r="G761" s="233" t="str">
        <f>VLOOKUP(Table3[[#This Row],[Document ID]],Table1[],10,FALSE)</f>
        <v>Active</v>
      </c>
      <c r="H761" s="43" t="s">
        <v>1147</v>
      </c>
      <c r="I761" s="43" t="s">
        <v>1089</v>
      </c>
      <c r="J761" s="43" t="s">
        <v>1090</v>
      </c>
      <c r="K761" s="28" t="s">
        <v>1121</v>
      </c>
      <c r="L761" s="43" t="s">
        <v>1116</v>
      </c>
      <c r="M761" s="209">
        <v>2070</v>
      </c>
      <c r="N761" s="44" t="s">
        <v>1874</v>
      </c>
      <c r="O761" s="258"/>
      <c r="P761" s="238" t="str">
        <f>VLOOKUP(_xlfn.CONCAT(Table3[[#This Row],[Target area]],Table3[[#This Row],[GHG target?]],Table3[[#This Row],[Conditionality]]),'Drop down'!$E$81:$F$101,2,FALSE)</f>
        <v>T_Netzero</v>
      </c>
      <c r="Q761" s="239" t="str">
        <f>VLOOKUP(Table3[[#This Row],[Target type]],Table418[[Value name]:[Value idenifyer]],2,FALSE)</f>
        <v>T_FL</v>
      </c>
      <c r="V761" s="233" t="str">
        <f>VLOOKUP(Table3[[#This Row],[Country Code]],Table29[],3,FALSE)</f>
        <v>Non-Annex I</v>
      </c>
      <c r="W761" s="233" t="str">
        <f>VLOOKUP(Table3[[#This Row],[Country Code]],Table29[],4,FALSE)</f>
        <v>Africa</v>
      </c>
      <c r="X761" s="233" t="str">
        <f>VLOOKUP(Table3[[#This Row],[Country Code]],Table29[],5,FALSE)</f>
        <v>Middle-income</v>
      </c>
      <c r="Y761" s="233" t="str">
        <f>VLOOKUP(Table3[[#This Row],[Country Code]],Table29[],6,FALSE)</f>
        <v>no</v>
      </c>
      <c r="Z761" s="233" t="str">
        <f>VLOOKUP(Table3[[#This Row],[Country Code]],Table29[],7,FALSE)</f>
        <v>no</v>
      </c>
      <c r="AA761" s="233" t="str">
        <f>VLOOKUP(Table3[[#This Row],[Country Code]],Table29[],8,FALSE)</f>
        <v>non-OECD</v>
      </c>
      <c r="AB761" s="233" t="str">
        <f>VLOOKUP(Table3[[#This Row],[Country Code]],Table29[],9,FALSE)</f>
        <v>no</v>
      </c>
      <c r="AC761" s="233" t="str">
        <f>VLOOKUP(Table3[[#This Row],[Country Code]],Table29[],10,FALSE)</f>
        <v>no</v>
      </c>
      <c r="AD761" s="235">
        <f>VLOOKUP(Table3[[#This Row],[Country Code]],Table29[],23,FALSE)</f>
        <v>48.265926450338</v>
      </c>
      <c r="AE761" s="235">
        <f>VLOOKUP(Table3[[#This Row],[Country Code]],Table29[],24,FALSE)</f>
        <v>9.2203647608909662</v>
      </c>
      <c r="AF761" s="43"/>
    </row>
    <row r="762" spans="1:32" x14ac:dyDescent="0.25">
      <c r="A762" s="360">
        <v>17666</v>
      </c>
      <c r="B762" s="233" t="str">
        <f>VLOOKUP(Table3[[#This Row],[Document ID]],Table1[],2,FALSE)</f>
        <v>MNG</v>
      </c>
      <c r="C762" s="233" t="str">
        <f>VLOOKUP(Table3[[#This Row],[Document ID]],Table1[],3,FALSE)</f>
        <v>Mongolia</v>
      </c>
      <c r="D762" s="233" t="str">
        <f>VLOOKUP(Table3[[#This Row],[Document ID]],Table1[],5,FALSE)</f>
        <v>NDC</v>
      </c>
      <c r="E762" s="233" t="str">
        <f>VLOOKUP(Table3[[#This Row],[Document ID]],Table1[],7,FALSE)</f>
        <v>First NDC</v>
      </c>
      <c r="F762" s="233" t="str">
        <f>VLOOKUP(Table3[[#This Row],[Document ID]],Table1[],8,FALSE)</f>
        <v>NDC 1.0</v>
      </c>
      <c r="G762" s="233" t="str">
        <f>VLOOKUP(Table3[[#This Row],[Document ID]],Table1[],10,FALSE)</f>
        <v>Archived</v>
      </c>
      <c r="H762" s="42" t="s">
        <v>1095</v>
      </c>
      <c r="I762" s="42" t="s">
        <v>1096</v>
      </c>
      <c r="J762" s="42" t="s">
        <v>1097</v>
      </c>
      <c r="K762" s="28" t="s">
        <v>1162</v>
      </c>
      <c r="L762" s="43" t="s">
        <v>1092</v>
      </c>
      <c r="M762" s="209">
        <v>2021</v>
      </c>
      <c r="N762" s="44" t="s">
        <v>1875</v>
      </c>
      <c r="O762" s="221">
        <v>2</v>
      </c>
      <c r="P762" s="238" t="str">
        <f>VLOOKUP(_xlfn.CONCAT(Table3[[#This Row],[Target area]],Table3[[#This Row],[GHG target?]],Table3[[#This Row],[Conditionality]]),'Drop down'!$E$81:$F$101,2,FALSE)</f>
        <v>T_Transport_O_C</v>
      </c>
      <c r="Q762" s="239" t="str">
        <f>VLOOKUP(Table3[[#This Row],[Target type]],Table418[[Value name]:[Value idenifyer]],2,FALSE)</f>
        <v>T_O_INFRA</v>
      </c>
      <c r="S762" s="233" t="s">
        <v>1101</v>
      </c>
      <c r="V762" s="233" t="str">
        <f>VLOOKUP(Table3[[#This Row],[Country Code]],Table29[],3,FALSE)</f>
        <v>Non-Annex I</v>
      </c>
      <c r="W762" s="233" t="str">
        <f>VLOOKUP(Table3[[#This Row],[Country Code]],Table29[],4,FALSE)</f>
        <v>Asia</v>
      </c>
      <c r="X762" s="233" t="str">
        <f>VLOOKUP(Table3[[#This Row],[Country Code]],Table29[],5,FALSE)</f>
        <v>Middle-income</v>
      </c>
      <c r="Y762" s="233" t="str">
        <f>VLOOKUP(Table3[[#This Row],[Country Code]],Table29[],6,FALSE)</f>
        <v>no</v>
      </c>
      <c r="Z762" s="233" t="str">
        <f>VLOOKUP(Table3[[#This Row],[Country Code]],Table29[],7,FALSE)</f>
        <v>no</v>
      </c>
      <c r="AA762" s="233" t="str">
        <f>VLOOKUP(Table3[[#This Row],[Country Code]],Table29[],8,FALSE)</f>
        <v>non-OECD</v>
      </c>
      <c r="AB762" s="233" t="str">
        <f>VLOOKUP(Table3[[#This Row],[Country Code]],Table29[],9,FALSE)</f>
        <v>no</v>
      </c>
      <c r="AC762" s="233" t="str">
        <f>VLOOKUP(Table3[[#This Row],[Country Code]],Table29[],10,FALSE)</f>
        <v>no</v>
      </c>
      <c r="AD762" s="235">
        <f>VLOOKUP(Table3[[#This Row],[Country Code]],Table29[],23,FALSE)</f>
        <v>83.704559899686998</v>
      </c>
      <c r="AE762" s="235">
        <f>VLOOKUP(Table3[[#This Row],[Country Code]],Table29[],24,FALSE)</f>
        <v>3.0053836949054058</v>
      </c>
      <c r="AF762" s="43"/>
    </row>
    <row r="763" spans="1:32" x14ac:dyDescent="0.25">
      <c r="A763" s="360">
        <v>17666</v>
      </c>
      <c r="B763" s="233" t="str">
        <f>VLOOKUP(Table3[[#This Row],[Document ID]],Table1[],2,FALSE)</f>
        <v>MNG</v>
      </c>
      <c r="C763" s="233" t="str">
        <f>VLOOKUP(Table3[[#This Row],[Document ID]],Table1[],3,FALSE)</f>
        <v>Mongolia</v>
      </c>
      <c r="D763" s="233" t="str">
        <f>VLOOKUP(Table3[[#This Row],[Document ID]],Table1[],5,FALSE)</f>
        <v>NDC</v>
      </c>
      <c r="E763" s="233" t="str">
        <f>VLOOKUP(Table3[[#This Row],[Document ID]],Table1[],7,FALSE)</f>
        <v>First NDC</v>
      </c>
      <c r="F763" s="233" t="str">
        <f>VLOOKUP(Table3[[#This Row],[Document ID]],Table1[],8,FALSE)</f>
        <v>NDC 1.0</v>
      </c>
      <c r="G763" s="233" t="str">
        <f>VLOOKUP(Table3[[#This Row],[Document ID]],Table1[],10,FALSE)</f>
        <v>Archived</v>
      </c>
      <c r="H763" s="42" t="s">
        <v>1095</v>
      </c>
      <c r="I763" s="42" t="s">
        <v>1096</v>
      </c>
      <c r="J763" s="42" t="s">
        <v>1097</v>
      </c>
      <c r="K763" s="28" t="s">
        <v>1162</v>
      </c>
      <c r="L763" s="43" t="s">
        <v>1092</v>
      </c>
      <c r="M763" s="209">
        <v>2023</v>
      </c>
      <c r="N763" s="44" t="s">
        <v>1876</v>
      </c>
      <c r="O763" s="221">
        <v>2</v>
      </c>
      <c r="P763" s="238" t="str">
        <f>VLOOKUP(_xlfn.CONCAT(Table3[[#This Row],[Target area]],Table3[[#This Row],[GHG target?]],Table3[[#This Row],[Conditionality]]),'Drop down'!$E$81:$F$101,2,FALSE)</f>
        <v>T_Transport_O_C</v>
      </c>
      <c r="Q763" s="239" t="str">
        <f>VLOOKUP(Table3[[#This Row],[Target type]],Table418[[Value name]:[Value idenifyer]],2,FALSE)</f>
        <v>T_O_INFRA</v>
      </c>
      <c r="S763" s="233" t="s">
        <v>1101</v>
      </c>
      <c r="V763" s="233" t="str">
        <f>VLOOKUP(Table3[[#This Row],[Country Code]],Table29[],3,FALSE)</f>
        <v>Non-Annex I</v>
      </c>
      <c r="W763" s="233" t="str">
        <f>VLOOKUP(Table3[[#This Row],[Country Code]],Table29[],4,FALSE)</f>
        <v>Asia</v>
      </c>
      <c r="X763" s="233" t="str">
        <f>VLOOKUP(Table3[[#This Row],[Country Code]],Table29[],5,FALSE)</f>
        <v>Middle-income</v>
      </c>
      <c r="Y763" s="233" t="str">
        <f>VLOOKUP(Table3[[#This Row],[Country Code]],Table29[],6,FALSE)</f>
        <v>no</v>
      </c>
      <c r="Z763" s="233" t="str">
        <f>VLOOKUP(Table3[[#This Row],[Country Code]],Table29[],7,FALSE)</f>
        <v>no</v>
      </c>
      <c r="AA763" s="233" t="str">
        <f>VLOOKUP(Table3[[#This Row],[Country Code]],Table29[],8,FALSE)</f>
        <v>non-OECD</v>
      </c>
      <c r="AB763" s="233" t="str">
        <f>VLOOKUP(Table3[[#This Row],[Country Code]],Table29[],9,FALSE)</f>
        <v>no</v>
      </c>
      <c r="AC763" s="233" t="str">
        <f>VLOOKUP(Table3[[#This Row],[Country Code]],Table29[],10,FALSE)</f>
        <v>no</v>
      </c>
      <c r="AD763" s="235">
        <f>VLOOKUP(Table3[[#This Row],[Country Code]],Table29[],23,FALSE)</f>
        <v>83.704559899686998</v>
      </c>
      <c r="AE763" s="235">
        <f>VLOOKUP(Table3[[#This Row],[Country Code]],Table29[],24,FALSE)</f>
        <v>3.0053836949054058</v>
      </c>
      <c r="AF763" s="43"/>
    </row>
    <row r="764" spans="1:32" ht="30" x14ac:dyDescent="0.25">
      <c r="A764" s="360">
        <v>17666</v>
      </c>
      <c r="B764" s="233" t="str">
        <f>VLOOKUP(Table3[[#This Row],[Document ID]],Table1[],2,FALSE)</f>
        <v>MNG</v>
      </c>
      <c r="C764" s="233" t="str">
        <f>VLOOKUP(Table3[[#This Row],[Document ID]],Table1[],3,FALSE)</f>
        <v>Mongolia</v>
      </c>
      <c r="D764" s="233" t="str">
        <f>VLOOKUP(Table3[[#This Row],[Document ID]],Table1[],5,FALSE)</f>
        <v>NDC</v>
      </c>
      <c r="E764" s="233" t="str">
        <f>VLOOKUP(Table3[[#This Row],[Document ID]],Table1[],7,FALSE)</f>
        <v>First NDC</v>
      </c>
      <c r="F764" s="233" t="str">
        <f>VLOOKUP(Table3[[#This Row],[Document ID]],Table1[],8,FALSE)</f>
        <v>NDC 1.0</v>
      </c>
      <c r="G764" s="233" t="str">
        <f>VLOOKUP(Table3[[#This Row],[Document ID]],Table1[],10,FALSE)</f>
        <v>Archived</v>
      </c>
      <c r="H764" s="42" t="s">
        <v>1095</v>
      </c>
      <c r="I764" s="42" t="s">
        <v>1096</v>
      </c>
      <c r="J764" s="42" t="s">
        <v>1097</v>
      </c>
      <c r="K764" s="28" t="s">
        <v>1104</v>
      </c>
      <c r="L764" s="43" t="s">
        <v>1092</v>
      </c>
      <c r="M764" s="209">
        <v>2030</v>
      </c>
      <c r="N764" s="44" t="s">
        <v>1877</v>
      </c>
      <c r="O764" s="221">
        <v>2</v>
      </c>
      <c r="P764" s="238" t="str">
        <f>VLOOKUP(_xlfn.CONCAT(Table3[[#This Row],[Target area]],Table3[[#This Row],[GHG target?]],Table3[[#This Row],[Conditionality]]),'Drop down'!$E$81:$F$101,2,FALSE)</f>
        <v>T_Transport_O_C</v>
      </c>
      <c r="Q764" s="239" t="str">
        <f>VLOOKUP(Table3[[#This Row],[Target type]],Table418[[Value name]:[Value idenifyer]],2,FALSE)</f>
        <v>T_O_ZERO</v>
      </c>
      <c r="S764" s="233" t="s">
        <v>1101</v>
      </c>
      <c r="V764" s="233" t="str">
        <f>VLOOKUP(Table3[[#This Row],[Country Code]],Table29[],3,FALSE)</f>
        <v>Non-Annex I</v>
      </c>
      <c r="W764" s="233" t="str">
        <f>VLOOKUP(Table3[[#This Row],[Country Code]],Table29[],4,FALSE)</f>
        <v>Asia</v>
      </c>
      <c r="X764" s="233" t="str">
        <f>VLOOKUP(Table3[[#This Row],[Country Code]],Table29[],5,FALSE)</f>
        <v>Middle-income</v>
      </c>
      <c r="Y764" s="233" t="str">
        <f>VLOOKUP(Table3[[#This Row],[Country Code]],Table29[],6,FALSE)</f>
        <v>no</v>
      </c>
      <c r="Z764" s="233" t="str">
        <f>VLOOKUP(Table3[[#This Row],[Country Code]],Table29[],7,FALSE)</f>
        <v>no</v>
      </c>
      <c r="AA764" s="233" t="str">
        <f>VLOOKUP(Table3[[#This Row],[Country Code]],Table29[],8,FALSE)</f>
        <v>non-OECD</v>
      </c>
      <c r="AB764" s="233" t="str">
        <f>VLOOKUP(Table3[[#This Row],[Country Code]],Table29[],9,FALSE)</f>
        <v>no</v>
      </c>
      <c r="AC764" s="233" t="str">
        <f>VLOOKUP(Table3[[#This Row],[Country Code]],Table29[],10,FALSE)</f>
        <v>no</v>
      </c>
      <c r="AD764" s="235">
        <f>VLOOKUP(Table3[[#This Row],[Country Code]],Table29[],23,FALSE)</f>
        <v>83.704559899686998</v>
      </c>
      <c r="AE764" s="235">
        <f>VLOOKUP(Table3[[#This Row],[Country Code]],Table29[],24,FALSE)</f>
        <v>3.0053836949054058</v>
      </c>
      <c r="AF764" s="43"/>
    </row>
    <row r="765" spans="1:32" ht="60" x14ac:dyDescent="0.25">
      <c r="A765" s="360">
        <v>24791</v>
      </c>
      <c r="B765" s="233" t="str">
        <f>VLOOKUP(Table3[[#This Row],[Document ID]],Table1[],2,FALSE)</f>
        <v>MOZ</v>
      </c>
      <c r="C765" s="233" t="str">
        <f>VLOOKUP(Table3[[#This Row],[Document ID]],Table1[],3,FALSE)</f>
        <v>Mozambique</v>
      </c>
      <c r="D765" s="233" t="str">
        <f>VLOOKUP(Table3[[#This Row],[Document ID]],Table1[],5,FALSE)</f>
        <v>NDC</v>
      </c>
      <c r="E765" s="233" t="str">
        <f>VLOOKUP(Table3[[#This Row],[Document ID]],Table1[],7,FALSE)</f>
        <v>First NDC updated</v>
      </c>
      <c r="F765" s="233" t="str">
        <f>VLOOKUP(Table3[[#This Row],[Document ID]],Table1[],8,FALSE)</f>
        <v>NDC 1.1</v>
      </c>
      <c r="G765" s="233" t="str">
        <f>VLOOKUP(Table3[[#This Row],[Document ID]],Table1[],10,FALSE)</f>
        <v>Active</v>
      </c>
      <c r="H765" s="42" t="s">
        <v>1095</v>
      </c>
      <c r="I765" s="42" t="s">
        <v>1096</v>
      </c>
      <c r="J765" s="42" t="s">
        <v>1097</v>
      </c>
      <c r="K765" s="28" t="s">
        <v>1137</v>
      </c>
      <c r="L765" s="43" t="s">
        <v>1092</v>
      </c>
      <c r="M765" s="209"/>
      <c r="N765" s="209" t="s">
        <v>1878</v>
      </c>
      <c r="O765" s="257">
        <v>77</v>
      </c>
      <c r="P765" s="238" t="str">
        <f>VLOOKUP(_xlfn.CONCAT(Table3[[#This Row],[Target area]],Table3[[#This Row],[GHG target?]],Table3[[#This Row],[Conditionality]]),'Drop down'!$E$81:$F$101,2,FALSE)</f>
        <v>T_Transport_O_C</v>
      </c>
      <c r="Q765" s="239" t="str">
        <f>VLOOKUP(Table3[[#This Row],[Target type]],Table418[[Value name]:[Value idenifyer]],2,FALSE)</f>
        <v>T_O_EFF</v>
      </c>
      <c r="S765" s="233" t="s">
        <v>1101</v>
      </c>
      <c r="T765" s="240"/>
      <c r="V765" s="233" t="str">
        <f>VLOOKUP(Table3[[#This Row],[Country Code]],Table29[],3,FALSE)</f>
        <v>Non-Annex I</v>
      </c>
      <c r="W765" s="233" t="str">
        <f>VLOOKUP(Table3[[#This Row],[Country Code]],Table29[],4,FALSE)</f>
        <v>Africa</v>
      </c>
      <c r="X765" s="233" t="str">
        <f>VLOOKUP(Table3[[#This Row],[Country Code]],Table29[],5,FALSE)</f>
        <v>Low-income</v>
      </c>
      <c r="Y765" s="233" t="str">
        <f>VLOOKUP(Table3[[#This Row],[Country Code]],Table29[],6,FALSE)</f>
        <v>no</v>
      </c>
      <c r="Z765" s="233" t="str">
        <f>VLOOKUP(Table3[[#This Row],[Country Code]],Table29[],7,FALSE)</f>
        <v>no</v>
      </c>
      <c r="AA765" s="233" t="str">
        <f>VLOOKUP(Table3[[#This Row],[Country Code]],Table29[],8,FALSE)</f>
        <v>non-OECD</v>
      </c>
      <c r="AB765" s="233" t="str">
        <f>VLOOKUP(Table3[[#This Row],[Country Code]],Table29[],9,FALSE)</f>
        <v>no</v>
      </c>
      <c r="AC765" s="233" t="str">
        <f>VLOOKUP(Table3[[#This Row],[Country Code]],Table29[],10,FALSE)</f>
        <v>no</v>
      </c>
      <c r="AD765" s="235">
        <f>VLOOKUP(Table3[[#This Row],[Country Code]],Table29[],23,FALSE)</f>
        <v>33.953984042408003</v>
      </c>
      <c r="AE765" s="235">
        <f>VLOOKUP(Table3[[#This Row],[Country Code]],Table29[],24,FALSE)</f>
        <v>3.9936406306970689</v>
      </c>
      <c r="AF765" s="43"/>
    </row>
    <row r="766" spans="1:32" x14ac:dyDescent="0.25">
      <c r="A766" s="360">
        <v>17764</v>
      </c>
      <c r="B766" s="233" t="str">
        <f>VLOOKUP(Table3[[#This Row],[Document ID]],Table1[],2,FALSE)</f>
        <v>TTO</v>
      </c>
      <c r="C766" s="233" t="str">
        <f>VLOOKUP(Table3[[#This Row],[Document ID]],Table1[],3,FALSE)</f>
        <v>Trinidad and Tobago</v>
      </c>
      <c r="D766" s="233" t="str">
        <f>VLOOKUP(Table3[[#This Row],[Document ID]],Table1[],5,FALSE)</f>
        <v>NDC</v>
      </c>
      <c r="E766" s="233" t="str">
        <f>VLOOKUP(Table3[[#This Row],[Document ID]],Table1[],7,FALSE)</f>
        <v>First NDC</v>
      </c>
      <c r="F766" s="233" t="str">
        <f>VLOOKUP(Table3[[#This Row],[Document ID]],Table1[],8,FALSE)</f>
        <v>NDC 1.0</v>
      </c>
      <c r="G766" s="233" t="str">
        <f>VLOOKUP(Table3[[#This Row],[Document ID]],Table1[],10,FALSE)</f>
        <v>Active</v>
      </c>
      <c r="H766" s="216" t="s">
        <v>1089</v>
      </c>
      <c r="I766" s="216" t="s">
        <v>1089</v>
      </c>
      <c r="J766" s="43" t="s">
        <v>1090</v>
      </c>
      <c r="K766" s="28" t="s">
        <v>1091</v>
      </c>
      <c r="L766" s="216" t="s">
        <v>1092</v>
      </c>
      <c r="M766" s="209">
        <v>2030</v>
      </c>
      <c r="N766" s="176" t="s">
        <v>1879</v>
      </c>
      <c r="O766" s="258" t="s">
        <v>1094</v>
      </c>
      <c r="P766" s="238" t="str">
        <f>VLOOKUP(_xlfn.CONCAT(Table3[[#This Row],[Target area]],Table3[[#This Row],[GHG target?]],Table3[[#This Row],[Conditionality]]),'Drop down'!$E$81:$F$101,2,FALSE)</f>
        <v>T_Economy_C</v>
      </c>
      <c r="Q766" s="239" t="str">
        <f>VLOOKUP(Table3[[#This Row],[Target type]],Table418[[Value name]:[Value idenifyer]],2,FALSE)</f>
        <v>T_BAU</v>
      </c>
      <c r="S766" s="233" t="s">
        <v>1112</v>
      </c>
      <c r="V766" s="233" t="str">
        <f>VLOOKUP(Table3[[#This Row],[Country Code]],Table29[],3,FALSE)</f>
        <v>Non-Annex I</v>
      </c>
      <c r="W766" s="233" t="str">
        <f>VLOOKUP(Table3[[#This Row],[Country Code]],Table29[],4,FALSE)</f>
        <v>Latin America and the Caribbean</v>
      </c>
      <c r="X766" s="233" t="str">
        <f>VLOOKUP(Table3[[#This Row],[Country Code]],Table29[],5,FALSE)</f>
        <v>High-income</v>
      </c>
      <c r="Y766" s="233" t="str">
        <f>VLOOKUP(Table3[[#This Row],[Country Code]],Table29[],6,FALSE)</f>
        <v>no</v>
      </c>
      <c r="Z766" s="233" t="str">
        <f>VLOOKUP(Table3[[#This Row],[Country Code]],Table29[],7,FALSE)</f>
        <v>no</v>
      </c>
      <c r="AA766" s="233" t="str">
        <f>VLOOKUP(Table3[[#This Row],[Country Code]],Table29[],8,FALSE)</f>
        <v>non-OECD</v>
      </c>
      <c r="AB766" s="233" t="str">
        <f>VLOOKUP(Table3[[#This Row],[Country Code]],Table29[],9,FALSE)</f>
        <v>no</v>
      </c>
      <c r="AC766" s="233" t="str">
        <f>VLOOKUP(Table3[[#This Row],[Country Code]],Table29[],10,FALSE)</f>
        <v>no</v>
      </c>
      <c r="AD766" s="235">
        <f>VLOOKUP(Table3[[#This Row],[Country Code]],Table29[],23,FALSE)</f>
        <v>34.187024015246998</v>
      </c>
      <c r="AE766" s="235">
        <f>VLOOKUP(Table3[[#This Row],[Country Code]],Table29[],24,FALSE)</f>
        <v>2.548503229596502</v>
      </c>
      <c r="AF766" s="43"/>
    </row>
    <row r="767" spans="1:32" x14ac:dyDescent="0.25">
      <c r="A767" s="360">
        <v>23383</v>
      </c>
      <c r="B767" s="233" t="str">
        <f>VLOOKUP(Table3[[#This Row],[Document ID]],Table1[],2,FALSE)</f>
        <v>TUN</v>
      </c>
      <c r="C767" s="233" t="str">
        <f>VLOOKUP(Table3[[#This Row],[Document ID]],Table1[],3,FALSE)</f>
        <v>Tunisia</v>
      </c>
      <c r="D767" s="233" t="str">
        <f>VLOOKUP(Table3[[#This Row],[Document ID]],Table1[],5,FALSE)</f>
        <v>NDC</v>
      </c>
      <c r="E767" s="233" t="str">
        <f>VLOOKUP(Table3[[#This Row],[Document ID]],Table1[],7,FALSE)</f>
        <v>First NDC updated</v>
      </c>
      <c r="F767" s="233" t="str">
        <f>VLOOKUP(Table3[[#This Row],[Document ID]],Table1[],8,FALSE)</f>
        <v>NDC 1.1</v>
      </c>
      <c r="G767" s="233" t="str">
        <f>VLOOKUP(Table3[[#This Row],[Document ID]],Table1[],10,FALSE)</f>
        <v>Active</v>
      </c>
      <c r="H767" s="216" t="s">
        <v>1089</v>
      </c>
      <c r="I767" s="216" t="s">
        <v>1089</v>
      </c>
      <c r="J767" s="43" t="s">
        <v>1090</v>
      </c>
      <c r="K767" s="28" t="s">
        <v>1153</v>
      </c>
      <c r="L767" s="42" t="s">
        <v>1099</v>
      </c>
      <c r="M767" s="209">
        <v>2030</v>
      </c>
      <c r="N767" s="209" t="s">
        <v>1880</v>
      </c>
      <c r="O767" s="257">
        <v>12</v>
      </c>
      <c r="P767" s="238" t="str">
        <f>VLOOKUP(_xlfn.CONCAT(Table3[[#This Row],[Target area]],Table3[[#This Row],[GHG target?]],Table3[[#This Row],[Conditionality]]),'Drop down'!$E$81:$F$101,2,FALSE)</f>
        <v>T_Economy_Unc</v>
      </c>
      <c r="Q767" s="239" t="str">
        <f>VLOOKUP(Table3[[#This Row],[Target type]],Table418[[Value name]:[Value idenifyer]],2,FALSE)</f>
        <v>T_BYE</v>
      </c>
      <c r="T767" s="234" t="s">
        <v>1113</v>
      </c>
      <c r="U767" s="240"/>
      <c r="V767" s="233" t="str">
        <f>VLOOKUP(Table3[[#This Row],[Country Code]],Table29[],3,FALSE)</f>
        <v>Non-Annex I</v>
      </c>
      <c r="W767" s="233" t="str">
        <f>VLOOKUP(Table3[[#This Row],[Country Code]],Table29[],4,FALSE)</f>
        <v>Africa</v>
      </c>
      <c r="X767" s="233" t="str">
        <f>VLOOKUP(Table3[[#This Row],[Country Code]],Table29[],5,FALSE)</f>
        <v>Middle-income</v>
      </c>
      <c r="Y767" s="233" t="str">
        <f>VLOOKUP(Table3[[#This Row],[Country Code]],Table29[],6,FALSE)</f>
        <v>no</v>
      </c>
      <c r="Z767" s="233" t="str">
        <f>VLOOKUP(Table3[[#This Row],[Country Code]],Table29[],7,FALSE)</f>
        <v>no</v>
      </c>
      <c r="AA767" s="233" t="str">
        <f>VLOOKUP(Table3[[#This Row],[Country Code]],Table29[],8,FALSE)</f>
        <v>non-OECD</v>
      </c>
      <c r="AB767" s="233" t="str">
        <f>VLOOKUP(Table3[[#This Row],[Country Code]],Table29[],9,FALSE)</f>
        <v>no</v>
      </c>
      <c r="AC767" s="233" t="str">
        <f>VLOOKUP(Table3[[#This Row],[Country Code]],Table29[],10,FALSE)</f>
        <v>MENA</v>
      </c>
      <c r="AD767" s="235">
        <f>VLOOKUP(Table3[[#This Row],[Country Code]],Table29[],23,FALSE)</f>
        <v>43.578530969543998</v>
      </c>
      <c r="AE767" s="235">
        <f>VLOOKUP(Table3[[#This Row],[Country Code]],Table29[],24,FALSE)</f>
        <v>8.2824682143968626</v>
      </c>
      <c r="AF767" s="43"/>
    </row>
    <row r="768" spans="1:32" ht="30" x14ac:dyDescent="0.25">
      <c r="A768" s="360">
        <v>23383</v>
      </c>
      <c r="B768" s="233" t="str">
        <f>VLOOKUP(Table3[[#This Row],[Document ID]],Table1[],2,FALSE)</f>
        <v>TUN</v>
      </c>
      <c r="C768" s="233" t="str">
        <f>VLOOKUP(Table3[[#This Row],[Document ID]],Table1[],3,FALSE)</f>
        <v>Tunisia</v>
      </c>
      <c r="D768" s="233" t="str">
        <f>VLOOKUP(Table3[[#This Row],[Document ID]],Table1[],5,FALSE)</f>
        <v>NDC</v>
      </c>
      <c r="E768" s="233" t="str">
        <f>VLOOKUP(Table3[[#This Row],[Document ID]],Table1[],7,FALSE)</f>
        <v>First NDC updated</v>
      </c>
      <c r="F768" s="233" t="str">
        <f>VLOOKUP(Table3[[#This Row],[Document ID]],Table1[],8,FALSE)</f>
        <v>NDC 1.1</v>
      </c>
      <c r="G768" s="233" t="str">
        <f>VLOOKUP(Table3[[#This Row],[Document ID]],Table1[],10,FALSE)</f>
        <v>Active</v>
      </c>
      <c r="H768" s="216" t="s">
        <v>1089</v>
      </c>
      <c r="I768" s="216" t="s">
        <v>1089</v>
      </c>
      <c r="J768" s="43" t="s">
        <v>1090</v>
      </c>
      <c r="K768" s="28" t="s">
        <v>1153</v>
      </c>
      <c r="L768" s="216" t="s">
        <v>1092</v>
      </c>
      <c r="M768" s="209">
        <v>2030</v>
      </c>
      <c r="N768" s="209" t="s">
        <v>1881</v>
      </c>
      <c r="O768" s="257">
        <v>12</v>
      </c>
      <c r="P768" s="238" t="str">
        <f>VLOOKUP(_xlfn.CONCAT(Table3[[#This Row],[Target area]],Table3[[#This Row],[GHG target?]],Table3[[#This Row],[Conditionality]]),'Drop down'!$E$81:$F$101,2,FALSE)</f>
        <v>T_Economy_C</v>
      </c>
      <c r="Q768" s="239" t="str">
        <f>VLOOKUP(Table3[[#This Row],[Target type]],Table418[[Value name]:[Value idenifyer]],2,FALSE)</f>
        <v>T_BYE</v>
      </c>
      <c r="T768" s="234" t="s">
        <v>1113</v>
      </c>
      <c r="U768" s="240"/>
      <c r="V768" s="233" t="str">
        <f>VLOOKUP(Table3[[#This Row],[Country Code]],Table29[],3,FALSE)</f>
        <v>Non-Annex I</v>
      </c>
      <c r="W768" s="233" t="str">
        <f>VLOOKUP(Table3[[#This Row],[Country Code]],Table29[],4,FALSE)</f>
        <v>Africa</v>
      </c>
      <c r="X768" s="233" t="str">
        <f>VLOOKUP(Table3[[#This Row],[Country Code]],Table29[],5,FALSE)</f>
        <v>Middle-income</v>
      </c>
      <c r="Y768" s="233" t="str">
        <f>VLOOKUP(Table3[[#This Row],[Country Code]],Table29[],6,FALSE)</f>
        <v>no</v>
      </c>
      <c r="Z768" s="233" t="str">
        <f>VLOOKUP(Table3[[#This Row],[Country Code]],Table29[],7,FALSE)</f>
        <v>no</v>
      </c>
      <c r="AA768" s="233" t="str">
        <f>VLOOKUP(Table3[[#This Row],[Country Code]],Table29[],8,FALSE)</f>
        <v>non-OECD</v>
      </c>
      <c r="AB768" s="233" t="str">
        <f>VLOOKUP(Table3[[#This Row],[Country Code]],Table29[],9,FALSE)</f>
        <v>no</v>
      </c>
      <c r="AC768" s="233" t="str">
        <f>VLOOKUP(Table3[[#This Row],[Country Code]],Table29[],10,FALSE)</f>
        <v>MENA</v>
      </c>
      <c r="AD768" s="235">
        <f>VLOOKUP(Table3[[#This Row],[Country Code]],Table29[],23,FALSE)</f>
        <v>43.578530969543998</v>
      </c>
      <c r="AE768" s="235">
        <f>VLOOKUP(Table3[[#This Row],[Country Code]],Table29[],24,FALSE)</f>
        <v>8.2824682143968626</v>
      </c>
      <c r="AF768" s="43"/>
    </row>
    <row r="769" spans="1:32" ht="30" x14ac:dyDescent="0.25">
      <c r="A769" s="360">
        <v>17765</v>
      </c>
      <c r="B769" s="233" t="str">
        <f>VLOOKUP(Table3[[#This Row],[Document ID]],Table1[],2,FALSE)</f>
        <v>TUN</v>
      </c>
      <c r="C769" s="233" t="str">
        <f>VLOOKUP(Table3[[#This Row],[Document ID]],Table1[],3,FALSE)</f>
        <v>Tunisia</v>
      </c>
      <c r="D769" s="233" t="str">
        <f>VLOOKUP(Table3[[#This Row],[Document ID]],Table1[],5,FALSE)</f>
        <v>NDC</v>
      </c>
      <c r="E769" s="233" t="str">
        <f>VLOOKUP(Table3[[#This Row],[Document ID]],Table1[],7,FALSE)</f>
        <v>First NDC</v>
      </c>
      <c r="F769" s="233" t="str">
        <f>VLOOKUP(Table3[[#This Row],[Document ID]],Table1[],8,FALSE)</f>
        <v>NDC 1.0</v>
      </c>
      <c r="G769" s="233" t="str">
        <f>VLOOKUP(Table3[[#This Row],[Document ID]],Table1[],10,FALSE)</f>
        <v>Archived</v>
      </c>
      <c r="H769" s="216" t="s">
        <v>1089</v>
      </c>
      <c r="I769" s="216" t="s">
        <v>1089</v>
      </c>
      <c r="J769" s="43" t="s">
        <v>1090</v>
      </c>
      <c r="K769" s="28" t="s">
        <v>1153</v>
      </c>
      <c r="L769" s="42" t="s">
        <v>1099</v>
      </c>
      <c r="M769" s="209"/>
      <c r="N769" s="176" t="s">
        <v>1882</v>
      </c>
      <c r="O769" s="258" t="s">
        <v>1094</v>
      </c>
      <c r="P769" s="238" t="str">
        <f>VLOOKUP(_xlfn.CONCAT(Table3[[#This Row],[Target area]],Table3[[#This Row],[GHG target?]],Table3[[#This Row],[Conditionality]]),'Drop down'!$E$81:$F$101,2,FALSE)</f>
        <v>T_Economy_Unc</v>
      </c>
      <c r="Q769" s="239" t="str">
        <f>VLOOKUP(Table3[[#This Row],[Target type]],Table418[[Value name]:[Value idenifyer]],2,FALSE)</f>
        <v>T_BYE</v>
      </c>
      <c r="T769" s="234" t="s">
        <v>1113</v>
      </c>
      <c r="U769" s="240"/>
      <c r="V769" s="233" t="str">
        <f>VLOOKUP(Table3[[#This Row],[Country Code]],Table29[],3,FALSE)</f>
        <v>Non-Annex I</v>
      </c>
      <c r="W769" s="233" t="str">
        <f>VLOOKUP(Table3[[#This Row],[Country Code]],Table29[],4,FALSE)</f>
        <v>Africa</v>
      </c>
      <c r="X769" s="233" t="str">
        <f>VLOOKUP(Table3[[#This Row],[Country Code]],Table29[],5,FALSE)</f>
        <v>Middle-income</v>
      </c>
      <c r="Y769" s="233" t="str">
        <f>VLOOKUP(Table3[[#This Row],[Country Code]],Table29[],6,FALSE)</f>
        <v>no</v>
      </c>
      <c r="Z769" s="233" t="str">
        <f>VLOOKUP(Table3[[#This Row],[Country Code]],Table29[],7,FALSE)</f>
        <v>no</v>
      </c>
      <c r="AA769" s="233" t="str">
        <f>VLOOKUP(Table3[[#This Row],[Country Code]],Table29[],8,FALSE)</f>
        <v>non-OECD</v>
      </c>
      <c r="AB769" s="233" t="str">
        <f>VLOOKUP(Table3[[#This Row],[Country Code]],Table29[],9,FALSE)</f>
        <v>no</v>
      </c>
      <c r="AC769" s="233" t="str">
        <f>VLOOKUP(Table3[[#This Row],[Country Code]],Table29[],10,FALSE)</f>
        <v>MENA</v>
      </c>
      <c r="AD769" s="235">
        <f>VLOOKUP(Table3[[#This Row],[Country Code]],Table29[],23,FALSE)</f>
        <v>43.578530969543998</v>
      </c>
      <c r="AE769" s="235">
        <f>VLOOKUP(Table3[[#This Row],[Country Code]],Table29[],24,FALSE)</f>
        <v>8.2824682143968626</v>
      </c>
      <c r="AF769" s="43"/>
    </row>
    <row r="770" spans="1:32" ht="30" x14ac:dyDescent="0.25">
      <c r="A770" s="360">
        <v>17765</v>
      </c>
      <c r="B770" s="233" t="str">
        <f>VLOOKUP(Table3[[#This Row],[Document ID]],Table1[],2,FALSE)</f>
        <v>TUN</v>
      </c>
      <c r="C770" s="233" t="str">
        <f>VLOOKUP(Table3[[#This Row],[Document ID]],Table1[],3,FALSE)</f>
        <v>Tunisia</v>
      </c>
      <c r="D770" s="233" t="str">
        <f>VLOOKUP(Table3[[#This Row],[Document ID]],Table1[],5,FALSE)</f>
        <v>NDC</v>
      </c>
      <c r="E770" s="233" t="str">
        <f>VLOOKUP(Table3[[#This Row],[Document ID]],Table1[],7,FALSE)</f>
        <v>First NDC</v>
      </c>
      <c r="F770" s="233" t="str">
        <f>VLOOKUP(Table3[[#This Row],[Document ID]],Table1[],8,FALSE)</f>
        <v>NDC 1.0</v>
      </c>
      <c r="G770" s="233" t="str">
        <f>VLOOKUP(Table3[[#This Row],[Document ID]],Table1[],10,FALSE)</f>
        <v>Archived</v>
      </c>
      <c r="H770" s="216" t="s">
        <v>1089</v>
      </c>
      <c r="I770" s="216" t="s">
        <v>1089</v>
      </c>
      <c r="J770" s="43" t="s">
        <v>1090</v>
      </c>
      <c r="K770" s="28" t="s">
        <v>1153</v>
      </c>
      <c r="L770" s="216" t="s">
        <v>1092</v>
      </c>
      <c r="M770" s="209">
        <v>2030</v>
      </c>
      <c r="N770" s="176" t="s">
        <v>1883</v>
      </c>
      <c r="O770" s="258" t="s">
        <v>1094</v>
      </c>
      <c r="P770" s="238" t="str">
        <f>VLOOKUP(_xlfn.CONCAT(Table3[[#This Row],[Target area]],Table3[[#This Row],[GHG target?]],Table3[[#This Row],[Conditionality]]),'Drop down'!$E$81:$F$101,2,FALSE)</f>
        <v>T_Economy_C</v>
      </c>
      <c r="Q770" s="239" t="str">
        <f>VLOOKUP(Table3[[#This Row],[Target type]],Table418[[Value name]:[Value idenifyer]],2,FALSE)</f>
        <v>T_BYE</v>
      </c>
      <c r="T770" s="234" t="s">
        <v>1113</v>
      </c>
      <c r="U770" s="240"/>
      <c r="V770" s="233" t="str">
        <f>VLOOKUP(Table3[[#This Row],[Country Code]],Table29[],3,FALSE)</f>
        <v>Non-Annex I</v>
      </c>
      <c r="W770" s="233" t="str">
        <f>VLOOKUP(Table3[[#This Row],[Country Code]],Table29[],4,FALSE)</f>
        <v>Africa</v>
      </c>
      <c r="X770" s="233" t="str">
        <f>VLOOKUP(Table3[[#This Row],[Country Code]],Table29[],5,FALSE)</f>
        <v>Middle-income</v>
      </c>
      <c r="Y770" s="233" t="str">
        <f>VLOOKUP(Table3[[#This Row],[Country Code]],Table29[],6,FALSE)</f>
        <v>no</v>
      </c>
      <c r="Z770" s="233" t="str">
        <f>VLOOKUP(Table3[[#This Row],[Country Code]],Table29[],7,FALSE)</f>
        <v>no</v>
      </c>
      <c r="AA770" s="233" t="str">
        <f>VLOOKUP(Table3[[#This Row],[Country Code]],Table29[],8,FALSE)</f>
        <v>non-OECD</v>
      </c>
      <c r="AB770" s="233" t="str">
        <f>VLOOKUP(Table3[[#This Row],[Country Code]],Table29[],9,FALSE)</f>
        <v>no</v>
      </c>
      <c r="AC770" s="233" t="str">
        <f>VLOOKUP(Table3[[#This Row],[Country Code]],Table29[],10,FALSE)</f>
        <v>MENA</v>
      </c>
      <c r="AD770" s="235">
        <f>VLOOKUP(Table3[[#This Row],[Country Code]],Table29[],23,FALSE)</f>
        <v>43.578530969543998</v>
      </c>
      <c r="AE770" s="235">
        <f>VLOOKUP(Table3[[#This Row],[Country Code]],Table29[],24,FALSE)</f>
        <v>8.2824682143968626</v>
      </c>
      <c r="AF770" s="43"/>
    </row>
    <row r="771" spans="1:32" x14ac:dyDescent="0.25">
      <c r="A771" s="368">
        <v>32521</v>
      </c>
      <c r="B771" s="233" t="str">
        <f>VLOOKUP(Table3[[#This Row],[Document ID]],Table1[],2,FALSE)</f>
        <v>TUN</v>
      </c>
      <c r="C771" s="233" t="str">
        <f>VLOOKUP(Table3[[#This Row],[Document ID]],Table1[],3,FALSE)</f>
        <v>Tunisia</v>
      </c>
      <c r="D771" s="233" t="str">
        <f>VLOOKUP(Table3[[#This Row],[Document ID]],Table1[],5,FALSE)</f>
        <v>LTS</v>
      </c>
      <c r="E771" s="233" t="str">
        <f>VLOOKUP(Table3[[#This Row],[Document ID]],Table1[],7,FALSE)</f>
        <v>LTS</v>
      </c>
      <c r="F771" s="241" t="str">
        <f>VLOOKUP(Table3[[#This Row],[Document ID]],Table1[],8,FALSE)</f>
        <v>LTS 1.0</v>
      </c>
      <c r="G771" s="233" t="str">
        <f>VLOOKUP(Table3[[#This Row],[Document ID]],Table1[],10,FALSE)</f>
        <v>Active</v>
      </c>
      <c r="H771" s="216" t="s">
        <v>1089</v>
      </c>
      <c r="I771" s="216" t="s">
        <v>1089</v>
      </c>
      <c r="J771" s="43" t="s">
        <v>1090</v>
      </c>
      <c r="K771" s="28" t="s">
        <v>1121</v>
      </c>
      <c r="L771" s="42" t="s">
        <v>1099</v>
      </c>
      <c r="M771" s="209">
        <v>2050</v>
      </c>
      <c r="N771" s="209" t="s">
        <v>1884</v>
      </c>
      <c r="O771" s="258">
        <v>47</v>
      </c>
      <c r="P771" s="238" t="str">
        <f>VLOOKUP(_xlfn.CONCAT(Table3[[#This Row],[Target area]],Table3[[#This Row],[GHG target?]],Table3[[#This Row],[Conditionality]]),'Drop down'!$E$81:$F$101,2,FALSE)</f>
        <v>T_Economy_Unc</v>
      </c>
      <c r="Q771" s="239" t="str">
        <f>VLOOKUP(Table3[[#This Row],[Target type]],Table418[[Value name]:[Value idenifyer]],2,FALSE)</f>
        <v>T_FL</v>
      </c>
      <c r="T771" s="234" t="s">
        <v>1113</v>
      </c>
      <c r="U771" s="240"/>
      <c r="V771" s="233" t="str">
        <f>VLOOKUP(Table3[[#This Row],[Country Code]],Table29[],3,FALSE)</f>
        <v>Non-Annex I</v>
      </c>
      <c r="W771" s="233" t="str">
        <f>VLOOKUP(Table3[[#This Row],[Country Code]],Table29[],4,FALSE)</f>
        <v>Africa</v>
      </c>
      <c r="X771" s="233" t="str">
        <f>VLOOKUP(Table3[[#This Row],[Country Code]],Table29[],5,FALSE)</f>
        <v>Middle-income</v>
      </c>
      <c r="Y771" s="233" t="str">
        <f>VLOOKUP(Table3[[#This Row],[Country Code]],Table29[],6,FALSE)</f>
        <v>no</v>
      </c>
      <c r="Z771" s="233" t="str">
        <f>VLOOKUP(Table3[[#This Row],[Country Code]],Table29[],7,FALSE)</f>
        <v>no</v>
      </c>
      <c r="AA771" s="233" t="str">
        <f>VLOOKUP(Table3[[#This Row],[Country Code]],Table29[],8,FALSE)</f>
        <v>non-OECD</v>
      </c>
      <c r="AB771" s="233" t="str">
        <f>VLOOKUP(Table3[[#This Row],[Country Code]],Table29[],9,FALSE)</f>
        <v>no</v>
      </c>
      <c r="AC771" s="233" t="str">
        <f>VLOOKUP(Table3[[#This Row],[Country Code]],Table29[],10,FALSE)</f>
        <v>MENA</v>
      </c>
      <c r="AD771" s="235">
        <f>VLOOKUP(Table3[[#This Row],[Country Code]],Table29[],23,FALSE)</f>
        <v>43.578530969543998</v>
      </c>
      <c r="AE771" s="235">
        <f>VLOOKUP(Table3[[#This Row],[Country Code]],Table29[],24,FALSE)</f>
        <v>8.2824682143968626</v>
      </c>
      <c r="AF771" s="43"/>
    </row>
    <row r="772" spans="1:32" ht="90" x14ac:dyDescent="0.25">
      <c r="A772" s="360">
        <v>41999</v>
      </c>
      <c r="B772" s="233" t="str">
        <f>VLOOKUP(Table3[[#This Row],[Document ID]],Table1[],2,FALSE)</f>
        <v>GUY</v>
      </c>
      <c r="C772" s="233" t="str">
        <f>VLOOKUP(Table3[[#This Row],[Document ID]],Table1[],3,FALSE)</f>
        <v>Guyana</v>
      </c>
      <c r="D772" s="233" t="str">
        <f>VLOOKUP(Table3[[#This Row],[Document ID]],Table1[],5,FALSE)</f>
        <v>Other</v>
      </c>
      <c r="E772" s="233" t="str">
        <f>VLOOKUP(Table3[[#This Row],[Document ID]],Table1[],7,FALSE)</f>
        <v>WRI Net Zero Tracker</v>
      </c>
      <c r="F772" s="233" t="str">
        <f>VLOOKUP(Table3[[#This Row],[Document ID]],Table1[],8,FALSE)</f>
        <v>NA</v>
      </c>
      <c r="G772" s="233" t="str">
        <f>VLOOKUP(Table3[[#This Row],[Document ID]],Table1[],10,FALSE)</f>
        <v>Active</v>
      </c>
      <c r="H772" s="43" t="s">
        <v>1147</v>
      </c>
      <c r="I772" s="43" t="s">
        <v>1089</v>
      </c>
      <c r="J772" s="43" t="s">
        <v>1090</v>
      </c>
      <c r="K772" s="28" t="s">
        <v>1121</v>
      </c>
      <c r="L772" s="43" t="s">
        <v>1116</v>
      </c>
      <c r="M772" s="209" t="s">
        <v>1885</v>
      </c>
      <c r="N772" s="44" t="s">
        <v>1886</v>
      </c>
      <c r="O772" s="258"/>
      <c r="P772" s="238" t="str">
        <f>VLOOKUP(_xlfn.CONCAT(Table3[[#This Row],[Target area]],Table3[[#This Row],[GHG target?]],Table3[[#This Row],[Conditionality]]),'Drop down'!$E$81:$F$101,2,FALSE)</f>
        <v>T_Netzero</v>
      </c>
      <c r="Q772" s="239" t="str">
        <f>VLOOKUP(Table3[[#This Row],[Target type]],Table418[[Value name]:[Value idenifyer]],2,FALSE)</f>
        <v>T_FL</v>
      </c>
      <c r="V772" s="233" t="str">
        <f>VLOOKUP(Table3[[#This Row],[Country Code]],Table29[],3,FALSE)</f>
        <v>Non-Annex I</v>
      </c>
      <c r="W772" s="233" t="str">
        <f>VLOOKUP(Table3[[#This Row],[Country Code]],Table29[],4,FALSE)</f>
        <v>Latin America and the Caribbean</v>
      </c>
      <c r="X772" s="233" t="str">
        <f>VLOOKUP(Table3[[#This Row],[Country Code]],Table29[],5,FALSE)</f>
        <v>Middle-income</v>
      </c>
      <c r="Y772" s="233" t="str">
        <f>VLOOKUP(Table3[[#This Row],[Country Code]],Table29[],6,FALSE)</f>
        <v>no</v>
      </c>
      <c r="Z772" s="233" t="str">
        <f>VLOOKUP(Table3[[#This Row],[Country Code]],Table29[],7,FALSE)</f>
        <v>no</v>
      </c>
      <c r="AA772" s="233" t="str">
        <f>VLOOKUP(Table3[[#This Row],[Country Code]],Table29[],8,FALSE)</f>
        <v>non-OECD</v>
      </c>
      <c r="AB772" s="233" t="str">
        <f>VLOOKUP(Table3[[#This Row],[Country Code]],Table29[],9,FALSE)</f>
        <v>no</v>
      </c>
      <c r="AC772" s="233" t="str">
        <f>VLOOKUP(Table3[[#This Row],[Country Code]],Table29[],10,FALSE)</f>
        <v>no</v>
      </c>
      <c r="AD772" s="235">
        <f>VLOOKUP(Table3[[#This Row],[Country Code]],Table29[],23,FALSE)</f>
        <v>8.1909886010150004</v>
      </c>
      <c r="AE772" s="235">
        <f>VLOOKUP(Table3[[#This Row],[Country Code]],Table29[],24,FALSE)</f>
        <v>1.0576736759870471</v>
      </c>
      <c r="AF772" s="43"/>
    </row>
    <row r="773" spans="1:32" x14ac:dyDescent="0.25">
      <c r="A773" s="360">
        <v>17766</v>
      </c>
      <c r="B773" s="233" t="str">
        <f>VLOOKUP(Table3[[#This Row],[Document ID]],Table1[],2,FALSE)</f>
        <v>TUR</v>
      </c>
      <c r="C773" s="233" t="str">
        <f>VLOOKUP(Table3[[#This Row],[Document ID]],Table1[],3,FALSE)</f>
        <v>Türkiye</v>
      </c>
      <c r="D773" s="233" t="str">
        <f>VLOOKUP(Table3[[#This Row],[Document ID]],Table1[],5,FALSE)</f>
        <v>NDC</v>
      </c>
      <c r="E773" s="233" t="str">
        <f>VLOOKUP(Table3[[#This Row],[Document ID]],Table1[],7,FALSE)</f>
        <v>First NDC</v>
      </c>
      <c r="F773" s="233" t="str">
        <f>VLOOKUP(Table3[[#This Row],[Document ID]],Table1[],8,FALSE)</f>
        <v>NDC 1.0</v>
      </c>
      <c r="G773" s="233" t="str">
        <f>VLOOKUP(Table3[[#This Row],[Document ID]],Table1[],10,FALSE)</f>
        <v>Archived</v>
      </c>
      <c r="H773" s="216" t="s">
        <v>1089</v>
      </c>
      <c r="I773" s="216" t="s">
        <v>1089</v>
      </c>
      <c r="J773" s="43" t="s">
        <v>1090</v>
      </c>
      <c r="K773" s="28" t="s">
        <v>1091</v>
      </c>
      <c r="L773" s="42" t="s">
        <v>1099</v>
      </c>
      <c r="M773" s="209">
        <v>2030</v>
      </c>
      <c r="N773" s="176" t="s">
        <v>1887</v>
      </c>
      <c r="O773" s="258" t="s">
        <v>1094</v>
      </c>
      <c r="P773" s="238" t="str">
        <f>VLOOKUP(_xlfn.CONCAT(Table3[[#This Row],[Target area]],Table3[[#This Row],[GHG target?]],Table3[[#This Row],[Conditionality]]),'Drop down'!$E$81:$F$101,2,FALSE)</f>
        <v>T_Economy_Unc</v>
      </c>
      <c r="Q773" s="239" t="str">
        <f>VLOOKUP(Table3[[#This Row],[Target type]],Table418[[Value name]:[Value idenifyer]],2,FALSE)</f>
        <v>T_BAU</v>
      </c>
      <c r="T773" s="234" t="s">
        <v>1113</v>
      </c>
      <c r="U773" s="240"/>
      <c r="V773" s="233" t="str">
        <f>VLOOKUP(Table3[[#This Row],[Country Code]],Table29[],3,FALSE)</f>
        <v>Annex I</v>
      </c>
      <c r="W773" s="233" t="str">
        <f>VLOOKUP(Table3[[#This Row],[Country Code]],Table29[],4,FALSE)</f>
        <v>Asia</v>
      </c>
      <c r="X773" s="233" t="str">
        <f>VLOOKUP(Table3[[#This Row],[Country Code]],Table29[],5,FALSE)</f>
        <v>Middle-income</v>
      </c>
      <c r="Y773" s="233" t="str">
        <f>VLOOKUP(Table3[[#This Row],[Country Code]],Table29[],6,FALSE)</f>
        <v>G20</v>
      </c>
      <c r="Z773" s="233" t="str">
        <f>VLOOKUP(Table3[[#This Row],[Country Code]],Table29[],7,FALSE)</f>
        <v>no</v>
      </c>
      <c r="AA773" s="233" t="str">
        <f>VLOOKUP(Table3[[#This Row],[Country Code]],Table29[],8,FALSE)</f>
        <v>OECD</v>
      </c>
      <c r="AB773" s="233" t="str">
        <f>VLOOKUP(Table3[[#This Row],[Country Code]],Table29[],9,FALSE)</f>
        <v>no</v>
      </c>
      <c r="AC773" s="233" t="str">
        <f>VLOOKUP(Table3[[#This Row],[Country Code]],Table29[],10,FALSE)</f>
        <v>no</v>
      </c>
      <c r="AD773" s="235">
        <f>VLOOKUP(Table3[[#This Row],[Country Code]],Table29[],23,FALSE)</f>
        <v>606.42985584790995</v>
      </c>
      <c r="AE773" s="235">
        <f>VLOOKUP(Table3[[#This Row],[Country Code]],Table29[],24,FALSE)</f>
        <v>95.92080354160332</v>
      </c>
      <c r="AF773" s="43"/>
    </row>
    <row r="774" spans="1:32" x14ac:dyDescent="0.25">
      <c r="A774" s="360">
        <v>42000</v>
      </c>
      <c r="B774" s="233" t="str">
        <f>VLOOKUP(Table3[[#This Row],[Document ID]],Table1[],2,FALSE)</f>
        <v>IRQ</v>
      </c>
      <c r="C774" s="233" t="str">
        <f>VLOOKUP(Table3[[#This Row],[Document ID]],Table1[],3,FALSE)</f>
        <v>Iraq</v>
      </c>
      <c r="D774" s="233" t="str">
        <f>VLOOKUP(Table3[[#This Row],[Document ID]],Table1[],5,FALSE)</f>
        <v>NDC</v>
      </c>
      <c r="E774" s="233" t="str">
        <f>VLOOKUP(Table3[[#This Row],[Document ID]],Table1[],7,FALSE)</f>
        <v>First NDC</v>
      </c>
      <c r="F774" s="233" t="str">
        <f>VLOOKUP(Table3[[#This Row],[Document ID]],Table1[],8,FALSE)</f>
        <v>NDC 1.0</v>
      </c>
      <c r="G774" s="233" t="str">
        <f>VLOOKUP(Table3[[#This Row],[Document ID]],Table1[],10,FALSE)</f>
        <v>Archived</v>
      </c>
      <c r="H774" s="216" t="s">
        <v>1089</v>
      </c>
      <c r="I774" s="216" t="s">
        <v>1089</v>
      </c>
      <c r="J774" s="43" t="s">
        <v>1090</v>
      </c>
      <c r="K774" s="28" t="s">
        <v>1091</v>
      </c>
      <c r="L774" s="42" t="s">
        <v>1099</v>
      </c>
      <c r="M774" s="209">
        <v>2035</v>
      </c>
      <c r="N774" s="176" t="s">
        <v>1888</v>
      </c>
      <c r="O774" s="258" t="s">
        <v>1094</v>
      </c>
      <c r="P774" s="238" t="str">
        <f>VLOOKUP(_xlfn.CONCAT(Table3[[#This Row],[Target area]],Table3[[#This Row],[GHG target?]],Table3[[#This Row],[Conditionality]]),'Drop down'!$E$81:$F$101,2,FALSE)</f>
        <v>T_Economy_Unc</v>
      </c>
      <c r="Q774" s="239" t="str">
        <f>VLOOKUP(Table3[[#This Row],[Target type]],Table418[[Value name]:[Value idenifyer]],2,FALSE)</f>
        <v>T_BAU</v>
      </c>
      <c r="V774" s="233" t="str">
        <f>VLOOKUP(Table3[[#This Row],[Country Code]],Table29[],3,FALSE)</f>
        <v>Non-Annex I</v>
      </c>
      <c r="W774" s="233" t="str">
        <f>VLOOKUP(Table3[[#This Row],[Country Code]],Table29[],4,FALSE)</f>
        <v>Asia</v>
      </c>
      <c r="X774" s="233" t="str">
        <f>VLOOKUP(Table3[[#This Row],[Country Code]],Table29[],5,FALSE)</f>
        <v>Middle-income</v>
      </c>
      <c r="Y774" s="233" t="str">
        <f>VLOOKUP(Table3[[#This Row],[Country Code]],Table29[],6,FALSE)</f>
        <v>no</v>
      </c>
      <c r="Z774" s="233" t="str">
        <f>VLOOKUP(Table3[[#This Row],[Country Code]],Table29[],7,FALSE)</f>
        <v>no</v>
      </c>
      <c r="AA774" s="233" t="str">
        <f>VLOOKUP(Table3[[#This Row],[Country Code]],Table29[],8,FALSE)</f>
        <v>non-OECD</v>
      </c>
      <c r="AB774" s="233" t="str">
        <f>VLOOKUP(Table3[[#This Row],[Country Code]],Table29[],9,FALSE)</f>
        <v>no</v>
      </c>
      <c r="AC774" s="233" t="str">
        <f>VLOOKUP(Table3[[#This Row],[Country Code]],Table29[],10,FALSE)</f>
        <v>MENA</v>
      </c>
      <c r="AD774" s="235">
        <f>VLOOKUP(Table3[[#This Row],[Country Code]],Table29[],23,FALSE)</f>
        <v>362.78479656291</v>
      </c>
      <c r="AE774" s="235">
        <f>VLOOKUP(Table3[[#This Row],[Country Code]],Table29[],24,FALSE)</f>
        <v>40.534963091292582</v>
      </c>
      <c r="AF774" s="43"/>
    </row>
    <row r="775" spans="1:32" x14ac:dyDescent="0.25">
      <c r="A775" s="360">
        <v>17767</v>
      </c>
      <c r="B775" s="233" t="str">
        <f>VLOOKUP(Table3[[#This Row],[Document ID]],Table1[],2,FALSE)</f>
        <v>TKM</v>
      </c>
      <c r="C775" s="233" t="str">
        <f>VLOOKUP(Table3[[#This Row],[Document ID]],Table1[],3,FALSE)</f>
        <v>Turkmenistan</v>
      </c>
      <c r="D775" s="233" t="str">
        <f>VLOOKUP(Table3[[#This Row],[Document ID]],Table1[],5,FALSE)</f>
        <v>NDC</v>
      </c>
      <c r="E775" s="233" t="str">
        <f>VLOOKUP(Table3[[#This Row],[Document ID]],Table1[],7,FALSE)</f>
        <v>First NDC</v>
      </c>
      <c r="F775" s="233" t="str">
        <f>VLOOKUP(Table3[[#This Row],[Document ID]],Table1[],8,FALSE)</f>
        <v>NDC 1.0</v>
      </c>
      <c r="G775" s="233" t="str">
        <f>VLOOKUP(Table3[[#This Row],[Document ID]],Table1[],10,FALSE)</f>
        <v>Archived</v>
      </c>
      <c r="H775" s="216" t="s">
        <v>1089</v>
      </c>
      <c r="I775" s="216" t="s">
        <v>1089</v>
      </c>
      <c r="J775" s="43" t="s">
        <v>1090</v>
      </c>
      <c r="K775" s="28" t="s">
        <v>1121</v>
      </c>
      <c r="L775" s="216" t="s">
        <v>1092</v>
      </c>
      <c r="M775" s="209">
        <v>2030</v>
      </c>
      <c r="N775" s="176" t="s">
        <v>1889</v>
      </c>
      <c r="O775" s="258" t="s">
        <v>1094</v>
      </c>
      <c r="P775" s="238" t="str">
        <f>VLOOKUP(_xlfn.CONCAT(Table3[[#This Row],[Target area]],Table3[[#This Row],[GHG target?]],Table3[[#This Row],[Conditionality]]),'Drop down'!$E$81:$F$101,2,FALSE)</f>
        <v>T_Economy_C</v>
      </c>
      <c r="Q775" s="239" t="str">
        <f>VLOOKUP(Table3[[#This Row],[Target type]],Table418[[Value name]:[Value idenifyer]],2,FALSE)</f>
        <v>T_FL</v>
      </c>
      <c r="V775" s="233" t="str">
        <f>VLOOKUP(Table3[[#This Row],[Country Code]],Table29[],3,FALSE)</f>
        <v>Non-Annex I</v>
      </c>
      <c r="W775" s="233" t="str">
        <f>VLOOKUP(Table3[[#This Row],[Country Code]],Table29[],4,FALSE)</f>
        <v>Asia</v>
      </c>
      <c r="X775" s="233" t="str">
        <f>VLOOKUP(Table3[[#This Row],[Country Code]],Table29[],5,FALSE)</f>
        <v>Middle-income</v>
      </c>
      <c r="Y775" s="233" t="str">
        <f>VLOOKUP(Table3[[#This Row],[Country Code]],Table29[],6,FALSE)</f>
        <v>no</v>
      </c>
      <c r="Z775" s="233" t="str">
        <f>VLOOKUP(Table3[[#This Row],[Country Code]],Table29[],7,FALSE)</f>
        <v>no</v>
      </c>
      <c r="AA775" s="233" t="str">
        <f>VLOOKUP(Table3[[#This Row],[Country Code]],Table29[],8,FALSE)</f>
        <v>non-OECD</v>
      </c>
      <c r="AB775" s="233" t="str">
        <f>VLOOKUP(Table3[[#This Row],[Country Code]],Table29[],9,FALSE)</f>
        <v>no</v>
      </c>
      <c r="AC775" s="233" t="str">
        <f>VLOOKUP(Table3[[#This Row],[Country Code]],Table29[],10,FALSE)</f>
        <v>no</v>
      </c>
      <c r="AD775" s="235">
        <f>VLOOKUP(Table3[[#This Row],[Country Code]],Table29[],23,FALSE)</f>
        <v>98.794119828660001</v>
      </c>
      <c r="AE775" s="235">
        <f>VLOOKUP(Table3[[#This Row],[Country Code]],Table29[],24,FALSE)</f>
        <v>12.185378724618079</v>
      </c>
      <c r="AF775" s="43"/>
    </row>
    <row r="776" spans="1:32" ht="30" x14ac:dyDescent="0.25">
      <c r="A776" s="360">
        <v>32522</v>
      </c>
      <c r="B776" s="233" t="str">
        <f>VLOOKUP(Table3[[#This Row],[Document ID]],Table1[],2,FALSE)</f>
        <v>TKM</v>
      </c>
      <c r="C776" s="233" t="str">
        <f>VLOOKUP(Table3[[#This Row],[Document ID]],Table1[],3,FALSE)</f>
        <v>Turkmenistan</v>
      </c>
      <c r="D776" s="233" t="str">
        <f>VLOOKUP(Table3[[#This Row],[Document ID]],Table1[],5,FALSE)</f>
        <v>NDC</v>
      </c>
      <c r="E776" s="233" t="str">
        <f>VLOOKUP(Table3[[#This Row],[Document ID]],Table1[],7,FALSE)</f>
        <v>First NDC updated</v>
      </c>
      <c r="F776" s="253" t="str">
        <f>VLOOKUP(Table3[[#This Row],[Document ID]],Table1[],8,FALSE)</f>
        <v>NDC 1.1</v>
      </c>
      <c r="G776" s="233" t="str">
        <f>VLOOKUP(Table3[[#This Row],[Document ID]],Table1[],10,FALSE)</f>
        <v>Active</v>
      </c>
      <c r="H776" s="216" t="s">
        <v>1089</v>
      </c>
      <c r="I776" s="216" t="s">
        <v>1089</v>
      </c>
      <c r="J776" s="43" t="s">
        <v>1090</v>
      </c>
      <c r="K776" s="28" t="s">
        <v>1153</v>
      </c>
      <c r="L776" s="42" t="s">
        <v>1099</v>
      </c>
      <c r="M776" s="209">
        <v>2030</v>
      </c>
      <c r="N776" s="209" t="s">
        <v>1890</v>
      </c>
      <c r="O776" s="258">
        <v>32</v>
      </c>
      <c r="P776" s="238" t="str">
        <f>VLOOKUP(_xlfn.CONCAT(Table3[[#This Row],[Target area]],Table3[[#This Row],[GHG target?]],Table3[[#This Row],[Conditionality]]),'Drop down'!$E$81:$F$101,2,FALSE)</f>
        <v>T_Economy_Unc</v>
      </c>
      <c r="Q776" s="239" t="str">
        <f>VLOOKUP(Table3[[#This Row],[Target type]],Table418[[Value name]:[Value idenifyer]],2,FALSE)</f>
        <v>T_BYE</v>
      </c>
      <c r="T776" s="240"/>
      <c r="V776" s="233" t="str">
        <f>VLOOKUP(Table3[[#This Row],[Country Code]],Table29[],3,FALSE)</f>
        <v>Non-Annex I</v>
      </c>
      <c r="W776" s="233" t="str">
        <f>VLOOKUP(Table3[[#This Row],[Country Code]],Table29[],4,FALSE)</f>
        <v>Asia</v>
      </c>
      <c r="X776" s="233" t="str">
        <f>VLOOKUP(Table3[[#This Row],[Country Code]],Table29[],5,FALSE)</f>
        <v>Middle-income</v>
      </c>
      <c r="Y776" s="233" t="str">
        <f>VLOOKUP(Table3[[#This Row],[Country Code]],Table29[],6,FALSE)</f>
        <v>no</v>
      </c>
      <c r="Z776" s="233" t="str">
        <f>VLOOKUP(Table3[[#This Row],[Country Code]],Table29[],7,FALSE)</f>
        <v>no</v>
      </c>
      <c r="AA776" s="233" t="str">
        <f>VLOOKUP(Table3[[#This Row],[Country Code]],Table29[],8,FALSE)</f>
        <v>non-OECD</v>
      </c>
      <c r="AB776" s="233" t="str">
        <f>VLOOKUP(Table3[[#This Row],[Country Code]],Table29[],9,FALSE)</f>
        <v>no</v>
      </c>
      <c r="AC776" s="233" t="str">
        <f>VLOOKUP(Table3[[#This Row],[Country Code]],Table29[],10,FALSE)</f>
        <v>no</v>
      </c>
      <c r="AD776" s="235">
        <f>VLOOKUP(Table3[[#This Row],[Country Code]],Table29[],23,FALSE)</f>
        <v>98.794119828660001</v>
      </c>
      <c r="AE776" s="235">
        <f>VLOOKUP(Table3[[#This Row],[Country Code]],Table29[],24,FALSE)</f>
        <v>12.185378724618079</v>
      </c>
      <c r="AF776" s="43"/>
    </row>
    <row r="777" spans="1:32" x14ac:dyDescent="0.25">
      <c r="A777" s="360">
        <v>17768</v>
      </c>
      <c r="B777" s="233" t="str">
        <f>VLOOKUP(Table3[[#This Row],[Document ID]],Table1[],2,FALSE)</f>
        <v>TUV</v>
      </c>
      <c r="C777" s="233" t="str">
        <f>VLOOKUP(Table3[[#This Row],[Document ID]],Table1[],3,FALSE)</f>
        <v>Tuvalu</v>
      </c>
      <c r="D777" s="233" t="str">
        <f>VLOOKUP(Table3[[#This Row],[Document ID]],Table1[],5,FALSE)</f>
        <v>NDC</v>
      </c>
      <c r="E777" s="233" t="str">
        <f>VLOOKUP(Table3[[#This Row],[Document ID]],Table1[],7,FALSE)</f>
        <v>First NDC</v>
      </c>
      <c r="F777" s="233" t="str">
        <f>VLOOKUP(Table3[[#This Row],[Document ID]],Table1[],8,FALSE)</f>
        <v>NDC 1.0</v>
      </c>
      <c r="G777" s="233" t="str">
        <f>VLOOKUP(Table3[[#This Row],[Document ID]],Table1[],10,FALSE)</f>
        <v>Archived</v>
      </c>
      <c r="H777" s="216" t="s">
        <v>1089</v>
      </c>
      <c r="I777" s="216" t="s">
        <v>1089</v>
      </c>
      <c r="J777" s="43" t="s">
        <v>1090</v>
      </c>
      <c r="K777" s="28" t="s">
        <v>1153</v>
      </c>
      <c r="L777" s="42" t="s">
        <v>1099</v>
      </c>
      <c r="M777" s="209">
        <v>2025</v>
      </c>
      <c r="N777" s="176" t="s">
        <v>1891</v>
      </c>
      <c r="O777" s="258" t="s">
        <v>1094</v>
      </c>
      <c r="P777" s="238" t="str">
        <f>VLOOKUP(_xlfn.CONCAT(Table3[[#This Row],[Target area]],Table3[[#This Row],[GHG target?]],Table3[[#This Row],[Conditionality]]),'Drop down'!$E$81:$F$101,2,FALSE)</f>
        <v>T_Economy_Unc</v>
      </c>
      <c r="Q777" s="239" t="str">
        <f>VLOOKUP(Table3[[#This Row],[Target type]],Table418[[Value name]:[Value idenifyer]],2,FALSE)</f>
        <v>T_BYE</v>
      </c>
      <c r="T777" s="234" t="s">
        <v>1113</v>
      </c>
      <c r="V777" s="233" t="str">
        <f>VLOOKUP(Table3[[#This Row],[Country Code]],Table29[],3,FALSE)</f>
        <v>Non-Annex I</v>
      </c>
      <c r="W777" s="233" t="str">
        <f>VLOOKUP(Table3[[#This Row],[Country Code]],Table29[],4,FALSE)</f>
        <v>Oceania</v>
      </c>
      <c r="X777" s="233" t="str">
        <f>VLOOKUP(Table3[[#This Row],[Country Code]],Table29[],5,FALSE)</f>
        <v>Middle-income</v>
      </c>
      <c r="Y777" s="233" t="str">
        <f>VLOOKUP(Table3[[#This Row],[Country Code]],Table29[],6,FALSE)</f>
        <v>no</v>
      </c>
      <c r="Z777" s="233" t="str">
        <f>VLOOKUP(Table3[[#This Row],[Country Code]],Table29[],7,FALSE)</f>
        <v>no</v>
      </c>
      <c r="AA777" s="233" t="str">
        <f>VLOOKUP(Table3[[#This Row],[Country Code]],Table29[],8,FALSE)</f>
        <v>non-OECD</v>
      </c>
      <c r="AB777" s="233" t="str">
        <f>VLOOKUP(Table3[[#This Row],[Country Code]],Table29[],9,FALSE)</f>
        <v>no</v>
      </c>
      <c r="AC777" s="233" t="str">
        <f>VLOOKUP(Table3[[#This Row],[Country Code]],Table29[],10,FALSE)</f>
        <v>no</v>
      </c>
      <c r="AD777" s="235">
        <f>VLOOKUP(Table3[[#This Row],[Country Code]],Table29[],23,FALSE)</f>
        <v>0</v>
      </c>
      <c r="AE777" s="235">
        <f>VLOOKUP(Table3[[#This Row],[Country Code]],Table29[],24,FALSE)</f>
        <v>0</v>
      </c>
      <c r="AF777" s="43"/>
    </row>
    <row r="778" spans="1:32" ht="30" x14ac:dyDescent="0.25">
      <c r="A778" s="360">
        <v>39454</v>
      </c>
      <c r="B778" s="233" t="str">
        <f>VLOOKUP(Table3[[#This Row],[Document ID]],Table1[],2,FALSE)</f>
        <v>TUV</v>
      </c>
      <c r="C778" s="233" t="str">
        <f>VLOOKUP(Table3[[#This Row],[Document ID]],Table1[],3,FALSE)</f>
        <v>Tuvalu</v>
      </c>
      <c r="D778" s="233" t="str">
        <f>VLOOKUP(Table3[[#This Row],[Document ID]],Table1[],5,FALSE)</f>
        <v>NDC</v>
      </c>
      <c r="E778" s="233" t="str">
        <f>VLOOKUP(Table3[[#This Row],[Document ID]],Table1[],7,FALSE)</f>
        <v>Second NDC</v>
      </c>
      <c r="F778" s="233" t="str">
        <f>VLOOKUP(Table3[[#This Row],[Document ID]],Table1[],8,FALSE)</f>
        <v>NDC 2.0</v>
      </c>
      <c r="G778" s="233" t="str">
        <f>VLOOKUP(Table3[[#This Row],[Document ID]],Table1[],10,FALSE)</f>
        <v>Active</v>
      </c>
      <c r="H778" s="43" t="s">
        <v>1114</v>
      </c>
      <c r="I778" s="43" t="s">
        <v>1115</v>
      </c>
      <c r="J778" s="42" t="s">
        <v>1090</v>
      </c>
      <c r="K778" s="28" t="s">
        <v>1153</v>
      </c>
      <c r="L778" s="43" t="s">
        <v>1116</v>
      </c>
      <c r="M778" s="209">
        <v>2030</v>
      </c>
      <c r="N778" s="176" t="s">
        <v>1892</v>
      </c>
      <c r="O778" s="258">
        <v>6</v>
      </c>
      <c r="P778" s="238" t="str">
        <f>VLOOKUP(_xlfn.CONCAT(Table3[[#This Row],[Target area]],Table3[[#This Row],[GHG target?]],Table3[[#This Row],[Conditionality]]),'Drop down'!$E$81:$F$101,2,FALSE)</f>
        <v>T_Energy</v>
      </c>
      <c r="Q778" s="239" t="str">
        <f>VLOOKUP(Table3[[#This Row],[Target type]],Table418[[Value name]:[Value idenifyer]],2,FALSE)</f>
        <v>T_BYE</v>
      </c>
      <c r="T778" s="234" t="s">
        <v>1113</v>
      </c>
      <c r="V778" s="233" t="str">
        <f>VLOOKUP(Table3[[#This Row],[Country Code]],Table29[],3,FALSE)</f>
        <v>Non-Annex I</v>
      </c>
      <c r="W778" s="233" t="str">
        <f>VLOOKUP(Table3[[#This Row],[Country Code]],Table29[],4,FALSE)</f>
        <v>Oceania</v>
      </c>
      <c r="X778" s="233" t="str">
        <f>VLOOKUP(Table3[[#This Row],[Country Code]],Table29[],5,FALSE)</f>
        <v>Middle-income</v>
      </c>
      <c r="Y778" s="233" t="str">
        <f>VLOOKUP(Table3[[#This Row],[Country Code]],Table29[],6,FALSE)</f>
        <v>no</v>
      </c>
      <c r="Z778" s="233" t="str">
        <f>VLOOKUP(Table3[[#This Row],[Country Code]],Table29[],7,FALSE)</f>
        <v>no</v>
      </c>
      <c r="AA778" s="233" t="str">
        <f>VLOOKUP(Table3[[#This Row],[Country Code]],Table29[],8,FALSE)</f>
        <v>non-OECD</v>
      </c>
      <c r="AB778" s="233" t="str">
        <f>VLOOKUP(Table3[[#This Row],[Country Code]],Table29[],9,FALSE)</f>
        <v>no</v>
      </c>
      <c r="AC778" s="233" t="str">
        <f>VLOOKUP(Table3[[#This Row],[Country Code]],Table29[],10,FALSE)</f>
        <v>no</v>
      </c>
      <c r="AD778" s="235">
        <f>VLOOKUP(Table3[[#This Row],[Country Code]],Table29[],23,FALSE)</f>
        <v>0</v>
      </c>
      <c r="AE778" s="235">
        <f>VLOOKUP(Table3[[#This Row],[Country Code]],Table29[],24,FALSE)</f>
        <v>0</v>
      </c>
      <c r="AF778" s="43"/>
    </row>
    <row r="779" spans="1:32" ht="30" x14ac:dyDescent="0.25">
      <c r="A779" s="360">
        <v>39454</v>
      </c>
      <c r="B779" s="233" t="str">
        <f>VLOOKUP(Table3[[#This Row],[Document ID]],Table1[],2,FALSE)</f>
        <v>TUV</v>
      </c>
      <c r="C779" s="233" t="str">
        <f>VLOOKUP(Table3[[#This Row],[Document ID]],Table1[],3,FALSE)</f>
        <v>Tuvalu</v>
      </c>
      <c r="D779" s="233" t="str">
        <f>VLOOKUP(Table3[[#This Row],[Document ID]],Table1[],5,FALSE)</f>
        <v>NDC</v>
      </c>
      <c r="E779" s="233" t="str">
        <f>VLOOKUP(Table3[[#This Row],[Document ID]],Table1[],7,FALSE)</f>
        <v>Second NDC</v>
      </c>
      <c r="F779" s="233" t="str">
        <f>VLOOKUP(Table3[[#This Row],[Document ID]],Table1[],8,FALSE)</f>
        <v>NDC 2.0</v>
      </c>
      <c r="G779" s="233" t="str">
        <f>VLOOKUP(Table3[[#This Row],[Document ID]],Table1[],10,FALSE)</f>
        <v>Active</v>
      </c>
      <c r="H779" s="43" t="s">
        <v>1114</v>
      </c>
      <c r="I779" s="43" t="s">
        <v>1115</v>
      </c>
      <c r="J779" s="42" t="s">
        <v>1090</v>
      </c>
      <c r="K779" s="28" t="s">
        <v>1121</v>
      </c>
      <c r="L779" s="43" t="s">
        <v>1116</v>
      </c>
      <c r="M779" s="209">
        <v>2030</v>
      </c>
      <c r="N779" s="176" t="s">
        <v>1893</v>
      </c>
      <c r="O779" s="258">
        <v>6</v>
      </c>
      <c r="P779" s="238" t="str">
        <f>VLOOKUP(_xlfn.CONCAT(Table3[[#This Row],[Target area]],Table3[[#This Row],[GHG target?]],Table3[[#This Row],[Conditionality]]),'Drop down'!$E$81:$F$101,2,FALSE)</f>
        <v>T_Energy</v>
      </c>
      <c r="Q779" s="239" t="str">
        <f>VLOOKUP(Table3[[#This Row],[Target type]],Table418[[Value name]:[Value idenifyer]],2,FALSE)</f>
        <v>T_FL</v>
      </c>
      <c r="T779" s="234" t="s">
        <v>1113</v>
      </c>
      <c r="V779" s="233" t="str">
        <f>VLOOKUP(Table3[[#This Row],[Country Code]],Table29[],3,FALSE)</f>
        <v>Non-Annex I</v>
      </c>
      <c r="W779" s="233" t="str">
        <f>VLOOKUP(Table3[[#This Row],[Country Code]],Table29[],4,FALSE)</f>
        <v>Oceania</v>
      </c>
      <c r="X779" s="233" t="str">
        <f>VLOOKUP(Table3[[#This Row],[Country Code]],Table29[],5,FALSE)</f>
        <v>Middle-income</v>
      </c>
      <c r="Y779" s="233" t="str">
        <f>VLOOKUP(Table3[[#This Row],[Country Code]],Table29[],6,FALSE)</f>
        <v>no</v>
      </c>
      <c r="Z779" s="233" t="str">
        <f>VLOOKUP(Table3[[#This Row],[Country Code]],Table29[],7,FALSE)</f>
        <v>no</v>
      </c>
      <c r="AA779" s="233" t="str">
        <f>VLOOKUP(Table3[[#This Row],[Country Code]],Table29[],8,FALSE)</f>
        <v>non-OECD</v>
      </c>
      <c r="AB779" s="233" t="str">
        <f>VLOOKUP(Table3[[#This Row],[Country Code]],Table29[],9,FALSE)</f>
        <v>no</v>
      </c>
      <c r="AC779" s="233" t="str">
        <f>VLOOKUP(Table3[[#This Row],[Country Code]],Table29[],10,FALSE)</f>
        <v>no</v>
      </c>
      <c r="AD779" s="235">
        <f>VLOOKUP(Table3[[#This Row],[Country Code]],Table29[],23,FALSE)</f>
        <v>0</v>
      </c>
      <c r="AE779" s="235">
        <f>VLOOKUP(Table3[[#This Row],[Country Code]],Table29[],24,FALSE)</f>
        <v>0</v>
      </c>
      <c r="AF779" s="43"/>
    </row>
    <row r="780" spans="1:32" ht="30" x14ac:dyDescent="0.25">
      <c r="A780" s="360">
        <v>39454</v>
      </c>
      <c r="B780" s="233" t="str">
        <f>VLOOKUP(Table3[[#This Row],[Document ID]],Table1[],2,FALSE)</f>
        <v>TUV</v>
      </c>
      <c r="C780" s="233" t="str">
        <f>VLOOKUP(Table3[[#This Row],[Document ID]],Table1[],3,FALSE)</f>
        <v>Tuvalu</v>
      </c>
      <c r="D780" s="233" t="str">
        <f>VLOOKUP(Table3[[#This Row],[Document ID]],Table1[],5,FALSE)</f>
        <v>NDC</v>
      </c>
      <c r="E780" s="233" t="str">
        <f>VLOOKUP(Table3[[#This Row],[Document ID]],Table1[],7,FALSE)</f>
        <v>Second NDC</v>
      </c>
      <c r="F780" s="233" t="str">
        <f>VLOOKUP(Table3[[#This Row],[Document ID]],Table1[],8,FALSE)</f>
        <v>NDC 2.0</v>
      </c>
      <c r="G780" s="233" t="str">
        <f>VLOOKUP(Table3[[#This Row],[Document ID]],Table1[],10,FALSE)</f>
        <v>Active</v>
      </c>
      <c r="H780" s="43" t="s">
        <v>1114</v>
      </c>
      <c r="I780" s="43" t="s">
        <v>1115</v>
      </c>
      <c r="J780" s="42" t="s">
        <v>1097</v>
      </c>
      <c r="K780" s="28" t="s">
        <v>1131</v>
      </c>
      <c r="L780" s="43" t="s">
        <v>1116</v>
      </c>
      <c r="M780" s="209">
        <v>2030</v>
      </c>
      <c r="N780" s="176" t="s">
        <v>1894</v>
      </c>
      <c r="O780" s="258">
        <v>6</v>
      </c>
      <c r="P780" s="238" t="str">
        <f>VLOOKUP(_xlfn.CONCAT(Table3[[#This Row],[Target area]],Table3[[#This Row],[GHG target?]],Table3[[#This Row],[Conditionality]]),'Drop down'!$E$81:$F$101,2,FALSE)</f>
        <v>T_Energy_O</v>
      </c>
      <c r="Q780" s="239" t="str">
        <f>VLOOKUP(Table3[[#This Row],[Target type]],Table418[[Value name]:[Value idenifyer]],2,FALSE)</f>
        <v>T_E_ENERGY</v>
      </c>
      <c r="T780" s="234" t="s">
        <v>1113</v>
      </c>
      <c r="V780" s="233" t="str">
        <f>VLOOKUP(Table3[[#This Row],[Country Code]],Table29[],3,FALSE)</f>
        <v>Non-Annex I</v>
      </c>
      <c r="W780" s="233" t="str">
        <f>VLOOKUP(Table3[[#This Row],[Country Code]],Table29[],4,FALSE)</f>
        <v>Oceania</v>
      </c>
      <c r="X780" s="233" t="str">
        <f>VLOOKUP(Table3[[#This Row],[Country Code]],Table29[],5,FALSE)</f>
        <v>Middle-income</v>
      </c>
      <c r="Y780" s="233" t="str">
        <f>VLOOKUP(Table3[[#This Row],[Country Code]],Table29[],6,FALSE)</f>
        <v>no</v>
      </c>
      <c r="Z780" s="233" t="str">
        <f>VLOOKUP(Table3[[#This Row],[Country Code]],Table29[],7,FALSE)</f>
        <v>no</v>
      </c>
      <c r="AA780" s="233" t="str">
        <f>VLOOKUP(Table3[[#This Row],[Country Code]],Table29[],8,FALSE)</f>
        <v>non-OECD</v>
      </c>
      <c r="AB780" s="233" t="str">
        <f>VLOOKUP(Table3[[#This Row],[Country Code]],Table29[],9,FALSE)</f>
        <v>no</v>
      </c>
      <c r="AC780" s="233" t="str">
        <f>VLOOKUP(Table3[[#This Row],[Country Code]],Table29[],10,FALSE)</f>
        <v>no</v>
      </c>
      <c r="AD780" s="235">
        <f>VLOOKUP(Table3[[#This Row],[Country Code]],Table29[],23,FALSE)</f>
        <v>0</v>
      </c>
      <c r="AE780" s="235">
        <f>VLOOKUP(Table3[[#This Row],[Country Code]],Table29[],24,FALSE)</f>
        <v>0</v>
      </c>
      <c r="AF780" s="43"/>
    </row>
    <row r="781" spans="1:32" x14ac:dyDescent="0.25">
      <c r="A781" s="360">
        <v>23385</v>
      </c>
      <c r="B781" s="233" t="str">
        <f>VLOOKUP(Table3[[#This Row],[Document ID]],Table1[],2,FALSE)</f>
        <v>MRT</v>
      </c>
      <c r="C781" s="233" t="str">
        <f>VLOOKUP(Table3[[#This Row],[Document ID]],Table1[],3,FALSE)</f>
        <v>Mauritania</v>
      </c>
      <c r="D781" s="233" t="str">
        <f>VLOOKUP(Table3[[#This Row],[Document ID]],Table1[],5,FALSE)</f>
        <v>NDC</v>
      </c>
      <c r="E781" s="233" t="str">
        <f>VLOOKUP(Table3[[#This Row],[Document ID]],Table1[],7,FALSE)</f>
        <v>First NDC updated</v>
      </c>
      <c r="F781" s="233" t="str">
        <f>VLOOKUP(Table3[[#This Row],[Document ID]],Table1[],8,FALSE)</f>
        <v>NDC 1.1</v>
      </c>
      <c r="G781" s="233" t="str">
        <f>VLOOKUP(Table3[[#This Row],[Document ID]],Table1[],10,FALSE)</f>
        <v>Active</v>
      </c>
      <c r="H781" s="42" t="s">
        <v>1095</v>
      </c>
      <c r="I781" s="43" t="s">
        <v>1115</v>
      </c>
      <c r="J781" s="43" t="s">
        <v>1090</v>
      </c>
      <c r="K781" s="28" t="s">
        <v>1091</v>
      </c>
      <c r="L781" s="389" t="s">
        <v>1099</v>
      </c>
      <c r="M781" s="209">
        <v>2030</v>
      </c>
      <c r="N781" s="209" t="s">
        <v>1895</v>
      </c>
      <c r="O781" s="257">
        <v>15</v>
      </c>
      <c r="P781" s="238" t="str">
        <f>VLOOKUP(_xlfn.CONCAT(Table3[[#This Row],[Target area]],Table3[[#This Row],[GHG target?]],Table3[[#This Row],[Conditionality]]),'Drop down'!$E$81:$F$101,2,FALSE)</f>
        <v>T_Transport_Unc</v>
      </c>
      <c r="Q781" s="239" t="str">
        <f>VLOOKUP(Table3[[#This Row],[Target type]],Table418[[Value name]:[Value idenifyer]],2,FALSE)</f>
        <v>T_BAU</v>
      </c>
      <c r="R781" s="233" t="s">
        <v>1265</v>
      </c>
      <c r="S781" s="233" t="s">
        <v>1112</v>
      </c>
      <c r="T781" s="234" t="s">
        <v>1113</v>
      </c>
      <c r="U781" s="240"/>
      <c r="V781" s="233" t="str">
        <f>VLOOKUP(Table3[[#This Row],[Country Code]],Table29[],3,FALSE)</f>
        <v>Non-Annex I</v>
      </c>
      <c r="W781" s="233" t="str">
        <f>VLOOKUP(Table3[[#This Row],[Country Code]],Table29[],4,FALSE)</f>
        <v>Africa</v>
      </c>
      <c r="X781" s="233" t="str">
        <f>VLOOKUP(Table3[[#This Row],[Country Code]],Table29[],5,FALSE)</f>
        <v>Middle-income</v>
      </c>
      <c r="Y781" s="233" t="str">
        <f>VLOOKUP(Table3[[#This Row],[Country Code]],Table29[],6,FALSE)</f>
        <v>no</v>
      </c>
      <c r="Z781" s="233" t="str">
        <f>VLOOKUP(Table3[[#This Row],[Country Code]],Table29[],7,FALSE)</f>
        <v>no</v>
      </c>
      <c r="AA781" s="233" t="str">
        <f>VLOOKUP(Table3[[#This Row],[Country Code]],Table29[],8,FALSE)</f>
        <v>non-OECD</v>
      </c>
      <c r="AB781" s="233" t="str">
        <f>VLOOKUP(Table3[[#This Row],[Country Code]],Table29[],9,FALSE)</f>
        <v>no</v>
      </c>
      <c r="AC781" s="233" t="str">
        <f>VLOOKUP(Table3[[#This Row],[Country Code]],Table29[],10,FALSE)</f>
        <v>no</v>
      </c>
      <c r="AD781" s="235">
        <f>VLOOKUP(Table3[[#This Row],[Country Code]],Table29[],23,FALSE)</f>
        <v>16.509274363264002</v>
      </c>
      <c r="AE781" s="235">
        <f>VLOOKUP(Table3[[#This Row],[Country Code]],Table29[],24,FALSE)</f>
        <v>2.480994947533218</v>
      </c>
      <c r="AF781" s="43"/>
    </row>
    <row r="782" spans="1:32" x14ac:dyDescent="0.25">
      <c r="A782" s="360">
        <v>23385</v>
      </c>
      <c r="B782" s="233" t="str">
        <f>VLOOKUP(Table3[[#This Row],[Document ID]],Table1[],2,FALSE)</f>
        <v>MRT</v>
      </c>
      <c r="C782" s="233" t="str">
        <f>VLOOKUP(Table3[[#This Row],[Document ID]],Table1[],3,FALSE)</f>
        <v>Mauritania</v>
      </c>
      <c r="D782" s="233" t="str">
        <f>VLOOKUP(Table3[[#This Row],[Document ID]],Table1[],5,FALSE)</f>
        <v>NDC</v>
      </c>
      <c r="E782" s="233" t="str">
        <f>VLOOKUP(Table3[[#This Row],[Document ID]],Table1[],7,FALSE)</f>
        <v>First NDC updated</v>
      </c>
      <c r="F782" s="233" t="str">
        <f>VLOOKUP(Table3[[#This Row],[Document ID]],Table1[],8,FALSE)</f>
        <v>NDC 1.1</v>
      </c>
      <c r="G782" s="233" t="str">
        <f>VLOOKUP(Table3[[#This Row],[Document ID]],Table1[],10,FALSE)</f>
        <v>Active</v>
      </c>
      <c r="H782" s="42" t="s">
        <v>1095</v>
      </c>
      <c r="I782" s="43" t="s">
        <v>1115</v>
      </c>
      <c r="J782" s="43" t="s">
        <v>1090</v>
      </c>
      <c r="K782" s="28" t="s">
        <v>1091</v>
      </c>
      <c r="L782" s="43" t="s">
        <v>1092</v>
      </c>
      <c r="M782" s="209">
        <v>2030</v>
      </c>
      <c r="N782" s="209" t="s">
        <v>1895</v>
      </c>
      <c r="O782" s="257">
        <v>15</v>
      </c>
      <c r="P782" s="238" t="str">
        <f>VLOOKUP(_xlfn.CONCAT(Table3[[#This Row],[Target area]],Table3[[#This Row],[GHG target?]],Table3[[#This Row],[Conditionality]]),'Drop down'!$E$81:$F$101,2,FALSE)</f>
        <v>T_Transport_C</v>
      </c>
      <c r="Q782" s="239" t="str">
        <f>VLOOKUP(Table3[[#This Row],[Target type]],Table418[[Value name]:[Value idenifyer]],2,FALSE)</f>
        <v>T_BAU</v>
      </c>
      <c r="R782" s="233" t="s">
        <v>1265</v>
      </c>
      <c r="S782" s="233" t="s">
        <v>1112</v>
      </c>
      <c r="T782" s="234" t="s">
        <v>1113</v>
      </c>
      <c r="V782" s="233" t="str">
        <f>VLOOKUP(Table3[[#This Row],[Country Code]],Table29[],3,FALSE)</f>
        <v>Non-Annex I</v>
      </c>
      <c r="W782" s="233" t="str">
        <f>VLOOKUP(Table3[[#This Row],[Country Code]],Table29[],4,FALSE)</f>
        <v>Africa</v>
      </c>
      <c r="X782" s="233" t="str">
        <f>VLOOKUP(Table3[[#This Row],[Country Code]],Table29[],5,FALSE)</f>
        <v>Middle-income</v>
      </c>
      <c r="Y782" s="233" t="str">
        <f>VLOOKUP(Table3[[#This Row],[Country Code]],Table29[],6,FALSE)</f>
        <v>no</v>
      </c>
      <c r="Z782" s="233" t="str">
        <f>VLOOKUP(Table3[[#This Row],[Country Code]],Table29[],7,FALSE)</f>
        <v>no</v>
      </c>
      <c r="AA782" s="233" t="str">
        <f>VLOOKUP(Table3[[#This Row],[Country Code]],Table29[],8,FALSE)</f>
        <v>non-OECD</v>
      </c>
      <c r="AB782" s="233" t="str">
        <f>VLOOKUP(Table3[[#This Row],[Country Code]],Table29[],9,FALSE)</f>
        <v>no</v>
      </c>
      <c r="AC782" s="233" t="str">
        <f>VLOOKUP(Table3[[#This Row],[Country Code]],Table29[],10,FALSE)</f>
        <v>no</v>
      </c>
      <c r="AD782" s="235">
        <f>VLOOKUP(Table3[[#This Row],[Country Code]],Table29[],23,FALSE)</f>
        <v>16.509274363264002</v>
      </c>
      <c r="AE782" s="235">
        <f>VLOOKUP(Table3[[#This Row],[Country Code]],Table29[],24,FALSE)</f>
        <v>2.480994947533218</v>
      </c>
      <c r="AF782" s="43"/>
    </row>
    <row r="783" spans="1:32" ht="45" x14ac:dyDescent="0.25">
      <c r="A783" s="360">
        <v>23367</v>
      </c>
      <c r="B783" s="233" t="str">
        <f>VLOOKUP(Table3[[#This Row],[Document ID]],Table1[],2,FALSE)</f>
        <v>MUS</v>
      </c>
      <c r="C783" s="233" t="str">
        <f>VLOOKUP(Table3[[#This Row],[Document ID]],Table1[],3,FALSE)</f>
        <v>Mauritius</v>
      </c>
      <c r="D783" s="233" t="str">
        <f>VLOOKUP(Table3[[#This Row],[Document ID]],Table1[],5,FALSE)</f>
        <v>NDC</v>
      </c>
      <c r="E783" s="233" t="str">
        <f>VLOOKUP(Table3[[#This Row],[Document ID]],Table1[],7,FALSE)</f>
        <v>First NDC updated</v>
      </c>
      <c r="F783" s="233" t="str">
        <f>VLOOKUP(Table3[[#This Row],[Document ID]],Table1[],8,FALSE)</f>
        <v>NDC 1.1</v>
      </c>
      <c r="G783" s="233" t="str">
        <f>VLOOKUP(Table3[[#This Row],[Document ID]],Table1[],10,FALSE)</f>
        <v>Active</v>
      </c>
      <c r="H783" s="42" t="s">
        <v>1095</v>
      </c>
      <c r="I783" s="43" t="s">
        <v>1115</v>
      </c>
      <c r="J783" s="43" t="s">
        <v>1090</v>
      </c>
      <c r="K783" s="28" t="s">
        <v>1121</v>
      </c>
      <c r="L783" s="42" t="s">
        <v>1099</v>
      </c>
      <c r="M783" s="209">
        <v>2030</v>
      </c>
      <c r="N783" s="209" t="s">
        <v>1896</v>
      </c>
      <c r="O783" s="257">
        <v>6</v>
      </c>
      <c r="P783" s="238" t="str">
        <f>VLOOKUP(_xlfn.CONCAT(Table3[[#This Row],[Target area]],Table3[[#This Row],[GHG target?]],Table3[[#This Row],[Conditionality]]),'Drop down'!$E$81:$F$101,2,FALSE)</f>
        <v>T_Transport_Unc</v>
      </c>
      <c r="Q783" s="239" t="str">
        <f>VLOOKUP(Table3[[#This Row],[Target type]],Table418[[Value name]:[Value idenifyer]],2,FALSE)</f>
        <v>T_FL</v>
      </c>
      <c r="R783" s="233" t="s">
        <v>526</v>
      </c>
      <c r="S783" s="233" t="s">
        <v>1112</v>
      </c>
      <c r="T783" s="234" t="s">
        <v>1113</v>
      </c>
      <c r="V783" s="233" t="str">
        <f>VLOOKUP(Table3[[#This Row],[Country Code]],Table29[],3,FALSE)</f>
        <v>Non-Annex I</v>
      </c>
      <c r="W783" s="233" t="str">
        <f>VLOOKUP(Table3[[#This Row],[Country Code]],Table29[],4,FALSE)</f>
        <v>Africa</v>
      </c>
      <c r="X783" s="233" t="str">
        <f>VLOOKUP(Table3[[#This Row],[Country Code]],Table29[],5,FALSE)</f>
        <v>Middle-income</v>
      </c>
      <c r="Y783" s="233" t="str">
        <f>VLOOKUP(Table3[[#This Row],[Country Code]],Table29[],6,FALSE)</f>
        <v>no</v>
      </c>
      <c r="Z783" s="233" t="str">
        <f>VLOOKUP(Table3[[#This Row],[Country Code]],Table29[],7,FALSE)</f>
        <v>no</v>
      </c>
      <c r="AA783" s="233" t="str">
        <f>VLOOKUP(Table3[[#This Row],[Country Code]],Table29[],8,FALSE)</f>
        <v>non-OECD</v>
      </c>
      <c r="AB783" s="233" t="str">
        <f>VLOOKUP(Table3[[#This Row],[Country Code]],Table29[],9,FALSE)</f>
        <v>no</v>
      </c>
      <c r="AC783" s="233" t="str">
        <f>VLOOKUP(Table3[[#This Row],[Country Code]],Table29[],10,FALSE)</f>
        <v>no</v>
      </c>
      <c r="AD783" s="235">
        <f>VLOOKUP(Table3[[#This Row],[Country Code]],Table29[],23,FALSE)</f>
        <v>6.1987377637868999</v>
      </c>
      <c r="AE783" s="235">
        <f>VLOOKUP(Table3[[#This Row],[Country Code]],Table29[],24,FALSE)</f>
        <v>1.164355346283908</v>
      </c>
      <c r="AF783" s="43"/>
    </row>
    <row r="784" spans="1:32" x14ac:dyDescent="0.25">
      <c r="A784" s="360">
        <v>17649</v>
      </c>
      <c r="B784" s="233" t="str">
        <f>VLOOKUP(Table3[[#This Row],[Document ID]],Table1[],2,FALSE)</f>
        <v>MWI</v>
      </c>
      <c r="C784" s="233" t="str">
        <f>VLOOKUP(Table3[[#This Row],[Document ID]],Table1[],3,FALSE)</f>
        <v>Malawi</v>
      </c>
      <c r="D784" s="233" t="str">
        <f>VLOOKUP(Table3[[#This Row],[Document ID]],Table1[],5,FALSE)</f>
        <v>NDC</v>
      </c>
      <c r="E784" s="233" t="str">
        <f>VLOOKUP(Table3[[#This Row],[Document ID]],Table1[],7,FALSE)</f>
        <v>First NDC</v>
      </c>
      <c r="F784" s="233" t="str">
        <f>VLOOKUP(Table3[[#This Row],[Document ID]],Table1[],8,FALSE)</f>
        <v>NDC 1.0</v>
      </c>
      <c r="G784" s="233" t="str">
        <f>VLOOKUP(Table3[[#This Row],[Document ID]],Table1[],10,FALSE)</f>
        <v>Archived</v>
      </c>
      <c r="H784" s="42" t="s">
        <v>1095</v>
      </c>
      <c r="I784" s="42" t="s">
        <v>1096</v>
      </c>
      <c r="J784" s="42" t="s">
        <v>1097</v>
      </c>
      <c r="K784" s="28" t="s">
        <v>1098</v>
      </c>
      <c r="L784" s="42" t="s">
        <v>1099</v>
      </c>
      <c r="M784" s="209" t="s">
        <v>1094</v>
      </c>
      <c r="N784" s="44" t="s">
        <v>1897</v>
      </c>
      <c r="O784" s="221">
        <v>8</v>
      </c>
      <c r="P784" s="238" t="str">
        <f>VLOOKUP(_xlfn.CONCAT(Table3[[#This Row],[Target area]],Table3[[#This Row],[GHG target?]],Table3[[#This Row],[Conditionality]]),'Drop down'!$E$81:$F$101,2,FALSE)</f>
        <v>T_Transport_O_Unc</v>
      </c>
      <c r="Q784" s="239" t="str">
        <f>VLOOKUP(Table3[[#This Row],[Target type]],Table418[[Value name]:[Value idenifyer]],2,FALSE)</f>
        <v>T_O_MODE</v>
      </c>
      <c r="S784" s="233" t="s">
        <v>1101</v>
      </c>
      <c r="T784" s="234" t="s">
        <v>1113</v>
      </c>
      <c r="V784" s="233" t="str">
        <f>VLOOKUP(Table3[[#This Row],[Country Code]],Table29[],3,FALSE)</f>
        <v>Non-Annex I</v>
      </c>
      <c r="W784" s="233" t="str">
        <f>VLOOKUP(Table3[[#This Row],[Country Code]],Table29[],4,FALSE)</f>
        <v>Africa</v>
      </c>
      <c r="X784" s="233" t="str">
        <f>VLOOKUP(Table3[[#This Row],[Country Code]],Table29[],5,FALSE)</f>
        <v>Low-income</v>
      </c>
      <c r="Y784" s="233" t="str">
        <f>VLOOKUP(Table3[[#This Row],[Country Code]],Table29[],6,FALSE)</f>
        <v>no</v>
      </c>
      <c r="Z784" s="233" t="str">
        <f>VLOOKUP(Table3[[#This Row],[Country Code]],Table29[],7,FALSE)</f>
        <v>no</v>
      </c>
      <c r="AA784" s="233" t="str">
        <f>VLOOKUP(Table3[[#This Row],[Country Code]],Table29[],8,FALSE)</f>
        <v>non-OECD</v>
      </c>
      <c r="AB784" s="233" t="str">
        <f>VLOOKUP(Table3[[#This Row],[Country Code]],Table29[],9,FALSE)</f>
        <v>no</v>
      </c>
      <c r="AC784" s="233" t="str">
        <f>VLOOKUP(Table3[[#This Row],[Country Code]],Table29[],10,FALSE)</f>
        <v>no</v>
      </c>
      <c r="AD784" s="235">
        <f>VLOOKUP(Table3[[#This Row],[Country Code]],Table29[],23,FALSE)</f>
        <v>19.714051394182</v>
      </c>
      <c r="AE784" s="235">
        <f>VLOOKUP(Table3[[#This Row],[Country Code]],Table29[],24,FALSE)</f>
        <v>0.78331093542905961</v>
      </c>
      <c r="AF784" s="43"/>
    </row>
    <row r="785" spans="1:32" x14ac:dyDescent="0.25">
      <c r="A785" s="360">
        <v>29235</v>
      </c>
      <c r="B785" s="233" t="str">
        <f>VLOOKUP(Table3[[#This Row],[Document ID]],Table1[],2,FALSE)</f>
        <v>UGA</v>
      </c>
      <c r="C785" s="233" t="str">
        <f>VLOOKUP(Table3[[#This Row],[Document ID]],Table1[],3,FALSE)</f>
        <v>Uganda</v>
      </c>
      <c r="D785" s="233" t="str">
        <f>VLOOKUP(Table3[[#This Row],[Document ID]],Table1[],5,FALSE)</f>
        <v>NDC</v>
      </c>
      <c r="E785" s="233" t="str">
        <f>VLOOKUP(Table3[[#This Row],[Document ID]],Table1[],7,FALSE)</f>
        <v>First NDC updated</v>
      </c>
      <c r="F785" s="233" t="str">
        <f>VLOOKUP(Table3[[#This Row],[Document ID]],Table1[],8,FALSE)</f>
        <v>NDC 1.2</v>
      </c>
      <c r="G785" s="233" t="str">
        <f>VLOOKUP(Table3[[#This Row],[Document ID]],Table1[],10,FALSE)</f>
        <v>Active</v>
      </c>
      <c r="H785" s="216" t="s">
        <v>1089</v>
      </c>
      <c r="I785" s="216" t="s">
        <v>1089</v>
      </c>
      <c r="J785" s="43" t="s">
        <v>1090</v>
      </c>
      <c r="K785" s="28" t="s">
        <v>1091</v>
      </c>
      <c r="L785" s="216" t="s">
        <v>1092</v>
      </c>
      <c r="M785" s="209">
        <v>2030</v>
      </c>
      <c r="N785" s="42" t="s">
        <v>1898</v>
      </c>
      <c r="O785" s="257">
        <v>50</v>
      </c>
      <c r="P785" s="238" t="str">
        <f>VLOOKUP(_xlfn.CONCAT(Table3[[#This Row],[Target area]],Table3[[#This Row],[GHG target?]],Table3[[#This Row],[Conditionality]]),'Drop down'!$E$81:$F$101,2,FALSE)</f>
        <v>T_Economy_C</v>
      </c>
      <c r="Q785" s="239" t="str">
        <f>VLOOKUP(Table3[[#This Row],[Target type]],Table418[[Value name]:[Value idenifyer]],2,FALSE)</f>
        <v>T_BAU</v>
      </c>
      <c r="S785" s="233" t="s">
        <v>1125</v>
      </c>
      <c r="T785" s="240"/>
      <c r="V785" s="233" t="str">
        <f>VLOOKUP(Table3[[#This Row],[Country Code]],Table29[],3,FALSE)</f>
        <v>Non-Annex I</v>
      </c>
      <c r="W785" s="233" t="str">
        <f>VLOOKUP(Table3[[#This Row],[Country Code]],Table29[],4,FALSE)</f>
        <v>Africa</v>
      </c>
      <c r="X785" s="233" t="str">
        <f>VLOOKUP(Table3[[#This Row],[Country Code]],Table29[],5,FALSE)</f>
        <v>Low-income</v>
      </c>
      <c r="Y785" s="233" t="str">
        <f>VLOOKUP(Table3[[#This Row],[Country Code]],Table29[],6,FALSE)</f>
        <v>no</v>
      </c>
      <c r="Z785" s="233" t="str">
        <f>VLOOKUP(Table3[[#This Row],[Country Code]],Table29[],7,FALSE)</f>
        <v>no</v>
      </c>
      <c r="AA785" s="233" t="str">
        <f>VLOOKUP(Table3[[#This Row],[Country Code]],Table29[],8,FALSE)</f>
        <v>non-OECD</v>
      </c>
      <c r="AB785" s="233" t="str">
        <f>VLOOKUP(Table3[[#This Row],[Country Code]],Table29[],9,FALSE)</f>
        <v>no</v>
      </c>
      <c r="AC785" s="233" t="str">
        <f>VLOOKUP(Table3[[#This Row],[Country Code]],Table29[],10,FALSE)</f>
        <v>no</v>
      </c>
      <c r="AD785" s="235">
        <f>VLOOKUP(Table3[[#This Row],[Country Code]],Table29[],23,FALSE)</f>
        <v>53.370989410157001</v>
      </c>
      <c r="AE785" s="235">
        <f>VLOOKUP(Table3[[#This Row],[Country Code]],Table29[],24,FALSE)</f>
        <v>3.617994034151566</v>
      </c>
      <c r="AF785" s="43"/>
    </row>
    <row r="786" spans="1:32" x14ac:dyDescent="0.25">
      <c r="A786" s="360">
        <v>29235</v>
      </c>
      <c r="B786" s="233" t="str">
        <f>VLOOKUP(Table3[[#This Row],[Document ID]],Table1[],2,FALSE)</f>
        <v>UGA</v>
      </c>
      <c r="C786" s="233" t="str">
        <f>VLOOKUP(Table3[[#This Row],[Document ID]],Table1[],3,FALSE)</f>
        <v>Uganda</v>
      </c>
      <c r="D786" s="233" t="str">
        <f>VLOOKUP(Table3[[#This Row],[Document ID]],Table1[],5,FALSE)</f>
        <v>NDC</v>
      </c>
      <c r="E786" s="233" t="str">
        <f>VLOOKUP(Table3[[#This Row],[Document ID]],Table1[],7,FALSE)</f>
        <v>First NDC updated</v>
      </c>
      <c r="F786" s="233" t="str">
        <f>VLOOKUP(Table3[[#This Row],[Document ID]],Table1[],8,FALSE)</f>
        <v>NDC 1.2</v>
      </c>
      <c r="G786" s="233" t="str">
        <f>VLOOKUP(Table3[[#This Row],[Document ID]],Table1[],10,FALSE)</f>
        <v>Active</v>
      </c>
      <c r="H786" s="216" t="s">
        <v>1089</v>
      </c>
      <c r="I786" s="216" t="s">
        <v>1089</v>
      </c>
      <c r="J786" s="43" t="s">
        <v>1090</v>
      </c>
      <c r="K786" s="28" t="s">
        <v>1091</v>
      </c>
      <c r="L786" s="42" t="s">
        <v>1099</v>
      </c>
      <c r="M786" s="209">
        <v>2030</v>
      </c>
      <c r="N786" s="209" t="s">
        <v>1899</v>
      </c>
      <c r="O786" s="257">
        <v>50</v>
      </c>
      <c r="P786" s="238" t="str">
        <f>VLOOKUP(_xlfn.CONCAT(Table3[[#This Row],[Target area]],Table3[[#This Row],[GHG target?]],Table3[[#This Row],[Conditionality]]),'Drop down'!$E$81:$F$101,2,FALSE)</f>
        <v>T_Economy_Unc</v>
      </c>
      <c r="Q786" s="239" t="str">
        <f>VLOOKUP(Table3[[#This Row],[Target type]],Table418[[Value name]:[Value idenifyer]],2,FALSE)</f>
        <v>T_BAU</v>
      </c>
      <c r="S786" s="233" t="s">
        <v>1125</v>
      </c>
      <c r="T786" s="240"/>
      <c r="V786" s="233" t="str">
        <f>VLOOKUP(Table3[[#This Row],[Country Code]],Table29[],3,FALSE)</f>
        <v>Non-Annex I</v>
      </c>
      <c r="W786" s="233" t="str">
        <f>VLOOKUP(Table3[[#This Row],[Country Code]],Table29[],4,FALSE)</f>
        <v>Africa</v>
      </c>
      <c r="X786" s="233" t="str">
        <f>VLOOKUP(Table3[[#This Row],[Country Code]],Table29[],5,FALSE)</f>
        <v>Low-income</v>
      </c>
      <c r="Y786" s="233" t="str">
        <f>VLOOKUP(Table3[[#This Row],[Country Code]],Table29[],6,FALSE)</f>
        <v>no</v>
      </c>
      <c r="Z786" s="233" t="str">
        <f>VLOOKUP(Table3[[#This Row],[Country Code]],Table29[],7,FALSE)</f>
        <v>no</v>
      </c>
      <c r="AA786" s="233" t="str">
        <f>VLOOKUP(Table3[[#This Row],[Country Code]],Table29[],8,FALSE)</f>
        <v>non-OECD</v>
      </c>
      <c r="AB786" s="233" t="str">
        <f>VLOOKUP(Table3[[#This Row],[Country Code]],Table29[],9,FALSE)</f>
        <v>no</v>
      </c>
      <c r="AC786" s="233" t="str">
        <f>VLOOKUP(Table3[[#This Row],[Country Code]],Table29[],10,FALSE)</f>
        <v>no</v>
      </c>
      <c r="AD786" s="235">
        <f>VLOOKUP(Table3[[#This Row],[Country Code]],Table29[],23,FALSE)</f>
        <v>53.370989410157001</v>
      </c>
      <c r="AE786" s="235">
        <f>VLOOKUP(Table3[[#This Row],[Country Code]],Table29[],24,FALSE)</f>
        <v>3.617994034151566</v>
      </c>
      <c r="AF786" s="43"/>
    </row>
    <row r="787" spans="1:32" x14ac:dyDescent="0.25">
      <c r="A787" s="360">
        <v>17649</v>
      </c>
      <c r="B787" s="233" t="str">
        <f>VLOOKUP(Table3[[#This Row],[Document ID]],Table1[],2,FALSE)</f>
        <v>MWI</v>
      </c>
      <c r="C787" s="233" t="str">
        <f>VLOOKUP(Table3[[#This Row],[Document ID]],Table1[],3,FALSE)</f>
        <v>Malawi</v>
      </c>
      <c r="D787" s="233" t="str">
        <f>VLOOKUP(Table3[[#This Row],[Document ID]],Table1[],5,FALSE)</f>
        <v>NDC</v>
      </c>
      <c r="E787" s="233" t="str">
        <f>VLOOKUP(Table3[[#This Row],[Document ID]],Table1[],7,FALSE)</f>
        <v>First NDC</v>
      </c>
      <c r="F787" s="233" t="str">
        <f>VLOOKUP(Table3[[#This Row],[Document ID]],Table1[],8,FALSE)</f>
        <v>NDC 1.0</v>
      </c>
      <c r="G787" s="233" t="str">
        <f>VLOOKUP(Table3[[#This Row],[Document ID]],Table1[],10,FALSE)</f>
        <v>Archived</v>
      </c>
      <c r="H787" s="42" t="s">
        <v>1095</v>
      </c>
      <c r="I787" s="42" t="s">
        <v>1096</v>
      </c>
      <c r="J787" s="42" t="s">
        <v>1097</v>
      </c>
      <c r="K787" s="28" t="s">
        <v>1098</v>
      </c>
      <c r="L787" s="43" t="s">
        <v>1092</v>
      </c>
      <c r="M787" s="209" t="s">
        <v>1094</v>
      </c>
      <c r="N787" s="44" t="s">
        <v>1900</v>
      </c>
      <c r="O787" s="221">
        <v>8</v>
      </c>
      <c r="P787" s="238" t="str">
        <f>VLOOKUP(_xlfn.CONCAT(Table3[[#This Row],[Target area]],Table3[[#This Row],[GHG target?]],Table3[[#This Row],[Conditionality]]),'Drop down'!$E$81:$F$101,2,FALSE)</f>
        <v>T_Transport_O_C</v>
      </c>
      <c r="Q787" s="239" t="str">
        <f>VLOOKUP(Table3[[#This Row],[Target type]],Table418[[Value name]:[Value idenifyer]],2,FALSE)</f>
        <v>T_O_MODE</v>
      </c>
      <c r="S787" s="233" t="s">
        <v>1101</v>
      </c>
      <c r="T787" s="234" t="s">
        <v>1113</v>
      </c>
      <c r="V787" s="233" t="str">
        <f>VLOOKUP(Table3[[#This Row],[Country Code]],Table29[],3,FALSE)</f>
        <v>Non-Annex I</v>
      </c>
      <c r="W787" s="233" t="str">
        <f>VLOOKUP(Table3[[#This Row],[Country Code]],Table29[],4,FALSE)</f>
        <v>Africa</v>
      </c>
      <c r="X787" s="233" t="str">
        <f>VLOOKUP(Table3[[#This Row],[Country Code]],Table29[],5,FALSE)</f>
        <v>Low-income</v>
      </c>
      <c r="Y787" s="233" t="str">
        <f>VLOOKUP(Table3[[#This Row],[Country Code]],Table29[],6,FALSE)</f>
        <v>no</v>
      </c>
      <c r="Z787" s="233" t="str">
        <f>VLOOKUP(Table3[[#This Row],[Country Code]],Table29[],7,FALSE)</f>
        <v>no</v>
      </c>
      <c r="AA787" s="233" t="str">
        <f>VLOOKUP(Table3[[#This Row],[Country Code]],Table29[],8,FALSE)</f>
        <v>non-OECD</v>
      </c>
      <c r="AB787" s="233" t="str">
        <f>VLOOKUP(Table3[[#This Row],[Country Code]],Table29[],9,FALSE)</f>
        <v>no</v>
      </c>
      <c r="AC787" s="233" t="str">
        <f>VLOOKUP(Table3[[#This Row],[Country Code]],Table29[],10,FALSE)</f>
        <v>no</v>
      </c>
      <c r="AD787" s="235">
        <f>VLOOKUP(Table3[[#This Row],[Country Code]],Table29[],23,FALSE)</f>
        <v>19.714051394182</v>
      </c>
      <c r="AE787" s="235">
        <f>VLOOKUP(Table3[[#This Row],[Country Code]],Table29[],24,FALSE)</f>
        <v>0.78331093542905961</v>
      </c>
      <c r="AF787" s="43"/>
    </row>
    <row r="788" spans="1:32" ht="30" x14ac:dyDescent="0.25">
      <c r="A788" s="360">
        <v>21299</v>
      </c>
      <c r="B788" s="233" t="str">
        <f>VLOOKUP(Table3[[#This Row],[Document ID]],Table1[],2,FALSE)</f>
        <v>MWI</v>
      </c>
      <c r="C788" s="233" t="str">
        <f>VLOOKUP(Table3[[#This Row],[Document ID]],Table1[],3,FALSE)</f>
        <v>Malawi</v>
      </c>
      <c r="D788" s="233" t="str">
        <f>VLOOKUP(Table3[[#This Row],[Document ID]],Table1[],5,FALSE)</f>
        <v>NDC</v>
      </c>
      <c r="E788" s="233" t="str">
        <f>VLOOKUP(Table3[[#This Row],[Document ID]],Table1[],7,FALSE)</f>
        <v>First NDC updated</v>
      </c>
      <c r="F788" s="233" t="str">
        <f>VLOOKUP(Table3[[#This Row],[Document ID]],Table1[],8,FALSE)</f>
        <v>NDC 1.1</v>
      </c>
      <c r="G788" s="233" t="str">
        <f>VLOOKUP(Table3[[#This Row],[Document ID]],Table1[],10,FALSE)</f>
        <v>Active</v>
      </c>
      <c r="H788" s="42" t="s">
        <v>1095</v>
      </c>
      <c r="I788" s="42" t="s">
        <v>1096</v>
      </c>
      <c r="J788" s="42" t="s">
        <v>1097</v>
      </c>
      <c r="K788" s="28" t="s">
        <v>1098</v>
      </c>
      <c r="L788" s="43" t="s">
        <v>1092</v>
      </c>
      <c r="M788" s="209">
        <v>2040</v>
      </c>
      <c r="N788" s="209" t="s">
        <v>1901</v>
      </c>
      <c r="O788" s="257">
        <v>35</v>
      </c>
      <c r="P788" s="238" t="str">
        <f>VLOOKUP(_xlfn.CONCAT(Table3[[#This Row],[Target area]],Table3[[#This Row],[GHG target?]],Table3[[#This Row],[Conditionality]]),'Drop down'!$E$81:$F$101,2,FALSE)</f>
        <v>T_Transport_O_C</v>
      </c>
      <c r="Q788" s="239" t="str">
        <f>VLOOKUP(Table3[[#This Row],[Target type]],Table418[[Value name]:[Value idenifyer]],2,FALSE)</f>
        <v>T_O_MODE</v>
      </c>
      <c r="S788" s="233" t="s">
        <v>1101</v>
      </c>
      <c r="T788" s="234" t="s">
        <v>1113</v>
      </c>
      <c r="V788" s="233" t="str">
        <f>VLOOKUP(Table3[[#This Row],[Country Code]],Table29[],3,FALSE)</f>
        <v>Non-Annex I</v>
      </c>
      <c r="W788" s="233" t="str">
        <f>VLOOKUP(Table3[[#This Row],[Country Code]],Table29[],4,FALSE)</f>
        <v>Africa</v>
      </c>
      <c r="X788" s="233" t="str">
        <f>VLOOKUP(Table3[[#This Row],[Country Code]],Table29[],5,FALSE)</f>
        <v>Low-income</v>
      </c>
      <c r="Y788" s="233" t="str">
        <f>VLOOKUP(Table3[[#This Row],[Country Code]],Table29[],6,FALSE)</f>
        <v>no</v>
      </c>
      <c r="Z788" s="233" t="str">
        <f>VLOOKUP(Table3[[#This Row],[Country Code]],Table29[],7,FALSE)</f>
        <v>no</v>
      </c>
      <c r="AA788" s="233" t="str">
        <f>VLOOKUP(Table3[[#This Row],[Country Code]],Table29[],8,FALSE)</f>
        <v>non-OECD</v>
      </c>
      <c r="AB788" s="233" t="str">
        <f>VLOOKUP(Table3[[#This Row],[Country Code]],Table29[],9,FALSE)</f>
        <v>no</v>
      </c>
      <c r="AC788" s="233" t="str">
        <f>VLOOKUP(Table3[[#This Row],[Country Code]],Table29[],10,FALSE)</f>
        <v>no</v>
      </c>
      <c r="AD788" s="235">
        <f>VLOOKUP(Table3[[#This Row],[Country Code]],Table29[],23,FALSE)</f>
        <v>19.714051394182</v>
      </c>
      <c r="AE788" s="235">
        <f>VLOOKUP(Table3[[#This Row],[Country Code]],Table29[],24,FALSE)</f>
        <v>0.78331093542905961</v>
      </c>
      <c r="AF788" s="43"/>
    </row>
    <row r="789" spans="1:32" x14ac:dyDescent="0.25">
      <c r="A789" s="360">
        <v>21299</v>
      </c>
      <c r="B789" s="233" t="str">
        <f>VLOOKUP(Table3[[#This Row],[Document ID]],Table1[],2,FALSE)</f>
        <v>MWI</v>
      </c>
      <c r="C789" s="233" t="str">
        <f>VLOOKUP(Table3[[#This Row],[Document ID]],Table1[],3,FALSE)</f>
        <v>Malawi</v>
      </c>
      <c r="D789" s="233" t="str">
        <f>VLOOKUP(Table3[[#This Row],[Document ID]],Table1[],5,FALSE)</f>
        <v>NDC</v>
      </c>
      <c r="E789" s="233" t="str">
        <f>VLOOKUP(Table3[[#This Row],[Document ID]],Table1[],7,FALSE)</f>
        <v>First NDC updated</v>
      </c>
      <c r="F789" s="233" t="str">
        <f>VLOOKUP(Table3[[#This Row],[Document ID]],Table1[],8,FALSE)</f>
        <v>NDC 1.1</v>
      </c>
      <c r="G789" s="233" t="str">
        <f>VLOOKUP(Table3[[#This Row],[Document ID]],Table1[],10,FALSE)</f>
        <v>Active</v>
      </c>
      <c r="H789" s="42" t="s">
        <v>1095</v>
      </c>
      <c r="I789" s="42" t="s">
        <v>1096</v>
      </c>
      <c r="J789" s="42" t="s">
        <v>1097</v>
      </c>
      <c r="K789" s="28" t="s">
        <v>1102</v>
      </c>
      <c r="L789" s="43" t="s">
        <v>1092</v>
      </c>
      <c r="M789" s="209">
        <v>2040</v>
      </c>
      <c r="N789" s="209" t="s">
        <v>1902</v>
      </c>
      <c r="O789" s="257">
        <v>35</v>
      </c>
      <c r="P789" s="238" t="str">
        <f>VLOOKUP(_xlfn.CONCAT(Table3[[#This Row],[Target area]],Table3[[#This Row],[GHG target?]],Table3[[#This Row],[Conditionality]]),'Drop down'!$E$81:$F$101,2,FALSE)</f>
        <v>T_Transport_O_C</v>
      </c>
      <c r="Q789" s="239" t="str">
        <f>VLOOKUP(Table3[[#This Row],[Target type]],Table418[[Value name]:[Value idenifyer]],2,FALSE)</f>
        <v>T_O_BIO</v>
      </c>
      <c r="S789" s="233" t="s">
        <v>1101</v>
      </c>
      <c r="T789" s="234" t="s">
        <v>1113</v>
      </c>
      <c r="V789" s="233" t="str">
        <f>VLOOKUP(Table3[[#This Row],[Country Code]],Table29[],3,FALSE)</f>
        <v>Non-Annex I</v>
      </c>
      <c r="W789" s="233" t="str">
        <f>VLOOKUP(Table3[[#This Row],[Country Code]],Table29[],4,FALSE)</f>
        <v>Africa</v>
      </c>
      <c r="X789" s="233" t="str">
        <f>VLOOKUP(Table3[[#This Row],[Country Code]],Table29[],5,FALSE)</f>
        <v>Low-income</v>
      </c>
      <c r="Y789" s="233" t="str">
        <f>VLOOKUP(Table3[[#This Row],[Country Code]],Table29[],6,FALSE)</f>
        <v>no</v>
      </c>
      <c r="Z789" s="233" t="str">
        <f>VLOOKUP(Table3[[#This Row],[Country Code]],Table29[],7,FALSE)</f>
        <v>no</v>
      </c>
      <c r="AA789" s="233" t="str">
        <f>VLOOKUP(Table3[[#This Row],[Country Code]],Table29[],8,FALSE)</f>
        <v>non-OECD</v>
      </c>
      <c r="AB789" s="233" t="str">
        <f>VLOOKUP(Table3[[#This Row],[Country Code]],Table29[],9,FALSE)</f>
        <v>no</v>
      </c>
      <c r="AC789" s="233" t="str">
        <f>VLOOKUP(Table3[[#This Row],[Country Code]],Table29[],10,FALSE)</f>
        <v>no</v>
      </c>
      <c r="AD789" s="235">
        <f>VLOOKUP(Table3[[#This Row],[Country Code]],Table29[],23,FALSE)</f>
        <v>19.714051394182</v>
      </c>
      <c r="AE789" s="235">
        <f>VLOOKUP(Table3[[#This Row],[Country Code]],Table29[],24,FALSE)</f>
        <v>0.78331093542905961</v>
      </c>
      <c r="AF789" s="43"/>
    </row>
    <row r="790" spans="1:32" x14ac:dyDescent="0.25">
      <c r="A790" s="360">
        <v>17672</v>
      </c>
      <c r="B790" s="233" t="str">
        <f>VLOOKUP(Table3[[#This Row],[Document ID]],Table1[],2,FALSE)</f>
        <v>NAM</v>
      </c>
      <c r="C790" s="233" t="str">
        <f>VLOOKUP(Table3[[#This Row],[Document ID]],Table1[],3,FALSE)</f>
        <v>Namibia</v>
      </c>
      <c r="D790" s="233" t="str">
        <f>VLOOKUP(Table3[[#This Row],[Document ID]],Table1[],5,FALSE)</f>
        <v>NDC</v>
      </c>
      <c r="E790" s="233" t="str">
        <f>VLOOKUP(Table3[[#This Row],[Document ID]],Table1[],7,FALSE)</f>
        <v>First NDC</v>
      </c>
      <c r="F790" s="233" t="str">
        <f>VLOOKUP(Table3[[#This Row],[Document ID]],Table1[],8,FALSE)</f>
        <v>NDC 1.0</v>
      </c>
      <c r="G790" s="233" t="str">
        <f>VLOOKUP(Table3[[#This Row],[Document ID]],Table1[],10,FALSE)</f>
        <v>Archived</v>
      </c>
      <c r="H790" s="42" t="s">
        <v>1095</v>
      </c>
      <c r="I790" s="42" t="s">
        <v>1096</v>
      </c>
      <c r="J790" s="42" t="s">
        <v>1097</v>
      </c>
      <c r="K790" s="28" t="s">
        <v>1175</v>
      </c>
      <c r="L790" s="43" t="s">
        <v>1092</v>
      </c>
      <c r="M790" s="209">
        <v>2030</v>
      </c>
      <c r="N790" s="44" t="s">
        <v>1903</v>
      </c>
      <c r="O790" s="221"/>
      <c r="P790" s="238" t="str">
        <f>VLOOKUP(_xlfn.CONCAT(Table3[[#This Row],[Target area]],Table3[[#This Row],[GHG target?]],Table3[[#This Row],[Conditionality]]),'Drop down'!$E$81:$F$101,2,FALSE)</f>
        <v>T_Transport_O_C</v>
      </c>
      <c r="Q790" s="239" t="str">
        <f>VLOOKUP(Table3[[#This Row],[Target type]],Table418[[Value name]:[Value idenifyer]],2,FALSE)</f>
        <v>T_O_AVOID</v>
      </c>
      <c r="S790" s="233" t="s">
        <v>1125</v>
      </c>
      <c r="T790" s="234" t="s">
        <v>1113</v>
      </c>
      <c r="V790" s="233" t="str">
        <f>VLOOKUP(Table3[[#This Row],[Country Code]],Table29[],3,FALSE)</f>
        <v>Non-Annex I</v>
      </c>
      <c r="W790" s="233" t="str">
        <f>VLOOKUP(Table3[[#This Row],[Country Code]],Table29[],4,FALSE)</f>
        <v>Africa</v>
      </c>
      <c r="X790" s="233" t="str">
        <f>VLOOKUP(Table3[[#This Row],[Country Code]],Table29[],5,FALSE)</f>
        <v>Middle-income</v>
      </c>
      <c r="Y790" s="233" t="str">
        <f>VLOOKUP(Table3[[#This Row],[Country Code]],Table29[],6,FALSE)</f>
        <v>no</v>
      </c>
      <c r="Z790" s="233" t="str">
        <f>VLOOKUP(Table3[[#This Row],[Country Code]],Table29[],7,FALSE)</f>
        <v>no</v>
      </c>
      <c r="AA790" s="233" t="str">
        <f>VLOOKUP(Table3[[#This Row],[Country Code]],Table29[],8,FALSE)</f>
        <v>non-OECD</v>
      </c>
      <c r="AB790" s="233" t="str">
        <f>VLOOKUP(Table3[[#This Row],[Country Code]],Table29[],9,FALSE)</f>
        <v>no</v>
      </c>
      <c r="AC790" s="233" t="str">
        <f>VLOOKUP(Table3[[#This Row],[Country Code]],Table29[],10,FALSE)</f>
        <v>no</v>
      </c>
      <c r="AD790" s="235">
        <f>VLOOKUP(Table3[[#This Row],[Country Code]],Table29[],23,FALSE)</f>
        <v>12.885675050293001</v>
      </c>
      <c r="AE790" s="235">
        <f>VLOOKUP(Table3[[#This Row],[Country Code]],Table29[],24,FALSE)</f>
        <v>2.1850282301150679</v>
      </c>
      <c r="AF790" s="43"/>
    </row>
    <row r="791" spans="1:32" ht="30" x14ac:dyDescent="0.25">
      <c r="A791" s="360">
        <v>17672</v>
      </c>
      <c r="B791" s="233" t="str">
        <f>VLOOKUP(Table3[[#This Row],[Document ID]],Table1[],2,FALSE)</f>
        <v>NAM</v>
      </c>
      <c r="C791" s="233" t="str">
        <f>VLOOKUP(Table3[[#This Row],[Document ID]],Table1[],3,FALSE)</f>
        <v>Namibia</v>
      </c>
      <c r="D791" s="233" t="str">
        <f>VLOOKUP(Table3[[#This Row],[Document ID]],Table1[],5,FALSE)</f>
        <v>NDC</v>
      </c>
      <c r="E791" s="233" t="str">
        <f>VLOOKUP(Table3[[#This Row],[Document ID]],Table1[],7,FALSE)</f>
        <v>First NDC</v>
      </c>
      <c r="F791" s="233" t="str">
        <f>VLOOKUP(Table3[[#This Row],[Document ID]],Table1[],8,FALSE)</f>
        <v>NDC 1.0</v>
      </c>
      <c r="G791" s="233" t="str">
        <f>VLOOKUP(Table3[[#This Row],[Document ID]],Table1[],10,FALSE)</f>
        <v>Archived</v>
      </c>
      <c r="H791" s="42" t="s">
        <v>1095</v>
      </c>
      <c r="I791" s="42" t="s">
        <v>1096</v>
      </c>
      <c r="J791" s="42" t="s">
        <v>1097</v>
      </c>
      <c r="K791" s="28" t="s">
        <v>1098</v>
      </c>
      <c r="L791" s="43" t="s">
        <v>1092</v>
      </c>
      <c r="M791" s="209">
        <v>2030</v>
      </c>
      <c r="N791" s="44" t="s">
        <v>1904</v>
      </c>
      <c r="O791" s="221">
        <v>7</v>
      </c>
      <c r="P791" s="238" t="str">
        <f>VLOOKUP(_xlfn.CONCAT(Table3[[#This Row],[Target area]],Table3[[#This Row],[GHG target?]],Table3[[#This Row],[Conditionality]]),'Drop down'!$E$81:$F$101,2,FALSE)</f>
        <v>T_Transport_O_C</v>
      </c>
      <c r="Q791" s="239" t="str">
        <f>VLOOKUP(Table3[[#This Row],[Target type]],Table418[[Value name]:[Value idenifyer]],2,FALSE)</f>
        <v>T_O_MODE</v>
      </c>
      <c r="S791" s="233" t="s">
        <v>1125</v>
      </c>
      <c r="T791" s="234" t="s">
        <v>1113</v>
      </c>
      <c r="V791" s="233" t="str">
        <f>VLOOKUP(Table3[[#This Row],[Country Code]],Table29[],3,FALSE)</f>
        <v>Non-Annex I</v>
      </c>
      <c r="W791" s="233" t="str">
        <f>VLOOKUP(Table3[[#This Row],[Country Code]],Table29[],4,FALSE)</f>
        <v>Africa</v>
      </c>
      <c r="X791" s="233" t="str">
        <f>VLOOKUP(Table3[[#This Row],[Country Code]],Table29[],5,FALSE)</f>
        <v>Middle-income</v>
      </c>
      <c r="Y791" s="233" t="str">
        <f>VLOOKUP(Table3[[#This Row],[Country Code]],Table29[],6,FALSE)</f>
        <v>no</v>
      </c>
      <c r="Z791" s="233" t="str">
        <f>VLOOKUP(Table3[[#This Row],[Country Code]],Table29[],7,FALSE)</f>
        <v>no</v>
      </c>
      <c r="AA791" s="233" t="str">
        <f>VLOOKUP(Table3[[#This Row],[Country Code]],Table29[],8,FALSE)</f>
        <v>non-OECD</v>
      </c>
      <c r="AB791" s="233" t="str">
        <f>VLOOKUP(Table3[[#This Row],[Country Code]],Table29[],9,FALSE)</f>
        <v>no</v>
      </c>
      <c r="AC791" s="233" t="str">
        <f>VLOOKUP(Table3[[#This Row],[Country Code]],Table29[],10,FALSE)</f>
        <v>no</v>
      </c>
      <c r="AD791" s="235">
        <f>VLOOKUP(Table3[[#This Row],[Country Code]],Table29[],23,FALSE)</f>
        <v>12.885675050293001</v>
      </c>
      <c r="AE791" s="235">
        <f>VLOOKUP(Table3[[#This Row],[Country Code]],Table29[],24,FALSE)</f>
        <v>2.1850282301150679</v>
      </c>
      <c r="AF791" s="43"/>
    </row>
    <row r="792" spans="1:32" x14ac:dyDescent="0.25">
      <c r="A792" s="360">
        <v>17672</v>
      </c>
      <c r="B792" s="233" t="str">
        <f>VLOOKUP(Table3[[#This Row],[Document ID]],Table1[],2,FALSE)</f>
        <v>NAM</v>
      </c>
      <c r="C792" s="233" t="str">
        <f>VLOOKUP(Table3[[#This Row],[Document ID]],Table1[],3,FALSE)</f>
        <v>Namibia</v>
      </c>
      <c r="D792" s="233" t="str">
        <f>VLOOKUP(Table3[[#This Row],[Document ID]],Table1[],5,FALSE)</f>
        <v>NDC</v>
      </c>
      <c r="E792" s="233" t="str">
        <f>VLOOKUP(Table3[[#This Row],[Document ID]],Table1[],7,FALSE)</f>
        <v>First NDC</v>
      </c>
      <c r="F792" s="233" t="str">
        <f>VLOOKUP(Table3[[#This Row],[Document ID]],Table1[],8,FALSE)</f>
        <v>NDC 1.0</v>
      </c>
      <c r="G792" s="233" t="str">
        <f>VLOOKUP(Table3[[#This Row],[Document ID]],Table1[],10,FALSE)</f>
        <v>Archived</v>
      </c>
      <c r="H792" s="42" t="s">
        <v>1095</v>
      </c>
      <c r="I792" s="43" t="s">
        <v>1115</v>
      </c>
      <c r="J792" s="43" t="s">
        <v>1090</v>
      </c>
      <c r="K792" s="28" t="s">
        <v>1091</v>
      </c>
      <c r="L792" s="42" t="s">
        <v>1099</v>
      </c>
      <c r="M792" s="209">
        <v>2030</v>
      </c>
      <c r="N792" s="44" t="s">
        <v>1905</v>
      </c>
      <c r="O792" s="221"/>
      <c r="P792" s="238" t="str">
        <f>VLOOKUP(_xlfn.CONCAT(Table3[[#This Row],[Target area]],Table3[[#This Row],[GHG target?]],Table3[[#This Row],[Conditionality]]),'Drop down'!$E$81:$F$101,2,FALSE)</f>
        <v>T_Transport_Unc</v>
      </c>
      <c r="Q792" s="239" t="str">
        <f>VLOOKUP(Table3[[#This Row],[Target type]],Table418[[Value name]:[Value idenifyer]],2,FALSE)</f>
        <v>T_BAU</v>
      </c>
      <c r="R792" s="233" t="s">
        <v>526</v>
      </c>
      <c r="S792" s="233" t="s">
        <v>1125</v>
      </c>
      <c r="T792" s="234" t="s">
        <v>1113</v>
      </c>
      <c r="V792" s="233" t="str">
        <f>VLOOKUP(Table3[[#This Row],[Country Code]],Table29[],3,FALSE)</f>
        <v>Non-Annex I</v>
      </c>
      <c r="W792" s="233" t="str">
        <f>VLOOKUP(Table3[[#This Row],[Country Code]],Table29[],4,FALSE)</f>
        <v>Africa</v>
      </c>
      <c r="X792" s="233" t="str">
        <f>VLOOKUP(Table3[[#This Row],[Country Code]],Table29[],5,FALSE)</f>
        <v>Middle-income</v>
      </c>
      <c r="Y792" s="233" t="str">
        <f>VLOOKUP(Table3[[#This Row],[Country Code]],Table29[],6,FALSE)</f>
        <v>no</v>
      </c>
      <c r="Z792" s="233" t="str">
        <f>VLOOKUP(Table3[[#This Row],[Country Code]],Table29[],7,FALSE)</f>
        <v>no</v>
      </c>
      <c r="AA792" s="233" t="str">
        <f>VLOOKUP(Table3[[#This Row],[Country Code]],Table29[],8,FALSE)</f>
        <v>non-OECD</v>
      </c>
      <c r="AB792" s="233" t="str">
        <f>VLOOKUP(Table3[[#This Row],[Country Code]],Table29[],9,FALSE)</f>
        <v>no</v>
      </c>
      <c r="AC792" s="233" t="str">
        <f>VLOOKUP(Table3[[#This Row],[Country Code]],Table29[],10,FALSE)</f>
        <v>no</v>
      </c>
      <c r="AD792" s="235">
        <f>VLOOKUP(Table3[[#This Row],[Country Code]],Table29[],23,FALSE)</f>
        <v>12.885675050293001</v>
      </c>
      <c r="AE792" s="235">
        <f>VLOOKUP(Table3[[#This Row],[Country Code]],Table29[],24,FALSE)</f>
        <v>2.1850282301150679</v>
      </c>
      <c r="AF792" s="43"/>
    </row>
    <row r="793" spans="1:32" ht="30" x14ac:dyDescent="0.25">
      <c r="A793" s="360">
        <v>21982</v>
      </c>
      <c r="B793" s="233" t="str">
        <f>VLOOKUP(Table3[[#This Row],[Document ID]],Table1[],2,FALSE)</f>
        <v>NAM</v>
      </c>
      <c r="C793" s="233" t="str">
        <f>VLOOKUP(Table3[[#This Row],[Document ID]],Table1[],3,FALSE)</f>
        <v>Namibia</v>
      </c>
      <c r="D793" s="233" t="str">
        <f>VLOOKUP(Table3[[#This Row],[Document ID]],Table1[],5,FALSE)</f>
        <v>NDC</v>
      </c>
      <c r="E793" s="233" t="str">
        <f>VLOOKUP(Table3[[#This Row],[Document ID]],Table1[],7,FALSE)</f>
        <v>First NDC updated</v>
      </c>
      <c r="F793" s="233" t="str">
        <f>VLOOKUP(Table3[[#This Row],[Document ID]],Table1[],8,FALSE)</f>
        <v>NDC 1.1</v>
      </c>
      <c r="G793" s="233" t="str">
        <f>VLOOKUP(Table3[[#This Row],[Document ID]],Table1[],10,FALSE)</f>
        <v>Archived</v>
      </c>
      <c r="H793" s="42" t="s">
        <v>1095</v>
      </c>
      <c r="I793" s="42" t="s">
        <v>1096</v>
      </c>
      <c r="J793" s="42" t="s">
        <v>1097</v>
      </c>
      <c r="K793" s="28" t="s">
        <v>1104</v>
      </c>
      <c r="L793" s="42" t="s">
        <v>1099</v>
      </c>
      <c r="M793" s="209">
        <v>2030</v>
      </c>
      <c r="N793" s="209" t="s">
        <v>1906</v>
      </c>
      <c r="O793" s="259">
        <v>16</v>
      </c>
      <c r="P793" s="238" t="str">
        <f>VLOOKUP(_xlfn.CONCAT(Table3[[#This Row],[Target area]],Table3[[#This Row],[GHG target?]],Table3[[#This Row],[Conditionality]]),'Drop down'!$E$81:$F$101,2,FALSE)</f>
        <v>T_Transport_O_Unc</v>
      </c>
      <c r="Q793" s="239" t="str">
        <f>VLOOKUP(Table3[[#This Row],[Target type]],Table418[[Value name]:[Value idenifyer]],2,FALSE)</f>
        <v>T_O_ZERO</v>
      </c>
      <c r="S793" s="233" t="s">
        <v>1101</v>
      </c>
      <c r="T793" s="234" t="s">
        <v>1113</v>
      </c>
      <c r="V793" s="233" t="str">
        <f>VLOOKUP(Table3[[#This Row],[Country Code]],Table29[],3,FALSE)</f>
        <v>Non-Annex I</v>
      </c>
      <c r="W793" s="233" t="str">
        <f>VLOOKUP(Table3[[#This Row],[Country Code]],Table29[],4,FALSE)</f>
        <v>Africa</v>
      </c>
      <c r="X793" s="233" t="str">
        <f>VLOOKUP(Table3[[#This Row],[Country Code]],Table29[],5,FALSE)</f>
        <v>Middle-income</v>
      </c>
      <c r="Y793" s="233" t="str">
        <f>VLOOKUP(Table3[[#This Row],[Country Code]],Table29[],6,FALSE)</f>
        <v>no</v>
      </c>
      <c r="Z793" s="233" t="str">
        <f>VLOOKUP(Table3[[#This Row],[Country Code]],Table29[],7,FALSE)</f>
        <v>no</v>
      </c>
      <c r="AA793" s="233" t="str">
        <f>VLOOKUP(Table3[[#This Row],[Country Code]],Table29[],8,FALSE)</f>
        <v>non-OECD</v>
      </c>
      <c r="AB793" s="233" t="str">
        <f>VLOOKUP(Table3[[#This Row],[Country Code]],Table29[],9,FALSE)</f>
        <v>no</v>
      </c>
      <c r="AC793" s="233" t="str">
        <f>VLOOKUP(Table3[[#This Row],[Country Code]],Table29[],10,FALSE)</f>
        <v>no</v>
      </c>
      <c r="AD793" s="235">
        <f>VLOOKUP(Table3[[#This Row],[Country Code]],Table29[],23,FALSE)</f>
        <v>12.885675050293001</v>
      </c>
      <c r="AE793" s="235">
        <f>VLOOKUP(Table3[[#This Row],[Country Code]],Table29[],24,FALSE)</f>
        <v>2.1850282301150679</v>
      </c>
      <c r="AF793" s="43"/>
    </row>
    <row r="794" spans="1:32" ht="30" x14ac:dyDescent="0.25">
      <c r="A794" s="360">
        <v>21982</v>
      </c>
      <c r="B794" s="233" t="str">
        <f>VLOOKUP(Table3[[#This Row],[Document ID]],Table1[],2,FALSE)</f>
        <v>NAM</v>
      </c>
      <c r="C794" s="233" t="str">
        <f>VLOOKUP(Table3[[#This Row],[Document ID]],Table1[],3,FALSE)</f>
        <v>Namibia</v>
      </c>
      <c r="D794" s="233" t="str">
        <f>VLOOKUP(Table3[[#This Row],[Document ID]],Table1[],5,FALSE)</f>
        <v>NDC</v>
      </c>
      <c r="E794" s="233" t="str">
        <f>VLOOKUP(Table3[[#This Row],[Document ID]],Table1[],7,FALSE)</f>
        <v>First NDC updated</v>
      </c>
      <c r="F794" s="233" t="str">
        <f>VLOOKUP(Table3[[#This Row],[Document ID]],Table1[],8,FALSE)</f>
        <v>NDC 1.1</v>
      </c>
      <c r="G794" s="233" t="str">
        <f>VLOOKUP(Table3[[#This Row],[Document ID]],Table1[],10,FALSE)</f>
        <v>Archived</v>
      </c>
      <c r="H794" s="42" t="s">
        <v>1095</v>
      </c>
      <c r="I794" s="42" t="s">
        <v>1096</v>
      </c>
      <c r="J794" s="42" t="s">
        <v>1097</v>
      </c>
      <c r="K794" s="28" t="s">
        <v>1137</v>
      </c>
      <c r="L794" s="42" t="s">
        <v>1099</v>
      </c>
      <c r="M794" s="209">
        <v>2030</v>
      </c>
      <c r="N794" s="43" t="s">
        <v>1907</v>
      </c>
      <c r="O794" s="259">
        <v>16</v>
      </c>
      <c r="P794" s="238" t="str">
        <f>VLOOKUP(_xlfn.CONCAT(Table3[[#This Row],[Target area]],Table3[[#This Row],[GHG target?]],Table3[[#This Row],[Conditionality]]),'Drop down'!$E$81:$F$101,2,FALSE)</f>
        <v>T_Transport_O_Unc</v>
      </c>
      <c r="Q794" s="239" t="str">
        <f>VLOOKUP(Table3[[#This Row],[Target type]],Table418[[Value name]:[Value idenifyer]],2,FALSE)</f>
        <v>T_O_EFF</v>
      </c>
      <c r="S794" s="233" t="s">
        <v>1101</v>
      </c>
      <c r="T794" s="234" t="s">
        <v>1113</v>
      </c>
      <c r="V794" s="233" t="str">
        <f>VLOOKUP(Table3[[#This Row],[Country Code]],Table29[],3,FALSE)</f>
        <v>Non-Annex I</v>
      </c>
      <c r="W794" s="233" t="str">
        <f>VLOOKUP(Table3[[#This Row],[Country Code]],Table29[],4,FALSE)</f>
        <v>Africa</v>
      </c>
      <c r="X794" s="233" t="str">
        <f>VLOOKUP(Table3[[#This Row],[Country Code]],Table29[],5,FALSE)</f>
        <v>Middle-income</v>
      </c>
      <c r="Y794" s="233" t="str">
        <f>VLOOKUP(Table3[[#This Row],[Country Code]],Table29[],6,FALSE)</f>
        <v>no</v>
      </c>
      <c r="Z794" s="233" t="str">
        <f>VLOOKUP(Table3[[#This Row],[Country Code]],Table29[],7,FALSE)</f>
        <v>no</v>
      </c>
      <c r="AA794" s="233" t="str">
        <f>VLOOKUP(Table3[[#This Row],[Country Code]],Table29[],8,FALSE)</f>
        <v>non-OECD</v>
      </c>
      <c r="AB794" s="233" t="str">
        <f>VLOOKUP(Table3[[#This Row],[Country Code]],Table29[],9,FALSE)</f>
        <v>no</v>
      </c>
      <c r="AC794" s="233" t="str">
        <f>VLOOKUP(Table3[[#This Row],[Country Code]],Table29[],10,FALSE)</f>
        <v>no</v>
      </c>
      <c r="AD794" s="235">
        <f>VLOOKUP(Table3[[#This Row],[Country Code]],Table29[],23,FALSE)</f>
        <v>12.885675050293001</v>
      </c>
      <c r="AE794" s="235">
        <f>VLOOKUP(Table3[[#This Row],[Country Code]],Table29[],24,FALSE)</f>
        <v>2.1850282301150679</v>
      </c>
      <c r="AF794" s="43"/>
    </row>
    <row r="795" spans="1:32" ht="30" x14ac:dyDescent="0.25">
      <c r="A795" s="360">
        <v>21982</v>
      </c>
      <c r="B795" s="233" t="str">
        <f>VLOOKUP(Table3[[#This Row],[Document ID]],Table1[],2,FALSE)</f>
        <v>NAM</v>
      </c>
      <c r="C795" s="233" t="str">
        <f>VLOOKUP(Table3[[#This Row],[Document ID]],Table1[],3,FALSE)</f>
        <v>Namibia</v>
      </c>
      <c r="D795" s="233" t="str">
        <f>VLOOKUP(Table3[[#This Row],[Document ID]],Table1[],5,FALSE)</f>
        <v>NDC</v>
      </c>
      <c r="E795" s="233" t="str">
        <f>VLOOKUP(Table3[[#This Row],[Document ID]],Table1[],7,FALSE)</f>
        <v>First NDC updated</v>
      </c>
      <c r="F795" s="233" t="str">
        <f>VLOOKUP(Table3[[#This Row],[Document ID]],Table1[],8,FALSE)</f>
        <v>NDC 1.1</v>
      </c>
      <c r="G795" s="233" t="str">
        <f>VLOOKUP(Table3[[#This Row],[Document ID]],Table1[],10,FALSE)</f>
        <v>Archived</v>
      </c>
      <c r="H795" s="42" t="s">
        <v>1095</v>
      </c>
      <c r="I795" s="42" t="s">
        <v>1096</v>
      </c>
      <c r="J795" s="42" t="s">
        <v>1097</v>
      </c>
      <c r="K795" s="28" t="s">
        <v>1137</v>
      </c>
      <c r="L795" s="42" t="s">
        <v>1099</v>
      </c>
      <c r="M795" s="209">
        <v>2030</v>
      </c>
      <c r="N795" s="43" t="s">
        <v>1908</v>
      </c>
      <c r="O795" s="258">
        <v>16</v>
      </c>
      <c r="P795" s="238" t="str">
        <f>VLOOKUP(_xlfn.CONCAT(Table3[[#This Row],[Target area]],Table3[[#This Row],[GHG target?]],Table3[[#This Row],[Conditionality]]),'Drop down'!$E$81:$F$101,2,FALSE)</f>
        <v>T_Transport_O_Unc</v>
      </c>
      <c r="Q795" s="239" t="str">
        <f>VLOOKUP(Table3[[#This Row],[Target type]],Table418[[Value name]:[Value idenifyer]],2,FALSE)</f>
        <v>T_O_EFF</v>
      </c>
      <c r="S795" s="233" t="s">
        <v>1101</v>
      </c>
      <c r="T795" s="234" t="s">
        <v>1113</v>
      </c>
      <c r="V795" s="233" t="str">
        <f>VLOOKUP(Table3[[#This Row],[Country Code]],Table29[],3,FALSE)</f>
        <v>Non-Annex I</v>
      </c>
      <c r="W795" s="233" t="str">
        <f>VLOOKUP(Table3[[#This Row],[Country Code]],Table29[],4,FALSE)</f>
        <v>Africa</v>
      </c>
      <c r="X795" s="233" t="str">
        <f>VLOOKUP(Table3[[#This Row],[Country Code]],Table29[],5,FALSE)</f>
        <v>Middle-income</v>
      </c>
      <c r="Y795" s="233" t="str">
        <f>VLOOKUP(Table3[[#This Row],[Country Code]],Table29[],6,FALSE)</f>
        <v>no</v>
      </c>
      <c r="Z795" s="233" t="str">
        <f>VLOOKUP(Table3[[#This Row],[Country Code]],Table29[],7,FALSE)</f>
        <v>no</v>
      </c>
      <c r="AA795" s="233" t="str">
        <f>VLOOKUP(Table3[[#This Row],[Country Code]],Table29[],8,FALSE)</f>
        <v>non-OECD</v>
      </c>
      <c r="AB795" s="233" t="str">
        <f>VLOOKUP(Table3[[#This Row],[Country Code]],Table29[],9,FALSE)</f>
        <v>no</v>
      </c>
      <c r="AC795" s="233" t="str">
        <f>VLOOKUP(Table3[[#This Row],[Country Code]],Table29[],10,FALSE)</f>
        <v>no</v>
      </c>
      <c r="AD795" s="235">
        <f>VLOOKUP(Table3[[#This Row],[Country Code]],Table29[],23,FALSE)</f>
        <v>12.885675050293001</v>
      </c>
      <c r="AE795" s="235">
        <f>VLOOKUP(Table3[[#This Row],[Country Code]],Table29[],24,FALSE)</f>
        <v>2.1850282301150679</v>
      </c>
      <c r="AF795" s="43"/>
    </row>
    <row r="796" spans="1:32" ht="60" x14ac:dyDescent="0.25">
      <c r="A796" s="360">
        <v>29235</v>
      </c>
      <c r="B796" s="233" t="str">
        <f>VLOOKUP(Table3[[#This Row],[Document ID]],Table1[],2,FALSE)</f>
        <v>UGA</v>
      </c>
      <c r="C796" s="233" t="str">
        <f>VLOOKUP(Table3[[#This Row],[Document ID]],Table1[],3,FALSE)</f>
        <v>Uganda</v>
      </c>
      <c r="D796" s="233" t="str">
        <f>VLOOKUP(Table3[[#This Row],[Document ID]],Table1[],5,FALSE)</f>
        <v>NDC</v>
      </c>
      <c r="E796" s="233" t="str">
        <f>VLOOKUP(Table3[[#This Row],[Document ID]],Table1[],7,FALSE)</f>
        <v>First NDC updated</v>
      </c>
      <c r="F796" s="233" t="str">
        <f>VLOOKUP(Table3[[#This Row],[Document ID]],Table1[],8,FALSE)</f>
        <v>NDC 1.2</v>
      </c>
      <c r="G796" s="233" t="str">
        <f>VLOOKUP(Table3[[#This Row],[Document ID]],Table1[],10,FALSE)</f>
        <v>Active</v>
      </c>
      <c r="H796" s="43" t="s">
        <v>1139</v>
      </c>
      <c r="I796" s="43" t="s">
        <v>1115</v>
      </c>
      <c r="J796" s="42" t="s">
        <v>1097</v>
      </c>
      <c r="K796" s="28" t="s">
        <v>1140</v>
      </c>
      <c r="L796" s="42" t="s">
        <v>1099</v>
      </c>
      <c r="M796" s="209">
        <v>2025</v>
      </c>
      <c r="N796" s="209" t="s">
        <v>1909</v>
      </c>
      <c r="O796" s="257">
        <v>18</v>
      </c>
      <c r="P796" s="238" t="str">
        <f>VLOOKUP(_xlfn.CONCAT(Table3[[#This Row],[Target area]],Table3[[#This Row],[GHG target?]],Table3[[#This Row],[Conditionality]]),'Drop down'!$E$81:$F$101,2,FALSE)</f>
        <v>T_Adaptation_Unc</v>
      </c>
      <c r="Q796" s="239" t="str">
        <f>VLOOKUP(Table3[[#This Row],[Target type]],Table418[[Value name]:[Value idenifyer]],2,FALSE)</f>
        <v>T_A_GEN</v>
      </c>
      <c r="S796" s="233" t="s">
        <v>1125</v>
      </c>
      <c r="T796" s="240"/>
      <c r="V796" s="233" t="str">
        <f>VLOOKUP(Table3[[#This Row],[Country Code]],Table29[],3,FALSE)</f>
        <v>Non-Annex I</v>
      </c>
      <c r="W796" s="233" t="str">
        <f>VLOOKUP(Table3[[#This Row],[Country Code]],Table29[],4,FALSE)</f>
        <v>Africa</v>
      </c>
      <c r="X796" s="233" t="str">
        <f>VLOOKUP(Table3[[#This Row],[Country Code]],Table29[],5,FALSE)</f>
        <v>Low-income</v>
      </c>
      <c r="Y796" s="233" t="str">
        <f>VLOOKUP(Table3[[#This Row],[Country Code]],Table29[],6,FALSE)</f>
        <v>no</v>
      </c>
      <c r="Z796" s="233" t="str">
        <f>VLOOKUP(Table3[[#This Row],[Country Code]],Table29[],7,FALSE)</f>
        <v>no</v>
      </c>
      <c r="AA796" s="233" t="str">
        <f>VLOOKUP(Table3[[#This Row],[Country Code]],Table29[],8,FALSE)</f>
        <v>non-OECD</v>
      </c>
      <c r="AB796" s="233" t="str">
        <f>VLOOKUP(Table3[[#This Row],[Country Code]],Table29[],9,FALSE)</f>
        <v>no</v>
      </c>
      <c r="AC796" s="233" t="str">
        <f>VLOOKUP(Table3[[#This Row],[Country Code]],Table29[],10,FALSE)</f>
        <v>no</v>
      </c>
      <c r="AD796" s="235">
        <f>VLOOKUP(Table3[[#This Row],[Country Code]],Table29[],23,FALSE)</f>
        <v>53.370989410157001</v>
      </c>
      <c r="AE796" s="235">
        <f>VLOOKUP(Table3[[#This Row],[Country Code]],Table29[],24,FALSE)</f>
        <v>3.617994034151566</v>
      </c>
      <c r="AF796" s="43"/>
    </row>
    <row r="797" spans="1:32" ht="75" x14ac:dyDescent="0.25">
      <c r="A797" s="360">
        <v>29235</v>
      </c>
      <c r="B797" s="233" t="str">
        <f>VLOOKUP(Table3[[#This Row],[Document ID]],Table1[],2,FALSE)</f>
        <v>UGA</v>
      </c>
      <c r="C797" s="233" t="str">
        <f>VLOOKUP(Table3[[#This Row],[Document ID]],Table1[],3,FALSE)</f>
        <v>Uganda</v>
      </c>
      <c r="D797" s="233" t="str">
        <f>VLOOKUP(Table3[[#This Row],[Document ID]],Table1[],5,FALSE)</f>
        <v>NDC</v>
      </c>
      <c r="E797" s="233" t="str">
        <f>VLOOKUP(Table3[[#This Row],[Document ID]],Table1[],7,FALSE)</f>
        <v>First NDC updated</v>
      </c>
      <c r="F797" s="233" t="str">
        <f>VLOOKUP(Table3[[#This Row],[Document ID]],Table1[],8,FALSE)</f>
        <v>NDC 1.2</v>
      </c>
      <c r="G797" s="233" t="str">
        <f>VLOOKUP(Table3[[#This Row],[Document ID]],Table1[],10,FALSE)</f>
        <v>Active</v>
      </c>
      <c r="H797" s="43" t="s">
        <v>1139</v>
      </c>
      <c r="I797" s="43" t="s">
        <v>1115</v>
      </c>
      <c r="J797" s="42" t="s">
        <v>1097</v>
      </c>
      <c r="K797" s="28" t="s">
        <v>1140</v>
      </c>
      <c r="L797" s="42" t="s">
        <v>1099</v>
      </c>
      <c r="M797" s="209">
        <v>2025</v>
      </c>
      <c r="N797" s="209" t="s">
        <v>1910</v>
      </c>
      <c r="O797" s="257">
        <v>18</v>
      </c>
      <c r="P797" s="238" t="str">
        <f>VLOOKUP(_xlfn.CONCAT(Table3[[#This Row],[Target area]],Table3[[#This Row],[GHG target?]],Table3[[#This Row],[Conditionality]]),'Drop down'!$E$81:$F$101,2,FALSE)</f>
        <v>T_Adaptation_Unc</v>
      </c>
      <c r="Q797" s="239" t="str">
        <f>VLOOKUP(Table3[[#This Row],[Target type]],Table418[[Value name]:[Value idenifyer]],2,FALSE)</f>
        <v>T_A_GEN</v>
      </c>
      <c r="S797" s="233" t="s">
        <v>1125</v>
      </c>
      <c r="T797" s="240"/>
      <c r="V797" s="233" t="str">
        <f>VLOOKUP(Table3[[#This Row],[Country Code]],Table29[],3,FALSE)</f>
        <v>Non-Annex I</v>
      </c>
      <c r="W797" s="233" t="str">
        <f>VLOOKUP(Table3[[#This Row],[Country Code]],Table29[],4,FALSE)</f>
        <v>Africa</v>
      </c>
      <c r="X797" s="233" t="str">
        <f>VLOOKUP(Table3[[#This Row],[Country Code]],Table29[],5,FALSE)</f>
        <v>Low-income</v>
      </c>
      <c r="Y797" s="233" t="str">
        <f>VLOOKUP(Table3[[#This Row],[Country Code]],Table29[],6,FALSE)</f>
        <v>no</v>
      </c>
      <c r="Z797" s="233" t="str">
        <f>VLOOKUP(Table3[[#This Row],[Country Code]],Table29[],7,FALSE)</f>
        <v>no</v>
      </c>
      <c r="AA797" s="233" t="str">
        <f>VLOOKUP(Table3[[#This Row],[Country Code]],Table29[],8,FALSE)</f>
        <v>non-OECD</v>
      </c>
      <c r="AB797" s="233" t="str">
        <f>VLOOKUP(Table3[[#This Row],[Country Code]],Table29[],9,FALSE)</f>
        <v>no</v>
      </c>
      <c r="AC797" s="233" t="str">
        <f>VLOOKUP(Table3[[#This Row],[Country Code]],Table29[],10,FALSE)</f>
        <v>no</v>
      </c>
      <c r="AD797" s="235">
        <f>VLOOKUP(Table3[[#This Row],[Country Code]],Table29[],23,FALSE)</f>
        <v>53.370989410157001</v>
      </c>
      <c r="AE797" s="235">
        <f>VLOOKUP(Table3[[#This Row],[Country Code]],Table29[],24,FALSE)</f>
        <v>3.617994034151566</v>
      </c>
      <c r="AF797" s="43"/>
    </row>
    <row r="798" spans="1:32" x14ac:dyDescent="0.25">
      <c r="A798" s="360">
        <v>17769</v>
      </c>
      <c r="B798" s="233" t="str">
        <f>VLOOKUP(Table3[[#This Row],[Document ID]],Table1[],2,FALSE)</f>
        <v>UGA</v>
      </c>
      <c r="C798" s="233" t="str">
        <f>VLOOKUP(Table3[[#This Row],[Document ID]],Table1[],3,FALSE)</f>
        <v>Uganda</v>
      </c>
      <c r="D798" s="233" t="str">
        <f>VLOOKUP(Table3[[#This Row],[Document ID]],Table1[],5,FALSE)</f>
        <v>NDC</v>
      </c>
      <c r="E798" s="233" t="str">
        <f>VLOOKUP(Table3[[#This Row],[Document ID]],Table1[],7,FALSE)</f>
        <v>First NDC</v>
      </c>
      <c r="F798" s="233" t="str">
        <f>VLOOKUP(Table3[[#This Row],[Document ID]],Table1[],8,FALSE)</f>
        <v>NDC 1.0</v>
      </c>
      <c r="G798" s="233" t="str">
        <f>VLOOKUP(Table3[[#This Row],[Document ID]],Table1[],10,FALSE)</f>
        <v>Archived</v>
      </c>
      <c r="H798" s="216" t="s">
        <v>1089</v>
      </c>
      <c r="I798" s="216" t="s">
        <v>1089</v>
      </c>
      <c r="J798" s="43" t="s">
        <v>1090</v>
      </c>
      <c r="K798" s="28" t="s">
        <v>1091</v>
      </c>
      <c r="L798" s="216" t="s">
        <v>1092</v>
      </c>
      <c r="M798" s="209">
        <v>2030</v>
      </c>
      <c r="N798" s="176" t="s">
        <v>1911</v>
      </c>
      <c r="O798" s="258" t="s">
        <v>1094</v>
      </c>
      <c r="P798" s="238" t="str">
        <f>VLOOKUP(_xlfn.CONCAT(Table3[[#This Row],[Target area]],Table3[[#This Row],[GHG target?]],Table3[[#This Row],[Conditionality]]),'Drop down'!$E$81:$F$101,2,FALSE)</f>
        <v>T_Economy_C</v>
      </c>
      <c r="Q798" s="239" t="str">
        <f>VLOOKUP(Table3[[#This Row],[Target type]],Table418[[Value name]:[Value idenifyer]],2,FALSE)</f>
        <v>T_BAU</v>
      </c>
      <c r="S798" s="233" t="s">
        <v>1101</v>
      </c>
      <c r="T798" s="240"/>
      <c r="V798" s="233" t="str">
        <f>VLOOKUP(Table3[[#This Row],[Country Code]],Table29[],3,FALSE)</f>
        <v>Non-Annex I</v>
      </c>
      <c r="W798" s="233" t="str">
        <f>VLOOKUP(Table3[[#This Row],[Country Code]],Table29[],4,FALSE)</f>
        <v>Africa</v>
      </c>
      <c r="X798" s="233" t="str">
        <f>VLOOKUP(Table3[[#This Row],[Country Code]],Table29[],5,FALSE)</f>
        <v>Low-income</v>
      </c>
      <c r="Y798" s="233" t="str">
        <f>VLOOKUP(Table3[[#This Row],[Country Code]],Table29[],6,FALSE)</f>
        <v>no</v>
      </c>
      <c r="Z798" s="233" t="str">
        <f>VLOOKUP(Table3[[#This Row],[Country Code]],Table29[],7,FALSE)</f>
        <v>no</v>
      </c>
      <c r="AA798" s="233" t="str">
        <f>VLOOKUP(Table3[[#This Row],[Country Code]],Table29[],8,FALSE)</f>
        <v>non-OECD</v>
      </c>
      <c r="AB798" s="233" t="str">
        <f>VLOOKUP(Table3[[#This Row],[Country Code]],Table29[],9,FALSE)</f>
        <v>no</v>
      </c>
      <c r="AC798" s="233" t="str">
        <f>VLOOKUP(Table3[[#This Row],[Country Code]],Table29[],10,FALSE)</f>
        <v>no</v>
      </c>
      <c r="AD798" s="235">
        <f>VLOOKUP(Table3[[#This Row],[Country Code]],Table29[],23,FALSE)</f>
        <v>53.370989410157001</v>
      </c>
      <c r="AE798" s="235">
        <f>VLOOKUP(Table3[[#This Row],[Country Code]],Table29[],24,FALSE)</f>
        <v>3.617994034151566</v>
      </c>
      <c r="AF798" s="43"/>
    </row>
    <row r="799" spans="1:32" ht="105" x14ac:dyDescent="0.25">
      <c r="A799" s="360">
        <v>41743</v>
      </c>
      <c r="B799" s="233" t="str">
        <f>VLOOKUP(Table3[[#This Row],[Document ID]],Table1[],2,FALSE)</f>
        <v>NAM</v>
      </c>
      <c r="C799" s="233" t="str">
        <f>VLOOKUP(Table3[[#This Row],[Document ID]],Table1[],3,FALSE)</f>
        <v>Namibia</v>
      </c>
      <c r="D799" s="233" t="str">
        <f>VLOOKUP(Table3[[#This Row],[Document ID]],Table1[],5,FALSE)</f>
        <v>NDC</v>
      </c>
      <c r="E799" s="233" t="str">
        <f>VLOOKUP(Table3[[#This Row],[Document ID]],Table1[],7,FALSE)</f>
        <v>First NDC updated</v>
      </c>
      <c r="F799" s="241" t="str">
        <f>VLOOKUP(Table3[[#This Row],[Document ID]],Table1[],8,FALSE)</f>
        <v>NDC 1.2</v>
      </c>
      <c r="G799" s="233" t="str">
        <f>VLOOKUP(Table3[[#This Row],[Document ID]],Table1[],10,FALSE)</f>
        <v>Active</v>
      </c>
      <c r="H799" s="42" t="s">
        <v>1095</v>
      </c>
      <c r="I799" s="42" t="s">
        <v>1096</v>
      </c>
      <c r="J799" s="42" t="s">
        <v>1097</v>
      </c>
      <c r="K799" s="28" t="s">
        <v>1104</v>
      </c>
      <c r="L799" s="389" t="s">
        <v>1099</v>
      </c>
      <c r="M799" s="209">
        <v>2030</v>
      </c>
      <c r="N799" s="209" t="s">
        <v>1912</v>
      </c>
      <c r="O799" s="258">
        <v>26</v>
      </c>
      <c r="P799" s="238" t="str">
        <f>VLOOKUP(_xlfn.CONCAT(Table3[[#This Row],[Target area]],Table3[[#This Row],[GHG target?]],Table3[[#This Row],[Conditionality]]),'Drop down'!$E$81:$F$101,2,FALSE)</f>
        <v>T_Transport_O_Unc</v>
      </c>
      <c r="Q799" s="239" t="str">
        <f>VLOOKUP(Table3[[#This Row],[Target type]],Table418[[Value name]:[Value idenifyer]],2,FALSE)</f>
        <v>T_O_ZERO</v>
      </c>
      <c r="S799" s="233" t="s">
        <v>1101</v>
      </c>
      <c r="T799" s="240"/>
      <c r="V799" s="233" t="str">
        <f>VLOOKUP(Table3[[#This Row],[Country Code]],Table29[],3,FALSE)</f>
        <v>Non-Annex I</v>
      </c>
      <c r="W799" s="233" t="str">
        <f>VLOOKUP(Table3[[#This Row],[Country Code]],Table29[],4,FALSE)</f>
        <v>Africa</v>
      </c>
      <c r="X799" s="233" t="str">
        <f>VLOOKUP(Table3[[#This Row],[Country Code]],Table29[],5,FALSE)</f>
        <v>Middle-income</v>
      </c>
      <c r="Y799" s="233" t="str">
        <f>VLOOKUP(Table3[[#This Row],[Country Code]],Table29[],6,FALSE)</f>
        <v>no</v>
      </c>
      <c r="Z799" s="233" t="str">
        <f>VLOOKUP(Table3[[#This Row],[Country Code]],Table29[],7,FALSE)</f>
        <v>no</v>
      </c>
      <c r="AA799" s="233" t="str">
        <f>VLOOKUP(Table3[[#This Row],[Country Code]],Table29[],8,FALSE)</f>
        <v>non-OECD</v>
      </c>
      <c r="AB799" s="233" t="str">
        <f>VLOOKUP(Table3[[#This Row],[Country Code]],Table29[],9,FALSE)</f>
        <v>no</v>
      </c>
      <c r="AC799" s="233" t="str">
        <f>VLOOKUP(Table3[[#This Row],[Country Code]],Table29[],10,FALSE)</f>
        <v>no</v>
      </c>
      <c r="AD799" s="235">
        <f>VLOOKUP(Table3[[#This Row],[Country Code]],Table29[],23,FALSE)</f>
        <v>12.885675050293001</v>
      </c>
      <c r="AE799" s="235">
        <f>VLOOKUP(Table3[[#This Row],[Country Code]],Table29[],24,FALSE)</f>
        <v>2.1850282301150679</v>
      </c>
      <c r="AF799" s="42"/>
    </row>
    <row r="800" spans="1:32" x14ac:dyDescent="0.25">
      <c r="A800" s="360">
        <v>17771</v>
      </c>
      <c r="B800" s="233" t="str">
        <f>VLOOKUP(Table3[[#This Row],[Document ID]],Table1[],2,FALSE)</f>
        <v>UKR</v>
      </c>
      <c r="C800" s="233" t="str">
        <f>VLOOKUP(Table3[[#This Row],[Document ID]],Table1[],3,FALSE)</f>
        <v>Ukraine</v>
      </c>
      <c r="D800" s="233" t="str">
        <f>VLOOKUP(Table3[[#This Row],[Document ID]],Table1[],5,FALSE)</f>
        <v>LTS</v>
      </c>
      <c r="E800" s="233" t="str">
        <f>VLOOKUP(Table3[[#This Row],[Document ID]],Table1[],7,FALSE)</f>
        <v>LTS</v>
      </c>
      <c r="F800" s="233" t="str">
        <f>VLOOKUP(Table3[[#This Row],[Document ID]],Table1[],8,FALSE)</f>
        <v>LTS 1.0</v>
      </c>
      <c r="G800" s="233" t="str">
        <f>VLOOKUP(Table3[[#This Row],[Document ID]],Table1[],10,FALSE)</f>
        <v>Active</v>
      </c>
      <c r="H800" s="216" t="s">
        <v>1089</v>
      </c>
      <c r="I800" s="216" t="s">
        <v>1089</v>
      </c>
      <c r="J800" s="43" t="s">
        <v>1090</v>
      </c>
      <c r="K800" s="28" t="s">
        <v>1153</v>
      </c>
      <c r="L800" s="42" t="s">
        <v>1099</v>
      </c>
      <c r="M800" s="209">
        <v>2050</v>
      </c>
      <c r="N800" s="44" t="s">
        <v>1913</v>
      </c>
      <c r="O800" s="221">
        <v>13</v>
      </c>
      <c r="P800" s="238" t="str">
        <f>VLOOKUP(_xlfn.CONCAT(Table3[[#This Row],[Target area]],Table3[[#This Row],[GHG target?]],Table3[[#This Row],[Conditionality]]),'Drop down'!$E$81:$F$101,2,FALSE)</f>
        <v>T_Economy_Unc</v>
      </c>
      <c r="Q800" s="239" t="str">
        <f>VLOOKUP(Table3[[#This Row],[Target type]],Table418[[Value name]:[Value idenifyer]],2,FALSE)</f>
        <v>T_BYE</v>
      </c>
      <c r="T800" s="234" t="s">
        <v>1113</v>
      </c>
      <c r="V800" s="233" t="str">
        <f>VLOOKUP(Table3[[#This Row],[Country Code]],Table29[],3,FALSE)</f>
        <v>Annex I</v>
      </c>
      <c r="W800" s="233" t="str">
        <f>VLOOKUP(Table3[[#This Row],[Country Code]],Table29[],4,FALSE)</f>
        <v>Europe</v>
      </c>
      <c r="X800" s="233" t="str">
        <f>VLOOKUP(Table3[[#This Row],[Country Code]],Table29[],5,FALSE)</f>
        <v>Middle-income</v>
      </c>
      <c r="Y800" s="233" t="str">
        <f>VLOOKUP(Table3[[#This Row],[Country Code]],Table29[],6,FALSE)</f>
        <v>no</v>
      </c>
      <c r="Z800" s="233" t="str">
        <f>VLOOKUP(Table3[[#This Row],[Country Code]],Table29[],7,FALSE)</f>
        <v>no</v>
      </c>
      <c r="AA800" s="233" t="str">
        <f>VLOOKUP(Table3[[#This Row],[Country Code]],Table29[],8,FALSE)</f>
        <v>non-OECD</v>
      </c>
      <c r="AB800" s="233" t="str">
        <f>VLOOKUP(Table3[[#This Row],[Country Code]],Table29[],9,FALSE)</f>
        <v>no</v>
      </c>
      <c r="AC800" s="233" t="str">
        <f>VLOOKUP(Table3[[#This Row],[Country Code]],Table29[],10,FALSE)</f>
        <v>no</v>
      </c>
      <c r="AD800" s="235">
        <f>VLOOKUP(Table3[[#This Row],[Country Code]],Table29[],23,FALSE)</f>
        <v>216.09280539526</v>
      </c>
      <c r="AE800" s="235">
        <f>VLOOKUP(Table3[[#This Row],[Country Code]],Table29[],24,FALSE)</f>
        <v>22.57062743711105</v>
      </c>
      <c r="AF800" s="43"/>
    </row>
    <row r="801" spans="1:32" x14ac:dyDescent="0.25">
      <c r="A801" s="360">
        <v>21412</v>
      </c>
      <c r="B801" s="233" t="str">
        <f>VLOOKUP(Table3[[#This Row],[Document ID]],Table1[],2,FALSE)</f>
        <v>UKR</v>
      </c>
      <c r="C801" s="233" t="str">
        <f>VLOOKUP(Table3[[#This Row],[Document ID]],Table1[],3,FALSE)</f>
        <v>Ukraine</v>
      </c>
      <c r="D801" s="233" t="str">
        <f>VLOOKUP(Table3[[#This Row],[Document ID]],Table1[],5,FALSE)</f>
        <v>NDC</v>
      </c>
      <c r="E801" s="233" t="str">
        <f>VLOOKUP(Table3[[#This Row],[Document ID]],Table1[],7,FALSE)</f>
        <v>First NDC updated</v>
      </c>
      <c r="F801" s="233" t="str">
        <f>VLOOKUP(Table3[[#This Row],[Document ID]],Table1[],8,FALSE)</f>
        <v>NDC 1.1</v>
      </c>
      <c r="G801" s="233" t="str">
        <f>VLOOKUP(Table3[[#This Row],[Document ID]],Table1[],10,FALSE)</f>
        <v>Active</v>
      </c>
      <c r="H801" s="216" t="s">
        <v>1089</v>
      </c>
      <c r="I801" s="216" t="s">
        <v>1089</v>
      </c>
      <c r="J801" s="43" t="s">
        <v>1090</v>
      </c>
      <c r="K801" s="28" t="s">
        <v>1153</v>
      </c>
      <c r="L801" s="216" t="s">
        <v>1092</v>
      </c>
      <c r="M801" s="209">
        <v>2030</v>
      </c>
      <c r="N801" s="44" t="s">
        <v>1914</v>
      </c>
      <c r="O801" s="258">
        <v>2</v>
      </c>
      <c r="P801" s="238" t="str">
        <f>VLOOKUP(_xlfn.CONCAT(Table3[[#This Row],[Target area]],Table3[[#This Row],[GHG target?]],Table3[[#This Row],[Conditionality]]),'Drop down'!$E$81:$F$101,2,FALSE)</f>
        <v>T_Economy_C</v>
      </c>
      <c r="Q801" s="239" t="str">
        <f>VLOOKUP(Table3[[#This Row],[Target type]],Table418[[Value name]:[Value idenifyer]],2,FALSE)</f>
        <v>T_BYE</v>
      </c>
      <c r="T801" s="234" t="s">
        <v>1113</v>
      </c>
      <c r="V801" s="233" t="str">
        <f>VLOOKUP(Table3[[#This Row],[Country Code]],Table29[],3,FALSE)</f>
        <v>Annex I</v>
      </c>
      <c r="W801" s="233" t="str">
        <f>VLOOKUP(Table3[[#This Row],[Country Code]],Table29[],4,FALSE)</f>
        <v>Europe</v>
      </c>
      <c r="X801" s="233" t="str">
        <f>VLOOKUP(Table3[[#This Row],[Country Code]],Table29[],5,FALSE)</f>
        <v>Middle-income</v>
      </c>
      <c r="Y801" s="233" t="str">
        <f>VLOOKUP(Table3[[#This Row],[Country Code]],Table29[],6,FALSE)</f>
        <v>no</v>
      </c>
      <c r="Z801" s="233" t="str">
        <f>VLOOKUP(Table3[[#This Row],[Country Code]],Table29[],7,FALSE)</f>
        <v>no</v>
      </c>
      <c r="AA801" s="233" t="str">
        <f>VLOOKUP(Table3[[#This Row],[Country Code]],Table29[],8,FALSE)</f>
        <v>non-OECD</v>
      </c>
      <c r="AB801" s="233" t="str">
        <f>VLOOKUP(Table3[[#This Row],[Country Code]],Table29[],9,FALSE)</f>
        <v>no</v>
      </c>
      <c r="AC801" s="233" t="str">
        <f>VLOOKUP(Table3[[#This Row],[Country Code]],Table29[],10,FALSE)</f>
        <v>no</v>
      </c>
      <c r="AD801" s="235">
        <f>VLOOKUP(Table3[[#This Row],[Country Code]],Table29[],23,FALSE)</f>
        <v>216.09280539526</v>
      </c>
      <c r="AE801" s="235">
        <f>VLOOKUP(Table3[[#This Row],[Country Code]],Table29[],24,FALSE)</f>
        <v>22.57062743711105</v>
      </c>
      <c r="AF801" s="43"/>
    </row>
    <row r="802" spans="1:32" x14ac:dyDescent="0.25">
      <c r="A802" s="360">
        <v>17770</v>
      </c>
      <c r="B802" s="233" t="str">
        <f>VLOOKUP(Table3[[#This Row],[Document ID]],Table1[],2,FALSE)</f>
        <v>UKR</v>
      </c>
      <c r="C802" s="233" t="str">
        <f>VLOOKUP(Table3[[#This Row],[Document ID]],Table1[],3,FALSE)</f>
        <v>Ukraine</v>
      </c>
      <c r="D802" s="233" t="str">
        <f>VLOOKUP(Table3[[#This Row],[Document ID]],Table1[],5,FALSE)</f>
        <v>NDC</v>
      </c>
      <c r="E802" s="233" t="str">
        <f>VLOOKUP(Table3[[#This Row],[Document ID]],Table1[],7,FALSE)</f>
        <v>First NDC</v>
      </c>
      <c r="F802" s="233" t="str">
        <f>VLOOKUP(Table3[[#This Row],[Document ID]],Table1[],8,FALSE)</f>
        <v>NDC 1.0</v>
      </c>
      <c r="G802" s="233" t="str">
        <f>VLOOKUP(Table3[[#This Row],[Document ID]],Table1[],10,FALSE)</f>
        <v>Archived</v>
      </c>
      <c r="H802" s="216" t="s">
        <v>1089</v>
      </c>
      <c r="I802" s="216" t="s">
        <v>1089</v>
      </c>
      <c r="J802" s="43" t="s">
        <v>1090</v>
      </c>
      <c r="K802" s="28" t="s">
        <v>1153</v>
      </c>
      <c r="L802" s="42" t="s">
        <v>1099</v>
      </c>
      <c r="M802" s="209">
        <v>2030</v>
      </c>
      <c r="N802" s="176" t="s">
        <v>1915</v>
      </c>
      <c r="O802" s="258" t="s">
        <v>1094</v>
      </c>
      <c r="P802" s="238" t="str">
        <f>VLOOKUP(_xlfn.CONCAT(Table3[[#This Row],[Target area]],Table3[[#This Row],[GHG target?]],Table3[[#This Row],[Conditionality]]),'Drop down'!$E$81:$F$101,2,FALSE)</f>
        <v>T_Economy_Unc</v>
      </c>
      <c r="Q802" s="239" t="str">
        <f>VLOOKUP(Table3[[#This Row],[Target type]],Table418[[Value name]:[Value idenifyer]],2,FALSE)</f>
        <v>T_BYE</v>
      </c>
      <c r="T802" s="234" t="s">
        <v>1113</v>
      </c>
      <c r="V802" s="233" t="str">
        <f>VLOOKUP(Table3[[#This Row],[Country Code]],Table29[],3,FALSE)</f>
        <v>Annex I</v>
      </c>
      <c r="W802" s="233" t="str">
        <f>VLOOKUP(Table3[[#This Row],[Country Code]],Table29[],4,FALSE)</f>
        <v>Europe</v>
      </c>
      <c r="X802" s="233" t="str">
        <f>VLOOKUP(Table3[[#This Row],[Country Code]],Table29[],5,FALSE)</f>
        <v>Middle-income</v>
      </c>
      <c r="Y802" s="233" t="str">
        <f>VLOOKUP(Table3[[#This Row],[Country Code]],Table29[],6,FALSE)</f>
        <v>no</v>
      </c>
      <c r="Z802" s="233" t="str">
        <f>VLOOKUP(Table3[[#This Row],[Country Code]],Table29[],7,FALSE)</f>
        <v>no</v>
      </c>
      <c r="AA802" s="233" t="str">
        <f>VLOOKUP(Table3[[#This Row],[Country Code]],Table29[],8,FALSE)</f>
        <v>non-OECD</v>
      </c>
      <c r="AB802" s="233" t="str">
        <f>VLOOKUP(Table3[[#This Row],[Country Code]],Table29[],9,FALSE)</f>
        <v>no</v>
      </c>
      <c r="AC802" s="233" t="str">
        <f>VLOOKUP(Table3[[#This Row],[Country Code]],Table29[],10,FALSE)</f>
        <v>no</v>
      </c>
      <c r="AD802" s="235">
        <f>VLOOKUP(Table3[[#This Row],[Country Code]],Table29[],23,FALSE)</f>
        <v>216.09280539526</v>
      </c>
      <c r="AE802" s="235">
        <f>VLOOKUP(Table3[[#This Row],[Country Code]],Table29[],24,FALSE)</f>
        <v>22.57062743711105</v>
      </c>
      <c r="AF802" s="43"/>
    </row>
    <row r="803" spans="1:32" x14ac:dyDescent="0.25">
      <c r="A803" s="360">
        <v>17773</v>
      </c>
      <c r="B803" s="233" t="str">
        <f>VLOOKUP(Table3[[#This Row],[Document ID]],Table1[],2,FALSE)</f>
        <v>ARE</v>
      </c>
      <c r="C803" s="233" t="str">
        <f>VLOOKUP(Table3[[#This Row],[Document ID]],Table1[],3,FALSE)</f>
        <v>United Arab Emirates</v>
      </c>
      <c r="D803" s="233" t="str">
        <f>VLOOKUP(Table3[[#This Row],[Document ID]],Table1[],5,FALSE)</f>
        <v>NDC</v>
      </c>
      <c r="E803" s="233" t="str">
        <f>VLOOKUP(Table3[[#This Row],[Document ID]],Table1[],7,FALSE)</f>
        <v>Second NDC</v>
      </c>
      <c r="F803" s="233" t="str">
        <f>VLOOKUP(Table3[[#This Row],[Document ID]],Table1[],8,FALSE)</f>
        <v>NDC 2.0</v>
      </c>
      <c r="G803" s="233" t="str">
        <f>VLOOKUP(Table3[[#This Row],[Document ID]],Table1[],10,FALSE)</f>
        <v>Archived</v>
      </c>
      <c r="H803" s="216" t="s">
        <v>1089</v>
      </c>
      <c r="I803" s="216" t="s">
        <v>1089</v>
      </c>
      <c r="J803" s="43" t="s">
        <v>1090</v>
      </c>
      <c r="K803" s="28" t="s">
        <v>1091</v>
      </c>
      <c r="L803" s="42" t="s">
        <v>1099</v>
      </c>
      <c r="M803" s="209">
        <v>2030</v>
      </c>
      <c r="N803" s="44" t="s">
        <v>1916</v>
      </c>
      <c r="O803" s="221">
        <v>2</v>
      </c>
      <c r="P803" s="238" t="str">
        <f>VLOOKUP(_xlfn.CONCAT(Table3[[#This Row],[Target area]],Table3[[#This Row],[GHG target?]],Table3[[#This Row],[Conditionality]]),'Drop down'!$E$81:$F$101,2,FALSE)</f>
        <v>T_Economy_Unc</v>
      </c>
      <c r="Q803" s="239" t="str">
        <f>VLOOKUP(Table3[[#This Row],[Target type]],Table418[[Value name]:[Value idenifyer]],2,FALSE)</f>
        <v>T_BAU</v>
      </c>
      <c r="S803" s="233" t="s">
        <v>1101</v>
      </c>
      <c r="T803" s="234" t="s">
        <v>1113</v>
      </c>
      <c r="V803" s="233" t="str">
        <f>VLOOKUP(Table3[[#This Row],[Country Code]],Table29[],3,FALSE)</f>
        <v>Non-Annex I</v>
      </c>
      <c r="W803" s="233" t="str">
        <f>VLOOKUP(Table3[[#This Row],[Country Code]],Table29[],4,FALSE)</f>
        <v>Asia</v>
      </c>
      <c r="X803" s="233" t="str">
        <f>VLOOKUP(Table3[[#This Row],[Country Code]],Table29[],5,FALSE)</f>
        <v>High-income</v>
      </c>
      <c r="Y803" s="233" t="str">
        <f>VLOOKUP(Table3[[#This Row],[Country Code]],Table29[],6,FALSE)</f>
        <v>no</v>
      </c>
      <c r="Z803" s="233" t="str">
        <f>VLOOKUP(Table3[[#This Row],[Country Code]],Table29[],7,FALSE)</f>
        <v>no</v>
      </c>
      <c r="AA803" s="233" t="str">
        <f>VLOOKUP(Table3[[#This Row],[Country Code]],Table29[],8,FALSE)</f>
        <v>non-OECD</v>
      </c>
      <c r="AB803" s="233" t="str">
        <f>VLOOKUP(Table3[[#This Row],[Country Code]],Table29[],9,FALSE)</f>
        <v>no</v>
      </c>
      <c r="AC803" s="233" t="str">
        <f>VLOOKUP(Table3[[#This Row],[Country Code]],Table29[],10,FALSE)</f>
        <v>MENA</v>
      </c>
      <c r="AD803" s="235">
        <f>VLOOKUP(Table3[[#This Row],[Country Code]],Table29[],23,FALSE)</f>
        <v>267.82319378585998</v>
      </c>
      <c r="AE803" s="235">
        <f>VLOOKUP(Table3[[#This Row],[Country Code]],Table29[],24,FALSE)</f>
        <v>43.860911308351241</v>
      </c>
      <c r="AF803" s="43"/>
    </row>
    <row r="804" spans="1:32" ht="30" x14ac:dyDescent="0.25">
      <c r="A804" s="360">
        <v>24790</v>
      </c>
      <c r="B804" s="233" t="str">
        <f>VLOOKUP(Table3[[#This Row],[Document ID]],Table1[],2,FALSE)</f>
        <v>NER</v>
      </c>
      <c r="C804" s="233" t="str">
        <f>VLOOKUP(Table3[[#This Row],[Document ID]],Table1[],3,FALSE)</f>
        <v>Niger</v>
      </c>
      <c r="D804" s="233" t="str">
        <f>VLOOKUP(Table3[[#This Row],[Document ID]],Table1[],5,FALSE)</f>
        <v>NDC</v>
      </c>
      <c r="E804" s="233" t="str">
        <f>VLOOKUP(Table3[[#This Row],[Document ID]],Table1[],7,FALSE)</f>
        <v>First NDC updated</v>
      </c>
      <c r="F804" s="233" t="str">
        <f>VLOOKUP(Table3[[#This Row],[Document ID]],Table1[],8,FALSE)</f>
        <v>NDC 1.1</v>
      </c>
      <c r="G804" s="233" t="str">
        <f>VLOOKUP(Table3[[#This Row],[Document ID]],Table1[],10,FALSE)</f>
        <v>Active</v>
      </c>
      <c r="H804" s="42" t="s">
        <v>1095</v>
      </c>
      <c r="I804" s="42" t="s">
        <v>1096</v>
      </c>
      <c r="J804" s="42" t="s">
        <v>1097</v>
      </c>
      <c r="K804" s="28" t="s">
        <v>1137</v>
      </c>
      <c r="L804" s="42" t="s">
        <v>1099</v>
      </c>
      <c r="M804" s="209">
        <v>2030</v>
      </c>
      <c r="N804" s="209" t="s">
        <v>1917</v>
      </c>
      <c r="O804" s="257">
        <v>16</v>
      </c>
      <c r="P804" s="238" t="str">
        <f>VLOOKUP(_xlfn.CONCAT(Table3[[#This Row],[Target area]],Table3[[#This Row],[GHG target?]],Table3[[#This Row],[Conditionality]]),'Drop down'!$E$81:$F$101,2,FALSE)</f>
        <v>T_Transport_O_Unc</v>
      </c>
      <c r="Q804" s="239" t="str">
        <f>VLOOKUP(Table3[[#This Row],[Target type]],Table418[[Value name]:[Value idenifyer]],2,FALSE)</f>
        <v>T_O_EFF</v>
      </c>
      <c r="S804" s="233" t="s">
        <v>1101</v>
      </c>
      <c r="T804" s="240"/>
      <c r="V804" s="233" t="str">
        <f>VLOOKUP(Table3[[#This Row],[Country Code]],Table29[],3,FALSE)</f>
        <v>Non-Annex I</v>
      </c>
      <c r="W804" s="233" t="str">
        <f>VLOOKUP(Table3[[#This Row],[Country Code]],Table29[],4,FALSE)</f>
        <v>Africa</v>
      </c>
      <c r="X804" s="233" t="str">
        <f>VLOOKUP(Table3[[#This Row],[Country Code]],Table29[],5,FALSE)</f>
        <v>Low-income</v>
      </c>
      <c r="Y804" s="233" t="str">
        <f>VLOOKUP(Table3[[#This Row],[Country Code]],Table29[],6,FALSE)</f>
        <v>no</v>
      </c>
      <c r="Z804" s="233" t="str">
        <f>VLOOKUP(Table3[[#This Row],[Country Code]],Table29[],7,FALSE)</f>
        <v>no</v>
      </c>
      <c r="AA804" s="233" t="str">
        <f>VLOOKUP(Table3[[#This Row],[Country Code]],Table29[],8,FALSE)</f>
        <v>non-OECD</v>
      </c>
      <c r="AB804" s="233" t="str">
        <f>VLOOKUP(Table3[[#This Row],[Country Code]],Table29[],9,FALSE)</f>
        <v>no</v>
      </c>
      <c r="AC804" s="233" t="str">
        <f>VLOOKUP(Table3[[#This Row],[Country Code]],Table29[],10,FALSE)</f>
        <v>no</v>
      </c>
      <c r="AD804" s="235">
        <f>VLOOKUP(Table3[[#This Row],[Country Code]],Table29[],23,FALSE)</f>
        <v>42.334092053638997</v>
      </c>
      <c r="AE804" s="235">
        <f>VLOOKUP(Table3[[#This Row],[Country Code]],Table29[],24,FALSE)</f>
        <v>1.2904826169822099</v>
      </c>
      <c r="AF804" s="43"/>
    </row>
    <row r="805" spans="1:32" ht="30" x14ac:dyDescent="0.25">
      <c r="A805" s="360">
        <v>24790</v>
      </c>
      <c r="B805" s="233" t="str">
        <f>VLOOKUP(Table3[[#This Row],[Document ID]],Table1[],2,FALSE)</f>
        <v>NER</v>
      </c>
      <c r="C805" s="233" t="str">
        <f>VLOOKUP(Table3[[#This Row],[Document ID]],Table1[],3,FALSE)</f>
        <v>Niger</v>
      </c>
      <c r="D805" s="233" t="str">
        <f>VLOOKUP(Table3[[#This Row],[Document ID]],Table1[],5,FALSE)</f>
        <v>NDC</v>
      </c>
      <c r="E805" s="233" t="str">
        <f>VLOOKUP(Table3[[#This Row],[Document ID]],Table1[],7,FALSE)</f>
        <v>First NDC updated</v>
      </c>
      <c r="F805" s="233" t="str">
        <f>VLOOKUP(Table3[[#This Row],[Document ID]],Table1[],8,FALSE)</f>
        <v>NDC 1.1</v>
      </c>
      <c r="G805" s="233" t="str">
        <f>VLOOKUP(Table3[[#This Row],[Document ID]],Table1[],10,FALSE)</f>
        <v>Active</v>
      </c>
      <c r="H805" s="42" t="s">
        <v>1095</v>
      </c>
      <c r="I805" s="42" t="s">
        <v>1096</v>
      </c>
      <c r="J805" s="42" t="s">
        <v>1097</v>
      </c>
      <c r="K805" s="28" t="s">
        <v>1137</v>
      </c>
      <c r="L805" s="42" t="s">
        <v>1099</v>
      </c>
      <c r="M805" s="209">
        <v>2030</v>
      </c>
      <c r="N805" s="209" t="s">
        <v>1918</v>
      </c>
      <c r="O805" s="257">
        <v>16</v>
      </c>
      <c r="P805" s="238" t="str">
        <f>VLOOKUP(_xlfn.CONCAT(Table3[[#This Row],[Target area]],Table3[[#This Row],[GHG target?]],Table3[[#This Row],[Conditionality]]),'Drop down'!$E$81:$F$101,2,FALSE)</f>
        <v>T_Transport_O_Unc</v>
      </c>
      <c r="Q805" s="239" t="str">
        <f>VLOOKUP(Table3[[#This Row],[Target type]],Table418[[Value name]:[Value idenifyer]],2,FALSE)</f>
        <v>T_O_EFF</v>
      </c>
      <c r="S805" s="233" t="s">
        <v>1101</v>
      </c>
      <c r="T805" s="240"/>
      <c r="V805" s="233" t="str">
        <f>VLOOKUP(Table3[[#This Row],[Country Code]],Table29[],3,FALSE)</f>
        <v>Non-Annex I</v>
      </c>
      <c r="W805" s="233" t="str">
        <f>VLOOKUP(Table3[[#This Row],[Country Code]],Table29[],4,FALSE)</f>
        <v>Africa</v>
      </c>
      <c r="X805" s="233" t="str">
        <f>VLOOKUP(Table3[[#This Row],[Country Code]],Table29[],5,FALSE)</f>
        <v>Low-income</v>
      </c>
      <c r="Y805" s="233" t="str">
        <f>VLOOKUP(Table3[[#This Row],[Country Code]],Table29[],6,FALSE)</f>
        <v>no</v>
      </c>
      <c r="Z805" s="233" t="str">
        <f>VLOOKUP(Table3[[#This Row],[Country Code]],Table29[],7,FALSE)</f>
        <v>no</v>
      </c>
      <c r="AA805" s="233" t="str">
        <f>VLOOKUP(Table3[[#This Row],[Country Code]],Table29[],8,FALSE)</f>
        <v>non-OECD</v>
      </c>
      <c r="AB805" s="233" t="str">
        <f>VLOOKUP(Table3[[#This Row],[Country Code]],Table29[],9,FALSE)</f>
        <v>no</v>
      </c>
      <c r="AC805" s="233" t="str">
        <f>VLOOKUP(Table3[[#This Row],[Country Code]],Table29[],10,FALSE)</f>
        <v>no</v>
      </c>
      <c r="AD805" s="235">
        <f>VLOOKUP(Table3[[#This Row],[Country Code]],Table29[],23,FALSE)</f>
        <v>42.334092053638997</v>
      </c>
      <c r="AE805" s="235">
        <f>VLOOKUP(Table3[[#This Row],[Country Code]],Table29[],24,FALSE)</f>
        <v>1.2904826169822099</v>
      </c>
      <c r="AF805" s="43"/>
    </row>
    <row r="806" spans="1:32" x14ac:dyDescent="0.25">
      <c r="A806" s="360">
        <v>29234</v>
      </c>
      <c r="B806" s="233" t="str">
        <f>VLOOKUP(Table3[[#This Row],[Document ID]],Table1[],2,FALSE)</f>
        <v>ARE</v>
      </c>
      <c r="C806" s="233" t="str">
        <f>VLOOKUP(Table3[[#This Row],[Document ID]],Table1[],3,FALSE)</f>
        <v>United Arab Emirates</v>
      </c>
      <c r="D806" s="233" t="str">
        <f>VLOOKUP(Table3[[#This Row],[Document ID]],Table1[],5,FALSE)</f>
        <v>NDC</v>
      </c>
      <c r="E806" s="233" t="str">
        <f>VLOOKUP(Table3[[#This Row],[Document ID]],Table1[],7,FALSE)</f>
        <v>Second NDC updated</v>
      </c>
      <c r="F806" s="233" t="str">
        <f>VLOOKUP(Table3[[#This Row],[Document ID]],Table1[],8,FALSE)</f>
        <v>NDC 2.1</v>
      </c>
      <c r="G806" s="233" t="str">
        <f>VLOOKUP(Table3[[#This Row],[Document ID]],Table1[],10,FALSE)</f>
        <v>Archived</v>
      </c>
      <c r="H806" s="216" t="s">
        <v>1089</v>
      </c>
      <c r="I806" s="216" t="s">
        <v>1089</v>
      </c>
      <c r="J806" s="43" t="s">
        <v>1090</v>
      </c>
      <c r="K806" s="28" t="s">
        <v>1091</v>
      </c>
      <c r="L806" s="42" t="s">
        <v>1099</v>
      </c>
      <c r="M806" s="209">
        <v>2030</v>
      </c>
      <c r="N806" s="209" t="s">
        <v>1919</v>
      </c>
      <c r="O806" s="257">
        <v>8</v>
      </c>
      <c r="P806" s="238" t="str">
        <f>VLOOKUP(_xlfn.CONCAT(Table3[[#This Row],[Target area]],Table3[[#This Row],[GHG target?]],Table3[[#This Row],[Conditionality]]),'Drop down'!$E$81:$F$101,2,FALSE)</f>
        <v>T_Economy_Unc</v>
      </c>
      <c r="Q806" s="239" t="str">
        <f>VLOOKUP(Table3[[#This Row],[Target type]],Table418[[Value name]:[Value idenifyer]],2,FALSE)</f>
        <v>T_BAU</v>
      </c>
      <c r="S806" s="233" t="s">
        <v>1125</v>
      </c>
      <c r="T806" s="234" t="s">
        <v>1113</v>
      </c>
      <c r="V806" s="233" t="str">
        <f>VLOOKUP(Table3[[#This Row],[Country Code]],Table29[],3,FALSE)</f>
        <v>Non-Annex I</v>
      </c>
      <c r="W806" s="233" t="str">
        <f>VLOOKUP(Table3[[#This Row],[Country Code]],Table29[],4,FALSE)</f>
        <v>Asia</v>
      </c>
      <c r="X806" s="233" t="str">
        <f>VLOOKUP(Table3[[#This Row],[Country Code]],Table29[],5,FALSE)</f>
        <v>High-income</v>
      </c>
      <c r="Y806" s="233" t="str">
        <f>VLOOKUP(Table3[[#This Row],[Country Code]],Table29[],6,FALSE)</f>
        <v>no</v>
      </c>
      <c r="Z806" s="233" t="str">
        <f>VLOOKUP(Table3[[#This Row],[Country Code]],Table29[],7,FALSE)</f>
        <v>no</v>
      </c>
      <c r="AA806" s="233" t="str">
        <f>VLOOKUP(Table3[[#This Row],[Country Code]],Table29[],8,FALSE)</f>
        <v>non-OECD</v>
      </c>
      <c r="AB806" s="233" t="str">
        <f>VLOOKUP(Table3[[#This Row],[Country Code]],Table29[],9,FALSE)</f>
        <v>no</v>
      </c>
      <c r="AC806" s="233" t="str">
        <f>VLOOKUP(Table3[[#This Row],[Country Code]],Table29[],10,FALSE)</f>
        <v>MENA</v>
      </c>
      <c r="AD806" s="235">
        <f>VLOOKUP(Table3[[#This Row],[Country Code]],Table29[],23,FALSE)</f>
        <v>267.82319378585998</v>
      </c>
      <c r="AE806" s="235">
        <f>VLOOKUP(Table3[[#This Row],[Country Code]],Table29[],24,FALSE)</f>
        <v>43.860911308351241</v>
      </c>
      <c r="AF806" s="43"/>
    </row>
    <row r="807" spans="1:32" ht="30" x14ac:dyDescent="0.25">
      <c r="A807" s="360">
        <v>24790</v>
      </c>
      <c r="B807" s="233" t="str">
        <f>VLOOKUP(Table3[[#This Row],[Document ID]],Table1[],2,FALSE)</f>
        <v>NER</v>
      </c>
      <c r="C807" s="233" t="str">
        <f>VLOOKUP(Table3[[#This Row],[Document ID]],Table1[],3,FALSE)</f>
        <v>Niger</v>
      </c>
      <c r="D807" s="233" t="str">
        <f>VLOOKUP(Table3[[#This Row],[Document ID]],Table1[],5,FALSE)</f>
        <v>NDC</v>
      </c>
      <c r="E807" s="233" t="str">
        <f>VLOOKUP(Table3[[#This Row],[Document ID]],Table1[],7,FALSE)</f>
        <v>First NDC updated</v>
      </c>
      <c r="F807" s="233" t="str">
        <f>VLOOKUP(Table3[[#This Row],[Document ID]],Table1[],8,FALSE)</f>
        <v>NDC 1.1</v>
      </c>
      <c r="G807" s="233" t="str">
        <f>VLOOKUP(Table3[[#This Row],[Document ID]],Table1[],10,FALSE)</f>
        <v>Active</v>
      </c>
      <c r="H807" s="42" t="s">
        <v>1095</v>
      </c>
      <c r="I807" s="42" t="s">
        <v>1096</v>
      </c>
      <c r="J807" s="42" t="s">
        <v>1097</v>
      </c>
      <c r="K807" s="28" t="s">
        <v>1137</v>
      </c>
      <c r="L807" s="42" t="s">
        <v>1099</v>
      </c>
      <c r="M807" s="209">
        <v>2030</v>
      </c>
      <c r="N807" s="209" t="s">
        <v>1920</v>
      </c>
      <c r="O807" s="257">
        <v>16</v>
      </c>
      <c r="P807" s="238" t="str">
        <f>VLOOKUP(_xlfn.CONCAT(Table3[[#This Row],[Target area]],Table3[[#This Row],[GHG target?]],Table3[[#This Row],[Conditionality]]),'Drop down'!$E$81:$F$101,2,FALSE)</f>
        <v>T_Transport_O_Unc</v>
      </c>
      <c r="Q807" s="239" t="str">
        <f>VLOOKUP(Table3[[#This Row],[Target type]],Table418[[Value name]:[Value idenifyer]],2,FALSE)</f>
        <v>T_O_EFF</v>
      </c>
      <c r="S807" s="233" t="s">
        <v>1101</v>
      </c>
      <c r="T807" s="240"/>
      <c r="V807" s="233" t="str">
        <f>VLOOKUP(Table3[[#This Row],[Country Code]],Table29[],3,FALSE)</f>
        <v>Non-Annex I</v>
      </c>
      <c r="W807" s="233" t="str">
        <f>VLOOKUP(Table3[[#This Row],[Country Code]],Table29[],4,FALSE)</f>
        <v>Africa</v>
      </c>
      <c r="X807" s="233" t="str">
        <f>VLOOKUP(Table3[[#This Row],[Country Code]],Table29[],5,FALSE)</f>
        <v>Low-income</v>
      </c>
      <c r="Y807" s="233" t="str">
        <f>VLOOKUP(Table3[[#This Row],[Country Code]],Table29[],6,FALSE)</f>
        <v>no</v>
      </c>
      <c r="Z807" s="233" t="str">
        <f>VLOOKUP(Table3[[#This Row],[Country Code]],Table29[],7,FALSE)</f>
        <v>no</v>
      </c>
      <c r="AA807" s="233" t="str">
        <f>VLOOKUP(Table3[[#This Row],[Country Code]],Table29[],8,FALSE)</f>
        <v>non-OECD</v>
      </c>
      <c r="AB807" s="233" t="str">
        <f>VLOOKUP(Table3[[#This Row],[Country Code]],Table29[],9,FALSE)</f>
        <v>no</v>
      </c>
      <c r="AC807" s="233" t="str">
        <f>VLOOKUP(Table3[[#This Row],[Country Code]],Table29[],10,FALSE)</f>
        <v>no</v>
      </c>
      <c r="AD807" s="235">
        <f>VLOOKUP(Table3[[#This Row],[Country Code]],Table29[],23,FALSE)</f>
        <v>42.334092053638997</v>
      </c>
      <c r="AE807" s="235">
        <f>VLOOKUP(Table3[[#This Row],[Country Code]],Table29[],24,FALSE)</f>
        <v>1.2904826169822099</v>
      </c>
      <c r="AF807" s="43"/>
    </row>
    <row r="808" spans="1:32" ht="30" x14ac:dyDescent="0.25">
      <c r="A808" s="360">
        <v>17684</v>
      </c>
      <c r="B808" s="233" t="str">
        <f>VLOOKUP(Table3[[#This Row],[Document ID]],Table1[],2,FALSE)</f>
        <v>NGA</v>
      </c>
      <c r="C808" s="233" t="str">
        <f>VLOOKUP(Table3[[#This Row],[Document ID]],Table1[],3,FALSE)</f>
        <v>Nigeria</v>
      </c>
      <c r="D808" s="233" t="str">
        <f>VLOOKUP(Table3[[#This Row],[Document ID]],Table1[],5,FALSE)</f>
        <v>NDC</v>
      </c>
      <c r="E808" s="233" t="str">
        <f>VLOOKUP(Table3[[#This Row],[Document ID]],Table1[],7,FALSE)</f>
        <v>First NDC</v>
      </c>
      <c r="F808" s="233" t="str">
        <f>VLOOKUP(Table3[[#This Row],[Document ID]],Table1[],8,FALSE)</f>
        <v>NDC 1.0</v>
      </c>
      <c r="G808" s="233" t="str">
        <f>VLOOKUP(Table3[[#This Row],[Document ID]],Table1[],10,FALSE)</f>
        <v>Archived</v>
      </c>
      <c r="H808" s="42" t="s">
        <v>1095</v>
      </c>
      <c r="I808" s="42" t="s">
        <v>1096</v>
      </c>
      <c r="J808" s="42" t="s">
        <v>1097</v>
      </c>
      <c r="K808" s="28" t="s">
        <v>1102</v>
      </c>
      <c r="L808" s="43" t="s">
        <v>1092</v>
      </c>
      <c r="M808" s="209">
        <v>2030</v>
      </c>
      <c r="N808" s="44" t="s">
        <v>1921</v>
      </c>
      <c r="O808" s="221">
        <v>11</v>
      </c>
      <c r="P808" s="238" t="str">
        <f>VLOOKUP(_xlfn.CONCAT(Table3[[#This Row],[Target area]],Table3[[#This Row],[GHG target?]],Table3[[#This Row],[Conditionality]]),'Drop down'!$E$81:$F$101,2,FALSE)</f>
        <v>T_Transport_O_C</v>
      </c>
      <c r="Q808" s="239" t="str">
        <f>VLOOKUP(Table3[[#This Row],[Target type]],Table418[[Value name]:[Value idenifyer]],2,FALSE)</f>
        <v>T_O_BIO</v>
      </c>
      <c r="S808" s="233" t="s">
        <v>1101</v>
      </c>
      <c r="T808" s="234" t="s">
        <v>1113</v>
      </c>
      <c r="V808" s="233" t="str">
        <f>VLOOKUP(Table3[[#This Row],[Country Code]],Table29[],3,FALSE)</f>
        <v>Non-Annex I</v>
      </c>
      <c r="W808" s="233" t="str">
        <f>VLOOKUP(Table3[[#This Row],[Country Code]],Table29[],4,FALSE)</f>
        <v>Africa</v>
      </c>
      <c r="X808" s="233" t="str">
        <f>VLOOKUP(Table3[[#This Row],[Country Code]],Table29[],5,FALSE)</f>
        <v>Middle-income</v>
      </c>
      <c r="Y808" s="233" t="str">
        <f>VLOOKUP(Table3[[#This Row],[Country Code]],Table29[],6,FALSE)</f>
        <v>no</v>
      </c>
      <c r="Z808" s="233" t="str">
        <f>VLOOKUP(Table3[[#This Row],[Country Code]],Table29[],7,FALSE)</f>
        <v>no</v>
      </c>
      <c r="AA808" s="233" t="str">
        <f>VLOOKUP(Table3[[#This Row],[Country Code]],Table29[],8,FALSE)</f>
        <v>non-OECD</v>
      </c>
      <c r="AB808" s="233" t="str">
        <f>VLOOKUP(Table3[[#This Row],[Country Code]],Table29[],9,FALSE)</f>
        <v>no</v>
      </c>
      <c r="AC808" s="233" t="str">
        <f>VLOOKUP(Table3[[#This Row],[Country Code]],Table29[],10,FALSE)</f>
        <v>no</v>
      </c>
      <c r="AD808" s="235">
        <f>VLOOKUP(Table3[[#This Row],[Country Code]],Table29[],23,FALSE)</f>
        <v>385.11288377147002</v>
      </c>
      <c r="AE808" s="235">
        <f>VLOOKUP(Table3[[#This Row],[Country Code]],Table29[],24,FALSE)</f>
        <v>58.971195919965467</v>
      </c>
      <c r="AF808" s="43"/>
    </row>
    <row r="809" spans="1:32" ht="30" x14ac:dyDescent="0.25">
      <c r="A809" s="360">
        <v>39455</v>
      </c>
      <c r="B809" s="233" t="str">
        <f>VLOOKUP(Table3[[#This Row],[Document ID]],Table1[],2,FALSE)</f>
        <v>ARE</v>
      </c>
      <c r="C809" s="233" t="str">
        <f>VLOOKUP(Table3[[#This Row],[Document ID]],Table1[],3,FALSE)</f>
        <v>United Arab Emirates</v>
      </c>
      <c r="D809" s="233" t="str">
        <f>VLOOKUP(Table3[[#This Row],[Document ID]],Table1[],5,FALSE)</f>
        <v>NDC</v>
      </c>
      <c r="E809" s="233" t="str">
        <f>VLOOKUP(Table3[[#This Row],[Document ID]],Table1[],7,FALSE)</f>
        <v>Second NDC updated</v>
      </c>
      <c r="F809" s="241" t="str">
        <f>VLOOKUP(Table3[[#This Row],[Document ID]],Table1[],8,FALSE)</f>
        <v>NDC 2.2</v>
      </c>
      <c r="G809" s="233" t="str">
        <f>VLOOKUP(Table3[[#This Row],[Document ID]],Table1[],10,FALSE)</f>
        <v>Archived</v>
      </c>
      <c r="H809" s="216" t="s">
        <v>1089</v>
      </c>
      <c r="I809" s="216" t="s">
        <v>1089</v>
      </c>
      <c r="J809" s="43" t="s">
        <v>1090</v>
      </c>
      <c r="K809" s="28" t="s">
        <v>1121</v>
      </c>
      <c r="L809" s="42" t="s">
        <v>1099</v>
      </c>
      <c r="M809" s="209">
        <v>2030</v>
      </c>
      <c r="N809" s="209" t="s">
        <v>1922</v>
      </c>
      <c r="O809" s="258">
        <v>57</v>
      </c>
      <c r="P809" s="238" t="str">
        <f>VLOOKUP(_xlfn.CONCAT(Table3[[#This Row],[Target area]],Table3[[#This Row],[GHG target?]],Table3[[#This Row],[Conditionality]]),'Drop down'!$E$81:$F$101,2,FALSE)</f>
        <v>T_Economy_Unc</v>
      </c>
      <c r="Q809" s="239" t="str">
        <f>VLOOKUP(Table3[[#This Row],[Target type]],Table418[[Value name]:[Value idenifyer]],2,FALSE)</f>
        <v>T_FL</v>
      </c>
      <c r="T809" s="234" t="s">
        <v>1113</v>
      </c>
      <c r="V809" s="233" t="str">
        <f>VLOOKUP(Table3[[#This Row],[Country Code]],Table29[],3,FALSE)</f>
        <v>Non-Annex I</v>
      </c>
      <c r="W809" s="233" t="str">
        <f>VLOOKUP(Table3[[#This Row],[Country Code]],Table29[],4,FALSE)</f>
        <v>Asia</v>
      </c>
      <c r="X809" s="233" t="str">
        <f>VLOOKUP(Table3[[#This Row],[Country Code]],Table29[],5,FALSE)</f>
        <v>High-income</v>
      </c>
      <c r="Y809" s="233" t="str">
        <f>VLOOKUP(Table3[[#This Row],[Country Code]],Table29[],6,FALSE)</f>
        <v>no</v>
      </c>
      <c r="Z809" s="233" t="str">
        <f>VLOOKUP(Table3[[#This Row],[Country Code]],Table29[],7,FALSE)</f>
        <v>no</v>
      </c>
      <c r="AA809" s="233" t="str">
        <f>VLOOKUP(Table3[[#This Row],[Country Code]],Table29[],8,FALSE)</f>
        <v>non-OECD</v>
      </c>
      <c r="AB809" s="233" t="str">
        <f>VLOOKUP(Table3[[#This Row],[Country Code]],Table29[],9,FALSE)</f>
        <v>no</v>
      </c>
      <c r="AC809" s="233" t="str">
        <f>VLOOKUP(Table3[[#This Row],[Country Code]],Table29[],10,FALSE)</f>
        <v>MENA</v>
      </c>
      <c r="AD809" s="235">
        <f>VLOOKUP(Table3[[#This Row],[Country Code]],Table29[],23,FALSE)</f>
        <v>267.82319378585998</v>
      </c>
      <c r="AE809" s="235">
        <f>VLOOKUP(Table3[[#This Row],[Country Code]],Table29[],24,FALSE)</f>
        <v>43.860911308351241</v>
      </c>
      <c r="AF809" s="43"/>
    </row>
    <row r="810" spans="1:32" x14ac:dyDescent="0.25">
      <c r="A810" s="360">
        <v>26787</v>
      </c>
      <c r="B810" s="233" t="str">
        <f>VLOOKUP(Table3[[#This Row],[Document ID]],Table1[],2,FALSE)</f>
        <v>NGA</v>
      </c>
      <c r="C810" s="233" t="str">
        <f>VLOOKUP(Table3[[#This Row],[Document ID]],Table1[],3,FALSE)</f>
        <v>Nigeria</v>
      </c>
      <c r="D810" s="233" t="str">
        <f>VLOOKUP(Table3[[#This Row],[Document ID]],Table1[],5,FALSE)</f>
        <v>LTS</v>
      </c>
      <c r="E810" s="233" t="str">
        <f>VLOOKUP(Table3[[#This Row],[Document ID]],Table1[],7,FALSE)</f>
        <v>Archived LTS 1.0</v>
      </c>
      <c r="F810" s="233" t="str">
        <f>VLOOKUP(Table3[[#This Row],[Document ID]],Table1[],8,FALSE)</f>
        <v>LTS 1.0</v>
      </c>
      <c r="G810" s="233" t="str">
        <f>VLOOKUP(Table3[[#This Row],[Document ID]],Table1[],10,FALSE)</f>
        <v>Archived</v>
      </c>
      <c r="H810" s="42" t="s">
        <v>1095</v>
      </c>
      <c r="I810" s="43" t="s">
        <v>1115</v>
      </c>
      <c r="J810" s="43" t="s">
        <v>1090</v>
      </c>
      <c r="K810" s="28" t="s">
        <v>1121</v>
      </c>
      <c r="L810" s="42" t="s">
        <v>1099</v>
      </c>
      <c r="M810" s="209">
        <v>2030</v>
      </c>
      <c r="N810" s="17" t="s">
        <v>1923</v>
      </c>
      <c r="O810" s="257">
        <v>27</v>
      </c>
      <c r="P810" s="238" t="str">
        <f>VLOOKUP(_xlfn.CONCAT(Table3[[#This Row],[Target area]],Table3[[#This Row],[GHG target?]],Table3[[#This Row],[Conditionality]]),'Drop down'!$E$81:$F$101,2,FALSE)</f>
        <v>T_Transport_Unc</v>
      </c>
      <c r="Q810" s="239" t="str">
        <f>VLOOKUP(Table3[[#This Row],[Target type]],Table418[[Value name]:[Value idenifyer]],2,FALSE)</f>
        <v>T_FL</v>
      </c>
      <c r="R810" s="233" t="s">
        <v>526</v>
      </c>
      <c r="S810" s="233" t="s">
        <v>1125</v>
      </c>
      <c r="T810" s="234" t="s">
        <v>1113</v>
      </c>
      <c r="V810" s="233" t="str">
        <f>VLOOKUP(Table3[[#This Row],[Country Code]],Table29[],3,FALSE)</f>
        <v>Non-Annex I</v>
      </c>
      <c r="W810" s="233" t="str">
        <f>VLOOKUP(Table3[[#This Row],[Country Code]],Table29[],4,FALSE)</f>
        <v>Africa</v>
      </c>
      <c r="X810" s="233" t="str">
        <f>VLOOKUP(Table3[[#This Row],[Country Code]],Table29[],5,FALSE)</f>
        <v>Middle-income</v>
      </c>
      <c r="Y810" s="233" t="str">
        <f>VLOOKUP(Table3[[#This Row],[Country Code]],Table29[],6,FALSE)</f>
        <v>no</v>
      </c>
      <c r="Z810" s="233" t="str">
        <f>VLOOKUP(Table3[[#This Row],[Country Code]],Table29[],7,FALSE)</f>
        <v>no</v>
      </c>
      <c r="AA810" s="233" t="str">
        <f>VLOOKUP(Table3[[#This Row],[Country Code]],Table29[],8,FALSE)</f>
        <v>non-OECD</v>
      </c>
      <c r="AB810" s="233" t="str">
        <f>VLOOKUP(Table3[[#This Row],[Country Code]],Table29[],9,FALSE)</f>
        <v>no</v>
      </c>
      <c r="AC810" s="233" t="str">
        <f>VLOOKUP(Table3[[#This Row],[Country Code]],Table29[],10,FALSE)</f>
        <v>no</v>
      </c>
      <c r="AD810" s="235">
        <f>VLOOKUP(Table3[[#This Row],[Country Code]],Table29[],23,FALSE)</f>
        <v>385.11288377147002</v>
      </c>
      <c r="AE810" s="235">
        <f>VLOOKUP(Table3[[#This Row],[Country Code]],Table29[],24,FALSE)</f>
        <v>58.971195919965467</v>
      </c>
      <c r="AF810" s="43"/>
    </row>
    <row r="811" spans="1:32" ht="90" x14ac:dyDescent="0.25">
      <c r="A811" s="360">
        <v>26787</v>
      </c>
      <c r="B811" s="233" t="str">
        <f>VLOOKUP(Table3[[#This Row],[Document ID]],Table1[],2,FALSE)</f>
        <v>NGA</v>
      </c>
      <c r="C811" s="233" t="str">
        <f>VLOOKUP(Table3[[#This Row],[Document ID]],Table1[],3,FALSE)</f>
        <v>Nigeria</v>
      </c>
      <c r="D811" s="233" t="str">
        <f>VLOOKUP(Table3[[#This Row],[Document ID]],Table1[],5,FALSE)</f>
        <v>LTS</v>
      </c>
      <c r="E811" s="233" t="str">
        <f>VLOOKUP(Table3[[#This Row],[Document ID]],Table1[],7,FALSE)</f>
        <v>Archived LTS 1.0</v>
      </c>
      <c r="F811" s="233" t="str">
        <f>VLOOKUP(Table3[[#This Row],[Document ID]],Table1[],8,FALSE)</f>
        <v>LTS 1.0</v>
      </c>
      <c r="G811" s="233" t="str">
        <f>VLOOKUP(Table3[[#This Row],[Document ID]],Table1[],10,FALSE)</f>
        <v>Archived</v>
      </c>
      <c r="H811" s="42" t="s">
        <v>1095</v>
      </c>
      <c r="I811" s="42" t="s">
        <v>1096</v>
      </c>
      <c r="J811" s="42" t="s">
        <v>1097</v>
      </c>
      <c r="K811" s="28" t="s">
        <v>1098</v>
      </c>
      <c r="L811" s="42" t="s">
        <v>1099</v>
      </c>
      <c r="M811" s="209">
        <v>2050</v>
      </c>
      <c r="N811" s="209" t="s">
        <v>1924</v>
      </c>
      <c r="O811" s="257">
        <v>27</v>
      </c>
      <c r="P811" s="238" t="str">
        <f>VLOOKUP(_xlfn.CONCAT(Table3[[#This Row],[Target area]],Table3[[#This Row],[GHG target?]],Table3[[#This Row],[Conditionality]]),'Drop down'!$E$81:$F$101,2,FALSE)</f>
        <v>T_Transport_O_Unc</v>
      </c>
      <c r="Q811" s="239" t="str">
        <f>VLOOKUP(Table3[[#This Row],[Target type]],Table418[[Value name]:[Value idenifyer]],2,FALSE)</f>
        <v>T_O_MODE</v>
      </c>
      <c r="S811" s="233" t="s">
        <v>1125</v>
      </c>
      <c r="T811" s="234" t="s">
        <v>1113</v>
      </c>
      <c r="V811" s="233" t="str">
        <f>VLOOKUP(Table3[[#This Row],[Country Code]],Table29[],3,FALSE)</f>
        <v>Non-Annex I</v>
      </c>
      <c r="W811" s="233" t="str">
        <f>VLOOKUP(Table3[[#This Row],[Country Code]],Table29[],4,FALSE)</f>
        <v>Africa</v>
      </c>
      <c r="X811" s="233" t="str">
        <f>VLOOKUP(Table3[[#This Row],[Country Code]],Table29[],5,FALSE)</f>
        <v>Middle-income</v>
      </c>
      <c r="Y811" s="233" t="str">
        <f>VLOOKUP(Table3[[#This Row],[Country Code]],Table29[],6,FALSE)</f>
        <v>no</v>
      </c>
      <c r="Z811" s="233" t="str">
        <f>VLOOKUP(Table3[[#This Row],[Country Code]],Table29[],7,FALSE)</f>
        <v>no</v>
      </c>
      <c r="AA811" s="233" t="str">
        <f>VLOOKUP(Table3[[#This Row],[Country Code]],Table29[],8,FALSE)</f>
        <v>non-OECD</v>
      </c>
      <c r="AB811" s="233" t="str">
        <f>VLOOKUP(Table3[[#This Row],[Country Code]],Table29[],9,FALSE)</f>
        <v>no</v>
      </c>
      <c r="AC811" s="233" t="str">
        <f>VLOOKUP(Table3[[#This Row],[Country Code]],Table29[],10,FALSE)</f>
        <v>no</v>
      </c>
      <c r="AD811" s="235">
        <f>VLOOKUP(Table3[[#This Row],[Country Code]],Table29[],23,FALSE)</f>
        <v>385.11288377147002</v>
      </c>
      <c r="AE811" s="235">
        <f>VLOOKUP(Table3[[#This Row],[Country Code]],Table29[],24,FALSE)</f>
        <v>58.971195919965467</v>
      </c>
      <c r="AF811" s="43"/>
    </row>
    <row r="812" spans="1:32" x14ac:dyDescent="0.25">
      <c r="A812" s="360">
        <v>32509</v>
      </c>
      <c r="B812" s="233" t="str">
        <f>VLOOKUP(Table3[[#This Row],[Document ID]],Table1[],2,FALSE)</f>
        <v>NGA</v>
      </c>
      <c r="C812" s="233" t="str">
        <f>VLOOKUP(Table3[[#This Row],[Document ID]],Table1[],3,FALSE)</f>
        <v>Nigeria</v>
      </c>
      <c r="D812" s="233" t="str">
        <f>VLOOKUP(Table3[[#This Row],[Document ID]],Table1[],5,FALSE)</f>
        <v>NDC</v>
      </c>
      <c r="E812" s="233" t="str">
        <f>VLOOKUP(Table3[[#This Row],[Document ID]],Table1[],7,FALSE)</f>
        <v>First NDC updated</v>
      </c>
      <c r="F812" s="233" t="str">
        <f>VLOOKUP(Table3[[#This Row],[Document ID]],Table1[],8,FALSE)</f>
        <v>NDC 1.2</v>
      </c>
      <c r="G812" s="233" t="str">
        <f>VLOOKUP(Table3[[#This Row],[Document ID]],Table1[],10,FALSE)</f>
        <v>Active</v>
      </c>
      <c r="H812" s="42" t="s">
        <v>1095</v>
      </c>
      <c r="I812" s="42" t="s">
        <v>1096</v>
      </c>
      <c r="J812" s="42" t="s">
        <v>1097</v>
      </c>
      <c r="K812" s="28" t="s">
        <v>1098</v>
      </c>
      <c r="L812" s="43" t="s">
        <v>1092</v>
      </c>
      <c r="M812" s="209">
        <v>2030</v>
      </c>
      <c r="N812" s="17" t="s">
        <v>1925</v>
      </c>
      <c r="O812" s="221">
        <v>22</v>
      </c>
      <c r="P812" s="238" t="str">
        <f>VLOOKUP(_xlfn.CONCAT(Table3[[#This Row],[Target area]],Table3[[#This Row],[GHG target?]],Table3[[#This Row],[Conditionality]]),'Drop down'!$E$81:$F$101,2,FALSE)</f>
        <v>T_Transport_O_C</v>
      </c>
      <c r="Q812" s="239" t="str">
        <f>VLOOKUP(Table3[[#This Row],[Target type]],Table418[[Value name]:[Value idenifyer]],2,FALSE)</f>
        <v>T_O_MODE</v>
      </c>
      <c r="S812" s="233" t="s">
        <v>1101</v>
      </c>
      <c r="T812" s="234" t="s">
        <v>1113</v>
      </c>
      <c r="V812" s="233" t="str">
        <f>VLOOKUP(Table3[[#This Row],[Country Code]],Table29[],3,FALSE)</f>
        <v>Non-Annex I</v>
      </c>
      <c r="W812" s="233" t="str">
        <f>VLOOKUP(Table3[[#This Row],[Country Code]],Table29[],4,FALSE)</f>
        <v>Africa</v>
      </c>
      <c r="X812" s="233" t="str">
        <f>VLOOKUP(Table3[[#This Row],[Country Code]],Table29[],5,FALSE)</f>
        <v>Middle-income</v>
      </c>
      <c r="Y812" s="233" t="str">
        <f>VLOOKUP(Table3[[#This Row],[Country Code]],Table29[],6,FALSE)</f>
        <v>no</v>
      </c>
      <c r="Z812" s="233" t="str">
        <f>VLOOKUP(Table3[[#This Row],[Country Code]],Table29[],7,FALSE)</f>
        <v>no</v>
      </c>
      <c r="AA812" s="233" t="str">
        <f>VLOOKUP(Table3[[#This Row],[Country Code]],Table29[],8,FALSE)</f>
        <v>non-OECD</v>
      </c>
      <c r="AB812" s="233" t="str">
        <f>VLOOKUP(Table3[[#This Row],[Country Code]],Table29[],9,FALSE)</f>
        <v>no</v>
      </c>
      <c r="AC812" s="233" t="str">
        <f>VLOOKUP(Table3[[#This Row],[Country Code]],Table29[],10,FALSE)</f>
        <v>no</v>
      </c>
      <c r="AD812" s="235">
        <f>VLOOKUP(Table3[[#This Row],[Country Code]],Table29[],23,FALSE)</f>
        <v>385.11288377147002</v>
      </c>
      <c r="AE812" s="235">
        <f>VLOOKUP(Table3[[#This Row],[Country Code]],Table29[],24,FALSE)</f>
        <v>58.971195919965467</v>
      </c>
      <c r="AF812" s="43"/>
    </row>
    <row r="813" spans="1:32" x14ac:dyDescent="0.25">
      <c r="A813" s="360">
        <v>32509</v>
      </c>
      <c r="B813" s="233" t="str">
        <f>VLOOKUP(Table3[[#This Row],[Document ID]],Table1[],2,FALSE)</f>
        <v>NGA</v>
      </c>
      <c r="C813" s="233" t="str">
        <f>VLOOKUP(Table3[[#This Row],[Document ID]],Table1[],3,FALSE)</f>
        <v>Nigeria</v>
      </c>
      <c r="D813" s="233" t="str">
        <f>VLOOKUP(Table3[[#This Row],[Document ID]],Table1[],5,FALSE)</f>
        <v>NDC</v>
      </c>
      <c r="E813" s="233" t="str">
        <f>VLOOKUP(Table3[[#This Row],[Document ID]],Table1[],7,FALSE)</f>
        <v>First NDC updated</v>
      </c>
      <c r="F813" s="233" t="str">
        <f>VLOOKUP(Table3[[#This Row],[Document ID]],Table1[],8,FALSE)</f>
        <v>NDC 1.2</v>
      </c>
      <c r="G813" s="233" t="str">
        <f>VLOOKUP(Table3[[#This Row],[Document ID]],Table1[],10,FALSE)</f>
        <v>Active</v>
      </c>
      <c r="H813" s="42" t="s">
        <v>1095</v>
      </c>
      <c r="I813" s="42" t="s">
        <v>1096</v>
      </c>
      <c r="J813" s="42" t="s">
        <v>1097</v>
      </c>
      <c r="K813" s="28" t="s">
        <v>1098</v>
      </c>
      <c r="L813" s="43" t="s">
        <v>1092</v>
      </c>
      <c r="M813" s="209">
        <v>2035</v>
      </c>
      <c r="N813" s="24" t="s">
        <v>1926</v>
      </c>
      <c r="O813" s="221">
        <v>22</v>
      </c>
      <c r="P813" s="238" t="str">
        <f>VLOOKUP(_xlfn.CONCAT(Table3[[#This Row],[Target area]],Table3[[#This Row],[GHG target?]],Table3[[#This Row],[Conditionality]]),'Drop down'!$E$81:$F$101,2,FALSE)</f>
        <v>T_Transport_O_C</v>
      </c>
      <c r="Q813" s="239" t="str">
        <f>VLOOKUP(Table3[[#This Row],[Target type]],Table418[[Value name]:[Value idenifyer]],2,FALSE)</f>
        <v>T_O_MODE</v>
      </c>
      <c r="S813" s="233" t="s">
        <v>1101</v>
      </c>
      <c r="T813" s="234" t="s">
        <v>1113</v>
      </c>
      <c r="V813" s="233" t="str">
        <f>VLOOKUP(Table3[[#This Row],[Country Code]],Table29[],3,FALSE)</f>
        <v>Non-Annex I</v>
      </c>
      <c r="W813" s="233" t="str">
        <f>VLOOKUP(Table3[[#This Row],[Country Code]],Table29[],4,FALSE)</f>
        <v>Africa</v>
      </c>
      <c r="X813" s="233" t="str">
        <f>VLOOKUP(Table3[[#This Row],[Country Code]],Table29[],5,FALSE)</f>
        <v>Middle-income</v>
      </c>
      <c r="Y813" s="233" t="str">
        <f>VLOOKUP(Table3[[#This Row],[Country Code]],Table29[],6,FALSE)</f>
        <v>no</v>
      </c>
      <c r="Z813" s="233" t="str">
        <f>VLOOKUP(Table3[[#This Row],[Country Code]],Table29[],7,FALSE)</f>
        <v>no</v>
      </c>
      <c r="AA813" s="233" t="str">
        <f>VLOOKUP(Table3[[#This Row],[Country Code]],Table29[],8,FALSE)</f>
        <v>non-OECD</v>
      </c>
      <c r="AB813" s="233" t="str">
        <f>VLOOKUP(Table3[[#This Row],[Country Code]],Table29[],9,FALSE)</f>
        <v>no</v>
      </c>
      <c r="AC813" s="233" t="str">
        <f>VLOOKUP(Table3[[#This Row],[Country Code]],Table29[],10,FALSE)</f>
        <v>no</v>
      </c>
      <c r="AD813" s="235">
        <f>VLOOKUP(Table3[[#This Row],[Country Code]],Table29[],23,FALSE)</f>
        <v>385.11288377147002</v>
      </c>
      <c r="AE813" s="235">
        <f>VLOOKUP(Table3[[#This Row],[Country Code]],Table29[],24,FALSE)</f>
        <v>58.971195919965467</v>
      </c>
      <c r="AF813" s="43"/>
    </row>
    <row r="814" spans="1:32" ht="90" x14ac:dyDescent="0.25">
      <c r="A814" s="360">
        <v>17628</v>
      </c>
      <c r="B814" s="233" t="str">
        <f>VLOOKUP(Table3[[#This Row],[Document ID]],Table1[],2,FALSE)</f>
        <v>JPN</v>
      </c>
      <c r="C814" s="233" t="str">
        <f>VLOOKUP(Table3[[#This Row],[Document ID]],Table1[],3,FALSE)</f>
        <v>Japan</v>
      </c>
      <c r="D814" s="233" t="str">
        <f>VLOOKUP(Table3[[#This Row],[Document ID]],Table1[],5,FALSE)</f>
        <v>NDC</v>
      </c>
      <c r="E814" s="233" t="str">
        <f>VLOOKUP(Table3[[#This Row],[Document ID]],Table1[],7,FALSE)</f>
        <v>First NDC updated</v>
      </c>
      <c r="F814" s="233" t="str">
        <f>VLOOKUP(Table3[[#This Row],[Document ID]],Table1[],8,FALSE)</f>
        <v>NDC 1.1</v>
      </c>
      <c r="G814" s="233" t="str">
        <f>VLOOKUP(Table3[[#This Row],[Document ID]],Table1[],10,FALSE)</f>
        <v>Archived</v>
      </c>
      <c r="H814" s="43" t="s">
        <v>1147</v>
      </c>
      <c r="I814" s="43" t="s">
        <v>1089</v>
      </c>
      <c r="J814" s="43" t="s">
        <v>1090</v>
      </c>
      <c r="K814" s="28" t="s">
        <v>1121</v>
      </c>
      <c r="L814" s="43" t="s">
        <v>1116</v>
      </c>
      <c r="M814" s="209" t="s">
        <v>1927</v>
      </c>
      <c r="N814" s="44" t="s">
        <v>1928</v>
      </c>
      <c r="O814" s="221">
        <v>1</v>
      </c>
      <c r="P814" s="238" t="str">
        <f>VLOOKUP(_xlfn.CONCAT(Table3[[#This Row],[Target area]],Table3[[#This Row],[GHG target?]],Table3[[#This Row],[Conditionality]]),'Drop down'!$E$81:$F$101,2,FALSE)</f>
        <v>T_Netzero</v>
      </c>
      <c r="Q814" s="239" t="str">
        <f>VLOOKUP(Table3[[#This Row],[Target type]],Table418[[Value name]:[Value idenifyer]],2,FALSE)</f>
        <v>T_FL</v>
      </c>
      <c r="T814" s="234" t="s">
        <v>1113</v>
      </c>
      <c r="U814" s="242" t="s">
        <v>1402</v>
      </c>
      <c r="V814" s="233" t="str">
        <f>VLOOKUP(Table3[[#This Row],[Country Code]],Table29[],3,FALSE)</f>
        <v>Annex I</v>
      </c>
      <c r="W814" s="233" t="str">
        <f>VLOOKUP(Table3[[#This Row],[Country Code]],Table29[],4,FALSE)</f>
        <v>Asia</v>
      </c>
      <c r="X814" s="233" t="str">
        <f>VLOOKUP(Table3[[#This Row],[Country Code]],Table29[],5,FALSE)</f>
        <v>High-income</v>
      </c>
      <c r="Y814" s="233" t="str">
        <f>VLOOKUP(Table3[[#This Row],[Country Code]],Table29[],6,FALSE)</f>
        <v>G20</v>
      </c>
      <c r="Z814" s="233" t="str">
        <f>VLOOKUP(Table3[[#This Row],[Country Code]],Table29[],7,FALSE)</f>
        <v>G7</v>
      </c>
      <c r="AA814" s="233" t="str">
        <f>VLOOKUP(Table3[[#This Row],[Country Code]],Table29[],8,FALSE)</f>
        <v>OECD</v>
      </c>
      <c r="AB814" s="233" t="str">
        <f>VLOOKUP(Table3[[#This Row],[Country Code]],Table29[],9,FALSE)</f>
        <v>no</v>
      </c>
      <c r="AC814" s="233" t="str">
        <f>VLOOKUP(Table3[[#This Row],[Country Code]],Table29[],10,FALSE)</f>
        <v>no</v>
      </c>
      <c r="AD814" s="235">
        <f>VLOOKUP(Table3[[#This Row],[Country Code]],Table29[],23,FALSE)</f>
        <v>1041.0128248686999</v>
      </c>
      <c r="AE814" s="235">
        <f>VLOOKUP(Table3[[#This Row],[Country Code]],Table29[],24,FALSE)</f>
        <v>181.96191357547141</v>
      </c>
      <c r="AF814" s="43"/>
    </row>
    <row r="815" spans="1:32" ht="30" x14ac:dyDescent="0.25">
      <c r="A815" s="360">
        <v>32509</v>
      </c>
      <c r="B815" s="233" t="str">
        <f>VLOOKUP(Table3[[#This Row],[Document ID]],Table1[],2,FALSE)</f>
        <v>NGA</v>
      </c>
      <c r="C815" s="233" t="str">
        <f>VLOOKUP(Table3[[#This Row],[Document ID]],Table1[],3,FALSE)</f>
        <v>Nigeria</v>
      </c>
      <c r="D815" s="233" t="str">
        <f>VLOOKUP(Table3[[#This Row],[Document ID]],Table1[],5,FALSE)</f>
        <v>NDC</v>
      </c>
      <c r="E815" s="233" t="str">
        <f>VLOOKUP(Table3[[#This Row],[Document ID]],Table1[],7,FALSE)</f>
        <v>First NDC updated</v>
      </c>
      <c r="F815" s="233" t="str">
        <f>VLOOKUP(Table3[[#This Row],[Document ID]],Table1[],8,FALSE)</f>
        <v>NDC 1.2</v>
      </c>
      <c r="G815" s="233" t="str">
        <f>VLOOKUP(Table3[[#This Row],[Document ID]],Table1[],10,FALSE)</f>
        <v>Active</v>
      </c>
      <c r="H815" s="42" t="s">
        <v>1095</v>
      </c>
      <c r="I815" s="42" t="s">
        <v>1096</v>
      </c>
      <c r="J815" s="42" t="s">
        <v>1097</v>
      </c>
      <c r="K815" s="28" t="s">
        <v>1137</v>
      </c>
      <c r="L815" s="43" t="s">
        <v>1092</v>
      </c>
      <c r="M815" s="209">
        <v>2030</v>
      </c>
      <c r="N815" s="24" t="s">
        <v>1929</v>
      </c>
      <c r="O815" s="221">
        <v>22</v>
      </c>
      <c r="P815" s="238" t="str">
        <f>VLOOKUP(_xlfn.CONCAT(Table3[[#This Row],[Target area]],Table3[[#This Row],[GHG target?]],Table3[[#This Row],[Conditionality]]),'Drop down'!$E$81:$F$101,2,FALSE)</f>
        <v>T_Transport_O_C</v>
      </c>
      <c r="Q815" s="239" t="str">
        <f>VLOOKUP(Table3[[#This Row],[Target type]],Table418[[Value name]:[Value idenifyer]],2,FALSE)</f>
        <v>T_O_EFF</v>
      </c>
      <c r="S815" s="233" t="s">
        <v>1101</v>
      </c>
      <c r="T815" s="234" t="s">
        <v>1113</v>
      </c>
      <c r="V815" s="233" t="str">
        <f>VLOOKUP(Table3[[#This Row],[Country Code]],Table29[],3,FALSE)</f>
        <v>Non-Annex I</v>
      </c>
      <c r="W815" s="233" t="str">
        <f>VLOOKUP(Table3[[#This Row],[Country Code]],Table29[],4,FALSE)</f>
        <v>Africa</v>
      </c>
      <c r="X815" s="233" t="str">
        <f>VLOOKUP(Table3[[#This Row],[Country Code]],Table29[],5,FALSE)</f>
        <v>Middle-income</v>
      </c>
      <c r="Y815" s="233" t="str">
        <f>VLOOKUP(Table3[[#This Row],[Country Code]],Table29[],6,FALSE)</f>
        <v>no</v>
      </c>
      <c r="Z815" s="233" t="str">
        <f>VLOOKUP(Table3[[#This Row],[Country Code]],Table29[],7,FALSE)</f>
        <v>no</v>
      </c>
      <c r="AA815" s="233" t="str">
        <f>VLOOKUP(Table3[[#This Row],[Country Code]],Table29[],8,FALSE)</f>
        <v>non-OECD</v>
      </c>
      <c r="AB815" s="233" t="str">
        <f>VLOOKUP(Table3[[#This Row],[Country Code]],Table29[],9,FALSE)</f>
        <v>no</v>
      </c>
      <c r="AC815" s="233" t="str">
        <f>VLOOKUP(Table3[[#This Row],[Country Code]],Table29[],10,FALSE)</f>
        <v>no</v>
      </c>
      <c r="AD815" s="235">
        <f>VLOOKUP(Table3[[#This Row],[Country Code]],Table29[],23,FALSE)</f>
        <v>385.11288377147002</v>
      </c>
      <c r="AE815" s="235">
        <f>VLOOKUP(Table3[[#This Row],[Country Code]],Table29[],24,FALSE)</f>
        <v>58.971195919965467</v>
      </c>
      <c r="AF815" s="43"/>
    </row>
    <row r="816" spans="1:32" ht="120" x14ac:dyDescent="0.25">
      <c r="A816" s="360">
        <v>17627</v>
      </c>
      <c r="B816" s="233" t="str">
        <f>VLOOKUP(Table3[[#This Row],[Document ID]],Table1[],2,FALSE)</f>
        <v>JPN</v>
      </c>
      <c r="C816" s="233" t="str">
        <f>VLOOKUP(Table3[[#This Row],[Document ID]],Table1[],3,FALSE)</f>
        <v>Japan</v>
      </c>
      <c r="D816" s="233" t="str">
        <f>VLOOKUP(Table3[[#This Row],[Document ID]],Table1[],5,FALSE)</f>
        <v>LTS</v>
      </c>
      <c r="E816" s="233" t="str">
        <f>VLOOKUP(Table3[[#This Row],[Document ID]],Table1[],7,FALSE)</f>
        <v>Archived LTS 1.0</v>
      </c>
      <c r="F816" s="233" t="str">
        <f>VLOOKUP(Table3[[#This Row],[Document ID]],Table1[],8,FALSE)</f>
        <v>LTS 1.0</v>
      </c>
      <c r="G816" s="233" t="str">
        <f>VLOOKUP(Table3[[#This Row],[Document ID]],Table1[],10,FALSE)</f>
        <v>Archived</v>
      </c>
      <c r="H816" s="216" t="s">
        <v>1089</v>
      </c>
      <c r="I816" s="216" t="s">
        <v>1089</v>
      </c>
      <c r="J816" s="43" t="s">
        <v>1090</v>
      </c>
      <c r="K816" s="28" t="s">
        <v>1121</v>
      </c>
      <c r="L816" s="42" t="s">
        <v>1099</v>
      </c>
      <c r="M816" s="209" t="s">
        <v>1930</v>
      </c>
      <c r="N816" s="44" t="s">
        <v>1931</v>
      </c>
      <c r="O816" s="221">
        <v>1</v>
      </c>
      <c r="P816" s="238" t="str">
        <f>VLOOKUP(_xlfn.CONCAT(Table3[[#This Row],[Target area]],Table3[[#This Row],[GHG target?]],Table3[[#This Row],[Conditionality]]),'Drop down'!$E$81:$F$101,2,FALSE)</f>
        <v>T_Economy_Unc</v>
      </c>
      <c r="Q816" s="239" t="str">
        <f>VLOOKUP(Table3[[#This Row],[Target type]],Table418[[Value name]:[Value idenifyer]],2,FALSE)</f>
        <v>T_FL</v>
      </c>
      <c r="S816" s="233" t="s">
        <v>1125</v>
      </c>
      <c r="T816" s="234" t="s">
        <v>1113</v>
      </c>
      <c r="U816" s="242" t="s">
        <v>1402</v>
      </c>
      <c r="V816" s="233" t="str">
        <f>VLOOKUP(Table3[[#This Row],[Country Code]],Table29[],3,FALSE)</f>
        <v>Annex I</v>
      </c>
      <c r="W816" s="233" t="str">
        <f>VLOOKUP(Table3[[#This Row],[Country Code]],Table29[],4,FALSE)</f>
        <v>Asia</v>
      </c>
      <c r="X816" s="233" t="str">
        <f>VLOOKUP(Table3[[#This Row],[Country Code]],Table29[],5,FALSE)</f>
        <v>High-income</v>
      </c>
      <c r="Y816" s="233" t="str">
        <f>VLOOKUP(Table3[[#This Row],[Country Code]],Table29[],6,FALSE)</f>
        <v>G20</v>
      </c>
      <c r="Z816" s="233" t="str">
        <f>VLOOKUP(Table3[[#This Row],[Country Code]],Table29[],7,FALSE)</f>
        <v>G7</v>
      </c>
      <c r="AA816" s="233" t="str">
        <f>VLOOKUP(Table3[[#This Row],[Country Code]],Table29[],8,FALSE)</f>
        <v>OECD</v>
      </c>
      <c r="AB816" s="233" t="str">
        <f>VLOOKUP(Table3[[#This Row],[Country Code]],Table29[],9,FALSE)</f>
        <v>no</v>
      </c>
      <c r="AC816" s="233" t="str">
        <f>VLOOKUP(Table3[[#This Row],[Country Code]],Table29[],10,FALSE)</f>
        <v>no</v>
      </c>
      <c r="AD816" s="235">
        <f>VLOOKUP(Table3[[#This Row],[Country Code]],Table29[],23,FALSE)</f>
        <v>1041.0128248686999</v>
      </c>
      <c r="AE816" s="235">
        <f>VLOOKUP(Table3[[#This Row],[Country Code]],Table29[],24,FALSE)</f>
        <v>181.96191357547141</v>
      </c>
      <c r="AF816" s="43"/>
    </row>
    <row r="817" spans="1:32" ht="30" x14ac:dyDescent="0.25">
      <c r="A817" s="360">
        <v>17627</v>
      </c>
      <c r="B817" s="233" t="str">
        <f>VLOOKUP(Table3[[#This Row],[Document ID]],Table1[],2,FALSE)</f>
        <v>JPN</v>
      </c>
      <c r="C817" s="233" t="str">
        <f>VLOOKUP(Table3[[#This Row],[Document ID]],Table1[],3,FALSE)</f>
        <v>Japan</v>
      </c>
      <c r="D817" s="233" t="str">
        <f>VLOOKUP(Table3[[#This Row],[Document ID]],Table1[],5,FALSE)</f>
        <v>LTS</v>
      </c>
      <c r="E817" s="233" t="str">
        <f>VLOOKUP(Table3[[#This Row],[Document ID]],Table1[],7,FALSE)</f>
        <v>Archived LTS 1.0</v>
      </c>
      <c r="F817" s="233" t="str">
        <f>VLOOKUP(Table3[[#This Row],[Document ID]],Table1[],8,FALSE)</f>
        <v>LTS 1.0</v>
      </c>
      <c r="G817" s="233" t="str">
        <f>VLOOKUP(Table3[[#This Row],[Document ID]],Table1[],10,FALSE)</f>
        <v>Archived</v>
      </c>
      <c r="H817" s="216" t="s">
        <v>1089</v>
      </c>
      <c r="I817" s="216" t="s">
        <v>1089</v>
      </c>
      <c r="J817" s="43" t="s">
        <v>1090</v>
      </c>
      <c r="K817" s="28" t="s">
        <v>1153</v>
      </c>
      <c r="L817" s="42" t="s">
        <v>1099</v>
      </c>
      <c r="M817" s="209">
        <v>2050</v>
      </c>
      <c r="N817" s="44" t="s">
        <v>1932</v>
      </c>
      <c r="O817" s="221">
        <v>1</v>
      </c>
      <c r="P817" s="238" t="str">
        <f>VLOOKUP(_xlfn.CONCAT(Table3[[#This Row],[Target area]],Table3[[#This Row],[GHG target?]],Table3[[#This Row],[Conditionality]]),'Drop down'!$E$81:$F$101,2,FALSE)</f>
        <v>T_Economy_Unc</v>
      </c>
      <c r="Q817" s="239" t="str">
        <f>VLOOKUP(Table3[[#This Row],[Target type]],Table418[[Value name]:[Value idenifyer]],2,FALSE)</f>
        <v>T_BYE</v>
      </c>
      <c r="S817" s="233" t="s">
        <v>1125</v>
      </c>
      <c r="T817" s="234" t="s">
        <v>1113</v>
      </c>
      <c r="U817" s="242" t="s">
        <v>1402</v>
      </c>
      <c r="V817" s="233" t="str">
        <f>VLOOKUP(Table3[[#This Row],[Country Code]],Table29[],3,FALSE)</f>
        <v>Annex I</v>
      </c>
      <c r="W817" s="233" t="str">
        <f>VLOOKUP(Table3[[#This Row],[Country Code]],Table29[],4,FALSE)</f>
        <v>Asia</v>
      </c>
      <c r="X817" s="233" t="str">
        <f>VLOOKUP(Table3[[#This Row],[Country Code]],Table29[],5,FALSE)</f>
        <v>High-income</v>
      </c>
      <c r="Y817" s="233" t="str">
        <f>VLOOKUP(Table3[[#This Row],[Country Code]],Table29[],6,FALSE)</f>
        <v>G20</v>
      </c>
      <c r="Z817" s="233" t="str">
        <f>VLOOKUP(Table3[[#This Row],[Country Code]],Table29[],7,FALSE)</f>
        <v>G7</v>
      </c>
      <c r="AA817" s="233" t="str">
        <f>VLOOKUP(Table3[[#This Row],[Country Code]],Table29[],8,FALSE)</f>
        <v>OECD</v>
      </c>
      <c r="AB817" s="233" t="str">
        <f>VLOOKUP(Table3[[#This Row],[Country Code]],Table29[],9,FALSE)</f>
        <v>no</v>
      </c>
      <c r="AC817" s="233" t="str">
        <f>VLOOKUP(Table3[[#This Row],[Country Code]],Table29[],10,FALSE)</f>
        <v>no</v>
      </c>
      <c r="AD817" s="235">
        <f>VLOOKUP(Table3[[#This Row],[Country Code]],Table29[],23,FALSE)</f>
        <v>1041.0128248686999</v>
      </c>
      <c r="AE817" s="235">
        <f>VLOOKUP(Table3[[#This Row],[Country Code]],Table29[],24,FALSE)</f>
        <v>181.96191357547141</v>
      </c>
      <c r="AF817" s="43"/>
    </row>
    <row r="818" spans="1:32" ht="30" x14ac:dyDescent="0.25">
      <c r="A818" s="360">
        <v>41748</v>
      </c>
      <c r="B818" s="233" t="str">
        <f>VLOOKUP(Table3[[#This Row],[Document ID]],Table1[],2,FALSE)</f>
        <v>NGA</v>
      </c>
      <c r="C818" s="233" t="str">
        <f>VLOOKUP(Table3[[#This Row],[Document ID]],Table1[],3,FALSE)</f>
        <v>Nigeria</v>
      </c>
      <c r="D818" s="233" t="str">
        <f>VLOOKUP(Table3[[#This Row],[Document ID]],Table1[],5,FALSE)</f>
        <v>LTS</v>
      </c>
      <c r="E818" s="233" t="str">
        <f>VLOOKUP(Table3[[#This Row],[Document ID]],Table1[],7,FALSE)</f>
        <v>LTS</v>
      </c>
      <c r="F818" s="233" t="str">
        <f>VLOOKUP(Table3[[#This Row],[Document ID]],Table1[],8,FALSE)</f>
        <v>LTS 2.0</v>
      </c>
      <c r="G818" s="233" t="str">
        <f>VLOOKUP(Table3[[#This Row],[Document ID]],Table1[],10,FALSE)</f>
        <v>Active</v>
      </c>
      <c r="H818" s="42" t="s">
        <v>1095</v>
      </c>
      <c r="I818" s="42" t="s">
        <v>1096</v>
      </c>
      <c r="J818" s="42" t="s">
        <v>1097</v>
      </c>
      <c r="K818" s="28" t="s">
        <v>1137</v>
      </c>
      <c r="L818" s="42" t="s">
        <v>1099</v>
      </c>
      <c r="M818" s="209">
        <v>2030</v>
      </c>
      <c r="N818" s="44" t="s">
        <v>1933</v>
      </c>
      <c r="O818" s="258">
        <v>20</v>
      </c>
      <c r="P818" s="238" t="str">
        <f>VLOOKUP(_xlfn.CONCAT(Table3[[#This Row],[Target area]],Table3[[#This Row],[GHG target?]],Table3[[#This Row],[Conditionality]]),'Drop down'!$E$81:$F$101,2,FALSE)</f>
        <v>T_Transport_O_Unc</v>
      </c>
      <c r="Q818" s="239" t="str">
        <f>VLOOKUP(Table3[[#This Row],[Target type]],Table418[[Value name]:[Value idenifyer]],2,FALSE)</f>
        <v>T_O_EFF</v>
      </c>
      <c r="T818" s="234" t="s">
        <v>1113</v>
      </c>
      <c r="V818" s="233" t="str">
        <f>VLOOKUP(Table3[[#This Row],[Country Code]],Table29[],3,FALSE)</f>
        <v>Non-Annex I</v>
      </c>
      <c r="W818" s="233" t="str">
        <f>VLOOKUP(Table3[[#This Row],[Country Code]],Table29[],4,FALSE)</f>
        <v>Africa</v>
      </c>
      <c r="X818" s="233" t="str">
        <f>VLOOKUP(Table3[[#This Row],[Country Code]],Table29[],5,FALSE)</f>
        <v>Middle-income</v>
      </c>
      <c r="Y818" s="233" t="str">
        <f>VLOOKUP(Table3[[#This Row],[Country Code]],Table29[],6,FALSE)</f>
        <v>no</v>
      </c>
      <c r="Z818" s="233" t="str">
        <f>VLOOKUP(Table3[[#This Row],[Country Code]],Table29[],7,FALSE)</f>
        <v>no</v>
      </c>
      <c r="AA818" s="233" t="str">
        <f>VLOOKUP(Table3[[#This Row],[Country Code]],Table29[],8,FALSE)</f>
        <v>non-OECD</v>
      </c>
      <c r="AB818" s="233" t="str">
        <f>VLOOKUP(Table3[[#This Row],[Country Code]],Table29[],9,FALSE)</f>
        <v>no</v>
      </c>
      <c r="AC818" s="233" t="str">
        <f>VLOOKUP(Table3[[#This Row],[Country Code]],Table29[],10,FALSE)</f>
        <v>no</v>
      </c>
      <c r="AD818" s="235">
        <f>VLOOKUP(Table3[[#This Row],[Country Code]],Table29[],23,FALSE)</f>
        <v>385.11288377147002</v>
      </c>
      <c r="AE818" s="235">
        <f>VLOOKUP(Table3[[#This Row],[Country Code]],Table29[],24,FALSE)</f>
        <v>58.971195919965467</v>
      </c>
      <c r="AF818" s="43"/>
    </row>
    <row r="819" spans="1:32" x14ac:dyDescent="0.25">
      <c r="A819" s="360">
        <v>41748</v>
      </c>
      <c r="B819" s="233" t="str">
        <f>VLOOKUP(Table3[[#This Row],[Document ID]],Table1[],2,FALSE)</f>
        <v>NGA</v>
      </c>
      <c r="C819" s="233" t="str">
        <f>VLOOKUP(Table3[[#This Row],[Document ID]],Table1[],3,FALSE)</f>
        <v>Nigeria</v>
      </c>
      <c r="D819" s="233" t="str">
        <f>VLOOKUP(Table3[[#This Row],[Document ID]],Table1[],5,FALSE)</f>
        <v>LTS</v>
      </c>
      <c r="E819" s="233" t="str">
        <f>VLOOKUP(Table3[[#This Row],[Document ID]],Table1[],7,FALSE)</f>
        <v>LTS</v>
      </c>
      <c r="F819" s="233" t="str">
        <f>VLOOKUP(Table3[[#This Row],[Document ID]],Table1[],8,FALSE)</f>
        <v>LTS 2.0</v>
      </c>
      <c r="G819" s="233" t="str">
        <f>VLOOKUP(Table3[[#This Row],[Document ID]],Table1[],10,FALSE)</f>
        <v>Active</v>
      </c>
      <c r="H819" s="42" t="s">
        <v>1095</v>
      </c>
      <c r="I819" s="42" t="s">
        <v>1096</v>
      </c>
      <c r="J819" s="42" t="s">
        <v>1097</v>
      </c>
      <c r="K819" s="28" t="s">
        <v>1098</v>
      </c>
      <c r="L819" s="43" t="s">
        <v>1092</v>
      </c>
      <c r="M819" s="209">
        <v>2060</v>
      </c>
      <c r="N819" s="44" t="s">
        <v>1934</v>
      </c>
      <c r="O819" s="258">
        <v>51</v>
      </c>
      <c r="P819" s="238" t="str">
        <f>VLOOKUP(_xlfn.CONCAT(Table3[[#This Row],[Target area]],Table3[[#This Row],[GHG target?]],Table3[[#This Row],[Conditionality]]),'Drop down'!$E$81:$F$101,2,FALSE)</f>
        <v>T_Transport_O_C</v>
      </c>
      <c r="Q819" s="239" t="str">
        <f>VLOOKUP(Table3[[#This Row],[Target type]],Table418[[Value name]:[Value idenifyer]],2,FALSE)</f>
        <v>T_O_MODE</v>
      </c>
      <c r="T819" s="234" t="s">
        <v>1113</v>
      </c>
      <c r="V819" s="233" t="str">
        <f>VLOOKUP(Table3[[#This Row],[Country Code]],Table29[],3,FALSE)</f>
        <v>Non-Annex I</v>
      </c>
      <c r="W819" s="233" t="str">
        <f>VLOOKUP(Table3[[#This Row],[Country Code]],Table29[],4,FALSE)</f>
        <v>Africa</v>
      </c>
      <c r="X819" s="233" t="str">
        <f>VLOOKUP(Table3[[#This Row],[Country Code]],Table29[],5,FALSE)</f>
        <v>Middle-income</v>
      </c>
      <c r="Y819" s="233" t="str">
        <f>VLOOKUP(Table3[[#This Row],[Country Code]],Table29[],6,FALSE)</f>
        <v>no</v>
      </c>
      <c r="Z819" s="233" t="str">
        <f>VLOOKUP(Table3[[#This Row],[Country Code]],Table29[],7,FALSE)</f>
        <v>no</v>
      </c>
      <c r="AA819" s="233" t="str">
        <f>VLOOKUP(Table3[[#This Row],[Country Code]],Table29[],8,FALSE)</f>
        <v>non-OECD</v>
      </c>
      <c r="AB819" s="233" t="str">
        <f>VLOOKUP(Table3[[#This Row],[Country Code]],Table29[],9,FALSE)</f>
        <v>no</v>
      </c>
      <c r="AC819" s="233" t="str">
        <f>VLOOKUP(Table3[[#This Row],[Country Code]],Table29[],10,FALSE)</f>
        <v>no</v>
      </c>
      <c r="AD819" s="235">
        <f>VLOOKUP(Table3[[#This Row],[Country Code]],Table29[],23,FALSE)</f>
        <v>385.11288377147002</v>
      </c>
      <c r="AE819" s="235">
        <f>VLOOKUP(Table3[[#This Row],[Country Code]],Table29[],24,FALSE)</f>
        <v>58.971195919965467</v>
      </c>
      <c r="AF819" s="43"/>
    </row>
    <row r="820" spans="1:32" x14ac:dyDescent="0.25">
      <c r="A820" s="360">
        <v>41748</v>
      </c>
      <c r="B820" s="233" t="str">
        <f>VLOOKUP(Table3[[#This Row],[Document ID]],Table1[],2,FALSE)</f>
        <v>NGA</v>
      </c>
      <c r="C820" s="233" t="str">
        <f>VLOOKUP(Table3[[#This Row],[Document ID]],Table1[],3,FALSE)</f>
        <v>Nigeria</v>
      </c>
      <c r="D820" s="233" t="str">
        <f>VLOOKUP(Table3[[#This Row],[Document ID]],Table1[],5,FALSE)</f>
        <v>LTS</v>
      </c>
      <c r="E820" s="233" t="str">
        <f>VLOOKUP(Table3[[#This Row],[Document ID]],Table1[],7,FALSE)</f>
        <v>LTS</v>
      </c>
      <c r="F820" s="233" t="str">
        <f>VLOOKUP(Table3[[#This Row],[Document ID]],Table1[],8,FALSE)</f>
        <v>LTS 2.0</v>
      </c>
      <c r="G820" s="233" t="str">
        <f>VLOOKUP(Table3[[#This Row],[Document ID]],Table1[],10,FALSE)</f>
        <v>Active</v>
      </c>
      <c r="H820" s="42" t="s">
        <v>1095</v>
      </c>
      <c r="I820" s="43" t="s">
        <v>1115</v>
      </c>
      <c r="J820" s="43" t="s">
        <v>1090</v>
      </c>
      <c r="K820" s="43" t="s">
        <v>1091</v>
      </c>
      <c r="L820" s="43" t="s">
        <v>1092</v>
      </c>
      <c r="M820" s="209">
        <v>2060</v>
      </c>
      <c r="N820" s="44" t="s">
        <v>1935</v>
      </c>
      <c r="O820" s="258">
        <v>84</v>
      </c>
      <c r="P820" s="238" t="str">
        <f>VLOOKUP(_xlfn.CONCAT(Table3[[#This Row],[Target area]],Table3[[#This Row],[GHG target?]],Table3[[#This Row],[Conditionality]]),'Drop down'!$E$81:$F$101,2,FALSE)</f>
        <v>T_Transport_C</v>
      </c>
      <c r="Q820" s="239" t="str">
        <f>VLOOKUP(Table3[[#This Row],[Target type]],Table418[[Value name]:[Value idenifyer]],2,FALSE)</f>
        <v>T_BAU</v>
      </c>
      <c r="T820" s="234" t="s">
        <v>1113</v>
      </c>
      <c r="V820" s="233" t="str">
        <f>VLOOKUP(Table3[[#This Row],[Country Code]],Table29[],3,FALSE)</f>
        <v>Non-Annex I</v>
      </c>
      <c r="W820" s="233" t="str">
        <f>VLOOKUP(Table3[[#This Row],[Country Code]],Table29[],4,FALSE)</f>
        <v>Africa</v>
      </c>
      <c r="X820" s="233" t="str">
        <f>VLOOKUP(Table3[[#This Row],[Country Code]],Table29[],5,FALSE)</f>
        <v>Middle-income</v>
      </c>
      <c r="Y820" s="233" t="str">
        <f>VLOOKUP(Table3[[#This Row],[Country Code]],Table29[],6,FALSE)</f>
        <v>no</v>
      </c>
      <c r="Z820" s="233" t="str">
        <f>VLOOKUP(Table3[[#This Row],[Country Code]],Table29[],7,FALSE)</f>
        <v>no</v>
      </c>
      <c r="AA820" s="233" t="str">
        <f>VLOOKUP(Table3[[#This Row],[Country Code]],Table29[],8,FALSE)</f>
        <v>non-OECD</v>
      </c>
      <c r="AB820" s="233" t="str">
        <f>VLOOKUP(Table3[[#This Row],[Country Code]],Table29[],9,FALSE)</f>
        <v>no</v>
      </c>
      <c r="AC820" s="233" t="str">
        <f>VLOOKUP(Table3[[#This Row],[Country Code]],Table29[],10,FALSE)</f>
        <v>no</v>
      </c>
      <c r="AD820" s="235">
        <f>VLOOKUP(Table3[[#This Row],[Country Code]],Table29[],23,FALSE)</f>
        <v>385.11288377147002</v>
      </c>
      <c r="AE820" s="235">
        <f>VLOOKUP(Table3[[#This Row],[Country Code]],Table29[],24,FALSE)</f>
        <v>58.971195919965467</v>
      </c>
      <c r="AF820" s="43"/>
    </row>
    <row r="821" spans="1:32" ht="30" x14ac:dyDescent="0.25">
      <c r="A821" s="360">
        <v>41748</v>
      </c>
      <c r="B821" s="233" t="str">
        <f>VLOOKUP(Table3[[#This Row],[Document ID]],Table1[],2,FALSE)</f>
        <v>NGA</v>
      </c>
      <c r="C821" s="233" t="str">
        <f>VLOOKUP(Table3[[#This Row],[Document ID]],Table1[],3,FALSE)</f>
        <v>Nigeria</v>
      </c>
      <c r="D821" s="233" t="str">
        <f>VLOOKUP(Table3[[#This Row],[Document ID]],Table1[],5,FALSE)</f>
        <v>LTS</v>
      </c>
      <c r="E821" s="233" t="str">
        <f>VLOOKUP(Table3[[#This Row],[Document ID]],Table1[],7,FALSE)</f>
        <v>LTS</v>
      </c>
      <c r="F821" s="233" t="str">
        <f>VLOOKUP(Table3[[#This Row],[Document ID]],Table1[],8,FALSE)</f>
        <v>LTS 2.0</v>
      </c>
      <c r="G821" s="233" t="str">
        <f>VLOOKUP(Table3[[#This Row],[Document ID]],Table1[],10,FALSE)</f>
        <v>Active</v>
      </c>
      <c r="H821" s="42" t="s">
        <v>1095</v>
      </c>
      <c r="I821" s="42" t="s">
        <v>1096</v>
      </c>
      <c r="J821" s="42" t="s">
        <v>1097</v>
      </c>
      <c r="K821" s="28" t="s">
        <v>1104</v>
      </c>
      <c r="L821" s="43" t="s">
        <v>1092</v>
      </c>
      <c r="M821" s="209">
        <v>2060</v>
      </c>
      <c r="N821" s="44" t="s">
        <v>1936</v>
      </c>
      <c r="O821" s="258">
        <v>84</v>
      </c>
      <c r="P821" s="238" t="str">
        <f>VLOOKUP(_xlfn.CONCAT(Table3[[#This Row],[Target area]],Table3[[#This Row],[GHG target?]],Table3[[#This Row],[Conditionality]]),'Drop down'!$E$81:$F$101,2,FALSE)</f>
        <v>T_Transport_O_C</v>
      </c>
      <c r="Q821" s="239" t="str">
        <f>VLOOKUP(Table3[[#This Row],[Target type]],Table418[[Value name]:[Value idenifyer]],2,FALSE)</f>
        <v>T_O_ZERO</v>
      </c>
      <c r="T821" s="234" t="s">
        <v>1113</v>
      </c>
      <c r="V821" s="233" t="str">
        <f>VLOOKUP(Table3[[#This Row],[Country Code]],Table29[],3,FALSE)</f>
        <v>Non-Annex I</v>
      </c>
      <c r="W821" s="233" t="str">
        <f>VLOOKUP(Table3[[#This Row],[Country Code]],Table29[],4,FALSE)</f>
        <v>Africa</v>
      </c>
      <c r="X821" s="233" t="str">
        <f>VLOOKUP(Table3[[#This Row],[Country Code]],Table29[],5,FALSE)</f>
        <v>Middle-income</v>
      </c>
      <c r="Y821" s="233" t="str">
        <f>VLOOKUP(Table3[[#This Row],[Country Code]],Table29[],6,FALSE)</f>
        <v>no</v>
      </c>
      <c r="Z821" s="233" t="str">
        <f>VLOOKUP(Table3[[#This Row],[Country Code]],Table29[],7,FALSE)</f>
        <v>no</v>
      </c>
      <c r="AA821" s="233" t="str">
        <f>VLOOKUP(Table3[[#This Row],[Country Code]],Table29[],8,FALSE)</f>
        <v>non-OECD</v>
      </c>
      <c r="AB821" s="233" t="str">
        <f>VLOOKUP(Table3[[#This Row],[Country Code]],Table29[],9,FALSE)</f>
        <v>no</v>
      </c>
      <c r="AC821" s="233" t="str">
        <f>VLOOKUP(Table3[[#This Row],[Country Code]],Table29[],10,FALSE)</f>
        <v>no</v>
      </c>
      <c r="AD821" s="235">
        <f>VLOOKUP(Table3[[#This Row],[Country Code]],Table29[],23,FALSE)</f>
        <v>385.11288377147002</v>
      </c>
      <c r="AE821" s="235">
        <f>VLOOKUP(Table3[[#This Row],[Country Code]],Table29[],24,FALSE)</f>
        <v>58.971195919965467</v>
      </c>
      <c r="AF821" s="43"/>
    </row>
    <row r="822" spans="1:32" x14ac:dyDescent="0.25">
      <c r="A822" s="360">
        <v>17628</v>
      </c>
      <c r="B822" s="233" t="str">
        <f>VLOOKUP(Table3[[#This Row],[Document ID]],Table1[],2,FALSE)</f>
        <v>JPN</v>
      </c>
      <c r="C822" s="233" t="str">
        <f>VLOOKUP(Table3[[#This Row],[Document ID]],Table1[],3,FALSE)</f>
        <v>Japan</v>
      </c>
      <c r="D822" s="233" t="str">
        <f>VLOOKUP(Table3[[#This Row],[Document ID]],Table1[],5,FALSE)</f>
        <v>NDC</v>
      </c>
      <c r="E822" s="233" t="str">
        <f>VLOOKUP(Table3[[#This Row],[Document ID]],Table1[],7,FALSE)</f>
        <v>First NDC updated</v>
      </c>
      <c r="F822" s="233" t="str">
        <f>VLOOKUP(Table3[[#This Row],[Document ID]],Table1[],8,FALSE)</f>
        <v>NDC 1.1</v>
      </c>
      <c r="G822" s="233" t="str">
        <f>VLOOKUP(Table3[[#This Row],[Document ID]],Table1[],10,FALSE)</f>
        <v>Archived</v>
      </c>
      <c r="H822" s="216" t="s">
        <v>1089</v>
      </c>
      <c r="I822" s="216" t="s">
        <v>1089</v>
      </c>
      <c r="J822" s="43" t="s">
        <v>1090</v>
      </c>
      <c r="K822" s="28" t="s">
        <v>1153</v>
      </c>
      <c r="L822" s="42" t="s">
        <v>1099</v>
      </c>
      <c r="M822" s="209">
        <v>2030</v>
      </c>
      <c r="N822" s="209" t="s">
        <v>1937</v>
      </c>
      <c r="O822" s="257">
        <v>2</v>
      </c>
      <c r="P822" s="238" t="str">
        <f>VLOOKUP(_xlfn.CONCAT(Table3[[#This Row],[Target area]],Table3[[#This Row],[GHG target?]],Table3[[#This Row],[Conditionality]]),'Drop down'!$E$81:$F$101,2,FALSE)</f>
        <v>T_Economy_Unc</v>
      </c>
      <c r="Q822" s="239" t="str">
        <f>VLOOKUP(Table3[[#This Row],[Target type]],Table418[[Value name]:[Value idenifyer]],2,FALSE)</f>
        <v>T_BYE</v>
      </c>
      <c r="S822" s="233" t="s">
        <v>1112</v>
      </c>
      <c r="T822" s="240" t="s">
        <v>1113</v>
      </c>
      <c r="U822" s="242" t="s">
        <v>1402</v>
      </c>
      <c r="V822" s="233" t="str">
        <f>VLOOKUP(Table3[[#This Row],[Country Code]],Table29[],3,FALSE)</f>
        <v>Annex I</v>
      </c>
      <c r="W822" s="233" t="str">
        <f>VLOOKUP(Table3[[#This Row],[Country Code]],Table29[],4,FALSE)</f>
        <v>Asia</v>
      </c>
      <c r="X822" s="233" t="str">
        <f>VLOOKUP(Table3[[#This Row],[Country Code]],Table29[],5,FALSE)</f>
        <v>High-income</v>
      </c>
      <c r="Y822" s="233" t="str">
        <f>VLOOKUP(Table3[[#This Row],[Country Code]],Table29[],6,FALSE)</f>
        <v>G20</v>
      </c>
      <c r="Z822" s="233" t="str">
        <f>VLOOKUP(Table3[[#This Row],[Country Code]],Table29[],7,FALSE)</f>
        <v>G7</v>
      </c>
      <c r="AA822" s="233" t="str">
        <f>VLOOKUP(Table3[[#This Row],[Country Code]],Table29[],8,FALSE)</f>
        <v>OECD</v>
      </c>
      <c r="AB822" s="233" t="str">
        <f>VLOOKUP(Table3[[#This Row],[Country Code]],Table29[],9,FALSE)</f>
        <v>no</v>
      </c>
      <c r="AC822" s="233" t="str">
        <f>VLOOKUP(Table3[[#This Row],[Country Code]],Table29[],10,FALSE)</f>
        <v>no</v>
      </c>
      <c r="AD822" s="235">
        <f>VLOOKUP(Table3[[#This Row],[Country Code]],Table29[],23,FALSE)</f>
        <v>1041.0128248686999</v>
      </c>
      <c r="AE822" s="235">
        <f>VLOOKUP(Table3[[#This Row],[Country Code]],Table29[],24,FALSE)</f>
        <v>181.96191357547141</v>
      </c>
      <c r="AF822" s="43"/>
    </row>
    <row r="823" spans="1:32" ht="60" x14ac:dyDescent="0.25">
      <c r="A823" s="360">
        <v>32530</v>
      </c>
      <c r="B823" s="233" t="str">
        <f>VLOOKUP(Table3[[#This Row],[Document ID]],Table1[],2,FALSE)</f>
        <v>JPN</v>
      </c>
      <c r="C823" s="233" t="str">
        <f>VLOOKUP(Table3[[#This Row],[Document ID]],Table1[],3,FALSE)</f>
        <v>Japan</v>
      </c>
      <c r="D823" s="233" t="str">
        <f>VLOOKUP(Table3[[#This Row],[Document ID]],Table1[],5,FALSE)</f>
        <v>NDC</v>
      </c>
      <c r="E823" s="233" t="str">
        <f>VLOOKUP(Table3[[#This Row],[Document ID]],Table1[],7,FALSE)</f>
        <v>First NDC updated</v>
      </c>
      <c r="F823" s="233" t="str">
        <f>VLOOKUP(Table3[[#This Row],[Document ID]],Table1[],8,FALSE)</f>
        <v>NDC 1.3</v>
      </c>
      <c r="G823" s="233" t="str">
        <f>VLOOKUP(Table3[[#This Row],[Document ID]],Table1[],10,FALSE)</f>
        <v>Archived</v>
      </c>
      <c r="H823" s="216" t="s">
        <v>1089</v>
      </c>
      <c r="I823" s="216" t="s">
        <v>1089</v>
      </c>
      <c r="J823" s="43" t="s">
        <v>1090</v>
      </c>
      <c r="K823" s="28" t="s">
        <v>1153</v>
      </c>
      <c r="L823" s="42" t="s">
        <v>1099</v>
      </c>
      <c r="M823" s="209">
        <v>2030</v>
      </c>
      <c r="N823" s="18" t="s">
        <v>1938</v>
      </c>
      <c r="O823" s="257">
        <v>2</v>
      </c>
      <c r="P823" s="238" t="str">
        <f>VLOOKUP(_xlfn.CONCAT(Table3[[#This Row],[Target area]],Table3[[#This Row],[GHG target?]],Table3[[#This Row],[Conditionality]]),'Drop down'!$E$81:$F$101,2,FALSE)</f>
        <v>T_Economy_Unc</v>
      </c>
      <c r="Q823" s="239" t="str">
        <f>VLOOKUP(Table3[[#This Row],[Target type]],Table418[[Value name]:[Value idenifyer]],2,FALSE)</f>
        <v>T_BYE</v>
      </c>
      <c r="S823" s="233" t="s">
        <v>1112</v>
      </c>
      <c r="T823" s="240" t="s">
        <v>1113</v>
      </c>
      <c r="U823" s="242" t="s">
        <v>1402</v>
      </c>
      <c r="V823" s="233" t="str">
        <f>VLOOKUP(Table3[[#This Row],[Country Code]],Table29[],3,FALSE)</f>
        <v>Annex I</v>
      </c>
      <c r="W823" s="233" t="str">
        <f>VLOOKUP(Table3[[#This Row],[Country Code]],Table29[],4,FALSE)</f>
        <v>Asia</v>
      </c>
      <c r="X823" s="233" t="str">
        <f>VLOOKUP(Table3[[#This Row],[Country Code]],Table29[],5,FALSE)</f>
        <v>High-income</v>
      </c>
      <c r="Y823" s="233" t="str">
        <f>VLOOKUP(Table3[[#This Row],[Country Code]],Table29[],6,FALSE)</f>
        <v>G20</v>
      </c>
      <c r="Z823" s="233" t="str">
        <f>VLOOKUP(Table3[[#This Row],[Country Code]],Table29[],7,FALSE)</f>
        <v>G7</v>
      </c>
      <c r="AA823" s="233" t="str">
        <f>VLOOKUP(Table3[[#This Row],[Country Code]],Table29[],8,FALSE)</f>
        <v>OECD</v>
      </c>
      <c r="AB823" s="233" t="str">
        <f>VLOOKUP(Table3[[#This Row],[Country Code]],Table29[],9,FALSE)</f>
        <v>no</v>
      </c>
      <c r="AC823" s="233" t="str">
        <f>VLOOKUP(Table3[[#This Row],[Country Code]],Table29[],10,FALSE)</f>
        <v>no</v>
      </c>
      <c r="AD823" s="235">
        <f>VLOOKUP(Table3[[#This Row],[Country Code]],Table29[],23,FALSE)</f>
        <v>1041.0128248686999</v>
      </c>
      <c r="AE823" s="235">
        <f>VLOOKUP(Table3[[#This Row],[Country Code]],Table29[],24,FALSE)</f>
        <v>181.96191357547141</v>
      </c>
      <c r="AF823" s="43"/>
    </row>
    <row r="824" spans="1:32" ht="30" x14ac:dyDescent="0.25">
      <c r="A824" s="360">
        <v>32530</v>
      </c>
      <c r="B824" s="233" t="str">
        <f>VLOOKUP(Table3[[#This Row],[Document ID]],Table1[],2,FALSE)</f>
        <v>JPN</v>
      </c>
      <c r="C824" s="233" t="str">
        <f>VLOOKUP(Table3[[#This Row],[Document ID]],Table1[],3,FALSE)</f>
        <v>Japan</v>
      </c>
      <c r="D824" s="233" t="str">
        <f>VLOOKUP(Table3[[#This Row],[Document ID]],Table1[],5,FALSE)</f>
        <v>NDC</v>
      </c>
      <c r="E824" s="233" t="str">
        <f>VLOOKUP(Table3[[#This Row],[Document ID]],Table1[],7,FALSE)</f>
        <v>First NDC updated</v>
      </c>
      <c r="F824" s="233" t="str">
        <f>VLOOKUP(Table3[[#This Row],[Document ID]],Table1[],8,FALSE)</f>
        <v>NDC 1.3</v>
      </c>
      <c r="G824" s="233" t="str">
        <f>VLOOKUP(Table3[[#This Row],[Document ID]],Table1[],10,FALSE)</f>
        <v>Archived</v>
      </c>
      <c r="H824" s="216" t="s">
        <v>1089</v>
      </c>
      <c r="I824" s="216" t="s">
        <v>1089</v>
      </c>
      <c r="J824" s="43" t="s">
        <v>1090</v>
      </c>
      <c r="K824" s="28" t="s">
        <v>1121</v>
      </c>
      <c r="L824" s="42" t="s">
        <v>1099</v>
      </c>
      <c r="M824" s="209">
        <v>2050</v>
      </c>
      <c r="N824" s="209" t="s">
        <v>1939</v>
      </c>
      <c r="O824" s="257">
        <v>1</v>
      </c>
      <c r="P824" s="238" t="str">
        <f>VLOOKUP(_xlfn.CONCAT(Table3[[#This Row],[Target area]],Table3[[#This Row],[GHG target?]],Table3[[#This Row],[Conditionality]]),'Drop down'!$E$81:$F$101,2,FALSE)</f>
        <v>T_Economy_Unc</v>
      </c>
      <c r="Q824" s="239" t="str">
        <f>VLOOKUP(Table3[[#This Row],[Target type]],Table418[[Value name]:[Value idenifyer]],2,FALSE)</f>
        <v>T_FL</v>
      </c>
      <c r="S824" s="233" t="s">
        <v>1112</v>
      </c>
      <c r="T824" s="240" t="s">
        <v>1113</v>
      </c>
      <c r="U824" s="242" t="s">
        <v>1402</v>
      </c>
      <c r="V824" s="233" t="str">
        <f>VLOOKUP(Table3[[#This Row],[Country Code]],Table29[],3,FALSE)</f>
        <v>Annex I</v>
      </c>
      <c r="W824" s="233" t="str">
        <f>VLOOKUP(Table3[[#This Row],[Country Code]],Table29[],4,FALSE)</f>
        <v>Asia</v>
      </c>
      <c r="X824" s="233" t="str">
        <f>VLOOKUP(Table3[[#This Row],[Country Code]],Table29[],5,FALSE)</f>
        <v>High-income</v>
      </c>
      <c r="Y824" s="233" t="str">
        <f>VLOOKUP(Table3[[#This Row],[Country Code]],Table29[],6,FALSE)</f>
        <v>G20</v>
      </c>
      <c r="Z824" s="233" t="str">
        <f>VLOOKUP(Table3[[#This Row],[Country Code]],Table29[],7,FALSE)</f>
        <v>G7</v>
      </c>
      <c r="AA824" s="233" t="str">
        <f>VLOOKUP(Table3[[#This Row],[Country Code]],Table29[],8,FALSE)</f>
        <v>OECD</v>
      </c>
      <c r="AB824" s="233" t="str">
        <f>VLOOKUP(Table3[[#This Row],[Country Code]],Table29[],9,FALSE)</f>
        <v>no</v>
      </c>
      <c r="AC824" s="233" t="str">
        <f>VLOOKUP(Table3[[#This Row],[Country Code]],Table29[],10,FALSE)</f>
        <v>no</v>
      </c>
      <c r="AD824" s="235">
        <f>VLOOKUP(Table3[[#This Row],[Country Code]],Table29[],23,FALSE)</f>
        <v>1041.0128248686999</v>
      </c>
      <c r="AE824" s="235">
        <f>VLOOKUP(Table3[[#This Row],[Country Code]],Table29[],24,FALSE)</f>
        <v>181.96191357547141</v>
      </c>
      <c r="AF824" s="43"/>
    </row>
    <row r="825" spans="1:32" x14ac:dyDescent="0.25">
      <c r="A825" s="360">
        <v>26796</v>
      </c>
      <c r="B825" s="233" t="str">
        <f>VLOOKUP(Table3[[#This Row],[Document ID]],Table1[],2,FALSE)</f>
        <v>JPN</v>
      </c>
      <c r="C825" s="233" t="str">
        <f>VLOOKUP(Table3[[#This Row],[Document ID]],Table1[],3,FALSE)</f>
        <v>Japan</v>
      </c>
      <c r="D825" s="233" t="str">
        <f>VLOOKUP(Table3[[#This Row],[Document ID]],Table1[],5,FALSE)</f>
        <v>LTS</v>
      </c>
      <c r="E825" s="233" t="str">
        <f>VLOOKUP(Table3[[#This Row],[Document ID]],Table1[],7,FALSE)</f>
        <v>LTS</v>
      </c>
      <c r="F825" s="233" t="str">
        <f>VLOOKUP(Table3[[#This Row],[Document ID]],Table1[],8,FALSE)</f>
        <v>LTS 1.1</v>
      </c>
      <c r="G825" s="233" t="str">
        <f>VLOOKUP(Table3[[#This Row],[Document ID]],Table1[],10,FALSE)</f>
        <v>Active</v>
      </c>
      <c r="H825" s="216" t="s">
        <v>1089</v>
      </c>
      <c r="I825" s="216" t="s">
        <v>1089</v>
      </c>
      <c r="J825" s="43" t="s">
        <v>1090</v>
      </c>
      <c r="K825" s="28" t="s">
        <v>1121</v>
      </c>
      <c r="L825" s="42" t="s">
        <v>1099</v>
      </c>
      <c r="M825" s="209">
        <v>2050</v>
      </c>
      <c r="N825" s="17" t="s">
        <v>1940</v>
      </c>
      <c r="O825" s="257">
        <v>3</v>
      </c>
      <c r="P825" s="238" t="str">
        <f>VLOOKUP(_xlfn.CONCAT(Table3[[#This Row],[Target area]],Table3[[#This Row],[GHG target?]],Table3[[#This Row],[Conditionality]]),'Drop down'!$E$81:$F$101,2,FALSE)</f>
        <v>T_Economy_Unc</v>
      </c>
      <c r="Q825" s="239" t="str">
        <f>VLOOKUP(Table3[[#This Row],[Target type]],Table418[[Value name]:[Value idenifyer]],2,FALSE)</f>
        <v>T_FL</v>
      </c>
      <c r="S825" s="233" t="s">
        <v>1101</v>
      </c>
      <c r="T825" s="240" t="s">
        <v>1113</v>
      </c>
      <c r="U825" s="242" t="s">
        <v>1402</v>
      </c>
      <c r="V825" s="233" t="str">
        <f>VLOOKUP(Table3[[#This Row],[Country Code]],Table29[],3,FALSE)</f>
        <v>Annex I</v>
      </c>
      <c r="W825" s="233" t="str">
        <f>VLOOKUP(Table3[[#This Row],[Country Code]],Table29[],4,FALSE)</f>
        <v>Asia</v>
      </c>
      <c r="X825" s="233" t="str">
        <f>VLOOKUP(Table3[[#This Row],[Country Code]],Table29[],5,FALSE)</f>
        <v>High-income</v>
      </c>
      <c r="Y825" s="233" t="str">
        <f>VLOOKUP(Table3[[#This Row],[Country Code]],Table29[],6,FALSE)</f>
        <v>G20</v>
      </c>
      <c r="Z825" s="233" t="str">
        <f>VLOOKUP(Table3[[#This Row],[Country Code]],Table29[],7,FALSE)</f>
        <v>G7</v>
      </c>
      <c r="AA825" s="233" t="str">
        <f>VLOOKUP(Table3[[#This Row],[Country Code]],Table29[],8,FALSE)</f>
        <v>OECD</v>
      </c>
      <c r="AB825" s="233" t="str">
        <f>VLOOKUP(Table3[[#This Row],[Country Code]],Table29[],9,FALSE)</f>
        <v>no</v>
      </c>
      <c r="AC825" s="233" t="str">
        <f>VLOOKUP(Table3[[#This Row],[Country Code]],Table29[],10,FALSE)</f>
        <v>no</v>
      </c>
      <c r="AD825" s="235">
        <f>VLOOKUP(Table3[[#This Row],[Country Code]],Table29[],23,FALSE)</f>
        <v>1041.0128248686999</v>
      </c>
      <c r="AE825" s="235">
        <f>VLOOKUP(Table3[[#This Row],[Country Code]],Table29[],24,FALSE)</f>
        <v>181.96191357547141</v>
      </c>
      <c r="AF825" s="43"/>
    </row>
    <row r="826" spans="1:32" x14ac:dyDescent="0.25">
      <c r="A826" s="360">
        <v>26796</v>
      </c>
      <c r="B826" s="233" t="str">
        <f>VLOOKUP(Table3[[#This Row],[Document ID]],Table1[],2,FALSE)</f>
        <v>JPN</v>
      </c>
      <c r="C826" s="233" t="str">
        <f>VLOOKUP(Table3[[#This Row],[Document ID]],Table1[],3,FALSE)</f>
        <v>Japan</v>
      </c>
      <c r="D826" s="233" t="str">
        <f>VLOOKUP(Table3[[#This Row],[Document ID]],Table1[],5,FALSE)</f>
        <v>LTS</v>
      </c>
      <c r="E826" s="233" t="str">
        <f>VLOOKUP(Table3[[#This Row],[Document ID]],Table1[],7,FALSE)</f>
        <v>LTS</v>
      </c>
      <c r="F826" s="233" t="str">
        <f>VLOOKUP(Table3[[#This Row],[Document ID]],Table1[],8,FALSE)</f>
        <v>LTS 1.1</v>
      </c>
      <c r="G826" s="233" t="str">
        <f>VLOOKUP(Table3[[#This Row],[Document ID]],Table1[],10,FALSE)</f>
        <v>Active</v>
      </c>
      <c r="H826" s="216" t="s">
        <v>1089</v>
      </c>
      <c r="I826" s="216" t="s">
        <v>1089</v>
      </c>
      <c r="J826" s="43" t="s">
        <v>1090</v>
      </c>
      <c r="K826" s="28" t="s">
        <v>1153</v>
      </c>
      <c r="L826" s="42" t="s">
        <v>1099</v>
      </c>
      <c r="M826" s="209">
        <v>2030</v>
      </c>
      <c r="N826" s="42" t="s">
        <v>1941</v>
      </c>
      <c r="O826" s="257">
        <v>4</v>
      </c>
      <c r="P826" s="238" t="str">
        <f>VLOOKUP(_xlfn.CONCAT(Table3[[#This Row],[Target area]],Table3[[#This Row],[GHG target?]],Table3[[#This Row],[Conditionality]]),'Drop down'!$E$81:$F$101,2,FALSE)</f>
        <v>T_Economy_Unc</v>
      </c>
      <c r="Q826" s="239" t="str">
        <f>VLOOKUP(Table3[[#This Row],[Target type]],Table418[[Value name]:[Value idenifyer]],2,FALSE)</f>
        <v>T_BYE</v>
      </c>
      <c r="S826" s="233" t="s">
        <v>1101</v>
      </c>
      <c r="T826" s="240" t="s">
        <v>1113</v>
      </c>
      <c r="U826" s="242" t="s">
        <v>1402</v>
      </c>
      <c r="V826" s="233" t="str">
        <f>VLOOKUP(Table3[[#This Row],[Country Code]],Table29[],3,FALSE)</f>
        <v>Annex I</v>
      </c>
      <c r="W826" s="233" t="str">
        <f>VLOOKUP(Table3[[#This Row],[Country Code]],Table29[],4,FALSE)</f>
        <v>Asia</v>
      </c>
      <c r="X826" s="233" t="str">
        <f>VLOOKUP(Table3[[#This Row],[Country Code]],Table29[],5,FALSE)</f>
        <v>High-income</v>
      </c>
      <c r="Y826" s="233" t="str">
        <f>VLOOKUP(Table3[[#This Row],[Country Code]],Table29[],6,FALSE)</f>
        <v>G20</v>
      </c>
      <c r="Z826" s="233" t="str">
        <f>VLOOKUP(Table3[[#This Row],[Country Code]],Table29[],7,FALSE)</f>
        <v>G7</v>
      </c>
      <c r="AA826" s="233" t="str">
        <f>VLOOKUP(Table3[[#This Row],[Country Code]],Table29[],8,FALSE)</f>
        <v>OECD</v>
      </c>
      <c r="AB826" s="233" t="str">
        <f>VLOOKUP(Table3[[#This Row],[Country Code]],Table29[],9,FALSE)</f>
        <v>no</v>
      </c>
      <c r="AC826" s="233" t="str">
        <f>VLOOKUP(Table3[[#This Row],[Country Code]],Table29[],10,FALSE)</f>
        <v>no</v>
      </c>
      <c r="AD826" s="235">
        <f>VLOOKUP(Table3[[#This Row],[Country Code]],Table29[],23,FALSE)</f>
        <v>1041.0128248686999</v>
      </c>
      <c r="AE826" s="235">
        <f>VLOOKUP(Table3[[#This Row],[Country Code]],Table29[],24,FALSE)</f>
        <v>181.96191357547141</v>
      </c>
      <c r="AF826" s="43"/>
    </row>
    <row r="827" spans="1:32" ht="30" x14ac:dyDescent="0.25">
      <c r="A827" s="360">
        <v>41748</v>
      </c>
      <c r="B827" s="233" t="str">
        <f>VLOOKUP(Table3[[#This Row],[Document ID]],Table1[],2,FALSE)</f>
        <v>NGA</v>
      </c>
      <c r="C827" s="233" t="str">
        <f>VLOOKUP(Table3[[#This Row],[Document ID]],Table1[],3,FALSE)</f>
        <v>Nigeria</v>
      </c>
      <c r="D827" s="233" t="str">
        <f>VLOOKUP(Table3[[#This Row],[Document ID]],Table1[],5,FALSE)</f>
        <v>LTS</v>
      </c>
      <c r="E827" s="233" t="str">
        <f>VLOOKUP(Table3[[#This Row],[Document ID]],Table1[],7,FALSE)</f>
        <v>LTS</v>
      </c>
      <c r="F827" s="233" t="str">
        <f>VLOOKUP(Table3[[#This Row],[Document ID]],Table1[],8,FALSE)</f>
        <v>LTS 2.0</v>
      </c>
      <c r="G827" s="233" t="str">
        <f>VLOOKUP(Table3[[#This Row],[Document ID]],Table1[],10,FALSE)</f>
        <v>Active</v>
      </c>
      <c r="H827" s="42" t="s">
        <v>1095</v>
      </c>
      <c r="I827" s="42" t="s">
        <v>1096</v>
      </c>
      <c r="J827" s="42" t="s">
        <v>1097</v>
      </c>
      <c r="K827" s="28" t="s">
        <v>1104</v>
      </c>
      <c r="L827" s="43" t="s">
        <v>1092</v>
      </c>
      <c r="M827" s="209">
        <v>2060</v>
      </c>
      <c r="N827" s="44" t="s">
        <v>1942</v>
      </c>
      <c r="O827" s="258">
        <v>84</v>
      </c>
      <c r="P827" s="238" t="str">
        <f>VLOOKUP(_xlfn.CONCAT(Table3[[#This Row],[Target area]],Table3[[#This Row],[GHG target?]],Table3[[#This Row],[Conditionality]]),'Drop down'!$E$81:$F$101,2,FALSE)</f>
        <v>T_Transport_O_C</v>
      </c>
      <c r="Q827" s="239" t="str">
        <f>VLOOKUP(Table3[[#This Row],[Target type]],Table418[[Value name]:[Value idenifyer]],2,FALSE)</f>
        <v>T_O_ZERO</v>
      </c>
      <c r="T827" s="234" t="s">
        <v>1113</v>
      </c>
      <c r="V827" s="233" t="str">
        <f>VLOOKUP(Table3[[#This Row],[Country Code]],Table29[],3,FALSE)</f>
        <v>Non-Annex I</v>
      </c>
      <c r="W827" s="233" t="str">
        <f>VLOOKUP(Table3[[#This Row],[Country Code]],Table29[],4,FALSE)</f>
        <v>Africa</v>
      </c>
      <c r="X827" s="233" t="str">
        <f>VLOOKUP(Table3[[#This Row],[Country Code]],Table29[],5,FALSE)</f>
        <v>Middle-income</v>
      </c>
      <c r="Y827" s="233" t="str">
        <f>VLOOKUP(Table3[[#This Row],[Country Code]],Table29[],6,FALSE)</f>
        <v>no</v>
      </c>
      <c r="Z827" s="233" t="str">
        <f>VLOOKUP(Table3[[#This Row],[Country Code]],Table29[],7,FALSE)</f>
        <v>no</v>
      </c>
      <c r="AA827" s="233" t="str">
        <f>VLOOKUP(Table3[[#This Row],[Country Code]],Table29[],8,FALSE)</f>
        <v>non-OECD</v>
      </c>
      <c r="AB827" s="233" t="str">
        <f>VLOOKUP(Table3[[#This Row],[Country Code]],Table29[],9,FALSE)</f>
        <v>no</v>
      </c>
      <c r="AC827" s="233" t="str">
        <f>VLOOKUP(Table3[[#This Row],[Country Code]],Table29[],10,FALSE)</f>
        <v>no</v>
      </c>
      <c r="AD827" s="235">
        <f>VLOOKUP(Table3[[#This Row],[Country Code]],Table29[],23,FALSE)</f>
        <v>385.11288377147002</v>
      </c>
      <c r="AE827" s="235">
        <f>VLOOKUP(Table3[[#This Row],[Country Code]],Table29[],24,FALSE)</f>
        <v>58.971195919965467</v>
      </c>
      <c r="AF827" s="43"/>
    </row>
    <row r="828" spans="1:32" x14ac:dyDescent="0.25">
      <c r="A828" s="360">
        <v>17626</v>
      </c>
      <c r="B828" s="233" t="str">
        <f>VLOOKUP(Table3[[#This Row],[Document ID]],Table1[],2,FALSE)</f>
        <v>JPN</v>
      </c>
      <c r="C828" s="233" t="str">
        <f>VLOOKUP(Table3[[#This Row],[Document ID]],Table1[],3,FALSE)</f>
        <v>Japan</v>
      </c>
      <c r="D828" s="233" t="str">
        <f>VLOOKUP(Table3[[#This Row],[Document ID]],Table1[],5,FALSE)</f>
        <v>NDC</v>
      </c>
      <c r="E828" s="233" t="str">
        <f>VLOOKUP(Table3[[#This Row],[Document ID]],Table1[],7,FALSE)</f>
        <v>First NDC</v>
      </c>
      <c r="F828" s="233" t="str">
        <f>VLOOKUP(Table3[[#This Row],[Document ID]],Table1[],8,FALSE)</f>
        <v>NDC 1.0</v>
      </c>
      <c r="G828" s="233" t="str">
        <f>VLOOKUP(Table3[[#This Row],[Document ID]],Table1[],10,FALSE)</f>
        <v>Archived</v>
      </c>
      <c r="H828" s="216" t="s">
        <v>1089</v>
      </c>
      <c r="I828" s="216" t="s">
        <v>1089</v>
      </c>
      <c r="J828" s="43" t="s">
        <v>1090</v>
      </c>
      <c r="K828" s="28" t="s">
        <v>1153</v>
      </c>
      <c r="L828" s="42" t="s">
        <v>1099</v>
      </c>
      <c r="M828" s="209">
        <v>2030</v>
      </c>
      <c r="N828" s="176" t="s">
        <v>1943</v>
      </c>
      <c r="O828" s="258" t="s">
        <v>1094</v>
      </c>
      <c r="P828" s="238" t="str">
        <f>VLOOKUP(_xlfn.CONCAT(Table3[[#This Row],[Target area]],Table3[[#This Row],[GHG target?]],Table3[[#This Row],[Conditionality]]),'Drop down'!$E$81:$F$101,2,FALSE)</f>
        <v>T_Economy_Unc</v>
      </c>
      <c r="Q828" s="239" t="str">
        <f>VLOOKUP(Table3[[#This Row],[Target type]],Table418[[Value name]:[Value idenifyer]],2,FALSE)</f>
        <v>T_BYE</v>
      </c>
      <c r="S828" s="233" t="s">
        <v>1112</v>
      </c>
      <c r="T828" s="234" t="s">
        <v>1113</v>
      </c>
      <c r="U828" s="242" t="s">
        <v>1402</v>
      </c>
      <c r="V828" s="233" t="str">
        <f>VLOOKUP(Table3[[#This Row],[Country Code]],Table29[],3,FALSE)</f>
        <v>Annex I</v>
      </c>
      <c r="W828" s="233" t="str">
        <f>VLOOKUP(Table3[[#This Row],[Country Code]],Table29[],4,FALSE)</f>
        <v>Asia</v>
      </c>
      <c r="X828" s="233" t="str">
        <f>VLOOKUP(Table3[[#This Row],[Country Code]],Table29[],5,FALSE)</f>
        <v>High-income</v>
      </c>
      <c r="Y828" s="233" t="str">
        <f>VLOOKUP(Table3[[#This Row],[Country Code]],Table29[],6,FALSE)</f>
        <v>G20</v>
      </c>
      <c r="Z828" s="233" t="str">
        <f>VLOOKUP(Table3[[#This Row],[Country Code]],Table29[],7,FALSE)</f>
        <v>G7</v>
      </c>
      <c r="AA828" s="233" t="str">
        <f>VLOOKUP(Table3[[#This Row],[Country Code]],Table29[],8,FALSE)</f>
        <v>OECD</v>
      </c>
      <c r="AB828" s="233" t="str">
        <f>VLOOKUP(Table3[[#This Row],[Country Code]],Table29[],9,FALSE)</f>
        <v>no</v>
      </c>
      <c r="AC828" s="233" t="str">
        <f>VLOOKUP(Table3[[#This Row],[Country Code]],Table29[],10,FALSE)</f>
        <v>no</v>
      </c>
      <c r="AD828" s="235">
        <f>VLOOKUP(Table3[[#This Row],[Country Code]],Table29[],23,FALSE)</f>
        <v>1041.0128248686999</v>
      </c>
      <c r="AE828" s="235">
        <f>VLOOKUP(Table3[[#This Row],[Country Code]],Table29[],24,FALSE)</f>
        <v>181.96191357547141</v>
      </c>
      <c r="AF828" s="43"/>
    </row>
    <row r="829" spans="1:32" ht="30" x14ac:dyDescent="0.25">
      <c r="A829" s="360">
        <v>32530</v>
      </c>
      <c r="B829" s="233" t="str">
        <f>VLOOKUP(Table3[[#This Row],[Document ID]],Table1[],2,FALSE)</f>
        <v>JPN</v>
      </c>
      <c r="C829" s="233" t="str">
        <f>VLOOKUP(Table3[[#This Row],[Document ID]],Table1[],3,FALSE)</f>
        <v>Japan</v>
      </c>
      <c r="D829" s="233" t="str">
        <f>VLOOKUP(Table3[[#This Row],[Document ID]],Table1[],5,FALSE)</f>
        <v>NDC</v>
      </c>
      <c r="E829" s="233" t="str">
        <f>VLOOKUP(Table3[[#This Row],[Document ID]],Table1[],7,FALSE)</f>
        <v>First NDC updated</v>
      </c>
      <c r="F829" s="233" t="str">
        <f>VLOOKUP(Table3[[#This Row],[Document ID]],Table1[],8,FALSE)</f>
        <v>NDC 1.3</v>
      </c>
      <c r="G829" s="233" t="str">
        <f>VLOOKUP(Table3[[#This Row],[Document ID]],Table1[],10,FALSE)</f>
        <v>Archived</v>
      </c>
      <c r="H829" s="43" t="s">
        <v>1147</v>
      </c>
      <c r="I829" s="43" t="s">
        <v>1089</v>
      </c>
      <c r="J829" s="43" t="s">
        <v>1090</v>
      </c>
      <c r="K829" s="28" t="s">
        <v>1121</v>
      </c>
      <c r="L829" s="43" t="s">
        <v>1116</v>
      </c>
      <c r="M829" s="209">
        <v>2050</v>
      </c>
      <c r="N829" s="209" t="s">
        <v>1939</v>
      </c>
      <c r="O829" s="258">
        <v>1</v>
      </c>
      <c r="P829" s="238" t="str">
        <f>VLOOKUP(_xlfn.CONCAT(Table3[[#This Row],[Target area]],Table3[[#This Row],[GHG target?]],Table3[[#This Row],[Conditionality]]),'Drop down'!$E$81:$F$101,2,FALSE)</f>
        <v>T_Netzero</v>
      </c>
      <c r="Q829" s="239" t="str">
        <f>VLOOKUP(Table3[[#This Row],[Target type]],Table418[[Value name]:[Value idenifyer]],2,FALSE)</f>
        <v>T_FL</v>
      </c>
      <c r="T829" s="240"/>
      <c r="U829" s="234" t="s">
        <v>1298</v>
      </c>
      <c r="V829" s="233" t="str">
        <f>VLOOKUP(Table3[[#This Row],[Country Code]],Table29[],3,FALSE)</f>
        <v>Annex I</v>
      </c>
      <c r="W829" s="233" t="str">
        <f>VLOOKUP(Table3[[#This Row],[Country Code]],Table29[],4,FALSE)</f>
        <v>Asia</v>
      </c>
      <c r="X829" s="233" t="str">
        <f>VLOOKUP(Table3[[#This Row],[Country Code]],Table29[],5,FALSE)</f>
        <v>High-income</v>
      </c>
      <c r="Y829" s="233" t="str">
        <f>VLOOKUP(Table3[[#This Row],[Country Code]],Table29[],6,FALSE)</f>
        <v>G20</v>
      </c>
      <c r="Z829" s="233" t="str">
        <f>VLOOKUP(Table3[[#This Row],[Country Code]],Table29[],7,FALSE)</f>
        <v>G7</v>
      </c>
      <c r="AA829" s="233" t="str">
        <f>VLOOKUP(Table3[[#This Row],[Country Code]],Table29[],8,FALSE)</f>
        <v>OECD</v>
      </c>
      <c r="AB829" s="233" t="str">
        <f>VLOOKUP(Table3[[#This Row],[Country Code]],Table29[],9,FALSE)</f>
        <v>no</v>
      </c>
      <c r="AC829" s="233" t="str">
        <f>VLOOKUP(Table3[[#This Row],[Country Code]],Table29[],10,FALSE)</f>
        <v>no</v>
      </c>
      <c r="AD829" s="235">
        <f>VLOOKUP(Table3[[#This Row],[Country Code]],Table29[],23,FALSE)</f>
        <v>1041.0128248686999</v>
      </c>
      <c r="AE829" s="235">
        <f>VLOOKUP(Table3[[#This Row],[Country Code]],Table29[],24,FALSE)</f>
        <v>181.96191357547141</v>
      </c>
      <c r="AF829" s="42"/>
    </row>
    <row r="830" spans="1:32" x14ac:dyDescent="0.25">
      <c r="A830" s="360">
        <v>17665</v>
      </c>
      <c r="B830" s="233" t="str">
        <f>VLOOKUP(Table3[[#This Row],[Document ID]],Table1[],2,FALSE)</f>
        <v>MCO</v>
      </c>
      <c r="C830" s="233" t="str">
        <f>VLOOKUP(Table3[[#This Row],[Document ID]],Table1[],3,FALSE)</f>
        <v>Monaco</v>
      </c>
      <c r="D830" s="233" t="str">
        <f>VLOOKUP(Table3[[#This Row],[Document ID]],Table1[],5,FALSE)</f>
        <v>NDC</v>
      </c>
      <c r="E830" s="233" t="str">
        <f>VLOOKUP(Table3[[#This Row],[Document ID]],Table1[],7,FALSE)</f>
        <v>First NDC updated</v>
      </c>
      <c r="F830" s="233" t="str">
        <f>VLOOKUP(Table3[[#This Row],[Document ID]],Table1[],8,FALSE)</f>
        <v>NDC 1.1</v>
      </c>
      <c r="G830" s="233" t="str">
        <f>VLOOKUP(Table3[[#This Row],[Document ID]],Table1[],10,FALSE)</f>
        <v>Active</v>
      </c>
      <c r="H830" s="216" t="s">
        <v>1089</v>
      </c>
      <c r="I830" s="216" t="s">
        <v>1089</v>
      </c>
      <c r="J830" s="43" t="s">
        <v>1090</v>
      </c>
      <c r="K830" s="28" t="s">
        <v>1091</v>
      </c>
      <c r="L830" s="42" t="s">
        <v>1099</v>
      </c>
      <c r="M830" s="209">
        <v>2030</v>
      </c>
      <c r="N830" s="44" t="s">
        <v>1944</v>
      </c>
      <c r="O830" s="221">
        <v>25</v>
      </c>
      <c r="P830" s="238" t="str">
        <f>VLOOKUP(_xlfn.CONCAT(Table3[[#This Row],[Target area]],Table3[[#This Row],[GHG target?]],Table3[[#This Row],[Conditionality]]),'Drop down'!$E$81:$F$101,2,FALSE)</f>
        <v>T_Economy_Unc</v>
      </c>
      <c r="Q830" s="239" t="str">
        <f>VLOOKUP(Table3[[#This Row],[Target type]],Table418[[Value name]:[Value idenifyer]],2,FALSE)</f>
        <v>T_BAU</v>
      </c>
      <c r="S830" s="233" t="s">
        <v>1101</v>
      </c>
      <c r="T830" s="234" t="s">
        <v>1113</v>
      </c>
      <c r="U830" s="234" t="s">
        <v>1844</v>
      </c>
      <c r="V830" s="233" t="str">
        <f>VLOOKUP(Table3[[#This Row],[Country Code]],Table29[],3,FALSE)</f>
        <v>Annex I</v>
      </c>
      <c r="W830" s="233" t="str">
        <f>VLOOKUP(Table3[[#This Row],[Country Code]],Table29[],4,FALSE)</f>
        <v>Europe</v>
      </c>
      <c r="X830" s="233" t="str">
        <f>VLOOKUP(Table3[[#This Row],[Country Code]],Table29[],5,FALSE)</f>
        <v>High-income</v>
      </c>
      <c r="Y830" s="233" t="str">
        <f>VLOOKUP(Table3[[#This Row],[Country Code]],Table29[],6,FALSE)</f>
        <v>no</v>
      </c>
      <c r="Z830" s="233" t="str">
        <f>VLOOKUP(Table3[[#This Row],[Country Code]],Table29[],7,FALSE)</f>
        <v>no</v>
      </c>
      <c r="AA830" s="233" t="str">
        <f>VLOOKUP(Table3[[#This Row],[Country Code]],Table29[],8,FALSE)</f>
        <v>non-OECD</v>
      </c>
      <c r="AB830" s="233" t="str">
        <f>VLOOKUP(Table3[[#This Row],[Country Code]],Table29[],9,FALSE)</f>
        <v>no</v>
      </c>
      <c r="AC830" s="233" t="str">
        <f>VLOOKUP(Table3[[#This Row],[Country Code]],Table29[],10,FALSE)</f>
        <v>no</v>
      </c>
      <c r="AD830" s="235">
        <f>VLOOKUP(Table3[[#This Row],[Country Code]],Table29[],23,FALSE)</f>
        <v>0</v>
      </c>
      <c r="AE830" s="235">
        <f>VLOOKUP(Table3[[#This Row],[Country Code]],Table29[],24,FALSE)</f>
        <v>0</v>
      </c>
      <c r="AF830" s="43"/>
    </row>
    <row r="831" spans="1:32" x14ac:dyDescent="0.25">
      <c r="A831" s="360">
        <v>41748</v>
      </c>
      <c r="B831" s="233" t="str">
        <f>VLOOKUP(Table3[[#This Row],[Document ID]],Table1[],2,FALSE)</f>
        <v>NGA</v>
      </c>
      <c r="C831" s="233" t="str">
        <f>VLOOKUP(Table3[[#This Row],[Document ID]],Table1[],3,FALSE)</f>
        <v>Nigeria</v>
      </c>
      <c r="D831" s="233" t="str">
        <f>VLOOKUP(Table3[[#This Row],[Document ID]],Table1[],5,FALSE)</f>
        <v>LTS</v>
      </c>
      <c r="E831" s="233" t="str">
        <f>VLOOKUP(Table3[[#This Row],[Document ID]],Table1[],7,FALSE)</f>
        <v>LTS</v>
      </c>
      <c r="F831" s="233" t="str">
        <f>VLOOKUP(Table3[[#This Row],[Document ID]],Table1[],8,FALSE)</f>
        <v>LTS 2.0</v>
      </c>
      <c r="G831" s="233" t="str">
        <f>VLOOKUP(Table3[[#This Row],[Document ID]],Table1[],10,FALSE)</f>
        <v>Active</v>
      </c>
      <c r="H831" s="42" t="s">
        <v>1095</v>
      </c>
      <c r="I831" s="42" t="s">
        <v>1096</v>
      </c>
      <c r="J831" s="42" t="s">
        <v>1097</v>
      </c>
      <c r="K831" s="28" t="s">
        <v>1102</v>
      </c>
      <c r="L831" s="43" t="s">
        <v>1092</v>
      </c>
      <c r="M831" s="209">
        <v>2060</v>
      </c>
      <c r="N831" s="44" t="s">
        <v>1945</v>
      </c>
      <c r="O831" s="258">
        <v>84</v>
      </c>
      <c r="P831" s="238" t="str">
        <f>VLOOKUP(_xlfn.CONCAT(Table3[[#This Row],[Target area]],Table3[[#This Row],[GHG target?]],Table3[[#This Row],[Conditionality]]),'Drop down'!$E$81:$F$101,2,FALSE)</f>
        <v>T_Transport_O_C</v>
      </c>
      <c r="Q831" s="239" t="str">
        <f>VLOOKUP(Table3[[#This Row],[Target type]],Table418[[Value name]:[Value idenifyer]],2,FALSE)</f>
        <v>T_O_BIO</v>
      </c>
      <c r="T831" s="234" t="s">
        <v>1113</v>
      </c>
      <c r="V831" s="233" t="str">
        <f>VLOOKUP(Table3[[#This Row],[Country Code]],Table29[],3,FALSE)</f>
        <v>Non-Annex I</v>
      </c>
      <c r="W831" s="233" t="str">
        <f>VLOOKUP(Table3[[#This Row],[Country Code]],Table29[],4,FALSE)</f>
        <v>Africa</v>
      </c>
      <c r="X831" s="233" t="str">
        <f>VLOOKUP(Table3[[#This Row],[Country Code]],Table29[],5,FALSE)</f>
        <v>Middle-income</v>
      </c>
      <c r="Y831" s="233" t="str">
        <f>VLOOKUP(Table3[[#This Row],[Country Code]],Table29[],6,FALSE)</f>
        <v>no</v>
      </c>
      <c r="Z831" s="233" t="str">
        <f>VLOOKUP(Table3[[#This Row],[Country Code]],Table29[],7,FALSE)</f>
        <v>no</v>
      </c>
      <c r="AA831" s="233" t="str">
        <f>VLOOKUP(Table3[[#This Row],[Country Code]],Table29[],8,FALSE)</f>
        <v>non-OECD</v>
      </c>
      <c r="AB831" s="233" t="str">
        <f>VLOOKUP(Table3[[#This Row],[Country Code]],Table29[],9,FALSE)</f>
        <v>no</v>
      </c>
      <c r="AC831" s="233" t="str">
        <f>VLOOKUP(Table3[[#This Row],[Country Code]],Table29[],10,FALSE)</f>
        <v>no</v>
      </c>
      <c r="AD831" s="235">
        <f>VLOOKUP(Table3[[#This Row],[Country Code]],Table29[],23,FALSE)</f>
        <v>385.11288377147002</v>
      </c>
      <c r="AE831" s="235">
        <f>VLOOKUP(Table3[[#This Row],[Country Code]],Table29[],24,FALSE)</f>
        <v>58.971195919965467</v>
      </c>
      <c r="AF831" s="43"/>
    </row>
    <row r="832" spans="1:32" x14ac:dyDescent="0.25">
      <c r="A832" s="360">
        <v>17664</v>
      </c>
      <c r="B832" s="233" t="str">
        <f>VLOOKUP(Table3[[#This Row],[Document ID]],Table1[],2,FALSE)</f>
        <v>MCO</v>
      </c>
      <c r="C832" s="233" t="str">
        <f>VLOOKUP(Table3[[#This Row],[Document ID]],Table1[],3,FALSE)</f>
        <v>Monaco</v>
      </c>
      <c r="D832" s="233" t="str">
        <f>VLOOKUP(Table3[[#This Row],[Document ID]],Table1[],5,FALSE)</f>
        <v>NDC</v>
      </c>
      <c r="E832" s="233" t="str">
        <f>VLOOKUP(Table3[[#This Row],[Document ID]],Table1[],7,FALSE)</f>
        <v>First NDC</v>
      </c>
      <c r="F832" s="233" t="str">
        <f>VLOOKUP(Table3[[#This Row],[Document ID]],Table1[],8,FALSE)</f>
        <v>NDC 1.0</v>
      </c>
      <c r="G832" s="233" t="str">
        <f>VLOOKUP(Table3[[#This Row],[Document ID]],Table1[],10,FALSE)</f>
        <v>Archived</v>
      </c>
      <c r="H832" s="216" t="s">
        <v>1089</v>
      </c>
      <c r="I832" s="216" t="s">
        <v>1089</v>
      </c>
      <c r="J832" s="43" t="s">
        <v>1090</v>
      </c>
      <c r="K832" s="28" t="s">
        <v>1153</v>
      </c>
      <c r="L832" s="42" t="s">
        <v>1099</v>
      </c>
      <c r="M832" s="209">
        <v>2030</v>
      </c>
      <c r="N832" s="176" t="s">
        <v>1850</v>
      </c>
      <c r="O832" s="258" t="s">
        <v>1094</v>
      </c>
      <c r="P832" s="238" t="str">
        <f>VLOOKUP(_xlfn.CONCAT(Table3[[#This Row],[Target area]],Table3[[#This Row],[GHG target?]],Table3[[#This Row],[Conditionality]]),'Drop down'!$E$81:$F$101,2,FALSE)</f>
        <v>T_Economy_Unc</v>
      </c>
      <c r="Q832" s="239" t="str">
        <f>VLOOKUP(Table3[[#This Row],[Target type]],Table418[[Value name]:[Value idenifyer]],2,FALSE)</f>
        <v>T_BYE</v>
      </c>
      <c r="T832" s="234" t="s">
        <v>1113</v>
      </c>
      <c r="U832" s="234" t="s">
        <v>1844</v>
      </c>
      <c r="V832" s="233" t="str">
        <f>VLOOKUP(Table3[[#This Row],[Country Code]],Table29[],3,FALSE)</f>
        <v>Annex I</v>
      </c>
      <c r="W832" s="233" t="str">
        <f>VLOOKUP(Table3[[#This Row],[Country Code]],Table29[],4,FALSE)</f>
        <v>Europe</v>
      </c>
      <c r="X832" s="233" t="str">
        <f>VLOOKUP(Table3[[#This Row],[Country Code]],Table29[],5,FALSE)</f>
        <v>High-income</v>
      </c>
      <c r="Y832" s="233" t="str">
        <f>VLOOKUP(Table3[[#This Row],[Country Code]],Table29[],6,FALSE)</f>
        <v>no</v>
      </c>
      <c r="Z832" s="233" t="str">
        <f>VLOOKUP(Table3[[#This Row],[Country Code]],Table29[],7,FALSE)</f>
        <v>no</v>
      </c>
      <c r="AA832" s="233" t="str">
        <f>VLOOKUP(Table3[[#This Row],[Country Code]],Table29[],8,FALSE)</f>
        <v>non-OECD</v>
      </c>
      <c r="AB832" s="233" t="str">
        <f>VLOOKUP(Table3[[#This Row],[Country Code]],Table29[],9,FALSE)</f>
        <v>no</v>
      </c>
      <c r="AC832" s="233" t="str">
        <f>VLOOKUP(Table3[[#This Row],[Country Code]],Table29[],10,FALSE)</f>
        <v>no</v>
      </c>
      <c r="AD832" s="235">
        <f>VLOOKUP(Table3[[#This Row],[Country Code]],Table29[],23,FALSE)</f>
        <v>0</v>
      </c>
      <c r="AE832" s="235">
        <f>VLOOKUP(Table3[[#This Row],[Country Code]],Table29[],24,FALSE)</f>
        <v>0</v>
      </c>
      <c r="AF832" s="43"/>
    </row>
    <row r="833" spans="1:32" x14ac:dyDescent="0.25">
      <c r="A833" s="360">
        <v>17665</v>
      </c>
      <c r="B833" s="233" t="str">
        <f>VLOOKUP(Table3[[#This Row],[Document ID]],Table1[],2,FALSE)</f>
        <v>MCO</v>
      </c>
      <c r="C833" s="233" t="str">
        <f>VLOOKUP(Table3[[#This Row],[Document ID]],Table1[],3,FALSE)</f>
        <v>Monaco</v>
      </c>
      <c r="D833" s="233" t="str">
        <f>VLOOKUP(Table3[[#This Row],[Document ID]],Table1[],5,FALSE)</f>
        <v>NDC</v>
      </c>
      <c r="E833" s="233" t="str">
        <f>VLOOKUP(Table3[[#This Row],[Document ID]],Table1[],7,FALSE)</f>
        <v>First NDC updated</v>
      </c>
      <c r="F833" s="233" t="str">
        <f>VLOOKUP(Table3[[#This Row],[Document ID]],Table1[],8,FALSE)</f>
        <v>NDC 1.1</v>
      </c>
      <c r="G833" s="233" t="str">
        <f>VLOOKUP(Table3[[#This Row],[Document ID]],Table1[],10,FALSE)</f>
        <v>Active</v>
      </c>
      <c r="H833" s="43" t="s">
        <v>1147</v>
      </c>
      <c r="I833" s="43" t="s">
        <v>1089</v>
      </c>
      <c r="J833" s="43" t="s">
        <v>1090</v>
      </c>
      <c r="K833" s="28" t="s">
        <v>1121</v>
      </c>
      <c r="L833" s="43" t="s">
        <v>1116</v>
      </c>
      <c r="M833" s="209">
        <v>2050</v>
      </c>
      <c r="N833" s="44" t="s">
        <v>1946</v>
      </c>
      <c r="O833" s="258">
        <v>25</v>
      </c>
      <c r="P833" s="238" t="str">
        <f>VLOOKUP(_xlfn.CONCAT(Table3[[#This Row],[Target area]],Table3[[#This Row],[GHG target?]],Table3[[#This Row],[Conditionality]]),'Drop down'!$E$81:$F$101,2,FALSE)</f>
        <v>T_Netzero</v>
      </c>
      <c r="Q833" s="239" t="str">
        <f>VLOOKUP(Table3[[#This Row],[Target type]],Table418[[Value name]:[Value idenifyer]],2,FALSE)</f>
        <v>T_FL</v>
      </c>
      <c r="U833" s="234" t="s">
        <v>1947</v>
      </c>
      <c r="V833" s="233" t="str">
        <f>VLOOKUP(Table3[[#This Row],[Country Code]],Table29[],3,FALSE)</f>
        <v>Annex I</v>
      </c>
      <c r="W833" s="233" t="str">
        <f>VLOOKUP(Table3[[#This Row],[Country Code]],Table29[],4,FALSE)</f>
        <v>Europe</v>
      </c>
      <c r="X833" s="233" t="str">
        <f>VLOOKUP(Table3[[#This Row],[Country Code]],Table29[],5,FALSE)</f>
        <v>High-income</v>
      </c>
      <c r="Y833" s="233" t="str">
        <f>VLOOKUP(Table3[[#This Row],[Country Code]],Table29[],6,FALSE)</f>
        <v>no</v>
      </c>
      <c r="Z833" s="233" t="str">
        <f>VLOOKUP(Table3[[#This Row],[Country Code]],Table29[],7,FALSE)</f>
        <v>no</v>
      </c>
      <c r="AA833" s="233" t="str">
        <f>VLOOKUP(Table3[[#This Row],[Country Code]],Table29[],8,FALSE)</f>
        <v>non-OECD</v>
      </c>
      <c r="AB833" s="233" t="str">
        <f>VLOOKUP(Table3[[#This Row],[Country Code]],Table29[],9,FALSE)</f>
        <v>no</v>
      </c>
      <c r="AC833" s="233" t="str">
        <f>VLOOKUP(Table3[[#This Row],[Country Code]],Table29[],10,FALSE)</f>
        <v>no</v>
      </c>
      <c r="AD833" s="235">
        <f>VLOOKUP(Table3[[#This Row],[Country Code]],Table29[],23,FALSE)</f>
        <v>0</v>
      </c>
      <c r="AE833" s="235">
        <f>VLOOKUP(Table3[[#This Row],[Country Code]],Table29[],24,FALSE)</f>
        <v>0</v>
      </c>
      <c r="AF833" s="43"/>
    </row>
    <row r="834" spans="1:32" ht="30" x14ac:dyDescent="0.25">
      <c r="A834" s="360">
        <v>21263</v>
      </c>
      <c r="B834" s="233" t="str">
        <f>VLOOKUP(Table3[[#This Row],[Document ID]],Table1[],2,FALSE)</f>
        <v>OMN</v>
      </c>
      <c r="C834" s="233" t="str">
        <f>VLOOKUP(Table3[[#This Row],[Document ID]],Table1[],3,FALSE)</f>
        <v>Oman</v>
      </c>
      <c r="D834" s="233" t="str">
        <f>VLOOKUP(Table3[[#This Row],[Document ID]],Table1[],5,FALSE)</f>
        <v>NDC</v>
      </c>
      <c r="E834" s="233" t="str">
        <f>VLOOKUP(Table3[[#This Row],[Document ID]],Table1[],7,FALSE)</f>
        <v>Second NDC</v>
      </c>
      <c r="F834" s="233" t="str">
        <f>VLOOKUP(Table3[[#This Row],[Document ID]],Table1[],8,FALSE)</f>
        <v>NDC 2.0</v>
      </c>
      <c r="G834" s="233" t="str">
        <f>VLOOKUP(Table3[[#This Row],[Document ID]],Table1[],10,FALSE)</f>
        <v>Archived</v>
      </c>
      <c r="H834" s="216" t="s">
        <v>1089</v>
      </c>
      <c r="I834" s="216" t="s">
        <v>1089</v>
      </c>
      <c r="J834" s="43" t="s">
        <v>1090</v>
      </c>
      <c r="K834" s="28" t="s">
        <v>1091</v>
      </c>
      <c r="L834" s="42" t="s">
        <v>1099</v>
      </c>
      <c r="M834" s="209">
        <v>2030</v>
      </c>
      <c r="N834" s="209" t="s">
        <v>1948</v>
      </c>
      <c r="O834" s="257">
        <v>3</v>
      </c>
      <c r="P834" s="238" t="str">
        <f>VLOOKUP(_xlfn.CONCAT(Table3[[#This Row],[Target area]],Table3[[#This Row],[GHG target?]],Table3[[#This Row],[Conditionality]]),'Drop down'!$E$81:$F$101,2,FALSE)</f>
        <v>T_Economy_Unc</v>
      </c>
      <c r="Q834" s="239" t="str">
        <f>VLOOKUP(Table3[[#This Row],[Target type]],Table418[[Value name]:[Value idenifyer]],2,FALSE)</f>
        <v>T_BAU</v>
      </c>
      <c r="T834" s="234" t="s">
        <v>1113</v>
      </c>
      <c r="U834" s="234" t="s">
        <v>1113</v>
      </c>
      <c r="V834" s="233" t="str">
        <f>VLOOKUP(Table3[[#This Row],[Country Code]],Table29[],3,FALSE)</f>
        <v>Non-Annex I</v>
      </c>
      <c r="W834" s="233" t="str">
        <f>VLOOKUP(Table3[[#This Row],[Country Code]],Table29[],4,FALSE)</f>
        <v>Asia</v>
      </c>
      <c r="X834" s="233" t="str">
        <f>VLOOKUP(Table3[[#This Row],[Country Code]],Table29[],5,FALSE)</f>
        <v>High-income</v>
      </c>
      <c r="Y834" s="233" t="str">
        <f>VLOOKUP(Table3[[#This Row],[Country Code]],Table29[],6,FALSE)</f>
        <v>no</v>
      </c>
      <c r="Z834" s="233" t="str">
        <f>VLOOKUP(Table3[[#This Row],[Country Code]],Table29[],7,FALSE)</f>
        <v>no</v>
      </c>
      <c r="AA834" s="233" t="str">
        <f>VLOOKUP(Table3[[#This Row],[Country Code]],Table29[],8,FALSE)</f>
        <v>non-OECD</v>
      </c>
      <c r="AB834" s="233" t="str">
        <f>VLOOKUP(Table3[[#This Row],[Country Code]],Table29[],9,FALSE)</f>
        <v>no</v>
      </c>
      <c r="AC834" s="233" t="str">
        <f>VLOOKUP(Table3[[#This Row],[Country Code]],Table29[],10,FALSE)</f>
        <v>MENA</v>
      </c>
      <c r="AD834" s="235">
        <f>VLOOKUP(Table3[[#This Row],[Country Code]],Table29[],23,FALSE)</f>
        <v>127.44302070563</v>
      </c>
      <c r="AE834" s="235">
        <f>VLOOKUP(Table3[[#This Row],[Country Code]],Table29[],24,FALSE)</f>
        <v>12.3539911460556</v>
      </c>
      <c r="AF834" s="43"/>
    </row>
    <row r="835" spans="1:32" ht="60" x14ac:dyDescent="0.25">
      <c r="A835" s="360">
        <v>21263</v>
      </c>
      <c r="B835" s="233" t="str">
        <f>VLOOKUP(Table3[[#This Row],[Document ID]],Table1[],2,FALSE)</f>
        <v>OMN</v>
      </c>
      <c r="C835" s="233" t="str">
        <f>VLOOKUP(Table3[[#This Row],[Document ID]],Table1[],3,FALSE)</f>
        <v>Oman</v>
      </c>
      <c r="D835" s="233" t="str">
        <f>VLOOKUP(Table3[[#This Row],[Document ID]],Table1[],5,FALSE)</f>
        <v>NDC</v>
      </c>
      <c r="E835" s="233" t="str">
        <f>VLOOKUP(Table3[[#This Row],[Document ID]],Table1[],7,FALSE)</f>
        <v>Second NDC</v>
      </c>
      <c r="F835" s="233" t="str">
        <f>VLOOKUP(Table3[[#This Row],[Document ID]],Table1[],8,FALSE)</f>
        <v>NDC 2.0</v>
      </c>
      <c r="G835" s="233" t="str">
        <f>VLOOKUP(Table3[[#This Row],[Document ID]],Table1[],10,FALSE)</f>
        <v>Archived</v>
      </c>
      <c r="H835" s="216" t="s">
        <v>1089</v>
      </c>
      <c r="I835" s="216" t="s">
        <v>1089</v>
      </c>
      <c r="J835" s="43" t="s">
        <v>1090</v>
      </c>
      <c r="K835" s="28" t="s">
        <v>1091</v>
      </c>
      <c r="L835" s="216" t="s">
        <v>1092</v>
      </c>
      <c r="M835" s="209">
        <v>2030</v>
      </c>
      <c r="N835" s="209" t="s">
        <v>1949</v>
      </c>
      <c r="O835" s="257">
        <v>3</v>
      </c>
      <c r="P835" s="238" t="str">
        <f>VLOOKUP(_xlfn.CONCAT(Table3[[#This Row],[Target area]],Table3[[#This Row],[GHG target?]],Table3[[#This Row],[Conditionality]]),'Drop down'!$E$81:$F$101,2,FALSE)</f>
        <v>T_Economy_C</v>
      </c>
      <c r="Q835" s="239" t="str">
        <f>VLOOKUP(Table3[[#This Row],[Target type]],Table418[[Value name]:[Value idenifyer]],2,FALSE)</f>
        <v>T_BAU</v>
      </c>
      <c r="T835" s="234" t="s">
        <v>1113</v>
      </c>
      <c r="U835" s="234" t="s">
        <v>1113</v>
      </c>
      <c r="V835" s="233" t="str">
        <f>VLOOKUP(Table3[[#This Row],[Country Code]],Table29[],3,FALSE)</f>
        <v>Non-Annex I</v>
      </c>
      <c r="W835" s="233" t="str">
        <f>VLOOKUP(Table3[[#This Row],[Country Code]],Table29[],4,FALSE)</f>
        <v>Asia</v>
      </c>
      <c r="X835" s="233" t="str">
        <f>VLOOKUP(Table3[[#This Row],[Country Code]],Table29[],5,FALSE)</f>
        <v>High-income</v>
      </c>
      <c r="Y835" s="233" t="str">
        <f>VLOOKUP(Table3[[#This Row],[Country Code]],Table29[],6,FALSE)</f>
        <v>no</v>
      </c>
      <c r="Z835" s="233" t="str">
        <f>VLOOKUP(Table3[[#This Row],[Country Code]],Table29[],7,FALSE)</f>
        <v>no</v>
      </c>
      <c r="AA835" s="233" t="str">
        <f>VLOOKUP(Table3[[#This Row],[Country Code]],Table29[],8,FALSE)</f>
        <v>non-OECD</v>
      </c>
      <c r="AB835" s="233" t="str">
        <f>VLOOKUP(Table3[[#This Row],[Country Code]],Table29[],9,FALSE)</f>
        <v>no</v>
      </c>
      <c r="AC835" s="233" t="str">
        <f>VLOOKUP(Table3[[#This Row],[Country Code]],Table29[],10,FALSE)</f>
        <v>MENA</v>
      </c>
      <c r="AD835" s="235">
        <f>VLOOKUP(Table3[[#This Row],[Country Code]],Table29[],23,FALSE)</f>
        <v>127.44302070563</v>
      </c>
      <c r="AE835" s="235">
        <f>VLOOKUP(Table3[[#This Row],[Country Code]],Table29[],24,FALSE)</f>
        <v>12.3539911460556</v>
      </c>
      <c r="AF835" s="43"/>
    </row>
    <row r="836" spans="1:32" ht="30" x14ac:dyDescent="0.25">
      <c r="A836" s="360">
        <v>39447</v>
      </c>
      <c r="B836" s="233" t="str">
        <f>VLOOKUP(Table3[[#This Row],[Document ID]],Table1[],2,FALSE)</f>
        <v>OMN</v>
      </c>
      <c r="C836" s="233" t="str">
        <f>VLOOKUP(Table3[[#This Row],[Document ID]],Table1[],3,FALSE)</f>
        <v>Oman</v>
      </c>
      <c r="D836" s="233" t="str">
        <f>VLOOKUP(Table3[[#This Row],[Document ID]],Table1[],5,FALSE)</f>
        <v>LTS</v>
      </c>
      <c r="E836" s="233" t="str">
        <f>VLOOKUP(Table3[[#This Row],[Document ID]],Table1[],7,FALSE)</f>
        <v>LTS</v>
      </c>
      <c r="F836" s="233" t="str">
        <f>VLOOKUP(Table3[[#This Row],[Document ID]],Table1[],8,FALSE)</f>
        <v>LTS 1.0</v>
      </c>
      <c r="G836" s="233" t="str">
        <f>VLOOKUP(Table3[[#This Row],[Document ID]],Table1[],10,FALSE)</f>
        <v>Active</v>
      </c>
      <c r="H836" s="216" t="s">
        <v>1089</v>
      </c>
      <c r="I836" s="216" t="s">
        <v>1089</v>
      </c>
      <c r="J836" s="43" t="s">
        <v>1090</v>
      </c>
      <c r="K836" s="28" t="s">
        <v>1153</v>
      </c>
      <c r="L836" s="42" t="s">
        <v>1099</v>
      </c>
      <c r="M836" s="209">
        <v>2030</v>
      </c>
      <c r="N836" s="209" t="s">
        <v>1950</v>
      </c>
      <c r="O836" s="258">
        <v>19</v>
      </c>
      <c r="P836" s="238" t="str">
        <f>VLOOKUP(_xlfn.CONCAT(Table3[[#This Row],[Target area]],Table3[[#This Row],[GHG target?]],Table3[[#This Row],[Conditionality]]),'Drop down'!$E$81:$F$101,2,FALSE)</f>
        <v>T_Economy_Unc</v>
      </c>
      <c r="Q836" s="239" t="str">
        <f>VLOOKUP(Table3[[#This Row],[Target type]],Table418[[Value name]:[Value idenifyer]],2,FALSE)</f>
        <v>T_BYE</v>
      </c>
      <c r="T836" s="234" t="s">
        <v>1113</v>
      </c>
      <c r="U836" s="234" t="s">
        <v>1113</v>
      </c>
      <c r="V836" s="233" t="str">
        <f>VLOOKUP(Table3[[#This Row],[Country Code]],Table29[],3,FALSE)</f>
        <v>Non-Annex I</v>
      </c>
      <c r="W836" s="233" t="str">
        <f>VLOOKUP(Table3[[#This Row],[Country Code]],Table29[],4,FALSE)</f>
        <v>Asia</v>
      </c>
      <c r="X836" s="233" t="str">
        <f>VLOOKUP(Table3[[#This Row],[Country Code]],Table29[],5,FALSE)</f>
        <v>High-income</v>
      </c>
      <c r="Y836" s="233" t="str">
        <f>VLOOKUP(Table3[[#This Row],[Country Code]],Table29[],6,FALSE)</f>
        <v>no</v>
      </c>
      <c r="Z836" s="233" t="str">
        <f>VLOOKUP(Table3[[#This Row],[Country Code]],Table29[],7,FALSE)</f>
        <v>no</v>
      </c>
      <c r="AA836" s="233" t="str">
        <f>VLOOKUP(Table3[[#This Row],[Country Code]],Table29[],8,FALSE)</f>
        <v>non-OECD</v>
      </c>
      <c r="AB836" s="233" t="str">
        <f>VLOOKUP(Table3[[#This Row],[Country Code]],Table29[],9,FALSE)</f>
        <v>no</v>
      </c>
      <c r="AC836" s="233" t="str">
        <f>VLOOKUP(Table3[[#This Row],[Country Code]],Table29[],10,FALSE)</f>
        <v>MENA</v>
      </c>
      <c r="AD836" s="235">
        <f>VLOOKUP(Table3[[#This Row],[Country Code]],Table29[],23,FALSE)</f>
        <v>127.44302070563</v>
      </c>
      <c r="AE836" s="235">
        <f>VLOOKUP(Table3[[#This Row],[Country Code]],Table29[],24,FALSE)</f>
        <v>12.3539911460556</v>
      </c>
      <c r="AF836" s="43"/>
    </row>
    <row r="837" spans="1:32" x14ac:dyDescent="0.25">
      <c r="A837" s="360">
        <v>39447</v>
      </c>
      <c r="B837" s="233" t="str">
        <f>VLOOKUP(Table3[[#This Row],[Document ID]],Table1[],2,FALSE)</f>
        <v>OMN</v>
      </c>
      <c r="C837" s="233" t="str">
        <f>VLOOKUP(Table3[[#This Row],[Document ID]],Table1[],3,FALSE)</f>
        <v>Oman</v>
      </c>
      <c r="D837" s="233" t="str">
        <f>VLOOKUP(Table3[[#This Row],[Document ID]],Table1[],5,FALSE)</f>
        <v>LTS</v>
      </c>
      <c r="E837" s="233" t="str">
        <f>VLOOKUP(Table3[[#This Row],[Document ID]],Table1[],7,FALSE)</f>
        <v>LTS</v>
      </c>
      <c r="F837" s="233" t="str">
        <f>VLOOKUP(Table3[[#This Row],[Document ID]],Table1[],8,FALSE)</f>
        <v>LTS 1.0</v>
      </c>
      <c r="G837" s="233" t="str">
        <f>VLOOKUP(Table3[[#This Row],[Document ID]],Table1[],10,FALSE)</f>
        <v>Active</v>
      </c>
      <c r="H837" s="216" t="s">
        <v>1089</v>
      </c>
      <c r="I837" s="216" t="s">
        <v>1089</v>
      </c>
      <c r="J837" s="43" t="s">
        <v>1090</v>
      </c>
      <c r="K837" s="28" t="s">
        <v>1153</v>
      </c>
      <c r="L837" s="42" t="s">
        <v>1099</v>
      </c>
      <c r="M837" s="209">
        <v>2040</v>
      </c>
      <c r="N837" s="209" t="s">
        <v>1951</v>
      </c>
      <c r="O837" s="258">
        <v>19</v>
      </c>
      <c r="P837" s="238" t="str">
        <f>VLOOKUP(_xlfn.CONCAT(Table3[[#This Row],[Target area]],Table3[[#This Row],[GHG target?]],Table3[[#This Row],[Conditionality]]),'Drop down'!$E$81:$F$101,2,FALSE)</f>
        <v>T_Economy_Unc</v>
      </c>
      <c r="Q837" s="239" t="str">
        <f>VLOOKUP(Table3[[#This Row],[Target type]],Table418[[Value name]:[Value idenifyer]],2,FALSE)</f>
        <v>T_BYE</v>
      </c>
      <c r="T837" s="234" t="s">
        <v>1113</v>
      </c>
      <c r="U837" s="234" t="s">
        <v>1113</v>
      </c>
      <c r="V837" s="233" t="str">
        <f>VLOOKUP(Table3[[#This Row],[Country Code]],Table29[],3,FALSE)</f>
        <v>Non-Annex I</v>
      </c>
      <c r="W837" s="233" t="str">
        <f>VLOOKUP(Table3[[#This Row],[Country Code]],Table29[],4,FALSE)</f>
        <v>Asia</v>
      </c>
      <c r="X837" s="233" t="str">
        <f>VLOOKUP(Table3[[#This Row],[Country Code]],Table29[],5,FALSE)</f>
        <v>High-income</v>
      </c>
      <c r="Y837" s="233" t="str">
        <f>VLOOKUP(Table3[[#This Row],[Country Code]],Table29[],6,FALSE)</f>
        <v>no</v>
      </c>
      <c r="Z837" s="233" t="str">
        <f>VLOOKUP(Table3[[#This Row],[Country Code]],Table29[],7,FALSE)</f>
        <v>no</v>
      </c>
      <c r="AA837" s="233" t="str">
        <f>VLOOKUP(Table3[[#This Row],[Country Code]],Table29[],8,FALSE)</f>
        <v>non-OECD</v>
      </c>
      <c r="AB837" s="233" t="str">
        <f>VLOOKUP(Table3[[#This Row],[Country Code]],Table29[],9,FALSE)</f>
        <v>no</v>
      </c>
      <c r="AC837" s="233" t="str">
        <f>VLOOKUP(Table3[[#This Row],[Country Code]],Table29[],10,FALSE)</f>
        <v>MENA</v>
      </c>
      <c r="AD837" s="235">
        <f>VLOOKUP(Table3[[#This Row],[Country Code]],Table29[],23,FALSE)</f>
        <v>127.44302070563</v>
      </c>
      <c r="AE837" s="235">
        <f>VLOOKUP(Table3[[#This Row],[Country Code]],Table29[],24,FALSE)</f>
        <v>12.3539911460556</v>
      </c>
      <c r="AF837" s="43"/>
    </row>
    <row r="838" spans="1:32" x14ac:dyDescent="0.25">
      <c r="A838" s="360">
        <v>39447</v>
      </c>
      <c r="B838" s="233" t="str">
        <f>VLOOKUP(Table3[[#This Row],[Document ID]],Table1[],2,FALSE)</f>
        <v>OMN</v>
      </c>
      <c r="C838" s="233" t="str">
        <f>VLOOKUP(Table3[[#This Row],[Document ID]],Table1[],3,FALSE)</f>
        <v>Oman</v>
      </c>
      <c r="D838" s="233" t="str">
        <f>VLOOKUP(Table3[[#This Row],[Document ID]],Table1[],5,FALSE)</f>
        <v>LTS</v>
      </c>
      <c r="E838" s="233" t="str">
        <f>VLOOKUP(Table3[[#This Row],[Document ID]],Table1[],7,FALSE)</f>
        <v>LTS</v>
      </c>
      <c r="F838" s="233" t="str">
        <f>VLOOKUP(Table3[[#This Row],[Document ID]],Table1[],8,FALSE)</f>
        <v>LTS 1.0</v>
      </c>
      <c r="G838" s="233" t="str">
        <f>VLOOKUP(Table3[[#This Row],[Document ID]],Table1[],10,FALSE)</f>
        <v>Active</v>
      </c>
      <c r="H838" s="216" t="s">
        <v>1089</v>
      </c>
      <c r="I838" s="216" t="s">
        <v>1089</v>
      </c>
      <c r="J838" s="43" t="s">
        <v>1090</v>
      </c>
      <c r="K838" s="28" t="s">
        <v>1153</v>
      </c>
      <c r="L838" s="42" t="s">
        <v>1099</v>
      </c>
      <c r="M838" s="209">
        <v>2050</v>
      </c>
      <c r="N838" s="209" t="s">
        <v>1952</v>
      </c>
      <c r="O838" s="258">
        <v>5</v>
      </c>
      <c r="P838" s="238" t="str">
        <f>VLOOKUP(_xlfn.CONCAT(Table3[[#This Row],[Target area]],Table3[[#This Row],[GHG target?]],Table3[[#This Row],[Conditionality]]),'Drop down'!$E$81:$F$101,2,FALSE)</f>
        <v>T_Economy_Unc</v>
      </c>
      <c r="Q838" s="239" t="str">
        <f>VLOOKUP(Table3[[#This Row],[Target type]],Table418[[Value name]:[Value idenifyer]],2,FALSE)</f>
        <v>T_BYE</v>
      </c>
      <c r="T838" s="234" t="s">
        <v>1113</v>
      </c>
      <c r="U838" s="234" t="s">
        <v>1113</v>
      </c>
      <c r="V838" s="233" t="str">
        <f>VLOOKUP(Table3[[#This Row],[Country Code]],Table29[],3,FALSE)</f>
        <v>Non-Annex I</v>
      </c>
      <c r="W838" s="233" t="str">
        <f>VLOOKUP(Table3[[#This Row],[Country Code]],Table29[],4,FALSE)</f>
        <v>Asia</v>
      </c>
      <c r="X838" s="233" t="str">
        <f>VLOOKUP(Table3[[#This Row],[Country Code]],Table29[],5,FALSE)</f>
        <v>High-income</v>
      </c>
      <c r="Y838" s="233" t="str">
        <f>VLOOKUP(Table3[[#This Row],[Country Code]],Table29[],6,FALSE)</f>
        <v>no</v>
      </c>
      <c r="Z838" s="233" t="str">
        <f>VLOOKUP(Table3[[#This Row],[Country Code]],Table29[],7,FALSE)</f>
        <v>no</v>
      </c>
      <c r="AA838" s="233" t="str">
        <f>VLOOKUP(Table3[[#This Row],[Country Code]],Table29[],8,FALSE)</f>
        <v>non-OECD</v>
      </c>
      <c r="AB838" s="233" t="str">
        <f>VLOOKUP(Table3[[#This Row],[Country Code]],Table29[],9,FALSE)</f>
        <v>no</v>
      </c>
      <c r="AC838" s="233" t="str">
        <f>VLOOKUP(Table3[[#This Row],[Country Code]],Table29[],10,FALSE)</f>
        <v>MENA</v>
      </c>
      <c r="AD838" s="235">
        <f>VLOOKUP(Table3[[#This Row],[Country Code]],Table29[],23,FALSE)</f>
        <v>127.44302070563</v>
      </c>
      <c r="AE838" s="235">
        <f>VLOOKUP(Table3[[#This Row],[Country Code]],Table29[],24,FALSE)</f>
        <v>12.3539911460556</v>
      </c>
      <c r="AF838" s="43"/>
    </row>
    <row r="839" spans="1:32" ht="45" x14ac:dyDescent="0.25">
      <c r="A839" s="360">
        <v>21267</v>
      </c>
      <c r="B839" s="233" t="str">
        <f>VLOOKUP(Table3[[#This Row],[Document ID]],Table1[],2,FALSE)</f>
        <v>TZA</v>
      </c>
      <c r="C839" s="233" t="str">
        <f>VLOOKUP(Table3[[#This Row],[Document ID]],Table1[],3,FALSE)</f>
        <v>United Republic of Tanzania</v>
      </c>
      <c r="D839" s="233" t="str">
        <f>VLOOKUP(Table3[[#This Row],[Document ID]],Table1[],5,FALSE)</f>
        <v>NDC</v>
      </c>
      <c r="E839" s="233" t="str">
        <f>VLOOKUP(Table3[[#This Row],[Document ID]],Table1[],7,FALSE)</f>
        <v>First NDC updated</v>
      </c>
      <c r="F839" s="233" t="str">
        <f>VLOOKUP(Table3[[#This Row],[Document ID]],Table1[],8,FALSE)</f>
        <v>NDC 1.1</v>
      </c>
      <c r="G839" s="233" t="str">
        <f>VLOOKUP(Table3[[#This Row],[Document ID]],Table1[],10,FALSE)</f>
        <v>Active</v>
      </c>
      <c r="H839" s="216" t="s">
        <v>1089</v>
      </c>
      <c r="I839" s="216" t="s">
        <v>1089</v>
      </c>
      <c r="J839" s="43" t="s">
        <v>1090</v>
      </c>
      <c r="K839" s="28" t="s">
        <v>1091</v>
      </c>
      <c r="L839" s="42" t="s">
        <v>1099</v>
      </c>
      <c r="M839" s="209">
        <v>2030</v>
      </c>
      <c r="N839" s="209" t="s">
        <v>1953</v>
      </c>
      <c r="O839" s="257">
        <v>13</v>
      </c>
      <c r="P839" s="238" t="str">
        <f>VLOOKUP(_xlfn.CONCAT(Table3[[#This Row],[Target area]],Table3[[#This Row],[GHG target?]],Table3[[#This Row],[Conditionality]]),'Drop down'!$E$81:$F$101,2,FALSE)</f>
        <v>T_Economy_Unc</v>
      </c>
      <c r="Q839" s="239" t="str">
        <f>VLOOKUP(Table3[[#This Row],[Target type]],Table418[[Value name]:[Value idenifyer]],2,FALSE)</f>
        <v>T_BAU</v>
      </c>
      <c r="V839" s="233" t="str">
        <f>VLOOKUP(Table3[[#This Row],[Country Code]],Table29[],3,FALSE)</f>
        <v>Non-Annex I</v>
      </c>
      <c r="W839" s="233" t="str">
        <f>VLOOKUP(Table3[[#This Row],[Country Code]],Table29[],4,FALSE)</f>
        <v>Africa</v>
      </c>
      <c r="X839" s="233" t="str">
        <f>VLOOKUP(Table3[[#This Row],[Country Code]],Table29[],5,FALSE)</f>
        <v>Middle-income</v>
      </c>
      <c r="Y839" s="233" t="str">
        <f>VLOOKUP(Table3[[#This Row],[Country Code]],Table29[],6,FALSE)</f>
        <v>no</v>
      </c>
      <c r="Z839" s="233" t="str">
        <f>VLOOKUP(Table3[[#This Row],[Country Code]],Table29[],7,FALSE)</f>
        <v>no</v>
      </c>
      <c r="AA839" s="233" t="str">
        <f>VLOOKUP(Table3[[#This Row],[Country Code]],Table29[],8,FALSE)</f>
        <v>non-OECD</v>
      </c>
      <c r="AB839" s="233" t="str">
        <f>VLOOKUP(Table3[[#This Row],[Country Code]],Table29[],9,FALSE)</f>
        <v>no</v>
      </c>
      <c r="AC839" s="233" t="str">
        <f>VLOOKUP(Table3[[#This Row],[Country Code]],Table29[],10,FALSE)</f>
        <v>no</v>
      </c>
      <c r="AD839" s="235">
        <f>VLOOKUP(Table3[[#This Row],[Country Code]],Table29[],23,FALSE)</f>
        <v>89.815439405641001</v>
      </c>
      <c r="AE839" s="235">
        <f>VLOOKUP(Table3[[#This Row],[Country Code]],Table29[],24,FALSE)</f>
        <v>9.0665378622625585</v>
      </c>
      <c r="AF839" s="43"/>
    </row>
    <row r="840" spans="1:32" x14ac:dyDescent="0.25">
      <c r="A840" s="360">
        <v>17777</v>
      </c>
      <c r="B840" s="233" t="str">
        <f>VLOOKUP(Table3[[#This Row],[Document ID]],Table1[],2,FALSE)</f>
        <v>TZA</v>
      </c>
      <c r="C840" s="233" t="str">
        <f>VLOOKUP(Table3[[#This Row],[Document ID]],Table1[],3,FALSE)</f>
        <v>United Republic of Tanzania</v>
      </c>
      <c r="D840" s="233" t="str">
        <f>VLOOKUP(Table3[[#This Row],[Document ID]],Table1[],5,FALSE)</f>
        <v>NDC</v>
      </c>
      <c r="E840" s="233" t="str">
        <f>VLOOKUP(Table3[[#This Row],[Document ID]],Table1[],7,FALSE)</f>
        <v>First NDC</v>
      </c>
      <c r="F840" s="233" t="str">
        <f>VLOOKUP(Table3[[#This Row],[Document ID]],Table1[],8,FALSE)</f>
        <v>NDC 1.0</v>
      </c>
      <c r="G840" s="233" t="str">
        <f>VLOOKUP(Table3[[#This Row],[Document ID]],Table1[],10,FALSE)</f>
        <v>Archived</v>
      </c>
      <c r="H840" s="216" t="s">
        <v>1089</v>
      </c>
      <c r="I840" s="216" t="s">
        <v>1089</v>
      </c>
      <c r="J840" s="43" t="s">
        <v>1090</v>
      </c>
      <c r="K840" s="28" t="s">
        <v>1091</v>
      </c>
      <c r="L840" s="42" t="s">
        <v>1099</v>
      </c>
      <c r="M840" s="209">
        <v>2030</v>
      </c>
      <c r="N840" s="176" t="s">
        <v>1954</v>
      </c>
      <c r="O840" s="258" t="s">
        <v>1094</v>
      </c>
      <c r="P840" s="238" t="str">
        <f>VLOOKUP(_xlfn.CONCAT(Table3[[#This Row],[Target area]],Table3[[#This Row],[GHG target?]],Table3[[#This Row],[Conditionality]]),'Drop down'!$E$81:$F$101,2,FALSE)</f>
        <v>T_Economy_Unc</v>
      </c>
      <c r="Q840" s="239" t="str">
        <f>VLOOKUP(Table3[[#This Row],[Target type]],Table418[[Value name]:[Value idenifyer]],2,FALSE)</f>
        <v>T_BAU</v>
      </c>
      <c r="V840" s="233" t="str">
        <f>VLOOKUP(Table3[[#This Row],[Country Code]],Table29[],3,FALSE)</f>
        <v>Non-Annex I</v>
      </c>
      <c r="W840" s="233" t="str">
        <f>VLOOKUP(Table3[[#This Row],[Country Code]],Table29[],4,FALSE)</f>
        <v>Africa</v>
      </c>
      <c r="X840" s="233" t="str">
        <f>VLOOKUP(Table3[[#This Row],[Country Code]],Table29[],5,FALSE)</f>
        <v>Middle-income</v>
      </c>
      <c r="Y840" s="233" t="str">
        <f>VLOOKUP(Table3[[#This Row],[Country Code]],Table29[],6,FALSE)</f>
        <v>no</v>
      </c>
      <c r="Z840" s="233" t="str">
        <f>VLOOKUP(Table3[[#This Row],[Country Code]],Table29[],7,FALSE)</f>
        <v>no</v>
      </c>
      <c r="AA840" s="233" t="str">
        <f>VLOOKUP(Table3[[#This Row],[Country Code]],Table29[],8,FALSE)</f>
        <v>non-OECD</v>
      </c>
      <c r="AB840" s="233" t="str">
        <f>VLOOKUP(Table3[[#This Row],[Country Code]],Table29[],9,FALSE)</f>
        <v>no</v>
      </c>
      <c r="AC840" s="233" t="str">
        <f>VLOOKUP(Table3[[#This Row],[Country Code]],Table29[],10,FALSE)</f>
        <v>no</v>
      </c>
      <c r="AD840" s="235">
        <f>VLOOKUP(Table3[[#This Row],[Country Code]],Table29[],23,FALSE)</f>
        <v>89.815439405641001</v>
      </c>
      <c r="AE840" s="235">
        <f>VLOOKUP(Table3[[#This Row],[Country Code]],Table29[],24,FALSE)</f>
        <v>9.0665378622625585</v>
      </c>
      <c r="AF840" s="43"/>
    </row>
    <row r="841" spans="1:32" x14ac:dyDescent="0.25">
      <c r="A841" s="360">
        <v>17777</v>
      </c>
      <c r="B841" s="233" t="str">
        <f>VLOOKUP(Table3[[#This Row],[Document ID]],Table1[],2,FALSE)</f>
        <v>TZA</v>
      </c>
      <c r="C841" s="233" t="str">
        <f>VLOOKUP(Table3[[#This Row],[Document ID]],Table1[],3,FALSE)</f>
        <v>United Republic of Tanzania</v>
      </c>
      <c r="D841" s="233" t="str">
        <f>VLOOKUP(Table3[[#This Row],[Document ID]],Table1[],5,FALSE)</f>
        <v>NDC</v>
      </c>
      <c r="E841" s="233" t="str">
        <f>VLOOKUP(Table3[[#This Row],[Document ID]],Table1[],7,FALSE)</f>
        <v>First NDC</v>
      </c>
      <c r="F841" s="233" t="str">
        <f>VLOOKUP(Table3[[#This Row],[Document ID]],Table1[],8,FALSE)</f>
        <v>NDC 1.0</v>
      </c>
      <c r="G841" s="233" t="str">
        <f>VLOOKUP(Table3[[#This Row],[Document ID]],Table1[],10,FALSE)</f>
        <v>Archived</v>
      </c>
      <c r="H841" s="216" t="s">
        <v>1089</v>
      </c>
      <c r="I841" s="216" t="s">
        <v>1089</v>
      </c>
      <c r="J841" s="43" t="s">
        <v>1090</v>
      </c>
      <c r="K841" s="28" t="s">
        <v>1091</v>
      </c>
      <c r="L841" s="216" t="s">
        <v>1092</v>
      </c>
      <c r="M841" s="209">
        <v>2030</v>
      </c>
      <c r="N841" s="176" t="s">
        <v>1955</v>
      </c>
      <c r="O841" s="258" t="s">
        <v>1094</v>
      </c>
      <c r="P841" s="238" t="str">
        <f>VLOOKUP(_xlfn.CONCAT(Table3[[#This Row],[Target area]],Table3[[#This Row],[GHG target?]],Table3[[#This Row],[Conditionality]]),'Drop down'!$E$81:$F$101,2,FALSE)</f>
        <v>T_Economy_C</v>
      </c>
      <c r="Q841" s="239" t="str">
        <f>VLOOKUP(Table3[[#This Row],[Target type]],Table418[[Value name]:[Value idenifyer]],2,FALSE)</f>
        <v>T_BAU</v>
      </c>
      <c r="V841" s="233" t="str">
        <f>VLOOKUP(Table3[[#This Row],[Country Code]],Table29[],3,FALSE)</f>
        <v>Non-Annex I</v>
      </c>
      <c r="W841" s="233" t="str">
        <f>VLOOKUP(Table3[[#This Row],[Country Code]],Table29[],4,FALSE)</f>
        <v>Africa</v>
      </c>
      <c r="X841" s="233" t="str">
        <f>VLOOKUP(Table3[[#This Row],[Country Code]],Table29[],5,FALSE)</f>
        <v>Middle-income</v>
      </c>
      <c r="Y841" s="233" t="str">
        <f>VLOOKUP(Table3[[#This Row],[Country Code]],Table29[],6,FALSE)</f>
        <v>no</v>
      </c>
      <c r="Z841" s="233" t="str">
        <f>VLOOKUP(Table3[[#This Row],[Country Code]],Table29[],7,FALSE)</f>
        <v>no</v>
      </c>
      <c r="AA841" s="233" t="str">
        <f>VLOOKUP(Table3[[#This Row],[Country Code]],Table29[],8,FALSE)</f>
        <v>non-OECD</v>
      </c>
      <c r="AB841" s="233" t="str">
        <f>VLOOKUP(Table3[[#This Row],[Country Code]],Table29[],9,FALSE)</f>
        <v>no</v>
      </c>
      <c r="AC841" s="233" t="str">
        <f>VLOOKUP(Table3[[#This Row],[Country Code]],Table29[],10,FALSE)</f>
        <v>no</v>
      </c>
      <c r="AD841" s="235">
        <f>VLOOKUP(Table3[[#This Row],[Country Code]],Table29[],23,FALSE)</f>
        <v>89.815439405641001</v>
      </c>
      <c r="AE841" s="235">
        <f>VLOOKUP(Table3[[#This Row],[Country Code]],Table29[],24,FALSE)</f>
        <v>9.0665378622625585</v>
      </c>
      <c r="AF841" s="43"/>
    </row>
    <row r="842" spans="1:32" x14ac:dyDescent="0.25">
      <c r="A842" s="360">
        <v>17779</v>
      </c>
      <c r="B842" s="233" t="str">
        <f>VLOOKUP(Table3[[#This Row],[Document ID]],Table1[],2,FALSE)</f>
        <v>USA</v>
      </c>
      <c r="C842" s="233" t="str">
        <f>VLOOKUP(Table3[[#This Row],[Document ID]],Table1[],3,FALSE)</f>
        <v>United States of America</v>
      </c>
      <c r="D842" s="233" t="str">
        <f>VLOOKUP(Table3[[#This Row],[Document ID]],Table1[],5,FALSE)</f>
        <v>LTS</v>
      </c>
      <c r="E842" s="233" t="str">
        <f>VLOOKUP(Table3[[#This Row],[Document ID]],Table1[],7,FALSE)</f>
        <v>Archived LTS 1.0</v>
      </c>
      <c r="F842" s="233" t="str">
        <f>VLOOKUP(Table3[[#This Row],[Document ID]],Table1[],8,FALSE)</f>
        <v>LTS 1.0</v>
      </c>
      <c r="G842" s="233" t="str">
        <f>VLOOKUP(Table3[[#This Row],[Document ID]],Table1[],10,FALSE)</f>
        <v>Archived</v>
      </c>
      <c r="H842" s="216" t="s">
        <v>1089</v>
      </c>
      <c r="I842" s="216" t="s">
        <v>1089</v>
      </c>
      <c r="J842" s="43" t="s">
        <v>1090</v>
      </c>
      <c r="K842" s="28" t="s">
        <v>1153</v>
      </c>
      <c r="L842" s="42" t="s">
        <v>1099</v>
      </c>
      <c r="M842" s="209">
        <v>2050</v>
      </c>
      <c r="N842" s="44" t="s">
        <v>1956</v>
      </c>
      <c r="O842" s="221">
        <v>6</v>
      </c>
      <c r="P842" s="238" t="str">
        <f>VLOOKUP(_xlfn.CONCAT(Table3[[#This Row],[Target area]],Table3[[#This Row],[GHG target?]],Table3[[#This Row],[Conditionality]]),'Drop down'!$E$81:$F$101,2,FALSE)</f>
        <v>T_Economy_Unc</v>
      </c>
      <c r="Q842" s="239" t="str">
        <f>VLOOKUP(Table3[[#This Row],[Target type]],Table418[[Value name]:[Value idenifyer]],2,FALSE)</f>
        <v>T_BYE</v>
      </c>
      <c r="T842" s="234" t="s">
        <v>1113</v>
      </c>
      <c r="V842" s="233" t="str">
        <f>VLOOKUP(Table3[[#This Row],[Country Code]],Table29[],3,FALSE)</f>
        <v>Annex I</v>
      </c>
      <c r="W842" s="233" t="str">
        <f>VLOOKUP(Table3[[#This Row],[Country Code]],Table29[],4,FALSE)</f>
        <v>Northern America</v>
      </c>
      <c r="X842" s="233" t="str">
        <f>VLOOKUP(Table3[[#This Row],[Country Code]],Table29[],5,FALSE)</f>
        <v>High-income</v>
      </c>
      <c r="Y842" s="233" t="str">
        <f>VLOOKUP(Table3[[#This Row],[Country Code]],Table29[],6,FALSE)</f>
        <v>G20</v>
      </c>
      <c r="Z842" s="233" t="str">
        <f>VLOOKUP(Table3[[#This Row],[Country Code]],Table29[],7,FALSE)</f>
        <v>G7</v>
      </c>
      <c r="AA842" s="233" t="str">
        <f>VLOOKUP(Table3[[#This Row],[Country Code]],Table29[],8,FALSE)</f>
        <v>OECD</v>
      </c>
      <c r="AB842" s="233" t="str">
        <f>VLOOKUP(Table3[[#This Row],[Country Code]],Table29[],9,FALSE)</f>
        <v>no</v>
      </c>
      <c r="AC842" s="233" t="str">
        <f>VLOOKUP(Table3[[#This Row],[Country Code]],Table29[],10,FALSE)</f>
        <v>no</v>
      </c>
      <c r="AD842" s="235">
        <f>VLOOKUP(Table3[[#This Row],[Country Code]],Table29[],23,FALSE)</f>
        <v>5960.8043799938996</v>
      </c>
      <c r="AE842" s="235">
        <f>VLOOKUP(Table3[[#This Row],[Country Code]],Table29[],24,FALSE)</f>
        <v>1735.9036371632039</v>
      </c>
      <c r="AF842" s="43"/>
    </row>
    <row r="843" spans="1:32" x14ac:dyDescent="0.25">
      <c r="A843" s="360">
        <v>19930</v>
      </c>
      <c r="B843" s="233" t="str">
        <f>VLOOKUP(Table3[[#This Row],[Document ID]],Table1[],2,FALSE)</f>
        <v>USA</v>
      </c>
      <c r="C843" s="233" t="str">
        <f>VLOOKUP(Table3[[#This Row],[Document ID]],Table1[],3,FALSE)</f>
        <v>United States of America</v>
      </c>
      <c r="D843" s="233" t="str">
        <f>VLOOKUP(Table3[[#This Row],[Document ID]],Table1[],5,FALSE)</f>
        <v>NDC</v>
      </c>
      <c r="E843" s="233" t="str">
        <f>VLOOKUP(Table3[[#This Row],[Document ID]],Table1[],7,FALSE)</f>
        <v>First NDC updated</v>
      </c>
      <c r="F843" s="233" t="str">
        <f>VLOOKUP(Table3[[#This Row],[Document ID]],Table1[],8,FALSE)</f>
        <v>NDC 1.1</v>
      </c>
      <c r="G843" s="233" t="str">
        <f>VLOOKUP(Table3[[#This Row],[Document ID]],Table1[],10,FALSE)</f>
        <v>Archived</v>
      </c>
      <c r="H843" s="216" t="s">
        <v>1089</v>
      </c>
      <c r="I843" s="216" t="s">
        <v>1089</v>
      </c>
      <c r="J843" s="43" t="s">
        <v>1090</v>
      </c>
      <c r="K843" s="28" t="s">
        <v>1153</v>
      </c>
      <c r="L843" s="42" t="s">
        <v>1099</v>
      </c>
      <c r="M843" s="209">
        <v>2030</v>
      </c>
      <c r="N843" s="44" t="s">
        <v>1957</v>
      </c>
      <c r="O843" s="221">
        <v>1</v>
      </c>
      <c r="P843" s="238" t="str">
        <f>VLOOKUP(_xlfn.CONCAT(Table3[[#This Row],[Target area]],Table3[[#This Row],[GHG target?]],Table3[[#This Row],[Conditionality]]),'Drop down'!$E$81:$F$101,2,FALSE)</f>
        <v>T_Economy_Unc</v>
      </c>
      <c r="Q843" s="239" t="str">
        <f>VLOOKUP(Table3[[#This Row],[Target type]],Table418[[Value name]:[Value idenifyer]],2,FALSE)</f>
        <v>T_BYE</v>
      </c>
      <c r="T843" s="234" t="s">
        <v>1113</v>
      </c>
      <c r="V843" s="233" t="str">
        <f>VLOOKUP(Table3[[#This Row],[Country Code]],Table29[],3,FALSE)</f>
        <v>Annex I</v>
      </c>
      <c r="W843" s="233" t="str">
        <f>VLOOKUP(Table3[[#This Row],[Country Code]],Table29[],4,FALSE)</f>
        <v>Northern America</v>
      </c>
      <c r="X843" s="233" t="str">
        <f>VLOOKUP(Table3[[#This Row],[Country Code]],Table29[],5,FALSE)</f>
        <v>High-income</v>
      </c>
      <c r="Y843" s="233" t="str">
        <f>VLOOKUP(Table3[[#This Row],[Country Code]],Table29[],6,FALSE)</f>
        <v>G20</v>
      </c>
      <c r="Z843" s="233" t="str">
        <f>VLOOKUP(Table3[[#This Row],[Country Code]],Table29[],7,FALSE)</f>
        <v>G7</v>
      </c>
      <c r="AA843" s="233" t="str">
        <f>VLOOKUP(Table3[[#This Row],[Country Code]],Table29[],8,FALSE)</f>
        <v>OECD</v>
      </c>
      <c r="AB843" s="233" t="str">
        <f>VLOOKUP(Table3[[#This Row],[Country Code]],Table29[],9,FALSE)</f>
        <v>no</v>
      </c>
      <c r="AC843" s="233" t="str">
        <f>VLOOKUP(Table3[[#This Row],[Country Code]],Table29[],10,FALSE)</f>
        <v>no</v>
      </c>
      <c r="AD843" s="235">
        <f>VLOOKUP(Table3[[#This Row],[Country Code]],Table29[],23,FALSE)</f>
        <v>5960.8043799938996</v>
      </c>
      <c r="AE843" s="235">
        <f>VLOOKUP(Table3[[#This Row],[Country Code]],Table29[],24,FALSE)</f>
        <v>1735.9036371632039</v>
      </c>
      <c r="AF843" s="43"/>
    </row>
    <row r="844" spans="1:32" x14ac:dyDescent="0.25">
      <c r="A844" s="360">
        <v>26793</v>
      </c>
      <c r="B844" s="233" t="str">
        <f>VLOOKUP(Table3[[#This Row],[Document ID]],Table1[],2,FALSE)</f>
        <v>USA</v>
      </c>
      <c r="C844" s="233" t="str">
        <f>VLOOKUP(Table3[[#This Row],[Document ID]],Table1[],3,FALSE)</f>
        <v>United States of America</v>
      </c>
      <c r="D844" s="233" t="str">
        <f>VLOOKUP(Table3[[#This Row],[Document ID]],Table1[],5,FALSE)</f>
        <v>LTS</v>
      </c>
      <c r="E844" s="233" t="str">
        <f>VLOOKUP(Table3[[#This Row],[Document ID]],Table1[],7,FALSE)</f>
        <v>LTS</v>
      </c>
      <c r="F844" s="233" t="str">
        <f>VLOOKUP(Table3[[#This Row],[Document ID]],Table1[],8,FALSE)</f>
        <v>LTS 1.1</v>
      </c>
      <c r="G844" s="233" t="str">
        <f>VLOOKUP(Table3[[#This Row],[Document ID]],Table1[],10,FALSE)</f>
        <v>Active</v>
      </c>
      <c r="H844" s="216" t="s">
        <v>1089</v>
      </c>
      <c r="I844" s="216" t="s">
        <v>1089</v>
      </c>
      <c r="J844" s="43" t="s">
        <v>1090</v>
      </c>
      <c r="K844" s="28" t="s">
        <v>1121</v>
      </c>
      <c r="L844" s="42" t="s">
        <v>1099</v>
      </c>
      <c r="M844" s="209">
        <v>2050</v>
      </c>
      <c r="N844" s="43" t="s">
        <v>1958</v>
      </c>
      <c r="O844" s="258">
        <v>1</v>
      </c>
      <c r="P844" s="238" t="str">
        <f>VLOOKUP(_xlfn.CONCAT(Table3[[#This Row],[Target area]],Table3[[#This Row],[GHG target?]],Table3[[#This Row],[Conditionality]]),'Drop down'!$E$81:$F$101,2,FALSE)</f>
        <v>T_Economy_Unc</v>
      </c>
      <c r="Q844" s="239" t="str">
        <f>VLOOKUP(Table3[[#This Row],[Target type]],Table418[[Value name]:[Value idenifyer]],2,FALSE)</f>
        <v>T_FL</v>
      </c>
      <c r="S844" s="233" t="s">
        <v>1101</v>
      </c>
      <c r="T844" s="234" t="s">
        <v>1113</v>
      </c>
      <c r="V844" s="233" t="str">
        <f>VLOOKUP(Table3[[#This Row],[Country Code]],Table29[],3,FALSE)</f>
        <v>Annex I</v>
      </c>
      <c r="W844" s="233" t="str">
        <f>VLOOKUP(Table3[[#This Row],[Country Code]],Table29[],4,FALSE)</f>
        <v>Northern America</v>
      </c>
      <c r="X844" s="233" t="str">
        <f>VLOOKUP(Table3[[#This Row],[Country Code]],Table29[],5,FALSE)</f>
        <v>High-income</v>
      </c>
      <c r="Y844" s="233" t="str">
        <f>VLOOKUP(Table3[[#This Row],[Country Code]],Table29[],6,FALSE)</f>
        <v>G20</v>
      </c>
      <c r="Z844" s="233" t="str">
        <f>VLOOKUP(Table3[[#This Row],[Country Code]],Table29[],7,FALSE)</f>
        <v>G7</v>
      </c>
      <c r="AA844" s="233" t="str">
        <f>VLOOKUP(Table3[[#This Row],[Country Code]],Table29[],8,FALSE)</f>
        <v>OECD</v>
      </c>
      <c r="AB844" s="233" t="str">
        <f>VLOOKUP(Table3[[#This Row],[Country Code]],Table29[],9,FALSE)</f>
        <v>no</v>
      </c>
      <c r="AC844" s="233" t="str">
        <f>VLOOKUP(Table3[[#This Row],[Country Code]],Table29[],10,FALSE)</f>
        <v>no</v>
      </c>
      <c r="AD844" s="235">
        <f>VLOOKUP(Table3[[#This Row],[Country Code]],Table29[],23,FALSE)</f>
        <v>5960.8043799938996</v>
      </c>
      <c r="AE844" s="235">
        <f>VLOOKUP(Table3[[#This Row],[Country Code]],Table29[],24,FALSE)</f>
        <v>1735.9036371632039</v>
      </c>
      <c r="AF844" s="43"/>
    </row>
    <row r="845" spans="1:32" ht="30" x14ac:dyDescent="0.25">
      <c r="A845" s="360">
        <v>41748</v>
      </c>
      <c r="B845" s="233" t="str">
        <f>VLOOKUP(Table3[[#This Row],[Document ID]],Table1[],2,FALSE)</f>
        <v>NGA</v>
      </c>
      <c r="C845" s="233" t="str">
        <f>VLOOKUP(Table3[[#This Row],[Document ID]],Table1[],3,FALSE)</f>
        <v>Nigeria</v>
      </c>
      <c r="D845" s="233" t="str">
        <f>VLOOKUP(Table3[[#This Row],[Document ID]],Table1[],5,FALSE)</f>
        <v>LTS</v>
      </c>
      <c r="E845" s="233" t="str">
        <f>VLOOKUP(Table3[[#This Row],[Document ID]],Table1[],7,FALSE)</f>
        <v>LTS</v>
      </c>
      <c r="F845" s="233" t="str">
        <f>VLOOKUP(Table3[[#This Row],[Document ID]],Table1[],8,FALSE)</f>
        <v>LTS 2.0</v>
      </c>
      <c r="G845" s="233" t="str">
        <f>VLOOKUP(Table3[[#This Row],[Document ID]],Table1[],10,FALSE)</f>
        <v>Active</v>
      </c>
      <c r="H845" s="42" t="s">
        <v>1095</v>
      </c>
      <c r="I845" s="42" t="s">
        <v>1096</v>
      </c>
      <c r="J845" s="42" t="s">
        <v>1097</v>
      </c>
      <c r="K845" s="28" t="s">
        <v>1104</v>
      </c>
      <c r="L845" s="43" t="s">
        <v>1092</v>
      </c>
      <c r="M845" s="209">
        <v>2060</v>
      </c>
      <c r="N845" s="44" t="s">
        <v>1959</v>
      </c>
      <c r="O845" s="258">
        <v>85</v>
      </c>
      <c r="P845" s="238" t="str">
        <f>VLOOKUP(_xlfn.CONCAT(Table3[[#This Row],[Target area]],Table3[[#This Row],[GHG target?]],Table3[[#This Row],[Conditionality]]),'Drop down'!$E$81:$F$101,2,FALSE)</f>
        <v>T_Transport_O_C</v>
      </c>
      <c r="Q845" s="239" t="str">
        <f>VLOOKUP(Table3[[#This Row],[Target type]],Table418[[Value name]:[Value idenifyer]],2,FALSE)</f>
        <v>T_O_ZERO</v>
      </c>
      <c r="T845" s="234" t="s">
        <v>1113</v>
      </c>
      <c r="V845" s="233" t="str">
        <f>VLOOKUP(Table3[[#This Row],[Country Code]],Table29[],3,FALSE)</f>
        <v>Non-Annex I</v>
      </c>
      <c r="W845" s="233" t="str">
        <f>VLOOKUP(Table3[[#This Row],[Country Code]],Table29[],4,FALSE)</f>
        <v>Africa</v>
      </c>
      <c r="X845" s="233" t="str">
        <f>VLOOKUP(Table3[[#This Row],[Country Code]],Table29[],5,FALSE)</f>
        <v>Middle-income</v>
      </c>
      <c r="Y845" s="233" t="str">
        <f>VLOOKUP(Table3[[#This Row],[Country Code]],Table29[],6,FALSE)</f>
        <v>no</v>
      </c>
      <c r="Z845" s="233" t="str">
        <f>VLOOKUP(Table3[[#This Row],[Country Code]],Table29[],7,FALSE)</f>
        <v>no</v>
      </c>
      <c r="AA845" s="233" t="str">
        <f>VLOOKUP(Table3[[#This Row],[Country Code]],Table29[],8,FALSE)</f>
        <v>non-OECD</v>
      </c>
      <c r="AB845" s="233" t="str">
        <f>VLOOKUP(Table3[[#This Row],[Country Code]],Table29[],9,FALSE)</f>
        <v>no</v>
      </c>
      <c r="AC845" s="233" t="str">
        <f>VLOOKUP(Table3[[#This Row],[Country Code]],Table29[],10,FALSE)</f>
        <v>no</v>
      </c>
      <c r="AD845" s="235">
        <f>VLOOKUP(Table3[[#This Row],[Country Code]],Table29[],23,FALSE)</f>
        <v>385.11288377147002</v>
      </c>
      <c r="AE845" s="235">
        <f>VLOOKUP(Table3[[#This Row],[Country Code]],Table29[],24,FALSE)</f>
        <v>58.971195919965467</v>
      </c>
      <c r="AF845" s="43"/>
    </row>
    <row r="846" spans="1:32" x14ac:dyDescent="0.25">
      <c r="A846" s="360">
        <v>17778</v>
      </c>
      <c r="B846" s="233" t="str">
        <f>VLOOKUP(Table3[[#This Row],[Document ID]],Table1[],2,FALSE)</f>
        <v>USA</v>
      </c>
      <c r="C846" s="233" t="str">
        <f>VLOOKUP(Table3[[#This Row],[Document ID]],Table1[],3,FALSE)</f>
        <v>United States of America</v>
      </c>
      <c r="D846" s="233" t="str">
        <f>VLOOKUP(Table3[[#This Row],[Document ID]],Table1[],5,FALSE)</f>
        <v>NDC</v>
      </c>
      <c r="E846" s="233" t="str">
        <f>VLOOKUP(Table3[[#This Row],[Document ID]],Table1[],7,FALSE)</f>
        <v>First NDC</v>
      </c>
      <c r="F846" s="233" t="str">
        <f>VLOOKUP(Table3[[#This Row],[Document ID]],Table1[],8,FALSE)</f>
        <v>NDC 1.0</v>
      </c>
      <c r="G846" s="233" t="str">
        <f>VLOOKUP(Table3[[#This Row],[Document ID]],Table1[],10,FALSE)</f>
        <v>Archived</v>
      </c>
      <c r="H846" s="216" t="s">
        <v>1089</v>
      </c>
      <c r="I846" s="216" t="s">
        <v>1089</v>
      </c>
      <c r="J846" s="43" t="s">
        <v>1090</v>
      </c>
      <c r="K846" s="28" t="s">
        <v>1153</v>
      </c>
      <c r="L846" s="42" t="s">
        <v>1099</v>
      </c>
      <c r="M846" s="209">
        <v>2025</v>
      </c>
      <c r="N846" s="176" t="s">
        <v>1960</v>
      </c>
      <c r="O846" s="258" t="s">
        <v>1094</v>
      </c>
      <c r="P846" s="238" t="str">
        <f>VLOOKUP(_xlfn.CONCAT(Table3[[#This Row],[Target area]],Table3[[#This Row],[GHG target?]],Table3[[#This Row],[Conditionality]]),'Drop down'!$E$81:$F$101,2,FALSE)</f>
        <v>T_Economy_Unc</v>
      </c>
      <c r="Q846" s="239" t="str">
        <f>VLOOKUP(Table3[[#This Row],[Target type]],Table418[[Value name]:[Value idenifyer]],2,FALSE)</f>
        <v>T_BYE</v>
      </c>
      <c r="T846" s="234" t="s">
        <v>1113</v>
      </c>
      <c r="V846" s="233" t="str">
        <f>VLOOKUP(Table3[[#This Row],[Country Code]],Table29[],3,FALSE)</f>
        <v>Annex I</v>
      </c>
      <c r="W846" s="233" t="str">
        <f>VLOOKUP(Table3[[#This Row],[Country Code]],Table29[],4,FALSE)</f>
        <v>Northern America</v>
      </c>
      <c r="X846" s="233" t="str">
        <f>VLOOKUP(Table3[[#This Row],[Country Code]],Table29[],5,FALSE)</f>
        <v>High-income</v>
      </c>
      <c r="Y846" s="233" t="str">
        <f>VLOOKUP(Table3[[#This Row],[Country Code]],Table29[],6,FALSE)</f>
        <v>G20</v>
      </c>
      <c r="Z846" s="233" t="str">
        <f>VLOOKUP(Table3[[#This Row],[Country Code]],Table29[],7,FALSE)</f>
        <v>G7</v>
      </c>
      <c r="AA846" s="233" t="str">
        <f>VLOOKUP(Table3[[#This Row],[Country Code]],Table29[],8,FALSE)</f>
        <v>OECD</v>
      </c>
      <c r="AB846" s="233" t="str">
        <f>VLOOKUP(Table3[[#This Row],[Country Code]],Table29[],9,FALSE)</f>
        <v>no</v>
      </c>
      <c r="AC846" s="233" t="str">
        <f>VLOOKUP(Table3[[#This Row],[Country Code]],Table29[],10,FALSE)</f>
        <v>no</v>
      </c>
      <c r="AD846" s="235">
        <f>VLOOKUP(Table3[[#This Row],[Country Code]],Table29[],23,FALSE)</f>
        <v>5960.8043799938996</v>
      </c>
      <c r="AE846" s="235">
        <f>VLOOKUP(Table3[[#This Row],[Country Code]],Table29[],24,FALSE)</f>
        <v>1735.9036371632039</v>
      </c>
      <c r="AF846" s="43"/>
    </row>
    <row r="847" spans="1:32" ht="30" x14ac:dyDescent="0.25">
      <c r="A847" s="360">
        <v>41748</v>
      </c>
      <c r="B847" s="233" t="str">
        <f>VLOOKUP(Table3[[#This Row],[Document ID]],Table1[],2,FALSE)</f>
        <v>NGA</v>
      </c>
      <c r="C847" s="233" t="str">
        <f>VLOOKUP(Table3[[#This Row],[Document ID]],Table1[],3,FALSE)</f>
        <v>Nigeria</v>
      </c>
      <c r="D847" s="233" t="str">
        <f>VLOOKUP(Table3[[#This Row],[Document ID]],Table1[],5,FALSE)</f>
        <v>LTS</v>
      </c>
      <c r="E847" s="233" t="str">
        <f>VLOOKUP(Table3[[#This Row],[Document ID]],Table1[],7,FALSE)</f>
        <v>LTS</v>
      </c>
      <c r="F847" s="233" t="str">
        <f>VLOOKUP(Table3[[#This Row],[Document ID]],Table1[],8,FALSE)</f>
        <v>LTS 2.0</v>
      </c>
      <c r="G847" s="233" t="str">
        <f>VLOOKUP(Table3[[#This Row],[Document ID]],Table1[],10,FALSE)</f>
        <v>Active</v>
      </c>
      <c r="H847" s="42" t="s">
        <v>1095</v>
      </c>
      <c r="I847" s="42" t="s">
        <v>1096</v>
      </c>
      <c r="J847" s="42" t="s">
        <v>1097</v>
      </c>
      <c r="K847" s="28" t="s">
        <v>1104</v>
      </c>
      <c r="L847" s="43" t="s">
        <v>1092</v>
      </c>
      <c r="M847" s="209">
        <v>2060</v>
      </c>
      <c r="N847" s="44" t="s">
        <v>1961</v>
      </c>
      <c r="O847" s="258">
        <v>85</v>
      </c>
      <c r="P847" s="238" t="str">
        <f>VLOOKUP(_xlfn.CONCAT(Table3[[#This Row],[Target area]],Table3[[#This Row],[GHG target?]],Table3[[#This Row],[Conditionality]]),'Drop down'!$E$81:$F$101,2,FALSE)</f>
        <v>T_Transport_O_C</v>
      </c>
      <c r="Q847" s="239" t="str">
        <f>VLOOKUP(Table3[[#This Row],[Target type]],Table418[[Value name]:[Value idenifyer]],2,FALSE)</f>
        <v>T_O_ZERO</v>
      </c>
      <c r="T847" s="234" t="s">
        <v>1113</v>
      </c>
      <c r="V847" s="233" t="str">
        <f>VLOOKUP(Table3[[#This Row],[Country Code]],Table29[],3,FALSE)</f>
        <v>Non-Annex I</v>
      </c>
      <c r="W847" s="233" t="str">
        <f>VLOOKUP(Table3[[#This Row],[Country Code]],Table29[],4,FALSE)</f>
        <v>Africa</v>
      </c>
      <c r="X847" s="233" t="str">
        <f>VLOOKUP(Table3[[#This Row],[Country Code]],Table29[],5,FALSE)</f>
        <v>Middle-income</v>
      </c>
      <c r="Y847" s="233" t="str">
        <f>VLOOKUP(Table3[[#This Row],[Country Code]],Table29[],6,FALSE)</f>
        <v>no</v>
      </c>
      <c r="Z847" s="233" t="str">
        <f>VLOOKUP(Table3[[#This Row],[Country Code]],Table29[],7,FALSE)</f>
        <v>no</v>
      </c>
      <c r="AA847" s="233" t="str">
        <f>VLOOKUP(Table3[[#This Row],[Country Code]],Table29[],8,FALSE)</f>
        <v>non-OECD</v>
      </c>
      <c r="AB847" s="233" t="str">
        <f>VLOOKUP(Table3[[#This Row],[Country Code]],Table29[],9,FALSE)</f>
        <v>no</v>
      </c>
      <c r="AC847" s="233" t="str">
        <f>VLOOKUP(Table3[[#This Row],[Country Code]],Table29[],10,FALSE)</f>
        <v>no</v>
      </c>
      <c r="AD847" s="235">
        <f>VLOOKUP(Table3[[#This Row],[Country Code]],Table29[],23,FALSE)</f>
        <v>385.11288377147002</v>
      </c>
      <c r="AE847" s="235">
        <f>VLOOKUP(Table3[[#This Row],[Country Code]],Table29[],24,FALSE)</f>
        <v>58.971195919965467</v>
      </c>
      <c r="AF847" s="43"/>
    </row>
    <row r="848" spans="1:32" x14ac:dyDescent="0.25">
      <c r="A848" s="360">
        <v>41748</v>
      </c>
      <c r="B848" s="233" t="str">
        <f>VLOOKUP(Table3[[#This Row],[Document ID]],Table1[],2,FALSE)</f>
        <v>NGA</v>
      </c>
      <c r="C848" s="233" t="str">
        <f>VLOOKUP(Table3[[#This Row],[Document ID]],Table1[],3,FALSE)</f>
        <v>Nigeria</v>
      </c>
      <c r="D848" s="233" t="str">
        <f>VLOOKUP(Table3[[#This Row],[Document ID]],Table1[],5,FALSE)</f>
        <v>LTS</v>
      </c>
      <c r="E848" s="233" t="str">
        <f>VLOOKUP(Table3[[#This Row],[Document ID]],Table1[],7,FALSE)</f>
        <v>LTS</v>
      </c>
      <c r="F848" s="233" t="str">
        <f>VLOOKUP(Table3[[#This Row],[Document ID]],Table1[],8,FALSE)</f>
        <v>LTS 2.0</v>
      </c>
      <c r="G848" s="233" t="str">
        <f>VLOOKUP(Table3[[#This Row],[Document ID]],Table1[],10,FALSE)</f>
        <v>Active</v>
      </c>
      <c r="H848" s="42" t="s">
        <v>1095</v>
      </c>
      <c r="I848" s="42" t="s">
        <v>1096</v>
      </c>
      <c r="J848" s="42" t="s">
        <v>1097</v>
      </c>
      <c r="K848" s="28" t="s">
        <v>1098</v>
      </c>
      <c r="L848" s="43" t="s">
        <v>1092</v>
      </c>
      <c r="M848" s="209">
        <v>2060</v>
      </c>
      <c r="N848" s="44" t="s">
        <v>1962</v>
      </c>
      <c r="O848" s="258">
        <v>85</v>
      </c>
      <c r="P848" s="238" t="str">
        <f>VLOOKUP(_xlfn.CONCAT(Table3[[#This Row],[Target area]],Table3[[#This Row],[GHG target?]],Table3[[#This Row],[Conditionality]]),'Drop down'!$E$81:$F$101,2,FALSE)</f>
        <v>T_Transport_O_C</v>
      </c>
      <c r="Q848" s="239" t="str">
        <f>VLOOKUP(Table3[[#This Row],[Target type]],Table418[[Value name]:[Value idenifyer]],2,FALSE)</f>
        <v>T_O_MODE</v>
      </c>
      <c r="V848" s="233" t="str">
        <f>VLOOKUP(Table3[[#This Row],[Country Code]],Table29[],3,FALSE)</f>
        <v>Non-Annex I</v>
      </c>
      <c r="W848" s="233" t="str">
        <f>VLOOKUP(Table3[[#This Row],[Country Code]],Table29[],4,FALSE)</f>
        <v>Africa</v>
      </c>
      <c r="X848" s="233" t="str">
        <f>VLOOKUP(Table3[[#This Row],[Country Code]],Table29[],5,FALSE)</f>
        <v>Middle-income</v>
      </c>
      <c r="Y848" s="233" t="str">
        <f>VLOOKUP(Table3[[#This Row],[Country Code]],Table29[],6,FALSE)</f>
        <v>no</v>
      </c>
      <c r="Z848" s="233" t="str">
        <f>VLOOKUP(Table3[[#This Row],[Country Code]],Table29[],7,FALSE)</f>
        <v>no</v>
      </c>
      <c r="AA848" s="233" t="str">
        <f>VLOOKUP(Table3[[#This Row],[Country Code]],Table29[],8,FALSE)</f>
        <v>non-OECD</v>
      </c>
      <c r="AB848" s="233" t="str">
        <f>VLOOKUP(Table3[[#This Row],[Country Code]],Table29[],9,FALSE)</f>
        <v>no</v>
      </c>
      <c r="AC848" s="233" t="str">
        <f>VLOOKUP(Table3[[#This Row],[Country Code]],Table29[],10,FALSE)</f>
        <v>no</v>
      </c>
      <c r="AD848" s="235">
        <f>VLOOKUP(Table3[[#This Row],[Country Code]],Table29[],23,FALSE)</f>
        <v>385.11288377147002</v>
      </c>
      <c r="AE848" s="235">
        <f>VLOOKUP(Table3[[#This Row],[Country Code]],Table29[],24,FALSE)</f>
        <v>58.971195919965467</v>
      </c>
      <c r="AF848" s="43"/>
    </row>
    <row r="849" spans="1:32" ht="30" x14ac:dyDescent="0.25">
      <c r="A849" s="360">
        <v>17674</v>
      </c>
      <c r="B849" s="233" t="str">
        <f>VLOOKUP(Table3[[#This Row],[Document ID]],Table1[],2,FALSE)</f>
        <v>NPL</v>
      </c>
      <c r="C849" s="233" t="str">
        <f>VLOOKUP(Table3[[#This Row],[Document ID]],Table1[],3,FALSE)</f>
        <v>Nepal</v>
      </c>
      <c r="D849" s="233" t="str">
        <f>VLOOKUP(Table3[[#This Row],[Document ID]],Table1[],5,FALSE)</f>
        <v>NDC</v>
      </c>
      <c r="E849" s="233" t="str">
        <f>VLOOKUP(Table3[[#This Row],[Document ID]],Table1[],7,FALSE)</f>
        <v>First NDC</v>
      </c>
      <c r="F849" s="233" t="str">
        <f>VLOOKUP(Table3[[#This Row],[Document ID]],Table1[],8,FALSE)</f>
        <v>NDC 1.0</v>
      </c>
      <c r="G849" s="233" t="str">
        <f>VLOOKUP(Table3[[#This Row],[Document ID]],Table1[],10,FALSE)</f>
        <v>Archived</v>
      </c>
      <c r="H849" s="42" t="s">
        <v>1095</v>
      </c>
      <c r="I849" s="42" t="s">
        <v>1096</v>
      </c>
      <c r="J849" s="42" t="s">
        <v>1097</v>
      </c>
      <c r="K849" s="28" t="s">
        <v>1104</v>
      </c>
      <c r="L849" s="43" t="s">
        <v>1092</v>
      </c>
      <c r="M849" s="209">
        <v>2020</v>
      </c>
      <c r="N849" s="44" t="s">
        <v>1963</v>
      </c>
      <c r="O849" s="221">
        <v>10</v>
      </c>
      <c r="P849" s="238" t="str">
        <f>VLOOKUP(_xlfn.CONCAT(Table3[[#This Row],[Target area]],Table3[[#This Row],[GHG target?]],Table3[[#This Row],[Conditionality]]),'Drop down'!$E$81:$F$101,2,FALSE)</f>
        <v>T_Transport_O_C</v>
      </c>
      <c r="Q849" s="239" t="str">
        <f>VLOOKUP(Table3[[#This Row],[Target type]],Table418[[Value name]:[Value idenifyer]],2,FALSE)</f>
        <v>T_O_ZERO</v>
      </c>
      <c r="S849" s="233" t="s">
        <v>1101</v>
      </c>
      <c r="T849" s="234" t="s">
        <v>1113</v>
      </c>
      <c r="V849" s="233" t="str">
        <f>VLOOKUP(Table3[[#This Row],[Country Code]],Table29[],3,FALSE)</f>
        <v>Non-Annex I</v>
      </c>
      <c r="W849" s="233" t="str">
        <f>VLOOKUP(Table3[[#This Row],[Country Code]],Table29[],4,FALSE)</f>
        <v>Asia</v>
      </c>
      <c r="X849" s="233" t="str">
        <f>VLOOKUP(Table3[[#This Row],[Country Code]],Table29[],5,FALSE)</f>
        <v>Middle-income</v>
      </c>
      <c r="Y849" s="233" t="str">
        <f>VLOOKUP(Table3[[#This Row],[Country Code]],Table29[],6,FALSE)</f>
        <v>no</v>
      </c>
      <c r="Z849" s="233" t="str">
        <f>VLOOKUP(Table3[[#This Row],[Country Code]],Table29[],7,FALSE)</f>
        <v>no</v>
      </c>
      <c r="AA849" s="233" t="str">
        <f>VLOOKUP(Table3[[#This Row],[Country Code]],Table29[],8,FALSE)</f>
        <v>non-OECD</v>
      </c>
      <c r="AB849" s="233" t="str">
        <f>VLOOKUP(Table3[[#This Row],[Country Code]],Table29[],9,FALSE)</f>
        <v>no</v>
      </c>
      <c r="AC849" s="233" t="str">
        <f>VLOOKUP(Table3[[#This Row],[Country Code]],Table29[],10,FALSE)</f>
        <v>no</v>
      </c>
      <c r="AD849" s="235">
        <f>VLOOKUP(Table3[[#This Row],[Country Code]],Table29[],23,FALSE)</f>
        <v>56.830982733611002</v>
      </c>
      <c r="AE849" s="235">
        <f>VLOOKUP(Table3[[#This Row],[Country Code]],Table29[],24,FALSE)</f>
        <v>4.8627503945089332</v>
      </c>
      <c r="AF849" s="43"/>
    </row>
    <row r="850" spans="1:32" x14ac:dyDescent="0.25">
      <c r="A850" s="360">
        <v>17689</v>
      </c>
      <c r="B850" s="233" t="str">
        <f>VLOOKUP(Table3[[#This Row],[Document ID]],Table1[],2,FALSE)</f>
        <v>OMN</v>
      </c>
      <c r="C850" s="233" t="str">
        <f>VLOOKUP(Table3[[#This Row],[Document ID]],Table1[],3,FALSE)</f>
        <v>Oman</v>
      </c>
      <c r="D850" s="233" t="str">
        <f>VLOOKUP(Table3[[#This Row],[Document ID]],Table1[],5,FALSE)</f>
        <v>NDC</v>
      </c>
      <c r="E850" s="233" t="str">
        <f>VLOOKUP(Table3[[#This Row],[Document ID]],Table1[],7,FALSE)</f>
        <v>First NDC</v>
      </c>
      <c r="F850" s="233" t="str">
        <f>VLOOKUP(Table3[[#This Row],[Document ID]],Table1[],8,FALSE)</f>
        <v>NDC 1.0</v>
      </c>
      <c r="G850" s="233" t="str">
        <f>VLOOKUP(Table3[[#This Row],[Document ID]],Table1[],10,FALSE)</f>
        <v>Archived</v>
      </c>
      <c r="H850" s="216" t="s">
        <v>1089</v>
      </c>
      <c r="I850" s="216" t="s">
        <v>1089</v>
      </c>
      <c r="J850" s="43" t="s">
        <v>1090</v>
      </c>
      <c r="K850" s="28" t="s">
        <v>1091</v>
      </c>
      <c r="L850" s="216" t="s">
        <v>1092</v>
      </c>
      <c r="M850" s="209">
        <v>2030</v>
      </c>
      <c r="N850" s="176" t="s">
        <v>1964</v>
      </c>
      <c r="O850" s="258" t="s">
        <v>1094</v>
      </c>
      <c r="P850" s="238" t="str">
        <f>VLOOKUP(_xlfn.CONCAT(Table3[[#This Row],[Target area]],Table3[[#This Row],[GHG target?]],Table3[[#This Row],[Conditionality]]),'Drop down'!$E$81:$F$101,2,FALSE)</f>
        <v>T_Economy_C</v>
      </c>
      <c r="Q850" s="239" t="str">
        <f>VLOOKUP(Table3[[#This Row],[Target type]],Table418[[Value name]:[Value idenifyer]],2,FALSE)</f>
        <v>T_BAU</v>
      </c>
      <c r="T850" s="234" t="s">
        <v>1113</v>
      </c>
      <c r="U850" s="234" t="s">
        <v>1113</v>
      </c>
      <c r="V850" s="233" t="str">
        <f>VLOOKUP(Table3[[#This Row],[Country Code]],Table29[],3,FALSE)</f>
        <v>Non-Annex I</v>
      </c>
      <c r="W850" s="233" t="str">
        <f>VLOOKUP(Table3[[#This Row],[Country Code]],Table29[],4,FALSE)</f>
        <v>Asia</v>
      </c>
      <c r="X850" s="233" t="str">
        <f>VLOOKUP(Table3[[#This Row],[Country Code]],Table29[],5,FALSE)</f>
        <v>High-income</v>
      </c>
      <c r="Y850" s="233" t="str">
        <f>VLOOKUP(Table3[[#This Row],[Country Code]],Table29[],6,FALSE)</f>
        <v>no</v>
      </c>
      <c r="Z850" s="233" t="str">
        <f>VLOOKUP(Table3[[#This Row],[Country Code]],Table29[],7,FALSE)</f>
        <v>no</v>
      </c>
      <c r="AA850" s="233" t="str">
        <f>VLOOKUP(Table3[[#This Row],[Country Code]],Table29[],8,FALSE)</f>
        <v>non-OECD</v>
      </c>
      <c r="AB850" s="233" t="str">
        <f>VLOOKUP(Table3[[#This Row],[Country Code]],Table29[],9,FALSE)</f>
        <v>no</v>
      </c>
      <c r="AC850" s="233" t="str">
        <f>VLOOKUP(Table3[[#This Row],[Country Code]],Table29[],10,FALSE)</f>
        <v>MENA</v>
      </c>
      <c r="AD850" s="235">
        <f>VLOOKUP(Table3[[#This Row],[Country Code]],Table29[],23,FALSE)</f>
        <v>127.44302070563</v>
      </c>
      <c r="AE850" s="235">
        <f>VLOOKUP(Table3[[#This Row],[Country Code]],Table29[],24,FALSE)</f>
        <v>12.3539911460556</v>
      </c>
      <c r="AF850" s="43"/>
    </row>
    <row r="851" spans="1:32" x14ac:dyDescent="0.25">
      <c r="A851" s="360">
        <v>39447</v>
      </c>
      <c r="B851" s="233" t="str">
        <f>VLOOKUP(Table3[[#This Row],[Document ID]],Table1[],2,FALSE)</f>
        <v>OMN</v>
      </c>
      <c r="C851" s="233" t="str">
        <f>VLOOKUP(Table3[[#This Row],[Document ID]],Table1[],3,FALSE)</f>
        <v>Oman</v>
      </c>
      <c r="D851" s="233" t="str">
        <f>VLOOKUP(Table3[[#This Row],[Document ID]],Table1[],5,FALSE)</f>
        <v>LTS</v>
      </c>
      <c r="E851" s="233" t="str">
        <f>VLOOKUP(Table3[[#This Row],[Document ID]],Table1[],7,FALSE)</f>
        <v>LTS</v>
      </c>
      <c r="F851" s="233" t="str">
        <f>VLOOKUP(Table3[[#This Row],[Document ID]],Table1[],8,FALSE)</f>
        <v>LTS 1.0</v>
      </c>
      <c r="G851" s="233" t="str">
        <f>VLOOKUP(Table3[[#This Row],[Document ID]],Table1[],10,FALSE)</f>
        <v>Active</v>
      </c>
      <c r="H851" s="43" t="s">
        <v>1147</v>
      </c>
      <c r="I851" s="43" t="s">
        <v>1089</v>
      </c>
      <c r="J851" s="43" t="s">
        <v>1090</v>
      </c>
      <c r="K851" s="28" t="s">
        <v>1121</v>
      </c>
      <c r="L851" s="43" t="s">
        <v>1116</v>
      </c>
      <c r="M851" s="209">
        <v>2050</v>
      </c>
      <c r="N851" s="44" t="s">
        <v>1952</v>
      </c>
      <c r="O851" s="258">
        <v>5</v>
      </c>
      <c r="P851" s="238" t="str">
        <f>VLOOKUP(_xlfn.CONCAT(Table3[[#This Row],[Target area]],Table3[[#This Row],[GHG target?]],Table3[[#This Row],[Conditionality]]),'Drop down'!$E$81:$F$101,2,FALSE)</f>
        <v>T_Netzero</v>
      </c>
      <c r="Q851" s="239" t="str">
        <f>VLOOKUP(Table3[[#This Row],[Target type]],Table418[[Value name]:[Value idenifyer]],2,FALSE)</f>
        <v>T_FL</v>
      </c>
      <c r="U851" s="234" t="s">
        <v>1965</v>
      </c>
      <c r="V851" s="233" t="str">
        <f>VLOOKUP(Table3[[#This Row],[Country Code]],Table29[],3,FALSE)</f>
        <v>Non-Annex I</v>
      </c>
      <c r="W851" s="233" t="str">
        <f>VLOOKUP(Table3[[#This Row],[Country Code]],Table29[],4,FALSE)</f>
        <v>Asia</v>
      </c>
      <c r="X851" s="233" t="str">
        <f>VLOOKUP(Table3[[#This Row],[Country Code]],Table29[],5,FALSE)</f>
        <v>High-income</v>
      </c>
      <c r="Y851" s="233" t="str">
        <f>VLOOKUP(Table3[[#This Row],[Country Code]],Table29[],6,FALSE)</f>
        <v>no</v>
      </c>
      <c r="Z851" s="233" t="str">
        <f>VLOOKUP(Table3[[#This Row],[Country Code]],Table29[],7,FALSE)</f>
        <v>no</v>
      </c>
      <c r="AA851" s="233" t="str">
        <f>VLOOKUP(Table3[[#This Row],[Country Code]],Table29[],8,FALSE)</f>
        <v>non-OECD</v>
      </c>
      <c r="AB851" s="233" t="str">
        <f>VLOOKUP(Table3[[#This Row],[Country Code]],Table29[],9,FALSE)</f>
        <v>no</v>
      </c>
      <c r="AC851" s="233" t="str">
        <f>VLOOKUP(Table3[[#This Row],[Country Code]],Table29[],10,FALSE)</f>
        <v>MENA</v>
      </c>
      <c r="AD851" s="235">
        <f>VLOOKUP(Table3[[#This Row],[Country Code]],Table29[],23,FALSE)</f>
        <v>127.44302070563</v>
      </c>
      <c r="AE851" s="235">
        <f>VLOOKUP(Table3[[#This Row],[Country Code]],Table29[],24,FALSE)</f>
        <v>12.3539911460556</v>
      </c>
      <c r="AF851" s="43"/>
    </row>
    <row r="852" spans="1:32" x14ac:dyDescent="0.25">
      <c r="A852" s="360">
        <v>17703</v>
      </c>
      <c r="B852" s="233" t="str">
        <f>VLOOKUP(Table3[[#This Row],[Document ID]],Table1[],2,FALSE)</f>
        <v>PRT</v>
      </c>
      <c r="C852" s="233" t="str">
        <f>VLOOKUP(Table3[[#This Row],[Document ID]],Table1[],3,FALSE)</f>
        <v>Portugal</v>
      </c>
      <c r="D852" s="233" t="str">
        <f>VLOOKUP(Table3[[#This Row],[Document ID]],Table1[],5,FALSE)</f>
        <v>LTS</v>
      </c>
      <c r="E852" s="233" t="str">
        <f>VLOOKUP(Table3[[#This Row],[Document ID]],Table1[],7,FALSE)</f>
        <v>LTS</v>
      </c>
      <c r="F852" s="233" t="str">
        <f>VLOOKUP(Table3[[#This Row],[Document ID]],Table1[],8,FALSE)</f>
        <v>LTS 1.0</v>
      </c>
      <c r="G852" s="233" t="str">
        <f>VLOOKUP(Table3[[#This Row],[Document ID]],Table1[],10,FALSE)</f>
        <v>Active</v>
      </c>
      <c r="H852" s="43" t="s">
        <v>1147</v>
      </c>
      <c r="I852" s="43" t="s">
        <v>1089</v>
      </c>
      <c r="J852" s="43" t="s">
        <v>1090</v>
      </c>
      <c r="K852" s="28" t="s">
        <v>1153</v>
      </c>
      <c r="L852" s="43" t="s">
        <v>1116</v>
      </c>
      <c r="M852" s="209">
        <v>2050</v>
      </c>
      <c r="N852" s="44" t="s">
        <v>1746</v>
      </c>
      <c r="O852" s="258"/>
      <c r="P852" s="238" t="str">
        <f>VLOOKUP(_xlfn.CONCAT(Table3[[#This Row],[Target area]],Table3[[#This Row],[GHG target?]],Table3[[#This Row],[Conditionality]]),'Drop down'!$E$81:$F$101,2,FALSE)</f>
        <v>T_Netzero</v>
      </c>
      <c r="Q852" s="239" t="str">
        <f>VLOOKUP(Table3[[#This Row],[Target type]],Table418[[Value name]:[Value idenifyer]],2,FALSE)</f>
        <v>T_BYE</v>
      </c>
      <c r="U852" s="234" t="s">
        <v>1244</v>
      </c>
      <c r="V852" s="233" t="str">
        <f>VLOOKUP(Table3[[#This Row],[Country Code]],Table29[],3,FALSE)</f>
        <v>Annex I</v>
      </c>
      <c r="W852" s="233" t="str">
        <f>VLOOKUP(Table3[[#This Row],[Country Code]],Table29[],4,FALSE)</f>
        <v>Europe</v>
      </c>
      <c r="X852" s="233" t="str">
        <f>VLOOKUP(Table3[[#This Row],[Country Code]],Table29[],5,FALSE)</f>
        <v>High-income</v>
      </c>
      <c r="Y852" s="233" t="str">
        <f>VLOOKUP(Table3[[#This Row],[Country Code]],Table29[],6,FALSE)</f>
        <v>no</v>
      </c>
      <c r="Z852" s="233" t="str">
        <f>VLOOKUP(Table3[[#This Row],[Country Code]],Table29[],7,FALSE)</f>
        <v>no</v>
      </c>
      <c r="AA852" s="233" t="str">
        <f>VLOOKUP(Table3[[#This Row],[Country Code]],Table29[],8,FALSE)</f>
        <v>OECD</v>
      </c>
      <c r="AB852" s="233" t="str">
        <f>VLOOKUP(Table3[[#This Row],[Country Code]],Table29[],9,FALSE)</f>
        <v>EU27</v>
      </c>
      <c r="AC852" s="233" t="str">
        <f>VLOOKUP(Table3[[#This Row],[Country Code]],Table29[],10,FALSE)</f>
        <v>no</v>
      </c>
      <c r="AD852" s="235">
        <f>VLOOKUP(Table3[[#This Row],[Country Code]],Table29[],23,FALSE)</f>
        <v>53.004607295263</v>
      </c>
      <c r="AE852" s="235">
        <f>VLOOKUP(Table3[[#This Row],[Country Code]],Table29[],24,FALSE)</f>
        <v>15.947366338037449</v>
      </c>
      <c r="AF852" s="43"/>
    </row>
    <row r="853" spans="1:32" x14ac:dyDescent="0.25">
      <c r="A853" s="360">
        <v>17733</v>
      </c>
      <c r="B853" s="233" t="str">
        <f>VLOOKUP(Table3[[#This Row],[Document ID]],Table1[],2,FALSE)</f>
        <v>SGP</v>
      </c>
      <c r="C853" s="233" t="str">
        <f>VLOOKUP(Table3[[#This Row],[Document ID]],Table1[],3,FALSE)</f>
        <v>Singapore</v>
      </c>
      <c r="D853" s="233" t="str">
        <f>VLOOKUP(Table3[[#This Row],[Document ID]],Table1[],5,FALSE)</f>
        <v>NDC</v>
      </c>
      <c r="E853" s="233" t="str">
        <f>VLOOKUP(Table3[[#This Row],[Document ID]],Table1[],7,FALSE)</f>
        <v>First NDC updated</v>
      </c>
      <c r="F853" s="233" t="str">
        <f>VLOOKUP(Table3[[#This Row],[Document ID]],Table1[],8,FALSE)</f>
        <v>NDC 1.1</v>
      </c>
      <c r="G853" s="233" t="str">
        <f>VLOOKUP(Table3[[#This Row],[Document ID]],Table1[],10,FALSE)</f>
        <v>Archived</v>
      </c>
      <c r="H853" s="216" t="s">
        <v>1089</v>
      </c>
      <c r="I853" s="216" t="s">
        <v>1089</v>
      </c>
      <c r="J853" s="43" t="s">
        <v>1090</v>
      </c>
      <c r="K853" s="28" t="s">
        <v>1121</v>
      </c>
      <c r="L853" s="42" t="s">
        <v>1099</v>
      </c>
      <c r="M853" s="209">
        <v>2030</v>
      </c>
      <c r="N853" s="44" t="s">
        <v>1966</v>
      </c>
      <c r="O853" s="221">
        <v>1</v>
      </c>
      <c r="P853" s="238" t="str">
        <f>VLOOKUP(_xlfn.CONCAT(Table3[[#This Row],[Target area]],Table3[[#This Row],[GHG target?]],Table3[[#This Row],[Conditionality]]),'Drop down'!$E$81:$F$101,2,FALSE)</f>
        <v>T_Economy_Unc</v>
      </c>
      <c r="Q853" s="239" t="str">
        <f>VLOOKUP(Table3[[#This Row],[Target type]],Table418[[Value name]:[Value idenifyer]],2,FALSE)</f>
        <v>T_FL</v>
      </c>
      <c r="T853" s="234" t="s">
        <v>1113</v>
      </c>
      <c r="U853" s="234" t="s">
        <v>1221</v>
      </c>
      <c r="V853" s="233" t="str">
        <f>VLOOKUP(Table3[[#This Row],[Country Code]],Table29[],3,FALSE)</f>
        <v>Non-Annex I</v>
      </c>
      <c r="W853" s="233" t="str">
        <f>VLOOKUP(Table3[[#This Row],[Country Code]],Table29[],4,FALSE)</f>
        <v>Asia</v>
      </c>
      <c r="X853" s="233" t="str">
        <f>VLOOKUP(Table3[[#This Row],[Country Code]],Table29[],5,FALSE)</f>
        <v>High-income</v>
      </c>
      <c r="Y853" s="233" t="str">
        <f>VLOOKUP(Table3[[#This Row],[Country Code]],Table29[],6,FALSE)</f>
        <v>no</v>
      </c>
      <c r="Z853" s="233" t="str">
        <f>VLOOKUP(Table3[[#This Row],[Country Code]],Table29[],7,FALSE)</f>
        <v>no</v>
      </c>
      <c r="AA853" s="233" t="str">
        <f>VLOOKUP(Table3[[#This Row],[Country Code]],Table29[],8,FALSE)</f>
        <v>non-OECD</v>
      </c>
      <c r="AB853" s="233" t="str">
        <f>VLOOKUP(Table3[[#This Row],[Country Code]],Table29[],9,FALSE)</f>
        <v>no</v>
      </c>
      <c r="AC853" s="233" t="str">
        <f>VLOOKUP(Table3[[#This Row],[Country Code]],Table29[],10,FALSE)</f>
        <v>no</v>
      </c>
      <c r="AD853" s="235">
        <f>VLOOKUP(Table3[[#This Row],[Country Code]],Table29[],23,FALSE)</f>
        <v>74.290132466078006</v>
      </c>
      <c r="AE853" s="235">
        <f>VLOOKUP(Table3[[#This Row],[Country Code]],Table29[],24,FALSE)</f>
        <v>6.8133364043247093</v>
      </c>
      <c r="AF853" s="43"/>
    </row>
    <row r="854" spans="1:32" ht="30" x14ac:dyDescent="0.25">
      <c r="A854" s="360">
        <v>17732</v>
      </c>
      <c r="B854" s="233" t="str">
        <f>VLOOKUP(Table3[[#This Row],[Document ID]],Table1[],2,FALSE)</f>
        <v>SGP</v>
      </c>
      <c r="C854" s="233" t="str">
        <f>VLOOKUP(Table3[[#This Row],[Document ID]],Table1[],3,FALSE)</f>
        <v>Singapore</v>
      </c>
      <c r="D854" s="233" t="str">
        <f>VLOOKUP(Table3[[#This Row],[Document ID]],Table1[],5,FALSE)</f>
        <v>LTS</v>
      </c>
      <c r="E854" s="233" t="str">
        <f>VLOOKUP(Table3[[#This Row],[Document ID]],Table1[],7,FALSE)</f>
        <v>Archived LTS 1.0</v>
      </c>
      <c r="F854" s="233" t="str">
        <f>VLOOKUP(Table3[[#This Row],[Document ID]],Table1[],8,FALSE)</f>
        <v>LTS 1.0</v>
      </c>
      <c r="G854" s="233" t="str">
        <f>VLOOKUP(Table3[[#This Row],[Document ID]],Table1[],10,FALSE)</f>
        <v>Archived</v>
      </c>
      <c r="H854" s="216" t="s">
        <v>1089</v>
      </c>
      <c r="I854" s="216" t="s">
        <v>1089</v>
      </c>
      <c r="J854" s="43" t="s">
        <v>1090</v>
      </c>
      <c r="K854" s="28" t="s">
        <v>1121</v>
      </c>
      <c r="L854" s="42" t="s">
        <v>1099</v>
      </c>
      <c r="M854" s="209">
        <v>2050</v>
      </c>
      <c r="N854" s="44" t="s">
        <v>1967</v>
      </c>
      <c r="O854" s="221">
        <v>4</v>
      </c>
      <c r="P854" s="238" t="str">
        <f>VLOOKUP(_xlfn.CONCAT(Table3[[#This Row],[Target area]],Table3[[#This Row],[GHG target?]],Table3[[#This Row],[Conditionality]]),'Drop down'!$E$81:$F$101,2,FALSE)</f>
        <v>T_Economy_Unc</v>
      </c>
      <c r="Q854" s="239" t="str">
        <f>VLOOKUP(Table3[[#This Row],[Target type]],Table418[[Value name]:[Value idenifyer]],2,FALSE)</f>
        <v>T_FL</v>
      </c>
      <c r="S854" s="233" t="s">
        <v>1101</v>
      </c>
      <c r="T854" s="234" t="s">
        <v>1113</v>
      </c>
      <c r="U854" s="234" t="s">
        <v>1221</v>
      </c>
      <c r="V854" s="233" t="str">
        <f>VLOOKUP(Table3[[#This Row],[Country Code]],Table29[],3,FALSE)</f>
        <v>Non-Annex I</v>
      </c>
      <c r="W854" s="233" t="str">
        <f>VLOOKUP(Table3[[#This Row],[Country Code]],Table29[],4,FALSE)</f>
        <v>Asia</v>
      </c>
      <c r="X854" s="233" t="str">
        <f>VLOOKUP(Table3[[#This Row],[Country Code]],Table29[],5,FALSE)</f>
        <v>High-income</v>
      </c>
      <c r="Y854" s="233" t="str">
        <f>VLOOKUP(Table3[[#This Row],[Country Code]],Table29[],6,FALSE)</f>
        <v>no</v>
      </c>
      <c r="Z854" s="233" t="str">
        <f>VLOOKUP(Table3[[#This Row],[Country Code]],Table29[],7,FALSE)</f>
        <v>no</v>
      </c>
      <c r="AA854" s="233" t="str">
        <f>VLOOKUP(Table3[[#This Row],[Country Code]],Table29[],8,FALSE)</f>
        <v>non-OECD</v>
      </c>
      <c r="AB854" s="233" t="str">
        <f>VLOOKUP(Table3[[#This Row],[Country Code]],Table29[],9,FALSE)</f>
        <v>no</v>
      </c>
      <c r="AC854" s="233" t="str">
        <f>VLOOKUP(Table3[[#This Row],[Country Code]],Table29[],10,FALSE)</f>
        <v>no</v>
      </c>
      <c r="AD854" s="235">
        <f>VLOOKUP(Table3[[#This Row],[Country Code]],Table29[],23,FALSE)</f>
        <v>74.290132466078006</v>
      </c>
      <c r="AE854" s="235">
        <f>VLOOKUP(Table3[[#This Row],[Country Code]],Table29[],24,FALSE)</f>
        <v>6.8133364043247093</v>
      </c>
      <c r="AF854" s="43"/>
    </row>
    <row r="855" spans="1:32" ht="75" x14ac:dyDescent="0.25">
      <c r="A855" s="360">
        <v>26785</v>
      </c>
      <c r="B855" s="233" t="str">
        <f>VLOOKUP(Table3[[#This Row],[Document ID]],Table1[],2,FALSE)</f>
        <v>NPL</v>
      </c>
      <c r="C855" s="233" t="str">
        <f>VLOOKUP(Table3[[#This Row],[Document ID]],Table1[],3,FALSE)</f>
        <v>Nepal</v>
      </c>
      <c r="D855" s="233" t="str">
        <f>VLOOKUP(Table3[[#This Row],[Document ID]],Table1[],5,FALSE)</f>
        <v>LTS</v>
      </c>
      <c r="E855" s="233" t="str">
        <f>VLOOKUP(Table3[[#This Row],[Document ID]],Table1[],7,FALSE)</f>
        <v>LTS</v>
      </c>
      <c r="F855" s="233" t="str">
        <f>VLOOKUP(Table3[[#This Row],[Document ID]],Table1[],8,FALSE)</f>
        <v>LTS 1.0</v>
      </c>
      <c r="G855" s="233" t="str">
        <f>VLOOKUP(Table3[[#This Row],[Document ID]],Table1[],10,FALSE)</f>
        <v>Active</v>
      </c>
      <c r="H855" s="42" t="s">
        <v>1095</v>
      </c>
      <c r="I855" s="42" t="s">
        <v>1096</v>
      </c>
      <c r="J855" s="42" t="s">
        <v>1097</v>
      </c>
      <c r="K855" s="28" t="s">
        <v>1104</v>
      </c>
      <c r="L855" s="42" t="s">
        <v>1099</v>
      </c>
      <c r="M855" s="209"/>
      <c r="N855" s="209" t="s">
        <v>1968</v>
      </c>
      <c r="O855" s="257"/>
      <c r="P855" s="238" t="str">
        <f>VLOOKUP(_xlfn.CONCAT(Table3[[#This Row],[Target area]],Table3[[#This Row],[GHG target?]],Table3[[#This Row],[Conditionality]]),'Drop down'!$E$81:$F$101,2,FALSE)</f>
        <v>T_Transport_O_Unc</v>
      </c>
      <c r="Q855" s="239" t="str">
        <f>VLOOKUP(Table3[[#This Row],[Target type]],Table418[[Value name]:[Value idenifyer]],2,FALSE)</f>
        <v>T_O_ZERO</v>
      </c>
      <c r="S855" s="233" t="s">
        <v>1101</v>
      </c>
      <c r="T855" s="234" t="s">
        <v>1113</v>
      </c>
      <c r="U855" s="240"/>
      <c r="V855" s="233" t="str">
        <f>VLOOKUP(Table3[[#This Row],[Country Code]],Table29[],3,FALSE)</f>
        <v>Non-Annex I</v>
      </c>
      <c r="W855" s="233" t="str">
        <f>VLOOKUP(Table3[[#This Row],[Country Code]],Table29[],4,FALSE)</f>
        <v>Asia</v>
      </c>
      <c r="X855" s="233" t="str">
        <f>VLOOKUP(Table3[[#This Row],[Country Code]],Table29[],5,FALSE)</f>
        <v>Middle-income</v>
      </c>
      <c r="Y855" s="233" t="str">
        <f>VLOOKUP(Table3[[#This Row],[Country Code]],Table29[],6,FALSE)</f>
        <v>no</v>
      </c>
      <c r="Z855" s="233" t="str">
        <f>VLOOKUP(Table3[[#This Row],[Country Code]],Table29[],7,FALSE)</f>
        <v>no</v>
      </c>
      <c r="AA855" s="233" t="str">
        <f>VLOOKUP(Table3[[#This Row],[Country Code]],Table29[],8,FALSE)</f>
        <v>non-OECD</v>
      </c>
      <c r="AB855" s="233" t="str">
        <f>VLOOKUP(Table3[[#This Row],[Country Code]],Table29[],9,FALSE)</f>
        <v>no</v>
      </c>
      <c r="AC855" s="233" t="str">
        <f>VLOOKUP(Table3[[#This Row],[Country Code]],Table29[],10,FALSE)</f>
        <v>no</v>
      </c>
      <c r="AD855" s="235">
        <f>VLOOKUP(Table3[[#This Row],[Country Code]],Table29[],23,FALSE)</f>
        <v>56.830982733611002</v>
      </c>
      <c r="AE855" s="235">
        <f>VLOOKUP(Table3[[#This Row],[Country Code]],Table29[],24,FALSE)</f>
        <v>4.8627503945089332</v>
      </c>
      <c r="AF855" s="43"/>
    </row>
    <row r="856" spans="1:32" ht="30" x14ac:dyDescent="0.25">
      <c r="A856" s="360">
        <v>26785</v>
      </c>
      <c r="B856" s="233" t="str">
        <f>VLOOKUP(Table3[[#This Row],[Document ID]],Table1[],2,FALSE)</f>
        <v>NPL</v>
      </c>
      <c r="C856" s="233" t="str">
        <f>VLOOKUP(Table3[[#This Row],[Document ID]],Table1[],3,FALSE)</f>
        <v>Nepal</v>
      </c>
      <c r="D856" s="233" t="str">
        <f>VLOOKUP(Table3[[#This Row],[Document ID]],Table1[],5,FALSE)</f>
        <v>LTS</v>
      </c>
      <c r="E856" s="233" t="str">
        <f>VLOOKUP(Table3[[#This Row],[Document ID]],Table1[],7,FALSE)</f>
        <v>LTS</v>
      </c>
      <c r="F856" s="233" t="str">
        <f>VLOOKUP(Table3[[#This Row],[Document ID]],Table1[],8,FALSE)</f>
        <v>LTS 1.0</v>
      </c>
      <c r="G856" s="233" t="str">
        <f>VLOOKUP(Table3[[#This Row],[Document ID]],Table1[],10,FALSE)</f>
        <v>Active</v>
      </c>
      <c r="H856" s="42" t="s">
        <v>1095</v>
      </c>
      <c r="I856" s="42" t="s">
        <v>1096</v>
      </c>
      <c r="J856" s="42" t="s">
        <v>1097</v>
      </c>
      <c r="K856" s="28" t="s">
        <v>1098</v>
      </c>
      <c r="L856" s="42" t="s">
        <v>1099</v>
      </c>
      <c r="M856" s="209"/>
      <c r="N856" s="209" t="s">
        <v>1969</v>
      </c>
      <c r="O856" s="257"/>
      <c r="P856" s="238" t="str">
        <f>VLOOKUP(_xlfn.CONCAT(Table3[[#This Row],[Target area]],Table3[[#This Row],[GHG target?]],Table3[[#This Row],[Conditionality]]),'Drop down'!$E$81:$F$101,2,FALSE)</f>
        <v>T_Transport_O_Unc</v>
      </c>
      <c r="Q856" s="239" t="str">
        <f>VLOOKUP(Table3[[#This Row],[Target type]],Table418[[Value name]:[Value idenifyer]],2,FALSE)</f>
        <v>T_O_MODE</v>
      </c>
      <c r="S856" s="233" t="s">
        <v>1101</v>
      </c>
      <c r="T856" s="234" t="s">
        <v>1113</v>
      </c>
      <c r="U856" s="240"/>
      <c r="V856" s="233" t="str">
        <f>VLOOKUP(Table3[[#This Row],[Country Code]],Table29[],3,FALSE)</f>
        <v>Non-Annex I</v>
      </c>
      <c r="W856" s="233" t="str">
        <f>VLOOKUP(Table3[[#This Row],[Country Code]],Table29[],4,FALSE)</f>
        <v>Asia</v>
      </c>
      <c r="X856" s="233" t="str">
        <f>VLOOKUP(Table3[[#This Row],[Country Code]],Table29[],5,FALSE)</f>
        <v>Middle-income</v>
      </c>
      <c r="Y856" s="233" t="str">
        <f>VLOOKUP(Table3[[#This Row],[Country Code]],Table29[],6,FALSE)</f>
        <v>no</v>
      </c>
      <c r="Z856" s="233" t="str">
        <f>VLOOKUP(Table3[[#This Row],[Country Code]],Table29[],7,FALSE)</f>
        <v>no</v>
      </c>
      <c r="AA856" s="233" t="str">
        <f>VLOOKUP(Table3[[#This Row],[Country Code]],Table29[],8,FALSE)</f>
        <v>non-OECD</v>
      </c>
      <c r="AB856" s="233" t="str">
        <f>VLOOKUP(Table3[[#This Row],[Country Code]],Table29[],9,FALSE)</f>
        <v>no</v>
      </c>
      <c r="AC856" s="233" t="str">
        <f>VLOOKUP(Table3[[#This Row],[Country Code]],Table29[],10,FALSE)</f>
        <v>no</v>
      </c>
      <c r="AD856" s="235">
        <f>VLOOKUP(Table3[[#This Row],[Country Code]],Table29[],23,FALSE)</f>
        <v>56.830982733611002</v>
      </c>
      <c r="AE856" s="235">
        <f>VLOOKUP(Table3[[#This Row],[Country Code]],Table29[],24,FALSE)</f>
        <v>4.8627503945089332</v>
      </c>
      <c r="AF856" s="43"/>
    </row>
    <row r="857" spans="1:32" ht="45" x14ac:dyDescent="0.25">
      <c r="A857" s="360">
        <v>17675</v>
      </c>
      <c r="B857" s="233" t="str">
        <f>VLOOKUP(Table3[[#This Row],[Document ID]],Table1[],2,FALSE)</f>
        <v>NPL</v>
      </c>
      <c r="C857" s="233" t="str">
        <f>VLOOKUP(Table3[[#This Row],[Document ID]],Table1[],3,FALSE)</f>
        <v>Nepal</v>
      </c>
      <c r="D857" s="233" t="str">
        <f>VLOOKUP(Table3[[#This Row],[Document ID]],Table1[],5,FALSE)</f>
        <v>NDC</v>
      </c>
      <c r="E857" s="233" t="str">
        <f>VLOOKUP(Table3[[#This Row],[Document ID]],Table1[],7,FALSE)</f>
        <v>Second NDC</v>
      </c>
      <c r="F857" s="233" t="str">
        <f>VLOOKUP(Table3[[#This Row],[Document ID]],Table1[],8,FALSE)</f>
        <v>NDC 2.0</v>
      </c>
      <c r="G857" s="233" t="str">
        <f>VLOOKUP(Table3[[#This Row],[Document ID]],Table1[],10,FALSE)</f>
        <v>Active</v>
      </c>
      <c r="H857" s="42" t="s">
        <v>1095</v>
      </c>
      <c r="I857" s="42" t="s">
        <v>1096</v>
      </c>
      <c r="J857" s="42" t="s">
        <v>1097</v>
      </c>
      <c r="K857" s="28" t="s">
        <v>1104</v>
      </c>
      <c r="L857" s="43" t="s">
        <v>1092</v>
      </c>
      <c r="M857" s="209">
        <v>2025</v>
      </c>
      <c r="N857" s="44" t="s">
        <v>1970</v>
      </c>
      <c r="O857" s="221">
        <v>2</v>
      </c>
      <c r="P857" s="238" t="str">
        <f>VLOOKUP(_xlfn.CONCAT(Table3[[#This Row],[Target area]],Table3[[#This Row],[GHG target?]],Table3[[#This Row],[Conditionality]]),'Drop down'!$E$81:$F$101,2,FALSE)</f>
        <v>T_Transport_O_C</v>
      </c>
      <c r="Q857" s="239" t="str">
        <f>VLOOKUP(Table3[[#This Row],[Target type]],Table418[[Value name]:[Value idenifyer]],2,FALSE)</f>
        <v>T_O_ZERO</v>
      </c>
      <c r="S857" s="233" t="s">
        <v>1101</v>
      </c>
      <c r="T857" s="234" t="s">
        <v>1113</v>
      </c>
      <c r="V857" s="233" t="str">
        <f>VLOOKUP(Table3[[#This Row],[Country Code]],Table29[],3,FALSE)</f>
        <v>Non-Annex I</v>
      </c>
      <c r="W857" s="233" t="str">
        <f>VLOOKUP(Table3[[#This Row],[Country Code]],Table29[],4,FALSE)</f>
        <v>Asia</v>
      </c>
      <c r="X857" s="233" t="str">
        <f>VLOOKUP(Table3[[#This Row],[Country Code]],Table29[],5,FALSE)</f>
        <v>Middle-income</v>
      </c>
      <c r="Y857" s="233" t="str">
        <f>VLOOKUP(Table3[[#This Row],[Country Code]],Table29[],6,FALSE)</f>
        <v>no</v>
      </c>
      <c r="Z857" s="233" t="str">
        <f>VLOOKUP(Table3[[#This Row],[Country Code]],Table29[],7,FALSE)</f>
        <v>no</v>
      </c>
      <c r="AA857" s="233" t="str">
        <f>VLOOKUP(Table3[[#This Row],[Country Code]],Table29[],8,FALSE)</f>
        <v>non-OECD</v>
      </c>
      <c r="AB857" s="233" t="str">
        <f>VLOOKUP(Table3[[#This Row],[Country Code]],Table29[],9,FALSE)</f>
        <v>no</v>
      </c>
      <c r="AC857" s="233" t="str">
        <f>VLOOKUP(Table3[[#This Row],[Country Code]],Table29[],10,FALSE)</f>
        <v>no</v>
      </c>
      <c r="AD857" s="235">
        <f>VLOOKUP(Table3[[#This Row],[Country Code]],Table29[],23,FALSE)</f>
        <v>56.830982733611002</v>
      </c>
      <c r="AE857" s="235">
        <f>VLOOKUP(Table3[[#This Row],[Country Code]],Table29[],24,FALSE)</f>
        <v>4.8627503945089332</v>
      </c>
      <c r="AF857" s="43"/>
    </row>
    <row r="858" spans="1:32" ht="60" x14ac:dyDescent="0.25">
      <c r="A858" s="360">
        <v>17675</v>
      </c>
      <c r="B858" s="233" t="str">
        <f>VLOOKUP(Table3[[#This Row],[Document ID]],Table1[],2,FALSE)</f>
        <v>NPL</v>
      </c>
      <c r="C858" s="233" t="str">
        <f>VLOOKUP(Table3[[#This Row],[Document ID]],Table1[],3,FALSE)</f>
        <v>Nepal</v>
      </c>
      <c r="D858" s="233" t="str">
        <f>VLOOKUP(Table3[[#This Row],[Document ID]],Table1[],5,FALSE)</f>
        <v>NDC</v>
      </c>
      <c r="E858" s="233" t="str">
        <f>VLOOKUP(Table3[[#This Row],[Document ID]],Table1[],7,FALSE)</f>
        <v>Second NDC</v>
      </c>
      <c r="F858" s="233" t="str">
        <f>VLOOKUP(Table3[[#This Row],[Document ID]],Table1[],8,FALSE)</f>
        <v>NDC 2.0</v>
      </c>
      <c r="G858" s="233" t="str">
        <f>VLOOKUP(Table3[[#This Row],[Document ID]],Table1[],10,FALSE)</f>
        <v>Active</v>
      </c>
      <c r="H858" s="42" t="s">
        <v>1095</v>
      </c>
      <c r="I858" s="42" t="s">
        <v>1096</v>
      </c>
      <c r="J858" s="42" t="s">
        <v>1097</v>
      </c>
      <c r="K858" s="28" t="s">
        <v>1104</v>
      </c>
      <c r="L858" s="43" t="s">
        <v>1092</v>
      </c>
      <c r="M858" s="209">
        <v>2030</v>
      </c>
      <c r="N858" s="44" t="s">
        <v>1971</v>
      </c>
      <c r="O858" s="221">
        <v>2</v>
      </c>
      <c r="P858" s="238" t="str">
        <f>VLOOKUP(_xlfn.CONCAT(Table3[[#This Row],[Target area]],Table3[[#This Row],[GHG target?]],Table3[[#This Row],[Conditionality]]),'Drop down'!$E$81:$F$101,2,FALSE)</f>
        <v>T_Transport_O_C</v>
      </c>
      <c r="Q858" s="239" t="str">
        <f>VLOOKUP(Table3[[#This Row],[Target type]],Table418[[Value name]:[Value idenifyer]],2,FALSE)</f>
        <v>T_O_ZERO</v>
      </c>
      <c r="S858" s="233" t="s">
        <v>1101</v>
      </c>
      <c r="T858" s="234" t="s">
        <v>1113</v>
      </c>
      <c r="V858" s="233" t="str">
        <f>VLOOKUP(Table3[[#This Row],[Country Code]],Table29[],3,FALSE)</f>
        <v>Non-Annex I</v>
      </c>
      <c r="W858" s="233" t="str">
        <f>VLOOKUP(Table3[[#This Row],[Country Code]],Table29[],4,FALSE)</f>
        <v>Asia</v>
      </c>
      <c r="X858" s="233" t="str">
        <f>VLOOKUP(Table3[[#This Row],[Country Code]],Table29[],5,FALSE)</f>
        <v>Middle-income</v>
      </c>
      <c r="Y858" s="233" t="str">
        <f>VLOOKUP(Table3[[#This Row],[Country Code]],Table29[],6,FALSE)</f>
        <v>no</v>
      </c>
      <c r="Z858" s="233" t="str">
        <f>VLOOKUP(Table3[[#This Row],[Country Code]],Table29[],7,FALSE)</f>
        <v>no</v>
      </c>
      <c r="AA858" s="233" t="str">
        <f>VLOOKUP(Table3[[#This Row],[Country Code]],Table29[],8,FALSE)</f>
        <v>non-OECD</v>
      </c>
      <c r="AB858" s="233" t="str">
        <f>VLOOKUP(Table3[[#This Row],[Country Code]],Table29[],9,FALSE)</f>
        <v>no</v>
      </c>
      <c r="AC858" s="233" t="str">
        <f>VLOOKUP(Table3[[#This Row],[Country Code]],Table29[],10,FALSE)</f>
        <v>no</v>
      </c>
      <c r="AD858" s="235">
        <f>VLOOKUP(Table3[[#This Row],[Country Code]],Table29[],23,FALSE)</f>
        <v>56.830982733611002</v>
      </c>
      <c r="AE858" s="235">
        <f>VLOOKUP(Table3[[#This Row],[Country Code]],Table29[],24,FALSE)</f>
        <v>4.8627503945089332</v>
      </c>
      <c r="AF858" s="43"/>
    </row>
    <row r="859" spans="1:32" ht="45" x14ac:dyDescent="0.25">
      <c r="A859" s="360">
        <v>24785</v>
      </c>
      <c r="B859" s="233" t="str">
        <f>VLOOKUP(Table3[[#This Row],[Document ID]],Table1[],2,FALSE)</f>
        <v>UZB</v>
      </c>
      <c r="C859" s="233" t="str">
        <f>VLOOKUP(Table3[[#This Row],[Document ID]],Table1[],3,FALSE)</f>
        <v>Uzbekistan</v>
      </c>
      <c r="D859" s="233" t="str">
        <f>VLOOKUP(Table3[[#This Row],[Document ID]],Table1[],5,FALSE)</f>
        <v>NDC</v>
      </c>
      <c r="E859" s="233" t="str">
        <f>VLOOKUP(Table3[[#This Row],[Document ID]],Table1[],7,FALSE)</f>
        <v>First NDC updated</v>
      </c>
      <c r="F859" s="233" t="str">
        <f>VLOOKUP(Table3[[#This Row],[Document ID]],Table1[],8,FALSE)</f>
        <v>NDC 1.1</v>
      </c>
      <c r="G859" s="233" t="str">
        <f>VLOOKUP(Table3[[#This Row],[Document ID]],Table1[],10,FALSE)</f>
        <v>Active</v>
      </c>
      <c r="H859" s="216" t="s">
        <v>1089</v>
      </c>
      <c r="I859" s="216" t="s">
        <v>1089</v>
      </c>
      <c r="J859" s="43" t="s">
        <v>1090</v>
      </c>
      <c r="K859" s="28" t="s">
        <v>1153</v>
      </c>
      <c r="L859" s="216" t="s">
        <v>1092</v>
      </c>
      <c r="M859" s="209">
        <v>2030</v>
      </c>
      <c r="N859" s="2" t="s">
        <v>1972</v>
      </c>
      <c r="O859" s="257">
        <v>2</v>
      </c>
      <c r="P859" s="238" t="str">
        <f>VLOOKUP(_xlfn.CONCAT(Table3[[#This Row],[Target area]],Table3[[#This Row],[GHG target?]],Table3[[#This Row],[Conditionality]]),'Drop down'!$E$81:$F$101,2,FALSE)</f>
        <v>T_Economy_C</v>
      </c>
      <c r="Q859" s="239" t="str">
        <f>VLOOKUP(Table3[[#This Row],[Target type]],Table418[[Value name]:[Value idenifyer]],2,FALSE)</f>
        <v>T_BYE</v>
      </c>
      <c r="T859" s="240"/>
      <c r="U859" s="240"/>
      <c r="V859" s="233" t="str">
        <f>VLOOKUP(Table3[[#This Row],[Country Code]],Table29[],3,FALSE)</f>
        <v>Non-Annex I</v>
      </c>
      <c r="W859" s="233" t="str">
        <f>VLOOKUP(Table3[[#This Row],[Country Code]],Table29[],4,FALSE)</f>
        <v>Asia</v>
      </c>
      <c r="X859" s="233" t="str">
        <f>VLOOKUP(Table3[[#This Row],[Country Code]],Table29[],5,FALSE)</f>
        <v>Middle-income</v>
      </c>
      <c r="Y859" s="233" t="str">
        <f>VLOOKUP(Table3[[#This Row],[Country Code]],Table29[],6,FALSE)</f>
        <v>no</v>
      </c>
      <c r="Z859" s="233" t="str">
        <f>VLOOKUP(Table3[[#This Row],[Country Code]],Table29[],7,FALSE)</f>
        <v>no</v>
      </c>
      <c r="AA859" s="233" t="str">
        <f>VLOOKUP(Table3[[#This Row],[Country Code]],Table29[],8,FALSE)</f>
        <v>non-OECD</v>
      </c>
      <c r="AB859" s="233" t="str">
        <f>VLOOKUP(Table3[[#This Row],[Country Code]],Table29[],9,FALSE)</f>
        <v>no</v>
      </c>
      <c r="AC859" s="233" t="str">
        <f>VLOOKUP(Table3[[#This Row],[Country Code]],Table29[],10,FALSE)</f>
        <v>no</v>
      </c>
      <c r="AD859" s="235">
        <f>VLOOKUP(Table3[[#This Row],[Country Code]],Table29[],23,FALSE)</f>
        <v>214.53138443860999</v>
      </c>
      <c r="AE859" s="235">
        <f>VLOOKUP(Table3[[#This Row],[Country Code]],Table29[],24,FALSE)</f>
        <v>16.788710012650458</v>
      </c>
      <c r="AF859" s="43"/>
    </row>
    <row r="860" spans="1:32" ht="30" x14ac:dyDescent="0.25">
      <c r="A860" s="360">
        <v>17781</v>
      </c>
      <c r="B860" s="233" t="str">
        <f>VLOOKUP(Table3[[#This Row],[Document ID]],Table1[],2,FALSE)</f>
        <v>UZB</v>
      </c>
      <c r="C860" s="233" t="str">
        <f>VLOOKUP(Table3[[#This Row],[Document ID]],Table1[],3,FALSE)</f>
        <v>Uzbekistan</v>
      </c>
      <c r="D860" s="233" t="str">
        <f>VLOOKUP(Table3[[#This Row],[Document ID]],Table1[],5,FALSE)</f>
        <v>NDC</v>
      </c>
      <c r="E860" s="233" t="str">
        <f>VLOOKUP(Table3[[#This Row],[Document ID]],Table1[],7,FALSE)</f>
        <v>First NDC</v>
      </c>
      <c r="F860" s="233" t="str">
        <f>VLOOKUP(Table3[[#This Row],[Document ID]],Table1[],8,FALSE)</f>
        <v>NDC 1.0</v>
      </c>
      <c r="G860" s="233" t="str">
        <f>VLOOKUP(Table3[[#This Row],[Document ID]],Table1[],10,FALSE)</f>
        <v>Archived</v>
      </c>
      <c r="H860" s="216" t="s">
        <v>1089</v>
      </c>
      <c r="I860" s="216" t="s">
        <v>1089</v>
      </c>
      <c r="J860" s="43" t="s">
        <v>1090</v>
      </c>
      <c r="K860" s="28" t="s">
        <v>1153</v>
      </c>
      <c r="L860" s="42" t="s">
        <v>1099</v>
      </c>
      <c r="M860" s="209">
        <v>2030</v>
      </c>
      <c r="N860" s="176" t="s">
        <v>1973</v>
      </c>
      <c r="O860" s="258" t="s">
        <v>1094</v>
      </c>
      <c r="P860" s="238" t="str">
        <f>VLOOKUP(_xlfn.CONCAT(Table3[[#This Row],[Target area]],Table3[[#This Row],[GHG target?]],Table3[[#This Row],[Conditionality]]),'Drop down'!$E$81:$F$101,2,FALSE)</f>
        <v>T_Economy_Unc</v>
      </c>
      <c r="Q860" s="239" t="str">
        <f>VLOOKUP(Table3[[#This Row],[Target type]],Table418[[Value name]:[Value idenifyer]],2,FALSE)</f>
        <v>T_BYE</v>
      </c>
      <c r="T860" s="240"/>
      <c r="U860" s="240"/>
      <c r="V860" s="233" t="str">
        <f>VLOOKUP(Table3[[#This Row],[Country Code]],Table29[],3,FALSE)</f>
        <v>Non-Annex I</v>
      </c>
      <c r="W860" s="233" t="str">
        <f>VLOOKUP(Table3[[#This Row],[Country Code]],Table29[],4,FALSE)</f>
        <v>Asia</v>
      </c>
      <c r="X860" s="233" t="str">
        <f>VLOOKUP(Table3[[#This Row],[Country Code]],Table29[],5,FALSE)</f>
        <v>Middle-income</v>
      </c>
      <c r="Y860" s="233" t="str">
        <f>VLOOKUP(Table3[[#This Row],[Country Code]],Table29[],6,FALSE)</f>
        <v>no</v>
      </c>
      <c r="Z860" s="233" t="str">
        <f>VLOOKUP(Table3[[#This Row],[Country Code]],Table29[],7,FALSE)</f>
        <v>no</v>
      </c>
      <c r="AA860" s="233" t="str">
        <f>VLOOKUP(Table3[[#This Row],[Country Code]],Table29[],8,FALSE)</f>
        <v>non-OECD</v>
      </c>
      <c r="AB860" s="233" t="str">
        <f>VLOOKUP(Table3[[#This Row],[Country Code]],Table29[],9,FALSE)</f>
        <v>no</v>
      </c>
      <c r="AC860" s="233" t="str">
        <f>VLOOKUP(Table3[[#This Row],[Country Code]],Table29[],10,FALSE)</f>
        <v>no</v>
      </c>
      <c r="AD860" s="235">
        <f>VLOOKUP(Table3[[#This Row],[Country Code]],Table29[],23,FALSE)</f>
        <v>214.53138443860999</v>
      </c>
      <c r="AE860" s="235">
        <f>VLOOKUP(Table3[[#This Row],[Country Code]],Table29[],24,FALSE)</f>
        <v>16.788710012650458</v>
      </c>
      <c r="AF860" s="43"/>
    </row>
    <row r="861" spans="1:32" ht="45" x14ac:dyDescent="0.25">
      <c r="A861" s="360">
        <v>29231</v>
      </c>
      <c r="B861" s="233" t="str">
        <f>VLOOKUP(Table3[[#This Row],[Document ID]],Table1[],2,FALSE)</f>
        <v>VUT</v>
      </c>
      <c r="C861" s="233" t="str">
        <f>VLOOKUP(Table3[[#This Row],[Document ID]],Table1[],3,FALSE)</f>
        <v>Vanuatu</v>
      </c>
      <c r="D861" s="233" t="str">
        <f>VLOOKUP(Table3[[#This Row],[Document ID]],Table1[],5,FALSE)</f>
        <v>NDC</v>
      </c>
      <c r="E861" s="233" t="str">
        <f>VLOOKUP(Table3[[#This Row],[Document ID]],Table1[],7,FALSE)</f>
        <v>First NDC updated</v>
      </c>
      <c r="F861" s="233" t="str">
        <f>VLOOKUP(Table3[[#This Row],[Document ID]],Table1[],8,FALSE)</f>
        <v>NDC 1.2</v>
      </c>
      <c r="G861" s="233" t="str">
        <f>VLOOKUP(Table3[[#This Row],[Document ID]],Table1[],10,FALSE)</f>
        <v>Active</v>
      </c>
      <c r="H861" s="43" t="s">
        <v>1114</v>
      </c>
      <c r="I861" s="43" t="s">
        <v>1115</v>
      </c>
      <c r="J861" s="42" t="s">
        <v>1097</v>
      </c>
      <c r="K861" s="28" t="s">
        <v>1118</v>
      </c>
      <c r="L861" s="43" t="s">
        <v>1116</v>
      </c>
      <c r="M861" s="209">
        <v>2030</v>
      </c>
      <c r="N861" s="209" t="s">
        <v>1974</v>
      </c>
      <c r="O861" s="257">
        <v>4</v>
      </c>
      <c r="P861" s="238" t="str">
        <f>VLOOKUP(_xlfn.CONCAT(Table3[[#This Row],[Target area]],Table3[[#This Row],[GHG target?]],Table3[[#This Row],[Conditionality]]),'Drop down'!$E$81:$F$101,2,FALSE)</f>
        <v>T_Energy_O</v>
      </c>
      <c r="Q861" s="239" t="str">
        <f>VLOOKUP(Table3[[#This Row],[Target type]],Table418[[Value name]:[Value idenifyer]],2,FALSE)</f>
        <v>T_E_REN</v>
      </c>
      <c r="S861" s="233" t="s">
        <v>1101</v>
      </c>
      <c r="T861" s="234" t="s">
        <v>1113</v>
      </c>
      <c r="U861" s="240"/>
      <c r="V861" s="233" t="str">
        <f>VLOOKUP(Table3[[#This Row],[Country Code]],Table29[],3,FALSE)</f>
        <v>Non-Annex I</v>
      </c>
      <c r="W861" s="233" t="str">
        <f>VLOOKUP(Table3[[#This Row],[Country Code]],Table29[],4,FALSE)</f>
        <v>Oceania</v>
      </c>
      <c r="X861" s="233" t="str">
        <f>VLOOKUP(Table3[[#This Row],[Country Code]],Table29[],5,FALSE)</f>
        <v>Middle-income</v>
      </c>
      <c r="Y861" s="233" t="str">
        <f>VLOOKUP(Table3[[#This Row],[Country Code]],Table29[],6,FALSE)</f>
        <v>no</v>
      </c>
      <c r="Z861" s="233" t="str">
        <f>VLOOKUP(Table3[[#This Row],[Country Code]],Table29[],7,FALSE)</f>
        <v>no</v>
      </c>
      <c r="AA861" s="233" t="str">
        <f>VLOOKUP(Table3[[#This Row],[Country Code]],Table29[],8,FALSE)</f>
        <v>non-OECD</v>
      </c>
      <c r="AB861" s="233" t="str">
        <f>VLOOKUP(Table3[[#This Row],[Country Code]],Table29[],9,FALSE)</f>
        <v>no</v>
      </c>
      <c r="AC861" s="233" t="str">
        <f>VLOOKUP(Table3[[#This Row],[Country Code]],Table29[],10,FALSE)</f>
        <v>no</v>
      </c>
      <c r="AD861" s="235">
        <f>VLOOKUP(Table3[[#This Row],[Country Code]],Table29[],23,FALSE)</f>
        <v>0.67021230161326995</v>
      </c>
      <c r="AE861" s="235">
        <f>VLOOKUP(Table3[[#This Row],[Country Code]],Table29[],24,FALSE)</f>
        <v>0.148941723979749</v>
      </c>
      <c r="AF861" s="43"/>
    </row>
    <row r="862" spans="1:32" x14ac:dyDescent="0.25">
      <c r="A862" s="360">
        <v>17782</v>
      </c>
      <c r="B862" s="233" t="str">
        <f>VLOOKUP(Table3[[#This Row],[Document ID]],Table1[],2,FALSE)</f>
        <v>VUT</v>
      </c>
      <c r="C862" s="233" t="str">
        <f>VLOOKUP(Table3[[#This Row],[Document ID]],Table1[],3,FALSE)</f>
        <v>Vanuatu</v>
      </c>
      <c r="D862" s="233" t="str">
        <f>VLOOKUP(Table3[[#This Row],[Document ID]],Table1[],5,FALSE)</f>
        <v>NDC</v>
      </c>
      <c r="E862" s="233" t="str">
        <f>VLOOKUP(Table3[[#This Row],[Document ID]],Table1[],7,FALSE)</f>
        <v>First NDC</v>
      </c>
      <c r="F862" s="233" t="str">
        <f>VLOOKUP(Table3[[#This Row],[Document ID]],Table1[],8,FALSE)</f>
        <v>NDC 1.0</v>
      </c>
      <c r="G862" s="233" t="str">
        <f>VLOOKUP(Table3[[#This Row],[Document ID]],Table1[],10,FALSE)</f>
        <v>Archived</v>
      </c>
      <c r="H862" s="43" t="s">
        <v>1114</v>
      </c>
      <c r="I862" s="43" t="s">
        <v>1115</v>
      </c>
      <c r="J862" s="42" t="s">
        <v>1090</v>
      </c>
      <c r="K862" s="28" t="s">
        <v>1091</v>
      </c>
      <c r="L862" s="43" t="s">
        <v>1116</v>
      </c>
      <c r="M862" s="209">
        <v>2030</v>
      </c>
      <c r="N862" s="176" t="s">
        <v>1975</v>
      </c>
      <c r="O862" s="258" t="s">
        <v>1094</v>
      </c>
      <c r="P862" s="238" t="str">
        <f>VLOOKUP(_xlfn.CONCAT(Table3[[#This Row],[Target area]],Table3[[#This Row],[GHG target?]],Table3[[#This Row],[Conditionality]]),'Drop down'!$E$81:$F$101,2,FALSE)</f>
        <v>T_Energy</v>
      </c>
      <c r="Q862" s="239" t="str">
        <f>VLOOKUP(Table3[[#This Row],[Target type]],Table418[[Value name]:[Value idenifyer]],2,FALSE)</f>
        <v>T_BAU</v>
      </c>
      <c r="T862" s="234" t="s">
        <v>1113</v>
      </c>
      <c r="U862" s="240"/>
      <c r="V862" s="233" t="str">
        <f>VLOOKUP(Table3[[#This Row],[Country Code]],Table29[],3,FALSE)</f>
        <v>Non-Annex I</v>
      </c>
      <c r="W862" s="233" t="str">
        <f>VLOOKUP(Table3[[#This Row],[Country Code]],Table29[],4,FALSE)</f>
        <v>Oceania</v>
      </c>
      <c r="X862" s="233" t="str">
        <f>VLOOKUP(Table3[[#This Row],[Country Code]],Table29[],5,FALSE)</f>
        <v>Middle-income</v>
      </c>
      <c r="Y862" s="233" t="str">
        <f>VLOOKUP(Table3[[#This Row],[Country Code]],Table29[],6,FALSE)</f>
        <v>no</v>
      </c>
      <c r="Z862" s="233" t="str">
        <f>VLOOKUP(Table3[[#This Row],[Country Code]],Table29[],7,FALSE)</f>
        <v>no</v>
      </c>
      <c r="AA862" s="233" t="str">
        <f>VLOOKUP(Table3[[#This Row],[Country Code]],Table29[],8,FALSE)</f>
        <v>non-OECD</v>
      </c>
      <c r="AB862" s="233" t="str">
        <f>VLOOKUP(Table3[[#This Row],[Country Code]],Table29[],9,FALSE)</f>
        <v>no</v>
      </c>
      <c r="AC862" s="233" t="str">
        <f>VLOOKUP(Table3[[#This Row],[Country Code]],Table29[],10,FALSE)</f>
        <v>no</v>
      </c>
      <c r="AD862" s="235">
        <f>VLOOKUP(Table3[[#This Row],[Country Code]],Table29[],23,FALSE)</f>
        <v>0.67021230161326995</v>
      </c>
      <c r="AE862" s="235">
        <f>VLOOKUP(Table3[[#This Row],[Country Code]],Table29[],24,FALSE)</f>
        <v>0.148941723979749</v>
      </c>
      <c r="AF862" s="43"/>
    </row>
    <row r="863" spans="1:32" ht="30" x14ac:dyDescent="0.25">
      <c r="A863" s="360">
        <v>17675</v>
      </c>
      <c r="B863" s="233" t="str">
        <f>VLOOKUP(Table3[[#This Row],[Document ID]],Table1[],2,FALSE)</f>
        <v>NPL</v>
      </c>
      <c r="C863" s="233" t="str">
        <f>VLOOKUP(Table3[[#This Row],[Document ID]],Table1[],3,FALSE)</f>
        <v>Nepal</v>
      </c>
      <c r="D863" s="233" t="str">
        <f>VLOOKUP(Table3[[#This Row],[Document ID]],Table1[],5,FALSE)</f>
        <v>NDC</v>
      </c>
      <c r="E863" s="233" t="str">
        <f>VLOOKUP(Table3[[#This Row],[Document ID]],Table1[],7,FALSE)</f>
        <v>Second NDC</v>
      </c>
      <c r="F863" s="233" t="str">
        <f>VLOOKUP(Table3[[#This Row],[Document ID]],Table1[],8,FALSE)</f>
        <v>NDC 2.0</v>
      </c>
      <c r="G863" s="233" t="str">
        <f>VLOOKUP(Table3[[#This Row],[Document ID]],Table1[],10,FALSE)</f>
        <v>Active</v>
      </c>
      <c r="H863" s="42" t="s">
        <v>1095</v>
      </c>
      <c r="I863" s="42" t="s">
        <v>1096</v>
      </c>
      <c r="J863" s="42" t="s">
        <v>1097</v>
      </c>
      <c r="K863" s="28" t="s">
        <v>1098</v>
      </c>
      <c r="L863" s="216" t="s">
        <v>1092</v>
      </c>
      <c r="M863" s="209">
        <v>2030</v>
      </c>
      <c r="N863" s="44" t="s">
        <v>1976</v>
      </c>
      <c r="O863" s="221">
        <v>2</v>
      </c>
      <c r="P863" s="238" t="str">
        <f>VLOOKUP(_xlfn.CONCAT(Table3[[#This Row],[Target area]],Table3[[#This Row],[GHG target?]],Table3[[#This Row],[Conditionality]]),'Drop down'!$E$81:$F$101,2,FALSE)</f>
        <v>T_Transport_O_C</v>
      </c>
      <c r="Q863" s="239" t="str">
        <f>VLOOKUP(Table3[[#This Row],[Target type]],Table418[[Value name]:[Value idenifyer]],2,FALSE)</f>
        <v>T_O_MODE</v>
      </c>
      <c r="S863" s="233" t="s">
        <v>1101</v>
      </c>
      <c r="T863" s="234" t="s">
        <v>1113</v>
      </c>
      <c r="V863" s="233" t="str">
        <f>VLOOKUP(Table3[[#This Row],[Country Code]],Table29[],3,FALSE)</f>
        <v>Non-Annex I</v>
      </c>
      <c r="W863" s="233" t="str">
        <f>VLOOKUP(Table3[[#This Row],[Country Code]],Table29[],4,FALSE)</f>
        <v>Asia</v>
      </c>
      <c r="X863" s="233" t="str">
        <f>VLOOKUP(Table3[[#This Row],[Country Code]],Table29[],5,FALSE)</f>
        <v>Middle-income</v>
      </c>
      <c r="Y863" s="233" t="str">
        <f>VLOOKUP(Table3[[#This Row],[Country Code]],Table29[],6,FALSE)</f>
        <v>no</v>
      </c>
      <c r="Z863" s="233" t="str">
        <f>VLOOKUP(Table3[[#This Row],[Country Code]],Table29[],7,FALSE)</f>
        <v>no</v>
      </c>
      <c r="AA863" s="233" t="str">
        <f>VLOOKUP(Table3[[#This Row],[Country Code]],Table29[],8,FALSE)</f>
        <v>non-OECD</v>
      </c>
      <c r="AB863" s="233" t="str">
        <f>VLOOKUP(Table3[[#This Row],[Country Code]],Table29[],9,FALSE)</f>
        <v>no</v>
      </c>
      <c r="AC863" s="233" t="str">
        <f>VLOOKUP(Table3[[#This Row],[Country Code]],Table29[],10,FALSE)</f>
        <v>no</v>
      </c>
      <c r="AD863" s="235">
        <f>VLOOKUP(Table3[[#This Row],[Country Code]],Table29[],23,FALSE)</f>
        <v>56.830982733611002</v>
      </c>
      <c r="AE863" s="235">
        <f>VLOOKUP(Table3[[#This Row],[Country Code]],Table29[],24,FALSE)</f>
        <v>4.8627503945089332</v>
      </c>
      <c r="AF863" s="43"/>
    </row>
    <row r="864" spans="1:32" ht="30" x14ac:dyDescent="0.25">
      <c r="A864" s="360">
        <v>26786</v>
      </c>
      <c r="B864" s="233" t="str">
        <f>VLOOKUP(Table3[[#This Row],[Document ID]],Table1[],2,FALSE)</f>
        <v>NZL</v>
      </c>
      <c r="C864" s="233" t="str">
        <f>VLOOKUP(Table3[[#This Row],[Document ID]],Table1[],3,FALSE)</f>
        <v>New Zealand</v>
      </c>
      <c r="D864" s="233" t="str">
        <f>VLOOKUP(Table3[[#This Row],[Document ID]],Table1[],5,FALSE)</f>
        <v>LTS</v>
      </c>
      <c r="E864" s="233" t="str">
        <f>VLOOKUP(Table3[[#This Row],[Document ID]],Table1[],7,FALSE)</f>
        <v>LTS</v>
      </c>
      <c r="F864" s="233" t="str">
        <f>VLOOKUP(Table3[[#This Row],[Document ID]],Table1[],8,FALSE)</f>
        <v>LTS 1.0</v>
      </c>
      <c r="G864" s="233" t="str">
        <f>VLOOKUP(Table3[[#This Row],[Document ID]],Table1[],10,FALSE)</f>
        <v>Active</v>
      </c>
      <c r="H864" s="42" t="s">
        <v>1095</v>
      </c>
      <c r="I864" s="43" t="s">
        <v>1115</v>
      </c>
      <c r="J864" s="43" t="s">
        <v>1090</v>
      </c>
      <c r="K864" s="28" t="s">
        <v>1121</v>
      </c>
      <c r="L864" s="389" t="s">
        <v>1099</v>
      </c>
      <c r="M864" s="209">
        <v>2050</v>
      </c>
      <c r="N864" s="44" t="s">
        <v>1977</v>
      </c>
      <c r="O864" s="258">
        <v>45</v>
      </c>
      <c r="P864" s="238" t="str">
        <f>VLOOKUP(_xlfn.CONCAT(Table3[[#This Row],[Target area]],Table3[[#This Row],[GHG target?]],Table3[[#This Row],[Conditionality]]),'Drop down'!$E$81:$F$101,2,FALSE)</f>
        <v>T_Transport_Unc</v>
      </c>
      <c r="Q864" s="239" t="str">
        <f>VLOOKUP(Table3[[#This Row],[Target type]],Table418[[Value name]:[Value idenifyer]],2,FALSE)</f>
        <v>T_FL</v>
      </c>
      <c r="R864" s="233" t="s">
        <v>526</v>
      </c>
      <c r="S864" s="233" t="s">
        <v>1112</v>
      </c>
      <c r="T864" s="234" t="s">
        <v>1113</v>
      </c>
      <c r="V864" s="233" t="str">
        <f>VLOOKUP(Table3[[#This Row],[Country Code]],Table29[],3,FALSE)</f>
        <v>Annex I</v>
      </c>
      <c r="W864" s="233" t="str">
        <f>VLOOKUP(Table3[[#This Row],[Country Code]],Table29[],4,FALSE)</f>
        <v>Oceania</v>
      </c>
      <c r="X864" s="233" t="str">
        <f>VLOOKUP(Table3[[#This Row],[Country Code]],Table29[],5,FALSE)</f>
        <v>High-income</v>
      </c>
      <c r="Y864" s="233" t="str">
        <f>VLOOKUP(Table3[[#This Row],[Country Code]],Table29[],6,FALSE)</f>
        <v>no</v>
      </c>
      <c r="Z864" s="233" t="str">
        <f>VLOOKUP(Table3[[#This Row],[Country Code]],Table29[],7,FALSE)</f>
        <v>no</v>
      </c>
      <c r="AA864" s="233" t="str">
        <f>VLOOKUP(Table3[[#This Row],[Country Code]],Table29[],8,FALSE)</f>
        <v>OECD</v>
      </c>
      <c r="AB864" s="233" t="str">
        <f>VLOOKUP(Table3[[#This Row],[Country Code]],Table29[],9,FALSE)</f>
        <v>no</v>
      </c>
      <c r="AC864" s="233" t="str">
        <f>VLOOKUP(Table3[[#This Row],[Country Code]],Table29[],10,FALSE)</f>
        <v>no</v>
      </c>
      <c r="AD864" s="235">
        <f>VLOOKUP(Table3[[#This Row],[Country Code]],Table29[],23,FALSE)</f>
        <v>84.209811532415003</v>
      </c>
      <c r="AE864" s="235">
        <f>VLOOKUP(Table3[[#This Row],[Country Code]],Table29[],24,FALSE)</f>
        <v>16.240725424217811</v>
      </c>
      <c r="AF864" s="43"/>
    </row>
    <row r="865" spans="1:32" x14ac:dyDescent="0.25">
      <c r="A865" s="360">
        <v>39447</v>
      </c>
      <c r="B865" s="233" t="str">
        <f>VLOOKUP(Table3[[#This Row],[Document ID]],Table1[],2,FALSE)</f>
        <v>OMN</v>
      </c>
      <c r="C865" s="233" t="str">
        <f>VLOOKUP(Table3[[#This Row],[Document ID]],Table1[],3,FALSE)</f>
        <v>Oman</v>
      </c>
      <c r="D865" s="233" t="str">
        <f>VLOOKUP(Table3[[#This Row],[Document ID]],Table1[],5,FALSE)</f>
        <v>LTS</v>
      </c>
      <c r="E865" s="233" t="str">
        <f>VLOOKUP(Table3[[#This Row],[Document ID]],Table1[],7,FALSE)</f>
        <v>LTS</v>
      </c>
      <c r="F865" s="233" t="str">
        <f>VLOOKUP(Table3[[#This Row],[Document ID]],Table1[],8,FALSE)</f>
        <v>LTS 1.0</v>
      </c>
      <c r="G865" s="233" t="str">
        <f>VLOOKUP(Table3[[#This Row],[Document ID]],Table1[],10,FALSE)</f>
        <v>Active</v>
      </c>
      <c r="H865" s="42" t="s">
        <v>1095</v>
      </c>
      <c r="I865" s="43" t="s">
        <v>1115</v>
      </c>
      <c r="J865" s="43" t="s">
        <v>1090</v>
      </c>
      <c r="K865" s="28" t="s">
        <v>1153</v>
      </c>
      <c r="L865" s="389" t="s">
        <v>1099</v>
      </c>
      <c r="M865" s="209">
        <v>2030</v>
      </c>
      <c r="N865" s="209" t="s">
        <v>1978</v>
      </c>
      <c r="O865" s="258">
        <v>28</v>
      </c>
      <c r="P865" s="238" t="str">
        <f>VLOOKUP(_xlfn.CONCAT(Table3[[#This Row],[Target area]],Table3[[#This Row],[GHG target?]],Table3[[#This Row],[Conditionality]]),'Drop down'!$E$81:$F$101,2,FALSE)</f>
        <v>T_Transport_Unc</v>
      </c>
      <c r="Q865" s="239" t="str">
        <f>VLOOKUP(Table3[[#This Row],[Target type]],Table418[[Value name]:[Value idenifyer]],2,FALSE)</f>
        <v>T_BYE</v>
      </c>
      <c r="T865" s="234" t="s">
        <v>1113</v>
      </c>
      <c r="U865" s="234" t="s">
        <v>1113</v>
      </c>
      <c r="V865" s="233" t="str">
        <f>VLOOKUP(Table3[[#This Row],[Country Code]],Table29[],3,FALSE)</f>
        <v>Non-Annex I</v>
      </c>
      <c r="W865" s="233" t="str">
        <f>VLOOKUP(Table3[[#This Row],[Country Code]],Table29[],4,FALSE)</f>
        <v>Asia</v>
      </c>
      <c r="X865" s="233" t="str">
        <f>VLOOKUP(Table3[[#This Row],[Country Code]],Table29[],5,FALSE)</f>
        <v>High-income</v>
      </c>
      <c r="Y865" s="233" t="str">
        <f>VLOOKUP(Table3[[#This Row],[Country Code]],Table29[],6,FALSE)</f>
        <v>no</v>
      </c>
      <c r="Z865" s="233" t="str">
        <f>VLOOKUP(Table3[[#This Row],[Country Code]],Table29[],7,FALSE)</f>
        <v>no</v>
      </c>
      <c r="AA865" s="233" t="str">
        <f>VLOOKUP(Table3[[#This Row],[Country Code]],Table29[],8,FALSE)</f>
        <v>non-OECD</v>
      </c>
      <c r="AB865" s="233" t="str">
        <f>VLOOKUP(Table3[[#This Row],[Country Code]],Table29[],9,FALSE)</f>
        <v>no</v>
      </c>
      <c r="AC865" s="233" t="str">
        <f>VLOOKUP(Table3[[#This Row],[Country Code]],Table29[],10,FALSE)</f>
        <v>MENA</v>
      </c>
      <c r="AD865" s="235">
        <f>VLOOKUP(Table3[[#This Row],[Country Code]],Table29[],23,FALSE)</f>
        <v>127.44302070563</v>
      </c>
      <c r="AE865" s="235">
        <f>VLOOKUP(Table3[[#This Row],[Country Code]],Table29[],24,FALSE)</f>
        <v>12.3539911460556</v>
      </c>
      <c r="AF865" s="43"/>
    </row>
    <row r="866" spans="1:32" x14ac:dyDescent="0.25">
      <c r="A866" s="360">
        <v>39447</v>
      </c>
      <c r="B866" s="233" t="str">
        <f>VLOOKUP(Table3[[#This Row],[Document ID]],Table1[],2,FALSE)</f>
        <v>OMN</v>
      </c>
      <c r="C866" s="233" t="str">
        <f>VLOOKUP(Table3[[#This Row],[Document ID]],Table1[],3,FALSE)</f>
        <v>Oman</v>
      </c>
      <c r="D866" s="233" t="str">
        <f>VLOOKUP(Table3[[#This Row],[Document ID]],Table1[],5,FALSE)</f>
        <v>LTS</v>
      </c>
      <c r="E866" s="233" t="str">
        <f>VLOOKUP(Table3[[#This Row],[Document ID]],Table1[],7,FALSE)</f>
        <v>LTS</v>
      </c>
      <c r="F866" s="233" t="str">
        <f>VLOOKUP(Table3[[#This Row],[Document ID]],Table1[],8,FALSE)</f>
        <v>LTS 1.0</v>
      </c>
      <c r="G866" s="233" t="str">
        <f>VLOOKUP(Table3[[#This Row],[Document ID]],Table1[],10,FALSE)</f>
        <v>Active</v>
      </c>
      <c r="H866" s="42" t="s">
        <v>1095</v>
      </c>
      <c r="I866" s="43" t="s">
        <v>1115</v>
      </c>
      <c r="J866" s="43" t="s">
        <v>1090</v>
      </c>
      <c r="K866" s="28" t="s">
        <v>1153</v>
      </c>
      <c r="L866" s="389" t="s">
        <v>1099</v>
      </c>
      <c r="M866" s="209">
        <v>2040</v>
      </c>
      <c r="N866" s="209" t="s">
        <v>1979</v>
      </c>
      <c r="O866" s="258">
        <v>28</v>
      </c>
      <c r="P866" s="238" t="str">
        <f>VLOOKUP(_xlfn.CONCAT(Table3[[#This Row],[Target area]],Table3[[#This Row],[GHG target?]],Table3[[#This Row],[Conditionality]]),'Drop down'!$E$81:$F$101,2,FALSE)</f>
        <v>T_Transport_Unc</v>
      </c>
      <c r="Q866" s="239" t="str">
        <f>VLOOKUP(Table3[[#This Row],[Target type]],Table418[[Value name]:[Value idenifyer]],2,FALSE)</f>
        <v>T_BYE</v>
      </c>
      <c r="T866" s="234" t="s">
        <v>1113</v>
      </c>
      <c r="U866" s="234" t="s">
        <v>1113</v>
      </c>
      <c r="V866" s="233" t="str">
        <f>VLOOKUP(Table3[[#This Row],[Country Code]],Table29[],3,FALSE)</f>
        <v>Non-Annex I</v>
      </c>
      <c r="W866" s="233" t="str">
        <f>VLOOKUP(Table3[[#This Row],[Country Code]],Table29[],4,FALSE)</f>
        <v>Asia</v>
      </c>
      <c r="X866" s="233" t="str">
        <f>VLOOKUP(Table3[[#This Row],[Country Code]],Table29[],5,FALSE)</f>
        <v>High-income</v>
      </c>
      <c r="Y866" s="233" t="str">
        <f>VLOOKUP(Table3[[#This Row],[Country Code]],Table29[],6,FALSE)</f>
        <v>no</v>
      </c>
      <c r="Z866" s="233" t="str">
        <f>VLOOKUP(Table3[[#This Row],[Country Code]],Table29[],7,FALSE)</f>
        <v>no</v>
      </c>
      <c r="AA866" s="233" t="str">
        <f>VLOOKUP(Table3[[#This Row],[Country Code]],Table29[],8,FALSE)</f>
        <v>non-OECD</v>
      </c>
      <c r="AB866" s="233" t="str">
        <f>VLOOKUP(Table3[[#This Row],[Country Code]],Table29[],9,FALSE)</f>
        <v>no</v>
      </c>
      <c r="AC866" s="233" t="str">
        <f>VLOOKUP(Table3[[#This Row],[Country Code]],Table29[],10,FALSE)</f>
        <v>MENA</v>
      </c>
      <c r="AD866" s="235">
        <f>VLOOKUP(Table3[[#This Row],[Country Code]],Table29[],23,FALSE)</f>
        <v>127.44302070563</v>
      </c>
      <c r="AE866" s="235">
        <f>VLOOKUP(Table3[[#This Row],[Country Code]],Table29[],24,FALSE)</f>
        <v>12.3539911460556</v>
      </c>
      <c r="AF866" s="43"/>
    </row>
    <row r="867" spans="1:32" x14ac:dyDescent="0.25">
      <c r="A867" s="360">
        <v>39447</v>
      </c>
      <c r="B867" s="233" t="str">
        <f>VLOOKUP(Table3[[#This Row],[Document ID]],Table1[],2,FALSE)</f>
        <v>OMN</v>
      </c>
      <c r="C867" s="233" t="str">
        <f>VLOOKUP(Table3[[#This Row],[Document ID]],Table1[],3,FALSE)</f>
        <v>Oman</v>
      </c>
      <c r="D867" s="233" t="str">
        <f>VLOOKUP(Table3[[#This Row],[Document ID]],Table1[],5,FALSE)</f>
        <v>LTS</v>
      </c>
      <c r="E867" s="233" t="str">
        <f>VLOOKUP(Table3[[#This Row],[Document ID]],Table1[],7,FALSE)</f>
        <v>LTS</v>
      </c>
      <c r="F867" s="233" t="str">
        <f>VLOOKUP(Table3[[#This Row],[Document ID]],Table1[],8,FALSE)</f>
        <v>LTS 1.0</v>
      </c>
      <c r="G867" s="233" t="str">
        <f>VLOOKUP(Table3[[#This Row],[Document ID]],Table1[],10,FALSE)</f>
        <v>Active</v>
      </c>
      <c r="H867" s="42" t="s">
        <v>1095</v>
      </c>
      <c r="I867" s="43" t="s">
        <v>1115</v>
      </c>
      <c r="J867" s="43" t="s">
        <v>1090</v>
      </c>
      <c r="K867" s="28" t="s">
        <v>1153</v>
      </c>
      <c r="L867" s="389" t="s">
        <v>1099</v>
      </c>
      <c r="M867" s="209">
        <v>2050</v>
      </c>
      <c r="N867" s="209" t="s">
        <v>1980</v>
      </c>
      <c r="O867" s="258">
        <v>28</v>
      </c>
      <c r="P867" s="238" t="str">
        <f>VLOOKUP(_xlfn.CONCAT(Table3[[#This Row],[Target area]],Table3[[#This Row],[GHG target?]],Table3[[#This Row],[Conditionality]]),'Drop down'!$E$81:$F$101,2,FALSE)</f>
        <v>T_Transport_Unc</v>
      </c>
      <c r="Q867" s="239" t="str">
        <f>VLOOKUP(Table3[[#This Row],[Target type]],Table418[[Value name]:[Value idenifyer]],2,FALSE)</f>
        <v>T_BYE</v>
      </c>
      <c r="T867" s="234" t="s">
        <v>1113</v>
      </c>
      <c r="U867" s="234" t="s">
        <v>1113</v>
      </c>
      <c r="V867" s="233" t="str">
        <f>VLOOKUP(Table3[[#This Row],[Country Code]],Table29[],3,FALSE)</f>
        <v>Non-Annex I</v>
      </c>
      <c r="W867" s="233" t="str">
        <f>VLOOKUP(Table3[[#This Row],[Country Code]],Table29[],4,FALSE)</f>
        <v>Asia</v>
      </c>
      <c r="X867" s="233" t="str">
        <f>VLOOKUP(Table3[[#This Row],[Country Code]],Table29[],5,FALSE)</f>
        <v>High-income</v>
      </c>
      <c r="Y867" s="233" t="str">
        <f>VLOOKUP(Table3[[#This Row],[Country Code]],Table29[],6,FALSE)</f>
        <v>no</v>
      </c>
      <c r="Z867" s="233" t="str">
        <f>VLOOKUP(Table3[[#This Row],[Country Code]],Table29[],7,FALSE)</f>
        <v>no</v>
      </c>
      <c r="AA867" s="233" t="str">
        <f>VLOOKUP(Table3[[#This Row],[Country Code]],Table29[],8,FALSE)</f>
        <v>non-OECD</v>
      </c>
      <c r="AB867" s="233" t="str">
        <f>VLOOKUP(Table3[[#This Row],[Country Code]],Table29[],9,FALSE)</f>
        <v>no</v>
      </c>
      <c r="AC867" s="233" t="str">
        <f>VLOOKUP(Table3[[#This Row],[Country Code]],Table29[],10,FALSE)</f>
        <v>MENA</v>
      </c>
      <c r="AD867" s="235">
        <f>VLOOKUP(Table3[[#This Row],[Country Code]],Table29[],23,FALSE)</f>
        <v>127.44302070563</v>
      </c>
      <c r="AE867" s="235">
        <f>VLOOKUP(Table3[[#This Row],[Country Code]],Table29[],24,FALSE)</f>
        <v>12.3539911460556</v>
      </c>
      <c r="AF867" s="43"/>
    </row>
    <row r="868" spans="1:32" ht="30" x14ac:dyDescent="0.25">
      <c r="A868" s="360">
        <v>41740</v>
      </c>
      <c r="B868" s="233" t="str">
        <f>VLOOKUP(Table3[[#This Row],[Document ID]],Table1[],2,FALSE)</f>
        <v>OMN</v>
      </c>
      <c r="C868" s="233" t="str">
        <f>VLOOKUP(Table3[[#This Row],[Document ID]],Table1[],3,FALSE)</f>
        <v>Oman</v>
      </c>
      <c r="D868" s="233" t="str">
        <f>VLOOKUP(Table3[[#This Row],[Document ID]],Table1[],5,FALSE)</f>
        <v>NDC</v>
      </c>
      <c r="E868" s="233" t="str">
        <f>VLOOKUP(Table3[[#This Row],[Document ID]],Table1[],7,FALSE)</f>
        <v>Second NDC updated</v>
      </c>
      <c r="F868" s="241" t="str">
        <f>VLOOKUP(Table3[[#This Row],[Document ID]],Table1[],8,FALSE)</f>
        <v>NDC 2.1</v>
      </c>
      <c r="G868" s="233" t="str">
        <f>VLOOKUP(Table3[[#This Row],[Document ID]],Table1[],10,FALSE)</f>
        <v>Active</v>
      </c>
      <c r="H868" s="42" t="s">
        <v>1095</v>
      </c>
      <c r="I868" s="43" t="s">
        <v>1115</v>
      </c>
      <c r="J868" s="43" t="s">
        <v>1090</v>
      </c>
      <c r="K868" s="28" t="s">
        <v>1091</v>
      </c>
      <c r="L868" s="389" t="s">
        <v>1099</v>
      </c>
      <c r="M868" s="209">
        <v>2030</v>
      </c>
      <c r="N868" s="209" t="s">
        <v>1981</v>
      </c>
      <c r="O868" s="258">
        <v>27</v>
      </c>
      <c r="P868" s="238" t="str">
        <f>VLOOKUP(_xlfn.CONCAT(Table3[[#This Row],[Target area]],Table3[[#This Row],[GHG target?]],Table3[[#This Row],[Conditionality]]),'Drop down'!$E$81:$F$101,2,FALSE)</f>
        <v>T_Transport_Unc</v>
      </c>
      <c r="Q868" s="239" t="str">
        <f>VLOOKUP(Table3[[#This Row],[Target type]],Table418[[Value name]:[Value idenifyer]],2,FALSE)</f>
        <v>T_BAU</v>
      </c>
      <c r="S868" s="233" t="s">
        <v>1125</v>
      </c>
      <c r="T868" s="240"/>
      <c r="V868" s="233" t="str">
        <f>VLOOKUP(Table3[[#This Row],[Country Code]],Table29[],3,FALSE)</f>
        <v>Non-Annex I</v>
      </c>
      <c r="W868" s="233" t="str">
        <f>VLOOKUP(Table3[[#This Row],[Country Code]],Table29[],4,FALSE)</f>
        <v>Asia</v>
      </c>
      <c r="X868" s="233" t="str">
        <f>VLOOKUP(Table3[[#This Row],[Country Code]],Table29[],5,FALSE)</f>
        <v>High-income</v>
      </c>
      <c r="Y868" s="233" t="str">
        <f>VLOOKUP(Table3[[#This Row],[Country Code]],Table29[],6,FALSE)</f>
        <v>no</v>
      </c>
      <c r="Z868" s="233" t="str">
        <f>VLOOKUP(Table3[[#This Row],[Country Code]],Table29[],7,FALSE)</f>
        <v>no</v>
      </c>
      <c r="AA868" s="233" t="str">
        <f>VLOOKUP(Table3[[#This Row],[Country Code]],Table29[],8,FALSE)</f>
        <v>non-OECD</v>
      </c>
      <c r="AB868" s="233" t="str">
        <f>VLOOKUP(Table3[[#This Row],[Country Code]],Table29[],9,FALSE)</f>
        <v>no</v>
      </c>
      <c r="AC868" s="233" t="str">
        <f>VLOOKUP(Table3[[#This Row],[Country Code]],Table29[],10,FALSE)</f>
        <v>MENA</v>
      </c>
      <c r="AD868" s="235">
        <f>VLOOKUP(Table3[[#This Row],[Country Code]],Table29[],23,FALSE)</f>
        <v>127.44302070563</v>
      </c>
      <c r="AE868" s="235">
        <f>VLOOKUP(Table3[[#This Row],[Country Code]],Table29[],24,FALSE)</f>
        <v>12.3539911460556</v>
      </c>
      <c r="AF868" s="42"/>
    </row>
    <row r="869" spans="1:32" ht="30" x14ac:dyDescent="0.25">
      <c r="A869" s="360">
        <v>41740</v>
      </c>
      <c r="B869" s="233" t="str">
        <f>VLOOKUP(Table3[[#This Row],[Document ID]],Table1[],2,FALSE)</f>
        <v>OMN</v>
      </c>
      <c r="C869" s="233" t="str">
        <f>VLOOKUP(Table3[[#This Row],[Document ID]],Table1[],3,FALSE)</f>
        <v>Oman</v>
      </c>
      <c r="D869" s="233" t="str">
        <f>VLOOKUP(Table3[[#This Row],[Document ID]],Table1[],5,FALSE)</f>
        <v>NDC</v>
      </c>
      <c r="E869" s="233" t="str">
        <f>VLOOKUP(Table3[[#This Row],[Document ID]],Table1[],7,FALSE)</f>
        <v>Second NDC updated</v>
      </c>
      <c r="F869" s="241" t="str">
        <f>VLOOKUP(Table3[[#This Row],[Document ID]],Table1[],8,FALSE)</f>
        <v>NDC 2.1</v>
      </c>
      <c r="G869" s="233" t="str">
        <f>VLOOKUP(Table3[[#This Row],[Document ID]],Table1[],10,FALSE)</f>
        <v>Active</v>
      </c>
      <c r="H869" s="42" t="s">
        <v>1095</v>
      </c>
      <c r="I869" s="42" t="s">
        <v>1096</v>
      </c>
      <c r="J869" s="42" t="s">
        <v>1097</v>
      </c>
      <c r="K869" s="28" t="s">
        <v>1137</v>
      </c>
      <c r="L869" s="389" t="s">
        <v>1099</v>
      </c>
      <c r="M869" s="209">
        <v>2030</v>
      </c>
      <c r="N869" s="209" t="s">
        <v>1982</v>
      </c>
      <c r="O869" s="258">
        <v>27</v>
      </c>
      <c r="P869" s="238" t="str">
        <f>VLOOKUP(_xlfn.CONCAT(Table3[[#This Row],[Target area]],Table3[[#This Row],[GHG target?]],Table3[[#This Row],[Conditionality]]),'Drop down'!$E$81:$F$101,2,FALSE)</f>
        <v>T_Transport_O_Unc</v>
      </c>
      <c r="Q869" s="239" t="str">
        <f>VLOOKUP(Table3[[#This Row],[Target type]],Table418[[Value name]:[Value idenifyer]],2,FALSE)</f>
        <v>T_O_EFF</v>
      </c>
      <c r="S869" s="233" t="s">
        <v>1125</v>
      </c>
      <c r="T869" s="240"/>
      <c r="V869" s="233" t="str">
        <f>VLOOKUP(Table3[[#This Row],[Country Code]],Table29[],3,FALSE)</f>
        <v>Non-Annex I</v>
      </c>
      <c r="W869" s="233" t="str">
        <f>VLOOKUP(Table3[[#This Row],[Country Code]],Table29[],4,FALSE)</f>
        <v>Asia</v>
      </c>
      <c r="X869" s="233" t="str">
        <f>VLOOKUP(Table3[[#This Row],[Country Code]],Table29[],5,FALSE)</f>
        <v>High-income</v>
      </c>
      <c r="Y869" s="233" t="str">
        <f>VLOOKUP(Table3[[#This Row],[Country Code]],Table29[],6,FALSE)</f>
        <v>no</v>
      </c>
      <c r="Z869" s="233" t="str">
        <f>VLOOKUP(Table3[[#This Row],[Country Code]],Table29[],7,FALSE)</f>
        <v>no</v>
      </c>
      <c r="AA869" s="233" t="str">
        <f>VLOOKUP(Table3[[#This Row],[Country Code]],Table29[],8,FALSE)</f>
        <v>non-OECD</v>
      </c>
      <c r="AB869" s="233" t="str">
        <f>VLOOKUP(Table3[[#This Row],[Country Code]],Table29[],9,FALSE)</f>
        <v>no</v>
      </c>
      <c r="AC869" s="233" t="str">
        <f>VLOOKUP(Table3[[#This Row],[Country Code]],Table29[],10,FALSE)</f>
        <v>MENA</v>
      </c>
      <c r="AD869" s="235">
        <f>VLOOKUP(Table3[[#This Row],[Country Code]],Table29[],23,FALSE)</f>
        <v>127.44302070563</v>
      </c>
      <c r="AE869" s="235">
        <f>VLOOKUP(Table3[[#This Row],[Country Code]],Table29[],24,FALSE)</f>
        <v>12.3539911460556</v>
      </c>
      <c r="AF869" s="42"/>
    </row>
    <row r="870" spans="1:32" ht="30" x14ac:dyDescent="0.25">
      <c r="A870" s="360">
        <v>41740</v>
      </c>
      <c r="B870" s="233" t="str">
        <f>VLOOKUP(Table3[[#This Row],[Document ID]],Table1[],2,FALSE)</f>
        <v>OMN</v>
      </c>
      <c r="C870" s="233" t="str">
        <f>VLOOKUP(Table3[[#This Row],[Document ID]],Table1[],3,FALSE)</f>
        <v>Oman</v>
      </c>
      <c r="D870" s="233" t="str">
        <f>VLOOKUP(Table3[[#This Row],[Document ID]],Table1[],5,FALSE)</f>
        <v>NDC</v>
      </c>
      <c r="E870" s="233" t="str">
        <f>VLOOKUP(Table3[[#This Row],[Document ID]],Table1[],7,FALSE)</f>
        <v>Second NDC updated</v>
      </c>
      <c r="F870" s="241" t="str">
        <f>VLOOKUP(Table3[[#This Row],[Document ID]],Table1[],8,FALSE)</f>
        <v>NDC 2.1</v>
      </c>
      <c r="G870" s="233" t="str">
        <f>VLOOKUP(Table3[[#This Row],[Document ID]],Table1[],10,FALSE)</f>
        <v>Active</v>
      </c>
      <c r="H870" s="42" t="s">
        <v>1095</v>
      </c>
      <c r="I870" s="42" t="s">
        <v>1096</v>
      </c>
      <c r="J870" s="42" t="s">
        <v>1097</v>
      </c>
      <c r="K870" s="28" t="s">
        <v>1104</v>
      </c>
      <c r="L870" s="389" t="s">
        <v>1099</v>
      </c>
      <c r="M870" s="209">
        <v>2030</v>
      </c>
      <c r="N870" s="209" t="s">
        <v>1983</v>
      </c>
      <c r="O870" s="258">
        <v>27</v>
      </c>
      <c r="P870" s="238" t="str">
        <f>VLOOKUP(_xlfn.CONCAT(Table3[[#This Row],[Target area]],Table3[[#This Row],[GHG target?]],Table3[[#This Row],[Conditionality]]),'Drop down'!$E$81:$F$101,2,FALSE)</f>
        <v>T_Transport_O_Unc</v>
      </c>
      <c r="Q870" s="239" t="str">
        <f>VLOOKUP(Table3[[#This Row],[Target type]],Table418[[Value name]:[Value idenifyer]],2,FALSE)</f>
        <v>T_O_ZERO</v>
      </c>
      <c r="S870" s="233" t="s">
        <v>1125</v>
      </c>
      <c r="T870" s="240"/>
      <c r="V870" s="233" t="str">
        <f>VLOOKUP(Table3[[#This Row],[Country Code]],Table29[],3,FALSE)</f>
        <v>Non-Annex I</v>
      </c>
      <c r="W870" s="233" t="str">
        <f>VLOOKUP(Table3[[#This Row],[Country Code]],Table29[],4,FALSE)</f>
        <v>Asia</v>
      </c>
      <c r="X870" s="233" t="str">
        <f>VLOOKUP(Table3[[#This Row],[Country Code]],Table29[],5,FALSE)</f>
        <v>High-income</v>
      </c>
      <c r="Y870" s="233" t="str">
        <f>VLOOKUP(Table3[[#This Row],[Country Code]],Table29[],6,FALSE)</f>
        <v>no</v>
      </c>
      <c r="Z870" s="233" t="str">
        <f>VLOOKUP(Table3[[#This Row],[Country Code]],Table29[],7,FALSE)</f>
        <v>no</v>
      </c>
      <c r="AA870" s="233" t="str">
        <f>VLOOKUP(Table3[[#This Row],[Country Code]],Table29[],8,FALSE)</f>
        <v>non-OECD</v>
      </c>
      <c r="AB870" s="233" t="str">
        <f>VLOOKUP(Table3[[#This Row],[Country Code]],Table29[],9,FALSE)</f>
        <v>no</v>
      </c>
      <c r="AC870" s="233" t="str">
        <f>VLOOKUP(Table3[[#This Row],[Country Code]],Table29[],10,FALSE)</f>
        <v>MENA</v>
      </c>
      <c r="AD870" s="235">
        <f>VLOOKUP(Table3[[#This Row],[Country Code]],Table29[],23,FALSE)</f>
        <v>127.44302070563</v>
      </c>
      <c r="AE870" s="235">
        <f>VLOOKUP(Table3[[#This Row],[Country Code]],Table29[],24,FALSE)</f>
        <v>12.3539911460556</v>
      </c>
      <c r="AF870" s="42"/>
    </row>
    <row r="871" spans="1:32" ht="30" x14ac:dyDescent="0.25">
      <c r="A871" s="360">
        <v>39450</v>
      </c>
      <c r="B871" s="233" t="str">
        <f>VLOOKUP(Table3[[#This Row],[Document ID]],Table1[],2,FALSE)</f>
        <v>VUT</v>
      </c>
      <c r="C871" s="233" t="str">
        <f>VLOOKUP(Table3[[#This Row],[Document ID]],Table1[],3,FALSE)</f>
        <v>Vanuatu</v>
      </c>
      <c r="D871" s="233" t="str">
        <f>VLOOKUP(Table3[[#This Row],[Document ID]],Table1[],5,FALSE)</f>
        <v>LTS</v>
      </c>
      <c r="E871" s="233" t="str">
        <f>VLOOKUP(Table3[[#This Row],[Document ID]],Table1[],7,FALSE)</f>
        <v>LTS</v>
      </c>
      <c r="F871" s="233" t="str">
        <f>VLOOKUP(Table3[[#This Row],[Document ID]],Table1[],8,FALSE)</f>
        <v>LTS 1.0</v>
      </c>
      <c r="G871" s="233" t="str">
        <f>VLOOKUP(Table3[[#This Row],[Document ID]],Table1[],10,FALSE)</f>
        <v>Active</v>
      </c>
      <c r="H871" s="216" t="s">
        <v>1089</v>
      </c>
      <c r="I871" s="216" t="s">
        <v>1089</v>
      </c>
      <c r="J871" s="43" t="s">
        <v>1090</v>
      </c>
      <c r="K871" s="28" t="s">
        <v>1121</v>
      </c>
      <c r="L871" s="216" t="s">
        <v>1092</v>
      </c>
      <c r="M871" s="209">
        <v>2050</v>
      </c>
      <c r="N871" s="209" t="s">
        <v>1984</v>
      </c>
      <c r="O871" s="258">
        <v>16</v>
      </c>
      <c r="P871" s="238" t="str">
        <f>VLOOKUP(_xlfn.CONCAT(Table3[[#This Row],[Target area]],Table3[[#This Row],[GHG target?]],Table3[[#This Row],[Conditionality]]),'Drop down'!$E$81:$F$101,2,FALSE)</f>
        <v>T_Economy_C</v>
      </c>
      <c r="Q871" s="239" t="str">
        <f>VLOOKUP(Table3[[#This Row],[Target type]],Table418[[Value name]:[Value idenifyer]],2,FALSE)</f>
        <v>T_FL</v>
      </c>
      <c r="T871" s="234" t="s">
        <v>1113</v>
      </c>
      <c r="V871" s="233" t="str">
        <f>VLOOKUP(Table3[[#This Row],[Country Code]],Table29[],3,FALSE)</f>
        <v>Non-Annex I</v>
      </c>
      <c r="W871" s="233" t="str">
        <f>VLOOKUP(Table3[[#This Row],[Country Code]],Table29[],4,FALSE)</f>
        <v>Oceania</v>
      </c>
      <c r="X871" s="233" t="str">
        <f>VLOOKUP(Table3[[#This Row],[Country Code]],Table29[],5,FALSE)</f>
        <v>Middle-income</v>
      </c>
      <c r="Y871" s="233" t="str">
        <f>VLOOKUP(Table3[[#This Row],[Country Code]],Table29[],6,FALSE)</f>
        <v>no</v>
      </c>
      <c r="Z871" s="233" t="str">
        <f>VLOOKUP(Table3[[#This Row],[Country Code]],Table29[],7,FALSE)</f>
        <v>no</v>
      </c>
      <c r="AA871" s="233" t="str">
        <f>VLOOKUP(Table3[[#This Row],[Country Code]],Table29[],8,FALSE)</f>
        <v>non-OECD</v>
      </c>
      <c r="AB871" s="233" t="str">
        <f>VLOOKUP(Table3[[#This Row],[Country Code]],Table29[],9,FALSE)</f>
        <v>no</v>
      </c>
      <c r="AC871" s="233" t="str">
        <f>VLOOKUP(Table3[[#This Row],[Country Code]],Table29[],10,FALSE)</f>
        <v>no</v>
      </c>
      <c r="AD871" s="235">
        <f>VLOOKUP(Table3[[#This Row],[Country Code]],Table29[],23,FALSE)</f>
        <v>0.67021230161326995</v>
      </c>
      <c r="AE871" s="235">
        <f>VLOOKUP(Table3[[#This Row],[Country Code]],Table29[],24,FALSE)</f>
        <v>0.148941723979749</v>
      </c>
      <c r="AF871" s="43"/>
    </row>
    <row r="872" spans="1:32" ht="30" x14ac:dyDescent="0.25">
      <c r="A872" s="360">
        <v>23380</v>
      </c>
      <c r="B872" s="233" t="str">
        <f>VLOOKUP(Table3[[#This Row],[Document ID]],Table1[],2,FALSE)</f>
        <v>PAK</v>
      </c>
      <c r="C872" s="233" t="str">
        <f>VLOOKUP(Table3[[#This Row],[Document ID]],Table1[],3,FALSE)</f>
        <v>Pakistan</v>
      </c>
      <c r="D872" s="233" t="str">
        <f>VLOOKUP(Table3[[#This Row],[Document ID]],Table1[],5,FALSE)</f>
        <v>NDC</v>
      </c>
      <c r="E872" s="233" t="str">
        <f>VLOOKUP(Table3[[#This Row],[Document ID]],Table1[],7,FALSE)</f>
        <v>First NDC updated</v>
      </c>
      <c r="F872" s="233" t="str">
        <f>VLOOKUP(Table3[[#This Row],[Document ID]],Table1[],8,FALSE)</f>
        <v>NDC 1.2</v>
      </c>
      <c r="G872" s="233" t="str">
        <f>VLOOKUP(Table3[[#This Row],[Document ID]],Table1[],10,FALSE)</f>
        <v>Active</v>
      </c>
      <c r="H872" s="42" t="s">
        <v>1095</v>
      </c>
      <c r="I872" s="42" t="s">
        <v>1096</v>
      </c>
      <c r="J872" s="42" t="s">
        <v>1097</v>
      </c>
      <c r="K872" s="28" t="s">
        <v>1104</v>
      </c>
      <c r="L872" s="389" t="s">
        <v>1099</v>
      </c>
      <c r="M872" s="209">
        <v>2030</v>
      </c>
      <c r="N872" s="209" t="s">
        <v>1985</v>
      </c>
      <c r="O872" s="257">
        <v>1</v>
      </c>
      <c r="P872" s="238" t="str">
        <f>VLOOKUP(_xlfn.CONCAT(Table3[[#This Row],[Target area]],Table3[[#This Row],[GHG target?]],Table3[[#This Row],[Conditionality]]),'Drop down'!$E$81:$F$101,2,FALSE)</f>
        <v>T_Transport_O_Unc</v>
      </c>
      <c r="Q872" s="239" t="str">
        <f>VLOOKUP(Table3[[#This Row],[Target type]],Table418[[Value name]:[Value idenifyer]],2,FALSE)</f>
        <v>T_O_ZERO</v>
      </c>
      <c r="S872" s="233" t="s">
        <v>1101</v>
      </c>
      <c r="T872" s="240"/>
      <c r="U872" s="240"/>
      <c r="V872" s="233" t="str">
        <f>VLOOKUP(Table3[[#This Row],[Country Code]],Table29[],3,FALSE)</f>
        <v>Non-Annex I</v>
      </c>
      <c r="W872" s="233" t="str">
        <f>VLOOKUP(Table3[[#This Row],[Country Code]],Table29[],4,FALSE)</f>
        <v>Asia</v>
      </c>
      <c r="X872" s="233" t="str">
        <f>VLOOKUP(Table3[[#This Row],[Country Code]],Table29[],5,FALSE)</f>
        <v>Middle-income</v>
      </c>
      <c r="Y872" s="233" t="str">
        <f>VLOOKUP(Table3[[#This Row],[Country Code]],Table29[],6,FALSE)</f>
        <v>no</v>
      </c>
      <c r="Z872" s="233" t="str">
        <f>VLOOKUP(Table3[[#This Row],[Country Code]],Table29[],7,FALSE)</f>
        <v>no</v>
      </c>
      <c r="AA872" s="233" t="str">
        <f>VLOOKUP(Table3[[#This Row],[Country Code]],Table29[],8,FALSE)</f>
        <v>non-OECD</v>
      </c>
      <c r="AB872" s="233" t="str">
        <f>VLOOKUP(Table3[[#This Row],[Country Code]],Table29[],9,FALSE)</f>
        <v>no</v>
      </c>
      <c r="AC872" s="233" t="str">
        <f>VLOOKUP(Table3[[#This Row],[Country Code]],Table29[],10,FALSE)</f>
        <v>no</v>
      </c>
      <c r="AD872" s="235">
        <f>VLOOKUP(Table3[[#This Row],[Country Code]],Table29[],23,FALSE)</f>
        <v>532.37448361891995</v>
      </c>
      <c r="AE872" s="235">
        <f>VLOOKUP(Table3[[#This Row],[Country Code]],Table29[],24,FALSE)</f>
        <v>44.891195611563681</v>
      </c>
      <c r="AF872" s="43"/>
    </row>
    <row r="873" spans="1:32" ht="75" x14ac:dyDescent="0.25">
      <c r="A873" s="360">
        <v>24787</v>
      </c>
      <c r="B873" s="233" t="str">
        <f>VLOOKUP(Table3[[#This Row],[Document ID]],Table1[],2,FALSE)</f>
        <v>VEN</v>
      </c>
      <c r="C873" s="233" t="str">
        <f>VLOOKUP(Table3[[#This Row],[Document ID]],Table1[],3,FALSE)</f>
        <v>Venezuela, Bolivarian Republic of</v>
      </c>
      <c r="D873" s="233" t="str">
        <f>VLOOKUP(Table3[[#This Row],[Document ID]],Table1[],5,FALSE)</f>
        <v>NDC</v>
      </c>
      <c r="E873" s="233" t="str">
        <f>VLOOKUP(Table3[[#This Row],[Document ID]],Table1[],7,FALSE)</f>
        <v>First NDC updated</v>
      </c>
      <c r="F873" s="233" t="str">
        <f>VLOOKUP(Table3[[#This Row],[Document ID]],Table1[],8,FALSE)</f>
        <v>NDC 1.1</v>
      </c>
      <c r="G873" s="233" t="str">
        <f>VLOOKUP(Table3[[#This Row],[Document ID]],Table1[],10,FALSE)</f>
        <v>Active</v>
      </c>
      <c r="H873" s="216" t="s">
        <v>1089</v>
      </c>
      <c r="I873" s="216" t="s">
        <v>1089</v>
      </c>
      <c r="J873" s="43" t="s">
        <v>1090</v>
      </c>
      <c r="K873" s="28" t="s">
        <v>1091</v>
      </c>
      <c r="L873" s="216" t="s">
        <v>1092</v>
      </c>
      <c r="M873" s="209">
        <v>2030</v>
      </c>
      <c r="N873" s="2" t="s">
        <v>1986</v>
      </c>
      <c r="O873" s="258">
        <v>21</v>
      </c>
      <c r="P873" s="238" t="str">
        <f>VLOOKUP(_xlfn.CONCAT(Table3[[#This Row],[Target area]],Table3[[#This Row],[GHG target?]],Table3[[#This Row],[Conditionality]]),'Drop down'!$E$81:$F$101,2,FALSE)</f>
        <v>T_Economy_C</v>
      </c>
      <c r="Q873" s="239" t="str">
        <f>VLOOKUP(Table3[[#This Row],[Target type]],Table418[[Value name]:[Value idenifyer]],2,FALSE)</f>
        <v>T_BAU</v>
      </c>
      <c r="V873" s="233" t="str">
        <f>VLOOKUP(Table3[[#This Row],[Country Code]],Table29[],3,FALSE)</f>
        <v>Non-Annex I</v>
      </c>
      <c r="W873" s="233" t="str">
        <f>VLOOKUP(Table3[[#This Row],[Country Code]],Table29[],4,FALSE)</f>
        <v>Latin America and the Caribbean</v>
      </c>
      <c r="X873" s="233" t="str">
        <f>VLOOKUP(Table3[[#This Row],[Country Code]],Table29[],5,FALSE)</f>
        <v>Middle-income</v>
      </c>
      <c r="Y873" s="233" t="str">
        <f>VLOOKUP(Table3[[#This Row],[Country Code]],Table29[],6,FALSE)</f>
        <v>no</v>
      </c>
      <c r="Z873" s="233" t="str">
        <f>VLOOKUP(Table3[[#This Row],[Country Code]],Table29[],7,FALSE)</f>
        <v>no</v>
      </c>
      <c r="AA873" s="233" t="str">
        <f>VLOOKUP(Table3[[#This Row],[Country Code]],Table29[],8,FALSE)</f>
        <v>non-OECD</v>
      </c>
      <c r="AB873" s="233" t="str">
        <f>VLOOKUP(Table3[[#This Row],[Country Code]],Table29[],9,FALSE)</f>
        <v>no</v>
      </c>
      <c r="AC873" s="233" t="str">
        <f>VLOOKUP(Table3[[#This Row],[Country Code]],Table29[],10,FALSE)</f>
        <v>no</v>
      </c>
      <c r="AD873" s="235">
        <f>VLOOKUP(Table3[[#This Row],[Country Code]],Table29[],23,FALSE)</f>
        <v>152.38992311311</v>
      </c>
      <c r="AE873" s="235">
        <f>VLOOKUP(Table3[[#This Row],[Country Code]],Table29[],24,FALSE)</f>
        <v>17.908504980816488</v>
      </c>
      <c r="AF873" s="43"/>
    </row>
    <row r="874" spans="1:32" x14ac:dyDescent="0.25">
      <c r="A874" s="360">
        <v>17784</v>
      </c>
      <c r="B874" s="233" t="str">
        <f>VLOOKUP(Table3[[#This Row],[Document ID]],Table1[],2,FALSE)</f>
        <v>VEN</v>
      </c>
      <c r="C874" s="233" t="str">
        <f>VLOOKUP(Table3[[#This Row],[Document ID]],Table1[],3,FALSE)</f>
        <v>Venezuela, Bolivarian Republic of</v>
      </c>
      <c r="D874" s="233" t="str">
        <f>VLOOKUP(Table3[[#This Row],[Document ID]],Table1[],5,FALSE)</f>
        <v>NDC</v>
      </c>
      <c r="E874" s="233" t="str">
        <f>VLOOKUP(Table3[[#This Row],[Document ID]],Table1[],7,FALSE)</f>
        <v>First NDC</v>
      </c>
      <c r="F874" s="233" t="str">
        <f>VLOOKUP(Table3[[#This Row],[Document ID]],Table1[],8,FALSE)</f>
        <v>NDC 1.0</v>
      </c>
      <c r="G874" s="233" t="str">
        <f>VLOOKUP(Table3[[#This Row],[Document ID]],Table1[],10,FALSE)</f>
        <v>Archived</v>
      </c>
      <c r="H874" s="216" t="s">
        <v>1089</v>
      </c>
      <c r="I874" s="216" t="s">
        <v>1089</v>
      </c>
      <c r="J874" s="43" t="s">
        <v>1090</v>
      </c>
      <c r="K874" s="28" t="s">
        <v>1091</v>
      </c>
      <c r="L874" s="216" t="s">
        <v>1092</v>
      </c>
      <c r="M874" s="209">
        <v>2030</v>
      </c>
      <c r="N874" s="176" t="s">
        <v>1987</v>
      </c>
      <c r="O874" s="258" t="s">
        <v>1094</v>
      </c>
      <c r="P874" s="238" t="str">
        <f>VLOOKUP(_xlfn.CONCAT(Table3[[#This Row],[Target area]],Table3[[#This Row],[GHG target?]],Table3[[#This Row],[Conditionality]]),'Drop down'!$E$81:$F$101,2,FALSE)</f>
        <v>T_Economy_C</v>
      </c>
      <c r="Q874" s="239" t="str">
        <f>VLOOKUP(Table3[[#This Row],[Target type]],Table418[[Value name]:[Value idenifyer]],2,FALSE)</f>
        <v>T_BAU</v>
      </c>
      <c r="V874" s="233" t="str">
        <f>VLOOKUP(Table3[[#This Row],[Country Code]],Table29[],3,FALSE)</f>
        <v>Non-Annex I</v>
      </c>
      <c r="W874" s="233" t="str">
        <f>VLOOKUP(Table3[[#This Row],[Country Code]],Table29[],4,FALSE)</f>
        <v>Latin America and the Caribbean</v>
      </c>
      <c r="X874" s="233" t="str">
        <f>VLOOKUP(Table3[[#This Row],[Country Code]],Table29[],5,FALSE)</f>
        <v>Middle-income</v>
      </c>
      <c r="Y874" s="233" t="str">
        <f>VLOOKUP(Table3[[#This Row],[Country Code]],Table29[],6,FALSE)</f>
        <v>no</v>
      </c>
      <c r="Z874" s="233" t="str">
        <f>VLOOKUP(Table3[[#This Row],[Country Code]],Table29[],7,FALSE)</f>
        <v>no</v>
      </c>
      <c r="AA874" s="233" t="str">
        <f>VLOOKUP(Table3[[#This Row],[Country Code]],Table29[],8,FALSE)</f>
        <v>non-OECD</v>
      </c>
      <c r="AB874" s="233" t="str">
        <f>VLOOKUP(Table3[[#This Row],[Country Code]],Table29[],9,FALSE)</f>
        <v>no</v>
      </c>
      <c r="AC874" s="233" t="str">
        <f>VLOOKUP(Table3[[#This Row],[Country Code]],Table29[],10,FALSE)</f>
        <v>no</v>
      </c>
      <c r="AD874" s="235">
        <f>VLOOKUP(Table3[[#This Row],[Country Code]],Table29[],23,FALSE)</f>
        <v>152.38992311311</v>
      </c>
      <c r="AE874" s="235">
        <f>VLOOKUP(Table3[[#This Row],[Country Code]],Table29[],24,FALSE)</f>
        <v>17.908504980816488</v>
      </c>
      <c r="AF874" s="43"/>
    </row>
    <row r="875" spans="1:32" ht="30" x14ac:dyDescent="0.25">
      <c r="A875" s="360">
        <v>17786</v>
      </c>
      <c r="B875" s="233" t="str">
        <f>VLOOKUP(Table3[[#This Row],[Document ID]],Table1[],2,FALSE)</f>
        <v>VNM</v>
      </c>
      <c r="C875" s="233" t="str">
        <f>VLOOKUP(Table3[[#This Row],[Document ID]],Table1[],3,FALSE)</f>
        <v>Viet Nam</v>
      </c>
      <c r="D875" s="233" t="str">
        <f>VLOOKUP(Table3[[#This Row],[Document ID]],Table1[],5,FALSE)</f>
        <v>NDC</v>
      </c>
      <c r="E875" s="233" t="str">
        <f>VLOOKUP(Table3[[#This Row],[Document ID]],Table1[],7,FALSE)</f>
        <v>First NDC updated</v>
      </c>
      <c r="F875" s="233" t="str">
        <f>VLOOKUP(Table3[[#This Row],[Document ID]],Table1[],8,FALSE)</f>
        <v>NDC 1.1</v>
      </c>
      <c r="G875" s="233" t="str">
        <f>VLOOKUP(Table3[[#This Row],[Document ID]],Table1[],10,FALSE)</f>
        <v>Archived</v>
      </c>
      <c r="H875" s="216" t="s">
        <v>1089</v>
      </c>
      <c r="I875" s="216" t="s">
        <v>1089</v>
      </c>
      <c r="J875" s="43" t="s">
        <v>1090</v>
      </c>
      <c r="K875" s="28" t="s">
        <v>1091</v>
      </c>
      <c r="L875" s="42" t="s">
        <v>1099</v>
      </c>
      <c r="M875" s="209">
        <v>2030</v>
      </c>
      <c r="N875" s="44" t="s">
        <v>1988</v>
      </c>
      <c r="O875" s="221">
        <v>4</v>
      </c>
      <c r="P875" s="238" t="str">
        <f>VLOOKUP(_xlfn.CONCAT(Table3[[#This Row],[Target area]],Table3[[#This Row],[GHG target?]],Table3[[#This Row],[Conditionality]]),'Drop down'!$E$81:$F$101,2,FALSE)</f>
        <v>T_Economy_Unc</v>
      </c>
      <c r="Q875" s="239" t="str">
        <f>VLOOKUP(Table3[[#This Row],[Target type]],Table418[[Value name]:[Value idenifyer]],2,FALSE)</f>
        <v>T_BAU</v>
      </c>
      <c r="T875" s="234" t="s">
        <v>1113</v>
      </c>
      <c r="U875" s="240"/>
      <c r="V875" s="233" t="str">
        <f>VLOOKUP(Table3[[#This Row],[Country Code]],Table29[],3,FALSE)</f>
        <v>Non-Annex I</v>
      </c>
      <c r="W875" s="233" t="str">
        <f>VLOOKUP(Table3[[#This Row],[Country Code]],Table29[],4,FALSE)</f>
        <v>Asia</v>
      </c>
      <c r="X875" s="233" t="str">
        <f>VLOOKUP(Table3[[#This Row],[Country Code]],Table29[],5,FALSE)</f>
        <v>Middle-income</v>
      </c>
      <c r="Y875" s="233" t="str">
        <f>VLOOKUP(Table3[[#This Row],[Country Code]],Table29[],6,FALSE)</f>
        <v>no</v>
      </c>
      <c r="Z875" s="233" t="str">
        <f>VLOOKUP(Table3[[#This Row],[Country Code]],Table29[],7,FALSE)</f>
        <v>no</v>
      </c>
      <c r="AA875" s="233" t="str">
        <f>VLOOKUP(Table3[[#This Row],[Country Code]],Table29[],8,FALSE)</f>
        <v>non-OECD</v>
      </c>
      <c r="AB875" s="233" t="str">
        <f>VLOOKUP(Table3[[#This Row],[Country Code]],Table29[],9,FALSE)</f>
        <v>no</v>
      </c>
      <c r="AC875" s="233" t="str">
        <f>VLOOKUP(Table3[[#This Row],[Country Code]],Table29[],10,FALSE)</f>
        <v>no</v>
      </c>
      <c r="AD875" s="235">
        <f>VLOOKUP(Table3[[#This Row],[Country Code]],Table29[],23,FALSE)</f>
        <v>524.13346380418</v>
      </c>
      <c r="AE875" s="235">
        <f>VLOOKUP(Table3[[#This Row],[Country Code]],Table29[],24,FALSE)</f>
        <v>39.884378531634049</v>
      </c>
      <c r="AF875" s="43"/>
    </row>
    <row r="876" spans="1:32" x14ac:dyDescent="0.25">
      <c r="A876" s="360">
        <v>17786</v>
      </c>
      <c r="B876" s="233" t="str">
        <f>VLOOKUP(Table3[[#This Row],[Document ID]],Table1[],2,FALSE)</f>
        <v>VNM</v>
      </c>
      <c r="C876" s="233" t="str">
        <f>VLOOKUP(Table3[[#This Row],[Document ID]],Table1[],3,FALSE)</f>
        <v>Viet Nam</v>
      </c>
      <c r="D876" s="233" t="str">
        <f>VLOOKUP(Table3[[#This Row],[Document ID]],Table1[],5,FALSE)</f>
        <v>NDC</v>
      </c>
      <c r="E876" s="233" t="str">
        <f>VLOOKUP(Table3[[#This Row],[Document ID]],Table1[],7,FALSE)</f>
        <v>First NDC updated</v>
      </c>
      <c r="F876" s="233" t="str">
        <f>VLOOKUP(Table3[[#This Row],[Document ID]],Table1[],8,FALSE)</f>
        <v>NDC 1.1</v>
      </c>
      <c r="G876" s="233" t="str">
        <f>VLOOKUP(Table3[[#This Row],[Document ID]],Table1[],10,FALSE)</f>
        <v>Archived</v>
      </c>
      <c r="H876" s="216" t="s">
        <v>1089</v>
      </c>
      <c r="I876" s="216" t="s">
        <v>1089</v>
      </c>
      <c r="J876" s="43" t="s">
        <v>1090</v>
      </c>
      <c r="K876" s="28" t="s">
        <v>1091</v>
      </c>
      <c r="L876" s="216" t="s">
        <v>1092</v>
      </c>
      <c r="M876" s="209">
        <v>2030</v>
      </c>
      <c r="N876" s="44" t="s">
        <v>1989</v>
      </c>
      <c r="O876" s="221">
        <v>4</v>
      </c>
      <c r="P876" s="238" t="str">
        <f>VLOOKUP(_xlfn.CONCAT(Table3[[#This Row],[Target area]],Table3[[#This Row],[GHG target?]],Table3[[#This Row],[Conditionality]]),'Drop down'!$E$81:$F$101,2,FALSE)</f>
        <v>T_Economy_C</v>
      </c>
      <c r="Q876" s="239" t="str">
        <f>VLOOKUP(Table3[[#This Row],[Target type]],Table418[[Value name]:[Value idenifyer]],2,FALSE)</f>
        <v>T_BAU</v>
      </c>
      <c r="T876" s="234" t="s">
        <v>1113</v>
      </c>
      <c r="U876" s="240"/>
      <c r="V876" s="233" t="str">
        <f>VLOOKUP(Table3[[#This Row],[Country Code]],Table29[],3,FALSE)</f>
        <v>Non-Annex I</v>
      </c>
      <c r="W876" s="233" t="str">
        <f>VLOOKUP(Table3[[#This Row],[Country Code]],Table29[],4,FALSE)</f>
        <v>Asia</v>
      </c>
      <c r="X876" s="233" t="str">
        <f>VLOOKUP(Table3[[#This Row],[Country Code]],Table29[],5,FALSE)</f>
        <v>Middle-income</v>
      </c>
      <c r="Y876" s="233" t="str">
        <f>VLOOKUP(Table3[[#This Row],[Country Code]],Table29[],6,FALSE)</f>
        <v>no</v>
      </c>
      <c r="Z876" s="233" t="str">
        <f>VLOOKUP(Table3[[#This Row],[Country Code]],Table29[],7,FALSE)</f>
        <v>no</v>
      </c>
      <c r="AA876" s="233" t="str">
        <f>VLOOKUP(Table3[[#This Row],[Country Code]],Table29[],8,FALSE)</f>
        <v>non-OECD</v>
      </c>
      <c r="AB876" s="233" t="str">
        <f>VLOOKUP(Table3[[#This Row],[Country Code]],Table29[],9,FALSE)</f>
        <v>no</v>
      </c>
      <c r="AC876" s="233" t="str">
        <f>VLOOKUP(Table3[[#This Row],[Country Code]],Table29[],10,FALSE)</f>
        <v>no</v>
      </c>
      <c r="AD876" s="235">
        <f>VLOOKUP(Table3[[#This Row],[Country Code]],Table29[],23,FALSE)</f>
        <v>524.13346380418</v>
      </c>
      <c r="AE876" s="235">
        <f>VLOOKUP(Table3[[#This Row],[Country Code]],Table29[],24,FALSE)</f>
        <v>39.884378531634049</v>
      </c>
      <c r="AF876" s="43"/>
    </row>
    <row r="877" spans="1:32" x14ac:dyDescent="0.25">
      <c r="A877" s="360">
        <v>17785</v>
      </c>
      <c r="B877" s="233" t="str">
        <f>VLOOKUP(Table3[[#This Row],[Document ID]],Table1[],2,FALSE)</f>
        <v>VNM</v>
      </c>
      <c r="C877" s="233" t="str">
        <f>VLOOKUP(Table3[[#This Row],[Document ID]],Table1[],3,FALSE)</f>
        <v>Viet Nam</v>
      </c>
      <c r="D877" s="233" t="str">
        <f>VLOOKUP(Table3[[#This Row],[Document ID]],Table1[],5,FALSE)</f>
        <v>NDC</v>
      </c>
      <c r="E877" s="233" t="str">
        <f>VLOOKUP(Table3[[#This Row],[Document ID]],Table1[],7,FALSE)</f>
        <v>First NDC</v>
      </c>
      <c r="F877" s="233" t="str">
        <f>VLOOKUP(Table3[[#This Row],[Document ID]],Table1[],8,FALSE)</f>
        <v>NDC 1.0</v>
      </c>
      <c r="G877" s="233" t="str">
        <f>VLOOKUP(Table3[[#This Row],[Document ID]],Table1[],10,FALSE)</f>
        <v>Archived</v>
      </c>
      <c r="H877" s="216" t="s">
        <v>1089</v>
      </c>
      <c r="I877" s="216" t="s">
        <v>1089</v>
      </c>
      <c r="J877" s="43" t="s">
        <v>1090</v>
      </c>
      <c r="K877" s="28" t="s">
        <v>1091</v>
      </c>
      <c r="L877" s="42" t="s">
        <v>1099</v>
      </c>
      <c r="M877" s="209">
        <v>2030</v>
      </c>
      <c r="N877" s="176" t="s">
        <v>1990</v>
      </c>
      <c r="O877" s="258" t="s">
        <v>1094</v>
      </c>
      <c r="P877" s="238" t="str">
        <f>VLOOKUP(_xlfn.CONCAT(Table3[[#This Row],[Target area]],Table3[[#This Row],[GHG target?]],Table3[[#This Row],[Conditionality]]),'Drop down'!$E$81:$F$101,2,FALSE)</f>
        <v>T_Economy_Unc</v>
      </c>
      <c r="Q877" s="239" t="str">
        <f>VLOOKUP(Table3[[#This Row],[Target type]],Table418[[Value name]:[Value idenifyer]],2,FALSE)</f>
        <v>T_BAU</v>
      </c>
      <c r="T877" s="234" t="s">
        <v>1113</v>
      </c>
      <c r="U877" s="240"/>
      <c r="V877" s="233" t="str">
        <f>VLOOKUP(Table3[[#This Row],[Country Code]],Table29[],3,FALSE)</f>
        <v>Non-Annex I</v>
      </c>
      <c r="W877" s="233" t="str">
        <f>VLOOKUP(Table3[[#This Row],[Country Code]],Table29[],4,FALSE)</f>
        <v>Asia</v>
      </c>
      <c r="X877" s="233" t="str">
        <f>VLOOKUP(Table3[[#This Row],[Country Code]],Table29[],5,FALSE)</f>
        <v>Middle-income</v>
      </c>
      <c r="Y877" s="233" t="str">
        <f>VLOOKUP(Table3[[#This Row],[Country Code]],Table29[],6,FALSE)</f>
        <v>no</v>
      </c>
      <c r="Z877" s="233" t="str">
        <f>VLOOKUP(Table3[[#This Row],[Country Code]],Table29[],7,FALSE)</f>
        <v>no</v>
      </c>
      <c r="AA877" s="233" t="str">
        <f>VLOOKUP(Table3[[#This Row],[Country Code]],Table29[],8,FALSE)</f>
        <v>non-OECD</v>
      </c>
      <c r="AB877" s="233" t="str">
        <f>VLOOKUP(Table3[[#This Row],[Country Code]],Table29[],9,FALSE)</f>
        <v>no</v>
      </c>
      <c r="AC877" s="233" t="str">
        <f>VLOOKUP(Table3[[#This Row],[Country Code]],Table29[],10,FALSE)</f>
        <v>no</v>
      </c>
      <c r="AD877" s="235">
        <f>VLOOKUP(Table3[[#This Row],[Country Code]],Table29[],23,FALSE)</f>
        <v>524.13346380418</v>
      </c>
      <c r="AE877" s="235">
        <f>VLOOKUP(Table3[[#This Row],[Country Code]],Table29[],24,FALSE)</f>
        <v>39.884378531634049</v>
      </c>
      <c r="AF877" s="43"/>
    </row>
    <row r="878" spans="1:32" x14ac:dyDescent="0.25">
      <c r="A878" s="360">
        <v>17785</v>
      </c>
      <c r="B878" s="233" t="str">
        <f>VLOOKUP(Table3[[#This Row],[Document ID]],Table1[],2,FALSE)</f>
        <v>VNM</v>
      </c>
      <c r="C878" s="233" t="str">
        <f>VLOOKUP(Table3[[#This Row],[Document ID]],Table1[],3,FALSE)</f>
        <v>Viet Nam</v>
      </c>
      <c r="D878" s="233" t="str">
        <f>VLOOKUP(Table3[[#This Row],[Document ID]],Table1[],5,FALSE)</f>
        <v>NDC</v>
      </c>
      <c r="E878" s="233" t="str">
        <f>VLOOKUP(Table3[[#This Row],[Document ID]],Table1[],7,FALSE)</f>
        <v>First NDC</v>
      </c>
      <c r="F878" s="233" t="str">
        <f>VLOOKUP(Table3[[#This Row],[Document ID]],Table1[],8,FALSE)</f>
        <v>NDC 1.0</v>
      </c>
      <c r="G878" s="233" t="str">
        <f>VLOOKUP(Table3[[#This Row],[Document ID]],Table1[],10,FALSE)</f>
        <v>Archived</v>
      </c>
      <c r="H878" s="216" t="s">
        <v>1089</v>
      </c>
      <c r="I878" s="216" t="s">
        <v>1089</v>
      </c>
      <c r="J878" s="43" t="s">
        <v>1090</v>
      </c>
      <c r="K878" s="28" t="s">
        <v>1091</v>
      </c>
      <c r="L878" s="216" t="s">
        <v>1092</v>
      </c>
      <c r="M878" s="209">
        <v>2030</v>
      </c>
      <c r="N878" s="176" t="s">
        <v>1991</v>
      </c>
      <c r="O878" s="258" t="s">
        <v>1094</v>
      </c>
      <c r="P878" s="238" t="str">
        <f>VLOOKUP(_xlfn.CONCAT(Table3[[#This Row],[Target area]],Table3[[#This Row],[GHG target?]],Table3[[#This Row],[Conditionality]]),'Drop down'!$E$81:$F$101,2,FALSE)</f>
        <v>T_Economy_C</v>
      </c>
      <c r="Q878" s="239" t="str">
        <f>VLOOKUP(Table3[[#This Row],[Target type]],Table418[[Value name]:[Value idenifyer]],2,FALSE)</f>
        <v>T_BAU</v>
      </c>
      <c r="T878" s="234" t="s">
        <v>1113</v>
      </c>
      <c r="U878" s="240"/>
      <c r="V878" s="233" t="str">
        <f>VLOOKUP(Table3[[#This Row],[Country Code]],Table29[],3,FALSE)</f>
        <v>Non-Annex I</v>
      </c>
      <c r="W878" s="233" t="str">
        <f>VLOOKUP(Table3[[#This Row],[Country Code]],Table29[],4,FALSE)</f>
        <v>Asia</v>
      </c>
      <c r="X878" s="233" t="str">
        <f>VLOOKUP(Table3[[#This Row],[Country Code]],Table29[],5,FALSE)</f>
        <v>Middle-income</v>
      </c>
      <c r="Y878" s="233" t="str">
        <f>VLOOKUP(Table3[[#This Row],[Country Code]],Table29[],6,FALSE)</f>
        <v>no</v>
      </c>
      <c r="Z878" s="233" t="str">
        <f>VLOOKUP(Table3[[#This Row],[Country Code]],Table29[],7,FALSE)</f>
        <v>no</v>
      </c>
      <c r="AA878" s="233" t="str">
        <f>VLOOKUP(Table3[[#This Row],[Country Code]],Table29[],8,FALSE)</f>
        <v>non-OECD</v>
      </c>
      <c r="AB878" s="233" t="str">
        <f>VLOOKUP(Table3[[#This Row],[Country Code]],Table29[],9,FALSE)</f>
        <v>no</v>
      </c>
      <c r="AC878" s="233" t="str">
        <f>VLOOKUP(Table3[[#This Row],[Country Code]],Table29[],10,FALSE)</f>
        <v>no</v>
      </c>
      <c r="AD878" s="235">
        <f>VLOOKUP(Table3[[#This Row],[Country Code]],Table29[],23,FALSE)</f>
        <v>524.13346380418</v>
      </c>
      <c r="AE878" s="235">
        <f>VLOOKUP(Table3[[#This Row],[Country Code]],Table29[],24,FALSE)</f>
        <v>39.884378531634049</v>
      </c>
      <c r="AF878" s="43"/>
    </row>
    <row r="879" spans="1:32" x14ac:dyDescent="0.25">
      <c r="A879" s="360">
        <v>32525</v>
      </c>
      <c r="B879" s="233" t="str">
        <f>VLOOKUP(Table3[[#This Row],[Document ID]],Table1[],2,FALSE)</f>
        <v>VNM</v>
      </c>
      <c r="C879" s="233" t="str">
        <f>VLOOKUP(Table3[[#This Row],[Document ID]],Table1[],3,FALSE)</f>
        <v>Viet Nam</v>
      </c>
      <c r="D879" s="233" t="str">
        <f>VLOOKUP(Table3[[#This Row],[Document ID]],Table1[],5,FALSE)</f>
        <v>NDC</v>
      </c>
      <c r="E879" s="233" t="str">
        <f>VLOOKUP(Table3[[#This Row],[Document ID]],Table1[],7,FALSE)</f>
        <v>First NDC updated</v>
      </c>
      <c r="F879" s="233" t="str">
        <f>VLOOKUP(Table3[[#This Row],[Document ID]],Table1[],8,FALSE)</f>
        <v>NDC 1.2</v>
      </c>
      <c r="G879" s="233" t="str">
        <f>VLOOKUP(Table3[[#This Row],[Document ID]],Table1[],10,FALSE)</f>
        <v>Active</v>
      </c>
      <c r="H879" s="216" t="s">
        <v>1089</v>
      </c>
      <c r="I879" s="216" t="s">
        <v>1089</v>
      </c>
      <c r="J879" s="43" t="s">
        <v>1090</v>
      </c>
      <c r="K879" s="28" t="s">
        <v>1091</v>
      </c>
      <c r="L879" s="42" t="s">
        <v>1099</v>
      </c>
      <c r="M879" s="209">
        <v>2030</v>
      </c>
      <c r="N879" t="s">
        <v>1992</v>
      </c>
      <c r="O879" s="258">
        <v>9</v>
      </c>
      <c r="P879" s="238" t="str">
        <f>VLOOKUP(_xlfn.CONCAT(Table3[[#This Row],[Target area]],Table3[[#This Row],[GHG target?]],Table3[[#This Row],[Conditionality]]),'Drop down'!$E$81:$F$101,2,FALSE)</f>
        <v>T_Economy_Unc</v>
      </c>
      <c r="Q879" s="239" t="str">
        <f>VLOOKUP(Table3[[#This Row],[Target type]],Table418[[Value name]:[Value idenifyer]],2,FALSE)</f>
        <v>T_BAU</v>
      </c>
      <c r="T879" s="234" t="s">
        <v>1113</v>
      </c>
      <c r="U879" s="240"/>
      <c r="V879" s="233" t="str">
        <f>VLOOKUP(Table3[[#This Row],[Country Code]],Table29[],3,FALSE)</f>
        <v>Non-Annex I</v>
      </c>
      <c r="W879" s="233" t="str">
        <f>VLOOKUP(Table3[[#This Row],[Country Code]],Table29[],4,FALSE)</f>
        <v>Asia</v>
      </c>
      <c r="X879" s="233" t="str">
        <f>VLOOKUP(Table3[[#This Row],[Country Code]],Table29[],5,FALSE)</f>
        <v>Middle-income</v>
      </c>
      <c r="Y879" s="233" t="str">
        <f>VLOOKUP(Table3[[#This Row],[Country Code]],Table29[],6,FALSE)</f>
        <v>no</v>
      </c>
      <c r="Z879" s="233" t="str">
        <f>VLOOKUP(Table3[[#This Row],[Country Code]],Table29[],7,FALSE)</f>
        <v>no</v>
      </c>
      <c r="AA879" s="233" t="str">
        <f>VLOOKUP(Table3[[#This Row],[Country Code]],Table29[],8,FALSE)</f>
        <v>non-OECD</v>
      </c>
      <c r="AB879" s="233" t="str">
        <f>VLOOKUP(Table3[[#This Row],[Country Code]],Table29[],9,FALSE)</f>
        <v>no</v>
      </c>
      <c r="AC879" s="233" t="str">
        <f>VLOOKUP(Table3[[#This Row],[Country Code]],Table29[],10,FALSE)</f>
        <v>no</v>
      </c>
      <c r="AD879" s="235">
        <f>VLOOKUP(Table3[[#This Row],[Country Code]],Table29[],23,FALSE)</f>
        <v>524.13346380418</v>
      </c>
      <c r="AE879" s="235">
        <f>VLOOKUP(Table3[[#This Row],[Country Code]],Table29[],24,FALSE)</f>
        <v>39.884378531634049</v>
      </c>
      <c r="AF879" s="43"/>
    </row>
    <row r="880" spans="1:32" x14ac:dyDescent="0.25">
      <c r="A880" s="360">
        <v>32525</v>
      </c>
      <c r="B880" s="233" t="str">
        <f>VLOOKUP(Table3[[#This Row],[Document ID]],Table1[],2,FALSE)</f>
        <v>VNM</v>
      </c>
      <c r="C880" s="233" t="str">
        <f>VLOOKUP(Table3[[#This Row],[Document ID]],Table1[],3,FALSE)</f>
        <v>Viet Nam</v>
      </c>
      <c r="D880" s="233" t="str">
        <f>VLOOKUP(Table3[[#This Row],[Document ID]],Table1[],5,FALSE)</f>
        <v>NDC</v>
      </c>
      <c r="E880" s="233" t="str">
        <f>VLOOKUP(Table3[[#This Row],[Document ID]],Table1[],7,FALSE)</f>
        <v>First NDC updated</v>
      </c>
      <c r="F880" s="233" t="str">
        <f>VLOOKUP(Table3[[#This Row],[Document ID]],Table1[],8,FALSE)</f>
        <v>NDC 1.2</v>
      </c>
      <c r="G880" s="233" t="str">
        <f>VLOOKUP(Table3[[#This Row],[Document ID]],Table1[],10,FALSE)</f>
        <v>Active</v>
      </c>
      <c r="H880" s="216" t="s">
        <v>1089</v>
      </c>
      <c r="I880" s="216" t="s">
        <v>1089</v>
      </c>
      <c r="J880" s="43" t="s">
        <v>1090</v>
      </c>
      <c r="K880" s="28" t="s">
        <v>1091</v>
      </c>
      <c r="L880" s="216" t="s">
        <v>1092</v>
      </c>
      <c r="M880" s="209">
        <v>2030</v>
      </c>
      <c r="N880" t="s">
        <v>1993</v>
      </c>
      <c r="O880" s="258">
        <v>9</v>
      </c>
      <c r="P880" s="238" t="str">
        <f>VLOOKUP(_xlfn.CONCAT(Table3[[#This Row],[Target area]],Table3[[#This Row],[GHG target?]],Table3[[#This Row],[Conditionality]]),'Drop down'!$E$81:$F$101,2,FALSE)</f>
        <v>T_Economy_C</v>
      </c>
      <c r="Q880" s="239" t="str">
        <f>VLOOKUP(Table3[[#This Row],[Target type]],Table418[[Value name]:[Value idenifyer]],2,FALSE)</f>
        <v>T_BAU</v>
      </c>
      <c r="T880" s="234" t="s">
        <v>1113</v>
      </c>
      <c r="U880" s="240"/>
      <c r="V880" s="233" t="str">
        <f>VLOOKUP(Table3[[#This Row],[Country Code]],Table29[],3,FALSE)</f>
        <v>Non-Annex I</v>
      </c>
      <c r="W880" s="233" t="str">
        <f>VLOOKUP(Table3[[#This Row],[Country Code]],Table29[],4,FALSE)</f>
        <v>Asia</v>
      </c>
      <c r="X880" s="233" t="str">
        <f>VLOOKUP(Table3[[#This Row],[Country Code]],Table29[],5,FALSE)</f>
        <v>Middle-income</v>
      </c>
      <c r="Y880" s="233" t="str">
        <f>VLOOKUP(Table3[[#This Row],[Country Code]],Table29[],6,FALSE)</f>
        <v>no</v>
      </c>
      <c r="Z880" s="233" t="str">
        <f>VLOOKUP(Table3[[#This Row],[Country Code]],Table29[],7,FALSE)</f>
        <v>no</v>
      </c>
      <c r="AA880" s="233" t="str">
        <f>VLOOKUP(Table3[[#This Row],[Country Code]],Table29[],8,FALSE)</f>
        <v>non-OECD</v>
      </c>
      <c r="AB880" s="233" t="str">
        <f>VLOOKUP(Table3[[#This Row],[Country Code]],Table29[],9,FALSE)</f>
        <v>no</v>
      </c>
      <c r="AC880" s="233" t="str">
        <f>VLOOKUP(Table3[[#This Row],[Country Code]],Table29[],10,FALSE)</f>
        <v>no</v>
      </c>
      <c r="AD880" s="235">
        <f>VLOOKUP(Table3[[#This Row],[Country Code]],Table29[],23,FALSE)</f>
        <v>524.13346380418</v>
      </c>
      <c r="AE880" s="235">
        <f>VLOOKUP(Table3[[#This Row],[Country Code]],Table29[],24,FALSE)</f>
        <v>39.884378531634049</v>
      </c>
      <c r="AF880" s="43"/>
    </row>
    <row r="881" spans="1:32" ht="45" x14ac:dyDescent="0.25">
      <c r="A881" s="360">
        <v>32525</v>
      </c>
      <c r="B881" s="233" t="str">
        <f>VLOOKUP(Table3[[#This Row],[Document ID]],Table1[],2,FALSE)</f>
        <v>VNM</v>
      </c>
      <c r="C881" s="233" t="str">
        <f>VLOOKUP(Table3[[#This Row],[Document ID]],Table1[],3,FALSE)</f>
        <v>Viet Nam</v>
      </c>
      <c r="D881" s="233" t="str">
        <f>VLOOKUP(Table3[[#This Row],[Document ID]],Table1[],5,FALSE)</f>
        <v>NDC</v>
      </c>
      <c r="E881" s="233" t="str">
        <f>VLOOKUP(Table3[[#This Row],[Document ID]],Table1[],7,FALSE)</f>
        <v>First NDC updated</v>
      </c>
      <c r="F881" s="233" t="str">
        <f>VLOOKUP(Table3[[#This Row],[Document ID]],Table1[],8,FALSE)</f>
        <v>NDC 1.2</v>
      </c>
      <c r="G881" s="233" t="str">
        <f>VLOOKUP(Table3[[#This Row],[Document ID]],Table1[],10,FALSE)</f>
        <v>Active</v>
      </c>
      <c r="H881" s="43" t="s">
        <v>1114</v>
      </c>
      <c r="I881" s="43" t="s">
        <v>1115</v>
      </c>
      <c r="J881" s="42" t="s">
        <v>1090</v>
      </c>
      <c r="K881" s="28" t="s">
        <v>1091</v>
      </c>
      <c r="L881" s="43" t="s">
        <v>1116</v>
      </c>
      <c r="M881" s="209">
        <v>2030</v>
      </c>
      <c r="N881" s="44" t="s">
        <v>1994</v>
      </c>
      <c r="O881" s="258">
        <v>10</v>
      </c>
      <c r="P881" s="238" t="str">
        <f>VLOOKUP(_xlfn.CONCAT(Table3[[#This Row],[Target area]],Table3[[#This Row],[GHG target?]],Table3[[#This Row],[Conditionality]]),'Drop down'!$E$81:$F$101,2,FALSE)</f>
        <v>T_Energy</v>
      </c>
      <c r="Q881" s="239" t="str">
        <f>VLOOKUP(Table3[[#This Row],[Target type]],Table418[[Value name]:[Value idenifyer]],2,FALSE)</f>
        <v>T_BAU</v>
      </c>
      <c r="T881" s="234" t="s">
        <v>1113</v>
      </c>
      <c r="U881" s="240"/>
      <c r="V881" s="233" t="str">
        <f>VLOOKUP(Table3[[#This Row],[Country Code]],Table29[],3,FALSE)</f>
        <v>Non-Annex I</v>
      </c>
      <c r="W881" s="233" t="str">
        <f>VLOOKUP(Table3[[#This Row],[Country Code]],Table29[],4,FALSE)</f>
        <v>Asia</v>
      </c>
      <c r="X881" s="233" t="str">
        <f>VLOOKUP(Table3[[#This Row],[Country Code]],Table29[],5,FALSE)</f>
        <v>Middle-income</v>
      </c>
      <c r="Y881" s="233" t="str">
        <f>VLOOKUP(Table3[[#This Row],[Country Code]],Table29[],6,FALSE)</f>
        <v>no</v>
      </c>
      <c r="Z881" s="233" t="str">
        <f>VLOOKUP(Table3[[#This Row],[Country Code]],Table29[],7,FALSE)</f>
        <v>no</v>
      </c>
      <c r="AA881" s="233" t="str">
        <f>VLOOKUP(Table3[[#This Row],[Country Code]],Table29[],8,FALSE)</f>
        <v>non-OECD</v>
      </c>
      <c r="AB881" s="233" t="str">
        <f>VLOOKUP(Table3[[#This Row],[Country Code]],Table29[],9,FALSE)</f>
        <v>no</v>
      </c>
      <c r="AC881" s="233" t="str">
        <f>VLOOKUP(Table3[[#This Row],[Country Code]],Table29[],10,FALSE)</f>
        <v>no</v>
      </c>
      <c r="AD881" s="235">
        <f>VLOOKUP(Table3[[#This Row],[Country Code]],Table29[],23,FALSE)</f>
        <v>524.13346380418</v>
      </c>
      <c r="AE881" s="235">
        <f>VLOOKUP(Table3[[#This Row],[Country Code]],Table29[],24,FALSE)</f>
        <v>39.884378531634049</v>
      </c>
      <c r="AF881" s="43"/>
    </row>
    <row r="882" spans="1:32" x14ac:dyDescent="0.25">
      <c r="A882" s="360">
        <v>17787</v>
      </c>
      <c r="B882" s="233" t="str">
        <f>VLOOKUP(Table3[[#This Row],[Document ID]],Table1[],2,FALSE)</f>
        <v>YEM</v>
      </c>
      <c r="C882" s="233" t="str">
        <f>VLOOKUP(Table3[[#This Row],[Document ID]],Table1[],3,FALSE)</f>
        <v>Yemen</v>
      </c>
      <c r="D882" s="233" t="str">
        <f>VLOOKUP(Table3[[#This Row],[Document ID]],Table1[],5,FALSE)</f>
        <v>NDC</v>
      </c>
      <c r="E882" s="233" t="str">
        <f>VLOOKUP(Table3[[#This Row],[Document ID]],Table1[],7,FALSE)</f>
        <v>First NDC</v>
      </c>
      <c r="F882" s="233" t="str">
        <f>VLOOKUP(Table3[[#This Row],[Document ID]],Table1[],8,FALSE)</f>
        <v>NDC 1.0</v>
      </c>
      <c r="G882" s="233" t="str">
        <f>VLOOKUP(Table3[[#This Row],[Document ID]],Table1[],10,FALSE)</f>
        <v>Active</v>
      </c>
      <c r="H882" s="216" t="s">
        <v>1089</v>
      </c>
      <c r="I882" s="216" t="s">
        <v>1089</v>
      </c>
      <c r="J882" s="43" t="s">
        <v>1090</v>
      </c>
      <c r="K882" s="28" t="s">
        <v>1091</v>
      </c>
      <c r="L882" s="42" t="s">
        <v>1099</v>
      </c>
      <c r="M882" s="209">
        <v>2030</v>
      </c>
      <c r="N882" s="176" t="s">
        <v>1995</v>
      </c>
      <c r="O882" s="258" t="s">
        <v>1094</v>
      </c>
      <c r="P882" s="238" t="str">
        <f>VLOOKUP(_xlfn.CONCAT(Table3[[#This Row],[Target area]],Table3[[#This Row],[GHG target?]],Table3[[#This Row],[Conditionality]]),'Drop down'!$E$81:$F$101,2,FALSE)</f>
        <v>T_Economy_Unc</v>
      </c>
      <c r="Q882" s="239" t="str">
        <f>VLOOKUP(Table3[[#This Row],[Target type]],Table418[[Value name]:[Value idenifyer]],2,FALSE)</f>
        <v>T_BAU</v>
      </c>
      <c r="V882" s="233" t="str">
        <f>VLOOKUP(Table3[[#This Row],[Country Code]],Table29[],3,FALSE)</f>
        <v>Non-Annex I</v>
      </c>
      <c r="W882" s="233" t="str">
        <f>VLOOKUP(Table3[[#This Row],[Country Code]],Table29[],4,FALSE)</f>
        <v>Asia</v>
      </c>
      <c r="X882" s="233" t="str">
        <f>VLOOKUP(Table3[[#This Row],[Country Code]],Table29[],5,FALSE)</f>
        <v>Low-income</v>
      </c>
      <c r="Y882" s="233" t="str">
        <f>VLOOKUP(Table3[[#This Row],[Country Code]],Table29[],6,FALSE)</f>
        <v>no</v>
      </c>
      <c r="Z882" s="233" t="str">
        <f>VLOOKUP(Table3[[#This Row],[Country Code]],Table29[],7,FALSE)</f>
        <v>no</v>
      </c>
      <c r="AA882" s="233" t="str">
        <f>VLOOKUP(Table3[[#This Row],[Country Code]],Table29[],8,FALSE)</f>
        <v>non-OECD</v>
      </c>
      <c r="AB882" s="233" t="str">
        <f>VLOOKUP(Table3[[#This Row],[Country Code]],Table29[],9,FALSE)</f>
        <v>no</v>
      </c>
      <c r="AC882" s="233" t="str">
        <f>VLOOKUP(Table3[[#This Row],[Country Code]],Table29[],10,FALSE)</f>
        <v>MENA</v>
      </c>
      <c r="AD882" s="235">
        <f>VLOOKUP(Table3[[#This Row],[Country Code]],Table29[],23,FALSE)</f>
        <v>32.242871779425002</v>
      </c>
      <c r="AE882" s="235">
        <f>VLOOKUP(Table3[[#This Row],[Country Code]],Table29[],24,FALSE)</f>
        <v>2.672974321150595</v>
      </c>
      <c r="AF882" s="43"/>
    </row>
    <row r="883" spans="1:32" x14ac:dyDescent="0.25">
      <c r="A883" s="360">
        <v>17787</v>
      </c>
      <c r="B883" s="233" t="str">
        <f>VLOOKUP(Table3[[#This Row],[Document ID]],Table1[],2,FALSE)</f>
        <v>YEM</v>
      </c>
      <c r="C883" s="233" t="str">
        <f>VLOOKUP(Table3[[#This Row],[Document ID]],Table1[],3,FALSE)</f>
        <v>Yemen</v>
      </c>
      <c r="D883" s="233" t="str">
        <f>VLOOKUP(Table3[[#This Row],[Document ID]],Table1[],5,FALSE)</f>
        <v>NDC</v>
      </c>
      <c r="E883" s="233" t="str">
        <f>VLOOKUP(Table3[[#This Row],[Document ID]],Table1[],7,FALSE)</f>
        <v>First NDC</v>
      </c>
      <c r="F883" s="233" t="str">
        <f>VLOOKUP(Table3[[#This Row],[Document ID]],Table1[],8,FALSE)</f>
        <v>NDC 1.0</v>
      </c>
      <c r="G883" s="233" t="str">
        <f>VLOOKUP(Table3[[#This Row],[Document ID]],Table1[],10,FALSE)</f>
        <v>Active</v>
      </c>
      <c r="H883" s="216" t="s">
        <v>1089</v>
      </c>
      <c r="I883" s="216" t="s">
        <v>1089</v>
      </c>
      <c r="J883" s="43" t="s">
        <v>1090</v>
      </c>
      <c r="K883" s="28" t="s">
        <v>1091</v>
      </c>
      <c r="L883" s="216" t="s">
        <v>1092</v>
      </c>
      <c r="M883" s="209">
        <v>2030</v>
      </c>
      <c r="N883" s="176" t="s">
        <v>1996</v>
      </c>
      <c r="O883" s="258" t="s">
        <v>1094</v>
      </c>
      <c r="P883" s="238" t="str">
        <f>VLOOKUP(_xlfn.CONCAT(Table3[[#This Row],[Target area]],Table3[[#This Row],[GHG target?]],Table3[[#This Row],[Conditionality]]),'Drop down'!$E$81:$F$101,2,FALSE)</f>
        <v>T_Economy_C</v>
      </c>
      <c r="Q883" s="239" t="str">
        <f>VLOOKUP(Table3[[#This Row],[Target type]],Table418[[Value name]:[Value idenifyer]],2,FALSE)</f>
        <v>T_BAU</v>
      </c>
      <c r="V883" s="233" t="str">
        <f>VLOOKUP(Table3[[#This Row],[Country Code]],Table29[],3,FALSE)</f>
        <v>Non-Annex I</v>
      </c>
      <c r="W883" s="233" t="str">
        <f>VLOOKUP(Table3[[#This Row],[Country Code]],Table29[],4,FALSE)</f>
        <v>Asia</v>
      </c>
      <c r="X883" s="233" t="str">
        <f>VLOOKUP(Table3[[#This Row],[Country Code]],Table29[],5,FALSE)</f>
        <v>Low-income</v>
      </c>
      <c r="Y883" s="233" t="str">
        <f>VLOOKUP(Table3[[#This Row],[Country Code]],Table29[],6,FALSE)</f>
        <v>no</v>
      </c>
      <c r="Z883" s="233" t="str">
        <f>VLOOKUP(Table3[[#This Row],[Country Code]],Table29[],7,FALSE)</f>
        <v>no</v>
      </c>
      <c r="AA883" s="233" t="str">
        <f>VLOOKUP(Table3[[#This Row],[Country Code]],Table29[],8,FALSE)</f>
        <v>non-OECD</v>
      </c>
      <c r="AB883" s="233" t="str">
        <f>VLOOKUP(Table3[[#This Row],[Country Code]],Table29[],9,FALSE)</f>
        <v>no</v>
      </c>
      <c r="AC883" s="233" t="str">
        <f>VLOOKUP(Table3[[#This Row],[Country Code]],Table29[],10,FALSE)</f>
        <v>MENA</v>
      </c>
      <c r="AD883" s="235">
        <f>VLOOKUP(Table3[[#This Row],[Country Code]],Table29[],23,FALSE)</f>
        <v>32.242871779425002</v>
      </c>
      <c r="AE883" s="235">
        <f>VLOOKUP(Table3[[#This Row],[Country Code]],Table29[],24,FALSE)</f>
        <v>2.672974321150595</v>
      </c>
      <c r="AF883" s="43"/>
    </row>
    <row r="884" spans="1:32" ht="30" x14ac:dyDescent="0.25">
      <c r="A884" s="360">
        <v>17789</v>
      </c>
      <c r="B884" s="233" t="str">
        <f>VLOOKUP(Table3[[#This Row],[Document ID]],Table1[],2,FALSE)</f>
        <v>ZMB</v>
      </c>
      <c r="C884" s="233" t="str">
        <f>VLOOKUP(Table3[[#This Row],[Document ID]],Table1[],3,FALSE)</f>
        <v>Zambia</v>
      </c>
      <c r="D884" s="233" t="str">
        <f>VLOOKUP(Table3[[#This Row],[Document ID]],Table1[],5,FALSE)</f>
        <v>NDC</v>
      </c>
      <c r="E884" s="233" t="str">
        <f>VLOOKUP(Table3[[#This Row],[Document ID]],Table1[],7,FALSE)</f>
        <v>First NDC updated</v>
      </c>
      <c r="F884" s="233" t="str">
        <f>VLOOKUP(Table3[[#This Row],[Document ID]],Table1[],8,FALSE)</f>
        <v>NDC 1.1</v>
      </c>
      <c r="G884" s="233" t="str">
        <f>VLOOKUP(Table3[[#This Row],[Document ID]],Table1[],10,FALSE)</f>
        <v>Archived</v>
      </c>
      <c r="H884" s="216" t="s">
        <v>1089</v>
      </c>
      <c r="I884" s="216" t="s">
        <v>1089</v>
      </c>
      <c r="J884" s="43" t="s">
        <v>1090</v>
      </c>
      <c r="K884" s="28" t="s">
        <v>1091</v>
      </c>
      <c r="L884" s="42" t="s">
        <v>1099</v>
      </c>
      <c r="M884" s="209">
        <v>2030</v>
      </c>
      <c r="N884" s="44" t="s">
        <v>1997</v>
      </c>
      <c r="O884" s="221">
        <v>4</v>
      </c>
      <c r="P884" s="238" t="str">
        <f>VLOOKUP(_xlfn.CONCAT(Table3[[#This Row],[Target area]],Table3[[#This Row],[GHG target?]],Table3[[#This Row],[Conditionality]]),'Drop down'!$E$81:$F$101,2,FALSE)</f>
        <v>T_Economy_Unc</v>
      </c>
      <c r="Q884" s="239" t="str">
        <f>VLOOKUP(Table3[[#This Row],[Target type]],Table418[[Value name]:[Value idenifyer]],2,FALSE)</f>
        <v>T_BAU</v>
      </c>
      <c r="V884" s="233" t="str">
        <f>VLOOKUP(Table3[[#This Row],[Country Code]],Table29[],3,FALSE)</f>
        <v>Non-Annex I</v>
      </c>
      <c r="W884" s="233" t="str">
        <f>VLOOKUP(Table3[[#This Row],[Country Code]],Table29[],4,FALSE)</f>
        <v>Africa</v>
      </c>
      <c r="X884" s="233" t="str">
        <f>VLOOKUP(Table3[[#This Row],[Country Code]],Table29[],5,FALSE)</f>
        <v>Middle-income</v>
      </c>
      <c r="Y884" s="233" t="str">
        <f>VLOOKUP(Table3[[#This Row],[Country Code]],Table29[],6,FALSE)</f>
        <v>no</v>
      </c>
      <c r="Z884" s="233" t="str">
        <f>VLOOKUP(Table3[[#This Row],[Country Code]],Table29[],7,FALSE)</f>
        <v>no</v>
      </c>
      <c r="AA884" s="233" t="str">
        <f>VLOOKUP(Table3[[#This Row],[Country Code]],Table29[],8,FALSE)</f>
        <v>non-OECD</v>
      </c>
      <c r="AB884" s="233" t="str">
        <f>VLOOKUP(Table3[[#This Row],[Country Code]],Table29[],9,FALSE)</f>
        <v>no</v>
      </c>
      <c r="AC884" s="233" t="str">
        <f>VLOOKUP(Table3[[#This Row],[Country Code]],Table29[],10,FALSE)</f>
        <v>no</v>
      </c>
      <c r="AD884" s="235">
        <f>VLOOKUP(Table3[[#This Row],[Country Code]],Table29[],23,FALSE)</f>
        <v>30.484449374284001</v>
      </c>
      <c r="AE884" s="235">
        <f>VLOOKUP(Table3[[#This Row],[Country Code]],Table29[],24,FALSE)</f>
        <v>2.3997242322457328</v>
      </c>
      <c r="AF884" s="43"/>
    </row>
    <row r="885" spans="1:32" x14ac:dyDescent="0.25">
      <c r="A885" s="360">
        <v>17789</v>
      </c>
      <c r="B885" s="233" t="str">
        <f>VLOOKUP(Table3[[#This Row],[Document ID]],Table1[],2,FALSE)</f>
        <v>ZMB</v>
      </c>
      <c r="C885" s="233" t="str">
        <f>VLOOKUP(Table3[[#This Row],[Document ID]],Table1[],3,FALSE)</f>
        <v>Zambia</v>
      </c>
      <c r="D885" s="233" t="str">
        <f>VLOOKUP(Table3[[#This Row],[Document ID]],Table1[],5,FALSE)</f>
        <v>NDC</v>
      </c>
      <c r="E885" s="233" t="str">
        <f>VLOOKUP(Table3[[#This Row],[Document ID]],Table1[],7,FALSE)</f>
        <v>First NDC updated</v>
      </c>
      <c r="F885" s="233" t="str">
        <f>VLOOKUP(Table3[[#This Row],[Document ID]],Table1[],8,FALSE)</f>
        <v>NDC 1.1</v>
      </c>
      <c r="G885" s="233" t="str">
        <f>VLOOKUP(Table3[[#This Row],[Document ID]],Table1[],10,FALSE)</f>
        <v>Archived</v>
      </c>
      <c r="H885" s="216" t="s">
        <v>1089</v>
      </c>
      <c r="I885" s="216" t="s">
        <v>1089</v>
      </c>
      <c r="J885" s="43" t="s">
        <v>1090</v>
      </c>
      <c r="K885" s="28" t="s">
        <v>1091</v>
      </c>
      <c r="L885" s="216" t="s">
        <v>1092</v>
      </c>
      <c r="M885" s="209">
        <v>2030</v>
      </c>
      <c r="N885" s="44" t="s">
        <v>1998</v>
      </c>
      <c r="O885" s="221">
        <v>4</v>
      </c>
      <c r="P885" s="238" t="str">
        <f>VLOOKUP(_xlfn.CONCAT(Table3[[#This Row],[Target area]],Table3[[#This Row],[GHG target?]],Table3[[#This Row],[Conditionality]]),'Drop down'!$E$81:$F$101,2,FALSE)</f>
        <v>T_Economy_C</v>
      </c>
      <c r="Q885" s="239" t="str">
        <f>VLOOKUP(Table3[[#This Row],[Target type]],Table418[[Value name]:[Value idenifyer]],2,FALSE)</f>
        <v>T_BAU</v>
      </c>
      <c r="V885" s="233" t="str">
        <f>VLOOKUP(Table3[[#This Row],[Country Code]],Table29[],3,FALSE)</f>
        <v>Non-Annex I</v>
      </c>
      <c r="W885" s="233" t="str">
        <f>VLOOKUP(Table3[[#This Row],[Country Code]],Table29[],4,FALSE)</f>
        <v>Africa</v>
      </c>
      <c r="X885" s="233" t="str">
        <f>VLOOKUP(Table3[[#This Row],[Country Code]],Table29[],5,FALSE)</f>
        <v>Middle-income</v>
      </c>
      <c r="Y885" s="233" t="str">
        <f>VLOOKUP(Table3[[#This Row],[Country Code]],Table29[],6,FALSE)</f>
        <v>no</v>
      </c>
      <c r="Z885" s="233" t="str">
        <f>VLOOKUP(Table3[[#This Row],[Country Code]],Table29[],7,FALSE)</f>
        <v>no</v>
      </c>
      <c r="AA885" s="233" t="str">
        <f>VLOOKUP(Table3[[#This Row],[Country Code]],Table29[],8,FALSE)</f>
        <v>non-OECD</v>
      </c>
      <c r="AB885" s="233" t="str">
        <f>VLOOKUP(Table3[[#This Row],[Country Code]],Table29[],9,FALSE)</f>
        <v>no</v>
      </c>
      <c r="AC885" s="233" t="str">
        <f>VLOOKUP(Table3[[#This Row],[Country Code]],Table29[],10,FALSE)</f>
        <v>no</v>
      </c>
      <c r="AD885" s="235">
        <f>VLOOKUP(Table3[[#This Row],[Country Code]],Table29[],23,FALSE)</f>
        <v>30.484449374284001</v>
      </c>
      <c r="AE885" s="235">
        <f>VLOOKUP(Table3[[#This Row],[Country Code]],Table29[],24,FALSE)</f>
        <v>2.3997242322457328</v>
      </c>
      <c r="AF885" s="43"/>
    </row>
    <row r="886" spans="1:32" x14ac:dyDescent="0.25">
      <c r="A886" s="360">
        <v>17788</v>
      </c>
      <c r="B886" s="233" t="str">
        <f>VLOOKUP(Table3[[#This Row],[Document ID]],Table1[],2,FALSE)</f>
        <v>ZMB</v>
      </c>
      <c r="C886" s="233" t="str">
        <f>VLOOKUP(Table3[[#This Row],[Document ID]],Table1[],3,FALSE)</f>
        <v>Zambia</v>
      </c>
      <c r="D886" s="233" t="str">
        <f>VLOOKUP(Table3[[#This Row],[Document ID]],Table1[],5,FALSE)</f>
        <v>NDC</v>
      </c>
      <c r="E886" s="233" t="str">
        <f>VLOOKUP(Table3[[#This Row],[Document ID]],Table1[],7,FALSE)</f>
        <v>First NDC</v>
      </c>
      <c r="F886" s="233" t="str">
        <f>VLOOKUP(Table3[[#This Row],[Document ID]],Table1[],8,FALSE)</f>
        <v>NDC 1.0</v>
      </c>
      <c r="G886" s="233" t="str">
        <f>VLOOKUP(Table3[[#This Row],[Document ID]],Table1[],10,FALSE)</f>
        <v>Archived</v>
      </c>
      <c r="H886" s="216" t="s">
        <v>1089</v>
      </c>
      <c r="I886" s="216" t="s">
        <v>1089</v>
      </c>
      <c r="J886" s="43" t="s">
        <v>1090</v>
      </c>
      <c r="K886" s="28" t="s">
        <v>1091</v>
      </c>
      <c r="L886" s="42" t="s">
        <v>1099</v>
      </c>
      <c r="M886" s="209">
        <v>2030</v>
      </c>
      <c r="N886" s="176" t="s">
        <v>1991</v>
      </c>
      <c r="O886" s="258" t="s">
        <v>1094</v>
      </c>
      <c r="P886" s="238" t="str">
        <f>VLOOKUP(_xlfn.CONCAT(Table3[[#This Row],[Target area]],Table3[[#This Row],[GHG target?]],Table3[[#This Row],[Conditionality]]),'Drop down'!$E$81:$F$101,2,FALSE)</f>
        <v>T_Economy_Unc</v>
      </c>
      <c r="Q886" s="239" t="str">
        <f>VLOOKUP(Table3[[#This Row],[Target type]],Table418[[Value name]:[Value idenifyer]],2,FALSE)</f>
        <v>T_BAU</v>
      </c>
      <c r="V886" s="233" t="str">
        <f>VLOOKUP(Table3[[#This Row],[Country Code]],Table29[],3,FALSE)</f>
        <v>Non-Annex I</v>
      </c>
      <c r="W886" s="233" t="str">
        <f>VLOOKUP(Table3[[#This Row],[Country Code]],Table29[],4,FALSE)</f>
        <v>Africa</v>
      </c>
      <c r="X886" s="233" t="str">
        <f>VLOOKUP(Table3[[#This Row],[Country Code]],Table29[],5,FALSE)</f>
        <v>Middle-income</v>
      </c>
      <c r="Y886" s="233" t="str">
        <f>VLOOKUP(Table3[[#This Row],[Country Code]],Table29[],6,FALSE)</f>
        <v>no</v>
      </c>
      <c r="Z886" s="233" t="str">
        <f>VLOOKUP(Table3[[#This Row],[Country Code]],Table29[],7,FALSE)</f>
        <v>no</v>
      </c>
      <c r="AA886" s="233" t="str">
        <f>VLOOKUP(Table3[[#This Row],[Country Code]],Table29[],8,FALSE)</f>
        <v>non-OECD</v>
      </c>
      <c r="AB886" s="233" t="str">
        <f>VLOOKUP(Table3[[#This Row],[Country Code]],Table29[],9,FALSE)</f>
        <v>no</v>
      </c>
      <c r="AC886" s="233" t="str">
        <f>VLOOKUP(Table3[[#This Row],[Country Code]],Table29[],10,FALSE)</f>
        <v>no</v>
      </c>
      <c r="AD886" s="235">
        <f>VLOOKUP(Table3[[#This Row],[Country Code]],Table29[],23,FALSE)</f>
        <v>30.484449374284001</v>
      </c>
      <c r="AE886" s="235">
        <f>VLOOKUP(Table3[[#This Row],[Country Code]],Table29[],24,FALSE)</f>
        <v>2.3997242322457328</v>
      </c>
      <c r="AF886" s="43"/>
    </row>
    <row r="887" spans="1:32" x14ac:dyDescent="0.25">
      <c r="A887" s="360">
        <v>17788</v>
      </c>
      <c r="B887" s="233" t="str">
        <f>VLOOKUP(Table3[[#This Row],[Document ID]],Table1[],2,FALSE)</f>
        <v>ZMB</v>
      </c>
      <c r="C887" s="233" t="str">
        <f>VLOOKUP(Table3[[#This Row],[Document ID]],Table1[],3,FALSE)</f>
        <v>Zambia</v>
      </c>
      <c r="D887" s="233" t="str">
        <f>VLOOKUP(Table3[[#This Row],[Document ID]],Table1[],5,FALSE)</f>
        <v>NDC</v>
      </c>
      <c r="E887" s="233" t="str">
        <f>VLOOKUP(Table3[[#This Row],[Document ID]],Table1[],7,FALSE)</f>
        <v>First NDC</v>
      </c>
      <c r="F887" s="233" t="str">
        <f>VLOOKUP(Table3[[#This Row],[Document ID]],Table1[],8,FALSE)</f>
        <v>NDC 1.0</v>
      </c>
      <c r="G887" s="233" t="str">
        <f>VLOOKUP(Table3[[#This Row],[Document ID]],Table1[],10,FALSE)</f>
        <v>Archived</v>
      </c>
      <c r="H887" s="216" t="s">
        <v>1089</v>
      </c>
      <c r="I887" s="216" t="s">
        <v>1089</v>
      </c>
      <c r="J887" s="43" t="s">
        <v>1090</v>
      </c>
      <c r="K887" s="28" t="s">
        <v>1091</v>
      </c>
      <c r="L887" s="216" t="s">
        <v>1092</v>
      </c>
      <c r="M887" s="209">
        <v>2030</v>
      </c>
      <c r="N887" s="176" t="s">
        <v>1999</v>
      </c>
      <c r="O887" s="258" t="s">
        <v>1094</v>
      </c>
      <c r="P887" s="238" t="str">
        <f>VLOOKUP(_xlfn.CONCAT(Table3[[#This Row],[Target area]],Table3[[#This Row],[GHG target?]],Table3[[#This Row],[Conditionality]]),'Drop down'!$E$81:$F$101,2,FALSE)</f>
        <v>T_Economy_C</v>
      </c>
      <c r="Q887" s="239" t="str">
        <f>VLOOKUP(Table3[[#This Row],[Target type]],Table418[[Value name]:[Value idenifyer]],2,FALSE)</f>
        <v>T_BAU</v>
      </c>
      <c r="V887" s="233" t="str">
        <f>VLOOKUP(Table3[[#This Row],[Country Code]],Table29[],3,FALSE)</f>
        <v>Non-Annex I</v>
      </c>
      <c r="W887" s="233" t="str">
        <f>VLOOKUP(Table3[[#This Row],[Country Code]],Table29[],4,FALSE)</f>
        <v>Africa</v>
      </c>
      <c r="X887" s="233" t="str">
        <f>VLOOKUP(Table3[[#This Row],[Country Code]],Table29[],5,FALSE)</f>
        <v>Middle-income</v>
      </c>
      <c r="Y887" s="233" t="str">
        <f>VLOOKUP(Table3[[#This Row],[Country Code]],Table29[],6,FALSE)</f>
        <v>no</v>
      </c>
      <c r="Z887" s="233" t="str">
        <f>VLOOKUP(Table3[[#This Row],[Country Code]],Table29[],7,FALSE)</f>
        <v>no</v>
      </c>
      <c r="AA887" s="233" t="str">
        <f>VLOOKUP(Table3[[#This Row],[Country Code]],Table29[],8,FALSE)</f>
        <v>non-OECD</v>
      </c>
      <c r="AB887" s="233" t="str">
        <f>VLOOKUP(Table3[[#This Row],[Country Code]],Table29[],9,FALSE)</f>
        <v>no</v>
      </c>
      <c r="AC887" s="233" t="str">
        <f>VLOOKUP(Table3[[#This Row],[Country Code]],Table29[],10,FALSE)</f>
        <v>no</v>
      </c>
      <c r="AD887" s="235">
        <f>VLOOKUP(Table3[[#This Row],[Country Code]],Table29[],23,FALSE)</f>
        <v>30.484449374284001</v>
      </c>
      <c r="AE887" s="235">
        <f>VLOOKUP(Table3[[#This Row],[Country Code]],Table29[],24,FALSE)</f>
        <v>2.3997242322457328</v>
      </c>
      <c r="AF887" s="43"/>
    </row>
    <row r="888" spans="1:32" x14ac:dyDescent="0.25">
      <c r="A888" s="360">
        <v>22274</v>
      </c>
      <c r="B888" s="233" t="str">
        <f>VLOOKUP(Table3[[#This Row],[Document ID]],Table1[],2,FALSE)</f>
        <v>ZWE</v>
      </c>
      <c r="C888" s="233" t="str">
        <f>VLOOKUP(Table3[[#This Row],[Document ID]],Table1[],3,FALSE)</f>
        <v>Zimbabwe</v>
      </c>
      <c r="D888" s="233" t="str">
        <f>VLOOKUP(Table3[[#This Row],[Document ID]],Table1[],5,FALSE)</f>
        <v>NDC</v>
      </c>
      <c r="E888" s="233" t="str">
        <f>VLOOKUP(Table3[[#This Row],[Document ID]],Table1[],7,FALSE)</f>
        <v>First NDC updated</v>
      </c>
      <c r="F888" s="233" t="str">
        <f>VLOOKUP(Table3[[#This Row],[Document ID]],Table1[],8,FALSE)</f>
        <v>NDC 1.1</v>
      </c>
      <c r="G888" s="233" t="str">
        <f>VLOOKUP(Table3[[#This Row],[Document ID]],Table1[],10,FALSE)</f>
        <v>Archived</v>
      </c>
      <c r="H888" s="216" t="s">
        <v>1089</v>
      </c>
      <c r="I888" s="216" t="s">
        <v>1089</v>
      </c>
      <c r="J888" s="43" t="s">
        <v>1090</v>
      </c>
      <c r="K888" s="28" t="s">
        <v>1091</v>
      </c>
      <c r="L888" s="216" t="s">
        <v>1092</v>
      </c>
      <c r="M888" s="209">
        <v>2030</v>
      </c>
      <c r="N888" s="209" t="s">
        <v>2000</v>
      </c>
      <c r="O888" s="257">
        <v>35</v>
      </c>
      <c r="P888" s="238" t="str">
        <f>VLOOKUP(_xlfn.CONCAT(Table3[[#This Row],[Target area]],Table3[[#This Row],[GHG target?]],Table3[[#This Row],[Conditionality]]),'Drop down'!$E$81:$F$101,2,FALSE)</f>
        <v>T_Economy_C</v>
      </c>
      <c r="Q888" s="239" t="str">
        <f>VLOOKUP(Table3[[#This Row],[Target type]],Table418[[Value name]:[Value idenifyer]],2,FALSE)</f>
        <v>T_BAU</v>
      </c>
      <c r="S888" s="233" t="s">
        <v>1101</v>
      </c>
      <c r="V888" s="233" t="str">
        <f>VLOOKUP(Table3[[#This Row],[Country Code]],Table29[],3,FALSE)</f>
        <v>Non-Annex I</v>
      </c>
      <c r="W888" s="233" t="str">
        <f>VLOOKUP(Table3[[#This Row],[Country Code]],Table29[],4,FALSE)</f>
        <v>Africa</v>
      </c>
      <c r="X888" s="233" t="str">
        <f>VLOOKUP(Table3[[#This Row],[Country Code]],Table29[],5,FALSE)</f>
        <v>Middle-income</v>
      </c>
      <c r="Y888" s="233" t="str">
        <f>VLOOKUP(Table3[[#This Row],[Country Code]],Table29[],6,FALSE)</f>
        <v>no</v>
      </c>
      <c r="Z888" s="233" t="str">
        <f>VLOOKUP(Table3[[#This Row],[Country Code]],Table29[],7,FALSE)</f>
        <v>no</v>
      </c>
      <c r="AA888" s="233" t="str">
        <f>VLOOKUP(Table3[[#This Row],[Country Code]],Table29[],8,FALSE)</f>
        <v>non-OECD</v>
      </c>
      <c r="AB888" s="233" t="str">
        <f>VLOOKUP(Table3[[#This Row],[Country Code]],Table29[],9,FALSE)</f>
        <v>no</v>
      </c>
      <c r="AC888" s="233" t="str">
        <f>VLOOKUP(Table3[[#This Row],[Country Code]],Table29[],10,FALSE)</f>
        <v>no</v>
      </c>
      <c r="AD888" s="235">
        <f>VLOOKUP(Table3[[#This Row],[Country Code]],Table29[],23,FALSE)</f>
        <v>31.019306383581998</v>
      </c>
      <c r="AE888" s="235">
        <f>VLOOKUP(Table3[[#This Row],[Country Code]],Table29[],24,FALSE)</f>
        <v>1.5180453178171209</v>
      </c>
      <c r="AF888" s="43"/>
    </row>
    <row r="889" spans="1:32" x14ac:dyDescent="0.25">
      <c r="A889" s="360">
        <v>17790</v>
      </c>
      <c r="B889" s="233" t="str">
        <f>VLOOKUP(Table3[[#This Row],[Document ID]],Table1[],2,FALSE)</f>
        <v>ZWE</v>
      </c>
      <c r="C889" s="233" t="str">
        <f>VLOOKUP(Table3[[#This Row],[Document ID]],Table1[],3,FALSE)</f>
        <v>Zimbabwe</v>
      </c>
      <c r="D889" s="233" t="str">
        <f>VLOOKUP(Table3[[#This Row],[Document ID]],Table1[],5,FALSE)</f>
        <v>NDC</v>
      </c>
      <c r="E889" s="233" t="str">
        <f>VLOOKUP(Table3[[#This Row],[Document ID]],Table1[],7,FALSE)</f>
        <v>First NDC</v>
      </c>
      <c r="F889" s="233" t="str">
        <f>VLOOKUP(Table3[[#This Row],[Document ID]],Table1[],8,FALSE)</f>
        <v>NDC 1.0</v>
      </c>
      <c r="G889" s="233" t="str">
        <f>VLOOKUP(Table3[[#This Row],[Document ID]],Table1[],10,FALSE)</f>
        <v>Archived</v>
      </c>
      <c r="H889" s="216" t="s">
        <v>1089</v>
      </c>
      <c r="I889" s="216" t="s">
        <v>1089</v>
      </c>
      <c r="J889" s="43" t="s">
        <v>1090</v>
      </c>
      <c r="K889" s="28" t="s">
        <v>1153</v>
      </c>
      <c r="L889" s="216" t="s">
        <v>1092</v>
      </c>
      <c r="M889" s="209">
        <v>2030</v>
      </c>
      <c r="N889" s="176" t="s">
        <v>2001</v>
      </c>
      <c r="O889" s="258" t="s">
        <v>1094</v>
      </c>
      <c r="P889" s="238" t="str">
        <f>VLOOKUP(_xlfn.CONCAT(Table3[[#This Row],[Target area]],Table3[[#This Row],[GHG target?]],Table3[[#This Row],[Conditionality]]),'Drop down'!$E$81:$F$101,2,FALSE)</f>
        <v>T_Economy_C</v>
      </c>
      <c r="Q889" s="239" t="str">
        <f>VLOOKUP(Table3[[#This Row],[Target type]],Table418[[Value name]:[Value idenifyer]],2,FALSE)</f>
        <v>T_BYE</v>
      </c>
      <c r="V889" s="233" t="str">
        <f>VLOOKUP(Table3[[#This Row],[Country Code]],Table29[],3,FALSE)</f>
        <v>Non-Annex I</v>
      </c>
      <c r="W889" s="233" t="str">
        <f>VLOOKUP(Table3[[#This Row],[Country Code]],Table29[],4,FALSE)</f>
        <v>Africa</v>
      </c>
      <c r="X889" s="233" t="str">
        <f>VLOOKUP(Table3[[#This Row],[Country Code]],Table29[],5,FALSE)</f>
        <v>Middle-income</v>
      </c>
      <c r="Y889" s="233" t="str">
        <f>VLOOKUP(Table3[[#This Row],[Country Code]],Table29[],6,FALSE)</f>
        <v>no</v>
      </c>
      <c r="Z889" s="233" t="str">
        <f>VLOOKUP(Table3[[#This Row],[Country Code]],Table29[],7,FALSE)</f>
        <v>no</v>
      </c>
      <c r="AA889" s="233" t="str">
        <f>VLOOKUP(Table3[[#This Row],[Country Code]],Table29[],8,FALSE)</f>
        <v>non-OECD</v>
      </c>
      <c r="AB889" s="233" t="str">
        <f>VLOOKUP(Table3[[#This Row],[Country Code]],Table29[],9,FALSE)</f>
        <v>no</v>
      </c>
      <c r="AC889" s="233" t="str">
        <f>VLOOKUP(Table3[[#This Row],[Country Code]],Table29[],10,FALSE)</f>
        <v>no</v>
      </c>
      <c r="AD889" s="235">
        <f>VLOOKUP(Table3[[#This Row],[Country Code]],Table29[],23,FALSE)</f>
        <v>31.019306383581998</v>
      </c>
      <c r="AE889" s="235">
        <f>VLOOKUP(Table3[[#This Row],[Country Code]],Table29[],24,FALSE)</f>
        <v>1.5180453178171209</v>
      </c>
      <c r="AF889" s="43"/>
    </row>
    <row r="890" spans="1:32" ht="45" x14ac:dyDescent="0.25">
      <c r="A890" s="360">
        <v>23380</v>
      </c>
      <c r="B890" s="233" t="str">
        <f>VLOOKUP(Table3[[#This Row],[Document ID]],Table1[],2,FALSE)</f>
        <v>PAK</v>
      </c>
      <c r="C890" s="233" t="str">
        <f>VLOOKUP(Table3[[#This Row],[Document ID]],Table1[],3,FALSE)</f>
        <v>Pakistan</v>
      </c>
      <c r="D890" s="233" t="str">
        <f>VLOOKUP(Table3[[#This Row],[Document ID]],Table1[],5,FALSE)</f>
        <v>NDC</v>
      </c>
      <c r="E890" s="233" t="str">
        <f>VLOOKUP(Table3[[#This Row],[Document ID]],Table1[],7,FALSE)</f>
        <v>First NDC updated</v>
      </c>
      <c r="F890" s="233" t="str">
        <f>VLOOKUP(Table3[[#This Row],[Document ID]],Table1[],8,FALSE)</f>
        <v>NDC 1.2</v>
      </c>
      <c r="G890" s="233" t="str">
        <f>VLOOKUP(Table3[[#This Row],[Document ID]],Table1[],10,FALSE)</f>
        <v>Active</v>
      </c>
      <c r="H890" s="42" t="s">
        <v>1095</v>
      </c>
      <c r="I890" s="42" t="s">
        <v>1096</v>
      </c>
      <c r="J890" s="42" t="s">
        <v>1097</v>
      </c>
      <c r="K890" s="28" t="s">
        <v>1104</v>
      </c>
      <c r="L890" s="216" t="s">
        <v>1092</v>
      </c>
      <c r="M890" s="209">
        <v>2030</v>
      </c>
      <c r="N890" s="209" t="s">
        <v>2002</v>
      </c>
      <c r="O890" s="257" t="s">
        <v>2003</v>
      </c>
      <c r="P890" s="238" t="str">
        <f>VLOOKUP(_xlfn.CONCAT(Table3[[#This Row],[Target area]],Table3[[#This Row],[GHG target?]],Table3[[#This Row],[Conditionality]]),'Drop down'!$E$81:$F$101,2,FALSE)</f>
        <v>T_Transport_O_C</v>
      </c>
      <c r="Q890" s="239" t="str">
        <f>VLOOKUP(Table3[[#This Row],[Target type]],Table418[[Value name]:[Value idenifyer]],2,FALSE)</f>
        <v>T_O_ZERO</v>
      </c>
      <c r="S890" s="233" t="s">
        <v>1101</v>
      </c>
      <c r="T890" s="240"/>
      <c r="U890" s="240"/>
      <c r="V890" s="233" t="str">
        <f>VLOOKUP(Table3[[#This Row],[Country Code]],Table29[],3,FALSE)</f>
        <v>Non-Annex I</v>
      </c>
      <c r="W890" s="233" t="str">
        <f>VLOOKUP(Table3[[#This Row],[Country Code]],Table29[],4,FALSE)</f>
        <v>Asia</v>
      </c>
      <c r="X890" s="233" t="str">
        <f>VLOOKUP(Table3[[#This Row],[Country Code]],Table29[],5,FALSE)</f>
        <v>Middle-income</v>
      </c>
      <c r="Y890" s="233" t="str">
        <f>VLOOKUP(Table3[[#This Row],[Country Code]],Table29[],6,FALSE)</f>
        <v>no</v>
      </c>
      <c r="Z890" s="233" t="str">
        <f>VLOOKUP(Table3[[#This Row],[Country Code]],Table29[],7,FALSE)</f>
        <v>no</v>
      </c>
      <c r="AA890" s="233" t="str">
        <f>VLOOKUP(Table3[[#This Row],[Country Code]],Table29[],8,FALSE)</f>
        <v>non-OECD</v>
      </c>
      <c r="AB890" s="233" t="str">
        <f>VLOOKUP(Table3[[#This Row],[Country Code]],Table29[],9,FALSE)</f>
        <v>no</v>
      </c>
      <c r="AC890" s="233" t="str">
        <f>VLOOKUP(Table3[[#This Row],[Country Code]],Table29[],10,FALSE)</f>
        <v>no</v>
      </c>
      <c r="AD890" s="235">
        <f>VLOOKUP(Table3[[#This Row],[Country Code]],Table29[],23,FALSE)</f>
        <v>532.37448361891995</v>
      </c>
      <c r="AE890" s="235">
        <f>VLOOKUP(Table3[[#This Row],[Country Code]],Table29[],24,FALSE)</f>
        <v>44.891195611563681</v>
      </c>
      <c r="AF890" s="43"/>
    </row>
    <row r="891" spans="1:32" x14ac:dyDescent="0.25">
      <c r="A891" s="360">
        <v>32526</v>
      </c>
      <c r="B891" s="233" t="str">
        <f>VLOOKUP(Table3[[#This Row],[Document ID]],Table1[],2,FALSE)</f>
        <v>ZWE</v>
      </c>
      <c r="C891" s="233" t="str">
        <f>VLOOKUP(Table3[[#This Row],[Document ID]],Table1[],3,FALSE)</f>
        <v>Zimbabwe</v>
      </c>
      <c r="D891" s="233" t="str">
        <f>VLOOKUP(Table3[[#This Row],[Document ID]],Table1[],5,FALSE)</f>
        <v>LTS</v>
      </c>
      <c r="E891" s="233" t="str">
        <f>VLOOKUP(Table3[[#This Row],[Document ID]],Table1[],7,FALSE)</f>
        <v>LTS</v>
      </c>
      <c r="F891" s="241" t="str">
        <f>VLOOKUP(Table3[[#This Row],[Document ID]],Table1[],8,FALSE)</f>
        <v>LTS 1.0</v>
      </c>
      <c r="G891" s="233" t="str">
        <f>VLOOKUP(Table3[[#This Row],[Document ID]],Table1[],10,FALSE)</f>
        <v>Active</v>
      </c>
      <c r="H891" s="216" t="s">
        <v>1089</v>
      </c>
      <c r="I891" s="216" t="s">
        <v>1089</v>
      </c>
      <c r="J891" s="43" t="s">
        <v>1090</v>
      </c>
      <c r="K891" s="28" t="s">
        <v>1091</v>
      </c>
      <c r="L891" s="42" t="s">
        <v>1099</v>
      </c>
      <c r="M891" s="209">
        <v>2050</v>
      </c>
      <c r="N891" s="209" t="s">
        <v>2004</v>
      </c>
      <c r="O891" s="258">
        <v>9</v>
      </c>
      <c r="P891" s="238" t="str">
        <f>VLOOKUP(_xlfn.CONCAT(Table3[[#This Row],[Target area]],Table3[[#This Row],[GHG target?]],Table3[[#This Row],[Conditionality]]),'Drop down'!$E$81:$F$101,2,FALSE)</f>
        <v>T_Economy_Unc</v>
      </c>
      <c r="Q891" s="239" t="str">
        <f>VLOOKUP(Table3[[#This Row],[Target type]],Table418[[Value name]:[Value idenifyer]],2,FALSE)</f>
        <v>T_BAU</v>
      </c>
      <c r="T891" s="240"/>
      <c r="V891" s="233" t="str">
        <f>VLOOKUP(Table3[[#This Row],[Country Code]],Table29[],3,FALSE)</f>
        <v>Non-Annex I</v>
      </c>
      <c r="W891" s="233" t="str">
        <f>VLOOKUP(Table3[[#This Row],[Country Code]],Table29[],4,FALSE)</f>
        <v>Africa</v>
      </c>
      <c r="X891" s="233" t="str">
        <f>VLOOKUP(Table3[[#This Row],[Country Code]],Table29[],5,FALSE)</f>
        <v>Middle-income</v>
      </c>
      <c r="Y891" s="233" t="str">
        <f>VLOOKUP(Table3[[#This Row],[Country Code]],Table29[],6,FALSE)</f>
        <v>no</v>
      </c>
      <c r="Z891" s="233" t="str">
        <f>VLOOKUP(Table3[[#This Row],[Country Code]],Table29[],7,FALSE)</f>
        <v>no</v>
      </c>
      <c r="AA891" s="233" t="str">
        <f>VLOOKUP(Table3[[#This Row],[Country Code]],Table29[],8,FALSE)</f>
        <v>non-OECD</v>
      </c>
      <c r="AB891" s="233" t="str">
        <f>VLOOKUP(Table3[[#This Row],[Country Code]],Table29[],9,FALSE)</f>
        <v>no</v>
      </c>
      <c r="AC891" s="233" t="str">
        <f>VLOOKUP(Table3[[#This Row],[Country Code]],Table29[],10,FALSE)</f>
        <v>no</v>
      </c>
      <c r="AD891" s="235">
        <f>VLOOKUP(Table3[[#This Row],[Country Code]],Table29[],23,FALSE)</f>
        <v>31.019306383581998</v>
      </c>
      <c r="AE891" s="235">
        <f>VLOOKUP(Table3[[#This Row],[Country Code]],Table29[],24,FALSE)</f>
        <v>1.5180453178171209</v>
      </c>
      <c r="AF891" s="43"/>
    </row>
    <row r="892" spans="1:32" ht="60" x14ac:dyDescent="0.25">
      <c r="A892" s="360">
        <v>17694</v>
      </c>
      <c r="B892" s="233" t="str">
        <f>VLOOKUP(Table3[[#This Row],[Document ID]],Table1[],2,FALSE)</f>
        <v>PAN</v>
      </c>
      <c r="C892" s="233" t="str">
        <f>VLOOKUP(Table3[[#This Row],[Document ID]],Table1[],3,FALSE)</f>
        <v>Panama</v>
      </c>
      <c r="D892" s="233" t="str">
        <f>VLOOKUP(Table3[[#This Row],[Document ID]],Table1[],5,FALSE)</f>
        <v>NDC</v>
      </c>
      <c r="E892" s="233" t="str">
        <f>VLOOKUP(Table3[[#This Row],[Document ID]],Table1[],7,FALSE)</f>
        <v>First NDC updated</v>
      </c>
      <c r="F892" s="233" t="str">
        <f>VLOOKUP(Table3[[#This Row],[Document ID]],Table1[],8,FALSE)</f>
        <v>NDC 1.1</v>
      </c>
      <c r="G892" s="233" t="str">
        <f>VLOOKUP(Table3[[#This Row],[Document ID]],Table1[],10,FALSE)</f>
        <v>Archived</v>
      </c>
      <c r="H892" s="42" t="s">
        <v>1095</v>
      </c>
      <c r="I892" s="42" t="s">
        <v>1096</v>
      </c>
      <c r="J892" s="42" t="s">
        <v>1097</v>
      </c>
      <c r="K892" s="28" t="s">
        <v>1104</v>
      </c>
      <c r="L892" s="389" t="s">
        <v>1099</v>
      </c>
      <c r="M892" s="209">
        <v>2030</v>
      </c>
      <c r="N892" s="44" t="s">
        <v>2005</v>
      </c>
      <c r="O892" s="221"/>
      <c r="P892" s="238" t="str">
        <f>VLOOKUP(_xlfn.CONCAT(Table3[[#This Row],[Target area]],Table3[[#This Row],[GHG target?]],Table3[[#This Row],[Conditionality]]),'Drop down'!$E$81:$F$101,2,FALSE)</f>
        <v>T_Transport_O_Unc</v>
      </c>
      <c r="Q892" s="239" t="str">
        <f>VLOOKUP(Table3[[#This Row],[Target type]],Table418[[Value name]:[Value idenifyer]],2,FALSE)</f>
        <v>T_O_ZERO</v>
      </c>
      <c r="S892" s="233" t="s">
        <v>1101</v>
      </c>
      <c r="T892" s="234" t="s">
        <v>1113</v>
      </c>
      <c r="V892" s="233" t="str">
        <f>VLOOKUP(Table3[[#This Row],[Country Code]],Table29[],3,FALSE)</f>
        <v>Non-Annex I</v>
      </c>
      <c r="W892" s="233" t="str">
        <f>VLOOKUP(Table3[[#This Row],[Country Code]],Table29[],4,FALSE)</f>
        <v>Latin America and the Caribbean</v>
      </c>
      <c r="X892" s="233" t="str">
        <f>VLOOKUP(Table3[[#This Row],[Country Code]],Table29[],5,FALSE)</f>
        <v>Middle-income</v>
      </c>
      <c r="Y892" s="233" t="str">
        <f>VLOOKUP(Table3[[#This Row],[Country Code]],Table29[],6,FALSE)</f>
        <v>no</v>
      </c>
      <c r="Z892" s="233" t="str">
        <f>VLOOKUP(Table3[[#This Row],[Country Code]],Table29[],7,FALSE)</f>
        <v>no</v>
      </c>
      <c r="AA892" s="233" t="str">
        <f>VLOOKUP(Table3[[#This Row],[Country Code]],Table29[],8,FALSE)</f>
        <v>non-OECD</v>
      </c>
      <c r="AB892" s="233" t="str">
        <f>VLOOKUP(Table3[[#This Row],[Country Code]],Table29[],9,FALSE)</f>
        <v>no</v>
      </c>
      <c r="AC892" s="233" t="str">
        <f>VLOOKUP(Table3[[#This Row],[Country Code]],Table29[],10,FALSE)</f>
        <v>no</v>
      </c>
      <c r="AD892" s="235">
        <f>VLOOKUP(Table3[[#This Row],[Country Code]],Table29[],23,FALSE)</f>
        <v>21.281689073780999</v>
      </c>
      <c r="AE892" s="235">
        <f>VLOOKUP(Table3[[#This Row],[Country Code]],Table29[],24,FALSE)</f>
        <v>5.7357943404010889</v>
      </c>
      <c r="AF892" s="43"/>
    </row>
    <row r="893" spans="1:32" ht="60" x14ac:dyDescent="0.25">
      <c r="A893" s="360">
        <v>39440</v>
      </c>
      <c r="B893" s="233" t="str">
        <f>VLOOKUP(Table3[[#This Row],[Document ID]],Table1[],2,FALSE)</f>
        <v>BTN</v>
      </c>
      <c r="C893" s="233" t="str">
        <f>VLOOKUP(Table3[[#This Row],[Document ID]],Table1[],3,FALSE)</f>
        <v>Bhutan</v>
      </c>
      <c r="D893" s="233" t="str">
        <f>VLOOKUP(Table3[[#This Row],[Document ID]],Table1[],5,FALSE)</f>
        <v>LTS</v>
      </c>
      <c r="E893" s="233" t="str">
        <f>VLOOKUP(Table3[[#This Row],[Document ID]],Table1[],7,FALSE)</f>
        <v>LTS</v>
      </c>
      <c r="F893" s="241" t="str">
        <f>VLOOKUP(Table3[[#This Row],[Document ID]],Table1[],8,FALSE)</f>
        <v>LTS 1.0</v>
      </c>
      <c r="G893" s="233" t="str">
        <f>VLOOKUP(Table3[[#This Row],[Document ID]],Table1[],10,FALSE)</f>
        <v>Active</v>
      </c>
      <c r="H893" s="43" t="s">
        <v>1147</v>
      </c>
      <c r="I893" s="43" t="s">
        <v>1089</v>
      </c>
      <c r="J893" s="43" t="s">
        <v>1090</v>
      </c>
      <c r="K893" s="28" t="s">
        <v>1121</v>
      </c>
      <c r="L893" s="42" t="s">
        <v>1099</v>
      </c>
      <c r="M893" s="209"/>
      <c r="N893" s="209" t="s">
        <v>2006</v>
      </c>
      <c r="O893" s="258">
        <v>8</v>
      </c>
      <c r="P893" s="238" t="str">
        <f>VLOOKUP(_xlfn.CONCAT(Table3[[#This Row],[Target area]],Table3[[#This Row],[GHG target?]],Table3[[#This Row],[Conditionality]]),'Drop down'!$E$81:$F$101,2,FALSE)</f>
        <v>T_Netzero_Unc</v>
      </c>
      <c r="Q893" s="239" t="str">
        <f>VLOOKUP(Table3[[#This Row],[Target type]],Table418[[Value name]:[Value idenifyer]],2,FALSE)</f>
        <v>T_FL</v>
      </c>
      <c r="S893" s="233" t="s">
        <v>1101</v>
      </c>
      <c r="T893" s="234" t="s">
        <v>1113</v>
      </c>
      <c r="U893" s="240"/>
      <c r="V893" s="233" t="str">
        <f>VLOOKUP(Table3[[#This Row],[Country Code]],Table29[],3,FALSE)</f>
        <v>Non-Annex I</v>
      </c>
      <c r="W893" s="233" t="str">
        <f>VLOOKUP(Table3[[#This Row],[Country Code]],Table29[],4,FALSE)</f>
        <v>Asia</v>
      </c>
      <c r="X893" s="233" t="str">
        <f>VLOOKUP(Table3[[#This Row],[Country Code]],Table29[],5,FALSE)</f>
        <v>Middle-income</v>
      </c>
      <c r="Y893" s="233" t="str">
        <f>VLOOKUP(Table3[[#This Row],[Country Code]],Table29[],6,FALSE)</f>
        <v>no</v>
      </c>
      <c r="Z893" s="233" t="str">
        <f>VLOOKUP(Table3[[#This Row],[Country Code]],Table29[],7,FALSE)</f>
        <v>no</v>
      </c>
      <c r="AA893" s="233" t="str">
        <f>VLOOKUP(Table3[[#This Row],[Country Code]],Table29[],8,FALSE)</f>
        <v>non-OECD</v>
      </c>
      <c r="AB893" s="233" t="str">
        <f>VLOOKUP(Table3[[#This Row],[Country Code]],Table29[],9,FALSE)</f>
        <v>no</v>
      </c>
      <c r="AC893" s="233" t="str">
        <f>VLOOKUP(Table3[[#This Row],[Country Code]],Table29[],10,FALSE)</f>
        <v>no</v>
      </c>
      <c r="AD893" s="235">
        <f>VLOOKUP(Table3[[#This Row],[Country Code]],Table29[],23,FALSE)</f>
        <v>3.2548573740653</v>
      </c>
      <c r="AE893" s="235">
        <f>VLOOKUP(Table3[[#This Row],[Country Code]],Table29[],24,FALSE)</f>
        <v>0.43507987337923443</v>
      </c>
      <c r="AF893" s="42"/>
    </row>
    <row r="894" spans="1:32" ht="30" x14ac:dyDescent="0.25">
      <c r="A894" s="360">
        <v>17703</v>
      </c>
      <c r="B894" s="233" t="str">
        <f>VLOOKUP(Table3[[#This Row],[Document ID]],Table1[],2,FALSE)</f>
        <v>PRT</v>
      </c>
      <c r="C894" s="233" t="str">
        <f>VLOOKUP(Table3[[#This Row],[Document ID]],Table1[],3,FALSE)</f>
        <v>Portugal</v>
      </c>
      <c r="D894" s="233" t="str">
        <f>VLOOKUP(Table3[[#This Row],[Document ID]],Table1[],5,FALSE)</f>
        <v>LTS</v>
      </c>
      <c r="E894" s="233" t="str">
        <f>VLOOKUP(Table3[[#This Row],[Document ID]],Table1[],7,FALSE)</f>
        <v>LTS</v>
      </c>
      <c r="F894" s="233" t="str">
        <f>VLOOKUP(Table3[[#This Row],[Document ID]],Table1[],8,FALSE)</f>
        <v>LTS 1.0</v>
      </c>
      <c r="G894" s="233" t="str">
        <f>VLOOKUP(Table3[[#This Row],[Document ID]],Table1[],10,FALSE)</f>
        <v>Active</v>
      </c>
      <c r="H894" s="42" t="s">
        <v>1095</v>
      </c>
      <c r="I894" s="43" t="s">
        <v>1115</v>
      </c>
      <c r="J894" s="43" t="s">
        <v>1090</v>
      </c>
      <c r="K894" s="28" t="s">
        <v>1153</v>
      </c>
      <c r="L894" s="42" t="s">
        <v>1099</v>
      </c>
      <c r="M894" s="209">
        <v>2030</v>
      </c>
      <c r="N894" s="44" t="s">
        <v>2007</v>
      </c>
      <c r="O894" s="221">
        <v>18</v>
      </c>
      <c r="P894" s="238" t="str">
        <f>VLOOKUP(_xlfn.CONCAT(Table3[[#This Row],[Target area]],Table3[[#This Row],[GHG target?]],Table3[[#This Row],[Conditionality]]),'Drop down'!$E$81:$F$101,2,FALSE)</f>
        <v>T_Transport_Unc</v>
      </c>
      <c r="Q894" s="239" t="str">
        <f>VLOOKUP(Table3[[#This Row],[Target type]],Table418[[Value name]:[Value idenifyer]],2,FALSE)</f>
        <v>T_BYE</v>
      </c>
      <c r="R894" s="233" t="s">
        <v>526</v>
      </c>
      <c r="S894" s="233" t="s">
        <v>1112</v>
      </c>
      <c r="T894" s="234" t="s">
        <v>1113</v>
      </c>
      <c r="V894" s="233" t="str">
        <f>VLOOKUP(Table3[[#This Row],[Country Code]],Table29[],3,FALSE)</f>
        <v>Annex I</v>
      </c>
      <c r="W894" s="233" t="str">
        <f>VLOOKUP(Table3[[#This Row],[Country Code]],Table29[],4,FALSE)</f>
        <v>Europe</v>
      </c>
      <c r="X894" s="233" t="str">
        <f>VLOOKUP(Table3[[#This Row],[Country Code]],Table29[],5,FALSE)</f>
        <v>High-income</v>
      </c>
      <c r="Y894" s="233" t="str">
        <f>VLOOKUP(Table3[[#This Row],[Country Code]],Table29[],6,FALSE)</f>
        <v>no</v>
      </c>
      <c r="Z894" s="233" t="str">
        <f>VLOOKUP(Table3[[#This Row],[Country Code]],Table29[],7,FALSE)</f>
        <v>no</v>
      </c>
      <c r="AA894" s="233" t="str">
        <f>VLOOKUP(Table3[[#This Row],[Country Code]],Table29[],8,FALSE)</f>
        <v>OECD</v>
      </c>
      <c r="AB894" s="233" t="str">
        <f>VLOOKUP(Table3[[#This Row],[Country Code]],Table29[],9,FALSE)</f>
        <v>EU27</v>
      </c>
      <c r="AC894" s="233" t="str">
        <f>VLOOKUP(Table3[[#This Row],[Country Code]],Table29[],10,FALSE)</f>
        <v>no</v>
      </c>
      <c r="AD894" s="235">
        <f>VLOOKUP(Table3[[#This Row],[Country Code]],Table29[],23,FALSE)</f>
        <v>53.004607295263</v>
      </c>
      <c r="AE894" s="235">
        <f>VLOOKUP(Table3[[#This Row],[Country Code]],Table29[],24,FALSE)</f>
        <v>15.947366338037449</v>
      </c>
      <c r="AF894" s="43"/>
    </row>
    <row r="895" spans="1:32" ht="30" x14ac:dyDescent="0.25">
      <c r="A895" s="360">
        <v>39449</v>
      </c>
      <c r="B895" s="233" t="str">
        <f>VLOOKUP(Table3[[#This Row],[Document ID]],Table1[],2,FALSE)</f>
        <v>LKA</v>
      </c>
      <c r="C895" s="233" t="str">
        <f>VLOOKUP(Table3[[#This Row],[Document ID]],Table1[],3,FALSE)</f>
        <v>Sri Lanka</v>
      </c>
      <c r="D895" s="233" t="str">
        <f>VLOOKUP(Table3[[#This Row],[Document ID]],Table1[],5,FALSE)</f>
        <v>LTS</v>
      </c>
      <c r="E895" s="233" t="str">
        <f>VLOOKUP(Table3[[#This Row],[Document ID]],Table1[],7,FALSE)</f>
        <v>LTS</v>
      </c>
      <c r="F895" s="241" t="str">
        <f>VLOOKUP(Table3[[#This Row],[Document ID]],Table1[],8,FALSE)</f>
        <v>LTS 1.0</v>
      </c>
      <c r="G895" s="233" t="str">
        <f>VLOOKUP(Table3[[#This Row],[Document ID]],Table1[],10,FALSE)</f>
        <v>Active</v>
      </c>
      <c r="H895" s="43" t="s">
        <v>1114</v>
      </c>
      <c r="I895" s="43" t="s">
        <v>1115</v>
      </c>
      <c r="J895" s="42" t="s">
        <v>1097</v>
      </c>
      <c r="K895" s="28" t="s">
        <v>1118</v>
      </c>
      <c r="L895" s="43" t="s">
        <v>1116</v>
      </c>
      <c r="M895" s="209">
        <v>2040</v>
      </c>
      <c r="N895" s="209" t="s">
        <v>2008</v>
      </c>
      <c r="O895" s="258">
        <v>14</v>
      </c>
      <c r="P895" s="238" t="str">
        <f>VLOOKUP(_xlfn.CONCAT(Table3[[#This Row],[Target area]],Table3[[#This Row],[GHG target?]],Table3[[#This Row],[Conditionality]]),'Drop down'!$E$81:$F$101,2,FALSE)</f>
        <v>T_Energy_O</v>
      </c>
      <c r="Q895" s="239" t="str">
        <f>VLOOKUP(Table3[[#This Row],[Target type]],Table418[[Value name]:[Value idenifyer]],2,FALSE)</f>
        <v>T_E_REN</v>
      </c>
      <c r="S895" s="233" t="s">
        <v>1101</v>
      </c>
      <c r="T895" s="234" t="s">
        <v>1113</v>
      </c>
      <c r="U895" s="240"/>
      <c r="V895" s="233" t="str">
        <f>VLOOKUP(Table3[[#This Row],[Country Code]],Table29[],3,FALSE)</f>
        <v>Non-Annex I</v>
      </c>
      <c r="W895" s="233" t="str">
        <f>VLOOKUP(Table3[[#This Row],[Country Code]],Table29[],4,FALSE)</f>
        <v>Asia</v>
      </c>
      <c r="X895" s="233" t="str">
        <f>VLOOKUP(Table3[[#This Row],[Country Code]],Table29[],5,FALSE)</f>
        <v>Middle-income</v>
      </c>
      <c r="Y895" s="233" t="str">
        <f>VLOOKUP(Table3[[#This Row],[Country Code]],Table29[],6,FALSE)</f>
        <v>no</v>
      </c>
      <c r="Z895" s="233" t="str">
        <f>VLOOKUP(Table3[[#This Row],[Country Code]],Table29[],7,FALSE)</f>
        <v>no</v>
      </c>
      <c r="AA895" s="233" t="str">
        <f>VLOOKUP(Table3[[#This Row],[Country Code]],Table29[],8,FALSE)</f>
        <v>non-OECD</v>
      </c>
      <c r="AB895" s="233" t="str">
        <f>VLOOKUP(Table3[[#This Row],[Country Code]],Table29[],9,FALSE)</f>
        <v>no</v>
      </c>
      <c r="AC895" s="233" t="str">
        <f>VLOOKUP(Table3[[#This Row],[Country Code]],Table29[],10,FALSE)</f>
        <v>no</v>
      </c>
      <c r="AD895" s="235">
        <f>VLOOKUP(Table3[[#This Row],[Country Code]],Table29[],23,FALSE)</f>
        <v>38.403849844142002</v>
      </c>
      <c r="AE895" s="235">
        <f>VLOOKUP(Table3[[#This Row],[Country Code]],Table29[],24,FALSE)</f>
        <v>9.6330858743096854</v>
      </c>
      <c r="AF895" s="42"/>
    </row>
    <row r="896" spans="1:32" ht="30" x14ac:dyDescent="0.25">
      <c r="A896" s="360">
        <v>17692</v>
      </c>
      <c r="B896" s="233" t="str">
        <f>VLOOKUP(Table3[[#This Row],[Document ID]],Table1[],2,FALSE)</f>
        <v>PSE</v>
      </c>
      <c r="C896" s="233" t="str">
        <f>VLOOKUP(Table3[[#This Row],[Document ID]],Table1[],3,FALSE)</f>
        <v>Palestine</v>
      </c>
      <c r="D896" s="233" t="str">
        <f>VLOOKUP(Table3[[#This Row],[Document ID]],Table1[],5,FALSE)</f>
        <v>NDC</v>
      </c>
      <c r="E896" s="233" t="str">
        <f>VLOOKUP(Table3[[#This Row],[Document ID]],Table1[],7,FALSE)</f>
        <v>First NDC</v>
      </c>
      <c r="F896" s="233" t="str">
        <f>VLOOKUP(Table3[[#This Row],[Document ID]],Table1[],8,FALSE)</f>
        <v>NDC 1.0</v>
      </c>
      <c r="G896" s="233" t="str">
        <f>VLOOKUP(Table3[[#This Row],[Document ID]],Table1[],10,FALSE)</f>
        <v>Archived</v>
      </c>
      <c r="H896" s="42" t="s">
        <v>1095</v>
      </c>
      <c r="I896" s="42" t="s">
        <v>1096</v>
      </c>
      <c r="J896" s="42" t="s">
        <v>1097</v>
      </c>
      <c r="K896" s="28" t="s">
        <v>1137</v>
      </c>
      <c r="L896" s="43" t="s">
        <v>1092</v>
      </c>
      <c r="M896" s="209">
        <v>2040</v>
      </c>
      <c r="N896" s="44" t="s">
        <v>2009</v>
      </c>
      <c r="O896" s="221">
        <v>7</v>
      </c>
      <c r="P896" s="238" t="str">
        <f>VLOOKUP(_xlfn.CONCAT(Table3[[#This Row],[Target area]],Table3[[#This Row],[GHG target?]],Table3[[#This Row],[Conditionality]]),'Drop down'!$E$81:$F$101,2,FALSE)</f>
        <v>T_Transport_O_C</v>
      </c>
      <c r="Q896" s="239" t="str">
        <f>VLOOKUP(Table3[[#This Row],[Target type]],Table418[[Value name]:[Value idenifyer]],2,FALSE)</f>
        <v>T_O_EFF</v>
      </c>
      <c r="S896" s="233" t="s">
        <v>1101</v>
      </c>
      <c r="V896" s="233" t="str">
        <f>VLOOKUP(Table3[[#This Row],[Country Code]],Table29[],3,FALSE)</f>
        <v>Non-Annex I</v>
      </c>
      <c r="W896" s="233" t="str">
        <f>VLOOKUP(Table3[[#This Row],[Country Code]],Table29[],4,FALSE)</f>
        <v>Asia</v>
      </c>
      <c r="X896" s="233" t="str">
        <f>VLOOKUP(Table3[[#This Row],[Country Code]],Table29[],5,FALSE)</f>
        <v>Middle-income</v>
      </c>
      <c r="Y896" s="233" t="str">
        <f>VLOOKUP(Table3[[#This Row],[Country Code]],Table29[],6,FALSE)</f>
        <v>no</v>
      </c>
      <c r="Z896" s="233" t="str">
        <f>VLOOKUP(Table3[[#This Row],[Country Code]],Table29[],7,FALSE)</f>
        <v>no</v>
      </c>
      <c r="AA896" s="233" t="str">
        <f>VLOOKUP(Table3[[#This Row],[Country Code]],Table29[],8,FALSE)</f>
        <v>non-OECD</v>
      </c>
      <c r="AB896" s="233" t="str">
        <f>VLOOKUP(Table3[[#This Row],[Country Code]],Table29[],9,FALSE)</f>
        <v>no</v>
      </c>
      <c r="AC896" s="233" t="str">
        <f>VLOOKUP(Table3[[#This Row],[Country Code]],Table29[],10,FALSE)</f>
        <v>MENA</v>
      </c>
      <c r="AD896" s="235">
        <f>VLOOKUP(Table3[[#This Row],[Country Code]],Table29[],23,FALSE)</f>
        <v>0</v>
      </c>
      <c r="AE896" s="235">
        <f>VLOOKUP(Table3[[#This Row],[Country Code]],Table29[],24,FALSE)</f>
        <v>0</v>
      </c>
      <c r="AF896" s="43"/>
    </row>
    <row r="897" spans="1:32" x14ac:dyDescent="0.25">
      <c r="A897" s="360">
        <v>17692</v>
      </c>
      <c r="B897" s="233" t="str">
        <f>VLOOKUP(Table3[[#This Row],[Document ID]],Table1[],2,FALSE)</f>
        <v>PSE</v>
      </c>
      <c r="C897" s="233" t="str">
        <f>VLOOKUP(Table3[[#This Row],[Document ID]],Table1[],3,FALSE)</f>
        <v>Palestine</v>
      </c>
      <c r="D897" s="233" t="str">
        <f>VLOOKUP(Table3[[#This Row],[Document ID]],Table1[],5,FALSE)</f>
        <v>NDC</v>
      </c>
      <c r="E897" s="233" t="str">
        <f>VLOOKUP(Table3[[#This Row],[Document ID]],Table1[],7,FALSE)</f>
        <v>First NDC</v>
      </c>
      <c r="F897" s="233" t="str">
        <f>VLOOKUP(Table3[[#This Row],[Document ID]],Table1[],8,FALSE)</f>
        <v>NDC 1.0</v>
      </c>
      <c r="G897" s="233" t="str">
        <f>VLOOKUP(Table3[[#This Row],[Document ID]],Table1[],10,FALSE)</f>
        <v>Archived</v>
      </c>
      <c r="H897" s="42" t="s">
        <v>1095</v>
      </c>
      <c r="I897" s="42" t="s">
        <v>1096</v>
      </c>
      <c r="J897" s="42" t="s">
        <v>1097</v>
      </c>
      <c r="K897" s="28" t="s">
        <v>1098</v>
      </c>
      <c r="L897" s="43" t="s">
        <v>1092</v>
      </c>
      <c r="M897" s="209">
        <v>2030</v>
      </c>
      <c r="N897" s="44" t="s">
        <v>2010</v>
      </c>
      <c r="O897" s="221">
        <v>7</v>
      </c>
      <c r="P897" s="238" t="str">
        <f>VLOOKUP(_xlfn.CONCAT(Table3[[#This Row],[Target area]],Table3[[#This Row],[GHG target?]],Table3[[#This Row],[Conditionality]]),'Drop down'!$E$81:$F$101,2,FALSE)</f>
        <v>T_Transport_O_C</v>
      </c>
      <c r="Q897" s="239" t="str">
        <f>VLOOKUP(Table3[[#This Row],[Target type]],Table418[[Value name]:[Value idenifyer]],2,FALSE)</f>
        <v>T_O_MODE</v>
      </c>
      <c r="S897" s="233" t="s">
        <v>1101</v>
      </c>
      <c r="V897" s="233" t="str">
        <f>VLOOKUP(Table3[[#This Row],[Country Code]],Table29[],3,FALSE)</f>
        <v>Non-Annex I</v>
      </c>
      <c r="W897" s="233" t="str">
        <f>VLOOKUP(Table3[[#This Row],[Country Code]],Table29[],4,FALSE)</f>
        <v>Asia</v>
      </c>
      <c r="X897" s="233" t="str">
        <f>VLOOKUP(Table3[[#This Row],[Country Code]],Table29[],5,FALSE)</f>
        <v>Middle-income</v>
      </c>
      <c r="Y897" s="233" t="str">
        <f>VLOOKUP(Table3[[#This Row],[Country Code]],Table29[],6,FALSE)</f>
        <v>no</v>
      </c>
      <c r="Z897" s="233" t="str">
        <f>VLOOKUP(Table3[[#This Row],[Country Code]],Table29[],7,FALSE)</f>
        <v>no</v>
      </c>
      <c r="AA897" s="233" t="str">
        <f>VLOOKUP(Table3[[#This Row],[Country Code]],Table29[],8,FALSE)</f>
        <v>non-OECD</v>
      </c>
      <c r="AB897" s="233" t="str">
        <f>VLOOKUP(Table3[[#This Row],[Country Code]],Table29[],9,FALSE)</f>
        <v>no</v>
      </c>
      <c r="AC897" s="233" t="str">
        <f>VLOOKUP(Table3[[#This Row],[Country Code]],Table29[],10,FALSE)</f>
        <v>MENA</v>
      </c>
      <c r="AD897" s="235">
        <f>VLOOKUP(Table3[[#This Row],[Country Code]],Table29[],23,FALSE)</f>
        <v>0</v>
      </c>
      <c r="AE897" s="235">
        <f>VLOOKUP(Table3[[#This Row],[Country Code]],Table29[],24,FALSE)</f>
        <v>0</v>
      </c>
      <c r="AF897" s="43"/>
    </row>
    <row r="898" spans="1:32" ht="30" x14ac:dyDescent="0.25">
      <c r="A898" s="360">
        <v>23368</v>
      </c>
      <c r="B898" s="233" t="str">
        <f>VLOOKUP(Table3[[#This Row],[Document ID]],Table1[],2,FALSE)</f>
        <v>PSE</v>
      </c>
      <c r="C898" s="233" t="str">
        <f>VLOOKUP(Table3[[#This Row],[Document ID]],Table1[],3,FALSE)</f>
        <v>Palestine</v>
      </c>
      <c r="D898" s="233" t="str">
        <f>VLOOKUP(Table3[[#This Row],[Document ID]],Table1[],5,FALSE)</f>
        <v>NDC</v>
      </c>
      <c r="E898" s="233" t="str">
        <f>VLOOKUP(Table3[[#This Row],[Document ID]],Table1[],7,FALSE)</f>
        <v>First NDC updated</v>
      </c>
      <c r="F898" s="233" t="str">
        <f>VLOOKUP(Table3[[#This Row],[Document ID]],Table1[],8,FALSE)</f>
        <v>NDC 1.1</v>
      </c>
      <c r="G898" s="233" t="str">
        <f>VLOOKUP(Table3[[#This Row],[Document ID]],Table1[],10,FALSE)</f>
        <v>Active</v>
      </c>
      <c r="H898" s="42" t="s">
        <v>1095</v>
      </c>
      <c r="I898" s="42" t="s">
        <v>1096</v>
      </c>
      <c r="J898" s="42" t="s">
        <v>1097</v>
      </c>
      <c r="K898" s="28" t="s">
        <v>1137</v>
      </c>
      <c r="L898" s="43" t="s">
        <v>1092</v>
      </c>
      <c r="M898" s="209">
        <v>2040</v>
      </c>
      <c r="N898" s="220" t="s">
        <v>2011</v>
      </c>
      <c r="O898" s="257">
        <v>14</v>
      </c>
      <c r="P898" s="238" t="str">
        <f>VLOOKUP(_xlfn.CONCAT(Table3[[#This Row],[Target area]],Table3[[#This Row],[GHG target?]],Table3[[#This Row],[Conditionality]]),'Drop down'!$E$81:$F$101,2,FALSE)</f>
        <v>T_Transport_O_C</v>
      </c>
      <c r="Q898" s="239" t="str">
        <f>VLOOKUP(Table3[[#This Row],[Target type]],Table418[[Value name]:[Value idenifyer]],2,FALSE)</f>
        <v>T_O_EFF</v>
      </c>
      <c r="S898" s="233" t="s">
        <v>1101</v>
      </c>
      <c r="T898" s="240"/>
      <c r="U898" s="240"/>
      <c r="V898" s="233" t="str">
        <f>VLOOKUP(Table3[[#This Row],[Country Code]],Table29[],3,FALSE)</f>
        <v>Non-Annex I</v>
      </c>
      <c r="W898" s="233" t="str">
        <f>VLOOKUP(Table3[[#This Row],[Country Code]],Table29[],4,FALSE)</f>
        <v>Asia</v>
      </c>
      <c r="X898" s="233" t="str">
        <f>VLOOKUP(Table3[[#This Row],[Country Code]],Table29[],5,FALSE)</f>
        <v>Middle-income</v>
      </c>
      <c r="Y898" s="233" t="str">
        <f>VLOOKUP(Table3[[#This Row],[Country Code]],Table29[],6,FALSE)</f>
        <v>no</v>
      </c>
      <c r="Z898" s="233" t="str">
        <f>VLOOKUP(Table3[[#This Row],[Country Code]],Table29[],7,FALSE)</f>
        <v>no</v>
      </c>
      <c r="AA898" s="233" t="str">
        <f>VLOOKUP(Table3[[#This Row],[Country Code]],Table29[],8,FALSE)</f>
        <v>non-OECD</v>
      </c>
      <c r="AB898" s="233" t="str">
        <f>VLOOKUP(Table3[[#This Row],[Country Code]],Table29[],9,FALSE)</f>
        <v>no</v>
      </c>
      <c r="AC898" s="233" t="str">
        <f>VLOOKUP(Table3[[#This Row],[Country Code]],Table29[],10,FALSE)</f>
        <v>MENA</v>
      </c>
      <c r="AD898" s="235">
        <f>VLOOKUP(Table3[[#This Row],[Country Code]],Table29[],23,FALSE)</f>
        <v>0</v>
      </c>
      <c r="AE898" s="235">
        <f>VLOOKUP(Table3[[#This Row],[Country Code]],Table29[],24,FALSE)</f>
        <v>0</v>
      </c>
      <c r="AF898" s="43"/>
    </row>
    <row r="899" spans="1:32" ht="30" x14ac:dyDescent="0.25">
      <c r="A899" s="360">
        <v>23368</v>
      </c>
      <c r="B899" s="233" t="str">
        <f>VLOOKUP(Table3[[#This Row],[Document ID]],Table1[],2,FALSE)</f>
        <v>PSE</v>
      </c>
      <c r="C899" s="233" t="str">
        <f>VLOOKUP(Table3[[#This Row],[Document ID]],Table1[],3,FALSE)</f>
        <v>Palestine</v>
      </c>
      <c r="D899" s="233" t="str">
        <f>VLOOKUP(Table3[[#This Row],[Document ID]],Table1[],5,FALSE)</f>
        <v>NDC</v>
      </c>
      <c r="E899" s="233" t="str">
        <f>VLOOKUP(Table3[[#This Row],[Document ID]],Table1[],7,FALSE)</f>
        <v>First NDC updated</v>
      </c>
      <c r="F899" s="233" t="str">
        <f>VLOOKUP(Table3[[#This Row],[Document ID]],Table1[],8,FALSE)</f>
        <v>NDC 1.1</v>
      </c>
      <c r="G899" s="233" t="str">
        <f>VLOOKUP(Table3[[#This Row],[Document ID]],Table1[],10,FALSE)</f>
        <v>Active</v>
      </c>
      <c r="H899" s="42" t="s">
        <v>1095</v>
      </c>
      <c r="I899" s="42" t="s">
        <v>1096</v>
      </c>
      <c r="J899" s="42" t="s">
        <v>1097</v>
      </c>
      <c r="K899" s="28" t="s">
        <v>1137</v>
      </c>
      <c r="L899" s="43" t="s">
        <v>1092</v>
      </c>
      <c r="M899" s="209">
        <v>2040</v>
      </c>
      <c r="N899" s="220" t="s">
        <v>2012</v>
      </c>
      <c r="O899" s="257">
        <v>14</v>
      </c>
      <c r="P899" s="238" t="str">
        <f>VLOOKUP(_xlfn.CONCAT(Table3[[#This Row],[Target area]],Table3[[#This Row],[GHG target?]],Table3[[#This Row],[Conditionality]]),'Drop down'!$E$81:$F$101,2,FALSE)</f>
        <v>T_Transport_O_C</v>
      </c>
      <c r="Q899" s="239" t="str">
        <f>VLOOKUP(Table3[[#This Row],[Target type]],Table418[[Value name]:[Value idenifyer]],2,FALSE)</f>
        <v>T_O_EFF</v>
      </c>
      <c r="S899" s="233" t="s">
        <v>1101</v>
      </c>
      <c r="T899" s="240"/>
      <c r="U899" s="240"/>
      <c r="V899" s="233" t="str">
        <f>VLOOKUP(Table3[[#This Row],[Country Code]],Table29[],3,FALSE)</f>
        <v>Non-Annex I</v>
      </c>
      <c r="W899" s="233" t="str">
        <f>VLOOKUP(Table3[[#This Row],[Country Code]],Table29[],4,FALSE)</f>
        <v>Asia</v>
      </c>
      <c r="X899" s="233" t="str">
        <f>VLOOKUP(Table3[[#This Row],[Country Code]],Table29[],5,FALSE)</f>
        <v>Middle-income</v>
      </c>
      <c r="Y899" s="233" t="str">
        <f>VLOOKUP(Table3[[#This Row],[Country Code]],Table29[],6,FALSE)</f>
        <v>no</v>
      </c>
      <c r="Z899" s="233" t="str">
        <f>VLOOKUP(Table3[[#This Row],[Country Code]],Table29[],7,FALSE)</f>
        <v>no</v>
      </c>
      <c r="AA899" s="233" t="str">
        <f>VLOOKUP(Table3[[#This Row],[Country Code]],Table29[],8,FALSE)</f>
        <v>non-OECD</v>
      </c>
      <c r="AB899" s="233" t="str">
        <f>VLOOKUP(Table3[[#This Row],[Country Code]],Table29[],9,FALSE)</f>
        <v>no</v>
      </c>
      <c r="AC899" s="233" t="str">
        <f>VLOOKUP(Table3[[#This Row],[Country Code]],Table29[],10,FALSE)</f>
        <v>MENA</v>
      </c>
      <c r="AD899" s="235">
        <f>VLOOKUP(Table3[[#This Row],[Country Code]],Table29[],23,FALSE)</f>
        <v>0</v>
      </c>
      <c r="AE899" s="235">
        <f>VLOOKUP(Table3[[#This Row],[Country Code]],Table29[],24,FALSE)</f>
        <v>0</v>
      </c>
      <c r="AF899" s="43"/>
    </row>
    <row r="900" spans="1:32" ht="30" x14ac:dyDescent="0.25">
      <c r="A900" s="360">
        <v>23368</v>
      </c>
      <c r="B900" s="233" t="str">
        <f>VLOOKUP(Table3[[#This Row],[Document ID]],Table1[],2,FALSE)</f>
        <v>PSE</v>
      </c>
      <c r="C900" s="233" t="str">
        <f>VLOOKUP(Table3[[#This Row],[Document ID]],Table1[],3,FALSE)</f>
        <v>Palestine</v>
      </c>
      <c r="D900" s="233" t="str">
        <f>VLOOKUP(Table3[[#This Row],[Document ID]],Table1[],5,FALSE)</f>
        <v>NDC</v>
      </c>
      <c r="E900" s="233" t="str">
        <f>VLOOKUP(Table3[[#This Row],[Document ID]],Table1[],7,FALSE)</f>
        <v>First NDC updated</v>
      </c>
      <c r="F900" s="233" t="str">
        <f>VLOOKUP(Table3[[#This Row],[Document ID]],Table1[],8,FALSE)</f>
        <v>NDC 1.1</v>
      </c>
      <c r="G900" s="233" t="str">
        <f>VLOOKUP(Table3[[#This Row],[Document ID]],Table1[],10,FALSE)</f>
        <v>Active</v>
      </c>
      <c r="H900" s="42" t="s">
        <v>1095</v>
      </c>
      <c r="I900" s="42" t="s">
        <v>1096</v>
      </c>
      <c r="J900" s="42" t="s">
        <v>1097</v>
      </c>
      <c r="K900" s="28" t="s">
        <v>1137</v>
      </c>
      <c r="L900" s="43" t="s">
        <v>1092</v>
      </c>
      <c r="M900" s="209">
        <v>2040</v>
      </c>
      <c r="N900" s="220" t="s">
        <v>2013</v>
      </c>
      <c r="O900" s="257">
        <v>14</v>
      </c>
      <c r="P900" s="238" t="str">
        <f>VLOOKUP(_xlfn.CONCAT(Table3[[#This Row],[Target area]],Table3[[#This Row],[GHG target?]],Table3[[#This Row],[Conditionality]]),'Drop down'!$E$81:$F$101,2,FALSE)</f>
        <v>T_Transport_O_C</v>
      </c>
      <c r="Q900" s="239" t="str">
        <f>VLOOKUP(Table3[[#This Row],[Target type]],Table418[[Value name]:[Value idenifyer]],2,FALSE)</f>
        <v>T_O_EFF</v>
      </c>
      <c r="S900" s="233" t="s">
        <v>1101</v>
      </c>
      <c r="T900" s="240"/>
      <c r="U900" s="240"/>
      <c r="V900" s="233" t="str">
        <f>VLOOKUP(Table3[[#This Row],[Country Code]],Table29[],3,FALSE)</f>
        <v>Non-Annex I</v>
      </c>
      <c r="W900" s="233" t="str">
        <f>VLOOKUP(Table3[[#This Row],[Country Code]],Table29[],4,FALSE)</f>
        <v>Asia</v>
      </c>
      <c r="X900" s="233" t="str">
        <f>VLOOKUP(Table3[[#This Row],[Country Code]],Table29[],5,FALSE)</f>
        <v>Middle-income</v>
      </c>
      <c r="Y900" s="233" t="str">
        <f>VLOOKUP(Table3[[#This Row],[Country Code]],Table29[],6,FALSE)</f>
        <v>no</v>
      </c>
      <c r="Z900" s="233" t="str">
        <f>VLOOKUP(Table3[[#This Row],[Country Code]],Table29[],7,FALSE)</f>
        <v>no</v>
      </c>
      <c r="AA900" s="233" t="str">
        <f>VLOOKUP(Table3[[#This Row],[Country Code]],Table29[],8,FALSE)</f>
        <v>non-OECD</v>
      </c>
      <c r="AB900" s="233" t="str">
        <f>VLOOKUP(Table3[[#This Row],[Country Code]],Table29[],9,FALSE)</f>
        <v>no</v>
      </c>
      <c r="AC900" s="233" t="str">
        <f>VLOOKUP(Table3[[#This Row],[Country Code]],Table29[],10,FALSE)</f>
        <v>MENA</v>
      </c>
      <c r="AD900" s="235">
        <f>VLOOKUP(Table3[[#This Row],[Country Code]],Table29[],23,FALSE)</f>
        <v>0</v>
      </c>
      <c r="AE900" s="235">
        <f>VLOOKUP(Table3[[#This Row],[Country Code]],Table29[],24,FALSE)</f>
        <v>0</v>
      </c>
      <c r="AF900" s="43"/>
    </row>
    <row r="901" spans="1:32" x14ac:dyDescent="0.25">
      <c r="A901" s="360">
        <v>23368</v>
      </c>
      <c r="B901" s="233" t="str">
        <f>VLOOKUP(Table3[[#This Row],[Document ID]],Table1[],2,FALSE)</f>
        <v>PSE</v>
      </c>
      <c r="C901" s="233" t="str">
        <f>VLOOKUP(Table3[[#This Row],[Document ID]],Table1[],3,FALSE)</f>
        <v>Palestine</v>
      </c>
      <c r="D901" s="233" t="str">
        <f>VLOOKUP(Table3[[#This Row],[Document ID]],Table1[],5,FALSE)</f>
        <v>NDC</v>
      </c>
      <c r="E901" s="233" t="str">
        <f>VLOOKUP(Table3[[#This Row],[Document ID]],Table1[],7,FALSE)</f>
        <v>First NDC updated</v>
      </c>
      <c r="F901" s="233" t="str">
        <f>VLOOKUP(Table3[[#This Row],[Document ID]],Table1[],8,FALSE)</f>
        <v>NDC 1.1</v>
      </c>
      <c r="G901" s="233" t="str">
        <f>VLOOKUP(Table3[[#This Row],[Document ID]],Table1[],10,FALSE)</f>
        <v>Active</v>
      </c>
      <c r="H901" s="42" t="s">
        <v>1095</v>
      </c>
      <c r="I901" s="42" t="s">
        <v>1096</v>
      </c>
      <c r="J901" s="42" t="s">
        <v>1097</v>
      </c>
      <c r="K901" s="28" t="s">
        <v>1098</v>
      </c>
      <c r="L901" s="43" t="s">
        <v>1092</v>
      </c>
      <c r="M901" s="209">
        <v>2040</v>
      </c>
      <c r="N901" s="220" t="s">
        <v>2014</v>
      </c>
      <c r="O901" s="257">
        <v>14</v>
      </c>
      <c r="P901" s="238" t="str">
        <f>VLOOKUP(_xlfn.CONCAT(Table3[[#This Row],[Target area]],Table3[[#This Row],[GHG target?]],Table3[[#This Row],[Conditionality]]),'Drop down'!$E$81:$F$101,2,FALSE)</f>
        <v>T_Transport_O_C</v>
      </c>
      <c r="Q901" s="239" t="str">
        <f>VLOOKUP(Table3[[#This Row],[Target type]],Table418[[Value name]:[Value idenifyer]],2,FALSE)</f>
        <v>T_O_MODE</v>
      </c>
      <c r="S901" s="233" t="s">
        <v>1101</v>
      </c>
      <c r="T901" s="240"/>
      <c r="U901" s="240"/>
      <c r="V901" s="233" t="str">
        <f>VLOOKUP(Table3[[#This Row],[Country Code]],Table29[],3,FALSE)</f>
        <v>Non-Annex I</v>
      </c>
      <c r="W901" s="233" t="str">
        <f>VLOOKUP(Table3[[#This Row],[Country Code]],Table29[],4,FALSE)</f>
        <v>Asia</v>
      </c>
      <c r="X901" s="233" t="str">
        <f>VLOOKUP(Table3[[#This Row],[Country Code]],Table29[],5,FALSE)</f>
        <v>Middle-income</v>
      </c>
      <c r="Y901" s="233" t="str">
        <f>VLOOKUP(Table3[[#This Row],[Country Code]],Table29[],6,FALSE)</f>
        <v>no</v>
      </c>
      <c r="Z901" s="233" t="str">
        <f>VLOOKUP(Table3[[#This Row],[Country Code]],Table29[],7,FALSE)</f>
        <v>no</v>
      </c>
      <c r="AA901" s="233" t="str">
        <f>VLOOKUP(Table3[[#This Row],[Country Code]],Table29[],8,FALSE)</f>
        <v>non-OECD</v>
      </c>
      <c r="AB901" s="233" t="str">
        <f>VLOOKUP(Table3[[#This Row],[Country Code]],Table29[],9,FALSE)</f>
        <v>no</v>
      </c>
      <c r="AC901" s="233" t="str">
        <f>VLOOKUP(Table3[[#This Row],[Country Code]],Table29[],10,FALSE)</f>
        <v>MENA</v>
      </c>
      <c r="AD901" s="235">
        <f>VLOOKUP(Table3[[#This Row],[Country Code]],Table29[],23,FALSE)</f>
        <v>0</v>
      </c>
      <c r="AE901" s="235">
        <f>VLOOKUP(Table3[[#This Row],[Country Code]],Table29[],24,FALSE)</f>
        <v>0</v>
      </c>
      <c r="AF901" s="43"/>
    </row>
    <row r="902" spans="1:32" ht="75" x14ac:dyDescent="0.25">
      <c r="A902" s="360">
        <v>39449</v>
      </c>
      <c r="B902" s="233" t="str">
        <f>VLOOKUP(Table3[[#This Row],[Document ID]],Table1[],2,FALSE)</f>
        <v>LKA</v>
      </c>
      <c r="C902" s="233" t="str">
        <f>VLOOKUP(Table3[[#This Row],[Document ID]],Table1[],3,FALSE)</f>
        <v>Sri Lanka</v>
      </c>
      <c r="D902" s="233" t="str">
        <f>VLOOKUP(Table3[[#This Row],[Document ID]],Table1[],5,FALSE)</f>
        <v>LTS</v>
      </c>
      <c r="E902" s="233" t="str">
        <f>VLOOKUP(Table3[[#This Row],[Document ID]],Table1[],7,FALSE)</f>
        <v>LTS</v>
      </c>
      <c r="F902" s="241" t="str">
        <f>VLOOKUP(Table3[[#This Row],[Document ID]],Table1[],8,FALSE)</f>
        <v>LTS 1.0</v>
      </c>
      <c r="G902" s="233" t="str">
        <f>VLOOKUP(Table3[[#This Row],[Document ID]],Table1[],10,FALSE)</f>
        <v>Active</v>
      </c>
      <c r="H902" s="216" t="s">
        <v>1089</v>
      </c>
      <c r="I902" s="216" t="s">
        <v>1089</v>
      </c>
      <c r="J902" s="43" t="s">
        <v>1090</v>
      </c>
      <c r="K902" s="42" t="s">
        <v>1091</v>
      </c>
      <c r="L902" s="42" t="s">
        <v>1099</v>
      </c>
      <c r="M902" s="209">
        <v>2050</v>
      </c>
      <c r="N902" s="209" t="s">
        <v>2015</v>
      </c>
      <c r="O902" s="258">
        <v>81</v>
      </c>
      <c r="P902" s="238" t="str">
        <f>VLOOKUP(_xlfn.CONCAT(Table3[[#This Row],[Target area]],Table3[[#This Row],[GHG target?]],Table3[[#This Row],[Conditionality]]),'Drop down'!$E$81:$F$101,2,FALSE)</f>
        <v>T_Economy_Unc</v>
      </c>
      <c r="Q902" s="239" t="str">
        <f>VLOOKUP(Table3[[#This Row],[Target type]],Table418[[Value name]:[Value idenifyer]],2,FALSE)</f>
        <v>T_BAU</v>
      </c>
      <c r="S902" s="233" t="s">
        <v>1101</v>
      </c>
      <c r="T902" s="234" t="s">
        <v>1113</v>
      </c>
      <c r="U902" s="240"/>
      <c r="V902" s="233" t="str">
        <f>VLOOKUP(Table3[[#This Row],[Country Code]],Table29[],3,FALSE)</f>
        <v>Non-Annex I</v>
      </c>
      <c r="W902" s="233" t="str">
        <f>VLOOKUP(Table3[[#This Row],[Country Code]],Table29[],4,FALSE)</f>
        <v>Asia</v>
      </c>
      <c r="X902" s="233" t="str">
        <f>VLOOKUP(Table3[[#This Row],[Country Code]],Table29[],5,FALSE)</f>
        <v>Middle-income</v>
      </c>
      <c r="Y902" s="233" t="str">
        <f>VLOOKUP(Table3[[#This Row],[Country Code]],Table29[],6,FALSE)</f>
        <v>no</v>
      </c>
      <c r="Z902" s="233" t="str">
        <f>VLOOKUP(Table3[[#This Row],[Country Code]],Table29[],7,FALSE)</f>
        <v>no</v>
      </c>
      <c r="AA902" s="233" t="str">
        <f>VLOOKUP(Table3[[#This Row],[Country Code]],Table29[],8,FALSE)</f>
        <v>non-OECD</v>
      </c>
      <c r="AB902" s="233" t="str">
        <f>VLOOKUP(Table3[[#This Row],[Country Code]],Table29[],9,FALSE)</f>
        <v>no</v>
      </c>
      <c r="AC902" s="233" t="str">
        <f>VLOOKUP(Table3[[#This Row],[Country Code]],Table29[],10,FALSE)</f>
        <v>no</v>
      </c>
      <c r="AD902" s="235">
        <f>VLOOKUP(Table3[[#This Row],[Country Code]],Table29[],23,FALSE)</f>
        <v>38.403849844142002</v>
      </c>
      <c r="AE902" s="235">
        <f>VLOOKUP(Table3[[#This Row],[Country Code]],Table29[],24,FALSE)</f>
        <v>9.6330858743096854</v>
      </c>
      <c r="AF902" s="42"/>
    </row>
    <row r="903" spans="1:32" x14ac:dyDescent="0.25">
      <c r="A903" s="360">
        <v>23368</v>
      </c>
      <c r="B903" s="233" t="str">
        <f>VLOOKUP(Table3[[#This Row],[Document ID]],Table1[],2,FALSE)</f>
        <v>PSE</v>
      </c>
      <c r="C903" s="233" t="str">
        <f>VLOOKUP(Table3[[#This Row],[Document ID]],Table1[],3,FALSE)</f>
        <v>Palestine</v>
      </c>
      <c r="D903" s="233" t="str">
        <f>VLOOKUP(Table3[[#This Row],[Document ID]],Table1[],5,FALSE)</f>
        <v>NDC</v>
      </c>
      <c r="E903" s="233" t="str">
        <f>VLOOKUP(Table3[[#This Row],[Document ID]],Table1[],7,FALSE)</f>
        <v>First NDC updated</v>
      </c>
      <c r="F903" s="233" t="str">
        <f>VLOOKUP(Table3[[#This Row],[Document ID]],Table1[],8,FALSE)</f>
        <v>NDC 1.1</v>
      </c>
      <c r="G903" s="233" t="str">
        <f>VLOOKUP(Table3[[#This Row],[Document ID]],Table1[],10,FALSE)</f>
        <v>Active</v>
      </c>
      <c r="H903" s="42" t="s">
        <v>1095</v>
      </c>
      <c r="I903" s="42" t="s">
        <v>1096</v>
      </c>
      <c r="J903" s="42" t="s">
        <v>1097</v>
      </c>
      <c r="K903" s="28" t="s">
        <v>1175</v>
      </c>
      <c r="L903" s="216" t="s">
        <v>1092</v>
      </c>
      <c r="M903" s="209">
        <v>2040</v>
      </c>
      <c r="N903" s="42" t="s">
        <v>2016</v>
      </c>
      <c r="O903" s="257">
        <v>14</v>
      </c>
      <c r="P903" s="238" t="str">
        <f>VLOOKUP(_xlfn.CONCAT(Table3[[#This Row],[Target area]],Table3[[#This Row],[GHG target?]],Table3[[#This Row],[Conditionality]]),'Drop down'!$E$81:$F$101,2,FALSE)</f>
        <v>T_Transport_O_C</v>
      </c>
      <c r="Q903" s="239" t="str">
        <f>VLOOKUP(Table3[[#This Row],[Target type]],Table418[[Value name]:[Value idenifyer]],2,FALSE)</f>
        <v>T_O_AVOID</v>
      </c>
      <c r="S903" s="233" t="s">
        <v>1101</v>
      </c>
      <c r="T903" s="240"/>
      <c r="U903" s="240"/>
      <c r="V903" s="233" t="str">
        <f>VLOOKUP(Table3[[#This Row],[Country Code]],Table29[],3,FALSE)</f>
        <v>Non-Annex I</v>
      </c>
      <c r="W903" s="233" t="str">
        <f>VLOOKUP(Table3[[#This Row],[Country Code]],Table29[],4,FALSE)</f>
        <v>Asia</v>
      </c>
      <c r="X903" s="233" t="str">
        <f>VLOOKUP(Table3[[#This Row],[Country Code]],Table29[],5,FALSE)</f>
        <v>Middle-income</v>
      </c>
      <c r="Y903" s="233" t="str">
        <f>VLOOKUP(Table3[[#This Row],[Country Code]],Table29[],6,FALSE)</f>
        <v>no</v>
      </c>
      <c r="Z903" s="233" t="str">
        <f>VLOOKUP(Table3[[#This Row],[Country Code]],Table29[],7,FALSE)</f>
        <v>no</v>
      </c>
      <c r="AA903" s="233" t="str">
        <f>VLOOKUP(Table3[[#This Row],[Country Code]],Table29[],8,FALSE)</f>
        <v>non-OECD</v>
      </c>
      <c r="AB903" s="233" t="str">
        <f>VLOOKUP(Table3[[#This Row],[Country Code]],Table29[],9,FALSE)</f>
        <v>no</v>
      </c>
      <c r="AC903" s="233" t="str">
        <f>VLOOKUP(Table3[[#This Row],[Country Code]],Table29[],10,FALSE)</f>
        <v>MENA</v>
      </c>
      <c r="AD903" s="235">
        <f>VLOOKUP(Table3[[#This Row],[Country Code]],Table29[],23,FALSE)</f>
        <v>0</v>
      </c>
      <c r="AE903" s="235">
        <f>VLOOKUP(Table3[[#This Row],[Country Code]],Table29[],24,FALSE)</f>
        <v>0</v>
      </c>
      <c r="AF903" s="43"/>
    </row>
    <row r="904" spans="1:32" x14ac:dyDescent="0.25">
      <c r="A904" s="360">
        <v>17732</v>
      </c>
      <c r="B904" s="233" t="str">
        <f>VLOOKUP(Table3[[#This Row],[Document ID]],Table1[],2,FALSE)</f>
        <v>SGP</v>
      </c>
      <c r="C904" s="233" t="str">
        <f>VLOOKUP(Table3[[#This Row],[Document ID]],Table1[],3,FALSE)</f>
        <v>Singapore</v>
      </c>
      <c r="D904" s="233" t="str">
        <f>VLOOKUP(Table3[[#This Row],[Document ID]],Table1[],5,FALSE)</f>
        <v>LTS</v>
      </c>
      <c r="E904" s="233" t="str">
        <f>VLOOKUP(Table3[[#This Row],[Document ID]],Table1[],7,FALSE)</f>
        <v>Archived LTS 1.0</v>
      </c>
      <c r="F904" s="233" t="str">
        <f>VLOOKUP(Table3[[#This Row],[Document ID]],Table1[],8,FALSE)</f>
        <v>LTS 1.0</v>
      </c>
      <c r="G904" s="233" t="str">
        <f>VLOOKUP(Table3[[#This Row],[Document ID]],Table1[],10,FALSE)</f>
        <v>Archived</v>
      </c>
      <c r="H904" s="42" t="s">
        <v>1095</v>
      </c>
      <c r="I904" s="42" t="s">
        <v>1096</v>
      </c>
      <c r="J904" s="42" t="s">
        <v>1097</v>
      </c>
      <c r="K904" s="28" t="s">
        <v>1098</v>
      </c>
      <c r="L904" s="389" t="s">
        <v>1099</v>
      </c>
      <c r="M904" s="209">
        <v>2040</v>
      </c>
      <c r="N904" s="44" t="s">
        <v>2017</v>
      </c>
      <c r="O904" s="221">
        <v>8</v>
      </c>
      <c r="P904" s="238" t="str">
        <f>VLOOKUP(_xlfn.CONCAT(Table3[[#This Row],[Target area]],Table3[[#This Row],[GHG target?]],Table3[[#This Row],[Conditionality]]),'Drop down'!$E$81:$F$101,2,FALSE)</f>
        <v>T_Transport_O_Unc</v>
      </c>
      <c r="Q904" s="239" t="str">
        <f>VLOOKUP(Table3[[#This Row],[Target type]],Table418[[Value name]:[Value idenifyer]],2,FALSE)</f>
        <v>T_O_MODE</v>
      </c>
      <c r="S904" s="233" t="s">
        <v>1101</v>
      </c>
      <c r="T904" s="234" t="s">
        <v>1113</v>
      </c>
      <c r="U904" s="234" t="s">
        <v>1221</v>
      </c>
      <c r="V904" s="233" t="str">
        <f>VLOOKUP(Table3[[#This Row],[Country Code]],Table29[],3,FALSE)</f>
        <v>Non-Annex I</v>
      </c>
      <c r="W904" s="233" t="str">
        <f>VLOOKUP(Table3[[#This Row],[Country Code]],Table29[],4,FALSE)</f>
        <v>Asia</v>
      </c>
      <c r="X904" s="233" t="str">
        <f>VLOOKUP(Table3[[#This Row],[Country Code]],Table29[],5,FALSE)</f>
        <v>High-income</v>
      </c>
      <c r="Y904" s="233" t="str">
        <f>VLOOKUP(Table3[[#This Row],[Country Code]],Table29[],6,FALSE)</f>
        <v>no</v>
      </c>
      <c r="Z904" s="233" t="str">
        <f>VLOOKUP(Table3[[#This Row],[Country Code]],Table29[],7,FALSE)</f>
        <v>no</v>
      </c>
      <c r="AA904" s="233" t="str">
        <f>VLOOKUP(Table3[[#This Row],[Country Code]],Table29[],8,FALSE)</f>
        <v>non-OECD</v>
      </c>
      <c r="AB904" s="233" t="str">
        <f>VLOOKUP(Table3[[#This Row],[Country Code]],Table29[],9,FALSE)</f>
        <v>no</v>
      </c>
      <c r="AC904" s="233" t="str">
        <f>VLOOKUP(Table3[[#This Row],[Country Code]],Table29[],10,FALSE)</f>
        <v>no</v>
      </c>
      <c r="AD904" s="235">
        <f>VLOOKUP(Table3[[#This Row],[Country Code]],Table29[],23,FALSE)</f>
        <v>74.290132466078006</v>
      </c>
      <c r="AE904" s="235">
        <f>VLOOKUP(Table3[[#This Row],[Country Code]],Table29[],24,FALSE)</f>
        <v>6.8133364043247093</v>
      </c>
      <c r="AF904" s="43"/>
    </row>
    <row r="905" spans="1:32" x14ac:dyDescent="0.25">
      <c r="A905" s="360">
        <v>17732</v>
      </c>
      <c r="B905" s="233" t="str">
        <f>VLOOKUP(Table3[[#This Row],[Document ID]],Table1[],2,FALSE)</f>
        <v>SGP</v>
      </c>
      <c r="C905" s="233" t="str">
        <f>VLOOKUP(Table3[[#This Row],[Document ID]],Table1[],3,FALSE)</f>
        <v>Singapore</v>
      </c>
      <c r="D905" s="233" t="str">
        <f>VLOOKUP(Table3[[#This Row],[Document ID]],Table1[],5,FALSE)</f>
        <v>LTS</v>
      </c>
      <c r="E905" s="233" t="str">
        <f>VLOOKUP(Table3[[#This Row],[Document ID]],Table1[],7,FALSE)</f>
        <v>Archived LTS 1.0</v>
      </c>
      <c r="F905" s="233" t="str">
        <f>VLOOKUP(Table3[[#This Row],[Document ID]],Table1[],8,FALSE)</f>
        <v>LTS 1.0</v>
      </c>
      <c r="G905" s="233" t="str">
        <f>VLOOKUP(Table3[[#This Row],[Document ID]],Table1[],10,FALSE)</f>
        <v>Archived</v>
      </c>
      <c r="H905" s="42" t="s">
        <v>1095</v>
      </c>
      <c r="I905" s="42" t="s">
        <v>1096</v>
      </c>
      <c r="J905" s="42" t="s">
        <v>1097</v>
      </c>
      <c r="K905" s="28" t="s">
        <v>1098</v>
      </c>
      <c r="L905" s="389" t="s">
        <v>1099</v>
      </c>
      <c r="M905" s="209">
        <v>2040</v>
      </c>
      <c r="N905" s="44" t="s">
        <v>2018</v>
      </c>
      <c r="O905" s="221">
        <v>8</v>
      </c>
      <c r="P905" s="238" t="str">
        <f>VLOOKUP(_xlfn.CONCAT(Table3[[#This Row],[Target area]],Table3[[#This Row],[GHG target?]],Table3[[#This Row],[Conditionality]]),'Drop down'!$E$81:$F$101,2,FALSE)</f>
        <v>T_Transport_O_Unc</v>
      </c>
      <c r="Q905" s="239" t="str">
        <f>VLOOKUP(Table3[[#This Row],[Target type]],Table418[[Value name]:[Value idenifyer]],2,FALSE)</f>
        <v>T_O_MODE</v>
      </c>
      <c r="S905" s="233" t="s">
        <v>1101</v>
      </c>
      <c r="T905" s="234" t="s">
        <v>1113</v>
      </c>
      <c r="U905" s="234" t="s">
        <v>1221</v>
      </c>
      <c r="V905" s="233" t="str">
        <f>VLOOKUP(Table3[[#This Row],[Country Code]],Table29[],3,FALSE)</f>
        <v>Non-Annex I</v>
      </c>
      <c r="W905" s="233" t="str">
        <f>VLOOKUP(Table3[[#This Row],[Country Code]],Table29[],4,FALSE)</f>
        <v>Asia</v>
      </c>
      <c r="X905" s="233" t="str">
        <f>VLOOKUP(Table3[[#This Row],[Country Code]],Table29[],5,FALSE)</f>
        <v>High-income</v>
      </c>
      <c r="Y905" s="233" t="str">
        <f>VLOOKUP(Table3[[#This Row],[Country Code]],Table29[],6,FALSE)</f>
        <v>no</v>
      </c>
      <c r="Z905" s="233" t="str">
        <f>VLOOKUP(Table3[[#This Row],[Country Code]],Table29[],7,FALSE)</f>
        <v>no</v>
      </c>
      <c r="AA905" s="233" t="str">
        <f>VLOOKUP(Table3[[#This Row],[Country Code]],Table29[],8,FALSE)</f>
        <v>non-OECD</v>
      </c>
      <c r="AB905" s="233" t="str">
        <f>VLOOKUP(Table3[[#This Row],[Country Code]],Table29[],9,FALSE)</f>
        <v>no</v>
      </c>
      <c r="AC905" s="233" t="str">
        <f>VLOOKUP(Table3[[#This Row],[Country Code]],Table29[],10,FALSE)</f>
        <v>no</v>
      </c>
      <c r="AD905" s="235">
        <f>VLOOKUP(Table3[[#This Row],[Country Code]],Table29[],23,FALSE)</f>
        <v>74.290132466078006</v>
      </c>
      <c r="AE905" s="235">
        <f>VLOOKUP(Table3[[#This Row],[Country Code]],Table29[],24,FALSE)</f>
        <v>6.8133364043247093</v>
      </c>
      <c r="AF905" s="43"/>
    </row>
    <row r="906" spans="1:32" ht="30" x14ac:dyDescent="0.25">
      <c r="A906" s="360">
        <v>17732</v>
      </c>
      <c r="B906" s="233" t="str">
        <f>VLOOKUP(Table3[[#This Row],[Document ID]],Table1[],2,FALSE)</f>
        <v>SGP</v>
      </c>
      <c r="C906" s="233" t="str">
        <f>VLOOKUP(Table3[[#This Row],[Document ID]],Table1[],3,FALSE)</f>
        <v>Singapore</v>
      </c>
      <c r="D906" s="233" t="str">
        <f>VLOOKUP(Table3[[#This Row],[Document ID]],Table1[],5,FALSE)</f>
        <v>LTS</v>
      </c>
      <c r="E906" s="233" t="str">
        <f>VLOOKUP(Table3[[#This Row],[Document ID]],Table1[],7,FALSE)</f>
        <v>Archived LTS 1.0</v>
      </c>
      <c r="F906" s="233" t="str">
        <f>VLOOKUP(Table3[[#This Row],[Document ID]],Table1[],8,FALSE)</f>
        <v>LTS 1.0</v>
      </c>
      <c r="G906" s="233" t="str">
        <f>VLOOKUP(Table3[[#This Row],[Document ID]],Table1[],10,FALSE)</f>
        <v>Archived</v>
      </c>
      <c r="H906" s="42" t="s">
        <v>1095</v>
      </c>
      <c r="I906" s="42" t="s">
        <v>1096</v>
      </c>
      <c r="J906" s="42" t="s">
        <v>1097</v>
      </c>
      <c r="K906" s="28" t="s">
        <v>1104</v>
      </c>
      <c r="L906" s="389" t="s">
        <v>1099</v>
      </c>
      <c r="M906" s="209">
        <v>2040</v>
      </c>
      <c r="N906" s="44" t="s">
        <v>2019</v>
      </c>
      <c r="O906" s="221">
        <v>8</v>
      </c>
      <c r="P906" s="238" t="str">
        <f>VLOOKUP(_xlfn.CONCAT(Table3[[#This Row],[Target area]],Table3[[#This Row],[GHG target?]],Table3[[#This Row],[Conditionality]]),'Drop down'!$E$81:$F$101,2,FALSE)</f>
        <v>T_Transport_O_Unc</v>
      </c>
      <c r="Q906" s="239" t="str">
        <f>VLOOKUP(Table3[[#This Row],[Target type]],Table418[[Value name]:[Value idenifyer]],2,FALSE)</f>
        <v>T_O_ZERO</v>
      </c>
      <c r="S906" s="233" t="s">
        <v>1101</v>
      </c>
      <c r="T906" s="234" t="s">
        <v>1113</v>
      </c>
      <c r="U906" s="234" t="s">
        <v>1221</v>
      </c>
      <c r="V906" s="233" t="str">
        <f>VLOOKUP(Table3[[#This Row],[Country Code]],Table29[],3,FALSE)</f>
        <v>Non-Annex I</v>
      </c>
      <c r="W906" s="233" t="str">
        <f>VLOOKUP(Table3[[#This Row],[Country Code]],Table29[],4,FALSE)</f>
        <v>Asia</v>
      </c>
      <c r="X906" s="233" t="str">
        <f>VLOOKUP(Table3[[#This Row],[Country Code]],Table29[],5,FALSE)</f>
        <v>High-income</v>
      </c>
      <c r="Y906" s="233" t="str">
        <f>VLOOKUP(Table3[[#This Row],[Country Code]],Table29[],6,FALSE)</f>
        <v>no</v>
      </c>
      <c r="Z906" s="233" t="str">
        <f>VLOOKUP(Table3[[#This Row],[Country Code]],Table29[],7,FALSE)</f>
        <v>no</v>
      </c>
      <c r="AA906" s="233" t="str">
        <f>VLOOKUP(Table3[[#This Row],[Country Code]],Table29[],8,FALSE)</f>
        <v>non-OECD</v>
      </c>
      <c r="AB906" s="233" t="str">
        <f>VLOOKUP(Table3[[#This Row],[Country Code]],Table29[],9,FALSE)</f>
        <v>no</v>
      </c>
      <c r="AC906" s="233" t="str">
        <f>VLOOKUP(Table3[[#This Row],[Country Code]],Table29[],10,FALSE)</f>
        <v>no</v>
      </c>
      <c r="AD906" s="235">
        <f>VLOOKUP(Table3[[#This Row],[Country Code]],Table29[],23,FALSE)</f>
        <v>74.290132466078006</v>
      </c>
      <c r="AE906" s="235">
        <f>VLOOKUP(Table3[[#This Row],[Country Code]],Table29[],24,FALSE)</f>
        <v>6.8133364043247093</v>
      </c>
      <c r="AF906" s="43"/>
    </row>
    <row r="907" spans="1:32" ht="30" x14ac:dyDescent="0.25">
      <c r="A907" s="360">
        <v>32514</v>
      </c>
      <c r="B907" s="233" t="str">
        <f>VLOOKUP(Table3[[#This Row],[Document ID]],Table1[],2,FALSE)</f>
        <v>SGP</v>
      </c>
      <c r="C907" s="233" t="str">
        <f>VLOOKUP(Table3[[#This Row],[Document ID]],Table1[],3,FALSE)</f>
        <v>Singapore</v>
      </c>
      <c r="D907" s="233" t="str">
        <f>VLOOKUP(Table3[[#This Row],[Document ID]],Table1[],5,FALSE)</f>
        <v>NDC</v>
      </c>
      <c r="E907" s="233" t="str">
        <f>VLOOKUP(Table3[[#This Row],[Document ID]],Table1[],7,FALSE)</f>
        <v>First NDC updated</v>
      </c>
      <c r="F907" s="233" t="str">
        <f>VLOOKUP(Table3[[#This Row],[Document ID]],Table1[],8,FALSE)</f>
        <v>NDC 1.2</v>
      </c>
      <c r="G907" s="233" t="str">
        <f>VLOOKUP(Table3[[#This Row],[Document ID]],Table1[],10,FALSE)</f>
        <v>Archived</v>
      </c>
      <c r="H907" s="42" t="s">
        <v>1095</v>
      </c>
      <c r="I907" s="42" t="s">
        <v>1096</v>
      </c>
      <c r="J907" s="42" t="s">
        <v>1097</v>
      </c>
      <c r="K907" s="28" t="s">
        <v>1104</v>
      </c>
      <c r="L907" s="389" t="s">
        <v>1099</v>
      </c>
      <c r="M907" s="209">
        <v>2040</v>
      </c>
      <c r="N907" s="43" t="s">
        <v>2020</v>
      </c>
      <c r="O907" s="258">
        <v>19</v>
      </c>
      <c r="P907" s="238" t="str">
        <f>VLOOKUP(_xlfn.CONCAT(Table3[[#This Row],[Target area]],Table3[[#This Row],[GHG target?]],Table3[[#This Row],[Conditionality]]),'Drop down'!$E$81:$F$101,2,FALSE)</f>
        <v>T_Transport_O_Unc</v>
      </c>
      <c r="Q907" s="239" t="str">
        <f>VLOOKUP(Table3[[#This Row],[Target type]],Table418[[Value name]:[Value idenifyer]],2,FALSE)</f>
        <v>T_O_ZERO</v>
      </c>
      <c r="S907" s="233" t="s">
        <v>1101</v>
      </c>
      <c r="T907" s="234" t="s">
        <v>1113</v>
      </c>
      <c r="U907" s="234" t="s">
        <v>1221</v>
      </c>
      <c r="V907" s="233" t="str">
        <f>VLOOKUP(Table3[[#This Row],[Country Code]],Table29[],3,FALSE)</f>
        <v>Non-Annex I</v>
      </c>
      <c r="W907" s="233" t="str">
        <f>VLOOKUP(Table3[[#This Row],[Country Code]],Table29[],4,FALSE)</f>
        <v>Asia</v>
      </c>
      <c r="X907" s="233" t="str">
        <f>VLOOKUP(Table3[[#This Row],[Country Code]],Table29[],5,FALSE)</f>
        <v>High-income</v>
      </c>
      <c r="Y907" s="233" t="str">
        <f>VLOOKUP(Table3[[#This Row],[Country Code]],Table29[],6,FALSE)</f>
        <v>no</v>
      </c>
      <c r="Z907" s="233" t="str">
        <f>VLOOKUP(Table3[[#This Row],[Country Code]],Table29[],7,FALSE)</f>
        <v>no</v>
      </c>
      <c r="AA907" s="233" t="str">
        <f>VLOOKUP(Table3[[#This Row],[Country Code]],Table29[],8,FALSE)</f>
        <v>non-OECD</v>
      </c>
      <c r="AB907" s="233" t="str">
        <f>VLOOKUP(Table3[[#This Row],[Country Code]],Table29[],9,FALSE)</f>
        <v>no</v>
      </c>
      <c r="AC907" s="233" t="str">
        <f>VLOOKUP(Table3[[#This Row],[Country Code]],Table29[],10,FALSE)</f>
        <v>no</v>
      </c>
      <c r="AD907" s="235">
        <f>VLOOKUP(Table3[[#This Row],[Country Code]],Table29[],23,FALSE)</f>
        <v>74.290132466078006</v>
      </c>
      <c r="AE907" s="235">
        <f>VLOOKUP(Table3[[#This Row],[Country Code]],Table29[],24,FALSE)</f>
        <v>6.8133364043247093</v>
      </c>
      <c r="AF907" s="43"/>
    </row>
    <row r="908" spans="1:32" ht="30" x14ac:dyDescent="0.25">
      <c r="A908" s="360">
        <v>39448</v>
      </c>
      <c r="B908" s="233" t="str">
        <f>VLOOKUP(Table3[[#This Row],[Document ID]],Table1[],2,FALSE)</f>
        <v>SLB</v>
      </c>
      <c r="C908" s="233" t="str">
        <f>VLOOKUP(Table3[[#This Row],[Document ID]],Table1[],3,FALSE)</f>
        <v>Solomon Islands</v>
      </c>
      <c r="D908" s="233" t="str">
        <f>VLOOKUP(Table3[[#This Row],[Document ID]],Table1[],5,FALSE)</f>
        <v>LTS</v>
      </c>
      <c r="E908" s="233" t="str">
        <f>VLOOKUP(Table3[[#This Row],[Document ID]],Table1[],7,FALSE)</f>
        <v>LTS</v>
      </c>
      <c r="F908" s="233" t="str">
        <f>VLOOKUP(Table3[[#This Row],[Document ID]],Table1[],8,FALSE)</f>
        <v>LTS 1.0</v>
      </c>
      <c r="G908" s="233" t="str">
        <f>VLOOKUP(Table3[[#This Row],[Document ID]],Table1[],10,FALSE)</f>
        <v>Active</v>
      </c>
      <c r="H908" s="42" t="s">
        <v>1095</v>
      </c>
      <c r="I908" s="43" t="s">
        <v>1096</v>
      </c>
      <c r="J908" s="43" t="s">
        <v>1090</v>
      </c>
      <c r="K908" s="43" t="s">
        <v>1091</v>
      </c>
      <c r="L908" s="216" t="s">
        <v>1092</v>
      </c>
      <c r="M908" s="209">
        <v>2030</v>
      </c>
      <c r="N908" s="44" t="s">
        <v>2021</v>
      </c>
      <c r="O908" s="258">
        <v>32</v>
      </c>
      <c r="P908" s="238" t="str">
        <f>VLOOKUP(_xlfn.CONCAT(Table3[[#This Row],[Target area]],Table3[[#This Row],[GHG target?]],Table3[[#This Row],[Conditionality]]),'Drop down'!$E$81:$F$101,2,FALSE)</f>
        <v>T_Transport_C</v>
      </c>
      <c r="Q908" s="239" t="str">
        <f>VLOOKUP(Table3[[#This Row],[Target type]],Table418[[Value name]:[Value idenifyer]],2,FALSE)</f>
        <v>T_BAU</v>
      </c>
      <c r="S908" s="233" t="s">
        <v>1125</v>
      </c>
      <c r="T908" s="234" t="s">
        <v>1113</v>
      </c>
      <c r="U908" s="240"/>
      <c r="V908" s="233" t="str">
        <f>VLOOKUP(Table3[[#This Row],[Country Code]],Table29[],3,FALSE)</f>
        <v>Non-Annex I</v>
      </c>
      <c r="W908" s="233" t="str">
        <f>VLOOKUP(Table3[[#This Row],[Country Code]],Table29[],4,FALSE)</f>
        <v>Oceania</v>
      </c>
      <c r="X908" s="233" t="str">
        <f>VLOOKUP(Table3[[#This Row],[Country Code]],Table29[],5,FALSE)</f>
        <v>Middle-income</v>
      </c>
      <c r="Y908" s="233" t="str">
        <f>VLOOKUP(Table3[[#This Row],[Country Code]],Table29[],6,FALSE)</f>
        <v>no</v>
      </c>
      <c r="Z908" s="233" t="str">
        <f>VLOOKUP(Table3[[#This Row],[Country Code]],Table29[],7,FALSE)</f>
        <v>no</v>
      </c>
      <c r="AA908" s="233" t="str">
        <f>VLOOKUP(Table3[[#This Row],[Country Code]],Table29[],8,FALSE)</f>
        <v>non-OECD</v>
      </c>
      <c r="AB908" s="233" t="str">
        <f>VLOOKUP(Table3[[#This Row],[Country Code]],Table29[],9,FALSE)</f>
        <v>no</v>
      </c>
      <c r="AC908" s="233" t="str">
        <f>VLOOKUP(Table3[[#This Row],[Country Code]],Table29[],10,FALSE)</f>
        <v>no</v>
      </c>
      <c r="AD908" s="235">
        <f>VLOOKUP(Table3[[#This Row],[Country Code]],Table29[],23,FALSE)</f>
        <v>0.72081774636639995</v>
      </c>
      <c r="AE908" s="235">
        <f>VLOOKUP(Table3[[#This Row],[Country Code]],Table29[],24,FALSE)</f>
        <v>0.21700975961810029</v>
      </c>
      <c r="AF908" s="43"/>
    </row>
    <row r="909" spans="1:32" ht="30" x14ac:dyDescent="0.25">
      <c r="A909" s="360">
        <v>39448</v>
      </c>
      <c r="B909" s="233" t="str">
        <f>VLOOKUP(Table3[[#This Row],[Document ID]],Table1[],2,FALSE)</f>
        <v>SLB</v>
      </c>
      <c r="C909" s="233" t="str">
        <f>VLOOKUP(Table3[[#This Row],[Document ID]],Table1[],3,FALSE)</f>
        <v>Solomon Islands</v>
      </c>
      <c r="D909" s="233" t="str">
        <f>VLOOKUP(Table3[[#This Row],[Document ID]],Table1[],5,FALSE)</f>
        <v>LTS</v>
      </c>
      <c r="E909" s="233" t="str">
        <f>VLOOKUP(Table3[[#This Row],[Document ID]],Table1[],7,FALSE)</f>
        <v>LTS</v>
      </c>
      <c r="F909" s="233" t="str">
        <f>VLOOKUP(Table3[[#This Row],[Document ID]],Table1[],8,FALSE)</f>
        <v>LTS 1.0</v>
      </c>
      <c r="G909" s="233" t="str">
        <f>VLOOKUP(Table3[[#This Row],[Document ID]],Table1[],10,FALSE)</f>
        <v>Active</v>
      </c>
      <c r="H909" s="42" t="s">
        <v>1095</v>
      </c>
      <c r="I909" s="43" t="s">
        <v>1096</v>
      </c>
      <c r="J909" s="43" t="s">
        <v>1090</v>
      </c>
      <c r="K909" s="28" t="s">
        <v>1121</v>
      </c>
      <c r="L909" s="216" t="s">
        <v>1092</v>
      </c>
      <c r="M909" s="209">
        <v>2050</v>
      </c>
      <c r="N909" s="44" t="s">
        <v>2022</v>
      </c>
      <c r="O909" s="258">
        <v>32</v>
      </c>
      <c r="P909" s="238" t="str">
        <f>VLOOKUP(_xlfn.CONCAT(Table3[[#This Row],[Target area]],Table3[[#This Row],[GHG target?]],Table3[[#This Row],[Conditionality]]),'Drop down'!$E$81:$F$101,2,FALSE)</f>
        <v>T_Transport_C</v>
      </c>
      <c r="Q909" s="239" t="str">
        <f>VLOOKUP(Table3[[#This Row],[Target type]],Table418[[Value name]:[Value idenifyer]],2,FALSE)</f>
        <v>T_FL</v>
      </c>
      <c r="S909" s="233" t="s">
        <v>1125</v>
      </c>
      <c r="T909" s="234" t="s">
        <v>1113</v>
      </c>
      <c r="U909" s="240"/>
      <c r="V909" s="233" t="str">
        <f>VLOOKUP(Table3[[#This Row],[Country Code]],Table29[],3,FALSE)</f>
        <v>Non-Annex I</v>
      </c>
      <c r="W909" s="233" t="str">
        <f>VLOOKUP(Table3[[#This Row],[Country Code]],Table29[],4,FALSE)</f>
        <v>Oceania</v>
      </c>
      <c r="X909" s="233" t="str">
        <f>VLOOKUP(Table3[[#This Row],[Country Code]],Table29[],5,FALSE)</f>
        <v>Middle-income</v>
      </c>
      <c r="Y909" s="233" t="str">
        <f>VLOOKUP(Table3[[#This Row],[Country Code]],Table29[],6,FALSE)</f>
        <v>no</v>
      </c>
      <c r="Z909" s="233" t="str">
        <f>VLOOKUP(Table3[[#This Row],[Country Code]],Table29[],7,FALSE)</f>
        <v>no</v>
      </c>
      <c r="AA909" s="233" t="str">
        <f>VLOOKUP(Table3[[#This Row],[Country Code]],Table29[],8,FALSE)</f>
        <v>non-OECD</v>
      </c>
      <c r="AB909" s="233" t="str">
        <f>VLOOKUP(Table3[[#This Row],[Country Code]],Table29[],9,FALSE)</f>
        <v>no</v>
      </c>
      <c r="AC909" s="233" t="str">
        <f>VLOOKUP(Table3[[#This Row],[Country Code]],Table29[],10,FALSE)</f>
        <v>no</v>
      </c>
      <c r="AD909" s="235">
        <f>VLOOKUP(Table3[[#This Row],[Country Code]],Table29[],23,FALSE)</f>
        <v>0.72081774636639995</v>
      </c>
      <c r="AE909" s="235">
        <f>VLOOKUP(Table3[[#This Row],[Country Code]],Table29[],24,FALSE)</f>
        <v>0.21700975961810029</v>
      </c>
      <c r="AF909" s="43"/>
    </row>
    <row r="910" spans="1:32" ht="30" x14ac:dyDescent="0.25">
      <c r="A910" s="360">
        <v>39448</v>
      </c>
      <c r="B910" s="233" t="str">
        <f>VLOOKUP(Table3[[#This Row],[Document ID]],Table1[],2,FALSE)</f>
        <v>SLB</v>
      </c>
      <c r="C910" s="233" t="str">
        <f>VLOOKUP(Table3[[#This Row],[Document ID]],Table1[],3,FALSE)</f>
        <v>Solomon Islands</v>
      </c>
      <c r="D910" s="233" t="str">
        <f>VLOOKUP(Table3[[#This Row],[Document ID]],Table1[],5,FALSE)</f>
        <v>LTS</v>
      </c>
      <c r="E910" s="233" t="str">
        <f>VLOOKUP(Table3[[#This Row],[Document ID]],Table1[],7,FALSE)</f>
        <v>LTS</v>
      </c>
      <c r="F910" s="233" t="str">
        <f>VLOOKUP(Table3[[#This Row],[Document ID]],Table1[],8,FALSE)</f>
        <v>LTS 1.0</v>
      </c>
      <c r="G910" s="233" t="str">
        <f>VLOOKUP(Table3[[#This Row],[Document ID]],Table1[],10,FALSE)</f>
        <v>Active</v>
      </c>
      <c r="H910" s="42" t="s">
        <v>1095</v>
      </c>
      <c r="I910" s="42" t="s">
        <v>1096</v>
      </c>
      <c r="J910" s="42" t="s">
        <v>1097</v>
      </c>
      <c r="K910" s="28" t="s">
        <v>1104</v>
      </c>
      <c r="L910" s="216" t="s">
        <v>1092</v>
      </c>
      <c r="M910" s="209">
        <v>2050</v>
      </c>
      <c r="N910" s="44" t="s">
        <v>2023</v>
      </c>
      <c r="O910" s="258">
        <v>34</v>
      </c>
      <c r="P910" s="238" t="str">
        <f>VLOOKUP(_xlfn.CONCAT(Table3[[#This Row],[Target area]],Table3[[#This Row],[GHG target?]],Table3[[#This Row],[Conditionality]]),'Drop down'!$E$81:$F$101,2,FALSE)</f>
        <v>T_Transport_O_C</v>
      </c>
      <c r="Q910" s="239" t="str">
        <f>VLOOKUP(Table3[[#This Row],[Target type]],Table418[[Value name]:[Value idenifyer]],2,FALSE)</f>
        <v>T_O_ZERO</v>
      </c>
      <c r="S910" s="233" t="s">
        <v>1125</v>
      </c>
      <c r="T910" s="234" t="s">
        <v>1113</v>
      </c>
      <c r="U910" s="240"/>
      <c r="V910" s="233" t="str">
        <f>VLOOKUP(Table3[[#This Row],[Country Code]],Table29[],3,FALSE)</f>
        <v>Non-Annex I</v>
      </c>
      <c r="W910" s="233" t="str">
        <f>VLOOKUP(Table3[[#This Row],[Country Code]],Table29[],4,FALSE)</f>
        <v>Oceania</v>
      </c>
      <c r="X910" s="233" t="str">
        <f>VLOOKUP(Table3[[#This Row],[Country Code]],Table29[],5,FALSE)</f>
        <v>Middle-income</v>
      </c>
      <c r="Y910" s="233" t="str">
        <f>VLOOKUP(Table3[[#This Row],[Country Code]],Table29[],6,FALSE)</f>
        <v>no</v>
      </c>
      <c r="Z910" s="233" t="str">
        <f>VLOOKUP(Table3[[#This Row],[Country Code]],Table29[],7,FALSE)</f>
        <v>no</v>
      </c>
      <c r="AA910" s="233" t="str">
        <f>VLOOKUP(Table3[[#This Row],[Country Code]],Table29[],8,FALSE)</f>
        <v>non-OECD</v>
      </c>
      <c r="AB910" s="233" t="str">
        <f>VLOOKUP(Table3[[#This Row],[Country Code]],Table29[],9,FALSE)</f>
        <v>no</v>
      </c>
      <c r="AC910" s="233" t="str">
        <f>VLOOKUP(Table3[[#This Row],[Country Code]],Table29[],10,FALSE)</f>
        <v>no</v>
      </c>
      <c r="AD910" s="235">
        <f>VLOOKUP(Table3[[#This Row],[Country Code]],Table29[],23,FALSE)</f>
        <v>0.72081774636639995</v>
      </c>
      <c r="AE910" s="235">
        <f>VLOOKUP(Table3[[#This Row],[Country Code]],Table29[],24,FALSE)</f>
        <v>0.21700975961810029</v>
      </c>
      <c r="AF910" s="43"/>
    </row>
    <row r="911" spans="1:32" ht="30" x14ac:dyDescent="0.25">
      <c r="A911" s="360">
        <v>39448</v>
      </c>
      <c r="B911" s="233" t="str">
        <f>VLOOKUP(Table3[[#This Row],[Document ID]],Table1[],2,FALSE)</f>
        <v>SLB</v>
      </c>
      <c r="C911" s="233" t="str">
        <f>VLOOKUP(Table3[[#This Row],[Document ID]],Table1[],3,FALSE)</f>
        <v>Solomon Islands</v>
      </c>
      <c r="D911" s="233" t="str">
        <f>VLOOKUP(Table3[[#This Row],[Document ID]],Table1[],5,FALSE)</f>
        <v>LTS</v>
      </c>
      <c r="E911" s="233" t="str">
        <f>VLOOKUP(Table3[[#This Row],[Document ID]],Table1[],7,FALSE)</f>
        <v>LTS</v>
      </c>
      <c r="F911" s="233" t="str">
        <f>VLOOKUP(Table3[[#This Row],[Document ID]],Table1[],8,FALSE)</f>
        <v>LTS 1.0</v>
      </c>
      <c r="G911" s="233" t="str">
        <f>VLOOKUP(Table3[[#This Row],[Document ID]],Table1[],10,FALSE)</f>
        <v>Active</v>
      </c>
      <c r="H911" s="42" t="s">
        <v>1095</v>
      </c>
      <c r="I911" s="42" t="s">
        <v>1096</v>
      </c>
      <c r="J911" s="42" t="s">
        <v>1097</v>
      </c>
      <c r="K911" s="28" t="s">
        <v>1104</v>
      </c>
      <c r="L911" s="216" t="s">
        <v>1092</v>
      </c>
      <c r="M911" s="209">
        <v>2050</v>
      </c>
      <c r="N911" s="44" t="s">
        <v>2024</v>
      </c>
      <c r="O911" s="258">
        <v>34</v>
      </c>
      <c r="P911" s="238" t="str">
        <f>VLOOKUP(_xlfn.CONCAT(Table3[[#This Row],[Target area]],Table3[[#This Row],[GHG target?]],Table3[[#This Row],[Conditionality]]),'Drop down'!$E$81:$F$101,2,FALSE)</f>
        <v>T_Transport_O_C</v>
      </c>
      <c r="Q911" s="239" t="str">
        <f>VLOOKUP(Table3[[#This Row],[Target type]],Table418[[Value name]:[Value idenifyer]],2,FALSE)</f>
        <v>T_O_ZERO</v>
      </c>
      <c r="S911" s="233" t="s">
        <v>1125</v>
      </c>
      <c r="T911" s="234" t="s">
        <v>1113</v>
      </c>
      <c r="U911" s="240"/>
      <c r="V911" s="233" t="str">
        <f>VLOOKUP(Table3[[#This Row],[Country Code]],Table29[],3,FALSE)</f>
        <v>Non-Annex I</v>
      </c>
      <c r="W911" s="233" t="str">
        <f>VLOOKUP(Table3[[#This Row],[Country Code]],Table29[],4,FALSE)</f>
        <v>Oceania</v>
      </c>
      <c r="X911" s="233" t="str">
        <f>VLOOKUP(Table3[[#This Row],[Country Code]],Table29[],5,FALSE)</f>
        <v>Middle-income</v>
      </c>
      <c r="Y911" s="233" t="str">
        <f>VLOOKUP(Table3[[#This Row],[Country Code]],Table29[],6,FALSE)</f>
        <v>no</v>
      </c>
      <c r="Z911" s="233" t="str">
        <f>VLOOKUP(Table3[[#This Row],[Country Code]],Table29[],7,FALSE)</f>
        <v>no</v>
      </c>
      <c r="AA911" s="233" t="str">
        <f>VLOOKUP(Table3[[#This Row],[Country Code]],Table29[],8,FALSE)</f>
        <v>non-OECD</v>
      </c>
      <c r="AB911" s="233" t="str">
        <f>VLOOKUP(Table3[[#This Row],[Country Code]],Table29[],9,FALSE)</f>
        <v>no</v>
      </c>
      <c r="AC911" s="233" t="str">
        <f>VLOOKUP(Table3[[#This Row],[Country Code]],Table29[],10,FALSE)</f>
        <v>no</v>
      </c>
      <c r="AD911" s="235">
        <f>VLOOKUP(Table3[[#This Row],[Country Code]],Table29[],23,FALSE)</f>
        <v>0.72081774636639995</v>
      </c>
      <c r="AE911" s="235">
        <f>VLOOKUP(Table3[[#This Row],[Country Code]],Table29[],24,FALSE)</f>
        <v>0.21700975961810029</v>
      </c>
      <c r="AF911" s="43"/>
    </row>
    <row r="912" spans="1:32" ht="30" x14ac:dyDescent="0.25">
      <c r="A912" s="360">
        <v>39448</v>
      </c>
      <c r="B912" s="233" t="str">
        <f>VLOOKUP(Table3[[#This Row],[Document ID]],Table1[],2,FALSE)</f>
        <v>SLB</v>
      </c>
      <c r="C912" s="233" t="str">
        <f>VLOOKUP(Table3[[#This Row],[Document ID]],Table1[],3,FALSE)</f>
        <v>Solomon Islands</v>
      </c>
      <c r="D912" s="233" t="str">
        <f>VLOOKUP(Table3[[#This Row],[Document ID]],Table1[],5,FALSE)</f>
        <v>LTS</v>
      </c>
      <c r="E912" s="233" t="str">
        <f>VLOOKUP(Table3[[#This Row],[Document ID]],Table1[],7,FALSE)</f>
        <v>LTS</v>
      </c>
      <c r="F912" s="233" t="str">
        <f>VLOOKUP(Table3[[#This Row],[Document ID]],Table1[],8,FALSE)</f>
        <v>LTS 1.0</v>
      </c>
      <c r="G912" s="233" t="str">
        <f>VLOOKUP(Table3[[#This Row],[Document ID]],Table1[],10,FALSE)</f>
        <v>Active</v>
      </c>
      <c r="H912" s="42" t="s">
        <v>1095</v>
      </c>
      <c r="I912" s="42" t="s">
        <v>1096</v>
      </c>
      <c r="J912" s="42" t="s">
        <v>1097</v>
      </c>
      <c r="K912" s="28" t="s">
        <v>1137</v>
      </c>
      <c r="L912" s="216" t="s">
        <v>1092</v>
      </c>
      <c r="M912" s="209">
        <v>2050</v>
      </c>
      <c r="N912" s="44" t="s">
        <v>2025</v>
      </c>
      <c r="O912" s="258">
        <v>34</v>
      </c>
      <c r="P912" s="238" t="str">
        <f>VLOOKUP(_xlfn.CONCAT(Table3[[#This Row],[Target area]],Table3[[#This Row],[GHG target?]],Table3[[#This Row],[Conditionality]]),'Drop down'!$E$81:$F$101,2,FALSE)</f>
        <v>T_Transport_O_C</v>
      </c>
      <c r="Q912" s="239" t="str">
        <f>VLOOKUP(Table3[[#This Row],[Target type]],Table418[[Value name]:[Value idenifyer]],2,FALSE)</f>
        <v>T_O_EFF</v>
      </c>
      <c r="S912" s="233" t="s">
        <v>1125</v>
      </c>
      <c r="T912" s="234" t="s">
        <v>1113</v>
      </c>
      <c r="U912" s="240"/>
      <c r="V912" s="233" t="str">
        <f>VLOOKUP(Table3[[#This Row],[Country Code]],Table29[],3,FALSE)</f>
        <v>Non-Annex I</v>
      </c>
      <c r="W912" s="233" t="str">
        <f>VLOOKUP(Table3[[#This Row],[Country Code]],Table29[],4,FALSE)</f>
        <v>Oceania</v>
      </c>
      <c r="X912" s="233" t="str">
        <f>VLOOKUP(Table3[[#This Row],[Country Code]],Table29[],5,FALSE)</f>
        <v>Middle-income</v>
      </c>
      <c r="Y912" s="233" t="str">
        <f>VLOOKUP(Table3[[#This Row],[Country Code]],Table29[],6,FALSE)</f>
        <v>no</v>
      </c>
      <c r="Z912" s="233" t="str">
        <f>VLOOKUP(Table3[[#This Row],[Country Code]],Table29[],7,FALSE)</f>
        <v>no</v>
      </c>
      <c r="AA912" s="233" t="str">
        <f>VLOOKUP(Table3[[#This Row],[Country Code]],Table29[],8,FALSE)</f>
        <v>non-OECD</v>
      </c>
      <c r="AB912" s="233" t="str">
        <f>VLOOKUP(Table3[[#This Row],[Country Code]],Table29[],9,FALSE)</f>
        <v>no</v>
      </c>
      <c r="AC912" s="233" t="str">
        <f>VLOOKUP(Table3[[#This Row],[Country Code]],Table29[],10,FALSE)</f>
        <v>no</v>
      </c>
      <c r="AD912" s="235">
        <f>VLOOKUP(Table3[[#This Row],[Country Code]],Table29[],23,FALSE)</f>
        <v>0.72081774636639995</v>
      </c>
      <c r="AE912" s="235">
        <f>VLOOKUP(Table3[[#This Row],[Country Code]],Table29[],24,FALSE)</f>
        <v>0.21700975961810029</v>
      </c>
      <c r="AF912" s="43"/>
    </row>
    <row r="913" spans="1:32" ht="60" x14ac:dyDescent="0.25">
      <c r="A913" s="360">
        <v>26800</v>
      </c>
      <c r="B913" s="233" t="str">
        <f>VLOOKUP(Table3[[#This Row],[Document ID]],Table1[],2,FALSE)</f>
        <v>SLV</v>
      </c>
      <c r="C913" s="233" t="str">
        <f>VLOOKUP(Table3[[#This Row],[Document ID]],Table1[],3,FALSE)</f>
        <v>El Salvador</v>
      </c>
      <c r="D913" s="233" t="str">
        <f>VLOOKUP(Table3[[#This Row],[Document ID]],Table1[],5,FALSE)</f>
        <v>NDC</v>
      </c>
      <c r="E913" s="233" t="str">
        <f>VLOOKUP(Table3[[#This Row],[Document ID]],Table1[],7,FALSE)</f>
        <v>First NDC updated</v>
      </c>
      <c r="F913" s="233" t="str">
        <f>VLOOKUP(Table3[[#This Row],[Document ID]],Table1[],8,FALSE)</f>
        <v>NDC 1.1</v>
      </c>
      <c r="G913" s="233" t="str">
        <f>VLOOKUP(Table3[[#This Row],[Document ID]],Table1[],10,FALSE)</f>
        <v>Active</v>
      </c>
      <c r="H913" s="42" t="s">
        <v>1095</v>
      </c>
      <c r="I913" s="43" t="s">
        <v>1115</v>
      </c>
      <c r="J913" s="43" t="s">
        <v>1090</v>
      </c>
      <c r="K913" s="28" t="s">
        <v>1091</v>
      </c>
      <c r="L913" s="389" t="s">
        <v>1099</v>
      </c>
      <c r="M913" s="209">
        <v>2030</v>
      </c>
      <c r="N913" s="18" t="s">
        <v>2026</v>
      </c>
      <c r="O913" s="257">
        <v>41</v>
      </c>
      <c r="P913" s="238" t="str">
        <f>VLOOKUP(_xlfn.CONCAT(Table3[[#This Row],[Target area]],Table3[[#This Row],[GHG target?]],Table3[[#This Row],[Conditionality]]),'Drop down'!$E$81:$F$101,2,FALSE)</f>
        <v>T_Transport_Unc</v>
      </c>
      <c r="Q913" s="239" t="str">
        <f>VLOOKUP(Table3[[#This Row],[Target type]],Table418[[Value name]:[Value idenifyer]],2,FALSE)</f>
        <v>T_BAU</v>
      </c>
      <c r="R913" s="233" t="s">
        <v>526</v>
      </c>
      <c r="S913" s="233" t="s">
        <v>1112</v>
      </c>
      <c r="T913" s="240"/>
      <c r="V913" s="233" t="str">
        <f>VLOOKUP(Table3[[#This Row],[Country Code]],Table29[],3,FALSE)</f>
        <v>Non-Annex I</v>
      </c>
      <c r="W913" s="233" t="str">
        <f>VLOOKUP(Table3[[#This Row],[Country Code]],Table29[],4,FALSE)</f>
        <v>Latin America and the Caribbean</v>
      </c>
      <c r="X913" s="233" t="str">
        <f>VLOOKUP(Table3[[#This Row],[Country Code]],Table29[],5,FALSE)</f>
        <v>Middle-income</v>
      </c>
      <c r="Y913" s="233" t="str">
        <f>VLOOKUP(Table3[[#This Row],[Country Code]],Table29[],6,FALSE)</f>
        <v>no</v>
      </c>
      <c r="Z913" s="233" t="str">
        <f>VLOOKUP(Table3[[#This Row],[Country Code]],Table29[],7,FALSE)</f>
        <v>no</v>
      </c>
      <c r="AA913" s="233" t="str">
        <f>VLOOKUP(Table3[[#This Row],[Country Code]],Table29[],8,FALSE)</f>
        <v>non-OECD</v>
      </c>
      <c r="AB913" s="233" t="str">
        <f>VLOOKUP(Table3[[#This Row],[Country Code]],Table29[],9,FALSE)</f>
        <v>no</v>
      </c>
      <c r="AC913" s="233" t="str">
        <f>VLOOKUP(Table3[[#This Row],[Country Code]],Table29[],10,FALSE)</f>
        <v>no</v>
      </c>
      <c r="AD913" s="235">
        <f>VLOOKUP(Table3[[#This Row],[Country Code]],Table29[],23,FALSE)</f>
        <v>13.051313657078</v>
      </c>
      <c r="AE913" s="235">
        <f>VLOOKUP(Table3[[#This Row],[Country Code]],Table29[],24,FALSE)</f>
        <v>4.4777041118287633</v>
      </c>
      <c r="AF913" s="43"/>
    </row>
    <row r="914" spans="1:32" ht="75" x14ac:dyDescent="0.25">
      <c r="A914" s="360">
        <v>41742</v>
      </c>
      <c r="B914" s="233" t="str">
        <f>VLOOKUP(Table3[[#This Row],[Document ID]],Table1[],2,FALSE)</f>
        <v>SRB</v>
      </c>
      <c r="C914" s="233" t="str">
        <f>VLOOKUP(Table3[[#This Row],[Document ID]],Table1[],3,FALSE)</f>
        <v>Serbia</v>
      </c>
      <c r="D914" s="233" t="str">
        <f>VLOOKUP(Table3[[#This Row],[Document ID]],Table1[],5,FALSE)</f>
        <v>LTS</v>
      </c>
      <c r="E914" s="233" t="str">
        <f>VLOOKUP(Table3[[#This Row],[Document ID]],Table1[],7,FALSE)</f>
        <v>LTS</v>
      </c>
      <c r="F914" s="241" t="str">
        <f>VLOOKUP(Table3[[#This Row],[Document ID]],Table1[],8,FALSE)</f>
        <v>LTS 1.0</v>
      </c>
      <c r="G914" s="233" t="str">
        <f>VLOOKUP(Table3[[#This Row],[Document ID]],Table1[],10,FALSE)</f>
        <v>Active</v>
      </c>
      <c r="H914" s="42" t="s">
        <v>1095</v>
      </c>
      <c r="I914" s="43" t="s">
        <v>1115</v>
      </c>
      <c r="J914" s="43" t="s">
        <v>1090</v>
      </c>
      <c r="K914" s="28" t="s">
        <v>1153</v>
      </c>
      <c r="L914" s="389" t="s">
        <v>1099</v>
      </c>
      <c r="M914" s="209">
        <v>2050</v>
      </c>
      <c r="N914" s="209" t="s">
        <v>2027</v>
      </c>
      <c r="O914" s="258" t="s">
        <v>2028</v>
      </c>
      <c r="P914" s="238" t="str">
        <f>VLOOKUP(_xlfn.CONCAT(Table3[[#This Row],[Target area]],Table3[[#This Row],[GHG target?]],Table3[[#This Row],[Conditionality]]),'Drop down'!$E$81:$F$101,2,FALSE)</f>
        <v>T_Transport_Unc</v>
      </c>
      <c r="Q914" s="239" t="str">
        <f>VLOOKUP(Table3[[#This Row],[Target type]],Table418[[Value name]:[Value idenifyer]],2,FALSE)</f>
        <v>T_BYE</v>
      </c>
      <c r="T914" s="240"/>
      <c r="V914" s="233" t="str">
        <f>VLOOKUP(Table3[[#This Row],[Country Code]],Table29[],3,FALSE)</f>
        <v>Non-Annex I</v>
      </c>
      <c r="W914" s="233" t="str">
        <f>VLOOKUP(Table3[[#This Row],[Country Code]],Table29[],4,FALSE)</f>
        <v>Europe</v>
      </c>
      <c r="X914" s="233" t="str">
        <f>VLOOKUP(Table3[[#This Row],[Country Code]],Table29[],5,FALSE)</f>
        <v>Middle-income</v>
      </c>
      <c r="Y914" s="233" t="str">
        <f>VLOOKUP(Table3[[#This Row],[Country Code]],Table29[],6,FALSE)</f>
        <v>no</v>
      </c>
      <c r="Z914" s="233" t="str">
        <f>VLOOKUP(Table3[[#This Row],[Country Code]],Table29[],7,FALSE)</f>
        <v>no</v>
      </c>
      <c r="AA914" s="233" t="str">
        <f>VLOOKUP(Table3[[#This Row],[Country Code]],Table29[],8,FALSE)</f>
        <v>non-OECD</v>
      </c>
      <c r="AB914" s="233" t="str">
        <f>VLOOKUP(Table3[[#This Row],[Country Code]],Table29[],9,FALSE)</f>
        <v>no</v>
      </c>
      <c r="AC914" s="233" t="str">
        <f>VLOOKUP(Table3[[#This Row],[Country Code]],Table29[],10,FALSE)</f>
        <v>no</v>
      </c>
      <c r="AD914" s="235">
        <f>VLOOKUP(Table3[[#This Row],[Country Code]],Table29[],23,FALSE)</f>
        <v>67.214992478558003</v>
      </c>
      <c r="AE914" s="235">
        <f>VLOOKUP(Table3[[#This Row],[Country Code]],Table29[],24,FALSE)</f>
        <v>10.45024022782124</v>
      </c>
      <c r="AF914" s="42"/>
    </row>
    <row r="915" spans="1:32" x14ac:dyDescent="0.25">
      <c r="A915" s="360">
        <v>41742</v>
      </c>
      <c r="B915" s="233" t="str">
        <f>VLOOKUP(Table3[[#This Row],[Document ID]],Table1[],2,FALSE)</f>
        <v>SRB</v>
      </c>
      <c r="C915" s="233" t="str">
        <f>VLOOKUP(Table3[[#This Row],[Document ID]],Table1[],3,FALSE)</f>
        <v>Serbia</v>
      </c>
      <c r="D915" s="233" t="str">
        <f>VLOOKUP(Table3[[#This Row],[Document ID]],Table1[],5,FALSE)</f>
        <v>LTS</v>
      </c>
      <c r="E915" s="233" t="str">
        <f>VLOOKUP(Table3[[#This Row],[Document ID]],Table1[],7,FALSE)</f>
        <v>LTS</v>
      </c>
      <c r="F915" s="241" t="str">
        <f>VLOOKUP(Table3[[#This Row],[Document ID]],Table1[],8,FALSE)</f>
        <v>LTS 1.0</v>
      </c>
      <c r="G915" s="233" t="str">
        <f>VLOOKUP(Table3[[#This Row],[Document ID]],Table1[],10,FALSE)</f>
        <v>Active</v>
      </c>
      <c r="H915" s="42" t="s">
        <v>1095</v>
      </c>
      <c r="I915" s="43" t="s">
        <v>1096</v>
      </c>
      <c r="J915" s="43" t="s">
        <v>1090</v>
      </c>
      <c r="K915" s="28" t="s">
        <v>1153</v>
      </c>
      <c r="L915" s="389" t="s">
        <v>1099</v>
      </c>
      <c r="M915" s="209">
        <v>2050</v>
      </c>
      <c r="N915" s="209" t="s">
        <v>2029</v>
      </c>
      <c r="O915" s="258">
        <v>36</v>
      </c>
      <c r="P915" s="238" t="str">
        <f>VLOOKUP(_xlfn.CONCAT(Table3[[#This Row],[Target area]],Table3[[#This Row],[GHG target?]],Table3[[#This Row],[Conditionality]]),'Drop down'!$E$81:$F$101,2,FALSE)</f>
        <v>T_Transport_Unc</v>
      </c>
      <c r="Q915" s="239" t="str">
        <f>VLOOKUP(Table3[[#This Row],[Target type]],Table418[[Value name]:[Value idenifyer]],2,FALSE)</f>
        <v>T_BYE</v>
      </c>
      <c r="T915" s="240"/>
      <c r="V915" s="233" t="str">
        <f>VLOOKUP(Table3[[#This Row],[Country Code]],Table29[],3,FALSE)</f>
        <v>Non-Annex I</v>
      </c>
      <c r="W915" s="233" t="str">
        <f>VLOOKUP(Table3[[#This Row],[Country Code]],Table29[],4,FALSE)</f>
        <v>Europe</v>
      </c>
      <c r="X915" s="233" t="str">
        <f>VLOOKUP(Table3[[#This Row],[Country Code]],Table29[],5,FALSE)</f>
        <v>Middle-income</v>
      </c>
      <c r="Y915" s="233" t="str">
        <f>VLOOKUP(Table3[[#This Row],[Country Code]],Table29[],6,FALSE)</f>
        <v>no</v>
      </c>
      <c r="Z915" s="233" t="str">
        <f>VLOOKUP(Table3[[#This Row],[Country Code]],Table29[],7,FALSE)</f>
        <v>no</v>
      </c>
      <c r="AA915" s="233" t="str">
        <f>VLOOKUP(Table3[[#This Row],[Country Code]],Table29[],8,FALSE)</f>
        <v>non-OECD</v>
      </c>
      <c r="AB915" s="233" t="str">
        <f>VLOOKUP(Table3[[#This Row],[Country Code]],Table29[],9,FALSE)</f>
        <v>no</v>
      </c>
      <c r="AC915" s="233" t="str">
        <f>VLOOKUP(Table3[[#This Row],[Country Code]],Table29[],10,FALSE)</f>
        <v>no</v>
      </c>
      <c r="AD915" s="235">
        <f>VLOOKUP(Table3[[#This Row],[Country Code]],Table29[],23,FALSE)</f>
        <v>67.214992478558003</v>
      </c>
      <c r="AE915" s="235">
        <f>VLOOKUP(Table3[[#This Row],[Country Code]],Table29[],24,FALSE)</f>
        <v>10.45024022782124</v>
      </c>
      <c r="AF915" s="42"/>
    </row>
    <row r="916" spans="1:32" ht="30" x14ac:dyDescent="0.25">
      <c r="A916" s="360">
        <v>41742</v>
      </c>
      <c r="B916" s="233" t="str">
        <f>VLOOKUP(Table3[[#This Row],[Document ID]],Table1[],2,FALSE)</f>
        <v>SRB</v>
      </c>
      <c r="C916" s="233" t="str">
        <f>VLOOKUP(Table3[[#This Row],[Document ID]],Table1[],3,FALSE)</f>
        <v>Serbia</v>
      </c>
      <c r="D916" s="233" t="str">
        <f>VLOOKUP(Table3[[#This Row],[Document ID]],Table1[],5,FALSE)</f>
        <v>LTS</v>
      </c>
      <c r="E916" s="233" t="str">
        <f>VLOOKUP(Table3[[#This Row],[Document ID]],Table1[],7,FALSE)</f>
        <v>LTS</v>
      </c>
      <c r="F916" s="241" t="str">
        <f>VLOOKUP(Table3[[#This Row],[Document ID]],Table1[],8,FALSE)</f>
        <v>LTS 1.0</v>
      </c>
      <c r="G916" s="233" t="str">
        <f>VLOOKUP(Table3[[#This Row],[Document ID]],Table1[],10,FALSE)</f>
        <v>Active</v>
      </c>
      <c r="H916" s="42" t="s">
        <v>1095</v>
      </c>
      <c r="I916" s="42" t="s">
        <v>1096</v>
      </c>
      <c r="J916" s="42" t="s">
        <v>1097</v>
      </c>
      <c r="K916" s="28" t="s">
        <v>1137</v>
      </c>
      <c r="L916" s="389" t="s">
        <v>1099</v>
      </c>
      <c r="M916" s="209">
        <v>2050</v>
      </c>
      <c r="N916" s="209" t="s">
        <v>2030</v>
      </c>
      <c r="O916" s="258">
        <v>37</v>
      </c>
      <c r="P916" s="238" t="str">
        <f>VLOOKUP(_xlfn.CONCAT(Table3[[#This Row],[Target area]],Table3[[#This Row],[GHG target?]],Table3[[#This Row],[Conditionality]]),'Drop down'!$E$81:$F$101,2,FALSE)</f>
        <v>T_Transport_O_Unc</v>
      </c>
      <c r="Q916" s="239" t="str">
        <f>VLOOKUP(Table3[[#This Row],[Target type]],Table418[[Value name]:[Value idenifyer]],2,FALSE)</f>
        <v>T_O_EFF</v>
      </c>
      <c r="T916" s="240"/>
      <c r="V916" s="233" t="str">
        <f>VLOOKUP(Table3[[#This Row],[Country Code]],Table29[],3,FALSE)</f>
        <v>Non-Annex I</v>
      </c>
      <c r="W916" s="233" t="str">
        <f>VLOOKUP(Table3[[#This Row],[Country Code]],Table29[],4,FALSE)</f>
        <v>Europe</v>
      </c>
      <c r="X916" s="233" t="str">
        <f>VLOOKUP(Table3[[#This Row],[Country Code]],Table29[],5,FALSE)</f>
        <v>Middle-income</v>
      </c>
      <c r="Y916" s="233" t="str">
        <f>VLOOKUP(Table3[[#This Row],[Country Code]],Table29[],6,FALSE)</f>
        <v>no</v>
      </c>
      <c r="Z916" s="233" t="str">
        <f>VLOOKUP(Table3[[#This Row],[Country Code]],Table29[],7,FALSE)</f>
        <v>no</v>
      </c>
      <c r="AA916" s="233" t="str">
        <f>VLOOKUP(Table3[[#This Row],[Country Code]],Table29[],8,FALSE)</f>
        <v>non-OECD</v>
      </c>
      <c r="AB916" s="233" t="str">
        <f>VLOOKUP(Table3[[#This Row],[Country Code]],Table29[],9,FALSE)</f>
        <v>no</v>
      </c>
      <c r="AC916" s="233" t="str">
        <f>VLOOKUP(Table3[[#This Row],[Country Code]],Table29[],10,FALSE)</f>
        <v>no</v>
      </c>
      <c r="AD916" s="235">
        <f>VLOOKUP(Table3[[#This Row],[Country Code]],Table29[],23,FALSE)</f>
        <v>67.214992478558003</v>
      </c>
      <c r="AE916" s="235">
        <f>VLOOKUP(Table3[[#This Row],[Country Code]],Table29[],24,FALSE)</f>
        <v>10.45024022782124</v>
      </c>
      <c r="AF916" s="42"/>
    </row>
    <row r="917" spans="1:32" ht="30" x14ac:dyDescent="0.25">
      <c r="A917" s="360">
        <v>41742</v>
      </c>
      <c r="B917" s="233" t="str">
        <f>VLOOKUP(Table3[[#This Row],[Document ID]],Table1[],2,FALSE)</f>
        <v>SRB</v>
      </c>
      <c r="C917" s="233" t="str">
        <f>VLOOKUP(Table3[[#This Row],[Document ID]],Table1[],3,FALSE)</f>
        <v>Serbia</v>
      </c>
      <c r="D917" s="233" t="str">
        <f>VLOOKUP(Table3[[#This Row],[Document ID]],Table1[],5,FALSE)</f>
        <v>LTS</v>
      </c>
      <c r="E917" s="233" t="str">
        <f>VLOOKUP(Table3[[#This Row],[Document ID]],Table1[],7,FALSE)</f>
        <v>LTS</v>
      </c>
      <c r="F917" s="241" t="str">
        <f>VLOOKUP(Table3[[#This Row],[Document ID]],Table1[],8,FALSE)</f>
        <v>LTS 1.0</v>
      </c>
      <c r="G917" s="233" t="str">
        <f>VLOOKUP(Table3[[#This Row],[Document ID]],Table1[],10,FALSE)</f>
        <v>Active</v>
      </c>
      <c r="H917" s="42" t="s">
        <v>1095</v>
      </c>
      <c r="I917" s="42" t="s">
        <v>1096</v>
      </c>
      <c r="J917" s="42" t="s">
        <v>1097</v>
      </c>
      <c r="K917" s="28" t="s">
        <v>1098</v>
      </c>
      <c r="L917" s="389" t="s">
        <v>1099</v>
      </c>
      <c r="M917" s="209">
        <v>2030</v>
      </c>
      <c r="N917" s="209" t="s">
        <v>2031</v>
      </c>
      <c r="O917" s="258">
        <v>48</v>
      </c>
      <c r="P917" s="238" t="str">
        <f>VLOOKUP(_xlfn.CONCAT(Table3[[#This Row],[Target area]],Table3[[#This Row],[GHG target?]],Table3[[#This Row],[Conditionality]]),'Drop down'!$E$81:$F$101,2,FALSE)</f>
        <v>T_Transport_O_Unc</v>
      </c>
      <c r="Q917" s="239" t="str">
        <f>VLOOKUP(Table3[[#This Row],[Target type]],Table418[[Value name]:[Value idenifyer]],2,FALSE)</f>
        <v>T_O_MODE</v>
      </c>
      <c r="T917" s="240"/>
      <c r="V917" s="233" t="str">
        <f>VLOOKUP(Table3[[#This Row],[Country Code]],Table29[],3,FALSE)</f>
        <v>Non-Annex I</v>
      </c>
      <c r="W917" s="233" t="str">
        <f>VLOOKUP(Table3[[#This Row],[Country Code]],Table29[],4,FALSE)</f>
        <v>Europe</v>
      </c>
      <c r="X917" s="233" t="str">
        <f>VLOOKUP(Table3[[#This Row],[Country Code]],Table29[],5,FALSE)</f>
        <v>Middle-income</v>
      </c>
      <c r="Y917" s="233" t="str">
        <f>VLOOKUP(Table3[[#This Row],[Country Code]],Table29[],6,FALSE)</f>
        <v>no</v>
      </c>
      <c r="Z917" s="233" t="str">
        <f>VLOOKUP(Table3[[#This Row],[Country Code]],Table29[],7,FALSE)</f>
        <v>no</v>
      </c>
      <c r="AA917" s="233" t="str">
        <f>VLOOKUP(Table3[[#This Row],[Country Code]],Table29[],8,FALSE)</f>
        <v>non-OECD</v>
      </c>
      <c r="AB917" s="233" t="str">
        <f>VLOOKUP(Table3[[#This Row],[Country Code]],Table29[],9,FALSE)</f>
        <v>no</v>
      </c>
      <c r="AC917" s="233" t="str">
        <f>VLOOKUP(Table3[[#This Row],[Country Code]],Table29[],10,FALSE)</f>
        <v>no</v>
      </c>
      <c r="AD917" s="235">
        <f>VLOOKUP(Table3[[#This Row],[Country Code]],Table29[],23,FALSE)</f>
        <v>67.214992478558003</v>
      </c>
      <c r="AE917" s="235">
        <f>VLOOKUP(Table3[[#This Row],[Country Code]],Table29[],24,FALSE)</f>
        <v>10.45024022782124</v>
      </c>
      <c r="AF917" s="42"/>
    </row>
    <row r="918" spans="1:32" x14ac:dyDescent="0.25">
      <c r="A918" s="360">
        <v>22256</v>
      </c>
      <c r="B918" s="233" t="str">
        <f>VLOOKUP(Table3[[#This Row],[Document ID]],Table1[],2,FALSE)</f>
        <v>SSD</v>
      </c>
      <c r="C918" s="233" t="str">
        <f>VLOOKUP(Table3[[#This Row],[Document ID]],Table1[],3,FALSE)</f>
        <v>South Sudan</v>
      </c>
      <c r="D918" s="233" t="str">
        <f>VLOOKUP(Table3[[#This Row],[Document ID]],Table1[],5,FALSE)</f>
        <v>NDC</v>
      </c>
      <c r="E918" s="233" t="str">
        <f>VLOOKUP(Table3[[#This Row],[Document ID]],Table1[],7,FALSE)</f>
        <v>Second NDC</v>
      </c>
      <c r="F918" s="233" t="str">
        <f>VLOOKUP(Table3[[#This Row],[Document ID]],Table1[],8,FALSE)</f>
        <v>NDC 2.0</v>
      </c>
      <c r="G918" s="233" t="str">
        <f>VLOOKUP(Table3[[#This Row],[Document ID]],Table1[],10,FALSE)</f>
        <v>Active</v>
      </c>
      <c r="H918" s="42" t="s">
        <v>1095</v>
      </c>
      <c r="I918" s="43" t="s">
        <v>1115</v>
      </c>
      <c r="J918" s="43" t="s">
        <v>1090</v>
      </c>
      <c r="K918" s="28" t="s">
        <v>1091</v>
      </c>
      <c r="L918" s="389" t="s">
        <v>1099</v>
      </c>
      <c r="M918" s="209">
        <v>2030</v>
      </c>
      <c r="N918" s="209" t="s">
        <v>2032</v>
      </c>
      <c r="O918" s="257">
        <v>18</v>
      </c>
      <c r="P918" s="238" t="str">
        <f>VLOOKUP(_xlfn.CONCAT(Table3[[#This Row],[Target area]],Table3[[#This Row],[GHG target?]],Table3[[#This Row],[Conditionality]]),'Drop down'!$E$81:$F$101,2,FALSE)</f>
        <v>T_Transport_Unc</v>
      </c>
      <c r="Q918" s="239" t="str">
        <f>VLOOKUP(Table3[[#This Row],[Target type]],Table418[[Value name]:[Value idenifyer]],2,FALSE)</f>
        <v>T_BAU</v>
      </c>
      <c r="R918" s="233" t="s">
        <v>526</v>
      </c>
      <c r="S918" s="233" t="s">
        <v>1112</v>
      </c>
      <c r="T918" s="240"/>
      <c r="V918" s="233" t="str">
        <f>VLOOKUP(Table3[[#This Row],[Country Code]],Table29[],3,FALSE)</f>
        <v>Non-Annex I</v>
      </c>
      <c r="W918" s="233" t="str">
        <f>VLOOKUP(Table3[[#This Row],[Country Code]],Table29[],4,FALSE)</f>
        <v>Africa</v>
      </c>
      <c r="X918" s="233" t="str">
        <f>VLOOKUP(Table3[[#This Row],[Country Code]],Table29[],5,FALSE)</f>
        <v>Low-income</v>
      </c>
      <c r="Y918" s="233" t="str">
        <f>VLOOKUP(Table3[[#This Row],[Country Code]],Table29[],6,FALSE)</f>
        <v>no</v>
      </c>
      <c r="Z918" s="233" t="str">
        <f>VLOOKUP(Table3[[#This Row],[Country Code]],Table29[],7,FALSE)</f>
        <v>no</v>
      </c>
      <c r="AA918" s="233" t="str">
        <f>VLOOKUP(Table3[[#This Row],[Country Code]],Table29[],8,FALSE)</f>
        <v>non-OECD</v>
      </c>
      <c r="AB918" s="233" t="str">
        <f>VLOOKUP(Table3[[#This Row],[Country Code]],Table29[],9,FALSE)</f>
        <v>no</v>
      </c>
      <c r="AC918" s="233" t="str">
        <f>VLOOKUP(Table3[[#This Row],[Country Code]],Table29[],10,FALSE)</f>
        <v>no</v>
      </c>
      <c r="AD918" s="235">
        <f>VLOOKUP(Table3[[#This Row],[Country Code]],Table29[],23,FALSE)</f>
        <v>0</v>
      </c>
      <c r="AE918" s="235">
        <f>VLOOKUP(Table3[[#This Row],[Country Code]],Table29[],24,FALSE)</f>
        <v>0</v>
      </c>
      <c r="AF918" s="43"/>
    </row>
    <row r="919" spans="1:32" x14ac:dyDescent="0.25">
      <c r="A919" s="360">
        <v>17622</v>
      </c>
      <c r="B919" s="233" t="str">
        <f>VLOOKUP(Table3[[#This Row],[Document ID]],Table1[],2,FALSE)</f>
        <v>ISR</v>
      </c>
      <c r="C919" s="233" t="str">
        <f>VLOOKUP(Table3[[#This Row],[Document ID]],Table1[],3,FALSE)</f>
        <v>Israel</v>
      </c>
      <c r="D919" s="233" t="str">
        <f>VLOOKUP(Table3[[#This Row],[Document ID]],Table1[],5,FALSE)</f>
        <v>NDC</v>
      </c>
      <c r="E919" s="233" t="str">
        <f>VLOOKUP(Table3[[#This Row],[Document ID]],Table1[],7,FALSE)</f>
        <v>First NDC</v>
      </c>
      <c r="F919" s="233" t="str">
        <f>VLOOKUP(Table3[[#This Row],[Document ID]],Table1[],8,FALSE)</f>
        <v>NDC 1.0</v>
      </c>
      <c r="G919" s="233" t="str">
        <f>VLOOKUP(Table3[[#This Row],[Document ID]],Table1[],10,FALSE)</f>
        <v>Archived</v>
      </c>
      <c r="H919" s="216" t="s">
        <v>1089</v>
      </c>
      <c r="I919" s="216" t="s">
        <v>1089</v>
      </c>
      <c r="J919" s="43" t="s">
        <v>1090</v>
      </c>
      <c r="K919" s="28" t="s">
        <v>1153</v>
      </c>
      <c r="L919" s="42" t="s">
        <v>1099</v>
      </c>
      <c r="M919" s="209">
        <v>2030</v>
      </c>
      <c r="N919" s="44" t="s">
        <v>2033</v>
      </c>
      <c r="O919" s="258">
        <v>10</v>
      </c>
      <c r="P919" s="238" t="str">
        <f>VLOOKUP(_xlfn.CONCAT(Table3[[#This Row],[Target area]],Table3[[#This Row],[GHG target?]],Table3[[#This Row],[Conditionality]]),'Drop down'!$E$81:$F$101,2,FALSE)</f>
        <v>T_Economy_Unc</v>
      </c>
      <c r="Q919" s="239" t="str">
        <f>VLOOKUP(Table3[[#This Row],[Target type]],Table418[[Value name]:[Value idenifyer]],2,FALSE)</f>
        <v>T_BYE</v>
      </c>
      <c r="S919" s="233" t="s">
        <v>1112</v>
      </c>
      <c r="T919" s="234" t="s">
        <v>1113</v>
      </c>
      <c r="U919" s="240"/>
      <c r="V919" s="233" t="str">
        <f>VLOOKUP(Table3[[#This Row],[Country Code]],Table29[],3,FALSE)</f>
        <v>Non-Annex I</v>
      </c>
      <c r="W919" s="233" t="str">
        <f>VLOOKUP(Table3[[#This Row],[Country Code]],Table29[],4,FALSE)</f>
        <v>Asia</v>
      </c>
      <c r="X919" s="233" t="str">
        <f>VLOOKUP(Table3[[#This Row],[Country Code]],Table29[],5,FALSE)</f>
        <v>High-income</v>
      </c>
      <c r="Y919" s="233" t="str">
        <f>VLOOKUP(Table3[[#This Row],[Country Code]],Table29[],6,FALSE)</f>
        <v>no</v>
      </c>
      <c r="Z919" s="233" t="str">
        <f>VLOOKUP(Table3[[#This Row],[Country Code]],Table29[],7,FALSE)</f>
        <v>no</v>
      </c>
      <c r="AA919" s="233" t="str">
        <f>VLOOKUP(Table3[[#This Row],[Country Code]],Table29[],8,FALSE)</f>
        <v>OECD</v>
      </c>
      <c r="AB919" s="233" t="str">
        <f>VLOOKUP(Table3[[#This Row],[Country Code]],Table29[],9,FALSE)</f>
        <v>no</v>
      </c>
      <c r="AC919" s="233" t="str">
        <f>VLOOKUP(Table3[[#This Row],[Country Code]],Table29[],10,FALSE)</f>
        <v>MENA</v>
      </c>
      <c r="AD919" s="235">
        <f>VLOOKUP(Table3[[#This Row],[Country Code]],Table29[],23,FALSE)</f>
        <v>79.578174881425994</v>
      </c>
      <c r="AE919" s="235">
        <f>VLOOKUP(Table3[[#This Row],[Country Code]],Table29[],24,FALSE)</f>
        <v>18.692155253646391</v>
      </c>
      <c r="AF919" s="43"/>
    </row>
    <row r="920" spans="1:32" ht="30" x14ac:dyDescent="0.25">
      <c r="A920" s="360">
        <v>17734</v>
      </c>
      <c r="B920" s="233" t="str">
        <f>VLOOKUP(Table3[[#This Row],[Document ID]],Table1[],2,FALSE)</f>
        <v>SVK</v>
      </c>
      <c r="C920" s="233" t="str">
        <f>VLOOKUP(Table3[[#This Row],[Document ID]],Table1[],3,FALSE)</f>
        <v>Slovakia</v>
      </c>
      <c r="D920" s="233" t="str">
        <f>VLOOKUP(Table3[[#This Row],[Document ID]],Table1[],5,FALSE)</f>
        <v>LTS</v>
      </c>
      <c r="E920" s="233" t="str">
        <f>VLOOKUP(Table3[[#This Row],[Document ID]],Table1[],7,FALSE)</f>
        <v>LTS</v>
      </c>
      <c r="F920" s="233" t="str">
        <f>VLOOKUP(Table3[[#This Row],[Document ID]],Table1[],8,FALSE)</f>
        <v>LTS 1.0</v>
      </c>
      <c r="G920" s="233" t="str">
        <f>VLOOKUP(Table3[[#This Row],[Document ID]],Table1[],10,FALSE)</f>
        <v>Active</v>
      </c>
      <c r="H920" s="42" t="s">
        <v>1095</v>
      </c>
      <c r="I920" s="42" t="s">
        <v>1096</v>
      </c>
      <c r="J920" s="42" t="s">
        <v>1097</v>
      </c>
      <c r="K920" s="28" t="s">
        <v>1223</v>
      </c>
      <c r="L920" s="42" t="s">
        <v>1099</v>
      </c>
      <c r="M920" s="209">
        <v>2030</v>
      </c>
      <c r="N920" s="44" t="s">
        <v>2034</v>
      </c>
      <c r="O920" s="221">
        <v>23</v>
      </c>
      <c r="P920" s="238" t="str">
        <f>VLOOKUP(_xlfn.CONCAT(Table3[[#This Row],[Target area]],Table3[[#This Row],[GHG target?]],Table3[[#This Row],[Conditionality]]),'Drop down'!$E$81:$F$101,2,FALSE)</f>
        <v>T_Transport_O_Unc</v>
      </c>
      <c r="Q920" s="239" t="str">
        <f>VLOOKUP(Table3[[#This Row],[Target type]],Table418[[Value name]:[Value idenifyer]],2,FALSE)</f>
        <v>T_O_REN</v>
      </c>
      <c r="S920" s="233" t="s">
        <v>1101</v>
      </c>
      <c r="T920" s="234" t="s">
        <v>1113</v>
      </c>
      <c r="V920" s="233" t="str">
        <f>VLOOKUP(Table3[[#This Row],[Country Code]],Table29[],3,FALSE)</f>
        <v>Annex I</v>
      </c>
      <c r="W920" s="233" t="str">
        <f>VLOOKUP(Table3[[#This Row],[Country Code]],Table29[],4,FALSE)</f>
        <v>Europe</v>
      </c>
      <c r="X920" s="233" t="str">
        <f>VLOOKUP(Table3[[#This Row],[Country Code]],Table29[],5,FALSE)</f>
        <v>High-income</v>
      </c>
      <c r="Y920" s="233" t="str">
        <f>VLOOKUP(Table3[[#This Row],[Country Code]],Table29[],6,FALSE)</f>
        <v>no</v>
      </c>
      <c r="Z920" s="233" t="str">
        <f>VLOOKUP(Table3[[#This Row],[Country Code]],Table29[],7,FALSE)</f>
        <v>no</v>
      </c>
      <c r="AA920" s="233" t="str">
        <f>VLOOKUP(Table3[[#This Row],[Country Code]],Table29[],8,FALSE)</f>
        <v>OECD</v>
      </c>
      <c r="AB920" s="233" t="str">
        <f>VLOOKUP(Table3[[#This Row],[Country Code]],Table29[],9,FALSE)</f>
        <v>EU27</v>
      </c>
      <c r="AC920" s="233" t="str">
        <f>VLOOKUP(Table3[[#This Row],[Country Code]],Table29[],10,FALSE)</f>
        <v>no</v>
      </c>
      <c r="AD920" s="235">
        <f>VLOOKUP(Table3[[#This Row],[Country Code]],Table29[],23,FALSE)</f>
        <v>44.775610890682003</v>
      </c>
      <c r="AE920" s="235">
        <f>VLOOKUP(Table3[[#This Row],[Country Code]],Table29[],24,FALSE)</f>
        <v>7.6629333129442534</v>
      </c>
      <c r="AF920" s="43"/>
    </row>
    <row r="921" spans="1:32" ht="45" x14ac:dyDescent="0.25">
      <c r="A921" s="360">
        <v>39438</v>
      </c>
      <c r="B921" s="233" t="str">
        <f>VLOOKUP(Table3[[#This Row],[Document ID]],Table1[],2,FALSE)</f>
        <v>AZE</v>
      </c>
      <c r="C921" s="233" t="str">
        <f>VLOOKUP(Table3[[#This Row],[Document ID]],Table1[],3,FALSE)</f>
        <v>Azerbaijan</v>
      </c>
      <c r="D921" s="233" t="str">
        <f>VLOOKUP(Table3[[#This Row],[Document ID]],Table1[],5,FALSE)</f>
        <v>NDC</v>
      </c>
      <c r="E921" s="233" t="str">
        <f>VLOOKUP(Table3[[#This Row],[Document ID]],Table1[],7,FALSE)</f>
        <v>Second NDC</v>
      </c>
      <c r="F921" s="241" t="str">
        <f>VLOOKUP(Table3[[#This Row],[Document ID]],Table1[],8,FALSE)</f>
        <v>NDC 2.0</v>
      </c>
      <c r="G921" s="233" t="str">
        <f>VLOOKUP(Table3[[#This Row],[Document ID]],Table1[],10,FALSE)</f>
        <v>Active</v>
      </c>
      <c r="H921" s="216" t="s">
        <v>1089</v>
      </c>
      <c r="I921" s="216" t="s">
        <v>1089</v>
      </c>
      <c r="J921" s="43" t="s">
        <v>1090</v>
      </c>
      <c r="K921" s="28" t="s">
        <v>1153</v>
      </c>
      <c r="L921" s="216" t="s">
        <v>1092</v>
      </c>
      <c r="M921" s="209">
        <v>2050</v>
      </c>
      <c r="N921" s="209" t="s">
        <v>2035</v>
      </c>
      <c r="O921" s="258">
        <v>4</v>
      </c>
      <c r="P921" s="238" t="str">
        <f>VLOOKUP(_xlfn.CONCAT(Table3[[#This Row],[Target area]],Table3[[#This Row],[GHG target?]],Table3[[#This Row],[Conditionality]]),'Drop down'!$E$81:$F$101,2,FALSE)</f>
        <v>T_Economy_C</v>
      </c>
      <c r="Q921" s="239" t="str">
        <f>VLOOKUP(Table3[[#This Row],[Target type]],Table418[[Value name]:[Value idenifyer]],2,FALSE)</f>
        <v>T_BYE</v>
      </c>
      <c r="T921" s="240"/>
      <c r="V921" s="233" t="str">
        <f>VLOOKUP(Table3[[#This Row],[Country Code]],Table29[],3,FALSE)</f>
        <v>Non-Annex I</v>
      </c>
      <c r="W921" s="233" t="str">
        <f>VLOOKUP(Table3[[#This Row],[Country Code]],Table29[],4,FALSE)</f>
        <v>Asia</v>
      </c>
      <c r="X921" s="233" t="str">
        <f>VLOOKUP(Table3[[#This Row],[Country Code]],Table29[],5,FALSE)</f>
        <v>Middle-income</v>
      </c>
      <c r="Y921" s="233" t="str">
        <f>VLOOKUP(Table3[[#This Row],[Country Code]],Table29[],6,FALSE)</f>
        <v>no</v>
      </c>
      <c r="Z921" s="233" t="str">
        <f>VLOOKUP(Table3[[#This Row],[Country Code]],Table29[],7,FALSE)</f>
        <v>no</v>
      </c>
      <c r="AA921" s="233" t="str">
        <f>VLOOKUP(Table3[[#This Row],[Country Code]],Table29[],8,FALSE)</f>
        <v>non-OECD</v>
      </c>
      <c r="AB921" s="233" t="str">
        <f>VLOOKUP(Table3[[#This Row],[Country Code]],Table29[],9,FALSE)</f>
        <v>no</v>
      </c>
      <c r="AC921" s="233" t="str">
        <f>VLOOKUP(Table3[[#This Row],[Country Code]],Table29[],10,FALSE)</f>
        <v>no</v>
      </c>
      <c r="AD921" s="235">
        <f>VLOOKUP(Table3[[#This Row],[Country Code]],Table29[],23,FALSE)</f>
        <v>62.550294041306003</v>
      </c>
      <c r="AE921" s="235">
        <f>VLOOKUP(Table3[[#This Row],[Country Code]],Table29[],24,FALSE)</f>
        <v>8.4493328883147889</v>
      </c>
      <c r="AF921" s="42"/>
    </row>
    <row r="922" spans="1:32" ht="60" x14ac:dyDescent="0.25">
      <c r="A922" s="360">
        <v>39438</v>
      </c>
      <c r="B922" s="233" t="str">
        <f>VLOOKUP(Table3[[#This Row],[Document ID]],Table1[],2,FALSE)</f>
        <v>AZE</v>
      </c>
      <c r="C922" s="233" t="str">
        <f>VLOOKUP(Table3[[#This Row],[Document ID]],Table1[],3,FALSE)</f>
        <v>Azerbaijan</v>
      </c>
      <c r="D922" s="233" t="str">
        <f>VLOOKUP(Table3[[#This Row],[Document ID]],Table1[],5,FALSE)</f>
        <v>NDC</v>
      </c>
      <c r="E922" s="233" t="str">
        <f>VLOOKUP(Table3[[#This Row],[Document ID]],Table1[],7,FALSE)</f>
        <v>Second NDC</v>
      </c>
      <c r="F922" s="241" t="str">
        <f>VLOOKUP(Table3[[#This Row],[Document ID]],Table1[],8,FALSE)</f>
        <v>NDC 2.0</v>
      </c>
      <c r="G922" s="233" t="str">
        <f>VLOOKUP(Table3[[#This Row],[Document ID]],Table1[],10,FALSE)</f>
        <v>Active</v>
      </c>
      <c r="H922" s="216" t="s">
        <v>1089</v>
      </c>
      <c r="I922" s="216" t="s">
        <v>1089</v>
      </c>
      <c r="J922" s="43" t="s">
        <v>1090</v>
      </c>
      <c r="K922" s="28" t="s">
        <v>1091</v>
      </c>
      <c r="L922" s="216" t="s">
        <v>1092</v>
      </c>
      <c r="M922" s="209">
        <v>2025</v>
      </c>
      <c r="N922" s="209" t="s">
        <v>2036</v>
      </c>
      <c r="O922" s="258">
        <v>10</v>
      </c>
      <c r="P922" s="238" t="str">
        <f>VLOOKUP(_xlfn.CONCAT(Table3[[#This Row],[Target area]],Table3[[#This Row],[GHG target?]],Table3[[#This Row],[Conditionality]]),'Drop down'!$E$81:$F$101,2,FALSE)</f>
        <v>T_Economy_C</v>
      </c>
      <c r="Q922" s="239" t="str">
        <f>VLOOKUP(Table3[[#This Row],[Target type]],Table418[[Value name]:[Value idenifyer]],2,FALSE)</f>
        <v>T_BAU</v>
      </c>
      <c r="T922" s="240"/>
      <c r="V922" s="233" t="str">
        <f>VLOOKUP(Table3[[#This Row],[Country Code]],Table29[],3,FALSE)</f>
        <v>Non-Annex I</v>
      </c>
      <c r="W922" s="233" t="str">
        <f>VLOOKUP(Table3[[#This Row],[Country Code]],Table29[],4,FALSE)</f>
        <v>Asia</v>
      </c>
      <c r="X922" s="233" t="str">
        <f>VLOOKUP(Table3[[#This Row],[Country Code]],Table29[],5,FALSE)</f>
        <v>Middle-income</v>
      </c>
      <c r="Y922" s="233" t="str">
        <f>VLOOKUP(Table3[[#This Row],[Country Code]],Table29[],6,FALSE)</f>
        <v>no</v>
      </c>
      <c r="Z922" s="233" t="str">
        <f>VLOOKUP(Table3[[#This Row],[Country Code]],Table29[],7,FALSE)</f>
        <v>no</v>
      </c>
      <c r="AA922" s="233" t="str">
        <f>VLOOKUP(Table3[[#This Row],[Country Code]],Table29[],8,FALSE)</f>
        <v>non-OECD</v>
      </c>
      <c r="AB922" s="233" t="str">
        <f>VLOOKUP(Table3[[#This Row],[Country Code]],Table29[],9,FALSE)</f>
        <v>no</v>
      </c>
      <c r="AC922" s="233" t="str">
        <f>VLOOKUP(Table3[[#This Row],[Country Code]],Table29[],10,FALSE)</f>
        <v>no</v>
      </c>
      <c r="AD922" s="235">
        <f>VLOOKUP(Table3[[#This Row],[Country Code]],Table29[],23,FALSE)</f>
        <v>62.550294041306003</v>
      </c>
      <c r="AE922" s="235">
        <f>VLOOKUP(Table3[[#This Row],[Country Code]],Table29[],24,FALSE)</f>
        <v>8.4493328883147889</v>
      </c>
      <c r="AF922" s="42"/>
    </row>
    <row r="923" spans="1:32" x14ac:dyDescent="0.25">
      <c r="A923" s="360">
        <v>32515</v>
      </c>
      <c r="B923" s="233" t="str">
        <f>VLOOKUP(Table3[[#This Row],[Document ID]],Table1[],2,FALSE)</f>
        <v>SVN</v>
      </c>
      <c r="C923" s="233" t="str">
        <f>VLOOKUP(Table3[[#This Row],[Document ID]],Table1[],3,FALSE)</f>
        <v>Slovenia</v>
      </c>
      <c r="D923" s="233" t="str">
        <f>VLOOKUP(Table3[[#This Row],[Document ID]],Table1[],5,FALSE)</f>
        <v>LTS</v>
      </c>
      <c r="E923" s="233" t="str">
        <f>VLOOKUP(Table3[[#This Row],[Document ID]],Table1[],7,FALSE)</f>
        <v>LTS</v>
      </c>
      <c r="F923" s="233" t="str">
        <f>VLOOKUP(Table3[[#This Row],[Document ID]],Table1[],8,FALSE)</f>
        <v>LTS 1.0</v>
      </c>
      <c r="G923" s="233" t="str">
        <f>VLOOKUP(Table3[[#This Row],[Document ID]],Table1[],10,FALSE)</f>
        <v>Active</v>
      </c>
      <c r="H923" s="42" t="s">
        <v>1095</v>
      </c>
      <c r="I923" s="43" t="s">
        <v>1115</v>
      </c>
      <c r="J923" s="43" t="s">
        <v>1090</v>
      </c>
      <c r="K923" s="28" t="s">
        <v>1153</v>
      </c>
      <c r="L923" s="389" t="s">
        <v>1099</v>
      </c>
      <c r="M923" s="209">
        <v>2050</v>
      </c>
      <c r="N923" s="209" t="s">
        <v>2037</v>
      </c>
      <c r="O923" s="257">
        <v>46</v>
      </c>
      <c r="P923" s="238" t="str">
        <f>VLOOKUP(_xlfn.CONCAT(Table3[[#This Row],[Target area]],Table3[[#This Row],[GHG target?]],Table3[[#This Row],[Conditionality]]),'Drop down'!$E$81:$F$101,2,FALSE)</f>
        <v>T_Transport_Unc</v>
      </c>
      <c r="Q923" s="239" t="str">
        <f>VLOOKUP(Table3[[#This Row],[Target type]],Table418[[Value name]:[Value idenifyer]],2,FALSE)</f>
        <v>T_BYE</v>
      </c>
      <c r="R923" s="233" t="s">
        <v>526</v>
      </c>
      <c r="S923" s="233" t="s">
        <v>1112</v>
      </c>
      <c r="T923" s="240" t="s">
        <v>1113</v>
      </c>
      <c r="U923" s="240"/>
      <c r="V923" s="233" t="str">
        <f>VLOOKUP(Table3[[#This Row],[Country Code]],Table29[],3,FALSE)</f>
        <v>Annex I</v>
      </c>
      <c r="W923" s="233" t="str">
        <f>VLOOKUP(Table3[[#This Row],[Country Code]],Table29[],4,FALSE)</f>
        <v>Europe</v>
      </c>
      <c r="X923" s="233" t="str">
        <f>VLOOKUP(Table3[[#This Row],[Country Code]],Table29[],5,FALSE)</f>
        <v>High-income</v>
      </c>
      <c r="Y923" s="233" t="str">
        <f>VLOOKUP(Table3[[#This Row],[Country Code]],Table29[],6,FALSE)</f>
        <v>no</v>
      </c>
      <c r="Z923" s="233" t="str">
        <f>VLOOKUP(Table3[[#This Row],[Country Code]],Table29[],7,FALSE)</f>
        <v>no</v>
      </c>
      <c r="AA923" s="233" t="str">
        <f>VLOOKUP(Table3[[#This Row],[Country Code]],Table29[],8,FALSE)</f>
        <v>OECD</v>
      </c>
      <c r="AB923" s="233" t="str">
        <f>VLOOKUP(Table3[[#This Row],[Country Code]],Table29[],9,FALSE)</f>
        <v>EU27</v>
      </c>
      <c r="AC923" s="233" t="str">
        <f>VLOOKUP(Table3[[#This Row],[Country Code]],Table29[],10,FALSE)</f>
        <v>no</v>
      </c>
      <c r="AD923" s="235">
        <f>VLOOKUP(Table3[[#This Row],[Country Code]],Table29[],23,FALSE)</f>
        <v>15.993517423122</v>
      </c>
      <c r="AE923" s="235">
        <f>VLOOKUP(Table3[[#This Row],[Country Code]],Table29[],24,FALSE)</f>
        <v>4.830209372200426</v>
      </c>
      <c r="AF923" s="43"/>
    </row>
    <row r="924" spans="1:32" ht="30" x14ac:dyDescent="0.25">
      <c r="A924" s="360">
        <v>17750</v>
      </c>
      <c r="B924" s="233" t="str">
        <f>VLOOKUP(Table3[[#This Row],[Document ID]],Table1[],2,FALSE)</f>
        <v>SWE</v>
      </c>
      <c r="C924" s="233" t="str">
        <f>VLOOKUP(Table3[[#This Row],[Document ID]],Table1[],3,FALSE)</f>
        <v>Sweden</v>
      </c>
      <c r="D924" s="233" t="str">
        <f>VLOOKUP(Table3[[#This Row],[Document ID]],Table1[],5,FALSE)</f>
        <v>LTS</v>
      </c>
      <c r="E924" s="233" t="str">
        <f>VLOOKUP(Table3[[#This Row],[Document ID]],Table1[],7,FALSE)</f>
        <v>LTS</v>
      </c>
      <c r="F924" s="233" t="str">
        <f>VLOOKUP(Table3[[#This Row],[Document ID]],Table1[],8,FALSE)</f>
        <v>LTS 1.0</v>
      </c>
      <c r="G924" s="233" t="str">
        <f>VLOOKUP(Table3[[#This Row],[Document ID]],Table1[],10,FALSE)</f>
        <v>Active</v>
      </c>
      <c r="H924" s="42" t="s">
        <v>1095</v>
      </c>
      <c r="I924" s="43" t="s">
        <v>1115</v>
      </c>
      <c r="J924" s="43" t="s">
        <v>1090</v>
      </c>
      <c r="K924" s="28" t="s">
        <v>1153</v>
      </c>
      <c r="L924" s="389" t="s">
        <v>1099</v>
      </c>
      <c r="M924" s="209">
        <v>2030</v>
      </c>
      <c r="N924" s="44" t="s">
        <v>2038</v>
      </c>
      <c r="O924" s="221">
        <v>11</v>
      </c>
      <c r="P924" s="238" t="str">
        <f>VLOOKUP(_xlfn.CONCAT(Table3[[#This Row],[Target area]],Table3[[#This Row],[GHG target?]],Table3[[#This Row],[Conditionality]]),'Drop down'!$E$81:$F$101,2,FALSE)</f>
        <v>T_Transport_Unc</v>
      </c>
      <c r="Q924" s="239" t="str">
        <f>VLOOKUP(Table3[[#This Row],[Target type]],Table418[[Value name]:[Value idenifyer]],2,FALSE)</f>
        <v>T_BYE</v>
      </c>
      <c r="R924" s="233" t="s">
        <v>526</v>
      </c>
      <c r="S924" s="233" t="s">
        <v>1112</v>
      </c>
      <c r="T924" s="234" t="s">
        <v>1113</v>
      </c>
      <c r="V924" s="233" t="str">
        <f>VLOOKUP(Table3[[#This Row],[Country Code]],Table29[],3,FALSE)</f>
        <v>Annex I</v>
      </c>
      <c r="W924" s="233" t="str">
        <f>VLOOKUP(Table3[[#This Row],[Country Code]],Table29[],4,FALSE)</f>
        <v>Europe</v>
      </c>
      <c r="X924" s="233" t="str">
        <f>VLOOKUP(Table3[[#This Row],[Country Code]],Table29[],5,FALSE)</f>
        <v>High-income</v>
      </c>
      <c r="Y924" s="233" t="str">
        <f>VLOOKUP(Table3[[#This Row],[Country Code]],Table29[],6,FALSE)</f>
        <v>no</v>
      </c>
      <c r="Z924" s="233" t="str">
        <f>VLOOKUP(Table3[[#This Row],[Country Code]],Table29[],7,FALSE)</f>
        <v>no</v>
      </c>
      <c r="AA924" s="233" t="str">
        <f>VLOOKUP(Table3[[#This Row],[Country Code]],Table29[],8,FALSE)</f>
        <v>OECD</v>
      </c>
      <c r="AB924" s="233" t="str">
        <f>VLOOKUP(Table3[[#This Row],[Country Code]],Table29[],9,FALSE)</f>
        <v>EU27</v>
      </c>
      <c r="AC924" s="233" t="str">
        <f>VLOOKUP(Table3[[#This Row],[Country Code]],Table29[],10,FALSE)</f>
        <v>no</v>
      </c>
      <c r="AD924" s="235">
        <f>VLOOKUP(Table3[[#This Row],[Country Code]],Table29[],23,FALSE)</f>
        <v>49.118373633418003</v>
      </c>
      <c r="AE924" s="235">
        <f>VLOOKUP(Table3[[#This Row],[Country Code]],Table29[],24,FALSE)</f>
        <v>13.502992277371289</v>
      </c>
      <c r="AF924" s="43"/>
    </row>
    <row r="925" spans="1:32" x14ac:dyDescent="0.25">
      <c r="A925" s="360">
        <v>17749</v>
      </c>
      <c r="B925" s="233" t="str">
        <f>VLOOKUP(Table3[[#This Row],[Document ID]],Table1[],2,FALSE)</f>
        <v>SWZ</v>
      </c>
      <c r="C925" s="233" t="str">
        <f>VLOOKUP(Table3[[#This Row],[Document ID]],Table1[],3,FALSE)</f>
        <v>Eswatini</v>
      </c>
      <c r="D925" s="233" t="str">
        <f>VLOOKUP(Table3[[#This Row],[Document ID]],Table1[],5,FALSE)</f>
        <v>NDC</v>
      </c>
      <c r="E925" s="233" t="str">
        <f>VLOOKUP(Table3[[#This Row],[Document ID]],Table1[],7,FALSE)</f>
        <v>First NDC</v>
      </c>
      <c r="F925" s="233" t="str">
        <f>VLOOKUP(Table3[[#This Row],[Document ID]],Table1[],8,FALSE)</f>
        <v>NDC 1.0</v>
      </c>
      <c r="G925" s="233" t="str">
        <f>VLOOKUP(Table3[[#This Row],[Document ID]],Table1[],10,FALSE)</f>
        <v>Archived</v>
      </c>
      <c r="H925" s="42" t="s">
        <v>1095</v>
      </c>
      <c r="I925" s="42" t="s">
        <v>1096</v>
      </c>
      <c r="J925" s="42" t="s">
        <v>1097</v>
      </c>
      <c r="K925" s="28" t="s">
        <v>1102</v>
      </c>
      <c r="L925" s="216" t="s">
        <v>1092</v>
      </c>
      <c r="M925" s="209">
        <v>2030</v>
      </c>
      <c r="N925" s="44" t="s">
        <v>2039</v>
      </c>
      <c r="O925" s="221">
        <v>5</v>
      </c>
      <c r="P925" s="238" t="str">
        <f>VLOOKUP(_xlfn.CONCAT(Table3[[#This Row],[Target area]],Table3[[#This Row],[GHG target?]],Table3[[#This Row],[Conditionality]]),'Drop down'!$E$81:$F$101,2,FALSE)</f>
        <v>T_Transport_O_C</v>
      </c>
      <c r="Q925" s="239" t="str">
        <f>VLOOKUP(Table3[[#This Row],[Target type]],Table418[[Value name]:[Value idenifyer]],2,FALSE)</f>
        <v>T_O_BIO</v>
      </c>
      <c r="S925" s="233" t="s">
        <v>1101</v>
      </c>
      <c r="V925" s="233" t="str">
        <f>VLOOKUP(Table3[[#This Row],[Country Code]],Table29[],3,FALSE)</f>
        <v>Non-Annex I</v>
      </c>
      <c r="W925" s="233" t="str">
        <f>VLOOKUP(Table3[[#This Row],[Country Code]],Table29[],4,FALSE)</f>
        <v>Africa</v>
      </c>
      <c r="X925" s="233" t="str">
        <f>VLOOKUP(Table3[[#This Row],[Country Code]],Table29[],5,FALSE)</f>
        <v>Middle-income</v>
      </c>
      <c r="Y925" s="233" t="str">
        <f>VLOOKUP(Table3[[#This Row],[Country Code]],Table29[],6,FALSE)</f>
        <v>no</v>
      </c>
      <c r="Z925" s="233" t="str">
        <f>VLOOKUP(Table3[[#This Row],[Country Code]],Table29[],7,FALSE)</f>
        <v>no</v>
      </c>
      <c r="AA925" s="233" t="str">
        <f>VLOOKUP(Table3[[#This Row],[Country Code]],Table29[],8,FALSE)</f>
        <v>non-OECD</v>
      </c>
      <c r="AB925" s="233" t="str">
        <f>VLOOKUP(Table3[[#This Row],[Country Code]],Table29[],9,FALSE)</f>
        <v>no</v>
      </c>
      <c r="AC925" s="233" t="str">
        <f>VLOOKUP(Table3[[#This Row],[Country Code]],Table29[],10,FALSE)</f>
        <v>no</v>
      </c>
      <c r="AD925" s="235">
        <f>VLOOKUP(Table3[[#This Row],[Country Code]],Table29[],23,FALSE)</f>
        <v>3.2895503749739001</v>
      </c>
      <c r="AE925" s="235">
        <f>VLOOKUP(Table3[[#This Row],[Country Code]],Table29[],24,FALSE)</f>
        <v>0.8680947820135414</v>
      </c>
      <c r="AF925" s="43"/>
    </row>
    <row r="926" spans="1:32" x14ac:dyDescent="0.25">
      <c r="A926" s="360">
        <v>23377</v>
      </c>
      <c r="B926" s="233" t="str">
        <f>VLOOKUP(Table3[[#This Row],[Document ID]],Table1[],2,FALSE)</f>
        <v>SWZ</v>
      </c>
      <c r="C926" s="233" t="str">
        <f>VLOOKUP(Table3[[#This Row],[Document ID]],Table1[],3,FALSE)</f>
        <v>Eswatini</v>
      </c>
      <c r="D926" s="233" t="str">
        <f>VLOOKUP(Table3[[#This Row],[Document ID]],Table1[],5,FALSE)</f>
        <v>NDC</v>
      </c>
      <c r="E926" s="233" t="str">
        <f>VLOOKUP(Table3[[#This Row],[Document ID]],Table1[],7,FALSE)</f>
        <v>First NDC updated</v>
      </c>
      <c r="F926" s="233" t="str">
        <f>VLOOKUP(Table3[[#This Row],[Document ID]],Table1[],8,FALSE)</f>
        <v>NDC 1.1</v>
      </c>
      <c r="G926" s="233" t="str">
        <f>VLOOKUP(Table3[[#This Row],[Document ID]],Table1[],10,FALSE)</f>
        <v>Active</v>
      </c>
      <c r="H926" s="42" t="s">
        <v>1095</v>
      </c>
      <c r="I926" s="42" t="s">
        <v>1096</v>
      </c>
      <c r="J926" s="42" t="s">
        <v>1097</v>
      </c>
      <c r="K926" s="28" t="s">
        <v>1102</v>
      </c>
      <c r="L926" s="389" t="s">
        <v>1099</v>
      </c>
      <c r="M926" s="209">
        <v>2030</v>
      </c>
      <c r="N926" s="209" t="s">
        <v>2040</v>
      </c>
      <c r="O926" s="257">
        <v>11</v>
      </c>
      <c r="P926" s="238" t="str">
        <f>VLOOKUP(_xlfn.CONCAT(Table3[[#This Row],[Target area]],Table3[[#This Row],[GHG target?]],Table3[[#This Row],[Conditionality]]),'Drop down'!$E$81:$F$101,2,FALSE)</f>
        <v>T_Transport_O_Unc</v>
      </c>
      <c r="Q926" s="239" t="str">
        <f>VLOOKUP(Table3[[#This Row],[Target type]],Table418[[Value name]:[Value idenifyer]],2,FALSE)</f>
        <v>T_O_BIO</v>
      </c>
      <c r="S926" s="233" t="s">
        <v>1101</v>
      </c>
      <c r="T926" s="240"/>
      <c r="U926" s="240"/>
      <c r="V926" s="233" t="str">
        <f>VLOOKUP(Table3[[#This Row],[Country Code]],Table29[],3,FALSE)</f>
        <v>Non-Annex I</v>
      </c>
      <c r="W926" s="233" t="str">
        <f>VLOOKUP(Table3[[#This Row],[Country Code]],Table29[],4,FALSE)</f>
        <v>Africa</v>
      </c>
      <c r="X926" s="233" t="str">
        <f>VLOOKUP(Table3[[#This Row],[Country Code]],Table29[],5,FALSE)</f>
        <v>Middle-income</v>
      </c>
      <c r="Y926" s="233" t="str">
        <f>VLOOKUP(Table3[[#This Row],[Country Code]],Table29[],6,FALSE)</f>
        <v>no</v>
      </c>
      <c r="Z926" s="233" t="str">
        <f>VLOOKUP(Table3[[#This Row],[Country Code]],Table29[],7,FALSE)</f>
        <v>no</v>
      </c>
      <c r="AA926" s="233" t="str">
        <f>VLOOKUP(Table3[[#This Row],[Country Code]],Table29[],8,FALSE)</f>
        <v>non-OECD</v>
      </c>
      <c r="AB926" s="233" t="str">
        <f>VLOOKUP(Table3[[#This Row],[Country Code]],Table29[],9,FALSE)</f>
        <v>no</v>
      </c>
      <c r="AC926" s="233" t="str">
        <f>VLOOKUP(Table3[[#This Row],[Country Code]],Table29[],10,FALSE)</f>
        <v>no</v>
      </c>
      <c r="AD926" s="235">
        <f>VLOOKUP(Table3[[#This Row],[Country Code]],Table29[],23,FALSE)</f>
        <v>3.2895503749739001</v>
      </c>
      <c r="AE926" s="235">
        <f>VLOOKUP(Table3[[#This Row],[Country Code]],Table29[],24,FALSE)</f>
        <v>0.8680947820135414</v>
      </c>
      <c r="AF926" s="43"/>
    </row>
    <row r="927" spans="1:32" ht="30" x14ac:dyDescent="0.25">
      <c r="A927" s="360">
        <v>17729</v>
      </c>
      <c r="B927" s="233" t="str">
        <f>VLOOKUP(Table3[[#This Row],[Document ID]],Table1[],2,FALSE)</f>
        <v>SYC</v>
      </c>
      <c r="C927" s="233" t="str">
        <f>VLOOKUP(Table3[[#This Row],[Document ID]],Table1[],3,FALSE)</f>
        <v>Seychelles</v>
      </c>
      <c r="D927" s="233" t="str">
        <f>VLOOKUP(Table3[[#This Row],[Document ID]],Table1[],5,FALSE)</f>
        <v>NDC</v>
      </c>
      <c r="E927" s="233" t="str">
        <f>VLOOKUP(Table3[[#This Row],[Document ID]],Table1[],7,FALSE)</f>
        <v>First NDC</v>
      </c>
      <c r="F927" s="233" t="str">
        <f>VLOOKUP(Table3[[#This Row],[Document ID]],Table1[],8,FALSE)</f>
        <v>NDC 1.0</v>
      </c>
      <c r="G927" s="233" t="str">
        <f>VLOOKUP(Table3[[#This Row],[Document ID]],Table1[],10,FALSE)</f>
        <v>Archived</v>
      </c>
      <c r="H927" s="42" t="s">
        <v>1095</v>
      </c>
      <c r="I927" s="42" t="s">
        <v>1096</v>
      </c>
      <c r="J927" s="42" t="s">
        <v>1097</v>
      </c>
      <c r="K927" s="28" t="s">
        <v>1104</v>
      </c>
      <c r="L927" s="216" t="s">
        <v>1092</v>
      </c>
      <c r="M927" s="209">
        <v>2030</v>
      </c>
      <c r="N927" s="44" t="s">
        <v>2041</v>
      </c>
      <c r="O927" s="221">
        <v>17</v>
      </c>
      <c r="P927" s="238" t="str">
        <f>VLOOKUP(_xlfn.CONCAT(Table3[[#This Row],[Target area]],Table3[[#This Row],[GHG target?]],Table3[[#This Row],[Conditionality]]),'Drop down'!$E$81:$F$101,2,FALSE)</f>
        <v>T_Transport_O_C</v>
      </c>
      <c r="Q927" s="239" t="str">
        <f>VLOOKUP(Table3[[#This Row],[Target type]],Table418[[Value name]:[Value idenifyer]],2,FALSE)</f>
        <v>T_O_ZERO</v>
      </c>
      <c r="S927" s="233" t="s">
        <v>1101</v>
      </c>
      <c r="V927" s="233" t="str">
        <f>VLOOKUP(Table3[[#This Row],[Country Code]],Table29[],3,FALSE)</f>
        <v>Non-Annex I</v>
      </c>
      <c r="W927" s="233" t="str">
        <f>VLOOKUP(Table3[[#This Row],[Country Code]],Table29[],4,FALSE)</f>
        <v>Africa</v>
      </c>
      <c r="X927" s="233" t="str">
        <f>VLOOKUP(Table3[[#This Row],[Country Code]],Table29[],5,FALSE)</f>
        <v>High-income</v>
      </c>
      <c r="Y927" s="233" t="str">
        <f>VLOOKUP(Table3[[#This Row],[Country Code]],Table29[],6,FALSE)</f>
        <v>no</v>
      </c>
      <c r="Z927" s="233" t="str">
        <f>VLOOKUP(Table3[[#This Row],[Country Code]],Table29[],7,FALSE)</f>
        <v>no</v>
      </c>
      <c r="AA927" s="233" t="str">
        <f>VLOOKUP(Table3[[#This Row],[Country Code]],Table29[],8,FALSE)</f>
        <v>non-OECD</v>
      </c>
      <c r="AB927" s="233" t="str">
        <f>VLOOKUP(Table3[[#This Row],[Country Code]],Table29[],9,FALSE)</f>
        <v>no</v>
      </c>
      <c r="AC927" s="233" t="str">
        <f>VLOOKUP(Table3[[#This Row],[Country Code]],Table29[],10,FALSE)</f>
        <v>no</v>
      </c>
      <c r="AD927" s="235">
        <f>VLOOKUP(Table3[[#This Row],[Country Code]],Table29[],23,FALSE)</f>
        <v>1.3387084460448999</v>
      </c>
      <c r="AE927" s="235">
        <f>VLOOKUP(Table3[[#This Row],[Country Code]],Table29[],24,FALSE)</f>
        <v>0.72161504168930912</v>
      </c>
      <c r="AF927" s="43"/>
    </row>
    <row r="928" spans="1:32" ht="30" x14ac:dyDescent="0.25">
      <c r="A928" s="360">
        <v>17729</v>
      </c>
      <c r="B928" s="233" t="str">
        <f>VLOOKUP(Table3[[#This Row],[Document ID]],Table1[],2,FALSE)</f>
        <v>SYC</v>
      </c>
      <c r="C928" s="233" t="str">
        <f>VLOOKUP(Table3[[#This Row],[Document ID]],Table1[],3,FALSE)</f>
        <v>Seychelles</v>
      </c>
      <c r="D928" s="233" t="str">
        <f>VLOOKUP(Table3[[#This Row],[Document ID]],Table1[],5,FALSE)</f>
        <v>NDC</v>
      </c>
      <c r="E928" s="233" t="str">
        <f>VLOOKUP(Table3[[#This Row],[Document ID]],Table1[],7,FALSE)</f>
        <v>First NDC</v>
      </c>
      <c r="F928" s="233" t="str">
        <f>VLOOKUP(Table3[[#This Row],[Document ID]],Table1[],8,FALSE)</f>
        <v>NDC 1.0</v>
      </c>
      <c r="G928" s="233" t="str">
        <f>VLOOKUP(Table3[[#This Row],[Document ID]],Table1[],10,FALSE)</f>
        <v>Archived</v>
      </c>
      <c r="H928" s="42" t="s">
        <v>1095</v>
      </c>
      <c r="I928" s="42" t="s">
        <v>1096</v>
      </c>
      <c r="J928" s="42" t="s">
        <v>1097</v>
      </c>
      <c r="K928" s="28" t="s">
        <v>1223</v>
      </c>
      <c r="L928" s="216" t="s">
        <v>1092</v>
      </c>
      <c r="M928" s="209"/>
      <c r="N928" s="44" t="s">
        <v>2042</v>
      </c>
      <c r="O928" s="221">
        <v>17</v>
      </c>
      <c r="P928" s="238" t="str">
        <f>VLOOKUP(_xlfn.CONCAT(Table3[[#This Row],[Target area]],Table3[[#This Row],[GHG target?]],Table3[[#This Row],[Conditionality]]),'Drop down'!$E$81:$F$101,2,FALSE)</f>
        <v>T_Transport_O_C</v>
      </c>
      <c r="Q928" s="239" t="str">
        <f>VLOOKUP(Table3[[#This Row],[Target type]],Table418[[Value name]:[Value idenifyer]],2,FALSE)</f>
        <v>T_O_REN</v>
      </c>
      <c r="S928" s="233" t="s">
        <v>1101</v>
      </c>
      <c r="V928" s="233" t="str">
        <f>VLOOKUP(Table3[[#This Row],[Country Code]],Table29[],3,FALSE)</f>
        <v>Non-Annex I</v>
      </c>
      <c r="W928" s="233" t="str">
        <f>VLOOKUP(Table3[[#This Row],[Country Code]],Table29[],4,FALSE)</f>
        <v>Africa</v>
      </c>
      <c r="X928" s="233" t="str">
        <f>VLOOKUP(Table3[[#This Row],[Country Code]],Table29[],5,FALSE)</f>
        <v>High-income</v>
      </c>
      <c r="Y928" s="233" t="str">
        <f>VLOOKUP(Table3[[#This Row],[Country Code]],Table29[],6,FALSE)</f>
        <v>no</v>
      </c>
      <c r="Z928" s="233" t="str">
        <f>VLOOKUP(Table3[[#This Row],[Country Code]],Table29[],7,FALSE)</f>
        <v>no</v>
      </c>
      <c r="AA928" s="233" t="str">
        <f>VLOOKUP(Table3[[#This Row],[Country Code]],Table29[],8,FALSE)</f>
        <v>non-OECD</v>
      </c>
      <c r="AB928" s="233" t="str">
        <f>VLOOKUP(Table3[[#This Row],[Country Code]],Table29[],9,FALSE)</f>
        <v>no</v>
      </c>
      <c r="AC928" s="233" t="str">
        <f>VLOOKUP(Table3[[#This Row],[Country Code]],Table29[],10,FALSE)</f>
        <v>no</v>
      </c>
      <c r="AD928" s="235">
        <f>VLOOKUP(Table3[[#This Row],[Country Code]],Table29[],23,FALSE)</f>
        <v>1.3387084460448999</v>
      </c>
      <c r="AE928" s="235">
        <f>VLOOKUP(Table3[[#This Row],[Country Code]],Table29[],24,FALSE)</f>
        <v>0.72161504168930912</v>
      </c>
      <c r="AF928" s="43"/>
    </row>
    <row r="929" spans="1:32" ht="30" x14ac:dyDescent="0.25">
      <c r="A929" s="360">
        <v>17729</v>
      </c>
      <c r="B929" s="233" t="str">
        <f>VLOOKUP(Table3[[#This Row],[Document ID]],Table1[],2,FALSE)</f>
        <v>SYC</v>
      </c>
      <c r="C929" s="233" t="str">
        <f>VLOOKUP(Table3[[#This Row],[Document ID]],Table1[],3,FALSE)</f>
        <v>Seychelles</v>
      </c>
      <c r="D929" s="233" t="str">
        <f>VLOOKUP(Table3[[#This Row],[Document ID]],Table1[],5,FALSE)</f>
        <v>NDC</v>
      </c>
      <c r="E929" s="233" t="str">
        <f>VLOOKUP(Table3[[#This Row],[Document ID]],Table1[],7,FALSE)</f>
        <v>First NDC</v>
      </c>
      <c r="F929" s="233" t="str">
        <f>VLOOKUP(Table3[[#This Row],[Document ID]],Table1[],8,FALSE)</f>
        <v>NDC 1.0</v>
      </c>
      <c r="G929" s="233" t="str">
        <f>VLOOKUP(Table3[[#This Row],[Document ID]],Table1[],10,FALSE)</f>
        <v>Archived</v>
      </c>
      <c r="H929" s="42" t="s">
        <v>1095</v>
      </c>
      <c r="I929" s="42" t="s">
        <v>1096</v>
      </c>
      <c r="J929" s="42" t="s">
        <v>1097</v>
      </c>
      <c r="K929" s="28" t="s">
        <v>1137</v>
      </c>
      <c r="L929" s="216" t="s">
        <v>1092</v>
      </c>
      <c r="M929" s="209">
        <v>2030</v>
      </c>
      <c r="N929" s="44" t="s">
        <v>2043</v>
      </c>
      <c r="O929" s="221">
        <v>17</v>
      </c>
      <c r="P929" s="238" t="str">
        <f>VLOOKUP(_xlfn.CONCAT(Table3[[#This Row],[Target area]],Table3[[#This Row],[GHG target?]],Table3[[#This Row],[Conditionality]]),'Drop down'!$E$81:$F$101,2,FALSE)</f>
        <v>T_Transport_O_C</v>
      </c>
      <c r="Q929" s="239" t="str">
        <f>VLOOKUP(Table3[[#This Row],[Target type]],Table418[[Value name]:[Value idenifyer]],2,FALSE)</f>
        <v>T_O_EFF</v>
      </c>
      <c r="S929" s="233" t="s">
        <v>1101</v>
      </c>
      <c r="V929" s="233" t="str">
        <f>VLOOKUP(Table3[[#This Row],[Country Code]],Table29[],3,FALSE)</f>
        <v>Non-Annex I</v>
      </c>
      <c r="W929" s="233" t="str">
        <f>VLOOKUP(Table3[[#This Row],[Country Code]],Table29[],4,FALSE)</f>
        <v>Africa</v>
      </c>
      <c r="X929" s="233" t="str">
        <f>VLOOKUP(Table3[[#This Row],[Country Code]],Table29[],5,FALSE)</f>
        <v>High-income</v>
      </c>
      <c r="Y929" s="233" t="str">
        <f>VLOOKUP(Table3[[#This Row],[Country Code]],Table29[],6,FALSE)</f>
        <v>no</v>
      </c>
      <c r="Z929" s="233" t="str">
        <f>VLOOKUP(Table3[[#This Row],[Country Code]],Table29[],7,FALSE)</f>
        <v>no</v>
      </c>
      <c r="AA929" s="233" t="str">
        <f>VLOOKUP(Table3[[#This Row],[Country Code]],Table29[],8,FALSE)</f>
        <v>non-OECD</v>
      </c>
      <c r="AB929" s="233" t="str">
        <f>VLOOKUP(Table3[[#This Row],[Country Code]],Table29[],9,FALSE)</f>
        <v>no</v>
      </c>
      <c r="AC929" s="233" t="str">
        <f>VLOOKUP(Table3[[#This Row],[Country Code]],Table29[],10,FALSE)</f>
        <v>no</v>
      </c>
      <c r="AD929" s="235">
        <f>VLOOKUP(Table3[[#This Row],[Country Code]],Table29[],23,FALSE)</f>
        <v>1.3387084460448999</v>
      </c>
      <c r="AE929" s="235">
        <f>VLOOKUP(Table3[[#This Row],[Country Code]],Table29[],24,FALSE)</f>
        <v>0.72161504168930912</v>
      </c>
      <c r="AF929" s="43"/>
    </row>
    <row r="930" spans="1:32" ht="30" x14ac:dyDescent="0.25">
      <c r="A930" s="360">
        <v>21279</v>
      </c>
      <c r="B930" s="233" t="str">
        <f>VLOOKUP(Table3[[#This Row],[Document ID]],Table1[],2,FALSE)</f>
        <v>SYC</v>
      </c>
      <c r="C930" s="233" t="str">
        <f>VLOOKUP(Table3[[#This Row],[Document ID]],Table1[],3,FALSE)</f>
        <v>Seychelles</v>
      </c>
      <c r="D930" s="233" t="str">
        <f>VLOOKUP(Table3[[#This Row],[Document ID]],Table1[],5,FALSE)</f>
        <v>NDC</v>
      </c>
      <c r="E930" s="233" t="str">
        <f>VLOOKUP(Table3[[#This Row],[Document ID]],Table1[],7,FALSE)</f>
        <v>First NDC updated</v>
      </c>
      <c r="F930" s="233" t="str">
        <f>VLOOKUP(Table3[[#This Row],[Document ID]],Table1[],8,FALSE)</f>
        <v>NDC 1.1</v>
      </c>
      <c r="G930" s="233" t="str">
        <f>VLOOKUP(Table3[[#This Row],[Document ID]],Table1[],10,FALSE)</f>
        <v>Active</v>
      </c>
      <c r="H930" s="42" t="s">
        <v>1095</v>
      </c>
      <c r="I930" s="43" t="s">
        <v>1115</v>
      </c>
      <c r="J930" s="43" t="s">
        <v>1090</v>
      </c>
      <c r="K930" s="28" t="s">
        <v>1091</v>
      </c>
      <c r="L930" s="216" t="s">
        <v>1092</v>
      </c>
      <c r="M930" s="209">
        <v>2030</v>
      </c>
      <c r="N930" s="209" t="s">
        <v>2044</v>
      </c>
      <c r="O930" s="257">
        <v>9</v>
      </c>
      <c r="P930" s="238" t="str">
        <f>VLOOKUP(_xlfn.CONCAT(Table3[[#This Row],[Target area]],Table3[[#This Row],[GHG target?]],Table3[[#This Row],[Conditionality]]),'Drop down'!$E$81:$F$101,2,FALSE)</f>
        <v>T_Transport_C</v>
      </c>
      <c r="Q930" s="239" t="str">
        <f>VLOOKUP(Table3[[#This Row],[Target type]],Table418[[Value name]:[Value idenifyer]],2,FALSE)</f>
        <v>T_BAU</v>
      </c>
      <c r="R930" s="233" t="s">
        <v>539</v>
      </c>
      <c r="S930" s="233" t="s">
        <v>1125</v>
      </c>
      <c r="T930" s="234" t="s">
        <v>1113</v>
      </c>
      <c r="V930" s="233" t="str">
        <f>VLOOKUP(Table3[[#This Row],[Country Code]],Table29[],3,FALSE)</f>
        <v>Non-Annex I</v>
      </c>
      <c r="W930" s="233" t="str">
        <f>VLOOKUP(Table3[[#This Row],[Country Code]],Table29[],4,FALSE)</f>
        <v>Africa</v>
      </c>
      <c r="X930" s="233" t="str">
        <f>VLOOKUP(Table3[[#This Row],[Country Code]],Table29[],5,FALSE)</f>
        <v>High-income</v>
      </c>
      <c r="Y930" s="233" t="str">
        <f>VLOOKUP(Table3[[#This Row],[Country Code]],Table29[],6,FALSE)</f>
        <v>no</v>
      </c>
      <c r="Z930" s="233" t="str">
        <f>VLOOKUP(Table3[[#This Row],[Country Code]],Table29[],7,FALSE)</f>
        <v>no</v>
      </c>
      <c r="AA930" s="233" t="str">
        <f>VLOOKUP(Table3[[#This Row],[Country Code]],Table29[],8,FALSE)</f>
        <v>non-OECD</v>
      </c>
      <c r="AB930" s="233" t="str">
        <f>VLOOKUP(Table3[[#This Row],[Country Code]],Table29[],9,FALSE)</f>
        <v>no</v>
      </c>
      <c r="AC930" s="233" t="str">
        <f>VLOOKUP(Table3[[#This Row],[Country Code]],Table29[],10,FALSE)</f>
        <v>no</v>
      </c>
      <c r="AD930" s="235">
        <f>VLOOKUP(Table3[[#This Row],[Country Code]],Table29[],23,FALSE)</f>
        <v>1.3387084460448999</v>
      </c>
      <c r="AE930" s="235">
        <f>VLOOKUP(Table3[[#This Row],[Country Code]],Table29[],24,FALSE)</f>
        <v>0.72161504168930912</v>
      </c>
      <c r="AF930" s="43"/>
    </row>
    <row r="931" spans="1:32" ht="30" x14ac:dyDescent="0.25">
      <c r="A931" s="360">
        <v>21279</v>
      </c>
      <c r="B931" s="233" t="str">
        <f>VLOOKUP(Table3[[#This Row],[Document ID]],Table1[],2,FALSE)</f>
        <v>SYC</v>
      </c>
      <c r="C931" s="233" t="str">
        <f>VLOOKUP(Table3[[#This Row],[Document ID]],Table1[],3,FALSE)</f>
        <v>Seychelles</v>
      </c>
      <c r="D931" s="233" t="str">
        <f>VLOOKUP(Table3[[#This Row],[Document ID]],Table1[],5,FALSE)</f>
        <v>NDC</v>
      </c>
      <c r="E931" s="233" t="str">
        <f>VLOOKUP(Table3[[#This Row],[Document ID]],Table1[],7,FALSE)</f>
        <v>First NDC updated</v>
      </c>
      <c r="F931" s="233" t="str">
        <f>VLOOKUP(Table3[[#This Row],[Document ID]],Table1[],8,FALSE)</f>
        <v>NDC 1.1</v>
      </c>
      <c r="G931" s="233" t="str">
        <f>VLOOKUP(Table3[[#This Row],[Document ID]],Table1[],10,FALSE)</f>
        <v>Active</v>
      </c>
      <c r="H931" s="42" t="s">
        <v>1095</v>
      </c>
      <c r="I931" s="42" t="s">
        <v>1096</v>
      </c>
      <c r="J931" s="42" t="s">
        <v>1097</v>
      </c>
      <c r="K931" s="28" t="s">
        <v>1104</v>
      </c>
      <c r="L931" s="216" t="s">
        <v>1092</v>
      </c>
      <c r="M931" s="209">
        <v>2030</v>
      </c>
      <c r="N931" s="209" t="s">
        <v>2045</v>
      </c>
      <c r="O931" s="257">
        <v>11</v>
      </c>
      <c r="P931" s="238" t="str">
        <f>VLOOKUP(_xlfn.CONCAT(Table3[[#This Row],[Target area]],Table3[[#This Row],[GHG target?]],Table3[[#This Row],[Conditionality]]),'Drop down'!$E$81:$F$101,2,FALSE)</f>
        <v>T_Transport_O_C</v>
      </c>
      <c r="Q931" s="239" t="str">
        <f>VLOOKUP(Table3[[#This Row],[Target type]],Table418[[Value name]:[Value idenifyer]],2,FALSE)</f>
        <v>T_O_ZERO</v>
      </c>
      <c r="S931" s="233" t="s">
        <v>1125</v>
      </c>
      <c r="T931" s="234" t="s">
        <v>1113</v>
      </c>
      <c r="V931" s="233" t="str">
        <f>VLOOKUP(Table3[[#This Row],[Country Code]],Table29[],3,FALSE)</f>
        <v>Non-Annex I</v>
      </c>
      <c r="W931" s="233" t="str">
        <f>VLOOKUP(Table3[[#This Row],[Country Code]],Table29[],4,FALSE)</f>
        <v>Africa</v>
      </c>
      <c r="X931" s="233" t="str">
        <f>VLOOKUP(Table3[[#This Row],[Country Code]],Table29[],5,FALSE)</f>
        <v>High-income</v>
      </c>
      <c r="Y931" s="233" t="str">
        <f>VLOOKUP(Table3[[#This Row],[Country Code]],Table29[],6,FALSE)</f>
        <v>no</v>
      </c>
      <c r="Z931" s="233" t="str">
        <f>VLOOKUP(Table3[[#This Row],[Country Code]],Table29[],7,FALSE)</f>
        <v>no</v>
      </c>
      <c r="AA931" s="233" t="str">
        <f>VLOOKUP(Table3[[#This Row],[Country Code]],Table29[],8,FALSE)</f>
        <v>non-OECD</v>
      </c>
      <c r="AB931" s="233" t="str">
        <f>VLOOKUP(Table3[[#This Row],[Country Code]],Table29[],9,FALSE)</f>
        <v>no</v>
      </c>
      <c r="AC931" s="233" t="str">
        <f>VLOOKUP(Table3[[#This Row],[Country Code]],Table29[],10,FALSE)</f>
        <v>no</v>
      </c>
      <c r="AD931" s="235">
        <f>VLOOKUP(Table3[[#This Row],[Country Code]],Table29[],23,FALSE)</f>
        <v>1.3387084460448999</v>
      </c>
      <c r="AE931" s="235">
        <f>VLOOKUP(Table3[[#This Row],[Country Code]],Table29[],24,FALSE)</f>
        <v>0.72161504168930912</v>
      </c>
      <c r="AF931" s="43"/>
    </row>
    <row r="932" spans="1:32" ht="60" x14ac:dyDescent="0.25">
      <c r="A932" s="360">
        <v>21279</v>
      </c>
      <c r="B932" s="233" t="str">
        <f>VLOOKUP(Table3[[#This Row],[Document ID]],Table1[],2,FALSE)</f>
        <v>SYC</v>
      </c>
      <c r="C932" s="233" t="str">
        <f>VLOOKUP(Table3[[#This Row],[Document ID]],Table1[],3,FALSE)</f>
        <v>Seychelles</v>
      </c>
      <c r="D932" s="233" t="str">
        <f>VLOOKUP(Table3[[#This Row],[Document ID]],Table1[],5,FALSE)</f>
        <v>NDC</v>
      </c>
      <c r="E932" s="233" t="str">
        <f>VLOOKUP(Table3[[#This Row],[Document ID]],Table1[],7,FALSE)</f>
        <v>First NDC updated</v>
      </c>
      <c r="F932" s="233" t="str">
        <f>VLOOKUP(Table3[[#This Row],[Document ID]],Table1[],8,FALSE)</f>
        <v>NDC 1.1</v>
      </c>
      <c r="G932" s="233" t="str">
        <f>VLOOKUP(Table3[[#This Row],[Document ID]],Table1[],10,FALSE)</f>
        <v>Active</v>
      </c>
      <c r="H932" s="42" t="s">
        <v>1095</v>
      </c>
      <c r="I932" s="42" t="s">
        <v>1096</v>
      </c>
      <c r="J932" s="42" t="s">
        <v>1097</v>
      </c>
      <c r="K932" s="28" t="s">
        <v>1104</v>
      </c>
      <c r="L932" s="389" t="s">
        <v>1099</v>
      </c>
      <c r="M932" s="209">
        <v>2030</v>
      </c>
      <c r="N932" s="209" t="s">
        <v>2046</v>
      </c>
      <c r="O932" s="257">
        <v>25</v>
      </c>
      <c r="P932" s="238" t="str">
        <f>VLOOKUP(_xlfn.CONCAT(Table3[[#This Row],[Target area]],Table3[[#This Row],[GHG target?]],Table3[[#This Row],[Conditionality]]),'Drop down'!$E$81:$F$101,2,FALSE)</f>
        <v>T_Transport_O_Unc</v>
      </c>
      <c r="Q932" s="239" t="str">
        <f>VLOOKUP(Table3[[#This Row],[Target type]],Table418[[Value name]:[Value idenifyer]],2,FALSE)</f>
        <v>T_O_ZERO</v>
      </c>
      <c r="S932" s="233" t="s">
        <v>1125</v>
      </c>
      <c r="T932" s="234" t="s">
        <v>1113</v>
      </c>
      <c r="V932" s="233" t="str">
        <f>VLOOKUP(Table3[[#This Row],[Country Code]],Table29[],3,FALSE)</f>
        <v>Non-Annex I</v>
      </c>
      <c r="W932" s="233" t="str">
        <f>VLOOKUP(Table3[[#This Row],[Country Code]],Table29[],4,FALSE)</f>
        <v>Africa</v>
      </c>
      <c r="X932" s="233" t="str">
        <f>VLOOKUP(Table3[[#This Row],[Country Code]],Table29[],5,FALSE)</f>
        <v>High-income</v>
      </c>
      <c r="Y932" s="233" t="str">
        <f>VLOOKUP(Table3[[#This Row],[Country Code]],Table29[],6,FALSE)</f>
        <v>no</v>
      </c>
      <c r="Z932" s="233" t="str">
        <f>VLOOKUP(Table3[[#This Row],[Country Code]],Table29[],7,FALSE)</f>
        <v>no</v>
      </c>
      <c r="AA932" s="233" t="str">
        <f>VLOOKUP(Table3[[#This Row],[Country Code]],Table29[],8,FALSE)</f>
        <v>non-OECD</v>
      </c>
      <c r="AB932" s="233" t="str">
        <f>VLOOKUP(Table3[[#This Row],[Country Code]],Table29[],9,FALSE)</f>
        <v>no</v>
      </c>
      <c r="AC932" s="233" t="str">
        <f>VLOOKUP(Table3[[#This Row],[Country Code]],Table29[],10,FALSE)</f>
        <v>no</v>
      </c>
      <c r="AD932" s="235">
        <f>VLOOKUP(Table3[[#This Row],[Country Code]],Table29[],23,FALSE)</f>
        <v>1.3387084460448999</v>
      </c>
      <c r="AE932" s="235">
        <f>VLOOKUP(Table3[[#This Row],[Country Code]],Table29[],24,FALSE)</f>
        <v>0.72161504168930912</v>
      </c>
      <c r="AF932" s="43"/>
    </row>
    <row r="933" spans="1:32" ht="30" x14ac:dyDescent="0.25">
      <c r="A933" s="360">
        <v>17729</v>
      </c>
      <c r="B933" s="233" t="str">
        <f>VLOOKUP(Table3[[#This Row],[Document ID]],Table1[],2,FALSE)</f>
        <v>SYC</v>
      </c>
      <c r="C933" s="233" t="str">
        <f>VLOOKUP(Table3[[#This Row],[Document ID]],Table1[],3,FALSE)</f>
        <v>Seychelles</v>
      </c>
      <c r="D933" s="233" t="str">
        <f>VLOOKUP(Table3[[#This Row],[Document ID]],Table1[],5,FALSE)</f>
        <v>NDC</v>
      </c>
      <c r="E933" s="233" t="str">
        <f>VLOOKUP(Table3[[#This Row],[Document ID]],Table1[],7,FALSE)</f>
        <v>First NDC</v>
      </c>
      <c r="F933" s="233" t="str">
        <f>VLOOKUP(Table3[[#This Row],[Document ID]],Table1[],8,FALSE)</f>
        <v>NDC 1.0</v>
      </c>
      <c r="G933" s="233" t="str">
        <f>VLOOKUP(Table3[[#This Row],[Document ID]],Table1[],10,FALSE)</f>
        <v>Archived</v>
      </c>
      <c r="H933" s="42" t="s">
        <v>1095</v>
      </c>
      <c r="I933" s="43" t="s">
        <v>1096</v>
      </c>
      <c r="J933" s="43" t="s">
        <v>1090</v>
      </c>
      <c r="K933" s="28" t="s">
        <v>1091</v>
      </c>
      <c r="L933" s="216" t="s">
        <v>1092</v>
      </c>
      <c r="M933" s="209">
        <v>2030</v>
      </c>
      <c r="N933" s="44" t="s">
        <v>2047</v>
      </c>
      <c r="O933" s="221">
        <v>11</v>
      </c>
      <c r="P933" s="238" t="str">
        <f>VLOOKUP(_xlfn.CONCAT(Table3[[#This Row],[Target area]],Table3[[#This Row],[GHG target?]],Table3[[#This Row],[Conditionality]]),'Drop down'!$E$81:$F$101,2,FALSE)</f>
        <v>T_Transport_C</v>
      </c>
      <c r="Q933" s="239" t="str">
        <f>VLOOKUP(Table3[[#This Row],[Target type]],Table418[[Value name]:[Value idenifyer]],2,FALSE)</f>
        <v>T_BAU</v>
      </c>
      <c r="R933" s="233" t="s">
        <v>539</v>
      </c>
      <c r="S933" s="233" t="s">
        <v>1125</v>
      </c>
      <c r="T933" s="234" t="s">
        <v>1113</v>
      </c>
      <c r="V933" s="233" t="str">
        <f>VLOOKUP(Table3[[#This Row],[Country Code]],Table29[],3,FALSE)</f>
        <v>Non-Annex I</v>
      </c>
      <c r="W933" s="233" t="str">
        <f>VLOOKUP(Table3[[#This Row],[Country Code]],Table29[],4,FALSE)</f>
        <v>Africa</v>
      </c>
      <c r="X933" s="233" t="str">
        <f>VLOOKUP(Table3[[#This Row],[Country Code]],Table29[],5,FALSE)</f>
        <v>High-income</v>
      </c>
      <c r="Y933" s="233" t="str">
        <f>VLOOKUP(Table3[[#This Row],[Country Code]],Table29[],6,FALSE)</f>
        <v>no</v>
      </c>
      <c r="Z933" s="233" t="str">
        <f>VLOOKUP(Table3[[#This Row],[Country Code]],Table29[],7,FALSE)</f>
        <v>no</v>
      </c>
      <c r="AA933" s="233" t="str">
        <f>VLOOKUP(Table3[[#This Row],[Country Code]],Table29[],8,FALSE)</f>
        <v>non-OECD</v>
      </c>
      <c r="AB933" s="233" t="str">
        <f>VLOOKUP(Table3[[#This Row],[Country Code]],Table29[],9,FALSE)</f>
        <v>no</v>
      </c>
      <c r="AC933" s="233" t="str">
        <f>VLOOKUP(Table3[[#This Row],[Country Code]],Table29[],10,FALSE)</f>
        <v>no</v>
      </c>
      <c r="AD933" s="235">
        <f>VLOOKUP(Table3[[#This Row],[Country Code]],Table29[],23,FALSE)</f>
        <v>1.3387084460448999</v>
      </c>
      <c r="AE933" s="235">
        <f>VLOOKUP(Table3[[#This Row],[Country Code]],Table29[],24,FALSE)</f>
        <v>0.72161504168930912</v>
      </c>
      <c r="AF933" s="43"/>
    </row>
    <row r="934" spans="1:32" ht="30" x14ac:dyDescent="0.25">
      <c r="A934" s="360">
        <v>17760</v>
      </c>
      <c r="B934" s="233" t="str">
        <f>VLOOKUP(Table3[[#This Row],[Document ID]],Table1[],2,FALSE)</f>
        <v>TGO</v>
      </c>
      <c r="C934" s="233" t="str">
        <f>VLOOKUP(Table3[[#This Row],[Document ID]],Table1[],3,FALSE)</f>
        <v>Togo</v>
      </c>
      <c r="D934" s="233" t="str">
        <f>VLOOKUP(Table3[[#This Row],[Document ID]],Table1[],5,FALSE)</f>
        <v>NDC</v>
      </c>
      <c r="E934" s="233" t="str">
        <f>VLOOKUP(Table3[[#This Row],[Document ID]],Table1[],7,FALSE)</f>
        <v>First NDC</v>
      </c>
      <c r="F934" s="233" t="str">
        <f>VLOOKUP(Table3[[#This Row],[Document ID]],Table1[],8,FALSE)</f>
        <v>NDC 1.0</v>
      </c>
      <c r="G934" s="233" t="str">
        <f>VLOOKUP(Table3[[#This Row],[Document ID]],Table1[],10,FALSE)</f>
        <v>Archived</v>
      </c>
      <c r="H934" s="42" t="s">
        <v>1095</v>
      </c>
      <c r="I934" s="42" t="s">
        <v>1096</v>
      </c>
      <c r="J934" s="42" t="s">
        <v>1097</v>
      </c>
      <c r="K934" s="28" t="s">
        <v>1137</v>
      </c>
      <c r="L934" s="216" t="s">
        <v>1092</v>
      </c>
      <c r="M934" s="209">
        <v>2030</v>
      </c>
      <c r="N934" s="44" t="s">
        <v>2048</v>
      </c>
      <c r="O934" s="221">
        <v>10</v>
      </c>
      <c r="P934" s="238" t="str">
        <f>VLOOKUP(_xlfn.CONCAT(Table3[[#This Row],[Target area]],Table3[[#This Row],[GHG target?]],Table3[[#This Row],[Conditionality]]),'Drop down'!$E$81:$F$101,2,FALSE)</f>
        <v>T_Transport_O_C</v>
      </c>
      <c r="Q934" s="239" t="str">
        <f>VLOOKUP(Table3[[#This Row],[Target type]],Table418[[Value name]:[Value idenifyer]],2,FALSE)</f>
        <v>T_O_EFF</v>
      </c>
      <c r="S934" s="233" t="s">
        <v>1101</v>
      </c>
      <c r="V934" s="233" t="str">
        <f>VLOOKUP(Table3[[#This Row],[Country Code]],Table29[],3,FALSE)</f>
        <v>Non-Annex I</v>
      </c>
      <c r="W934" s="233" t="str">
        <f>VLOOKUP(Table3[[#This Row],[Country Code]],Table29[],4,FALSE)</f>
        <v>Africa</v>
      </c>
      <c r="X934" s="233" t="str">
        <f>VLOOKUP(Table3[[#This Row],[Country Code]],Table29[],5,FALSE)</f>
        <v>Low-income</v>
      </c>
      <c r="Y934" s="233" t="str">
        <f>VLOOKUP(Table3[[#This Row],[Country Code]],Table29[],6,FALSE)</f>
        <v>no</v>
      </c>
      <c r="Z934" s="233" t="str">
        <f>VLOOKUP(Table3[[#This Row],[Country Code]],Table29[],7,FALSE)</f>
        <v>no</v>
      </c>
      <c r="AA934" s="233" t="str">
        <f>VLOOKUP(Table3[[#This Row],[Country Code]],Table29[],8,FALSE)</f>
        <v>non-OECD</v>
      </c>
      <c r="AB934" s="233" t="str">
        <f>VLOOKUP(Table3[[#This Row],[Country Code]],Table29[],9,FALSE)</f>
        <v>no</v>
      </c>
      <c r="AC934" s="233" t="str">
        <f>VLOOKUP(Table3[[#This Row],[Country Code]],Table29[],10,FALSE)</f>
        <v>no</v>
      </c>
      <c r="AD934" s="235">
        <f>VLOOKUP(Table3[[#This Row],[Country Code]],Table29[],23,FALSE)</f>
        <v>10.612911987181</v>
      </c>
      <c r="AE934" s="235">
        <f>VLOOKUP(Table3[[#This Row],[Country Code]],Table29[],24,FALSE)</f>
        <v>1.3349461053649869</v>
      </c>
      <c r="AF934" s="43"/>
    </row>
    <row r="935" spans="1:32" ht="60" x14ac:dyDescent="0.25">
      <c r="A935" s="360">
        <v>23386</v>
      </c>
      <c r="B935" s="233" t="str">
        <f>VLOOKUP(Table3[[#This Row],[Document ID]],Table1[],2,FALSE)</f>
        <v>TGO</v>
      </c>
      <c r="C935" s="233" t="str">
        <f>VLOOKUP(Table3[[#This Row],[Document ID]],Table1[],3,FALSE)</f>
        <v>Togo</v>
      </c>
      <c r="D935" s="233" t="str">
        <f>VLOOKUP(Table3[[#This Row],[Document ID]],Table1[],5,FALSE)</f>
        <v>NDC</v>
      </c>
      <c r="E935" s="233" t="str">
        <f>VLOOKUP(Table3[[#This Row],[Document ID]],Table1[],7,FALSE)</f>
        <v>First NDC updated</v>
      </c>
      <c r="F935" s="233" t="str">
        <f>VLOOKUP(Table3[[#This Row],[Document ID]],Table1[],8,FALSE)</f>
        <v>NDC 1.1</v>
      </c>
      <c r="G935" s="233" t="str">
        <f>VLOOKUP(Table3[[#This Row],[Document ID]],Table1[],10,FALSE)</f>
        <v>Active</v>
      </c>
      <c r="H935" s="42" t="s">
        <v>1095</v>
      </c>
      <c r="I935" s="42" t="s">
        <v>1096</v>
      </c>
      <c r="J935" s="42" t="s">
        <v>1097</v>
      </c>
      <c r="K935" s="28" t="s">
        <v>1137</v>
      </c>
      <c r="L935" s="389" t="s">
        <v>1099</v>
      </c>
      <c r="M935" s="209">
        <v>2025</v>
      </c>
      <c r="N935" s="209" t="s">
        <v>2049</v>
      </c>
      <c r="O935" s="257">
        <v>16</v>
      </c>
      <c r="P935" s="238" t="str">
        <f>VLOOKUP(_xlfn.CONCAT(Table3[[#This Row],[Target area]],Table3[[#This Row],[GHG target?]],Table3[[#This Row],[Conditionality]]),'Drop down'!$E$81:$F$101,2,FALSE)</f>
        <v>T_Transport_O_Unc</v>
      </c>
      <c r="Q935" s="239" t="str">
        <f>VLOOKUP(Table3[[#This Row],[Target type]],Table418[[Value name]:[Value idenifyer]],2,FALSE)</f>
        <v>T_O_EFF</v>
      </c>
      <c r="S935" s="233" t="s">
        <v>1101</v>
      </c>
      <c r="T935" s="240"/>
      <c r="U935" s="240"/>
      <c r="V935" s="233" t="str">
        <f>VLOOKUP(Table3[[#This Row],[Country Code]],Table29[],3,FALSE)</f>
        <v>Non-Annex I</v>
      </c>
      <c r="W935" s="233" t="str">
        <f>VLOOKUP(Table3[[#This Row],[Country Code]],Table29[],4,FALSE)</f>
        <v>Africa</v>
      </c>
      <c r="X935" s="233" t="str">
        <f>VLOOKUP(Table3[[#This Row],[Country Code]],Table29[],5,FALSE)</f>
        <v>Low-income</v>
      </c>
      <c r="Y935" s="233" t="str">
        <f>VLOOKUP(Table3[[#This Row],[Country Code]],Table29[],6,FALSE)</f>
        <v>no</v>
      </c>
      <c r="Z935" s="233" t="str">
        <f>VLOOKUP(Table3[[#This Row],[Country Code]],Table29[],7,FALSE)</f>
        <v>no</v>
      </c>
      <c r="AA935" s="233" t="str">
        <f>VLOOKUP(Table3[[#This Row],[Country Code]],Table29[],8,FALSE)</f>
        <v>non-OECD</v>
      </c>
      <c r="AB935" s="233" t="str">
        <f>VLOOKUP(Table3[[#This Row],[Country Code]],Table29[],9,FALSE)</f>
        <v>no</v>
      </c>
      <c r="AC935" s="233" t="str">
        <f>VLOOKUP(Table3[[#This Row],[Country Code]],Table29[],10,FALSE)</f>
        <v>no</v>
      </c>
      <c r="AD935" s="235">
        <f>VLOOKUP(Table3[[#This Row],[Country Code]],Table29[],23,FALSE)</f>
        <v>10.612911987181</v>
      </c>
      <c r="AE935" s="235">
        <f>VLOOKUP(Table3[[#This Row],[Country Code]],Table29[],24,FALSE)</f>
        <v>1.3349461053649869</v>
      </c>
      <c r="AF935" s="43"/>
    </row>
    <row r="936" spans="1:32" ht="30" x14ac:dyDescent="0.25">
      <c r="A936" s="360">
        <v>23386</v>
      </c>
      <c r="B936" s="233" t="str">
        <f>VLOOKUP(Table3[[#This Row],[Document ID]],Table1[],2,FALSE)</f>
        <v>TGO</v>
      </c>
      <c r="C936" s="233" t="str">
        <f>VLOOKUP(Table3[[#This Row],[Document ID]],Table1[],3,FALSE)</f>
        <v>Togo</v>
      </c>
      <c r="D936" s="233" t="str">
        <f>VLOOKUP(Table3[[#This Row],[Document ID]],Table1[],5,FALSE)</f>
        <v>NDC</v>
      </c>
      <c r="E936" s="233" t="str">
        <f>VLOOKUP(Table3[[#This Row],[Document ID]],Table1[],7,FALSE)</f>
        <v>First NDC updated</v>
      </c>
      <c r="F936" s="233" t="str">
        <f>VLOOKUP(Table3[[#This Row],[Document ID]],Table1[],8,FALSE)</f>
        <v>NDC 1.1</v>
      </c>
      <c r="G936" s="233" t="str">
        <f>VLOOKUP(Table3[[#This Row],[Document ID]],Table1[],10,FALSE)</f>
        <v>Active</v>
      </c>
      <c r="H936" s="42" t="s">
        <v>1095</v>
      </c>
      <c r="I936" s="42" t="s">
        <v>1096</v>
      </c>
      <c r="J936" s="42" t="s">
        <v>1097</v>
      </c>
      <c r="K936" s="28" t="s">
        <v>1104</v>
      </c>
      <c r="L936" s="389" t="s">
        <v>1099</v>
      </c>
      <c r="M936" s="209">
        <v>2025</v>
      </c>
      <c r="N936" s="209" t="s">
        <v>2050</v>
      </c>
      <c r="O936" s="257">
        <v>59</v>
      </c>
      <c r="P936" s="238" t="str">
        <f>VLOOKUP(_xlfn.CONCAT(Table3[[#This Row],[Target area]],Table3[[#This Row],[GHG target?]],Table3[[#This Row],[Conditionality]]),'Drop down'!$E$81:$F$101,2,FALSE)</f>
        <v>T_Transport_O_Unc</v>
      </c>
      <c r="Q936" s="239" t="str">
        <f>VLOOKUP(Table3[[#This Row],[Target type]],Table418[[Value name]:[Value idenifyer]],2,FALSE)</f>
        <v>T_O_ZERO</v>
      </c>
      <c r="S936" s="233" t="s">
        <v>1101</v>
      </c>
      <c r="T936" s="240"/>
      <c r="U936" s="240"/>
      <c r="V936" s="233" t="str">
        <f>VLOOKUP(Table3[[#This Row],[Country Code]],Table29[],3,FALSE)</f>
        <v>Non-Annex I</v>
      </c>
      <c r="W936" s="233" t="str">
        <f>VLOOKUP(Table3[[#This Row],[Country Code]],Table29[],4,FALSE)</f>
        <v>Africa</v>
      </c>
      <c r="X936" s="233" t="str">
        <f>VLOOKUP(Table3[[#This Row],[Country Code]],Table29[],5,FALSE)</f>
        <v>Low-income</v>
      </c>
      <c r="Y936" s="233" t="str">
        <f>VLOOKUP(Table3[[#This Row],[Country Code]],Table29[],6,FALSE)</f>
        <v>no</v>
      </c>
      <c r="Z936" s="233" t="str">
        <f>VLOOKUP(Table3[[#This Row],[Country Code]],Table29[],7,FALSE)</f>
        <v>no</v>
      </c>
      <c r="AA936" s="233" t="str">
        <f>VLOOKUP(Table3[[#This Row],[Country Code]],Table29[],8,FALSE)</f>
        <v>non-OECD</v>
      </c>
      <c r="AB936" s="233" t="str">
        <f>VLOOKUP(Table3[[#This Row],[Country Code]],Table29[],9,FALSE)</f>
        <v>no</v>
      </c>
      <c r="AC936" s="233" t="str">
        <f>VLOOKUP(Table3[[#This Row],[Country Code]],Table29[],10,FALSE)</f>
        <v>no</v>
      </c>
      <c r="AD936" s="235">
        <f>VLOOKUP(Table3[[#This Row],[Country Code]],Table29[],23,FALSE)</f>
        <v>10.612911987181</v>
      </c>
      <c r="AE936" s="235">
        <f>VLOOKUP(Table3[[#This Row],[Country Code]],Table29[],24,FALSE)</f>
        <v>1.3349461053649869</v>
      </c>
      <c r="AF936" s="43"/>
    </row>
    <row r="937" spans="1:32" ht="30" x14ac:dyDescent="0.25">
      <c r="A937" s="360">
        <v>41744</v>
      </c>
      <c r="B937" s="233" t="str">
        <f>VLOOKUP(Table3[[#This Row],[Document ID]],Table1[],2,FALSE)</f>
        <v>MDG</v>
      </c>
      <c r="C937" s="233" t="str">
        <f>VLOOKUP(Table3[[#This Row],[Document ID]],Table1[],3,FALSE)</f>
        <v>Madagascar</v>
      </c>
      <c r="D937" s="233" t="str">
        <f>VLOOKUP(Table3[[#This Row],[Document ID]],Table1[],5,FALSE)</f>
        <v>NDC</v>
      </c>
      <c r="E937" s="233" t="str">
        <f>VLOOKUP(Table3[[#This Row],[Document ID]],Table1[],7,FALSE)</f>
        <v>Second NDC</v>
      </c>
      <c r="F937" s="246" t="str">
        <f>VLOOKUP(Table3[[#This Row],[Document ID]],Table1[],8,FALSE)</f>
        <v>NDC 2.0</v>
      </c>
      <c r="G937" s="233" t="str">
        <f>VLOOKUP(Table3[[#This Row],[Document ID]],Table1[],10,FALSE)</f>
        <v>Active</v>
      </c>
      <c r="H937" s="216" t="s">
        <v>1089</v>
      </c>
      <c r="I937" s="216" t="s">
        <v>1089</v>
      </c>
      <c r="J937" s="43" t="s">
        <v>1090</v>
      </c>
      <c r="K937" s="28" t="s">
        <v>1091</v>
      </c>
      <c r="L937" s="42" t="s">
        <v>1099</v>
      </c>
      <c r="M937" s="226">
        <v>2030</v>
      </c>
      <c r="N937" s="226" t="s">
        <v>2051</v>
      </c>
      <c r="O937" s="260">
        <v>12</v>
      </c>
      <c r="P937" s="238" t="str">
        <f>VLOOKUP(_xlfn.CONCAT(Table3[[#This Row],[Target area]],Table3[[#This Row],[GHG target?]],Table3[[#This Row],[Conditionality]]),'Drop down'!$E$81:$F$101,2,FALSE)</f>
        <v>T_Economy_Unc</v>
      </c>
      <c r="Q937" s="239" t="str">
        <f>VLOOKUP(Table3[[#This Row],[Target type]],Table418[[Value name]:[Value idenifyer]],2,FALSE)</f>
        <v>T_BAU</v>
      </c>
      <c r="R937" s="247"/>
      <c r="S937" s="247"/>
      <c r="T937" s="248"/>
      <c r="V937" s="233" t="str">
        <f>VLOOKUP(Table3[[#This Row],[Country Code]],Table29[],3,FALSE)</f>
        <v>Non-Annex I</v>
      </c>
      <c r="W937" s="233" t="str">
        <f>VLOOKUP(Table3[[#This Row],[Country Code]],Table29[],4,FALSE)</f>
        <v>Africa</v>
      </c>
      <c r="X937" s="233" t="str">
        <f>VLOOKUP(Table3[[#This Row],[Country Code]],Table29[],5,FALSE)</f>
        <v>Low-income</v>
      </c>
      <c r="Y937" s="233" t="str">
        <f>VLOOKUP(Table3[[#This Row],[Country Code]],Table29[],6,FALSE)</f>
        <v>no</v>
      </c>
      <c r="Z937" s="233" t="str">
        <f>VLOOKUP(Table3[[#This Row],[Country Code]],Table29[],7,FALSE)</f>
        <v>no</v>
      </c>
      <c r="AA937" s="233" t="str">
        <f>VLOOKUP(Table3[[#This Row],[Country Code]],Table29[],8,FALSE)</f>
        <v>non-OECD</v>
      </c>
      <c r="AB937" s="233" t="str">
        <f>VLOOKUP(Table3[[#This Row],[Country Code]],Table29[],9,FALSE)</f>
        <v>no</v>
      </c>
      <c r="AC937" s="233" t="str">
        <f>VLOOKUP(Table3[[#This Row],[Country Code]],Table29[],10,FALSE)</f>
        <v>no</v>
      </c>
      <c r="AD937" s="235">
        <f>VLOOKUP(Table3[[#This Row],[Country Code]],Table29[],23,FALSE)</f>
        <v>33.150776404127001</v>
      </c>
      <c r="AE937" s="235">
        <f>VLOOKUP(Table3[[#This Row],[Country Code]],Table29[],24,FALSE)</f>
        <v>1.378876889046607</v>
      </c>
      <c r="AF937" s="42"/>
    </row>
    <row r="938" spans="1:32" ht="30" x14ac:dyDescent="0.25">
      <c r="A938" s="360">
        <v>41744</v>
      </c>
      <c r="B938" s="233" t="str">
        <f>VLOOKUP(Table3[[#This Row],[Document ID]],Table1[],2,FALSE)</f>
        <v>MDG</v>
      </c>
      <c r="C938" s="233" t="str">
        <f>VLOOKUP(Table3[[#This Row],[Document ID]],Table1[],3,FALSE)</f>
        <v>Madagascar</v>
      </c>
      <c r="D938" s="233" t="str">
        <f>VLOOKUP(Table3[[#This Row],[Document ID]],Table1[],5,FALSE)</f>
        <v>NDC</v>
      </c>
      <c r="E938" s="233" t="str">
        <f>VLOOKUP(Table3[[#This Row],[Document ID]],Table1[],7,FALSE)</f>
        <v>Second NDC</v>
      </c>
      <c r="F938" s="246" t="str">
        <f>VLOOKUP(Table3[[#This Row],[Document ID]],Table1[],8,FALSE)</f>
        <v>NDC 2.0</v>
      </c>
      <c r="G938" s="233" t="str">
        <f>VLOOKUP(Table3[[#This Row],[Document ID]],Table1[],10,FALSE)</f>
        <v>Active</v>
      </c>
      <c r="H938" s="43" t="s">
        <v>1114</v>
      </c>
      <c r="I938" s="43" t="s">
        <v>1115</v>
      </c>
      <c r="J938" s="42" t="s">
        <v>1097</v>
      </c>
      <c r="K938" s="28" t="s">
        <v>1118</v>
      </c>
      <c r="L938" s="43" t="s">
        <v>1116</v>
      </c>
      <c r="M938" s="226">
        <v>2030</v>
      </c>
      <c r="N938" s="226" t="s">
        <v>2052</v>
      </c>
      <c r="O938" s="260">
        <v>17</v>
      </c>
      <c r="P938" s="238" t="str">
        <f>VLOOKUP(_xlfn.CONCAT(Table3[[#This Row],[Target area]],Table3[[#This Row],[GHG target?]],Table3[[#This Row],[Conditionality]]),'Drop down'!$E$81:$F$101,2,FALSE)</f>
        <v>T_Energy_O</v>
      </c>
      <c r="Q938" s="239" t="str">
        <f>VLOOKUP(Table3[[#This Row],[Target type]],Table418[[Value name]:[Value idenifyer]],2,FALSE)</f>
        <v>T_E_REN</v>
      </c>
      <c r="R938" s="247"/>
      <c r="S938" s="247"/>
      <c r="T938" s="248"/>
      <c r="V938" s="233" t="str">
        <f>VLOOKUP(Table3[[#This Row],[Country Code]],Table29[],3,FALSE)</f>
        <v>Non-Annex I</v>
      </c>
      <c r="W938" s="233" t="str">
        <f>VLOOKUP(Table3[[#This Row],[Country Code]],Table29[],4,FALSE)</f>
        <v>Africa</v>
      </c>
      <c r="X938" s="233" t="str">
        <f>VLOOKUP(Table3[[#This Row],[Country Code]],Table29[],5,FALSE)</f>
        <v>Low-income</v>
      </c>
      <c r="Y938" s="233" t="str">
        <f>VLOOKUP(Table3[[#This Row],[Country Code]],Table29[],6,FALSE)</f>
        <v>no</v>
      </c>
      <c r="Z938" s="233" t="str">
        <f>VLOOKUP(Table3[[#This Row],[Country Code]],Table29[],7,FALSE)</f>
        <v>no</v>
      </c>
      <c r="AA938" s="233" t="str">
        <f>VLOOKUP(Table3[[#This Row],[Country Code]],Table29[],8,FALSE)</f>
        <v>non-OECD</v>
      </c>
      <c r="AB938" s="233" t="str">
        <f>VLOOKUP(Table3[[#This Row],[Country Code]],Table29[],9,FALSE)</f>
        <v>no</v>
      </c>
      <c r="AC938" s="233" t="str">
        <f>VLOOKUP(Table3[[#This Row],[Country Code]],Table29[],10,FALSE)</f>
        <v>no</v>
      </c>
      <c r="AD938" s="235">
        <f>VLOOKUP(Table3[[#This Row],[Country Code]],Table29[],23,FALSE)</f>
        <v>33.150776404127001</v>
      </c>
      <c r="AE938" s="235">
        <f>VLOOKUP(Table3[[#This Row],[Country Code]],Table29[],24,FALSE)</f>
        <v>1.378876889046607</v>
      </c>
      <c r="AF938" s="42"/>
    </row>
    <row r="939" spans="1:32" ht="45" x14ac:dyDescent="0.25">
      <c r="A939" s="360">
        <v>41739</v>
      </c>
      <c r="B939" s="233" t="str">
        <f>VLOOKUP(Table3[[#This Row],[Document ID]],Table1[],2,FALSE)</f>
        <v>BRA</v>
      </c>
      <c r="C939" s="233" t="str">
        <f>VLOOKUP(Table3[[#This Row],[Document ID]],Table1[],3,FALSE)</f>
        <v>Brazil</v>
      </c>
      <c r="D939" s="233" t="str">
        <f>VLOOKUP(Table3[[#This Row],[Document ID]],Table1[],5,FALSE)</f>
        <v>NDC</v>
      </c>
      <c r="E939" s="233" t="str">
        <f>VLOOKUP(Table3[[#This Row],[Document ID]],Table1[],7,FALSE)</f>
        <v>First NDC updated</v>
      </c>
      <c r="F939" s="246" t="str">
        <f>VLOOKUP(Table3[[#This Row],[Document ID]],Table1[],8,FALSE)</f>
        <v>NDC 1.3</v>
      </c>
      <c r="G939" s="233" t="str">
        <f>VLOOKUP(Table3[[#This Row],[Document ID]],Table1[],10,FALSE)</f>
        <v>Archived</v>
      </c>
      <c r="H939" s="216" t="s">
        <v>1089</v>
      </c>
      <c r="I939" s="216" t="s">
        <v>1089</v>
      </c>
      <c r="J939" s="43" t="s">
        <v>1090</v>
      </c>
      <c r="K939" s="28" t="s">
        <v>1153</v>
      </c>
      <c r="L939" s="42" t="s">
        <v>1099</v>
      </c>
      <c r="M939" s="226">
        <v>2025</v>
      </c>
      <c r="N939" s="226" t="s">
        <v>2053</v>
      </c>
      <c r="O939" s="260">
        <v>1</v>
      </c>
      <c r="P939" s="238" t="str">
        <f>VLOOKUP(_xlfn.CONCAT(Table3[[#This Row],[Target area]],Table3[[#This Row],[GHG target?]],Table3[[#This Row],[Conditionality]]),'Drop down'!$E$81:$F$101,2,FALSE)</f>
        <v>T_Economy_Unc</v>
      </c>
      <c r="Q939" s="239" t="str">
        <f>VLOOKUP(Table3[[#This Row],[Target type]],Table418[[Value name]:[Value idenifyer]],2,FALSE)</f>
        <v>T_BYE</v>
      </c>
      <c r="R939" s="247"/>
      <c r="S939" s="247"/>
      <c r="T939" s="248"/>
      <c r="V939" s="233" t="str">
        <f>VLOOKUP(Table3[[#This Row],[Country Code]],Table29[],3,FALSE)</f>
        <v>Non-Annex I</v>
      </c>
      <c r="W939" s="233" t="str">
        <f>VLOOKUP(Table3[[#This Row],[Country Code]],Table29[],4,FALSE)</f>
        <v>Latin America and the Caribbean</v>
      </c>
      <c r="X939" s="233" t="str">
        <f>VLOOKUP(Table3[[#This Row],[Country Code]],Table29[],5,FALSE)</f>
        <v>Middle-income</v>
      </c>
      <c r="Y939" s="233" t="str">
        <f>VLOOKUP(Table3[[#This Row],[Country Code]],Table29[],6,FALSE)</f>
        <v>G20</v>
      </c>
      <c r="Z939" s="233" t="str">
        <f>VLOOKUP(Table3[[#This Row],[Country Code]],Table29[],7,FALSE)</f>
        <v>no</v>
      </c>
      <c r="AA939" s="233" t="str">
        <f>VLOOKUP(Table3[[#This Row],[Country Code]],Table29[],8,FALSE)</f>
        <v>non-OECD</v>
      </c>
      <c r="AB939" s="233" t="str">
        <f>VLOOKUP(Table3[[#This Row],[Country Code]],Table29[],9,FALSE)</f>
        <v>no</v>
      </c>
      <c r="AC939" s="233" t="str">
        <f>VLOOKUP(Table3[[#This Row],[Country Code]],Table29[],10,FALSE)</f>
        <v>no</v>
      </c>
      <c r="AD939" s="235">
        <f>VLOOKUP(Table3[[#This Row],[Country Code]],Table29[],23,FALSE)</f>
        <v>1300.1688666752</v>
      </c>
      <c r="AE939" s="235">
        <f>VLOOKUP(Table3[[#This Row],[Country Code]],Table29[],24,FALSE)</f>
        <v>221.12609205884911</v>
      </c>
      <c r="AF939" s="42"/>
    </row>
    <row r="940" spans="1:32" ht="30" x14ac:dyDescent="0.25">
      <c r="A940" s="360">
        <v>41739</v>
      </c>
      <c r="B940" s="233" t="str">
        <f>VLOOKUP(Table3[[#This Row],[Document ID]],Table1[],2,FALSE)</f>
        <v>BRA</v>
      </c>
      <c r="C940" s="233" t="str">
        <f>VLOOKUP(Table3[[#This Row],[Document ID]],Table1[],3,FALSE)</f>
        <v>Brazil</v>
      </c>
      <c r="D940" s="233" t="str">
        <f>VLOOKUP(Table3[[#This Row],[Document ID]],Table1[],5,FALSE)</f>
        <v>NDC</v>
      </c>
      <c r="E940" s="233" t="str">
        <f>VLOOKUP(Table3[[#This Row],[Document ID]],Table1[],7,FALSE)</f>
        <v>First NDC updated</v>
      </c>
      <c r="F940" s="246" t="str">
        <f>VLOOKUP(Table3[[#This Row],[Document ID]],Table1[],8,FALSE)</f>
        <v>NDC 1.3</v>
      </c>
      <c r="G940" s="233" t="str">
        <f>VLOOKUP(Table3[[#This Row],[Document ID]],Table1[],10,FALSE)</f>
        <v>Archived</v>
      </c>
      <c r="H940" s="216" t="s">
        <v>1089</v>
      </c>
      <c r="I940" s="216" t="s">
        <v>1089</v>
      </c>
      <c r="J940" s="43" t="s">
        <v>1090</v>
      </c>
      <c r="K940" s="28" t="s">
        <v>1153</v>
      </c>
      <c r="L940" s="42" t="s">
        <v>1099</v>
      </c>
      <c r="M940" s="226">
        <v>2030</v>
      </c>
      <c r="N940" s="226" t="s">
        <v>2054</v>
      </c>
      <c r="O940" s="260">
        <v>1</v>
      </c>
      <c r="P940" s="238" t="str">
        <f>VLOOKUP(_xlfn.CONCAT(Table3[[#This Row],[Target area]],Table3[[#This Row],[GHG target?]],Table3[[#This Row],[Conditionality]]),'Drop down'!$E$81:$F$101,2,FALSE)</f>
        <v>T_Economy_Unc</v>
      </c>
      <c r="Q940" s="239" t="str">
        <f>VLOOKUP(Table3[[#This Row],[Target type]],Table418[[Value name]:[Value idenifyer]],2,FALSE)</f>
        <v>T_BYE</v>
      </c>
      <c r="R940" s="247"/>
      <c r="S940" s="247"/>
      <c r="T940" s="248"/>
      <c r="V940" s="233" t="str">
        <f>VLOOKUP(Table3[[#This Row],[Country Code]],Table29[],3,FALSE)</f>
        <v>Non-Annex I</v>
      </c>
      <c r="W940" s="233" t="str">
        <f>VLOOKUP(Table3[[#This Row],[Country Code]],Table29[],4,FALSE)</f>
        <v>Latin America and the Caribbean</v>
      </c>
      <c r="X940" s="233" t="str">
        <f>VLOOKUP(Table3[[#This Row],[Country Code]],Table29[],5,FALSE)</f>
        <v>Middle-income</v>
      </c>
      <c r="Y940" s="233" t="str">
        <f>VLOOKUP(Table3[[#This Row],[Country Code]],Table29[],6,FALSE)</f>
        <v>G20</v>
      </c>
      <c r="Z940" s="233" t="str">
        <f>VLOOKUP(Table3[[#This Row],[Country Code]],Table29[],7,FALSE)</f>
        <v>no</v>
      </c>
      <c r="AA940" s="233" t="str">
        <f>VLOOKUP(Table3[[#This Row],[Country Code]],Table29[],8,FALSE)</f>
        <v>non-OECD</v>
      </c>
      <c r="AB940" s="233" t="str">
        <f>VLOOKUP(Table3[[#This Row],[Country Code]],Table29[],9,FALSE)</f>
        <v>no</v>
      </c>
      <c r="AC940" s="233" t="str">
        <f>VLOOKUP(Table3[[#This Row],[Country Code]],Table29[],10,FALSE)</f>
        <v>no</v>
      </c>
      <c r="AD940" s="235">
        <f>VLOOKUP(Table3[[#This Row],[Country Code]],Table29[],23,FALSE)</f>
        <v>1300.1688666752</v>
      </c>
      <c r="AE940" s="235">
        <f>VLOOKUP(Table3[[#This Row],[Country Code]],Table29[],24,FALSE)</f>
        <v>221.12609205884911</v>
      </c>
      <c r="AF940" s="42"/>
    </row>
    <row r="941" spans="1:32" x14ac:dyDescent="0.25">
      <c r="A941" s="360">
        <v>41739</v>
      </c>
      <c r="B941" s="233" t="str">
        <f>VLOOKUP(Table3[[#This Row],[Document ID]],Table1[],2,FALSE)</f>
        <v>BRA</v>
      </c>
      <c r="C941" s="233" t="str">
        <f>VLOOKUP(Table3[[#This Row],[Document ID]],Table1[],3,FALSE)</f>
        <v>Brazil</v>
      </c>
      <c r="D941" s="233" t="str">
        <f>VLOOKUP(Table3[[#This Row],[Document ID]],Table1[],5,FALSE)</f>
        <v>NDC</v>
      </c>
      <c r="E941" s="233" t="str">
        <f>VLOOKUP(Table3[[#This Row],[Document ID]],Table1[],7,FALSE)</f>
        <v>First NDC updated</v>
      </c>
      <c r="F941" s="246" t="str">
        <f>VLOOKUP(Table3[[#This Row],[Document ID]],Table1[],8,FALSE)</f>
        <v>NDC 1.3</v>
      </c>
      <c r="G941" s="233" t="str">
        <f>VLOOKUP(Table3[[#This Row],[Document ID]],Table1[],10,FALSE)</f>
        <v>Archived</v>
      </c>
      <c r="H941" s="43" t="s">
        <v>1147</v>
      </c>
      <c r="I941" s="43" t="s">
        <v>1089</v>
      </c>
      <c r="J941" s="43" t="s">
        <v>1090</v>
      </c>
      <c r="K941" s="28" t="s">
        <v>1121</v>
      </c>
      <c r="L941" s="42" t="s">
        <v>1099</v>
      </c>
      <c r="M941" s="226">
        <v>2050</v>
      </c>
      <c r="N941" s="226" t="s">
        <v>2055</v>
      </c>
      <c r="O941" s="260">
        <v>1</v>
      </c>
      <c r="P941" s="238" t="str">
        <f>VLOOKUP(_xlfn.CONCAT(Table3[[#This Row],[Target area]],Table3[[#This Row],[GHG target?]],Table3[[#This Row],[Conditionality]]),'Drop down'!$E$81:$F$101,2,FALSE)</f>
        <v>T_Netzero_Unc</v>
      </c>
      <c r="Q941" s="239" t="str">
        <f>VLOOKUP(Table3[[#This Row],[Target type]],Table418[[Value name]:[Value idenifyer]],2,FALSE)</f>
        <v>T_FL</v>
      </c>
      <c r="R941" s="247"/>
      <c r="S941" s="247"/>
      <c r="T941" s="248"/>
      <c r="V941" s="233" t="str">
        <f>VLOOKUP(Table3[[#This Row],[Country Code]],Table29[],3,FALSE)</f>
        <v>Non-Annex I</v>
      </c>
      <c r="W941" s="233" t="str">
        <f>VLOOKUP(Table3[[#This Row],[Country Code]],Table29[],4,FALSE)</f>
        <v>Latin America and the Caribbean</v>
      </c>
      <c r="X941" s="233" t="str">
        <f>VLOOKUP(Table3[[#This Row],[Country Code]],Table29[],5,FALSE)</f>
        <v>Middle-income</v>
      </c>
      <c r="Y941" s="233" t="str">
        <f>VLOOKUP(Table3[[#This Row],[Country Code]],Table29[],6,FALSE)</f>
        <v>G20</v>
      </c>
      <c r="Z941" s="233" t="str">
        <f>VLOOKUP(Table3[[#This Row],[Country Code]],Table29[],7,FALSE)</f>
        <v>no</v>
      </c>
      <c r="AA941" s="233" t="str">
        <f>VLOOKUP(Table3[[#This Row],[Country Code]],Table29[],8,FALSE)</f>
        <v>non-OECD</v>
      </c>
      <c r="AB941" s="233" t="str">
        <f>VLOOKUP(Table3[[#This Row],[Country Code]],Table29[],9,FALSE)</f>
        <v>no</v>
      </c>
      <c r="AC941" s="233" t="str">
        <f>VLOOKUP(Table3[[#This Row],[Country Code]],Table29[],10,FALSE)</f>
        <v>no</v>
      </c>
      <c r="AD941" s="235">
        <f>VLOOKUP(Table3[[#This Row],[Country Code]],Table29[],23,FALSE)</f>
        <v>1300.1688666752</v>
      </c>
      <c r="AE941" s="235">
        <f>VLOOKUP(Table3[[#This Row],[Country Code]],Table29[],24,FALSE)</f>
        <v>221.12609205884911</v>
      </c>
      <c r="AF941" s="42"/>
    </row>
    <row r="942" spans="1:32" ht="30" x14ac:dyDescent="0.25">
      <c r="A942" s="360">
        <v>41740</v>
      </c>
      <c r="B942" s="233" t="str">
        <f>VLOOKUP(Table3[[#This Row],[Document ID]],Table1[],2,FALSE)</f>
        <v>OMN</v>
      </c>
      <c r="C942" s="233" t="str">
        <f>VLOOKUP(Table3[[#This Row],[Document ID]],Table1[],3,FALSE)</f>
        <v>Oman</v>
      </c>
      <c r="D942" s="233" t="str">
        <f>VLOOKUP(Table3[[#This Row],[Document ID]],Table1[],5,FALSE)</f>
        <v>NDC</v>
      </c>
      <c r="E942" s="233" t="str">
        <f>VLOOKUP(Table3[[#This Row],[Document ID]],Table1[],7,FALSE)</f>
        <v>Second NDC updated</v>
      </c>
      <c r="F942" s="246" t="str">
        <f>VLOOKUP(Table3[[#This Row],[Document ID]],Table1[],8,FALSE)</f>
        <v>NDC 2.1</v>
      </c>
      <c r="G942" s="233" t="str">
        <f>VLOOKUP(Table3[[#This Row],[Document ID]],Table1[],10,FALSE)</f>
        <v>Active</v>
      </c>
      <c r="H942" s="216" t="s">
        <v>1089</v>
      </c>
      <c r="I942" s="216" t="s">
        <v>1089</v>
      </c>
      <c r="J942" s="43" t="s">
        <v>1090</v>
      </c>
      <c r="K942" s="28" t="s">
        <v>1091</v>
      </c>
      <c r="L942" s="42" t="s">
        <v>1099</v>
      </c>
      <c r="M942" s="226">
        <v>2030</v>
      </c>
      <c r="N942" s="226" t="s">
        <v>2056</v>
      </c>
      <c r="O942" s="260">
        <v>38</v>
      </c>
      <c r="P942" s="238" t="str">
        <f>VLOOKUP(_xlfn.CONCAT(Table3[[#This Row],[Target area]],Table3[[#This Row],[GHG target?]],Table3[[#This Row],[Conditionality]]),'Drop down'!$E$81:$F$101,2,FALSE)</f>
        <v>T_Economy_Unc</v>
      </c>
      <c r="Q942" s="239" t="str">
        <f>VLOOKUP(Table3[[#This Row],[Target type]],Table418[[Value name]:[Value idenifyer]],2,FALSE)</f>
        <v>T_BAU</v>
      </c>
      <c r="R942" s="247"/>
      <c r="S942" s="247"/>
      <c r="T942" s="248"/>
      <c r="V942" s="233" t="str">
        <f>VLOOKUP(Table3[[#This Row],[Country Code]],Table29[],3,FALSE)</f>
        <v>Non-Annex I</v>
      </c>
      <c r="W942" s="233" t="str">
        <f>VLOOKUP(Table3[[#This Row],[Country Code]],Table29[],4,FALSE)</f>
        <v>Asia</v>
      </c>
      <c r="X942" s="233" t="str">
        <f>VLOOKUP(Table3[[#This Row],[Country Code]],Table29[],5,FALSE)</f>
        <v>High-income</v>
      </c>
      <c r="Y942" s="233" t="str">
        <f>VLOOKUP(Table3[[#This Row],[Country Code]],Table29[],6,FALSE)</f>
        <v>no</v>
      </c>
      <c r="Z942" s="233" t="str">
        <f>VLOOKUP(Table3[[#This Row],[Country Code]],Table29[],7,FALSE)</f>
        <v>no</v>
      </c>
      <c r="AA942" s="233" t="str">
        <f>VLOOKUP(Table3[[#This Row],[Country Code]],Table29[],8,FALSE)</f>
        <v>non-OECD</v>
      </c>
      <c r="AB942" s="233" t="str">
        <f>VLOOKUP(Table3[[#This Row],[Country Code]],Table29[],9,FALSE)</f>
        <v>no</v>
      </c>
      <c r="AC942" s="233" t="str">
        <f>VLOOKUP(Table3[[#This Row],[Country Code]],Table29[],10,FALSE)</f>
        <v>MENA</v>
      </c>
      <c r="AD942" s="235">
        <f>VLOOKUP(Table3[[#This Row],[Country Code]],Table29[],23,FALSE)</f>
        <v>127.44302070563</v>
      </c>
      <c r="AE942" s="235">
        <f>VLOOKUP(Table3[[#This Row],[Country Code]],Table29[],24,FALSE)</f>
        <v>12.3539911460556</v>
      </c>
      <c r="AF942" s="42"/>
    </row>
    <row r="943" spans="1:32" ht="30" x14ac:dyDescent="0.25">
      <c r="A943" s="360">
        <v>41740</v>
      </c>
      <c r="B943" s="233" t="str">
        <f>VLOOKUP(Table3[[#This Row],[Document ID]],Table1[],2,FALSE)</f>
        <v>OMN</v>
      </c>
      <c r="C943" s="233" t="str">
        <f>VLOOKUP(Table3[[#This Row],[Document ID]],Table1[],3,FALSE)</f>
        <v>Oman</v>
      </c>
      <c r="D943" s="233" t="str">
        <f>VLOOKUP(Table3[[#This Row],[Document ID]],Table1[],5,FALSE)</f>
        <v>NDC</v>
      </c>
      <c r="E943" s="233" t="str">
        <f>VLOOKUP(Table3[[#This Row],[Document ID]],Table1[],7,FALSE)</f>
        <v>Second NDC updated</v>
      </c>
      <c r="F943" s="246" t="str">
        <f>VLOOKUP(Table3[[#This Row],[Document ID]],Table1[],8,FALSE)</f>
        <v>NDC 2.1</v>
      </c>
      <c r="G943" s="233" t="str">
        <f>VLOOKUP(Table3[[#This Row],[Document ID]],Table1[],10,FALSE)</f>
        <v>Active</v>
      </c>
      <c r="H943" s="216" t="s">
        <v>1089</v>
      </c>
      <c r="I943" s="216" t="s">
        <v>1089</v>
      </c>
      <c r="J943" s="43" t="s">
        <v>1090</v>
      </c>
      <c r="K943" s="28" t="s">
        <v>1091</v>
      </c>
      <c r="L943" s="216" t="s">
        <v>1092</v>
      </c>
      <c r="M943" s="226">
        <v>2030</v>
      </c>
      <c r="N943" s="226" t="s">
        <v>2056</v>
      </c>
      <c r="O943" s="260">
        <v>38</v>
      </c>
      <c r="P943" s="238" t="str">
        <f>VLOOKUP(_xlfn.CONCAT(Table3[[#This Row],[Target area]],Table3[[#This Row],[GHG target?]],Table3[[#This Row],[Conditionality]]),'Drop down'!$E$81:$F$101,2,FALSE)</f>
        <v>T_Economy_C</v>
      </c>
      <c r="Q943" s="239" t="str">
        <f>VLOOKUP(Table3[[#This Row],[Target type]],Table418[[Value name]:[Value idenifyer]],2,FALSE)</f>
        <v>T_BAU</v>
      </c>
      <c r="R943" s="247"/>
      <c r="S943" s="247"/>
      <c r="T943" s="248"/>
      <c r="V943" s="233" t="str">
        <f>VLOOKUP(Table3[[#This Row],[Country Code]],Table29[],3,FALSE)</f>
        <v>Non-Annex I</v>
      </c>
      <c r="W943" s="233" t="str">
        <f>VLOOKUP(Table3[[#This Row],[Country Code]],Table29[],4,FALSE)</f>
        <v>Asia</v>
      </c>
      <c r="X943" s="233" t="str">
        <f>VLOOKUP(Table3[[#This Row],[Country Code]],Table29[],5,FALSE)</f>
        <v>High-income</v>
      </c>
      <c r="Y943" s="233" t="str">
        <f>VLOOKUP(Table3[[#This Row],[Country Code]],Table29[],6,FALSE)</f>
        <v>no</v>
      </c>
      <c r="Z943" s="233" t="str">
        <f>VLOOKUP(Table3[[#This Row],[Country Code]],Table29[],7,FALSE)</f>
        <v>no</v>
      </c>
      <c r="AA943" s="233" t="str">
        <f>VLOOKUP(Table3[[#This Row],[Country Code]],Table29[],8,FALSE)</f>
        <v>non-OECD</v>
      </c>
      <c r="AB943" s="233" t="str">
        <f>VLOOKUP(Table3[[#This Row],[Country Code]],Table29[],9,FALSE)</f>
        <v>no</v>
      </c>
      <c r="AC943" s="233" t="str">
        <f>VLOOKUP(Table3[[#This Row],[Country Code]],Table29[],10,FALSE)</f>
        <v>MENA</v>
      </c>
      <c r="AD943" s="235">
        <f>VLOOKUP(Table3[[#This Row],[Country Code]],Table29[],23,FALSE)</f>
        <v>127.44302070563</v>
      </c>
      <c r="AE943" s="235">
        <f>VLOOKUP(Table3[[#This Row],[Country Code]],Table29[],24,FALSE)</f>
        <v>12.3539911460556</v>
      </c>
      <c r="AF943" s="42"/>
    </row>
    <row r="944" spans="1:32" ht="30" x14ac:dyDescent="0.25">
      <c r="A944" s="360">
        <v>24690</v>
      </c>
      <c r="B944" s="233" t="str">
        <f>VLOOKUP(Table3[[#This Row],[Document ID]],Table1[],2,FALSE)</f>
        <v>THA</v>
      </c>
      <c r="C944" s="233" t="str">
        <f>VLOOKUP(Table3[[#This Row],[Document ID]],Table1[],3,FALSE)</f>
        <v>Thailand</v>
      </c>
      <c r="D944" s="233" t="str">
        <f>VLOOKUP(Table3[[#This Row],[Document ID]],Table1[],5,FALSE)</f>
        <v>LTS</v>
      </c>
      <c r="E944" s="233" t="str">
        <f>VLOOKUP(Table3[[#This Row],[Document ID]],Table1[],7,FALSE)</f>
        <v>Archived LTS 1.0</v>
      </c>
      <c r="F944" s="387" t="str">
        <f>VLOOKUP(Table3[[#This Row],[Document ID]],Table1[],8,FALSE)</f>
        <v>LTS 1.0</v>
      </c>
      <c r="G944" s="233" t="str">
        <f>VLOOKUP(Table3[[#This Row],[Document ID]],Table1[],10,FALSE)</f>
        <v>Archived</v>
      </c>
      <c r="H944" s="42" t="s">
        <v>1095</v>
      </c>
      <c r="I944" s="42" t="s">
        <v>1096</v>
      </c>
      <c r="J944" s="42" t="s">
        <v>1097</v>
      </c>
      <c r="K944" s="28" t="s">
        <v>1137</v>
      </c>
      <c r="L944" s="42" t="s">
        <v>1099</v>
      </c>
      <c r="M944" s="226">
        <v>2050</v>
      </c>
      <c r="N944" s="226" t="s">
        <v>2057</v>
      </c>
      <c r="O944" s="394">
        <v>38</v>
      </c>
      <c r="P944" s="238" t="str">
        <f>VLOOKUP(_xlfn.CONCAT(Table3[[#This Row],[Target area]],Table3[[#This Row],[GHG target?]],Table3[[#This Row],[Conditionality]]),'Drop down'!$E$81:$F$101,2,FALSE)</f>
        <v>T_Transport_O_Unc</v>
      </c>
      <c r="Q944" s="239" t="str">
        <f>VLOOKUP(Table3[[#This Row],[Target type]],Table418[[Value name]:[Value idenifyer]],2,FALSE)</f>
        <v>T_O_EFF</v>
      </c>
      <c r="R944" s="247"/>
      <c r="S944" s="247" t="s">
        <v>1101</v>
      </c>
      <c r="T944" s="397" t="s">
        <v>1113</v>
      </c>
      <c r="U944" s="240"/>
      <c r="V944" s="233" t="str">
        <f>VLOOKUP(Table3[[#This Row],[Country Code]],Table29[],3,FALSE)</f>
        <v>Non-Annex I</v>
      </c>
      <c r="W944" s="233" t="str">
        <f>VLOOKUP(Table3[[#This Row],[Country Code]],Table29[],4,FALSE)</f>
        <v>Asia</v>
      </c>
      <c r="X944" s="233" t="str">
        <f>VLOOKUP(Table3[[#This Row],[Country Code]],Table29[],5,FALSE)</f>
        <v>Middle-income</v>
      </c>
      <c r="Y944" s="233" t="str">
        <f>VLOOKUP(Table3[[#This Row],[Country Code]],Table29[],6,FALSE)</f>
        <v>no</v>
      </c>
      <c r="Z944" s="233" t="str">
        <f>VLOOKUP(Table3[[#This Row],[Country Code]],Table29[],7,FALSE)</f>
        <v>no</v>
      </c>
      <c r="AA944" s="233" t="str">
        <f>VLOOKUP(Table3[[#This Row],[Country Code]],Table29[],8,FALSE)</f>
        <v>non-OECD</v>
      </c>
      <c r="AB944" s="233" t="str">
        <f>VLOOKUP(Table3[[#This Row],[Country Code]],Table29[],9,FALSE)</f>
        <v>no</v>
      </c>
      <c r="AC944" s="233" t="str">
        <f>VLOOKUP(Table3[[#This Row],[Country Code]],Table29[],10,FALSE)</f>
        <v>no</v>
      </c>
      <c r="AD944" s="235">
        <f>VLOOKUP(Table3[[#This Row],[Country Code]],Table29[],23,FALSE)</f>
        <v>440.78301465571002</v>
      </c>
      <c r="AE944" s="235">
        <f>VLOOKUP(Table3[[#This Row],[Country Code]],Table29[],24,FALSE)</f>
        <v>81.217527676047013</v>
      </c>
      <c r="AF944" s="43"/>
    </row>
    <row r="945" spans="1:32" ht="30" x14ac:dyDescent="0.25">
      <c r="A945" s="360">
        <v>24690</v>
      </c>
      <c r="B945" s="233" t="str">
        <f>VLOOKUP(Table3[[#This Row],[Document ID]],Table1[],2,FALSE)</f>
        <v>THA</v>
      </c>
      <c r="C945" s="233" t="str">
        <f>VLOOKUP(Table3[[#This Row],[Document ID]],Table1[],3,FALSE)</f>
        <v>Thailand</v>
      </c>
      <c r="D945" s="233" t="str">
        <f>VLOOKUP(Table3[[#This Row],[Document ID]],Table1[],5,FALSE)</f>
        <v>LTS</v>
      </c>
      <c r="E945" s="233" t="str">
        <f>VLOOKUP(Table3[[#This Row],[Document ID]],Table1[],7,FALSE)</f>
        <v>Archived LTS 1.0</v>
      </c>
      <c r="F945" s="387" t="str">
        <f>VLOOKUP(Table3[[#This Row],[Document ID]],Table1[],8,FALSE)</f>
        <v>LTS 1.0</v>
      </c>
      <c r="G945" s="233" t="str">
        <f>VLOOKUP(Table3[[#This Row],[Document ID]],Table1[],10,FALSE)</f>
        <v>Archived</v>
      </c>
      <c r="H945" s="42" t="s">
        <v>1095</v>
      </c>
      <c r="I945" s="42" t="s">
        <v>1096</v>
      </c>
      <c r="J945" s="42" t="s">
        <v>1097</v>
      </c>
      <c r="K945" s="28" t="s">
        <v>1102</v>
      </c>
      <c r="L945" s="42" t="s">
        <v>1099</v>
      </c>
      <c r="M945" s="226">
        <v>2050</v>
      </c>
      <c r="N945" s="226" t="s">
        <v>2058</v>
      </c>
      <c r="O945" s="394">
        <v>38</v>
      </c>
      <c r="P945" s="238" t="str">
        <f>VLOOKUP(_xlfn.CONCAT(Table3[[#This Row],[Target area]],Table3[[#This Row],[GHG target?]],Table3[[#This Row],[Conditionality]]),'Drop down'!$E$81:$F$101,2,FALSE)</f>
        <v>T_Transport_O_Unc</v>
      </c>
      <c r="Q945" s="239" t="str">
        <f>VLOOKUP(Table3[[#This Row],[Target type]],Table418[[Value name]:[Value idenifyer]],2,FALSE)</f>
        <v>T_O_BIO</v>
      </c>
      <c r="R945" s="247"/>
      <c r="S945" s="247" t="s">
        <v>1101</v>
      </c>
      <c r="T945" s="397" t="s">
        <v>1113</v>
      </c>
      <c r="U945" s="240"/>
      <c r="V945" s="233" t="str">
        <f>VLOOKUP(Table3[[#This Row],[Country Code]],Table29[],3,FALSE)</f>
        <v>Non-Annex I</v>
      </c>
      <c r="W945" s="233" t="str">
        <f>VLOOKUP(Table3[[#This Row],[Country Code]],Table29[],4,FALSE)</f>
        <v>Asia</v>
      </c>
      <c r="X945" s="233" t="str">
        <f>VLOOKUP(Table3[[#This Row],[Country Code]],Table29[],5,FALSE)</f>
        <v>Middle-income</v>
      </c>
      <c r="Y945" s="233" t="str">
        <f>VLOOKUP(Table3[[#This Row],[Country Code]],Table29[],6,FALSE)</f>
        <v>no</v>
      </c>
      <c r="Z945" s="233" t="str">
        <f>VLOOKUP(Table3[[#This Row],[Country Code]],Table29[],7,FALSE)</f>
        <v>no</v>
      </c>
      <c r="AA945" s="233" t="str">
        <f>VLOOKUP(Table3[[#This Row],[Country Code]],Table29[],8,FALSE)</f>
        <v>non-OECD</v>
      </c>
      <c r="AB945" s="233" t="str">
        <f>VLOOKUP(Table3[[#This Row],[Country Code]],Table29[],9,FALSE)</f>
        <v>no</v>
      </c>
      <c r="AC945" s="233" t="str">
        <f>VLOOKUP(Table3[[#This Row],[Country Code]],Table29[],10,FALSE)</f>
        <v>no</v>
      </c>
      <c r="AD945" s="235">
        <f>VLOOKUP(Table3[[#This Row],[Country Code]],Table29[],23,FALSE)</f>
        <v>440.78301465571002</v>
      </c>
      <c r="AE945" s="235">
        <f>VLOOKUP(Table3[[#This Row],[Country Code]],Table29[],24,FALSE)</f>
        <v>81.217527676047013</v>
      </c>
      <c r="AF945" s="43"/>
    </row>
    <row r="946" spans="1:32" ht="30" x14ac:dyDescent="0.25">
      <c r="A946" s="360">
        <v>32518</v>
      </c>
      <c r="B946" s="233" t="str">
        <f>VLOOKUP(Table3[[#This Row],[Document ID]],Table1[],2,FALSE)</f>
        <v>THA</v>
      </c>
      <c r="C946" s="233" t="str">
        <f>VLOOKUP(Table3[[#This Row],[Document ID]],Table1[],3,FALSE)</f>
        <v>Thailand</v>
      </c>
      <c r="D946" s="233" t="str">
        <f>VLOOKUP(Table3[[#This Row],[Document ID]],Table1[],5,FALSE)</f>
        <v>LTS</v>
      </c>
      <c r="E946" s="233" t="str">
        <f>VLOOKUP(Table3[[#This Row],[Document ID]],Table1[],7,FALSE)</f>
        <v>LTS</v>
      </c>
      <c r="F946" s="246" t="str">
        <f>VLOOKUP(Table3[[#This Row],[Document ID]],Table1[],8,FALSE)</f>
        <v>LTS 1.1</v>
      </c>
      <c r="G946" s="233" t="str">
        <f>VLOOKUP(Table3[[#This Row],[Document ID]],Table1[],10,FALSE)</f>
        <v>Active</v>
      </c>
      <c r="H946" s="42" t="s">
        <v>1095</v>
      </c>
      <c r="I946" s="42" t="s">
        <v>1096</v>
      </c>
      <c r="J946" s="42" t="s">
        <v>1097</v>
      </c>
      <c r="K946" s="28" t="s">
        <v>1104</v>
      </c>
      <c r="L946" s="42" t="s">
        <v>1099</v>
      </c>
      <c r="M946" s="226">
        <v>2035</v>
      </c>
      <c r="N946" s="226" t="s">
        <v>2059</v>
      </c>
      <c r="O946" s="260">
        <v>13</v>
      </c>
      <c r="P946" s="238" t="str">
        <f>VLOOKUP(_xlfn.CONCAT(Table3[[#This Row],[Target area]],Table3[[#This Row],[GHG target?]],Table3[[#This Row],[Conditionality]]),'Drop down'!$E$81:$F$101,2,FALSE)</f>
        <v>T_Transport_O_Unc</v>
      </c>
      <c r="Q946" s="239" t="str">
        <f>VLOOKUP(Table3[[#This Row],[Target type]],Table418[[Value name]:[Value idenifyer]],2,FALSE)</f>
        <v>T_O_ZERO</v>
      </c>
      <c r="R946" s="247"/>
      <c r="S946" s="247" t="s">
        <v>1101</v>
      </c>
      <c r="T946" s="397" t="s">
        <v>1113</v>
      </c>
      <c r="U946" s="240"/>
      <c r="V946" s="233" t="str">
        <f>VLOOKUP(Table3[[#This Row],[Country Code]],Table29[],3,FALSE)</f>
        <v>Non-Annex I</v>
      </c>
      <c r="W946" s="233" t="str">
        <f>VLOOKUP(Table3[[#This Row],[Country Code]],Table29[],4,FALSE)</f>
        <v>Asia</v>
      </c>
      <c r="X946" s="233" t="str">
        <f>VLOOKUP(Table3[[#This Row],[Country Code]],Table29[],5,FALSE)</f>
        <v>Middle-income</v>
      </c>
      <c r="Y946" s="233" t="str">
        <f>VLOOKUP(Table3[[#This Row],[Country Code]],Table29[],6,FALSE)</f>
        <v>no</v>
      </c>
      <c r="Z946" s="233" t="str">
        <f>VLOOKUP(Table3[[#This Row],[Country Code]],Table29[],7,FALSE)</f>
        <v>no</v>
      </c>
      <c r="AA946" s="233" t="str">
        <f>VLOOKUP(Table3[[#This Row],[Country Code]],Table29[],8,FALSE)</f>
        <v>non-OECD</v>
      </c>
      <c r="AB946" s="233" t="str">
        <f>VLOOKUP(Table3[[#This Row],[Country Code]],Table29[],9,FALSE)</f>
        <v>no</v>
      </c>
      <c r="AC946" s="233" t="str">
        <f>VLOOKUP(Table3[[#This Row],[Country Code]],Table29[],10,FALSE)</f>
        <v>no</v>
      </c>
      <c r="AD946" s="235">
        <f>VLOOKUP(Table3[[#This Row],[Country Code]],Table29[],23,FALSE)</f>
        <v>440.78301465571002</v>
      </c>
      <c r="AE946" s="235">
        <f>VLOOKUP(Table3[[#This Row],[Country Code]],Table29[],24,FALSE)</f>
        <v>81.217527676047013</v>
      </c>
      <c r="AF946" s="43"/>
    </row>
    <row r="947" spans="1:32" ht="45" x14ac:dyDescent="0.25">
      <c r="A947" s="360">
        <v>41743</v>
      </c>
      <c r="B947" s="233" t="str">
        <f>VLOOKUP(Table3[[#This Row],[Document ID]],Table1[],2,FALSE)</f>
        <v>NAM</v>
      </c>
      <c r="C947" s="233" t="str">
        <f>VLOOKUP(Table3[[#This Row],[Document ID]],Table1[],3,FALSE)</f>
        <v>Namibia</v>
      </c>
      <c r="D947" s="233" t="str">
        <f>VLOOKUP(Table3[[#This Row],[Document ID]],Table1[],5,FALSE)</f>
        <v>NDC</v>
      </c>
      <c r="E947" s="233" t="str">
        <f>VLOOKUP(Table3[[#This Row],[Document ID]],Table1[],7,FALSE)</f>
        <v>First NDC updated</v>
      </c>
      <c r="F947" s="246" t="str">
        <f>VLOOKUP(Table3[[#This Row],[Document ID]],Table1[],8,FALSE)</f>
        <v>NDC 1.2</v>
      </c>
      <c r="G947" s="233" t="str">
        <f>VLOOKUP(Table3[[#This Row],[Document ID]],Table1[],10,FALSE)</f>
        <v>Active</v>
      </c>
      <c r="H947" s="216" t="s">
        <v>1089</v>
      </c>
      <c r="I947" s="216" t="s">
        <v>1089</v>
      </c>
      <c r="J947" s="43" t="s">
        <v>1090</v>
      </c>
      <c r="K947" s="28" t="s">
        <v>1091</v>
      </c>
      <c r="L947" s="42" t="s">
        <v>1099</v>
      </c>
      <c r="M947" s="226">
        <v>2030</v>
      </c>
      <c r="N947" s="226" t="s">
        <v>2060</v>
      </c>
      <c r="O947" s="260">
        <v>16</v>
      </c>
      <c r="P947" s="238" t="str">
        <f>VLOOKUP(_xlfn.CONCAT(Table3[[#This Row],[Target area]],Table3[[#This Row],[GHG target?]],Table3[[#This Row],[Conditionality]]),'Drop down'!$E$81:$F$101,2,FALSE)</f>
        <v>T_Economy_Unc</v>
      </c>
      <c r="Q947" s="239" t="str">
        <f>VLOOKUP(Table3[[#This Row],[Target type]],Table418[[Value name]:[Value idenifyer]],2,FALSE)</f>
        <v>T_BAU</v>
      </c>
      <c r="R947" s="247"/>
      <c r="S947" s="247"/>
      <c r="T947" s="248"/>
      <c r="V947" s="233" t="str">
        <f>VLOOKUP(Table3[[#This Row],[Country Code]],Table29[],3,FALSE)</f>
        <v>Non-Annex I</v>
      </c>
      <c r="W947" s="233" t="str">
        <f>VLOOKUP(Table3[[#This Row],[Country Code]],Table29[],4,FALSE)</f>
        <v>Africa</v>
      </c>
      <c r="X947" s="233" t="str">
        <f>VLOOKUP(Table3[[#This Row],[Country Code]],Table29[],5,FALSE)</f>
        <v>Middle-income</v>
      </c>
      <c r="Y947" s="233" t="str">
        <f>VLOOKUP(Table3[[#This Row],[Country Code]],Table29[],6,FALSE)</f>
        <v>no</v>
      </c>
      <c r="Z947" s="233" t="str">
        <f>VLOOKUP(Table3[[#This Row],[Country Code]],Table29[],7,FALSE)</f>
        <v>no</v>
      </c>
      <c r="AA947" s="233" t="str">
        <f>VLOOKUP(Table3[[#This Row],[Country Code]],Table29[],8,FALSE)</f>
        <v>non-OECD</v>
      </c>
      <c r="AB947" s="233" t="str">
        <f>VLOOKUP(Table3[[#This Row],[Country Code]],Table29[],9,FALSE)</f>
        <v>no</v>
      </c>
      <c r="AC947" s="233" t="str">
        <f>VLOOKUP(Table3[[#This Row],[Country Code]],Table29[],10,FALSE)</f>
        <v>no</v>
      </c>
      <c r="AD947" s="235">
        <f>VLOOKUP(Table3[[#This Row],[Country Code]],Table29[],23,FALSE)</f>
        <v>12.885675050293001</v>
      </c>
      <c r="AE947" s="235">
        <f>VLOOKUP(Table3[[#This Row],[Country Code]],Table29[],24,FALSE)</f>
        <v>2.1850282301150679</v>
      </c>
      <c r="AF947" s="42"/>
    </row>
    <row r="948" spans="1:32" ht="60" x14ac:dyDescent="0.25">
      <c r="A948" s="360">
        <v>26791</v>
      </c>
      <c r="B948" s="233" t="str">
        <f>VLOOKUP(Table3[[#This Row],[Document ID]],Table1[],2,FALSE)</f>
        <v>TON</v>
      </c>
      <c r="C948" s="233" t="str">
        <f>VLOOKUP(Table3[[#This Row],[Document ID]],Table1[],3,FALSE)</f>
        <v>Tonga</v>
      </c>
      <c r="D948" s="233" t="str">
        <f>VLOOKUP(Table3[[#This Row],[Document ID]],Table1[],5,FALSE)</f>
        <v>LTS</v>
      </c>
      <c r="E948" s="233" t="str">
        <f>VLOOKUP(Table3[[#This Row],[Document ID]],Table1[],7,FALSE)</f>
        <v>LTS</v>
      </c>
      <c r="F948" s="247" t="str">
        <f>VLOOKUP(Table3[[#This Row],[Document ID]],Table1[],8,FALSE)</f>
        <v>LTS 1.0</v>
      </c>
      <c r="G948" s="233" t="str">
        <f>VLOOKUP(Table3[[#This Row],[Document ID]],Table1[],10,FALSE)</f>
        <v>Active</v>
      </c>
      <c r="H948" s="42" t="s">
        <v>1095</v>
      </c>
      <c r="I948" s="42" t="s">
        <v>1096</v>
      </c>
      <c r="J948" s="42" t="s">
        <v>1097</v>
      </c>
      <c r="K948" s="28" t="s">
        <v>1104</v>
      </c>
      <c r="L948" s="42" t="s">
        <v>1099</v>
      </c>
      <c r="M948" s="226" t="s">
        <v>1122</v>
      </c>
      <c r="N948" s="390" t="s">
        <v>2061</v>
      </c>
      <c r="O948" s="260">
        <v>39</v>
      </c>
      <c r="P948" s="238" t="str">
        <f>VLOOKUP(_xlfn.CONCAT(Table3[[#This Row],[Target area]],Table3[[#This Row],[GHG target?]],Table3[[#This Row],[Conditionality]]),'Drop down'!$E$81:$F$101,2,FALSE)</f>
        <v>T_Transport_O_Unc</v>
      </c>
      <c r="Q948" s="239" t="str">
        <f>VLOOKUP(Table3[[#This Row],[Target type]],Table418[[Value name]:[Value idenifyer]],2,FALSE)</f>
        <v>T_O_ZERO</v>
      </c>
      <c r="R948" s="247"/>
      <c r="S948" s="247" t="s">
        <v>1101</v>
      </c>
      <c r="T948" s="397"/>
      <c r="V948" s="233" t="str">
        <f>VLOOKUP(Table3[[#This Row],[Country Code]],Table29[],3,FALSE)</f>
        <v>Non-Annex I</v>
      </c>
      <c r="W948" s="233" t="str">
        <f>VLOOKUP(Table3[[#This Row],[Country Code]],Table29[],4,FALSE)</f>
        <v>Oceania</v>
      </c>
      <c r="X948" s="233" t="str">
        <f>VLOOKUP(Table3[[#This Row],[Country Code]],Table29[],5,FALSE)</f>
        <v>Middle-income</v>
      </c>
      <c r="Y948" s="233" t="str">
        <f>VLOOKUP(Table3[[#This Row],[Country Code]],Table29[],6,FALSE)</f>
        <v>no</v>
      </c>
      <c r="Z948" s="233" t="str">
        <f>VLOOKUP(Table3[[#This Row],[Country Code]],Table29[],7,FALSE)</f>
        <v>no</v>
      </c>
      <c r="AA948" s="233" t="str">
        <f>VLOOKUP(Table3[[#This Row],[Country Code]],Table29[],8,FALSE)</f>
        <v>non-OECD</v>
      </c>
      <c r="AB948" s="233" t="str">
        <f>VLOOKUP(Table3[[#This Row],[Country Code]],Table29[],9,FALSE)</f>
        <v>no</v>
      </c>
      <c r="AC948" s="233" t="str">
        <f>VLOOKUP(Table3[[#This Row],[Country Code]],Table29[],10,FALSE)</f>
        <v>no</v>
      </c>
      <c r="AD948" s="235">
        <f>VLOOKUP(Table3[[#This Row],[Country Code]],Table29[],23,FALSE)</f>
        <v>0.34210672521812002</v>
      </c>
      <c r="AE948" s="235">
        <f>VLOOKUP(Table3[[#This Row],[Country Code]],Table29[],24,FALSE)</f>
        <v>0.1141760738354758</v>
      </c>
      <c r="AF948" s="43"/>
    </row>
    <row r="949" spans="1:32" ht="30" x14ac:dyDescent="0.25">
      <c r="A949" s="360">
        <v>41741</v>
      </c>
      <c r="B949" s="233" t="str">
        <f>VLOOKUP(Table3[[#This Row],[Document ID]],Table1[],2,FALSE)</f>
        <v>ARE</v>
      </c>
      <c r="C949" s="233" t="str">
        <f>VLOOKUP(Table3[[#This Row],[Document ID]],Table1[],3,FALSE)</f>
        <v>United Arab Emirates</v>
      </c>
      <c r="D949" s="233" t="str">
        <f>VLOOKUP(Table3[[#This Row],[Document ID]],Table1[],5,FALSE)</f>
        <v>LTS</v>
      </c>
      <c r="E949" s="233" t="str">
        <f>VLOOKUP(Table3[[#This Row],[Document ID]],Table1[],7,FALSE)</f>
        <v>LTS</v>
      </c>
      <c r="F949" s="246" t="str">
        <f>VLOOKUP(Table3[[#This Row],[Document ID]],Table1[],8,FALSE)</f>
        <v>LTS 1.0</v>
      </c>
      <c r="G949" s="233" t="str">
        <f>VLOOKUP(Table3[[#This Row],[Document ID]],Table1[],10,FALSE)</f>
        <v>Active</v>
      </c>
      <c r="H949" s="216" t="s">
        <v>1089</v>
      </c>
      <c r="I949" s="216" t="s">
        <v>1089</v>
      </c>
      <c r="J949" s="43" t="s">
        <v>1090</v>
      </c>
      <c r="K949" s="28" t="s">
        <v>1153</v>
      </c>
      <c r="L949" s="42" t="s">
        <v>1099</v>
      </c>
      <c r="M949" s="226">
        <v>2050</v>
      </c>
      <c r="N949" s="226" t="s">
        <v>2062</v>
      </c>
      <c r="O949" s="260">
        <v>49</v>
      </c>
      <c r="P949" s="238" t="str">
        <f>VLOOKUP(_xlfn.CONCAT(Table3[[#This Row],[Target area]],Table3[[#This Row],[GHG target?]],Table3[[#This Row],[Conditionality]]),'Drop down'!$E$81:$F$101,2,FALSE)</f>
        <v>T_Economy_Unc</v>
      </c>
      <c r="Q949" s="239" t="str">
        <f>VLOOKUP(Table3[[#This Row],[Target type]],Table418[[Value name]:[Value idenifyer]],2,FALSE)</f>
        <v>T_BYE</v>
      </c>
      <c r="R949" s="247"/>
      <c r="S949" s="247" t="s">
        <v>1125</v>
      </c>
      <c r="T949" s="248" t="s">
        <v>1113</v>
      </c>
      <c r="V949" s="233" t="str">
        <f>VLOOKUP(Table3[[#This Row],[Country Code]],Table29[],3,FALSE)</f>
        <v>Non-Annex I</v>
      </c>
      <c r="W949" s="233" t="str">
        <f>VLOOKUP(Table3[[#This Row],[Country Code]],Table29[],4,FALSE)</f>
        <v>Asia</v>
      </c>
      <c r="X949" s="233" t="str">
        <f>VLOOKUP(Table3[[#This Row],[Country Code]],Table29[],5,FALSE)</f>
        <v>High-income</v>
      </c>
      <c r="Y949" s="233" t="str">
        <f>VLOOKUP(Table3[[#This Row],[Country Code]],Table29[],6,FALSE)</f>
        <v>no</v>
      </c>
      <c r="Z949" s="233" t="str">
        <f>VLOOKUP(Table3[[#This Row],[Country Code]],Table29[],7,FALSE)</f>
        <v>no</v>
      </c>
      <c r="AA949" s="233" t="str">
        <f>VLOOKUP(Table3[[#This Row],[Country Code]],Table29[],8,FALSE)</f>
        <v>non-OECD</v>
      </c>
      <c r="AB949" s="233" t="str">
        <f>VLOOKUP(Table3[[#This Row],[Country Code]],Table29[],9,FALSE)</f>
        <v>no</v>
      </c>
      <c r="AC949" s="233" t="str">
        <f>VLOOKUP(Table3[[#This Row],[Country Code]],Table29[],10,FALSE)</f>
        <v>MENA</v>
      </c>
      <c r="AD949" s="235">
        <f>VLOOKUP(Table3[[#This Row],[Country Code]],Table29[],23,FALSE)</f>
        <v>267.82319378585998</v>
      </c>
      <c r="AE949" s="235">
        <f>VLOOKUP(Table3[[#This Row],[Country Code]],Table29[],24,FALSE)</f>
        <v>43.860911308351241</v>
      </c>
      <c r="AF949" s="42"/>
    </row>
    <row r="950" spans="1:32" ht="30" x14ac:dyDescent="0.25">
      <c r="A950" s="360">
        <v>26791</v>
      </c>
      <c r="B950" s="233" t="str">
        <f>VLOOKUP(Table3[[#This Row],[Document ID]],Table1[],2,FALSE)</f>
        <v>TON</v>
      </c>
      <c r="C950" s="233" t="str">
        <f>VLOOKUP(Table3[[#This Row],[Document ID]],Table1[],3,FALSE)</f>
        <v>Tonga</v>
      </c>
      <c r="D950" s="233" t="str">
        <f>VLOOKUP(Table3[[#This Row],[Document ID]],Table1[],5,FALSE)</f>
        <v>LTS</v>
      </c>
      <c r="E950" s="233" t="str">
        <f>VLOOKUP(Table3[[#This Row],[Document ID]],Table1[],7,FALSE)</f>
        <v>LTS</v>
      </c>
      <c r="F950" s="247" t="str">
        <f>VLOOKUP(Table3[[#This Row],[Document ID]],Table1[],8,FALSE)</f>
        <v>LTS 1.0</v>
      </c>
      <c r="G950" s="233" t="str">
        <f>VLOOKUP(Table3[[#This Row],[Document ID]],Table1[],10,FALSE)</f>
        <v>Active</v>
      </c>
      <c r="H950" s="42" t="s">
        <v>1095</v>
      </c>
      <c r="I950" s="42" t="s">
        <v>1096</v>
      </c>
      <c r="J950" s="42" t="s">
        <v>1097</v>
      </c>
      <c r="K950" s="28" t="s">
        <v>1137</v>
      </c>
      <c r="L950" s="42" t="s">
        <v>1099</v>
      </c>
      <c r="M950" s="226" t="s">
        <v>1122</v>
      </c>
      <c r="N950" s="388" t="s">
        <v>2063</v>
      </c>
      <c r="O950" s="260">
        <v>39</v>
      </c>
      <c r="P950" s="238" t="str">
        <f>VLOOKUP(_xlfn.CONCAT(Table3[[#This Row],[Target area]],Table3[[#This Row],[GHG target?]],Table3[[#This Row],[Conditionality]]),'Drop down'!$E$81:$F$101,2,FALSE)</f>
        <v>T_Transport_O_Unc</v>
      </c>
      <c r="Q950" s="239" t="str">
        <f>VLOOKUP(Table3[[#This Row],[Target type]],Table418[[Value name]:[Value idenifyer]],2,FALSE)</f>
        <v>T_O_EFF</v>
      </c>
      <c r="R950" s="247"/>
      <c r="S950" s="247" t="s">
        <v>1101</v>
      </c>
      <c r="T950" s="397"/>
      <c r="V950" s="233" t="str">
        <f>VLOOKUP(Table3[[#This Row],[Country Code]],Table29[],3,FALSE)</f>
        <v>Non-Annex I</v>
      </c>
      <c r="W950" s="233" t="str">
        <f>VLOOKUP(Table3[[#This Row],[Country Code]],Table29[],4,FALSE)</f>
        <v>Oceania</v>
      </c>
      <c r="X950" s="233" t="str">
        <f>VLOOKUP(Table3[[#This Row],[Country Code]],Table29[],5,FALSE)</f>
        <v>Middle-income</v>
      </c>
      <c r="Y950" s="233" t="str">
        <f>VLOOKUP(Table3[[#This Row],[Country Code]],Table29[],6,FALSE)</f>
        <v>no</v>
      </c>
      <c r="Z950" s="233" t="str">
        <f>VLOOKUP(Table3[[#This Row],[Country Code]],Table29[],7,FALSE)</f>
        <v>no</v>
      </c>
      <c r="AA950" s="233" t="str">
        <f>VLOOKUP(Table3[[#This Row],[Country Code]],Table29[],8,FALSE)</f>
        <v>non-OECD</v>
      </c>
      <c r="AB950" s="233" t="str">
        <f>VLOOKUP(Table3[[#This Row],[Country Code]],Table29[],9,FALSE)</f>
        <v>no</v>
      </c>
      <c r="AC950" s="233" t="str">
        <f>VLOOKUP(Table3[[#This Row],[Country Code]],Table29[],10,FALSE)</f>
        <v>no</v>
      </c>
      <c r="AD950" s="235">
        <f>VLOOKUP(Table3[[#This Row],[Country Code]],Table29[],23,FALSE)</f>
        <v>0.34210672521812002</v>
      </c>
      <c r="AE950" s="235">
        <f>VLOOKUP(Table3[[#This Row],[Country Code]],Table29[],24,FALSE)</f>
        <v>0.1141760738354758</v>
      </c>
      <c r="AF950" s="43"/>
    </row>
    <row r="951" spans="1:32" ht="30" x14ac:dyDescent="0.25">
      <c r="A951" s="360">
        <v>26791</v>
      </c>
      <c r="B951" s="233" t="str">
        <f>VLOOKUP(Table3[[#This Row],[Document ID]],Table1[],2,FALSE)</f>
        <v>TON</v>
      </c>
      <c r="C951" s="233" t="str">
        <f>VLOOKUP(Table3[[#This Row],[Document ID]],Table1[],3,FALSE)</f>
        <v>Tonga</v>
      </c>
      <c r="D951" s="233" t="str">
        <f>VLOOKUP(Table3[[#This Row],[Document ID]],Table1[],5,FALSE)</f>
        <v>LTS</v>
      </c>
      <c r="E951" s="233" t="str">
        <f>VLOOKUP(Table3[[#This Row],[Document ID]],Table1[],7,FALSE)</f>
        <v>LTS</v>
      </c>
      <c r="F951" s="247" t="str">
        <f>VLOOKUP(Table3[[#This Row],[Document ID]],Table1[],8,FALSE)</f>
        <v>LTS 1.0</v>
      </c>
      <c r="G951" s="233" t="str">
        <f>VLOOKUP(Table3[[#This Row],[Document ID]],Table1[],10,FALSE)</f>
        <v>Active</v>
      </c>
      <c r="H951" s="42" t="s">
        <v>1095</v>
      </c>
      <c r="I951" s="42" t="s">
        <v>1096</v>
      </c>
      <c r="J951" s="42" t="s">
        <v>1097</v>
      </c>
      <c r="K951" s="28" t="s">
        <v>1104</v>
      </c>
      <c r="L951" s="42" t="s">
        <v>1099</v>
      </c>
      <c r="M951" s="226" t="s">
        <v>2064</v>
      </c>
      <c r="N951" s="388" t="s">
        <v>2065</v>
      </c>
      <c r="O951" s="260">
        <v>48</v>
      </c>
      <c r="P951" s="238" t="str">
        <f>VLOOKUP(_xlfn.CONCAT(Table3[[#This Row],[Target area]],Table3[[#This Row],[GHG target?]],Table3[[#This Row],[Conditionality]]),'Drop down'!$E$81:$F$101,2,FALSE)</f>
        <v>T_Transport_O_Unc</v>
      </c>
      <c r="Q951" s="239" t="str">
        <f>VLOOKUP(Table3[[#This Row],[Target type]],Table418[[Value name]:[Value idenifyer]],2,FALSE)</f>
        <v>T_O_ZERO</v>
      </c>
      <c r="R951" s="247"/>
      <c r="S951" s="247" t="s">
        <v>1101</v>
      </c>
      <c r="T951" s="397"/>
      <c r="V951" s="233" t="str">
        <f>VLOOKUP(Table3[[#This Row],[Country Code]],Table29[],3,FALSE)</f>
        <v>Non-Annex I</v>
      </c>
      <c r="W951" s="233" t="str">
        <f>VLOOKUP(Table3[[#This Row],[Country Code]],Table29[],4,FALSE)</f>
        <v>Oceania</v>
      </c>
      <c r="X951" s="233" t="str">
        <f>VLOOKUP(Table3[[#This Row],[Country Code]],Table29[],5,FALSE)</f>
        <v>Middle-income</v>
      </c>
      <c r="Y951" s="233" t="str">
        <f>VLOOKUP(Table3[[#This Row],[Country Code]],Table29[],6,FALSE)</f>
        <v>no</v>
      </c>
      <c r="Z951" s="233" t="str">
        <f>VLOOKUP(Table3[[#This Row],[Country Code]],Table29[],7,FALSE)</f>
        <v>no</v>
      </c>
      <c r="AA951" s="233" t="str">
        <f>VLOOKUP(Table3[[#This Row],[Country Code]],Table29[],8,FALSE)</f>
        <v>non-OECD</v>
      </c>
      <c r="AB951" s="233" t="str">
        <f>VLOOKUP(Table3[[#This Row],[Country Code]],Table29[],9,FALSE)</f>
        <v>no</v>
      </c>
      <c r="AC951" s="233" t="str">
        <f>VLOOKUP(Table3[[#This Row],[Country Code]],Table29[],10,FALSE)</f>
        <v>no</v>
      </c>
      <c r="AD951" s="235">
        <f>VLOOKUP(Table3[[#This Row],[Country Code]],Table29[],23,FALSE)</f>
        <v>0.34210672521812002</v>
      </c>
      <c r="AE951" s="235">
        <f>VLOOKUP(Table3[[#This Row],[Country Code]],Table29[],24,FALSE)</f>
        <v>0.1141760738354758</v>
      </c>
      <c r="AF951" s="43"/>
    </row>
    <row r="952" spans="1:32" ht="60" x14ac:dyDescent="0.25">
      <c r="A952" s="360">
        <v>17762</v>
      </c>
      <c r="B952" s="233" t="str">
        <f>VLOOKUP(Table3[[#This Row],[Document ID]],Table1[],2,FALSE)</f>
        <v>TON</v>
      </c>
      <c r="C952" s="233" t="str">
        <f>VLOOKUP(Table3[[#This Row],[Document ID]],Table1[],3,FALSE)</f>
        <v>Tonga</v>
      </c>
      <c r="D952" s="233" t="str">
        <f>VLOOKUP(Table3[[#This Row],[Document ID]],Table1[],5,FALSE)</f>
        <v>NDC</v>
      </c>
      <c r="E952" s="233" t="str">
        <f>VLOOKUP(Table3[[#This Row],[Document ID]],Table1[],7,FALSE)</f>
        <v>Second NDC</v>
      </c>
      <c r="F952" s="247" t="str">
        <f>VLOOKUP(Table3[[#This Row],[Document ID]],Table1[],8,FALSE)</f>
        <v>NDC 2.0</v>
      </c>
      <c r="G952" s="233" t="str">
        <f>VLOOKUP(Table3[[#This Row],[Document ID]],Table1[],10,FALSE)</f>
        <v>Active</v>
      </c>
      <c r="H952" s="42" t="s">
        <v>1095</v>
      </c>
      <c r="I952" s="388" t="s">
        <v>1115</v>
      </c>
      <c r="J952" s="43" t="s">
        <v>1090</v>
      </c>
      <c r="K952" s="28" t="s">
        <v>1091</v>
      </c>
      <c r="L952" s="42" t="s">
        <v>1099</v>
      </c>
      <c r="M952" s="226">
        <v>2030</v>
      </c>
      <c r="N952" s="390" t="s">
        <v>2066</v>
      </c>
      <c r="O952" s="396">
        <v>62</v>
      </c>
      <c r="P952" s="238" t="str">
        <f>VLOOKUP(_xlfn.CONCAT(Table3[[#This Row],[Target area]],Table3[[#This Row],[GHG target?]],Table3[[#This Row],[Conditionality]]),'Drop down'!$E$81:$F$101,2,FALSE)</f>
        <v>T_Transport_Unc</v>
      </c>
      <c r="Q952" s="239" t="str">
        <f>VLOOKUP(Table3[[#This Row],[Target type]],Table418[[Value name]:[Value idenifyer]],2,FALSE)</f>
        <v>T_BAU</v>
      </c>
      <c r="R952" s="247" t="s">
        <v>526</v>
      </c>
      <c r="S952" s="247"/>
      <c r="T952" s="397"/>
      <c r="V952" s="233" t="str">
        <f>VLOOKUP(Table3[[#This Row],[Country Code]],Table29[],3,FALSE)</f>
        <v>Non-Annex I</v>
      </c>
      <c r="W952" s="233" t="str">
        <f>VLOOKUP(Table3[[#This Row],[Country Code]],Table29[],4,FALSE)</f>
        <v>Oceania</v>
      </c>
      <c r="X952" s="233" t="str">
        <f>VLOOKUP(Table3[[#This Row],[Country Code]],Table29[],5,FALSE)</f>
        <v>Middle-income</v>
      </c>
      <c r="Y952" s="233" t="str">
        <f>VLOOKUP(Table3[[#This Row],[Country Code]],Table29[],6,FALSE)</f>
        <v>no</v>
      </c>
      <c r="Z952" s="233" t="str">
        <f>VLOOKUP(Table3[[#This Row],[Country Code]],Table29[],7,FALSE)</f>
        <v>no</v>
      </c>
      <c r="AA952" s="233" t="str">
        <f>VLOOKUP(Table3[[#This Row],[Country Code]],Table29[],8,FALSE)</f>
        <v>non-OECD</v>
      </c>
      <c r="AB952" s="233" t="str">
        <f>VLOOKUP(Table3[[#This Row],[Country Code]],Table29[],9,FALSE)</f>
        <v>no</v>
      </c>
      <c r="AC952" s="233" t="str">
        <f>VLOOKUP(Table3[[#This Row],[Country Code]],Table29[],10,FALSE)</f>
        <v>no</v>
      </c>
      <c r="AD952" s="235">
        <f>VLOOKUP(Table3[[#This Row],[Country Code]],Table29[],23,FALSE)</f>
        <v>0.34210672521812002</v>
      </c>
      <c r="AE952" s="235">
        <f>VLOOKUP(Table3[[#This Row],[Country Code]],Table29[],24,FALSE)</f>
        <v>0.1141760738354758</v>
      </c>
      <c r="AF952" s="43"/>
    </row>
    <row r="953" spans="1:32" ht="30" x14ac:dyDescent="0.25">
      <c r="A953" s="360">
        <v>17764</v>
      </c>
      <c r="B953" s="233" t="str">
        <f>VLOOKUP(Table3[[#This Row],[Document ID]],Table1[],2,FALSE)</f>
        <v>TTO</v>
      </c>
      <c r="C953" s="233" t="str">
        <f>VLOOKUP(Table3[[#This Row],[Document ID]],Table1[],3,FALSE)</f>
        <v>Trinidad and Tobago</v>
      </c>
      <c r="D953" s="233" t="str">
        <f>VLOOKUP(Table3[[#This Row],[Document ID]],Table1[],5,FALSE)</f>
        <v>NDC</v>
      </c>
      <c r="E953" s="233" t="str">
        <f>VLOOKUP(Table3[[#This Row],[Document ID]],Table1[],7,FALSE)</f>
        <v>First NDC</v>
      </c>
      <c r="F953" s="247" t="str">
        <f>VLOOKUP(Table3[[#This Row],[Document ID]],Table1[],8,FALSE)</f>
        <v>NDC 1.0</v>
      </c>
      <c r="G953" s="233" t="str">
        <f>VLOOKUP(Table3[[#This Row],[Document ID]],Table1[],10,FALSE)</f>
        <v>Active</v>
      </c>
      <c r="H953" s="42" t="s">
        <v>1095</v>
      </c>
      <c r="I953" s="388" t="s">
        <v>1096</v>
      </c>
      <c r="J953" s="43" t="s">
        <v>1090</v>
      </c>
      <c r="K953" s="28" t="s">
        <v>1153</v>
      </c>
      <c r="L953" s="42" t="s">
        <v>1099</v>
      </c>
      <c r="M953" s="226">
        <v>2030</v>
      </c>
      <c r="N953" s="390" t="s">
        <v>2067</v>
      </c>
      <c r="O953" s="396">
        <v>1</v>
      </c>
      <c r="P953" s="238" t="str">
        <f>VLOOKUP(_xlfn.CONCAT(Table3[[#This Row],[Target area]],Table3[[#This Row],[GHG target?]],Table3[[#This Row],[Conditionality]]),'Drop down'!$E$81:$F$101,2,FALSE)</f>
        <v>T_Transport_Unc</v>
      </c>
      <c r="Q953" s="239" t="str">
        <f>VLOOKUP(Table3[[#This Row],[Target type]],Table418[[Value name]:[Value idenifyer]],2,FALSE)</f>
        <v>T_BYE</v>
      </c>
      <c r="R953" s="247" t="s">
        <v>526</v>
      </c>
      <c r="S953" s="247" t="s">
        <v>1112</v>
      </c>
      <c r="T953" s="397"/>
      <c r="V953" s="233" t="str">
        <f>VLOOKUP(Table3[[#This Row],[Country Code]],Table29[],3,FALSE)</f>
        <v>Non-Annex I</v>
      </c>
      <c r="W953" s="233" t="str">
        <f>VLOOKUP(Table3[[#This Row],[Country Code]],Table29[],4,FALSE)</f>
        <v>Latin America and the Caribbean</v>
      </c>
      <c r="X953" s="233" t="str">
        <f>VLOOKUP(Table3[[#This Row],[Country Code]],Table29[],5,FALSE)</f>
        <v>High-income</v>
      </c>
      <c r="Y953" s="233" t="str">
        <f>VLOOKUP(Table3[[#This Row],[Country Code]],Table29[],6,FALSE)</f>
        <v>no</v>
      </c>
      <c r="Z953" s="233" t="str">
        <f>VLOOKUP(Table3[[#This Row],[Country Code]],Table29[],7,FALSE)</f>
        <v>no</v>
      </c>
      <c r="AA953" s="233" t="str">
        <f>VLOOKUP(Table3[[#This Row],[Country Code]],Table29[],8,FALSE)</f>
        <v>non-OECD</v>
      </c>
      <c r="AB953" s="233" t="str">
        <f>VLOOKUP(Table3[[#This Row],[Country Code]],Table29[],9,FALSE)</f>
        <v>no</v>
      </c>
      <c r="AC953" s="233" t="str">
        <f>VLOOKUP(Table3[[#This Row],[Country Code]],Table29[],10,FALSE)</f>
        <v>no</v>
      </c>
      <c r="AD953" s="235">
        <f>VLOOKUP(Table3[[#This Row],[Country Code]],Table29[],23,FALSE)</f>
        <v>34.187024015246998</v>
      </c>
      <c r="AE953" s="235">
        <f>VLOOKUP(Table3[[#This Row],[Country Code]],Table29[],24,FALSE)</f>
        <v>2.548503229596502</v>
      </c>
      <c r="AF953" s="43"/>
    </row>
    <row r="954" spans="1:32" ht="90" x14ac:dyDescent="0.25">
      <c r="A954" s="360">
        <v>42012</v>
      </c>
      <c r="B954" s="233" t="str">
        <f>VLOOKUP(Table3[[#This Row],[Document ID]],Table1[],2,FALSE)</f>
        <v>TUR</v>
      </c>
      <c r="C954" s="233" t="str">
        <f>VLOOKUP(Table3[[#This Row],[Document ID]],Table1[],3,FALSE)</f>
        <v>Türkiye</v>
      </c>
      <c r="D954" s="233" t="str">
        <f>VLOOKUP(Table3[[#This Row],[Document ID]],Table1[],5,FALSE)</f>
        <v>NDC</v>
      </c>
      <c r="E954" s="233" t="str">
        <f>VLOOKUP(Table3[[#This Row],[Document ID]],Table1[],7,FALSE)</f>
        <v>First NDC updated</v>
      </c>
      <c r="F954" s="387" t="str">
        <f>VLOOKUP(Table3[[#This Row],[Document ID]],Table1[],8,FALSE)</f>
        <v>NDC 1.1</v>
      </c>
      <c r="G954" s="233" t="str">
        <f>VLOOKUP(Table3[[#This Row],[Document ID]],Table1[],10,FALSE)</f>
        <v>Active</v>
      </c>
      <c r="H954" s="42" t="s">
        <v>1095</v>
      </c>
      <c r="I954" s="42" t="s">
        <v>1096</v>
      </c>
      <c r="J954" s="42" t="s">
        <v>1097</v>
      </c>
      <c r="K954" s="28" t="s">
        <v>1162</v>
      </c>
      <c r="L954" s="42" t="s">
        <v>1099</v>
      </c>
      <c r="M954" s="226">
        <v>2030</v>
      </c>
      <c r="N954" s="226" t="s">
        <v>2068</v>
      </c>
      <c r="O954" s="260">
        <v>12</v>
      </c>
      <c r="P954" s="238" t="str">
        <f>VLOOKUP(_xlfn.CONCAT(Table3[[#This Row],[Target area]],Table3[[#This Row],[GHG target?]],Table3[[#This Row],[Conditionality]]),'Drop down'!$E$81:$F$101,2,FALSE)</f>
        <v>T_Transport_O_Unc</v>
      </c>
      <c r="Q954" s="239" t="str">
        <f>VLOOKUP(Table3[[#This Row],[Target type]],Table418[[Value name]:[Value idenifyer]],2,FALSE)</f>
        <v>T_O_INFRA</v>
      </c>
      <c r="R954" s="247"/>
      <c r="S954" s="247" t="s">
        <v>1101</v>
      </c>
      <c r="T954" s="397" t="s">
        <v>1113</v>
      </c>
      <c r="U954" s="240"/>
      <c r="V954" s="233" t="str">
        <f>VLOOKUP(Table3[[#This Row],[Country Code]],Table29[],3,FALSE)</f>
        <v>Annex I</v>
      </c>
      <c r="W954" s="233" t="str">
        <f>VLOOKUP(Table3[[#This Row],[Country Code]],Table29[],4,FALSE)</f>
        <v>Asia</v>
      </c>
      <c r="X954" s="233" t="str">
        <f>VLOOKUP(Table3[[#This Row],[Country Code]],Table29[],5,FALSE)</f>
        <v>Middle-income</v>
      </c>
      <c r="Y954" s="233" t="str">
        <f>VLOOKUP(Table3[[#This Row],[Country Code]],Table29[],6,FALSE)</f>
        <v>G20</v>
      </c>
      <c r="Z954" s="233" t="str">
        <f>VLOOKUP(Table3[[#This Row],[Country Code]],Table29[],7,FALSE)</f>
        <v>no</v>
      </c>
      <c r="AA954" s="233" t="str">
        <f>VLOOKUP(Table3[[#This Row],[Country Code]],Table29[],8,FALSE)</f>
        <v>OECD</v>
      </c>
      <c r="AB954" s="233" t="str">
        <f>VLOOKUP(Table3[[#This Row],[Country Code]],Table29[],9,FALSE)</f>
        <v>no</v>
      </c>
      <c r="AC954" s="233" t="str">
        <f>VLOOKUP(Table3[[#This Row],[Country Code]],Table29[],10,FALSE)</f>
        <v>no</v>
      </c>
      <c r="AD954" s="235">
        <f>VLOOKUP(Table3[[#This Row],[Country Code]],Table29[],23,FALSE)</f>
        <v>606.42985584790995</v>
      </c>
      <c r="AE954" s="235">
        <f>VLOOKUP(Table3[[#This Row],[Country Code]],Table29[],24,FALSE)</f>
        <v>95.92080354160332</v>
      </c>
      <c r="AF954" s="43"/>
    </row>
    <row r="955" spans="1:32" ht="60" x14ac:dyDescent="0.25">
      <c r="A955" s="360">
        <v>29235</v>
      </c>
      <c r="B955" s="233" t="str">
        <f>VLOOKUP(Table3[[#This Row],[Document ID]],Table1[],2,FALSE)</f>
        <v>UGA</v>
      </c>
      <c r="C955" s="233" t="str">
        <f>VLOOKUP(Table3[[#This Row],[Document ID]],Table1[],3,FALSE)</f>
        <v>Uganda</v>
      </c>
      <c r="D955" s="233" t="str">
        <f>VLOOKUP(Table3[[#This Row],[Document ID]],Table1[],5,FALSE)</f>
        <v>NDC</v>
      </c>
      <c r="E955" s="233" t="str">
        <f>VLOOKUP(Table3[[#This Row],[Document ID]],Table1[],7,FALSE)</f>
        <v>First NDC updated</v>
      </c>
      <c r="F955" s="247" t="str">
        <f>VLOOKUP(Table3[[#This Row],[Document ID]],Table1[],8,FALSE)</f>
        <v>NDC 1.2</v>
      </c>
      <c r="G955" s="233" t="str">
        <f>VLOOKUP(Table3[[#This Row],[Document ID]],Table1[],10,FALSE)</f>
        <v>Active</v>
      </c>
      <c r="H955" s="42" t="s">
        <v>1095</v>
      </c>
      <c r="I955" s="388" t="s">
        <v>1115</v>
      </c>
      <c r="J955" s="43" t="s">
        <v>1090</v>
      </c>
      <c r="K955" s="28" t="s">
        <v>1091</v>
      </c>
      <c r="L955" s="43" t="s">
        <v>1092</v>
      </c>
      <c r="M955" s="226">
        <v>2030</v>
      </c>
      <c r="N955" s="226" t="s">
        <v>2069</v>
      </c>
      <c r="O955" s="394">
        <v>41</v>
      </c>
      <c r="P955" s="238" t="str">
        <f>VLOOKUP(_xlfn.CONCAT(Table3[[#This Row],[Target area]],Table3[[#This Row],[GHG target?]],Table3[[#This Row],[Conditionality]]),'Drop down'!$E$81:$F$101,2,FALSE)</f>
        <v>T_Transport_C</v>
      </c>
      <c r="Q955" s="239" t="str">
        <f>VLOOKUP(Table3[[#This Row],[Target type]],Table418[[Value name]:[Value idenifyer]],2,FALSE)</f>
        <v>T_BAU</v>
      </c>
      <c r="R955" s="247"/>
      <c r="S955" s="247" t="s">
        <v>1125</v>
      </c>
      <c r="T955" s="248"/>
      <c r="V955" s="233" t="str">
        <f>VLOOKUP(Table3[[#This Row],[Country Code]],Table29[],3,FALSE)</f>
        <v>Non-Annex I</v>
      </c>
      <c r="W955" s="233" t="str">
        <f>VLOOKUP(Table3[[#This Row],[Country Code]],Table29[],4,FALSE)</f>
        <v>Africa</v>
      </c>
      <c r="X955" s="233" t="str">
        <f>VLOOKUP(Table3[[#This Row],[Country Code]],Table29[],5,FALSE)</f>
        <v>Low-income</v>
      </c>
      <c r="Y955" s="233" t="str">
        <f>VLOOKUP(Table3[[#This Row],[Country Code]],Table29[],6,FALSE)</f>
        <v>no</v>
      </c>
      <c r="Z955" s="233" t="str">
        <f>VLOOKUP(Table3[[#This Row],[Country Code]],Table29[],7,FALSE)</f>
        <v>no</v>
      </c>
      <c r="AA955" s="233" t="str">
        <f>VLOOKUP(Table3[[#This Row],[Country Code]],Table29[],8,FALSE)</f>
        <v>non-OECD</v>
      </c>
      <c r="AB955" s="233" t="str">
        <f>VLOOKUP(Table3[[#This Row],[Country Code]],Table29[],9,FALSE)</f>
        <v>no</v>
      </c>
      <c r="AC955" s="233" t="str">
        <f>VLOOKUP(Table3[[#This Row],[Country Code]],Table29[],10,FALSE)</f>
        <v>no</v>
      </c>
      <c r="AD955" s="235">
        <f>VLOOKUP(Table3[[#This Row],[Country Code]],Table29[],23,FALSE)</f>
        <v>53.370989410157001</v>
      </c>
      <c r="AE955" s="235">
        <f>VLOOKUP(Table3[[#This Row],[Country Code]],Table29[],24,FALSE)</f>
        <v>3.617994034151566</v>
      </c>
      <c r="AF955" s="43"/>
    </row>
    <row r="956" spans="1:32" x14ac:dyDescent="0.25">
      <c r="A956" s="360">
        <v>29235</v>
      </c>
      <c r="B956" s="233" t="str">
        <f>VLOOKUP(Table3[[#This Row],[Document ID]],Table1[],2,FALSE)</f>
        <v>UGA</v>
      </c>
      <c r="C956" s="233" t="str">
        <f>VLOOKUP(Table3[[#This Row],[Document ID]],Table1[],3,FALSE)</f>
        <v>Uganda</v>
      </c>
      <c r="D956" s="233" t="str">
        <f>VLOOKUP(Table3[[#This Row],[Document ID]],Table1[],5,FALSE)</f>
        <v>NDC</v>
      </c>
      <c r="E956" s="233" t="str">
        <f>VLOOKUP(Table3[[#This Row],[Document ID]],Table1[],7,FALSE)</f>
        <v>First NDC updated</v>
      </c>
      <c r="F956" s="247" t="str">
        <f>VLOOKUP(Table3[[#This Row],[Document ID]],Table1[],8,FALSE)</f>
        <v>NDC 1.2</v>
      </c>
      <c r="G956" s="233" t="str">
        <f>VLOOKUP(Table3[[#This Row],[Document ID]],Table1[],10,FALSE)</f>
        <v>Active</v>
      </c>
      <c r="H956" s="42" t="s">
        <v>1095</v>
      </c>
      <c r="I956" s="42" t="s">
        <v>1096</v>
      </c>
      <c r="J956" s="42" t="s">
        <v>1097</v>
      </c>
      <c r="K956" s="28" t="s">
        <v>1162</v>
      </c>
      <c r="L956" s="42" t="s">
        <v>1099</v>
      </c>
      <c r="M956" s="226">
        <v>2050</v>
      </c>
      <c r="N956" s="226" t="s">
        <v>2070</v>
      </c>
      <c r="O956" s="394">
        <v>40</v>
      </c>
      <c r="P956" s="238" t="str">
        <f>VLOOKUP(_xlfn.CONCAT(Table3[[#This Row],[Target area]],Table3[[#This Row],[GHG target?]],Table3[[#This Row],[Conditionality]]),'Drop down'!$E$81:$F$101,2,FALSE)</f>
        <v>T_Transport_O_Unc</v>
      </c>
      <c r="Q956" s="239" t="str">
        <f>VLOOKUP(Table3[[#This Row],[Target type]],Table418[[Value name]:[Value idenifyer]],2,FALSE)</f>
        <v>T_O_INFRA</v>
      </c>
      <c r="R956" s="247"/>
      <c r="S956" s="247" t="s">
        <v>1125</v>
      </c>
      <c r="T956" s="248"/>
      <c r="V956" s="233" t="str">
        <f>VLOOKUP(Table3[[#This Row],[Country Code]],Table29[],3,FALSE)</f>
        <v>Non-Annex I</v>
      </c>
      <c r="W956" s="233" t="str">
        <f>VLOOKUP(Table3[[#This Row],[Country Code]],Table29[],4,FALSE)</f>
        <v>Africa</v>
      </c>
      <c r="X956" s="233" t="str">
        <f>VLOOKUP(Table3[[#This Row],[Country Code]],Table29[],5,FALSE)</f>
        <v>Low-income</v>
      </c>
      <c r="Y956" s="233" t="str">
        <f>VLOOKUP(Table3[[#This Row],[Country Code]],Table29[],6,FALSE)</f>
        <v>no</v>
      </c>
      <c r="Z956" s="233" t="str">
        <f>VLOOKUP(Table3[[#This Row],[Country Code]],Table29[],7,FALSE)</f>
        <v>no</v>
      </c>
      <c r="AA956" s="233" t="str">
        <f>VLOOKUP(Table3[[#This Row],[Country Code]],Table29[],8,FALSE)</f>
        <v>non-OECD</v>
      </c>
      <c r="AB956" s="233" t="str">
        <f>VLOOKUP(Table3[[#This Row],[Country Code]],Table29[],9,FALSE)</f>
        <v>no</v>
      </c>
      <c r="AC956" s="233" t="str">
        <f>VLOOKUP(Table3[[#This Row],[Country Code]],Table29[],10,FALSE)</f>
        <v>no</v>
      </c>
      <c r="AD956" s="235">
        <f>VLOOKUP(Table3[[#This Row],[Country Code]],Table29[],23,FALSE)</f>
        <v>53.370989410157001</v>
      </c>
      <c r="AE956" s="235">
        <f>VLOOKUP(Table3[[#This Row],[Country Code]],Table29[],24,FALSE)</f>
        <v>3.617994034151566</v>
      </c>
      <c r="AF956" s="43"/>
    </row>
    <row r="957" spans="1:32" ht="30" x14ac:dyDescent="0.25">
      <c r="A957" s="360">
        <v>29235</v>
      </c>
      <c r="B957" s="233" t="str">
        <f>VLOOKUP(Table3[[#This Row],[Document ID]],Table1[],2,FALSE)</f>
        <v>UGA</v>
      </c>
      <c r="C957" s="233" t="str">
        <f>VLOOKUP(Table3[[#This Row],[Document ID]],Table1[],3,FALSE)</f>
        <v>Uganda</v>
      </c>
      <c r="D957" s="233" t="str">
        <f>VLOOKUP(Table3[[#This Row],[Document ID]],Table1[],5,FALSE)</f>
        <v>NDC</v>
      </c>
      <c r="E957" s="233" t="str">
        <f>VLOOKUP(Table3[[#This Row],[Document ID]],Table1[],7,FALSE)</f>
        <v>First NDC updated</v>
      </c>
      <c r="F957" s="247" t="str">
        <f>VLOOKUP(Table3[[#This Row],[Document ID]],Table1[],8,FALSE)</f>
        <v>NDC 1.2</v>
      </c>
      <c r="G957" s="233" t="str">
        <f>VLOOKUP(Table3[[#This Row],[Document ID]],Table1[],10,FALSE)</f>
        <v>Active</v>
      </c>
      <c r="H957" s="42" t="s">
        <v>1095</v>
      </c>
      <c r="I957" s="42" t="s">
        <v>1096</v>
      </c>
      <c r="J957" s="42" t="s">
        <v>1097</v>
      </c>
      <c r="K957" s="28" t="s">
        <v>1162</v>
      </c>
      <c r="L957" s="42" t="s">
        <v>1099</v>
      </c>
      <c r="M957" s="226">
        <v>2030</v>
      </c>
      <c r="N957" s="226" t="s">
        <v>2071</v>
      </c>
      <c r="O957" s="394">
        <v>40</v>
      </c>
      <c r="P957" s="238" t="str">
        <f>VLOOKUP(_xlfn.CONCAT(Table3[[#This Row],[Target area]],Table3[[#This Row],[GHG target?]],Table3[[#This Row],[Conditionality]]),'Drop down'!$E$81:$F$101,2,FALSE)</f>
        <v>T_Transport_O_Unc</v>
      </c>
      <c r="Q957" s="239" t="str">
        <f>VLOOKUP(Table3[[#This Row],[Target type]],Table418[[Value name]:[Value idenifyer]],2,FALSE)</f>
        <v>T_O_INFRA</v>
      </c>
      <c r="R957" s="247"/>
      <c r="S957" s="247" t="s">
        <v>1125</v>
      </c>
      <c r="T957" s="248"/>
      <c r="V957" s="233" t="str">
        <f>VLOOKUP(Table3[[#This Row],[Country Code]],Table29[],3,FALSE)</f>
        <v>Non-Annex I</v>
      </c>
      <c r="W957" s="233" t="str">
        <f>VLOOKUP(Table3[[#This Row],[Country Code]],Table29[],4,FALSE)</f>
        <v>Africa</v>
      </c>
      <c r="X957" s="233" t="str">
        <f>VLOOKUP(Table3[[#This Row],[Country Code]],Table29[],5,FALSE)</f>
        <v>Low-income</v>
      </c>
      <c r="Y957" s="233" t="str">
        <f>VLOOKUP(Table3[[#This Row],[Country Code]],Table29[],6,FALSE)</f>
        <v>no</v>
      </c>
      <c r="Z957" s="233" t="str">
        <f>VLOOKUP(Table3[[#This Row],[Country Code]],Table29[],7,FALSE)</f>
        <v>no</v>
      </c>
      <c r="AA957" s="233" t="str">
        <f>VLOOKUP(Table3[[#This Row],[Country Code]],Table29[],8,FALSE)</f>
        <v>non-OECD</v>
      </c>
      <c r="AB957" s="233" t="str">
        <f>VLOOKUP(Table3[[#This Row],[Country Code]],Table29[],9,FALSE)</f>
        <v>no</v>
      </c>
      <c r="AC957" s="233" t="str">
        <f>VLOOKUP(Table3[[#This Row],[Country Code]],Table29[],10,FALSE)</f>
        <v>no</v>
      </c>
      <c r="AD957" s="235">
        <f>VLOOKUP(Table3[[#This Row],[Country Code]],Table29[],23,FALSE)</f>
        <v>53.370989410157001</v>
      </c>
      <c r="AE957" s="235">
        <f>VLOOKUP(Table3[[#This Row],[Country Code]],Table29[],24,FALSE)</f>
        <v>3.617994034151566</v>
      </c>
      <c r="AF957" s="43"/>
    </row>
    <row r="958" spans="1:32" x14ac:dyDescent="0.25">
      <c r="A958" s="360">
        <v>29235</v>
      </c>
      <c r="B958" s="233" t="str">
        <f>VLOOKUP(Table3[[#This Row],[Document ID]],Table1[],2,FALSE)</f>
        <v>UGA</v>
      </c>
      <c r="C958" s="233" t="str">
        <f>VLOOKUP(Table3[[#This Row],[Document ID]],Table1[],3,FALSE)</f>
        <v>Uganda</v>
      </c>
      <c r="D958" s="233" t="str">
        <f>VLOOKUP(Table3[[#This Row],[Document ID]],Table1[],5,FALSE)</f>
        <v>NDC</v>
      </c>
      <c r="E958" s="233" t="str">
        <f>VLOOKUP(Table3[[#This Row],[Document ID]],Table1[],7,FALSE)</f>
        <v>First NDC updated</v>
      </c>
      <c r="F958" s="247" t="str">
        <f>VLOOKUP(Table3[[#This Row],[Document ID]],Table1[],8,FALSE)</f>
        <v>NDC 1.2</v>
      </c>
      <c r="G958" s="233" t="str">
        <f>VLOOKUP(Table3[[#This Row],[Document ID]],Table1[],10,FALSE)</f>
        <v>Active</v>
      </c>
      <c r="H958" s="42" t="s">
        <v>1095</v>
      </c>
      <c r="I958" s="42" t="s">
        <v>1096</v>
      </c>
      <c r="J958" s="42" t="s">
        <v>1097</v>
      </c>
      <c r="K958" s="28" t="s">
        <v>1162</v>
      </c>
      <c r="L958" s="42" t="s">
        <v>1099</v>
      </c>
      <c r="M958" s="226">
        <v>2040</v>
      </c>
      <c r="N958" s="226" t="s">
        <v>2072</v>
      </c>
      <c r="O958" s="394">
        <v>40</v>
      </c>
      <c r="P958" s="238" t="str">
        <f>VLOOKUP(_xlfn.CONCAT(Table3[[#This Row],[Target area]],Table3[[#This Row],[GHG target?]],Table3[[#This Row],[Conditionality]]),'Drop down'!$E$81:$F$101,2,FALSE)</f>
        <v>T_Transport_O_Unc</v>
      </c>
      <c r="Q958" s="239" t="str">
        <f>VLOOKUP(Table3[[#This Row],[Target type]],Table418[[Value name]:[Value idenifyer]],2,FALSE)</f>
        <v>T_O_INFRA</v>
      </c>
      <c r="R958" s="247"/>
      <c r="S958" s="247" t="s">
        <v>1125</v>
      </c>
      <c r="T958" s="248"/>
      <c r="V958" s="233" t="str">
        <f>VLOOKUP(Table3[[#This Row],[Country Code]],Table29[],3,FALSE)</f>
        <v>Non-Annex I</v>
      </c>
      <c r="W958" s="233" t="str">
        <f>VLOOKUP(Table3[[#This Row],[Country Code]],Table29[],4,FALSE)</f>
        <v>Africa</v>
      </c>
      <c r="X958" s="233" t="str">
        <f>VLOOKUP(Table3[[#This Row],[Country Code]],Table29[],5,FALSE)</f>
        <v>Low-income</v>
      </c>
      <c r="Y958" s="233" t="str">
        <f>VLOOKUP(Table3[[#This Row],[Country Code]],Table29[],6,FALSE)</f>
        <v>no</v>
      </c>
      <c r="Z958" s="233" t="str">
        <f>VLOOKUP(Table3[[#This Row],[Country Code]],Table29[],7,FALSE)</f>
        <v>no</v>
      </c>
      <c r="AA958" s="233" t="str">
        <f>VLOOKUP(Table3[[#This Row],[Country Code]],Table29[],8,FALSE)</f>
        <v>non-OECD</v>
      </c>
      <c r="AB958" s="233" t="str">
        <f>VLOOKUP(Table3[[#This Row],[Country Code]],Table29[],9,FALSE)</f>
        <v>no</v>
      </c>
      <c r="AC958" s="233" t="str">
        <f>VLOOKUP(Table3[[#This Row],[Country Code]],Table29[],10,FALSE)</f>
        <v>no</v>
      </c>
      <c r="AD958" s="235">
        <f>VLOOKUP(Table3[[#This Row],[Country Code]],Table29[],23,FALSE)</f>
        <v>53.370989410157001</v>
      </c>
      <c r="AE958" s="235">
        <f>VLOOKUP(Table3[[#This Row],[Country Code]],Table29[],24,FALSE)</f>
        <v>3.617994034151566</v>
      </c>
      <c r="AF958" s="43"/>
    </row>
    <row r="959" spans="1:32" x14ac:dyDescent="0.25">
      <c r="A959" s="360">
        <v>29235</v>
      </c>
      <c r="B959" s="233" t="str">
        <f>VLOOKUP(Table3[[#This Row],[Document ID]],Table1[],2,FALSE)</f>
        <v>UGA</v>
      </c>
      <c r="C959" s="233" t="str">
        <f>VLOOKUP(Table3[[#This Row],[Document ID]],Table1[],3,FALSE)</f>
        <v>Uganda</v>
      </c>
      <c r="D959" s="233" t="str">
        <f>VLOOKUP(Table3[[#This Row],[Document ID]],Table1[],5,FALSE)</f>
        <v>NDC</v>
      </c>
      <c r="E959" s="233" t="str">
        <f>VLOOKUP(Table3[[#This Row],[Document ID]],Table1[],7,FALSE)</f>
        <v>First NDC updated</v>
      </c>
      <c r="F959" s="247" t="str">
        <f>VLOOKUP(Table3[[#This Row],[Document ID]],Table1[],8,FALSE)</f>
        <v>NDC 1.2</v>
      </c>
      <c r="G959" s="233" t="str">
        <f>VLOOKUP(Table3[[#This Row],[Document ID]],Table1[],10,FALSE)</f>
        <v>Active</v>
      </c>
      <c r="H959" s="42" t="s">
        <v>1095</v>
      </c>
      <c r="I959" s="42" t="s">
        <v>1096</v>
      </c>
      <c r="J959" s="42" t="s">
        <v>1097</v>
      </c>
      <c r="K959" s="28" t="s">
        <v>1162</v>
      </c>
      <c r="L959" s="42" t="s">
        <v>1099</v>
      </c>
      <c r="M959" s="226">
        <v>2040</v>
      </c>
      <c r="N959" s="226" t="s">
        <v>2073</v>
      </c>
      <c r="O959" s="394">
        <v>40</v>
      </c>
      <c r="P959" s="238" t="str">
        <f>VLOOKUP(_xlfn.CONCAT(Table3[[#This Row],[Target area]],Table3[[#This Row],[GHG target?]],Table3[[#This Row],[Conditionality]]),'Drop down'!$E$81:$F$101,2,FALSE)</f>
        <v>T_Transport_O_Unc</v>
      </c>
      <c r="Q959" s="239" t="str">
        <f>VLOOKUP(Table3[[#This Row],[Target type]],Table418[[Value name]:[Value idenifyer]],2,FALSE)</f>
        <v>T_O_INFRA</v>
      </c>
      <c r="R959" s="247"/>
      <c r="S959" s="247" t="s">
        <v>1125</v>
      </c>
      <c r="T959" s="248"/>
      <c r="V959" s="233" t="str">
        <f>VLOOKUP(Table3[[#This Row],[Country Code]],Table29[],3,FALSE)</f>
        <v>Non-Annex I</v>
      </c>
      <c r="W959" s="233" t="str">
        <f>VLOOKUP(Table3[[#This Row],[Country Code]],Table29[],4,FALSE)</f>
        <v>Africa</v>
      </c>
      <c r="X959" s="233" t="str">
        <f>VLOOKUP(Table3[[#This Row],[Country Code]],Table29[],5,FALSE)</f>
        <v>Low-income</v>
      </c>
      <c r="Y959" s="233" t="str">
        <f>VLOOKUP(Table3[[#This Row],[Country Code]],Table29[],6,FALSE)</f>
        <v>no</v>
      </c>
      <c r="Z959" s="233" t="str">
        <f>VLOOKUP(Table3[[#This Row],[Country Code]],Table29[],7,FALSE)</f>
        <v>no</v>
      </c>
      <c r="AA959" s="233" t="str">
        <f>VLOOKUP(Table3[[#This Row],[Country Code]],Table29[],8,FALSE)</f>
        <v>non-OECD</v>
      </c>
      <c r="AB959" s="233" t="str">
        <f>VLOOKUP(Table3[[#This Row],[Country Code]],Table29[],9,FALSE)</f>
        <v>no</v>
      </c>
      <c r="AC959" s="233" t="str">
        <f>VLOOKUP(Table3[[#This Row],[Country Code]],Table29[],10,FALSE)</f>
        <v>no</v>
      </c>
      <c r="AD959" s="235">
        <f>VLOOKUP(Table3[[#This Row],[Country Code]],Table29[],23,FALSE)</f>
        <v>53.370989410157001</v>
      </c>
      <c r="AE959" s="235">
        <f>VLOOKUP(Table3[[#This Row],[Country Code]],Table29[],24,FALSE)</f>
        <v>3.617994034151566</v>
      </c>
      <c r="AF959" s="43"/>
    </row>
    <row r="960" spans="1:32" ht="30" x14ac:dyDescent="0.25">
      <c r="A960" s="360">
        <v>29235</v>
      </c>
      <c r="B960" s="233" t="str">
        <f>VLOOKUP(Table3[[#This Row],[Document ID]],Table1[],2,FALSE)</f>
        <v>UGA</v>
      </c>
      <c r="C960" s="233" t="str">
        <f>VLOOKUP(Table3[[#This Row],[Document ID]],Table1[],3,FALSE)</f>
        <v>Uganda</v>
      </c>
      <c r="D960" s="233" t="str">
        <f>VLOOKUP(Table3[[#This Row],[Document ID]],Table1[],5,FALSE)</f>
        <v>NDC</v>
      </c>
      <c r="E960" s="233" t="str">
        <f>VLOOKUP(Table3[[#This Row],[Document ID]],Table1[],7,FALSE)</f>
        <v>First NDC updated</v>
      </c>
      <c r="F960" s="247" t="str">
        <f>VLOOKUP(Table3[[#This Row],[Document ID]],Table1[],8,FALSE)</f>
        <v>NDC 1.2</v>
      </c>
      <c r="G960" s="233" t="str">
        <f>VLOOKUP(Table3[[#This Row],[Document ID]],Table1[],10,FALSE)</f>
        <v>Active</v>
      </c>
      <c r="H960" s="42" t="s">
        <v>1095</v>
      </c>
      <c r="I960" s="42" t="s">
        <v>1096</v>
      </c>
      <c r="J960" s="42" t="s">
        <v>1097</v>
      </c>
      <c r="K960" s="28" t="s">
        <v>1162</v>
      </c>
      <c r="L960" s="42" t="s">
        <v>1099</v>
      </c>
      <c r="M960" s="226">
        <v>2030</v>
      </c>
      <c r="N960" s="226" t="s">
        <v>2074</v>
      </c>
      <c r="O960" s="394">
        <v>40</v>
      </c>
      <c r="P960" s="238" t="str">
        <f>VLOOKUP(_xlfn.CONCAT(Table3[[#This Row],[Target area]],Table3[[#This Row],[GHG target?]],Table3[[#This Row],[Conditionality]]),'Drop down'!$E$81:$F$101,2,FALSE)</f>
        <v>T_Transport_O_Unc</v>
      </c>
      <c r="Q960" s="239" t="str">
        <f>VLOOKUP(Table3[[#This Row],[Target type]],Table418[[Value name]:[Value idenifyer]],2,FALSE)</f>
        <v>T_O_INFRA</v>
      </c>
      <c r="R960" s="247"/>
      <c r="S960" s="247" t="s">
        <v>1125</v>
      </c>
      <c r="T960" s="248"/>
      <c r="V960" s="233" t="str">
        <f>VLOOKUP(Table3[[#This Row],[Country Code]],Table29[],3,FALSE)</f>
        <v>Non-Annex I</v>
      </c>
      <c r="W960" s="233" t="str">
        <f>VLOOKUP(Table3[[#This Row],[Country Code]],Table29[],4,FALSE)</f>
        <v>Africa</v>
      </c>
      <c r="X960" s="233" t="str">
        <f>VLOOKUP(Table3[[#This Row],[Country Code]],Table29[],5,FALSE)</f>
        <v>Low-income</v>
      </c>
      <c r="Y960" s="233" t="str">
        <f>VLOOKUP(Table3[[#This Row],[Country Code]],Table29[],6,FALSE)</f>
        <v>no</v>
      </c>
      <c r="Z960" s="233" t="str">
        <f>VLOOKUP(Table3[[#This Row],[Country Code]],Table29[],7,FALSE)</f>
        <v>no</v>
      </c>
      <c r="AA960" s="233" t="str">
        <f>VLOOKUP(Table3[[#This Row],[Country Code]],Table29[],8,FALSE)</f>
        <v>non-OECD</v>
      </c>
      <c r="AB960" s="233" t="str">
        <f>VLOOKUP(Table3[[#This Row],[Country Code]],Table29[],9,FALSE)</f>
        <v>no</v>
      </c>
      <c r="AC960" s="233" t="str">
        <f>VLOOKUP(Table3[[#This Row],[Country Code]],Table29[],10,FALSE)</f>
        <v>no</v>
      </c>
      <c r="AD960" s="235">
        <f>VLOOKUP(Table3[[#This Row],[Country Code]],Table29[],23,FALSE)</f>
        <v>53.370989410157001</v>
      </c>
      <c r="AE960" s="235">
        <f>VLOOKUP(Table3[[#This Row],[Country Code]],Table29[],24,FALSE)</f>
        <v>3.617994034151566</v>
      </c>
      <c r="AF960" s="43"/>
    </row>
    <row r="961" spans="1:32" ht="30" x14ac:dyDescent="0.25">
      <c r="A961" s="360">
        <v>41745</v>
      </c>
      <c r="B961" s="233" t="str">
        <f>VLOOKUP(Table3[[#This Row],[Document ID]],Table1[],2,FALSE)</f>
        <v>AUS</v>
      </c>
      <c r="C961" s="233" t="str">
        <f>VLOOKUP(Table3[[#This Row],[Document ID]],Table1[],3,FALSE)</f>
        <v>Australia</v>
      </c>
      <c r="D961" s="233" t="str">
        <f>VLOOKUP(Table3[[#This Row],[Document ID]],Table1[],5,FALSE)</f>
        <v>LTS</v>
      </c>
      <c r="E961" s="233" t="str">
        <f>VLOOKUP(Table3[[#This Row],[Document ID]],Table1[],7,FALSE)</f>
        <v>LTS</v>
      </c>
      <c r="F961" s="246" t="str">
        <f>VLOOKUP(Table3[[#This Row],[Document ID]],Table1[],8,FALSE)</f>
        <v>LTS 1.1</v>
      </c>
      <c r="G961" s="233" t="str">
        <f>VLOOKUP(Table3[[#This Row],[Document ID]],Table1[],10,FALSE)</f>
        <v>Active</v>
      </c>
      <c r="H961" s="216" t="s">
        <v>1089</v>
      </c>
      <c r="I961" s="216" t="s">
        <v>1089</v>
      </c>
      <c r="J961" s="43" t="s">
        <v>1090</v>
      </c>
      <c r="K961" s="28" t="s">
        <v>1153</v>
      </c>
      <c r="L961" s="42" t="s">
        <v>1099</v>
      </c>
      <c r="M961" s="226">
        <v>2050</v>
      </c>
      <c r="N961" s="226" t="s">
        <v>2075</v>
      </c>
      <c r="O961" s="260">
        <v>5</v>
      </c>
      <c r="P961" s="238" t="str">
        <f>VLOOKUP(_xlfn.CONCAT(Table3[[#This Row],[Target area]],Table3[[#This Row],[GHG target?]],Table3[[#This Row],[Conditionality]]),'Drop down'!$E$81:$F$101,2,FALSE)</f>
        <v>T_Economy_Unc</v>
      </c>
      <c r="Q961" s="239" t="str">
        <f>VLOOKUP(Table3[[#This Row],[Target type]],Table418[[Value name]:[Value idenifyer]],2,FALSE)</f>
        <v>T_BYE</v>
      </c>
      <c r="R961" s="247"/>
      <c r="S961" s="247"/>
      <c r="T961" s="248"/>
      <c r="V961" s="233" t="str">
        <f>VLOOKUP(Table3[[#This Row],[Country Code]],Table29[],3,FALSE)</f>
        <v>Annex I</v>
      </c>
      <c r="W961" s="233" t="str">
        <f>VLOOKUP(Table3[[#This Row],[Country Code]],Table29[],4,FALSE)</f>
        <v>Oceania</v>
      </c>
      <c r="X961" s="233" t="str">
        <f>VLOOKUP(Table3[[#This Row],[Country Code]],Table29[],5,FALSE)</f>
        <v>High-income</v>
      </c>
      <c r="Y961" s="233" t="str">
        <f>VLOOKUP(Table3[[#This Row],[Country Code]],Table29[],6,FALSE)</f>
        <v>G20</v>
      </c>
      <c r="Z961" s="233" t="str">
        <f>VLOOKUP(Table3[[#This Row],[Country Code]],Table29[],7,FALSE)</f>
        <v>no</v>
      </c>
      <c r="AA961" s="233" t="str">
        <f>VLOOKUP(Table3[[#This Row],[Country Code]],Table29[],8,FALSE)</f>
        <v>OECD</v>
      </c>
      <c r="AB961" s="233" t="str">
        <f>VLOOKUP(Table3[[#This Row],[Country Code]],Table29[],9,FALSE)</f>
        <v>no</v>
      </c>
      <c r="AC961" s="233" t="str">
        <f>VLOOKUP(Table3[[#This Row],[Country Code]],Table29[],10,FALSE)</f>
        <v>no</v>
      </c>
      <c r="AD961" s="235">
        <f>VLOOKUP(Table3[[#This Row],[Country Code]],Table29[],23,FALSE)</f>
        <v>571.83984854670996</v>
      </c>
      <c r="AE961" s="235">
        <f>VLOOKUP(Table3[[#This Row],[Country Code]],Table29[],24,FALSE)</f>
        <v>97.492958559878787</v>
      </c>
      <c r="AF961" s="42"/>
    </row>
    <row r="962" spans="1:32" x14ac:dyDescent="0.25">
      <c r="A962" s="360">
        <v>29235</v>
      </c>
      <c r="B962" s="233" t="str">
        <f>VLOOKUP(Table3[[#This Row],[Document ID]],Table1[],2,FALSE)</f>
        <v>UGA</v>
      </c>
      <c r="C962" s="233" t="str">
        <f>VLOOKUP(Table3[[#This Row],[Document ID]],Table1[],3,FALSE)</f>
        <v>Uganda</v>
      </c>
      <c r="D962" s="233" t="str">
        <f>VLOOKUP(Table3[[#This Row],[Document ID]],Table1[],5,FALSE)</f>
        <v>NDC</v>
      </c>
      <c r="E962" s="233" t="str">
        <f>VLOOKUP(Table3[[#This Row],[Document ID]],Table1[],7,FALSE)</f>
        <v>First NDC updated</v>
      </c>
      <c r="F962" s="250" t="str">
        <f>VLOOKUP(Table3[[#This Row],[Document ID]],Table1[],8,FALSE)</f>
        <v>NDC 1.2</v>
      </c>
      <c r="G962" s="233" t="str">
        <f>VLOOKUP(Table3[[#This Row],[Document ID]],Table1[],10,FALSE)</f>
        <v>Active</v>
      </c>
      <c r="H962" s="42" t="s">
        <v>1095</v>
      </c>
      <c r="I962" s="42" t="s">
        <v>1096</v>
      </c>
      <c r="J962" s="42" t="s">
        <v>1097</v>
      </c>
      <c r="K962" s="28" t="s">
        <v>1162</v>
      </c>
      <c r="L962" s="42" t="s">
        <v>1099</v>
      </c>
      <c r="M962" s="227">
        <v>2030</v>
      </c>
      <c r="N962" s="227" t="s">
        <v>2076</v>
      </c>
      <c r="O962" s="395">
        <v>40</v>
      </c>
      <c r="P962" s="238" t="str">
        <f>VLOOKUP(_xlfn.CONCAT(Table3[[#This Row],[Target area]],Table3[[#This Row],[GHG target?]],Table3[[#This Row],[Conditionality]]),'Drop down'!$E$81:$F$101,2,FALSE)</f>
        <v>T_Transport_O_Unc</v>
      </c>
      <c r="Q962" s="239" t="str">
        <f>VLOOKUP(Table3[[#This Row],[Target type]],Table418[[Value name]:[Value idenifyer]],2,FALSE)</f>
        <v>T_O_INFRA</v>
      </c>
      <c r="R962" s="250"/>
      <c r="S962" s="250" t="s">
        <v>1125</v>
      </c>
      <c r="T962" s="251"/>
      <c r="V962" s="233" t="str">
        <f>VLOOKUP(Table3[[#This Row],[Country Code]],Table29[],3,FALSE)</f>
        <v>Non-Annex I</v>
      </c>
      <c r="W962" s="233" t="str">
        <f>VLOOKUP(Table3[[#This Row],[Country Code]],Table29[],4,FALSE)</f>
        <v>Africa</v>
      </c>
      <c r="X962" s="233" t="str">
        <f>VLOOKUP(Table3[[#This Row],[Country Code]],Table29[],5,FALSE)</f>
        <v>Low-income</v>
      </c>
      <c r="Y962" s="233" t="str">
        <f>VLOOKUP(Table3[[#This Row],[Country Code]],Table29[],6,FALSE)</f>
        <v>no</v>
      </c>
      <c r="Z962" s="233" t="str">
        <f>VLOOKUP(Table3[[#This Row],[Country Code]],Table29[],7,FALSE)</f>
        <v>no</v>
      </c>
      <c r="AA962" s="233" t="str">
        <f>VLOOKUP(Table3[[#This Row],[Country Code]],Table29[],8,FALSE)</f>
        <v>non-OECD</v>
      </c>
      <c r="AB962" s="233" t="str">
        <f>VLOOKUP(Table3[[#This Row],[Country Code]],Table29[],9,FALSE)</f>
        <v>no</v>
      </c>
      <c r="AC962" s="233" t="str">
        <f>VLOOKUP(Table3[[#This Row],[Country Code]],Table29[],10,FALSE)</f>
        <v>no</v>
      </c>
      <c r="AD962" s="235">
        <f>VLOOKUP(Table3[[#This Row],[Country Code]],Table29[],23,FALSE)</f>
        <v>53.370989410157001</v>
      </c>
      <c r="AE962" s="235">
        <f>VLOOKUP(Table3[[#This Row],[Country Code]],Table29[],24,FALSE)</f>
        <v>3.617994034151566</v>
      </c>
      <c r="AF962" s="43"/>
    </row>
    <row r="963" spans="1:32" ht="90" x14ac:dyDescent="0.25">
      <c r="A963" s="360">
        <v>41747</v>
      </c>
      <c r="B963" s="233" t="str">
        <f>VLOOKUP(Table3[[#This Row],[Document ID]],Table1[],2,FALSE)</f>
        <v>ARM</v>
      </c>
      <c r="C963" s="233" t="str">
        <f>VLOOKUP(Table3[[#This Row],[Document ID]],Table1[],3,FALSE)</f>
        <v>Armenia</v>
      </c>
      <c r="D963" s="233" t="str">
        <f>VLOOKUP(Table3[[#This Row],[Document ID]],Table1[],5,FALSE)</f>
        <v>LTS</v>
      </c>
      <c r="E963" s="233" t="str">
        <f>VLOOKUP(Table3[[#This Row],[Document ID]],Table1[],7,FALSE)</f>
        <v>LTS</v>
      </c>
      <c r="F963" s="249" t="str">
        <f>VLOOKUP(Table3[[#This Row],[Document ID]],Table1[],8,FALSE)</f>
        <v>LTS 1.0</v>
      </c>
      <c r="G963" s="233" t="str">
        <f>VLOOKUP(Table3[[#This Row],[Document ID]],Table1[],10,FALSE)</f>
        <v>Active</v>
      </c>
      <c r="H963" s="216" t="s">
        <v>1089</v>
      </c>
      <c r="I963" s="216" t="s">
        <v>1089</v>
      </c>
      <c r="J963" s="43" t="s">
        <v>1090</v>
      </c>
      <c r="K963" s="28" t="s">
        <v>1121</v>
      </c>
      <c r="L963" s="42" t="s">
        <v>1099</v>
      </c>
      <c r="M963" s="227">
        <v>2050</v>
      </c>
      <c r="N963" s="227" t="s">
        <v>2077</v>
      </c>
      <c r="O963" s="261">
        <v>15</v>
      </c>
      <c r="P963" s="238" t="str">
        <f>VLOOKUP(_xlfn.CONCAT(Table3[[#This Row],[Target area]],Table3[[#This Row],[GHG target?]],Table3[[#This Row],[Conditionality]]),'Drop down'!$E$81:$F$101,2,FALSE)</f>
        <v>T_Economy_Unc</v>
      </c>
      <c r="Q963" s="239" t="str">
        <f>VLOOKUP(Table3[[#This Row],[Target type]],Table418[[Value name]:[Value idenifyer]],2,FALSE)</f>
        <v>T_FL</v>
      </c>
      <c r="T963" s="240"/>
      <c r="V963" s="233" t="str">
        <f>VLOOKUP(Table3[[#This Row],[Country Code]],Table29[],3,FALSE)</f>
        <v>Non-Annex I</v>
      </c>
      <c r="W963" s="233" t="str">
        <f>VLOOKUP(Table3[[#This Row],[Country Code]],Table29[],4,FALSE)</f>
        <v>Asia</v>
      </c>
      <c r="X963" s="233" t="str">
        <f>VLOOKUP(Table3[[#This Row],[Country Code]],Table29[],5,FALSE)</f>
        <v>Middle-income</v>
      </c>
      <c r="Y963" s="233" t="str">
        <f>VLOOKUP(Table3[[#This Row],[Country Code]],Table29[],6,FALSE)</f>
        <v>no</v>
      </c>
      <c r="Z963" s="233" t="str">
        <f>VLOOKUP(Table3[[#This Row],[Country Code]],Table29[],7,FALSE)</f>
        <v>no</v>
      </c>
      <c r="AA963" s="233" t="str">
        <f>VLOOKUP(Table3[[#This Row],[Country Code]],Table29[],8,FALSE)</f>
        <v>non-OECD</v>
      </c>
      <c r="AB963" s="233" t="str">
        <f>VLOOKUP(Table3[[#This Row],[Country Code]],Table29[],9,FALSE)</f>
        <v>no</v>
      </c>
      <c r="AC963" s="233" t="str">
        <f>VLOOKUP(Table3[[#This Row],[Country Code]],Table29[],10,FALSE)</f>
        <v>no</v>
      </c>
      <c r="AD963" s="235">
        <f>VLOOKUP(Table3[[#This Row],[Country Code]],Table29[],23,FALSE)</f>
        <v>10.836336950669001</v>
      </c>
      <c r="AE963" s="235">
        <f>VLOOKUP(Table3[[#This Row],[Country Code]],Table29[],24,FALSE)</f>
        <v>2.5418316945039221</v>
      </c>
      <c r="AF963" s="42"/>
    </row>
    <row r="964" spans="1:32" x14ac:dyDescent="0.25">
      <c r="A964" s="360">
        <v>29235</v>
      </c>
      <c r="B964" s="233" t="str">
        <f>VLOOKUP(Table3[[#This Row],[Document ID]],Table1[],2,FALSE)</f>
        <v>UGA</v>
      </c>
      <c r="C964" s="233" t="str">
        <f>VLOOKUP(Table3[[#This Row],[Document ID]],Table1[],3,FALSE)</f>
        <v>Uganda</v>
      </c>
      <c r="D964" s="233" t="str">
        <f>VLOOKUP(Table3[[#This Row],[Document ID]],Table1[],5,FALSE)</f>
        <v>NDC</v>
      </c>
      <c r="E964" s="233" t="str">
        <f>VLOOKUP(Table3[[#This Row],[Document ID]],Table1[],7,FALSE)</f>
        <v>First NDC updated</v>
      </c>
      <c r="F964" s="247" t="str">
        <f>VLOOKUP(Table3[[#This Row],[Document ID]],Table1[],8,FALSE)</f>
        <v>NDC 1.2</v>
      </c>
      <c r="G964" s="233" t="str">
        <f>VLOOKUP(Table3[[#This Row],[Document ID]],Table1[],10,FALSE)</f>
        <v>Active</v>
      </c>
      <c r="H964" s="42" t="s">
        <v>1095</v>
      </c>
      <c r="I964" s="42" t="s">
        <v>1096</v>
      </c>
      <c r="J964" s="42" t="s">
        <v>1097</v>
      </c>
      <c r="K964" s="28" t="s">
        <v>1175</v>
      </c>
      <c r="L964" s="42" t="s">
        <v>1099</v>
      </c>
      <c r="M964" s="226">
        <v>2050</v>
      </c>
      <c r="N964" s="226" t="s">
        <v>2078</v>
      </c>
      <c r="O964" s="394">
        <v>40</v>
      </c>
      <c r="P964" s="238" t="str">
        <f>VLOOKUP(_xlfn.CONCAT(Table3[[#This Row],[Target area]],Table3[[#This Row],[GHG target?]],Table3[[#This Row],[Conditionality]]),'Drop down'!$E$81:$F$101,2,FALSE)</f>
        <v>T_Transport_O_Unc</v>
      </c>
      <c r="Q964" s="239" t="str">
        <f>VLOOKUP(Table3[[#This Row],[Target type]],Table418[[Value name]:[Value idenifyer]],2,FALSE)</f>
        <v>T_O_AVOID</v>
      </c>
      <c r="R964" s="247"/>
      <c r="S964" s="247" t="s">
        <v>1125</v>
      </c>
      <c r="T964" s="240"/>
      <c r="V964" s="233" t="str">
        <f>VLOOKUP(Table3[[#This Row],[Country Code]],Table29[],3,FALSE)</f>
        <v>Non-Annex I</v>
      </c>
      <c r="W964" s="233" t="str">
        <f>VLOOKUP(Table3[[#This Row],[Country Code]],Table29[],4,FALSE)</f>
        <v>Africa</v>
      </c>
      <c r="X964" s="233" t="str">
        <f>VLOOKUP(Table3[[#This Row],[Country Code]],Table29[],5,FALSE)</f>
        <v>Low-income</v>
      </c>
      <c r="Y964" s="233" t="str">
        <f>VLOOKUP(Table3[[#This Row],[Country Code]],Table29[],6,FALSE)</f>
        <v>no</v>
      </c>
      <c r="Z964" s="233" t="str">
        <f>VLOOKUP(Table3[[#This Row],[Country Code]],Table29[],7,FALSE)</f>
        <v>no</v>
      </c>
      <c r="AA964" s="233" t="str">
        <f>VLOOKUP(Table3[[#This Row],[Country Code]],Table29[],8,FALSE)</f>
        <v>non-OECD</v>
      </c>
      <c r="AB964" s="233" t="str">
        <f>VLOOKUP(Table3[[#This Row],[Country Code]],Table29[],9,FALSE)</f>
        <v>no</v>
      </c>
      <c r="AC964" s="233" t="str">
        <f>VLOOKUP(Table3[[#This Row],[Country Code]],Table29[],10,FALSE)</f>
        <v>no</v>
      </c>
      <c r="AD964" s="235">
        <f>VLOOKUP(Table3[[#This Row],[Country Code]],Table29[],23,FALSE)</f>
        <v>53.370989410157001</v>
      </c>
      <c r="AE964" s="235">
        <f>VLOOKUP(Table3[[#This Row],[Country Code]],Table29[],24,FALSE)</f>
        <v>3.617994034151566</v>
      </c>
      <c r="AF964" s="43"/>
    </row>
    <row r="965" spans="1:32" x14ac:dyDescent="0.25">
      <c r="A965" s="360">
        <v>29235</v>
      </c>
      <c r="B965" s="233" t="str">
        <f>VLOOKUP(Table3[[#This Row],[Document ID]],Table1[],2,FALSE)</f>
        <v>UGA</v>
      </c>
      <c r="C965" s="233" t="str">
        <f>VLOOKUP(Table3[[#This Row],[Document ID]],Table1[],3,FALSE)</f>
        <v>Uganda</v>
      </c>
      <c r="D965" s="233" t="str">
        <f>VLOOKUP(Table3[[#This Row],[Document ID]],Table1[],5,FALSE)</f>
        <v>NDC</v>
      </c>
      <c r="E965" s="233" t="str">
        <f>VLOOKUP(Table3[[#This Row],[Document ID]],Table1[],7,FALSE)</f>
        <v>First NDC updated</v>
      </c>
      <c r="F965" s="247" t="str">
        <f>VLOOKUP(Table3[[#This Row],[Document ID]],Table1[],8,FALSE)</f>
        <v>NDC 1.2</v>
      </c>
      <c r="G965" s="233" t="str">
        <f>VLOOKUP(Table3[[#This Row],[Document ID]],Table1[],10,FALSE)</f>
        <v>Active</v>
      </c>
      <c r="H965" s="42" t="s">
        <v>1095</v>
      </c>
      <c r="I965" s="42" t="s">
        <v>1096</v>
      </c>
      <c r="J965" s="42" t="s">
        <v>1097</v>
      </c>
      <c r="K965" s="28" t="s">
        <v>1175</v>
      </c>
      <c r="L965" s="42" t="s">
        <v>1099</v>
      </c>
      <c r="M965" s="226"/>
      <c r="N965" s="226" t="s">
        <v>2079</v>
      </c>
      <c r="O965" s="394">
        <v>40</v>
      </c>
      <c r="P965" s="238" t="str">
        <f>VLOOKUP(_xlfn.CONCAT(Table3[[#This Row],[Target area]],Table3[[#This Row],[GHG target?]],Table3[[#This Row],[Conditionality]]),'Drop down'!$E$81:$F$101,2,FALSE)</f>
        <v>T_Transport_O_Unc</v>
      </c>
      <c r="Q965" s="239" t="str">
        <f>VLOOKUP(Table3[[#This Row],[Target type]],Table418[[Value name]:[Value idenifyer]],2,FALSE)</f>
        <v>T_O_AVOID</v>
      </c>
      <c r="R965" s="247"/>
      <c r="S965" s="247" t="s">
        <v>1125</v>
      </c>
      <c r="T965" s="240"/>
      <c r="V965" s="233" t="str">
        <f>VLOOKUP(Table3[[#This Row],[Country Code]],Table29[],3,FALSE)</f>
        <v>Non-Annex I</v>
      </c>
      <c r="W965" s="233" t="str">
        <f>VLOOKUP(Table3[[#This Row],[Country Code]],Table29[],4,FALSE)</f>
        <v>Africa</v>
      </c>
      <c r="X965" s="233" t="str">
        <f>VLOOKUP(Table3[[#This Row],[Country Code]],Table29[],5,FALSE)</f>
        <v>Low-income</v>
      </c>
      <c r="Y965" s="233" t="str">
        <f>VLOOKUP(Table3[[#This Row],[Country Code]],Table29[],6,FALSE)</f>
        <v>no</v>
      </c>
      <c r="Z965" s="233" t="str">
        <f>VLOOKUP(Table3[[#This Row],[Country Code]],Table29[],7,FALSE)</f>
        <v>no</v>
      </c>
      <c r="AA965" s="233" t="str">
        <f>VLOOKUP(Table3[[#This Row],[Country Code]],Table29[],8,FALSE)</f>
        <v>non-OECD</v>
      </c>
      <c r="AB965" s="233" t="str">
        <f>VLOOKUP(Table3[[#This Row],[Country Code]],Table29[],9,FALSE)</f>
        <v>no</v>
      </c>
      <c r="AC965" s="233" t="str">
        <f>VLOOKUP(Table3[[#This Row],[Country Code]],Table29[],10,FALSE)</f>
        <v>no</v>
      </c>
      <c r="AD965" s="235">
        <f>VLOOKUP(Table3[[#This Row],[Country Code]],Table29[],23,FALSE)</f>
        <v>53.370989410157001</v>
      </c>
      <c r="AE965" s="235">
        <f>VLOOKUP(Table3[[#This Row],[Country Code]],Table29[],24,FALSE)</f>
        <v>3.617994034151566</v>
      </c>
      <c r="AF965" s="43"/>
    </row>
    <row r="966" spans="1:32" ht="45" x14ac:dyDescent="0.25">
      <c r="A966" s="360">
        <v>29235</v>
      </c>
      <c r="B966" s="233" t="str">
        <f>VLOOKUP(Table3[[#This Row],[Document ID]],Table1[],2,FALSE)</f>
        <v>UGA</v>
      </c>
      <c r="C966" s="233" t="str">
        <f>VLOOKUP(Table3[[#This Row],[Document ID]],Table1[],3,FALSE)</f>
        <v>Uganda</v>
      </c>
      <c r="D966" s="233" t="str">
        <f>VLOOKUP(Table3[[#This Row],[Document ID]],Table1[],5,FALSE)</f>
        <v>NDC</v>
      </c>
      <c r="E966" s="233" t="str">
        <f>VLOOKUP(Table3[[#This Row],[Document ID]],Table1[],7,FALSE)</f>
        <v>First NDC updated</v>
      </c>
      <c r="F966" s="247" t="str">
        <f>VLOOKUP(Table3[[#This Row],[Document ID]],Table1[],8,FALSE)</f>
        <v>NDC 1.2</v>
      </c>
      <c r="G966" s="233" t="str">
        <f>VLOOKUP(Table3[[#This Row],[Document ID]],Table1[],10,FALSE)</f>
        <v>Active</v>
      </c>
      <c r="H966" s="42" t="s">
        <v>1095</v>
      </c>
      <c r="I966" s="42" t="s">
        <v>1096</v>
      </c>
      <c r="J966" s="42" t="s">
        <v>1097</v>
      </c>
      <c r="K966" s="28" t="s">
        <v>1098</v>
      </c>
      <c r="L966" s="42" t="s">
        <v>1099</v>
      </c>
      <c r="M966" s="226">
        <v>2030</v>
      </c>
      <c r="N966" s="226" t="s">
        <v>2080</v>
      </c>
      <c r="O966" s="394">
        <v>40</v>
      </c>
      <c r="P966" s="238" t="str">
        <f>VLOOKUP(_xlfn.CONCAT(Table3[[#This Row],[Target area]],Table3[[#This Row],[GHG target?]],Table3[[#This Row],[Conditionality]]),'Drop down'!$E$81:$F$101,2,FALSE)</f>
        <v>T_Transport_O_Unc</v>
      </c>
      <c r="Q966" s="239" t="str">
        <f>VLOOKUP(Table3[[#This Row],[Target type]],Table418[[Value name]:[Value idenifyer]],2,FALSE)</f>
        <v>T_O_MODE</v>
      </c>
      <c r="R966" s="247"/>
      <c r="S966" s="247" t="s">
        <v>1125</v>
      </c>
      <c r="T966" s="240"/>
      <c r="V966" s="233" t="str">
        <f>VLOOKUP(Table3[[#This Row],[Country Code]],Table29[],3,FALSE)</f>
        <v>Non-Annex I</v>
      </c>
      <c r="W966" s="233" t="str">
        <f>VLOOKUP(Table3[[#This Row],[Country Code]],Table29[],4,FALSE)</f>
        <v>Africa</v>
      </c>
      <c r="X966" s="233" t="str">
        <f>VLOOKUP(Table3[[#This Row],[Country Code]],Table29[],5,FALSE)</f>
        <v>Low-income</v>
      </c>
      <c r="Y966" s="233" t="str">
        <f>VLOOKUP(Table3[[#This Row],[Country Code]],Table29[],6,FALSE)</f>
        <v>no</v>
      </c>
      <c r="Z966" s="233" t="str">
        <f>VLOOKUP(Table3[[#This Row],[Country Code]],Table29[],7,FALSE)</f>
        <v>no</v>
      </c>
      <c r="AA966" s="233" t="str">
        <f>VLOOKUP(Table3[[#This Row],[Country Code]],Table29[],8,FALSE)</f>
        <v>non-OECD</v>
      </c>
      <c r="AB966" s="233" t="str">
        <f>VLOOKUP(Table3[[#This Row],[Country Code]],Table29[],9,FALSE)</f>
        <v>no</v>
      </c>
      <c r="AC966" s="233" t="str">
        <f>VLOOKUP(Table3[[#This Row],[Country Code]],Table29[],10,FALSE)</f>
        <v>no</v>
      </c>
      <c r="AD966" s="235">
        <f>VLOOKUP(Table3[[#This Row],[Country Code]],Table29[],23,FALSE)</f>
        <v>53.370989410157001</v>
      </c>
      <c r="AE966" s="235">
        <f>VLOOKUP(Table3[[#This Row],[Country Code]],Table29[],24,FALSE)</f>
        <v>3.617994034151566</v>
      </c>
      <c r="AF966" s="43"/>
    </row>
    <row r="967" spans="1:32" ht="60" x14ac:dyDescent="0.25">
      <c r="A967" s="360">
        <v>29235</v>
      </c>
      <c r="B967" s="233" t="str">
        <f>VLOOKUP(Table3[[#This Row],[Document ID]],Table1[],2,FALSE)</f>
        <v>UGA</v>
      </c>
      <c r="C967" s="233" t="str">
        <f>VLOOKUP(Table3[[#This Row],[Document ID]],Table1[],3,FALSE)</f>
        <v>Uganda</v>
      </c>
      <c r="D967" s="233" t="str">
        <f>VLOOKUP(Table3[[#This Row],[Document ID]],Table1[],5,FALSE)</f>
        <v>NDC</v>
      </c>
      <c r="E967" s="233" t="str">
        <f>VLOOKUP(Table3[[#This Row],[Document ID]],Table1[],7,FALSE)</f>
        <v>First NDC updated</v>
      </c>
      <c r="F967" s="247" t="str">
        <f>VLOOKUP(Table3[[#This Row],[Document ID]],Table1[],8,FALSE)</f>
        <v>NDC 1.2</v>
      </c>
      <c r="G967" s="233" t="str">
        <f>VLOOKUP(Table3[[#This Row],[Document ID]],Table1[],10,FALSE)</f>
        <v>Active</v>
      </c>
      <c r="H967" s="42" t="s">
        <v>1095</v>
      </c>
      <c r="I967" s="42" t="s">
        <v>1096</v>
      </c>
      <c r="J967" s="42" t="s">
        <v>1097</v>
      </c>
      <c r="K967" s="28" t="s">
        <v>1102</v>
      </c>
      <c r="L967" s="42" t="s">
        <v>1099</v>
      </c>
      <c r="M967" s="226"/>
      <c r="N967" s="226" t="s">
        <v>2081</v>
      </c>
      <c r="O967" s="394">
        <v>40</v>
      </c>
      <c r="P967" s="238" t="str">
        <f>VLOOKUP(_xlfn.CONCAT(Table3[[#This Row],[Target area]],Table3[[#This Row],[GHG target?]],Table3[[#This Row],[Conditionality]]),'Drop down'!$E$81:$F$101,2,FALSE)</f>
        <v>T_Transport_O_Unc</v>
      </c>
      <c r="Q967" s="239" t="str">
        <f>VLOOKUP(Table3[[#This Row],[Target type]],Table418[[Value name]:[Value idenifyer]],2,FALSE)</f>
        <v>T_O_BIO</v>
      </c>
      <c r="R967" s="247"/>
      <c r="S967" s="247" t="s">
        <v>1125</v>
      </c>
      <c r="T967" s="240"/>
      <c r="V967" s="233" t="str">
        <f>VLOOKUP(Table3[[#This Row],[Country Code]],Table29[],3,FALSE)</f>
        <v>Non-Annex I</v>
      </c>
      <c r="W967" s="233" t="str">
        <f>VLOOKUP(Table3[[#This Row],[Country Code]],Table29[],4,FALSE)</f>
        <v>Africa</v>
      </c>
      <c r="X967" s="233" t="str">
        <f>VLOOKUP(Table3[[#This Row],[Country Code]],Table29[],5,FALSE)</f>
        <v>Low-income</v>
      </c>
      <c r="Y967" s="233" t="str">
        <f>VLOOKUP(Table3[[#This Row],[Country Code]],Table29[],6,FALSE)</f>
        <v>no</v>
      </c>
      <c r="Z967" s="233" t="str">
        <f>VLOOKUP(Table3[[#This Row],[Country Code]],Table29[],7,FALSE)</f>
        <v>no</v>
      </c>
      <c r="AA967" s="233" t="str">
        <f>VLOOKUP(Table3[[#This Row],[Country Code]],Table29[],8,FALSE)</f>
        <v>non-OECD</v>
      </c>
      <c r="AB967" s="233" t="str">
        <f>VLOOKUP(Table3[[#This Row],[Country Code]],Table29[],9,FALSE)</f>
        <v>no</v>
      </c>
      <c r="AC967" s="233" t="str">
        <f>VLOOKUP(Table3[[#This Row],[Country Code]],Table29[],10,FALSE)</f>
        <v>no</v>
      </c>
      <c r="AD967" s="235">
        <f>VLOOKUP(Table3[[#This Row],[Country Code]],Table29[],23,FALSE)</f>
        <v>53.370989410157001</v>
      </c>
      <c r="AE967" s="235">
        <f>VLOOKUP(Table3[[#This Row],[Country Code]],Table29[],24,FALSE)</f>
        <v>3.617994034151566</v>
      </c>
      <c r="AF967" s="43"/>
    </row>
    <row r="968" spans="1:32" s="289" customFormat="1" ht="30" x14ac:dyDescent="0.25">
      <c r="A968" s="360">
        <v>29235</v>
      </c>
      <c r="B968" s="233" t="str">
        <f>VLOOKUP(Table3[[#This Row],[Document ID]],Table1[],2,FALSE)</f>
        <v>UGA</v>
      </c>
      <c r="C968" s="233" t="str">
        <f>VLOOKUP(Table3[[#This Row],[Document ID]],Table1[],3,FALSE)</f>
        <v>Uganda</v>
      </c>
      <c r="D968" s="233" t="str">
        <f>VLOOKUP(Table3[[#This Row],[Document ID]],Table1[],5,FALSE)</f>
        <v>NDC</v>
      </c>
      <c r="E968" s="233" t="str">
        <f>VLOOKUP(Table3[[#This Row],[Document ID]],Table1[],7,FALSE)</f>
        <v>First NDC updated</v>
      </c>
      <c r="F968" s="250" t="str">
        <f>VLOOKUP(Table3[[#This Row],[Document ID]],Table1[],8,FALSE)</f>
        <v>NDC 1.2</v>
      </c>
      <c r="G968" s="233" t="str">
        <f>VLOOKUP(Table3[[#This Row],[Document ID]],Table1[],10,FALSE)</f>
        <v>Active</v>
      </c>
      <c r="H968" s="42" t="s">
        <v>1095</v>
      </c>
      <c r="I968" s="42" t="s">
        <v>1096</v>
      </c>
      <c r="J968" s="42" t="s">
        <v>1097</v>
      </c>
      <c r="K968" s="28" t="s">
        <v>1104</v>
      </c>
      <c r="L968" s="42" t="s">
        <v>1099</v>
      </c>
      <c r="M968" s="227">
        <v>2030</v>
      </c>
      <c r="N968" s="227" t="s">
        <v>2082</v>
      </c>
      <c r="O968" s="395">
        <v>40</v>
      </c>
      <c r="P968" s="238" t="str">
        <f>VLOOKUP(_xlfn.CONCAT(Table3[[#This Row],[Target area]],Table3[[#This Row],[GHG target?]],Table3[[#This Row],[Conditionality]]),'Drop down'!$E$81:$F$101,2,FALSE)</f>
        <v>T_Transport_O_Unc</v>
      </c>
      <c r="Q968" s="239" t="str">
        <f>VLOOKUP(Table3[[#This Row],[Target type]],Table418[[Value name]:[Value idenifyer]],2,FALSE)</f>
        <v>T_O_ZERO</v>
      </c>
      <c r="R968" s="250"/>
      <c r="S968" s="250" t="s">
        <v>1125</v>
      </c>
      <c r="T968" s="240"/>
      <c r="U968" s="234"/>
      <c r="V968" s="233" t="str">
        <f>VLOOKUP(Table3[[#This Row],[Country Code]],Table29[],3,FALSE)</f>
        <v>Non-Annex I</v>
      </c>
      <c r="W968" s="233" t="str">
        <f>VLOOKUP(Table3[[#This Row],[Country Code]],Table29[],4,FALSE)</f>
        <v>Africa</v>
      </c>
      <c r="X968" s="233" t="str">
        <f>VLOOKUP(Table3[[#This Row],[Country Code]],Table29[],5,FALSE)</f>
        <v>Low-income</v>
      </c>
      <c r="Y968" s="233" t="str">
        <f>VLOOKUP(Table3[[#This Row],[Country Code]],Table29[],6,FALSE)</f>
        <v>no</v>
      </c>
      <c r="Z968" s="233" t="str">
        <f>VLOOKUP(Table3[[#This Row],[Country Code]],Table29[],7,FALSE)</f>
        <v>no</v>
      </c>
      <c r="AA968" s="233" t="str">
        <f>VLOOKUP(Table3[[#This Row],[Country Code]],Table29[],8,FALSE)</f>
        <v>non-OECD</v>
      </c>
      <c r="AB968" s="233" t="str">
        <f>VLOOKUP(Table3[[#This Row],[Country Code]],Table29[],9,FALSE)</f>
        <v>no</v>
      </c>
      <c r="AC968" s="233" t="str">
        <f>VLOOKUP(Table3[[#This Row],[Country Code]],Table29[],10,FALSE)</f>
        <v>no</v>
      </c>
      <c r="AD968" s="235">
        <f>VLOOKUP(Table3[[#This Row],[Country Code]],Table29[],23,FALSE)</f>
        <v>53.370989410157001</v>
      </c>
      <c r="AE968" s="235">
        <f>VLOOKUP(Table3[[#This Row],[Country Code]],Table29[],24,FALSE)</f>
        <v>3.617994034151566</v>
      </c>
      <c r="AF968" s="43"/>
    </row>
    <row r="969" spans="1:32" ht="30" x14ac:dyDescent="0.25">
      <c r="A969" s="360">
        <v>41742</v>
      </c>
      <c r="B969" s="233" t="str">
        <f>VLOOKUP(Table3[[#This Row],[Document ID]],Table1[],2,FALSE)</f>
        <v>SRB</v>
      </c>
      <c r="C969" s="233" t="str">
        <f>VLOOKUP(Table3[[#This Row],[Document ID]],Table1[],3,FALSE)</f>
        <v>Serbia</v>
      </c>
      <c r="D969" s="233" t="str">
        <f>VLOOKUP(Table3[[#This Row],[Document ID]],Table1[],5,FALSE)</f>
        <v>LTS</v>
      </c>
      <c r="E969" s="233" t="str">
        <f>VLOOKUP(Table3[[#This Row],[Document ID]],Table1[],7,FALSE)</f>
        <v>LTS</v>
      </c>
      <c r="F969" s="249" t="str">
        <f>VLOOKUP(Table3[[#This Row],[Document ID]],Table1[],8,FALSE)</f>
        <v>LTS 1.0</v>
      </c>
      <c r="G969" s="233" t="str">
        <f>VLOOKUP(Table3[[#This Row],[Document ID]],Table1[],10,FALSE)</f>
        <v>Active</v>
      </c>
      <c r="H969" s="216" t="s">
        <v>1089</v>
      </c>
      <c r="I969" s="216" t="s">
        <v>1089</v>
      </c>
      <c r="J969" s="43" t="s">
        <v>1090</v>
      </c>
      <c r="K969" s="28" t="s">
        <v>1153</v>
      </c>
      <c r="L969" s="42" t="s">
        <v>1099</v>
      </c>
      <c r="M969" s="227">
        <v>2050</v>
      </c>
      <c r="N969" s="227" t="s">
        <v>2083</v>
      </c>
      <c r="O969" s="261" t="s">
        <v>2084</v>
      </c>
      <c r="P969" s="238" t="str">
        <f>VLOOKUP(_xlfn.CONCAT(Table3[[#This Row],[Target area]],Table3[[#This Row],[GHG target?]],Table3[[#This Row],[Conditionality]]),'Drop down'!$E$81:$F$101,2,FALSE)</f>
        <v>T_Economy_Unc</v>
      </c>
      <c r="Q969" s="239" t="str">
        <f>VLOOKUP(Table3[[#This Row],[Target type]],Table418[[Value name]:[Value idenifyer]],2,FALSE)</f>
        <v>T_BYE</v>
      </c>
      <c r="S969" s="247" t="s">
        <v>1125</v>
      </c>
      <c r="T969" s="240"/>
      <c r="V969" s="233" t="str">
        <f>VLOOKUP(Table3[[#This Row],[Country Code]],Table29[],3,FALSE)</f>
        <v>Non-Annex I</v>
      </c>
      <c r="W969" s="233" t="str">
        <f>VLOOKUP(Table3[[#This Row],[Country Code]],Table29[],4,FALSE)</f>
        <v>Europe</v>
      </c>
      <c r="X969" s="233" t="str">
        <f>VLOOKUP(Table3[[#This Row],[Country Code]],Table29[],5,FALSE)</f>
        <v>Middle-income</v>
      </c>
      <c r="Y969" s="233" t="str">
        <f>VLOOKUP(Table3[[#This Row],[Country Code]],Table29[],6,FALSE)</f>
        <v>no</v>
      </c>
      <c r="Z969" s="233" t="str">
        <f>VLOOKUP(Table3[[#This Row],[Country Code]],Table29[],7,FALSE)</f>
        <v>no</v>
      </c>
      <c r="AA969" s="233" t="str">
        <f>VLOOKUP(Table3[[#This Row],[Country Code]],Table29[],8,FALSE)</f>
        <v>non-OECD</v>
      </c>
      <c r="AB969" s="233" t="str">
        <f>VLOOKUP(Table3[[#This Row],[Country Code]],Table29[],9,FALSE)</f>
        <v>no</v>
      </c>
      <c r="AC969" s="233" t="str">
        <f>VLOOKUP(Table3[[#This Row],[Country Code]],Table29[],10,FALSE)</f>
        <v>no</v>
      </c>
      <c r="AD969" s="235">
        <f>VLOOKUP(Table3[[#This Row],[Country Code]],Table29[],23,FALSE)</f>
        <v>67.214992478558003</v>
      </c>
      <c r="AE969" s="235">
        <f>VLOOKUP(Table3[[#This Row],[Country Code]],Table29[],24,FALSE)</f>
        <v>10.45024022782124</v>
      </c>
      <c r="AF969" s="42"/>
    </row>
    <row r="970" spans="1:32" ht="60" x14ac:dyDescent="0.25">
      <c r="A970" s="360">
        <v>29235</v>
      </c>
      <c r="B970" s="233" t="str">
        <f>VLOOKUP(Table3[[#This Row],[Document ID]],Table1[],2,FALSE)</f>
        <v>UGA</v>
      </c>
      <c r="C970" s="233" t="str">
        <f>VLOOKUP(Table3[[#This Row],[Document ID]],Table1[],3,FALSE)</f>
        <v>Uganda</v>
      </c>
      <c r="D970" s="233" t="str">
        <f>VLOOKUP(Table3[[#This Row],[Document ID]],Table1[],5,FALSE)</f>
        <v>NDC</v>
      </c>
      <c r="E970" s="233" t="str">
        <f>VLOOKUP(Table3[[#This Row],[Document ID]],Table1[],7,FALSE)</f>
        <v>First NDC updated</v>
      </c>
      <c r="F970" s="250" t="str">
        <f>VLOOKUP(Table3[[#This Row],[Document ID]],Table1[],8,FALSE)</f>
        <v>NDC 1.2</v>
      </c>
      <c r="G970" s="233" t="str">
        <f>VLOOKUP(Table3[[#This Row],[Document ID]],Table1[],10,FALSE)</f>
        <v>Active</v>
      </c>
      <c r="H970" s="42" t="s">
        <v>1095</v>
      </c>
      <c r="I970" s="42" t="s">
        <v>1096</v>
      </c>
      <c r="J970" s="42" t="s">
        <v>1097</v>
      </c>
      <c r="K970" s="28" t="s">
        <v>1137</v>
      </c>
      <c r="L970" s="42" t="s">
        <v>1099</v>
      </c>
      <c r="M970" s="227">
        <v>2030</v>
      </c>
      <c r="N970" s="227" t="s">
        <v>2085</v>
      </c>
      <c r="O970" s="395">
        <v>40</v>
      </c>
      <c r="P970" s="238" t="str">
        <f>VLOOKUP(_xlfn.CONCAT(Table3[[#This Row],[Target area]],Table3[[#This Row],[GHG target?]],Table3[[#This Row],[Conditionality]]),'Drop down'!$E$81:$F$101,2,FALSE)</f>
        <v>T_Transport_O_Unc</v>
      </c>
      <c r="Q970" s="239" t="str">
        <f>VLOOKUP(Table3[[#This Row],[Target type]],Table418[[Value name]:[Value idenifyer]],2,FALSE)</f>
        <v>T_O_EFF</v>
      </c>
      <c r="S970" s="233" t="s">
        <v>1125</v>
      </c>
      <c r="T970" s="240"/>
      <c r="V970" s="233" t="str">
        <f>VLOOKUP(Table3[[#This Row],[Country Code]],Table29[],3,FALSE)</f>
        <v>Non-Annex I</v>
      </c>
      <c r="W970" s="233" t="str">
        <f>VLOOKUP(Table3[[#This Row],[Country Code]],Table29[],4,FALSE)</f>
        <v>Africa</v>
      </c>
      <c r="X970" s="233" t="str">
        <f>VLOOKUP(Table3[[#This Row],[Country Code]],Table29[],5,FALSE)</f>
        <v>Low-income</v>
      </c>
      <c r="Y970" s="233" t="str">
        <f>VLOOKUP(Table3[[#This Row],[Country Code]],Table29[],6,FALSE)</f>
        <v>no</v>
      </c>
      <c r="Z970" s="233" t="str">
        <f>VLOOKUP(Table3[[#This Row],[Country Code]],Table29[],7,FALSE)</f>
        <v>no</v>
      </c>
      <c r="AA970" s="233" t="str">
        <f>VLOOKUP(Table3[[#This Row],[Country Code]],Table29[],8,FALSE)</f>
        <v>non-OECD</v>
      </c>
      <c r="AB970" s="233" t="str">
        <f>VLOOKUP(Table3[[#This Row],[Country Code]],Table29[],9,FALSE)</f>
        <v>no</v>
      </c>
      <c r="AC970" s="233" t="str">
        <f>VLOOKUP(Table3[[#This Row],[Country Code]],Table29[],10,FALSE)</f>
        <v>no</v>
      </c>
      <c r="AD970" s="235">
        <f>VLOOKUP(Table3[[#This Row],[Country Code]],Table29[],23,FALSE)</f>
        <v>53.370989410157001</v>
      </c>
      <c r="AE970" s="235">
        <f>VLOOKUP(Table3[[#This Row],[Country Code]],Table29[],24,FALSE)</f>
        <v>3.617994034151566</v>
      </c>
      <c r="AF970" s="43"/>
    </row>
    <row r="971" spans="1:32" x14ac:dyDescent="0.25">
      <c r="A971" s="360">
        <v>17769</v>
      </c>
      <c r="B971" s="233" t="str">
        <f>VLOOKUP(Table3[[#This Row],[Document ID]],Table1[],2,FALSE)</f>
        <v>UGA</v>
      </c>
      <c r="C971" s="233" t="str">
        <f>VLOOKUP(Table3[[#This Row],[Document ID]],Table1[],3,FALSE)</f>
        <v>Uganda</v>
      </c>
      <c r="D971" s="233" t="str">
        <f>VLOOKUP(Table3[[#This Row],[Document ID]],Table1[],5,FALSE)</f>
        <v>NDC</v>
      </c>
      <c r="E971" s="233" t="str">
        <f>VLOOKUP(Table3[[#This Row],[Document ID]],Table1[],7,FALSE)</f>
        <v>First NDC</v>
      </c>
      <c r="F971" s="247" t="str">
        <f>VLOOKUP(Table3[[#This Row],[Document ID]],Table1[],8,FALSE)</f>
        <v>NDC 1.0</v>
      </c>
      <c r="G971" s="233" t="str">
        <f>VLOOKUP(Table3[[#This Row],[Document ID]],Table1[],10,FALSE)</f>
        <v>Archived</v>
      </c>
      <c r="H971" s="42" t="s">
        <v>1095</v>
      </c>
      <c r="I971" s="42" t="s">
        <v>1096</v>
      </c>
      <c r="J971" s="43" t="s">
        <v>1090</v>
      </c>
      <c r="K971" s="28" t="s">
        <v>1091</v>
      </c>
      <c r="L971" s="43" t="s">
        <v>1092</v>
      </c>
      <c r="M971" s="226" t="s">
        <v>1094</v>
      </c>
      <c r="N971" s="392" t="s">
        <v>2086</v>
      </c>
      <c r="O971" s="260">
        <v>10</v>
      </c>
      <c r="P971" s="238" t="str">
        <f>VLOOKUP(_xlfn.CONCAT(Table3[[#This Row],[Target area]],Table3[[#This Row],[GHG target?]],Table3[[#This Row],[Conditionality]]),'Drop down'!$E$81:$F$101,2,FALSE)</f>
        <v>T_Transport_C</v>
      </c>
      <c r="Q971" s="239" t="str">
        <f>VLOOKUP(Table3[[#This Row],[Target type]],Table418[[Value name]:[Value idenifyer]],2,FALSE)</f>
        <v>T_BAU</v>
      </c>
      <c r="R971" s="233" t="s">
        <v>539</v>
      </c>
      <c r="S971" s="233" t="s">
        <v>1101</v>
      </c>
      <c r="T971" s="240"/>
      <c r="V971" s="233" t="str">
        <f>VLOOKUP(Table3[[#This Row],[Country Code]],Table29[],3,FALSE)</f>
        <v>Non-Annex I</v>
      </c>
      <c r="W971" s="233" t="str">
        <f>VLOOKUP(Table3[[#This Row],[Country Code]],Table29[],4,FALSE)</f>
        <v>Africa</v>
      </c>
      <c r="X971" s="233" t="str">
        <f>VLOOKUP(Table3[[#This Row],[Country Code]],Table29[],5,FALSE)</f>
        <v>Low-income</v>
      </c>
      <c r="Y971" s="233" t="str">
        <f>VLOOKUP(Table3[[#This Row],[Country Code]],Table29[],6,FALSE)</f>
        <v>no</v>
      </c>
      <c r="Z971" s="233" t="str">
        <f>VLOOKUP(Table3[[#This Row],[Country Code]],Table29[],7,FALSE)</f>
        <v>no</v>
      </c>
      <c r="AA971" s="233" t="str">
        <f>VLOOKUP(Table3[[#This Row],[Country Code]],Table29[],8,FALSE)</f>
        <v>non-OECD</v>
      </c>
      <c r="AB971" s="233" t="str">
        <f>VLOOKUP(Table3[[#This Row],[Country Code]],Table29[],9,FALSE)</f>
        <v>no</v>
      </c>
      <c r="AC971" s="233" t="str">
        <f>VLOOKUP(Table3[[#This Row],[Country Code]],Table29[],10,FALSE)</f>
        <v>no</v>
      </c>
      <c r="AD971" s="235">
        <f>VLOOKUP(Table3[[#This Row],[Country Code]],Table29[],23,FALSE)</f>
        <v>53.370989410157001</v>
      </c>
      <c r="AE971" s="235">
        <f>VLOOKUP(Table3[[#This Row],[Country Code]],Table29[],24,FALSE)</f>
        <v>3.617994034151566</v>
      </c>
      <c r="AF971" s="43"/>
    </row>
    <row r="972" spans="1:32" ht="45" x14ac:dyDescent="0.25">
      <c r="A972" s="360">
        <v>26821</v>
      </c>
      <c r="B972" s="233" t="str">
        <f>VLOOKUP(Table3[[#This Row],[Document ID]],Table1[],2,FALSE)</f>
        <v>URY</v>
      </c>
      <c r="C972" s="233" t="str">
        <f>VLOOKUP(Table3[[#This Row],[Document ID]],Table1[],3,FALSE)</f>
        <v>Uruguay</v>
      </c>
      <c r="D972" s="233" t="str">
        <f>VLOOKUP(Table3[[#This Row],[Document ID]],Table1[],5,FALSE)</f>
        <v>LTS</v>
      </c>
      <c r="E972" s="233" t="str">
        <f>VLOOKUP(Table3[[#This Row],[Document ID]],Table1[],7,FALSE)</f>
        <v>LTS</v>
      </c>
      <c r="F972" s="247" t="str">
        <f>VLOOKUP(Table3[[#This Row],[Document ID]],Table1[],8,FALSE)</f>
        <v>LTS 1.0</v>
      </c>
      <c r="G972" s="233" t="str">
        <f>VLOOKUP(Table3[[#This Row],[Document ID]],Table1[],10,FALSE)</f>
        <v>Active</v>
      </c>
      <c r="H972" s="42" t="s">
        <v>1095</v>
      </c>
      <c r="I972" s="42" t="s">
        <v>1096</v>
      </c>
      <c r="J972" s="42" t="s">
        <v>1097</v>
      </c>
      <c r="K972" s="28" t="s">
        <v>1104</v>
      </c>
      <c r="L972" s="42" t="s">
        <v>1099</v>
      </c>
      <c r="M972" s="226">
        <v>2035</v>
      </c>
      <c r="N972" s="390" t="s">
        <v>2087</v>
      </c>
      <c r="O972" s="260">
        <v>48</v>
      </c>
      <c r="P972" s="238" t="str">
        <f>VLOOKUP(_xlfn.CONCAT(Table3[[#This Row],[Target area]],Table3[[#This Row],[GHG target?]],Table3[[#This Row],[Conditionality]]),'Drop down'!$E$81:$F$101,2,FALSE)</f>
        <v>T_Transport_O_Unc</v>
      </c>
      <c r="Q972" s="239" t="str">
        <f>VLOOKUP(Table3[[#This Row],[Target type]],Table418[[Value name]:[Value idenifyer]],2,FALSE)</f>
        <v>T_O_ZERO</v>
      </c>
      <c r="S972" s="233" t="s">
        <v>1101</v>
      </c>
      <c r="U972" s="242" t="s">
        <v>1402</v>
      </c>
      <c r="V972" s="233" t="str">
        <f>VLOOKUP(Table3[[#This Row],[Country Code]],Table29[],3,FALSE)</f>
        <v>Non-Annex I</v>
      </c>
      <c r="W972" s="233" t="str">
        <f>VLOOKUP(Table3[[#This Row],[Country Code]],Table29[],4,FALSE)</f>
        <v>Latin America and the Caribbean</v>
      </c>
      <c r="X972" s="233" t="str">
        <f>VLOOKUP(Table3[[#This Row],[Country Code]],Table29[],5,FALSE)</f>
        <v>High-income</v>
      </c>
      <c r="Y972" s="233" t="str">
        <f>VLOOKUP(Table3[[#This Row],[Country Code]],Table29[],6,FALSE)</f>
        <v>no</v>
      </c>
      <c r="Z972" s="233" t="str">
        <f>VLOOKUP(Table3[[#This Row],[Country Code]],Table29[],7,FALSE)</f>
        <v>no</v>
      </c>
      <c r="AA972" s="233" t="str">
        <f>VLOOKUP(Table3[[#This Row],[Country Code]],Table29[],8,FALSE)</f>
        <v>non-OECD</v>
      </c>
      <c r="AB972" s="233" t="str">
        <f>VLOOKUP(Table3[[#This Row],[Country Code]],Table29[],9,FALSE)</f>
        <v>no</v>
      </c>
      <c r="AC972" s="233" t="str">
        <f>VLOOKUP(Table3[[#This Row],[Country Code]],Table29[],10,FALSE)</f>
        <v>no</v>
      </c>
      <c r="AD972" s="235">
        <f>VLOOKUP(Table3[[#This Row],[Country Code]],Table29[],23,FALSE)</f>
        <v>41.634111747759</v>
      </c>
      <c r="AE972" s="235">
        <f>VLOOKUP(Table3[[#This Row],[Country Code]],Table29[],24,FALSE)</f>
        <v>4.0868158944276578</v>
      </c>
      <c r="AF972" s="43"/>
    </row>
    <row r="973" spans="1:32" ht="30" x14ac:dyDescent="0.25">
      <c r="A973" s="360">
        <v>26821</v>
      </c>
      <c r="B973" s="233" t="str">
        <f>VLOOKUP(Table3[[#This Row],[Document ID]],Table1[],2,FALSE)</f>
        <v>URY</v>
      </c>
      <c r="C973" s="233" t="str">
        <f>VLOOKUP(Table3[[#This Row],[Document ID]],Table1[],3,FALSE)</f>
        <v>Uruguay</v>
      </c>
      <c r="D973" s="233" t="str">
        <f>VLOOKUP(Table3[[#This Row],[Document ID]],Table1[],5,FALSE)</f>
        <v>LTS</v>
      </c>
      <c r="E973" s="233" t="str">
        <f>VLOOKUP(Table3[[#This Row],[Document ID]],Table1[],7,FALSE)</f>
        <v>LTS</v>
      </c>
      <c r="F973" s="250" t="str">
        <f>VLOOKUP(Table3[[#This Row],[Document ID]],Table1[],8,FALSE)</f>
        <v>LTS 1.0</v>
      </c>
      <c r="G973" s="233" t="str">
        <f>VLOOKUP(Table3[[#This Row],[Document ID]],Table1[],10,FALSE)</f>
        <v>Active</v>
      </c>
      <c r="H973" s="42" t="s">
        <v>1095</v>
      </c>
      <c r="I973" s="42" t="s">
        <v>1096</v>
      </c>
      <c r="J973" s="42" t="s">
        <v>1097</v>
      </c>
      <c r="K973" s="28" t="s">
        <v>1104</v>
      </c>
      <c r="L973" s="42" t="s">
        <v>1099</v>
      </c>
      <c r="M973" s="227">
        <v>2040</v>
      </c>
      <c r="N973" s="391" t="s">
        <v>2088</v>
      </c>
      <c r="O973" s="261">
        <v>48</v>
      </c>
      <c r="P973" s="238" t="str">
        <f>VLOOKUP(_xlfn.CONCAT(Table3[[#This Row],[Target area]],Table3[[#This Row],[GHG target?]],Table3[[#This Row],[Conditionality]]),'Drop down'!$E$81:$F$101,2,FALSE)</f>
        <v>T_Transport_O_Unc</v>
      </c>
      <c r="Q973" s="239" t="str">
        <f>VLOOKUP(Table3[[#This Row],[Target type]],Table418[[Value name]:[Value idenifyer]],2,FALSE)</f>
        <v>T_O_ZERO</v>
      </c>
      <c r="S973" s="233" t="s">
        <v>1101</v>
      </c>
      <c r="U973" s="242" t="s">
        <v>2089</v>
      </c>
      <c r="V973" s="233" t="str">
        <f>VLOOKUP(Table3[[#This Row],[Country Code]],Table29[],3,FALSE)</f>
        <v>Non-Annex I</v>
      </c>
      <c r="W973" s="233" t="str">
        <f>VLOOKUP(Table3[[#This Row],[Country Code]],Table29[],4,FALSE)</f>
        <v>Latin America and the Caribbean</v>
      </c>
      <c r="X973" s="233" t="str">
        <f>VLOOKUP(Table3[[#This Row],[Country Code]],Table29[],5,FALSE)</f>
        <v>High-income</v>
      </c>
      <c r="Y973" s="233" t="str">
        <f>VLOOKUP(Table3[[#This Row],[Country Code]],Table29[],6,FALSE)</f>
        <v>no</v>
      </c>
      <c r="Z973" s="233" t="str">
        <f>VLOOKUP(Table3[[#This Row],[Country Code]],Table29[],7,FALSE)</f>
        <v>no</v>
      </c>
      <c r="AA973" s="233" t="str">
        <f>VLOOKUP(Table3[[#This Row],[Country Code]],Table29[],8,FALSE)</f>
        <v>non-OECD</v>
      </c>
      <c r="AB973" s="233" t="str">
        <f>VLOOKUP(Table3[[#This Row],[Country Code]],Table29[],9,FALSE)</f>
        <v>no</v>
      </c>
      <c r="AC973" s="233" t="str">
        <f>VLOOKUP(Table3[[#This Row],[Country Code]],Table29[],10,FALSE)</f>
        <v>no</v>
      </c>
      <c r="AD973" s="235">
        <f>VLOOKUP(Table3[[#This Row],[Country Code]],Table29[],23,FALSE)</f>
        <v>41.634111747759</v>
      </c>
      <c r="AE973" s="235">
        <f>VLOOKUP(Table3[[#This Row],[Country Code]],Table29[],24,FALSE)</f>
        <v>4.0868158944276578</v>
      </c>
      <c r="AF973" s="43"/>
    </row>
    <row r="974" spans="1:32" ht="30" x14ac:dyDescent="0.25">
      <c r="A974" s="360">
        <v>32499</v>
      </c>
      <c r="B974" s="233" t="str">
        <f>VLOOKUP(Table3[[#This Row],[Document ID]],Table1[],2,FALSE)</f>
        <v>GNQ</v>
      </c>
      <c r="C974" s="233" t="str">
        <f>VLOOKUP(Table3[[#This Row],[Document ID]],Table1[],3,FALSE)</f>
        <v>Equatorial Guinea</v>
      </c>
      <c r="D974" s="233" t="str">
        <f>VLOOKUP(Table3[[#This Row],[Document ID]],Table1[],5,FALSE)</f>
        <v>NDC</v>
      </c>
      <c r="E974" s="233" t="str">
        <f>VLOOKUP(Table3[[#This Row],[Document ID]],Table1[],7,FALSE)</f>
        <v>First NDC updated</v>
      </c>
      <c r="F974" s="233" t="str">
        <f>VLOOKUP(Table3[[#This Row],[Document ID]],Table1[],8,FALSE)</f>
        <v>NDC 1.1</v>
      </c>
      <c r="G974" s="233" t="str">
        <f>VLOOKUP(Table3[[#This Row],[Document ID]],Table1[],10,FALSE)</f>
        <v>Active</v>
      </c>
      <c r="H974" s="43" t="s">
        <v>1114</v>
      </c>
      <c r="I974" s="43" t="s">
        <v>1115</v>
      </c>
      <c r="J974" s="42" t="s">
        <v>1090</v>
      </c>
      <c r="K974" s="28" t="s">
        <v>1091</v>
      </c>
      <c r="L974" s="43" t="s">
        <v>1116</v>
      </c>
      <c r="M974" s="209">
        <v>2050</v>
      </c>
      <c r="N974" s="44" t="s">
        <v>2090</v>
      </c>
      <c r="O974" s="258">
        <v>27</v>
      </c>
      <c r="P974" s="238" t="str">
        <f>VLOOKUP(_xlfn.CONCAT(Table3[[#This Row],[Target area]],Table3[[#This Row],[GHG target?]],Table3[[#This Row],[Conditionality]]),'Drop down'!$E$81:$F$101,2,FALSE)</f>
        <v>T_Energy</v>
      </c>
      <c r="Q974" s="239" t="str">
        <f>VLOOKUP(Table3[[#This Row],[Target type]],Table418[[Value name]:[Value idenifyer]],2,FALSE)</f>
        <v>T_BAU</v>
      </c>
      <c r="V974" s="233" t="str">
        <f>VLOOKUP(Table3[[#This Row],[Country Code]],Table29[],3,FALSE)</f>
        <v>Non-Annex I</v>
      </c>
      <c r="W974" s="233" t="str">
        <f>VLOOKUP(Table3[[#This Row],[Country Code]],Table29[],4,FALSE)</f>
        <v>Africa</v>
      </c>
      <c r="X974" s="233" t="str">
        <f>VLOOKUP(Table3[[#This Row],[Country Code]],Table29[],5,FALSE)</f>
        <v>Middle-income</v>
      </c>
      <c r="Y974" s="233" t="str">
        <f>VLOOKUP(Table3[[#This Row],[Country Code]],Table29[],6,FALSE)</f>
        <v>no</v>
      </c>
      <c r="Z974" s="233" t="str">
        <f>VLOOKUP(Table3[[#This Row],[Country Code]],Table29[],7,FALSE)</f>
        <v>no</v>
      </c>
      <c r="AA974" s="233" t="str">
        <f>VLOOKUP(Table3[[#This Row],[Country Code]],Table29[],8,FALSE)</f>
        <v>non-OECD</v>
      </c>
      <c r="AB974" s="233" t="str">
        <f>VLOOKUP(Table3[[#This Row],[Country Code]],Table29[],9,FALSE)</f>
        <v>no</v>
      </c>
      <c r="AC974" s="233" t="str">
        <f>VLOOKUP(Table3[[#This Row],[Country Code]],Table29[],10,FALSE)</f>
        <v>no</v>
      </c>
      <c r="AD974" s="235">
        <f>VLOOKUP(Table3[[#This Row],[Country Code]],Table29[],23,FALSE)</f>
        <v>6.9820980789903002</v>
      </c>
      <c r="AE974" s="235">
        <f>VLOOKUP(Table3[[#This Row],[Country Code]],Table29[],24,FALSE)</f>
        <v>0.54145530040743117</v>
      </c>
      <c r="AF974" s="43"/>
    </row>
    <row r="975" spans="1:32" ht="30" x14ac:dyDescent="0.25">
      <c r="A975" s="360">
        <v>26821</v>
      </c>
      <c r="B975" s="233" t="str">
        <f>VLOOKUP(Table3[[#This Row],[Document ID]],Table1[],2,FALSE)</f>
        <v>URY</v>
      </c>
      <c r="C975" s="233" t="str">
        <f>VLOOKUP(Table3[[#This Row],[Document ID]],Table1[],3,FALSE)</f>
        <v>Uruguay</v>
      </c>
      <c r="D975" s="233" t="str">
        <f>VLOOKUP(Table3[[#This Row],[Document ID]],Table1[],5,FALSE)</f>
        <v>LTS</v>
      </c>
      <c r="E975" s="233" t="str">
        <f>VLOOKUP(Table3[[#This Row],[Document ID]],Table1[],7,FALSE)</f>
        <v>LTS</v>
      </c>
      <c r="F975" s="233" t="str">
        <f>VLOOKUP(Table3[[#This Row],[Document ID]],Table1[],8,FALSE)</f>
        <v>LTS 1.0</v>
      </c>
      <c r="G975" s="233" t="str">
        <f>VLOOKUP(Table3[[#This Row],[Document ID]],Table1[],10,FALSE)</f>
        <v>Active</v>
      </c>
      <c r="H975" s="42" t="s">
        <v>1095</v>
      </c>
      <c r="I975" s="42" t="s">
        <v>1096</v>
      </c>
      <c r="J975" s="42" t="s">
        <v>1097</v>
      </c>
      <c r="K975" s="28" t="s">
        <v>1104</v>
      </c>
      <c r="L975" s="42" t="s">
        <v>1099</v>
      </c>
      <c r="M975" s="209">
        <v>2045</v>
      </c>
      <c r="N975" s="44" t="s">
        <v>2091</v>
      </c>
      <c r="O975" s="258">
        <v>48</v>
      </c>
      <c r="P975" s="238" t="str">
        <f>VLOOKUP(_xlfn.CONCAT(Table3[[#This Row],[Target area]],Table3[[#This Row],[GHG target?]],Table3[[#This Row],[Conditionality]]),'Drop down'!$E$81:$F$101,2,FALSE)</f>
        <v>T_Transport_O_Unc</v>
      </c>
      <c r="Q975" s="239" t="str">
        <f>VLOOKUP(Table3[[#This Row],[Target type]],Table418[[Value name]:[Value idenifyer]],2,FALSE)</f>
        <v>T_O_ZERO</v>
      </c>
      <c r="S975" s="233" t="s">
        <v>1101</v>
      </c>
      <c r="U975" s="242" t="s">
        <v>2092</v>
      </c>
      <c r="V975" s="233" t="str">
        <f>VLOOKUP(Table3[[#This Row],[Country Code]],Table29[],3,FALSE)</f>
        <v>Non-Annex I</v>
      </c>
      <c r="W975" s="233" t="str">
        <f>VLOOKUP(Table3[[#This Row],[Country Code]],Table29[],4,FALSE)</f>
        <v>Latin America and the Caribbean</v>
      </c>
      <c r="X975" s="233" t="str">
        <f>VLOOKUP(Table3[[#This Row],[Country Code]],Table29[],5,FALSE)</f>
        <v>High-income</v>
      </c>
      <c r="Y975" s="233" t="str">
        <f>VLOOKUP(Table3[[#This Row],[Country Code]],Table29[],6,FALSE)</f>
        <v>no</v>
      </c>
      <c r="Z975" s="233" t="str">
        <f>VLOOKUP(Table3[[#This Row],[Country Code]],Table29[],7,FALSE)</f>
        <v>no</v>
      </c>
      <c r="AA975" s="233" t="str">
        <f>VLOOKUP(Table3[[#This Row],[Country Code]],Table29[],8,FALSE)</f>
        <v>non-OECD</v>
      </c>
      <c r="AB975" s="233" t="str">
        <f>VLOOKUP(Table3[[#This Row],[Country Code]],Table29[],9,FALSE)</f>
        <v>no</v>
      </c>
      <c r="AC975" s="233" t="str">
        <f>VLOOKUP(Table3[[#This Row],[Country Code]],Table29[],10,FALSE)</f>
        <v>no</v>
      </c>
      <c r="AD975" s="235">
        <f>VLOOKUP(Table3[[#This Row],[Country Code]],Table29[],23,FALSE)</f>
        <v>41.634111747759</v>
      </c>
      <c r="AE975" s="235">
        <f>VLOOKUP(Table3[[#This Row],[Country Code]],Table29[],24,FALSE)</f>
        <v>4.0868158944276578</v>
      </c>
      <c r="AF975" s="43"/>
    </row>
    <row r="976" spans="1:32" ht="30" x14ac:dyDescent="0.25">
      <c r="A976" s="360">
        <v>32524</v>
      </c>
      <c r="B976" s="233" t="str">
        <f>VLOOKUP(Table3[[#This Row],[Document ID]],Table1[],2,FALSE)</f>
        <v>URY</v>
      </c>
      <c r="C976" s="233" t="str">
        <f>VLOOKUP(Table3[[#This Row],[Document ID]],Table1[],3,FALSE)</f>
        <v>Uruguay</v>
      </c>
      <c r="D976" s="233" t="str">
        <f>VLOOKUP(Table3[[#This Row],[Document ID]],Table1[],5,FALSE)</f>
        <v>NDC</v>
      </c>
      <c r="E976" s="233" t="str">
        <f>VLOOKUP(Table3[[#This Row],[Document ID]],Table1[],7,FALSE)</f>
        <v>Second NDC</v>
      </c>
      <c r="F976" s="233" t="str">
        <f>VLOOKUP(Table3[[#This Row],[Document ID]],Table1[],8,FALSE)</f>
        <v>NDC 2.0</v>
      </c>
      <c r="G976" s="233" t="str">
        <f>VLOOKUP(Table3[[#This Row],[Document ID]],Table1[],10,FALSE)</f>
        <v>Archived</v>
      </c>
      <c r="H976" s="42" t="s">
        <v>1095</v>
      </c>
      <c r="I976" s="42" t="s">
        <v>1096</v>
      </c>
      <c r="J976" s="42" t="s">
        <v>1097</v>
      </c>
      <c r="K976" s="28" t="s">
        <v>1104</v>
      </c>
      <c r="L976" s="43" t="s">
        <v>1092</v>
      </c>
      <c r="M976" s="209">
        <v>2030</v>
      </c>
      <c r="N976" s="43" t="s">
        <v>2093</v>
      </c>
      <c r="O976" s="258">
        <v>21</v>
      </c>
      <c r="P976" s="238" t="str">
        <f>VLOOKUP(_xlfn.CONCAT(Table3[[#This Row],[Target area]],Table3[[#This Row],[GHG target?]],Table3[[#This Row],[Conditionality]]),'Drop down'!$E$81:$F$101,2,FALSE)</f>
        <v>T_Transport_O_C</v>
      </c>
      <c r="Q976" s="239" t="str">
        <f>VLOOKUP(Table3[[#This Row],[Target type]],Table418[[Value name]:[Value idenifyer]],2,FALSE)</f>
        <v>T_O_ZERO</v>
      </c>
      <c r="S976" s="233" t="s">
        <v>1101</v>
      </c>
      <c r="U976" s="242" t="s">
        <v>1402</v>
      </c>
      <c r="V976" s="233" t="str">
        <f>VLOOKUP(Table3[[#This Row],[Country Code]],Table29[],3,FALSE)</f>
        <v>Non-Annex I</v>
      </c>
      <c r="W976" s="233" t="str">
        <f>VLOOKUP(Table3[[#This Row],[Country Code]],Table29[],4,FALSE)</f>
        <v>Latin America and the Caribbean</v>
      </c>
      <c r="X976" s="233" t="str">
        <f>VLOOKUP(Table3[[#This Row],[Country Code]],Table29[],5,FALSE)</f>
        <v>High-income</v>
      </c>
      <c r="Y976" s="233" t="str">
        <f>VLOOKUP(Table3[[#This Row],[Country Code]],Table29[],6,FALSE)</f>
        <v>no</v>
      </c>
      <c r="Z976" s="233" t="str">
        <f>VLOOKUP(Table3[[#This Row],[Country Code]],Table29[],7,FALSE)</f>
        <v>no</v>
      </c>
      <c r="AA976" s="233" t="str">
        <f>VLOOKUP(Table3[[#This Row],[Country Code]],Table29[],8,FALSE)</f>
        <v>non-OECD</v>
      </c>
      <c r="AB976" s="233" t="str">
        <f>VLOOKUP(Table3[[#This Row],[Country Code]],Table29[],9,FALSE)</f>
        <v>no</v>
      </c>
      <c r="AC976" s="233" t="str">
        <f>VLOOKUP(Table3[[#This Row],[Country Code]],Table29[],10,FALSE)</f>
        <v>no</v>
      </c>
      <c r="AD976" s="235">
        <f>VLOOKUP(Table3[[#This Row],[Country Code]],Table29[],23,FALSE)</f>
        <v>41.634111747759</v>
      </c>
      <c r="AE976" s="235">
        <f>VLOOKUP(Table3[[#This Row],[Country Code]],Table29[],24,FALSE)</f>
        <v>4.0868158944276578</v>
      </c>
      <c r="AF976" s="43"/>
    </row>
    <row r="977" spans="1:32" ht="30" x14ac:dyDescent="0.25">
      <c r="A977" s="360">
        <v>32524</v>
      </c>
      <c r="B977" s="233" t="str">
        <f>VLOOKUP(Table3[[#This Row],[Document ID]],Table1[],2,FALSE)</f>
        <v>URY</v>
      </c>
      <c r="C977" s="233" t="str">
        <f>VLOOKUP(Table3[[#This Row],[Document ID]],Table1[],3,FALSE)</f>
        <v>Uruguay</v>
      </c>
      <c r="D977" s="233" t="str">
        <f>VLOOKUP(Table3[[#This Row],[Document ID]],Table1[],5,FALSE)</f>
        <v>NDC</v>
      </c>
      <c r="E977" s="233" t="str">
        <f>VLOOKUP(Table3[[#This Row],[Document ID]],Table1[],7,FALSE)</f>
        <v>Second NDC</v>
      </c>
      <c r="F977" s="233" t="str">
        <f>VLOOKUP(Table3[[#This Row],[Document ID]],Table1[],8,FALSE)</f>
        <v>NDC 2.0</v>
      </c>
      <c r="G977" s="233" t="str">
        <f>VLOOKUP(Table3[[#This Row],[Document ID]],Table1[],10,FALSE)</f>
        <v>Archived</v>
      </c>
      <c r="H977" s="42" t="s">
        <v>1095</v>
      </c>
      <c r="I977" s="42" t="s">
        <v>1096</v>
      </c>
      <c r="J977" s="42" t="s">
        <v>1097</v>
      </c>
      <c r="K977" s="28" t="s">
        <v>1223</v>
      </c>
      <c r="L977" s="43" t="s">
        <v>1092</v>
      </c>
      <c r="M977" s="209">
        <v>2030</v>
      </c>
      <c r="N977" s="43" t="s">
        <v>2094</v>
      </c>
      <c r="O977" s="258">
        <v>21</v>
      </c>
      <c r="P977" s="238" t="str">
        <f>VLOOKUP(_xlfn.CONCAT(Table3[[#This Row],[Target area]],Table3[[#This Row],[GHG target?]],Table3[[#This Row],[Conditionality]]),'Drop down'!$E$81:$F$101,2,FALSE)</f>
        <v>T_Transport_O_C</v>
      </c>
      <c r="Q977" s="239" t="str">
        <f>VLOOKUP(Table3[[#This Row],[Target type]],Table418[[Value name]:[Value idenifyer]],2,FALSE)</f>
        <v>T_O_REN</v>
      </c>
      <c r="S977" s="233" t="s">
        <v>1101</v>
      </c>
      <c r="U977" s="242" t="s">
        <v>1402</v>
      </c>
      <c r="V977" s="233" t="str">
        <f>VLOOKUP(Table3[[#This Row],[Country Code]],Table29[],3,FALSE)</f>
        <v>Non-Annex I</v>
      </c>
      <c r="W977" s="233" t="str">
        <f>VLOOKUP(Table3[[#This Row],[Country Code]],Table29[],4,FALSE)</f>
        <v>Latin America and the Caribbean</v>
      </c>
      <c r="X977" s="233" t="str">
        <f>VLOOKUP(Table3[[#This Row],[Country Code]],Table29[],5,FALSE)</f>
        <v>High-income</v>
      </c>
      <c r="Y977" s="233" t="str">
        <f>VLOOKUP(Table3[[#This Row],[Country Code]],Table29[],6,FALSE)</f>
        <v>no</v>
      </c>
      <c r="Z977" s="233" t="str">
        <f>VLOOKUP(Table3[[#This Row],[Country Code]],Table29[],7,FALSE)</f>
        <v>no</v>
      </c>
      <c r="AA977" s="233" t="str">
        <f>VLOOKUP(Table3[[#This Row],[Country Code]],Table29[],8,FALSE)</f>
        <v>non-OECD</v>
      </c>
      <c r="AB977" s="233" t="str">
        <f>VLOOKUP(Table3[[#This Row],[Country Code]],Table29[],9,FALSE)</f>
        <v>no</v>
      </c>
      <c r="AC977" s="233" t="str">
        <f>VLOOKUP(Table3[[#This Row],[Country Code]],Table29[],10,FALSE)</f>
        <v>no</v>
      </c>
      <c r="AD977" s="235">
        <f>VLOOKUP(Table3[[#This Row],[Country Code]],Table29[],23,FALSE)</f>
        <v>41.634111747759</v>
      </c>
      <c r="AE977" s="235">
        <f>VLOOKUP(Table3[[#This Row],[Country Code]],Table29[],24,FALSE)</f>
        <v>4.0868158944276578</v>
      </c>
      <c r="AF977" s="43"/>
    </row>
    <row r="978" spans="1:32" ht="30" x14ac:dyDescent="0.25">
      <c r="A978" s="360">
        <v>41748</v>
      </c>
      <c r="B978" s="233" t="str">
        <f>VLOOKUP(Table3[[#This Row],[Document ID]],Table1[],2,FALSE)</f>
        <v>NGA</v>
      </c>
      <c r="C978" s="233" t="str">
        <f>VLOOKUP(Table3[[#This Row],[Document ID]],Table1[],3,FALSE)</f>
        <v>Nigeria</v>
      </c>
      <c r="D978" s="233" t="str">
        <f>VLOOKUP(Table3[[#This Row],[Document ID]],Table1[],5,FALSE)</f>
        <v>LTS</v>
      </c>
      <c r="E978" s="233" t="str">
        <f>VLOOKUP(Table3[[#This Row],[Document ID]],Table1[],7,FALSE)</f>
        <v>LTS</v>
      </c>
      <c r="F978" s="233" t="str">
        <f>VLOOKUP(Table3[[#This Row],[Document ID]],Table1[],8,FALSE)</f>
        <v>LTS 2.0</v>
      </c>
      <c r="G978" s="233" t="str">
        <f>VLOOKUP(Table3[[#This Row],[Document ID]],Table1[],10,FALSE)</f>
        <v>Active</v>
      </c>
      <c r="H978" s="216" t="s">
        <v>1089</v>
      </c>
      <c r="I978" s="216" t="s">
        <v>1089</v>
      </c>
      <c r="J978" s="43" t="s">
        <v>1090</v>
      </c>
      <c r="K978" s="28" t="s">
        <v>1121</v>
      </c>
      <c r="L978" s="216" t="s">
        <v>1092</v>
      </c>
      <c r="M978" s="209">
        <v>2030</v>
      </c>
      <c r="N978" s="44" t="s">
        <v>2095</v>
      </c>
      <c r="O978" s="258">
        <v>18</v>
      </c>
      <c r="P978" s="238" t="str">
        <f>VLOOKUP(_xlfn.CONCAT(Table3[[#This Row],[Target area]],Table3[[#This Row],[GHG target?]],Table3[[#This Row],[Conditionality]]),'Drop down'!$E$81:$F$101,2,FALSE)</f>
        <v>T_Economy_C</v>
      </c>
      <c r="Q978" s="239" t="str">
        <f>VLOOKUP(Table3[[#This Row],[Target type]],Table418[[Value name]:[Value idenifyer]],2,FALSE)</f>
        <v>T_FL</v>
      </c>
      <c r="T978" s="234" t="s">
        <v>1113</v>
      </c>
      <c r="V978" s="233" t="str">
        <f>VLOOKUP(Table3[[#This Row],[Country Code]],Table29[],3,FALSE)</f>
        <v>Non-Annex I</v>
      </c>
      <c r="W978" s="233" t="str">
        <f>VLOOKUP(Table3[[#This Row],[Country Code]],Table29[],4,FALSE)</f>
        <v>Africa</v>
      </c>
      <c r="X978" s="233" t="str">
        <f>VLOOKUP(Table3[[#This Row],[Country Code]],Table29[],5,FALSE)</f>
        <v>Middle-income</v>
      </c>
      <c r="Y978" s="233" t="str">
        <f>VLOOKUP(Table3[[#This Row],[Country Code]],Table29[],6,FALSE)</f>
        <v>no</v>
      </c>
      <c r="Z978" s="233" t="str">
        <f>VLOOKUP(Table3[[#This Row],[Country Code]],Table29[],7,FALSE)</f>
        <v>no</v>
      </c>
      <c r="AA978" s="233" t="str">
        <f>VLOOKUP(Table3[[#This Row],[Country Code]],Table29[],8,FALSE)</f>
        <v>non-OECD</v>
      </c>
      <c r="AB978" s="233" t="str">
        <f>VLOOKUP(Table3[[#This Row],[Country Code]],Table29[],9,FALSE)</f>
        <v>no</v>
      </c>
      <c r="AC978" s="233" t="str">
        <f>VLOOKUP(Table3[[#This Row],[Country Code]],Table29[],10,FALSE)</f>
        <v>no</v>
      </c>
      <c r="AD978" s="235">
        <f>VLOOKUP(Table3[[#This Row],[Country Code]],Table29[],23,FALSE)</f>
        <v>385.11288377147002</v>
      </c>
      <c r="AE978" s="235">
        <f>VLOOKUP(Table3[[#This Row],[Country Code]],Table29[],24,FALSE)</f>
        <v>58.971195919965467</v>
      </c>
      <c r="AF978" s="43"/>
    </row>
    <row r="979" spans="1:32" ht="45" x14ac:dyDescent="0.25">
      <c r="A979" s="360">
        <v>41748</v>
      </c>
      <c r="B979" s="233" t="str">
        <f>VLOOKUP(Table3[[#This Row],[Document ID]],Table1[],2,FALSE)</f>
        <v>NGA</v>
      </c>
      <c r="C979" s="233" t="str">
        <f>VLOOKUP(Table3[[#This Row],[Document ID]],Table1[],3,FALSE)</f>
        <v>Nigeria</v>
      </c>
      <c r="D979" s="233" t="str">
        <f>VLOOKUP(Table3[[#This Row],[Document ID]],Table1[],5,FALSE)</f>
        <v>LTS</v>
      </c>
      <c r="E979" s="233" t="str">
        <f>VLOOKUP(Table3[[#This Row],[Document ID]],Table1[],7,FALSE)</f>
        <v>LTS</v>
      </c>
      <c r="F979" s="233" t="str">
        <f>VLOOKUP(Table3[[#This Row],[Document ID]],Table1[],8,FALSE)</f>
        <v>LTS 2.0</v>
      </c>
      <c r="G979" s="233" t="str">
        <f>VLOOKUP(Table3[[#This Row],[Document ID]],Table1[],10,FALSE)</f>
        <v>Active</v>
      </c>
      <c r="H979" s="216" t="s">
        <v>1089</v>
      </c>
      <c r="I979" s="216" t="s">
        <v>1089</v>
      </c>
      <c r="J979" s="43" t="s">
        <v>1090</v>
      </c>
      <c r="K979" s="28" t="s">
        <v>1153</v>
      </c>
      <c r="L979" s="216" t="s">
        <v>1092</v>
      </c>
      <c r="M979" s="209">
        <v>2060</v>
      </c>
      <c r="N979" s="44" t="s">
        <v>2096</v>
      </c>
      <c r="O979" s="258">
        <v>18</v>
      </c>
      <c r="P979" s="238" t="str">
        <f>VLOOKUP(_xlfn.CONCAT(Table3[[#This Row],[Target area]],Table3[[#This Row],[GHG target?]],Table3[[#This Row],[Conditionality]]),'Drop down'!$E$81:$F$101,2,FALSE)</f>
        <v>T_Economy_C</v>
      </c>
      <c r="Q979" s="239" t="str">
        <f>VLOOKUP(Table3[[#This Row],[Target type]],Table418[[Value name]:[Value idenifyer]],2,FALSE)</f>
        <v>T_BYE</v>
      </c>
      <c r="T979" s="234" t="s">
        <v>1113</v>
      </c>
      <c r="V979" s="233" t="str">
        <f>VLOOKUP(Table3[[#This Row],[Country Code]],Table29[],3,FALSE)</f>
        <v>Non-Annex I</v>
      </c>
      <c r="W979" s="233" t="str">
        <f>VLOOKUP(Table3[[#This Row],[Country Code]],Table29[],4,FALSE)</f>
        <v>Africa</v>
      </c>
      <c r="X979" s="233" t="str">
        <f>VLOOKUP(Table3[[#This Row],[Country Code]],Table29[],5,FALSE)</f>
        <v>Middle-income</v>
      </c>
      <c r="Y979" s="233" t="str">
        <f>VLOOKUP(Table3[[#This Row],[Country Code]],Table29[],6,FALSE)</f>
        <v>no</v>
      </c>
      <c r="Z979" s="233" t="str">
        <f>VLOOKUP(Table3[[#This Row],[Country Code]],Table29[],7,FALSE)</f>
        <v>no</v>
      </c>
      <c r="AA979" s="233" t="str">
        <f>VLOOKUP(Table3[[#This Row],[Country Code]],Table29[],8,FALSE)</f>
        <v>non-OECD</v>
      </c>
      <c r="AB979" s="233" t="str">
        <f>VLOOKUP(Table3[[#This Row],[Country Code]],Table29[],9,FALSE)</f>
        <v>no</v>
      </c>
      <c r="AC979" s="233" t="str">
        <f>VLOOKUP(Table3[[#This Row],[Country Code]],Table29[],10,FALSE)</f>
        <v>no</v>
      </c>
      <c r="AD979" s="235">
        <f>VLOOKUP(Table3[[#This Row],[Country Code]],Table29[],23,FALSE)</f>
        <v>385.11288377147002</v>
      </c>
      <c r="AE979" s="235">
        <f>VLOOKUP(Table3[[#This Row],[Country Code]],Table29[],24,FALSE)</f>
        <v>58.971195919965467</v>
      </c>
      <c r="AF979" s="43"/>
    </row>
    <row r="980" spans="1:32" x14ac:dyDescent="0.25">
      <c r="A980" s="360">
        <v>41748</v>
      </c>
      <c r="B980" s="233" t="str">
        <f>VLOOKUP(Table3[[#This Row],[Document ID]],Table1[],2,FALSE)</f>
        <v>NGA</v>
      </c>
      <c r="C980" s="233" t="str">
        <f>VLOOKUP(Table3[[#This Row],[Document ID]],Table1[],3,FALSE)</f>
        <v>Nigeria</v>
      </c>
      <c r="D980" s="233" t="str">
        <f>VLOOKUP(Table3[[#This Row],[Document ID]],Table1[],5,FALSE)</f>
        <v>LTS</v>
      </c>
      <c r="E980" s="233" t="str">
        <f>VLOOKUP(Table3[[#This Row],[Document ID]],Table1[],7,FALSE)</f>
        <v>LTS</v>
      </c>
      <c r="F980" s="233" t="str">
        <f>VLOOKUP(Table3[[#This Row],[Document ID]],Table1[],8,FALSE)</f>
        <v>LTS 2.0</v>
      </c>
      <c r="G980" s="233" t="str">
        <f>VLOOKUP(Table3[[#This Row],[Document ID]],Table1[],10,FALSE)</f>
        <v>Active</v>
      </c>
      <c r="H980" s="43" t="s">
        <v>1114</v>
      </c>
      <c r="I980" s="43" t="s">
        <v>1115</v>
      </c>
      <c r="J980" s="42" t="s">
        <v>1097</v>
      </c>
      <c r="K980" s="28" t="s">
        <v>1118</v>
      </c>
      <c r="L980" s="43" t="s">
        <v>1116</v>
      </c>
      <c r="M980" s="209">
        <v>2060</v>
      </c>
      <c r="N980" s="44" t="s">
        <v>2097</v>
      </c>
      <c r="O980" s="258">
        <v>19</v>
      </c>
      <c r="P980" s="238" t="str">
        <f>VLOOKUP(_xlfn.CONCAT(Table3[[#This Row],[Target area]],Table3[[#This Row],[GHG target?]],Table3[[#This Row],[Conditionality]]),'Drop down'!$E$81:$F$101,2,FALSE)</f>
        <v>T_Energy_O</v>
      </c>
      <c r="Q980" s="239" t="str">
        <f>VLOOKUP(Table3[[#This Row],[Target type]],Table418[[Value name]:[Value idenifyer]],2,FALSE)</f>
        <v>T_E_REN</v>
      </c>
      <c r="T980" s="234" t="s">
        <v>1113</v>
      </c>
      <c r="V980" s="233" t="str">
        <f>VLOOKUP(Table3[[#This Row],[Country Code]],Table29[],3,FALSE)</f>
        <v>Non-Annex I</v>
      </c>
      <c r="W980" s="233" t="str">
        <f>VLOOKUP(Table3[[#This Row],[Country Code]],Table29[],4,FALSE)</f>
        <v>Africa</v>
      </c>
      <c r="X980" s="233" t="str">
        <f>VLOOKUP(Table3[[#This Row],[Country Code]],Table29[],5,FALSE)</f>
        <v>Middle-income</v>
      </c>
      <c r="Y980" s="233" t="str">
        <f>VLOOKUP(Table3[[#This Row],[Country Code]],Table29[],6,FALSE)</f>
        <v>no</v>
      </c>
      <c r="Z980" s="233" t="str">
        <f>VLOOKUP(Table3[[#This Row],[Country Code]],Table29[],7,FALSE)</f>
        <v>no</v>
      </c>
      <c r="AA980" s="233" t="str">
        <f>VLOOKUP(Table3[[#This Row],[Country Code]],Table29[],8,FALSE)</f>
        <v>non-OECD</v>
      </c>
      <c r="AB980" s="233" t="str">
        <f>VLOOKUP(Table3[[#This Row],[Country Code]],Table29[],9,FALSE)</f>
        <v>no</v>
      </c>
      <c r="AC980" s="233" t="str">
        <f>VLOOKUP(Table3[[#This Row],[Country Code]],Table29[],10,FALSE)</f>
        <v>no</v>
      </c>
      <c r="AD980" s="235">
        <f>VLOOKUP(Table3[[#This Row],[Country Code]],Table29[],23,FALSE)</f>
        <v>385.11288377147002</v>
      </c>
      <c r="AE980" s="235">
        <f>VLOOKUP(Table3[[#This Row],[Country Code]],Table29[],24,FALSE)</f>
        <v>58.971195919965467</v>
      </c>
      <c r="AF980" s="43"/>
    </row>
    <row r="981" spans="1:32" x14ac:dyDescent="0.25">
      <c r="A981" s="360">
        <v>32524</v>
      </c>
      <c r="B981" s="233" t="str">
        <f>VLOOKUP(Table3[[#This Row],[Document ID]],Table1[],2,FALSE)</f>
        <v>URY</v>
      </c>
      <c r="C981" s="233" t="str">
        <f>VLOOKUP(Table3[[#This Row],[Document ID]],Table1[],3,FALSE)</f>
        <v>Uruguay</v>
      </c>
      <c r="D981" s="233" t="str">
        <f>VLOOKUP(Table3[[#This Row],[Document ID]],Table1[],5,FALSE)</f>
        <v>NDC</v>
      </c>
      <c r="E981" s="233" t="str">
        <f>VLOOKUP(Table3[[#This Row],[Document ID]],Table1[],7,FALSE)</f>
        <v>Second NDC</v>
      </c>
      <c r="F981" s="233" t="str">
        <f>VLOOKUP(Table3[[#This Row],[Document ID]],Table1[],8,FALSE)</f>
        <v>NDC 2.0</v>
      </c>
      <c r="G981" s="233" t="str">
        <f>VLOOKUP(Table3[[#This Row],[Document ID]],Table1[],10,FALSE)</f>
        <v>Archived</v>
      </c>
      <c r="H981" s="42" t="s">
        <v>1095</v>
      </c>
      <c r="I981" s="42" t="s">
        <v>1096</v>
      </c>
      <c r="J981" s="42" t="s">
        <v>1097</v>
      </c>
      <c r="K981" s="28" t="s">
        <v>1102</v>
      </c>
      <c r="L981" s="216" t="s">
        <v>1092</v>
      </c>
      <c r="M981" s="209">
        <v>2030</v>
      </c>
      <c r="N981" s="43" t="s">
        <v>2098</v>
      </c>
      <c r="O981" s="258">
        <v>21</v>
      </c>
      <c r="P981" s="238" t="str">
        <f>VLOOKUP(_xlfn.CONCAT(Table3[[#This Row],[Target area]],Table3[[#This Row],[GHG target?]],Table3[[#This Row],[Conditionality]]),'Drop down'!$E$81:$F$101,2,FALSE)</f>
        <v>T_Transport_O_C</v>
      </c>
      <c r="Q981" s="239" t="str">
        <f>VLOOKUP(Table3[[#This Row],[Target type]],Table418[[Value name]:[Value idenifyer]],2,FALSE)</f>
        <v>T_O_BIO</v>
      </c>
      <c r="S981" s="233" t="s">
        <v>1101</v>
      </c>
      <c r="U981" s="242" t="s">
        <v>1402</v>
      </c>
      <c r="V981" s="233" t="str">
        <f>VLOOKUP(Table3[[#This Row],[Country Code]],Table29[],3,FALSE)</f>
        <v>Non-Annex I</v>
      </c>
      <c r="W981" s="233" t="str">
        <f>VLOOKUP(Table3[[#This Row],[Country Code]],Table29[],4,FALSE)</f>
        <v>Latin America and the Caribbean</v>
      </c>
      <c r="X981" s="233" t="str">
        <f>VLOOKUP(Table3[[#This Row],[Country Code]],Table29[],5,FALSE)</f>
        <v>High-income</v>
      </c>
      <c r="Y981" s="233" t="str">
        <f>VLOOKUP(Table3[[#This Row],[Country Code]],Table29[],6,FALSE)</f>
        <v>no</v>
      </c>
      <c r="Z981" s="233" t="str">
        <f>VLOOKUP(Table3[[#This Row],[Country Code]],Table29[],7,FALSE)</f>
        <v>no</v>
      </c>
      <c r="AA981" s="233" t="str">
        <f>VLOOKUP(Table3[[#This Row],[Country Code]],Table29[],8,FALSE)</f>
        <v>non-OECD</v>
      </c>
      <c r="AB981" s="233" t="str">
        <f>VLOOKUP(Table3[[#This Row],[Country Code]],Table29[],9,FALSE)</f>
        <v>no</v>
      </c>
      <c r="AC981" s="233" t="str">
        <f>VLOOKUP(Table3[[#This Row],[Country Code]],Table29[],10,FALSE)</f>
        <v>no</v>
      </c>
      <c r="AD981" s="235">
        <f>VLOOKUP(Table3[[#This Row],[Country Code]],Table29[],23,FALSE)</f>
        <v>41.634111747759</v>
      </c>
      <c r="AE981" s="235">
        <f>VLOOKUP(Table3[[#This Row],[Country Code]],Table29[],24,FALSE)</f>
        <v>4.0868158944276578</v>
      </c>
      <c r="AF981" s="43"/>
    </row>
    <row r="982" spans="1:32" ht="30" x14ac:dyDescent="0.25">
      <c r="A982" s="360">
        <v>32524</v>
      </c>
      <c r="B982" s="233" t="str">
        <f>VLOOKUP(Table3[[#This Row],[Document ID]],Table1[],2,FALSE)</f>
        <v>URY</v>
      </c>
      <c r="C982" s="233" t="str">
        <f>VLOOKUP(Table3[[#This Row],[Document ID]],Table1[],3,FALSE)</f>
        <v>Uruguay</v>
      </c>
      <c r="D982" s="233" t="str">
        <f>VLOOKUP(Table3[[#This Row],[Document ID]],Table1[],5,FALSE)</f>
        <v>NDC</v>
      </c>
      <c r="E982" s="233" t="str">
        <f>VLOOKUP(Table3[[#This Row],[Document ID]],Table1[],7,FALSE)</f>
        <v>Second NDC</v>
      </c>
      <c r="F982" s="233" t="str">
        <f>VLOOKUP(Table3[[#This Row],[Document ID]],Table1[],8,FALSE)</f>
        <v>NDC 2.0</v>
      </c>
      <c r="G982" s="233" t="str">
        <f>VLOOKUP(Table3[[#This Row],[Document ID]],Table1[],10,FALSE)</f>
        <v>Archived</v>
      </c>
      <c r="H982" s="42" t="s">
        <v>1095</v>
      </c>
      <c r="I982" s="42" t="s">
        <v>1096</v>
      </c>
      <c r="J982" s="42" t="s">
        <v>1097</v>
      </c>
      <c r="K982" s="28" t="s">
        <v>1104</v>
      </c>
      <c r="L982" s="216" t="s">
        <v>1092</v>
      </c>
      <c r="M982" s="209">
        <v>2030</v>
      </c>
      <c r="N982" s="43" t="s">
        <v>2099</v>
      </c>
      <c r="O982" s="258">
        <v>21</v>
      </c>
      <c r="P982" s="238" t="str">
        <f>VLOOKUP(_xlfn.CONCAT(Table3[[#This Row],[Target area]],Table3[[#This Row],[GHG target?]],Table3[[#This Row],[Conditionality]]),'Drop down'!$E$81:$F$101,2,FALSE)</f>
        <v>T_Transport_O_C</v>
      </c>
      <c r="Q982" s="239" t="str">
        <f>VLOOKUP(Table3[[#This Row],[Target type]],Table418[[Value name]:[Value idenifyer]],2,FALSE)</f>
        <v>T_O_ZERO</v>
      </c>
      <c r="S982" s="233" t="s">
        <v>1101</v>
      </c>
      <c r="U982" s="242" t="s">
        <v>1402</v>
      </c>
      <c r="V982" s="233" t="str">
        <f>VLOOKUP(Table3[[#This Row],[Country Code]],Table29[],3,FALSE)</f>
        <v>Non-Annex I</v>
      </c>
      <c r="W982" s="233" t="str">
        <f>VLOOKUP(Table3[[#This Row],[Country Code]],Table29[],4,FALSE)</f>
        <v>Latin America and the Caribbean</v>
      </c>
      <c r="X982" s="233" t="str">
        <f>VLOOKUP(Table3[[#This Row],[Country Code]],Table29[],5,FALSE)</f>
        <v>High-income</v>
      </c>
      <c r="Y982" s="233" t="str">
        <f>VLOOKUP(Table3[[#This Row],[Country Code]],Table29[],6,FALSE)</f>
        <v>no</v>
      </c>
      <c r="Z982" s="233" t="str">
        <f>VLOOKUP(Table3[[#This Row],[Country Code]],Table29[],7,FALSE)</f>
        <v>no</v>
      </c>
      <c r="AA982" s="233" t="str">
        <f>VLOOKUP(Table3[[#This Row],[Country Code]],Table29[],8,FALSE)</f>
        <v>non-OECD</v>
      </c>
      <c r="AB982" s="233" t="str">
        <f>VLOOKUP(Table3[[#This Row],[Country Code]],Table29[],9,FALSE)</f>
        <v>no</v>
      </c>
      <c r="AC982" s="233" t="str">
        <f>VLOOKUP(Table3[[#This Row],[Country Code]],Table29[],10,FALSE)</f>
        <v>no</v>
      </c>
      <c r="AD982" s="235">
        <f>VLOOKUP(Table3[[#This Row],[Country Code]],Table29[],23,FALSE)</f>
        <v>41.634111747759</v>
      </c>
      <c r="AE982" s="235">
        <f>VLOOKUP(Table3[[#This Row],[Country Code]],Table29[],24,FALSE)</f>
        <v>4.0868158944276578</v>
      </c>
      <c r="AF982" s="43"/>
    </row>
    <row r="983" spans="1:32" ht="30" x14ac:dyDescent="0.25">
      <c r="A983" s="360">
        <v>32524</v>
      </c>
      <c r="B983" s="233" t="str">
        <f>VLOOKUP(Table3[[#This Row],[Document ID]],Table1[],2,FALSE)</f>
        <v>URY</v>
      </c>
      <c r="C983" s="233" t="str">
        <f>VLOOKUP(Table3[[#This Row],[Document ID]],Table1[],3,FALSE)</f>
        <v>Uruguay</v>
      </c>
      <c r="D983" s="233" t="str">
        <f>VLOOKUP(Table3[[#This Row],[Document ID]],Table1[],5,FALSE)</f>
        <v>NDC</v>
      </c>
      <c r="E983" s="233" t="str">
        <f>VLOOKUP(Table3[[#This Row],[Document ID]],Table1[],7,FALSE)</f>
        <v>Second NDC</v>
      </c>
      <c r="F983" s="233" t="str">
        <f>VLOOKUP(Table3[[#This Row],[Document ID]],Table1[],8,FALSE)</f>
        <v>NDC 2.0</v>
      </c>
      <c r="G983" s="233" t="str">
        <f>VLOOKUP(Table3[[#This Row],[Document ID]],Table1[],10,FALSE)</f>
        <v>Archived</v>
      </c>
      <c r="H983" s="42" t="s">
        <v>1095</v>
      </c>
      <c r="I983" s="42" t="s">
        <v>1096</v>
      </c>
      <c r="J983" s="42" t="s">
        <v>1097</v>
      </c>
      <c r="K983" s="28" t="s">
        <v>1104</v>
      </c>
      <c r="L983" s="216" t="s">
        <v>1092</v>
      </c>
      <c r="M983" s="209">
        <v>2030</v>
      </c>
      <c r="N983" s="43" t="s">
        <v>2100</v>
      </c>
      <c r="O983" s="258">
        <v>22</v>
      </c>
      <c r="P983" s="238" t="str">
        <f>VLOOKUP(_xlfn.CONCAT(Table3[[#This Row],[Target area]],Table3[[#This Row],[GHG target?]],Table3[[#This Row],[Conditionality]]),'Drop down'!$E$81:$F$101,2,FALSE)</f>
        <v>T_Transport_O_C</v>
      </c>
      <c r="Q983" s="239" t="str">
        <f>VLOOKUP(Table3[[#This Row],[Target type]],Table418[[Value name]:[Value idenifyer]],2,FALSE)</f>
        <v>T_O_ZERO</v>
      </c>
      <c r="S983" s="233" t="s">
        <v>1101</v>
      </c>
      <c r="U983" s="242" t="s">
        <v>1402</v>
      </c>
      <c r="V983" s="233" t="str">
        <f>VLOOKUP(Table3[[#This Row],[Country Code]],Table29[],3,FALSE)</f>
        <v>Non-Annex I</v>
      </c>
      <c r="W983" s="233" t="str">
        <f>VLOOKUP(Table3[[#This Row],[Country Code]],Table29[],4,FALSE)</f>
        <v>Latin America and the Caribbean</v>
      </c>
      <c r="X983" s="233" t="str">
        <f>VLOOKUP(Table3[[#This Row],[Country Code]],Table29[],5,FALSE)</f>
        <v>High-income</v>
      </c>
      <c r="Y983" s="233" t="str">
        <f>VLOOKUP(Table3[[#This Row],[Country Code]],Table29[],6,FALSE)</f>
        <v>no</v>
      </c>
      <c r="Z983" s="233" t="str">
        <f>VLOOKUP(Table3[[#This Row],[Country Code]],Table29[],7,FALSE)</f>
        <v>no</v>
      </c>
      <c r="AA983" s="233" t="str">
        <f>VLOOKUP(Table3[[#This Row],[Country Code]],Table29[],8,FALSE)</f>
        <v>non-OECD</v>
      </c>
      <c r="AB983" s="233" t="str">
        <f>VLOOKUP(Table3[[#This Row],[Country Code]],Table29[],9,FALSE)</f>
        <v>no</v>
      </c>
      <c r="AC983" s="233" t="str">
        <f>VLOOKUP(Table3[[#This Row],[Country Code]],Table29[],10,FALSE)</f>
        <v>no</v>
      </c>
      <c r="AD983" s="235">
        <f>VLOOKUP(Table3[[#This Row],[Country Code]],Table29[],23,FALSE)</f>
        <v>41.634111747759</v>
      </c>
      <c r="AE983" s="235">
        <f>VLOOKUP(Table3[[#This Row],[Country Code]],Table29[],24,FALSE)</f>
        <v>4.0868158944276578</v>
      </c>
      <c r="AF983" s="43"/>
    </row>
    <row r="984" spans="1:32" ht="30" x14ac:dyDescent="0.25">
      <c r="A984" s="360">
        <v>26793</v>
      </c>
      <c r="B984" s="233" t="str">
        <f>VLOOKUP(Table3[[#This Row],[Document ID]],Table1[],2,FALSE)</f>
        <v>USA</v>
      </c>
      <c r="C984" s="233" t="str">
        <f>VLOOKUP(Table3[[#This Row],[Document ID]],Table1[],3,FALSE)</f>
        <v>United States of America</v>
      </c>
      <c r="D984" s="233" t="str">
        <f>VLOOKUP(Table3[[#This Row],[Document ID]],Table1[],5,FALSE)</f>
        <v>LTS</v>
      </c>
      <c r="E984" s="233" t="str">
        <f>VLOOKUP(Table3[[#This Row],[Document ID]],Table1[],7,FALSE)</f>
        <v>LTS</v>
      </c>
      <c r="F984" s="233" t="str">
        <f>VLOOKUP(Table3[[#This Row],[Document ID]],Table1[],8,FALSE)</f>
        <v>LTS 1.1</v>
      </c>
      <c r="G984" s="233" t="str">
        <f>VLOOKUP(Table3[[#This Row],[Document ID]],Table1[],10,FALSE)</f>
        <v>Active</v>
      </c>
      <c r="H984" s="42" t="s">
        <v>1095</v>
      </c>
      <c r="I984" s="42" t="s">
        <v>1096</v>
      </c>
      <c r="J984" s="42" t="s">
        <v>1097</v>
      </c>
      <c r="K984" s="28" t="s">
        <v>1104</v>
      </c>
      <c r="L984" s="389" t="s">
        <v>1099</v>
      </c>
      <c r="M984" s="209">
        <v>2030</v>
      </c>
      <c r="N984" s="43" t="s">
        <v>2101</v>
      </c>
      <c r="O984" s="258">
        <v>15</v>
      </c>
      <c r="P984" s="238" t="str">
        <f>VLOOKUP(_xlfn.CONCAT(Table3[[#This Row],[Target area]],Table3[[#This Row],[GHG target?]],Table3[[#This Row],[Conditionality]]),'Drop down'!$E$81:$F$101,2,FALSE)</f>
        <v>T_Transport_O_Unc</v>
      </c>
      <c r="Q984" s="239" t="str">
        <f>VLOOKUP(Table3[[#This Row],[Target type]],Table418[[Value name]:[Value idenifyer]],2,FALSE)</f>
        <v>T_O_ZERO</v>
      </c>
      <c r="S984" s="233" t="s">
        <v>1101</v>
      </c>
      <c r="T984" s="234" t="s">
        <v>1113</v>
      </c>
      <c r="V984" s="233" t="str">
        <f>VLOOKUP(Table3[[#This Row],[Country Code]],Table29[],3,FALSE)</f>
        <v>Annex I</v>
      </c>
      <c r="W984" s="233" t="str">
        <f>VLOOKUP(Table3[[#This Row],[Country Code]],Table29[],4,FALSE)</f>
        <v>Northern America</v>
      </c>
      <c r="X984" s="233" t="str">
        <f>VLOOKUP(Table3[[#This Row],[Country Code]],Table29[],5,FALSE)</f>
        <v>High-income</v>
      </c>
      <c r="Y984" s="233" t="str">
        <f>VLOOKUP(Table3[[#This Row],[Country Code]],Table29[],6,FALSE)</f>
        <v>G20</v>
      </c>
      <c r="Z984" s="233" t="str">
        <f>VLOOKUP(Table3[[#This Row],[Country Code]],Table29[],7,FALSE)</f>
        <v>G7</v>
      </c>
      <c r="AA984" s="233" t="str">
        <f>VLOOKUP(Table3[[#This Row],[Country Code]],Table29[],8,FALSE)</f>
        <v>OECD</v>
      </c>
      <c r="AB984" s="233" t="str">
        <f>VLOOKUP(Table3[[#This Row],[Country Code]],Table29[],9,FALSE)</f>
        <v>no</v>
      </c>
      <c r="AC984" s="233" t="str">
        <f>VLOOKUP(Table3[[#This Row],[Country Code]],Table29[],10,FALSE)</f>
        <v>no</v>
      </c>
      <c r="AD984" s="235">
        <f>VLOOKUP(Table3[[#This Row],[Country Code]],Table29[],23,FALSE)</f>
        <v>5960.8043799938996</v>
      </c>
      <c r="AE984" s="235">
        <f>VLOOKUP(Table3[[#This Row],[Country Code]],Table29[],24,FALSE)</f>
        <v>1735.9036371632039</v>
      </c>
      <c r="AF984" s="43"/>
    </row>
    <row r="985" spans="1:32" ht="30" x14ac:dyDescent="0.25">
      <c r="A985" s="360">
        <v>29231</v>
      </c>
      <c r="B985" s="233" t="str">
        <f>VLOOKUP(Table3[[#This Row],[Document ID]],Table1[],2,FALSE)</f>
        <v>VUT</v>
      </c>
      <c r="C985" s="233" t="str">
        <f>VLOOKUP(Table3[[#This Row],[Document ID]],Table1[],3,FALSE)</f>
        <v>Vanuatu</v>
      </c>
      <c r="D985" s="233" t="str">
        <f>VLOOKUP(Table3[[#This Row],[Document ID]],Table1[],5,FALSE)</f>
        <v>NDC</v>
      </c>
      <c r="E985" s="233" t="str">
        <f>VLOOKUP(Table3[[#This Row],[Document ID]],Table1[],7,FALSE)</f>
        <v>First NDC updated</v>
      </c>
      <c r="F985" s="233" t="str">
        <f>VLOOKUP(Table3[[#This Row],[Document ID]],Table1[],8,FALSE)</f>
        <v>NDC 1.2</v>
      </c>
      <c r="G985" s="233" t="str">
        <f>VLOOKUP(Table3[[#This Row],[Document ID]],Table1[],10,FALSE)</f>
        <v>Active</v>
      </c>
      <c r="H985" s="42" t="s">
        <v>1095</v>
      </c>
      <c r="I985" s="42" t="s">
        <v>1096</v>
      </c>
      <c r="J985" s="42" t="s">
        <v>1097</v>
      </c>
      <c r="K985" s="28" t="s">
        <v>1137</v>
      </c>
      <c r="L985" s="216" t="s">
        <v>1092</v>
      </c>
      <c r="M985" s="209">
        <v>2030</v>
      </c>
      <c r="N985" s="44" t="s">
        <v>2102</v>
      </c>
      <c r="O985" s="221">
        <v>3</v>
      </c>
      <c r="P985" s="238" t="str">
        <f>VLOOKUP(_xlfn.CONCAT(Table3[[#This Row],[Target area]],Table3[[#This Row],[GHG target?]],Table3[[#This Row],[Conditionality]]),'Drop down'!$E$81:$F$101,2,FALSE)</f>
        <v>T_Transport_O_C</v>
      </c>
      <c r="Q985" s="239" t="str">
        <f>VLOOKUP(Table3[[#This Row],[Target type]],Table418[[Value name]:[Value idenifyer]],2,FALSE)</f>
        <v>T_O_EFF</v>
      </c>
      <c r="S985" s="233" t="s">
        <v>1101</v>
      </c>
      <c r="T985" s="234" t="s">
        <v>1113</v>
      </c>
      <c r="U985" s="240"/>
      <c r="V985" s="233" t="str">
        <f>VLOOKUP(Table3[[#This Row],[Country Code]],Table29[],3,FALSE)</f>
        <v>Non-Annex I</v>
      </c>
      <c r="W985" s="233" t="str">
        <f>VLOOKUP(Table3[[#This Row],[Country Code]],Table29[],4,FALSE)</f>
        <v>Oceania</v>
      </c>
      <c r="X985" s="233" t="str">
        <f>VLOOKUP(Table3[[#This Row],[Country Code]],Table29[],5,FALSE)</f>
        <v>Middle-income</v>
      </c>
      <c r="Y985" s="233" t="str">
        <f>VLOOKUP(Table3[[#This Row],[Country Code]],Table29[],6,FALSE)</f>
        <v>no</v>
      </c>
      <c r="Z985" s="233" t="str">
        <f>VLOOKUP(Table3[[#This Row],[Country Code]],Table29[],7,FALSE)</f>
        <v>no</v>
      </c>
      <c r="AA985" s="233" t="str">
        <f>VLOOKUP(Table3[[#This Row],[Country Code]],Table29[],8,FALSE)</f>
        <v>non-OECD</v>
      </c>
      <c r="AB985" s="233" t="str">
        <f>VLOOKUP(Table3[[#This Row],[Country Code]],Table29[],9,FALSE)</f>
        <v>no</v>
      </c>
      <c r="AC985" s="233" t="str">
        <f>VLOOKUP(Table3[[#This Row],[Country Code]],Table29[],10,FALSE)</f>
        <v>no</v>
      </c>
      <c r="AD985" s="235">
        <f>VLOOKUP(Table3[[#This Row],[Country Code]],Table29[],23,FALSE)</f>
        <v>0.67021230161326995</v>
      </c>
      <c r="AE985" s="235">
        <f>VLOOKUP(Table3[[#This Row],[Country Code]],Table29[],24,FALSE)</f>
        <v>0.148941723979749</v>
      </c>
      <c r="AF985" s="43"/>
    </row>
    <row r="986" spans="1:32" ht="45" x14ac:dyDescent="0.25">
      <c r="A986" s="360">
        <v>29231</v>
      </c>
      <c r="B986" s="233" t="str">
        <f>VLOOKUP(Table3[[#This Row],[Document ID]],Table1[],2,FALSE)</f>
        <v>VUT</v>
      </c>
      <c r="C986" s="233" t="str">
        <f>VLOOKUP(Table3[[#This Row],[Document ID]],Table1[],3,FALSE)</f>
        <v>Vanuatu</v>
      </c>
      <c r="D986" s="233" t="str">
        <f>VLOOKUP(Table3[[#This Row],[Document ID]],Table1[],5,FALSE)</f>
        <v>NDC</v>
      </c>
      <c r="E986" s="233" t="str">
        <f>VLOOKUP(Table3[[#This Row],[Document ID]],Table1[],7,FALSE)</f>
        <v>First NDC updated</v>
      </c>
      <c r="F986" s="233" t="str">
        <f>VLOOKUP(Table3[[#This Row],[Document ID]],Table1[],8,FALSE)</f>
        <v>NDC 1.2</v>
      </c>
      <c r="G986" s="233" t="str">
        <f>VLOOKUP(Table3[[#This Row],[Document ID]],Table1[],10,FALSE)</f>
        <v>Active</v>
      </c>
      <c r="H986" s="42" t="s">
        <v>1095</v>
      </c>
      <c r="I986" s="42" t="s">
        <v>1096</v>
      </c>
      <c r="J986" s="42" t="s">
        <v>1097</v>
      </c>
      <c r="K986" s="28" t="s">
        <v>1104</v>
      </c>
      <c r="L986" s="216" t="s">
        <v>1092</v>
      </c>
      <c r="M986" s="209">
        <v>2030</v>
      </c>
      <c r="N986" s="44" t="s">
        <v>2103</v>
      </c>
      <c r="O986" s="221">
        <v>3</v>
      </c>
      <c r="P986" s="238" t="str">
        <f>VLOOKUP(_xlfn.CONCAT(Table3[[#This Row],[Target area]],Table3[[#This Row],[GHG target?]],Table3[[#This Row],[Conditionality]]),'Drop down'!$E$81:$F$101,2,FALSE)</f>
        <v>T_Transport_O_C</v>
      </c>
      <c r="Q986" s="239" t="str">
        <f>VLOOKUP(Table3[[#This Row],[Target type]],Table418[[Value name]:[Value idenifyer]],2,FALSE)</f>
        <v>T_O_ZERO</v>
      </c>
      <c r="S986" s="233" t="s">
        <v>1101</v>
      </c>
      <c r="T986" s="234" t="s">
        <v>1113</v>
      </c>
      <c r="U986" s="240"/>
      <c r="V986" s="233" t="str">
        <f>VLOOKUP(Table3[[#This Row],[Country Code]],Table29[],3,FALSE)</f>
        <v>Non-Annex I</v>
      </c>
      <c r="W986" s="233" t="str">
        <f>VLOOKUP(Table3[[#This Row],[Country Code]],Table29[],4,FALSE)</f>
        <v>Oceania</v>
      </c>
      <c r="X986" s="233" t="str">
        <f>VLOOKUP(Table3[[#This Row],[Country Code]],Table29[],5,FALSE)</f>
        <v>Middle-income</v>
      </c>
      <c r="Y986" s="233" t="str">
        <f>VLOOKUP(Table3[[#This Row],[Country Code]],Table29[],6,FALSE)</f>
        <v>no</v>
      </c>
      <c r="Z986" s="233" t="str">
        <f>VLOOKUP(Table3[[#This Row],[Country Code]],Table29[],7,FALSE)</f>
        <v>no</v>
      </c>
      <c r="AA986" s="233" t="str">
        <f>VLOOKUP(Table3[[#This Row],[Country Code]],Table29[],8,FALSE)</f>
        <v>non-OECD</v>
      </c>
      <c r="AB986" s="233" t="str">
        <f>VLOOKUP(Table3[[#This Row],[Country Code]],Table29[],9,FALSE)</f>
        <v>no</v>
      </c>
      <c r="AC986" s="233" t="str">
        <f>VLOOKUP(Table3[[#This Row],[Country Code]],Table29[],10,FALSE)</f>
        <v>no</v>
      </c>
      <c r="AD986" s="235">
        <f>VLOOKUP(Table3[[#This Row],[Country Code]],Table29[],23,FALSE)</f>
        <v>0.67021230161326995</v>
      </c>
      <c r="AE986" s="235">
        <f>VLOOKUP(Table3[[#This Row],[Country Code]],Table29[],24,FALSE)</f>
        <v>0.148941723979749</v>
      </c>
      <c r="AF986" s="43"/>
    </row>
    <row r="987" spans="1:32" x14ac:dyDescent="0.25">
      <c r="A987" s="360">
        <v>29231</v>
      </c>
      <c r="B987" s="233" t="str">
        <f>VLOOKUP(Table3[[#This Row],[Document ID]],Table1[],2,FALSE)</f>
        <v>VUT</v>
      </c>
      <c r="C987" s="233" t="str">
        <f>VLOOKUP(Table3[[#This Row],[Document ID]],Table1[],3,FALSE)</f>
        <v>Vanuatu</v>
      </c>
      <c r="D987" s="233" t="str">
        <f>VLOOKUP(Table3[[#This Row],[Document ID]],Table1[],5,FALSE)</f>
        <v>NDC</v>
      </c>
      <c r="E987" s="233" t="str">
        <f>VLOOKUP(Table3[[#This Row],[Document ID]],Table1[],7,FALSE)</f>
        <v>First NDC updated</v>
      </c>
      <c r="F987" s="233" t="str">
        <f>VLOOKUP(Table3[[#This Row],[Document ID]],Table1[],8,FALSE)</f>
        <v>NDC 1.2</v>
      </c>
      <c r="G987" s="233" t="str">
        <f>VLOOKUP(Table3[[#This Row],[Document ID]],Table1[],10,FALSE)</f>
        <v>Active</v>
      </c>
      <c r="H987" s="42" t="s">
        <v>1095</v>
      </c>
      <c r="I987" s="42" t="s">
        <v>1096</v>
      </c>
      <c r="J987" s="42" t="s">
        <v>1097</v>
      </c>
      <c r="K987" s="28" t="s">
        <v>1102</v>
      </c>
      <c r="L987" s="216" t="s">
        <v>1092</v>
      </c>
      <c r="M987" s="209">
        <v>2030</v>
      </c>
      <c r="N987" s="44" t="s">
        <v>2104</v>
      </c>
      <c r="O987" s="221">
        <v>3</v>
      </c>
      <c r="P987" s="238" t="str">
        <f>VLOOKUP(_xlfn.CONCAT(Table3[[#This Row],[Target area]],Table3[[#This Row],[GHG target?]],Table3[[#This Row],[Conditionality]]),'Drop down'!$E$81:$F$101,2,FALSE)</f>
        <v>T_Transport_O_C</v>
      </c>
      <c r="Q987" s="239" t="str">
        <f>VLOOKUP(Table3[[#This Row],[Target type]],Table418[[Value name]:[Value idenifyer]],2,FALSE)</f>
        <v>T_O_BIO</v>
      </c>
      <c r="S987" s="233" t="s">
        <v>1101</v>
      </c>
      <c r="T987" s="234" t="s">
        <v>1113</v>
      </c>
      <c r="U987" s="240"/>
      <c r="V987" s="233" t="str">
        <f>VLOOKUP(Table3[[#This Row],[Country Code]],Table29[],3,FALSE)</f>
        <v>Non-Annex I</v>
      </c>
      <c r="W987" s="233" t="str">
        <f>VLOOKUP(Table3[[#This Row],[Country Code]],Table29[],4,FALSE)</f>
        <v>Oceania</v>
      </c>
      <c r="X987" s="233" t="str">
        <f>VLOOKUP(Table3[[#This Row],[Country Code]],Table29[],5,FALSE)</f>
        <v>Middle-income</v>
      </c>
      <c r="Y987" s="233" t="str">
        <f>VLOOKUP(Table3[[#This Row],[Country Code]],Table29[],6,FALSE)</f>
        <v>no</v>
      </c>
      <c r="Z987" s="233" t="str">
        <f>VLOOKUP(Table3[[#This Row],[Country Code]],Table29[],7,FALSE)</f>
        <v>no</v>
      </c>
      <c r="AA987" s="233" t="str">
        <f>VLOOKUP(Table3[[#This Row],[Country Code]],Table29[],8,FALSE)</f>
        <v>non-OECD</v>
      </c>
      <c r="AB987" s="233" t="str">
        <f>VLOOKUP(Table3[[#This Row],[Country Code]],Table29[],9,FALSE)</f>
        <v>no</v>
      </c>
      <c r="AC987" s="233" t="str">
        <f>VLOOKUP(Table3[[#This Row],[Country Code]],Table29[],10,FALSE)</f>
        <v>no</v>
      </c>
      <c r="AD987" s="235">
        <f>VLOOKUP(Table3[[#This Row],[Country Code]],Table29[],23,FALSE)</f>
        <v>0.67021230161326995</v>
      </c>
      <c r="AE987" s="235">
        <f>VLOOKUP(Table3[[#This Row],[Country Code]],Table29[],24,FALSE)</f>
        <v>0.148941723979749</v>
      </c>
      <c r="AF987" s="43"/>
    </row>
    <row r="988" spans="1:32" ht="30" x14ac:dyDescent="0.25">
      <c r="A988" s="360">
        <v>29231</v>
      </c>
      <c r="B988" s="233" t="str">
        <f>VLOOKUP(Table3[[#This Row],[Document ID]],Table1[],2,FALSE)</f>
        <v>VUT</v>
      </c>
      <c r="C988" s="233" t="str">
        <f>VLOOKUP(Table3[[#This Row],[Document ID]],Table1[],3,FALSE)</f>
        <v>Vanuatu</v>
      </c>
      <c r="D988" s="233" t="str">
        <f>VLOOKUP(Table3[[#This Row],[Document ID]],Table1[],5,FALSE)</f>
        <v>NDC</v>
      </c>
      <c r="E988" s="233" t="str">
        <f>VLOOKUP(Table3[[#This Row],[Document ID]],Table1[],7,FALSE)</f>
        <v>First NDC updated</v>
      </c>
      <c r="F988" s="233" t="str">
        <f>VLOOKUP(Table3[[#This Row],[Document ID]],Table1[],8,FALSE)</f>
        <v>NDC 1.2</v>
      </c>
      <c r="G988" s="233" t="str">
        <f>VLOOKUP(Table3[[#This Row],[Document ID]],Table1[],10,FALSE)</f>
        <v>Active</v>
      </c>
      <c r="H988" s="42" t="s">
        <v>1095</v>
      </c>
      <c r="I988" s="42" t="s">
        <v>1096</v>
      </c>
      <c r="J988" s="42" t="s">
        <v>1097</v>
      </c>
      <c r="K988" s="28" t="s">
        <v>1137</v>
      </c>
      <c r="L988" s="216" t="s">
        <v>1092</v>
      </c>
      <c r="M988" s="209">
        <v>2030</v>
      </c>
      <c r="N988" s="44" t="s">
        <v>2105</v>
      </c>
      <c r="O988" s="221">
        <v>3</v>
      </c>
      <c r="P988" s="238" t="str">
        <f>VLOOKUP(_xlfn.CONCAT(Table3[[#This Row],[Target area]],Table3[[#This Row],[GHG target?]],Table3[[#This Row],[Conditionality]]),'Drop down'!$E$81:$F$101,2,FALSE)</f>
        <v>T_Transport_O_C</v>
      </c>
      <c r="Q988" s="239" t="str">
        <f>VLOOKUP(Table3[[#This Row],[Target type]],Table418[[Value name]:[Value idenifyer]],2,FALSE)</f>
        <v>T_O_EFF</v>
      </c>
      <c r="S988" s="233" t="s">
        <v>1101</v>
      </c>
      <c r="T988" s="234" t="s">
        <v>1113</v>
      </c>
      <c r="U988" s="240"/>
      <c r="V988" s="233" t="str">
        <f>VLOOKUP(Table3[[#This Row],[Country Code]],Table29[],3,FALSE)</f>
        <v>Non-Annex I</v>
      </c>
      <c r="W988" s="233" t="str">
        <f>VLOOKUP(Table3[[#This Row],[Country Code]],Table29[],4,FALSE)</f>
        <v>Oceania</v>
      </c>
      <c r="X988" s="233" t="str">
        <f>VLOOKUP(Table3[[#This Row],[Country Code]],Table29[],5,FALSE)</f>
        <v>Middle-income</v>
      </c>
      <c r="Y988" s="233" t="str">
        <f>VLOOKUP(Table3[[#This Row],[Country Code]],Table29[],6,FALSE)</f>
        <v>no</v>
      </c>
      <c r="Z988" s="233" t="str">
        <f>VLOOKUP(Table3[[#This Row],[Country Code]],Table29[],7,FALSE)</f>
        <v>no</v>
      </c>
      <c r="AA988" s="233" t="str">
        <f>VLOOKUP(Table3[[#This Row],[Country Code]],Table29[],8,FALSE)</f>
        <v>non-OECD</v>
      </c>
      <c r="AB988" s="233" t="str">
        <f>VLOOKUP(Table3[[#This Row],[Country Code]],Table29[],9,FALSE)</f>
        <v>no</v>
      </c>
      <c r="AC988" s="233" t="str">
        <f>VLOOKUP(Table3[[#This Row],[Country Code]],Table29[],10,FALSE)</f>
        <v>no</v>
      </c>
      <c r="AD988" s="235">
        <f>VLOOKUP(Table3[[#This Row],[Country Code]],Table29[],23,FALSE)</f>
        <v>0.67021230161326995</v>
      </c>
      <c r="AE988" s="235">
        <f>VLOOKUP(Table3[[#This Row],[Country Code]],Table29[],24,FALSE)</f>
        <v>0.148941723979749</v>
      </c>
      <c r="AF988" s="43"/>
    </row>
    <row r="989" spans="1:32" x14ac:dyDescent="0.25">
      <c r="A989" s="360">
        <v>26771</v>
      </c>
      <c r="B989" s="233" t="str">
        <f>VLOOKUP(Table3[[#This Row],[Document ID]],Table1[],2,FALSE)</f>
        <v>AND</v>
      </c>
      <c r="C989" s="233" t="str">
        <f>VLOOKUP(Table3[[#This Row],[Document ID]],Table1[],3,FALSE)</f>
        <v>Andorra</v>
      </c>
      <c r="D989" s="233" t="str">
        <f>VLOOKUP(Table3[[#This Row],[Document ID]],Table1[],5,FALSE)</f>
        <v>LTS</v>
      </c>
      <c r="E989" s="233" t="str">
        <f>VLOOKUP(Table3[[#This Row],[Document ID]],Table1[],7,FALSE)</f>
        <v>LTS</v>
      </c>
      <c r="F989" s="233" t="str">
        <f>VLOOKUP(Table3[[#This Row],[Document ID]],Table1[],8,FALSE)</f>
        <v>LTS 1.0</v>
      </c>
      <c r="G989" s="233" t="str">
        <f>VLOOKUP(Table3[[#This Row],[Document ID]],Table1[],10,FALSE)</f>
        <v>Active</v>
      </c>
      <c r="H989" s="43" t="s">
        <v>1147</v>
      </c>
      <c r="I989" s="43" t="s">
        <v>1089</v>
      </c>
      <c r="J989" s="43" t="s">
        <v>1090</v>
      </c>
      <c r="K989" s="28" t="s">
        <v>1121</v>
      </c>
      <c r="L989" s="43" t="s">
        <v>1116</v>
      </c>
      <c r="M989" s="209">
        <v>2050</v>
      </c>
      <c r="N989" s="43" t="s">
        <v>2106</v>
      </c>
      <c r="O989" s="258">
        <v>15</v>
      </c>
      <c r="P989" s="238" t="str">
        <f>VLOOKUP(_xlfn.CONCAT(Table3[[#This Row],[Target area]],Table3[[#This Row],[GHG target?]],Table3[[#This Row],[Conditionality]]),'Drop down'!$E$81:$F$101,2,FALSE)</f>
        <v>T_Netzero</v>
      </c>
      <c r="Q989" s="239" t="str">
        <f>VLOOKUP(Table3[[#This Row],[Target type]],Table418[[Value name]:[Value idenifyer]],2,FALSE)</f>
        <v>T_FL</v>
      </c>
      <c r="V989" s="233" t="str">
        <f>VLOOKUP(Table3[[#This Row],[Country Code]],Table29[],3,FALSE)</f>
        <v>Non-Annex I</v>
      </c>
      <c r="W989" s="233" t="str">
        <f>VLOOKUP(Table3[[#This Row],[Country Code]],Table29[],4,FALSE)</f>
        <v>Europe</v>
      </c>
      <c r="X989" s="233" t="str">
        <f>VLOOKUP(Table3[[#This Row],[Country Code]],Table29[],5,FALSE)</f>
        <v>High-income</v>
      </c>
      <c r="Y989" s="233" t="str">
        <f>VLOOKUP(Table3[[#This Row],[Country Code]],Table29[],6,FALSE)</f>
        <v>no</v>
      </c>
      <c r="Z989" s="233" t="str">
        <f>VLOOKUP(Table3[[#This Row],[Country Code]],Table29[],7,FALSE)</f>
        <v>no</v>
      </c>
      <c r="AA989" s="233" t="str">
        <f>VLOOKUP(Table3[[#This Row],[Country Code]],Table29[],8,FALSE)</f>
        <v>non-OECD</v>
      </c>
      <c r="AB989" s="233" t="str">
        <f>VLOOKUP(Table3[[#This Row],[Country Code]],Table29[],9,FALSE)</f>
        <v>no</v>
      </c>
      <c r="AC989" s="233" t="str">
        <f>VLOOKUP(Table3[[#This Row],[Country Code]],Table29[],10,FALSE)</f>
        <v>no</v>
      </c>
      <c r="AD989" s="235">
        <f>VLOOKUP(Table3[[#This Row],[Country Code]],Table29[],23,FALSE)</f>
        <v>0</v>
      </c>
      <c r="AE989" s="235">
        <f>VLOOKUP(Table3[[#This Row],[Country Code]],Table29[],24,FALSE)</f>
        <v>0</v>
      </c>
      <c r="AF989" s="43"/>
    </row>
    <row r="990" spans="1:32" x14ac:dyDescent="0.25">
      <c r="A990" s="360">
        <v>32408</v>
      </c>
      <c r="B990" s="233" t="str">
        <f>VLOOKUP(Table3[[#This Row],[Document ID]],Table1[],2,FALSE)</f>
        <v>AND</v>
      </c>
      <c r="C990" s="233" t="str">
        <f>VLOOKUP(Table3[[#This Row],[Document ID]],Table1[],3,FALSE)</f>
        <v>Andorra</v>
      </c>
      <c r="D990" s="233" t="str">
        <f>VLOOKUP(Table3[[#This Row],[Document ID]],Table1[],5,FALSE)</f>
        <v>NDC</v>
      </c>
      <c r="E990" s="233" t="str">
        <f>VLOOKUP(Table3[[#This Row],[Document ID]],Table1[],7,FALSE)</f>
        <v>First NDC updated</v>
      </c>
      <c r="F990" s="233" t="str">
        <f>VLOOKUP(Table3[[#This Row],[Document ID]],Table1[],8,FALSE)</f>
        <v>NDC 1.2</v>
      </c>
      <c r="G990" s="233" t="str">
        <f>VLOOKUP(Table3[[#This Row],[Document ID]],Table1[],10,FALSE)</f>
        <v>Archived</v>
      </c>
      <c r="H990" s="43" t="s">
        <v>1147</v>
      </c>
      <c r="I990" s="43" t="s">
        <v>1089</v>
      </c>
      <c r="J990" s="43" t="s">
        <v>1090</v>
      </c>
      <c r="K990" s="28" t="s">
        <v>1121</v>
      </c>
      <c r="L990" s="43" t="s">
        <v>1116</v>
      </c>
      <c r="M990" s="209">
        <v>2050</v>
      </c>
      <c r="N990" s="43" t="s">
        <v>2107</v>
      </c>
      <c r="O990" s="258">
        <v>8</v>
      </c>
      <c r="P990" s="238" t="str">
        <f>VLOOKUP(_xlfn.CONCAT(Table3[[#This Row],[Target area]],Table3[[#This Row],[GHG target?]],Table3[[#This Row],[Conditionality]]),'Drop down'!$E$81:$F$101,2,FALSE)</f>
        <v>T_Netzero</v>
      </c>
      <c r="Q990" s="239" t="str">
        <f>VLOOKUP(Table3[[#This Row],[Target type]],Table418[[Value name]:[Value idenifyer]],2,FALSE)</f>
        <v>T_FL</v>
      </c>
      <c r="V990" s="233" t="str">
        <f>VLOOKUP(Table3[[#This Row],[Country Code]],Table29[],3,FALSE)</f>
        <v>Non-Annex I</v>
      </c>
      <c r="W990" s="233" t="str">
        <f>VLOOKUP(Table3[[#This Row],[Country Code]],Table29[],4,FALSE)</f>
        <v>Europe</v>
      </c>
      <c r="X990" s="233" t="str">
        <f>VLOOKUP(Table3[[#This Row],[Country Code]],Table29[],5,FALSE)</f>
        <v>High-income</v>
      </c>
      <c r="Y990" s="233" t="str">
        <f>VLOOKUP(Table3[[#This Row],[Country Code]],Table29[],6,FALSE)</f>
        <v>no</v>
      </c>
      <c r="Z990" s="233" t="str">
        <f>VLOOKUP(Table3[[#This Row],[Country Code]],Table29[],7,FALSE)</f>
        <v>no</v>
      </c>
      <c r="AA990" s="233" t="str">
        <f>VLOOKUP(Table3[[#This Row],[Country Code]],Table29[],8,FALSE)</f>
        <v>non-OECD</v>
      </c>
      <c r="AB990" s="233" t="str">
        <f>VLOOKUP(Table3[[#This Row],[Country Code]],Table29[],9,FALSE)</f>
        <v>no</v>
      </c>
      <c r="AC990" s="233" t="str">
        <f>VLOOKUP(Table3[[#This Row],[Country Code]],Table29[],10,FALSE)</f>
        <v>no</v>
      </c>
      <c r="AD990" s="235">
        <f>VLOOKUP(Table3[[#This Row],[Country Code]],Table29[],23,FALSE)</f>
        <v>0</v>
      </c>
      <c r="AE990" s="235">
        <f>VLOOKUP(Table3[[#This Row],[Country Code]],Table29[],24,FALSE)</f>
        <v>0</v>
      </c>
      <c r="AF990" s="43"/>
    </row>
    <row r="991" spans="1:32" x14ac:dyDescent="0.25">
      <c r="A991" s="360">
        <v>17511</v>
      </c>
      <c r="B991" s="233" t="str">
        <f>VLOOKUP(Table3[[#This Row],[Document ID]],Table1[],2,FALSE)</f>
        <v>AND</v>
      </c>
      <c r="C991" s="233" t="str">
        <f>VLOOKUP(Table3[[#This Row],[Document ID]],Table1[],3,FALSE)</f>
        <v>Andorra</v>
      </c>
      <c r="D991" s="233" t="str">
        <f>VLOOKUP(Table3[[#This Row],[Document ID]],Table1[],5,FALSE)</f>
        <v>NDC</v>
      </c>
      <c r="E991" s="233" t="str">
        <f>VLOOKUP(Table3[[#This Row],[Document ID]],Table1[],7,FALSE)</f>
        <v>First NDC updated</v>
      </c>
      <c r="F991" s="233" t="str">
        <f>VLOOKUP(Table3[[#This Row],[Document ID]],Table1[],8,FALSE)</f>
        <v>NDC 1.1</v>
      </c>
      <c r="G991" s="233" t="str">
        <f>VLOOKUP(Table3[[#This Row],[Document ID]],Table1[],10,FALSE)</f>
        <v>Archived</v>
      </c>
      <c r="H991" s="43" t="s">
        <v>1147</v>
      </c>
      <c r="I991" s="43" t="s">
        <v>1089</v>
      </c>
      <c r="J991" s="43" t="s">
        <v>1090</v>
      </c>
      <c r="K991" s="28" t="s">
        <v>1091</v>
      </c>
      <c r="L991" s="43" t="s">
        <v>1116</v>
      </c>
      <c r="M991" s="209">
        <v>2050</v>
      </c>
      <c r="N991" s="44" t="s">
        <v>2108</v>
      </c>
      <c r="O991" s="258">
        <v>6</v>
      </c>
      <c r="P991" s="238" t="str">
        <f>VLOOKUP(_xlfn.CONCAT(Table3[[#This Row],[Target area]],Table3[[#This Row],[GHG target?]],Table3[[#This Row],[Conditionality]]),'Drop down'!$E$81:$F$101,2,FALSE)</f>
        <v>T_Netzero</v>
      </c>
      <c r="Q991" s="239" t="str">
        <f>VLOOKUP(Table3[[#This Row],[Target type]],Table418[[Value name]:[Value idenifyer]],2,FALSE)</f>
        <v>T_BAU</v>
      </c>
      <c r="V991" s="233" t="str">
        <f>VLOOKUP(Table3[[#This Row],[Country Code]],Table29[],3,FALSE)</f>
        <v>Non-Annex I</v>
      </c>
      <c r="W991" s="233" t="str">
        <f>VLOOKUP(Table3[[#This Row],[Country Code]],Table29[],4,FALSE)</f>
        <v>Europe</v>
      </c>
      <c r="X991" s="233" t="str">
        <f>VLOOKUP(Table3[[#This Row],[Country Code]],Table29[],5,FALSE)</f>
        <v>High-income</v>
      </c>
      <c r="Y991" s="233" t="str">
        <f>VLOOKUP(Table3[[#This Row],[Country Code]],Table29[],6,FALSE)</f>
        <v>no</v>
      </c>
      <c r="Z991" s="233" t="str">
        <f>VLOOKUP(Table3[[#This Row],[Country Code]],Table29[],7,FALSE)</f>
        <v>no</v>
      </c>
      <c r="AA991" s="233" t="str">
        <f>VLOOKUP(Table3[[#This Row],[Country Code]],Table29[],8,FALSE)</f>
        <v>non-OECD</v>
      </c>
      <c r="AB991" s="233" t="str">
        <f>VLOOKUP(Table3[[#This Row],[Country Code]],Table29[],9,FALSE)</f>
        <v>no</v>
      </c>
      <c r="AC991" s="233" t="str">
        <f>VLOOKUP(Table3[[#This Row],[Country Code]],Table29[],10,FALSE)</f>
        <v>no</v>
      </c>
      <c r="AD991" s="235">
        <f>VLOOKUP(Table3[[#This Row],[Country Code]],Table29[],23,FALSE)</f>
        <v>0</v>
      </c>
      <c r="AE991" s="235">
        <f>VLOOKUP(Table3[[#This Row],[Country Code]],Table29[],24,FALSE)</f>
        <v>0</v>
      </c>
      <c r="AF991" s="43"/>
    </row>
    <row r="992" spans="1:32" x14ac:dyDescent="0.25">
      <c r="A992" s="360">
        <v>17731</v>
      </c>
      <c r="B992" s="233" t="str">
        <f>VLOOKUP(Table3[[#This Row],[Document ID]],Table1[],2,FALSE)</f>
        <v>SGP</v>
      </c>
      <c r="C992" s="233" t="str">
        <f>VLOOKUP(Table3[[#This Row],[Document ID]],Table1[],3,FALSE)</f>
        <v>Singapore</v>
      </c>
      <c r="D992" s="233" t="str">
        <f>VLOOKUP(Table3[[#This Row],[Document ID]],Table1[],5,FALSE)</f>
        <v>NDC</v>
      </c>
      <c r="E992" s="233" t="str">
        <f>VLOOKUP(Table3[[#This Row],[Document ID]],Table1[],7,FALSE)</f>
        <v>First NDC</v>
      </c>
      <c r="F992" s="233" t="str">
        <f>VLOOKUP(Table3[[#This Row],[Document ID]],Table1[],8,FALSE)</f>
        <v>NDC 1.0</v>
      </c>
      <c r="G992" s="233" t="str">
        <f>VLOOKUP(Table3[[#This Row],[Document ID]],Table1[],10,FALSE)</f>
        <v>Archived</v>
      </c>
      <c r="H992" s="216" t="s">
        <v>1089</v>
      </c>
      <c r="I992" s="216" t="s">
        <v>1089</v>
      </c>
      <c r="J992" s="43" t="s">
        <v>1090</v>
      </c>
      <c r="K992" s="28" t="s">
        <v>1153</v>
      </c>
      <c r="L992" s="42" t="s">
        <v>1099</v>
      </c>
      <c r="M992" s="209">
        <v>2030</v>
      </c>
      <c r="N992" s="176" t="s">
        <v>2109</v>
      </c>
      <c r="O992" s="258" t="s">
        <v>1094</v>
      </c>
      <c r="P992" s="238" t="str">
        <f>VLOOKUP(_xlfn.CONCAT(Table3[[#This Row],[Target area]],Table3[[#This Row],[GHG target?]],Table3[[#This Row],[Conditionality]]),'Drop down'!$E$81:$F$101,2,FALSE)</f>
        <v>T_Economy_Unc</v>
      </c>
      <c r="Q992" s="239" t="str">
        <f>VLOOKUP(Table3[[#This Row],[Target type]],Table418[[Value name]:[Value idenifyer]],2,FALSE)</f>
        <v>T_BYE</v>
      </c>
      <c r="T992" s="234" t="s">
        <v>1113</v>
      </c>
      <c r="U992" s="234" t="s">
        <v>1221</v>
      </c>
      <c r="V992" s="233" t="str">
        <f>VLOOKUP(Table3[[#This Row],[Country Code]],Table29[],3,FALSE)</f>
        <v>Non-Annex I</v>
      </c>
      <c r="W992" s="233" t="str">
        <f>VLOOKUP(Table3[[#This Row],[Country Code]],Table29[],4,FALSE)</f>
        <v>Asia</v>
      </c>
      <c r="X992" s="233" t="str">
        <f>VLOOKUP(Table3[[#This Row],[Country Code]],Table29[],5,FALSE)</f>
        <v>High-income</v>
      </c>
      <c r="Y992" s="233" t="str">
        <f>VLOOKUP(Table3[[#This Row],[Country Code]],Table29[],6,FALSE)</f>
        <v>no</v>
      </c>
      <c r="Z992" s="233" t="str">
        <f>VLOOKUP(Table3[[#This Row],[Country Code]],Table29[],7,FALSE)</f>
        <v>no</v>
      </c>
      <c r="AA992" s="233" t="str">
        <f>VLOOKUP(Table3[[#This Row],[Country Code]],Table29[],8,FALSE)</f>
        <v>non-OECD</v>
      </c>
      <c r="AB992" s="233" t="str">
        <f>VLOOKUP(Table3[[#This Row],[Country Code]],Table29[],9,FALSE)</f>
        <v>no</v>
      </c>
      <c r="AC992" s="233" t="str">
        <f>VLOOKUP(Table3[[#This Row],[Country Code]],Table29[],10,FALSE)</f>
        <v>no</v>
      </c>
      <c r="AD992" s="235">
        <f>VLOOKUP(Table3[[#This Row],[Country Code]],Table29[],23,FALSE)</f>
        <v>74.290132466078006</v>
      </c>
      <c r="AE992" s="235">
        <f>VLOOKUP(Table3[[#This Row],[Country Code]],Table29[],24,FALSE)</f>
        <v>6.8133364043247093</v>
      </c>
      <c r="AF992" s="43"/>
    </row>
    <row r="993" spans="1:32" x14ac:dyDescent="0.25">
      <c r="A993" s="360">
        <v>32410</v>
      </c>
      <c r="B993" s="233" t="str">
        <f>VLOOKUP(Table3[[#This Row],[Document ID]],Table1[],2,FALSE)</f>
        <v>ARG</v>
      </c>
      <c r="C993" s="233" t="str">
        <f>VLOOKUP(Table3[[#This Row],[Document ID]],Table1[],3,FALSE)</f>
        <v>Argentina</v>
      </c>
      <c r="D993" s="233" t="str">
        <f>VLOOKUP(Table3[[#This Row],[Document ID]],Table1[],5,FALSE)</f>
        <v>LTS</v>
      </c>
      <c r="E993" s="233" t="str">
        <f>VLOOKUP(Table3[[#This Row],[Document ID]],Table1[],7,FALSE)</f>
        <v>LTS</v>
      </c>
      <c r="F993" s="233" t="str">
        <f>VLOOKUP(Table3[[#This Row],[Document ID]],Table1[],8,FALSE)</f>
        <v>LTS 1.0</v>
      </c>
      <c r="G993" s="233" t="str">
        <f>VLOOKUP(Table3[[#This Row],[Document ID]],Table1[],10,FALSE)</f>
        <v>Active</v>
      </c>
      <c r="H993" s="43" t="s">
        <v>1147</v>
      </c>
      <c r="I993" s="43" t="s">
        <v>1089</v>
      </c>
      <c r="J993" s="43" t="s">
        <v>1090</v>
      </c>
      <c r="K993" s="28" t="s">
        <v>1121</v>
      </c>
      <c r="L993" s="43" t="s">
        <v>1116</v>
      </c>
      <c r="M993" s="209">
        <v>2050</v>
      </c>
      <c r="N993" s="43" t="s">
        <v>2110</v>
      </c>
      <c r="O993" s="258">
        <v>4</v>
      </c>
      <c r="P993" s="238" t="str">
        <f>VLOOKUP(_xlfn.CONCAT(Table3[[#This Row],[Target area]],Table3[[#This Row],[GHG target?]],Table3[[#This Row],[Conditionality]]),'Drop down'!$E$81:$F$101,2,FALSE)</f>
        <v>T_Netzero</v>
      </c>
      <c r="Q993" s="239" t="str">
        <f>VLOOKUP(Table3[[#This Row],[Target type]],Table418[[Value name]:[Value idenifyer]],2,FALSE)</f>
        <v>T_FL</v>
      </c>
      <c r="V993" s="233" t="str">
        <f>VLOOKUP(Table3[[#This Row],[Country Code]],Table29[],3,FALSE)</f>
        <v>Non-Annex I</v>
      </c>
      <c r="W993" s="233" t="str">
        <f>VLOOKUP(Table3[[#This Row],[Country Code]],Table29[],4,FALSE)</f>
        <v>Latin America and the Caribbean</v>
      </c>
      <c r="X993" s="233" t="str">
        <f>VLOOKUP(Table3[[#This Row],[Country Code]],Table29[],5,FALSE)</f>
        <v>Middle-income</v>
      </c>
      <c r="Y993" s="233" t="str">
        <f>VLOOKUP(Table3[[#This Row],[Country Code]],Table29[],6,FALSE)</f>
        <v>G20</v>
      </c>
      <c r="Z993" s="233" t="str">
        <f>VLOOKUP(Table3[[#This Row],[Country Code]],Table29[],7,FALSE)</f>
        <v>no</v>
      </c>
      <c r="AA993" s="233" t="str">
        <f>VLOOKUP(Table3[[#This Row],[Country Code]],Table29[],8,FALSE)</f>
        <v>non-OECD</v>
      </c>
      <c r="AB993" s="233" t="str">
        <f>VLOOKUP(Table3[[#This Row],[Country Code]],Table29[],9,FALSE)</f>
        <v>no</v>
      </c>
      <c r="AC993" s="233" t="str">
        <f>VLOOKUP(Table3[[#This Row],[Country Code]],Table29[],10,FALSE)</f>
        <v>no</v>
      </c>
      <c r="AD993" s="235">
        <f>VLOOKUP(Table3[[#This Row],[Country Code]],Table29[],23,FALSE)</f>
        <v>365.68461861929001</v>
      </c>
      <c r="AE993" s="235">
        <f>VLOOKUP(Table3[[#This Row],[Country Code]],Table29[],24,FALSE)</f>
        <v>48.339727076899749</v>
      </c>
      <c r="AF993" s="43"/>
    </row>
    <row r="994" spans="1:32" ht="30" x14ac:dyDescent="0.25">
      <c r="A994" s="360">
        <v>29228</v>
      </c>
      <c r="B994" s="233" t="str">
        <f>VLOOKUP(Table3[[#This Row],[Document ID]],Table1[],2,FALSE)</f>
        <v>AUS</v>
      </c>
      <c r="C994" s="233" t="str">
        <f>VLOOKUP(Table3[[#This Row],[Document ID]],Table1[],3,FALSE)</f>
        <v>Australia</v>
      </c>
      <c r="D994" s="233" t="str">
        <f>VLOOKUP(Table3[[#This Row],[Document ID]],Table1[],5,FALSE)</f>
        <v>NDC</v>
      </c>
      <c r="E994" s="233" t="str">
        <f>VLOOKUP(Table3[[#This Row],[Document ID]],Table1[],7,FALSE)</f>
        <v>First NDC updated</v>
      </c>
      <c r="F994" s="233" t="str">
        <f>VLOOKUP(Table3[[#This Row],[Document ID]],Table1[],8,FALSE)</f>
        <v>NDC 1.3</v>
      </c>
      <c r="G994" s="233" t="str">
        <f>VLOOKUP(Table3[[#This Row],[Document ID]],Table1[],10,FALSE)</f>
        <v>Active</v>
      </c>
      <c r="H994" s="43" t="s">
        <v>1147</v>
      </c>
      <c r="I994" s="43" t="s">
        <v>1089</v>
      </c>
      <c r="J994" s="43" t="s">
        <v>1090</v>
      </c>
      <c r="K994" s="28" t="s">
        <v>1121</v>
      </c>
      <c r="L994" s="43" t="s">
        <v>1116</v>
      </c>
      <c r="M994" s="209">
        <v>2050</v>
      </c>
      <c r="N994" s="44" t="s">
        <v>1158</v>
      </c>
      <c r="O994" s="258">
        <v>3</v>
      </c>
      <c r="P994" s="238" t="str">
        <f>VLOOKUP(_xlfn.CONCAT(Table3[[#This Row],[Target area]],Table3[[#This Row],[GHG target?]],Table3[[#This Row],[Conditionality]]),'Drop down'!$E$81:$F$101,2,FALSE)</f>
        <v>T_Netzero</v>
      </c>
      <c r="Q994" s="239" t="str">
        <f>VLOOKUP(Table3[[#This Row],[Target type]],Table418[[Value name]:[Value idenifyer]],2,FALSE)</f>
        <v>T_FL</v>
      </c>
      <c r="T994" s="240"/>
      <c r="V994" s="233" t="str">
        <f>VLOOKUP(Table3[[#This Row],[Country Code]],Table29[],3,FALSE)</f>
        <v>Annex I</v>
      </c>
      <c r="W994" s="233" t="str">
        <f>VLOOKUP(Table3[[#This Row],[Country Code]],Table29[],4,FALSE)</f>
        <v>Oceania</v>
      </c>
      <c r="X994" s="233" t="str">
        <f>VLOOKUP(Table3[[#This Row],[Country Code]],Table29[],5,FALSE)</f>
        <v>High-income</v>
      </c>
      <c r="Y994" s="233" t="str">
        <f>VLOOKUP(Table3[[#This Row],[Country Code]],Table29[],6,FALSE)</f>
        <v>G20</v>
      </c>
      <c r="Z994" s="233" t="str">
        <f>VLOOKUP(Table3[[#This Row],[Country Code]],Table29[],7,FALSE)</f>
        <v>no</v>
      </c>
      <c r="AA994" s="233" t="str">
        <f>VLOOKUP(Table3[[#This Row],[Country Code]],Table29[],8,FALSE)</f>
        <v>OECD</v>
      </c>
      <c r="AB994" s="233" t="str">
        <f>VLOOKUP(Table3[[#This Row],[Country Code]],Table29[],9,FALSE)</f>
        <v>no</v>
      </c>
      <c r="AC994" s="233" t="str">
        <f>VLOOKUP(Table3[[#This Row],[Country Code]],Table29[],10,FALSE)</f>
        <v>no</v>
      </c>
      <c r="AD994" s="235">
        <f>VLOOKUP(Table3[[#This Row],[Country Code]],Table29[],23,FALSE)</f>
        <v>571.83984854670996</v>
      </c>
      <c r="AE994" s="235">
        <f>VLOOKUP(Table3[[#This Row],[Country Code]],Table29[],24,FALSE)</f>
        <v>97.492958559878787</v>
      </c>
      <c r="AF994" s="42"/>
    </row>
    <row r="995" spans="1:32" x14ac:dyDescent="0.25">
      <c r="A995" s="360">
        <v>24678</v>
      </c>
      <c r="B995" s="233" t="str">
        <f>VLOOKUP(Table3[[#This Row],[Document ID]],Table1[],2,FALSE)</f>
        <v>AUT</v>
      </c>
      <c r="C995" s="233" t="str">
        <f>VLOOKUP(Table3[[#This Row],[Document ID]],Table1[],3,FALSE)</f>
        <v>Austria</v>
      </c>
      <c r="D995" s="233" t="str">
        <f>VLOOKUP(Table3[[#This Row],[Document ID]],Table1[],5,FALSE)</f>
        <v>LTS</v>
      </c>
      <c r="E995" s="233" t="str">
        <f>VLOOKUP(Table3[[#This Row],[Document ID]],Table1[],7,FALSE)</f>
        <v>LTS</v>
      </c>
      <c r="F995" s="233" t="str">
        <f>VLOOKUP(Table3[[#This Row],[Document ID]],Table1[],8,FALSE)</f>
        <v>LTS 1.0</v>
      </c>
      <c r="G995" s="233" t="str">
        <f>VLOOKUP(Table3[[#This Row],[Document ID]],Table1[],10,FALSE)</f>
        <v>Active</v>
      </c>
      <c r="H995" s="43" t="s">
        <v>1147</v>
      </c>
      <c r="I995" s="43" t="s">
        <v>1089</v>
      </c>
      <c r="J995" s="43" t="s">
        <v>1090</v>
      </c>
      <c r="K995" s="28" t="s">
        <v>1121</v>
      </c>
      <c r="L995" s="43" t="s">
        <v>1116</v>
      </c>
      <c r="M995" s="209">
        <v>2050</v>
      </c>
      <c r="N995" s="44" t="s">
        <v>1166</v>
      </c>
      <c r="O995" s="258">
        <v>5</v>
      </c>
      <c r="P995" s="238" t="str">
        <f>VLOOKUP(_xlfn.CONCAT(Table3[[#This Row],[Target area]],Table3[[#This Row],[GHG target?]],Table3[[#This Row],[Conditionality]]),'Drop down'!$E$81:$F$101,2,FALSE)</f>
        <v>T_Netzero</v>
      </c>
      <c r="Q995" s="239" t="str">
        <f>VLOOKUP(Table3[[#This Row],[Target type]],Table418[[Value name]:[Value idenifyer]],2,FALSE)</f>
        <v>T_FL</v>
      </c>
      <c r="V995" s="233" t="str">
        <f>VLOOKUP(Table3[[#This Row],[Country Code]],Table29[],3,FALSE)</f>
        <v>Annex I</v>
      </c>
      <c r="W995" s="233" t="str">
        <f>VLOOKUP(Table3[[#This Row],[Country Code]],Table29[],4,FALSE)</f>
        <v>Europe</v>
      </c>
      <c r="X995" s="233" t="str">
        <f>VLOOKUP(Table3[[#This Row],[Country Code]],Table29[],5,FALSE)</f>
        <v>High-income</v>
      </c>
      <c r="Y995" s="233" t="str">
        <f>VLOOKUP(Table3[[#This Row],[Country Code]],Table29[],6,FALSE)</f>
        <v>no</v>
      </c>
      <c r="Z995" s="233" t="str">
        <f>VLOOKUP(Table3[[#This Row],[Country Code]],Table29[],7,FALSE)</f>
        <v>no</v>
      </c>
      <c r="AA995" s="233" t="str">
        <f>VLOOKUP(Table3[[#This Row],[Country Code]],Table29[],8,FALSE)</f>
        <v>OECD</v>
      </c>
      <c r="AB995" s="233" t="str">
        <f>VLOOKUP(Table3[[#This Row],[Country Code]],Table29[],9,FALSE)</f>
        <v>EU27</v>
      </c>
      <c r="AC995" s="233" t="str">
        <f>VLOOKUP(Table3[[#This Row],[Country Code]],Table29[],10,FALSE)</f>
        <v>no</v>
      </c>
      <c r="AD995" s="235">
        <f>VLOOKUP(Table3[[#This Row],[Country Code]],Table29[],23,FALSE)</f>
        <v>72.921492529811999</v>
      </c>
      <c r="AE995" s="235">
        <f>VLOOKUP(Table3[[#This Row],[Country Code]],Table29[],24,FALSE)</f>
        <v>21.372731064834241</v>
      </c>
      <c r="AF995" s="43"/>
    </row>
    <row r="996" spans="1:32" x14ac:dyDescent="0.25">
      <c r="A996" s="360">
        <v>42000</v>
      </c>
      <c r="B996" s="233" t="str">
        <f>VLOOKUP(Table3[[#This Row],[Document ID]],Table1[],2,FALSE)</f>
        <v>IRQ</v>
      </c>
      <c r="C996" s="233" t="str">
        <f>VLOOKUP(Table3[[#This Row],[Document ID]],Table1[],3,FALSE)</f>
        <v>Iraq</v>
      </c>
      <c r="D996" s="233" t="str">
        <f>VLOOKUP(Table3[[#This Row],[Document ID]],Table1[],5,FALSE)</f>
        <v>NDC</v>
      </c>
      <c r="E996" s="233" t="str">
        <f>VLOOKUP(Table3[[#This Row],[Document ID]],Table1[],7,FALSE)</f>
        <v>First NDC</v>
      </c>
      <c r="F996" s="233" t="str">
        <f>VLOOKUP(Table3[[#This Row],[Document ID]],Table1[],8,FALSE)</f>
        <v>NDC 1.0</v>
      </c>
      <c r="G996" s="233" t="str">
        <f>VLOOKUP(Table3[[#This Row],[Document ID]],Table1[],10,FALSE)</f>
        <v>Archived</v>
      </c>
      <c r="H996" s="216" t="s">
        <v>1089</v>
      </c>
      <c r="I996" s="216" t="s">
        <v>1089</v>
      </c>
      <c r="J996" s="43" t="s">
        <v>1090</v>
      </c>
      <c r="K996" s="28" t="s">
        <v>1091</v>
      </c>
      <c r="L996" s="43" t="s">
        <v>1092</v>
      </c>
      <c r="M996" s="209">
        <v>2035</v>
      </c>
      <c r="N996" s="176" t="s">
        <v>2111</v>
      </c>
      <c r="O996" s="258" t="s">
        <v>1094</v>
      </c>
      <c r="P996" s="238" t="str">
        <f>VLOOKUP(_xlfn.CONCAT(Table3[[#This Row],[Target area]],Table3[[#This Row],[GHG target?]],Table3[[#This Row],[Conditionality]]),'Drop down'!$E$81:$F$101,2,FALSE)</f>
        <v>T_Economy_C</v>
      </c>
      <c r="Q996" s="239" t="str">
        <f>VLOOKUP(Table3[[#This Row],[Target type]],Table418[[Value name]:[Value idenifyer]],2,FALSE)</f>
        <v>T_BAU</v>
      </c>
      <c r="V996" s="233" t="str">
        <f>VLOOKUP(Table3[[#This Row],[Country Code]],Table29[],3,FALSE)</f>
        <v>Non-Annex I</v>
      </c>
      <c r="W996" s="233" t="str">
        <f>VLOOKUP(Table3[[#This Row],[Country Code]],Table29[],4,FALSE)</f>
        <v>Asia</v>
      </c>
      <c r="X996" s="233" t="str">
        <f>VLOOKUP(Table3[[#This Row],[Country Code]],Table29[],5,FALSE)</f>
        <v>Middle-income</v>
      </c>
      <c r="Y996" s="233" t="str">
        <f>VLOOKUP(Table3[[#This Row],[Country Code]],Table29[],6,FALSE)</f>
        <v>no</v>
      </c>
      <c r="Z996" s="233" t="str">
        <f>VLOOKUP(Table3[[#This Row],[Country Code]],Table29[],7,FALSE)</f>
        <v>no</v>
      </c>
      <c r="AA996" s="233" t="str">
        <f>VLOOKUP(Table3[[#This Row],[Country Code]],Table29[],8,FALSE)</f>
        <v>non-OECD</v>
      </c>
      <c r="AB996" s="233" t="str">
        <f>VLOOKUP(Table3[[#This Row],[Country Code]],Table29[],9,FALSE)</f>
        <v>no</v>
      </c>
      <c r="AC996" s="233" t="str">
        <f>VLOOKUP(Table3[[#This Row],[Country Code]],Table29[],10,FALSE)</f>
        <v>MENA</v>
      </c>
      <c r="AD996" s="235">
        <f>VLOOKUP(Table3[[#This Row],[Country Code]],Table29[],23,FALSE)</f>
        <v>362.78479656291</v>
      </c>
      <c r="AE996" s="235">
        <f>VLOOKUP(Table3[[#This Row],[Country Code]],Table29[],24,FALSE)</f>
        <v>40.534963091292582</v>
      </c>
      <c r="AF996" s="43"/>
    </row>
    <row r="997" spans="1:32" x14ac:dyDescent="0.25">
      <c r="A997" s="360">
        <v>42001</v>
      </c>
      <c r="B997" s="233" t="str">
        <f>VLOOKUP(Table3[[#This Row],[Document ID]],Table1[],2,FALSE)</f>
        <v>ISR</v>
      </c>
      <c r="C997" s="233" t="str">
        <f>VLOOKUP(Table3[[#This Row],[Document ID]],Table1[],3,FALSE)</f>
        <v>Israel</v>
      </c>
      <c r="D997" s="233" t="str">
        <f>VLOOKUP(Table3[[#This Row],[Document ID]],Table1[],5,FALSE)</f>
        <v>Other</v>
      </c>
      <c r="E997" s="233" t="str">
        <f>VLOOKUP(Table3[[#This Row],[Document ID]],Table1[],7,FALSE)</f>
        <v>WRI Net Zero Tracker</v>
      </c>
      <c r="F997" s="233" t="str">
        <f>VLOOKUP(Table3[[#This Row],[Document ID]],Table1[],8,FALSE)</f>
        <v>NA</v>
      </c>
      <c r="G997" s="233" t="str">
        <f>VLOOKUP(Table3[[#This Row],[Document ID]],Table1[],10,FALSE)</f>
        <v>Active</v>
      </c>
      <c r="H997" s="43" t="s">
        <v>1147</v>
      </c>
      <c r="I997" s="43" t="s">
        <v>1089</v>
      </c>
      <c r="J997" s="43" t="s">
        <v>1090</v>
      </c>
      <c r="K997" s="28" t="s">
        <v>1121</v>
      </c>
      <c r="L997" s="43" t="s">
        <v>1116</v>
      </c>
      <c r="M997" s="209">
        <v>2050</v>
      </c>
      <c r="N997" s="43" t="s">
        <v>1478</v>
      </c>
      <c r="O997" s="258"/>
      <c r="P997" s="238" t="str">
        <f>VLOOKUP(_xlfn.CONCAT(Table3[[#This Row],[Target area]],Table3[[#This Row],[GHG target?]],Table3[[#This Row],[Conditionality]]),'Drop down'!$E$81:$F$101,2,FALSE)</f>
        <v>T_Netzero</v>
      </c>
      <c r="Q997" s="239" t="str">
        <f>VLOOKUP(Table3[[#This Row],[Target type]],Table418[[Value name]:[Value idenifyer]],2,FALSE)</f>
        <v>T_FL</v>
      </c>
      <c r="U997" s="234" t="s">
        <v>1240</v>
      </c>
      <c r="V997" s="233" t="str">
        <f>VLOOKUP(Table3[[#This Row],[Country Code]],Table29[],3,FALSE)</f>
        <v>Non-Annex I</v>
      </c>
      <c r="W997" s="233" t="str">
        <f>VLOOKUP(Table3[[#This Row],[Country Code]],Table29[],4,FALSE)</f>
        <v>Asia</v>
      </c>
      <c r="X997" s="233" t="str">
        <f>VLOOKUP(Table3[[#This Row],[Country Code]],Table29[],5,FALSE)</f>
        <v>High-income</v>
      </c>
      <c r="Y997" s="233" t="str">
        <f>VLOOKUP(Table3[[#This Row],[Country Code]],Table29[],6,FALSE)</f>
        <v>no</v>
      </c>
      <c r="Z997" s="233" t="str">
        <f>VLOOKUP(Table3[[#This Row],[Country Code]],Table29[],7,FALSE)</f>
        <v>no</v>
      </c>
      <c r="AA997" s="233" t="str">
        <f>VLOOKUP(Table3[[#This Row],[Country Code]],Table29[],8,FALSE)</f>
        <v>OECD</v>
      </c>
      <c r="AB997" s="233" t="str">
        <f>VLOOKUP(Table3[[#This Row],[Country Code]],Table29[],9,FALSE)</f>
        <v>no</v>
      </c>
      <c r="AC997" s="233" t="str">
        <f>VLOOKUP(Table3[[#This Row],[Country Code]],Table29[],10,FALSE)</f>
        <v>MENA</v>
      </c>
      <c r="AD997" s="235">
        <f>VLOOKUP(Table3[[#This Row],[Country Code]],Table29[],23,FALSE)</f>
        <v>79.578174881425994</v>
      </c>
      <c r="AE997" s="235">
        <f>VLOOKUP(Table3[[#This Row],[Country Code]],Table29[],24,FALSE)</f>
        <v>18.692155253646391</v>
      </c>
      <c r="AF997" s="43"/>
    </row>
    <row r="998" spans="1:32" ht="30" x14ac:dyDescent="0.25">
      <c r="A998" s="360">
        <v>17528</v>
      </c>
      <c r="B998" s="233" t="str">
        <f>VLOOKUP(Table3[[#This Row],[Document ID]],Table1[],2,FALSE)</f>
        <v>BEL</v>
      </c>
      <c r="C998" s="233" t="str">
        <f>VLOOKUP(Table3[[#This Row],[Document ID]],Table1[],3,FALSE)</f>
        <v>Belgium</v>
      </c>
      <c r="D998" s="233" t="str">
        <f>VLOOKUP(Table3[[#This Row],[Document ID]],Table1[],5,FALSE)</f>
        <v>LTS</v>
      </c>
      <c r="E998" s="233" t="str">
        <f>VLOOKUP(Table3[[#This Row],[Document ID]],Table1[],7,FALSE)</f>
        <v>EU-LTS</v>
      </c>
      <c r="F998" s="233" t="str">
        <f>VLOOKUP(Table3[[#This Row],[Document ID]],Table1[],8,FALSE)</f>
        <v>LTS 1.0</v>
      </c>
      <c r="G998" s="233" t="str">
        <f>VLOOKUP(Table3[[#This Row],[Document ID]],Table1[],10,FALSE)</f>
        <v>Active</v>
      </c>
      <c r="H998" s="43" t="s">
        <v>1147</v>
      </c>
      <c r="I998" s="43" t="s">
        <v>1089</v>
      </c>
      <c r="J998" s="43" t="s">
        <v>1090</v>
      </c>
      <c r="K998" s="28" t="s">
        <v>1121</v>
      </c>
      <c r="L998" s="43" t="s">
        <v>1116</v>
      </c>
      <c r="M998" s="209">
        <v>2050</v>
      </c>
      <c r="N998" s="44" t="s">
        <v>2112</v>
      </c>
      <c r="O998" s="258"/>
      <c r="P998" s="238" t="str">
        <f>VLOOKUP(_xlfn.CONCAT(Table3[[#This Row],[Target area]],Table3[[#This Row],[GHG target?]],Table3[[#This Row],[Conditionality]]),'Drop down'!$E$81:$F$101,2,FALSE)</f>
        <v>T_Netzero</v>
      </c>
      <c r="Q998" s="239" t="str">
        <f>VLOOKUP(Table3[[#This Row],[Target type]],Table418[[Value name]:[Value idenifyer]],2,FALSE)</f>
        <v>T_FL</v>
      </c>
      <c r="V998" s="233" t="str">
        <f>VLOOKUP(Table3[[#This Row],[Country Code]],Table29[],3,FALSE)</f>
        <v>Annex I</v>
      </c>
      <c r="W998" s="233" t="str">
        <f>VLOOKUP(Table3[[#This Row],[Country Code]],Table29[],4,FALSE)</f>
        <v>Europe</v>
      </c>
      <c r="X998" s="233" t="str">
        <f>VLOOKUP(Table3[[#This Row],[Country Code]],Table29[],5,FALSE)</f>
        <v>High-income</v>
      </c>
      <c r="Y998" s="233" t="str">
        <f>VLOOKUP(Table3[[#This Row],[Country Code]],Table29[],6,FALSE)</f>
        <v>no</v>
      </c>
      <c r="Z998" s="233" t="str">
        <f>VLOOKUP(Table3[[#This Row],[Country Code]],Table29[],7,FALSE)</f>
        <v>no</v>
      </c>
      <c r="AA998" s="233" t="str">
        <f>VLOOKUP(Table3[[#This Row],[Country Code]],Table29[],8,FALSE)</f>
        <v>OECD</v>
      </c>
      <c r="AB998" s="233" t="str">
        <f>VLOOKUP(Table3[[#This Row],[Country Code]],Table29[],9,FALSE)</f>
        <v>EU27</v>
      </c>
      <c r="AC998" s="233" t="str">
        <f>VLOOKUP(Table3[[#This Row],[Country Code]],Table29[],10,FALSE)</f>
        <v>no</v>
      </c>
      <c r="AD998" s="235">
        <f>VLOOKUP(Table3[[#This Row],[Country Code]],Table29[],23,FALSE)</f>
        <v>106.37018790875</v>
      </c>
      <c r="AE998" s="235">
        <f>VLOOKUP(Table3[[#This Row],[Country Code]],Table29[],24,FALSE)</f>
        <v>22.197662702188101</v>
      </c>
      <c r="AF998" s="43"/>
    </row>
    <row r="999" spans="1:32" ht="30" x14ac:dyDescent="0.25">
      <c r="A999" s="360">
        <v>21711</v>
      </c>
      <c r="B999" s="233" t="str">
        <f>VLOOKUP(Table3[[#This Row],[Document ID]],Table1[],2,FALSE)</f>
        <v>BLZ</v>
      </c>
      <c r="C999" s="233" t="str">
        <f>VLOOKUP(Table3[[#This Row],[Document ID]],Table1[],3,FALSE)</f>
        <v>Belize</v>
      </c>
      <c r="D999" s="233" t="str">
        <f>VLOOKUP(Table3[[#This Row],[Document ID]],Table1[],5,FALSE)</f>
        <v>NDC</v>
      </c>
      <c r="E999" s="233" t="str">
        <f>VLOOKUP(Table3[[#This Row],[Document ID]],Table1[],7,FALSE)</f>
        <v>First NDC updated</v>
      </c>
      <c r="F999" s="233" t="str">
        <f>VLOOKUP(Table3[[#This Row],[Document ID]],Table1[],8,FALSE)</f>
        <v>NDC 1.1</v>
      </c>
      <c r="G999" s="233" t="str">
        <f>VLOOKUP(Table3[[#This Row],[Document ID]],Table1[],10,FALSE)</f>
        <v>Active</v>
      </c>
      <c r="H999" s="43" t="s">
        <v>1147</v>
      </c>
      <c r="I999" s="43" t="s">
        <v>1089</v>
      </c>
      <c r="J999" s="43" t="s">
        <v>1090</v>
      </c>
      <c r="K999" s="28" t="s">
        <v>1121</v>
      </c>
      <c r="L999" s="43" t="s">
        <v>1116</v>
      </c>
      <c r="M999" s="209">
        <v>2050</v>
      </c>
      <c r="N999" s="209" t="s">
        <v>2113</v>
      </c>
      <c r="O999" s="258">
        <v>1</v>
      </c>
      <c r="P999" s="238" t="str">
        <f>VLOOKUP(_xlfn.CONCAT(Table3[[#This Row],[Target area]],Table3[[#This Row],[GHG target?]],Table3[[#This Row],[Conditionality]]),'Drop down'!$E$81:$F$101,2,FALSE)</f>
        <v>T_Netzero</v>
      </c>
      <c r="Q999" s="239" t="str">
        <f>VLOOKUP(Table3[[#This Row],[Target type]],Table418[[Value name]:[Value idenifyer]],2,FALSE)</f>
        <v>T_FL</v>
      </c>
      <c r="T999" s="240"/>
      <c r="V999" s="233" t="str">
        <f>VLOOKUP(Table3[[#This Row],[Country Code]],Table29[],3,FALSE)</f>
        <v>Non-Annex I</v>
      </c>
      <c r="W999" s="233" t="str">
        <f>VLOOKUP(Table3[[#This Row],[Country Code]],Table29[],4,FALSE)</f>
        <v>Latin America and the Caribbean</v>
      </c>
      <c r="X999" s="233" t="str">
        <f>VLOOKUP(Table3[[#This Row],[Country Code]],Table29[],5,FALSE)</f>
        <v>Middle-income</v>
      </c>
      <c r="Y999" s="233" t="str">
        <f>VLOOKUP(Table3[[#This Row],[Country Code]],Table29[],6,FALSE)</f>
        <v>no</v>
      </c>
      <c r="Z999" s="233" t="str">
        <f>VLOOKUP(Table3[[#This Row],[Country Code]],Table29[],7,FALSE)</f>
        <v>no</v>
      </c>
      <c r="AA999" s="233" t="str">
        <f>VLOOKUP(Table3[[#This Row],[Country Code]],Table29[],8,FALSE)</f>
        <v>non-OECD</v>
      </c>
      <c r="AB999" s="233" t="str">
        <f>VLOOKUP(Table3[[#This Row],[Country Code]],Table29[],9,FALSE)</f>
        <v>no</v>
      </c>
      <c r="AC999" s="233" t="str">
        <f>VLOOKUP(Table3[[#This Row],[Country Code]],Table29[],10,FALSE)</f>
        <v>no</v>
      </c>
      <c r="AD999" s="235">
        <f>VLOOKUP(Table3[[#This Row],[Country Code]],Table29[],23,FALSE)</f>
        <v>0.92034733748830999</v>
      </c>
      <c r="AE999" s="235">
        <f>VLOOKUP(Table3[[#This Row],[Country Code]],Table29[],24,FALSE)</f>
        <v>9.6336672952528554E-2</v>
      </c>
      <c r="AF999" s="42"/>
    </row>
    <row r="1000" spans="1:32" ht="30" x14ac:dyDescent="0.25">
      <c r="A1000" s="360">
        <v>20881</v>
      </c>
      <c r="B1000" s="233" t="str">
        <f>VLOOKUP(Table3[[#This Row],[Document ID]],Table1[],2,FALSE)</f>
        <v>BTN</v>
      </c>
      <c r="C1000" s="233" t="str">
        <f>VLOOKUP(Table3[[#This Row],[Document ID]],Table1[],3,FALSE)</f>
        <v>Bhutan</v>
      </c>
      <c r="D1000" s="233" t="str">
        <f>VLOOKUP(Table3[[#This Row],[Document ID]],Table1[],5,FALSE)</f>
        <v>NDC</v>
      </c>
      <c r="E1000" s="233" t="str">
        <f>VLOOKUP(Table3[[#This Row],[Document ID]],Table1[],7,FALSE)</f>
        <v>Second NDC</v>
      </c>
      <c r="F1000" s="233" t="str">
        <f>VLOOKUP(Table3[[#This Row],[Document ID]],Table1[],8,FALSE)</f>
        <v>NDC 2.0</v>
      </c>
      <c r="G1000" s="233" t="str">
        <f>VLOOKUP(Table3[[#This Row],[Document ID]],Table1[],10,FALSE)</f>
        <v>Active</v>
      </c>
      <c r="H1000" s="43" t="s">
        <v>1147</v>
      </c>
      <c r="I1000" s="43" t="s">
        <v>1089</v>
      </c>
      <c r="J1000" s="43" t="s">
        <v>1090</v>
      </c>
      <c r="K1000" s="28" t="s">
        <v>1121</v>
      </c>
      <c r="L1000" s="43" t="s">
        <v>1116</v>
      </c>
      <c r="M1000" s="209">
        <v>2030</v>
      </c>
      <c r="N1000" s="209" t="s">
        <v>1200</v>
      </c>
      <c r="O1000" s="258">
        <v>5</v>
      </c>
      <c r="P1000" s="238" t="str">
        <f>VLOOKUP(_xlfn.CONCAT(Table3[[#This Row],[Target area]],Table3[[#This Row],[GHG target?]],Table3[[#This Row],[Conditionality]]),'Drop down'!$E$81:$F$101,2,FALSE)</f>
        <v>T_Netzero</v>
      </c>
      <c r="Q1000" s="239" t="str">
        <f>VLOOKUP(Table3[[#This Row],[Target type]],Table418[[Value name]:[Value idenifyer]],2,FALSE)</f>
        <v>T_FL</v>
      </c>
      <c r="T1000" s="240"/>
      <c r="V1000" s="233" t="str">
        <f>VLOOKUP(Table3[[#This Row],[Country Code]],Table29[],3,FALSE)</f>
        <v>Non-Annex I</v>
      </c>
      <c r="W1000" s="233" t="str">
        <f>VLOOKUP(Table3[[#This Row],[Country Code]],Table29[],4,FALSE)</f>
        <v>Asia</v>
      </c>
      <c r="X1000" s="233" t="str">
        <f>VLOOKUP(Table3[[#This Row],[Country Code]],Table29[],5,FALSE)</f>
        <v>Middle-income</v>
      </c>
      <c r="Y1000" s="233" t="str">
        <f>VLOOKUP(Table3[[#This Row],[Country Code]],Table29[],6,FALSE)</f>
        <v>no</v>
      </c>
      <c r="Z1000" s="233" t="str">
        <f>VLOOKUP(Table3[[#This Row],[Country Code]],Table29[],7,FALSE)</f>
        <v>no</v>
      </c>
      <c r="AA1000" s="233" t="str">
        <f>VLOOKUP(Table3[[#This Row],[Country Code]],Table29[],8,FALSE)</f>
        <v>non-OECD</v>
      </c>
      <c r="AB1000" s="233" t="str">
        <f>VLOOKUP(Table3[[#This Row],[Country Code]],Table29[],9,FALSE)</f>
        <v>no</v>
      </c>
      <c r="AC1000" s="233" t="str">
        <f>VLOOKUP(Table3[[#This Row],[Country Code]],Table29[],10,FALSE)</f>
        <v>no</v>
      </c>
      <c r="AD1000" s="235">
        <f>VLOOKUP(Table3[[#This Row],[Country Code]],Table29[],23,FALSE)</f>
        <v>3.2548573740653</v>
      </c>
      <c r="AE1000" s="235">
        <f>VLOOKUP(Table3[[#This Row],[Country Code]],Table29[],24,FALSE)</f>
        <v>0.43507987337923443</v>
      </c>
      <c r="AF1000" s="43"/>
    </row>
    <row r="1001" spans="1:32" ht="75" x14ac:dyDescent="0.25">
      <c r="A1001" s="360">
        <v>17539</v>
      </c>
      <c r="B1001" s="233" t="str">
        <f>VLOOKUP(Table3[[#This Row],[Document ID]],Table1[],2,FALSE)</f>
        <v>BRA</v>
      </c>
      <c r="C1001" s="233" t="str">
        <f>VLOOKUP(Table3[[#This Row],[Document ID]],Table1[],3,FALSE)</f>
        <v>Brazil</v>
      </c>
      <c r="D1001" s="233" t="str">
        <f>VLOOKUP(Table3[[#This Row],[Document ID]],Table1[],5,FALSE)</f>
        <v>NDC</v>
      </c>
      <c r="E1001" s="233" t="str">
        <f>VLOOKUP(Table3[[#This Row],[Document ID]],Table1[],7,FALSE)</f>
        <v>First NDC updated</v>
      </c>
      <c r="F1001" s="233" t="str">
        <f>VLOOKUP(Table3[[#This Row],[Document ID]],Table1[],8,FALSE)</f>
        <v>NDC 1.1</v>
      </c>
      <c r="G1001" s="233" t="str">
        <f>VLOOKUP(Table3[[#This Row],[Document ID]],Table1[],10,FALSE)</f>
        <v>Archived</v>
      </c>
      <c r="H1001" s="43" t="s">
        <v>1147</v>
      </c>
      <c r="I1001" s="43" t="s">
        <v>1089</v>
      </c>
      <c r="J1001" s="43" t="s">
        <v>1090</v>
      </c>
      <c r="K1001" s="28" t="s">
        <v>1121</v>
      </c>
      <c r="L1001" s="43" t="s">
        <v>1116</v>
      </c>
      <c r="M1001" s="209">
        <v>2050</v>
      </c>
      <c r="N1001" s="44" t="s">
        <v>2114</v>
      </c>
      <c r="O1001" s="258">
        <v>1</v>
      </c>
      <c r="P1001" s="238" t="str">
        <f>VLOOKUP(_xlfn.CONCAT(Table3[[#This Row],[Target area]],Table3[[#This Row],[GHG target?]],Table3[[#This Row],[Conditionality]]),'Drop down'!$E$81:$F$101,2,FALSE)</f>
        <v>T_Netzero</v>
      </c>
      <c r="Q1001" s="239" t="str">
        <f>VLOOKUP(Table3[[#This Row],[Target type]],Table418[[Value name]:[Value idenifyer]],2,FALSE)</f>
        <v>T_FL</v>
      </c>
      <c r="V1001" s="233" t="str">
        <f>VLOOKUP(Table3[[#This Row],[Country Code]],Table29[],3,FALSE)</f>
        <v>Non-Annex I</v>
      </c>
      <c r="W1001" s="233" t="str">
        <f>VLOOKUP(Table3[[#This Row],[Country Code]],Table29[],4,FALSE)</f>
        <v>Latin America and the Caribbean</v>
      </c>
      <c r="X1001" s="233" t="str">
        <f>VLOOKUP(Table3[[#This Row],[Country Code]],Table29[],5,FALSE)</f>
        <v>Middle-income</v>
      </c>
      <c r="Y1001" s="233" t="str">
        <f>VLOOKUP(Table3[[#This Row],[Country Code]],Table29[],6,FALSE)</f>
        <v>G20</v>
      </c>
      <c r="Z1001" s="233" t="str">
        <f>VLOOKUP(Table3[[#This Row],[Country Code]],Table29[],7,FALSE)</f>
        <v>no</v>
      </c>
      <c r="AA1001" s="233" t="str">
        <f>VLOOKUP(Table3[[#This Row],[Country Code]],Table29[],8,FALSE)</f>
        <v>non-OECD</v>
      </c>
      <c r="AB1001" s="233" t="str">
        <f>VLOOKUP(Table3[[#This Row],[Country Code]],Table29[],9,FALSE)</f>
        <v>no</v>
      </c>
      <c r="AC1001" s="233" t="str">
        <f>VLOOKUP(Table3[[#This Row],[Country Code]],Table29[],10,FALSE)</f>
        <v>no</v>
      </c>
      <c r="AD1001" s="235">
        <f>VLOOKUP(Table3[[#This Row],[Country Code]],Table29[],23,FALSE)</f>
        <v>1300.1688666752</v>
      </c>
      <c r="AE1001" s="235">
        <f>VLOOKUP(Table3[[#This Row],[Country Code]],Table29[],24,FALSE)</f>
        <v>221.12609205884911</v>
      </c>
      <c r="AF1001" s="43"/>
    </row>
    <row r="1002" spans="1:32" x14ac:dyDescent="0.25">
      <c r="A1002" s="360">
        <v>41739</v>
      </c>
      <c r="B1002" s="233" t="str">
        <f>VLOOKUP(Table3[[#This Row],[Document ID]],Table1[],2,FALSE)</f>
        <v>BRA</v>
      </c>
      <c r="C1002" s="233" t="str">
        <f>VLOOKUP(Table3[[#This Row],[Document ID]],Table1[],3,FALSE)</f>
        <v>Brazil</v>
      </c>
      <c r="D1002" s="233" t="str">
        <f>VLOOKUP(Table3[[#This Row],[Document ID]],Table1[],5,FALSE)</f>
        <v>NDC</v>
      </c>
      <c r="E1002" s="233" t="str">
        <f>VLOOKUP(Table3[[#This Row],[Document ID]],Table1[],7,FALSE)</f>
        <v>First NDC updated</v>
      </c>
      <c r="F1002" s="233" t="str">
        <f>VLOOKUP(Table3[[#This Row],[Document ID]],Table1[],8,FALSE)</f>
        <v>NDC 1.3</v>
      </c>
      <c r="G1002" s="233" t="str">
        <f>VLOOKUP(Table3[[#This Row],[Document ID]],Table1[],10,FALSE)</f>
        <v>Archived</v>
      </c>
      <c r="H1002" s="43" t="s">
        <v>1147</v>
      </c>
      <c r="I1002" s="43" t="s">
        <v>1089</v>
      </c>
      <c r="J1002" s="43" t="s">
        <v>1090</v>
      </c>
      <c r="K1002" s="28" t="s">
        <v>1121</v>
      </c>
      <c r="L1002" s="43" t="s">
        <v>1116</v>
      </c>
      <c r="M1002" s="209">
        <v>2050</v>
      </c>
      <c r="N1002" s="43" t="s">
        <v>1213</v>
      </c>
      <c r="O1002" s="258">
        <v>1</v>
      </c>
      <c r="P1002" s="238" t="str">
        <f>VLOOKUP(_xlfn.CONCAT(Table3[[#This Row],[Target area]],Table3[[#This Row],[GHG target?]],Table3[[#This Row],[Conditionality]]),'Drop down'!$E$81:$F$101,2,FALSE)</f>
        <v>T_Netzero</v>
      </c>
      <c r="Q1002" s="239" t="str">
        <f>VLOOKUP(Table3[[#This Row],[Target type]],Table418[[Value name]:[Value idenifyer]],2,FALSE)</f>
        <v>T_FL</v>
      </c>
      <c r="V1002" s="233" t="str">
        <f>VLOOKUP(Table3[[#This Row],[Country Code]],Table29[],3,FALSE)</f>
        <v>Non-Annex I</v>
      </c>
      <c r="W1002" s="233" t="str">
        <f>VLOOKUP(Table3[[#This Row],[Country Code]],Table29[],4,FALSE)</f>
        <v>Latin America and the Caribbean</v>
      </c>
      <c r="X1002" s="233" t="str">
        <f>VLOOKUP(Table3[[#This Row],[Country Code]],Table29[],5,FALSE)</f>
        <v>Middle-income</v>
      </c>
      <c r="Y1002" s="233" t="str">
        <f>VLOOKUP(Table3[[#This Row],[Country Code]],Table29[],6,FALSE)</f>
        <v>G20</v>
      </c>
      <c r="Z1002" s="233" t="str">
        <f>VLOOKUP(Table3[[#This Row],[Country Code]],Table29[],7,FALSE)</f>
        <v>no</v>
      </c>
      <c r="AA1002" s="233" t="str">
        <f>VLOOKUP(Table3[[#This Row],[Country Code]],Table29[],8,FALSE)</f>
        <v>non-OECD</v>
      </c>
      <c r="AB1002" s="233" t="str">
        <f>VLOOKUP(Table3[[#This Row],[Country Code]],Table29[],9,FALSE)</f>
        <v>no</v>
      </c>
      <c r="AC1002" s="233" t="str">
        <f>VLOOKUP(Table3[[#This Row],[Country Code]],Table29[],10,FALSE)</f>
        <v>no</v>
      </c>
      <c r="AD1002" s="235">
        <f>VLOOKUP(Table3[[#This Row],[Country Code]],Table29[],23,FALSE)</f>
        <v>1300.1688666752</v>
      </c>
      <c r="AE1002" s="235">
        <f>VLOOKUP(Table3[[#This Row],[Country Code]],Table29[],24,FALSE)</f>
        <v>221.12609205884911</v>
      </c>
      <c r="AF1002" s="43"/>
    </row>
    <row r="1003" spans="1:32" ht="30" x14ac:dyDescent="0.25">
      <c r="A1003" s="360" t="s">
        <v>716</v>
      </c>
      <c r="B1003" s="233" t="str">
        <f>VLOOKUP(Table3[[#This Row],[Document ID]],Table1[],2,FALSE)</f>
        <v>BGR</v>
      </c>
      <c r="C1003" s="233" t="str">
        <f>VLOOKUP(Table3[[#This Row],[Document ID]],Table1[],3,FALSE)</f>
        <v>Bulgaria</v>
      </c>
      <c r="D1003" s="233" t="str">
        <f>VLOOKUP(Table3[[#This Row],[Document ID]],Table1[],5,FALSE)</f>
        <v>LTS</v>
      </c>
      <c r="E1003" s="233" t="str">
        <f>VLOOKUP(Table3[[#This Row],[Document ID]],Table1[],7,FALSE)</f>
        <v>EU-LTS</v>
      </c>
      <c r="F1003" s="233" t="str">
        <f>VLOOKUP(Table3[[#This Row],[Document ID]],Table1[],8,FALSE)</f>
        <v>LTS 1.0</v>
      </c>
      <c r="G1003" s="233" t="str">
        <f>VLOOKUP(Table3[[#This Row],[Document ID]],Table1[],10,FALSE)</f>
        <v>Covered by EU</v>
      </c>
      <c r="H1003" s="43" t="s">
        <v>1147</v>
      </c>
      <c r="I1003" s="43" t="s">
        <v>1089</v>
      </c>
      <c r="J1003" s="43" t="s">
        <v>1090</v>
      </c>
      <c r="K1003" s="28" t="s">
        <v>1121</v>
      </c>
      <c r="L1003" s="43" t="s">
        <v>1116</v>
      </c>
      <c r="M1003" s="209">
        <v>2050</v>
      </c>
      <c r="N1003" s="44" t="s">
        <v>2115</v>
      </c>
      <c r="O1003" s="258"/>
      <c r="P1003" s="238" t="str">
        <f>VLOOKUP(_xlfn.CONCAT(Table3[[#This Row],[Target area]],Table3[[#This Row],[GHG target?]],Table3[[#This Row],[Conditionality]]),'Drop down'!$E$81:$F$101,2,FALSE)</f>
        <v>T_Netzero</v>
      </c>
      <c r="Q1003" s="239" t="str">
        <f>VLOOKUP(Table3[[#This Row],[Target type]],Table418[[Value name]:[Value idenifyer]],2,FALSE)</f>
        <v>T_FL</v>
      </c>
      <c r="V1003" s="233" t="str">
        <f>VLOOKUP(Table3[[#This Row],[Country Code]],Table29[],3,FALSE)</f>
        <v>Annex I</v>
      </c>
      <c r="W1003" s="233" t="str">
        <f>VLOOKUP(Table3[[#This Row],[Country Code]],Table29[],4,FALSE)</f>
        <v>Europe</v>
      </c>
      <c r="X1003" s="233" t="str">
        <f>VLOOKUP(Table3[[#This Row],[Country Code]],Table29[],5,FALSE)</f>
        <v>Middle-income</v>
      </c>
      <c r="Y1003" s="233" t="str">
        <f>VLOOKUP(Table3[[#This Row],[Country Code]],Table29[],6,FALSE)</f>
        <v>no</v>
      </c>
      <c r="Z1003" s="233" t="str">
        <f>VLOOKUP(Table3[[#This Row],[Country Code]],Table29[],7,FALSE)</f>
        <v>no</v>
      </c>
      <c r="AA1003" s="233" t="str">
        <f>VLOOKUP(Table3[[#This Row],[Country Code]],Table29[],8,FALSE)</f>
        <v>non-OECD</v>
      </c>
      <c r="AB1003" s="233" t="str">
        <f>VLOOKUP(Table3[[#This Row],[Country Code]],Table29[],9,FALSE)</f>
        <v>EU27</v>
      </c>
      <c r="AC1003" s="233" t="str">
        <f>VLOOKUP(Table3[[#This Row],[Country Code]],Table29[],10,FALSE)</f>
        <v>no</v>
      </c>
      <c r="AD1003" s="235">
        <f>VLOOKUP(Table3[[#This Row],[Country Code]],Table29[],23,FALSE)</f>
        <v>53.372279020840999</v>
      </c>
      <c r="AE1003" s="235">
        <f>VLOOKUP(Table3[[#This Row],[Country Code]],Table29[],24,FALSE)</f>
        <v>9.5338941105381814</v>
      </c>
      <c r="AF1003" s="43"/>
    </row>
    <row r="1004" spans="1:32" x14ac:dyDescent="0.25">
      <c r="A1004" s="360">
        <v>17731</v>
      </c>
      <c r="B1004" s="233" t="str">
        <f>VLOOKUP(Table3[[#This Row],[Document ID]],Table1[],2,FALSE)</f>
        <v>SGP</v>
      </c>
      <c r="C1004" s="233" t="str">
        <f>VLOOKUP(Table3[[#This Row],[Document ID]],Table1[],3,FALSE)</f>
        <v>Singapore</v>
      </c>
      <c r="D1004" s="233" t="str">
        <f>VLOOKUP(Table3[[#This Row],[Document ID]],Table1[],5,FALSE)</f>
        <v>NDC</v>
      </c>
      <c r="E1004" s="233" t="str">
        <f>VLOOKUP(Table3[[#This Row],[Document ID]],Table1[],7,FALSE)</f>
        <v>First NDC</v>
      </c>
      <c r="F1004" s="233" t="str">
        <f>VLOOKUP(Table3[[#This Row],[Document ID]],Table1[],8,FALSE)</f>
        <v>NDC 1.0</v>
      </c>
      <c r="G1004" s="233" t="str">
        <f>VLOOKUP(Table3[[#This Row],[Document ID]],Table1[],10,FALSE)</f>
        <v>Archived</v>
      </c>
      <c r="H1004" s="216" t="s">
        <v>1089</v>
      </c>
      <c r="I1004" s="216" t="s">
        <v>1089</v>
      </c>
      <c r="J1004" s="43" t="s">
        <v>1090</v>
      </c>
      <c r="K1004" s="28" t="s">
        <v>1121</v>
      </c>
      <c r="L1004" s="42" t="s">
        <v>1099</v>
      </c>
      <c r="M1004" s="209">
        <v>2030</v>
      </c>
      <c r="N1004" s="176" t="s">
        <v>2109</v>
      </c>
      <c r="O1004" s="258" t="s">
        <v>1094</v>
      </c>
      <c r="P1004" s="238" t="str">
        <f>VLOOKUP(_xlfn.CONCAT(Table3[[#This Row],[Target area]],Table3[[#This Row],[GHG target?]],Table3[[#This Row],[Conditionality]]),'Drop down'!$E$81:$F$101,2,FALSE)</f>
        <v>T_Economy_Unc</v>
      </c>
      <c r="Q1004" s="239" t="str">
        <f>VLOOKUP(Table3[[#This Row],[Target type]],Table418[[Value name]:[Value idenifyer]],2,FALSE)</f>
        <v>T_FL</v>
      </c>
      <c r="T1004" s="234" t="s">
        <v>1113</v>
      </c>
      <c r="U1004" s="234" t="s">
        <v>1221</v>
      </c>
      <c r="V1004" s="233" t="str">
        <f>VLOOKUP(Table3[[#This Row],[Country Code]],Table29[],3,FALSE)</f>
        <v>Non-Annex I</v>
      </c>
      <c r="W1004" s="233" t="str">
        <f>VLOOKUP(Table3[[#This Row],[Country Code]],Table29[],4,FALSE)</f>
        <v>Asia</v>
      </c>
      <c r="X1004" s="233" t="str">
        <f>VLOOKUP(Table3[[#This Row],[Country Code]],Table29[],5,FALSE)</f>
        <v>High-income</v>
      </c>
      <c r="Y1004" s="233" t="str">
        <f>VLOOKUP(Table3[[#This Row],[Country Code]],Table29[],6,FALSE)</f>
        <v>no</v>
      </c>
      <c r="Z1004" s="233" t="str">
        <f>VLOOKUP(Table3[[#This Row],[Country Code]],Table29[],7,FALSE)</f>
        <v>no</v>
      </c>
      <c r="AA1004" s="233" t="str">
        <f>VLOOKUP(Table3[[#This Row],[Country Code]],Table29[],8,FALSE)</f>
        <v>non-OECD</v>
      </c>
      <c r="AB1004" s="233" t="str">
        <f>VLOOKUP(Table3[[#This Row],[Country Code]],Table29[],9,FALSE)</f>
        <v>no</v>
      </c>
      <c r="AC1004" s="233" t="str">
        <f>VLOOKUP(Table3[[#This Row],[Country Code]],Table29[],10,FALSE)</f>
        <v>no</v>
      </c>
      <c r="AD1004" s="235">
        <f>VLOOKUP(Table3[[#This Row],[Country Code]],Table29[],23,FALSE)</f>
        <v>74.290132466078006</v>
      </c>
      <c r="AE1004" s="235">
        <f>VLOOKUP(Table3[[#This Row],[Country Code]],Table29[],24,FALSE)</f>
        <v>6.8133364043247093</v>
      </c>
      <c r="AF1004" s="43"/>
    </row>
    <row r="1005" spans="1:32" ht="30" x14ac:dyDescent="0.25">
      <c r="A1005" s="360">
        <v>26773</v>
      </c>
      <c r="B1005" s="233" t="str">
        <f>VLOOKUP(Table3[[#This Row],[Document ID]],Table1[],2,FALSE)</f>
        <v>KHM</v>
      </c>
      <c r="C1005" s="233" t="str">
        <f>VLOOKUP(Table3[[#This Row],[Document ID]],Table1[],3,FALSE)</f>
        <v>Cambodia</v>
      </c>
      <c r="D1005" s="233" t="str">
        <f>VLOOKUP(Table3[[#This Row],[Document ID]],Table1[],5,FALSE)</f>
        <v>LTS</v>
      </c>
      <c r="E1005" s="233" t="str">
        <f>VLOOKUP(Table3[[#This Row],[Document ID]],Table1[],7,FALSE)</f>
        <v>LTS</v>
      </c>
      <c r="F1005" s="233" t="str">
        <f>VLOOKUP(Table3[[#This Row],[Document ID]],Table1[],8,FALSE)</f>
        <v>LTS 1.0</v>
      </c>
      <c r="G1005" s="233" t="str">
        <f>VLOOKUP(Table3[[#This Row],[Document ID]],Table1[],10,FALSE)</f>
        <v>Active</v>
      </c>
      <c r="H1005" s="43" t="s">
        <v>1147</v>
      </c>
      <c r="I1005" s="43" t="s">
        <v>1089</v>
      </c>
      <c r="J1005" s="43" t="s">
        <v>1090</v>
      </c>
      <c r="K1005" s="28" t="s">
        <v>1121</v>
      </c>
      <c r="L1005" s="43" t="s">
        <v>1116</v>
      </c>
      <c r="M1005" s="209">
        <v>2050</v>
      </c>
      <c r="N1005" s="44" t="s">
        <v>2116</v>
      </c>
      <c r="O1005" s="258">
        <v>8</v>
      </c>
      <c r="P1005" s="238" t="str">
        <f>VLOOKUP(_xlfn.CONCAT(Table3[[#This Row],[Target area]],Table3[[#This Row],[GHG target?]],Table3[[#This Row],[Conditionality]]),'Drop down'!$E$81:$F$101,2,FALSE)</f>
        <v>T_Netzero</v>
      </c>
      <c r="Q1005" s="239" t="str">
        <f>VLOOKUP(Table3[[#This Row],[Target type]],Table418[[Value name]:[Value idenifyer]],2,FALSE)</f>
        <v>T_FL</v>
      </c>
      <c r="V1005" s="233" t="str">
        <f>VLOOKUP(Table3[[#This Row],[Country Code]],Table29[],3,FALSE)</f>
        <v>Non-Annex I</v>
      </c>
      <c r="W1005" s="233" t="str">
        <f>VLOOKUP(Table3[[#This Row],[Country Code]],Table29[],4,FALSE)</f>
        <v>Asia</v>
      </c>
      <c r="X1005" s="233" t="str">
        <f>VLOOKUP(Table3[[#This Row],[Country Code]],Table29[],5,FALSE)</f>
        <v>Middle-income</v>
      </c>
      <c r="Y1005" s="233" t="str">
        <f>VLOOKUP(Table3[[#This Row],[Country Code]],Table29[],6,FALSE)</f>
        <v>no</v>
      </c>
      <c r="Z1005" s="233" t="str">
        <f>VLOOKUP(Table3[[#This Row],[Country Code]],Table29[],7,FALSE)</f>
        <v>no</v>
      </c>
      <c r="AA1005" s="233" t="str">
        <f>VLOOKUP(Table3[[#This Row],[Country Code]],Table29[],8,FALSE)</f>
        <v>non-OECD</v>
      </c>
      <c r="AB1005" s="233" t="str">
        <f>VLOOKUP(Table3[[#This Row],[Country Code]],Table29[],9,FALSE)</f>
        <v>no</v>
      </c>
      <c r="AC1005" s="233" t="str">
        <f>VLOOKUP(Table3[[#This Row],[Country Code]],Table29[],10,FALSE)</f>
        <v>no</v>
      </c>
      <c r="AD1005" s="235">
        <f>VLOOKUP(Table3[[#This Row],[Country Code]],Table29[],23,FALSE)</f>
        <v>48.774832204749998</v>
      </c>
      <c r="AE1005" s="235">
        <f>VLOOKUP(Table3[[#This Row],[Country Code]],Table29[],24,FALSE)</f>
        <v>7.547213161316451</v>
      </c>
      <c r="AF1005" s="43"/>
    </row>
    <row r="1006" spans="1:32" x14ac:dyDescent="0.25">
      <c r="A1006" s="360">
        <v>32514</v>
      </c>
      <c r="B1006" s="233" t="str">
        <f>VLOOKUP(Table3[[#This Row],[Document ID]],Table1[],2,FALSE)</f>
        <v>SGP</v>
      </c>
      <c r="C1006" s="233" t="str">
        <f>VLOOKUP(Table3[[#This Row],[Document ID]],Table1[],3,FALSE)</f>
        <v>Singapore</v>
      </c>
      <c r="D1006" s="233" t="str">
        <f>VLOOKUP(Table3[[#This Row],[Document ID]],Table1[],5,FALSE)</f>
        <v>NDC</v>
      </c>
      <c r="E1006" s="233" t="str">
        <f>VLOOKUP(Table3[[#This Row],[Document ID]],Table1[],7,FALSE)</f>
        <v>First NDC updated</v>
      </c>
      <c r="F1006" s="233" t="str">
        <f>VLOOKUP(Table3[[#This Row],[Document ID]],Table1[],8,FALSE)</f>
        <v>NDC 1.2</v>
      </c>
      <c r="G1006" s="233" t="str">
        <f>VLOOKUP(Table3[[#This Row],[Document ID]],Table1[],10,FALSE)</f>
        <v>Archived</v>
      </c>
      <c r="H1006" s="216" t="s">
        <v>1089</v>
      </c>
      <c r="I1006" s="216" t="s">
        <v>1089</v>
      </c>
      <c r="J1006" s="43" t="s">
        <v>1090</v>
      </c>
      <c r="K1006" s="28" t="s">
        <v>1121</v>
      </c>
      <c r="L1006" s="42" t="s">
        <v>1099</v>
      </c>
      <c r="M1006" s="209">
        <v>2030</v>
      </c>
      <c r="N1006" s="17" t="s">
        <v>2117</v>
      </c>
      <c r="O1006" s="258">
        <v>3</v>
      </c>
      <c r="P1006" s="238" t="str">
        <f>VLOOKUP(_xlfn.CONCAT(Table3[[#This Row],[Target area]],Table3[[#This Row],[GHG target?]],Table3[[#This Row],[Conditionality]]),'Drop down'!$E$81:$F$101,2,FALSE)</f>
        <v>T_Economy_Unc</v>
      </c>
      <c r="Q1006" s="239" t="str">
        <f>VLOOKUP(Table3[[#This Row],[Target type]],Table418[[Value name]:[Value idenifyer]],2,FALSE)</f>
        <v>T_FL</v>
      </c>
      <c r="S1006" s="233" t="s">
        <v>1101</v>
      </c>
      <c r="T1006" s="234" t="s">
        <v>1113</v>
      </c>
      <c r="U1006" s="234" t="s">
        <v>1221</v>
      </c>
      <c r="V1006" s="233" t="str">
        <f>VLOOKUP(Table3[[#This Row],[Country Code]],Table29[],3,FALSE)</f>
        <v>Non-Annex I</v>
      </c>
      <c r="W1006" s="233" t="str">
        <f>VLOOKUP(Table3[[#This Row],[Country Code]],Table29[],4,FALSE)</f>
        <v>Asia</v>
      </c>
      <c r="X1006" s="233" t="str">
        <f>VLOOKUP(Table3[[#This Row],[Country Code]],Table29[],5,FALSE)</f>
        <v>High-income</v>
      </c>
      <c r="Y1006" s="233" t="str">
        <f>VLOOKUP(Table3[[#This Row],[Country Code]],Table29[],6,FALSE)</f>
        <v>no</v>
      </c>
      <c r="Z1006" s="233" t="str">
        <f>VLOOKUP(Table3[[#This Row],[Country Code]],Table29[],7,FALSE)</f>
        <v>no</v>
      </c>
      <c r="AA1006" s="233" t="str">
        <f>VLOOKUP(Table3[[#This Row],[Country Code]],Table29[],8,FALSE)</f>
        <v>non-OECD</v>
      </c>
      <c r="AB1006" s="233" t="str">
        <f>VLOOKUP(Table3[[#This Row],[Country Code]],Table29[],9,FALSE)</f>
        <v>no</v>
      </c>
      <c r="AC1006" s="233" t="str">
        <f>VLOOKUP(Table3[[#This Row],[Country Code]],Table29[],10,FALSE)</f>
        <v>no</v>
      </c>
      <c r="AD1006" s="235">
        <f>VLOOKUP(Table3[[#This Row],[Country Code]],Table29[],23,FALSE)</f>
        <v>74.290132466078006</v>
      </c>
      <c r="AE1006" s="235">
        <f>VLOOKUP(Table3[[#This Row],[Country Code]],Table29[],24,FALSE)</f>
        <v>6.8133364043247093</v>
      </c>
      <c r="AF1006" s="43"/>
    </row>
    <row r="1007" spans="1:32" x14ac:dyDescent="0.25">
      <c r="A1007" s="360">
        <v>32531</v>
      </c>
      <c r="B1007" s="233" t="str">
        <f>VLOOKUP(Table3[[#This Row],[Document ID]],Table1[],2,FALSE)</f>
        <v>CAN</v>
      </c>
      <c r="C1007" s="233" t="str">
        <f>VLOOKUP(Table3[[#This Row],[Document ID]],Table1[],3,FALSE)</f>
        <v>Canada</v>
      </c>
      <c r="D1007" s="233" t="str">
        <f>VLOOKUP(Table3[[#This Row],[Document ID]],Table1[],5,FALSE)</f>
        <v>LTS</v>
      </c>
      <c r="E1007" s="233" t="str">
        <f>VLOOKUP(Table3[[#This Row],[Document ID]],Table1[],7,FALSE)</f>
        <v>LTS</v>
      </c>
      <c r="F1007" s="233" t="str">
        <f>VLOOKUP(Table3[[#This Row],[Document ID]],Table1[],8,FALSE)</f>
        <v>LTS 2.0</v>
      </c>
      <c r="G1007" s="233" t="str">
        <f>VLOOKUP(Table3[[#This Row],[Document ID]],Table1[],10,FALSE)</f>
        <v>Active</v>
      </c>
      <c r="H1007" s="43" t="s">
        <v>1147</v>
      </c>
      <c r="I1007" s="43" t="s">
        <v>1089</v>
      </c>
      <c r="J1007" s="43" t="s">
        <v>1090</v>
      </c>
      <c r="K1007" s="28" t="s">
        <v>1121</v>
      </c>
      <c r="L1007" s="43" t="s">
        <v>1116</v>
      </c>
      <c r="M1007" s="209">
        <v>2050</v>
      </c>
      <c r="N1007" s="43" t="s">
        <v>2118</v>
      </c>
      <c r="O1007" s="258">
        <v>2</v>
      </c>
      <c r="P1007" s="238" t="str">
        <f>VLOOKUP(_xlfn.CONCAT(Table3[[#This Row],[Target area]],Table3[[#This Row],[GHG target?]],Table3[[#This Row],[Conditionality]]),'Drop down'!$E$81:$F$101,2,FALSE)</f>
        <v>T_Netzero</v>
      </c>
      <c r="Q1007" s="239" t="str">
        <f>VLOOKUP(Table3[[#This Row],[Target type]],Table418[[Value name]:[Value idenifyer]],2,FALSE)</f>
        <v>T_FL</v>
      </c>
      <c r="V1007" s="233" t="str">
        <f>VLOOKUP(Table3[[#This Row],[Country Code]],Table29[],3,FALSE)</f>
        <v>Annex I</v>
      </c>
      <c r="W1007" s="233" t="str">
        <f>VLOOKUP(Table3[[#This Row],[Country Code]],Table29[],4,FALSE)</f>
        <v>Northern America</v>
      </c>
      <c r="X1007" s="233" t="str">
        <f>VLOOKUP(Table3[[#This Row],[Country Code]],Table29[],5,FALSE)</f>
        <v>High-income</v>
      </c>
      <c r="Y1007" s="233" t="str">
        <f>VLOOKUP(Table3[[#This Row],[Country Code]],Table29[],6,FALSE)</f>
        <v>G20</v>
      </c>
      <c r="Z1007" s="233" t="str">
        <f>VLOOKUP(Table3[[#This Row],[Country Code]],Table29[],7,FALSE)</f>
        <v>G7</v>
      </c>
      <c r="AA1007" s="233" t="str">
        <f>VLOOKUP(Table3[[#This Row],[Country Code]],Table29[],8,FALSE)</f>
        <v>OECD</v>
      </c>
      <c r="AB1007" s="233" t="str">
        <f>VLOOKUP(Table3[[#This Row],[Country Code]],Table29[],9,FALSE)</f>
        <v>no</v>
      </c>
      <c r="AC1007" s="233" t="str">
        <f>VLOOKUP(Table3[[#This Row],[Country Code]],Table29[],10,FALSE)</f>
        <v>no</v>
      </c>
      <c r="AD1007" s="235">
        <f>VLOOKUP(Table3[[#This Row],[Country Code]],Table29[],23,FALSE)</f>
        <v>747.67802680902003</v>
      </c>
      <c r="AE1007" s="235">
        <f>VLOOKUP(Table3[[#This Row],[Country Code]],Table29[],24,FALSE)</f>
        <v>169.021169926607</v>
      </c>
      <c r="AF1007" s="43"/>
    </row>
    <row r="1008" spans="1:32" ht="30" x14ac:dyDescent="0.25">
      <c r="A1008" s="360">
        <v>26776</v>
      </c>
      <c r="B1008" s="233" t="str">
        <f>VLOOKUP(Table3[[#This Row],[Document ID]],Table1[],2,FALSE)</f>
        <v>CHL</v>
      </c>
      <c r="C1008" s="233" t="str">
        <f>VLOOKUP(Table3[[#This Row],[Document ID]],Table1[],3,FALSE)</f>
        <v>Chile</v>
      </c>
      <c r="D1008" s="233" t="str">
        <f>VLOOKUP(Table3[[#This Row],[Document ID]],Table1[],5,FALSE)</f>
        <v>LTS</v>
      </c>
      <c r="E1008" s="233" t="str">
        <f>VLOOKUP(Table3[[#This Row],[Document ID]],Table1[],7,FALSE)</f>
        <v>LTS</v>
      </c>
      <c r="F1008" s="233" t="str">
        <f>VLOOKUP(Table3[[#This Row],[Document ID]],Table1[],8,FALSE)</f>
        <v>LTS 1.0</v>
      </c>
      <c r="G1008" s="233" t="str">
        <f>VLOOKUP(Table3[[#This Row],[Document ID]],Table1[],10,FALSE)</f>
        <v>Active</v>
      </c>
      <c r="H1008" s="43" t="s">
        <v>1147</v>
      </c>
      <c r="I1008" s="43" t="s">
        <v>1089</v>
      </c>
      <c r="J1008" s="43" t="s">
        <v>1090</v>
      </c>
      <c r="K1008" s="28" t="s">
        <v>1121</v>
      </c>
      <c r="L1008" s="43" t="s">
        <v>1116</v>
      </c>
      <c r="M1008" s="209">
        <v>2050</v>
      </c>
      <c r="N1008" s="44" t="s">
        <v>1276</v>
      </c>
      <c r="O1008" s="258">
        <v>34</v>
      </c>
      <c r="P1008" s="238" t="str">
        <f>VLOOKUP(_xlfn.CONCAT(Table3[[#This Row],[Target area]],Table3[[#This Row],[GHG target?]],Table3[[#This Row],[Conditionality]]),'Drop down'!$E$81:$F$101,2,FALSE)</f>
        <v>T_Netzero</v>
      </c>
      <c r="Q1008" s="239" t="str">
        <f>VLOOKUP(Table3[[#This Row],[Target type]],Table418[[Value name]:[Value idenifyer]],2,FALSE)</f>
        <v>T_FL</v>
      </c>
      <c r="V1008" s="233" t="str">
        <f>VLOOKUP(Table3[[#This Row],[Country Code]],Table29[],3,FALSE)</f>
        <v>Non-Annex I</v>
      </c>
      <c r="W1008" s="233" t="str">
        <f>VLOOKUP(Table3[[#This Row],[Country Code]],Table29[],4,FALSE)</f>
        <v>Latin America and the Caribbean</v>
      </c>
      <c r="X1008" s="233" t="str">
        <f>VLOOKUP(Table3[[#This Row],[Country Code]],Table29[],5,FALSE)</f>
        <v>High-income</v>
      </c>
      <c r="Y1008" s="233" t="str">
        <f>VLOOKUP(Table3[[#This Row],[Country Code]],Table29[],6,FALSE)</f>
        <v>no</v>
      </c>
      <c r="Z1008" s="233" t="str">
        <f>VLOOKUP(Table3[[#This Row],[Country Code]],Table29[],7,FALSE)</f>
        <v>no</v>
      </c>
      <c r="AA1008" s="233" t="str">
        <f>VLOOKUP(Table3[[#This Row],[Country Code]],Table29[],8,FALSE)</f>
        <v>OECD</v>
      </c>
      <c r="AB1008" s="233" t="str">
        <f>VLOOKUP(Table3[[#This Row],[Country Code]],Table29[],9,FALSE)</f>
        <v>no</v>
      </c>
      <c r="AC1008" s="233" t="str">
        <f>VLOOKUP(Table3[[#This Row],[Country Code]],Table29[],10,FALSE)</f>
        <v>no</v>
      </c>
      <c r="AD1008" s="235">
        <f>VLOOKUP(Table3[[#This Row],[Country Code]],Table29[],23,FALSE)</f>
        <v>121.46313217391</v>
      </c>
      <c r="AE1008" s="235">
        <f>VLOOKUP(Table3[[#This Row],[Country Code]],Table29[],24,FALSE)</f>
        <v>32.478801178832768</v>
      </c>
      <c r="AF1008" s="43"/>
    </row>
    <row r="1009" spans="1:32" x14ac:dyDescent="0.25">
      <c r="A1009" s="360">
        <v>23840</v>
      </c>
      <c r="B1009" s="233" t="str">
        <f>VLOOKUP(Table3[[#This Row],[Document ID]],Table1[],2,FALSE)</f>
        <v>CHN</v>
      </c>
      <c r="C1009" s="233" t="str">
        <f>VLOOKUP(Table3[[#This Row],[Document ID]],Table1[],3,FALSE)</f>
        <v>China</v>
      </c>
      <c r="D1009" s="233" t="str">
        <f>VLOOKUP(Table3[[#This Row],[Document ID]],Table1[],5,FALSE)</f>
        <v>NDC</v>
      </c>
      <c r="E1009" s="233" t="str">
        <f>VLOOKUP(Table3[[#This Row],[Document ID]],Table1[],7,FALSE)</f>
        <v>First NDC updated</v>
      </c>
      <c r="F1009" s="233" t="str">
        <f>VLOOKUP(Table3[[#This Row],[Document ID]],Table1[],8,FALSE)</f>
        <v>NDC 1.1</v>
      </c>
      <c r="G1009" s="233" t="str">
        <f>VLOOKUP(Table3[[#This Row],[Document ID]],Table1[],10,FALSE)</f>
        <v>Active</v>
      </c>
      <c r="H1009" s="43" t="s">
        <v>1147</v>
      </c>
      <c r="I1009" s="43" t="s">
        <v>1089</v>
      </c>
      <c r="J1009" s="43" t="s">
        <v>1090</v>
      </c>
      <c r="K1009" s="28" t="s">
        <v>1121</v>
      </c>
      <c r="L1009" s="43" t="s">
        <v>1116</v>
      </c>
      <c r="M1009" s="209">
        <v>2060</v>
      </c>
      <c r="N1009" s="209" t="s">
        <v>2119</v>
      </c>
      <c r="O1009" s="258">
        <v>2</v>
      </c>
      <c r="P1009" s="238" t="str">
        <f>VLOOKUP(_xlfn.CONCAT(Table3[[#This Row],[Target area]],Table3[[#This Row],[GHG target?]],Table3[[#This Row],[Conditionality]]),'Drop down'!$E$81:$F$101,2,FALSE)</f>
        <v>T_Netzero</v>
      </c>
      <c r="Q1009" s="239" t="str">
        <f>VLOOKUP(Table3[[#This Row],[Target type]],Table418[[Value name]:[Value idenifyer]],2,FALSE)</f>
        <v>T_FL</v>
      </c>
      <c r="T1009" s="240"/>
      <c r="V1009" s="233" t="str">
        <f>VLOOKUP(Table3[[#This Row],[Country Code]],Table29[],3,FALSE)</f>
        <v>Non-Annex I</v>
      </c>
      <c r="W1009" s="233" t="str">
        <f>VLOOKUP(Table3[[#This Row],[Country Code]],Table29[],4,FALSE)</f>
        <v>Asia</v>
      </c>
      <c r="X1009" s="233" t="str">
        <f>VLOOKUP(Table3[[#This Row],[Country Code]],Table29[],5,FALSE)</f>
        <v>Middle-income</v>
      </c>
      <c r="Y1009" s="233" t="str">
        <f>VLOOKUP(Table3[[#This Row],[Country Code]],Table29[],6,FALSE)</f>
        <v>G20</v>
      </c>
      <c r="Z1009" s="233" t="str">
        <f>VLOOKUP(Table3[[#This Row],[Country Code]],Table29[],7,FALSE)</f>
        <v>no</v>
      </c>
      <c r="AA1009" s="233" t="str">
        <f>VLOOKUP(Table3[[#This Row],[Country Code]],Table29[],8,FALSE)</f>
        <v>non-OECD</v>
      </c>
      <c r="AB1009" s="233" t="str">
        <f>VLOOKUP(Table3[[#This Row],[Country Code]],Table29[],9,FALSE)</f>
        <v>no</v>
      </c>
      <c r="AC1009" s="233" t="str">
        <f>VLOOKUP(Table3[[#This Row],[Country Code]],Table29[],10,FALSE)</f>
        <v>no</v>
      </c>
      <c r="AD1009" s="235">
        <f>VLOOKUP(Table3[[#This Row],[Country Code]],Table29[],23,FALSE)</f>
        <v>15943.986552905</v>
      </c>
      <c r="AE1009" s="235">
        <f>VLOOKUP(Table3[[#This Row],[Country Code]],Table29[],24,FALSE)</f>
        <v>1110.1781062864729</v>
      </c>
      <c r="AF1009" s="42"/>
    </row>
    <row r="1010" spans="1:32" ht="60" x14ac:dyDescent="0.25">
      <c r="A1010" s="360">
        <v>32514</v>
      </c>
      <c r="B1010" s="233" t="str">
        <f>VLOOKUP(Table3[[#This Row],[Document ID]],Table1[],2,FALSE)</f>
        <v>SGP</v>
      </c>
      <c r="C1010" s="233" t="str">
        <f>VLOOKUP(Table3[[#This Row],[Document ID]],Table1[],3,FALSE)</f>
        <v>Singapore</v>
      </c>
      <c r="D1010" s="233" t="str">
        <f>VLOOKUP(Table3[[#This Row],[Document ID]],Table1[],5,FALSE)</f>
        <v>NDC</v>
      </c>
      <c r="E1010" s="233" t="str">
        <f>VLOOKUP(Table3[[#This Row],[Document ID]],Table1[],7,FALSE)</f>
        <v>First NDC updated</v>
      </c>
      <c r="F1010" s="233" t="str">
        <f>VLOOKUP(Table3[[#This Row],[Document ID]],Table1[],8,FALSE)</f>
        <v>NDC 1.2</v>
      </c>
      <c r="G1010" s="233" t="str">
        <f>VLOOKUP(Table3[[#This Row],[Document ID]],Table1[],10,FALSE)</f>
        <v>Archived</v>
      </c>
      <c r="H1010" s="43" t="s">
        <v>1114</v>
      </c>
      <c r="I1010" s="43" t="s">
        <v>1115</v>
      </c>
      <c r="J1010" s="42" t="s">
        <v>1090</v>
      </c>
      <c r="K1010" s="28" t="s">
        <v>1121</v>
      </c>
      <c r="L1010" s="43" t="s">
        <v>1116</v>
      </c>
      <c r="M1010" s="209">
        <v>2030</v>
      </c>
      <c r="N1010" s="44" t="s">
        <v>2120</v>
      </c>
      <c r="O1010" s="258">
        <v>19</v>
      </c>
      <c r="P1010" s="238" t="str">
        <f>VLOOKUP(_xlfn.CONCAT(Table3[[#This Row],[Target area]],Table3[[#This Row],[GHG target?]],Table3[[#This Row],[Conditionality]]),'Drop down'!$E$81:$F$101,2,FALSE)</f>
        <v>T_Energy</v>
      </c>
      <c r="Q1010" s="239" t="str">
        <f>VLOOKUP(Table3[[#This Row],[Target type]],Table418[[Value name]:[Value idenifyer]],2,FALSE)</f>
        <v>T_FL</v>
      </c>
      <c r="S1010" s="233" t="s">
        <v>1101</v>
      </c>
      <c r="T1010" s="234" t="s">
        <v>1113</v>
      </c>
      <c r="U1010" s="234" t="s">
        <v>1221</v>
      </c>
      <c r="V1010" s="233" t="str">
        <f>VLOOKUP(Table3[[#This Row],[Country Code]],Table29[],3,FALSE)</f>
        <v>Non-Annex I</v>
      </c>
      <c r="W1010" s="233" t="str">
        <f>VLOOKUP(Table3[[#This Row],[Country Code]],Table29[],4,FALSE)</f>
        <v>Asia</v>
      </c>
      <c r="X1010" s="233" t="str">
        <f>VLOOKUP(Table3[[#This Row],[Country Code]],Table29[],5,FALSE)</f>
        <v>High-income</v>
      </c>
      <c r="Y1010" s="233" t="str">
        <f>VLOOKUP(Table3[[#This Row],[Country Code]],Table29[],6,FALSE)</f>
        <v>no</v>
      </c>
      <c r="Z1010" s="233" t="str">
        <f>VLOOKUP(Table3[[#This Row],[Country Code]],Table29[],7,FALSE)</f>
        <v>no</v>
      </c>
      <c r="AA1010" s="233" t="str">
        <f>VLOOKUP(Table3[[#This Row],[Country Code]],Table29[],8,FALSE)</f>
        <v>non-OECD</v>
      </c>
      <c r="AB1010" s="233" t="str">
        <f>VLOOKUP(Table3[[#This Row],[Country Code]],Table29[],9,FALSE)</f>
        <v>no</v>
      </c>
      <c r="AC1010" s="233" t="str">
        <f>VLOOKUP(Table3[[#This Row],[Country Code]],Table29[],10,FALSE)</f>
        <v>no</v>
      </c>
      <c r="AD1010" s="235">
        <f>VLOOKUP(Table3[[#This Row],[Country Code]],Table29[],23,FALSE)</f>
        <v>74.290132466078006</v>
      </c>
      <c r="AE1010" s="235">
        <f>VLOOKUP(Table3[[#This Row],[Country Code]],Table29[],24,FALSE)</f>
        <v>6.8133364043247093</v>
      </c>
      <c r="AF1010" s="43"/>
    </row>
    <row r="1011" spans="1:32" x14ac:dyDescent="0.25">
      <c r="A1011" s="360">
        <v>32532</v>
      </c>
      <c r="B1011" s="233" t="str">
        <f>VLOOKUP(Table3[[#This Row],[Document ID]],Table1[],2,FALSE)</f>
        <v>SGP</v>
      </c>
      <c r="C1011" s="233" t="str">
        <f>VLOOKUP(Table3[[#This Row],[Document ID]],Table1[],3,FALSE)</f>
        <v>Singapore</v>
      </c>
      <c r="D1011" s="233" t="str">
        <f>VLOOKUP(Table3[[#This Row],[Document ID]],Table1[],5,FALSE)</f>
        <v>LTS</v>
      </c>
      <c r="E1011" s="233" t="str">
        <f>VLOOKUP(Table3[[#This Row],[Document ID]],Table1[],7,FALSE)</f>
        <v>LTS</v>
      </c>
      <c r="F1011" s="241" t="str">
        <f>VLOOKUP(Table3[[#This Row],[Document ID]],Table1[],8,FALSE)</f>
        <v>LTS 1.1</v>
      </c>
      <c r="G1011" s="233" t="str">
        <f>VLOOKUP(Table3[[#This Row],[Document ID]],Table1[],10,FALSE)</f>
        <v>Active</v>
      </c>
      <c r="H1011" s="216" t="s">
        <v>1089</v>
      </c>
      <c r="I1011" s="216" t="s">
        <v>1089</v>
      </c>
      <c r="J1011" s="43" t="s">
        <v>1090</v>
      </c>
      <c r="K1011" s="28" t="s">
        <v>1121</v>
      </c>
      <c r="L1011" s="42" t="s">
        <v>1099</v>
      </c>
      <c r="M1011" s="209">
        <v>2050</v>
      </c>
      <c r="N1011" s="209" t="s">
        <v>2121</v>
      </c>
      <c r="O1011" s="258">
        <v>2</v>
      </c>
      <c r="P1011" s="238" t="str">
        <f>VLOOKUP(_xlfn.CONCAT(Table3[[#This Row],[Target area]],Table3[[#This Row],[GHG target?]],Table3[[#This Row],[Conditionality]]),'Drop down'!$E$81:$F$101,2,FALSE)</f>
        <v>T_Economy_Unc</v>
      </c>
      <c r="Q1011" s="239" t="str">
        <f>VLOOKUP(Table3[[#This Row],[Target type]],Table418[[Value name]:[Value idenifyer]],2,FALSE)</f>
        <v>T_FL</v>
      </c>
      <c r="T1011" s="240" t="s">
        <v>1113</v>
      </c>
      <c r="U1011" s="234" t="s">
        <v>1221</v>
      </c>
      <c r="V1011" s="233" t="str">
        <f>VLOOKUP(Table3[[#This Row],[Country Code]],Table29[],3,FALSE)</f>
        <v>Non-Annex I</v>
      </c>
      <c r="W1011" s="233" t="str">
        <f>VLOOKUP(Table3[[#This Row],[Country Code]],Table29[],4,FALSE)</f>
        <v>Asia</v>
      </c>
      <c r="X1011" s="233" t="str">
        <f>VLOOKUP(Table3[[#This Row],[Country Code]],Table29[],5,FALSE)</f>
        <v>High-income</v>
      </c>
      <c r="Y1011" s="233" t="str">
        <f>VLOOKUP(Table3[[#This Row],[Country Code]],Table29[],6,FALSE)</f>
        <v>no</v>
      </c>
      <c r="Z1011" s="233" t="str">
        <f>VLOOKUP(Table3[[#This Row],[Country Code]],Table29[],7,FALSE)</f>
        <v>no</v>
      </c>
      <c r="AA1011" s="233" t="str">
        <f>VLOOKUP(Table3[[#This Row],[Country Code]],Table29[],8,FALSE)</f>
        <v>non-OECD</v>
      </c>
      <c r="AB1011" s="233" t="str">
        <f>VLOOKUP(Table3[[#This Row],[Country Code]],Table29[],9,FALSE)</f>
        <v>no</v>
      </c>
      <c r="AC1011" s="233" t="str">
        <f>VLOOKUP(Table3[[#This Row],[Country Code]],Table29[],10,FALSE)</f>
        <v>no</v>
      </c>
      <c r="AD1011" s="235">
        <f>VLOOKUP(Table3[[#This Row],[Country Code]],Table29[],23,FALSE)</f>
        <v>74.290132466078006</v>
      </c>
      <c r="AE1011" s="235">
        <f>VLOOKUP(Table3[[#This Row],[Country Code]],Table29[],24,FALSE)</f>
        <v>6.8133364043247093</v>
      </c>
      <c r="AF1011" s="43"/>
    </row>
    <row r="1012" spans="1:32" ht="90" x14ac:dyDescent="0.25">
      <c r="A1012" s="360">
        <v>24786</v>
      </c>
      <c r="B1012" s="233" t="str">
        <f>VLOOKUP(Table3[[#This Row],[Document ID]],Table1[],2,FALSE)</f>
        <v>COM</v>
      </c>
      <c r="C1012" s="233" t="str">
        <f>VLOOKUP(Table3[[#This Row],[Document ID]],Table1[],3,FALSE)</f>
        <v>Comoros</v>
      </c>
      <c r="D1012" s="233" t="str">
        <f>VLOOKUP(Table3[[#This Row],[Document ID]],Table1[],5,FALSE)</f>
        <v>NDC</v>
      </c>
      <c r="E1012" s="233" t="str">
        <f>VLOOKUP(Table3[[#This Row],[Document ID]],Table1[],7,FALSE)</f>
        <v>First NDC updated</v>
      </c>
      <c r="F1012" s="233" t="str">
        <f>VLOOKUP(Table3[[#This Row],[Document ID]],Table1[],8,FALSE)</f>
        <v>NDC 1.1</v>
      </c>
      <c r="G1012" s="233" t="str">
        <f>VLOOKUP(Table3[[#This Row],[Document ID]],Table1[],10,FALSE)</f>
        <v>Active</v>
      </c>
      <c r="H1012" s="43" t="s">
        <v>1147</v>
      </c>
      <c r="I1012" s="43" t="s">
        <v>1089</v>
      </c>
      <c r="J1012" s="43" t="s">
        <v>1090</v>
      </c>
      <c r="K1012" s="28" t="s">
        <v>1121</v>
      </c>
      <c r="L1012" s="43" t="s">
        <v>1116</v>
      </c>
      <c r="M1012" s="209" t="s">
        <v>1885</v>
      </c>
      <c r="N1012" s="44" t="s">
        <v>2122</v>
      </c>
      <c r="O1012" s="258">
        <v>4</v>
      </c>
      <c r="P1012" s="238" t="str">
        <f>VLOOKUP(_xlfn.CONCAT(Table3[[#This Row],[Target area]],Table3[[#This Row],[GHG target?]],Table3[[#This Row],[Conditionality]]),'Drop down'!$E$81:$F$101,2,FALSE)</f>
        <v>T_Netzero</v>
      </c>
      <c r="Q1012" s="239" t="str">
        <f>VLOOKUP(Table3[[#This Row],[Target type]],Table418[[Value name]:[Value idenifyer]],2,FALSE)</f>
        <v>T_FL</v>
      </c>
      <c r="V1012" s="233" t="str">
        <f>VLOOKUP(Table3[[#This Row],[Country Code]],Table29[],3,FALSE)</f>
        <v>Non-Annex I</v>
      </c>
      <c r="W1012" s="233" t="str">
        <f>VLOOKUP(Table3[[#This Row],[Country Code]],Table29[],4,FALSE)</f>
        <v>Africa</v>
      </c>
      <c r="X1012" s="233" t="str">
        <f>VLOOKUP(Table3[[#This Row],[Country Code]],Table29[],5,FALSE)</f>
        <v>Middle-income</v>
      </c>
      <c r="Y1012" s="233" t="str">
        <f>VLOOKUP(Table3[[#This Row],[Country Code]],Table29[],6,FALSE)</f>
        <v>no</v>
      </c>
      <c r="Z1012" s="233" t="str">
        <f>VLOOKUP(Table3[[#This Row],[Country Code]],Table29[],7,FALSE)</f>
        <v>no</v>
      </c>
      <c r="AA1012" s="233" t="str">
        <f>VLOOKUP(Table3[[#This Row],[Country Code]],Table29[],8,FALSE)</f>
        <v>non-OECD</v>
      </c>
      <c r="AB1012" s="233" t="str">
        <f>VLOOKUP(Table3[[#This Row],[Country Code]],Table29[],9,FALSE)</f>
        <v>no</v>
      </c>
      <c r="AC1012" s="233" t="str">
        <f>VLOOKUP(Table3[[#This Row],[Country Code]],Table29[],10,FALSE)</f>
        <v>no</v>
      </c>
      <c r="AD1012" s="235">
        <f>VLOOKUP(Table3[[#This Row],[Country Code]],Table29[],23,FALSE)</f>
        <v>0.76176779618891</v>
      </c>
      <c r="AE1012" s="235">
        <f>VLOOKUP(Table3[[#This Row],[Country Code]],Table29[],24,FALSE)</f>
        <v>0.18466117087691569</v>
      </c>
      <c r="AF1012" s="43"/>
    </row>
    <row r="1013" spans="1:32" ht="45" x14ac:dyDescent="0.25">
      <c r="A1013" s="360">
        <v>17564</v>
      </c>
      <c r="B1013" s="233" t="str">
        <f>VLOOKUP(Table3[[#This Row],[Document ID]],Table1[],2,FALSE)</f>
        <v>CRI</v>
      </c>
      <c r="C1013" s="233" t="str">
        <f>VLOOKUP(Table3[[#This Row],[Document ID]],Table1[],3,FALSE)</f>
        <v>Costa Rica</v>
      </c>
      <c r="D1013" s="233" t="str">
        <f>VLOOKUP(Table3[[#This Row],[Document ID]],Table1[],5,FALSE)</f>
        <v>NDC</v>
      </c>
      <c r="E1013" s="233" t="str">
        <f>VLOOKUP(Table3[[#This Row],[Document ID]],Table1[],7,FALSE)</f>
        <v>First NDC updated</v>
      </c>
      <c r="F1013" s="233" t="str">
        <f>VLOOKUP(Table3[[#This Row],[Document ID]],Table1[],8,FALSE)</f>
        <v>NDC 1.1</v>
      </c>
      <c r="G1013" s="233" t="str">
        <f>VLOOKUP(Table3[[#This Row],[Document ID]],Table1[],10,FALSE)</f>
        <v>Active</v>
      </c>
      <c r="H1013" s="43" t="s">
        <v>1147</v>
      </c>
      <c r="I1013" s="43" t="s">
        <v>1089</v>
      </c>
      <c r="J1013" s="43" t="s">
        <v>1090</v>
      </c>
      <c r="K1013" s="28" t="s">
        <v>1121</v>
      </c>
      <c r="L1013" s="43" t="s">
        <v>1116</v>
      </c>
      <c r="M1013" s="209">
        <v>2050</v>
      </c>
      <c r="N1013" s="44" t="s">
        <v>2123</v>
      </c>
      <c r="O1013" s="258">
        <v>109</v>
      </c>
      <c r="P1013" s="238" t="str">
        <f>VLOOKUP(_xlfn.CONCAT(Table3[[#This Row],[Target area]],Table3[[#This Row],[GHG target?]],Table3[[#This Row],[Conditionality]]),'Drop down'!$E$81:$F$101,2,FALSE)</f>
        <v>T_Netzero</v>
      </c>
      <c r="Q1013" s="239" t="str">
        <f>VLOOKUP(Table3[[#This Row],[Target type]],Table418[[Value name]:[Value idenifyer]],2,FALSE)</f>
        <v>T_FL</v>
      </c>
      <c r="V1013" s="233" t="str">
        <f>VLOOKUP(Table3[[#This Row],[Country Code]],Table29[],3,FALSE)</f>
        <v>Non-Annex I</v>
      </c>
      <c r="W1013" s="233" t="str">
        <f>VLOOKUP(Table3[[#This Row],[Country Code]],Table29[],4,FALSE)</f>
        <v>Latin America and the Caribbean</v>
      </c>
      <c r="X1013" s="233" t="str">
        <f>VLOOKUP(Table3[[#This Row],[Country Code]],Table29[],5,FALSE)</f>
        <v>Middle-income</v>
      </c>
      <c r="Y1013" s="233" t="str">
        <f>VLOOKUP(Table3[[#This Row],[Country Code]],Table29[],6,FALSE)</f>
        <v>no</v>
      </c>
      <c r="Z1013" s="233" t="str">
        <f>VLOOKUP(Table3[[#This Row],[Country Code]],Table29[],7,FALSE)</f>
        <v>no</v>
      </c>
      <c r="AA1013" s="233" t="str">
        <f>VLOOKUP(Table3[[#This Row],[Country Code]],Table29[],8,FALSE)</f>
        <v>OECD</v>
      </c>
      <c r="AB1013" s="233" t="str">
        <f>VLOOKUP(Table3[[#This Row],[Country Code]],Table29[],9,FALSE)</f>
        <v>no</v>
      </c>
      <c r="AC1013" s="233" t="str">
        <f>VLOOKUP(Table3[[#This Row],[Country Code]],Table29[],10,FALSE)</f>
        <v>no</v>
      </c>
      <c r="AD1013" s="235">
        <f>VLOOKUP(Table3[[#This Row],[Country Code]],Table29[],23,FALSE)</f>
        <v>16.468143919330998</v>
      </c>
      <c r="AE1013" s="235">
        <f>VLOOKUP(Table3[[#This Row],[Country Code]],Table29[],24,FALSE)</f>
        <v>6.1699800179976929</v>
      </c>
      <c r="AF1013" s="43"/>
    </row>
    <row r="1014" spans="1:32" ht="30" x14ac:dyDescent="0.25">
      <c r="A1014" s="360">
        <v>32532</v>
      </c>
      <c r="B1014" s="233" t="str">
        <f>VLOOKUP(Table3[[#This Row],[Document ID]],Table1[],2,FALSE)</f>
        <v>SGP</v>
      </c>
      <c r="C1014" s="233" t="str">
        <f>VLOOKUP(Table3[[#This Row],[Document ID]],Table1[],3,FALSE)</f>
        <v>Singapore</v>
      </c>
      <c r="D1014" s="233" t="str">
        <f>VLOOKUP(Table3[[#This Row],[Document ID]],Table1[],5,FALSE)</f>
        <v>LTS</v>
      </c>
      <c r="E1014" s="233" t="str">
        <f>VLOOKUP(Table3[[#This Row],[Document ID]],Table1[],7,FALSE)</f>
        <v>LTS</v>
      </c>
      <c r="F1014" s="233" t="str">
        <f>VLOOKUP(Table3[[#This Row],[Document ID]],Table1[],8,FALSE)</f>
        <v>LTS 1.1</v>
      </c>
      <c r="G1014" s="233" t="str">
        <f>VLOOKUP(Table3[[#This Row],[Document ID]],Table1[],10,FALSE)</f>
        <v>Active</v>
      </c>
      <c r="H1014" s="43" t="s">
        <v>1147</v>
      </c>
      <c r="I1014" s="43" t="s">
        <v>1089</v>
      </c>
      <c r="J1014" s="43" t="s">
        <v>1090</v>
      </c>
      <c r="K1014" s="28" t="s">
        <v>1121</v>
      </c>
      <c r="L1014" s="43" t="s">
        <v>1116</v>
      </c>
      <c r="M1014" s="209">
        <v>2050</v>
      </c>
      <c r="N1014" s="44" t="s">
        <v>1967</v>
      </c>
      <c r="O1014" s="258">
        <v>4</v>
      </c>
      <c r="P1014" s="238" t="str">
        <f>VLOOKUP(_xlfn.CONCAT(Table3[[#This Row],[Target area]],Table3[[#This Row],[GHG target?]],Table3[[#This Row],[Conditionality]]),'Drop down'!$E$81:$F$101,2,FALSE)</f>
        <v>T_Netzero</v>
      </c>
      <c r="Q1014" s="239" t="str">
        <f>VLOOKUP(Table3[[#This Row],[Target type]],Table418[[Value name]:[Value idenifyer]],2,FALSE)</f>
        <v>T_FL</v>
      </c>
      <c r="U1014" s="234" t="s">
        <v>1240</v>
      </c>
      <c r="V1014" s="233" t="str">
        <f>VLOOKUP(Table3[[#This Row],[Country Code]],Table29[],3,FALSE)</f>
        <v>Non-Annex I</v>
      </c>
      <c r="W1014" s="233" t="str">
        <f>VLOOKUP(Table3[[#This Row],[Country Code]],Table29[],4,FALSE)</f>
        <v>Asia</v>
      </c>
      <c r="X1014" s="233" t="str">
        <f>VLOOKUP(Table3[[#This Row],[Country Code]],Table29[],5,FALSE)</f>
        <v>High-income</v>
      </c>
      <c r="Y1014" s="233" t="str">
        <f>VLOOKUP(Table3[[#This Row],[Country Code]],Table29[],6,FALSE)</f>
        <v>no</v>
      </c>
      <c r="Z1014" s="233" t="str">
        <f>VLOOKUP(Table3[[#This Row],[Country Code]],Table29[],7,FALSE)</f>
        <v>no</v>
      </c>
      <c r="AA1014" s="233" t="str">
        <f>VLOOKUP(Table3[[#This Row],[Country Code]],Table29[],8,FALSE)</f>
        <v>non-OECD</v>
      </c>
      <c r="AB1014" s="233" t="str">
        <f>VLOOKUP(Table3[[#This Row],[Country Code]],Table29[],9,FALSE)</f>
        <v>no</v>
      </c>
      <c r="AC1014" s="233" t="str">
        <f>VLOOKUP(Table3[[#This Row],[Country Code]],Table29[],10,FALSE)</f>
        <v>no</v>
      </c>
      <c r="AD1014" s="235">
        <f>VLOOKUP(Table3[[#This Row],[Country Code]],Table29[],23,FALSE)</f>
        <v>74.290132466078006</v>
      </c>
      <c r="AE1014" s="235">
        <f>VLOOKUP(Table3[[#This Row],[Country Code]],Table29[],24,FALSE)</f>
        <v>6.8133364043247093</v>
      </c>
      <c r="AF1014" s="43"/>
    </row>
    <row r="1015" spans="1:32" ht="30" x14ac:dyDescent="0.25">
      <c r="A1015" s="360" t="s">
        <v>720</v>
      </c>
      <c r="B1015" s="233" t="str">
        <f>VLOOKUP(Table3[[#This Row],[Document ID]],Table1[],2,FALSE)</f>
        <v>HRV</v>
      </c>
      <c r="C1015" s="233" t="str">
        <f>VLOOKUP(Table3[[#This Row],[Document ID]],Table1[],3,FALSE)</f>
        <v>Croatia</v>
      </c>
      <c r="D1015" s="233" t="str">
        <f>VLOOKUP(Table3[[#This Row],[Document ID]],Table1[],5,FALSE)</f>
        <v>LTS</v>
      </c>
      <c r="E1015" s="233" t="str">
        <f>VLOOKUP(Table3[[#This Row],[Document ID]],Table1[],7,FALSE)</f>
        <v>EU-LTS</v>
      </c>
      <c r="F1015" s="233" t="str">
        <f>VLOOKUP(Table3[[#This Row],[Document ID]],Table1[],8,FALSE)</f>
        <v>LTS 1.0</v>
      </c>
      <c r="G1015" s="233" t="str">
        <f>VLOOKUP(Table3[[#This Row],[Document ID]],Table1[],10,FALSE)</f>
        <v>Covered by EU</v>
      </c>
      <c r="H1015" s="43" t="s">
        <v>1147</v>
      </c>
      <c r="I1015" s="43" t="s">
        <v>1089</v>
      </c>
      <c r="J1015" s="43" t="s">
        <v>1090</v>
      </c>
      <c r="K1015" s="28" t="s">
        <v>1121</v>
      </c>
      <c r="L1015" s="43" t="s">
        <v>1116</v>
      </c>
      <c r="M1015" s="209">
        <v>2050</v>
      </c>
      <c r="N1015" s="44" t="s">
        <v>2124</v>
      </c>
      <c r="O1015" s="258">
        <v>2</v>
      </c>
      <c r="P1015" s="238" t="str">
        <f>VLOOKUP(_xlfn.CONCAT(Table3[[#This Row],[Target area]],Table3[[#This Row],[GHG target?]],Table3[[#This Row],[Conditionality]]),'Drop down'!$E$81:$F$101,2,FALSE)</f>
        <v>T_Netzero</v>
      </c>
      <c r="Q1015" s="239" t="str">
        <f>VLOOKUP(Table3[[#This Row],[Target type]],Table418[[Value name]:[Value idenifyer]],2,FALSE)</f>
        <v>T_FL</v>
      </c>
      <c r="V1015" s="233" t="str">
        <f>VLOOKUP(Table3[[#This Row],[Country Code]],Table29[],3,FALSE)</f>
        <v>Annex I</v>
      </c>
      <c r="W1015" s="233" t="str">
        <f>VLOOKUP(Table3[[#This Row],[Country Code]],Table29[],4,FALSE)</f>
        <v>Europe</v>
      </c>
      <c r="X1015" s="233" t="str">
        <f>VLOOKUP(Table3[[#This Row],[Country Code]],Table29[],5,FALSE)</f>
        <v>High-income</v>
      </c>
      <c r="Y1015" s="233" t="str">
        <f>VLOOKUP(Table3[[#This Row],[Country Code]],Table29[],6,FALSE)</f>
        <v>no</v>
      </c>
      <c r="Z1015" s="233" t="str">
        <f>VLOOKUP(Table3[[#This Row],[Country Code]],Table29[],7,FALSE)</f>
        <v>no</v>
      </c>
      <c r="AA1015" s="233" t="str">
        <f>VLOOKUP(Table3[[#This Row],[Country Code]],Table29[],8,FALSE)</f>
        <v>non-OECD</v>
      </c>
      <c r="AB1015" s="233" t="str">
        <f>VLOOKUP(Table3[[#This Row],[Country Code]],Table29[],9,FALSE)</f>
        <v>EU27</v>
      </c>
      <c r="AC1015" s="233" t="str">
        <f>VLOOKUP(Table3[[#This Row],[Country Code]],Table29[],10,FALSE)</f>
        <v>no</v>
      </c>
      <c r="AD1015" s="235">
        <f>VLOOKUP(Table3[[#This Row],[Country Code]],Table29[],23,FALSE)</f>
        <v>25.013482276386998</v>
      </c>
      <c r="AE1015" s="235">
        <f>VLOOKUP(Table3[[#This Row],[Country Code]],Table29[],24,FALSE)</f>
        <v>6.9744478684177764</v>
      </c>
      <c r="AF1015" s="43"/>
    </row>
    <row r="1016" spans="1:32" ht="30" x14ac:dyDescent="0.25">
      <c r="A1016" s="360">
        <v>32497</v>
      </c>
      <c r="B1016" s="233" t="str">
        <f>VLOOKUP(Table3[[#This Row],[Document ID]],Table1[],2,FALSE)</f>
        <v>CYP</v>
      </c>
      <c r="C1016" s="233" t="str">
        <f>VLOOKUP(Table3[[#This Row],[Document ID]],Table1[],3,FALSE)</f>
        <v>Cyprus</v>
      </c>
      <c r="D1016" s="233" t="str">
        <f>VLOOKUP(Table3[[#This Row],[Document ID]],Table1[],5,FALSE)</f>
        <v>LTS</v>
      </c>
      <c r="E1016" s="233" t="str">
        <f>VLOOKUP(Table3[[#This Row],[Document ID]],Table1[],7,FALSE)</f>
        <v>EU-LTS</v>
      </c>
      <c r="F1016" s="233" t="str">
        <f>VLOOKUP(Table3[[#This Row],[Document ID]],Table1[],8,FALSE)</f>
        <v>LTS 1.0</v>
      </c>
      <c r="G1016" s="233" t="str">
        <f>VLOOKUP(Table3[[#This Row],[Document ID]],Table1[],10,FALSE)</f>
        <v>Active</v>
      </c>
      <c r="H1016" s="43" t="s">
        <v>1147</v>
      </c>
      <c r="I1016" s="43" t="s">
        <v>1089</v>
      </c>
      <c r="J1016" s="43" t="s">
        <v>1090</v>
      </c>
      <c r="K1016" s="28" t="s">
        <v>1121</v>
      </c>
      <c r="L1016" s="43" t="s">
        <v>1116</v>
      </c>
      <c r="M1016" s="209">
        <v>2050</v>
      </c>
      <c r="N1016" s="44" t="s">
        <v>2125</v>
      </c>
      <c r="O1016" s="258"/>
      <c r="P1016" s="238" t="str">
        <f>VLOOKUP(_xlfn.CONCAT(Table3[[#This Row],[Target area]],Table3[[#This Row],[GHG target?]],Table3[[#This Row],[Conditionality]]),'Drop down'!$E$81:$F$101,2,FALSE)</f>
        <v>T_Netzero</v>
      </c>
      <c r="Q1016" s="239" t="str">
        <f>VLOOKUP(Table3[[#This Row],[Target type]],Table418[[Value name]:[Value idenifyer]],2,FALSE)</f>
        <v>T_FL</v>
      </c>
      <c r="V1016" s="233" t="str">
        <f>VLOOKUP(Table3[[#This Row],[Country Code]],Table29[],3,FALSE)</f>
        <v>Annex I</v>
      </c>
      <c r="W1016" s="233" t="str">
        <f>VLOOKUP(Table3[[#This Row],[Country Code]],Table29[],4,FALSE)</f>
        <v>Asia</v>
      </c>
      <c r="X1016" s="233" t="str">
        <f>VLOOKUP(Table3[[#This Row],[Country Code]],Table29[],5,FALSE)</f>
        <v>High-income</v>
      </c>
      <c r="Y1016" s="233" t="str">
        <f>VLOOKUP(Table3[[#This Row],[Country Code]],Table29[],6,FALSE)</f>
        <v>no</v>
      </c>
      <c r="Z1016" s="233" t="str">
        <f>VLOOKUP(Table3[[#This Row],[Country Code]],Table29[],7,FALSE)</f>
        <v>no</v>
      </c>
      <c r="AA1016" s="233" t="str">
        <f>VLOOKUP(Table3[[#This Row],[Country Code]],Table29[],8,FALSE)</f>
        <v>non-OECD</v>
      </c>
      <c r="AB1016" s="233" t="str">
        <f>VLOOKUP(Table3[[#This Row],[Country Code]],Table29[],9,FALSE)</f>
        <v>EU27</v>
      </c>
      <c r="AC1016" s="233" t="str">
        <f>VLOOKUP(Table3[[#This Row],[Country Code]],Table29[],10,FALSE)</f>
        <v>no</v>
      </c>
      <c r="AD1016" s="235">
        <f>VLOOKUP(Table3[[#This Row],[Country Code]],Table29[],23,FALSE)</f>
        <v>10.324656394181</v>
      </c>
      <c r="AE1016" s="235">
        <f>VLOOKUP(Table3[[#This Row],[Country Code]],Table29[],24,FALSE)</f>
        <v>1.897782414839597</v>
      </c>
      <c r="AF1016" s="43"/>
    </row>
    <row r="1017" spans="1:32" ht="30" x14ac:dyDescent="0.25">
      <c r="A1017" s="360">
        <v>17570</v>
      </c>
      <c r="B1017" s="233" t="str">
        <f>VLOOKUP(Table3[[#This Row],[Document ID]],Table1[],2,FALSE)</f>
        <v>CZE</v>
      </c>
      <c r="C1017" s="233" t="str">
        <f>VLOOKUP(Table3[[#This Row],[Document ID]],Table1[],3,FALSE)</f>
        <v>Czech Republic</v>
      </c>
      <c r="D1017" s="233" t="str">
        <f>VLOOKUP(Table3[[#This Row],[Document ID]],Table1[],5,FALSE)</f>
        <v>LTS</v>
      </c>
      <c r="E1017" s="233" t="str">
        <f>VLOOKUP(Table3[[#This Row],[Document ID]],Table1[],7,FALSE)</f>
        <v>EU-LTS</v>
      </c>
      <c r="F1017" s="233" t="str">
        <f>VLOOKUP(Table3[[#This Row],[Document ID]],Table1[],8,FALSE)</f>
        <v>LTS 1.0</v>
      </c>
      <c r="G1017" s="233" t="str">
        <f>VLOOKUP(Table3[[#This Row],[Document ID]],Table1[],10,FALSE)</f>
        <v>Active</v>
      </c>
      <c r="H1017" s="43" t="s">
        <v>1147</v>
      </c>
      <c r="I1017" s="43" t="s">
        <v>1089</v>
      </c>
      <c r="J1017" s="43" t="s">
        <v>1090</v>
      </c>
      <c r="K1017" s="28" t="s">
        <v>1121</v>
      </c>
      <c r="L1017" s="43" t="s">
        <v>1116</v>
      </c>
      <c r="M1017" s="209">
        <v>2050</v>
      </c>
      <c r="N1017" s="44" t="s">
        <v>2126</v>
      </c>
      <c r="O1017" s="258"/>
      <c r="P1017" s="238" t="str">
        <f>VLOOKUP(_xlfn.CONCAT(Table3[[#This Row],[Target area]],Table3[[#This Row],[GHG target?]],Table3[[#This Row],[Conditionality]]),'Drop down'!$E$81:$F$101,2,FALSE)</f>
        <v>T_Netzero</v>
      </c>
      <c r="Q1017" s="239" t="str">
        <f>VLOOKUP(Table3[[#This Row],[Target type]],Table418[[Value name]:[Value idenifyer]],2,FALSE)</f>
        <v>T_FL</v>
      </c>
      <c r="V1017" s="233" t="str">
        <f>VLOOKUP(Table3[[#This Row],[Country Code]],Table29[],3,FALSE)</f>
        <v>Annex I</v>
      </c>
      <c r="W1017" s="233" t="str">
        <f>VLOOKUP(Table3[[#This Row],[Country Code]],Table29[],4,FALSE)</f>
        <v>Europe</v>
      </c>
      <c r="X1017" s="233" t="str">
        <f>VLOOKUP(Table3[[#This Row],[Country Code]],Table29[],5,FALSE)</f>
        <v>High-income</v>
      </c>
      <c r="Y1017" s="233" t="str">
        <f>VLOOKUP(Table3[[#This Row],[Country Code]],Table29[],6,FALSE)</f>
        <v>no</v>
      </c>
      <c r="Z1017" s="233" t="str">
        <f>VLOOKUP(Table3[[#This Row],[Country Code]],Table29[],7,FALSE)</f>
        <v>no</v>
      </c>
      <c r="AA1017" s="233" t="str">
        <f>VLOOKUP(Table3[[#This Row],[Country Code]],Table29[],8,FALSE)</f>
        <v>OECD</v>
      </c>
      <c r="AB1017" s="233" t="str">
        <f>VLOOKUP(Table3[[#This Row],[Country Code]],Table29[],9,FALSE)</f>
        <v>EU27</v>
      </c>
      <c r="AC1017" s="233" t="str">
        <f>VLOOKUP(Table3[[#This Row],[Country Code]],Table29[],10,FALSE)</f>
        <v>no</v>
      </c>
      <c r="AD1017" s="235">
        <f>VLOOKUP(Table3[[#This Row],[Country Code]],Table29[],23,FALSE)</f>
        <v>114.43841612935999</v>
      </c>
      <c r="AE1017" s="235">
        <f>VLOOKUP(Table3[[#This Row],[Country Code]],Table29[],24,FALSE)</f>
        <v>19.612786549290181</v>
      </c>
      <c r="AF1017" s="43"/>
    </row>
    <row r="1018" spans="1:32" x14ac:dyDescent="0.25">
      <c r="A1018" s="360">
        <v>32514</v>
      </c>
      <c r="B1018" s="233" t="str">
        <f>VLOOKUP(Table3[[#This Row],[Document ID]],Table1[],2,FALSE)</f>
        <v>SGP</v>
      </c>
      <c r="C1018" s="233" t="str">
        <f>VLOOKUP(Table3[[#This Row],[Document ID]],Table1[],3,FALSE)</f>
        <v>Singapore</v>
      </c>
      <c r="D1018" s="233" t="str">
        <f>VLOOKUP(Table3[[#This Row],[Document ID]],Table1[],5,FALSE)</f>
        <v>NDC</v>
      </c>
      <c r="E1018" s="233" t="str">
        <f>VLOOKUP(Table3[[#This Row],[Document ID]],Table1[],7,FALSE)</f>
        <v>First NDC updated</v>
      </c>
      <c r="F1018" s="233" t="str">
        <f>VLOOKUP(Table3[[#This Row],[Document ID]],Table1[],8,FALSE)</f>
        <v>NDC 1.2</v>
      </c>
      <c r="G1018" s="233" t="str">
        <f>VLOOKUP(Table3[[#This Row],[Document ID]],Table1[],10,FALSE)</f>
        <v>Archived</v>
      </c>
      <c r="H1018" s="43" t="s">
        <v>1147</v>
      </c>
      <c r="I1018" s="43" t="s">
        <v>1089</v>
      </c>
      <c r="J1018" s="43" t="s">
        <v>1090</v>
      </c>
      <c r="K1018" s="28" t="s">
        <v>1121</v>
      </c>
      <c r="L1018" s="43" t="s">
        <v>1116</v>
      </c>
      <c r="M1018" s="209">
        <v>2050</v>
      </c>
      <c r="N1018" s="44" t="s">
        <v>2127</v>
      </c>
      <c r="O1018" s="258">
        <v>22</v>
      </c>
      <c r="P1018" s="238" t="str">
        <f>VLOOKUP(_xlfn.CONCAT(Table3[[#This Row],[Target area]],Table3[[#This Row],[GHG target?]],Table3[[#This Row],[Conditionality]]),'Drop down'!$E$81:$F$101,2,FALSE)</f>
        <v>T_Netzero</v>
      </c>
      <c r="Q1018" s="239" t="str">
        <f>VLOOKUP(Table3[[#This Row],[Target type]],Table418[[Value name]:[Value idenifyer]],2,FALSE)</f>
        <v>T_FL</v>
      </c>
      <c r="U1018" s="234" t="s">
        <v>1244</v>
      </c>
      <c r="V1018" s="233" t="str">
        <f>VLOOKUP(Table3[[#This Row],[Country Code]],Table29[],3,FALSE)</f>
        <v>Non-Annex I</v>
      </c>
      <c r="W1018" s="233" t="str">
        <f>VLOOKUP(Table3[[#This Row],[Country Code]],Table29[],4,FALSE)</f>
        <v>Asia</v>
      </c>
      <c r="X1018" s="233" t="str">
        <f>VLOOKUP(Table3[[#This Row],[Country Code]],Table29[],5,FALSE)</f>
        <v>High-income</v>
      </c>
      <c r="Y1018" s="233" t="str">
        <f>VLOOKUP(Table3[[#This Row],[Country Code]],Table29[],6,FALSE)</f>
        <v>no</v>
      </c>
      <c r="Z1018" s="233" t="str">
        <f>VLOOKUP(Table3[[#This Row],[Country Code]],Table29[],7,FALSE)</f>
        <v>no</v>
      </c>
      <c r="AA1018" s="233" t="str">
        <f>VLOOKUP(Table3[[#This Row],[Country Code]],Table29[],8,FALSE)</f>
        <v>non-OECD</v>
      </c>
      <c r="AB1018" s="233" t="str">
        <f>VLOOKUP(Table3[[#This Row],[Country Code]],Table29[],9,FALSE)</f>
        <v>no</v>
      </c>
      <c r="AC1018" s="233" t="str">
        <f>VLOOKUP(Table3[[#This Row],[Country Code]],Table29[],10,FALSE)</f>
        <v>no</v>
      </c>
      <c r="AD1018" s="235">
        <f>VLOOKUP(Table3[[#This Row],[Country Code]],Table29[],23,FALSE)</f>
        <v>74.290132466078006</v>
      </c>
      <c r="AE1018" s="235">
        <f>VLOOKUP(Table3[[#This Row],[Country Code]],Table29[],24,FALSE)</f>
        <v>6.8133364043247093</v>
      </c>
      <c r="AF1018" s="43"/>
    </row>
    <row r="1019" spans="1:32" x14ac:dyDescent="0.25">
      <c r="A1019" s="360">
        <v>42002</v>
      </c>
      <c r="B1019" s="233" t="str">
        <f>VLOOKUP(Table3[[#This Row],[Document ID]],Table1[],2,FALSE)</f>
        <v>JAM</v>
      </c>
      <c r="C1019" s="233" t="str">
        <f>VLOOKUP(Table3[[#This Row],[Document ID]],Table1[],3,FALSE)</f>
        <v>Jamaica</v>
      </c>
      <c r="D1019" s="233" t="str">
        <f>VLOOKUP(Table3[[#This Row],[Document ID]],Table1[],5,FALSE)</f>
        <v>Other</v>
      </c>
      <c r="E1019" s="233" t="str">
        <f>VLOOKUP(Table3[[#This Row],[Document ID]],Table1[],7,FALSE)</f>
        <v>WRI Net Zero Tracker</v>
      </c>
      <c r="F1019" s="233" t="str">
        <f>VLOOKUP(Table3[[#This Row],[Document ID]],Table1[],8,FALSE)</f>
        <v>NA</v>
      </c>
      <c r="G1019" s="233" t="str">
        <f>VLOOKUP(Table3[[#This Row],[Document ID]],Table1[],10,FALSE)</f>
        <v>Active</v>
      </c>
      <c r="H1019" s="43" t="s">
        <v>1147</v>
      </c>
      <c r="I1019" s="43" t="s">
        <v>1089</v>
      </c>
      <c r="J1019" s="43" t="s">
        <v>1090</v>
      </c>
      <c r="K1019" s="28" t="s">
        <v>1121</v>
      </c>
      <c r="L1019" s="43" t="s">
        <v>1116</v>
      </c>
      <c r="M1019" s="209">
        <v>2050</v>
      </c>
      <c r="N1019" s="43" t="s">
        <v>1683</v>
      </c>
      <c r="O1019" s="258"/>
      <c r="P1019" s="238" t="str">
        <f>VLOOKUP(_xlfn.CONCAT(Table3[[#This Row],[Target area]],Table3[[#This Row],[GHG target?]],Table3[[#This Row],[Conditionality]]),'Drop down'!$E$81:$F$101,2,FALSE)</f>
        <v>T_Netzero</v>
      </c>
      <c r="Q1019" s="239" t="str">
        <f>VLOOKUP(Table3[[#This Row],[Target type]],Table418[[Value name]:[Value idenifyer]],2,FALSE)</f>
        <v>T_FL</v>
      </c>
      <c r="V1019" s="233" t="str">
        <f>VLOOKUP(Table3[[#This Row],[Country Code]],Table29[],3,FALSE)</f>
        <v>Non-Annex I</v>
      </c>
      <c r="W1019" s="233" t="str">
        <f>VLOOKUP(Table3[[#This Row],[Country Code]],Table29[],4,FALSE)</f>
        <v>Latin America and the Caribbean</v>
      </c>
      <c r="X1019" s="233" t="str">
        <f>VLOOKUP(Table3[[#This Row],[Country Code]],Table29[],5,FALSE)</f>
        <v>Middle-income</v>
      </c>
      <c r="Y1019" s="233" t="str">
        <f>VLOOKUP(Table3[[#This Row],[Country Code]],Table29[],6,FALSE)</f>
        <v>no</v>
      </c>
      <c r="Z1019" s="233" t="str">
        <f>VLOOKUP(Table3[[#This Row],[Country Code]],Table29[],7,FALSE)</f>
        <v>no</v>
      </c>
      <c r="AA1019" s="233" t="str">
        <f>VLOOKUP(Table3[[#This Row],[Country Code]],Table29[],8,FALSE)</f>
        <v>non-OECD</v>
      </c>
      <c r="AB1019" s="233" t="str">
        <f>VLOOKUP(Table3[[#This Row],[Country Code]],Table29[],9,FALSE)</f>
        <v>no</v>
      </c>
      <c r="AC1019" s="233" t="str">
        <f>VLOOKUP(Table3[[#This Row],[Country Code]],Table29[],10,FALSE)</f>
        <v>no</v>
      </c>
      <c r="AD1019" s="235">
        <f>VLOOKUP(Table3[[#This Row],[Country Code]],Table29[],23,FALSE)</f>
        <v>8.1629239257775001</v>
      </c>
      <c r="AE1019" s="235">
        <f>VLOOKUP(Table3[[#This Row],[Country Code]],Table29[],24,FALSE)</f>
        <v>2.4498640842511992</v>
      </c>
      <c r="AF1019" s="43"/>
    </row>
    <row r="1020" spans="1:32" ht="45" x14ac:dyDescent="0.25">
      <c r="A1020" s="360">
        <v>17580</v>
      </c>
      <c r="B1020" s="233" t="str">
        <f>VLOOKUP(Table3[[#This Row],[Document ID]],Table1[],2,FALSE)</f>
        <v>DOM</v>
      </c>
      <c r="C1020" s="233" t="str">
        <f>VLOOKUP(Table3[[#This Row],[Document ID]],Table1[],3,FALSE)</f>
        <v>Dominican Republic</v>
      </c>
      <c r="D1020" s="233" t="str">
        <f>VLOOKUP(Table3[[#This Row],[Document ID]],Table1[],5,FALSE)</f>
        <v>NDC</v>
      </c>
      <c r="E1020" s="233" t="str">
        <f>VLOOKUP(Table3[[#This Row],[Document ID]],Table1[],7,FALSE)</f>
        <v>First NDC updated</v>
      </c>
      <c r="F1020" s="233" t="str">
        <f>VLOOKUP(Table3[[#This Row],[Document ID]],Table1[],8,FALSE)</f>
        <v>NDC 1.1</v>
      </c>
      <c r="G1020" s="233" t="str">
        <f>VLOOKUP(Table3[[#This Row],[Document ID]],Table1[],10,FALSE)</f>
        <v>Active</v>
      </c>
      <c r="H1020" s="43" t="s">
        <v>1147</v>
      </c>
      <c r="I1020" s="43" t="s">
        <v>1089</v>
      </c>
      <c r="J1020" s="43" t="s">
        <v>1090</v>
      </c>
      <c r="K1020" s="28" t="s">
        <v>1121</v>
      </c>
      <c r="L1020" s="43" t="s">
        <v>1116</v>
      </c>
      <c r="M1020" s="209">
        <v>2050</v>
      </c>
      <c r="N1020" s="44" t="s">
        <v>2128</v>
      </c>
      <c r="O1020" s="258">
        <v>26</v>
      </c>
      <c r="P1020" s="238" t="str">
        <f>VLOOKUP(_xlfn.CONCAT(Table3[[#This Row],[Target area]],Table3[[#This Row],[GHG target?]],Table3[[#This Row],[Conditionality]]),'Drop down'!$E$81:$F$101,2,FALSE)</f>
        <v>T_Netzero</v>
      </c>
      <c r="Q1020" s="239" t="str">
        <f>VLOOKUP(Table3[[#This Row],[Target type]],Table418[[Value name]:[Value idenifyer]],2,FALSE)</f>
        <v>T_FL</v>
      </c>
      <c r="V1020" s="233" t="str">
        <f>VLOOKUP(Table3[[#This Row],[Country Code]],Table29[],3,FALSE)</f>
        <v>Non-Annex I</v>
      </c>
      <c r="W1020" s="233" t="str">
        <f>VLOOKUP(Table3[[#This Row],[Country Code]],Table29[],4,FALSE)</f>
        <v>Latin America and the Caribbean</v>
      </c>
      <c r="X1020" s="233" t="str">
        <f>VLOOKUP(Table3[[#This Row],[Country Code]],Table29[],5,FALSE)</f>
        <v>Middle-income</v>
      </c>
      <c r="Y1020" s="233" t="str">
        <f>VLOOKUP(Table3[[#This Row],[Country Code]],Table29[],6,FALSE)</f>
        <v>no</v>
      </c>
      <c r="Z1020" s="233" t="str">
        <f>VLOOKUP(Table3[[#This Row],[Country Code]],Table29[],7,FALSE)</f>
        <v>no</v>
      </c>
      <c r="AA1020" s="233" t="str">
        <f>VLOOKUP(Table3[[#This Row],[Country Code]],Table29[],8,FALSE)</f>
        <v>non-OECD</v>
      </c>
      <c r="AB1020" s="233" t="str">
        <f>VLOOKUP(Table3[[#This Row],[Country Code]],Table29[],9,FALSE)</f>
        <v>no</v>
      </c>
      <c r="AC1020" s="233" t="str">
        <f>VLOOKUP(Table3[[#This Row],[Country Code]],Table29[],10,FALSE)</f>
        <v>no</v>
      </c>
      <c r="AD1020" s="235">
        <f>VLOOKUP(Table3[[#This Row],[Country Code]],Table29[],23,FALSE)</f>
        <v>48.396213040657997</v>
      </c>
      <c r="AE1020" s="235">
        <f>VLOOKUP(Table3[[#This Row],[Country Code]],Table29[],24,FALSE)</f>
        <v>8.515708871390995</v>
      </c>
      <c r="AF1020" s="43"/>
    </row>
    <row r="1021" spans="1:32" ht="30" x14ac:dyDescent="0.25">
      <c r="A1021" s="360" t="s">
        <v>721</v>
      </c>
      <c r="B1021" s="233" t="str">
        <f>VLOOKUP(Table3[[#This Row],[Document ID]],Table1[],2,FALSE)</f>
        <v>EST</v>
      </c>
      <c r="C1021" s="233" t="str">
        <f>VLOOKUP(Table3[[#This Row],[Document ID]],Table1[],3,FALSE)</f>
        <v>Estonia</v>
      </c>
      <c r="D1021" s="233" t="str">
        <f>VLOOKUP(Table3[[#This Row],[Document ID]],Table1[],5,FALSE)</f>
        <v>LTS</v>
      </c>
      <c r="E1021" s="233" t="str">
        <f>VLOOKUP(Table3[[#This Row],[Document ID]],Table1[],7,FALSE)</f>
        <v>EU-LTS</v>
      </c>
      <c r="F1021" s="233" t="str">
        <f>VLOOKUP(Table3[[#This Row],[Document ID]],Table1[],8,FALSE)</f>
        <v>LTS 1.0</v>
      </c>
      <c r="G1021" s="233" t="str">
        <f>VLOOKUP(Table3[[#This Row],[Document ID]],Table1[],10,FALSE)</f>
        <v>Covered by EU</v>
      </c>
      <c r="H1021" s="43" t="s">
        <v>1147</v>
      </c>
      <c r="I1021" s="43" t="s">
        <v>1089</v>
      </c>
      <c r="J1021" s="43" t="s">
        <v>1090</v>
      </c>
      <c r="K1021" s="28" t="s">
        <v>1121</v>
      </c>
      <c r="L1021" s="43" t="s">
        <v>1116</v>
      </c>
      <c r="M1021" s="209">
        <v>2050</v>
      </c>
      <c r="N1021" s="44" t="s">
        <v>2129</v>
      </c>
      <c r="O1021" s="258"/>
      <c r="P1021" s="238" t="str">
        <f>VLOOKUP(_xlfn.CONCAT(Table3[[#This Row],[Target area]],Table3[[#This Row],[GHG target?]],Table3[[#This Row],[Conditionality]]),'Drop down'!$E$81:$F$101,2,FALSE)</f>
        <v>T_Netzero</v>
      </c>
      <c r="Q1021" s="239" t="str">
        <f>VLOOKUP(Table3[[#This Row],[Target type]],Table418[[Value name]:[Value idenifyer]],2,FALSE)</f>
        <v>T_FL</v>
      </c>
      <c r="V1021" s="233" t="str">
        <f>VLOOKUP(Table3[[#This Row],[Country Code]],Table29[],3,FALSE)</f>
        <v>Annex I</v>
      </c>
      <c r="W1021" s="233" t="str">
        <f>VLOOKUP(Table3[[#This Row],[Country Code]],Table29[],4,FALSE)</f>
        <v>Europe</v>
      </c>
      <c r="X1021" s="233" t="str">
        <f>VLOOKUP(Table3[[#This Row],[Country Code]],Table29[],5,FALSE)</f>
        <v>High-income</v>
      </c>
      <c r="Y1021" s="233" t="str">
        <f>VLOOKUP(Table3[[#This Row],[Country Code]],Table29[],6,FALSE)</f>
        <v>no</v>
      </c>
      <c r="Z1021" s="233" t="str">
        <f>VLOOKUP(Table3[[#This Row],[Country Code]],Table29[],7,FALSE)</f>
        <v>no</v>
      </c>
      <c r="AA1021" s="233" t="str">
        <f>VLOOKUP(Table3[[#This Row],[Country Code]],Table29[],8,FALSE)</f>
        <v>OECD</v>
      </c>
      <c r="AB1021" s="233" t="str">
        <f>VLOOKUP(Table3[[#This Row],[Country Code]],Table29[],9,FALSE)</f>
        <v>EU27</v>
      </c>
      <c r="AC1021" s="233" t="str">
        <f>VLOOKUP(Table3[[#This Row],[Country Code]],Table29[],10,FALSE)</f>
        <v>no</v>
      </c>
      <c r="AD1021" s="235">
        <f>VLOOKUP(Table3[[#This Row],[Country Code]],Table29[],23,FALSE)</f>
        <v>14.363974872585</v>
      </c>
      <c r="AE1021" s="235">
        <f>VLOOKUP(Table3[[#This Row],[Country Code]],Table29[],24,FALSE)</f>
        <v>2.3914920622498892</v>
      </c>
      <c r="AF1021" s="43"/>
    </row>
    <row r="1022" spans="1:32" ht="45" x14ac:dyDescent="0.25">
      <c r="A1022" s="360">
        <v>39442</v>
      </c>
      <c r="B1022" s="233" t="str">
        <f>VLOOKUP(Table3[[#This Row],[Document ID]],Table1[],2,FALSE)</f>
        <v>ETH</v>
      </c>
      <c r="C1022" s="233" t="str">
        <f>VLOOKUP(Table3[[#This Row],[Document ID]],Table1[],3,FALSE)</f>
        <v>Ethiopia</v>
      </c>
      <c r="D1022" s="233" t="str">
        <f>VLOOKUP(Table3[[#This Row],[Document ID]],Table1[],5,FALSE)</f>
        <v>LTS</v>
      </c>
      <c r="E1022" s="233" t="str">
        <f>VLOOKUP(Table3[[#This Row],[Document ID]],Table1[],7,FALSE)</f>
        <v>LTS</v>
      </c>
      <c r="F1022" s="233" t="str">
        <f>VLOOKUP(Table3[[#This Row],[Document ID]],Table1[],8,FALSE)</f>
        <v>LTS 1.0</v>
      </c>
      <c r="G1022" s="233" t="str">
        <f>VLOOKUP(Table3[[#This Row],[Document ID]],Table1[],10,FALSE)</f>
        <v>Active</v>
      </c>
      <c r="H1022" s="43" t="s">
        <v>1147</v>
      </c>
      <c r="I1022" s="43" t="s">
        <v>1089</v>
      </c>
      <c r="J1022" s="43" t="s">
        <v>1090</v>
      </c>
      <c r="K1022" s="28" t="s">
        <v>1121</v>
      </c>
      <c r="L1022" s="43" t="s">
        <v>1116</v>
      </c>
      <c r="M1022" s="209">
        <v>2050</v>
      </c>
      <c r="N1022" s="44" t="s">
        <v>2130</v>
      </c>
      <c r="O1022" s="258">
        <v>3</v>
      </c>
      <c r="P1022" s="238" t="str">
        <f>VLOOKUP(_xlfn.CONCAT(Table3[[#This Row],[Target area]],Table3[[#This Row],[GHG target?]],Table3[[#This Row],[Conditionality]]),'Drop down'!$E$81:$F$101,2,FALSE)</f>
        <v>T_Netzero</v>
      </c>
      <c r="Q1022" s="239" t="str">
        <f>VLOOKUP(Table3[[#This Row],[Target type]],Table418[[Value name]:[Value idenifyer]],2,FALSE)</f>
        <v>T_FL</v>
      </c>
      <c r="V1022" s="233" t="str">
        <f>VLOOKUP(Table3[[#This Row],[Country Code]],Table29[],3,FALSE)</f>
        <v>Non-Annex I</v>
      </c>
      <c r="W1022" s="233" t="str">
        <f>VLOOKUP(Table3[[#This Row],[Country Code]],Table29[],4,FALSE)</f>
        <v>Africa</v>
      </c>
      <c r="X1022" s="233" t="str">
        <f>VLOOKUP(Table3[[#This Row],[Country Code]],Table29[],5,FALSE)</f>
        <v>Low-income</v>
      </c>
      <c r="Y1022" s="233" t="str">
        <f>VLOOKUP(Table3[[#This Row],[Country Code]],Table29[],6,FALSE)</f>
        <v>no</v>
      </c>
      <c r="Z1022" s="233" t="str">
        <f>VLOOKUP(Table3[[#This Row],[Country Code]],Table29[],7,FALSE)</f>
        <v>no</v>
      </c>
      <c r="AA1022" s="233" t="str">
        <f>VLOOKUP(Table3[[#This Row],[Country Code]],Table29[],8,FALSE)</f>
        <v>non-OECD</v>
      </c>
      <c r="AB1022" s="233" t="str">
        <f>VLOOKUP(Table3[[#This Row],[Country Code]],Table29[],9,FALSE)</f>
        <v>no</v>
      </c>
      <c r="AC1022" s="233" t="str">
        <f>VLOOKUP(Table3[[#This Row],[Country Code]],Table29[],10,FALSE)</f>
        <v>no</v>
      </c>
      <c r="AD1022" s="235">
        <f>VLOOKUP(Table3[[#This Row],[Country Code]],Table29[],23,FALSE)</f>
        <v>170.03385065136999</v>
      </c>
      <c r="AE1022" s="235">
        <f>VLOOKUP(Table3[[#This Row],[Country Code]],Table29[],24,FALSE)</f>
        <v>6.7537831121432941</v>
      </c>
      <c r="AF1022" s="43"/>
    </row>
    <row r="1023" spans="1:32" ht="75" x14ac:dyDescent="0.25">
      <c r="A1023" s="360">
        <v>39443</v>
      </c>
      <c r="B1023" s="233" t="str">
        <f>VLOOKUP(Table3[[#This Row],[Document ID]],Table1[],2,FALSE)</f>
        <v>EEU</v>
      </c>
      <c r="C1023" s="233" t="str">
        <f>VLOOKUP(Table3[[#This Row],[Document ID]],Table1[],3,FALSE)</f>
        <v>European Union</v>
      </c>
      <c r="D1023" s="233" t="str">
        <f>VLOOKUP(Table3[[#This Row],[Document ID]],Table1[],5,FALSE)</f>
        <v>NDC</v>
      </c>
      <c r="E1023" s="233" t="str">
        <f>VLOOKUP(Table3[[#This Row],[Document ID]],Table1[],7,FALSE)</f>
        <v>First NDC updated</v>
      </c>
      <c r="F1023" s="233" t="str">
        <f>VLOOKUP(Table3[[#This Row],[Document ID]],Table1[],8,FALSE)</f>
        <v>NDC 1.2</v>
      </c>
      <c r="G1023" s="233" t="str">
        <f>VLOOKUP(Table3[[#This Row],[Document ID]],Table1[],10,FALSE)</f>
        <v>Active</v>
      </c>
      <c r="H1023" s="43" t="s">
        <v>1147</v>
      </c>
      <c r="I1023" s="43" t="s">
        <v>1089</v>
      </c>
      <c r="J1023" s="43" t="s">
        <v>1090</v>
      </c>
      <c r="K1023" s="28" t="s">
        <v>1121</v>
      </c>
      <c r="L1023" s="43" t="s">
        <v>1116</v>
      </c>
      <c r="M1023" s="209">
        <v>2050</v>
      </c>
      <c r="N1023" s="44" t="s">
        <v>2131</v>
      </c>
      <c r="O1023" s="258">
        <v>1</v>
      </c>
      <c r="P1023" s="238" t="str">
        <f>VLOOKUP(_xlfn.CONCAT(Table3[[#This Row],[Target area]],Table3[[#This Row],[GHG target?]],Table3[[#This Row],[Conditionality]]),'Drop down'!$E$81:$F$101,2,FALSE)</f>
        <v>T_Netzero</v>
      </c>
      <c r="Q1023" s="239" t="str">
        <f>VLOOKUP(Table3[[#This Row],[Target type]],Table418[[Value name]:[Value idenifyer]],2,FALSE)</f>
        <v>T_FL</v>
      </c>
      <c r="V1023" s="233" t="str">
        <f>VLOOKUP(Table3[[#This Row],[Country Code]],Table29[],3,FALSE)</f>
        <v>Annex I</v>
      </c>
      <c r="W1023" s="233" t="str">
        <f>VLOOKUP(Table3[[#This Row],[Country Code]],Table29[],4,FALSE)</f>
        <v>Europe</v>
      </c>
      <c r="X1023" s="233" t="str">
        <f>VLOOKUP(Table3[[#This Row],[Country Code]],Table29[],5,FALSE)</f>
        <v>N/A</v>
      </c>
      <c r="Y1023" s="233" t="str">
        <f>VLOOKUP(Table3[[#This Row],[Country Code]],Table29[],6,FALSE)</f>
        <v>G20</v>
      </c>
      <c r="Z1023" s="233" t="str">
        <f>VLOOKUP(Table3[[#This Row],[Country Code]],Table29[],7,FALSE)</f>
        <v>no</v>
      </c>
      <c r="AA1023" s="233" t="str">
        <f>VLOOKUP(Table3[[#This Row],[Country Code]],Table29[],8,FALSE)</f>
        <v>non-OECD</v>
      </c>
      <c r="AB1023" s="233" t="str">
        <f>VLOOKUP(Table3[[#This Row],[Country Code]],Table29[],9,FALSE)</f>
        <v>no</v>
      </c>
      <c r="AC1023" s="233" t="str">
        <f>VLOOKUP(Table3[[#This Row],[Country Code]],Table29[],10,FALSE)</f>
        <v>no</v>
      </c>
      <c r="AD1023" s="235" t="e">
        <f>VLOOKUP(Table3[[#This Row],[Country Code]],Table29[],23,FALSE)</f>
        <v>#N/A</v>
      </c>
      <c r="AE1023" s="235" t="e">
        <f>VLOOKUP(Table3[[#This Row],[Country Code]],Table29[],24,FALSE)</f>
        <v>#N/A</v>
      </c>
      <c r="AF1023" s="43"/>
    </row>
    <row r="1024" spans="1:32" s="299" customFormat="1" ht="75" x14ac:dyDescent="0.25">
      <c r="A1024" s="360">
        <v>17591</v>
      </c>
      <c r="B1024" s="233" t="str">
        <f>VLOOKUP(Table3[[#This Row],[Document ID]],Table1[],2,FALSE)</f>
        <v>EEU</v>
      </c>
      <c r="C1024" s="233" t="str">
        <f>VLOOKUP(Table3[[#This Row],[Document ID]],Table1[],3,FALSE)</f>
        <v>European Union</v>
      </c>
      <c r="D1024" s="290" t="str">
        <f>VLOOKUP(Table3[[#This Row],[Document ID]],Table1[],5,FALSE)</f>
        <v>NDC</v>
      </c>
      <c r="E1024" s="233" t="str">
        <f>VLOOKUP(Table3[[#This Row],[Document ID]],Table1[],7,FALSE)</f>
        <v>First NDC updated</v>
      </c>
      <c r="F1024" s="290" t="str">
        <f>VLOOKUP(Table3[[#This Row],[Document ID]],Table1[],8,FALSE)</f>
        <v>NDC 1.1</v>
      </c>
      <c r="G1024" s="233" t="str">
        <f>VLOOKUP(Table3[[#This Row],[Document ID]],Table1[],10,FALSE)</f>
        <v>Archived</v>
      </c>
      <c r="H1024" s="291" t="s">
        <v>1147</v>
      </c>
      <c r="I1024" s="43" t="s">
        <v>1089</v>
      </c>
      <c r="J1024" s="291" t="s">
        <v>1090</v>
      </c>
      <c r="K1024" s="292" t="s">
        <v>1121</v>
      </c>
      <c r="L1024" s="43" t="s">
        <v>1116</v>
      </c>
      <c r="M1024" s="293">
        <v>2050</v>
      </c>
      <c r="N1024" s="294" t="s">
        <v>2132</v>
      </c>
      <c r="O1024" s="295">
        <v>1</v>
      </c>
      <c r="P1024" s="238" t="str">
        <f>VLOOKUP(_xlfn.CONCAT(Table3[[#This Row],[Target area]],Table3[[#This Row],[GHG target?]],Table3[[#This Row],[Conditionality]]),'Drop down'!$E$81:$F$101,2,FALSE)</f>
        <v>T_Netzero</v>
      </c>
      <c r="Q1024" s="239" t="str">
        <f>VLOOKUP(Table3[[#This Row],[Target type]],Table418[[Value name]:[Value idenifyer]],2,FALSE)</f>
        <v>T_FL</v>
      </c>
      <c r="R1024" s="290"/>
      <c r="S1024" s="290"/>
      <c r="T1024" s="297"/>
      <c r="U1024" s="297"/>
      <c r="V1024" s="233" t="str">
        <f>VLOOKUP(Table3[[#This Row],[Country Code]],Table29[],3,FALSE)</f>
        <v>Annex I</v>
      </c>
      <c r="W1024" s="290" t="str">
        <f>VLOOKUP(Table3[[#This Row],[Country Code]],Table29[],4,FALSE)</f>
        <v>Europe</v>
      </c>
      <c r="X1024" s="290" t="str">
        <f>VLOOKUP(Table3[[#This Row],[Country Code]],Table29[],5,FALSE)</f>
        <v>N/A</v>
      </c>
      <c r="Y1024" s="290" t="str">
        <f>VLOOKUP(Table3[[#This Row],[Country Code]],Table29[],6,FALSE)</f>
        <v>G20</v>
      </c>
      <c r="Z1024" s="290" t="str">
        <f>VLOOKUP(Table3[[#This Row],[Country Code]],Table29[],7,FALSE)</f>
        <v>no</v>
      </c>
      <c r="AA1024" s="290" t="str">
        <f>VLOOKUP(Table3[[#This Row],[Country Code]],Table29[],8,FALSE)</f>
        <v>non-OECD</v>
      </c>
      <c r="AB1024" s="290" t="str">
        <f>VLOOKUP(Table3[[#This Row],[Country Code]],Table29[],9,FALSE)</f>
        <v>no</v>
      </c>
      <c r="AC1024" s="290" t="str">
        <f>VLOOKUP(Table3[[#This Row],[Country Code]],Table29[],10,FALSE)</f>
        <v>no</v>
      </c>
      <c r="AD1024" s="298" t="e">
        <f>VLOOKUP(Table3[[#This Row],[Country Code]],Table29[],23,FALSE)</f>
        <v>#N/A</v>
      </c>
      <c r="AE1024" s="298" t="e">
        <f>VLOOKUP(Table3[[#This Row],[Country Code]],Table29[],24,FALSE)</f>
        <v>#N/A</v>
      </c>
      <c r="AF1024" s="291" t="s">
        <v>2133</v>
      </c>
    </row>
    <row r="1025" spans="1:32" x14ac:dyDescent="0.25">
      <c r="A1025" s="360">
        <v>17590</v>
      </c>
      <c r="B1025" s="233" t="str">
        <f>VLOOKUP(Table3[[#This Row],[Document ID]],Table1[],2,FALSE)</f>
        <v>EEU</v>
      </c>
      <c r="C1025" s="233" t="str">
        <f>VLOOKUP(Table3[[#This Row],[Document ID]],Table1[],3,FALSE)</f>
        <v>European Union</v>
      </c>
      <c r="D1025" s="233" t="str">
        <f>VLOOKUP(Table3[[#This Row],[Document ID]],Table1[],5,FALSE)</f>
        <v>LTS</v>
      </c>
      <c r="E1025" s="233" t="str">
        <f>VLOOKUP(Table3[[#This Row],[Document ID]],Table1[],7,FALSE)</f>
        <v>LTS</v>
      </c>
      <c r="F1025" s="233" t="str">
        <f>VLOOKUP(Table3[[#This Row],[Document ID]],Table1[],8,FALSE)</f>
        <v>LTS 1.0</v>
      </c>
      <c r="G1025" s="233" t="str">
        <f>VLOOKUP(Table3[[#This Row],[Document ID]],Table1[],10,FALSE)</f>
        <v>Active</v>
      </c>
      <c r="H1025" s="43" t="s">
        <v>1147</v>
      </c>
      <c r="I1025" s="43" t="s">
        <v>1089</v>
      </c>
      <c r="J1025" s="43" t="s">
        <v>1090</v>
      </c>
      <c r="K1025" s="28" t="s">
        <v>1121</v>
      </c>
      <c r="L1025" s="43" t="s">
        <v>1116</v>
      </c>
      <c r="M1025" s="209">
        <v>2050</v>
      </c>
      <c r="N1025" s="44" t="s">
        <v>1479</v>
      </c>
      <c r="O1025" s="258">
        <v>3</v>
      </c>
      <c r="P1025" s="238" t="str">
        <f>VLOOKUP(_xlfn.CONCAT(Table3[[#This Row],[Target area]],Table3[[#This Row],[GHG target?]],Table3[[#This Row],[Conditionality]]),'Drop down'!$E$81:$F$101,2,FALSE)</f>
        <v>T_Netzero</v>
      </c>
      <c r="Q1025" s="239" t="str">
        <f>VLOOKUP(Table3[[#This Row],[Target type]],Table418[[Value name]:[Value idenifyer]],2,FALSE)</f>
        <v>T_FL</v>
      </c>
      <c r="V1025" s="233" t="str">
        <f>VLOOKUP(Table3[[#This Row],[Country Code]],Table29[],3,FALSE)</f>
        <v>Annex I</v>
      </c>
      <c r="W1025" s="233" t="str">
        <f>VLOOKUP(Table3[[#This Row],[Country Code]],Table29[],4,FALSE)</f>
        <v>Europe</v>
      </c>
      <c r="X1025" s="233" t="str">
        <f>VLOOKUP(Table3[[#This Row],[Country Code]],Table29[],5,FALSE)</f>
        <v>N/A</v>
      </c>
      <c r="Y1025" s="233" t="str">
        <f>VLOOKUP(Table3[[#This Row],[Country Code]],Table29[],6,FALSE)</f>
        <v>G20</v>
      </c>
      <c r="Z1025" s="233" t="str">
        <f>VLOOKUP(Table3[[#This Row],[Country Code]],Table29[],7,FALSE)</f>
        <v>no</v>
      </c>
      <c r="AA1025" s="233" t="str">
        <f>VLOOKUP(Table3[[#This Row],[Country Code]],Table29[],8,FALSE)</f>
        <v>non-OECD</v>
      </c>
      <c r="AB1025" s="233" t="str">
        <f>VLOOKUP(Table3[[#This Row],[Country Code]],Table29[],9,FALSE)</f>
        <v>no</v>
      </c>
      <c r="AC1025" s="233" t="str">
        <f>VLOOKUP(Table3[[#This Row],[Country Code]],Table29[],10,FALSE)</f>
        <v>no</v>
      </c>
      <c r="AD1025" s="235" t="e">
        <f>VLOOKUP(Table3[[#This Row],[Country Code]],Table29[],23,FALSE)</f>
        <v>#N/A</v>
      </c>
      <c r="AE1025" s="235" t="e">
        <f>VLOOKUP(Table3[[#This Row],[Country Code]],Table29[],24,FALSE)</f>
        <v>#N/A</v>
      </c>
      <c r="AF1025" s="43"/>
    </row>
    <row r="1026" spans="1:32" x14ac:dyDescent="0.25">
      <c r="A1026" s="360">
        <v>17589</v>
      </c>
      <c r="B1026" s="233" t="str">
        <f>VLOOKUP(Table3[[#This Row],[Document ID]],Table1[],2,FALSE)</f>
        <v>EEU</v>
      </c>
      <c r="C1026" s="233" t="str">
        <f>VLOOKUP(Table3[[#This Row],[Document ID]],Table1[],3,FALSE)</f>
        <v>European Union</v>
      </c>
      <c r="D1026" s="233" t="str">
        <f>VLOOKUP(Table3[[#This Row],[Document ID]],Table1[],5,FALSE)</f>
        <v>NDC</v>
      </c>
      <c r="E1026" s="233" t="str">
        <f>VLOOKUP(Table3[[#This Row],[Document ID]],Table1[],7,FALSE)</f>
        <v>First NDC</v>
      </c>
      <c r="F1026" s="233" t="str">
        <f>VLOOKUP(Table3[[#This Row],[Document ID]],Table1[],8,FALSE)</f>
        <v>NDC 1.0</v>
      </c>
      <c r="G1026" s="233" t="str">
        <f>VLOOKUP(Table3[[#This Row],[Document ID]],Table1[],10,FALSE)</f>
        <v>Archived</v>
      </c>
      <c r="H1026" s="43" t="s">
        <v>1147</v>
      </c>
      <c r="I1026" s="43" t="s">
        <v>1089</v>
      </c>
      <c r="J1026" s="43" t="s">
        <v>1090</v>
      </c>
      <c r="K1026" s="28" t="s">
        <v>1153</v>
      </c>
      <c r="L1026" s="43" t="s">
        <v>1116</v>
      </c>
      <c r="M1026" s="209">
        <v>2050</v>
      </c>
      <c r="N1026" s="176" t="s">
        <v>2134</v>
      </c>
      <c r="O1026" s="258">
        <v>3</v>
      </c>
      <c r="P1026" s="238" t="str">
        <f>VLOOKUP(_xlfn.CONCAT(Table3[[#This Row],[Target area]],Table3[[#This Row],[GHG target?]],Table3[[#This Row],[Conditionality]]),'Drop down'!$E$81:$F$101,2,FALSE)</f>
        <v>T_Netzero</v>
      </c>
      <c r="Q1026" s="239" t="str">
        <f>VLOOKUP(Table3[[#This Row],[Target type]],Table418[[Value name]:[Value idenifyer]],2,FALSE)</f>
        <v>T_BYE</v>
      </c>
      <c r="V1026" s="233" t="str">
        <f>VLOOKUP(Table3[[#This Row],[Country Code]],Table29[],3,FALSE)</f>
        <v>Annex I</v>
      </c>
      <c r="W1026" s="233" t="str">
        <f>VLOOKUP(Table3[[#This Row],[Country Code]],Table29[],4,FALSE)</f>
        <v>Europe</v>
      </c>
      <c r="X1026" s="233" t="str">
        <f>VLOOKUP(Table3[[#This Row],[Country Code]],Table29[],5,FALSE)</f>
        <v>N/A</v>
      </c>
      <c r="Y1026" s="233" t="str">
        <f>VLOOKUP(Table3[[#This Row],[Country Code]],Table29[],6,FALSE)</f>
        <v>G20</v>
      </c>
      <c r="Z1026" s="233" t="str">
        <f>VLOOKUP(Table3[[#This Row],[Country Code]],Table29[],7,FALSE)</f>
        <v>no</v>
      </c>
      <c r="AA1026" s="233" t="str">
        <f>VLOOKUP(Table3[[#This Row],[Country Code]],Table29[],8,FALSE)</f>
        <v>non-OECD</v>
      </c>
      <c r="AB1026" s="233" t="str">
        <f>VLOOKUP(Table3[[#This Row],[Country Code]],Table29[],9,FALSE)</f>
        <v>no</v>
      </c>
      <c r="AC1026" s="233" t="str">
        <f>VLOOKUP(Table3[[#This Row],[Country Code]],Table29[],10,FALSE)</f>
        <v>no</v>
      </c>
      <c r="AD1026" s="235" t="e">
        <f>VLOOKUP(Table3[[#This Row],[Country Code]],Table29[],23,FALSE)</f>
        <v>#N/A</v>
      </c>
      <c r="AE1026" s="235" t="e">
        <f>VLOOKUP(Table3[[#This Row],[Country Code]],Table29[],24,FALSE)</f>
        <v>#N/A</v>
      </c>
      <c r="AF1026" s="43"/>
    </row>
    <row r="1027" spans="1:32" x14ac:dyDescent="0.25">
      <c r="A1027" s="360">
        <v>17593</v>
      </c>
      <c r="B1027" s="233" t="str">
        <f>VLOOKUP(Table3[[#This Row],[Document ID]],Table1[],2,FALSE)</f>
        <v>FJI</v>
      </c>
      <c r="C1027" s="233" t="str">
        <f>VLOOKUP(Table3[[#This Row],[Document ID]],Table1[],3,FALSE)</f>
        <v>Fiji</v>
      </c>
      <c r="D1027" s="233" t="str">
        <f>VLOOKUP(Table3[[#This Row],[Document ID]],Table1[],5,FALSE)</f>
        <v>LTS</v>
      </c>
      <c r="E1027" s="233" t="str">
        <f>VLOOKUP(Table3[[#This Row],[Document ID]],Table1[],7,FALSE)</f>
        <v>LTS</v>
      </c>
      <c r="F1027" s="233" t="str">
        <f>VLOOKUP(Table3[[#This Row],[Document ID]],Table1[],8,FALSE)</f>
        <v>LTS 1.0</v>
      </c>
      <c r="G1027" s="233" t="str">
        <f>VLOOKUP(Table3[[#This Row],[Document ID]],Table1[],10,FALSE)</f>
        <v>Active</v>
      </c>
      <c r="H1027" s="43" t="s">
        <v>1147</v>
      </c>
      <c r="I1027" s="43" t="s">
        <v>1089</v>
      </c>
      <c r="J1027" s="43" t="s">
        <v>1090</v>
      </c>
      <c r="K1027" s="28" t="s">
        <v>1121</v>
      </c>
      <c r="L1027" s="43" t="s">
        <v>1116</v>
      </c>
      <c r="M1027" s="209">
        <v>2050</v>
      </c>
      <c r="N1027" s="44" t="s">
        <v>1377</v>
      </c>
      <c r="O1027" s="258">
        <v>4</v>
      </c>
      <c r="P1027" s="238" t="str">
        <f>VLOOKUP(_xlfn.CONCAT(Table3[[#This Row],[Target area]],Table3[[#This Row],[GHG target?]],Table3[[#This Row],[Conditionality]]),'Drop down'!$E$81:$F$101,2,FALSE)</f>
        <v>T_Netzero</v>
      </c>
      <c r="Q1027" s="239" t="str">
        <f>VLOOKUP(Table3[[#This Row],[Target type]],Table418[[Value name]:[Value idenifyer]],2,FALSE)</f>
        <v>T_FL</v>
      </c>
      <c r="V1027" s="233" t="str">
        <f>VLOOKUP(Table3[[#This Row],[Country Code]],Table29[],3,FALSE)</f>
        <v>Non-Annex I</v>
      </c>
      <c r="W1027" s="233" t="str">
        <f>VLOOKUP(Table3[[#This Row],[Country Code]],Table29[],4,FALSE)</f>
        <v>Oceania</v>
      </c>
      <c r="X1027" s="233" t="str">
        <f>VLOOKUP(Table3[[#This Row],[Country Code]],Table29[],5,FALSE)</f>
        <v>Middle-income</v>
      </c>
      <c r="Y1027" s="233" t="str">
        <f>VLOOKUP(Table3[[#This Row],[Country Code]],Table29[],6,FALSE)</f>
        <v>no</v>
      </c>
      <c r="Z1027" s="233" t="str">
        <f>VLOOKUP(Table3[[#This Row],[Country Code]],Table29[],7,FALSE)</f>
        <v>no</v>
      </c>
      <c r="AA1027" s="233" t="str">
        <f>VLOOKUP(Table3[[#This Row],[Country Code]],Table29[],8,FALSE)</f>
        <v>non-OECD</v>
      </c>
      <c r="AB1027" s="233" t="str">
        <f>VLOOKUP(Table3[[#This Row],[Country Code]],Table29[],9,FALSE)</f>
        <v>no</v>
      </c>
      <c r="AC1027" s="233" t="str">
        <f>VLOOKUP(Table3[[#This Row],[Country Code]],Table29[],10,FALSE)</f>
        <v>no</v>
      </c>
      <c r="AD1027" s="235">
        <f>VLOOKUP(Table3[[#This Row],[Country Code]],Table29[],23,FALSE)</f>
        <v>3.4009927758626</v>
      </c>
      <c r="AE1027" s="235">
        <f>VLOOKUP(Table3[[#This Row],[Country Code]],Table29[],24,FALSE)</f>
        <v>1.126237744382208</v>
      </c>
      <c r="AF1027" s="43"/>
    </row>
    <row r="1028" spans="1:32" ht="30" x14ac:dyDescent="0.25">
      <c r="A1028" s="360">
        <v>17595</v>
      </c>
      <c r="B1028" s="233" t="str">
        <f>VLOOKUP(Table3[[#This Row],[Document ID]],Table1[],2,FALSE)</f>
        <v>FIN</v>
      </c>
      <c r="C1028" s="233" t="str">
        <f>VLOOKUP(Table3[[#This Row],[Document ID]],Table1[],3,FALSE)</f>
        <v>Finland</v>
      </c>
      <c r="D1028" s="233" t="str">
        <f>VLOOKUP(Table3[[#This Row],[Document ID]],Table1[],5,FALSE)</f>
        <v>LTS</v>
      </c>
      <c r="E1028" s="233" t="str">
        <f>VLOOKUP(Table3[[#This Row],[Document ID]],Table1[],7,FALSE)</f>
        <v>LTS</v>
      </c>
      <c r="F1028" s="233" t="str">
        <f>VLOOKUP(Table3[[#This Row],[Document ID]],Table1[],8,FALSE)</f>
        <v>LTS 1.0</v>
      </c>
      <c r="G1028" s="233" t="str">
        <f>VLOOKUP(Table3[[#This Row],[Document ID]],Table1[],10,FALSE)</f>
        <v>Active</v>
      </c>
      <c r="H1028" s="43" t="s">
        <v>1147</v>
      </c>
      <c r="I1028" s="43" t="s">
        <v>1089</v>
      </c>
      <c r="J1028" s="43" t="s">
        <v>1090</v>
      </c>
      <c r="K1028" s="28" t="s">
        <v>1121</v>
      </c>
      <c r="L1028" s="43" t="s">
        <v>1116</v>
      </c>
      <c r="M1028" s="209">
        <v>2035</v>
      </c>
      <c r="N1028" s="44" t="s">
        <v>1382</v>
      </c>
      <c r="O1028" s="258"/>
      <c r="P1028" s="238" t="str">
        <f>VLOOKUP(_xlfn.CONCAT(Table3[[#This Row],[Target area]],Table3[[#This Row],[GHG target?]],Table3[[#This Row],[Conditionality]]),'Drop down'!$E$81:$F$101,2,FALSE)</f>
        <v>T_Netzero</v>
      </c>
      <c r="Q1028" s="239" t="str">
        <f>VLOOKUP(Table3[[#This Row],[Target type]],Table418[[Value name]:[Value idenifyer]],2,FALSE)</f>
        <v>T_FL</v>
      </c>
      <c r="V1028" s="233" t="str">
        <f>VLOOKUP(Table3[[#This Row],[Country Code]],Table29[],3,FALSE)</f>
        <v>Annex I</v>
      </c>
      <c r="W1028" s="233" t="str">
        <f>VLOOKUP(Table3[[#This Row],[Country Code]],Table29[],4,FALSE)</f>
        <v>Europe</v>
      </c>
      <c r="X1028" s="233" t="str">
        <f>VLOOKUP(Table3[[#This Row],[Country Code]],Table29[],5,FALSE)</f>
        <v>High-income</v>
      </c>
      <c r="Y1028" s="233" t="str">
        <f>VLOOKUP(Table3[[#This Row],[Country Code]],Table29[],6,FALSE)</f>
        <v>no</v>
      </c>
      <c r="Z1028" s="233" t="str">
        <f>VLOOKUP(Table3[[#This Row],[Country Code]],Table29[],7,FALSE)</f>
        <v>no</v>
      </c>
      <c r="AA1028" s="233" t="str">
        <f>VLOOKUP(Table3[[#This Row],[Country Code]],Table29[],8,FALSE)</f>
        <v>OECD</v>
      </c>
      <c r="AB1028" s="233" t="str">
        <f>VLOOKUP(Table3[[#This Row],[Country Code]],Table29[],9,FALSE)</f>
        <v>EU27</v>
      </c>
      <c r="AC1028" s="233" t="str">
        <f>VLOOKUP(Table3[[#This Row],[Country Code]],Table29[],10,FALSE)</f>
        <v>no</v>
      </c>
      <c r="AD1028" s="235">
        <f>VLOOKUP(Table3[[#This Row],[Country Code]],Table29[],23,FALSE)</f>
        <v>43.453536797250003</v>
      </c>
      <c r="AE1028" s="235">
        <f>VLOOKUP(Table3[[#This Row],[Country Code]],Table29[],24,FALSE)</f>
        <v>9.0648298110143131</v>
      </c>
      <c r="AF1028" s="43"/>
    </row>
    <row r="1029" spans="1:32" x14ac:dyDescent="0.25">
      <c r="A1029" s="360">
        <v>32515</v>
      </c>
      <c r="B1029" s="233" t="str">
        <f>VLOOKUP(Table3[[#This Row],[Document ID]],Table1[],2,FALSE)</f>
        <v>SVN</v>
      </c>
      <c r="C1029" s="233" t="str">
        <f>VLOOKUP(Table3[[#This Row],[Document ID]],Table1[],3,FALSE)</f>
        <v>Slovenia</v>
      </c>
      <c r="D1029" s="233" t="str">
        <f>VLOOKUP(Table3[[#This Row],[Document ID]],Table1[],5,FALSE)</f>
        <v>LTS</v>
      </c>
      <c r="E1029" s="233" t="str">
        <f>VLOOKUP(Table3[[#This Row],[Document ID]],Table1[],7,FALSE)</f>
        <v>LTS</v>
      </c>
      <c r="F1029" s="233" t="str">
        <f>VLOOKUP(Table3[[#This Row],[Document ID]],Table1[],8,FALSE)</f>
        <v>LTS 1.0</v>
      </c>
      <c r="G1029" s="233" t="str">
        <f>VLOOKUP(Table3[[#This Row],[Document ID]],Table1[],10,FALSE)</f>
        <v>Active</v>
      </c>
      <c r="H1029" s="43" t="s">
        <v>1147</v>
      </c>
      <c r="I1029" s="43" t="s">
        <v>1089</v>
      </c>
      <c r="J1029" s="43" t="s">
        <v>1090</v>
      </c>
      <c r="K1029" s="28" t="s">
        <v>1121</v>
      </c>
      <c r="L1029" s="43" t="s">
        <v>1116</v>
      </c>
      <c r="M1029" s="209">
        <v>2050</v>
      </c>
      <c r="N1029" s="209" t="s">
        <v>2135</v>
      </c>
      <c r="O1029" s="258">
        <v>1</v>
      </c>
      <c r="P1029" s="238" t="str">
        <f>VLOOKUP(_xlfn.CONCAT(Table3[[#This Row],[Target area]],Table3[[#This Row],[GHG target?]],Table3[[#This Row],[Conditionality]]),'Drop down'!$E$81:$F$101,2,FALSE)</f>
        <v>T_Netzero</v>
      </c>
      <c r="Q1029" s="239" t="str">
        <f>VLOOKUP(Table3[[#This Row],[Target type]],Table418[[Value name]:[Value idenifyer]],2,FALSE)</f>
        <v>T_FL</v>
      </c>
      <c r="T1029" s="240"/>
      <c r="U1029" s="234" t="s">
        <v>1240</v>
      </c>
      <c r="V1029" s="233" t="str">
        <f>VLOOKUP(Table3[[#This Row],[Country Code]],Table29[],3,FALSE)</f>
        <v>Annex I</v>
      </c>
      <c r="W1029" s="233" t="str">
        <f>VLOOKUP(Table3[[#This Row],[Country Code]],Table29[],4,FALSE)</f>
        <v>Europe</v>
      </c>
      <c r="X1029" s="233" t="str">
        <f>VLOOKUP(Table3[[#This Row],[Country Code]],Table29[],5,FALSE)</f>
        <v>High-income</v>
      </c>
      <c r="Y1029" s="233" t="str">
        <f>VLOOKUP(Table3[[#This Row],[Country Code]],Table29[],6,FALSE)</f>
        <v>no</v>
      </c>
      <c r="Z1029" s="233" t="str">
        <f>VLOOKUP(Table3[[#This Row],[Country Code]],Table29[],7,FALSE)</f>
        <v>no</v>
      </c>
      <c r="AA1029" s="233" t="str">
        <f>VLOOKUP(Table3[[#This Row],[Country Code]],Table29[],8,FALSE)</f>
        <v>OECD</v>
      </c>
      <c r="AB1029" s="233" t="str">
        <f>VLOOKUP(Table3[[#This Row],[Country Code]],Table29[],9,FALSE)</f>
        <v>EU27</v>
      </c>
      <c r="AC1029" s="233" t="str">
        <f>VLOOKUP(Table3[[#This Row],[Country Code]],Table29[],10,FALSE)</f>
        <v>no</v>
      </c>
      <c r="AD1029" s="235">
        <f>VLOOKUP(Table3[[#This Row],[Country Code]],Table29[],23,FALSE)</f>
        <v>15.993517423122</v>
      </c>
      <c r="AE1029" s="235">
        <f>VLOOKUP(Table3[[#This Row],[Country Code]],Table29[],24,FALSE)</f>
        <v>4.830209372200426</v>
      </c>
      <c r="AF1029" s="42"/>
    </row>
    <row r="1030" spans="1:32" ht="90" x14ac:dyDescent="0.25">
      <c r="A1030" s="360">
        <v>29229</v>
      </c>
      <c r="B1030" s="233" t="str">
        <f>VLOOKUP(Table3[[#This Row],[Document ID]],Table1[],2,FALSE)</f>
        <v>GAB</v>
      </c>
      <c r="C1030" s="233" t="str">
        <f>VLOOKUP(Table3[[#This Row],[Document ID]],Table1[],3,FALSE)</f>
        <v>Gabon</v>
      </c>
      <c r="D1030" s="233" t="str">
        <f>VLOOKUP(Table3[[#This Row],[Document ID]],Table1[],5,FALSE)</f>
        <v>NDC</v>
      </c>
      <c r="E1030" s="233" t="str">
        <f>VLOOKUP(Table3[[#This Row],[Document ID]],Table1[],7,FALSE)</f>
        <v>First NDC updated</v>
      </c>
      <c r="F1030" s="233" t="str">
        <f>VLOOKUP(Table3[[#This Row],[Document ID]],Table1[],8,FALSE)</f>
        <v>NDC 1.1</v>
      </c>
      <c r="G1030" s="233" t="str">
        <f>VLOOKUP(Table3[[#This Row],[Document ID]],Table1[],10,FALSE)</f>
        <v>Active</v>
      </c>
      <c r="H1030" s="43" t="s">
        <v>1147</v>
      </c>
      <c r="I1030" s="43" t="s">
        <v>1089</v>
      </c>
      <c r="J1030" s="43" t="s">
        <v>1090</v>
      </c>
      <c r="K1030" s="28" t="s">
        <v>1121</v>
      </c>
      <c r="L1030" s="43" t="s">
        <v>1116</v>
      </c>
      <c r="M1030" s="209" t="s">
        <v>1885</v>
      </c>
      <c r="N1030" s="44" t="s">
        <v>2136</v>
      </c>
      <c r="O1030" s="258">
        <v>4</v>
      </c>
      <c r="P1030" s="238" t="str">
        <f>VLOOKUP(_xlfn.CONCAT(Table3[[#This Row],[Target area]],Table3[[#This Row],[GHG target?]],Table3[[#This Row],[Conditionality]]),'Drop down'!$E$81:$F$101,2,FALSE)</f>
        <v>T_Netzero</v>
      </c>
      <c r="Q1030" s="239" t="str">
        <f>VLOOKUP(Table3[[#This Row],[Target type]],Table418[[Value name]:[Value idenifyer]],2,FALSE)</f>
        <v>T_FL</v>
      </c>
      <c r="V1030" s="233" t="str">
        <f>VLOOKUP(Table3[[#This Row],[Country Code]],Table29[],3,FALSE)</f>
        <v>Non-Annex I</v>
      </c>
      <c r="W1030" s="233" t="str">
        <f>VLOOKUP(Table3[[#This Row],[Country Code]],Table29[],4,FALSE)</f>
        <v>Africa</v>
      </c>
      <c r="X1030" s="233" t="str">
        <f>VLOOKUP(Table3[[#This Row],[Country Code]],Table29[],5,FALSE)</f>
        <v>Middle-income</v>
      </c>
      <c r="Y1030" s="233" t="str">
        <f>VLOOKUP(Table3[[#This Row],[Country Code]],Table29[],6,FALSE)</f>
        <v>no</v>
      </c>
      <c r="Z1030" s="233" t="str">
        <f>VLOOKUP(Table3[[#This Row],[Country Code]],Table29[],7,FALSE)</f>
        <v>no</v>
      </c>
      <c r="AA1030" s="233" t="str">
        <f>VLOOKUP(Table3[[#This Row],[Country Code]],Table29[],8,FALSE)</f>
        <v>non-OECD</v>
      </c>
      <c r="AB1030" s="233" t="str">
        <f>VLOOKUP(Table3[[#This Row],[Country Code]],Table29[],9,FALSE)</f>
        <v>no</v>
      </c>
      <c r="AC1030" s="233" t="str">
        <f>VLOOKUP(Table3[[#This Row],[Country Code]],Table29[],10,FALSE)</f>
        <v>no</v>
      </c>
      <c r="AD1030" s="235">
        <f>VLOOKUP(Table3[[#This Row],[Country Code]],Table29[],23,FALSE)</f>
        <v>21.402080428809001</v>
      </c>
      <c r="AE1030" s="235">
        <f>VLOOKUP(Table3[[#This Row],[Country Code]],Table29[],24,FALSE)</f>
        <v>0.2169319598307908</v>
      </c>
      <c r="AF1030" s="43"/>
    </row>
    <row r="1031" spans="1:32" ht="30" x14ac:dyDescent="0.25">
      <c r="A1031" s="360">
        <v>22162</v>
      </c>
      <c r="B1031" s="233" t="str">
        <f>VLOOKUP(Table3[[#This Row],[Document ID]],Table1[],2,FALSE)</f>
        <v>GMB</v>
      </c>
      <c r="C1031" s="233" t="str">
        <f>VLOOKUP(Table3[[#This Row],[Document ID]],Table1[],3,FALSE)</f>
        <v>Gambia (Republic of The)</v>
      </c>
      <c r="D1031" s="233" t="str">
        <f>VLOOKUP(Table3[[#This Row],[Document ID]],Table1[],5,FALSE)</f>
        <v>LTS</v>
      </c>
      <c r="E1031" s="233" t="str">
        <f>VLOOKUP(Table3[[#This Row],[Document ID]],Table1[],7,FALSE)</f>
        <v>LTS</v>
      </c>
      <c r="F1031" s="233" t="str">
        <f>VLOOKUP(Table3[[#This Row],[Document ID]],Table1[],8,FALSE)</f>
        <v>LTS 1.0</v>
      </c>
      <c r="G1031" s="233" t="str">
        <f>VLOOKUP(Table3[[#This Row],[Document ID]],Table1[],10,FALSE)</f>
        <v>Active</v>
      </c>
      <c r="H1031" s="43" t="s">
        <v>1147</v>
      </c>
      <c r="I1031" s="43" t="s">
        <v>1089</v>
      </c>
      <c r="J1031" s="43" t="s">
        <v>1090</v>
      </c>
      <c r="K1031" s="28" t="s">
        <v>1121</v>
      </c>
      <c r="L1031" s="43" t="s">
        <v>1116</v>
      </c>
      <c r="M1031" s="209">
        <v>2050</v>
      </c>
      <c r="N1031" s="44" t="s">
        <v>2137</v>
      </c>
      <c r="O1031" s="258"/>
      <c r="P1031" s="238" t="str">
        <f>VLOOKUP(_xlfn.CONCAT(Table3[[#This Row],[Target area]],Table3[[#This Row],[GHG target?]],Table3[[#This Row],[Conditionality]]),'Drop down'!$E$81:$F$101,2,FALSE)</f>
        <v>T_Netzero</v>
      </c>
      <c r="Q1031" s="239" t="str">
        <f>VLOOKUP(Table3[[#This Row],[Target type]],Table418[[Value name]:[Value idenifyer]],2,FALSE)</f>
        <v>T_FL</v>
      </c>
      <c r="V1031" s="233" t="str">
        <f>VLOOKUP(Table3[[#This Row],[Country Code]],Table29[],3,FALSE)</f>
        <v>Non-Annex I</v>
      </c>
      <c r="W1031" s="233" t="str">
        <f>VLOOKUP(Table3[[#This Row],[Country Code]],Table29[],4,FALSE)</f>
        <v>Africa</v>
      </c>
      <c r="X1031" s="233" t="str">
        <f>VLOOKUP(Table3[[#This Row],[Country Code]],Table29[],5,FALSE)</f>
        <v>Low-income</v>
      </c>
      <c r="Y1031" s="233" t="str">
        <f>VLOOKUP(Table3[[#This Row],[Country Code]],Table29[],6,FALSE)</f>
        <v>no</v>
      </c>
      <c r="Z1031" s="233" t="str">
        <f>VLOOKUP(Table3[[#This Row],[Country Code]],Table29[],7,FALSE)</f>
        <v>no</v>
      </c>
      <c r="AA1031" s="233" t="str">
        <f>VLOOKUP(Table3[[#This Row],[Country Code]],Table29[],8,FALSE)</f>
        <v>non-OECD</v>
      </c>
      <c r="AB1031" s="233" t="str">
        <f>VLOOKUP(Table3[[#This Row],[Country Code]],Table29[],9,FALSE)</f>
        <v>no</v>
      </c>
      <c r="AC1031" s="233" t="str">
        <f>VLOOKUP(Table3[[#This Row],[Country Code]],Table29[],10,FALSE)</f>
        <v>no</v>
      </c>
      <c r="AD1031" s="235">
        <f>VLOOKUP(Table3[[#This Row],[Country Code]],Table29[],23,FALSE)</f>
        <v>1.8888012914382</v>
      </c>
      <c r="AE1031" s="235">
        <f>VLOOKUP(Table3[[#This Row],[Country Code]],Table29[],24,FALSE)</f>
        <v>0.35129125057719468</v>
      </c>
      <c r="AF1031" s="43"/>
    </row>
    <row r="1032" spans="1:32" x14ac:dyDescent="0.25">
      <c r="A1032" s="360">
        <v>39444</v>
      </c>
      <c r="B1032" s="233" t="str">
        <f>VLOOKUP(Table3[[#This Row],[Document ID]],Table1[],2,FALSE)</f>
        <v>GEO</v>
      </c>
      <c r="C1032" s="233" t="str">
        <f>VLOOKUP(Table3[[#This Row],[Document ID]],Table1[],3,FALSE)</f>
        <v>Georgia</v>
      </c>
      <c r="D1032" s="233" t="str">
        <f>VLOOKUP(Table3[[#This Row],[Document ID]],Table1[],5,FALSE)</f>
        <v>LTS</v>
      </c>
      <c r="E1032" s="233" t="str">
        <f>VLOOKUP(Table3[[#This Row],[Document ID]],Table1[],7,FALSE)</f>
        <v>LTS</v>
      </c>
      <c r="F1032" s="233" t="str">
        <f>VLOOKUP(Table3[[#This Row],[Document ID]],Table1[],8,FALSE)</f>
        <v>LTS 1.0</v>
      </c>
      <c r="G1032" s="233" t="str">
        <f>VLOOKUP(Table3[[#This Row],[Document ID]],Table1[],10,FALSE)</f>
        <v>Active</v>
      </c>
      <c r="H1032" s="43" t="s">
        <v>1147</v>
      </c>
      <c r="I1032" s="43" t="s">
        <v>1089</v>
      </c>
      <c r="J1032" s="43" t="s">
        <v>1090</v>
      </c>
      <c r="K1032" s="28" t="s">
        <v>1121</v>
      </c>
      <c r="L1032" s="43" t="s">
        <v>1116</v>
      </c>
      <c r="M1032" s="209">
        <v>2050</v>
      </c>
      <c r="N1032" s="44" t="s">
        <v>2138</v>
      </c>
      <c r="O1032" s="258">
        <v>11</v>
      </c>
      <c r="P1032" s="238" t="str">
        <f>VLOOKUP(_xlfn.CONCAT(Table3[[#This Row],[Target area]],Table3[[#This Row],[GHG target?]],Table3[[#This Row],[Conditionality]]),'Drop down'!$E$81:$F$101,2,FALSE)</f>
        <v>T_Netzero</v>
      </c>
      <c r="Q1032" s="239" t="str">
        <f>VLOOKUP(Table3[[#This Row],[Target type]],Table418[[Value name]:[Value idenifyer]],2,FALSE)</f>
        <v>T_FL</v>
      </c>
      <c r="V1032" s="233" t="str">
        <f>VLOOKUP(Table3[[#This Row],[Country Code]],Table29[],3,FALSE)</f>
        <v>Non-Annex I</v>
      </c>
      <c r="W1032" s="233" t="str">
        <f>VLOOKUP(Table3[[#This Row],[Country Code]],Table29[],4,FALSE)</f>
        <v>Asia</v>
      </c>
      <c r="X1032" s="233" t="str">
        <f>VLOOKUP(Table3[[#This Row],[Country Code]],Table29[],5,FALSE)</f>
        <v>Middle-income</v>
      </c>
      <c r="Y1032" s="233" t="str">
        <f>VLOOKUP(Table3[[#This Row],[Country Code]],Table29[],6,FALSE)</f>
        <v>no</v>
      </c>
      <c r="Z1032" s="233" t="str">
        <f>VLOOKUP(Table3[[#This Row],[Country Code]],Table29[],7,FALSE)</f>
        <v>no</v>
      </c>
      <c r="AA1032" s="233" t="str">
        <f>VLOOKUP(Table3[[#This Row],[Country Code]],Table29[],8,FALSE)</f>
        <v>non-OECD</v>
      </c>
      <c r="AB1032" s="233" t="str">
        <f>VLOOKUP(Table3[[#This Row],[Country Code]],Table29[],9,FALSE)</f>
        <v>no</v>
      </c>
      <c r="AC1032" s="233" t="str">
        <f>VLOOKUP(Table3[[#This Row],[Country Code]],Table29[],10,FALSE)</f>
        <v>no</v>
      </c>
      <c r="AD1032" s="235">
        <f>VLOOKUP(Table3[[#This Row],[Country Code]],Table29[],23,FALSE)</f>
        <v>19.049153820466</v>
      </c>
      <c r="AE1032" s="235">
        <f>VLOOKUP(Table3[[#This Row],[Country Code]],Table29[],24,FALSE)</f>
        <v>4.506874760733476</v>
      </c>
      <c r="AF1032" s="43"/>
    </row>
    <row r="1033" spans="1:32" x14ac:dyDescent="0.25">
      <c r="A1033" s="360">
        <v>32501</v>
      </c>
      <c r="B1033" s="233" t="str">
        <f>VLOOKUP(Table3[[#This Row],[Document ID]],Table1[],2,FALSE)</f>
        <v>DEU</v>
      </c>
      <c r="C1033" s="233" t="str">
        <f>VLOOKUP(Table3[[#This Row],[Document ID]],Table1[],3,FALSE)</f>
        <v>Germany</v>
      </c>
      <c r="D1033" s="233" t="str">
        <f>VLOOKUP(Table3[[#This Row],[Document ID]],Table1[],5,FALSE)</f>
        <v>LTS</v>
      </c>
      <c r="E1033" s="233" t="str">
        <f>VLOOKUP(Table3[[#This Row],[Document ID]],Table1[],7,FALSE)</f>
        <v>LTS</v>
      </c>
      <c r="F1033" s="233" t="str">
        <f>VLOOKUP(Table3[[#This Row],[Document ID]],Table1[],8,FALSE)</f>
        <v>LTS 1.1</v>
      </c>
      <c r="G1033" s="233" t="str">
        <f>VLOOKUP(Table3[[#This Row],[Document ID]],Table1[],10,FALSE)</f>
        <v>Active</v>
      </c>
      <c r="H1033" s="43" t="s">
        <v>1147</v>
      </c>
      <c r="I1033" s="43" t="s">
        <v>1089</v>
      </c>
      <c r="J1033" s="43" t="s">
        <v>1090</v>
      </c>
      <c r="K1033" s="28" t="s">
        <v>1121</v>
      </c>
      <c r="L1033" s="43" t="s">
        <v>1116</v>
      </c>
      <c r="M1033" s="209">
        <v>2045</v>
      </c>
      <c r="N1033" s="43" t="s">
        <v>2139</v>
      </c>
      <c r="O1033" s="258">
        <v>4</v>
      </c>
      <c r="P1033" s="238" t="str">
        <f>VLOOKUP(_xlfn.CONCAT(Table3[[#This Row],[Target area]],Table3[[#This Row],[GHG target?]],Table3[[#This Row],[Conditionality]]),'Drop down'!$E$81:$F$101,2,FALSE)</f>
        <v>T_Netzero</v>
      </c>
      <c r="Q1033" s="239" t="str">
        <f>VLOOKUP(Table3[[#This Row],[Target type]],Table418[[Value name]:[Value idenifyer]],2,FALSE)</f>
        <v>T_FL</v>
      </c>
      <c r="V1033" s="233" t="str">
        <f>VLOOKUP(Table3[[#This Row],[Country Code]],Table29[],3,FALSE)</f>
        <v>Annex I</v>
      </c>
      <c r="W1033" s="233" t="str">
        <f>VLOOKUP(Table3[[#This Row],[Country Code]],Table29[],4,FALSE)</f>
        <v>Europe</v>
      </c>
      <c r="X1033" s="233" t="str">
        <f>VLOOKUP(Table3[[#This Row],[Country Code]],Table29[],5,FALSE)</f>
        <v>High-income</v>
      </c>
      <c r="Y1033" s="233" t="str">
        <f>VLOOKUP(Table3[[#This Row],[Country Code]],Table29[],6,FALSE)</f>
        <v>G20</v>
      </c>
      <c r="Z1033" s="233" t="str">
        <f>VLOOKUP(Table3[[#This Row],[Country Code]],Table29[],7,FALSE)</f>
        <v>G7</v>
      </c>
      <c r="AA1033" s="233" t="str">
        <f>VLOOKUP(Table3[[#This Row],[Country Code]],Table29[],8,FALSE)</f>
        <v>OECD</v>
      </c>
      <c r="AB1033" s="233" t="str">
        <f>VLOOKUP(Table3[[#This Row],[Country Code]],Table29[],9,FALSE)</f>
        <v>EU27</v>
      </c>
      <c r="AC1033" s="233" t="str">
        <f>VLOOKUP(Table3[[#This Row],[Country Code]],Table29[],10,FALSE)</f>
        <v>no</v>
      </c>
      <c r="AD1033" s="235">
        <f>VLOOKUP(Table3[[#This Row],[Country Code]],Table29[],23,FALSE)</f>
        <v>681.81032815186995</v>
      </c>
      <c r="AE1033" s="235">
        <f>VLOOKUP(Table3[[#This Row],[Country Code]],Table29[],24,FALSE)</f>
        <v>141.2568578412648</v>
      </c>
      <c r="AF1033" s="43"/>
    </row>
    <row r="1034" spans="1:32" ht="45" x14ac:dyDescent="0.25">
      <c r="A1034" s="360">
        <v>42003</v>
      </c>
      <c r="B1034" s="233" t="str">
        <f>VLOOKUP(Table3[[#This Row],[Document ID]],Table1[],2,FALSE)</f>
        <v>KWT</v>
      </c>
      <c r="C1034" s="233" t="str">
        <f>VLOOKUP(Table3[[#This Row],[Document ID]],Table1[],3,FALSE)</f>
        <v>Kuwait</v>
      </c>
      <c r="D1034" s="233" t="str">
        <f>VLOOKUP(Table3[[#This Row],[Document ID]],Table1[],5,FALSE)</f>
        <v>Other</v>
      </c>
      <c r="E1034" s="233" t="str">
        <f>VLOOKUP(Table3[[#This Row],[Document ID]],Table1[],7,FALSE)</f>
        <v>WRI Net Zero Tracker</v>
      </c>
      <c r="F1034" s="233" t="str">
        <f>VLOOKUP(Table3[[#This Row],[Document ID]],Table1[],8,FALSE)</f>
        <v>NA</v>
      </c>
      <c r="G1034" s="233" t="str">
        <f>VLOOKUP(Table3[[#This Row],[Document ID]],Table1[],10,FALSE)</f>
        <v>Active</v>
      </c>
      <c r="H1034" s="43" t="s">
        <v>1147</v>
      </c>
      <c r="I1034" s="43" t="s">
        <v>1089</v>
      </c>
      <c r="J1034" s="43" t="s">
        <v>1090</v>
      </c>
      <c r="K1034" s="28" t="s">
        <v>1121</v>
      </c>
      <c r="L1034" s="43" t="s">
        <v>1116</v>
      </c>
      <c r="M1034" s="209">
        <v>2060</v>
      </c>
      <c r="N1034" s="44" t="s">
        <v>2140</v>
      </c>
      <c r="O1034" s="258"/>
      <c r="P1034" s="238" t="str">
        <f>VLOOKUP(_xlfn.CONCAT(Table3[[#This Row],[Target area]],Table3[[#This Row],[GHG target?]],Table3[[#This Row],[Conditionality]]),'Drop down'!$E$81:$F$101,2,FALSE)</f>
        <v>T_Netzero</v>
      </c>
      <c r="Q1034" s="239" t="str">
        <f>VLOOKUP(Table3[[#This Row],[Target type]],Table418[[Value name]:[Value idenifyer]],2,FALSE)</f>
        <v>T_FL</v>
      </c>
      <c r="V1034" s="233" t="str">
        <f>VLOOKUP(Table3[[#This Row],[Country Code]],Table29[],3,FALSE)</f>
        <v>Non-Annex I</v>
      </c>
      <c r="W1034" s="233" t="str">
        <f>VLOOKUP(Table3[[#This Row],[Country Code]],Table29[],4,FALSE)</f>
        <v>Asia</v>
      </c>
      <c r="X1034" s="233" t="str">
        <f>VLOOKUP(Table3[[#This Row],[Country Code]],Table29[],5,FALSE)</f>
        <v>High-income</v>
      </c>
      <c r="Y1034" s="233" t="str">
        <f>VLOOKUP(Table3[[#This Row],[Country Code]],Table29[],6,FALSE)</f>
        <v>no</v>
      </c>
      <c r="Z1034" s="233" t="str">
        <f>VLOOKUP(Table3[[#This Row],[Country Code]],Table29[],7,FALSE)</f>
        <v>no</v>
      </c>
      <c r="AA1034" s="233" t="str">
        <f>VLOOKUP(Table3[[#This Row],[Country Code]],Table29[],8,FALSE)</f>
        <v>non-OECD</v>
      </c>
      <c r="AB1034" s="233" t="str">
        <f>VLOOKUP(Table3[[#This Row],[Country Code]],Table29[],9,FALSE)</f>
        <v>no</v>
      </c>
      <c r="AC1034" s="233" t="str">
        <f>VLOOKUP(Table3[[#This Row],[Country Code]],Table29[],10,FALSE)</f>
        <v>MENA</v>
      </c>
      <c r="AD1034" s="235">
        <f>VLOOKUP(Table3[[#This Row],[Country Code]],Table29[],23,FALSE)</f>
        <v>167.91576883104</v>
      </c>
      <c r="AE1034" s="235">
        <f>VLOOKUP(Table3[[#This Row],[Country Code]],Table29[],24,FALSE)</f>
        <v>15.277707011973771</v>
      </c>
      <c r="AF1034" s="43"/>
    </row>
    <row r="1035" spans="1:32" ht="30" x14ac:dyDescent="0.25">
      <c r="A1035" s="360" t="s">
        <v>724</v>
      </c>
      <c r="B1035" s="233" t="str">
        <f>VLOOKUP(Table3[[#This Row],[Document ID]],Table1[],2,FALSE)</f>
        <v>GRC</v>
      </c>
      <c r="C1035" s="233" t="str">
        <f>VLOOKUP(Table3[[#This Row],[Document ID]],Table1[],3,FALSE)</f>
        <v>Greece</v>
      </c>
      <c r="D1035" s="233" t="str">
        <f>VLOOKUP(Table3[[#This Row],[Document ID]],Table1[],5,FALSE)</f>
        <v>LTS</v>
      </c>
      <c r="E1035" s="233" t="str">
        <f>VLOOKUP(Table3[[#This Row],[Document ID]],Table1[],7,FALSE)</f>
        <v>EU-LTS</v>
      </c>
      <c r="F1035" s="233" t="str">
        <f>VLOOKUP(Table3[[#This Row],[Document ID]],Table1[],8,FALSE)</f>
        <v>LTS 1.0</v>
      </c>
      <c r="G1035" s="233" t="str">
        <f>VLOOKUP(Table3[[#This Row],[Document ID]],Table1[],10,FALSE)</f>
        <v>Covered by EU</v>
      </c>
      <c r="H1035" s="43" t="s">
        <v>1147</v>
      </c>
      <c r="I1035" s="43" t="s">
        <v>1089</v>
      </c>
      <c r="J1035" s="43" t="s">
        <v>1090</v>
      </c>
      <c r="K1035" s="28" t="s">
        <v>1121</v>
      </c>
      <c r="L1035" s="43" t="s">
        <v>1099</v>
      </c>
      <c r="M1035" s="209">
        <v>2050</v>
      </c>
      <c r="N1035" s="44" t="s">
        <v>2141</v>
      </c>
      <c r="O1035" s="258"/>
      <c r="P1035" s="238" t="str">
        <f>VLOOKUP(_xlfn.CONCAT(Table3[[#This Row],[Target area]],Table3[[#This Row],[GHG target?]],Table3[[#This Row],[Conditionality]]),'Drop down'!$E$81:$F$101,2,FALSE)</f>
        <v>T_Netzero_Unc</v>
      </c>
      <c r="Q1035" s="239" t="str">
        <f>VLOOKUP(Table3[[#This Row],[Target type]],Table418[[Value name]:[Value idenifyer]],2,FALSE)</f>
        <v>T_FL</v>
      </c>
      <c r="V1035" s="233" t="str">
        <f>VLOOKUP(Table3[[#This Row],[Country Code]],Table29[],3,FALSE)</f>
        <v>Annex I</v>
      </c>
      <c r="W1035" s="233" t="str">
        <f>VLOOKUP(Table3[[#This Row],[Country Code]],Table29[],4,FALSE)</f>
        <v>Europe</v>
      </c>
      <c r="X1035" s="233" t="str">
        <f>VLOOKUP(Table3[[#This Row],[Country Code]],Table29[],5,FALSE)</f>
        <v>High-income</v>
      </c>
      <c r="Y1035" s="233" t="str">
        <f>VLOOKUP(Table3[[#This Row],[Country Code]],Table29[],6,FALSE)</f>
        <v>no</v>
      </c>
      <c r="Z1035" s="233" t="str">
        <f>VLOOKUP(Table3[[#This Row],[Country Code]],Table29[],7,FALSE)</f>
        <v>no</v>
      </c>
      <c r="AA1035" s="233" t="str">
        <f>VLOOKUP(Table3[[#This Row],[Country Code]],Table29[],8,FALSE)</f>
        <v>OECD</v>
      </c>
      <c r="AB1035" s="233" t="str">
        <f>VLOOKUP(Table3[[#This Row],[Country Code]],Table29[],9,FALSE)</f>
        <v>EU27</v>
      </c>
      <c r="AC1035" s="233" t="str">
        <f>VLOOKUP(Table3[[#This Row],[Country Code]],Table29[],10,FALSE)</f>
        <v>no</v>
      </c>
      <c r="AD1035" s="235">
        <f>VLOOKUP(Table3[[#This Row],[Country Code]],Table29[],23,FALSE)</f>
        <v>69.266029551594997</v>
      </c>
      <c r="AE1035" s="235">
        <f>VLOOKUP(Table3[[#This Row],[Country Code]],Table29[],24,FALSE)</f>
        <v>17.759552826548202</v>
      </c>
      <c r="AF1035" s="43"/>
    </row>
    <row r="1036" spans="1:32" x14ac:dyDescent="0.25">
      <c r="A1036" s="360">
        <v>42004</v>
      </c>
      <c r="B1036" s="233" t="str">
        <f>VLOOKUP(Table3[[#This Row],[Document ID]],Table1[],2,FALSE)</f>
        <v>MNE</v>
      </c>
      <c r="C1036" s="233" t="str">
        <f>VLOOKUP(Table3[[#This Row],[Document ID]],Table1[],3,FALSE)</f>
        <v>Montenegro</v>
      </c>
      <c r="D1036" s="233" t="str">
        <f>VLOOKUP(Table3[[#This Row],[Document ID]],Table1[],5,FALSE)</f>
        <v>Other</v>
      </c>
      <c r="E1036" s="233" t="str">
        <f>VLOOKUP(Table3[[#This Row],[Document ID]],Table1[],7,FALSE)</f>
        <v>WRI Net Zero Tracker</v>
      </c>
      <c r="F1036" s="233" t="str">
        <f>VLOOKUP(Table3[[#This Row],[Document ID]],Table1[],8,FALSE)</f>
        <v>NA</v>
      </c>
      <c r="G1036" s="233" t="str">
        <f>VLOOKUP(Table3[[#This Row],[Document ID]],Table1[],10,FALSE)</f>
        <v>Active</v>
      </c>
      <c r="H1036" s="43" t="s">
        <v>1147</v>
      </c>
      <c r="I1036" s="43" t="s">
        <v>1089</v>
      </c>
      <c r="J1036" s="43" t="s">
        <v>1090</v>
      </c>
      <c r="K1036" s="28" t="s">
        <v>1121</v>
      </c>
      <c r="L1036" s="43" t="s">
        <v>1116</v>
      </c>
      <c r="M1036" s="209">
        <v>2050</v>
      </c>
      <c r="N1036" s="43" t="s">
        <v>1478</v>
      </c>
      <c r="O1036" s="258"/>
      <c r="P1036" s="238" t="str">
        <f>VLOOKUP(_xlfn.CONCAT(Table3[[#This Row],[Target area]],Table3[[#This Row],[GHG target?]],Table3[[#This Row],[Conditionality]]),'Drop down'!$E$81:$F$101,2,FALSE)</f>
        <v>T_Netzero</v>
      </c>
      <c r="Q1036" s="239" t="str">
        <f>VLOOKUP(Table3[[#This Row],[Target type]],Table418[[Value name]:[Value idenifyer]],2,FALSE)</f>
        <v>T_FL</v>
      </c>
      <c r="V1036" s="233" t="str">
        <f>VLOOKUP(Table3[[#This Row],[Country Code]],Table29[],3,FALSE)</f>
        <v>Non-Annex I</v>
      </c>
      <c r="W1036" s="233" t="str">
        <f>VLOOKUP(Table3[[#This Row],[Country Code]],Table29[],4,FALSE)</f>
        <v>Europe</v>
      </c>
      <c r="X1036" s="233" t="str">
        <f>VLOOKUP(Table3[[#This Row],[Country Code]],Table29[],5,FALSE)</f>
        <v>Middle-income</v>
      </c>
      <c r="Y1036" s="233" t="str">
        <f>VLOOKUP(Table3[[#This Row],[Country Code]],Table29[],6,FALSE)</f>
        <v>no</v>
      </c>
      <c r="Z1036" s="233" t="str">
        <f>VLOOKUP(Table3[[#This Row],[Country Code]],Table29[],7,FALSE)</f>
        <v>no</v>
      </c>
      <c r="AA1036" s="233" t="str">
        <f>VLOOKUP(Table3[[#This Row],[Country Code]],Table29[],8,FALSE)</f>
        <v>non-OECD</v>
      </c>
      <c r="AB1036" s="233" t="str">
        <f>VLOOKUP(Table3[[#This Row],[Country Code]],Table29[],9,FALSE)</f>
        <v>no</v>
      </c>
      <c r="AC1036" s="233" t="str">
        <f>VLOOKUP(Table3[[#This Row],[Country Code]],Table29[],10,FALSE)</f>
        <v>no</v>
      </c>
      <c r="AD1036" s="235">
        <f>VLOOKUP(Table3[[#This Row],[Country Code]],Table29[],23,FALSE)</f>
        <v>0</v>
      </c>
      <c r="AE1036" s="235">
        <f>VLOOKUP(Table3[[#This Row],[Country Code]],Table29[],24,FALSE)</f>
        <v>0</v>
      </c>
      <c r="AF1036" s="43"/>
    </row>
    <row r="1037" spans="1:32" x14ac:dyDescent="0.25">
      <c r="A1037" s="360">
        <v>22328</v>
      </c>
      <c r="B1037" s="233" t="str">
        <f>VLOOKUP(Table3[[#This Row],[Document ID]],Table1[],2,FALSE)</f>
        <v>HUN</v>
      </c>
      <c r="C1037" s="233" t="str">
        <f>VLOOKUP(Table3[[#This Row],[Document ID]],Table1[],3,FALSE)</f>
        <v>Hungary</v>
      </c>
      <c r="D1037" s="233" t="str">
        <f>VLOOKUP(Table3[[#This Row],[Document ID]],Table1[],5,FALSE)</f>
        <v>LTS</v>
      </c>
      <c r="E1037" s="233" t="str">
        <f>VLOOKUP(Table3[[#This Row],[Document ID]],Table1[],7,FALSE)</f>
        <v>LTS</v>
      </c>
      <c r="F1037" s="233" t="str">
        <f>VLOOKUP(Table3[[#This Row],[Document ID]],Table1[],8,FALSE)</f>
        <v>LTS 1.0</v>
      </c>
      <c r="G1037" s="233" t="str">
        <f>VLOOKUP(Table3[[#This Row],[Document ID]],Table1[],10,FALSE)</f>
        <v>Active</v>
      </c>
      <c r="H1037" s="43" t="s">
        <v>1147</v>
      </c>
      <c r="I1037" s="43" t="s">
        <v>1089</v>
      </c>
      <c r="J1037" s="43" t="s">
        <v>1090</v>
      </c>
      <c r="K1037" s="28" t="s">
        <v>1121</v>
      </c>
      <c r="L1037" s="43" t="s">
        <v>1116</v>
      </c>
      <c r="M1037" s="209">
        <v>2050</v>
      </c>
      <c r="N1037" s="209" t="s">
        <v>1458</v>
      </c>
      <c r="O1037" s="258">
        <v>9</v>
      </c>
      <c r="P1037" s="238" t="str">
        <f>VLOOKUP(_xlfn.CONCAT(Table3[[#This Row],[Target area]],Table3[[#This Row],[GHG target?]],Table3[[#This Row],[Conditionality]]),'Drop down'!$E$81:$F$101,2,FALSE)</f>
        <v>T_Netzero</v>
      </c>
      <c r="Q1037" s="239" t="str">
        <f>VLOOKUP(Table3[[#This Row],[Target type]],Table418[[Value name]:[Value idenifyer]],2,FALSE)</f>
        <v>T_FL</v>
      </c>
      <c r="T1037" s="240"/>
      <c r="V1037" s="233" t="str">
        <f>VLOOKUP(Table3[[#This Row],[Country Code]],Table29[],3,FALSE)</f>
        <v>Annex I</v>
      </c>
      <c r="W1037" s="233" t="str">
        <f>VLOOKUP(Table3[[#This Row],[Country Code]],Table29[],4,FALSE)</f>
        <v>Europe</v>
      </c>
      <c r="X1037" s="233" t="str">
        <f>VLOOKUP(Table3[[#This Row],[Country Code]],Table29[],5,FALSE)</f>
        <v>High-income</v>
      </c>
      <c r="Y1037" s="233" t="str">
        <f>VLOOKUP(Table3[[#This Row],[Country Code]],Table29[],6,FALSE)</f>
        <v>no</v>
      </c>
      <c r="Z1037" s="233" t="str">
        <f>VLOOKUP(Table3[[#This Row],[Country Code]],Table29[],7,FALSE)</f>
        <v>no</v>
      </c>
      <c r="AA1037" s="233" t="str">
        <f>VLOOKUP(Table3[[#This Row],[Country Code]],Table29[],8,FALSE)</f>
        <v>OECD</v>
      </c>
      <c r="AB1037" s="233" t="str">
        <f>VLOOKUP(Table3[[#This Row],[Country Code]],Table29[],9,FALSE)</f>
        <v>EU27</v>
      </c>
      <c r="AC1037" s="233" t="str">
        <f>VLOOKUP(Table3[[#This Row],[Country Code]],Table29[],10,FALSE)</f>
        <v>no</v>
      </c>
      <c r="AD1037" s="235">
        <f>VLOOKUP(Table3[[#This Row],[Country Code]],Table29[],23,FALSE)</f>
        <v>60.926771856729999</v>
      </c>
      <c r="AE1037" s="235">
        <f>VLOOKUP(Table3[[#This Row],[Country Code]],Table29[],24,FALSE)</f>
        <v>14.39810129879295</v>
      </c>
      <c r="AF1037" s="42"/>
    </row>
    <row r="1038" spans="1:32" ht="45" x14ac:dyDescent="0.25">
      <c r="A1038" s="360">
        <v>17750</v>
      </c>
      <c r="B1038" s="233" t="str">
        <f>VLOOKUP(Table3[[#This Row],[Document ID]],Table1[],2,FALSE)</f>
        <v>SWE</v>
      </c>
      <c r="C1038" s="233" t="str">
        <f>VLOOKUP(Table3[[#This Row],[Document ID]],Table1[],3,FALSE)</f>
        <v>Sweden</v>
      </c>
      <c r="D1038" s="233" t="str">
        <f>VLOOKUP(Table3[[#This Row],[Document ID]],Table1[],5,FALSE)</f>
        <v>LTS</v>
      </c>
      <c r="E1038" s="233" t="str">
        <f>VLOOKUP(Table3[[#This Row],[Document ID]],Table1[],7,FALSE)</f>
        <v>LTS</v>
      </c>
      <c r="F1038" s="233" t="str">
        <f>VLOOKUP(Table3[[#This Row],[Document ID]],Table1[],8,FALSE)</f>
        <v>LTS 1.0</v>
      </c>
      <c r="G1038" s="233" t="str">
        <f>VLOOKUP(Table3[[#This Row],[Document ID]],Table1[],10,FALSE)</f>
        <v>Active</v>
      </c>
      <c r="H1038" s="43" t="s">
        <v>1147</v>
      </c>
      <c r="I1038" s="43" t="s">
        <v>1089</v>
      </c>
      <c r="J1038" s="43" t="s">
        <v>1090</v>
      </c>
      <c r="K1038" s="28" t="s">
        <v>1121</v>
      </c>
      <c r="L1038" s="43" t="s">
        <v>1116</v>
      </c>
      <c r="M1038" s="209">
        <v>2045</v>
      </c>
      <c r="N1038" s="44" t="s">
        <v>2142</v>
      </c>
      <c r="O1038" s="258">
        <v>3</v>
      </c>
      <c r="P1038" s="238" t="str">
        <f>VLOOKUP(_xlfn.CONCAT(Table3[[#This Row],[Target area]],Table3[[#This Row],[GHG target?]],Table3[[#This Row],[Conditionality]]),'Drop down'!$E$81:$F$101,2,FALSE)</f>
        <v>T_Netzero</v>
      </c>
      <c r="Q1038" s="239" t="str">
        <f>VLOOKUP(Table3[[#This Row],[Target type]],Table418[[Value name]:[Value idenifyer]],2,FALSE)</f>
        <v>T_FL</v>
      </c>
      <c r="U1038" s="234" t="s">
        <v>1240</v>
      </c>
      <c r="V1038" s="233" t="str">
        <f>VLOOKUP(Table3[[#This Row],[Country Code]],Table29[],3,FALSE)</f>
        <v>Annex I</v>
      </c>
      <c r="W1038" s="233" t="str">
        <f>VLOOKUP(Table3[[#This Row],[Country Code]],Table29[],4,FALSE)</f>
        <v>Europe</v>
      </c>
      <c r="X1038" s="233" t="str">
        <f>VLOOKUP(Table3[[#This Row],[Country Code]],Table29[],5,FALSE)</f>
        <v>High-income</v>
      </c>
      <c r="Y1038" s="233" t="str">
        <f>VLOOKUP(Table3[[#This Row],[Country Code]],Table29[],6,FALSE)</f>
        <v>no</v>
      </c>
      <c r="Z1038" s="233" t="str">
        <f>VLOOKUP(Table3[[#This Row],[Country Code]],Table29[],7,FALSE)</f>
        <v>no</v>
      </c>
      <c r="AA1038" s="233" t="str">
        <f>VLOOKUP(Table3[[#This Row],[Country Code]],Table29[],8,FALSE)</f>
        <v>OECD</v>
      </c>
      <c r="AB1038" s="233" t="str">
        <f>VLOOKUP(Table3[[#This Row],[Country Code]],Table29[],9,FALSE)</f>
        <v>EU27</v>
      </c>
      <c r="AC1038" s="233" t="str">
        <f>VLOOKUP(Table3[[#This Row],[Country Code]],Table29[],10,FALSE)</f>
        <v>no</v>
      </c>
      <c r="AD1038" s="235">
        <f>VLOOKUP(Table3[[#This Row],[Country Code]],Table29[],23,FALSE)</f>
        <v>49.118373633418003</v>
      </c>
      <c r="AE1038" s="235">
        <f>VLOOKUP(Table3[[#This Row],[Country Code]],Table29[],24,FALSE)</f>
        <v>13.502992277371289</v>
      </c>
      <c r="AF1038" s="43"/>
    </row>
    <row r="1039" spans="1:32" x14ac:dyDescent="0.25">
      <c r="A1039" s="360">
        <v>29233</v>
      </c>
      <c r="B1039" s="233" t="str">
        <f>VLOOKUP(Table3[[#This Row],[Document ID]],Table1[],2,FALSE)</f>
        <v>IND</v>
      </c>
      <c r="C1039" s="233" t="str">
        <f>VLOOKUP(Table3[[#This Row],[Document ID]],Table1[],3,FALSE)</f>
        <v>India</v>
      </c>
      <c r="D1039" s="233" t="str">
        <f>VLOOKUP(Table3[[#This Row],[Document ID]],Table1[],5,FALSE)</f>
        <v>NDC</v>
      </c>
      <c r="E1039" s="233" t="str">
        <f>VLOOKUP(Table3[[#This Row],[Document ID]],Table1[],7,FALSE)</f>
        <v>First NDC updated</v>
      </c>
      <c r="F1039" s="233" t="str">
        <f>VLOOKUP(Table3[[#This Row],[Document ID]],Table1[],8,FALSE)</f>
        <v>NDC 1.1</v>
      </c>
      <c r="G1039" s="233" t="str">
        <f>VLOOKUP(Table3[[#This Row],[Document ID]],Table1[],10,FALSE)</f>
        <v>Active</v>
      </c>
      <c r="H1039" s="43" t="s">
        <v>1147</v>
      </c>
      <c r="I1039" s="43" t="s">
        <v>1089</v>
      </c>
      <c r="J1039" s="43" t="s">
        <v>1090</v>
      </c>
      <c r="K1039" s="28" t="s">
        <v>1121</v>
      </c>
      <c r="L1039" s="43" t="s">
        <v>1116</v>
      </c>
      <c r="M1039" s="209">
        <v>2070</v>
      </c>
      <c r="N1039" s="209" t="s">
        <v>2143</v>
      </c>
      <c r="O1039" s="258">
        <v>3</v>
      </c>
      <c r="P1039" s="238" t="str">
        <f>VLOOKUP(_xlfn.CONCAT(Table3[[#This Row],[Target area]],Table3[[#This Row],[GHG target?]],Table3[[#This Row],[Conditionality]]),'Drop down'!$E$81:$F$101,2,FALSE)</f>
        <v>T_Netzero</v>
      </c>
      <c r="Q1039" s="239" t="str">
        <f>VLOOKUP(Table3[[#This Row],[Target type]],Table418[[Value name]:[Value idenifyer]],2,FALSE)</f>
        <v>T_FL</v>
      </c>
      <c r="T1039" s="240"/>
      <c r="V1039" s="233" t="str">
        <f>VLOOKUP(Table3[[#This Row],[Country Code]],Table29[],3,FALSE)</f>
        <v>Non-Annex I</v>
      </c>
      <c r="W1039" s="233" t="str">
        <f>VLOOKUP(Table3[[#This Row],[Country Code]],Table29[],4,FALSE)</f>
        <v>Asia</v>
      </c>
      <c r="X1039" s="233" t="str">
        <f>VLOOKUP(Table3[[#This Row],[Country Code]],Table29[],5,FALSE)</f>
        <v>Middle-income</v>
      </c>
      <c r="Y1039" s="233" t="str">
        <f>VLOOKUP(Table3[[#This Row],[Country Code]],Table29[],6,FALSE)</f>
        <v>G20</v>
      </c>
      <c r="Z1039" s="233" t="str">
        <f>VLOOKUP(Table3[[#This Row],[Country Code]],Table29[],7,FALSE)</f>
        <v>no</v>
      </c>
      <c r="AA1039" s="233" t="str">
        <f>VLOOKUP(Table3[[#This Row],[Country Code]],Table29[],8,FALSE)</f>
        <v>non-OECD</v>
      </c>
      <c r="AB1039" s="233" t="str">
        <f>VLOOKUP(Table3[[#This Row],[Country Code]],Table29[],9,FALSE)</f>
        <v>no</v>
      </c>
      <c r="AC1039" s="233" t="str">
        <f>VLOOKUP(Table3[[#This Row],[Country Code]],Table29[],10,FALSE)</f>
        <v>no</v>
      </c>
      <c r="AD1039" s="235">
        <f>VLOOKUP(Table3[[#This Row],[Country Code]],Table29[],23,FALSE)</f>
        <v>4133.5543557464998</v>
      </c>
      <c r="AE1039" s="235">
        <f>VLOOKUP(Table3[[#This Row],[Country Code]],Table29[],24,FALSE)</f>
        <v>349.27466196453167</v>
      </c>
      <c r="AF1039" s="42"/>
    </row>
    <row r="1040" spans="1:32" ht="45" x14ac:dyDescent="0.25">
      <c r="A1040" s="360">
        <v>32503</v>
      </c>
      <c r="B1040" s="233" t="str">
        <f>VLOOKUP(Table3[[#This Row],[Document ID]],Table1[],2,FALSE)</f>
        <v>IDN</v>
      </c>
      <c r="C1040" s="233" t="str">
        <f>VLOOKUP(Table3[[#This Row],[Document ID]],Table1[],3,FALSE)</f>
        <v>Indonesia</v>
      </c>
      <c r="D1040" s="233" t="str">
        <f>VLOOKUP(Table3[[#This Row],[Document ID]],Table1[],5,FALSE)</f>
        <v>NDC</v>
      </c>
      <c r="E1040" s="233" t="str">
        <f>VLOOKUP(Table3[[#This Row],[Document ID]],Table1[],7,FALSE)</f>
        <v>First NDC updated</v>
      </c>
      <c r="F1040" s="233" t="str">
        <f>VLOOKUP(Table3[[#This Row],[Document ID]],Table1[],8,FALSE)</f>
        <v>NDC 1.2</v>
      </c>
      <c r="G1040" s="233" t="str">
        <f>VLOOKUP(Table3[[#This Row],[Document ID]],Table1[],10,FALSE)</f>
        <v>Active</v>
      </c>
      <c r="H1040" s="43" t="s">
        <v>1147</v>
      </c>
      <c r="I1040" s="43" t="s">
        <v>1089</v>
      </c>
      <c r="J1040" s="43" t="s">
        <v>1090</v>
      </c>
      <c r="K1040" s="28" t="s">
        <v>1121</v>
      </c>
      <c r="L1040" s="43" t="s">
        <v>1116</v>
      </c>
      <c r="M1040" s="209">
        <v>2050</v>
      </c>
      <c r="N1040" s="209" t="s">
        <v>2144</v>
      </c>
      <c r="O1040" s="258">
        <v>4</v>
      </c>
      <c r="P1040" s="238" t="str">
        <f>VLOOKUP(_xlfn.CONCAT(Table3[[#This Row],[Target area]],Table3[[#This Row],[GHG target?]],Table3[[#This Row],[Conditionality]]),'Drop down'!$E$81:$F$101,2,FALSE)</f>
        <v>T_Netzero</v>
      </c>
      <c r="Q1040" s="239" t="str">
        <f>VLOOKUP(Table3[[#This Row],[Target type]],Table418[[Value name]:[Value idenifyer]],2,FALSE)</f>
        <v>T_FL</v>
      </c>
      <c r="T1040" s="240"/>
      <c r="V1040" s="233" t="str">
        <f>VLOOKUP(Table3[[#This Row],[Country Code]],Table29[],3,FALSE)</f>
        <v>Non-Annex I</v>
      </c>
      <c r="W1040" s="233" t="str">
        <f>VLOOKUP(Table3[[#This Row],[Country Code]],Table29[],4,FALSE)</f>
        <v>Asia</v>
      </c>
      <c r="X1040" s="233" t="str">
        <f>VLOOKUP(Table3[[#This Row],[Country Code]],Table29[],5,FALSE)</f>
        <v>Middle-income</v>
      </c>
      <c r="Y1040" s="233" t="str">
        <f>VLOOKUP(Table3[[#This Row],[Country Code]],Table29[],6,FALSE)</f>
        <v>G20</v>
      </c>
      <c r="Z1040" s="233" t="str">
        <f>VLOOKUP(Table3[[#This Row],[Country Code]],Table29[],7,FALSE)</f>
        <v>no</v>
      </c>
      <c r="AA1040" s="233" t="str">
        <f>VLOOKUP(Table3[[#This Row],[Country Code]],Table29[],8,FALSE)</f>
        <v>non-OECD</v>
      </c>
      <c r="AB1040" s="233" t="str">
        <f>VLOOKUP(Table3[[#This Row],[Country Code]],Table29[],9,FALSE)</f>
        <v>no</v>
      </c>
      <c r="AC1040" s="233" t="str">
        <f>VLOOKUP(Table3[[#This Row],[Country Code]],Table29[],10,FALSE)</f>
        <v>no</v>
      </c>
      <c r="AD1040" s="235">
        <f>VLOOKUP(Table3[[#This Row],[Country Code]],Table29[],23,FALSE)</f>
        <v>1200.1997867973</v>
      </c>
      <c r="AE1040" s="235">
        <f>VLOOKUP(Table3[[#This Row],[Country Code]],Table29[],24,FALSE)</f>
        <v>152.1133830762208</v>
      </c>
      <c r="AF1040" s="42"/>
    </row>
    <row r="1041" spans="1:32" ht="60" x14ac:dyDescent="0.25">
      <c r="A1041" s="360">
        <v>26821</v>
      </c>
      <c r="B1041" s="233" t="str">
        <f>VLOOKUP(Table3[[#This Row],[Document ID]],Table1[],2,FALSE)</f>
        <v>URY</v>
      </c>
      <c r="C1041" s="233" t="str">
        <f>VLOOKUP(Table3[[#This Row],[Document ID]],Table1[],3,FALSE)</f>
        <v>Uruguay</v>
      </c>
      <c r="D1041" s="233" t="str">
        <f>VLOOKUP(Table3[[#This Row],[Document ID]],Table1[],5,FALSE)</f>
        <v>LTS</v>
      </c>
      <c r="E1041" s="233" t="str">
        <f>VLOOKUP(Table3[[#This Row],[Document ID]],Table1[],7,FALSE)</f>
        <v>LTS</v>
      </c>
      <c r="F1041" s="233" t="str">
        <f>VLOOKUP(Table3[[#This Row],[Document ID]],Table1[],8,FALSE)</f>
        <v>LTS 1.0</v>
      </c>
      <c r="G1041" s="233" t="str">
        <f>VLOOKUP(Table3[[#This Row],[Document ID]],Table1[],10,FALSE)</f>
        <v>Active</v>
      </c>
      <c r="H1041" s="43" t="s">
        <v>1147</v>
      </c>
      <c r="I1041" s="43" t="s">
        <v>1089</v>
      </c>
      <c r="J1041" s="43" t="s">
        <v>1090</v>
      </c>
      <c r="K1041" s="28" t="s">
        <v>1121</v>
      </c>
      <c r="L1041" s="42" t="s">
        <v>1099</v>
      </c>
      <c r="M1041" s="209">
        <v>2050</v>
      </c>
      <c r="N1041" s="209" t="s">
        <v>2145</v>
      </c>
      <c r="O1041" s="258" t="s">
        <v>1113</v>
      </c>
      <c r="P1041" s="238" t="str">
        <f>VLOOKUP(_xlfn.CONCAT(Table3[[#This Row],[Target area]],Table3[[#This Row],[GHG target?]],Table3[[#This Row],[Conditionality]]),'Drop down'!$E$81:$F$101,2,FALSE)</f>
        <v>T_Netzero_Unc</v>
      </c>
      <c r="Q1041" s="239" t="str">
        <f>VLOOKUP(Table3[[#This Row],[Target type]],Table418[[Value name]:[Value idenifyer]],2,FALSE)</f>
        <v>T_FL</v>
      </c>
      <c r="S1041" s="233" t="s">
        <v>1101</v>
      </c>
      <c r="U1041" s="242" t="s">
        <v>1402</v>
      </c>
      <c r="V1041" s="233" t="str">
        <f>VLOOKUP(Table3[[#This Row],[Country Code]],Table29[],3,FALSE)</f>
        <v>Non-Annex I</v>
      </c>
      <c r="W1041" s="233" t="str">
        <f>VLOOKUP(Table3[[#This Row],[Country Code]],Table29[],4,FALSE)</f>
        <v>Latin America and the Caribbean</v>
      </c>
      <c r="X1041" s="233" t="str">
        <f>VLOOKUP(Table3[[#This Row],[Country Code]],Table29[],5,FALSE)</f>
        <v>High-income</v>
      </c>
      <c r="Y1041" s="233" t="str">
        <f>VLOOKUP(Table3[[#This Row],[Country Code]],Table29[],6,FALSE)</f>
        <v>no</v>
      </c>
      <c r="Z1041" s="233" t="str">
        <f>VLOOKUP(Table3[[#This Row],[Country Code]],Table29[],7,FALSE)</f>
        <v>no</v>
      </c>
      <c r="AA1041" s="233" t="str">
        <f>VLOOKUP(Table3[[#This Row],[Country Code]],Table29[],8,FALSE)</f>
        <v>non-OECD</v>
      </c>
      <c r="AB1041" s="233" t="str">
        <f>VLOOKUP(Table3[[#This Row],[Country Code]],Table29[],9,FALSE)</f>
        <v>no</v>
      </c>
      <c r="AC1041" s="233" t="str">
        <f>VLOOKUP(Table3[[#This Row],[Country Code]],Table29[],10,FALSE)</f>
        <v>no</v>
      </c>
      <c r="AD1041" s="235">
        <f>VLOOKUP(Table3[[#This Row],[Country Code]],Table29[],23,FALSE)</f>
        <v>41.634111747759</v>
      </c>
      <c r="AE1041" s="235">
        <f>VLOOKUP(Table3[[#This Row],[Country Code]],Table29[],24,FALSE)</f>
        <v>4.0868158944276578</v>
      </c>
      <c r="AF1041" s="43"/>
    </row>
    <row r="1042" spans="1:32" ht="30" x14ac:dyDescent="0.25">
      <c r="A1042" s="360">
        <v>29231</v>
      </c>
      <c r="B1042" s="233" t="str">
        <f>VLOOKUP(Table3[[#This Row],[Document ID]],Table1[],2,FALSE)</f>
        <v>VUT</v>
      </c>
      <c r="C1042" s="233" t="str">
        <f>VLOOKUP(Table3[[#This Row],[Document ID]],Table1[],3,FALSE)</f>
        <v>Vanuatu</v>
      </c>
      <c r="D1042" s="233" t="str">
        <f>VLOOKUP(Table3[[#This Row],[Document ID]],Table1[],5,FALSE)</f>
        <v>NDC</v>
      </c>
      <c r="E1042" s="233" t="str">
        <f>VLOOKUP(Table3[[#This Row],[Document ID]],Table1[],7,FALSE)</f>
        <v>First NDC updated</v>
      </c>
      <c r="F1042" s="233" t="str">
        <f>VLOOKUP(Table3[[#This Row],[Document ID]],Table1[],8,FALSE)</f>
        <v>NDC 1.2</v>
      </c>
      <c r="G1042" s="233" t="str">
        <f>VLOOKUP(Table3[[#This Row],[Document ID]],Table1[],10,FALSE)</f>
        <v>Active</v>
      </c>
      <c r="H1042" s="42" t="s">
        <v>1095</v>
      </c>
      <c r="I1042" s="43" t="s">
        <v>1096</v>
      </c>
      <c r="J1042" s="42" t="s">
        <v>1097</v>
      </c>
      <c r="K1042" s="28" t="s">
        <v>1137</v>
      </c>
      <c r="L1042" s="43" t="s">
        <v>1092</v>
      </c>
      <c r="M1042" s="209">
        <v>2030</v>
      </c>
      <c r="N1042" s="209" t="s">
        <v>2146</v>
      </c>
      <c r="O1042" s="257">
        <v>4</v>
      </c>
      <c r="P1042" s="238" t="str">
        <f>VLOOKUP(_xlfn.CONCAT(Table3[[#This Row],[Target area]],Table3[[#This Row],[GHG target?]],Table3[[#This Row],[Conditionality]]),'Drop down'!$E$81:$F$101,2,FALSE)</f>
        <v>T_Transport_O_C</v>
      </c>
      <c r="Q1042" s="239" t="str">
        <f>VLOOKUP(Table3[[#This Row],[Target type]],Table418[[Value name]:[Value idenifyer]],2,FALSE)</f>
        <v>T_O_EFF</v>
      </c>
      <c r="S1042" s="233" t="s">
        <v>1101</v>
      </c>
      <c r="T1042" s="234" t="s">
        <v>1113</v>
      </c>
      <c r="U1042" s="240"/>
      <c r="V1042" s="233" t="str">
        <f>VLOOKUP(Table3[[#This Row],[Country Code]],Table29[],3,FALSE)</f>
        <v>Non-Annex I</v>
      </c>
      <c r="W1042" s="233" t="str">
        <f>VLOOKUP(Table3[[#This Row],[Country Code]],Table29[],4,FALSE)</f>
        <v>Oceania</v>
      </c>
      <c r="X1042" s="233" t="str">
        <f>VLOOKUP(Table3[[#This Row],[Country Code]],Table29[],5,FALSE)</f>
        <v>Middle-income</v>
      </c>
      <c r="Y1042" s="233" t="str">
        <f>VLOOKUP(Table3[[#This Row],[Country Code]],Table29[],6,FALSE)</f>
        <v>no</v>
      </c>
      <c r="Z1042" s="233" t="str">
        <f>VLOOKUP(Table3[[#This Row],[Country Code]],Table29[],7,FALSE)</f>
        <v>no</v>
      </c>
      <c r="AA1042" s="233" t="str">
        <f>VLOOKUP(Table3[[#This Row],[Country Code]],Table29[],8,FALSE)</f>
        <v>non-OECD</v>
      </c>
      <c r="AB1042" s="233" t="str">
        <f>VLOOKUP(Table3[[#This Row],[Country Code]],Table29[],9,FALSE)</f>
        <v>no</v>
      </c>
      <c r="AC1042" s="233" t="str">
        <f>VLOOKUP(Table3[[#This Row],[Country Code]],Table29[],10,FALSE)</f>
        <v>no</v>
      </c>
      <c r="AD1042" s="235">
        <f>VLOOKUP(Table3[[#This Row],[Country Code]],Table29[],23,FALSE)</f>
        <v>0.67021230161326995</v>
      </c>
      <c r="AE1042" s="235">
        <f>VLOOKUP(Table3[[#This Row],[Country Code]],Table29[],24,FALSE)</f>
        <v>0.148941723979749</v>
      </c>
      <c r="AF1042" s="43"/>
    </row>
    <row r="1043" spans="1:32" ht="30" x14ac:dyDescent="0.25">
      <c r="A1043" s="360" t="s">
        <v>725</v>
      </c>
      <c r="B1043" s="233" t="str">
        <f>VLOOKUP(Table3[[#This Row],[Document ID]],Table1[],2,FALSE)</f>
        <v>ITA</v>
      </c>
      <c r="C1043" s="233" t="str">
        <f>VLOOKUP(Table3[[#This Row],[Document ID]],Table1[],3,FALSE)</f>
        <v>Italy</v>
      </c>
      <c r="D1043" s="233" t="str">
        <f>VLOOKUP(Table3[[#This Row],[Document ID]],Table1[],5,FALSE)</f>
        <v>LTS</v>
      </c>
      <c r="E1043" s="233" t="str">
        <f>VLOOKUP(Table3[[#This Row],[Document ID]],Table1[],7,FALSE)</f>
        <v>EU-LTS</v>
      </c>
      <c r="F1043" s="233" t="str">
        <f>VLOOKUP(Table3[[#This Row],[Document ID]],Table1[],8,FALSE)</f>
        <v>LTS 1.0</v>
      </c>
      <c r="G1043" s="233" t="str">
        <f>VLOOKUP(Table3[[#This Row],[Document ID]],Table1[],10,FALSE)</f>
        <v>Covered by EU</v>
      </c>
      <c r="H1043" s="43" t="s">
        <v>1147</v>
      </c>
      <c r="I1043" s="43" t="s">
        <v>1089</v>
      </c>
      <c r="J1043" s="43" t="s">
        <v>1090</v>
      </c>
      <c r="K1043" s="28" t="s">
        <v>1121</v>
      </c>
      <c r="L1043" s="43" t="s">
        <v>1116</v>
      </c>
      <c r="M1043" s="209">
        <v>2050</v>
      </c>
      <c r="N1043" s="44" t="s">
        <v>2147</v>
      </c>
      <c r="O1043" s="258"/>
      <c r="P1043" s="238" t="str">
        <f>VLOOKUP(_xlfn.CONCAT(Table3[[#This Row],[Target area]],Table3[[#This Row],[GHG target?]],Table3[[#This Row],[Conditionality]]),'Drop down'!$E$81:$F$101,2,FALSE)</f>
        <v>T_Netzero</v>
      </c>
      <c r="Q1043" s="239" t="str">
        <f>VLOOKUP(Table3[[#This Row],[Target type]],Table418[[Value name]:[Value idenifyer]],2,FALSE)</f>
        <v>T_FL</v>
      </c>
      <c r="V1043" s="233" t="str">
        <f>VLOOKUP(Table3[[#This Row],[Country Code]],Table29[],3,FALSE)</f>
        <v>Annex I</v>
      </c>
      <c r="W1043" s="233" t="str">
        <f>VLOOKUP(Table3[[#This Row],[Country Code]],Table29[],4,FALSE)</f>
        <v>Europe</v>
      </c>
      <c r="X1043" s="233" t="str">
        <f>VLOOKUP(Table3[[#This Row],[Country Code]],Table29[],5,FALSE)</f>
        <v>High-income</v>
      </c>
      <c r="Y1043" s="233" t="str">
        <f>VLOOKUP(Table3[[#This Row],[Country Code]],Table29[],6,FALSE)</f>
        <v>G20</v>
      </c>
      <c r="Z1043" s="233" t="str">
        <f>VLOOKUP(Table3[[#This Row],[Country Code]],Table29[],7,FALSE)</f>
        <v>G7</v>
      </c>
      <c r="AA1043" s="233" t="str">
        <f>VLOOKUP(Table3[[#This Row],[Country Code]],Table29[],8,FALSE)</f>
        <v>OECD</v>
      </c>
      <c r="AB1043" s="233" t="str">
        <f>VLOOKUP(Table3[[#This Row],[Country Code]],Table29[],9,FALSE)</f>
        <v>EU27</v>
      </c>
      <c r="AC1043" s="233" t="str">
        <f>VLOOKUP(Table3[[#This Row],[Country Code]],Table29[],10,FALSE)</f>
        <v>no</v>
      </c>
      <c r="AD1043" s="235">
        <f>VLOOKUP(Table3[[#This Row],[Country Code]],Table29[],23,FALSE)</f>
        <v>374.12419472876002</v>
      </c>
      <c r="AE1043" s="235">
        <f>VLOOKUP(Table3[[#This Row],[Country Code]],Table29[],24,FALSE)</f>
        <v>103.9860786043448</v>
      </c>
      <c r="AF1043" s="43"/>
    </row>
    <row r="1044" spans="1:32" x14ac:dyDescent="0.25">
      <c r="A1044" s="360">
        <v>42005</v>
      </c>
      <c r="B1044" s="233" t="str">
        <f>VLOOKUP(Table3[[#This Row],[Document ID]],Table1[],2,FALSE)</f>
        <v>MRT</v>
      </c>
      <c r="C1044" s="233" t="str">
        <f>VLOOKUP(Table3[[#This Row],[Document ID]],Table1[],3,FALSE)</f>
        <v>Mauritania</v>
      </c>
      <c r="D1044" s="233" t="str">
        <f>VLOOKUP(Table3[[#This Row],[Document ID]],Table1[],5,FALSE)</f>
        <v>Other</v>
      </c>
      <c r="E1044" s="233" t="str">
        <f>VLOOKUP(Table3[[#This Row],[Document ID]],Table1[],7,FALSE)</f>
        <v>WRI Net Zero Tracker</v>
      </c>
      <c r="F1044" s="233" t="str">
        <f>VLOOKUP(Table3[[#This Row],[Document ID]],Table1[],8,FALSE)</f>
        <v>NA</v>
      </c>
      <c r="G1044" s="233" t="str">
        <f>VLOOKUP(Table3[[#This Row],[Document ID]],Table1[],10,FALSE)</f>
        <v>Active</v>
      </c>
      <c r="H1044" s="43" t="s">
        <v>1147</v>
      </c>
      <c r="I1044" s="43" t="s">
        <v>1089</v>
      </c>
      <c r="J1044" s="43" t="s">
        <v>1090</v>
      </c>
      <c r="K1044" s="28" t="s">
        <v>1121</v>
      </c>
      <c r="L1044" s="43" t="s">
        <v>1116</v>
      </c>
      <c r="M1044" s="209">
        <v>2030</v>
      </c>
      <c r="N1044" s="43" t="s">
        <v>1478</v>
      </c>
      <c r="O1044" s="258"/>
      <c r="P1044" s="238" t="str">
        <f>VLOOKUP(_xlfn.CONCAT(Table3[[#This Row],[Target area]],Table3[[#This Row],[GHG target?]],Table3[[#This Row],[Conditionality]]),'Drop down'!$E$81:$F$101,2,FALSE)</f>
        <v>T_Netzero</v>
      </c>
      <c r="Q1044" s="239" t="str">
        <f>VLOOKUP(Table3[[#This Row],[Target type]],Table418[[Value name]:[Value idenifyer]],2,FALSE)</f>
        <v>T_FL</v>
      </c>
      <c r="V1044" s="233" t="str">
        <f>VLOOKUP(Table3[[#This Row],[Country Code]],Table29[],3,FALSE)</f>
        <v>Non-Annex I</v>
      </c>
      <c r="W1044" s="233" t="str">
        <f>VLOOKUP(Table3[[#This Row],[Country Code]],Table29[],4,FALSE)</f>
        <v>Africa</v>
      </c>
      <c r="X1044" s="233" t="str">
        <f>VLOOKUP(Table3[[#This Row],[Country Code]],Table29[],5,FALSE)</f>
        <v>Middle-income</v>
      </c>
      <c r="Y1044" s="233" t="str">
        <f>VLOOKUP(Table3[[#This Row],[Country Code]],Table29[],6,FALSE)</f>
        <v>no</v>
      </c>
      <c r="Z1044" s="233" t="str">
        <f>VLOOKUP(Table3[[#This Row],[Country Code]],Table29[],7,FALSE)</f>
        <v>no</v>
      </c>
      <c r="AA1044" s="233" t="str">
        <f>VLOOKUP(Table3[[#This Row],[Country Code]],Table29[],8,FALSE)</f>
        <v>non-OECD</v>
      </c>
      <c r="AB1044" s="233" t="str">
        <f>VLOOKUP(Table3[[#This Row],[Country Code]],Table29[],9,FALSE)</f>
        <v>no</v>
      </c>
      <c r="AC1044" s="233" t="str">
        <f>VLOOKUP(Table3[[#This Row],[Country Code]],Table29[],10,FALSE)</f>
        <v>no</v>
      </c>
      <c r="AD1044" s="235">
        <f>VLOOKUP(Table3[[#This Row],[Country Code]],Table29[],23,FALSE)</f>
        <v>16.509274363264002</v>
      </c>
      <c r="AE1044" s="235">
        <f>VLOOKUP(Table3[[#This Row],[Country Code]],Table29[],24,FALSE)</f>
        <v>2.480994947533218</v>
      </c>
      <c r="AF1044" s="43"/>
    </row>
    <row r="1045" spans="1:32" ht="45" x14ac:dyDescent="0.25">
      <c r="A1045" s="360">
        <v>29231</v>
      </c>
      <c r="B1045" s="233" t="str">
        <f>VLOOKUP(Table3[[#This Row],[Document ID]],Table1[],2,FALSE)</f>
        <v>VUT</v>
      </c>
      <c r="C1045" s="233" t="str">
        <f>VLOOKUP(Table3[[#This Row],[Document ID]],Table1[],3,FALSE)</f>
        <v>Vanuatu</v>
      </c>
      <c r="D1045" s="233" t="str">
        <f>VLOOKUP(Table3[[#This Row],[Document ID]],Table1[],5,FALSE)</f>
        <v>NDC</v>
      </c>
      <c r="E1045" s="233" t="str">
        <f>VLOOKUP(Table3[[#This Row],[Document ID]],Table1[],7,FALSE)</f>
        <v>First NDC updated</v>
      </c>
      <c r="F1045" s="233" t="str">
        <f>VLOOKUP(Table3[[#This Row],[Document ID]],Table1[],8,FALSE)</f>
        <v>NDC 1.2</v>
      </c>
      <c r="G1045" s="233" t="str">
        <f>VLOOKUP(Table3[[#This Row],[Document ID]],Table1[],10,FALSE)</f>
        <v>Active</v>
      </c>
      <c r="H1045" s="42" t="s">
        <v>1095</v>
      </c>
      <c r="I1045" s="43" t="s">
        <v>1096</v>
      </c>
      <c r="J1045" s="42" t="s">
        <v>1097</v>
      </c>
      <c r="K1045" s="28" t="s">
        <v>1104</v>
      </c>
      <c r="L1045" s="43" t="s">
        <v>1092</v>
      </c>
      <c r="M1045" s="209">
        <v>2030</v>
      </c>
      <c r="N1045" s="209" t="s">
        <v>2148</v>
      </c>
      <c r="O1045" s="257">
        <v>4</v>
      </c>
      <c r="P1045" s="238" t="str">
        <f>VLOOKUP(_xlfn.CONCAT(Table3[[#This Row],[Target area]],Table3[[#This Row],[GHG target?]],Table3[[#This Row],[Conditionality]]),'Drop down'!$E$81:$F$101,2,FALSE)</f>
        <v>T_Transport_O_C</v>
      </c>
      <c r="Q1045" s="239" t="str">
        <f>VLOOKUP(Table3[[#This Row],[Target type]],Table418[[Value name]:[Value idenifyer]],2,FALSE)</f>
        <v>T_O_ZERO</v>
      </c>
      <c r="S1045" s="233" t="s">
        <v>1101</v>
      </c>
      <c r="T1045" s="234" t="s">
        <v>1113</v>
      </c>
      <c r="U1045" s="240"/>
      <c r="V1045" s="233" t="str">
        <f>VLOOKUP(Table3[[#This Row],[Country Code]],Table29[],3,FALSE)</f>
        <v>Non-Annex I</v>
      </c>
      <c r="W1045" s="233" t="str">
        <f>VLOOKUP(Table3[[#This Row],[Country Code]],Table29[],4,FALSE)</f>
        <v>Oceania</v>
      </c>
      <c r="X1045" s="233" t="str">
        <f>VLOOKUP(Table3[[#This Row],[Country Code]],Table29[],5,FALSE)</f>
        <v>Middle-income</v>
      </c>
      <c r="Y1045" s="233" t="str">
        <f>VLOOKUP(Table3[[#This Row],[Country Code]],Table29[],6,FALSE)</f>
        <v>no</v>
      </c>
      <c r="Z1045" s="233" t="str">
        <f>VLOOKUP(Table3[[#This Row],[Country Code]],Table29[],7,FALSE)</f>
        <v>no</v>
      </c>
      <c r="AA1045" s="233" t="str">
        <f>VLOOKUP(Table3[[#This Row],[Country Code]],Table29[],8,FALSE)</f>
        <v>non-OECD</v>
      </c>
      <c r="AB1045" s="233" t="str">
        <f>VLOOKUP(Table3[[#This Row],[Country Code]],Table29[],9,FALSE)</f>
        <v>no</v>
      </c>
      <c r="AC1045" s="233" t="str">
        <f>VLOOKUP(Table3[[#This Row],[Country Code]],Table29[],10,FALSE)</f>
        <v>no</v>
      </c>
      <c r="AD1045" s="235">
        <f>VLOOKUP(Table3[[#This Row],[Country Code]],Table29[],23,FALSE)</f>
        <v>0.67021230161326995</v>
      </c>
      <c r="AE1045" s="235">
        <f>VLOOKUP(Table3[[#This Row],[Country Code]],Table29[],24,FALSE)</f>
        <v>0.148941723979749</v>
      </c>
      <c r="AF1045" s="43"/>
    </row>
    <row r="1046" spans="1:32" x14ac:dyDescent="0.25">
      <c r="A1046" s="360">
        <v>26796</v>
      </c>
      <c r="B1046" s="233" t="str">
        <f>VLOOKUP(Table3[[#This Row],[Document ID]],Table1[],2,FALSE)</f>
        <v>JPN</v>
      </c>
      <c r="C1046" s="233" t="str">
        <f>VLOOKUP(Table3[[#This Row],[Document ID]],Table1[],3,FALSE)</f>
        <v>Japan</v>
      </c>
      <c r="D1046" s="233" t="str">
        <f>VLOOKUP(Table3[[#This Row],[Document ID]],Table1[],5,FALSE)</f>
        <v>LTS</v>
      </c>
      <c r="E1046" s="233" t="str">
        <f>VLOOKUP(Table3[[#This Row],[Document ID]],Table1[],7,FALSE)</f>
        <v>LTS</v>
      </c>
      <c r="F1046" s="233" t="str">
        <f>VLOOKUP(Table3[[#This Row],[Document ID]],Table1[],8,FALSE)</f>
        <v>LTS 1.1</v>
      </c>
      <c r="G1046" s="233" t="str">
        <f>VLOOKUP(Table3[[#This Row],[Document ID]],Table1[],10,FALSE)</f>
        <v>Active</v>
      </c>
      <c r="H1046" s="43" t="s">
        <v>1147</v>
      </c>
      <c r="I1046" s="43" t="s">
        <v>1089</v>
      </c>
      <c r="J1046" s="43" t="s">
        <v>1090</v>
      </c>
      <c r="K1046" s="28" t="s">
        <v>1121</v>
      </c>
      <c r="L1046" s="43" t="s">
        <v>1116</v>
      </c>
      <c r="M1046" s="209">
        <v>2050</v>
      </c>
      <c r="N1046" s="43" t="s">
        <v>1940</v>
      </c>
      <c r="O1046" s="258">
        <v>3</v>
      </c>
      <c r="P1046" s="238" t="str">
        <f>VLOOKUP(_xlfn.CONCAT(Table3[[#This Row],[Target area]],Table3[[#This Row],[GHG target?]],Table3[[#This Row],[Conditionality]]),'Drop down'!$E$81:$F$101,2,FALSE)</f>
        <v>T_Netzero</v>
      </c>
      <c r="Q1046" s="239" t="str">
        <f>VLOOKUP(Table3[[#This Row],[Target type]],Table418[[Value name]:[Value idenifyer]],2,FALSE)</f>
        <v>T_FL</v>
      </c>
      <c r="T1046" s="240"/>
      <c r="V1046" s="233" t="str">
        <f>VLOOKUP(Table3[[#This Row],[Country Code]],Table29[],3,FALSE)</f>
        <v>Annex I</v>
      </c>
      <c r="W1046" s="233" t="str">
        <f>VLOOKUP(Table3[[#This Row],[Country Code]],Table29[],4,FALSE)</f>
        <v>Asia</v>
      </c>
      <c r="X1046" s="233" t="str">
        <f>VLOOKUP(Table3[[#This Row],[Country Code]],Table29[],5,FALSE)</f>
        <v>High-income</v>
      </c>
      <c r="Y1046" s="233" t="str">
        <f>VLOOKUP(Table3[[#This Row],[Country Code]],Table29[],6,FALSE)</f>
        <v>G20</v>
      </c>
      <c r="Z1046" s="233" t="str">
        <f>VLOOKUP(Table3[[#This Row],[Country Code]],Table29[],7,FALSE)</f>
        <v>G7</v>
      </c>
      <c r="AA1046" s="233" t="str">
        <f>VLOOKUP(Table3[[#This Row],[Country Code]],Table29[],8,FALSE)</f>
        <v>OECD</v>
      </c>
      <c r="AB1046" s="233" t="str">
        <f>VLOOKUP(Table3[[#This Row],[Country Code]],Table29[],9,FALSE)</f>
        <v>no</v>
      </c>
      <c r="AC1046" s="233" t="str">
        <f>VLOOKUP(Table3[[#This Row],[Country Code]],Table29[],10,FALSE)</f>
        <v>no</v>
      </c>
      <c r="AD1046" s="235">
        <f>VLOOKUP(Table3[[#This Row],[Country Code]],Table29[],23,FALSE)</f>
        <v>1041.0128248686999</v>
      </c>
      <c r="AE1046" s="235">
        <f>VLOOKUP(Table3[[#This Row],[Country Code]],Table29[],24,FALSE)</f>
        <v>181.96191357547141</v>
      </c>
      <c r="AF1046" s="42"/>
    </row>
    <row r="1047" spans="1:32" x14ac:dyDescent="0.25">
      <c r="A1047" s="360">
        <v>17628</v>
      </c>
      <c r="B1047" s="233" t="str">
        <f>VLOOKUP(Table3[[#This Row],[Document ID]],Table1[],2,FALSE)</f>
        <v>JPN</v>
      </c>
      <c r="C1047" s="233" t="str">
        <f>VLOOKUP(Table3[[#This Row],[Document ID]],Table1[],3,FALSE)</f>
        <v>Japan</v>
      </c>
      <c r="D1047" s="233" t="str">
        <f>VLOOKUP(Table3[[#This Row],[Document ID]],Table1[],5,FALSE)</f>
        <v>NDC</v>
      </c>
      <c r="E1047" s="233" t="str">
        <f>VLOOKUP(Table3[[#This Row],[Document ID]],Table1[],7,FALSE)</f>
        <v>First NDC updated</v>
      </c>
      <c r="F1047" s="233" t="str">
        <f>VLOOKUP(Table3[[#This Row],[Document ID]],Table1[],8,FALSE)</f>
        <v>NDC 1.1</v>
      </c>
      <c r="G1047" s="233" t="str">
        <f>VLOOKUP(Table3[[#This Row],[Document ID]],Table1[],10,FALSE)</f>
        <v>Archived</v>
      </c>
      <c r="H1047" s="43" t="s">
        <v>1147</v>
      </c>
      <c r="I1047" s="43" t="s">
        <v>1089</v>
      </c>
      <c r="J1047" s="43" t="s">
        <v>1090</v>
      </c>
      <c r="K1047" s="28" t="s">
        <v>1121</v>
      </c>
      <c r="L1047" s="43" t="s">
        <v>1099</v>
      </c>
      <c r="M1047" s="209">
        <v>2050</v>
      </c>
      <c r="N1047" s="209" t="s">
        <v>2149</v>
      </c>
      <c r="O1047" s="258">
        <v>1</v>
      </c>
      <c r="P1047" s="238" t="str">
        <f>VLOOKUP(_xlfn.CONCAT(Table3[[#This Row],[Target area]],Table3[[#This Row],[GHG target?]],Table3[[#This Row],[Conditionality]]),'Drop down'!$E$81:$F$101,2,FALSE)</f>
        <v>T_Netzero_Unc</v>
      </c>
      <c r="Q1047" s="239" t="str">
        <f>VLOOKUP(Table3[[#This Row],[Target type]],Table418[[Value name]:[Value idenifyer]],2,FALSE)</f>
        <v>T_FL</v>
      </c>
      <c r="T1047" s="240"/>
      <c r="V1047" s="233" t="str">
        <f>VLOOKUP(Table3[[#This Row],[Country Code]],Table29[],3,FALSE)</f>
        <v>Annex I</v>
      </c>
      <c r="W1047" s="233" t="str">
        <f>VLOOKUP(Table3[[#This Row],[Country Code]],Table29[],4,FALSE)</f>
        <v>Asia</v>
      </c>
      <c r="X1047" s="233" t="str">
        <f>VLOOKUP(Table3[[#This Row],[Country Code]],Table29[],5,FALSE)</f>
        <v>High-income</v>
      </c>
      <c r="Y1047" s="233" t="str">
        <f>VLOOKUP(Table3[[#This Row],[Country Code]],Table29[],6,FALSE)</f>
        <v>G20</v>
      </c>
      <c r="Z1047" s="233" t="str">
        <f>VLOOKUP(Table3[[#This Row],[Country Code]],Table29[],7,FALSE)</f>
        <v>G7</v>
      </c>
      <c r="AA1047" s="233" t="str">
        <f>VLOOKUP(Table3[[#This Row],[Country Code]],Table29[],8,FALSE)</f>
        <v>OECD</v>
      </c>
      <c r="AB1047" s="233" t="str">
        <f>VLOOKUP(Table3[[#This Row],[Country Code]],Table29[],9,FALSE)</f>
        <v>no</v>
      </c>
      <c r="AC1047" s="233" t="str">
        <f>VLOOKUP(Table3[[#This Row],[Country Code]],Table29[],10,FALSE)</f>
        <v>no</v>
      </c>
      <c r="AD1047" s="235">
        <f>VLOOKUP(Table3[[#This Row],[Country Code]],Table29[],23,FALSE)</f>
        <v>1041.0128248686999</v>
      </c>
      <c r="AE1047" s="235">
        <f>VLOOKUP(Table3[[#This Row],[Country Code]],Table29[],24,FALSE)</f>
        <v>181.96191357547141</v>
      </c>
      <c r="AF1047" s="42"/>
    </row>
    <row r="1048" spans="1:32" x14ac:dyDescent="0.25">
      <c r="A1048" s="360">
        <v>39446</v>
      </c>
      <c r="B1048" s="233" t="str">
        <f>VLOOKUP(Table3[[#This Row],[Document ID]],Table1[],2,FALSE)</f>
        <v>KAZ</v>
      </c>
      <c r="C1048" s="233" t="str">
        <f>VLOOKUP(Table3[[#This Row],[Document ID]],Table1[],3,FALSE)</f>
        <v>Kazakhstan</v>
      </c>
      <c r="D1048" s="233" t="str">
        <f>VLOOKUP(Table3[[#This Row],[Document ID]],Table1[],5,FALSE)</f>
        <v>NDC</v>
      </c>
      <c r="E1048" s="233" t="str">
        <f>VLOOKUP(Table3[[#This Row],[Document ID]],Table1[],7,FALSE)</f>
        <v>First NDC updated</v>
      </c>
      <c r="F1048" s="233" t="str">
        <f>VLOOKUP(Table3[[#This Row],[Document ID]],Table1[],8,FALSE)</f>
        <v>NDC 1.1</v>
      </c>
      <c r="G1048" s="233" t="str">
        <f>VLOOKUP(Table3[[#This Row],[Document ID]],Table1[],10,FALSE)</f>
        <v>Active</v>
      </c>
      <c r="H1048" s="43" t="s">
        <v>1147</v>
      </c>
      <c r="I1048" s="43" t="s">
        <v>1089</v>
      </c>
      <c r="J1048" s="43" t="s">
        <v>1090</v>
      </c>
      <c r="K1048" s="28" t="s">
        <v>1121</v>
      </c>
      <c r="L1048" s="43" t="s">
        <v>1116</v>
      </c>
      <c r="M1048" s="209">
        <v>2060</v>
      </c>
      <c r="N1048" s="43" t="s">
        <v>2150</v>
      </c>
      <c r="O1048" s="258">
        <v>11</v>
      </c>
      <c r="P1048" s="238" t="str">
        <f>VLOOKUP(_xlfn.CONCAT(Table3[[#This Row],[Target area]],Table3[[#This Row],[GHG target?]],Table3[[#This Row],[Conditionality]]),'Drop down'!$E$81:$F$101,2,FALSE)</f>
        <v>T_Netzero</v>
      </c>
      <c r="Q1048" s="239" t="str">
        <f>VLOOKUP(Table3[[#This Row],[Target type]],Table418[[Value name]:[Value idenifyer]],2,FALSE)</f>
        <v>T_FL</v>
      </c>
      <c r="V1048" s="233" t="str">
        <f>VLOOKUP(Table3[[#This Row],[Country Code]],Table29[],3,FALSE)</f>
        <v>Non-Annex I</v>
      </c>
      <c r="W1048" s="233" t="str">
        <f>VLOOKUP(Table3[[#This Row],[Country Code]],Table29[],4,FALSE)</f>
        <v>Asia</v>
      </c>
      <c r="X1048" s="233" t="str">
        <f>VLOOKUP(Table3[[#This Row],[Country Code]],Table29[],5,FALSE)</f>
        <v>Middle-income</v>
      </c>
      <c r="Y1048" s="233" t="str">
        <f>VLOOKUP(Table3[[#This Row],[Country Code]],Table29[],6,FALSE)</f>
        <v>no</v>
      </c>
      <c r="Z1048" s="233" t="str">
        <f>VLOOKUP(Table3[[#This Row],[Country Code]],Table29[],7,FALSE)</f>
        <v>no</v>
      </c>
      <c r="AA1048" s="233" t="str">
        <f>VLOOKUP(Table3[[#This Row],[Country Code]],Table29[],8,FALSE)</f>
        <v>non-OECD</v>
      </c>
      <c r="AB1048" s="233" t="str">
        <f>VLOOKUP(Table3[[#This Row],[Country Code]],Table29[],9,FALSE)</f>
        <v>no</v>
      </c>
      <c r="AC1048" s="233" t="str">
        <f>VLOOKUP(Table3[[#This Row],[Country Code]],Table29[],10,FALSE)</f>
        <v>no</v>
      </c>
      <c r="AD1048" s="235">
        <f>VLOOKUP(Table3[[#This Row],[Country Code]],Table29[],23,FALSE)</f>
        <v>320.34998496393001</v>
      </c>
      <c r="AE1048" s="235">
        <f>VLOOKUP(Table3[[#This Row],[Country Code]],Table29[],24,FALSE)</f>
        <v>24.00450259503398</v>
      </c>
      <c r="AF1048" s="43"/>
    </row>
    <row r="1049" spans="1:32" x14ac:dyDescent="0.25">
      <c r="A1049" s="360">
        <v>42006</v>
      </c>
      <c r="B1049" s="233" t="str">
        <f>VLOOKUP(Table3[[#This Row],[Document ID]],Table1[],2,FALSE)</f>
        <v>MUS</v>
      </c>
      <c r="C1049" s="233" t="str">
        <f>VLOOKUP(Table3[[#This Row],[Document ID]],Table1[],3,FALSE)</f>
        <v>Mauritius</v>
      </c>
      <c r="D1049" s="233" t="str">
        <f>VLOOKUP(Table3[[#This Row],[Document ID]],Table1[],5,FALSE)</f>
        <v>Other</v>
      </c>
      <c r="E1049" s="233" t="str">
        <f>VLOOKUP(Table3[[#This Row],[Document ID]],Table1[],7,FALSE)</f>
        <v>WRI Net Zero Tracker</v>
      </c>
      <c r="F1049" s="233" t="str">
        <f>VLOOKUP(Table3[[#This Row],[Document ID]],Table1[],8,FALSE)</f>
        <v>NA</v>
      </c>
      <c r="G1049" s="233" t="str">
        <f>VLOOKUP(Table3[[#This Row],[Document ID]],Table1[],10,FALSE)</f>
        <v>Active</v>
      </c>
      <c r="H1049" s="43" t="s">
        <v>1147</v>
      </c>
      <c r="I1049" s="43" t="s">
        <v>1089</v>
      </c>
      <c r="J1049" s="43" t="s">
        <v>1090</v>
      </c>
      <c r="K1049" s="28" t="s">
        <v>1121</v>
      </c>
      <c r="L1049" s="43" t="s">
        <v>1116</v>
      </c>
      <c r="M1049" s="209">
        <v>2070</v>
      </c>
      <c r="N1049" s="43" t="s">
        <v>1683</v>
      </c>
      <c r="O1049" s="258"/>
      <c r="P1049" s="238" t="str">
        <f>VLOOKUP(_xlfn.CONCAT(Table3[[#This Row],[Target area]],Table3[[#This Row],[GHG target?]],Table3[[#This Row],[Conditionality]]),'Drop down'!$E$81:$F$101,2,FALSE)</f>
        <v>T_Netzero</v>
      </c>
      <c r="Q1049" s="239" t="str">
        <f>VLOOKUP(Table3[[#This Row],[Target type]],Table418[[Value name]:[Value idenifyer]],2,FALSE)</f>
        <v>T_FL</v>
      </c>
      <c r="V1049" s="233" t="str">
        <f>VLOOKUP(Table3[[#This Row],[Country Code]],Table29[],3,FALSE)</f>
        <v>Non-Annex I</v>
      </c>
      <c r="W1049" s="233" t="str">
        <f>VLOOKUP(Table3[[#This Row],[Country Code]],Table29[],4,FALSE)</f>
        <v>Africa</v>
      </c>
      <c r="X1049" s="233" t="str">
        <f>VLOOKUP(Table3[[#This Row],[Country Code]],Table29[],5,FALSE)</f>
        <v>Middle-income</v>
      </c>
      <c r="Y1049" s="233" t="str">
        <f>VLOOKUP(Table3[[#This Row],[Country Code]],Table29[],6,FALSE)</f>
        <v>no</v>
      </c>
      <c r="Z1049" s="233" t="str">
        <f>VLOOKUP(Table3[[#This Row],[Country Code]],Table29[],7,FALSE)</f>
        <v>no</v>
      </c>
      <c r="AA1049" s="233" t="str">
        <f>VLOOKUP(Table3[[#This Row],[Country Code]],Table29[],8,FALSE)</f>
        <v>non-OECD</v>
      </c>
      <c r="AB1049" s="233" t="str">
        <f>VLOOKUP(Table3[[#This Row],[Country Code]],Table29[],9,FALSE)</f>
        <v>no</v>
      </c>
      <c r="AC1049" s="233" t="str">
        <f>VLOOKUP(Table3[[#This Row],[Country Code]],Table29[],10,FALSE)</f>
        <v>no</v>
      </c>
      <c r="AD1049" s="235">
        <f>VLOOKUP(Table3[[#This Row],[Country Code]],Table29[],23,FALSE)</f>
        <v>6.1987377637868999</v>
      </c>
      <c r="AE1049" s="235">
        <f>VLOOKUP(Table3[[#This Row],[Country Code]],Table29[],24,FALSE)</f>
        <v>1.164355346283908</v>
      </c>
      <c r="AF1049" s="43"/>
    </row>
    <row r="1050" spans="1:32" x14ac:dyDescent="0.25">
      <c r="A1050" s="360">
        <v>20343</v>
      </c>
      <c r="B1050" s="233" t="str">
        <f>VLOOKUP(Table3[[#This Row],[Document ID]],Table1[],2,FALSE)</f>
        <v>LAO</v>
      </c>
      <c r="C1050" s="233" t="str">
        <f>VLOOKUP(Table3[[#This Row],[Document ID]],Table1[],3,FALSE)</f>
        <v>Lao People’s Democratic Republic</v>
      </c>
      <c r="D1050" s="233" t="str">
        <f>VLOOKUP(Table3[[#This Row],[Document ID]],Table1[],5,FALSE)</f>
        <v>NDC</v>
      </c>
      <c r="E1050" s="233" t="str">
        <f>VLOOKUP(Table3[[#This Row],[Document ID]],Table1[],7,FALSE)</f>
        <v>First NDC updated</v>
      </c>
      <c r="F1050" s="233" t="str">
        <f>VLOOKUP(Table3[[#This Row],[Document ID]],Table1[],8,FALSE)</f>
        <v>NDC 1.1</v>
      </c>
      <c r="G1050" s="233" t="str">
        <f>VLOOKUP(Table3[[#This Row],[Document ID]],Table1[],10,FALSE)</f>
        <v>Active</v>
      </c>
      <c r="H1050" s="43" t="s">
        <v>1147</v>
      </c>
      <c r="I1050" s="43" t="s">
        <v>1089</v>
      </c>
      <c r="J1050" s="43" t="s">
        <v>1090</v>
      </c>
      <c r="K1050" s="28" t="s">
        <v>1121</v>
      </c>
      <c r="L1050" s="43" t="s">
        <v>1116</v>
      </c>
      <c r="M1050" s="209">
        <v>2050</v>
      </c>
      <c r="N1050" s="43" t="s">
        <v>2151</v>
      </c>
      <c r="O1050" s="258">
        <v>1</v>
      </c>
      <c r="P1050" s="238" t="str">
        <f>VLOOKUP(_xlfn.CONCAT(Table3[[#This Row],[Target area]],Table3[[#This Row],[GHG target?]],Table3[[#This Row],[Conditionality]]),'Drop down'!$E$81:$F$101,2,FALSE)</f>
        <v>T_Netzero</v>
      </c>
      <c r="Q1050" s="239" t="str">
        <f>VLOOKUP(Table3[[#This Row],[Target type]],Table418[[Value name]:[Value idenifyer]],2,FALSE)</f>
        <v>T_FL</v>
      </c>
      <c r="T1050" s="240"/>
      <c r="V1050" s="233" t="str">
        <f>VLOOKUP(Table3[[#This Row],[Country Code]],Table29[],3,FALSE)</f>
        <v>Non-Annex I</v>
      </c>
      <c r="W1050" s="233" t="str">
        <f>VLOOKUP(Table3[[#This Row],[Country Code]],Table29[],4,FALSE)</f>
        <v>Asia</v>
      </c>
      <c r="X1050" s="233" t="str">
        <f>VLOOKUP(Table3[[#This Row],[Country Code]],Table29[],5,FALSE)</f>
        <v>Middle-income</v>
      </c>
      <c r="Y1050" s="233" t="str">
        <f>VLOOKUP(Table3[[#This Row],[Country Code]],Table29[],6,FALSE)</f>
        <v>no</v>
      </c>
      <c r="Z1050" s="233" t="str">
        <f>VLOOKUP(Table3[[#This Row],[Country Code]],Table29[],7,FALSE)</f>
        <v>no</v>
      </c>
      <c r="AA1050" s="233" t="str">
        <f>VLOOKUP(Table3[[#This Row],[Country Code]],Table29[],8,FALSE)</f>
        <v>non-OECD</v>
      </c>
      <c r="AB1050" s="233" t="str">
        <f>VLOOKUP(Table3[[#This Row],[Country Code]],Table29[],9,FALSE)</f>
        <v>no</v>
      </c>
      <c r="AC1050" s="233" t="str">
        <f>VLOOKUP(Table3[[#This Row],[Country Code]],Table29[],10,FALSE)</f>
        <v>no</v>
      </c>
      <c r="AD1050" s="235">
        <f>VLOOKUP(Table3[[#This Row],[Country Code]],Table29[],23,FALSE)</f>
        <v>42.056212706049003</v>
      </c>
      <c r="AE1050" s="235">
        <f>VLOOKUP(Table3[[#This Row],[Country Code]],Table29[],24,FALSE)</f>
        <v>2.7307302074001272</v>
      </c>
      <c r="AF1050" s="43"/>
    </row>
    <row r="1051" spans="1:32" ht="60" x14ac:dyDescent="0.25">
      <c r="A1051" s="360">
        <v>17638</v>
      </c>
      <c r="B1051" s="233" t="str">
        <f>VLOOKUP(Table3[[#This Row],[Document ID]],Table1[],2,FALSE)</f>
        <v>LVA</v>
      </c>
      <c r="C1051" s="233" t="str">
        <f>VLOOKUP(Table3[[#This Row],[Document ID]],Table1[],3,FALSE)</f>
        <v>Latvia</v>
      </c>
      <c r="D1051" s="233" t="str">
        <f>VLOOKUP(Table3[[#This Row],[Document ID]],Table1[],5,FALSE)</f>
        <v>LTS</v>
      </c>
      <c r="E1051" s="233" t="str">
        <f>VLOOKUP(Table3[[#This Row],[Document ID]],Table1[],7,FALSE)</f>
        <v>LTS</v>
      </c>
      <c r="F1051" s="233" t="str">
        <f>VLOOKUP(Table3[[#This Row],[Document ID]],Table1[],8,FALSE)</f>
        <v>LTS 1.0</v>
      </c>
      <c r="G1051" s="233" t="str">
        <f>VLOOKUP(Table3[[#This Row],[Document ID]],Table1[],10,FALSE)</f>
        <v>Active</v>
      </c>
      <c r="H1051" s="43" t="s">
        <v>1147</v>
      </c>
      <c r="I1051" s="43" t="s">
        <v>1089</v>
      </c>
      <c r="J1051" s="43" t="s">
        <v>1090</v>
      </c>
      <c r="K1051" s="28" t="s">
        <v>1121</v>
      </c>
      <c r="L1051" s="43" t="s">
        <v>1116</v>
      </c>
      <c r="M1051" s="209">
        <v>2050</v>
      </c>
      <c r="N1051" s="44" t="s">
        <v>1550</v>
      </c>
      <c r="O1051" s="258"/>
      <c r="P1051" s="238" t="str">
        <f>VLOOKUP(_xlfn.CONCAT(Table3[[#This Row],[Target area]],Table3[[#This Row],[GHG target?]],Table3[[#This Row],[Conditionality]]),'Drop down'!$E$81:$F$101,2,FALSE)</f>
        <v>T_Netzero</v>
      </c>
      <c r="Q1051" s="239" t="str">
        <f>VLOOKUP(Table3[[#This Row],[Target type]],Table418[[Value name]:[Value idenifyer]],2,FALSE)</f>
        <v>T_FL</v>
      </c>
      <c r="V1051" s="233" t="str">
        <f>VLOOKUP(Table3[[#This Row],[Country Code]],Table29[],3,FALSE)</f>
        <v>Annex I</v>
      </c>
      <c r="W1051" s="233" t="str">
        <f>VLOOKUP(Table3[[#This Row],[Country Code]],Table29[],4,FALSE)</f>
        <v>Europe</v>
      </c>
      <c r="X1051" s="233" t="str">
        <f>VLOOKUP(Table3[[#This Row],[Country Code]],Table29[],5,FALSE)</f>
        <v>High-income</v>
      </c>
      <c r="Y1051" s="233" t="str">
        <f>VLOOKUP(Table3[[#This Row],[Country Code]],Table29[],6,FALSE)</f>
        <v>no</v>
      </c>
      <c r="Z1051" s="233" t="str">
        <f>VLOOKUP(Table3[[#This Row],[Country Code]],Table29[],7,FALSE)</f>
        <v>no</v>
      </c>
      <c r="AA1051" s="233" t="str">
        <f>VLOOKUP(Table3[[#This Row],[Country Code]],Table29[],8,FALSE)</f>
        <v>OECD</v>
      </c>
      <c r="AB1051" s="233" t="str">
        <f>VLOOKUP(Table3[[#This Row],[Country Code]],Table29[],9,FALSE)</f>
        <v>EU27</v>
      </c>
      <c r="AC1051" s="233" t="str">
        <f>VLOOKUP(Table3[[#This Row],[Country Code]],Table29[],10,FALSE)</f>
        <v>no</v>
      </c>
      <c r="AD1051" s="235">
        <f>VLOOKUP(Table3[[#This Row],[Country Code]],Table29[],23,FALSE)</f>
        <v>10.957491923456001</v>
      </c>
      <c r="AE1051" s="235">
        <f>VLOOKUP(Table3[[#This Row],[Country Code]],Table29[],24,FALSE)</f>
        <v>3.102706195463615</v>
      </c>
      <c r="AF1051" s="43"/>
    </row>
    <row r="1052" spans="1:32" x14ac:dyDescent="0.25">
      <c r="A1052" s="360">
        <v>21432</v>
      </c>
      <c r="B1052" s="233" t="str">
        <f>VLOOKUP(Table3[[#This Row],[Document ID]],Table1[],2,FALSE)</f>
        <v>LBR</v>
      </c>
      <c r="C1052" s="233" t="str">
        <f>VLOOKUP(Table3[[#This Row],[Document ID]],Table1[],3,FALSE)</f>
        <v>Liberia</v>
      </c>
      <c r="D1052" s="233" t="str">
        <f>VLOOKUP(Table3[[#This Row],[Document ID]],Table1[],5,FALSE)</f>
        <v>NDC</v>
      </c>
      <c r="E1052" s="233" t="str">
        <f>VLOOKUP(Table3[[#This Row],[Document ID]],Table1[],7,FALSE)</f>
        <v>First NDC updated</v>
      </c>
      <c r="F1052" s="233" t="str">
        <f>VLOOKUP(Table3[[#This Row],[Document ID]],Table1[],8,FALSE)</f>
        <v>NDC 1.1</v>
      </c>
      <c r="G1052" s="233" t="str">
        <f>VLOOKUP(Table3[[#This Row],[Document ID]],Table1[],10,FALSE)</f>
        <v>Active</v>
      </c>
      <c r="H1052" s="43" t="s">
        <v>1147</v>
      </c>
      <c r="I1052" s="43" t="s">
        <v>1089</v>
      </c>
      <c r="J1052" s="43" t="s">
        <v>1090</v>
      </c>
      <c r="K1052" s="28" t="s">
        <v>1121</v>
      </c>
      <c r="L1052" s="43" t="s">
        <v>1116</v>
      </c>
      <c r="M1052" s="209">
        <v>2050</v>
      </c>
      <c r="N1052" s="44" t="s">
        <v>2152</v>
      </c>
      <c r="O1052" s="258">
        <v>1</v>
      </c>
      <c r="P1052" s="238" t="str">
        <f>VLOOKUP(_xlfn.CONCAT(Table3[[#This Row],[Target area]],Table3[[#This Row],[GHG target?]],Table3[[#This Row],[Conditionality]]),'Drop down'!$E$81:$F$101,2,FALSE)</f>
        <v>T_Netzero</v>
      </c>
      <c r="Q1052" s="239" t="str">
        <f>VLOOKUP(Table3[[#This Row],[Target type]],Table418[[Value name]:[Value idenifyer]],2,FALSE)</f>
        <v>T_FL</v>
      </c>
      <c r="V1052" s="233" t="str">
        <f>VLOOKUP(Table3[[#This Row],[Country Code]],Table29[],3,FALSE)</f>
        <v>Non-Annex I</v>
      </c>
      <c r="W1052" s="233" t="str">
        <f>VLOOKUP(Table3[[#This Row],[Country Code]],Table29[],4,FALSE)</f>
        <v>Africa</v>
      </c>
      <c r="X1052" s="233" t="str">
        <f>VLOOKUP(Table3[[#This Row],[Country Code]],Table29[],5,FALSE)</f>
        <v>Low-income</v>
      </c>
      <c r="Y1052" s="233" t="str">
        <f>VLOOKUP(Table3[[#This Row],[Country Code]],Table29[],6,FALSE)</f>
        <v>no</v>
      </c>
      <c r="Z1052" s="233" t="str">
        <f>VLOOKUP(Table3[[#This Row],[Country Code]],Table29[],7,FALSE)</f>
        <v>no</v>
      </c>
      <c r="AA1052" s="233" t="str">
        <f>VLOOKUP(Table3[[#This Row],[Country Code]],Table29[],8,FALSE)</f>
        <v>non-OECD</v>
      </c>
      <c r="AB1052" s="233" t="str">
        <f>VLOOKUP(Table3[[#This Row],[Country Code]],Table29[],9,FALSE)</f>
        <v>no</v>
      </c>
      <c r="AC1052" s="233" t="str">
        <f>VLOOKUP(Table3[[#This Row],[Country Code]],Table29[],10,FALSE)</f>
        <v>no</v>
      </c>
      <c r="AD1052" s="235">
        <f>VLOOKUP(Table3[[#This Row],[Country Code]],Table29[],23,FALSE)</f>
        <v>4.5323879353986003</v>
      </c>
      <c r="AE1052" s="235">
        <f>VLOOKUP(Table3[[#This Row],[Country Code]],Table29[],24,FALSE)</f>
        <v>0.82749853268205653</v>
      </c>
      <c r="AF1052" s="43"/>
    </row>
    <row r="1053" spans="1:32" x14ac:dyDescent="0.25">
      <c r="A1053" s="360">
        <v>17643</v>
      </c>
      <c r="B1053" s="233" t="str">
        <f>VLOOKUP(Table3[[#This Row],[Document ID]],Table1[],2,FALSE)</f>
        <v>LBR</v>
      </c>
      <c r="C1053" s="233" t="str">
        <f>VLOOKUP(Table3[[#This Row],[Document ID]],Table1[],3,FALSE)</f>
        <v>Liberia</v>
      </c>
      <c r="D1053" s="233" t="str">
        <f>VLOOKUP(Table3[[#This Row],[Document ID]],Table1[],5,FALSE)</f>
        <v>NDC</v>
      </c>
      <c r="E1053" s="233" t="str">
        <f>VLOOKUP(Table3[[#This Row],[Document ID]],Table1[],7,FALSE)</f>
        <v>First NDC</v>
      </c>
      <c r="F1053" s="233" t="str">
        <f>VLOOKUP(Table3[[#This Row],[Document ID]],Table1[],8,FALSE)</f>
        <v>NDC 1.0</v>
      </c>
      <c r="G1053" s="233" t="str">
        <f>VLOOKUP(Table3[[#This Row],[Document ID]],Table1[],10,FALSE)</f>
        <v>Archived</v>
      </c>
      <c r="H1053" s="43" t="s">
        <v>1147</v>
      </c>
      <c r="I1053" s="43" t="s">
        <v>1089</v>
      </c>
      <c r="J1053" s="43" t="s">
        <v>1090</v>
      </c>
      <c r="K1053" s="28" t="s">
        <v>1121</v>
      </c>
      <c r="L1053" s="43" t="s">
        <v>1116</v>
      </c>
      <c r="M1053" s="209">
        <v>2050</v>
      </c>
      <c r="N1053" s="176" t="s">
        <v>2153</v>
      </c>
      <c r="O1053" s="258">
        <v>4</v>
      </c>
      <c r="P1053" s="238" t="str">
        <f>VLOOKUP(_xlfn.CONCAT(Table3[[#This Row],[Target area]],Table3[[#This Row],[GHG target?]],Table3[[#This Row],[Conditionality]]),'Drop down'!$E$81:$F$101,2,FALSE)</f>
        <v>T_Netzero</v>
      </c>
      <c r="Q1053" s="239" t="str">
        <f>VLOOKUP(Table3[[#This Row],[Target type]],Table418[[Value name]:[Value idenifyer]],2,FALSE)</f>
        <v>T_FL</v>
      </c>
      <c r="V1053" s="233" t="str">
        <f>VLOOKUP(Table3[[#This Row],[Country Code]],Table29[],3,FALSE)</f>
        <v>Non-Annex I</v>
      </c>
      <c r="W1053" s="233" t="str">
        <f>VLOOKUP(Table3[[#This Row],[Country Code]],Table29[],4,FALSE)</f>
        <v>Africa</v>
      </c>
      <c r="X1053" s="233" t="str">
        <f>VLOOKUP(Table3[[#This Row],[Country Code]],Table29[],5,FALSE)</f>
        <v>Low-income</v>
      </c>
      <c r="Y1053" s="233" t="str">
        <f>VLOOKUP(Table3[[#This Row],[Country Code]],Table29[],6,FALSE)</f>
        <v>no</v>
      </c>
      <c r="Z1053" s="233" t="str">
        <f>VLOOKUP(Table3[[#This Row],[Country Code]],Table29[],7,FALSE)</f>
        <v>no</v>
      </c>
      <c r="AA1053" s="233" t="str">
        <f>VLOOKUP(Table3[[#This Row],[Country Code]],Table29[],8,FALSE)</f>
        <v>non-OECD</v>
      </c>
      <c r="AB1053" s="233" t="str">
        <f>VLOOKUP(Table3[[#This Row],[Country Code]],Table29[],9,FALSE)</f>
        <v>no</v>
      </c>
      <c r="AC1053" s="233" t="str">
        <f>VLOOKUP(Table3[[#This Row],[Country Code]],Table29[],10,FALSE)</f>
        <v>no</v>
      </c>
      <c r="AD1053" s="235">
        <f>VLOOKUP(Table3[[#This Row],[Country Code]],Table29[],23,FALSE)</f>
        <v>4.5323879353986003</v>
      </c>
      <c r="AE1053" s="235">
        <f>VLOOKUP(Table3[[#This Row],[Country Code]],Table29[],24,FALSE)</f>
        <v>0.82749853268205653</v>
      </c>
      <c r="AF1053" s="43"/>
    </row>
    <row r="1054" spans="1:32" ht="30" x14ac:dyDescent="0.25">
      <c r="A1054" s="360">
        <v>32505</v>
      </c>
      <c r="B1054" s="233" t="str">
        <f>VLOOKUP(Table3[[#This Row],[Document ID]],Table1[],2,FALSE)</f>
        <v>LTU</v>
      </c>
      <c r="C1054" s="233" t="str">
        <f>VLOOKUP(Table3[[#This Row],[Document ID]],Table1[],3,FALSE)</f>
        <v>Lithuania</v>
      </c>
      <c r="D1054" s="233" t="str">
        <f>VLOOKUP(Table3[[#This Row],[Document ID]],Table1[],5,FALSE)</f>
        <v>LTS</v>
      </c>
      <c r="E1054" s="233" t="str">
        <f>VLOOKUP(Table3[[#This Row],[Document ID]],Table1[],7,FALSE)</f>
        <v>EU-LTS</v>
      </c>
      <c r="F1054" s="233" t="str">
        <f>VLOOKUP(Table3[[#This Row],[Document ID]],Table1[],8,FALSE)</f>
        <v>LTS 1.0</v>
      </c>
      <c r="G1054" s="233" t="str">
        <f>VLOOKUP(Table3[[#This Row],[Document ID]],Table1[],10,FALSE)</f>
        <v>Active</v>
      </c>
      <c r="H1054" s="43" t="s">
        <v>1147</v>
      </c>
      <c r="I1054" s="43" t="s">
        <v>1089</v>
      </c>
      <c r="J1054" s="43" t="s">
        <v>1090</v>
      </c>
      <c r="K1054" s="28" t="s">
        <v>1121</v>
      </c>
      <c r="L1054" s="43" t="s">
        <v>1116</v>
      </c>
      <c r="M1054" s="209">
        <v>2050</v>
      </c>
      <c r="N1054" s="44" t="s">
        <v>2154</v>
      </c>
      <c r="O1054" s="258"/>
      <c r="P1054" s="238" t="str">
        <f>VLOOKUP(_xlfn.CONCAT(Table3[[#This Row],[Target area]],Table3[[#This Row],[GHG target?]],Table3[[#This Row],[Conditionality]]),'Drop down'!$E$81:$F$101,2,FALSE)</f>
        <v>T_Netzero</v>
      </c>
      <c r="Q1054" s="239" t="str">
        <f>VLOOKUP(Table3[[#This Row],[Target type]],Table418[[Value name]:[Value idenifyer]],2,FALSE)</f>
        <v>T_FL</v>
      </c>
      <c r="V1054" s="233" t="str">
        <f>VLOOKUP(Table3[[#This Row],[Country Code]],Table29[],3,FALSE)</f>
        <v>Annex I</v>
      </c>
      <c r="W1054" s="233" t="str">
        <f>VLOOKUP(Table3[[#This Row],[Country Code]],Table29[],4,FALSE)</f>
        <v>Europe</v>
      </c>
      <c r="X1054" s="233" t="str">
        <f>VLOOKUP(Table3[[#This Row],[Country Code]],Table29[],5,FALSE)</f>
        <v>High-income</v>
      </c>
      <c r="Y1054" s="233" t="str">
        <f>VLOOKUP(Table3[[#This Row],[Country Code]],Table29[],6,FALSE)</f>
        <v>no</v>
      </c>
      <c r="Z1054" s="233" t="str">
        <f>VLOOKUP(Table3[[#This Row],[Country Code]],Table29[],7,FALSE)</f>
        <v>no</v>
      </c>
      <c r="AA1054" s="233" t="str">
        <f>VLOOKUP(Table3[[#This Row],[Country Code]],Table29[],8,FALSE)</f>
        <v>OECD</v>
      </c>
      <c r="AB1054" s="233" t="str">
        <f>VLOOKUP(Table3[[#This Row],[Country Code]],Table29[],9,FALSE)</f>
        <v>EU27</v>
      </c>
      <c r="AC1054" s="233" t="str">
        <f>VLOOKUP(Table3[[#This Row],[Country Code]],Table29[],10,FALSE)</f>
        <v>no</v>
      </c>
      <c r="AD1054" s="235">
        <f>VLOOKUP(Table3[[#This Row],[Country Code]],Table29[],23,FALSE)</f>
        <v>20.683656998446001</v>
      </c>
      <c r="AE1054" s="235">
        <f>VLOOKUP(Table3[[#This Row],[Country Code]],Table29[],24,FALSE)</f>
        <v>6.2808070704944967</v>
      </c>
      <c r="AF1054" s="43"/>
    </row>
    <row r="1055" spans="1:32" x14ac:dyDescent="0.25">
      <c r="A1055" s="360">
        <v>26781</v>
      </c>
      <c r="B1055" s="233" t="str">
        <f>VLOOKUP(Table3[[#This Row],[Document ID]],Table1[],2,FALSE)</f>
        <v>LUX</v>
      </c>
      <c r="C1055" s="233" t="str">
        <f>VLOOKUP(Table3[[#This Row],[Document ID]],Table1[],3,FALSE)</f>
        <v>Luxembourg</v>
      </c>
      <c r="D1055" s="233" t="str">
        <f>VLOOKUP(Table3[[#This Row],[Document ID]],Table1[],5,FALSE)</f>
        <v>LTS</v>
      </c>
      <c r="E1055" s="233" t="str">
        <f>VLOOKUP(Table3[[#This Row],[Document ID]],Table1[],7,FALSE)</f>
        <v>LTS</v>
      </c>
      <c r="F1055" s="233" t="str">
        <f>VLOOKUP(Table3[[#This Row],[Document ID]],Table1[],8,FALSE)</f>
        <v>LTS 1.0</v>
      </c>
      <c r="G1055" s="233" t="str">
        <f>VLOOKUP(Table3[[#This Row],[Document ID]],Table1[],10,FALSE)</f>
        <v>Active</v>
      </c>
      <c r="H1055" s="43" t="s">
        <v>1147</v>
      </c>
      <c r="I1055" s="43" t="s">
        <v>1089</v>
      </c>
      <c r="J1055" s="43" t="s">
        <v>1090</v>
      </c>
      <c r="K1055" s="28" t="s">
        <v>1121</v>
      </c>
      <c r="L1055" s="43" t="s">
        <v>1116</v>
      </c>
      <c r="M1055" s="209">
        <v>2050</v>
      </c>
      <c r="N1055" s="44" t="s">
        <v>1585</v>
      </c>
      <c r="O1055" s="258"/>
      <c r="P1055" s="238" t="str">
        <f>VLOOKUP(_xlfn.CONCAT(Table3[[#This Row],[Target area]],Table3[[#This Row],[GHG target?]],Table3[[#This Row],[Conditionality]]),'Drop down'!$E$81:$F$101,2,FALSE)</f>
        <v>T_Netzero</v>
      </c>
      <c r="Q1055" s="239" t="str">
        <f>VLOOKUP(Table3[[#This Row],[Target type]],Table418[[Value name]:[Value idenifyer]],2,FALSE)</f>
        <v>T_FL</v>
      </c>
      <c r="V1055" s="233" t="str">
        <f>VLOOKUP(Table3[[#This Row],[Country Code]],Table29[],3,FALSE)</f>
        <v>Annex I</v>
      </c>
      <c r="W1055" s="233" t="str">
        <f>VLOOKUP(Table3[[#This Row],[Country Code]],Table29[],4,FALSE)</f>
        <v>Europe</v>
      </c>
      <c r="X1055" s="233" t="str">
        <f>VLOOKUP(Table3[[#This Row],[Country Code]],Table29[],5,FALSE)</f>
        <v>High-income</v>
      </c>
      <c r="Y1055" s="233" t="str">
        <f>VLOOKUP(Table3[[#This Row],[Country Code]],Table29[],6,FALSE)</f>
        <v>no</v>
      </c>
      <c r="Z1055" s="233" t="str">
        <f>VLOOKUP(Table3[[#This Row],[Country Code]],Table29[],7,FALSE)</f>
        <v>no</v>
      </c>
      <c r="AA1055" s="233" t="str">
        <f>VLOOKUP(Table3[[#This Row],[Country Code]],Table29[],8,FALSE)</f>
        <v>OECD</v>
      </c>
      <c r="AB1055" s="233" t="str">
        <f>VLOOKUP(Table3[[#This Row],[Country Code]],Table29[],9,FALSE)</f>
        <v>EU27</v>
      </c>
      <c r="AC1055" s="233" t="str">
        <f>VLOOKUP(Table3[[#This Row],[Country Code]],Table29[],10,FALSE)</f>
        <v>no</v>
      </c>
      <c r="AD1055" s="235">
        <f>VLOOKUP(Table3[[#This Row],[Country Code]],Table29[],23,FALSE)</f>
        <v>7.8609330392057002</v>
      </c>
      <c r="AE1055" s="235">
        <f>VLOOKUP(Table3[[#This Row],[Country Code]],Table29[],24,FALSE)</f>
        <v>4.2423658408849461</v>
      </c>
      <c r="AF1055" s="43"/>
    </row>
    <row r="1056" spans="1:32" ht="30" x14ac:dyDescent="0.25">
      <c r="A1056" s="360">
        <v>42007</v>
      </c>
      <c r="B1056" s="233" t="str">
        <f>VLOOKUP(Table3[[#This Row],[Document ID]],Table1[],2,FALSE)</f>
        <v>MWI</v>
      </c>
      <c r="C1056" s="233" t="str">
        <f>VLOOKUP(Table3[[#This Row],[Document ID]],Table1[],3,FALSE)</f>
        <v>Malawi</v>
      </c>
      <c r="D1056" s="233" t="str">
        <f>VLOOKUP(Table3[[#This Row],[Document ID]],Table1[],5,FALSE)</f>
        <v>Other</v>
      </c>
      <c r="E1056" s="233" t="str">
        <f>VLOOKUP(Table3[[#This Row],[Document ID]],Table1[],7,FALSE)</f>
        <v>WRI Net Zero Tracker</v>
      </c>
      <c r="F1056" s="233" t="str">
        <f>VLOOKUP(Table3[[#This Row],[Document ID]],Table1[],8,FALSE)</f>
        <v>NA</v>
      </c>
      <c r="G1056" s="233" t="str">
        <f>VLOOKUP(Table3[[#This Row],[Document ID]],Table1[],10,FALSE)</f>
        <v>Active</v>
      </c>
      <c r="H1056" s="43" t="s">
        <v>1147</v>
      </c>
      <c r="I1056" s="43" t="s">
        <v>1089</v>
      </c>
      <c r="J1056" s="43" t="s">
        <v>1090</v>
      </c>
      <c r="K1056" s="28" t="s">
        <v>1121</v>
      </c>
      <c r="L1056" s="43" t="s">
        <v>1116</v>
      </c>
      <c r="M1056" s="209">
        <v>2050</v>
      </c>
      <c r="N1056" s="44" t="s">
        <v>2155</v>
      </c>
      <c r="O1056" s="258"/>
      <c r="P1056" s="238" t="str">
        <f>VLOOKUP(_xlfn.CONCAT(Table3[[#This Row],[Target area]],Table3[[#This Row],[GHG target?]],Table3[[#This Row],[Conditionality]]),'Drop down'!$E$81:$F$101,2,FALSE)</f>
        <v>T_Netzero</v>
      </c>
      <c r="Q1056" s="239" t="str">
        <f>VLOOKUP(Table3[[#This Row],[Target type]],Table418[[Value name]:[Value idenifyer]],2,FALSE)</f>
        <v>T_FL</v>
      </c>
      <c r="V1056" s="233" t="str">
        <f>VLOOKUP(Table3[[#This Row],[Country Code]],Table29[],3,FALSE)</f>
        <v>Non-Annex I</v>
      </c>
      <c r="W1056" s="233" t="str">
        <f>VLOOKUP(Table3[[#This Row],[Country Code]],Table29[],4,FALSE)</f>
        <v>Africa</v>
      </c>
      <c r="X1056" s="233" t="str">
        <f>VLOOKUP(Table3[[#This Row],[Country Code]],Table29[],5,FALSE)</f>
        <v>Low-income</v>
      </c>
      <c r="Y1056" s="233" t="str">
        <f>VLOOKUP(Table3[[#This Row],[Country Code]],Table29[],6,FALSE)</f>
        <v>no</v>
      </c>
      <c r="Z1056" s="233" t="str">
        <f>VLOOKUP(Table3[[#This Row],[Country Code]],Table29[],7,FALSE)</f>
        <v>no</v>
      </c>
      <c r="AA1056" s="233" t="str">
        <f>VLOOKUP(Table3[[#This Row],[Country Code]],Table29[],8,FALSE)</f>
        <v>non-OECD</v>
      </c>
      <c r="AB1056" s="233" t="str">
        <f>VLOOKUP(Table3[[#This Row],[Country Code]],Table29[],9,FALSE)</f>
        <v>no</v>
      </c>
      <c r="AC1056" s="233" t="str">
        <f>VLOOKUP(Table3[[#This Row],[Country Code]],Table29[],10,FALSE)</f>
        <v>no</v>
      </c>
      <c r="AD1056" s="235">
        <f>VLOOKUP(Table3[[#This Row],[Country Code]],Table29[],23,FALSE)</f>
        <v>19.714051394182</v>
      </c>
      <c r="AE1056" s="235">
        <f>VLOOKUP(Table3[[#This Row],[Country Code]],Table29[],24,FALSE)</f>
        <v>0.78331093542905961</v>
      </c>
      <c r="AF1056" s="43"/>
    </row>
    <row r="1057" spans="1:32" s="299" customFormat="1" ht="30" x14ac:dyDescent="0.25">
      <c r="A1057" s="360">
        <v>42010</v>
      </c>
      <c r="B1057" s="233" t="str">
        <f>VLOOKUP(Table3[[#This Row],[Document ID]],Table1[],2,FALSE)</f>
        <v>MYS</v>
      </c>
      <c r="C1057" s="233" t="str">
        <f>VLOOKUP(Table3[[#This Row],[Document ID]],Table1[],3,FALSE)</f>
        <v>Malaysia</v>
      </c>
      <c r="D1057" s="290" t="str">
        <f>VLOOKUP(Table3[[#This Row],[Document ID]],Table1[],5,FALSE)</f>
        <v>National policy document</v>
      </c>
      <c r="E1057" s="233" t="str">
        <f>VLOOKUP(Table3[[#This Row],[Document ID]],Table1[],7,FALSE)</f>
        <v>National policy document</v>
      </c>
      <c r="F1057" s="290" t="str">
        <f>VLOOKUP(Table3[[#This Row],[Document ID]],Table1[],8,FALSE)</f>
        <v>NA</v>
      </c>
      <c r="G1057" s="233" t="str">
        <f>VLOOKUP(Table3[[#This Row],[Document ID]],Table1[],10,FALSE)</f>
        <v>Active</v>
      </c>
      <c r="H1057" s="291" t="s">
        <v>1147</v>
      </c>
      <c r="I1057" s="43" t="s">
        <v>1089</v>
      </c>
      <c r="J1057" s="291" t="s">
        <v>1090</v>
      </c>
      <c r="K1057" s="292" t="s">
        <v>1121</v>
      </c>
      <c r="L1057" s="43" t="s">
        <v>1116</v>
      </c>
      <c r="M1057" s="293" t="s">
        <v>2156</v>
      </c>
      <c r="N1057" s="291"/>
      <c r="O1057" s="295"/>
      <c r="P1057" s="238" t="str">
        <f>VLOOKUP(_xlfn.CONCAT(Table3[[#This Row],[Target area]],Table3[[#This Row],[GHG target?]],Table3[[#This Row],[Conditionality]]),'Drop down'!$E$81:$F$101,2,FALSE)</f>
        <v>T_Netzero</v>
      </c>
      <c r="Q1057" s="239" t="str">
        <f>VLOOKUP(Table3[[#This Row],[Target type]],Table418[[Value name]:[Value idenifyer]],2,FALSE)</f>
        <v>T_FL</v>
      </c>
      <c r="R1057" s="290"/>
      <c r="S1057" s="290"/>
      <c r="T1057" s="297"/>
      <c r="U1057" s="297"/>
      <c r="V1057" s="233" t="str">
        <f>VLOOKUP(Table3[[#This Row],[Country Code]],Table29[],3,FALSE)</f>
        <v>Non-Annex I</v>
      </c>
      <c r="W1057" s="290" t="str">
        <f>VLOOKUP(Table3[[#This Row],[Country Code]],Table29[],4,FALSE)</f>
        <v>Asia</v>
      </c>
      <c r="X1057" s="290" t="str">
        <f>VLOOKUP(Table3[[#This Row],[Country Code]],Table29[],5,FALSE)</f>
        <v>Middle-income</v>
      </c>
      <c r="Y1057" s="290" t="str">
        <f>VLOOKUP(Table3[[#This Row],[Country Code]],Table29[],6,FALSE)</f>
        <v>no</v>
      </c>
      <c r="Z1057" s="290" t="str">
        <f>VLOOKUP(Table3[[#This Row],[Country Code]],Table29[],7,FALSE)</f>
        <v>no</v>
      </c>
      <c r="AA1057" s="290" t="str">
        <f>VLOOKUP(Table3[[#This Row],[Country Code]],Table29[],8,FALSE)</f>
        <v>non-OECD</v>
      </c>
      <c r="AB1057" s="290" t="str">
        <f>VLOOKUP(Table3[[#This Row],[Country Code]],Table29[],9,FALSE)</f>
        <v>no</v>
      </c>
      <c r="AC1057" s="290" t="str">
        <f>VLOOKUP(Table3[[#This Row],[Country Code]],Table29[],10,FALSE)</f>
        <v>no</v>
      </c>
      <c r="AD1057" s="298">
        <f>VLOOKUP(Table3[[#This Row],[Country Code]],Table29[],23,FALSE)</f>
        <v>325.40584765841999</v>
      </c>
      <c r="AE1057" s="298">
        <f>VLOOKUP(Table3[[#This Row],[Country Code]],Table29[],24,FALSE)</f>
        <v>67.382333718297971</v>
      </c>
      <c r="AF1057" s="291" t="s">
        <v>2157</v>
      </c>
    </row>
    <row r="1058" spans="1:32" x14ac:dyDescent="0.25">
      <c r="A1058" s="360">
        <v>17652</v>
      </c>
      <c r="B1058" s="233" t="str">
        <f>VLOOKUP(Table3[[#This Row],[Document ID]],Table1[],2,FALSE)</f>
        <v>MDV</v>
      </c>
      <c r="C1058" s="233" t="str">
        <f>VLOOKUP(Table3[[#This Row],[Document ID]],Table1[],3,FALSE)</f>
        <v>Maldives</v>
      </c>
      <c r="D1058" s="233" t="str">
        <f>VLOOKUP(Table3[[#This Row],[Document ID]],Table1[],5,FALSE)</f>
        <v>NDC</v>
      </c>
      <c r="E1058" s="233" t="str">
        <f>VLOOKUP(Table3[[#This Row],[Document ID]],Table1[],7,FALSE)</f>
        <v>First NDC updated</v>
      </c>
      <c r="F1058" s="233" t="str">
        <f>VLOOKUP(Table3[[#This Row],[Document ID]],Table1[],8,FALSE)</f>
        <v>NDC 1.1</v>
      </c>
      <c r="G1058" s="233" t="str">
        <f>VLOOKUP(Table3[[#This Row],[Document ID]],Table1[],10,FALSE)</f>
        <v>Archived</v>
      </c>
      <c r="H1058" s="43" t="s">
        <v>1147</v>
      </c>
      <c r="I1058" s="43" t="s">
        <v>1089</v>
      </c>
      <c r="J1058" s="43" t="s">
        <v>1090</v>
      </c>
      <c r="K1058" s="28" t="s">
        <v>1121</v>
      </c>
      <c r="L1058" s="43" t="s">
        <v>1116</v>
      </c>
      <c r="M1058" s="209">
        <v>2030</v>
      </c>
      <c r="N1058" s="44" t="s">
        <v>2158</v>
      </c>
      <c r="O1058" s="258" t="s">
        <v>2159</v>
      </c>
      <c r="P1058" s="238" t="str">
        <f>VLOOKUP(_xlfn.CONCAT(Table3[[#This Row],[Target area]],Table3[[#This Row],[GHG target?]],Table3[[#This Row],[Conditionality]]),'Drop down'!$E$81:$F$101,2,FALSE)</f>
        <v>T_Netzero</v>
      </c>
      <c r="Q1058" s="239" t="str">
        <f>VLOOKUP(Table3[[#This Row],[Target type]],Table418[[Value name]:[Value idenifyer]],2,FALSE)</f>
        <v>T_FL</v>
      </c>
      <c r="V1058" s="233" t="str">
        <f>VLOOKUP(Table3[[#This Row],[Country Code]],Table29[],3,FALSE)</f>
        <v>Non-Annex I</v>
      </c>
      <c r="W1058" s="233" t="str">
        <f>VLOOKUP(Table3[[#This Row],[Country Code]],Table29[],4,FALSE)</f>
        <v>Asia</v>
      </c>
      <c r="X1058" s="233" t="str">
        <f>VLOOKUP(Table3[[#This Row],[Country Code]],Table29[],5,FALSE)</f>
        <v>Middle-income</v>
      </c>
      <c r="Y1058" s="233" t="str">
        <f>VLOOKUP(Table3[[#This Row],[Country Code]],Table29[],6,FALSE)</f>
        <v>no</v>
      </c>
      <c r="Z1058" s="233" t="str">
        <f>VLOOKUP(Table3[[#This Row],[Country Code]],Table29[],7,FALSE)</f>
        <v>no</v>
      </c>
      <c r="AA1058" s="233" t="str">
        <f>VLOOKUP(Table3[[#This Row],[Country Code]],Table29[],8,FALSE)</f>
        <v>non-OECD</v>
      </c>
      <c r="AB1058" s="233" t="str">
        <f>VLOOKUP(Table3[[#This Row],[Country Code]],Table29[],9,FALSE)</f>
        <v>no</v>
      </c>
      <c r="AC1058" s="233" t="str">
        <f>VLOOKUP(Table3[[#This Row],[Country Code]],Table29[],10,FALSE)</f>
        <v>no</v>
      </c>
      <c r="AD1058" s="235">
        <f>VLOOKUP(Table3[[#This Row],[Country Code]],Table29[],23,FALSE)</f>
        <v>3.0879519663505</v>
      </c>
      <c r="AE1058" s="235">
        <f>VLOOKUP(Table3[[#This Row],[Country Code]],Table29[],24,FALSE)</f>
        <v>1.4972669707005819</v>
      </c>
      <c r="AF1058" s="43"/>
    </row>
    <row r="1059" spans="1:32" ht="30" x14ac:dyDescent="0.25">
      <c r="A1059" s="360">
        <v>26782</v>
      </c>
      <c r="B1059" s="233" t="str">
        <f>VLOOKUP(Table3[[#This Row],[Document ID]],Table1[],2,FALSE)</f>
        <v>MLT</v>
      </c>
      <c r="C1059" s="233" t="str">
        <f>VLOOKUP(Table3[[#This Row],[Document ID]],Table1[],3,FALSE)</f>
        <v>Malta</v>
      </c>
      <c r="D1059" s="233" t="str">
        <f>VLOOKUP(Table3[[#This Row],[Document ID]],Table1[],5,FALSE)</f>
        <v>LTS</v>
      </c>
      <c r="E1059" s="233" t="str">
        <f>VLOOKUP(Table3[[#This Row],[Document ID]],Table1[],7,FALSE)</f>
        <v>LTS</v>
      </c>
      <c r="F1059" s="233" t="str">
        <f>VLOOKUP(Table3[[#This Row],[Document ID]],Table1[],8,FALSE)</f>
        <v>LTS 1.0</v>
      </c>
      <c r="G1059" s="233" t="str">
        <f>VLOOKUP(Table3[[#This Row],[Document ID]],Table1[],10,FALSE)</f>
        <v>Active</v>
      </c>
      <c r="H1059" s="43" t="s">
        <v>1147</v>
      </c>
      <c r="I1059" s="43" t="s">
        <v>1089</v>
      </c>
      <c r="J1059" s="43" t="s">
        <v>1090</v>
      </c>
      <c r="K1059" s="28" t="s">
        <v>1121</v>
      </c>
      <c r="L1059" s="43" t="s">
        <v>1116</v>
      </c>
      <c r="M1059" s="209">
        <v>2050</v>
      </c>
      <c r="N1059" s="44" t="s">
        <v>1606</v>
      </c>
      <c r="O1059" s="258">
        <v>20</v>
      </c>
      <c r="P1059" s="238" t="str">
        <f>VLOOKUP(_xlfn.CONCAT(Table3[[#This Row],[Target area]],Table3[[#This Row],[GHG target?]],Table3[[#This Row],[Conditionality]]),'Drop down'!$E$81:$F$101,2,FALSE)</f>
        <v>T_Netzero</v>
      </c>
      <c r="Q1059" s="239" t="str">
        <f>VLOOKUP(Table3[[#This Row],[Target type]],Table418[[Value name]:[Value idenifyer]],2,FALSE)</f>
        <v>T_FL</v>
      </c>
      <c r="V1059" s="233" t="str">
        <f>VLOOKUP(Table3[[#This Row],[Country Code]],Table29[],3,FALSE)</f>
        <v>Annex I</v>
      </c>
      <c r="W1059" s="233" t="str">
        <f>VLOOKUP(Table3[[#This Row],[Country Code]],Table29[],4,FALSE)</f>
        <v>Europe</v>
      </c>
      <c r="X1059" s="233" t="str">
        <f>VLOOKUP(Table3[[#This Row],[Country Code]],Table29[],5,FALSE)</f>
        <v>High-income</v>
      </c>
      <c r="Y1059" s="233" t="str">
        <f>VLOOKUP(Table3[[#This Row],[Country Code]],Table29[],6,FALSE)</f>
        <v>no</v>
      </c>
      <c r="Z1059" s="233" t="str">
        <f>VLOOKUP(Table3[[#This Row],[Country Code]],Table29[],7,FALSE)</f>
        <v>no</v>
      </c>
      <c r="AA1059" s="233" t="str">
        <f>VLOOKUP(Table3[[#This Row],[Country Code]],Table29[],8,FALSE)</f>
        <v>non-OECD</v>
      </c>
      <c r="AB1059" s="233" t="str">
        <f>VLOOKUP(Table3[[#This Row],[Country Code]],Table29[],9,FALSE)</f>
        <v>EU27</v>
      </c>
      <c r="AC1059" s="233" t="str">
        <f>VLOOKUP(Table3[[#This Row],[Country Code]],Table29[],10,FALSE)</f>
        <v>no</v>
      </c>
      <c r="AD1059" s="235">
        <f>VLOOKUP(Table3[[#This Row],[Country Code]],Table29[],23,FALSE)</f>
        <v>2.0338652584277002</v>
      </c>
      <c r="AE1059" s="235">
        <f>VLOOKUP(Table3[[#This Row],[Country Code]],Table29[],24,FALSE)</f>
        <v>0.73042728349636687</v>
      </c>
      <c r="AF1059" s="43"/>
    </row>
    <row r="1060" spans="1:32" x14ac:dyDescent="0.25">
      <c r="A1060" s="360">
        <v>17656</v>
      </c>
      <c r="B1060" s="233" t="str">
        <f>VLOOKUP(Table3[[#This Row],[Document ID]],Table1[],2,FALSE)</f>
        <v>MHL</v>
      </c>
      <c r="C1060" s="233" t="str">
        <f>VLOOKUP(Table3[[#This Row],[Document ID]],Table1[],3,FALSE)</f>
        <v>Marshall Islands</v>
      </c>
      <c r="D1060" s="233" t="str">
        <f>VLOOKUP(Table3[[#This Row],[Document ID]],Table1[],5,FALSE)</f>
        <v>NDC</v>
      </c>
      <c r="E1060" s="233" t="str">
        <f>VLOOKUP(Table3[[#This Row],[Document ID]],Table1[],7,FALSE)</f>
        <v>Second NDC</v>
      </c>
      <c r="F1060" s="233" t="str">
        <f>VLOOKUP(Table3[[#This Row],[Document ID]],Table1[],8,FALSE)</f>
        <v>NDC 2.0</v>
      </c>
      <c r="G1060" s="233" t="str">
        <f>VLOOKUP(Table3[[#This Row],[Document ID]],Table1[],10,FALSE)</f>
        <v>Archived</v>
      </c>
      <c r="H1060" s="43" t="s">
        <v>1147</v>
      </c>
      <c r="I1060" s="43" t="s">
        <v>1089</v>
      </c>
      <c r="J1060" s="43" t="s">
        <v>1090</v>
      </c>
      <c r="K1060" s="28" t="s">
        <v>1121</v>
      </c>
      <c r="L1060" s="43" t="s">
        <v>1116</v>
      </c>
      <c r="M1060" s="209">
        <v>2050</v>
      </c>
      <c r="N1060" s="44" t="s">
        <v>2160</v>
      </c>
      <c r="O1060" s="258">
        <v>2</v>
      </c>
      <c r="P1060" s="238" t="str">
        <f>VLOOKUP(_xlfn.CONCAT(Table3[[#This Row],[Target area]],Table3[[#This Row],[GHG target?]],Table3[[#This Row],[Conditionality]]),'Drop down'!$E$81:$F$101,2,FALSE)</f>
        <v>T_Netzero</v>
      </c>
      <c r="Q1060" s="239" t="str">
        <f>VLOOKUP(Table3[[#This Row],[Target type]],Table418[[Value name]:[Value idenifyer]],2,FALSE)</f>
        <v>T_FL</v>
      </c>
      <c r="V1060" s="233" t="str">
        <f>VLOOKUP(Table3[[#This Row],[Country Code]],Table29[],3,FALSE)</f>
        <v>Non-Annex I</v>
      </c>
      <c r="W1060" s="233" t="str">
        <f>VLOOKUP(Table3[[#This Row],[Country Code]],Table29[],4,FALSE)</f>
        <v>Oceania</v>
      </c>
      <c r="X1060" s="233" t="str">
        <f>VLOOKUP(Table3[[#This Row],[Country Code]],Table29[],5,FALSE)</f>
        <v>Middle-income</v>
      </c>
      <c r="Y1060" s="233" t="str">
        <f>VLOOKUP(Table3[[#This Row],[Country Code]],Table29[],6,FALSE)</f>
        <v>no</v>
      </c>
      <c r="Z1060" s="233" t="str">
        <f>VLOOKUP(Table3[[#This Row],[Country Code]],Table29[],7,FALSE)</f>
        <v>no</v>
      </c>
      <c r="AA1060" s="233" t="str">
        <f>VLOOKUP(Table3[[#This Row],[Country Code]],Table29[],8,FALSE)</f>
        <v>non-OECD</v>
      </c>
      <c r="AB1060" s="233" t="str">
        <f>VLOOKUP(Table3[[#This Row],[Country Code]],Table29[],9,FALSE)</f>
        <v>no</v>
      </c>
      <c r="AC1060" s="233" t="str">
        <f>VLOOKUP(Table3[[#This Row],[Country Code]],Table29[],10,FALSE)</f>
        <v>no</v>
      </c>
      <c r="AD1060" s="235">
        <f>VLOOKUP(Table3[[#This Row],[Country Code]],Table29[],23,FALSE)</f>
        <v>0</v>
      </c>
      <c r="AE1060" s="235">
        <f>VLOOKUP(Table3[[#This Row],[Country Code]],Table29[],24,FALSE)</f>
        <v>0</v>
      </c>
      <c r="AF1060" s="43"/>
    </row>
    <row r="1061" spans="1:32" ht="30" x14ac:dyDescent="0.25">
      <c r="A1061" s="360">
        <v>42011</v>
      </c>
      <c r="B1061" s="233" t="str">
        <f>VLOOKUP(Table3[[#This Row],[Document ID]],Table1[],2,FALSE)</f>
        <v>NGA</v>
      </c>
      <c r="C1061" s="233" t="str">
        <f>VLOOKUP(Table3[[#This Row],[Document ID]],Table1[],3,FALSE)</f>
        <v>Nigeria</v>
      </c>
      <c r="D1061" s="233" t="str">
        <f>VLOOKUP(Table3[[#This Row],[Document ID]],Table1[],5,FALSE)</f>
        <v>National policy document</v>
      </c>
      <c r="E1061" s="233" t="str">
        <f>VLOOKUP(Table3[[#This Row],[Document ID]],Table1[],7,FALSE)</f>
        <v>National policy document</v>
      </c>
      <c r="F1061" s="233" t="str">
        <f>VLOOKUP(Table3[[#This Row],[Document ID]],Table1[],8,FALSE)</f>
        <v>NA</v>
      </c>
      <c r="G1061" s="233" t="str">
        <f>VLOOKUP(Table3[[#This Row],[Document ID]],Table1[],10,FALSE)</f>
        <v>Active</v>
      </c>
      <c r="H1061" s="43" t="s">
        <v>1147</v>
      </c>
      <c r="I1061" s="43" t="s">
        <v>1089</v>
      </c>
      <c r="J1061" s="43" t="s">
        <v>1090</v>
      </c>
      <c r="K1061" s="28" t="s">
        <v>1121</v>
      </c>
      <c r="L1061" s="43" t="s">
        <v>1116</v>
      </c>
      <c r="M1061" s="209" t="s">
        <v>2161</v>
      </c>
      <c r="N1061" s="44" t="s">
        <v>2162</v>
      </c>
      <c r="O1061" s="258">
        <v>4</v>
      </c>
      <c r="P1061" s="238" t="str">
        <f>VLOOKUP(_xlfn.CONCAT(Table3[[#This Row],[Target area]],Table3[[#This Row],[GHG target?]],Table3[[#This Row],[Conditionality]]),'Drop down'!$E$81:$F$101,2,FALSE)</f>
        <v>T_Netzero</v>
      </c>
      <c r="Q1061" s="239" t="str">
        <f>VLOOKUP(Table3[[#This Row],[Target type]],Table418[[Value name]:[Value idenifyer]],2,FALSE)</f>
        <v>T_FL</v>
      </c>
      <c r="V1061" s="233" t="str">
        <f>VLOOKUP(Table3[[#This Row],[Country Code]],Table29[],3,FALSE)</f>
        <v>Non-Annex I</v>
      </c>
      <c r="W1061" s="233" t="str">
        <f>VLOOKUP(Table3[[#This Row],[Country Code]],Table29[],4,FALSE)</f>
        <v>Africa</v>
      </c>
      <c r="X1061" s="233" t="str">
        <f>VLOOKUP(Table3[[#This Row],[Country Code]],Table29[],5,FALSE)</f>
        <v>Middle-income</v>
      </c>
      <c r="Y1061" s="233" t="str">
        <f>VLOOKUP(Table3[[#This Row],[Country Code]],Table29[],6,FALSE)</f>
        <v>no</v>
      </c>
      <c r="Z1061" s="233" t="str">
        <f>VLOOKUP(Table3[[#This Row],[Country Code]],Table29[],7,FALSE)</f>
        <v>no</v>
      </c>
      <c r="AA1061" s="233" t="str">
        <f>VLOOKUP(Table3[[#This Row],[Country Code]],Table29[],8,FALSE)</f>
        <v>non-OECD</v>
      </c>
      <c r="AB1061" s="233" t="str">
        <f>VLOOKUP(Table3[[#This Row],[Country Code]],Table29[],9,FALSE)</f>
        <v>no</v>
      </c>
      <c r="AC1061" s="233" t="str">
        <f>VLOOKUP(Table3[[#This Row],[Country Code]],Table29[],10,FALSE)</f>
        <v>no</v>
      </c>
      <c r="AD1061" s="235">
        <f>VLOOKUP(Table3[[#This Row],[Country Code]],Table29[],23,FALSE)</f>
        <v>385.11288377147002</v>
      </c>
      <c r="AE1061" s="235">
        <f>VLOOKUP(Table3[[#This Row],[Country Code]],Table29[],24,FALSE)</f>
        <v>58.971195919965467</v>
      </c>
      <c r="AF1061" s="43"/>
    </row>
    <row r="1062" spans="1:32" ht="45" x14ac:dyDescent="0.25">
      <c r="A1062" s="360">
        <v>17679</v>
      </c>
      <c r="B1062" s="233" t="str">
        <f>VLOOKUP(Table3[[#This Row],[Document ID]],Table1[],2,FALSE)</f>
        <v>NZL</v>
      </c>
      <c r="C1062" s="233" t="str">
        <f>VLOOKUP(Table3[[#This Row],[Document ID]],Table1[],3,FALSE)</f>
        <v>New Zealand</v>
      </c>
      <c r="D1062" s="233" t="str">
        <f>VLOOKUP(Table3[[#This Row],[Document ID]],Table1[],5,FALSE)</f>
        <v>Other</v>
      </c>
      <c r="E1062" s="233" t="str">
        <f>VLOOKUP(Table3[[#This Row],[Document ID]],Table1[],7,FALSE)</f>
        <v>Climate Change Response (Zero Carbon) Amendment Act 2019</v>
      </c>
      <c r="F1062" s="233" t="str">
        <f>VLOOKUP(Table3[[#This Row],[Document ID]],Table1[],8,FALSE)</f>
        <v>NA</v>
      </c>
      <c r="G1062" s="233" t="str">
        <f>VLOOKUP(Table3[[#This Row],[Document ID]],Table1[],10,FALSE)</f>
        <v>Active</v>
      </c>
      <c r="H1062" s="216" t="s">
        <v>1089</v>
      </c>
      <c r="I1062" s="216" t="s">
        <v>1089</v>
      </c>
      <c r="J1062" s="43" t="s">
        <v>1090</v>
      </c>
      <c r="K1062" s="28" t="s">
        <v>1121</v>
      </c>
      <c r="L1062" s="42" t="s">
        <v>1099</v>
      </c>
      <c r="M1062" s="209">
        <v>2050</v>
      </c>
      <c r="N1062" s="44" t="s">
        <v>2163</v>
      </c>
      <c r="O1062" s="221"/>
      <c r="P1062" s="238" t="str">
        <f>VLOOKUP(_xlfn.CONCAT(Table3[[#This Row],[Target area]],Table3[[#This Row],[GHG target?]],Table3[[#This Row],[Conditionality]]),'Drop down'!$E$81:$F$101,2,FALSE)</f>
        <v>T_Economy_Unc</v>
      </c>
      <c r="Q1062" s="239" t="str">
        <f>VLOOKUP(Table3[[#This Row],[Target type]],Table418[[Value name]:[Value idenifyer]],2,FALSE)</f>
        <v>T_FL</v>
      </c>
      <c r="T1062" s="234" t="s">
        <v>1113</v>
      </c>
      <c r="V1062" s="233" t="str">
        <f>VLOOKUP(Table3[[#This Row],[Country Code]],Table29[],3,FALSE)</f>
        <v>Annex I</v>
      </c>
      <c r="W1062" s="233" t="str">
        <f>VLOOKUP(Table3[[#This Row],[Country Code]],Table29[],4,FALSE)</f>
        <v>Oceania</v>
      </c>
      <c r="X1062" s="233" t="str">
        <f>VLOOKUP(Table3[[#This Row],[Country Code]],Table29[],5,FALSE)</f>
        <v>High-income</v>
      </c>
      <c r="Y1062" s="233" t="str">
        <f>VLOOKUP(Table3[[#This Row],[Country Code]],Table29[],6,FALSE)</f>
        <v>no</v>
      </c>
      <c r="Z1062" s="233" t="str">
        <f>VLOOKUP(Table3[[#This Row],[Country Code]],Table29[],7,FALSE)</f>
        <v>no</v>
      </c>
      <c r="AA1062" s="233" t="str">
        <f>VLOOKUP(Table3[[#This Row],[Country Code]],Table29[],8,FALSE)</f>
        <v>OECD</v>
      </c>
      <c r="AB1062" s="233" t="str">
        <f>VLOOKUP(Table3[[#This Row],[Country Code]],Table29[],9,FALSE)</f>
        <v>no</v>
      </c>
      <c r="AC1062" s="233" t="str">
        <f>VLOOKUP(Table3[[#This Row],[Country Code]],Table29[],10,FALSE)</f>
        <v>no</v>
      </c>
      <c r="AD1062" s="235">
        <f>VLOOKUP(Table3[[#This Row],[Country Code]],Table29[],23,FALSE)</f>
        <v>84.209811532415003</v>
      </c>
      <c r="AE1062" s="235">
        <f>VLOOKUP(Table3[[#This Row],[Country Code]],Table29[],24,FALSE)</f>
        <v>16.240725424217811</v>
      </c>
      <c r="AF1062" s="43"/>
    </row>
    <row r="1063" spans="1:32" x14ac:dyDescent="0.25">
      <c r="A1063" s="360">
        <v>29231</v>
      </c>
      <c r="B1063" s="233" t="str">
        <f>VLOOKUP(Table3[[#This Row],[Document ID]],Table1[],2,FALSE)</f>
        <v>VUT</v>
      </c>
      <c r="C1063" s="233" t="str">
        <f>VLOOKUP(Table3[[#This Row],[Document ID]],Table1[],3,FALSE)</f>
        <v>Vanuatu</v>
      </c>
      <c r="D1063" s="233" t="str">
        <f>VLOOKUP(Table3[[#This Row],[Document ID]],Table1[],5,FALSE)</f>
        <v>NDC</v>
      </c>
      <c r="E1063" s="233" t="str">
        <f>VLOOKUP(Table3[[#This Row],[Document ID]],Table1[],7,FALSE)</f>
        <v>First NDC updated</v>
      </c>
      <c r="F1063" s="233" t="str">
        <f>VLOOKUP(Table3[[#This Row],[Document ID]],Table1[],8,FALSE)</f>
        <v>NDC 1.2</v>
      </c>
      <c r="G1063" s="233" t="str">
        <f>VLOOKUP(Table3[[#This Row],[Document ID]],Table1[],10,FALSE)</f>
        <v>Active</v>
      </c>
      <c r="H1063" s="42" t="s">
        <v>1095</v>
      </c>
      <c r="I1063" s="43" t="s">
        <v>1115</v>
      </c>
      <c r="J1063" s="42" t="s">
        <v>1097</v>
      </c>
      <c r="K1063" s="28" t="s">
        <v>1102</v>
      </c>
      <c r="L1063" s="43" t="s">
        <v>1092</v>
      </c>
      <c r="M1063" s="209">
        <v>2030</v>
      </c>
      <c r="N1063" s="209" t="s">
        <v>2164</v>
      </c>
      <c r="O1063" s="257">
        <v>4</v>
      </c>
      <c r="P1063" s="238" t="str">
        <f>VLOOKUP(_xlfn.CONCAT(Table3[[#This Row],[Target area]],Table3[[#This Row],[GHG target?]],Table3[[#This Row],[Conditionality]]),'Drop down'!$E$81:$F$101,2,FALSE)</f>
        <v>T_Transport_O_C</v>
      </c>
      <c r="Q1063" s="239" t="str">
        <f>VLOOKUP(Table3[[#This Row],[Target type]],Table418[[Value name]:[Value idenifyer]],2,FALSE)</f>
        <v>T_O_BIO</v>
      </c>
      <c r="S1063" s="233" t="s">
        <v>1101</v>
      </c>
      <c r="T1063" s="234" t="s">
        <v>1113</v>
      </c>
      <c r="U1063" s="240"/>
      <c r="V1063" s="233" t="str">
        <f>VLOOKUP(Table3[[#This Row],[Country Code]],Table29[],3,FALSE)</f>
        <v>Non-Annex I</v>
      </c>
      <c r="W1063" s="233" t="str">
        <f>VLOOKUP(Table3[[#This Row],[Country Code]],Table29[],4,FALSE)</f>
        <v>Oceania</v>
      </c>
      <c r="X1063" s="233" t="str">
        <f>VLOOKUP(Table3[[#This Row],[Country Code]],Table29[],5,FALSE)</f>
        <v>Middle-income</v>
      </c>
      <c r="Y1063" s="233" t="str">
        <f>VLOOKUP(Table3[[#This Row],[Country Code]],Table29[],6,FALSE)</f>
        <v>no</v>
      </c>
      <c r="Z1063" s="233" t="str">
        <f>VLOOKUP(Table3[[#This Row],[Country Code]],Table29[],7,FALSE)</f>
        <v>no</v>
      </c>
      <c r="AA1063" s="233" t="str">
        <f>VLOOKUP(Table3[[#This Row],[Country Code]],Table29[],8,FALSE)</f>
        <v>non-OECD</v>
      </c>
      <c r="AB1063" s="233" t="str">
        <f>VLOOKUP(Table3[[#This Row],[Country Code]],Table29[],9,FALSE)</f>
        <v>no</v>
      </c>
      <c r="AC1063" s="233" t="str">
        <f>VLOOKUP(Table3[[#This Row],[Country Code]],Table29[],10,FALSE)</f>
        <v>no</v>
      </c>
      <c r="AD1063" s="235">
        <f>VLOOKUP(Table3[[#This Row],[Country Code]],Table29[],23,FALSE)</f>
        <v>0.67021230161326995</v>
      </c>
      <c r="AE1063" s="235">
        <f>VLOOKUP(Table3[[#This Row],[Country Code]],Table29[],24,FALSE)</f>
        <v>0.148941723979749</v>
      </c>
      <c r="AF1063" s="43"/>
    </row>
    <row r="1064" spans="1:32" x14ac:dyDescent="0.25">
      <c r="A1064" s="360">
        <v>42008</v>
      </c>
      <c r="B1064" s="233" t="str">
        <f>VLOOKUP(Table3[[#This Row],[Document ID]],Table1[],2,FALSE)</f>
        <v>RWA</v>
      </c>
      <c r="C1064" s="233" t="str">
        <f>VLOOKUP(Table3[[#This Row],[Document ID]],Table1[],3,FALSE)</f>
        <v>Rwanda</v>
      </c>
      <c r="D1064" s="233" t="str">
        <f>VLOOKUP(Table3[[#This Row],[Document ID]],Table1[],5,FALSE)</f>
        <v>Other</v>
      </c>
      <c r="E1064" s="233" t="str">
        <f>VLOOKUP(Table3[[#This Row],[Document ID]],Table1[],7,FALSE)</f>
        <v>WRI Net Zero Tracker</v>
      </c>
      <c r="F1064" s="233" t="str">
        <f>VLOOKUP(Table3[[#This Row],[Document ID]],Table1[],8,FALSE)</f>
        <v>NA</v>
      </c>
      <c r="G1064" s="233" t="str">
        <f>VLOOKUP(Table3[[#This Row],[Document ID]],Table1[],10,FALSE)</f>
        <v>Active</v>
      </c>
      <c r="H1064" s="43" t="s">
        <v>1147</v>
      </c>
      <c r="I1064" s="43" t="s">
        <v>1089</v>
      </c>
      <c r="J1064" s="43" t="s">
        <v>1090</v>
      </c>
      <c r="K1064" s="28" t="s">
        <v>1121</v>
      </c>
      <c r="L1064" s="43" t="s">
        <v>1116</v>
      </c>
      <c r="M1064" s="209">
        <v>2050</v>
      </c>
      <c r="N1064" s="43" t="s">
        <v>1478</v>
      </c>
      <c r="O1064" s="258"/>
      <c r="P1064" s="238" t="str">
        <f>VLOOKUP(_xlfn.CONCAT(Table3[[#This Row],[Target area]],Table3[[#This Row],[GHG target?]],Table3[[#This Row],[Conditionality]]),'Drop down'!$E$81:$F$101,2,FALSE)</f>
        <v>T_Netzero</v>
      </c>
      <c r="Q1064" s="239" t="str">
        <f>VLOOKUP(Table3[[#This Row],[Target type]],Table418[[Value name]:[Value idenifyer]],2,FALSE)</f>
        <v>T_FL</v>
      </c>
      <c r="V1064" s="233" t="str">
        <f>VLOOKUP(Table3[[#This Row],[Country Code]],Table29[],3,FALSE)</f>
        <v>Non-Annex I</v>
      </c>
      <c r="W1064" s="233" t="str">
        <f>VLOOKUP(Table3[[#This Row],[Country Code]],Table29[],4,FALSE)</f>
        <v>Africa</v>
      </c>
      <c r="X1064" s="233" t="str">
        <f>VLOOKUP(Table3[[#This Row],[Country Code]],Table29[],5,FALSE)</f>
        <v>Low-income</v>
      </c>
      <c r="Y1064" s="233" t="str">
        <f>VLOOKUP(Table3[[#This Row],[Country Code]],Table29[],6,FALSE)</f>
        <v>no</v>
      </c>
      <c r="Z1064" s="233" t="str">
        <f>VLOOKUP(Table3[[#This Row],[Country Code]],Table29[],7,FALSE)</f>
        <v>no</v>
      </c>
      <c r="AA1064" s="233" t="str">
        <f>VLOOKUP(Table3[[#This Row],[Country Code]],Table29[],8,FALSE)</f>
        <v>non-OECD</v>
      </c>
      <c r="AB1064" s="233" t="str">
        <f>VLOOKUP(Table3[[#This Row],[Country Code]],Table29[],9,FALSE)</f>
        <v>no</v>
      </c>
      <c r="AC1064" s="233" t="str">
        <f>VLOOKUP(Table3[[#This Row],[Country Code]],Table29[],10,FALSE)</f>
        <v>no</v>
      </c>
      <c r="AD1064" s="235">
        <f>VLOOKUP(Table3[[#This Row],[Country Code]],Table29[],23,FALSE)</f>
        <v>7.4932661090210999</v>
      </c>
      <c r="AE1064" s="235">
        <f>VLOOKUP(Table3[[#This Row],[Country Code]],Table29[],24,FALSE)</f>
        <v>0.60722858848321359</v>
      </c>
      <c r="AF1064" s="43"/>
    </row>
    <row r="1065" spans="1:32" x14ac:dyDescent="0.25">
      <c r="A1065" s="360">
        <v>26783</v>
      </c>
      <c r="B1065" s="233" t="str">
        <f>VLOOKUP(Table3[[#This Row],[Document ID]],Table1[],2,FALSE)</f>
        <v>MAR</v>
      </c>
      <c r="C1065" s="233" t="str">
        <f>VLOOKUP(Table3[[#This Row],[Document ID]],Table1[],3,FALSE)</f>
        <v>Morocco</v>
      </c>
      <c r="D1065" s="233" t="str">
        <f>VLOOKUP(Table3[[#This Row],[Document ID]],Table1[],5,FALSE)</f>
        <v>LTS</v>
      </c>
      <c r="E1065" s="233" t="str">
        <f>VLOOKUP(Table3[[#This Row],[Document ID]],Table1[],7,FALSE)</f>
        <v>LTS</v>
      </c>
      <c r="F1065" s="233" t="str">
        <f>VLOOKUP(Table3[[#This Row],[Document ID]],Table1[],8,FALSE)</f>
        <v>LTS 1.0</v>
      </c>
      <c r="G1065" s="233" t="str">
        <f>VLOOKUP(Table3[[#This Row],[Document ID]],Table1[],10,FALSE)</f>
        <v>Active</v>
      </c>
      <c r="H1065" s="43" t="s">
        <v>1147</v>
      </c>
      <c r="I1065" s="43" t="s">
        <v>1089</v>
      </c>
      <c r="J1065" s="43" t="s">
        <v>1090</v>
      </c>
      <c r="K1065" s="28" t="s">
        <v>1121</v>
      </c>
      <c r="L1065" s="43" t="s">
        <v>1116</v>
      </c>
      <c r="M1065" s="209">
        <v>2050</v>
      </c>
      <c r="N1065" s="43" t="s">
        <v>2165</v>
      </c>
      <c r="O1065" s="258">
        <v>11</v>
      </c>
      <c r="P1065" s="238" t="str">
        <f>VLOOKUP(_xlfn.CONCAT(Table3[[#This Row],[Target area]],Table3[[#This Row],[GHG target?]],Table3[[#This Row],[Conditionality]]),'Drop down'!$E$81:$F$101,2,FALSE)</f>
        <v>T_Netzero</v>
      </c>
      <c r="Q1065" s="239" t="str">
        <f>VLOOKUP(Table3[[#This Row],[Target type]],Table418[[Value name]:[Value idenifyer]],2,FALSE)</f>
        <v>T_FL</v>
      </c>
      <c r="V1065" s="233" t="str">
        <f>VLOOKUP(Table3[[#This Row],[Country Code]],Table29[],3,FALSE)</f>
        <v>Non-Annex I</v>
      </c>
      <c r="W1065" s="233" t="str">
        <f>VLOOKUP(Table3[[#This Row],[Country Code]],Table29[],4,FALSE)</f>
        <v>Africa</v>
      </c>
      <c r="X1065" s="233" t="str">
        <f>VLOOKUP(Table3[[#This Row],[Country Code]],Table29[],5,FALSE)</f>
        <v>Middle-income</v>
      </c>
      <c r="Y1065" s="233" t="str">
        <f>VLOOKUP(Table3[[#This Row],[Country Code]],Table29[],6,FALSE)</f>
        <v>no</v>
      </c>
      <c r="Z1065" s="233" t="str">
        <f>VLOOKUP(Table3[[#This Row],[Country Code]],Table29[],7,FALSE)</f>
        <v>no</v>
      </c>
      <c r="AA1065" s="233" t="str">
        <f>VLOOKUP(Table3[[#This Row],[Country Code]],Table29[],8,FALSE)</f>
        <v>non-OECD</v>
      </c>
      <c r="AB1065" s="233" t="str">
        <f>VLOOKUP(Table3[[#This Row],[Country Code]],Table29[],9,FALSE)</f>
        <v>no</v>
      </c>
      <c r="AC1065" s="233" t="str">
        <f>VLOOKUP(Table3[[#This Row],[Country Code]],Table29[],10,FALSE)</f>
        <v>MENA</v>
      </c>
      <c r="AD1065" s="235">
        <f>VLOOKUP(Table3[[#This Row],[Country Code]],Table29[],23,FALSE)</f>
        <v>106.60223103187001</v>
      </c>
      <c r="AE1065" s="235">
        <f>VLOOKUP(Table3[[#This Row],[Country Code]],Table29[],24,FALSE)</f>
        <v>17.689478774478111</v>
      </c>
      <c r="AF1065" s="43"/>
    </row>
    <row r="1066" spans="1:32" ht="30" x14ac:dyDescent="0.25">
      <c r="A1066" s="360">
        <v>41743</v>
      </c>
      <c r="B1066" s="233" t="str">
        <f>VLOOKUP(Table3[[#This Row],[Document ID]],Table1[],2,FALSE)</f>
        <v>NAM</v>
      </c>
      <c r="C1066" s="233" t="str">
        <f>VLOOKUP(Table3[[#This Row],[Document ID]],Table1[],3,FALSE)</f>
        <v>Namibia</v>
      </c>
      <c r="D1066" s="233" t="str">
        <f>VLOOKUP(Table3[[#This Row],[Document ID]],Table1[],5,FALSE)</f>
        <v>NDC</v>
      </c>
      <c r="E1066" s="233" t="str">
        <f>VLOOKUP(Table3[[#This Row],[Document ID]],Table1[],7,FALSE)</f>
        <v>First NDC updated</v>
      </c>
      <c r="F1066" s="233" t="str">
        <f>VLOOKUP(Table3[[#This Row],[Document ID]],Table1[],8,FALSE)</f>
        <v>NDC 1.2</v>
      </c>
      <c r="G1066" s="233" t="str">
        <f>VLOOKUP(Table3[[#This Row],[Document ID]],Table1[],10,FALSE)</f>
        <v>Active</v>
      </c>
      <c r="H1066" s="43" t="s">
        <v>1147</v>
      </c>
      <c r="I1066" s="43" t="s">
        <v>1089</v>
      </c>
      <c r="J1066" s="43" t="s">
        <v>1090</v>
      </c>
      <c r="K1066" s="28" t="s">
        <v>1121</v>
      </c>
      <c r="L1066" s="43" t="s">
        <v>1116</v>
      </c>
      <c r="M1066" s="209">
        <v>2050</v>
      </c>
      <c r="N1066" s="44" t="s">
        <v>2166</v>
      </c>
      <c r="O1066" s="258"/>
      <c r="P1066" s="238" t="str">
        <f>VLOOKUP(_xlfn.CONCAT(Table3[[#This Row],[Target area]],Table3[[#This Row],[GHG target?]],Table3[[#This Row],[Conditionality]]),'Drop down'!$E$81:$F$101,2,FALSE)</f>
        <v>T_Netzero</v>
      </c>
      <c r="Q1066" s="239" t="str">
        <f>VLOOKUP(Table3[[#This Row],[Target type]],Table418[[Value name]:[Value idenifyer]],2,FALSE)</f>
        <v>T_FL</v>
      </c>
      <c r="V1066" s="233" t="str">
        <f>VLOOKUP(Table3[[#This Row],[Country Code]],Table29[],3,FALSE)</f>
        <v>Non-Annex I</v>
      </c>
      <c r="W1066" s="233" t="str">
        <f>VLOOKUP(Table3[[#This Row],[Country Code]],Table29[],4,FALSE)</f>
        <v>Africa</v>
      </c>
      <c r="X1066" s="233" t="str">
        <f>VLOOKUP(Table3[[#This Row],[Country Code]],Table29[],5,FALSE)</f>
        <v>Middle-income</v>
      </c>
      <c r="Y1066" s="233" t="str">
        <f>VLOOKUP(Table3[[#This Row],[Country Code]],Table29[],6,FALSE)</f>
        <v>no</v>
      </c>
      <c r="Z1066" s="233" t="str">
        <f>VLOOKUP(Table3[[#This Row],[Country Code]],Table29[],7,FALSE)</f>
        <v>no</v>
      </c>
      <c r="AA1066" s="233" t="str">
        <f>VLOOKUP(Table3[[#This Row],[Country Code]],Table29[],8,FALSE)</f>
        <v>non-OECD</v>
      </c>
      <c r="AB1066" s="233" t="str">
        <f>VLOOKUP(Table3[[#This Row],[Country Code]],Table29[],9,FALSE)</f>
        <v>no</v>
      </c>
      <c r="AC1066" s="233" t="str">
        <f>VLOOKUP(Table3[[#This Row],[Country Code]],Table29[],10,FALSE)</f>
        <v>no</v>
      </c>
      <c r="AD1066" s="235">
        <f>VLOOKUP(Table3[[#This Row],[Country Code]],Table29[],23,FALSE)</f>
        <v>12.885675050293001</v>
      </c>
      <c r="AE1066" s="235">
        <f>VLOOKUP(Table3[[#This Row],[Country Code]],Table29[],24,FALSE)</f>
        <v>2.1850282301150679</v>
      </c>
      <c r="AF1066" s="43"/>
    </row>
    <row r="1067" spans="1:32" ht="30" x14ac:dyDescent="0.25">
      <c r="A1067" s="360">
        <v>23760</v>
      </c>
      <c r="B1067" s="233" t="str">
        <f>VLOOKUP(Table3[[#This Row],[Document ID]],Table1[],2,FALSE)</f>
        <v>NRU</v>
      </c>
      <c r="C1067" s="233" t="str">
        <f>VLOOKUP(Table3[[#This Row],[Document ID]],Table1[],3,FALSE)</f>
        <v>Nauru</v>
      </c>
      <c r="D1067" s="233" t="str">
        <f>VLOOKUP(Table3[[#This Row],[Document ID]],Table1[],5,FALSE)</f>
        <v>NDC</v>
      </c>
      <c r="E1067" s="233" t="str">
        <f>VLOOKUP(Table3[[#This Row],[Document ID]],Table1[],7,FALSE)</f>
        <v>First NDC updated</v>
      </c>
      <c r="F1067" s="233" t="str">
        <f>VLOOKUP(Table3[[#This Row],[Document ID]],Table1[],8,FALSE)</f>
        <v>NDC 1.1</v>
      </c>
      <c r="G1067" s="233" t="str">
        <f>VLOOKUP(Table3[[#This Row],[Document ID]],Table1[],10,FALSE)</f>
        <v>Active</v>
      </c>
      <c r="H1067" s="43" t="s">
        <v>1147</v>
      </c>
      <c r="I1067" s="43" t="s">
        <v>1089</v>
      </c>
      <c r="J1067" s="43" t="s">
        <v>1090</v>
      </c>
      <c r="K1067" s="28" t="s">
        <v>1121</v>
      </c>
      <c r="L1067" s="43" t="s">
        <v>1116</v>
      </c>
      <c r="M1067" s="209">
        <v>2050</v>
      </c>
      <c r="N1067" s="209" t="s">
        <v>2167</v>
      </c>
      <c r="O1067" s="258">
        <v>13</v>
      </c>
      <c r="P1067" s="238" t="str">
        <f>VLOOKUP(_xlfn.CONCAT(Table3[[#This Row],[Target area]],Table3[[#This Row],[GHG target?]],Table3[[#This Row],[Conditionality]]),'Drop down'!$E$81:$F$101,2,FALSE)</f>
        <v>T_Netzero</v>
      </c>
      <c r="Q1067" s="239" t="str">
        <f>VLOOKUP(Table3[[#This Row],[Target type]],Table418[[Value name]:[Value idenifyer]],2,FALSE)</f>
        <v>T_FL</v>
      </c>
      <c r="T1067" s="240"/>
      <c r="V1067" s="233" t="str">
        <f>VLOOKUP(Table3[[#This Row],[Country Code]],Table29[],3,FALSE)</f>
        <v>Non-Annex I</v>
      </c>
      <c r="W1067" s="233" t="str">
        <f>VLOOKUP(Table3[[#This Row],[Country Code]],Table29[],4,FALSE)</f>
        <v>Oceania</v>
      </c>
      <c r="X1067" s="233" t="str">
        <f>VLOOKUP(Table3[[#This Row],[Country Code]],Table29[],5,FALSE)</f>
        <v>High-income</v>
      </c>
      <c r="Y1067" s="233" t="str">
        <f>VLOOKUP(Table3[[#This Row],[Country Code]],Table29[],6,FALSE)</f>
        <v>no</v>
      </c>
      <c r="Z1067" s="233" t="str">
        <f>VLOOKUP(Table3[[#This Row],[Country Code]],Table29[],7,FALSE)</f>
        <v>no</v>
      </c>
      <c r="AA1067" s="233" t="str">
        <f>VLOOKUP(Table3[[#This Row],[Country Code]],Table29[],8,FALSE)</f>
        <v>non-OECD</v>
      </c>
      <c r="AB1067" s="233" t="str">
        <f>VLOOKUP(Table3[[#This Row],[Country Code]],Table29[],9,FALSE)</f>
        <v>no</v>
      </c>
      <c r="AC1067" s="233" t="str">
        <f>VLOOKUP(Table3[[#This Row],[Country Code]],Table29[],10,FALSE)</f>
        <v>no</v>
      </c>
      <c r="AD1067" s="235">
        <f>VLOOKUP(Table3[[#This Row],[Country Code]],Table29[],23,FALSE)</f>
        <v>0</v>
      </c>
      <c r="AE1067" s="235">
        <f>VLOOKUP(Table3[[#This Row],[Country Code]],Table29[],24,FALSE)</f>
        <v>0</v>
      </c>
      <c r="AF1067" s="42"/>
    </row>
    <row r="1068" spans="1:32" ht="30" x14ac:dyDescent="0.25">
      <c r="A1068" s="360">
        <v>17675</v>
      </c>
      <c r="B1068" s="233" t="str">
        <f>VLOOKUP(Table3[[#This Row],[Document ID]],Table1[],2,FALSE)</f>
        <v>NPL</v>
      </c>
      <c r="C1068" s="233" t="str">
        <f>VLOOKUP(Table3[[#This Row],[Document ID]],Table1[],3,FALSE)</f>
        <v>Nepal</v>
      </c>
      <c r="D1068" s="233" t="str">
        <f>VLOOKUP(Table3[[#This Row],[Document ID]],Table1[],5,FALSE)</f>
        <v>NDC</v>
      </c>
      <c r="E1068" s="233" t="str">
        <f>VLOOKUP(Table3[[#This Row],[Document ID]],Table1[],7,FALSE)</f>
        <v>Second NDC</v>
      </c>
      <c r="F1068" s="233" t="str">
        <f>VLOOKUP(Table3[[#This Row],[Document ID]],Table1[],8,FALSE)</f>
        <v>NDC 2.0</v>
      </c>
      <c r="G1068" s="233" t="str">
        <f>VLOOKUP(Table3[[#This Row],[Document ID]],Table1[],10,FALSE)</f>
        <v>Active</v>
      </c>
      <c r="H1068" s="43" t="s">
        <v>1147</v>
      </c>
      <c r="I1068" s="43" t="s">
        <v>1089</v>
      </c>
      <c r="J1068" s="43" t="s">
        <v>1090</v>
      </c>
      <c r="K1068" s="28" t="s">
        <v>1121</v>
      </c>
      <c r="L1068" s="43" t="s">
        <v>1116</v>
      </c>
      <c r="M1068" s="209">
        <v>2050</v>
      </c>
      <c r="N1068" s="44" t="s">
        <v>2168</v>
      </c>
      <c r="O1068" s="258">
        <v>1</v>
      </c>
      <c r="P1068" s="238" t="str">
        <f>VLOOKUP(_xlfn.CONCAT(Table3[[#This Row],[Target area]],Table3[[#This Row],[GHG target?]],Table3[[#This Row],[Conditionality]]),'Drop down'!$E$81:$F$101,2,FALSE)</f>
        <v>T_Netzero</v>
      </c>
      <c r="Q1068" s="239" t="str">
        <f>VLOOKUP(Table3[[#This Row],[Target type]],Table418[[Value name]:[Value idenifyer]],2,FALSE)</f>
        <v>T_FL</v>
      </c>
      <c r="V1068" s="233" t="str">
        <f>VLOOKUP(Table3[[#This Row],[Country Code]],Table29[],3,FALSE)</f>
        <v>Non-Annex I</v>
      </c>
      <c r="W1068" s="233" t="str">
        <f>VLOOKUP(Table3[[#This Row],[Country Code]],Table29[],4,FALSE)</f>
        <v>Asia</v>
      </c>
      <c r="X1068" s="233" t="str">
        <f>VLOOKUP(Table3[[#This Row],[Country Code]],Table29[],5,FALSE)</f>
        <v>Middle-income</v>
      </c>
      <c r="Y1068" s="233" t="str">
        <f>VLOOKUP(Table3[[#This Row],[Country Code]],Table29[],6,FALSE)</f>
        <v>no</v>
      </c>
      <c r="Z1068" s="233" t="str">
        <f>VLOOKUP(Table3[[#This Row],[Country Code]],Table29[],7,FALSE)</f>
        <v>no</v>
      </c>
      <c r="AA1068" s="233" t="str">
        <f>VLOOKUP(Table3[[#This Row],[Country Code]],Table29[],8,FALSE)</f>
        <v>non-OECD</v>
      </c>
      <c r="AB1068" s="233" t="str">
        <f>VLOOKUP(Table3[[#This Row],[Country Code]],Table29[],9,FALSE)</f>
        <v>no</v>
      </c>
      <c r="AC1068" s="233" t="str">
        <f>VLOOKUP(Table3[[#This Row],[Country Code]],Table29[],10,FALSE)</f>
        <v>no</v>
      </c>
      <c r="AD1068" s="235">
        <f>VLOOKUP(Table3[[#This Row],[Country Code]],Table29[],23,FALSE)</f>
        <v>56.830982733611002</v>
      </c>
      <c r="AE1068" s="235">
        <f>VLOOKUP(Table3[[#This Row],[Country Code]],Table29[],24,FALSE)</f>
        <v>4.8627503945089332</v>
      </c>
      <c r="AF1068" s="43"/>
    </row>
    <row r="1069" spans="1:32" ht="150" x14ac:dyDescent="0.25">
      <c r="A1069" s="360">
        <v>26785</v>
      </c>
      <c r="B1069" s="233" t="str">
        <f>VLOOKUP(Table3[[#This Row],[Document ID]],Table1[],2,FALSE)</f>
        <v>NPL</v>
      </c>
      <c r="C1069" s="233" t="str">
        <f>VLOOKUP(Table3[[#This Row],[Document ID]],Table1[],3,FALSE)</f>
        <v>Nepal</v>
      </c>
      <c r="D1069" s="233" t="str">
        <f>VLOOKUP(Table3[[#This Row],[Document ID]],Table1[],5,FALSE)</f>
        <v>LTS</v>
      </c>
      <c r="E1069" s="233" t="str">
        <f>VLOOKUP(Table3[[#This Row],[Document ID]],Table1[],7,FALSE)</f>
        <v>LTS</v>
      </c>
      <c r="F1069" s="233" t="str">
        <f>VLOOKUP(Table3[[#This Row],[Document ID]],Table1[],8,FALSE)</f>
        <v>LTS 1.0</v>
      </c>
      <c r="G1069" s="233" t="str">
        <f>VLOOKUP(Table3[[#This Row],[Document ID]],Table1[],10,FALSE)</f>
        <v>Active</v>
      </c>
      <c r="H1069" s="43" t="s">
        <v>1147</v>
      </c>
      <c r="I1069" s="43" t="s">
        <v>1089</v>
      </c>
      <c r="J1069" s="43" t="s">
        <v>1090</v>
      </c>
      <c r="K1069" s="28" t="s">
        <v>1121</v>
      </c>
      <c r="L1069" s="43" t="s">
        <v>1116</v>
      </c>
      <c r="M1069" s="209">
        <v>2045</v>
      </c>
      <c r="N1069" s="209" t="s">
        <v>1673</v>
      </c>
      <c r="O1069" s="258" t="s">
        <v>1674</v>
      </c>
      <c r="P1069" s="238" t="str">
        <f>VLOOKUP(_xlfn.CONCAT(Table3[[#This Row],[Target area]],Table3[[#This Row],[GHG target?]],Table3[[#This Row],[Conditionality]]),'Drop down'!$E$81:$F$101,2,FALSE)</f>
        <v>T_Netzero</v>
      </c>
      <c r="Q1069" s="239" t="str">
        <f>VLOOKUP(Table3[[#This Row],[Target type]],Table418[[Value name]:[Value idenifyer]],2,FALSE)</f>
        <v>T_FL</v>
      </c>
      <c r="T1069" s="240"/>
      <c r="V1069" s="233" t="str">
        <f>VLOOKUP(Table3[[#This Row],[Country Code]],Table29[],3,FALSE)</f>
        <v>Non-Annex I</v>
      </c>
      <c r="W1069" s="233" t="str">
        <f>VLOOKUP(Table3[[#This Row],[Country Code]],Table29[],4,FALSE)</f>
        <v>Asia</v>
      </c>
      <c r="X1069" s="233" t="str">
        <f>VLOOKUP(Table3[[#This Row],[Country Code]],Table29[],5,FALSE)</f>
        <v>Middle-income</v>
      </c>
      <c r="Y1069" s="233" t="str">
        <f>VLOOKUP(Table3[[#This Row],[Country Code]],Table29[],6,FALSE)</f>
        <v>no</v>
      </c>
      <c r="Z1069" s="233" t="str">
        <f>VLOOKUP(Table3[[#This Row],[Country Code]],Table29[],7,FALSE)</f>
        <v>no</v>
      </c>
      <c r="AA1069" s="233" t="str">
        <f>VLOOKUP(Table3[[#This Row],[Country Code]],Table29[],8,FALSE)</f>
        <v>non-OECD</v>
      </c>
      <c r="AB1069" s="233" t="str">
        <f>VLOOKUP(Table3[[#This Row],[Country Code]],Table29[],9,FALSE)</f>
        <v>no</v>
      </c>
      <c r="AC1069" s="233" t="str">
        <f>VLOOKUP(Table3[[#This Row],[Country Code]],Table29[],10,FALSE)</f>
        <v>no</v>
      </c>
      <c r="AD1069" s="235">
        <f>VLOOKUP(Table3[[#This Row],[Country Code]],Table29[],23,FALSE)</f>
        <v>56.830982733611002</v>
      </c>
      <c r="AE1069" s="235">
        <f>VLOOKUP(Table3[[#This Row],[Country Code]],Table29[],24,FALSE)</f>
        <v>4.8627503945089332</v>
      </c>
      <c r="AF1069" s="42"/>
    </row>
    <row r="1070" spans="1:32" ht="30" x14ac:dyDescent="0.25">
      <c r="A1070" s="360">
        <v>17676</v>
      </c>
      <c r="B1070" s="233" t="str">
        <f>VLOOKUP(Table3[[#This Row],[Document ID]],Table1[],2,FALSE)</f>
        <v>NLD</v>
      </c>
      <c r="C1070" s="233" t="str">
        <f>VLOOKUP(Table3[[#This Row],[Document ID]],Table1[],3,FALSE)</f>
        <v>Netherlands</v>
      </c>
      <c r="D1070" s="233" t="str">
        <f>VLOOKUP(Table3[[#This Row],[Document ID]],Table1[],5,FALSE)</f>
        <v>LTS</v>
      </c>
      <c r="E1070" s="233" t="str">
        <f>VLOOKUP(Table3[[#This Row],[Document ID]],Table1[],7,FALSE)</f>
        <v>EU-LTS</v>
      </c>
      <c r="F1070" s="233" t="str">
        <f>VLOOKUP(Table3[[#This Row],[Document ID]],Table1[],8,FALSE)</f>
        <v>LTS 1.0</v>
      </c>
      <c r="G1070" s="233" t="str">
        <f>VLOOKUP(Table3[[#This Row],[Document ID]],Table1[],10,FALSE)</f>
        <v>Active</v>
      </c>
      <c r="H1070" s="43" t="s">
        <v>1147</v>
      </c>
      <c r="I1070" s="43" t="s">
        <v>1089</v>
      </c>
      <c r="J1070" s="43" t="s">
        <v>1090</v>
      </c>
      <c r="K1070" s="28" t="s">
        <v>1121</v>
      </c>
      <c r="L1070" s="43" t="s">
        <v>1116</v>
      </c>
      <c r="M1070" s="209">
        <v>2050</v>
      </c>
      <c r="N1070" s="44" t="s">
        <v>2169</v>
      </c>
      <c r="O1070" s="258"/>
      <c r="P1070" s="238" t="str">
        <f>VLOOKUP(_xlfn.CONCAT(Table3[[#This Row],[Target area]],Table3[[#This Row],[GHG target?]],Table3[[#This Row],[Conditionality]]),'Drop down'!$E$81:$F$101,2,FALSE)</f>
        <v>T_Netzero</v>
      </c>
      <c r="Q1070" s="239" t="str">
        <f>VLOOKUP(Table3[[#This Row],[Target type]],Table418[[Value name]:[Value idenifyer]],2,FALSE)</f>
        <v>T_FL</v>
      </c>
      <c r="V1070" s="233" t="str">
        <f>VLOOKUP(Table3[[#This Row],[Country Code]],Table29[],3,FALSE)</f>
        <v>Annex I</v>
      </c>
      <c r="W1070" s="233" t="str">
        <f>VLOOKUP(Table3[[#This Row],[Country Code]],Table29[],4,FALSE)</f>
        <v>Europe</v>
      </c>
      <c r="X1070" s="233" t="str">
        <f>VLOOKUP(Table3[[#This Row],[Country Code]],Table29[],5,FALSE)</f>
        <v>High-income</v>
      </c>
      <c r="Y1070" s="233" t="str">
        <f>VLOOKUP(Table3[[#This Row],[Country Code]],Table29[],6,FALSE)</f>
        <v>no</v>
      </c>
      <c r="Z1070" s="233" t="str">
        <f>VLOOKUP(Table3[[#This Row],[Country Code]],Table29[],7,FALSE)</f>
        <v>no</v>
      </c>
      <c r="AA1070" s="233" t="str">
        <f>VLOOKUP(Table3[[#This Row],[Country Code]],Table29[],8,FALSE)</f>
        <v>OECD</v>
      </c>
      <c r="AB1070" s="233" t="str">
        <f>VLOOKUP(Table3[[#This Row],[Country Code]],Table29[],9,FALSE)</f>
        <v>EU27</v>
      </c>
      <c r="AC1070" s="233" t="str">
        <f>VLOOKUP(Table3[[#This Row],[Country Code]],Table29[],10,FALSE)</f>
        <v>no</v>
      </c>
      <c r="AD1070" s="235">
        <f>VLOOKUP(Table3[[#This Row],[Country Code]],Table29[],23,FALSE)</f>
        <v>150.74579824257</v>
      </c>
      <c r="AE1070" s="235">
        <f>VLOOKUP(Table3[[#This Row],[Country Code]],Table29[],24,FALSE)</f>
        <v>25.78124755164097</v>
      </c>
      <c r="AF1070" s="43"/>
    </row>
    <row r="1071" spans="1:32" ht="45" x14ac:dyDescent="0.25">
      <c r="A1071" s="360">
        <v>23933</v>
      </c>
      <c r="B1071" s="233" t="str">
        <f>VLOOKUP(Table3[[#This Row],[Document ID]],Table1[],2,FALSE)</f>
        <v>NZL</v>
      </c>
      <c r="C1071" s="233" t="str">
        <f>VLOOKUP(Table3[[#This Row],[Document ID]],Table1[],3,FALSE)</f>
        <v>New Zealand</v>
      </c>
      <c r="D1071" s="233" t="str">
        <f>VLOOKUP(Table3[[#This Row],[Document ID]],Table1[],5,FALSE)</f>
        <v>NDC</v>
      </c>
      <c r="E1071" s="233" t="str">
        <f>VLOOKUP(Table3[[#This Row],[Document ID]],Table1[],7,FALSE)</f>
        <v>First NDC updated</v>
      </c>
      <c r="F1071" s="233" t="str">
        <f>VLOOKUP(Table3[[#This Row],[Document ID]],Table1[],8,FALSE)</f>
        <v>NDC 1.2</v>
      </c>
      <c r="G1071" s="233" t="str">
        <f>VLOOKUP(Table3[[#This Row],[Document ID]],Table1[],10,FALSE)</f>
        <v>Archived</v>
      </c>
      <c r="H1071" s="43" t="s">
        <v>1147</v>
      </c>
      <c r="I1071" s="43" t="s">
        <v>1089</v>
      </c>
      <c r="J1071" s="43" t="s">
        <v>1090</v>
      </c>
      <c r="K1071" s="28" t="s">
        <v>1121</v>
      </c>
      <c r="L1071" s="43" t="s">
        <v>1116</v>
      </c>
      <c r="M1071" s="209">
        <v>2050</v>
      </c>
      <c r="N1071" s="209" t="s">
        <v>2170</v>
      </c>
      <c r="O1071" s="258">
        <v>5</v>
      </c>
      <c r="P1071" s="238" t="str">
        <f>VLOOKUP(_xlfn.CONCAT(Table3[[#This Row],[Target area]],Table3[[#This Row],[GHG target?]],Table3[[#This Row],[Conditionality]]),'Drop down'!$E$81:$F$101,2,FALSE)</f>
        <v>T_Netzero</v>
      </c>
      <c r="Q1071" s="239" t="str">
        <f>VLOOKUP(Table3[[#This Row],[Target type]],Table418[[Value name]:[Value idenifyer]],2,FALSE)</f>
        <v>T_FL</v>
      </c>
      <c r="T1071" s="240"/>
      <c r="V1071" s="233" t="str">
        <f>VLOOKUP(Table3[[#This Row],[Country Code]],Table29[],3,FALSE)</f>
        <v>Annex I</v>
      </c>
      <c r="W1071" s="233" t="str">
        <f>VLOOKUP(Table3[[#This Row],[Country Code]],Table29[],4,FALSE)</f>
        <v>Oceania</v>
      </c>
      <c r="X1071" s="233" t="str">
        <f>VLOOKUP(Table3[[#This Row],[Country Code]],Table29[],5,FALSE)</f>
        <v>High-income</v>
      </c>
      <c r="Y1071" s="233" t="str">
        <f>VLOOKUP(Table3[[#This Row],[Country Code]],Table29[],6,FALSE)</f>
        <v>no</v>
      </c>
      <c r="Z1071" s="233" t="str">
        <f>VLOOKUP(Table3[[#This Row],[Country Code]],Table29[],7,FALSE)</f>
        <v>no</v>
      </c>
      <c r="AA1071" s="233" t="str">
        <f>VLOOKUP(Table3[[#This Row],[Country Code]],Table29[],8,FALSE)</f>
        <v>OECD</v>
      </c>
      <c r="AB1071" s="233" t="str">
        <f>VLOOKUP(Table3[[#This Row],[Country Code]],Table29[],9,FALSE)</f>
        <v>no</v>
      </c>
      <c r="AC1071" s="233" t="str">
        <f>VLOOKUP(Table3[[#This Row],[Country Code]],Table29[],10,FALSE)</f>
        <v>no</v>
      </c>
      <c r="AD1071" s="235">
        <f>VLOOKUP(Table3[[#This Row],[Country Code]],Table29[],23,FALSE)</f>
        <v>84.209811532415003</v>
      </c>
      <c r="AE1071" s="235">
        <f>VLOOKUP(Table3[[#This Row],[Country Code]],Table29[],24,FALSE)</f>
        <v>16.240725424217811</v>
      </c>
      <c r="AF1071" s="42"/>
    </row>
    <row r="1072" spans="1:32" x14ac:dyDescent="0.25">
      <c r="A1072" s="360">
        <v>42009</v>
      </c>
      <c r="B1072" s="233" t="str">
        <f>VLOOKUP(Table3[[#This Row],[Document ID]],Table1[],2,FALSE)</f>
        <v>SAU</v>
      </c>
      <c r="C1072" s="233" t="str">
        <f>VLOOKUP(Table3[[#This Row],[Document ID]],Table1[],3,FALSE)</f>
        <v>Saudi Arabia</v>
      </c>
      <c r="D1072" s="233" t="str">
        <f>VLOOKUP(Table3[[#This Row],[Document ID]],Table1[],5,FALSE)</f>
        <v>Other</v>
      </c>
      <c r="E1072" s="233" t="str">
        <f>VLOOKUP(Table3[[#This Row],[Document ID]],Table1[],7,FALSE)</f>
        <v>WRI Net Zero Tracker</v>
      </c>
      <c r="F1072" s="233" t="str">
        <f>VLOOKUP(Table3[[#This Row],[Document ID]],Table1[],8,FALSE)</f>
        <v>NA</v>
      </c>
      <c r="G1072" s="233" t="str">
        <f>VLOOKUP(Table3[[#This Row],[Document ID]],Table1[],10,FALSE)</f>
        <v>Active</v>
      </c>
      <c r="H1072" s="43" t="s">
        <v>1147</v>
      </c>
      <c r="I1072" s="43" t="s">
        <v>1089</v>
      </c>
      <c r="J1072" s="43" t="s">
        <v>1090</v>
      </c>
      <c r="K1072" s="28" t="s">
        <v>1121</v>
      </c>
      <c r="L1072" s="43" t="s">
        <v>1116</v>
      </c>
      <c r="M1072" s="209">
        <v>2060</v>
      </c>
      <c r="N1072" s="43" t="s">
        <v>2171</v>
      </c>
      <c r="O1072" s="258"/>
      <c r="P1072" s="238" t="str">
        <f>VLOOKUP(_xlfn.CONCAT(Table3[[#This Row],[Target area]],Table3[[#This Row],[GHG target?]],Table3[[#This Row],[Conditionality]]),'Drop down'!$E$81:$F$101,2,FALSE)</f>
        <v>T_Netzero</v>
      </c>
      <c r="Q1072" s="239" t="str">
        <f>VLOOKUP(Table3[[#This Row],[Target type]],Table418[[Value name]:[Value idenifyer]],2,FALSE)</f>
        <v>T_FL</v>
      </c>
      <c r="V1072" s="233" t="str">
        <f>VLOOKUP(Table3[[#This Row],[Country Code]],Table29[],3,FALSE)</f>
        <v>Non-Annex I</v>
      </c>
      <c r="W1072" s="233" t="str">
        <f>VLOOKUP(Table3[[#This Row],[Country Code]],Table29[],4,FALSE)</f>
        <v>Asia</v>
      </c>
      <c r="X1072" s="233" t="str">
        <f>VLOOKUP(Table3[[#This Row],[Country Code]],Table29[],5,FALSE)</f>
        <v>High-income</v>
      </c>
      <c r="Y1072" s="233" t="str">
        <f>VLOOKUP(Table3[[#This Row],[Country Code]],Table29[],6,FALSE)</f>
        <v>G20</v>
      </c>
      <c r="Z1072" s="233" t="str">
        <f>VLOOKUP(Table3[[#This Row],[Country Code]],Table29[],7,FALSE)</f>
        <v>no</v>
      </c>
      <c r="AA1072" s="233" t="str">
        <f>VLOOKUP(Table3[[#This Row],[Country Code]],Table29[],8,FALSE)</f>
        <v>non-OECD</v>
      </c>
      <c r="AB1072" s="233" t="str">
        <f>VLOOKUP(Table3[[#This Row],[Country Code]],Table29[],9,FALSE)</f>
        <v>no</v>
      </c>
      <c r="AC1072" s="233" t="str">
        <f>VLOOKUP(Table3[[#This Row],[Country Code]],Table29[],10,FALSE)</f>
        <v>MENA</v>
      </c>
      <c r="AD1072" s="235">
        <f>VLOOKUP(Table3[[#This Row],[Country Code]],Table29[],23,FALSE)</f>
        <v>805.15810845823</v>
      </c>
      <c r="AE1072" s="235">
        <f>VLOOKUP(Table3[[#This Row],[Country Code]],Table29[],24,FALSE)</f>
        <v>147.5856941379987</v>
      </c>
      <c r="AF1072" s="43"/>
    </row>
    <row r="1073" spans="1:32" ht="30" x14ac:dyDescent="0.25">
      <c r="A1073" s="360">
        <v>29231</v>
      </c>
      <c r="B1073" s="233" t="str">
        <f>VLOOKUP(Table3[[#This Row],[Document ID]],Table1[],2,FALSE)</f>
        <v>VUT</v>
      </c>
      <c r="C1073" s="233" t="str">
        <f>VLOOKUP(Table3[[#This Row],[Document ID]],Table1[],3,FALSE)</f>
        <v>Vanuatu</v>
      </c>
      <c r="D1073" s="233" t="str">
        <f>VLOOKUP(Table3[[#This Row],[Document ID]],Table1[],5,FALSE)</f>
        <v>NDC</v>
      </c>
      <c r="E1073" s="233" t="str">
        <f>VLOOKUP(Table3[[#This Row],[Document ID]],Table1[],7,FALSE)</f>
        <v>First NDC updated</v>
      </c>
      <c r="F1073" s="233" t="str">
        <f>VLOOKUP(Table3[[#This Row],[Document ID]],Table1[],8,FALSE)</f>
        <v>NDC 1.2</v>
      </c>
      <c r="G1073" s="233" t="str">
        <f>VLOOKUP(Table3[[#This Row],[Document ID]],Table1[],10,FALSE)</f>
        <v>Active</v>
      </c>
      <c r="H1073" s="42" t="s">
        <v>1095</v>
      </c>
      <c r="I1073" s="43" t="s">
        <v>1115</v>
      </c>
      <c r="J1073" s="42" t="s">
        <v>1097</v>
      </c>
      <c r="K1073" s="28" t="s">
        <v>1137</v>
      </c>
      <c r="L1073" s="216" t="s">
        <v>1092</v>
      </c>
      <c r="M1073" s="209">
        <v>2030</v>
      </c>
      <c r="N1073" s="209" t="s">
        <v>2172</v>
      </c>
      <c r="O1073" s="257">
        <v>4</v>
      </c>
      <c r="P1073" s="238" t="str">
        <f>VLOOKUP(_xlfn.CONCAT(Table3[[#This Row],[Target area]],Table3[[#This Row],[GHG target?]],Table3[[#This Row],[Conditionality]]),'Drop down'!$E$81:$F$101,2,FALSE)</f>
        <v>T_Transport_O_C</v>
      </c>
      <c r="Q1073" s="239" t="str">
        <f>VLOOKUP(Table3[[#This Row],[Target type]],Table418[[Value name]:[Value idenifyer]],2,FALSE)</f>
        <v>T_O_EFF</v>
      </c>
      <c r="S1073" s="233" t="s">
        <v>1101</v>
      </c>
      <c r="T1073" s="234" t="s">
        <v>1113</v>
      </c>
      <c r="U1073" s="240"/>
      <c r="V1073" s="233" t="str">
        <f>VLOOKUP(Table3[[#This Row],[Country Code]],Table29[],3,FALSE)</f>
        <v>Non-Annex I</v>
      </c>
      <c r="W1073" s="233" t="str">
        <f>VLOOKUP(Table3[[#This Row],[Country Code]],Table29[],4,FALSE)</f>
        <v>Oceania</v>
      </c>
      <c r="X1073" s="233" t="str">
        <f>VLOOKUP(Table3[[#This Row],[Country Code]],Table29[],5,FALSE)</f>
        <v>Middle-income</v>
      </c>
      <c r="Y1073" s="233" t="str">
        <f>VLOOKUP(Table3[[#This Row],[Country Code]],Table29[],6,FALSE)</f>
        <v>no</v>
      </c>
      <c r="Z1073" s="233" t="str">
        <f>VLOOKUP(Table3[[#This Row],[Country Code]],Table29[],7,FALSE)</f>
        <v>no</v>
      </c>
      <c r="AA1073" s="233" t="str">
        <f>VLOOKUP(Table3[[#This Row],[Country Code]],Table29[],8,FALSE)</f>
        <v>non-OECD</v>
      </c>
      <c r="AB1073" s="233" t="str">
        <f>VLOOKUP(Table3[[#This Row],[Country Code]],Table29[],9,FALSE)</f>
        <v>no</v>
      </c>
      <c r="AC1073" s="233" t="str">
        <f>VLOOKUP(Table3[[#This Row],[Country Code]],Table29[],10,FALSE)</f>
        <v>no</v>
      </c>
      <c r="AD1073" s="235">
        <f>VLOOKUP(Table3[[#This Row],[Country Code]],Table29[],23,FALSE)</f>
        <v>0.67021230161326995</v>
      </c>
      <c r="AE1073" s="235">
        <f>VLOOKUP(Table3[[#This Row],[Country Code]],Table29[],24,FALSE)</f>
        <v>0.148941723979749</v>
      </c>
      <c r="AF1073" s="43"/>
    </row>
    <row r="1074" spans="1:32" ht="75" x14ac:dyDescent="0.25">
      <c r="A1074" s="360">
        <v>17694</v>
      </c>
      <c r="B1074" s="233" t="str">
        <f>VLOOKUP(Table3[[#This Row],[Document ID]],Table1[],2,FALSE)</f>
        <v>PAN</v>
      </c>
      <c r="C1074" s="233" t="str">
        <f>VLOOKUP(Table3[[#This Row],[Document ID]],Table1[],3,FALSE)</f>
        <v>Panama</v>
      </c>
      <c r="D1074" s="233" t="str">
        <f>VLOOKUP(Table3[[#This Row],[Document ID]],Table1[],5,FALSE)</f>
        <v>NDC</v>
      </c>
      <c r="E1074" s="233" t="str">
        <f>VLOOKUP(Table3[[#This Row],[Document ID]],Table1[],7,FALSE)</f>
        <v>First NDC updated</v>
      </c>
      <c r="F1074" s="233" t="str">
        <f>VLOOKUP(Table3[[#This Row],[Document ID]],Table1[],8,FALSE)</f>
        <v>NDC 1.1</v>
      </c>
      <c r="G1074" s="233" t="str">
        <f>VLOOKUP(Table3[[#This Row],[Document ID]],Table1[],10,FALSE)</f>
        <v>Archived</v>
      </c>
      <c r="H1074" s="43" t="s">
        <v>1147</v>
      </c>
      <c r="I1074" s="43" t="s">
        <v>1089</v>
      </c>
      <c r="J1074" s="43" t="s">
        <v>1090</v>
      </c>
      <c r="K1074" s="28" t="s">
        <v>1121</v>
      </c>
      <c r="L1074" s="43" t="s">
        <v>1116</v>
      </c>
      <c r="M1074" s="209">
        <v>2050</v>
      </c>
      <c r="N1074" s="44" t="s">
        <v>2173</v>
      </c>
      <c r="O1074" s="258">
        <v>5</v>
      </c>
      <c r="P1074" s="238" t="str">
        <f>VLOOKUP(_xlfn.CONCAT(Table3[[#This Row],[Target area]],Table3[[#This Row],[GHG target?]],Table3[[#This Row],[Conditionality]]),'Drop down'!$E$81:$F$101,2,FALSE)</f>
        <v>T_Netzero</v>
      </c>
      <c r="Q1074" s="239" t="str">
        <f>VLOOKUP(Table3[[#This Row],[Target type]],Table418[[Value name]:[Value idenifyer]],2,FALSE)</f>
        <v>T_FL</v>
      </c>
      <c r="V1074" s="233" t="str">
        <f>VLOOKUP(Table3[[#This Row],[Country Code]],Table29[],3,FALSE)</f>
        <v>Non-Annex I</v>
      </c>
      <c r="W1074" s="233" t="str">
        <f>VLOOKUP(Table3[[#This Row],[Country Code]],Table29[],4,FALSE)</f>
        <v>Latin America and the Caribbean</v>
      </c>
      <c r="X1074" s="233" t="str">
        <f>VLOOKUP(Table3[[#This Row],[Country Code]],Table29[],5,FALSE)</f>
        <v>Middle-income</v>
      </c>
      <c r="Y1074" s="233" t="str">
        <f>VLOOKUP(Table3[[#This Row],[Country Code]],Table29[],6,FALSE)</f>
        <v>no</v>
      </c>
      <c r="Z1074" s="233" t="str">
        <f>VLOOKUP(Table3[[#This Row],[Country Code]],Table29[],7,FALSE)</f>
        <v>no</v>
      </c>
      <c r="AA1074" s="233" t="str">
        <f>VLOOKUP(Table3[[#This Row],[Country Code]],Table29[],8,FALSE)</f>
        <v>non-OECD</v>
      </c>
      <c r="AB1074" s="233" t="str">
        <f>VLOOKUP(Table3[[#This Row],[Country Code]],Table29[],9,FALSE)</f>
        <v>no</v>
      </c>
      <c r="AC1074" s="233" t="str">
        <f>VLOOKUP(Table3[[#This Row],[Country Code]],Table29[],10,FALSE)</f>
        <v>no</v>
      </c>
      <c r="AD1074" s="235">
        <f>VLOOKUP(Table3[[#This Row],[Country Code]],Table29[],23,FALSE)</f>
        <v>21.281689073780999</v>
      </c>
      <c r="AE1074" s="235">
        <f>VLOOKUP(Table3[[#This Row],[Country Code]],Table29[],24,FALSE)</f>
        <v>5.7357943404010889</v>
      </c>
      <c r="AF1074" s="43"/>
    </row>
    <row r="1075" spans="1:32" ht="45" x14ac:dyDescent="0.25">
      <c r="A1075" s="360">
        <v>17696</v>
      </c>
      <c r="B1075" s="233" t="str">
        <f>VLOOKUP(Table3[[#This Row],[Document ID]],Table1[],2,FALSE)</f>
        <v>PNG</v>
      </c>
      <c r="C1075" s="233" t="str">
        <f>VLOOKUP(Table3[[#This Row],[Document ID]],Table1[],3,FALSE)</f>
        <v>Papua New Guinea</v>
      </c>
      <c r="D1075" s="233" t="str">
        <f>VLOOKUP(Table3[[#This Row],[Document ID]],Table1[],5,FALSE)</f>
        <v>NDC</v>
      </c>
      <c r="E1075" s="233" t="str">
        <f>VLOOKUP(Table3[[#This Row],[Document ID]],Table1[],7,FALSE)</f>
        <v>Second NDC</v>
      </c>
      <c r="F1075" s="233" t="str">
        <f>VLOOKUP(Table3[[#This Row],[Document ID]],Table1[],8,FALSE)</f>
        <v>NDC 2.0</v>
      </c>
      <c r="G1075" s="233" t="str">
        <f>VLOOKUP(Table3[[#This Row],[Document ID]],Table1[],10,FALSE)</f>
        <v>Active</v>
      </c>
      <c r="H1075" s="43" t="s">
        <v>1147</v>
      </c>
      <c r="I1075" s="43" t="s">
        <v>1089</v>
      </c>
      <c r="J1075" s="43" t="s">
        <v>1090</v>
      </c>
      <c r="K1075" s="28" t="s">
        <v>1121</v>
      </c>
      <c r="L1075" s="43" t="s">
        <v>1116</v>
      </c>
      <c r="M1075" s="209">
        <v>2050</v>
      </c>
      <c r="N1075" s="44" t="s">
        <v>2174</v>
      </c>
      <c r="O1075" s="258">
        <v>4</v>
      </c>
      <c r="P1075" s="238" t="str">
        <f>VLOOKUP(_xlfn.CONCAT(Table3[[#This Row],[Target area]],Table3[[#This Row],[GHG target?]],Table3[[#This Row],[Conditionality]]),'Drop down'!$E$81:$F$101,2,FALSE)</f>
        <v>T_Netzero</v>
      </c>
      <c r="Q1075" s="239" t="str">
        <f>VLOOKUP(Table3[[#This Row],[Target type]],Table418[[Value name]:[Value idenifyer]],2,FALSE)</f>
        <v>T_FL</v>
      </c>
      <c r="V1075" s="233" t="str">
        <f>VLOOKUP(Table3[[#This Row],[Country Code]],Table29[],3,FALSE)</f>
        <v>Non-Annex I</v>
      </c>
      <c r="W1075" s="233" t="str">
        <f>VLOOKUP(Table3[[#This Row],[Country Code]],Table29[],4,FALSE)</f>
        <v>Oceania</v>
      </c>
      <c r="X1075" s="233" t="str">
        <f>VLOOKUP(Table3[[#This Row],[Country Code]],Table29[],5,FALSE)</f>
        <v>Middle-income</v>
      </c>
      <c r="Y1075" s="233" t="str">
        <f>VLOOKUP(Table3[[#This Row],[Country Code]],Table29[],6,FALSE)</f>
        <v>no</v>
      </c>
      <c r="Z1075" s="233" t="str">
        <f>VLOOKUP(Table3[[#This Row],[Country Code]],Table29[],7,FALSE)</f>
        <v>no</v>
      </c>
      <c r="AA1075" s="233" t="str">
        <f>VLOOKUP(Table3[[#This Row],[Country Code]],Table29[],8,FALSE)</f>
        <v>non-OECD</v>
      </c>
      <c r="AB1075" s="233" t="str">
        <f>VLOOKUP(Table3[[#This Row],[Country Code]],Table29[],9,FALSE)</f>
        <v>no</v>
      </c>
      <c r="AC1075" s="233" t="str">
        <f>VLOOKUP(Table3[[#This Row],[Country Code]],Table29[],10,FALSE)</f>
        <v>no</v>
      </c>
      <c r="AD1075" s="235">
        <f>VLOOKUP(Table3[[#This Row],[Country Code]],Table29[],23,FALSE)</f>
        <v>9.6409981982956001</v>
      </c>
      <c r="AE1075" s="235">
        <f>VLOOKUP(Table3[[#This Row],[Country Code]],Table29[],24,FALSE)</f>
        <v>2.6300908312311049</v>
      </c>
      <c r="AF1075" s="43"/>
    </row>
    <row r="1076" spans="1:32" ht="60" x14ac:dyDescent="0.25">
      <c r="A1076" s="360">
        <v>17699</v>
      </c>
      <c r="B1076" s="233" t="str">
        <f>VLOOKUP(Table3[[#This Row],[Document ID]],Table1[],2,FALSE)</f>
        <v>PER</v>
      </c>
      <c r="C1076" s="233" t="str">
        <f>VLOOKUP(Table3[[#This Row],[Document ID]],Table1[],3,FALSE)</f>
        <v>Peru</v>
      </c>
      <c r="D1076" s="233" t="str">
        <f>VLOOKUP(Table3[[#This Row],[Document ID]],Table1[],5,FALSE)</f>
        <v>NDC</v>
      </c>
      <c r="E1076" s="233" t="str">
        <f>VLOOKUP(Table3[[#This Row],[Document ID]],Table1[],7,FALSE)</f>
        <v>First NDC updated</v>
      </c>
      <c r="F1076" s="233" t="str">
        <f>VLOOKUP(Table3[[#This Row],[Document ID]],Table1[],8,FALSE)</f>
        <v>NDC 1.1</v>
      </c>
      <c r="G1076" s="233" t="str">
        <f>VLOOKUP(Table3[[#This Row],[Document ID]],Table1[],10,FALSE)</f>
        <v>Active</v>
      </c>
      <c r="H1076" s="43" t="s">
        <v>1147</v>
      </c>
      <c r="I1076" s="43" t="s">
        <v>1089</v>
      </c>
      <c r="J1076" s="43" t="s">
        <v>1090</v>
      </c>
      <c r="K1076" s="28" t="s">
        <v>1121</v>
      </c>
      <c r="L1076" s="43" t="s">
        <v>1116</v>
      </c>
      <c r="M1076" s="209">
        <v>2050</v>
      </c>
      <c r="N1076" s="44" t="s">
        <v>2175</v>
      </c>
      <c r="O1076" s="258">
        <v>29</v>
      </c>
      <c r="P1076" s="238" t="str">
        <f>VLOOKUP(_xlfn.CONCAT(Table3[[#This Row],[Target area]],Table3[[#This Row],[GHG target?]],Table3[[#This Row],[Conditionality]]),'Drop down'!$E$81:$F$101,2,FALSE)</f>
        <v>T_Netzero</v>
      </c>
      <c r="Q1076" s="239" t="str">
        <f>VLOOKUP(Table3[[#This Row],[Target type]],Table418[[Value name]:[Value idenifyer]],2,FALSE)</f>
        <v>T_FL</v>
      </c>
      <c r="V1076" s="233" t="str">
        <f>VLOOKUP(Table3[[#This Row],[Country Code]],Table29[],3,FALSE)</f>
        <v>Non-Annex I</v>
      </c>
      <c r="W1076" s="233" t="str">
        <f>VLOOKUP(Table3[[#This Row],[Country Code]],Table29[],4,FALSE)</f>
        <v>Latin America and the Caribbean</v>
      </c>
      <c r="X1076" s="233" t="str">
        <f>VLOOKUP(Table3[[#This Row],[Country Code]],Table29[],5,FALSE)</f>
        <v>Middle-income</v>
      </c>
      <c r="Y1076" s="233" t="str">
        <f>VLOOKUP(Table3[[#This Row],[Country Code]],Table29[],6,FALSE)</f>
        <v>no</v>
      </c>
      <c r="Z1076" s="233" t="str">
        <f>VLOOKUP(Table3[[#This Row],[Country Code]],Table29[],7,FALSE)</f>
        <v>no</v>
      </c>
      <c r="AA1076" s="233" t="str">
        <f>VLOOKUP(Table3[[#This Row],[Country Code]],Table29[],8,FALSE)</f>
        <v>non-OECD</v>
      </c>
      <c r="AB1076" s="233" t="str">
        <f>VLOOKUP(Table3[[#This Row],[Country Code]],Table29[],9,FALSE)</f>
        <v>no</v>
      </c>
      <c r="AC1076" s="233" t="str">
        <f>VLOOKUP(Table3[[#This Row],[Country Code]],Table29[],10,FALSE)</f>
        <v>no</v>
      </c>
      <c r="AD1076" s="235">
        <f>VLOOKUP(Table3[[#This Row],[Country Code]],Table29[],23,FALSE)</f>
        <v>94.048681371835997</v>
      </c>
      <c r="AE1076" s="235">
        <f>VLOOKUP(Table3[[#This Row],[Country Code]],Table29[],24,FALSE)</f>
        <v>24.487842900424742</v>
      </c>
      <c r="AF1076" s="43"/>
    </row>
    <row r="1077" spans="1:32" ht="30" x14ac:dyDescent="0.25">
      <c r="A1077" s="360" t="s">
        <v>726</v>
      </c>
      <c r="B1077" s="233" t="str">
        <f>VLOOKUP(Table3[[#This Row],[Document ID]],Table1[],2,FALSE)</f>
        <v>POL</v>
      </c>
      <c r="C1077" s="233" t="str">
        <f>VLOOKUP(Table3[[#This Row],[Document ID]],Table1[],3,FALSE)</f>
        <v>Poland</v>
      </c>
      <c r="D1077" s="233" t="str">
        <f>VLOOKUP(Table3[[#This Row],[Document ID]],Table1[],5,FALSE)</f>
        <v>LTS</v>
      </c>
      <c r="E1077" s="233" t="str">
        <f>VLOOKUP(Table3[[#This Row],[Document ID]],Table1[],7,FALSE)</f>
        <v>EU-LTS</v>
      </c>
      <c r="F1077" s="233" t="str">
        <f>VLOOKUP(Table3[[#This Row],[Document ID]],Table1[],8,FALSE)</f>
        <v>LTS 1.0</v>
      </c>
      <c r="G1077" s="233" t="str">
        <f>VLOOKUP(Table3[[#This Row],[Document ID]],Table1[],10,FALSE)</f>
        <v>Covered by EU</v>
      </c>
      <c r="H1077" s="43" t="s">
        <v>1147</v>
      </c>
      <c r="I1077" s="43" t="s">
        <v>1089</v>
      </c>
      <c r="J1077" s="43" t="s">
        <v>1090</v>
      </c>
      <c r="K1077" s="28" t="s">
        <v>1121</v>
      </c>
      <c r="L1077" s="43" t="s">
        <v>1116</v>
      </c>
      <c r="M1077" s="209">
        <v>2050</v>
      </c>
      <c r="N1077" s="44" t="s">
        <v>2176</v>
      </c>
      <c r="O1077" s="258"/>
      <c r="P1077" s="238" t="str">
        <f>VLOOKUP(_xlfn.CONCAT(Table3[[#This Row],[Target area]],Table3[[#This Row],[GHG target?]],Table3[[#This Row],[Conditionality]]),'Drop down'!$E$81:$F$101,2,FALSE)</f>
        <v>T_Netzero</v>
      </c>
      <c r="Q1077" s="239" t="str">
        <f>VLOOKUP(Table3[[#This Row],[Target type]],Table418[[Value name]:[Value idenifyer]],2,FALSE)</f>
        <v>T_FL</v>
      </c>
      <c r="V1077" s="233" t="str">
        <f>VLOOKUP(Table3[[#This Row],[Country Code]],Table29[],3,FALSE)</f>
        <v>Annex I</v>
      </c>
      <c r="W1077" s="233" t="str">
        <f>VLOOKUP(Table3[[#This Row],[Country Code]],Table29[],4,FALSE)</f>
        <v>Europe</v>
      </c>
      <c r="X1077" s="233" t="str">
        <f>VLOOKUP(Table3[[#This Row],[Country Code]],Table29[],5,FALSE)</f>
        <v>High-income</v>
      </c>
      <c r="Y1077" s="233" t="str">
        <f>VLOOKUP(Table3[[#This Row],[Country Code]],Table29[],6,FALSE)</f>
        <v>no</v>
      </c>
      <c r="Z1077" s="233" t="str">
        <f>VLOOKUP(Table3[[#This Row],[Country Code]],Table29[],7,FALSE)</f>
        <v>no</v>
      </c>
      <c r="AA1077" s="233" t="str">
        <f>VLOOKUP(Table3[[#This Row],[Country Code]],Table29[],8,FALSE)</f>
        <v>OECD</v>
      </c>
      <c r="AB1077" s="233" t="str">
        <f>VLOOKUP(Table3[[#This Row],[Country Code]],Table29[],9,FALSE)</f>
        <v>EU27</v>
      </c>
      <c r="AC1077" s="233" t="str">
        <f>VLOOKUP(Table3[[#This Row],[Country Code]],Table29[],10,FALSE)</f>
        <v>no</v>
      </c>
      <c r="AD1077" s="235">
        <f>VLOOKUP(Table3[[#This Row],[Country Code]],Table29[],23,FALSE)</f>
        <v>363.79425000757999</v>
      </c>
      <c r="AE1077" s="235">
        <f>VLOOKUP(Table3[[#This Row],[Country Code]],Table29[],24,FALSE)</f>
        <v>68.702139687689851</v>
      </c>
      <c r="AF1077" s="43"/>
    </row>
    <row r="1078" spans="1:32" x14ac:dyDescent="0.25">
      <c r="A1078" s="360">
        <v>39450</v>
      </c>
      <c r="B1078" s="233" t="str">
        <f>VLOOKUP(Table3[[#This Row],[Document ID]],Table1[],2,FALSE)</f>
        <v>VUT</v>
      </c>
      <c r="C1078" s="233" t="str">
        <f>VLOOKUP(Table3[[#This Row],[Document ID]],Table1[],3,FALSE)</f>
        <v>Vanuatu</v>
      </c>
      <c r="D1078" s="233" t="str">
        <f>VLOOKUP(Table3[[#This Row],[Document ID]],Table1[],5,FALSE)</f>
        <v>LTS</v>
      </c>
      <c r="E1078" s="233" t="str">
        <f>VLOOKUP(Table3[[#This Row],[Document ID]],Table1[],7,FALSE)</f>
        <v>LTS</v>
      </c>
      <c r="F1078" s="233" t="str">
        <f>VLOOKUP(Table3[[#This Row],[Document ID]],Table1[],8,FALSE)</f>
        <v>LTS 1.0</v>
      </c>
      <c r="G1078" s="233" t="str">
        <f>VLOOKUP(Table3[[#This Row],[Document ID]],Table1[],10,FALSE)</f>
        <v>Active</v>
      </c>
      <c r="H1078" s="42" t="s">
        <v>1095</v>
      </c>
      <c r="I1078" s="43" t="s">
        <v>1115</v>
      </c>
      <c r="J1078" s="43" t="s">
        <v>1090</v>
      </c>
      <c r="K1078" s="28" t="s">
        <v>1091</v>
      </c>
      <c r="L1078" s="216" t="s">
        <v>1092</v>
      </c>
      <c r="M1078" s="209">
        <v>2050</v>
      </c>
      <c r="N1078" s="2" t="s">
        <v>2177</v>
      </c>
      <c r="O1078" s="258">
        <v>35</v>
      </c>
      <c r="P1078" s="238" t="str">
        <f>VLOOKUP(_xlfn.CONCAT(Table3[[#This Row],[Target area]],Table3[[#This Row],[GHG target?]],Table3[[#This Row],[Conditionality]]),'Drop down'!$E$81:$F$101,2,FALSE)</f>
        <v>T_Transport_C</v>
      </c>
      <c r="Q1078" s="239" t="str">
        <f>VLOOKUP(Table3[[#This Row],[Target type]],Table418[[Value name]:[Value idenifyer]],2,FALSE)</f>
        <v>T_BAU</v>
      </c>
      <c r="R1078" s="233" t="s">
        <v>539</v>
      </c>
      <c r="S1078" s="233" t="s">
        <v>1112</v>
      </c>
      <c r="T1078" s="234" t="s">
        <v>1113</v>
      </c>
      <c r="V1078" s="233" t="str">
        <f>VLOOKUP(Table3[[#This Row],[Country Code]],Table29[],3,FALSE)</f>
        <v>Non-Annex I</v>
      </c>
      <c r="W1078" s="233" t="str">
        <f>VLOOKUP(Table3[[#This Row],[Country Code]],Table29[],4,FALSE)</f>
        <v>Oceania</v>
      </c>
      <c r="X1078" s="233" t="str">
        <f>VLOOKUP(Table3[[#This Row],[Country Code]],Table29[],5,FALSE)</f>
        <v>Middle-income</v>
      </c>
      <c r="Y1078" s="233" t="str">
        <f>VLOOKUP(Table3[[#This Row],[Country Code]],Table29[],6,FALSE)</f>
        <v>no</v>
      </c>
      <c r="Z1078" s="233" t="str">
        <f>VLOOKUP(Table3[[#This Row],[Country Code]],Table29[],7,FALSE)</f>
        <v>no</v>
      </c>
      <c r="AA1078" s="233" t="str">
        <f>VLOOKUP(Table3[[#This Row],[Country Code]],Table29[],8,FALSE)</f>
        <v>non-OECD</v>
      </c>
      <c r="AB1078" s="233" t="str">
        <f>VLOOKUP(Table3[[#This Row],[Country Code]],Table29[],9,FALSE)</f>
        <v>no</v>
      </c>
      <c r="AC1078" s="233" t="str">
        <f>VLOOKUP(Table3[[#This Row],[Country Code]],Table29[],10,FALSE)</f>
        <v>no</v>
      </c>
      <c r="AD1078" s="235">
        <f>VLOOKUP(Table3[[#This Row],[Country Code]],Table29[],23,FALSE)</f>
        <v>0.67021230161326995</v>
      </c>
      <c r="AE1078" s="235">
        <f>VLOOKUP(Table3[[#This Row],[Country Code]],Table29[],24,FALSE)</f>
        <v>0.148941723979749</v>
      </c>
      <c r="AF1078" s="43"/>
    </row>
    <row r="1079" spans="1:32" x14ac:dyDescent="0.25">
      <c r="A1079" s="360">
        <v>17707</v>
      </c>
      <c r="B1079" s="233" t="str">
        <f>VLOOKUP(Table3[[#This Row],[Document ID]],Table1[],2,FALSE)</f>
        <v>KOR</v>
      </c>
      <c r="C1079" s="233" t="str">
        <f>VLOOKUP(Table3[[#This Row],[Document ID]],Table1[],3,FALSE)</f>
        <v>Republic of Korea</v>
      </c>
      <c r="D1079" s="233" t="str">
        <f>VLOOKUP(Table3[[#This Row],[Document ID]],Table1[],5,FALSE)</f>
        <v>LTS</v>
      </c>
      <c r="E1079" s="233" t="str">
        <f>VLOOKUP(Table3[[#This Row],[Document ID]],Table1[],7,FALSE)</f>
        <v>LTS</v>
      </c>
      <c r="F1079" s="233" t="str">
        <f>VLOOKUP(Table3[[#This Row],[Document ID]],Table1[],8,FALSE)</f>
        <v>LTS 1.0</v>
      </c>
      <c r="G1079" s="233" t="str">
        <f>VLOOKUP(Table3[[#This Row],[Document ID]],Table1[],10,FALSE)</f>
        <v>Active</v>
      </c>
      <c r="H1079" s="43" t="s">
        <v>1147</v>
      </c>
      <c r="I1079" s="43" t="s">
        <v>1089</v>
      </c>
      <c r="J1079" s="43" t="s">
        <v>1090</v>
      </c>
      <c r="K1079" s="28" t="s">
        <v>1121</v>
      </c>
      <c r="L1079" s="43" t="s">
        <v>1116</v>
      </c>
      <c r="M1079" s="209">
        <v>2050</v>
      </c>
      <c r="N1079" s="44" t="s">
        <v>1749</v>
      </c>
      <c r="O1079" s="258">
        <v>6</v>
      </c>
      <c r="P1079" s="238" t="str">
        <f>VLOOKUP(_xlfn.CONCAT(Table3[[#This Row],[Target area]],Table3[[#This Row],[GHG target?]],Table3[[#This Row],[Conditionality]]),'Drop down'!$E$81:$F$101,2,FALSE)</f>
        <v>T_Netzero</v>
      </c>
      <c r="Q1079" s="239" t="str">
        <f>VLOOKUP(Table3[[#This Row],[Target type]],Table418[[Value name]:[Value idenifyer]],2,FALSE)</f>
        <v>T_FL</v>
      </c>
      <c r="V1079" s="233" t="str">
        <f>VLOOKUP(Table3[[#This Row],[Country Code]],Table29[],3,FALSE)</f>
        <v>Non-Annex I</v>
      </c>
      <c r="W1079" s="233" t="str">
        <f>VLOOKUP(Table3[[#This Row],[Country Code]],Table29[],4,FALSE)</f>
        <v>Asia</v>
      </c>
      <c r="X1079" s="233" t="str">
        <f>VLOOKUP(Table3[[#This Row],[Country Code]],Table29[],5,FALSE)</f>
        <v>High-income</v>
      </c>
      <c r="Y1079" s="233" t="str">
        <f>VLOOKUP(Table3[[#This Row],[Country Code]],Table29[],6,FALSE)</f>
        <v>G20</v>
      </c>
      <c r="Z1079" s="233" t="str">
        <f>VLOOKUP(Table3[[#This Row],[Country Code]],Table29[],7,FALSE)</f>
        <v>no</v>
      </c>
      <c r="AA1079" s="233" t="str">
        <f>VLOOKUP(Table3[[#This Row],[Country Code]],Table29[],8,FALSE)</f>
        <v>OECD</v>
      </c>
      <c r="AB1079" s="233" t="str">
        <f>VLOOKUP(Table3[[#This Row],[Country Code]],Table29[],9,FALSE)</f>
        <v>no</v>
      </c>
      <c r="AC1079" s="233" t="str">
        <f>VLOOKUP(Table3[[#This Row],[Country Code]],Table29[],10,FALSE)</f>
        <v>no</v>
      </c>
      <c r="AD1079" s="235">
        <f>VLOOKUP(Table3[[#This Row],[Country Code]],Table29[],23,FALSE)</f>
        <v>653.84613998739997</v>
      </c>
      <c r="AE1079" s="235">
        <f>VLOOKUP(Table3[[#This Row],[Country Code]],Table29[],24,FALSE)</f>
        <v>107.9154569951917</v>
      </c>
      <c r="AF1079" s="43"/>
    </row>
    <row r="1080" spans="1:32" ht="30" x14ac:dyDescent="0.25">
      <c r="A1080" s="360">
        <v>32511</v>
      </c>
      <c r="B1080" s="233" t="str">
        <f>VLOOKUP(Table3[[#This Row],[Document ID]],Table1[],2,FALSE)</f>
        <v>KOR</v>
      </c>
      <c r="C1080" s="233" t="str">
        <f>VLOOKUP(Table3[[#This Row],[Document ID]],Table1[],3,FALSE)</f>
        <v>Republic of Korea</v>
      </c>
      <c r="D1080" s="233" t="str">
        <f>VLOOKUP(Table3[[#This Row],[Document ID]],Table1[],5,FALSE)</f>
        <v>NDC</v>
      </c>
      <c r="E1080" s="233" t="str">
        <f>VLOOKUP(Table3[[#This Row],[Document ID]],Table1[],7,FALSE)</f>
        <v>First NDC updated</v>
      </c>
      <c r="F1080" s="233" t="str">
        <f>VLOOKUP(Table3[[#This Row],[Document ID]],Table1[],8,FALSE)</f>
        <v>NDC 1.2</v>
      </c>
      <c r="G1080" s="233" t="str">
        <f>VLOOKUP(Table3[[#This Row],[Document ID]],Table1[],10,FALSE)</f>
        <v>Active</v>
      </c>
      <c r="H1080" s="43" t="s">
        <v>1147</v>
      </c>
      <c r="I1080" s="43" t="s">
        <v>1089</v>
      </c>
      <c r="J1080" s="43" t="s">
        <v>1090</v>
      </c>
      <c r="K1080" s="28" t="s">
        <v>1121</v>
      </c>
      <c r="L1080" s="43" t="s">
        <v>1116</v>
      </c>
      <c r="M1080" s="209">
        <v>2050</v>
      </c>
      <c r="N1080" s="209" t="s">
        <v>2178</v>
      </c>
      <c r="O1080" s="258">
        <v>5</v>
      </c>
      <c r="P1080" s="238" t="str">
        <f>VLOOKUP(_xlfn.CONCAT(Table3[[#This Row],[Target area]],Table3[[#This Row],[GHG target?]],Table3[[#This Row],[Conditionality]]),'Drop down'!$E$81:$F$101,2,FALSE)</f>
        <v>T_Netzero</v>
      </c>
      <c r="Q1080" s="239" t="str">
        <f>VLOOKUP(Table3[[#This Row],[Target type]],Table418[[Value name]:[Value idenifyer]],2,FALSE)</f>
        <v>T_FL</v>
      </c>
      <c r="V1080" s="233" t="str">
        <f>VLOOKUP(Table3[[#This Row],[Country Code]],Table29[],3,FALSE)</f>
        <v>Non-Annex I</v>
      </c>
      <c r="W1080" s="233" t="str">
        <f>VLOOKUP(Table3[[#This Row],[Country Code]],Table29[],4,FALSE)</f>
        <v>Asia</v>
      </c>
      <c r="X1080" s="233" t="str">
        <f>VLOOKUP(Table3[[#This Row],[Country Code]],Table29[],5,FALSE)</f>
        <v>High-income</v>
      </c>
      <c r="Y1080" s="233" t="str">
        <f>VLOOKUP(Table3[[#This Row],[Country Code]],Table29[],6,FALSE)</f>
        <v>G20</v>
      </c>
      <c r="Z1080" s="233" t="str">
        <f>VLOOKUP(Table3[[#This Row],[Country Code]],Table29[],7,FALSE)</f>
        <v>no</v>
      </c>
      <c r="AA1080" s="233" t="str">
        <f>VLOOKUP(Table3[[#This Row],[Country Code]],Table29[],8,FALSE)</f>
        <v>OECD</v>
      </c>
      <c r="AB1080" s="233" t="str">
        <f>VLOOKUP(Table3[[#This Row],[Country Code]],Table29[],9,FALSE)</f>
        <v>no</v>
      </c>
      <c r="AC1080" s="233" t="str">
        <f>VLOOKUP(Table3[[#This Row],[Country Code]],Table29[],10,FALSE)</f>
        <v>no</v>
      </c>
      <c r="AD1080" s="235">
        <f>VLOOKUP(Table3[[#This Row],[Country Code]],Table29[],23,FALSE)</f>
        <v>653.84613998739997</v>
      </c>
      <c r="AE1080" s="235">
        <f>VLOOKUP(Table3[[#This Row],[Country Code]],Table29[],24,FALSE)</f>
        <v>107.9154569951917</v>
      </c>
      <c r="AF1080" s="43"/>
    </row>
    <row r="1081" spans="1:32" ht="30" x14ac:dyDescent="0.25">
      <c r="A1081" s="360" t="s">
        <v>727</v>
      </c>
      <c r="B1081" s="233" t="str">
        <f>VLOOKUP(Table3[[#This Row],[Document ID]],Table1[],2,FALSE)</f>
        <v>ROU</v>
      </c>
      <c r="C1081" s="233" t="str">
        <f>VLOOKUP(Table3[[#This Row],[Document ID]],Table1[],3,FALSE)</f>
        <v>Romania</v>
      </c>
      <c r="D1081" s="233" t="str">
        <f>VLOOKUP(Table3[[#This Row],[Document ID]],Table1[],5,FALSE)</f>
        <v>LTS</v>
      </c>
      <c r="E1081" s="233" t="str">
        <f>VLOOKUP(Table3[[#This Row],[Document ID]],Table1[],7,FALSE)</f>
        <v>EU-LTS</v>
      </c>
      <c r="F1081" s="233" t="str">
        <f>VLOOKUP(Table3[[#This Row],[Document ID]],Table1[],8,FALSE)</f>
        <v>LTS 1.0</v>
      </c>
      <c r="G1081" s="233" t="str">
        <f>VLOOKUP(Table3[[#This Row],[Document ID]],Table1[],10,FALSE)</f>
        <v>Covered by EU</v>
      </c>
      <c r="H1081" s="43" t="s">
        <v>1147</v>
      </c>
      <c r="I1081" s="43" t="s">
        <v>1089</v>
      </c>
      <c r="J1081" s="43" t="s">
        <v>1090</v>
      </c>
      <c r="K1081" s="28" t="s">
        <v>1121</v>
      </c>
      <c r="L1081" s="43" t="s">
        <v>1116</v>
      </c>
      <c r="M1081" s="209">
        <v>2050</v>
      </c>
      <c r="N1081" s="44" t="s">
        <v>2179</v>
      </c>
      <c r="O1081" s="258"/>
      <c r="P1081" s="238" t="str">
        <f>VLOOKUP(_xlfn.CONCAT(Table3[[#This Row],[Target area]],Table3[[#This Row],[GHG target?]],Table3[[#This Row],[Conditionality]]),'Drop down'!$E$81:$F$101,2,FALSE)</f>
        <v>T_Netzero</v>
      </c>
      <c r="Q1081" s="239" t="str">
        <f>VLOOKUP(Table3[[#This Row],[Target type]],Table418[[Value name]:[Value idenifyer]],2,FALSE)</f>
        <v>T_FL</v>
      </c>
      <c r="V1081" s="233" t="str">
        <f>VLOOKUP(Table3[[#This Row],[Country Code]],Table29[],3,FALSE)</f>
        <v>Annex I</v>
      </c>
      <c r="W1081" s="233" t="str">
        <f>VLOOKUP(Table3[[#This Row],[Country Code]],Table29[],4,FALSE)</f>
        <v>Europe</v>
      </c>
      <c r="X1081" s="233" t="str">
        <f>VLOOKUP(Table3[[#This Row],[Country Code]],Table29[],5,FALSE)</f>
        <v>Middle-income</v>
      </c>
      <c r="Y1081" s="233" t="str">
        <f>VLOOKUP(Table3[[#This Row],[Country Code]],Table29[],6,FALSE)</f>
        <v>no</v>
      </c>
      <c r="Z1081" s="233" t="str">
        <f>VLOOKUP(Table3[[#This Row],[Country Code]],Table29[],7,FALSE)</f>
        <v>no</v>
      </c>
      <c r="AA1081" s="233" t="str">
        <f>VLOOKUP(Table3[[#This Row],[Country Code]],Table29[],8,FALSE)</f>
        <v>non-OECD</v>
      </c>
      <c r="AB1081" s="233" t="str">
        <f>VLOOKUP(Table3[[#This Row],[Country Code]],Table29[],9,FALSE)</f>
        <v>EU27</v>
      </c>
      <c r="AC1081" s="233" t="str">
        <f>VLOOKUP(Table3[[#This Row],[Country Code]],Table29[],10,FALSE)</f>
        <v>no</v>
      </c>
      <c r="AD1081" s="235">
        <f>VLOOKUP(Table3[[#This Row],[Country Code]],Table29[],23,FALSE)</f>
        <v>105.85240058122</v>
      </c>
      <c r="AE1081" s="235">
        <f>VLOOKUP(Table3[[#This Row],[Country Code]],Table29[],24,FALSE)</f>
        <v>21.004112862883009</v>
      </c>
      <c r="AF1081" s="43"/>
    </row>
    <row r="1082" spans="1:32" ht="30" x14ac:dyDescent="0.25">
      <c r="A1082" s="360">
        <v>32512</v>
      </c>
      <c r="B1082" s="233" t="str">
        <f>VLOOKUP(Table3[[#This Row],[Document ID]],Table1[],2,FALSE)</f>
        <v>RUS</v>
      </c>
      <c r="C1082" s="233" t="str">
        <f>VLOOKUP(Table3[[#This Row],[Document ID]],Table1[],3,FALSE)</f>
        <v>Russian Federation</v>
      </c>
      <c r="D1082" s="233" t="str">
        <f>VLOOKUP(Table3[[#This Row],[Document ID]],Table1[],5,FALSE)</f>
        <v>LTS</v>
      </c>
      <c r="E1082" s="233" t="str">
        <f>VLOOKUP(Table3[[#This Row],[Document ID]],Table1[],7,FALSE)</f>
        <v>LTS</v>
      </c>
      <c r="F1082" s="233" t="str">
        <f>VLOOKUP(Table3[[#This Row],[Document ID]],Table1[],8,FALSE)</f>
        <v>LTS 1.0</v>
      </c>
      <c r="G1082" s="233" t="str">
        <f>VLOOKUP(Table3[[#This Row],[Document ID]],Table1[],10,FALSE)</f>
        <v>Active</v>
      </c>
      <c r="H1082" s="43" t="s">
        <v>1147</v>
      </c>
      <c r="I1082" s="43" t="s">
        <v>1089</v>
      </c>
      <c r="J1082" s="43" t="s">
        <v>1090</v>
      </c>
      <c r="K1082" s="28" t="s">
        <v>1121</v>
      </c>
      <c r="L1082" s="43" t="s">
        <v>1116</v>
      </c>
      <c r="M1082" s="209" t="s">
        <v>2180</v>
      </c>
      <c r="N1082" s="44" t="s">
        <v>2181</v>
      </c>
      <c r="O1082" s="258">
        <v>24</v>
      </c>
      <c r="P1082" s="238" t="str">
        <f>VLOOKUP(_xlfn.CONCAT(Table3[[#This Row],[Target area]],Table3[[#This Row],[GHG target?]],Table3[[#This Row],[Conditionality]]),'Drop down'!$E$81:$F$101,2,FALSE)</f>
        <v>T_Netzero</v>
      </c>
      <c r="Q1082" s="239" t="str">
        <f>VLOOKUP(Table3[[#This Row],[Target type]],Table418[[Value name]:[Value idenifyer]],2,FALSE)</f>
        <v>T_FL</v>
      </c>
      <c r="V1082" s="233" t="str">
        <f>VLOOKUP(Table3[[#This Row],[Country Code]],Table29[],3,FALSE)</f>
        <v>Annex I</v>
      </c>
      <c r="W1082" s="233" t="str">
        <f>VLOOKUP(Table3[[#This Row],[Country Code]],Table29[],4,FALSE)</f>
        <v>Europe</v>
      </c>
      <c r="X1082" s="233" t="str">
        <f>VLOOKUP(Table3[[#This Row],[Country Code]],Table29[],5,FALSE)</f>
        <v>Middle-income</v>
      </c>
      <c r="Y1082" s="233" t="str">
        <f>VLOOKUP(Table3[[#This Row],[Country Code]],Table29[],6,FALSE)</f>
        <v>G20</v>
      </c>
      <c r="Z1082" s="233" t="str">
        <f>VLOOKUP(Table3[[#This Row],[Country Code]],Table29[],7,FALSE)</f>
        <v>no</v>
      </c>
      <c r="AA1082" s="233" t="str">
        <f>VLOOKUP(Table3[[#This Row],[Country Code]],Table29[],8,FALSE)</f>
        <v>non-OECD</v>
      </c>
      <c r="AB1082" s="233" t="str">
        <f>VLOOKUP(Table3[[#This Row],[Country Code]],Table29[],9,FALSE)</f>
        <v>no</v>
      </c>
      <c r="AC1082" s="233" t="str">
        <f>VLOOKUP(Table3[[#This Row],[Country Code]],Table29[],10,FALSE)</f>
        <v>no</v>
      </c>
      <c r="AD1082" s="235">
        <f>VLOOKUP(Table3[[#This Row],[Country Code]],Table29[],23,FALSE)</f>
        <v>2672.0394366031001</v>
      </c>
      <c r="AE1082" s="235">
        <f>VLOOKUP(Table3[[#This Row],[Country Code]],Table29[],24,FALSE)</f>
        <v>265.70074531042741</v>
      </c>
      <c r="AF1082" s="43"/>
    </row>
    <row r="1083" spans="1:32" ht="60" x14ac:dyDescent="0.25">
      <c r="A1083" s="360">
        <v>22007</v>
      </c>
      <c r="B1083" s="233" t="str">
        <f>VLOOKUP(Table3[[#This Row],[Document ID]],Table1[],2,FALSE)</f>
        <v>WSM</v>
      </c>
      <c r="C1083" s="233" t="str">
        <f>VLOOKUP(Table3[[#This Row],[Document ID]],Table1[],3,FALSE)</f>
        <v>Samoa</v>
      </c>
      <c r="D1083" s="233" t="str">
        <f>VLOOKUP(Table3[[#This Row],[Document ID]],Table1[],5,FALSE)</f>
        <v>NDC</v>
      </c>
      <c r="E1083" s="233" t="str">
        <f>VLOOKUP(Table3[[#This Row],[Document ID]],Table1[],7,FALSE)</f>
        <v>Second NDC</v>
      </c>
      <c r="F1083" s="233" t="str">
        <f>VLOOKUP(Table3[[#This Row],[Document ID]],Table1[],8,FALSE)</f>
        <v>NDC 2.0</v>
      </c>
      <c r="G1083" s="233" t="str">
        <f>VLOOKUP(Table3[[#This Row],[Document ID]],Table1[],10,FALSE)</f>
        <v>Active</v>
      </c>
      <c r="H1083" s="42" t="s">
        <v>1095</v>
      </c>
      <c r="I1083" s="43" t="s">
        <v>1096</v>
      </c>
      <c r="J1083" s="43" t="s">
        <v>1090</v>
      </c>
      <c r="K1083" s="28" t="s">
        <v>1121</v>
      </c>
      <c r="L1083" s="43" t="s">
        <v>1092</v>
      </c>
      <c r="M1083" s="209">
        <v>2030</v>
      </c>
      <c r="N1083" s="44" t="s">
        <v>2182</v>
      </c>
      <c r="O1083" s="258">
        <v>6</v>
      </c>
      <c r="P1083" s="238" t="str">
        <f>VLOOKUP(_xlfn.CONCAT(Table3[[#This Row],[Target area]],Table3[[#This Row],[GHG target?]],Table3[[#This Row],[Conditionality]]),'Drop down'!$E$81:$F$101,2,FALSE)</f>
        <v>T_Transport_C</v>
      </c>
      <c r="Q1083" s="239" t="str">
        <f>VLOOKUP(Table3[[#This Row],[Target type]],Table418[[Value name]:[Value idenifyer]],2,FALSE)</f>
        <v>T_FL</v>
      </c>
      <c r="R1083" s="233" t="s">
        <v>539</v>
      </c>
      <c r="S1083" s="233" t="s">
        <v>1112</v>
      </c>
      <c r="V1083" s="233" t="str">
        <f>VLOOKUP(Table3[[#This Row],[Country Code]],Table29[],3,FALSE)</f>
        <v>Non-Annex I</v>
      </c>
      <c r="W1083" s="233" t="str">
        <f>VLOOKUP(Table3[[#This Row],[Country Code]],Table29[],4,FALSE)</f>
        <v>Oceania</v>
      </c>
      <c r="X1083" s="233" t="str">
        <f>VLOOKUP(Table3[[#This Row],[Country Code]],Table29[],5,FALSE)</f>
        <v>Middle-income</v>
      </c>
      <c r="Y1083" s="233" t="str">
        <f>VLOOKUP(Table3[[#This Row],[Country Code]],Table29[],6,FALSE)</f>
        <v>no</v>
      </c>
      <c r="Z1083" s="233" t="str">
        <f>VLOOKUP(Table3[[#This Row],[Country Code]],Table29[],7,FALSE)</f>
        <v>no</v>
      </c>
      <c r="AA1083" s="233" t="str">
        <f>VLOOKUP(Table3[[#This Row],[Country Code]],Table29[],8,FALSE)</f>
        <v>non-OECD</v>
      </c>
      <c r="AB1083" s="233" t="str">
        <f>VLOOKUP(Table3[[#This Row],[Country Code]],Table29[],9,FALSE)</f>
        <v>no</v>
      </c>
      <c r="AC1083" s="233" t="str">
        <f>VLOOKUP(Table3[[#This Row],[Country Code]],Table29[],10,FALSE)</f>
        <v>no</v>
      </c>
      <c r="AD1083" s="235">
        <f>VLOOKUP(Table3[[#This Row],[Country Code]],Table29[],23,FALSE)</f>
        <v>0.64614359538246002</v>
      </c>
      <c r="AE1083" s="235">
        <f>VLOOKUP(Table3[[#This Row],[Country Code]],Table29[],24,FALSE)</f>
        <v>0.2431860191561139</v>
      </c>
      <c r="AF1083" s="43"/>
    </row>
    <row r="1084" spans="1:32" ht="30" x14ac:dyDescent="0.25">
      <c r="A1084" s="360">
        <v>17740</v>
      </c>
      <c r="B1084" s="233" t="str">
        <f>VLOOKUP(Table3[[#This Row],[Document ID]],Table1[],2,FALSE)</f>
        <v>ZAF</v>
      </c>
      <c r="C1084" s="233" t="str">
        <f>VLOOKUP(Table3[[#This Row],[Document ID]],Table1[],3,FALSE)</f>
        <v>South Africa</v>
      </c>
      <c r="D1084" s="233" t="str">
        <f>VLOOKUP(Table3[[#This Row],[Document ID]],Table1[],5,FALSE)</f>
        <v>LTS</v>
      </c>
      <c r="E1084" s="233" t="str">
        <f>VLOOKUP(Table3[[#This Row],[Document ID]],Table1[],7,FALSE)</f>
        <v>LTS</v>
      </c>
      <c r="F1084" s="233" t="str">
        <f>VLOOKUP(Table3[[#This Row],[Document ID]],Table1[],8,FALSE)</f>
        <v>LTS 1.0</v>
      </c>
      <c r="G1084" s="233" t="str">
        <f>VLOOKUP(Table3[[#This Row],[Document ID]],Table1[],10,FALSE)</f>
        <v>Active</v>
      </c>
      <c r="H1084" s="42" t="s">
        <v>1095</v>
      </c>
      <c r="I1084" s="42" t="s">
        <v>1096</v>
      </c>
      <c r="J1084" s="42" t="s">
        <v>1097</v>
      </c>
      <c r="K1084" s="28" t="s">
        <v>1137</v>
      </c>
      <c r="L1084" s="42" t="s">
        <v>1099</v>
      </c>
      <c r="M1084" s="209">
        <v>2030</v>
      </c>
      <c r="N1084" s="44" t="s">
        <v>2183</v>
      </c>
      <c r="O1084" s="221">
        <v>28</v>
      </c>
      <c r="P1084" s="238" t="str">
        <f>VLOOKUP(_xlfn.CONCAT(Table3[[#This Row],[Target area]],Table3[[#This Row],[GHG target?]],Table3[[#This Row],[Conditionality]]),'Drop down'!$E$81:$F$101,2,FALSE)</f>
        <v>T_Transport_O_Unc</v>
      </c>
      <c r="Q1084" s="239" t="str">
        <f>VLOOKUP(Table3[[#This Row],[Target type]],Table418[[Value name]:[Value idenifyer]],2,FALSE)</f>
        <v>T_O_EFF</v>
      </c>
      <c r="S1084" s="233" t="s">
        <v>1101</v>
      </c>
      <c r="T1084" s="234" t="s">
        <v>1113</v>
      </c>
      <c r="V1084" s="233" t="str">
        <f>VLOOKUP(Table3[[#This Row],[Country Code]],Table29[],3,FALSE)</f>
        <v>Non-Annex I</v>
      </c>
      <c r="W1084" s="233" t="str">
        <f>VLOOKUP(Table3[[#This Row],[Country Code]],Table29[],4,FALSE)</f>
        <v>Africa</v>
      </c>
      <c r="X1084" s="233" t="str">
        <f>VLOOKUP(Table3[[#This Row],[Country Code]],Table29[],5,FALSE)</f>
        <v>Middle-income</v>
      </c>
      <c r="Y1084" s="233" t="str">
        <f>VLOOKUP(Table3[[#This Row],[Country Code]],Table29[],6,FALSE)</f>
        <v>G20</v>
      </c>
      <c r="Z1084" s="233" t="str">
        <f>VLOOKUP(Table3[[#This Row],[Country Code]],Table29[],7,FALSE)</f>
        <v>no</v>
      </c>
      <c r="AA1084" s="233" t="str">
        <f>VLOOKUP(Table3[[#This Row],[Country Code]],Table29[],8,FALSE)</f>
        <v>non-OECD</v>
      </c>
      <c r="AB1084" s="233" t="str">
        <f>VLOOKUP(Table3[[#This Row],[Country Code]],Table29[],9,FALSE)</f>
        <v>no</v>
      </c>
      <c r="AC1084" s="233" t="str">
        <f>VLOOKUP(Table3[[#This Row],[Country Code]],Table29[],10,FALSE)</f>
        <v>no</v>
      </c>
      <c r="AD1084" s="235">
        <f>VLOOKUP(Table3[[#This Row],[Country Code]],Table29[],23,FALSE)</f>
        <v>522.11549112330999</v>
      </c>
      <c r="AE1084" s="235">
        <f>VLOOKUP(Table3[[#This Row],[Country Code]],Table29[],24,FALSE)</f>
        <v>50.351995093376694</v>
      </c>
      <c r="AF1084" s="43"/>
    </row>
    <row r="1085" spans="1:32" x14ac:dyDescent="0.25">
      <c r="A1085" s="360">
        <v>21279</v>
      </c>
      <c r="B1085" s="233" t="str">
        <f>VLOOKUP(Table3[[#This Row],[Document ID]],Table1[],2,FALSE)</f>
        <v>SYC</v>
      </c>
      <c r="C1085" s="233" t="str">
        <f>VLOOKUP(Table3[[#This Row],[Document ID]],Table1[],3,FALSE)</f>
        <v>Seychelles</v>
      </c>
      <c r="D1085" s="233" t="str">
        <f>VLOOKUP(Table3[[#This Row],[Document ID]],Table1[],5,FALSE)</f>
        <v>NDC</v>
      </c>
      <c r="E1085" s="233" t="str">
        <f>VLOOKUP(Table3[[#This Row],[Document ID]],Table1[],7,FALSE)</f>
        <v>First NDC updated</v>
      </c>
      <c r="F1085" s="233" t="str">
        <f>VLOOKUP(Table3[[#This Row],[Document ID]],Table1[],8,FALSE)</f>
        <v>NDC 1.1</v>
      </c>
      <c r="G1085" s="233" t="str">
        <f>VLOOKUP(Table3[[#This Row],[Document ID]],Table1[],10,FALSE)</f>
        <v>Active</v>
      </c>
      <c r="H1085" s="43" t="s">
        <v>1147</v>
      </c>
      <c r="I1085" s="43" t="s">
        <v>1089</v>
      </c>
      <c r="J1085" s="43" t="s">
        <v>1090</v>
      </c>
      <c r="K1085" s="28" t="s">
        <v>1121</v>
      </c>
      <c r="L1085" s="43" t="s">
        <v>1116</v>
      </c>
      <c r="M1085" s="209">
        <v>2050</v>
      </c>
      <c r="N1085" s="209" t="s">
        <v>2184</v>
      </c>
      <c r="O1085" s="258">
        <v>6</v>
      </c>
      <c r="P1085" s="238" t="str">
        <f>VLOOKUP(_xlfn.CONCAT(Table3[[#This Row],[Target area]],Table3[[#This Row],[GHG target?]],Table3[[#This Row],[Conditionality]]),'Drop down'!$E$81:$F$101,2,FALSE)</f>
        <v>T_Netzero</v>
      </c>
      <c r="Q1085" s="239" t="str">
        <f>VLOOKUP(Table3[[#This Row],[Target type]],Table418[[Value name]:[Value idenifyer]],2,FALSE)</f>
        <v>T_FL</v>
      </c>
      <c r="T1085" s="240"/>
      <c r="V1085" s="233" t="str">
        <f>VLOOKUP(Table3[[#This Row],[Country Code]],Table29[],3,FALSE)</f>
        <v>Non-Annex I</v>
      </c>
      <c r="W1085" s="233" t="str">
        <f>VLOOKUP(Table3[[#This Row],[Country Code]],Table29[],4,FALSE)</f>
        <v>Africa</v>
      </c>
      <c r="X1085" s="233" t="str">
        <f>VLOOKUP(Table3[[#This Row],[Country Code]],Table29[],5,FALSE)</f>
        <v>High-income</v>
      </c>
      <c r="Y1085" s="233" t="str">
        <f>VLOOKUP(Table3[[#This Row],[Country Code]],Table29[],6,FALSE)</f>
        <v>no</v>
      </c>
      <c r="Z1085" s="233" t="str">
        <f>VLOOKUP(Table3[[#This Row],[Country Code]],Table29[],7,FALSE)</f>
        <v>no</v>
      </c>
      <c r="AA1085" s="233" t="str">
        <f>VLOOKUP(Table3[[#This Row],[Country Code]],Table29[],8,FALSE)</f>
        <v>non-OECD</v>
      </c>
      <c r="AB1085" s="233" t="str">
        <f>VLOOKUP(Table3[[#This Row],[Country Code]],Table29[],9,FALSE)</f>
        <v>no</v>
      </c>
      <c r="AC1085" s="233" t="str">
        <f>VLOOKUP(Table3[[#This Row],[Country Code]],Table29[],10,FALSE)</f>
        <v>no</v>
      </c>
      <c r="AD1085" s="235">
        <f>VLOOKUP(Table3[[#This Row],[Country Code]],Table29[],23,FALSE)</f>
        <v>1.3387084460448999</v>
      </c>
      <c r="AE1085" s="235">
        <f>VLOOKUP(Table3[[#This Row],[Country Code]],Table29[],24,FALSE)</f>
        <v>0.72161504168930912</v>
      </c>
      <c r="AF1085" s="43"/>
    </row>
    <row r="1086" spans="1:32" ht="30" x14ac:dyDescent="0.25">
      <c r="A1086" s="360">
        <v>17739</v>
      </c>
      <c r="B1086" s="233" t="str">
        <f>VLOOKUP(Table3[[#This Row],[Document ID]],Table1[],2,FALSE)</f>
        <v>ZAF</v>
      </c>
      <c r="C1086" s="233" t="str">
        <f>VLOOKUP(Table3[[#This Row],[Document ID]],Table1[],3,FALSE)</f>
        <v>South Africa</v>
      </c>
      <c r="D1086" s="233" t="str">
        <f>VLOOKUP(Table3[[#This Row],[Document ID]],Table1[],5,FALSE)</f>
        <v>NDC</v>
      </c>
      <c r="E1086" s="233" t="str">
        <f>VLOOKUP(Table3[[#This Row],[Document ID]],Table1[],7,FALSE)</f>
        <v>First NDC</v>
      </c>
      <c r="F1086" s="233" t="str">
        <f>VLOOKUP(Table3[[#This Row],[Document ID]],Table1[],8,FALSE)</f>
        <v>NDC 1.0</v>
      </c>
      <c r="G1086" s="233" t="str">
        <f>VLOOKUP(Table3[[#This Row],[Document ID]],Table1[],10,FALSE)</f>
        <v>Archived</v>
      </c>
      <c r="H1086" s="42" t="s">
        <v>1095</v>
      </c>
      <c r="I1086" s="42" t="s">
        <v>1096</v>
      </c>
      <c r="J1086" s="42" t="s">
        <v>1097</v>
      </c>
      <c r="K1086" s="28" t="s">
        <v>1104</v>
      </c>
      <c r="L1086" s="389" t="s">
        <v>1099</v>
      </c>
      <c r="M1086" s="209">
        <v>2030</v>
      </c>
      <c r="N1086" s="44" t="s">
        <v>2185</v>
      </c>
      <c r="O1086" s="221">
        <v>9</v>
      </c>
      <c r="P1086" s="238" t="str">
        <f>VLOOKUP(_xlfn.CONCAT(Table3[[#This Row],[Target area]],Table3[[#This Row],[GHG target?]],Table3[[#This Row],[Conditionality]]),'Drop down'!$E$81:$F$101,2,FALSE)</f>
        <v>T_Transport_O_Unc</v>
      </c>
      <c r="Q1086" s="239" t="str">
        <f>VLOOKUP(Table3[[#This Row],[Target type]],Table418[[Value name]:[Value idenifyer]],2,FALSE)</f>
        <v>T_O_ZERO</v>
      </c>
      <c r="S1086" s="233" t="s">
        <v>1101</v>
      </c>
      <c r="T1086" s="234" t="s">
        <v>1113</v>
      </c>
      <c r="V1086" s="233" t="str">
        <f>VLOOKUP(Table3[[#This Row],[Country Code]],Table29[],3,FALSE)</f>
        <v>Non-Annex I</v>
      </c>
      <c r="W1086" s="233" t="str">
        <f>VLOOKUP(Table3[[#This Row],[Country Code]],Table29[],4,FALSE)</f>
        <v>Africa</v>
      </c>
      <c r="X1086" s="233" t="str">
        <f>VLOOKUP(Table3[[#This Row],[Country Code]],Table29[],5,FALSE)</f>
        <v>Middle-income</v>
      </c>
      <c r="Y1086" s="233" t="str">
        <f>VLOOKUP(Table3[[#This Row],[Country Code]],Table29[],6,FALSE)</f>
        <v>G20</v>
      </c>
      <c r="Z1086" s="233" t="str">
        <f>VLOOKUP(Table3[[#This Row],[Country Code]],Table29[],7,FALSE)</f>
        <v>no</v>
      </c>
      <c r="AA1086" s="233" t="str">
        <f>VLOOKUP(Table3[[#This Row],[Country Code]],Table29[],8,FALSE)</f>
        <v>non-OECD</v>
      </c>
      <c r="AB1086" s="233" t="str">
        <f>VLOOKUP(Table3[[#This Row],[Country Code]],Table29[],9,FALSE)</f>
        <v>no</v>
      </c>
      <c r="AC1086" s="233" t="str">
        <f>VLOOKUP(Table3[[#This Row],[Country Code]],Table29[],10,FALSE)</f>
        <v>no</v>
      </c>
      <c r="AD1086" s="235">
        <f>VLOOKUP(Table3[[#This Row],[Country Code]],Table29[],23,FALSE)</f>
        <v>522.11549112330999</v>
      </c>
      <c r="AE1086" s="235">
        <f>VLOOKUP(Table3[[#This Row],[Country Code]],Table29[],24,FALSE)</f>
        <v>50.351995093376694</v>
      </c>
      <c r="AF1086" s="43"/>
    </row>
    <row r="1087" spans="1:32" ht="30" x14ac:dyDescent="0.25">
      <c r="A1087" s="360">
        <v>22274</v>
      </c>
      <c r="B1087" s="233" t="str">
        <f>VLOOKUP(Table3[[#This Row],[Document ID]],Table1[],2,FALSE)</f>
        <v>ZWE</v>
      </c>
      <c r="C1087" s="233" t="str">
        <f>VLOOKUP(Table3[[#This Row],[Document ID]],Table1[],3,FALSE)</f>
        <v>Zimbabwe</v>
      </c>
      <c r="D1087" s="233" t="str">
        <f>VLOOKUP(Table3[[#This Row],[Document ID]],Table1[],5,FALSE)</f>
        <v>NDC</v>
      </c>
      <c r="E1087" s="233" t="str">
        <f>VLOOKUP(Table3[[#This Row],[Document ID]],Table1[],7,FALSE)</f>
        <v>First NDC updated</v>
      </c>
      <c r="F1087" s="233" t="str">
        <f>VLOOKUP(Table3[[#This Row],[Document ID]],Table1[],8,FALSE)</f>
        <v>NDC 1.1</v>
      </c>
      <c r="G1087" s="233" t="str">
        <f>VLOOKUP(Table3[[#This Row],[Document ID]],Table1[],10,FALSE)</f>
        <v>Archived</v>
      </c>
      <c r="H1087" s="42" t="s">
        <v>1095</v>
      </c>
      <c r="I1087" s="42" t="s">
        <v>1096</v>
      </c>
      <c r="J1087" s="42" t="s">
        <v>1097</v>
      </c>
      <c r="K1087" s="28" t="s">
        <v>1137</v>
      </c>
      <c r="L1087" s="216" t="s">
        <v>1092</v>
      </c>
      <c r="M1087" s="209">
        <v>2030</v>
      </c>
      <c r="N1087" s="209" t="s">
        <v>2186</v>
      </c>
      <c r="O1087" s="257">
        <v>24</v>
      </c>
      <c r="P1087" s="238" t="str">
        <f>VLOOKUP(_xlfn.CONCAT(Table3[[#This Row],[Target area]],Table3[[#This Row],[GHG target?]],Table3[[#This Row],[Conditionality]]),'Drop down'!$E$81:$F$101,2,FALSE)</f>
        <v>T_Transport_O_C</v>
      </c>
      <c r="Q1087" s="239" t="str">
        <f>VLOOKUP(Table3[[#This Row],[Target type]],Table418[[Value name]:[Value idenifyer]],2,FALSE)</f>
        <v>T_O_EFF</v>
      </c>
      <c r="S1087" s="233" t="s">
        <v>1101</v>
      </c>
      <c r="T1087" s="240"/>
      <c r="U1087" s="240"/>
      <c r="V1087" s="233" t="str">
        <f>VLOOKUP(Table3[[#This Row],[Country Code]],Table29[],3,FALSE)</f>
        <v>Non-Annex I</v>
      </c>
      <c r="W1087" s="233" t="str">
        <f>VLOOKUP(Table3[[#This Row],[Country Code]],Table29[],4,FALSE)</f>
        <v>Africa</v>
      </c>
      <c r="X1087" s="233" t="str">
        <f>VLOOKUP(Table3[[#This Row],[Country Code]],Table29[],5,FALSE)</f>
        <v>Middle-income</v>
      </c>
      <c r="Y1087" s="233" t="str">
        <f>VLOOKUP(Table3[[#This Row],[Country Code]],Table29[],6,FALSE)</f>
        <v>no</v>
      </c>
      <c r="Z1087" s="233" t="str">
        <f>VLOOKUP(Table3[[#This Row],[Country Code]],Table29[],7,FALSE)</f>
        <v>no</v>
      </c>
      <c r="AA1087" s="233" t="str">
        <f>VLOOKUP(Table3[[#This Row],[Country Code]],Table29[],8,FALSE)</f>
        <v>non-OECD</v>
      </c>
      <c r="AB1087" s="233" t="str">
        <f>VLOOKUP(Table3[[#This Row],[Country Code]],Table29[],9,FALSE)</f>
        <v>no</v>
      </c>
      <c r="AC1087" s="233" t="str">
        <f>VLOOKUP(Table3[[#This Row],[Country Code]],Table29[],10,FALSE)</f>
        <v>no</v>
      </c>
      <c r="AD1087" s="235">
        <f>VLOOKUP(Table3[[#This Row],[Country Code]],Table29[],23,FALSE)</f>
        <v>31.019306383581998</v>
      </c>
      <c r="AE1087" s="235">
        <f>VLOOKUP(Table3[[#This Row],[Country Code]],Table29[],24,FALSE)</f>
        <v>1.5180453178171209</v>
      </c>
      <c r="AF1087" s="43"/>
    </row>
    <row r="1088" spans="1:32" ht="45" x14ac:dyDescent="0.25">
      <c r="A1088" s="360">
        <v>17734</v>
      </c>
      <c r="B1088" s="233" t="str">
        <f>VLOOKUP(Table3[[#This Row],[Document ID]],Table1[],2,FALSE)</f>
        <v>SVK</v>
      </c>
      <c r="C1088" s="233" t="str">
        <f>VLOOKUP(Table3[[#This Row],[Document ID]],Table1[],3,FALSE)</f>
        <v>Slovakia</v>
      </c>
      <c r="D1088" s="233" t="str">
        <f>VLOOKUP(Table3[[#This Row],[Document ID]],Table1[],5,FALSE)</f>
        <v>LTS</v>
      </c>
      <c r="E1088" s="233" t="str">
        <f>VLOOKUP(Table3[[#This Row],[Document ID]],Table1[],7,FALSE)</f>
        <v>LTS</v>
      </c>
      <c r="F1088" s="233" t="str">
        <f>VLOOKUP(Table3[[#This Row],[Document ID]],Table1[],8,FALSE)</f>
        <v>LTS 1.0</v>
      </c>
      <c r="G1088" s="233" t="str">
        <f>VLOOKUP(Table3[[#This Row],[Document ID]],Table1[],10,FALSE)</f>
        <v>Active</v>
      </c>
      <c r="H1088" s="43" t="s">
        <v>1147</v>
      </c>
      <c r="I1088" s="43" t="s">
        <v>1089</v>
      </c>
      <c r="J1088" s="43" t="s">
        <v>1090</v>
      </c>
      <c r="K1088" s="28" t="s">
        <v>1121</v>
      </c>
      <c r="L1088" s="43" t="s">
        <v>1116</v>
      </c>
      <c r="M1088" s="209">
        <v>2050</v>
      </c>
      <c r="N1088" s="44" t="s">
        <v>2187</v>
      </c>
      <c r="O1088" s="258">
        <v>6</v>
      </c>
      <c r="P1088" s="238" t="str">
        <f>VLOOKUP(_xlfn.CONCAT(Table3[[#This Row],[Target area]],Table3[[#This Row],[GHG target?]],Table3[[#This Row],[Conditionality]]),'Drop down'!$E$81:$F$101,2,FALSE)</f>
        <v>T_Netzero</v>
      </c>
      <c r="Q1088" s="239" t="str">
        <f>VLOOKUP(Table3[[#This Row],[Target type]],Table418[[Value name]:[Value idenifyer]],2,FALSE)</f>
        <v>T_FL</v>
      </c>
      <c r="V1088" s="233" t="str">
        <f>VLOOKUP(Table3[[#This Row],[Country Code]],Table29[],3,FALSE)</f>
        <v>Annex I</v>
      </c>
      <c r="W1088" s="233" t="str">
        <f>VLOOKUP(Table3[[#This Row],[Country Code]],Table29[],4,FALSE)</f>
        <v>Europe</v>
      </c>
      <c r="X1088" s="233" t="str">
        <f>VLOOKUP(Table3[[#This Row],[Country Code]],Table29[],5,FALSE)</f>
        <v>High-income</v>
      </c>
      <c r="Y1088" s="233" t="str">
        <f>VLOOKUP(Table3[[#This Row],[Country Code]],Table29[],6,FALSE)</f>
        <v>no</v>
      </c>
      <c r="Z1088" s="233" t="str">
        <f>VLOOKUP(Table3[[#This Row],[Country Code]],Table29[],7,FALSE)</f>
        <v>no</v>
      </c>
      <c r="AA1088" s="233" t="str">
        <f>VLOOKUP(Table3[[#This Row],[Country Code]],Table29[],8,FALSE)</f>
        <v>OECD</v>
      </c>
      <c r="AB1088" s="233" t="str">
        <f>VLOOKUP(Table3[[#This Row],[Country Code]],Table29[],9,FALSE)</f>
        <v>EU27</v>
      </c>
      <c r="AC1088" s="233" t="str">
        <f>VLOOKUP(Table3[[#This Row],[Country Code]],Table29[],10,FALSE)</f>
        <v>no</v>
      </c>
      <c r="AD1088" s="235">
        <f>VLOOKUP(Table3[[#This Row],[Country Code]],Table29[],23,FALSE)</f>
        <v>44.775610890682003</v>
      </c>
      <c r="AE1088" s="235">
        <f>VLOOKUP(Table3[[#This Row],[Country Code]],Table29[],24,FALSE)</f>
        <v>7.6629333129442534</v>
      </c>
      <c r="AF1088" s="43"/>
    </row>
    <row r="1089" spans="1:32" x14ac:dyDescent="0.25">
      <c r="A1089" s="360">
        <v>17780</v>
      </c>
      <c r="B1089" s="233" t="str">
        <f>VLOOKUP(Table3[[#This Row],[Document ID]],Table1[],2,FALSE)</f>
        <v>URY</v>
      </c>
      <c r="C1089" s="233" t="str">
        <f>VLOOKUP(Table3[[#This Row],[Document ID]],Table1[],3,FALSE)</f>
        <v>Uruguay</v>
      </c>
      <c r="D1089" s="233" t="str">
        <f>VLOOKUP(Table3[[#This Row],[Document ID]],Table1[],5,FALSE)</f>
        <v>NDC</v>
      </c>
      <c r="E1089" s="233" t="str">
        <f>VLOOKUP(Table3[[#This Row],[Document ID]],Table1[],7,FALSE)</f>
        <v>First NDC</v>
      </c>
      <c r="F1089" s="233" t="str">
        <f>VLOOKUP(Table3[[#This Row],[Document ID]],Table1[],8,FALSE)</f>
        <v>NDC 1.0</v>
      </c>
      <c r="G1089" s="233" t="str">
        <f>VLOOKUP(Table3[[#This Row],[Document ID]],Table1[],10,FALSE)</f>
        <v>Archived</v>
      </c>
      <c r="H1089" s="216" t="s">
        <v>1089</v>
      </c>
      <c r="I1089" s="216" t="s">
        <v>1089</v>
      </c>
      <c r="J1089" s="43" t="s">
        <v>1090</v>
      </c>
      <c r="K1089" s="28" t="s">
        <v>1153</v>
      </c>
      <c r="L1089" s="42" t="s">
        <v>1099</v>
      </c>
      <c r="M1089" s="209">
        <v>2025</v>
      </c>
      <c r="N1089" s="176" t="s">
        <v>2188</v>
      </c>
      <c r="O1089" s="258" t="s">
        <v>1094</v>
      </c>
      <c r="P1089" s="238" t="str">
        <f>VLOOKUP(_xlfn.CONCAT(Table3[[#This Row],[Target area]],Table3[[#This Row],[GHG target?]],Table3[[#This Row],[Conditionality]]),'Drop down'!$E$81:$F$101,2,FALSE)</f>
        <v>T_Economy_Unc</v>
      </c>
      <c r="Q1089" s="239" t="str">
        <f>VLOOKUP(Table3[[#This Row],[Target type]],Table418[[Value name]:[Value idenifyer]],2,FALSE)</f>
        <v>T_BYE</v>
      </c>
      <c r="U1089" s="242" t="s">
        <v>1402</v>
      </c>
      <c r="V1089" s="233" t="str">
        <f>VLOOKUP(Table3[[#This Row],[Country Code]],Table29[],3,FALSE)</f>
        <v>Non-Annex I</v>
      </c>
      <c r="W1089" s="233" t="str">
        <f>VLOOKUP(Table3[[#This Row],[Country Code]],Table29[],4,FALSE)</f>
        <v>Latin America and the Caribbean</v>
      </c>
      <c r="X1089" s="233" t="str">
        <f>VLOOKUP(Table3[[#This Row],[Country Code]],Table29[],5,FALSE)</f>
        <v>High-income</v>
      </c>
      <c r="Y1089" s="233" t="str">
        <f>VLOOKUP(Table3[[#This Row],[Country Code]],Table29[],6,FALSE)</f>
        <v>no</v>
      </c>
      <c r="Z1089" s="233" t="str">
        <f>VLOOKUP(Table3[[#This Row],[Country Code]],Table29[],7,FALSE)</f>
        <v>no</v>
      </c>
      <c r="AA1089" s="233" t="str">
        <f>VLOOKUP(Table3[[#This Row],[Country Code]],Table29[],8,FALSE)</f>
        <v>non-OECD</v>
      </c>
      <c r="AB1089" s="233" t="str">
        <f>VLOOKUP(Table3[[#This Row],[Country Code]],Table29[],9,FALSE)</f>
        <v>no</v>
      </c>
      <c r="AC1089" s="233" t="str">
        <f>VLOOKUP(Table3[[#This Row],[Country Code]],Table29[],10,FALSE)</f>
        <v>no</v>
      </c>
      <c r="AD1089" s="235">
        <f>VLOOKUP(Table3[[#This Row],[Country Code]],Table29[],23,FALSE)</f>
        <v>41.634111747759</v>
      </c>
      <c r="AE1089" s="235">
        <f>VLOOKUP(Table3[[#This Row],[Country Code]],Table29[],24,FALSE)</f>
        <v>4.0868158944276578</v>
      </c>
      <c r="AF1089" s="43"/>
    </row>
    <row r="1090" spans="1:32" x14ac:dyDescent="0.25">
      <c r="A1090" s="360">
        <v>21220</v>
      </c>
      <c r="B1090" s="233" t="str">
        <f>VLOOKUP(Table3[[#This Row],[Document ID]],Table1[],2,FALSE)</f>
        <v>SLB</v>
      </c>
      <c r="C1090" s="233" t="str">
        <f>VLOOKUP(Table3[[#This Row],[Document ID]],Table1[],3,FALSE)</f>
        <v>Solomon Islands</v>
      </c>
      <c r="D1090" s="233" t="str">
        <f>VLOOKUP(Table3[[#This Row],[Document ID]],Table1[],5,FALSE)</f>
        <v>NDC</v>
      </c>
      <c r="E1090" s="233" t="str">
        <f>VLOOKUP(Table3[[#This Row],[Document ID]],Table1[],7,FALSE)</f>
        <v>First NDC updated</v>
      </c>
      <c r="F1090" s="233" t="str">
        <f>VLOOKUP(Table3[[#This Row],[Document ID]],Table1[],8,FALSE)</f>
        <v>NDC 1.1</v>
      </c>
      <c r="G1090" s="233" t="str">
        <f>VLOOKUP(Table3[[#This Row],[Document ID]],Table1[],10,FALSE)</f>
        <v>Active</v>
      </c>
      <c r="H1090" s="43" t="s">
        <v>1147</v>
      </c>
      <c r="I1090" s="43" t="s">
        <v>1089</v>
      </c>
      <c r="J1090" s="43" t="s">
        <v>1090</v>
      </c>
      <c r="K1090" s="28" t="s">
        <v>1091</v>
      </c>
      <c r="L1090" s="43" t="s">
        <v>1116</v>
      </c>
      <c r="M1090" s="209">
        <v>2050</v>
      </c>
      <c r="N1090" s="209" t="s">
        <v>1818</v>
      </c>
      <c r="O1090" s="258"/>
      <c r="P1090" s="238" t="str">
        <f>VLOOKUP(_xlfn.CONCAT(Table3[[#This Row],[Target area]],Table3[[#This Row],[GHG target?]],Table3[[#This Row],[Conditionality]]),'Drop down'!$E$81:$F$101,2,FALSE)</f>
        <v>T_Netzero</v>
      </c>
      <c r="Q1090" s="239" t="str">
        <f>VLOOKUP(Table3[[#This Row],[Target type]],Table418[[Value name]:[Value idenifyer]],2,FALSE)</f>
        <v>T_BAU</v>
      </c>
      <c r="V1090" s="233" t="str">
        <f>VLOOKUP(Table3[[#This Row],[Country Code]],Table29[],3,FALSE)</f>
        <v>Non-Annex I</v>
      </c>
      <c r="W1090" s="233" t="str">
        <f>VLOOKUP(Table3[[#This Row],[Country Code]],Table29[],4,FALSE)</f>
        <v>Oceania</v>
      </c>
      <c r="X1090" s="233" t="str">
        <f>VLOOKUP(Table3[[#This Row],[Country Code]],Table29[],5,FALSE)</f>
        <v>Middle-income</v>
      </c>
      <c r="Y1090" s="233" t="str">
        <f>VLOOKUP(Table3[[#This Row],[Country Code]],Table29[],6,FALSE)</f>
        <v>no</v>
      </c>
      <c r="Z1090" s="233" t="str">
        <f>VLOOKUP(Table3[[#This Row],[Country Code]],Table29[],7,FALSE)</f>
        <v>no</v>
      </c>
      <c r="AA1090" s="233" t="str">
        <f>VLOOKUP(Table3[[#This Row],[Country Code]],Table29[],8,FALSE)</f>
        <v>non-OECD</v>
      </c>
      <c r="AB1090" s="233" t="str">
        <f>VLOOKUP(Table3[[#This Row],[Country Code]],Table29[],9,FALSE)</f>
        <v>no</v>
      </c>
      <c r="AC1090" s="233" t="str">
        <f>VLOOKUP(Table3[[#This Row],[Country Code]],Table29[],10,FALSE)</f>
        <v>no</v>
      </c>
      <c r="AD1090" s="235">
        <f>VLOOKUP(Table3[[#This Row],[Country Code]],Table29[],23,FALSE)</f>
        <v>0.72081774636639995</v>
      </c>
      <c r="AE1090" s="235">
        <f>VLOOKUP(Table3[[#This Row],[Country Code]],Table29[],24,FALSE)</f>
        <v>0.21700975961810029</v>
      </c>
      <c r="AF1090" s="43"/>
    </row>
    <row r="1091" spans="1:32" ht="45" x14ac:dyDescent="0.25">
      <c r="A1091" s="360">
        <v>42012</v>
      </c>
      <c r="B1091" s="233" t="str">
        <f>VLOOKUP(Table3[[#This Row],[Document ID]],Table1[],2,FALSE)</f>
        <v>TUR</v>
      </c>
      <c r="C1091" s="233" t="str">
        <f>VLOOKUP(Table3[[#This Row],[Document ID]],Table1[],3,FALSE)</f>
        <v>Türkiye</v>
      </c>
      <c r="D1091" s="233" t="str">
        <f>VLOOKUP(Table3[[#This Row],[Document ID]],Table1[],5,FALSE)</f>
        <v>NDC</v>
      </c>
      <c r="E1091" s="233" t="str">
        <f>VLOOKUP(Table3[[#This Row],[Document ID]],Table1[],7,FALSE)</f>
        <v>First NDC updated</v>
      </c>
      <c r="F1091" s="253" t="str">
        <f>VLOOKUP(Table3[[#This Row],[Document ID]],Table1[],8,FALSE)</f>
        <v>NDC 1.1</v>
      </c>
      <c r="G1091" s="233" t="str">
        <f>VLOOKUP(Table3[[#This Row],[Document ID]],Table1[],10,FALSE)</f>
        <v>Active</v>
      </c>
      <c r="H1091" s="216" t="s">
        <v>1089</v>
      </c>
      <c r="I1091" s="216" t="s">
        <v>1089</v>
      </c>
      <c r="J1091" s="43" t="s">
        <v>1090</v>
      </c>
      <c r="K1091" s="28" t="s">
        <v>1091</v>
      </c>
      <c r="L1091" s="42" t="s">
        <v>1099</v>
      </c>
      <c r="M1091" s="209">
        <v>2030</v>
      </c>
      <c r="N1091" s="209" t="s">
        <v>2189</v>
      </c>
      <c r="O1091" s="258">
        <v>2</v>
      </c>
      <c r="P1091" s="238" t="str">
        <f>VLOOKUP(_xlfn.CONCAT(Table3[[#This Row],[Target area]],Table3[[#This Row],[GHG target?]],Table3[[#This Row],[Conditionality]]),'Drop down'!$E$81:$F$101,2,FALSE)</f>
        <v>T_Economy_Unc</v>
      </c>
      <c r="Q1091" s="239" t="str">
        <f>VLOOKUP(Table3[[#This Row],[Target type]],Table418[[Value name]:[Value idenifyer]],2,FALSE)</f>
        <v>T_BAU</v>
      </c>
      <c r="S1091" s="233" t="s">
        <v>1101</v>
      </c>
      <c r="T1091" s="234" t="s">
        <v>1113</v>
      </c>
      <c r="U1091" s="240"/>
      <c r="V1091" s="233" t="str">
        <f>VLOOKUP(Table3[[#This Row],[Country Code]],Table29[],3,FALSE)</f>
        <v>Annex I</v>
      </c>
      <c r="W1091" s="233" t="str">
        <f>VLOOKUP(Table3[[#This Row],[Country Code]],Table29[],4,FALSE)</f>
        <v>Asia</v>
      </c>
      <c r="X1091" s="233" t="str">
        <f>VLOOKUP(Table3[[#This Row],[Country Code]],Table29[],5,FALSE)</f>
        <v>Middle-income</v>
      </c>
      <c r="Y1091" s="233" t="str">
        <f>VLOOKUP(Table3[[#This Row],[Country Code]],Table29[],6,FALSE)</f>
        <v>G20</v>
      </c>
      <c r="Z1091" s="233" t="str">
        <f>VLOOKUP(Table3[[#This Row],[Country Code]],Table29[],7,FALSE)</f>
        <v>no</v>
      </c>
      <c r="AA1091" s="233" t="str">
        <f>VLOOKUP(Table3[[#This Row],[Country Code]],Table29[],8,FALSE)</f>
        <v>OECD</v>
      </c>
      <c r="AB1091" s="233" t="str">
        <f>VLOOKUP(Table3[[#This Row],[Country Code]],Table29[],9,FALSE)</f>
        <v>no</v>
      </c>
      <c r="AC1091" s="233" t="str">
        <f>VLOOKUP(Table3[[#This Row],[Country Code]],Table29[],10,FALSE)</f>
        <v>no</v>
      </c>
      <c r="AD1091" s="235">
        <f>VLOOKUP(Table3[[#This Row],[Country Code]],Table29[],23,FALSE)</f>
        <v>606.42985584790995</v>
      </c>
      <c r="AE1091" s="235">
        <f>VLOOKUP(Table3[[#This Row],[Country Code]],Table29[],24,FALSE)</f>
        <v>95.92080354160332</v>
      </c>
      <c r="AF1091" s="43"/>
    </row>
    <row r="1092" spans="1:32" x14ac:dyDescent="0.25">
      <c r="A1092" s="360">
        <v>17780</v>
      </c>
      <c r="B1092" s="233" t="str">
        <f>VLOOKUP(Table3[[#This Row],[Document ID]],Table1[],2,FALSE)</f>
        <v>URY</v>
      </c>
      <c r="C1092" s="233" t="str">
        <f>VLOOKUP(Table3[[#This Row],[Document ID]],Table1[],3,FALSE)</f>
        <v>Uruguay</v>
      </c>
      <c r="D1092" s="233" t="str">
        <f>VLOOKUP(Table3[[#This Row],[Document ID]],Table1[],5,FALSE)</f>
        <v>NDC</v>
      </c>
      <c r="E1092" s="233" t="str">
        <f>VLOOKUP(Table3[[#This Row],[Document ID]],Table1[],7,FALSE)</f>
        <v>First NDC</v>
      </c>
      <c r="F1092" s="233" t="str">
        <f>VLOOKUP(Table3[[#This Row],[Document ID]],Table1[],8,FALSE)</f>
        <v>NDC 1.0</v>
      </c>
      <c r="G1092" s="233" t="str">
        <f>VLOOKUP(Table3[[#This Row],[Document ID]],Table1[],10,FALSE)</f>
        <v>Archived</v>
      </c>
      <c r="H1092" s="216" t="s">
        <v>1089</v>
      </c>
      <c r="I1092" s="216" t="s">
        <v>1089</v>
      </c>
      <c r="J1092" s="43" t="s">
        <v>1090</v>
      </c>
      <c r="K1092" s="28" t="s">
        <v>1153</v>
      </c>
      <c r="L1092" s="216" t="s">
        <v>1092</v>
      </c>
      <c r="M1092" s="209">
        <v>2030</v>
      </c>
      <c r="N1092" s="176" t="s">
        <v>2190</v>
      </c>
      <c r="O1092" s="258" t="s">
        <v>1094</v>
      </c>
      <c r="P1092" s="238" t="str">
        <f>VLOOKUP(_xlfn.CONCAT(Table3[[#This Row],[Target area]],Table3[[#This Row],[GHG target?]],Table3[[#This Row],[Conditionality]]),'Drop down'!$E$81:$F$101,2,FALSE)</f>
        <v>T_Economy_C</v>
      </c>
      <c r="Q1092" s="239" t="str">
        <f>VLOOKUP(Table3[[#This Row],[Target type]],Table418[[Value name]:[Value idenifyer]],2,FALSE)</f>
        <v>T_BYE</v>
      </c>
      <c r="U1092" s="242" t="s">
        <v>1402</v>
      </c>
      <c r="V1092" s="233" t="str">
        <f>VLOOKUP(Table3[[#This Row],[Country Code]],Table29[],3,FALSE)</f>
        <v>Non-Annex I</v>
      </c>
      <c r="W1092" s="233" t="str">
        <f>VLOOKUP(Table3[[#This Row],[Country Code]],Table29[],4,FALSE)</f>
        <v>Latin America and the Caribbean</v>
      </c>
      <c r="X1092" s="233" t="str">
        <f>VLOOKUP(Table3[[#This Row],[Country Code]],Table29[],5,FALSE)</f>
        <v>High-income</v>
      </c>
      <c r="Y1092" s="233" t="str">
        <f>VLOOKUP(Table3[[#This Row],[Country Code]],Table29[],6,FALSE)</f>
        <v>no</v>
      </c>
      <c r="Z1092" s="233" t="str">
        <f>VLOOKUP(Table3[[#This Row],[Country Code]],Table29[],7,FALSE)</f>
        <v>no</v>
      </c>
      <c r="AA1092" s="233" t="str">
        <f>VLOOKUP(Table3[[#This Row],[Country Code]],Table29[],8,FALSE)</f>
        <v>non-OECD</v>
      </c>
      <c r="AB1092" s="233" t="str">
        <f>VLOOKUP(Table3[[#This Row],[Country Code]],Table29[],9,FALSE)</f>
        <v>no</v>
      </c>
      <c r="AC1092" s="233" t="str">
        <f>VLOOKUP(Table3[[#This Row],[Country Code]],Table29[],10,FALSE)</f>
        <v>no</v>
      </c>
      <c r="AD1092" s="235">
        <f>VLOOKUP(Table3[[#This Row],[Country Code]],Table29[],23,FALSE)</f>
        <v>41.634111747759</v>
      </c>
      <c r="AE1092" s="235">
        <f>VLOOKUP(Table3[[#This Row],[Country Code]],Table29[],24,FALSE)</f>
        <v>4.0868158944276578</v>
      </c>
      <c r="AF1092" s="43"/>
    </row>
    <row r="1093" spans="1:32" x14ac:dyDescent="0.25">
      <c r="A1093" s="360">
        <v>21314</v>
      </c>
      <c r="B1093" s="233" t="str">
        <f>VLOOKUP(Table3[[#This Row],[Document ID]],Table1[],2,FALSE)</f>
        <v>LKA</v>
      </c>
      <c r="C1093" s="233" t="str">
        <f>VLOOKUP(Table3[[#This Row],[Document ID]],Table1[],3,FALSE)</f>
        <v>Sri Lanka</v>
      </c>
      <c r="D1093" s="233" t="str">
        <f>VLOOKUP(Table3[[#This Row],[Document ID]],Table1[],5,FALSE)</f>
        <v>NDC</v>
      </c>
      <c r="E1093" s="233" t="str">
        <f>VLOOKUP(Table3[[#This Row],[Document ID]],Table1[],7,FALSE)</f>
        <v>First NDC updated</v>
      </c>
      <c r="F1093" s="233" t="str">
        <f>VLOOKUP(Table3[[#This Row],[Document ID]],Table1[],8,FALSE)</f>
        <v>NDC 1.1</v>
      </c>
      <c r="G1093" s="233" t="str">
        <f>VLOOKUP(Table3[[#This Row],[Document ID]],Table1[],10,FALSE)</f>
        <v>Active</v>
      </c>
      <c r="H1093" s="43" t="s">
        <v>1147</v>
      </c>
      <c r="I1093" s="43" t="s">
        <v>1089</v>
      </c>
      <c r="J1093" s="43" t="s">
        <v>1090</v>
      </c>
      <c r="K1093" s="28" t="s">
        <v>1121</v>
      </c>
      <c r="L1093" s="43" t="s">
        <v>1116</v>
      </c>
      <c r="M1093" s="209">
        <v>2060</v>
      </c>
      <c r="N1093" s="209" t="s">
        <v>2191</v>
      </c>
      <c r="O1093" s="258" t="s">
        <v>1674</v>
      </c>
      <c r="P1093" s="238" t="str">
        <f>VLOOKUP(_xlfn.CONCAT(Table3[[#This Row],[Target area]],Table3[[#This Row],[GHG target?]],Table3[[#This Row],[Conditionality]]),'Drop down'!$E$81:$F$101,2,FALSE)</f>
        <v>T_Netzero</v>
      </c>
      <c r="Q1093" s="239" t="str">
        <f>VLOOKUP(Table3[[#This Row],[Target type]],Table418[[Value name]:[Value idenifyer]],2,FALSE)</f>
        <v>T_FL</v>
      </c>
      <c r="T1093" s="240"/>
      <c r="V1093" s="233" t="str">
        <f>VLOOKUP(Table3[[#This Row],[Country Code]],Table29[],3,FALSE)</f>
        <v>Non-Annex I</v>
      </c>
      <c r="W1093" s="233" t="str">
        <f>VLOOKUP(Table3[[#This Row],[Country Code]],Table29[],4,FALSE)</f>
        <v>Asia</v>
      </c>
      <c r="X1093" s="233" t="str">
        <f>VLOOKUP(Table3[[#This Row],[Country Code]],Table29[],5,FALSE)</f>
        <v>Middle-income</v>
      </c>
      <c r="Y1093" s="233" t="str">
        <f>VLOOKUP(Table3[[#This Row],[Country Code]],Table29[],6,FALSE)</f>
        <v>no</v>
      </c>
      <c r="Z1093" s="233" t="str">
        <f>VLOOKUP(Table3[[#This Row],[Country Code]],Table29[],7,FALSE)</f>
        <v>no</v>
      </c>
      <c r="AA1093" s="233" t="str">
        <f>VLOOKUP(Table3[[#This Row],[Country Code]],Table29[],8,FALSE)</f>
        <v>non-OECD</v>
      </c>
      <c r="AB1093" s="233" t="str">
        <f>VLOOKUP(Table3[[#This Row],[Country Code]],Table29[],9,FALSE)</f>
        <v>no</v>
      </c>
      <c r="AC1093" s="233" t="str">
        <f>VLOOKUP(Table3[[#This Row],[Country Code]],Table29[],10,FALSE)</f>
        <v>no</v>
      </c>
      <c r="AD1093" s="235">
        <f>VLOOKUP(Table3[[#This Row],[Country Code]],Table29[],23,FALSE)</f>
        <v>38.403849844142002</v>
      </c>
      <c r="AE1093" s="235">
        <f>VLOOKUP(Table3[[#This Row],[Country Code]],Table29[],24,FALSE)</f>
        <v>9.6330858743096854</v>
      </c>
      <c r="AF1093" s="43"/>
    </row>
    <row r="1094" spans="1:32" x14ac:dyDescent="0.25">
      <c r="A1094" s="360">
        <v>22274</v>
      </c>
      <c r="B1094" s="233" t="str">
        <f>VLOOKUP(Table3[[#This Row],[Document ID]],Table1[],2,FALSE)</f>
        <v>ZWE</v>
      </c>
      <c r="C1094" s="233" t="str">
        <f>VLOOKUP(Table3[[#This Row],[Document ID]],Table1[],3,FALSE)</f>
        <v>Zimbabwe</v>
      </c>
      <c r="D1094" s="233" t="str">
        <f>VLOOKUP(Table3[[#This Row],[Document ID]],Table1[],5,FALSE)</f>
        <v>NDC</v>
      </c>
      <c r="E1094" s="233" t="str">
        <f>VLOOKUP(Table3[[#This Row],[Document ID]],Table1[],7,FALSE)</f>
        <v>First NDC updated</v>
      </c>
      <c r="F1094" s="233" t="str">
        <f>VLOOKUP(Table3[[#This Row],[Document ID]],Table1[],8,FALSE)</f>
        <v>NDC 1.1</v>
      </c>
      <c r="G1094" s="233" t="str">
        <f>VLOOKUP(Table3[[#This Row],[Document ID]],Table1[],10,FALSE)</f>
        <v>Archived</v>
      </c>
      <c r="H1094" s="42" t="s">
        <v>1095</v>
      </c>
      <c r="I1094" s="42" t="s">
        <v>1096</v>
      </c>
      <c r="J1094" s="42" t="s">
        <v>1097</v>
      </c>
      <c r="K1094" s="28" t="s">
        <v>1098</v>
      </c>
      <c r="L1094" s="216" t="s">
        <v>1092</v>
      </c>
      <c r="M1094" s="209">
        <v>2030</v>
      </c>
      <c r="N1094" s="209" t="s">
        <v>2192</v>
      </c>
      <c r="O1094" s="257">
        <v>24</v>
      </c>
      <c r="P1094" s="238" t="str">
        <f>VLOOKUP(_xlfn.CONCAT(Table3[[#This Row],[Target area]],Table3[[#This Row],[GHG target?]],Table3[[#This Row],[Conditionality]]),'Drop down'!$E$81:$F$101,2,FALSE)</f>
        <v>T_Transport_O_C</v>
      </c>
      <c r="Q1094" s="239" t="str">
        <f>VLOOKUP(Table3[[#This Row],[Target type]],Table418[[Value name]:[Value idenifyer]],2,FALSE)</f>
        <v>T_O_MODE</v>
      </c>
      <c r="S1094" s="233" t="s">
        <v>1101</v>
      </c>
      <c r="T1094" s="240"/>
      <c r="U1094" s="240"/>
      <c r="V1094" s="233" t="str">
        <f>VLOOKUP(Table3[[#This Row],[Country Code]],Table29[],3,FALSE)</f>
        <v>Non-Annex I</v>
      </c>
      <c r="W1094" s="233" t="str">
        <f>VLOOKUP(Table3[[#This Row],[Country Code]],Table29[],4,FALSE)</f>
        <v>Africa</v>
      </c>
      <c r="X1094" s="233" t="str">
        <f>VLOOKUP(Table3[[#This Row],[Country Code]],Table29[],5,FALSE)</f>
        <v>Middle-income</v>
      </c>
      <c r="Y1094" s="233" t="str">
        <f>VLOOKUP(Table3[[#This Row],[Country Code]],Table29[],6,FALSE)</f>
        <v>no</v>
      </c>
      <c r="Z1094" s="233" t="str">
        <f>VLOOKUP(Table3[[#This Row],[Country Code]],Table29[],7,FALSE)</f>
        <v>no</v>
      </c>
      <c r="AA1094" s="233" t="str">
        <f>VLOOKUP(Table3[[#This Row],[Country Code]],Table29[],8,FALSE)</f>
        <v>non-OECD</v>
      </c>
      <c r="AB1094" s="233" t="str">
        <f>VLOOKUP(Table3[[#This Row],[Country Code]],Table29[],9,FALSE)</f>
        <v>no</v>
      </c>
      <c r="AC1094" s="233" t="str">
        <f>VLOOKUP(Table3[[#This Row],[Country Code]],Table29[],10,FALSE)</f>
        <v>no</v>
      </c>
      <c r="AD1094" s="235">
        <f>VLOOKUP(Table3[[#This Row],[Country Code]],Table29[],23,FALSE)</f>
        <v>31.019306383581998</v>
      </c>
      <c r="AE1094" s="235">
        <f>VLOOKUP(Table3[[#This Row],[Country Code]],Table29[],24,FALSE)</f>
        <v>1.5180453178171209</v>
      </c>
      <c r="AF1094" s="43"/>
    </row>
    <row r="1095" spans="1:32" x14ac:dyDescent="0.25">
      <c r="A1095" s="360">
        <v>17753</v>
      </c>
      <c r="B1095" s="233" t="str">
        <f>VLOOKUP(Table3[[#This Row],[Document ID]],Table1[],2,FALSE)</f>
        <v>CHE</v>
      </c>
      <c r="C1095" s="233" t="str">
        <f>VLOOKUP(Table3[[#This Row],[Document ID]],Table1[],3,FALSE)</f>
        <v>Switzerland</v>
      </c>
      <c r="D1095" s="233" t="str">
        <f>VLOOKUP(Table3[[#This Row],[Document ID]],Table1[],5,FALSE)</f>
        <v>LTS</v>
      </c>
      <c r="E1095" s="233" t="str">
        <f>VLOOKUP(Table3[[#This Row],[Document ID]],Table1[],7,FALSE)</f>
        <v>LTS</v>
      </c>
      <c r="F1095" s="233" t="str">
        <f>VLOOKUP(Table3[[#This Row],[Document ID]],Table1[],8,FALSE)</f>
        <v>LTS 1.0</v>
      </c>
      <c r="G1095" s="233" t="str">
        <f>VLOOKUP(Table3[[#This Row],[Document ID]],Table1[],10,FALSE)</f>
        <v>Active</v>
      </c>
      <c r="H1095" s="43" t="s">
        <v>1147</v>
      </c>
      <c r="I1095" s="43" t="s">
        <v>1089</v>
      </c>
      <c r="J1095" s="43" t="s">
        <v>1090</v>
      </c>
      <c r="K1095" s="28" t="s">
        <v>1121</v>
      </c>
      <c r="L1095" s="43" t="s">
        <v>1116</v>
      </c>
      <c r="M1095" s="209">
        <v>2050</v>
      </c>
      <c r="N1095" s="44" t="s">
        <v>1846</v>
      </c>
      <c r="O1095" s="258">
        <v>13</v>
      </c>
      <c r="P1095" s="238" t="str">
        <f>VLOOKUP(_xlfn.CONCAT(Table3[[#This Row],[Target area]],Table3[[#This Row],[GHG target?]],Table3[[#This Row],[Conditionality]]),'Drop down'!$E$81:$F$101,2,FALSE)</f>
        <v>T_Netzero</v>
      </c>
      <c r="Q1095" s="239" t="str">
        <f>VLOOKUP(Table3[[#This Row],[Target type]],Table418[[Value name]:[Value idenifyer]],2,FALSE)</f>
        <v>T_FL</v>
      </c>
      <c r="V1095" s="233" t="str">
        <f>VLOOKUP(Table3[[#This Row],[Country Code]],Table29[],3,FALSE)</f>
        <v>Annex I</v>
      </c>
      <c r="W1095" s="233" t="str">
        <f>VLOOKUP(Table3[[#This Row],[Country Code]],Table29[],4,FALSE)</f>
        <v>Europe</v>
      </c>
      <c r="X1095" s="233" t="str">
        <f>VLOOKUP(Table3[[#This Row],[Country Code]],Table29[],5,FALSE)</f>
        <v>High-income</v>
      </c>
      <c r="Y1095" s="233" t="str">
        <f>VLOOKUP(Table3[[#This Row],[Country Code]],Table29[],6,FALSE)</f>
        <v>no</v>
      </c>
      <c r="Z1095" s="233" t="str">
        <f>VLOOKUP(Table3[[#This Row],[Country Code]],Table29[],7,FALSE)</f>
        <v>no</v>
      </c>
      <c r="AA1095" s="233" t="str">
        <f>VLOOKUP(Table3[[#This Row],[Country Code]],Table29[],8,FALSE)</f>
        <v>OECD</v>
      </c>
      <c r="AB1095" s="233" t="str">
        <f>VLOOKUP(Table3[[#This Row],[Country Code]],Table29[],9,FALSE)</f>
        <v>no</v>
      </c>
      <c r="AC1095" s="233" t="str">
        <f>VLOOKUP(Table3[[#This Row],[Country Code]],Table29[],10,FALSE)</f>
        <v>no</v>
      </c>
      <c r="AD1095" s="235">
        <f>VLOOKUP(Table3[[#This Row],[Country Code]],Table29[],23,FALSE)</f>
        <v>43.446393813877002</v>
      </c>
      <c r="AE1095" s="235">
        <f>VLOOKUP(Table3[[#This Row],[Country Code]],Table29[],24,FALSE)</f>
        <v>14.82381986485206</v>
      </c>
      <c r="AF1095" s="43"/>
    </row>
    <row r="1096" spans="1:32" ht="45" x14ac:dyDescent="0.25">
      <c r="A1096" s="360">
        <v>17754</v>
      </c>
      <c r="B1096" s="233" t="str">
        <f>VLOOKUP(Table3[[#This Row],[Document ID]],Table1[],2,FALSE)</f>
        <v>CHE</v>
      </c>
      <c r="C1096" s="233" t="str">
        <f>VLOOKUP(Table3[[#This Row],[Document ID]],Table1[],3,FALSE)</f>
        <v>Switzerland</v>
      </c>
      <c r="D1096" s="233" t="str">
        <f>VLOOKUP(Table3[[#This Row],[Document ID]],Table1[],5,FALSE)</f>
        <v>NDC</v>
      </c>
      <c r="E1096" s="233" t="str">
        <f>VLOOKUP(Table3[[#This Row],[Document ID]],Table1[],7,FALSE)</f>
        <v>First NDC updated</v>
      </c>
      <c r="F1096" s="233" t="str">
        <f>VLOOKUP(Table3[[#This Row],[Document ID]],Table1[],8,FALSE)</f>
        <v>NDC 1.1</v>
      </c>
      <c r="G1096" s="233" t="str">
        <f>VLOOKUP(Table3[[#This Row],[Document ID]],Table1[],10,FALSE)</f>
        <v>Archived</v>
      </c>
      <c r="H1096" s="43" t="s">
        <v>1147</v>
      </c>
      <c r="I1096" s="43" t="s">
        <v>1089</v>
      </c>
      <c r="J1096" s="43" t="s">
        <v>1090</v>
      </c>
      <c r="K1096" s="28" t="s">
        <v>1121</v>
      </c>
      <c r="L1096" s="43" t="s">
        <v>1116</v>
      </c>
      <c r="M1096" s="209">
        <v>2050</v>
      </c>
      <c r="N1096" s="44" t="s">
        <v>2193</v>
      </c>
      <c r="O1096" s="258">
        <v>2</v>
      </c>
      <c r="P1096" s="238" t="str">
        <f>VLOOKUP(_xlfn.CONCAT(Table3[[#This Row],[Target area]],Table3[[#This Row],[GHG target?]],Table3[[#This Row],[Conditionality]]),'Drop down'!$E$81:$F$101,2,FALSE)</f>
        <v>T_Netzero</v>
      </c>
      <c r="Q1096" s="239" t="str">
        <f>VLOOKUP(Table3[[#This Row],[Target type]],Table418[[Value name]:[Value idenifyer]],2,FALSE)</f>
        <v>T_FL</v>
      </c>
      <c r="V1096" s="233" t="str">
        <f>VLOOKUP(Table3[[#This Row],[Country Code]],Table29[],3,FALSE)</f>
        <v>Annex I</v>
      </c>
      <c r="W1096" s="233" t="str">
        <f>VLOOKUP(Table3[[#This Row],[Country Code]],Table29[],4,FALSE)</f>
        <v>Europe</v>
      </c>
      <c r="X1096" s="233" t="str">
        <f>VLOOKUP(Table3[[#This Row],[Country Code]],Table29[],5,FALSE)</f>
        <v>High-income</v>
      </c>
      <c r="Y1096" s="233" t="str">
        <f>VLOOKUP(Table3[[#This Row],[Country Code]],Table29[],6,FALSE)</f>
        <v>no</v>
      </c>
      <c r="Z1096" s="233" t="str">
        <f>VLOOKUP(Table3[[#This Row],[Country Code]],Table29[],7,FALSE)</f>
        <v>no</v>
      </c>
      <c r="AA1096" s="233" t="str">
        <f>VLOOKUP(Table3[[#This Row],[Country Code]],Table29[],8,FALSE)</f>
        <v>OECD</v>
      </c>
      <c r="AB1096" s="233" t="str">
        <f>VLOOKUP(Table3[[#This Row],[Country Code]],Table29[],9,FALSE)</f>
        <v>no</v>
      </c>
      <c r="AC1096" s="233" t="str">
        <f>VLOOKUP(Table3[[#This Row],[Country Code]],Table29[],10,FALSE)</f>
        <v>no</v>
      </c>
      <c r="AD1096" s="235">
        <f>VLOOKUP(Table3[[#This Row],[Country Code]],Table29[],23,FALSE)</f>
        <v>43.446393813877002</v>
      </c>
      <c r="AE1096" s="235">
        <f>VLOOKUP(Table3[[#This Row],[Country Code]],Table29[],24,FALSE)</f>
        <v>14.82381986485206</v>
      </c>
      <c r="AF1096" s="43"/>
    </row>
    <row r="1097" spans="1:32" x14ac:dyDescent="0.25">
      <c r="A1097" s="360">
        <v>17752</v>
      </c>
      <c r="B1097" s="233" t="str">
        <f>VLOOKUP(Table3[[#This Row],[Document ID]],Table1[],2,FALSE)</f>
        <v>CHE</v>
      </c>
      <c r="C1097" s="233" t="str">
        <f>VLOOKUP(Table3[[#This Row],[Document ID]],Table1[],3,FALSE)</f>
        <v>Switzerland</v>
      </c>
      <c r="D1097" s="233" t="str">
        <f>VLOOKUP(Table3[[#This Row],[Document ID]],Table1[],5,FALSE)</f>
        <v>NDC</v>
      </c>
      <c r="E1097" s="233" t="str">
        <f>VLOOKUP(Table3[[#This Row],[Document ID]],Table1[],7,FALSE)</f>
        <v>First NDC</v>
      </c>
      <c r="F1097" s="233" t="str">
        <f>VLOOKUP(Table3[[#This Row],[Document ID]],Table1[],8,FALSE)</f>
        <v>NDC 1.0</v>
      </c>
      <c r="G1097" s="233" t="str">
        <f>VLOOKUP(Table3[[#This Row],[Document ID]],Table1[],10,FALSE)</f>
        <v>Archived</v>
      </c>
      <c r="H1097" s="43" t="s">
        <v>1147</v>
      </c>
      <c r="I1097" s="43" t="s">
        <v>1089</v>
      </c>
      <c r="J1097" s="43" t="s">
        <v>1090</v>
      </c>
      <c r="K1097" s="28" t="s">
        <v>1153</v>
      </c>
      <c r="L1097" s="43" t="s">
        <v>1116</v>
      </c>
      <c r="M1097" s="209">
        <v>2050</v>
      </c>
      <c r="N1097" s="176" t="s">
        <v>2194</v>
      </c>
      <c r="O1097" s="258">
        <v>2</v>
      </c>
      <c r="P1097" s="238" t="str">
        <f>VLOOKUP(_xlfn.CONCAT(Table3[[#This Row],[Target area]],Table3[[#This Row],[GHG target?]],Table3[[#This Row],[Conditionality]]),'Drop down'!$E$81:$F$101,2,FALSE)</f>
        <v>T_Netzero</v>
      </c>
      <c r="Q1097" s="239" t="str">
        <f>VLOOKUP(Table3[[#This Row],[Target type]],Table418[[Value name]:[Value idenifyer]],2,FALSE)</f>
        <v>T_BYE</v>
      </c>
      <c r="V1097" s="233" t="str">
        <f>VLOOKUP(Table3[[#This Row],[Country Code]],Table29[],3,FALSE)</f>
        <v>Annex I</v>
      </c>
      <c r="W1097" s="233" t="str">
        <f>VLOOKUP(Table3[[#This Row],[Country Code]],Table29[],4,FALSE)</f>
        <v>Europe</v>
      </c>
      <c r="X1097" s="233" t="str">
        <f>VLOOKUP(Table3[[#This Row],[Country Code]],Table29[],5,FALSE)</f>
        <v>High-income</v>
      </c>
      <c r="Y1097" s="233" t="str">
        <f>VLOOKUP(Table3[[#This Row],[Country Code]],Table29[],6,FALSE)</f>
        <v>no</v>
      </c>
      <c r="Z1097" s="233" t="str">
        <f>VLOOKUP(Table3[[#This Row],[Country Code]],Table29[],7,FALSE)</f>
        <v>no</v>
      </c>
      <c r="AA1097" s="233" t="str">
        <f>VLOOKUP(Table3[[#This Row],[Country Code]],Table29[],8,FALSE)</f>
        <v>OECD</v>
      </c>
      <c r="AB1097" s="233" t="str">
        <f>VLOOKUP(Table3[[#This Row],[Country Code]],Table29[],9,FALSE)</f>
        <v>no</v>
      </c>
      <c r="AC1097" s="233" t="str">
        <f>VLOOKUP(Table3[[#This Row],[Country Code]],Table29[],10,FALSE)</f>
        <v>no</v>
      </c>
      <c r="AD1097" s="235">
        <f>VLOOKUP(Table3[[#This Row],[Country Code]],Table29[],23,FALSE)</f>
        <v>43.446393813877002</v>
      </c>
      <c r="AE1097" s="235">
        <f>VLOOKUP(Table3[[#This Row],[Country Code]],Table29[],24,FALSE)</f>
        <v>14.82381986485206</v>
      </c>
      <c r="AF1097" s="43"/>
    </row>
    <row r="1098" spans="1:32" ht="45" x14ac:dyDescent="0.25">
      <c r="A1098" s="360">
        <v>32518</v>
      </c>
      <c r="B1098" s="233" t="str">
        <f>VLOOKUP(Table3[[#This Row],[Document ID]],Table1[],2,FALSE)</f>
        <v>THA</v>
      </c>
      <c r="C1098" s="233" t="str">
        <f>VLOOKUP(Table3[[#This Row],[Document ID]],Table1[],3,FALSE)</f>
        <v>Thailand</v>
      </c>
      <c r="D1098" s="233" t="str">
        <f>VLOOKUP(Table3[[#This Row],[Document ID]],Table1[],5,FALSE)</f>
        <v>LTS</v>
      </c>
      <c r="E1098" s="233" t="str">
        <f>VLOOKUP(Table3[[#This Row],[Document ID]],Table1[],7,FALSE)</f>
        <v>LTS</v>
      </c>
      <c r="F1098" s="233" t="str">
        <f>VLOOKUP(Table3[[#This Row],[Document ID]],Table1[],8,FALSE)</f>
        <v>LTS 1.1</v>
      </c>
      <c r="G1098" s="233" t="str">
        <f>VLOOKUP(Table3[[#This Row],[Document ID]],Table1[],10,FALSE)</f>
        <v>Active</v>
      </c>
      <c r="H1098" s="43" t="s">
        <v>1147</v>
      </c>
      <c r="I1098" s="43" t="s">
        <v>1089</v>
      </c>
      <c r="J1098" s="43" t="s">
        <v>1090</v>
      </c>
      <c r="K1098" s="28" t="s">
        <v>1121</v>
      </c>
      <c r="L1098" s="43" t="s">
        <v>1116</v>
      </c>
      <c r="M1098" s="209">
        <v>2065</v>
      </c>
      <c r="N1098" s="209" t="s">
        <v>1857</v>
      </c>
      <c r="O1098" s="258" t="s">
        <v>1858</v>
      </c>
      <c r="P1098" s="238" t="str">
        <f>VLOOKUP(_xlfn.CONCAT(Table3[[#This Row],[Target area]],Table3[[#This Row],[GHG target?]],Table3[[#This Row],[Conditionality]]),'Drop down'!$E$81:$F$101,2,FALSE)</f>
        <v>T_Netzero</v>
      </c>
      <c r="Q1098" s="239" t="str">
        <f>VLOOKUP(Table3[[#This Row],[Target type]],Table418[[Value name]:[Value idenifyer]],2,FALSE)</f>
        <v>T_FL</v>
      </c>
      <c r="T1098" s="240"/>
      <c r="V1098" s="233" t="str">
        <f>VLOOKUP(Table3[[#This Row],[Country Code]],Table29[],3,FALSE)</f>
        <v>Non-Annex I</v>
      </c>
      <c r="W1098" s="233" t="str">
        <f>VLOOKUP(Table3[[#This Row],[Country Code]],Table29[],4,FALSE)</f>
        <v>Asia</v>
      </c>
      <c r="X1098" s="233" t="str">
        <f>VLOOKUP(Table3[[#This Row],[Country Code]],Table29[],5,FALSE)</f>
        <v>Middle-income</v>
      </c>
      <c r="Y1098" s="233" t="str">
        <f>VLOOKUP(Table3[[#This Row],[Country Code]],Table29[],6,FALSE)</f>
        <v>no</v>
      </c>
      <c r="Z1098" s="233" t="str">
        <f>VLOOKUP(Table3[[#This Row],[Country Code]],Table29[],7,FALSE)</f>
        <v>no</v>
      </c>
      <c r="AA1098" s="233" t="str">
        <f>VLOOKUP(Table3[[#This Row],[Country Code]],Table29[],8,FALSE)</f>
        <v>non-OECD</v>
      </c>
      <c r="AB1098" s="233" t="str">
        <f>VLOOKUP(Table3[[#This Row],[Country Code]],Table29[],9,FALSE)</f>
        <v>no</v>
      </c>
      <c r="AC1098" s="233" t="str">
        <f>VLOOKUP(Table3[[#This Row],[Country Code]],Table29[],10,FALSE)</f>
        <v>no</v>
      </c>
      <c r="AD1098" s="235">
        <f>VLOOKUP(Table3[[#This Row],[Country Code]],Table29[],23,FALSE)</f>
        <v>440.78301465571002</v>
      </c>
      <c r="AE1098" s="235">
        <f>VLOOKUP(Table3[[#This Row],[Country Code]],Table29[],24,FALSE)</f>
        <v>81.217527676047013</v>
      </c>
      <c r="AF1098" s="42"/>
    </row>
    <row r="1099" spans="1:32" ht="30" x14ac:dyDescent="0.25">
      <c r="A1099" s="360">
        <v>32521</v>
      </c>
      <c r="B1099" s="233" t="str">
        <f>VLOOKUP(Table3[[#This Row],[Document ID]],Table1[],2,FALSE)</f>
        <v>TUN</v>
      </c>
      <c r="C1099" s="233" t="str">
        <f>VLOOKUP(Table3[[#This Row],[Document ID]],Table1[],3,FALSE)</f>
        <v>Tunisia</v>
      </c>
      <c r="D1099" s="233" t="str">
        <f>VLOOKUP(Table3[[#This Row],[Document ID]],Table1[],5,FALSE)</f>
        <v>LTS</v>
      </c>
      <c r="E1099" s="233" t="str">
        <f>VLOOKUP(Table3[[#This Row],[Document ID]],Table1[],7,FALSE)</f>
        <v>LTS</v>
      </c>
      <c r="F1099" s="233" t="str">
        <f>VLOOKUP(Table3[[#This Row],[Document ID]],Table1[],8,FALSE)</f>
        <v>LTS 1.0</v>
      </c>
      <c r="G1099" s="233" t="str">
        <f>VLOOKUP(Table3[[#This Row],[Document ID]],Table1[],10,FALSE)</f>
        <v>Active</v>
      </c>
      <c r="H1099" s="43" t="s">
        <v>1147</v>
      </c>
      <c r="I1099" s="43" t="s">
        <v>1089</v>
      </c>
      <c r="J1099" s="43" t="s">
        <v>1090</v>
      </c>
      <c r="K1099" s="28" t="s">
        <v>1121</v>
      </c>
      <c r="L1099" s="43" t="s">
        <v>1116</v>
      </c>
      <c r="M1099" s="209">
        <v>2050</v>
      </c>
      <c r="N1099" s="44" t="s">
        <v>2195</v>
      </c>
      <c r="O1099" s="258">
        <v>14</v>
      </c>
      <c r="P1099" s="238" t="str">
        <f>VLOOKUP(_xlfn.CONCAT(Table3[[#This Row],[Target area]],Table3[[#This Row],[GHG target?]],Table3[[#This Row],[Conditionality]]),'Drop down'!$E$81:$F$101,2,FALSE)</f>
        <v>T_Netzero</v>
      </c>
      <c r="Q1099" s="239" t="str">
        <f>VLOOKUP(Table3[[#This Row],[Target type]],Table418[[Value name]:[Value idenifyer]],2,FALSE)</f>
        <v>T_FL</v>
      </c>
      <c r="V1099" s="233" t="str">
        <f>VLOOKUP(Table3[[#This Row],[Country Code]],Table29[],3,FALSE)</f>
        <v>Non-Annex I</v>
      </c>
      <c r="W1099" s="233" t="str">
        <f>VLOOKUP(Table3[[#This Row],[Country Code]],Table29[],4,FALSE)</f>
        <v>Africa</v>
      </c>
      <c r="X1099" s="233" t="str">
        <f>VLOOKUP(Table3[[#This Row],[Country Code]],Table29[],5,FALSE)</f>
        <v>Middle-income</v>
      </c>
      <c r="Y1099" s="233" t="str">
        <f>VLOOKUP(Table3[[#This Row],[Country Code]],Table29[],6,FALSE)</f>
        <v>no</v>
      </c>
      <c r="Z1099" s="233" t="str">
        <f>VLOOKUP(Table3[[#This Row],[Country Code]],Table29[],7,FALSE)</f>
        <v>no</v>
      </c>
      <c r="AA1099" s="233" t="str">
        <f>VLOOKUP(Table3[[#This Row],[Country Code]],Table29[],8,FALSE)</f>
        <v>non-OECD</v>
      </c>
      <c r="AB1099" s="233" t="str">
        <f>VLOOKUP(Table3[[#This Row],[Country Code]],Table29[],9,FALSE)</f>
        <v>no</v>
      </c>
      <c r="AC1099" s="233" t="str">
        <f>VLOOKUP(Table3[[#This Row],[Country Code]],Table29[],10,FALSE)</f>
        <v>MENA</v>
      </c>
      <c r="AD1099" s="235">
        <f>VLOOKUP(Table3[[#This Row],[Country Code]],Table29[],23,FALSE)</f>
        <v>43.578530969543998</v>
      </c>
      <c r="AE1099" s="235">
        <f>VLOOKUP(Table3[[#This Row],[Country Code]],Table29[],24,FALSE)</f>
        <v>8.2824682143968626</v>
      </c>
      <c r="AF1099" s="43"/>
    </row>
    <row r="1100" spans="1:32" x14ac:dyDescent="0.25">
      <c r="A1100" s="360">
        <v>42012</v>
      </c>
      <c r="B1100" s="233" t="str">
        <f>VLOOKUP(Table3[[#This Row],[Document ID]],Table1[],2,FALSE)</f>
        <v>TUR</v>
      </c>
      <c r="C1100" s="233" t="str">
        <f>VLOOKUP(Table3[[#This Row],[Document ID]],Table1[],3,FALSE)</f>
        <v>Türkiye</v>
      </c>
      <c r="D1100" s="233" t="str">
        <f>VLOOKUP(Table3[[#This Row],[Document ID]],Table1[],5,FALSE)</f>
        <v>NDC</v>
      </c>
      <c r="E1100" s="233" t="str">
        <f>VLOOKUP(Table3[[#This Row],[Document ID]],Table1[],7,FALSE)</f>
        <v>First NDC updated</v>
      </c>
      <c r="F1100" s="233" t="str">
        <f>VLOOKUP(Table3[[#This Row],[Document ID]],Table1[],8,FALSE)</f>
        <v>NDC 1.1</v>
      </c>
      <c r="G1100" s="233" t="str">
        <f>VLOOKUP(Table3[[#This Row],[Document ID]],Table1[],10,FALSE)</f>
        <v>Active</v>
      </c>
      <c r="H1100" s="43" t="s">
        <v>1147</v>
      </c>
      <c r="I1100" s="43" t="s">
        <v>1089</v>
      </c>
      <c r="J1100" s="43" t="s">
        <v>1090</v>
      </c>
      <c r="K1100" s="28" t="s">
        <v>1121</v>
      </c>
      <c r="L1100" s="43" t="s">
        <v>1116</v>
      </c>
      <c r="M1100" s="209">
        <v>2053</v>
      </c>
      <c r="N1100" s="43" t="s">
        <v>2196</v>
      </c>
      <c r="O1100" s="258">
        <v>2</v>
      </c>
      <c r="P1100" s="238" t="str">
        <f>VLOOKUP(_xlfn.CONCAT(Table3[[#This Row],[Target area]],Table3[[#This Row],[GHG target?]],Table3[[#This Row],[Conditionality]]),'Drop down'!$E$81:$F$101,2,FALSE)</f>
        <v>T_Netzero</v>
      </c>
      <c r="Q1100" s="239" t="str">
        <f>VLOOKUP(Table3[[#This Row],[Target type]],Table418[[Value name]:[Value idenifyer]],2,FALSE)</f>
        <v>T_FL</v>
      </c>
      <c r="V1100" s="233" t="str">
        <f>VLOOKUP(Table3[[#This Row],[Country Code]],Table29[],3,FALSE)</f>
        <v>Annex I</v>
      </c>
      <c r="W1100" s="233" t="str">
        <f>VLOOKUP(Table3[[#This Row],[Country Code]],Table29[],4,FALSE)</f>
        <v>Asia</v>
      </c>
      <c r="X1100" s="233" t="str">
        <f>VLOOKUP(Table3[[#This Row],[Country Code]],Table29[],5,FALSE)</f>
        <v>Middle-income</v>
      </c>
      <c r="Y1100" s="233" t="str">
        <f>VLOOKUP(Table3[[#This Row],[Country Code]],Table29[],6,FALSE)</f>
        <v>G20</v>
      </c>
      <c r="Z1100" s="233" t="str">
        <f>VLOOKUP(Table3[[#This Row],[Country Code]],Table29[],7,FALSE)</f>
        <v>no</v>
      </c>
      <c r="AA1100" s="233" t="str">
        <f>VLOOKUP(Table3[[#This Row],[Country Code]],Table29[],8,FALSE)</f>
        <v>OECD</v>
      </c>
      <c r="AB1100" s="233" t="str">
        <f>VLOOKUP(Table3[[#This Row],[Country Code]],Table29[],9,FALSE)</f>
        <v>no</v>
      </c>
      <c r="AC1100" s="233" t="str">
        <f>VLOOKUP(Table3[[#This Row],[Country Code]],Table29[],10,FALSE)</f>
        <v>no</v>
      </c>
      <c r="AD1100" s="235">
        <f>VLOOKUP(Table3[[#This Row],[Country Code]],Table29[],23,FALSE)</f>
        <v>606.42985584790995</v>
      </c>
      <c r="AE1100" s="235">
        <f>VLOOKUP(Table3[[#This Row],[Country Code]],Table29[],24,FALSE)</f>
        <v>95.92080354160332</v>
      </c>
      <c r="AF1100" s="43"/>
    </row>
    <row r="1101" spans="1:32" x14ac:dyDescent="0.25">
      <c r="A1101" s="368">
        <v>21412</v>
      </c>
      <c r="B1101" s="233" t="str">
        <f>VLOOKUP(Table3[[#This Row],[Document ID]],Table1[],2,FALSE)</f>
        <v>UKR</v>
      </c>
      <c r="C1101" s="233" t="str">
        <f>VLOOKUP(Table3[[#This Row],[Document ID]],Table1[],3,FALSE)</f>
        <v>Ukraine</v>
      </c>
      <c r="D1101" s="233" t="str">
        <f>VLOOKUP(Table3[[#This Row],[Document ID]],Table1[],5,FALSE)</f>
        <v>NDC</v>
      </c>
      <c r="E1101" s="233" t="str">
        <f>VLOOKUP(Table3[[#This Row],[Document ID]],Table1[],7,FALSE)</f>
        <v>First NDC updated</v>
      </c>
      <c r="F1101" s="233" t="str">
        <f>VLOOKUP(Table3[[#This Row],[Document ID]],Table1[],8,FALSE)</f>
        <v>NDC 1.1</v>
      </c>
      <c r="G1101" s="233" t="str">
        <f>VLOOKUP(Table3[[#This Row],[Document ID]],Table1[],10,FALSE)</f>
        <v>Active</v>
      </c>
      <c r="H1101" s="43" t="s">
        <v>1147</v>
      </c>
      <c r="I1101" s="43" t="s">
        <v>1089</v>
      </c>
      <c r="J1101" s="43" t="s">
        <v>1090</v>
      </c>
      <c r="K1101" s="28" t="s">
        <v>1121</v>
      </c>
      <c r="L1101" s="43" t="s">
        <v>1116</v>
      </c>
      <c r="M1101" s="209">
        <v>2060</v>
      </c>
      <c r="N1101" s="44" t="s">
        <v>2197</v>
      </c>
      <c r="O1101" s="258">
        <v>19</v>
      </c>
      <c r="P1101" s="238" t="str">
        <f>VLOOKUP(_xlfn.CONCAT(Table3[[#This Row],[Target area]],Table3[[#This Row],[GHG target?]],Table3[[#This Row],[Conditionality]]),'Drop down'!$E$81:$F$101,2,FALSE)</f>
        <v>T_Netzero</v>
      </c>
      <c r="Q1101" s="239" t="str">
        <f>VLOOKUP(Table3[[#This Row],[Target type]],Table418[[Value name]:[Value idenifyer]],2,FALSE)</f>
        <v>T_FL</v>
      </c>
      <c r="V1101" s="233" t="str">
        <f>VLOOKUP(Table3[[#This Row],[Country Code]],Table29[],3,FALSE)</f>
        <v>Annex I</v>
      </c>
      <c r="W1101" s="233" t="str">
        <f>VLOOKUP(Table3[[#This Row],[Country Code]],Table29[],4,FALSE)</f>
        <v>Europe</v>
      </c>
      <c r="X1101" s="233" t="str">
        <f>VLOOKUP(Table3[[#This Row],[Country Code]],Table29[],5,FALSE)</f>
        <v>Middle-income</v>
      </c>
      <c r="Y1101" s="233" t="str">
        <f>VLOOKUP(Table3[[#This Row],[Country Code]],Table29[],6,FALSE)</f>
        <v>no</v>
      </c>
      <c r="Z1101" s="233" t="str">
        <f>VLOOKUP(Table3[[#This Row],[Country Code]],Table29[],7,FALSE)</f>
        <v>no</v>
      </c>
      <c r="AA1101" s="233" t="str">
        <f>VLOOKUP(Table3[[#This Row],[Country Code]],Table29[],8,FALSE)</f>
        <v>non-OECD</v>
      </c>
      <c r="AB1101" s="233" t="str">
        <f>VLOOKUP(Table3[[#This Row],[Country Code]],Table29[],9,FALSE)</f>
        <v>no</v>
      </c>
      <c r="AC1101" s="233" t="str">
        <f>VLOOKUP(Table3[[#This Row],[Country Code]],Table29[],10,FALSE)</f>
        <v>no</v>
      </c>
      <c r="AD1101" s="235">
        <f>VLOOKUP(Table3[[#This Row],[Country Code]],Table29[],23,FALSE)</f>
        <v>216.09280539526</v>
      </c>
      <c r="AE1101" s="235">
        <f>VLOOKUP(Table3[[#This Row],[Country Code]],Table29[],24,FALSE)</f>
        <v>22.57062743711105</v>
      </c>
      <c r="AF1101" s="43"/>
    </row>
    <row r="1102" spans="1:32" ht="45" x14ac:dyDescent="0.25">
      <c r="A1102" s="360">
        <v>42013</v>
      </c>
      <c r="B1102" s="233" t="str">
        <f>VLOOKUP(Table3[[#This Row],[Document ID]],Table1[],2,FALSE)</f>
        <v>ZAF</v>
      </c>
      <c r="C1102" s="233" t="str">
        <f>VLOOKUP(Table3[[#This Row],[Document ID]],Table1[],3,FALSE)</f>
        <v>South Africa</v>
      </c>
      <c r="D1102" s="233" t="str">
        <f>VLOOKUP(Table3[[#This Row],[Document ID]],Table1[],5,FALSE)</f>
        <v>National policy document</v>
      </c>
      <c r="E1102" s="233" t="str">
        <f>VLOOKUP(Table3[[#This Row],[Document ID]],Table1[],7,FALSE)</f>
        <v>National policy document</v>
      </c>
      <c r="F1102" s="233" t="str">
        <f>VLOOKUP(Table3[[#This Row],[Document ID]],Table1[],8,FALSE)</f>
        <v>NA</v>
      </c>
      <c r="G1102" s="233" t="str">
        <f>VLOOKUP(Table3[[#This Row],[Document ID]],Table1[],10,FALSE)</f>
        <v>Active</v>
      </c>
      <c r="H1102" s="43" t="s">
        <v>1147</v>
      </c>
      <c r="I1102" s="43" t="s">
        <v>1089</v>
      </c>
      <c r="J1102" s="43" t="s">
        <v>1090</v>
      </c>
      <c r="K1102" s="28" t="s">
        <v>1121</v>
      </c>
      <c r="L1102" s="43" t="s">
        <v>1116</v>
      </c>
      <c r="M1102" s="209">
        <v>2050</v>
      </c>
      <c r="N1102" s="44" t="s">
        <v>2198</v>
      </c>
      <c r="O1102" s="258">
        <v>7</v>
      </c>
      <c r="P1102" s="238" t="str">
        <f>VLOOKUP(_xlfn.CONCAT(Table3[[#This Row],[Target area]],Table3[[#This Row],[GHG target?]],Table3[[#This Row],[Conditionality]]),'Drop down'!$E$81:$F$101,2,FALSE)</f>
        <v>T_Netzero</v>
      </c>
      <c r="Q1102" s="239" t="str">
        <f>VLOOKUP(Table3[[#This Row],[Target type]],Table418[[Value name]:[Value idenifyer]],2,FALSE)</f>
        <v>T_FL</v>
      </c>
      <c r="V1102" s="233" t="str">
        <f>VLOOKUP(Table3[[#This Row],[Country Code]],Table29[],3,FALSE)</f>
        <v>Non-Annex I</v>
      </c>
      <c r="W1102" s="233" t="str">
        <f>VLOOKUP(Table3[[#This Row],[Country Code]],Table29[],4,FALSE)</f>
        <v>Africa</v>
      </c>
      <c r="X1102" s="233" t="str">
        <f>VLOOKUP(Table3[[#This Row],[Country Code]],Table29[],5,FALSE)</f>
        <v>Middle-income</v>
      </c>
      <c r="Y1102" s="233" t="str">
        <f>VLOOKUP(Table3[[#This Row],[Country Code]],Table29[],6,FALSE)</f>
        <v>G20</v>
      </c>
      <c r="Z1102" s="233" t="str">
        <f>VLOOKUP(Table3[[#This Row],[Country Code]],Table29[],7,FALSE)</f>
        <v>no</v>
      </c>
      <c r="AA1102" s="233" t="str">
        <f>VLOOKUP(Table3[[#This Row],[Country Code]],Table29[],8,FALSE)</f>
        <v>non-OECD</v>
      </c>
      <c r="AB1102" s="233" t="str">
        <f>VLOOKUP(Table3[[#This Row],[Country Code]],Table29[],9,FALSE)</f>
        <v>no</v>
      </c>
      <c r="AC1102" s="233" t="str">
        <f>VLOOKUP(Table3[[#This Row],[Country Code]],Table29[],10,FALSE)</f>
        <v>no</v>
      </c>
      <c r="AD1102" s="235">
        <f>VLOOKUP(Table3[[#This Row],[Country Code]],Table29[],23,FALSE)</f>
        <v>522.11549112330999</v>
      </c>
      <c r="AE1102" s="235">
        <f>VLOOKUP(Table3[[#This Row],[Country Code]],Table29[],24,FALSE)</f>
        <v>50.351995093376694</v>
      </c>
      <c r="AF1102" s="43"/>
    </row>
    <row r="1103" spans="1:32" ht="60" x14ac:dyDescent="0.25">
      <c r="A1103" s="360">
        <v>32523</v>
      </c>
      <c r="B1103" s="233" t="str">
        <f>VLOOKUP(Table3[[#This Row],[Document ID]],Table1[],2,FALSE)</f>
        <v>GBR</v>
      </c>
      <c r="C1103" s="233" t="str">
        <f>VLOOKUP(Table3[[#This Row],[Document ID]],Table1[],3,FALSE)</f>
        <v>United Kingdom</v>
      </c>
      <c r="D1103" s="233" t="str">
        <f>VLOOKUP(Table3[[#This Row],[Document ID]],Table1[],5,FALSE)</f>
        <v>NDC</v>
      </c>
      <c r="E1103" s="233" t="str">
        <f>VLOOKUP(Table3[[#This Row],[Document ID]],Table1[],7,FALSE)</f>
        <v>First NDC updated</v>
      </c>
      <c r="F1103" s="233" t="str">
        <f>VLOOKUP(Table3[[#This Row],[Document ID]],Table1[],8,FALSE)</f>
        <v>NDC 1.2</v>
      </c>
      <c r="G1103" s="233" t="str">
        <f>VLOOKUP(Table3[[#This Row],[Document ID]],Table1[],10,FALSE)</f>
        <v>Archived</v>
      </c>
      <c r="H1103" s="43" t="s">
        <v>1147</v>
      </c>
      <c r="I1103" s="43" t="s">
        <v>1089</v>
      </c>
      <c r="J1103" s="43" t="s">
        <v>1090</v>
      </c>
      <c r="K1103" s="28" t="s">
        <v>1121</v>
      </c>
      <c r="L1103" s="43" t="s">
        <v>1116</v>
      </c>
      <c r="M1103" s="209">
        <v>2050</v>
      </c>
      <c r="N1103" s="44" t="s">
        <v>2199</v>
      </c>
      <c r="O1103" s="258">
        <v>9</v>
      </c>
      <c r="P1103" s="238" t="str">
        <f>VLOOKUP(_xlfn.CONCAT(Table3[[#This Row],[Target area]],Table3[[#This Row],[GHG target?]],Table3[[#This Row],[Conditionality]]),'Drop down'!$E$81:$F$101,2,FALSE)</f>
        <v>T_Netzero</v>
      </c>
      <c r="Q1103" s="239" t="str">
        <f>VLOOKUP(Table3[[#This Row],[Target type]],Table418[[Value name]:[Value idenifyer]],2,FALSE)</f>
        <v>T_FL</v>
      </c>
      <c r="V1103" s="233" t="str">
        <f>VLOOKUP(Table3[[#This Row],[Country Code]],Table29[],3,FALSE)</f>
        <v>Annex I</v>
      </c>
      <c r="W1103" s="233" t="str">
        <f>VLOOKUP(Table3[[#This Row],[Country Code]],Table29[],4,FALSE)</f>
        <v>Europe</v>
      </c>
      <c r="X1103" s="233" t="str">
        <f>VLOOKUP(Table3[[#This Row],[Country Code]],Table29[],5,FALSE)</f>
        <v>High-income</v>
      </c>
      <c r="Y1103" s="233" t="str">
        <f>VLOOKUP(Table3[[#This Row],[Country Code]],Table29[],6,FALSE)</f>
        <v>G20</v>
      </c>
      <c r="Z1103" s="233" t="str">
        <f>VLOOKUP(Table3[[#This Row],[Country Code]],Table29[],7,FALSE)</f>
        <v>G7</v>
      </c>
      <c r="AA1103" s="233" t="str">
        <f>VLOOKUP(Table3[[#This Row],[Country Code]],Table29[],8,FALSE)</f>
        <v>OECD</v>
      </c>
      <c r="AB1103" s="233" t="str">
        <f>VLOOKUP(Table3[[#This Row],[Country Code]],Table29[],9,FALSE)</f>
        <v>no</v>
      </c>
      <c r="AC1103" s="233" t="str">
        <f>VLOOKUP(Table3[[#This Row],[Country Code]],Table29[],10,FALSE)</f>
        <v>no</v>
      </c>
      <c r="AD1103" s="235">
        <f>VLOOKUP(Table3[[#This Row],[Country Code]],Table29[],23,FALSE)</f>
        <v>379.31858785213001</v>
      </c>
      <c r="AE1103" s="235">
        <f>VLOOKUP(Table3[[#This Row],[Country Code]],Table29[],24,FALSE)</f>
        <v>109.75048777474809</v>
      </c>
      <c r="AF1103" s="43"/>
    </row>
    <row r="1104" spans="1:32" ht="30" x14ac:dyDescent="0.25">
      <c r="A1104" s="360">
        <v>32524</v>
      </c>
      <c r="B1104" s="233" t="str">
        <f>VLOOKUP(Table3[[#This Row],[Document ID]],Table1[],2,FALSE)</f>
        <v>URY</v>
      </c>
      <c r="C1104" s="233" t="str">
        <f>VLOOKUP(Table3[[#This Row],[Document ID]],Table1[],3,FALSE)</f>
        <v>Uruguay</v>
      </c>
      <c r="D1104" s="233" t="str">
        <f>VLOOKUP(Table3[[#This Row],[Document ID]],Table1[],5,FALSE)</f>
        <v>NDC</v>
      </c>
      <c r="E1104" s="233" t="str">
        <f>VLOOKUP(Table3[[#This Row],[Document ID]],Table1[],7,FALSE)</f>
        <v>Second NDC</v>
      </c>
      <c r="F1104" s="233" t="str">
        <f>VLOOKUP(Table3[[#This Row],[Document ID]],Table1[],8,FALSE)</f>
        <v>NDC 2.0</v>
      </c>
      <c r="G1104" s="233" t="str">
        <f>VLOOKUP(Table3[[#This Row],[Document ID]],Table1[],10,FALSE)</f>
        <v>Archived</v>
      </c>
      <c r="H1104" s="216" t="s">
        <v>1089</v>
      </c>
      <c r="I1104" s="216" t="s">
        <v>1089</v>
      </c>
      <c r="J1104" s="43" t="s">
        <v>1090</v>
      </c>
      <c r="K1104" s="28" t="s">
        <v>1121</v>
      </c>
      <c r="L1104" s="42" t="s">
        <v>1099</v>
      </c>
      <c r="M1104" s="209">
        <v>2030</v>
      </c>
      <c r="N1104" s="44" t="s">
        <v>2200</v>
      </c>
      <c r="O1104" s="258">
        <v>14</v>
      </c>
      <c r="P1104" s="238" t="str">
        <f>VLOOKUP(_xlfn.CONCAT(Table3[[#This Row],[Target area]],Table3[[#This Row],[GHG target?]],Table3[[#This Row],[Conditionality]]),'Drop down'!$E$81:$F$101,2,FALSE)</f>
        <v>T_Economy_Unc</v>
      </c>
      <c r="Q1104" s="239" t="str">
        <f>VLOOKUP(Table3[[#This Row],[Target type]],Table418[[Value name]:[Value idenifyer]],2,FALSE)</f>
        <v>T_FL</v>
      </c>
      <c r="S1104" s="233" t="s">
        <v>1101</v>
      </c>
      <c r="U1104" s="242" t="s">
        <v>1402</v>
      </c>
      <c r="V1104" s="233" t="str">
        <f>VLOOKUP(Table3[[#This Row],[Country Code]],Table29[],3,FALSE)</f>
        <v>Non-Annex I</v>
      </c>
      <c r="W1104" s="233" t="str">
        <f>VLOOKUP(Table3[[#This Row],[Country Code]],Table29[],4,FALSE)</f>
        <v>Latin America and the Caribbean</v>
      </c>
      <c r="X1104" s="233" t="str">
        <f>VLOOKUP(Table3[[#This Row],[Country Code]],Table29[],5,FALSE)</f>
        <v>High-income</v>
      </c>
      <c r="Y1104" s="233" t="str">
        <f>VLOOKUP(Table3[[#This Row],[Country Code]],Table29[],6,FALSE)</f>
        <v>no</v>
      </c>
      <c r="Z1104" s="233" t="str">
        <f>VLOOKUP(Table3[[#This Row],[Country Code]],Table29[],7,FALSE)</f>
        <v>no</v>
      </c>
      <c r="AA1104" s="233" t="str">
        <f>VLOOKUP(Table3[[#This Row],[Country Code]],Table29[],8,FALSE)</f>
        <v>non-OECD</v>
      </c>
      <c r="AB1104" s="233" t="str">
        <f>VLOOKUP(Table3[[#This Row],[Country Code]],Table29[],9,FALSE)</f>
        <v>no</v>
      </c>
      <c r="AC1104" s="233" t="str">
        <f>VLOOKUP(Table3[[#This Row],[Country Code]],Table29[],10,FALSE)</f>
        <v>no</v>
      </c>
      <c r="AD1104" s="235">
        <f>VLOOKUP(Table3[[#This Row],[Country Code]],Table29[],23,FALSE)</f>
        <v>41.634111747759</v>
      </c>
      <c r="AE1104" s="235">
        <f>VLOOKUP(Table3[[#This Row],[Country Code]],Table29[],24,FALSE)</f>
        <v>4.0868158944276578</v>
      </c>
      <c r="AF1104" s="43"/>
    </row>
    <row r="1105" spans="1:32" ht="60" x14ac:dyDescent="0.25">
      <c r="A1105" s="360">
        <v>17776</v>
      </c>
      <c r="B1105" s="233" t="str">
        <f>VLOOKUP(Table3[[#This Row],[Document ID]],Table1[],2,FALSE)</f>
        <v>GBR</v>
      </c>
      <c r="C1105" s="233" t="str">
        <f>VLOOKUP(Table3[[#This Row],[Document ID]],Table1[],3,FALSE)</f>
        <v>United Kingdom</v>
      </c>
      <c r="D1105" s="233" t="str">
        <f>VLOOKUP(Table3[[#This Row],[Document ID]],Table1[],5,FALSE)</f>
        <v>NDC</v>
      </c>
      <c r="E1105" s="233" t="str">
        <f>VLOOKUP(Table3[[#This Row],[Document ID]],Table1[],7,FALSE)</f>
        <v>First NDC updated</v>
      </c>
      <c r="F1105" s="233" t="str">
        <f>VLOOKUP(Table3[[#This Row],[Document ID]],Table1[],8,FALSE)</f>
        <v>NDC 1.1</v>
      </c>
      <c r="G1105" s="233" t="str">
        <f>VLOOKUP(Table3[[#This Row],[Document ID]],Table1[],10,FALSE)</f>
        <v>Archived</v>
      </c>
      <c r="H1105" s="43" t="s">
        <v>1147</v>
      </c>
      <c r="I1105" s="43" t="s">
        <v>1089</v>
      </c>
      <c r="J1105" s="43" t="s">
        <v>1090</v>
      </c>
      <c r="K1105" s="28" t="s">
        <v>1121</v>
      </c>
      <c r="L1105" s="43" t="s">
        <v>1116</v>
      </c>
      <c r="M1105" s="209">
        <v>2050</v>
      </c>
      <c r="N1105" s="44" t="s">
        <v>2199</v>
      </c>
      <c r="O1105" s="258">
        <v>9</v>
      </c>
      <c r="P1105" s="238" t="str">
        <f>VLOOKUP(_xlfn.CONCAT(Table3[[#This Row],[Target area]],Table3[[#This Row],[GHG target?]],Table3[[#This Row],[Conditionality]]),'Drop down'!$E$81:$F$101,2,FALSE)</f>
        <v>T_Netzero</v>
      </c>
      <c r="Q1105" s="239" t="str">
        <f>VLOOKUP(Table3[[#This Row],[Target type]],Table418[[Value name]:[Value idenifyer]],2,FALSE)</f>
        <v>T_FL</v>
      </c>
      <c r="V1105" s="233" t="str">
        <f>VLOOKUP(Table3[[#This Row],[Country Code]],Table29[],3,FALSE)</f>
        <v>Annex I</v>
      </c>
      <c r="W1105" s="233" t="str">
        <f>VLOOKUP(Table3[[#This Row],[Country Code]],Table29[],4,FALSE)</f>
        <v>Europe</v>
      </c>
      <c r="X1105" s="233" t="str">
        <f>VLOOKUP(Table3[[#This Row],[Country Code]],Table29[],5,FALSE)</f>
        <v>High-income</v>
      </c>
      <c r="Y1105" s="233" t="str">
        <f>VLOOKUP(Table3[[#This Row],[Country Code]],Table29[],6,FALSE)</f>
        <v>G20</v>
      </c>
      <c r="Z1105" s="233" t="str">
        <f>VLOOKUP(Table3[[#This Row],[Country Code]],Table29[],7,FALSE)</f>
        <v>G7</v>
      </c>
      <c r="AA1105" s="233" t="str">
        <f>VLOOKUP(Table3[[#This Row],[Country Code]],Table29[],8,FALSE)</f>
        <v>OECD</v>
      </c>
      <c r="AB1105" s="233" t="str">
        <f>VLOOKUP(Table3[[#This Row],[Country Code]],Table29[],9,FALSE)</f>
        <v>no</v>
      </c>
      <c r="AC1105" s="233" t="str">
        <f>VLOOKUP(Table3[[#This Row],[Country Code]],Table29[],10,FALSE)</f>
        <v>no</v>
      </c>
      <c r="AD1105" s="235">
        <f>VLOOKUP(Table3[[#This Row],[Country Code]],Table29[],23,FALSE)</f>
        <v>379.31858785213001</v>
      </c>
      <c r="AE1105" s="235">
        <f>VLOOKUP(Table3[[#This Row],[Country Code]],Table29[],24,FALSE)</f>
        <v>109.75048777474809</v>
      </c>
      <c r="AF1105" s="43"/>
    </row>
    <row r="1106" spans="1:32" ht="30" x14ac:dyDescent="0.25">
      <c r="A1106" s="360">
        <v>26793</v>
      </c>
      <c r="B1106" s="233" t="str">
        <f>VLOOKUP(Table3[[#This Row],[Document ID]],Table1[],2,FALSE)</f>
        <v>USA</v>
      </c>
      <c r="C1106" s="233" t="str">
        <f>VLOOKUP(Table3[[#This Row],[Document ID]],Table1[],3,FALSE)</f>
        <v>United States of America</v>
      </c>
      <c r="D1106" s="233" t="str">
        <f>VLOOKUP(Table3[[#This Row],[Document ID]],Table1[],5,FALSE)</f>
        <v>LTS</v>
      </c>
      <c r="E1106" s="233" t="str">
        <f>VLOOKUP(Table3[[#This Row],[Document ID]],Table1[],7,FALSE)</f>
        <v>LTS</v>
      </c>
      <c r="F1106" s="233" t="str">
        <f>VLOOKUP(Table3[[#This Row],[Document ID]],Table1[],8,FALSE)</f>
        <v>LTS 1.1</v>
      </c>
      <c r="G1106" s="233" t="str">
        <f>VLOOKUP(Table3[[#This Row],[Document ID]],Table1[],10,FALSE)</f>
        <v>Active</v>
      </c>
      <c r="H1106" s="43" t="s">
        <v>1147</v>
      </c>
      <c r="I1106" s="43" t="s">
        <v>1089</v>
      </c>
      <c r="J1106" s="43" t="s">
        <v>1090</v>
      </c>
      <c r="K1106" s="28" t="s">
        <v>1121</v>
      </c>
      <c r="L1106" s="43" t="s">
        <v>1116</v>
      </c>
      <c r="M1106" s="209">
        <v>2050</v>
      </c>
      <c r="N1106" s="44" t="s">
        <v>1958</v>
      </c>
      <c r="O1106" s="258">
        <v>1</v>
      </c>
      <c r="P1106" s="238" t="str">
        <f>VLOOKUP(_xlfn.CONCAT(Table3[[#This Row],[Target area]],Table3[[#This Row],[GHG target?]],Table3[[#This Row],[Conditionality]]),'Drop down'!$E$81:$F$101,2,FALSE)</f>
        <v>T_Netzero</v>
      </c>
      <c r="Q1106" s="239" t="str">
        <f>VLOOKUP(Table3[[#This Row],[Target type]],Table418[[Value name]:[Value idenifyer]],2,FALSE)</f>
        <v>T_FL</v>
      </c>
      <c r="V1106" s="233" t="str">
        <f>VLOOKUP(Table3[[#This Row],[Country Code]],Table29[],3,FALSE)</f>
        <v>Annex I</v>
      </c>
      <c r="W1106" s="233" t="str">
        <f>VLOOKUP(Table3[[#This Row],[Country Code]],Table29[],4,FALSE)</f>
        <v>Northern America</v>
      </c>
      <c r="X1106" s="233" t="str">
        <f>VLOOKUP(Table3[[#This Row],[Country Code]],Table29[],5,FALSE)</f>
        <v>High-income</v>
      </c>
      <c r="Y1106" s="233" t="str">
        <f>VLOOKUP(Table3[[#This Row],[Country Code]],Table29[],6,FALSE)</f>
        <v>G20</v>
      </c>
      <c r="Z1106" s="233" t="str">
        <f>VLOOKUP(Table3[[#This Row],[Country Code]],Table29[],7,FALSE)</f>
        <v>G7</v>
      </c>
      <c r="AA1106" s="233" t="str">
        <f>VLOOKUP(Table3[[#This Row],[Country Code]],Table29[],8,FALSE)</f>
        <v>OECD</v>
      </c>
      <c r="AB1106" s="233" t="str">
        <f>VLOOKUP(Table3[[#This Row],[Country Code]],Table29[],9,FALSE)</f>
        <v>no</v>
      </c>
      <c r="AC1106" s="233" t="str">
        <f>VLOOKUP(Table3[[#This Row],[Country Code]],Table29[],10,FALSE)</f>
        <v>no</v>
      </c>
      <c r="AD1106" s="235">
        <f>VLOOKUP(Table3[[#This Row],[Country Code]],Table29[],23,FALSE)</f>
        <v>5960.8043799938996</v>
      </c>
      <c r="AE1106" s="235">
        <f>VLOOKUP(Table3[[#This Row],[Country Code]],Table29[],24,FALSE)</f>
        <v>1735.9036371632039</v>
      </c>
      <c r="AF1106" s="43"/>
    </row>
    <row r="1107" spans="1:32" x14ac:dyDescent="0.25">
      <c r="A1107" s="360">
        <v>17778</v>
      </c>
      <c r="B1107" s="233" t="str">
        <f>VLOOKUP(Table3[[#This Row],[Document ID]],Table1[],2,FALSE)</f>
        <v>USA</v>
      </c>
      <c r="C1107" s="233" t="str">
        <f>VLOOKUP(Table3[[#This Row],[Document ID]],Table1[],3,FALSE)</f>
        <v>United States of America</v>
      </c>
      <c r="D1107" s="233" t="str">
        <f>VLOOKUP(Table3[[#This Row],[Document ID]],Table1[],5,FALSE)</f>
        <v>NDC</v>
      </c>
      <c r="E1107" s="233" t="str">
        <f>VLOOKUP(Table3[[#This Row],[Document ID]],Table1[],7,FALSE)</f>
        <v>First NDC</v>
      </c>
      <c r="F1107" s="233" t="str">
        <f>VLOOKUP(Table3[[#This Row],[Document ID]],Table1[],8,FALSE)</f>
        <v>NDC 1.0</v>
      </c>
      <c r="G1107" s="233" t="str">
        <f>VLOOKUP(Table3[[#This Row],[Document ID]],Table1[],10,FALSE)</f>
        <v>Archived</v>
      </c>
      <c r="H1107" s="43" t="s">
        <v>1147</v>
      </c>
      <c r="I1107" s="43" t="s">
        <v>1089</v>
      </c>
      <c r="J1107" s="43" t="s">
        <v>1090</v>
      </c>
      <c r="K1107" s="28" t="s">
        <v>1153</v>
      </c>
      <c r="L1107" s="43" t="s">
        <v>1116</v>
      </c>
      <c r="M1107" s="209">
        <v>2050</v>
      </c>
      <c r="N1107" s="176" t="s">
        <v>2201</v>
      </c>
      <c r="O1107" s="258">
        <v>2</v>
      </c>
      <c r="P1107" s="238" t="str">
        <f>VLOOKUP(_xlfn.CONCAT(Table3[[#This Row],[Target area]],Table3[[#This Row],[GHG target?]],Table3[[#This Row],[Conditionality]]),'Drop down'!$E$81:$F$101,2,FALSE)</f>
        <v>T_Netzero</v>
      </c>
      <c r="Q1107" s="239" t="str">
        <f>VLOOKUP(Table3[[#This Row],[Target type]],Table418[[Value name]:[Value idenifyer]],2,FALSE)</f>
        <v>T_BYE</v>
      </c>
      <c r="V1107" s="233" t="str">
        <f>VLOOKUP(Table3[[#This Row],[Country Code]],Table29[],3,FALSE)</f>
        <v>Annex I</v>
      </c>
      <c r="W1107" s="233" t="str">
        <f>VLOOKUP(Table3[[#This Row],[Country Code]],Table29[],4,FALSE)</f>
        <v>Northern America</v>
      </c>
      <c r="X1107" s="233" t="str">
        <f>VLOOKUP(Table3[[#This Row],[Country Code]],Table29[],5,FALSE)</f>
        <v>High-income</v>
      </c>
      <c r="Y1107" s="233" t="str">
        <f>VLOOKUP(Table3[[#This Row],[Country Code]],Table29[],6,FALSE)</f>
        <v>G20</v>
      </c>
      <c r="Z1107" s="233" t="str">
        <f>VLOOKUP(Table3[[#This Row],[Country Code]],Table29[],7,FALSE)</f>
        <v>G7</v>
      </c>
      <c r="AA1107" s="233" t="str">
        <f>VLOOKUP(Table3[[#This Row],[Country Code]],Table29[],8,FALSE)</f>
        <v>OECD</v>
      </c>
      <c r="AB1107" s="233" t="str">
        <f>VLOOKUP(Table3[[#This Row],[Country Code]],Table29[],9,FALSE)</f>
        <v>no</v>
      </c>
      <c r="AC1107" s="233" t="str">
        <f>VLOOKUP(Table3[[#This Row],[Country Code]],Table29[],10,FALSE)</f>
        <v>no</v>
      </c>
      <c r="AD1107" s="235">
        <f>VLOOKUP(Table3[[#This Row],[Country Code]],Table29[],23,FALSE)</f>
        <v>5960.8043799938996</v>
      </c>
      <c r="AE1107" s="235">
        <f>VLOOKUP(Table3[[#This Row],[Country Code]],Table29[],24,FALSE)</f>
        <v>1735.9036371632039</v>
      </c>
      <c r="AF1107" s="43"/>
    </row>
    <row r="1108" spans="1:32" ht="75" x14ac:dyDescent="0.25">
      <c r="A1108" s="368">
        <v>26821</v>
      </c>
      <c r="B1108" s="233" t="str">
        <f>VLOOKUP(Table3[[#This Row],[Document ID]],Table1[],2,FALSE)</f>
        <v>URY</v>
      </c>
      <c r="C1108" s="233" t="str">
        <f>VLOOKUP(Table3[[#This Row],[Document ID]],Table1[],3,FALSE)</f>
        <v>Uruguay</v>
      </c>
      <c r="D1108" s="233" t="str">
        <f>VLOOKUP(Table3[[#This Row],[Document ID]],Table1[],5,FALSE)</f>
        <v>LTS</v>
      </c>
      <c r="E1108" s="233" t="str">
        <f>VLOOKUP(Table3[[#This Row],[Document ID]],Table1[],7,FALSE)</f>
        <v>LTS</v>
      </c>
      <c r="F1108" s="233" t="str">
        <f>VLOOKUP(Table3[[#This Row],[Document ID]],Table1[],8,FALSE)</f>
        <v>LTS 1.0</v>
      </c>
      <c r="G1108" s="233" t="str">
        <f>VLOOKUP(Table3[[#This Row],[Document ID]],Table1[],10,FALSE)</f>
        <v>Active</v>
      </c>
      <c r="H1108" s="43" t="s">
        <v>1147</v>
      </c>
      <c r="I1108" s="43" t="s">
        <v>1089</v>
      </c>
      <c r="J1108" s="43" t="s">
        <v>1090</v>
      </c>
      <c r="K1108" s="28" t="s">
        <v>1121</v>
      </c>
      <c r="L1108" s="43" t="s">
        <v>1116</v>
      </c>
      <c r="M1108" s="209">
        <v>2050</v>
      </c>
      <c r="N1108" s="44" t="s">
        <v>2202</v>
      </c>
      <c r="O1108" s="258">
        <v>12</v>
      </c>
      <c r="P1108" s="238" t="str">
        <f>VLOOKUP(_xlfn.CONCAT(Table3[[#This Row],[Target area]],Table3[[#This Row],[GHG target?]],Table3[[#This Row],[Conditionality]]),'Drop down'!$E$81:$F$101,2,FALSE)</f>
        <v>T_Netzero</v>
      </c>
      <c r="Q1108" s="239" t="str">
        <f>VLOOKUP(Table3[[#This Row],[Target type]],Table418[[Value name]:[Value idenifyer]],2,FALSE)</f>
        <v>T_FL</v>
      </c>
      <c r="U1108" s="234" t="s">
        <v>1244</v>
      </c>
      <c r="V1108" s="233" t="str">
        <f>VLOOKUP(Table3[[#This Row],[Country Code]],Table29[],3,FALSE)</f>
        <v>Non-Annex I</v>
      </c>
      <c r="W1108" s="233" t="str">
        <f>VLOOKUP(Table3[[#This Row],[Country Code]],Table29[],4,FALSE)</f>
        <v>Latin America and the Caribbean</v>
      </c>
      <c r="X1108" s="233" t="str">
        <f>VLOOKUP(Table3[[#This Row],[Country Code]],Table29[],5,FALSE)</f>
        <v>High-income</v>
      </c>
      <c r="Y1108" s="233" t="str">
        <f>VLOOKUP(Table3[[#This Row],[Country Code]],Table29[],6,FALSE)</f>
        <v>no</v>
      </c>
      <c r="Z1108" s="233" t="str">
        <f>VLOOKUP(Table3[[#This Row],[Country Code]],Table29[],7,FALSE)</f>
        <v>no</v>
      </c>
      <c r="AA1108" s="233" t="str">
        <f>VLOOKUP(Table3[[#This Row],[Country Code]],Table29[],8,FALSE)</f>
        <v>non-OECD</v>
      </c>
      <c r="AB1108" s="233" t="str">
        <f>VLOOKUP(Table3[[#This Row],[Country Code]],Table29[],9,FALSE)</f>
        <v>no</v>
      </c>
      <c r="AC1108" s="233" t="str">
        <f>VLOOKUP(Table3[[#This Row],[Country Code]],Table29[],10,FALSE)</f>
        <v>no</v>
      </c>
      <c r="AD1108" s="235">
        <f>VLOOKUP(Table3[[#This Row],[Country Code]],Table29[],23,FALSE)</f>
        <v>41.634111747759</v>
      </c>
      <c r="AE1108" s="235">
        <f>VLOOKUP(Table3[[#This Row],[Country Code]],Table29[],24,FALSE)</f>
        <v>4.0868158944276578</v>
      </c>
      <c r="AF1108" s="43"/>
    </row>
    <row r="1109" spans="1:32" ht="90" x14ac:dyDescent="0.25">
      <c r="A1109" s="368">
        <v>39450</v>
      </c>
      <c r="B1109" s="233" t="str">
        <f>VLOOKUP(Table3[[#This Row],[Document ID]],Table1[],2,FALSE)</f>
        <v>VUT</v>
      </c>
      <c r="C1109" s="233" t="str">
        <f>VLOOKUP(Table3[[#This Row],[Document ID]],Table1[],3,FALSE)</f>
        <v>Vanuatu</v>
      </c>
      <c r="D1109" s="233" t="str">
        <f>VLOOKUP(Table3[[#This Row],[Document ID]],Table1[],5,FALSE)</f>
        <v>LTS</v>
      </c>
      <c r="E1109" s="233" t="str">
        <f>VLOOKUP(Table3[[#This Row],[Document ID]],Table1[],7,FALSE)</f>
        <v>LTS</v>
      </c>
      <c r="F1109" s="233" t="str">
        <f>VLOOKUP(Table3[[#This Row],[Document ID]],Table1[],8,FALSE)</f>
        <v>LTS 1.0</v>
      </c>
      <c r="G1109" s="233" t="str">
        <f>VLOOKUP(Table3[[#This Row],[Document ID]],Table1[],10,FALSE)</f>
        <v>Active</v>
      </c>
      <c r="H1109" s="43" t="s">
        <v>1147</v>
      </c>
      <c r="I1109" s="43" t="s">
        <v>1089</v>
      </c>
      <c r="J1109" s="43" t="s">
        <v>1090</v>
      </c>
      <c r="K1109" s="28" t="s">
        <v>1121</v>
      </c>
      <c r="L1109" s="43" t="s">
        <v>1116</v>
      </c>
      <c r="M1109" s="209" t="s">
        <v>1885</v>
      </c>
      <c r="N1109" s="44" t="s">
        <v>1984</v>
      </c>
      <c r="O1109" s="258">
        <v>16</v>
      </c>
      <c r="P1109" s="238" t="str">
        <f>VLOOKUP(_xlfn.CONCAT(Table3[[#This Row],[Target area]],Table3[[#This Row],[GHG target?]],Table3[[#This Row],[Conditionality]]),'Drop down'!$E$81:$F$101,2,FALSE)</f>
        <v>T_Netzero</v>
      </c>
      <c r="Q1109" s="239" t="str">
        <f>VLOOKUP(Table3[[#This Row],[Target type]],Table418[[Value name]:[Value idenifyer]],2,FALSE)</f>
        <v>T_FL</v>
      </c>
      <c r="V1109" s="233" t="str">
        <f>VLOOKUP(Table3[[#This Row],[Country Code]],Table29[],3,FALSE)</f>
        <v>Non-Annex I</v>
      </c>
      <c r="W1109" s="233" t="str">
        <f>VLOOKUP(Table3[[#This Row],[Country Code]],Table29[],4,FALSE)</f>
        <v>Oceania</v>
      </c>
      <c r="X1109" s="233" t="str">
        <f>VLOOKUP(Table3[[#This Row],[Country Code]],Table29[],5,FALSE)</f>
        <v>Middle-income</v>
      </c>
      <c r="Y1109" s="233" t="str">
        <f>VLOOKUP(Table3[[#This Row],[Country Code]],Table29[],6,FALSE)</f>
        <v>no</v>
      </c>
      <c r="Z1109" s="233" t="str">
        <f>VLOOKUP(Table3[[#This Row],[Country Code]],Table29[],7,FALSE)</f>
        <v>no</v>
      </c>
      <c r="AA1109" s="233" t="str">
        <f>VLOOKUP(Table3[[#This Row],[Country Code]],Table29[],8,FALSE)</f>
        <v>non-OECD</v>
      </c>
      <c r="AB1109" s="233" t="str">
        <f>VLOOKUP(Table3[[#This Row],[Country Code]],Table29[],9,FALSE)</f>
        <v>no</v>
      </c>
      <c r="AC1109" s="233" t="str">
        <f>VLOOKUP(Table3[[#This Row],[Country Code]],Table29[],10,FALSE)</f>
        <v>no</v>
      </c>
      <c r="AD1109" s="235">
        <f>VLOOKUP(Table3[[#This Row],[Country Code]],Table29[],23,FALSE)</f>
        <v>0.67021230161326995</v>
      </c>
      <c r="AE1109" s="235">
        <f>VLOOKUP(Table3[[#This Row],[Country Code]],Table29[],24,FALSE)</f>
        <v>0.148941723979749</v>
      </c>
      <c r="AF1109" s="43"/>
    </row>
    <row r="1110" spans="1:32" x14ac:dyDescent="0.25">
      <c r="A1110" s="360">
        <v>32525</v>
      </c>
      <c r="B1110" s="233" t="str">
        <f>VLOOKUP(Table3[[#This Row],[Document ID]],Table1[],2,FALSE)</f>
        <v>VNM</v>
      </c>
      <c r="C1110" s="233" t="str">
        <f>VLOOKUP(Table3[[#This Row],[Document ID]],Table1[],3,FALSE)</f>
        <v>Viet Nam</v>
      </c>
      <c r="D1110" s="233" t="str">
        <f>VLOOKUP(Table3[[#This Row],[Document ID]],Table1[],5,FALSE)</f>
        <v>NDC</v>
      </c>
      <c r="E1110" s="233" t="str">
        <f>VLOOKUP(Table3[[#This Row],[Document ID]],Table1[],7,FALSE)</f>
        <v>First NDC updated</v>
      </c>
      <c r="F1110" s="233" t="str">
        <f>VLOOKUP(Table3[[#This Row],[Document ID]],Table1[],8,FALSE)</f>
        <v>NDC 1.2</v>
      </c>
      <c r="G1110" s="233" t="str">
        <f>VLOOKUP(Table3[[#This Row],[Document ID]],Table1[],10,FALSE)</f>
        <v>Active</v>
      </c>
      <c r="H1110" s="43" t="s">
        <v>1147</v>
      </c>
      <c r="I1110" s="43" t="s">
        <v>1089</v>
      </c>
      <c r="J1110" s="43" t="s">
        <v>1090</v>
      </c>
      <c r="K1110" s="28" t="s">
        <v>1121</v>
      </c>
      <c r="L1110" s="43" t="s">
        <v>1116</v>
      </c>
      <c r="M1110" s="209">
        <v>2050</v>
      </c>
      <c r="N1110" s="43" t="s">
        <v>2203</v>
      </c>
      <c r="O1110" s="258">
        <v>1</v>
      </c>
      <c r="P1110" s="238" t="str">
        <f>VLOOKUP(_xlfn.CONCAT(Table3[[#This Row],[Target area]],Table3[[#This Row],[GHG target?]],Table3[[#This Row],[Conditionality]]),'Drop down'!$E$81:$F$101,2,FALSE)</f>
        <v>T_Netzero</v>
      </c>
      <c r="Q1110" s="239" t="str">
        <f>VLOOKUP(Table3[[#This Row],[Target type]],Table418[[Value name]:[Value idenifyer]],2,FALSE)</f>
        <v>T_FL</v>
      </c>
      <c r="V1110" s="233" t="str">
        <f>VLOOKUP(Table3[[#This Row],[Country Code]],Table29[],3,FALSE)</f>
        <v>Non-Annex I</v>
      </c>
      <c r="W1110" s="233" t="str">
        <f>VLOOKUP(Table3[[#This Row],[Country Code]],Table29[],4,FALSE)</f>
        <v>Asia</v>
      </c>
      <c r="X1110" s="233" t="str">
        <f>VLOOKUP(Table3[[#This Row],[Country Code]],Table29[],5,FALSE)</f>
        <v>Middle-income</v>
      </c>
      <c r="Y1110" s="233" t="str">
        <f>VLOOKUP(Table3[[#This Row],[Country Code]],Table29[],6,FALSE)</f>
        <v>no</v>
      </c>
      <c r="Z1110" s="233" t="str">
        <f>VLOOKUP(Table3[[#This Row],[Country Code]],Table29[],7,FALSE)</f>
        <v>no</v>
      </c>
      <c r="AA1110" s="233" t="str">
        <f>VLOOKUP(Table3[[#This Row],[Country Code]],Table29[],8,FALSE)</f>
        <v>non-OECD</v>
      </c>
      <c r="AB1110" s="233" t="str">
        <f>VLOOKUP(Table3[[#This Row],[Country Code]],Table29[],9,FALSE)</f>
        <v>no</v>
      </c>
      <c r="AC1110" s="233" t="str">
        <f>VLOOKUP(Table3[[#This Row],[Country Code]],Table29[],10,FALSE)</f>
        <v>no</v>
      </c>
      <c r="AD1110" s="235">
        <f>VLOOKUP(Table3[[#This Row],[Country Code]],Table29[],23,FALSE)</f>
        <v>524.13346380418</v>
      </c>
      <c r="AE1110" s="235">
        <f>VLOOKUP(Table3[[#This Row],[Country Code]],Table29[],24,FALSE)</f>
        <v>39.884378531634049</v>
      </c>
      <c r="AF1110" s="43"/>
    </row>
    <row r="1111" spans="1:32" ht="30" x14ac:dyDescent="0.25">
      <c r="A1111" s="368">
        <v>41748</v>
      </c>
      <c r="B1111" s="233" t="str">
        <f>VLOOKUP(Table3[[#This Row],[Document ID]],Table1[],2,FALSE)</f>
        <v>NGA</v>
      </c>
      <c r="C1111" s="233" t="str">
        <f>VLOOKUP(Table3[[#This Row],[Document ID]],Table1[],3,FALSE)</f>
        <v>Nigeria</v>
      </c>
      <c r="D1111" s="233" t="str">
        <f>VLOOKUP(Table3[[#This Row],[Document ID]],Table1[],5,FALSE)</f>
        <v>LTS</v>
      </c>
      <c r="E1111" s="233" t="str">
        <f>VLOOKUP(Table3[[#This Row],[Document ID]],Table1[],7,FALSE)</f>
        <v>LTS</v>
      </c>
      <c r="F1111" s="233" t="str">
        <f>VLOOKUP(Table3[[#This Row],[Document ID]],Table1[],8,FALSE)</f>
        <v>LTS 2.0</v>
      </c>
      <c r="G1111" s="233" t="str">
        <f>VLOOKUP(Table3[[#This Row],[Document ID]],Table1[],10,FALSE)</f>
        <v>Active</v>
      </c>
      <c r="H1111" s="43" t="s">
        <v>1147</v>
      </c>
      <c r="I1111" s="43" t="s">
        <v>1089</v>
      </c>
      <c r="J1111" s="43" t="s">
        <v>1090</v>
      </c>
      <c r="K1111" s="28" t="s">
        <v>1121</v>
      </c>
      <c r="L1111" s="43" t="s">
        <v>1116</v>
      </c>
      <c r="M1111" s="209">
        <v>2060</v>
      </c>
      <c r="N1111" s="44" t="s">
        <v>2204</v>
      </c>
      <c r="O1111" s="258">
        <v>17</v>
      </c>
      <c r="P1111" s="238" t="str">
        <f>VLOOKUP(_xlfn.CONCAT(Table3[[#This Row],[Target area]],Table3[[#This Row],[GHG target?]],Table3[[#This Row],[Conditionality]]),'Drop down'!$E$81:$F$101,2,FALSE)</f>
        <v>T_Netzero</v>
      </c>
      <c r="Q1111" s="239" t="str">
        <f>VLOOKUP(Table3[[#This Row],[Target type]],Table418[[Value name]:[Value idenifyer]],2,FALSE)</f>
        <v>T_FL</v>
      </c>
      <c r="V1111" s="233" t="str">
        <f>VLOOKUP(Table3[[#This Row],[Country Code]],Table29[],3,FALSE)</f>
        <v>Non-Annex I</v>
      </c>
      <c r="W1111" s="233" t="str">
        <f>VLOOKUP(Table3[[#This Row],[Country Code]],Table29[],4,FALSE)</f>
        <v>Africa</v>
      </c>
      <c r="X1111" s="233" t="str">
        <f>VLOOKUP(Table3[[#This Row],[Country Code]],Table29[],5,FALSE)</f>
        <v>Middle-income</v>
      </c>
      <c r="Y1111" s="233" t="str">
        <f>VLOOKUP(Table3[[#This Row],[Country Code]],Table29[],6,FALSE)</f>
        <v>no</v>
      </c>
      <c r="Z1111" s="233" t="str">
        <f>VLOOKUP(Table3[[#This Row],[Country Code]],Table29[],7,FALSE)</f>
        <v>no</v>
      </c>
      <c r="AA1111" s="233" t="str">
        <f>VLOOKUP(Table3[[#This Row],[Country Code]],Table29[],8,FALSE)</f>
        <v>non-OECD</v>
      </c>
      <c r="AB1111" s="233" t="str">
        <f>VLOOKUP(Table3[[#This Row],[Country Code]],Table29[],9,FALSE)</f>
        <v>no</v>
      </c>
      <c r="AC1111" s="233" t="str">
        <f>VLOOKUP(Table3[[#This Row],[Country Code]],Table29[],10,FALSE)</f>
        <v>no</v>
      </c>
      <c r="AD1111" s="235">
        <f>VLOOKUP(Table3[[#This Row],[Country Code]],Table29[],23,FALSE)</f>
        <v>385.11288377147002</v>
      </c>
      <c r="AE1111" s="235">
        <f>VLOOKUP(Table3[[#This Row],[Country Code]],Table29[],24,FALSE)</f>
        <v>58.971195919965467</v>
      </c>
      <c r="AF1111" s="43"/>
    </row>
    <row r="1112" spans="1:32" ht="30" x14ac:dyDescent="0.25">
      <c r="A1112" s="360">
        <v>17517</v>
      </c>
      <c r="B1112" s="233" t="str">
        <f>VLOOKUP(Table3[[#This Row],[Document ID]],Table1[],2,FALSE)</f>
        <v>AUS</v>
      </c>
      <c r="C1112" s="233" t="str">
        <f>VLOOKUP(Table3[[#This Row],[Document ID]],Table1[],3,FALSE)</f>
        <v>Australia</v>
      </c>
      <c r="D1112" s="233" t="str">
        <f>VLOOKUP(Table3[[#This Row],[Document ID]],Table1[],5,FALSE)</f>
        <v>NDC</v>
      </c>
      <c r="E1112" s="233" t="str">
        <f>VLOOKUP(Table3[[#This Row],[Document ID]],Table1[],7,FALSE)</f>
        <v>First NDC</v>
      </c>
      <c r="F1112" s="233" t="str">
        <f>VLOOKUP(Table3[[#This Row],[Document ID]],Table1[],8,FALSE)</f>
        <v>NDC 1.0</v>
      </c>
      <c r="G1112" s="233" t="str">
        <f>VLOOKUP(Table3[[#This Row],[Document ID]],Table1[],10,FALSE)</f>
        <v>Archived</v>
      </c>
      <c r="H1112" s="216" t="s">
        <v>1089</v>
      </c>
      <c r="I1112" s="216" t="s">
        <v>1089</v>
      </c>
      <c r="J1112" s="43" t="s">
        <v>1090</v>
      </c>
      <c r="K1112" s="28" t="s">
        <v>1153</v>
      </c>
      <c r="L1112" s="43" t="s">
        <v>1092</v>
      </c>
      <c r="M1112" s="209">
        <v>2030</v>
      </c>
      <c r="N1112" s="44" t="s">
        <v>2205</v>
      </c>
      <c r="O1112" s="258">
        <v>1</v>
      </c>
      <c r="P1112" s="238" t="str">
        <f>VLOOKUP(_xlfn.CONCAT(Table3[[#This Row],[Target area]],Table3[[#This Row],[GHG target?]],Table3[[#This Row],[Conditionality]]),'Drop down'!$E$81:$F$101,2,FALSE)</f>
        <v>T_Economy_C</v>
      </c>
      <c r="Q1112" s="239" t="str">
        <f>VLOOKUP(Table3[[#This Row],[Target type]],Table418[[Value name]:[Value idenifyer]],2,FALSE)</f>
        <v>T_BYE</v>
      </c>
      <c r="T1112" s="234" t="s">
        <v>1113</v>
      </c>
      <c r="V1112" s="233" t="str">
        <f>VLOOKUP(Table3[[#This Row],[Country Code]],Table29[],3,FALSE)</f>
        <v>Annex I</v>
      </c>
      <c r="W1112" s="233" t="str">
        <f>VLOOKUP(Table3[[#This Row],[Country Code]],Table29[],4,FALSE)</f>
        <v>Oceania</v>
      </c>
      <c r="X1112" s="233" t="str">
        <f>VLOOKUP(Table3[[#This Row],[Country Code]],Table29[],5,FALSE)</f>
        <v>High-income</v>
      </c>
      <c r="Y1112" s="233" t="str">
        <f>VLOOKUP(Table3[[#This Row],[Country Code]],Table29[],6,FALSE)</f>
        <v>G20</v>
      </c>
      <c r="Z1112" s="233" t="str">
        <f>VLOOKUP(Table3[[#This Row],[Country Code]],Table29[],7,FALSE)</f>
        <v>no</v>
      </c>
      <c r="AA1112" s="233" t="str">
        <f>VLOOKUP(Table3[[#This Row],[Country Code]],Table29[],8,FALSE)</f>
        <v>OECD</v>
      </c>
      <c r="AB1112" s="233" t="str">
        <f>VLOOKUP(Table3[[#This Row],[Country Code]],Table29[],9,FALSE)</f>
        <v>no</v>
      </c>
      <c r="AC1112" s="233" t="str">
        <f>VLOOKUP(Table3[[#This Row],[Country Code]],Table29[],10,FALSE)</f>
        <v>no</v>
      </c>
      <c r="AD1112" s="235">
        <f>VLOOKUP(Table3[[#This Row],[Country Code]],Table29[],23,FALSE)</f>
        <v>571.83984854670996</v>
      </c>
      <c r="AE1112" s="235">
        <f>VLOOKUP(Table3[[#This Row],[Country Code]],Table29[],24,FALSE)</f>
        <v>97.492958559878787</v>
      </c>
      <c r="AF1112" s="43" t="s">
        <v>2206</v>
      </c>
    </row>
    <row r="1113" spans="1:32" ht="90" x14ac:dyDescent="0.25">
      <c r="A1113" s="360">
        <v>43377</v>
      </c>
      <c r="B1113" s="233" t="str">
        <f>VLOOKUP(Table3[[#This Row],[Document ID]],Table1[],2,FALSE)</f>
        <v>PAN</v>
      </c>
      <c r="C1113" s="233" t="str">
        <f>VLOOKUP(Table3[[#This Row],[Document ID]],Table1[],3,FALSE)</f>
        <v>Panama</v>
      </c>
      <c r="D1113" s="233" t="str">
        <f>VLOOKUP(Table3[[#This Row],[Document ID]],Table1[],5,FALSE)</f>
        <v>NDC</v>
      </c>
      <c r="E1113" s="233" t="str">
        <f>VLOOKUP(Table3[[#This Row],[Document ID]],Table1[],7,FALSE)</f>
        <v>Second NDC</v>
      </c>
      <c r="F1113" s="233" t="str">
        <f>VLOOKUP(Table3[[#This Row],[Document ID]],Table1[],8,FALSE)</f>
        <v>NDC 2.0</v>
      </c>
      <c r="G1113" s="233" t="str">
        <f>VLOOKUP(Table3[[#This Row],[Document ID]],Table1[],10,FALSE)</f>
        <v>Active</v>
      </c>
      <c r="H1113" s="43" t="s">
        <v>1095</v>
      </c>
      <c r="I1113" s="43" t="s">
        <v>1096</v>
      </c>
      <c r="J1113" s="43" t="s">
        <v>1097</v>
      </c>
      <c r="K1113" s="43" t="s">
        <v>1104</v>
      </c>
      <c r="L1113" s="43" t="s">
        <v>1092</v>
      </c>
      <c r="M1113" s="209">
        <v>2027</v>
      </c>
      <c r="N1113" s="44" t="s">
        <v>2207</v>
      </c>
      <c r="O1113" s="258">
        <v>55</v>
      </c>
      <c r="P1113" s="241" t="str">
        <f>VLOOKUP(_xlfn.CONCAT(Table3[[#This Row],[Target area]],Table3[[#This Row],[GHG target?]],Table3[[#This Row],[Conditionality]]),'Drop down'!$E$81:$F$101,2,FALSE)</f>
        <v>T_Transport_O_C</v>
      </c>
      <c r="Q1113" s="233" t="str">
        <f>VLOOKUP(Table3[[#This Row],[Target type]],Table418[[Value name]:[Value idenifyer]],2,FALSE)</f>
        <v>T_O_ZERO</v>
      </c>
      <c r="V1113" s="233" t="str">
        <f>VLOOKUP(Table3[[#This Row],[Country Code]],Table29[],3,FALSE)</f>
        <v>Non-Annex I</v>
      </c>
      <c r="W1113" s="233" t="str">
        <f>VLOOKUP(Table3[[#This Row],[Country Code]],Table29[],4,FALSE)</f>
        <v>Latin America and the Caribbean</v>
      </c>
      <c r="X1113" s="233" t="str">
        <f>VLOOKUP(Table3[[#This Row],[Country Code]],Table29[],5,FALSE)</f>
        <v>Middle-income</v>
      </c>
      <c r="Y1113" s="233" t="str">
        <f>VLOOKUP(Table3[[#This Row],[Country Code]],Table29[],6,FALSE)</f>
        <v>no</v>
      </c>
      <c r="Z1113" s="233" t="str">
        <f>VLOOKUP(Table3[[#This Row],[Country Code]],Table29[],7,FALSE)</f>
        <v>no</v>
      </c>
      <c r="AA1113" s="233" t="str">
        <f>VLOOKUP(Table3[[#This Row],[Country Code]],Table29[],8,FALSE)</f>
        <v>non-OECD</v>
      </c>
      <c r="AB1113" s="233" t="str">
        <f>VLOOKUP(Table3[[#This Row],[Country Code]],Table29[],9,FALSE)</f>
        <v>no</v>
      </c>
      <c r="AC1113" s="233" t="str">
        <f>VLOOKUP(Table3[[#This Row],[Country Code]],Table29[],10,FALSE)</f>
        <v>no</v>
      </c>
      <c r="AD1113" s="235">
        <f>VLOOKUP(Table3[[#This Row],[Country Code]],Table29[],23,FALSE)</f>
        <v>21.281689073780999</v>
      </c>
      <c r="AE1113" s="235">
        <f>VLOOKUP(Table3[[#This Row],[Country Code]],Table29[],24,FALSE)</f>
        <v>5.7357943404010889</v>
      </c>
      <c r="AF1113" s="43"/>
    </row>
    <row r="1114" spans="1:32" ht="150" x14ac:dyDescent="0.25">
      <c r="A1114" s="360">
        <v>43377</v>
      </c>
      <c r="B1114" s="233" t="s">
        <v>344</v>
      </c>
      <c r="C1114" s="233" t="str">
        <f>VLOOKUP(Table3[[#This Row],[Document ID]],Table1[],3,FALSE)</f>
        <v>Panama</v>
      </c>
      <c r="D1114" s="233" t="str">
        <f>VLOOKUP(Table3[[#This Row],[Document ID]],Table1[],5,FALSE)</f>
        <v>NDC</v>
      </c>
      <c r="E1114" s="233" t="str">
        <f>VLOOKUP(Table3[[#This Row],[Document ID]],Table1[],7,FALSE)</f>
        <v>Second NDC</v>
      </c>
      <c r="F1114" s="233" t="str">
        <f>VLOOKUP(Table3[[#This Row],[Document ID]],Table1[],8,FALSE)</f>
        <v>NDC 2.0</v>
      </c>
      <c r="G1114" s="233" t="str">
        <f>VLOOKUP(Table3[[#This Row],[Document ID]],Table1[],10,FALSE)</f>
        <v>Active</v>
      </c>
      <c r="H1114" s="43" t="s">
        <v>1095</v>
      </c>
      <c r="I1114" s="43" t="s">
        <v>1096</v>
      </c>
      <c r="J1114" s="43" t="s">
        <v>1097</v>
      </c>
      <c r="K1114" s="43" t="s">
        <v>1104</v>
      </c>
      <c r="L1114" s="43" t="s">
        <v>1092</v>
      </c>
      <c r="M1114" s="209">
        <v>2030</v>
      </c>
      <c r="N1114" s="44" t="s">
        <v>2208</v>
      </c>
      <c r="O1114" s="258">
        <v>56</v>
      </c>
      <c r="P1114" s="241" t="str">
        <f>VLOOKUP(_xlfn.CONCAT(Table3[[#This Row],[Target area]],Table3[[#This Row],[GHG target?]],Table3[[#This Row],[Conditionality]]),'Drop down'!$E$81:$F$101,2,FALSE)</f>
        <v>T_Transport_O_C</v>
      </c>
      <c r="Q1114" s="233" t="str">
        <f>VLOOKUP(Table3[[#This Row],[Target type]],Table418[[Value name]:[Value idenifyer]],2,FALSE)</f>
        <v>T_O_ZERO</v>
      </c>
      <c r="V1114" s="233" t="str">
        <f>VLOOKUP(Table3[[#This Row],[Country Code]],Table29[],3,FALSE)</f>
        <v>Non-Annex I</v>
      </c>
      <c r="W1114" s="233" t="str">
        <f>VLOOKUP(Table3[[#This Row],[Country Code]],Table29[],4,FALSE)</f>
        <v>Latin America and the Caribbean</v>
      </c>
      <c r="X1114" s="233" t="str">
        <f>VLOOKUP(Table3[[#This Row],[Country Code]],Table29[],5,FALSE)</f>
        <v>Middle-income</v>
      </c>
      <c r="Y1114" s="233" t="str">
        <f>VLOOKUP(Table3[[#This Row],[Country Code]],Table29[],6,FALSE)</f>
        <v>no</v>
      </c>
      <c r="Z1114" s="233" t="str">
        <f>VLOOKUP(Table3[[#This Row],[Country Code]],Table29[],7,FALSE)</f>
        <v>no</v>
      </c>
      <c r="AA1114" s="233" t="str">
        <f>VLOOKUP(Table3[[#This Row],[Country Code]],Table29[],8,FALSE)</f>
        <v>non-OECD</v>
      </c>
      <c r="AB1114" s="233" t="str">
        <f>VLOOKUP(Table3[[#This Row],[Country Code]],Table29[],9,FALSE)</f>
        <v>no</v>
      </c>
      <c r="AC1114" s="233" t="str">
        <f>VLOOKUP(Table3[[#This Row],[Country Code]],Table29[],10,FALSE)</f>
        <v>no</v>
      </c>
      <c r="AD1114" s="235">
        <f>VLOOKUP(Table3[[#This Row],[Country Code]],Table29[],23,FALSE)</f>
        <v>21.281689073780999</v>
      </c>
      <c r="AE1114" s="235">
        <f>VLOOKUP(Table3[[#This Row],[Country Code]],Table29[],24,FALSE)</f>
        <v>5.7357943404010889</v>
      </c>
      <c r="AF1114" s="43"/>
    </row>
    <row r="1115" spans="1:32" ht="45" x14ac:dyDescent="0.25">
      <c r="A1115" s="360">
        <v>43377</v>
      </c>
      <c r="B1115" s="233" t="str">
        <f>VLOOKUP(Table3[[#This Row],[Document ID]],Table1[],2,FALSE)</f>
        <v>PAN</v>
      </c>
      <c r="C1115" s="233" t="str">
        <f>VLOOKUP(Table3[[#This Row],[Document ID]],Table1[],3,FALSE)</f>
        <v>Panama</v>
      </c>
      <c r="D1115" s="233" t="str">
        <f>VLOOKUP(Table3[[#This Row],[Document ID]],Table1[],5,FALSE)</f>
        <v>NDC</v>
      </c>
      <c r="E1115" s="233" t="str">
        <f>VLOOKUP(Table3[[#This Row],[Document ID]],Table1[],7,FALSE)</f>
        <v>Second NDC</v>
      </c>
      <c r="F1115" s="233" t="str">
        <f>VLOOKUP(Table3[[#This Row],[Document ID]],Table1[],8,FALSE)</f>
        <v>NDC 2.0</v>
      </c>
      <c r="G1115" s="233" t="str">
        <f>VLOOKUP(Table3[[#This Row],[Document ID]],Table1[],10,FALSE)</f>
        <v>Active</v>
      </c>
      <c r="H1115" s="43" t="s">
        <v>1147</v>
      </c>
      <c r="I1115" s="43" t="s">
        <v>1089</v>
      </c>
      <c r="J1115" s="43" t="s">
        <v>1090</v>
      </c>
      <c r="K1115" s="43" t="s">
        <v>1537</v>
      </c>
      <c r="L1115" s="43" t="s">
        <v>1099</v>
      </c>
      <c r="M1115" s="209">
        <v>2024</v>
      </c>
      <c r="N1115" s="44" t="s">
        <v>2209</v>
      </c>
      <c r="O1115" s="258">
        <v>206</v>
      </c>
      <c r="P1115" s="241" t="str">
        <f>VLOOKUP(_xlfn.CONCAT(Table3[[#This Row],[Target area]],Table3[[#This Row],[GHG target?]],Table3[[#This Row],[Conditionality]]),'Drop down'!$E$81:$F$101,2,FALSE)</f>
        <v>T_Netzero_Unc</v>
      </c>
      <c r="Q1115" s="233" t="str">
        <f>VLOOKUP(Table3[[#This Row],[Target type]],Table418[[Value name]:[Value idenifyer]],2,FALSE)</f>
        <v>T_Other</v>
      </c>
      <c r="V1115" s="233" t="str">
        <f>VLOOKUP(Table3[[#This Row],[Country Code]],Table29[],3,FALSE)</f>
        <v>Non-Annex I</v>
      </c>
      <c r="W1115" s="233" t="str">
        <f>VLOOKUP(Table3[[#This Row],[Country Code]],Table29[],4,FALSE)</f>
        <v>Latin America and the Caribbean</v>
      </c>
      <c r="X1115" s="233" t="str">
        <f>VLOOKUP(Table3[[#This Row],[Country Code]],Table29[],5,FALSE)</f>
        <v>Middle-income</v>
      </c>
      <c r="Y1115" s="233" t="str">
        <f>VLOOKUP(Table3[[#This Row],[Country Code]],Table29[],6,FALSE)</f>
        <v>no</v>
      </c>
      <c r="Z1115" s="233" t="str">
        <f>VLOOKUP(Table3[[#This Row],[Country Code]],Table29[],7,FALSE)</f>
        <v>no</v>
      </c>
      <c r="AA1115" s="233" t="str">
        <f>VLOOKUP(Table3[[#This Row],[Country Code]],Table29[],8,FALSE)</f>
        <v>non-OECD</v>
      </c>
      <c r="AB1115" s="233" t="str">
        <f>VLOOKUP(Table3[[#This Row],[Country Code]],Table29[],9,FALSE)</f>
        <v>no</v>
      </c>
      <c r="AC1115" s="233" t="str">
        <f>VLOOKUP(Table3[[#This Row],[Country Code]],Table29[],10,FALSE)</f>
        <v>no</v>
      </c>
      <c r="AD1115" s="235">
        <f>VLOOKUP(Table3[[#This Row],[Country Code]],Table29[],23,FALSE)</f>
        <v>21.281689073780999</v>
      </c>
      <c r="AE1115" s="235">
        <f>VLOOKUP(Table3[[#This Row],[Country Code]],Table29[],24,FALSE)</f>
        <v>5.7357943404010889</v>
      </c>
      <c r="AF1115" s="43"/>
    </row>
    <row r="1116" spans="1:32" ht="30" x14ac:dyDescent="0.25">
      <c r="A1116" s="405">
        <v>43699</v>
      </c>
      <c r="B1116" s="233" t="str">
        <f>VLOOKUP(Table3[[#This Row],[Document ID]],Table1[],2,FALSE)</f>
        <v>ARE</v>
      </c>
      <c r="C1116" s="207" t="str">
        <f>VLOOKUP(Table3[[#This Row],[Document ID]],Table1[],3,FALSE)</f>
        <v>United Arab Emirates</v>
      </c>
      <c r="D1116" s="241" t="str">
        <f>VLOOKUP(Table3[[#This Row],[Document ID]],Table1[],5,FALSE)</f>
        <v>NDC</v>
      </c>
      <c r="E1116" s="233" t="str">
        <f>VLOOKUP(Table3[[#This Row],[Document ID]],Table1[],7,FALSE)</f>
        <v>Third NDC</v>
      </c>
      <c r="F1116" s="233" t="str">
        <f>VLOOKUP(Table3[[#This Row],[Document ID]],Table1[],8,FALSE)</f>
        <v>NDC 3.0</v>
      </c>
      <c r="G1116" s="233" t="str">
        <f>VLOOKUP(Table3[[#This Row],[Document ID]],Table1[],10,FALSE)</f>
        <v>Active</v>
      </c>
      <c r="H1116" s="43" t="s">
        <v>1089</v>
      </c>
      <c r="I1116" s="43" t="s">
        <v>1089</v>
      </c>
      <c r="J1116" s="43" t="s">
        <v>1090</v>
      </c>
      <c r="K1116" s="43" t="s">
        <v>1153</v>
      </c>
      <c r="L1116" s="43" t="s">
        <v>1099</v>
      </c>
      <c r="M1116" s="209">
        <v>2035</v>
      </c>
      <c r="N1116" s="209" t="s">
        <v>2210</v>
      </c>
      <c r="O1116" s="258">
        <v>4</v>
      </c>
      <c r="P1116" s="241" t="str">
        <f>VLOOKUP(_xlfn.CONCAT(Table3[[#This Row],[Target area]],Table3[[#This Row],[GHG target?]],Table3[[#This Row],[Conditionality]]),'Drop down'!$E$81:$F$101,2,FALSE)</f>
        <v>T_Economy_Unc</v>
      </c>
      <c r="Q1116" s="233" t="str">
        <f>VLOOKUP(Table3[[#This Row],[Target type]],Table418[[Value name]:[Value idenifyer]],2,FALSE)</f>
        <v>T_BYE</v>
      </c>
      <c r="T1116" s="240"/>
      <c r="V1116" s="241" t="str">
        <f>VLOOKUP(Table3[[#This Row],[Country Code]],Table29[],3,FALSE)</f>
        <v>Non-Annex I</v>
      </c>
      <c r="W1116" s="233" t="str">
        <f>VLOOKUP(Table3[[#This Row],[Country Code]],Table29[],4,FALSE)</f>
        <v>Asia</v>
      </c>
      <c r="X1116" s="241" t="str">
        <f>VLOOKUP(Table3[[#This Row],[Country Code]],Table29[],5,FALSE)</f>
        <v>High-income</v>
      </c>
      <c r="Y1116" s="241" t="str">
        <f>VLOOKUP(Table3[[#This Row],[Country Code]],Table29[],6,FALSE)</f>
        <v>no</v>
      </c>
      <c r="Z1116" s="241" t="str">
        <f>VLOOKUP(Table3[[#This Row],[Country Code]],Table29[],7,FALSE)</f>
        <v>no</v>
      </c>
      <c r="AA1116" s="241" t="str">
        <f>VLOOKUP(Table3[[#This Row],[Country Code]],Table29[],8,FALSE)</f>
        <v>non-OECD</v>
      </c>
      <c r="AB1116" s="233" t="str">
        <f>VLOOKUP(Table3[[#This Row],[Country Code]],Table29[],9,FALSE)</f>
        <v>no</v>
      </c>
      <c r="AC1116" s="233" t="str">
        <f>VLOOKUP(Table3[[#This Row],[Country Code]],Table29[],10,FALSE)</f>
        <v>MENA</v>
      </c>
      <c r="AD1116" s="534">
        <f>VLOOKUP(Table3[[#This Row],[Country Code]],Table29[],23,FALSE)</f>
        <v>267.82319378585998</v>
      </c>
      <c r="AE1116" s="534">
        <f>VLOOKUP(Table3[[#This Row],[Country Code]],Table29[],24,FALSE)</f>
        <v>43.860911308351241</v>
      </c>
      <c r="AF1116" s="42"/>
    </row>
    <row r="1117" spans="1:32" ht="30" x14ac:dyDescent="0.25">
      <c r="A1117" s="360">
        <v>43699</v>
      </c>
      <c r="B1117" s="233" t="str">
        <f>VLOOKUP(Table3[[#This Row],[Document ID]],Table1[],2,FALSE)</f>
        <v>ARE</v>
      </c>
      <c r="C1117" s="233" t="str">
        <f>VLOOKUP(Table3[[#This Row],[Document ID]],Table1[],3,FALSE)</f>
        <v>United Arab Emirates</v>
      </c>
      <c r="D1117" s="233" t="str">
        <f>VLOOKUP(Table3[[#This Row],[Document ID]],Table1[],5,FALSE)</f>
        <v>NDC</v>
      </c>
      <c r="E1117" s="233" t="str">
        <f>VLOOKUP(Table3[[#This Row],[Document ID]],Table1[],7,FALSE)</f>
        <v>Third NDC</v>
      </c>
      <c r="F1117" s="233" t="str">
        <f>VLOOKUP(Table3[[#This Row],[Document ID]],Table1[],8,FALSE)</f>
        <v>NDC 3.0</v>
      </c>
      <c r="G1117" s="233" t="str">
        <f>VLOOKUP(Table3[[#This Row],[Document ID]],Table1[],10,FALSE)</f>
        <v>Active</v>
      </c>
      <c r="H1117" s="43" t="s">
        <v>1095</v>
      </c>
      <c r="I1117" s="43" t="s">
        <v>1115</v>
      </c>
      <c r="J1117" s="43" t="s">
        <v>1090</v>
      </c>
      <c r="K1117" s="43" t="s">
        <v>1153</v>
      </c>
      <c r="L1117" s="43" t="s">
        <v>1099</v>
      </c>
      <c r="M1117" s="209">
        <v>2035</v>
      </c>
      <c r="N1117" s="44" t="s">
        <v>2211</v>
      </c>
      <c r="O1117" s="258">
        <v>28</v>
      </c>
      <c r="P1117" s="241" t="str">
        <f>VLOOKUP(_xlfn.CONCAT(Table3[[#This Row],[Target area]],Table3[[#This Row],[GHG target?]],Table3[[#This Row],[Conditionality]]),'Drop down'!$E$81:$F$101,2,FALSE)</f>
        <v>T_Transport_Unc</v>
      </c>
      <c r="Q1117" s="233" t="str">
        <f>VLOOKUP(Table3[[#This Row],[Target type]],Table418[[Value name]:[Value idenifyer]],2,FALSE)</f>
        <v>T_BYE</v>
      </c>
      <c r="V1117" s="233" t="str">
        <f>VLOOKUP(Table3[[#This Row],[Country Code]],Table29[],3,FALSE)</f>
        <v>Non-Annex I</v>
      </c>
      <c r="W1117" s="233" t="str">
        <f>VLOOKUP(Table3[[#This Row],[Country Code]],Table29[],4,FALSE)</f>
        <v>Asia</v>
      </c>
      <c r="X1117" s="233" t="str">
        <f>VLOOKUP(Table3[[#This Row],[Country Code]],Table29[],5,FALSE)</f>
        <v>High-income</v>
      </c>
      <c r="Y1117" s="233" t="str">
        <f>VLOOKUP(Table3[[#This Row],[Country Code]],Table29[],6,FALSE)</f>
        <v>no</v>
      </c>
      <c r="Z1117" s="233" t="str">
        <f>VLOOKUP(Table3[[#This Row],[Country Code]],Table29[],7,FALSE)</f>
        <v>no</v>
      </c>
      <c r="AA1117" s="233" t="str">
        <f>VLOOKUP(Table3[[#This Row],[Country Code]],Table29[],8,FALSE)</f>
        <v>non-OECD</v>
      </c>
      <c r="AB1117" s="233" t="str">
        <f>VLOOKUP(Table3[[#This Row],[Country Code]],Table29[],9,FALSE)</f>
        <v>no</v>
      </c>
      <c r="AC1117" s="233" t="str">
        <f>VLOOKUP(Table3[[#This Row],[Country Code]],Table29[],10,FALSE)</f>
        <v>MENA</v>
      </c>
      <c r="AD1117" s="235">
        <f>VLOOKUP(Table3[[#This Row],[Country Code]],Table29[],23,FALSE)</f>
        <v>267.82319378585998</v>
      </c>
      <c r="AE1117" s="235">
        <f>VLOOKUP(Table3[[#This Row],[Country Code]],Table29[],24,FALSE)</f>
        <v>43.860911308351241</v>
      </c>
      <c r="AF1117" s="43"/>
    </row>
    <row r="1118" spans="1:32" ht="30" x14ac:dyDescent="0.25">
      <c r="A1118" s="360">
        <v>43699</v>
      </c>
      <c r="B1118" s="233" t="str">
        <f>VLOOKUP(Table3[[#This Row],[Document ID]],Table1[],2,FALSE)</f>
        <v>ARE</v>
      </c>
      <c r="C1118" s="233" t="str">
        <f>VLOOKUP(Table3[[#This Row],[Document ID]],Table1[],3,FALSE)</f>
        <v>United Arab Emirates</v>
      </c>
      <c r="D1118" s="233" t="str">
        <f>VLOOKUP(Table3[[#This Row],[Document ID]],Table1[],5,FALSE)</f>
        <v>NDC</v>
      </c>
      <c r="E1118" s="233" t="str">
        <f>VLOOKUP(Table3[[#This Row],[Document ID]],Table1[],7,FALSE)</f>
        <v>Third NDC</v>
      </c>
      <c r="F1118" s="233" t="str">
        <f>VLOOKUP(Table3[[#This Row],[Document ID]],Table1[],8,FALSE)</f>
        <v>NDC 3.0</v>
      </c>
      <c r="G1118" s="233" t="str">
        <f>VLOOKUP(Table3[[#This Row],[Document ID]],Table1[],10,FALSE)</f>
        <v>Active</v>
      </c>
      <c r="H1118" s="43" t="s">
        <v>1095</v>
      </c>
      <c r="I1118" s="43" t="s">
        <v>1096</v>
      </c>
      <c r="J1118" s="43" t="s">
        <v>1097</v>
      </c>
      <c r="K1118" s="43" t="s">
        <v>1104</v>
      </c>
      <c r="L1118" s="43" t="s">
        <v>1099</v>
      </c>
      <c r="M1118" s="209">
        <v>2050</v>
      </c>
      <c r="N1118" s="44" t="s">
        <v>2212</v>
      </c>
      <c r="O1118" s="258">
        <v>28</v>
      </c>
      <c r="P1118" s="241" t="str">
        <f>VLOOKUP(_xlfn.CONCAT(Table3[[#This Row],[Target area]],Table3[[#This Row],[GHG target?]],Table3[[#This Row],[Conditionality]]),'Drop down'!$E$81:$F$101,2,FALSE)</f>
        <v>T_Transport_O_Unc</v>
      </c>
      <c r="Q1118" s="233" t="str">
        <f>VLOOKUP(Table3[[#This Row],[Target type]],Table418[[Value name]:[Value idenifyer]],2,FALSE)</f>
        <v>T_O_ZERO</v>
      </c>
      <c r="V1118" s="233" t="str">
        <f>VLOOKUP(Table3[[#This Row],[Country Code]],Table29[],3,FALSE)</f>
        <v>Non-Annex I</v>
      </c>
      <c r="W1118" s="233" t="str">
        <f>VLOOKUP(Table3[[#This Row],[Country Code]],Table29[],4,FALSE)</f>
        <v>Asia</v>
      </c>
      <c r="X1118" s="233" t="str">
        <f>VLOOKUP(Table3[[#This Row],[Country Code]],Table29[],5,FALSE)</f>
        <v>High-income</v>
      </c>
      <c r="Y1118" s="233" t="str">
        <f>VLOOKUP(Table3[[#This Row],[Country Code]],Table29[],6,FALSE)</f>
        <v>no</v>
      </c>
      <c r="Z1118" s="233" t="str">
        <f>VLOOKUP(Table3[[#This Row],[Country Code]],Table29[],7,FALSE)</f>
        <v>no</v>
      </c>
      <c r="AA1118" s="233" t="str">
        <f>VLOOKUP(Table3[[#This Row],[Country Code]],Table29[],8,FALSE)</f>
        <v>non-OECD</v>
      </c>
      <c r="AB1118" s="233" t="str">
        <f>VLOOKUP(Table3[[#This Row],[Country Code]],Table29[],9,FALSE)</f>
        <v>no</v>
      </c>
      <c r="AC1118" s="233" t="str">
        <f>VLOOKUP(Table3[[#This Row],[Country Code]],Table29[],10,FALSE)</f>
        <v>MENA</v>
      </c>
      <c r="AD1118" s="235">
        <f>VLOOKUP(Table3[[#This Row],[Country Code]],Table29[],23,FALSE)</f>
        <v>267.82319378585998</v>
      </c>
      <c r="AE1118" s="235">
        <f>VLOOKUP(Table3[[#This Row],[Country Code]],Table29[],24,FALSE)</f>
        <v>43.860911308351241</v>
      </c>
      <c r="AF1118" s="43"/>
    </row>
    <row r="1119" spans="1:32" ht="30" x14ac:dyDescent="0.25">
      <c r="A1119" s="360">
        <v>43699</v>
      </c>
      <c r="B1119" s="233" t="str">
        <f>VLOOKUP(Table3[[#This Row],[Document ID]],Table1[],2,FALSE)</f>
        <v>ARE</v>
      </c>
      <c r="C1119" s="233" t="str">
        <f>VLOOKUP(Table3[[#This Row],[Document ID]],Table1[],3,FALSE)</f>
        <v>United Arab Emirates</v>
      </c>
      <c r="D1119" s="233" t="str">
        <f>VLOOKUP(Table3[[#This Row],[Document ID]],Table1[],5,FALSE)</f>
        <v>NDC</v>
      </c>
      <c r="E1119" s="233" t="str">
        <f>VLOOKUP(Table3[[#This Row],[Document ID]],Table1[],7,FALSE)</f>
        <v>Third NDC</v>
      </c>
      <c r="F1119" s="233" t="str">
        <f>VLOOKUP(Table3[[#This Row],[Document ID]],Table1[],8,FALSE)</f>
        <v>NDC 3.0</v>
      </c>
      <c r="G1119" s="233" t="str">
        <f>VLOOKUP(Table3[[#This Row],[Document ID]],Table1[],10,FALSE)</f>
        <v>Active</v>
      </c>
      <c r="H1119" s="43" t="s">
        <v>1095</v>
      </c>
      <c r="I1119" s="43" t="s">
        <v>1115</v>
      </c>
      <c r="J1119" s="43" t="s">
        <v>1097</v>
      </c>
      <c r="K1119" s="43" t="s">
        <v>1397</v>
      </c>
      <c r="L1119" s="43" t="s">
        <v>1099</v>
      </c>
      <c r="M1119" s="209">
        <v>2050</v>
      </c>
      <c r="N1119" s="44" t="s">
        <v>2213</v>
      </c>
      <c r="O1119" s="258">
        <v>28</v>
      </c>
      <c r="P1119" s="241" t="str">
        <f>VLOOKUP(_xlfn.CONCAT(Table3[[#This Row],[Target area]],Table3[[#This Row],[GHG target?]],Table3[[#This Row],[Conditionality]]),'Drop down'!$E$81:$F$101,2,FALSE)</f>
        <v>T_Transport_O_Unc</v>
      </c>
      <c r="Q1119" s="233" t="str">
        <f>VLOOKUP(Table3[[#This Row],[Target type]],Table418[[Value name]:[Value idenifyer]],2,FALSE)</f>
        <v>T_O_Other</v>
      </c>
      <c r="V1119" s="233" t="str">
        <f>VLOOKUP(Table3[[#This Row],[Country Code]],Table29[],3,FALSE)</f>
        <v>Non-Annex I</v>
      </c>
      <c r="W1119" s="233" t="str">
        <f>VLOOKUP(Table3[[#This Row],[Country Code]],Table29[],4,FALSE)</f>
        <v>Asia</v>
      </c>
      <c r="X1119" s="233" t="str">
        <f>VLOOKUP(Table3[[#This Row],[Country Code]],Table29[],5,FALSE)</f>
        <v>High-income</v>
      </c>
      <c r="Y1119" s="233" t="str">
        <f>VLOOKUP(Table3[[#This Row],[Country Code]],Table29[],6,FALSE)</f>
        <v>no</v>
      </c>
      <c r="Z1119" s="233" t="str">
        <f>VLOOKUP(Table3[[#This Row],[Country Code]],Table29[],7,FALSE)</f>
        <v>no</v>
      </c>
      <c r="AA1119" s="233" t="str">
        <f>VLOOKUP(Table3[[#This Row],[Country Code]],Table29[],8,FALSE)</f>
        <v>non-OECD</v>
      </c>
      <c r="AB1119" s="233" t="str">
        <f>VLOOKUP(Table3[[#This Row],[Country Code]],Table29[],9,FALSE)</f>
        <v>no</v>
      </c>
      <c r="AC1119" s="233" t="str">
        <f>VLOOKUP(Table3[[#This Row],[Country Code]],Table29[],10,FALSE)</f>
        <v>MENA</v>
      </c>
      <c r="AD1119" s="235">
        <f>VLOOKUP(Table3[[#This Row],[Country Code]],Table29[],23,FALSE)</f>
        <v>267.82319378585998</v>
      </c>
      <c r="AE1119" s="235">
        <f>VLOOKUP(Table3[[#This Row],[Country Code]],Table29[],24,FALSE)</f>
        <v>43.860911308351241</v>
      </c>
      <c r="AF1119" s="43"/>
    </row>
    <row r="1120" spans="1:32" ht="75" x14ac:dyDescent="0.25">
      <c r="A1120" s="360">
        <v>43699</v>
      </c>
      <c r="B1120" s="233" t="str">
        <f>VLOOKUP(Table3[[#This Row],[Document ID]],Table1[],2,FALSE)</f>
        <v>ARE</v>
      </c>
      <c r="C1120" s="233" t="str">
        <f>VLOOKUP(Table3[[#This Row],[Document ID]],Table1[],3,FALSE)</f>
        <v>United Arab Emirates</v>
      </c>
      <c r="D1120" s="233" t="str">
        <f>VLOOKUP(Table3[[#This Row],[Document ID]],Table1[],5,FALSE)</f>
        <v>NDC</v>
      </c>
      <c r="E1120" s="233" t="str">
        <f>VLOOKUP(Table3[[#This Row],[Document ID]],Table1[],7,FALSE)</f>
        <v>Third NDC</v>
      </c>
      <c r="F1120" s="233" t="str">
        <f>VLOOKUP(Table3[[#This Row],[Document ID]],Table1[],8,FALSE)</f>
        <v>NDC 3.0</v>
      </c>
      <c r="G1120" s="233" t="str">
        <f>VLOOKUP(Table3[[#This Row],[Document ID]],Table1[],10,FALSE)</f>
        <v>Active</v>
      </c>
      <c r="H1120" s="43" t="s">
        <v>1095</v>
      </c>
      <c r="I1120" s="43" t="s">
        <v>1096</v>
      </c>
      <c r="J1120" s="43" t="s">
        <v>1097</v>
      </c>
      <c r="K1120" s="43" t="s">
        <v>1102</v>
      </c>
      <c r="L1120" s="43" t="s">
        <v>1099</v>
      </c>
      <c r="M1120" s="209">
        <v>2050</v>
      </c>
      <c r="N1120" s="44" t="s">
        <v>2214</v>
      </c>
      <c r="O1120" s="258">
        <v>29</v>
      </c>
      <c r="P1120" s="241" t="str">
        <f>VLOOKUP(_xlfn.CONCAT(Table3[[#This Row],[Target area]],Table3[[#This Row],[GHG target?]],Table3[[#This Row],[Conditionality]]),'Drop down'!$E$81:$F$101,2,FALSE)</f>
        <v>T_Transport_O_Unc</v>
      </c>
      <c r="Q1120" s="233" t="str">
        <f>VLOOKUP(Table3[[#This Row],[Target type]],Table418[[Value name]:[Value idenifyer]],2,FALSE)</f>
        <v>T_O_BIO</v>
      </c>
      <c r="V1120" s="233" t="str">
        <f>VLOOKUP(Table3[[#This Row],[Country Code]],Table29[],3,FALSE)</f>
        <v>Non-Annex I</v>
      </c>
      <c r="W1120" s="233" t="str">
        <f>VLOOKUP(Table3[[#This Row],[Country Code]],Table29[],4,FALSE)</f>
        <v>Asia</v>
      </c>
      <c r="X1120" s="233" t="str">
        <f>VLOOKUP(Table3[[#This Row],[Country Code]],Table29[],5,FALSE)</f>
        <v>High-income</v>
      </c>
      <c r="Y1120" s="233" t="str">
        <f>VLOOKUP(Table3[[#This Row],[Country Code]],Table29[],6,FALSE)</f>
        <v>no</v>
      </c>
      <c r="Z1120" s="233" t="str">
        <f>VLOOKUP(Table3[[#This Row],[Country Code]],Table29[],7,FALSE)</f>
        <v>no</v>
      </c>
      <c r="AA1120" s="233" t="str">
        <f>VLOOKUP(Table3[[#This Row],[Country Code]],Table29[],8,FALSE)</f>
        <v>non-OECD</v>
      </c>
      <c r="AB1120" s="233" t="str">
        <f>VLOOKUP(Table3[[#This Row],[Country Code]],Table29[],9,FALSE)</f>
        <v>no</v>
      </c>
      <c r="AC1120" s="233" t="str">
        <f>VLOOKUP(Table3[[#This Row],[Country Code]],Table29[],10,FALSE)</f>
        <v>MENA</v>
      </c>
      <c r="AD1120" s="235">
        <f>VLOOKUP(Table3[[#This Row],[Country Code]],Table29[],23,FALSE)</f>
        <v>267.82319378585998</v>
      </c>
      <c r="AE1120" s="235">
        <f>VLOOKUP(Table3[[#This Row],[Country Code]],Table29[],24,FALSE)</f>
        <v>43.860911308351241</v>
      </c>
      <c r="AF1120" s="43"/>
    </row>
    <row r="1121" spans="1:32" x14ac:dyDescent="0.25">
      <c r="A1121" s="360">
        <v>43699</v>
      </c>
      <c r="B1121" s="233" t="str">
        <f>VLOOKUP(Table3[[#This Row],[Document ID]],Table1[],2,FALSE)</f>
        <v>ARE</v>
      </c>
      <c r="C1121" s="233" t="str">
        <f>VLOOKUP(Table3[[#This Row],[Document ID]],Table1[],3,FALSE)</f>
        <v>United Arab Emirates</v>
      </c>
      <c r="D1121" s="233" t="str">
        <f>VLOOKUP(Table3[[#This Row],[Document ID]],Table1[],5,FALSE)</f>
        <v>NDC</v>
      </c>
      <c r="E1121" s="233" t="str">
        <f>VLOOKUP(Table3[[#This Row],[Document ID]],Table1[],7,FALSE)</f>
        <v>Third NDC</v>
      </c>
      <c r="F1121" s="233" t="str">
        <f>VLOOKUP(Table3[[#This Row],[Document ID]],Table1[],8,FALSE)</f>
        <v>NDC 3.0</v>
      </c>
      <c r="G1121" s="233" t="str">
        <f>VLOOKUP(Table3[[#This Row],[Document ID]],Table1[],10,FALSE)</f>
        <v>Active</v>
      </c>
      <c r="H1121" s="43" t="s">
        <v>1095</v>
      </c>
      <c r="I1121" s="43" t="s">
        <v>1096</v>
      </c>
      <c r="J1121" s="43" t="s">
        <v>1097</v>
      </c>
      <c r="K1121" s="43" t="s">
        <v>1104</v>
      </c>
      <c r="L1121" s="43" t="s">
        <v>1099</v>
      </c>
      <c r="M1121" s="209">
        <v>2025</v>
      </c>
      <c r="N1121" s="44" t="s">
        <v>2215</v>
      </c>
      <c r="O1121" s="258">
        <v>30</v>
      </c>
      <c r="P1121" s="241" t="str">
        <f>VLOOKUP(_xlfn.CONCAT(Table3[[#This Row],[Target area]],Table3[[#This Row],[GHG target?]],Table3[[#This Row],[Conditionality]]),'Drop down'!$E$81:$F$101,2,FALSE)</f>
        <v>T_Transport_O_Unc</v>
      </c>
      <c r="Q1121" s="233" t="str">
        <f>VLOOKUP(Table3[[#This Row],[Target type]],Table418[[Value name]:[Value idenifyer]],2,FALSE)</f>
        <v>T_O_ZERO</v>
      </c>
      <c r="V1121" s="233" t="str">
        <f>VLOOKUP(Table3[[#This Row],[Country Code]],Table29[],3,FALSE)</f>
        <v>Non-Annex I</v>
      </c>
      <c r="W1121" s="233" t="str">
        <f>VLOOKUP(Table3[[#This Row],[Country Code]],Table29[],4,FALSE)</f>
        <v>Asia</v>
      </c>
      <c r="X1121" s="233" t="str">
        <f>VLOOKUP(Table3[[#This Row],[Country Code]],Table29[],5,FALSE)</f>
        <v>High-income</v>
      </c>
      <c r="Y1121" s="233" t="str">
        <f>VLOOKUP(Table3[[#This Row],[Country Code]],Table29[],6,FALSE)</f>
        <v>no</v>
      </c>
      <c r="Z1121" s="233" t="str">
        <f>VLOOKUP(Table3[[#This Row],[Country Code]],Table29[],7,FALSE)</f>
        <v>no</v>
      </c>
      <c r="AA1121" s="233" t="str">
        <f>VLOOKUP(Table3[[#This Row],[Country Code]],Table29[],8,FALSE)</f>
        <v>non-OECD</v>
      </c>
      <c r="AB1121" s="233" t="str">
        <f>VLOOKUP(Table3[[#This Row],[Country Code]],Table29[],9,FALSE)</f>
        <v>no</v>
      </c>
      <c r="AC1121" s="233" t="str">
        <f>VLOOKUP(Table3[[#This Row],[Country Code]],Table29[],10,FALSE)</f>
        <v>MENA</v>
      </c>
      <c r="AD1121" s="235">
        <f>VLOOKUP(Table3[[#This Row],[Country Code]],Table29[],23,FALSE)</f>
        <v>267.82319378585998</v>
      </c>
      <c r="AE1121" s="235">
        <f>VLOOKUP(Table3[[#This Row],[Country Code]],Table29[],24,FALSE)</f>
        <v>43.860911308351241</v>
      </c>
      <c r="AF1121" s="43"/>
    </row>
    <row r="1122" spans="1:32" ht="45" x14ac:dyDescent="0.25">
      <c r="A1122" s="404">
        <v>43700</v>
      </c>
      <c r="B1122" s="233" t="str">
        <f>VLOOKUP(Table3[[#This Row],[Document ID]],Table1[],2,FALSE)</f>
        <v>BRA</v>
      </c>
      <c r="C1122" s="233" t="str">
        <f>VLOOKUP(Table3[[#This Row],[Document ID]],Table1[],3,FALSE)</f>
        <v>Brazil</v>
      </c>
      <c r="D1122" s="233" t="str">
        <f>VLOOKUP(Table3[[#This Row],[Document ID]],Table1[],5,FALSE)</f>
        <v>NDC</v>
      </c>
      <c r="E1122" s="233" t="str">
        <f>VLOOKUP(Table3[[#This Row],[Document ID]],Table1[],7,FALSE)</f>
        <v>Third NDC</v>
      </c>
      <c r="F1122" s="233" t="str">
        <f>VLOOKUP(Table3[[#This Row],[Document ID]],Table1[],8,FALSE)</f>
        <v>NDC 3.0</v>
      </c>
      <c r="G1122" s="233" t="str">
        <f>VLOOKUP(Table3[[#This Row],[Document ID]],Table1[],10,FALSE)</f>
        <v>Active</v>
      </c>
      <c r="H1122" s="43" t="s">
        <v>1089</v>
      </c>
      <c r="I1122" s="43" t="s">
        <v>1089</v>
      </c>
      <c r="J1122" s="43" t="s">
        <v>1090</v>
      </c>
      <c r="K1122" s="43" t="s">
        <v>1153</v>
      </c>
      <c r="L1122" s="43" t="s">
        <v>1116</v>
      </c>
      <c r="M1122" s="209">
        <v>2035</v>
      </c>
      <c r="N1122" s="44" t="s">
        <v>2216</v>
      </c>
      <c r="O1122" s="258">
        <v>23</v>
      </c>
      <c r="P1122" s="241" t="str">
        <f>VLOOKUP(_xlfn.CONCAT(Table3[[#This Row],[Target area]],Table3[[#This Row],[GHG target?]],Table3[[#This Row],[Conditionality]]),'Drop down'!$E$81:$F$101,2,FALSE)</f>
        <v>T_Economy</v>
      </c>
      <c r="Q1122" s="233" t="str">
        <f>VLOOKUP(Table3[[#This Row],[Target type]],Table418[[Value name]:[Value idenifyer]],2,FALSE)</f>
        <v>T_BYE</v>
      </c>
      <c r="V1122" s="233" t="str">
        <f>VLOOKUP(Table3[[#This Row],[Country Code]],Table29[],3,FALSE)</f>
        <v>Non-Annex I</v>
      </c>
      <c r="W1122" s="233" t="str">
        <f>VLOOKUP(Table3[[#This Row],[Country Code]],Table29[],4,FALSE)</f>
        <v>Latin America and the Caribbean</v>
      </c>
      <c r="X1122" s="233" t="str">
        <f>VLOOKUP(Table3[[#This Row],[Country Code]],Table29[],5,FALSE)</f>
        <v>Middle-income</v>
      </c>
      <c r="Y1122" s="233" t="str">
        <f>VLOOKUP(Table3[[#This Row],[Country Code]],Table29[],6,FALSE)</f>
        <v>G20</v>
      </c>
      <c r="Z1122" s="233" t="str">
        <f>VLOOKUP(Table3[[#This Row],[Country Code]],Table29[],7,FALSE)</f>
        <v>no</v>
      </c>
      <c r="AA1122" s="233" t="str">
        <f>VLOOKUP(Table3[[#This Row],[Country Code]],Table29[],8,FALSE)</f>
        <v>non-OECD</v>
      </c>
      <c r="AB1122" s="233" t="str">
        <f>VLOOKUP(Table3[[#This Row],[Country Code]],Table29[],9,FALSE)</f>
        <v>no</v>
      </c>
      <c r="AC1122" s="233" t="str">
        <f>VLOOKUP(Table3[[#This Row],[Country Code]],Table29[],10,FALSE)</f>
        <v>no</v>
      </c>
      <c r="AD1122" s="235">
        <f>VLOOKUP(Table3[[#This Row],[Country Code]],Table29[],23,FALSE)</f>
        <v>1300.1688666752</v>
      </c>
      <c r="AE1122" s="235">
        <f>VLOOKUP(Table3[[#This Row],[Country Code]],Table29[],24,FALSE)</f>
        <v>221.12609205884911</v>
      </c>
      <c r="AF1122" s="43"/>
    </row>
    <row r="1123" spans="1:32" ht="30" x14ac:dyDescent="0.25">
      <c r="A1123" s="360">
        <v>43700</v>
      </c>
      <c r="B1123" s="233" t="str">
        <f>VLOOKUP(Table3[[#This Row],[Document ID]],Table1[],2,FALSE)</f>
        <v>BRA</v>
      </c>
      <c r="C1123" s="233" t="str">
        <f>VLOOKUP(Table3[[#This Row],[Document ID]],Table1[],3,FALSE)</f>
        <v>Brazil</v>
      </c>
      <c r="D1123" s="233" t="str">
        <f>VLOOKUP(Table3[[#This Row],[Document ID]],Table1[],5,FALSE)</f>
        <v>NDC</v>
      </c>
      <c r="E1123" s="233" t="str">
        <f>VLOOKUP(Table3[[#This Row],[Document ID]],Table1[],7,FALSE)</f>
        <v>Third NDC</v>
      </c>
      <c r="F1123" s="233" t="str">
        <f>VLOOKUP(Table3[[#This Row],[Document ID]],Table1[],8,FALSE)</f>
        <v>NDC 3.0</v>
      </c>
      <c r="G1123" s="233" t="str">
        <f>VLOOKUP(Table3[[#This Row],[Document ID]],Table1[],10,FALSE)</f>
        <v>Active</v>
      </c>
      <c r="H1123" s="43" t="s">
        <v>1095</v>
      </c>
      <c r="I1123" s="43" t="s">
        <v>1115</v>
      </c>
      <c r="J1123" s="43" t="s">
        <v>1097</v>
      </c>
      <c r="K1123" s="43" t="s">
        <v>1102</v>
      </c>
      <c r="L1123" s="43" t="s">
        <v>1099</v>
      </c>
      <c r="M1123" s="209">
        <v>2033</v>
      </c>
      <c r="N1123" s="44" t="s">
        <v>2217</v>
      </c>
      <c r="O1123" s="258">
        <v>17</v>
      </c>
      <c r="P1123" s="241" t="str">
        <f>VLOOKUP(_xlfn.CONCAT(Table3[[#This Row],[Target area]],Table3[[#This Row],[GHG target?]],Table3[[#This Row],[Conditionality]]),'Drop down'!$E$81:$F$101,2,FALSE)</f>
        <v>T_Transport_O_Unc</v>
      </c>
      <c r="Q1123" s="233" t="str">
        <f>VLOOKUP(Table3[[#This Row],[Target type]],Table418[[Value name]:[Value idenifyer]],2,FALSE)</f>
        <v>T_O_BIO</v>
      </c>
      <c r="V1123" s="233" t="str">
        <f>VLOOKUP(Table3[[#This Row],[Country Code]],Table29[],3,FALSE)</f>
        <v>Non-Annex I</v>
      </c>
      <c r="W1123" s="233" t="str">
        <f>VLOOKUP(Table3[[#This Row],[Country Code]],Table29[],4,FALSE)</f>
        <v>Latin America and the Caribbean</v>
      </c>
      <c r="X1123" s="233" t="str">
        <f>VLOOKUP(Table3[[#This Row],[Country Code]],Table29[],5,FALSE)</f>
        <v>Middle-income</v>
      </c>
      <c r="Y1123" s="233" t="str">
        <f>VLOOKUP(Table3[[#This Row],[Country Code]],Table29[],6,FALSE)</f>
        <v>G20</v>
      </c>
      <c r="Z1123" s="233" t="str">
        <f>VLOOKUP(Table3[[#This Row],[Country Code]],Table29[],7,FALSE)</f>
        <v>no</v>
      </c>
      <c r="AA1123" s="233" t="str">
        <f>VLOOKUP(Table3[[#This Row],[Country Code]],Table29[],8,FALSE)</f>
        <v>non-OECD</v>
      </c>
      <c r="AB1123" s="233" t="str">
        <f>VLOOKUP(Table3[[#This Row],[Country Code]],Table29[],9,FALSE)</f>
        <v>no</v>
      </c>
      <c r="AC1123" s="233" t="str">
        <f>VLOOKUP(Table3[[#This Row],[Country Code]],Table29[],10,FALSE)</f>
        <v>no</v>
      </c>
      <c r="AD1123" s="235">
        <f>VLOOKUP(Table3[[#This Row],[Country Code]],Table29[],23,FALSE)</f>
        <v>1300.1688666752</v>
      </c>
      <c r="AE1123" s="235">
        <f>VLOOKUP(Table3[[#This Row],[Country Code]],Table29[],24,FALSE)</f>
        <v>221.12609205884911</v>
      </c>
      <c r="AF1123" s="43"/>
    </row>
    <row r="1124" spans="1:32" ht="30" x14ac:dyDescent="0.25">
      <c r="A1124" s="360">
        <v>43701</v>
      </c>
      <c r="B1124" s="233" t="str">
        <f>VLOOKUP(Table3[[#This Row],[Document ID]],Table1[],2,FALSE)</f>
        <v>USA</v>
      </c>
      <c r="C1124" s="233" t="str">
        <f>VLOOKUP(Table3[[#This Row],[Document ID]],Table1[],3,FALSE)</f>
        <v>United States of America</v>
      </c>
      <c r="D1124" s="233" t="str">
        <f>VLOOKUP(Table3[[#This Row],[Document ID]],Table1[],5,FALSE)</f>
        <v>NDC</v>
      </c>
      <c r="E1124" s="233" t="str">
        <f>VLOOKUP(Table3[[#This Row],[Document ID]],Table1[],7,FALSE)</f>
        <v>Third NDC</v>
      </c>
      <c r="F1124" s="233" t="str">
        <f>VLOOKUP(Table3[[#This Row],[Document ID]],Table1[],8,FALSE)</f>
        <v>NDC 3.0</v>
      </c>
      <c r="G1124" s="233" t="str">
        <f>VLOOKUP(Table3[[#This Row],[Document ID]],Table1[],10,FALSE)</f>
        <v>Active</v>
      </c>
      <c r="H1124" s="43" t="s">
        <v>1089</v>
      </c>
      <c r="I1124" s="43" t="s">
        <v>1089</v>
      </c>
      <c r="J1124" s="43" t="s">
        <v>1090</v>
      </c>
      <c r="K1124" s="43" t="s">
        <v>1153</v>
      </c>
      <c r="L1124" s="43" t="s">
        <v>1099</v>
      </c>
      <c r="M1124" s="209">
        <v>2035</v>
      </c>
      <c r="N1124" s="44" t="s">
        <v>2218</v>
      </c>
      <c r="O1124" s="258">
        <v>2</v>
      </c>
      <c r="P1124" s="241" t="str">
        <f>VLOOKUP(_xlfn.CONCAT(Table3[[#This Row],[Target area]],Table3[[#This Row],[GHG target?]],Table3[[#This Row],[Conditionality]]),'Drop down'!$E$81:$F$101,2,FALSE)</f>
        <v>T_Economy_Unc</v>
      </c>
      <c r="Q1124" s="233" t="str">
        <f>VLOOKUP(Table3[[#This Row],[Target type]],Table418[[Value name]:[Value idenifyer]],2,FALSE)</f>
        <v>T_BYE</v>
      </c>
      <c r="V1124" s="233" t="str">
        <f>VLOOKUP(Table3[[#This Row],[Country Code]],Table29[],3,FALSE)</f>
        <v>Annex I</v>
      </c>
      <c r="W1124" s="233" t="str">
        <f>VLOOKUP(Table3[[#This Row],[Country Code]],Table29[],4,FALSE)</f>
        <v>Northern America</v>
      </c>
      <c r="X1124" s="233" t="str">
        <f>VLOOKUP(Table3[[#This Row],[Country Code]],Table29[],5,FALSE)</f>
        <v>High-income</v>
      </c>
      <c r="Y1124" s="233" t="str">
        <f>VLOOKUP(Table3[[#This Row],[Country Code]],Table29[],6,FALSE)</f>
        <v>G20</v>
      </c>
      <c r="Z1124" s="233" t="str">
        <f>VLOOKUP(Table3[[#This Row],[Country Code]],Table29[],7,FALSE)</f>
        <v>G7</v>
      </c>
      <c r="AA1124" s="233" t="str">
        <f>VLOOKUP(Table3[[#This Row],[Country Code]],Table29[],8,FALSE)</f>
        <v>OECD</v>
      </c>
      <c r="AB1124" s="233" t="str">
        <f>VLOOKUP(Table3[[#This Row],[Country Code]],Table29[],9,FALSE)</f>
        <v>no</v>
      </c>
      <c r="AC1124" s="233" t="str">
        <f>VLOOKUP(Table3[[#This Row],[Country Code]],Table29[],10,FALSE)</f>
        <v>no</v>
      </c>
      <c r="AD1124" s="235">
        <f>VLOOKUP(Table3[[#This Row],[Country Code]],Table29[],23,FALSE)</f>
        <v>5960.8043799938996</v>
      </c>
      <c r="AE1124" s="235">
        <f>VLOOKUP(Table3[[#This Row],[Country Code]],Table29[],24,FALSE)</f>
        <v>1735.9036371632039</v>
      </c>
      <c r="AF1124" s="43"/>
    </row>
    <row r="1125" spans="1:32" ht="90" x14ac:dyDescent="0.25">
      <c r="A1125" s="360">
        <v>43711</v>
      </c>
      <c r="B1125" s="233" t="str">
        <f>VLOOKUP(Table3[[#This Row],[Document ID]],Table1[],2,FALSE)</f>
        <v>CHE</v>
      </c>
      <c r="C1125" s="233" t="str">
        <f>VLOOKUP(Table3[[#This Row],[Document ID]],Table1[],3,FALSE)</f>
        <v>Switzerland</v>
      </c>
      <c r="D1125" s="233" t="str">
        <f>VLOOKUP(Table3[[#This Row],[Document ID]],Table1[],5,FALSE)</f>
        <v>NDC</v>
      </c>
      <c r="E1125" s="233" t="str">
        <f>VLOOKUP(Table3[[#This Row],[Document ID]],Table1[],7,FALSE)</f>
        <v>Third NDC</v>
      </c>
      <c r="F1125" s="233" t="str">
        <f>VLOOKUP(Table3[[#This Row],[Document ID]],Table1[],8,FALSE)</f>
        <v>NDC 3.0</v>
      </c>
      <c r="G1125" s="233" t="str">
        <f>VLOOKUP(Table3[[#This Row],[Document ID]],Table1[],10,FALSE)</f>
        <v>Archived</v>
      </c>
      <c r="H1125" s="43" t="s">
        <v>1147</v>
      </c>
      <c r="I1125" s="43" t="s">
        <v>1089</v>
      </c>
      <c r="J1125" s="43" t="s">
        <v>1090</v>
      </c>
      <c r="K1125" s="43" t="s">
        <v>1289</v>
      </c>
      <c r="L1125" s="43" t="s">
        <v>1116</v>
      </c>
      <c r="M1125" s="209">
        <v>2050</v>
      </c>
      <c r="N1125" s="44" t="s">
        <v>2219</v>
      </c>
      <c r="O1125" s="258">
        <v>2</v>
      </c>
      <c r="P1125" s="241" t="str">
        <f>VLOOKUP(_xlfn.CONCAT(Table3[[#This Row],[Target area]],Table3[[#This Row],[GHG target?]],Table3[[#This Row],[Conditionality]]),'Drop down'!$E$81:$F$101,2,FALSE)</f>
        <v>T_Netzero</v>
      </c>
      <c r="Q1125" s="233" t="str">
        <f>VLOOKUP(Table3[[#This Row],[Target type]],Table418[[Value name]:[Value idenifyer]],2,FALSE)</f>
        <v>T_TRA</v>
      </c>
      <c r="V1125" s="233" t="str">
        <f>VLOOKUP(Table3[[#This Row],[Country Code]],Table29[],3,FALSE)</f>
        <v>Annex I</v>
      </c>
      <c r="W1125" s="233" t="str">
        <f>VLOOKUP(Table3[[#This Row],[Country Code]],Table29[],4,FALSE)</f>
        <v>Europe</v>
      </c>
      <c r="X1125" s="233" t="str">
        <f>VLOOKUP(Table3[[#This Row],[Country Code]],Table29[],5,FALSE)</f>
        <v>High-income</v>
      </c>
      <c r="Y1125" s="233" t="str">
        <f>VLOOKUP(Table3[[#This Row],[Country Code]],Table29[],6,FALSE)</f>
        <v>no</v>
      </c>
      <c r="Z1125" s="233" t="str">
        <f>VLOOKUP(Table3[[#This Row],[Country Code]],Table29[],7,FALSE)</f>
        <v>no</v>
      </c>
      <c r="AA1125" s="233" t="str">
        <f>VLOOKUP(Table3[[#This Row],[Country Code]],Table29[],8,FALSE)</f>
        <v>OECD</v>
      </c>
      <c r="AB1125" s="233" t="str">
        <f>VLOOKUP(Table3[[#This Row],[Country Code]],Table29[],9,FALSE)</f>
        <v>no</v>
      </c>
      <c r="AC1125" s="233" t="str">
        <f>VLOOKUP(Table3[[#This Row],[Country Code]],Table29[],10,FALSE)</f>
        <v>no</v>
      </c>
      <c r="AD1125" s="235">
        <f>VLOOKUP(Table3[[#This Row],[Country Code]],Table29[],23,FALSE)</f>
        <v>43.446393813877002</v>
      </c>
      <c r="AE1125" s="235">
        <f>VLOOKUP(Table3[[#This Row],[Country Code]],Table29[],24,FALSE)</f>
        <v>14.82381986485206</v>
      </c>
      <c r="AF1125" s="43"/>
    </row>
    <row r="1126" spans="1:32" ht="45" x14ac:dyDescent="0.25">
      <c r="A1126" s="373">
        <v>43716</v>
      </c>
      <c r="B1126" s="233" t="str">
        <f>VLOOKUP(Table3[[#This Row],[Document ID]],Table1[],2,FALSE)</f>
        <v>BWA</v>
      </c>
      <c r="C1126" s="233" t="str">
        <f>VLOOKUP(Table3[[#This Row],[Document ID]],Table1[],3,FALSE)</f>
        <v>Botswana</v>
      </c>
      <c r="D1126" s="233" t="str">
        <f>VLOOKUP(Table3[[#This Row],[Document ID]],Table1[],5,FALSE)</f>
        <v>NDC</v>
      </c>
      <c r="E1126" s="233" t="str">
        <f>VLOOKUP(Table3[[#This Row],[Document ID]],Table1[],7,FALSE)</f>
        <v>Third NDC</v>
      </c>
      <c r="F1126" s="233" t="str">
        <f>VLOOKUP(Table3[[#This Row],[Document ID]],Table1[],8,FALSE)</f>
        <v>NDC 3.0</v>
      </c>
      <c r="G1126" s="233" t="str">
        <f>VLOOKUP(Table3[[#This Row],[Document ID]],Table1[],10,FALSE)</f>
        <v>Active</v>
      </c>
      <c r="H1126" s="43" t="s">
        <v>1089</v>
      </c>
      <c r="I1126" s="43" t="s">
        <v>1089</v>
      </c>
      <c r="J1126" s="43" t="s">
        <v>1090</v>
      </c>
      <c r="K1126" s="43" t="s">
        <v>1091</v>
      </c>
      <c r="L1126" s="43" t="s">
        <v>1092</v>
      </c>
      <c r="M1126" s="209">
        <v>2030</v>
      </c>
      <c r="N1126" s="44" t="s">
        <v>2220</v>
      </c>
      <c r="O1126" s="258">
        <v>39</v>
      </c>
      <c r="P1126" s="241" t="str">
        <f>VLOOKUP(_xlfn.CONCAT(Table3[[#This Row],[Target area]],Table3[[#This Row],[GHG target?]],Table3[[#This Row],[Conditionality]]),'Drop down'!$E$81:$F$101,2,FALSE)</f>
        <v>T_Economy_C</v>
      </c>
      <c r="Q1126" s="233" t="str">
        <f>VLOOKUP(Table3[[#This Row],[Target type]],Table418[[Value name]:[Value idenifyer]],2,FALSE)</f>
        <v>T_BAU</v>
      </c>
      <c r="V1126" s="233" t="str">
        <f>VLOOKUP(Table3[[#This Row],[Country Code]],Table29[],3,FALSE)</f>
        <v>Non-Annex I</v>
      </c>
      <c r="W1126" s="233" t="str">
        <f>VLOOKUP(Table3[[#This Row],[Country Code]],Table29[],4,FALSE)</f>
        <v>Africa</v>
      </c>
      <c r="X1126" s="233" t="str">
        <f>VLOOKUP(Table3[[#This Row],[Country Code]],Table29[],5,FALSE)</f>
        <v>Middle-income</v>
      </c>
      <c r="Y1126" s="233" t="str">
        <f>VLOOKUP(Table3[[#This Row],[Country Code]],Table29[],6,FALSE)</f>
        <v>no</v>
      </c>
      <c r="Z1126" s="233" t="str">
        <f>VLOOKUP(Table3[[#This Row],[Country Code]],Table29[],7,FALSE)</f>
        <v>no</v>
      </c>
      <c r="AA1126" s="233" t="str">
        <f>VLOOKUP(Table3[[#This Row],[Country Code]],Table29[],8,FALSE)</f>
        <v>non-OECD</v>
      </c>
      <c r="AB1126" s="233" t="str">
        <f>VLOOKUP(Table3[[#This Row],[Country Code]],Table29[],9,FALSE)</f>
        <v>no</v>
      </c>
      <c r="AC1126" s="233" t="str">
        <f>VLOOKUP(Table3[[#This Row],[Country Code]],Table29[],10,FALSE)</f>
        <v>no</v>
      </c>
      <c r="AD1126" s="235">
        <f>VLOOKUP(Table3[[#This Row],[Country Code]],Table29[],23,FALSE)</f>
        <v>12.712755146957001</v>
      </c>
      <c r="AE1126" s="235">
        <f>VLOOKUP(Table3[[#This Row],[Country Code]],Table29[],24,FALSE)</f>
        <v>2.440731678856535</v>
      </c>
      <c r="AF1126" s="43"/>
    </row>
    <row r="1127" spans="1:32" x14ac:dyDescent="0.25">
      <c r="A1127" s="373">
        <v>43716</v>
      </c>
      <c r="B1127" s="233" t="str">
        <f>VLOOKUP(Table3[[#This Row],[Document ID]],Table1[],2,FALSE)</f>
        <v>BWA</v>
      </c>
      <c r="C1127" s="233" t="str">
        <f>VLOOKUP(Table3[[#This Row],[Document ID]],Table1[],3,FALSE)</f>
        <v>Botswana</v>
      </c>
      <c r="D1127" s="233" t="str">
        <f>VLOOKUP(Table3[[#This Row],[Document ID]],Table1[],5,FALSE)</f>
        <v>NDC</v>
      </c>
      <c r="E1127" s="233" t="str">
        <f>VLOOKUP(Table3[[#This Row],[Document ID]],Table1[],7,FALSE)</f>
        <v>Third NDC</v>
      </c>
      <c r="F1127" s="233" t="str">
        <f>VLOOKUP(Table3[[#This Row],[Document ID]],Table1[],8,FALSE)</f>
        <v>NDC 3.0</v>
      </c>
      <c r="G1127" s="233" t="str">
        <f>VLOOKUP(Table3[[#This Row],[Document ID]],Table1[],10,FALSE)</f>
        <v>Active</v>
      </c>
      <c r="H1127" s="43" t="s">
        <v>1089</v>
      </c>
      <c r="I1127" s="43" t="s">
        <v>1089</v>
      </c>
      <c r="J1127" s="43" t="s">
        <v>1090</v>
      </c>
      <c r="K1127" s="43" t="s">
        <v>1091</v>
      </c>
      <c r="L1127" s="43" t="s">
        <v>1099</v>
      </c>
      <c r="M1127" s="209">
        <v>2030</v>
      </c>
      <c r="N1127" s="44" t="s">
        <v>2221</v>
      </c>
      <c r="O1127" s="258">
        <v>39</v>
      </c>
      <c r="P1127" s="241" t="str">
        <f>VLOOKUP(_xlfn.CONCAT(Table3[[#This Row],[Target area]],Table3[[#This Row],[GHG target?]],Table3[[#This Row],[Conditionality]]),'Drop down'!$E$81:$F$101,2,FALSE)</f>
        <v>T_Economy_Unc</v>
      </c>
      <c r="Q1127" s="233" t="str">
        <f>VLOOKUP(Table3[[#This Row],[Target type]],Table418[[Value name]:[Value idenifyer]],2,FALSE)</f>
        <v>T_BAU</v>
      </c>
      <c r="V1127" s="233" t="str">
        <f>VLOOKUP(Table3[[#This Row],[Country Code]],Table29[],3,FALSE)</f>
        <v>Non-Annex I</v>
      </c>
      <c r="W1127" s="233" t="str">
        <f>VLOOKUP(Table3[[#This Row],[Country Code]],Table29[],4,FALSE)</f>
        <v>Africa</v>
      </c>
      <c r="X1127" s="233" t="str">
        <f>VLOOKUP(Table3[[#This Row],[Country Code]],Table29[],5,FALSE)</f>
        <v>Middle-income</v>
      </c>
      <c r="Y1127" s="233" t="str">
        <f>VLOOKUP(Table3[[#This Row],[Country Code]],Table29[],6,FALSE)</f>
        <v>no</v>
      </c>
      <c r="Z1127" s="233" t="str">
        <f>VLOOKUP(Table3[[#This Row],[Country Code]],Table29[],7,FALSE)</f>
        <v>no</v>
      </c>
      <c r="AA1127" s="233" t="str">
        <f>VLOOKUP(Table3[[#This Row],[Country Code]],Table29[],8,FALSE)</f>
        <v>non-OECD</v>
      </c>
      <c r="AB1127" s="233" t="str">
        <f>VLOOKUP(Table3[[#This Row],[Country Code]],Table29[],9,FALSE)</f>
        <v>no</v>
      </c>
      <c r="AC1127" s="233" t="str">
        <f>VLOOKUP(Table3[[#This Row],[Country Code]],Table29[],10,FALSE)</f>
        <v>no</v>
      </c>
      <c r="AD1127" s="235">
        <f>VLOOKUP(Table3[[#This Row],[Country Code]],Table29[],23,FALSE)</f>
        <v>12.712755146957001</v>
      </c>
      <c r="AE1127" s="235">
        <f>VLOOKUP(Table3[[#This Row],[Country Code]],Table29[],24,FALSE)</f>
        <v>2.440731678856535</v>
      </c>
      <c r="AF1127" s="43"/>
    </row>
    <row r="1128" spans="1:32" x14ac:dyDescent="0.25">
      <c r="A1128" s="360">
        <v>43716</v>
      </c>
      <c r="B1128" s="233" t="str">
        <f>VLOOKUP(Table3[[#This Row],[Document ID]],Table1[],2,FALSE)</f>
        <v>BWA</v>
      </c>
      <c r="C1128" s="233" t="str">
        <f>VLOOKUP(Table3[[#This Row],[Document ID]],Table1[],3,FALSE)</f>
        <v>Botswana</v>
      </c>
      <c r="D1128" s="233" t="str">
        <f>VLOOKUP(Table3[[#This Row],[Document ID]],Table1[],5,FALSE)</f>
        <v>NDC</v>
      </c>
      <c r="E1128" s="233" t="str">
        <f>VLOOKUP(Table3[[#This Row],[Document ID]],Table1[],7,FALSE)</f>
        <v>Third NDC</v>
      </c>
      <c r="F1128" s="233" t="str">
        <f>VLOOKUP(Table3[[#This Row],[Document ID]],Table1[],8,FALSE)</f>
        <v>NDC 3.0</v>
      </c>
      <c r="G1128" s="233" t="str">
        <f>VLOOKUP(Table3[[#This Row],[Document ID]],Table1[],10,FALSE)</f>
        <v>Active</v>
      </c>
      <c r="H1128" s="43" t="s">
        <v>1095</v>
      </c>
      <c r="I1128" s="43" t="s">
        <v>1096</v>
      </c>
      <c r="J1128" s="43" t="s">
        <v>1090</v>
      </c>
      <c r="K1128" s="43" t="s">
        <v>1121</v>
      </c>
      <c r="L1128" s="43" t="s">
        <v>1099</v>
      </c>
      <c r="M1128" s="209">
        <v>2030</v>
      </c>
      <c r="N1128" s="223" t="s">
        <v>2222</v>
      </c>
      <c r="O1128" s="258">
        <v>19</v>
      </c>
      <c r="P1128" s="241" t="str">
        <f>VLOOKUP(_xlfn.CONCAT(Table3[[#This Row],[Target area]],Table3[[#This Row],[GHG target?]],Table3[[#This Row],[Conditionality]]),'Drop down'!$E$81:$F$101,2,FALSE)</f>
        <v>T_Transport_Unc</v>
      </c>
      <c r="Q1128" s="233" t="str">
        <f>VLOOKUP(Table3[[#This Row],[Target type]],Table418[[Value name]:[Value idenifyer]],2,FALSE)</f>
        <v>T_FL</v>
      </c>
      <c r="V1128" s="233" t="str">
        <f>VLOOKUP(Table3[[#This Row],[Country Code]],Table29[],3,FALSE)</f>
        <v>Non-Annex I</v>
      </c>
      <c r="W1128" s="233" t="str">
        <f>VLOOKUP(Table3[[#This Row],[Country Code]],Table29[],4,FALSE)</f>
        <v>Africa</v>
      </c>
      <c r="X1128" s="233" t="str">
        <f>VLOOKUP(Table3[[#This Row],[Country Code]],Table29[],5,FALSE)</f>
        <v>Middle-income</v>
      </c>
      <c r="Y1128" s="233" t="str">
        <f>VLOOKUP(Table3[[#This Row],[Country Code]],Table29[],6,FALSE)</f>
        <v>no</v>
      </c>
      <c r="Z1128" s="233" t="str">
        <f>VLOOKUP(Table3[[#This Row],[Country Code]],Table29[],7,FALSE)</f>
        <v>no</v>
      </c>
      <c r="AA1128" s="233" t="str">
        <f>VLOOKUP(Table3[[#This Row],[Country Code]],Table29[],8,FALSE)</f>
        <v>non-OECD</v>
      </c>
      <c r="AB1128" s="233" t="str">
        <f>VLOOKUP(Table3[[#This Row],[Country Code]],Table29[],9,FALSE)</f>
        <v>no</v>
      </c>
      <c r="AC1128" s="233" t="str">
        <f>VLOOKUP(Table3[[#This Row],[Country Code]],Table29[],10,FALSE)</f>
        <v>no</v>
      </c>
      <c r="AD1128" s="235">
        <f>VLOOKUP(Table3[[#This Row],[Country Code]],Table29[],23,FALSE)</f>
        <v>12.712755146957001</v>
      </c>
      <c r="AE1128" s="235">
        <f>VLOOKUP(Table3[[#This Row],[Country Code]],Table29[],24,FALSE)</f>
        <v>2.440731678856535</v>
      </c>
      <c r="AF1128" s="43"/>
    </row>
    <row r="1129" spans="1:32" ht="30" x14ac:dyDescent="0.25">
      <c r="A1129" s="360">
        <v>43716</v>
      </c>
      <c r="B1129" s="233" t="str">
        <f>VLOOKUP(Table3[[#This Row],[Document ID]],Table1[],2,FALSE)</f>
        <v>BWA</v>
      </c>
      <c r="C1129" s="233" t="str">
        <f>VLOOKUP(Table3[[#This Row],[Document ID]],Table1[],3,FALSE)</f>
        <v>Botswana</v>
      </c>
      <c r="D1129" s="233" t="str">
        <f>VLOOKUP(Table3[[#This Row],[Document ID]],Table1[],5,FALSE)</f>
        <v>NDC</v>
      </c>
      <c r="E1129" s="233" t="str">
        <f>VLOOKUP(Table3[[#This Row],[Document ID]],Table1[],7,FALSE)</f>
        <v>Third NDC</v>
      </c>
      <c r="F1129" s="233" t="str">
        <f>VLOOKUP(Table3[[#This Row],[Document ID]],Table1[],8,FALSE)</f>
        <v>NDC 3.0</v>
      </c>
      <c r="G1129" s="233" t="str">
        <f>VLOOKUP(Table3[[#This Row],[Document ID]],Table1[],10,FALSE)</f>
        <v>Active</v>
      </c>
      <c r="H1129" s="43" t="s">
        <v>1095</v>
      </c>
      <c r="I1129" s="43" t="s">
        <v>1096</v>
      </c>
      <c r="J1129" s="43" t="s">
        <v>1090</v>
      </c>
      <c r="K1129" s="43" t="s">
        <v>1121</v>
      </c>
      <c r="L1129" s="43" t="s">
        <v>1099</v>
      </c>
      <c r="M1129" s="209">
        <v>2030</v>
      </c>
      <c r="N1129" s="44" t="s">
        <v>2223</v>
      </c>
      <c r="O1129" s="258">
        <v>19</v>
      </c>
      <c r="P1129" s="241" t="str">
        <f>VLOOKUP(_xlfn.CONCAT(Table3[[#This Row],[Target area]],Table3[[#This Row],[GHG target?]],Table3[[#This Row],[Conditionality]]),'Drop down'!$E$81:$F$101,2,FALSE)</f>
        <v>T_Transport_Unc</v>
      </c>
      <c r="Q1129" s="233" t="str">
        <f>VLOOKUP(Table3[[#This Row],[Target type]],Table418[[Value name]:[Value idenifyer]],2,FALSE)</f>
        <v>T_FL</v>
      </c>
      <c r="V1129" s="233" t="str">
        <f>VLOOKUP(Table3[[#This Row],[Country Code]],Table29[],3,FALSE)</f>
        <v>Non-Annex I</v>
      </c>
      <c r="W1129" s="233" t="str">
        <f>VLOOKUP(Table3[[#This Row],[Country Code]],Table29[],4,FALSE)</f>
        <v>Africa</v>
      </c>
      <c r="X1129" s="233" t="str">
        <f>VLOOKUP(Table3[[#This Row],[Country Code]],Table29[],5,FALSE)</f>
        <v>Middle-income</v>
      </c>
      <c r="Y1129" s="233" t="str">
        <f>VLOOKUP(Table3[[#This Row],[Country Code]],Table29[],6,FALSE)</f>
        <v>no</v>
      </c>
      <c r="Z1129" s="233" t="str">
        <f>VLOOKUP(Table3[[#This Row],[Country Code]],Table29[],7,FALSE)</f>
        <v>no</v>
      </c>
      <c r="AA1129" s="233" t="str">
        <f>VLOOKUP(Table3[[#This Row],[Country Code]],Table29[],8,FALSE)</f>
        <v>non-OECD</v>
      </c>
      <c r="AB1129" s="233" t="str">
        <f>VLOOKUP(Table3[[#This Row],[Country Code]],Table29[],9,FALSE)</f>
        <v>no</v>
      </c>
      <c r="AC1129" s="233" t="str">
        <f>VLOOKUP(Table3[[#This Row],[Country Code]],Table29[],10,FALSE)</f>
        <v>no</v>
      </c>
      <c r="AD1129" s="235">
        <f>VLOOKUP(Table3[[#This Row],[Country Code]],Table29[],23,FALSE)</f>
        <v>12.712755146957001</v>
      </c>
      <c r="AE1129" s="235">
        <f>VLOOKUP(Table3[[#This Row],[Country Code]],Table29[],24,FALSE)</f>
        <v>2.440731678856535</v>
      </c>
      <c r="AF1129" s="43"/>
    </row>
    <row r="1130" spans="1:32" x14ac:dyDescent="0.25">
      <c r="A1130" s="360">
        <v>43716</v>
      </c>
      <c r="B1130" s="233" t="str">
        <f>VLOOKUP(Table3[[#This Row],[Document ID]],Table1[],2,FALSE)</f>
        <v>BWA</v>
      </c>
      <c r="C1130" s="233" t="str">
        <f>VLOOKUP(Table3[[#This Row],[Document ID]],Table1[],3,FALSE)</f>
        <v>Botswana</v>
      </c>
      <c r="D1130" s="233" t="str">
        <f>VLOOKUP(Table3[[#This Row],[Document ID]],Table1[],5,FALSE)</f>
        <v>NDC</v>
      </c>
      <c r="E1130" s="233" t="str">
        <f>VLOOKUP(Table3[[#This Row],[Document ID]],Table1[],7,FALSE)</f>
        <v>Third NDC</v>
      </c>
      <c r="F1130" s="233" t="str">
        <f>VLOOKUP(Table3[[#This Row],[Document ID]],Table1[],8,FALSE)</f>
        <v>NDC 3.0</v>
      </c>
      <c r="G1130" s="233" t="str">
        <f>VLOOKUP(Table3[[#This Row],[Document ID]],Table1[],10,FALSE)</f>
        <v>Active</v>
      </c>
      <c r="H1130" s="43" t="s">
        <v>1095</v>
      </c>
      <c r="I1130" s="43" t="s">
        <v>1096</v>
      </c>
      <c r="J1130" s="43" t="s">
        <v>1090</v>
      </c>
      <c r="K1130" s="43" t="s">
        <v>1121</v>
      </c>
      <c r="L1130" s="43" t="s">
        <v>1099</v>
      </c>
      <c r="M1130" s="209">
        <v>2030</v>
      </c>
      <c r="N1130" s="44" t="s">
        <v>2224</v>
      </c>
      <c r="O1130" s="258">
        <v>19</v>
      </c>
      <c r="P1130" s="241" t="str">
        <f>VLOOKUP(_xlfn.CONCAT(Table3[[#This Row],[Target area]],Table3[[#This Row],[GHG target?]],Table3[[#This Row],[Conditionality]]),'Drop down'!$E$81:$F$101,2,FALSE)</f>
        <v>T_Transport_Unc</v>
      </c>
      <c r="Q1130" s="233" t="str">
        <f>VLOOKUP(Table3[[#This Row],[Target type]],Table418[[Value name]:[Value idenifyer]],2,FALSE)</f>
        <v>T_FL</v>
      </c>
      <c r="V1130" s="233" t="str">
        <f>VLOOKUP(Table3[[#This Row],[Country Code]],Table29[],3,FALSE)</f>
        <v>Non-Annex I</v>
      </c>
      <c r="W1130" s="233" t="str">
        <f>VLOOKUP(Table3[[#This Row],[Country Code]],Table29[],4,FALSE)</f>
        <v>Africa</v>
      </c>
      <c r="X1130" s="233" t="str">
        <f>VLOOKUP(Table3[[#This Row],[Country Code]],Table29[],5,FALSE)</f>
        <v>Middle-income</v>
      </c>
      <c r="Y1130" s="233" t="str">
        <f>VLOOKUP(Table3[[#This Row],[Country Code]],Table29[],6,FALSE)</f>
        <v>no</v>
      </c>
      <c r="Z1130" s="233" t="str">
        <f>VLOOKUP(Table3[[#This Row],[Country Code]],Table29[],7,FALSE)</f>
        <v>no</v>
      </c>
      <c r="AA1130" s="233" t="str">
        <f>VLOOKUP(Table3[[#This Row],[Country Code]],Table29[],8,FALSE)</f>
        <v>non-OECD</v>
      </c>
      <c r="AB1130" s="233" t="str">
        <f>VLOOKUP(Table3[[#This Row],[Country Code]],Table29[],9,FALSE)</f>
        <v>no</v>
      </c>
      <c r="AC1130" s="233" t="str">
        <f>VLOOKUP(Table3[[#This Row],[Country Code]],Table29[],10,FALSE)</f>
        <v>no</v>
      </c>
      <c r="AD1130" s="235">
        <f>VLOOKUP(Table3[[#This Row],[Country Code]],Table29[],23,FALSE)</f>
        <v>12.712755146957001</v>
      </c>
      <c r="AE1130" s="235">
        <f>VLOOKUP(Table3[[#This Row],[Country Code]],Table29[],24,FALSE)</f>
        <v>2.440731678856535</v>
      </c>
      <c r="AF1130" s="43"/>
    </row>
    <row r="1131" spans="1:32" ht="30" x14ac:dyDescent="0.25">
      <c r="A1131" s="360">
        <v>43716</v>
      </c>
      <c r="B1131" s="233" t="str">
        <f>VLOOKUP(Table3[[#This Row],[Document ID]],Table1[],2,FALSE)</f>
        <v>BWA</v>
      </c>
      <c r="C1131" s="233" t="str">
        <f>VLOOKUP(Table3[[#This Row],[Document ID]],Table1[],3,FALSE)</f>
        <v>Botswana</v>
      </c>
      <c r="D1131" s="233" t="str">
        <f>VLOOKUP(Table3[[#This Row],[Document ID]],Table1[],5,FALSE)</f>
        <v>NDC</v>
      </c>
      <c r="E1131" s="233" t="str">
        <f>VLOOKUP(Table3[[#This Row],[Document ID]],Table1[],7,FALSE)</f>
        <v>Third NDC</v>
      </c>
      <c r="F1131" s="233" t="str">
        <f>VLOOKUP(Table3[[#This Row],[Document ID]],Table1[],8,FALSE)</f>
        <v>NDC 3.0</v>
      </c>
      <c r="G1131" s="233" t="str">
        <f>VLOOKUP(Table3[[#This Row],[Document ID]],Table1[],10,FALSE)</f>
        <v>Active</v>
      </c>
      <c r="H1131" s="43" t="s">
        <v>1095</v>
      </c>
      <c r="I1131" s="43" t="s">
        <v>1096</v>
      </c>
      <c r="J1131" s="43" t="s">
        <v>1090</v>
      </c>
      <c r="K1131" s="43" t="s">
        <v>1121</v>
      </c>
      <c r="L1131" s="43" t="s">
        <v>1092</v>
      </c>
      <c r="M1131" s="209">
        <v>2030</v>
      </c>
      <c r="N1131" s="44" t="s">
        <v>2225</v>
      </c>
      <c r="O1131" s="258" t="s">
        <v>2226</v>
      </c>
      <c r="P1131" s="241" t="str">
        <f>VLOOKUP(_xlfn.CONCAT(Table3[[#This Row],[Target area]],Table3[[#This Row],[GHG target?]],Table3[[#This Row],[Conditionality]]),'Drop down'!$E$81:$F$101,2,FALSE)</f>
        <v>T_Transport_C</v>
      </c>
      <c r="Q1131" s="233" t="str">
        <f>VLOOKUP(Table3[[#This Row],[Target type]],Table418[[Value name]:[Value idenifyer]],2,FALSE)</f>
        <v>T_FL</v>
      </c>
      <c r="V1131" s="233" t="str">
        <f>VLOOKUP(Table3[[#This Row],[Country Code]],Table29[],3,FALSE)</f>
        <v>Non-Annex I</v>
      </c>
      <c r="W1131" s="233" t="str">
        <f>VLOOKUP(Table3[[#This Row],[Country Code]],Table29[],4,FALSE)</f>
        <v>Africa</v>
      </c>
      <c r="X1131" s="233" t="str">
        <f>VLOOKUP(Table3[[#This Row],[Country Code]],Table29[],5,FALSE)</f>
        <v>Middle-income</v>
      </c>
      <c r="Y1131" s="233" t="str">
        <f>VLOOKUP(Table3[[#This Row],[Country Code]],Table29[],6,FALSE)</f>
        <v>no</v>
      </c>
      <c r="Z1131" s="233" t="str">
        <f>VLOOKUP(Table3[[#This Row],[Country Code]],Table29[],7,FALSE)</f>
        <v>no</v>
      </c>
      <c r="AA1131" s="233" t="str">
        <f>VLOOKUP(Table3[[#This Row],[Country Code]],Table29[],8,FALSE)</f>
        <v>non-OECD</v>
      </c>
      <c r="AB1131" s="233" t="str">
        <f>VLOOKUP(Table3[[#This Row],[Country Code]],Table29[],9,FALSE)</f>
        <v>no</v>
      </c>
      <c r="AC1131" s="233" t="str">
        <f>VLOOKUP(Table3[[#This Row],[Country Code]],Table29[],10,FALSE)</f>
        <v>no</v>
      </c>
      <c r="AD1131" s="235">
        <f>VLOOKUP(Table3[[#This Row],[Country Code]],Table29[],23,FALSE)</f>
        <v>12.712755146957001</v>
      </c>
      <c r="AE1131" s="235">
        <f>VLOOKUP(Table3[[#This Row],[Country Code]],Table29[],24,FALSE)</f>
        <v>2.440731678856535</v>
      </c>
      <c r="AF1131" s="43"/>
    </row>
    <row r="1132" spans="1:32" x14ac:dyDescent="0.25">
      <c r="A1132" s="360">
        <v>43716</v>
      </c>
      <c r="B1132" s="233" t="str">
        <f>VLOOKUP(Table3[[#This Row],[Document ID]],Table1[],2,FALSE)</f>
        <v>BWA</v>
      </c>
      <c r="C1132" s="233" t="str">
        <f>VLOOKUP(Table3[[#This Row],[Document ID]],Table1[],3,FALSE)</f>
        <v>Botswana</v>
      </c>
      <c r="D1132" s="233" t="str">
        <f>VLOOKUP(Table3[[#This Row],[Document ID]],Table1[],5,FALSE)</f>
        <v>NDC</v>
      </c>
      <c r="E1132" s="233" t="str">
        <f>VLOOKUP(Table3[[#This Row],[Document ID]],Table1[],7,FALSE)</f>
        <v>Third NDC</v>
      </c>
      <c r="F1132" s="233" t="str">
        <f>VLOOKUP(Table3[[#This Row],[Document ID]],Table1[],8,FALSE)</f>
        <v>NDC 3.0</v>
      </c>
      <c r="G1132" s="233" t="str">
        <f>VLOOKUP(Table3[[#This Row],[Document ID]],Table1[],10,FALSE)</f>
        <v>Active</v>
      </c>
      <c r="H1132" s="43" t="s">
        <v>1095</v>
      </c>
      <c r="I1132" s="43" t="s">
        <v>1096</v>
      </c>
      <c r="J1132" s="43" t="s">
        <v>1090</v>
      </c>
      <c r="K1132" s="43" t="s">
        <v>1121</v>
      </c>
      <c r="L1132" s="43" t="s">
        <v>1099</v>
      </c>
      <c r="M1132" s="209">
        <v>2030</v>
      </c>
      <c r="N1132" s="44" t="s">
        <v>2227</v>
      </c>
      <c r="O1132" s="258">
        <v>19</v>
      </c>
      <c r="P1132" s="241" t="str">
        <f>VLOOKUP(_xlfn.CONCAT(Table3[[#This Row],[Target area]],Table3[[#This Row],[GHG target?]],Table3[[#This Row],[Conditionality]]),'Drop down'!$E$81:$F$101,2,FALSE)</f>
        <v>T_Transport_Unc</v>
      </c>
      <c r="Q1132" s="233" t="str">
        <f>VLOOKUP(Table3[[#This Row],[Target type]],Table418[[Value name]:[Value idenifyer]],2,FALSE)</f>
        <v>T_FL</v>
      </c>
      <c r="V1132" s="233" t="str">
        <f>VLOOKUP(Table3[[#This Row],[Country Code]],Table29[],3,FALSE)</f>
        <v>Non-Annex I</v>
      </c>
      <c r="W1132" s="233" t="str">
        <f>VLOOKUP(Table3[[#This Row],[Country Code]],Table29[],4,FALSE)</f>
        <v>Africa</v>
      </c>
      <c r="X1132" s="233" t="str">
        <f>VLOOKUP(Table3[[#This Row],[Country Code]],Table29[],5,FALSE)</f>
        <v>Middle-income</v>
      </c>
      <c r="Y1132" s="233" t="str">
        <f>VLOOKUP(Table3[[#This Row],[Country Code]],Table29[],6,FALSE)</f>
        <v>no</v>
      </c>
      <c r="Z1132" s="233" t="str">
        <f>VLOOKUP(Table3[[#This Row],[Country Code]],Table29[],7,FALSE)</f>
        <v>no</v>
      </c>
      <c r="AA1132" s="233" t="str">
        <f>VLOOKUP(Table3[[#This Row],[Country Code]],Table29[],8,FALSE)</f>
        <v>non-OECD</v>
      </c>
      <c r="AB1132" s="233" t="str">
        <f>VLOOKUP(Table3[[#This Row],[Country Code]],Table29[],9,FALSE)</f>
        <v>no</v>
      </c>
      <c r="AC1132" s="233" t="str">
        <f>VLOOKUP(Table3[[#This Row],[Country Code]],Table29[],10,FALSE)</f>
        <v>no</v>
      </c>
      <c r="AD1132" s="235">
        <f>VLOOKUP(Table3[[#This Row],[Country Code]],Table29[],23,FALSE)</f>
        <v>12.712755146957001</v>
      </c>
      <c r="AE1132" s="235">
        <f>VLOOKUP(Table3[[#This Row],[Country Code]],Table29[],24,FALSE)</f>
        <v>2.440731678856535</v>
      </c>
      <c r="AF1132" s="43"/>
    </row>
    <row r="1133" spans="1:32" ht="30" x14ac:dyDescent="0.25">
      <c r="A1133" s="360">
        <v>43717</v>
      </c>
      <c r="B1133" s="233" t="str">
        <f>VLOOKUP(Table3[[#This Row],[Document ID]],Table1[],2,FALSE)</f>
        <v>KAZ</v>
      </c>
      <c r="C1133" s="233" t="str">
        <f>VLOOKUP(Table3[[#This Row],[Document ID]],Table1[],3,FALSE)</f>
        <v>Kazakhstan</v>
      </c>
      <c r="D1133" s="233" t="str">
        <f>VLOOKUP(Table3[[#This Row],[Document ID]],Table1[],5,FALSE)</f>
        <v>LTS</v>
      </c>
      <c r="E1133" s="233" t="str">
        <f>VLOOKUP(Table3[[#This Row],[Document ID]],Table1[],7,FALSE)</f>
        <v>LTS</v>
      </c>
      <c r="F1133" s="233" t="str">
        <f>VLOOKUP(Table3[[#This Row],[Document ID]],Table1[],8,FALSE)</f>
        <v>LTS 1.0</v>
      </c>
      <c r="G1133" s="233" t="str">
        <f>VLOOKUP(Table3[[#This Row],[Document ID]],Table1[],10,FALSE)</f>
        <v>Active</v>
      </c>
      <c r="H1133" s="43" t="s">
        <v>1147</v>
      </c>
      <c r="I1133" s="43" t="s">
        <v>1089</v>
      </c>
      <c r="J1133" s="43" t="s">
        <v>1090</v>
      </c>
      <c r="K1133" s="43" t="s">
        <v>1121</v>
      </c>
      <c r="L1133" s="43" t="s">
        <v>1116</v>
      </c>
      <c r="M1133" s="209">
        <v>2060</v>
      </c>
      <c r="N1133" s="44" t="s">
        <v>2228</v>
      </c>
      <c r="O1133" s="258">
        <v>16</v>
      </c>
      <c r="P1133" s="241" t="str">
        <f>VLOOKUP(_xlfn.CONCAT(Table3[[#This Row],[Target area]],Table3[[#This Row],[GHG target?]],Table3[[#This Row],[Conditionality]]),'Drop down'!$E$81:$F$101,2,FALSE)</f>
        <v>T_Netzero</v>
      </c>
      <c r="Q1133" s="233" t="str">
        <f>VLOOKUP(Table3[[#This Row],[Target type]],Table418[[Value name]:[Value idenifyer]],2,FALSE)</f>
        <v>T_FL</v>
      </c>
      <c r="V1133" s="233" t="str">
        <f>VLOOKUP(Table3[[#This Row],[Country Code]],Table29[],3,FALSE)</f>
        <v>Non-Annex I</v>
      </c>
      <c r="W1133" s="233" t="str">
        <f>VLOOKUP(Table3[[#This Row],[Country Code]],Table29[],4,FALSE)</f>
        <v>Asia</v>
      </c>
      <c r="X1133" s="233" t="str">
        <f>VLOOKUP(Table3[[#This Row],[Country Code]],Table29[],5,FALSE)</f>
        <v>Middle-income</v>
      </c>
      <c r="Y1133" s="233" t="str">
        <f>VLOOKUP(Table3[[#This Row],[Country Code]],Table29[],6,FALSE)</f>
        <v>no</v>
      </c>
      <c r="Z1133" s="233" t="str">
        <f>VLOOKUP(Table3[[#This Row],[Country Code]],Table29[],7,FALSE)</f>
        <v>no</v>
      </c>
      <c r="AA1133" s="233" t="str">
        <f>VLOOKUP(Table3[[#This Row],[Country Code]],Table29[],8,FALSE)</f>
        <v>non-OECD</v>
      </c>
      <c r="AB1133" s="233" t="str">
        <f>VLOOKUP(Table3[[#This Row],[Country Code]],Table29[],9,FALSE)</f>
        <v>no</v>
      </c>
      <c r="AC1133" s="233" t="str">
        <f>VLOOKUP(Table3[[#This Row],[Country Code]],Table29[],10,FALSE)</f>
        <v>no</v>
      </c>
      <c r="AD1133" s="235">
        <f>VLOOKUP(Table3[[#This Row],[Country Code]],Table29[],23,FALSE)</f>
        <v>320.34998496393001</v>
      </c>
      <c r="AE1133" s="235">
        <f>VLOOKUP(Table3[[#This Row],[Country Code]],Table29[],24,FALSE)</f>
        <v>24.00450259503398</v>
      </c>
      <c r="AF1133" s="43"/>
    </row>
    <row r="1134" spans="1:32" ht="45" x14ac:dyDescent="0.25">
      <c r="A1134" s="360">
        <v>43717</v>
      </c>
      <c r="B1134" s="233" t="str">
        <f>VLOOKUP(Table3[[#This Row],[Document ID]],Table1[],2,FALSE)</f>
        <v>KAZ</v>
      </c>
      <c r="C1134" s="233" t="str">
        <f>VLOOKUP(Table3[[#This Row],[Document ID]],Table1[],3,FALSE)</f>
        <v>Kazakhstan</v>
      </c>
      <c r="D1134" s="233" t="str">
        <f>VLOOKUP(Table3[[#This Row],[Document ID]],Table1[],5,FALSE)</f>
        <v>LTS</v>
      </c>
      <c r="E1134" s="233" t="str">
        <f>VLOOKUP(Table3[[#This Row],[Document ID]],Table1[],7,FALSE)</f>
        <v>LTS</v>
      </c>
      <c r="F1134" s="233" t="str">
        <f>VLOOKUP(Table3[[#This Row],[Document ID]],Table1[],8,FALSE)</f>
        <v>LTS 1.0</v>
      </c>
      <c r="G1134" s="233" t="str">
        <f>VLOOKUP(Table3[[#This Row],[Document ID]],Table1[],10,FALSE)</f>
        <v>Active</v>
      </c>
      <c r="H1134" s="43" t="s">
        <v>1089</v>
      </c>
      <c r="I1134" s="43" t="s">
        <v>1089</v>
      </c>
      <c r="J1134" s="43" t="s">
        <v>1090</v>
      </c>
      <c r="K1134" s="43" t="s">
        <v>1153</v>
      </c>
      <c r="L1134" s="43" t="s">
        <v>1099</v>
      </c>
      <c r="M1134" s="209">
        <v>2030</v>
      </c>
      <c r="N1134" s="44" t="s">
        <v>2229</v>
      </c>
      <c r="O1134" s="258">
        <v>16</v>
      </c>
      <c r="P1134" s="241" t="str">
        <f>VLOOKUP(_xlfn.CONCAT(Table3[[#This Row],[Target area]],Table3[[#This Row],[GHG target?]],Table3[[#This Row],[Conditionality]]),'Drop down'!$E$81:$F$101,2,FALSE)</f>
        <v>T_Economy_Unc</v>
      </c>
      <c r="Q1134" s="233" t="str">
        <f>VLOOKUP(Table3[[#This Row],[Target type]],Table418[[Value name]:[Value idenifyer]],2,FALSE)</f>
        <v>T_BYE</v>
      </c>
      <c r="V1134" s="233" t="str">
        <f>VLOOKUP(Table3[[#This Row],[Country Code]],Table29[],3,FALSE)</f>
        <v>Non-Annex I</v>
      </c>
      <c r="W1134" s="233" t="str">
        <f>VLOOKUP(Table3[[#This Row],[Country Code]],Table29[],4,FALSE)</f>
        <v>Asia</v>
      </c>
      <c r="X1134" s="233" t="str">
        <f>VLOOKUP(Table3[[#This Row],[Country Code]],Table29[],5,FALSE)</f>
        <v>Middle-income</v>
      </c>
      <c r="Y1134" s="233" t="str">
        <f>VLOOKUP(Table3[[#This Row],[Country Code]],Table29[],6,FALSE)</f>
        <v>no</v>
      </c>
      <c r="Z1134" s="233" t="str">
        <f>VLOOKUP(Table3[[#This Row],[Country Code]],Table29[],7,FALSE)</f>
        <v>no</v>
      </c>
      <c r="AA1134" s="233" t="str">
        <f>VLOOKUP(Table3[[#This Row],[Country Code]],Table29[],8,FALSE)</f>
        <v>non-OECD</v>
      </c>
      <c r="AB1134" s="233" t="str">
        <f>VLOOKUP(Table3[[#This Row],[Country Code]],Table29[],9,FALSE)</f>
        <v>no</v>
      </c>
      <c r="AC1134" s="233" t="str">
        <f>VLOOKUP(Table3[[#This Row],[Country Code]],Table29[],10,FALSE)</f>
        <v>no</v>
      </c>
      <c r="AD1134" s="235">
        <f>VLOOKUP(Table3[[#This Row],[Country Code]],Table29[],23,FALSE)</f>
        <v>320.34998496393001</v>
      </c>
      <c r="AE1134" s="235">
        <f>VLOOKUP(Table3[[#This Row],[Country Code]],Table29[],24,FALSE)</f>
        <v>24.00450259503398</v>
      </c>
      <c r="AF1134" s="43"/>
    </row>
    <row r="1135" spans="1:32" ht="45" x14ac:dyDescent="0.25">
      <c r="A1135" s="360">
        <v>43717</v>
      </c>
      <c r="B1135" s="233" t="str">
        <f>VLOOKUP(Table3[[#This Row],[Document ID]],Table1[],2,FALSE)</f>
        <v>KAZ</v>
      </c>
      <c r="C1135" s="233" t="str">
        <f>VLOOKUP(Table3[[#This Row],[Document ID]],Table1[],3,FALSE)</f>
        <v>Kazakhstan</v>
      </c>
      <c r="D1135" s="233" t="str">
        <f>VLOOKUP(Table3[[#This Row],[Document ID]],Table1[],5,FALSE)</f>
        <v>LTS</v>
      </c>
      <c r="E1135" s="233" t="str">
        <f>VLOOKUP(Table3[[#This Row],[Document ID]],Table1[],7,FALSE)</f>
        <v>LTS</v>
      </c>
      <c r="F1135" s="233" t="str">
        <f>VLOOKUP(Table3[[#This Row],[Document ID]],Table1[],8,FALSE)</f>
        <v>LTS 1.0</v>
      </c>
      <c r="G1135" s="233" t="str">
        <f>VLOOKUP(Table3[[#This Row],[Document ID]],Table1[],10,FALSE)</f>
        <v>Active</v>
      </c>
      <c r="H1135" s="43" t="s">
        <v>1089</v>
      </c>
      <c r="I1135" s="43" t="s">
        <v>1089</v>
      </c>
      <c r="J1135" s="43" t="s">
        <v>1090</v>
      </c>
      <c r="K1135" s="43" t="s">
        <v>1153</v>
      </c>
      <c r="L1135" s="43" t="s">
        <v>1092</v>
      </c>
      <c r="M1135" s="209">
        <v>2030</v>
      </c>
      <c r="N1135" s="44" t="s">
        <v>2229</v>
      </c>
      <c r="O1135" s="258"/>
      <c r="P1135" s="241" t="str">
        <f>VLOOKUP(_xlfn.CONCAT(Table3[[#This Row],[Target area]],Table3[[#This Row],[GHG target?]],Table3[[#This Row],[Conditionality]]),'Drop down'!$E$81:$F$101,2,FALSE)</f>
        <v>T_Economy_C</v>
      </c>
      <c r="Q1135" s="233" t="str">
        <f>VLOOKUP(Table3[[#This Row],[Target type]],Table418[[Value name]:[Value idenifyer]],2,FALSE)</f>
        <v>T_BYE</v>
      </c>
      <c r="V1135" s="233" t="str">
        <f>VLOOKUP(Table3[[#This Row],[Country Code]],Table29[],3,FALSE)</f>
        <v>Non-Annex I</v>
      </c>
      <c r="W1135" s="233" t="str">
        <f>VLOOKUP(Table3[[#This Row],[Country Code]],Table29[],4,FALSE)</f>
        <v>Asia</v>
      </c>
      <c r="X1135" s="233" t="str">
        <f>VLOOKUP(Table3[[#This Row],[Country Code]],Table29[],5,FALSE)</f>
        <v>Middle-income</v>
      </c>
      <c r="Y1135" s="233" t="str">
        <f>VLOOKUP(Table3[[#This Row],[Country Code]],Table29[],6,FALSE)</f>
        <v>no</v>
      </c>
      <c r="Z1135" s="233" t="str">
        <f>VLOOKUP(Table3[[#This Row],[Country Code]],Table29[],7,FALSE)</f>
        <v>no</v>
      </c>
      <c r="AA1135" s="233" t="str">
        <f>VLOOKUP(Table3[[#This Row],[Country Code]],Table29[],8,FALSE)</f>
        <v>non-OECD</v>
      </c>
      <c r="AB1135" s="233" t="str">
        <f>VLOOKUP(Table3[[#This Row],[Country Code]],Table29[],9,FALSE)</f>
        <v>no</v>
      </c>
      <c r="AC1135" s="233" t="str">
        <f>VLOOKUP(Table3[[#This Row],[Country Code]],Table29[],10,FALSE)</f>
        <v>no</v>
      </c>
      <c r="AD1135" s="235">
        <f>VLOOKUP(Table3[[#This Row],[Country Code]],Table29[],23,FALSE)</f>
        <v>320.34998496393001</v>
      </c>
      <c r="AE1135" s="235">
        <f>VLOOKUP(Table3[[#This Row],[Country Code]],Table29[],24,FALSE)</f>
        <v>24.00450259503398</v>
      </c>
      <c r="AF1135" s="43"/>
    </row>
    <row r="1136" spans="1:32" ht="30" x14ac:dyDescent="0.25">
      <c r="A1136" s="360">
        <v>43718</v>
      </c>
      <c r="B1136" s="233" t="str">
        <f>VLOOKUP(Table3[[#This Row],[Document ID]],Table1[],2,FALSE)</f>
        <v>THA</v>
      </c>
      <c r="C1136" s="233" t="str">
        <f>VLOOKUP(Table3[[#This Row],[Document ID]],Table1[],3,FALSE)</f>
        <v>Thailand</v>
      </c>
      <c r="D1136" s="233" t="str">
        <f>VLOOKUP(Table3[[#This Row],[Document ID]],Table1[],5,FALSE)</f>
        <v>NDC</v>
      </c>
      <c r="E1136" s="233" t="str">
        <f>VLOOKUP(Table3[[#This Row],[Document ID]],Table1[],7,FALSE)</f>
        <v>Second NDC</v>
      </c>
      <c r="F1136" s="233" t="str">
        <f>VLOOKUP(Table3[[#This Row],[Document ID]],Table1[],8,FALSE)</f>
        <v>NDC 2.0</v>
      </c>
      <c r="G1136" s="233" t="str">
        <f>VLOOKUP(Table3[[#This Row],[Document ID]],Table1[],10,FALSE)</f>
        <v>Active</v>
      </c>
      <c r="H1136" s="43" t="s">
        <v>1089</v>
      </c>
      <c r="I1136" s="43" t="s">
        <v>1089</v>
      </c>
      <c r="J1136" s="43" t="s">
        <v>1090</v>
      </c>
      <c r="K1136" s="43" t="s">
        <v>1091</v>
      </c>
      <c r="L1136" s="43" t="s">
        <v>1099</v>
      </c>
      <c r="M1136" s="209">
        <v>2030</v>
      </c>
      <c r="N1136" s="44" t="s">
        <v>2230</v>
      </c>
      <c r="O1136" s="258">
        <v>1</v>
      </c>
      <c r="P1136" s="241" t="str">
        <f>VLOOKUP(_xlfn.CONCAT(Table3[[#This Row],[Target area]],Table3[[#This Row],[GHG target?]],Table3[[#This Row],[Conditionality]]),'Drop down'!$E$81:$F$101,2,FALSE)</f>
        <v>T_Economy_Unc</v>
      </c>
      <c r="Q1136" s="233" t="str">
        <f>VLOOKUP(Table3[[#This Row],[Target type]],Table418[[Value name]:[Value idenifyer]],2,FALSE)</f>
        <v>T_BAU</v>
      </c>
      <c r="V1136" s="233" t="str">
        <f>VLOOKUP(Table3[[#This Row],[Country Code]],Table29[],3,FALSE)</f>
        <v>Non-Annex I</v>
      </c>
      <c r="W1136" s="233" t="str">
        <f>VLOOKUP(Table3[[#This Row],[Country Code]],Table29[],4,FALSE)</f>
        <v>Asia</v>
      </c>
      <c r="X1136" s="233" t="str">
        <f>VLOOKUP(Table3[[#This Row],[Country Code]],Table29[],5,FALSE)</f>
        <v>Middle-income</v>
      </c>
      <c r="Y1136" s="233" t="str">
        <f>VLOOKUP(Table3[[#This Row],[Country Code]],Table29[],6,FALSE)</f>
        <v>no</v>
      </c>
      <c r="Z1136" s="233" t="str">
        <f>VLOOKUP(Table3[[#This Row],[Country Code]],Table29[],7,FALSE)</f>
        <v>no</v>
      </c>
      <c r="AA1136" s="233" t="str">
        <f>VLOOKUP(Table3[[#This Row],[Country Code]],Table29[],8,FALSE)</f>
        <v>non-OECD</v>
      </c>
      <c r="AB1136" s="233" t="str">
        <f>VLOOKUP(Table3[[#This Row],[Country Code]],Table29[],9,FALSE)</f>
        <v>no</v>
      </c>
      <c r="AC1136" s="233" t="str">
        <f>VLOOKUP(Table3[[#This Row],[Country Code]],Table29[],10,FALSE)</f>
        <v>no</v>
      </c>
      <c r="AD1136" s="235">
        <f>VLOOKUP(Table3[[#This Row],[Country Code]],Table29[],23,FALSE)</f>
        <v>440.78301465571002</v>
      </c>
      <c r="AE1136" s="235">
        <f>VLOOKUP(Table3[[#This Row],[Country Code]],Table29[],24,FALSE)</f>
        <v>81.217527676047013</v>
      </c>
      <c r="AF1136" s="43"/>
    </row>
    <row r="1137" spans="1:32" ht="60" x14ac:dyDescent="0.25">
      <c r="A1137" s="360">
        <v>43718</v>
      </c>
      <c r="B1137" s="233" t="str">
        <f>VLOOKUP(Table3[[#This Row],[Document ID]],Table1[],2,FALSE)</f>
        <v>THA</v>
      </c>
      <c r="C1137" s="233" t="str">
        <f>VLOOKUP(Table3[[#This Row],[Document ID]],Table1[],3,FALSE)</f>
        <v>Thailand</v>
      </c>
      <c r="D1137" s="233" t="str">
        <f>VLOOKUP(Table3[[#This Row],[Document ID]],Table1[],5,FALSE)</f>
        <v>NDC</v>
      </c>
      <c r="E1137" s="233" t="str">
        <f>VLOOKUP(Table3[[#This Row],[Document ID]],Table1[],7,FALSE)</f>
        <v>Second NDC</v>
      </c>
      <c r="F1137" s="233" t="str">
        <f>VLOOKUP(Table3[[#This Row],[Document ID]],Table1[],8,FALSE)</f>
        <v>NDC 2.0</v>
      </c>
      <c r="G1137" s="233" t="str">
        <f>VLOOKUP(Table3[[#This Row],[Document ID]],Table1[],10,FALSE)</f>
        <v>Active</v>
      </c>
      <c r="H1137" s="43" t="s">
        <v>1089</v>
      </c>
      <c r="I1137" s="43" t="s">
        <v>1089</v>
      </c>
      <c r="J1137" s="43" t="s">
        <v>1090</v>
      </c>
      <c r="K1137" s="43" t="s">
        <v>1091</v>
      </c>
      <c r="L1137" s="43" t="s">
        <v>1092</v>
      </c>
      <c r="M1137" s="209">
        <v>2030</v>
      </c>
      <c r="N1137" s="44" t="s">
        <v>2231</v>
      </c>
      <c r="O1137" s="258">
        <v>1</v>
      </c>
      <c r="P1137" s="241" t="str">
        <f>VLOOKUP(_xlfn.CONCAT(Table3[[#This Row],[Target area]],Table3[[#This Row],[GHG target?]],Table3[[#This Row],[Conditionality]]),'Drop down'!$E$81:$F$101,2,FALSE)</f>
        <v>T_Economy_C</v>
      </c>
      <c r="Q1137" s="233" t="str">
        <f>VLOOKUP(Table3[[#This Row],[Target type]],Table418[[Value name]:[Value idenifyer]],2,FALSE)</f>
        <v>T_BAU</v>
      </c>
      <c r="V1137" s="233" t="str">
        <f>VLOOKUP(Table3[[#This Row],[Country Code]],Table29[],3,FALSE)</f>
        <v>Non-Annex I</v>
      </c>
      <c r="W1137" s="233" t="str">
        <f>VLOOKUP(Table3[[#This Row],[Country Code]],Table29[],4,FALSE)</f>
        <v>Asia</v>
      </c>
      <c r="X1137" s="233" t="str">
        <f>VLOOKUP(Table3[[#This Row],[Country Code]],Table29[],5,FALSE)</f>
        <v>Middle-income</v>
      </c>
      <c r="Y1137" s="233" t="str">
        <f>VLOOKUP(Table3[[#This Row],[Country Code]],Table29[],6,FALSE)</f>
        <v>no</v>
      </c>
      <c r="Z1137" s="233" t="str">
        <f>VLOOKUP(Table3[[#This Row],[Country Code]],Table29[],7,FALSE)</f>
        <v>no</v>
      </c>
      <c r="AA1137" s="233" t="str">
        <f>VLOOKUP(Table3[[#This Row],[Country Code]],Table29[],8,FALSE)</f>
        <v>non-OECD</v>
      </c>
      <c r="AB1137" s="233" t="str">
        <f>VLOOKUP(Table3[[#This Row],[Country Code]],Table29[],9,FALSE)</f>
        <v>no</v>
      </c>
      <c r="AC1137" s="233" t="str">
        <f>VLOOKUP(Table3[[#This Row],[Country Code]],Table29[],10,FALSE)</f>
        <v>no</v>
      </c>
      <c r="AD1137" s="235">
        <f>VLOOKUP(Table3[[#This Row],[Country Code]],Table29[],23,FALSE)</f>
        <v>440.78301465571002</v>
      </c>
      <c r="AE1137" s="235">
        <f>VLOOKUP(Table3[[#This Row],[Country Code]],Table29[],24,FALSE)</f>
        <v>81.217527676047013</v>
      </c>
      <c r="AF1137" s="43"/>
    </row>
    <row r="1138" spans="1:32" ht="30" x14ac:dyDescent="0.25">
      <c r="A1138" s="360">
        <v>43718</v>
      </c>
      <c r="B1138" s="233" t="str">
        <f>VLOOKUP(Table3[[#This Row],[Document ID]],Table1[],2,FALSE)</f>
        <v>THA</v>
      </c>
      <c r="C1138" s="233" t="str">
        <f>VLOOKUP(Table3[[#This Row],[Document ID]],Table1[],3,FALSE)</f>
        <v>Thailand</v>
      </c>
      <c r="D1138" s="233" t="str">
        <f>VLOOKUP(Table3[[#This Row],[Document ID]],Table1[],5,FALSE)</f>
        <v>NDC</v>
      </c>
      <c r="E1138" s="233" t="str">
        <f>VLOOKUP(Table3[[#This Row],[Document ID]],Table1[],7,FALSE)</f>
        <v>Second NDC</v>
      </c>
      <c r="F1138" s="233" t="str">
        <f>VLOOKUP(Table3[[#This Row],[Document ID]],Table1[],8,FALSE)</f>
        <v>NDC 2.0</v>
      </c>
      <c r="G1138" s="233" t="str">
        <f>VLOOKUP(Table3[[#This Row],[Document ID]],Table1[],10,FALSE)</f>
        <v>Active</v>
      </c>
      <c r="H1138" s="43" t="s">
        <v>1147</v>
      </c>
      <c r="I1138" s="43" t="s">
        <v>1089</v>
      </c>
      <c r="J1138" s="43" t="s">
        <v>1090</v>
      </c>
      <c r="K1138" s="43" t="s">
        <v>1289</v>
      </c>
      <c r="L1138" s="43" t="s">
        <v>1116</v>
      </c>
      <c r="M1138" s="209">
        <v>2065</v>
      </c>
      <c r="N1138" s="44" t="s">
        <v>2232</v>
      </c>
      <c r="O1138" s="258">
        <v>1</v>
      </c>
      <c r="P1138" s="241" t="str">
        <f>VLOOKUP(_xlfn.CONCAT(Table3[[#This Row],[Target area]],Table3[[#This Row],[GHG target?]],Table3[[#This Row],[Conditionality]]),'Drop down'!$E$81:$F$101,2,FALSE)</f>
        <v>T_Netzero</v>
      </c>
      <c r="Q1138" s="233" t="str">
        <f>VLOOKUP(Table3[[#This Row],[Target type]],Table418[[Value name]:[Value idenifyer]],2,FALSE)</f>
        <v>T_TRA</v>
      </c>
      <c r="V1138" s="233" t="str">
        <f>VLOOKUP(Table3[[#This Row],[Country Code]],Table29[],3,FALSE)</f>
        <v>Non-Annex I</v>
      </c>
      <c r="W1138" s="233" t="str">
        <f>VLOOKUP(Table3[[#This Row],[Country Code]],Table29[],4,FALSE)</f>
        <v>Asia</v>
      </c>
      <c r="X1138" s="233" t="str">
        <f>VLOOKUP(Table3[[#This Row],[Country Code]],Table29[],5,FALSE)</f>
        <v>Middle-income</v>
      </c>
      <c r="Y1138" s="233" t="str">
        <f>VLOOKUP(Table3[[#This Row],[Country Code]],Table29[],6,FALSE)</f>
        <v>no</v>
      </c>
      <c r="Z1138" s="233" t="str">
        <f>VLOOKUP(Table3[[#This Row],[Country Code]],Table29[],7,FALSE)</f>
        <v>no</v>
      </c>
      <c r="AA1138" s="233" t="str">
        <f>VLOOKUP(Table3[[#This Row],[Country Code]],Table29[],8,FALSE)</f>
        <v>non-OECD</v>
      </c>
      <c r="AB1138" s="233" t="str">
        <f>VLOOKUP(Table3[[#This Row],[Country Code]],Table29[],9,FALSE)</f>
        <v>no</v>
      </c>
      <c r="AC1138" s="233" t="str">
        <f>VLOOKUP(Table3[[#This Row],[Country Code]],Table29[],10,FALSE)</f>
        <v>no</v>
      </c>
      <c r="AD1138" s="235">
        <f>VLOOKUP(Table3[[#This Row],[Country Code]],Table29[],23,FALSE)</f>
        <v>440.78301465571002</v>
      </c>
      <c r="AE1138" s="235">
        <f>VLOOKUP(Table3[[#This Row],[Country Code]],Table29[],24,FALSE)</f>
        <v>81.217527676047013</v>
      </c>
      <c r="AF1138" s="43"/>
    </row>
    <row r="1139" spans="1:32" ht="60" x14ac:dyDescent="0.25">
      <c r="A1139" s="360">
        <v>43719</v>
      </c>
      <c r="B1139" s="233" t="str">
        <f>VLOOKUP(Table3[[#This Row],[Document ID]],Table1[],2,FALSE)</f>
        <v>BEN</v>
      </c>
      <c r="C1139" s="233" t="str">
        <f>VLOOKUP(Table3[[#This Row],[Document ID]],Table1[],3,FALSE)</f>
        <v>Benin</v>
      </c>
      <c r="D1139" s="233" t="str">
        <f>VLOOKUP(Table3[[#This Row],[Document ID]],Table1[],5,FALSE)</f>
        <v>NDC</v>
      </c>
      <c r="E1139" s="233" t="str">
        <f>VLOOKUP(Table3[[#This Row],[Document ID]],Table1[],7,FALSE)</f>
        <v>Second NDC</v>
      </c>
      <c r="F1139" s="233" t="str">
        <f>VLOOKUP(Table3[[#This Row],[Document ID]],Table1[],8,FALSE)</f>
        <v>NDC 2.0</v>
      </c>
      <c r="G1139" s="233" t="str">
        <f>VLOOKUP(Table3[[#This Row],[Document ID]],Table1[],10,FALSE)</f>
        <v>Active</v>
      </c>
      <c r="H1139" s="43" t="s">
        <v>1089</v>
      </c>
      <c r="I1139" s="43" t="s">
        <v>1089</v>
      </c>
      <c r="J1139" s="43" t="s">
        <v>1090</v>
      </c>
      <c r="K1139" s="43" t="s">
        <v>1091</v>
      </c>
      <c r="L1139" s="43" t="s">
        <v>1092</v>
      </c>
      <c r="M1139" s="209">
        <v>2030</v>
      </c>
      <c r="N1139" s="44" t="s">
        <v>2233</v>
      </c>
      <c r="O1139" s="258">
        <v>8</v>
      </c>
      <c r="P1139" s="241" t="str">
        <f>VLOOKUP(_xlfn.CONCAT(Table3[[#This Row],[Target area]],Table3[[#This Row],[GHG target?]],Table3[[#This Row],[Conditionality]]),'Drop down'!$E$81:$F$101,2,FALSE)</f>
        <v>T_Economy_C</v>
      </c>
      <c r="Q1139" s="233" t="str">
        <f>VLOOKUP(Table3[[#This Row],[Target type]],Table418[[Value name]:[Value idenifyer]],2,FALSE)</f>
        <v>T_BAU</v>
      </c>
      <c r="V1139" s="233" t="str">
        <f>VLOOKUP(Table3[[#This Row],[Country Code]],Table29[],3,FALSE)</f>
        <v>Non-Annex I</v>
      </c>
      <c r="W1139" s="233" t="str">
        <f>VLOOKUP(Table3[[#This Row],[Country Code]],Table29[],4,FALSE)</f>
        <v>Africa</v>
      </c>
      <c r="X1139" s="233" t="str">
        <f>VLOOKUP(Table3[[#This Row],[Country Code]],Table29[],5,FALSE)</f>
        <v>Middle-income</v>
      </c>
      <c r="Y1139" s="233" t="str">
        <f>VLOOKUP(Table3[[#This Row],[Country Code]],Table29[],6,FALSE)</f>
        <v>no</v>
      </c>
      <c r="Z1139" s="233" t="str">
        <f>VLOOKUP(Table3[[#This Row],[Country Code]],Table29[],7,FALSE)</f>
        <v>no</v>
      </c>
      <c r="AA1139" s="233" t="str">
        <f>VLOOKUP(Table3[[#This Row],[Country Code]],Table29[],8,FALSE)</f>
        <v>non-OECD</v>
      </c>
      <c r="AB1139" s="233" t="str">
        <f>VLOOKUP(Table3[[#This Row],[Country Code]],Table29[],9,FALSE)</f>
        <v>no</v>
      </c>
      <c r="AC1139" s="233" t="str">
        <f>VLOOKUP(Table3[[#This Row],[Country Code]],Table29[],10,FALSE)</f>
        <v>no</v>
      </c>
      <c r="AD1139" s="235">
        <f>VLOOKUP(Table3[[#This Row],[Country Code]],Table29[],23,FALSE)</f>
        <v>16.699491601106999</v>
      </c>
      <c r="AE1139" s="235">
        <f>VLOOKUP(Table3[[#This Row],[Country Code]],Table29[],24,FALSE)</f>
        <v>4.358789566933627</v>
      </c>
      <c r="AF1139" s="43"/>
    </row>
    <row r="1140" spans="1:32" x14ac:dyDescent="0.25">
      <c r="A1140" s="360">
        <v>17656</v>
      </c>
      <c r="B1140" s="233" t="str">
        <f>VLOOKUP(Table3[[#This Row],[Document ID]],Table1[],2,FALSE)</f>
        <v>MHL</v>
      </c>
      <c r="C1140" s="233" t="str">
        <f>VLOOKUP(Table3[[#This Row],[Document ID]],Table1[],3,FALSE)</f>
        <v>Marshall Islands</v>
      </c>
      <c r="D1140" s="233" t="str">
        <f>VLOOKUP(Table3[[#This Row],[Document ID]],Table1[],5,FALSE)</f>
        <v>NDC</v>
      </c>
      <c r="E1140" s="233" t="str">
        <f>VLOOKUP(Table3[[#This Row],[Document ID]],Table1[],7,FALSE)</f>
        <v>Second NDC</v>
      </c>
      <c r="F1140" s="233" t="str">
        <f>VLOOKUP(Table3[[#This Row],[Document ID]],Table1[],8,FALSE)</f>
        <v>NDC 2.0</v>
      </c>
      <c r="G1140" s="233" t="str">
        <f>VLOOKUP(Table3[[#This Row],[Document ID]],Table1[],10,FALSE)</f>
        <v>Archived</v>
      </c>
      <c r="H1140" s="43" t="s">
        <v>1095</v>
      </c>
      <c r="I1140" s="43" t="s">
        <v>1115</v>
      </c>
      <c r="J1140" s="43" t="s">
        <v>1097</v>
      </c>
      <c r="K1140" s="43" t="s">
        <v>1162</v>
      </c>
      <c r="L1140" s="43" t="s">
        <v>1099</v>
      </c>
      <c r="M1140" s="209">
        <v>2030</v>
      </c>
      <c r="N1140" s="44" t="s">
        <v>2234</v>
      </c>
      <c r="O1140" s="258">
        <v>6</v>
      </c>
      <c r="P1140" s="241" t="str">
        <f>VLOOKUP(_xlfn.CONCAT(Table3[[#This Row],[Target area]],Table3[[#This Row],[GHG target?]],Table3[[#This Row],[Conditionality]]),'Drop down'!$E$81:$F$101,2,FALSE)</f>
        <v>T_Transport_O_Unc</v>
      </c>
      <c r="Q1140" s="233" t="str">
        <f>VLOOKUP(Table3[[#This Row],[Target type]],Table418[[Value name]:[Value idenifyer]],2,FALSE)</f>
        <v>T_O_INFRA</v>
      </c>
      <c r="V1140" s="233" t="str">
        <f>VLOOKUP(Table3[[#This Row],[Country Code]],Table29[],3,FALSE)</f>
        <v>Non-Annex I</v>
      </c>
      <c r="W1140" s="233" t="str">
        <f>VLOOKUP(Table3[[#This Row],[Country Code]],Table29[],4,FALSE)</f>
        <v>Oceania</v>
      </c>
      <c r="X1140" s="233" t="str">
        <f>VLOOKUP(Table3[[#This Row],[Country Code]],Table29[],5,FALSE)</f>
        <v>Middle-income</v>
      </c>
      <c r="Y1140" s="233" t="str">
        <f>VLOOKUP(Table3[[#This Row],[Country Code]],Table29[],6,FALSE)</f>
        <v>no</v>
      </c>
      <c r="Z1140" s="233" t="str">
        <f>VLOOKUP(Table3[[#This Row],[Country Code]],Table29[],7,FALSE)</f>
        <v>no</v>
      </c>
      <c r="AA1140" s="233" t="str">
        <f>VLOOKUP(Table3[[#This Row],[Country Code]],Table29[],8,FALSE)</f>
        <v>non-OECD</v>
      </c>
      <c r="AB1140" s="233" t="str">
        <f>VLOOKUP(Table3[[#This Row],[Country Code]],Table29[],9,FALSE)</f>
        <v>no</v>
      </c>
      <c r="AC1140" s="233" t="str">
        <f>VLOOKUP(Table3[[#This Row],[Country Code]],Table29[],10,FALSE)</f>
        <v>no</v>
      </c>
      <c r="AD1140" s="235">
        <f>VLOOKUP(Table3[[#This Row],[Country Code]],Table29[],23,FALSE)</f>
        <v>0</v>
      </c>
      <c r="AE1140" s="235">
        <f>VLOOKUP(Table3[[#This Row],[Country Code]],Table29[],24,FALSE)</f>
        <v>0</v>
      </c>
      <c r="AF1140" s="43"/>
    </row>
    <row r="1141" spans="1:32" x14ac:dyDescent="0.25">
      <c r="A1141" s="360">
        <v>17667</v>
      </c>
      <c r="B1141" s="233" t="str">
        <f>VLOOKUP(Table3[[#This Row],[Document ID]],Table1[],2,FALSE)</f>
        <v>MNG</v>
      </c>
      <c r="C1141" s="233" t="str">
        <f>VLOOKUP(Table3[[#This Row],[Document ID]],Table1[],3,FALSE)</f>
        <v>Mongolia</v>
      </c>
      <c r="D1141" s="233" t="str">
        <f>VLOOKUP(Table3[[#This Row],[Document ID]],Table1[],5,FALSE)</f>
        <v>NDC</v>
      </c>
      <c r="E1141" s="233" t="str">
        <f>VLOOKUP(Table3[[#This Row],[Document ID]],Table1[],7,FALSE)</f>
        <v>First NDC updated</v>
      </c>
      <c r="F1141" s="233" t="str">
        <f>VLOOKUP(Table3[[#This Row],[Document ID]],Table1[],8,FALSE)</f>
        <v>NDC 1.1</v>
      </c>
      <c r="G1141" s="233" t="str">
        <f>VLOOKUP(Table3[[#This Row],[Document ID]],Table1[],10,FALSE)</f>
        <v>Active</v>
      </c>
      <c r="H1141" s="43" t="s">
        <v>1095</v>
      </c>
      <c r="I1141" s="43" t="s">
        <v>1115</v>
      </c>
      <c r="J1141" s="43" t="s">
        <v>1090</v>
      </c>
      <c r="K1141" s="43" t="s">
        <v>1153</v>
      </c>
      <c r="L1141" s="43" t="s">
        <v>1099</v>
      </c>
      <c r="M1141" s="209">
        <v>2030</v>
      </c>
      <c r="N1141" s="44" t="s">
        <v>2235</v>
      </c>
      <c r="O1141" s="258">
        <v>4</v>
      </c>
      <c r="P1141" s="241" t="str">
        <f>VLOOKUP(_xlfn.CONCAT(Table3[[#This Row],[Target area]],Table3[[#This Row],[GHG target?]],Table3[[#This Row],[Conditionality]]),'Drop down'!$E$81:$F$101,2,FALSE)</f>
        <v>T_Transport_Unc</v>
      </c>
      <c r="Q1141" s="233" t="str">
        <f>VLOOKUP(Table3[[#This Row],[Target type]],Table418[[Value name]:[Value idenifyer]],2,FALSE)</f>
        <v>T_BYE</v>
      </c>
      <c r="V1141" s="233" t="str">
        <f>VLOOKUP(Table3[[#This Row],[Country Code]],Table29[],3,FALSE)</f>
        <v>Non-Annex I</v>
      </c>
      <c r="W1141" s="233" t="str">
        <f>VLOOKUP(Table3[[#This Row],[Country Code]],Table29[],4,FALSE)</f>
        <v>Asia</v>
      </c>
      <c r="X1141" s="233" t="str">
        <f>VLOOKUP(Table3[[#This Row],[Country Code]],Table29[],5,FALSE)</f>
        <v>Middle-income</v>
      </c>
      <c r="Y1141" s="233" t="str">
        <f>VLOOKUP(Table3[[#This Row],[Country Code]],Table29[],6,FALSE)</f>
        <v>no</v>
      </c>
      <c r="Z1141" s="233" t="str">
        <f>VLOOKUP(Table3[[#This Row],[Country Code]],Table29[],7,FALSE)</f>
        <v>no</v>
      </c>
      <c r="AA1141" s="233" t="str">
        <f>VLOOKUP(Table3[[#This Row],[Country Code]],Table29[],8,FALSE)</f>
        <v>non-OECD</v>
      </c>
      <c r="AB1141" s="233" t="str">
        <f>VLOOKUP(Table3[[#This Row],[Country Code]],Table29[],9,FALSE)</f>
        <v>no</v>
      </c>
      <c r="AC1141" s="233" t="str">
        <f>VLOOKUP(Table3[[#This Row],[Country Code]],Table29[],10,FALSE)</f>
        <v>no</v>
      </c>
      <c r="AD1141" s="235">
        <f>VLOOKUP(Table3[[#This Row],[Country Code]],Table29[],23,FALSE)</f>
        <v>83.704559899686998</v>
      </c>
      <c r="AE1141" s="235">
        <f>VLOOKUP(Table3[[#This Row],[Country Code]],Table29[],24,FALSE)</f>
        <v>3.0053836949054058</v>
      </c>
      <c r="AF1141" s="43"/>
    </row>
    <row r="1142" spans="1:32" x14ac:dyDescent="0.25">
      <c r="A1142" s="360">
        <v>32516</v>
      </c>
      <c r="B1142" s="233" t="str">
        <f>VLOOKUP(Table3[[#This Row],[Document ID]],Table1[],2,FALSE)</f>
        <v>SDN</v>
      </c>
      <c r="C1142" s="233" t="str">
        <f>VLOOKUP(Table3[[#This Row],[Document ID]],Table1[],3,FALSE)</f>
        <v>Sudan</v>
      </c>
      <c r="D1142" s="233" t="str">
        <f>VLOOKUP(Table3[[#This Row],[Document ID]],Table1[],5,FALSE)</f>
        <v>NDC</v>
      </c>
      <c r="E1142" s="233" t="str">
        <f>VLOOKUP(Table3[[#This Row],[Document ID]],Table1[],7,FALSE)</f>
        <v>First NDC updated</v>
      </c>
      <c r="F1142" s="233" t="str">
        <f>VLOOKUP(Table3[[#This Row],[Document ID]],Table1[],8,FALSE)</f>
        <v>NDC 1.2</v>
      </c>
      <c r="G1142" s="233" t="str">
        <f>VLOOKUP(Table3[[#This Row],[Document ID]],Table1[],10,FALSE)</f>
        <v>Active</v>
      </c>
      <c r="H1142" s="43" t="s">
        <v>1095</v>
      </c>
      <c r="I1142" s="43" t="s">
        <v>1115</v>
      </c>
      <c r="J1142" s="43" t="s">
        <v>1090</v>
      </c>
      <c r="K1142" s="43" t="s">
        <v>1121</v>
      </c>
      <c r="L1142" s="43" t="s">
        <v>1099</v>
      </c>
      <c r="M1142" s="209">
        <v>2030</v>
      </c>
      <c r="N1142" s="44" t="s">
        <v>2236</v>
      </c>
      <c r="O1142" s="258">
        <v>5</v>
      </c>
      <c r="P1142" s="241" t="str">
        <f>VLOOKUP(_xlfn.CONCAT(Table3[[#This Row],[Target area]],Table3[[#This Row],[GHG target?]],Table3[[#This Row],[Conditionality]]),'Drop down'!$E$81:$F$101,2,FALSE)</f>
        <v>T_Transport_Unc</v>
      </c>
      <c r="Q1142" s="233" t="str">
        <f>VLOOKUP(Table3[[#This Row],[Target type]],Table418[[Value name]:[Value idenifyer]],2,FALSE)</f>
        <v>T_FL</v>
      </c>
      <c r="V1142" s="233" t="str">
        <f>VLOOKUP(Table3[[#This Row],[Country Code]],Table29[],3,FALSE)</f>
        <v>Non-Annex I</v>
      </c>
      <c r="W1142" s="233" t="str">
        <f>VLOOKUP(Table3[[#This Row],[Country Code]],Table29[],4,FALSE)</f>
        <v>Africa</v>
      </c>
      <c r="X1142" s="233" t="str">
        <f>VLOOKUP(Table3[[#This Row],[Country Code]],Table29[],5,FALSE)</f>
        <v>Low-income</v>
      </c>
      <c r="Y1142" s="233" t="str">
        <f>VLOOKUP(Table3[[#This Row],[Country Code]],Table29[],6,FALSE)</f>
        <v>no</v>
      </c>
      <c r="Z1142" s="233" t="str">
        <f>VLOOKUP(Table3[[#This Row],[Country Code]],Table29[],7,FALSE)</f>
        <v>no</v>
      </c>
      <c r="AA1142" s="233" t="str">
        <f>VLOOKUP(Table3[[#This Row],[Country Code]],Table29[],8,FALSE)</f>
        <v>non-OECD</v>
      </c>
      <c r="AB1142" s="233" t="str">
        <f>VLOOKUP(Table3[[#This Row],[Country Code]],Table29[],9,FALSE)</f>
        <v>no</v>
      </c>
      <c r="AC1142" s="233" t="str">
        <f>VLOOKUP(Table3[[#This Row],[Country Code]],Table29[],10,FALSE)</f>
        <v>no</v>
      </c>
      <c r="AD1142" s="235">
        <f>VLOOKUP(Table3[[#This Row],[Country Code]],Table29[],23,FALSE)</f>
        <v>138.74157453583999</v>
      </c>
      <c r="AE1142" s="235">
        <f>VLOOKUP(Table3[[#This Row],[Country Code]],Table29[],24,FALSE)</f>
        <v>12.273351752549781</v>
      </c>
      <c r="AF1142" s="43"/>
    </row>
    <row r="1143" spans="1:32" ht="120" x14ac:dyDescent="0.25">
      <c r="A1143" s="368">
        <v>43764</v>
      </c>
      <c r="B1143" s="233" t="str">
        <f>VLOOKUP(Table3[[#This Row],[Document ID]],Table1[],2,FALSE)</f>
        <v>URY</v>
      </c>
      <c r="C1143" s="241" t="str">
        <f>VLOOKUP(Table3[[#This Row],[Document ID]],Table1[],3,FALSE)</f>
        <v>Uruguay</v>
      </c>
      <c r="D1143" s="241" t="str">
        <f>VLOOKUP(Table3[[#This Row],[Document ID]],Table1[],5,FALSE)</f>
        <v>NDC</v>
      </c>
      <c r="E1143" s="233" t="str">
        <f>VLOOKUP(Table3[[#This Row],[Document ID]],Table1[],7,FALSE)</f>
        <v>Third NDC</v>
      </c>
      <c r="F1143" s="233" t="str">
        <f>VLOOKUP(Table3[[#This Row],[Document ID]],Table1[],8,FALSE)</f>
        <v>NDC 3.0</v>
      </c>
      <c r="G1143" s="233" t="str">
        <f>VLOOKUP(Table3[[#This Row],[Document ID]],Table1[],10,FALSE)</f>
        <v>Active</v>
      </c>
      <c r="H1143" s="43" t="s">
        <v>1089</v>
      </c>
      <c r="I1143" s="43" t="s">
        <v>1089</v>
      </c>
      <c r="J1143" s="43" t="s">
        <v>1090</v>
      </c>
      <c r="K1143" s="43" t="s">
        <v>2237</v>
      </c>
      <c r="L1143" s="43" t="s">
        <v>1099</v>
      </c>
      <c r="M1143" s="209">
        <v>2035</v>
      </c>
      <c r="N1143" s="209" t="s">
        <v>2238</v>
      </c>
      <c r="O1143" s="258">
        <v>44</v>
      </c>
      <c r="P1143" s="241" t="str">
        <f>VLOOKUP(_xlfn.CONCAT(Table3[[#This Row],[Target area]],Table3[[#This Row],[GHG target?]],Table3[[#This Row],[Conditionality]]),'Drop down'!$E$81:$F$101,2,FALSE)</f>
        <v>T_Economy_Unc</v>
      </c>
      <c r="Q1143" s="233" t="str">
        <f>VLOOKUP(Table3[[#This Row],[Target type]],Table418[[Value name]:[Value idenifyer]],2,FALSE)</f>
        <v>T_BYI</v>
      </c>
      <c r="T1143" s="240"/>
      <c r="V1143" s="241" t="str">
        <f>VLOOKUP(Table3[[#This Row],[Country Code]],Table29[],3,FALSE)</f>
        <v>Non-Annex I</v>
      </c>
      <c r="W1143" s="233" t="str">
        <f>VLOOKUP(Table3[[#This Row],[Country Code]],Table29[],4,FALSE)</f>
        <v>Latin America and the Caribbean</v>
      </c>
      <c r="X1143" s="241" t="str">
        <f>VLOOKUP(Table3[[#This Row],[Country Code]],Table29[],5,FALSE)</f>
        <v>High-income</v>
      </c>
      <c r="Y1143" s="241" t="str">
        <f>VLOOKUP(Table3[[#This Row],[Country Code]],Table29[],6,FALSE)</f>
        <v>no</v>
      </c>
      <c r="Z1143" s="241" t="str">
        <f>VLOOKUP(Table3[[#This Row],[Country Code]],Table29[],7,FALSE)</f>
        <v>no</v>
      </c>
      <c r="AA1143" s="241" t="str">
        <f>VLOOKUP(Table3[[#This Row],[Country Code]],Table29[],8,FALSE)</f>
        <v>non-OECD</v>
      </c>
      <c r="AB1143" s="233" t="str">
        <f>VLOOKUP(Table3[[#This Row],[Country Code]],Table29[],9,FALSE)</f>
        <v>no</v>
      </c>
      <c r="AC1143" s="233" t="str">
        <f>VLOOKUP(Table3[[#This Row],[Country Code]],Table29[],10,FALSE)</f>
        <v>no</v>
      </c>
      <c r="AD1143" s="534">
        <f>VLOOKUP(Table3[[#This Row],[Country Code]],Table29[],23,FALSE)</f>
        <v>41.634111747759</v>
      </c>
      <c r="AE1143" s="534">
        <f>VLOOKUP(Table3[[#This Row],[Country Code]],Table29[],24,FALSE)</f>
        <v>4.0868158944276578</v>
      </c>
      <c r="AF1143" s="42"/>
    </row>
    <row r="1144" spans="1:32" x14ac:dyDescent="0.25">
      <c r="A1144" s="368">
        <v>43788</v>
      </c>
      <c r="B1144" s="233" t="str">
        <f>VLOOKUP(Table3[[#This Row],[Document ID]],Table1[],2,FALSE)</f>
        <v>TUR</v>
      </c>
      <c r="C1144" s="241" t="str">
        <f>VLOOKUP(Table3[[#This Row],[Document ID]],Table1[],3,FALSE)</f>
        <v>Türkiye</v>
      </c>
      <c r="D1144" s="241" t="str">
        <f>VLOOKUP(Table3[[#This Row],[Document ID]],Table1[],5,FALSE)</f>
        <v>LTS</v>
      </c>
      <c r="E1144" s="233" t="str">
        <f>VLOOKUP(Table3[[#This Row],[Document ID]],Table1[],7,FALSE)</f>
        <v>LTS</v>
      </c>
      <c r="F1144" s="233" t="str">
        <f>VLOOKUP(Table3[[#This Row],[Document ID]],Table1[],8,FALSE)</f>
        <v>LTS 1.0</v>
      </c>
      <c r="G1144" s="233" t="str">
        <f>VLOOKUP(Table3[[#This Row],[Document ID]],Table1[],10,FALSE)</f>
        <v>Active</v>
      </c>
      <c r="H1144" s="43" t="s">
        <v>1147</v>
      </c>
      <c r="I1144" s="43" t="s">
        <v>1089</v>
      </c>
      <c r="J1144" s="43" t="s">
        <v>1090</v>
      </c>
      <c r="K1144" s="43" t="s">
        <v>1121</v>
      </c>
      <c r="L1144" s="43" t="s">
        <v>1116</v>
      </c>
      <c r="M1144" s="209">
        <v>2053</v>
      </c>
      <c r="N1144" s="209" t="s">
        <v>2239</v>
      </c>
      <c r="O1144" s="258">
        <v>7</v>
      </c>
      <c r="P1144" s="241" t="str">
        <f>VLOOKUP(_xlfn.CONCAT(Table3[[#This Row],[Target area]],Table3[[#This Row],[GHG target?]],Table3[[#This Row],[Conditionality]]),'Drop down'!$E$81:$F$101,2,FALSE)</f>
        <v>T_Netzero</v>
      </c>
      <c r="Q1144" s="233" t="str">
        <f>VLOOKUP(Table3[[#This Row],[Target type]],Table418[[Value name]:[Value idenifyer]],2,FALSE)</f>
        <v>T_FL</v>
      </c>
      <c r="T1144" s="240"/>
      <c r="V1144" s="241" t="str">
        <f>VLOOKUP(Table3[[#This Row],[Country Code]],Table29[],3,FALSE)</f>
        <v>Annex I</v>
      </c>
      <c r="W1144" s="233" t="str">
        <f>VLOOKUP(Table3[[#This Row],[Country Code]],Table29[],4,FALSE)</f>
        <v>Asia</v>
      </c>
      <c r="X1144" s="241" t="str">
        <f>VLOOKUP(Table3[[#This Row],[Country Code]],Table29[],5,FALSE)</f>
        <v>Middle-income</v>
      </c>
      <c r="Y1144" s="241" t="str">
        <f>VLOOKUP(Table3[[#This Row],[Country Code]],Table29[],6,FALSE)</f>
        <v>G20</v>
      </c>
      <c r="Z1144" s="241" t="str">
        <f>VLOOKUP(Table3[[#This Row],[Country Code]],Table29[],7,FALSE)</f>
        <v>no</v>
      </c>
      <c r="AA1144" s="241" t="str">
        <f>VLOOKUP(Table3[[#This Row],[Country Code]],Table29[],8,FALSE)</f>
        <v>OECD</v>
      </c>
      <c r="AB1144" s="233" t="str">
        <f>VLOOKUP(Table3[[#This Row],[Country Code]],Table29[],9,FALSE)</f>
        <v>no</v>
      </c>
      <c r="AC1144" s="233" t="str">
        <f>VLOOKUP(Table3[[#This Row],[Country Code]],Table29[],10,FALSE)</f>
        <v>no</v>
      </c>
      <c r="AD1144" s="534">
        <f>VLOOKUP(Table3[[#This Row],[Country Code]],Table29[],23,FALSE)</f>
        <v>606.42985584790995</v>
      </c>
      <c r="AE1144" s="534">
        <f>VLOOKUP(Table3[[#This Row],[Country Code]],Table29[],24,FALSE)</f>
        <v>95.92080354160332</v>
      </c>
      <c r="AF1144" s="42"/>
    </row>
    <row r="1145" spans="1:32" ht="75" x14ac:dyDescent="0.25">
      <c r="A1145" s="368">
        <v>43788</v>
      </c>
      <c r="B1145" s="233" t="str">
        <f>VLOOKUP(Table3[[#This Row],[Document ID]],Table1[],2,FALSE)</f>
        <v>TUR</v>
      </c>
      <c r="C1145" s="233" t="str">
        <f>VLOOKUP(Table3[[#This Row],[Document ID]],Table1[],3,FALSE)</f>
        <v>Türkiye</v>
      </c>
      <c r="D1145" s="233" t="str">
        <f>VLOOKUP(Table3[[#This Row],[Document ID]],Table1[],5,FALSE)</f>
        <v>LTS</v>
      </c>
      <c r="E1145" s="233" t="str">
        <f>VLOOKUP(Table3[[#This Row],[Document ID]],Table1[],7,FALSE)</f>
        <v>LTS</v>
      </c>
      <c r="F1145" s="233" t="str">
        <f>VLOOKUP(Table3[[#This Row],[Document ID]],Table1[],8,FALSE)</f>
        <v>LTS 1.0</v>
      </c>
      <c r="G1145" s="233" t="str">
        <f>VLOOKUP(Table3[[#This Row],[Document ID]],Table1[],10,FALSE)</f>
        <v>Active</v>
      </c>
      <c r="H1145" s="43" t="s">
        <v>1095</v>
      </c>
      <c r="I1145" s="43" t="s">
        <v>1096</v>
      </c>
      <c r="J1145" s="43" t="s">
        <v>1097</v>
      </c>
      <c r="K1145" s="43" t="s">
        <v>1162</v>
      </c>
      <c r="L1145" s="43" t="s">
        <v>1116</v>
      </c>
      <c r="M1145" s="209">
        <v>2053</v>
      </c>
      <c r="N1145" s="44" t="s">
        <v>2240</v>
      </c>
      <c r="O1145" s="258">
        <v>36</v>
      </c>
      <c r="P1145" s="241" t="str">
        <f>VLOOKUP(_xlfn.CONCAT(Table3[[#This Row],[Target area]],Table3[[#This Row],[GHG target?]],Table3[[#This Row],[Conditionality]]),'Drop down'!$E$81:$F$101,2,FALSE)</f>
        <v>T_Transport_O</v>
      </c>
      <c r="Q1145" s="233" t="str">
        <f>VLOOKUP(Table3[[#This Row],[Target type]],Table418[[Value name]:[Value idenifyer]],2,FALSE)</f>
        <v>T_O_INFRA</v>
      </c>
      <c r="V1145" s="233" t="str">
        <f>VLOOKUP(Table3[[#This Row],[Country Code]],Table29[],3,FALSE)</f>
        <v>Annex I</v>
      </c>
      <c r="W1145" s="233" t="str">
        <f>VLOOKUP(Table3[[#This Row],[Country Code]],Table29[],4,FALSE)</f>
        <v>Asia</v>
      </c>
      <c r="X1145" s="233" t="str">
        <f>VLOOKUP(Table3[[#This Row],[Country Code]],Table29[],5,FALSE)</f>
        <v>Middle-income</v>
      </c>
      <c r="Y1145" s="233" t="str">
        <f>VLOOKUP(Table3[[#This Row],[Country Code]],Table29[],6,FALSE)</f>
        <v>G20</v>
      </c>
      <c r="Z1145" s="233" t="str">
        <f>VLOOKUP(Table3[[#This Row],[Country Code]],Table29[],7,FALSE)</f>
        <v>no</v>
      </c>
      <c r="AA1145" s="233" t="str">
        <f>VLOOKUP(Table3[[#This Row],[Country Code]],Table29[],8,FALSE)</f>
        <v>OECD</v>
      </c>
      <c r="AB1145" s="233" t="str">
        <f>VLOOKUP(Table3[[#This Row],[Country Code]],Table29[],9,FALSE)</f>
        <v>no</v>
      </c>
      <c r="AC1145" s="233" t="str">
        <f>VLOOKUP(Table3[[#This Row],[Country Code]],Table29[],10,FALSE)</f>
        <v>no</v>
      </c>
      <c r="AD1145" s="235">
        <f>VLOOKUP(Table3[[#This Row],[Country Code]],Table29[],23,FALSE)</f>
        <v>606.42985584790995</v>
      </c>
      <c r="AE1145" s="235">
        <f>VLOOKUP(Table3[[#This Row],[Country Code]],Table29[],24,FALSE)</f>
        <v>95.92080354160332</v>
      </c>
      <c r="AF1145" s="43"/>
    </row>
    <row r="1146" spans="1:32" ht="30" x14ac:dyDescent="0.25">
      <c r="A1146" s="368">
        <v>43788</v>
      </c>
      <c r="B1146" s="233" t="str">
        <f>VLOOKUP(Table3[[#This Row],[Document ID]],Table1[],2,FALSE)</f>
        <v>TUR</v>
      </c>
      <c r="C1146" s="233" t="str">
        <f>VLOOKUP(Table3[[#This Row],[Document ID]],Table1[],3,FALSE)</f>
        <v>Türkiye</v>
      </c>
      <c r="D1146" s="233" t="str">
        <f>VLOOKUP(Table3[[#This Row],[Document ID]],Table1[],5,FALSE)</f>
        <v>LTS</v>
      </c>
      <c r="E1146" s="233" t="str">
        <f>VLOOKUP(Table3[[#This Row],[Document ID]],Table1[],7,FALSE)</f>
        <v>LTS</v>
      </c>
      <c r="F1146" s="233" t="str">
        <f>VLOOKUP(Table3[[#This Row],[Document ID]],Table1[],8,FALSE)</f>
        <v>LTS 1.0</v>
      </c>
      <c r="G1146" s="233" t="str">
        <f>VLOOKUP(Table3[[#This Row],[Document ID]],Table1[],10,FALSE)</f>
        <v>Active</v>
      </c>
      <c r="H1146" s="43" t="s">
        <v>1095</v>
      </c>
      <c r="I1146" s="43" t="s">
        <v>1096</v>
      </c>
      <c r="J1146" s="43" t="s">
        <v>1097</v>
      </c>
      <c r="K1146" s="43" t="s">
        <v>1162</v>
      </c>
      <c r="L1146" s="43" t="s">
        <v>1116</v>
      </c>
      <c r="M1146" s="209">
        <v>2053</v>
      </c>
      <c r="N1146" s="44" t="s">
        <v>2241</v>
      </c>
      <c r="O1146" s="258">
        <v>36</v>
      </c>
      <c r="P1146" s="241" t="str">
        <f>VLOOKUP(_xlfn.CONCAT(Table3[[#This Row],[Target area]],Table3[[#This Row],[GHG target?]],Table3[[#This Row],[Conditionality]]),'Drop down'!$E$81:$F$101,2,FALSE)</f>
        <v>T_Transport_O</v>
      </c>
      <c r="Q1146" s="233" t="str">
        <f>VLOOKUP(Table3[[#This Row],[Target type]],Table418[[Value name]:[Value idenifyer]],2,FALSE)</f>
        <v>T_O_INFRA</v>
      </c>
      <c r="V1146" s="233" t="str">
        <f>VLOOKUP(Table3[[#This Row],[Country Code]],Table29[],3,FALSE)</f>
        <v>Annex I</v>
      </c>
      <c r="W1146" s="233" t="str">
        <f>VLOOKUP(Table3[[#This Row],[Country Code]],Table29[],4,FALSE)</f>
        <v>Asia</v>
      </c>
      <c r="X1146" s="233" t="str">
        <f>VLOOKUP(Table3[[#This Row],[Country Code]],Table29[],5,FALSE)</f>
        <v>Middle-income</v>
      </c>
      <c r="Y1146" s="233" t="str">
        <f>VLOOKUP(Table3[[#This Row],[Country Code]],Table29[],6,FALSE)</f>
        <v>G20</v>
      </c>
      <c r="Z1146" s="233" t="str">
        <f>VLOOKUP(Table3[[#This Row],[Country Code]],Table29[],7,FALSE)</f>
        <v>no</v>
      </c>
      <c r="AA1146" s="233" t="str">
        <f>VLOOKUP(Table3[[#This Row],[Country Code]],Table29[],8,FALSE)</f>
        <v>OECD</v>
      </c>
      <c r="AB1146" s="233" t="str">
        <f>VLOOKUP(Table3[[#This Row],[Country Code]],Table29[],9,FALSE)</f>
        <v>no</v>
      </c>
      <c r="AC1146" s="233" t="str">
        <f>VLOOKUP(Table3[[#This Row],[Country Code]],Table29[],10,FALSE)</f>
        <v>no</v>
      </c>
      <c r="AD1146" s="235">
        <f>VLOOKUP(Table3[[#This Row],[Country Code]],Table29[],23,FALSE)</f>
        <v>606.42985584790995</v>
      </c>
      <c r="AE1146" s="235">
        <f>VLOOKUP(Table3[[#This Row],[Country Code]],Table29[],24,FALSE)</f>
        <v>95.92080354160332</v>
      </c>
      <c r="AF1146" s="43"/>
    </row>
    <row r="1147" spans="1:32" ht="90" x14ac:dyDescent="0.25">
      <c r="A1147" s="368">
        <v>43788</v>
      </c>
      <c r="B1147" s="233" t="str">
        <f>VLOOKUP(Table3[[#This Row],[Document ID]],Table1[],2,FALSE)</f>
        <v>TUR</v>
      </c>
      <c r="C1147" s="233" t="str">
        <f>VLOOKUP(Table3[[#This Row],[Document ID]],Table1[],3,FALSE)</f>
        <v>Türkiye</v>
      </c>
      <c r="D1147" s="233" t="str">
        <f>VLOOKUP(Table3[[#This Row],[Document ID]],Table1[],5,FALSE)</f>
        <v>LTS</v>
      </c>
      <c r="E1147" s="233" t="str">
        <f>VLOOKUP(Table3[[#This Row],[Document ID]],Table1[],7,FALSE)</f>
        <v>LTS</v>
      </c>
      <c r="F1147" s="233" t="str">
        <f>VLOOKUP(Table3[[#This Row],[Document ID]],Table1[],8,FALSE)</f>
        <v>LTS 1.0</v>
      </c>
      <c r="G1147" s="233" t="str">
        <f>VLOOKUP(Table3[[#This Row],[Document ID]],Table1[],10,FALSE)</f>
        <v>Active</v>
      </c>
      <c r="H1147" s="43" t="s">
        <v>1095</v>
      </c>
      <c r="I1147" s="43" t="s">
        <v>1096</v>
      </c>
      <c r="J1147" s="43" t="s">
        <v>1097</v>
      </c>
      <c r="K1147" s="43" t="s">
        <v>1104</v>
      </c>
      <c r="L1147" s="43" t="s">
        <v>1099</v>
      </c>
      <c r="M1147" s="209">
        <v>2053</v>
      </c>
      <c r="N1147" s="44" t="s">
        <v>2242</v>
      </c>
      <c r="O1147" s="258">
        <v>37</v>
      </c>
      <c r="P1147" s="241" t="str">
        <f>VLOOKUP(_xlfn.CONCAT(Table3[[#This Row],[Target area]],Table3[[#This Row],[GHG target?]],Table3[[#This Row],[Conditionality]]),'Drop down'!$E$81:$F$101,2,FALSE)</f>
        <v>T_Transport_O_Unc</v>
      </c>
      <c r="Q1147" s="233" t="str">
        <f>VLOOKUP(Table3[[#This Row],[Target type]],Table418[[Value name]:[Value idenifyer]],2,FALSE)</f>
        <v>T_O_ZERO</v>
      </c>
      <c r="V1147" s="233" t="str">
        <f>VLOOKUP(Table3[[#This Row],[Country Code]],Table29[],3,FALSE)</f>
        <v>Annex I</v>
      </c>
      <c r="W1147" s="233" t="str">
        <f>VLOOKUP(Table3[[#This Row],[Country Code]],Table29[],4,FALSE)</f>
        <v>Asia</v>
      </c>
      <c r="X1147" s="233" t="str">
        <f>VLOOKUP(Table3[[#This Row],[Country Code]],Table29[],5,FALSE)</f>
        <v>Middle-income</v>
      </c>
      <c r="Y1147" s="233" t="str">
        <f>VLOOKUP(Table3[[#This Row],[Country Code]],Table29[],6,FALSE)</f>
        <v>G20</v>
      </c>
      <c r="Z1147" s="233" t="str">
        <f>VLOOKUP(Table3[[#This Row],[Country Code]],Table29[],7,FALSE)</f>
        <v>no</v>
      </c>
      <c r="AA1147" s="233" t="str">
        <f>VLOOKUP(Table3[[#This Row],[Country Code]],Table29[],8,FALSE)</f>
        <v>OECD</v>
      </c>
      <c r="AB1147" s="233" t="str">
        <f>VLOOKUP(Table3[[#This Row],[Country Code]],Table29[],9,FALSE)</f>
        <v>no</v>
      </c>
      <c r="AC1147" s="233" t="str">
        <f>VLOOKUP(Table3[[#This Row],[Country Code]],Table29[],10,FALSE)</f>
        <v>no</v>
      </c>
      <c r="AD1147" s="235">
        <f>VLOOKUP(Table3[[#This Row],[Country Code]],Table29[],23,FALSE)</f>
        <v>606.42985584790995</v>
      </c>
      <c r="AE1147" s="235">
        <f>VLOOKUP(Table3[[#This Row],[Country Code]],Table29[],24,FALSE)</f>
        <v>95.92080354160332</v>
      </c>
      <c r="AF1147" s="43"/>
    </row>
    <row r="1148" spans="1:32" x14ac:dyDescent="0.25">
      <c r="A1148" s="368">
        <v>43788</v>
      </c>
      <c r="B1148" s="233" t="str">
        <f>VLOOKUP(Table3[[#This Row],[Document ID]],Table1[],2,FALSE)</f>
        <v>TUR</v>
      </c>
      <c r="C1148" s="233" t="str">
        <f>VLOOKUP(Table3[[#This Row],[Document ID]],Table1[],3,FALSE)</f>
        <v>Türkiye</v>
      </c>
      <c r="D1148" s="233" t="str">
        <f>VLOOKUP(Table3[[#This Row],[Document ID]],Table1[],5,FALSE)</f>
        <v>LTS</v>
      </c>
      <c r="E1148" s="233" t="str">
        <f>VLOOKUP(Table3[[#This Row],[Document ID]],Table1[],7,FALSE)</f>
        <v>LTS</v>
      </c>
      <c r="F1148" s="233" t="str">
        <f>VLOOKUP(Table3[[#This Row],[Document ID]],Table1[],8,FALSE)</f>
        <v>LTS 1.0</v>
      </c>
      <c r="G1148" s="233" t="str">
        <f>VLOOKUP(Table3[[#This Row],[Document ID]],Table1[],10,FALSE)</f>
        <v>Active</v>
      </c>
      <c r="H1148" s="43" t="s">
        <v>1095</v>
      </c>
      <c r="I1148" s="43" t="s">
        <v>1096</v>
      </c>
      <c r="J1148" s="43" t="s">
        <v>1097</v>
      </c>
      <c r="K1148" s="43" t="s">
        <v>1098</v>
      </c>
      <c r="L1148" s="43" t="s">
        <v>1099</v>
      </c>
      <c r="M1148" s="209">
        <v>2053</v>
      </c>
      <c r="N1148" s="44" t="s">
        <v>2243</v>
      </c>
      <c r="O1148" s="258">
        <v>88</v>
      </c>
      <c r="P1148" s="241" t="str">
        <f>VLOOKUP(_xlfn.CONCAT(Table3[[#This Row],[Target area]],Table3[[#This Row],[GHG target?]],Table3[[#This Row],[Conditionality]]),'Drop down'!$E$81:$F$101,2,FALSE)</f>
        <v>T_Transport_O_Unc</v>
      </c>
      <c r="Q1148" s="233" t="str">
        <f>VLOOKUP(Table3[[#This Row],[Target type]],Table418[[Value name]:[Value idenifyer]],2,FALSE)</f>
        <v>T_O_MODE</v>
      </c>
      <c r="V1148" s="233" t="str">
        <f>VLOOKUP(Table3[[#This Row],[Country Code]],Table29[],3,FALSE)</f>
        <v>Annex I</v>
      </c>
      <c r="W1148" s="233" t="str">
        <f>VLOOKUP(Table3[[#This Row],[Country Code]],Table29[],4,FALSE)</f>
        <v>Asia</v>
      </c>
      <c r="X1148" s="233" t="str">
        <f>VLOOKUP(Table3[[#This Row],[Country Code]],Table29[],5,FALSE)</f>
        <v>Middle-income</v>
      </c>
      <c r="Y1148" s="233" t="str">
        <f>VLOOKUP(Table3[[#This Row],[Country Code]],Table29[],6,FALSE)</f>
        <v>G20</v>
      </c>
      <c r="Z1148" s="233" t="str">
        <f>VLOOKUP(Table3[[#This Row],[Country Code]],Table29[],7,FALSE)</f>
        <v>no</v>
      </c>
      <c r="AA1148" s="233" t="str">
        <f>VLOOKUP(Table3[[#This Row],[Country Code]],Table29[],8,FALSE)</f>
        <v>OECD</v>
      </c>
      <c r="AB1148" s="233" t="str">
        <f>VLOOKUP(Table3[[#This Row],[Country Code]],Table29[],9,FALSE)</f>
        <v>no</v>
      </c>
      <c r="AC1148" s="233" t="str">
        <f>VLOOKUP(Table3[[#This Row],[Country Code]],Table29[],10,FALSE)</f>
        <v>no</v>
      </c>
      <c r="AD1148" s="235">
        <f>VLOOKUP(Table3[[#This Row],[Country Code]],Table29[],23,FALSE)</f>
        <v>606.42985584790995</v>
      </c>
      <c r="AE1148" s="235">
        <f>VLOOKUP(Table3[[#This Row],[Country Code]],Table29[],24,FALSE)</f>
        <v>95.92080354160332</v>
      </c>
      <c r="AF1148" s="43"/>
    </row>
    <row r="1149" spans="1:32" ht="30" x14ac:dyDescent="0.25">
      <c r="A1149" s="368">
        <v>43846</v>
      </c>
      <c r="B1149" s="233" t="str">
        <f>VLOOKUP(Table3[[#This Row],[Document ID]],Table1[],2,FALSE)</f>
        <v>PAN</v>
      </c>
      <c r="C1149" s="241" t="str">
        <f>VLOOKUP(Table3[[#This Row],[Document ID]],Table1[],3,FALSE)</f>
        <v>Panama</v>
      </c>
      <c r="D1149" s="241" t="str">
        <f>VLOOKUP(Table3[[#This Row],[Document ID]],Table1[],5,FALSE)</f>
        <v>LTS</v>
      </c>
      <c r="E1149" s="233" t="str">
        <f>VLOOKUP(Table3[[#This Row],[Document ID]],Table1[],7,FALSE)</f>
        <v>LTS</v>
      </c>
      <c r="F1149" s="233" t="str">
        <f>VLOOKUP(Table3[[#This Row],[Document ID]],Table1[],8,FALSE)</f>
        <v>LTS 1.0</v>
      </c>
      <c r="G1149" s="233" t="str">
        <f>VLOOKUP(Table3[[#This Row],[Document ID]],Table1[],10,FALSE)</f>
        <v>Active</v>
      </c>
      <c r="H1149" s="43" t="s">
        <v>1095</v>
      </c>
      <c r="I1149" s="43" t="s">
        <v>1096</v>
      </c>
      <c r="J1149" s="43" t="s">
        <v>1097</v>
      </c>
      <c r="K1149" s="43" t="s">
        <v>1175</v>
      </c>
      <c r="L1149" s="43" t="s">
        <v>1099</v>
      </c>
      <c r="M1149" s="209">
        <v>2050</v>
      </c>
      <c r="N1149" s="209" t="s">
        <v>2244</v>
      </c>
      <c r="O1149" s="258">
        <v>90</v>
      </c>
      <c r="P1149" s="241" t="str">
        <f>VLOOKUP(_xlfn.CONCAT(Table3[[#This Row],[Target area]],Table3[[#This Row],[GHG target?]],Table3[[#This Row],[Conditionality]]),'Drop down'!$E$81:$F$101,2,FALSE)</f>
        <v>T_Transport_O_Unc</v>
      </c>
      <c r="Q1149" s="233" t="str">
        <f>VLOOKUP(Table3[[#This Row],[Target type]],Table418[[Value name]:[Value idenifyer]],2,FALSE)</f>
        <v>T_O_AVOID</v>
      </c>
      <c r="T1149" s="240"/>
      <c r="V1149" s="241" t="str">
        <f>VLOOKUP(Table3[[#This Row],[Country Code]],Table29[],3,FALSE)</f>
        <v>Non-Annex I</v>
      </c>
      <c r="W1149" s="233" t="str">
        <f>VLOOKUP(Table3[[#This Row],[Country Code]],Table29[],4,FALSE)</f>
        <v>Latin America and the Caribbean</v>
      </c>
      <c r="X1149" s="241" t="str">
        <f>VLOOKUP(Table3[[#This Row],[Country Code]],Table29[],5,FALSE)</f>
        <v>Middle-income</v>
      </c>
      <c r="Y1149" s="241" t="str">
        <f>VLOOKUP(Table3[[#This Row],[Country Code]],Table29[],6,FALSE)</f>
        <v>no</v>
      </c>
      <c r="Z1149" s="241" t="str">
        <f>VLOOKUP(Table3[[#This Row],[Country Code]],Table29[],7,FALSE)</f>
        <v>no</v>
      </c>
      <c r="AA1149" s="241" t="str">
        <f>VLOOKUP(Table3[[#This Row],[Country Code]],Table29[],8,FALSE)</f>
        <v>non-OECD</v>
      </c>
      <c r="AB1149" s="233" t="str">
        <f>VLOOKUP(Table3[[#This Row],[Country Code]],Table29[],9,FALSE)</f>
        <v>no</v>
      </c>
      <c r="AC1149" s="233" t="str">
        <f>VLOOKUP(Table3[[#This Row],[Country Code]],Table29[],10,FALSE)</f>
        <v>no</v>
      </c>
      <c r="AD1149" s="534">
        <f>VLOOKUP(Table3[[#This Row],[Country Code]],Table29[],23,FALSE)</f>
        <v>21.281689073780999</v>
      </c>
      <c r="AE1149" s="534">
        <f>VLOOKUP(Table3[[#This Row],[Country Code]],Table29[],24,FALSE)</f>
        <v>5.7357943404010889</v>
      </c>
      <c r="AF1149" s="42"/>
    </row>
    <row r="1150" spans="1:32" ht="30" x14ac:dyDescent="0.25">
      <c r="A1150" s="368">
        <v>43846</v>
      </c>
      <c r="B1150" s="233" t="str">
        <f>VLOOKUP(Table3[[#This Row],[Document ID]],Table1[],2,FALSE)</f>
        <v>PAN</v>
      </c>
      <c r="C1150" s="241" t="str">
        <f>VLOOKUP(Table3[[#This Row],[Document ID]],Table1[],3,FALSE)</f>
        <v>Panama</v>
      </c>
      <c r="D1150" s="241" t="str">
        <f>VLOOKUP(Table3[[#This Row],[Document ID]],Table1[],5,FALSE)</f>
        <v>LTS</v>
      </c>
      <c r="E1150" s="233" t="str">
        <f>VLOOKUP(Table3[[#This Row],[Document ID]],Table1[],7,FALSE)</f>
        <v>LTS</v>
      </c>
      <c r="F1150" s="233" t="str">
        <f>VLOOKUP(Table3[[#This Row],[Document ID]],Table1[],8,FALSE)</f>
        <v>LTS 1.0</v>
      </c>
      <c r="G1150" s="233" t="str">
        <f>VLOOKUP(Table3[[#This Row],[Document ID]],Table1[],10,FALSE)</f>
        <v>Active</v>
      </c>
      <c r="H1150" s="43" t="s">
        <v>1095</v>
      </c>
      <c r="I1150" s="43" t="s">
        <v>1096</v>
      </c>
      <c r="J1150" s="43" t="s">
        <v>1097</v>
      </c>
      <c r="K1150" s="43" t="s">
        <v>1175</v>
      </c>
      <c r="L1150" s="43" t="s">
        <v>1099</v>
      </c>
      <c r="M1150" s="209">
        <v>2050</v>
      </c>
      <c r="N1150" s="209" t="s">
        <v>2245</v>
      </c>
      <c r="O1150" s="258">
        <v>91</v>
      </c>
      <c r="P1150" s="241" t="str">
        <f>VLOOKUP(_xlfn.CONCAT(Table3[[#This Row],[Target area]],Table3[[#This Row],[GHG target?]],Table3[[#This Row],[Conditionality]]),'Drop down'!$E$81:$F$101,2,FALSE)</f>
        <v>T_Transport_O_Unc</v>
      </c>
      <c r="Q1150" s="233" t="str">
        <f>VLOOKUP(Table3[[#This Row],[Target type]],Table418[[Value name]:[Value idenifyer]],2,FALSE)</f>
        <v>T_O_AVOID</v>
      </c>
      <c r="T1150" s="240"/>
      <c r="V1150" s="241" t="str">
        <f>VLOOKUP(Table3[[#This Row],[Country Code]],Table29[],3,FALSE)</f>
        <v>Non-Annex I</v>
      </c>
      <c r="W1150" s="233" t="str">
        <f>VLOOKUP(Table3[[#This Row],[Country Code]],Table29[],4,FALSE)</f>
        <v>Latin America and the Caribbean</v>
      </c>
      <c r="X1150" s="241" t="str">
        <f>VLOOKUP(Table3[[#This Row],[Country Code]],Table29[],5,FALSE)</f>
        <v>Middle-income</v>
      </c>
      <c r="Y1150" s="241" t="str">
        <f>VLOOKUP(Table3[[#This Row],[Country Code]],Table29[],6,FALSE)</f>
        <v>no</v>
      </c>
      <c r="Z1150" s="241" t="str">
        <f>VLOOKUP(Table3[[#This Row],[Country Code]],Table29[],7,FALSE)</f>
        <v>no</v>
      </c>
      <c r="AA1150" s="241" t="str">
        <f>VLOOKUP(Table3[[#This Row],[Country Code]],Table29[],8,FALSE)</f>
        <v>non-OECD</v>
      </c>
      <c r="AB1150" s="233" t="str">
        <f>VLOOKUP(Table3[[#This Row],[Country Code]],Table29[],9,FALSE)</f>
        <v>no</v>
      </c>
      <c r="AC1150" s="233" t="str">
        <f>VLOOKUP(Table3[[#This Row],[Country Code]],Table29[],10,FALSE)</f>
        <v>no</v>
      </c>
      <c r="AD1150" s="534">
        <f>VLOOKUP(Table3[[#This Row],[Country Code]],Table29[],23,FALSE)</f>
        <v>21.281689073780999</v>
      </c>
      <c r="AE1150" s="534">
        <f>VLOOKUP(Table3[[#This Row],[Country Code]],Table29[],24,FALSE)</f>
        <v>5.7357943404010889</v>
      </c>
      <c r="AF1150" s="42"/>
    </row>
    <row r="1151" spans="1:32" x14ac:dyDescent="0.25">
      <c r="A1151" s="360">
        <v>43855</v>
      </c>
      <c r="B1151" s="233" t="str">
        <f>VLOOKUP(Table3[[#This Row],[Document ID]],Table1[],2,FALSE)</f>
        <v>IRL</v>
      </c>
      <c r="C1151" s="233" t="str">
        <f>VLOOKUP(Table3[[#This Row],[Document ID]],Table1[],3,FALSE)</f>
        <v>Ireland</v>
      </c>
      <c r="D1151" s="233" t="str">
        <f>VLOOKUP(Table3[[#This Row],[Document ID]],Table1[],5,FALSE)</f>
        <v>LTS</v>
      </c>
      <c r="E1151" s="233" t="str">
        <f>VLOOKUP(Table3[[#This Row],[Document ID]],Table1[],7,FALSE)</f>
        <v>LTS</v>
      </c>
      <c r="F1151" s="233" t="str">
        <f>VLOOKUP(Table3[[#This Row],[Document ID]],Table1[],8,FALSE)</f>
        <v>LTS 1.1</v>
      </c>
      <c r="G1151" s="233" t="str">
        <f>VLOOKUP(Table3[[#This Row],[Document ID]],Table1[],10,FALSE)</f>
        <v>Active</v>
      </c>
      <c r="H1151" s="43" t="s">
        <v>1089</v>
      </c>
      <c r="I1151" s="43" t="s">
        <v>1089</v>
      </c>
      <c r="J1151" s="43" t="s">
        <v>1090</v>
      </c>
      <c r="K1151" s="43" t="s">
        <v>1153</v>
      </c>
      <c r="L1151" s="43" t="s">
        <v>1116</v>
      </c>
      <c r="M1151" s="209">
        <v>2030</v>
      </c>
      <c r="N1151" s="44" t="s">
        <v>2246</v>
      </c>
      <c r="O1151" s="258">
        <v>2</v>
      </c>
      <c r="P1151" s="241" t="str">
        <f>VLOOKUP(_xlfn.CONCAT(Table3[[#This Row],[Target area]],Table3[[#This Row],[GHG target?]],Table3[[#This Row],[Conditionality]]),'Drop down'!$E$81:$F$101,2,FALSE)</f>
        <v>T_Economy</v>
      </c>
      <c r="Q1151" s="233" t="str">
        <f>VLOOKUP(Table3[[#This Row],[Target type]],Table418[[Value name]:[Value idenifyer]],2,FALSE)</f>
        <v>T_BYE</v>
      </c>
      <c r="V1151" s="233" t="str">
        <f>VLOOKUP(Table3[[#This Row],[Country Code]],Table29[],3,FALSE)</f>
        <v>Annex I</v>
      </c>
      <c r="W1151" s="233" t="str">
        <f>VLOOKUP(Table3[[#This Row],[Country Code]],Table29[],4,FALSE)</f>
        <v>Europe</v>
      </c>
      <c r="X1151" s="233" t="str">
        <f>VLOOKUP(Table3[[#This Row],[Country Code]],Table29[],5,FALSE)</f>
        <v>High-income</v>
      </c>
      <c r="Y1151" s="233" t="str">
        <f>VLOOKUP(Table3[[#This Row],[Country Code]],Table29[],6,FALSE)</f>
        <v>no</v>
      </c>
      <c r="Z1151" s="233" t="str">
        <f>VLOOKUP(Table3[[#This Row],[Country Code]],Table29[],7,FALSE)</f>
        <v>no</v>
      </c>
      <c r="AA1151" s="233" t="str">
        <f>VLOOKUP(Table3[[#This Row],[Country Code]],Table29[],8,FALSE)</f>
        <v>OECD</v>
      </c>
      <c r="AB1151" s="233" t="str">
        <f>VLOOKUP(Table3[[#This Row],[Country Code]],Table29[],9,FALSE)</f>
        <v>EU27</v>
      </c>
      <c r="AC1151" s="233" t="str">
        <f>VLOOKUP(Table3[[#This Row],[Country Code]],Table29[],10,FALSE)</f>
        <v>no</v>
      </c>
      <c r="AD1151" s="235">
        <f>VLOOKUP(Table3[[#This Row],[Country Code]],Table29[],23,FALSE)</f>
        <v>57.853266947361</v>
      </c>
      <c r="AE1151" s="235">
        <f>VLOOKUP(Table3[[#This Row],[Country Code]],Table29[],24,FALSE)</f>
        <v>11.23875075000765</v>
      </c>
      <c r="AF1151" s="43"/>
    </row>
    <row r="1152" spans="1:32" x14ac:dyDescent="0.25">
      <c r="A1152" s="360">
        <v>43855</v>
      </c>
      <c r="B1152" s="233" t="str">
        <f>VLOOKUP(Table3[[#This Row],[Document ID]],Table1[],2,FALSE)</f>
        <v>IRL</v>
      </c>
      <c r="C1152" s="233" t="str">
        <f>VLOOKUP(Table3[[#This Row],[Document ID]],Table1[],3,FALSE)</f>
        <v>Ireland</v>
      </c>
      <c r="D1152" s="233" t="str">
        <f>VLOOKUP(Table3[[#This Row],[Document ID]],Table1[],5,FALSE)</f>
        <v>LTS</v>
      </c>
      <c r="E1152" s="233" t="str">
        <f>VLOOKUP(Table3[[#This Row],[Document ID]],Table1[],7,FALSE)</f>
        <v>LTS</v>
      </c>
      <c r="F1152" s="233" t="str">
        <f>VLOOKUP(Table3[[#This Row],[Document ID]],Table1[],8,FALSE)</f>
        <v>LTS 1.1</v>
      </c>
      <c r="G1152" s="233" t="str">
        <f>VLOOKUP(Table3[[#This Row],[Document ID]],Table1[],10,FALSE)</f>
        <v>Active</v>
      </c>
      <c r="H1152" s="43" t="s">
        <v>1147</v>
      </c>
      <c r="I1152" s="43" t="s">
        <v>1089</v>
      </c>
      <c r="J1152" s="43" t="s">
        <v>1097</v>
      </c>
      <c r="K1152" s="43" t="s">
        <v>1121</v>
      </c>
      <c r="L1152" s="43" t="s">
        <v>1116</v>
      </c>
      <c r="M1152" s="209">
        <v>2050</v>
      </c>
      <c r="N1152" s="44" t="s">
        <v>2247</v>
      </c>
      <c r="O1152" s="258">
        <v>17</v>
      </c>
      <c r="P1152" s="241" t="e">
        <f>VLOOKUP(_xlfn.CONCAT(Table3[[#This Row],[Target area]],Table3[[#This Row],[GHG target?]],Table3[[#This Row],[Conditionality]]),'Drop down'!$E$81:$F$101,2,FALSE)</f>
        <v>#N/A</v>
      </c>
      <c r="Q1152" s="233" t="str">
        <f>VLOOKUP(Table3[[#This Row],[Target type]],Table418[[Value name]:[Value idenifyer]],2,FALSE)</f>
        <v>T_FL</v>
      </c>
      <c r="V1152" s="233" t="str">
        <f>VLOOKUP(Table3[[#This Row],[Country Code]],Table29[],3,FALSE)</f>
        <v>Annex I</v>
      </c>
      <c r="W1152" s="233" t="str">
        <f>VLOOKUP(Table3[[#This Row],[Country Code]],Table29[],4,FALSE)</f>
        <v>Europe</v>
      </c>
      <c r="X1152" s="233" t="str">
        <f>VLOOKUP(Table3[[#This Row],[Country Code]],Table29[],5,FALSE)</f>
        <v>High-income</v>
      </c>
      <c r="Y1152" s="233" t="str">
        <f>VLOOKUP(Table3[[#This Row],[Country Code]],Table29[],6,FALSE)</f>
        <v>no</v>
      </c>
      <c r="Z1152" s="233" t="str">
        <f>VLOOKUP(Table3[[#This Row],[Country Code]],Table29[],7,FALSE)</f>
        <v>no</v>
      </c>
      <c r="AA1152" s="233" t="str">
        <f>VLOOKUP(Table3[[#This Row],[Country Code]],Table29[],8,FALSE)</f>
        <v>OECD</v>
      </c>
      <c r="AB1152" s="233" t="str">
        <f>VLOOKUP(Table3[[#This Row],[Country Code]],Table29[],9,FALSE)</f>
        <v>EU27</v>
      </c>
      <c r="AC1152" s="233" t="str">
        <f>VLOOKUP(Table3[[#This Row],[Country Code]],Table29[],10,FALSE)</f>
        <v>no</v>
      </c>
      <c r="AD1152" s="235">
        <f>VLOOKUP(Table3[[#This Row],[Country Code]],Table29[],23,FALSE)</f>
        <v>57.853266947361</v>
      </c>
      <c r="AE1152" s="235">
        <f>VLOOKUP(Table3[[#This Row],[Country Code]],Table29[],24,FALSE)</f>
        <v>11.23875075000765</v>
      </c>
      <c r="AF1152" s="43"/>
    </row>
    <row r="1153" spans="1:32" ht="45" x14ac:dyDescent="0.25">
      <c r="A1153" s="360">
        <v>43855</v>
      </c>
      <c r="B1153" s="233" t="str">
        <f>VLOOKUP(Table3[[#This Row],[Document ID]],Table1[],2,FALSE)</f>
        <v>IRL</v>
      </c>
      <c r="C1153" s="233" t="str">
        <f>VLOOKUP(Table3[[#This Row],[Document ID]],Table1[],3,FALSE)</f>
        <v>Ireland</v>
      </c>
      <c r="D1153" s="233" t="str">
        <f>VLOOKUP(Table3[[#This Row],[Document ID]],Table1[],5,FALSE)</f>
        <v>LTS</v>
      </c>
      <c r="E1153" s="233" t="str">
        <f>VLOOKUP(Table3[[#This Row],[Document ID]],Table1[],7,FALSE)</f>
        <v>LTS</v>
      </c>
      <c r="F1153" s="233" t="str">
        <f>VLOOKUP(Table3[[#This Row],[Document ID]],Table1[],8,FALSE)</f>
        <v>LTS 1.1</v>
      </c>
      <c r="G1153" s="233" t="str">
        <f>VLOOKUP(Table3[[#This Row],[Document ID]],Table1[],10,FALSE)</f>
        <v>Active</v>
      </c>
      <c r="H1153" s="43" t="s">
        <v>1095</v>
      </c>
      <c r="I1153" s="43" t="s">
        <v>1115</v>
      </c>
      <c r="J1153" s="43" t="s">
        <v>1090</v>
      </c>
      <c r="K1153" s="43" t="s">
        <v>1153</v>
      </c>
      <c r="L1153" s="43" t="s">
        <v>1116</v>
      </c>
      <c r="M1153" s="209">
        <v>2030</v>
      </c>
      <c r="N1153" s="44" t="s">
        <v>2248</v>
      </c>
      <c r="O1153" s="258" t="s">
        <v>2249</v>
      </c>
      <c r="P1153" s="241" t="str">
        <f>VLOOKUP(_xlfn.CONCAT(Table3[[#This Row],[Target area]],Table3[[#This Row],[GHG target?]],Table3[[#This Row],[Conditionality]]),'Drop down'!$E$81:$F$101,2,FALSE)</f>
        <v>T_Transport</v>
      </c>
      <c r="Q1153" s="233" t="str">
        <f>VLOOKUP(Table3[[#This Row],[Target type]],Table418[[Value name]:[Value idenifyer]],2,FALSE)</f>
        <v>T_BYE</v>
      </c>
      <c r="V1153" s="233" t="str">
        <f>VLOOKUP(Table3[[#This Row],[Country Code]],Table29[],3,FALSE)</f>
        <v>Annex I</v>
      </c>
      <c r="W1153" s="233" t="str">
        <f>VLOOKUP(Table3[[#This Row],[Country Code]],Table29[],4,FALSE)</f>
        <v>Europe</v>
      </c>
      <c r="X1153" s="233" t="str">
        <f>VLOOKUP(Table3[[#This Row],[Country Code]],Table29[],5,FALSE)</f>
        <v>High-income</v>
      </c>
      <c r="Y1153" s="233" t="str">
        <f>VLOOKUP(Table3[[#This Row],[Country Code]],Table29[],6,FALSE)</f>
        <v>no</v>
      </c>
      <c r="Z1153" s="233" t="str">
        <f>VLOOKUP(Table3[[#This Row],[Country Code]],Table29[],7,FALSE)</f>
        <v>no</v>
      </c>
      <c r="AA1153" s="233" t="str">
        <f>VLOOKUP(Table3[[#This Row],[Country Code]],Table29[],8,FALSE)</f>
        <v>OECD</v>
      </c>
      <c r="AB1153" s="233" t="str">
        <f>VLOOKUP(Table3[[#This Row],[Country Code]],Table29[],9,FALSE)</f>
        <v>EU27</v>
      </c>
      <c r="AC1153" s="233" t="str">
        <f>VLOOKUP(Table3[[#This Row],[Country Code]],Table29[],10,FALSE)</f>
        <v>no</v>
      </c>
      <c r="AD1153" s="235">
        <f>VLOOKUP(Table3[[#This Row],[Country Code]],Table29[],23,FALSE)</f>
        <v>57.853266947361</v>
      </c>
      <c r="AE1153" s="235">
        <f>VLOOKUP(Table3[[#This Row],[Country Code]],Table29[],24,FALSE)</f>
        <v>11.23875075000765</v>
      </c>
      <c r="AF1153" s="43"/>
    </row>
    <row r="1154" spans="1:32" x14ac:dyDescent="0.25">
      <c r="A1154" s="360">
        <v>43855</v>
      </c>
      <c r="B1154" s="233" t="str">
        <f>VLOOKUP(Table3[[#This Row],[Document ID]],Table1[],2,FALSE)</f>
        <v>IRL</v>
      </c>
      <c r="C1154" s="233" t="str">
        <f>VLOOKUP(Table3[[#This Row],[Document ID]],Table1[],3,FALSE)</f>
        <v>Ireland</v>
      </c>
      <c r="D1154" s="233" t="str">
        <f>VLOOKUP(Table3[[#This Row],[Document ID]],Table1[],5,FALSE)</f>
        <v>LTS</v>
      </c>
      <c r="E1154" s="233" t="str">
        <f>VLOOKUP(Table3[[#This Row],[Document ID]],Table1[],7,FALSE)</f>
        <v>LTS</v>
      </c>
      <c r="F1154" s="233" t="str">
        <f>VLOOKUP(Table3[[#This Row],[Document ID]],Table1[],8,FALSE)</f>
        <v>LTS 1.1</v>
      </c>
      <c r="G1154" s="233" t="str">
        <f>VLOOKUP(Table3[[#This Row],[Document ID]],Table1[],10,FALSE)</f>
        <v>Active</v>
      </c>
      <c r="H1154" s="43" t="s">
        <v>1095</v>
      </c>
      <c r="I1154" s="43" t="s">
        <v>1115</v>
      </c>
      <c r="J1154" s="43" t="s">
        <v>1090</v>
      </c>
      <c r="K1154" s="43" t="s">
        <v>1121</v>
      </c>
      <c r="L1154" s="27" t="s">
        <v>1116</v>
      </c>
      <c r="M1154" s="209">
        <v>2050</v>
      </c>
      <c r="N1154" s="44" t="s">
        <v>2250</v>
      </c>
      <c r="O1154" s="258">
        <v>61</v>
      </c>
      <c r="P1154" s="241" t="str">
        <f>VLOOKUP(_xlfn.CONCAT(Table3[[#This Row],[Target area]],Table3[[#This Row],[GHG target?]],Table3[[#This Row],[Conditionality]]),'Drop down'!$E$81:$F$101,2,FALSE)</f>
        <v>T_Transport</v>
      </c>
      <c r="Q1154" s="233" t="str">
        <f>VLOOKUP(Table3[[#This Row],[Target type]],Table418[[Value name]:[Value idenifyer]],2,FALSE)</f>
        <v>T_FL</v>
      </c>
      <c r="V1154" s="233" t="str">
        <f>VLOOKUP(Table3[[#This Row],[Country Code]],Table29[],3,FALSE)</f>
        <v>Annex I</v>
      </c>
      <c r="W1154" s="233" t="str">
        <f>VLOOKUP(Table3[[#This Row],[Country Code]],Table29[],4,FALSE)</f>
        <v>Europe</v>
      </c>
      <c r="X1154" s="233" t="str">
        <f>VLOOKUP(Table3[[#This Row],[Country Code]],Table29[],5,FALSE)</f>
        <v>High-income</v>
      </c>
      <c r="Y1154" s="233" t="str">
        <f>VLOOKUP(Table3[[#This Row],[Country Code]],Table29[],6,FALSE)</f>
        <v>no</v>
      </c>
      <c r="Z1154" s="233" t="str">
        <f>VLOOKUP(Table3[[#This Row],[Country Code]],Table29[],7,FALSE)</f>
        <v>no</v>
      </c>
      <c r="AA1154" s="233" t="str">
        <f>VLOOKUP(Table3[[#This Row],[Country Code]],Table29[],8,FALSE)</f>
        <v>OECD</v>
      </c>
      <c r="AB1154" s="233" t="str">
        <f>VLOOKUP(Table3[[#This Row],[Country Code]],Table29[],9,FALSE)</f>
        <v>EU27</v>
      </c>
      <c r="AC1154" s="233" t="str">
        <f>VLOOKUP(Table3[[#This Row],[Country Code]],Table29[],10,FALSE)</f>
        <v>no</v>
      </c>
      <c r="AD1154" s="235">
        <f>VLOOKUP(Table3[[#This Row],[Country Code]],Table29[],23,FALSE)</f>
        <v>57.853266947361</v>
      </c>
      <c r="AE1154" s="235">
        <f>VLOOKUP(Table3[[#This Row],[Country Code]],Table29[],24,FALSE)</f>
        <v>11.23875075000765</v>
      </c>
      <c r="AF1154" s="43"/>
    </row>
    <row r="1155" spans="1:32" ht="30" x14ac:dyDescent="0.25">
      <c r="A1155" s="360">
        <v>43857</v>
      </c>
      <c r="B1155" s="233" t="str">
        <f>VLOOKUP(Table3[[#This Row],[Document ID]],Table1[],2,FALSE)</f>
        <v>GBR</v>
      </c>
      <c r="C1155" s="233" t="str">
        <f>VLOOKUP(Table3[[#This Row],[Document ID]],Table1[],3,FALSE)</f>
        <v>United Kingdom</v>
      </c>
      <c r="D1155" s="233" t="str">
        <f>VLOOKUP(Table3[[#This Row],[Document ID]],Table1[],5,FALSE)</f>
        <v>NDC</v>
      </c>
      <c r="E1155" s="233" t="str">
        <f>VLOOKUP(Table3[[#This Row],[Document ID]],Table1[],7,FALSE)</f>
        <v>Third NDC</v>
      </c>
      <c r="F1155" s="233" t="str">
        <f>VLOOKUP(Table3[[#This Row],[Document ID]],Table1[],8,FALSE)</f>
        <v>NDC 3.0</v>
      </c>
      <c r="G1155" s="233" t="str">
        <f>VLOOKUP(Table3[[#This Row],[Document ID]],Table1[],10,FALSE)</f>
        <v>Active</v>
      </c>
      <c r="H1155" s="43" t="s">
        <v>1089</v>
      </c>
      <c r="I1155" s="43" t="s">
        <v>1089</v>
      </c>
      <c r="J1155" s="43" t="s">
        <v>1090</v>
      </c>
      <c r="K1155" s="43" t="s">
        <v>1153</v>
      </c>
      <c r="L1155" s="43" t="s">
        <v>1099</v>
      </c>
      <c r="M1155" s="209">
        <v>2035</v>
      </c>
      <c r="N1155" s="44" t="s">
        <v>2251</v>
      </c>
      <c r="O1155" s="258">
        <v>6</v>
      </c>
      <c r="P1155" s="241" t="str">
        <f>VLOOKUP(_xlfn.CONCAT(Table3[[#This Row],[Target area]],Table3[[#This Row],[GHG target?]],Table3[[#This Row],[Conditionality]]),'Drop down'!$E$81:$F$101,2,FALSE)</f>
        <v>T_Economy_Unc</v>
      </c>
      <c r="Q1155" s="233" t="str">
        <f>VLOOKUP(Table3[[#This Row],[Target type]],Table418[[Value name]:[Value idenifyer]],2,FALSE)</f>
        <v>T_BYE</v>
      </c>
      <c r="V1155" s="233" t="str">
        <f>VLOOKUP(Table3[[#This Row],[Country Code]],Table29[],3,FALSE)</f>
        <v>Annex I</v>
      </c>
      <c r="W1155" s="233" t="str">
        <f>VLOOKUP(Table3[[#This Row],[Country Code]],Table29[],4,FALSE)</f>
        <v>Europe</v>
      </c>
      <c r="X1155" s="233" t="str">
        <f>VLOOKUP(Table3[[#This Row],[Country Code]],Table29[],5,FALSE)</f>
        <v>High-income</v>
      </c>
      <c r="Y1155" s="233" t="str">
        <f>VLOOKUP(Table3[[#This Row],[Country Code]],Table29[],6,FALSE)</f>
        <v>G20</v>
      </c>
      <c r="Z1155" s="233" t="str">
        <f>VLOOKUP(Table3[[#This Row],[Country Code]],Table29[],7,FALSE)</f>
        <v>G7</v>
      </c>
      <c r="AA1155" s="233" t="str">
        <f>VLOOKUP(Table3[[#This Row],[Country Code]],Table29[],8,FALSE)</f>
        <v>OECD</v>
      </c>
      <c r="AB1155" s="233" t="str">
        <f>VLOOKUP(Table3[[#This Row],[Country Code]],Table29[],9,FALSE)</f>
        <v>no</v>
      </c>
      <c r="AC1155" s="233" t="str">
        <f>VLOOKUP(Table3[[#This Row],[Country Code]],Table29[],10,FALSE)</f>
        <v>no</v>
      </c>
      <c r="AD1155" s="235">
        <f>VLOOKUP(Table3[[#This Row],[Country Code]],Table29[],23,FALSE)</f>
        <v>379.31858785213001</v>
      </c>
      <c r="AE1155" s="235">
        <f>VLOOKUP(Table3[[#This Row],[Country Code]],Table29[],24,FALSE)</f>
        <v>109.75048777474809</v>
      </c>
      <c r="AF1155" s="43"/>
    </row>
    <row r="1156" spans="1:32" x14ac:dyDescent="0.25">
      <c r="A1156" s="360">
        <v>43857</v>
      </c>
      <c r="B1156" s="233" t="str">
        <f>VLOOKUP(Table3[[#This Row],[Document ID]],Table1[],2,FALSE)</f>
        <v>GBR</v>
      </c>
      <c r="C1156" s="233" t="str">
        <f>VLOOKUP(Table3[[#This Row],[Document ID]],Table1[],3,FALSE)</f>
        <v>United Kingdom</v>
      </c>
      <c r="D1156" s="233" t="str">
        <f>VLOOKUP(Table3[[#This Row],[Document ID]],Table1[],5,FALSE)</f>
        <v>NDC</v>
      </c>
      <c r="E1156" s="233" t="str">
        <f>VLOOKUP(Table3[[#This Row],[Document ID]],Table1[],7,FALSE)</f>
        <v>Third NDC</v>
      </c>
      <c r="F1156" s="233" t="str">
        <f>VLOOKUP(Table3[[#This Row],[Document ID]],Table1[],8,FALSE)</f>
        <v>NDC 3.0</v>
      </c>
      <c r="G1156" s="233" t="str">
        <f>VLOOKUP(Table3[[#This Row],[Document ID]],Table1[],10,FALSE)</f>
        <v>Active</v>
      </c>
      <c r="H1156" s="43" t="s">
        <v>1147</v>
      </c>
      <c r="I1156" s="43" t="s">
        <v>1089</v>
      </c>
      <c r="J1156" s="43" t="s">
        <v>1090</v>
      </c>
      <c r="K1156" s="43" t="s">
        <v>1121</v>
      </c>
      <c r="L1156" s="43" t="s">
        <v>1099</v>
      </c>
      <c r="M1156" s="209">
        <v>2050</v>
      </c>
      <c r="N1156" s="44" t="s">
        <v>2252</v>
      </c>
      <c r="O1156" s="556" t="s">
        <v>2253</v>
      </c>
      <c r="P1156" s="241" t="str">
        <f>VLOOKUP(_xlfn.CONCAT(Table3[[#This Row],[Target area]],Table3[[#This Row],[GHG target?]],Table3[[#This Row],[Conditionality]]),'Drop down'!$E$81:$F$101,2,FALSE)</f>
        <v>T_Netzero_Unc</v>
      </c>
      <c r="Q1156" s="233" t="str">
        <f>VLOOKUP(Table3[[#This Row],[Target type]],Table418[[Value name]:[Value idenifyer]],2,FALSE)</f>
        <v>T_FL</v>
      </c>
      <c r="V1156" s="233" t="str">
        <f>VLOOKUP(Table3[[#This Row],[Country Code]],Table29[],3,FALSE)</f>
        <v>Annex I</v>
      </c>
      <c r="W1156" s="233" t="str">
        <f>VLOOKUP(Table3[[#This Row],[Country Code]],Table29[],4,FALSE)</f>
        <v>Europe</v>
      </c>
      <c r="X1156" s="233" t="str">
        <f>VLOOKUP(Table3[[#This Row],[Country Code]],Table29[],5,FALSE)</f>
        <v>High-income</v>
      </c>
      <c r="Y1156" s="233" t="str">
        <f>VLOOKUP(Table3[[#This Row],[Country Code]],Table29[],6,FALSE)</f>
        <v>G20</v>
      </c>
      <c r="Z1156" s="233" t="str">
        <f>VLOOKUP(Table3[[#This Row],[Country Code]],Table29[],7,FALSE)</f>
        <v>G7</v>
      </c>
      <c r="AA1156" s="233" t="str">
        <f>VLOOKUP(Table3[[#This Row],[Country Code]],Table29[],8,FALSE)</f>
        <v>OECD</v>
      </c>
      <c r="AB1156" s="233" t="str">
        <f>VLOOKUP(Table3[[#This Row],[Country Code]],Table29[],9,FALSE)</f>
        <v>no</v>
      </c>
      <c r="AC1156" s="233" t="str">
        <f>VLOOKUP(Table3[[#This Row],[Country Code]],Table29[],10,FALSE)</f>
        <v>no</v>
      </c>
      <c r="AD1156" s="235">
        <f>VLOOKUP(Table3[[#This Row],[Country Code]],Table29[],23,FALSE)</f>
        <v>379.31858785213001</v>
      </c>
      <c r="AE1156" s="235">
        <f>VLOOKUP(Table3[[#This Row],[Country Code]],Table29[],24,FALSE)</f>
        <v>109.75048777474809</v>
      </c>
      <c r="AF1156" s="43"/>
    </row>
    <row r="1157" spans="1:32" ht="30" x14ac:dyDescent="0.25">
      <c r="A1157" s="360">
        <v>43857</v>
      </c>
      <c r="B1157" s="233" t="str">
        <f>VLOOKUP(Table3[[#This Row],[Document ID]],Table1[],2,FALSE)</f>
        <v>GBR</v>
      </c>
      <c r="C1157" s="233" t="str">
        <f>VLOOKUP(Table3[[#This Row],[Document ID]],Table1[],3,FALSE)</f>
        <v>United Kingdom</v>
      </c>
      <c r="D1157" s="233" t="str">
        <f>VLOOKUP(Table3[[#This Row],[Document ID]],Table1[],5,FALSE)</f>
        <v>NDC</v>
      </c>
      <c r="E1157" s="233" t="str">
        <f>VLOOKUP(Table3[[#This Row],[Document ID]],Table1[],7,FALSE)</f>
        <v>Third NDC</v>
      </c>
      <c r="F1157" s="233" t="str">
        <f>VLOOKUP(Table3[[#This Row],[Document ID]],Table1[],8,FALSE)</f>
        <v>NDC 3.0</v>
      </c>
      <c r="G1157" s="233" t="str">
        <f>VLOOKUP(Table3[[#This Row],[Document ID]],Table1[],10,FALSE)</f>
        <v>Active</v>
      </c>
      <c r="H1157" s="43" t="s">
        <v>1095</v>
      </c>
      <c r="I1157" s="43" t="s">
        <v>1096</v>
      </c>
      <c r="J1157" s="43" t="s">
        <v>1097</v>
      </c>
      <c r="K1157" s="43" t="s">
        <v>1104</v>
      </c>
      <c r="L1157" s="43" t="s">
        <v>1099</v>
      </c>
      <c r="M1157" s="209">
        <v>2035</v>
      </c>
      <c r="N1157" s="44" t="s">
        <v>2254</v>
      </c>
      <c r="O1157" s="258">
        <v>14</v>
      </c>
      <c r="P1157" s="241" t="str">
        <f>VLOOKUP(_xlfn.CONCAT(Table3[[#This Row],[Target area]],Table3[[#This Row],[GHG target?]],Table3[[#This Row],[Conditionality]]),'Drop down'!$E$81:$F$101,2,FALSE)</f>
        <v>T_Transport_O_Unc</v>
      </c>
      <c r="Q1157" s="233" t="str">
        <f>VLOOKUP(Table3[[#This Row],[Target type]],Table418[[Value name]:[Value idenifyer]],2,FALSE)</f>
        <v>T_O_ZERO</v>
      </c>
      <c r="V1157" s="233" t="str">
        <f>VLOOKUP(Table3[[#This Row],[Country Code]],Table29[],3,FALSE)</f>
        <v>Annex I</v>
      </c>
      <c r="W1157" s="233" t="str">
        <f>VLOOKUP(Table3[[#This Row],[Country Code]],Table29[],4,FALSE)</f>
        <v>Europe</v>
      </c>
      <c r="X1157" s="233" t="str">
        <f>VLOOKUP(Table3[[#This Row],[Country Code]],Table29[],5,FALSE)</f>
        <v>High-income</v>
      </c>
      <c r="Y1157" s="233" t="str">
        <f>VLOOKUP(Table3[[#This Row],[Country Code]],Table29[],6,FALSE)</f>
        <v>G20</v>
      </c>
      <c r="Z1157" s="233" t="str">
        <f>VLOOKUP(Table3[[#This Row],[Country Code]],Table29[],7,FALSE)</f>
        <v>G7</v>
      </c>
      <c r="AA1157" s="233" t="str">
        <f>VLOOKUP(Table3[[#This Row],[Country Code]],Table29[],8,FALSE)</f>
        <v>OECD</v>
      </c>
      <c r="AB1157" s="233" t="str">
        <f>VLOOKUP(Table3[[#This Row],[Country Code]],Table29[],9,FALSE)</f>
        <v>no</v>
      </c>
      <c r="AC1157" s="233" t="str">
        <f>VLOOKUP(Table3[[#This Row],[Country Code]],Table29[],10,FALSE)</f>
        <v>no</v>
      </c>
      <c r="AD1157" s="235">
        <f>VLOOKUP(Table3[[#This Row],[Country Code]],Table29[],23,FALSE)</f>
        <v>379.31858785213001</v>
      </c>
      <c r="AE1157" s="235">
        <f>VLOOKUP(Table3[[#This Row],[Country Code]],Table29[],24,FALSE)</f>
        <v>109.75048777474809</v>
      </c>
      <c r="AF1157" s="43"/>
    </row>
    <row r="1158" spans="1:32" ht="30" x14ac:dyDescent="0.25">
      <c r="A1158" s="360">
        <v>43860</v>
      </c>
      <c r="B1158" s="233" t="str">
        <f>VLOOKUP(Table3[[#This Row],[Document ID]],Table1[],2,FALSE)</f>
        <v>CHE</v>
      </c>
      <c r="C1158" s="233" t="str">
        <f>VLOOKUP(Table3[[#This Row],[Document ID]],Table1[],3,FALSE)</f>
        <v>Switzerland</v>
      </c>
      <c r="D1158" s="233" t="str">
        <f>VLOOKUP(Table3[[#This Row],[Document ID]],Table1[],5,FALSE)</f>
        <v>NDC</v>
      </c>
      <c r="E1158" s="233" t="str">
        <f>VLOOKUP(Table3[[#This Row],[Document ID]],Table1[],7,FALSE)</f>
        <v>Third NDC</v>
      </c>
      <c r="F1158" s="233" t="str">
        <f>VLOOKUP(Table3[[#This Row],[Document ID]],Table1[],8,FALSE)</f>
        <v>NDC 3.0</v>
      </c>
      <c r="G1158" s="233" t="str">
        <f>VLOOKUP(Table3[[#This Row],[Document ID]],Table1[],10,FALSE)</f>
        <v>Active</v>
      </c>
      <c r="H1158" s="43" t="s">
        <v>1147</v>
      </c>
      <c r="I1158" s="43" t="s">
        <v>1089</v>
      </c>
      <c r="J1158" s="43" t="s">
        <v>1090</v>
      </c>
      <c r="K1158" s="43" t="s">
        <v>1121</v>
      </c>
      <c r="L1158" s="43" t="s">
        <v>1116</v>
      </c>
      <c r="M1158" s="209">
        <v>2050</v>
      </c>
      <c r="N1158" s="44" t="s">
        <v>2255</v>
      </c>
      <c r="O1158" s="258">
        <v>5</v>
      </c>
      <c r="P1158" s="241" t="str">
        <f>VLOOKUP(_xlfn.CONCAT(Table3[[#This Row],[Target area]],Table3[[#This Row],[GHG target?]],Table3[[#This Row],[Conditionality]]),'Drop down'!$E$81:$F$101,2,FALSE)</f>
        <v>T_Netzero</v>
      </c>
      <c r="Q1158" s="233" t="str">
        <f>VLOOKUP(Table3[[#This Row],[Target type]],Table418[[Value name]:[Value idenifyer]],2,FALSE)</f>
        <v>T_FL</v>
      </c>
      <c r="V1158" s="233" t="str">
        <f>VLOOKUP(Table3[[#This Row],[Country Code]],Table29[],3,FALSE)</f>
        <v>Annex I</v>
      </c>
      <c r="W1158" s="233" t="str">
        <f>VLOOKUP(Table3[[#This Row],[Country Code]],Table29[],4,FALSE)</f>
        <v>Europe</v>
      </c>
      <c r="X1158" s="233" t="str">
        <f>VLOOKUP(Table3[[#This Row],[Country Code]],Table29[],5,FALSE)</f>
        <v>High-income</v>
      </c>
      <c r="Y1158" s="233" t="str">
        <f>VLOOKUP(Table3[[#This Row],[Country Code]],Table29[],6,FALSE)</f>
        <v>no</v>
      </c>
      <c r="Z1158" s="233" t="str">
        <f>VLOOKUP(Table3[[#This Row],[Country Code]],Table29[],7,FALSE)</f>
        <v>no</v>
      </c>
      <c r="AA1158" s="233" t="str">
        <f>VLOOKUP(Table3[[#This Row],[Country Code]],Table29[],8,FALSE)</f>
        <v>OECD</v>
      </c>
      <c r="AB1158" s="233" t="str">
        <f>VLOOKUP(Table3[[#This Row],[Country Code]],Table29[],9,FALSE)</f>
        <v>no</v>
      </c>
      <c r="AC1158" s="233" t="str">
        <f>VLOOKUP(Table3[[#This Row],[Country Code]],Table29[],10,FALSE)</f>
        <v>no</v>
      </c>
      <c r="AD1158" s="235">
        <f>VLOOKUP(Table3[[#This Row],[Country Code]],Table29[],23,FALSE)</f>
        <v>43.446393813877002</v>
      </c>
      <c r="AE1158" s="235">
        <f>VLOOKUP(Table3[[#This Row],[Country Code]],Table29[],24,FALSE)</f>
        <v>14.82381986485206</v>
      </c>
      <c r="AF1158" s="43"/>
    </row>
    <row r="1159" spans="1:32" ht="60" x14ac:dyDescent="0.25">
      <c r="A1159" s="360">
        <v>43860</v>
      </c>
      <c r="B1159" s="233" t="str">
        <f>VLOOKUP(Table3[[#This Row],[Document ID]],Table1[],2,FALSE)</f>
        <v>CHE</v>
      </c>
      <c r="C1159" s="233" t="str">
        <f>VLOOKUP(Table3[[#This Row],[Document ID]],Table1[],3,FALSE)</f>
        <v>Switzerland</v>
      </c>
      <c r="D1159" s="233" t="str">
        <f>VLOOKUP(Table3[[#This Row],[Document ID]],Table1[],5,FALSE)</f>
        <v>NDC</v>
      </c>
      <c r="E1159" s="233" t="str">
        <f>VLOOKUP(Table3[[#This Row],[Document ID]],Table1[],7,FALSE)</f>
        <v>Third NDC</v>
      </c>
      <c r="F1159" s="233" t="str">
        <f>VLOOKUP(Table3[[#This Row],[Document ID]],Table1[],8,FALSE)</f>
        <v>NDC 3.0</v>
      </c>
      <c r="G1159" s="233" t="str">
        <f>VLOOKUP(Table3[[#This Row],[Document ID]],Table1[],10,FALSE)</f>
        <v>Active</v>
      </c>
      <c r="H1159" s="43" t="s">
        <v>1089</v>
      </c>
      <c r="I1159" s="43" t="s">
        <v>1089</v>
      </c>
      <c r="J1159" s="43" t="s">
        <v>1090</v>
      </c>
      <c r="K1159" s="43" t="s">
        <v>1153</v>
      </c>
      <c r="L1159" s="43" t="s">
        <v>1116</v>
      </c>
      <c r="M1159" s="209">
        <v>2035</v>
      </c>
      <c r="N1159" s="44" t="s">
        <v>2256</v>
      </c>
      <c r="O1159" s="258">
        <v>6</v>
      </c>
      <c r="P1159" s="241" t="str">
        <f>VLOOKUP(_xlfn.CONCAT(Table3[[#This Row],[Target area]],Table3[[#This Row],[GHG target?]],Table3[[#This Row],[Conditionality]]),'Drop down'!$E$81:$F$101,2,FALSE)</f>
        <v>T_Economy</v>
      </c>
      <c r="Q1159" s="233" t="str">
        <f>VLOOKUP(Table3[[#This Row],[Target type]],Table418[[Value name]:[Value idenifyer]],2,FALSE)</f>
        <v>T_BYE</v>
      </c>
      <c r="V1159" s="233" t="str">
        <f>VLOOKUP(Table3[[#This Row],[Country Code]],Table29[],3,FALSE)</f>
        <v>Annex I</v>
      </c>
      <c r="W1159" s="233" t="str">
        <f>VLOOKUP(Table3[[#This Row],[Country Code]],Table29[],4,FALSE)</f>
        <v>Europe</v>
      </c>
      <c r="X1159" s="233" t="str">
        <f>VLOOKUP(Table3[[#This Row],[Country Code]],Table29[],5,FALSE)</f>
        <v>High-income</v>
      </c>
      <c r="Y1159" s="233" t="str">
        <f>VLOOKUP(Table3[[#This Row],[Country Code]],Table29[],6,FALSE)</f>
        <v>no</v>
      </c>
      <c r="Z1159" s="233" t="str">
        <f>VLOOKUP(Table3[[#This Row],[Country Code]],Table29[],7,FALSE)</f>
        <v>no</v>
      </c>
      <c r="AA1159" s="233" t="str">
        <f>VLOOKUP(Table3[[#This Row],[Country Code]],Table29[],8,FALSE)</f>
        <v>OECD</v>
      </c>
      <c r="AB1159" s="233" t="str">
        <f>VLOOKUP(Table3[[#This Row],[Country Code]],Table29[],9,FALSE)</f>
        <v>no</v>
      </c>
      <c r="AC1159" s="233" t="str">
        <f>VLOOKUP(Table3[[#This Row],[Country Code]],Table29[],10,FALSE)</f>
        <v>no</v>
      </c>
      <c r="AD1159" s="235">
        <f>VLOOKUP(Table3[[#This Row],[Country Code]],Table29[],23,FALSE)</f>
        <v>43.446393813877002</v>
      </c>
      <c r="AE1159" s="235">
        <f>VLOOKUP(Table3[[#This Row],[Country Code]],Table29[],24,FALSE)</f>
        <v>14.82381986485206</v>
      </c>
      <c r="AF1159" s="43"/>
    </row>
    <row r="1160" spans="1:32" ht="90" x14ac:dyDescent="0.25">
      <c r="A1160" s="360">
        <v>43860</v>
      </c>
      <c r="B1160" s="233" t="str">
        <f>VLOOKUP(Table3[[#This Row],[Document ID]],Table1[],2,FALSE)</f>
        <v>CHE</v>
      </c>
      <c r="C1160" s="233" t="str">
        <f>VLOOKUP(Table3[[#This Row],[Document ID]],Table1[],3,FALSE)</f>
        <v>Switzerland</v>
      </c>
      <c r="D1160" s="233" t="str">
        <f>VLOOKUP(Table3[[#This Row],[Document ID]],Table1[],5,FALSE)</f>
        <v>NDC</v>
      </c>
      <c r="E1160" s="233" t="str">
        <f>VLOOKUP(Table3[[#This Row],[Document ID]],Table1[],7,FALSE)</f>
        <v>Third NDC</v>
      </c>
      <c r="F1160" s="233" t="str">
        <f>VLOOKUP(Table3[[#This Row],[Document ID]],Table1[],8,FALSE)</f>
        <v>NDC 3.0</v>
      </c>
      <c r="G1160" s="233" t="str">
        <f>VLOOKUP(Table3[[#This Row],[Document ID]],Table1[],10,FALSE)</f>
        <v>Active</v>
      </c>
      <c r="H1160" s="43" t="s">
        <v>1089</v>
      </c>
      <c r="I1160" s="43" t="s">
        <v>1089</v>
      </c>
      <c r="J1160" s="43" t="s">
        <v>1090</v>
      </c>
      <c r="K1160" s="43" t="s">
        <v>1289</v>
      </c>
      <c r="L1160" s="43" t="s">
        <v>1116</v>
      </c>
      <c r="M1160" s="209">
        <v>2050</v>
      </c>
      <c r="N1160" s="44" t="s">
        <v>2257</v>
      </c>
      <c r="O1160" s="258">
        <v>7</v>
      </c>
      <c r="P1160" s="241" t="str">
        <f>VLOOKUP(_xlfn.CONCAT(Table3[[#This Row],[Target area]],Table3[[#This Row],[GHG target?]],Table3[[#This Row],[Conditionality]]),'Drop down'!$E$81:$F$101,2,FALSE)</f>
        <v>T_Economy</v>
      </c>
      <c r="Q1160" s="233" t="str">
        <f>VLOOKUP(Table3[[#This Row],[Target type]],Table418[[Value name]:[Value idenifyer]],2,FALSE)</f>
        <v>T_TRA</v>
      </c>
      <c r="V1160" s="233" t="str">
        <f>VLOOKUP(Table3[[#This Row],[Country Code]],Table29[],3,FALSE)</f>
        <v>Annex I</v>
      </c>
      <c r="W1160" s="233" t="str">
        <f>VLOOKUP(Table3[[#This Row],[Country Code]],Table29[],4,FALSE)</f>
        <v>Europe</v>
      </c>
      <c r="X1160" s="233" t="str">
        <f>VLOOKUP(Table3[[#This Row],[Country Code]],Table29[],5,FALSE)</f>
        <v>High-income</v>
      </c>
      <c r="Y1160" s="233" t="str">
        <f>VLOOKUP(Table3[[#This Row],[Country Code]],Table29[],6,FALSE)</f>
        <v>no</v>
      </c>
      <c r="Z1160" s="233" t="str">
        <f>VLOOKUP(Table3[[#This Row],[Country Code]],Table29[],7,FALSE)</f>
        <v>no</v>
      </c>
      <c r="AA1160" s="233" t="str">
        <f>VLOOKUP(Table3[[#This Row],[Country Code]],Table29[],8,FALSE)</f>
        <v>OECD</v>
      </c>
      <c r="AB1160" s="233" t="str">
        <f>VLOOKUP(Table3[[#This Row],[Country Code]],Table29[],9,FALSE)</f>
        <v>no</v>
      </c>
      <c r="AC1160" s="233" t="str">
        <f>VLOOKUP(Table3[[#This Row],[Country Code]],Table29[],10,FALSE)</f>
        <v>no</v>
      </c>
      <c r="AD1160" s="235">
        <f>VLOOKUP(Table3[[#This Row],[Country Code]],Table29[],23,FALSE)</f>
        <v>43.446393813877002</v>
      </c>
      <c r="AE1160" s="235">
        <f>VLOOKUP(Table3[[#This Row],[Country Code]],Table29[],24,FALSE)</f>
        <v>14.82381986485206</v>
      </c>
      <c r="AF1160" s="43"/>
    </row>
    <row r="1161" spans="1:32" ht="75" x14ac:dyDescent="0.25">
      <c r="A1161" s="360">
        <v>43860</v>
      </c>
      <c r="B1161" s="233" t="str">
        <f>VLOOKUP(Table3[[#This Row],[Document ID]],Table1[],2,FALSE)</f>
        <v>CHE</v>
      </c>
      <c r="C1161" s="233" t="str">
        <f>VLOOKUP(Table3[[#This Row],[Document ID]],Table1[],3,FALSE)</f>
        <v>Switzerland</v>
      </c>
      <c r="D1161" s="233" t="str">
        <f>VLOOKUP(Table3[[#This Row],[Document ID]],Table1[],5,FALSE)</f>
        <v>NDC</v>
      </c>
      <c r="E1161" s="233" t="str">
        <f>VLOOKUP(Table3[[#This Row],[Document ID]],Table1[],7,FALSE)</f>
        <v>Third NDC</v>
      </c>
      <c r="F1161" s="233" t="str">
        <f>VLOOKUP(Table3[[#This Row],[Document ID]],Table1[],8,FALSE)</f>
        <v>NDC 3.0</v>
      </c>
      <c r="G1161" s="233" t="str">
        <f>VLOOKUP(Table3[[#This Row],[Document ID]],Table1[],10,FALSE)</f>
        <v>Active</v>
      </c>
      <c r="H1161" s="43" t="s">
        <v>1095</v>
      </c>
      <c r="I1161" s="43" t="s">
        <v>1115</v>
      </c>
      <c r="J1161" s="43" t="s">
        <v>1090</v>
      </c>
      <c r="K1161" s="43" t="s">
        <v>1289</v>
      </c>
      <c r="L1161" s="43" t="s">
        <v>1116</v>
      </c>
      <c r="M1161" s="209">
        <v>2050</v>
      </c>
      <c r="N1161" s="44" t="s">
        <v>2258</v>
      </c>
      <c r="O1161" s="258">
        <v>7</v>
      </c>
      <c r="P1161" s="241" t="str">
        <f>VLOOKUP(_xlfn.CONCAT(Table3[[#This Row],[Target area]],Table3[[#This Row],[GHG target?]],Table3[[#This Row],[Conditionality]]),'Drop down'!$E$81:$F$101,2,FALSE)</f>
        <v>T_Transport</v>
      </c>
      <c r="Q1161" s="233" t="str">
        <f>VLOOKUP(Table3[[#This Row],[Target type]],Table418[[Value name]:[Value idenifyer]],2,FALSE)</f>
        <v>T_TRA</v>
      </c>
      <c r="V1161" s="233" t="str">
        <f>VLOOKUP(Table3[[#This Row],[Country Code]],Table29[],3,FALSE)</f>
        <v>Annex I</v>
      </c>
      <c r="W1161" s="233" t="str">
        <f>VLOOKUP(Table3[[#This Row],[Country Code]],Table29[],4,FALSE)</f>
        <v>Europe</v>
      </c>
      <c r="X1161" s="233" t="str">
        <f>VLOOKUP(Table3[[#This Row],[Country Code]],Table29[],5,FALSE)</f>
        <v>High-income</v>
      </c>
      <c r="Y1161" s="233" t="str">
        <f>VLOOKUP(Table3[[#This Row],[Country Code]],Table29[],6,FALSE)</f>
        <v>no</v>
      </c>
      <c r="Z1161" s="233" t="str">
        <f>VLOOKUP(Table3[[#This Row],[Country Code]],Table29[],7,FALSE)</f>
        <v>no</v>
      </c>
      <c r="AA1161" s="233" t="str">
        <f>VLOOKUP(Table3[[#This Row],[Country Code]],Table29[],8,FALSE)</f>
        <v>OECD</v>
      </c>
      <c r="AB1161" s="233" t="str">
        <f>VLOOKUP(Table3[[#This Row],[Country Code]],Table29[],9,FALSE)</f>
        <v>no</v>
      </c>
      <c r="AC1161" s="233" t="str">
        <f>VLOOKUP(Table3[[#This Row],[Country Code]],Table29[],10,FALSE)</f>
        <v>no</v>
      </c>
      <c r="AD1161" s="235">
        <f>VLOOKUP(Table3[[#This Row],[Country Code]],Table29[],23,FALSE)</f>
        <v>43.446393813877002</v>
      </c>
      <c r="AE1161" s="235">
        <f>VLOOKUP(Table3[[#This Row],[Country Code]],Table29[],24,FALSE)</f>
        <v>14.82381986485206</v>
      </c>
      <c r="AF1161" s="43"/>
    </row>
    <row r="1162" spans="1:32" x14ac:dyDescent="0.25">
      <c r="A1162" s="360">
        <v>43920</v>
      </c>
      <c r="B1162" s="233" t="str">
        <f>VLOOKUP(Table3[[#This Row],[Document ID]],Table1[],2,FALSE)</f>
        <v>LSO</v>
      </c>
      <c r="C1162" s="233" t="str">
        <f>VLOOKUP(Table3[[#This Row],[Document ID]],Table1[],3,FALSE)</f>
        <v>Lesotho</v>
      </c>
      <c r="D1162" s="233" t="str">
        <f>VLOOKUP(Table3[[#This Row],[Document ID]],Table1[],5,FALSE)</f>
        <v>NDC</v>
      </c>
      <c r="E1162" s="233" t="str">
        <f>VLOOKUP(Table3[[#This Row],[Document ID]],Table1[],7,FALSE)</f>
        <v>Third NDC</v>
      </c>
      <c r="F1162" s="233" t="str">
        <f>VLOOKUP(Table3[[#This Row],[Document ID]],Table1[],8,FALSE)</f>
        <v>NDC 3.0</v>
      </c>
      <c r="G1162" s="233" t="str">
        <f>VLOOKUP(Table3[[#This Row],[Document ID]],Table1[],10,FALSE)</f>
        <v>Active</v>
      </c>
      <c r="H1162" s="43" t="s">
        <v>1089</v>
      </c>
      <c r="I1162" s="43" t="s">
        <v>1089</v>
      </c>
      <c r="J1162" s="43" t="s">
        <v>1090</v>
      </c>
      <c r="K1162" s="43" t="s">
        <v>1091</v>
      </c>
      <c r="L1162" s="43" t="s">
        <v>1099</v>
      </c>
      <c r="M1162" s="209">
        <v>2030</v>
      </c>
      <c r="N1162" s="44" t="s">
        <v>2259</v>
      </c>
      <c r="O1162" s="258">
        <v>40</v>
      </c>
      <c r="P1162" s="241" t="str">
        <f>VLOOKUP(_xlfn.CONCAT(Table3[[#This Row],[Target area]],Table3[[#This Row],[GHG target?]],Table3[[#This Row],[Conditionality]]),'Drop down'!$E$81:$F$101,2,FALSE)</f>
        <v>T_Economy_Unc</v>
      </c>
      <c r="Q1162" s="233" t="str">
        <f>VLOOKUP(Table3[[#This Row],[Target type]],Table418[[Value name]:[Value idenifyer]],2,FALSE)</f>
        <v>T_BAU</v>
      </c>
      <c r="V1162" s="233" t="str">
        <f>VLOOKUP(Table3[[#This Row],[Country Code]],Table29[],3,FALSE)</f>
        <v>Non-Annex I</v>
      </c>
      <c r="W1162" s="233" t="str">
        <f>VLOOKUP(Table3[[#This Row],[Country Code]],Table29[],4,FALSE)</f>
        <v>Africa</v>
      </c>
      <c r="X1162" s="233" t="str">
        <f>VLOOKUP(Table3[[#This Row],[Country Code]],Table29[],5,FALSE)</f>
        <v>Middle-income</v>
      </c>
      <c r="Y1162" s="233" t="str">
        <f>VLOOKUP(Table3[[#This Row],[Country Code]],Table29[],6,FALSE)</f>
        <v>no</v>
      </c>
      <c r="Z1162" s="233" t="str">
        <f>VLOOKUP(Table3[[#This Row],[Country Code]],Table29[],7,FALSE)</f>
        <v>no</v>
      </c>
      <c r="AA1162" s="233" t="str">
        <f>VLOOKUP(Table3[[#This Row],[Country Code]],Table29[],8,FALSE)</f>
        <v>non-OECD</v>
      </c>
      <c r="AB1162" s="233" t="str">
        <f>VLOOKUP(Table3[[#This Row],[Country Code]],Table29[],9,FALSE)</f>
        <v>no</v>
      </c>
      <c r="AC1162" s="233" t="str">
        <f>VLOOKUP(Table3[[#This Row],[Country Code]],Table29[],10,FALSE)</f>
        <v>no</v>
      </c>
      <c r="AD1162" s="235">
        <f>VLOOKUP(Table3[[#This Row],[Country Code]],Table29[],23,FALSE)</f>
        <v>2.6019212840000998</v>
      </c>
      <c r="AE1162" s="235">
        <f>VLOOKUP(Table3[[#This Row],[Country Code]],Table29[],24,FALSE)</f>
        <v>0.50992867306348366</v>
      </c>
      <c r="AF1162" s="43"/>
    </row>
    <row r="1163" spans="1:32" ht="45" x14ac:dyDescent="0.25">
      <c r="A1163" s="360">
        <v>43920</v>
      </c>
      <c r="B1163" s="233" t="str">
        <f>VLOOKUP(Table3[[#This Row],[Document ID]],Table1[],2,FALSE)</f>
        <v>LSO</v>
      </c>
      <c r="C1163" s="233" t="str">
        <f>VLOOKUP(Table3[[#This Row],[Document ID]],Table1[],3,FALSE)</f>
        <v>Lesotho</v>
      </c>
      <c r="D1163" s="233" t="str">
        <f>VLOOKUP(Table3[[#This Row],[Document ID]],Table1[],5,FALSE)</f>
        <v>NDC</v>
      </c>
      <c r="E1163" s="233" t="str">
        <f>VLOOKUP(Table3[[#This Row],[Document ID]],Table1[],7,FALSE)</f>
        <v>Third NDC</v>
      </c>
      <c r="F1163" s="233" t="str">
        <f>VLOOKUP(Table3[[#This Row],[Document ID]],Table1[],8,FALSE)</f>
        <v>NDC 3.0</v>
      </c>
      <c r="G1163" s="233" t="str">
        <f>VLOOKUP(Table3[[#This Row],[Document ID]],Table1[],10,FALSE)</f>
        <v>Active</v>
      </c>
      <c r="H1163" s="43" t="s">
        <v>1089</v>
      </c>
      <c r="I1163" s="43" t="s">
        <v>1089</v>
      </c>
      <c r="J1163" s="43" t="s">
        <v>1090</v>
      </c>
      <c r="K1163" s="43" t="s">
        <v>1091</v>
      </c>
      <c r="L1163" s="43" t="s">
        <v>1092</v>
      </c>
      <c r="M1163" s="209">
        <v>2030</v>
      </c>
      <c r="N1163" s="44" t="s">
        <v>2260</v>
      </c>
      <c r="O1163" s="258">
        <v>40</v>
      </c>
      <c r="P1163" s="241" t="str">
        <f>VLOOKUP(_xlfn.CONCAT(Table3[[#This Row],[Target area]],Table3[[#This Row],[GHG target?]],Table3[[#This Row],[Conditionality]]),'Drop down'!$E$81:$F$101,2,FALSE)</f>
        <v>T_Economy_C</v>
      </c>
      <c r="Q1163" s="233" t="str">
        <f>VLOOKUP(Table3[[#This Row],[Target type]],Table418[[Value name]:[Value idenifyer]],2,FALSE)</f>
        <v>T_BAU</v>
      </c>
      <c r="V1163" s="233" t="str">
        <f>VLOOKUP(Table3[[#This Row],[Country Code]],Table29[],3,FALSE)</f>
        <v>Non-Annex I</v>
      </c>
      <c r="W1163" s="233" t="str">
        <f>VLOOKUP(Table3[[#This Row],[Country Code]],Table29[],4,FALSE)</f>
        <v>Africa</v>
      </c>
      <c r="X1163" s="233" t="str">
        <f>VLOOKUP(Table3[[#This Row],[Country Code]],Table29[],5,FALSE)</f>
        <v>Middle-income</v>
      </c>
      <c r="Y1163" s="233" t="str">
        <f>VLOOKUP(Table3[[#This Row],[Country Code]],Table29[],6,FALSE)</f>
        <v>no</v>
      </c>
      <c r="Z1163" s="233" t="str">
        <f>VLOOKUP(Table3[[#This Row],[Country Code]],Table29[],7,FALSE)</f>
        <v>no</v>
      </c>
      <c r="AA1163" s="233" t="str">
        <f>VLOOKUP(Table3[[#This Row],[Country Code]],Table29[],8,FALSE)</f>
        <v>non-OECD</v>
      </c>
      <c r="AB1163" s="233" t="str">
        <f>VLOOKUP(Table3[[#This Row],[Country Code]],Table29[],9,FALSE)</f>
        <v>no</v>
      </c>
      <c r="AC1163" s="233" t="str">
        <f>VLOOKUP(Table3[[#This Row],[Country Code]],Table29[],10,FALSE)</f>
        <v>no</v>
      </c>
      <c r="AD1163" s="235">
        <f>VLOOKUP(Table3[[#This Row],[Country Code]],Table29[],23,FALSE)</f>
        <v>2.6019212840000998</v>
      </c>
      <c r="AE1163" s="235">
        <f>VLOOKUP(Table3[[#This Row],[Country Code]],Table29[],24,FALSE)</f>
        <v>0.50992867306348366</v>
      </c>
      <c r="AF1163" s="43"/>
    </row>
    <row r="1164" spans="1:32" ht="45" x14ac:dyDescent="0.25">
      <c r="A1164" s="360">
        <v>43920</v>
      </c>
      <c r="B1164" s="233" t="str">
        <f>VLOOKUP(Table3[[#This Row],[Document ID]],Table1[],2,FALSE)</f>
        <v>LSO</v>
      </c>
      <c r="C1164" s="233" t="str">
        <f>VLOOKUP(Table3[[#This Row],[Document ID]],Table1[],3,FALSE)</f>
        <v>Lesotho</v>
      </c>
      <c r="D1164" s="233" t="str">
        <f>VLOOKUP(Table3[[#This Row],[Document ID]],Table1[],5,FALSE)</f>
        <v>NDC</v>
      </c>
      <c r="E1164" s="233" t="str">
        <f>VLOOKUP(Table3[[#This Row],[Document ID]],Table1[],7,FALSE)</f>
        <v>Third NDC</v>
      </c>
      <c r="F1164" s="233" t="str">
        <f>VLOOKUP(Table3[[#This Row],[Document ID]],Table1[],8,FALSE)</f>
        <v>NDC 3.0</v>
      </c>
      <c r="G1164" s="233" t="str">
        <f>VLOOKUP(Table3[[#This Row],[Document ID]],Table1[],10,FALSE)</f>
        <v>Active</v>
      </c>
      <c r="H1164" s="43" t="s">
        <v>1095</v>
      </c>
      <c r="I1164" s="43" t="s">
        <v>1096</v>
      </c>
      <c r="J1164" s="43" t="s">
        <v>1097</v>
      </c>
      <c r="K1164" s="43" t="s">
        <v>1137</v>
      </c>
      <c r="L1164" s="43" t="s">
        <v>1099</v>
      </c>
      <c r="M1164" s="209">
        <v>2030</v>
      </c>
      <c r="N1164" s="44" t="s">
        <v>2261</v>
      </c>
      <c r="O1164" s="258">
        <v>51</v>
      </c>
      <c r="P1164" s="241" t="str">
        <f>VLOOKUP(_xlfn.CONCAT(Table3[[#This Row],[Target area]],Table3[[#This Row],[GHG target?]],Table3[[#This Row],[Conditionality]]),'Drop down'!$E$81:$F$101,2,FALSE)</f>
        <v>T_Transport_O_Unc</v>
      </c>
      <c r="Q1164" s="233" t="str">
        <f>VLOOKUP(Table3[[#This Row],[Target type]],Table418[[Value name]:[Value idenifyer]],2,FALSE)</f>
        <v>T_O_EFF</v>
      </c>
      <c r="V1164" s="233" t="str">
        <f>VLOOKUP(Table3[[#This Row],[Country Code]],Table29[],3,FALSE)</f>
        <v>Non-Annex I</v>
      </c>
      <c r="W1164" s="233" t="str">
        <f>VLOOKUP(Table3[[#This Row],[Country Code]],Table29[],4,FALSE)</f>
        <v>Africa</v>
      </c>
      <c r="X1164" s="233" t="str">
        <f>VLOOKUP(Table3[[#This Row],[Country Code]],Table29[],5,FALSE)</f>
        <v>Middle-income</v>
      </c>
      <c r="Y1164" s="233" t="str">
        <f>VLOOKUP(Table3[[#This Row],[Country Code]],Table29[],6,FALSE)</f>
        <v>no</v>
      </c>
      <c r="Z1164" s="233" t="str">
        <f>VLOOKUP(Table3[[#This Row],[Country Code]],Table29[],7,FALSE)</f>
        <v>no</v>
      </c>
      <c r="AA1164" s="233" t="str">
        <f>VLOOKUP(Table3[[#This Row],[Country Code]],Table29[],8,FALSE)</f>
        <v>non-OECD</v>
      </c>
      <c r="AB1164" s="233" t="str">
        <f>VLOOKUP(Table3[[#This Row],[Country Code]],Table29[],9,FALSE)</f>
        <v>no</v>
      </c>
      <c r="AC1164" s="233" t="str">
        <f>VLOOKUP(Table3[[#This Row],[Country Code]],Table29[],10,FALSE)</f>
        <v>no</v>
      </c>
      <c r="AD1164" s="235">
        <f>VLOOKUP(Table3[[#This Row],[Country Code]],Table29[],23,FALSE)</f>
        <v>2.6019212840000998</v>
      </c>
      <c r="AE1164" s="235">
        <f>VLOOKUP(Table3[[#This Row],[Country Code]],Table29[],24,FALSE)</f>
        <v>0.50992867306348366</v>
      </c>
      <c r="AF1164" s="43"/>
    </row>
    <row r="1165" spans="1:32" ht="45" x14ac:dyDescent="0.25">
      <c r="A1165" s="360">
        <v>43920</v>
      </c>
      <c r="B1165" s="233" t="str">
        <f>VLOOKUP(Table3[[#This Row],[Document ID]],Table1[],2,FALSE)</f>
        <v>LSO</v>
      </c>
      <c r="C1165" s="233" t="str">
        <f>VLOOKUP(Table3[[#This Row],[Document ID]],Table1[],3,FALSE)</f>
        <v>Lesotho</v>
      </c>
      <c r="D1165" s="233" t="str">
        <f>VLOOKUP(Table3[[#This Row],[Document ID]],Table1[],5,FALSE)</f>
        <v>NDC</v>
      </c>
      <c r="E1165" s="233" t="str">
        <f>VLOOKUP(Table3[[#This Row],[Document ID]],Table1[],7,FALSE)</f>
        <v>Third NDC</v>
      </c>
      <c r="F1165" s="233" t="str">
        <f>VLOOKUP(Table3[[#This Row],[Document ID]],Table1[],8,FALSE)</f>
        <v>NDC 3.0</v>
      </c>
      <c r="G1165" s="233" t="str">
        <f>VLOOKUP(Table3[[#This Row],[Document ID]],Table1[],10,FALSE)</f>
        <v>Active</v>
      </c>
      <c r="H1165" s="43" t="s">
        <v>1095</v>
      </c>
      <c r="I1165" s="43" t="s">
        <v>1096</v>
      </c>
      <c r="J1165" s="43" t="s">
        <v>1097</v>
      </c>
      <c r="K1165" s="43" t="s">
        <v>1137</v>
      </c>
      <c r="L1165" s="43" t="s">
        <v>1092</v>
      </c>
      <c r="M1165" s="209">
        <v>2030</v>
      </c>
      <c r="N1165" s="44" t="s">
        <v>2262</v>
      </c>
      <c r="O1165" s="258">
        <v>51</v>
      </c>
      <c r="P1165" s="241" t="str">
        <f>VLOOKUP(_xlfn.CONCAT(Table3[[#This Row],[Target area]],Table3[[#This Row],[GHG target?]],Table3[[#This Row],[Conditionality]]),'Drop down'!$E$81:$F$101,2,FALSE)</f>
        <v>T_Transport_O_C</v>
      </c>
      <c r="Q1165" s="233" t="str">
        <f>VLOOKUP(Table3[[#This Row],[Target type]],Table418[[Value name]:[Value idenifyer]],2,FALSE)</f>
        <v>T_O_EFF</v>
      </c>
      <c r="V1165" s="233" t="str">
        <f>VLOOKUP(Table3[[#This Row],[Country Code]],Table29[],3,FALSE)</f>
        <v>Non-Annex I</v>
      </c>
      <c r="W1165" s="233" t="str">
        <f>VLOOKUP(Table3[[#This Row],[Country Code]],Table29[],4,FALSE)</f>
        <v>Africa</v>
      </c>
      <c r="X1165" s="233" t="str">
        <f>VLOOKUP(Table3[[#This Row],[Country Code]],Table29[],5,FALSE)</f>
        <v>Middle-income</v>
      </c>
      <c r="Y1165" s="233" t="str">
        <f>VLOOKUP(Table3[[#This Row],[Country Code]],Table29[],6,FALSE)</f>
        <v>no</v>
      </c>
      <c r="Z1165" s="233" t="str">
        <f>VLOOKUP(Table3[[#This Row],[Country Code]],Table29[],7,FALSE)</f>
        <v>no</v>
      </c>
      <c r="AA1165" s="233" t="str">
        <f>VLOOKUP(Table3[[#This Row],[Country Code]],Table29[],8,FALSE)</f>
        <v>non-OECD</v>
      </c>
      <c r="AB1165" s="233" t="str">
        <f>VLOOKUP(Table3[[#This Row],[Country Code]],Table29[],9,FALSE)</f>
        <v>no</v>
      </c>
      <c r="AC1165" s="233" t="str">
        <f>VLOOKUP(Table3[[#This Row],[Country Code]],Table29[],10,FALSE)</f>
        <v>no</v>
      </c>
      <c r="AD1165" s="235">
        <f>VLOOKUP(Table3[[#This Row],[Country Code]],Table29[],23,FALSE)</f>
        <v>2.6019212840000998</v>
      </c>
      <c r="AE1165" s="235">
        <f>VLOOKUP(Table3[[#This Row],[Country Code]],Table29[],24,FALSE)</f>
        <v>0.50992867306348366</v>
      </c>
      <c r="AF1165" s="43"/>
    </row>
    <row r="1166" spans="1:32" ht="30" x14ac:dyDescent="0.25">
      <c r="A1166" s="360">
        <v>43920</v>
      </c>
      <c r="B1166" s="233" t="str">
        <f>VLOOKUP(Table3[[#This Row],[Document ID]],Table1[],2,FALSE)</f>
        <v>LSO</v>
      </c>
      <c r="C1166" s="233" t="str">
        <f>VLOOKUP(Table3[[#This Row],[Document ID]],Table1[],3,FALSE)</f>
        <v>Lesotho</v>
      </c>
      <c r="D1166" s="233" t="str">
        <f>VLOOKUP(Table3[[#This Row],[Document ID]],Table1[],5,FALSE)</f>
        <v>NDC</v>
      </c>
      <c r="E1166" s="233" t="str">
        <f>VLOOKUP(Table3[[#This Row],[Document ID]],Table1[],7,FALSE)</f>
        <v>Third NDC</v>
      </c>
      <c r="F1166" s="233" t="str">
        <f>VLOOKUP(Table3[[#This Row],[Document ID]],Table1[],8,FALSE)</f>
        <v>NDC 3.0</v>
      </c>
      <c r="G1166" s="233" t="str">
        <f>VLOOKUP(Table3[[#This Row],[Document ID]],Table1[],10,FALSE)</f>
        <v>Active</v>
      </c>
      <c r="H1166" s="43" t="s">
        <v>1095</v>
      </c>
      <c r="I1166" s="43" t="s">
        <v>1096</v>
      </c>
      <c r="J1166" s="43" t="s">
        <v>1097</v>
      </c>
      <c r="K1166" s="43" t="s">
        <v>1137</v>
      </c>
      <c r="L1166" s="43" t="s">
        <v>1099</v>
      </c>
      <c r="M1166" s="209">
        <v>2030</v>
      </c>
      <c r="N1166" s="44" t="s">
        <v>2263</v>
      </c>
      <c r="O1166" s="258">
        <v>52</v>
      </c>
      <c r="P1166" s="241" t="str">
        <f>VLOOKUP(_xlfn.CONCAT(Table3[[#This Row],[Target area]],Table3[[#This Row],[GHG target?]],Table3[[#This Row],[Conditionality]]),'Drop down'!$E$81:$F$101,2,FALSE)</f>
        <v>T_Transport_O_Unc</v>
      </c>
      <c r="Q1166" s="233" t="str">
        <f>VLOOKUP(Table3[[#This Row],[Target type]],Table418[[Value name]:[Value idenifyer]],2,FALSE)</f>
        <v>T_O_EFF</v>
      </c>
      <c r="V1166" s="233" t="str">
        <f>VLOOKUP(Table3[[#This Row],[Country Code]],Table29[],3,FALSE)</f>
        <v>Non-Annex I</v>
      </c>
      <c r="W1166" s="233" t="str">
        <f>VLOOKUP(Table3[[#This Row],[Country Code]],Table29[],4,FALSE)</f>
        <v>Africa</v>
      </c>
      <c r="X1166" s="233" t="str">
        <f>VLOOKUP(Table3[[#This Row],[Country Code]],Table29[],5,FALSE)</f>
        <v>Middle-income</v>
      </c>
      <c r="Y1166" s="233" t="str">
        <f>VLOOKUP(Table3[[#This Row],[Country Code]],Table29[],6,FALSE)</f>
        <v>no</v>
      </c>
      <c r="Z1166" s="233" t="str">
        <f>VLOOKUP(Table3[[#This Row],[Country Code]],Table29[],7,FALSE)</f>
        <v>no</v>
      </c>
      <c r="AA1166" s="233" t="str">
        <f>VLOOKUP(Table3[[#This Row],[Country Code]],Table29[],8,FALSE)</f>
        <v>non-OECD</v>
      </c>
      <c r="AB1166" s="233" t="str">
        <f>VLOOKUP(Table3[[#This Row],[Country Code]],Table29[],9,FALSE)</f>
        <v>no</v>
      </c>
      <c r="AC1166" s="233" t="str">
        <f>VLOOKUP(Table3[[#This Row],[Country Code]],Table29[],10,FALSE)</f>
        <v>no</v>
      </c>
      <c r="AD1166" s="235">
        <f>VLOOKUP(Table3[[#This Row],[Country Code]],Table29[],23,FALSE)</f>
        <v>2.6019212840000998</v>
      </c>
      <c r="AE1166" s="235">
        <f>VLOOKUP(Table3[[#This Row],[Country Code]],Table29[],24,FALSE)</f>
        <v>0.50992867306348366</v>
      </c>
      <c r="AF1166" s="43"/>
    </row>
    <row r="1167" spans="1:32" x14ac:dyDescent="0.25">
      <c r="A1167" s="360">
        <v>43920</v>
      </c>
      <c r="B1167" s="233" t="str">
        <f>VLOOKUP(Table3[[#This Row],[Document ID]],Table1[],2,FALSE)</f>
        <v>LSO</v>
      </c>
      <c r="C1167" s="233" t="str">
        <f>VLOOKUP(Table3[[#This Row],[Document ID]],Table1[],3,FALSE)</f>
        <v>Lesotho</v>
      </c>
      <c r="D1167" s="233" t="str">
        <f>VLOOKUP(Table3[[#This Row],[Document ID]],Table1[],5,FALSE)</f>
        <v>NDC</v>
      </c>
      <c r="E1167" s="233" t="str">
        <f>VLOOKUP(Table3[[#This Row],[Document ID]],Table1[],7,FALSE)</f>
        <v>Third NDC</v>
      </c>
      <c r="F1167" s="233" t="str">
        <f>VLOOKUP(Table3[[#This Row],[Document ID]],Table1[],8,FALSE)</f>
        <v>NDC 3.0</v>
      </c>
      <c r="G1167" s="233" t="str">
        <f>VLOOKUP(Table3[[#This Row],[Document ID]],Table1[],10,FALSE)</f>
        <v>Active</v>
      </c>
      <c r="H1167" s="43" t="s">
        <v>1095</v>
      </c>
      <c r="I1167" s="43" t="s">
        <v>1096</v>
      </c>
      <c r="J1167" s="43" t="s">
        <v>1097</v>
      </c>
      <c r="K1167" s="43" t="s">
        <v>1162</v>
      </c>
      <c r="L1167" s="43" t="s">
        <v>1099</v>
      </c>
      <c r="M1167" s="209">
        <v>2030</v>
      </c>
      <c r="N1167" s="44" t="s">
        <v>2264</v>
      </c>
      <c r="O1167" s="258">
        <v>52</v>
      </c>
      <c r="P1167" s="241" t="str">
        <f>VLOOKUP(_xlfn.CONCAT(Table3[[#This Row],[Target area]],Table3[[#This Row],[GHG target?]],Table3[[#This Row],[Conditionality]]),'Drop down'!$E$81:$F$101,2,FALSE)</f>
        <v>T_Transport_O_Unc</v>
      </c>
      <c r="Q1167" s="233" t="str">
        <f>VLOOKUP(Table3[[#This Row],[Target type]],Table418[[Value name]:[Value idenifyer]],2,FALSE)</f>
        <v>T_O_INFRA</v>
      </c>
      <c r="V1167" s="233" t="str">
        <f>VLOOKUP(Table3[[#This Row],[Country Code]],Table29[],3,FALSE)</f>
        <v>Non-Annex I</v>
      </c>
      <c r="W1167" s="233" t="str">
        <f>VLOOKUP(Table3[[#This Row],[Country Code]],Table29[],4,FALSE)</f>
        <v>Africa</v>
      </c>
      <c r="X1167" s="233" t="str">
        <f>VLOOKUP(Table3[[#This Row],[Country Code]],Table29[],5,FALSE)</f>
        <v>Middle-income</v>
      </c>
      <c r="Y1167" s="233" t="str">
        <f>VLOOKUP(Table3[[#This Row],[Country Code]],Table29[],6,FALSE)</f>
        <v>no</v>
      </c>
      <c r="Z1167" s="233" t="str">
        <f>VLOOKUP(Table3[[#This Row],[Country Code]],Table29[],7,FALSE)</f>
        <v>no</v>
      </c>
      <c r="AA1167" s="233" t="str">
        <f>VLOOKUP(Table3[[#This Row],[Country Code]],Table29[],8,FALSE)</f>
        <v>non-OECD</v>
      </c>
      <c r="AB1167" s="233" t="str">
        <f>VLOOKUP(Table3[[#This Row],[Country Code]],Table29[],9,FALSE)</f>
        <v>no</v>
      </c>
      <c r="AC1167" s="233" t="str">
        <f>VLOOKUP(Table3[[#This Row],[Country Code]],Table29[],10,FALSE)</f>
        <v>no</v>
      </c>
      <c r="AD1167" s="235">
        <f>VLOOKUP(Table3[[#This Row],[Country Code]],Table29[],23,FALSE)</f>
        <v>2.6019212840000998</v>
      </c>
      <c r="AE1167" s="235">
        <f>VLOOKUP(Table3[[#This Row],[Country Code]],Table29[],24,FALSE)</f>
        <v>0.50992867306348366</v>
      </c>
      <c r="AF1167" s="43"/>
    </row>
    <row r="1168" spans="1:32" x14ac:dyDescent="0.25">
      <c r="A1168" s="360">
        <v>43920</v>
      </c>
      <c r="B1168" s="233" t="str">
        <f>VLOOKUP(Table3[[#This Row],[Document ID]],Table1[],2,FALSE)</f>
        <v>LSO</v>
      </c>
      <c r="C1168" s="233" t="str">
        <f>VLOOKUP(Table3[[#This Row],[Document ID]],Table1[],3,FALSE)</f>
        <v>Lesotho</v>
      </c>
      <c r="D1168" s="233" t="str">
        <f>VLOOKUP(Table3[[#This Row],[Document ID]],Table1[],5,FALSE)</f>
        <v>NDC</v>
      </c>
      <c r="E1168" s="233" t="str">
        <f>VLOOKUP(Table3[[#This Row],[Document ID]],Table1[],7,FALSE)</f>
        <v>Third NDC</v>
      </c>
      <c r="F1168" s="233" t="str">
        <f>VLOOKUP(Table3[[#This Row],[Document ID]],Table1[],8,FALSE)</f>
        <v>NDC 3.0</v>
      </c>
      <c r="G1168" s="233" t="str">
        <f>VLOOKUP(Table3[[#This Row],[Document ID]],Table1[],10,FALSE)</f>
        <v>Active</v>
      </c>
      <c r="H1168" s="43" t="s">
        <v>1095</v>
      </c>
      <c r="I1168" s="43" t="s">
        <v>1096</v>
      </c>
      <c r="J1168" s="43" t="s">
        <v>1097</v>
      </c>
      <c r="K1168" s="43" t="s">
        <v>1162</v>
      </c>
      <c r="L1168" s="43" t="s">
        <v>1092</v>
      </c>
      <c r="M1168" s="209">
        <v>2030</v>
      </c>
      <c r="N1168" s="44" t="s">
        <v>2265</v>
      </c>
      <c r="O1168" s="258">
        <v>52</v>
      </c>
      <c r="P1168" s="241" t="str">
        <f>VLOOKUP(_xlfn.CONCAT(Table3[[#This Row],[Target area]],Table3[[#This Row],[GHG target?]],Table3[[#This Row],[Conditionality]]),'Drop down'!$E$81:$F$101,2,FALSE)</f>
        <v>T_Transport_O_C</v>
      </c>
      <c r="Q1168" s="233" t="str">
        <f>VLOOKUP(Table3[[#This Row],[Target type]],Table418[[Value name]:[Value idenifyer]],2,FALSE)</f>
        <v>T_O_INFRA</v>
      </c>
      <c r="V1168" s="233" t="str">
        <f>VLOOKUP(Table3[[#This Row],[Country Code]],Table29[],3,FALSE)</f>
        <v>Non-Annex I</v>
      </c>
      <c r="W1168" s="233" t="str">
        <f>VLOOKUP(Table3[[#This Row],[Country Code]],Table29[],4,FALSE)</f>
        <v>Africa</v>
      </c>
      <c r="X1168" s="233" t="str">
        <f>VLOOKUP(Table3[[#This Row],[Country Code]],Table29[],5,FALSE)</f>
        <v>Middle-income</v>
      </c>
      <c r="Y1168" s="233" t="str">
        <f>VLOOKUP(Table3[[#This Row],[Country Code]],Table29[],6,FALSE)</f>
        <v>no</v>
      </c>
      <c r="Z1168" s="233" t="str">
        <f>VLOOKUP(Table3[[#This Row],[Country Code]],Table29[],7,FALSE)</f>
        <v>no</v>
      </c>
      <c r="AA1168" s="233" t="str">
        <f>VLOOKUP(Table3[[#This Row],[Country Code]],Table29[],8,FALSE)</f>
        <v>non-OECD</v>
      </c>
      <c r="AB1168" s="233" t="str">
        <f>VLOOKUP(Table3[[#This Row],[Country Code]],Table29[],9,FALSE)</f>
        <v>no</v>
      </c>
      <c r="AC1168" s="233" t="str">
        <f>VLOOKUP(Table3[[#This Row],[Country Code]],Table29[],10,FALSE)</f>
        <v>no</v>
      </c>
      <c r="AD1168" s="235">
        <f>VLOOKUP(Table3[[#This Row],[Country Code]],Table29[],23,FALSE)</f>
        <v>2.6019212840000998</v>
      </c>
      <c r="AE1168" s="235">
        <f>VLOOKUP(Table3[[#This Row],[Country Code]],Table29[],24,FALSE)</f>
        <v>0.50992867306348366</v>
      </c>
      <c r="AF1168" s="43"/>
    </row>
    <row r="1169" spans="1:32" x14ac:dyDescent="0.25">
      <c r="A1169" s="360">
        <v>43920</v>
      </c>
      <c r="B1169" s="233" t="str">
        <f>VLOOKUP(Table3[[#This Row],[Document ID]],Table1[],2,FALSE)</f>
        <v>LSO</v>
      </c>
      <c r="C1169" s="233" t="str">
        <f>VLOOKUP(Table3[[#This Row],[Document ID]],Table1[],3,FALSE)</f>
        <v>Lesotho</v>
      </c>
      <c r="D1169" s="233" t="str">
        <f>VLOOKUP(Table3[[#This Row],[Document ID]],Table1[],5,FALSE)</f>
        <v>NDC</v>
      </c>
      <c r="E1169" s="233" t="str">
        <f>VLOOKUP(Table3[[#This Row],[Document ID]],Table1[],7,FALSE)</f>
        <v>Third NDC</v>
      </c>
      <c r="F1169" s="233" t="str">
        <f>VLOOKUP(Table3[[#This Row],[Document ID]],Table1[],8,FALSE)</f>
        <v>NDC 3.0</v>
      </c>
      <c r="G1169" s="233" t="str">
        <f>VLOOKUP(Table3[[#This Row],[Document ID]],Table1[],10,FALSE)</f>
        <v>Active</v>
      </c>
      <c r="H1169" s="43" t="s">
        <v>1095</v>
      </c>
      <c r="I1169" s="43" t="s">
        <v>1096</v>
      </c>
      <c r="J1169" s="43" t="s">
        <v>1097</v>
      </c>
      <c r="K1169" s="43" t="s">
        <v>1104</v>
      </c>
      <c r="L1169" s="43" t="s">
        <v>1092</v>
      </c>
      <c r="M1169" s="209">
        <v>2030</v>
      </c>
      <c r="N1169" s="44" t="s">
        <v>2266</v>
      </c>
      <c r="O1169" s="258">
        <v>52</v>
      </c>
      <c r="P1169" s="241" t="str">
        <f>VLOOKUP(_xlfn.CONCAT(Table3[[#This Row],[Target area]],Table3[[#This Row],[GHG target?]],Table3[[#This Row],[Conditionality]]),'Drop down'!$E$81:$F$101,2,FALSE)</f>
        <v>T_Transport_O_C</v>
      </c>
      <c r="Q1169" s="233" t="str">
        <f>VLOOKUP(Table3[[#This Row],[Target type]],Table418[[Value name]:[Value idenifyer]],2,FALSE)</f>
        <v>T_O_ZERO</v>
      </c>
      <c r="V1169" s="233" t="str">
        <f>VLOOKUP(Table3[[#This Row],[Country Code]],Table29[],3,FALSE)</f>
        <v>Non-Annex I</v>
      </c>
      <c r="W1169" s="233" t="str">
        <f>VLOOKUP(Table3[[#This Row],[Country Code]],Table29[],4,FALSE)</f>
        <v>Africa</v>
      </c>
      <c r="X1169" s="233" t="str">
        <f>VLOOKUP(Table3[[#This Row],[Country Code]],Table29[],5,FALSE)</f>
        <v>Middle-income</v>
      </c>
      <c r="Y1169" s="233" t="str">
        <f>VLOOKUP(Table3[[#This Row],[Country Code]],Table29[],6,FALSE)</f>
        <v>no</v>
      </c>
      <c r="Z1169" s="233" t="str">
        <f>VLOOKUP(Table3[[#This Row],[Country Code]],Table29[],7,FALSE)</f>
        <v>no</v>
      </c>
      <c r="AA1169" s="233" t="str">
        <f>VLOOKUP(Table3[[#This Row],[Country Code]],Table29[],8,FALSE)</f>
        <v>non-OECD</v>
      </c>
      <c r="AB1169" s="233" t="str">
        <f>VLOOKUP(Table3[[#This Row],[Country Code]],Table29[],9,FALSE)</f>
        <v>no</v>
      </c>
      <c r="AC1169" s="233" t="str">
        <f>VLOOKUP(Table3[[#This Row],[Country Code]],Table29[],10,FALSE)</f>
        <v>no</v>
      </c>
      <c r="AD1169" s="235">
        <f>VLOOKUP(Table3[[#This Row],[Country Code]],Table29[],23,FALSE)</f>
        <v>2.6019212840000998</v>
      </c>
      <c r="AE1169" s="235">
        <f>VLOOKUP(Table3[[#This Row],[Country Code]],Table29[],24,FALSE)</f>
        <v>0.50992867306348366</v>
      </c>
      <c r="AF1169" s="43"/>
    </row>
    <row r="1170" spans="1:32" ht="30" x14ac:dyDescent="0.25">
      <c r="A1170" s="360">
        <v>43920</v>
      </c>
      <c r="B1170" s="233" t="str">
        <f>VLOOKUP(Table3[[#This Row],[Document ID]],Table1[],2,FALSE)</f>
        <v>LSO</v>
      </c>
      <c r="C1170" s="233" t="str">
        <f>VLOOKUP(Table3[[#This Row],[Document ID]],Table1[],3,FALSE)</f>
        <v>Lesotho</v>
      </c>
      <c r="D1170" s="233" t="str">
        <f>VLOOKUP(Table3[[#This Row],[Document ID]],Table1[],5,FALSE)</f>
        <v>NDC</v>
      </c>
      <c r="E1170" s="233" t="str">
        <f>VLOOKUP(Table3[[#This Row],[Document ID]],Table1[],7,FALSE)</f>
        <v>Third NDC</v>
      </c>
      <c r="F1170" s="233" t="str">
        <f>VLOOKUP(Table3[[#This Row],[Document ID]],Table1[],8,FALSE)</f>
        <v>NDC 3.0</v>
      </c>
      <c r="G1170" s="233" t="str">
        <f>VLOOKUP(Table3[[#This Row],[Document ID]],Table1[],10,FALSE)</f>
        <v>Active</v>
      </c>
      <c r="H1170" s="43" t="s">
        <v>1095</v>
      </c>
      <c r="I1170" s="43" t="s">
        <v>1096</v>
      </c>
      <c r="J1170" s="43" t="s">
        <v>1097</v>
      </c>
      <c r="K1170" s="43" t="s">
        <v>1098</v>
      </c>
      <c r="L1170" s="43" t="s">
        <v>1116</v>
      </c>
      <c r="M1170" s="209">
        <v>2030</v>
      </c>
      <c r="N1170" s="44" t="s">
        <v>2267</v>
      </c>
      <c r="O1170" s="258">
        <v>53</v>
      </c>
      <c r="P1170" s="241" t="str">
        <f>VLOOKUP(_xlfn.CONCAT(Table3[[#This Row],[Target area]],Table3[[#This Row],[GHG target?]],Table3[[#This Row],[Conditionality]]),'Drop down'!$E$81:$F$101,2,FALSE)</f>
        <v>T_Transport_O</v>
      </c>
      <c r="Q1170" s="233" t="str">
        <f>VLOOKUP(Table3[[#This Row],[Target type]],Table418[[Value name]:[Value idenifyer]],2,FALSE)</f>
        <v>T_O_MODE</v>
      </c>
      <c r="V1170" s="233" t="str">
        <f>VLOOKUP(Table3[[#This Row],[Country Code]],Table29[],3,FALSE)</f>
        <v>Non-Annex I</v>
      </c>
      <c r="W1170" s="233" t="str">
        <f>VLOOKUP(Table3[[#This Row],[Country Code]],Table29[],4,FALSE)</f>
        <v>Africa</v>
      </c>
      <c r="X1170" s="233" t="str">
        <f>VLOOKUP(Table3[[#This Row],[Country Code]],Table29[],5,FALSE)</f>
        <v>Middle-income</v>
      </c>
      <c r="Y1170" s="233" t="str">
        <f>VLOOKUP(Table3[[#This Row],[Country Code]],Table29[],6,FALSE)</f>
        <v>no</v>
      </c>
      <c r="Z1170" s="233" t="str">
        <f>VLOOKUP(Table3[[#This Row],[Country Code]],Table29[],7,FALSE)</f>
        <v>no</v>
      </c>
      <c r="AA1170" s="233" t="str">
        <f>VLOOKUP(Table3[[#This Row],[Country Code]],Table29[],8,FALSE)</f>
        <v>non-OECD</v>
      </c>
      <c r="AB1170" s="233" t="str">
        <f>VLOOKUP(Table3[[#This Row],[Country Code]],Table29[],9,FALSE)</f>
        <v>no</v>
      </c>
      <c r="AC1170" s="233" t="str">
        <f>VLOOKUP(Table3[[#This Row],[Country Code]],Table29[],10,FALSE)</f>
        <v>no</v>
      </c>
      <c r="AD1170" s="235">
        <f>VLOOKUP(Table3[[#This Row],[Country Code]],Table29[],23,FALSE)</f>
        <v>2.6019212840000998</v>
      </c>
      <c r="AE1170" s="235">
        <f>VLOOKUP(Table3[[#This Row],[Country Code]],Table29[],24,FALSE)</f>
        <v>0.50992867306348366</v>
      </c>
      <c r="AF1170" s="43"/>
    </row>
    <row r="1171" spans="1:32" ht="45" x14ac:dyDescent="0.25">
      <c r="A1171" s="360">
        <v>43921</v>
      </c>
      <c r="B1171" s="233" t="str">
        <f>VLOOKUP(Table3[[#This Row],[Document ID]],Table1[],2,FALSE)</f>
        <v>LCA</v>
      </c>
      <c r="C1171" s="233" t="str">
        <f>VLOOKUP(Table3[[#This Row],[Document ID]],Table1[],3,FALSE)</f>
        <v>Saint Lucia</v>
      </c>
      <c r="D1171" s="233" t="str">
        <f>VLOOKUP(Table3[[#This Row],[Document ID]],Table1[],5,FALSE)</f>
        <v>NDC</v>
      </c>
      <c r="E1171" s="233" t="str">
        <f>VLOOKUP(Table3[[#This Row],[Document ID]],Table1[],7,FALSE)</f>
        <v>Third NDC</v>
      </c>
      <c r="F1171" s="233" t="str">
        <f>VLOOKUP(Table3[[#This Row],[Document ID]],Table1[],8,FALSE)</f>
        <v>NDC 3.0</v>
      </c>
      <c r="G1171" s="233" t="str">
        <f>VLOOKUP(Table3[[#This Row],[Document ID]],Table1[],10,FALSE)</f>
        <v>Active</v>
      </c>
      <c r="H1171" s="43" t="s">
        <v>1089</v>
      </c>
      <c r="I1171" s="43" t="s">
        <v>1089</v>
      </c>
      <c r="J1171" s="43" t="s">
        <v>1090</v>
      </c>
      <c r="K1171" s="43" t="s">
        <v>1091</v>
      </c>
      <c r="L1171" s="43" t="s">
        <v>1099</v>
      </c>
      <c r="M1171" s="209">
        <v>2035</v>
      </c>
      <c r="N1171" s="44" t="s">
        <v>2268</v>
      </c>
      <c r="O1171" s="258">
        <v>18</v>
      </c>
      <c r="P1171" s="241" t="str">
        <f>VLOOKUP(_xlfn.CONCAT(Table3[[#This Row],[Target area]],Table3[[#This Row],[GHG target?]],Table3[[#This Row],[Conditionality]]),'Drop down'!$E$81:$F$101,2,FALSE)</f>
        <v>T_Economy_Unc</v>
      </c>
      <c r="Q1171" s="233" t="str">
        <f>VLOOKUP(Table3[[#This Row],[Target type]],Table418[[Value name]:[Value idenifyer]],2,FALSE)</f>
        <v>T_BAU</v>
      </c>
      <c r="V1171" s="233" t="str">
        <f>VLOOKUP(Table3[[#This Row],[Country Code]],Table29[],3,FALSE)</f>
        <v>Non-Annex I</v>
      </c>
      <c r="W1171" s="233" t="str">
        <f>VLOOKUP(Table3[[#This Row],[Country Code]],Table29[],4,FALSE)</f>
        <v>Latin America and the Caribbean</v>
      </c>
      <c r="X1171" s="233" t="str">
        <f>VLOOKUP(Table3[[#This Row],[Country Code]],Table29[],5,FALSE)</f>
        <v>Middle-income</v>
      </c>
      <c r="Y1171" s="233" t="str">
        <f>VLOOKUP(Table3[[#This Row],[Country Code]],Table29[],6,FALSE)</f>
        <v>no</v>
      </c>
      <c r="Z1171" s="233" t="str">
        <f>VLOOKUP(Table3[[#This Row],[Country Code]],Table29[],7,FALSE)</f>
        <v>no</v>
      </c>
      <c r="AA1171" s="233" t="str">
        <f>VLOOKUP(Table3[[#This Row],[Country Code]],Table29[],8,FALSE)</f>
        <v>non-OECD</v>
      </c>
      <c r="AB1171" s="233" t="str">
        <f>VLOOKUP(Table3[[#This Row],[Country Code]],Table29[],9,FALSE)</f>
        <v>no</v>
      </c>
      <c r="AC1171" s="233" t="str">
        <f>VLOOKUP(Table3[[#This Row],[Country Code]],Table29[],10,FALSE)</f>
        <v>no</v>
      </c>
      <c r="AD1171" s="235">
        <f>VLOOKUP(Table3[[#This Row],[Country Code]],Table29[],23,FALSE)</f>
        <v>0.45126691251345002</v>
      </c>
      <c r="AE1171" s="235">
        <f>VLOOKUP(Table3[[#This Row],[Country Code]],Table29[],24,FALSE)</f>
        <v>0.10561796037965671</v>
      </c>
      <c r="AF1171" s="43"/>
    </row>
    <row r="1172" spans="1:32" ht="60" x14ac:dyDescent="0.25">
      <c r="A1172" s="360">
        <v>43921</v>
      </c>
      <c r="B1172" s="233" t="str">
        <f>VLOOKUP(Table3[[#This Row],[Document ID]],Table1[],2,FALSE)</f>
        <v>LCA</v>
      </c>
      <c r="C1172" s="233" t="str">
        <f>VLOOKUP(Table3[[#This Row],[Document ID]],Table1[],3,FALSE)</f>
        <v>Saint Lucia</v>
      </c>
      <c r="D1172" s="233" t="str">
        <f>VLOOKUP(Table3[[#This Row],[Document ID]],Table1[],5,FALSE)</f>
        <v>NDC</v>
      </c>
      <c r="E1172" s="233" t="str">
        <f>VLOOKUP(Table3[[#This Row],[Document ID]],Table1[],7,FALSE)</f>
        <v>Third NDC</v>
      </c>
      <c r="F1172" s="233" t="str">
        <f>VLOOKUP(Table3[[#This Row],[Document ID]],Table1[],8,FALSE)</f>
        <v>NDC 3.0</v>
      </c>
      <c r="G1172" s="233" t="str">
        <f>VLOOKUP(Table3[[#This Row],[Document ID]],Table1[],10,FALSE)</f>
        <v>Active</v>
      </c>
      <c r="H1172" s="43" t="s">
        <v>1095</v>
      </c>
      <c r="I1172" s="43" t="s">
        <v>1115</v>
      </c>
      <c r="J1172" s="43" t="s">
        <v>1090</v>
      </c>
      <c r="K1172" s="43" t="s">
        <v>1121</v>
      </c>
      <c r="L1172" s="27" t="s">
        <v>1116</v>
      </c>
      <c r="M1172" s="209">
        <v>2035</v>
      </c>
      <c r="N1172" s="44" t="s">
        <v>2269</v>
      </c>
      <c r="O1172" s="258">
        <v>3</v>
      </c>
      <c r="P1172" s="241" t="str">
        <f>VLOOKUP(_xlfn.CONCAT(Table3[[#This Row],[Target area]],Table3[[#This Row],[GHG target?]],Table3[[#This Row],[Conditionality]]),'Drop down'!$E$81:$F$101,2,FALSE)</f>
        <v>T_Transport</v>
      </c>
      <c r="Q1172" s="233" t="str">
        <f>VLOOKUP(Table3[[#This Row],[Target type]],Table418[[Value name]:[Value idenifyer]],2,FALSE)</f>
        <v>T_FL</v>
      </c>
      <c r="V1172" s="233" t="str">
        <f>VLOOKUP(Table3[[#This Row],[Country Code]],Table29[],3,FALSE)</f>
        <v>Non-Annex I</v>
      </c>
      <c r="W1172" s="233" t="str">
        <f>VLOOKUP(Table3[[#This Row],[Country Code]],Table29[],4,FALSE)</f>
        <v>Latin America and the Caribbean</v>
      </c>
      <c r="X1172" s="233" t="str">
        <f>VLOOKUP(Table3[[#This Row],[Country Code]],Table29[],5,FALSE)</f>
        <v>Middle-income</v>
      </c>
      <c r="Y1172" s="233" t="str">
        <f>VLOOKUP(Table3[[#This Row],[Country Code]],Table29[],6,FALSE)</f>
        <v>no</v>
      </c>
      <c r="Z1172" s="233" t="str">
        <f>VLOOKUP(Table3[[#This Row],[Country Code]],Table29[],7,FALSE)</f>
        <v>no</v>
      </c>
      <c r="AA1172" s="233" t="str">
        <f>VLOOKUP(Table3[[#This Row],[Country Code]],Table29[],8,FALSE)</f>
        <v>non-OECD</v>
      </c>
      <c r="AB1172" s="233" t="str">
        <f>VLOOKUP(Table3[[#This Row],[Country Code]],Table29[],9,FALSE)</f>
        <v>no</v>
      </c>
      <c r="AC1172" s="233" t="str">
        <f>VLOOKUP(Table3[[#This Row],[Country Code]],Table29[],10,FALSE)</f>
        <v>no</v>
      </c>
      <c r="AD1172" s="235">
        <f>VLOOKUP(Table3[[#This Row],[Country Code]],Table29[],23,FALSE)</f>
        <v>0.45126691251345002</v>
      </c>
      <c r="AE1172" s="235">
        <f>VLOOKUP(Table3[[#This Row],[Country Code]],Table29[],24,FALSE)</f>
        <v>0.10561796037965671</v>
      </c>
      <c r="AF1172" s="43"/>
    </row>
    <row r="1173" spans="1:32" ht="45" x14ac:dyDescent="0.25">
      <c r="A1173" s="360">
        <v>43921</v>
      </c>
      <c r="B1173" s="233" t="str">
        <f>VLOOKUP(Table3[[#This Row],[Document ID]],Table1[],2,FALSE)</f>
        <v>LCA</v>
      </c>
      <c r="C1173" s="233" t="str">
        <f>VLOOKUP(Table3[[#This Row],[Document ID]],Table1[],3,FALSE)</f>
        <v>Saint Lucia</v>
      </c>
      <c r="D1173" s="233" t="str">
        <f>VLOOKUP(Table3[[#This Row],[Document ID]],Table1[],5,FALSE)</f>
        <v>NDC</v>
      </c>
      <c r="E1173" s="233" t="str">
        <f>VLOOKUP(Table3[[#This Row],[Document ID]],Table1[],7,FALSE)</f>
        <v>Third NDC</v>
      </c>
      <c r="F1173" s="233" t="str">
        <f>VLOOKUP(Table3[[#This Row],[Document ID]],Table1[],8,FALSE)</f>
        <v>NDC 3.0</v>
      </c>
      <c r="G1173" s="233" t="str">
        <f>VLOOKUP(Table3[[#This Row],[Document ID]],Table1[],10,FALSE)</f>
        <v>Active</v>
      </c>
      <c r="H1173" s="43" t="s">
        <v>1095</v>
      </c>
      <c r="I1173" s="43" t="s">
        <v>1096</v>
      </c>
      <c r="J1173" s="43" t="s">
        <v>1097</v>
      </c>
      <c r="K1173" s="43" t="s">
        <v>1104</v>
      </c>
      <c r="L1173" s="27" t="s">
        <v>1116</v>
      </c>
      <c r="M1173" s="209">
        <v>2035</v>
      </c>
      <c r="N1173" s="44" t="s">
        <v>2270</v>
      </c>
      <c r="O1173" s="258">
        <v>8</v>
      </c>
      <c r="P1173" s="241" t="str">
        <f>VLOOKUP(_xlfn.CONCAT(Table3[[#This Row],[Target area]],Table3[[#This Row],[GHG target?]],Table3[[#This Row],[Conditionality]]),'Drop down'!$E$81:$F$101,2,FALSE)</f>
        <v>T_Transport_O</v>
      </c>
      <c r="Q1173" s="233" t="str">
        <f>VLOOKUP(Table3[[#This Row],[Target type]],Table418[[Value name]:[Value idenifyer]],2,FALSE)</f>
        <v>T_O_ZERO</v>
      </c>
      <c r="V1173" s="233" t="str">
        <f>VLOOKUP(Table3[[#This Row],[Country Code]],Table29[],3,FALSE)</f>
        <v>Non-Annex I</v>
      </c>
      <c r="W1173" s="233" t="str">
        <f>VLOOKUP(Table3[[#This Row],[Country Code]],Table29[],4,FALSE)</f>
        <v>Latin America and the Caribbean</v>
      </c>
      <c r="X1173" s="233" t="str">
        <f>VLOOKUP(Table3[[#This Row],[Country Code]],Table29[],5,FALSE)</f>
        <v>Middle-income</v>
      </c>
      <c r="Y1173" s="233" t="str">
        <f>VLOOKUP(Table3[[#This Row],[Country Code]],Table29[],6,FALSE)</f>
        <v>no</v>
      </c>
      <c r="Z1173" s="233" t="str">
        <f>VLOOKUP(Table3[[#This Row],[Country Code]],Table29[],7,FALSE)</f>
        <v>no</v>
      </c>
      <c r="AA1173" s="233" t="str">
        <f>VLOOKUP(Table3[[#This Row],[Country Code]],Table29[],8,FALSE)</f>
        <v>non-OECD</v>
      </c>
      <c r="AB1173" s="233" t="str">
        <f>VLOOKUP(Table3[[#This Row],[Country Code]],Table29[],9,FALSE)</f>
        <v>no</v>
      </c>
      <c r="AC1173" s="233" t="str">
        <f>VLOOKUP(Table3[[#This Row],[Country Code]],Table29[],10,FALSE)</f>
        <v>no</v>
      </c>
      <c r="AD1173" s="235">
        <f>VLOOKUP(Table3[[#This Row],[Country Code]],Table29[],23,FALSE)</f>
        <v>0.45126691251345002</v>
      </c>
      <c r="AE1173" s="235">
        <f>VLOOKUP(Table3[[#This Row],[Country Code]],Table29[],24,FALSE)</f>
        <v>0.10561796037965671</v>
      </c>
      <c r="AF1173" s="43"/>
    </row>
    <row r="1174" spans="1:32" x14ac:dyDescent="0.25">
      <c r="A1174" s="360">
        <v>43947</v>
      </c>
      <c r="B1174" s="233" t="str">
        <f>VLOOKUP(Table3[[#This Row],[Document ID]],Table1[],2,FALSE)</f>
        <v>AND</v>
      </c>
      <c r="C1174" s="233" t="str">
        <f>VLOOKUP(Table3[[#This Row],[Document ID]],Table1[],3,FALSE)</f>
        <v>Andorra</v>
      </c>
      <c r="D1174" s="233" t="str">
        <f>VLOOKUP(Table3[[#This Row],[Document ID]],Table1[],5,FALSE)</f>
        <v>NDC</v>
      </c>
      <c r="E1174" s="233" t="str">
        <f>VLOOKUP(Table3[[#This Row],[Document ID]],Table1[],7,FALSE)</f>
        <v>Third NDC</v>
      </c>
      <c r="F1174" s="233" t="str">
        <f>VLOOKUP(Table3[[#This Row],[Document ID]],Table1[],8,FALSE)</f>
        <v>NDC 3.0</v>
      </c>
      <c r="G1174" s="233" t="str">
        <f>VLOOKUP(Table3[[#This Row],[Document ID]],Table1[],10,FALSE)</f>
        <v>Active</v>
      </c>
      <c r="H1174" s="43" t="s">
        <v>1089</v>
      </c>
      <c r="I1174" s="43" t="s">
        <v>1089</v>
      </c>
      <c r="J1174" s="43" t="s">
        <v>1090</v>
      </c>
      <c r="K1174" s="43" t="s">
        <v>1153</v>
      </c>
      <c r="L1174" s="43" t="s">
        <v>1116</v>
      </c>
      <c r="M1174" s="209">
        <v>2035</v>
      </c>
      <c r="N1174" s="44" t="s">
        <v>2271</v>
      </c>
      <c r="O1174" s="258">
        <v>7</v>
      </c>
      <c r="P1174" s="241" t="str">
        <f>VLOOKUP(_xlfn.CONCAT(Table3[[#This Row],[Target area]],Table3[[#This Row],[GHG target?]],Table3[[#This Row],[Conditionality]]),'Drop down'!$E$81:$F$101,2,FALSE)</f>
        <v>T_Economy</v>
      </c>
      <c r="Q1174" s="233" t="str">
        <f>VLOOKUP(Table3[[#This Row],[Target type]],Table418[[Value name]:[Value idenifyer]],2,FALSE)</f>
        <v>T_BYE</v>
      </c>
      <c r="V1174" s="233" t="str">
        <f>VLOOKUP(Table3[[#This Row],[Country Code]],Table29[],3,FALSE)</f>
        <v>Non-Annex I</v>
      </c>
      <c r="W1174" s="233" t="str">
        <f>VLOOKUP(Table3[[#This Row],[Country Code]],Table29[],4,FALSE)</f>
        <v>Europe</v>
      </c>
      <c r="X1174" s="233" t="str">
        <f>VLOOKUP(Table3[[#This Row],[Country Code]],Table29[],5,FALSE)</f>
        <v>High-income</v>
      </c>
      <c r="Y1174" s="233" t="str">
        <f>VLOOKUP(Table3[[#This Row],[Country Code]],Table29[],6,FALSE)</f>
        <v>no</v>
      </c>
      <c r="Z1174" s="233" t="str">
        <f>VLOOKUP(Table3[[#This Row],[Country Code]],Table29[],7,FALSE)</f>
        <v>no</v>
      </c>
      <c r="AA1174" s="233" t="str">
        <f>VLOOKUP(Table3[[#This Row],[Country Code]],Table29[],8,FALSE)</f>
        <v>non-OECD</v>
      </c>
      <c r="AB1174" s="233" t="str">
        <f>VLOOKUP(Table3[[#This Row],[Country Code]],Table29[],9,FALSE)</f>
        <v>no</v>
      </c>
      <c r="AC1174" s="233" t="str">
        <f>VLOOKUP(Table3[[#This Row],[Country Code]],Table29[],10,FALSE)</f>
        <v>no</v>
      </c>
      <c r="AD1174" s="235">
        <f>VLOOKUP(Table3[[#This Row],[Country Code]],Table29[],23,FALSE)</f>
        <v>0</v>
      </c>
      <c r="AE1174" s="235">
        <f>VLOOKUP(Table3[[#This Row],[Country Code]],Table29[],24,FALSE)</f>
        <v>0</v>
      </c>
      <c r="AF1174" s="43"/>
    </row>
    <row r="1175" spans="1:32" x14ac:dyDescent="0.25">
      <c r="A1175" s="360">
        <v>43947</v>
      </c>
      <c r="B1175" s="233" t="str">
        <f>VLOOKUP(Table3[[#This Row],[Document ID]],Table1[],2,FALSE)</f>
        <v>AND</v>
      </c>
      <c r="C1175" s="233" t="str">
        <f>VLOOKUP(Table3[[#This Row],[Document ID]],Table1[],3,FALSE)</f>
        <v>Andorra</v>
      </c>
      <c r="D1175" s="233" t="str">
        <f>VLOOKUP(Table3[[#This Row],[Document ID]],Table1[],5,FALSE)</f>
        <v>NDC</v>
      </c>
      <c r="E1175" s="233" t="str">
        <f>VLOOKUP(Table3[[#This Row],[Document ID]],Table1[],7,FALSE)</f>
        <v>Third NDC</v>
      </c>
      <c r="F1175" s="233" t="str">
        <f>VLOOKUP(Table3[[#This Row],[Document ID]],Table1[],8,FALSE)</f>
        <v>NDC 3.0</v>
      </c>
      <c r="G1175" s="233" t="str">
        <f>VLOOKUP(Table3[[#This Row],[Document ID]],Table1[],10,FALSE)</f>
        <v>Active</v>
      </c>
      <c r="H1175" s="43" t="s">
        <v>1095</v>
      </c>
      <c r="I1175" s="43" t="s">
        <v>1115</v>
      </c>
      <c r="J1175" s="43" t="s">
        <v>1090</v>
      </c>
      <c r="K1175" s="43" t="s">
        <v>1121</v>
      </c>
      <c r="L1175" s="43" t="s">
        <v>1116</v>
      </c>
      <c r="M1175" s="209">
        <v>2030</v>
      </c>
      <c r="N1175" s="44" t="s">
        <v>2272</v>
      </c>
      <c r="O1175" s="258">
        <v>19</v>
      </c>
      <c r="P1175" s="241" t="str">
        <f>VLOOKUP(_xlfn.CONCAT(Table3[[#This Row],[Target area]],Table3[[#This Row],[GHG target?]],Table3[[#This Row],[Conditionality]]),'Drop down'!$E$81:$F$101,2,FALSE)</f>
        <v>T_Transport</v>
      </c>
      <c r="Q1175" s="233" t="str">
        <f>VLOOKUP(Table3[[#This Row],[Target type]],Table418[[Value name]:[Value idenifyer]],2,FALSE)</f>
        <v>T_FL</v>
      </c>
      <c r="V1175" s="233" t="str">
        <f>VLOOKUP(Table3[[#This Row],[Country Code]],Table29[],3,FALSE)</f>
        <v>Non-Annex I</v>
      </c>
      <c r="W1175" s="233" t="str">
        <f>VLOOKUP(Table3[[#This Row],[Country Code]],Table29[],4,FALSE)</f>
        <v>Europe</v>
      </c>
      <c r="X1175" s="233" t="str">
        <f>VLOOKUP(Table3[[#This Row],[Country Code]],Table29[],5,FALSE)</f>
        <v>High-income</v>
      </c>
      <c r="Y1175" s="233" t="str">
        <f>VLOOKUP(Table3[[#This Row],[Country Code]],Table29[],6,FALSE)</f>
        <v>no</v>
      </c>
      <c r="Z1175" s="233" t="str">
        <f>VLOOKUP(Table3[[#This Row],[Country Code]],Table29[],7,FALSE)</f>
        <v>no</v>
      </c>
      <c r="AA1175" s="233" t="str">
        <f>VLOOKUP(Table3[[#This Row],[Country Code]],Table29[],8,FALSE)</f>
        <v>non-OECD</v>
      </c>
      <c r="AB1175" s="233" t="str">
        <f>VLOOKUP(Table3[[#This Row],[Country Code]],Table29[],9,FALSE)</f>
        <v>no</v>
      </c>
      <c r="AC1175" s="233" t="str">
        <f>VLOOKUP(Table3[[#This Row],[Country Code]],Table29[],10,FALSE)</f>
        <v>no</v>
      </c>
      <c r="AD1175" s="235">
        <f>VLOOKUP(Table3[[#This Row],[Country Code]],Table29[],23,FALSE)</f>
        <v>0</v>
      </c>
      <c r="AE1175" s="235">
        <f>VLOOKUP(Table3[[#This Row],[Country Code]],Table29[],24,FALSE)</f>
        <v>0</v>
      </c>
      <c r="AF1175" s="43"/>
    </row>
    <row r="1176" spans="1:32" ht="30" x14ac:dyDescent="0.25">
      <c r="A1176" s="360">
        <v>43949</v>
      </c>
      <c r="B1176" s="233" t="str">
        <f>VLOOKUP(Table3[[#This Row],[Document ID]],Table1[],2,FALSE)</f>
        <v>MHL</v>
      </c>
      <c r="C1176" s="233" t="str">
        <f>VLOOKUP(Table3[[#This Row],[Document ID]],Table1[],3,FALSE)</f>
        <v>Marshall Islands</v>
      </c>
      <c r="D1176" s="233" t="str">
        <f>VLOOKUP(Table3[[#This Row],[Document ID]],Table1[],5,FALSE)</f>
        <v>NDC</v>
      </c>
      <c r="E1176" s="233" t="str">
        <f>VLOOKUP(Table3[[#This Row],[Document ID]],Table1[],7,FALSE)</f>
        <v>Third NDC</v>
      </c>
      <c r="F1176" s="233" t="str">
        <f>VLOOKUP(Table3[[#This Row],[Document ID]],Table1[],8,FALSE)</f>
        <v>NDC 3.0</v>
      </c>
      <c r="G1176" s="233" t="str">
        <f>VLOOKUP(Table3[[#This Row],[Document ID]],Table1[],10,FALSE)</f>
        <v>Active</v>
      </c>
      <c r="H1176" s="43" t="s">
        <v>1089</v>
      </c>
      <c r="I1176" s="43" t="s">
        <v>1089</v>
      </c>
      <c r="J1176" s="43" t="s">
        <v>1090</v>
      </c>
      <c r="K1176" s="43" t="s">
        <v>1153</v>
      </c>
      <c r="L1176" s="43" t="s">
        <v>1116</v>
      </c>
      <c r="M1176" s="209">
        <v>2035</v>
      </c>
      <c r="N1176" s="44" t="s">
        <v>2273</v>
      </c>
      <c r="O1176" s="258">
        <v>1</v>
      </c>
      <c r="P1176" s="241" t="str">
        <f>VLOOKUP(_xlfn.CONCAT(Table3[[#This Row],[Target area]],Table3[[#This Row],[GHG target?]],Table3[[#This Row],[Conditionality]]),'Drop down'!$E$81:$F$101,2,FALSE)</f>
        <v>T_Economy</v>
      </c>
      <c r="Q1176" s="233" t="str">
        <f>VLOOKUP(Table3[[#This Row],[Target type]],Table418[[Value name]:[Value idenifyer]],2,FALSE)</f>
        <v>T_BYE</v>
      </c>
      <c r="V1176" s="233" t="str">
        <f>VLOOKUP(Table3[[#This Row],[Country Code]],Table29[],3,FALSE)</f>
        <v>Non-Annex I</v>
      </c>
      <c r="W1176" s="233" t="str">
        <f>VLOOKUP(Table3[[#This Row],[Country Code]],Table29[],4,FALSE)</f>
        <v>Oceania</v>
      </c>
      <c r="X1176" s="233" t="str">
        <f>VLOOKUP(Table3[[#This Row],[Country Code]],Table29[],5,FALSE)</f>
        <v>Middle-income</v>
      </c>
      <c r="Y1176" s="233" t="str">
        <f>VLOOKUP(Table3[[#This Row],[Country Code]],Table29[],6,FALSE)</f>
        <v>no</v>
      </c>
      <c r="Z1176" s="233" t="str">
        <f>VLOOKUP(Table3[[#This Row],[Country Code]],Table29[],7,FALSE)</f>
        <v>no</v>
      </c>
      <c r="AA1176" s="233" t="str">
        <f>VLOOKUP(Table3[[#This Row],[Country Code]],Table29[],8,FALSE)</f>
        <v>non-OECD</v>
      </c>
      <c r="AB1176" s="233" t="str">
        <f>VLOOKUP(Table3[[#This Row],[Country Code]],Table29[],9,FALSE)</f>
        <v>no</v>
      </c>
      <c r="AC1176" s="233" t="str">
        <f>VLOOKUP(Table3[[#This Row],[Country Code]],Table29[],10,FALSE)</f>
        <v>no</v>
      </c>
      <c r="AD1176" s="235">
        <f>VLOOKUP(Table3[[#This Row],[Country Code]],Table29[],23,FALSE)</f>
        <v>0</v>
      </c>
      <c r="AE1176" s="235">
        <f>VLOOKUP(Table3[[#This Row],[Country Code]],Table29[],24,FALSE)</f>
        <v>0</v>
      </c>
      <c r="AF1176" s="43"/>
    </row>
    <row r="1177" spans="1:32" ht="30" x14ac:dyDescent="0.25">
      <c r="A1177" s="360">
        <v>43949</v>
      </c>
      <c r="B1177" s="233" t="str">
        <f>VLOOKUP(Table3[[#This Row],[Document ID]],Table1[],2,FALSE)</f>
        <v>MHL</v>
      </c>
      <c r="C1177" s="233" t="str">
        <f>VLOOKUP(Table3[[#This Row],[Document ID]],Table1[],3,FALSE)</f>
        <v>Marshall Islands</v>
      </c>
      <c r="D1177" s="233" t="str">
        <f>VLOOKUP(Table3[[#This Row],[Document ID]],Table1[],5,FALSE)</f>
        <v>NDC</v>
      </c>
      <c r="E1177" s="233" t="str">
        <f>VLOOKUP(Table3[[#This Row],[Document ID]],Table1[],7,FALSE)</f>
        <v>Third NDC</v>
      </c>
      <c r="F1177" s="233" t="str">
        <f>VLOOKUP(Table3[[#This Row],[Document ID]],Table1[],8,FALSE)</f>
        <v>NDC 3.0</v>
      </c>
      <c r="G1177" s="233" t="str">
        <f>VLOOKUP(Table3[[#This Row],[Document ID]],Table1[],10,FALSE)</f>
        <v>Active</v>
      </c>
      <c r="H1177" s="43" t="s">
        <v>1095</v>
      </c>
      <c r="I1177" s="43" t="s">
        <v>1096</v>
      </c>
      <c r="J1177" s="43" t="s">
        <v>1090</v>
      </c>
      <c r="K1177" s="43" t="s">
        <v>1289</v>
      </c>
      <c r="L1177" s="43" t="s">
        <v>1116</v>
      </c>
      <c r="M1177" s="209">
        <v>2050</v>
      </c>
      <c r="N1177" s="44" t="s">
        <v>2274</v>
      </c>
      <c r="O1177" s="258">
        <v>6</v>
      </c>
      <c r="P1177" s="241" t="str">
        <f>VLOOKUP(_xlfn.CONCAT(Table3[[#This Row],[Target area]],Table3[[#This Row],[GHG target?]],Table3[[#This Row],[Conditionality]]),'Drop down'!$E$81:$F$101,2,FALSE)</f>
        <v>T_Transport</v>
      </c>
      <c r="Q1177" s="233" t="str">
        <f>VLOOKUP(Table3[[#This Row],[Target type]],Table418[[Value name]:[Value idenifyer]],2,FALSE)</f>
        <v>T_TRA</v>
      </c>
      <c r="V1177" s="233" t="str">
        <f>VLOOKUP(Table3[[#This Row],[Country Code]],Table29[],3,FALSE)</f>
        <v>Non-Annex I</v>
      </c>
      <c r="W1177" s="233" t="str">
        <f>VLOOKUP(Table3[[#This Row],[Country Code]],Table29[],4,FALSE)</f>
        <v>Oceania</v>
      </c>
      <c r="X1177" s="233" t="str">
        <f>VLOOKUP(Table3[[#This Row],[Country Code]],Table29[],5,FALSE)</f>
        <v>Middle-income</v>
      </c>
      <c r="Y1177" s="233" t="str">
        <f>VLOOKUP(Table3[[#This Row],[Country Code]],Table29[],6,FALSE)</f>
        <v>no</v>
      </c>
      <c r="Z1177" s="233" t="str">
        <f>VLOOKUP(Table3[[#This Row],[Country Code]],Table29[],7,FALSE)</f>
        <v>no</v>
      </c>
      <c r="AA1177" s="233" t="str">
        <f>VLOOKUP(Table3[[#This Row],[Country Code]],Table29[],8,FALSE)</f>
        <v>non-OECD</v>
      </c>
      <c r="AB1177" s="233" t="str">
        <f>VLOOKUP(Table3[[#This Row],[Country Code]],Table29[],9,FALSE)</f>
        <v>no</v>
      </c>
      <c r="AC1177" s="233" t="str">
        <f>VLOOKUP(Table3[[#This Row],[Country Code]],Table29[],10,FALSE)</f>
        <v>no</v>
      </c>
      <c r="AD1177" s="235">
        <f>VLOOKUP(Table3[[#This Row],[Country Code]],Table29[],23,FALSE)</f>
        <v>0</v>
      </c>
      <c r="AE1177" s="235">
        <f>VLOOKUP(Table3[[#This Row],[Country Code]],Table29[],24,FALSE)</f>
        <v>0</v>
      </c>
      <c r="AF1177" s="43"/>
    </row>
    <row r="1178" spans="1:32" ht="30" x14ac:dyDescent="0.25">
      <c r="A1178" s="360">
        <v>43950</v>
      </c>
      <c r="B1178" s="233" t="str">
        <f>VLOOKUP(Table3[[#This Row],[Document ID]],Table1[],2,FALSE)</f>
        <v>SGP</v>
      </c>
      <c r="C1178" s="233" t="str">
        <f>VLOOKUP(Table3[[#This Row],[Document ID]],Table1[],3,FALSE)</f>
        <v>Singapore</v>
      </c>
      <c r="D1178" s="233" t="str">
        <f>VLOOKUP(Table3[[#This Row],[Document ID]],Table1[],5,FALSE)</f>
        <v>NDC</v>
      </c>
      <c r="E1178" s="233" t="str">
        <f>VLOOKUP(Table3[[#This Row],[Document ID]],Table1[],7,FALSE)</f>
        <v>Third NDC</v>
      </c>
      <c r="F1178" s="233" t="str">
        <f>VLOOKUP(Table3[[#This Row],[Document ID]],Table1[],8,FALSE)</f>
        <v>NDC 3.0</v>
      </c>
      <c r="G1178" s="233" t="str">
        <f>VLOOKUP(Table3[[#This Row],[Document ID]],Table1[],10,FALSE)</f>
        <v>Active</v>
      </c>
      <c r="H1178" s="43" t="s">
        <v>1089</v>
      </c>
      <c r="I1178" s="43" t="s">
        <v>1089</v>
      </c>
      <c r="J1178" s="43" t="s">
        <v>1090</v>
      </c>
      <c r="K1178" s="43" t="s">
        <v>1121</v>
      </c>
      <c r="L1178" s="43" t="s">
        <v>1099</v>
      </c>
      <c r="M1178" s="209">
        <v>2035</v>
      </c>
      <c r="N1178" s="44" t="s">
        <v>2275</v>
      </c>
      <c r="O1178" s="258">
        <v>1</v>
      </c>
      <c r="P1178" s="241" t="str">
        <f>VLOOKUP(_xlfn.CONCAT(Table3[[#This Row],[Target area]],Table3[[#This Row],[GHG target?]],Table3[[#This Row],[Conditionality]]),'Drop down'!$E$81:$F$101,2,FALSE)</f>
        <v>T_Economy_Unc</v>
      </c>
      <c r="Q1178" s="233" t="str">
        <f>VLOOKUP(Table3[[#This Row],[Target type]],Table418[[Value name]:[Value idenifyer]],2,FALSE)</f>
        <v>T_FL</v>
      </c>
      <c r="V1178" s="233" t="str">
        <f>VLOOKUP(Table3[[#This Row],[Country Code]],Table29[],3,FALSE)</f>
        <v>Non-Annex I</v>
      </c>
      <c r="W1178" s="233" t="str">
        <f>VLOOKUP(Table3[[#This Row],[Country Code]],Table29[],4,FALSE)</f>
        <v>Asia</v>
      </c>
      <c r="X1178" s="233" t="str">
        <f>VLOOKUP(Table3[[#This Row],[Country Code]],Table29[],5,FALSE)</f>
        <v>High-income</v>
      </c>
      <c r="Y1178" s="233" t="str">
        <f>VLOOKUP(Table3[[#This Row],[Country Code]],Table29[],6,FALSE)</f>
        <v>no</v>
      </c>
      <c r="Z1178" s="233" t="str">
        <f>VLOOKUP(Table3[[#This Row],[Country Code]],Table29[],7,FALSE)</f>
        <v>no</v>
      </c>
      <c r="AA1178" s="233" t="str">
        <f>VLOOKUP(Table3[[#This Row],[Country Code]],Table29[],8,FALSE)</f>
        <v>non-OECD</v>
      </c>
      <c r="AB1178" s="233" t="str">
        <f>VLOOKUP(Table3[[#This Row],[Country Code]],Table29[],9,FALSE)</f>
        <v>no</v>
      </c>
      <c r="AC1178" s="233" t="str">
        <f>VLOOKUP(Table3[[#This Row],[Country Code]],Table29[],10,FALSE)</f>
        <v>no</v>
      </c>
      <c r="AD1178" s="235">
        <f>VLOOKUP(Table3[[#This Row],[Country Code]],Table29[],23,FALSE)</f>
        <v>74.290132466078006</v>
      </c>
      <c r="AE1178" s="235">
        <f>VLOOKUP(Table3[[#This Row],[Country Code]],Table29[],24,FALSE)</f>
        <v>6.8133364043247093</v>
      </c>
      <c r="AF1178" s="43"/>
    </row>
    <row r="1179" spans="1:32" ht="30" x14ac:dyDescent="0.25">
      <c r="A1179" s="368">
        <v>43906</v>
      </c>
      <c r="B1179" s="233" t="s">
        <v>323</v>
      </c>
      <c r="C1179" s="241" t="str">
        <f>VLOOKUP(Table3[[#This Row],[Document ID]],Table1[],3,FALSE)</f>
        <v>New Zealand</v>
      </c>
      <c r="D1179" s="241" t="str">
        <f>VLOOKUP(Table3[[#This Row],[Document ID]],Table1[],5,FALSE)</f>
        <v>NDC</v>
      </c>
      <c r="E1179" s="233" t="str">
        <f>VLOOKUP(Table3[[#This Row],[Document ID]],Table1[],7,FALSE)</f>
        <v>Third NDC</v>
      </c>
      <c r="F1179" s="233" t="str">
        <f>VLOOKUP(Table3[[#This Row],[Document ID]],Table1[],8,FALSE)</f>
        <v>NDC 3.0</v>
      </c>
      <c r="G1179" s="233" t="str">
        <f>VLOOKUP(Table3[[#This Row],[Document ID]],Table1[],10,FALSE)</f>
        <v>Active</v>
      </c>
      <c r="H1179" s="43" t="s">
        <v>1089</v>
      </c>
      <c r="I1179" s="43" t="s">
        <v>1089</v>
      </c>
      <c r="J1179" s="43" t="s">
        <v>1090</v>
      </c>
      <c r="K1179" s="43" t="s">
        <v>1153</v>
      </c>
      <c r="L1179" s="43" t="s">
        <v>1099</v>
      </c>
      <c r="M1179" s="209">
        <v>2035</v>
      </c>
      <c r="N1179" s="209" t="s">
        <v>2276</v>
      </c>
      <c r="O1179" s="258">
        <v>2</v>
      </c>
      <c r="P1179" s="241" t="str">
        <f>VLOOKUP(_xlfn.CONCAT(Table3[[#This Row],[Target area]],Table3[[#This Row],[GHG target?]],Table3[[#This Row],[Conditionality]]),'Drop down'!$E$81:$F$101,2,FALSE)</f>
        <v>T_Economy_Unc</v>
      </c>
      <c r="Q1179" s="233" t="str">
        <f>VLOOKUP(Table3[[#This Row],[Target type]],Table418[[Value name]:[Value idenifyer]],2,FALSE)</f>
        <v>T_BYE</v>
      </c>
      <c r="T1179" s="240"/>
      <c r="V1179" s="241" t="str">
        <f>VLOOKUP(Table3[[#This Row],[Country Code]],Table29[],3,FALSE)</f>
        <v>Annex I</v>
      </c>
      <c r="W1179" s="233" t="str">
        <f>VLOOKUP(Table3[[#This Row],[Country Code]],Table29[],4,FALSE)</f>
        <v>Oceania</v>
      </c>
      <c r="X1179" s="241" t="str">
        <f>VLOOKUP(Table3[[#This Row],[Country Code]],Table29[],5,FALSE)</f>
        <v>High-income</v>
      </c>
      <c r="Y1179" s="241" t="str">
        <f>VLOOKUP(Table3[[#This Row],[Country Code]],Table29[],6,FALSE)</f>
        <v>no</v>
      </c>
      <c r="Z1179" s="241" t="str">
        <f>VLOOKUP(Table3[[#This Row],[Country Code]],Table29[],7,FALSE)</f>
        <v>no</v>
      </c>
      <c r="AA1179" s="241" t="str">
        <f>VLOOKUP(Table3[[#This Row],[Country Code]],Table29[],8,FALSE)</f>
        <v>OECD</v>
      </c>
      <c r="AB1179" s="233" t="str">
        <f>VLOOKUP(Table3[[#This Row],[Country Code]],Table29[],9,FALSE)</f>
        <v>no</v>
      </c>
      <c r="AC1179" s="233" t="str">
        <f>VLOOKUP(Table3[[#This Row],[Country Code]],Table29[],10,FALSE)</f>
        <v>no</v>
      </c>
      <c r="AD1179" s="534">
        <f>VLOOKUP(Table3[[#This Row],[Country Code]],Table29[],23,FALSE)</f>
        <v>84.209811532415003</v>
      </c>
      <c r="AE1179" s="534">
        <f>VLOOKUP(Table3[[#This Row],[Country Code]],Table29[],24,FALSE)</f>
        <v>16.240725424217811</v>
      </c>
      <c r="AF1179" s="42"/>
    </row>
    <row r="1180" spans="1:32" ht="30" x14ac:dyDescent="0.25">
      <c r="A1180" s="368">
        <v>43906</v>
      </c>
      <c r="B1180" s="233" t="s">
        <v>323</v>
      </c>
      <c r="C1180" s="241" t="str">
        <f>VLOOKUP(Table3[[#This Row],[Document ID]],Table1[],3,FALSE)</f>
        <v>New Zealand</v>
      </c>
      <c r="D1180" s="241" t="str">
        <f>VLOOKUP(Table3[[#This Row],[Document ID]],Table1[],5,FALSE)</f>
        <v>NDC</v>
      </c>
      <c r="E1180" s="233" t="str">
        <f>VLOOKUP(Table3[[#This Row],[Document ID]],Table1[],7,FALSE)</f>
        <v>Third NDC</v>
      </c>
      <c r="F1180" s="233" t="str">
        <f>VLOOKUP(Table3[[#This Row],[Document ID]],Table1[],8,FALSE)</f>
        <v>NDC 3.0</v>
      </c>
      <c r="G1180" s="233" t="str">
        <f>VLOOKUP(Table3[[#This Row],[Document ID]],Table1[],10,FALSE)</f>
        <v>Active</v>
      </c>
      <c r="H1180" s="43" t="s">
        <v>1147</v>
      </c>
      <c r="I1180" s="43" t="s">
        <v>1089</v>
      </c>
      <c r="J1180" s="43" t="s">
        <v>1090</v>
      </c>
      <c r="K1180" s="43" t="s">
        <v>1153</v>
      </c>
      <c r="L1180" s="43" t="s">
        <v>1099</v>
      </c>
      <c r="M1180" s="209">
        <v>2050</v>
      </c>
      <c r="N1180" s="209" t="s">
        <v>2277</v>
      </c>
      <c r="O1180" s="258">
        <v>12</v>
      </c>
      <c r="P1180" s="241" t="str">
        <f>VLOOKUP(_xlfn.CONCAT(Table3[[#This Row],[Target area]],Table3[[#This Row],[GHG target?]],Table3[[#This Row],[Conditionality]]),'Drop down'!$E$81:$F$101,2,FALSE)</f>
        <v>T_Netzero_Unc</v>
      </c>
      <c r="Q1180" s="233" t="str">
        <f>VLOOKUP(Table3[[#This Row],[Target type]],Table418[[Value name]:[Value idenifyer]],2,FALSE)</f>
        <v>T_BYE</v>
      </c>
      <c r="T1180" s="240"/>
      <c r="V1180" s="241" t="str">
        <f>VLOOKUP(Table3[[#This Row],[Country Code]],Table29[],3,FALSE)</f>
        <v>Annex I</v>
      </c>
      <c r="W1180" s="233" t="str">
        <f>VLOOKUP(Table3[[#This Row],[Country Code]],Table29[],4,FALSE)</f>
        <v>Oceania</v>
      </c>
      <c r="X1180" s="241" t="str">
        <f>VLOOKUP(Table3[[#This Row],[Country Code]],Table29[],5,FALSE)</f>
        <v>High-income</v>
      </c>
      <c r="Y1180" s="241" t="str">
        <f>VLOOKUP(Table3[[#This Row],[Country Code]],Table29[],6,FALSE)</f>
        <v>no</v>
      </c>
      <c r="Z1180" s="241" t="str">
        <f>VLOOKUP(Table3[[#This Row],[Country Code]],Table29[],7,FALSE)</f>
        <v>no</v>
      </c>
      <c r="AA1180" s="241" t="str">
        <f>VLOOKUP(Table3[[#This Row],[Country Code]],Table29[],8,FALSE)</f>
        <v>OECD</v>
      </c>
      <c r="AB1180" s="233" t="str">
        <f>VLOOKUP(Table3[[#This Row],[Country Code]],Table29[],9,FALSE)</f>
        <v>no</v>
      </c>
      <c r="AC1180" s="233" t="str">
        <f>VLOOKUP(Table3[[#This Row],[Country Code]],Table29[],10,FALSE)</f>
        <v>no</v>
      </c>
      <c r="AD1180" s="534">
        <f>VLOOKUP(Table3[[#This Row],[Country Code]],Table29[],23,FALSE)</f>
        <v>84.209811532415003</v>
      </c>
      <c r="AE1180" s="534">
        <f>VLOOKUP(Table3[[#This Row],[Country Code]],Table29[],24,FALSE)</f>
        <v>16.240725424217811</v>
      </c>
      <c r="AF1180" s="42"/>
    </row>
    <row r="1181" spans="1:32" ht="45" x14ac:dyDescent="0.25">
      <c r="A1181" s="368">
        <v>43952</v>
      </c>
      <c r="B1181" s="233" t="s">
        <v>173</v>
      </c>
      <c r="C1181" s="241" t="str">
        <f>VLOOKUP(Table3[[#This Row],[Document ID]],Table1[],3,FALSE)</f>
        <v>Ecuador</v>
      </c>
      <c r="D1181" s="241" t="str">
        <f>VLOOKUP(Table3[[#This Row],[Document ID]],Table1[],5,FALSE)</f>
        <v>NDC</v>
      </c>
      <c r="E1181" s="233" t="str">
        <f>VLOOKUP(Table3[[#This Row],[Document ID]],Table1[],7,FALSE)</f>
        <v>Third NDC</v>
      </c>
      <c r="F1181" s="233" t="str">
        <f>VLOOKUP(Table3[[#This Row],[Document ID]],Table1[],8,FALSE)</f>
        <v>NDC 3.0</v>
      </c>
      <c r="G1181" s="233" t="str">
        <f>VLOOKUP(Table3[[#This Row],[Document ID]],Table1[],10,FALSE)</f>
        <v>Active</v>
      </c>
      <c r="H1181" s="43" t="s">
        <v>1089</v>
      </c>
      <c r="I1181" s="43" t="s">
        <v>1089</v>
      </c>
      <c r="J1181" s="43" t="s">
        <v>1090</v>
      </c>
      <c r="K1181" s="43" t="s">
        <v>1153</v>
      </c>
      <c r="L1181" s="43" t="s">
        <v>1099</v>
      </c>
      <c r="M1181" s="209">
        <v>2035</v>
      </c>
      <c r="N1181" s="209" t="s">
        <v>2278</v>
      </c>
      <c r="O1181" s="258">
        <v>10</v>
      </c>
      <c r="P1181" s="241" t="str">
        <f>VLOOKUP(_xlfn.CONCAT(Table3[[#This Row],[Target area]],Table3[[#This Row],[GHG target?]],Table3[[#This Row],[Conditionality]]),'Drop down'!$E$81:$F$101,2,FALSE)</f>
        <v>T_Economy_Unc</v>
      </c>
      <c r="Q1181" s="233" t="str">
        <f>VLOOKUP(Table3[[#This Row],[Target type]],Table418[[Value name]:[Value idenifyer]],2,FALSE)</f>
        <v>T_BYE</v>
      </c>
      <c r="T1181" s="240"/>
      <c r="V1181" s="241" t="str">
        <f>VLOOKUP(Table3[[#This Row],[Country Code]],Table29[],3,FALSE)</f>
        <v>Non-Annex I</v>
      </c>
      <c r="W1181" s="233" t="str">
        <f>VLOOKUP(Table3[[#This Row],[Country Code]],Table29[],4,FALSE)</f>
        <v>Latin America and the Caribbean</v>
      </c>
      <c r="X1181" s="241" t="str">
        <f>VLOOKUP(Table3[[#This Row],[Country Code]],Table29[],5,FALSE)</f>
        <v>Middle-income</v>
      </c>
      <c r="Y1181" s="241" t="str">
        <f>VLOOKUP(Table3[[#This Row],[Country Code]],Table29[],6,FALSE)</f>
        <v>no</v>
      </c>
      <c r="Z1181" s="241" t="str">
        <f>VLOOKUP(Table3[[#This Row],[Country Code]],Table29[],7,FALSE)</f>
        <v>no</v>
      </c>
      <c r="AA1181" s="241" t="str">
        <f>VLOOKUP(Table3[[#This Row],[Country Code]],Table29[],8,FALSE)</f>
        <v>non-OECD</v>
      </c>
      <c r="AB1181" s="233" t="str">
        <f>VLOOKUP(Table3[[#This Row],[Country Code]],Table29[],9,FALSE)</f>
        <v>no</v>
      </c>
      <c r="AC1181" s="233" t="str">
        <f>VLOOKUP(Table3[[#This Row],[Country Code]],Table29[],10,FALSE)</f>
        <v>no</v>
      </c>
      <c r="AD1181" s="534">
        <f>VLOOKUP(Table3[[#This Row],[Country Code]],Table29[],23,FALSE)</f>
        <v>73.604607615068005</v>
      </c>
      <c r="AE1181" s="534">
        <f>VLOOKUP(Table3[[#This Row],[Country Code]],Table29[],24,FALSE)</f>
        <v>22.250312638556871</v>
      </c>
      <c r="AF1181" s="42"/>
    </row>
    <row r="1182" spans="1:32" ht="30" x14ac:dyDescent="0.25">
      <c r="A1182" s="368">
        <v>43952</v>
      </c>
      <c r="B1182" s="233" t="str">
        <f>VLOOKUP(Table3[[#This Row],[Document ID]],Table1[],2,FALSE)</f>
        <v>ECU</v>
      </c>
      <c r="C1182" s="241" t="str">
        <f>VLOOKUP(Table3[[#This Row],[Document ID]],Table1[],3,FALSE)</f>
        <v>Ecuador</v>
      </c>
      <c r="D1182" s="241" t="str">
        <f>VLOOKUP(Table3[[#This Row],[Document ID]],Table1[],5,FALSE)</f>
        <v>NDC</v>
      </c>
      <c r="E1182" s="233" t="str">
        <f>VLOOKUP(Table3[[#This Row],[Document ID]],Table1[],7,FALSE)</f>
        <v>Third NDC</v>
      </c>
      <c r="F1182" s="233" t="str">
        <f>VLOOKUP(Table3[[#This Row],[Document ID]],Table1[],8,FALSE)</f>
        <v>NDC 3.0</v>
      </c>
      <c r="G1182" s="233" t="str">
        <f>VLOOKUP(Table3[[#This Row],[Document ID]],Table1[],10,FALSE)</f>
        <v>Active</v>
      </c>
      <c r="H1182" s="43" t="s">
        <v>1089</v>
      </c>
      <c r="I1182" s="43" t="s">
        <v>1089</v>
      </c>
      <c r="J1182" s="43" t="s">
        <v>1090</v>
      </c>
      <c r="K1182" s="43" t="s">
        <v>1153</v>
      </c>
      <c r="L1182" s="43" t="s">
        <v>1092</v>
      </c>
      <c r="M1182" s="209">
        <v>2035</v>
      </c>
      <c r="N1182" s="209" t="s">
        <v>2279</v>
      </c>
      <c r="O1182" s="258">
        <v>10</v>
      </c>
      <c r="P1182" s="241" t="str">
        <f>VLOOKUP(_xlfn.CONCAT(Table3[[#This Row],[Target area]],Table3[[#This Row],[GHG target?]],Table3[[#This Row],[Conditionality]]),'Drop down'!$E$81:$F$101,2,FALSE)</f>
        <v>T_Economy_C</v>
      </c>
      <c r="Q1182" s="233" t="str">
        <f>VLOOKUP(Table3[[#This Row],[Target type]],Table418[[Value name]:[Value idenifyer]],2,FALSE)</f>
        <v>T_BYE</v>
      </c>
      <c r="T1182" s="240"/>
      <c r="V1182" s="241" t="str">
        <f>VLOOKUP(Table3[[#This Row],[Country Code]],Table29[],3,FALSE)</f>
        <v>Non-Annex I</v>
      </c>
      <c r="W1182" s="233" t="str">
        <f>VLOOKUP(Table3[[#This Row],[Country Code]],Table29[],4,FALSE)</f>
        <v>Latin America and the Caribbean</v>
      </c>
      <c r="X1182" s="241" t="str">
        <f>VLOOKUP(Table3[[#This Row],[Country Code]],Table29[],5,FALSE)</f>
        <v>Middle-income</v>
      </c>
      <c r="Y1182" s="241" t="str">
        <f>VLOOKUP(Table3[[#This Row],[Country Code]],Table29[],6,FALSE)</f>
        <v>no</v>
      </c>
      <c r="Z1182" s="241" t="str">
        <f>VLOOKUP(Table3[[#This Row],[Country Code]],Table29[],7,FALSE)</f>
        <v>no</v>
      </c>
      <c r="AA1182" s="241" t="str">
        <f>VLOOKUP(Table3[[#This Row],[Country Code]],Table29[],8,FALSE)</f>
        <v>non-OECD</v>
      </c>
      <c r="AB1182" s="233" t="str">
        <f>VLOOKUP(Table3[[#This Row],[Country Code]],Table29[],9,FALSE)</f>
        <v>no</v>
      </c>
      <c r="AC1182" s="233" t="str">
        <f>VLOOKUP(Table3[[#This Row],[Country Code]],Table29[],10,FALSE)</f>
        <v>no</v>
      </c>
      <c r="AD1182" s="534">
        <f>VLOOKUP(Table3[[#This Row],[Country Code]],Table29[],23,FALSE)</f>
        <v>73.604607615068005</v>
      </c>
      <c r="AE1182" s="534">
        <f>VLOOKUP(Table3[[#This Row],[Country Code]],Table29[],24,FALSE)</f>
        <v>22.250312638556871</v>
      </c>
      <c r="AF1182" s="42"/>
    </row>
    <row r="1183" spans="1:32" ht="60" x14ac:dyDescent="0.25">
      <c r="A1183" s="360">
        <v>43986</v>
      </c>
      <c r="B1183" s="233" t="str">
        <f>VLOOKUP(Table3[[#This Row],[Document ID]],Table1[],2,FALSE)</f>
        <v>ZWE</v>
      </c>
      <c r="C1183" s="233" t="str">
        <f>VLOOKUP(Table3[[#This Row],[Document ID]],Table1[],3,FALSE)</f>
        <v>Zimbabwe</v>
      </c>
      <c r="D1183" s="233" t="str">
        <f>VLOOKUP(Table3[[#This Row],[Document ID]],Table1[],5,FALSE)</f>
        <v>NDC</v>
      </c>
      <c r="E1183" s="233" t="str">
        <f>VLOOKUP(Table3[[#This Row],[Document ID]],Table1[],7,FALSE)</f>
        <v>Third NDC</v>
      </c>
      <c r="F1183" s="233" t="str">
        <f>VLOOKUP(Table3[[#This Row],[Document ID]],Table1[],8,FALSE)</f>
        <v>NDC 3.0</v>
      </c>
      <c r="G1183" s="233" t="str">
        <f>VLOOKUP(Table3[[#This Row],[Document ID]],Table1[],10,FALSE)</f>
        <v>Active</v>
      </c>
      <c r="H1183" s="43" t="s">
        <v>1089</v>
      </c>
      <c r="I1183" s="43" t="s">
        <v>1089</v>
      </c>
      <c r="J1183" s="43" t="s">
        <v>1090</v>
      </c>
      <c r="K1183" s="43" t="s">
        <v>1091</v>
      </c>
      <c r="L1183" s="43" t="s">
        <v>1092</v>
      </c>
      <c r="M1183" s="209">
        <v>2035</v>
      </c>
      <c r="N1183" s="44" t="s">
        <v>2280</v>
      </c>
      <c r="O1183" s="258">
        <v>14</v>
      </c>
      <c r="P1183" s="241" t="str">
        <f>VLOOKUP(_xlfn.CONCAT(Table3[[#This Row],[Target area]],Table3[[#This Row],[GHG target?]],Table3[[#This Row],[Conditionality]]),'Drop down'!$E$81:$F$101,2,FALSE)</f>
        <v>T_Economy_C</v>
      </c>
      <c r="Q1183" s="233" t="str">
        <f>VLOOKUP(Table3[[#This Row],[Target type]],Table418[[Value name]:[Value idenifyer]],2,FALSE)</f>
        <v>T_BAU</v>
      </c>
      <c r="V1183" s="233" t="str">
        <f>VLOOKUP(Table3[[#This Row],[Country Code]],Table29[],3,FALSE)</f>
        <v>Non-Annex I</v>
      </c>
      <c r="W1183" s="233" t="str">
        <f>VLOOKUP(Table3[[#This Row],[Country Code]],Table29[],4,FALSE)</f>
        <v>Africa</v>
      </c>
      <c r="X1183" s="233" t="str">
        <f>VLOOKUP(Table3[[#This Row],[Country Code]],Table29[],5,FALSE)</f>
        <v>Middle-income</v>
      </c>
      <c r="Y1183" s="233" t="str">
        <f>VLOOKUP(Table3[[#This Row],[Country Code]],Table29[],6,FALSE)</f>
        <v>no</v>
      </c>
      <c r="Z1183" s="233" t="str">
        <f>VLOOKUP(Table3[[#This Row],[Country Code]],Table29[],7,FALSE)</f>
        <v>no</v>
      </c>
      <c r="AA1183" s="233" t="str">
        <f>VLOOKUP(Table3[[#This Row],[Country Code]],Table29[],8,FALSE)</f>
        <v>non-OECD</v>
      </c>
      <c r="AB1183" s="233" t="str">
        <f>VLOOKUP(Table3[[#This Row],[Country Code]],Table29[],9,FALSE)</f>
        <v>no</v>
      </c>
      <c r="AC1183" s="233" t="str">
        <f>VLOOKUP(Table3[[#This Row],[Country Code]],Table29[],10,FALSE)</f>
        <v>no</v>
      </c>
      <c r="AD1183" s="235">
        <f>VLOOKUP(Table3[[#This Row],[Country Code]],Table29[],23,FALSE)</f>
        <v>31.019306383581998</v>
      </c>
      <c r="AE1183" s="235">
        <f>VLOOKUP(Table3[[#This Row],[Country Code]],Table29[],24,FALSE)</f>
        <v>1.5180453178171209</v>
      </c>
      <c r="AF1183" s="43"/>
    </row>
    <row r="1184" spans="1:32" ht="30" x14ac:dyDescent="0.25">
      <c r="A1184" s="360">
        <v>43987</v>
      </c>
      <c r="B1184" s="233" t="str">
        <f>VLOOKUP(Table3[[#This Row],[Document ID]],Table1[],2,FALSE)</f>
        <v>CAN</v>
      </c>
      <c r="C1184" s="233" t="str">
        <f>VLOOKUP(Table3[[#This Row],[Document ID]],Table1[],3,FALSE)</f>
        <v>Canada</v>
      </c>
      <c r="D1184" s="233" t="str">
        <f>VLOOKUP(Table3[[#This Row],[Document ID]],Table1[],5,FALSE)</f>
        <v>NDC</v>
      </c>
      <c r="E1184" s="233" t="str">
        <f>VLOOKUP(Table3[[#This Row],[Document ID]],Table1[],7,FALSE)</f>
        <v>Third NDC</v>
      </c>
      <c r="F1184" s="233" t="str">
        <f>VLOOKUP(Table3[[#This Row],[Document ID]],Table1[],8,FALSE)</f>
        <v>NDC 3.0</v>
      </c>
      <c r="G1184" s="233" t="str">
        <f>VLOOKUP(Table3[[#This Row],[Document ID]],Table1[],10,FALSE)</f>
        <v>Active</v>
      </c>
      <c r="H1184" s="43" t="s">
        <v>1089</v>
      </c>
      <c r="I1184" s="43" t="s">
        <v>1089</v>
      </c>
      <c r="J1184" s="43" t="s">
        <v>1090</v>
      </c>
      <c r="K1184" s="43" t="s">
        <v>1153</v>
      </c>
      <c r="L1184" s="43" t="s">
        <v>1099</v>
      </c>
      <c r="M1184" s="209">
        <v>2035</v>
      </c>
      <c r="N1184" s="44" t="s">
        <v>2281</v>
      </c>
      <c r="O1184" s="258">
        <v>1</v>
      </c>
      <c r="P1184" s="241" t="str">
        <f>VLOOKUP(_xlfn.CONCAT(Table3[[#This Row],[Target area]],Table3[[#This Row],[GHG target?]],Table3[[#This Row],[Conditionality]]),'Drop down'!$E$81:$F$101,2,FALSE)</f>
        <v>T_Economy_Unc</v>
      </c>
      <c r="Q1184" s="233" t="str">
        <f>VLOOKUP(Table3[[#This Row],[Target type]],Table418[[Value name]:[Value idenifyer]],2,FALSE)</f>
        <v>T_BYE</v>
      </c>
      <c r="V1184" s="233" t="str">
        <f>VLOOKUP(Table3[[#This Row],[Country Code]],Table29[],3,FALSE)</f>
        <v>Annex I</v>
      </c>
      <c r="W1184" s="233" t="str">
        <f>VLOOKUP(Table3[[#This Row],[Country Code]],Table29[],4,FALSE)</f>
        <v>Northern America</v>
      </c>
      <c r="X1184" s="233" t="str">
        <f>VLOOKUP(Table3[[#This Row],[Country Code]],Table29[],5,FALSE)</f>
        <v>High-income</v>
      </c>
      <c r="Y1184" s="233" t="str">
        <f>VLOOKUP(Table3[[#This Row],[Country Code]],Table29[],6,FALSE)</f>
        <v>G20</v>
      </c>
      <c r="Z1184" s="233" t="str">
        <f>VLOOKUP(Table3[[#This Row],[Country Code]],Table29[],7,FALSE)</f>
        <v>G7</v>
      </c>
      <c r="AA1184" s="233" t="str">
        <f>VLOOKUP(Table3[[#This Row],[Country Code]],Table29[],8,FALSE)</f>
        <v>OECD</v>
      </c>
      <c r="AB1184" s="233" t="str">
        <f>VLOOKUP(Table3[[#This Row],[Country Code]],Table29[],9,FALSE)</f>
        <v>no</v>
      </c>
      <c r="AC1184" s="233" t="str">
        <f>VLOOKUP(Table3[[#This Row],[Country Code]],Table29[],10,FALSE)</f>
        <v>no</v>
      </c>
      <c r="AD1184" s="235">
        <f>VLOOKUP(Table3[[#This Row],[Country Code]],Table29[],23,FALSE)</f>
        <v>747.67802680902003</v>
      </c>
      <c r="AE1184" s="235">
        <f>VLOOKUP(Table3[[#This Row],[Country Code]],Table29[],24,FALSE)</f>
        <v>169.021169926607</v>
      </c>
      <c r="AF1184" s="43"/>
    </row>
    <row r="1185" spans="1:32" ht="30" x14ac:dyDescent="0.25">
      <c r="A1185" s="360">
        <v>43987</v>
      </c>
      <c r="B1185" s="233" t="str">
        <f>VLOOKUP(Table3[[#This Row],[Document ID]],Table1[],2,FALSE)</f>
        <v>CAN</v>
      </c>
      <c r="C1185" s="233" t="str">
        <f>VLOOKUP(Table3[[#This Row],[Document ID]],Table1[],3,FALSE)</f>
        <v>Canada</v>
      </c>
      <c r="D1185" s="233" t="str">
        <f>VLOOKUP(Table3[[#This Row],[Document ID]],Table1[],5,FALSE)</f>
        <v>NDC</v>
      </c>
      <c r="E1185" s="233" t="str">
        <f>VLOOKUP(Table3[[#This Row],[Document ID]],Table1[],7,FALSE)</f>
        <v>Third NDC</v>
      </c>
      <c r="F1185" s="233" t="str">
        <f>VLOOKUP(Table3[[#This Row],[Document ID]],Table1[],8,FALSE)</f>
        <v>NDC 3.0</v>
      </c>
      <c r="G1185" s="233" t="str">
        <f>VLOOKUP(Table3[[#This Row],[Document ID]],Table1[],10,FALSE)</f>
        <v>Active</v>
      </c>
      <c r="H1185" s="43" t="s">
        <v>1147</v>
      </c>
      <c r="I1185" s="43" t="s">
        <v>1089</v>
      </c>
      <c r="J1185" s="43" t="s">
        <v>1090</v>
      </c>
      <c r="K1185" s="43" t="s">
        <v>1121</v>
      </c>
      <c r="L1185" s="43" t="s">
        <v>1099</v>
      </c>
      <c r="M1185" s="209">
        <v>2050</v>
      </c>
      <c r="N1185" s="44" t="s">
        <v>2282</v>
      </c>
      <c r="O1185" s="258">
        <v>1</v>
      </c>
      <c r="P1185" s="241" t="str">
        <f>VLOOKUP(_xlfn.CONCAT(Table3[[#This Row],[Target area]],Table3[[#This Row],[GHG target?]],Table3[[#This Row],[Conditionality]]),'Drop down'!$E$81:$F$101,2,FALSE)</f>
        <v>T_Netzero_Unc</v>
      </c>
      <c r="Q1185" s="233" t="str">
        <f>VLOOKUP(Table3[[#This Row],[Target type]],Table418[[Value name]:[Value idenifyer]],2,FALSE)</f>
        <v>T_FL</v>
      </c>
      <c r="V1185" s="233" t="str">
        <f>VLOOKUP(Table3[[#This Row],[Country Code]],Table29[],3,FALSE)</f>
        <v>Annex I</v>
      </c>
      <c r="W1185" s="233" t="str">
        <f>VLOOKUP(Table3[[#This Row],[Country Code]],Table29[],4,FALSE)</f>
        <v>Northern America</v>
      </c>
      <c r="X1185" s="233" t="str">
        <f>VLOOKUP(Table3[[#This Row],[Country Code]],Table29[],5,FALSE)</f>
        <v>High-income</v>
      </c>
      <c r="Y1185" s="233" t="str">
        <f>VLOOKUP(Table3[[#This Row],[Country Code]],Table29[],6,FALSE)</f>
        <v>G20</v>
      </c>
      <c r="Z1185" s="233" t="str">
        <f>VLOOKUP(Table3[[#This Row],[Country Code]],Table29[],7,FALSE)</f>
        <v>G7</v>
      </c>
      <c r="AA1185" s="233" t="str">
        <f>VLOOKUP(Table3[[#This Row],[Country Code]],Table29[],8,FALSE)</f>
        <v>OECD</v>
      </c>
      <c r="AB1185" s="233" t="str">
        <f>VLOOKUP(Table3[[#This Row],[Country Code]],Table29[],9,FALSE)</f>
        <v>no</v>
      </c>
      <c r="AC1185" s="233" t="str">
        <f>VLOOKUP(Table3[[#This Row],[Country Code]],Table29[],10,FALSE)</f>
        <v>no</v>
      </c>
      <c r="AD1185" s="235">
        <f>VLOOKUP(Table3[[#This Row],[Country Code]],Table29[],23,FALSE)</f>
        <v>747.67802680902003</v>
      </c>
      <c r="AE1185" s="235">
        <f>VLOOKUP(Table3[[#This Row],[Country Code]],Table29[],24,FALSE)</f>
        <v>169.021169926607</v>
      </c>
      <c r="AF1185" s="43"/>
    </row>
    <row r="1186" spans="1:32" ht="60" x14ac:dyDescent="0.25">
      <c r="A1186" s="360">
        <v>43987</v>
      </c>
      <c r="B1186" s="233" t="str">
        <f>VLOOKUP(Table3[[#This Row],[Document ID]],Table1[],2,FALSE)</f>
        <v>CAN</v>
      </c>
      <c r="C1186" s="233" t="str">
        <f>VLOOKUP(Table3[[#This Row],[Document ID]],Table1[],3,FALSE)</f>
        <v>Canada</v>
      </c>
      <c r="D1186" s="233" t="str">
        <f>VLOOKUP(Table3[[#This Row],[Document ID]],Table1[],5,FALSE)</f>
        <v>NDC</v>
      </c>
      <c r="E1186" s="233" t="str">
        <f>VLOOKUP(Table3[[#This Row],[Document ID]],Table1[],7,FALSE)</f>
        <v>Third NDC</v>
      </c>
      <c r="F1186" s="233" t="str">
        <f>VLOOKUP(Table3[[#This Row],[Document ID]],Table1[],8,FALSE)</f>
        <v>NDC 3.0</v>
      </c>
      <c r="G1186" s="233" t="str">
        <f>VLOOKUP(Table3[[#This Row],[Document ID]],Table1[],10,FALSE)</f>
        <v>Active</v>
      </c>
      <c r="H1186" s="43" t="s">
        <v>1095</v>
      </c>
      <c r="I1186" s="43" t="s">
        <v>1096</v>
      </c>
      <c r="J1186" s="43" t="s">
        <v>1097</v>
      </c>
      <c r="K1186" s="43" t="s">
        <v>1104</v>
      </c>
      <c r="L1186" s="27" t="s">
        <v>1116</v>
      </c>
      <c r="M1186" s="209">
        <v>2035</v>
      </c>
      <c r="N1186" s="44" t="s">
        <v>2283</v>
      </c>
      <c r="O1186" s="258">
        <v>24</v>
      </c>
      <c r="P1186" s="241" t="str">
        <f>VLOOKUP(_xlfn.CONCAT(Table3[[#This Row],[Target area]],Table3[[#This Row],[GHG target?]],Table3[[#This Row],[Conditionality]]),'Drop down'!$E$81:$F$101,2,FALSE)</f>
        <v>T_Transport_O</v>
      </c>
      <c r="Q1186" s="233" t="str">
        <f>VLOOKUP(Table3[[#This Row],[Target type]],Table418[[Value name]:[Value idenifyer]],2,FALSE)</f>
        <v>T_O_ZERO</v>
      </c>
      <c r="V1186" s="233" t="str">
        <f>VLOOKUP(Table3[[#This Row],[Country Code]],Table29[],3,FALSE)</f>
        <v>Annex I</v>
      </c>
      <c r="W1186" s="233" t="str">
        <f>VLOOKUP(Table3[[#This Row],[Country Code]],Table29[],4,FALSE)</f>
        <v>Northern America</v>
      </c>
      <c r="X1186" s="233" t="str">
        <f>VLOOKUP(Table3[[#This Row],[Country Code]],Table29[],5,FALSE)</f>
        <v>High-income</v>
      </c>
      <c r="Y1186" s="233" t="str">
        <f>VLOOKUP(Table3[[#This Row],[Country Code]],Table29[],6,FALSE)</f>
        <v>G20</v>
      </c>
      <c r="Z1186" s="233" t="str">
        <f>VLOOKUP(Table3[[#This Row],[Country Code]],Table29[],7,FALSE)</f>
        <v>G7</v>
      </c>
      <c r="AA1186" s="233" t="str">
        <f>VLOOKUP(Table3[[#This Row],[Country Code]],Table29[],8,FALSE)</f>
        <v>OECD</v>
      </c>
      <c r="AB1186" s="233" t="str">
        <f>VLOOKUP(Table3[[#This Row],[Country Code]],Table29[],9,FALSE)</f>
        <v>no</v>
      </c>
      <c r="AC1186" s="233" t="str">
        <f>VLOOKUP(Table3[[#This Row],[Country Code]],Table29[],10,FALSE)</f>
        <v>no</v>
      </c>
      <c r="AD1186" s="235">
        <f>VLOOKUP(Table3[[#This Row],[Country Code]],Table29[],23,FALSE)</f>
        <v>747.67802680902003</v>
      </c>
      <c r="AE1186" s="235">
        <f>VLOOKUP(Table3[[#This Row],[Country Code]],Table29[],24,FALSE)</f>
        <v>169.021169926607</v>
      </c>
      <c r="AF1186" s="43"/>
    </row>
    <row r="1187" spans="1:32" ht="45" x14ac:dyDescent="0.25">
      <c r="A1187" s="360">
        <v>43987</v>
      </c>
      <c r="B1187" s="233" t="str">
        <f>VLOOKUP(Table3[[#This Row],[Document ID]],Table1[],2,FALSE)</f>
        <v>CAN</v>
      </c>
      <c r="C1187" s="233" t="str">
        <f>VLOOKUP(Table3[[#This Row],[Document ID]],Table1[],3,FALSE)</f>
        <v>Canada</v>
      </c>
      <c r="D1187" s="233" t="str">
        <f>VLOOKUP(Table3[[#This Row],[Document ID]],Table1[],5,FALSE)</f>
        <v>NDC</v>
      </c>
      <c r="E1187" s="233" t="str">
        <f>VLOOKUP(Table3[[#This Row],[Document ID]],Table1[],7,FALSE)</f>
        <v>Third NDC</v>
      </c>
      <c r="F1187" s="233" t="str">
        <f>VLOOKUP(Table3[[#This Row],[Document ID]],Table1[],8,FALSE)</f>
        <v>NDC 3.0</v>
      </c>
      <c r="G1187" s="233" t="str">
        <f>VLOOKUP(Table3[[#This Row],[Document ID]],Table1[],10,FALSE)</f>
        <v>Active</v>
      </c>
      <c r="H1187" s="43" t="s">
        <v>1095</v>
      </c>
      <c r="I1187" s="43" t="s">
        <v>1096</v>
      </c>
      <c r="J1187" s="43" t="s">
        <v>1097</v>
      </c>
      <c r="K1187" s="43" t="s">
        <v>1175</v>
      </c>
      <c r="L1187" s="27" t="s">
        <v>1116</v>
      </c>
      <c r="M1187" s="209">
        <v>2026</v>
      </c>
      <c r="N1187" s="44" t="s">
        <v>2284</v>
      </c>
      <c r="O1187" s="258">
        <v>24</v>
      </c>
      <c r="P1187" s="241" t="str">
        <f>VLOOKUP(_xlfn.CONCAT(Table3[[#This Row],[Target area]],Table3[[#This Row],[GHG target?]],Table3[[#This Row],[Conditionality]]),'Drop down'!$E$81:$F$101,2,FALSE)</f>
        <v>T_Transport_O</v>
      </c>
      <c r="Q1187" s="233" t="str">
        <f>VLOOKUP(Table3[[#This Row],[Target type]],Table418[[Value name]:[Value idenifyer]],2,FALSE)</f>
        <v>T_O_AVOID</v>
      </c>
      <c r="V1187" s="233" t="str">
        <f>VLOOKUP(Table3[[#This Row],[Country Code]],Table29[],3,FALSE)</f>
        <v>Annex I</v>
      </c>
      <c r="W1187" s="233" t="str">
        <f>VLOOKUP(Table3[[#This Row],[Country Code]],Table29[],4,FALSE)</f>
        <v>Northern America</v>
      </c>
      <c r="X1187" s="233" t="str">
        <f>VLOOKUP(Table3[[#This Row],[Country Code]],Table29[],5,FALSE)</f>
        <v>High-income</v>
      </c>
      <c r="Y1187" s="233" t="str">
        <f>VLOOKUP(Table3[[#This Row],[Country Code]],Table29[],6,FALSE)</f>
        <v>G20</v>
      </c>
      <c r="Z1187" s="233" t="str">
        <f>VLOOKUP(Table3[[#This Row],[Country Code]],Table29[],7,FALSE)</f>
        <v>G7</v>
      </c>
      <c r="AA1187" s="233" t="str">
        <f>VLOOKUP(Table3[[#This Row],[Country Code]],Table29[],8,FALSE)</f>
        <v>OECD</v>
      </c>
      <c r="AB1187" s="233" t="str">
        <f>VLOOKUP(Table3[[#This Row],[Country Code]],Table29[],9,FALSE)</f>
        <v>no</v>
      </c>
      <c r="AC1187" s="233" t="str">
        <f>VLOOKUP(Table3[[#This Row],[Country Code]],Table29[],10,FALSE)</f>
        <v>no</v>
      </c>
      <c r="AD1187" s="235">
        <f>VLOOKUP(Table3[[#This Row],[Country Code]],Table29[],23,FALSE)</f>
        <v>747.67802680902003</v>
      </c>
      <c r="AE1187" s="235">
        <f>VLOOKUP(Table3[[#This Row],[Country Code]],Table29[],24,FALSE)</f>
        <v>169.021169926607</v>
      </c>
      <c r="AF1187" s="43"/>
    </row>
    <row r="1188" spans="1:32" x14ac:dyDescent="0.25">
      <c r="A1188" s="360">
        <v>43987</v>
      </c>
      <c r="B1188" s="233" t="str">
        <f>VLOOKUP(Table3[[#This Row],[Document ID]],Table1[],2,FALSE)</f>
        <v>CAN</v>
      </c>
      <c r="C1188" s="233" t="str">
        <f>VLOOKUP(Table3[[#This Row],[Document ID]],Table1[],3,FALSE)</f>
        <v>Canada</v>
      </c>
      <c r="D1188" s="233" t="str">
        <f>VLOOKUP(Table3[[#This Row],[Document ID]],Table1[],5,FALSE)</f>
        <v>NDC</v>
      </c>
      <c r="E1188" s="233" t="str">
        <f>VLOOKUP(Table3[[#This Row],[Document ID]],Table1[],7,FALSE)</f>
        <v>Third NDC</v>
      </c>
      <c r="F1188" s="233" t="str">
        <f>VLOOKUP(Table3[[#This Row],[Document ID]],Table1[],8,FALSE)</f>
        <v>NDC 3.0</v>
      </c>
      <c r="G1188" s="233" t="str">
        <f>VLOOKUP(Table3[[#This Row],[Document ID]],Table1[],10,FALSE)</f>
        <v>Active</v>
      </c>
      <c r="H1188" s="43" t="s">
        <v>1095</v>
      </c>
      <c r="I1188" s="43" t="s">
        <v>1096</v>
      </c>
      <c r="J1188" s="43" t="s">
        <v>1097</v>
      </c>
      <c r="K1188" s="43" t="s">
        <v>1104</v>
      </c>
      <c r="L1188" s="27" t="s">
        <v>1099</v>
      </c>
      <c r="M1188" s="209">
        <v>2035</v>
      </c>
      <c r="N1188" s="44" t="s">
        <v>2285</v>
      </c>
      <c r="O1188" s="258"/>
      <c r="P1188" s="241" t="str">
        <f>VLOOKUP(_xlfn.CONCAT(Table3[[#This Row],[Target area]],Table3[[#This Row],[GHG target?]],Table3[[#This Row],[Conditionality]]),'Drop down'!$E$81:$F$101,2,FALSE)</f>
        <v>T_Transport_O_Unc</v>
      </c>
      <c r="Q1188" s="233" t="str">
        <f>VLOOKUP(Table3[[#This Row],[Target type]],Table418[[Value name]:[Value idenifyer]],2,FALSE)</f>
        <v>T_O_ZERO</v>
      </c>
      <c r="V1188" s="233" t="str">
        <f>VLOOKUP(Table3[[#This Row],[Country Code]],Table29[],3,FALSE)</f>
        <v>Annex I</v>
      </c>
      <c r="W1188" s="233" t="str">
        <f>VLOOKUP(Table3[[#This Row],[Country Code]],Table29[],4,FALSE)</f>
        <v>Northern America</v>
      </c>
      <c r="X1188" s="233" t="str">
        <f>VLOOKUP(Table3[[#This Row],[Country Code]],Table29[],5,FALSE)</f>
        <v>High-income</v>
      </c>
      <c r="Y1188" s="233" t="str">
        <f>VLOOKUP(Table3[[#This Row],[Country Code]],Table29[],6,FALSE)</f>
        <v>G20</v>
      </c>
      <c r="Z1188" s="233" t="str">
        <f>VLOOKUP(Table3[[#This Row],[Country Code]],Table29[],7,FALSE)</f>
        <v>G7</v>
      </c>
      <c r="AA1188" s="233" t="str">
        <f>VLOOKUP(Table3[[#This Row],[Country Code]],Table29[],8,FALSE)</f>
        <v>OECD</v>
      </c>
      <c r="AB1188" s="233" t="str">
        <f>VLOOKUP(Table3[[#This Row],[Country Code]],Table29[],9,FALSE)</f>
        <v>no</v>
      </c>
      <c r="AC1188" s="233" t="str">
        <f>VLOOKUP(Table3[[#This Row],[Country Code]],Table29[],10,FALSE)</f>
        <v>no</v>
      </c>
      <c r="AD1188" s="235">
        <f>VLOOKUP(Table3[[#This Row],[Country Code]],Table29[],23,FALSE)</f>
        <v>747.67802680902003</v>
      </c>
      <c r="AE1188" s="235">
        <f>VLOOKUP(Table3[[#This Row],[Country Code]],Table29[],24,FALSE)</f>
        <v>169.021169926607</v>
      </c>
      <c r="AF1188" s="43"/>
    </row>
    <row r="1189" spans="1:32" ht="45" x14ac:dyDescent="0.25">
      <c r="A1189" s="360">
        <v>44073</v>
      </c>
      <c r="B1189" s="233" t="str">
        <f>VLOOKUP(Table3[[#This Row],[Document ID]],Table1[],2,FALSE)</f>
        <v>JPN</v>
      </c>
      <c r="C1189" s="233" t="str">
        <f>VLOOKUP(Table3[[#This Row],[Document ID]],Table1[],3,FALSE)</f>
        <v>Japan</v>
      </c>
      <c r="D1189" s="233" t="str">
        <f>VLOOKUP(Table3[[#This Row],[Document ID]],Table1[],5,FALSE)</f>
        <v>NDC</v>
      </c>
      <c r="E1189" s="233" t="str">
        <f>VLOOKUP(Table3[[#This Row],[Document ID]],Table1[],7,FALSE)</f>
        <v>Third NDC</v>
      </c>
      <c r="F1189" s="233" t="str">
        <f>VLOOKUP(Table3[[#This Row],[Document ID]],Table1[],8,FALSE)</f>
        <v>NDC 3.0</v>
      </c>
      <c r="G1189" s="233" t="str">
        <f>VLOOKUP(Table3[[#This Row],[Document ID]],Table1[],10,FALSE)</f>
        <v>Active</v>
      </c>
      <c r="H1189" s="43" t="s">
        <v>1089</v>
      </c>
      <c r="I1189" s="43" t="s">
        <v>1089</v>
      </c>
      <c r="J1189" s="43" t="s">
        <v>1090</v>
      </c>
      <c r="K1189" s="43" t="s">
        <v>1153</v>
      </c>
      <c r="L1189" s="43" t="s">
        <v>1099</v>
      </c>
      <c r="M1189" s="209">
        <v>2040</v>
      </c>
      <c r="N1189" s="44" t="s">
        <v>2286</v>
      </c>
      <c r="O1189" s="258">
        <v>2</v>
      </c>
      <c r="P1189" s="241" t="str">
        <f>VLOOKUP(_xlfn.CONCAT(Table3[[#This Row],[Target area]],Table3[[#This Row],[GHG target?]],Table3[[#This Row],[Conditionality]]),'Drop down'!$E$81:$F$101,2,FALSE)</f>
        <v>T_Economy_Unc</v>
      </c>
      <c r="Q1189" s="233" t="str">
        <f>VLOOKUP(Table3[[#This Row],[Target type]],Table418[[Value name]:[Value idenifyer]],2,FALSE)</f>
        <v>T_BYE</v>
      </c>
      <c r="V1189" s="233" t="str">
        <f>VLOOKUP(Table3[[#This Row],[Country Code]],Table29[],3,FALSE)</f>
        <v>Annex I</v>
      </c>
      <c r="W1189" s="233" t="str">
        <f>VLOOKUP(Table3[[#This Row],[Country Code]],Table29[],4,FALSE)</f>
        <v>Asia</v>
      </c>
      <c r="X1189" s="233" t="str">
        <f>VLOOKUP(Table3[[#This Row],[Country Code]],Table29[],5,FALSE)</f>
        <v>High-income</v>
      </c>
      <c r="Y1189" s="233" t="str">
        <f>VLOOKUP(Table3[[#This Row],[Country Code]],Table29[],6,FALSE)</f>
        <v>G20</v>
      </c>
      <c r="Z1189" s="233" t="str">
        <f>VLOOKUP(Table3[[#This Row],[Country Code]],Table29[],7,FALSE)</f>
        <v>G7</v>
      </c>
      <c r="AA1189" s="233" t="str">
        <f>VLOOKUP(Table3[[#This Row],[Country Code]],Table29[],8,FALSE)</f>
        <v>OECD</v>
      </c>
      <c r="AB1189" s="233" t="str">
        <f>VLOOKUP(Table3[[#This Row],[Country Code]],Table29[],9,FALSE)</f>
        <v>no</v>
      </c>
      <c r="AC1189" s="233" t="str">
        <f>VLOOKUP(Table3[[#This Row],[Country Code]],Table29[],10,FALSE)</f>
        <v>no</v>
      </c>
      <c r="AD1189" s="235">
        <f>VLOOKUP(Table3[[#This Row],[Country Code]],Table29[],23,FALSE)</f>
        <v>1041.0128248686999</v>
      </c>
      <c r="AE1189" s="235">
        <f>VLOOKUP(Table3[[#This Row],[Country Code]],Table29[],24,FALSE)</f>
        <v>181.96191357547141</v>
      </c>
      <c r="AF1189" s="43"/>
    </row>
    <row r="1190" spans="1:32" ht="30" x14ac:dyDescent="0.25">
      <c r="A1190" s="360">
        <v>44073</v>
      </c>
      <c r="B1190" s="233" t="str">
        <f>VLOOKUP(Table3[[#This Row],[Document ID]],Table1[],2,FALSE)</f>
        <v>JPN</v>
      </c>
      <c r="C1190" s="233" t="str">
        <f>VLOOKUP(Table3[[#This Row],[Document ID]],Table1[],3,FALSE)</f>
        <v>Japan</v>
      </c>
      <c r="D1190" s="233" t="str">
        <f>VLOOKUP(Table3[[#This Row],[Document ID]],Table1[],5,FALSE)</f>
        <v>NDC</v>
      </c>
      <c r="E1190" s="233" t="str">
        <f>VLOOKUP(Table3[[#This Row],[Document ID]],Table1[],7,FALSE)</f>
        <v>Third NDC</v>
      </c>
      <c r="F1190" s="233" t="str">
        <f>VLOOKUP(Table3[[#This Row],[Document ID]],Table1[],8,FALSE)</f>
        <v>NDC 3.0</v>
      </c>
      <c r="G1190" s="233" t="str">
        <f>VLOOKUP(Table3[[#This Row],[Document ID]],Table1[],10,FALSE)</f>
        <v>Active</v>
      </c>
      <c r="H1190" s="43" t="s">
        <v>1147</v>
      </c>
      <c r="I1190" s="43" t="s">
        <v>1089</v>
      </c>
      <c r="J1190" s="43" t="s">
        <v>1090</v>
      </c>
      <c r="K1190" s="43" t="s">
        <v>1121</v>
      </c>
      <c r="L1190" s="43" t="s">
        <v>1099</v>
      </c>
      <c r="M1190" s="209">
        <v>2050</v>
      </c>
      <c r="N1190" s="44" t="s">
        <v>2287</v>
      </c>
      <c r="O1190" s="258">
        <v>1</v>
      </c>
      <c r="P1190" s="241" t="str">
        <f>VLOOKUP(_xlfn.CONCAT(Table3[[#This Row],[Target area]],Table3[[#This Row],[GHG target?]],Table3[[#This Row],[Conditionality]]),'Drop down'!$E$81:$F$101,2,FALSE)</f>
        <v>T_Netzero_Unc</v>
      </c>
      <c r="Q1190" s="233" t="str">
        <f>VLOOKUP(Table3[[#This Row],[Target type]],Table418[[Value name]:[Value idenifyer]],2,FALSE)</f>
        <v>T_FL</v>
      </c>
      <c r="V1190" s="233" t="str">
        <f>VLOOKUP(Table3[[#This Row],[Country Code]],Table29[],3,FALSE)</f>
        <v>Annex I</v>
      </c>
      <c r="W1190" s="233" t="str">
        <f>VLOOKUP(Table3[[#This Row],[Country Code]],Table29[],4,FALSE)</f>
        <v>Asia</v>
      </c>
      <c r="X1190" s="233" t="str">
        <f>VLOOKUP(Table3[[#This Row],[Country Code]],Table29[],5,FALSE)</f>
        <v>High-income</v>
      </c>
      <c r="Y1190" s="233" t="str">
        <f>VLOOKUP(Table3[[#This Row],[Country Code]],Table29[],6,FALSE)</f>
        <v>G20</v>
      </c>
      <c r="Z1190" s="233" t="str">
        <f>VLOOKUP(Table3[[#This Row],[Country Code]],Table29[],7,FALSE)</f>
        <v>G7</v>
      </c>
      <c r="AA1190" s="233" t="str">
        <f>VLOOKUP(Table3[[#This Row],[Country Code]],Table29[],8,FALSE)</f>
        <v>OECD</v>
      </c>
      <c r="AB1190" s="233" t="str">
        <f>VLOOKUP(Table3[[#This Row],[Country Code]],Table29[],9,FALSE)</f>
        <v>no</v>
      </c>
      <c r="AC1190" s="233" t="str">
        <f>VLOOKUP(Table3[[#This Row],[Country Code]],Table29[],10,FALSE)</f>
        <v>no</v>
      </c>
      <c r="AD1190" s="235">
        <f>VLOOKUP(Table3[[#This Row],[Country Code]],Table29[],23,FALSE)</f>
        <v>1041.0128248686999</v>
      </c>
      <c r="AE1190" s="235">
        <f>VLOOKUP(Table3[[#This Row],[Country Code]],Table29[],24,FALSE)</f>
        <v>181.96191357547141</v>
      </c>
      <c r="AF1190" s="43"/>
    </row>
    <row r="1191" spans="1:32" ht="30" x14ac:dyDescent="0.25">
      <c r="A1191" s="360">
        <v>44085</v>
      </c>
      <c r="B1191" s="233" t="str">
        <f>VLOOKUP(Table3[[#This Row],[Document ID]],Table1[],2,FALSE)</f>
        <v>MNE</v>
      </c>
      <c r="C1191" s="233" t="str">
        <f>VLOOKUP(Table3[[#This Row],[Document ID]],Table1[],3,FALSE)</f>
        <v>Montenegro</v>
      </c>
      <c r="D1191" s="233" t="str">
        <f>VLOOKUP(Table3[[#This Row],[Document ID]],Table1[],5,FALSE)</f>
        <v>NDC</v>
      </c>
      <c r="E1191" s="233" t="str">
        <f>VLOOKUP(Table3[[#This Row],[Document ID]],Table1[],7,FALSE)</f>
        <v>Third NDC</v>
      </c>
      <c r="F1191" s="233" t="str">
        <f>VLOOKUP(Table3[[#This Row],[Document ID]],Table1[],8,FALSE)</f>
        <v>NDC 3.0</v>
      </c>
      <c r="G1191" s="233" t="str">
        <f>VLOOKUP(Table3[[#This Row],[Document ID]],Table1[],10,FALSE)</f>
        <v>Active</v>
      </c>
      <c r="H1191" s="43" t="s">
        <v>1089</v>
      </c>
      <c r="I1191" s="43" t="s">
        <v>1089</v>
      </c>
      <c r="J1191" s="43" t="s">
        <v>1090</v>
      </c>
      <c r="K1191" s="43" t="s">
        <v>1289</v>
      </c>
      <c r="L1191" s="43" t="s">
        <v>1116</v>
      </c>
      <c r="M1191" s="209">
        <v>2035</v>
      </c>
      <c r="N1191" s="44" t="s">
        <v>2288</v>
      </c>
      <c r="O1191" s="258">
        <v>3</v>
      </c>
      <c r="P1191" s="241" t="str">
        <f>VLOOKUP(_xlfn.CONCAT(Table3[[#This Row],[Target area]],Table3[[#This Row],[GHG target?]],Table3[[#This Row],[Conditionality]]),'Drop down'!$E$81:$F$101,2,FALSE)</f>
        <v>T_Economy</v>
      </c>
      <c r="Q1191" s="233" t="str">
        <f>VLOOKUP(Table3[[#This Row],[Target type]],Table418[[Value name]:[Value idenifyer]],2,FALSE)</f>
        <v>T_TRA</v>
      </c>
      <c r="V1191" s="233" t="str">
        <f>VLOOKUP(Table3[[#This Row],[Country Code]],Table29[],3,FALSE)</f>
        <v>Non-Annex I</v>
      </c>
      <c r="W1191" s="233" t="str">
        <f>VLOOKUP(Table3[[#This Row],[Country Code]],Table29[],4,FALSE)</f>
        <v>Europe</v>
      </c>
      <c r="X1191" s="233" t="str">
        <f>VLOOKUP(Table3[[#This Row],[Country Code]],Table29[],5,FALSE)</f>
        <v>Middle-income</v>
      </c>
      <c r="Y1191" s="233" t="str">
        <f>VLOOKUP(Table3[[#This Row],[Country Code]],Table29[],6,FALSE)</f>
        <v>no</v>
      </c>
      <c r="Z1191" s="233" t="str">
        <f>VLOOKUP(Table3[[#This Row],[Country Code]],Table29[],7,FALSE)</f>
        <v>no</v>
      </c>
      <c r="AA1191" s="233" t="str">
        <f>VLOOKUP(Table3[[#This Row],[Country Code]],Table29[],8,FALSE)</f>
        <v>non-OECD</v>
      </c>
      <c r="AB1191" s="233" t="str">
        <f>VLOOKUP(Table3[[#This Row],[Country Code]],Table29[],9,FALSE)</f>
        <v>no</v>
      </c>
      <c r="AC1191" s="233" t="str">
        <f>VLOOKUP(Table3[[#This Row],[Country Code]],Table29[],10,FALSE)</f>
        <v>no</v>
      </c>
      <c r="AD1191" s="235">
        <f>VLOOKUP(Table3[[#This Row],[Country Code]],Table29[],23,FALSE)</f>
        <v>0</v>
      </c>
      <c r="AE1191" s="235">
        <f>VLOOKUP(Table3[[#This Row],[Country Code]],Table29[],24,FALSE)</f>
        <v>0</v>
      </c>
      <c r="AF1191" s="43"/>
    </row>
    <row r="1192" spans="1:32" ht="75" x14ac:dyDescent="0.25">
      <c r="A1192" s="360">
        <v>44170</v>
      </c>
      <c r="B1192" s="233" t="str">
        <f>VLOOKUP(Table3[[#This Row],[Document ID]],Table1[],2,FALSE)</f>
        <v>MDV</v>
      </c>
      <c r="C1192" s="233" t="str">
        <f>VLOOKUP(Table3[[#This Row],[Document ID]],Table1[],3,FALSE)</f>
        <v>Maldives</v>
      </c>
      <c r="D1192" s="233" t="str">
        <f>VLOOKUP(Table3[[#This Row],[Document ID]],Table1[],5,FALSE)</f>
        <v>NDC</v>
      </c>
      <c r="E1192" s="233" t="str">
        <f>VLOOKUP(Table3[[#This Row],[Document ID]],Table1[],7,FALSE)</f>
        <v>Third NDC</v>
      </c>
      <c r="F1192" s="233" t="str">
        <f>VLOOKUP(Table3[[#This Row],[Document ID]],Table1[],8,FALSE)</f>
        <v>NDC 3.0</v>
      </c>
      <c r="G1192" s="233" t="str">
        <f>VLOOKUP(Table3[[#This Row],[Document ID]],Table1[],10,FALSE)</f>
        <v>Active</v>
      </c>
      <c r="H1192" s="43" t="s">
        <v>1089</v>
      </c>
      <c r="I1192" s="43" t="s">
        <v>1089</v>
      </c>
      <c r="J1192" s="43" t="s">
        <v>1090</v>
      </c>
      <c r="K1192" s="43" t="s">
        <v>1121</v>
      </c>
      <c r="L1192" s="43" t="s">
        <v>1092</v>
      </c>
      <c r="M1192" s="209">
        <v>2035</v>
      </c>
      <c r="N1192" s="44" t="s">
        <v>2289</v>
      </c>
      <c r="O1192" s="258">
        <v>11</v>
      </c>
      <c r="P1192" s="241" t="str">
        <f>VLOOKUP(_xlfn.CONCAT(Table3[[#This Row],[Target area]],Table3[[#This Row],[GHG target?]],Table3[[#This Row],[Conditionality]]),'Drop down'!$E$81:$F$101,2,FALSE)</f>
        <v>T_Economy_C</v>
      </c>
      <c r="Q1192" s="233" t="str">
        <f>VLOOKUP(Table3[[#This Row],[Target type]],Table418[[Value name]:[Value idenifyer]],2,FALSE)</f>
        <v>T_FL</v>
      </c>
      <c r="V1192" s="233" t="str">
        <f>VLOOKUP(Table3[[#This Row],[Country Code]],Table29[],3,FALSE)</f>
        <v>Non-Annex I</v>
      </c>
      <c r="W1192" s="233" t="str">
        <f>VLOOKUP(Table3[[#This Row],[Country Code]],Table29[],4,FALSE)</f>
        <v>Asia</v>
      </c>
      <c r="X1192" s="233" t="str">
        <f>VLOOKUP(Table3[[#This Row],[Country Code]],Table29[],5,FALSE)</f>
        <v>Middle-income</v>
      </c>
      <c r="Y1192" s="233" t="str">
        <f>VLOOKUP(Table3[[#This Row],[Country Code]],Table29[],6,FALSE)</f>
        <v>no</v>
      </c>
      <c r="Z1192" s="233" t="str">
        <f>VLOOKUP(Table3[[#This Row],[Country Code]],Table29[],7,FALSE)</f>
        <v>no</v>
      </c>
      <c r="AA1192" s="233" t="str">
        <f>VLOOKUP(Table3[[#This Row],[Country Code]],Table29[],8,FALSE)</f>
        <v>non-OECD</v>
      </c>
      <c r="AB1192" s="233" t="str">
        <f>VLOOKUP(Table3[[#This Row],[Country Code]],Table29[],9,FALSE)</f>
        <v>no</v>
      </c>
      <c r="AC1192" s="233" t="str">
        <f>VLOOKUP(Table3[[#This Row],[Country Code]],Table29[],10,FALSE)</f>
        <v>no</v>
      </c>
      <c r="AD1192" s="235">
        <f>VLOOKUP(Table3[[#This Row],[Country Code]],Table29[],23,FALSE)</f>
        <v>3.0879519663505</v>
      </c>
      <c r="AE1192" s="235">
        <f>VLOOKUP(Table3[[#This Row],[Country Code]],Table29[],24,FALSE)</f>
        <v>1.4972669707005819</v>
      </c>
      <c r="AF1192" s="43"/>
    </row>
    <row r="1193" spans="1:32" x14ac:dyDescent="0.25">
      <c r="A1193" s="368">
        <v>44171</v>
      </c>
      <c r="B1193" s="233" t="str">
        <f>VLOOKUP(Table3[[#This Row],[Document ID]],Table1[],2,FALSE)</f>
        <v>CUB</v>
      </c>
      <c r="C1193" s="241" t="str">
        <f>VLOOKUP(Table3[[#This Row],[Document ID]],Table1[],3,FALSE)</f>
        <v>Cuba</v>
      </c>
      <c r="D1193" s="241" t="str">
        <f>VLOOKUP(Table3[[#This Row],[Document ID]],Table1[],5,FALSE)</f>
        <v>NDC</v>
      </c>
      <c r="E1193" s="233" t="str">
        <f>VLOOKUP(Table3[[#This Row],[Document ID]],Table1[],7,FALSE)</f>
        <v>Third NDC</v>
      </c>
      <c r="F1193" s="233" t="str">
        <f>VLOOKUP(Table3[[#This Row],[Document ID]],Table1[],8,FALSE)</f>
        <v>NDC 3.0</v>
      </c>
      <c r="G1193" s="233" t="str">
        <f>VLOOKUP(Table3[[#This Row],[Document ID]],Table1[],10,FALSE)</f>
        <v>Active</v>
      </c>
      <c r="H1193" s="43" t="s">
        <v>1114</v>
      </c>
      <c r="I1193" s="43" t="s">
        <v>1096</v>
      </c>
      <c r="J1193" s="43" t="s">
        <v>1097</v>
      </c>
      <c r="K1193" s="43" t="s">
        <v>1118</v>
      </c>
      <c r="L1193" s="43" t="s">
        <v>1099</v>
      </c>
      <c r="M1193" s="209">
        <v>2035</v>
      </c>
      <c r="N1193" s="209" t="s">
        <v>2290</v>
      </c>
      <c r="O1193" s="258">
        <v>15</v>
      </c>
      <c r="P1193" s="241" t="str">
        <f>VLOOKUP(_xlfn.CONCAT(Table3[[#This Row],[Target area]],Table3[[#This Row],[GHG target?]],Table3[[#This Row],[Conditionality]]),'Drop down'!$E$81:$F$101,2,FALSE)</f>
        <v>T_Energy_O_Unc</v>
      </c>
      <c r="Q1193" s="233" t="str">
        <f>VLOOKUP(Table3[[#This Row],[Target type]],Table418[[Value name]:[Value idenifyer]],2,FALSE)</f>
        <v>T_E_REN</v>
      </c>
      <c r="S1193" s="233" t="s">
        <v>1101</v>
      </c>
      <c r="T1193" s="240"/>
      <c r="V1193" s="241" t="str">
        <f>VLOOKUP(Table3[[#This Row],[Country Code]],Table29[],3,FALSE)</f>
        <v>Non-Annex I</v>
      </c>
      <c r="W1193" s="233" t="str">
        <f>VLOOKUP(Table3[[#This Row],[Country Code]],Table29[],4,FALSE)</f>
        <v>Latin America and the Caribbean</v>
      </c>
      <c r="X1193" s="241" t="str">
        <f>VLOOKUP(Table3[[#This Row],[Country Code]],Table29[],5,FALSE)</f>
        <v>Middle-income</v>
      </c>
      <c r="Y1193" s="241" t="str">
        <f>VLOOKUP(Table3[[#This Row],[Country Code]],Table29[],6,FALSE)</f>
        <v>no</v>
      </c>
      <c r="Z1193" s="241" t="str">
        <f>VLOOKUP(Table3[[#This Row],[Country Code]],Table29[],7,FALSE)</f>
        <v>no</v>
      </c>
      <c r="AA1193" s="241" t="str">
        <f>VLOOKUP(Table3[[#This Row],[Country Code]],Table29[],8,FALSE)</f>
        <v>non-OECD</v>
      </c>
      <c r="AB1193" s="233" t="str">
        <f>VLOOKUP(Table3[[#This Row],[Country Code]],Table29[],9,FALSE)</f>
        <v>no</v>
      </c>
      <c r="AC1193" s="233" t="str">
        <f>VLOOKUP(Table3[[#This Row],[Country Code]],Table29[],10,FALSE)</f>
        <v>no</v>
      </c>
      <c r="AD1193" s="534">
        <f>VLOOKUP(Table3[[#This Row],[Country Code]],Table29[],23,FALSE)</f>
        <v>39.400331633766001</v>
      </c>
      <c r="AE1193" s="534">
        <f>VLOOKUP(Table3[[#This Row],[Country Code]],Table29[],24,FALSE)</f>
        <v>1.240586761635627</v>
      </c>
      <c r="AF1193" s="42"/>
    </row>
    <row r="1194" spans="1:32" ht="45" x14ac:dyDescent="0.25">
      <c r="A1194" s="368">
        <v>44171</v>
      </c>
      <c r="B1194" s="233" t="str">
        <f>VLOOKUP(Table3[[#This Row],[Document ID]],Table1[],2,FALSE)</f>
        <v>CUB</v>
      </c>
      <c r="C1194" s="241" t="str">
        <f>VLOOKUP(Table3[[#This Row],[Document ID]],Table1[],3,FALSE)</f>
        <v>Cuba</v>
      </c>
      <c r="D1194" s="241" t="str">
        <f>VLOOKUP(Table3[[#This Row],[Document ID]],Table1[],5,FALSE)</f>
        <v>NDC</v>
      </c>
      <c r="E1194" s="233" t="str">
        <f>VLOOKUP(Table3[[#This Row],[Document ID]],Table1[],7,FALSE)</f>
        <v>Third NDC</v>
      </c>
      <c r="F1194" s="233" t="str">
        <f>VLOOKUP(Table3[[#This Row],[Document ID]],Table1[],8,FALSE)</f>
        <v>NDC 3.0</v>
      </c>
      <c r="G1194" s="233" t="str">
        <f>VLOOKUP(Table3[[#This Row],[Document ID]],Table1[],10,FALSE)</f>
        <v>Active</v>
      </c>
      <c r="H1194" s="43" t="s">
        <v>1095</v>
      </c>
      <c r="I1194" s="43" t="s">
        <v>1096</v>
      </c>
      <c r="J1194" s="43" t="s">
        <v>1097</v>
      </c>
      <c r="K1194" s="43" t="s">
        <v>1223</v>
      </c>
      <c r="L1194" s="43" t="s">
        <v>1092</v>
      </c>
      <c r="M1194" s="209">
        <v>2035</v>
      </c>
      <c r="N1194" s="209" t="s">
        <v>2291</v>
      </c>
      <c r="O1194" s="258">
        <v>21</v>
      </c>
      <c r="P1194" s="241" t="str">
        <f>VLOOKUP(_xlfn.CONCAT(Table3[[#This Row],[Target area]],Table3[[#This Row],[GHG target?]],Table3[[#This Row],[Conditionality]]),'Drop down'!$E$81:$F$101,2,FALSE)</f>
        <v>T_Transport_O_C</v>
      </c>
      <c r="Q1194" s="233" t="str">
        <f>VLOOKUP(Table3[[#This Row],[Target type]],Table418[[Value name]:[Value idenifyer]],2,FALSE)</f>
        <v>T_O_REN</v>
      </c>
      <c r="S1194" s="233" t="s">
        <v>1101</v>
      </c>
      <c r="T1194" s="240"/>
      <c r="V1194" s="241" t="str">
        <f>VLOOKUP(Table3[[#This Row],[Country Code]],Table29[],3,FALSE)</f>
        <v>Non-Annex I</v>
      </c>
      <c r="W1194" s="233" t="str">
        <f>VLOOKUP(Table3[[#This Row],[Country Code]],Table29[],4,FALSE)</f>
        <v>Latin America and the Caribbean</v>
      </c>
      <c r="X1194" s="241" t="str">
        <f>VLOOKUP(Table3[[#This Row],[Country Code]],Table29[],5,FALSE)</f>
        <v>Middle-income</v>
      </c>
      <c r="Y1194" s="241" t="str">
        <f>VLOOKUP(Table3[[#This Row],[Country Code]],Table29[],6,FALSE)</f>
        <v>no</v>
      </c>
      <c r="Z1194" s="241" t="str">
        <f>VLOOKUP(Table3[[#This Row],[Country Code]],Table29[],7,FALSE)</f>
        <v>no</v>
      </c>
      <c r="AA1194" s="241" t="str">
        <f>VLOOKUP(Table3[[#This Row],[Country Code]],Table29[],8,FALSE)</f>
        <v>non-OECD</v>
      </c>
      <c r="AB1194" s="233" t="str">
        <f>VLOOKUP(Table3[[#This Row],[Country Code]],Table29[],9,FALSE)</f>
        <v>no</v>
      </c>
      <c r="AC1194" s="233" t="str">
        <f>VLOOKUP(Table3[[#This Row],[Country Code]],Table29[],10,FALSE)</f>
        <v>no</v>
      </c>
      <c r="AD1194" s="534">
        <f>VLOOKUP(Table3[[#This Row],[Country Code]],Table29[],23,FALSE)</f>
        <v>39.400331633766001</v>
      </c>
      <c r="AE1194" s="534">
        <f>VLOOKUP(Table3[[#This Row],[Country Code]],Table29[],24,FALSE)</f>
        <v>1.240586761635627</v>
      </c>
      <c r="AF1194" s="42"/>
    </row>
    <row r="1195" spans="1:32" ht="30" x14ac:dyDescent="0.25">
      <c r="A1195" s="608">
        <v>59187</v>
      </c>
      <c r="B1195" s="609" t="str">
        <f>VLOOKUP(Table3[[#This Row],[Document ID]],Table1[],2,FALSE)</f>
        <v>ZMB</v>
      </c>
      <c r="C1195" s="609" t="str">
        <f>VLOOKUP(Table3[[#This Row],[Document ID]],Table1[],3,FALSE)</f>
        <v>Zambia</v>
      </c>
      <c r="D1195" s="610" t="str">
        <f>VLOOKUP(Table3[[#This Row],[Document ID]],Table1[],5,FALSE)</f>
        <v>NDC</v>
      </c>
      <c r="E1195" s="610" t="str">
        <f>VLOOKUP(Table3[[#This Row],[Document ID]],Table1[],7,FALSE)</f>
        <v>Third NDC</v>
      </c>
      <c r="F1195" s="610" t="str">
        <f>VLOOKUP(Table3[[#This Row],[Document ID]],Table1[],8,FALSE)</f>
        <v>NDC 3.0</v>
      </c>
      <c r="G1195" s="610" t="str">
        <f>VLOOKUP(Table3[[#This Row],[Document ID]],Table1[],10,FALSE)</f>
        <v>Active</v>
      </c>
      <c r="H1195" s="611" t="s">
        <v>1089</v>
      </c>
      <c r="I1195" s="611" t="s">
        <v>1089</v>
      </c>
      <c r="J1195" s="611" t="s">
        <v>1090</v>
      </c>
      <c r="K1195" s="611" t="s">
        <v>1153</v>
      </c>
      <c r="L1195" s="611" t="s">
        <v>1092</v>
      </c>
      <c r="M1195" s="612">
        <v>2030</v>
      </c>
      <c r="N1195" s="613" t="s">
        <v>6449</v>
      </c>
      <c r="O1195" s="614">
        <v>6</v>
      </c>
      <c r="P1195" s="615" t="str">
        <f>VLOOKUP(_xlfn.CONCAT(Table3[[#This Row],[Target area]],Table3[[#This Row],[GHG target?]],Table3[[#This Row],[Conditionality]]),'Drop down'!$E$81:$F$101,2,FALSE)</f>
        <v>T_Economy_C</v>
      </c>
      <c r="Q1195" s="609" t="str">
        <f>VLOOKUP(Table3[[#This Row],[Target type]],Table418[[Value name]:[Value idenifyer]],2,FALSE)</f>
        <v>T_BYE</v>
      </c>
      <c r="R1195" s="609"/>
      <c r="S1195" s="609"/>
      <c r="T1195" s="616"/>
      <c r="U1195" s="616"/>
      <c r="V1195" s="610" t="str">
        <f>VLOOKUP(Table3[[#This Row],[Country Code]],Table29[],3,FALSE)</f>
        <v>Non-Annex I</v>
      </c>
      <c r="W1195" s="610" t="str">
        <f>VLOOKUP(Table3[[#This Row],[Country Code]],Table29[],4,FALSE)</f>
        <v>Africa</v>
      </c>
      <c r="X1195" s="610" t="str">
        <f>VLOOKUP(Table3[[#This Row],[Country Code]],Table29[],5,FALSE)</f>
        <v>Middle-income</v>
      </c>
      <c r="Y1195" s="610" t="str">
        <f>VLOOKUP(Table3[[#This Row],[Country Code]],Table29[],6,FALSE)</f>
        <v>no</v>
      </c>
      <c r="Z1195" s="610" t="str">
        <f>VLOOKUP(Table3[[#This Row],[Country Code]],Table29[],7,FALSE)</f>
        <v>no</v>
      </c>
      <c r="AA1195" s="610" t="str">
        <f>VLOOKUP(Table3[[#This Row],[Country Code]],Table29[],8,FALSE)</f>
        <v>non-OECD</v>
      </c>
      <c r="AB1195" s="609" t="str">
        <f>VLOOKUP(Table3[[#This Row],[Country Code]],Table29[],9,FALSE)</f>
        <v>no</v>
      </c>
      <c r="AC1195" s="609" t="str">
        <f>VLOOKUP(Table3[[#This Row],[Country Code]],Table29[],10,FALSE)</f>
        <v>no</v>
      </c>
      <c r="AD1195" s="617">
        <f>VLOOKUP(Table3[[#This Row],[Country Code]],Table29[],23,FALSE)</f>
        <v>30.484449374284001</v>
      </c>
      <c r="AE1195" s="617">
        <f>VLOOKUP(Table3[[#This Row],[Country Code]],Table29[],24,FALSE)</f>
        <v>2.3997242322457328</v>
      </c>
      <c r="AF1195" s="618"/>
    </row>
    <row r="1196" spans="1:32" ht="30" x14ac:dyDescent="0.25">
      <c r="A1196" s="608">
        <v>59187</v>
      </c>
      <c r="B1196" s="609" t="str">
        <f>VLOOKUP(Table3[[#This Row],[Document ID]],Table1[],2,FALSE)</f>
        <v>ZMB</v>
      </c>
      <c r="C1196" s="609" t="str">
        <f>VLOOKUP(Table3[[#This Row],[Document ID]],Table1[],3,FALSE)</f>
        <v>Zambia</v>
      </c>
      <c r="D1196" s="610" t="str">
        <f>VLOOKUP(Table3[[#This Row],[Document ID]],Table1[],5,FALSE)</f>
        <v>NDC</v>
      </c>
      <c r="E1196" s="610" t="str">
        <f>VLOOKUP(Table3[[#This Row],[Document ID]],Table1[],7,FALSE)</f>
        <v>Third NDC</v>
      </c>
      <c r="F1196" s="610" t="str">
        <f>VLOOKUP(Table3[[#This Row],[Document ID]],Table1[],8,FALSE)</f>
        <v>NDC 3.0</v>
      </c>
      <c r="G1196" s="610" t="str">
        <f>VLOOKUP(Table3[[#This Row],[Document ID]],Table1[],10,FALSE)</f>
        <v>Active</v>
      </c>
      <c r="H1196" s="611" t="s">
        <v>1089</v>
      </c>
      <c r="I1196" s="611" t="s">
        <v>1089</v>
      </c>
      <c r="J1196" s="611" t="s">
        <v>1090</v>
      </c>
      <c r="K1196" s="611" t="s">
        <v>1153</v>
      </c>
      <c r="L1196" s="611" t="s">
        <v>1099</v>
      </c>
      <c r="M1196" s="612">
        <v>2030</v>
      </c>
      <c r="N1196" s="613" t="s">
        <v>6449</v>
      </c>
      <c r="O1196" s="614">
        <v>6</v>
      </c>
      <c r="P1196" s="615" t="str">
        <f>VLOOKUP(_xlfn.CONCAT(Table3[[#This Row],[Target area]],Table3[[#This Row],[GHG target?]],Table3[[#This Row],[Conditionality]]),'Drop down'!$E$81:$F$101,2,FALSE)</f>
        <v>T_Economy_Unc</v>
      </c>
      <c r="Q1196" s="609" t="str">
        <f>VLOOKUP(Table3[[#This Row],[Target type]],Table418[[Value name]:[Value idenifyer]],2,FALSE)</f>
        <v>T_BYE</v>
      </c>
      <c r="R1196" s="609"/>
      <c r="S1196" s="609"/>
      <c r="T1196" s="616"/>
      <c r="U1196" s="616"/>
      <c r="V1196" s="610" t="str">
        <f>VLOOKUP(Table3[[#This Row],[Country Code]],Table29[],3,FALSE)</f>
        <v>Non-Annex I</v>
      </c>
      <c r="W1196" s="610" t="str">
        <f>VLOOKUP(Table3[[#This Row],[Country Code]],Table29[],4,FALSE)</f>
        <v>Africa</v>
      </c>
      <c r="X1196" s="610" t="str">
        <f>VLOOKUP(Table3[[#This Row],[Country Code]],Table29[],5,FALSE)</f>
        <v>Middle-income</v>
      </c>
      <c r="Y1196" s="610" t="str">
        <f>VLOOKUP(Table3[[#This Row],[Country Code]],Table29[],6,FALSE)</f>
        <v>no</v>
      </c>
      <c r="Z1196" s="610" t="str">
        <f>VLOOKUP(Table3[[#This Row],[Country Code]],Table29[],7,FALSE)</f>
        <v>no</v>
      </c>
      <c r="AA1196" s="610" t="str">
        <f>VLOOKUP(Table3[[#This Row],[Country Code]],Table29[],8,FALSE)</f>
        <v>non-OECD</v>
      </c>
      <c r="AB1196" s="609" t="str">
        <f>VLOOKUP(Table3[[#This Row],[Country Code]],Table29[],9,FALSE)</f>
        <v>no</v>
      </c>
      <c r="AC1196" s="609" t="str">
        <f>VLOOKUP(Table3[[#This Row],[Country Code]],Table29[],10,FALSE)</f>
        <v>no</v>
      </c>
      <c r="AD1196" s="617">
        <f>VLOOKUP(Table3[[#This Row],[Country Code]],Table29[],23,FALSE)</f>
        <v>30.484449374284001</v>
      </c>
      <c r="AE1196" s="617">
        <f>VLOOKUP(Table3[[#This Row],[Country Code]],Table29[],24,FALSE)</f>
        <v>2.3997242322457328</v>
      </c>
      <c r="AF1196" s="618"/>
    </row>
  </sheetData>
  <phoneticPr fontId="14" type="noConversion"/>
  <dataValidations count="4">
    <dataValidation type="list" allowBlank="1" showInputMessage="1" showErrorMessage="1" sqref="R37 R574 R505 R498 R500 R452 R470 R445:R446 R449 R441:R442 R435:R436 R412 R426 R390 R404 R382 R353 R339 R326 R293:R294 R296 R233 R290 R267 R228:R229 R224 R215:R216 R190:R191 R166 R185:R186 R173 R171 R168 R159 R154 R142 R73:R74 R134 R120 R86 R45:R46 R69:R70 R57 R55 R41:R42 R475" xr:uid="{1C79EA28-B2ED-448D-932C-02689E58A51E}">
      <formula1>$E$639:$E$641</formula1>
    </dataValidation>
    <dataValidation type="list" allowBlank="1" showInputMessage="1" showErrorMessage="1" sqref="R506:R532 R501:R504 R268:R289 R58:R68 R38:R40 R43:R44 R47:R54 R56 R18:R36 R71:R72 R75:R85 R87:R119 R121:R133 R135:R141 R143:R153 R155:R158 R160:R165 R167 R169:R170 R172 R174:R184 R187:R189 R192:R214 R217:R223 R225:R227 R230:R232 R234:R266 R291:R292 R295 R297:R325 R327:R338 R340:R352 R354:R381 R383:R389 R391:R403 R405:R411 R413:R425 R427:R434 R437:R440 R443:R444 R447:R448 R450:R451 R453:R469 R471:R474 R476:R497 R499 R9:R16 R885" xr:uid="{9660C8F4-483F-4B7F-9BB5-448EF11E0ADC}">
      <formula1>$E$483:$E$484</formula1>
    </dataValidation>
    <dataValidation type="list" allowBlank="1" showInputMessage="1" showErrorMessage="1" sqref="R17 S880 S888:S891 S885 S914:S918 S7 S923:S936 S9:S860 S1193:S1194" xr:uid="{E590864C-BFB8-4236-A703-C65747CD22C9}">
      <formula1>#REF!</formula1>
    </dataValidation>
    <dataValidation type="list" allowBlank="1" showInputMessage="1" showErrorMessage="1" sqref="K9:K1196 I9:I1196" xr:uid="{F3EB4338-B4DF-4AAA-881A-CFD4091A3B21}">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9C34C62-30D0-40FA-A501-6F0210D60695}">
          <x14:formula1>
            <xm:f>Def_Targets!$D$16:$D$18</xm:f>
          </x14:formula1>
          <xm:sqref>L9:L1196</xm:sqref>
        </x14:dataValidation>
        <x14:dataValidation type="list" allowBlank="1" showInputMessage="1" showErrorMessage="1" xr:uid="{F98FB010-36F6-4619-BA47-7D896F280142}">
          <x14:formula1>
            <xm:f>'Drop down'!$C$17:$C$18</xm:f>
          </x14:formula1>
          <xm:sqref>J9:J1196</xm:sqref>
        </x14:dataValidation>
        <x14:dataValidation type="list" allowBlank="1" showInputMessage="1" showErrorMessage="1" xr:uid="{73CD52E7-D115-4FCA-B36F-6E207103CE0B}">
          <x14:formula1>
            <xm:f>'Drop down'!$C$10:$C$14</xm:f>
          </x14:formula1>
          <xm:sqref>H9:H1196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FF12-09BF-47F7-A7F5-49821658B8F7}">
  <sheetPr codeName="Sheet11">
    <tabColor theme="9" tint="0.39997558519241921"/>
    <outlinePr summaryRight="0"/>
  </sheetPr>
  <dimension ref="A2:BF3025"/>
  <sheetViews>
    <sheetView zoomScaleNormal="100" workbookViewId="0">
      <pane ySplit="8" topLeftCell="A2783" activePane="bottomLeft" state="frozen"/>
      <selection activeCell="A2937" sqref="A2937"/>
      <selection pane="bottomLeft" activeCell="G2813" sqref="G2813"/>
    </sheetView>
  </sheetViews>
  <sheetFormatPr baseColWidth="10" defaultColWidth="8.5703125" defaultRowHeight="15" customHeight="1" outlineLevelCol="1" x14ac:dyDescent="0.25"/>
  <cols>
    <col min="1" max="1" width="12.42578125" customWidth="1"/>
    <col min="2" max="2" width="11.85546875" style="207" customWidth="1"/>
    <col min="3" max="4" width="14.5703125" style="207" customWidth="1"/>
    <col min="5" max="7" width="16.5703125" style="207" customWidth="1"/>
    <col min="8" max="8" width="33.42578125" style="17" customWidth="1"/>
    <col min="9" max="9" width="43.85546875" style="17" customWidth="1"/>
    <col min="10" max="10" width="47.42578125" style="17" customWidth="1"/>
    <col min="11" max="11" width="94.5703125" style="2" customWidth="1"/>
    <col min="12" max="12" width="12.85546875" style="2" customWidth="1"/>
    <col min="13" max="13" width="8.42578125" customWidth="1"/>
    <col min="14" max="15" width="7.5703125" style="47" customWidth="1"/>
    <col min="16" max="16" width="3.5703125" style="47" customWidth="1" collapsed="1"/>
    <col min="17" max="18" width="3.5703125" style="47" hidden="1" customWidth="1" outlineLevel="1"/>
    <col min="19" max="19" width="3.5703125" style="47" customWidth="1" collapsed="1"/>
    <col min="20" max="25" width="3.5703125" style="47" hidden="1" customWidth="1" outlineLevel="1"/>
    <col min="26" max="26" width="3.5703125" style="47" customWidth="1" collapsed="1"/>
    <col min="27" max="29" width="3.5703125" style="47" hidden="1" customWidth="1" outlineLevel="1"/>
    <col min="30" max="30" width="3.5703125" style="47" customWidth="1" collapsed="1"/>
    <col min="31" max="33" width="3.5703125" style="47" hidden="1" customWidth="1" outlineLevel="1"/>
    <col min="34" max="34" width="3.5703125" style="47" customWidth="1" collapsed="1"/>
    <col min="35" max="36" width="3.5703125" style="47" hidden="1" customWidth="1" outlineLevel="1"/>
    <col min="37" max="37" width="5.42578125" style="47" customWidth="1"/>
    <col min="38" max="40" width="3.5703125" style="47" customWidth="1"/>
    <col min="41" max="41" width="31" customWidth="1"/>
    <col min="42" max="42" width="25.5703125" customWidth="1"/>
    <col min="43" max="43" width="21" style="207" customWidth="1"/>
    <col min="44" max="44" width="12.5703125" style="253" customWidth="1"/>
    <col min="45" max="45" width="17.42578125" style="253" customWidth="1"/>
    <col min="46" max="46" width="14.42578125" style="253" customWidth="1"/>
    <col min="47" max="49" width="8.5703125" style="253" customWidth="1"/>
    <col min="50" max="50" width="10.5703125" style="253" customWidth="1"/>
    <col min="51" max="51" width="18.5703125" style="253" customWidth="1"/>
    <col min="52" max="52" width="20.42578125" style="207" customWidth="1"/>
    <col min="53" max="53" width="18.85546875" style="207" customWidth="1"/>
    <col min="54" max="54" width="47.85546875" style="17" customWidth="1"/>
    <col min="55" max="55" width="80.140625" style="17" customWidth="1"/>
    <col min="56" max="56" width="104.85546875" customWidth="1"/>
  </cols>
  <sheetData>
    <row r="2" spans="1:58" ht="23.25" x14ac:dyDescent="0.35">
      <c r="A2" s="29"/>
      <c r="B2" s="272"/>
      <c r="C2" s="301" t="s">
        <v>1235</v>
      </c>
      <c r="D2" s="273"/>
      <c r="E2" s="272"/>
      <c r="F2" s="272"/>
      <c r="G2" s="272"/>
      <c r="H2" s="288"/>
      <c r="I2" s="288"/>
      <c r="J2" s="288"/>
      <c r="K2" s="151"/>
      <c r="L2" s="151"/>
      <c r="M2" s="29"/>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29"/>
      <c r="AP2" s="29"/>
      <c r="AQ2" s="272"/>
      <c r="AR2" s="285"/>
      <c r="AS2" s="285"/>
      <c r="AT2" s="285"/>
      <c r="AU2" s="286"/>
      <c r="AV2" s="286"/>
      <c r="AW2" s="286"/>
      <c r="AX2" s="286"/>
      <c r="AY2" s="286"/>
      <c r="AZ2" s="272"/>
      <c r="BA2" s="272"/>
      <c r="BB2" s="288"/>
      <c r="BC2" s="288"/>
    </row>
    <row r="3" spans="1:58" x14ac:dyDescent="0.25">
      <c r="A3" s="29"/>
      <c r="B3" s="272"/>
      <c r="C3" s="288" t="s">
        <v>2292</v>
      </c>
      <c r="D3" s="272"/>
      <c r="E3" s="272"/>
      <c r="F3" s="272"/>
      <c r="G3" s="272"/>
      <c r="H3" s="288"/>
      <c r="I3" s="288"/>
      <c r="J3" s="288"/>
      <c r="K3" s="151"/>
      <c r="L3" s="151"/>
      <c r="M3" s="29"/>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29"/>
      <c r="AP3" s="29"/>
      <c r="AQ3" s="272"/>
      <c r="AR3" s="285"/>
      <c r="AS3" s="285"/>
      <c r="AT3" s="285"/>
      <c r="AU3" s="286"/>
      <c r="AV3" s="286"/>
      <c r="AW3" s="286"/>
      <c r="AX3" s="286"/>
      <c r="AY3" s="286"/>
      <c r="AZ3" s="272"/>
      <c r="BA3" s="272"/>
      <c r="BB3" s="288"/>
      <c r="BC3" s="288"/>
    </row>
    <row r="4" spans="1:58" x14ac:dyDescent="0.25">
      <c r="A4" s="29"/>
      <c r="B4" s="272"/>
      <c r="C4" s="160" t="str">
        <f>'Read me'!C8</f>
        <v>Update as of  13 March 2025</v>
      </c>
      <c r="D4" s="274"/>
      <c r="E4" s="272"/>
      <c r="F4" s="272"/>
      <c r="G4" s="272"/>
      <c r="H4" s="288"/>
      <c r="I4" s="288"/>
      <c r="J4" s="288"/>
      <c r="K4" s="151"/>
      <c r="L4" s="151"/>
      <c r="M4" s="29"/>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29"/>
      <c r="AP4" s="29"/>
      <c r="AQ4" s="272"/>
      <c r="AR4" s="285"/>
      <c r="AS4" s="285"/>
      <c r="AT4" s="285"/>
      <c r="AU4" s="286"/>
      <c r="AV4" s="286"/>
      <c r="AW4" s="286"/>
      <c r="AX4" s="286"/>
      <c r="AY4" s="286"/>
      <c r="AZ4" s="272"/>
      <c r="BA4" s="272"/>
      <c r="BB4" s="288"/>
      <c r="BC4" s="288"/>
    </row>
    <row r="5" spans="1:58" hidden="1" x14ac:dyDescent="0.25">
      <c r="A5" s="8"/>
      <c r="B5" s="253"/>
      <c r="C5" s="253"/>
      <c r="D5" s="253"/>
      <c r="E5" s="253"/>
      <c r="F5" s="253"/>
      <c r="G5" s="253"/>
      <c r="H5" s="23"/>
      <c r="I5" s="23"/>
      <c r="J5" s="23"/>
      <c r="K5" s="147"/>
      <c r="AQ5" s="253"/>
      <c r="AR5" s="275"/>
      <c r="AS5" s="275"/>
      <c r="AT5" s="275"/>
    </row>
    <row r="6" spans="1:58" hidden="1" x14ac:dyDescent="0.25">
      <c r="A6" s="8"/>
      <c r="B6" s="253"/>
      <c r="C6" s="253"/>
      <c r="D6" s="253"/>
      <c r="E6" s="253"/>
      <c r="F6" s="253"/>
      <c r="G6" s="253"/>
      <c r="H6" s="23"/>
      <c r="I6" s="23"/>
      <c r="J6" s="23"/>
      <c r="K6" s="7"/>
      <c r="AQ6" s="253"/>
      <c r="AR6" s="275"/>
      <c r="AS6" s="275"/>
      <c r="AT6" s="275"/>
    </row>
    <row r="7" spans="1:58" ht="21" hidden="1" customHeight="1" x14ac:dyDescent="0.25">
      <c r="A7" s="8"/>
      <c r="B7" s="253"/>
      <c r="C7" s="253"/>
      <c r="D7" s="253"/>
      <c r="E7" s="253"/>
      <c r="F7" s="253"/>
      <c r="G7" s="253"/>
      <c r="H7" s="23"/>
      <c r="I7" s="23"/>
      <c r="J7" s="23"/>
      <c r="K7" s="7"/>
      <c r="N7" s="579" t="s">
        <v>2293</v>
      </c>
      <c r="O7" s="579"/>
      <c r="P7" s="579"/>
      <c r="Q7" s="579"/>
      <c r="R7" s="579"/>
      <c r="S7" s="579"/>
      <c r="T7" s="579"/>
      <c r="U7" s="579"/>
      <c r="V7" s="579"/>
      <c r="W7" s="579"/>
      <c r="X7" s="579"/>
      <c r="Y7" s="579"/>
      <c r="Z7" s="579"/>
      <c r="AA7" s="579"/>
      <c r="AB7" s="579"/>
      <c r="AC7" s="579"/>
      <c r="AD7" s="579"/>
      <c r="AE7" s="579"/>
      <c r="AF7" s="579"/>
      <c r="AG7" s="579"/>
      <c r="AH7" s="579"/>
      <c r="AI7" s="579"/>
      <c r="AJ7" s="579"/>
      <c r="AK7" s="578" t="s">
        <v>2294</v>
      </c>
      <c r="AL7" s="578"/>
      <c r="AM7" s="578"/>
      <c r="AN7" s="578"/>
      <c r="AQ7" s="253"/>
      <c r="AR7" s="275"/>
      <c r="AS7" s="275"/>
      <c r="AT7" s="275"/>
      <c r="AX7" s="287"/>
      <c r="AY7" s="287"/>
      <c r="AZ7" s="287"/>
      <c r="BA7" s="287"/>
    </row>
    <row r="8" spans="1:58" s="7" customFormat="1" ht="114.6" customHeight="1" x14ac:dyDescent="0.25">
      <c r="A8" s="276" t="s">
        <v>475</v>
      </c>
      <c r="B8" s="280" t="s">
        <v>476</v>
      </c>
      <c r="C8" s="280" t="s">
        <v>22</v>
      </c>
      <c r="D8" s="280" t="s">
        <v>1072</v>
      </c>
      <c r="E8" s="278" t="s">
        <v>479</v>
      </c>
      <c r="F8" s="279" t="s">
        <v>481</v>
      </c>
      <c r="G8" s="279" t="s">
        <v>483</v>
      </c>
      <c r="H8" s="276" t="s">
        <v>2295</v>
      </c>
      <c r="I8" s="276" t="s">
        <v>2296</v>
      </c>
      <c r="J8" s="276" t="s">
        <v>2297</v>
      </c>
      <c r="K8" s="281" t="s">
        <v>2298</v>
      </c>
      <c r="L8" s="281" t="s">
        <v>2299</v>
      </c>
      <c r="M8" s="284" t="s">
        <v>1080</v>
      </c>
      <c r="N8" s="305" t="s">
        <v>2300</v>
      </c>
      <c r="O8" s="304" t="s">
        <v>2301</v>
      </c>
      <c r="P8" s="305" t="s">
        <v>2302</v>
      </c>
      <c r="Q8" s="306" t="s">
        <v>2303</v>
      </c>
      <c r="R8" s="306" t="s">
        <v>2304</v>
      </c>
      <c r="S8" s="305" t="s">
        <v>2305</v>
      </c>
      <c r="T8" s="306" t="s">
        <v>2306</v>
      </c>
      <c r="U8" s="306" t="s">
        <v>2307</v>
      </c>
      <c r="V8" s="306" t="s">
        <v>2308</v>
      </c>
      <c r="W8" s="306" t="s">
        <v>2309</v>
      </c>
      <c r="X8" s="306" t="s">
        <v>2310</v>
      </c>
      <c r="Y8" s="306" t="s">
        <v>2311</v>
      </c>
      <c r="Z8" s="307" t="s">
        <v>2312</v>
      </c>
      <c r="AA8" s="306" t="s">
        <v>2313</v>
      </c>
      <c r="AB8" s="306" t="s">
        <v>2314</v>
      </c>
      <c r="AC8" s="306" t="s">
        <v>2315</v>
      </c>
      <c r="AD8" s="307" t="s">
        <v>2316</v>
      </c>
      <c r="AE8" s="306" t="s">
        <v>2317</v>
      </c>
      <c r="AF8" s="306" t="s">
        <v>2318</v>
      </c>
      <c r="AG8" s="306" t="s">
        <v>2319</v>
      </c>
      <c r="AH8" s="307" t="s">
        <v>2320</v>
      </c>
      <c r="AI8" s="306" t="s">
        <v>2321</v>
      </c>
      <c r="AJ8" s="306" t="s">
        <v>2322</v>
      </c>
      <c r="AK8" s="308" t="s">
        <v>2323</v>
      </c>
      <c r="AL8" s="307" t="s">
        <v>2324</v>
      </c>
      <c r="AM8" s="307" t="s">
        <v>2325</v>
      </c>
      <c r="AN8" s="307" t="s">
        <v>2326</v>
      </c>
      <c r="AO8" s="178" t="s">
        <v>2327</v>
      </c>
      <c r="AP8" s="281" t="s">
        <v>2328</v>
      </c>
      <c r="AQ8" s="279" t="s">
        <v>1081</v>
      </c>
      <c r="AR8" s="280" t="s">
        <v>23</v>
      </c>
      <c r="AS8" s="280" t="s">
        <v>24</v>
      </c>
      <c r="AT8" s="280" t="s">
        <v>495</v>
      </c>
      <c r="AU8" s="280" t="s">
        <v>26</v>
      </c>
      <c r="AV8" s="280" t="s">
        <v>27</v>
      </c>
      <c r="AW8" s="280" t="s">
        <v>28</v>
      </c>
      <c r="AX8" s="280" t="s">
        <v>29</v>
      </c>
      <c r="AY8" s="280" t="s">
        <v>30</v>
      </c>
      <c r="AZ8" s="280" t="s">
        <v>1086</v>
      </c>
      <c r="BA8" s="280" t="s">
        <v>1087</v>
      </c>
      <c r="BB8" s="276" t="s">
        <v>1088</v>
      </c>
      <c r="BC8" s="276"/>
    </row>
    <row r="9" spans="1:58" hidden="1" x14ac:dyDescent="0.25">
      <c r="A9" s="373">
        <v>17507</v>
      </c>
      <c r="B9" s="233" t="str">
        <f>VLOOKUP(Table8[[#This Row],[Document ID]],Table1[],2,FALSE)</f>
        <v>AFG</v>
      </c>
      <c r="C9" s="233" t="str">
        <f>VLOOKUP(Table8[[#This Row],[Document ID]],Table1[],3,FALSE)</f>
        <v>Afghanistan</v>
      </c>
      <c r="D9" s="233" t="str">
        <f>VLOOKUP(Table8[[#This Row],[Document ID]],Table1[],5,FALSE)</f>
        <v>NDC</v>
      </c>
      <c r="E9" s="233" t="str">
        <f>VLOOKUP(Table8[[#This Row],[Document ID]],Table1[],7,FALSE)</f>
        <v>First NDC</v>
      </c>
      <c r="F9" s="233" t="str">
        <f>VLOOKUP(Table8[[#This Row],[Document ID]],Table1[],8,FALSE)</f>
        <v>NDC 1.0</v>
      </c>
      <c r="G9" s="233" t="str">
        <f>VLOOKUP(Table8[[#This Row],[Document ID]],Table1[],10,FALSE)</f>
        <v>Active</v>
      </c>
      <c r="H9" s="44" t="s">
        <v>2329</v>
      </c>
      <c r="I9" s="44" t="s">
        <v>2330</v>
      </c>
      <c r="J9" s="44" t="s">
        <v>2331</v>
      </c>
      <c r="K9" s="44" t="s">
        <v>2332</v>
      </c>
      <c r="L9" s="44" t="s">
        <v>2333</v>
      </c>
      <c r="M9" s="43"/>
      <c r="N9" s="113" t="s">
        <v>1113</v>
      </c>
      <c r="O9" s="113"/>
      <c r="P9" s="113"/>
      <c r="Q9" s="319"/>
      <c r="R9" s="319"/>
      <c r="S9" s="319"/>
      <c r="T9" s="319"/>
      <c r="U9" s="319"/>
      <c r="V9" s="319"/>
      <c r="W9" s="319"/>
      <c r="X9" s="319"/>
      <c r="Y9" s="319"/>
      <c r="Z9" s="319"/>
      <c r="AA9" s="319"/>
      <c r="AB9" s="319"/>
      <c r="AC9" s="319"/>
      <c r="AD9" s="319"/>
      <c r="AE9" s="319"/>
      <c r="AF9" s="319"/>
      <c r="AG9" s="319"/>
      <c r="AH9" s="319"/>
      <c r="AI9" s="319"/>
      <c r="AJ9" s="319"/>
      <c r="AK9" s="319" t="s">
        <v>1113</v>
      </c>
      <c r="AL9" s="319"/>
      <c r="AM9" s="319"/>
      <c r="AN9" s="319"/>
      <c r="AO9" s="44" t="s">
        <v>2334</v>
      </c>
      <c r="AP9" s="44"/>
      <c r="AQ9" s="236" t="str">
        <f>VLOOKUP(Table8[[#This Row],[Instrument]],Def_Targets!$D$73:$E$159,2,FALSE)</f>
        <v>I_Altfuels</v>
      </c>
      <c r="AR9" s="233" t="str">
        <f>VLOOKUP(Table8[[#This Row],[Country Code]],Table29[],3,FALSE)</f>
        <v>Non-Annex I</v>
      </c>
      <c r="AS9" s="233" t="str">
        <f>VLOOKUP(Table8[[#This Row],[Country Code]],Table29[],4,FALSE)</f>
        <v>Asia</v>
      </c>
      <c r="AT9" s="233" t="str">
        <f>VLOOKUP(Table8[[#This Row],[Country Code]],Table29[],5,FALSE)</f>
        <v>Low-income</v>
      </c>
      <c r="AU9" s="233" t="str">
        <f>VLOOKUP(Table8[[#This Row],[Country Code]],Table29[],6,FALSE)</f>
        <v>no</v>
      </c>
      <c r="AV9" s="233" t="str">
        <f>VLOOKUP(Table8[[#This Row],[Country Code]],Table29[],7,FALSE)</f>
        <v>no</v>
      </c>
      <c r="AW9" s="233" t="str">
        <f>VLOOKUP(Table8[[#This Row],[Country Code]],Table29[],8,FALSE)</f>
        <v>non-OECD</v>
      </c>
      <c r="AX9" s="233" t="str">
        <f>VLOOKUP(Table8[[#This Row],[Country Code]],Table29[],9,FALSE)</f>
        <v>no</v>
      </c>
      <c r="AY9" s="233" t="str">
        <f>VLOOKUP(Table8[[#This Row],[Country Code]],Table29[],10,FALSE)</f>
        <v>no</v>
      </c>
      <c r="AZ9" s="235">
        <f>VLOOKUP(Table8[[#This Row],[Country Code]],Table29[],23,FALSE)</f>
        <v>29.460052109846</v>
      </c>
      <c r="BA9" s="235">
        <f>VLOOKUP(Table8[[#This Row],[Country Code]],Table29[],24,FALSE)</f>
        <v>2.3826400580310159</v>
      </c>
      <c r="BB9" s="320"/>
      <c r="BC9" s="176"/>
      <c r="BD9" s="2"/>
      <c r="BE9" s="229" t="s">
        <v>503</v>
      </c>
      <c r="BF9" s="48" t="s">
        <v>2335</v>
      </c>
    </row>
    <row r="10" spans="1:58" hidden="1" x14ac:dyDescent="0.25">
      <c r="A10" s="373">
        <v>17507</v>
      </c>
      <c r="B10" s="233" t="str">
        <f>VLOOKUP(Table8[[#This Row],[Document ID]],Table1[],2,FALSE)</f>
        <v>AFG</v>
      </c>
      <c r="C10" s="233" t="str">
        <f>VLOOKUP(Table8[[#This Row],[Document ID]],Table1[],3,FALSE)</f>
        <v>Afghanistan</v>
      </c>
      <c r="D10" s="243" t="str">
        <f>VLOOKUP(Table8[[#This Row],[Document ID]],Table1[],5,FALSE)</f>
        <v>NDC</v>
      </c>
      <c r="E10" s="233" t="str">
        <f>VLOOKUP(Table8[[#This Row],[Document ID]],Table1[],7,FALSE)</f>
        <v>First NDC</v>
      </c>
      <c r="F10" s="236" t="str">
        <f>VLOOKUP(Table8[[#This Row],[Document ID]],Table1[],8,FALSE)</f>
        <v>NDC 1.0</v>
      </c>
      <c r="G10" s="236" t="str">
        <f>VLOOKUP(Table8[[#This Row],[Document ID]],Table1[],10,FALSE)</f>
        <v>Active</v>
      </c>
      <c r="H10" s="44" t="s">
        <v>2329</v>
      </c>
      <c r="I10" s="44" t="s">
        <v>2330</v>
      </c>
      <c r="J10" s="44" t="s">
        <v>2331</v>
      </c>
      <c r="K10" s="44" t="s">
        <v>2336</v>
      </c>
      <c r="L10" s="44" t="s">
        <v>2333</v>
      </c>
      <c r="M10" s="43"/>
      <c r="N10" s="113" t="s">
        <v>1113</v>
      </c>
      <c r="O10" s="113"/>
      <c r="P10" s="113"/>
      <c r="Q10" s="319"/>
      <c r="R10" s="319"/>
      <c r="S10" s="319"/>
      <c r="T10" s="319"/>
      <c r="U10" s="319"/>
      <c r="V10" s="319"/>
      <c r="W10" s="319"/>
      <c r="X10" s="319"/>
      <c r="Y10" s="319"/>
      <c r="Z10" s="319"/>
      <c r="AA10" s="319"/>
      <c r="AB10" s="319"/>
      <c r="AC10" s="319"/>
      <c r="AD10" s="319"/>
      <c r="AE10" s="319"/>
      <c r="AF10" s="319"/>
      <c r="AG10" s="319"/>
      <c r="AH10" s="319"/>
      <c r="AI10" s="319"/>
      <c r="AJ10" s="319"/>
      <c r="AK10" s="319" t="s">
        <v>1113</v>
      </c>
      <c r="AL10" s="319"/>
      <c r="AM10" s="319"/>
      <c r="AN10" s="319"/>
      <c r="AO10" s="44" t="s">
        <v>2334</v>
      </c>
      <c r="AP10" s="44"/>
      <c r="AQ10" s="236" t="str">
        <f>VLOOKUP(Table8[[#This Row],[Instrument]],Def_Targets!$D$73:$E$159,2,FALSE)</f>
        <v>I_Altfuels</v>
      </c>
      <c r="AR10" s="233" t="str">
        <f>VLOOKUP(Table8[[#This Row],[Country Code]],Table29[],3,FALSE)</f>
        <v>Non-Annex I</v>
      </c>
      <c r="AS10" s="233" t="str">
        <f>VLOOKUP(Table8[[#This Row],[Country Code]],Table29[],4,FALSE)</f>
        <v>Asia</v>
      </c>
      <c r="AT10" s="233" t="str">
        <f>VLOOKUP(Table8[[#This Row],[Country Code]],Table29[],5,FALSE)</f>
        <v>Low-income</v>
      </c>
      <c r="AU10" s="233" t="str">
        <f>VLOOKUP(Table8[[#This Row],[Country Code]],Table29[],6,FALSE)</f>
        <v>no</v>
      </c>
      <c r="AV10" s="233" t="str">
        <f>VLOOKUP(Table8[[#This Row],[Country Code]],Table29[],7,FALSE)</f>
        <v>no</v>
      </c>
      <c r="AW10" s="233" t="str">
        <f>VLOOKUP(Table8[[#This Row],[Country Code]],Table29[],8,FALSE)</f>
        <v>non-OECD</v>
      </c>
      <c r="AX10" s="233" t="str">
        <f>VLOOKUP(Table8[[#This Row],[Country Code]],Table29[],9,FALSE)</f>
        <v>no</v>
      </c>
      <c r="AY10" s="233" t="str">
        <f>VLOOKUP(Table8[[#This Row],[Country Code]],Table29[],10,FALSE)</f>
        <v>no</v>
      </c>
      <c r="AZ10" s="235">
        <f>VLOOKUP(Table8[[#This Row],[Country Code]],Table29[],23,FALSE)</f>
        <v>29.460052109846</v>
      </c>
      <c r="BA10" s="235">
        <f>VLOOKUP(Table8[[#This Row],[Country Code]],Table29[],24,FALSE)</f>
        <v>2.3826400580310159</v>
      </c>
      <c r="BB10" s="320"/>
      <c r="BC10" s="320"/>
      <c r="BE10" s="27"/>
      <c r="BF10" s="48" t="s">
        <v>2337</v>
      </c>
    </row>
    <row r="11" spans="1:58" hidden="1" x14ac:dyDescent="0.25">
      <c r="A11" s="373">
        <v>17507</v>
      </c>
      <c r="B11" s="233" t="str">
        <f>VLOOKUP(Table8[[#This Row],[Document ID]],Table1[],2,FALSE)</f>
        <v>AFG</v>
      </c>
      <c r="C11" s="233" t="str">
        <f>VLOOKUP(Table8[[#This Row],[Document ID]],Table1[],3,FALSE)</f>
        <v>Afghanistan</v>
      </c>
      <c r="D11" s="243" t="str">
        <f>VLOOKUP(Table8[[#This Row],[Document ID]],Table1[],5,FALSE)</f>
        <v>NDC</v>
      </c>
      <c r="E11" s="233" t="str">
        <f>VLOOKUP(Table8[[#This Row],[Document ID]],Table1[],7,FALSE)</f>
        <v>First NDC</v>
      </c>
      <c r="F11" s="236" t="str">
        <f>VLOOKUP(Table8[[#This Row],[Document ID]],Table1[],8,FALSE)</f>
        <v>NDC 1.0</v>
      </c>
      <c r="G11" s="236" t="str">
        <f>VLOOKUP(Table8[[#This Row],[Document ID]],Table1[],10,FALSE)</f>
        <v>Active</v>
      </c>
      <c r="H11" s="44" t="s">
        <v>2338</v>
      </c>
      <c r="I11" s="44" t="s">
        <v>2339</v>
      </c>
      <c r="J11" s="44" t="s">
        <v>2340</v>
      </c>
      <c r="K11" s="44" t="s">
        <v>2341</v>
      </c>
      <c r="L11" s="44" t="s">
        <v>2333</v>
      </c>
      <c r="M11" s="43"/>
      <c r="N11" s="113" t="s">
        <v>1113</v>
      </c>
      <c r="O11" s="113"/>
      <c r="P11" s="113"/>
      <c r="Q11" s="319"/>
      <c r="R11" s="319"/>
      <c r="S11" s="319"/>
      <c r="T11" s="319"/>
      <c r="U11" s="319"/>
      <c r="V11" s="319"/>
      <c r="W11" s="319"/>
      <c r="X11" s="319"/>
      <c r="Y11" s="319"/>
      <c r="Z11" s="319"/>
      <c r="AA11" s="319"/>
      <c r="AB11" s="319"/>
      <c r="AC11" s="319"/>
      <c r="AD11" s="319"/>
      <c r="AE11" s="319"/>
      <c r="AF11" s="319"/>
      <c r="AG11" s="319"/>
      <c r="AH11" s="319"/>
      <c r="AI11" s="319"/>
      <c r="AJ11" s="319"/>
      <c r="AK11" s="319" t="s">
        <v>1113</v>
      </c>
      <c r="AL11" s="319"/>
      <c r="AM11" s="319"/>
      <c r="AN11" s="319"/>
      <c r="AO11" s="44" t="s">
        <v>2334</v>
      </c>
      <c r="AP11" s="44"/>
      <c r="AQ11" s="236" t="str">
        <f>VLOOKUP(Table8[[#This Row],[Instrument]],Def_Targets!$D$73:$E$159,2,FALSE)</f>
        <v>I_Vehicleimprove</v>
      </c>
      <c r="AR11" s="233" t="str">
        <f>VLOOKUP(Table8[[#This Row],[Country Code]],Table29[],3,FALSE)</f>
        <v>Non-Annex I</v>
      </c>
      <c r="AS11" s="233" t="str">
        <f>VLOOKUP(Table8[[#This Row],[Country Code]],Table29[],4,FALSE)</f>
        <v>Asia</v>
      </c>
      <c r="AT11" s="233" t="str">
        <f>VLOOKUP(Table8[[#This Row],[Country Code]],Table29[],5,FALSE)</f>
        <v>Low-income</v>
      </c>
      <c r="AU11" s="233" t="str">
        <f>VLOOKUP(Table8[[#This Row],[Country Code]],Table29[],6,FALSE)</f>
        <v>no</v>
      </c>
      <c r="AV11" s="233" t="str">
        <f>VLOOKUP(Table8[[#This Row],[Country Code]],Table29[],7,FALSE)</f>
        <v>no</v>
      </c>
      <c r="AW11" s="233" t="str">
        <f>VLOOKUP(Table8[[#This Row],[Country Code]],Table29[],8,FALSE)</f>
        <v>non-OECD</v>
      </c>
      <c r="AX11" s="233" t="str">
        <f>VLOOKUP(Table8[[#This Row],[Country Code]],Table29[],9,FALSE)</f>
        <v>no</v>
      </c>
      <c r="AY11" s="233" t="str">
        <f>VLOOKUP(Table8[[#This Row],[Country Code]],Table29[],10,FALSE)</f>
        <v>no</v>
      </c>
      <c r="AZ11" s="235">
        <f>VLOOKUP(Table8[[#This Row],[Country Code]],Table29[],23,FALSE)</f>
        <v>29.460052109846</v>
      </c>
      <c r="BA11" s="235"/>
      <c r="BB11" s="320"/>
      <c r="BC11" s="555"/>
      <c r="BE11" s="27"/>
      <c r="BF11" s="48" t="s">
        <v>2342</v>
      </c>
    </row>
    <row r="12" spans="1:58" ht="30" hidden="1" x14ac:dyDescent="0.25">
      <c r="A12" s="360">
        <v>23382</v>
      </c>
      <c r="B12" s="233" t="str">
        <f>VLOOKUP(Table8[[#This Row],[Document ID]],Table1[],2,FALSE)</f>
        <v>ALB</v>
      </c>
      <c r="C12" s="233" t="str">
        <f>VLOOKUP(Table8[[#This Row],[Document ID]],Table1[],3,FALSE)</f>
        <v>Albania</v>
      </c>
      <c r="D12" s="233" t="str">
        <f>VLOOKUP(Table8[[#This Row],[Document ID]],Table1[],5,FALSE)</f>
        <v>NDC</v>
      </c>
      <c r="E12" s="233" t="str">
        <f>VLOOKUP(Table8[[#This Row],[Document ID]],Table1[],7,FALSE)</f>
        <v>First NDC updated</v>
      </c>
      <c r="F12" s="233" t="str">
        <f>VLOOKUP(Table8[[#This Row],[Document ID]],Table1[],8,FALSE)</f>
        <v>NDC 1.1</v>
      </c>
      <c r="G12" s="233" t="str">
        <f>VLOOKUP(Table8[[#This Row],[Document ID]],Table1[],10,FALSE)</f>
        <v>Active</v>
      </c>
      <c r="H12" s="43" t="s">
        <v>2343</v>
      </c>
      <c r="I12" s="43" t="s">
        <v>2344</v>
      </c>
      <c r="J12" s="44" t="s">
        <v>2345</v>
      </c>
      <c r="K12" s="44" t="s">
        <v>2346</v>
      </c>
      <c r="L12" s="44" t="s">
        <v>2347</v>
      </c>
      <c r="M12" s="43">
        <v>17</v>
      </c>
      <c r="N12" s="113"/>
      <c r="O12" s="113"/>
      <c r="P12" s="113"/>
      <c r="Q12" s="113"/>
      <c r="R12" s="113"/>
      <c r="S12" s="113"/>
      <c r="T12" s="113"/>
      <c r="U12" s="113"/>
      <c r="V12" s="113"/>
      <c r="W12" s="113"/>
      <c r="X12" s="113"/>
      <c r="Y12" s="113" t="s">
        <v>1113</v>
      </c>
      <c r="Z12" s="113"/>
      <c r="AA12" s="113"/>
      <c r="AB12" s="113"/>
      <c r="AC12" s="113" t="s">
        <v>1113</v>
      </c>
      <c r="AD12" s="113"/>
      <c r="AE12" s="113"/>
      <c r="AF12" s="113"/>
      <c r="AG12" s="113"/>
      <c r="AH12" s="113"/>
      <c r="AI12" s="113"/>
      <c r="AJ12" s="113"/>
      <c r="AK12" s="113" t="s">
        <v>1113</v>
      </c>
      <c r="AL12" s="113"/>
      <c r="AM12" s="113"/>
      <c r="AN12" s="113"/>
      <c r="AO12" s="43" t="s">
        <v>2348</v>
      </c>
      <c r="AP12" s="43"/>
      <c r="AQ12" s="236" t="str">
        <f>VLOOKUP(Table8[[#This Row],[Instrument]],Def_Targets!$D$73:$E$159,2,FALSE)</f>
        <v>S_PublicTransport</v>
      </c>
      <c r="AR12" s="233" t="str">
        <f>VLOOKUP(Table8[[#This Row],[Country Code]],Table29[],3,FALSE)</f>
        <v>Non-Annex I</v>
      </c>
      <c r="AS12" s="233" t="str">
        <f>VLOOKUP(Table8[[#This Row],[Country Code]],Table29[],4,FALSE)</f>
        <v>Europe</v>
      </c>
      <c r="AT12" s="233" t="str">
        <f>VLOOKUP(Table8[[#This Row],[Country Code]],Table29[],5,FALSE)</f>
        <v>Middle-income</v>
      </c>
      <c r="AU12" s="233" t="str">
        <f>VLOOKUP(Table8[[#This Row],[Country Code]],Table29[],6,FALSE)</f>
        <v>no</v>
      </c>
      <c r="AV12" s="233" t="str">
        <f>VLOOKUP(Table8[[#This Row],[Country Code]],Table29[],7,FALSE)</f>
        <v>no</v>
      </c>
      <c r="AW12" s="233" t="str">
        <f>VLOOKUP(Table8[[#This Row],[Country Code]],Table29[],8,FALSE)</f>
        <v>non-OECD</v>
      </c>
      <c r="AX12" s="233" t="str">
        <f>VLOOKUP(Table8[[#This Row],[Country Code]],Table29[],9,FALSE)</f>
        <v>no</v>
      </c>
      <c r="AY12" s="233" t="str">
        <f>VLOOKUP(Table8[[#This Row],[Country Code]],Table29[],10,FALSE)</f>
        <v>no</v>
      </c>
      <c r="AZ12" s="235">
        <f>VLOOKUP(Table8[[#This Row],[Country Code]],Table29[],23,FALSE)</f>
        <v>7.6736715330197001</v>
      </c>
      <c r="BA12" s="235">
        <f>VLOOKUP(Table8[[#This Row],[Country Code]],Table29[],24,FALSE)</f>
        <v>1.696761436354477</v>
      </c>
      <c r="BB12" s="320"/>
      <c r="BC12" s="320"/>
      <c r="BF12" s="48" t="s">
        <v>2349</v>
      </c>
    </row>
    <row r="13" spans="1:58" ht="60" hidden="1" x14ac:dyDescent="0.25">
      <c r="A13" s="373">
        <v>23382</v>
      </c>
      <c r="B13" s="233" t="str">
        <f>VLOOKUP(Table8[[#This Row],[Document ID]],Table1[],2,FALSE)</f>
        <v>ALB</v>
      </c>
      <c r="C13" s="233" t="str">
        <f>VLOOKUP(Table8[[#This Row],[Document ID]],Table1[],3,FALSE)</f>
        <v>Albania</v>
      </c>
      <c r="D13" s="243" t="str">
        <f>VLOOKUP(Table8[[#This Row],[Document ID]],Table1[],5,FALSE)</f>
        <v>NDC</v>
      </c>
      <c r="E13" s="233" t="str">
        <f>VLOOKUP(Table8[[#This Row],[Document ID]],Table1[],7,FALSE)</f>
        <v>First NDC updated</v>
      </c>
      <c r="F13" s="233" t="str">
        <f>VLOOKUP(Table8[[#This Row],[Document ID]],Table1[],8,FALSE)</f>
        <v>NDC 1.1</v>
      </c>
      <c r="G13" s="233" t="str">
        <f>VLOOKUP(Table8[[#This Row],[Document ID]],Table1[],10,FALSE)</f>
        <v>Active</v>
      </c>
      <c r="H13" s="43" t="s">
        <v>2350</v>
      </c>
      <c r="I13" s="43" t="s">
        <v>2351</v>
      </c>
      <c r="J13" s="44" t="s">
        <v>2352</v>
      </c>
      <c r="K13" s="44" t="s">
        <v>1100</v>
      </c>
      <c r="L13" s="44" t="s">
        <v>2347</v>
      </c>
      <c r="M13" s="43">
        <v>17</v>
      </c>
      <c r="N13" s="113"/>
      <c r="O13" s="113"/>
      <c r="P13" s="113"/>
      <c r="Q13" s="113"/>
      <c r="R13" s="113"/>
      <c r="S13" s="113"/>
      <c r="T13" s="113"/>
      <c r="U13" s="113"/>
      <c r="V13" s="113"/>
      <c r="W13" s="113"/>
      <c r="X13" s="113"/>
      <c r="Y13" s="113"/>
      <c r="Z13" s="113" t="s">
        <v>1113</v>
      </c>
      <c r="AA13" s="113"/>
      <c r="AB13" s="113"/>
      <c r="AC13" s="113"/>
      <c r="AD13" s="113"/>
      <c r="AE13" s="113"/>
      <c r="AF13" s="113"/>
      <c r="AG13" s="113"/>
      <c r="AH13" s="113"/>
      <c r="AI13" s="113"/>
      <c r="AJ13" s="113"/>
      <c r="AK13" s="113" t="s">
        <v>1113</v>
      </c>
      <c r="AL13" s="113"/>
      <c r="AM13" s="113"/>
      <c r="AN13" s="113"/>
      <c r="AO13" s="43" t="s">
        <v>2353</v>
      </c>
      <c r="AP13" s="43"/>
      <c r="AQ13" s="236" t="str">
        <f>VLOOKUP(Table8[[#This Row],[Instrument]],Def_Targets!$D$73:$E$159,2,FALSE)</f>
        <v>S_Railfreight</v>
      </c>
      <c r="AR13" s="233" t="str">
        <f>VLOOKUP(Table8[[#This Row],[Country Code]],Table29[],3,FALSE)</f>
        <v>Non-Annex I</v>
      </c>
      <c r="AS13" s="233" t="str">
        <f>VLOOKUP(Table8[[#This Row],[Country Code]],Table29[],4,FALSE)</f>
        <v>Europe</v>
      </c>
      <c r="AT13" s="233" t="str">
        <f>VLOOKUP(Table8[[#This Row],[Country Code]],Table29[],5,FALSE)</f>
        <v>Middle-income</v>
      </c>
      <c r="AU13" s="233" t="str">
        <f>VLOOKUP(Table8[[#This Row],[Country Code]],Table29[],6,FALSE)</f>
        <v>no</v>
      </c>
      <c r="AV13" s="233" t="str">
        <f>VLOOKUP(Table8[[#This Row],[Country Code]],Table29[],7,FALSE)</f>
        <v>no</v>
      </c>
      <c r="AW13" s="233" t="str">
        <f>VLOOKUP(Table8[[#This Row],[Country Code]],Table29[],8,FALSE)</f>
        <v>non-OECD</v>
      </c>
      <c r="AX13" s="233" t="str">
        <f>VLOOKUP(Table8[[#This Row],[Country Code]],Table29[],9,FALSE)</f>
        <v>no</v>
      </c>
      <c r="AY13" s="233" t="str">
        <f>VLOOKUP(Table8[[#This Row],[Country Code]],Table29[],10,FALSE)</f>
        <v>no</v>
      </c>
      <c r="AZ13" s="235">
        <f>VLOOKUP(Table8[[#This Row],[Country Code]],Table29[],23,FALSE)</f>
        <v>7.6736715330197001</v>
      </c>
      <c r="BA13" s="235">
        <f>VLOOKUP(Table8[[#This Row],[Country Code]],Table29[],24,FALSE)</f>
        <v>1.696761436354477</v>
      </c>
      <c r="BB13" s="320"/>
      <c r="BC13" s="320"/>
      <c r="BF13" s="48" t="s">
        <v>2354</v>
      </c>
    </row>
    <row r="14" spans="1:58" hidden="1" x14ac:dyDescent="0.25">
      <c r="A14" s="373">
        <v>23382</v>
      </c>
      <c r="B14" s="233" t="str">
        <f>VLOOKUP(Table8[[#This Row],[Document ID]],Table1[],2,FALSE)</f>
        <v>ALB</v>
      </c>
      <c r="C14" s="233" t="str">
        <f>VLOOKUP(Table8[[#This Row],[Document ID]],Table1[],3,FALSE)</f>
        <v>Albania</v>
      </c>
      <c r="D14" s="243" t="str">
        <f>VLOOKUP(Table8[[#This Row],[Document ID]],Table1[],5,FALSE)</f>
        <v>NDC</v>
      </c>
      <c r="E14" s="233" t="str">
        <f>VLOOKUP(Table8[[#This Row],[Document ID]],Table1[],7,FALSE)</f>
        <v>First NDC updated</v>
      </c>
      <c r="F14" s="233" t="str">
        <f>VLOOKUP(Table8[[#This Row],[Document ID]],Table1[],8,FALSE)</f>
        <v>NDC 1.1</v>
      </c>
      <c r="G14" s="233" t="str">
        <f>VLOOKUP(Table8[[#This Row],[Document ID]],Table1[],10,FALSE)</f>
        <v>Active</v>
      </c>
      <c r="H14" s="44" t="s">
        <v>2338</v>
      </c>
      <c r="I14" s="44" t="s">
        <v>2339</v>
      </c>
      <c r="J14" s="44" t="s">
        <v>2355</v>
      </c>
      <c r="K14" s="44" t="s">
        <v>2356</v>
      </c>
      <c r="L14" s="44" t="s">
        <v>2333</v>
      </c>
      <c r="M14" s="43">
        <v>17</v>
      </c>
      <c r="N14" s="113" t="s">
        <v>1113</v>
      </c>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t="s">
        <v>1113</v>
      </c>
      <c r="AL14" s="113"/>
      <c r="AM14" s="113"/>
      <c r="AN14" s="113"/>
      <c r="AO14" s="44" t="s">
        <v>2334</v>
      </c>
      <c r="AP14" s="43"/>
      <c r="AQ14" s="236" t="str">
        <f>VLOOKUP(Table8[[#This Row],[Instrument]],Def_Targets!$D$73:$E$159,2,FALSE)</f>
        <v>I_Vehiclelabel</v>
      </c>
      <c r="AR14" s="233" t="str">
        <f>VLOOKUP(Table8[[#This Row],[Country Code]],Table29[],3,FALSE)</f>
        <v>Non-Annex I</v>
      </c>
      <c r="AS14" s="233" t="str">
        <f>VLOOKUP(Table8[[#This Row],[Country Code]],Table29[],4,FALSE)</f>
        <v>Europe</v>
      </c>
      <c r="AT14" s="233" t="str">
        <f>VLOOKUP(Table8[[#This Row],[Country Code]],Table29[],5,FALSE)</f>
        <v>Middle-income</v>
      </c>
      <c r="AU14" s="233" t="str">
        <f>VLOOKUP(Table8[[#This Row],[Country Code]],Table29[],6,FALSE)</f>
        <v>no</v>
      </c>
      <c r="AV14" s="233" t="str">
        <f>VLOOKUP(Table8[[#This Row],[Country Code]],Table29[],7,FALSE)</f>
        <v>no</v>
      </c>
      <c r="AW14" s="233" t="str">
        <f>VLOOKUP(Table8[[#This Row],[Country Code]],Table29[],8,FALSE)</f>
        <v>non-OECD</v>
      </c>
      <c r="AX14" s="233" t="str">
        <f>VLOOKUP(Table8[[#This Row],[Country Code]],Table29[],9,FALSE)</f>
        <v>no</v>
      </c>
      <c r="AY14" s="233" t="str">
        <f>VLOOKUP(Table8[[#This Row],[Country Code]],Table29[],10,FALSE)</f>
        <v>no</v>
      </c>
      <c r="AZ14" s="235">
        <f>VLOOKUP(Table8[[#This Row],[Country Code]],Table29[],23,FALSE)</f>
        <v>7.6736715330197001</v>
      </c>
      <c r="BA14" s="235">
        <f>VLOOKUP(Table8[[#This Row],[Country Code]],Table29[],24,FALSE)</f>
        <v>1.696761436354477</v>
      </c>
      <c r="BB14" s="320"/>
      <c r="BC14" s="320"/>
    </row>
    <row r="15" spans="1:58" ht="45" hidden="1" x14ac:dyDescent="0.25">
      <c r="A15" s="373">
        <v>23382</v>
      </c>
      <c r="B15" s="233" t="str">
        <f>VLOOKUP(Table8[[#This Row],[Document ID]],Table1[],2,FALSE)</f>
        <v>ALB</v>
      </c>
      <c r="C15" s="233" t="str">
        <f>VLOOKUP(Table8[[#This Row],[Document ID]],Table1[],3,FALSE)</f>
        <v>Albania</v>
      </c>
      <c r="D15" s="243" t="str">
        <f>VLOOKUP(Table8[[#This Row],[Document ID]],Table1[],5,FALSE)</f>
        <v>NDC</v>
      </c>
      <c r="E15" s="233" t="str">
        <f>VLOOKUP(Table8[[#This Row],[Document ID]],Table1[],7,FALSE)</f>
        <v>First NDC updated</v>
      </c>
      <c r="F15" s="233" t="str">
        <f>VLOOKUP(Table8[[#This Row],[Document ID]],Table1[],8,FALSE)</f>
        <v>NDC 1.1</v>
      </c>
      <c r="G15" s="233" t="str">
        <f>VLOOKUP(Table8[[#This Row],[Document ID]],Table1[],10,FALSE)</f>
        <v>Active</v>
      </c>
      <c r="H15" s="44" t="s">
        <v>2329</v>
      </c>
      <c r="I15" s="44" t="s">
        <v>2330</v>
      </c>
      <c r="J15" s="44" t="s">
        <v>2357</v>
      </c>
      <c r="K15" s="44" t="s">
        <v>1103</v>
      </c>
      <c r="L15" s="44" t="s">
        <v>2333</v>
      </c>
      <c r="M15" s="43">
        <v>18</v>
      </c>
      <c r="N15" s="113" t="s">
        <v>1113</v>
      </c>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t="s">
        <v>1113</v>
      </c>
      <c r="AL15" s="113"/>
      <c r="AM15" s="113"/>
      <c r="AN15" s="113"/>
      <c r="AO15" s="44" t="s">
        <v>2334</v>
      </c>
      <c r="AP15" s="43"/>
      <c r="AQ15" s="236" t="str">
        <f>VLOOKUP(Table8[[#This Row],[Instrument]],Def_Targets!$D$73:$E$159,2,FALSE)</f>
        <v>I_Biofuel</v>
      </c>
      <c r="AR15" s="233" t="str">
        <f>VLOOKUP(Table8[[#This Row],[Country Code]],Table29[],3,FALSE)</f>
        <v>Non-Annex I</v>
      </c>
      <c r="AS15" s="233" t="str">
        <f>VLOOKUP(Table8[[#This Row],[Country Code]],Table29[],4,FALSE)</f>
        <v>Europe</v>
      </c>
      <c r="AT15" s="233" t="str">
        <f>VLOOKUP(Table8[[#This Row],[Country Code]],Table29[],5,FALSE)</f>
        <v>Middle-income</v>
      </c>
      <c r="AU15" s="233" t="str">
        <f>VLOOKUP(Table8[[#This Row],[Country Code]],Table29[],6,FALSE)</f>
        <v>no</v>
      </c>
      <c r="AV15" s="233" t="str">
        <f>VLOOKUP(Table8[[#This Row],[Country Code]],Table29[],7,FALSE)</f>
        <v>no</v>
      </c>
      <c r="AW15" s="233" t="str">
        <f>VLOOKUP(Table8[[#This Row],[Country Code]],Table29[],8,FALSE)</f>
        <v>non-OECD</v>
      </c>
      <c r="AX15" s="233" t="str">
        <f>VLOOKUP(Table8[[#This Row],[Country Code]],Table29[],9,FALSE)</f>
        <v>no</v>
      </c>
      <c r="AY15" s="233" t="str">
        <f>VLOOKUP(Table8[[#This Row],[Country Code]],Table29[],10,FALSE)</f>
        <v>no</v>
      </c>
      <c r="AZ15" s="235">
        <f>VLOOKUP(Table8[[#This Row],[Country Code]],Table29[],23,FALSE)</f>
        <v>7.6736715330197001</v>
      </c>
      <c r="BA15" s="235">
        <f>VLOOKUP(Table8[[#This Row],[Country Code]],Table29[],24,FALSE)</f>
        <v>1.696761436354477</v>
      </c>
      <c r="BB15" s="320"/>
      <c r="BC15" s="320"/>
    </row>
    <row r="16" spans="1:58" ht="30" hidden="1" x14ac:dyDescent="0.25">
      <c r="A16" s="373">
        <v>23382</v>
      </c>
      <c r="B16" s="233" t="str">
        <f>VLOOKUP(Table8[[#This Row],[Document ID]],Table1[],2,FALSE)</f>
        <v>ALB</v>
      </c>
      <c r="C16" s="233" t="str">
        <f>VLOOKUP(Table8[[#This Row],[Document ID]],Table1[],3,FALSE)</f>
        <v>Albania</v>
      </c>
      <c r="D16" s="243" t="str">
        <f>VLOOKUP(Table8[[#This Row],[Document ID]],Table1[],5,FALSE)</f>
        <v>NDC</v>
      </c>
      <c r="E16" s="233" t="str">
        <f>VLOOKUP(Table8[[#This Row],[Document ID]],Table1[],7,FALSE)</f>
        <v>First NDC updated</v>
      </c>
      <c r="F16" s="233" t="str">
        <f>VLOOKUP(Table8[[#This Row],[Document ID]],Table1[],8,FALSE)</f>
        <v>NDC 1.1</v>
      </c>
      <c r="G16" s="233" t="str">
        <f>VLOOKUP(Table8[[#This Row],[Document ID]],Table1[],10,FALSE)</f>
        <v>Active</v>
      </c>
      <c r="H16" s="43" t="s">
        <v>2358</v>
      </c>
      <c r="I16" s="43" t="s">
        <v>2359</v>
      </c>
      <c r="J16" s="44" t="s">
        <v>2360</v>
      </c>
      <c r="K16" s="44" t="s">
        <v>1105</v>
      </c>
      <c r="L16" s="44" t="s">
        <v>2333</v>
      </c>
      <c r="M16" s="43">
        <v>18</v>
      </c>
      <c r="N16" s="113"/>
      <c r="O16" s="113"/>
      <c r="P16" s="113"/>
      <c r="Q16" s="113"/>
      <c r="R16" s="113"/>
      <c r="S16" s="113"/>
      <c r="T16" s="113"/>
      <c r="U16" s="113" t="s">
        <v>1113</v>
      </c>
      <c r="V16" s="113"/>
      <c r="W16" s="113"/>
      <c r="X16" s="113"/>
      <c r="Y16" s="113"/>
      <c r="Z16" s="113"/>
      <c r="AA16" s="113"/>
      <c r="AB16" s="113"/>
      <c r="AC16" s="113"/>
      <c r="AD16" s="113"/>
      <c r="AE16" s="113"/>
      <c r="AF16" s="113"/>
      <c r="AG16" s="113"/>
      <c r="AH16" s="113"/>
      <c r="AI16" s="113"/>
      <c r="AJ16" s="113"/>
      <c r="AK16" s="113" t="s">
        <v>1113</v>
      </c>
      <c r="AL16" s="113"/>
      <c r="AM16" s="113"/>
      <c r="AN16" s="113"/>
      <c r="AO16" s="44" t="s">
        <v>2334</v>
      </c>
      <c r="AP16" s="43"/>
      <c r="AQ16" s="236" t="str">
        <f>VLOOKUP(Table8[[#This Row],[Instrument]],Def_Targets!$D$73:$E$159,2,FALSE)</f>
        <v>I_Emobility</v>
      </c>
      <c r="AR16" s="233" t="str">
        <f>VLOOKUP(Table8[[#This Row],[Country Code]],Table29[],3,FALSE)</f>
        <v>Non-Annex I</v>
      </c>
      <c r="AS16" s="233" t="str">
        <f>VLOOKUP(Table8[[#This Row],[Country Code]],Table29[],4,FALSE)</f>
        <v>Europe</v>
      </c>
      <c r="AT16" s="233" t="str">
        <f>VLOOKUP(Table8[[#This Row],[Country Code]],Table29[],5,FALSE)</f>
        <v>Middle-income</v>
      </c>
      <c r="AU16" s="233" t="str">
        <f>VLOOKUP(Table8[[#This Row],[Country Code]],Table29[],6,FALSE)</f>
        <v>no</v>
      </c>
      <c r="AV16" s="233" t="str">
        <f>VLOOKUP(Table8[[#This Row],[Country Code]],Table29[],7,FALSE)</f>
        <v>no</v>
      </c>
      <c r="AW16" s="233" t="str">
        <f>VLOOKUP(Table8[[#This Row],[Country Code]],Table29[],8,FALSE)</f>
        <v>non-OECD</v>
      </c>
      <c r="AX16" s="233" t="str">
        <f>VLOOKUP(Table8[[#This Row],[Country Code]],Table29[],9,FALSE)</f>
        <v>no</v>
      </c>
      <c r="AY16" s="233" t="str">
        <f>VLOOKUP(Table8[[#This Row],[Country Code]],Table29[],10,FALSE)</f>
        <v>no</v>
      </c>
      <c r="AZ16" s="235">
        <f>VLOOKUP(Table8[[#This Row],[Country Code]],Table29[],23,FALSE)</f>
        <v>7.6736715330197001</v>
      </c>
      <c r="BA16" s="235">
        <f>VLOOKUP(Table8[[#This Row],[Country Code]],Table29[],24,FALSE)</f>
        <v>1.696761436354477</v>
      </c>
      <c r="BB16" s="320"/>
      <c r="BC16" s="320"/>
    </row>
    <row r="17" spans="1:55" hidden="1" x14ac:dyDescent="0.25">
      <c r="A17" s="373">
        <v>23382</v>
      </c>
      <c r="B17" s="233" t="str">
        <f>VLOOKUP(Table8[[#This Row],[Document ID]],Table1[],2,FALSE)</f>
        <v>ALB</v>
      </c>
      <c r="C17" s="233" t="str">
        <f>VLOOKUP(Table8[[#This Row],[Document ID]],Table1[],3,FALSE)</f>
        <v>Albania</v>
      </c>
      <c r="D17" s="243" t="str">
        <f>VLOOKUP(Table8[[#This Row],[Document ID]],Table1[],5,FALSE)</f>
        <v>NDC</v>
      </c>
      <c r="E17" s="233" t="str">
        <f>VLOOKUP(Table8[[#This Row],[Document ID]],Table1[],7,FALSE)</f>
        <v>First NDC updated</v>
      </c>
      <c r="F17" s="233" t="str">
        <f>VLOOKUP(Table8[[#This Row],[Document ID]],Table1[],8,FALSE)</f>
        <v>NDC 1.1</v>
      </c>
      <c r="G17" s="233" t="str">
        <f>VLOOKUP(Table8[[#This Row],[Document ID]],Table1[],10,FALSE)</f>
        <v>Active</v>
      </c>
      <c r="H17" s="43" t="s">
        <v>2343</v>
      </c>
      <c r="I17" s="43" t="s">
        <v>2361</v>
      </c>
      <c r="J17" s="44" t="s">
        <v>2362</v>
      </c>
      <c r="K17" s="44" t="s">
        <v>1106</v>
      </c>
      <c r="L17" s="44" t="s">
        <v>2347</v>
      </c>
      <c r="M17" s="43">
        <v>18</v>
      </c>
      <c r="N17" s="113"/>
      <c r="O17" s="113"/>
      <c r="P17" s="113"/>
      <c r="Q17" s="113"/>
      <c r="R17" s="113" t="s">
        <v>1113</v>
      </c>
      <c r="S17" s="113"/>
      <c r="T17" s="113"/>
      <c r="U17" s="113"/>
      <c r="V17" s="113"/>
      <c r="W17" s="113"/>
      <c r="X17" s="113"/>
      <c r="Y17" s="113"/>
      <c r="Z17" s="113"/>
      <c r="AA17" s="113"/>
      <c r="AB17" s="113"/>
      <c r="AC17" s="113"/>
      <c r="AD17" s="113"/>
      <c r="AE17" s="113"/>
      <c r="AF17" s="113"/>
      <c r="AG17" s="113"/>
      <c r="AH17" s="113"/>
      <c r="AI17" s="113"/>
      <c r="AJ17" s="113"/>
      <c r="AK17" s="113" t="s">
        <v>1113</v>
      </c>
      <c r="AL17" s="113"/>
      <c r="AM17" s="113"/>
      <c r="AN17" s="113"/>
      <c r="AO17" s="44" t="s">
        <v>2334</v>
      </c>
      <c r="AP17" s="43"/>
      <c r="AQ17" s="236" t="str">
        <f>VLOOKUP(Table8[[#This Row],[Instrument]],Def_Targets!$D$73:$E$159,2,FALSE)</f>
        <v>S_Cycling</v>
      </c>
      <c r="AR17" s="233" t="str">
        <f>VLOOKUP(Table8[[#This Row],[Country Code]],Table29[],3,FALSE)</f>
        <v>Non-Annex I</v>
      </c>
      <c r="AS17" s="233" t="str">
        <f>VLOOKUP(Table8[[#This Row],[Country Code]],Table29[],4,FALSE)</f>
        <v>Europe</v>
      </c>
      <c r="AT17" s="233" t="str">
        <f>VLOOKUP(Table8[[#This Row],[Country Code]],Table29[],5,FALSE)</f>
        <v>Middle-income</v>
      </c>
      <c r="AU17" s="233" t="str">
        <f>VLOOKUP(Table8[[#This Row],[Country Code]],Table29[],6,FALSE)</f>
        <v>no</v>
      </c>
      <c r="AV17" s="233" t="str">
        <f>VLOOKUP(Table8[[#This Row],[Country Code]],Table29[],7,FALSE)</f>
        <v>no</v>
      </c>
      <c r="AW17" s="233" t="str">
        <f>VLOOKUP(Table8[[#This Row],[Country Code]],Table29[],8,FALSE)</f>
        <v>non-OECD</v>
      </c>
      <c r="AX17" s="233" t="str">
        <f>VLOOKUP(Table8[[#This Row],[Country Code]],Table29[],9,FALSE)</f>
        <v>no</v>
      </c>
      <c r="AY17" s="233" t="str">
        <f>VLOOKUP(Table8[[#This Row],[Country Code]],Table29[],10,FALSE)</f>
        <v>no</v>
      </c>
      <c r="AZ17" s="235">
        <f>VLOOKUP(Table8[[#This Row],[Country Code]],Table29[],23,FALSE)</f>
        <v>7.6736715330197001</v>
      </c>
      <c r="BA17" s="235">
        <f>VLOOKUP(Table8[[#This Row],[Country Code]],Table29[],24,FALSE)</f>
        <v>1.696761436354477</v>
      </c>
      <c r="BB17" s="320"/>
      <c r="BC17" s="320"/>
    </row>
    <row r="18" spans="1:55" ht="30" hidden="1" x14ac:dyDescent="0.25">
      <c r="A18" s="373">
        <v>17509</v>
      </c>
      <c r="B18" s="233" t="str">
        <f>VLOOKUP(Table8[[#This Row],[Document ID]],Table1[],2,FALSE)</f>
        <v>DZA</v>
      </c>
      <c r="C18" s="233" t="str">
        <f>VLOOKUP(Table8[[#This Row],[Document ID]],Table1[],3,FALSE)</f>
        <v>Algeria</v>
      </c>
      <c r="D18" s="243" t="str">
        <f>VLOOKUP(Table8[[#This Row],[Document ID]],Table1[],5,FALSE)</f>
        <v>NDC</v>
      </c>
      <c r="E18" s="233" t="str">
        <f>VLOOKUP(Table8[[#This Row],[Document ID]],Table1[],7,FALSE)</f>
        <v>First NDC</v>
      </c>
      <c r="F18" s="236" t="str">
        <f>VLOOKUP(Table8[[#This Row],[Document ID]],Table1[],8,FALSE)</f>
        <v>NDC 1.0</v>
      </c>
      <c r="G18" s="236" t="str">
        <f>VLOOKUP(Table8[[#This Row],[Document ID]],Table1[],10,FALSE)</f>
        <v>Active</v>
      </c>
      <c r="H18" s="44" t="s">
        <v>2329</v>
      </c>
      <c r="I18" s="44" t="s">
        <v>2330</v>
      </c>
      <c r="J18" s="44" t="s">
        <v>2363</v>
      </c>
      <c r="K18" s="44" t="s">
        <v>2364</v>
      </c>
      <c r="L18" s="44" t="s">
        <v>2333</v>
      </c>
      <c r="M18" s="43"/>
      <c r="N18" s="113" t="s">
        <v>1113</v>
      </c>
      <c r="O18" s="113"/>
      <c r="P18" s="113"/>
      <c r="Q18" s="319"/>
      <c r="R18" s="319"/>
      <c r="S18" s="319"/>
      <c r="T18" s="319"/>
      <c r="U18" s="319"/>
      <c r="V18" s="319"/>
      <c r="W18" s="319"/>
      <c r="X18" s="319"/>
      <c r="Y18" s="319"/>
      <c r="Z18" s="319"/>
      <c r="AA18" s="319"/>
      <c r="AB18" s="319"/>
      <c r="AC18" s="319"/>
      <c r="AD18" s="319"/>
      <c r="AE18" s="319"/>
      <c r="AF18" s="319"/>
      <c r="AG18" s="319"/>
      <c r="AH18" s="319"/>
      <c r="AI18" s="319"/>
      <c r="AJ18" s="319"/>
      <c r="AK18" s="319" t="s">
        <v>1113</v>
      </c>
      <c r="AL18" s="319"/>
      <c r="AM18" s="319"/>
      <c r="AN18" s="319"/>
      <c r="AO18" s="44" t="s">
        <v>2334</v>
      </c>
      <c r="AP18" s="44"/>
      <c r="AQ18" s="236" t="str">
        <f>VLOOKUP(Table8[[#This Row],[Instrument]],Def_Targets!$D$73:$E$159,2,FALSE)</f>
        <v>I_LPGCNGLNG</v>
      </c>
      <c r="AR18" s="233" t="str">
        <f>VLOOKUP(Table8[[#This Row],[Country Code]],Table29[],3,FALSE)</f>
        <v>Non-Annex I</v>
      </c>
      <c r="AS18" s="233" t="str">
        <f>VLOOKUP(Table8[[#This Row],[Country Code]],Table29[],4,FALSE)</f>
        <v>Africa</v>
      </c>
      <c r="AT18" s="233" t="str">
        <f>VLOOKUP(Table8[[#This Row],[Country Code]],Table29[],5,FALSE)</f>
        <v>Middle-income</v>
      </c>
      <c r="AU18" s="233" t="str">
        <f>VLOOKUP(Table8[[#This Row],[Country Code]],Table29[],6,FALSE)</f>
        <v>no</v>
      </c>
      <c r="AV18" s="233" t="str">
        <f>VLOOKUP(Table8[[#This Row],[Country Code]],Table29[],7,FALSE)</f>
        <v>no</v>
      </c>
      <c r="AW18" s="233" t="str">
        <f>VLOOKUP(Table8[[#This Row],[Country Code]],Table29[],8,FALSE)</f>
        <v>non-OECD</v>
      </c>
      <c r="AX18" s="233" t="str">
        <f>VLOOKUP(Table8[[#This Row],[Country Code]],Table29[],9,FALSE)</f>
        <v>no</v>
      </c>
      <c r="AY18" s="233" t="str">
        <f>VLOOKUP(Table8[[#This Row],[Country Code]],Table29[],10,FALSE)</f>
        <v>MENA</v>
      </c>
      <c r="AZ18" s="235">
        <f>VLOOKUP(Table8[[#This Row],[Country Code]],Table29[],23,FALSE)</f>
        <v>256.79213126858002</v>
      </c>
      <c r="BA18" s="235">
        <f>VLOOKUP(Table8[[#This Row],[Country Code]],Table29[],24,FALSE)</f>
        <v>47.384068350378769</v>
      </c>
      <c r="BB18" s="320"/>
      <c r="BC18" s="320"/>
    </row>
    <row r="19" spans="1:55" hidden="1" x14ac:dyDescent="0.25">
      <c r="A19" s="373">
        <v>17511</v>
      </c>
      <c r="B19" s="233" t="str">
        <f>VLOOKUP(Table8[[#This Row],[Document ID]],Table1[],2,FALSE)</f>
        <v>AND</v>
      </c>
      <c r="C19" s="233" t="str">
        <f>VLOOKUP(Table8[[#This Row],[Document ID]],Table1[],3,FALSE)</f>
        <v>Andorra</v>
      </c>
      <c r="D19" s="243" t="str">
        <f>VLOOKUP(Table8[[#This Row],[Document ID]],Table1[],5,FALSE)</f>
        <v>NDC</v>
      </c>
      <c r="E19" s="233" t="str">
        <f>VLOOKUP(Table8[[#This Row],[Document ID]],Table1[],7,FALSE)</f>
        <v>First NDC updated</v>
      </c>
      <c r="F19" s="233" t="str">
        <f>VLOOKUP(Table8[[#This Row],[Document ID]],Table1[],8,FALSE)</f>
        <v>NDC 1.1</v>
      </c>
      <c r="G19" s="233" t="str">
        <f>VLOOKUP(Table8[[#This Row],[Document ID]],Table1[],10,FALSE)</f>
        <v>Archived</v>
      </c>
      <c r="H19" s="43" t="s">
        <v>2343</v>
      </c>
      <c r="I19" s="43" t="s">
        <v>2344</v>
      </c>
      <c r="J19" s="44" t="s">
        <v>2345</v>
      </c>
      <c r="K19" s="44" t="s">
        <v>2365</v>
      </c>
      <c r="L19" s="44" t="s">
        <v>2347</v>
      </c>
      <c r="M19" s="43">
        <v>16</v>
      </c>
      <c r="N19" s="113" t="s">
        <v>1113</v>
      </c>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319" t="s">
        <v>1113</v>
      </c>
      <c r="AL19" s="113"/>
      <c r="AM19" s="113"/>
      <c r="AN19" s="113"/>
      <c r="AO19" s="43" t="s">
        <v>2348</v>
      </c>
      <c r="AP19" s="43"/>
      <c r="AQ19" s="236" t="str">
        <f>VLOOKUP(Table8[[#This Row],[Instrument]],Def_Targets!$D$73:$E$159,2,FALSE)</f>
        <v>S_PublicTransport</v>
      </c>
      <c r="AR19" s="233" t="str">
        <f>VLOOKUP(Table8[[#This Row],[Country Code]],Table29[],3,FALSE)</f>
        <v>Non-Annex I</v>
      </c>
      <c r="AS19" s="233" t="str">
        <f>VLOOKUP(Table8[[#This Row],[Country Code]],Table29[],4,FALSE)</f>
        <v>Europe</v>
      </c>
      <c r="AT19" s="233" t="str">
        <f>VLOOKUP(Table8[[#This Row],[Country Code]],Table29[],5,FALSE)</f>
        <v>High-income</v>
      </c>
      <c r="AU19" s="233" t="str">
        <f>VLOOKUP(Table8[[#This Row],[Country Code]],Table29[],6,FALSE)</f>
        <v>no</v>
      </c>
      <c r="AV19" s="233" t="str">
        <f>VLOOKUP(Table8[[#This Row],[Country Code]],Table29[],7,FALSE)</f>
        <v>no</v>
      </c>
      <c r="AW19" s="233" t="str">
        <f>VLOOKUP(Table8[[#This Row],[Country Code]],Table29[],8,FALSE)</f>
        <v>non-OECD</v>
      </c>
      <c r="AX19" s="233" t="str">
        <f>VLOOKUP(Table8[[#This Row],[Country Code]],Table29[],9,FALSE)</f>
        <v>no</v>
      </c>
      <c r="AY19" s="233" t="str">
        <f>VLOOKUP(Table8[[#This Row],[Country Code]],Table29[],10,FALSE)</f>
        <v>no</v>
      </c>
      <c r="AZ19" s="235">
        <f>VLOOKUP(Table8[[#This Row],[Country Code]],Table29[],23,FALSE)</f>
        <v>0</v>
      </c>
      <c r="BA19" s="235">
        <f>VLOOKUP(Table8[[#This Row],[Country Code]],Table29[],24,FALSE)</f>
        <v>0</v>
      </c>
      <c r="BB19" s="320"/>
      <c r="BC19" s="320"/>
    </row>
    <row r="20" spans="1:55" hidden="1" x14ac:dyDescent="0.25">
      <c r="A20" s="373">
        <v>17511</v>
      </c>
      <c r="B20" s="233" t="str">
        <f>VLOOKUP(Table8[[#This Row],[Document ID]],Table1[],2,FALSE)</f>
        <v>AND</v>
      </c>
      <c r="C20" s="233" t="str">
        <f>VLOOKUP(Table8[[#This Row],[Document ID]],Table1[],3,FALSE)</f>
        <v>Andorra</v>
      </c>
      <c r="D20" s="243" t="str">
        <f>VLOOKUP(Table8[[#This Row],[Document ID]],Table1[],5,FALSE)</f>
        <v>NDC</v>
      </c>
      <c r="E20" s="233" t="str">
        <f>VLOOKUP(Table8[[#This Row],[Document ID]],Table1[],7,FALSE)</f>
        <v>First NDC updated</v>
      </c>
      <c r="F20" s="233" t="str">
        <f>VLOOKUP(Table8[[#This Row],[Document ID]],Table1[],8,FALSE)</f>
        <v>NDC 1.1</v>
      </c>
      <c r="G20" s="233" t="str">
        <f>VLOOKUP(Table8[[#This Row],[Document ID]],Table1[],10,FALSE)</f>
        <v>Archived</v>
      </c>
      <c r="H20" s="43" t="s">
        <v>2343</v>
      </c>
      <c r="I20" s="43" t="s">
        <v>2361</v>
      </c>
      <c r="J20" s="44" t="s">
        <v>2366</v>
      </c>
      <c r="K20" s="44" t="s">
        <v>2367</v>
      </c>
      <c r="L20" s="44" t="s">
        <v>2347</v>
      </c>
      <c r="M20" s="43">
        <v>16</v>
      </c>
      <c r="N20" s="113"/>
      <c r="O20" s="113"/>
      <c r="P20" s="113" t="s">
        <v>1113</v>
      </c>
      <c r="Q20" s="113"/>
      <c r="R20" s="113"/>
      <c r="S20" s="113"/>
      <c r="T20" s="113"/>
      <c r="U20" s="113"/>
      <c r="V20" s="113"/>
      <c r="W20" s="113"/>
      <c r="X20" s="113"/>
      <c r="Y20" s="113"/>
      <c r="Z20" s="113"/>
      <c r="AA20" s="113"/>
      <c r="AB20" s="113"/>
      <c r="AC20" s="113"/>
      <c r="AD20" s="113"/>
      <c r="AE20" s="113"/>
      <c r="AF20" s="113"/>
      <c r="AG20" s="113"/>
      <c r="AH20" s="113"/>
      <c r="AI20" s="113"/>
      <c r="AJ20" s="113"/>
      <c r="AK20" s="319" t="s">
        <v>1113</v>
      </c>
      <c r="AL20" s="113"/>
      <c r="AM20" s="113"/>
      <c r="AN20" s="113"/>
      <c r="AO20" s="44" t="s">
        <v>2334</v>
      </c>
      <c r="AP20" s="43"/>
      <c r="AQ20" s="236" t="str">
        <f>VLOOKUP(Table8[[#This Row],[Instrument]],Def_Targets!$D$73:$E$159,2,FALSE)</f>
        <v>S_Activemobility</v>
      </c>
      <c r="AR20" s="233" t="str">
        <f>VLOOKUP(Table8[[#This Row],[Country Code]],Table29[],3,FALSE)</f>
        <v>Non-Annex I</v>
      </c>
      <c r="AS20" s="233" t="str">
        <f>VLOOKUP(Table8[[#This Row],[Country Code]],Table29[],4,FALSE)</f>
        <v>Europe</v>
      </c>
      <c r="AT20" s="233" t="str">
        <f>VLOOKUP(Table8[[#This Row],[Country Code]],Table29[],5,FALSE)</f>
        <v>High-income</v>
      </c>
      <c r="AU20" s="233" t="str">
        <f>VLOOKUP(Table8[[#This Row],[Country Code]],Table29[],6,FALSE)</f>
        <v>no</v>
      </c>
      <c r="AV20" s="233" t="str">
        <f>VLOOKUP(Table8[[#This Row],[Country Code]],Table29[],7,FALSE)</f>
        <v>no</v>
      </c>
      <c r="AW20" s="233" t="str">
        <f>VLOOKUP(Table8[[#This Row],[Country Code]],Table29[],8,FALSE)</f>
        <v>non-OECD</v>
      </c>
      <c r="AX20" s="233" t="str">
        <f>VLOOKUP(Table8[[#This Row],[Country Code]],Table29[],9,FALSE)</f>
        <v>no</v>
      </c>
      <c r="AY20" s="233" t="str">
        <f>VLOOKUP(Table8[[#This Row],[Country Code]],Table29[],10,FALSE)</f>
        <v>no</v>
      </c>
      <c r="AZ20" s="235">
        <f>VLOOKUP(Table8[[#This Row],[Country Code]],Table29[],23,FALSE)</f>
        <v>0</v>
      </c>
      <c r="BA20" s="235">
        <f>VLOOKUP(Table8[[#This Row],[Country Code]],Table29[],24,FALSE)</f>
        <v>0</v>
      </c>
      <c r="BB20" s="320"/>
      <c r="BC20" s="320"/>
    </row>
    <row r="21" spans="1:55" hidden="1" x14ac:dyDescent="0.25">
      <c r="A21" s="373">
        <v>17511</v>
      </c>
      <c r="B21" s="233" t="str">
        <f>VLOOKUP(Table8[[#This Row],[Document ID]],Table1[],2,FALSE)</f>
        <v>AND</v>
      </c>
      <c r="C21" s="233" t="str">
        <f>VLOOKUP(Table8[[#This Row],[Document ID]],Table1[],3,FALSE)</f>
        <v>Andorra</v>
      </c>
      <c r="D21" s="243" t="str">
        <f>VLOOKUP(Table8[[#This Row],[Document ID]],Table1[],5,FALSE)</f>
        <v>NDC</v>
      </c>
      <c r="E21" s="233" t="str">
        <f>VLOOKUP(Table8[[#This Row],[Document ID]],Table1[],7,FALSE)</f>
        <v>First NDC updated</v>
      </c>
      <c r="F21" s="233" t="str">
        <f>VLOOKUP(Table8[[#This Row],[Document ID]],Table1[],8,FALSE)</f>
        <v>NDC 1.1</v>
      </c>
      <c r="G21" s="233" t="str">
        <f>VLOOKUP(Table8[[#This Row],[Document ID]],Table1[],10,FALSE)</f>
        <v>Archived</v>
      </c>
      <c r="H21" s="43" t="s">
        <v>2358</v>
      </c>
      <c r="I21" s="43" t="s">
        <v>2359</v>
      </c>
      <c r="J21" s="44" t="s">
        <v>2360</v>
      </c>
      <c r="K21" s="44" t="s">
        <v>2368</v>
      </c>
      <c r="L21" s="44" t="s">
        <v>2333</v>
      </c>
      <c r="M21" s="43">
        <v>16</v>
      </c>
      <c r="N21" s="113" t="s">
        <v>1113</v>
      </c>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319" t="s">
        <v>1113</v>
      </c>
      <c r="AL21" s="113"/>
      <c r="AM21" s="113"/>
      <c r="AN21" s="113"/>
      <c r="AO21" s="44" t="s">
        <v>2334</v>
      </c>
      <c r="AP21" s="43"/>
      <c r="AQ21" s="236" t="str">
        <f>VLOOKUP(Table8[[#This Row],[Instrument]],Def_Targets!$D$73:$E$159,2,FALSE)</f>
        <v>I_Emobility</v>
      </c>
      <c r="AR21" s="233" t="str">
        <f>VLOOKUP(Table8[[#This Row],[Country Code]],Table29[],3,FALSE)</f>
        <v>Non-Annex I</v>
      </c>
      <c r="AS21" s="233" t="str">
        <f>VLOOKUP(Table8[[#This Row],[Country Code]],Table29[],4,FALSE)</f>
        <v>Europe</v>
      </c>
      <c r="AT21" s="233" t="str">
        <f>VLOOKUP(Table8[[#This Row],[Country Code]],Table29[],5,FALSE)</f>
        <v>High-income</v>
      </c>
      <c r="AU21" s="233" t="str">
        <f>VLOOKUP(Table8[[#This Row],[Country Code]],Table29[],6,FALSE)</f>
        <v>no</v>
      </c>
      <c r="AV21" s="233" t="str">
        <f>VLOOKUP(Table8[[#This Row],[Country Code]],Table29[],7,FALSE)</f>
        <v>no</v>
      </c>
      <c r="AW21" s="233" t="str">
        <f>VLOOKUP(Table8[[#This Row],[Country Code]],Table29[],8,FALSE)</f>
        <v>non-OECD</v>
      </c>
      <c r="AX21" s="233" t="str">
        <f>VLOOKUP(Table8[[#This Row],[Country Code]],Table29[],9,FALSE)</f>
        <v>no</v>
      </c>
      <c r="AY21" s="233" t="str">
        <f>VLOOKUP(Table8[[#This Row],[Country Code]],Table29[],10,FALSE)</f>
        <v>no</v>
      </c>
      <c r="AZ21" s="235">
        <f>VLOOKUP(Table8[[#This Row],[Country Code]],Table29[],23,FALSE)</f>
        <v>0</v>
      </c>
      <c r="BA21" s="235">
        <f>VLOOKUP(Table8[[#This Row],[Country Code]],Table29[],24,FALSE)</f>
        <v>0</v>
      </c>
      <c r="BB21" s="320"/>
      <c r="BC21" s="320"/>
    </row>
    <row r="22" spans="1:55" hidden="1" x14ac:dyDescent="0.25">
      <c r="A22" s="373">
        <v>17511</v>
      </c>
      <c r="B22" s="233" t="str">
        <f>VLOOKUP(Table8[[#This Row],[Document ID]],Table1[],2,FALSE)</f>
        <v>AND</v>
      </c>
      <c r="C22" s="233" t="str">
        <f>VLOOKUP(Table8[[#This Row],[Document ID]],Table1[],3,FALSE)</f>
        <v>Andorra</v>
      </c>
      <c r="D22" s="243" t="str">
        <f>VLOOKUP(Table8[[#This Row],[Document ID]],Table1[],5,FALSE)</f>
        <v>NDC</v>
      </c>
      <c r="E22" s="233" t="str">
        <f>VLOOKUP(Table8[[#This Row],[Document ID]],Table1[],7,FALSE)</f>
        <v>First NDC updated</v>
      </c>
      <c r="F22" s="233" t="str">
        <f>VLOOKUP(Table8[[#This Row],[Document ID]],Table1[],8,FALSE)</f>
        <v>NDC 1.1</v>
      </c>
      <c r="G22" s="233" t="str">
        <f>VLOOKUP(Table8[[#This Row],[Document ID]],Table1[],10,FALSE)</f>
        <v>Archived</v>
      </c>
      <c r="H22" s="44" t="s">
        <v>2329</v>
      </c>
      <c r="I22" s="44" t="s">
        <v>2330</v>
      </c>
      <c r="J22" s="44" t="s">
        <v>2331</v>
      </c>
      <c r="K22" s="44" t="s">
        <v>2369</v>
      </c>
      <c r="L22" s="44" t="s">
        <v>2333</v>
      </c>
      <c r="M22" s="43">
        <v>16</v>
      </c>
      <c r="N22" s="113" t="s">
        <v>1113</v>
      </c>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319" t="s">
        <v>1113</v>
      </c>
      <c r="AL22" s="113"/>
      <c r="AM22" s="113"/>
      <c r="AN22" s="113"/>
      <c r="AO22" s="44" t="s">
        <v>2334</v>
      </c>
      <c r="AP22" s="43"/>
      <c r="AQ22" s="236" t="str">
        <f>VLOOKUP(Table8[[#This Row],[Instrument]],Def_Targets!$D$73:$E$159,2,FALSE)</f>
        <v>I_Altfuels</v>
      </c>
      <c r="AR22" s="233" t="str">
        <f>VLOOKUP(Table8[[#This Row],[Country Code]],Table29[],3,FALSE)</f>
        <v>Non-Annex I</v>
      </c>
      <c r="AS22" s="233" t="str">
        <f>VLOOKUP(Table8[[#This Row],[Country Code]],Table29[],4,FALSE)</f>
        <v>Europe</v>
      </c>
      <c r="AT22" s="233" t="str">
        <f>VLOOKUP(Table8[[#This Row],[Country Code]],Table29[],5,FALSE)</f>
        <v>High-income</v>
      </c>
      <c r="AU22" s="233" t="str">
        <f>VLOOKUP(Table8[[#This Row],[Country Code]],Table29[],6,FALSE)</f>
        <v>no</v>
      </c>
      <c r="AV22" s="233" t="str">
        <f>VLOOKUP(Table8[[#This Row],[Country Code]],Table29[],7,FALSE)</f>
        <v>no</v>
      </c>
      <c r="AW22" s="233" t="str">
        <f>VLOOKUP(Table8[[#This Row],[Country Code]],Table29[],8,FALSE)</f>
        <v>non-OECD</v>
      </c>
      <c r="AX22" s="233" t="str">
        <f>VLOOKUP(Table8[[#This Row],[Country Code]],Table29[],9,FALSE)</f>
        <v>no</v>
      </c>
      <c r="AY22" s="233" t="str">
        <f>VLOOKUP(Table8[[#This Row],[Country Code]],Table29[],10,FALSE)</f>
        <v>no</v>
      </c>
      <c r="AZ22" s="235">
        <f>VLOOKUP(Table8[[#This Row],[Country Code]],Table29[],23,FALSE)</f>
        <v>0</v>
      </c>
      <c r="BA22" s="235">
        <f>VLOOKUP(Table8[[#This Row],[Country Code]],Table29[],24,FALSE)</f>
        <v>0</v>
      </c>
      <c r="BB22" s="320"/>
      <c r="BC22" s="320"/>
    </row>
    <row r="23" spans="1:55" ht="30" hidden="1" x14ac:dyDescent="0.25">
      <c r="A23" s="373">
        <v>26771</v>
      </c>
      <c r="B23" s="233" t="str">
        <f>VLOOKUP(Table8[[#This Row],[Document ID]],Table1[],2,FALSE)</f>
        <v>AND</v>
      </c>
      <c r="C23" s="233" t="str">
        <f>VLOOKUP(Table8[[#This Row],[Document ID]],Table1[],3,FALSE)</f>
        <v>Andorra</v>
      </c>
      <c r="D23" s="243" t="str">
        <f>VLOOKUP(Table8[[#This Row],[Document ID]],Table1[],5,FALSE)</f>
        <v>LTS</v>
      </c>
      <c r="E23" s="233" t="str">
        <f>VLOOKUP(Table8[[#This Row],[Document ID]],Table1[],7,FALSE)</f>
        <v>LTS</v>
      </c>
      <c r="F23" s="233" t="str">
        <f>VLOOKUP(Table8[[#This Row],[Document ID]],Table1[],8,FALSE)</f>
        <v>LTS 1.0</v>
      </c>
      <c r="G23" s="233" t="str">
        <f>VLOOKUP(Table8[[#This Row],[Document ID]],Table1[],10,FALSE)</f>
        <v>Active</v>
      </c>
      <c r="H23" s="43" t="s">
        <v>2350</v>
      </c>
      <c r="I23" s="43" t="s">
        <v>2370</v>
      </c>
      <c r="J23" s="44" t="s">
        <v>2371</v>
      </c>
      <c r="K23" s="44" t="s">
        <v>2372</v>
      </c>
      <c r="L23" s="44" t="s">
        <v>2373</v>
      </c>
      <c r="M23" s="43">
        <v>17</v>
      </c>
      <c r="N23" s="113" t="s">
        <v>1113</v>
      </c>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t="s">
        <v>1113</v>
      </c>
      <c r="AL23" s="113"/>
      <c r="AM23" s="113"/>
      <c r="AN23" s="113"/>
      <c r="AO23" s="44" t="s">
        <v>2334</v>
      </c>
      <c r="AP23" s="43"/>
      <c r="AQ23" s="236" t="str">
        <f>VLOOKUP(Table8[[#This Row],[Instrument]],Def_Targets!$D$73:$E$159,2,FALSE)</f>
        <v>A_Natmobplan</v>
      </c>
      <c r="AR23" s="233" t="str">
        <f>VLOOKUP(Table8[[#This Row],[Country Code]],Table29[],3,FALSE)</f>
        <v>Non-Annex I</v>
      </c>
      <c r="AS23" s="233" t="str">
        <f>VLOOKUP(Table8[[#This Row],[Country Code]],Table29[],4,FALSE)</f>
        <v>Europe</v>
      </c>
      <c r="AT23" s="233" t="str">
        <f>VLOOKUP(Table8[[#This Row],[Country Code]],Table29[],5,FALSE)</f>
        <v>High-income</v>
      </c>
      <c r="AU23" s="233" t="str">
        <f>VLOOKUP(Table8[[#This Row],[Country Code]],Table29[],6,FALSE)</f>
        <v>no</v>
      </c>
      <c r="AV23" s="233" t="str">
        <f>VLOOKUP(Table8[[#This Row],[Country Code]],Table29[],7,FALSE)</f>
        <v>no</v>
      </c>
      <c r="AW23" s="233" t="str">
        <f>VLOOKUP(Table8[[#This Row],[Country Code]],Table29[],8,FALSE)</f>
        <v>non-OECD</v>
      </c>
      <c r="AX23" s="233" t="str">
        <f>VLOOKUP(Table8[[#This Row],[Country Code]],Table29[],9,FALSE)</f>
        <v>no</v>
      </c>
      <c r="AY23" s="233" t="str">
        <f>VLOOKUP(Table8[[#This Row],[Country Code]],Table29[],10,FALSE)</f>
        <v>no</v>
      </c>
      <c r="AZ23" s="235">
        <f>VLOOKUP(Table8[[#This Row],[Country Code]],Table29[],23,FALSE)</f>
        <v>0</v>
      </c>
      <c r="BA23" s="235">
        <f>VLOOKUP(Table8[[#This Row],[Country Code]],Table29[],24,FALSE)</f>
        <v>0</v>
      </c>
      <c r="BB23" s="320"/>
      <c r="BC23" s="320"/>
    </row>
    <row r="24" spans="1:55" hidden="1" x14ac:dyDescent="0.25">
      <c r="A24" s="373">
        <v>26771</v>
      </c>
      <c r="B24" s="233" t="str">
        <f>VLOOKUP(Table8[[#This Row],[Document ID]],Table1[],2,FALSE)</f>
        <v>AND</v>
      </c>
      <c r="C24" s="233" t="str">
        <f>VLOOKUP(Table8[[#This Row],[Document ID]],Table1[],3,FALSE)</f>
        <v>Andorra</v>
      </c>
      <c r="D24" s="243" t="str">
        <f>VLOOKUP(Table8[[#This Row],[Document ID]],Table1[],5,FALSE)</f>
        <v>LTS</v>
      </c>
      <c r="E24" s="233" t="str">
        <f>VLOOKUP(Table8[[#This Row],[Document ID]],Table1[],7,FALSE)</f>
        <v>LTS</v>
      </c>
      <c r="F24" s="233" t="str">
        <f>VLOOKUP(Table8[[#This Row],[Document ID]],Table1[],8,FALSE)</f>
        <v>LTS 1.0</v>
      </c>
      <c r="G24" s="233" t="str">
        <f>VLOOKUP(Table8[[#This Row],[Document ID]],Table1[],10,FALSE)</f>
        <v>Active</v>
      </c>
      <c r="H24" s="43" t="s">
        <v>2343</v>
      </c>
      <c r="I24" s="43" t="s">
        <v>2344</v>
      </c>
      <c r="J24" s="44" t="s">
        <v>2345</v>
      </c>
      <c r="K24" s="44" t="s">
        <v>2374</v>
      </c>
      <c r="L24" s="44" t="s">
        <v>2347</v>
      </c>
      <c r="M24" s="43">
        <v>17</v>
      </c>
      <c r="N24" s="113" t="s">
        <v>1113</v>
      </c>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t="s">
        <v>1113</v>
      </c>
      <c r="AL24" s="113"/>
      <c r="AM24" s="113"/>
      <c r="AN24" s="113"/>
      <c r="AO24" s="43" t="s">
        <v>2348</v>
      </c>
      <c r="AP24" s="43"/>
      <c r="AQ24" s="236" t="str">
        <f>VLOOKUP(Table8[[#This Row],[Instrument]],Def_Targets!$D$73:$E$159,2,FALSE)</f>
        <v>S_PublicTransport</v>
      </c>
      <c r="AR24" s="233" t="str">
        <f>VLOOKUP(Table8[[#This Row],[Country Code]],Table29[],3,FALSE)</f>
        <v>Non-Annex I</v>
      </c>
      <c r="AS24" s="233" t="str">
        <f>VLOOKUP(Table8[[#This Row],[Country Code]],Table29[],4,FALSE)</f>
        <v>Europe</v>
      </c>
      <c r="AT24" s="233" t="str">
        <f>VLOOKUP(Table8[[#This Row],[Country Code]],Table29[],5,FALSE)</f>
        <v>High-income</v>
      </c>
      <c r="AU24" s="233" t="str">
        <f>VLOOKUP(Table8[[#This Row],[Country Code]],Table29[],6,FALSE)</f>
        <v>no</v>
      </c>
      <c r="AV24" s="233" t="str">
        <f>VLOOKUP(Table8[[#This Row],[Country Code]],Table29[],7,FALSE)</f>
        <v>no</v>
      </c>
      <c r="AW24" s="233" t="str">
        <f>VLOOKUP(Table8[[#This Row],[Country Code]],Table29[],8,FALSE)</f>
        <v>non-OECD</v>
      </c>
      <c r="AX24" s="233" t="str">
        <f>VLOOKUP(Table8[[#This Row],[Country Code]],Table29[],9,FALSE)</f>
        <v>no</v>
      </c>
      <c r="AY24" s="233" t="str">
        <f>VLOOKUP(Table8[[#This Row],[Country Code]],Table29[],10,FALSE)</f>
        <v>no</v>
      </c>
      <c r="AZ24" s="235">
        <f>VLOOKUP(Table8[[#This Row],[Country Code]],Table29[],23,FALSE)</f>
        <v>0</v>
      </c>
      <c r="BA24" s="235">
        <f>VLOOKUP(Table8[[#This Row],[Country Code]],Table29[],24,FALSE)</f>
        <v>0</v>
      </c>
      <c r="BB24" s="320"/>
      <c r="BC24" s="320"/>
    </row>
    <row r="25" spans="1:55" hidden="1" x14ac:dyDescent="0.25">
      <c r="A25" s="373">
        <v>26771</v>
      </c>
      <c r="B25" s="233" t="str">
        <f>VLOOKUP(Table8[[#This Row],[Document ID]],Table1[],2,FALSE)</f>
        <v>AND</v>
      </c>
      <c r="C25" s="233" t="str">
        <f>VLOOKUP(Table8[[#This Row],[Document ID]],Table1[],3,FALSE)</f>
        <v>Andorra</v>
      </c>
      <c r="D25" s="243" t="str">
        <f>VLOOKUP(Table8[[#This Row],[Document ID]],Table1[],5,FALSE)</f>
        <v>LTS</v>
      </c>
      <c r="E25" s="233" t="str">
        <f>VLOOKUP(Table8[[#This Row],[Document ID]],Table1[],7,FALSE)</f>
        <v>LTS</v>
      </c>
      <c r="F25" s="233" t="str">
        <f>VLOOKUP(Table8[[#This Row],[Document ID]],Table1[],8,FALSE)</f>
        <v>LTS 1.0</v>
      </c>
      <c r="G25" s="233" t="str">
        <f>VLOOKUP(Table8[[#This Row],[Document ID]],Table1[],10,FALSE)</f>
        <v>Active</v>
      </c>
      <c r="H25" s="43" t="s">
        <v>2343</v>
      </c>
      <c r="I25" s="43" t="s">
        <v>2361</v>
      </c>
      <c r="J25" s="44" t="s">
        <v>2366</v>
      </c>
      <c r="K25" s="44" t="s">
        <v>2375</v>
      </c>
      <c r="L25" s="44" t="s">
        <v>2347</v>
      </c>
      <c r="M25" s="43">
        <v>17</v>
      </c>
      <c r="N25" s="113" t="s">
        <v>1113</v>
      </c>
      <c r="O25" s="113"/>
      <c r="P25" s="113" t="s">
        <v>1113</v>
      </c>
      <c r="Q25" s="113" t="s">
        <v>1113</v>
      </c>
      <c r="R25" s="113" t="s">
        <v>1113</v>
      </c>
      <c r="S25" s="113"/>
      <c r="T25" s="113"/>
      <c r="U25" s="113"/>
      <c r="V25" s="113"/>
      <c r="W25" s="113"/>
      <c r="X25" s="113"/>
      <c r="Y25" s="113"/>
      <c r="Z25" s="113"/>
      <c r="AA25" s="113"/>
      <c r="AB25" s="113"/>
      <c r="AC25" s="113"/>
      <c r="AD25" s="113"/>
      <c r="AE25" s="113"/>
      <c r="AF25" s="113"/>
      <c r="AG25" s="113"/>
      <c r="AH25" s="113"/>
      <c r="AI25" s="113"/>
      <c r="AJ25" s="113"/>
      <c r="AK25" s="113" t="s">
        <v>1113</v>
      </c>
      <c r="AL25" s="113"/>
      <c r="AM25" s="113"/>
      <c r="AN25" s="113"/>
      <c r="AO25" s="44" t="s">
        <v>2334</v>
      </c>
      <c r="AP25" s="43"/>
      <c r="AQ25" s="236" t="str">
        <f>VLOOKUP(Table8[[#This Row],[Instrument]],Def_Targets!$D$73:$E$159,2,FALSE)</f>
        <v>S_Activemobility</v>
      </c>
      <c r="AR25" s="233" t="str">
        <f>VLOOKUP(Table8[[#This Row],[Country Code]],Table29[],3,FALSE)</f>
        <v>Non-Annex I</v>
      </c>
      <c r="AS25" s="233" t="str">
        <f>VLOOKUP(Table8[[#This Row],[Country Code]],Table29[],4,FALSE)</f>
        <v>Europe</v>
      </c>
      <c r="AT25" s="233" t="str">
        <f>VLOOKUP(Table8[[#This Row],[Country Code]],Table29[],5,FALSE)</f>
        <v>High-income</v>
      </c>
      <c r="AU25" s="233" t="str">
        <f>VLOOKUP(Table8[[#This Row],[Country Code]],Table29[],6,FALSE)</f>
        <v>no</v>
      </c>
      <c r="AV25" s="233" t="str">
        <f>VLOOKUP(Table8[[#This Row],[Country Code]],Table29[],7,FALSE)</f>
        <v>no</v>
      </c>
      <c r="AW25" s="233" t="str">
        <f>VLOOKUP(Table8[[#This Row],[Country Code]],Table29[],8,FALSE)</f>
        <v>non-OECD</v>
      </c>
      <c r="AX25" s="233" t="str">
        <f>VLOOKUP(Table8[[#This Row],[Country Code]],Table29[],9,FALSE)</f>
        <v>no</v>
      </c>
      <c r="AY25" s="233" t="str">
        <f>VLOOKUP(Table8[[#This Row],[Country Code]],Table29[],10,FALSE)</f>
        <v>no</v>
      </c>
      <c r="AZ25" s="235">
        <f>VLOOKUP(Table8[[#This Row],[Country Code]],Table29[],23,FALSE)</f>
        <v>0</v>
      </c>
      <c r="BA25" s="235">
        <f>VLOOKUP(Table8[[#This Row],[Country Code]],Table29[],24,FALSE)</f>
        <v>0</v>
      </c>
      <c r="BB25" s="320"/>
      <c r="BC25" s="320"/>
    </row>
    <row r="26" spans="1:55" hidden="1" x14ac:dyDescent="0.25">
      <c r="A26" s="373">
        <v>26771</v>
      </c>
      <c r="B26" s="233" t="str">
        <f>VLOOKUP(Table8[[#This Row],[Document ID]],Table1[],2,FALSE)</f>
        <v>AND</v>
      </c>
      <c r="C26" s="233" t="str">
        <f>VLOOKUP(Table8[[#This Row],[Document ID]],Table1[],3,FALSE)</f>
        <v>Andorra</v>
      </c>
      <c r="D26" s="243" t="str">
        <f>VLOOKUP(Table8[[#This Row],[Document ID]],Table1[],5,FALSE)</f>
        <v>LTS</v>
      </c>
      <c r="E26" s="233" t="str">
        <f>VLOOKUP(Table8[[#This Row],[Document ID]],Table1[],7,FALSE)</f>
        <v>LTS</v>
      </c>
      <c r="F26" s="233" t="str">
        <f>VLOOKUP(Table8[[#This Row],[Document ID]],Table1[],8,FALSE)</f>
        <v>LTS 1.0</v>
      </c>
      <c r="G26" s="233" t="str">
        <f>VLOOKUP(Table8[[#This Row],[Document ID]],Table1[],10,FALSE)</f>
        <v>Active</v>
      </c>
      <c r="H26" s="43" t="s">
        <v>2358</v>
      </c>
      <c r="I26" s="43" t="s">
        <v>2359</v>
      </c>
      <c r="J26" s="44" t="s">
        <v>2360</v>
      </c>
      <c r="K26" s="44" t="s">
        <v>2376</v>
      </c>
      <c r="L26" s="44" t="s">
        <v>2333</v>
      </c>
      <c r="M26" s="43">
        <v>17</v>
      </c>
      <c r="N26" s="113" t="s">
        <v>1113</v>
      </c>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t="s">
        <v>1113</v>
      </c>
      <c r="AL26" s="113"/>
      <c r="AM26" s="113"/>
      <c r="AN26" s="113"/>
      <c r="AO26" s="44" t="s">
        <v>2334</v>
      </c>
      <c r="AP26" s="43"/>
      <c r="AQ26" s="236" t="str">
        <f>VLOOKUP(Table8[[#This Row],[Instrument]],Def_Targets!$D$73:$E$159,2,FALSE)</f>
        <v>I_Emobility</v>
      </c>
      <c r="AR26" s="233" t="str">
        <f>VLOOKUP(Table8[[#This Row],[Country Code]],Table29[],3,FALSE)</f>
        <v>Non-Annex I</v>
      </c>
      <c r="AS26" s="233" t="str">
        <f>VLOOKUP(Table8[[#This Row],[Country Code]],Table29[],4,FALSE)</f>
        <v>Europe</v>
      </c>
      <c r="AT26" s="233" t="str">
        <f>VLOOKUP(Table8[[#This Row],[Country Code]],Table29[],5,FALSE)</f>
        <v>High-income</v>
      </c>
      <c r="AU26" s="233" t="str">
        <f>VLOOKUP(Table8[[#This Row],[Country Code]],Table29[],6,FALSE)</f>
        <v>no</v>
      </c>
      <c r="AV26" s="233" t="str">
        <f>VLOOKUP(Table8[[#This Row],[Country Code]],Table29[],7,FALSE)</f>
        <v>no</v>
      </c>
      <c r="AW26" s="233" t="str">
        <f>VLOOKUP(Table8[[#This Row],[Country Code]],Table29[],8,FALSE)</f>
        <v>non-OECD</v>
      </c>
      <c r="AX26" s="233" t="str">
        <f>VLOOKUP(Table8[[#This Row],[Country Code]],Table29[],9,FALSE)</f>
        <v>no</v>
      </c>
      <c r="AY26" s="233" t="str">
        <f>VLOOKUP(Table8[[#This Row],[Country Code]],Table29[],10,FALSE)</f>
        <v>no</v>
      </c>
      <c r="AZ26" s="235">
        <f>VLOOKUP(Table8[[#This Row],[Country Code]],Table29[],23,FALSE)</f>
        <v>0</v>
      </c>
      <c r="BA26" s="235">
        <f>VLOOKUP(Table8[[#This Row],[Country Code]],Table29[],24,FALSE)</f>
        <v>0</v>
      </c>
      <c r="BB26" s="320"/>
      <c r="BC26" s="320"/>
    </row>
    <row r="27" spans="1:55" ht="45" hidden="1" x14ac:dyDescent="0.25">
      <c r="A27" s="373">
        <v>26771</v>
      </c>
      <c r="B27" s="233" t="str">
        <f>VLOOKUP(Table8[[#This Row],[Document ID]],Table1[],2,FALSE)</f>
        <v>AND</v>
      </c>
      <c r="C27" s="233" t="str">
        <f>VLOOKUP(Table8[[#This Row],[Document ID]],Table1[],3,FALSE)</f>
        <v>Andorra</v>
      </c>
      <c r="D27" s="243" t="str">
        <f>VLOOKUP(Table8[[#This Row],[Document ID]],Table1[],5,FALSE)</f>
        <v>LTS</v>
      </c>
      <c r="E27" s="233" t="str">
        <f>VLOOKUP(Table8[[#This Row],[Document ID]],Table1[],7,FALSE)</f>
        <v>LTS</v>
      </c>
      <c r="F27" s="233" t="str">
        <f>VLOOKUP(Table8[[#This Row],[Document ID]],Table1[],8,FALSE)</f>
        <v>LTS 1.0</v>
      </c>
      <c r="G27" s="233" t="str">
        <f>VLOOKUP(Table8[[#This Row],[Document ID]],Table1[],10,FALSE)</f>
        <v>Active</v>
      </c>
      <c r="H27" s="43" t="s">
        <v>2343</v>
      </c>
      <c r="I27" s="43" t="s">
        <v>2377</v>
      </c>
      <c r="J27" s="44" t="s">
        <v>2378</v>
      </c>
      <c r="K27" s="44" t="s">
        <v>2379</v>
      </c>
      <c r="L27" s="44" t="s">
        <v>2380</v>
      </c>
      <c r="M27" s="43">
        <v>18</v>
      </c>
      <c r="N27" s="113" t="s">
        <v>1113</v>
      </c>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t="s">
        <v>1113</v>
      </c>
      <c r="AL27" s="113"/>
      <c r="AM27" s="113"/>
      <c r="AN27" s="113"/>
      <c r="AO27" s="44" t="s">
        <v>2334</v>
      </c>
      <c r="AP27" s="43"/>
      <c r="AQ27" s="236" t="str">
        <f>VLOOKUP(Table8[[#This Row],[Instrument]],Def_Targets!$D$73:$E$159,2,FALSE)</f>
        <v>A_Commute</v>
      </c>
      <c r="AR27" s="233" t="str">
        <f>VLOOKUP(Table8[[#This Row],[Country Code]],Table29[],3,FALSE)</f>
        <v>Non-Annex I</v>
      </c>
      <c r="AS27" s="233" t="str">
        <f>VLOOKUP(Table8[[#This Row],[Country Code]],Table29[],4,FALSE)</f>
        <v>Europe</v>
      </c>
      <c r="AT27" s="233" t="str">
        <f>VLOOKUP(Table8[[#This Row],[Country Code]],Table29[],5,FALSE)</f>
        <v>High-income</v>
      </c>
      <c r="AU27" s="233" t="str">
        <f>VLOOKUP(Table8[[#This Row],[Country Code]],Table29[],6,FALSE)</f>
        <v>no</v>
      </c>
      <c r="AV27" s="233" t="str">
        <f>VLOOKUP(Table8[[#This Row],[Country Code]],Table29[],7,FALSE)</f>
        <v>no</v>
      </c>
      <c r="AW27" s="233" t="str">
        <f>VLOOKUP(Table8[[#This Row],[Country Code]],Table29[],8,FALSE)</f>
        <v>non-OECD</v>
      </c>
      <c r="AX27" s="233" t="str">
        <f>VLOOKUP(Table8[[#This Row],[Country Code]],Table29[],9,FALSE)</f>
        <v>no</v>
      </c>
      <c r="AY27" s="233" t="str">
        <f>VLOOKUP(Table8[[#This Row],[Country Code]],Table29[],10,FALSE)</f>
        <v>no</v>
      </c>
      <c r="AZ27" s="235">
        <f>VLOOKUP(Table8[[#This Row],[Country Code]],Table29[],23,FALSE)</f>
        <v>0</v>
      </c>
      <c r="BA27" s="235">
        <f>VLOOKUP(Table8[[#This Row],[Country Code]],Table29[],24,FALSE)</f>
        <v>0</v>
      </c>
      <c r="BB27" s="320"/>
      <c r="BC27" s="320"/>
    </row>
    <row r="28" spans="1:55" ht="45" hidden="1" x14ac:dyDescent="0.25">
      <c r="A28" s="373">
        <v>26771</v>
      </c>
      <c r="B28" s="233" t="str">
        <f>VLOOKUP(Table8[[#This Row],[Document ID]],Table1[],2,FALSE)</f>
        <v>AND</v>
      </c>
      <c r="C28" s="233" t="str">
        <f>VLOOKUP(Table8[[#This Row],[Document ID]],Table1[],3,FALSE)</f>
        <v>Andorra</v>
      </c>
      <c r="D28" s="243" t="str">
        <f>VLOOKUP(Table8[[#This Row],[Document ID]],Table1[],5,FALSE)</f>
        <v>LTS</v>
      </c>
      <c r="E28" s="233" t="str">
        <f>VLOOKUP(Table8[[#This Row],[Document ID]],Table1[],7,FALSE)</f>
        <v>LTS</v>
      </c>
      <c r="F28" s="233" t="str">
        <f>VLOOKUP(Table8[[#This Row],[Document ID]],Table1[],8,FALSE)</f>
        <v>LTS 1.0</v>
      </c>
      <c r="G28" s="233" t="str">
        <f>VLOOKUP(Table8[[#This Row],[Document ID]],Table1[],10,FALSE)</f>
        <v>Active</v>
      </c>
      <c r="H28" s="44" t="s">
        <v>2329</v>
      </c>
      <c r="I28" s="44" t="s">
        <v>2330</v>
      </c>
      <c r="J28" s="44" t="s">
        <v>2381</v>
      </c>
      <c r="K28" s="44" t="s">
        <v>2382</v>
      </c>
      <c r="L28" s="44" t="s">
        <v>2333</v>
      </c>
      <c r="M28" s="43">
        <v>18</v>
      </c>
      <c r="N28" s="113" t="s">
        <v>1113</v>
      </c>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t="s">
        <v>1113</v>
      </c>
      <c r="AL28" s="113"/>
      <c r="AM28" s="113"/>
      <c r="AN28" s="113"/>
      <c r="AO28" s="44" t="s">
        <v>2334</v>
      </c>
      <c r="AP28" s="43"/>
      <c r="AQ28" s="236" t="str">
        <f>VLOOKUP(Table8[[#This Row],[Instrument]],Def_Targets!$D$73:$E$159,2,FALSE)</f>
        <v>I_RE</v>
      </c>
      <c r="AR28" s="233" t="str">
        <f>VLOOKUP(Table8[[#This Row],[Country Code]],Table29[],3,FALSE)</f>
        <v>Non-Annex I</v>
      </c>
      <c r="AS28" s="233" t="str">
        <f>VLOOKUP(Table8[[#This Row],[Country Code]],Table29[],4,FALSE)</f>
        <v>Europe</v>
      </c>
      <c r="AT28" s="233" t="str">
        <f>VLOOKUP(Table8[[#This Row],[Country Code]],Table29[],5,FALSE)</f>
        <v>High-income</v>
      </c>
      <c r="AU28" s="233" t="str">
        <f>VLOOKUP(Table8[[#This Row],[Country Code]],Table29[],6,FALSE)</f>
        <v>no</v>
      </c>
      <c r="AV28" s="233" t="str">
        <f>VLOOKUP(Table8[[#This Row],[Country Code]],Table29[],7,FALSE)</f>
        <v>no</v>
      </c>
      <c r="AW28" s="233" t="str">
        <f>VLOOKUP(Table8[[#This Row],[Country Code]],Table29[],8,FALSE)</f>
        <v>non-OECD</v>
      </c>
      <c r="AX28" s="233" t="str">
        <f>VLOOKUP(Table8[[#This Row],[Country Code]],Table29[],9,FALSE)</f>
        <v>no</v>
      </c>
      <c r="AY28" s="233" t="str">
        <f>VLOOKUP(Table8[[#This Row],[Country Code]],Table29[],10,FALSE)</f>
        <v>no</v>
      </c>
      <c r="AZ28" s="235">
        <f>VLOOKUP(Table8[[#This Row],[Country Code]],Table29[],23,FALSE)</f>
        <v>0</v>
      </c>
      <c r="BA28" s="235">
        <f>VLOOKUP(Table8[[#This Row],[Country Code]],Table29[],24,FALSE)</f>
        <v>0</v>
      </c>
      <c r="BB28" s="320"/>
      <c r="BC28" s="320"/>
    </row>
    <row r="29" spans="1:55" hidden="1" x14ac:dyDescent="0.25">
      <c r="A29" s="373">
        <v>26771</v>
      </c>
      <c r="B29" s="233" t="str">
        <f>VLOOKUP(Table8[[#This Row],[Document ID]],Table1[],2,FALSE)</f>
        <v>AND</v>
      </c>
      <c r="C29" s="233" t="str">
        <f>VLOOKUP(Table8[[#This Row],[Document ID]],Table1[],3,FALSE)</f>
        <v>Andorra</v>
      </c>
      <c r="D29" s="243" t="str">
        <f>VLOOKUP(Table8[[#This Row],[Document ID]],Table1[],5,FALSE)</f>
        <v>LTS</v>
      </c>
      <c r="E29" s="233" t="str">
        <f>VLOOKUP(Table8[[#This Row],[Document ID]],Table1[],7,FALSE)</f>
        <v>LTS</v>
      </c>
      <c r="F29" s="233" t="str">
        <f>VLOOKUP(Table8[[#This Row],[Document ID]],Table1[],8,FALSE)</f>
        <v>LTS 1.0</v>
      </c>
      <c r="G29" s="233" t="str">
        <f>VLOOKUP(Table8[[#This Row],[Document ID]],Table1[],10,FALSE)</f>
        <v>Active</v>
      </c>
      <c r="H29" s="43" t="s">
        <v>2358</v>
      </c>
      <c r="I29" s="43" t="s">
        <v>2359</v>
      </c>
      <c r="J29" s="44" t="s">
        <v>2383</v>
      </c>
      <c r="K29" s="44" t="s">
        <v>2384</v>
      </c>
      <c r="L29" s="44" t="s">
        <v>2333</v>
      </c>
      <c r="M29" s="43">
        <v>18</v>
      </c>
      <c r="N29" s="113" t="s">
        <v>1113</v>
      </c>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t="s">
        <v>1113</v>
      </c>
      <c r="AL29" s="113"/>
      <c r="AM29" s="113"/>
      <c r="AN29" s="113"/>
      <c r="AO29" s="44" t="s">
        <v>2334</v>
      </c>
      <c r="AP29" s="43"/>
      <c r="AQ29" s="236" t="str">
        <f>VLOOKUP(Table8[[#This Row],[Instrument]],Def_Targets!$D$73:$E$159,2,FALSE)</f>
        <v>I_Emobilitycharging</v>
      </c>
      <c r="AR29" s="233" t="str">
        <f>VLOOKUP(Table8[[#This Row],[Country Code]],Table29[],3,FALSE)</f>
        <v>Non-Annex I</v>
      </c>
      <c r="AS29" s="233" t="str">
        <f>VLOOKUP(Table8[[#This Row],[Country Code]],Table29[],4,FALSE)</f>
        <v>Europe</v>
      </c>
      <c r="AT29" s="233" t="str">
        <f>VLOOKUP(Table8[[#This Row],[Country Code]],Table29[],5,FALSE)</f>
        <v>High-income</v>
      </c>
      <c r="AU29" s="233" t="str">
        <f>VLOOKUP(Table8[[#This Row],[Country Code]],Table29[],6,FALSE)</f>
        <v>no</v>
      </c>
      <c r="AV29" s="233" t="str">
        <f>VLOOKUP(Table8[[#This Row],[Country Code]],Table29[],7,FALSE)</f>
        <v>no</v>
      </c>
      <c r="AW29" s="233" t="str">
        <f>VLOOKUP(Table8[[#This Row],[Country Code]],Table29[],8,FALSE)</f>
        <v>non-OECD</v>
      </c>
      <c r="AX29" s="233" t="str">
        <f>VLOOKUP(Table8[[#This Row],[Country Code]],Table29[],9,FALSE)</f>
        <v>no</v>
      </c>
      <c r="AY29" s="233" t="str">
        <f>VLOOKUP(Table8[[#This Row],[Country Code]],Table29[],10,FALSE)</f>
        <v>no</v>
      </c>
      <c r="AZ29" s="235">
        <f>VLOOKUP(Table8[[#This Row],[Country Code]],Table29[],23,FALSE)</f>
        <v>0</v>
      </c>
      <c r="BA29" s="235">
        <f>VLOOKUP(Table8[[#This Row],[Country Code]],Table29[],24,FALSE)</f>
        <v>0</v>
      </c>
      <c r="BB29" s="320"/>
      <c r="BC29" s="320"/>
    </row>
    <row r="30" spans="1:55" ht="45" hidden="1" x14ac:dyDescent="0.25">
      <c r="A30" s="373">
        <v>26771</v>
      </c>
      <c r="B30" s="233" t="str">
        <f>VLOOKUP(Table8[[#This Row],[Document ID]],Table1[],2,FALSE)</f>
        <v>AND</v>
      </c>
      <c r="C30" s="233" t="str">
        <f>VLOOKUP(Table8[[#This Row],[Document ID]],Table1[],3,FALSE)</f>
        <v>Andorra</v>
      </c>
      <c r="D30" s="243" t="str">
        <f>VLOOKUP(Table8[[#This Row],[Document ID]],Table1[],5,FALSE)</f>
        <v>LTS</v>
      </c>
      <c r="E30" s="233" t="str">
        <f>VLOOKUP(Table8[[#This Row],[Document ID]],Table1[],7,FALSE)</f>
        <v>LTS</v>
      </c>
      <c r="F30" s="233" t="str">
        <f>VLOOKUP(Table8[[#This Row],[Document ID]],Table1[],8,FALSE)</f>
        <v>LTS 1.0</v>
      </c>
      <c r="G30" s="233" t="str">
        <f>VLOOKUP(Table8[[#This Row],[Document ID]],Table1[],10,FALSE)</f>
        <v>Active</v>
      </c>
      <c r="H30" s="43" t="s">
        <v>2358</v>
      </c>
      <c r="I30" s="43" t="s">
        <v>2359</v>
      </c>
      <c r="J30" s="44" t="s">
        <v>2360</v>
      </c>
      <c r="K30" s="44" t="s">
        <v>2385</v>
      </c>
      <c r="L30" s="44" t="s">
        <v>2333</v>
      </c>
      <c r="M30" s="43">
        <v>19</v>
      </c>
      <c r="N30" s="113" t="s">
        <v>1113</v>
      </c>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t="s">
        <v>1113</v>
      </c>
      <c r="AL30" s="113"/>
      <c r="AM30" s="113"/>
      <c r="AN30" s="113"/>
      <c r="AO30" s="44" t="s">
        <v>2334</v>
      </c>
      <c r="AP30" s="43"/>
      <c r="AQ30" s="236" t="str">
        <f>VLOOKUP(Table8[[#This Row],[Instrument]],Def_Targets!$D$73:$E$159,2,FALSE)</f>
        <v>I_Emobility</v>
      </c>
      <c r="AR30" s="233" t="str">
        <f>VLOOKUP(Table8[[#This Row],[Country Code]],Table29[],3,FALSE)</f>
        <v>Non-Annex I</v>
      </c>
      <c r="AS30" s="233" t="str">
        <f>VLOOKUP(Table8[[#This Row],[Country Code]],Table29[],4,FALSE)</f>
        <v>Europe</v>
      </c>
      <c r="AT30" s="233" t="str">
        <f>VLOOKUP(Table8[[#This Row],[Country Code]],Table29[],5,FALSE)</f>
        <v>High-income</v>
      </c>
      <c r="AU30" s="233" t="str">
        <f>VLOOKUP(Table8[[#This Row],[Country Code]],Table29[],6,FALSE)</f>
        <v>no</v>
      </c>
      <c r="AV30" s="233" t="str">
        <f>VLOOKUP(Table8[[#This Row],[Country Code]],Table29[],7,FALSE)</f>
        <v>no</v>
      </c>
      <c r="AW30" s="233" t="str">
        <f>VLOOKUP(Table8[[#This Row],[Country Code]],Table29[],8,FALSE)</f>
        <v>non-OECD</v>
      </c>
      <c r="AX30" s="233" t="str">
        <f>VLOOKUP(Table8[[#This Row],[Country Code]],Table29[],9,FALSE)</f>
        <v>no</v>
      </c>
      <c r="AY30" s="233" t="str">
        <f>VLOOKUP(Table8[[#This Row],[Country Code]],Table29[],10,FALSE)</f>
        <v>no</v>
      </c>
      <c r="AZ30" s="235">
        <f>VLOOKUP(Table8[[#This Row],[Country Code]],Table29[],23,FALSE)</f>
        <v>0</v>
      </c>
      <c r="BA30" s="235">
        <f>VLOOKUP(Table8[[#This Row],[Country Code]],Table29[],24,FALSE)</f>
        <v>0</v>
      </c>
      <c r="BB30" s="320"/>
      <c r="BC30" s="320"/>
    </row>
    <row r="31" spans="1:55" ht="45" hidden="1" x14ac:dyDescent="0.25">
      <c r="A31" s="373">
        <v>26771</v>
      </c>
      <c r="B31" s="233" t="str">
        <f>VLOOKUP(Table8[[#This Row],[Document ID]],Table1[],2,FALSE)</f>
        <v>AND</v>
      </c>
      <c r="C31" s="233" t="str">
        <f>VLOOKUP(Table8[[#This Row],[Document ID]],Table1[],3,FALSE)</f>
        <v>Andorra</v>
      </c>
      <c r="D31" s="243" t="str">
        <f>VLOOKUP(Table8[[#This Row],[Document ID]],Table1[],5,FALSE)</f>
        <v>LTS</v>
      </c>
      <c r="E31" s="233" t="str">
        <f>VLOOKUP(Table8[[#This Row],[Document ID]],Table1[],7,FALSE)</f>
        <v>LTS</v>
      </c>
      <c r="F31" s="233" t="str">
        <f>VLOOKUP(Table8[[#This Row],[Document ID]],Table1[],8,FALSE)</f>
        <v>LTS 1.0</v>
      </c>
      <c r="G31" s="233" t="str">
        <f>VLOOKUP(Table8[[#This Row],[Document ID]],Table1[],10,FALSE)</f>
        <v>Active</v>
      </c>
      <c r="H31" s="43" t="s">
        <v>2343</v>
      </c>
      <c r="I31" s="43" t="s">
        <v>2386</v>
      </c>
      <c r="J31" s="44" t="s">
        <v>2387</v>
      </c>
      <c r="K31" s="44" t="s">
        <v>2388</v>
      </c>
      <c r="L31" s="44" t="s">
        <v>2333</v>
      </c>
      <c r="M31" s="43">
        <v>19</v>
      </c>
      <c r="N31" s="113" t="s">
        <v>1113</v>
      </c>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t="s">
        <v>1113</v>
      </c>
      <c r="AL31" s="113"/>
      <c r="AM31" s="113"/>
      <c r="AN31" s="113"/>
      <c r="AO31" s="44" t="s">
        <v>2334</v>
      </c>
      <c r="AP31" s="43"/>
      <c r="AQ31" s="236" t="str">
        <f>VLOOKUP(Table8[[#This Row],[Instrument]],Def_Targets!$D$73:$E$159,2,FALSE)</f>
        <v>A_Procurement</v>
      </c>
      <c r="AR31" s="233" t="str">
        <f>VLOOKUP(Table8[[#This Row],[Country Code]],Table29[],3,FALSE)</f>
        <v>Non-Annex I</v>
      </c>
      <c r="AS31" s="233" t="str">
        <f>VLOOKUP(Table8[[#This Row],[Country Code]],Table29[],4,FALSE)</f>
        <v>Europe</v>
      </c>
      <c r="AT31" s="233" t="str">
        <f>VLOOKUP(Table8[[#This Row],[Country Code]],Table29[],5,FALSE)</f>
        <v>High-income</v>
      </c>
      <c r="AU31" s="233" t="str">
        <f>VLOOKUP(Table8[[#This Row],[Country Code]],Table29[],6,FALSE)</f>
        <v>no</v>
      </c>
      <c r="AV31" s="233" t="str">
        <f>VLOOKUP(Table8[[#This Row],[Country Code]],Table29[],7,FALSE)</f>
        <v>no</v>
      </c>
      <c r="AW31" s="233" t="str">
        <f>VLOOKUP(Table8[[#This Row],[Country Code]],Table29[],8,FALSE)</f>
        <v>non-OECD</v>
      </c>
      <c r="AX31" s="233" t="str">
        <f>VLOOKUP(Table8[[#This Row],[Country Code]],Table29[],9,FALSE)</f>
        <v>no</v>
      </c>
      <c r="AY31" s="233" t="str">
        <f>VLOOKUP(Table8[[#This Row],[Country Code]],Table29[],10,FALSE)</f>
        <v>no</v>
      </c>
      <c r="AZ31" s="235">
        <f>VLOOKUP(Table8[[#This Row],[Country Code]],Table29[],23,FALSE)</f>
        <v>0</v>
      </c>
      <c r="BA31" s="235">
        <f>VLOOKUP(Table8[[#This Row],[Country Code]],Table29[],24,FALSE)</f>
        <v>0</v>
      </c>
      <c r="BB31" s="320"/>
      <c r="BC31" s="320"/>
    </row>
    <row r="32" spans="1:55" ht="30" hidden="1" x14ac:dyDescent="0.25">
      <c r="A32" s="373">
        <v>26771</v>
      </c>
      <c r="B32" s="233" t="str">
        <f>VLOOKUP(Table8[[#This Row],[Document ID]],Table1[],2,FALSE)</f>
        <v>AND</v>
      </c>
      <c r="C32" s="233" t="str">
        <f>VLOOKUP(Table8[[#This Row],[Document ID]],Table1[],3,FALSE)</f>
        <v>Andorra</v>
      </c>
      <c r="D32" s="243" t="str">
        <f>VLOOKUP(Table8[[#This Row],[Document ID]],Table1[],5,FALSE)</f>
        <v>LTS</v>
      </c>
      <c r="E32" s="233" t="str">
        <f>VLOOKUP(Table8[[#This Row],[Document ID]],Table1[],7,FALSE)</f>
        <v>LTS</v>
      </c>
      <c r="F32" s="233" t="str">
        <f>VLOOKUP(Table8[[#This Row],[Document ID]],Table1[],8,FALSE)</f>
        <v>LTS 1.0</v>
      </c>
      <c r="G32" s="233" t="str">
        <f>VLOOKUP(Table8[[#This Row],[Document ID]],Table1[],10,FALSE)</f>
        <v>Active</v>
      </c>
      <c r="H32" s="43" t="s">
        <v>2358</v>
      </c>
      <c r="I32" s="43" t="s">
        <v>2359</v>
      </c>
      <c r="J32" s="44" t="s">
        <v>2389</v>
      </c>
      <c r="K32" s="44" t="s">
        <v>2390</v>
      </c>
      <c r="L32" s="44" t="s">
        <v>2333</v>
      </c>
      <c r="M32" s="43">
        <v>19</v>
      </c>
      <c r="N32" s="113" t="s">
        <v>1113</v>
      </c>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t="s">
        <v>1113</v>
      </c>
      <c r="AL32" s="113"/>
      <c r="AM32" s="113"/>
      <c r="AN32" s="113"/>
      <c r="AO32" s="44" t="s">
        <v>2334</v>
      </c>
      <c r="AP32" s="43"/>
      <c r="AQ32" s="236" t="str">
        <f>VLOOKUP(Table8[[#This Row],[Instrument]],Def_Targets!$D$73:$E$159,2,FALSE)</f>
        <v>I_Emobilitypurchase</v>
      </c>
      <c r="AR32" s="233" t="str">
        <f>VLOOKUP(Table8[[#This Row],[Country Code]],Table29[],3,FALSE)</f>
        <v>Non-Annex I</v>
      </c>
      <c r="AS32" s="233" t="str">
        <f>VLOOKUP(Table8[[#This Row],[Country Code]],Table29[],4,FALSE)</f>
        <v>Europe</v>
      </c>
      <c r="AT32" s="233" t="str">
        <f>VLOOKUP(Table8[[#This Row],[Country Code]],Table29[],5,FALSE)</f>
        <v>High-income</v>
      </c>
      <c r="AU32" s="233" t="str">
        <f>VLOOKUP(Table8[[#This Row],[Country Code]],Table29[],6,FALSE)</f>
        <v>no</v>
      </c>
      <c r="AV32" s="233" t="str">
        <f>VLOOKUP(Table8[[#This Row],[Country Code]],Table29[],7,FALSE)</f>
        <v>no</v>
      </c>
      <c r="AW32" s="233" t="str">
        <f>VLOOKUP(Table8[[#This Row],[Country Code]],Table29[],8,FALSE)</f>
        <v>non-OECD</v>
      </c>
      <c r="AX32" s="233" t="str">
        <f>VLOOKUP(Table8[[#This Row],[Country Code]],Table29[],9,FALSE)</f>
        <v>no</v>
      </c>
      <c r="AY32" s="233" t="str">
        <f>VLOOKUP(Table8[[#This Row],[Country Code]],Table29[],10,FALSE)</f>
        <v>no</v>
      </c>
      <c r="AZ32" s="235">
        <f>VLOOKUP(Table8[[#This Row],[Country Code]],Table29[],23,FALSE)</f>
        <v>0</v>
      </c>
      <c r="BA32" s="235">
        <f>VLOOKUP(Table8[[#This Row],[Country Code]],Table29[],24,FALSE)</f>
        <v>0</v>
      </c>
      <c r="BB32" s="320"/>
      <c r="BC32" s="320"/>
    </row>
    <row r="33" spans="1:55" ht="30" hidden="1" x14ac:dyDescent="0.25">
      <c r="A33" s="373">
        <v>26771</v>
      </c>
      <c r="B33" s="233" t="str">
        <f>VLOOKUP(Table8[[#This Row],[Document ID]],Table1[],2,FALSE)</f>
        <v>AND</v>
      </c>
      <c r="C33" s="233" t="str">
        <f>VLOOKUP(Table8[[#This Row],[Document ID]],Table1[],3,FALSE)</f>
        <v>Andorra</v>
      </c>
      <c r="D33" s="243" t="str">
        <f>VLOOKUP(Table8[[#This Row],[Document ID]],Table1[],5,FALSE)</f>
        <v>LTS</v>
      </c>
      <c r="E33" s="233" t="str">
        <f>VLOOKUP(Table8[[#This Row],[Document ID]],Table1[],7,FALSE)</f>
        <v>LTS</v>
      </c>
      <c r="F33" s="233" t="str">
        <f>VLOOKUP(Table8[[#This Row],[Document ID]],Table1[],8,FALSE)</f>
        <v>LTS 1.0</v>
      </c>
      <c r="G33" s="233" t="str">
        <f>VLOOKUP(Table8[[#This Row],[Document ID]],Table1[],10,FALSE)</f>
        <v>Active</v>
      </c>
      <c r="H33" s="44" t="s">
        <v>2329</v>
      </c>
      <c r="I33" s="44" t="s">
        <v>2330</v>
      </c>
      <c r="J33" s="44" t="s">
        <v>2391</v>
      </c>
      <c r="K33" s="44" t="s">
        <v>2392</v>
      </c>
      <c r="L33" s="44" t="s">
        <v>2333</v>
      </c>
      <c r="M33" s="43">
        <v>19</v>
      </c>
      <c r="N33" s="113" t="s">
        <v>1113</v>
      </c>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t="s">
        <v>1113</v>
      </c>
      <c r="AL33" s="113"/>
      <c r="AM33" s="113"/>
      <c r="AN33" s="113"/>
      <c r="AO33" s="44" t="s">
        <v>2334</v>
      </c>
      <c r="AP33" s="43"/>
      <c r="AQ33" s="236" t="str">
        <f>VLOOKUP(Table8[[#This Row],[Instrument]],Def_Targets!$D$73:$E$159,2,FALSE)</f>
        <v>I_Hydrogen</v>
      </c>
      <c r="AR33" s="233" t="str">
        <f>VLOOKUP(Table8[[#This Row],[Country Code]],Table29[],3,FALSE)</f>
        <v>Non-Annex I</v>
      </c>
      <c r="AS33" s="233" t="str">
        <f>VLOOKUP(Table8[[#This Row],[Country Code]],Table29[],4,FALSE)</f>
        <v>Europe</v>
      </c>
      <c r="AT33" s="233" t="str">
        <f>VLOOKUP(Table8[[#This Row],[Country Code]],Table29[],5,FALSE)</f>
        <v>High-income</v>
      </c>
      <c r="AU33" s="233" t="str">
        <f>VLOOKUP(Table8[[#This Row],[Country Code]],Table29[],6,FALSE)</f>
        <v>no</v>
      </c>
      <c r="AV33" s="233" t="str">
        <f>VLOOKUP(Table8[[#This Row],[Country Code]],Table29[],7,FALSE)</f>
        <v>no</v>
      </c>
      <c r="AW33" s="233" t="str">
        <f>VLOOKUP(Table8[[#This Row],[Country Code]],Table29[],8,FALSE)</f>
        <v>non-OECD</v>
      </c>
      <c r="AX33" s="233" t="str">
        <f>VLOOKUP(Table8[[#This Row],[Country Code]],Table29[],9,FALSE)</f>
        <v>no</v>
      </c>
      <c r="AY33" s="233" t="str">
        <f>VLOOKUP(Table8[[#This Row],[Country Code]],Table29[],10,FALSE)</f>
        <v>no</v>
      </c>
      <c r="AZ33" s="235">
        <f>VLOOKUP(Table8[[#This Row],[Country Code]],Table29[],23,FALSE)</f>
        <v>0</v>
      </c>
      <c r="BA33" s="235">
        <f>VLOOKUP(Table8[[#This Row],[Country Code]],Table29[],24,FALSE)</f>
        <v>0</v>
      </c>
      <c r="BB33" s="320"/>
      <c r="BC33" s="320"/>
    </row>
    <row r="34" spans="1:55" ht="120" hidden="1" x14ac:dyDescent="0.25">
      <c r="A34" s="373">
        <v>32408</v>
      </c>
      <c r="B34" s="233" t="str">
        <f>VLOOKUP(Table8[[#This Row],[Document ID]],Table1[],2,FALSE)</f>
        <v>AND</v>
      </c>
      <c r="C34" s="233" t="str">
        <f>VLOOKUP(Table8[[#This Row],[Document ID]],Table1[],3,FALSE)</f>
        <v>Andorra</v>
      </c>
      <c r="D34" s="243" t="str">
        <f>VLOOKUP(Table8[[#This Row],[Document ID]],Table1[],5,FALSE)</f>
        <v>NDC</v>
      </c>
      <c r="E34" s="233" t="str">
        <f>VLOOKUP(Table8[[#This Row],[Document ID]],Table1[],7,FALSE)</f>
        <v>First NDC updated</v>
      </c>
      <c r="F34" s="233" t="str">
        <f>VLOOKUP(Table8[[#This Row],[Document ID]],Table1[],8,FALSE)</f>
        <v>NDC 1.2</v>
      </c>
      <c r="G34" s="233" t="str">
        <f>VLOOKUP(Table8[[#This Row],[Document ID]],Table1[],10,FALSE)</f>
        <v>Archived</v>
      </c>
      <c r="H34" s="43" t="s">
        <v>2343</v>
      </c>
      <c r="I34" s="43" t="s">
        <v>2386</v>
      </c>
      <c r="J34" s="44" t="s">
        <v>2387</v>
      </c>
      <c r="K34" s="44" t="s">
        <v>2393</v>
      </c>
      <c r="L34" s="44" t="s">
        <v>2333</v>
      </c>
      <c r="M34" s="43">
        <v>10</v>
      </c>
      <c r="N34" s="113"/>
      <c r="O34" s="113"/>
      <c r="P34" s="113"/>
      <c r="Q34" s="113"/>
      <c r="R34" s="113"/>
      <c r="S34" s="113" t="s">
        <v>1113</v>
      </c>
      <c r="T34" s="113"/>
      <c r="U34" s="113" t="s">
        <v>1113</v>
      </c>
      <c r="V34" s="113"/>
      <c r="W34" s="113"/>
      <c r="X34" s="113"/>
      <c r="Y34" s="113"/>
      <c r="Z34" s="113"/>
      <c r="AA34" s="113"/>
      <c r="AB34" s="113"/>
      <c r="AC34" s="113"/>
      <c r="AD34" s="113"/>
      <c r="AE34" s="113"/>
      <c r="AF34" s="113"/>
      <c r="AG34" s="113"/>
      <c r="AH34" s="113"/>
      <c r="AI34" s="113"/>
      <c r="AJ34" s="113"/>
      <c r="AK34" s="113" t="s">
        <v>1113</v>
      </c>
      <c r="AL34" s="113"/>
      <c r="AM34" s="113"/>
      <c r="AN34" s="113"/>
      <c r="AO34" s="44" t="s">
        <v>2334</v>
      </c>
      <c r="AP34" s="43"/>
      <c r="AQ34" s="236" t="str">
        <f>VLOOKUP(Table8[[#This Row],[Instrument]],Def_Targets!$D$73:$E$159,2,FALSE)</f>
        <v>A_Procurement</v>
      </c>
      <c r="AR34" s="233" t="str">
        <f>VLOOKUP(Table8[[#This Row],[Country Code]],Table29[],3,FALSE)</f>
        <v>Non-Annex I</v>
      </c>
      <c r="AS34" s="233" t="str">
        <f>VLOOKUP(Table8[[#This Row],[Country Code]],Table29[],4,FALSE)</f>
        <v>Europe</v>
      </c>
      <c r="AT34" s="233" t="str">
        <f>VLOOKUP(Table8[[#This Row],[Country Code]],Table29[],5,FALSE)</f>
        <v>High-income</v>
      </c>
      <c r="AU34" s="233" t="str">
        <f>VLOOKUP(Table8[[#This Row],[Country Code]],Table29[],6,FALSE)</f>
        <v>no</v>
      </c>
      <c r="AV34" s="233" t="str">
        <f>VLOOKUP(Table8[[#This Row],[Country Code]],Table29[],7,FALSE)</f>
        <v>no</v>
      </c>
      <c r="AW34" s="233" t="str">
        <f>VLOOKUP(Table8[[#This Row],[Country Code]],Table29[],8,FALSE)</f>
        <v>non-OECD</v>
      </c>
      <c r="AX34" s="233" t="str">
        <f>VLOOKUP(Table8[[#This Row],[Country Code]],Table29[],9,FALSE)</f>
        <v>no</v>
      </c>
      <c r="AY34" s="233" t="str">
        <f>VLOOKUP(Table8[[#This Row],[Country Code]],Table29[],10,FALSE)</f>
        <v>no</v>
      </c>
      <c r="AZ34" s="235">
        <f>VLOOKUP(Table8[[#This Row],[Country Code]],Table29[],23,FALSE)</f>
        <v>0</v>
      </c>
      <c r="BA34" s="235">
        <f>VLOOKUP(Table8[[#This Row],[Country Code]],Table29[],24,FALSE)</f>
        <v>0</v>
      </c>
      <c r="BB34" s="320"/>
      <c r="BC34" s="320"/>
    </row>
    <row r="35" spans="1:55" ht="30" hidden="1" x14ac:dyDescent="0.25">
      <c r="A35" s="373">
        <v>32408</v>
      </c>
      <c r="B35" s="233" t="str">
        <f>VLOOKUP(Table8[[#This Row],[Document ID]],Table1[],2,FALSE)</f>
        <v>AND</v>
      </c>
      <c r="C35" s="233" t="str">
        <f>VLOOKUP(Table8[[#This Row],[Document ID]],Table1[],3,FALSE)</f>
        <v>Andorra</v>
      </c>
      <c r="D35" s="243" t="str">
        <f>VLOOKUP(Table8[[#This Row],[Document ID]],Table1[],5,FALSE)</f>
        <v>NDC</v>
      </c>
      <c r="E35" s="233" t="str">
        <f>VLOOKUP(Table8[[#This Row],[Document ID]],Table1[],7,FALSE)</f>
        <v>First NDC updated</v>
      </c>
      <c r="F35" s="233" t="str">
        <f>VLOOKUP(Table8[[#This Row],[Document ID]],Table1[],8,FALSE)</f>
        <v>NDC 1.2</v>
      </c>
      <c r="G35" s="233" t="str">
        <f>VLOOKUP(Table8[[#This Row],[Document ID]],Table1[],10,FALSE)</f>
        <v>Archived</v>
      </c>
      <c r="H35" s="43" t="s">
        <v>2343</v>
      </c>
      <c r="I35" s="43" t="s">
        <v>2377</v>
      </c>
      <c r="J35" s="44" t="s">
        <v>2394</v>
      </c>
      <c r="K35" s="44" t="s">
        <v>2395</v>
      </c>
      <c r="L35" s="44" t="s">
        <v>2396</v>
      </c>
      <c r="M35" s="43">
        <v>23</v>
      </c>
      <c r="N35" s="113" t="s">
        <v>1113</v>
      </c>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t="s">
        <v>1113</v>
      </c>
      <c r="AL35" s="113"/>
      <c r="AM35" s="113"/>
      <c r="AN35" s="113"/>
      <c r="AO35" s="44" t="s">
        <v>2334</v>
      </c>
      <c r="AP35" s="43"/>
      <c r="AQ35" s="236" t="str">
        <f>VLOOKUP(Table8[[#This Row],[Instrument]],Def_Targets!$D$73:$E$159,2,FALSE)</f>
        <v>A_TDM</v>
      </c>
      <c r="AR35" s="233" t="str">
        <f>VLOOKUP(Table8[[#This Row],[Country Code]],Table29[],3,FALSE)</f>
        <v>Non-Annex I</v>
      </c>
      <c r="AS35" s="233" t="str">
        <f>VLOOKUP(Table8[[#This Row],[Country Code]],Table29[],4,FALSE)</f>
        <v>Europe</v>
      </c>
      <c r="AT35" s="233" t="str">
        <f>VLOOKUP(Table8[[#This Row],[Country Code]],Table29[],5,FALSE)</f>
        <v>High-income</v>
      </c>
      <c r="AU35" s="233" t="str">
        <f>VLOOKUP(Table8[[#This Row],[Country Code]],Table29[],6,FALSE)</f>
        <v>no</v>
      </c>
      <c r="AV35" s="233" t="str">
        <f>VLOOKUP(Table8[[#This Row],[Country Code]],Table29[],7,FALSE)</f>
        <v>no</v>
      </c>
      <c r="AW35" s="233" t="str">
        <f>VLOOKUP(Table8[[#This Row],[Country Code]],Table29[],8,FALSE)</f>
        <v>non-OECD</v>
      </c>
      <c r="AX35" s="233" t="str">
        <f>VLOOKUP(Table8[[#This Row],[Country Code]],Table29[],9,FALSE)</f>
        <v>no</v>
      </c>
      <c r="AY35" s="233" t="str">
        <f>VLOOKUP(Table8[[#This Row],[Country Code]],Table29[],10,FALSE)</f>
        <v>no</v>
      </c>
      <c r="AZ35" s="235">
        <f>VLOOKUP(Table8[[#This Row],[Country Code]],Table29[],23,FALSE)</f>
        <v>0</v>
      </c>
      <c r="BA35" s="235">
        <f>VLOOKUP(Table8[[#This Row],[Country Code]],Table29[],24,FALSE)</f>
        <v>0</v>
      </c>
      <c r="BB35" s="320"/>
      <c r="BC35" s="320"/>
    </row>
    <row r="36" spans="1:55" ht="30" hidden="1" x14ac:dyDescent="0.25">
      <c r="A36" s="373">
        <v>32408</v>
      </c>
      <c r="B36" s="233" t="str">
        <f>VLOOKUP(Table8[[#This Row],[Document ID]],Table1[],2,FALSE)</f>
        <v>AND</v>
      </c>
      <c r="C36" s="233" t="str">
        <f>VLOOKUP(Table8[[#This Row],[Document ID]],Table1[],3,FALSE)</f>
        <v>Andorra</v>
      </c>
      <c r="D36" s="243" t="str">
        <f>VLOOKUP(Table8[[#This Row],[Document ID]],Table1[],5,FALSE)</f>
        <v>NDC</v>
      </c>
      <c r="E36" s="233" t="str">
        <f>VLOOKUP(Table8[[#This Row],[Document ID]],Table1[],7,FALSE)</f>
        <v>First NDC updated</v>
      </c>
      <c r="F36" s="233" t="str">
        <f>VLOOKUP(Table8[[#This Row],[Document ID]],Table1[],8,FALSE)</f>
        <v>NDC 1.2</v>
      </c>
      <c r="G36" s="233" t="str">
        <f>VLOOKUP(Table8[[#This Row],[Document ID]],Table1[],10,FALSE)</f>
        <v>Archived</v>
      </c>
      <c r="H36" s="43" t="s">
        <v>2343</v>
      </c>
      <c r="I36" s="43" t="s">
        <v>2386</v>
      </c>
      <c r="J36" s="44" t="s">
        <v>2397</v>
      </c>
      <c r="K36" s="44" t="s">
        <v>2398</v>
      </c>
      <c r="L36" s="44" t="s">
        <v>2347</v>
      </c>
      <c r="M36" s="43">
        <v>30</v>
      </c>
      <c r="N36" s="113" t="s">
        <v>1113</v>
      </c>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t="s">
        <v>1113</v>
      </c>
      <c r="AL36" s="113"/>
      <c r="AM36" s="113"/>
      <c r="AN36" s="113"/>
      <c r="AO36" s="44" t="s">
        <v>2334</v>
      </c>
      <c r="AP36" s="43"/>
      <c r="AQ36" s="236" t="str">
        <f>VLOOKUP(Table8[[#This Row],[Instrument]],Def_Targets!$D$73:$E$159,2,FALSE)</f>
        <v>A_Finance</v>
      </c>
      <c r="AR36" s="233" t="str">
        <f>VLOOKUP(Table8[[#This Row],[Country Code]],Table29[],3,FALSE)</f>
        <v>Non-Annex I</v>
      </c>
      <c r="AS36" s="233" t="str">
        <f>VLOOKUP(Table8[[#This Row],[Country Code]],Table29[],4,FALSE)</f>
        <v>Europe</v>
      </c>
      <c r="AT36" s="233" t="str">
        <f>VLOOKUP(Table8[[#This Row],[Country Code]],Table29[],5,FALSE)</f>
        <v>High-income</v>
      </c>
      <c r="AU36" s="233" t="str">
        <f>VLOOKUP(Table8[[#This Row],[Country Code]],Table29[],6,FALSE)</f>
        <v>no</v>
      </c>
      <c r="AV36" s="233" t="str">
        <f>VLOOKUP(Table8[[#This Row],[Country Code]],Table29[],7,FALSE)</f>
        <v>no</v>
      </c>
      <c r="AW36" s="233" t="str">
        <f>VLOOKUP(Table8[[#This Row],[Country Code]],Table29[],8,FALSE)</f>
        <v>non-OECD</v>
      </c>
      <c r="AX36" s="233" t="str">
        <f>VLOOKUP(Table8[[#This Row],[Country Code]],Table29[],9,FALSE)</f>
        <v>no</v>
      </c>
      <c r="AY36" s="233" t="str">
        <f>VLOOKUP(Table8[[#This Row],[Country Code]],Table29[],10,FALSE)</f>
        <v>no</v>
      </c>
      <c r="AZ36" s="235">
        <f>VLOOKUP(Table8[[#This Row],[Country Code]],Table29[],23,FALSE)</f>
        <v>0</v>
      </c>
      <c r="BA36" s="235">
        <f>VLOOKUP(Table8[[#This Row],[Country Code]],Table29[],24,FALSE)</f>
        <v>0</v>
      </c>
      <c r="BB36" s="320"/>
      <c r="BC36" s="320"/>
    </row>
    <row r="37" spans="1:55" ht="60" hidden="1" x14ac:dyDescent="0.25">
      <c r="A37" s="373">
        <v>32408</v>
      </c>
      <c r="B37" s="233" t="str">
        <f>VLOOKUP(Table8[[#This Row],[Document ID]],Table1[],2,FALSE)</f>
        <v>AND</v>
      </c>
      <c r="C37" s="233" t="str">
        <f>VLOOKUP(Table8[[#This Row],[Document ID]],Table1[],3,FALSE)</f>
        <v>Andorra</v>
      </c>
      <c r="D37" s="243" t="str">
        <f>VLOOKUP(Table8[[#This Row],[Document ID]],Table1[],5,FALSE)</f>
        <v>NDC</v>
      </c>
      <c r="E37" s="233" t="str">
        <f>VLOOKUP(Table8[[#This Row],[Document ID]],Table1[],7,FALSE)</f>
        <v>First NDC updated</v>
      </c>
      <c r="F37" s="233" t="str">
        <f>VLOOKUP(Table8[[#This Row],[Document ID]],Table1[],8,FALSE)</f>
        <v>NDC 1.2</v>
      </c>
      <c r="G37" s="233" t="str">
        <f>VLOOKUP(Table8[[#This Row],[Document ID]],Table1[],10,FALSE)</f>
        <v>Archived</v>
      </c>
      <c r="H37" s="43" t="s">
        <v>2343</v>
      </c>
      <c r="I37" s="43" t="s">
        <v>2344</v>
      </c>
      <c r="J37" s="44" t="s">
        <v>2345</v>
      </c>
      <c r="K37" s="44" t="s">
        <v>2399</v>
      </c>
      <c r="L37" s="44" t="s">
        <v>2347</v>
      </c>
      <c r="M37" s="43">
        <v>30</v>
      </c>
      <c r="N37" s="113" t="s">
        <v>1113</v>
      </c>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t="s">
        <v>1113</v>
      </c>
      <c r="AL37" s="113"/>
      <c r="AM37" s="113"/>
      <c r="AN37" s="113"/>
      <c r="AO37" s="44" t="s">
        <v>2334</v>
      </c>
      <c r="AP37" s="43"/>
      <c r="AQ37" s="236" t="str">
        <f>VLOOKUP(Table8[[#This Row],[Instrument]],Def_Targets!$D$73:$E$159,2,FALSE)</f>
        <v>S_PublicTransport</v>
      </c>
      <c r="AR37" s="233" t="str">
        <f>VLOOKUP(Table8[[#This Row],[Country Code]],Table29[],3,FALSE)</f>
        <v>Non-Annex I</v>
      </c>
      <c r="AS37" s="233" t="str">
        <f>VLOOKUP(Table8[[#This Row],[Country Code]],Table29[],4,FALSE)</f>
        <v>Europe</v>
      </c>
      <c r="AT37" s="233" t="str">
        <f>VLOOKUP(Table8[[#This Row],[Country Code]],Table29[],5,FALSE)</f>
        <v>High-income</v>
      </c>
      <c r="AU37" s="233" t="str">
        <f>VLOOKUP(Table8[[#This Row],[Country Code]],Table29[],6,FALSE)</f>
        <v>no</v>
      </c>
      <c r="AV37" s="233" t="str">
        <f>VLOOKUP(Table8[[#This Row],[Country Code]],Table29[],7,FALSE)</f>
        <v>no</v>
      </c>
      <c r="AW37" s="233" t="str">
        <f>VLOOKUP(Table8[[#This Row],[Country Code]],Table29[],8,FALSE)</f>
        <v>non-OECD</v>
      </c>
      <c r="AX37" s="233" t="str">
        <f>VLOOKUP(Table8[[#This Row],[Country Code]],Table29[],9,FALSE)</f>
        <v>no</v>
      </c>
      <c r="AY37" s="233" t="str">
        <f>VLOOKUP(Table8[[#This Row],[Country Code]],Table29[],10,FALSE)</f>
        <v>no</v>
      </c>
      <c r="AZ37" s="235">
        <f>VLOOKUP(Table8[[#This Row],[Country Code]],Table29[],23,FALSE)</f>
        <v>0</v>
      </c>
      <c r="BA37" s="235">
        <f>VLOOKUP(Table8[[#This Row],[Country Code]],Table29[],24,FALSE)</f>
        <v>0</v>
      </c>
      <c r="BB37" s="320"/>
      <c r="BC37" s="320"/>
    </row>
    <row r="38" spans="1:55" ht="30" hidden="1" x14ac:dyDescent="0.25">
      <c r="A38" s="373">
        <v>32408</v>
      </c>
      <c r="B38" s="233" t="str">
        <f>VLOOKUP(Table8[[#This Row],[Document ID]],Table1[],2,FALSE)</f>
        <v>AND</v>
      </c>
      <c r="C38" s="233" t="str">
        <f>VLOOKUP(Table8[[#This Row],[Document ID]],Table1[],3,FALSE)</f>
        <v>Andorra</v>
      </c>
      <c r="D38" s="243" t="str">
        <f>VLOOKUP(Table8[[#This Row],[Document ID]],Table1[],5,FALSE)</f>
        <v>NDC</v>
      </c>
      <c r="E38" s="233" t="str">
        <f>VLOOKUP(Table8[[#This Row],[Document ID]],Table1[],7,FALSE)</f>
        <v>First NDC updated</v>
      </c>
      <c r="F38" s="233" t="str">
        <f>VLOOKUP(Table8[[#This Row],[Document ID]],Table1[],8,FALSE)</f>
        <v>NDC 1.2</v>
      </c>
      <c r="G38" s="233" t="str">
        <f>VLOOKUP(Table8[[#This Row],[Document ID]],Table1[],10,FALSE)</f>
        <v>Archived</v>
      </c>
      <c r="H38" s="43" t="s">
        <v>2343</v>
      </c>
      <c r="I38" s="43" t="s">
        <v>2386</v>
      </c>
      <c r="J38" s="44" t="s">
        <v>2397</v>
      </c>
      <c r="K38" s="44" t="s">
        <v>2400</v>
      </c>
      <c r="L38" s="44" t="s">
        <v>2347</v>
      </c>
      <c r="M38" s="43">
        <v>30</v>
      </c>
      <c r="N38" s="113" t="s">
        <v>1113</v>
      </c>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t="s">
        <v>1113</v>
      </c>
      <c r="AL38" s="113"/>
      <c r="AM38" s="113"/>
      <c r="AN38" s="113"/>
      <c r="AO38" s="44" t="s">
        <v>2334</v>
      </c>
      <c r="AP38" s="43"/>
      <c r="AQ38" s="236" t="str">
        <f>VLOOKUP(Table8[[#This Row],[Instrument]],Def_Targets!$D$73:$E$159,2,FALSE)</f>
        <v>A_Finance</v>
      </c>
      <c r="AR38" s="233" t="str">
        <f>VLOOKUP(Table8[[#This Row],[Country Code]],Table29[],3,FALSE)</f>
        <v>Non-Annex I</v>
      </c>
      <c r="AS38" s="233" t="str">
        <f>VLOOKUP(Table8[[#This Row],[Country Code]],Table29[],4,FALSE)</f>
        <v>Europe</v>
      </c>
      <c r="AT38" s="233" t="str">
        <f>VLOOKUP(Table8[[#This Row],[Country Code]],Table29[],5,FALSE)</f>
        <v>High-income</v>
      </c>
      <c r="AU38" s="233" t="str">
        <f>VLOOKUP(Table8[[#This Row],[Country Code]],Table29[],6,FALSE)</f>
        <v>no</v>
      </c>
      <c r="AV38" s="233" t="str">
        <f>VLOOKUP(Table8[[#This Row],[Country Code]],Table29[],7,FALSE)</f>
        <v>no</v>
      </c>
      <c r="AW38" s="233" t="str">
        <f>VLOOKUP(Table8[[#This Row],[Country Code]],Table29[],8,FALSE)</f>
        <v>non-OECD</v>
      </c>
      <c r="AX38" s="233" t="str">
        <f>VLOOKUP(Table8[[#This Row],[Country Code]],Table29[],9,FALSE)</f>
        <v>no</v>
      </c>
      <c r="AY38" s="233" t="str">
        <f>VLOOKUP(Table8[[#This Row],[Country Code]],Table29[],10,FALSE)</f>
        <v>no</v>
      </c>
      <c r="AZ38" s="235">
        <f>VLOOKUP(Table8[[#This Row],[Country Code]],Table29[],23,FALSE)</f>
        <v>0</v>
      </c>
      <c r="BA38" s="235">
        <f>VLOOKUP(Table8[[#This Row],[Country Code]],Table29[],24,FALSE)</f>
        <v>0</v>
      </c>
      <c r="BB38" s="320"/>
      <c r="BC38" s="320"/>
    </row>
    <row r="39" spans="1:55" ht="30" hidden="1" x14ac:dyDescent="0.25">
      <c r="A39" s="373">
        <v>32408</v>
      </c>
      <c r="B39" s="233" t="str">
        <f>VLOOKUP(Table8[[#This Row],[Document ID]],Table1[],2,FALSE)</f>
        <v>AND</v>
      </c>
      <c r="C39" s="233" t="str">
        <f>VLOOKUP(Table8[[#This Row],[Document ID]],Table1[],3,FALSE)</f>
        <v>Andorra</v>
      </c>
      <c r="D39" s="243" t="str">
        <f>VLOOKUP(Table8[[#This Row],[Document ID]],Table1[],5,FALSE)</f>
        <v>NDC</v>
      </c>
      <c r="E39" s="233" t="str">
        <f>VLOOKUP(Table8[[#This Row],[Document ID]],Table1[],7,FALSE)</f>
        <v>First NDC updated</v>
      </c>
      <c r="F39" s="233" t="str">
        <f>VLOOKUP(Table8[[#This Row],[Document ID]],Table1[],8,FALSE)</f>
        <v>NDC 1.2</v>
      </c>
      <c r="G39" s="233" t="str">
        <f>VLOOKUP(Table8[[#This Row],[Document ID]],Table1[],10,FALSE)</f>
        <v>Archived</v>
      </c>
      <c r="H39" s="43" t="s">
        <v>2358</v>
      </c>
      <c r="I39" s="43" t="s">
        <v>2359</v>
      </c>
      <c r="J39" s="44" t="s">
        <v>2360</v>
      </c>
      <c r="K39" s="44" t="s">
        <v>2401</v>
      </c>
      <c r="L39" s="44" t="s">
        <v>2333</v>
      </c>
      <c r="M39" s="43">
        <v>33</v>
      </c>
      <c r="N39" s="113"/>
      <c r="O39" s="113"/>
      <c r="P39" s="113"/>
      <c r="Q39" s="113"/>
      <c r="R39" s="113"/>
      <c r="S39" s="113" t="s">
        <v>1113</v>
      </c>
      <c r="T39" s="113"/>
      <c r="U39" s="113"/>
      <c r="V39" s="113"/>
      <c r="W39" s="113"/>
      <c r="X39" s="113"/>
      <c r="Y39" s="113"/>
      <c r="Z39" s="113"/>
      <c r="AA39" s="113"/>
      <c r="AB39" s="113"/>
      <c r="AC39" s="113"/>
      <c r="AD39" s="113"/>
      <c r="AE39" s="113"/>
      <c r="AF39" s="113"/>
      <c r="AG39" s="113"/>
      <c r="AH39" s="113"/>
      <c r="AI39" s="113"/>
      <c r="AJ39" s="113"/>
      <c r="AK39" s="113" t="s">
        <v>1113</v>
      </c>
      <c r="AL39" s="113"/>
      <c r="AM39" s="113"/>
      <c r="AN39" s="113"/>
      <c r="AO39" s="44" t="s">
        <v>2334</v>
      </c>
      <c r="AP39" s="43"/>
      <c r="AQ39" s="236" t="str">
        <f>VLOOKUP(Table8[[#This Row],[Instrument]],Def_Targets!$D$73:$E$159,2,FALSE)</f>
        <v>I_Emobility</v>
      </c>
      <c r="AR39" s="233" t="str">
        <f>VLOOKUP(Table8[[#This Row],[Country Code]],Table29[],3,FALSE)</f>
        <v>Non-Annex I</v>
      </c>
      <c r="AS39" s="233" t="str">
        <f>VLOOKUP(Table8[[#This Row],[Country Code]],Table29[],4,FALSE)</f>
        <v>Europe</v>
      </c>
      <c r="AT39" s="233" t="str">
        <f>VLOOKUP(Table8[[#This Row],[Country Code]],Table29[],5,FALSE)</f>
        <v>High-income</v>
      </c>
      <c r="AU39" s="233" t="str">
        <f>VLOOKUP(Table8[[#This Row],[Country Code]],Table29[],6,FALSE)</f>
        <v>no</v>
      </c>
      <c r="AV39" s="233" t="str">
        <f>VLOOKUP(Table8[[#This Row],[Country Code]],Table29[],7,FALSE)</f>
        <v>no</v>
      </c>
      <c r="AW39" s="233" t="str">
        <f>VLOOKUP(Table8[[#This Row],[Country Code]],Table29[],8,FALSE)</f>
        <v>non-OECD</v>
      </c>
      <c r="AX39" s="233" t="str">
        <f>VLOOKUP(Table8[[#This Row],[Country Code]],Table29[],9,FALSE)</f>
        <v>no</v>
      </c>
      <c r="AY39" s="233" t="str">
        <f>VLOOKUP(Table8[[#This Row],[Country Code]],Table29[],10,FALSE)</f>
        <v>no</v>
      </c>
      <c r="AZ39" s="235">
        <f>VLOOKUP(Table8[[#This Row],[Country Code]],Table29[],23,FALSE)</f>
        <v>0</v>
      </c>
      <c r="BA39" s="235">
        <f>VLOOKUP(Table8[[#This Row],[Country Code]],Table29[],24,FALSE)</f>
        <v>0</v>
      </c>
      <c r="BB39" s="320"/>
      <c r="BC39" s="320"/>
    </row>
    <row r="40" spans="1:55" ht="45" hidden="1" x14ac:dyDescent="0.25">
      <c r="A40" s="373">
        <v>32408</v>
      </c>
      <c r="B40" s="233" t="str">
        <f>VLOOKUP(Table8[[#This Row],[Document ID]],Table1[],2,FALSE)</f>
        <v>AND</v>
      </c>
      <c r="C40" s="233" t="str">
        <f>VLOOKUP(Table8[[#This Row],[Document ID]],Table1[],3,FALSE)</f>
        <v>Andorra</v>
      </c>
      <c r="D40" s="243" t="str">
        <f>VLOOKUP(Table8[[#This Row],[Document ID]],Table1[],5,FALSE)</f>
        <v>NDC</v>
      </c>
      <c r="E40" s="233" t="str">
        <f>VLOOKUP(Table8[[#This Row],[Document ID]],Table1[],7,FALSE)</f>
        <v>First NDC updated</v>
      </c>
      <c r="F40" s="233" t="str">
        <f>VLOOKUP(Table8[[#This Row],[Document ID]],Table1[],8,FALSE)</f>
        <v>NDC 1.2</v>
      </c>
      <c r="G40" s="233" t="str">
        <f>VLOOKUP(Table8[[#This Row],[Document ID]],Table1[],10,FALSE)</f>
        <v>Archived</v>
      </c>
      <c r="H40" s="43" t="s">
        <v>2358</v>
      </c>
      <c r="I40" s="43" t="s">
        <v>2359</v>
      </c>
      <c r="J40" s="44" t="s">
        <v>2360</v>
      </c>
      <c r="K40" s="44" t="s">
        <v>2402</v>
      </c>
      <c r="L40" s="44" t="s">
        <v>2333</v>
      </c>
      <c r="M40" s="43">
        <v>33</v>
      </c>
      <c r="N40" s="113"/>
      <c r="O40" s="113"/>
      <c r="P40" s="113"/>
      <c r="Q40" s="113"/>
      <c r="R40" s="113"/>
      <c r="S40" s="113" t="s">
        <v>1113</v>
      </c>
      <c r="T40" s="113"/>
      <c r="U40" s="113"/>
      <c r="V40" s="113"/>
      <c r="W40" s="113"/>
      <c r="X40" s="113"/>
      <c r="Y40" s="113"/>
      <c r="Z40" s="113"/>
      <c r="AA40" s="113"/>
      <c r="AB40" s="113"/>
      <c r="AC40" s="113"/>
      <c r="AD40" s="113"/>
      <c r="AE40" s="113"/>
      <c r="AF40" s="113"/>
      <c r="AG40" s="113"/>
      <c r="AH40" s="113"/>
      <c r="AI40" s="113"/>
      <c r="AJ40" s="113"/>
      <c r="AK40" s="113" t="s">
        <v>1113</v>
      </c>
      <c r="AL40" s="113"/>
      <c r="AM40" s="113"/>
      <c r="AN40" s="113"/>
      <c r="AO40" s="44" t="s">
        <v>2334</v>
      </c>
      <c r="AP40" s="43"/>
      <c r="AQ40" s="236" t="str">
        <f>VLOOKUP(Table8[[#This Row],[Instrument]],Def_Targets!$D$73:$E$159,2,FALSE)</f>
        <v>I_Emobility</v>
      </c>
      <c r="AR40" s="233" t="str">
        <f>VLOOKUP(Table8[[#This Row],[Country Code]],Table29[],3,FALSE)</f>
        <v>Non-Annex I</v>
      </c>
      <c r="AS40" s="233" t="str">
        <f>VLOOKUP(Table8[[#This Row],[Country Code]],Table29[],4,FALSE)</f>
        <v>Europe</v>
      </c>
      <c r="AT40" s="233" t="str">
        <f>VLOOKUP(Table8[[#This Row],[Country Code]],Table29[],5,FALSE)</f>
        <v>High-income</v>
      </c>
      <c r="AU40" s="233" t="str">
        <f>VLOOKUP(Table8[[#This Row],[Country Code]],Table29[],6,FALSE)</f>
        <v>no</v>
      </c>
      <c r="AV40" s="233" t="str">
        <f>VLOOKUP(Table8[[#This Row],[Country Code]],Table29[],7,FALSE)</f>
        <v>no</v>
      </c>
      <c r="AW40" s="233" t="str">
        <f>VLOOKUP(Table8[[#This Row],[Country Code]],Table29[],8,FALSE)</f>
        <v>non-OECD</v>
      </c>
      <c r="AX40" s="233" t="str">
        <f>VLOOKUP(Table8[[#This Row],[Country Code]],Table29[],9,FALSE)</f>
        <v>no</v>
      </c>
      <c r="AY40" s="233" t="str">
        <f>VLOOKUP(Table8[[#This Row],[Country Code]],Table29[],10,FALSE)</f>
        <v>no</v>
      </c>
      <c r="AZ40" s="235">
        <f>VLOOKUP(Table8[[#This Row],[Country Code]],Table29[],23,FALSE)</f>
        <v>0</v>
      </c>
      <c r="BA40" s="235">
        <f>VLOOKUP(Table8[[#This Row],[Country Code]],Table29[],24,FALSE)</f>
        <v>0</v>
      </c>
      <c r="BB40" s="320"/>
      <c r="BC40" s="320"/>
    </row>
    <row r="41" spans="1:55" ht="30" hidden="1" x14ac:dyDescent="0.25">
      <c r="A41" s="373">
        <v>32408</v>
      </c>
      <c r="B41" s="233" t="str">
        <f>VLOOKUP(Table8[[#This Row],[Document ID]],Table1[],2,FALSE)</f>
        <v>AND</v>
      </c>
      <c r="C41" s="233" t="str">
        <f>VLOOKUP(Table8[[#This Row],[Document ID]],Table1[],3,FALSE)</f>
        <v>Andorra</v>
      </c>
      <c r="D41" s="243" t="str">
        <f>VLOOKUP(Table8[[#This Row],[Document ID]],Table1[],5,FALSE)</f>
        <v>NDC</v>
      </c>
      <c r="E41" s="233" t="str">
        <f>VLOOKUP(Table8[[#This Row],[Document ID]],Table1[],7,FALSE)</f>
        <v>First NDC updated</v>
      </c>
      <c r="F41" s="233" t="str">
        <f>VLOOKUP(Table8[[#This Row],[Document ID]],Table1[],8,FALSE)</f>
        <v>NDC 1.2</v>
      </c>
      <c r="G41" s="233" t="str">
        <f>VLOOKUP(Table8[[#This Row],[Document ID]],Table1[],10,FALSE)</f>
        <v>Archived</v>
      </c>
      <c r="H41" s="43" t="s">
        <v>2343</v>
      </c>
      <c r="I41" s="43" t="s">
        <v>2377</v>
      </c>
      <c r="J41" s="44" t="s">
        <v>2394</v>
      </c>
      <c r="K41" s="44" t="s">
        <v>2403</v>
      </c>
      <c r="L41" s="44" t="s">
        <v>2396</v>
      </c>
      <c r="M41" s="43">
        <v>33</v>
      </c>
      <c r="N41" s="113"/>
      <c r="O41" s="113"/>
      <c r="P41" s="113"/>
      <c r="Q41" s="113"/>
      <c r="R41" s="113"/>
      <c r="S41" s="113" t="s">
        <v>1113</v>
      </c>
      <c r="T41" s="113"/>
      <c r="U41" s="113"/>
      <c r="V41" s="113"/>
      <c r="W41" s="113"/>
      <c r="X41" s="113"/>
      <c r="Y41" s="113"/>
      <c r="Z41" s="113"/>
      <c r="AA41" s="113"/>
      <c r="AB41" s="113"/>
      <c r="AC41" s="113"/>
      <c r="AD41" s="113"/>
      <c r="AE41" s="113"/>
      <c r="AF41" s="113"/>
      <c r="AG41" s="113"/>
      <c r="AH41" s="113"/>
      <c r="AI41" s="113"/>
      <c r="AJ41" s="113"/>
      <c r="AK41" s="113" t="s">
        <v>1113</v>
      </c>
      <c r="AL41" s="113"/>
      <c r="AM41" s="113"/>
      <c r="AN41" s="113"/>
      <c r="AO41" s="44" t="s">
        <v>2334</v>
      </c>
      <c r="AP41" s="43"/>
      <c r="AQ41" s="236" t="str">
        <f>VLOOKUP(Table8[[#This Row],[Instrument]],Def_Targets!$D$73:$E$159,2,FALSE)</f>
        <v>A_TDM</v>
      </c>
      <c r="AR41" s="233" t="str">
        <f>VLOOKUP(Table8[[#This Row],[Country Code]],Table29[],3,FALSE)</f>
        <v>Non-Annex I</v>
      </c>
      <c r="AS41" s="233" t="str">
        <f>VLOOKUP(Table8[[#This Row],[Country Code]],Table29[],4,FALSE)</f>
        <v>Europe</v>
      </c>
      <c r="AT41" s="233" t="str">
        <f>VLOOKUP(Table8[[#This Row],[Country Code]],Table29[],5,FALSE)</f>
        <v>High-income</v>
      </c>
      <c r="AU41" s="233" t="str">
        <f>VLOOKUP(Table8[[#This Row],[Country Code]],Table29[],6,FALSE)</f>
        <v>no</v>
      </c>
      <c r="AV41" s="233" t="str">
        <f>VLOOKUP(Table8[[#This Row],[Country Code]],Table29[],7,FALSE)</f>
        <v>no</v>
      </c>
      <c r="AW41" s="233" t="str">
        <f>VLOOKUP(Table8[[#This Row],[Country Code]],Table29[],8,FALSE)</f>
        <v>non-OECD</v>
      </c>
      <c r="AX41" s="233" t="str">
        <f>VLOOKUP(Table8[[#This Row],[Country Code]],Table29[],9,FALSE)</f>
        <v>no</v>
      </c>
      <c r="AY41" s="233" t="str">
        <f>VLOOKUP(Table8[[#This Row],[Country Code]],Table29[],10,FALSE)</f>
        <v>no</v>
      </c>
      <c r="AZ41" s="235">
        <f>VLOOKUP(Table8[[#This Row],[Country Code]],Table29[],23,FALSE)</f>
        <v>0</v>
      </c>
      <c r="BA41" s="235">
        <f>VLOOKUP(Table8[[#This Row],[Country Code]],Table29[],24,FALSE)</f>
        <v>0</v>
      </c>
      <c r="BB41" s="320"/>
      <c r="BC41" s="320"/>
    </row>
    <row r="42" spans="1:55" ht="30" hidden="1" x14ac:dyDescent="0.25">
      <c r="A42" s="373">
        <v>32408</v>
      </c>
      <c r="B42" s="233" t="str">
        <f>VLOOKUP(Table8[[#This Row],[Document ID]],Table1[],2,FALSE)</f>
        <v>AND</v>
      </c>
      <c r="C42" s="233" t="str">
        <f>VLOOKUP(Table8[[#This Row],[Document ID]],Table1[],3,FALSE)</f>
        <v>Andorra</v>
      </c>
      <c r="D42" s="243" t="str">
        <f>VLOOKUP(Table8[[#This Row],[Document ID]],Table1[],5,FALSE)</f>
        <v>NDC</v>
      </c>
      <c r="E42" s="233" t="str">
        <f>VLOOKUP(Table8[[#This Row],[Document ID]],Table1[],7,FALSE)</f>
        <v>First NDC updated</v>
      </c>
      <c r="F42" s="233" t="str">
        <f>VLOOKUP(Table8[[#This Row],[Document ID]],Table1[],8,FALSE)</f>
        <v>NDC 1.2</v>
      </c>
      <c r="G42" s="233" t="str">
        <f>VLOOKUP(Table8[[#This Row],[Document ID]],Table1[],10,FALSE)</f>
        <v>Archived</v>
      </c>
      <c r="H42" s="43" t="s">
        <v>2343</v>
      </c>
      <c r="I42" s="43" t="s">
        <v>2344</v>
      </c>
      <c r="J42" s="44" t="s">
        <v>2345</v>
      </c>
      <c r="K42" s="44" t="s">
        <v>2404</v>
      </c>
      <c r="L42" s="44" t="s">
        <v>2347</v>
      </c>
      <c r="M42" s="43">
        <v>33</v>
      </c>
      <c r="N42" s="113" t="s">
        <v>1113</v>
      </c>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t="s">
        <v>1113</v>
      </c>
      <c r="AL42" s="113"/>
      <c r="AM42" s="113"/>
      <c r="AN42" s="113"/>
      <c r="AO42" s="44" t="s">
        <v>2334</v>
      </c>
      <c r="AP42" s="43"/>
      <c r="AQ42" s="236" t="str">
        <f>VLOOKUP(Table8[[#This Row],[Instrument]],Def_Targets!$D$73:$E$159,2,FALSE)</f>
        <v>S_PublicTransport</v>
      </c>
      <c r="AR42" s="233" t="str">
        <f>VLOOKUP(Table8[[#This Row],[Country Code]],Table29[],3,FALSE)</f>
        <v>Non-Annex I</v>
      </c>
      <c r="AS42" s="233" t="str">
        <f>VLOOKUP(Table8[[#This Row],[Country Code]],Table29[],4,FALSE)</f>
        <v>Europe</v>
      </c>
      <c r="AT42" s="233" t="str">
        <f>VLOOKUP(Table8[[#This Row],[Country Code]],Table29[],5,FALSE)</f>
        <v>High-income</v>
      </c>
      <c r="AU42" s="233" t="str">
        <f>VLOOKUP(Table8[[#This Row],[Country Code]],Table29[],6,FALSE)</f>
        <v>no</v>
      </c>
      <c r="AV42" s="233" t="str">
        <f>VLOOKUP(Table8[[#This Row],[Country Code]],Table29[],7,FALSE)</f>
        <v>no</v>
      </c>
      <c r="AW42" s="233" t="str">
        <f>VLOOKUP(Table8[[#This Row],[Country Code]],Table29[],8,FALSE)</f>
        <v>non-OECD</v>
      </c>
      <c r="AX42" s="233" t="str">
        <f>VLOOKUP(Table8[[#This Row],[Country Code]],Table29[],9,FALSE)</f>
        <v>no</v>
      </c>
      <c r="AY42" s="233" t="str">
        <f>VLOOKUP(Table8[[#This Row],[Country Code]],Table29[],10,FALSE)</f>
        <v>no</v>
      </c>
      <c r="AZ42" s="235">
        <f>VLOOKUP(Table8[[#This Row],[Country Code]],Table29[],23,FALSE)</f>
        <v>0</v>
      </c>
      <c r="BA42" s="235">
        <f>VLOOKUP(Table8[[#This Row],[Country Code]],Table29[],24,FALSE)</f>
        <v>0</v>
      </c>
      <c r="BB42" s="320"/>
      <c r="BC42" s="320"/>
    </row>
    <row r="43" spans="1:55" hidden="1" x14ac:dyDescent="0.25">
      <c r="A43" s="360">
        <v>20519</v>
      </c>
      <c r="B43" s="233" t="str">
        <f>VLOOKUP(Table8[[#This Row],[Document ID]],Table1[],2,FALSE)</f>
        <v>AGO</v>
      </c>
      <c r="C43" s="233" t="str">
        <f>VLOOKUP(Table8[[#This Row],[Document ID]],Table1[],3,FALSE)</f>
        <v>Angola</v>
      </c>
      <c r="D43" s="233" t="str">
        <f>VLOOKUP(Table8[[#This Row],[Document ID]],Table1[],5,FALSE)</f>
        <v>NDC</v>
      </c>
      <c r="E43" s="233" t="str">
        <f>VLOOKUP(Table8[[#This Row],[Document ID]],Table1[],7,FALSE)</f>
        <v>First NDC updated</v>
      </c>
      <c r="F43" s="233" t="str">
        <f>VLOOKUP(Table8[[#This Row],[Document ID]],Table1[],8,FALSE)</f>
        <v>NDC 1.1</v>
      </c>
      <c r="G43" s="233" t="str">
        <f>VLOOKUP(Table8[[#This Row],[Document ID]],Table1[],10,FALSE)</f>
        <v>Active</v>
      </c>
      <c r="H43" s="43" t="s">
        <v>2343</v>
      </c>
      <c r="I43" s="43" t="s">
        <v>2344</v>
      </c>
      <c r="J43" s="44" t="s">
        <v>2405</v>
      </c>
      <c r="K43" s="44" t="s">
        <v>2406</v>
      </c>
      <c r="L43" s="44" t="s">
        <v>2347</v>
      </c>
      <c r="M43" s="43">
        <v>48</v>
      </c>
      <c r="N43" s="113"/>
      <c r="O43" s="113"/>
      <c r="P43" s="113"/>
      <c r="Q43" s="113"/>
      <c r="R43" s="113"/>
      <c r="S43" s="113"/>
      <c r="T43" s="113"/>
      <c r="U43" s="113"/>
      <c r="V43" s="113"/>
      <c r="W43" s="113"/>
      <c r="X43" s="113"/>
      <c r="Y43" s="113" t="s">
        <v>1113</v>
      </c>
      <c r="Z43" s="113"/>
      <c r="AA43" s="113"/>
      <c r="AB43" s="113"/>
      <c r="AC43" s="113"/>
      <c r="AD43" s="113"/>
      <c r="AE43" s="113"/>
      <c r="AF43" s="113"/>
      <c r="AG43" s="113"/>
      <c r="AH43" s="113"/>
      <c r="AI43" s="113"/>
      <c r="AJ43" s="113"/>
      <c r="AK43" s="319" t="s">
        <v>1113</v>
      </c>
      <c r="AL43" s="113"/>
      <c r="AM43" s="113"/>
      <c r="AN43" s="113"/>
      <c r="AO43" s="43" t="s">
        <v>2348</v>
      </c>
      <c r="AP43" s="43"/>
      <c r="AQ43" s="236" t="str">
        <f>VLOOKUP(Table8[[#This Row],[Instrument]],Def_Targets!$D$73:$E$159,2,FALSE)</f>
        <v>S_PTIntegration</v>
      </c>
      <c r="AR43" s="233" t="str">
        <f>VLOOKUP(Table8[[#This Row],[Country Code]],Table29[],3,FALSE)</f>
        <v>Non-Annex I</v>
      </c>
      <c r="AS43" s="233" t="str">
        <f>VLOOKUP(Table8[[#This Row],[Country Code]],Table29[],4,FALSE)</f>
        <v>Africa</v>
      </c>
      <c r="AT43" s="233" t="str">
        <f>VLOOKUP(Table8[[#This Row],[Country Code]],Table29[],5,FALSE)</f>
        <v>Middle-income</v>
      </c>
      <c r="AU43" s="233" t="str">
        <f>VLOOKUP(Table8[[#This Row],[Country Code]],Table29[],6,FALSE)</f>
        <v>no</v>
      </c>
      <c r="AV43" s="233" t="str">
        <f>VLOOKUP(Table8[[#This Row],[Country Code]],Table29[],7,FALSE)</f>
        <v>no</v>
      </c>
      <c r="AW43" s="233" t="str">
        <f>VLOOKUP(Table8[[#This Row],[Country Code]],Table29[],8,FALSE)</f>
        <v>non-OECD</v>
      </c>
      <c r="AX43" s="233" t="str">
        <f>VLOOKUP(Table8[[#This Row],[Country Code]],Table29[],9,FALSE)</f>
        <v>no</v>
      </c>
      <c r="AY43" s="233" t="str">
        <f>VLOOKUP(Table8[[#This Row],[Country Code]],Table29[],10,FALSE)</f>
        <v>no</v>
      </c>
      <c r="AZ43" s="235">
        <f>VLOOKUP(Table8[[#This Row],[Country Code]],Table29[],23,FALSE)</f>
        <v>67.700756247715006</v>
      </c>
      <c r="BA43" s="235">
        <f>VLOOKUP(Table8[[#This Row],[Country Code]],Table29[],24,FALSE)</f>
        <v>8.6486128139959888</v>
      </c>
      <c r="BB43" s="320"/>
      <c r="BC43" s="320"/>
    </row>
    <row r="44" spans="1:55" hidden="1" x14ac:dyDescent="0.25">
      <c r="A44" s="373">
        <v>20519</v>
      </c>
      <c r="B44" s="233" t="str">
        <f>VLOOKUP(Table8[[#This Row],[Document ID]],Table1[],2,FALSE)</f>
        <v>AGO</v>
      </c>
      <c r="C44" s="233" t="str">
        <f>VLOOKUP(Table8[[#This Row],[Document ID]],Table1[],3,FALSE)</f>
        <v>Angola</v>
      </c>
      <c r="D44" s="243" t="str">
        <f>VLOOKUP(Table8[[#This Row],[Document ID]],Table1[],5,FALSE)</f>
        <v>NDC</v>
      </c>
      <c r="E44" s="233" t="str">
        <f>VLOOKUP(Table8[[#This Row],[Document ID]],Table1[],7,FALSE)</f>
        <v>First NDC updated</v>
      </c>
      <c r="F44" s="233" t="str">
        <f>VLOOKUP(Table8[[#This Row],[Document ID]],Table1[],8,FALSE)</f>
        <v>NDC 1.1</v>
      </c>
      <c r="G44" s="233" t="str">
        <f>VLOOKUP(Table8[[#This Row],[Document ID]],Table1[],10,FALSE)</f>
        <v>Active</v>
      </c>
      <c r="H44" s="44" t="s">
        <v>2329</v>
      </c>
      <c r="I44" s="44" t="s">
        <v>2330</v>
      </c>
      <c r="J44" s="44" t="s">
        <v>2363</v>
      </c>
      <c r="K44" s="44" t="s">
        <v>2406</v>
      </c>
      <c r="L44" s="44" t="s">
        <v>2333</v>
      </c>
      <c r="M44" s="43">
        <v>48</v>
      </c>
      <c r="N44" s="113"/>
      <c r="O44" s="113"/>
      <c r="P44" s="113"/>
      <c r="Q44" s="113"/>
      <c r="R44" s="113"/>
      <c r="S44" s="113"/>
      <c r="T44" s="113"/>
      <c r="U44" s="113"/>
      <c r="V44" s="113"/>
      <c r="W44" s="113"/>
      <c r="X44" s="113"/>
      <c r="Y44" s="113" t="s">
        <v>1113</v>
      </c>
      <c r="Z44" s="113"/>
      <c r="AA44" s="113"/>
      <c r="AB44" s="113"/>
      <c r="AC44" s="113"/>
      <c r="AD44" s="113"/>
      <c r="AE44" s="113"/>
      <c r="AF44" s="113"/>
      <c r="AG44" s="113"/>
      <c r="AH44" s="113"/>
      <c r="AI44" s="113"/>
      <c r="AJ44" s="113"/>
      <c r="AK44" s="319" t="s">
        <v>1113</v>
      </c>
      <c r="AL44" s="113"/>
      <c r="AM44" s="113"/>
      <c r="AN44" s="113"/>
      <c r="AO44" s="43" t="s">
        <v>2348</v>
      </c>
      <c r="AP44" s="43"/>
      <c r="AQ44" s="236" t="str">
        <f>VLOOKUP(Table8[[#This Row],[Instrument]],Def_Targets!$D$73:$E$159,2,FALSE)</f>
        <v>I_LPGCNGLNG</v>
      </c>
      <c r="AR44" s="233" t="str">
        <f>VLOOKUP(Table8[[#This Row],[Country Code]],Table29[],3,FALSE)</f>
        <v>Non-Annex I</v>
      </c>
      <c r="AS44" s="233" t="str">
        <f>VLOOKUP(Table8[[#This Row],[Country Code]],Table29[],4,FALSE)</f>
        <v>Africa</v>
      </c>
      <c r="AT44" s="233" t="str">
        <f>VLOOKUP(Table8[[#This Row],[Country Code]],Table29[],5,FALSE)</f>
        <v>Middle-income</v>
      </c>
      <c r="AU44" s="233" t="str">
        <f>VLOOKUP(Table8[[#This Row],[Country Code]],Table29[],6,FALSE)</f>
        <v>no</v>
      </c>
      <c r="AV44" s="233" t="str">
        <f>VLOOKUP(Table8[[#This Row],[Country Code]],Table29[],7,FALSE)</f>
        <v>no</v>
      </c>
      <c r="AW44" s="233" t="str">
        <f>VLOOKUP(Table8[[#This Row],[Country Code]],Table29[],8,FALSE)</f>
        <v>non-OECD</v>
      </c>
      <c r="AX44" s="233" t="str">
        <f>VLOOKUP(Table8[[#This Row],[Country Code]],Table29[],9,FALSE)</f>
        <v>no</v>
      </c>
      <c r="AY44" s="233" t="str">
        <f>VLOOKUP(Table8[[#This Row],[Country Code]],Table29[],10,FALSE)</f>
        <v>no</v>
      </c>
      <c r="AZ44" s="235">
        <f>VLOOKUP(Table8[[#This Row],[Country Code]],Table29[],23,FALSE)</f>
        <v>67.700756247715006</v>
      </c>
      <c r="BA44" s="235">
        <f>VLOOKUP(Table8[[#This Row],[Country Code]],Table29[],24,FALSE)</f>
        <v>8.6486128139959888</v>
      </c>
      <c r="BB44" s="320"/>
      <c r="BC44" s="320"/>
    </row>
    <row r="45" spans="1:55" hidden="1" x14ac:dyDescent="0.25">
      <c r="A45" s="373">
        <v>20519</v>
      </c>
      <c r="B45" s="233" t="str">
        <f>VLOOKUP(Table8[[#This Row],[Document ID]],Table1[],2,FALSE)</f>
        <v>AGO</v>
      </c>
      <c r="C45" s="233" t="str">
        <f>VLOOKUP(Table8[[#This Row],[Document ID]],Table1[],3,FALSE)</f>
        <v>Angola</v>
      </c>
      <c r="D45" s="243" t="str">
        <f>VLOOKUP(Table8[[#This Row],[Document ID]],Table1[],5,FALSE)</f>
        <v>NDC</v>
      </c>
      <c r="E45" s="233" t="str">
        <f>VLOOKUP(Table8[[#This Row],[Document ID]],Table1[],7,FALSE)</f>
        <v>First NDC updated</v>
      </c>
      <c r="F45" s="233" t="str">
        <f>VLOOKUP(Table8[[#This Row],[Document ID]],Table1[],8,FALSE)</f>
        <v>NDC 1.1</v>
      </c>
      <c r="G45" s="233" t="str">
        <f>VLOOKUP(Table8[[#This Row],[Document ID]],Table1[],10,FALSE)</f>
        <v>Active</v>
      </c>
      <c r="H45" s="43" t="s">
        <v>2350</v>
      </c>
      <c r="I45" s="43" t="s">
        <v>2407</v>
      </c>
      <c r="J45" s="44" t="s">
        <v>2408</v>
      </c>
      <c r="K45" s="44" t="s">
        <v>2409</v>
      </c>
      <c r="L45" s="44" t="s">
        <v>2347</v>
      </c>
      <c r="M45" s="43">
        <v>66</v>
      </c>
      <c r="N45" s="113"/>
      <c r="O45" s="113"/>
      <c r="P45" s="113"/>
      <c r="Q45" s="113"/>
      <c r="R45" s="113"/>
      <c r="S45" s="113"/>
      <c r="T45" s="113"/>
      <c r="U45" s="113"/>
      <c r="V45" s="113"/>
      <c r="W45" s="113"/>
      <c r="X45" s="113"/>
      <c r="Y45" s="113" t="s">
        <v>1113</v>
      </c>
      <c r="Z45" s="113"/>
      <c r="AA45" s="113"/>
      <c r="AB45" s="113"/>
      <c r="AC45" s="113" t="s">
        <v>1113</v>
      </c>
      <c r="AD45" s="113"/>
      <c r="AE45" s="113"/>
      <c r="AF45" s="113"/>
      <c r="AG45" s="113"/>
      <c r="AH45" s="113"/>
      <c r="AI45" s="113"/>
      <c r="AJ45" s="113"/>
      <c r="AK45" s="319" t="s">
        <v>1113</v>
      </c>
      <c r="AL45" s="113"/>
      <c r="AM45" s="113"/>
      <c r="AN45" s="113"/>
      <c r="AO45" s="43" t="s">
        <v>2348</v>
      </c>
      <c r="AP45" s="43"/>
      <c r="AQ45" s="236" t="str">
        <f>VLOOKUP(Table8[[#This Row],[Instrument]],Def_Targets!$D$73:$E$159,2,FALSE)</f>
        <v>I_Education</v>
      </c>
      <c r="AR45" s="233" t="str">
        <f>VLOOKUP(Table8[[#This Row],[Country Code]],Table29[],3,FALSE)</f>
        <v>Non-Annex I</v>
      </c>
      <c r="AS45" s="233" t="str">
        <f>VLOOKUP(Table8[[#This Row],[Country Code]],Table29[],4,FALSE)</f>
        <v>Africa</v>
      </c>
      <c r="AT45" s="233" t="str">
        <f>VLOOKUP(Table8[[#This Row],[Country Code]],Table29[],5,FALSE)</f>
        <v>Middle-income</v>
      </c>
      <c r="AU45" s="233" t="str">
        <f>VLOOKUP(Table8[[#This Row],[Country Code]],Table29[],6,FALSE)</f>
        <v>no</v>
      </c>
      <c r="AV45" s="233" t="str">
        <f>VLOOKUP(Table8[[#This Row],[Country Code]],Table29[],7,FALSE)</f>
        <v>no</v>
      </c>
      <c r="AW45" s="233" t="str">
        <f>VLOOKUP(Table8[[#This Row],[Country Code]],Table29[],8,FALSE)</f>
        <v>non-OECD</v>
      </c>
      <c r="AX45" s="233" t="str">
        <f>VLOOKUP(Table8[[#This Row],[Country Code]],Table29[],9,FALSE)</f>
        <v>no</v>
      </c>
      <c r="AY45" s="233" t="str">
        <f>VLOOKUP(Table8[[#This Row],[Country Code]],Table29[],10,FALSE)</f>
        <v>no</v>
      </c>
      <c r="AZ45" s="235">
        <f>VLOOKUP(Table8[[#This Row],[Country Code]],Table29[],23,FALSE)</f>
        <v>67.700756247715006</v>
      </c>
      <c r="BA45" s="235">
        <f>VLOOKUP(Table8[[#This Row],[Country Code]],Table29[],24,FALSE)</f>
        <v>8.6486128139959888</v>
      </c>
      <c r="BB45" s="320"/>
      <c r="BC45" s="320"/>
    </row>
    <row r="46" spans="1:55" ht="30" hidden="1" x14ac:dyDescent="0.25">
      <c r="A46" s="373">
        <v>17513</v>
      </c>
      <c r="B46" s="233" t="str">
        <f>VLOOKUP(Table8[[#This Row],[Document ID]],Table1[],2,FALSE)</f>
        <v>ATG</v>
      </c>
      <c r="C46" s="233" t="str">
        <f>VLOOKUP(Table8[[#This Row],[Document ID]],Table1[],3,FALSE)</f>
        <v>Antigua and Barbuda</v>
      </c>
      <c r="D46" s="243" t="str">
        <f>VLOOKUP(Table8[[#This Row],[Document ID]],Table1[],5,FALSE)</f>
        <v>NDC</v>
      </c>
      <c r="E46" s="233" t="str">
        <f>VLOOKUP(Table8[[#This Row],[Document ID]],Table1[],7,FALSE)</f>
        <v>First NDC</v>
      </c>
      <c r="F46" s="236" t="str">
        <f>VLOOKUP(Table8[[#This Row],[Document ID]],Table1[],8,FALSE)</f>
        <v>NDC 1.0</v>
      </c>
      <c r="G46" s="236" t="str">
        <f>VLOOKUP(Table8[[#This Row],[Document ID]],Table1[],10,FALSE)</f>
        <v>Archived</v>
      </c>
      <c r="H46" s="44" t="s">
        <v>2338</v>
      </c>
      <c r="I46" s="44" t="s">
        <v>2339</v>
      </c>
      <c r="J46" s="44" t="s">
        <v>2410</v>
      </c>
      <c r="K46" s="44" t="s">
        <v>2411</v>
      </c>
      <c r="L46" s="44" t="s">
        <v>2333</v>
      </c>
      <c r="M46" s="43"/>
      <c r="N46" s="113" t="s">
        <v>1113</v>
      </c>
      <c r="O46" s="113"/>
      <c r="P46" s="113"/>
      <c r="Q46" s="319"/>
      <c r="R46" s="319"/>
      <c r="S46" s="319"/>
      <c r="T46" s="319"/>
      <c r="U46" s="319"/>
      <c r="V46" s="319"/>
      <c r="W46" s="319"/>
      <c r="X46" s="319"/>
      <c r="Y46" s="319"/>
      <c r="Z46" s="319"/>
      <c r="AA46" s="319"/>
      <c r="AB46" s="319"/>
      <c r="AC46" s="319"/>
      <c r="AD46" s="319"/>
      <c r="AE46" s="319"/>
      <c r="AF46" s="319"/>
      <c r="AG46" s="319"/>
      <c r="AH46" s="319"/>
      <c r="AI46" s="319"/>
      <c r="AJ46" s="319"/>
      <c r="AK46" s="319" t="s">
        <v>1113</v>
      </c>
      <c r="AL46" s="319"/>
      <c r="AM46" s="319"/>
      <c r="AN46" s="319"/>
      <c r="AO46" s="44" t="s">
        <v>2334</v>
      </c>
      <c r="AP46" s="44"/>
      <c r="AQ46" s="236" t="str">
        <f>VLOOKUP(Table8[[#This Row],[Instrument]],Def_Targets!$D$73:$E$159,2,FALSE)</f>
        <v>I_VehicleRestrictions</v>
      </c>
      <c r="AR46" s="233" t="str">
        <f>VLOOKUP(Table8[[#This Row],[Country Code]],Table29[],3,FALSE)</f>
        <v>Non-Annex I</v>
      </c>
      <c r="AS46" s="233" t="str">
        <f>VLOOKUP(Table8[[#This Row],[Country Code]],Table29[],4,FALSE)</f>
        <v>Latin America and the Caribbean</v>
      </c>
      <c r="AT46" s="233" t="str">
        <f>VLOOKUP(Table8[[#This Row],[Country Code]],Table29[],5,FALSE)</f>
        <v>High-income</v>
      </c>
      <c r="AU46" s="233" t="str">
        <f>VLOOKUP(Table8[[#This Row],[Country Code]],Table29[],6,FALSE)</f>
        <v>no</v>
      </c>
      <c r="AV46" s="233" t="str">
        <f>VLOOKUP(Table8[[#This Row],[Country Code]],Table29[],7,FALSE)</f>
        <v>no</v>
      </c>
      <c r="AW46" s="233" t="str">
        <f>VLOOKUP(Table8[[#This Row],[Country Code]],Table29[],8,FALSE)</f>
        <v>non-OECD</v>
      </c>
      <c r="AX46" s="233" t="str">
        <f>VLOOKUP(Table8[[#This Row],[Country Code]],Table29[],9,FALSE)</f>
        <v>no</v>
      </c>
      <c r="AY46" s="233" t="str">
        <f>VLOOKUP(Table8[[#This Row],[Country Code]],Table29[],10,FALSE)</f>
        <v>no</v>
      </c>
      <c r="AZ46" s="235">
        <f>VLOOKUP(Table8[[#This Row],[Country Code]],Table29[],23,FALSE)</f>
        <v>0.38855617147726002</v>
      </c>
      <c r="BA46" s="235">
        <f>VLOOKUP(Table8[[#This Row],[Country Code]],Table29[],24,FALSE)</f>
        <v>0.1151781182188378</v>
      </c>
      <c r="BB46" s="320"/>
      <c r="BC46" s="320"/>
    </row>
    <row r="47" spans="1:55" s="17" customFormat="1" ht="30" hidden="1" x14ac:dyDescent="0.25">
      <c r="A47" s="373">
        <v>21764</v>
      </c>
      <c r="B47" s="233" t="str">
        <f>VLOOKUP(Table8[[#This Row],[Document ID]],Table1[],2,FALSE)</f>
        <v>ATG</v>
      </c>
      <c r="C47" s="233" t="str">
        <f>VLOOKUP(Table8[[#This Row],[Document ID]],Table1[],3,FALSE)</f>
        <v>Antigua and Barbuda</v>
      </c>
      <c r="D47" s="243" t="str">
        <f>VLOOKUP(Table8[[#This Row],[Document ID]],Table1[],5,FALSE)</f>
        <v>NDC</v>
      </c>
      <c r="E47" s="233" t="str">
        <f>VLOOKUP(Table8[[#This Row],[Document ID]],Table1[],7,FALSE)</f>
        <v>First NDC updated</v>
      </c>
      <c r="F47" s="233" t="str">
        <f>VLOOKUP(Table8[[#This Row],[Document ID]],Table1[],8,FALSE)</f>
        <v>NDC 1.1</v>
      </c>
      <c r="G47" s="233" t="str">
        <f>VLOOKUP(Table8[[#This Row],[Document ID]],Table1[],10,FALSE)</f>
        <v>Active</v>
      </c>
      <c r="H47" s="43" t="s">
        <v>2343</v>
      </c>
      <c r="I47" s="43" t="s">
        <v>2386</v>
      </c>
      <c r="J47" s="44" t="s">
        <v>2412</v>
      </c>
      <c r="K47" s="44" t="s">
        <v>1224</v>
      </c>
      <c r="L47" s="44" t="s">
        <v>2380</v>
      </c>
      <c r="M47" s="43">
        <v>19</v>
      </c>
      <c r="N47" s="113" t="s">
        <v>1113</v>
      </c>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t="s">
        <v>1113</v>
      </c>
      <c r="AL47" s="113"/>
      <c r="AM47" s="113"/>
      <c r="AN47" s="113"/>
      <c r="AO47" s="44" t="s">
        <v>2334</v>
      </c>
      <c r="AP47" s="43"/>
      <c r="AQ47" s="236" t="str">
        <f>VLOOKUP(Table8[[#This Row],[Instrument]],Def_Targets!$D$73:$E$159,2,FALSE)</f>
        <v>A_Economic</v>
      </c>
      <c r="AR47" s="233" t="str">
        <f>VLOOKUP(Table8[[#This Row],[Country Code]],Table29[],3,FALSE)</f>
        <v>Non-Annex I</v>
      </c>
      <c r="AS47" s="233" t="str">
        <f>VLOOKUP(Table8[[#This Row],[Country Code]],Table29[],4,FALSE)</f>
        <v>Latin America and the Caribbean</v>
      </c>
      <c r="AT47" s="233" t="str">
        <f>VLOOKUP(Table8[[#This Row],[Country Code]],Table29[],5,FALSE)</f>
        <v>High-income</v>
      </c>
      <c r="AU47" s="233" t="str">
        <f>VLOOKUP(Table8[[#This Row],[Country Code]],Table29[],6,FALSE)</f>
        <v>no</v>
      </c>
      <c r="AV47" s="233" t="str">
        <f>VLOOKUP(Table8[[#This Row],[Country Code]],Table29[],7,FALSE)</f>
        <v>no</v>
      </c>
      <c r="AW47" s="233" t="str">
        <f>VLOOKUP(Table8[[#This Row],[Country Code]],Table29[],8,FALSE)</f>
        <v>non-OECD</v>
      </c>
      <c r="AX47" s="233" t="str">
        <f>VLOOKUP(Table8[[#This Row],[Country Code]],Table29[],9,FALSE)</f>
        <v>no</v>
      </c>
      <c r="AY47" s="233" t="str">
        <f>VLOOKUP(Table8[[#This Row],[Country Code]],Table29[],10,FALSE)</f>
        <v>no</v>
      </c>
      <c r="AZ47" s="235">
        <f>VLOOKUP(Table8[[#This Row],[Country Code]],Table29[],23,FALSE)</f>
        <v>0.38855617147726002</v>
      </c>
      <c r="BA47" s="235">
        <f>VLOOKUP(Table8[[#This Row],[Country Code]],Table29[],24,FALSE)</f>
        <v>0.1151781182188378</v>
      </c>
      <c r="BB47" s="320"/>
      <c r="BC47" s="320"/>
    </row>
    <row r="48" spans="1:55" s="17" customFormat="1" ht="30" hidden="1" x14ac:dyDescent="0.25">
      <c r="A48" s="373">
        <v>21764</v>
      </c>
      <c r="B48" s="233" t="str">
        <f>VLOOKUP(Table8[[#This Row],[Document ID]],Table1[],2,FALSE)</f>
        <v>ATG</v>
      </c>
      <c r="C48" s="233" t="str">
        <f>VLOOKUP(Table8[[#This Row],[Document ID]],Table1[],3,FALSE)</f>
        <v>Antigua and Barbuda</v>
      </c>
      <c r="D48" s="243" t="str">
        <f>VLOOKUP(Table8[[#This Row],[Document ID]],Table1[],5,FALSE)</f>
        <v>NDC</v>
      </c>
      <c r="E48" s="233" t="str">
        <f>VLOOKUP(Table8[[#This Row],[Document ID]],Table1[],7,FALSE)</f>
        <v>First NDC updated</v>
      </c>
      <c r="F48" s="233" t="str">
        <f>VLOOKUP(Table8[[#This Row],[Document ID]],Table1[],8,FALSE)</f>
        <v>NDC 1.1</v>
      </c>
      <c r="G48" s="233" t="str">
        <f>VLOOKUP(Table8[[#This Row],[Document ID]],Table1[],10,FALSE)</f>
        <v>Active</v>
      </c>
      <c r="H48" s="44" t="s">
        <v>2329</v>
      </c>
      <c r="I48" s="44" t="s">
        <v>2330</v>
      </c>
      <c r="J48" s="44" t="s">
        <v>2381</v>
      </c>
      <c r="K48" s="44" t="s">
        <v>1224</v>
      </c>
      <c r="L48" s="44" t="s">
        <v>2333</v>
      </c>
      <c r="M48" s="43">
        <v>19</v>
      </c>
      <c r="N48" s="113" t="s">
        <v>1113</v>
      </c>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t="s">
        <v>1113</v>
      </c>
      <c r="AL48" s="113"/>
      <c r="AM48" s="113"/>
      <c r="AN48" s="113"/>
      <c r="AO48" s="44" t="s">
        <v>2334</v>
      </c>
      <c r="AP48" s="43"/>
      <c r="AQ48" s="236" t="str">
        <f>VLOOKUP(Table8[[#This Row],[Instrument]],Def_Targets!$D$73:$E$159,2,FALSE)</f>
        <v>I_RE</v>
      </c>
      <c r="AR48" s="233" t="str">
        <f>VLOOKUP(Table8[[#This Row],[Country Code]],Table29[],3,FALSE)</f>
        <v>Non-Annex I</v>
      </c>
      <c r="AS48" s="233" t="str">
        <f>VLOOKUP(Table8[[#This Row],[Country Code]],Table29[],4,FALSE)</f>
        <v>Latin America and the Caribbean</v>
      </c>
      <c r="AT48" s="233" t="str">
        <f>VLOOKUP(Table8[[#This Row],[Country Code]],Table29[],5,FALSE)</f>
        <v>High-income</v>
      </c>
      <c r="AU48" s="233" t="str">
        <f>VLOOKUP(Table8[[#This Row],[Country Code]],Table29[],6,FALSE)</f>
        <v>no</v>
      </c>
      <c r="AV48" s="233" t="str">
        <f>VLOOKUP(Table8[[#This Row],[Country Code]],Table29[],7,FALSE)</f>
        <v>no</v>
      </c>
      <c r="AW48" s="233" t="str">
        <f>VLOOKUP(Table8[[#This Row],[Country Code]],Table29[],8,FALSE)</f>
        <v>non-OECD</v>
      </c>
      <c r="AX48" s="233" t="str">
        <f>VLOOKUP(Table8[[#This Row],[Country Code]],Table29[],9,FALSE)</f>
        <v>no</v>
      </c>
      <c r="AY48" s="233" t="str">
        <f>VLOOKUP(Table8[[#This Row],[Country Code]],Table29[],10,FALSE)</f>
        <v>no</v>
      </c>
      <c r="AZ48" s="235">
        <f>VLOOKUP(Table8[[#This Row],[Country Code]],Table29[],23,FALSE)</f>
        <v>0.38855617147726002</v>
      </c>
      <c r="BA48" s="235">
        <f>VLOOKUP(Table8[[#This Row],[Country Code]],Table29[],24,FALSE)</f>
        <v>0.1151781182188378</v>
      </c>
      <c r="BB48" s="320"/>
      <c r="BC48" s="320"/>
    </row>
    <row r="49" spans="1:55" s="17" customFormat="1" ht="30" hidden="1" x14ac:dyDescent="0.25">
      <c r="A49" s="373">
        <v>21764</v>
      </c>
      <c r="B49" s="233" t="str">
        <f>VLOOKUP(Table8[[#This Row],[Document ID]],Table1[],2,FALSE)</f>
        <v>ATG</v>
      </c>
      <c r="C49" s="233" t="str">
        <f>VLOOKUP(Table8[[#This Row],[Document ID]],Table1[],3,FALSE)</f>
        <v>Antigua and Barbuda</v>
      </c>
      <c r="D49" s="243" t="str">
        <f>VLOOKUP(Table8[[#This Row],[Document ID]],Table1[],5,FALSE)</f>
        <v>NDC</v>
      </c>
      <c r="E49" s="233" t="str">
        <f>VLOOKUP(Table8[[#This Row],[Document ID]],Table1[],7,FALSE)</f>
        <v>First NDC updated</v>
      </c>
      <c r="F49" s="233" t="str">
        <f>VLOOKUP(Table8[[#This Row],[Document ID]],Table1[],8,FALSE)</f>
        <v>NDC 1.1</v>
      </c>
      <c r="G49" s="233" t="str">
        <f>VLOOKUP(Table8[[#This Row],[Document ID]],Table1[],10,FALSE)</f>
        <v>Active</v>
      </c>
      <c r="H49" s="44" t="s">
        <v>2338</v>
      </c>
      <c r="I49" s="44" t="s">
        <v>2339</v>
      </c>
      <c r="J49" s="44" t="s">
        <v>2410</v>
      </c>
      <c r="K49" s="44" t="s">
        <v>1228</v>
      </c>
      <c r="L49" s="44" t="s">
        <v>2333</v>
      </c>
      <c r="M49" s="43">
        <v>19</v>
      </c>
      <c r="N49" s="113"/>
      <c r="O49" s="113"/>
      <c r="P49" s="113"/>
      <c r="Q49" s="113"/>
      <c r="R49" s="113"/>
      <c r="S49" s="113" t="s">
        <v>1113</v>
      </c>
      <c r="T49" s="113"/>
      <c r="U49" s="113"/>
      <c r="V49" s="113"/>
      <c r="W49" s="113"/>
      <c r="X49" s="113"/>
      <c r="Y49" s="113"/>
      <c r="Z49" s="113"/>
      <c r="AA49" s="113"/>
      <c r="AB49" s="113"/>
      <c r="AC49" s="113"/>
      <c r="AD49" s="113"/>
      <c r="AE49" s="113"/>
      <c r="AF49" s="113"/>
      <c r="AG49" s="113"/>
      <c r="AH49" s="113"/>
      <c r="AI49" s="113"/>
      <c r="AJ49" s="113"/>
      <c r="AK49" s="113" t="s">
        <v>1113</v>
      </c>
      <c r="AL49" s="113"/>
      <c r="AM49" s="113"/>
      <c r="AN49" s="113"/>
      <c r="AO49" s="44" t="s">
        <v>2334</v>
      </c>
      <c r="AP49" s="43"/>
      <c r="AQ49" s="236" t="str">
        <f>VLOOKUP(Table8[[#This Row],[Instrument]],Def_Targets!$D$73:$E$159,2,FALSE)</f>
        <v>I_VehicleRestrictions</v>
      </c>
      <c r="AR49" s="233" t="str">
        <f>VLOOKUP(Table8[[#This Row],[Country Code]],Table29[],3,FALSE)</f>
        <v>Non-Annex I</v>
      </c>
      <c r="AS49" s="233" t="str">
        <f>VLOOKUP(Table8[[#This Row],[Country Code]],Table29[],4,FALSE)</f>
        <v>Latin America and the Caribbean</v>
      </c>
      <c r="AT49" s="233" t="str">
        <f>VLOOKUP(Table8[[#This Row],[Country Code]],Table29[],5,FALSE)</f>
        <v>High-income</v>
      </c>
      <c r="AU49" s="233" t="str">
        <f>VLOOKUP(Table8[[#This Row],[Country Code]],Table29[],6,FALSE)</f>
        <v>no</v>
      </c>
      <c r="AV49" s="233" t="str">
        <f>VLOOKUP(Table8[[#This Row],[Country Code]],Table29[],7,FALSE)</f>
        <v>no</v>
      </c>
      <c r="AW49" s="233" t="str">
        <f>VLOOKUP(Table8[[#This Row],[Country Code]],Table29[],8,FALSE)</f>
        <v>non-OECD</v>
      </c>
      <c r="AX49" s="233" t="str">
        <f>VLOOKUP(Table8[[#This Row],[Country Code]],Table29[],9,FALSE)</f>
        <v>no</v>
      </c>
      <c r="AY49" s="233" t="str">
        <f>VLOOKUP(Table8[[#This Row],[Country Code]],Table29[],10,FALSE)</f>
        <v>no</v>
      </c>
      <c r="AZ49" s="235">
        <f>VLOOKUP(Table8[[#This Row],[Country Code]],Table29[],23,FALSE)</f>
        <v>0.38855617147726002</v>
      </c>
      <c r="BA49" s="235">
        <f>VLOOKUP(Table8[[#This Row],[Country Code]],Table29[],24,FALSE)</f>
        <v>0.1151781182188378</v>
      </c>
      <c r="BB49" s="320"/>
      <c r="BC49" s="320"/>
    </row>
    <row r="50" spans="1:55" s="17" customFormat="1" hidden="1" x14ac:dyDescent="0.25">
      <c r="A50" s="373">
        <v>21764</v>
      </c>
      <c r="B50" s="233" t="str">
        <f>VLOOKUP(Table8[[#This Row],[Document ID]],Table1[],2,FALSE)</f>
        <v>ATG</v>
      </c>
      <c r="C50" s="233" t="str">
        <f>VLOOKUP(Table8[[#This Row],[Document ID]],Table1[],3,FALSE)</f>
        <v>Antigua and Barbuda</v>
      </c>
      <c r="D50" s="243" t="str">
        <f>VLOOKUP(Table8[[#This Row],[Document ID]],Table1[],5,FALSE)</f>
        <v>NDC</v>
      </c>
      <c r="E50" s="233" t="str">
        <f>VLOOKUP(Table8[[#This Row],[Document ID]],Table1[],7,FALSE)</f>
        <v>First NDC updated</v>
      </c>
      <c r="F50" s="233" t="str">
        <f>VLOOKUP(Table8[[#This Row],[Document ID]],Table1[],8,FALSE)</f>
        <v>NDC 1.1</v>
      </c>
      <c r="G50" s="233" t="str">
        <f>VLOOKUP(Table8[[#This Row],[Document ID]],Table1[],10,FALSE)</f>
        <v>Active</v>
      </c>
      <c r="H50" s="43" t="s">
        <v>2358</v>
      </c>
      <c r="I50" s="43" t="s">
        <v>2359</v>
      </c>
      <c r="J50" s="44" t="s">
        <v>2360</v>
      </c>
      <c r="K50" s="44" t="s">
        <v>1229</v>
      </c>
      <c r="L50" s="44" t="s">
        <v>2333</v>
      </c>
      <c r="M50" s="43">
        <v>19</v>
      </c>
      <c r="N50" s="113" t="s">
        <v>1113</v>
      </c>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t="s">
        <v>1113</v>
      </c>
      <c r="AL50" s="113"/>
      <c r="AM50" s="113"/>
      <c r="AN50" s="113"/>
      <c r="AO50" s="44" t="s">
        <v>2334</v>
      </c>
      <c r="AP50" s="43"/>
      <c r="AQ50" s="236" t="str">
        <f>VLOOKUP(Table8[[#This Row],[Instrument]],Def_Targets!$D$73:$E$159,2,FALSE)</f>
        <v>I_Emobility</v>
      </c>
      <c r="AR50" s="233" t="str">
        <f>VLOOKUP(Table8[[#This Row],[Country Code]],Table29[],3,FALSE)</f>
        <v>Non-Annex I</v>
      </c>
      <c r="AS50" s="233" t="str">
        <f>VLOOKUP(Table8[[#This Row],[Country Code]],Table29[],4,FALSE)</f>
        <v>Latin America and the Caribbean</v>
      </c>
      <c r="AT50" s="233" t="str">
        <f>VLOOKUP(Table8[[#This Row],[Country Code]],Table29[],5,FALSE)</f>
        <v>High-income</v>
      </c>
      <c r="AU50" s="233" t="str">
        <f>VLOOKUP(Table8[[#This Row],[Country Code]],Table29[],6,FALSE)</f>
        <v>no</v>
      </c>
      <c r="AV50" s="233" t="str">
        <f>VLOOKUP(Table8[[#This Row],[Country Code]],Table29[],7,FALSE)</f>
        <v>no</v>
      </c>
      <c r="AW50" s="233" t="str">
        <f>VLOOKUP(Table8[[#This Row],[Country Code]],Table29[],8,FALSE)</f>
        <v>non-OECD</v>
      </c>
      <c r="AX50" s="233" t="str">
        <f>VLOOKUP(Table8[[#This Row],[Country Code]],Table29[],9,FALSE)</f>
        <v>no</v>
      </c>
      <c r="AY50" s="233" t="str">
        <f>VLOOKUP(Table8[[#This Row],[Country Code]],Table29[],10,FALSE)</f>
        <v>no</v>
      </c>
      <c r="AZ50" s="235">
        <f>VLOOKUP(Table8[[#This Row],[Country Code]],Table29[],23,FALSE)</f>
        <v>0.38855617147726002</v>
      </c>
      <c r="BA50" s="235">
        <f>VLOOKUP(Table8[[#This Row],[Country Code]],Table29[],24,FALSE)</f>
        <v>0.1151781182188378</v>
      </c>
      <c r="BB50" s="320"/>
      <c r="BC50" s="320"/>
    </row>
    <row r="51" spans="1:55" s="17" customFormat="1" hidden="1" x14ac:dyDescent="0.25">
      <c r="A51" s="373">
        <v>21764</v>
      </c>
      <c r="B51" s="233" t="str">
        <f>VLOOKUP(Table8[[#This Row],[Document ID]],Table1[],2,FALSE)</f>
        <v>ATG</v>
      </c>
      <c r="C51" s="233" t="str">
        <f>VLOOKUP(Table8[[#This Row],[Document ID]],Table1[],3,FALSE)</f>
        <v>Antigua and Barbuda</v>
      </c>
      <c r="D51" s="243" t="str">
        <f>VLOOKUP(Table8[[#This Row],[Document ID]],Table1[],5,FALSE)</f>
        <v>NDC</v>
      </c>
      <c r="E51" s="233" t="str">
        <f>VLOOKUP(Table8[[#This Row],[Document ID]],Table1[],7,FALSE)</f>
        <v>First NDC updated</v>
      </c>
      <c r="F51" s="233" t="str">
        <f>VLOOKUP(Table8[[#This Row],[Document ID]],Table1[],8,FALSE)</f>
        <v>NDC 1.1</v>
      </c>
      <c r="G51" s="233" t="str">
        <f>VLOOKUP(Table8[[#This Row],[Document ID]],Table1[],10,FALSE)</f>
        <v>Active</v>
      </c>
      <c r="H51" s="44" t="s">
        <v>2338</v>
      </c>
      <c r="I51" s="44" t="s">
        <v>2339</v>
      </c>
      <c r="J51" s="44" t="s">
        <v>2413</v>
      </c>
      <c r="K51" s="44" t="s">
        <v>1247</v>
      </c>
      <c r="L51" s="44" t="s">
        <v>2333</v>
      </c>
      <c r="M51" s="43">
        <v>19</v>
      </c>
      <c r="N51" s="113" t="s">
        <v>1113</v>
      </c>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t="s">
        <v>1113</v>
      </c>
      <c r="AL51" s="113"/>
      <c r="AM51" s="113"/>
      <c r="AN51" s="113"/>
      <c r="AO51" s="44" t="s">
        <v>2334</v>
      </c>
      <c r="AP51" s="43"/>
      <c r="AQ51" s="236" t="str">
        <f>VLOOKUP(Table8[[#This Row],[Instrument]],Def_Targets!$D$73:$E$159,2,FALSE)</f>
        <v>I_Vehicleeff</v>
      </c>
      <c r="AR51" s="233" t="str">
        <f>VLOOKUP(Table8[[#This Row],[Country Code]],Table29[],3,FALSE)</f>
        <v>Non-Annex I</v>
      </c>
      <c r="AS51" s="233" t="str">
        <f>VLOOKUP(Table8[[#This Row],[Country Code]],Table29[],4,FALSE)</f>
        <v>Latin America and the Caribbean</v>
      </c>
      <c r="AT51" s="233" t="str">
        <f>VLOOKUP(Table8[[#This Row],[Country Code]],Table29[],5,FALSE)</f>
        <v>High-income</v>
      </c>
      <c r="AU51" s="233" t="str">
        <f>VLOOKUP(Table8[[#This Row],[Country Code]],Table29[],6,FALSE)</f>
        <v>no</v>
      </c>
      <c r="AV51" s="233" t="str">
        <f>VLOOKUP(Table8[[#This Row],[Country Code]],Table29[],7,FALSE)</f>
        <v>no</v>
      </c>
      <c r="AW51" s="233" t="str">
        <f>VLOOKUP(Table8[[#This Row],[Country Code]],Table29[],8,FALSE)</f>
        <v>non-OECD</v>
      </c>
      <c r="AX51" s="233" t="str">
        <f>VLOOKUP(Table8[[#This Row],[Country Code]],Table29[],9,FALSE)</f>
        <v>no</v>
      </c>
      <c r="AY51" s="233" t="str">
        <f>VLOOKUP(Table8[[#This Row],[Country Code]],Table29[],10,FALSE)</f>
        <v>no</v>
      </c>
      <c r="AZ51" s="235">
        <f>VLOOKUP(Table8[[#This Row],[Country Code]],Table29[],23,FALSE)</f>
        <v>0.38855617147726002</v>
      </c>
      <c r="BA51" s="235">
        <f>VLOOKUP(Table8[[#This Row],[Country Code]],Table29[],24,FALSE)</f>
        <v>0.1151781182188378</v>
      </c>
      <c r="BB51" s="320"/>
      <c r="BC51" s="320"/>
    </row>
    <row r="52" spans="1:55" s="17" customFormat="1" hidden="1" x14ac:dyDescent="0.25">
      <c r="A52" s="373">
        <v>21764</v>
      </c>
      <c r="B52" s="233" t="str">
        <f>VLOOKUP(Table8[[#This Row],[Document ID]],Table1[],2,FALSE)</f>
        <v>ATG</v>
      </c>
      <c r="C52" s="233" t="str">
        <f>VLOOKUP(Table8[[#This Row],[Document ID]],Table1[],3,FALSE)</f>
        <v>Antigua and Barbuda</v>
      </c>
      <c r="D52" s="243" t="str">
        <f>VLOOKUP(Table8[[#This Row],[Document ID]],Table1[],5,FALSE)</f>
        <v>NDC</v>
      </c>
      <c r="E52" s="233" t="str">
        <f>VLOOKUP(Table8[[#This Row],[Document ID]],Table1[],7,FALSE)</f>
        <v>First NDC updated</v>
      </c>
      <c r="F52" s="233" t="str">
        <f>VLOOKUP(Table8[[#This Row],[Document ID]],Table1[],8,FALSE)</f>
        <v>NDC 1.1</v>
      </c>
      <c r="G52" s="233" t="str">
        <f>VLOOKUP(Table8[[#This Row],[Document ID]],Table1[],10,FALSE)</f>
        <v>Active</v>
      </c>
      <c r="H52" s="44" t="s">
        <v>2329</v>
      </c>
      <c r="I52" s="44" t="s">
        <v>2330</v>
      </c>
      <c r="J52" s="44" t="s">
        <v>2414</v>
      </c>
      <c r="K52" s="44" t="s">
        <v>2415</v>
      </c>
      <c r="L52" s="44" t="s">
        <v>2333</v>
      </c>
      <c r="M52" s="43">
        <v>19</v>
      </c>
      <c r="N52" s="113" t="s">
        <v>1113</v>
      </c>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t="s">
        <v>1113</v>
      </c>
      <c r="AL52" s="113"/>
      <c r="AM52" s="113"/>
      <c r="AN52" s="113"/>
      <c r="AO52" s="44" t="s">
        <v>2334</v>
      </c>
      <c r="AP52" s="43"/>
      <c r="AQ52" s="236" t="str">
        <f>VLOOKUP(Table8[[#This Row],[Instrument]],Def_Targets!$D$73:$E$159,2,FALSE)</f>
        <v>I_ICEdiesel</v>
      </c>
      <c r="AR52" s="233" t="str">
        <f>VLOOKUP(Table8[[#This Row],[Country Code]],Table29[],3,FALSE)</f>
        <v>Non-Annex I</v>
      </c>
      <c r="AS52" s="233" t="str">
        <f>VLOOKUP(Table8[[#This Row],[Country Code]],Table29[],4,FALSE)</f>
        <v>Latin America and the Caribbean</v>
      </c>
      <c r="AT52" s="233" t="str">
        <f>VLOOKUP(Table8[[#This Row],[Country Code]],Table29[],5,FALSE)</f>
        <v>High-income</v>
      </c>
      <c r="AU52" s="233" t="str">
        <f>VLOOKUP(Table8[[#This Row],[Country Code]],Table29[],6,FALSE)</f>
        <v>no</v>
      </c>
      <c r="AV52" s="233" t="str">
        <f>VLOOKUP(Table8[[#This Row],[Country Code]],Table29[],7,FALSE)</f>
        <v>no</v>
      </c>
      <c r="AW52" s="233" t="str">
        <f>VLOOKUP(Table8[[#This Row],[Country Code]],Table29[],8,FALSE)</f>
        <v>non-OECD</v>
      </c>
      <c r="AX52" s="233" t="str">
        <f>VLOOKUP(Table8[[#This Row],[Country Code]],Table29[],9,FALSE)</f>
        <v>no</v>
      </c>
      <c r="AY52" s="233" t="str">
        <f>VLOOKUP(Table8[[#This Row],[Country Code]],Table29[],10,FALSE)</f>
        <v>no</v>
      </c>
      <c r="AZ52" s="235">
        <f>VLOOKUP(Table8[[#This Row],[Country Code]],Table29[],23,FALSE)</f>
        <v>0.38855617147726002</v>
      </c>
      <c r="BA52" s="235">
        <f>VLOOKUP(Table8[[#This Row],[Country Code]],Table29[],24,FALSE)</f>
        <v>0.1151781182188378</v>
      </c>
      <c r="BB52" s="320"/>
      <c r="BC52" s="320"/>
    </row>
    <row r="53" spans="1:55" ht="30" hidden="1" x14ac:dyDescent="0.25">
      <c r="A53" s="373">
        <v>32529</v>
      </c>
      <c r="B53" s="233" t="str">
        <f>VLOOKUP(Table8[[#This Row],[Document ID]],Table1[],2,FALSE)</f>
        <v>ARG</v>
      </c>
      <c r="C53" s="233" t="str">
        <f>VLOOKUP(Table8[[#This Row],[Document ID]],Table1[],3,FALSE)</f>
        <v>Argentina</v>
      </c>
      <c r="D53" s="243" t="str">
        <f>VLOOKUP(Table8[[#This Row],[Document ID]],Table1[],5,FALSE)</f>
        <v>NDC</v>
      </c>
      <c r="E53" s="233" t="str">
        <f>VLOOKUP(Table8[[#This Row],[Document ID]],Table1[],7,FALSE)</f>
        <v>Second NDC updated</v>
      </c>
      <c r="F53" s="233" t="str">
        <f>VLOOKUP(Table8[[#This Row],[Document ID]],Table1[],8,FALSE)</f>
        <v>NDC 2.1</v>
      </c>
      <c r="G53" s="233" t="str">
        <f>VLOOKUP(Table8[[#This Row],[Document ID]],Table1[],10,FALSE)</f>
        <v>Active</v>
      </c>
      <c r="H53" s="44" t="s">
        <v>2338</v>
      </c>
      <c r="I53" s="44" t="s">
        <v>2339</v>
      </c>
      <c r="J53" s="44" t="s">
        <v>2416</v>
      </c>
      <c r="K53" s="44" t="s">
        <v>2417</v>
      </c>
      <c r="L53" s="44" t="s">
        <v>2333</v>
      </c>
      <c r="M53" s="43">
        <v>77</v>
      </c>
      <c r="N53" s="113"/>
      <c r="O53" s="113"/>
      <c r="P53" s="113"/>
      <c r="Q53" s="113"/>
      <c r="R53" s="113"/>
      <c r="S53" s="113"/>
      <c r="T53" s="113"/>
      <c r="U53" s="113"/>
      <c r="V53" s="113"/>
      <c r="W53" s="113"/>
      <c r="X53" s="113" t="s">
        <v>1113</v>
      </c>
      <c r="Y53" s="113"/>
      <c r="Z53" s="113"/>
      <c r="AA53" s="113"/>
      <c r="AB53" s="113"/>
      <c r="AC53" s="113"/>
      <c r="AD53" s="113"/>
      <c r="AE53" s="113"/>
      <c r="AF53" s="113"/>
      <c r="AG53" s="113"/>
      <c r="AH53" s="113"/>
      <c r="AI53" s="113"/>
      <c r="AJ53" s="113"/>
      <c r="AK53" s="319" t="s">
        <v>1113</v>
      </c>
      <c r="AL53" s="113"/>
      <c r="AM53" s="113"/>
      <c r="AN53" s="113"/>
      <c r="AO53" s="43" t="s">
        <v>2353</v>
      </c>
      <c r="AP53" s="43"/>
      <c r="AQ53" s="236" t="str">
        <f>VLOOKUP(Table8[[#This Row],[Instrument]],Def_Targets!$D$73:$E$159,2,FALSE)</f>
        <v>I_Vehiclescrappage</v>
      </c>
      <c r="AR53" s="233" t="str">
        <f>VLOOKUP(Table8[[#This Row],[Country Code]],Table29[],3,FALSE)</f>
        <v>Non-Annex I</v>
      </c>
      <c r="AS53" s="233" t="str">
        <f>VLOOKUP(Table8[[#This Row],[Country Code]],Table29[],4,FALSE)</f>
        <v>Latin America and the Caribbean</v>
      </c>
      <c r="AT53" s="233" t="str">
        <f>VLOOKUP(Table8[[#This Row],[Country Code]],Table29[],5,FALSE)</f>
        <v>Middle-income</v>
      </c>
      <c r="AU53" s="233" t="str">
        <f>VLOOKUP(Table8[[#This Row],[Country Code]],Table29[],6,FALSE)</f>
        <v>G20</v>
      </c>
      <c r="AV53" s="233" t="str">
        <f>VLOOKUP(Table8[[#This Row],[Country Code]],Table29[],7,FALSE)</f>
        <v>no</v>
      </c>
      <c r="AW53" s="233" t="str">
        <f>VLOOKUP(Table8[[#This Row],[Country Code]],Table29[],8,FALSE)</f>
        <v>non-OECD</v>
      </c>
      <c r="AX53" s="233" t="str">
        <f>VLOOKUP(Table8[[#This Row],[Country Code]],Table29[],9,FALSE)</f>
        <v>no</v>
      </c>
      <c r="AY53" s="233" t="str">
        <f>VLOOKUP(Table8[[#This Row],[Country Code]],Table29[],10,FALSE)</f>
        <v>no</v>
      </c>
      <c r="AZ53" s="235">
        <f>VLOOKUP(Table8[[#This Row],[Country Code]],Table29[],23,FALSE)</f>
        <v>365.68461861929001</v>
      </c>
      <c r="BA53" s="235">
        <f>VLOOKUP(Table8[[#This Row],[Country Code]],Table29[],24,FALSE)</f>
        <v>48.339727076899749</v>
      </c>
      <c r="BB53" s="320"/>
      <c r="BC53" s="320"/>
    </row>
    <row r="54" spans="1:55" ht="30" hidden="1" x14ac:dyDescent="0.25">
      <c r="A54" s="373">
        <v>32529</v>
      </c>
      <c r="B54" s="233" t="str">
        <f>VLOOKUP(Table8[[#This Row],[Document ID]],Table1[],2,FALSE)</f>
        <v>ARG</v>
      </c>
      <c r="C54" s="233" t="str">
        <f>VLOOKUP(Table8[[#This Row],[Document ID]],Table1[],3,FALSE)</f>
        <v>Argentina</v>
      </c>
      <c r="D54" s="243" t="str">
        <f>VLOOKUP(Table8[[#This Row],[Document ID]],Table1[],5,FALSE)</f>
        <v>NDC</v>
      </c>
      <c r="E54" s="233" t="str">
        <f>VLOOKUP(Table8[[#This Row],[Document ID]],Table1[],7,FALSE)</f>
        <v>Second NDC updated</v>
      </c>
      <c r="F54" s="233" t="str">
        <f>VLOOKUP(Table8[[#This Row],[Document ID]],Table1[],8,FALSE)</f>
        <v>NDC 2.1</v>
      </c>
      <c r="G54" s="233" t="str">
        <f>VLOOKUP(Table8[[#This Row],[Document ID]],Table1[],10,FALSE)</f>
        <v>Active</v>
      </c>
      <c r="H54" s="43" t="s">
        <v>2350</v>
      </c>
      <c r="I54" s="43" t="s">
        <v>2370</v>
      </c>
      <c r="J54" s="44" t="s">
        <v>2418</v>
      </c>
      <c r="K54" s="44" t="s">
        <v>2419</v>
      </c>
      <c r="L54" s="44" t="s">
        <v>2373</v>
      </c>
      <c r="M54" s="43">
        <v>7</v>
      </c>
      <c r="N54" s="113" t="s">
        <v>1113</v>
      </c>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319" t="s">
        <v>1113</v>
      </c>
      <c r="AL54" s="113"/>
      <c r="AM54" s="113"/>
      <c r="AN54" s="113"/>
      <c r="AO54" s="44" t="s">
        <v>2334</v>
      </c>
      <c r="AP54" s="43"/>
      <c r="AQ54" s="236" t="str">
        <f>VLOOKUP(Table8[[#This Row],[Instrument]],Def_Targets!$D$73:$E$159,2,FALSE)</f>
        <v>A_Complan</v>
      </c>
      <c r="AR54" s="233" t="str">
        <f>VLOOKUP(Table8[[#This Row],[Country Code]],Table29[],3,FALSE)</f>
        <v>Non-Annex I</v>
      </c>
      <c r="AS54" s="233" t="str">
        <f>VLOOKUP(Table8[[#This Row],[Country Code]],Table29[],4,FALSE)</f>
        <v>Latin America and the Caribbean</v>
      </c>
      <c r="AT54" s="233" t="str">
        <f>VLOOKUP(Table8[[#This Row],[Country Code]],Table29[],5,FALSE)</f>
        <v>Middle-income</v>
      </c>
      <c r="AU54" s="233" t="str">
        <f>VLOOKUP(Table8[[#This Row],[Country Code]],Table29[],6,FALSE)</f>
        <v>G20</v>
      </c>
      <c r="AV54" s="233" t="str">
        <f>VLOOKUP(Table8[[#This Row],[Country Code]],Table29[],7,FALSE)</f>
        <v>no</v>
      </c>
      <c r="AW54" s="233" t="str">
        <f>VLOOKUP(Table8[[#This Row],[Country Code]],Table29[],8,FALSE)</f>
        <v>non-OECD</v>
      </c>
      <c r="AX54" s="233" t="str">
        <f>VLOOKUP(Table8[[#This Row],[Country Code]],Table29[],9,FALSE)</f>
        <v>no</v>
      </c>
      <c r="AY54" s="233" t="str">
        <f>VLOOKUP(Table8[[#This Row],[Country Code]],Table29[],10,FALSE)</f>
        <v>no</v>
      </c>
      <c r="AZ54" s="235">
        <f>VLOOKUP(Table8[[#This Row],[Country Code]],Table29[],23,FALSE)</f>
        <v>365.68461861929001</v>
      </c>
      <c r="BA54" s="235">
        <f>VLOOKUP(Table8[[#This Row],[Country Code]],Table29[],24,FALSE)</f>
        <v>48.339727076899749</v>
      </c>
      <c r="BB54" s="320"/>
      <c r="BC54" s="320"/>
    </row>
    <row r="55" spans="1:55" ht="30" hidden="1" x14ac:dyDescent="0.25">
      <c r="A55" s="373">
        <v>32529</v>
      </c>
      <c r="B55" s="233" t="str">
        <f>VLOOKUP(Table8[[#This Row],[Document ID]],Table1[],2,FALSE)</f>
        <v>ARG</v>
      </c>
      <c r="C55" s="233" t="str">
        <f>VLOOKUP(Table8[[#This Row],[Document ID]],Table1[],3,FALSE)</f>
        <v>Argentina</v>
      </c>
      <c r="D55" s="243" t="str">
        <f>VLOOKUP(Table8[[#This Row],[Document ID]],Table1[],5,FALSE)</f>
        <v>NDC</v>
      </c>
      <c r="E55" s="233" t="str">
        <f>VLOOKUP(Table8[[#This Row],[Document ID]],Table1[],7,FALSE)</f>
        <v>Second NDC updated</v>
      </c>
      <c r="F55" s="233" t="str">
        <f>VLOOKUP(Table8[[#This Row],[Document ID]],Table1[],8,FALSE)</f>
        <v>NDC 2.1</v>
      </c>
      <c r="G55" s="233" t="str">
        <f>VLOOKUP(Table8[[#This Row],[Document ID]],Table1[],10,FALSE)</f>
        <v>Active</v>
      </c>
      <c r="H55" s="44" t="s">
        <v>2329</v>
      </c>
      <c r="I55" s="44" t="s">
        <v>2330</v>
      </c>
      <c r="J55" s="44" t="s">
        <v>2363</v>
      </c>
      <c r="K55" s="44" t="s">
        <v>2420</v>
      </c>
      <c r="L55" s="44" t="s">
        <v>2333</v>
      </c>
      <c r="M55" s="43">
        <v>7</v>
      </c>
      <c r="N55" s="113" t="s">
        <v>1113</v>
      </c>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319" t="s">
        <v>1113</v>
      </c>
      <c r="AL55" s="113"/>
      <c r="AM55" s="113"/>
      <c r="AN55" s="113"/>
      <c r="AO55" s="44" t="s">
        <v>2334</v>
      </c>
      <c r="AP55" s="43"/>
      <c r="AQ55" s="236" t="str">
        <f>VLOOKUP(Table8[[#This Row],[Instrument]],Def_Targets!$D$73:$E$159,2,FALSE)</f>
        <v>I_LPGCNGLNG</v>
      </c>
      <c r="AR55" s="233" t="str">
        <f>VLOOKUP(Table8[[#This Row],[Country Code]],Table29[],3,FALSE)</f>
        <v>Non-Annex I</v>
      </c>
      <c r="AS55" s="233" t="str">
        <f>VLOOKUP(Table8[[#This Row],[Country Code]],Table29[],4,FALSE)</f>
        <v>Latin America and the Caribbean</v>
      </c>
      <c r="AT55" s="233" t="str">
        <f>VLOOKUP(Table8[[#This Row],[Country Code]],Table29[],5,FALSE)</f>
        <v>Middle-income</v>
      </c>
      <c r="AU55" s="233" t="str">
        <f>VLOOKUP(Table8[[#This Row],[Country Code]],Table29[],6,FALSE)</f>
        <v>G20</v>
      </c>
      <c r="AV55" s="233" t="str">
        <f>VLOOKUP(Table8[[#This Row],[Country Code]],Table29[],7,FALSE)</f>
        <v>no</v>
      </c>
      <c r="AW55" s="233" t="str">
        <f>VLOOKUP(Table8[[#This Row],[Country Code]],Table29[],8,FALSE)</f>
        <v>non-OECD</v>
      </c>
      <c r="AX55" s="233" t="str">
        <f>VLOOKUP(Table8[[#This Row],[Country Code]],Table29[],9,FALSE)</f>
        <v>no</v>
      </c>
      <c r="AY55" s="233" t="str">
        <f>VLOOKUP(Table8[[#This Row],[Country Code]],Table29[],10,FALSE)</f>
        <v>no</v>
      </c>
      <c r="AZ55" s="235">
        <f>VLOOKUP(Table8[[#This Row],[Country Code]],Table29[],23,FALSE)</f>
        <v>365.68461861929001</v>
      </c>
      <c r="BA55" s="235">
        <f>VLOOKUP(Table8[[#This Row],[Country Code]],Table29[],24,FALSE)</f>
        <v>48.339727076899749</v>
      </c>
      <c r="BB55" s="320"/>
      <c r="BC55" s="320"/>
    </row>
    <row r="56" spans="1:55" ht="30" hidden="1" x14ac:dyDescent="0.25">
      <c r="A56" s="373">
        <v>32529</v>
      </c>
      <c r="B56" s="233" t="str">
        <f>VLOOKUP(Table8[[#This Row],[Document ID]],Table1[],2,FALSE)</f>
        <v>ARG</v>
      </c>
      <c r="C56" s="233" t="str">
        <f>VLOOKUP(Table8[[#This Row],[Document ID]],Table1[],3,FALSE)</f>
        <v>Argentina</v>
      </c>
      <c r="D56" s="243" t="str">
        <f>VLOOKUP(Table8[[#This Row],[Document ID]],Table1[],5,FALSE)</f>
        <v>NDC</v>
      </c>
      <c r="E56" s="233" t="str">
        <f>VLOOKUP(Table8[[#This Row],[Document ID]],Table1[],7,FALSE)</f>
        <v>Second NDC updated</v>
      </c>
      <c r="F56" s="233" t="str">
        <f>VLOOKUP(Table8[[#This Row],[Document ID]],Table1[],8,FALSE)</f>
        <v>NDC 2.1</v>
      </c>
      <c r="G56" s="233" t="str">
        <f>VLOOKUP(Table8[[#This Row],[Document ID]],Table1[],10,FALSE)</f>
        <v>Active</v>
      </c>
      <c r="H56" s="44" t="s">
        <v>2329</v>
      </c>
      <c r="I56" s="44" t="s">
        <v>2330</v>
      </c>
      <c r="J56" s="44" t="s">
        <v>2391</v>
      </c>
      <c r="K56" s="44" t="s">
        <v>2420</v>
      </c>
      <c r="L56" s="44" t="s">
        <v>2333</v>
      </c>
      <c r="M56" s="43">
        <v>7</v>
      </c>
      <c r="N56" s="113" t="s">
        <v>1113</v>
      </c>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319" t="s">
        <v>1113</v>
      </c>
      <c r="AL56" s="113"/>
      <c r="AM56" s="113"/>
      <c r="AN56" s="113"/>
      <c r="AO56" s="44" t="s">
        <v>2334</v>
      </c>
      <c r="AP56" s="43"/>
      <c r="AQ56" s="236" t="str">
        <f>VLOOKUP(Table8[[#This Row],[Instrument]],Def_Targets!$D$73:$E$159,2,FALSE)</f>
        <v>I_Hydrogen</v>
      </c>
      <c r="AR56" s="233" t="str">
        <f>VLOOKUP(Table8[[#This Row],[Country Code]],Table29[],3,FALSE)</f>
        <v>Non-Annex I</v>
      </c>
      <c r="AS56" s="233" t="str">
        <f>VLOOKUP(Table8[[#This Row],[Country Code]],Table29[],4,FALSE)</f>
        <v>Latin America and the Caribbean</v>
      </c>
      <c r="AT56" s="233" t="str">
        <f>VLOOKUP(Table8[[#This Row],[Country Code]],Table29[],5,FALSE)</f>
        <v>Middle-income</v>
      </c>
      <c r="AU56" s="233" t="str">
        <f>VLOOKUP(Table8[[#This Row],[Country Code]],Table29[],6,FALSE)</f>
        <v>G20</v>
      </c>
      <c r="AV56" s="233" t="str">
        <f>VLOOKUP(Table8[[#This Row],[Country Code]],Table29[],7,FALSE)</f>
        <v>no</v>
      </c>
      <c r="AW56" s="233" t="str">
        <f>VLOOKUP(Table8[[#This Row],[Country Code]],Table29[],8,FALSE)</f>
        <v>non-OECD</v>
      </c>
      <c r="AX56" s="233" t="str">
        <f>VLOOKUP(Table8[[#This Row],[Country Code]],Table29[],9,FALSE)</f>
        <v>no</v>
      </c>
      <c r="AY56" s="233" t="str">
        <f>VLOOKUP(Table8[[#This Row],[Country Code]],Table29[],10,FALSE)</f>
        <v>no</v>
      </c>
      <c r="AZ56" s="235">
        <f>VLOOKUP(Table8[[#This Row],[Country Code]],Table29[],23,FALSE)</f>
        <v>365.68461861929001</v>
      </c>
      <c r="BA56" s="235">
        <f>VLOOKUP(Table8[[#This Row],[Country Code]],Table29[],24,FALSE)</f>
        <v>48.339727076899749</v>
      </c>
      <c r="BB56" s="320"/>
      <c r="BC56" s="320"/>
    </row>
    <row r="57" spans="1:55" ht="30" hidden="1" x14ac:dyDescent="0.25">
      <c r="A57" s="373">
        <v>32529</v>
      </c>
      <c r="B57" s="233" t="str">
        <f>VLOOKUP(Table8[[#This Row],[Document ID]],Table1[],2,FALSE)</f>
        <v>ARG</v>
      </c>
      <c r="C57" s="233" t="str">
        <f>VLOOKUP(Table8[[#This Row],[Document ID]],Table1[],3,FALSE)</f>
        <v>Argentina</v>
      </c>
      <c r="D57" s="243" t="str">
        <f>VLOOKUP(Table8[[#This Row],[Document ID]],Table1[],5,FALSE)</f>
        <v>NDC</v>
      </c>
      <c r="E57" s="233" t="str">
        <f>VLOOKUP(Table8[[#This Row],[Document ID]],Table1[],7,FALSE)</f>
        <v>Second NDC updated</v>
      </c>
      <c r="F57" s="233" t="str">
        <f>VLOOKUP(Table8[[#This Row],[Document ID]],Table1[],8,FALSE)</f>
        <v>NDC 2.1</v>
      </c>
      <c r="G57" s="233" t="str">
        <f>VLOOKUP(Table8[[#This Row],[Document ID]],Table1[],10,FALSE)</f>
        <v>Active</v>
      </c>
      <c r="H57" s="43" t="s">
        <v>2358</v>
      </c>
      <c r="I57" s="43" t="s">
        <v>2359</v>
      </c>
      <c r="J57" s="44" t="s">
        <v>2360</v>
      </c>
      <c r="K57" s="44" t="s">
        <v>2420</v>
      </c>
      <c r="L57" s="44" t="s">
        <v>2333</v>
      </c>
      <c r="M57" s="43">
        <v>7</v>
      </c>
      <c r="N57" s="113" t="s">
        <v>1113</v>
      </c>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319" t="s">
        <v>1113</v>
      </c>
      <c r="AL57" s="113"/>
      <c r="AM57" s="113"/>
      <c r="AN57" s="113"/>
      <c r="AO57" s="44" t="s">
        <v>2334</v>
      </c>
      <c r="AP57" s="43"/>
      <c r="AQ57" s="236" t="str">
        <f>VLOOKUP(Table8[[#This Row],[Instrument]],Def_Targets!$D$73:$E$159,2,FALSE)</f>
        <v>I_Emobility</v>
      </c>
      <c r="AR57" s="233" t="str">
        <f>VLOOKUP(Table8[[#This Row],[Country Code]],Table29[],3,FALSE)</f>
        <v>Non-Annex I</v>
      </c>
      <c r="AS57" s="233" t="str">
        <f>VLOOKUP(Table8[[#This Row],[Country Code]],Table29[],4,FALSE)</f>
        <v>Latin America and the Caribbean</v>
      </c>
      <c r="AT57" s="233" t="str">
        <f>VLOOKUP(Table8[[#This Row],[Country Code]],Table29[],5,FALSE)</f>
        <v>Middle-income</v>
      </c>
      <c r="AU57" s="233" t="str">
        <f>VLOOKUP(Table8[[#This Row],[Country Code]],Table29[],6,FALSE)</f>
        <v>G20</v>
      </c>
      <c r="AV57" s="233" t="str">
        <f>VLOOKUP(Table8[[#This Row],[Country Code]],Table29[],7,FALSE)</f>
        <v>no</v>
      </c>
      <c r="AW57" s="233" t="str">
        <f>VLOOKUP(Table8[[#This Row],[Country Code]],Table29[],8,FALSE)</f>
        <v>non-OECD</v>
      </c>
      <c r="AX57" s="233" t="str">
        <f>VLOOKUP(Table8[[#This Row],[Country Code]],Table29[],9,FALSE)</f>
        <v>no</v>
      </c>
      <c r="AY57" s="233" t="str">
        <f>VLOOKUP(Table8[[#This Row],[Country Code]],Table29[],10,FALSE)</f>
        <v>no</v>
      </c>
      <c r="AZ57" s="235">
        <f>VLOOKUP(Table8[[#This Row],[Country Code]],Table29[],23,FALSE)</f>
        <v>365.68461861929001</v>
      </c>
      <c r="BA57" s="235">
        <f>VLOOKUP(Table8[[#This Row],[Country Code]],Table29[],24,FALSE)</f>
        <v>48.339727076899749</v>
      </c>
      <c r="BB57" s="320"/>
      <c r="BC57" s="320"/>
    </row>
    <row r="58" spans="1:55" hidden="1" x14ac:dyDescent="0.25">
      <c r="A58" s="373">
        <v>32529</v>
      </c>
      <c r="B58" s="233" t="str">
        <f>VLOOKUP(Table8[[#This Row],[Document ID]],Table1[],2,FALSE)</f>
        <v>ARG</v>
      </c>
      <c r="C58" s="233" t="str">
        <f>VLOOKUP(Table8[[#This Row],[Document ID]],Table1[],3,FALSE)</f>
        <v>Argentina</v>
      </c>
      <c r="D58" s="243" t="str">
        <f>VLOOKUP(Table8[[#This Row],[Document ID]],Table1[],5,FALSE)</f>
        <v>NDC</v>
      </c>
      <c r="E58" s="233" t="str">
        <f>VLOOKUP(Table8[[#This Row],[Document ID]],Table1[],7,FALSE)</f>
        <v>Second NDC updated</v>
      </c>
      <c r="F58" s="233" t="str">
        <f>VLOOKUP(Table8[[#This Row],[Document ID]],Table1[],8,FALSE)</f>
        <v>NDC 2.1</v>
      </c>
      <c r="G58" s="233" t="str">
        <f>VLOOKUP(Table8[[#This Row],[Document ID]],Table1[],10,FALSE)</f>
        <v>Active</v>
      </c>
      <c r="H58" s="44" t="s">
        <v>2338</v>
      </c>
      <c r="I58" s="44" t="s">
        <v>2339</v>
      </c>
      <c r="J58" s="44" t="s">
        <v>2355</v>
      </c>
      <c r="K58" s="44" t="s">
        <v>2421</v>
      </c>
      <c r="L58" s="44" t="s">
        <v>2333</v>
      </c>
      <c r="M58" s="43">
        <v>77</v>
      </c>
      <c r="N58" s="113" t="s">
        <v>1113</v>
      </c>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t="s">
        <v>1113</v>
      </c>
      <c r="AM58" s="113"/>
      <c r="AN58" s="113"/>
      <c r="AO58" s="43" t="s">
        <v>2348</v>
      </c>
      <c r="AP58" s="43"/>
      <c r="AQ58" s="236" t="str">
        <f>VLOOKUP(Table8[[#This Row],[Instrument]],Def_Targets!$D$73:$E$159,2,FALSE)</f>
        <v>I_Vehiclelabel</v>
      </c>
      <c r="AR58" s="233" t="str">
        <f>VLOOKUP(Table8[[#This Row],[Country Code]],Table29[],3,FALSE)</f>
        <v>Non-Annex I</v>
      </c>
      <c r="AS58" s="233" t="str">
        <f>VLOOKUP(Table8[[#This Row],[Country Code]],Table29[],4,FALSE)</f>
        <v>Latin America and the Caribbean</v>
      </c>
      <c r="AT58" s="233" t="str">
        <f>VLOOKUP(Table8[[#This Row],[Country Code]],Table29[],5,FALSE)</f>
        <v>Middle-income</v>
      </c>
      <c r="AU58" s="233" t="str">
        <f>VLOOKUP(Table8[[#This Row],[Country Code]],Table29[],6,FALSE)</f>
        <v>G20</v>
      </c>
      <c r="AV58" s="233" t="str">
        <f>VLOOKUP(Table8[[#This Row],[Country Code]],Table29[],7,FALSE)</f>
        <v>no</v>
      </c>
      <c r="AW58" s="233" t="str">
        <f>VLOOKUP(Table8[[#This Row],[Country Code]],Table29[],8,FALSE)</f>
        <v>non-OECD</v>
      </c>
      <c r="AX58" s="233" t="str">
        <f>VLOOKUP(Table8[[#This Row],[Country Code]],Table29[],9,FALSE)</f>
        <v>no</v>
      </c>
      <c r="AY58" s="233" t="str">
        <f>VLOOKUP(Table8[[#This Row],[Country Code]],Table29[],10,FALSE)</f>
        <v>no</v>
      </c>
      <c r="AZ58" s="235">
        <f>VLOOKUP(Table8[[#This Row],[Country Code]],Table29[],23,FALSE)</f>
        <v>365.68461861929001</v>
      </c>
      <c r="BA58" s="235">
        <f>VLOOKUP(Table8[[#This Row],[Country Code]],Table29[],24,FALSE)</f>
        <v>48.339727076899749</v>
      </c>
      <c r="BB58" s="320"/>
      <c r="BC58" s="320"/>
    </row>
    <row r="59" spans="1:55" hidden="1" x14ac:dyDescent="0.25">
      <c r="A59" s="373">
        <v>32529</v>
      </c>
      <c r="B59" s="233" t="str">
        <f>VLOOKUP(Table8[[#This Row],[Document ID]],Table1[],2,FALSE)</f>
        <v>ARG</v>
      </c>
      <c r="C59" s="233" t="str">
        <f>VLOOKUP(Table8[[#This Row],[Document ID]],Table1[],3,FALSE)</f>
        <v>Argentina</v>
      </c>
      <c r="D59" s="243" t="str">
        <f>VLOOKUP(Table8[[#This Row],[Document ID]],Table1[],5,FALSE)</f>
        <v>NDC</v>
      </c>
      <c r="E59" s="233" t="str">
        <f>VLOOKUP(Table8[[#This Row],[Document ID]],Table1[],7,FALSE)</f>
        <v>Second NDC updated</v>
      </c>
      <c r="F59" s="233" t="str">
        <f>VLOOKUP(Table8[[#This Row],[Document ID]],Table1[],8,FALSE)</f>
        <v>NDC 2.1</v>
      </c>
      <c r="G59" s="233" t="str">
        <f>VLOOKUP(Table8[[#This Row],[Document ID]],Table1[],10,FALSE)</f>
        <v>Active</v>
      </c>
      <c r="H59" s="44" t="s">
        <v>2329</v>
      </c>
      <c r="I59" s="44" t="s">
        <v>2330</v>
      </c>
      <c r="J59" s="44" t="s">
        <v>2331</v>
      </c>
      <c r="K59" s="44" t="s">
        <v>2422</v>
      </c>
      <c r="L59" s="44" t="s">
        <v>2333</v>
      </c>
      <c r="M59" s="43">
        <v>77</v>
      </c>
      <c r="N59" s="113"/>
      <c r="O59" s="113"/>
      <c r="P59" s="113"/>
      <c r="Q59" s="113"/>
      <c r="R59" s="113"/>
      <c r="S59" s="113"/>
      <c r="T59" s="113"/>
      <c r="U59" s="113"/>
      <c r="V59" s="113"/>
      <c r="W59" s="113"/>
      <c r="X59" s="113"/>
      <c r="Y59" s="113" t="s">
        <v>1113</v>
      </c>
      <c r="Z59" s="113"/>
      <c r="AA59" s="113"/>
      <c r="AB59" s="113"/>
      <c r="AC59" s="113"/>
      <c r="AD59" s="113"/>
      <c r="AE59" s="113"/>
      <c r="AF59" s="113"/>
      <c r="AG59" s="113"/>
      <c r="AH59" s="113"/>
      <c r="AI59" s="113"/>
      <c r="AJ59" s="113"/>
      <c r="AK59" s="113"/>
      <c r="AL59" s="113" t="s">
        <v>1113</v>
      </c>
      <c r="AM59" s="113"/>
      <c r="AN59" s="113"/>
      <c r="AO59" s="43" t="s">
        <v>2348</v>
      </c>
      <c r="AP59" s="43"/>
      <c r="AQ59" s="236" t="str">
        <f>VLOOKUP(Table8[[#This Row],[Instrument]],Def_Targets!$D$73:$E$159,2,FALSE)</f>
        <v>I_Altfuels</v>
      </c>
      <c r="AR59" s="233" t="str">
        <f>VLOOKUP(Table8[[#This Row],[Country Code]],Table29[],3,FALSE)</f>
        <v>Non-Annex I</v>
      </c>
      <c r="AS59" s="233" t="str">
        <f>VLOOKUP(Table8[[#This Row],[Country Code]],Table29[],4,FALSE)</f>
        <v>Latin America and the Caribbean</v>
      </c>
      <c r="AT59" s="233" t="str">
        <f>VLOOKUP(Table8[[#This Row],[Country Code]],Table29[],5,FALSE)</f>
        <v>Middle-income</v>
      </c>
      <c r="AU59" s="233" t="str">
        <f>VLOOKUP(Table8[[#This Row],[Country Code]],Table29[],6,FALSE)</f>
        <v>G20</v>
      </c>
      <c r="AV59" s="233" t="str">
        <f>VLOOKUP(Table8[[#This Row],[Country Code]],Table29[],7,FALSE)</f>
        <v>no</v>
      </c>
      <c r="AW59" s="233" t="str">
        <f>VLOOKUP(Table8[[#This Row],[Country Code]],Table29[],8,FALSE)</f>
        <v>non-OECD</v>
      </c>
      <c r="AX59" s="233" t="str">
        <f>VLOOKUP(Table8[[#This Row],[Country Code]],Table29[],9,FALSE)</f>
        <v>no</v>
      </c>
      <c r="AY59" s="233" t="str">
        <f>VLOOKUP(Table8[[#This Row],[Country Code]],Table29[],10,FALSE)</f>
        <v>no</v>
      </c>
      <c r="AZ59" s="235">
        <f>VLOOKUP(Table8[[#This Row],[Country Code]],Table29[],23,FALSE)</f>
        <v>365.68461861929001</v>
      </c>
      <c r="BA59" s="235">
        <f>VLOOKUP(Table8[[#This Row],[Country Code]],Table29[],24,FALSE)</f>
        <v>48.339727076899749</v>
      </c>
      <c r="BB59" s="320"/>
      <c r="BC59" s="320"/>
    </row>
    <row r="60" spans="1:55" hidden="1" x14ac:dyDescent="0.25">
      <c r="A60" s="373">
        <v>32529</v>
      </c>
      <c r="B60" s="233" t="str">
        <f>VLOOKUP(Table8[[#This Row],[Document ID]],Table1[],2,FALSE)</f>
        <v>ARG</v>
      </c>
      <c r="C60" s="233" t="str">
        <f>VLOOKUP(Table8[[#This Row],[Document ID]],Table1[],3,FALSE)</f>
        <v>Argentina</v>
      </c>
      <c r="D60" s="243" t="str">
        <f>VLOOKUP(Table8[[#This Row],[Document ID]],Table1[],5,FALSE)</f>
        <v>NDC</v>
      </c>
      <c r="E60" s="233" t="str">
        <f>VLOOKUP(Table8[[#This Row],[Document ID]],Table1[],7,FALSE)</f>
        <v>Second NDC updated</v>
      </c>
      <c r="F60" s="233" t="str">
        <f>VLOOKUP(Table8[[#This Row],[Document ID]],Table1[],8,FALSE)</f>
        <v>NDC 2.1</v>
      </c>
      <c r="G60" s="233" t="str">
        <f>VLOOKUP(Table8[[#This Row],[Document ID]],Table1[],10,FALSE)</f>
        <v>Active</v>
      </c>
      <c r="H60" s="43" t="s">
        <v>2343</v>
      </c>
      <c r="I60" s="43" t="s">
        <v>2361</v>
      </c>
      <c r="J60" s="44" t="s">
        <v>2366</v>
      </c>
      <c r="K60" s="44" t="s">
        <v>2423</v>
      </c>
      <c r="L60" s="44" t="s">
        <v>2347</v>
      </c>
      <c r="M60" s="43">
        <v>77</v>
      </c>
      <c r="N60" s="113"/>
      <c r="O60" s="113"/>
      <c r="P60" s="113" t="s">
        <v>1113</v>
      </c>
      <c r="Q60" s="113"/>
      <c r="R60" s="113"/>
      <c r="S60" s="113"/>
      <c r="T60" s="113"/>
      <c r="U60" s="113"/>
      <c r="V60" s="113"/>
      <c r="W60" s="113"/>
      <c r="X60" s="113"/>
      <c r="Y60" s="113"/>
      <c r="Z60" s="113"/>
      <c r="AA60" s="113"/>
      <c r="AB60" s="113"/>
      <c r="AC60" s="113"/>
      <c r="AD60" s="113"/>
      <c r="AE60" s="113"/>
      <c r="AF60" s="113"/>
      <c r="AG60" s="113"/>
      <c r="AH60" s="113"/>
      <c r="AI60" s="113"/>
      <c r="AJ60" s="113"/>
      <c r="AK60" s="113"/>
      <c r="AL60" s="113" t="s">
        <v>1113</v>
      </c>
      <c r="AM60" s="113"/>
      <c r="AN60" s="113"/>
      <c r="AO60" s="43" t="s">
        <v>2348</v>
      </c>
      <c r="AP60" s="43"/>
      <c r="AQ60" s="236" t="str">
        <f>VLOOKUP(Table8[[#This Row],[Instrument]],Def_Targets!$D$73:$E$159,2,FALSE)</f>
        <v>S_Activemobility</v>
      </c>
      <c r="AR60" s="233" t="str">
        <f>VLOOKUP(Table8[[#This Row],[Country Code]],Table29[],3,FALSE)</f>
        <v>Non-Annex I</v>
      </c>
      <c r="AS60" s="233" t="str">
        <f>VLOOKUP(Table8[[#This Row],[Country Code]],Table29[],4,FALSE)</f>
        <v>Latin America and the Caribbean</v>
      </c>
      <c r="AT60" s="233" t="str">
        <f>VLOOKUP(Table8[[#This Row],[Country Code]],Table29[],5,FALSE)</f>
        <v>Middle-income</v>
      </c>
      <c r="AU60" s="233" t="str">
        <f>VLOOKUP(Table8[[#This Row],[Country Code]],Table29[],6,FALSE)</f>
        <v>G20</v>
      </c>
      <c r="AV60" s="233" t="str">
        <f>VLOOKUP(Table8[[#This Row],[Country Code]],Table29[],7,FALSE)</f>
        <v>no</v>
      </c>
      <c r="AW60" s="233" t="str">
        <f>VLOOKUP(Table8[[#This Row],[Country Code]],Table29[],8,FALSE)</f>
        <v>non-OECD</v>
      </c>
      <c r="AX60" s="233" t="str">
        <f>VLOOKUP(Table8[[#This Row],[Country Code]],Table29[],9,FALSE)</f>
        <v>no</v>
      </c>
      <c r="AY60" s="233" t="str">
        <f>VLOOKUP(Table8[[#This Row],[Country Code]],Table29[],10,FALSE)</f>
        <v>no</v>
      </c>
      <c r="AZ60" s="235">
        <f>VLOOKUP(Table8[[#This Row],[Country Code]],Table29[],23,FALSE)</f>
        <v>365.68461861929001</v>
      </c>
      <c r="BA60" s="235">
        <f>VLOOKUP(Table8[[#This Row],[Country Code]],Table29[],24,FALSE)</f>
        <v>48.339727076899749</v>
      </c>
      <c r="BB60" s="320"/>
      <c r="BC60" s="320"/>
    </row>
    <row r="61" spans="1:55" hidden="1" x14ac:dyDescent="0.25">
      <c r="A61" s="373">
        <v>32529</v>
      </c>
      <c r="B61" s="233" t="str">
        <f>VLOOKUP(Table8[[#This Row],[Document ID]],Table1[],2,FALSE)</f>
        <v>ARG</v>
      </c>
      <c r="C61" s="233" t="str">
        <f>VLOOKUP(Table8[[#This Row],[Document ID]],Table1[],3,FALSE)</f>
        <v>Argentina</v>
      </c>
      <c r="D61" s="243" t="str">
        <f>VLOOKUP(Table8[[#This Row],[Document ID]],Table1[],5,FALSE)</f>
        <v>NDC</v>
      </c>
      <c r="E61" s="233" t="str">
        <f>VLOOKUP(Table8[[#This Row],[Document ID]],Table1[],7,FALSE)</f>
        <v>Second NDC updated</v>
      </c>
      <c r="F61" s="233" t="str">
        <f>VLOOKUP(Table8[[#This Row],[Document ID]],Table1[],8,FALSE)</f>
        <v>NDC 2.1</v>
      </c>
      <c r="G61" s="233" t="str">
        <f>VLOOKUP(Table8[[#This Row],[Document ID]],Table1[],10,FALSE)</f>
        <v>Active</v>
      </c>
      <c r="H61" s="43" t="s">
        <v>2358</v>
      </c>
      <c r="I61" s="43" t="s">
        <v>2359</v>
      </c>
      <c r="J61" s="44" t="s">
        <v>2360</v>
      </c>
      <c r="K61" s="44" t="s">
        <v>2424</v>
      </c>
      <c r="L61" s="44" t="s">
        <v>2333</v>
      </c>
      <c r="M61" s="43">
        <v>77</v>
      </c>
      <c r="N61" s="113"/>
      <c r="O61" s="113"/>
      <c r="P61" s="113"/>
      <c r="Q61" s="113"/>
      <c r="R61" s="113"/>
      <c r="S61" s="113" t="s">
        <v>1113</v>
      </c>
      <c r="T61" s="113"/>
      <c r="U61" s="113"/>
      <c r="V61" s="113"/>
      <c r="W61" s="113"/>
      <c r="X61" s="113"/>
      <c r="Y61" s="113"/>
      <c r="Z61" s="113"/>
      <c r="AA61" s="113"/>
      <c r="AB61" s="113"/>
      <c r="AC61" s="113"/>
      <c r="AD61" s="113"/>
      <c r="AE61" s="113"/>
      <c r="AF61" s="113"/>
      <c r="AG61" s="113"/>
      <c r="AH61" s="113"/>
      <c r="AI61" s="113"/>
      <c r="AJ61" s="113"/>
      <c r="AK61" s="113"/>
      <c r="AL61" s="113" t="s">
        <v>1113</v>
      </c>
      <c r="AM61" s="113"/>
      <c r="AN61" s="113"/>
      <c r="AO61" s="43" t="s">
        <v>2348</v>
      </c>
      <c r="AP61" s="43"/>
      <c r="AQ61" s="236" t="str">
        <f>VLOOKUP(Table8[[#This Row],[Instrument]],Def_Targets!$D$73:$E$159,2,FALSE)</f>
        <v>I_Emobility</v>
      </c>
      <c r="AR61" s="233" t="str">
        <f>VLOOKUP(Table8[[#This Row],[Country Code]],Table29[],3,FALSE)</f>
        <v>Non-Annex I</v>
      </c>
      <c r="AS61" s="233" t="str">
        <f>VLOOKUP(Table8[[#This Row],[Country Code]],Table29[],4,FALSE)</f>
        <v>Latin America and the Caribbean</v>
      </c>
      <c r="AT61" s="233" t="str">
        <f>VLOOKUP(Table8[[#This Row],[Country Code]],Table29[],5,FALSE)</f>
        <v>Middle-income</v>
      </c>
      <c r="AU61" s="233" t="str">
        <f>VLOOKUP(Table8[[#This Row],[Country Code]],Table29[],6,FALSE)</f>
        <v>G20</v>
      </c>
      <c r="AV61" s="233" t="str">
        <f>VLOOKUP(Table8[[#This Row],[Country Code]],Table29[],7,FALSE)</f>
        <v>no</v>
      </c>
      <c r="AW61" s="233" t="str">
        <f>VLOOKUP(Table8[[#This Row],[Country Code]],Table29[],8,FALSE)</f>
        <v>non-OECD</v>
      </c>
      <c r="AX61" s="233" t="str">
        <f>VLOOKUP(Table8[[#This Row],[Country Code]],Table29[],9,FALSE)</f>
        <v>no</v>
      </c>
      <c r="AY61" s="233" t="str">
        <f>VLOOKUP(Table8[[#This Row],[Country Code]],Table29[],10,FALSE)</f>
        <v>no</v>
      </c>
      <c r="AZ61" s="235">
        <f>VLOOKUP(Table8[[#This Row],[Country Code]],Table29[],23,FALSE)</f>
        <v>365.68461861929001</v>
      </c>
      <c r="BA61" s="235">
        <f>VLOOKUP(Table8[[#This Row],[Country Code]],Table29[],24,FALSE)</f>
        <v>48.339727076899749</v>
      </c>
      <c r="BB61" s="320"/>
      <c r="BC61" s="320"/>
    </row>
    <row r="62" spans="1:55" ht="30" hidden="1" x14ac:dyDescent="0.25">
      <c r="A62" s="373">
        <v>32529</v>
      </c>
      <c r="B62" s="233" t="str">
        <f>VLOOKUP(Table8[[#This Row],[Document ID]],Table1[],2,FALSE)</f>
        <v>ARG</v>
      </c>
      <c r="C62" s="233" t="str">
        <f>VLOOKUP(Table8[[#This Row],[Document ID]],Table1[],3,FALSE)</f>
        <v>Argentina</v>
      </c>
      <c r="D62" s="243" t="str">
        <f>VLOOKUP(Table8[[#This Row],[Document ID]],Table1[],5,FALSE)</f>
        <v>NDC</v>
      </c>
      <c r="E62" s="233" t="str">
        <f>VLOOKUP(Table8[[#This Row],[Document ID]],Table1[],7,FALSE)</f>
        <v>Second NDC updated</v>
      </c>
      <c r="F62" s="233" t="str">
        <f>VLOOKUP(Table8[[#This Row],[Document ID]],Table1[],8,FALSE)</f>
        <v>NDC 2.1</v>
      </c>
      <c r="G62" s="233" t="str">
        <f>VLOOKUP(Table8[[#This Row],[Document ID]],Table1[],10,FALSE)</f>
        <v>Active</v>
      </c>
      <c r="H62" s="44" t="s">
        <v>2329</v>
      </c>
      <c r="I62" s="44" t="s">
        <v>2330</v>
      </c>
      <c r="J62" s="44" t="s">
        <v>2357</v>
      </c>
      <c r="K62" s="44" t="s">
        <v>2420</v>
      </c>
      <c r="L62" s="44" t="s">
        <v>2333</v>
      </c>
      <c r="M62" s="43">
        <v>7</v>
      </c>
      <c r="N62" s="113" t="s">
        <v>1113</v>
      </c>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319" t="s">
        <v>1113</v>
      </c>
      <c r="AL62" s="113"/>
      <c r="AM62" s="113"/>
      <c r="AN62" s="113"/>
      <c r="AO62" s="44" t="s">
        <v>2334</v>
      </c>
      <c r="AP62" s="43"/>
      <c r="AQ62" s="236" t="str">
        <f>VLOOKUP(Table8[[#This Row],[Instrument]],Def_Targets!$D$73:$E$159,2,FALSE)</f>
        <v>I_Biofuel</v>
      </c>
      <c r="AR62" s="233" t="str">
        <f>VLOOKUP(Table8[[#This Row],[Country Code]],Table29[],3,FALSE)</f>
        <v>Non-Annex I</v>
      </c>
      <c r="AS62" s="233" t="str">
        <f>VLOOKUP(Table8[[#This Row],[Country Code]],Table29[],4,FALSE)</f>
        <v>Latin America and the Caribbean</v>
      </c>
      <c r="AT62" s="233" t="str">
        <f>VLOOKUP(Table8[[#This Row],[Country Code]],Table29[],5,FALSE)</f>
        <v>Middle-income</v>
      </c>
      <c r="AU62" s="233" t="str">
        <f>VLOOKUP(Table8[[#This Row],[Country Code]],Table29[],6,FALSE)</f>
        <v>G20</v>
      </c>
      <c r="AV62" s="233" t="str">
        <f>VLOOKUP(Table8[[#This Row],[Country Code]],Table29[],7,FALSE)</f>
        <v>no</v>
      </c>
      <c r="AW62" s="233" t="str">
        <f>VLOOKUP(Table8[[#This Row],[Country Code]],Table29[],8,FALSE)</f>
        <v>non-OECD</v>
      </c>
      <c r="AX62" s="233" t="str">
        <f>VLOOKUP(Table8[[#This Row],[Country Code]],Table29[],9,FALSE)</f>
        <v>no</v>
      </c>
      <c r="AY62" s="233" t="str">
        <f>VLOOKUP(Table8[[#This Row],[Country Code]],Table29[],10,FALSE)</f>
        <v>no</v>
      </c>
      <c r="AZ62" s="235">
        <f>VLOOKUP(Table8[[#This Row],[Country Code]],Table29[],23,FALSE)</f>
        <v>365.68461861929001</v>
      </c>
      <c r="BA62" s="235">
        <f>VLOOKUP(Table8[[#This Row],[Country Code]],Table29[],24,FALSE)</f>
        <v>48.339727076899749</v>
      </c>
      <c r="BB62" s="320"/>
      <c r="BC62" s="320"/>
    </row>
    <row r="63" spans="1:55" hidden="1" x14ac:dyDescent="0.25">
      <c r="A63" s="373">
        <v>32529</v>
      </c>
      <c r="B63" s="233" t="str">
        <f>VLOOKUP(Table8[[#This Row],[Document ID]],Table1[],2,FALSE)</f>
        <v>ARG</v>
      </c>
      <c r="C63" s="233" t="str">
        <f>VLOOKUP(Table8[[#This Row],[Document ID]],Table1[],3,FALSE)</f>
        <v>Argentina</v>
      </c>
      <c r="D63" s="243" t="str">
        <f>VLOOKUP(Table8[[#This Row],[Document ID]],Table1[],5,FALSE)</f>
        <v>NDC</v>
      </c>
      <c r="E63" s="233" t="str">
        <f>VLOOKUP(Table8[[#This Row],[Document ID]],Table1[],7,FALSE)</f>
        <v>Second NDC updated</v>
      </c>
      <c r="F63" s="233" t="str">
        <f>VLOOKUP(Table8[[#This Row],[Document ID]],Table1[],8,FALSE)</f>
        <v>NDC 2.1</v>
      </c>
      <c r="G63" s="233" t="str">
        <f>VLOOKUP(Table8[[#This Row],[Document ID]],Table1[],10,FALSE)</f>
        <v>Active</v>
      </c>
      <c r="H63" s="44" t="s">
        <v>2338</v>
      </c>
      <c r="I63" s="44" t="s">
        <v>2339</v>
      </c>
      <c r="J63" s="44" t="s">
        <v>2425</v>
      </c>
      <c r="K63" s="44" t="s">
        <v>2426</v>
      </c>
      <c r="L63" s="44" t="s">
        <v>2333</v>
      </c>
      <c r="M63" s="43">
        <v>77</v>
      </c>
      <c r="N63" s="113"/>
      <c r="O63" s="113"/>
      <c r="P63" s="113"/>
      <c r="Q63" s="113"/>
      <c r="R63" s="113"/>
      <c r="S63" s="113"/>
      <c r="T63" s="113"/>
      <c r="U63" s="113"/>
      <c r="V63" s="113"/>
      <c r="W63" s="113"/>
      <c r="X63" s="113"/>
      <c r="Y63" s="113" t="s">
        <v>1113</v>
      </c>
      <c r="Z63" s="113"/>
      <c r="AA63" s="113"/>
      <c r="AB63" s="113"/>
      <c r="AC63" s="113"/>
      <c r="AD63" s="113"/>
      <c r="AE63" s="113"/>
      <c r="AF63" s="113"/>
      <c r="AG63" s="113"/>
      <c r="AH63" s="113"/>
      <c r="AI63" s="113"/>
      <c r="AJ63" s="113"/>
      <c r="AK63" s="113"/>
      <c r="AL63" s="113" t="s">
        <v>1113</v>
      </c>
      <c r="AM63" s="113"/>
      <c r="AN63" s="113"/>
      <c r="AO63" s="43" t="s">
        <v>2348</v>
      </c>
      <c r="AP63" s="43"/>
      <c r="AQ63" s="236" t="str">
        <f>VLOOKUP(Table8[[#This Row],[Instrument]],Def_Targets!$D$73:$E$159,2,FALSE)</f>
        <v>I_Efficiencystd</v>
      </c>
      <c r="AR63" s="233" t="str">
        <f>VLOOKUP(Table8[[#This Row],[Country Code]],Table29[],3,FALSE)</f>
        <v>Non-Annex I</v>
      </c>
      <c r="AS63" s="233" t="str">
        <f>VLOOKUP(Table8[[#This Row],[Country Code]],Table29[],4,FALSE)</f>
        <v>Latin America and the Caribbean</v>
      </c>
      <c r="AT63" s="233" t="str">
        <f>VLOOKUP(Table8[[#This Row],[Country Code]],Table29[],5,FALSE)</f>
        <v>Middle-income</v>
      </c>
      <c r="AU63" s="233" t="str">
        <f>VLOOKUP(Table8[[#This Row],[Country Code]],Table29[],6,FALSE)</f>
        <v>G20</v>
      </c>
      <c r="AV63" s="233" t="str">
        <f>VLOOKUP(Table8[[#This Row],[Country Code]],Table29[],7,FALSE)</f>
        <v>no</v>
      </c>
      <c r="AW63" s="233" t="str">
        <f>VLOOKUP(Table8[[#This Row],[Country Code]],Table29[],8,FALSE)</f>
        <v>non-OECD</v>
      </c>
      <c r="AX63" s="233" t="str">
        <f>VLOOKUP(Table8[[#This Row],[Country Code]],Table29[],9,FALSE)</f>
        <v>no</v>
      </c>
      <c r="AY63" s="233" t="str">
        <f>VLOOKUP(Table8[[#This Row],[Country Code]],Table29[],10,FALSE)</f>
        <v>no</v>
      </c>
      <c r="AZ63" s="235">
        <f>VLOOKUP(Table8[[#This Row],[Country Code]],Table29[],23,FALSE)</f>
        <v>365.68461861929001</v>
      </c>
      <c r="BA63" s="235">
        <f>VLOOKUP(Table8[[#This Row],[Country Code]],Table29[],24,FALSE)</f>
        <v>48.339727076899749</v>
      </c>
      <c r="BB63" s="320"/>
      <c r="BC63" s="320"/>
    </row>
    <row r="64" spans="1:55" hidden="1" x14ac:dyDescent="0.25">
      <c r="A64" s="373">
        <v>32529</v>
      </c>
      <c r="B64" s="233" t="str">
        <f>VLOOKUP(Table8[[#This Row],[Document ID]],Table1[],2,FALSE)</f>
        <v>ARG</v>
      </c>
      <c r="C64" s="233" t="str">
        <f>VLOOKUP(Table8[[#This Row],[Document ID]],Table1[],3,FALSE)</f>
        <v>Argentina</v>
      </c>
      <c r="D64" s="243" t="str">
        <f>VLOOKUP(Table8[[#This Row],[Document ID]],Table1[],5,FALSE)</f>
        <v>NDC</v>
      </c>
      <c r="E64" s="233" t="str">
        <f>VLOOKUP(Table8[[#This Row],[Document ID]],Table1[],7,FALSE)</f>
        <v>Second NDC updated</v>
      </c>
      <c r="F64" s="233" t="str">
        <f>VLOOKUP(Table8[[#This Row],[Document ID]],Table1[],8,FALSE)</f>
        <v>NDC 2.1</v>
      </c>
      <c r="G64" s="233" t="str">
        <f>VLOOKUP(Table8[[#This Row],[Document ID]],Table1[],10,FALSE)</f>
        <v>Active</v>
      </c>
      <c r="H64" s="43" t="s">
        <v>2350</v>
      </c>
      <c r="I64" s="43" t="s">
        <v>2351</v>
      </c>
      <c r="J64" s="44" t="s">
        <v>2427</v>
      </c>
      <c r="K64" s="44" t="s">
        <v>2428</v>
      </c>
      <c r="L64" s="44" t="s">
        <v>2380</v>
      </c>
      <c r="M64" s="43">
        <v>77</v>
      </c>
      <c r="N64" s="113"/>
      <c r="O64" s="113"/>
      <c r="P64" s="113"/>
      <c r="Q64" s="113"/>
      <c r="R64" s="113"/>
      <c r="S64" s="113"/>
      <c r="T64" s="113"/>
      <c r="U64" s="113"/>
      <c r="V64" s="113"/>
      <c r="W64" s="113"/>
      <c r="X64" s="113" t="s">
        <v>1113</v>
      </c>
      <c r="Y64" s="113"/>
      <c r="Z64" s="113"/>
      <c r="AA64" s="113"/>
      <c r="AB64" s="113"/>
      <c r="AC64" s="113"/>
      <c r="AD64" s="113"/>
      <c r="AE64" s="113"/>
      <c r="AF64" s="113"/>
      <c r="AG64" s="113"/>
      <c r="AH64" s="113"/>
      <c r="AI64" s="113"/>
      <c r="AJ64" s="113"/>
      <c r="AK64" s="319" t="s">
        <v>1113</v>
      </c>
      <c r="AL64" s="113"/>
      <c r="AM64" s="113"/>
      <c r="AN64" s="113"/>
      <c r="AO64" s="43" t="s">
        <v>2353</v>
      </c>
      <c r="AP64" s="43"/>
      <c r="AQ64" s="236" t="str">
        <f>VLOOKUP(Table8[[#This Row],[Instrument]],Def_Targets!$D$73:$E$159,2,FALSE)</f>
        <v>I_Load</v>
      </c>
      <c r="AR64" s="233" t="str">
        <f>VLOOKUP(Table8[[#This Row],[Country Code]],Table29[],3,FALSE)</f>
        <v>Non-Annex I</v>
      </c>
      <c r="AS64" s="233" t="str">
        <f>VLOOKUP(Table8[[#This Row],[Country Code]],Table29[],4,FALSE)</f>
        <v>Latin America and the Caribbean</v>
      </c>
      <c r="AT64" s="233" t="str">
        <f>VLOOKUP(Table8[[#This Row],[Country Code]],Table29[],5,FALSE)</f>
        <v>Middle-income</v>
      </c>
      <c r="AU64" s="233" t="str">
        <f>VLOOKUP(Table8[[#This Row],[Country Code]],Table29[],6,FALSE)</f>
        <v>G20</v>
      </c>
      <c r="AV64" s="233" t="str">
        <f>VLOOKUP(Table8[[#This Row],[Country Code]],Table29[],7,FALSE)</f>
        <v>no</v>
      </c>
      <c r="AW64" s="233" t="str">
        <f>VLOOKUP(Table8[[#This Row],[Country Code]],Table29[],8,FALSE)</f>
        <v>non-OECD</v>
      </c>
      <c r="AX64" s="233" t="str">
        <f>VLOOKUP(Table8[[#This Row],[Country Code]],Table29[],9,FALSE)</f>
        <v>no</v>
      </c>
      <c r="AY64" s="233" t="str">
        <f>VLOOKUP(Table8[[#This Row],[Country Code]],Table29[],10,FALSE)</f>
        <v>no</v>
      </c>
      <c r="AZ64" s="235">
        <f>VLOOKUP(Table8[[#This Row],[Country Code]],Table29[],23,FALSE)</f>
        <v>365.68461861929001</v>
      </c>
      <c r="BA64" s="235">
        <f>VLOOKUP(Table8[[#This Row],[Country Code]],Table29[],24,FALSE)</f>
        <v>48.339727076899749</v>
      </c>
      <c r="BB64" s="320"/>
      <c r="BC64" s="320"/>
    </row>
    <row r="65" spans="1:55" hidden="1" x14ac:dyDescent="0.25">
      <c r="A65" s="373">
        <v>32529</v>
      </c>
      <c r="B65" s="233" t="str">
        <f>VLOOKUP(Table8[[#This Row],[Document ID]],Table1[],2,FALSE)</f>
        <v>ARG</v>
      </c>
      <c r="C65" s="233" t="str">
        <f>VLOOKUP(Table8[[#This Row],[Document ID]],Table1[],3,FALSE)</f>
        <v>Argentina</v>
      </c>
      <c r="D65" s="243" t="str">
        <f>VLOOKUP(Table8[[#This Row],[Document ID]],Table1[],5,FALSE)</f>
        <v>NDC</v>
      </c>
      <c r="E65" s="233" t="str">
        <f>VLOOKUP(Table8[[#This Row],[Document ID]],Table1[],7,FALSE)</f>
        <v>Second NDC updated</v>
      </c>
      <c r="F65" s="233" t="str">
        <f>VLOOKUP(Table8[[#This Row],[Document ID]],Table1[],8,FALSE)</f>
        <v>NDC 2.1</v>
      </c>
      <c r="G65" s="233" t="str">
        <f>VLOOKUP(Table8[[#This Row],[Document ID]],Table1[],10,FALSE)</f>
        <v>Active</v>
      </c>
      <c r="H65" s="43" t="s">
        <v>2343</v>
      </c>
      <c r="I65" s="43" t="s">
        <v>2429</v>
      </c>
      <c r="J65" s="44" t="s">
        <v>2430</v>
      </c>
      <c r="K65" s="44" t="s">
        <v>2431</v>
      </c>
      <c r="L65" s="44" t="s">
        <v>2333</v>
      </c>
      <c r="M65" s="43">
        <v>77</v>
      </c>
      <c r="N65" s="113"/>
      <c r="O65" s="113"/>
      <c r="P65" s="113"/>
      <c r="Q65" s="113"/>
      <c r="R65" s="113"/>
      <c r="S65" s="113"/>
      <c r="T65" s="113"/>
      <c r="U65" s="113"/>
      <c r="V65" s="113"/>
      <c r="W65" s="113"/>
      <c r="X65" s="113" t="s">
        <v>1113</v>
      </c>
      <c r="Y65" s="113"/>
      <c r="Z65" s="113"/>
      <c r="AA65" s="113"/>
      <c r="AB65" s="113"/>
      <c r="AC65" s="113"/>
      <c r="AD65" s="113"/>
      <c r="AE65" s="113"/>
      <c r="AF65" s="113"/>
      <c r="AG65" s="113"/>
      <c r="AH65" s="113"/>
      <c r="AI65" s="113"/>
      <c r="AJ65" s="113"/>
      <c r="AK65" s="319" t="s">
        <v>1113</v>
      </c>
      <c r="AL65" s="113"/>
      <c r="AM65" s="113"/>
      <c r="AN65" s="113"/>
      <c r="AO65" s="44" t="s">
        <v>2334</v>
      </c>
      <c r="AP65" s="43"/>
      <c r="AQ65" s="236" t="str">
        <f>VLOOKUP(Table8[[#This Row],[Instrument]],Def_Targets!$D$73:$E$159,2,FALSE)</f>
        <v>I_ITS</v>
      </c>
      <c r="AR65" s="233" t="str">
        <f>VLOOKUP(Table8[[#This Row],[Country Code]],Table29[],3,FALSE)</f>
        <v>Non-Annex I</v>
      </c>
      <c r="AS65" s="233" t="str">
        <f>VLOOKUP(Table8[[#This Row],[Country Code]],Table29[],4,FALSE)</f>
        <v>Latin America and the Caribbean</v>
      </c>
      <c r="AT65" s="233" t="str">
        <f>VLOOKUP(Table8[[#This Row],[Country Code]],Table29[],5,FALSE)</f>
        <v>Middle-income</v>
      </c>
      <c r="AU65" s="233" t="str">
        <f>VLOOKUP(Table8[[#This Row],[Country Code]],Table29[],6,FALSE)</f>
        <v>G20</v>
      </c>
      <c r="AV65" s="233" t="str">
        <f>VLOOKUP(Table8[[#This Row],[Country Code]],Table29[],7,FALSE)</f>
        <v>no</v>
      </c>
      <c r="AW65" s="233" t="str">
        <f>VLOOKUP(Table8[[#This Row],[Country Code]],Table29[],8,FALSE)</f>
        <v>non-OECD</v>
      </c>
      <c r="AX65" s="233" t="str">
        <f>VLOOKUP(Table8[[#This Row],[Country Code]],Table29[],9,FALSE)</f>
        <v>no</v>
      </c>
      <c r="AY65" s="233" t="str">
        <f>VLOOKUP(Table8[[#This Row],[Country Code]],Table29[],10,FALSE)</f>
        <v>no</v>
      </c>
      <c r="AZ65" s="235">
        <f>VLOOKUP(Table8[[#This Row],[Country Code]],Table29[],23,FALSE)</f>
        <v>365.68461861929001</v>
      </c>
      <c r="BA65" s="235">
        <f>VLOOKUP(Table8[[#This Row],[Country Code]],Table29[],24,FALSE)</f>
        <v>48.339727076899749</v>
      </c>
      <c r="BB65" s="320"/>
      <c r="BC65" s="320"/>
    </row>
    <row r="66" spans="1:55" hidden="1" x14ac:dyDescent="0.25">
      <c r="A66" s="373">
        <v>32529</v>
      </c>
      <c r="B66" s="233" t="str">
        <f>VLOOKUP(Table8[[#This Row],[Document ID]],Table1[],2,FALSE)</f>
        <v>ARG</v>
      </c>
      <c r="C66" s="233" t="str">
        <f>VLOOKUP(Table8[[#This Row],[Document ID]],Table1[],3,FALSE)</f>
        <v>Argentina</v>
      </c>
      <c r="D66" s="243" t="str">
        <f>VLOOKUP(Table8[[#This Row],[Document ID]],Table1[],5,FALSE)</f>
        <v>NDC</v>
      </c>
      <c r="E66" s="233" t="str">
        <f>VLOOKUP(Table8[[#This Row],[Document ID]],Table1[],7,FALSE)</f>
        <v>Second NDC updated</v>
      </c>
      <c r="F66" s="233" t="str">
        <f>VLOOKUP(Table8[[#This Row],[Document ID]],Table1[],8,FALSE)</f>
        <v>NDC 2.1</v>
      </c>
      <c r="G66" s="233" t="str">
        <f>VLOOKUP(Table8[[#This Row],[Document ID]],Table1[],10,FALSE)</f>
        <v>Active</v>
      </c>
      <c r="H66" s="43" t="s">
        <v>2350</v>
      </c>
      <c r="I66" s="43" t="s">
        <v>2407</v>
      </c>
      <c r="J66" s="44" t="s">
        <v>2408</v>
      </c>
      <c r="K66" s="44" t="s">
        <v>2431</v>
      </c>
      <c r="L66" s="44" t="s">
        <v>2333</v>
      </c>
      <c r="M66" s="43">
        <v>77</v>
      </c>
      <c r="N66" s="113"/>
      <c r="O66" s="113"/>
      <c r="P66" s="113"/>
      <c r="Q66" s="113"/>
      <c r="R66" s="113"/>
      <c r="S66" s="113"/>
      <c r="T66" s="113"/>
      <c r="U66" s="113"/>
      <c r="V66" s="113"/>
      <c r="W66" s="113"/>
      <c r="X66" s="113" t="s">
        <v>1113</v>
      </c>
      <c r="Y66" s="113"/>
      <c r="Z66" s="113"/>
      <c r="AA66" s="113"/>
      <c r="AB66" s="113"/>
      <c r="AC66" s="113"/>
      <c r="AD66" s="113"/>
      <c r="AE66" s="113"/>
      <c r="AF66" s="113"/>
      <c r="AG66" s="113"/>
      <c r="AH66" s="113"/>
      <c r="AI66" s="113"/>
      <c r="AJ66" s="113"/>
      <c r="AK66" s="319" t="s">
        <v>1113</v>
      </c>
      <c r="AL66" s="113"/>
      <c r="AM66" s="113"/>
      <c r="AN66" s="113"/>
      <c r="AO66" s="44" t="s">
        <v>2334</v>
      </c>
      <c r="AP66" s="43"/>
      <c r="AQ66" s="236" t="str">
        <f>VLOOKUP(Table8[[#This Row],[Instrument]],Def_Targets!$D$73:$E$159,2,FALSE)</f>
        <v>I_Education</v>
      </c>
      <c r="AR66" s="233" t="str">
        <f>VLOOKUP(Table8[[#This Row],[Country Code]],Table29[],3,FALSE)</f>
        <v>Non-Annex I</v>
      </c>
      <c r="AS66" s="233" t="str">
        <f>VLOOKUP(Table8[[#This Row],[Country Code]],Table29[],4,FALSE)</f>
        <v>Latin America and the Caribbean</v>
      </c>
      <c r="AT66" s="233" t="str">
        <f>VLOOKUP(Table8[[#This Row],[Country Code]],Table29[],5,FALSE)</f>
        <v>Middle-income</v>
      </c>
      <c r="AU66" s="233" t="str">
        <f>VLOOKUP(Table8[[#This Row],[Country Code]],Table29[],6,FALSE)</f>
        <v>G20</v>
      </c>
      <c r="AV66" s="233" t="str">
        <f>VLOOKUP(Table8[[#This Row],[Country Code]],Table29[],7,FALSE)</f>
        <v>no</v>
      </c>
      <c r="AW66" s="233" t="str">
        <f>VLOOKUP(Table8[[#This Row],[Country Code]],Table29[],8,FALSE)</f>
        <v>non-OECD</v>
      </c>
      <c r="AX66" s="233" t="str">
        <f>VLOOKUP(Table8[[#This Row],[Country Code]],Table29[],9,FALSE)</f>
        <v>no</v>
      </c>
      <c r="AY66" s="233" t="str">
        <f>VLOOKUP(Table8[[#This Row],[Country Code]],Table29[],10,FALSE)</f>
        <v>no</v>
      </c>
      <c r="AZ66" s="235">
        <f>VLOOKUP(Table8[[#This Row],[Country Code]],Table29[],23,FALSE)</f>
        <v>365.68461861929001</v>
      </c>
      <c r="BA66" s="235">
        <f>VLOOKUP(Table8[[#This Row],[Country Code]],Table29[],24,FALSE)</f>
        <v>48.339727076899749</v>
      </c>
      <c r="BB66" s="320"/>
      <c r="BC66" s="320"/>
    </row>
    <row r="67" spans="1:55" ht="30" hidden="1" x14ac:dyDescent="0.25">
      <c r="A67" s="373">
        <v>32529</v>
      </c>
      <c r="B67" s="233" t="str">
        <f>VLOOKUP(Table8[[#This Row],[Document ID]],Table1[],2,FALSE)</f>
        <v>ARG</v>
      </c>
      <c r="C67" s="233" t="str">
        <f>VLOOKUP(Table8[[#This Row],[Document ID]],Table1[],3,FALSE)</f>
        <v>Argentina</v>
      </c>
      <c r="D67" s="243" t="str">
        <f>VLOOKUP(Table8[[#This Row],[Document ID]],Table1[],5,FALSE)</f>
        <v>NDC</v>
      </c>
      <c r="E67" s="233" t="str">
        <f>VLOOKUP(Table8[[#This Row],[Document ID]],Table1[],7,FALSE)</f>
        <v>Second NDC updated</v>
      </c>
      <c r="F67" s="233" t="str">
        <f>VLOOKUP(Table8[[#This Row],[Document ID]],Table1[],8,FALSE)</f>
        <v>NDC 2.1</v>
      </c>
      <c r="G67" s="233" t="str">
        <f>VLOOKUP(Table8[[#This Row],[Document ID]],Table1[],10,FALSE)</f>
        <v>Active</v>
      </c>
      <c r="H67" s="43" t="s">
        <v>2350</v>
      </c>
      <c r="I67" s="43" t="s">
        <v>2351</v>
      </c>
      <c r="J67" s="44" t="s">
        <v>2352</v>
      </c>
      <c r="K67" s="44" t="s">
        <v>2432</v>
      </c>
      <c r="L67" s="44" t="s">
        <v>2347</v>
      </c>
      <c r="M67" s="43">
        <v>77</v>
      </c>
      <c r="N67" s="113"/>
      <c r="O67" s="113"/>
      <c r="P67" s="113"/>
      <c r="Q67" s="113"/>
      <c r="R67" s="113"/>
      <c r="S67" s="113"/>
      <c r="T67" s="113"/>
      <c r="U67" s="113"/>
      <c r="V67" s="113"/>
      <c r="W67" s="113"/>
      <c r="X67" s="113"/>
      <c r="Y67" s="113"/>
      <c r="Z67" s="113" t="s">
        <v>1113</v>
      </c>
      <c r="AA67" s="113"/>
      <c r="AB67" s="113"/>
      <c r="AC67" s="113"/>
      <c r="AD67" s="113"/>
      <c r="AE67" s="113"/>
      <c r="AF67" s="113"/>
      <c r="AG67" s="113"/>
      <c r="AH67" s="113"/>
      <c r="AI67" s="113"/>
      <c r="AJ67" s="113"/>
      <c r="AK67" s="319" t="s">
        <v>1113</v>
      </c>
      <c r="AL67" s="113"/>
      <c r="AM67" s="113"/>
      <c r="AN67" s="113"/>
      <c r="AO67" s="43" t="s">
        <v>2353</v>
      </c>
      <c r="AP67" s="43"/>
      <c r="AQ67" s="236" t="str">
        <f>VLOOKUP(Table8[[#This Row],[Instrument]],Def_Targets!$D$73:$E$159,2,FALSE)</f>
        <v>S_Railfreight</v>
      </c>
      <c r="AR67" s="233" t="str">
        <f>VLOOKUP(Table8[[#This Row],[Country Code]],Table29[],3,FALSE)</f>
        <v>Non-Annex I</v>
      </c>
      <c r="AS67" s="233" t="str">
        <f>VLOOKUP(Table8[[#This Row],[Country Code]],Table29[],4,FALSE)</f>
        <v>Latin America and the Caribbean</v>
      </c>
      <c r="AT67" s="233" t="str">
        <f>VLOOKUP(Table8[[#This Row],[Country Code]],Table29[],5,FALSE)</f>
        <v>Middle-income</v>
      </c>
      <c r="AU67" s="233" t="str">
        <f>VLOOKUP(Table8[[#This Row],[Country Code]],Table29[],6,FALSE)</f>
        <v>G20</v>
      </c>
      <c r="AV67" s="233" t="str">
        <f>VLOOKUP(Table8[[#This Row],[Country Code]],Table29[],7,FALSE)</f>
        <v>no</v>
      </c>
      <c r="AW67" s="233" t="str">
        <f>VLOOKUP(Table8[[#This Row],[Country Code]],Table29[],8,FALSE)</f>
        <v>non-OECD</v>
      </c>
      <c r="AX67" s="233" t="str">
        <f>VLOOKUP(Table8[[#This Row],[Country Code]],Table29[],9,FALSE)</f>
        <v>no</v>
      </c>
      <c r="AY67" s="233" t="str">
        <f>VLOOKUP(Table8[[#This Row],[Country Code]],Table29[],10,FALSE)</f>
        <v>no</v>
      </c>
      <c r="AZ67" s="235">
        <f>VLOOKUP(Table8[[#This Row],[Country Code]],Table29[],23,FALSE)</f>
        <v>365.68461861929001</v>
      </c>
      <c r="BA67" s="235">
        <f>VLOOKUP(Table8[[#This Row],[Country Code]],Table29[],24,FALSE)</f>
        <v>48.339727076899749</v>
      </c>
      <c r="BB67" s="320"/>
      <c r="BC67" s="320"/>
    </row>
    <row r="68" spans="1:55" hidden="1" x14ac:dyDescent="0.25">
      <c r="A68" s="373">
        <v>32529</v>
      </c>
      <c r="B68" s="233" t="str">
        <f>VLOOKUP(Table8[[#This Row],[Document ID]],Table1[],2,FALSE)</f>
        <v>ARG</v>
      </c>
      <c r="C68" s="233" t="str">
        <f>VLOOKUP(Table8[[#This Row],[Document ID]],Table1[],3,FALSE)</f>
        <v>Argentina</v>
      </c>
      <c r="D68" s="243" t="str">
        <f>VLOOKUP(Table8[[#This Row],[Document ID]],Table1[],5,FALSE)</f>
        <v>NDC</v>
      </c>
      <c r="E68" s="233" t="str">
        <f>VLOOKUP(Table8[[#This Row],[Document ID]],Table1[],7,FALSE)</f>
        <v>Second NDC updated</v>
      </c>
      <c r="F68" s="233" t="str">
        <f>VLOOKUP(Table8[[#This Row],[Document ID]],Table1[],8,FALSE)</f>
        <v>NDC 2.1</v>
      </c>
      <c r="G68" s="233" t="str">
        <f>VLOOKUP(Table8[[#This Row],[Document ID]],Table1[],10,FALSE)</f>
        <v>Active</v>
      </c>
      <c r="H68" s="44" t="s">
        <v>2329</v>
      </c>
      <c r="I68" s="44" t="s">
        <v>2330</v>
      </c>
      <c r="J68" s="44" t="s">
        <v>2331</v>
      </c>
      <c r="K68" s="44" t="s">
        <v>2433</v>
      </c>
      <c r="L68" s="44" t="s">
        <v>2333</v>
      </c>
      <c r="M68" s="43">
        <v>77</v>
      </c>
      <c r="N68" s="113"/>
      <c r="O68" s="113"/>
      <c r="P68" s="113"/>
      <c r="Q68" s="113"/>
      <c r="R68" s="113"/>
      <c r="S68" s="113"/>
      <c r="T68" s="113"/>
      <c r="U68" s="113"/>
      <c r="V68" s="113"/>
      <c r="W68" s="113"/>
      <c r="X68" s="113"/>
      <c r="Y68" s="113"/>
      <c r="Z68" s="113"/>
      <c r="AA68" s="113"/>
      <c r="AB68" s="113"/>
      <c r="AC68" s="113"/>
      <c r="AD68" s="113" t="s">
        <v>1113</v>
      </c>
      <c r="AE68" s="113"/>
      <c r="AF68" s="113"/>
      <c r="AG68" s="113"/>
      <c r="AH68" s="113"/>
      <c r="AI68" s="113"/>
      <c r="AJ68" s="113"/>
      <c r="AK68" s="319" t="s">
        <v>1113</v>
      </c>
      <c r="AL68" s="113"/>
      <c r="AM68" s="113"/>
      <c r="AN68" s="113"/>
      <c r="AO68" s="43" t="s">
        <v>2353</v>
      </c>
      <c r="AP68" s="43"/>
      <c r="AQ68" s="236" t="str">
        <f>VLOOKUP(Table8[[#This Row],[Instrument]],Def_Targets!$D$73:$E$159,2,FALSE)</f>
        <v>I_Altfuels</v>
      </c>
      <c r="AR68" s="233" t="str">
        <f>VLOOKUP(Table8[[#This Row],[Country Code]],Table29[],3,FALSE)</f>
        <v>Non-Annex I</v>
      </c>
      <c r="AS68" s="233" t="str">
        <f>VLOOKUP(Table8[[#This Row],[Country Code]],Table29[],4,FALSE)</f>
        <v>Latin America and the Caribbean</v>
      </c>
      <c r="AT68" s="233" t="str">
        <f>VLOOKUP(Table8[[#This Row],[Country Code]],Table29[],5,FALSE)</f>
        <v>Middle-income</v>
      </c>
      <c r="AU68" s="233" t="str">
        <f>VLOOKUP(Table8[[#This Row],[Country Code]],Table29[],6,FALSE)</f>
        <v>G20</v>
      </c>
      <c r="AV68" s="233" t="str">
        <f>VLOOKUP(Table8[[#This Row],[Country Code]],Table29[],7,FALSE)</f>
        <v>no</v>
      </c>
      <c r="AW68" s="233" t="str">
        <f>VLOOKUP(Table8[[#This Row],[Country Code]],Table29[],8,FALSE)</f>
        <v>non-OECD</v>
      </c>
      <c r="AX68" s="233" t="str">
        <f>VLOOKUP(Table8[[#This Row],[Country Code]],Table29[],9,FALSE)</f>
        <v>no</v>
      </c>
      <c r="AY68" s="233" t="str">
        <f>VLOOKUP(Table8[[#This Row],[Country Code]],Table29[],10,FALSE)</f>
        <v>no</v>
      </c>
      <c r="AZ68" s="235">
        <f>VLOOKUP(Table8[[#This Row],[Country Code]],Table29[],23,FALSE)</f>
        <v>365.68461861929001</v>
      </c>
      <c r="BA68" s="235">
        <f>VLOOKUP(Table8[[#This Row],[Country Code]],Table29[],24,FALSE)</f>
        <v>48.339727076899749</v>
      </c>
      <c r="BB68" s="320"/>
      <c r="BC68" s="320"/>
    </row>
    <row r="69" spans="1:55" ht="30" hidden="1" x14ac:dyDescent="0.25">
      <c r="A69" s="373">
        <v>32410</v>
      </c>
      <c r="B69" s="233" t="str">
        <f>VLOOKUP(Table8[[#This Row],[Document ID]],Table1[],2,FALSE)</f>
        <v>ARG</v>
      </c>
      <c r="C69" s="233" t="str">
        <f>VLOOKUP(Table8[[#This Row],[Document ID]],Table1[],3,FALSE)</f>
        <v>Argentina</v>
      </c>
      <c r="D69" s="243" t="str">
        <f>VLOOKUP(Table8[[#This Row],[Document ID]],Table1[],5,FALSE)</f>
        <v>LTS</v>
      </c>
      <c r="E69" s="233" t="str">
        <f>VLOOKUP(Table8[[#This Row],[Document ID]],Table1[],7,FALSE)</f>
        <v>LTS</v>
      </c>
      <c r="F69" s="233" t="str">
        <f>VLOOKUP(Table8[[#This Row],[Document ID]],Table1[],8,FALSE)</f>
        <v>LTS 1.0</v>
      </c>
      <c r="G69" s="233" t="str">
        <f>VLOOKUP(Table8[[#This Row],[Document ID]],Table1[],10,FALSE)</f>
        <v>Active</v>
      </c>
      <c r="H69" s="43" t="s">
        <v>2350</v>
      </c>
      <c r="I69" s="43" t="s">
        <v>2370</v>
      </c>
      <c r="J69" s="44" t="s">
        <v>2418</v>
      </c>
      <c r="K69" s="44" t="s">
        <v>2434</v>
      </c>
      <c r="L69" s="44" t="s">
        <v>2373</v>
      </c>
      <c r="M69" s="43">
        <v>7</v>
      </c>
      <c r="N69" s="113" t="s">
        <v>1113</v>
      </c>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t="s">
        <v>1113</v>
      </c>
      <c r="AL69" s="113"/>
      <c r="AM69" s="113"/>
      <c r="AN69" s="113"/>
      <c r="AO69" s="44" t="s">
        <v>2334</v>
      </c>
      <c r="AP69" s="43"/>
      <c r="AQ69" s="236" t="str">
        <f>VLOOKUP(Table8[[#This Row],[Instrument]],Def_Targets!$D$73:$E$159,2,FALSE)</f>
        <v>A_Complan</v>
      </c>
      <c r="AR69" s="233" t="str">
        <f>VLOOKUP(Table8[[#This Row],[Country Code]],Table29[],3,FALSE)</f>
        <v>Non-Annex I</v>
      </c>
      <c r="AS69" s="233" t="str">
        <f>VLOOKUP(Table8[[#This Row],[Country Code]],Table29[],4,FALSE)</f>
        <v>Latin America and the Caribbean</v>
      </c>
      <c r="AT69" s="233" t="str">
        <f>VLOOKUP(Table8[[#This Row],[Country Code]],Table29[],5,FALSE)</f>
        <v>Middle-income</v>
      </c>
      <c r="AU69" s="233" t="str">
        <f>VLOOKUP(Table8[[#This Row],[Country Code]],Table29[],6,FALSE)</f>
        <v>G20</v>
      </c>
      <c r="AV69" s="233" t="str">
        <f>VLOOKUP(Table8[[#This Row],[Country Code]],Table29[],7,FALSE)</f>
        <v>no</v>
      </c>
      <c r="AW69" s="233" t="str">
        <f>VLOOKUP(Table8[[#This Row],[Country Code]],Table29[],8,FALSE)</f>
        <v>non-OECD</v>
      </c>
      <c r="AX69" s="233" t="str">
        <f>VLOOKUP(Table8[[#This Row],[Country Code]],Table29[],9,FALSE)</f>
        <v>no</v>
      </c>
      <c r="AY69" s="233" t="str">
        <f>VLOOKUP(Table8[[#This Row],[Country Code]],Table29[],10,FALSE)</f>
        <v>no</v>
      </c>
      <c r="AZ69" s="235">
        <f>VLOOKUP(Table8[[#This Row],[Country Code]],Table29[],23,FALSE)</f>
        <v>365.68461861929001</v>
      </c>
      <c r="BA69" s="235">
        <f>VLOOKUP(Table8[[#This Row],[Country Code]],Table29[],24,FALSE)</f>
        <v>48.339727076899749</v>
      </c>
      <c r="BB69" s="320"/>
      <c r="BC69" s="320"/>
    </row>
    <row r="70" spans="1:55" hidden="1" x14ac:dyDescent="0.25">
      <c r="A70" s="373">
        <v>17516</v>
      </c>
      <c r="B70" s="233" t="str">
        <f>VLOOKUP(Table8[[#This Row],[Document ID]],Table1[],2,FALSE)</f>
        <v>ARM</v>
      </c>
      <c r="C70" s="233" t="str">
        <f>VLOOKUP(Table8[[#This Row],[Document ID]],Table1[],3,FALSE)</f>
        <v>Armenia</v>
      </c>
      <c r="D70" s="243" t="str">
        <f>VLOOKUP(Table8[[#This Row],[Document ID]],Table1[],5,FALSE)</f>
        <v>NDC</v>
      </c>
      <c r="E70" s="233" t="str">
        <f>VLOOKUP(Table8[[#This Row],[Document ID]],Table1[],7,FALSE)</f>
        <v>First NDC</v>
      </c>
      <c r="F70" s="236" t="str">
        <f>VLOOKUP(Table8[[#This Row],[Document ID]],Table1[],8,FALSE)</f>
        <v>NDC 1.0</v>
      </c>
      <c r="G70" s="236" t="str">
        <f>VLOOKUP(Table8[[#This Row],[Document ID]],Table1[],10,FALSE)</f>
        <v>Archived</v>
      </c>
      <c r="H70" s="43" t="s">
        <v>2358</v>
      </c>
      <c r="I70" s="43" t="s">
        <v>2359</v>
      </c>
      <c r="J70" s="44" t="s">
        <v>2360</v>
      </c>
      <c r="K70" s="44" t="s">
        <v>2435</v>
      </c>
      <c r="L70" s="44" t="s">
        <v>2333</v>
      </c>
      <c r="M70" s="43"/>
      <c r="N70" s="113" t="s">
        <v>1113</v>
      </c>
      <c r="O70" s="113"/>
      <c r="P70" s="113"/>
      <c r="Q70" s="319"/>
      <c r="R70" s="319"/>
      <c r="S70" s="319"/>
      <c r="T70" s="319"/>
      <c r="U70" s="319"/>
      <c r="V70" s="319"/>
      <c r="W70" s="319"/>
      <c r="X70" s="319"/>
      <c r="Y70" s="319"/>
      <c r="Z70" s="319"/>
      <c r="AA70" s="319"/>
      <c r="AB70" s="319"/>
      <c r="AC70" s="319"/>
      <c r="AD70" s="319"/>
      <c r="AE70" s="319"/>
      <c r="AF70" s="319"/>
      <c r="AG70" s="319"/>
      <c r="AH70" s="319"/>
      <c r="AI70" s="319"/>
      <c r="AJ70" s="319"/>
      <c r="AK70" s="319" t="s">
        <v>1113</v>
      </c>
      <c r="AL70" s="319"/>
      <c r="AM70" s="319"/>
      <c r="AN70" s="319"/>
      <c r="AO70" s="44" t="s">
        <v>2334</v>
      </c>
      <c r="AP70" s="44"/>
      <c r="AQ70" s="236" t="str">
        <f>VLOOKUP(Table8[[#This Row],[Instrument]],Def_Targets!$D$73:$E$159,2,FALSE)</f>
        <v>I_Emobility</v>
      </c>
      <c r="AR70" s="233" t="str">
        <f>VLOOKUP(Table8[[#This Row],[Country Code]],Table29[],3,FALSE)</f>
        <v>Non-Annex I</v>
      </c>
      <c r="AS70" s="233" t="str">
        <f>VLOOKUP(Table8[[#This Row],[Country Code]],Table29[],4,FALSE)</f>
        <v>Asia</v>
      </c>
      <c r="AT70" s="233" t="str">
        <f>VLOOKUP(Table8[[#This Row],[Country Code]],Table29[],5,FALSE)</f>
        <v>Middle-income</v>
      </c>
      <c r="AU70" s="233" t="str">
        <f>VLOOKUP(Table8[[#This Row],[Country Code]],Table29[],6,FALSE)</f>
        <v>no</v>
      </c>
      <c r="AV70" s="233" t="str">
        <f>VLOOKUP(Table8[[#This Row],[Country Code]],Table29[],7,FALSE)</f>
        <v>no</v>
      </c>
      <c r="AW70" s="233" t="str">
        <f>VLOOKUP(Table8[[#This Row],[Country Code]],Table29[],8,FALSE)</f>
        <v>non-OECD</v>
      </c>
      <c r="AX70" s="233" t="str">
        <f>VLOOKUP(Table8[[#This Row],[Country Code]],Table29[],9,FALSE)</f>
        <v>no</v>
      </c>
      <c r="AY70" s="233" t="str">
        <f>VLOOKUP(Table8[[#This Row],[Country Code]],Table29[],10,FALSE)</f>
        <v>no</v>
      </c>
      <c r="AZ70" s="235">
        <f>VLOOKUP(Table8[[#This Row],[Country Code]],Table29[],23,FALSE)</f>
        <v>10.836336950669001</v>
      </c>
      <c r="BA70" s="235">
        <f>VLOOKUP(Table8[[#This Row],[Country Code]],Table29[],24,FALSE)</f>
        <v>2.5418316945039221</v>
      </c>
      <c r="BB70" s="320"/>
      <c r="BC70" s="320"/>
    </row>
    <row r="71" spans="1:55" hidden="1" x14ac:dyDescent="0.25">
      <c r="A71" s="360">
        <v>20338</v>
      </c>
      <c r="B71" s="233" t="str">
        <f>VLOOKUP(Table8[[#This Row],[Document ID]],Table1[],2,FALSE)</f>
        <v>ARM</v>
      </c>
      <c r="C71" s="233" t="str">
        <f>VLOOKUP(Table8[[#This Row],[Document ID]],Table1[],3,FALSE)</f>
        <v>Armenia</v>
      </c>
      <c r="D71" s="233" t="str">
        <f>VLOOKUP(Table8[[#This Row],[Document ID]],Table1[],5,FALSE)</f>
        <v>NDC</v>
      </c>
      <c r="E71" s="233" t="str">
        <f>VLOOKUP(Table8[[#This Row],[Document ID]],Table1[],7,FALSE)</f>
        <v>First NDC updated</v>
      </c>
      <c r="F71" s="233" t="str">
        <f>VLOOKUP(Table8[[#This Row],[Document ID]],Table1[],8,FALSE)</f>
        <v>NDC 1.1</v>
      </c>
      <c r="G71" s="233" t="str">
        <f>VLOOKUP(Table8[[#This Row],[Document ID]],Table1[],10,FALSE)</f>
        <v>Active</v>
      </c>
      <c r="H71" s="43" t="s">
        <v>2343</v>
      </c>
      <c r="I71" s="43" t="s">
        <v>2344</v>
      </c>
      <c r="J71" s="44" t="s">
        <v>2345</v>
      </c>
      <c r="K71" s="44" t="s">
        <v>2436</v>
      </c>
      <c r="L71" s="44" t="s">
        <v>2333</v>
      </c>
      <c r="M71" s="43">
        <v>9</v>
      </c>
      <c r="N71" s="113" t="s">
        <v>1113</v>
      </c>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319" t="s">
        <v>1113</v>
      </c>
      <c r="AL71" s="113"/>
      <c r="AM71" s="113"/>
      <c r="AN71" s="113"/>
      <c r="AO71" s="43" t="s">
        <v>2348</v>
      </c>
      <c r="AP71" s="43"/>
      <c r="AQ71" s="236" t="str">
        <f>VLOOKUP(Table8[[#This Row],[Instrument]],Def_Targets!$D$73:$E$159,2,FALSE)</f>
        <v>S_PublicTransport</v>
      </c>
      <c r="AR71" s="233" t="str">
        <f>VLOOKUP(Table8[[#This Row],[Country Code]],Table29[],3,FALSE)</f>
        <v>Non-Annex I</v>
      </c>
      <c r="AS71" s="233" t="str">
        <f>VLOOKUP(Table8[[#This Row],[Country Code]],Table29[],4,FALSE)</f>
        <v>Asia</v>
      </c>
      <c r="AT71" s="233" t="str">
        <f>VLOOKUP(Table8[[#This Row],[Country Code]],Table29[],5,FALSE)</f>
        <v>Middle-income</v>
      </c>
      <c r="AU71" s="233" t="str">
        <f>VLOOKUP(Table8[[#This Row],[Country Code]],Table29[],6,FALSE)</f>
        <v>no</v>
      </c>
      <c r="AV71" s="233" t="str">
        <f>VLOOKUP(Table8[[#This Row],[Country Code]],Table29[],7,FALSE)</f>
        <v>no</v>
      </c>
      <c r="AW71" s="233" t="str">
        <f>VLOOKUP(Table8[[#This Row],[Country Code]],Table29[],8,FALSE)</f>
        <v>non-OECD</v>
      </c>
      <c r="AX71" s="233" t="str">
        <f>VLOOKUP(Table8[[#This Row],[Country Code]],Table29[],9,FALSE)</f>
        <v>no</v>
      </c>
      <c r="AY71" s="233" t="str">
        <f>VLOOKUP(Table8[[#This Row],[Country Code]],Table29[],10,FALSE)</f>
        <v>no</v>
      </c>
      <c r="AZ71" s="235">
        <f>VLOOKUP(Table8[[#This Row],[Country Code]],Table29[],23,FALSE)</f>
        <v>10.836336950669001</v>
      </c>
      <c r="BA71" s="235">
        <f>VLOOKUP(Table8[[#This Row],[Country Code]],Table29[],24,FALSE)</f>
        <v>2.5418316945039221</v>
      </c>
      <c r="BB71" s="320"/>
      <c r="BC71" s="320"/>
    </row>
    <row r="72" spans="1:55" hidden="1" x14ac:dyDescent="0.25">
      <c r="A72" s="360">
        <v>20338</v>
      </c>
      <c r="B72" s="233" t="str">
        <f>VLOOKUP(Table8[[#This Row],[Document ID]],Table1[],2,FALSE)</f>
        <v>ARM</v>
      </c>
      <c r="C72" s="233" t="str">
        <f>VLOOKUP(Table8[[#This Row],[Document ID]],Table1[],3,FALSE)</f>
        <v>Armenia</v>
      </c>
      <c r="D72" s="233" t="str">
        <f>VLOOKUP(Table8[[#This Row],[Document ID]],Table1[],5,FALSE)</f>
        <v>NDC</v>
      </c>
      <c r="E72" s="233" t="str">
        <f>VLOOKUP(Table8[[#This Row],[Document ID]],Table1[],7,FALSE)</f>
        <v>First NDC updated</v>
      </c>
      <c r="F72" s="233" t="str">
        <f>VLOOKUP(Table8[[#This Row],[Document ID]],Table1[],8,FALSE)</f>
        <v>NDC 1.1</v>
      </c>
      <c r="G72" s="233" t="str">
        <f>VLOOKUP(Table8[[#This Row],[Document ID]],Table1[],10,FALSE)</f>
        <v>Active</v>
      </c>
      <c r="H72" s="44" t="s">
        <v>2329</v>
      </c>
      <c r="I72" s="44" t="s">
        <v>2330</v>
      </c>
      <c r="J72" s="44" t="s">
        <v>2381</v>
      </c>
      <c r="K72" s="44" t="s">
        <v>2437</v>
      </c>
      <c r="L72" s="44" t="s">
        <v>2333</v>
      </c>
      <c r="M72" s="43">
        <v>9</v>
      </c>
      <c r="N72" s="113" t="s">
        <v>1113</v>
      </c>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319" t="s">
        <v>1113</v>
      </c>
      <c r="AL72" s="113"/>
      <c r="AM72" s="113"/>
      <c r="AN72" s="113"/>
      <c r="AO72" s="44" t="s">
        <v>2334</v>
      </c>
      <c r="AP72" s="43"/>
      <c r="AQ72" s="236" t="str">
        <f>VLOOKUP(Table8[[#This Row],[Instrument]],Def_Targets!$D$73:$E$159,2,FALSE)</f>
        <v>I_RE</v>
      </c>
      <c r="AR72" s="233" t="str">
        <f>VLOOKUP(Table8[[#This Row],[Country Code]],Table29[],3,FALSE)</f>
        <v>Non-Annex I</v>
      </c>
      <c r="AS72" s="233" t="str">
        <f>VLOOKUP(Table8[[#This Row],[Country Code]],Table29[],4,FALSE)</f>
        <v>Asia</v>
      </c>
      <c r="AT72" s="233" t="str">
        <f>VLOOKUP(Table8[[#This Row],[Country Code]],Table29[],5,FALSE)</f>
        <v>Middle-income</v>
      </c>
      <c r="AU72" s="233" t="str">
        <f>VLOOKUP(Table8[[#This Row],[Country Code]],Table29[],6,FALSE)</f>
        <v>no</v>
      </c>
      <c r="AV72" s="233" t="str">
        <f>VLOOKUP(Table8[[#This Row],[Country Code]],Table29[],7,FALSE)</f>
        <v>no</v>
      </c>
      <c r="AW72" s="233" t="str">
        <f>VLOOKUP(Table8[[#This Row],[Country Code]],Table29[],8,FALSE)</f>
        <v>non-OECD</v>
      </c>
      <c r="AX72" s="233" t="str">
        <f>VLOOKUP(Table8[[#This Row],[Country Code]],Table29[],9,FALSE)</f>
        <v>no</v>
      </c>
      <c r="AY72" s="233" t="str">
        <f>VLOOKUP(Table8[[#This Row],[Country Code]],Table29[],10,FALSE)</f>
        <v>no</v>
      </c>
      <c r="AZ72" s="235">
        <f>VLOOKUP(Table8[[#This Row],[Country Code]],Table29[],23,FALSE)</f>
        <v>10.836336950669001</v>
      </c>
      <c r="BA72" s="235">
        <f>VLOOKUP(Table8[[#This Row],[Country Code]],Table29[],24,FALSE)</f>
        <v>2.5418316945039221</v>
      </c>
      <c r="BB72" s="320"/>
      <c r="BC72" s="320"/>
    </row>
    <row r="73" spans="1:55" hidden="1" x14ac:dyDescent="0.25">
      <c r="A73" s="373">
        <v>20338</v>
      </c>
      <c r="B73" s="233" t="str">
        <f>VLOOKUP(Table8[[#This Row],[Document ID]],Table1[],2,FALSE)</f>
        <v>ARM</v>
      </c>
      <c r="C73" s="233" t="str">
        <f>VLOOKUP(Table8[[#This Row],[Document ID]],Table1[],3,FALSE)</f>
        <v>Armenia</v>
      </c>
      <c r="D73" s="243" t="str">
        <f>VLOOKUP(Table8[[#This Row],[Document ID]],Table1[],5,FALSE)</f>
        <v>NDC</v>
      </c>
      <c r="E73" s="233" t="str">
        <f>VLOOKUP(Table8[[#This Row],[Document ID]],Table1[],7,FALSE)</f>
        <v>First NDC updated</v>
      </c>
      <c r="F73" s="233" t="str">
        <f>VLOOKUP(Table8[[#This Row],[Document ID]],Table1[],8,FALSE)</f>
        <v>NDC 1.1</v>
      </c>
      <c r="G73" s="233" t="str">
        <f>VLOOKUP(Table8[[#This Row],[Document ID]],Table1[],10,FALSE)</f>
        <v>Active</v>
      </c>
      <c r="H73" s="43" t="s">
        <v>2358</v>
      </c>
      <c r="I73" s="43" t="s">
        <v>2359</v>
      </c>
      <c r="J73" s="44" t="s">
        <v>2360</v>
      </c>
      <c r="K73" s="44" t="s">
        <v>2438</v>
      </c>
      <c r="L73" s="44" t="s">
        <v>2333</v>
      </c>
      <c r="M73" s="43">
        <v>9</v>
      </c>
      <c r="N73" s="113" t="s">
        <v>1113</v>
      </c>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319" t="s">
        <v>1113</v>
      </c>
      <c r="AL73" s="113"/>
      <c r="AM73" s="113"/>
      <c r="AN73" s="113"/>
      <c r="AO73" s="44" t="s">
        <v>2334</v>
      </c>
      <c r="AP73" s="43"/>
      <c r="AQ73" s="236" t="str">
        <f>VLOOKUP(Table8[[#This Row],[Instrument]],Def_Targets!$D$73:$E$159,2,FALSE)</f>
        <v>I_Emobility</v>
      </c>
      <c r="AR73" s="233" t="str">
        <f>VLOOKUP(Table8[[#This Row],[Country Code]],Table29[],3,FALSE)</f>
        <v>Non-Annex I</v>
      </c>
      <c r="AS73" s="233" t="str">
        <f>VLOOKUP(Table8[[#This Row],[Country Code]],Table29[],4,FALSE)</f>
        <v>Asia</v>
      </c>
      <c r="AT73" s="233" t="str">
        <f>VLOOKUP(Table8[[#This Row],[Country Code]],Table29[],5,FALSE)</f>
        <v>Middle-income</v>
      </c>
      <c r="AU73" s="233" t="str">
        <f>VLOOKUP(Table8[[#This Row],[Country Code]],Table29[],6,FALSE)</f>
        <v>no</v>
      </c>
      <c r="AV73" s="233" t="str">
        <f>VLOOKUP(Table8[[#This Row],[Country Code]],Table29[],7,FALSE)</f>
        <v>no</v>
      </c>
      <c r="AW73" s="233" t="str">
        <f>VLOOKUP(Table8[[#This Row],[Country Code]],Table29[],8,FALSE)</f>
        <v>non-OECD</v>
      </c>
      <c r="AX73" s="233" t="str">
        <f>VLOOKUP(Table8[[#This Row],[Country Code]],Table29[],9,FALSE)</f>
        <v>no</v>
      </c>
      <c r="AY73" s="233" t="str">
        <f>VLOOKUP(Table8[[#This Row],[Country Code]],Table29[],10,FALSE)</f>
        <v>no</v>
      </c>
      <c r="AZ73" s="235">
        <f>VLOOKUP(Table8[[#This Row],[Country Code]],Table29[],23,FALSE)</f>
        <v>10.836336950669001</v>
      </c>
      <c r="BA73" s="235">
        <f>VLOOKUP(Table8[[#This Row],[Country Code]],Table29[],24,FALSE)</f>
        <v>2.5418316945039221</v>
      </c>
      <c r="BB73" s="320"/>
      <c r="BC73" s="320"/>
    </row>
    <row r="74" spans="1:55" hidden="1" x14ac:dyDescent="0.25">
      <c r="A74" s="373">
        <v>17517</v>
      </c>
      <c r="B74" s="233" t="str">
        <f>VLOOKUP(Table8[[#This Row],[Document ID]],Table1[],2,FALSE)</f>
        <v>AUS</v>
      </c>
      <c r="C74" s="233" t="str">
        <f>VLOOKUP(Table8[[#This Row],[Document ID]],Table1[],3,FALSE)</f>
        <v>Australia</v>
      </c>
      <c r="D74" s="243" t="str">
        <f>VLOOKUP(Table8[[#This Row],[Document ID]],Table1[],5,FALSE)</f>
        <v>NDC</v>
      </c>
      <c r="E74" s="233" t="str">
        <f>VLOOKUP(Table8[[#This Row],[Document ID]],Table1[],7,FALSE)</f>
        <v>First NDC</v>
      </c>
      <c r="F74" s="236" t="str">
        <f>VLOOKUP(Table8[[#This Row],[Document ID]],Table1[],8,FALSE)</f>
        <v>NDC 1.0</v>
      </c>
      <c r="G74" s="236" t="str">
        <f>VLOOKUP(Table8[[#This Row],[Document ID]],Table1[],10,FALSE)</f>
        <v>Archived</v>
      </c>
      <c r="H74" s="44" t="s">
        <v>2338</v>
      </c>
      <c r="I74" s="44" t="s">
        <v>2339</v>
      </c>
      <c r="J74" s="44" t="s">
        <v>2340</v>
      </c>
      <c r="K74" s="44" t="s">
        <v>2439</v>
      </c>
      <c r="L74" s="44" t="s">
        <v>2333</v>
      </c>
      <c r="M74" s="43">
        <v>2</v>
      </c>
      <c r="N74" s="113"/>
      <c r="O74" s="113"/>
      <c r="P74" s="113"/>
      <c r="Q74" s="319"/>
      <c r="R74" s="319"/>
      <c r="S74" s="113" t="s">
        <v>1113</v>
      </c>
      <c r="T74" s="319"/>
      <c r="U74" s="319"/>
      <c r="V74" s="319"/>
      <c r="W74" s="319"/>
      <c r="X74" s="319"/>
      <c r="Y74" s="319"/>
      <c r="Z74" s="319"/>
      <c r="AA74" s="319"/>
      <c r="AB74" s="319"/>
      <c r="AC74" s="319"/>
      <c r="AD74" s="319"/>
      <c r="AE74" s="319"/>
      <c r="AF74" s="319"/>
      <c r="AG74" s="319"/>
      <c r="AH74" s="319"/>
      <c r="AI74" s="319"/>
      <c r="AJ74" s="319"/>
      <c r="AK74" s="319" t="s">
        <v>1113</v>
      </c>
      <c r="AL74" s="319"/>
      <c r="AM74" s="319"/>
      <c r="AN74" s="319"/>
      <c r="AO74" s="44" t="s">
        <v>2334</v>
      </c>
      <c r="AP74" s="44"/>
      <c r="AQ74" s="236" t="str">
        <f>VLOOKUP(Table8[[#This Row],[Instrument]],Def_Targets!$D$73:$E$159,2,FALSE)</f>
        <v>I_Vehicleimprove</v>
      </c>
      <c r="AR74" s="233" t="str">
        <f>VLOOKUP(Table8[[#This Row],[Country Code]],Table29[],3,FALSE)</f>
        <v>Annex I</v>
      </c>
      <c r="AS74" s="233" t="str">
        <f>VLOOKUP(Table8[[#This Row],[Country Code]],Table29[],4,FALSE)</f>
        <v>Oceania</v>
      </c>
      <c r="AT74" s="233" t="str">
        <f>VLOOKUP(Table8[[#This Row],[Country Code]],Table29[],5,FALSE)</f>
        <v>High-income</v>
      </c>
      <c r="AU74" s="233" t="str">
        <f>VLOOKUP(Table8[[#This Row],[Country Code]],Table29[],6,FALSE)</f>
        <v>G20</v>
      </c>
      <c r="AV74" s="233" t="str">
        <f>VLOOKUP(Table8[[#This Row],[Country Code]],Table29[],7,FALSE)</f>
        <v>no</v>
      </c>
      <c r="AW74" s="233" t="str">
        <f>VLOOKUP(Table8[[#This Row],[Country Code]],Table29[],8,FALSE)</f>
        <v>OECD</v>
      </c>
      <c r="AX74" s="233" t="str">
        <f>VLOOKUP(Table8[[#This Row],[Country Code]],Table29[],9,FALSE)</f>
        <v>no</v>
      </c>
      <c r="AY74" s="233" t="str">
        <f>VLOOKUP(Table8[[#This Row],[Country Code]],Table29[],10,FALSE)</f>
        <v>no</v>
      </c>
      <c r="AZ74" s="235">
        <f>VLOOKUP(Table8[[#This Row],[Country Code]],Table29[],23,FALSE)</f>
        <v>571.83984854670996</v>
      </c>
      <c r="BA74" s="235">
        <f>VLOOKUP(Table8[[#This Row],[Country Code]],Table29[],24,FALSE)</f>
        <v>97.492958559878787</v>
      </c>
      <c r="BB74" s="320"/>
      <c r="BC74" s="320"/>
    </row>
    <row r="75" spans="1:55" hidden="1" x14ac:dyDescent="0.25">
      <c r="A75" s="373">
        <v>17518</v>
      </c>
      <c r="B75" s="233" t="str">
        <f>VLOOKUP(Table8[[#This Row],[Document ID]],Table1[],2,FALSE)</f>
        <v>AUS</v>
      </c>
      <c r="C75" s="233" t="str">
        <f>VLOOKUP(Table8[[#This Row],[Document ID]],Table1[],3,FALSE)</f>
        <v>Australia</v>
      </c>
      <c r="D75" s="243" t="str">
        <f>VLOOKUP(Table8[[#This Row],[Document ID]],Table1[],5,FALSE)</f>
        <v>NDC</v>
      </c>
      <c r="E75" s="233" t="str">
        <f>VLOOKUP(Table8[[#This Row],[Document ID]],Table1[],7,FALSE)</f>
        <v>First NDC updated</v>
      </c>
      <c r="F75" s="233" t="str">
        <f>VLOOKUP(Table8[[#This Row],[Document ID]],Table1[],8,FALSE)</f>
        <v>NDC 1.1</v>
      </c>
      <c r="G75" s="233" t="str">
        <f>VLOOKUP(Table8[[#This Row],[Document ID]],Table1[],10,FALSE)</f>
        <v>Archived</v>
      </c>
      <c r="H75" s="43" t="s">
        <v>2343</v>
      </c>
      <c r="I75" s="43" t="s">
        <v>2386</v>
      </c>
      <c r="J75" s="44" t="s">
        <v>2397</v>
      </c>
      <c r="K75" s="44" t="s">
        <v>2440</v>
      </c>
      <c r="L75" s="44" t="s">
        <v>2333</v>
      </c>
      <c r="M75" s="221" t="s">
        <v>2441</v>
      </c>
      <c r="N75" s="113" t="s">
        <v>1113</v>
      </c>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319" t="s">
        <v>1113</v>
      </c>
      <c r="AL75" s="113"/>
      <c r="AM75" s="113"/>
      <c r="AN75" s="113"/>
      <c r="AO75" s="44" t="s">
        <v>2334</v>
      </c>
      <c r="AP75" s="43"/>
      <c r="AQ75" s="236" t="str">
        <f>VLOOKUP(Table8[[#This Row],[Instrument]],Def_Targets!$D$73:$E$159,2,FALSE)</f>
        <v>A_Finance</v>
      </c>
      <c r="AR75" s="233" t="str">
        <f>VLOOKUP(Table8[[#This Row],[Country Code]],Table29[],3,FALSE)</f>
        <v>Annex I</v>
      </c>
      <c r="AS75" s="233" t="str">
        <f>VLOOKUP(Table8[[#This Row],[Country Code]],Table29[],4,FALSE)</f>
        <v>Oceania</v>
      </c>
      <c r="AT75" s="233" t="str">
        <f>VLOOKUP(Table8[[#This Row],[Country Code]],Table29[],5,FALSE)</f>
        <v>High-income</v>
      </c>
      <c r="AU75" s="233" t="str">
        <f>VLOOKUP(Table8[[#This Row],[Country Code]],Table29[],6,FALSE)</f>
        <v>G20</v>
      </c>
      <c r="AV75" s="233" t="str">
        <f>VLOOKUP(Table8[[#This Row],[Country Code]],Table29[],7,FALSE)</f>
        <v>no</v>
      </c>
      <c r="AW75" s="233" t="str">
        <f>VLOOKUP(Table8[[#This Row],[Country Code]],Table29[],8,FALSE)</f>
        <v>OECD</v>
      </c>
      <c r="AX75" s="233" t="str">
        <f>VLOOKUP(Table8[[#This Row],[Country Code]],Table29[],9,FALSE)</f>
        <v>no</v>
      </c>
      <c r="AY75" s="233" t="str">
        <f>VLOOKUP(Table8[[#This Row],[Country Code]],Table29[],10,FALSE)</f>
        <v>no</v>
      </c>
      <c r="AZ75" s="235">
        <f>VLOOKUP(Table8[[#This Row],[Country Code]],Table29[],23,FALSE)</f>
        <v>571.83984854670996</v>
      </c>
      <c r="BA75" s="235">
        <f>VLOOKUP(Table8[[#This Row],[Country Code]],Table29[],24,FALSE)</f>
        <v>97.492958559878787</v>
      </c>
      <c r="BB75" s="320"/>
      <c r="BC75" s="320"/>
    </row>
    <row r="76" spans="1:55" hidden="1" x14ac:dyDescent="0.25">
      <c r="A76" s="373">
        <v>17518</v>
      </c>
      <c r="B76" s="233" t="str">
        <f>VLOOKUP(Table8[[#This Row],[Document ID]],Table1[],2,FALSE)</f>
        <v>AUS</v>
      </c>
      <c r="C76" s="233" t="str">
        <f>VLOOKUP(Table8[[#This Row],[Document ID]],Table1[],3,FALSE)</f>
        <v>Australia</v>
      </c>
      <c r="D76" s="243" t="str">
        <f>VLOOKUP(Table8[[#This Row],[Document ID]],Table1[],5,FALSE)</f>
        <v>NDC</v>
      </c>
      <c r="E76" s="233" t="str">
        <f>VLOOKUP(Table8[[#This Row],[Document ID]],Table1[],7,FALSE)</f>
        <v>First NDC updated</v>
      </c>
      <c r="F76" s="233" t="str">
        <f>VLOOKUP(Table8[[#This Row],[Document ID]],Table1[],8,FALSE)</f>
        <v>NDC 1.1</v>
      </c>
      <c r="G76" s="233" t="str">
        <f>VLOOKUP(Table8[[#This Row],[Document ID]],Table1[],10,FALSE)</f>
        <v>Archived</v>
      </c>
      <c r="H76" s="44" t="s">
        <v>2338</v>
      </c>
      <c r="I76" s="44" t="s">
        <v>2339</v>
      </c>
      <c r="J76" s="44" t="s">
        <v>2340</v>
      </c>
      <c r="K76" s="44" t="s">
        <v>2440</v>
      </c>
      <c r="L76" s="44" t="s">
        <v>2333</v>
      </c>
      <c r="M76" s="221" t="s">
        <v>2441</v>
      </c>
      <c r="N76" s="113" t="s">
        <v>1113</v>
      </c>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319" t="s">
        <v>1113</v>
      </c>
      <c r="AL76" s="113"/>
      <c r="AM76" s="113"/>
      <c r="AN76" s="113"/>
      <c r="AO76" s="44" t="s">
        <v>2334</v>
      </c>
      <c r="AP76" s="43"/>
      <c r="AQ76" s="236" t="str">
        <f>VLOOKUP(Table8[[#This Row],[Instrument]],Def_Targets!$D$73:$E$159,2,FALSE)</f>
        <v>I_Vehicleimprove</v>
      </c>
      <c r="AR76" s="233" t="str">
        <f>VLOOKUP(Table8[[#This Row],[Country Code]],Table29[],3,FALSE)</f>
        <v>Annex I</v>
      </c>
      <c r="AS76" s="233" t="str">
        <f>VLOOKUP(Table8[[#This Row],[Country Code]],Table29[],4,FALSE)</f>
        <v>Oceania</v>
      </c>
      <c r="AT76" s="233" t="str">
        <f>VLOOKUP(Table8[[#This Row],[Country Code]],Table29[],5,FALSE)</f>
        <v>High-income</v>
      </c>
      <c r="AU76" s="233" t="str">
        <f>VLOOKUP(Table8[[#This Row],[Country Code]],Table29[],6,FALSE)</f>
        <v>G20</v>
      </c>
      <c r="AV76" s="233" t="str">
        <f>VLOOKUP(Table8[[#This Row],[Country Code]],Table29[],7,FALSE)</f>
        <v>no</v>
      </c>
      <c r="AW76" s="233" t="str">
        <f>VLOOKUP(Table8[[#This Row],[Country Code]],Table29[],8,FALSE)</f>
        <v>OECD</v>
      </c>
      <c r="AX76" s="233" t="str">
        <f>VLOOKUP(Table8[[#This Row],[Country Code]],Table29[],9,FALSE)</f>
        <v>no</v>
      </c>
      <c r="AY76" s="233" t="str">
        <f>VLOOKUP(Table8[[#This Row],[Country Code]],Table29[],10,FALSE)</f>
        <v>no</v>
      </c>
      <c r="AZ76" s="235">
        <f>VLOOKUP(Table8[[#This Row],[Country Code]],Table29[],23,FALSE)</f>
        <v>571.83984854670996</v>
      </c>
      <c r="BA76" s="235">
        <f>VLOOKUP(Table8[[#This Row],[Country Code]],Table29[],24,FALSE)</f>
        <v>97.492958559878787</v>
      </c>
      <c r="BB76" s="320"/>
      <c r="BC76" s="320"/>
    </row>
    <row r="77" spans="1:55" ht="30" hidden="1" x14ac:dyDescent="0.25">
      <c r="A77" s="360">
        <v>24678</v>
      </c>
      <c r="B77" s="233" t="str">
        <f>VLOOKUP(Table8[[#This Row],[Document ID]],Table1[],2,FALSE)</f>
        <v>AUT</v>
      </c>
      <c r="C77" s="233" t="str">
        <f>VLOOKUP(Table8[[#This Row],[Document ID]],Table1[],3,FALSE)</f>
        <v>Austria</v>
      </c>
      <c r="D77" s="233" t="str">
        <f>VLOOKUP(Table8[[#This Row],[Document ID]],Table1[],5,FALSE)</f>
        <v>LTS</v>
      </c>
      <c r="E77" s="233" t="str">
        <f>VLOOKUP(Table8[[#This Row],[Document ID]],Table1[],7,FALSE)</f>
        <v>LTS</v>
      </c>
      <c r="F77" s="233" t="str">
        <f>VLOOKUP(Table8[[#This Row],[Document ID]],Table1[],8,FALSE)</f>
        <v>LTS 1.0</v>
      </c>
      <c r="G77" s="233" t="str">
        <f>VLOOKUP(Table8[[#This Row],[Document ID]],Table1[],10,FALSE)</f>
        <v>Active</v>
      </c>
      <c r="H77" s="44" t="s">
        <v>2329</v>
      </c>
      <c r="I77" s="44" t="s">
        <v>2330</v>
      </c>
      <c r="J77" s="44" t="s">
        <v>2391</v>
      </c>
      <c r="K77" s="44" t="s">
        <v>2442</v>
      </c>
      <c r="L77" s="44" t="s">
        <v>2333</v>
      </c>
      <c r="M77" s="43">
        <v>45</v>
      </c>
      <c r="N77" s="113"/>
      <c r="O77" s="113"/>
      <c r="P77" s="113"/>
      <c r="Q77" s="113"/>
      <c r="R77" s="113"/>
      <c r="S77" s="113"/>
      <c r="T77" s="113"/>
      <c r="U77" s="113"/>
      <c r="V77" s="113"/>
      <c r="W77" s="113"/>
      <c r="X77" s="113" t="s">
        <v>1113</v>
      </c>
      <c r="Y77" s="113"/>
      <c r="Z77" s="113"/>
      <c r="AA77" s="113"/>
      <c r="AB77" s="113"/>
      <c r="AC77" s="113"/>
      <c r="AD77" s="113" t="s">
        <v>1113</v>
      </c>
      <c r="AE77" s="113"/>
      <c r="AF77" s="113"/>
      <c r="AG77" s="113"/>
      <c r="AH77" s="113" t="s">
        <v>1113</v>
      </c>
      <c r="AI77" s="113"/>
      <c r="AJ77" s="113"/>
      <c r="AK77" s="113" t="s">
        <v>1113</v>
      </c>
      <c r="AL77" s="113"/>
      <c r="AM77" s="113"/>
      <c r="AN77" s="113"/>
      <c r="AO77" s="43" t="s">
        <v>2353</v>
      </c>
      <c r="AP77" s="43"/>
      <c r="AQ77" s="236" t="str">
        <f>VLOOKUP(Table8[[#This Row],[Instrument]],Def_Targets!$D$73:$E$159,2,FALSE)</f>
        <v>I_Hydrogen</v>
      </c>
      <c r="AR77" s="233" t="str">
        <f>VLOOKUP(Table8[[#This Row],[Country Code]],Table29[],3,FALSE)</f>
        <v>Annex I</v>
      </c>
      <c r="AS77" s="233" t="str">
        <f>VLOOKUP(Table8[[#This Row],[Country Code]],Table29[],4,FALSE)</f>
        <v>Europe</v>
      </c>
      <c r="AT77" s="233" t="str">
        <f>VLOOKUP(Table8[[#This Row],[Country Code]],Table29[],5,FALSE)</f>
        <v>High-income</v>
      </c>
      <c r="AU77" s="233" t="str">
        <f>VLOOKUP(Table8[[#This Row],[Country Code]],Table29[],6,FALSE)</f>
        <v>no</v>
      </c>
      <c r="AV77" s="233" t="str">
        <f>VLOOKUP(Table8[[#This Row],[Country Code]],Table29[],7,FALSE)</f>
        <v>no</v>
      </c>
      <c r="AW77" s="233" t="str">
        <f>VLOOKUP(Table8[[#This Row],[Country Code]],Table29[],8,FALSE)</f>
        <v>OECD</v>
      </c>
      <c r="AX77" s="233" t="str">
        <f>VLOOKUP(Table8[[#This Row],[Country Code]],Table29[],9,FALSE)</f>
        <v>EU27</v>
      </c>
      <c r="AY77" s="233" t="str">
        <f>VLOOKUP(Table8[[#This Row],[Country Code]],Table29[],10,FALSE)</f>
        <v>no</v>
      </c>
      <c r="AZ77" s="235">
        <f>VLOOKUP(Table8[[#This Row],[Country Code]],Table29[],23,FALSE)</f>
        <v>72.921492529811999</v>
      </c>
      <c r="BA77" s="235">
        <f>VLOOKUP(Table8[[#This Row],[Country Code]],Table29[],24,FALSE)</f>
        <v>21.372731064834241</v>
      </c>
      <c r="BB77" s="320"/>
      <c r="BC77" s="320"/>
    </row>
    <row r="78" spans="1:55" ht="30" hidden="1" x14ac:dyDescent="0.25">
      <c r="A78" s="360">
        <v>24678</v>
      </c>
      <c r="B78" s="233" t="str">
        <f>VLOOKUP(Table8[[#This Row],[Document ID]],Table1[],2,FALSE)</f>
        <v>AUT</v>
      </c>
      <c r="C78" s="233" t="str">
        <f>VLOOKUP(Table8[[#This Row],[Document ID]],Table1[],3,FALSE)</f>
        <v>Austria</v>
      </c>
      <c r="D78" s="233" t="str">
        <f>VLOOKUP(Table8[[#This Row],[Document ID]],Table1[],5,FALSE)</f>
        <v>LTS</v>
      </c>
      <c r="E78" s="233" t="str">
        <f>VLOOKUP(Table8[[#This Row],[Document ID]],Table1[],7,FALSE)</f>
        <v>LTS</v>
      </c>
      <c r="F78" s="233" t="str">
        <f>VLOOKUP(Table8[[#This Row],[Document ID]],Table1[],8,FALSE)</f>
        <v>LTS 1.0</v>
      </c>
      <c r="G78" s="233" t="str">
        <f>VLOOKUP(Table8[[#This Row],[Document ID]],Table1[],10,FALSE)</f>
        <v>Active</v>
      </c>
      <c r="H78" s="44" t="s">
        <v>2329</v>
      </c>
      <c r="I78" s="44" t="s">
        <v>2330</v>
      </c>
      <c r="J78" s="44" t="s">
        <v>2357</v>
      </c>
      <c r="K78" s="44" t="s">
        <v>2442</v>
      </c>
      <c r="L78" s="44" t="s">
        <v>2333</v>
      </c>
      <c r="M78" s="43">
        <v>45</v>
      </c>
      <c r="N78" s="113"/>
      <c r="O78" s="113"/>
      <c r="P78" s="113"/>
      <c r="Q78" s="113"/>
      <c r="R78" s="113"/>
      <c r="S78" s="113"/>
      <c r="T78" s="113"/>
      <c r="U78" s="113"/>
      <c r="V78" s="113"/>
      <c r="W78" s="113"/>
      <c r="X78" s="113" t="s">
        <v>1113</v>
      </c>
      <c r="Y78" s="113"/>
      <c r="Z78" s="113"/>
      <c r="AA78" s="113"/>
      <c r="AB78" s="113"/>
      <c r="AC78" s="113"/>
      <c r="AD78" s="113" t="s">
        <v>1113</v>
      </c>
      <c r="AE78" s="113"/>
      <c r="AF78" s="113"/>
      <c r="AG78" s="113"/>
      <c r="AH78" s="113" t="s">
        <v>1113</v>
      </c>
      <c r="AI78" s="113"/>
      <c r="AJ78" s="113"/>
      <c r="AK78" s="113" t="s">
        <v>1113</v>
      </c>
      <c r="AL78" s="113"/>
      <c r="AM78" s="113"/>
      <c r="AN78" s="113"/>
      <c r="AO78" s="43" t="s">
        <v>2353</v>
      </c>
      <c r="AP78" s="43"/>
      <c r="AQ78" s="236" t="str">
        <f>VLOOKUP(Table8[[#This Row],[Instrument]],Def_Targets!$D$73:$E$159,2,FALSE)</f>
        <v>I_Biofuel</v>
      </c>
      <c r="AR78" s="233" t="str">
        <f>VLOOKUP(Table8[[#This Row],[Country Code]],Table29[],3,FALSE)</f>
        <v>Annex I</v>
      </c>
      <c r="AS78" s="233" t="str">
        <f>VLOOKUP(Table8[[#This Row],[Country Code]],Table29[],4,FALSE)</f>
        <v>Europe</v>
      </c>
      <c r="AT78" s="233" t="str">
        <f>VLOOKUP(Table8[[#This Row],[Country Code]],Table29[],5,FALSE)</f>
        <v>High-income</v>
      </c>
      <c r="AU78" s="233" t="str">
        <f>VLOOKUP(Table8[[#This Row],[Country Code]],Table29[],6,FALSE)</f>
        <v>no</v>
      </c>
      <c r="AV78" s="233" t="str">
        <f>VLOOKUP(Table8[[#This Row],[Country Code]],Table29[],7,FALSE)</f>
        <v>no</v>
      </c>
      <c r="AW78" s="233" t="str">
        <f>VLOOKUP(Table8[[#This Row],[Country Code]],Table29[],8,FALSE)</f>
        <v>OECD</v>
      </c>
      <c r="AX78" s="233" t="str">
        <f>VLOOKUP(Table8[[#This Row],[Country Code]],Table29[],9,FALSE)</f>
        <v>EU27</v>
      </c>
      <c r="AY78" s="233" t="str">
        <f>VLOOKUP(Table8[[#This Row],[Country Code]],Table29[],10,FALSE)</f>
        <v>no</v>
      </c>
      <c r="AZ78" s="235">
        <f>VLOOKUP(Table8[[#This Row],[Country Code]],Table29[],23,FALSE)</f>
        <v>72.921492529811999</v>
      </c>
      <c r="BA78" s="235">
        <f>VLOOKUP(Table8[[#This Row],[Country Code]],Table29[],24,FALSE)</f>
        <v>21.372731064834241</v>
      </c>
      <c r="BB78" s="320"/>
      <c r="BC78" s="320"/>
    </row>
    <row r="79" spans="1:55" ht="30" hidden="1" x14ac:dyDescent="0.25">
      <c r="A79" s="360">
        <v>24678</v>
      </c>
      <c r="B79" s="233" t="str">
        <f>VLOOKUP(Table8[[#This Row],[Document ID]],Table1[],2,FALSE)</f>
        <v>AUT</v>
      </c>
      <c r="C79" s="233" t="str">
        <f>VLOOKUP(Table8[[#This Row],[Document ID]],Table1[],3,FALSE)</f>
        <v>Austria</v>
      </c>
      <c r="D79" s="233" t="str">
        <f>VLOOKUP(Table8[[#This Row],[Document ID]],Table1[],5,FALSE)</f>
        <v>LTS</v>
      </c>
      <c r="E79" s="233" t="str">
        <f>VLOOKUP(Table8[[#This Row],[Document ID]],Table1[],7,FALSE)</f>
        <v>LTS</v>
      </c>
      <c r="F79" s="233" t="str">
        <f>VLOOKUP(Table8[[#This Row],[Document ID]],Table1[],8,FALSE)</f>
        <v>LTS 1.0</v>
      </c>
      <c r="G79" s="233" t="str">
        <f>VLOOKUP(Table8[[#This Row],[Document ID]],Table1[],10,FALSE)</f>
        <v>Active</v>
      </c>
      <c r="H79" s="44" t="s">
        <v>2329</v>
      </c>
      <c r="I79" s="44" t="s">
        <v>2330</v>
      </c>
      <c r="J79" s="44" t="s">
        <v>2331</v>
      </c>
      <c r="K79" s="44" t="s">
        <v>2442</v>
      </c>
      <c r="L79" s="44" t="s">
        <v>2333</v>
      </c>
      <c r="M79" s="43">
        <v>45</v>
      </c>
      <c r="N79" s="113"/>
      <c r="O79" s="113"/>
      <c r="P79" s="113"/>
      <c r="Q79" s="113"/>
      <c r="R79" s="113"/>
      <c r="S79" s="113"/>
      <c r="T79" s="113"/>
      <c r="U79" s="113"/>
      <c r="V79" s="113"/>
      <c r="W79" s="113"/>
      <c r="X79" s="113" t="s">
        <v>1113</v>
      </c>
      <c r="Y79" s="113"/>
      <c r="Z79" s="113"/>
      <c r="AA79" s="113"/>
      <c r="AB79" s="113"/>
      <c r="AC79" s="113"/>
      <c r="AD79" s="113" t="s">
        <v>1113</v>
      </c>
      <c r="AE79" s="113"/>
      <c r="AF79" s="113"/>
      <c r="AG79" s="113"/>
      <c r="AH79" s="113" t="s">
        <v>1113</v>
      </c>
      <c r="AI79" s="113"/>
      <c r="AJ79" s="113"/>
      <c r="AK79" s="113" t="s">
        <v>1113</v>
      </c>
      <c r="AL79" s="113"/>
      <c r="AM79" s="113"/>
      <c r="AN79" s="113"/>
      <c r="AO79" s="43" t="s">
        <v>2353</v>
      </c>
      <c r="AP79" s="43"/>
      <c r="AQ79" s="236" t="str">
        <f>VLOOKUP(Table8[[#This Row],[Instrument]],Def_Targets!$D$73:$E$159,2,FALSE)</f>
        <v>I_Altfuels</v>
      </c>
      <c r="AR79" s="233" t="str">
        <f>VLOOKUP(Table8[[#This Row],[Country Code]],Table29[],3,FALSE)</f>
        <v>Annex I</v>
      </c>
      <c r="AS79" s="233" t="str">
        <f>VLOOKUP(Table8[[#This Row],[Country Code]],Table29[],4,FALSE)</f>
        <v>Europe</v>
      </c>
      <c r="AT79" s="233" t="str">
        <f>VLOOKUP(Table8[[#This Row],[Country Code]],Table29[],5,FALSE)</f>
        <v>High-income</v>
      </c>
      <c r="AU79" s="233" t="str">
        <f>VLOOKUP(Table8[[#This Row],[Country Code]],Table29[],6,FALSE)</f>
        <v>no</v>
      </c>
      <c r="AV79" s="233" t="str">
        <f>VLOOKUP(Table8[[#This Row],[Country Code]],Table29[],7,FALSE)</f>
        <v>no</v>
      </c>
      <c r="AW79" s="233" t="str">
        <f>VLOOKUP(Table8[[#This Row],[Country Code]],Table29[],8,FALSE)</f>
        <v>OECD</v>
      </c>
      <c r="AX79" s="233" t="str">
        <f>VLOOKUP(Table8[[#This Row],[Country Code]],Table29[],9,FALSE)</f>
        <v>EU27</v>
      </c>
      <c r="AY79" s="233" t="str">
        <f>VLOOKUP(Table8[[#This Row],[Country Code]],Table29[],10,FALSE)</f>
        <v>no</v>
      </c>
      <c r="AZ79" s="235">
        <f>VLOOKUP(Table8[[#This Row],[Country Code]],Table29[],23,FALSE)</f>
        <v>72.921492529811999</v>
      </c>
      <c r="BA79" s="235">
        <f>VLOOKUP(Table8[[#This Row],[Country Code]],Table29[],24,FALSE)</f>
        <v>21.372731064834241</v>
      </c>
      <c r="BB79" s="320"/>
      <c r="BC79" s="320"/>
    </row>
    <row r="80" spans="1:55" ht="45" hidden="1" x14ac:dyDescent="0.25">
      <c r="A80" s="360">
        <v>24678</v>
      </c>
      <c r="B80" s="233" t="str">
        <f>VLOOKUP(Table8[[#This Row],[Document ID]],Table1[],2,FALSE)</f>
        <v>AUT</v>
      </c>
      <c r="C80" s="233" t="str">
        <f>VLOOKUP(Table8[[#This Row],[Document ID]],Table1[],3,FALSE)</f>
        <v>Austria</v>
      </c>
      <c r="D80" s="233" t="str">
        <f>VLOOKUP(Table8[[#This Row],[Document ID]],Table1[],5,FALSE)</f>
        <v>LTS</v>
      </c>
      <c r="E80" s="233" t="str">
        <f>VLOOKUP(Table8[[#This Row],[Document ID]],Table1[],7,FALSE)</f>
        <v>LTS</v>
      </c>
      <c r="F80" s="233" t="str">
        <f>VLOOKUP(Table8[[#This Row],[Document ID]],Table1[],8,FALSE)</f>
        <v>LTS 1.0</v>
      </c>
      <c r="G80" s="233" t="str">
        <f>VLOOKUP(Table8[[#This Row],[Document ID]],Table1[],10,FALSE)</f>
        <v>Active</v>
      </c>
      <c r="H80" s="44" t="s">
        <v>2329</v>
      </c>
      <c r="I80" s="44" t="s">
        <v>2330</v>
      </c>
      <c r="J80" s="44" t="s">
        <v>2391</v>
      </c>
      <c r="K80" s="44" t="s">
        <v>2443</v>
      </c>
      <c r="L80" s="44" t="s">
        <v>2333</v>
      </c>
      <c r="M80" s="43">
        <v>49</v>
      </c>
      <c r="N80" s="113" t="s">
        <v>1113</v>
      </c>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t="s">
        <v>1113</v>
      </c>
      <c r="AL80" s="113"/>
      <c r="AM80" s="113"/>
      <c r="AN80" s="113"/>
      <c r="AO80" s="44" t="s">
        <v>2334</v>
      </c>
      <c r="AP80" s="43"/>
      <c r="AQ80" s="236" t="str">
        <f>VLOOKUP(Table8[[#This Row],[Instrument]],Def_Targets!$D$73:$E$159,2,FALSE)</f>
        <v>I_Hydrogen</v>
      </c>
      <c r="AR80" s="233" t="str">
        <f>VLOOKUP(Table8[[#This Row],[Country Code]],Table29[],3,FALSE)</f>
        <v>Annex I</v>
      </c>
      <c r="AS80" s="233" t="str">
        <f>VLOOKUP(Table8[[#This Row],[Country Code]],Table29[],4,FALSE)</f>
        <v>Europe</v>
      </c>
      <c r="AT80" s="233" t="str">
        <f>VLOOKUP(Table8[[#This Row],[Country Code]],Table29[],5,FALSE)</f>
        <v>High-income</v>
      </c>
      <c r="AU80" s="233" t="str">
        <f>VLOOKUP(Table8[[#This Row],[Country Code]],Table29[],6,FALSE)</f>
        <v>no</v>
      </c>
      <c r="AV80" s="233" t="str">
        <f>VLOOKUP(Table8[[#This Row],[Country Code]],Table29[],7,FALSE)</f>
        <v>no</v>
      </c>
      <c r="AW80" s="233" t="str">
        <f>VLOOKUP(Table8[[#This Row],[Country Code]],Table29[],8,FALSE)</f>
        <v>OECD</v>
      </c>
      <c r="AX80" s="233" t="str">
        <f>VLOOKUP(Table8[[#This Row],[Country Code]],Table29[],9,FALSE)</f>
        <v>EU27</v>
      </c>
      <c r="AY80" s="233" t="str">
        <f>VLOOKUP(Table8[[#This Row],[Country Code]],Table29[],10,FALSE)</f>
        <v>no</v>
      </c>
      <c r="AZ80" s="235">
        <f>VLOOKUP(Table8[[#This Row],[Country Code]],Table29[],23,FALSE)</f>
        <v>72.921492529811999</v>
      </c>
      <c r="BA80" s="235">
        <f>VLOOKUP(Table8[[#This Row],[Country Code]],Table29[],24,FALSE)</f>
        <v>21.372731064834241</v>
      </c>
      <c r="BB80" s="320"/>
      <c r="BC80" s="320"/>
    </row>
    <row r="81" spans="1:55" ht="30" hidden="1" x14ac:dyDescent="0.25">
      <c r="A81" s="360">
        <v>24678</v>
      </c>
      <c r="B81" s="233" t="str">
        <f>VLOOKUP(Table8[[#This Row],[Document ID]],Table1[],2,FALSE)</f>
        <v>AUT</v>
      </c>
      <c r="C81" s="233" t="str">
        <f>VLOOKUP(Table8[[#This Row],[Document ID]],Table1[],3,FALSE)</f>
        <v>Austria</v>
      </c>
      <c r="D81" s="233" t="str">
        <f>VLOOKUP(Table8[[#This Row],[Document ID]],Table1[],5,FALSE)</f>
        <v>LTS</v>
      </c>
      <c r="E81" s="233" t="str">
        <f>VLOOKUP(Table8[[#This Row],[Document ID]],Table1[],7,FALSE)</f>
        <v>LTS</v>
      </c>
      <c r="F81" s="233" t="str">
        <f>VLOOKUP(Table8[[#This Row],[Document ID]],Table1[],8,FALSE)</f>
        <v>LTS 1.0</v>
      </c>
      <c r="G81" s="233" t="str">
        <f>VLOOKUP(Table8[[#This Row],[Document ID]],Table1[],10,FALSE)</f>
        <v>Active</v>
      </c>
      <c r="H81" s="43" t="s">
        <v>2358</v>
      </c>
      <c r="I81" s="43" t="s">
        <v>2359</v>
      </c>
      <c r="J81" s="44" t="s">
        <v>2360</v>
      </c>
      <c r="K81" s="44" t="s">
        <v>2444</v>
      </c>
      <c r="L81" s="44" t="s">
        <v>2333</v>
      </c>
      <c r="M81" s="43">
        <v>68</v>
      </c>
      <c r="N81" s="113" t="s">
        <v>1113</v>
      </c>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t="s">
        <v>1113</v>
      </c>
      <c r="AL81" s="113"/>
      <c r="AM81" s="113"/>
      <c r="AN81" s="113"/>
      <c r="AO81" s="44" t="s">
        <v>2334</v>
      </c>
      <c r="AP81" s="43"/>
      <c r="AQ81" s="236" t="str">
        <f>VLOOKUP(Table8[[#This Row],[Instrument]],Def_Targets!$D$73:$E$159,2,FALSE)</f>
        <v>I_Emobility</v>
      </c>
      <c r="AR81" s="233" t="str">
        <f>VLOOKUP(Table8[[#This Row],[Country Code]],Table29[],3,FALSE)</f>
        <v>Annex I</v>
      </c>
      <c r="AS81" s="233" t="str">
        <f>VLOOKUP(Table8[[#This Row],[Country Code]],Table29[],4,FALSE)</f>
        <v>Europe</v>
      </c>
      <c r="AT81" s="233" t="str">
        <f>VLOOKUP(Table8[[#This Row],[Country Code]],Table29[],5,FALSE)</f>
        <v>High-income</v>
      </c>
      <c r="AU81" s="233" t="str">
        <f>VLOOKUP(Table8[[#This Row],[Country Code]],Table29[],6,FALSE)</f>
        <v>no</v>
      </c>
      <c r="AV81" s="233" t="str">
        <f>VLOOKUP(Table8[[#This Row],[Country Code]],Table29[],7,FALSE)</f>
        <v>no</v>
      </c>
      <c r="AW81" s="233" t="str">
        <f>VLOOKUP(Table8[[#This Row],[Country Code]],Table29[],8,FALSE)</f>
        <v>OECD</v>
      </c>
      <c r="AX81" s="233" t="str">
        <f>VLOOKUP(Table8[[#This Row],[Country Code]],Table29[],9,FALSE)</f>
        <v>EU27</v>
      </c>
      <c r="AY81" s="233" t="str">
        <f>VLOOKUP(Table8[[#This Row],[Country Code]],Table29[],10,FALSE)</f>
        <v>no</v>
      </c>
      <c r="AZ81" s="235">
        <f>VLOOKUP(Table8[[#This Row],[Country Code]],Table29[],23,FALSE)</f>
        <v>72.921492529811999</v>
      </c>
      <c r="BA81" s="235">
        <f>VLOOKUP(Table8[[#This Row],[Country Code]],Table29[],24,FALSE)</f>
        <v>21.372731064834241</v>
      </c>
      <c r="BB81" s="320"/>
      <c r="BC81" s="320"/>
    </row>
    <row r="82" spans="1:55" hidden="1" x14ac:dyDescent="0.25">
      <c r="A82" s="360">
        <v>24678</v>
      </c>
      <c r="B82" s="233" t="str">
        <f>VLOOKUP(Table8[[#This Row],[Document ID]],Table1[],2,FALSE)</f>
        <v>AUT</v>
      </c>
      <c r="C82" s="233" t="str">
        <f>VLOOKUP(Table8[[#This Row],[Document ID]],Table1[],3,FALSE)</f>
        <v>Austria</v>
      </c>
      <c r="D82" s="233" t="str">
        <f>VLOOKUP(Table8[[#This Row],[Document ID]],Table1[],5,FALSE)</f>
        <v>LTS</v>
      </c>
      <c r="E82" s="233" t="str">
        <f>VLOOKUP(Table8[[#This Row],[Document ID]],Table1[],7,FALSE)</f>
        <v>LTS</v>
      </c>
      <c r="F82" s="233" t="str">
        <f>VLOOKUP(Table8[[#This Row],[Document ID]],Table1[],8,FALSE)</f>
        <v>LTS 1.0</v>
      </c>
      <c r="G82" s="233" t="str">
        <f>VLOOKUP(Table8[[#This Row],[Document ID]],Table1[],10,FALSE)</f>
        <v>Active</v>
      </c>
      <c r="H82" s="43" t="s">
        <v>2358</v>
      </c>
      <c r="I82" s="43" t="s">
        <v>2359</v>
      </c>
      <c r="J82" s="44" t="s">
        <v>2383</v>
      </c>
      <c r="K82" s="44" t="s">
        <v>2445</v>
      </c>
      <c r="L82" s="44" t="s">
        <v>2333</v>
      </c>
      <c r="M82" s="43">
        <v>68</v>
      </c>
      <c r="N82" s="113" t="s">
        <v>1113</v>
      </c>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t="s">
        <v>1113</v>
      </c>
      <c r="AL82" s="113"/>
      <c r="AM82" s="113"/>
      <c r="AN82" s="113"/>
      <c r="AO82" s="44" t="s">
        <v>2334</v>
      </c>
      <c r="AP82" s="43"/>
      <c r="AQ82" s="236" t="str">
        <f>VLOOKUP(Table8[[#This Row],[Instrument]],Def_Targets!$D$73:$E$159,2,FALSE)</f>
        <v>I_Emobilitycharging</v>
      </c>
      <c r="AR82" s="233" t="str">
        <f>VLOOKUP(Table8[[#This Row],[Country Code]],Table29[],3,FALSE)</f>
        <v>Annex I</v>
      </c>
      <c r="AS82" s="233" t="str">
        <f>VLOOKUP(Table8[[#This Row],[Country Code]],Table29[],4,FALSE)</f>
        <v>Europe</v>
      </c>
      <c r="AT82" s="233" t="str">
        <f>VLOOKUP(Table8[[#This Row],[Country Code]],Table29[],5,FALSE)</f>
        <v>High-income</v>
      </c>
      <c r="AU82" s="233" t="str">
        <f>VLOOKUP(Table8[[#This Row],[Country Code]],Table29[],6,FALSE)</f>
        <v>no</v>
      </c>
      <c r="AV82" s="233" t="str">
        <f>VLOOKUP(Table8[[#This Row],[Country Code]],Table29[],7,FALSE)</f>
        <v>no</v>
      </c>
      <c r="AW82" s="233" t="str">
        <f>VLOOKUP(Table8[[#This Row],[Country Code]],Table29[],8,FALSE)</f>
        <v>OECD</v>
      </c>
      <c r="AX82" s="233" t="str">
        <f>VLOOKUP(Table8[[#This Row],[Country Code]],Table29[],9,FALSE)</f>
        <v>EU27</v>
      </c>
      <c r="AY82" s="233" t="str">
        <f>VLOOKUP(Table8[[#This Row],[Country Code]],Table29[],10,FALSE)</f>
        <v>no</v>
      </c>
      <c r="AZ82" s="235">
        <f>VLOOKUP(Table8[[#This Row],[Country Code]],Table29[],23,FALSE)</f>
        <v>72.921492529811999</v>
      </c>
      <c r="BA82" s="235">
        <f>VLOOKUP(Table8[[#This Row],[Country Code]],Table29[],24,FALSE)</f>
        <v>21.372731064834241</v>
      </c>
      <c r="BB82" s="320"/>
      <c r="BC82" s="320"/>
    </row>
    <row r="83" spans="1:55" ht="60" hidden="1" x14ac:dyDescent="0.25">
      <c r="A83" s="360">
        <v>24678</v>
      </c>
      <c r="B83" s="233" t="str">
        <f>VLOOKUP(Table8[[#This Row],[Document ID]],Table1[],2,FALSE)</f>
        <v>AUT</v>
      </c>
      <c r="C83" s="233" t="str">
        <f>VLOOKUP(Table8[[#This Row],[Document ID]],Table1[],3,FALSE)</f>
        <v>Austria</v>
      </c>
      <c r="D83" s="233" t="str">
        <f>VLOOKUP(Table8[[#This Row],[Document ID]],Table1[],5,FALSE)</f>
        <v>LTS</v>
      </c>
      <c r="E83" s="233" t="str">
        <f>VLOOKUP(Table8[[#This Row],[Document ID]],Table1[],7,FALSE)</f>
        <v>LTS</v>
      </c>
      <c r="F83" s="233" t="str">
        <f>VLOOKUP(Table8[[#This Row],[Document ID]],Table1[],8,FALSE)</f>
        <v>LTS 1.0</v>
      </c>
      <c r="G83" s="233" t="str">
        <f>VLOOKUP(Table8[[#This Row],[Document ID]],Table1[],10,FALSE)</f>
        <v>Active</v>
      </c>
      <c r="H83" s="43" t="s">
        <v>2343</v>
      </c>
      <c r="I83" s="43" t="s">
        <v>2386</v>
      </c>
      <c r="J83" s="44" t="s">
        <v>2412</v>
      </c>
      <c r="K83" s="44" t="s">
        <v>2446</v>
      </c>
      <c r="L83" s="44" t="s">
        <v>2333</v>
      </c>
      <c r="M83" s="43">
        <v>68</v>
      </c>
      <c r="N83" s="113" t="s">
        <v>1113</v>
      </c>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t="s">
        <v>1113</v>
      </c>
      <c r="AL83" s="113"/>
      <c r="AM83" s="113"/>
      <c r="AN83" s="113"/>
      <c r="AO83" s="44" t="s">
        <v>2334</v>
      </c>
      <c r="AP83" s="43"/>
      <c r="AQ83" s="236" t="str">
        <f>VLOOKUP(Table8[[#This Row],[Instrument]],Def_Targets!$D$73:$E$159,2,FALSE)</f>
        <v>A_Economic</v>
      </c>
      <c r="AR83" s="233" t="str">
        <f>VLOOKUP(Table8[[#This Row],[Country Code]],Table29[],3,FALSE)</f>
        <v>Annex I</v>
      </c>
      <c r="AS83" s="233" t="str">
        <f>VLOOKUP(Table8[[#This Row],[Country Code]],Table29[],4,FALSE)</f>
        <v>Europe</v>
      </c>
      <c r="AT83" s="233" t="str">
        <f>VLOOKUP(Table8[[#This Row],[Country Code]],Table29[],5,FALSE)</f>
        <v>High-income</v>
      </c>
      <c r="AU83" s="233" t="str">
        <f>VLOOKUP(Table8[[#This Row],[Country Code]],Table29[],6,FALSE)</f>
        <v>no</v>
      </c>
      <c r="AV83" s="233" t="str">
        <f>VLOOKUP(Table8[[#This Row],[Country Code]],Table29[],7,FALSE)</f>
        <v>no</v>
      </c>
      <c r="AW83" s="233" t="str">
        <f>VLOOKUP(Table8[[#This Row],[Country Code]],Table29[],8,FALSE)</f>
        <v>OECD</v>
      </c>
      <c r="AX83" s="233" t="str">
        <f>VLOOKUP(Table8[[#This Row],[Country Code]],Table29[],9,FALSE)</f>
        <v>EU27</v>
      </c>
      <c r="AY83" s="233" t="str">
        <f>VLOOKUP(Table8[[#This Row],[Country Code]],Table29[],10,FALSE)</f>
        <v>no</v>
      </c>
      <c r="AZ83" s="235">
        <f>VLOOKUP(Table8[[#This Row],[Country Code]],Table29[],23,FALSE)</f>
        <v>72.921492529811999</v>
      </c>
      <c r="BA83" s="235">
        <f>VLOOKUP(Table8[[#This Row],[Country Code]],Table29[],24,FALSE)</f>
        <v>21.372731064834241</v>
      </c>
      <c r="BB83" s="320"/>
      <c r="BC83" s="320"/>
    </row>
    <row r="84" spans="1:55" ht="45" hidden="1" x14ac:dyDescent="0.25">
      <c r="A84" s="360">
        <v>24678</v>
      </c>
      <c r="B84" s="233" t="str">
        <f>VLOOKUP(Table8[[#This Row],[Document ID]],Table1[],2,FALSE)</f>
        <v>AUT</v>
      </c>
      <c r="C84" s="233" t="str">
        <f>VLOOKUP(Table8[[#This Row],[Document ID]],Table1[],3,FALSE)</f>
        <v>Austria</v>
      </c>
      <c r="D84" s="233" t="str">
        <f>VLOOKUP(Table8[[#This Row],[Document ID]],Table1[],5,FALSE)</f>
        <v>LTS</v>
      </c>
      <c r="E84" s="233" t="str">
        <f>VLOOKUP(Table8[[#This Row],[Document ID]],Table1[],7,FALSE)</f>
        <v>LTS</v>
      </c>
      <c r="F84" s="233" t="str">
        <f>VLOOKUP(Table8[[#This Row],[Document ID]],Table1[],8,FALSE)</f>
        <v>LTS 1.0</v>
      </c>
      <c r="G84" s="233" t="str">
        <f>VLOOKUP(Table8[[#This Row],[Document ID]],Table1[],10,FALSE)</f>
        <v>Active</v>
      </c>
      <c r="H84" s="43" t="s">
        <v>2350</v>
      </c>
      <c r="I84" s="43" t="s">
        <v>2351</v>
      </c>
      <c r="J84" s="44" t="s">
        <v>2447</v>
      </c>
      <c r="K84" s="44" t="s">
        <v>2448</v>
      </c>
      <c r="L84" s="44" t="s">
        <v>2333</v>
      </c>
      <c r="M84" s="43">
        <v>68</v>
      </c>
      <c r="N84" s="113" t="s">
        <v>1113</v>
      </c>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t="s">
        <v>1113</v>
      </c>
      <c r="AL84" s="113"/>
      <c r="AM84" s="113"/>
      <c r="AN84" s="113"/>
      <c r="AO84" s="43" t="s">
        <v>2353</v>
      </c>
      <c r="AP84" s="43"/>
      <c r="AQ84" s="236" t="str">
        <f>VLOOKUP(Table8[[#This Row],[Instrument]],Def_Targets!$D$73:$E$159,2,FALSE)</f>
        <v>I_Freighteff</v>
      </c>
      <c r="AR84" s="233" t="str">
        <f>VLOOKUP(Table8[[#This Row],[Country Code]],Table29[],3,FALSE)</f>
        <v>Annex I</v>
      </c>
      <c r="AS84" s="233" t="str">
        <f>VLOOKUP(Table8[[#This Row],[Country Code]],Table29[],4,FALSE)</f>
        <v>Europe</v>
      </c>
      <c r="AT84" s="233" t="str">
        <f>VLOOKUP(Table8[[#This Row],[Country Code]],Table29[],5,FALSE)</f>
        <v>High-income</v>
      </c>
      <c r="AU84" s="233" t="str">
        <f>VLOOKUP(Table8[[#This Row],[Country Code]],Table29[],6,FALSE)</f>
        <v>no</v>
      </c>
      <c r="AV84" s="233" t="str">
        <f>VLOOKUP(Table8[[#This Row],[Country Code]],Table29[],7,FALSE)</f>
        <v>no</v>
      </c>
      <c r="AW84" s="233" t="str">
        <f>VLOOKUP(Table8[[#This Row],[Country Code]],Table29[],8,FALSE)</f>
        <v>OECD</v>
      </c>
      <c r="AX84" s="233" t="str">
        <f>VLOOKUP(Table8[[#This Row],[Country Code]],Table29[],9,FALSE)</f>
        <v>EU27</v>
      </c>
      <c r="AY84" s="233" t="str">
        <f>VLOOKUP(Table8[[#This Row],[Country Code]],Table29[],10,FALSE)</f>
        <v>no</v>
      </c>
      <c r="AZ84" s="235">
        <f>VLOOKUP(Table8[[#This Row],[Country Code]],Table29[],23,FALSE)</f>
        <v>72.921492529811999</v>
      </c>
      <c r="BA84" s="235">
        <f>VLOOKUP(Table8[[#This Row],[Country Code]],Table29[],24,FALSE)</f>
        <v>21.372731064834241</v>
      </c>
      <c r="BB84" s="320"/>
      <c r="BC84" s="320"/>
    </row>
    <row r="85" spans="1:55" ht="30" hidden="1" x14ac:dyDescent="0.25">
      <c r="A85" s="373">
        <v>29228</v>
      </c>
      <c r="B85" s="233" t="str">
        <f>VLOOKUP(Table8[[#This Row],[Document ID]],Table1[],2,FALSE)</f>
        <v>AUS</v>
      </c>
      <c r="C85" s="233" t="str">
        <f>VLOOKUP(Table8[[#This Row],[Document ID]],Table1[],3,FALSE)</f>
        <v>Australia</v>
      </c>
      <c r="D85" s="243" t="str">
        <f>VLOOKUP(Table8[[#This Row],[Document ID]],Table1[],5,FALSE)</f>
        <v>NDC</v>
      </c>
      <c r="E85" s="233" t="str">
        <f>VLOOKUP(Table8[[#This Row],[Document ID]],Table1[],7,FALSE)</f>
        <v>First NDC updated</v>
      </c>
      <c r="F85" s="233" t="str">
        <f>VLOOKUP(Table8[[#This Row],[Document ID]],Table1[],8,FALSE)</f>
        <v>NDC 1.3</v>
      </c>
      <c r="G85" s="233" t="str">
        <f>VLOOKUP(Table8[[#This Row],[Document ID]],Table1[],10,FALSE)</f>
        <v>Active</v>
      </c>
      <c r="H85" s="43" t="s">
        <v>2358</v>
      </c>
      <c r="I85" s="43" t="s">
        <v>2359</v>
      </c>
      <c r="J85" s="44" t="s">
        <v>2360</v>
      </c>
      <c r="K85" s="44" t="s">
        <v>2449</v>
      </c>
      <c r="L85" s="44" t="s">
        <v>2333</v>
      </c>
      <c r="M85" s="43">
        <v>3</v>
      </c>
      <c r="N85" s="113" t="s">
        <v>1113</v>
      </c>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t="s">
        <v>1113</v>
      </c>
      <c r="AL85" s="113"/>
      <c r="AM85" s="113"/>
      <c r="AN85" s="113"/>
      <c r="AO85" s="44" t="s">
        <v>2334</v>
      </c>
      <c r="AP85" s="43"/>
      <c r="AQ85" s="236" t="str">
        <f>VLOOKUP(Table8[[#This Row],[Instrument]],Def_Targets!$D$73:$E$159,2,FALSE)</f>
        <v>I_Emobility</v>
      </c>
      <c r="AR85" s="233" t="str">
        <f>VLOOKUP(Table8[[#This Row],[Country Code]],Table29[],3,FALSE)</f>
        <v>Annex I</v>
      </c>
      <c r="AS85" s="233" t="str">
        <f>VLOOKUP(Table8[[#This Row],[Country Code]],Table29[],4,FALSE)</f>
        <v>Oceania</v>
      </c>
      <c r="AT85" s="233" t="str">
        <f>VLOOKUP(Table8[[#This Row],[Country Code]],Table29[],5,FALSE)</f>
        <v>High-income</v>
      </c>
      <c r="AU85" s="233" t="str">
        <f>VLOOKUP(Table8[[#This Row],[Country Code]],Table29[],6,FALSE)</f>
        <v>G20</v>
      </c>
      <c r="AV85" s="233" t="str">
        <f>VLOOKUP(Table8[[#This Row],[Country Code]],Table29[],7,FALSE)</f>
        <v>no</v>
      </c>
      <c r="AW85" s="233" t="str">
        <f>VLOOKUP(Table8[[#This Row],[Country Code]],Table29[],8,FALSE)</f>
        <v>OECD</v>
      </c>
      <c r="AX85" s="233" t="str">
        <f>VLOOKUP(Table8[[#This Row],[Country Code]],Table29[],9,FALSE)</f>
        <v>no</v>
      </c>
      <c r="AY85" s="233" t="str">
        <f>VLOOKUP(Table8[[#This Row],[Country Code]],Table29[],10,FALSE)</f>
        <v>no</v>
      </c>
      <c r="AZ85" s="235">
        <f>VLOOKUP(Table8[[#This Row],[Country Code]],Table29[],23,FALSE)</f>
        <v>571.83984854670996</v>
      </c>
      <c r="BA85" s="235">
        <f>VLOOKUP(Table8[[#This Row],[Country Code]],Table29[],24,FALSE)</f>
        <v>97.492958559878787</v>
      </c>
      <c r="BB85" s="320"/>
      <c r="BC85" s="320"/>
    </row>
    <row r="86" spans="1:55" hidden="1" x14ac:dyDescent="0.25">
      <c r="A86" s="373">
        <v>29228</v>
      </c>
      <c r="B86" s="233" t="str">
        <f>VLOOKUP(Table8[[#This Row],[Document ID]],Table1[],2,FALSE)</f>
        <v>AUS</v>
      </c>
      <c r="C86" s="233" t="str">
        <f>VLOOKUP(Table8[[#This Row],[Document ID]],Table1[],3,FALSE)</f>
        <v>Australia</v>
      </c>
      <c r="D86" s="243" t="str">
        <f>VLOOKUP(Table8[[#This Row],[Document ID]],Table1[],5,FALSE)</f>
        <v>NDC</v>
      </c>
      <c r="E86" s="233" t="str">
        <f>VLOOKUP(Table8[[#This Row],[Document ID]],Table1[],7,FALSE)</f>
        <v>First NDC updated</v>
      </c>
      <c r="F86" s="233" t="str">
        <f>VLOOKUP(Table8[[#This Row],[Document ID]],Table1[],8,FALSE)</f>
        <v>NDC 1.3</v>
      </c>
      <c r="G86" s="233" t="str">
        <f>VLOOKUP(Table8[[#This Row],[Document ID]],Table1[],10,FALSE)</f>
        <v>Active</v>
      </c>
      <c r="H86" s="43" t="s">
        <v>2358</v>
      </c>
      <c r="I86" s="43" t="s">
        <v>2359</v>
      </c>
      <c r="J86" s="44" t="s">
        <v>2389</v>
      </c>
      <c r="K86" s="44" t="s">
        <v>2450</v>
      </c>
      <c r="L86" s="44" t="s">
        <v>2333</v>
      </c>
      <c r="M86" s="43">
        <v>3</v>
      </c>
      <c r="N86" s="113"/>
      <c r="O86" s="113"/>
      <c r="P86" s="113"/>
      <c r="Q86" s="113"/>
      <c r="R86" s="113"/>
      <c r="S86" s="113"/>
      <c r="T86" s="113"/>
      <c r="U86" s="113" t="s">
        <v>1113</v>
      </c>
      <c r="V86" s="113"/>
      <c r="W86" s="113"/>
      <c r="X86" s="113"/>
      <c r="Y86" s="113"/>
      <c r="Z86" s="113"/>
      <c r="AA86" s="113"/>
      <c r="AB86" s="113"/>
      <c r="AC86" s="113"/>
      <c r="AD86" s="113"/>
      <c r="AE86" s="113"/>
      <c r="AF86" s="113"/>
      <c r="AG86" s="113"/>
      <c r="AH86" s="113"/>
      <c r="AI86" s="113"/>
      <c r="AJ86" s="113"/>
      <c r="AK86" s="113" t="s">
        <v>1113</v>
      </c>
      <c r="AL86" s="113"/>
      <c r="AM86" s="113"/>
      <c r="AN86" s="113"/>
      <c r="AO86" s="44" t="s">
        <v>2334</v>
      </c>
      <c r="AP86" s="43"/>
      <c r="AQ86" s="236" t="str">
        <f>VLOOKUP(Table8[[#This Row],[Instrument]],Def_Targets!$D$73:$E$159,2,FALSE)</f>
        <v>I_Emobilitypurchase</v>
      </c>
      <c r="AR86" s="233" t="str">
        <f>VLOOKUP(Table8[[#This Row],[Country Code]],Table29[],3,FALSE)</f>
        <v>Annex I</v>
      </c>
      <c r="AS86" s="233" t="str">
        <f>VLOOKUP(Table8[[#This Row],[Country Code]],Table29[],4,FALSE)</f>
        <v>Oceania</v>
      </c>
      <c r="AT86" s="233" t="str">
        <f>VLOOKUP(Table8[[#This Row],[Country Code]],Table29[],5,FALSE)</f>
        <v>High-income</v>
      </c>
      <c r="AU86" s="233" t="str">
        <f>VLOOKUP(Table8[[#This Row],[Country Code]],Table29[],6,FALSE)</f>
        <v>G20</v>
      </c>
      <c r="AV86" s="233" t="str">
        <f>VLOOKUP(Table8[[#This Row],[Country Code]],Table29[],7,FALSE)</f>
        <v>no</v>
      </c>
      <c r="AW86" s="233" t="str">
        <f>VLOOKUP(Table8[[#This Row],[Country Code]],Table29[],8,FALSE)</f>
        <v>OECD</v>
      </c>
      <c r="AX86" s="233" t="str">
        <f>VLOOKUP(Table8[[#This Row],[Country Code]],Table29[],9,FALSE)</f>
        <v>no</v>
      </c>
      <c r="AY86" s="233" t="str">
        <f>VLOOKUP(Table8[[#This Row],[Country Code]],Table29[],10,FALSE)</f>
        <v>no</v>
      </c>
      <c r="AZ86" s="235">
        <f>VLOOKUP(Table8[[#This Row],[Country Code]],Table29[],23,FALSE)</f>
        <v>571.83984854670996</v>
      </c>
      <c r="BA86" s="235">
        <f>VLOOKUP(Table8[[#This Row],[Country Code]],Table29[],24,FALSE)</f>
        <v>97.492958559878787</v>
      </c>
      <c r="BB86" s="320"/>
      <c r="BC86" s="320"/>
    </row>
    <row r="87" spans="1:55" ht="30" hidden="1" x14ac:dyDescent="0.25">
      <c r="A87" s="373">
        <v>29228</v>
      </c>
      <c r="B87" s="233" t="str">
        <f>VLOOKUP(Table8[[#This Row],[Document ID]],Table1[],2,FALSE)</f>
        <v>AUS</v>
      </c>
      <c r="C87" s="233" t="str">
        <f>VLOOKUP(Table8[[#This Row],[Document ID]],Table1[],3,FALSE)</f>
        <v>Australia</v>
      </c>
      <c r="D87" s="243" t="str">
        <f>VLOOKUP(Table8[[#This Row],[Document ID]],Table1[],5,FALSE)</f>
        <v>NDC</v>
      </c>
      <c r="E87" s="233" t="str">
        <f>VLOOKUP(Table8[[#This Row],[Document ID]],Table1[],7,FALSE)</f>
        <v>First NDC updated</v>
      </c>
      <c r="F87" s="233" t="str">
        <f>VLOOKUP(Table8[[#This Row],[Document ID]],Table1[],8,FALSE)</f>
        <v>NDC 1.3</v>
      </c>
      <c r="G87" s="233" t="str">
        <f>VLOOKUP(Table8[[#This Row],[Document ID]],Table1[],10,FALSE)</f>
        <v>Active</v>
      </c>
      <c r="H87" s="44" t="s">
        <v>2338</v>
      </c>
      <c r="I87" s="44" t="s">
        <v>2339</v>
      </c>
      <c r="J87" s="44" t="s">
        <v>2451</v>
      </c>
      <c r="K87" s="44" t="s">
        <v>2452</v>
      </c>
      <c r="L87" s="44" t="s">
        <v>2333</v>
      </c>
      <c r="M87" s="43">
        <v>3</v>
      </c>
      <c r="N87" s="113" t="s">
        <v>1113</v>
      </c>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t="s">
        <v>1113</v>
      </c>
      <c r="AL87" s="113"/>
      <c r="AM87" s="113"/>
      <c r="AN87" s="113"/>
      <c r="AO87" s="44" t="s">
        <v>2334</v>
      </c>
      <c r="AP87" s="43"/>
      <c r="AQ87" s="236" t="str">
        <f>VLOOKUP(Table8[[#This Row],[Instrument]],Def_Targets!$D$73:$E$159,2,FALSE)</f>
        <v>I_Inspection</v>
      </c>
      <c r="AR87" s="233" t="str">
        <f>VLOOKUP(Table8[[#This Row],[Country Code]],Table29[],3,FALSE)</f>
        <v>Annex I</v>
      </c>
      <c r="AS87" s="233" t="str">
        <f>VLOOKUP(Table8[[#This Row],[Country Code]],Table29[],4,FALSE)</f>
        <v>Oceania</v>
      </c>
      <c r="AT87" s="233" t="str">
        <f>VLOOKUP(Table8[[#This Row],[Country Code]],Table29[],5,FALSE)</f>
        <v>High-income</v>
      </c>
      <c r="AU87" s="233" t="str">
        <f>VLOOKUP(Table8[[#This Row],[Country Code]],Table29[],6,FALSE)</f>
        <v>G20</v>
      </c>
      <c r="AV87" s="233" t="str">
        <f>VLOOKUP(Table8[[#This Row],[Country Code]],Table29[],7,FALSE)</f>
        <v>no</v>
      </c>
      <c r="AW87" s="233" t="str">
        <f>VLOOKUP(Table8[[#This Row],[Country Code]],Table29[],8,FALSE)</f>
        <v>OECD</v>
      </c>
      <c r="AX87" s="233" t="str">
        <f>VLOOKUP(Table8[[#This Row],[Country Code]],Table29[],9,FALSE)</f>
        <v>no</v>
      </c>
      <c r="AY87" s="233" t="str">
        <f>VLOOKUP(Table8[[#This Row],[Country Code]],Table29[],10,FALSE)</f>
        <v>no</v>
      </c>
      <c r="AZ87" s="235">
        <f>VLOOKUP(Table8[[#This Row],[Country Code]],Table29[],23,FALSE)</f>
        <v>571.83984854670996</v>
      </c>
      <c r="BA87" s="235">
        <f>VLOOKUP(Table8[[#This Row],[Country Code]],Table29[],24,FALSE)</f>
        <v>97.492958559878787</v>
      </c>
      <c r="BB87" s="320"/>
      <c r="BC87" s="320"/>
    </row>
    <row r="88" spans="1:55" ht="30" hidden="1" x14ac:dyDescent="0.25">
      <c r="A88" s="373">
        <v>41747</v>
      </c>
      <c r="B88" s="233" t="str">
        <f>VLOOKUP(Table8[[#This Row],[Document ID]],Table1[],2,FALSE)</f>
        <v>ARM</v>
      </c>
      <c r="C88" s="233" t="str">
        <f>VLOOKUP(Table8[[#This Row],[Document ID]],Table1[],3,FALSE)</f>
        <v>Armenia</v>
      </c>
      <c r="D88" s="243" t="str">
        <f>VLOOKUP(Table8[[#This Row],[Document ID]],Table1[],5,FALSE)</f>
        <v>LTS</v>
      </c>
      <c r="E88" s="233" t="str">
        <f>VLOOKUP(Table8[[#This Row],[Document ID]],Table1[],7,FALSE)</f>
        <v>LTS</v>
      </c>
      <c r="F88" s="233" t="str">
        <f>VLOOKUP(Table8[[#This Row],[Document ID]],Table1[],8,FALSE)</f>
        <v>LTS 1.0</v>
      </c>
      <c r="G88" s="233" t="str">
        <f>VLOOKUP(Table8[[#This Row],[Document ID]],Table1[],10,FALSE)</f>
        <v>Active</v>
      </c>
      <c r="H88" s="44" t="s">
        <v>2329</v>
      </c>
      <c r="I88" s="44" t="s">
        <v>2330</v>
      </c>
      <c r="J88" s="44" t="s">
        <v>2363</v>
      </c>
      <c r="K88" s="44" t="s">
        <v>2453</v>
      </c>
      <c r="L88" s="44" t="s">
        <v>2333</v>
      </c>
      <c r="M88" s="43">
        <v>9</v>
      </c>
      <c r="N88" s="113" t="s">
        <v>1113</v>
      </c>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t="s">
        <v>1113</v>
      </c>
      <c r="AL88" s="113"/>
      <c r="AM88" s="113"/>
      <c r="AN88" s="113"/>
      <c r="AO88" s="44" t="s">
        <v>2334</v>
      </c>
      <c r="AP88" s="43"/>
      <c r="AQ88" s="236" t="str">
        <f>VLOOKUP(Table8[[#This Row],[Instrument]],Def_Targets!$D$73:$E$159,2,FALSE)</f>
        <v>I_LPGCNGLNG</v>
      </c>
      <c r="AR88" s="233" t="str">
        <f>VLOOKUP(Table8[[#This Row],[Country Code]],Table29[],3,FALSE)</f>
        <v>Non-Annex I</v>
      </c>
      <c r="AS88" s="233" t="str">
        <f>VLOOKUP(Table8[[#This Row],[Country Code]],Table29[],4,FALSE)</f>
        <v>Asia</v>
      </c>
      <c r="AT88" s="233" t="str">
        <f>VLOOKUP(Table8[[#This Row],[Country Code]],Table29[],5,FALSE)</f>
        <v>Middle-income</v>
      </c>
      <c r="AU88" s="233" t="str">
        <f>VLOOKUP(Table8[[#This Row],[Country Code]],Table29[],6,FALSE)</f>
        <v>no</v>
      </c>
      <c r="AV88" s="233" t="str">
        <f>VLOOKUP(Table8[[#This Row],[Country Code]],Table29[],7,FALSE)</f>
        <v>no</v>
      </c>
      <c r="AW88" s="233" t="str">
        <f>VLOOKUP(Table8[[#This Row],[Country Code]],Table29[],8,FALSE)</f>
        <v>non-OECD</v>
      </c>
      <c r="AX88" s="233" t="str">
        <f>VLOOKUP(Table8[[#This Row],[Country Code]],Table29[],9,FALSE)</f>
        <v>no</v>
      </c>
      <c r="AY88" s="233" t="str">
        <f>VLOOKUP(Table8[[#This Row],[Country Code]],Table29[],10,FALSE)</f>
        <v>no</v>
      </c>
      <c r="AZ88" s="235">
        <f>VLOOKUP(Table8[[#This Row],[Country Code]],Table29[],23,FALSE)</f>
        <v>10.836336950669001</v>
      </c>
      <c r="BA88" s="235">
        <f>VLOOKUP(Table8[[#This Row],[Country Code]],Table29[],24,FALSE)</f>
        <v>2.5418316945039221</v>
      </c>
      <c r="BB88" s="320"/>
      <c r="BC88" s="320"/>
    </row>
    <row r="89" spans="1:55" ht="30" hidden="1" x14ac:dyDescent="0.25">
      <c r="A89" s="373">
        <v>41747</v>
      </c>
      <c r="B89" s="233" t="str">
        <f>VLOOKUP(Table8[[#This Row],[Document ID]],Table1[],2,FALSE)</f>
        <v>ARM</v>
      </c>
      <c r="C89" s="233" t="str">
        <f>VLOOKUP(Table8[[#This Row],[Document ID]],Table1[],3,FALSE)</f>
        <v>Armenia</v>
      </c>
      <c r="D89" s="243" t="str">
        <f>VLOOKUP(Table8[[#This Row],[Document ID]],Table1[],5,FALSE)</f>
        <v>LTS</v>
      </c>
      <c r="E89" s="233" t="str">
        <f>VLOOKUP(Table8[[#This Row],[Document ID]],Table1[],7,FALSE)</f>
        <v>LTS</v>
      </c>
      <c r="F89" s="233" t="str">
        <f>VLOOKUP(Table8[[#This Row],[Document ID]],Table1[],8,FALSE)</f>
        <v>LTS 1.0</v>
      </c>
      <c r="G89" s="233" t="str">
        <f>VLOOKUP(Table8[[#This Row],[Document ID]],Table1[],10,FALSE)</f>
        <v>Active</v>
      </c>
      <c r="H89" s="43" t="s">
        <v>2358</v>
      </c>
      <c r="I89" s="43" t="s">
        <v>2359</v>
      </c>
      <c r="J89" s="44" t="s">
        <v>2383</v>
      </c>
      <c r="K89" s="44" t="s">
        <v>2454</v>
      </c>
      <c r="L89" s="44" t="s">
        <v>2333</v>
      </c>
      <c r="M89" s="43">
        <v>10</v>
      </c>
      <c r="N89" s="113"/>
      <c r="O89" s="113"/>
      <c r="P89" s="113"/>
      <c r="Q89" s="113"/>
      <c r="R89" s="113"/>
      <c r="S89" s="113" t="s">
        <v>1113</v>
      </c>
      <c r="T89" s="113"/>
      <c r="U89" s="113"/>
      <c r="V89" s="113"/>
      <c r="W89" s="113"/>
      <c r="X89" s="113"/>
      <c r="Y89" s="113"/>
      <c r="Z89" s="113"/>
      <c r="AA89" s="113"/>
      <c r="AB89" s="113"/>
      <c r="AC89" s="113"/>
      <c r="AD89" s="113"/>
      <c r="AE89" s="113"/>
      <c r="AF89" s="113"/>
      <c r="AG89" s="113"/>
      <c r="AH89" s="113"/>
      <c r="AI89" s="113"/>
      <c r="AJ89" s="113"/>
      <c r="AK89" s="113" t="s">
        <v>1113</v>
      </c>
      <c r="AL89" s="113"/>
      <c r="AM89" s="113"/>
      <c r="AN89" s="113"/>
      <c r="AO89" s="44" t="s">
        <v>2334</v>
      </c>
      <c r="AP89" s="43"/>
      <c r="AQ89" s="236" t="str">
        <f>VLOOKUP(Table8[[#This Row],[Instrument]],Def_Targets!$D$73:$E$159,2,FALSE)</f>
        <v>I_Emobilitycharging</v>
      </c>
      <c r="AR89" s="233" t="str">
        <f>VLOOKUP(Table8[[#This Row],[Country Code]],Table29[],3,FALSE)</f>
        <v>Non-Annex I</v>
      </c>
      <c r="AS89" s="233" t="str">
        <f>VLOOKUP(Table8[[#This Row],[Country Code]],Table29[],4,FALSE)</f>
        <v>Asia</v>
      </c>
      <c r="AT89" s="233" t="str">
        <f>VLOOKUP(Table8[[#This Row],[Country Code]],Table29[],5,FALSE)</f>
        <v>Middle-income</v>
      </c>
      <c r="AU89" s="233" t="str">
        <f>VLOOKUP(Table8[[#This Row],[Country Code]],Table29[],6,FALSE)</f>
        <v>no</v>
      </c>
      <c r="AV89" s="233" t="str">
        <f>VLOOKUP(Table8[[#This Row],[Country Code]],Table29[],7,FALSE)</f>
        <v>no</v>
      </c>
      <c r="AW89" s="233" t="str">
        <f>VLOOKUP(Table8[[#This Row],[Country Code]],Table29[],8,FALSE)</f>
        <v>non-OECD</v>
      </c>
      <c r="AX89" s="233" t="str">
        <f>VLOOKUP(Table8[[#This Row],[Country Code]],Table29[],9,FALSE)</f>
        <v>no</v>
      </c>
      <c r="AY89" s="233" t="str">
        <f>VLOOKUP(Table8[[#This Row],[Country Code]],Table29[],10,FALSE)</f>
        <v>no</v>
      </c>
      <c r="AZ89" s="235">
        <f>VLOOKUP(Table8[[#This Row],[Country Code]],Table29[],23,FALSE)</f>
        <v>10.836336950669001</v>
      </c>
      <c r="BA89" s="235">
        <f>VLOOKUP(Table8[[#This Row],[Country Code]],Table29[],24,FALSE)</f>
        <v>2.5418316945039221</v>
      </c>
      <c r="BB89" s="320"/>
      <c r="BC89" s="320"/>
    </row>
    <row r="90" spans="1:55" ht="30" hidden="1" x14ac:dyDescent="0.25">
      <c r="A90" s="373">
        <v>41747</v>
      </c>
      <c r="B90" s="233" t="str">
        <f>VLOOKUP(Table8[[#This Row],[Document ID]],Table1[],2,FALSE)</f>
        <v>ARM</v>
      </c>
      <c r="C90" s="233" t="str">
        <f>VLOOKUP(Table8[[#This Row],[Document ID]],Table1[],3,FALSE)</f>
        <v>Armenia</v>
      </c>
      <c r="D90" s="243" t="str">
        <f>VLOOKUP(Table8[[#This Row],[Document ID]],Table1[],5,FALSE)</f>
        <v>LTS</v>
      </c>
      <c r="E90" s="233" t="str">
        <f>VLOOKUP(Table8[[#This Row],[Document ID]],Table1[],7,FALSE)</f>
        <v>LTS</v>
      </c>
      <c r="F90" s="233" t="str">
        <f>VLOOKUP(Table8[[#This Row],[Document ID]],Table1[],8,FALSE)</f>
        <v>LTS 1.0</v>
      </c>
      <c r="G90" s="233" t="str">
        <f>VLOOKUP(Table8[[#This Row],[Document ID]],Table1[],10,FALSE)</f>
        <v>Active</v>
      </c>
      <c r="H90" s="43" t="s">
        <v>2343</v>
      </c>
      <c r="I90" s="43" t="s">
        <v>2344</v>
      </c>
      <c r="J90" s="44" t="s">
        <v>2345</v>
      </c>
      <c r="K90" s="44" t="s">
        <v>2455</v>
      </c>
      <c r="L90" s="44" t="s">
        <v>2347</v>
      </c>
      <c r="M90" s="43">
        <v>10</v>
      </c>
      <c r="N90" s="113" t="s">
        <v>1113</v>
      </c>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t="s">
        <v>1113</v>
      </c>
      <c r="AL90" s="113"/>
      <c r="AM90" s="113"/>
      <c r="AN90" s="113"/>
      <c r="AO90" s="43" t="s">
        <v>2348</v>
      </c>
      <c r="AP90" s="43"/>
      <c r="AQ90" s="236" t="str">
        <f>VLOOKUP(Table8[[#This Row],[Instrument]],Def_Targets!$D$73:$E$159,2,FALSE)</f>
        <v>S_PublicTransport</v>
      </c>
      <c r="AR90" s="233" t="str">
        <f>VLOOKUP(Table8[[#This Row],[Country Code]],Table29[],3,FALSE)</f>
        <v>Non-Annex I</v>
      </c>
      <c r="AS90" s="233" t="str">
        <f>VLOOKUP(Table8[[#This Row],[Country Code]],Table29[],4,FALSE)</f>
        <v>Asia</v>
      </c>
      <c r="AT90" s="233" t="str">
        <f>VLOOKUP(Table8[[#This Row],[Country Code]],Table29[],5,FALSE)</f>
        <v>Middle-income</v>
      </c>
      <c r="AU90" s="233" t="str">
        <f>VLOOKUP(Table8[[#This Row],[Country Code]],Table29[],6,FALSE)</f>
        <v>no</v>
      </c>
      <c r="AV90" s="233" t="str">
        <f>VLOOKUP(Table8[[#This Row],[Country Code]],Table29[],7,FALSE)</f>
        <v>no</v>
      </c>
      <c r="AW90" s="233" t="str">
        <f>VLOOKUP(Table8[[#This Row],[Country Code]],Table29[],8,FALSE)</f>
        <v>non-OECD</v>
      </c>
      <c r="AX90" s="233" t="str">
        <f>VLOOKUP(Table8[[#This Row],[Country Code]],Table29[],9,FALSE)</f>
        <v>no</v>
      </c>
      <c r="AY90" s="233" t="str">
        <f>VLOOKUP(Table8[[#This Row],[Country Code]],Table29[],10,FALSE)</f>
        <v>no</v>
      </c>
      <c r="AZ90" s="235">
        <f>VLOOKUP(Table8[[#This Row],[Country Code]],Table29[],23,FALSE)</f>
        <v>10.836336950669001</v>
      </c>
      <c r="BA90" s="235">
        <f>VLOOKUP(Table8[[#This Row],[Country Code]],Table29[],24,FALSE)</f>
        <v>2.5418316945039221</v>
      </c>
      <c r="BB90" s="320"/>
      <c r="BC90" s="320"/>
    </row>
    <row r="91" spans="1:55" hidden="1" x14ac:dyDescent="0.25">
      <c r="A91" s="373">
        <v>41747</v>
      </c>
      <c r="B91" s="233" t="str">
        <f>VLOOKUP(Table8[[#This Row],[Document ID]],Table1[],2,FALSE)</f>
        <v>ARM</v>
      </c>
      <c r="C91" s="233" t="str">
        <f>VLOOKUP(Table8[[#This Row],[Document ID]],Table1[],3,FALSE)</f>
        <v>Armenia</v>
      </c>
      <c r="D91" s="243" t="str">
        <f>VLOOKUP(Table8[[#This Row],[Document ID]],Table1[],5,FALSE)</f>
        <v>LTS</v>
      </c>
      <c r="E91" s="233" t="str">
        <f>VLOOKUP(Table8[[#This Row],[Document ID]],Table1[],7,FALSE)</f>
        <v>LTS</v>
      </c>
      <c r="F91" s="233" t="str">
        <f>VLOOKUP(Table8[[#This Row],[Document ID]],Table1[],8,FALSE)</f>
        <v>LTS 1.0</v>
      </c>
      <c r="G91" s="233" t="str">
        <f>VLOOKUP(Table8[[#This Row],[Document ID]],Table1[],10,FALSE)</f>
        <v>Active</v>
      </c>
      <c r="H91" s="43" t="s">
        <v>2350</v>
      </c>
      <c r="I91" s="43" t="s">
        <v>2456</v>
      </c>
      <c r="J91" s="44" t="s">
        <v>2457</v>
      </c>
      <c r="K91" s="44" t="s">
        <v>2458</v>
      </c>
      <c r="L91" s="44" t="s">
        <v>2333</v>
      </c>
      <c r="M91" s="43">
        <v>28</v>
      </c>
      <c r="N91" s="113" t="s">
        <v>1113</v>
      </c>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t="s">
        <v>1113</v>
      </c>
      <c r="AL91" s="113"/>
      <c r="AM91" s="113"/>
      <c r="AN91" s="113"/>
      <c r="AO91" s="43" t="s">
        <v>2348</v>
      </c>
      <c r="AP91" s="43"/>
      <c r="AQ91" s="236" t="str">
        <f>VLOOKUP(Table8[[#This Row],[Instrument]],Def_Targets!$D$73:$E$159,2,FALSE)</f>
        <v>S_Infraimprove</v>
      </c>
      <c r="AR91" s="233" t="str">
        <f>VLOOKUP(Table8[[#This Row],[Country Code]],Table29[],3,FALSE)</f>
        <v>Non-Annex I</v>
      </c>
      <c r="AS91" s="233" t="str">
        <f>VLOOKUP(Table8[[#This Row],[Country Code]],Table29[],4,FALSE)</f>
        <v>Asia</v>
      </c>
      <c r="AT91" s="233" t="str">
        <f>VLOOKUP(Table8[[#This Row],[Country Code]],Table29[],5,FALSE)</f>
        <v>Middle-income</v>
      </c>
      <c r="AU91" s="233" t="str">
        <f>VLOOKUP(Table8[[#This Row],[Country Code]],Table29[],6,FALSE)</f>
        <v>no</v>
      </c>
      <c r="AV91" s="233" t="str">
        <f>VLOOKUP(Table8[[#This Row],[Country Code]],Table29[],7,FALSE)</f>
        <v>no</v>
      </c>
      <c r="AW91" s="233" t="str">
        <f>VLOOKUP(Table8[[#This Row],[Country Code]],Table29[],8,FALSE)</f>
        <v>non-OECD</v>
      </c>
      <c r="AX91" s="233" t="str">
        <f>VLOOKUP(Table8[[#This Row],[Country Code]],Table29[],9,FALSE)</f>
        <v>no</v>
      </c>
      <c r="AY91" s="233" t="str">
        <f>VLOOKUP(Table8[[#This Row],[Country Code]],Table29[],10,FALSE)</f>
        <v>no</v>
      </c>
      <c r="AZ91" s="235">
        <f>VLOOKUP(Table8[[#This Row],[Country Code]],Table29[],23,FALSE)</f>
        <v>10.836336950669001</v>
      </c>
      <c r="BA91" s="235">
        <f>VLOOKUP(Table8[[#This Row],[Country Code]],Table29[],24,FALSE)</f>
        <v>2.5418316945039221</v>
      </c>
      <c r="BB91" s="320"/>
      <c r="BC91" s="320"/>
    </row>
    <row r="92" spans="1:55" ht="30" hidden="1" x14ac:dyDescent="0.25">
      <c r="A92" s="373">
        <v>41747</v>
      </c>
      <c r="B92" s="233" t="str">
        <f>VLOOKUP(Table8[[#This Row],[Document ID]],Table1[],2,FALSE)</f>
        <v>ARM</v>
      </c>
      <c r="C92" s="233" t="str">
        <f>VLOOKUP(Table8[[#This Row],[Document ID]],Table1[],3,FALSE)</f>
        <v>Armenia</v>
      </c>
      <c r="D92" s="243" t="str">
        <f>VLOOKUP(Table8[[#This Row],[Document ID]],Table1[],5,FALSE)</f>
        <v>LTS</v>
      </c>
      <c r="E92" s="233" t="str">
        <f>VLOOKUP(Table8[[#This Row],[Document ID]],Table1[],7,FALSE)</f>
        <v>LTS</v>
      </c>
      <c r="F92" s="233" t="str">
        <f>VLOOKUP(Table8[[#This Row],[Document ID]],Table1[],8,FALSE)</f>
        <v>LTS 1.0</v>
      </c>
      <c r="G92" s="233" t="str">
        <f>VLOOKUP(Table8[[#This Row],[Document ID]],Table1[],10,FALSE)</f>
        <v>Active</v>
      </c>
      <c r="H92" s="43" t="s">
        <v>2343</v>
      </c>
      <c r="I92" s="43" t="s">
        <v>2377</v>
      </c>
      <c r="J92" s="44" t="s">
        <v>2378</v>
      </c>
      <c r="K92" s="44" t="s">
        <v>2459</v>
      </c>
      <c r="L92" s="321" t="s">
        <v>2333</v>
      </c>
      <c r="M92" s="43">
        <v>25</v>
      </c>
      <c r="N92" s="113" t="s">
        <v>1113</v>
      </c>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t="s">
        <v>1113</v>
      </c>
      <c r="AL92" s="113"/>
      <c r="AM92" s="113"/>
      <c r="AN92" s="113"/>
      <c r="AO92" s="44" t="s">
        <v>2334</v>
      </c>
      <c r="AP92" s="43"/>
      <c r="AQ92" s="236" t="str">
        <f>VLOOKUP(Table8[[#This Row],[Instrument]],Def_Targets!$D$73:$E$159,2,FALSE)</f>
        <v>A_Commute</v>
      </c>
      <c r="AR92" s="233" t="str">
        <f>VLOOKUP(Table8[[#This Row],[Country Code]],Table29[],3,FALSE)</f>
        <v>Non-Annex I</v>
      </c>
      <c r="AS92" s="233" t="str">
        <f>VLOOKUP(Table8[[#This Row],[Country Code]],Table29[],4,FALSE)</f>
        <v>Asia</v>
      </c>
      <c r="AT92" s="233" t="str">
        <f>VLOOKUP(Table8[[#This Row],[Country Code]],Table29[],5,FALSE)</f>
        <v>Middle-income</v>
      </c>
      <c r="AU92" s="233" t="str">
        <f>VLOOKUP(Table8[[#This Row],[Country Code]],Table29[],6,FALSE)</f>
        <v>no</v>
      </c>
      <c r="AV92" s="233" t="str">
        <f>VLOOKUP(Table8[[#This Row],[Country Code]],Table29[],7,FALSE)</f>
        <v>no</v>
      </c>
      <c r="AW92" s="233" t="str">
        <f>VLOOKUP(Table8[[#This Row],[Country Code]],Table29[],8,FALSE)</f>
        <v>non-OECD</v>
      </c>
      <c r="AX92" s="233" t="str">
        <f>VLOOKUP(Table8[[#This Row],[Country Code]],Table29[],9,FALSE)</f>
        <v>no</v>
      </c>
      <c r="AY92" s="233" t="str">
        <f>VLOOKUP(Table8[[#This Row],[Country Code]],Table29[],10,FALSE)</f>
        <v>no</v>
      </c>
      <c r="AZ92" s="235">
        <f>VLOOKUP(Table8[[#This Row],[Country Code]],Table29[],23,FALSE)</f>
        <v>10.836336950669001</v>
      </c>
      <c r="BA92" s="235">
        <f>VLOOKUP(Table8[[#This Row],[Country Code]],Table29[],24,FALSE)</f>
        <v>2.5418316945039221</v>
      </c>
      <c r="BB92" s="320"/>
      <c r="BC92" s="320"/>
    </row>
    <row r="93" spans="1:55" hidden="1" x14ac:dyDescent="0.25">
      <c r="A93" s="373">
        <v>41747</v>
      </c>
      <c r="B93" s="233" t="str">
        <f>VLOOKUP(Table8[[#This Row],[Document ID]],Table1[],2,FALSE)</f>
        <v>ARM</v>
      </c>
      <c r="C93" s="233" t="str">
        <f>VLOOKUP(Table8[[#This Row],[Document ID]],Table1[],3,FALSE)</f>
        <v>Armenia</v>
      </c>
      <c r="D93" s="243" t="str">
        <f>VLOOKUP(Table8[[#This Row],[Document ID]],Table1[],5,FALSE)</f>
        <v>LTS</v>
      </c>
      <c r="E93" s="233" t="str">
        <f>VLOOKUP(Table8[[#This Row],[Document ID]],Table1[],7,FALSE)</f>
        <v>LTS</v>
      </c>
      <c r="F93" s="233" t="str">
        <f>VLOOKUP(Table8[[#This Row],[Document ID]],Table1[],8,FALSE)</f>
        <v>LTS 1.0</v>
      </c>
      <c r="G93" s="233" t="str">
        <f>VLOOKUP(Table8[[#This Row],[Document ID]],Table1[],10,FALSE)</f>
        <v>Active</v>
      </c>
      <c r="H93" s="43" t="s">
        <v>2343</v>
      </c>
      <c r="I93" s="43" t="s">
        <v>2361</v>
      </c>
      <c r="J93" s="44" t="s">
        <v>2362</v>
      </c>
      <c r="K93" s="44" t="s">
        <v>2460</v>
      </c>
      <c r="L93" s="44" t="s">
        <v>2347</v>
      </c>
      <c r="M93" s="43">
        <v>28</v>
      </c>
      <c r="N93" s="113"/>
      <c r="O93" s="113"/>
      <c r="P93" s="113"/>
      <c r="Q93" s="113"/>
      <c r="R93" s="113" t="s">
        <v>1113</v>
      </c>
      <c r="S93" s="113"/>
      <c r="T93" s="113"/>
      <c r="U93" s="113"/>
      <c r="V93" s="113"/>
      <c r="W93" s="113"/>
      <c r="X93" s="113"/>
      <c r="Y93" s="113"/>
      <c r="Z93" s="113"/>
      <c r="AA93" s="113"/>
      <c r="AB93" s="113"/>
      <c r="AC93" s="113"/>
      <c r="AD93" s="113"/>
      <c r="AE93" s="113"/>
      <c r="AF93" s="113"/>
      <c r="AG93" s="113"/>
      <c r="AH93" s="113"/>
      <c r="AI93" s="113"/>
      <c r="AJ93" s="113"/>
      <c r="AK93" s="113" t="s">
        <v>1113</v>
      </c>
      <c r="AL93" s="113"/>
      <c r="AM93" s="113"/>
      <c r="AN93" s="113"/>
      <c r="AO93" s="44" t="s">
        <v>2334</v>
      </c>
      <c r="AP93" s="43"/>
      <c r="AQ93" s="236" t="str">
        <f>VLOOKUP(Table8[[#This Row],[Instrument]],Def_Targets!$D$73:$E$159,2,FALSE)</f>
        <v>S_Cycling</v>
      </c>
      <c r="AR93" s="233" t="str">
        <f>VLOOKUP(Table8[[#This Row],[Country Code]],Table29[],3,FALSE)</f>
        <v>Non-Annex I</v>
      </c>
      <c r="AS93" s="233" t="str">
        <f>VLOOKUP(Table8[[#This Row],[Country Code]],Table29[],4,FALSE)</f>
        <v>Asia</v>
      </c>
      <c r="AT93" s="233" t="str">
        <f>VLOOKUP(Table8[[#This Row],[Country Code]],Table29[],5,FALSE)</f>
        <v>Middle-income</v>
      </c>
      <c r="AU93" s="233" t="str">
        <f>VLOOKUP(Table8[[#This Row],[Country Code]],Table29[],6,FALSE)</f>
        <v>no</v>
      </c>
      <c r="AV93" s="233" t="str">
        <f>VLOOKUP(Table8[[#This Row],[Country Code]],Table29[],7,FALSE)</f>
        <v>no</v>
      </c>
      <c r="AW93" s="233" t="str">
        <f>VLOOKUP(Table8[[#This Row],[Country Code]],Table29[],8,FALSE)</f>
        <v>non-OECD</v>
      </c>
      <c r="AX93" s="233" t="str">
        <f>VLOOKUP(Table8[[#This Row],[Country Code]],Table29[],9,FALSE)</f>
        <v>no</v>
      </c>
      <c r="AY93" s="233" t="str">
        <f>VLOOKUP(Table8[[#This Row],[Country Code]],Table29[],10,FALSE)</f>
        <v>no</v>
      </c>
      <c r="AZ93" s="235">
        <f>VLOOKUP(Table8[[#This Row],[Country Code]],Table29[],23,FALSE)</f>
        <v>10.836336950669001</v>
      </c>
      <c r="BA93" s="235">
        <f>VLOOKUP(Table8[[#This Row],[Country Code]],Table29[],24,FALSE)</f>
        <v>2.5418316945039221</v>
      </c>
      <c r="BB93" s="320"/>
      <c r="BC93" s="320"/>
    </row>
    <row r="94" spans="1:55" hidden="1" x14ac:dyDescent="0.25">
      <c r="A94" s="373">
        <v>41747</v>
      </c>
      <c r="B94" s="233" t="str">
        <f>VLOOKUP(Table8[[#This Row],[Document ID]],Table1[],2,FALSE)</f>
        <v>ARM</v>
      </c>
      <c r="C94" s="233" t="str">
        <f>VLOOKUP(Table8[[#This Row],[Document ID]],Table1[],3,FALSE)</f>
        <v>Armenia</v>
      </c>
      <c r="D94" s="243" t="str">
        <f>VLOOKUP(Table8[[#This Row],[Document ID]],Table1[],5,FALSE)</f>
        <v>LTS</v>
      </c>
      <c r="E94" s="233" t="str">
        <f>VLOOKUP(Table8[[#This Row],[Document ID]],Table1[],7,FALSE)</f>
        <v>LTS</v>
      </c>
      <c r="F94" s="233" t="str">
        <f>VLOOKUP(Table8[[#This Row],[Document ID]],Table1[],8,FALSE)</f>
        <v>LTS 1.0</v>
      </c>
      <c r="G94" s="233" t="str">
        <f>VLOOKUP(Table8[[#This Row],[Document ID]],Table1[],10,FALSE)</f>
        <v>Active</v>
      </c>
      <c r="H94" s="43" t="s">
        <v>2358</v>
      </c>
      <c r="I94" s="43" t="s">
        <v>2359</v>
      </c>
      <c r="J94" s="44" t="s">
        <v>2461</v>
      </c>
      <c r="K94" s="44" t="s">
        <v>2462</v>
      </c>
      <c r="L94" s="44" t="s">
        <v>2333</v>
      </c>
      <c r="M94" s="43">
        <v>28</v>
      </c>
      <c r="N94" s="113"/>
      <c r="O94" s="113"/>
      <c r="P94" s="113"/>
      <c r="Q94" s="113"/>
      <c r="R94" s="113"/>
      <c r="S94" s="113" t="s">
        <v>1113</v>
      </c>
      <c r="T94" s="113"/>
      <c r="U94" s="113"/>
      <c r="V94" s="113"/>
      <c r="W94" s="113"/>
      <c r="X94" s="113"/>
      <c r="Y94" s="113"/>
      <c r="Z94" s="113"/>
      <c r="AA94" s="113"/>
      <c r="AB94" s="113"/>
      <c r="AC94" s="113"/>
      <c r="AD94" s="113"/>
      <c r="AE94" s="113"/>
      <c r="AF94" s="113"/>
      <c r="AG94" s="113"/>
      <c r="AH94" s="113"/>
      <c r="AI94" s="113"/>
      <c r="AJ94" s="113"/>
      <c r="AK94" s="113" t="s">
        <v>1113</v>
      </c>
      <c r="AL94" s="113"/>
      <c r="AM94" s="113"/>
      <c r="AN94" s="113"/>
      <c r="AO94" s="44" t="s">
        <v>2334</v>
      </c>
      <c r="AP94" s="43"/>
      <c r="AQ94" s="236" t="str">
        <f>VLOOKUP(Table8[[#This Row],[Instrument]],Def_Targets!$D$73:$E$159,2,FALSE)</f>
        <v>S_Micromobility</v>
      </c>
      <c r="AR94" s="233" t="str">
        <f>VLOOKUP(Table8[[#This Row],[Country Code]],Table29[],3,FALSE)</f>
        <v>Non-Annex I</v>
      </c>
      <c r="AS94" s="233" t="str">
        <f>VLOOKUP(Table8[[#This Row],[Country Code]],Table29[],4,FALSE)</f>
        <v>Asia</v>
      </c>
      <c r="AT94" s="233" t="str">
        <f>VLOOKUP(Table8[[#This Row],[Country Code]],Table29[],5,FALSE)</f>
        <v>Middle-income</v>
      </c>
      <c r="AU94" s="233" t="str">
        <f>VLOOKUP(Table8[[#This Row],[Country Code]],Table29[],6,FALSE)</f>
        <v>no</v>
      </c>
      <c r="AV94" s="233" t="str">
        <f>VLOOKUP(Table8[[#This Row],[Country Code]],Table29[],7,FALSE)</f>
        <v>no</v>
      </c>
      <c r="AW94" s="233" t="str">
        <f>VLOOKUP(Table8[[#This Row],[Country Code]],Table29[],8,FALSE)</f>
        <v>non-OECD</v>
      </c>
      <c r="AX94" s="233" t="str">
        <f>VLOOKUP(Table8[[#This Row],[Country Code]],Table29[],9,FALSE)</f>
        <v>no</v>
      </c>
      <c r="AY94" s="233" t="str">
        <f>VLOOKUP(Table8[[#This Row],[Country Code]],Table29[],10,FALSE)</f>
        <v>no</v>
      </c>
      <c r="AZ94" s="235">
        <f>VLOOKUP(Table8[[#This Row],[Country Code]],Table29[],23,FALSE)</f>
        <v>10.836336950669001</v>
      </c>
      <c r="BA94" s="235">
        <f>VLOOKUP(Table8[[#This Row],[Country Code]],Table29[],24,FALSE)</f>
        <v>2.5418316945039221</v>
      </c>
      <c r="BB94" s="320"/>
      <c r="BC94" s="320"/>
    </row>
    <row r="95" spans="1:55" hidden="1" x14ac:dyDescent="0.25">
      <c r="A95" s="373">
        <v>41747</v>
      </c>
      <c r="B95" s="233" t="str">
        <f>VLOOKUP(Table8[[#This Row],[Document ID]],Table1[],2,FALSE)</f>
        <v>ARM</v>
      </c>
      <c r="C95" s="233" t="str">
        <f>VLOOKUP(Table8[[#This Row],[Document ID]],Table1[],3,FALSE)</f>
        <v>Armenia</v>
      </c>
      <c r="D95" s="243" t="str">
        <f>VLOOKUP(Table8[[#This Row],[Document ID]],Table1[],5,FALSE)</f>
        <v>LTS</v>
      </c>
      <c r="E95" s="233" t="str">
        <f>VLOOKUP(Table8[[#This Row],[Document ID]],Table1[],7,FALSE)</f>
        <v>LTS</v>
      </c>
      <c r="F95" s="233" t="str">
        <f>VLOOKUP(Table8[[#This Row],[Document ID]],Table1[],8,FALSE)</f>
        <v>LTS 1.0</v>
      </c>
      <c r="G95" s="233" t="str">
        <f>VLOOKUP(Table8[[#This Row],[Document ID]],Table1[],10,FALSE)</f>
        <v>Active</v>
      </c>
      <c r="H95" s="43" t="s">
        <v>2343</v>
      </c>
      <c r="I95" s="43" t="s">
        <v>2361</v>
      </c>
      <c r="J95" s="44" t="s">
        <v>2463</v>
      </c>
      <c r="K95" s="44" t="s">
        <v>2464</v>
      </c>
      <c r="L95" s="44" t="s">
        <v>2347</v>
      </c>
      <c r="M95" s="43">
        <v>28</v>
      </c>
      <c r="N95" s="113"/>
      <c r="O95" s="113"/>
      <c r="P95" s="113"/>
      <c r="Q95" s="113" t="s">
        <v>1113</v>
      </c>
      <c r="R95" s="113"/>
      <c r="S95" s="113"/>
      <c r="T95" s="113"/>
      <c r="U95" s="113"/>
      <c r="V95" s="113"/>
      <c r="W95" s="113"/>
      <c r="X95" s="113"/>
      <c r="Y95" s="113"/>
      <c r="Z95" s="113"/>
      <c r="AA95" s="113"/>
      <c r="AB95" s="113"/>
      <c r="AC95" s="113"/>
      <c r="AD95" s="113"/>
      <c r="AE95" s="113"/>
      <c r="AF95" s="113"/>
      <c r="AG95" s="113"/>
      <c r="AH95" s="113"/>
      <c r="AI95" s="113"/>
      <c r="AJ95" s="113"/>
      <c r="AK95" s="113" t="s">
        <v>1113</v>
      </c>
      <c r="AL95" s="113"/>
      <c r="AM95" s="113"/>
      <c r="AN95" s="113"/>
      <c r="AO95" s="43" t="s">
        <v>2348</v>
      </c>
      <c r="AP95" s="43"/>
      <c r="AQ95" s="236" t="str">
        <f>VLOOKUP(Table8[[#This Row],[Instrument]],Def_Targets!$D$73:$E$159,2,FALSE)</f>
        <v>S_Walking</v>
      </c>
      <c r="AR95" s="233" t="str">
        <f>VLOOKUP(Table8[[#This Row],[Country Code]],Table29[],3,FALSE)</f>
        <v>Non-Annex I</v>
      </c>
      <c r="AS95" s="233" t="str">
        <f>VLOOKUP(Table8[[#This Row],[Country Code]],Table29[],4,FALSE)</f>
        <v>Asia</v>
      </c>
      <c r="AT95" s="233" t="str">
        <f>VLOOKUP(Table8[[#This Row],[Country Code]],Table29[],5,FALSE)</f>
        <v>Middle-income</v>
      </c>
      <c r="AU95" s="233" t="str">
        <f>VLOOKUP(Table8[[#This Row],[Country Code]],Table29[],6,FALSE)</f>
        <v>no</v>
      </c>
      <c r="AV95" s="233" t="str">
        <f>VLOOKUP(Table8[[#This Row],[Country Code]],Table29[],7,FALSE)</f>
        <v>no</v>
      </c>
      <c r="AW95" s="233" t="str">
        <f>VLOOKUP(Table8[[#This Row],[Country Code]],Table29[],8,FALSE)</f>
        <v>non-OECD</v>
      </c>
      <c r="AX95" s="233" t="str">
        <f>VLOOKUP(Table8[[#This Row],[Country Code]],Table29[],9,FALSE)</f>
        <v>no</v>
      </c>
      <c r="AY95" s="233" t="str">
        <f>VLOOKUP(Table8[[#This Row],[Country Code]],Table29[],10,FALSE)</f>
        <v>no</v>
      </c>
      <c r="AZ95" s="235">
        <f>VLOOKUP(Table8[[#This Row],[Country Code]],Table29[],23,FALSE)</f>
        <v>10.836336950669001</v>
      </c>
      <c r="BA95" s="235">
        <f>VLOOKUP(Table8[[#This Row],[Country Code]],Table29[],24,FALSE)</f>
        <v>2.5418316945039221</v>
      </c>
      <c r="BB95" s="320"/>
      <c r="BC95" s="320"/>
    </row>
    <row r="96" spans="1:55" ht="30" hidden="1" x14ac:dyDescent="0.25">
      <c r="A96" s="373">
        <v>41747</v>
      </c>
      <c r="B96" s="233" t="str">
        <f>VLOOKUP(Table8[[#This Row],[Document ID]],Table1[],2,FALSE)</f>
        <v>ARM</v>
      </c>
      <c r="C96" s="233" t="str">
        <f>VLOOKUP(Table8[[#This Row],[Document ID]],Table1[],3,FALSE)</f>
        <v>Armenia</v>
      </c>
      <c r="D96" s="243" t="str">
        <f>VLOOKUP(Table8[[#This Row],[Document ID]],Table1[],5,FALSE)</f>
        <v>LTS</v>
      </c>
      <c r="E96" s="233" t="str">
        <f>VLOOKUP(Table8[[#This Row],[Document ID]],Table1[],7,FALSE)</f>
        <v>LTS</v>
      </c>
      <c r="F96" s="233" t="str">
        <f>VLOOKUP(Table8[[#This Row],[Document ID]],Table1[],8,FALSE)</f>
        <v>LTS 1.0</v>
      </c>
      <c r="G96" s="233" t="str">
        <f>VLOOKUP(Table8[[#This Row],[Document ID]],Table1[],10,FALSE)</f>
        <v>Active</v>
      </c>
      <c r="H96" s="44" t="s">
        <v>2329</v>
      </c>
      <c r="I96" s="44" t="s">
        <v>2330</v>
      </c>
      <c r="J96" s="44" t="s">
        <v>2331</v>
      </c>
      <c r="K96" s="44" t="s">
        <v>2465</v>
      </c>
      <c r="L96" s="44" t="s">
        <v>2333</v>
      </c>
      <c r="M96" s="43">
        <v>28</v>
      </c>
      <c r="N96" s="113"/>
      <c r="O96" s="113"/>
      <c r="P96" s="113"/>
      <c r="Q96" s="113"/>
      <c r="R96" s="113"/>
      <c r="S96" s="113"/>
      <c r="T96" s="113"/>
      <c r="U96" s="113"/>
      <c r="V96" s="113"/>
      <c r="W96" s="113"/>
      <c r="X96" s="113"/>
      <c r="Y96" s="113" t="s">
        <v>1113</v>
      </c>
      <c r="Z96" s="113"/>
      <c r="AA96" s="113"/>
      <c r="AB96" s="113"/>
      <c r="AC96" s="113"/>
      <c r="AD96" s="113"/>
      <c r="AE96" s="113"/>
      <c r="AF96" s="113"/>
      <c r="AG96" s="113"/>
      <c r="AH96" s="113"/>
      <c r="AI96" s="113"/>
      <c r="AJ96" s="113"/>
      <c r="AK96" s="113" t="s">
        <v>1113</v>
      </c>
      <c r="AL96" s="113"/>
      <c r="AM96" s="113"/>
      <c r="AN96" s="113"/>
      <c r="AO96" s="43" t="s">
        <v>2348</v>
      </c>
      <c r="AP96" s="43"/>
      <c r="AQ96" s="236" t="str">
        <f>VLOOKUP(Table8[[#This Row],[Instrument]],Def_Targets!$D$73:$E$159,2,FALSE)</f>
        <v>I_Altfuels</v>
      </c>
      <c r="AR96" s="233" t="str">
        <f>VLOOKUP(Table8[[#This Row],[Country Code]],Table29[],3,FALSE)</f>
        <v>Non-Annex I</v>
      </c>
      <c r="AS96" s="233" t="str">
        <f>VLOOKUP(Table8[[#This Row],[Country Code]],Table29[],4,FALSE)</f>
        <v>Asia</v>
      </c>
      <c r="AT96" s="233" t="str">
        <f>VLOOKUP(Table8[[#This Row],[Country Code]],Table29[],5,FALSE)</f>
        <v>Middle-income</v>
      </c>
      <c r="AU96" s="233" t="str">
        <f>VLOOKUP(Table8[[#This Row],[Country Code]],Table29[],6,FALSE)</f>
        <v>no</v>
      </c>
      <c r="AV96" s="233" t="str">
        <f>VLOOKUP(Table8[[#This Row],[Country Code]],Table29[],7,FALSE)</f>
        <v>no</v>
      </c>
      <c r="AW96" s="233" t="str">
        <f>VLOOKUP(Table8[[#This Row],[Country Code]],Table29[],8,FALSE)</f>
        <v>non-OECD</v>
      </c>
      <c r="AX96" s="233" t="str">
        <f>VLOOKUP(Table8[[#This Row],[Country Code]],Table29[],9,FALSE)</f>
        <v>no</v>
      </c>
      <c r="AY96" s="233" t="str">
        <f>VLOOKUP(Table8[[#This Row],[Country Code]],Table29[],10,FALSE)</f>
        <v>no</v>
      </c>
      <c r="AZ96" s="235">
        <f>VLOOKUP(Table8[[#This Row],[Country Code]],Table29[],23,FALSE)</f>
        <v>10.836336950669001</v>
      </c>
      <c r="BA96" s="235">
        <f>VLOOKUP(Table8[[#This Row],[Country Code]],Table29[],24,FALSE)</f>
        <v>2.5418316945039221</v>
      </c>
      <c r="BB96" s="320"/>
      <c r="BC96" s="320"/>
    </row>
    <row r="97" spans="1:55" hidden="1" x14ac:dyDescent="0.25">
      <c r="A97" s="373">
        <v>41747</v>
      </c>
      <c r="B97" s="233" t="str">
        <f>VLOOKUP(Table8[[#This Row],[Document ID]],Table1[],2,FALSE)</f>
        <v>ARM</v>
      </c>
      <c r="C97" s="233" t="str">
        <f>VLOOKUP(Table8[[#This Row],[Document ID]],Table1[],3,FALSE)</f>
        <v>Armenia</v>
      </c>
      <c r="D97" s="243" t="str">
        <f>VLOOKUP(Table8[[#This Row],[Document ID]],Table1[],5,FALSE)</f>
        <v>LTS</v>
      </c>
      <c r="E97" s="233" t="str">
        <f>VLOOKUP(Table8[[#This Row],[Document ID]],Table1[],7,FALSE)</f>
        <v>LTS</v>
      </c>
      <c r="F97" s="233" t="str">
        <f>VLOOKUP(Table8[[#This Row],[Document ID]],Table1[],8,FALSE)</f>
        <v>LTS 1.0</v>
      </c>
      <c r="G97" s="233" t="str">
        <f>VLOOKUP(Table8[[#This Row],[Document ID]],Table1[],10,FALSE)</f>
        <v>Active</v>
      </c>
      <c r="H97" s="43" t="s">
        <v>2350</v>
      </c>
      <c r="I97" s="43" t="s">
        <v>2456</v>
      </c>
      <c r="J97" s="44" t="s">
        <v>2466</v>
      </c>
      <c r="K97" s="44" t="s">
        <v>2467</v>
      </c>
      <c r="L97" s="44" t="s">
        <v>2333</v>
      </c>
      <c r="M97" s="43"/>
      <c r="N97" s="113" t="s">
        <v>1113</v>
      </c>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t="s">
        <v>1113</v>
      </c>
      <c r="AL97" s="113"/>
      <c r="AM97" s="113"/>
      <c r="AN97" s="113"/>
      <c r="AO97" s="44" t="s">
        <v>2334</v>
      </c>
      <c r="AP97" s="43"/>
      <c r="AQ97" s="236" t="str">
        <f>VLOOKUP(Table8[[#This Row],[Instrument]],Def_Targets!$D$73:$E$159,2,FALSE)</f>
        <v>S_Infraexpansion</v>
      </c>
      <c r="AR97" s="233" t="str">
        <f>VLOOKUP(Table8[[#This Row],[Country Code]],Table29[],3,FALSE)</f>
        <v>Non-Annex I</v>
      </c>
      <c r="AS97" s="233" t="str">
        <f>VLOOKUP(Table8[[#This Row],[Country Code]],Table29[],4,FALSE)</f>
        <v>Asia</v>
      </c>
      <c r="AT97" s="233" t="str">
        <f>VLOOKUP(Table8[[#This Row],[Country Code]],Table29[],5,FALSE)</f>
        <v>Middle-income</v>
      </c>
      <c r="AU97" s="233" t="str">
        <f>VLOOKUP(Table8[[#This Row],[Country Code]],Table29[],6,FALSE)</f>
        <v>no</v>
      </c>
      <c r="AV97" s="233" t="str">
        <f>VLOOKUP(Table8[[#This Row],[Country Code]],Table29[],7,FALSE)</f>
        <v>no</v>
      </c>
      <c r="AW97" s="233" t="str">
        <f>VLOOKUP(Table8[[#This Row],[Country Code]],Table29[],8,FALSE)</f>
        <v>non-OECD</v>
      </c>
      <c r="AX97" s="233" t="str">
        <f>VLOOKUP(Table8[[#This Row],[Country Code]],Table29[],9,FALSE)</f>
        <v>no</v>
      </c>
      <c r="AY97" s="233" t="str">
        <f>VLOOKUP(Table8[[#This Row],[Country Code]],Table29[],10,FALSE)</f>
        <v>no</v>
      </c>
      <c r="AZ97" s="235">
        <f>VLOOKUP(Table8[[#This Row],[Country Code]],Table29[],23,FALSE)</f>
        <v>10.836336950669001</v>
      </c>
      <c r="BA97" s="235">
        <f>VLOOKUP(Table8[[#This Row],[Country Code]],Table29[],24,FALSE)</f>
        <v>2.5418316945039221</v>
      </c>
      <c r="BB97" s="320"/>
      <c r="BC97" s="320"/>
    </row>
    <row r="98" spans="1:55" hidden="1" x14ac:dyDescent="0.25">
      <c r="A98" s="401">
        <v>41747</v>
      </c>
      <c r="B98" s="233" t="str">
        <f>VLOOKUP(Table8[[#This Row],[Document ID]],Table1[],2,FALSE)</f>
        <v>ARM</v>
      </c>
      <c r="C98" s="233" t="str">
        <f>VLOOKUP(Table8[[#This Row],[Document ID]],Table1[],3,FALSE)</f>
        <v>Armenia</v>
      </c>
      <c r="D98" s="380" t="str">
        <f>VLOOKUP(Table8[[#This Row],[Document ID]],Table1[],5,FALSE)</f>
        <v>LTS</v>
      </c>
      <c r="E98" s="233" t="str">
        <f>VLOOKUP(Table8[[#This Row],[Document ID]],Table1[],7,FALSE)</f>
        <v>LTS</v>
      </c>
      <c r="F98" s="244" t="str">
        <f>VLOOKUP(Table8[[#This Row],[Document ID]],Table1[],8,FALSE)</f>
        <v>LTS 1.0</v>
      </c>
      <c r="G98" s="244" t="str">
        <f>VLOOKUP(Table8[[#This Row],[Document ID]],Table1[],10,FALSE)</f>
        <v>Active</v>
      </c>
      <c r="H98" s="43" t="s">
        <v>2350</v>
      </c>
      <c r="I98" s="43" t="s">
        <v>2456</v>
      </c>
      <c r="J98" s="44" t="s">
        <v>2457</v>
      </c>
      <c r="K98" s="228" t="s">
        <v>2468</v>
      </c>
      <c r="L98" s="228" t="s">
        <v>2333</v>
      </c>
      <c r="M98" s="173">
        <v>28</v>
      </c>
      <c r="N98" s="402" t="s">
        <v>1113</v>
      </c>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t="s">
        <v>1113</v>
      </c>
      <c r="AL98" s="402"/>
      <c r="AM98" s="402"/>
      <c r="AN98" s="402"/>
      <c r="AO98" s="44" t="s">
        <v>2334</v>
      </c>
      <c r="AP98" s="173"/>
      <c r="AQ98" s="236" t="str">
        <f>VLOOKUP(Table8[[#This Row],[Instrument]],Def_Targets!$D$73:$E$159,2,FALSE)</f>
        <v>S_Infraimprove</v>
      </c>
      <c r="AR98" s="244" t="str">
        <f>VLOOKUP(Table8[[#This Row],[Country Code]],Table29[],3,FALSE)</f>
        <v>Non-Annex I</v>
      </c>
      <c r="AS98" s="244" t="str">
        <f>VLOOKUP(Table8[[#This Row],[Country Code]],Table29[],4,FALSE)</f>
        <v>Asia</v>
      </c>
      <c r="AT98" s="244" t="str">
        <f>VLOOKUP(Table8[[#This Row],[Country Code]],Table29[],5,FALSE)</f>
        <v>Middle-income</v>
      </c>
      <c r="AU98" s="244" t="str">
        <f>VLOOKUP(Table8[[#This Row],[Country Code]],Table29[],6,FALSE)</f>
        <v>no</v>
      </c>
      <c r="AV98" s="244" t="str">
        <f>VLOOKUP(Table8[[#This Row],[Country Code]],Table29[],7,FALSE)</f>
        <v>no</v>
      </c>
      <c r="AW98" s="244" t="str">
        <f>VLOOKUP(Table8[[#This Row],[Country Code]],Table29[],8,FALSE)</f>
        <v>non-OECD</v>
      </c>
      <c r="AX98" s="244" t="str">
        <f>VLOOKUP(Table8[[#This Row],[Country Code]],Table29[],9,FALSE)</f>
        <v>no</v>
      </c>
      <c r="AY98" s="244" t="str">
        <f>VLOOKUP(Table8[[#This Row],[Country Code]],Table29[],10,FALSE)</f>
        <v>no</v>
      </c>
      <c r="AZ98" s="245">
        <f>VLOOKUP(Table8[[#This Row],[Country Code]],Table29[],23,FALSE)</f>
        <v>10.836336950669001</v>
      </c>
      <c r="BA98" s="245">
        <f>VLOOKUP(Table8[[#This Row],[Country Code]],Table29[],24,FALSE)</f>
        <v>2.5418316945039221</v>
      </c>
      <c r="BB98" s="379" t="s">
        <v>2469</v>
      </c>
      <c r="BC98" s="379"/>
    </row>
    <row r="99" spans="1:55" ht="30" hidden="1" x14ac:dyDescent="0.25">
      <c r="A99" s="373">
        <v>41747</v>
      </c>
      <c r="B99" s="233" t="str">
        <f>VLOOKUP(Table8[[#This Row],[Document ID]],Table1[],2,FALSE)</f>
        <v>ARM</v>
      </c>
      <c r="C99" s="233" t="str">
        <f>VLOOKUP(Table8[[#This Row],[Document ID]],Table1[],3,FALSE)</f>
        <v>Armenia</v>
      </c>
      <c r="D99" s="243" t="str">
        <f>VLOOKUP(Table8[[#This Row],[Document ID]],Table1[],5,FALSE)</f>
        <v>LTS</v>
      </c>
      <c r="E99" s="233" t="str">
        <f>VLOOKUP(Table8[[#This Row],[Document ID]],Table1[],7,FALSE)</f>
        <v>LTS</v>
      </c>
      <c r="F99" s="233" t="str">
        <f>VLOOKUP(Table8[[#This Row],[Document ID]],Table1[],8,FALSE)</f>
        <v>LTS 1.0</v>
      </c>
      <c r="G99" s="233" t="str">
        <f>VLOOKUP(Table8[[#This Row],[Document ID]],Table1[],10,FALSE)</f>
        <v>Active</v>
      </c>
      <c r="H99" s="43" t="s">
        <v>2358</v>
      </c>
      <c r="I99" s="43" t="s">
        <v>2359</v>
      </c>
      <c r="J99" s="44" t="s">
        <v>2360</v>
      </c>
      <c r="K99" s="44" t="s">
        <v>2470</v>
      </c>
      <c r="L99" s="44" t="s">
        <v>2471</v>
      </c>
      <c r="M99" s="43">
        <v>28</v>
      </c>
      <c r="N99" s="113" t="s">
        <v>1113</v>
      </c>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t="s">
        <v>1113</v>
      </c>
      <c r="AL99" s="113"/>
      <c r="AM99" s="113"/>
      <c r="AN99" s="113"/>
      <c r="AO99" s="43" t="s">
        <v>2348</v>
      </c>
      <c r="AP99" s="43"/>
      <c r="AQ99" s="236" t="str">
        <f>VLOOKUP(Table8[[#This Row],[Instrument]],Def_Targets!$D$73:$E$159,2,FALSE)</f>
        <v>I_Emobility</v>
      </c>
      <c r="AR99" s="233" t="str">
        <f>VLOOKUP(Table8[[#This Row],[Country Code]],Table29[],3,FALSE)</f>
        <v>Non-Annex I</v>
      </c>
      <c r="AS99" s="233" t="str">
        <f>VLOOKUP(Table8[[#This Row],[Country Code]],Table29[],4,FALSE)</f>
        <v>Asia</v>
      </c>
      <c r="AT99" s="233" t="str">
        <f>VLOOKUP(Table8[[#This Row],[Country Code]],Table29[],5,FALSE)</f>
        <v>Middle-income</v>
      </c>
      <c r="AU99" s="233" t="str">
        <f>VLOOKUP(Table8[[#This Row],[Country Code]],Table29[],6,FALSE)</f>
        <v>no</v>
      </c>
      <c r="AV99" s="233" t="str">
        <f>VLOOKUP(Table8[[#This Row],[Country Code]],Table29[],7,FALSE)</f>
        <v>no</v>
      </c>
      <c r="AW99" s="233" t="str">
        <f>VLOOKUP(Table8[[#This Row],[Country Code]],Table29[],8,FALSE)</f>
        <v>non-OECD</v>
      </c>
      <c r="AX99" s="233" t="str">
        <f>VLOOKUP(Table8[[#This Row],[Country Code]],Table29[],9,FALSE)</f>
        <v>no</v>
      </c>
      <c r="AY99" s="233" t="str">
        <f>VLOOKUP(Table8[[#This Row],[Country Code]],Table29[],10,FALSE)</f>
        <v>no</v>
      </c>
      <c r="AZ99" s="235">
        <f>VLOOKUP(Table8[[#This Row],[Country Code]],Table29[],23,FALSE)</f>
        <v>10.836336950669001</v>
      </c>
      <c r="BA99" s="235">
        <f>VLOOKUP(Table8[[#This Row],[Country Code]],Table29[],24,FALSE)</f>
        <v>2.5418316945039221</v>
      </c>
      <c r="BB99" s="320"/>
      <c r="BC99" s="320"/>
    </row>
    <row r="100" spans="1:55" hidden="1" x14ac:dyDescent="0.25">
      <c r="A100" s="373">
        <v>41747</v>
      </c>
      <c r="B100" s="233" t="str">
        <f>VLOOKUP(Table8[[#This Row],[Document ID]],Table1[],2,FALSE)</f>
        <v>ARM</v>
      </c>
      <c r="C100" s="233" t="str">
        <f>VLOOKUP(Table8[[#This Row],[Document ID]],Table1[],3,FALSE)</f>
        <v>Armenia</v>
      </c>
      <c r="D100" s="243" t="str">
        <f>VLOOKUP(Table8[[#This Row],[Document ID]],Table1[],5,FALSE)</f>
        <v>LTS</v>
      </c>
      <c r="E100" s="233" t="str">
        <f>VLOOKUP(Table8[[#This Row],[Document ID]],Table1[],7,FALSE)</f>
        <v>LTS</v>
      </c>
      <c r="F100" s="233" t="str">
        <f>VLOOKUP(Table8[[#This Row],[Document ID]],Table1[],8,FALSE)</f>
        <v>LTS 1.0</v>
      </c>
      <c r="G100" s="233" t="str">
        <f>VLOOKUP(Table8[[#This Row],[Document ID]],Table1[],10,FALSE)</f>
        <v>Active</v>
      </c>
      <c r="H100" s="43" t="s">
        <v>2343</v>
      </c>
      <c r="I100" s="43" t="s">
        <v>2429</v>
      </c>
      <c r="J100" s="44" t="s">
        <v>2472</v>
      </c>
      <c r="K100" s="44" t="s">
        <v>2473</v>
      </c>
      <c r="L100" s="44" t="s">
        <v>2333</v>
      </c>
      <c r="M100" s="43">
        <v>28</v>
      </c>
      <c r="N100" s="113" t="s">
        <v>1113</v>
      </c>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t="s">
        <v>1113</v>
      </c>
      <c r="AL100" s="113"/>
      <c r="AM100" s="113"/>
      <c r="AN100" s="113"/>
      <c r="AO100" s="44" t="s">
        <v>2334</v>
      </c>
      <c r="AP100" s="43"/>
      <c r="AQ100" s="236" t="str">
        <f>VLOOKUP(Table8[[#This Row],[Instrument]],Def_Targets!$D$73:$E$159,2,FALSE)</f>
        <v>I_Other</v>
      </c>
      <c r="AR100" s="233" t="str">
        <f>VLOOKUP(Table8[[#This Row],[Country Code]],Table29[],3,FALSE)</f>
        <v>Non-Annex I</v>
      </c>
      <c r="AS100" s="233" t="str">
        <f>VLOOKUP(Table8[[#This Row],[Country Code]],Table29[],4,FALSE)</f>
        <v>Asia</v>
      </c>
      <c r="AT100" s="233" t="str">
        <f>VLOOKUP(Table8[[#This Row],[Country Code]],Table29[],5,FALSE)</f>
        <v>Middle-income</v>
      </c>
      <c r="AU100" s="233" t="str">
        <f>VLOOKUP(Table8[[#This Row],[Country Code]],Table29[],6,FALSE)</f>
        <v>no</v>
      </c>
      <c r="AV100" s="233" t="str">
        <f>VLOOKUP(Table8[[#This Row],[Country Code]],Table29[],7,FALSE)</f>
        <v>no</v>
      </c>
      <c r="AW100" s="233" t="str">
        <f>VLOOKUP(Table8[[#This Row],[Country Code]],Table29[],8,FALSE)</f>
        <v>non-OECD</v>
      </c>
      <c r="AX100" s="233" t="str">
        <f>VLOOKUP(Table8[[#This Row],[Country Code]],Table29[],9,FALSE)</f>
        <v>no</v>
      </c>
      <c r="AY100" s="233" t="str">
        <f>VLOOKUP(Table8[[#This Row],[Country Code]],Table29[],10,FALSE)</f>
        <v>no</v>
      </c>
      <c r="AZ100" s="235">
        <f>VLOOKUP(Table8[[#This Row],[Country Code]],Table29[],23,FALSE)</f>
        <v>10.836336950669001</v>
      </c>
      <c r="BA100" s="235">
        <f>VLOOKUP(Table8[[#This Row],[Country Code]],Table29[],24,FALSE)</f>
        <v>2.5418316945039221</v>
      </c>
      <c r="BB100" s="320"/>
      <c r="BC100" s="320"/>
    </row>
    <row r="101" spans="1:55" ht="30" hidden="1" x14ac:dyDescent="0.25">
      <c r="A101" s="373">
        <v>41747</v>
      </c>
      <c r="B101" s="233" t="str">
        <f>VLOOKUP(Table8[[#This Row],[Document ID]],Table1[],2,FALSE)</f>
        <v>ARM</v>
      </c>
      <c r="C101" s="233" t="str">
        <f>VLOOKUP(Table8[[#This Row],[Document ID]],Table1[],3,FALSE)</f>
        <v>Armenia</v>
      </c>
      <c r="D101" s="243" t="str">
        <f>VLOOKUP(Table8[[#This Row],[Document ID]],Table1[],5,FALSE)</f>
        <v>LTS</v>
      </c>
      <c r="E101" s="233" t="str">
        <f>VLOOKUP(Table8[[#This Row],[Document ID]],Table1[],7,FALSE)</f>
        <v>LTS</v>
      </c>
      <c r="F101" s="233" t="str">
        <f>VLOOKUP(Table8[[#This Row],[Document ID]],Table1[],8,FALSE)</f>
        <v>LTS 1.0</v>
      </c>
      <c r="G101" s="233" t="str">
        <f>VLOOKUP(Table8[[#This Row],[Document ID]],Table1[],10,FALSE)</f>
        <v>Active</v>
      </c>
      <c r="H101" s="43" t="s">
        <v>2358</v>
      </c>
      <c r="I101" s="43" t="s">
        <v>2359</v>
      </c>
      <c r="J101" s="44" t="s">
        <v>2360</v>
      </c>
      <c r="K101" s="44" t="s">
        <v>2474</v>
      </c>
      <c r="L101" s="44" t="s">
        <v>2333</v>
      </c>
      <c r="M101" s="43" t="s">
        <v>2475</v>
      </c>
      <c r="N101" s="113"/>
      <c r="O101" s="113"/>
      <c r="P101" s="113"/>
      <c r="Q101" s="113"/>
      <c r="R101" s="113"/>
      <c r="S101" s="113" t="s">
        <v>1113</v>
      </c>
      <c r="T101" s="113"/>
      <c r="U101" s="113"/>
      <c r="V101" s="113"/>
      <c r="W101" s="113"/>
      <c r="X101" s="113"/>
      <c r="Y101" s="113"/>
      <c r="Z101" s="113"/>
      <c r="AA101" s="113"/>
      <c r="AB101" s="113"/>
      <c r="AC101" s="113"/>
      <c r="AD101" s="113"/>
      <c r="AE101" s="113"/>
      <c r="AF101" s="113"/>
      <c r="AG101" s="113"/>
      <c r="AH101" s="113"/>
      <c r="AI101" s="113"/>
      <c r="AJ101" s="113"/>
      <c r="AK101" s="113" t="s">
        <v>1113</v>
      </c>
      <c r="AL101" s="113"/>
      <c r="AM101" s="113"/>
      <c r="AN101" s="113"/>
      <c r="AO101" s="44" t="s">
        <v>2334</v>
      </c>
      <c r="AP101" s="43"/>
      <c r="AQ101" s="236" t="str">
        <f>VLOOKUP(Table8[[#This Row],[Instrument]],Def_Targets!$D$73:$E$159,2,FALSE)</f>
        <v>I_Emobility</v>
      </c>
      <c r="AR101" s="233" t="str">
        <f>VLOOKUP(Table8[[#This Row],[Country Code]],Table29[],3,FALSE)</f>
        <v>Non-Annex I</v>
      </c>
      <c r="AS101" s="233" t="str">
        <f>VLOOKUP(Table8[[#This Row],[Country Code]],Table29[],4,FALSE)</f>
        <v>Asia</v>
      </c>
      <c r="AT101" s="233" t="str">
        <f>VLOOKUP(Table8[[#This Row],[Country Code]],Table29[],5,FALSE)</f>
        <v>Middle-income</v>
      </c>
      <c r="AU101" s="233" t="str">
        <f>VLOOKUP(Table8[[#This Row],[Country Code]],Table29[],6,FALSE)</f>
        <v>no</v>
      </c>
      <c r="AV101" s="233" t="str">
        <f>VLOOKUP(Table8[[#This Row],[Country Code]],Table29[],7,FALSE)</f>
        <v>no</v>
      </c>
      <c r="AW101" s="233" t="str">
        <f>VLOOKUP(Table8[[#This Row],[Country Code]],Table29[],8,FALSE)</f>
        <v>non-OECD</v>
      </c>
      <c r="AX101" s="233" t="str">
        <f>VLOOKUP(Table8[[#This Row],[Country Code]],Table29[],9,FALSE)</f>
        <v>no</v>
      </c>
      <c r="AY101" s="233" t="str">
        <f>VLOOKUP(Table8[[#This Row],[Country Code]],Table29[],10,FALSE)</f>
        <v>no</v>
      </c>
      <c r="AZ101" s="235">
        <f>VLOOKUP(Table8[[#This Row],[Country Code]],Table29[],23,FALSE)</f>
        <v>10.836336950669001</v>
      </c>
      <c r="BA101" s="235">
        <f>VLOOKUP(Table8[[#This Row],[Country Code]],Table29[],24,FALSE)</f>
        <v>2.5418316945039221</v>
      </c>
      <c r="BB101" s="320"/>
      <c r="BC101" s="320"/>
    </row>
    <row r="102" spans="1:55" ht="60" hidden="1" x14ac:dyDescent="0.25">
      <c r="A102" s="373">
        <v>41745</v>
      </c>
      <c r="B102" s="233" t="str">
        <f>VLOOKUP(Table8[[#This Row],[Document ID]],Table1[],2,FALSE)</f>
        <v>AUS</v>
      </c>
      <c r="C102" s="233" t="str">
        <f>VLOOKUP(Table8[[#This Row],[Document ID]],Table1[],3,FALSE)</f>
        <v>Australia</v>
      </c>
      <c r="D102" s="243" t="str">
        <f>VLOOKUP(Table8[[#This Row],[Document ID]],Table1[],5,FALSE)</f>
        <v>LTS</v>
      </c>
      <c r="E102" s="233" t="str">
        <f>VLOOKUP(Table8[[#This Row],[Document ID]],Table1[],7,FALSE)</f>
        <v>LTS</v>
      </c>
      <c r="F102" s="233" t="str">
        <f>VLOOKUP(Table8[[#This Row],[Document ID]],Table1[],8,FALSE)</f>
        <v>LTS 1.1</v>
      </c>
      <c r="G102" s="233" t="str">
        <f>VLOOKUP(Table8[[#This Row],[Document ID]],Table1[],10,FALSE)</f>
        <v>Active</v>
      </c>
      <c r="H102" s="43" t="s">
        <v>2350</v>
      </c>
      <c r="I102" s="43" t="s">
        <v>2370</v>
      </c>
      <c r="J102" s="44" t="s">
        <v>2371</v>
      </c>
      <c r="K102" s="44" t="s">
        <v>2476</v>
      </c>
      <c r="L102" s="44" t="s">
        <v>2373</v>
      </c>
      <c r="M102" s="43">
        <v>35</v>
      </c>
      <c r="N102" s="113"/>
      <c r="O102" s="113"/>
      <c r="P102" s="113"/>
      <c r="Q102" s="113"/>
      <c r="R102" s="113"/>
      <c r="S102" s="113" t="s">
        <v>1113</v>
      </c>
      <c r="T102" s="113"/>
      <c r="U102" s="113"/>
      <c r="V102" s="113"/>
      <c r="W102" s="113"/>
      <c r="X102" s="113"/>
      <c r="Y102" s="113"/>
      <c r="Z102" s="113" t="s">
        <v>1113</v>
      </c>
      <c r="AA102" s="113"/>
      <c r="AB102" s="113"/>
      <c r="AC102" s="113"/>
      <c r="AD102" s="113" t="s">
        <v>1113</v>
      </c>
      <c r="AE102" s="113"/>
      <c r="AF102" s="113"/>
      <c r="AG102" s="113"/>
      <c r="AH102" s="113" t="s">
        <v>1113</v>
      </c>
      <c r="AI102" s="113"/>
      <c r="AJ102" s="113"/>
      <c r="AK102" s="113" t="s">
        <v>1113</v>
      </c>
      <c r="AL102" s="113"/>
      <c r="AM102" s="113"/>
      <c r="AN102" s="113"/>
      <c r="AO102" s="43" t="s">
        <v>2477</v>
      </c>
      <c r="AP102" s="43"/>
      <c r="AQ102" s="236" t="str">
        <f>VLOOKUP(Table8[[#This Row],[Instrument]],Def_Targets!$D$73:$E$159,2,FALSE)</f>
        <v>A_Natmobplan</v>
      </c>
      <c r="AR102" s="233" t="str">
        <f>VLOOKUP(Table8[[#This Row],[Country Code]],Table29[],3,FALSE)</f>
        <v>Annex I</v>
      </c>
      <c r="AS102" s="233" t="str">
        <f>VLOOKUP(Table8[[#This Row],[Country Code]],Table29[],4,FALSE)</f>
        <v>Oceania</v>
      </c>
      <c r="AT102" s="233" t="str">
        <f>VLOOKUP(Table8[[#This Row],[Country Code]],Table29[],5,FALSE)</f>
        <v>High-income</v>
      </c>
      <c r="AU102" s="233" t="str">
        <f>VLOOKUP(Table8[[#This Row],[Country Code]],Table29[],6,FALSE)</f>
        <v>G20</v>
      </c>
      <c r="AV102" s="233" t="str">
        <f>VLOOKUP(Table8[[#This Row],[Country Code]],Table29[],7,FALSE)</f>
        <v>no</v>
      </c>
      <c r="AW102" s="233" t="str">
        <f>VLOOKUP(Table8[[#This Row],[Country Code]],Table29[],8,FALSE)</f>
        <v>OECD</v>
      </c>
      <c r="AX102" s="233" t="str">
        <f>VLOOKUP(Table8[[#This Row],[Country Code]],Table29[],9,FALSE)</f>
        <v>no</v>
      </c>
      <c r="AY102" s="233" t="str">
        <f>VLOOKUP(Table8[[#This Row],[Country Code]],Table29[],10,FALSE)</f>
        <v>no</v>
      </c>
      <c r="AZ102" s="235">
        <f>VLOOKUP(Table8[[#This Row],[Country Code]],Table29[],23,FALSE)</f>
        <v>571.83984854670996</v>
      </c>
      <c r="BA102" s="235">
        <f>VLOOKUP(Table8[[#This Row],[Country Code]],Table29[],24,FALSE)</f>
        <v>97.492958559878787</v>
      </c>
      <c r="BB102" s="320"/>
      <c r="BC102" s="320"/>
    </row>
    <row r="103" spans="1:55" ht="75" hidden="1" x14ac:dyDescent="0.25">
      <c r="A103" s="373">
        <v>41745</v>
      </c>
      <c r="B103" s="233" t="str">
        <f>VLOOKUP(Table8[[#This Row],[Document ID]],Table1[],2,FALSE)</f>
        <v>AUS</v>
      </c>
      <c r="C103" s="233" t="str">
        <f>VLOOKUP(Table8[[#This Row],[Document ID]],Table1[],3,FALSE)</f>
        <v>Australia</v>
      </c>
      <c r="D103" s="243" t="str">
        <f>VLOOKUP(Table8[[#This Row],[Document ID]],Table1[],5,FALSE)</f>
        <v>LTS</v>
      </c>
      <c r="E103" s="233" t="str">
        <f>VLOOKUP(Table8[[#This Row],[Document ID]],Table1[],7,FALSE)</f>
        <v>LTS</v>
      </c>
      <c r="F103" s="233" t="str">
        <f>VLOOKUP(Table8[[#This Row],[Document ID]],Table1[],8,FALSE)</f>
        <v>LTS 1.1</v>
      </c>
      <c r="G103" s="233" t="str">
        <f>VLOOKUP(Table8[[#This Row],[Document ID]],Table1[],10,FALSE)</f>
        <v>Active</v>
      </c>
      <c r="H103" s="44" t="s">
        <v>2338</v>
      </c>
      <c r="I103" s="44" t="s">
        <v>2339</v>
      </c>
      <c r="J103" s="44" t="s">
        <v>2425</v>
      </c>
      <c r="K103" s="44" t="s">
        <v>2478</v>
      </c>
      <c r="L103" s="44" t="s">
        <v>2333</v>
      </c>
      <c r="M103" s="43">
        <v>35</v>
      </c>
      <c r="N103" s="113"/>
      <c r="O103" s="113"/>
      <c r="P103" s="113"/>
      <c r="Q103" s="113"/>
      <c r="R103" s="113"/>
      <c r="S103" s="113" t="s">
        <v>1113</v>
      </c>
      <c r="T103" s="113"/>
      <c r="U103" s="113"/>
      <c r="V103" s="113"/>
      <c r="W103" s="113"/>
      <c r="X103" s="113"/>
      <c r="Y103" s="113"/>
      <c r="Z103" s="113"/>
      <c r="AA103" s="113"/>
      <c r="AB103" s="113"/>
      <c r="AC103" s="113"/>
      <c r="AD103" s="113"/>
      <c r="AE103" s="113"/>
      <c r="AF103" s="113"/>
      <c r="AG103" s="113"/>
      <c r="AH103" s="113"/>
      <c r="AI103" s="113"/>
      <c r="AJ103" s="113"/>
      <c r="AK103" s="113" t="s">
        <v>1113</v>
      </c>
      <c r="AL103" s="113"/>
      <c r="AM103" s="113"/>
      <c r="AN103" s="113"/>
      <c r="AO103" s="44" t="s">
        <v>2334</v>
      </c>
      <c r="AP103" s="43"/>
      <c r="AQ103" s="236" t="str">
        <f>VLOOKUP(Table8[[#This Row],[Instrument]],Def_Targets!$D$73:$E$159,2,FALSE)</f>
        <v>I_Efficiencystd</v>
      </c>
      <c r="AR103" s="233" t="str">
        <f>VLOOKUP(Table8[[#This Row],[Country Code]],Table29[],3,FALSE)</f>
        <v>Annex I</v>
      </c>
      <c r="AS103" s="233" t="str">
        <f>VLOOKUP(Table8[[#This Row],[Country Code]],Table29[],4,FALSE)</f>
        <v>Oceania</v>
      </c>
      <c r="AT103" s="233" t="str">
        <f>VLOOKUP(Table8[[#This Row],[Country Code]],Table29[],5,FALSE)</f>
        <v>High-income</v>
      </c>
      <c r="AU103" s="233" t="str">
        <f>VLOOKUP(Table8[[#This Row],[Country Code]],Table29[],6,FALSE)</f>
        <v>G20</v>
      </c>
      <c r="AV103" s="233" t="str">
        <f>VLOOKUP(Table8[[#This Row],[Country Code]],Table29[],7,FALSE)</f>
        <v>no</v>
      </c>
      <c r="AW103" s="233" t="str">
        <f>VLOOKUP(Table8[[#This Row],[Country Code]],Table29[],8,FALSE)</f>
        <v>OECD</v>
      </c>
      <c r="AX103" s="233" t="str">
        <f>VLOOKUP(Table8[[#This Row],[Country Code]],Table29[],9,FALSE)</f>
        <v>no</v>
      </c>
      <c r="AY103" s="233" t="str">
        <f>VLOOKUP(Table8[[#This Row],[Country Code]],Table29[],10,FALSE)</f>
        <v>no</v>
      </c>
      <c r="AZ103" s="235">
        <f>VLOOKUP(Table8[[#This Row],[Country Code]],Table29[],23,FALSE)</f>
        <v>571.83984854670996</v>
      </c>
      <c r="BA103" s="235">
        <f>VLOOKUP(Table8[[#This Row],[Country Code]],Table29[],24,FALSE)</f>
        <v>97.492958559878787</v>
      </c>
      <c r="BB103" s="320"/>
      <c r="BC103" s="320"/>
    </row>
    <row r="104" spans="1:55" ht="60" hidden="1" x14ac:dyDescent="0.25">
      <c r="A104" s="373">
        <v>41745</v>
      </c>
      <c r="B104" s="233" t="str">
        <f>VLOOKUP(Table8[[#This Row],[Document ID]],Table1[],2,FALSE)</f>
        <v>AUS</v>
      </c>
      <c r="C104" s="233" t="str">
        <f>VLOOKUP(Table8[[#This Row],[Document ID]],Table1[],3,FALSE)</f>
        <v>Australia</v>
      </c>
      <c r="D104" s="243" t="str">
        <f>VLOOKUP(Table8[[#This Row],[Document ID]],Table1[],5,FALSE)</f>
        <v>LTS</v>
      </c>
      <c r="E104" s="233" t="str">
        <f>VLOOKUP(Table8[[#This Row],[Document ID]],Table1[],7,FALSE)</f>
        <v>LTS</v>
      </c>
      <c r="F104" s="233" t="str">
        <f>VLOOKUP(Table8[[#This Row],[Document ID]],Table1[],8,FALSE)</f>
        <v>LTS 1.1</v>
      </c>
      <c r="G104" s="233" t="str">
        <f>VLOOKUP(Table8[[#This Row],[Document ID]],Table1[],10,FALSE)</f>
        <v>Active</v>
      </c>
      <c r="H104" s="43" t="s">
        <v>2343</v>
      </c>
      <c r="I104" s="43" t="s">
        <v>2386</v>
      </c>
      <c r="J104" s="44" t="s">
        <v>2397</v>
      </c>
      <c r="K104" s="44" t="s">
        <v>2479</v>
      </c>
      <c r="L104" s="44" t="s">
        <v>2333</v>
      </c>
      <c r="M104" s="43">
        <v>35</v>
      </c>
      <c r="N104" s="113"/>
      <c r="O104" s="113"/>
      <c r="P104" s="113"/>
      <c r="Q104" s="113"/>
      <c r="R104" s="113"/>
      <c r="S104" s="113" t="s">
        <v>1113</v>
      </c>
      <c r="T104" s="113"/>
      <c r="U104" s="113"/>
      <c r="V104" s="113"/>
      <c r="W104" s="113"/>
      <c r="X104" s="113"/>
      <c r="Y104" s="113"/>
      <c r="Z104" s="113"/>
      <c r="AA104" s="113"/>
      <c r="AB104" s="113"/>
      <c r="AC104" s="113"/>
      <c r="AD104" s="113"/>
      <c r="AE104" s="113"/>
      <c r="AF104" s="113"/>
      <c r="AG104" s="113"/>
      <c r="AH104" s="113"/>
      <c r="AI104" s="113"/>
      <c r="AJ104" s="113"/>
      <c r="AK104" s="113" t="s">
        <v>1113</v>
      </c>
      <c r="AL104" s="113"/>
      <c r="AM104" s="113"/>
      <c r="AN104" s="113"/>
      <c r="AO104" s="44" t="s">
        <v>2334</v>
      </c>
      <c r="AP104" s="43"/>
      <c r="AQ104" s="236" t="str">
        <f>VLOOKUP(Table8[[#This Row],[Instrument]],Def_Targets!$D$73:$E$159,2,FALSE)</f>
        <v>A_Finance</v>
      </c>
      <c r="AR104" s="233" t="str">
        <f>VLOOKUP(Table8[[#This Row],[Country Code]],Table29[],3,FALSE)</f>
        <v>Annex I</v>
      </c>
      <c r="AS104" s="233" t="str">
        <f>VLOOKUP(Table8[[#This Row],[Country Code]],Table29[],4,FALSE)</f>
        <v>Oceania</v>
      </c>
      <c r="AT104" s="233" t="str">
        <f>VLOOKUP(Table8[[#This Row],[Country Code]],Table29[],5,FALSE)</f>
        <v>High-income</v>
      </c>
      <c r="AU104" s="233" t="str">
        <f>VLOOKUP(Table8[[#This Row],[Country Code]],Table29[],6,FALSE)</f>
        <v>G20</v>
      </c>
      <c r="AV104" s="233" t="str">
        <f>VLOOKUP(Table8[[#This Row],[Country Code]],Table29[],7,FALSE)</f>
        <v>no</v>
      </c>
      <c r="AW104" s="233" t="str">
        <f>VLOOKUP(Table8[[#This Row],[Country Code]],Table29[],8,FALSE)</f>
        <v>OECD</v>
      </c>
      <c r="AX104" s="233" t="str">
        <f>VLOOKUP(Table8[[#This Row],[Country Code]],Table29[],9,FALSE)</f>
        <v>no</v>
      </c>
      <c r="AY104" s="233" t="str">
        <f>VLOOKUP(Table8[[#This Row],[Country Code]],Table29[],10,FALSE)</f>
        <v>no</v>
      </c>
      <c r="AZ104" s="235">
        <f>VLOOKUP(Table8[[#This Row],[Country Code]],Table29[],23,FALSE)</f>
        <v>571.83984854670996</v>
      </c>
      <c r="BA104" s="235">
        <f>VLOOKUP(Table8[[#This Row],[Country Code]],Table29[],24,FALSE)</f>
        <v>97.492958559878787</v>
      </c>
      <c r="BB104" s="320"/>
      <c r="BC104" s="320"/>
    </row>
    <row r="105" spans="1:55" ht="75" hidden="1" x14ac:dyDescent="0.25">
      <c r="A105" s="373">
        <v>41745</v>
      </c>
      <c r="B105" s="233" t="str">
        <f>VLOOKUP(Table8[[#This Row],[Document ID]],Table1[],2,FALSE)</f>
        <v>AUS</v>
      </c>
      <c r="C105" s="233" t="str">
        <f>VLOOKUP(Table8[[#This Row],[Document ID]],Table1[],3,FALSE)</f>
        <v>Australia</v>
      </c>
      <c r="D105" s="243" t="str">
        <f>VLOOKUP(Table8[[#This Row],[Document ID]],Table1[],5,FALSE)</f>
        <v>LTS</v>
      </c>
      <c r="E105" s="233" t="str">
        <f>VLOOKUP(Table8[[#This Row],[Document ID]],Table1[],7,FALSE)</f>
        <v>LTS</v>
      </c>
      <c r="F105" s="233" t="str">
        <f>VLOOKUP(Table8[[#This Row],[Document ID]],Table1[],8,FALSE)</f>
        <v>LTS 1.1</v>
      </c>
      <c r="G105" s="233" t="str">
        <f>VLOOKUP(Table8[[#This Row],[Document ID]],Table1[],10,FALSE)</f>
        <v>Active</v>
      </c>
      <c r="H105" s="43" t="s">
        <v>2358</v>
      </c>
      <c r="I105" s="43" t="s">
        <v>2359</v>
      </c>
      <c r="J105" s="44" t="s">
        <v>2360</v>
      </c>
      <c r="K105" s="44" t="s">
        <v>2480</v>
      </c>
      <c r="L105" s="44" t="s">
        <v>2333</v>
      </c>
      <c r="M105" s="43">
        <v>35</v>
      </c>
      <c r="N105" s="113"/>
      <c r="O105" s="113"/>
      <c r="P105" s="113"/>
      <c r="Q105" s="113"/>
      <c r="R105" s="113"/>
      <c r="S105" s="113" t="s">
        <v>1113</v>
      </c>
      <c r="T105" s="113"/>
      <c r="U105" s="113"/>
      <c r="V105" s="113"/>
      <c r="W105" s="113"/>
      <c r="X105" s="113"/>
      <c r="Y105" s="113"/>
      <c r="Z105" s="113"/>
      <c r="AA105" s="113"/>
      <c r="AB105" s="113"/>
      <c r="AC105" s="113"/>
      <c r="AD105" s="113"/>
      <c r="AE105" s="113"/>
      <c r="AF105" s="113"/>
      <c r="AG105" s="113"/>
      <c r="AH105" s="113"/>
      <c r="AI105" s="113"/>
      <c r="AJ105" s="113"/>
      <c r="AK105" s="113" t="s">
        <v>1113</v>
      </c>
      <c r="AL105" s="113"/>
      <c r="AM105" s="113"/>
      <c r="AN105" s="113"/>
      <c r="AO105" s="44" t="s">
        <v>2334</v>
      </c>
      <c r="AP105" s="43"/>
      <c r="AQ105" s="236" t="str">
        <f>VLOOKUP(Table8[[#This Row],[Instrument]],Def_Targets!$D$73:$E$159,2,FALSE)</f>
        <v>I_Emobility</v>
      </c>
      <c r="AR105" s="233" t="str">
        <f>VLOOKUP(Table8[[#This Row],[Country Code]],Table29[],3,FALSE)</f>
        <v>Annex I</v>
      </c>
      <c r="AS105" s="233" t="str">
        <f>VLOOKUP(Table8[[#This Row],[Country Code]],Table29[],4,FALSE)</f>
        <v>Oceania</v>
      </c>
      <c r="AT105" s="233" t="str">
        <f>VLOOKUP(Table8[[#This Row],[Country Code]],Table29[],5,FALSE)</f>
        <v>High-income</v>
      </c>
      <c r="AU105" s="233" t="str">
        <f>VLOOKUP(Table8[[#This Row],[Country Code]],Table29[],6,FALSE)</f>
        <v>G20</v>
      </c>
      <c r="AV105" s="233" t="str">
        <f>VLOOKUP(Table8[[#This Row],[Country Code]],Table29[],7,FALSE)</f>
        <v>no</v>
      </c>
      <c r="AW105" s="233" t="str">
        <f>VLOOKUP(Table8[[#This Row],[Country Code]],Table29[],8,FALSE)</f>
        <v>OECD</v>
      </c>
      <c r="AX105" s="233" t="str">
        <f>VLOOKUP(Table8[[#This Row],[Country Code]],Table29[],9,FALSE)</f>
        <v>no</v>
      </c>
      <c r="AY105" s="233" t="str">
        <f>VLOOKUP(Table8[[#This Row],[Country Code]],Table29[],10,FALSE)</f>
        <v>no</v>
      </c>
      <c r="AZ105" s="235">
        <f>VLOOKUP(Table8[[#This Row],[Country Code]],Table29[],23,FALSE)</f>
        <v>571.83984854670996</v>
      </c>
      <c r="BA105" s="235">
        <f>VLOOKUP(Table8[[#This Row],[Country Code]],Table29[],24,FALSE)</f>
        <v>97.492958559878787</v>
      </c>
      <c r="BB105" s="320"/>
      <c r="BC105" s="320"/>
    </row>
    <row r="106" spans="1:55" ht="60" hidden="1" x14ac:dyDescent="0.25">
      <c r="A106" s="373">
        <v>41745</v>
      </c>
      <c r="B106" s="233" t="str">
        <f>VLOOKUP(Table8[[#This Row],[Document ID]],Table1[],2,FALSE)</f>
        <v>AUS</v>
      </c>
      <c r="C106" s="233" t="str">
        <f>VLOOKUP(Table8[[#This Row],[Document ID]],Table1[],3,FALSE)</f>
        <v>Australia</v>
      </c>
      <c r="D106" s="243" t="str">
        <f>VLOOKUP(Table8[[#This Row],[Document ID]],Table1[],5,FALSE)</f>
        <v>LTS</v>
      </c>
      <c r="E106" s="233" t="str">
        <f>VLOOKUP(Table8[[#This Row],[Document ID]],Table1[],7,FALSE)</f>
        <v>LTS</v>
      </c>
      <c r="F106" s="233" t="str">
        <f>VLOOKUP(Table8[[#This Row],[Document ID]],Table1[],8,FALSE)</f>
        <v>LTS 1.1</v>
      </c>
      <c r="G106" s="233" t="str">
        <f>VLOOKUP(Table8[[#This Row],[Document ID]],Table1[],10,FALSE)</f>
        <v>Active</v>
      </c>
      <c r="H106" s="43" t="s">
        <v>2358</v>
      </c>
      <c r="I106" s="43" t="s">
        <v>2359</v>
      </c>
      <c r="J106" s="44" t="s">
        <v>2383</v>
      </c>
      <c r="K106" s="44" t="s">
        <v>2481</v>
      </c>
      <c r="L106" s="44" t="s">
        <v>2333</v>
      </c>
      <c r="M106" s="43">
        <v>35</v>
      </c>
      <c r="N106" s="113" t="s">
        <v>1113</v>
      </c>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t="s">
        <v>1113</v>
      </c>
      <c r="AL106" s="113"/>
      <c r="AM106" s="113"/>
      <c r="AN106" s="113"/>
      <c r="AO106" s="44" t="s">
        <v>2334</v>
      </c>
      <c r="AP106" s="43"/>
      <c r="AQ106" s="236" t="str">
        <f>VLOOKUP(Table8[[#This Row],[Instrument]],Def_Targets!$D$73:$E$159,2,FALSE)</f>
        <v>I_Emobilitycharging</v>
      </c>
      <c r="AR106" s="233" t="str">
        <f>VLOOKUP(Table8[[#This Row],[Country Code]],Table29[],3,FALSE)</f>
        <v>Annex I</v>
      </c>
      <c r="AS106" s="233" t="str">
        <f>VLOOKUP(Table8[[#This Row],[Country Code]],Table29[],4,FALSE)</f>
        <v>Oceania</v>
      </c>
      <c r="AT106" s="233" t="str">
        <f>VLOOKUP(Table8[[#This Row],[Country Code]],Table29[],5,FALSE)</f>
        <v>High-income</v>
      </c>
      <c r="AU106" s="233" t="str">
        <f>VLOOKUP(Table8[[#This Row],[Country Code]],Table29[],6,FALSE)</f>
        <v>G20</v>
      </c>
      <c r="AV106" s="233" t="str">
        <f>VLOOKUP(Table8[[#This Row],[Country Code]],Table29[],7,FALSE)</f>
        <v>no</v>
      </c>
      <c r="AW106" s="233" t="str">
        <f>VLOOKUP(Table8[[#This Row],[Country Code]],Table29[],8,FALSE)</f>
        <v>OECD</v>
      </c>
      <c r="AX106" s="233" t="str">
        <f>VLOOKUP(Table8[[#This Row],[Country Code]],Table29[],9,FALSE)</f>
        <v>no</v>
      </c>
      <c r="AY106" s="233" t="str">
        <f>VLOOKUP(Table8[[#This Row],[Country Code]],Table29[],10,FALSE)</f>
        <v>no</v>
      </c>
      <c r="AZ106" s="235">
        <f>VLOOKUP(Table8[[#This Row],[Country Code]],Table29[],23,FALSE)</f>
        <v>571.83984854670996</v>
      </c>
      <c r="BA106" s="235">
        <f>VLOOKUP(Table8[[#This Row],[Country Code]],Table29[],24,FALSE)</f>
        <v>97.492958559878787</v>
      </c>
      <c r="BB106" s="320"/>
      <c r="BC106" s="320"/>
    </row>
    <row r="107" spans="1:55" ht="30" hidden="1" x14ac:dyDescent="0.25">
      <c r="A107" s="373">
        <v>41745</v>
      </c>
      <c r="B107" s="233" t="str">
        <f>VLOOKUP(Table8[[#This Row],[Document ID]],Table1[],2,FALSE)</f>
        <v>AUS</v>
      </c>
      <c r="C107" s="233" t="str">
        <f>VLOOKUP(Table8[[#This Row],[Document ID]],Table1[],3,FALSE)</f>
        <v>Australia</v>
      </c>
      <c r="D107" s="243" t="str">
        <f>VLOOKUP(Table8[[#This Row],[Document ID]],Table1[],5,FALSE)</f>
        <v>LTS</v>
      </c>
      <c r="E107" s="233" t="str">
        <f>VLOOKUP(Table8[[#This Row],[Document ID]],Table1[],7,FALSE)</f>
        <v>LTS</v>
      </c>
      <c r="F107" s="233" t="str">
        <f>VLOOKUP(Table8[[#This Row],[Document ID]],Table1[],8,FALSE)</f>
        <v>LTS 1.1</v>
      </c>
      <c r="G107" s="233" t="str">
        <f>VLOOKUP(Table8[[#This Row],[Document ID]],Table1[],10,FALSE)</f>
        <v>Active</v>
      </c>
      <c r="H107" s="44" t="s">
        <v>2329</v>
      </c>
      <c r="I107" s="44" t="s">
        <v>2330</v>
      </c>
      <c r="J107" s="44" t="s">
        <v>2391</v>
      </c>
      <c r="K107" s="44" t="s">
        <v>2482</v>
      </c>
      <c r="L107" s="44" t="s">
        <v>2333</v>
      </c>
      <c r="M107" s="43">
        <v>35</v>
      </c>
      <c r="N107" s="113" t="s">
        <v>1113</v>
      </c>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t="s">
        <v>1113</v>
      </c>
      <c r="AL107" s="113"/>
      <c r="AM107" s="113"/>
      <c r="AN107" s="113"/>
      <c r="AO107" s="44" t="s">
        <v>2334</v>
      </c>
      <c r="AP107" s="43"/>
      <c r="AQ107" s="236" t="str">
        <f>VLOOKUP(Table8[[#This Row],[Instrument]],Def_Targets!$D$73:$E$159,2,FALSE)</f>
        <v>I_Hydrogen</v>
      </c>
      <c r="AR107" s="233" t="str">
        <f>VLOOKUP(Table8[[#This Row],[Country Code]],Table29[],3,FALSE)</f>
        <v>Annex I</v>
      </c>
      <c r="AS107" s="233" t="str">
        <f>VLOOKUP(Table8[[#This Row],[Country Code]],Table29[],4,FALSE)</f>
        <v>Oceania</v>
      </c>
      <c r="AT107" s="233" t="str">
        <f>VLOOKUP(Table8[[#This Row],[Country Code]],Table29[],5,FALSE)</f>
        <v>High-income</v>
      </c>
      <c r="AU107" s="233" t="str">
        <f>VLOOKUP(Table8[[#This Row],[Country Code]],Table29[],6,FALSE)</f>
        <v>G20</v>
      </c>
      <c r="AV107" s="233" t="str">
        <f>VLOOKUP(Table8[[#This Row],[Country Code]],Table29[],7,FALSE)</f>
        <v>no</v>
      </c>
      <c r="AW107" s="233" t="str">
        <f>VLOOKUP(Table8[[#This Row],[Country Code]],Table29[],8,FALSE)</f>
        <v>OECD</v>
      </c>
      <c r="AX107" s="233" t="str">
        <f>VLOOKUP(Table8[[#This Row],[Country Code]],Table29[],9,FALSE)</f>
        <v>no</v>
      </c>
      <c r="AY107" s="233" t="str">
        <f>VLOOKUP(Table8[[#This Row],[Country Code]],Table29[],10,FALSE)</f>
        <v>no</v>
      </c>
      <c r="AZ107" s="235">
        <f>VLOOKUP(Table8[[#This Row],[Country Code]],Table29[],23,FALSE)</f>
        <v>571.83984854670996</v>
      </c>
      <c r="BA107" s="235">
        <f>VLOOKUP(Table8[[#This Row],[Country Code]],Table29[],24,FALSE)</f>
        <v>97.492958559878787</v>
      </c>
      <c r="BB107" s="320"/>
      <c r="BC107" s="320"/>
    </row>
    <row r="108" spans="1:55" ht="45" hidden="1" x14ac:dyDescent="0.25">
      <c r="A108" s="373">
        <v>41745</v>
      </c>
      <c r="B108" s="233" t="str">
        <f>VLOOKUP(Table8[[#This Row],[Document ID]],Table1[],2,FALSE)</f>
        <v>AUS</v>
      </c>
      <c r="C108" s="233" t="str">
        <f>VLOOKUP(Table8[[#This Row],[Document ID]],Table1[],3,FALSE)</f>
        <v>Australia</v>
      </c>
      <c r="D108" s="243" t="str">
        <f>VLOOKUP(Table8[[#This Row],[Document ID]],Table1[],5,FALSE)</f>
        <v>LTS</v>
      </c>
      <c r="E108" s="233" t="str">
        <f>VLOOKUP(Table8[[#This Row],[Document ID]],Table1[],7,FALSE)</f>
        <v>LTS</v>
      </c>
      <c r="F108" s="233" t="str">
        <f>VLOOKUP(Table8[[#This Row],[Document ID]],Table1[],8,FALSE)</f>
        <v>LTS 1.1</v>
      </c>
      <c r="G108" s="233" t="str">
        <f>VLOOKUP(Table8[[#This Row],[Document ID]],Table1[],10,FALSE)</f>
        <v>Active</v>
      </c>
      <c r="H108" s="43" t="s">
        <v>2358</v>
      </c>
      <c r="I108" s="43" t="s">
        <v>2359</v>
      </c>
      <c r="J108" s="44" t="s">
        <v>2389</v>
      </c>
      <c r="K108" s="44" t="s">
        <v>2483</v>
      </c>
      <c r="L108" s="44" t="s">
        <v>2333</v>
      </c>
      <c r="M108" s="43">
        <v>35</v>
      </c>
      <c r="N108" s="113"/>
      <c r="O108" s="113"/>
      <c r="P108" s="113"/>
      <c r="Q108" s="113"/>
      <c r="R108" s="113"/>
      <c r="S108" s="113"/>
      <c r="T108" s="113"/>
      <c r="U108" s="113" t="s">
        <v>1113</v>
      </c>
      <c r="V108" s="113"/>
      <c r="W108" s="113"/>
      <c r="X108" s="113"/>
      <c r="Y108" s="113"/>
      <c r="Z108" s="113"/>
      <c r="AA108" s="113"/>
      <c r="AB108" s="113"/>
      <c r="AC108" s="113"/>
      <c r="AD108" s="113"/>
      <c r="AE108" s="113"/>
      <c r="AF108" s="113"/>
      <c r="AG108" s="113"/>
      <c r="AH108" s="113"/>
      <c r="AI108" s="113"/>
      <c r="AJ108" s="113"/>
      <c r="AK108" s="113" t="s">
        <v>1113</v>
      </c>
      <c r="AL108" s="113"/>
      <c r="AM108" s="113"/>
      <c r="AN108" s="113"/>
      <c r="AO108" s="44" t="s">
        <v>2334</v>
      </c>
      <c r="AP108" s="43"/>
      <c r="AQ108" s="236" t="str">
        <f>VLOOKUP(Table8[[#This Row],[Instrument]],Def_Targets!$D$73:$E$159,2,FALSE)</f>
        <v>I_Emobilitypurchase</v>
      </c>
      <c r="AR108" s="233" t="str">
        <f>VLOOKUP(Table8[[#This Row],[Country Code]],Table29[],3,FALSE)</f>
        <v>Annex I</v>
      </c>
      <c r="AS108" s="233" t="str">
        <f>VLOOKUP(Table8[[#This Row],[Country Code]],Table29[],4,FALSE)</f>
        <v>Oceania</v>
      </c>
      <c r="AT108" s="233" t="str">
        <f>VLOOKUP(Table8[[#This Row],[Country Code]],Table29[],5,FALSE)</f>
        <v>High-income</v>
      </c>
      <c r="AU108" s="233" t="str">
        <f>VLOOKUP(Table8[[#This Row],[Country Code]],Table29[],6,FALSE)</f>
        <v>G20</v>
      </c>
      <c r="AV108" s="233" t="str">
        <f>VLOOKUP(Table8[[#This Row],[Country Code]],Table29[],7,FALSE)</f>
        <v>no</v>
      </c>
      <c r="AW108" s="233" t="str">
        <f>VLOOKUP(Table8[[#This Row],[Country Code]],Table29[],8,FALSE)</f>
        <v>OECD</v>
      </c>
      <c r="AX108" s="233" t="str">
        <f>VLOOKUP(Table8[[#This Row],[Country Code]],Table29[],9,FALSE)</f>
        <v>no</v>
      </c>
      <c r="AY108" s="233" t="str">
        <f>VLOOKUP(Table8[[#This Row],[Country Code]],Table29[],10,FALSE)</f>
        <v>no</v>
      </c>
      <c r="AZ108" s="235">
        <f>VLOOKUP(Table8[[#This Row],[Country Code]],Table29[],23,FALSE)</f>
        <v>571.83984854670996</v>
      </c>
      <c r="BA108" s="235">
        <f>VLOOKUP(Table8[[#This Row],[Country Code]],Table29[],24,FALSE)</f>
        <v>97.492958559878787</v>
      </c>
      <c r="BB108" s="320"/>
      <c r="BC108" s="320"/>
    </row>
    <row r="109" spans="1:55" ht="45" hidden="1" x14ac:dyDescent="0.25">
      <c r="A109" s="373">
        <v>41745</v>
      </c>
      <c r="B109" s="233" t="str">
        <f>VLOOKUP(Table8[[#This Row],[Document ID]],Table1[],2,FALSE)</f>
        <v>AUS</v>
      </c>
      <c r="C109" s="233" t="str">
        <f>VLOOKUP(Table8[[#This Row],[Document ID]],Table1[],3,FALSE)</f>
        <v>Australia</v>
      </c>
      <c r="D109" s="243" t="str">
        <f>VLOOKUP(Table8[[#This Row],[Document ID]],Table1[],5,FALSE)</f>
        <v>LTS</v>
      </c>
      <c r="E109" s="233" t="str">
        <f>VLOOKUP(Table8[[#This Row],[Document ID]],Table1[],7,FALSE)</f>
        <v>LTS</v>
      </c>
      <c r="F109" s="233" t="str">
        <f>VLOOKUP(Table8[[#This Row],[Document ID]],Table1[],8,FALSE)</f>
        <v>LTS 1.1</v>
      </c>
      <c r="G109" s="233" t="str">
        <f>VLOOKUP(Table8[[#This Row],[Document ID]],Table1[],10,FALSE)</f>
        <v>Active</v>
      </c>
      <c r="H109" s="43" t="s">
        <v>2350</v>
      </c>
      <c r="I109" s="43" t="s">
        <v>2407</v>
      </c>
      <c r="J109" s="44" t="s">
        <v>2408</v>
      </c>
      <c r="K109" s="44" t="s">
        <v>2483</v>
      </c>
      <c r="L109" s="44" t="s">
        <v>2333</v>
      </c>
      <c r="M109" s="43">
        <v>35</v>
      </c>
      <c r="N109" s="113"/>
      <c r="O109" s="113"/>
      <c r="P109" s="113"/>
      <c r="Q109" s="113"/>
      <c r="R109" s="113"/>
      <c r="S109" s="113"/>
      <c r="T109" s="113"/>
      <c r="U109" s="113" t="s">
        <v>1113</v>
      </c>
      <c r="V109" s="113"/>
      <c r="W109" s="113"/>
      <c r="X109" s="113"/>
      <c r="Y109" s="113"/>
      <c r="Z109" s="113"/>
      <c r="AA109" s="113"/>
      <c r="AB109" s="113"/>
      <c r="AC109" s="113"/>
      <c r="AD109" s="113"/>
      <c r="AE109" s="113"/>
      <c r="AF109" s="113"/>
      <c r="AG109" s="113"/>
      <c r="AH109" s="113"/>
      <c r="AI109" s="113"/>
      <c r="AJ109" s="113"/>
      <c r="AK109" s="113" t="s">
        <v>1113</v>
      </c>
      <c r="AL109" s="113"/>
      <c r="AM109" s="113"/>
      <c r="AN109" s="113"/>
      <c r="AO109" s="44" t="s">
        <v>2334</v>
      </c>
      <c r="AP109" s="43"/>
      <c r="AQ109" s="236" t="str">
        <f>VLOOKUP(Table8[[#This Row],[Instrument]],Def_Targets!$D$73:$E$159,2,FALSE)</f>
        <v>I_Education</v>
      </c>
      <c r="AR109" s="233" t="str">
        <f>VLOOKUP(Table8[[#This Row],[Country Code]],Table29[],3,FALSE)</f>
        <v>Annex I</v>
      </c>
      <c r="AS109" s="233" t="str">
        <f>VLOOKUP(Table8[[#This Row],[Country Code]],Table29[],4,FALSE)</f>
        <v>Oceania</v>
      </c>
      <c r="AT109" s="233" t="str">
        <f>VLOOKUP(Table8[[#This Row],[Country Code]],Table29[],5,FALSE)</f>
        <v>High-income</v>
      </c>
      <c r="AU109" s="233" t="str">
        <f>VLOOKUP(Table8[[#This Row],[Country Code]],Table29[],6,FALSE)</f>
        <v>G20</v>
      </c>
      <c r="AV109" s="233" t="str">
        <f>VLOOKUP(Table8[[#This Row],[Country Code]],Table29[],7,FALSE)</f>
        <v>no</v>
      </c>
      <c r="AW109" s="233" t="str">
        <f>VLOOKUP(Table8[[#This Row],[Country Code]],Table29[],8,FALSE)</f>
        <v>OECD</v>
      </c>
      <c r="AX109" s="233" t="str">
        <f>VLOOKUP(Table8[[#This Row],[Country Code]],Table29[],9,FALSE)</f>
        <v>no</v>
      </c>
      <c r="AY109" s="233" t="str">
        <f>VLOOKUP(Table8[[#This Row],[Country Code]],Table29[],10,FALSE)</f>
        <v>no</v>
      </c>
      <c r="AZ109" s="235">
        <f>VLOOKUP(Table8[[#This Row],[Country Code]],Table29[],23,FALSE)</f>
        <v>571.83984854670996</v>
      </c>
      <c r="BA109" s="235">
        <f>VLOOKUP(Table8[[#This Row],[Country Code]],Table29[],24,FALSE)</f>
        <v>97.492958559878787</v>
      </c>
      <c r="BB109" s="320"/>
      <c r="BC109" s="320"/>
    </row>
    <row r="110" spans="1:55" ht="45" hidden="1" x14ac:dyDescent="0.25">
      <c r="A110" s="373">
        <v>41745</v>
      </c>
      <c r="B110" s="233" t="str">
        <f>VLOOKUP(Table8[[#This Row],[Document ID]],Table1[],2,FALSE)</f>
        <v>AUS</v>
      </c>
      <c r="C110" s="233" t="str">
        <f>VLOOKUP(Table8[[#This Row],[Document ID]],Table1[],3,FALSE)</f>
        <v>Australia</v>
      </c>
      <c r="D110" s="243" t="str">
        <f>VLOOKUP(Table8[[#This Row],[Document ID]],Table1[],5,FALSE)</f>
        <v>LTS</v>
      </c>
      <c r="E110" s="233" t="str">
        <f>VLOOKUP(Table8[[#This Row],[Document ID]],Table1[],7,FALSE)</f>
        <v>LTS</v>
      </c>
      <c r="F110" s="233" t="str">
        <f>VLOOKUP(Table8[[#This Row],[Document ID]],Table1[],8,FALSE)</f>
        <v>LTS 1.1</v>
      </c>
      <c r="G110" s="233" t="str">
        <f>VLOOKUP(Table8[[#This Row],[Document ID]],Table1[],10,FALSE)</f>
        <v>Active</v>
      </c>
      <c r="H110" s="43" t="s">
        <v>2484</v>
      </c>
      <c r="I110" s="43" t="s">
        <v>2485</v>
      </c>
      <c r="J110" s="44" t="s">
        <v>2486</v>
      </c>
      <c r="K110" s="44" t="s">
        <v>2487</v>
      </c>
      <c r="L110" s="44" t="s">
        <v>2373</v>
      </c>
      <c r="M110" s="43">
        <v>35</v>
      </c>
      <c r="N110" s="113"/>
      <c r="O110" s="113"/>
      <c r="P110" s="113"/>
      <c r="Q110" s="113"/>
      <c r="R110" s="113"/>
      <c r="S110" s="113"/>
      <c r="T110" s="113"/>
      <c r="U110" s="113"/>
      <c r="V110" s="113"/>
      <c r="W110" s="113"/>
      <c r="X110" s="113"/>
      <c r="Y110" s="113"/>
      <c r="Z110" s="113"/>
      <c r="AA110" s="113"/>
      <c r="AB110" s="113"/>
      <c r="AC110" s="113"/>
      <c r="AD110" s="113" t="s">
        <v>1113</v>
      </c>
      <c r="AE110" s="113"/>
      <c r="AF110" s="113"/>
      <c r="AG110" s="113"/>
      <c r="AH110" s="113"/>
      <c r="AI110" s="113"/>
      <c r="AJ110" s="113"/>
      <c r="AK110" s="113" t="s">
        <v>1113</v>
      </c>
      <c r="AL110" s="113"/>
      <c r="AM110" s="113"/>
      <c r="AN110" s="113"/>
      <c r="AO110" s="44" t="s">
        <v>2334</v>
      </c>
      <c r="AP110" s="43"/>
      <c r="AQ110" s="236" t="str">
        <f>VLOOKUP(Table8[[#This Row],[Instrument]],Def_Targets!$D$73:$E$159,2,FALSE)</f>
        <v>I_Shipping</v>
      </c>
      <c r="AR110" s="233" t="str">
        <f>VLOOKUP(Table8[[#This Row],[Country Code]],Table29[],3,FALSE)</f>
        <v>Annex I</v>
      </c>
      <c r="AS110" s="233" t="str">
        <f>VLOOKUP(Table8[[#This Row],[Country Code]],Table29[],4,FALSE)</f>
        <v>Oceania</v>
      </c>
      <c r="AT110" s="233" t="str">
        <f>VLOOKUP(Table8[[#This Row],[Country Code]],Table29[],5,FALSE)</f>
        <v>High-income</v>
      </c>
      <c r="AU110" s="233" t="str">
        <f>VLOOKUP(Table8[[#This Row],[Country Code]],Table29[],6,FALSE)</f>
        <v>G20</v>
      </c>
      <c r="AV110" s="233" t="str">
        <f>VLOOKUP(Table8[[#This Row],[Country Code]],Table29[],7,FALSE)</f>
        <v>no</v>
      </c>
      <c r="AW110" s="233" t="str">
        <f>VLOOKUP(Table8[[#This Row],[Country Code]],Table29[],8,FALSE)</f>
        <v>OECD</v>
      </c>
      <c r="AX110" s="233" t="str">
        <f>VLOOKUP(Table8[[#This Row],[Country Code]],Table29[],9,FALSE)</f>
        <v>no</v>
      </c>
      <c r="AY110" s="233" t="str">
        <f>VLOOKUP(Table8[[#This Row],[Country Code]],Table29[],10,FALSE)</f>
        <v>no</v>
      </c>
      <c r="AZ110" s="235">
        <f>VLOOKUP(Table8[[#This Row],[Country Code]],Table29[],23,FALSE)</f>
        <v>571.83984854670996</v>
      </c>
      <c r="BA110" s="235">
        <f>VLOOKUP(Table8[[#This Row],[Country Code]],Table29[],24,FALSE)</f>
        <v>97.492958559878787</v>
      </c>
      <c r="BB110" s="320"/>
      <c r="BC110" s="320"/>
    </row>
    <row r="111" spans="1:55" ht="30" hidden="1" x14ac:dyDescent="0.25">
      <c r="A111" s="373">
        <v>41745</v>
      </c>
      <c r="B111" s="233" t="str">
        <f>VLOOKUP(Table8[[#This Row],[Document ID]],Table1[],2,FALSE)</f>
        <v>AUS</v>
      </c>
      <c r="C111" s="233" t="str">
        <f>VLOOKUP(Table8[[#This Row],[Document ID]],Table1[],3,FALSE)</f>
        <v>Australia</v>
      </c>
      <c r="D111" s="243" t="str">
        <f>VLOOKUP(Table8[[#This Row],[Document ID]],Table1[],5,FALSE)</f>
        <v>LTS</v>
      </c>
      <c r="E111" s="233" t="str">
        <f>VLOOKUP(Table8[[#This Row],[Document ID]],Table1[],7,FALSE)</f>
        <v>LTS</v>
      </c>
      <c r="F111" s="233" t="str">
        <f>VLOOKUP(Table8[[#This Row],[Document ID]],Table1[],8,FALSE)</f>
        <v>LTS 1.1</v>
      </c>
      <c r="G111" s="233" t="str">
        <f>VLOOKUP(Table8[[#This Row],[Document ID]],Table1[],10,FALSE)</f>
        <v>Active</v>
      </c>
      <c r="H111" s="43" t="s">
        <v>2484</v>
      </c>
      <c r="I111" s="43" t="s">
        <v>2488</v>
      </c>
      <c r="J111" s="44" t="s">
        <v>2489</v>
      </c>
      <c r="K111" s="44" t="s">
        <v>2490</v>
      </c>
      <c r="L111" s="44" t="s">
        <v>2373</v>
      </c>
      <c r="M111" s="43">
        <v>35</v>
      </c>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t="s">
        <v>1113</v>
      </c>
      <c r="AI111" s="113"/>
      <c r="AJ111" s="113"/>
      <c r="AK111" s="113" t="s">
        <v>1113</v>
      </c>
      <c r="AL111" s="113"/>
      <c r="AM111" s="113"/>
      <c r="AN111" s="113"/>
      <c r="AO111" s="44" t="s">
        <v>2334</v>
      </c>
      <c r="AP111" s="43"/>
      <c r="AQ111" s="236" t="str">
        <f>VLOOKUP(Table8[[#This Row],[Instrument]],Def_Targets!$D$73:$E$159,2,FALSE)</f>
        <v>I_Aviation</v>
      </c>
      <c r="AR111" s="233" t="str">
        <f>VLOOKUP(Table8[[#This Row],[Country Code]],Table29[],3,FALSE)</f>
        <v>Annex I</v>
      </c>
      <c r="AS111" s="233" t="str">
        <f>VLOOKUP(Table8[[#This Row],[Country Code]],Table29[],4,FALSE)</f>
        <v>Oceania</v>
      </c>
      <c r="AT111" s="233" t="str">
        <f>VLOOKUP(Table8[[#This Row],[Country Code]],Table29[],5,FALSE)</f>
        <v>High-income</v>
      </c>
      <c r="AU111" s="233" t="str">
        <f>VLOOKUP(Table8[[#This Row],[Country Code]],Table29[],6,FALSE)</f>
        <v>G20</v>
      </c>
      <c r="AV111" s="233" t="str">
        <f>VLOOKUP(Table8[[#This Row],[Country Code]],Table29[],7,FALSE)</f>
        <v>no</v>
      </c>
      <c r="AW111" s="233" t="str">
        <f>VLOOKUP(Table8[[#This Row],[Country Code]],Table29[],8,FALSE)</f>
        <v>OECD</v>
      </c>
      <c r="AX111" s="233" t="str">
        <f>VLOOKUP(Table8[[#This Row],[Country Code]],Table29[],9,FALSE)</f>
        <v>no</v>
      </c>
      <c r="AY111" s="233" t="str">
        <f>VLOOKUP(Table8[[#This Row],[Country Code]],Table29[],10,FALSE)</f>
        <v>no</v>
      </c>
      <c r="AZ111" s="235">
        <f>VLOOKUP(Table8[[#This Row],[Country Code]],Table29[],23,FALSE)</f>
        <v>571.83984854670996</v>
      </c>
      <c r="BA111" s="235">
        <f>VLOOKUP(Table8[[#This Row],[Country Code]],Table29[],24,FALSE)</f>
        <v>97.492958559878787</v>
      </c>
      <c r="BB111" s="320"/>
      <c r="BC111" s="320"/>
    </row>
    <row r="112" spans="1:55" ht="30" hidden="1" x14ac:dyDescent="0.25">
      <c r="A112" s="373">
        <v>41745</v>
      </c>
      <c r="B112" s="233" t="str">
        <f>VLOOKUP(Table8[[#This Row],[Document ID]],Table1[],2,FALSE)</f>
        <v>AUS</v>
      </c>
      <c r="C112" s="233" t="str">
        <f>VLOOKUP(Table8[[#This Row],[Document ID]],Table1[],3,FALSE)</f>
        <v>Australia</v>
      </c>
      <c r="D112" s="243" t="str">
        <f>VLOOKUP(Table8[[#This Row],[Document ID]],Table1[],5,FALSE)</f>
        <v>LTS</v>
      </c>
      <c r="E112" s="233" t="str">
        <f>VLOOKUP(Table8[[#This Row],[Document ID]],Table1[],7,FALSE)</f>
        <v>LTS</v>
      </c>
      <c r="F112" s="233" t="str">
        <f>VLOOKUP(Table8[[#This Row],[Document ID]],Table1[],8,FALSE)</f>
        <v>LTS 1.1</v>
      </c>
      <c r="G112" s="233" t="str">
        <f>VLOOKUP(Table8[[#This Row],[Document ID]],Table1[],10,FALSE)</f>
        <v>Active</v>
      </c>
      <c r="H112" s="43" t="s">
        <v>2350</v>
      </c>
      <c r="I112" s="43" t="s">
        <v>2456</v>
      </c>
      <c r="J112" s="44" t="s">
        <v>2457</v>
      </c>
      <c r="K112" s="44" t="s">
        <v>2491</v>
      </c>
      <c r="L112" s="44" t="s">
        <v>2347</v>
      </c>
      <c r="M112" s="43">
        <v>35</v>
      </c>
      <c r="N112" s="113"/>
      <c r="O112" s="113"/>
      <c r="P112" s="113"/>
      <c r="Q112" s="113"/>
      <c r="R112" s="113"/>
      <c r="S112" s="113"/>
      <c r="T112" s="113"/>
      <c r="U112" s="113"/>
      <c r="V112" s="113"/>
      <c r="W112" s="113"/>
      <c r="X112" s="113"/>
      <c r="Y112" s="113"/>
      <c r="Z112" s="113" t="s">
        <v>1113</v>
      </c>
      <c r="AA112" s="113"/>
      <c r="AB112" s="113"/>
      <c r="AC112" s="113"/>
      <c r="AD112" s="113"/>
      <c r="AE112" s="113"/>
      <c r="AF112" s="113"/>
      <c r="AG112" s="113"/>
      <c r="AH112" s="113"/>
      <c r="AI112" s="113"/>
      <c r="AJ112" s="113"/>
      <c r="AK112" s="113" t="s">
        <v>1113</v>
      </c>
      <c r="AL112" s="113"/>
      <c r="AM112" s="113"/>
      <c r="AN112" s="113"/>
      <c r="AO112" s="44" t="s">
        <v>2334</v>
      </c>
      <c r="AP112" s="43"/>
      <c r="AQ112" s="236" t="str">
        <f>VLOOKUP(Table8[[#This Row],[Instrument]],Def_Targets!$D$73:$E$159,2,FALSE)</f>
        <v>S_Infraimprove</v>
      </c>
      <c r="AR112" s="233" t="str">
        <f>VLOOKUP(Table8[[#This Row],[Country Code]],Table29[],3,FALSE)</f>
        <v>Annex I</v>
      </c>
      <c r="AS112" s="233" t="str">
        <f>VLOOKUP(Table8[[#This Row],[Country Code]],Table29[],4,FALSE)</f>
        <v>Oceania</v>
      </c>
      <c r="AT112" s="233" t="str">
        <f>VLOOKUP(Table8[[#This Row],[Country Code]],Table29[],5,FALSE)</f>
        <v>High-income</v>
      </c>
      <c r="AU112" s="233" t="str">
        <f>VLOOKUP(Table8[[#This Row],[Country Code]],Table29[],6,FALSE)</f>
        <v>G20</v>
      </c>
      <c r="AV112" s="233" t="str">
        <f>VLOOKUP(Table8[[#This Row],[Country Code]],Table29[],7,FALSE)</f>
        <v>no</v>
      </c>
      <c r="AW112" s="233" t="str">
        <f>VLOOKUP(Table8[[#This Row],[Country Code]],Table29[],8,FALSE)</f>
        <v>OECD</v>
      </c>
      <c r="AX112" s="233" t="str">
        <f>VLOOKUP(Table8[[#This Row],[Country Code]],Table29[],9,FALSE)</f>
        <v>no</v>
      </c>
      <c r="AY112" s="233" t="str">
        <f>VLOOKUP(Table8[[#This Row],[Country Code]],Table29[],10,FALSE)</f>
        <v>no</v>
      </c>
      <c r="AZ112" s="235">
        <f>VLOOKUP(Table8[[#This Row],[Country Code]],Table29[],23,FALSE)</f>
        <v>571.83984854670996</v>
      </c>
      <c r="BA112" s="235">
        <f>VLOOKUP(Table8[[#This Row],[Country Code]],Table29[],24,FALSE)</f>
        <v>97.492958559878787</v>
      </c>
      <c r="BB112" s="320"/>
      <c r="BC112" s="320"/>
    </row>
    <row r="113" spans="1:55" ht="60" hidden="1" x14ac:dyDescent="0.25">
      <c r="A113" s="373">
        <v>41745</v>
      </c>
      <c r="B113" s="233" t="str">
        <f>VLOOKUP(Table8[[#This Row],[Document ID]],Table1[],2,FALSE)</f>
        <v>AUS</v>
      </c>
      <c r="C113" s="233" t="str">
        <f>VLOOKUP(Table8[[#This Row],[Document ID]],Table1[],3,FALSE)</f>
        <v>Australia</v>
      </c>
      <c r="D113" s="243" t="str">
        <f>VLOOKUP(Table8[[#This Row],[Document ID]],Table1[],5,FALSE)</f>
        <v>LTS</v>
      </c>
      <c r="E113" s="233" t="str">
        <f>VLOOKUP(Table8[[#This Row],[Document ID]],Table1[],7,FALSE)</f>
        <v>LTS</v>
      </c>
      <c r="F113" s="233" t="str">
        <f>VLOOKUP(Table8[[#This Row],[Document ID]],Table1[],8,FALSE)</f>
        <v>LTS 1.1</v>
      </c>
      <c r="G113" s="233" t="str">
        <f>VLOOKUP(Table8[[#This Row],[Document ID]],Table1[],10,FALSE)</f>
        <v>Active</v>
      </c>
      <c r="H113" s="44" t="s">
        <v>2329</v>
      </c>
      <c r="I113" s="44" t="s">
        <v>2330</v>
      </c>
      <c r="J113" s="44" t="s">
        <v>2357</v>
      </c>
      <c r="K113" s="44" t="s">
        <v>2492</v>
      </c>
      <c r="L113" s="44" t="s">
        <v>2333</v>
      </c>
      <c r="M113" s="43">
        <v>35</v>
      </c>
      <c r="N113" s="113"/>
      <c r="O113" s="113"/>
      <c r="P113" s="113"/>
      <c r="Q113" s="113"/>
      <c r="R113" s="113"/>
      <c r="S113" s="113" t="s">
        <v>1113</v>
      </c>
      <c r="T113" s="113"/>
      <c r="U113" s="113"/>
      <c r="V113" s="113"/>
      <c r="W113" s="113"/>
      <c r="X113" s="113"/>
      <c r="Y113" s="113"/>
      <c r="Z113" s="113"/>
      <c r="AA113" s="113"/>
      <c r="AB113" s="113"/>
      <c r="AC113" s="113"/>
      <c r="AD113" s="113"/>
      <c r="AE113" s="113"/>
      <c r="AF113" s="113"/>
      <c r="AG113" s="113"/>
      <c r="AH113" s="113"/>
      <c r="AI113" s="113"/>
      <c r="AJ113" s="113"/>
      <c r="AK113" s="113" t="s">
        <v>1113</v>
      </c>
      <c r="AL113" s="113"/>
      <c r="AM113" s="113"/>
      <c r="AN113" s="113"/>
      <c r="AO113" s="44" t="s">
        <v>2334</v>
      </c>
      <c r="AP113" s="43"/>
      <c r="AQ113" s="236" t="str">
        <f>VLOOKUP(Table8[[#This Row],[Instrument]],Def_Targets!$D$73:$E$159,2,FALSE)</f>
        <v>I_Biofuel</v>
      </c>
      <c r="AR113" s="233" t="str">
        <f>VLOOKUP(Table8[[#This Row],[Country Code]],Table29[],3,FALSE)</f>
        <v>Annex I</v>
      </c>
      <c r="AS113" s="233" t="str">
        <f>VLOOKUP(Table8[[#This Row],[Country Code]],Table29[],4,FALSE)</f>
        <v>Oceania</v>
      </c>
      <c r="AT113" s="233" t="str">
        <f>VLOOKUP(Table8[[#This Row],[Country Code]],Table29[],5,FALSE)</f>
        <v>High-income</v>
      </c>
      <c r="AU113" s="233" t="str">
        <f>VLOOKUP(Table8[[#This Row],[Country Code]],Table29[],6,FALSE)</f>
        <v>G20</v>
      </c>
      <c r="AV113" s="233" t="str">
        <f>VLOOKUP(Table8[[#This Row],[Country Code]],Table29[],7,FALSE)</f>
        <v>no</v>
      </c>
      <c r="AW113" s="233" t="str">
        <f>VLOOKUP(Table8[[#This Row],[Country Code]],Table29[],8,FALSE)</f>
        <v>OECD</v>
      </c>
      <c r="AX113" s="233" t="str">
        <f>VLOOKUP(Table8[[#This Row],[Country Code]],Table29[],9,FALSE)</f>
        <v>no</v>
      </c>
      <c r="AY113" s="233" t="str">
        <f>VLOOKUP(Table8[[#This Row],[Country Code]],Table29[],10,FALSE)</f>
        <v>no</v>
      </c>
      <c r="AZ113" s="235">
        <f>VLOOKUP(Table8[[#This Row],[Country Code]],Table29[],23,FALSE)</f>
        <v>571.83984854670996</v>
      </c>
      <c r="BA113" s="235">
        <f>VLOOKUP(Table8[[#This Row],[Country Code]],Table29[],24,FALSE)</f>
        <v>97.492958559878787</v>
      </c>
      <c r="BB113" s="320"/>
      <c r="BC113" s="320"/>
    </row>
    <row r="114" spans="1:55" ht="54.6" hidden="1" customHeight="1" x14ac:dyDescent="0.25">
      <c r="A114" s="373">
        <v>24678</v>
      </c>
      <c r="B114" s="233" t="str">
        <f>VLOOKUP(Table8[[#This Row],[Document ID]],Table1[],2,FALSE)</f>
        <v>AUT</v>
      </c>
      <c r="C114" s="233" t="str">
        <f>VLOOKUP(Table8[[#This Row],[Document ID]],Table1[],3,FALSE)</f>
        <v>Austria</v>
      </c>
      <c r="D114" s="243" t="str">
        <f>VLOOKUP(Table8[[#This Row],[Document ID]],Table1[],5,FALSE)</f>
        <v>LTS</v>
      </c>
      <c r="E114" s="233" t="str">
        <f>VLOOKUP(Table8[[#This Row],[Document ID]],Table1[],7,FALSE)</f>
        <v>LTS</v>
      </c>
      <c r="F114" s="233" t="str">
        <f>VLOOKUP(Table8[[#This Row],[Document ID]],Table1[],8,FALSE)</f>
        <v>LTS 1.0</v>
      </c>
      <c r="G114" s="233" t="str">
        <f>VLOOKUP(Table8[[#This Row],[Document ID]],Table1[],10,FALSE)</f>
        <v>Active</v>
      </c>
      <c r="H114" s="44" t="s">
        <v>2329</v>
      </c>
      <c r="I114" s="44" t="s">
        <v>2330</v>
      </c>
      <c r="J114" s="44" t="s">
        <v>2381</v>
      </c>
      <c r="K114" s="44" t="s">
        <v>2493</v>
      </c>
      <c r="L114" s="44" t="s">
        <v>2333</v>
      </c>
      <c r="M114" s="43">
        <v>50</v>
      </c>
      <c r="N114" s="113"/>
      <c r="O114" s="113"/>
      <c r="P114" s="113"/>
      <c r="Q114" s="113"/>
      <c r="R114" s="113"/>
      <c r="S114" s="113" t="s">
        <v>1113</v>
      </c>
      <c r="T114" s="113"/>
      <c r="U114" s="113"/>
      <c r="V114" s="113"/>
      <c r="W114" s="113"/>
      <c r="X114" s="113"/>
      <c r="Y114" s="113"/>
      <c r="Z114" s="113"/>
      <c r="AA114" s="113"/>
      <c r="AB114" s="113"/>
      <c r="AC114" s="113"/>
      <c r="AD114" s="113"/>
      <c r="AE114" s="113"/>
      <c r="AF114" s="113"/>
      <c r="AG114" s="113"/>
      <c r="AH114" s="113"/>
      <c r="AI114" s="113"/>
      <c r="AJ114" s="113"/>
      <c r="AK114" s="319" t="s">
        <v>1113</v>
      </c>
      <c r="AL114" s="113"/>
      <c r="AM114" s="113"/>
      <c r="AN114" s="113"/>
      <c r="AO114" s="44" t="s">
        <v>2334</v>
      </c>
      <c r="AP114" s="43"/>
      <c r="AQ114" s="236" t="str">
        <f>VLOOKUP(Table8[[#This Row],[Instrument]],Def_Targets!$D$73:$E$159,2,FALSE)</f>
        <v>I_RE</v>
      </c>
      <c r="AR114" s="233" t="str">
        <f>VLOOKUP(Table8[[#This Row],[Country Code]],Table29[],3,FALSE)</f>
        <v>Annex I</v>
      </c>
      <c r="AS114" s="233" t="str">
        <f>VLOOKUP(Table8[[#This Row],[Country Code]],Table29[],4,FALSE)</f>
        <v>Europe</v>
      </c>
      <c r="AT114" s="233" t="str">
        <f>VLOOKUP(Table8[[#This Row],[Country Code]],Table29[],5,FALSE)</f>
        <v>High-income</v>
      </c>
      <c r="AU114" s="233" t="str">
        <f>VLOOKUP(Table8[[#This Row],[Country Code]],Table29[],6,FALSE)</f>
        <v>no</v>
      </c>
      <c r="AV114" s="233" t="str">
        <f>VLOOKUP(Table8[[#This Row],[Country Code]],Table29[],7,FALSE)</f>
        <v>no</v>
      </c>
      <c r="AW114" s="233" t="str">
        <f>VLOOKUP(Table8[[#This Row],[Country Code]],Table29[],8,FALSE)</f>
        <v>OECD</v>
      </c>
      <c r="AX114" s="233" t="str">
        <f>VLOOKUP(Table8[[#This Row],[Country Code]],Table29[],9,FALSE)</f>
        <v>EU27</v>
      </c>
      <c r="AY114" s="233" t="str">
        <f>VLOOKUP(Table8[[#This Row],[Country Code]],Table29[],10,FALSE)</f>
        <v>no</v>
      </c>
      <c r="AZ114" s="235">
        <f>VLOOKUP(Table8[[#This Row],[Country Code]],Table29[],23,FALSE)</f>
        <v>72.921492529811999</v>
      </c>
      <c r="BA114" s="235">
        <f>VLOOKUP(Table8[[#This Row],[Country Code]],Table29[],24,FALSE)</f>
        <v>21.372731064834241</v>
      </c>
      <c r="BB114" s="320"/>
      <c r="BC114" s="320"/>
    </row>
    <row r="115" spans="1:55" ht="45" hidden="1" x14ac:dyDescent="0.25">
      <c r="A115" s="373">
        <v>24678</v>
      </c>
      <c r="B115" s="233" t="str">
        <f>VLOOKUP(Table8[[#This Row],[Document ID]],Table1[],2,FALSE)</f>
        <v>AUT</v>
      </c>
      <c r="C115" s="233" t="str">
        <f>VLOOKUP(Table8[[#This Row],[Document ID]],Table1[],3,FALSE)</f>
        <v>Austria</v>
      </c>
      <c r="D115" s="243" t="str">
        <f>VLOOKUP(Table8[[#This Row],[Document ID]],Table1[],5,FALSE)</f>
        <v>LTS</v>
      </c>
      <c r="E115" s="233" t="str">
        <f>VLOOKUP(Table8[[#This Row],[Document ID]],Table1[],7,FALSE)</f>
        <v>LTS</v>
      </c>
      <c r="F115" s="233" t="str">
        <f>VLOOKUP(Table8[[#This Row],[Document ID]],Table1[],8,FALSE)</f>
        <v>LTS 1.0</v>
      </c>
      <c r="G115" s="233" t="str">
        <f>VLOOKUP(Table8[[#This Row],[Document ID]],Table1[],10,FALSE)</f>
        <v>Active</v>
      </c>
      <c r="H115" s="44" t="s">
        <v>2338</v>
      </c>
      <c r="I115" s="44" t="s">
        <v>2339</v>
      </c>
      <c r="J115" s="44" t="s">
        <v>2340</v>
      </c>
      <c r="K115" s="44" t="s">
        <v>2493</v>
      </c>
      <c r="L115" s="44" t="s">
        <v>2333</v>
      </c>
      <c r="M115" s="43">
        <v>50</v>
      </c>
      <c r="N115" s="113"/>
      <c r="O115" s="113"/>
      <c r="P115" s="113"/>
      <c r="Q115" s="113"/>
      <c r="R115" s="113"/>
      <c r="S115" s="113" t="s">
        <v>1113</v>
      </c>
      <c r="T115" s="113"/>
      <c r="U115" s="113"/>
      <c r="V115" s="113"/>
      <c r="W115" s="113"/>
      <c r="X115" s="113"/>
      <c r="Y115" s="113"/>
      <c r="Z115" s="113"/>
      <c r="AA115" s="113"/>
      <c r="AB115" s="113"/>
      <c r="AC115" s="113"/>
      <c r="AD115" s="113"/>
      <c r="AE115" s="113"/>
      <c r="AF115" s="113"/>
      <c r="AG115" s="113"/>
      <c r="AH115" s="113"/>
      <c r="AI115" s="113"/>
      <c r="AJ115" s="113"/>
      <c r="AK115" s="319" t="s">
        <v>1113</v>
      </c>
      <c r="AL115" s="113"/>
      <c r="AM115" s="113"/>
      <c r="AN115" s="113"/>
      <c r="AO115" s="44" t="s">
        <v>2334</v>
      </c>
      <c r="AP115" s="43"/>
      <c r="AQ115" s="236" t="str">
        <f>VLOOKUP(Table8[[#This Row],[Instrument]],Def_Targets!$D$73:$E$159,2,FALSE)</f>
        <v>I_Vehicleimprove</v>
      </c>
      <c r="AR115" s="233" t="str">
        <f>VLOOKUP(Table8[[#This Row],[Country Code]],Table29[],3,FALSE)</f>
        <v>Annex I</v>
      </c>
      <c r="AS115" s="233" t="str">
        <f>VLOOKUP(Table8[[#This Row],[Country Code]],Table29[],4,FALSE)</f>
        <v>Europe</v>
      </c>
      <c r="AT115" s="233" t="str">
        <f>VLOOKUP(Table8[[#This Row],[Country Code]],Table29[],5,FALSE)</f>
        <v>High-income</v>
      </c>
      <c r="AU115" s="233" t="str">
        <f>VLOOKUP(Table8[[#This Row],[Country Code]],Table29[],6,FALSE)</f>
        <v>no</v>
      </c>
      <c r="AV115" s="233" t="str">
        <f>VLOOKUP(Table8[[#This Row],[Country Code]],Table29[],7,FALSE)</f>
        <v>no</v>
      </c>
      <c r="AW115" s="233" t="str">
        <f>VLOOKUP(Table8[[#This Row],[Country Code]],Table29[],8,FALSE)</f>
        <v>OECD</v>
      </c>
      <c r="AX115" s="233" t="str">
        <f>VLOOKUP(Table8[[#This Row],[Country Code]],Table29[],9,FALSE)</f>
        <v>EU27</v>
      </c>
      <c r="AY115" s="233" t="str">
        <f>VLOOKUP(Table8[[#This Row],[Country Code]],Table29[],10,FALSE)</f>
        <v>no</v>
      </c>
      <c r="AZ115" s="235">
        <f>VLOOKUP(Table8[[#This Row],[Country Code]],Table29[],23,FALSE)</f>
        <v>72.921492529811999</v>
      </c>
      <c r="BA115" s="235">
        <f>VLOOKUP(Table8[[#This Row],[Country Code]],Table29[],24,FALSE)</f>
        <v>21.372731064834241</v>
      </c>
      <c r="BB115" s="320"/>
      <c r="BC115" s="320"/>
    </row>
    <row r="116" spans="1:55" ht="45" hidden="1" x14ac:dyDescent="0.25">
      <c r="A116" s="373">
        <v>24678</v>
      </c>
      <c r="B116" s="233" t="str">
        <f>VLOOKUP(Table8[[#This Row],[Document ID]],Table1[],2,FALSE)</f>
        <v>AUT</v>
      </c>
      <c r="C116" s="233" t="str">
        <f>VLOOKUP(Table8[[#This Row],[Document ID]],Table1[],3,FALSE)</f>
        <v>Austria</v>
      </c>
      <c r="D116" s="243" t="str">
        <f>VLOOKUP(Table8[[#This Row],[Document ID]],Table1[],5,FALSE)</f>
        <v>LTS</v>
      </c>
      <c r="E116" s="233" t="str">
        <f>VLOOKUP(Table8[[#This Row],[Document ID]],Table1[],7,FALSE)</f>
        <v>LTS</v>
      </c>
      <c r="F116" s="233" t="str">
        <f>VLOOKUP(Table8[[#This Row],[Document ID]],Table1[],8,FALSE)</f>
        <v>LTS 1.0</v>
      </c>
      <c r="G116" s="233" t="str">
        <f>VLOOKUP(Table8[[#This Row],[Document ID]],Table1[],10,FALSE)</f>
        <v>Active</v>
      </c>
      <c r="H116" s="44" t="s">
        <v>2338</v>
      </c>
      <c r="I116" s="44" t="s">
        <v>2339</v>
      </c>
      <c r="J116" s="44" t="s">
        <v>2413</v>
      </c>
      <c r="K116" s="44" t="s">
        <v>2494</v>
      </c>
      <c r="L116" s="44" t="s">
        <v>2333</v>
      </c>
      <c r="M116" s="43">
        <v>46</v>
      </c>
      <c r="N116" s="113"/>
      <c r="O116" s="113"/>
      <c r="P116" s="113"/>
      <c r="Q116" s="113"/>
      <c r="R116" s="113"/>
      <c r="S116" s="113"/>
      <c r="T116" s="113"/>
      <c r="U116" s="113" t="s">
        <v>1113</v>
      </c>
      <c r="V116" s="113"/>
      <c r="W116" s="113"/>
      <c r="X116" s="113" t="s">
        <v>1113</v>
      </c>
      <c r="Y116" s="113"/>
      <c r="Z116" s="113"/>
      <c r="AA116" s="113"/>
      <c r="AB116" s="113"/>
      <c r="AC116" s="113"/>
      <c r="AD116" s="113"/>
      <c r="AE116" s="113"/>
      <c r="AF116" s="113"/>
      <c r="AG116" s="113"/>
      <c r="AH116" s="113"/>
      <c r="AI116" s="113"/>
      <c r="AJ116" s="113"/>
      <c r="AK116" s="319" t="s">
        <v>1113</v>
      </c>
      <c r="AL116" s="113"/>
      <c r="AM116" s="113"/>
      <c r="AN116" s="113"/>
      <c r="AO116" s="44" t="s">
        <v>2334</v>
      </c>
      <c r="AP116" s="43"/>
      <c r="AQ116" s="236" t="str">
        <f>VLOOKUP(Table8[[#This Row],[Instrument]],Def_Targets!$D$73:$E$159,2,FALSE)</f>
        <v>I_Vehicleeff</v>
      </c>
      <c r="AR116" s="233" t="str">
        <f>VLOOKUP(Table8[[#This Row],[Country Code]],Table29[],3,FALSE)</f>
        <v>Annex I</v>
      </c>
      <c r="AS116" s="233" t="str">
        <f>VLOOKUP(Table8[[#This Row],[Country Code]],Table29[],4,FALSE)</f>
        <v>Europe</v>
      </c>
      <c r="AT116" s="233" t="str">
        <f>VLOOKUP(Table8[[#This Row],[Country Code]],Table29[],5,FALSE)</f>
        <v>High-income</v>
      </c>
      <c r="AU116" s="233" t="str">
        <f>VLOOKUP(Table8[[#This Row],[Country Code]],Table29[],6,FALSE)</f>
        <v>no</v>
      </c>
      <c r="AV116" s="233" t="str">
        <f>VLOOKUP(Table8[[#This Row],[Country Code]],Table29[],7,FALSE)</f>
        <v>no</v>
      </c>
      <c r="AW116" s="233" t="str">
        <f>VLOOKUP(Table8[[#This Row],[Country Code]],Table29[],8,FALSE)</f>
        <v>OECD</v>
      </c>
      <c r="AX116" s="233" t="str">
        <f>VLOOKUP(Table8[[#This Row],[Country Code]],Table29[],9,FALSE)</f>
        <v>EU27</v>
      </c>
      <c r="AY116" s="233" t="str">
        <f>VLOOKUP(Table8[[#This Row],[Country Code]],Table29[],10,FALSE)</f>
        <v>no</v>
      </c>
      <c r="AZ116" s="235">
        <f>VLOOKUP(Table8[[#This Row],[Country Code]],Table29[],23,FALSE)</f>
        <v>72.921492529811999</v>
      </c>
      <c r="BA116" s="235">
        <f>VLOOKUP(Table8[[#This Row],[Country Code]],Table29[],24,FALSE)</f>
        <v>21.372731064834241</v>
      </c>
      <c r="BB116" s="320"/>
      <c r="BC116" s="320"/>
    </row>
    <row r="117" spans="1:55" ht="30" hidden="1" x14ac:dyDescent="0.25">
      <c r="A117" s="360">
        <v>24678</v>
      </c>
      <c r="B117" s="233" t="str">
        <f>VLOOKUP(Table8[[#This Row],[Document ID]],Table1[],2,FALSE)</f>
        <v>AUT</v>
      </c>
      <c r="C117" s="233" t="str">
        <f>VLOOKUP(Table8[[#This Row],[Document ID]],Table1[],3,FALSE)</f>
        <v>Austria</v>
      </c>
      <c r="D117" s="233" t="str">
        <f>VLOOKUP(Table8[[#This Row],[Document ID]],Table1[],5,FALSE)</f>
        <v>LTS</v>
      </c>
      <c r="E117" s="233" t="str">
        <f>VLOOKUP(Table8[[#This Row],[Document ID]],Table1[],7,FALSE)</f>
        <v>LTS</v>
      </c>
      <c r="F117" s="233" t="str">
        <f>VLOOKUP(Table8[[#This Row],[Document ID]],Table1[],8,FALSE)</f>
        <v>LTS 1.0</v>
      </c>
      <c r="G117" s="233" t="str">
        <f>VLOOKUP(Table8[[#This Row],[Document ID]],Table1[],10,FALSE)</f>
        <v>Active</v>
      </c>
      <c r="H117" s="43" t="s">
        <v>2358</v>
      </c>
      <c r="I117" s="43" t="s">
        <v>2359</v>
      </c>
      <c r="J117" s="44" t="s">
        <v>2360</v>
      </c>
      <c r="K117" s="44" t="s">
        <v>2495</v>
      </c>
      <c r="L117" s="44" t="s">
        <v>2333</v>
      </c>
      <c r="M117" s="43">
        <v>7</v>
      </c>
      <c r="N117" s="113" t="s">
        <v>1113</v>
      </c>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319" t="s">
        <v>1113</v>
      </c>
      <c r="AL117" s="113"/>
      <c r="AM117" s="113"/>
      <c r="AN117" s="113"/>
      <c r="AO117" s="44" t="s">
        <v>2334</v>
      </c>
      <c r="AP117" s="43"/>
      <c r="AQ117" s="236" t="str">
        <f>VLOOKUP(Table8[[#This Row],[Instrument]],Def_Targets!$D$73:$E$159,2,FALSE)</f>
        <v>I_Emobility</v>
      </c>
      <c r="AR117" s="233" t="str">
        <f>VLOOKUP(Table8[[#This Row],[Country Code]],Table29[],3,FALSE)</f>
        <v>Annex I</v>
      </c>
      <c r="AS117" s="233" t="str">
        <f>VLOOKUP(Table8[[#This Row],[Country Code]],Table29[],4,FALSE)</f>
        <v>Europe</v>
      </c>
      <c r="AT117" s="233" t="str">
        <f>VLOOKUP(Table8[[#This Row],[Country Code]],Table29[],5,FALSE)</f>
        <v>High-income</v>
      </c>
      <c r="AU117" s="233" t="str">
        <f>VLOOKUP(Table8[[#This Row],[Country Code]],Table29[],6,FALSE)</f>
        <v>no</v>
      </c>
      <c r="AV117" s="233" t="str">
        <f>VLOOKUP(Table8[[#This Row],[Country Code]],Table29[],7,FALSE)</f>
        <v>no</v>
      </c>
      <c r="AW117" s="233" t="str">
        <f>VLOOKUP(Table8[[#This Row],[Country Code]],Table29[],8,FALSE)</f>
        <v>OECD</v>
      </c>
      <c r="AX117" s="233" t="str">
        <f>VLOOKUP(Table8[[#This Row],[Country Code]],Table29[],9,FALSE)</f>
        <v>EU27</v>
      </c>
      <c r="AY117" s="233" t="str">
        <f>VLOOKUP(Table8[[#This Row],[Country Code]],Table29[],10,FALSE)</f>
        <v>no</v>
      </c>
      <c r="AZ117" s="235">
        <f>VLOOKUP(Table8[[#This Row],[Country Code]],Table29[],23,FALSE)</f>
        <v>72.921492529811999</v>
      </c>
      <c r="BA117" s="235">
        <f>VLOOKUP(Table8[[#This Row],[Country Code]],Table29[],24,FALSE)</f>
        <v>21.372731064834241</v>
      </c>
      <c r="BB117" s="320"/>
      <c r="BC117" s="320"/>
    </row>
    <row r="118" spans="1:55" ht="30" hidden="1" x14ac:dyDescent="0.25">
      <c r="A118" s="360">
        <v>24678</v>
      </c>
      <c r="B118" s="233" t="str">
        <f>VLOOKUP(Table8[[#This Row],[Document ID]],Table1[],2,FALSE)</f>
        <v>AUT</v>
      </c>
      <c r="C118" s="233" t="str">
        <f>VLOOKUP(Table8[[#This Row],[Document ID]],Table1[],3,FALSE)</f>
        <v>Austria</v>
      </c>
      <c r="D118" s="233" t="str">
        <f>VLOOKUP(Table8[[#This Row],[Document ID]],Table1[],5,FALSE)</f>
        <v>LTS</v>
      </c>
      <c r="E118" s="233" t="str">
        <f>VLOOKUP(Table8[[#This Row],[Document ID]],Table1[],7,FALSE)</f>
        <v>LTS</v>
      </c>
      <c r="F118" s="233" t="str">
        <f>VLOOKUP(Table8[[#This Row],[Document ID]],Table1[],8,FALSE)</f>
        <v>LTS 1.0</v>
      </c>
      <c r="G118" s="233" t="str">
        <f>VLOOKUP(Table8[[#This Row],[Document ID]],Table1[],10,FALSE)</f>
        <v>Active</v>
      </c>
      <c r="H118" s="44" t="s">
        <v>2338</v>
      </c>
      <c r="I118" s="44" t="s">
        <v>2339</v>
      </c>
      <c r="J118" s="44" t="s">
        <v>2340</v>
      </c>
      <c r="K118" s="44" t="s">
        <v>2495</v>
      </c>
      <c r="L118" s="44" t="s">
        <v>2333</v>
      </c>
      <c r="M118" s="43">
        <v>7</v>
      </c>
      <c r="N118" s="113" t="s">
        <v>1113</v>
      </c>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319" t="s">
        <v>1113</v>
      </c>
      <c r="AL118" s="113"/>
      <c r="AM118" s="113"/>
      <c r="AN118" s="113"/>
      <c r="AO118" s="44" t="s">
        <v>2334</v>
      </c>
      <c r="AP118" s="43"/>
      <c r="AQ118" s="236" t="str">
        <f>VLOOKUP(Table8[[#This Row],[Instrument]],Def_Targets!$D$73:$E$159,2,FALSE)</f>
        <v>I_Vehicleimprove</v>
      </c>
      <c r="AR118" s="233" t="str">
        <f>VLOOKUP(Table8[[#This Row],[Country Code]],Table29[],3,FALSE)</f>
        <v>Annex I</v>
      </c>
      <c r="AS118" s="233" t="str">
        <f>VLOOKUP(Table8[[#This Row],[Country Code]],Table29[],4,FALSE)</f>
        <v>Europe</v>
      </c>
      <c r="AT118" s="233" t="str">
        <f>VLOOKUP(Table8[[#This Row],[Country Code]],Table29[],5,FALSE)</f>
        <v>High-income</v>
      </c>
      <c r="AU118" s="233" t="str">
        <f>VLOOKUP(Table8[[#This Row],[Country Code]],Table29[],6,FALSE)</f>
        <v>no</v>
      </c>
      <c r="AV118" s="233" t="str">
        <f>VLOOKUP(Table8[[#This Row],[Country Code]],Table29[],7,FALSE)</f>
        <v>no</v>
      </c>
      <c r="AW118" s="233" t="str">
        <f>VLOOKUP(Table8[[#This Row],[Country Code]],Table29[],8,FALSE)</f>
        <v>OECD</v>
      </c>
      <c r="AX118" s="233" t="str">
        <f>VLOOKUP(Table8[[#This Row],[Country Code]],Table29[],9,FALSE)</f>
        <v>EU27</v>
      </c>
      <c r="AY118" s="233" t="str">
        <f>VLOOKUP(Table8[[#This Row],[Country Code]],Table29[],10,FALSE)</f>
        <v>no</v>
      </c>
      <c r="AZ118" s="235">
        <f>VLOOKUP(Table8[[#This Row],[Country Code]],Table29[],23,FALSE)</f>
        <v>72.921492529811999</v>
      </c>
      <c r="BA118" s="235">
        <f>VLOOKUP(Table8[[#This Row],[Country Code]],Table29[],24,FALSE)</f>
        <v>21.372731064834241</v>
      </c>
      <c r="BB118" s="320"/>
      <c r="BC118" s="320"/>
    </row>
    <row r="119" spans="1:55" hidden="1" x14ac:dyDescent="0.25">
      <c r="A119" s="360">
        <v>24678</v>
      </c>
      <c r="B119" s="233" t="str">
        <f>VLOOKUP(Table8[[#This Row],[Document ID]],Table1[],2,FALSE)</f>
        <v>AUT</v>
      </c>
      <c r="C119" s="233" t="str">
        <f>VLOOKUP(Table8[[#This Row],[Document ID]],Table1[],3,FALSE)</f>
        <v>Austria</v>
      </c>
      <c r="D119" s="233" t="str">
        <f>VLOOKUP(Table8[[#This Row],[Document ID]],Table1[],5,FALSE)</f>
        <v>LTS</v>
      </c>
      <c r="E119" s="233" t="str">
        <f>VLOOKUP(Table8[[#This Row],[Document ID]],Table1[],7,FALSE)</f>
        <v>LTS</v>
      </c>
      <c r="F119" s="233" t="str">
        <f>VLOOKUP(Table8[[#This Row],[Document ID]],Table1[],8,FALSE)</f>
        <v>LTS 1.0</v>
      </c>
      <c r="G119" s="233" t="str">
        <f>VLOOKUP(Table8[[#This Row],[Document ID]],Table1[],10,FALSE)</f>
        <v>Active</v>
      </c>
      <c r="H119" s="43" t="s">
        <v>2350</v>
      </c>
      <c r="I119" s="43" t="s">
        <v>2407</v>
      </c>
      <c r="J119" s="44" t="s">
        <v>2408</v>
      </c>
      <c r="K119" s="44" t="s">
        <v>2496</v>
      </c>
      <c r="L119" s="44" t="s">
        <v>2396</v>
      </c>
      <c r="M119" s="43">
        <v>7</v>
      </c>
      <c r="N119" s="113"/>
      <c r="O119" s="113"/>
      <c r="P119" s="113"/>
      <c r="Q119" s="113" t="s">
        <v>1113</v>
      </c>
      <c r="R119" s="113" t="s">
        <v>1113</v>
      </c>
      <c r="S119" s="113"/>
      <c r="T119" s="113"/>
      <c r="U119" s="113"/>
      <c r="V119" s="113"/>
      <c r="W119" s="113"/>
      <c r="X119" s="113"/>
      <c r="Y119" s="113"/>
      <c r="Z119" s="113"/>
      <c r="AA119" s="113"/>
      <c r="AB119" s="113"/>
      <c r="AC119" s="113"/>
      <c r="AD119" s="113"/>
      <c r="AE119" s="113"/>
      <c r="AF119" s="113"/>
      <c r="AG119" s="113"/>
      <c r="AH119" s="113"/>
      <c r="AI119" s="113"/>
      <c r="AJ119" s="113"/>
      <c r="AK119" s="319" t="s">
        <v>1113</v>
      </c>
      <c r="AL119" s="113"/>
      <c r="AM119" s="113"/>
      <c r="AN119" s="113"/>
      <c r="AO119" s="44" t="s">
        <v>2334</v>
      </c>
      <c r="AP119" s="43"/>
      <c r="AQ119" s="236" t="str">
        <f>VLOOKUP(Table8[[#This Row],[Instrument]],Def_Targets!$D$73:$E$159,2,FALSE)</f>
        <v>I_Education</v>
      </c>
      <c r="AR119" s="233" t="str">
        <f>VLOOKUP(Table8[[#This Row],[Country Code]],Table29[],3,FALSE)</f>
        <v>Annex I</v>
      </c>
      <c r="AS119" s="233" t="str">
        <f>VLOOKUP(Table8[[#This Row],[Country Code]],Table29[],4,FALSE)</f>
        <v>Europe</v>
      </c>
      <c r="AT119" s="233" t="str">
        <f>VLOOKUP(Table8[[#This Row],[Country Code]],Table29[],5,FALSE)</f>
        <v>High-income</v>
      </c>
      <c r="AU119" s="233" t="str">
        <f>VLOOKUP(Table8[[#This Row],[Country Code]],Table29[],6,FALSE)</f>
        <v>no</v>
      </c>
      <c r="AV119" s="233" t="str">
        <f>VLOOKUP(Table8[[#This Row],[Country Code]],Table29[],7,FALSE)</f>
        <v>no</v>
      </c>
      <c r="AW119" s="233" t="str">
        <f>VLOOKUP(Table8[[#This Row],[Country Code]],Table29[],8,FALSE)</f>
        <v>OECD</v>
      </c>
      <c r="AX119" s="233" t="str">
        <f>VLOOKUP(Table8[[#This Row],[Country Code]],Table29[],9,FALSE)</f>
        <v>EU27</v>
      </c>
      <c r="AY119" s="233" t="str">
        <f>VLOOKUP(Table8[[#This Row],[Country Code]],Table29[],10,FALSE)</f>
        <v>no</v>
      </c>
      <c r="AZ119" s="235">
        <f>VLOOKUP(Table8[[#This Row],[Country Code]],Table29[],23,FALSE)</f>
        <v>72.921492529811999</v>
      </c>
      <c r="BA119" s="235">
        <f>VLOOKUP(Table8[[#This Row],[Country Code]],Table29[],24,FALSE)</f>
        <v>21.372731064834241</v>
      </c>
      <c r="BB119" s="320"/>
      <c r="BC119" s="320"/>
    </row>
    <row r="120" spans="1:55" ht="45" hidden="1" x14ac:dyDescent="0.25">
      <c r="A120" s="360">
        <v>24678</v>
      </c>
      <c r="B120" s="233" t="str">
        <f>VLOOKUP(Table8[[#This Row],[Document ID]],Table1[],2,FALSE)</f>
        <v>AUT</v>
      </c>
      <c r="C120" s="233" t="str">
        <f>VLOOKUP(Table8[[#This Row],[Document ID]],Table1[],3,FALSE)</f>
        <v>Austria</v>
      </c>
      <c r="D120" s="233" t="str">
        <f>VLOOKUP(Table8[[#This Row],[Document ID]],Table1[],5,FALSE)</f>
        <v>LTS</v>
      </c>
      <c r="E120" s="233" t="str">
        <f>VLOOKUP(Table8[[#This Row],[Document ID]],Table1[],7,FALSE)</f>
        <v>LTS</v>
      </c>
      <c r="F120" s="233" t="str">
        <f>VLOOKUP(Table8[[#This Row],[Document ID]],Table1[],8,FALSE)</f>
        <v>LTS 1.0</v>
      </c>
      <c r="G120" s="233" t="str">
        <f>VLOOKUP(Table8[[#This Row],[Document ID]],Table1[],10,FALSE)</f>
        <v>Active</v>
      </c>
      <c r="H120" s="43" t="s">
        <v>2343</v>
      </c>
      <c r="I120" s="43" t="s">
        <v>2377</v>
      </c>
      <c r="J120" s="44" t="s">
        <v>2394</v>
      </c>
      <c r="K120" s="44" t="s">
        <v>2497</v>
      </c>
      <c r="L120" s="44" t="s">
        <v>2396</v>
      </c>
      <c r="M120" s="43">
        <v>16</v>
      </c>
      <c r="N120" s="113"/>
      <c r="O120" s="113"/>
      <c r="P120" s="113"/>
      <c r="Q120" s="113"/>
      <c r="R120" s="113"/>
      <c r="S120" s="113"/>
      <c r="T120" s="113"/>
      <c r="U120" s="113" t="s">
        <v>1113</v>
      </c>
      <c r="V120" s="113"/>
      <c r="W120" s="113"/>
      <c r="X120" s="113" t="s">
        <v>1113</v>
      </c>
      <c r="Y120" s="113"/>
      <c r="Z120" s="113"/>
      <c r="AA120" s="113"/>
      <c r="AB120" s="113"/>
      <c r="AC120" s="113"/>
      <c r="AD120" s="113"/>
      <c r="AE120" s="113"/>
      <c r="AF120" s="113"/>
      <c r="AG120" s="113"/>
      <c r="AH120" s="113"/>
      <c r="AI120" s="113"/>
      <c r="AJ120" s="113"/>
      <c r="AK120" s="319" t="s">
        <v>1113</v>
      </c>
      <c r="AL120" s="113"/>
      <c r="AM120" s="113"/>
      <c r="AN120" s="113"/>
      <c r="AO120" s="43" t="s">
        <v>2477</v>
      </c>
      <c r="AP120" s="43"/>
      <c r="AQ120" s="236" t="str">
        <f>VLOOKUP(Table8[[#This Row],[Instrument]],Def_Targets!$D$73:$E$159,2,FALSE)</f>
        <v>A_TDM</v>
      </c>
      <c r="AR120" s="233" t="str">
        <f>VLOOKUP(Table8[[#This Row],[Country Code]],Table29[],3,FALSE)</f>
        <v>Annex I</v>
      </c>
      <c r="AS120" s="233" t="str">
        <f>VLOOKUP(Table8[[#This Row],[Country Code]],Table29[],4,FALSE)</f>
        <v>Europe</v>
      </c>
      <c r="AT120" s="233" t="str">
        <f>VLOOKUP(Table8[[#This Row],[Country Code]],Table29[],5,FALSE)</f>
        <v>High-income</v>
      </c>
      <c r="AU120" s="233" t="str">
        <f>VLOOKUP(Table8[[#This Row],[Country Code]],Table29[],6,FALSE)</f>
        <v>no</v>
      </c>
      <c r="AV120" s="233" t="str">
        <f>VLOOKUP(Table8[[#This Row],[Country Code]],Table29[],7,FALSE)</f>
        <v>no</v>
      </c>
      <c r="AW120" s="233" t="str">
        <f>VLOOKUP(Table8[[#This Row],[Country Code]],Table29[],8,FALSE)</f>
        <v>OECD</v>
      </c>
      <c r="AX120" s="233" t="str">
        <f>VLOOKUP(Table8[[#This Row],[Country Code]],Table29[],9,FALSE)</f>
        <v>EU27</v>
      </c>
      <c r="AY120" s="233" t="str">
        <f>VLOOKUP(Table8[[#This Row],[Country Code]],Table29[],10,FALSE)</f>
        <v>no</v>
      </c>
      <c r="AZ120" s="235">
        <f>VLOOKUP(Table8[[#This Row],[Country Code]],Table29[],23,FALSE)</f>
        <v>72.921492529811999</v>
      </c>
      <c r="BA120" s="235">
        <f>VLOOKUP(Table8[[#This Row],[Country Code]],Table29[],24,FALSE)</f>
        <v>21.372731064834241</v>
      </c>
      <c r="BB120" s="320"/>
      <c r="BC120" s="320"/>
    </row>
    <row r="121" spans="1:55" ht="30" hidden="1" x14ac:dyDescent="0.25">
      <c r="A121" s="360">
        <v>24678</v>
      </c>
      <c r="B121" s="233" t="str">
        <f>VLOOKUP(Table8[[#This Row],[Document ID]],Table1[],2,FALSE)</f>
        <v>AUT</v>
      </c>
      <c r="C121" s="233" t="str">
        <f>VLOOKUP(Table8[[#This Row],[Document ID]],Table1[],3,FALSE)</f>
        <v>Austria</v>
      </c>
      <c r="D121" s="233" t="str">
        <f>VLOOKUP(Table8[[#This Row],[Document ID]],Table1[],5,FALSE)</f>
        <v>LTS</v>
      </c>
      <c r="E121" s="233" t="str">
        <f>VLOOKUP(Table8[[#This Row],[Document ID]],Table1[],7,FALSE)</f>
        <v>LTS</v>
      </c>
      <c r="F121" s="233" t="str">
        <f>VLOOKUP(Table8[[#This Row],[Document ID]],Table1[],8,FALSE)</f>
        <v>LTS 1.0</v>
      </c>
      <c r="G121" s="233" t="str">
        <f>VLOOKUP(Table8[[#This Row],[Document ID]],Table1[],10,FALSE)</f>
        <v>Active</v>
      </c>
      <c r="H121" s="43" t="s">
        <v>2343</v>
      </c>
      <c r="I121" s="43" t="s">
        <v>2386</v>
      </c>
      <c r="J121" s="44" t="s">
        <v>2498</v>
      </c>
      <c r="K121" s="44" t="s">
        <v>2499</v>
      </c>
      <c r="L121" s="44" t="s">
        <v>2333</v>
      </c>
      <c r="M121" s="43">
        <v>22</v>
      </c>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t="s">
        <v>1113</v>
      </c>
      <c r="AI121" s="113"/>
      <c r="AJ121" s="113"/>
      <c r="AK121" s="319" t="s">
        <v>1113</v>
      </c>
      <c r="AL121" s="113"/>
      <c r="AM121" s="113"/>
      <c r="AN121" s="113"/>
      <c r="AO121" s="44" t="s">
        <v>2334</v>
      </c>
      <c r="AP121" s="43"/>
      <c r="AQ121" s="236" t="str">
        <f>VLOOKUP(Table8[[#This Row],[Instrument]],Def_Targets!$D$73:$E$159,2,FALSE)</f>
        <v>A_Fueltax</v>
      </c>
      <c r="AR121" s="233" t="str">
        <f>VLOOKUP(Table8[[#This Row],[Country Code]],Table29[],3,FALSE)</f>
        <v>Annex I</v>
      </c>
      <c r="AS121" s="233" t="str">
        <f>VLOOKUP(Table8[[#This Row],[Country Code]],Table29[],4,FALSE)</f>
        <v>Europe</v>
      </c>
      <c r="AT121" s="233" t="str">
        <f>VLOOKUP(Table8[[#This Row],[Country Code]],Table29[],5,FALSE)</f>
        <v>High-income</v>
      </c>
      <c r="AU121" s="233" t="str">
        <f>VLOOKUP(Table8[[#This Row],[Country Code]],Table29[],6,FALSE)</f>
        <v>no</v>
      </c>
      <c r="AV121" s="233" t="str">
        <f>VLOOKUP(Table8[[#This Row],[Country Code]],Table29[],7,FALSE)</f>
        <v>no</v>
      </c>
      <c r="AW121" s="233" t="str">
        <f>VLOOKUP(Table8[[#This Row],[Country Code]],Table29[],8,FALSE)</f>
        <v>OECD</v>
      </c>
      <c r="AX121" s="233" t="str">
        <f>VLOOKUP(Table8[[#This Row],[Country Code]],Table29[],9,FALSE)</f>
        <v>EU27</v>
      </c>
      <c r="AY121" s="233" t="str">
        <f>VLOOKUP(Table8[[#This Row],[Country Code]],Table29[],10,FALSE)</f>
        <v>no</v>
      </c>
      <c r="AZ121" s="235">
        <f>VLOOKUP(Table8[[#This Row],[Country Code]],Table29[],23,FALSE)</f>
        <v>72.921492529811999</v>
      </c>
      <c r="BA121" s="235">
        <f>VLOOKUP(Table8[[#This Row],[Country Code]],Table29[],24,FALSE)</f>
        <v>21.372731064834241</v>
      </c>
      <c r="BB121" s="320"/>
      <c r="BC121" s="320"/>
    </row>
    <row r="122" spans="1:55" ht="30" hidden="1" x14ac:dyDescent="0.25">
      <c r="A122" s="373">
        <v>24678</v>
      </c>
      <c r="B122" s="233" t="str">
        <f>VLOOKUP(Table8[[#This Row],[Document ID]],Table1[],2,FALSE)</f>
        <v>AUT</v>
      </c>
      <c r="C122" s="233" t="str">
        <f>VLOOKUP(Table8[[#This Row],[Document ID]],Table1[],3,FALSE)</f>
        <v>Austria</v>
      </c>
      <c r="D122" s="243" t="str">
        <f>VLOOKUP(Table8[[#This Row],[Document ID]],Table1[],5,FALSE)</f>
        <v>LTS</v>
      </c>
      <c r="E122" s="233" t="str">
        <f>VLOOKUP(Table8[[#This Row],[Document ID]],Table1[],7,FALSE)</f>
        <v>LTS</v>
      </c>
      <c r="F122" s="233" t="str">
        <f>VLOOKUP(Table8[[#This Row],[Document ID]],Table1[],8,FALSE)</f>
        <v>LTS 1.0</v>
      </c>
      <c r="G122" s="233" t="str">
        <f>VLOOKUP(Table8[[#This Row],[Document ID]],Table1[],10,FALSE)</f>
        <v>Active</v>
      </c>
      <c r="H122" s="43" t="s">
        <v>2358</v>
      </c>
      <c r="I122" s="43" t="s">
        <v>2359</v>
      </c>
      <c r="J122" s="44" t="s">
        <v>2383</v>
      </c>
      <c r="K122" s="44" t="s">
        <v>2500</v>
      </c>
      <c r="L122" s="44" t="s">
        <v>2333</v>
      </c>
      <c r="M122" s="43">
        <v>24</v>
      </c>
      <c r="N122" s="113"/>
      <c r="O122" s="113"/>
      <c r="P122" s="113"/>
      <c r="Q122" s="113"/>
      <c r="R122" s="113"/>
      <c r="S122" s="113" t="s">
        <v>1113</v>
      </c>
      <c r="T122" s="113"/>
      <c r="U122" s="113"/>
      <c r="V122" s="113"/>
      <c r="W122" s="113"/>
      <c r="X122" s="113"/>
      <c r="Y122" s="113"/>
      <c r="Z122" s="113"/>
      <c r="AA122" s="113"/>
      <c r="AB122" s="113"/>
      <c r="AC122" s="113"/>
      <c r="AD122" s="113"/>
      <c r="AE122" s="113"/>
      <c r="AF122" s="113"/>
      <c r="AG122" s="113"/>
      <c r="AH122" s="113"/>
      <c r="AI122" s="113"/>
      <c r="AJ122" s="113"/>
      <c r="AK122" s="319" t="s">
        <v>1113</v>
      </c>
      <c r="AL122" s="113"/>
      <c r="AM122" s="113"/>
      <c r="AN122" s="113"/>
      <c r="AO122" s="44" t="s">
        <v>2334</v>
      </c>
      <c r="AP122" s="43"/>
      <c r="AQ122" s="236" t="str">
        <f>VLOOKUP(Table8[[#This Row],[Instrument]],Def_Targets!$D$73:$E$159,2,FALSE)</f>
        <v>I_Emobilitycharging</v>
      </c>
      <c r="AR122" s="233" t="str">
        <f>VLOOKUP(Table8[[#This Row],[Country Code]],Table29[],3,FALSE)</f>
        <v>Annex I</v>
      </c>
      <c r="AS122" s="233" t="str">
        <f>VLOOKUP(Table8[[#This Row],[Country Code]],Table29[],4,FALSE)</f>
        <v>Europe</v>
      </c>
      <c r="AT122" s="233" t="str">
        <f>VLOOKUP(Table8[[#This Row],[Country Code]],Table29[],5,FALSE)</f>
        <v>High-income</v>
      </c>
      <c r="AU122" s="233" t="str">
        <f>VLOOKUP(Table8[[#This Row],[Country Code]],Table29[],6,FALSE)</f>
        <v>no</v>
      </c>
      <c r="AV122" s="233" t="str">
        <f>VLOOKUP(Table8[[#This Row],[Country Code]],Table29[],7,FALSE)</f>
        <v>no</v>
      </c>
      <c r="AW122" s="233" t="str">
        <f>VLOOKUP(Table8[[#This Row],[Country Code]],Table29[],8,FALSE)</f>
        <v>OECD</v>
      </c>
      <c r="AX122" s="233" t="str">
        <f>VLOOKUP(Table8[[#This Row],[Country Code]],Table29[],9,FALSE)</f>
        <v>EU27</v>
      </c>
      <c r="AY122" s="233" t="str">
        <f>VLOOKUP(Table8[[#This Row],[Country Code]],Table29[],10,FALSE)</f>
        <v>no</v>
      </c>
      <c r="AZ122" s="235">
        <f>VLOOKUP(Table8[[#This Row],[Country Code]],Table29[],23,FALSE)</f>
        <v>72.921492529811999</v>
      </c>
      <c r="BA122" s="235">
        <f>VLOOKUP(Table8[[#This Row],[Country Code]],Table29[],24,FALSE)</f>
        <v>21.372731064834241</v>
      </c>
      <c r="BB122" s="320"/>
      <c r="BC122" s="320"/>
    </row>
    <row r="123" spans="1:55" ht="30" hidden="1" x14ac:dyDescent="0.25">
      <c r="A123" s="373">
        <v>24678</v>
      </c>
      <c r="B123" s="233" t="str">
        <f>VLOOKUP(Table8[[#This Row],[Document ID]],Table1[],2,FALSE)</f>
        <v>AUT</v>
      </c>
      <c r="C123" s="233" t="str">
        <f>VLOOKUP(Table8[[#This Row],[Document ID]],Table1[],3,FALSE)</f>
        <v>Austria</v>
      </c>
      <c r="D123" s="243" t="str">
        <f>VLOOKUP(Table8[[#This Row],[Document ID]],Table1[],5,FALSE)</f>
        <v>LTS</v>
      </c>
      <c r="E123" s="233" t="str">
        <f>VLOOKUP(Table8[[#This Row],[Document ID]],Table1[],7,FALSE)</f>
        <v>LTS</v>
      </c>
      <c r="F123" s="233" t="str">
        <f>VLOOKUP(Table8[[#This Row],[Document ID]],Table1[],8,FALSE)</f>
        <v>LTS 1.0</v>
      </c>
      <c r="G123" s="233" t="str">
        <f>VLOOKUP(Table8[[#This Row],[Document ID]],Table1[],10,FALSE)</f>
        <v>Active</v>
      </c>
      <c r="H123" s="43" t="s">
        <v>2343</v>
      </c>
      <c r="I123" s="43" t="s">
        <v>2429</v>
      </c>
      <c r="J123" s="44" t="s">
        <v>2501</v>
      </c>
      <c r="K123" s="44" t="s">
        <v>2502</v>
      </c>
      <c r="L123" s="44" t="s">
        <v>2333</v>
      </c>
      <c r="M123" s="43">
        <v>24</v>
      </c>
      <c r="N123" s="113" t="s">
        <v>1113</v>
      </c>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319" t="s">
        <v>1113</v>
      </c>
      <c r="AL123" s="113"/>
      <c r="AM123" s="113"/>
      <c r="AN123" s="113"/>
      <c r="AO123" s="44" t="s">
        <v>2334</v>
      </c>
      <c r="AP123" s="43"/>
      <c r="AQ123" s="236" t="str">
        <f>VLOOKUP(Table8[[#This Row],[Instrument]],Def_Targets!$D$73:$E$159,2,FALSE)</f>
        <v>I_Autonomous</v>
      </c>
      <c r="AR123" s="233" t="str">
        <f>VLOOKUP(Table8[[#This Row],[Country Code]],Table29[],3,FALSE)</f>
        <v>Annex I</v>
      </c>
      <c r="AS123" s="233" t="str">
        <f>VLOOKUP(Table8[[#This Row],[Country Code]],Table29[],4,FALSE)</f>
        <v>Europe</v>
      </c>
      <c r="AT123" s="233" t="str">
        <f>VLOOKUP(Table8[[#This Row],[Country Code]],Table29[],5,FALSE)</f>
        <v>High-income</v>
      </c>
      <c r="AU123" s="233" t="str">
        <f>VLOOKUP(Table8[[#This Row],[Country Code]],Table29[],6,FALSE)</f>
        <v>no</v>
      </c>
      <c r="AV123" s="233" t="str">
        <f>VLOOKUP(Table8[[#This Row],[Country Code]],Table29[],7,FALSE)</f>
        <v>no</v>
      </c>
      <c r="AW123" s="233" t="str">
        <f>VLOOKUP(Table8[[#This Row],[Country Code]],Table29[],8,FALSE)</f>
        <v>OECD</v>
      </c>
      <c r="AX123" s="233" t="str">
        <f>VLOOKUP(Table8[[#This Row],[Country Code]],Table29[],9,FALSE)</f>
        <v>EU27</v>
      </c>
      <c r="AY123" s="233" t="str">
        <f>VLOOKUP(Table8[[#This Row],[Country Code]],Table29[],10,FALSE)</f>
        <v>no</v>
      </c>
      <c r="AZ123" s="235">
        <f>VLOOKUP(Table8[[#This Row],[Country Code]],Table29[],23,FALSE)</f>
        <v>72.921492529811999</v>
      </c>
      <c r="BA123" s="235">
        <f>VLOOKUP(Table8[[#This Row],[Country Code]],Table29[],24,FALSE)</f>
        <v>21.372731064834241</v>
      </c>
      <c r="BB123" s="320"/>
      <c r="BC123" s="320"/>
    </row>
    <row r="124" spans="1:55" hidden="1" x14ac:dyDescent="0.25">
      <c r="A124" s="373">
        <v>24678</v>
      </c>
      <c r="B124" s="233" t="str">
        <f>VLOOKUP(Table8[[#This Row],[Document ID]],Table1[],2,FALSE)</f>
        <v>AUT</v>
      </c>
      <c r="C124" s="233" t="str">
        <f>VLOOKUP(Table8[[#This Row],[Document ID]],Table1[],3,FALSE)</f>
        <v>Austria</v>
      </c>
      <c r="D124" s="243" t="str">
        <f>VLOOKUP(Table8[[#This Row],[Document ID]],Table1[],5,FALSE)</f>
        <v>LTS</v>
      </c>
      <c r="E124" s="233" t="str">
        <f>VLOOKUP(Table8[[#This Row],[Document ID]],Table1[],7,FALSE)</f>
        <v>LTS</v>
      </c>
      <c r="F124" s="233" t="str">
        <f>VLOOKUP(Table8[[#This Row],[Document ID]],Table1[],8,FALSE)</f>
        <v>LTS 1.0</v>
      </c>
      <c r="G124" s="233" t="str">
        <f>VLOOKUP(Table8[[#This Row],[Document ID]],Table1[],10,FALSE)</f>
        <v>Active</v>
      </c>
      <c r="H124" s="44" t="s">
        <v>2329</v>
      </c>
      <c r="I124" s="44" t="s">
        <v>2330</v>
      </c>
      <c r="J124" s="44" t="s">
        <v>2381</v>
      </c>
      <c r="K124" s="44" t="s">
        <v>2503</v>
      </c>
      <c r="L124" s="44" t="s">
        <v>2333</v>
      </c>
      <c r="M124" s="43">
        <v>46</v>
      </c>
      <c r="N124" s="113" t="s">
        <v>1113</v>
      </c>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319" t="s">
        <v>1113</v>
      </c>
      <c r="AL124" s="113"/>
      <c r="AM124" s="113"/>
      <c r="AN124" s="113"/>
      <c r="AO124" s="44" t="s">
        <v>2334</v>
      </c>
      <c r="AP124" s="43"/>
      <c r="AQ124" s="236" t="str">
        <f>VLOOKUP(Table8[[#This Row],[Instrument]],Def_Targets!$D$73:$E$159,2,FALSE)</f>
        <v>I_RE</v>
      </c>
      <c r="AR124" s="233" t="str">
        <f>VLOOKUP(Table8[[#This Row],[Country Code]],Table29[],3,FALSE)</f>
        <v>Annex I</v>
      </c>
      <c r="AS124" s="233" t="str">
        <f>VLOOKUP(Table8[[#This Row],[Country Code]],Table29[],4,FALSE)</f>
        <v>Europe</v>
      </c>
      <c r="AT124" s="233" t="str">
        <f>VLOOKUP(Table8[[#This Row],[Country Code]],Table29[],5,FALSE)</f>
        <v>High-income</v>
      </c>
      <c r="AU124" s="233" t="str">
        <f>VLOOKUP(Table8[[#This Row],[Country Code]],Table29[],6,FALSE)</f>
        <v>no</v>
      </c>
      <c r="AV124" s="233" t="str">
        <f>VLOOKUP(Table8[[#This Row],[Country Code]],Table29[],7,FALSE)</f>
        <v>no</v>
      </c>
      <c r="AW124" s="233" t="str">
        <f>VLOOKUP(Table8[[#This Row],[Country Code]],Table29[],8,FALSE)</f>
        <v>OECD</v>
      </c>
      <c r="AX124" s="233" t="str">
        <f>VLOOKUP(Table8[[#This Row],[Country Code]],Table29[],9,FALSE)</f>
        <v>EU27</v>
      </c>
      <c r="AY124" s="233" t="str">
        <f>VLOOKUP(Table8[[#This Row],[Country Code]],Table29[],10,FALSE)</f>
        <v>no</v>
      </c>
      <c r="AZ124" s="235">
        <f>VLOOKUP(Table8[[#This Row],[Country Code]],Table29[],23,FALSE)</f>
        <v>72.921492529811999</v>
      </c>
      <c r="BA124" s="235">
        <f>VLOOKUP(Table8[[#This Row],[Country Code]],Table29[],24,FALSE)</f>
        <v>21.372731064834241</v>
      </c>
      <c r="BB124" s="320"/>
      <c r="BC124" s="320"/>
    </row>
    <row r="125" spans="1:55" ht="30" hidden="1" x14ac:dyDescent="0.25">
      <c r="A125" s="373">
        <v>24678</v>
      </c>
      <c r="B125" s="233" t="str">
        <f>VLOOKUP(Table8[[#This Row],[Document ID]],Table1[],2,FALSE)</f>
        <v>AUT</v>
      </c>
      <c r="C125" s="233" t="str">
        <f>VLOOKUP(Table8[[#This Row],[Document ID]],Table1[],3,FALSE)</f>
        <v>Austria</v>
      </c>
      <c r="D125" s="243" t="str">
        <f>VLOOKUP(Table8[[#This Row],[Document ID]],Table1[],5,FALSE)</f>
        <v>LTS</v>
      </c>
      <c r="E125" s="233" t="str">
        <f>VLOOKUP(Table8[[#This Row],[Document ID]],Table1[],7,FALSE)</f>
        <v>LTS</v>
      </c>
      <c r="F125" s="233" t="str">
        <f>VLOOKUP(Table8[[#This Row],[Document ID]],Table1[],8,FALSE)</f>
        <v>LTS 1.0</v>
      </c>
      <c r="G125" s="233" t="str">
        <f>VLOOKUP(Table8[[#This Row],[Document ID]],Table1[],10,FALSE)</f>
        <v>Active</v>
      </c>
      <c r="H125" s="44" t="s">
        <v>2329</v>
      </c>
      <c r="I125" s="44" t="s">
        <v>2330</v>
      </c>
      <c r="J125" s="44" t="s">
        <v>2391</v>
      </c>
      <c r="K125" s="44" t="s">
        <v>2504</v>
      </c>
      <c r="L125" s="44" t="s">
        <v>2333</v>
      </c>
      <c r="M125" s="43" t="s">
        <v>2505</v>
      </c>
      <c r="N125" s="113" t="s">
        <v>1113</v>
      </c>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319" t="s">
        <v>1113</v>
      </c>
      <c r="AL125" s="113"/>
      <c r="AM125" s="113"/>
      <c r="AN125" s="113"/>
      <c r="AO125" s="44" t="s">
        <v>2334</v>
      </c>
      <c r="AP125" s="43"/>
      <c r="AQ125" s="236" t="str">
        <f>VLOOKUP(Table8[[#This Row],[Instrument]],Def_Targets!$D$73:$E$159,2,FALSE)</f>
        <v>I_Hydrogen</v>
      </c>
      <c r="AR125" s="233" t="str">
        <f>VLOOKUP(Table8[[#This Row],[Country Code]],Table29[],3,FALSE)</f>
        <v>Annex I</v>
      </c>
      <c r="AS125" s="233" t="str">
        <f>VLOOKUP(Table8[[#This Row],[Country Code]],Table29[],4,FALSE)</f>
        <v>Europe</v>
      </c>
      <c r="AT125" s="233" t="str">
        <f>VLOOKUP(Table8[[#This Row],[Country Code]],Table29[],5,FALSE)</f>
        <v>High-income</v>
      </c>
      <c r="AU125" s="233" t="str">
        <f>VLOOKUP(Table8[[#This Row],[Country Code]],Table29[],6,FALSE)</f>
        <v>no</v>
      </c>
      <c r="AV125" s="233" t="str">
        <f>VLOOKUP(Table8[[#This Row],[Country Code]],Table29[],7,FALSE)</f>
        <v>no</v>
      </c>
      <c r="AW125" s="233" t="str">
        <f>VLOOKUP(Table8[[#This Row],[Country Code]],Table29[],8,FALSE)</f>
        <v>OECD</v>
      </c>
      <c r="AX125" s="233" t="str">
        <f>VLOOKUP(Table8[[#This Row],[Country Code]],Table29[],9,FALSE)</f>
        <v>EU27</v>
      </c>
      <c r="AY125" s="233" t="str">
        <f>VLOOKUP(Table8[[#This Row],[Country Code]],Table29[],10,FALSE)</f>
        <v>no</v>
      </c>
      <c r="AZ125" s="235">
        <f>VLOOKUP(Table8[[#This Row],[Country Code]],Table29[],23,FALSE)</f>
        <v>72.921492529811999</v>
      </c>
      <c r="BA125" s="235">
        <f>VLOOKUP(Table8[[#This Row],[Country Code]],Table29[],24,FALSE)</f>
        <v>21.372731064834241</v>
      </c>
      <c r="BB125" s="320"/>
      <c r="BC125" s="320"/>
    </row>
    <row r="126" spans="1:55" hidden="1" x14ac:dyDescent="0.25">
      <c r="A126" s="373">
        <v>24678</v>
      </c>
      <c r="B126" s="233" t="str">
        <f>VLOOKUP(Table8[[#This Row],[Document ID]],Table1[],2,FALSE)</f>
        <v>AUT</v>
      </c>
      <c r="C126" s="233" t="str">
        <f>VLOOKUP(Table8[[#This Row],[Document ID]],Table1[],3,FALSE)</f>
        <v>Austria</v>
      </c>
      <c r="D126" s="243" t="str">
        <f>VLOOKUP(Table8[[#This Row],[Document ID]],Table1[],5,FALSE)</f>
        <v>LTS</v>
      </c>
      <c r="E126" s="233" t="str">
        <f>VLOOKUP(Table8[[#This Row],[Document ID]],Table1[],7,FALSE)</f>
        <v>LTS</v>
      </c>
      <c r="F126" s="233" t="str">
        <f>VLOOKUP(Table8[[#This Row],[Document ID]],Table1[],8,FALSE)</f>
        <v>LTS 1.0</v>
      </c>
      <c r="G126" s="233" t="str">
        <f>VLOOKUP(Table8[[#This Row],[Document ID]],Table1[],10,FALSE)</f>
        <v>Active</v>
      </c>
      <c r="H126" s="44" t="s">
        <v>2329</v>
      </c>
      <c r="I126" s="44" t="s">
        <v>2330</v>
      </c>
      <c r="J126" s="44" t="s">
        <v>2331</v>
      </c>
      <c r="K126" s="44" t="s">
        <v>2506</v>
      </c>
      <c r="L126" s="44" t="s">
        <v>2333</v>
      </c>
      <c r="M126" s="43">
        <v>47</v>
      </c>
      <c r="N126" s="113" t="s">
        <v>1113</v>
      </c>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319" t="s">
        <v>1113</v>
      </c>
      <c r="AL126" s="113"/>
      <c r="AM126" s="113"/>
      <c r="AN126" s="113"/>
      <c r="AO126" s="44" t="s">
        <v>2334</v>
      </c>
      <c r="AP126" s="43"/>
      <c r="AQ126" s="236" t="str">
        <f>VLOOKUP(Table8[[#This Row],[Instrument]],Def_Targets!$D$73:$E$159,2,FALSE)</f>
        <v>I_Altfuels</v>
      </c>
      <c r="AR126" s="233" t="str">
        <f>VLOOKUP(Table8[[#This Row],[Country Code]],Table29[],3,FALSE)</f>
        <v>Annex I</v>
      </c>
      <c r="AS126" s="233" t="str">
        <f>VLOOKUP(Table8[[#This Row],[Country Code]],Table29[],4,FALSE)</f>
        <v>Europe</v>
      </c>
      <c r="AT126" s="233" t="str">
        <f>VLOOKUP(Table8[[#This Row],[Country Code]],Table29[],5,FALSE)</f>
        <v>High-income</v>
      </c>
      <c r="AU126" s="233" t="str">
        <f>VLOOKUP(Table8[[#This Row],[Country Code]],Table29[],6,FALSE)</f>
        <v>no</v>
      </c>
      <c r="AV126" s="233" t="str">
        <f>VLOOKUP(Table8[[#This Row],[Country Code]],Table29[],7,FALSE)</f>
        <v>no</v>
      </c>
      <c r="AW126" s="233" t="str">
        <f>VLOOKUP(Table8[[#This Row],[Country Code]],Table29[],8,FALSE)</f>
        <v>OECD</v>
      </c>
      <c r="AX126" s="233" t="str">
        <f>VLOOKUP(Table8[[#This Row],[Country Code]],Table29[],9,FALSE)</f>
        <v>EU27</v>
      </c>
      <c r="AY126" s="233" t="str">
        <f>VLOOKUP(Table8[[#This Row],[Country Code]],Table29[],10,FALSE)</f>
        <v>no</v>
      </c>
      <c r="AZ126" s="235">
        <f>VLOOKUP(Table8[[#This Row],[Country Code]],Table29[],23,FALSE)</f>
        <v>72.921492529811999</v>
      </c>
      <c r="BA126" s="235">
        <f>VLOOKUP(Table8[[#This Row],[Country Code]],Table29[],24,FALSE)</f>
        <v>21.372731064834241</v>
      </c>
      <c r="BB126" s="320"/>
      <c r="BC126" s="320"/>
    </row>
    <row r="127" spans="1:55" hidden="1" x14ac:dyDescent="0.25">
      <c r="A127" s="373">
        <v>24678</v>
      </c>
      <c r="B127" s="233" t="str">
        <f>VLOOKUP(Table8[[#This Row],[Document ID]],Table1[],2,FALSE)</f>
        <v>AUT</v>
      </c>
      <c r="C127" s="233" t="str">
        <f>VLOOKUP(Table8[[#This Row],[Document ID]],Table1[],3,FALSE)</f>
        <v>Austria</v>
      </c>
      <c r="D127" s="243" t="str">
        <f>VLOOKUP(Table8[[#This Row],[Document ID]],Table1[],5,FALSE)</f>
        <v>LTS</v>
      </c>
      <c r="E127" s="233" t="str">
        <f>VLOOKUP(Table8[[#This Row],[Document ID]],Table1[],7,FALSE)</f>
        <v>LTS</v>
      </c>
      <c r="F127" s="233" t="str">
        <f>VLOOKUP(Table8[[#This Row],[Document ID]],Table1[],8,FALSE)</f>
        <v>LTS 1.0</v>
      </c>
      <c r="G127" s="233" t="str">
        <f>VLOOKUP(Table8[[#This Row],[Document ID]],Table1[],10,FALSE)</f>
        <v>Active</v>
      </c>
      <c r="H127" s="43" t="s">
        <v>2343</v>
      </c>
      <c r="I127" s="43" t="s">
        <v>2344</v>
      </c>
      <c r="J127" s="44" t="s">
        <v>2345</v>
      </c>
      <c r="K127" s="44" t="s">
        <v>2507</v>
      </c>
      <c r="L127" s="44" t="s">
        <v>2347</v>
      </c>
      <c r="M127" s="43">
        <v>47</v>
      </c>
      <c r="N127" s="113" t="s">
        <v>1113</v>
      </c>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319" t="s">
        <v>1113</v>
      </c>
      <c r="AL127" s="113"/>
      <c r="AM127" s="113"/>
      <c r="AN127" s="113"/>
      <c r="AO127" s="43" t="s">
        <v>2348</v>
      </c>
      <c r="AP127" s="43"/>
      <c r="AQ127" s="236" t="str">
        <f>VLOOKUP(Table8[[#This Row],[Instrument]],Def_Targets!$D$73:$E$159,2,FALSE)</f>
        <v>S_PublicTransport</v>
      </c>
      <c r="AR127" s="233" t="str">
        <f>VLOOKUP(Table8[[#This Row],[Country Code]],Table29[],3,FALSE)</f>
        <v>Annex I</v>
      </c>
      <c r="AS127" s="233" t="str">
        <f>VLOOKUP(Table8[[#This Row],[Country Code]],Table29[],4,FALSE)</f>
        <v>Europe</v>
      </c>
      <c r="AT127" s="233" t="str">
        <f>VLOOKUP(Table8[[#This Row],[Country Code]],Table29[],5,FALSE)</f>
        <v>High-income</v>
      </c>
      <c r="AU127" s="233" t="str">
        <f>VLOOKUP(Table8[[#This Row],[Country Code]],Table29[],6,FALSE)</f>
        <v>no</v>
      </c>
      <c r="AV127" s="233" t="str">
        <f>VLOOKUP(Table8[[#This Row],[Country Code]],Table29[],7,FALSE)</f>
        <v>no</v>
      </c>
      <c r="AW127" s="233" t="str">
        <f>VLOOKUP(Table8[[#This Row],[Country Code]],Table29[],8,FALSE)</f>
        <v>OECD</v>
      </c>
      <c r="AX127" s="233" t="str">
        <f>VLOOKUP(Table8[[#This Row],[Country Code]],Table29[],9,FALSE)</f>
        <v>EU27</v>
      </c>
      <c r="AY127" s="233" t="str">
        <f>VLOOKUP(Table8[[#This Row],[Country Code]],Table29[],10,FALSE)</f>
        <v>no</v>
      </c>
      <c r="AZ127" s="235">
        <f>VLOOKUP(Table8[[#This Row],[Country Code]],Table29[],23,FALSE)</f>
        <v>72.921492529811999</v>
      </c>
      <c r="BA127" s="235">
        <f>VLOOKUP(Table8[[#This Row],[Country Code]],Table29[],24,FALSE)</f>
        <v>21.372731064834241</v>
      </c>
      <c r="BB127" s="320"/>
      <c r="BC127" s="320"/>
    </row>
    <row r="128" spans="1:55" ht="30" hidden="1" x14ac:dyDescent="0.25">
      <c r="A128" s="373">
        <v>24678</v>
      </c>
      <c r="B128" s="233" t="str">
        <f>VLOOKUP(Table8[[#This Row],[Document ID]],Table1[],2,FALSE)</f>
        <v>AUT</v>
      </c>
      <c r="C128" s="233" t="str">
        <f>VLOOKUP(Table8[[#This Row],[Document ID]],Table1[],3,FALSE)</f>
        <v>Austria</v>
      </c>
      <c r="D128" s="243" t="str">
        <f>VLOOKUP(Table8[[#This Row],[Document ID]],Table1[],5,FALSE)</f>
        <v>LTS</v>
      </c>
      <c r="E128" s="233" t="str">
        <f>VLOOKUP(Table8[[#This Row],[Document ID]],Table1[],7,FALSE)</f>
        <v>LTS</v>
      </c>
      <c r="F128" s="233" t="str">
        <f>VLOOKUP(Table8[[#This Row],[Document ID]],Table1[],8,FALSE)</f>
        <v>LTS 1.0</v>
      </c>
      <c r="G128" s="233" t="str">
        <f>VLOOKUP(Table8[[#This Row],[Document ID]],Table1[],10,FALSE)</f>
        <v>Active</v>
      </c>
      <c r="H128" s="43" t="s">
        <v>2343</v>
      </c>
      <c r="I128" s="43" t="s">
        <v>2361</v>
      </c>
      <c r="J128" s="44" t="s">
        <v>2366</v>
      </c>
      <c r="K128" s="44" t="s">
        <v>2508</v>
      </c>
      <c r="L128" s="44" t="s">
        <v>2347</v>
      </c>
      <c r="M128" s="43">
        <v>47</v>
      </c>
      <c r="N128" s="113"/>
      <c r="O128" s="113"/>
      <c r="P128" s="113" t="s">
        <v>1113</v>
      </c>
      <c r="Q128" s="113" t="s">
        <v>1113</v>
      </c>
      <c r="R128" s="113" t="s">
        <v>1113</v>
      </c>
      <c r="S128" s="113"/>
      <c r="T128" s="113"/>
      <c r="U128" s="113"/>
      <c r="V128" s="113"/>
      <c r="W128" s="113"/>
      <c r="X128" s="113"/>
      <c r="Y128" s="113"/>
      <c r="Z128" s="113"/>
      <c r="AA128" s="113"/>
      <c r="AB128" s="113"/>
      <c r="AC128" s="113"/>
      <c r="AD128" s="113"/>
      <c r="AE128" s="113"/>
      <c r="AF128" s="113"/>
      <c r="AG128" s="113"/>
      <c r="AH128" s="113"/>
      <c r="AI128" s="113"/>
      <c r="AJ128" s="113"/>
      <c r="AK128" s="319" t="s">
        <v>1113</v>
      </c>
      <c r="AL128" s="113"/>
      <c r="AM128" s="113"/>
      <c r="AN128" s="113"/>
      <c r="AO128" s="43" t="s">
        <v>2348</v>
      </c>
      <c r="AP128" s="43"/>
      <c r="AQ128" s="236" t="str">
        <f>VLOOKUP(Table8[[#This Row],[Instrument]],Def_Targets!$D$73:$E$159,2,FALSE)</f>
        <v>S_Activemobility</v>
      </c>
      <c r="AR128" s="233" t="str">
        <f>VLOOKUP(Table8[[#This Row],[Country Code]],Table29[],3,FALSE)</f>
        <v>Annex I</v>
      </c>
      <c r="AS128" s="233" t="str">
        <f>VLOOKUP(Table8[[#This Row],[Country Code]],Table29[],4,FALSE)</f>
        <v>Europe</v>
      </c>
      <c r="AT128" s="233" t="str">
        <f>VLOOKUP(Table8[[#This Row],[Country Code]],Table29[],5,FALSE)</f>
        <v>High-income</v>
      </c>
      <c r="AU128" s="233" t="str">
        <f>VLOOKUP(Table8[[#This Row],[Country Code]],Table29[],6,FALSE)</f>
        <v>no</v>
      </c>
      <c r="AV128" s="233" t="str">
        <f>VLOOKUP(Table8[[#This Row],[Country Code]],Table29[],7,FALSE)</f>
        <v>no</v>
      </c>
      <c r="AW128" s="233" t="str">
        <f>VLOOKUP(Table8[[#This Row],[Country Code]],Table29[],8,FALSE)</f>
        <v>OECD</v>
      </c>
      <c r="AX128" s="233" t="str">
        <f>VLOOKUP(Table8[[#This Row],[Country Code]],Table29[],9,FALSE)</f>
        <v>EU27</v>
      </c>
      <c r="AY128" s="233" t="str">
        <f>VLOOKUP(Table8[[#This Row],[Country Code]],Table29[],10,FALSE)</f>
        <v>no</v>
      </c>
      <c r="AZ128" s="235">
        <f>VLOOKUP(Table8[[#This Row],[Country Code]],Table29[],23,FALSE)</f>
        <v>72.921492529811999</v>
      </c>
      <c r="BA128" s="235">
        <f>VLOOKUP(Table8[[#This Row],[Country Code]],Table29[],24,FALSE)</f>
        <v>21.372731064834241</v>
      </c>
      <c r="BB128" s="320"/>
      <c r="BC128" s="320"/>
    </row>
    <row r="129" spans="1:55" ht="30" hidden="1" x14ac:dyDescent="0.25">
      <c r="A129" s="373">
        <v>24678</v>
      </c>
      <c r="B129" s="233" t="str">
        <f>VLOOKUP(Table8[[#This Row],[Document ID]],Table1[],2,FALSE)</f>
        <v>AUT</v>
      </c>
      <c r="C129" s="233" t="str">
        <f>VLOOKUP(Table8[[#This Row],[Document ID]],Table1[],3,FALSE)</f>
        <v>Austria</v>
      </c>
      <c r="D129" s="243" t="str">
        <f>VLOOKUP(Table8[[#This Row],[Document ID]],Table1[],5,FALSE)</f>
        <v>LTS</v>
      </c>
      <c r="E129" s="233" t="str">
        <f>VLOOKUP(Table8[[#This Row],[Document ID]],Table1[],7,FALSE)</f>
        <v>LTS</v>
      </c>
      <c r="F129" s="233" t="str">
        <f>VLOOKUP(Table8[[#This Row],[Document ID]],Table1[],8,FALSE)</f>
        <v>LTS 1.0</v>
      </c>
      <c r="G129" s="233" t="str">
        <f>VLOOKUP(Table8[[#This Row],[Document ID]],Table1[],10,FALSE)</f>
        <v>Active</v>
      </c>
      <c r="H129" s="43" t="s">
        <v>2350</v>
      </c>
      <c r="I129" s="43" t="s">
        <v>2351</v>
      </c>
      <c r="J129" s="44" t="s">
        <v>2352</v>
      </c>
      <c r="K129" s="44" t="s">
        <v>2509</v>
      </c>
      <c r="L129" s="44" t="s">
        <v>2347</v>
      </c>
      <c r="M129" s="43">
        <v>47</v>
      </c>
      <c r="N129" s="113"/>
      <c r="O129" s="113"/>
      <c r="P129" s="113"/>
      <c r="Q129" s="113"/>
      <c r="R129" s="113"/>
      <c r="S129" s="113"/>
      <c r="T129" s="113"/>
      <c r="U129" s="113"/>
      <c r="V129" s="113"/>
      <c r="W129" s="113"/>
      <c r="X129" s="113" t="s">
        <v>1113</v>
      </c>
      <c r="Y129" s="113"/>
      <c r="Z129" s="113" t="s">
        <v>1113</v>
      </c>
      <c r="AA129" s="113"/>
      <c r="AB129" s="113"/>
      <c r="AC129" s="113"/>
      <c r="AD129" s="113"/>
      <c r="AE129" s="113"/>
      <c r="AF129" s="113"/>
      <c r="AG129" s="113"/>
      <c r="AH129" s="113"/>
      <c r="AI129" s="113"/>
      <c r="AJ129" s="113"/>
      <c r="AK129" s="319" t="s">
        <v>1113</v>
      </c>
      <c r="AL129" s="113"/>
      <c r="AM129" s="113"/>
      <c r="AN129" s="113"/>
      <c r="AO129" s="43" t="s">
        <v>2353</v>
      </c>
      <c r="AP129" s="43"/>
      <c r="AQ129" s="236" t="str">
        <f>VLOOKUP(Table8[[#This Row],[Instrument]],Def_Targets!$D$73:$E$159,2,FALSE)</f>
        <v>S_Railfreight</v>
      </c>
      <c r="AR129" s="233" t="str">
        <f>VLOOKUP(Table8[[#This Row],[Country Code]],Table29[],3,FALSE)</f>
        <v>Annex I</v>
      </c>
      <c r="AS129" s="233" t="str">
        <f>VLOOKUP(Table8[[#This Row],[Country Code]],Table29[],4,FALSE)</f>
        <v>Europe</v>
      </c>
      <c r="AT129" s="233" t="str">
        <f>VLOOKUP(Table8[[#This Row],[Country Code]],Table29[],5,FALSE)</f>
        <v>High-income</v>
      </c>
      <c r="AU129" s="233" t="str">
        <f>VLOOKUP(Table8[[#This Row],[Country Code]],Table29[],6,FALSE)</f>
        <v>no</v>
      </c>
      <c r="AV129" s="233" t="str">
        <f>VLOOKUP(Table8[[#This Row],[Country Code]],Table29[],7,FALSE)</f>
        <v>no</v>
      </c>
      <c r="AW129" s="233" t="str">
        <f>VLOOKUP(Table8[[#This Row],[Country Code]],Table29[],8,FALSE)</f>
        <v>OECD</v>
      </c>
      <c r="AX129" s="233" t="str">
        <f>VLOOKUP(Table8[[#This Row],[Country Code]],Table29[],9,FALSE)</f>
        <v>EU27</v>
      </c>
      <c r="AY129" s="233" t="str">
        <f>VLOOKUP(Table8[[#This Row],[Country Code]],Table29[],10,FALSE)</f>
        <v>no</v>
      </c>
      <c r="AZ129" s="235">
        <f>VLOOKUP(Table8[[#This Row],[Country Code]],Table29[],23,FALSE)</f>
        <v>72.921492529811999</v>
      </c>
      <c r="BA129" s="235">
        <f>VLOOKUP(Table8[[#This Row],[Country Code]],Table29[],24,FALSE)</f>
        <v>21.372731064834241</v>
      </c>
      <c r="BB129" s="320"/>
      <c r="BC129" s="320"/>
    </row>
    <row r="130" spans="1:55" ht="30" hidden="1" x14ac:dyDescent="0.25">
      <c r="A130" s="373">
        <v>24678</v>
      </c>
      <c r="B130" s="233" t="str">
        <f>VLOOKUP(Table8[[#This Row],[Document ID]],Table1[],2,FALSE)</f>
        <v>AUT</v>
      </c>
      <c r="C130" s="233" t="str">
        <f>VLOOKUP(Table8[[#This Row],[Document ID]],Table1[],3,FALSE)</f>
        <v>Austria</v>
      </c>
      <c r="D130" s="243" t="str">
        <f>VLOOKUP(Table8[[#This Row],[Document ID]],Table1[],5,FALSE)</f>
        <v>LTS</v>
      </c>
      <c r="E130" s="233" t="str">
        <f>VLOOKUP(Table8[[#This Row],[Document ID]],Table1[],7,FALSE)</f>
        <v>LTS</v>
      </c>
      <c r="F130" s="233" t="str">
        <f>VLOOKUP(Table8[[#This Row],[Document ID]],Table1[],8,FALSE)</f>
        <v>LTS 1.0</v>
      </c>
      <c r="G130" s="233" t="str">
        <f>VLOOKUP(Table8[[#This Row],[Document ID]],Table1[],10,FALSE)</f>
        <v>Active</v>
      </c>
      <c r="H130" s="43" t="s">
        <v>2350</v>
      </c>
      <c r="I130" s="43" t="s">
        <v>2407</v>
      </c>
      <c r="J130" s="44" t="s">
        <v>2408</v>
      </c>
      <c r="K130" s="44" t="s">
        <v>2510</v>
      </c>
      <c r="L130" s="44" t="s">
        <v>2373</v>
      </c>
      <c r="M130" s="43">
        <v>47</v>
      </c>
      <c r="N130" s="113" t="s">
        <v>1113</v>
      </c>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319" t="s">
        <v>1113</v>
      </c>
      <c r="AL130" s="113"/>
      <c r="AM130" s="113"/>
      <c r="AN130" s="113"/>
      <c r="AO130" s="44" t="s">
        <v>2334</v>
      </c>
      <c r="AP130" s="43"/>
      <c r="AQ130" s="236" t="str">
        <f>VLOOKUP(Table8[[#This Row],[Instrument]],Def_Targets!$D$73:$E$159,2,FALSE)</f>
        <v>I_Education</v>
      </c>
      <c r="AR130" s="233" t="str">
        <f>VLOOKUP(Table8[[#This Row],[Country Code]],Table29[],3,FALSE)</f>
        <v>Annex I</v>
      </c>
      <c r="AS130" s="233" t="str">
        <f>VLOOKUP(Table8[[#This Row],[Country Code]],Table29[],4,FALSE)</f>
        <v>Europe</v>
      </c>
      <c r="AT130" s="233" t="str">
        <f>VLOOKUP(Table8[[#This Row],[Country Code]],Table29[],5,FALSE)</f>
        <v>High-income</v>
      </c>
      <c r="AU130" s="233" t="str">
        <f>VLOOKUP(Table8[[#This Row],[Country Code]],Table29[],6,FALSE)</f>
        <v>no</v>
      </c>
      <c r="AV130" s="233" t="str">
        <f>VLOOKUP(Table8[[#This Row],[Country Code]],Table29[],7,FALSE)</f>
        <v>no</v>
      </c>
      <c r="AW130" s="233" t="str">
        <f>VLOOKUP(Table8[[#This Row],[Country Code]],Table29[],8,FALSE)</f>
        <v>OECD</v>
      </c>
      <c r="AX130" s="233" t="str">
        <f>VLOOKUP(Table8[[#This Row],[Country Code]],Table29[],9,FALSE)</f>
        <v>EU27</v>
      </c>
      <c r="AY130" s="233" t="str">
        <f>VLOOKUP(Table8[[#This Row],[Country Code]],Table29[],10,FALSE)</f>
        <v>no</v>
      </c>
      <c r="AZ130" s="235">
        <f>VLOOKUP(Table8[[#This Row],[Country Code]],Table29[],23,FALSE)</f>
        <v>72.921492529811999</v>
      </c>
      <c r="BA130" s="235">
        <f>VLOOKUP(Table8[[#This Row],[Country Code]],Table29[],24,FALSE)</f>
        <v>21.372731064834241</v>
      </c>
      <c r="BB130" s="320"/>
      <c r="BC130" s="320"/>
    </row>
    <row r="131" spans="1:55" ht="60" hidden="1" x14ac:dyDescent="0.25">
      <c r="A131" s="373">
        <v>24678</v>
      </c>
      <c r="B131" s="233" t="str">
        <f>VLOOKUP(Table8[[#This Row],[Document ID]],Table1[],2,FALSE)</f>
        <v>AUT</v>
      </c>
      <c r="C131" s="233" t="str">
        <f>VLOOKUP(Table8[[#This Row],[Document ID]],Table1[],3,FALSE)</f>
        <v>Austria</v>
      </c>
      <c r="D131" s="243" t="str">
        <f>VLOOKUP(Table8[[#This Row],[Document ID]],Table1[],5,FALSE)</f>
        <v>LTS</v>
      </c>
      <c r="E131" s="233" t="str">
        <f>VLOOKUP(Table8[[#This Row],[Document ID]],Table1[],7,FALSE)</f>
        <v>LTS</v>
      </c>
      <c r="F131" s="233" t="str">
        <f>VLOOKUP(Table8[[#This Row],[Document ID]],Table1[],8,FALSE)</f>
        <v>LTS 1.0</v>
      </c>
      <c r="G131" s="233" t="str">
        <f>VLOOKUP(Table8[[#This Row],[Document ID]],Table1[],10,FALSE)</f>
        <v>Active</v>
      </c>
      <c r="H131" s="43" t="s">
        <v>2350</v>
      </c>
      <c r="I131" s="43" t="s">
        <v>2370</v>
      </c>
      <c r="J131" s="44" t="s">
        <v>2511</v>
      </c>
      <c r="K131" s="44" t="s">
        <v>2512</v>
      </c>
      <c r="L131" s="44" t="s">
        <v>2333</v>
      </c>
      <c r="M131" s="43">
        <v>48</v>
      </c>
      <c r="N131" s="113" t="s">
        <v>1113</v>
      </c>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319" t="s">
        <v>1113</v>
      </c>
      <c r="AL131" s="113"/>
      <c r="AM131" s="113"/>
      <c r="AN131" s="113"/>
      <c r="AO131" s="44" t="s">
        <v>2334</v>
      </c>
      <c r="AP131" s="43"/>
      <c r="AQ131" s="236" t="str">
        <f>VLOOKUP(Table8[[#This Row],[Instrument]],Def_Targets!$D$73:$E$159,2,FALSE)</f>
        <v>A_LATM</v>
      </c>
      <c r="AR131" s="233" t="str">
        <f>VLOOKUP(Table8[[#This Row],[Country Code]],Table29[],3,FALSE)</f>
        <v>Annex I</v>
      </c>
      <c r="AS131" s="233" t="str">
        <f>VLOOKUP(Table8[[#This Row],[Country Code]],Table29[],4,FALSE)</f>
        <v>Europe</v>
      </c>
      <c r="AT131" s="233" t="str">
        <f>VLOOKUP(Table8[[#This Row],[Country Code]],Table29[],5,FALSE)</f>
        <v>High-income</v>
      </c>
      <c r="AU131" s="233" t="str">
        <f>VLOOKUP(Table8[[#This Row],[Country Code]],Table29[],6,FALSE)</f>
        <v>no</v>
      </c>
      <c r="AV131" s="233" t="str">
        <f>VLOOKUP(Table8[[#This Row],[Country Code]],Table29[],7,FALSE)</f>
        <v>no</v>
      </c>
      <c r="AW131" s="233" t="str">
        <f>VLOOKUP(Table8[[#This Row],[Country Code]],Table29[],8,FALSE)</f>
        <v>OECD</v>
      </c>
      <c r="AX131" s="233" t="str">
        <f>VLOOKUP(Table8[[#This Row],[Country Code]],Table29[],9,FALSE)</f>
        <v>EU27</v>
      </c>
      <c r="AY131" s="233" t="str">
        <f>VLOOKUP(Table8[[#This Row],[Country Code]],Table29[],10,FALSE)</f>
        <v>no</v>
      </c>
      <c r="AZ131" s="235">
        <f>VLOOKUP(Table8[[#This Row],[Country Code]],Table29[],23,FALSE)</f>
        <v>72.921492529811999</v>
      </c>
      <c r="BA131" s="235">
        <f>VLOOKUP(Table8[[#This Row],[Country Code]],Table29[],24,FALSE)</f>
        <v>21.372731064834241</v>
      </c>
      <c r="BB131" s="320"/>
      <c r="BC131" s="320"/>
    </row>
    <row r="132" spans="1:55" ht="60" hidden="1" x14ac:dyDescent="0.25">
      <c r="A132" s="373">
        <v>24678</v>
      </c>
      <c r="B132" s="233" t="str">
        <f>VLOOKUP(Table8[[#This Row],[Document ID]],Table1[],2,FALSE)</f>
        <v>AUT</v>
      </c>
      <c r="C132" s="233" t="str">
        <f>VLOOKUP(Table8[[#This Row],[Document ID]],Table1[],3,FALSE)</f>
        <v>Austria</v>
      </c>
      <c r="D132" s="243" t="str">
        <f>VLOOKUP(Table8[[#This Row],[Document ID]],Table1[],5,FALSE)</f>
        <v>LTS</v>
      </c>
      <c r="E132" s="233" t="str">
        <f>VLOOKUP(Table8[[#This Row],[Document ID]],Table1[],7,FALSE)</f>
        <v>LTS</v>
      </c>
      <c r="F132" s="233" t="str">
        <f>VLOOKUP(Table8[[#This Row],[Document ID]],Table1[],8,FALSE)</f>
        <v>LTS 1.0</v>
      </c>
      <c r="G132" s="233" t="str">
        <f>VLOOKUP(Table8[[#This Row],[Document ID]],Table1[],10,FALSE)</f>
        <v>Active</v>
      </c>
      <c r="H132" s="43" t="s">
        <v>2343</v>
      </c>
      <c r="I132" s="43" t="s">
        <v>2429</v>
      </c>
      <c r="J132" s="44" t="s">
        <v>2472</v>
      </c>
      <c r="K132" s="44" t="s">
        <v>2512</v>
      </c>
      <c r="L132" s="44" t="s">
        <v>2471</v>
      </c>
      <c r="M132" s="43">
        <v>48</v>
      </c>
      <c r="N132" s="113" t="s">
        <v>1113</v>
      </c>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319" t="s">
        <v>1113</v>
      </c>
      <c r="AL132" s="113"/>
      <c r="AM132" s="113"/>
      <c r="AN132" s="113"/>
      <c r="AO132" s="44" t="s">
        <v>2334</v>
      </c>
      <c r="AP132" s="43"/>
      <c r="AQ132" s="236" t="str">
        <f>VLOOKUP(Table8[[#This Row],[Instrument]],Def_Targets!$D$73:$E$159,2,FALSE)</f>
        <v>I_Other</v>
      </c>
      <c r="AR132" s="233" t="str">
        <f>VLOOKUP(Table8[[#This Row],[Country Code]],Table29[],3,FALSE)</f>
        <v>Annex I</v>
      </c>
      <c r="AS132" s="233" t="str">
        <f>VLOOKUP(Table8[[#This Row],[Country Code]],Table29[],4,FALSE)</f>
        <v>Europe</v>
      </c>
      <c r="AT132" s="233" t="str">
        <f>VLOOKUP(Table8[[#This Row],[Country Code]],Table29[],5,FALSE)</f>
        <v>High-income</v>
      </c>
      <c r="AU132" s="233" t="str">
        <f>VLOOKUP(Table8[[#This Row],[Country Code]],Table29[],6,FALSE)</f>
        <v>no</v>
      </c>
      <c r="AV132" s="233" t="str">
        <f>VLOOKUP(Table8[[#This Row],[Country Code]],Table29[],7,FALSE)</f>
        <v>no</v>
      </c>
      <c r="AW132" s="233" t="str">
        <f>VLOOKUP(Table8[[#This Row],[Country Code]],Table29[],8,FALSE)</f>
        <v>OECD</v>
      </c>
      <c r="AX132" s="233" t="str">
        <f>VLOOKUP(Table8[[#This Row],[Country Code]],Table29[],9,FALSE)</f>
        <v>EU27</v>
      </c>
      <c r="AY132" s="233" t="str">
        <f>VLOOKUP(Table8[[#This Row],[Country Code]],Table29[],10,FALSE)</f>
        <v>no</v>
      </c>
      <c r="AZ132" s="235">
        <f>VLOOKUP(Table8[[#This Row],[Country Code]],Table29[],23,FALSE)</f>
        <v>72.921492529811999</v>
      </c>
      <c r="BA132" s="235">
        <f>VLOOKUP(Table8[[#This Row],[Country Code]],Table29[],24,FALSE)</f>
        <v>21.372731064834241</v>
      </c>
      <c r="BB132" s="320"/>
      <c r="BC132" s="320"/>
    </row>
    <row r="133" spans="1:55" ht="60" hidden="1" x14ac:dyDescent="0.25">
      <c r="A133" s="373">
        <v>24678</v>
      </c>
      <c r="B133" s="233" t="str">
        <f>VLOOKUP(Table8[[#This Row],[Document ID]],Table1[],2,FALSE)</f>
        <v>AUT</v>
      </c>
      <c r="C133" s="233" t="str">
        <f>VLOOKUP(Table8[[#This Row],[Document ID]],Table1[],3,FALSE)</f>
        <v>Austria</v>
      </c>
      <c r="D133" s="243" t="str">
        <f>VLOOKUP(Table8[[#This Row],[Document ID]],Table1[],5,FALSE)</f>
        <v>LTS</v>
      </c>
      <c r="E133" s="233" t="str">
        <f>VLOOKUP(Table8[[#This Row],[Document ID]],Table1[],7,FALSE)</f>
        <v>LTS</v>
      </c>
      <c r="F133" s="233" t="str">
        <f>VLOOKUP(Table8[[#This Row],[Document ID]],Table1[],8,FALSE)</f>
        <v>LTS 1.0</v>
      </c>
      <c r="G133" s="233" t="str">
        <f>VLOOKUP(Table8[[#This Row],[Document ID]],Table1[],10,FALSE)</f>
        <v>Active</v>
      </c>
      <c r="H133" s="43" t="s">
        <v>2343</v>
      </c>
      <c r="I133" s="43" t="s">
        <v>2361</v>
      </c>
      <c r="J133" s="44" t="s">
        <v>2463</v>
      </c>
      <c r="K133" s="44" t="s">
        <v>2512</v>
      </c>
      <c r="L133" s="44" t="s">
        <v>2347</v>
      </c>
      <c r="M133" s="43">
        <v>48</v>
      </c>
      <c r="N133" s="113"/>
      <c r="O133" s="113"/>
      <c r="P133" s="113"/>
      <c r="Q133" s="113" t="s">
        <v>1113</v>
      </c>
      <c r="R133" s="113"/>
      <c r="S133" s="113"/>
      <c r="T133" s="113"/>
      <c r="U133" s="113"/>
      <c r="V133" s="113"/>
      <c r="W133" s="113"/>
      <c r="X133" s="113"/>
      <c r="Y133" s="113"/>
      <c r="Z133" s="113"/>
      <c r="AA133" s="113"/>
      <c r="AB133" s="113"/>
      <c r="AC133" s="113"/>
      <c r="AD133" s="113"/>
      <c r="AE133" s="113"/>
      <c r="AF133" s="113"/>
      <c r="AG133" s="113"/>
      <c r="AH133" s="113"/>
      <c r="AI133" s="113"/>
      <c r="AJ133" s="113"/>
      <c r="AK133" s="319" t="s">
        <v>1113</v>
      </c>
      <c r="AL133" s="113"/>
      <c r="AM133" s="113"/>
      <c r="AN133" s="113"/>
      <c r="AO133" s="44" t="s">
        <v>2334</v>
      </c>
      <c r="AP133" s="43"/>
      <c r="AQ133" s="236" t="str">
        <f>VLOOKUP(Table8[[#This Row],[Instrument]],Def_Targets!$D$73:$E$159,2,FALSE)</f>
        <v>S_Walking</v>
      </c>
      <c r="AR133" s="233" t="str">
        <f>VLOOKUP(Table8[[#This Row],[Country Code]],Table29[],3,FALSE)</f>
        <v>Annex I</v>
      </c>
      <c r="AS133" s="233" t="str">
        <f>VLOOKUP(Table8[[#This Row],[Country Code]],Table29[],4,FALSE)</f>
        <v>Europe</v>
      </c>
      <c r="AT133" s="233" t="str">
        <f>VLOOKUP(Table8[[#This Row],[Country Code]],Table29[],5,FALSE)</f>
        <v>High-income</v>
      </c>
      <c r="AU133" s="233" t="str">
        <f>VLOOKUP(Table8[[#This Row],[Country Code]],Table29[],6,FALSE)</f>
        <v>no</v>
      </c>
      <c r="AV133" s="233" t="str">
        <f>VLOOKUP(Table8[[#This Row],[Country Code]],Table29[],7,FALSE)</f>
        <v>no</v>
      </c>
      <c r="AW133" s="233" t="str">
        <f>VLOOKUP(Table8[[#This Row],[Country Code]],Table29[],8,FALSE)</f>
        <v>OECD</v>
      </c>
      <c r="AX133" s="233" t="str">
        <f>VLOOKUP(Table8[[#This Row],[Country Code]],Table29[],9,FALSE)</f>
        <v>EU27</v>
      </c>
      <c r="AY133" s="233" t="str">
        <f>VLOOKUP(Table8[[#This Row],[Country Code]],Table29[],10,FALSE)</f>
        <v>no</v>
      </c>
      <c r="AZ133" s="235">
        <f>VLOOKUP(Table8[[#This Row],[Country Code]],Table29[],23,FALSE)</f>
        <v>72.921492529811999</v>
      </c>
      <c r="BA133" s="235">
        <f>VLOOKUP(Table8[[#This Row],[Country Code]],Table29[],24,FALSE)</f>
        <v>21.372731064834241</v>
      </c>
      <c r="BB133" s="320"/>
      <c r="BC133" s="320"/>
    </row>
    <row r="134" spans="1:55" ht="60" hidden="1" x14ac:dyDescent="0.25">
      <c r="A134" s="373">
        <v>24678</v>
      </c>
      <c r="B134" s="233" t="str">
        <f>VLOOKUP(Table8[[#This Row],[Document ID]],Table1[],2,FALSE)</f>
        <v>AUT</v>
      </c>
      <c r="C134" s="233" t="str">
        <f>VLOOKUP(Table8[[#This Row],[Document ID]],Table1[],3,FALSE)</f>
        <v>Austria</v>
      </c>
      <c r="D134" s="243" t="str">
        <f>VLOOKUP(Table8[[#This Row],[Document ID]],Table1[],5,FALSE)</f>
        <v>LTS</v>
      </c>
      <c r="E134" s="233" t="str">
        <f>VLOOKUP(Table8[[#This Row],[Document ID]],Table1[],7,FALSE)</f>
        <v>LTS</v>
      </c>
      <c r="F134" s="233" t="str">
        <f>VLOOKUP(Table8[[#This Row],[Document ID]],Table1[],8,FALSE)</f>
        <v>LTS 1.0</v>
      </c>
      <c r="G134" s="233" t="str">
        <f>VLOOKUP(Table8[[#This Row],[Document ID]],Table1[],10,FALSE)</f>
        <v>Active</v>
      </c>
      <c r="H134" s="43" t="s">
        <v>2343</v>
      </c>
      <c r="I134" s="43" t="s">
        <v>2361</v>
      </c>
      <c r="J134" s="44" t="s">
        <v>2362</v>
      </c>
      <c r="K134" s="44" t="s">
        <v>2512</v>
      </c>
      <c r="L134" s="44" t="s">
        <v>2347</v>
      </c>
      <c r="M134" s="43">
        <v>48</v>
      </c>
      <c r="N134" s="113"/>
      <c r="O134" s="113"/>
      <c r="P134" s="113"/>
      <c r="Q134" s="113"/>
      <c r="R134" s="113" t="s">
        <v>1113</v>
      </c>
      <c r="S134" s="113"/>
      <c r="T134" s="113"/>
      <c r="U134" s="113"/>
      <c r="V134" s="113"/>
      <c r="W134" s="113"/>
      <c r="X134" s="113"/>
      <c r="Y134" s="113"/>
      <c r="Z134" s="113"/>
      <c r="AA134" s="113"/>
      <c r="AB134" s="113"/>
      <c r="AC134" s="113"/>
      <c r="AD134" s="113"/>
      <c r="AE134" s="113"/>
      <c r="AF134" s="113"/>
      <c r="AG134" s="113"/>
      <c r="AH134" s="113"/>
      <c r="AI134" s="113"/>
      <c r="AJ134" s="113"/>
      <c r="AK134" s="319" t="s">
        <v>1113</v>
      </c>
      <c r="AL134" s="113"/>
      <c r="AM134" s="113"/>
      <c r="AN134" s="113"/>
      <c r="AO134" s="44" t="s">
        <v>2334</v>
      </c>
      <c r="AP134" s="43"/>
      <c r="AQ134" s="236" t="str">
        <f>VLOOKUP(Table8[[#This Row],[Instrument]],Def_Targets!$D$73:$E$159,2,FALSE)</f>
        <v>S_Cycling</v>
      </c>
      <c r="AR134" s="233" t="str">
        <f>VLOOKUP(Table8[[#This Row],[Country Code]],Table29[],3,FALSE)</f>
        <v>Annex I</v>
      </c>
      <c r="AS134" s="233" t="str">
        <f>VLOOKUP(Table8[[#This Row],[Country Code]],Table29[],4,FALSE)</f>
        <v>Europe</v>
      </c>
      <c r="AT134" s="233" t="str">
        <f>VLOOKUP(Table8[[#This Row],[Country Code]],Table29[],5,FALSE)</f>
        <v>High-income</v>
      </c>
      <c r="AU134" s="233" t="str">
        <f>VLOOKUP(Table8[[#This Row],[Country Code]],Table29[],6,FALSE)</f>
        <v>no</v>
      </c>
      <c r="AV134" s="233" t="str">
        <f>VLOOKUP(Table8[[#This Row],[Country Code]],Table29[],7,FALSE)</f>
        <v>no</v>
      </c>
      <c r="AW134" s="233" t="str">
        <f>VLOOKUP(Table8[[#This Row],[Country Code]],Table29[],8,FALSE)</f>
        <v>OECD</v>
      </c>
      <c r="AX134" s="233" t="str">
        <f>VLOOKUP(Table8[[#This Row],[Country Code]],Table29[],9,FALSE)</f>
        <v>EU27</v>
      </c>
      <c r="AY134" s="233" t="str">
        <f>VLOOKUP(Table8[[#This Row],[Country Code]],Table29[],10,FALSE)</f>
        <v>no</v>
      </c>
      <c r="AZ134" s="235">
        <f>VLOOKUP(Table8[[#This Row],[Country Code]],Table29[],23,FALSE)</f>
        <v>72.921492529811999</v>
      </c>
      <c r="BA134" s="235">
        <f>VLOOKUP(Table8[[#This Row],[Country Code]],Table29[],24,FALSE)</f>
        <v>21.372731064834241</v>
      </c>
      <c r="BB134" s="320"/>
      <c r="BC134" s="320"/>
    </row>
    <row r="135" spans="1:55" ht="60" hidden="1" x14ac:dyDescent="0.25">
      <c r="A135" s="373">
        <v>24678</v>
      </c>
      <c r="B135" s="233" t="str">
        <f>VLOOKUP(Table8[[#This Row],[Document ID]],Table1[],2,FALSE)</f>
        <v>AUT</v>
      </c>
      <c r="C135" s="233" t="str">
        <f>VLOOKUP(Table8[[#This Row],[Document ID]],Table1[],3,FALSE)</f>
        <v>Austria</v>
      </c>
      <c r="D135" s="243" t="str">
        <f>VLOOKUP(Table8[[#This Row],[Document ID]],Table1[],5,FALSE)</f>
        <v>LTS</v>
      </c>
      <c r="E135" s="233" t="str">
        <f>VLOOKUP(Table8[[#This Row],[Document ID]],Table1[],7,FALSE)</f>
        <v>LTS</v>
      </c>
      <c r="F135" s="233" t="str">
        <f>VLOOKUP(Table8[[#This Row],[Document ID]],Table1[],8,FALSE)</f>
        <v>LTS 1.0</v>
      </c>
      <c r="G135" s="233" t="str">
        <f>VLOOKUP(Table8[[#This Row],[Document ID]],Table1[],10,FALSE)</f>
        <v>Active</v>
      </c>
      <c r="H135" s="43" t="s">
        <v>2343</v>
      </c>
      <c r="I135" s="43" t="s">
        <v>2429</v>
      </c>
      <c r="J135" s="44" t="s">
        <v>2513</v>
      </c>
      <c r="K135" s="44" t="s">
        <v>2512</v>
      </c>
      <c r="L135" s="44" t="s">
        <v>2471</v>
      </c>
      <c r="M135" s="43">
        <v>48</v>
      </c>
      <c r="N135" s="113"/>
      <c r="O135" s="113"/>
      <c r="P135" s="113"/>
      <c r="Q135" s="113"/>
      <c r="R135" s="113"/>
      <c r="S135" s="113"/>
      <c r="T135" s="113"/>
      <c r="U135" s="113" t="s">
        <v>1113</v>
      </c>
      <c r="V135" s="113"/>
      <c r="W135" s="113"/>
      <c r="X135" s="113"/>
      <c r="Y135" s="113"/>
      <c r="Z135" s="113"/>
      <c r="AA135" s="113"/>
      <c r="AB135" s="113"/>
      <c r="AC135" s="113"/>
      <c r="AD135" s="113"/>
      <c r="AE135" s="113"/>
      <c r="AF135" s="113"/>
      <c r="AG135" s="113"/>
      <c r="AH135" s="113"/>
      <c r="AI135" s="113"/>
      <c r="AJ135" s="113"/>
      <c r="AK135" s="319" t="s">
        <v>1113</v>
      </c>
      <c r="AL135" s="113"/>
      <c r="AM135" s="113"/>
      <c r="AN135" s="113"/>
      <c r="AO135" s="44" t="s">
        <v>2334</v>
      </c>
      <c r="AP135" s="43"/>
      <c r="AQ135" s="236" t="str">
        <f>VLOOKUP(Table8[[#This Row],[Instrument]],Def_Targets!$D$73:$E$159,2,FALSE)</f>
        <v>S_Sharedmob</v>
      </c>
      <c r="AR135" s="233" t="str">
        <f>VLOOKUP(Table8[[#This Row],[Country Code]],Table29[],3,FALSE)</f>
        <v>Annex I</v>
      </c>
      <c r="AS135" s="233" t="str">
        <f>VLOOKUP(Table8[[#This Row],[Country Code]],Table29[],4,FALSE)</f>
        <v>Europe</v>
      </c>
      <c r="AT135" s="233" t="str">
        <f>VLOOKUP(Table8[[#This Row],[Country Code]],Table29[],5,FALSE)</f>
        <v>High-income</v>
      </c>
      <c r="AU135" s="233" t="str">
        <f>VLOOKUP(Table8[[#This Row],[Country Code]],Table29[],6,FALSE)</f>
        <v>no</v>
      </c>
      <c r="AV135" s="233" t="str">
        <f>VLOOKUP(Table8[[#This Row],[Country Code]],Table29[],7,FALSE)</f>
        <v>no</v>
      </c>
      <c r="AW135" s="233" t="str">
        <f>VLOOKUP(Table8[[#This Row],[Country Code]],Table29[],8,FALSE)</f>
        <v>OECD</v>
      </c>
      <c r="AX135" s="233" t="str">
        <f>VLOOKUP(Table8[[#This Row],[Country Code]],Table29[],9,FALSE)</f>
        <v>EU27</v>
      </c>
      <c r="AY135" s="233" t="str">
        <f>VLOOKUP(Table8[[#This Row],[Country Code]],Table29[],10,FALSE)</f>
        <v>no</v>
      </c>
      <c r="AZ135" s="235">
        <f>VLOOKUP(Table8[[#This Row],[Country Code]],Table29[],23,FALSE)</f>
        <v>72.921492529811999</v>
      </c>
      <c r="BA135" s="235">
        <f>VLOOKUP(Table8[[#This Row],[Country Code]],Table29[],24,FALSE)</f>
        <v>21.372731064834241</v>
      </c>
      <c r="BB135" s="320"/>
      <c r="BC135" s="320"/>
    </row>
    <row r="136" spans="1:55" ht="60" hidden="1" x14ac:dyDescent="0.25">
      <c r="A136" s="373">
        <v>24678</v>
      </c>
      <c r="B136" s="233" t="str">
        <f>VLOOKUP(Table8[[#This Row],[Document ID]],Table1[],2,FALSE)</f>
        <v>AUT</v>
      </c>
      <c r="C136" s="233" t="str">
        <f>VLOOKUP(Table8[[#This Row],[Document ID]],Table1[],3,FALSE)</f>
        <v>Austria</v>
      </c>
      <c r="D136" s="243" t="str">
        <f>VLOOKUP(Table8[[#This Row],[Document ID]],Table1[],5,FALSE)</f>
        <v>LTS</v>
      </c>
      <c r="E136" s="233" t="str">
        <f>VLOOKUP(Table8[[#This Row],[Document ID]],Table1[],7,FALSE)</f>
        <v>LTS</v>
      </c>
      <c r="F136" s="233" t="str">
        <f>VLOOKUP(Table8[[#This Row],[Document ID]],Table1[],8,FALSE)</f>
        <v>LTS 1.0</v>
      </c>
      <c r="G136" s="233" t="str">
        <f>VLOOKUP(Table8[[#This Row],[Document ID]],Table1[],10,FALSE)</f>
        <v>Active</v>
      </c>
      <c r="H136" s="43" t="s">
        <v>2343</v>
      </c>
      <c r="I136" s="43" t="s">
        <v>2361</v>
      </c>
      <c r="J136" s="44" t="s">
        <v>2362</v>
      </c>
      <c r="K136" s="44" t="s">
        <v>2514</v>
      </c>
      <c r="L136" s="44" t="s">
        <v>2347</v>
      </c>
      <c r="M136" s="43">
        <v>48</v>
      </c>
      <c r="N136" s="113"/>
      <c r="O136" s="113"/>
      <c r="P136" s="113"/>
      <c r="Q136" s="113"/>
      <c r="R136" s="113" t="s">
        <v>1113</v>
      </c>
      <c r="S136" s="113"/>
      <c r="T136" s="113"/>
      <c r="U136" s="113"/>
      <c r="V136" s="113"/>
      <c r="W136" s="113"/>
      <c r="X136" s="113"/>
      <c r="Y136" s="113"/>
      <c r="Z136" s="113"/>
      <c r="AA136" s="113"/>
      <c r="AB136" s="113"/>
      <c r="AC136" s="113"/>
      <c r="AD136" s="113"/>
      <c r="AE136" s="113"/>
      <c r="AF136" s="113"/>
      <c r="AG136" s="113"/>
      <c r="AH136" s="113"/>
      <c r="AI136" s="113"/>
      <c r="AJ136" s="113"/>
      <c r="AK136" s="113"/>
      <c r="AL136" s="113" t="s">
        <v>1113</v>
      </c>
      <c r="AM136" s="113"/>
      <c r="AN136" s="113"/>
      <c r="AO136" s="43" t="s">
        <v>2348</v>
      </c>
      <c r="AP136" s="43"/>
      <c r="AQ136" s="236" t="str">
        <f>VLOOKUP(Table8[[#This Row],[Instrument]],Def_Targets!$D$73:$E$159,2,FALSE)</f>
        <v>S_Cycling</v>
      </c>
      <c r="AR136" s="233" t="str">
        <f>VLOOKUP(Table8[[#This Row],[Country Code]],Table29[],3,FALSE)</f>
        <v>Annex I</v>
      </c>
      <c r="AS136" s="233" t="str">
        <f>VLOOKUP(Table8[[#This Row],[Country Code]],Table29[],4,FALSE)</f>
        <v>Europe</v>
      </c>
      <c r="AT136" s="233" t="str">
        <f>VLOOKUP(Table8[[#This Row],[Country Code]],Table29[],5,FALSE)</f>
        <v>High-income</v>
      </c>
      <c r="AU136" s="233" t="str">
        <f>VLOOKUP(Table8[[#This Row],[Country Code]],Table29[],6,FALSE)</f>
        <v>no</v>
      </c>
      <c r="AV136" s="233" t="str">
        <f>VLOOKUP(Table8[[#This Row],[Country Code]],Table29[],7,FALSE)</f>
        <v>no</v>
      </c>
      <c r="AW136" s="233" t="str">
        <f>VLOOKUP(Table8[[#This Row],[Country Code]],Table29[],8,FALSE)</f>
        <v>OECD</v>
      </c>
      <c r="AX136" s="233" t="str">
        <f>VLOOKUP(Table8[[#This Row],[Country Code]],Table29[],9,FALSE)</f>
        <v>EU27</v>
      </c>
      <c r="AY136" s="233" t="str">
        <f>VLOOKUP(Table8[[#This Row],[Country Code]],Table29[],10,FALSE)</f>
        <v>no</v>
      </c>
      <c r="AZ136" s="235">
        <f>VLOOKUP(Table8[[#This Row],[Country Code]],Table29[],23,FALSE)</f>
        <v>72.921492529811999</v>
      </c>
      <c r="BA136" s="235">
        <f>VLOOKUP(Table8[[#This Row],[Country Code]],Table29[],24,FALSE)</f>
        <v>21.372731064834241</v>
      </c>
      <c r="BB136" s="320"/>
      <c r="BC136" s="320"/>
    </row>
    <row r="137" spans="1:55" ht="60" hidden="1" x14ac:dyDescent="0.25">
      <c r="A137" s="373">
        <v>24678</v>
      </c>
      <c r="B137" s="233" t="str">
        <f>VLOOKUP(Table8[[#This Row],[Document ID]],Table1[],2,FALSE)</f>
        <v>AUT</v>
      </c>
      <c r="C137" s="233" t="str">
        <f>VLOOKUP(Table8[[#This Row],[Document ID]],Table1[],3,FALSE)</f>
        <v>Austria</v>
      </c>
      <c r="D137" s="243" t="str">
        <f>VLOOKUP(Table8[[#This Row],[Document ID]],Table1[],5,FALSE)</f>
        <v>LTS</v>
      </c>
      <c r="E137" s="233" t="str">
        <f>VLOOKUP(Table8[[#This Row],[Document ID]],Table1[],7,FALSE)</f>
        <v>LTS</v>
      </c>
      <c r="F137" s="233" t="str">
        <f>VLOOKUP(Table8[[#This Row],[Document ID]],Table1[],8,FALSE)</f>
        <v>LTS 1.0</v>
      </c>
      <c r="G137" s="233" t="str">
        <f>VLOOKUP(Table8[[#This Row],[Document ID]],Table1[],10,FALSE)</f>
        <v>Active</v>
      </c>
      <c r="H137" s="43" t="s">
        <v>2343</v>
      </c>
      <c r="I137" s="43" t="s">
        <v>2386</v>
      </c>
      <c r="J137" s="44" t="s">
        <v>2515</v>
      </c>
      <c r="K137" s="44" t="s">
        <v>2516</v>
      </c>
      <c r="L137" s="44" t="s">
        <v>2333</v>
      </c>
      <c r="M137" s="43">
        <v>48</v>
      </c>
      <c r="N137" s="113" t="s">
        <v>1113</v>
      </c>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319" t="s">
        <v>1113</v>
      </c>
      <c r="AL137" s="113"/>
      <c r="AM137" s="113"/>
      <c r="AN137" s="113"/>
      <c r="AO137" s="44" t="s">
        <v>2334</v>
      </c>
      <c r="AP137" s="43"/>
      <c r="AQ137" s="236" t="str">
        <f>VLOOKUP(Table8[[#This Row],[Instrument]],Def_Targets!$D$73:$E$159,2,FALSE)</f>
        <v>A_Fossilfuelsubs</v>
      </c>
      <c r="AR137" s="233" t="str">
        <f>VLOOKUP(Table8[[#This Row],[Country Code]],Table29[],3,FALSE)</f>
        <v>Annex I</v>
      </c>
      <c r="AS137" s="233" t="str">
        <f>VLOOKUP(Table8[[#This Row],[Country Code]],Table29[],4,FALSE)</f>
        <v>Europe</v>
      </c>
      <c r="AT137" s="233" t="str">
        <f>VLOOKUP(Table8[[#This Row],[Country Code]],Table29[],5,FALSE)</f>
        <v>High-income</v>
      </c>
      <c r="AU137" s="233" t="str">
        <f>VLOOKUP(Table8[[#This Row],[Country Code]],Table29[],6,FALSE)</f>
        <v>no</v>
      </c>
      <c r="AV137" s="233" t="str">
        <f>VLOOKUP(Table8[[#This Row],[Country Code]],Table29[],7,FALSE)</f>
        <v>no</v>
      </c>
      <c r="AW137" s="233" t="str">
        <f>VLOOKUP(Table8[[#This Row],[Country Code]],Table29[],8,FALSE)</f>
        <v>OECD</v>
      </c>
      <c r="AX137" s="233" t="str">
        <f>VLOOKUP(Table8[[#This Row],[Country Code]],Table29[],9,FALSE)</f>
        <v>EU27</v>
      </c>
      <c r="AY137" s="233" t="str">
        <f>VLOOKUP(Table8[[#This Row],[Country Code]],Table29[],10,FALSE)</f>
        <v>no</v>
      </c>
      <c r="AZ137" s="235">
        <f>VLOOKUP(Table8[[#This Row],[Country Code]],Table29[],23,FALSE)</f>
        <v>72.921492529811999</v>
      </c>
      <c r="BA137" s="235">
        <f>VLOOKUP(Table8[[#This Row],[Country Code]],Table29[],24,FALSE)</f>
        <v>21.372731064834241</v>
      </c>
      <c r="BB137" s="320"/>
      <c r="BC137" s="320"/>
    </row>
    <row r="138" spans="1:55" ht="60" hidden="1" x14ac:dyDescent="0.25">
      <c r="A138" s="373">
        <v>24678</v>
      </c>
      <c r="B138" s="233" t="str">
        <f>VLOOKUP(Table8[[#This Row],[Document ID]],Table1[],2,FALSE)</f>
        <v>AUT</v>
      </c>
      <c r="C138" s="233" t="str">
        <f>VLOOKUP(Table8[[#This Row],[Document ID]],Table1[],3,FALSE)</f>
        <v>Austria</v>
      </c>
      <c r="D138" s="243" t="str">
        <f>VLOOKUP(Table8[[#This Row],[Document ID]],Table1[],5,FALSE)</f>
        <v>LTS</v>
      </c>
      <c r="E138" s="233" t="str">
        <f>VLOOKUP(Table8[[#This Row],[Document ID]],Table1[],7,FALSE)</f>
        <v>LTS</v>
      </c>
      <c r="F138" s="233" t="str">
        <f>VLOOKUP(Table8[[#This Row],[Document ID]],Table1[],8,FALSE)</f>
        <v>LTS 1.0</v>
      </c>
      <c r="G138" s="233" t="str">
        <f>VLOOKUP(Table8[[#This Row],[Document ID]],Table1[],10,FALSE)</f>
        <v>Active</v>
      </c>
      <c r="H138" s="43" t="s">
        <v>2343</v>
      </c>
      <c r="I138" s="43" t="s">
        <v>2377</v>
      </c>
      <c r="J138" s="44" t="s">
        <v>2378</v>
      </c>
      <c r="K138" s="44" t="s">
        <v>2517</v>
      </c>
      <c r="L138" s="44" t="s">
        <v>2396</v>
      </c>
      <c r="M138" s="43">
        <v>49</v>
      </c>
      <c r="N138" s="113"/>
      <c r="O138" s="113"/>
      <c r="P138" s="113"/>
      <c r="Q138" s="113"/>
      <c r="R138" s="113" t="s">
        <v>1113</v>
      </c>
      <c r="S138" s="113"/>
      <c r="T138" s="113"/>
      <c r="U138" s="113"/>
      <c r="V138" s="113"/>
      <c r="W138" s="113"/>
      <c r="X138" s="113"/>
      <c r="Y138" s="113"/>
      <c r="Z138" s="113"/>
      <c r="AA138" s="113"/>
      <c r="AB138" s="113"/>
      <c r="AC138" s="113"/>
      <c r="AD138" s="113"/>
      <c r="AE138" s="113"/>
      <c r="AF138" s="113"/>
      <c r="AG138" s="113"/>
      <c r="AH138" s="113"/>
      <c r="AI138" s="113"/>
      <c r="AJ138" s="113"/>
      <c r="AK138" s="113"/>
      <c r="AL138" s="113" t="s">
        <v>1113</v>
      </c>
      <c r="AM138" s="113"/>
      <c r="AN138" s="113"/>
      <c r="AO138" s="43" t="s">
        <v>2348</v>
      </c>
      <c r="AP138" s="43"/>
      <c r="AQ138" s="236" t="str">
        <f>VLOOKUP(Table8[[#This Row],[Instrument]],Def_Targets!$D$73:$E$159,2,FALSE)</f>
        <v>A_Commute</v>
      </c>
      <c r="AR138" s="233" t="str">
        <f>VLOOKUP(Table8[[#This Row],[Country Code]],Table29[],3,FALSE)</f>
        <v>Annex I</v>
      </c>
      <c r="AS138" s="233" t="str">
        <f>VLOOKUP(Table8[[#This Row],[Country Code]],Table29[],4,FALSE)</f>
        <v>Europe</v>
      </c>
      <c r="AT138" s="233" t="str">
        <f>VLOOKUP(Table8[[#This Row],[Country Code]],Table29[],5,FALSE)</f>
        <v>High-income</v>
      </c>
      <c r="AU138" s="233" t="str">
        <f>VLOOKUP(Table8[[#This Row],[Country Code]],Table29[],6,FALSE)</f>
        <v>no</v>
      </c>
      <c r="AV138" s="233" t="str">
        <f>VLOOKUP(Table8[[#This Row],[Country Code]],Table29[],7,FALSE)</f>
        <v>no</v>
      </c>
      <c r="AW138" s="233" t="str">
        <f>VLOOKUP(Table8[[#This Row],[Country Code]],Table29[],8,FALSE)</f>
        <v>OECD</v>
      </c>
      <c r="AX138" s="233" t="str">
        <f>VLOOKUP(Table8[[#This Row],[Country Code]],Table29[],9,FALSE)</f>
        <v>EU27</v>
      </c>
      <c r="AY138" s="233" t="str">
        <f>VLOOKUP(Table8[[#This Row],[Country Code]],Table29[],10,FALSE)</f>
        <v>no</v>
      </c>
      <c r="AZ138" s="235">
        <f>VLOOKUP(Table8[[#This Row],[Country Code]],Table29[],23,FALSE)</f>
        <v>72.921492529811999</v>
      </c>
      <c r="BA138" s="235">
        <f>VLOOKUP(Table8[[#This Row],[Country Code]],Table29[],24,FALSE)</f>
        <v>21.372731064834241</v>
      </c>
      <c r="BB138" s="320"/>
      <c r="BC138" s="320"/>
    </row>
    <row r="139" spans="1:55" ht="75" hidden="1" x14ac:dyDescent="0.25">
      <c r="A139" s="373">
        <v>24678</v>
      </c>
      <c r="B139" s="233" t="str">
        <f>VLOOKUP(Table8[[#This Row],[Document ID]],Table1[],2,FALSE)</f>
        <v>AUT</v>
      </c>
      <c r="C139" s="233" t="str">
        <f>VLOOKUP(Table8[[#This Row],[Document ID]],Table1[],3,FALSE)</f>
        <v>Austria</v>
      </c>
      <c r="D139" s="243" t="str">
        <f>VLOOKUP(Table8[[#This Row],[Document ID]],Table1[],5,FALSE)</f>
        <v>LTS</v>
      </c>
      <c r="E139" s="233" t="str">
        <f>VLOOKUP(Table8[[#This Row],[Document ID]],Table1[],7,FALSE)</f>
        <v>LTS</v>
      </c>
      <c r="F139" s="233" t="str">
        <f>VLOOKUP(Table8[[#This Row],[Document ID]],Table1[],8,FALSE)</f>
        <v>LTS 1.0</v>
      </c>
      <c r="G139" s="233" t="str">
        <f>VLOOKUP(Table8[[#This Row],[Document ID]],Table1[],10,FALSE)</f>
        <v>Active</v>
      </c>
      <c r="H139" s="43" t="s">
        <v>2350</v>
      </c>
      <c r="I139" s="43" t="s">
        <v>2370</v>
      </c>
      <c r="J139" s="44" t="s">
        <v>2518</v>
      </c>
      <c r="K139" s="44" t="s">
        <v>2519</v>
      </c>
      <c r="L139" s="44" t="s">
        <v>2380</v>
      </c>
      <c r="M139" s="43">
        <v>49</v>
      </c>
      <c r="N139" s="113"/>
      <c r="O139" s="113"/>
      <c r="P139" s="113"/>
      <c r="Q139" s="113" t="s">
        <v>1113</v>
      </c>
      <c r="R139" s="113" t="s">
        <v>1113</v>
      </c>
      <c r="S139" s="113"/>
      <c r="T139" s="113"/>
      <c r="U139" s="113"/>
      <c r="V139" s="113"/>
      <c r="W139" s="113"/>
      <c r="X139" s="113"/>
      <c r="Y139" s="113"/>
      <c r="Z139" s="113"/>
      <c r="AA139" s="113"/>
      <c r="AB139" s="113"/>
      <c r="AC139" s="113"/>
      <c r="AD139" s="113"/>
      <c r="AE139" s="113"/>
      <c r="AF139" s="113"/>
      <c r="AG139" s="113"/>
      <c r="AH139" s="113"/>
      <c r="AI139" s="113"/>
      <c r="AJ139" s="113"/>
      <c r="AK139" s="113"/>
      <c r="AL139" s="113" t="s">
        <v>1113</v>
      </c>
      <c r="AM139" s="113"/>
      <c r="AN139" s="113"/>
      <c r="AO139" s="44" t="s">
        <v>2334</v>
      </c>
      <c r="AP139" s="43"/>
      <c r="AQ139" s="236" t="str">
        <f>VLOOKUP(Table8[[#This Row],[Instrument]],Def_Targets!$D$73:$E$159,2,FALSE)</f>
        <v>A_Mixuse</v>
      </c>
      <c r="AR139" s="233" t="str">
        <f>VLOOKUP(Table8[[#This Row],[Country Code]],Table29[],3,FALSE)</f>
        <v>Annex I</v>
      </c>
      <c r="AS139" s="233" t="str">
        <f>VLOOKUP(Table8[[#This Row],[Country Code]],Table29[],4,FALSE)</f>
        <v>Europe</v>
      </c>
      <c r="AT139" s="233" t="str">
        <f>VLOOKUP(Table8[[#This Row],[Country Code]],Table29[],5,FALSE)</f>
        <v>High-income</v>
      </c>
      <c r="AU139" s="233" t="str">
        <f>VLOOKUP(Table8[[#This Row],[Country Code]],Table29[],6,FALSE)</f>
        <v>no</v>
      </c>
      <c r="AV139" s="233" t="str">
        <f>VLOOKUP(Table8[[#This Row],[Country Code]],Table29[],7,FALSE)</f>
        <v>no</v>
      </c>
      <c r="AW139" s="233" t="str">
        <f>VLOOKUP(Table8[[#This Row],[Country Code]],Table29[],8,FALSE)</f>
        <v>OECD</v>
      </c>
      <c r="AX139" s="233" t="str">
        <f>VLOOKUP(Table8[[#This Row],[Country Code]],Table29[],9,FALSE)</f>
        <v>EU27</v>
      </c>
      <c r="AY139" s="233" t="str">
        <f>VLOOKUP(Table8[[#This Row],[Country Code]],Table29[],10,FALSE)</f>
        <v>no</v>
      </c>
      <c r="AZ139" s="235">
        <f>VLOOKUP(Table8[[#This Row],[Country Code]],Table29[],23,FALSE)</f>
        <v>72.921492529811999</v>
      </c>
      <c r="BA139" s="235">
        <f>VLOOKUP(Table8[[#This Row],[Country Code]],Table29[],24,FALSE)</f>
        <v>21.372731064834241</v>
      </c>
      <c r="BB139" s="320"/>
      <c r="BC139" s="320"/>
    </row>
    <row r="140" spans="1:55" ht="45" hidden="1" x14ac:dyDescent="0.25">
      <c r="A140" s="373">
        <v>24678</v>
      </c>
      <c r="B140" s="233" t="str">
        <f>VLOOKUP(Table8[[#This Row],[Document ID]],Table1[],2,FALSE)</f>
        <v>AUT</v>
      </c>
      <c r="C140" s="233" t="str">
        <f>VLOOKUP(Table8[[#This Row],[Document ID]],Table1[],3,FALSE)</f>
        <v>Austria</v>
      </c>
      <c r="D140" s="243" t="str">
        <f>VLOOKUP(Table8[[#This Row],[Document ID]],Table1[],5,FALSE)</f>
        <v>LTS</v>
      </c>
      <c r="E140" s="233" t="str">
        <f>VLOOKUP(Table8[[#This Row],[Document ID]],Table1[],7,FALSE)</f>
        <v>LTS</v>
      </c>
      <c r="F140" s="233" t="str">
        <f>VLOOKUP(Table8[[#This Row],[Document ID]],Table1[],8,FALSE)</f>
        <v>LTS 1.0</v>
      </c>
      <c r="G140" s="233" t="str">
        <f>VLOOKUP(Table8[[#This Row],[Document ID]],Table1[],10,FALSE)</f>
        <v>Active</v>
      </c>
      <c r="H140" s="43" t="s">
        <v>2350</v>
      </c>
      <c r="I140" s="43" t="s">
        <v>2370</v>
      </c>
      <c r="J140" s="44" t="s">
        <v>2418</v>
      </c>
      <c r="K140" s="44" t="s">
        <v>2520</v>
      </c>
      <c r="L140" s="44" t="s">
        <v>2380</v>
      </c>
      <c r="M140" s="43">
        <v>49</v>
      </c>
      <c r="N140" s="113"/>
      <c r="O140" s="113"/>
      <c r="P140" s="113"/>
      <c r="Q140" s="113"/>
      <c r="R140" s="113"/>
      <c r="S140" s="113"/>
      <c r="T140" s="113"/>
      <c r="U140" s="113" t="s">
        <v>1113</v>
      </c>
      <c r="V140" s="113"/>
      <c r="W140" s="113"/>
      <c r="X140" s="113"/>
      <c r="Y140" s="113"/>
      <c r="Z140" s="113"/>
      <c r="AA140" s="113"/>
      <c r="AB140" s="113"/>
      <c r="AC140" s="113"/>
      <c r="AD140" s="113"/>
      <c r="AE140" s="113"/>
      <c r="AF140" s="113"/>
      <c r="AG140" s="113"/>
      <c r="AH140" s="113"/>
      <c r="AI140" s="113"/>
      <c r="AJ140" s="113"/>
      <c r="AK140" s="113"/>
      <c r="AL140" s="113" t="s">
        <v>1113</v>
      </c>
      <c r="AM140" s="113"/>
      <c r="AN140" s="113"/>
      <c r="AO140" s="43" t="s">
        <v>2348</v>
      </c>
      <c r="AP140" s="43"/>
      <c r="AQ140" s="236" t="str">
        <f>VLOOKUP(Table8[[#This Row],[Instrument]],Def_Targets!$D$73:$E$159,2,FALSE)</f>
        <v>A_Complan</v>
      </c>
      <c r="AR140" s="233" t="str">
        <f>VLOOKUP(Table8[[#This Row],[Country Code]],Table29[],3,FALSE)</f>
        <v>Annex I</v>
      </c>
      <c r="AS140" s="233" t="str">
        <f>VLOOKUP(Table8[[#This Row],[Country Code]],Table29[],4,FALSE)</f>
        <v>Europe</v>
      </c>
      <c r="AT140" s="233" t="str">
        <f>VLOOKUP(Table8[[#This Row],[Country Code]],Table29[],5,FALSE)</f>
        <v>High-income</v>
      </c>
      <c r="AU140" s="233" t="str">
        <f>VLOOKUP(Table8[[#This Row],[Country Code]],Table29[],6,FALSE)</f>
        <v>no</v>
      </c>
      <c r="AV140" s="233" t="str">
        <f>VLOOKUP(Table8[[#This Row],[Country Code]],Table29[],7,FALSE)</f>
        <v>no</v>
      </c>
      <c r="AW140" s="233" t="str">
        <f>VLOOKUP(Table8[[#This Row],[Country Code]],Table29[],8,FALSE)</f>
        <v>OECD</v>
      </c>
      <c r="AX140" s="233" t="str">
        <f>VLOOKUP(Table8[[#This Row],[Country Code]],Table29[],9,FALSE)</f>
        <v>EU27</v>
      </c>
      <c r="AY140" s="233" t="str">
        <f>VLOOKUP(Table8[[#This Row],[Country Code]],Table29[],10,FALSE)</f>
        <v>no</v>
      </c>
      <c r="AZ140" s="235">
        <f>VLOOKUP(Table8[[#This Row],[Country Code]],Table29[],23,FALSE)</f>
        <v>72.921492529811999</v>
      </c>
      <c r="BA140" s="235">
        <f>VLOOKUP(Table8[[#This Row],[Country Code]],Table29[],24,FALSE)</f>
        <v>21.372731064834241</v>
      </c>
      <c r="BB140" s="320"/>
      <c r="BC140" s="320"/>
    </row>
    <row r="141" spans="1:55" ht="30" hidden="1" x14ac:dyDescent="0.25">
      <c r="A141" s="373">
        <v>24678</v>
      </c>
      <c r="B141" s="233" t="str">
        <f>VLOOKUP(Table8[[#This Row],[Document ID]],Table1[],2,FALSE)</f>
        <v>AUT</v>
      </c>
      <c r="C141" s="233" t="str">
        <f>VLOOKUP(Table8[[#This Row],[Document ID]],Table1[],3,FALSE)</f>
        <v>Austria</v>
      </c>
      <c r="D141" s="243" t="str">
        <f>VLOOKUP(Table8[[#This Row],[Document ID]],Table1[],5,FALSE)</f>
        <v>LTS</v>
      </c>
      <c r="E141" s="233" t="str">
        <f>VLOOKUP(Table8[[#This Row],[Document ID]],Table1[],7,FALSE)</f>
        <v>LTS</v>
      </c>
      <c r="F141" s="233" t="str">
        <f>VLOOKUP(Table8[[#This Row],[Document ID]],Table1[],8,FALSE)</f>
        <v>LTS 1.0</v>
      </c>
      <c r="G141" s="233" t="str">
        <f>VLOOKUP(Table8[[#This Row],[Document ID]],Table1[],10,FALSE)</f>
        <v>Active</v>
      </c>
      <c r="H141" s="43" t="s">
        <v>2343</v>
      </c>
      <c r="I141" s="43" t="s">
        <v>2377</v>
      </c>
      <c r="J141" s="44" t="s">
        <v>2521</v>
      </c>
      <c r="K141" s="44" t="s">
        <v>2522</v>
      </c>
      <c r="L141" s="44" t="s">
        <v>2380</v>
      </c>
      <c r="M141" s="43">
        <v>49</v>
      </c>
      <c r="N141" s="113"/>
      <c r="O141" s="113"/>
      <c r="P141" s="113"/>
      <c r="Q141" s="113" t="s">
        <v>1113</v>
      </c>
      <c r="R141" s="113" t="s">
        <v>1113</v>
      </c>
      <c r="S141" s="113"/>
      <c r="T141" s="113"/>
      <c r="U141" s="113" t="s">
        <v>1113</v>
      </c>
      <c r="V141" s="113"/>
      <c r="W141" s="113"/>
      <c r="X141" s="113"/>
      <c r="Y141" s="113"/>
      <c r="Z141" s="113"/>
      <c r="AA141" s="113"/>
      <c r="AB141" s="113"/>
      <c r="AC141" s="113"/>
      <c r="AD141" s="113"/>
      <c r="AE141" s="113"/>
      <c r="AF141" s="113"/>
      <c r="AG141" s="113"/>
      <c r="AH141" s="113"/>
      <c r="AI141" s="113"/>
      <c r="AJ141" s="113"/>
      <c r="AK141" s="113"/>
      <c r="AL141" s="113" t="s">
        <v>1113</v>
      </c>
      <c r="AM141" s="113"/>
      <c r="AN141" s="113"/>
      <c r="AO141" s="44" t="s">
        <v>2334</v>
      </c>
      <c r="AP141" s="43"/>
      <c r="AQ141" s="236" t="str">
        <f>VLOOKUP(Table8[[#This Row],[Instrument]],Def_Targets!$D$73:$E$159,2,FALSE)</f>
        <v>A_Caraccess</v>
      </c>
      <c r="AR141" s="233" t="str">
        <f>VLOOKUP(Table8[[#This Row],[Country Code]],Table29[],3,FALSE)</f>
        <v>Annex I</v>
      </c>
      <c r="AS141" s="233" t="str">
        <f>VLOOKUP(Table8[[#This Row],[Country Code]],Table29[],4,FALSE)</f>
        <v>Europe</v>
      </c>
      <c r="AT141" s="233" t="str">
        <f>VLOOKUP(Table8[[#This Row],[Country Code]],Table29[],5,FALSE)</f>
        <v>High-income</v>
      </c>
      <c r="AU141" s="233" t="str">
        <f>VLOOKUP(Table8[[#This Row],[Country Code]],Table29[],6,FALSE)</f>
        <v>no</v>
      </c>
      <c r="AV141" s="233" t="str">
        <f>VLOOKUP(Table8[[#This Row],[Country Code]],Table29[],7,FALSE)</f>
        <v>no</v>
      </c>
      <c r="AW141" s="233" t="str">
        <f>VLOOKUP(Table8[[#This Row],[Country Code]],Table29[],8,FALSE)</f>
        <v>OECD</v>
      </c>
      <c r="AX141" s="233" t="str">
        <f>VLOOKUP(Table8[[#This Row],[Country Code]],Table29[],9,FALSE)</f>
        <v>EU27</v>
      </c>
      <c r="AY141" s="233" t="str">
        <f>VLOOKUP(Table8[[#This Row],[Country Code]],Table29[],10,FALSE)</f>
        <v>no</v>
      </c>
      <c r="AZ141" s="235">
        <f>VLOOKUP(Table8[[#This Row],[Country Code]],Table29[],23,FALSE)</f>
        <v>72.921492529811999</v>
      </c>
      <c r="BA141" s="235">
        <f>VLOOKUP(Table8[[#This Row],[Country Code]],Table29[],24,FALSE)</f>
        <v>21.372731064834241</v>
      </c>
      <c r="BB141" s="320"/>
      <c r="BC141" s="320"/>
    </row>
    <row r="142" spans="1:55" ht="45" hidden="1" x14ac:dyDescent="0.25">
      <c r="A142" s="373">
        <v>24678</v>
      </c>
      <c r="B142" s="233" t="str">
        <f>VLOOKUP(Table8[[#This Row],[Document ID]],Table1[],2,FALSE)</f>
        <v>AUT</v>
      </c>
      <c r="C142" s="233" t="str">
        <f>VLOOKUP(Table8[[#This Row],[Document ID]],Table1[],3,FALSE)</f>
        <v>Austria</v>
      </c>
      <c r="D142" s="243" t="str">
        <f>VLOOKUP(Table8[[#This Row],[Document ID]],Table1[],5,FALSE)</f>
        <v>LTS</v>
      </c>
      <c r="E142" s="233" t="str">
        <f>VLOOKUP(Table8[[#This Row],[Document ID]],Table1[],7,FALSE)</f>
        <v>LTS</v>
      </c>
      <c r="F142" s="233" t="str">
        <f>VLOOKUP(Table8[[#This Row],[Document ID]],Table1[],8,FALSE)</f>
        <v>LTS 1.0</v>
      </c>
      <c r="G142" s="233" t="str">
        <f>VLOOKUP(Table8[[#This Row],[Document ID]],Table1[],10,FALSE)</f>
        <v>Active</v>
      </c>
      <c r="H142" s="43" t="s">
        <v>2350</v>
      </c>
      <c r="I142" s="43" t="s">
        <v>2407</v>
      </c>
      <c r="J142" s="44" t="s">
        <v>2408</v>
      </c>
      <c r="K142" s="44" t="s">
        <v>2523</v>
      </c>
      <c r="L142" s="44" t="s">
        <v>2347</v>
      </c>
      <c r="M142" s="43">
        <v>49</v>
      </c>
      <c r="N142" s="113"/>
      <c r="O142" s="113"/>
      <c r="P142" s="113"/>
      <c r="Q142" s="113"/>
      <c r="R142" s="113"/>
      <c r="S142" s="113"/>
      <c r="T142" s="113"/>
      <c r="U142" s="113"/>
      <c r="V142" s="113"/>
      <c r="W142" s="113"/>
      <c r="X142" s="113"/>
      <c r="Y142" s="113" t="s">
        <v>1113</v>
      </c>
      <c r="Z142" s="113"/>
      <c r="AA142" s="113"/>
      <c r="AB142" s="113"/>
      <c r="AC142" s="113" t="s">
        <v>1113</v>
      </c>
      <c r="AD142" s="113"/>
      <c r="AE142" s="113"/>
      <c r="AF142" s="113"/>
      <c r="AG142" s="113"/>
      <c r="AH142" s="113"/>
      <c r="AI142" s="113"/>
      <c r="AJ142" s="113"/>
      <c r="AK142" s="319" t="s">
        <v>1113</v>
      </c>
      <c r="AL142" s="113"/>
      <c r="AM142" s="113"/>
      <c r="AN142" s="113"/>
      <c r="AO142" s="44" t="s">
        <v>2334</v>
      </c>
      <c r="AP142" s="43"/>
      <c r="AQ142" s="236" t="str">
        <f>VLOOKUP(Table8[[#This Row],[Instrument]],Def_Targets!$D$73:$E$159,2,FALSE)</f>
        <v>I_Education</v>
      </c>
      <c r="AR142" s="233" t="str">
        <f>VLOOKUP(Table8[[#This Row],[Country Code]],Table29[],3,FALSE)</f>
        <v>Annex I</v>
      </c>
      <c r="AS142" s="233" t="str">
        <f>VLOOKUP(Table8[[#This Row],[Country Code]],Table29[],4,FALSE)</f>
        <v>Europe</v>
      </c>
      <c r="AT142" s="233" t="str">
        <f>VLOOKUP(Table8[[#This Row],[Country Code]],Table29[],5,FALSE)</f>
        <v>High-income</v>
      </c>
      <c r="AU142" s="233" t="str">
        <f>VLOOKUP(Table8[[#This Row],[Country Code]],Table29[],6,FALSE)</f>
        <v>no</v>
      </c>
      <c r="AV142" s="233" t="str">
        <f>VLOOKUP(Table8[[#This Row],[Country Code]],Table29[],7,FALSE)</f>
        <v>no</v>
      </c>
      <c r="AW142" s="233" t="str">
        <f>VLOOKUP(Table8[[#This Row],[Country Code]],Table29[],8,FALSE)</f>
        <v>OECD</v>
      </c>
      <c r="AX142" s="233" t="str">
        <f>VLOOKUP(Table8[[#This Row],[Country Code]],Table29[],9,FALSE)</f>
        <v>EU27</v>
      </c>
      <c r="AY142" s="233" t="str">
        <f>VLOOKUP(Table8[[#This Row],[Country Code]],Table29[],10,FALSE)</f>
        <v>no</v>
      </c>
      <c r="AZ142" s="235">
        <f>VLOOKUP(Table8[[#This Row],[Country Code]],Table29[],23,FALSE)</f>
        <v>72.921492529811999</v>
      </c>
      <c r="BA142" s="235">
        <f>VLOOKUP(Table8[[#This Row],[Country Code]],Table29[],24,FALSE)</f>
        <v>21.372731064834241</v>
      </c>
      <c r="BB142" s="320"/>
      <c r="BC142" s="320"/>
    </row>
    <row r="143" spans="1:55" ht="45" hidden="1" x14ac:dyDescent="0.25">
      <c r="A143" s="373">
        <v>24678</v>
      </c>
      <c r="B143" s="233" t="str">
        <f>VLOOKUP(Table8[[#This Row],[Document ID]],Table1[],2,FALSE)</f>
        <v>AUT</v>
      </c>
      <c r="C143" s="233" t="str">
        <f>VLOOKUP(Table8[[#This Row],[Document ID]],Table1[],3,FALSE)</f>
        <v>Austria</v>
      </c>
      <c r="D143" s="243" t="str">
        <f>VLOOKUP(Table8[[#This Row],[Document ID]],Table1[],5,FALSE)</f>
        <v>LTS</v>
      </c>
      <c r="E143" s="233" t="str">
        <f>VLOOKUP(Table8[[#This Row],[Document ID]],Table1[],7,FALSE)</f>
        <v>LTS</v>
      </c>
      <c r="F143" s="233" t="str">
        <f>VLOOKUP(Table8[[#This Row],[Document ID]],Table1[],8,FALSE)</f>
        <v>LTS 1.0</v>
      </c>
      <c r="G143" s="233" t="str">
        <f>VLOOKUP(Table8[[#This Row],[Document ID]],Table1[],10,FALSE)</f>
        <v>Active</v>
      </c>
      <c r="H143" s="43" t="s">
        <v>2343</v>
      </c>
      <c r="I143" s="43" t="s">
        <v>2344</v>
      </c>
      <c r="J143" s="44" t="s">
        <v>2345</v>
      </c>
      <c r="K143" s="44" t="s">
        <v>2523</v>
      </c>
      <c r="L143" s="44" t="s">
        <v>2347</v>
      </c>
      <c r="M143" s="43">
        <v>49</v>
      </c>
      <c r="N143" s="113" t="s">
        <v>1113</v>
      </c>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319" t="s">
        <v>1113</v>
      </c>
      <c r="AL143" s="113"/>
      <c r="AM143" s="113"/>
      <c r="AN143" s="113"/>
      <c r="AO143" s="43" t="s">
        <v>2348</v>
      </c>
      <c r="AP143" s="43"/>
      <c r="AQ143" s="236" t="str">
        <f>VLOOKUP(Table8[[#This Row],[Instrument]],Def_Targets!$D$73:$E$159,2,FALSE)</f>
        <v>S_PublicTransport</v>
      </c>
      <c r="AR143" s="233" t="str">
        <f>VLOOKUP(Table8[[#This Row],[Country Code]],Table29[],3,FALSE)</f>
        <v>Annex I</v>
      </c>
      <c r="AS143" s="233" t="str">
        <f>VLOOKUP(Table8[[#This Row],[Country Code]],Table29[],4,FALSE)</f>
        <v>Europe</v>
      </c>
      <c r="AT143" s="233" t="str">
        <f>VLOOKUP(Table8[[#This Row],[Country Code]],Table29[],5,FALSE)</f>
        <v>High-income</v>
      </c>
      <c r="AU143" s="233" t="str">
        <f>VLOOKUP(Table8[[#This Row],[Country Code]],Table29[],6,FALSE)</f>
        <v>no</v>
      </c>
      <c r="AV143" s="233" t="str">
        <f>VLOOKUP(Table8[[#This Row],[Country Code]],Table29[],7,FALSE)</f>
        <v>no</v>
      </c>
      <c r="AW143" s="233" t="str">
        <f>VLOOKUP(Table8[[#This Row],[Country Code]],Table29[],8,FALSE)</f>
        <v>OECD</v>
      </c>
      <c r="AX143" s="233" t="str">
        <f>VLOOKUP(Table8[[#This Row],[Country Code]],Table29[],9,FALSE)</f>
        <v>EU27</v>
      </c>
      <c r="AY143" s="233" t="str">
        <f>VLOOKUP(Table8[[#This Row],[Country Code]],Table29[],10,FALSE)</f>
        <v>no</v>
      </c>
      <c r="AZ143" s="235">
        <f>VLOOKUP(Table8[[#This Row],[Country Code]],Table29[],23,FALSE)</f>
        <v>72.921492529811999</v>
      </c>
      <c r="BA143" s="235">
        <f>VLOOKUP(Table8[[#This Row],[Country Code]],Table29[],24,FALSE)</f>
        <v>21.372731064834241</v>
      </c>
      <c r="BB143" s="320"/>
      <c r="BC143" s="320"/>
    </row>
    <row r="144" spans="1:55" ht="45" hidden="1" x14ac:dyDescent="0.25">
      <c r="A144" s="373">
        <v>24678</v>
      </c>
      <c r="B144" s="233" t="str">
        <f>VLOOKUP(Table8[[#This Row],[Document ID]],Table1[],2,FALSE)</f>
        <v>AUT</v>
      </c>
      <c r="C144" s="233" t="str">
        <f>VLOOKUP(Table8[[#This Row],[Document ID]],Table1[],3,FALSE)</f>
        <v>Austria</v>
      </c>
      <c r="D144" s="243" t="str">
        <f>VLOOKUP(Table8[[#This Row],[Document ID]],Table1[],5,FALSE)</f>
        <v>LTS</v>
      </c>
      <c r="E144" s="233" t="str">
        <f>VLOOKUP(Table8[[#This Row],[Document ID]],Table1[],7,FALSE)</f>
        <v>LTS</v>
      </c>
      <c r="F144" s="233" t="str">
        <f>VLOOKUP(Table8[[#This Row],[Document ID]],Table1[],8,FALSE)</f>
        <v>LTS 1.0</v>
      </c>
      <c r="G144" s="233" t="str">
        <f>VLOOKUP(Table8[[#This Row],[Document ID]],Table1[],10,FALSE)</f>
        <v>Active</v>
      </c>
      <c r="H144" s="43" t="s">
        <v>2343</v>
      </c>
      <c r="I144" s="43" t="s">
        <v>2361</v>
      </c>
      <c r="J144" s="44" t="s">
        <v>2366</v>
      </c>
      <c r="K144" s="44" t="s">
        <v>2523</v>
      </c>
      <c r="L144" s="44" t="s">
        <v>2347</v>
      </c>
      <c r="M144" s="43">
        <v>49</v>
      </c>
      <c r="N144" s="113"/>
      <c r="O144" s="113"/>
      <c r="P144" s="113" t="s">
        <v>1113</v>
      </c>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319" t="s">
        <v>1113</v>
      </c>
      <c r="AL144" s="113"/>
      <c r="AM144" s="113"/>
      <c r="AN144" s="113"/>
      <c r="AO144" s="44" t="s">
        <v>2334</v>
      </c>
      <c r="AP144" s="43"/>
      <c r="AQ144" s="236" t="str">
        <f>VLOOKUP(Table8[[#This Row],[Instrument]],Def_Targets!$D$73:$E$159,2,FALSE)</f>
        <v>S_Activemobility</v>
      </c>
      <c r="AR144" s="233" t="str">
        <f>VLOOKUP(Table8[[#This Row],[Country Code]],Table29[],3,FALSE)</f>
        <v>Annex I</v>
      </c>
      <c r="AS144" s="233" t="str">
        <f>VLOOKUP(Table8[[#This Row],[Country Code]],Table29[],4,FALSE)</f>
        <v>Europe</v>
      </c>
      <c r="AT144" s="233" t="str">
        <f>VLOOKUP(Table8[[#This Row],[Country Code]],Table29[],5,FALSE)</f>
        <v>High-income</v>
      </c>
      <c r="AU144" s="233" t="str">
        <f>VLOOKUP(Table8[[#This Row],[Country Code]],Table29[],6,FALSE)</f>
        <v>no</v>
      </c>
      <c r="AV144" s="233" t="str">
        <f>VLOOKUP(Table8[[#This Row],[Country Code]],Table29[],7,FALSE)</f>
        <v>no</v>
      </c>
      <c r="AW144" s="233" t="str">
        <f>VLOOKUP(Table8[[#This Row],[Country Code]],Table29[],8,FALSE)</f>
        <v>OECD</v>
      </c>
      <c r="AX144" s="233" t="str">
        <f>VLOOKUP(Table8[[#This Row],[Country Code]],Table29[],9,FALSE)</f>
        <v>EU27</v>
      </c>
      <c r="AY144" s="233" t="str">
        <f>VLOOKUP(Table8[[#This Row],[Country Code]],Table29[],10,FALSE)</f>
        <v>no</v>
      </c>
      <c r="AZ144" s="235">
        <f>VLOOKUP(Table8[[#This Row],[Country Code]],Table29[],23,FALSE)</f>
        <v>72.921492529811999</v>
      </c>
      <c r="BA144" s="235">
        <f>VLOOKUP(Table8[[#This Row],[Country Code]],Table29[],24,FALSE)</f>
        <v>21.372731064834241</v>
      </c>
      <c r="BB144" s="320"/>
      <c r="BC144" s="320"/>
    </row>
    <row r="145" spans="1:55" hidden="1" x14ac:dyDescent="0.25">
      <c r="A145" s="373">
        <v>17521</v>
      </c>
      <c r="B145" s="233" t="str">
        <f>VLOOKUP(Table8[[#This Row],[Document ID]],Table1[],2,FALSE)</f>
        <v>AZE</v>
      </c>
      <c r="C145" s="233" t="str">
        <f>VLOOKUP(Table8[[#This Row],[Document ID]],Table1[],3,FALSE)</f>
        <v>Azerbaijan</v>
      </c>
      <c r="D145" s="243" t="str">
        <f>VLOOKUP(Table8[[#This Row],[Document ID]],Table1[],5,FALSE)</f>
        <v>NDC</v>
      </c>
      <c r="E145" s="233" t="str">
        <f>VLOOKUP(Table8[[#This Row],[Document ID]],Table1[],7,FALSE)</f>
        <v>First NDC</v>
      </c>
      <c r="F145" s="236" t="str">
        <f>VLOOKUP(Table8[[#This Row],[Document ID]],Table1[],8,FALSE)</f>
        <v>NDC 1.0</v>
      </c>
      <c r="G145" s="236" t="str">
        <f>VLOOKUP(Table8[[#This Row],[Document ID]],Table1[],10,FALSE)</f>
        <v>Archived</v>
      </c>
      <c r="H145" s="43" t="s">
        <v>2358</v>
      </c>
      <c r="I145" s="43" t="s">
        <v>2359</v>
      </c>
      <c r="J145" s="44" t="s">
        <v>2360</v>
      </c>
      <c r="K145" s="44" t="s">
        <v>2524</v>
      </c>
      <c r="L145" s="44" t="s">
        <v>2333</v>
      </c>
      <c r="M145" s="43"/>
      <c r="N145" s="113"/>
      <c r="O145" s="113"/>
      <c r="P145" s="113"/>
      <c r="Q145" s="319"/>
      <c r="R145" s="319"/>
      <c r="S145" s="319"/>
      <c r="T145" s="319"/>
      <c r="U145" s="319"/>
      <c r="V145" s="319"/>
      <c r="W145" s="319"/>
      <c r="X145" s="319"/>
      <c r="Y145" s="113" t="s">
        <v>1113</v>
      </c>
      <c r="Z145" s="113"/>
      <c r="AA145" s="113"/>
      <c r="AB145" s="113"/>
      <c r="AC145" s="113" t="s">
        <v>1113</v>
      </c>
      <c r="AD145" s="319"/>
      <c r="AE145" s="319"/>
      <c r="AF145" s="319"/>
      <c r="AG145" s="319"/>
      <c r="AH145" s="319"/>
      <c r="AI145" s="319"/>
      <c r="AJ145" s="319"/>
      <c r="AK145" s="319" t="s">
        <v>1113</v>
      </c>
      <c r="AL145" s="319"/>
      <c r="AM145" s="319"/>
      <c r="AN145" s="319"/>
      <c r="AO145" s="43" t="s">
        <v>2348</v>
      </c>
      <c r="AP145" s="44"/>
      <c r="AQ145" s="236" t="str">
        <f>VLOOKUP(Table8[[#This Row],[Instrument]],Def_Targets!$D$73:$E$159,2,FALSE)</f>
        <v>I_Emobility</v>
      </c>
      <c r="AR145" s="233" t="str">
        <f>VLOOKUP(Table8[[#This Row],[Country Code]],Table29[],3,FALSE)</f>
        <v>Non-Annex I</v>
      </c>
      <c r="AS145" s="233" t="str">
        <f>VLOOKUP(Table8[[#This Row],[Country Code]],Table29[],4,FALSE)</f>
        <v>Asia</v>
      </c>
      <c r="AT145" s="233" t="str">
        <f>VLOOKUP(Table8[[#This Row],[Country Code]],Table29[],5,FALSE)</f>
        <v>Middle-income</v>
      </c>
      <c r="AU145" s="233" t="str">
        <f>VLOOKUP(Table8[[#This Row],[Country Code]],Table29[],6,FALSE)</f>
        <v>no</v>
      </c>
      <c r="AV145" s="233" t="str">
        <f>VLOOKUP(Table8[[#This Row],[Country Code]],Table29[],7,FALSE)</f>
        <v>no</v>
      </c>
      <c r="AW145" s="233" t="str">
        <f>VLOOKUP(Table8[[#This Row],[Country Code]],Table29[],8,FALSE)</f>
        <v>non-OECD</v>
      </c>
      <c r="AX145" s="233" t="str">
        <f>VLOOKUP(Table8[[#This Row],[Country Code]],Table29[],9,FALSE)</f>
        <v>no</v>
      </c>
      <c r="AY145" s="233" t="str">
        <f>VLOOKUP(Table8[[#This Row],[Country Code]],Table29[],10,FALSE)</f>
        <v>no</v>
      </c>
      <c r="AZ145" s="235">
        <f>VLOOKUP(Table8[[#This Row],[Country Code]],Table29[],23,FALSE)</f>
        <v>62.550294041306003</v>
      </c>
      <c r="BA145" s="235">
        <f>VLOOKUP(Table8[[#This Row],[Country Code]],Table29[],24,FALSE)</f>
        <v>8.4493328883147889</v>
      </c>
      <c r="BB145" s="320"/>
      <c r="BC145" s="320"/>
    </row>
    <row r="146" spans="1:55" hidden="1" x14ac:dyDescent="0.25">
      <c r="A146" s="373">
        <v>17521</v>
      </c>
      <c r="B146" s="233" t="str">
        <f>VLOOKUP(Table8[[#This Row],[Document ID]],Table1[],2,FALSE)</f>
        <v>AZE</v>
      </c>
      <c r="C146" s="233" t="str">
        <f>VLOOKUP(Table8[[#This Row],[Document ID]],Table1[],3,FALSE)</f>
        <v>Azerbaijan</v>
      </c>
      <c r="D146" s="243" t="str">
        <f>VLOOKUP(Table8[[#This Row],[Document ID]],Table1[],5,FALSE)</f>
        <v>NDC</v>
      </c>
      <c r="E146" s="233" t="str">
        <f>VLOOKUP(Table8[[#This Row],[Document ID]],Table1[],7,FALSE)</f>
        <v>First NDC</v>
      </c>
      <c r="F146" s="236" t="str">
        <f>VLOOKUP(Table8[[#This Row],[Document ID]],Table1[],8,FALSE)</f>
        <v>NDC 1.0</v>
      </c>
      <c r="G146" s="236" t="str">
        <f>VLOOKUP(Table8[[#This Row],[Document ID]],Table1[],10,FALSE)</f>
        <v>Archived</v>
      </c>
      <c r="H146" s="43" t="s">
        <v>2358</v>
      </c>
      <c r="I146" s="43" t="s">
        <v>2359</v>
      </c>
      <c r="J146" s="44" t="s">
        <v>2360</v>
      </c>
      <c r="K146" s="44" t="s">
        <v>2525</v>
      </c>
      <c r="L146" s="44" t="s">
        <v>2333</v>
      </c>
      <c r="M146" s="43"/>
      <c r="N146" s="113"/>
      <c r="O146" s="113"/>
      <c r="P146" s="113"/>
      <c r="Q146" s="319"/>
      <c r="R146" s="319"/>
      <c r="S146" s="319"/>
      <c r="T146" s="319"/>
      <c r="U146" s="319"/>
      <c r="V146" s="319"/>
      <c r="W146" s="319"/>
      <c r="X146" s="319"/>
      <c r="Y146" s="319"/>
      <c r="Z146" s="113" t="s">
        <v>1113</v>
      </c>
      <c r="AA146" s="319"/>
      <c r="AB146" s="319"/>
      <c r="AC146" s="319"/>
      <c r="AD146" s="319"/>
      <c r="AE146" s="319"/>
      <c r="AF146" s="319"/>
      <c r="AG146" s="319"/>
      <c r="AH146" s="319"/>
      <c r="AI146" s="319"/>
      <c r="AJ146" s="319"/>
      <c r="AK146" s="319" t="s">
        <v>1113</v>
      </c>
      <c r="AL146" s="319"/>
      <c r="AM146" s="319"/>
      <c r="AN146" s="319"/>
      <c r="AO146" s="44" t="s">
        <v>2334</v>
      </c>
      <c r="AP146" s="44"/>
      <c r="AQ146" s="236" t="str">
        <f>VLOOKUP(Table8[[#This Row],[Instrument]],Def_Targets!$D$73:$E$159,2,FALSE)</f>
        <v>I_Emobility</v>
      </c>
      <c r="AR146" s="233" t="str">
        <f>VLOOKUP(Table8[[#This Row],[Country Code]],Table29[],3,FALSE)</f>
        <v>Non-Annex I</v>
      </c>
      <c r="AS146" s="233" t="str">
        <f>VLOOKUP(Table8[[#This Row],[Country Code]],Table29[],4,FALSE)</f>
        <v>Asia</v>
      </c>
      <c r="AT146" s="233" t="str">
        <f>VLOOKUP(Table8[[#This Row],[Country Code]],Table29[],5,FALSE)</f>
        <v>Middle-income</v>
      </c>
      <c r="AU146" s="233" t="str">
        <f>VLOOKUP(Table8[[#This Row],[Country Code]],Table29[],6,FALSE)</f>
        <v>no</v>
      </c>
      <c r="AV146" s="233" t="str">
        <f>VLOOKUP(Table8[[#This Row],[Country Code]],Table29[],7,FALSE)</f>
        <v>no</v>
      </c>
      <c r="AW146" s="233" t="str">
        <f>VLOOKUP(Table8[[#This Row],[Country Code]],Table29[],8,FALSE)</f>
        <v>non-OECD</v>
      </c>
      <c r="AX146" s="233" t="str">
        <f>VLOOKUP(Table8[[#This Row],[Country Code]],Table29[],9,FALSE)</f>
        <v>no</v>
      </c>
      <c r="AY146" s="233" t="str">
        <f>VLOOKUP(Table8[[#This Row],[Country Code]],Table29[],10,FALSE)</f>
        <v>no</v>
      </c>
      <c r="AZ146" s="235">
        <f>VLOOKUP(Table8[[#This Row],[Country Code]],Table29[],23,FALSE)</f>
        <v>62.550294041306003</v>
      </c>
      <c r="BA146" s="235">
        <f>VLOOKUP(Table8[[#This Row],[Country Code]],Table29[],24,FALSE)</f>
        <v>8.4493328883147889</v>
      </c>
      <c r="BB146" s="320"/>
      <c r="BC146" s="320"/>
    </row>
    <row r="147" spans="1:55" hidden="1" x14ac:dyDescent="0.25">
      <c r="A147" s="373">
        <v>17521</v>
      </c>
      <c r="B147" s="233" t="str">
        <f>VLOOKUP(Table8[[#This Row],[Document ID]],Table1[],2,FALSE)</f>
        <v>AZE</v>
      </c>
      <c r="C147" s="233" t="str">
        <f>VLOOKUP(Table8[[#This Row],[Document ID]],Table1[],3,FALSE)</f>
        <v>Azerbaijan</v>
      </c>
      <c r="D147" s="243" t="str">
        <f>VLOOKUP(Table8[[#This Row],[Document ID]],Table1[],5,FALSE)</f>
        <v>NDC</v>
      </c>
      <c r="E147" s="233" t="str">
        <f>VLOOKUP(Table8[[#This Row],[Document ID]],Table1[],7,FALSE)</f>
        <v>First NDC</v>
      </c>
      <c r="F147" s="236" t="str">
        <f>VLOOKUP(Table8[[#This Row],[Document ID]],Table1[],8,FALSE)</f>
        <v>NDC 1.0</v>
      </c>
      <c r="G147" s="236" t="str">
        <f>VLOOKUP(Table8[[#This Row],[Document ID]],Table1[],10,FALSE)</f>
        <v>Archived</v>
      </c>
      <c r="H147" s="43" t="s">
        <v>2343</v>
      </c>
      <c r="I147" s="43" t="s">
        <v>2344</v>
      </c>
      <c r="J147" s="44" t="s">
        <v>2405</v>
      </c>
      <c r="K147" s="44" t="s">
        <v>2526</v>
      </c>
      <c r="L147" s="44" t="s">
        <v>2347</v>
      </c>
      <c r="M147" s="43"/>
      <c r="N147" s="113"/>
      <c r="O147" s="113"/>
      <c r="P147" s="113"/>
      <c r="Q147" s="319"/>
      <c r="R147" s="319"/>
      <c r="S147" s="319"/>
      <c r="T147" s="319"/>
      <c r="U147" s="319"/>
      <c r="V147" s="319"/>
      <c r="W147" s="319"/>
      <c r="X147" s="319"/>
      <c r="Y147" s="319"/>
      <c r="Z147" s="319"/>
      <c r="AA147" s="319"/>
      <c r="AB147" s="319"/>
      <c r="AC147" s="319" t="s">
        <v>1113</v>
      </c>
      <c r="AD147" s="319"/>
      <c r="AE147" s="319"/>
      <c r="AF147" s="319"/>
      <c r="AG147" s="319"/>
      <c r="AH147" s="319"/>
      <c r="AI147" s="319"/>
      <c r="AJ147" s="319"/>
      <c r="AK147" s="319" t="s">
        <v>1113</v>
      </c>
      <c r="AL147" s="319"/>
      <c r="AM147" s="319"/>
      <c r="AN147" s="319"/>
      <c r="AO147" s="43" t="s">
        <v>2348</v>
      </c>
      <c r="AP147" s="44"/>
      <c r="AQ147" s="236" t="str">
        <f>VLOOKUP(Table8[[#This Row],[Instrument]],Def_Targets!$D$73:$E$159,2,FALSE)</f>
        <v>S_PTIntegration</v>
      </c>
      <c r="AR147" s="233" t="str">
        <f>VLOOKUP(Table8[[#This Row],[Country Code]],Table29[],3,FALSE)</f>
        <v>Non-Annex I</v>
      </c>
      <c r="AS147" s="233" t="str">
        <f>VLOOKUP(Table8[[#This Row],[Country Code]],Table29[],4,FALSE)</f>
        <v>Asia</v>
      </c>
      <c r="AT147" s="233" t="str">
        <f>VLOOKUP(Table8[[#This Row],[Country Code]],Table29[],5,FALSE)</f>
        <v>Middle-income</v>
      </c>
      <c r="AU147" s="233" t="str">
        <f>VLOOKUP(Table8[[#This Row],[Country Code]],Table29[],6,FALSE)</f>
        <v>no</v>
      </c>
      <c r="AV147" s="233" t="str">
        <f>VLOOKUP(Table8[[#This Row],[Country Code]],Table29[],7,FALSE)</f>
        <v>no</v>
      </c>
      <c r="AW147" s="233" t="str">
        <f>VLOOKUP(Table8[[#This Row],[Country Code]],Table29[],8,FALSE)</f>
        <v>non-OECD</v>
      </c>
      <c r="AX147" s="233" t="str">
        <f>VLOOKUP(Table8[[#This Row],[Country Code]],Table29[],9,FALSE)</f>
        <v>no</v>
      </c>
      <c r="AY147" s="233" t="str">
        <f>VLOOKUP(Table8[[#This Row],[Country Code]],Table29[],10,FALSE)</f>
        <v>no</v>
      </c>
      <c r="AZ147" s="235">
        <f>VLOOKUP(Table8[[#This Row],[Country Code]],Table29[],23,FALSE)</f>
        <v>62.550294041306003</v>
      </c>
      <c r="BA147" s="235">
        <f>VLOOKUP(Table8[[#This Row],[Country Code]],Table29[],24,FALSE)</f>
        <v>8.4493328883147889</v>
      </c>
      <c r="BB147" s="320"/>
      <c r="BC147" s="320"/>
    </row>
    <row r="148" spans="1:55" hidden="1" x14ac:dyDescent="0.25">
      <c r="A148" s="373">
        <v>17521</v>
      </c>
      <c r="B148" s="233" t="str">
        <f>VLOOKUP(Table8[[#This Row],[Document ID]],Table1[],2,FALSE)</f>
        <v>AZE</v>
      </c>
      <c r="C148" s="233" t="str">
        <f>VLOOKUP(Table8[[#This Row],[Document ID]],Table1[],3,FALSE)</f>
        <v>Azerbaijan</v>
      </c>
      <c r="D148" s="243" t="str">
        <f>VLOOKUP(Table8[[#This Row],[Document ID]],Table1[],5,FALSE)</f>
        <v>NDC</v>
      </c>
      <c r="E148" s="233" t="str">
        <f>VLOOKUP(Table8[[#This Row],[Document ID]],Table1[],7,FALSE)</f>
        <v>First NDC</v>
      </c>
      <c r="F148" s="236" t="str">
        <f>VLOOKUP(Table8[[#This Row],[Document ID]],Table1[],8,FALSE)</f>
        <v>NDC 1.0</v>
      </c>
      <c r="G148" s="236" t="str">
        <f>VLOOKUP(Table8[[#This Row],[Document ID]],Table1[],10,FALSE)</f>
        <v>Archived</v>
      </c>
      <c r="H148" s="43" t="s">
        <v>2343</v>
      </c>
      <c r="I148" s="43" t="s">
        <v>2429</v>
      </c>
      <c r="J148" s="44" t="s">
        <v>2430</v>
      </c>
      <c r="K148" s="44" t="s">
        <v>2527</v>
      </c>
      <c r="L148" s="44" t="s">
        <v>2333</v>
      </c>
      <c r="M148" s="43"/>
      <c r="N148" s="113" t="s">
        <v>1113</v>
      </c>
      <c r="O148" s="113"/>
      <c r="P148" s="113"/>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t="s">
        <v>1113</v>
      </c>
      <c r="AL148" s="319"/>
      <c r="AM148" s="319"/>
      <c r="AN148" s="319"/>
      <c r="AO148" s="44" t="s">
        <v>2334</v>
      </c>
      <c r="AP148" s="44"/>
      <c r="AQ148" s="236" t="str">
        <f>VLOOKUP(Table8[[#This Row],[Instrument]],Def_Targets!$D$73:$E$159,2,FALSE)</f>
        <v>I_ITS</v>
      </c>
      <c r="AR148" s="233" t="str">
        <f>VLOOKUP(Table8[[#This Row],[Country Code]],Table29[],3,FALSE)</f>
        <v>Non-Annex I</v>
      </c>
      <c r="AS148" s="233" t="str">
        <f>VLOOKUP(Table8[[#This Row],[Country Code]],Table29[],4,FALSE)</f>
        <v>Asia</v>
      </c>
      <c r="AT148" s="233" t="str">
        <f>VLOOKUP(Table8[[#This Row],[Country Code]],Table29[],5,FALSE)</f>
        <v>Middle-income</v>
      </c>
      <c r="AU148" s="233" t="str">
        <f>VLOOKUP(Table8[[#This Row],[Country Code]],Table29[],6,FALSE)</f>
        <v>no</v>
      </c>
      <c r="AV148" s="233" t="str">
        <f>VLOOKUP(Table8[[#This Row],[Country Code]],Table29[],7,FALSE)</f>
        <v>no</v>
      </c>
      <c r="AW148" s="233" t="str">
        <f>VLOOKUP(Table8[[#This Row],[Country Code]],Table29[],8,FALSE)</f>
        <v>non-OECD</v>
      </c>
      <c r="AX148" s="233" t="str">
        <f>VLOOKUP(Table8[[#This Row],[Country Code]],Table29[],9,FALSE)</f>
        <v>no</v>
      </c>
      <c r="AY148" s="233" t="str">
        <f>VLOOKUP(Table8[[#This Row],[Country Code]],Table29[],10,FALSE)</f>
        <v>no</v>
      </c>
      <c r="AZ148" s="235">
        <f>VLOOKUP(Table8[[#This Row],[Country Code]],Table29[],23,FALSE)</f>
        <v>62.550294041306003</v>
      </c>
      <c r="BA148" s="235">
        <f>VLOOKUP(Table8[[#This Row],[Country Code]],Table29[],24,FALSE)</f>
        <v>8.4493328883147889</v>
      </c>
      <c r="BB148" s="320"/>
      <c r="BC148" s="320"/>
    </row>
    <row r="149" spans="1:55" ht="30" hidden="1" x14ac:dyDescent="0.25">
      <c r="A149" s="373">
        <v>17521</v>
      </c>
      <c r="B149" s="233" t="str">
        <f>VLOOKUP(Table8[[#This Row],[Document ID]],Table1[],2,FALSE)</f>
        <v>AZE</v>
      </c>
      <c r="C149" s="233" t="str">
        <f>VLOOKUP(Table8[[#This Row],[Document ID]],Table1[],3,FALSE)</f>
        <v>Azerbaijan</v>
      </c>
      <c r="D149" s="243" t="str">
        <f>VLOOKUP(Table8[[#This Row],[Document ID]],Table1[],5,FALSE)</f>
        <v>NDC</v>
      </c>
      <c r="E149" s="233" t="str">
        <f>VLOOKUP(Table8[[#This Row],[Document ID]],Table1[],7,FALSE)</f>
        <v>First NDC</v>
      </c>
      <c r="F149" s="236" t="str">
        <f>VLOOKUP(Table8[[#This Row],[Document ID]],Table1[],8,FALSE)</f>
        <v>NDC 1.0</v>
      </c>
      <c r="G149" s="236" t="str">
        <f>VLOOKUP(Table8[[#This Row],[Document ID]],Table1[],10,FALSE)</f>
        <v>Archived</v>
      </c>
      <c r="H149" s="43" t="s">
        <v>2350</v>
      </c>
      <c r="I149" s="43" t="s">
        <v>2370</v>
      </c>
      <c r="J149" s="44" t="s">
        <v>2511</v>
      </c>
      <c r="K149" s="44" t="s">
        <v>2528</v>
      </c>
      <c r="L149" s="44" t="s">
        <v>2333</v>
      </c>
      <c r="M149" s="43"/>
      <c r="N149" s="113"/>
      <c r="O149" s="113"/>
      <c r="P149" s="113"/>
      <c r="Q149" s="319" t="s">
        <v>1113</v>
      </c>
      <c r="R149" s="319"/>
      <c r="S149" s="319" t="s">
        <v>1113</v>
      </c>
      <c r="T149" s="319"/>
      <c r="U149" s="319"/>
      <c r="V149" s="319"/>
      <c r="W149" s="319"/>
      <c r="X149" s="319"/>
      <c r="Y149" s="319"/>
      <c r="Z149" s="319"/>
      <c r="AA149" s="319"/>
      <c r="AB149" s="319"/>
      <c r="AC149" s="319"/>
      <c r="AD149" s="319"/>
      <c r="AE149" s="319"/>
      <c r="AF149" s="319"/>
      <c r="AG149" s="319"/>
      <c r="AH149" s="319"/>
      <c r="AI149" s="319"/>
      <c r="AJ149" s="319"/>
      <c r="AK149" s="319" t="s">
        <v>1113</v>
      </c>
      <c r="AL149" s="319"/>
      <c r="AM149" s="319"/>
      <c r="AN149" s="319"/>
      <c r="AO149" s="44" t="s">
        <v>2334</v>
      </c>
      <c r="AP149" s="44"/>
      <c r="AQ149" s="236" t="str">
        <f>VLOOKUP(Table8[[#This Row],[Instrument]],Def_Targets!$D$73:$E$159,2,FALSE)</f>
        <v>A_LATM</v>
      </c>
      <c r="AR149" s="233" t="str">
        <f>VLOOKUP(Table8[[#This Row],[Country Code]],Table29[],3,FALSE)</f>
        <v>Non-Annex I</v>
      </c>
      <c r="AS149" s="233" t="str">
        <f>VLOOKUP(Table8[[#This Row],[Country Code]],Table29[],4,FALSE)</f>
        <v>Asia</v>
      </c>
      <c r="AT149" s="233" t="str">
        <f>VLOOKUP(Table8[[#This Row],[Country Code]],Table29[],5,FALSE)</f>
        <v>Middle-income</v>
      </c>
      <c r="AU149" s="233" t="str">
        <f>VLOOKUP(Table8[[#This Row],[Country Code]],Table29[],6,FALSE)</f>
        <v>no</v>
      </c>
      <c r="AV149" s="233" t="str">
        <f>VLOOKUP(Table8[[#This Row],[Country Code]],Table29[],7,FALSE)</f>
        <v>no</v>
      </c>
      <c r="AW149" s="233" t="str">
        <f>VLOOKUP(Table8[[#This Row],[Country Code]],Table29[],8,FALSE)</f>
        <v>non-OECD</v>
      </c>
      <c r="AX149" s="233" t="str">
        <f>VLOOKUP(Table8[[#This Row],[Country Code]],Table29[],9,FALSE)</f>
        <v>no</v>
      </c>
      <c r="AY149" s="233" t="str">
        <f>VLOOKUP(Table8[[#This Row],[Country Code]],Table29[],10,FALSE)</f>
        <v>no</v>
      </c>
      <c r="AZ149" s="235">
        <f>VLOOKUP(Table8[[#This Row],[Country Code]],Table29[],23,FALSE)</f>
        <v>62.550294041306003</v>
      </c>
      <c r="BA149" s="235">
        <f>VLOOKUP(Table8[[#This Row],[Country Code]],Table29[],24,FALSE)</f>
        <v>8.4493328883147889</v>
      </c>
      <c r="BB149" s="320"/>
      <c r="BC149" s="320"/>
    </row>
    <row r="150" spans="1:55" ht="30" hidden="1" x14ac:dyDescent="0.25">
      <c r="A150" s="373">
        <v>17522</v>
      </c>
      <c r="B150" s="233" t="str">
        <f>VLOOKUP(Table8[[#This Row],[Document ID]],Table1[],2,FALSE)</f>
        <v>BHS</v>
      </c>
      <c r="C150" s="233" t="str">
        <f>VLOOKUP(Table8[[#This Row],[Document ID]],Table1[],3,FALSE)</f>
        <v>Bahamas</v>
      </c>
      <c r="D150" s="236" t="str">
        <f>VLOOKUP(Table8[[#This Row],[Document ID]],Table1[],5,FALSE)</f>
        <v>NDC</v>
      </c>
      <c r="E150" s="233" t="str">
        <f>VLOOKUP(Table8[[#This Row],[Document ID]],Table1[],7,FALSE)</f>
        <v>First NDC</v>
      </c>
      <c r="F150" s="236" t="str">
        <f>VLOOKUP(Table8[[#This Row],[Document ID]],Table1[],8,FALSE)</f>
        <v>NDC 1.0</v>
      </c>
      <c r="G150" s="236" t="str">
        <f>VLOOKUP(Table8[[#This Row],[Document ID]],Table1[],10,FALSE)</f>
        <v>Archived</v>
      </c>
      <c r="H150" s="43" t="s">
        <v>2343</v>
      </c>
      <c r="I150" s="43" t="s">
        <v>2386</v>
      </c>
      <c r="J150" s="44" t="s">
        <v>2498</v>
      </c>
      <c r="K150" s="44" t="s">
        <v>2529</v>
      </c>
      <c r="L150" s="44" t="s">
        <v>2333</v>
      </c>
      <c r="M150" s="44"/>
      <c r="N150" s="319"/>
      <c r="O150" s="319"/>
      <c r="P150" s="319"/>
      <c r="Q150" s="319"/>
      <c r="R150" s="319"/>
      <c r="S150" s="319" t="s">
        <v>1113</v>
      </c>
      <c r="T150" s="319"/>
      <c r="U150" s="319"/>
      <c r="V150" s="319"/>
      <c r="W150" s="319"/>
      <c r="X150" s="319"/>
      <c r="Y150" s="319"/>
      <c r="Z150" s="319"/>
      <c r="AA150" s="319"/>
      <c r="AB150" s="319"/>
      <c r="AC150" s="319"/>
      <c r="AD150" s="319"/>
      <c r="AE150" s="319"/>
      <c r="AF150" s="319"/>
      <c r="AG150" s="319"/>
      <c r="AH150" s="319"/>
      <c r="AI150" s="319"/>
      <c r="AJ150" s="319"/>
      <c r="AK150" s="319" t="s">
        <v>1113</v>
      </c>
      <c r="AL150" s="319"/>
      <c r="AM150" s="319"/>
      <c r="AN150" s="319"/>
      <c r="AO150" s="43" t="s">
        <v>2348</v>
      </c>
      <c r="AP150" s="44"/>
      <c r="AQ150" s="236" t="str">
        <f>VLOOKUP(Table8[[#This Row],[Instrument]],Def_Targets!$D$73:$E$159,2,FALSE)</f>
        <v>A_Fueltax</v>
      </c>
      <c r="AR150" s="233" t="str">
        <f>VLOOKUP(Table8[[#This Row],[Country Code]],Table29[],3,FALSE)</f>
        <v>Non-Annex I</v>
      </c>
      <c r="AS150" s="233" t="str">
        <f>VLOOKUP(Table8[[#This Row],[Country Code]],Table29[],4,FALSE)</f>
        <v>Latin America and the Caribbean</v>
      </c>
      <c r="AT150" s="233" t="str">
        <f>VLOOKUP(Table8[[#This Row],[Country Code]],Table29[],5,FALSE)</f>
        <v>High-income</v>
      </c>
      <c r="AU150" s="233" t="str">
        <f>VLOOKUP(Table8[[#This Row],[Country Code]],Table29[],6,FALSE)</f>
        <v>no</v>
      </c>
      <c r="AV150" s="233" t="str">
        <f>VLOOKUP(Table8[[#This Row],[Country Code]],Table29[],7,FALSE)</f>
        <v>no</v>
      </c>
      <c r="AW150" s="233" t="str">
        <f>VLOOKUP(Table8[[#This Row],[Country Code]],Table29[],8,FALSE)</f>
        <v>non-OECD</v>
      </c>
      <c r="AX150" s="233" t="str">
        <f>VLOOKUP(Table8[[#This Row],[Country Code]],Table29[],9,FALSE)</f>
        <v>no</v>
      </c>
      <c r="AY150" s="233" t="str">
        <f>VLOOKUP(Table8[[#This Row],[Country Code]],Table29[],10,FALSE)</f>
        <v>no</v>
      </c>
      <c r="AZ150" s="235">
        <f>VLOOKUP(Table8[[#This Row],[Country Code]],Table29[],23,FALSE)</f>
        <v>2.0502828926944998</v>
      </c>
      <c r="BA150" s="235">
        <f>VLOOKUP(Table8[[#This Row],[Country Code]],Table29[],24,FALSE)</f>
        <v>0.59970961940231238</v>
      </c>
      <c r="BB150" s="320"/>
      <c r="BC150" s="320"/>
    </row>
    <row r="151" spans="1:55" ht="30" hidden="1" x14ac:dyDescent="0.25">
      <c r="A151" s="373">
        <v>17522</v>
      </c>
      <c r="B151" s="233" t="str">
        <f>VLOOKUP(Table8[[#This Row],[Document ID]],Table1[],2,FALSE)</f>
        <v>BHS</v>
      </c>
      <c r="C151" s="233" t="str">
        <f>VLOOKUP(Table8[[#This Row],[Document ID]],Table1[],3,FALSE)</f>
        <v>Bahamas</v>
      </c>
      <c r="D151" s="236" t="str">
        <f>VLOOKUP(Table8[[#This Row],[Document ID]],Table1[],5,FALSE)</f>
        <v>NDC</v>
      </c>
      <c r="E151" s="233" t="str">
        <f>VLOOKUP(Table8[[#This Row],[Document ID]],Table1[],7,FALSE)</f>
        <v>First NDC</v>
      </c>
      <c r="F151" s="236" t="str">
        <f>VLOOKUP(Table8[[#This Row],[Document ID]],Table1[],8,FALSE)</f>
        <v>NDC 1.0</v>
      </c>
      <c r="G151" s="236" t="str">
        <f>VLOOKUP(Table8[[#This Row],[Document ID]],Table1[],10,FALSE)</f>
        <v>Archived</v>
      </c>
      <c r="H151" s="43" t="s">
        <v>2343</v>
      </c>
      <c r="I151" s="43" t="s">
        <v>2386</v>
      </c>
      <c r="J151" s="44" t="s">
        <v>2530</v>
      </c>
      <c r="K151" s="44" t="s">
        <v>2529</v>
      </c>
      <c r="L151" s="44" t="s">
        <v>2333</v>
      </c>
      <c r="M151" s="44"/>
      <c r="N151" s="319"/>
      <c r="O151" s="319"/>
      <c r="P151" s="319"/>
      <c r="Q151" s="319"/>
      <c r="R151" s="319"/>
      <c r="S151" s="319" t="s">
        <v>1113</v>
      </c>
      <c r="T151" s="319"/>
      <c r="U151" s="319"/>
      <c r="V151" s="319"/>
      <c r="W151" s="319"/>
      <c r="X151" s="319"/>
      <c r="Y151" s="319"/>
      <c r="Z151" s="319"/>
      <c r="AA151" s="319"/>
      <c r="AB151" s="319"/>
      <c r="AC151" s="319"/>
      <c r="AD151" s="319"/>
      <c r="AE151" s="319"/>
      <c r="AF151" s="319"/>
      <c r="AG151" s="319"/>
      <c r="AH151" s="319"/>
      <c r="AI151" s="319"/>
      <c r="AJ151" s="319"/>
      <c r="AK151" s="319" t="s">
        <v>1113</v>
      </c>
      <c r="AL151" s="319"/>
      <c r="AM151" s="319"/>
      <c r="AN151" s="319"/>
      <c r="AO151" s="43" t="s">
        <v>2348</v>
      </c>
      <c r="AP151" s="44"/>
      <c r="AQ151" s="236" t="str">
        <f>VLOOKUP(Table8[[#This Row],[Instrument]],Def_Targets!$D$73:$E$159,2,FALSE)</f>
        <v>A_Vehicletax</v>
      </c>
      <c r="AR151" s="233" t="str">
        <f>VLOOKUP(Table8[[#This Row],[Country Code]],Table29[],3,FALSE)</f>
        <v>Non-Annex I</v>
      </c>
      <c r="AS151" s="233" t="str">
        <f>VLOOKUP(Table8[[#This Row],[Country Code]],Table29[],4,FALSE)</f>
        <v>Latin America and the Caribbean</v>
      </c>
      <c r="AT151" s="233" t="str">
        <f>VLOOKUP(Table8[[#This Row],[Country Code]],Table29[],5,FALSE)</f>
        <v>High-income</v>
      </c>
      <c r="AU151" s="233" t="str">
        <f>VLOOKUP(Table8[[#This Row],[Country Code]],Table29[],6,FALSE)</f>
        <v>no</v>
      </c>
      <c r="AV151" s="233" t="str">
        <f>VLOOKUP(Table8[[#This Row],[Country Code]],Table29[],7,FALSE)</f>
        <v>no</v>
      </c>
      <c r="AW151" s="233" t="str">
        <f>VLOOKUP(Table8[[#This Row],[Country Code]],Table29[],8,FALSE)</f>
        <v>non-OECD</v>
      </c>
      <c r="AX151" s="233" t="str">
        <f>VLOOKUP(Table8[[#This Row],[Country Code]],Table29[],9,FALSE)</f>
        <v>no</v>
      </c>
      <c r="AY151" s="233" t="str">
        <f>VLOOKUP(Table8[[#This Row],[Country Code]],Table29[],10,FALSE)</f>
        <v>no</v>
      </c>
      <c r="AZ151" s="235">
        <f>VLOOKUP(Table8[[#This Row],[Country Code]],Table29[],23,FALSE)</f>
        <v>2.0502828926944998</v>
      </c>
      <c r="BA151" s="235">
        <f>VLOOKUP(Table8[[#This Row],[Country Code]],Table29[],24,FALSE)</f>
        <v>0.59970961940231238</v>
      </c>
      <c r="BB151" s="320"/>
      <c r="BC151" s="320"/>
    </row>
    <row r="152" spans="1:55" hidden="1" x14ac:dyDescent="0.25">
      <c r="A152" s="373">
        <v>17522</v>
      </c>
      <c r="B152" s="233" t="str">
        <f>VLOOKUP(Table8[[#This Row],[Document ID]],Table1[],2,FALSE)</f>
        <v>BHS</v>
      </c>
      <c r="C152" s="233" t="str">
        <f>VLOOKUP(Table8[[#This Row],[Document ID]],Table1[],3,FALSE)</f>
        <v>Bahamas</v>
      </c>
      <c r="D152" s="243" t="str">
        <f>VLOOKUP(Table8[[#This Row],[Document ID]],Table1[],5,FALSE)</f>
        <v>NDC</v>
      </c>
      <c r="E152" s="233" t="str">
        <f>VLOOKUP(Table8[[#This Row],[Document ID]],Table1[],7,FALSE)</f>
        <v>First NDC</v>
      </c>
      <c r="F152" s="236" t="str">
        <f>VLOOKUP(Table8[[#This Row],[Document ID]],Table1[],8,FALSE)</f>
        <v>NDC 1.0</v>
      </c>
      <c r="G152" s="236" t="str">
        <f>VLOOKUP(Table8[[#This Row],[Document ID]],Table1[],10,FALSE)</f>
        <v>Archived</v>
      </c>
      <c r="H152" s="43" t="s">
        <v>2358</v>
      </c>
      <c r="I152" s="43" t="s">
        <v>2359</v>
      </c>
      <c r="J152" s="44" t="s">
        <v>2389</v>
      </c>
      <c r="K152" s="44" t="s">
        <v>2531</v>
      </c>
      <c r="L152" s="44" t="s">
        <v>2333</v>
      </c>
      <c r="M152" s="43"/>
      <c r="N152" s="113"/>
      <c r="O152" s="113"/>
      <c r="P152" s="113"/>
      <c r="Q152" s="319"/>
      <c r="R152" s="319"/>
      <c r="S152" s="319"/>
      <c r="T152" s="319"/>
      <c r="U152" s="113" t="s">
        <v>1113</v>
      </c>
      <c r="V152" s="319"/>
      <c r="W152" s="319"/>
      <c r="X152" s="319"/>
      <c r="Y152" s="319"/>
      <c r="Z152" s="319"/>
      <c r="AA152" s="319"/>
      <c r="AB152" s="319"/>
      <c r="AC152" s="319"/>
      <c r="AD152" s="319"/>
      <c r="AE152" s="319"/>
      <c r="AF152" s="319"/>
      <c r="AG152" s="319"/>
      <c r="AH152" s="319"/>
      <c r="AI152" s="319"/>
      <c r="AJ152" s="319"/>
      <c r="AK152" s="319" t="s">
        <v>1113</v>
      </c>
      <c r="AL152" s="319"/>
      <c r="AM152" s="319"/>
      <c r="AN152" s="319"/>
      <c r="AO152" s="43" t="s">
        <v>2348</v>
      </c>
      <c r="AP152" s="44"/>
      <c r="AQ152" s="236" t="str">
        <f>VLOOKUP(Table8[[#This Row],[Instrument]],Def_Targets!$D$73:$E$159,2,FALSE)</f>
        <v>I_Emobilitypurchase</v>
      </c>
      <c r="AR152" s="233" t="str">
        <f>VLOOKUP(Table8[[#This Row],[Country Code]],Table29[],3,FALSE)</f>
        <v>Non-Annex I</v>
      </c>
      <c r="AS152" s="233" t="str">
        <f>VLOOKUP(Table8[[#This Row],[Country Code]],Table29[],4,FALSE)</f>
        <v>Latin America and the Caribbean</v>
      </c>
      <c r="AT152" s="233" t="str">
        <f>VLOOKUP(Table8[[#This Row],[Country Code]],Table29[],5,FALSE)</f>
        <v>High-income</v>
      </c>
      <c r="AU152" s="233" t="str">
        <f>VLOOKUP(Table8[[#This Row],[Country Code]],Table29[],6,FALSE)</f>
        <v>no</v>
      </c>
      <c r="AV152" s="233" t="str">
        <f>VLOOKUP(Table8[[#This Row],[Country Code]],Table29[],7,FALSE)</f>
        <v>no</v>
      </c>
      <c r="AW152" s="233" t="str">
        <f>VLOOKUP(Table8[[#This Row],[Country Code]],Table29[],8,FALSE)</f>
        <v>non-OECD</v>
      </c>
      <c r="AX152" s="233" t="str">
        <f>VLOOKUP(Table8[[#This Row],[Country Code]],Table29[],9,FALSE)</f>
        <v>no</v>
      </c>
      <c r="AY152" s="233" t="str">
        <f>VLOOKUP(Table8[[#This Row],[Country Code]],Table29[],10,FALSE)</f>
        <v>no</v>
      </c>
      <c r="AZ152" s="235">
        <f>VLOOKUP(Table8[[#This Row],[Country Code]],Table29[],23,FALSE)</f>
        <v>2.0502828926944998</v>
      </c>
      <c r="BA152" s="235">
        <f>VLOOKUP(Table8[[#This Row],[Country Code]],Table29[],24,FALSE)</f>
        <v>0.59970961940231238</v>
      </c>
      <c r="BB152" s="320"/>
      <c r="BC152" s="320"/>
    </row>
    <row r="153" spans="1:55" hidden="1" x14ac:dyDescent="0.25">
      <c r="A153" s="373">
        <v>17522</v>
      </c>
      <c r="B153" s="233" t="str">
        <f>VLOOKUP(Table8[[#This Row],[Document ID]],Table1[],2,FALSE)</f>
        <v>BHS</v>
      </c>
      <c r="C153" s="233" t="str">
        <f>VLOOKUP(Table8[[#This Row],[Document ID]],Table1[],3,FALSE)</f>
        <v>Bahamas</v>
      </c>
      <c r="D153" s="243" t="str">
        <f>VLOOKUP(Table8[[#This Row],[Document ID]],Table1[],5,FALSE)</f>
        <v>NDC</v>
      </c>
      <c r="E153" s="233" t="str">
        <f>VLOOKUP(Table8[[#This Row],[Document ID]],Table1[],7,FALSE)</f>
        <v>First NDC</v>
      </c>
      <c r="F153" s="236" t="str">
        <f>VLOOKUP(Table8[[#This Row],[Document ID]],Table1[],8,FALSE)</f>
        <v>NDC 1.0</v>
      </c>
      <c r="G153" s="236" t="str">
        <f>VLOOKUP(Table8[[#This Row],[Document ID]],Table1[],10,FALSE)</f>
        <v>Archived</v>
      </c>
      <c r="H153" s="44" t="s">
        <v>2338</v>
      </c>
      <c r="I153" s="44" t="s">
        <v>2339</v>
      </c>
      <c r="J153" s="44" t="s">
        <v>2451</v>
      </c>
      <c r="K153" s="44" t="s">
        <v>2532</v>
      </c>
      <c r="L153" s="44" t="s">
        <v>2333</v>
      </c>
      <c r="M153" s="43"/>
      <c r="N153" s="113" t="s">
        <v>1113</v>
      </c>
      <c r="O153" s="113"/>
      <c r="P153" s="113"/>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t="s">
        <v>1113</v>
      </c>
      <c r="AL153" s="319"/>
      <c r="AM153" s="319"/>
      <c r="AN153" s="319"/>
      <c r="AO153" s="44" t="s">
        <v>2334</v>
      </c>
      <c r="AP153" s="44"/>
      <c r="AQ153" s="236" t="str">
        <f>VLOOKUP(Table8[[#This Row],[Instrument]],Def_Targets!$D$73:$E$159,2,FALSE)</f>
        <v>I_Inspection</v>
      </c>
      <c r="AR153" s="233" t="str">
        <f>VLOOKUP(Table8[[#This Row],[Country Code]],Table29[],3,FALSE)</f>
        <v>Non-Annex I</v>
      </c>
      <c r="AS153" s="233" t="str">
        <f>VLOOKUP(Table8[[#This Row],[Country Code]],Table29[],4,FALSE)</f>
        <v>Latin America and the Caribbean</v>
      </c>
      <c r="AT153" s="233" t="str">
        <f>VLOOKUP(Table8[[#This Row],[Country Code]],Table29[],5,FALSE)</f>
        <v>High-income</v>
      </c>
      <c r="AU153" s="233" t="str">
        <f>VLOOKUP(Table8[[#This Row],[Country Code]],Table29[],6,FALSE)</f>
        <v>no</v>
      </c>
      <c r="AV153" s="233" t="str">
        <f>VLOOKUP(Table8[[#This Row],[Country Code]],Table29[],7,FALSE)</f>
        <v>no</v>
      </c>
      <c r="AW153" s="233" t="str">
        <f>VLOOKUP(Table8[[#This Row],[Country Code]],Table29[],8,FALSE)</f>
        <v>non-OECD</v>
      </c>
      <c r="AX153" s="233" t="str">
        <f>VLOOKUP(Table8[[#This Row],[Country Code]],Table29[],9,FALSE)</f>
        <v>no</v>
      </c>
      <c r="AY153" s="233" t="str">
        <f>VLOOKUP(Table8[[#This Row],[Country Code]],Table29[],10,FALSE)</f>
        <v>no</v>
      </c>
      <c r="AZ153" s="235">
        <f>VLOOKUP(Table8[[#This Row],[Country Code]],Table29[],23,FALSE)</f>
        <v>2.0502828926944998</v>
      </c>
      <c r="BA153" s="235">
        <f>VLOOKUP(Table8[[#This Row],[Country Code]],Table29[],24,FALSE)</f>
        <v>0.59970961940231238</v>
      </c>
      <c r="BB153" s="320"/>
      <c r="BC153" s="320"/>
    </row>
    <row r="154" spans="1:55" hidden="1" x14ac:dyDescent="0.25">
      <c r="A154" s="373">
        <v>17522</v>
      </c>
      <c r="B154" s="233" t="str">
        <f>VLOOKUP(Table8[[#This Row],[Document ID]],Table1[],2,FALSE)</f>
        <v>BHS</v>
      </c>
      <c r="C154" s="233" t="str">
        <f>VLOOKUP(Table8[[#This Row],[Document ID]],Table1[],3,FALSE)</f>
        <v>Bahamas</v>
      </c>
      <c r="D154" s="243" t="str">
        <f>VLOOKUP(Table8[[#This Row],[Document ID]],Table1[],5,FALSE)</f>
        <v>NDC</v>
      </c>
      <c r="E154" s="233" t="str">
        <f>VLOOKUP(Table8[[#This Row],[Document ID]],Table1[],7,FALSE)</f>
        <v>First NDC</v>
      </c>
      <c r="F154" s="236" t="str">
        <f>VLOOKUP(Table8[[#This Row],[Document ID]],Table1[],8,FALSE)</f>
        <v>NDC 1.0</v>
      </c>
      <c r="G154" s="236" t="str">
        <f>VLOOKUP(Table8[[#This Row],[Document ID]],Table1[],10,FALSE)</f>
        <v>Archived</v>
      </c>
      <c r="H154" s="43" t="s">
        <v>2343</v>
      </c>
      <c r="I154" s="43" t="s">
        <v>2377</v>
      </c>
      <c r="J154" s="44" t="s">
        <v>2394</v>
      </c>
      <c r="K154" s="44" t="s">
        <v>2533</v>
      </c>
      <c r="L154" s="44" t="s">
        <v>2396</v>
      </c>
      <c r="M154" s="43"/>
      <c r="N154" s="113" t="s">
        <v>1113</v>
      </c>
      <c r="O154" s="113"/>
      <c r="P154" s="113"/>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t="s">
        <v>1113</v>
      </c>
      <c r="AL154" s="319"/>
      <c r="AM154" s="319"/>
      <c r="AN154" s="319"/>
      <c r="AO154" s="44" t="s">
        <v>2334</v>
      </c>
      <c r="AP154" s="44"/>
      <c r="AQ154" s="236" t="str">
        <f>VLOOKUP(Table8[[#This Row],[Instrument]],Def_Targets!$D$73:$E$159,2,FALSE)</f>
        <v>A_TDM</v>
      </c>
      <c r="AR154" s="233" t="str">
        <f>VLOOKUP(Table8[[#This Row],[Country Code]],Table29[],3,FALSE)</f>
        <v>Non-Annex I</v>
      </c>
      <c r="AS154" s="233" t="str">
        <f>VLOOKUP(Table8[[#This Row],[Country Code]],Table29[],4,FALSE)</f>
        <v>Latin America and the Caribbean</v>
      </c>
      <c r="AT154" s="233" t="str">
        <f>VLOOKUP(Table8[[#This Row],[Country Code]],Table29[],5,FALSE)</f>
        <v>High-income</v>
      </c>
      <c r="AU154" s="233" t="str">
        <f>VLOOKUP(Table8[[#This Row],[Country Code]],Table29[],6,FALSE)</f>
        <v>no</v>
      </c>
      <c r="AV154" s="233" t="str">
        <f>VLOOKUP(Table8[[#This Row],[Country Code]],Table29[],7,FALSE)</f>
        <v>no</v>
      </c>
      <c r="AW154" s="233" t="str">
        <f>VLOOKUP(Table8[[#This Row],[Country Code]],Table29[],8,FALSE)</f>
        <v>non-OECD</v>
      </c>
      <c r="AX154" s="233" t="str">
        <f>VLOOKUP(Table8[[#This Row],[Country Code]],Table29[],9,FALSE)</f>
        <v>no</v>
      </c>
      <c r="AY154" s="233" t="str">
        <f>VLOOKUP(Table8[[#This Row],[Country Code]],Table29[],10,FALSE)</f>
        <v>no</v>
      </c>
      <c r="AZ154" s="235">
        <f>VLOOKUP(Table8[[#This Row],[Country Code]],Table29[],23,FALSE)</f>
        <v>2.0502828926944998</v>
      </c>
      <c r="BA154" s="235">
        <f>VLOOKUP(Table8[[#This Row],[Country Code]],Table29[],24,FALSE)</f>
        <v>0.59970961940231238</v>
      </c>
      <c r="BB154" s="320"/>
      <c r="BC154" s="320"/>
    </row>
    <row r="155" spans="1:55" hidden="1" x14ac:dyDescent="0.25">
      <c r="A155" s="373">
        <v>17522</v>
      </c>
      <c r="B155" s="233" t="str">
        <f>VLOOKUP(Table8[[#This Row],[Document ID]],Table1[],2,FALSE)</f>
        <v>BHS</v>
      </c>
      <c r="C155" s="233" t="str">
        <f>VLOOKUP(Table8[[#This Row],[Document ID]],Table1[],3,FALSE)</f>
        <v>Bahamas</v>
      </c>
      <c r="D155" s="243" t="str">
        <f>VLOOKUP(Table8[[#This Row],[Document ID]],Table1[],5,FALSE)</f>
        <v>NDC</v>
      </c>
      <c r="E155" s="233" t="str">
        <f>VLOOKUP(Table8[[#This Row],[Document ID]],Table1[],7,FALSE)</f>
        <v>First NDC</v>
      </c>
      <c r="F155" s="236" t="str">
        <f>VLOOKUP(Table8[[#This Row],[Document ID]],Table1[],8,FALSE)</f>
        <v>NDC 1.0</v>
      </c>
      <c r="G155" s="236" t="str">
        <f>VLOOKUP(Table8[[#This Row],[Document ID]],Table1[],10,FALSE)</f>
        <v>Archived</v>
      </c>
      <c r="H155" s="43" t="s">
        <v>2343</v>
      </c>
      <c r="I155" s="43" t="s">
        <v>2429</v>
      </c>
      <c r="J155" s="44" t="s">
        <v>2513</v>
      </c>
      <c r="K155" s="44" t="s">
        <v>2534</v>
      </c>
      <c r="L155" s="44" t="s">
        <v>2347</v>
      </c>
      <c r="M155" s="43"/>
      <c r="N155" s="113"/>
      <c r="O155" s="113"/>
      <c r="P155" s="113"/>
      <c r="Q155" s="319"/>
      <c r="R155" s="319"/>
      <c r="S155" s="319"/>
      <c r="T155" s="319"/>
      <c r="U155" s="113" t="s">
        <v>1113</v>
      </c>
      <c r="V155" s="319"/>
      <c r="W155" s="319"/>
      <c r="X155" s="319"/>
      <c r="Y155" s="319"/>
      <c r="Z155" s="319"/>
      <c r="AA155" s="319"/>
      <c r="AB155" s="319"/>
      <c r="AC155" s="319"/>
      <c r="AD155" s="319"/>
      <c r="AE155" s="319"/>
      <c r="AF155" s="319"/>
      <c r="AG155" s="319"/>
      <c r="AH155" s="319"/>
      <c r="AI155" s="319"/>
      <c r="AJ155" s="319"/>
      <c r="AK155" s="319" t="s">
        <v>1113</v>
      </c>
      <c r="AL155" s="319"/>
      <c r="AM155" s="319"/>
      <c r="AN155" s="319"/>
      <c r="AO155" s="43" t="s">
        <v>2348</v>
      </c>
      <c r="AP155" s="44"/>
      <c r="AQ155" s="236" t="str">
        <f>VLOOKUP(Table8[[#This Row],[Instrument]],Def_Targets!$D$73:$E$159,2,FALSE)</f>
        <v>S_Sharedmob</v>
      </c>
      <c r="AR155" s="233" t="str">
        <f>VLOOKUP(Table8[[#This Row],[Country Code]],Table29[],3,FALSE)</f>
        <v>Non-Annex I</v>
      </c>
      <c r="AS155" s="233" t="str">
        <f>VLOOKUP(Table8[[#This Row],[Country Code]],Table29[],4,FALSE)</f>
        <v>Latin America and the Caribbean</v>
      </c>
      <c r="AT155" s="233" t="str">
        <f>VLOOKUP(Table8[[#This Row],[Country Code]],Table29[],5,FALSE)</f>
        <v>High-income</v>
      </c>
      <c r="AU155" s="233" t="str">
        <f>VLOOKUP(Table8[[#This Row],[Country Code]],Table29[],6,FALSE)</f>
        <v>no</v>
      </c>
      <c r="AV155" s="233" t="str">
        <f>VLOOKUP(Table8[[#This Row],[Country Code]],Table29[],7,FALSE)</f>
        <v>no</v>
      </c>
      <c r="AW155" s="233" t="str">
        <f>VLOOKUP(Table8[[#This Row],[Country Code]],Table29[],8,FALSE)</f>
        <v>non-OECD</v>
      </c>
      <c r="AX155" s="233" t="str">
        <f>VLOOKUP(Table8[[#This Row],[Country Code]],Table29[],9,FALSE)</f>
        <v>no</v>
      </c>
      <c r="AY155" s="233" t="str">
        <f>VLOOKUP(Table8[[#This Row],[Country Code]],Table29[],10,FALSE)</f>
        <v>no</v>
      </c>
      <c r="AZ155" s="235">
        <f>VLOOKUP(Table8[[#This Row],[Country Code]],Table29[],23,FALSE)</f>
        <v>2.0502828926944998</v>
      </c>
      <c r="BA155" s="235">
        <f>VLOOKUP(Table8[[#This Row],[Country Code]],Table29[],24,FALSE)</f>
        <v>0.59970961940231238</v>
      </c>
      <c r="BB155" s="320"/>
      <c r="BC155" s="320"/>
    </row>
    <row r="156" spans="1:55" hidden="1" x14ac:dyDescent="0.25">
      <c r="A156" s="373">
        <v>17522</v>
      </c>
      <c r="B156" s="233" t="str">
        <f>VLOOKUP(Table8[[#This Row],[Document ID]],Table1[],2,FALSE)</f>
        <v>BHS</v>
      </c>
      <c r="C156" s="233" t="str">
        <f>VLOOKUP(Table8[[#This Row],[Document ID]],Table1[],3,FALSE)</f>
        <v>Bahamas</v>
      </c>
      <c r="D156" s="243" t="str">
        <f>VLOOKUP(Table8[[#This Row],[Document ID]],Table1[],5,FALSE)</f>
        <v>NDC</v>
      </c>
      <c r="E156" s="233" t="str">
        <f>VLOOKUP(Table8[[#This Row],[Document ID]],Table1[],7,FALSE)</f>
        <v>First NDC</v>
      </c>
      <c r="F156" s="236" t="str">
        <f>VLOOKUP(Table8[[#This Row],[Document ID]],Table1[],8,FALSE)</f>
        <v>NDC 1.0</v>
      </c>
      <c r="G156" s="236" t="str">
        <f>VLOOKUP(Table8[[#This Row],[Document ID]],Table1[],10,FALSE)</f>
        <v>Archived</v>
      </c>
      <c r="H156" s="43" t="s">
        <v>2343</v>
      </c>
      <c r="I156" s="43" t="s">
        <v>2377</v>
      </c>
      <c r="J156" s="44" t="s">
        <v>2535</v>
      </c>
      <c r="K156" s="44" t="s">
        <v>2536</v>
      </c>
      <c r="L156" s="44" t="s">
        <v>2347</v>
      </c>
      <c r="M156" s="43"/>
      <c r="N156" s="113"/>
      <c r="O156" s="113"/>
      <c r="P156" s="113"/>
      <c r="Q156" s="319"/>
      <c r="R156" s="319"/>
      <c r="S156" s="319"/>
      <c r="T156" s="319"/>
      <c r="U156" s="113" t="s">
        <v>1113</v>
      </c>
      <c r="V156" s="319"/>
      <c r="W156" s="319"/>
      <c r="X156" s="319"/>
      <c r="Y156" s="319"/>
      <c r="Z156" s="319"/>
      <c r="AA156" s="319"/>
      <c r="AB156" s="319"/>
      <c r="AC156" s="319"/>
      <c r="AD156" s="319"/>
      <c r="AE156" s="319"/>
      <c r="AF156" s="319"/>
      <c r="AG156" s="319"/>
      <c r="AH156" s="319"/>
      <c r="AI156" s="319"/>
      <c r="AJ156" s="319"/>
      <c r="AK156" s="319" t="s">
        <v>1113</v>
      </c>
      <c r="AL156" s="319"/>
      <c r="AM156" s="319"/>
      <c r="AN156" s="319"/>
      <c r="AO156" s="44" t="s">
        <v>2334</v>
      </c>
      <c r="AP156" s="44"/>
      <c r="AQ156" s="236" t="str">
        <f>VLOOKUP(Table8[[#This Row],[Instrument]],Def_Targets!$D$73:$E$159,2,FALSE)</f>
        <v>S_Parking</v>
      </c>
      <c r="AR156" s="233" t="str">
        <f>VLOOKUP(Table8[[#This Row],[Country Code]],Table29[],3,FALSE)</f>
        <v>Non-Annex I</v>
      </c>
      <c r="AS156" s="233" t="str">
        <f>VLOOKUP(Table8[[#This Row],[Country Code]],Table29[],4,FALSE)</f>
        <v>Latin America and the Caribbean</v>
      </c>
      <c r="AT156" s="233" t="str">
        <f>VLOOKUP(Table8[[#This Row],[Country Code]],Table29[],5,FALSE)</f>
        <v>High-income</v>
      </c>
      <c r="AU156" s="233" t="str">
        <f>VLOOKUP(Table8[[#This Row],[Country Code]],Table29[],6,FALSE)</f>
        <v>no</v>
      </c>
      <c r="AV156" s="233" t="str">
        <f>VLOOKUP(Table8[[#This Row],[Country Code]],Table29[],7,FALSE)</f>
        <v>no</v>
      </c>
      <c r="AW156" s="233" t="str">
        <f>VLOOKUP(Table8[[#This Row],[Country Code]],Table29[],8,FALSE)</f>
        <v>non-OECD</v>
      </c>
      <c r="AX156" s="233" t="str">
        <f>VLOOKUP(Table8[[#This Row],[Country Code]],Table29[],9,FALSE)</f>
        <v>no</v>
      </c>
      <c r="AY156" s="233" t="str">
        <f>VLOOKUP(Table8[[#This Row],[Country Code]],Table29[],10,FALSE)</f>
        <v>no</v>
      </c>
      <c r="AZ156" s="235">
        <f>VLOOKUP(Table8[[#This Row],[Country Code]],Table29[],23,FALSE)</f>
        <v>2.0502828926944998</v>
      </c>
      <c r="BA156" s="235">
        <f>VLOOKUP(Table8[[#This Row],[Country Code]],Table29[],24,FALSE)</f>
        <v>0.59970961940231238</v>
      </c>
      <c r="BB156" s="320"/>
      <c r="BC156" s="320"/>
    </row>
    <row r="157" spans="1:55" hidden="1" x14ac:dyDescent="0.25">
      <c r="A157" s="373">
        <v>17522</v>
      </c>
      <c r="B157" s="233" t="str">
        <f>VLOOKUP(Table8[[#This Row],[Document ID]],Table1[],2,FALSE)</f>
        <v>BHS</v>
      </c>
      <c r="C157" s="233" t="str">
        <f>VLOOKUP(Table8[[#This Row],[Document ID]],Table1[],3,FALSE)</f>
        <v>Bahamas</v>
      </c>
      <c r="D157" s="243" t="str">
        <f>VLOOKUP(Table8[[#This Row],[Document ID]],Table1[],5,FALSE)</f>
        <v>NDC</v>
      </c>
      <c r="E157" s="233" t="str">
        <f>VLOOKUP(Table8[[#This Row],[Document ID]],Table1[],7,FALSE)</f>
        <v>First NDC</v>
      </c>
      <c r="F157" s="236" t="str">
        <f>VLOOKUP(Table8[[#This Row],[Document ID]],Table1[],8,FALSE)</f>
        <v>NDC 1.0</v>
      </c>
      <c r="G157" s="236" t="str">
        <f>VLOOKUP(Table8[[#This Row],[Document ID]],Table1[],10,FALSE)</f>
        <v>Archived</v>
      </c>
      <c r="H157" s="44" t="s">
        <v>2329</v>
      </c>
      <c r="I157" s="44" t="s">
        <v>2330</v>
      </c>
      <c r="J157" s="44" t="s">
        <v>2331</v>
      </c>
      <c r="K157" s="44" t="s">
        <v>2537</v>
      </c>
      <c r="L157" s="44" t="s">
        <v>2333</v>
      </c>
      <c r="M157" s="43"/>
      <c r="N157" s="113" t="s">
        <v>1113</v>
      </c>
      <c r="O157" s="113"/>
      <c r="P157" s="113"/>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t="s">
        <v>1113</v>
      </c>
      <c r="AL157" s="319"/>
      <c r="AM157" s="319"/>
      <c r="AN157" s="319"/>
      <c r="AO157" s="44" t="s">
        <v>2334</v>
      </c>
      <c r="AP157" s="44"/>
      <c r="AQ157" s="236" t="str">
        <f>VLOOKUP(Table8[[#This Row],[Instrument]],Def_Targets!$D$73:$E$159,2,FALSE)</f>
        <v>I_Altfuels</v>
      </c>
      <c r="AR157" s="233" t="str">
        <f>VLOOKUP(Table8[[#This Row],[Country Code]],Table29[],3,FALSE)</f>
        <v>Non-Annex I</v>
      </c>
      <c r="AS157" s="233" t="str">
        <f>VLOOKUP(Table8[[#This Row],[Country Code]],Table29[],4,FALSE)</f>
        <v>Latin America and the Caribbean</v>
      </c>
      <c r="AT157" s="233" t="str">
        <f>VLOOKUP(Table8[[#This Row],[Country Code]],Table29[],5,FALSE)</f>
        <v>High-income</v>
      </c>
      <c r="AU157" s="233" t="str">
        <f>VLOOKUP(Table8[[#This Row],[Country Code]],Table29[],6,FALSE)</f>
        <v>no</v>
      </c>
      <c r="AV157" s="233" t="str">
        <f>VLOOKUP(Table8[[#This Row],[Country Code]],Table29[],7,FALSE)</f>
        <v>no</v>
      </c>
      <c r="AW157" s="233" t="str">
        <f>VLOOKUP(Table8[[#This Row],[Country Code]],Table29[],8,FALSE)</f>
        <v>non-OECD</v>
      </c>
      <c r="AX157" s="233" t="str">
        <f>VLOOKUP(Table8[[#This Row],[Country Code]],Table29[],9,FALSE)</f>
        <v>no</v>
      </c>
      <c r="AY157" s="233" t="str">
        <f>VLOOKUP(Table8[[#This Row],[Country Code]],Table29[],10,FALSE)</f>
        <v>no</v>
      </c>
      <c r="AZ157" s="235">
        <f>VLOOKUP(Table8[[#This Row],[Country Code]],Table29[],23,FALSE)</f>
        <v>2.0502828926944998</v>
      </c>
      <c r="BA157" s="235">
        <f>VLOOKUP(Table8[[#This Row],[Country Code]],Table29[],24,FALSE)</f>
        <v>0.59970961940231238</v>
      </c>
      <c r="BB157" s="320"/>
      <c r="BC157" s="320"/>
    </row>
    <row r="158" spans="1:55" hidden="1" x14ac:dyDescent="0.25">
      <c r="A158" s="373">
        <v>17522</v>
      </c>
      <c r="B158" s="233" t="str">
        <f>VLOOKUP(Table8[[#This Row],[Document ID]],Table1[],2,FALSE)</f>
        <v>BHS</v>
      </c>
      <c r="C158" s="233" t="str">
        <f>VLOOKUP(Table8[[#This Row],[Document ID]],Table1[],3,FALSE)</f>
        <v>Bahamas</v>
      </c>
      <c r="D158" s="243" t="str">
        <f>VLOOKUP(Table8[[#This Row],[Document ID]],Table1[],5,FALSE)</f>
        <v>NDC</v>
      </c>
      <c r="E158" s="233" t="str">
        <f>VLOOKUP(Table8[[#This Row],[Document ID]],Table1[],7,FALSE)</f>
        <v>First NDC</v>
      </c>
      <c r="F158" s="236" t="str">
        <f>VLOOKUP(Table8[[#This Row],[Document ID]],Table1[],8,FALSE)</f>
        <v>NDC 1.0</v>
      </c>
      <c r="G158" s="236" t="str">
        <f>VLOOKUP(Table8[[#This Row],[Document ID]],Table1[],10,FALSE)</f>
        <v>Archived</v>
      </c>
      <c r="H158" s="43" t="s">
        <v>2343</v>
      </c>
      <c r="I158" s="43" t="s">
        <v>2377</v>
      </c>
      <c r="J158" s="44" t="s">
        <v>2378</v>
      </c>
      <c r="K158" s="44" t="s">
        <v>2538</v>
      </c>
      <c r="L158" s="44" t="s">
        <v>2333</v>
      </c>
      <c r="M158" s="43"/>
      <c r="N158" s="113" t="s">
        <v>1113</v>
      </c>
      <c r="O158" s="113"/>
      <c r="P158" s="113"/>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t="s">
        <v>1113</v>
      </c>
      <c r="AL158" s="319"/>
      <c r="AM158" s="319"/>
      <c r="AN158" s="319"/>
      <c r="AO158" s="44" t="s">
        <v>2334</v>
      </c>
      <c r="AP158" s="44"/>
      <c r="AQ158" s="236" t="str">
        <f>VLOOKUP(Table8[[#This Row],[Instrument]],Def_Targets!$D$73:$E$159,2,FALSE)</f>
        <v>A_Commute</v>
      </c>
      <c r="AR158" s="233" t="str">
        <f>VLOOKUP(Table8[[#This Row],[Country Code]],Table29[],3,FALSE)</f>
        <v>Non-Annex I</v>
      </c>
      <c r="AS158" s="233" t="str">
        <f>VLOOKUP(Table8[[#This Row],[Country Code]],Table29[],4,FALSE)</f>
        <v>Latin America and the Caribbean</v>
      </c>
      <c r="AT158" s="233" t="str">
        <f>VLOOKUP(Table8[[#This Row],[Country Code]],Table29[],5,FALSE)</f>
        <v>High-income</v>
      </c>
      <c r="AU158" s="233" t="str">
        <f>VLOOKUP(Table8[[#This Row],[Country Code]],Table29[],6,FALSE)</f>
        <v>no</v>
      </c>
      <c r="AV158" s="233" t="str">
        <f>VLOOKUP(Table8[[#This Row],[Country Code]],Table29[],7,FALSE)</f>
        <v>no</v>
      </c>
      <c r="AW158" s="233" t="str">
        <f>VLOOKUP(Table8[[#This Row],[Country Code]],Table29[],8,FALSE)</f>
        <v>non-OECD</v>
      </c>
      <c r="AX158" s="233" t="str">
        <f>VLOOKUP(Table8[[#This Row],[Country Code]],Table29[],9,FALSE)</f>
        <v>no</v>
      </c>
      <c r="AY158" s="233" t="str">
        <f>VLOOKUP(Table8[[#This Row],[Country Code]],Table29[],10,FALSE)</f>
        <v>no</v>
      </c>
      <c r="AZ158" s="235">
        <f>VLOOKUP(Table8[[#This Row],[Country Code]],Table29[],23,FALSE)</f>
        <v>2.0502828926944998</v>
      </c>
      <c r="BA158" s="235">
        <f>VLOOKUP(Table8[[#This Row],[Country Code]],Table29[],24,FALSE)</f>
        <v>0.59970961940231238</v>
      </c>
      <c r="BB158" s="320"/>
      <c r="BC158" s="320"/>
    </row>
    <row r="159" spans="1:55" hidden="1" x14ac:dyDescent="0.25">
      <c r="A159" s="373">
        <v>17522</v>
      </c>
      <c r="B159" s="233" t="str">
        <f>VLOOKUP(Table8[[#This Row],[Document ID]],Table1[],2,FALSE)</f>
        <v>BHS</v>
      </c>
      <c r="C159" s="233" t="str">
        <f>VLOOKUP(Table8[[#This Row],[Document ID]],Table1[],3,FALSE)</f>
        <v>Bahamas</v>
      </c>
      <c r="D159" s="243" t="str">
        <f>VLOOKUP(Table8[[#This Row],[Document ID]],Table1[],5,FALSE)</f>
        <v>NDC</v>
      </c>
      <c r="E159" s="233" t="str">
        <f>VLOOKUP(Table8[[#This Row],[Document ID]],Table1[],7,FALSE)</f>
        <v>First NDC</v>
      </c>
      <c r="F159" s="236" t="str">
        <f>VLOOKUP(Table8[[#This Row],[Document ID]],Table1[],8,FALSE)</f>
        <v>NDC 1.0</v>
      </c>
      <c r="G159" s="236" t="str">
        <f>VLOOKUP(Table8[[#This Row],[Document ID]],Table1[],10,FALSE)</f>
        <v>Archived</v>
      </c>
      <c r="H159" s="43" t="s">
        <v>2343</v>
      </c>
      <c r="I159" s="44" t="s">
        <v>2377</v>
      </c>
      <c r="J159" s="44" t="s">
        <v>2378</v>
      </c>
      <c r="K159" s="44" t="s">
        <v>2538</v>
      </c>
      <c r="L159" s="44" t="s">
        <v>2380</v>
      </c>
      <c r="M159" s="43"/>
      <c r="N159" s="113" t="s">
        <v>1113</v>
      </c>
      <c r="O159" s="113"/>
      <c r="P159" s="113"/>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t="s">
        <v>1113</v>
      </c>
      <c r="AL159" s="319"/>
      <c r="AM159" s="319"/>
      <c r="AN159" s="319"/>
      <c r="AO159" s="44" t="s">
        <v>2334</v>
      </c>
      <c r="AP159" s="44"/>
      <c r="AQ159" s="236" t="str">
        <f>VLOOKUP(Table8[[#This Row],[Instrument]],Def_Targets!$D$73:$E$159,2,FALSE)</f>
        <v>A_Commute</v>
      </c>
      <c r="AR159" s="233" t="str">
        <f>VLOOKUP(Table8[[#This Row],[Country Code]],Table29[],3,FALSE)</f>
        <v>Non-Annex I</v>
      </c>
      <c r="AS159" s="233" t="str">
        <f>VLOOKUP(Table8[[#This Row],[Country Code]],Table29[],4,FALSE)</f>
        <v>Latin America and the Caribbean</v>
      </c>
      <c r="AT159" s="233" t="str">
        <f>VLOOKUP(Table8[[#This Row],[Country Code]],Table29[],5,FALSE)</f>
        <v>High-income</v>
      </c>
      <c r="AU159" s="233" t="str">
        <f>VLOOKUP(Table8[[#This Row],[Country Code]],Table29[],6,FALSE)</f>
        <v>no</v>
      </c>
      <c r="AV159" s="233" t="str">
        <f>VLOOKUP(Table8[[#This Row],[Country Code]],Table29[],7,FALSE)</f>
        <v>no</v>
      </c>
      <c r="AW159" s="233" t="str">
        <f>VLOOKUP(Table8[[#This Row],[Country Code]],Table29[],8,FALSE)</f>
        <v>non-OECD</v>
      </c>
      <c r="AX159" s="233" t="str">
        <f>VLOOKUP(Table8[[#This Row],[Country Code]],Table29[],9,FALSE)</f>
        <v>no</v>
      </c>
      <c r="AY159" s="233" t="str">
        <f>VLOOKUP(Table8[[#This Row],[Country Code]],Table29[],10,FALSE)</f>
        <v>no</v>
      </c>
      <c r="AZ159" s="235">
        <f>VLOOKUP(Table8[[#This Row],[Country Code]],Table29[],23,FALSE)</f>
        <v>2.0502828926944998</v>
      </c>
      <c r="BA159" s="235">
        <f>VLOOKUP(Table8[[#This Row],[Country Code]],Table29[],24,FALSE)</f>
        <v>0.59970961940231238</v>
      </c>
      <c r="BB159" s="320"/>
      <c r="BC159" s="320"/>
    </row>
    <row r="160" spans="1:55" ht="30" hidden="1" x14ac:dyDescent="0.25">
      <c r="A160" s="373">
        <v>17522</v>
      </c>
      <c r="B160" s="233" t="str">
        <f>VLOOKUP(Table8[[#This Row],[Document ID]],Table1[],2,FALSE)</f>
        <v>BHS</v>
      </c>
      <c r="C160" s="233" t="str">
        <f>VLOOKUP(Table8[[#This Row],[Document ID]],Table1[],3,FALSE)</f>
        <v>Bahamas</v>
      </c>
      <c r="D160" s="243" t="str">
        <f>VLOOKUP(Table8[[#This Row],[Document ID]],Table1[],5,FALSE)</f>
        <v>NDC</v>
      </c>
      <c r="E160" s="233" t="str">
        <f>VLOOKUP(Table8[[#This Row],[Document ID]],Table1[],7,FALSE)</f>
        <v>First NDC</v>
      </c>
      <c r="F160" s="236" t="str">
        <f>VLOOKUP(Table8[[#This Row],[Document ID]],Table1[],8,FALSE)</f>
        <v>NDC 1.0</v>
      </c>
      <c r="G160" s="236" t="str">
        <f>VLOOKUP(Table8[[#This Row],[Document ID]],Table1[],10,FALSE)</f>
        <v>Archived</v>
      </c>
      <c r="H160" s="43" t="s">
        <v>2343</v>
      </c>
      <c r="I160" s="43" t="s">
        <v>2344</v>
      </c>
      <c r="J160" s="44" t="s">
        <v>2345</v>
      </c>
      <c r="K160" s="44" t="s">
        <v>2539</v>
      </c>
      <c r="L160" s="44" t="s">
        <v>2347</v>
      </c>
      <c r="M160" s="43"/>
      <c r="N160" s="113" t="s">
        <v>1113</v>
      </c>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319"/>
      <c r="AL160" s="113" t="s">
        <v>1113</v>
      </c>
      <c r="AM160" s="319"/>
      <c r="AN160" s="319"/>
      <c r="AO160" s="43" t="s">
        <v>2348</v>
      </c>
      <c r="AP160" s="44"/>
      <c r="AQ160" s="236" t="str">
        <f>VLOOKUP(Table8[[#This Row],[Instrument]],Def_Targets!$D$73:$E$159,2,FALSE)</f>
        <v>S_PublicTransport</v>
      </c>
      <c r="AR160" s="233" t="str">
        <f>VLOOKUP(Table8[[#This Row],[Country Code]],Table29[],3,FALSE)</f>
        <v>Non-Annex I</v>
      </c>
      <c r="AS160" s="233" t="str">
        <f>VLOOKUP(Table8[[#This Row],[Country Code]],Table29[],4,FALSE)</f>
        <v>Latin America and the Caribbean</v>
      </c>
      <c r="AT160" s="233" t="str">
        <f>VLOOKUP(Table8[[#This Row],[Country Code]],Table29[],5,FALSE)</f>
        <v>High-income</v>
      </c>
      <c r="AU160" s="233" t="str">
        <f>VLOOKUP(Table8[[#This Row],[Country Code]],Table29[],6,FALSE)</f>
        <v>no</v>
      </c>
      <c r="AV160" s="233" t="str">
        <f>VLOOKUP(Table8[[#This Row],[Country Code]],Table29[],7,FALSE)</f>
        <v>no</v>
      </c>
      <c r="AW160" s="233" t="str">
        <f>VLOOKUP(Table8[[#This Row],[Country Code]],Table29[],8,FALSE)</f>
        <v>non-OECD</v>
      </c>
      <c r="AX160" s="233" t="str">
        <f>VLOOKUP(Table8[[#This Row],[Country Code]],Table29[],9,FALSE)</f>
        <v>no</v>
      </c>
      <c r="AY160" s="233" t="str">
        <f>VLOOKUP(Table8[[#This Row],[Country Code]],Table29[],10,FALSE)</f>
        <v>no</v>
      </c>
      <c r="AZ160" s="235">
        <f>VLOOKUP(Table8[[#This Row],[Country Code]],Table29[],23,FALSE)</f>
        <v>2.0502828926944998</v>
      </c>
      <c r="BA160" s="235">
        <f>VLOOKUP(Table8[[#This Row],[Country Code]],Table29[],24,FALSE)</f>
        <v>0.59970961940231238</v>
      </c>
      <c r="BB160" s="320"/>
      <c r="BC160" s="320"/>
    </row>
    <row r="161" spans="1:55" hidden="1" x14ac:dyDescent="0.25">
      <c r="A161" s="373">
        <v>17522</v>
      </c>
      <c r="B161" s="233" t="str">
        <f>VLOOKUP(Table8[[#This Row],[Document ID]],Table1[],2,FALSE)</f>
        <v>BHS</v>
      </c>
      <c r="C161" s="233" t="str">
        <f>VLOOKUP(Table8[[#This Row],[Document ID]],Table1[],3,FALSE)</f>
        <v>Bahamas</v>
      </c>
      <c r="D161" s="243" t="str">
        <f>VLOOKUP(Table8[[#This Row],[Document ID]],Table1[],5,FALSE)</f>
        <v>NDC</v>
      </c>
      <c r="E161" s="233" t="str">
        <f>VLOOKUP(Table8[[#This Row],[Document ID]],Table1[],7,FALSE)</f>
        <v>First NDC</v>
      </c>
      <c r="F161" s="236" t="str">
        <f>VLOOKUP(Table8[[#This Row],[Document ID]],Table1[],8,FALSE)</f>
        <v>NDC 1.0</v>
      </c>
      <c r="G161" s="236" t="str">
        <f>VLOOKUP(Table8[[#This Row],[Document ID]],Table1[],10,FALSE)</f>
        <v>Archived</v>
      </c>
      <c r="H161" s="43" t="s">
        <v>2343</v>
      </c>
      <c r="I161" s="43" t="s">
        <v>2361</v>
      </c>
      <c r="J161" s="44" t="s">
        <v>2366</v>
      </c>
      <c r="K161" s="44" t="s">
        <v>2540</v>
      </c>
      <c r="L161" s="44" t="s">
        <v>2347</v>
      </c>
      <c r="M161" s="43"/>
      <c r="N161" s="113"/>
      <c r="O161" s="113"/>
      <c r="P161" s="113" t="s">
        <v>1113</v>
      </c>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t="s">
        <v>1113</v>
      </c>
      <c r="AL161" s="319"/>
      <c r="AM161" s="319"/>
      <c r="AN161" s="319"/>
      <c r="AO161" s="44" t="s">
        <v>2334</v>
      </c>
      <c r="AP161" s="44"/>
      <c r="AQ161" s="236" t="str">
        <f>VLOOKUP(Table8[[#This Row],[Instrument]],Def_Targets!$D$73:$E$159,2,FALSE)</f>
        <v>S_Activemobility</v>
      </c>
      <c r="AR161" s="233" t="str">
        <f>VLOOKUP(Table8[[#This Row],[Country Code]],Table29[],3,FALSE)</f>
        <v>Non-Annex I</v>
      </c>
      <c r="AS161" s="233" t="str">
        <f>VLOOKUP(Table8[[#This Row],[Country Code]],Table29[],4,FALSE)</f>
        <v>Latin America and the Caribbean</v>
      </c>
      <c r="AT161" s="233" t="str">
        <f>VLOOKUP(Table8[[#This Row],[Country Code]],Table29[],5,FALSE)</f>
        <v>High-income</v>
      </c>
      <c r="AU161" s="233" t="str">
        <f>VLOOKUP(Table8[[#This Row],[Country Code]],Table29[],6,FALSE)</f>
        <v>no</v>
      </c>
      <c r="AV161" s="233" t="str">
        <f>VLOOKUP(Table8[[#This Row],[Country Code]],Table29[],7,FALSE)</f>
        <v>no</v>
      </c>
      <c r="AW161" s="233" t="str">
        <f>VLOOKUP(Table8[[#This Row],[Country Code]],Table29[],8,FALSE)</f>
        <v>non-OECD</v>
      </c>
      <c r="AX161" s="233" t="str">
        <f>VLOOKUP(Table8[[#This Row],[Country Code]],Table29[],9,FALSE)</f>
        <v>no</v>
      </c>
      <c r="AY161" s="233" t="str">
        <f>VLOOKUP(Table8[[#This Row],[Country Code]],Table29[],10,FALSE)</f>
        <v>no</v>
      </c>
      <c r="AZ161" s="235">
        <f>VLOOKUP(Table8[[#This Row],[Country Code]],Table29[],23,FALSE)</f>
        <v>2.0502828926944998</v>
      </c>
      <c r="BA161" s="235">
        <f>VLOOKUP(Table8[[#This Row],[Country Code]],Table29[],24,FALSE)</f>
        <v>0.59970961940231238</v>
      </c>
      <c r="BB161" s="320"/>
      <c r="BC161" s="320"/>
    </row>
    <row r="162" spans="1:55" s="22" customFormat="1" hidden="1" x14ac:dyDescent="0.25">
      <c r="A162" s="373">
        <v>17522</v>
      </c>
      <c r="B162" s="233" t="str">
        <f>VLOOKUP(Table8[[#This Row],[Document ID]],Table1[],2,FALSE)</f>
        <v>BHS</v>
      </c>
      <c r="C162" s="233" t="str">
        <f>VLOOKUP(Table8[[#This Row],[Document ID]],Table1[],3,FALSE)</f>
        <v>Bahamas</v>
      </c>
      <c r="D162" s="243" t="str">
        <f>VLOOKUP(Table8[[#This Row],[Document ID]],Table1[],5,FALSE)</f>
        <v>NDC</v>
      </c>
      <c r="E162" s="233" t="str">
        <f>VLOOKUP(Table8[[#This Row],[Document ID]],Table1[],7,FALSE)</f>
        <v>First NDC</v>
      </c>
      <c r="F162" s="236" t="str">
        <f>VLOOKUP(Table8[[#This Row],[Document ID]],Table1[],8,FALSE)</f>
        <v>NDC 1.0</v>
      </c>
      <c r="G162" s="236" t="str">
        <f>VLOOKUP(Table8[[#This Row],[Document ID]],Table1[],10,FALSE)</f>
        <v>Archived</v>
      </c>
      <c r="H162" s="44" t="s">
        <v>2338</v>
      </c>
      <c r="I162" s="44" t="s">
        <v>2339</v>
      </c>
      <c r="J162" s="44" t="s">
        <v>2451</v>
      </c>
      <c r="K162" s="44" t="s">
        <v>2541</v>
      </c>
      <c r="L162" s="44" t="s">
        <v>2333</v>
      </c>
      <c r="M162" s="43"/>
      <c r="N162" s="113"/>
      <c r="O162" s="113"/>
      <c r="P162" s="113"/>
      <c r="Q162" s="319"/>
      <c r="R162" s="319"/>
      <c r="S162" s="113" t="s">
        <v>1113</v>
      </c>
      <c r="T162" s="319"/>
      <c r="U162" s="319"/>
      <c r="V162" s="319"/>
      <c r="W162" s="319"/>
      <c r="X162" s="319"/>
      <c r="Y162" s="319"/>
      <c r="Z162" s="319"/>
      <c r="AA162" s="319"/>
      <c r="AB162" s="319"/>
      <c r="AC162" s="319"/>
      <c r="AD162" s="319"/>
      <c r="AE162" s="319"/>
      <c r="AF162" s="319"/>
      <c r="AG162" s="319"/>
      <c r="AH162" s="319"/>
      <c r="AI162" s="319"/>
      <c r="AJ162" s="319"/>
      <c r="AK162" s="319" t="s">
        <v>1113</v>
      </c>
      <c r="AL162" s="319"/>
      <c r="AM162" s="319"/>
      <c r="AN162" s="319"/>
      <c r="AO162" s="44" t="s">
        <v>2334</v>
      </c>
      <c r="AP162" s="44"/>
      <c r="AQ162" s="236" t="str">
        <f>VLOOKUP(Table8[[#This Row],[Instrument]],Def_Targets!$D$73:$E$159,2,FALSE)</f>
        <v>I_Inspection</v>
      </c>
      <c r="AR162" s="233" t="str">
        <f>VLOOKUP(Table8[[#This Row],[Country Code]],Table29[],3,FALSE)</f>
        <v>Non-Annex I</v>
      </c>
      <c r="AS162" s="233" t="str">
        <f>VLOOKUP(Table8[[#This Row],[Country Code]],Table29[],4,FALSE)</f>
        <v>Latin America and the Caribbean</v>
      </c>
      <c r="AT162" s="233" t="str">
        <f>VLOOKUP(Table8[[#This Row],[Country Code]],Table29[],5,FALSE)</f>
        <v>High-income</v>
      </c>
      <c r="AU162" s="233" t="str">
        <f>VLOOKUP(Table8[[#This Row],[Country Code]],Table29[],6,FALSE)</f>
        <v>no</v>
      </c>
      <c r="AV162" s="233" t="str">
        <f>VLOOKUP(Table8[[#This Row],[Country Code]],Table29[],7,FALSE)</f>
        <v>no</v>
      </c>
      <c r="AW162" s="233" t="str">
        <f>VLOOKUP(Table8[[#This Row],[Country Code]],Table29[],8,FALSE)</f>
        <v>non-OECD</v>
      </c>
      <c r="AX162" s="233" t="str">
        <f>VLOOKUP(Table8[[#This Row],[Country Code]],Table29[],9,FALSE)</f>
        <v>no</v>
      </c>
      <c r="AY162" s="233" t="str">
        <f>VLOOKUP(Table8[[#This Row],[Country Code]],Table29[],10,FALSE)</f>
        <v>no</v>
      </c>
      <c r="AZ162" s="235">
        <f>VLOOKUP(Table8[[#This Row],[Country Code]],Table29[],23,FALSE)</f>
        <v>2.0502828926944998</v>
      </c>
      <c r="BA162" s="235">
        <f>VLOOKUP(Table8[[#This Row],[Country Code]],Table29[],24,FALSE)</f>
        <v>0.59970961940231238</v>
      </c>
      <c r="BB162" s="176"/>
      <c r="BC162" s="176"/>
    </row>
    <row r="163" spans="1:55" s="22" customFormat="1" hidden="1" x14ac:dyDescent="0.25">
      <c r="A163" s="373">
        <v>17522</v>
      </c>
      <c r="B163" s="233" t="str">
        <f>VLOOKUP(Table8[[#This Row],[Document ID]],Table1[],2,FALSE)</f>
        <v>BHS</v>
      </c>
      <c r="C163" s="233" t="str">
        <f>VLOOKUP(Table8[[#This Row],[Document ID]],Table1[],3,FALSE)</f>
        <v>Bahamas</v>
      </c>
      <c r="D163" s="243" t="str">
        <f>VLOOKUP(Table8[[#This Row],[Document ID]],Table1[],5,FALSE)</f>
        <v>NDC</v>
      </c>
      <c r="E163" s="233" t="str">
        <f>VLOOKUP(Table8[[#This Row],[Document ID]],Table1[],7,FALSE)</f>
        <v>First NDC</v>
      </c>
      <c r="F163" s="236" t="str">
        <f>VLOOKUP(Table8[[#This Row],[Document ID]],Table1[],8,FALSE)</f>
        <v>NDC 1.0</v>
      </c>
      <c r="G163" s="236" t="str">
        <f>VLOOKUP(Table8[[#This Row],[Document ID]],Table1[],10,FALSE)</f>
        <v>Archived</v>
      </c>
      <c r="H163" s="44" t="s">
        <v>2329</v>
      </c>
      <c r="I163" s="44" t="s">
        <v>2330</v>
      </c>
      <c r="J163" s="44" t="s">
        <v>2357</v>
      </c>
      <c r="K163" s="44" t="s">
        <v>2542</v>
      </c>
      <c r="L163" s="44" t="s">
        <v>2333</v>
      </c>
      <c r="M163" s="43"/>
      <c r="N163" s="113" t="s">
        <v>1113</v>
      </c>
      <c r="O163" s="113"/>
      <c r="P163" s="113"/>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t="s">
        <v>1113</v>
      </c>
      <c r="AL163" s="319"/>
      <c r="AM163" s="319"/>
      <c r="AN163" s="319"/>
      <c r="AO163" s="44" t="s">
        <v>2334</v>
      </c>
      <c r="AP163" s="44"/>
      <c r="AQ163" s="236" t="str">
        <f>VLOOKUP(Table8[[#This Row],[Instrument]],Def_Targets!$D$73:$E$159,2,FALSE)</f>
        <v>I_Biofuel</v>
      </c>
      <c r="AR163" s="233" t="str">
        <f>VLOOKUP(Table8[[#This Row],[Country Code]],Table29[],3,FALSE)</f>
        <v>Non-Annex I</v>
      </c>
      <c r="AS163" s="233" t="str">
        <f>VLOOKUP(Table8[[#This Row],[Country Code]],Table29[],4,FALSE)</f>
        <v>Latin America and the Caribbean</v>
      </c>
      <c r="AT163" s="233" t="str">
        <f>VLOOKUP(Table8[[#This Row],[Country Code]],Table29[],5,FALSE)</f>
        <v>High-income</v>
      </c>
      <c r="AU163" s="233" t="str">
        <f>VLOOKUP(Table8[[#This Row],[Country Code]],Table29[],6,FALSE)</f>
        <v>no</v>
      </c>
      <c r="AV163" s="233" t="str">
        <f>VLOOKUP(Table8[[#This Row],[Country Code]],Table29[],7,FALSE)</f>
        <v>no</v>
      </c>
      <c r="AW163" s="233" t="str">
        <f>VLOOKUP(Table8[[#This Row],[Country Code]],Table29[],8,FALSE)</f>
        <v>non-OECD</v>
      </c>
      <c r="AX163" s="233" t="str">
        <f>VLOOKUP(Table8[[#This Row],[Country Code]],Table29[],9,FALSE)</f>
        <v>no</v>
      </c>
      <c r="AY163" s="233" t="str">
        <f>VLOOKUP(Table8[[#This Row],[Country Code]],Table29[],10,FALSE)</f>
        <v>no</v>
      </c>
      <c r="AZ163" s="235">
        <f>VLOOKUP(Table8[[#This Row],[Country Code]],Table29[],23,FALSE)</f>
        <v>2.0502828926944998</v>
      </c>
      <c r="BA163" s="235">
        <f>VLOOKUP(Table8[[#This Row],[Country Code]],Table29[],24,FALSE)</f>
        <v>0.59970961940231238</v>
      </c>
      <c r="BB163" s="176"/>
      <c r="BC163" s="176"/>
    </row>
    <row r="164" spans="1:55" hidden="1" x14ac:dyDescent="0.25">
      <c r="A164" s="373">
        <v>32496</v>
      </c>
      <c r="B164" s="233" t="str">
        <f>VLOOKUP(Table8[[#This Row],[Document ID]],Table1[],2,FALSE)</f>
        <v>BHS</v>
      </c>
      <c r="C164" s="233" t="str">
        <f>VLOOKUP(Table8[[#This Row],[Document ID]],Table1[],3,FALSE)</f>
        <v>Bahamas</v>
      </c>
      <c r="D164" s="243" t="str">
        <f>VLOOKUP(Table8[[#This Row],[Document ID]],Table1[],5,FALSE)</f>
        <v>NDC</v>
      </c>
      <c r="E164" s="233" t="str">
        <f>VLOOKUP(Table8[[#This Row],[Document ID]],Table1[],7,FALSE)</f>
        <v>First NDC updated</v>
      </c>
      <c r="F164" s="233" t="str">
        <f>VLOOKUP(Table8[[#This Row],[Document ID]],Table1[],8,FALSE)</f>
        <v>NDC 1.1</v>
      </c>
      <c r="G164" s="233" t="str">
        <f>VLOOKUP(Table8[[#This Row],[Document ID]],Table1[],10,FALSE)</f>
        <v>Active</v>
      </c>
      <c r="H164" s="43" t="s">
        <v>2343</v>
      </c>
      <c r="I164" s="43" t="s">
        <v>2344</v>
      </c>
      <c r="J164" s="44" t="s">
        <v>2345</v>
      </c>
      <c r="K164" s="44" t="s">
        <v>2543</v>
      </c>
      <c r="L164" s="44" t="s">
        <v>2347</v>
      </c>
      <c r="M164" s="43">
        <v>36</v>
      </c>
      <c r="N164" s="113" t="s">
        <v>1113</v>
      </c>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t="s">
        <v>1113</v>
      </c>
      <c r="AL164" s="113"/>
      <c r="AM164" s="113"/>
      <c r="AN164" s="113"/>
      <c r="AO164" s="43" t="s">
        <v>2348</v>
      </c>
      <c r="AP164" s="43"/>
      <c r="AQ164" s="236" t="str">
        <f>VLOOKUP(Table8[[#This Row],[Instrument]],Def_Targets!$D$73:$E$159,2,FALSE)</f>
        <v>S_PublicTransport</v>
      </c>
      <c r="AR164" s="233" t="str">
        <f>VLOOKUP(Table8[[#This Row],[Country Code]],Table29[],3,FALSE)</f>
        <v>Non-Annex I</v>
      </c>
      <c r="AS164" s="233" t="str">
        <f>VLOOKUP(Table8[[#This Row],[Country Code]],Table29[],4,FALSE)</f>
        <v>Latin America and the Caribbean</v>
      </c>
      <c r="AT164" s="233" t="str">
        <f>VLOOKUP(Table8[[#This Row],[Country Code]],Table29[],5,FALSE)</f>
        <v>High-income</v>
      </c>
      <c r="AU164" s="233" t="str">
        <f>VLOOKUP(Table8[[#This Row],[Country Code]],Table29[],6,FALSE)</f>
        <v>no</v>
      </c>
      <c r="AV164" s="233" t="str">
        <f>VLOOKUP(Table8[[#This Row],[Country Code]],Table29[],7,FALSE)</f>
        <v>no</v>
      </c>
      <c r="AW164" s="233" t="str">
        <f>VLOOKUP(Table8[[#This Row],[Country Code]],Table29[],8,FALSE)</f>
        <v>non-OECD</v>
      </c>
      <c r="AX164" s="233" t="str">
        <f>VLOOKUP(Table8[[#This Row],[Country Code]],Table29[],9,FALSE)</f>
        <v>no</v>
      </c>
      <c r="AY164" s="233" t="str">
        <f>VLOOKUP(Table8[[#This Row],[Country Code]],Table29[],10,FALSE)</f>
        <v>no</v>
      </c>
      <c r="AZ164" s="235">
        <f>VLOOKUP(Table8[[#This Row],[Country Code]],Table29[],23,FALSE)</f>
        <v>2.0502828926944998</v>
      </c>
      <c r="BA164" s="235">
        <f>VLOOKUP(Table8[[#This Row],[Country Code]],Table29[],24,FALSE)</f>
        <v>0.59970961940231238</v>
      </c>
      <c r="BB164" s="320"/>
      <c r="BC164" s="320"/>
    </row>
    <row r="165" spans="1:55" hidden="1" x14ac:dyDescent="0.25">
      <c r="A165" s="373">
        <v>32496</v>
      </c>
      <c r="B165" s="233" t="str">
        <f>VLOOKUP(Table8[[#This Row],[Document ID]],Table1[],2,FALSE)</f>
        <v>BHS</v>
      </c>
      <c r="C165" s="233" t="str">
        <f>VLOOKUP(Table8[[#This Row],[Document ID]],Table1[],3,FALSE)</f>
        <v>Bahamas</v>
      </c>
      <c r="D165" s="243" t="str">
        <f>VLOOKUP(Table8[[#This Row],[Document ID]],Table1[],5,FALSE)</f>
        <v>NDC</v>
      </c>
      <c r="E165" s="233" t="str">
        <f>VLOOKUP(Table8[[#This Row],[Document ID]],Table1[],7,FALSE)</f>
        <v>First NDC updated</v>
      </c>
      <c r="F165" s="233" t="str">
        <f>VLOOKUP(Table8[[#This Row],[Document ID]],Table1[],8,FALSE)</f>
        <v>NDC 1.1</v>
      </c>
      <c r="G165" s="233" t="str">
        <f>VLOOKUP(Table8[[#This Row],[Document ID]],Table1[],10,FALSE)</f>
        <v>Active</v>
      </c>
      <c r="H165" s="44" t="s">
        <v>2338</v>
      </c>
      <c r="I165" s="44" t="s">
        <v>2339</v>
      </c>
      <c r="J165" s="44" t="s">
        <v>2413</v>
      </c>
      <c r="K165" s="44" t="s">
        <v>2544</v>
      </c>
      <c r="L165" s="44" t="s">
        <v>2333</v>
      </c>
      <c r="M165" s="43">
        <v>36</v>
      </c>
      <c r="N165" s="113"/>
      <c r="O165" s="113"/>
      <c r="P165" s="113"/>
      <c r="Q165" s="113"/>
      <c r="R165" s="113"/>
      <c r="S165" s="113" t="s">
        <v>1113</v>
      </c>
      <c r="T165" s="113"/>
      <c r="U165" s="113"/>
      <c r="V165" s="113"/>
      <c r="W165" s="113"/>
      <c r="X165" s="113"/>
      <c r="Y165" s="113"/>
      <c r="Z165" s="113"/>
      <c r="AA165" s="113"/>
      <c r="AB165" s="113"/>
      <c r="AC165" s="113"/>
      <c r="AD165" s="113"/>
      <c r="AE165" s="113"/>
      <c r="AF165" s="113"/>
      <c r="AG165" s="113"/>
      <c r="AH165" s="113"/>
      <c r="AI165" s="113"/>
      <c r="AJ165" s="113"/>
      <c r="AK165" s="113" t="s">
        <v>1113</v>
      </c>
      <c r="AL165" s="113"/>
      <c r="AM165" s="113"/>
      <c r="AN165" s="113"/>
      <c r="AO165" s="44" t="s">
        <v>2334</v>
      </c>
      <c r="AP165" s="43"/>
      <c r="AQ165" s="236" t="str">
        <f>VLOOKUP(Table8[[#This Row],[Instrument]],Def_Targets!$D$73:$E$159,2,FALSE)</f>
        <v>I_Vehicleeff</v>
      </c>
      <c r="AR165" s="233" t="str">
        <f>VLOOKUP(Table8[[#This Row],[Country Code]],Table29[],3,FALSE)</f>
        <v>Non-Annex I</v>
      </c>
      <c r="AS165" s="233" t="str">
        <f>VLOOKUP(Table8[[#This Row],[Country Code]],Table29[],4,FALSE)</f>
        <v>Latin America and the Caribbean</v>
      </c>
      <c r="AT165" s="233" t="str">
        <f>VLOOKUP(Table8[[#This Row],[Country Code]],Table29[],5,FALSE)</f>
        <v>High-income</v>
      </c>
      <c r="AU165" s="233" t="str">
        <f>VLOOKUP(Table8[[#This Row],[Country Code]],Table29[],6,FALSE)</f>
        <v>no</v>
      </c>
      <c r="AV165" s="233" t="str">
        <f>VLOOKUP(Table8[[#This Row],[Country Code]],Table29[],7,FALSE)</f>
        <v>no</v>
      </c>
      <c r="AW165" s="233" t="str">
        <f>VLOOKUP(Table8[[#This Row],[Country Code]],Table29[],8,FALSE)</f>
        <v>non-OECD</v>
      </c>
      <c r="AX165" s="233" t="str">
        <f>VLOOKUP(Table8[[#This Row],[Country Code]],Table29[],9,FALSE)</f>
        <v>no</v>
      </c>
      <c r="AY165" s="233" t="str">
        <f>VLOOKUP(Table8[[#This Row],[Country Code]],Table29[],10,FALSE)</f>
        <v>no</v>
      </c>
      <c r="AZ165" s="235">
        <f>VLOOKUP(Table8[[#This Row],[Country Code]],Table29[],23,FALSE)</f>
        <v>2.0502828926944998</v>
      </c>
      <c r="BA165" s="235">
        <f>VLOOKUP(Table8[[#This Row],[Country Code]],Table29[],24,FALSE)</f>
        <v>0.59970961940231238</v>
      </c>
      <c r="BB165" s="320"/>
      <c r="BC165" s="320"/>
    </row>
    <row r="166" spans="1:55" hidden="1" x14ac:dyDescent="0.25">
      <c r="A166" s="373">
        <v>32496</v>
      </c>
      <c r="B166" s="233" t="str">
        <f>VLOOKUP(Table8[[#This Row],[Document ID]],Table1[],2,FALSE)</f>
        <v>BHS</v>
      </c>
      <c r="C166" s="233" t="str">
        <f>VLOOKUP(Table8[[#This Row],[Document ID]],Table1[],3,FALSE)</f>
        <v>Bahamas</v>
      </c>
      <c r="D166" s="243" t="str">
        <f>VLOOKUP(Table8[[#This Row],[Document ID]],Table1[],5,FALSE)</f>
        <v>NDC</v>
      </c>
      <c r="E166" s="233" t="str">
        <f>VLOOKUP(Table8[[#This Row],[Document ID]],Table1[],7,FALSE)</f>
        <v>First NDC updated</v>
      </c>
      <c r="F166" s="233" t="str">
        <f>VLOOKUP(Table8[[#This Row],[Document ID]],Table1[],8,FALSE)</f>
        <v>NDC 1.1</v>
      </c>
      <c r="G166" s="233" t="str">
        <f>VLOOKUP(Table8[[#This Row],[Document ID]],Table1[],10,FALSE)</f>
        <v>Active</v>
      </c>
      <c r="H166" s="43" t="s">
        <v>2358</v>
      </c>
      <c r="I166" s="43" t="s">
        <v>2359</v>
      </c>
      <c r="J166" s="44" t="s">
        <v>2389</v>
      </c>
      <c r="K166" s="44" t="s">
        <v>2545</v>
      </c>
      <c r="L166" s="44" t="s">
        <v>2333</v>
      </c>
      <c r="M166" s="43">
        <v>37</v>
      </c>
      <c r="N166" s="113"/>
      <c r="O166" s="113"/>
      <c r="P166" s="113"/>
      <c r="Q166" s="113"/>
      <c r="R166" s="113"/>
      <c r="S166" s="113" t="s">
        <v>1113</v>
      </c>
      <c r="T166" s="113"/>
      <c r="U166" s="113"/>
      <c r="V166" s="113"/>
      <c r="W166" s="113"/>
      <c r="X166" s="113"/>
      <c r="Y166" s="113"/>
      <c r="Z166" s="113"/>
      <c r="AA166" s="113"/>
      <c r="AB166" s="113"/>
      <c r="AC166" s="113"/>
      <c r="AD166" s="113"/>
      <c r="AE166" s="113"/>
      <c r="AF166" s="113"/>
      <c r="AG166" s="113"/>
      <c r="AH166" s="113"/>
      <c r="AI166" s="113"/>
      <c r="AJ166" s="113"/>
      <c r="AK166" s="113" t="s">
        <v>1113</v>
      </c>
      <c r="AL166" s="113"/>
      <c r="AM166" s="113"/>
      <c r="AN166" s="113"/>
      <c r="AO166" s="44" t="s">
        <v>2334</v>
      </c>
      <c r="AP166" s="43"/>
      <c r="AQ166" s="236" t="str">
        <f>VLOOKUP(Table8[[#This Row],[Instrument]],Def_Targets!$D$73:$E$159,2,FALSE)</f>
        <v>I_Emobilitypurchase</v>
      </c>
      <c r="AR166" s="233" t="str">
        <f>VLOOKUP(Table8[[#This Row],[Country Code]],Table29[],3,FALSE)</f>
        <v>Non-Annex I</v>
      </c>
      <c r="AS166" s="233" t="str">
        <f>VLOOKUP(Table8[[#This Row],[Country Code]],Table29[],4,FALSE)</f>
        <v>Latin America and the Caribbean</v>
      </c>
      <c r="AT166" s="233" t="str">
        <f>VLOOKUP(Table8[[#This Row],[Country Code]],Table29[],5,FALSE)</f>
        <v>High-income</v>
      </c>
      <c r="AU166" s="233" t="str">
        <f>VLOOKUP(Table8[[#This Row],[Country Code]],Table29[],6,FALSE)</f>
        <v>no</v>
      </c>
      <c r="AV166" s="233" t="str">
        <f>VLOOKUP(Table8[[#This Row],[Country Code]],Table29[],7,FALSE)</f>
        <v>no</v>
      </c>
      <c r="AW166" s="233" t="str">
        <f>VLOOKUP(Table8[[#This Row],[Country Code]],Table29[],8,FALSE)</f>
        <v>non-OECD</v>
      </c>
      <c r="AX166" s="233" t="str">
        <f>VLOOKUP(Table8[[#This Row],[Country Code]],Table29[],9,FALSE)</f>
        <v>no</v>
      </c>
      <c r="AY166" s="233" t="str">
        <f>VLOOKUP(Table8[[#This Row],[Country Code]],Table29[],10,FALSE)</f>
        <v>no</v>
      </c>
      <c r="AZ166" s="235">
        <f>VLOOKUP(Table8[[#This Row],[Country Code]],Table29[],23,FALSE)</f>
        <v>2.0502828926944998</v>
      </c>
      <c r="BA166" s="235">
        <f>VLOOKUP(Table8[[#This Row],[Country Code]],Table29[],24,FALSE)</f>
        <v>0.59970961940231238</v>
      </c>
      <c r="BB166" s="320"/>
      <c r="BC166" s="320"/>
    </row>
    <row r="167" spans="1:55" ht="30" hidden="1" x14ac:dyDescent="0.25">
      <c r="A167" s="373">
        <v>32496</v>
      </c>
      <c r="B167" s="233" t="str">
        <f>VLOOKUP(Table8[[#This Row],[Document ID]],Table1[],2,FALSE)</f>
        <v>BHS</v>
      </c>
      <c r="C167" s="233" t="str">
        <f>VLOOKUP(Table8[[#This Row],[Document ID]],Table1[],3,FALSE)</f>
        <v>Bahamas</v>
      </c>
      <c r="D167" s="243" t="str">
        <f>VLOOKUP(Table8[[#This Row],[Document ID]],Table1[],5,FALSE)</f>
        <v>NDC</v>
      </c>
      <c r="E167" s="233" t="str">
        <f>VLOOKUP(Table8[[#This Row],[Document ID]],Table1[],7,FALSE)</f>
        <v>First NDC updated</v>
      </c>
      <c r="F167" s="233" t="str">
        <f>VLOOKUP(Table8[[#This Row],[Document ID]],Table1[],8,FALSE)</f>
        <v>NDC 1.1</v>
      </c>
      <c r="G167" s="233" t="str">
        <f>VLOOKUP(Table8[[#This Row],[Document ID]],Table1[],10,FALSE)</f>
        <v>Active</v>
      </c>
      <c r="H167" s="43" t="s">
        <v>2358</v>
      </c>
      <c r="I167" s="43" t="s">
        <v>2359</v>
      </c>
      <c r="J167" s="44" t="s">
        <v>2360</v>
      </c>
      <c r="K167" s="44" t="s">
        <v>2546</v>
      </c>
      <c r="L167" s="44" t="s">
        <v>2333</v>
      </c>
      <c r="M167" s="43">
        <v>37</v>
      </c>
      <c r="N167" s="113"/>
      <c r="O167" s="113"/>
      <c r="P167" s="113"/>
      <c r="Q167" s="113"/>
      <c r="R167" s="113"/>
      <c r="S167" s="113" t="s">
        <v>1113</v>
      </c>
      <c r="T167" s="113"/>
      <c r="U167" s="113"/>
      <c r="V167" s="113"/>
      <c r="W167" s="113"/>
      <c r="X167" s="113"/>
      <c r="Y167" s="113"/>
      <c r="Z167" s="113"/>
      <c r="AA167" s="113"/>
      <c r="AB167" s="113"/>
      <c r="AC167" s="113"/>
      <c r="AD167" s="113"/>
      <c r="AE167" s="113"/>
      <c r="AF167" s="113"/>
      <c r="AG167" s="113"/>
      <c r="AH167" s="113"/>
      <c r="AI167" s="113"/>
      <c r="AJ167" s="113"/>
      <c r="AK167" s="113" t="s">
        <v>1113</v>
      </c>
      <c r="AL167" s="113"/>
      <c r="AM167" s="113"/>
      <c r="AN167" s="113"/>
      <c r="AO167" s="44" t="s">
        <v>2334</v>
      </c>
      <c r="AP167" s="43"/>
      <c r="AQ167" s="236" t="str">
        <f>VLOOKUP(Table8[[#This Row],[Instrument]],Def_Targets!$D$73:$E$159,2,FALSE)</f>
        <v>I_Emobility</v>
      </c>
      <c r="AR167" s="233" t="str">
        <f>VLOOKUP(Table8[[#This Row],[Country Code]],Table29[],3,FALSE)</f>
        <v>Non-Annex I</v>
      </c>
      <c r="AS167" s="233" t="str">
        <f>VLOOKUP(Table8[[#This Row],[Country Code]],Table29[],4,FALSE)</f>
        <v>Latin America and the Caribbean</v>
      </c>
      <c r="AT167" s="233" t="str">
        <f>VLOOKUP(Table8[[#This Row],[Country Code]],Table29[],5,FALSE)</f>
        <v>High-income</v>
      </c>
      <c r="AU167" s="233" t="str">
        <f>VLOOKUP(Table8[[#This Row],[Country Code]],Table29[],6,FALSE)</f>
        <v>no</v>
      </c>
      <c r="AV167" s="233" t="str">
        <f>VLOOKUP(Table8[[#This Row],[Country Code]],Table29[],7,FALSE)</f>
        <v>no</v>
      </c>
      <c r="AW167" s="233" t="str">
        <f>VLOOKUP(Table8[[#This Row],[Country Code]],Table29[],8,FALSE)</f>
        <v>non-OECD</v>
      </c>
      <c r="AX167" s="233" t="str">
        <f>VLOOKUP(Table8[[#This Row],[Country Code]],Table29[],9,FALSE)</f>
        <v>no</v>
      </c>
      <c r="AY167" s="233" t="str">
        <f>VLOOKUP(Table8[[#This Row],[Country Code]],Table29[],10,FALSE)</f>
        <v>no</v>
      </c>
      <c r="AZ167" s="235">
        <f>VLOOKUP(Table8[[#This Row],[Country Code]],Table29[],23,FALSE)</f>
        <v>2.0502828926944998</v>
      </c>
      <c r="BA167" s="235">
        <f>VLOOKUP(Table8[[#This Row],[Country Code]],Table29[],24,FALSE)</f>
        <v>0.59970961940231238</v>
      </c>
      <c r="BB167" s="320"/>
      <c r="BC167" s="320"/>
    </row>
    <row r="168" spans="1:55" hidden="1" x14ac:dyDescent="0.25">
      <c r="A168" s="373">
        <v>32496</v>
      </c>
      <c r="B168" s="233" t="str">
        <f>VLOOKUP(Table8[[#This Row],[Document ID]],Table1[],2,FALSE)</f>
        <v>BHS</v>
      </c>
      <c r="C168" s="233" t="str">
        <f>VLOOKUP(Table8[[#This Row],[Document ID]],Table1[],3,FALSE)</f>
        <v>Bahamas</v>
      </c>
      <c r="D168" s="243" t="str">
        <f>VLOOKUP(Table8[[#This Row],[Document ID]],Table1[],5,FALSE)</f>
        <v>NDC</v>
      </c>
      <c r="E168" s="233" t="str">
        <f>VLOOKUP(Table8[[#This Row],[Document ID]],Table1[],7,FALSE)</f>
        <v>First NDC updated</v>
      </c>
      <c r="F168" s="233" t="str">
        <f>VLOOKUP(Table8[[#This Row],[Document ID]],Table1[],8,FALSE)</f>
        <v>NDC 1.1</v>
      </c>
      <c r="G168" s="233" t="str">
        <f>VLOOKUP(Table8[[#This Row],[Document ID]],Table1[],10,FALSE)</f>
        <v>Active</v>
      </c>
      <c r="H168" s="43" t="s">
        <v>2358</v>
      </c>
      <c r="I168" s="43" t="s">
        <v>2359</v>
      </c>
      <c r="J168" s="44" t="s">
        <v>2360</v>
      </c>
      <c r="K168" s="44" t="s">
        <v>2547</v>
      </c>
      <c r="L168" s="44" t="s">
        <v>2333</v>
      </c>
      <c r="M168" s="43">
        <v>37</v>
      </c>
      <c r="N168" s="113"/>
      <c r="O168" s="113"/>
      <c r="P168" s="113"/>
      <c r="Q168" s="113"/>
      <c r="R168" s="113"/>
      <c r="S168" s="113" t="s">
        <v>1113</v>
      </c>
      <c r="T168" s="113"/>
      <c r="U168" s="113"/>
      <c r="V168" s="113"/>
      <c r="W168" s="113"/>
      <c r="X168" s="113"/>
      <c r="Y168" s="113"/>
      <c r="Z168" s="113"/>
      <c r="AA168" s="113"/>
      <c r="AB168" s="113"/>
      <c r="AC168" s="113"/>
      <c r="AD168" s="113"/>
      <c r="AE168" s="113"/>
      <c r="AF168" s="113"/>
      <c r="AG168" s="113"/>
      <c r="AH168" s="113"/>
      <c r="AI168" s="113"/>
      <c r="AJ168" s="113"/>
      <c r="AK168" s="113" t="s">
        <v>1113</v>
      </c>
      <c r="AL168" s="113"/>
      <c r="AM168" s="113"/>
      <c r="AN168" s="113"/>
      <c r="AO168" s="44" t="s">
        <v>2334</v>
      </c>
      <c r="AP168" s="43"/>
      <c r="AQ168" s="236" t="str">
        <f>VLOOKUP(Table8[[#This Row],[Instrument]],Def_Targets!$D$73:$E$159,2,FALSE)</f>
        <v>I_Emobility</v>
      </c>
      <c r="AR168" s="233" t="str">
        <f>VLOOKUP(Table8[[#This Row],[Country Code]],Table29[],3,FALSE)</f>
        <v>Non-Annex I</v>
      </c>
      <c r="AS168" s="233" t="str">
        <f>VLOOKUP(Table8[[#This Row],[Country Code]],Table29[],4,FALSE)</f>
        <v>Latin America and the Caribbean</v>
      </c>
      <c r="AT168" s="233" t="str">
        <f>VLOOKUP(Table8[[#This Row],[Country Code]],Table29[],5,FALSE)</f>
        <v>High-income</v>
      </c>
      <c r="AU168" s="233" t="str">
        <f>VLOOKUP(Table8[[#This Row],[Country Code]],Table29[],6,FALSE)</f>
        <v>no</v>
      </c>
      <c r="AV168" s="233" t="str">
        <f>VLOOKUP(Table8[[#This Row],[Country Code]],Table29[],7,FALSE)</f>
        <v>no</v>
      </c>
      <c r="AW168" s="233" t="str">
        <f>VLOOKUP(Table8[[#This Row],[Country Code]],Table29[],8,FALSE)</f>
        <v>non-OECD</v>
      </c>
      <c r="AX168" s="233" t="str">
        <f>VLOOKUP(Table8[[#This Row],[Country Code]],Table29[],9,FALSE)</f>
        <v>no</v>
      </c>
      <c r="AY168" s="233" t="str">
        <f>VLOOKUP(Table8[[#This Row],[Country Code]],Table29[],10,FALSE)</f>
        <v>no</v>
      </c>
      <c r="AZ168" s="235">
        <f>VLOOKUP(Table8[[#This Row],[Country Code]],Table29[],23,FALSE)</f>
        <v>2.0502828926944998</v>
      </c>
      <c r="BA168" s="235">
        <f>VLOOKUP(Table8[[#This Row],[Country Code]],Table29[],24,FALSE)</f>
        <v>0.59970961940231238</v>
      </c>
      <c r="BB168" s="320"/>
      <c r="BC168" s="320"/>
    </row>
    <row r="169" spans="1:55" hidden="1" x14ac:dyDescent="0.25">
      <c r="A169" s="373">
        <v>32496</v>
      </c>
      <c r="B169" s="233" t="str">
        <f>VLOOKUP(Table8[[#This Row],[Document ID]],Table1[],2,FALSE)</f>
        <v>BHS</v>
      </c>
      <c r="C169" s="233" t="str">
        <f>VLOOKUP(Table8[[#This Row],[Document ID]],Table1[],3,FALSE)</f>
        <v>Bahamas</v>
      </c>
      <c r="D169" s="243" t="str">
        <f>VLOOKUP(Table8[[#This Row],[Document ID]],Table1[],5,FALSE)</f>
        <v>NDC</v>
      </c>
      <c r="E169" s="233" t="str">
        <f>VLOOKUP(Table8[[#This Row],[Document ID]],Table1[],7,FALSE)</f>
        <v>First NDC updated</v>
      </c>
      <c r="F169" s="233" t="str">
        <f>VLOOKUP(Table8[[#This Row],[Document ID]],Table1[],8,FALSE)</f>
        <v>NDC 1.1</v>
      </c>
      <c r="G169" s="233" t="str">
        <f>VLOOKUP(Table8[[#This Row],[Document ID]],Table1[],10,FALSE)</f>
        <v>Active</v>
      </c>
      <c r="H169" s="43" t="s">
        <v>2358</v>
      </c>
      <c r="I169" s="43" t="s">
        <v>2359</v>
      </c>
      <c r="J169" s="44" t="s">
        <v>2383</v>
      </c>
      <c r="K169" s="44" t="s">
        <v>2548</v>
      </c>
      <c r="L169" s="44" t="s">
        <v>2333</v>
      </c>
      <c r="M169" s="43">
        <v>37</v>
      </c>
      <c r="N169" s="113"/>
      <c r="O169" s="113"/>
      <c r="P169" s="113"/>
      <c r="Q169" s="113"/>
      <c r="R169" s="113"/>
      <c r="S169" s="113" t="s">
        <v>1113</v>
      </c>
      <c r="T169" s="113"/>
      <c r="U169" s="113"/>
      <c r="V169" s="113"/>
      <c r="W169" s="113"/>
      <c r="X169" s="113"/>
      <c r="Y169" s="113"/>
      <c r="Z169" s="113"/>
      <c r="AA169" s="113"/>
      <c r="AB169" s="113"/>
      <c r="AC169" s="113"/>
      <c r="AD169" s="113"/>
      <c r="AE169" s="113"/>
      <c r="AF169" s="113"/>
      <c r="AG169" s="113"/>
      <c r="AH169" s="113"/>
      <c r="AI169" s="113"/>
      <c r="AJ169" s="113"/>
      <c r="AK169" s="113" t="s">
        <v>1113</v>
      </c>
      <c r="AL169" s="113"/>
      <c r="AM169" s="113"/>
      <c r="AN169" s="113"/>
      <c r="AO169" s="44" t="s">
        <v>2334</v>
      </c>
      <c r="AP169" s="43"/>
      <c r="AQ169" s="236" t="str">
        <f>VLOOKUP(Table8[[#This Row],[Instrument]],Def_Targets!$D$73:$E$159,2,FALSE)</f>
        <v>I_Emobilitycharging</v>
      </c>
      <c r="AR169" s="233" t="str">
        <f>VLOOKUP(Table8[[#This Row],[Country Code]],Table29[],3,FALSE)</f>
        <v>Non-Annex I</v>
      </c>
      <c r="AS169" s="233" t="str">
        <f>VLOOKUP(Table8[[#This Row],[Country Code]],Table29[],4,FALSE)</f>
        <v>Latin America and the Caribbean</v>
      </c>
      <c r="AT169" s="233" t="str">
        <f>VLOOKUP(Table8[[#This Row],[Country Code]],Table29[],5,FALSE)</f>
        <v>High-income</v>
      </c>
      <c r="AU169" s="233" t="str">
        <f>VLOOKUP(Table8[[#This Row],[Country Code]],Table29[],6,FALSE)</f>
        <v>no</v>
      </c>
      <c r="AV169" s="233" t="str">
        <f>VLOOKUP(Table8[[#This Row],[Country Code]],Table29[],7,FALSE)</f>
        <v>no</v>
      </c>
      <c r="AW169" s="233" t="str">
        <f>VLOOKUP(Table8[[#This Row],[Country Code]],Table29[],8,FALSE)</f>
        <v>non-OECD</v>
      </c>
      <c r="AX169" s="233" t="str">
        <f>VLOOKUP(Table8[[#This Row],[Country Code]],Table29[],9,FALSE)</f>
        <v>no</v>
      </c>
      <c r="AY169" s="233" t="str">
        <f>VLOOKUP(Table8[[#This Row],[Country Code]],Table29[],10,FALSE)</f>
        <v>no</v>
      </c>
      <c r="AZ169" s="235">
        <f>VLOOKUP(Table8[[#This Row],[Country Code]],Table29[],23,FALSE)</f>
        <v>2.0502828926944998</v>
      </c>
      <c r="BA169" s="235">
        <f>VLOOKUP(Table8[[#This Row],[Country Code]],Table29[],24,FALSE)</f>
        <v>0.59970961940231238</v>
      </c>
      <c r="BB169" s="320"/>
      <c r="BC169" s="320"/>
    </row>
    <row r="170" spans="1:55" hidden="1" x14ac:dyDescent="0.25">
      <c r="A170" s="373">
        <v>21725</v>
      </c>
      <c r="B170" s="233" t="str">
        <f>VLOOKUP(Table8[[#This Row],[Document ID]],Table1[],2,FALSE)</f>
        <v>BGD</v>
      </c>
      <c r="C170" s="233" t="str">
        <f>VLOOKUP(Table8[[#This Row],[Document ID]],Table1[],3,FALSE)</f>
        <v>Bangladesh</v>
      </c>
      <c r="D170" s="243" t="str">
        <f>VLOOKUP(Table8[[#This Row],[Document ID]],Table1[],5,FALSE)</f>
        <v>NDC</v>
      </c>
      <c r="E170" s="233" t="str">
        <f>VLOOKUP(Table8[[#This Row],[Document ID]],Table1[],7,FALSE)</f>
        <v>First NDC updated</v>
      </c>
      <c r="F170" s="233" t="str">
        <f>VLOOKUP(Table8[[#This Row],[Document ID]],Table1[],8,FALSE)</f>
        <v>NDC 1.2</v>
      </c>
      <c r="G170" s="233" t="str">
        <f>VLOOKUP(Table8[[#This Row],[Document ID]],Table1[],10,FALSE)</f>
        <v>Active</v>
      </c>
      <c r="H170" s="43" t="s">
        <v>2343</v>
      </c>
      <c r="I170" s="43" t="s">
        <v>2344</v>
      </c>
      <c r="J170" s="44" t="s">
        <v>2549</v>
      </c>
      <c r="K170" s="44" t="s">
        <v>2550</v>
      </c>
      <c r="L170" s="44" t="s">
        <v>2347</v>
      </c>
      <c r="M170" s="43">
        <v>8</v>
      </c>
      <c r="N170" s="113"/>
      <c r="O170" s="113"/>
      <c r="P170" s="113"/>
      <c r="Q170" s="113"/>
      <c r="R170" s="113"/>
      <c r="S170" s="113"/>
      <c r="T170" s="113"/>
      <c r="U170" s="113"/>
      <c r="V170" s="113"/>
      <c r="W170" s="113"/>
      <c r="X170" s="113"/>
      <c r="Y170" s="113" t="s">
        <v>1113</v>
      </c>
      <c r="Z170" s="113"/>
      <c r="AA170" s="113"/>
      <c r="AB170" s="113"/>
      <c r="AC170" s="113" t="s">
        <v>1113</v>
      </c>
      <c r="AD170" s="113"/>
      <c r="AE170" s="113"/>
      <c r="AF170" s="113"/>
      <c r="AG170" s="113"/>
      <c r="AH170" s="113"/>
      <c r="AI170" s="113"/>
      <c r="AJ170" s="113"/>
      <c r="AK170" s="113"/>
      <c r="AL170" s="113" t="s">
        <v>1113</v>
      </c>
      <c r="AM170" s="113"/>
      <c r="AN170" s="113"/>
      <c r="AO170" s="43" t="s">
        <v>2348</v>
      </c>
      <c r="AP170" s="43"/>
      <c r="AQ170" s="236" t="str">
        <f>VLOOKUP(Table8[[#This Row],[Instrument]],Def_Targets!$D$73:$E$159,2,FALSE)</f>
        <v>S_BRT</v>
      </c>
      <c r="AR170" s="233" t="str">
        <f>VLOOKUP(Table8[[#This Row],[Country Code]],Table29[],3,FALSE)</f>
        <v>Non-Annex I</v>
      </c>
      <c r="AS170" s="233" t="str">
        <f>VLOOKUP(Table8[[#This Row],[Country Code]],Table29[],4,FALSE)</f>
        <v>Asia</v>
      </c>
      <c r="AT170" s="233" t="str">
        <f>VLOOKUP(Table8[[#This Row],[Country Code]],Table29[],5,FALSE)</f>
        <v>Middle-income</v>
      </c>
      <c r="AU170" s="233" t="str">
        <f>VLOOKUP(Table8[[#This Row],[Country Code]],Table29[],6,FALSE)</f>
        <v>no</v>
      </c>
      <c r="AV170" s="233" t="str">
        <f>VLOOKUP(Table8[[#This Row],[Country Code]],Table29[],7,FALSE)</f>
        <v>no</v>
      </c>
      <c r="AW170" s="233" t="str">
        <f>VLOOKUP(Table8[[#This Row],[Country Code]],Table29[],8,FALSE)</f>
        <v>non-OECD</v>
      </c>
      <c r="AX170" s="233" t="str">
        <f>VLOOKUP(Table8[[#This Row],[Country Code]],Table29[],9,FALSE)</f>
        <v>no</v>
      </c>
      <c r="AY170" s="233" t="str">
        <f>VLOOKUP(Table8[[#This Row],[Country Code]],Table29[],10,FALSE)</f>
        <v>no</v>
      </c>
      <c r="AZ170" s="235">
        <f>VLOOKUP(Table8[[#This Row],[Country Code]],Table29[],23,FALSE)</f>
        <v>281.38053496815002</v>
      </c>
      <c r="BA170" s="235">
        <f>VLOOKUP(Table8[[#This Row],[Country Code]],Table29[],24,FALSE)</f>
        <v>12.410696897609901</v>
      </c>
      <c r="BB170" s="320"/>
      <c r="BC170" s="320"/>
    </row>
    <row r="171" spans="1:55" hidden="1" x14ac:dyDescent="0.25">
      <c r="A171" s="373">
        <v>21725</v>
      </c>
      <c r="B171" s="233" t="str">
        <f>VLOOKUP(Table8[[#This Row],[Document ID]],Table1[],2,FALSE)</f>
        <v>BGD</v>
      </c>
      <c r="C171" s="233" t="str">
        <f>VLOOKUP(Table8[[#This Row],[Document ID]],Table1[],3,FALSE)</f>
        <v>Bangladesh</v>
      </c>
      <c r="D171" s="243" t="str">
        <f>VLOOKUP(Table8[[#This Row],[Document ID]],Table1[],5,FALSE)</f>
        <v>NDC</v>
      </c>
      <c r="E171" s="233" t="str">
        <f>VLOOKUP(Table8[[#This Row],[Document ID]],Table1[],7,FALSE)</f>
        <v>First NDC updated</v>
      </c>
      <c r="F171" s="233" t="str">
        <f>VLOOKUP(Table8[[#This Row],[Document ID]],Table1[],8,FALSE)</f>
        <v>NDC 1.2</v>
      </c>
      <c r="G171" s="233" t="str">
        <f>VLOOKUP(Table8[[#This Row],[Document ID]],Table1[],10,FALSE)</f>
        <v>Active</v>
      </c>
      <c r="H171" s="43" t="s">
        <v>2343</v>
      </c>
      <c r="I171" s="43" t="s">
        <v>2344</v>
      </c>
      <c r="J171" s="44" t="s">
        <v>2405</v>
      </c>
      <c r="K171" s="44" t="s">
        <v>2551</v>
      </c>
      <c r="L171" s="44" t="s">
        <v>2347</v>
      </c>
      <c r="M171" s="43">
        <v>8</v>
      </c>
      <c r="N171" s="113"/>
      <c r="O171" s="113"/>
      <c r="P171" s="113"/>
      <c r="Q171" s="113"/>
      <c r="R171" s="113"/>
      <c r="S171" s="113"/>
      <c r="T171" s="113"/>
      <c r="U171" s="113"/>
      <c r="V171" s="113"/>
      <c r="W171" s="113"/>
      <c r="X171" s="113"/>
      <c r="Y171" s="113" t="s">
        <v>1113</v>
      </c>
      <c r="Z171" s="113"/>
      <c r="AA171" s="113"/>
      <c r="AB171" s="113"/>
      <c r="AC171" s="113" t="s">
        <v>1113</v>
      </c>
      <c r="AD171" s="113"/>
      <c r="AE171" s="113"/>
      <c r="AF171" s="113"/>
      <c r="AG171" s="113"/>
      <c r="AH171" s="113"/>
      <c r="AI171" s="113"/>
      <c r="AJ171" s="113"/>
      <c r="AK171" s="113"/>
      <c r="AL171" s="113" t="s">
        <v>1113</v>
      </c>
      <c r="AM171" s="113"/>
      <c r="AN171" s="113"/>
      <c r="AO171" s="43" t="s">
        <v>2348</v>
      </c>
      <c r="AP171" s="43"/>
      <c r="AQ171" s="236" t="str">
        <f>VLOOKUP(Table8[[#This Row],[Instrument]],Def_Targets!$D$73:$E$159,2,FALSE)</f>
        <v>S_PTIntegration</v>
      </c>
      <c r="AR171" s="233" t="str">
        <f>VLOOKUP(Table8[[#This Row],[Country Code]],Table29[],3,FALSE)</f>
        <v>Non-Annex I</v>
      </c>
      <c r="AS171" s="233" t="str">
        <f>VLOOKUP(Table8[[#This Row],[Country Code]],Table29[],4,FALSE)</f>
        <v>Asia</v>
      </c>
      <c r="AT171" s="233" t="str">
        <f>VLOOKUP(Table8[[#This Row],[Country Code]],Table29[],5,FALSE)</f>
        <v>Middle-income</v>
      </c>
      <c r="AU171" s="233" t="str">
        <f>VLOOKUP(Table8[[#This Row],[Country Code]],Table29[],6,FALSE)</f>
        <v>no</v>
      </c>
      <c r="AV171" s="233" t="str">
        <f>VLOOKUP(Table8[[#This Row],[Country Code]],Table29[],7,FALSE)</f>
        <v>no</v>
      </c>
      <c r="AW171" s="233" t="str">
        <f>VLOOKUP(Table8[[#This Row],[Country Code]],Table29[],8,FALSE)</f>
        <v>non-OECD</v>
      </c>
      <c r="AX171" s="233" t="str">
        <f>VLOOKUP(Table8[[#This Row],[Country Code]],Table29[],9,FALSE)</f>
        <v>no</v>
      </c>
      <c r="AY171" s="233" t="str">
        <f>VLOOKUP(Table8[[#This Row],[Country Code]],Table29[],10,FALSE)</f>
        <v>no</v>
      </c>
      <c r="AZ171" s="235">
        <f>VLOOKUP(Table8[[#This Row],[Country Code]],Table29[],23,FALSE)</f>
        <v>281.38053496815002</v>
      </c>
      <c r="BA171" s="235">
        <f>VLOOKUP(Table8[[#This Row],[Country Code]],Table29[],24,FALSE)</f>
        <v>12.410696897609901</v>
      </c>
      <c r="BB171" s="320"/>
      <c r="BC171" s="320"/>
    </row>
    <row r="172" spans="1:55" hidden="1" x14ac:dyDescent="0.25">
      <c r="A172" s="373">
        <v>21725</v>
      </c>
      <c r="B172" s="233" t="str">
        <f>VLOOKUP(Table8[[#This Row],[Document ID]],Table1[],2,FALSE)</f>
        <v>BGD</v>
      </c>
      <c r="C172" s="233" t="str">
        <f>VLOOKUP(Table8[[#This Row],[Document ID]],Table1[],3,FALSE)</f>
        <v>Bangladesh</v>
      </c>
      <c r="D172" s="243" t="str">
        <f>VLOOKUP(Table8[[#This Row],[Document ID]],Table1[],5,FALSE)</f>
        <v>NDC</v>
      </c>
      <c r="E172" s="233" t="str">
        <f>VLOOKUP(Table8[[#This Row],[Document ID]],Table1[],7,FALSE)</f>
        <v>First NDC updated</v>
      </c>
      <c r="F172" s="233" t="str">
        <f>VLOOKUP(Table8[[#This Row],[Document ID]],Table1[],8,FALSE)</f>
        <v>NDC 1.2</v>
      </c>
      <c r="G172" s="233" t="str">
        <f>VLOOKUP(Table8[[#This Row],[Document ID]],Table1[],10,FALSE)</f>
        <v>Active</v>
      </c>
      <c r="H172" s="43" t="s">
        <v>2350</v>
      </c>
      <c r="I172" s="43" t="s">
        <v>2456</v>
      </c>
      <c r="J172" s="44" t="s">
        <v>2466</v>
      </c>
      <c r="K172" s="44" t="s">
        <v>2552</v>
      </c>
      <c r="L172" s="44" t="s">
        <v>2347</v>
      </c>
      <c r="M172" s="43">
        <v>8</v>
      </c>
      <c r="N172" s="113"/>
      <c r="O172" s="113"/>
      <c r="P172" s="113"/>
      <c r="Q172" s="113"/>
      <c r="R172" s="113"/>
      <c r="S172" s="113"/>
      <c r="T172" s="113"/>
      <c r="U172" s="113"/>
      <c r="V172" s="113"/>
      <c r="W172" s="113"/>
      <c r="X172" s="113"/>
      <c r="Y172" s="113"/>
      <c r="Z172" s="113" t="s">
        <v>1113</v>
      </c>
      <c r="AA172" s="113"/>
      <c r="AB172" s="113"/>
      <c r="AC172" s="113"/>
      <c r="AD172" s="113"/>
      <c r="AE172" s="113"/>
      <c r="AF172" s="113"/>
      <c r="AG172" s="113"/>
      <c r="AH172" s="113"/>
      <c r="AI172" s="113"/>
      <c r="AJ172" s="113"/>
      <c r="AK172" s="319" t="s">
        <v>1113</v>
      </c>
      <c r="AL172" s="113"/>
      <c r="AM172" s="113"/>
      <c r="AN172" s="113"/>
      <c r="AO172" s="44" t="s">
        <v>2334</v>
      </c>
      <c r="AP172" s="43"/>
      <c r="AQ172" s="236" t="str">
        <f>VLOOKUP(Table8[[#This Row],[Instrument]],Def_Targets!$D$73:$E$159,2,FALSE)</f>
        <v>S_Infraexpansion</v>
      </c>
      <c r="AR172" s="233" t="str">
        <f>VLOOKUP(Table8[[#This Row],[Country Code]],Table29[],3,FALSE)</f>
        <v>Non-Annex I</v>
      </c>
      <c r="AS172" s="233" t="str">
        <f>VLOOKUP(Table8[[#This Row],[Country Code]],Table29[],4,FALSE)</f>
        <v>Asia</v>
      </c>
      <c r="AT172" s="233" t="str">
        <f>VLOOKUP(Table8[[#This Row],[Country Code]],Table29[],5,FALSE)</f>
        <v>Middle-income</v>
      </c>
      <c r="AU172" s="233" t="str">
        <f>VLOOKUP(Table8[[#This Row],[Country Code]],Table29[],6,FALSE)</f>
        <v>no</v>
      </c>
      <c r="AV172" s="233" t="str">
        <f>VLOOKUP(Table8[[#This Row],[Country Code]],Table29[],7,FALSE)</f>
        <v>no</v>
      </c>
      <c r="AW172" s="233" t="str">
        <f>VLOOKUP(Table8[[#This Row],[Country Code]],Table29[],8,FALSE)</f>
        <v>non-OECD</v>
      </c>
      <c r="AX172" s="233" t="str">
        <f>VLOOKUP(Table8[[#This Row],[Country Code]],Table29[],9,FALSE)</f>
        <v>no</v>
      </c>
      <c r="AY172" s="233" t="str">
        <f>VLOOKUP(Table8[[#This Row],[Country Code]],Table29[],10,FALSE)</f>
        <v>no</v>
      </c>
      <c r="AZ172" s="235">
        <f>VLOOKUP(Table8[[#This Row],[Country Code]],Table29[],23,FALSE)</f>
        <v>281.38053496815002</v>
      </c>
      <c r="BA172" s="235">
        <f>VLOOKUP(Table8[[#This Row],[Country Code]],Table29[],24,FALSE)</f>
        <v>12.410696897609901</v>
      </c>
      <c r="BB172" s="320"/>
      <c r="BC172" s="320"/>
    </row>
    <row r="173" spans="1:55" ht="30" hidden="1" x14ac:dyDescent="0.25">
      <c r="A173" s="373">
        <v>21725</v>
      </c>
      <c r="B173" s="233" t="str">
        <f>VLOOKUP(Table8[[#This Row],[Document ID]],Table1[],2,FALSE)</f>
        <v>BGD</v>
      </c>
      <c r="C173" s="233" t="str">
        <f>VLOOKUP(Table8[[#This Row],[Document ID]],Table1[],3,FALSE)</f>
        <v>Bangladesh</v>
      </c>
      <c r="D173" s="243" t="str">
        <f>VLOOKUP(Table8[[#This Row],[Document ID]],Table1[],5,FALSE)</f>
        <v>NDC</v>
      </c>
      <c r="E173" s="233" t="str">
        <f>VLOOKUP(Table8[[#This Row],[Document ID]],Table1[],7,FALSE)</f>
        <v>First NDC updated</v>
      </c>
      <c r="F173" s="233" t="str">
        <f>VLOOKUP(Table8[[#This Row],[Document ID]],Table1[],8,FALSE)</f>
        <v>NDC 1.2</v>
      </c>
      <c r="G173" s="233" t="str">
        <f>VLOOKUP(Table8[[#This Row],[Document ID]],Table1[],10,FALSE)</f>
        <v>Active</v>
      </c>
      <c r="H173" s="43" t="s">
        <v>2350</v>
      </c>
      <c r="I173" s="43" t="s">
        <v>2456</v>
      </c>
      <c r="J173" s="44" t="s">
        <v>2466</v>
      </c>
      <c r="K173" s="44" t="s">
        <v>2553</v>
      </c>
      <c r="L173" s="44" t="s">
        <v>2333</v>
      </c>
      <c r="M173" s="43">
        <v>8</v>
      </c>
      <c r="N173" s="113"/>
      <c r="O173" s="113"/>
      <c r="P173" s="113"/>
      <c r="Q173" s="113"/>
      <c r="R173" s="113"/>
      <c r="S173" s="113" t="s">
        <v>1113</v>
      </c>
      <c r="T173" s="113"/>
      <c r="U173" s="113"/>
      <c r="V173" s="113"/>
      <c r="W173" s="113"/>
      <c r="X173" s="113"/>
      <c r="Y173" s="113"/>
      <c r="Z173" s="113"/>
      <c r="AA173" s="113"/>
      <c r="AB173" s="113"/>
      <c r="AC173" s="113"/>
      <c r="AD173" s="113"/>
      <c r="AE173" s="113"/>
      <c r="AF173" s="113"/>
      <c r="AG173" s="113"/>
      <c r="AH173" s="113"/>
      <c r="AI173" s="113"/>
      <c r="AJ173" s="113"/>
      <c r="AK173" s="319" t="s">
        <v>1113</v>
      </c>
      <c r="AL173" s="113"/>
      <c r="AM173" s="113"/>
      <c r="AN173" s="113"/>
      <c r="AO173" s="44" t="s">
        <v>2334</v>
      </c>
      <c r="AP173" s="43"/>
      <c r="AQ173" s="236" t="str">
        <f>VLOOKUP(Table8[[#This Row],[Instrument]],Def_Targets!$D$73:$E$159,2,FALSE)</f>
        <v>S_Infraexpansion</v>
      </c>
      <c r="AR173" s="233" t="str">
        <f>VLOOKUP(Table8[[#This Row],[Country Code]],Table29[],3,FALSE)</f>
        <v>Non-Annex I</v>
      </c>
      <c r="AS173" s="233" t="str">
        <f>VLOOKUP(Table8[[#This Row],[Country Code]],Table29[],4,FALSE)</f>
        <v>Asia</v>
      </c>
      <c r="AT173" s="233" t="str">
        <f>VLOOKUP(Table8[[#This Row],[Country Code]],Table29[],5,FALSE)</f>
        <v>Middle-income</v>
      </c>
      <c r="AU173" s="233" t="str">
        <f>VLOOKUP(Table8[[#This Row],[Country Code]],Table29[],6,FALSE)</f>
        <v>no</v>
      </c>
      <c r="AV173" s="233" t="str">
        <f>VLOOKUP(Table8[[#This Row],[Country Code]],Table29[],7,FALSE)</f>
        <v>no</v>
      </c>
      <c r="AW173" s="233" t="str">
        <f>VLOOKUP(Table8[[#This Row],[Country Code]],Table29[],8,FALSE)</f>
        <v>non-OECD</v>
      </c>
      <c r="AX173" s="233" t="str">
        <f>VLOOKUP(Table8[[#This Row],[Country Code]],Table29[],9,FALSE)</f>
        <v>no</v>
      </c>
      <c r="AY173" s="233" t="str">
        <f>VLOOKUP(Table8[[#This Row],[Country Code]],Table29[],10,FALSE)</f>
        <v>no</v>
      </c>
      <c r="AZ173" s="235">
        <f>VLOOKUP(Table8[[#This Row],[Country Code]],Table29[],23,FALSE)</f>
        <v>281.38053496815002</v>
      </c>
      <c r="BA173" s="235">
        <f>VLOOKUP(Table8[[#This Row],[Country Code]],Table29[],24,FALSE)</f>
        <v>12.410696897609901</v>
      </c>
      <c r="BB173" s="320"/>
      <c r="BC173" s="320"/>
    </row>
    <row r="174" spans="1:55" hidden="1" x14ac:dyDescent="0.25">
      <c r="A174" s="373">
        <v>21725</v>
      </c>
      <c r="B174" s="233" t="str">
        <f>VLOOKUP(Table8[[#This Row],[Document ID]],Table1[],2,FALSE)</f>
        <v>BGD</v>
      </c>
      <c r="C174" s="233" t="str">
        <f>VLOOKUP(Table8[[#This Row],[Document ID]],Table1[],3,FALSE)</f>
        <v>Bangladesh</v>
      </c>
      <c r="D174" s="243" t="str">
        <f>VLOOKUP(Table8[[#This Row],[Document ID]],Table1[],5,FALSE)</f>
        <v>NDC</v>
      </c>
      <c r="E174" s="233" t="str">
        <f>VLOOKUP(Table8[[#This Row],[Document ID]],Table1[],7,FALSE)</f>
        <v>First NDC updated</v>
      </c>
      <c r="F174" s="233" t="str">
        <f>VLOOKUP(Table8[[#This Row],[Document ID]],Table1[],8,FALSE)</f>
        <v>NDC 1.2</v>
      </c>
      <c r="G174" s="233" t="str">
        <f>VLOOKUP(Table8[[#This Row],[Document ID]],Table1[],10,FALSE)</f>
        <v>Active</v>
      </c>
      <c r="H174" s="43" t="s">
        <v>2358</v>
      </c>
      <c r="I174" s="43" t="s">
        <v>2359</v>
      </c>
      <c r="J174" s="44" t="s">
        <v>2360</v>
      </c>
      <c r="K174" s="44" t="s">
        <v>2554</v>
      </c>
      <c r="L174" s="44" t="s">
        <v>2333</v>
      </c>
      <c r="M174" s="43">
        <v>9</v>
      </c>
      <c r="N174" s="113"/>
      <c r="O174" s="113"/>
      <c r="P174" s="113"/>
      <c r="Q174" s="113"/>
      <c r="R174" s="113"/>
      <c r="S174" s="113" t="s">
        <v>1113</v>
      </c>
      <c r="T174" s="113"/>
      <c r="U174" s="113"/>
      <c r="V174" s="113"/>
      <c r="W174" s="113"/>
      <c r="X174" s="113"/>
      <c r="Y174" s="113"/>
      <c r="Z174" s="113"/>
      <c r="AA174" s="113"/>
      <c r="AB174" s="113"/>
      <c r="AC174" s="113"/>
      <c r="AD174" s="113"/>
      <c r="AE174" s="113"/>
      <c r="AF174" s="113"/>
      <c r="AG174" s="113"/>
      <c r="AH174" s="113"/>
      <c r="AI174" s="113"/>
      <c r="AJ174" s="113"/>
      <c r="AK174" s="319" t="s">
        <v>1113</v>
      </c>
      <c r="AL174" s="113"/>
      <c r="AM174" s="113"/>
      <c r="AN174" s="113"/>
      <c r="AO174" s="44" t="s">
        <v>2334</v>
      </c>
      <c r="AP174" s="43"/>
      <c r="AQ174" s="236" t="str">
        <f>VLOOKUP(Table8[[#This Row],[Instrument]],Def_Targets!$D$73:$E$159,2,FALSE)</f>
        <v>I_Emobility</v>
      </c>
      <c r="AR174" s="233" t="str">
        <f>VLOOKUP(Table8[[#This Row],[Country Code]],Table29[],3,FALSE)</f>
        <v>Non-Annex I</v>
      </c>
      <c r="AS174" s="233" t="str">
        <f>VLOOKUP(Table8[[#This Row],[Country Code]],Table29[],4,FALSE)</f>
        <v>Asia</v>
      </c>
      <c r="AT174" s="233" t="str">
        <f>VLOOKUP(Table8[[#This Row],[Country Code]],Table29[],5,FALSE)</f>
        <v>Middle-income</v>
      </c>
      <c r="AU174" s="233" t="str">
        <f>VLOOKUP(Table8[[#This Row],[Country Code]],Table29[],6,FALSE)</f>
        <v>no</v>
      </c>
      <c r="AV174" s="233" t="str">
        <f>VLOOKUP(Table8[[#This Row],[Country Code]],Table29[],7,FALSE)</f>
        <v>no</v>
      </c>
      <c r="AW174" s="233" t="str">
        <f>VLOOKUP(Table8[[#This Row],[Country Code]],Table29[],8,FALSE)</f>
        <v>non-OECD</v>
      </c>
      <c r="AX174" s="233" t="str">
        <f>VLOOKUP(Table8[[#This Row],[Country Code]],Table29[],9,FALSE)</f>
        <v>no</v>
      </c>
      <c r="AY174" s="233" t="str">
        <f>VLOOKUP(Table8[[#This Row],[Country Code]],Table29[],10,FALSE)</f>
        <v>no</v>
      </c>
      <c r="AZ174" s="235">
        <f>VLOOKUP(Table8[[#This Row],[Country Code]],Table29[],23,FALSE)</f>
        <v>281.38053496815002</v>
      </c>
      <c r="BA174" s="235">
        <f>VLOOKUP(Table8[[#This Row],[Country Code]],Table29[],24,FALSE)</f>
        <v>12.410696897609901</v>
      </c>
      <c r="BB174" s="320"/>
      <c r="BC174" s="320"/>
    </row>
    <row r="175" spans="1:55" hidden="1" x14ac:dyDescent="0.25">
      <c r="A175" s="373">
        <v>21725</v>
      </c>
      <c r="B175" s="233" t="str">
        <f>VLOOKUP(Table8[[#This Row],[Document ID]],Table1[],2,FALSE)</f>
        <v>BGD</v>
      </c>
      <c r="C175" s="233" t="str">
        <f>VLOOKUP(Table8[[#This Row],[Document ID]],Table1[],3,FALSE)</f>
        <v>Bangladesh</v>
      </c>
      <c r="D175" s="243" t="str">
        <f>VLOOKUP(Table8[[#This Row],[Document ID]],Table1[],5,FALSE)</f>
        <v>NDC</v>
      </c>
      <c r="E175" s="233" t="str">
        <f>VLOOKUP(Table8[[#This Row],[Document ID]],Table1[],7,FALSE)</f>
        <v>First NDC updated</v>
      </c>
      <c r="F175" s="233" t="str">
        <f>VLOOKUP(Table8[[#This Row],[Document ID]],Table1[],8,FALSE)</f>
        <v>NDC 1.2</v>
      </c>
      <c r="G175" s="233" t="str">
        <f>VLOOKUP(Table8[[#This Row],[Document ID]],Table1[],10,FALSE)</f>
        <v>Active</v>
      </c>
      <c r="H175" s="43" t="s">
        <v>2350</v>
      </c>
      <c r="I175" s="43" t="s">
        <v>2456</v>
      </c>
      <c r="J175" s="44" t="s">
        <v>2457</v>
      </c>
      <c r="K175" s="44" t="s">
        <v>2555</v>
      </c>
      <c r="L175" s="44" t="s">
        <v>2333</v>
      </c>
      <c r="M175" s="43">
        <v>9</v>
      </c>
      <c r="N175" s="113"/>
      <c r="O175" s="113"/>
      <c r="P175" s="113"/>
      <c r="Q175" s="113"/>
      <c r="R175" s="113"/>
      <c r="S175" s="113"/>
      <c r="T175" s="113"/>
      <c r="U175" s="113"/>
      <c r="V175" s="113"/>
      <c r="W175" s="113"/>
      <c r="X175" s="113"/>
      <c r="Y175" s="113"/>
      <c r="Z175" s="113" t="s">
        <v>1113</v>
      </c>
      <c r="AA175" s="113"/>
      <c r="AB175" s="113"/>
      <c r="AC175" s="113"/>
      <c r="AD175" s="113"/>
      <c r="AE175" s="113"/>
      <c r="AF175" s="113"/>
      <c r="AG175" s="113"/>
      <c r="AH175" s="113"/>
      <c r="AI175" s="113"/>
      <c r="AJ175" s="113"/>
      <c r="AK175" s="319" t="s">
        <v>1113</v>
      </c>
      <c r="AL175" s="113"/>
      <c r="AM175" s="113"/>
      <c r="AN175" s="113"/>
      <c r="AO175" s="44" t="s">
        <v>2334</v>
      </c>
      <c r="AP175" s="43"/>
      <c r="AQ175" s="236" t="str">
        <f>VLOOKUP(Table8[[#This Row],[Instrument]],Def_Targets!$D$73:$E$159,2,FALSE)</f>
        <v>S_Infraimprove</v>
      </c>
      <c r="AR175" s="233" t="str">
        <f>VLOOKUP(Table8[[#This Row],[Country Code]],Table29[],3,FALSE)</f>
        <v>Non-Annex I</v>
      </c>
      <c r="AS175" s="233" t="str">
        <f>VLOOKUP(Table8[[#This Row],[Country Code]],Table29[],4,FALSE)</f>
        <v>Asia</v>
      </c>
      <c r="AT175" s="233" t="str">
        <f>VLOOKUP(Table8[[#This Row],[Country Code]],Table29[],5,FALSE)</f>
        <v>Middle-income</v>
      </c>
      <c r="AU175" s="233" t="str">
        <f>VLOOKUP(Table8[[#This Row],[Country Code]],Table29[],6,FALSE)</f>
        <v>no</v>
      </c>
      <c r="AV175" s="233" t="str">
        <f>VLOOKUP(Table8[[#This Row],[Country Code]],Table29[],7,FALSE)</f>
        <v>no</v>
      </c>
      <c r="AW175" s="233" t="str">
        <f>VLOOKUP(Table8[[#This Row],[Country Code]],Table29[],8,FALSE)</f>
        <v>non-OECD</v>
      </c>
      <c r="AX175" s="233" t="str">
        <f>VLOOKUP(Table8[[#This Row],[Country Code]],Table29[],9,FALSE)</f>
        <v>no</v>
      </c>
      <c r="AY175" s="233" t="str">
        <f>VLOOKUP(Table8[[#This Row],[Country Code]],Table29[],10,FALSE)</f>
        <v>no</v>
      </c>
      <c r="AZ175" s="235">
        <f>VLOOKUP(Table8[[#This Row],[Country Code]],Table29[],23,FALSE)</f>
        <v>281.38053496815002</v>
      </c>
      <c r="BA175" s="235">
        <f>VLOOKUP(Table8[[#This Row],[Country Code]],Table29[],24,FALSE)</f>
        <v>12.410696897609901</v>
      </c>
      <c r="BB175" s="320"/>
      <c r="BC175" s="320"/>
    </row>
    <row r="176" spans="1:55" hidden="1" x14ac:dyDescent="0.25">
      <c r="A176" s="373">
        <v>21725</v>
      </c>
      <c r="B176" s="233" t="str">
        <f>VLOOKUP(Table8[[#This Row],[Document ID]],Table1[],2,FALSE)</f>
        <v>BGD</v>
      </c>
      <c r="C176" s="233" t="str">
        <f>VLOOKUP(Table8[[#This Row],[Document ID]],Table1[],3,FALSE)</f>
        <v>Bangladesh</v>
      </c>
      <c r="D176" s="243" t="str">
        <f>VLOOKUP(Table8[[#This Row],[Document ID]],Table1[],5,FALSE)</f>
        <v>NDC</v>
      </c>
      <c r="E176" s="233" t="str">
        <f>VLOOKUP(Table8[[#This Row],[Document ID]],Table1[],7,FALSE)</f>
        <v>First NDC updated</v>
      </c>
      <c r="F176" s="233" t="str">
        <f>VLOOKUP(Table8[[#This Row],[Document ID]],Table1[],8,FALSE)</f>
        <v>NDC 1.2</v>
      </c>
      <c r="G176" s="233" t="str">
        <f>VLOOKUP(Table8[[#This Row],[Document ID]],Table1[],10,FALSE)</f>
        <v>Active</v>
      </c>
      <c r="H176" s="44" t="s">
        <v>2338</v>
      </c>
      <c r="I176" s="44" t="s">
        <v>2339</v>
      </c>
      <c r="J176" s="44" t="s">
        <v>2556</v>
      </c>
      <c r="K176" s="44" t="s">
        <v>2557</v>
      </c>
      <c r="L176" s="44" t="s">
        <v>2333</v>
      </c>
      <c r="M176" s="43">
        <v>9</v>
      </c>
      <c r="N176" s="113"/>
      <c r="O176" s="113"/>
      <c r="P176" s="113"/>
      <c r="Q176" s="113"/>
      <c r="R176" s="113"/>
      <c r="S176" s="113" t="s">
        <v>1113</v>
      </c>
      <c r="T176" s="113"/>
      <c r="U176" s="113"/>
      <c r="V176" s="113"/>
      <c r="W176" s="113"/>
      <c r="X176" s="113"/>
      <c r="Y176" s="113"/>
      <c r="Z176" s="113"/>
      <c r="AA176" s="113"/>
      <c r="AB176" s="113"/>
      <c r="AC176" s="113"/>
      <c r="AD176" s="113"/>
      <c r="AE176" s="113"/>
      <c r="AF176" s="113"/>
      <c r="AG176" s="113"/>
      <c r="AH176" s="113"/>
      <c r="AI176" s="113"/>
      <c r="AJ176" s="113"/>
      <c r="AK176" s="319" t="s">
        <v>1113</v>
      </c>
      <c r="AL176" s="113"/>
      <c r="AM176" s="113"/>
      <c r="AN176" s="113"/>
      <c r="AO176" s="44" t="s">
        <v>2334</v>
      </c>
      <c r="AP176" s="43"/>
      <c r="AQ176" s="236" t="str">
        <f>VLOOKUP(Table8[[#This Row],[Instrument]],Def_Targets!$D$73:$E$159,2,FALSE)</f>
        <v>I_Fuelqualimprove</v>
      </c>
      <c r="AR176" s="233" t="str">
        <f>VLOOKUP(Table8[[#This Row],[Country Code]],Table29[],3,FALSE)</f>
        <v>Non-Annex I</v>
      </c>
      <c r="AS176" s="233" t="str">
        <f>VLOOKUP(Table8[[#This Row],[Country Code]],Table29[],4,FALSE)</f>
        <v>Asia</v>
      </c>
      <c r="AT176" s="233" t="str">
        <f>VLOOKUP(Table8[[#This Row],[Country Code]],Table29[],5,FALSE)</f>
        <v>Middle-income</v>
      </c>
      <c r="AU176" s="233" t="str">
        <f>VLOOKUP(Table8[[#This Row],[Country Code]],Table29[],6,FALSE)</f>
        <v>no</v>
      </c>
      <c r="AV176" s="233" t="str">
        <f>VLOOKUP(Table8[[#This Row],[Country Code]],Table29[],7,FALSE)</f>
        <v>no</v>
      </c>
      <c r="AW176" s="233" t="str">
        <f>VLOOKUP(Table8[[#This Row],[Country Code]],Table29[],8,FALSE)</f>
        <v>non-OECD</v>
      </c>
      <c r="AX176" s="233" t="str">
        <f>VLOOKUP(Table8[[#This Row],[Country Code]],Table29[],9,FALSE)</f>
        <v>no</v>
      </c>
      <c r="AY176" s="233" t="str">
        <f>VLOOKUP(Table8[[#This Row],[Country Code]],Table29[],10,FALSE)</f>
        <v>no</v>
      </c>
      <c r="AZ176" s="235">
        <f>VLOOKUP(Table8[[#This Row],[Country Code]],Table29[],23,FALSE)</f>
        <v>281.38053496815002</v>
      </c>
      <c r="BA176" s="235">
        <f>VLOOKUP(Table8[[#This Row],[Country Code]],Table29[],24,FALSE)</f>
        <v>12.410696897609901</v>
      </c>
      <c r="BB176" s="320"/>
      <c r="BC176" s="320"/>
    </row>
    <row r="177" spans="1:55" hidden="1" x14ac:dyDescent="0.25">
      <c r="A177" s="373">
        <v>21725</v>
      </c>
      <c r="B177" s="233" t="str">
        <f>VLOOKUP(Table8[[#This Row],[Document ID]],Table1[],2,FALSE)</f>
        <v>BGD</v>
      </c>
      <c r="C177" s="233" t="str">
        <f>VLOOKUP(Table8[[#This Row],[Document ID]],Table1[],3,FALSE)</f>
        <v>Bangladesh</v>
      </c>
      <c r="D177" s="243" t="str">
        <f>VLOOKUP(Table8[[#This Row],[Document ID]],Table1[],5,FALSE)</f>
        <v>NDC</v>
      </c>
      <c r="E177" s="233" t="str">
        <f>VLOOKUP(Table8[[#This Row],[Document ID]],Table1[],7,FALSE)</f>
        <v>First NDC updated</v>
      </c>
      <c r="F177" s="233" t="str">
        <f>VLOOKUP(Table8[[#This Row],[Document ID]],Table1[],8,FALSE)</f>
        <v>NDC 1.2</v>
      </c>
      <c r="G177" s="233" t="str">
        <f>VLOOKUP(Table8[[#This Row],[Document ID]],Table1[],10,FALSE)</f>
        <v>Active</v>
      </c>
      <c r="H177" s="44" t="s">
        <v>2338</v>
      </c>
      <c r="I177" s="44" t="s">
        <v>2339</v>
      </c>
      <c r="J177" s="44" t="s">
        <v>2425</v>
      </c>
      <c r="K177" s="44" t="s">
        <v>2558</v>
      </c>
      <c r="L177" s="44" t="s">
        <v>2333</v>
      </c>
      <c r="M177" s="43">
        <v>9</v>
      </c>
      <c r="N177" s="113"/>
      <c r="O177" s="113"/>
      <c r="P177" s="113"/>
      <c r="Q177" s="113"/>
      <c r="R177" s="113"/>
      <c r="S177" s="113" t="s">
        <v>1113</v>
      </c>
      <c r="T177" s="113"/>
      <c r="U177" s="113"/>
      <c r="V177" s="113"/>
      <c r="W177" s="113"/>
      <c r="X177" s="113"/>
      <c r="Y177" s="113"/>
      <c r="Z177" s="113"/>
      <c r="AA177" s="113"/>
      <c r="AB177" s="113"/>
      <c r="AC177" s="113"/>
      <c r="AD177" s="113"/>
      <c r="AE177" s="113"/>
      <c r="AF177" s="113"/>
      <c r="AG177" s="113"/>
      <c r="AH177" s="113"/>
      <c r="AI177" s="113"/>
      <c r="AJ177" s="113"/>
      <c r="AK177" s="319" t="s">
        <v>1113</v>
      </c>
      <c r="AL177" s="113"/>
      <c r="AM177" s="113"/>
      <c r="AN177" s="113"/>
      <c r="AO177" s="43" t="s">
        <v>2353</v>
      </c>
      <c r="AP177" s="43"/>
      <c r="AQ177" s="236" t="str">
        <f>VLOOKUP(Table8[[#This Row],[Instrument]],Def_Targets!$D$73:$E$159,2,FALSE)</f>
        <v>I_Efficiencystd</v>
      </c>
      <c r="AR177" s="233" t="str">
        <f>VLOOKUP(Table8[[#This Row],[Country Code]],Table29[],3,FALSE)</f>
        <v>Non-Annex I</v>
      </c>
      <c r="AS177" s="233" t="str">
        <f>VLOOKUP(Table8[[#This Row],[Country Code]],Table29[],4,FALSE)</f>
        <v>Asia</v>
      </c>
      <c r="AT177" s="233" t="str">
        <f>VLOOKUP(Table8[[#This Row],[Country Code]],Table29[],5,FALSE)</f>
        <v>Middle-income</v>
      </c>
      <c r="AU177" s="233" t="str">
        <f>VLOOKUP(Table8[[#This Row],[Country Code]],Table29[],6,FALSE)</f>
        <v>no</v>
      </c>
      <c r="AV177" s="233" t="str">
        <f>VLOOKUP(Table8[[#This Row],[Country Code]],Table29[],7,FALSE)</f>
        <v>no</v>
      </c>
      <c r="AW177" s="233" t="str">
        <f>VLOOKUP(Table8[[#This Row],[Country Code]],Table29[],8,FALSE)</f>
        <v>non-OECD</v>
      </c>
      <c r="AX177" s="233" t="str">
        <f>VLOOKUP(Table8[[#This Row],[Country Code]],Table29[],9,FALSE)</f>
        <v>no</v>
      </c>
      <c r="AY177" s="233" t="str">
        <f>VLOOKUP(Table8[[#This Row],[Country Code]],Table29[],10,FALSE)</f>
        <v>no</v>
      </c>
      <c r="AZ177" s="235">
        <f>VLOOKUP(Table8[[#This Row],[Country Code]],Table29[],23,FALSE)</f>
        <v>281.38053496815002</v>
      </c>
      <c r="BA177" s="235">
        <f>VLOOKUP(Table8[[#This Row],[Country Code]],Table29[],24,FALSE)</f>
        <v>12.410696897609901</v>
      </c>
      <c r="BB177" s="320"/>
      <c r="BC177" s="320"/>
    </row>
    <row r="178" spans="1:55" hidden="1" x14ac:dyDescent="0.25">
      <c r="A178" s="373">
        <v>21725</v>
      </c>
      <c r="B178" s="233" t="str">
        <f>VLOOKUP(Table8[[#This Row],[Document ID]],Table1[],2,FALSE)</f>
        <v>BGD</v>
      </c>
      <c r="C178" s="233" t="str">
        <f>VLOOKUP(Table8[[#This Row],[Document ID]],Table1[],3,FALSE)</f>
        <v>Bangladesh</v>
      </c>
      <c r="D178" s="243" t="str">
        <f>VLOOKUP(Table8[[#This Row],[Document ID]],Table1[],5,FALSE)</f>
        <v>NDC</v>
      </c>
      <c r="E178" s="233" t="str">
        <f>VLOOKUP(Table8[[#This Row],[Document ID]],Table1[],7,FALSE)</f>
        <v>First NDC updated</v>
      </c>
      <c r="F178" s="233" t="str">
        <f>VLOOKUP(Table8[[#This Row],[Document ID]],Table1[],8,FALSE)</f>
        <v>NDC 1.2</v>
      </c>
      <c r="G178" s="233" t="str">
        <f>VLOOKUP(Table8[[#This Row],[Document ID]],Table1[],10,FALSE)</f>
        <v>Active</v>
      </c>
      <c r="H178" s="43" t="s">
        <v>2350</v>
      </c>
      <c r="I178" s="43" t="s">
        <v>2456</v>
      </c>
      <c r="J178" s="44" t="s">
        <v>2466</v>
      </c>
      <c r="K178" s="44" t="s">
        <v>2559</v>
      </c>
      <c r="L178" s="44" t="s">
        <v>2333</v>
      </c>
      <c r="M178" s="43">
        <v>9</v>
      </c>
      <c r="N178" s="113"/>
      <c r="O178" s="113"/>
      <c r="P178" s="113"/>
      <c r="Q178" s="113"/>
      <c r="R178" s="113"/>
      <c r="S178" s="113" t="s">
        <v>1113</v>
      </c>
      <c r="T178" s="113"/>
      <c r="U178" s="113"/>
      <c r="V178" s="113"/>
      <c r="W178" s="113"/>
      <c r="X178" s="113"/>
      <c r="Y178" s="113"/>
      <c r="Z178" s="113"/>
      <c r="AA178" s="113"/>
      <c r="AB178" s="113"/>
      <c r="AC178" s="113"/>
      <c r="AD178" s="113"/>
      <c r="AE178" s="113"/>
      <c r="AF178" s="113"/>
      <c r="AG178" s="113"/>
      <c r="AH178" s="113"/>
      <c r="AI178" s="113"/>
      <c r="AJ178" s="113"/>
      <c r="AK178" s="319" t="s">
        <v>1113</v>
      </c>
      <c r="AL178" s="113"/>
      <c r="AM178" s="113"/>
      <c r="AN178" s="113"/>
      <c r="AO178" s="44" t="s">
        <v>2334</v>
      </c>
      <c r="AP178" s="43"/>
      <c r="AQ178" s="236" t="str">
        <f>VLOOKUP(Table8[[#This Row],[Instrument]],Def_Targets!$D$73:$E$159,2,FALSE)</f>
        <v>S_Infraexpansion</v>
      </c>
      <c r="AR178" s="233" t="str">
        <f>VLOOKUP(Table8[[#This Row],[Country Code]],Table29[],3,FALSE)</f>
        <v>Non-Annex I</v>
      </c>
      <c r="AS178" s="233" t="str">
        <f>VLOOKUP(Table8[[#This Row],[Country Code]],Table29[],4,FALSE)</f>
        <v>Asia</v>
      </c>
      <c r="AT178" s="233" t="str">
        <f>VLOOKUP(Table8[[#This Row],[Country Code]],Table29[],5,FALSE)</f>
        <v>Middle-income</v>
      </c>
      <c r="AU178" s="233" t="str">
        <f>VLOOKUP(Table8[[#This Row],[Country Code]],Table29[],6,FALSE)</f>
        <v>no</v>
      </c>
      <c r="AV178" s="233" t="str">
        <f>VLOOKUP(Table8[[#This Row],[Country Code]],Table29[],7,FALSE)</f>
        <v>no</v>
      </c>
      <c r="AW178" s="233" t="str">
        <f>VLOOKUP(Table8[[#This Row],[Country Code]],Table29[],8,FALSE)</f>
        <v>non-OECD</v>
      </c>
      <c r="AX178" s="233" t="str">
        <f>VLOOKUP(Table8[[#This Row],[Country Code]],Table29[],9,FALSE)</f>
        <v>no</v>
      </c>
      <c r="AY178" s="233" t="str">
        <f>VLOOKUP(Table8[[#This Row],[Country Code]],Table29[],10,FALSE)</f>
        <v>no</v>
      </c>
      <c r="AZ178" s="235">
        <f>VLOOKUP(Table8[[#This Row],[Country Code]],Table29[],23,FALSE)</f>
        <v>281.38053496815002</v>
      </c>
      <c r="BA178" s="235">
        <f>VLOOKUP(Table8[[#This Row],[Country Code]],Table29[],24,FALSE)</f>
        <v>12.410696897609901</v>
      </c>
      <c r="BB178" s="320"/>
      <c r="BC178" s="320"/>
    </row>
    <row r="179" spans="1:55" ht="30" hidden="1" x14ac:dyDescent="0.25">
      <c r="A179" s="373">
        <v>21725</v>
      </c>
      <c r="B179" s="233" t="str">
        <f>VLOOKUP(Table8[[#This Row],[Document ID]],Table1[],2,FALSE)</f>
        <v>BGD</v>
      </c>
      <c r="C179" s="233" t="str">
        <f>VLOOKUP(Table8[[#This Row],[Document ID]],Table1[],3,FALSE)</f>
        <v>Bangladesh</v>
      </c>
      <c r="D179" s="243" t="str">
        <f>VLOOKUP(Table8[[#This Row],[Document ID]],Table1[],5,FALSE)</f>
        <v>NDC</v>
      </c>
      <c r="E179" s="233" t="str">
        <f>VLOOKUP(Table8[[#This Row],[Document ID]],Table1[],7,FALSE)</f>
        <v>First NDC updated</v>
      </c>
      <c r="F179" s="233" t="str">
        <f>VLOOKUP(Table8[[#This Row],[Document ID]],Table1[],8,FALSE)</f>
        <v>NDC 1.2</v>
      </c>
      <c r="G179" s="233" t="str">
        <f>VLOOKUP(Table8[[#This Row],[Document ID]],Table1[],10,FALSE)</f>
        <v>Active</v>
      </c>
      <c r="H179" s="44" t="s">
        <v>2338</v>
      </c>
      <c r="I179" s="44" t="s">
        <v>2339</v>
      </c>
      <c r="J179" s="44" t="s">
        <v>2410</v>
      </c>
      <c r="K179" s="44" t="s">
        <v>2560</v>
      </c>
      <c r="L179" s="44" t="s">
        <v>2333</v>
      </c>
      <c r="M179" s="43">
        <v>9</v>
      </c>
      <c r="N179" s="113"/>
      <c r="O179" s="113"/>
      <c r="P179" s="113"/>
      <c r="Q179" s="113"/>
      <c r="R179" s="113"/>
      <c r="S179" s="113" t="s">
        <v>1113</v>
      </c>
      <c r="T179" s="113"/>
      <c r="U179" s="113"/>
      <c r="V179" s="113"/>
      <c r="W179" s="113"/>
      <c r="X179" s="113"/>
      <c r="Y179" s="113"/>
      <c r="Z179" s="113"/>
      <c r="AA179" s="113"/>
      <c r="AB179" s="113"/>
      <c r="AC179" s="113"/>
      <c r="AD179" s="113"/>
      <c r="AE179" s="113"/>
      <c r="AF179" s="113"/>
      <c r="AG179" s="113"/>
      <c r="AH179" s="113"/>
      <c r="AI179" s="113"/>
      <c r="AJ179" s="113"/>
      <c r="AK179" s="319" t="s">
        <v>1113</v>
      </c>
      <c r="AL179" s="113"/>
      <c r="AM179" s="113"/>
      <c r="AN179" s="113"/>
      <c r="AO179" s="44" t="s">
        <v>2334</v>
      </c>
      <c r="AP179" s="43"/>
      <c r="AQ179" s="236" t="str">
        <f>VLOOKUP(Table8[[#This Row],[Instrument]],Def_Targets!$D$73:$E$159,2,FALSE)</f>
        <v>I_VehicleRestrictions</v>
      </c>
      <c r="AR179" s="233" t="str">
        <f>VLOOKUP(Table8[[#This Row],[Country Code]],Table29[],3,FALSE)</f>
        <v>Non-Annex I</v>
      </c>
      <c r="AS179" s="233" t="str">
        <f>VLOOKUP(Table8[[#This Row],[Country Code]],Table29[],4,FALSE)</f>
        <v>Asia</v>
      </c>
      <c r="AT179" s="233" t="str">
        <f>VLOOKUP(Table8[[#This Row],[Country Code]],Table29[],5,FALSE)</f>
        <v>Middle-income</v>
      </c>
      <c r="AU179" s="233" t="str">
        <f>VLOOKUP(Table8[[#This Row],[Country Code]],Table29[],6,FALSE)</f>
        <v>no</v>
      </c>
      <c r="AV179" s="233" t="str">
        <f>VLOOKUP(Table8[[#This Row],[Country Code]],Table29[],7,FALSE)</f>
        <v>no</v>
      </c>
      <c r="AW179" s="233" t="str">
        <f>VLOOKUP(Table8[[#This Row],[Country Code]],Table29[],8,FALSE)</f>
        <v>non-OECD</v>
      </c>
      <c r="AX179" s="233" t="str">
        <f>VLOOKUP(Table8[[#This Row],[Country Code]],Table29[],9,FALSE)</f>
        <v>no</v>
      </c>
      <c r="AY179" s="233" t="str">
        <f>VLOOKUP(Table8[[#This Row],[Country Code]],Table29[],10,FALSE)</f>
        <v>no</v>
      </c>
      <c r="AZ179" s="235">
        <f>VLOOKUP(Table8[[#This Row],[Country Code]],Table29[],23,FALSE)</f>
        <v>281.38053496815002</v>
      </c>
      <c r="BA179" s="235">
        <f>VLOOKUP(Table8[[#This Row],[Country Code]],Table29[],24,FALSE)</f>
        <v>12.410696897609901</v>
      </c>
      <c r="BB179" s="320"/>
      <c r="BC179" s="320"/>
    </row>
    <row r="180" spans="1:55" hidden="1" x14ac:dyDescent="0.25">
      <c r="A180" s="373">
        <v>21725</v>
      </c>
      <c r="B180" s="233" t="str">
        <f>VLOOKUP(Table8[[#This Row],[Document ID]],Table1[],2,FALSE)</f>
        <v>BGD</v>
      </c>
      <c r="C180" s="233" t="str">
        <f>VLOOKUP(Table8[[#This Row],[Document ID]],Table1[],3,FALSE)</f>
        <v>Bangladesh</v>
      </c>
      <c r="D180" s="243" t="str">
        <f>VLOOKUP(Table8[[#This Row],[Document ID]],Table1[],5,FALSE)</f>
        <v>NDC</v>
      </c>
      <c r="E180" s="233" t="str">
        <f>VLOOKUP(Table8[[#This Row],[Document ID]],Table1[],7,FALSE)</f>
        <v>First NDC updated</v>
      </c>
      <c r="F180" s="233" t="str">
        <f>VLOOKUP(Table8[[#This Row],[Document ID]],Table1[],8,FALSE)</f>
        <v>NDC 1.2</v>
      </c>
      <c r="G180" s="233" t="str">
        <f>VLOOKUP(Table8[[#This Row],[Document ID]],Table1[],10,FALSE)</f>
        <v>Active</v>
      </c>
      <c r="H180" s="43" t="s">
        <v>2358</v>
      </c>
      <c r="I180" s="43" t="s">
        <v>2359</v>
      </c>
      <c r="J180" s="44" t="s">
        <v>2360</v>
      </c>
      <c r="K180" s="44" t="s">
        <v>2561</v>
      </c>
      <c r="L180" s="44" t="s">
        <v>2333</v>
      </c>
      <c r="M180" s="43">
        <v>9</v>
      </c>
      <c r="N180" s="113"/>
      <c r="O180" s="113"/>
      <c r="P180" s="113"/>
      <c r="Q180" s="113"/>
      <c r="R180" s="113"/>
      <c r="S180" s="113"/>
      <c r="T180" s="113" t="s">
        <v>1113</v>
      </c>
      <c r="U180" s="113" t="s">
        <v>1113</v>
      </c>
      <c r="V180" s="113"/>
      <c r="W180" s="113"/>
      <c r="X180" s="113"/>
      <c r="Y180" s="113"/>
      <c r="Z180" s="113"/>
      <c r="AA180" s="113"/>
      <c r="AB180" s="113"/>
      <c r="AC180" s="113"/>
      <c r="AD180" s="113"/>
      <c r="AE180" s="113"/>
      <c r="AF180" s="113"/>
      <c r="AG180" s="113"/>
      <c r="AH180" s="113"/>
      <c r="AI180" s="113"/>
      <c r="AJ180" s="113"/>
      <c r="AK180" s="319" t="s">
        <v>1113</v>
      </c>
      <c r="AL180" s="113"/>
      <c r="AM180" s="113"/>
      <c r="AN180" s="113"/>
      <c r="AO180" s="44" t="s">
        <v>2334</v>
      </c>
      <c r="AP180" s="43"/>
      <c r="AQ180" s="236" t="str">
        <f>VLOOKUP(Table8[[#This Row],[Instrument]],Def_Targets!$D$73:$E$159,2,FALSE)</f>
        <v>I_Emobility</v>
      </c>
      <c r="AR180" s="233" t="str">
        <f>VLOOKUP(Table8[[#This Row],[Country Code]],Table29[],3,FALSE)</f>
        <v>Non-Annex I</v>
      </c>
      <c r="AS180" s="233" t="str">
        <f>VLOOKUP(Table8[[#This Row],[Country Code]],Table29[],4,FALSE)</f>
        <v>Asia</v>
      </c>
      <c r="AT180" s="233" t="str">
        <f>VLOOKUP(Table8[[#This Row],[Country Code]],Table29[],5,FALSE)</f>
        <v>Middle-income</v>
      </c>
      <c r="AU180" s="233" t="str">
        <f>VLOOKUP(Table8[[#This Row],[Country Code]],Table29[],6,FALSE)</f>
        <v>no</v>
      </c>
      <c r="AV180" s="233" t="str">
        <f>VLOOKUP(Table8[[#This Row],[Country Code]],Table29[],7,FALSE)</f>
        <v>no</v>
      </c>
      <c r="AW180" s="233" t="str">
        <f>VLOOKUP(Table8[[#This Row],[Country Code]],Table29[],8,FALSE)</f>
        <v>non-OECD</v>
      </c>
      <c r="AX180" s="233" t="str">
        <f>VLOOKUP(Table8[[#This Row],[Country Code]],Table29[],9,FALSE)</f>
        <v>no</v>
      </c>
      <c r="AY180" s="233" t="str">
        <f>VLOOKUP(Table8[[#This Row],[Country Code]],Table29[],10,FALSE)</f>
        <v>no</v>
      </c>
      <c r="AZ180" s="235">
        <f>VLOOKUP(Table8[[#This Row],[Country Code]],Table29[],23,FALSE)</f>
        <v>281.38053496815002</v>
      </c>
      <c r="BA180" s="235">
        <f>VLOOKUP(Table8[[#This Row],[Country Code]],Table29[],24,FALSE)</f>
        <v>12.410696897609901</v>
      </c>
      <c r="BB180" s="320"/>
      <c r="BC180" s="320"/>
    </row>
    <row r="181" spans="1:55" ht="30" hidden="1" x14ac:dyDescent="0.25">
      <c r="A181" s="373">
        <v>17524</v>
      </c>
      <c r="B181" s="233" t="str">
        <f>VLOOKUP(Table8[[#This Row],[Document ID]],Table1[],2,FALSE)</f>
        <v>BGD</v>
      </c>
      <c r="C181" s="233" t="str">
        <f>VLOOKUP(Table8[[#This Row],[Document ID]],Table1[],3,FALSE)</f>
        <v>Bangladesh</v>
      </c>
      <c r="D181" s="243" t="str">
        <f>VLOOKUP(Table8[[#This Row],[Document ID]],Table1[],5,FALSE)</f>
        <v>NDC</v>
      </c>
      <c r="E181" s="233" t="str">
        <f>VLOOKUP(Table8[[#This Row],[Document ID]],Table1[],7,FALSE)</f>
        <v>First NDC</v>
      </c>
      <c r="F181" s="236" t="str">
        <f>VLOOKUP(Table8[[#This Row],[Document ID]],Table1[],8,FALSE)</f>
        <v>NDC 1.0</v>
      </c>
      <c r="G181" s="236" t="str">
        <f>VLOOKUP(Table8[[#This Row],[Document ID]],Table1[],10,FALSE)</f>
        <v>Archived</v>
      </c>
      <c r="H181" s="43" t="s">
        <v>2350</v>
      </c>
      <c r="I181" s="43" t="s">
        <v>2370</v>
      </c>
      <c r="J181" s="44" t="s">
        <v>2511</v>
      </c>
      <c r="K181" s="44" t="s">
        <v>2562</v>
      </c>
      <c r="L181" s="44" t="s">
        <v>2333</v>
      </c>
      <c r="M181" s="43"/>
      <c r="N181" s="113"/>
      <c r="O181" s="113"/>
      <c r="P181" s="113"/>
      <c r="Q181" s="319"/>
      <c r="R181" s="319"/>
      <c r="S181" s="113" t="s">
        <v>1113</v>
      </c>
      <c r="T181" s="319"/>
      <c r="U181" s="319"/>
      <c r="V181" s="319"/>
      <c r="W181" s="319"/>
      <c r="X181" s="319"/>
      <c r="Y181" s="319"/>
      <c r="Z181" s="319"/>
      <c r="AA181" s="319"/>
      <c r="AB181" s="319"/>
      <c r="AC181" s="319"/>
      <c r="AD181" s="319"/>
      <c r="AE181" s="319"/>
      <c r="AF181" s="319"/>
      <c r="AG181" s="319"/>
      <c r="AH181" s="319"/>
      <c r="AI181" s="319"/>
      <c r="AJ181" s="319"/>
      <c r="AK181" s="319" t="s">
        <v>1113</v>
      </c>
      <c r="AL181" s="319"/>
      <c r="AM181" s="319"/>
      <c r="AN181" s="319"/>
      <c r="AO181" s="44" t="s">
        <v>2334</v>
      </c>
      <c r="AP181" s="44"/>
      <c r="AQ181" s="236" t="str">
        <f>VLOOKUP(Table8[[#This Row],[Instrument]],Def_Targets!$D$73:$E$159,2,FALSE)</f>
        <v>A_LATM</v>
      </c>
      <c r="AR181" s="233" t="str">
        <f>VLOOKUP(Table8[[#This Row],[Country Code]],Table29[],3,FALSE)</f>
        <v>Non-Annex I</v>
      </c>
      <c r="AS181" s="233" t="str">
        <f>VLOOKUP(Table8[[#This Row],[Country Code]],Table29[],4,FALSE)</f>
        <v>Asia</v>
      </c>
      <c r="AT181" s="233" t="str">
        <f>VLOOKUP(Table8[[#This Row],[Country Code]],Table29[],5,FALSE)</f>
        <v>Middle-income</v>
      </c>
      <c r="AU181" s="233" t="str">
        <f>VLOOKUP(Table8[[#This Row],[Country Code]],Table29[],6,FALSE)</f>
        <v>no</v>
      </c>
      <c r="AV181" s="233" t="str">
        <f>VLOOKUP(Table8[[#This Row],[Country Code]],Table29[],7,FALSE)</f>
        <v>no</v>
      </c>
      <c r="AW181" s="233" t="str">
        <f>VLOOKUP(Table8[[#This Row],[Country Code]],Table29[],8,FALSE)</f>
        <v>non-OECD</v>
      </c>
      <c r="AX181" s="233" t="str">
        <f>VLOOKUP(Table8[[#This Row],[Country Code]],Table29[],9,FALSE)</f>
        <v>no</v>
      </c>
      <c r="AY181" s="233" t="str">
        <f>VLOOKUP(Table8[[#This Row],[Country Code]],Table29[],10,FALSE)</f>
        <v>no</v>
      </c>
      <c r="AZ181" s="235">
        <f>VLOOKUP(Table8[[#This Row],[Country Code]],Table29[],23,FALSE)</f>
        <v>281.38053496815002</v>
      </c>
      <c r="BA181" s="235">
        <f>VLOOKUP(Table8[[#This Row],[Country Code]],Table29[],24,FALSE)</f>
        <v>12.410696897609901</v>
      </c>
      <c r="BB181" s="320"/>
      <c r="BC181" s="320"/>
    </row>
    <row r="182" spans="1:55" ht="30" hidden="1" x14ac:dyDescent="0.25">
      <c r="A182" s="373">
        <v>17524</v>
      </c>
      <c r="B182" s="233" t="str">
        <f>VLOOKUP(Table8[[#This Row],[Document ID]],Table1[],2,FALSE)</f>
        <v>BGD</v>
      </c>
      <c r="C182" s="233" t="str">
        <f>VLOOKUP(Table8[[#This Row],[Document ID]],Table1[],3,FALSE)</f>
        <v>Bangladesh</v>
      </c>
      <c r="D182" s="243" t="str">
        <f>VLOOKUP(Table8[[#This Row],[Document ID]],Table1[],5,FALSE)</f>
        <v>NDC</v>
      </c>
      <c r="E182" s="233" t="str">
        <f>VLOOKUP(Table8[[#This Row],[Document ID]],Table1[],7,FALSE)</f>
        <v>First NDC</v>
      </c>
      <c r="F182" s="236" t="str">
        <f>VLOOKUP(Table8[[#This Row],[Document ID]],Table1[],8,FALSE)</f>
        <v>NDC 1.0</v>
      </c>
      <c r="G182" s="236" t="str">
        <f>VLOOKUP(Table8[[#This Row],[Document ID]],Table1[],10,FALSE)</f>
        <v>Archived</v>
      </c>
      <c r="H182" s="43" t="s">
        <v>2343</v>
      </c>
      <c r="I182" s="43" t="s">
        <v>2344</v>
      </c>
      <c r="J182" s="44" t="s">
        <v>2549</v>
      </c>
      <c r="K182" s="44" t="s">
        <v>2563</v>
      </c>
      <c r="L182" s="44" t="s">
        <v>2347</v>
      </c>
      <c r="M182" s="43"/>
      <c r="N182" s="113"/>
      <c r="O182" s="113"/>
      <c r="P182" s="113"/>
      <c r="Q182" s="319"/>
      <c r="R182" s="319"/>
      <c r="S182" s="319"/>
      <c r="T182" s="319"/>
      <c r="U182" s="319"/>
      <c r="V182" s="319"/>
      <c r="W182" s="319"/>
      <c r="X182" s="319"/>
      <c r="Y182" s="113" t="s">
        <v>1113</v>
      </c>
      <c r="Z182" s="113"/>
      <c r="AA182" s="319"/>
      <c r="AB182" s="319"/>
      <c r="AC182" s="319"/>
      <c r="AD182" s="319"/>
      <c r="AE182" s="319"/>
      <c r="AF182" s="319"/>
      <c r="AG182" s="319"/>
      <c r="AH182" s="319"/>
      <c r="AI182" s="319"/>
      <c r="AJ182" s="319"/>
      <c r="AK182" s="319"/>
      <c r="AL182" s="113" t="s">
        <v>1113</v>
      </c>
      <c r="AM182" s="319"/>
      <c r="AN182" s="319"/>
      <c r="AO182" s="43" t="s">
        <v>2348</v>
      </c>
      <c r="AP182" s="44"/>
      <c r="AQ182" s="236" t="str">
        <f>VLOOKUP(Table8[[#This Row],[Instrument]],Def_Targets!$D$73:$E$159,2,FALSE)</f>
        <v>S_BRT</v>
      </c>
      <c r="AR182" s="233" t="str">
        <f>VLOOKUP(Table8[[#This Row],[Country Code]],Table29[],3,FALSE)</f>
        <v>Non-Annex I</v>
      </c>
      <c r="AS182" s="233" t="str">
        <f>VLOOKUP(Table8[[#This Row],[Country Code]],Table29[],4,FALSE)</f>
        <v>Asia</v>
      </c>
      <c r="AT182" s="233" t="str">
        <f>VLOOKUP(Table8[[#This Row],[Country Code]],Table29[],5,FALSE)</f>
        <v>Middle-income</v>
      </c>
      <c r="AU182" s="233" t="str">
        <f>VLOOKUP(Table8[[#This Row],[Country Code]],Table29[],6,FALSE)</f>
        <v>no</v>
      </c>
      <c r="AV182" s="233" t="str">
        <f>VLOOKUP(Table8[[#This Row],[Country Code]],Table29[],7,FALSE)</f>
        <v>no</v>
      </c>
      <c r="AW182" s="233" t="str">
        <f>VLOOKUP(Table8[[#This Row],[Country Code]],Table29[],8,FALSE)</f>
        <v>non-OECD</v>
      </c>
      <c r="AX182" s="233" t="str">
        <f>VLOOKUP(Table8[[#This Row],[Country Code]],Table29[],9,FALSE)</f>
        <v>no</v>
      </c>
      <c r="AY182" s="233" t="str">
        <f>VLOOKUP(Table8[[#This Row],[Country Code]],Table29[],10,FALSE)</f>
        <v>no</v>
      </c>
      <c r="AZ182" s="235">
        <f>VLOOKUP(Table8[[#This Row],[Country Code]],Table29[],23,FALSE)</f>
        <v>281.38053496815002</v>
      </c>
      <c r="BA182" s="235">
        <f>VLOOKUP(Table8[[#This Row],[Country Code]],Table29[],24,FALSE)</f>
        <v>12.410696897609901</v>
      </c>
      <c r="BB182" s="320"/>
      <c r="BC182" s="320"/>
    </row>
    <row r="183" spans="1:55" ht="30" hidden="1" x14ac:dyDescent="0.25">
      <c r="A183" s="373">
        <v>17524</v>
      </c>
      <c r="B183" s="233" t="str">
        <f>VLOOKUP(Table8[[#This Row],[Document ID]],Table1[],2,FALSE)</f>
        <v>BGD</v>
      </c>
      <c r="C183" s="233" t="str">
        <f>VLOOKUP(Table8[[#This Row],[Document ID]],Table1[],3,FALSE)</f>
        <v>Bangladesh</v>
      </c>
      <c r="D183" s="243" t="str">
        <f>VLOOKUP(Table8[[#This Row],[Document ID]],Table1[],5,FALSE)</f>
        <v>NDC</v>
      </c>
      <c r="E183" s="233" t="str">
        <f>VLOOKUP(Table8[[#This Row],[Document ID]],Table1[],7,FALSE)</f>
        <v>First NDC</v>
      </c>
      <c r="F183" s="236" t="str">
        <f>VLOOKUP(Table8[[#This Row],[Document ID]],Table1[],8,FALSE)</f>
        <v>NDC 1.0</v>
      </c>
      <c r="G183" s="236" t="str">
        <f>VLOOKUP(Table8[[#This Row],[Document ID]],Table1[],10,FALSE)</f>
        <v>Archived</v>
      </c>
      <c r="H183" s="43" t="s">
        <v>2343</v>
      </c>
      <c r="I183" s="43" t="s">
        <v>2344</v>
      </c>
      <c r="J183" s="44" t="s">
        <v>2564</v>
      </c>
      <c r="K183" s="44" t="s">
        <v>2562</v>
      </c>
      <c r="L183" s="44" t="s">
        <v>2347</v>
      </c>
      <c r="M183" s="43"/>
      <c r="N183" s="113"/>
      <c r="O183" s="113"/>
      <c r="P183" s="113"/>
      <c r="Q183" s="319"/>
      <c r="R183" s="319"/>
      <c r="S183" s="319" t="s">
        <v>1113</v>
      </c>
      <c r="T183" s="319"/>
      <c r="U183" s="319"/>
      <c r="V183" s="319"/>
      <c r="W183" s="319"/>
      <c r="X183" s="319"/>
      <c r="Y183" s="113"/>
      <c r="Z183" s="113"/>
      <c r="AA183" s="319"/>
      <c r="AB183" s="319"/>
      <c r="AC183" s="319"/>
      <c r="AD183" s="319"/>
      <c r="AE183" s="319"/>
      <c r="AF183" s="319"/>
      <c r="AG183" s="319"/>
      <c r="AH183" s="319"/>
      <c r="AI183" s="319"/>
      <c r="AJ183" s="319"/>
      <c r="AK183" s="319" t="s">
        <v>1113</v>
      </c>
      <c r="AL183" s="113"/>
      <c r="AM183" s="319"/>
      <c r="AN183" s="319"/>
      <c r="AO183" s="43" t="s">
        <v>2348</v>
      </c>
      <c r="AP183" s="44"/>
      <c r="AQ183" s="236" t="str">
        <f>VLOOKUP(Table8[[#This Row],[Instrument]],Def_Targets!$D$73:$E$159,2,FALSE)</f>
        <v>S_PTPriority</v>
      </c>
      <c r="AR183" s="233" t="str">
        <f>VLOOKUP(Table8[[#This Row],[Country Code]],Table29[],3,FALSE)</f>
        <v>Non-Annex I</v>
      </c>
      <c r="AS183" s="233" t="str">
        <f>VLOOKUP(Table8[[#This Row],[Country Code]],Table29[],4,FALSE)</f>
        <v>Asia</v>
      </c>
      <c r="AT183" s="233" t="str">
        <f>VLOOKUP(Table8[[#This Row],[Country Code]],Table29[],5,FALSE)</f>
        <v>Middle-income</v>
      </c>
      <c r="AU183" s="233" t="str">
        <f>VLOOKUP(Table8[[#This Row],[Country Code]],Table29[],6,FALSE)</f>
        <v>no</v>
      </c>
      <c r="AV183" s="233" t="str">
        <f>VLOOKUP(Table8[[#This Row],[Country Code]],Table29[],7,FALSE)</f>
        <v>no</v>
      </c>
      <c r="AW183" s="233" t="str">
        <f>VLOOKUP(Table8[[#This Row],[Country Code]],Table29[],8,FALSE)</f>
        <v>non-OECD</v>
      </c>
      <c r="AX183" s="233" t="str">
        <f>VLOOKUP(Table8[[#This Row],[Country Code]],Table29[],9,FALSE)</f>
        <v>no</v>
      </c>
      <c r="AY183" s="233" t="str">
        <f>VLOOKUP(Table8[[#This Row],[Country Code]],Table29[],10,FALSE)</f>
        <v>no</v>
      </c>
      <c r="AZ183" s="235">
        <f>VLOOKUP(Table8[[#This Row],[Country Code]],Table29[],23,FALSE)</f>
        <v>281.38053496815002</v>
      </c>
      <c r="BA183" s="235">
        <f>VLOOKUP(Table8[[#This Row],[Country Code]],Table29[],24,FALSE)</f>
        <v>12.410696897609901</v>
      </c>
      <c r="BB183" s="320"/>
      <c r="BC183" s="320"/>
    </row>
    <row r="184" spans="1:55" ht="75" hidden="1" x14ac:dyDescent="0.25">
      <c r="A184" s="373">
        <v>17524</v>
      </c>
      <c r="B184" s="233" t="str">
        <f>VLOOKUP(Table8[[#This Row],[Document ID]],Table1[],2,FALSE)</f>
        <v>BGD</v>
      </c>
      <c r="C184" s="233" t="str">
        <f>VLOOKUP(Table8[[#This Row],[Document ID]],Table1[],3,FALSE)</f>
        <v>Bangladesh</v>
      </c>
      <c r="D184" s="243" t="str">
        <f>VLOOKUP(Table8[[#This Row],[Document ID]],Table1[],5,FALSE)</f>
        <v>NDC</v>
      </c>
      <c r="E184" s="233" t="str">
        <f>VLOOKUP(Table8[[#This Row],[Document ID]],Table1[],7,FALSE)</f>
        <v>First NDC</v>
      </c>
      <c r="F184" s="236" t="str">
        <f>VLOOKUP(Table8[[#This Row],[Document ID]],Table1[],8,FALSE)</f>
        <v>NDC 1.0</v>
      </c>
      <c r="G184" s="236" t="str">
        <f>VLOOKUP(Table8[[#This Row],[Document ID]],Table1[],10,FALSE)</f>
        <v>Archived</v>
      </c>
      <c r="H184" s="43" t="s">
        <v>2343</v>
      </c>
      <c r="I184" s="43" t="s">
        <v>2344</v>
      </c>
      <c r="J184" s="44" t="s">
        <v>2345</v>
      </c>
      <c r="K184" s="44" t="s">
        <v>2565</v>
      </c>
      <c r="L184" s="44" t="s">
        <v>2347</v>
      </c>
      <c r="M184" s="43"/>
      <c r="N184" s="113"/>
      <c r="O184" s="113"/>
      <c r="P184" s="113"/>
      <c r="Q184" s="319"/>
      <c r="R184" s="319"/>
      <c r="S184" s="319"/>
      <c r="T184" s="319"/>
      <c r="U184" s="319"/>
      <c r="V184" s="319"/>
      <c r="W184" s="319"/>
      <c r="X184" s="319"/>
      <c r="Y184" s="113"/>
      <c r="Z184" s="113"/>
      <c r="AA184" s="113"/>
      <c r="AB184" s="113"/>
      <c r="AC184" s="113" t="s">
        <v>1113</v>
      </c>
      <c r="AD184" s="319"/>
      <c r="AE184" s="319"/>
      <c r="AF184" s="319"/>
      <c r="AG184" s="319"/>
      <c r="AH184" s="319"/>
      <c r="AI184" s="319"/>
      <c r="AJ184" s="319"/>
      <c r="AK184" s="319" t="s">
        <v>1113</v>
      </c>
      <c r="AL184" s="319"/>
      <c r="AM184" s="319"/>
      <c r="AN184" s="319"/>
      <c r="AO184" s="43" t="s">
        <v>2348</v>
      </c>
      <c r="AP184" s="44"/>
      <c r="AQ184" s="236" t="str">
        <f>VLOOKUP(Table8[[#This Row],[Instrument]],Def_Targets!$D$73:$E$159,2,FALSE)</f>
        <v>S_PublicTransport</v>
      </c>
      <c r="AR184" s="233" t="str">
        <f>VLOOKUP(Table8[[#This Row],[Country Code]],Table29[],3,FALSE)</f>
        <v>Non-Annex I</v>
      </c>
      <c r="AS184" s="233" t="str">
        <f>VLOOKUP(Table8[[#This Row],[Country Code]],Table29[],4,FALSE)</f>
        <v>Asia</v>
      </c>
      <c r="AT184" s="233" t="str">
        <f>VLOOKUP(Table8[[#This Row],[Country Code]],Table29[],5,FALSE)</f>
        <v>Middle-income</v>
      </c>
      <c r="AU184" s="233" t="str">
        <f>VLOOKUP(Table8[[#This Row],[Country Code]],Table29[],6,FALSE)</f>
        <v>no</v>
      </c>
      <c r="AV184" s="233" t="str">
        <f>VLOOKUP(Table8[[#This Row],[Country Code]],Table29[],7,FALSE)</f>
        <v>no</v>
      </c>
      <c r="AW184" s="233" t="str">
        <f>VLOOKUP(Table8[[#This Row],[Country Code]],Table29[],8,FALSE)</f>
        <v>non-OECD</v>
      </c>
      <c r="AX184" s="233" t="str">
        <f>VLOOKUP(Table8[[#This Row],[Country Code]],Table29[],9,FALSE)</f>
        <v>no</v>
      </c>
      <c r="AY184" s="233" t="str">
        <f>VLOOKUP(Table8[[#This Row],[Country Code]],Table29[],10,FALSE)</f>
        <v>no</v>
      </c>
      <c r="AZ184" s="235">
        <f>VLOOKUP(Table8[[#This Row],[Country Code]],Table29[],23,FALSE)</f>
        <v>281.38053496815002</v>
      </c>
      <c r="BA184" s="235">
        <f>VLOOKUP(Table8[[#This Row],[Country Code]],Table29[],24,FALSE)</f>
        <v>12.410696897609901</v>
      </c>
      <c r="BB184" s="320"/>
      <c r="BC184" s="320"/>
    </row>
    <row r="185" spans="1:55" ht="30" hidden="1" x14ac:dyDescent="0.25">
      <c r="A185" s="373">
        <v>21725</v>
      </c>
      <c r="B185" s="233" t="str">
        <f>VLOOKUP(Table8[[#This Row],[Document ID]],Table1[],2,FALSE)</f>
        <v>BGD</v>
      </c>
      <c r="C185" s="233" t="str">
        <f>VLOOKUP(Table8[[#This Row],[Document ID]],Table1[],3,FALSE)</f>
        <v>Bangladesh</v>
      </c>
      <c r="D185" s="243" t="str">
        <f>VLOOKUP(Table8[[#This Row],[Document ID]],Table1[],5,FALSE)</f>
        <v>NDC</v>
      </c>
      <c r="E185" s="233" t="str">
        <f>VLOOKUP(Table8[[#This Row],[Document ID]],Table1[],7,FALSE)</f>
        <v>First NDC updated</v>
      </c>
      <c r="F185" s="233" t="str">
        <f>VLOOKUP(Table8[[#This Row],[Document ID]],Table1[],8,FALSE)</f>
        <v>NDC 1.2</v>
      </c>
      <c r="G185" s="233" t="str">
        <f>VLOOKUP(Table8[[#This Row],[Document ID]],Table1[],10,FALSE)</f>
        <v>Active</v>
      </c>
      <c r="H185" s="44" t="s">
        <v>2338</v>
      </c>
      <c r="I185" s="44" t="s">
        <v>2339</v>
      </c>
      <c r="J185" s="44" t="s">
        <v>2340</v>
      </c>
      <c r="K185" s="44" t="s">
        <v>2566</v>
      </c>
      <c r="L185" s="44" t="s">
        <v>2333</v>
      </c>
      <c r="M185" s="43">
        <v>8</v>
      </c>
      <c r="N185" s="113"/>
      <c r="O185" s="113"/>
      <c r="P185" s="113"/>
      <c r="Q185" s="113"/>
      <c r="R185" s="113"/>
      <c r="S185" s="113" t="s">
        <v>1113</v>
      </c>
      <c r="T185" s="113"/>
      <c r="U185" s="113"/>
      <c r="V185" s="113"/>
      <c r="W185" s="113"/>
      <c r="X185" s="113"/>
      <c r="Y185" s="113"/>
      <c r="Z185" s="113"/>
      <c r="AA185" s="113"/>
      <c r="AB185" s="113"/>
      <c r="AC185" s="113"/>
      <c r="AD185" s="113"/>
      <c r="AE185" s="113"/>
      <c r="AF185" s="113"/>
      <c r="AG185" s="113"/>
      <c r="AH185" s="113"/>
      <c r="AI185" s="113"/>
      <c r="AJ185" s="113"/>
      <c r="AK185" s="113" t="s">
        <v>1113</v>
      </c>
      <c r="AL185" s="113"/>
      <c r="AM185" s="113"/>
      <c r="AN185" s="113"/>
      <c r="AO185" s="44" t="s">
        <v>2334</v>
      </c>
      <c r="AP185" s="43"/>
      <c r="AQ185" s="236" t="str">
        <f>VLOOKUP(Table8[[#This Row],[Instrument]],Def_Targets!$D$73:$E$159,2,FALSE)</f>
        <v>I_Vehicleimprove</v>
      </c>
      <c r="AR185" s="233" t="str">
        <f>VLOOKUP(Table8[[#This Row],[Country Code]],Table29[],3,FALSE)</f>
        <v>Non-Annex I</v>
      </c>
      <c r="AS185" s="233" t="str">
        <f>VLOOKUP(Table8[[#This Row],[Country Code]],Table29[],4,FALSE)</f>
        <v>Asia</v>
      </c>
      <c r="AT185" s="233" t="str">
        <f>VLOOKUP(Table8[[#This Row],[Country Code]],Table29[],5,FALSE)</f>
        <v>Middle-income</v>
      </c>
      <c r="AU185" s="233" t="str">
        <f>VLOOKUP(Table8[[#This Row],[Country Code]],Table29[],6,FALSE)</f>
        <v>no</v>
      </c>
      <c r="AV185" s="233" t="str">
        <f>VLOOKUP(Table8[[#This Row],[Country Code]],Table29[],7,FALSE)</f>
        <v>no</v>
      </c>
      <c r="AW185" s="233" t="str">
        <f>VLOOKUP(Table8[[#This Row],[Country Code]],Table29[],8,FALSE)</f>
        <v>non-OECD</v>
      </c>
      <c r="AX185" s="233" t="str">
        <f>VLOOKUP(Table8[[#This Row],[Country Code]],Table29[],9,FALSE)</f>
        <v>no</v>
      </c>
      <c r="AY185" s="233" t="str">
        <f>VLOOKUP(Table8[[#This Row],[Country Code]],Table29[],10,FALSE)</f>
        <v>no</v>
      </c>
      <c r="AZ185" s="235">
        <f>VLOOKUP(Table8[[#This Row],[Country Code]],Table29[],23,FALSE)</f>
        <v>281.38053496815002</v>
      </c>
      <c r="BA185" s="235">
        <f>VLOOKUP(Table8[[#This Row],[Country Code]],Table29[],24,FALSE)</f>
        <v>12.410696897609901</v>
      </c>
      <c r="BB185" s="320"/>
      <c r="BC185" s="320"/>
    </row>
    <row r="186" spans="1:55" hidden="1" x14ac:dyDescent="0.25">
      <c r="A186" s="373">
        <v>21725</v>
      </c>
      <c r="B186" s="233" t="str">
        <f>VLOOKUP(Table8[[#This Row],[Document ID]],Table1[],2,FALSE)</f>
        <v>BGD</v>
      </c>
      <c r="C186" s="233" t="str">
        <f>VLOOKUP(Table8[[#This Row],[Document ID]],Table1[],3,FALSE)</f>
        <v>Bangladesh</v>
      </c>
      <c r="D186" s="243" t="str">
        <f>VLOOKUP(Table8[[#This Row],[Document ID]],Table1[],5,FALSE)</f>
        <v>NDC</v>
      </c>
      <c r="E186" s="233" t="str">
        <f>VLOOKUP(Table8[[#This Row],[Document ID]],Table1[],7,FALSE)</f>
        <v>First NDC updated</v>
      </c>
      <c r="F186" s="233" t="str">
        <f>VLOOKUP(Table8[[#This Row],[Document ID]],Table1[],8,FALSE)</f>
        <v>NDC 1.2</v>
      </c>
      <c r="G186" s="233" t="str">
        <f>VLOOKUP(Table8[[#This Row],[Document ID]],Table1[],10,FALSE)</f>
        <v>Active</v>
      </c>
      <c r="H186" s="43" t="s">
        <v>2350</v>
      </c>
      <c r="I186" s="43" t="s">
        <v>2456</v>
      </c>
      <c r="J186" s="44" t="s">
        <v>2466</v>
      </c>
      <c r="K186" s="44" t="s">
        <v>2567</v>
      </c>
      <c r="L186" s="44" t="s">
        <v>2333</v>
      </c>
      <c r="M186" s="43">
        <v>8</v>
      </c>
      <c r="N186" s="113"/>
      <c r="O186" s="113"/>
      <c r="P186" s="113"/>
      <c r="Q186" s="113"/>
      <c r="R186" s="113"/>
      <c r="S186" s="113" t="s">
        <v>1113</v>
      </c>
      <c r="T186" s="113"/>
      <c r="U186" s="113"/>
      <c r="V186" s="113"/>
      <c r="W186" s="113"/>
      <c r="X186" s="113"/>
      <c r="Y186" s="113"/>
      <c r="Z186" s="113"/>
      <c r="AA186" s="113"/>
      <c r="AB186" s="113"/>
      <c r="AC186" s="113"/>
      <c r="AD186" s="113"/>
      <c r="AE186" s="113"/>
      <c r="AF186" s="113"/>
      <c r="AG186" s="113"/>
      <c r="AH186" s="113"/>
      <c r="AI186" s="113"/>
      <c r="AJ186" s="113"/>
      <c r="AK186" s="113" t="s">
        <v>1113</v>
      </c>
      <c r="AL186" s="113"/>
      <c r="AM186" s="113"/>
      <c r="AN186" s="113"/>
      <c r="AO186" s="44" t="s">
        <v>2334</v>
      </c>
      <c r="AP186" s="43"/>
      <c r="AQ186" s="236" t="str">
        <f>VLOOKUP(Table8[[#This Row],[Instrument]],Def_Targets!$D$73:$E$159,2,FALSE)</f>
        <v>S_Infraexpansion</v>
      </c>
      <c r="AR186" s="233" t="str">
        <f>VLOOKUP(Table8[[#This Row],[Country Code]],Table29[],3,FALSE)</f>
        <v>Non-Annex I</v>
      </c>
      <c r="AS186" s="233" t="str">
        <f>VLOOKUP(Table8[[#This Row],[Country Code]],Table29[],4,FALSE)</f>
        <v>Asia</v>
      </c>
      <c r="AT186" s="233" t="str">
        <f>VLOOKUP(Table8[[#This Row],[Country Code]],Table29[],5,FALSE)</f>
        <v>Middle-income</v>
      </c>
      <c r="AU186" s="233" t="str">
        <f>VLOOKUP(Table8[[#This Row],[Country Code]],Table29[],6,FALSE)</f>
        <v>no</v>
      </c>
      <c r="AV186" s="233" t="str">
        <f>VLOOKUP(Table8[[#This Row],[Country Code]],Table29[],7,FALSE)</f>
        <v>no</v>
      </c>
      <c r="AW186" s="233" t="str">
        <f>VLOOKUP(Table8[[#This Row],[Country Code]],Table29[],8,FALSE)</f>
        <v>non-OECD</v>
      </c>
      <c r="AX186" s="233" t="str">
        <f>VLOOKUP(Table8[[#This Row],[Country Code]],Table29[],9,FALSE)</f>
        <v>no</v>
      </c>
      <c r="AY186" s="233" t="str">
        <f>VLOOKUP(Table8[[#This Row],[Country Code]],Table29[],10,FALSE)</f>
        <v>no</v>
      </c>
      <c r="AZ186" s="235">
        <f>VLOOKUP(Table8[[#This Row],[Country Code]],Table29[],23,FALSE)</f>
        <v>281.38053496815002</v>
      </c>
      <c r="BA186" s="235">
        <f>VLOOKUP(Table8[[#This Row],[Country Code]],Table29[],24,FALSE)</f>
        <v>12.410696897609901</v>
      </c>
      <c r="BB186" s="320"/>
      <c r="BC186" s="320"/>
    </row>
    <row r="187" spans="1:55" hidden="1" x14ac:dyDescent="0.25">
      <c r="A187" s="373">
        <v>21725</v>
      </c>
      <c r="B187" s="233" t="str">
        <f>VLOOKUP(Table8[[#This Row],[Document ID]],Table1[],2,FALSE)</f>
        <v>BGD</v>
      </c>
      <c r="C187" s="233" t="str">
        <f>VLOOKUP(Table8[[#This Row],[Document ID]],Table1[],3,FALSE)</f>
        <v>Bangladesh</v>
      </c>
      <c r="D187" s="243" t="str">
        <f>VLOOKUP(Table8[[#This Row],[Document ID]],Table1[],5,FALSE)</f>
        <v>NDC</v>
      </c>
      <c r="E187" s="233" t="str">
        <f>VLOOKUP(Table8[[#This Row],[Document ID]],Table1[],7,FALSE)</f>
        <v>First NDC updated</v>
      </c>
      <c r="F187" s="233" t="str">
        <f>VLOOKUP(Table8[[#This Row],[Document ID]],Table1[],8,FALSE)</f>
        <v>NDC 1.2</v>
      </c>
      <c r="G187" s="233" t="str">
        <f>VLOOKUP(Table8[[#This Row],[Document ID]],Table1[],10,FALSE)</f>
        <v>Active</v>
      </c>
      <c r="H187" s="43" t="s">
        <v>2343</v>
      </c>
      <c r="I187" s="43" t="s">
        <v>2361</v>
      </c>
      <c r="J187" s="44" t="s">
        <v>2366</v>
      </c>
      <c r="K187" s="44" t="s">
        <v>2568</v>
      </c>
      <c r="L187" s="44" t="s">
        <v>2347</v>
      </c>
      <c r="M187" s="43">
        <v>8</v>
      </c>
      <c r="N187" s="113"/>
      <c r="O187" s="113"/>
      <c r="P187" s="113" t="s">
        <v>1113</v>
      </c>
      <c r="Q187" s="113"/>
      <c r="R187" s="113" t="s">
        <v>1113</v>
      </c>
      <c r="S187" s="113"/>
      <c r="T187" s="113"/>
      <c r="U187" s="113"/>
      <c r="V187" s="113"/>
      <c r="W187" s="113"/>
      <c r="X187" s="113"/>
      <c r="Y187" s="113"/>
      <c r="Z187" s="113"/>
      <c r="AA187" s="113"/>
      <c r="AB187" s="113"/>
      <c r="AC187" s="113"/>
      <c r="AD187" s="113"/>
      <c r="AE187" s="113"/>
      <c r="AF187" s="113"/>
      <c r="AG187" s="113"/>
      <c r="AH187" s="113"/>
      <c r="AI187" s="113"/>
      <c r="AJ187" s="113"/>
      <c r="AK187" s="113" t="s">
        <v>1113</v>
      </c>
      <c r="AL187" s="113"/>
      <c r="AM187" s="113"/>
      <c r="AN187" s="113"/>
      <c r="AO187" s="44" t="s">
        <v>2334</v>
      </c>
      <c r="AP187" s="43"/>
      <c r="AQ187" s="236" t="str">
        <f>VLOOKUP(Table8[[#This Row],[Instrument]],Def_Targets!$D$73:$E$159,2,FALSE)</f>
        <v>S_Activemobility</v>
      </c>
      <c r="AR187" s="233" t="str">
        <f>VLOOKUP(Table8[[#This Row],[Country Code]],Table29[],3,FALSE)</f>
        <v>Non-Annex I</v>
      </c>
      <c r="AS187" s="233" t="str">
        <f>VLOOKUP(Table8[[#This Row],[Country Code]],Table29[],4,FALSE)</f>
        <v>Asia</v>
      </c>
      <c r="AT187" s="233" t="str">
        <f>VLOOKUP(Table8[[#This Row],[Country Code]],Table29[],5,FALSE)</f>
        <v>Middle-income</v>
      </c>
      <c r="AU187" s="233" t="str">
        <f>VLOOKUP(Table8[[#This Row],[Country Code]],Table29[],6,FALSE)</f>
        <v>no</v>
      </c>
      <c r="AV187" s="233" t="str">
        <f>VLOOKUP(Table8[[#This Row],[Country Code]],Table29[],7,FALSE)</f>
        <v>no</v>
      </c>
      <c r="AW187" s="233" t="str">
        <f>VLOOKUP(Table8[[#This Row],[Country Code]],Table29[],8,FALSE)</f>
        <v>non-OECD</v>
      </c>
      <c r="AX187" s="233" t="str">
        <f>VLOOKUP(Table8[[#This Row],[Country Code]],Table29[],9,FALSE)</f>
        <v>no</v>
      </c>
      <c r="AY187" s="233" t="str">
        <f>VLOOKUP(Table8[[#This Row],[Country Code]],Table29[],10,FALSE)</f>
        <v>no</v>
      </c>
      <c r="AZ187" s="235">
        <f>VLOOKUP(Table8[[#This Row],[Country Code]],Table29[],23,FALSE)</f>
        <v>281.38053496815002</v>
      </c>
      <c r="BA187" s="235">
        <f>VLOOKUP(Table8[[#This Row],[Country Code]],Table29[],24,FALSE)</f>
        <v>12.410696897609901</v>
      </c>
      <c r="BB187" s="320"/>
      <c r="BC187" s="320"/>
    </row>
    <row r="188" spans="1:55" hidden="1" x14ac:dyDescent="0.25">
      <c r="A188" s="373">
        <v>21725</v>
      </c>
      <c r="B188" s="233" t="str">
        <f>VLOOKUP(Table8[[#This Row],[Document ID]],Table1[],2,FALSE)</f>
        <v>BGD</v>
      </c>
      <c r="C188" s="233" t="str">
        <f>VLOOKUP(Table8[[#This Row],[Document ID]],Table1[],3,FALSE)</f>
        <v>Bangladesh</v>
      </c>
      <c r="D188" s="243" t="str">
        <f>VLOOKUP(Table8[[#This Row],[Document ID]],Table1[],5,FALSE)</f>
        <v>NDC</v>
      </c>
      <c r="E188" s="233" t="str">
        <f>VLOOKUP(Table8[[#This Row],[Document ID]],Table1[],7,FALSE)</f>
        <v>First NDC updated</v>
      </c>
      <c r="F188" s="233" t="str">
        <f>VLOOKUP(Table8[[#This Row],[Document ID]],Table1[],8,FALSE)</f>
        <v>NDC 1.2</v>
      </c>
      <c r="G188" s="233" t="str">
        <f>VLOOKUP(Table8[[#This Row],[Document ID]],Table1[],10,FALSE)</f>
        <v>Active</v>
      </c>
      <c r="H188" s="43" t="s">
        <v>2343</v>
      </c>
      <c r="I188" s="43" t="s">
        <v>2386</v>
      </c>
      <c r="J188" s="44" t="s">
        <v>2569</v>
      </c>
      <c r="K188" s="44" t="s">
        <v>2570</v>
      </c>
      <c r="L188" s="44" t="s">
        <v>2380</v>
      </c>
      <c r="M188" s="43">
        <v>8</v>
      </c>
      <c r="N188" s="113"/>
      <c r="O188" s="113"/>
      <c r="P188" s="113"/>
      <c r="Q188" s="113"/>
      <c r="R188" s="113"/>
      <c r="S188" s="113" t="s">
        <v>1113</v>
      </c>
      <c r="T188" s="113"/>
      <c r="U188" s="113"/>
      <c r="V188" s="113"/>
      <c r="W188" s="113"/>
      <c r="X188" s="113"/>
      <c r="Y188" s="113"/>
      <c r="Z188" s="113"/>
      <c r="AA188" s="113"/>
      <c r="AB188" s="113"/>
      <c r="AC188" s="113"/>
      <c r="AD188" s="113"/>
      <c r="AE188" s="113"/>
      <c r="AF188" s="113"/>
      <c r="AG188" s="113"/>
      <c r="AH188" s="113"/>
      <c r="AI188" s="113"/>
      <c r="AJ188" s="113"/>
      <c r="AK188" s="113" t="s">
        <v>1113</v>
      </c>
      <c r="AL188" s="113"/>
      <c r="AM188" s="113"/>
      <c r="AN188" s="113"/>
      <c r="AO188" s="44" t="s">
        <v>2334</v>
      </c>
      <c r="AP188" s="43"/>
      <c r="AQ188" s="236" t="str">
        <f>VLOOKUP(Table8[[#This Row],[Instrument]],Def_Targets!$D$73:$E$159,2,FALSE)</f>
        <v>A_Roadcharging</v>
      </c>
      <c r="AR188" s="233" t="str">
        <f>VLOOKUP(Table8[[#This Row],[Country Code]],Table29[],3,FALSE)</f>
        <v>Non-Annex I</v>
      </c>
      <c r="AS188" s="233" t="str">
        <f>VLOOKUP(Table8[[#This Row],[Country Code]],Table29[],4,FALSE)</f>
        <v>Asia</v>
      </c>
      <c r="AT188" s="233" t="str">
        <f>VLOOKUP(Table8[[#This Row],[Country Code]],Table29[],5,FALSE)</f>
        <v>Middle-income</v>
      </c>
      <c r="AU188" s="233" t="str">
        <f>VLOOKUP(Table8[[#This Row],[Country Code]],Table29[],6,FALSE)</f>
        <v>no</v>
      </c>
      <c r="AV188" s="233" t="str">
        <f>VLOOKUP(Table8[[#This Row],[Country Code]],Table29[],7,FALSE)</f>
        <v>no</v>
      </c>
      <c r="AW188" s="233" t="str">
        <f>VLOOKUP(Table8[[#This Row],[Country Code]],Table29[],8,FALSE)</f>
        <v>non-OECD</v>
      </c>
      <c r="AX188" s="233" t="str">
        <f>VLOOKUP(Table8[[#This Row],[Country Code]],Table29[],9,FALSE)</f>
        <v>no</v>
      </c>
      <c r="AY188" s="233" t="str">
        <f>VLOOKUP(Table8[[#This Row],[Country Code]],Table29[],10,FALSE)</f>
        <v>no</v>
      </c>
      <c r="AZ188" s="235">
        <f>VLOOKUP(Table8[[#This Row],[Country Code]],Table29[],23,FALSE)</f>
        <v>281.38053496815002</v>
      </c>
      <c r="BA188" s="235">
        <f>VLOOKUP(Table8[[#This Row],[Country Code]],Table29[],24,FALSE)</f>
        <v>12.410696897609901</v>
      </c>
      <c r="BB188" s="320"/>
      <c r="BC188" s="320"/>
    </row>
    <row r="189" spans="1:55" ht="30" hidden="1" x14ac:dyDescent="0.25">
      <c r="A189" s="373">
        <v>21725</v>
      </c>
      <c r="B189" s="233" t="str">
        <f>VLOOKUP(Table8[[#This Row],[Document ID]],Table1[],2,FALSE)</f>
        <v>BGD</v>
      </c>
      <c r="C189" s="233" t="str">
        <f>VLOOKUP(Table8[[#This Row],[Document ID]],Table1[],3,FALSE)</f>
        <v>Bangladesh</v>
      </c>
      <c r="D189" s="243" t="str">
        <f>VLOOKUP(Table8[[#This Row],[Document ID]],Table1[],5,FALSE)</f>
        <v>NDC</v>
      </c>
      <c r="E189" s="233" t="str">
        <f>VLOOKUP(Table8[[#This Row],[Document ID]],Table1[],7,FALSE)</f>
        <v>First NDC updated</v>
      </c>
      <c r="F189" s="233" t="str">
        <f>VLOOKUP(Table8[[#This Row],[Document ID]],Table1[],8,FALSE)</f>
        <v>NDC 1.2</v>
      </c>
      <c r="G189" s="233" t="str">
        <f>VLOOKUP(Table8[[#This Row],[Document ID]],Table1[],10,FALSE)</f>
        <v>Active</v>
      </c>
      <c r="H189" s="43" t="s">
        <v>2358</v>
      </c>
      <c r="I189" s="43" t="s">
        <v>2359</v>
      </c>
      <c r="J189" s="44" t="s">
        <v>2360</v>
      </c>
      <c r="K189" s="44" t="s">
        <v>2571</v>
      </c>
      <c r="L189" s="44" t="s">
        <v>2572</v>
      </c>
      <c r="M189" s="43">
        <v>8</v>
      </c>
      <c r="N189" s="113"/>
      <c r="O189" s="113"/>
      <c r="P189" s="113"/>
      <c r="Q189" s="113"/>
      <c r="R189" s="113"/>
      <c r="S189" s="113"/>
      <c r="T189" s="113"/>
      <c r="U189" s="113" t="s">
        <v>1113</v>
      </c>
      <c r="V189" s="113"/>
      <c r="W189" s="113"/>
      <c r="X189" s="113"/>
      <c r="Y189" s="113"/>
      <c r="Z189" s="113"/>
      <c r="AA189" s="113"/>
      <c r="AB189" s="113"/>
      <c r="AC189" s="113"/>
      <c r="AD189" s="113"/>
      <c r="AE189" s="113"/>
      <c r="AF189" s="113"/>
      <c r="AG189" s="113"/>
      <c r="AH189" s="113"/>
      <c r="AI189" s="113"/>
      <c r="AJ189" s="113"/>
      <c r="AK189" s="113" t="s">
        <v>1113</v>
      </c>
      <c r="AL189" s="113"/>
      <c r="AM189" s="113"/>
      <c r="AN189" s="113"/>
      <c r="AO189" s="44" t="s">
        <v>2334</v>
      </c>
      <c r="AP189" s="43"/>
      <c r="AQ189" s="236" t="str">
        <f>VLOOKUP(Table8[[#This Row],[Instrument]],Def_Targets!$D$73:$E$159,2,FALSE)</f>
        <v>I_Emobility</v>
      </c>
      <c r="AR189" s="233" t="str">
        <f>VLOOKUP(Table8[[#This Row],[Country Code]],Table29[],3,FALSE)</f>
        <v>Non-Annex I</v>
      </c>
      <c r="AS189" s="233" t="str">
        <f>VLOOKUP(Table8[[#This Row],[Country Code]],Table29[],4,FALSE)</f>
        <v>Asia</v>
      </c>
      <c r="AT189" s="233" t="str">
        <f>VLOOKUP(Table8[[#This Row],[Country Code]],Table29[],5,FALSE)</f>
        <v>Middle-income</v>
      </c>
      <c r="AU189" s="233" t="str">
        <f>VLOOKUP(Table8[[#This Row],[Country Code]],Table29[],6,FALSE)</f>
        <v>no</v>
      </c>
      <c r="AV189" s="233" t="str">
        <f>VLOOKUP(Table8[[#This Row],[Country Code]],Table29[],7,FALSE)</f>
        <v>no</v>
      </c>
      <c r="AW189" s="233" t="str">
        <f>VLOOKUP(Table8[[#This Row],[Country Code]],Table29[],8,FALSE)</f>
        <v>non-OECD</v>
      </c>
      <c r="AX189" s="233" t="str">
        <f>VLOOKUP(Table8[[#This Row],[Country Code]],Table29[],9,FALSE)</f>
        <v>no</v>
      </c>
      <c r="AY189" s="233" t="str">
        <f>VLOOKUP(Table8[[#This Row],[Country Code]],Table29[],10,FALSE)</f>
        <v>no</v>
      </c>
      <c r="AZ189" s="235">
        <f>VLOOKUP(Table8[[#This Row],[Country Code]],Table29[],23,FALSE)</f>
        <v>281.38053496815002</v>
      </c>
      <c r="BA189" s="235">
        <f>VLOOKUP(Table8[[#This Row],[Country Code]],Table29[],24,FALSE)</f>
        <v>12.410696897609901</v>
      </c>
      <c r="BB189" s="320"/>
      <c r="BC189" s="320"/>
    </row>
    <row r="190" spans="1:55" ht="30" hidden="1" x14ac:dyDescent="0.25">
      <c r="A190" s="373">
        <v>21725</v>
      </c>
      <c r="B190" s="233" t="str">
        <f>VLOOKUP(Table8[[#This Row],[Document ID]],Table1[],2,FALSE)</f>
        <v>BGD</v>
      </c>
      <c r="C190" s="233" t="str">
        <f>VLOOKUP(Table8[[#This Row],[Document ID]],Table1[],3,FALSE)</f>
        <v>Bangladesh</v>
      </c>
      <c r="D190" s="243" t="str">
        <f>VLOOKUP(Table8[[#This Row],[Document ID]],Table1[],5,FALSE)</f>
        <v>NDC</v>
      </c>
      <c r="E190" s="233" t="str">
        <f>VLOOKUP(Table8[[#This Row],[Document ID]],Table1[],7,FALSE)</f>
        <v>First NDC updated</v>
      </c>
      <c r="F190" s="233" t="str">
        <f>VLOOKUP(Table8[[#This Row],[Document ID]],Table1[],8,FALSE)</f>
        <v>NDC 1.2</v>
      </c>
      <c r="G190" s="233" t="str">
        <f>VLOOKUP(Table8[[#This Row],[Document ID]],Table1[],10,FALSE)</f>
        <v>Active</v>
      </c>
      <c r="H190" s="43" t="s">
        <v>2350</v>
      </c>
      <c r="I190" s="43" t="s">
        <v>2370</v>
      </c>
      <c r="J190" s="44" t="s">
        <v>2418</v>
      </c>
      <c r="K190" s="44" t="s">
        <v>2573</v>
      </c>
      <c r="L190" s="44" t="s">
        <v>2396</v>
      </c>
      <c r="M190" s="43">
        <v>8</v>
      </c>
      <c r="N190" s="113" t="s">
        <v>1113</v>
      </c>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t="s">
        <v>1113</v>
      </c>
      <c r="AM190" s="113"/>
      <c r="AN190" s="113"/>
      <c r="AO190" s="44" t="s">
        <v>2334</v>
      </c>
      <c r="AP190" s="43"/>
      <c r="AQ190" s="236" t="str">
        <f>VLOOKUP(Table8[[#This Row],[Instrument]],Def_Targets!$D$73:$E$159,2,FALSE)</f>
        <v>A_Complan</v>
      </c>
      <c r="AR190" s="233" t="str">
        <f>VLOOKUP(Table8[[#This Row],[Country Code]],Table29[],3,FALSE)</f>
        <v>Non-Annex I</v>
      </c>
      <c r="AS190" s="233" t="str">
        <f>VLOOKUP(Table8[[#This Row],[Country Code]],Table29[],4,FALSE)</f>
        <v>Asia</v>
      </c>
      <c r="AT190" s="233" t="str">
        <f>VLOOKUP(Table8[[#This Row],[Country Code]],Table29[],5,FALSE)</f>
        <v>Middle-income</v>
      </c>
      <c r="AU190" s="233" t="str">
        <f>VLOOKUP(Table8[[#This Row],[Country Code]],Table29[],6,FALSE)</f>
        <v>no</v>
      </c>
      <c r="AV190" s="233" t="str">
        <f>VLOOKUP(Table8[[#This Row],[Country Code]],Table29[],7,FALSE)</f>
        <v>no</v>
      </c>
      <c r="AW190" s="233" t="str">
        <f>VLOOKUP(Table8[[#This Row],[Country Code]],Table29[],8,FALSE)</f>
        <v>non-OECD</v>
      </c>
      <c r="AX190" s="233" t="str">
        <f>VLOOKUP(Table8[[#This Row],[Country Code]],Table29[],9,FALSE)</f>
        <v>no</v>
      </c>
      <c r="AY190" s="233" t="str">
        <f>VLOOKUP(Table8[[#This Row],[Country Code]],Table29[],10,FALSE)</f>
        <v>no</v>
      </c>
      <c r="AZ190" s="235">
        <f>VLOOKUP(Table8[[#This Row],[Country Code]],Table29[],23,FALSE)</f>
        <v>281.38053496815002</v>
      </c>
      <c r="BA190" s="235">
        <f>VLOOKUP(Table8[[#This Row],[Country Code]],Table29[],24,FALSE)</f>
        <v>12.410696897609901</v>
      </c>
      <c r="BB190" s="320"/>
      <c r="BC190" s="320"/>
    </row>
    <row r="191" spans="1:55" ht="30" hidden="1" x14ac:dyDescent="0.25">
      <c r="A191" s="373">
        <v>21725</v>
      </c>
      <c r="B191" s="233" t="str">
        <f>VLOOKUP(Table8[[#This Row],[Document ID]],Table1[],2,FALSE)</f>
        <v>BGD</v>
      </c>
      <c r="C191" s="233" t="str">
        <f>VLOOKUP(Table8[[#This Row],[Document ID]],Table1[],3,FALSE)</f>
        <v>Bangladesh</v>
      </c>
      <c r="D191" s="243" t="str">
        <f>VLOOKUP(Table8[[#This Row],[Document ID]],Table1[],5,FALSE)</f>
        <v>NDC</v>
      </c>
      <c r="E191" s="233" t="str">
        <f>VLOOKUP(Table8[[#This Row],[Document ID]],Table1[],7,FALSE)</f>
        <v>First NDC updated</v>
      </c>
      <c r="F191" s="233" t="str">
        <f>VLOOKUP(Table8[[#This Row],[Document ID]],Table1[],8,FALSE)</f>
        <v>NDC 1.2</v>
      </c>
      <c r="G191" s="233" t="str">
        <f>VLOOKUP(Table8[[#This Row],[Document ID]],Table1[],10,FALSE)</f>
        <v>Active</v>
      </c>
      <c r="H191" s="43" t="s">
        <v>2343</v>
      </c>
      <c r="I191" s="43" t="s">
        <v>2429</v>
      </c>
      <c r="J191" s="44" t="s">
        <v>2430</v>
      </c>
      <c r="K191" s="44" t="s">
        <v>2574</v>
      </c>
      <c r="L191" s="44" t="s">
        <v>2333</v>
      </c>
      <c r="M191" s="43">
        <v>8</v>
      </c>
      <c r="N191" s="113"/>
      <c r="O191" s="113"/>
      <c r="P191" s="113"/>
      <c r="Q191" s="113"/>
      <c r="R191" s="113"/>
      <c r="S191" s="113"/>
      <c r="T191" s="113"/>
      <c r="U191" s="113"/>
      <c r="V191" s="113"/>
      <c r="W191" s="113"/>
      <c r="X191" s="113"/>
      <c r="Y191" s="113" t="s">
        <v>1113</v>
      </c>
      <c r="Z191" s="113"/>
      <c r="AA191" s="113"/>
      <c r="AB191" s="113"/>
      <c r="AC191" s="113" t="s">
        <v>1113</v>
      </c>
      <c r="AD191" s="113"/>
      <c r="AE191" s="113"/>
      <c r="AF191" s="113"/>
      <c r="AG191" s="113"/>
      <c r="AH191" s="113"/>
      <c r="AI191" s="113"/>
      <c r="AJ191" s="113"/>
      <c r="AK191" s="113" t="s">
        <v>1113</v>
      </c>
      <c r="AL191" s="113"/>
      <c r="AM191" s="113"/>
      <c r="AN191" s="113"/>
      <c r="AO191" s="44" t="s">
        <v>2334</v>
      </c>
      <c r="AP191" s="43"/>
      <c r="AQ191" s="236" t="str">
        <f>VLOOKUP(Table8[[#This Row],[Instrument]],Def_Targets!$D$73:$E$159,2,FALSE)</f>
        <v>I_ITS</v>
      </c>
      <c r="AR191" s="233" t="str">
        <f>VLOOKUP(Table8[[#This Row],[Country Code]],Table29[],3,FALSE)</f>
        <v>Non-Annex I</v>
      </c>
      <c r="AS191" s="233" t="str">
        <f>VLOOKUP(Table8[[#This Row],[Country Code]],Table29[],4,FALSE)</f>
        <v>Asia</v>
      </c>
      <c r="AT191" s="233" t="str">
        <f>VLOOKUP(Table8[[#This Row],[Country Code]],Table29[],5,FALSE)</f>
        <v>Middle-income</v>
      </c>
      <c r="AU191" s="233" t="str">
        <f>VLOOKUP(Table8[[#This Row],[Country Code]],Table29[],6,FALSE)</f>
        <v>no</v>
      </c>
      <c r="AV191" s="233" t="str">
        <f>VLOOKUP(Table8[[#This Row],[Country Code]],Table29[],7,FALSE)</f>
        <v>no</v>
      </c>
      <c r="AW191" s="233" t="str">
        <f>VLOOKUP(Table8[[#This Row],[Country Code]],Table29[],8,FALSE)</f>
        <v>non-OECD</v>
      </c>
      <c r="AX191" s="233" t="str">
        <f>VLOOKUP(Table8[[#This Row],[Country Code]],Table29[],9,FALSE)</f>
        <v>no</v>
      </c>
      <c r="AY191" s="233" t="str">
        <f>VLOOKUP(Table8[[#This Row],[Country Code]],Table29[],10,FALSE)</f>
        <v>no</v>
      </c>
      <c r="AZ191" s="235">
        <f>VLOOKUP(Table8[[#This Row],[Country Code]],Table29[],23,FALSE)</f>
        <v>281.38053496815002</v>
      </c>
      <c r="BA191" s="235">
        <f>VLOOKUP(Table8[[#This Row],[Country Code]],Table29[],24,FALSE)</f>
        <v>12.410696897609901</v>
      </c>
      <c r="BB191" s="320"/>
      <c r="BC191" s="320"/>
    </row>
    <row r="192" spans="1:55" ht="45" hidden="1" x14ac:dyDescent="0.25">
      <c r="A192" s="373">
        <v>21725</v>
      </c>
      <c r="B192" s="233" t="str">
        <f>VLOOKUP(Table8[[#This Row],[Document ID]],Table1[],2,FALSE)</f>
        <v>BGD</v>
      </c>
      <c r="C192" s="233" t="str">
        <f>VLOOKUP(Table8[[#This Row],[Document ID]],Table1[],3,FALSE)</f>
        <v>Bangladesh</v>
      </c>
      <c r="D192" s="243" t="str">
        <f>VLOOKUP(Table8[[#This Row],[Document ID]],Table1[],5,FALSE)</f>
        <v>NDC</v>
      </c>
      <c r="E192" s="233" t="str">
        <f>VLOOKUP(Table8[[#This Row],[Document ID]],Table1[],7,FALSE)</f>
        <v>First NDC updated</v>
      </c>
      <c r="F192" s="233" t="str">
        <f>VLOOKUP(Table8[[#This Row],[Document ID]],Table1[],8,FALSE)</f>
        <v>NDC 1.2</v>
      </c>
      <c r="G192" s="233" t="str">
        <f>VLOOKUP(Table8[[#This Row],[Document ID]],Table1[],10,FALSE)</f>
        <v>Active</v>
      </c>
      <c r="H192" s="43" t="s">
        <v>2343</v>
      </c>
      <c r="I192" s="43" t="s">
        <v>2344</v>
      </c>
      <c r="J192" s="44" t="s">
        <v>2345</v>
      </c>
      <c r="K192" s="44" t="s">
        <v>2575</v>
      </c>
      <c r="L192" s="44" t="s">
        <v>2347</v>
      </c>
      <c r="M192" s="43">
        <v>8</v>
      </c>
      <c r="N192" s="113"/>
      <c r="O192" s="113"/>
      <c r="P192" s="113"/>
      <c r="Q192" s="113"/>
      <c r="R192" s="113"/>
      <c r="S192" s="113"/>
      <c r="T192" s="113"/>
      <c r="U192" s="113"/>
      <c r="V192" s="113"/>
      <c r="W192" s="113"/>
      <c r="X192" s="113"/>
      <c r="Y192" s="113" t="s">
        <v>1113</v>
      </c>
      <c r="Z192" s="113"/>
      <c r="AA192" s="113"/>
      <c r="AB192" s="113"/>
      <c r="AC192" s="113" t="s">
        <v>1113</v>
      </c>
      <c r="AD192" s="113"/>
      <c r="AE192" s="113"/>
      <c r="AF192" s="113"/>
      <c r="AG192" s="113"/>
      <c r="AH192" s="113"/>
      <c r="AI192" s="113"/>
      <c r="AJ192" s="113"/>
      <c r="AK192" s="113"/>
      <c r="AL192" s="113" t="s">
        <v>1113</v>
      </c>
      <c r="AM192" s="113"/>
      <c r="AN192" s="113"/>
      <c r="AO192" s="43" t="s">
        <v>2348</v>
      </c>
      <c r="AP192" s="43"/>
      <c r="AQ192" s="236" t="str">
        <f>VLOOKUP(Table8[[#This Row],[Instrument]],Def_Targets!$D$73:$E$159,2,FALSE)</f>
        <v>S_PublicTransport</v>
      </c>
      <c r="AR192" s="233" t="str">
        <f>VLOOKUP(Table8[[#This Row],[Country Code]],Table29[],3,FALSE)</f>
        <v>Non-Annex I</v>
      </c>
      <c r="AS192" s="233" t="str">
        <f>VLOOKUP(Table8[[#This Row],[Country Code]],Table29[],4,FALSE)</f>
        <v>Asia</v>
      </c>
      <c r="AT192" s="233" t="str">
        <f>VLOOKUP(Table8[[#This Row],[Country Code]],Table29[],5,FALSE)</f>
        <v>Middle-income</v>
      </c>
      <c r="AU192" s="233" t="str">
        <f>VLOOKUP(Table8[[#This Row],[Country Code]],Table29[],6,FALSE)</f>
        <v>no</v>
      </c>
      <c r="AV192" s="233" t="str">
        <f>VLOOKUP(Table8[[#This Row],[Country Code]],Table29[],7,FALSE)</f>
        <v>no</v>
      </c>
      <c r="AW192" s="233" t="str">
        <f>VLOOKUP(Table8[[#This Row],[Country Code]],Table29[],8,FALSE)</f>
        <v>non-OECD</v>
      </c>
      <c r="AX192" s="233" t="str">
        <f>VLOOKUP(Table8[[#This Row],[Country Code]],Table29[],9,FALSE)</f>
        <v>no</v>
      </c>
      <c r="AY192" s="233" t="str">
        <f>VLOOKUP(Table8[[#This Row],[Country Code]],Table29[],10,FALSE)</f>
        <v>no</v>
      </c>
      <c r="AZ192" s="235">
        <f>VLOOKUP(Table8[[#This Row],[Country Code]],Table29[],23,FALSE)</f>
        <v>281.38053496815002</v>
      </c>
      <c r="BA192" s="235">
        <f>VLOOKUP(Table8[[#This Row],[Country Code]],Table29[],24,FALSE)</f>
        <v>12.410696897609901</v>
      </c>
      <c r="BB192" s="320"/>
      <c r="BC192" s="320"/>
    </row>
    <row r="193" spans="1:55" ht="45" hidden="1" x14ac:dyDescent="0.25">
      <c r="A193" s="373">
        <v>21725</v>
      </c>
      <c r="B193" s="233" t="str">
        <f>VLOOKUP(Table8[[#This Row],[Document ID]],Table1[],2,FALSE)</f>
        <v>BGD</v>
      </c>
      <c r="C193" s="233" t="str">
        <f>VLOOKUP(Table8[[#This Row],[Document ID]],Table1[],3,FALSE)</f>
        <v>Bangladesh</v>
      </c>
      <c r="D193" s="243" t="str">
        <f>VLOOKUP(Table8[[#This Row],[Document ID]],Table1[],5,FALSE)</f>
        <v>NDC</v>
      </c>
      <c r="E193" s="233" t="str">
        <f>VLOOKUP(Table8[[#This Row],[Document ID]],Table1[],7,FALSE)</f>
        <v>First NDC updated</v>
      </c>
      <c r="F193" s="233" t="str">
        <f>VLOOKUP(Table8[[#This Row],[Document ID]],Table1[],8,FALSE)</f>
        <v>NDC 1.2</v>
      </c>
      <c r="G193" s="233" t="str">
        <f>VLOOKUP(Table8[[#This Row],[Document ID]],Table1[],10,FALSE)</f>
        <v>Active</v>
      </c>
      <c r="H193" s="43" t="s">
        <v>2343</v>
      </c>
      <c r="I193" s="43" t="s">
        <v>2344</v>
      </c>
      <c r="J193" s="44" t="s">
        <v>2549</v>
      </c>
      <c r="K193" s="44" t="s">
        <v>2575</v>
      </c>
      <c r="L193" s="44" t="s">
        <v>2347</v>
      </c>
      <c r="M193" s="43">
        <v>8</v>
      </c>
      <c r="N193" s="113"/>
      <c r="O193" s="113"/>
      <c r="P193" s="113"/>
      <c r="Q193" s="113"/>
      <c r="R193" s="113"/>
      <c r="S193" s="113"/>
      <c r="T193" s="113"/>
      <c r="U193" s="113"/>
      <c r="V193" s="113"/>
      <c r="W193" s="113"/>
      <c r="X193" s="113"/>
      <c r="Y193" s="113" t="s">
        <v>1113</v>
      </c>
      <c r="Z193" s="113"/>
      <c r="AA193" s="113"/>
      <c r="AB193" s="113"/>
      <c r="AC193" s="113"/>
      <c r="AD193" s="113"/>
      <c r="AE193" s="113"/>
      <c r="AF193" s="113"/>
      <c r="AG193" s="113"/>
      <c r="AH193" s="113"/>
      <c r="AI193" s="113"/>
      <c r="AJ193" s="113"/>
      <c r="AK193" s="113"/>
      <c r="AL193" s="113" t="s">
        <v>1113</v>
      </c>
      <c r="AM193" s="113"/>
      <c r="AN193" s="113"/>
      <c r="AO193" s="43" t="s">
        <v>2348</v>
      </c>
      <c r="AP193" s="43"/>
      <c r="AQ193" s="236" t="str">
        <f>VLOOKUP(Table8[[#This Row],[Instrument]],Def_Targets!$D$73:$E$159,2,FALSE)</f>
        <v>S_BRT</v>
      </c>
      <c r="AR193" s="233" t="str">
        <f>VLOOKUP(Table8[[#This Row],[Country Code]],Table29[],3,FALSE)</f>
        <v>Non-Annex I</v>
      </c>
      <c r="AS193" s="233" t="str">
        <f>VLOOKUP(Table8[[#This Row],[Country Code]],Table29[],4,FALSE)</f>
        <v>Asia</v>
      </c>
      <c r="AT193" s="233" t="str">
        <f>VLOOKUP(Table8[[#This Row],[Country Code]],Table29[],5,FALSE)</f>
        <v>Middle-income</v>
      </c>
      <c r="AU193" s="233" t="str">
        <f>VLOOKUP(Table8[[#This Row],[Country Code]],Table29[],6,FALSE)</f>
        <v>no</v>
      </c>
      <c r="AV193" s="233" t="str">
        <f>VLOOKUP(Table8[[#This Row],[Country Code]],Table29[],7,FALSE)</f>
        <v>no</v>
      </c>
      <c r="AW193" s="233" t="str">
        <f>VLOOKUP(Table8[[#This Row],[Country Code]],Table29[],8,FALSE)</f>
        <v>non-OECD</v>
      </c>
      <c r="AX193" s="233" t="str">
        <f>VLOOKUP(Table8[[#This Row],[Country Code]],Table29[],9,FALSE)</f>
        <v>no</v>
      </c>
      <c r="AY193" s="233" t="str">
        <f>VLOOKUP(Table8[[#This Row],[Country Code]],Table29[],10,FALSE)</f>
        <v>no</v>
      </c>
      <c r="AZ193" s="235">
        <f>VLOOKUP(Table8[[#This Row],[Country Code]],Table29[],23,FALSE)</f>
        <v>281.38053496815002</v>
      </c>
      <c r="BA193" s="235">
        <f>VLOOKUP(Table8[[#This Row],[Country Code]],Table29[],24,FALSE)</f>
        <v>12.410696897609901</v>
      </c>
      <c r="BB193" s="320"/>
      <c r="BC193" s="320"/>
    </row>
    <row r="194" spans="1:55" hidden="1" x14ac:dyDescent="0.25">
      <c r="A194" s="373">
        <v>21725</v>
      </c>
      <c r="B194" s="233" t="str">
        <f>VLOOKUP(Table8[[#This Row],[Document ID]],Table1[],2,FALSE)</f>
        <v>BGD</v>
      </c>
      <c r="C194" s="233" t="str">
        <f>VLOOKUP(Table8[[#This Row],[Document ID]],Table1[],3,FALSE)</f>
        <v>Bangladesh</v>
      </c>
      <c r="D194" s="243" t="str">
        <f>VLOOKUP(Table8[[#This Row],[Document ID]],Table1[],5,FALSE)</f>
        <v>NDC</v>
      </c>
      <c r="E194" s="233" t="str">
        <f>VLOOKUP(Table8[[#This Row],[Document ID]],Table1[],7,FALSE)</f>
        <v>First NDC updated</v>
      </c>
      <c r="F194" s="233" t="str">
        <f>VLOOKUP(Table8[[#This Row],[Document ID]],Table1[],8,FALSE)</f>
        <v>NDC 1.2</v>
      </c>
      <c r="G194" s="233" t="str">
        <f>VLOOKUP(Table8[[#This Row],[Document ID]],Table1[],10,FALSE)</f>
        <v>Active</v>
      </c>
      <c r="H194" s="43" t="s">
        <v>2350</v>
      </c>
      <c r="I194" s="43" t="s">
        <v>2456</v>
      </c>
      <c r="J194" s="44" t="s">
        <v>2457</v>
      </c>
      <c r="K194" s="44" t="s">
        <v>2576</v>
      </c>
      <c r="L194" s="44" t="s">
        <v>2333</v>
      </c>
      <c r="M194" s="43">
        <v>8</v>
      </c>
      <c r="N194" s="113"/>
      <c r="O194" s="113"/>
      <c r="P194" s="113"/>
      <c r="Q194" s="113"/>
      <c r="R194" s="113"/>
      <c r="S194" s="113"/>
      <c r="T194" s="113"/>
      <c r="U194" s="113"/>
      <c r="V194" s="113"/>
      <c r="W194" s="113"/>
      <c r="X194" s="113"/>
      <c r="Y194" s="113"/>
      <c r="Z194" s="113" t="s">
        <v>1113</v>
      </c>
      <c r="AA194" s="113"/>
      <c r="AB194" s="113"/>
      <c r="AC194" s="113"/>
      <c r="AD194" s="113"/>
      <c r="AE194" s="113"/>
      <c r="AF194" s="113"/>
      <c r="AG194" s="113"/>
      <c r="AH194" s="113"/>
      <c r="AI194" s="113"/>
      <c r="AJ194" s="113"/>
      <c r="AK194" s="113" t="s">
        <v>1113</v>
      </c>
      <c r="AL194" s="113"/>
      <c r="AM194" s="113"/>
      <c r="AN194" s="113"/>
      <c r="AO194" s="44" t="s">
        <v>2334</v>
      </c>
      <c r="AP194" s="43"/>
      <c r="AQ194" s="236" t="str">
        <f>VLOOKUP(Table8[[#This Row],[Instrument]],Def_Targets!$D$73:$E$159,2,FALSE)</f>
        <v>S_Infraimprove</v>
      </c>
      <c r="AR194" s="233" t="str">
        <f>VLOOKUP(Table8[[#This Row],[Country Code]],Table29[],3,FALSE)</f>
        <v>Non-Annex I</v>
      </c>
      <c r="AS194" s="233" t="str">
        <f>VLOOKUP(Table8[[#This Row],[Country Code]],Table29[],4,FALSE)</f>
        <v>Asia</v>
      </c>
      <c r="AT194" s="233" t="str">
        <f>VLOOKUP(Table8[[#This Row],[Country Code]],Table29[],5,FALSE)</f>
        <v>Middle-income</v>
      </c>
      <c r="AU194" s="233" t="str">
        <f>VLOOKUP(Table8[[#This Row],[Country Code]],Table29[],6,FALSE)</f>
        <v>no</v>
      </c>
      <c r="AV194" s="233" t="str">
        <f>VLOOKUP(Table8[[#This Row],[Country Code]],Table29[],7,FALSE)</f>
        <v>no</v>
      </c>
      <c r="AW194" s="233" t="str">
        <f>VLOOKUP(Table8[[#This Row],[Country Code]],Table29[],8,FALSE)</f>
        <v>non-OECD</v>
      </c>
      <c r="AX194" s="233" t="str">
        <f>VLOOKUP(Table8[[#This Row],[Country Code]],Table29[],9,FALSE)</f>
        <v>no</v>
      </c>
      <c r="AY194" s="233" t="str">
        <f>VLOOKUP(Table8[[#This Row],[Country Code]],Table29[],10,FALSE)</f>
        <v>no</v>
      </c>
      <c r="AZ194" s="235">
        <f>VLOOKUP(Table8[[#This Row],[Country Code]],Table29[],23,FALSE)</f>
        <v>281.38053496815002</v>
      </c>
      <c r="BA194" s="235">
        <f>VLOOKUP(Table8[[#This Row],[Country Code]],Table29[],24,FALSE)</f>
        <v>12.410696897609901</v>
      </c>
      <c r="BB194" s="320"/>
      <c r="BC194" s="320"/>
    </row>
    <row r="195" spans="1:55" s="17" customFormat="1" hidden="1" x14ac:dyDescent="0.25">
      <c r="A195" s="373">
        <v>21725</v>
      </c>
      <c r="B195" s="233" t="str">
        <f>VLOOKUP(Table8[[#This Row],[Document ID]],Table1[],2,FALSE)</f>
        <v>BGD</v>
      </c>
      <c r="C195" s="233" t="str">
        <f>VLOOKUP(Table8[[#This Row],[Document ID]],Table1[],3,FALSE)</f>
        <v>Bangladesh</v>
      </c>
      <c r="D195" s="243" t="str">
        <f>VLOOKUP(Table8[[#This Row],[Document ID]],Table1[],5,FALSE)</f>
        <v>NDC</v>
      </c>
      <c r="E195" s="233" t="str">
        <f>VLOOKUP(Table8[[#This Row],[Document ID]],Table1[],7,FALSE)</f>
        <v>First NDC updated</v>
      </c>
      <c r="F195" s="233" t="str">
        <f>VLOOKUP(Table8[[#This Row],[Document ID]],Table1[],8,FALSE)</f>
        <v>NDC 1.2</v>
      </c>
      <c r="G195" s="233" t="str">
        <f>VLOOKUP(Table8[[#This Row],[Document ID]],Table1[],10,FALSE)</f>
        <v>Active</v>
      </c>
      <c r="H195" s="43" t="s">
        <v>2350</v>
      </c>
      <c r="I195" s="43" t="s">
        <v>2456</v>
      </c>
      <c r="J195" s="44" t="s">
        <v>2466</v>
      </c>
      <c r="K195" s="44" t="s">
        <v>2577</v>
      </c>
      <c r="L195" s="44" t="s">
        <v>2333</v>
      </c>
      <c r="M195" s="43">
        <v>8</v>
      </c>
      <c r="N195" s="113"/>
      <c r="O195" s="113"/>
      <c r="P195" s="113"/>
      <c r="Q195" s="113"/>
      <c r="R195" s="113"/>
      <c r="S195" s="113"/>
      <c r="T195" s="113"/>
      <c r="U195" s="113"/>
      <c r="V195" s="113"/>
      <c r="W195" s="113"/>
      <c r="X195" s="113"/>
      <c r="Y195" s="113"/>
      <c r="Z195" s="113" t="s">
        <v>1113</v>
      </c>
      <c r="AA195" s="113"/>
      <c r="AB195" s="113"/>
      <c r="AC195" s="113"/>
      <c r="AD195" s="113"/>
      <c r="AE195" s="113"/>
      <c r="AF195" s="113"/>
      <c r="AG195" s="113"/>
      <c r="AH195" s="113"/>
      <c r="AI195" s="113"/>
      <c r="AJ195" s="113"/>
      <c r="AK195" s="113" t="s">
        <v>1113</v>
      </c>
      <c r="AL195" s="113"/>
      <c r="AM195" s="113"/>
      <c r="AN195" s="113"/>
      <c r="AO195" s="44" t="s">
        <v>2334</v>
      </c>
      <c r="AP195" s="43"/>
      <c r="AQ195" s="236" t="str">
        <f>VLOOKUP(Table8[[#This Row],[Instrument]],Def_Targets!$D$73:$E$159,2,FALSE)</f>
        <v>S_Infraexpansion</v>
      </c>
      <c r="AR195" s="233" t="str">
        <f>VLOOKUP(Table8[[#This Row],[Country Code]],Table29[],3,FALSE)</f>
        <v>Non-Annex I</v>
      </c>
      <c r="AS195" s="233" t="str">
        <f>VLOOKUP(Table8[[#This Row],[Country Code]],Table29[],4,FALSE)</f>
        <v>Asia</v>
      </c>
      <c r="AT195" s="233" t="str">
        <f>VLOOKUP(Table8[[#This Row],[Country Code]],Table29[],5,FALSE)</f>
        <v>Middle-income</v>
      </c>
      <c r="AU195" s="233" t="str">
        <f>VLOOKUP(Table8[[#This Row],[Country Code]],Table29[],6,FALSE)</f>
        <v>no</v>
      </c>
      <c r="AV195" s="233" t="str">
        <f>VLOOKUP(Table8[[#This Row],[Country Code]],Table29[],7,FALSE)</f>
        <v>no</v>
      </c>
      <c r="AW195" s="233" t="str">
        <f>VLOOKUP(Table8[[#This Row],[Country Code]],Table29[],8,FALSE)</f>
        <v>non-OECD</v>
      </c>
      <c r="AX195" s="233" t="str">
        <f>VLOOKUP(Table8[[#This Row],[Country Code]],Table29[],9,FALSE)</f>
        <v>no</v>
      </c>
      <c r="AY195" s="233" t="str">
        <f>VLOOKUP(Table8[[#This Row],[Country Code]],Table29[],10,FALSE)</f>
        <v>no</v>
      </c>
      <c r="AZ195" s="235">
        <f>VLOOKUP(Table8[[#This Row],[Country Code]],Table29[],23,FALSE)</f>
        <v>281.38053496815002</v>
      </c>
      <c r="BA195" s="235">
        <f>VLOOKUP(Table8[[#This Row],[Country Code]],Table29[],24,FALSE)</f>
        <v>12.410696897609901</v>
      </c>
      <c r="BB195" s="320"/>
      <c r="BC195" s="320"/>
    </row>
    <row r="196" spans="1:55" s="17" customFormat="1" ht="45" hidden="1" x14ac:dyDescent="0.25">
      <c r="A196" s="373">
        <v>21725</v>
      </c>
      <c r="B196" s="233" t="str">
        <f>VLOOKUP(Table8[[#This Row],[Document ID]],Table1[],2,FALSE)</f>
        <v>BGD</v>
      </c>
      <c r="C196" s="233" t="str">
        <f>VLOOKUP(Table8[[#This Row],[Document ID]],Table1[],3,FALSE)</f>
        <v>Bangladesh</v>
      </c>
      <c r="D196" s="243" t="str">
        <f>VLOOKUP(Table8[[#This Row],[Document ID]],Table1[],5,FALSE)</f>
        <v>NDC</v>
      </c>
      <c r="E196" s="233" t="str">
        <f>VLOOKUP(Table8[[#This Row],[Document ID]],Table1[],7,FALSE)</f>
        <v>First NDC updated</v>
      </c>
      <c r="F196" s="233" t="str">
        <f>VLOOKUP(Table8[[#This Row],[Document ID]],Table1[],8,FALSE)</f>
        <v>NDC 1.2</v>
      </c>
      <c r="G196" s="233" t="str">
        <f>VLOOKUP(Table8[[#This Row],[Document ID]],Table1[],10,FALSE)</f>
        <v>Active</v>
      </c>
      <c r="H196" s="43" t="s">
        <v>2484</v>
      </c>
      <c r="I196" s="43" t="s">
        <v>2485</v>
      </c>
      <c r="J196" s="44" t="s">
        <v>2486</v>
      </c>
      <c r="K196" s="44" t="s">
        <v>2578</v>
      </c>
      <c r="L196" s="44" t="s">
        <v>2333</v>
      </c>
      <c r="M196" s="43">
        <v>9</v>
      </c>
      <c r="N196" s="113"/>
      <c r="O196" s="113"/>
      <c r="P196" s="113"/>
      <c r="Q196" s="113"/>
      <c r="R196" s="113"/>
      <c r="S196" s="113"/>
      <c r="T196" s="113"/>
      <c r="U196" s="113"/>
      <c r="V196" s="113"/>
      <c r="W196" s="113"/>
      <c r="X196" s="113"/>
      <c r="Y196" s="113"/>
      <c r="Z196" s="113"/>
      <c r="AA196" s="113"/>
      <c r="AB196" s="113"/>
      <c r="AC196" s="113"/>
      <c r="AD196" s="113"/>
      <c r="AE196" s="113"/>
      <c r="AF196" s="113" t="s">
        <v>1113</v>
      </c>
      <c r="AG196" s="113"/>
      <c r="AH196" s="113"/>
      <c r="AI196" s="113"/>
      <c r="AJ196" s="113"/>
      <c r="AK196" s="113" t="s">
        <v>1113</v>
      </c>
      <c r="AL196" s="113"/>
      <c r="AM196" s="113"/>
      <c r="AN196" s="113"/>
      <c r="AO196" s="44" t="s">
        <v>2334</v>
      </c>
      <c r="AP196" s="43"/>
      <c r="AQ196" s="236" t="str">
        <f>VLOOKUP(Table8[[#This Row],[Instrument]],Def_Targets!$D$73:$E$159,2,FALSE)</f>
        <v>I_Shipping</v>
      </c>
      <c r="AR196" s="233" t="str">
        <f>VLOOKUP(Table8[[#This Row],[Country Code]],Table29[],3,FALSE)</f>
        <v>Non-Annex I</v>
      </c>
      <c r="AS196" s="233" t="str">
        <f>VLOOKUP(Table8[[#This Row],[Country Code]],Table29[],4,FALSE)</f>
        <v>Asia</v>
      </c>
      <c r="AT196" s="233" t="str">
        <f>VLOOKUP(Table8[[#This Row],[Country Code]],Table29[],5,FALSE)</f>
        <v>Middle-income</v>
      </c>
      <c r="AU196" s="233" t="str">
        <f>VLOOKUP(Table8[[#This Row],[Country Code]],Table29[],6,FALSE)</f>
        <v>no</v>
      </c>
      <c r="AV196" s="233" t="str">
        <f>VLOOKUP(Table8[[#This Row],[Country Code]],Table29[],7,FALSE)</f>
        <v>no</v>
      </c>
      <c r="AW196" s="233" t="str">
        <f>VLOOKUP(Table8[[#This Row],[Country Code]],Table29[],8,FALSE)</f>
        <v>non-OECD</v>
      </c>
      <c r="AX196" s="233" t="str">
        <f>VLOOKUP(Table8[[#This Row],[Country Code]],Table29[],9,FALSE)</f>
        <v>no</v>
      </c>
      <c r="AY196" s="233" t="str">
        <f>VLOOKUP(Table8[[#This Row],[Country Code]],Table29[],10,FALSE)</f>
        <v>no</v>
      </c>
      <c r="AZ196" s="235">
        <f>VLOOKUP(Table8[[#This Row],[Country Code]],Table29[],23,FALSE)</f>
        <v>281.38053496815002</v>
      </c>
      <c r="BA196" s="235">
        <f>VLOOKUP(Table8[[#This Row],[Country Code]],Table29[],24,FALSE)</f>
        <v>12.410696897609901</v>
      </c>
      <c r="BB196" s="320"/>
      <c r="BC196" s="320"/>
    </row>
    <row r="197" spans="1:55" ht="45" hidden="1" x14ac:dyDescent="0.25">
      <c r="A197" s="373">
        <v>17526</v>
      </c>
      <c r="B197" s="233" t="str">
        <f>VLOOKUP(Table8[[#This Row],[Document ID]],Table1[],2,FALSE)</f>
        <v>BRB</v>
      </c>
      <c r="C197" s="233" t="str">
        <f>VLOOKUP(Table8[[#This Row],[Document ID]],Table1[],3,FALSE)</f>
        <v>Barbados</v>
      </c>
      <c r="D197" s="243" t="str">
        <f>VLOOKUP(Table8[[#This Row],[Document ID]],Table1[],5,FALSE)</f>
        <v>NDC</v>
      </c>
      <c r="E197" s="233" t="str">
        <f>VLOOKUP(Table8[[#This Row],[Document ID]],Table1[],7,FALSE)</f>
        <v>First NDC</v>
      </c>
      <c r="F197" s="236" t="str">
        <f>VLOOKUP(Table8[[#This Row],[Document ID]],Table1[],8,FALSE)</f>
        <v>NDC 1.0</v>
      </c>
      <c r="G197" s="236" t="str">
        <f>VLOOKUP(Table8[[#This Row],[Document ID]],Table1[],10,FALSE)</f>
        <v>Archived</v>
      </c>
      <c r="H197" s="43" t="s">
        <v>2358</v>
      </c>
      <c r="I197" s="43" t="s">
        <v>2359</v>
      </c>
      <c r="J197" s="44" t="s">
        <v>2389</v>
      </c>
      <c r="K197" s="44" t="s">
        <v>2579</v>
      </c>
      <c r="L197" s="44" t="s">
        <v>2333</v>
      </c>
      <c r="M197" s="43"/>
      <c r="N197" s="113" t="s">
        <v>1113</v>
      </c>
      <c r="O197" s="113"/>
      <c r="P197" s="113"/>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t="s">
        <v>1113</v>
      </c>
      <c r="AL197" s="319"/>
      <c r="AM197" s="319"/>
      <c r="AN197" s="319"/>
      <c r="AO197" s="44" t="s">
        <v>2334</v>
      </c>
      <c r="AP197" s="44"/>
      <c r="AQ197" s="236" t="str">
        <f>VLOOKUP(Table8[[#This Row],[Instrument]],Def_Targets!$D$73:$E$159,2,FALSE)</f>
        <v>I_Emobilitypurchase</v>
      </c>
      <c r="AR197" s="233" t="str">
        <f>VLOOKUP(Table8[[#This Row],[Country Code]],Table29[],3,FALSE)</f>
        <v>Non-Annex I</v>
      </c>
      <c r="AS197" s="233" t="str">
        <f>VLOOKUP(Table8[[#This Row],[Country Code]],Table29[],4,FALSE)</f>
        <v>Latin America and the Caribbean</v>
      </c>
      <c r="AT197" s="233" t="str">
        <f>VLOOKUP(Table8[[#This Row],[Country Code]],Table29[],5,FALSE)</f>
        <v>High-income</v>
      </c>
      <c r="AU197" s="233" t="str">
        <f>VLOOKUP(Table8[[#This Row],[Country Code]],Table29[],6,FALSE)</f>
        <v>no</v>
      </c>
      <c r="AV197" s="233" t="str">
        <f>VLOOKUP(Table8[[#This Row],[Country Code]],Table29[],7,FALSE)</f>
        <v>no</v>
      </c>
      <c r="AW197" s="233" t="str">
        <f>VLOOKUP(Table8[[#This Row],[Country Code]],Table29[],8,FALSE)</f>
        <v>non-OECD</v>
      </c>
      <c r="AX197" s="233" t="str">
        <f>VLOOKUP(Table8[[#This Row],[Country Code]],Table29[],9,FALSE)</f>
        <v>no</v>
      </c>
      <c r="AY197" s="233" t="str">
        <f>VLOOKUP(Table8[[#This Row],[Country Code]],Table29[],10,FALSE)</f>
        <v>no</v>
      </c>
      <c r="AZ197" s="235">
        <f>VLOOKUP(Table8[[#This Row],[Country Code]],Table29[],23,FALSE)</f>
        <v>0.98904380539195003</v>
      </c>
      <c r="BA197" s="235">
        <f>VLOOKUP(Table8[[#This Row],[Country Code]],Table29[],24,FALSE)</f>
        <v>0.25128029300322258</v>
      </c>
      <c r="BB197" s="320"/>
      <c r="BC197" s="320"/>
    </row>
    <row r="198" spans="1:55" ht="45" hidden="1" x14ac:dyDescent="0.25">
      <c r="A198" s="373">
        <v>17526</v>
      </c>
      <c r="B198" s="233" t="str">
        <f>VLOOKUP(Table8[[#This Row],[Document ID]],Table1[],2,FALSE)</f>
        <v>BRB</v>
      </c>
      <c r="C198" s="233" t="str">
        <f>VLOOKUP(Table8[[#This Row],[Document ID]],Table1[],3,FALSE)</f>
        <v>Barbados</v>
      </c>
      <c r="D198" s="243" t="str">
        <f>VLOOKUP(Table8[[#This Row],[Document ID]],Table1[],5,FALSE)</f>
        <v>NDC</v>
      </c>
      <c r="E198" s="233" t="str">
        <f>VLOOKUP(Table8[[#This Row],[Document ID]],Table1[],7,FALSE)</f>
        <v>First NDC</v>
      </c>
      <c r="F198" s="236" t="str">
        <f>VLOOKUP(Table8[[#This Row],[Document ID]],Table1[],8,FALSE)</f>
        <v>NDC 1.0</v>
      </c>
      <c r="G198" s="236" t="str">
        <f>VLOOKUP(Table8[[#This Row],[Document ID]],Table1[],10,FALSE)</f>
        <v>Archived</v>
      </c>
      <c r="H198" s="44" t="s">
        <v>2329</v>
      </c>
      <c r="I198" s="44" t="s">
        <v>2330</v>
      </c>
      <c r="J198" s="44" t="s">
        <v>2357</v>
      </c>
      <c r="K198" s="44" t="s">
        <v>2579</v>
      </c>
      <c r="L198" s="44" t="s">
        <v>2333</v>
      </c>
      <c r="M198" s="43"/>
      <c r="N198" s="113" t="s">
        <v>1113</v>
      </c>
      <c r="O198" s="113"/>
      <c r="P198" s="113"/>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t="s">
        <v>1113</v>
      </c>
      <c r="AL198" s="319"/>
      <c r="AM198" s="319"/>
      <c r="AN198" s="319"/>
      <c r="AO198" s="44" t="s">
        <v>2334</v>
      </c>
      <c r="AP198" s="44"/>
      <c r="AQ198" s="236" t="str">
        <f>VLOOKUP(Table8[[#This Row],[Instrument]],Def_Targets!$D$73:$E$159,2,FALSE)</f>
        <v>I_Biofuel</v>
      </c>
      <c r="AR198" s="233" t="str">
        <f>VLOOKUP(Table8[[#This Row],[Country Code]],Table29[],3,FALSE)</f>
        <v>Non-Annex I</v>
      </c>
      <c r="AS198" s="233" t="str">
        <f>VLOOKUP(Table8[[#This Row],[Country Code]],Table29[],4,FALSE)</f>
        <v>Latin America and the Caribbean</v>
      </c>
      <c r="AT198" s="233" t="str">
        <f>VLOOKUP(Table8[[#This Row],[Country Code]],Table29[],5,FALSE)</f>
        <v>High-income</v>
      </c>
      <c r="AU198" s="233" t="str">
        <f>VLOOKUP(Table8[[#This Row],[Country Code]],Table29[],6,FALSE)</f>
        <v>no</v>
      </c>
      <c r="AV198" s="233" t="str">
        <f>VLOOKUP(Table8[[#This Row],[Country Code]],Table29[],7,FALSE)</f>
        <v>no</v>
      </c>
      <c r="AW198" s="233" t="str">
        <f>VLOOKUP(Table8[[#This Row],[Country Code]],Table29[],8,FALSE)</f>
        <v>non-OECD</v>
      </c>
      <c r="AX198" s="233" t="str">
        <f>VLOOKUP(Table8[[#This Row],[Country Code]],Table29[],9,FALSE)</f>
        <v>no</v>
      </c>
      <c r="AY198" s="233" t="str">
        <f>VLOOKUP(Table8[[#This Row],[Country Code]],Table29[],10,FALSE)</f>
        <v>no</v>
      </c>
      <c r="AZ198" s="235">
        <f>VLOOKUP(Table8[[#This Row],[Country Code]],Table29[],23,FALSE)</f>
        <v>0.98904380539195003</v>
      </c>
      <c r="BA198" s="235">
        <f>VLOOKUP(Table8[[#This Row],[Country Code]],Table29[],24,FALSE)</f>
        <v>0.25128029300322258</v>
      </c>
      <c r="BB198" s="320"/>
      <c r="BC198" s="320"/>
    </row>
    <row r="199" spans="1:55" ht="45" hidden="1" x14ac:dyDescent="0.25">
      <c r="A199" s="373">
        <v>17526</v>
      </c>
      <c r="B199" s="233" t="str">
        <f>VLOOKUP(Table8[[#This Row],[Document ID]],Table1[],2,FALSE)</f>
        <v>BRB</v>
      </c>
      <c r="C199" s="233" t="str">
        <f>VLOOKUP(Table8[[#This Row],[Document ID]],Table1[],3,FALSE)</f>
        <v>Barbados</v>
      </c>
      <c r="D199" s="243" t="str">
        <f>VLOOKUP(Table8[[#This Row],[Document ID]],Table1[],5,FALSE)</f>
        <v>NDC</v>
      </c>
      <c r="E199" s="233" t="str">
        <f>VLOOKUP(Table8[[#This Row],[Document ID]],Table1[],7,FALSE)</f>
        <v>First NDC</v>
      </c>
      <c r="F199" s="236" t="str">
        <f>VLOOKUP(Table8[[#This Row],[Document ID]],Table1[],8,FALSE)</f>
        <v>NDC 1.0</v>
      </c>
      <c r="G199" s="236" t="str">
        <f>VLOOKUP(Table8[[#This Row],[Document ID]],Table1[],10,FALSE)</f>
        <v>Archived</v>
      </c>
      <c r="H199" s="44" t="s">
        <v>2329</v>
      </c>
      <c r="I199" s="44" t="s">
        <v>2330</v>
      </c>
      <c r="J199" s="44" t="s">
        <v>2363</v>
      </c>
      <c r="K199" s="44" t="s">
        <v>2579</v>
      </c>
      <c r="L199" s="44" t="s">
        <v>2333</v>
      </c>
      <c r="M199" s="43"/>
      <c r="N199" s="113" t="s">
        <v>1113</v>
      </c>
      <c r="O199" s="113"/>
      <c r="P199" s="113"/>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t="s">
        <v>1113</v>
      </c>
      <c r="AL199" s="319"/>
      <c r="AM199" s="319"/>
      <c r="AN199" s="319"/>
      <c r="AO199" s="44" t="s">
        <v>2334</v>
      </c>
      <c r="AP199" s="44"/>
      <c r="AQ199" s="236" t="str">
        <f>VLOOKUP(Table8[[#This Row],[Instrument]],Def_Targets!$D$73:$E$159,2,FALSE)</f>
        <v>I_LPGCNGLNG</v>
      </c>
      <c r="AR199" s="233" t="str">
        <f>VLOOKUP(Table8[[#This Row],[Country Code]],Table29[],3,FALSE)</f>
        <v>Non-Annex I</v>
      </c>
      <c r="AS199" s="233" t="str">
        <f>VLOOKUP(Table8[[#This Row],[Country Code]],Table29[],4,FALSE)</f>
        <v>Latin America and the Caribbean</v>
      </c>
      <c r="AT199" s="233" t="str">
        <f>VLOOKUP(Table8[[#This Row],[Country Code]],Table29[],5,FALSE)</f>
        <v>High-income</v>
      </c>
      <c r="AU199" s="233" t="str">
        <f>VLOOKUP(Table8[[#This Row],[Country Code]],Table29[],6,FALSE)</f>
        <v>no</v>
      </c>
      <c r="AV199" s="233" t="str">
        <f>VLOOKUP(Table8[[#This Row],[Country Code]],Table29[],7,FALSE)</f>
        <v>no</v>
      </c>
      <c r="AW199" s="233" t="str">
        <f>VLOOKUP(Table8[[#This Row],[Country Code]],Table29[],8,FALSE)</f>
        <v>non-OECD</v>
      </c>
      <c r="AX199" s="233" t="str">
        <f>VLOOKUP(Table8[[#This Row],[Country Code]],Table29[],9,FALSE)</f>
        <v>no</v>
      </c>
      <c r="AY199" s="233" t="str">
        <f>VLOOKUP(Table8[[#This Row],[Country Code]],Table29[],10,FALSE)</f>
        <v>no</v>
      </c>
      <c r="AZ199" s="235">
        <f>VLOOKUP(Table8[[#This Row],[Country Code]],Table29[],23,FALSE)</f>
        <v>0.98904380539195003</v>
      </c>
      <c r="BA199" s="235">
        <f>VLOOKUP(Table8[[#This Row],[Country Code]],Table29[],24,FALSE)</f>
        <v>0.25128029300322258</v>
      </c>
      <c r="BB199" s="320"/>
      <c r="BC199" s="320"/>
    </row>
    <row r="200" spans="1:55" ht="45" hidden="1" x14ac:dyDescent="0.25">
      <c r="A200" s="373">
        <v>17526</v>
      </c>
      <c r="B200" s="233" t="str">
        <f>VLOOKUP(Table8[[#This Row],[Document ID]],Table1[],2,FALSE)</f>
        <v>BRB</v>
      </c>
      <c r="C200" s="233" t="str">
        <f>VLOOKUP(Table8[[#This Row],[Document ID]],Table1[],3,FALSE)</f>
        <v>Barbados</v>
      </c>
      <c r="D200" s="243" t="str">
        <f>VLOOKUP(Table8[[#This Row],[Document ID]],Table1[],5,FALSE)</f>
        <v>NDC</v>
      </c>
      <c r="E200" s="233" t="str">
        <f>VLOOKUP(Table8[[#This Row],[Document ID]],Table1[],7,FALSE)</f>
        <v>First NDC</v>
      </c>
      <c r="F200" s="236" t="str">
        <f>VLOOKUP(Table8[[#This Row],[Document ID]],Table1[],8,FALSE)</f>
        <v>NDC 1.0</v>
      </c>
      <c r="G200" s="236" t="str">
        <f>VLOOKUP(Table8[[#This Row],[Document ID]],Table1[],10,FALSE)</f>
        <v>Archived</v>
      </c>
      <c r="H200" s="43" t="s">
        <v>2358</v>
      </c>
      <c r="I200" s="43" t="s">
        <v>2359</v>
      </c>
      <c r="J200" s="44" t="s">
        <v>2360</v>
      </c>
      <c r="K200" s="44" t="s">
        <v>2579</v>
      </c>
      <c r="L200" s="44" t="s">
        <v>2333</v>
      </c>
      <c r="M200" s="43"/>
      <c r="N200" s="113" t="s">
        <v>1113</v>
      </c>
      <c r="O200" s="113"/>
      <c r="P200" s="113"/>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t="s">
        <v>1113</v>
      </c>
      <c r="AL200" s="319"/>
      <c r="AM200" s="319"/>
      <c r="AN200" s="319"/>
      <c r="AO200" s="44" t="s">
        <v>2334</v>
      </c>
      <c r="AP200" s="44"/>
      <c r="AQ200" s="236" t="str">
        <f>VLOOKUP(Table8[[#This Row],[Instrument]],Def_Targets!$D$73:$E$159,2,FALSE)</f>
        <v>I_Emobility</v>
      </c>
      <c r="AR200" s="233" t="str">
        <f>VLOOKUP(Table8[[#This Row],[Country Code]],Table29[],3,FALSE)</f>
        <v>Non-Annex I</v>
      </c>
      <c r="AS200" s="233" t="str">
        <f>VLOOKUP(Table8[[#This Row],[Country Code]],Table29[],4,FALSE)</f>
        <v>Latin America and the Caribbean</v>
      </c>
      <c r="AT200" s="233" t="str">
        <f>VLOOKUP(Table8[[#This Row],[Country Code]],Table29[],5,FALSE)</f>
        <v>High-income</v>
      </c>
      <c r="AU200" s="233" t="str">
        <f>VLOOKUP(Table8[[#This Row],[Country Code]],Table29[],6,FALSE)</f>
        <v>no</v>
      </c>
      <c r="AV200" s="233" t="str">
        <f>VLOOKUP(Table8[[#This Row],[Country Code]],Table29[],7,FALSE)</f>
        <v>no</v>
      </c>
      <c r="AW200" s="233" t="str">
        <f>VLOOKUP(Table8[[#This Row],[Country Code]],Table29[],8,FALSE)</f>
        <v>non-OECD</v>
      </c>
      <c r="AX200" s="233" t="str">
        <f>VLOOKUP(Table8[[#This Row],[Country Code]],Table29[],9,FALSE)</f>
        <v>no</v>
      </c>
      <c r="AY200" s="233" t="str">
        <f>VLOOKUP(Table8[[#This Row],[Country Code]],Table29[],10,FALSE)</f>
        <v>no</v>
      </c>
      <c r="AZ200" s="235">
        <f>VLOOKUP(Table8[[#This Row],[Country Code]],Table29[],23,FALSE)</f>
        <v>0.98904380539195003</v>
      </c>
      <c r="BA200" s="235">
        <f>VLOOKUP(Table8[[#This Row],[Country Code]],Table29[],24,FALSE)</f>
        <v>0.25128029300322258</v>
      </c>
      <c r="BB200" s="320"/>
      <c r="BC200" s="320"/>
    </row>
    <row r="201" spans="1:55" ht="75" hidden="1" x14ac:dyDescent="0.25">
      <c r="A201" s="373">
        <v>21371</v>
      </c>
      <c r="B201" s="233" t="str">
        <f>VLOOKUP(Table8[[#This Row],[Document ID]],Table1[],2,FALSE)</f>
        <v>BRB</v>
      </c>
      <c r="C201" s="233" t="str">
        <f>VLOOKUP(Table8[[#This Row],[Document ID]],Table1[],3,FALSE)</f>
        <v>Barbados</v>
      </c>
      <c r="D201" s="243" t="str">
        <f>VLOOKUP(Table8[[#This Row],[Document ID]],Table1[],5,FALSE)</f>
        <v>NDC</v>
      </c>
      <c r="E201" s="233" t="str">
        <f>VLOOKUP(Table8[[#This Row],[Document ID]],Table1[],7,FALSE)</f>
        <v>First NDC updated</v>
      </c>
      <c r="F201" s="233" t="str">
        <f>VLOOKUP(Table8[[#This Row],[Document ID]],Table1[],8,FALSE)</f>
        <v>NDC 1.1</v>
      </c>
      <c r="G201" s="233" t="str">
        <f>VLOOKUP(Table8[[#This Row],[Document ID]],Table1[],10,FALSE)</f>
        <v>Active</v>
      </c>
      <c r="H201" s="43" t="s">
        <v>2343</v>
      </c>
      <c r="I201" s="43" t="s">
        <v>2386</v>
      </c>
      <c r="J201" s="44" t="s">
        <v>2387</v>
      </c>
      <c r="K201" s="44" t="s">
        <v>2580</v>
      </c>
      <c r="L201" s="44" t="s">
        <v>2333</v>
      </c>
      <c r="M201" s="43">
        <v>17</v>
      </c>
      <c r="N201" s="113"/>
      <c r="O201" s="113"/>
      <c r="P201" s="113"/>
      <c r="Q201" s="113"/>
      <c r="R201" s="113"/>
      <c r="S201" s="113"/>
      <c r="T201" s="113"/>
      <c r="U201" s="113" t="s">
        <v>1113</v>
      </c>
      <c r="V201" s="113"/>
      <c r="W201" s="113"/>
      <c r="X201" s="113"/>
      <c r="Y201" s="113" t="s">
        <v>1113</v>
      </c>
      <c r="Z201" s="113"/>
      <c r="AA201" s="113"/>
      <c r="AB201" s="113"/>
      <c r="AC201" s="113"/>
      <c r="AD201" s="113"/>
      <c r="AE201" s="113"/>
      <c r="AF201" s="113"/>
      <c r="AG201" s="113"/>
      <c r="AH201" s="113"/>
      <c r="AI201" s="113"/>
      <c r="AJ201" s="113"/>
      <c r="AK201" s="113" t="s">
        <v>1113</v>
      </c>
      <c r="AL201" s="113"/>
      <c r="AM201" s="113"/>
      <c r="AN201" s="113"/>
      <c r="AO201" s="43" t="s">
        <v>2348</v>
      </c>
      <c r="AP201" s="43"/>
      <c r="AQ201" s="236" t="str">
        <f>VLOOKUP(Table8[[#This Row],[Instrument]],Def_Targets!$D$73:$E$159,2,FALSE)</f>
        <v>A_Procurement</v>
      </c>
      <c r="AR201" s="233" t="str">
        <f>VLOOKUP(Table8[[#This Row],[Country Code]],Table29[],3,FALSE)</f>
        <v>Non-Annex I</v>
      </c>
      <c r="AS201" s="233" t="str">
        <f>VLOOKUP(Table8[[#This Row],[Country Code]],Table29[],4,FALSE)</f>
        <v>Latin America and the Caribbean</v>
      </c>
      <c r="AT201" s="233" t="str">
        <f>VLOOKUP(Table8[[#This Row],[Country Code]],Table29[],5,FALSE)</f>
        <v>High-income</v>
      </c>
      <c r="AU201" s="233" t="str">
        <f>VLOOKUP(Table8[[#This Row],[Country Code]],Table29[],6,FALSE)</f>
        <v>no</v>
      </c>
      <c r="AV201" s="233" t="str">
        <f>VLOOKUP(Table8[[#This Row],[Country Code]],Table29[],7,FALSE)</f>
        <v>no</v>
      </c>
      <c r="AW201" s="233" t="str">
        <f>VLOOKUP(Table8[[#This Row],[Country Code]],Table29[],8,FALSE)</f>
        <v>non-OECD</v>
      </c>
      <c r="AX201" s="233" t="str">
        <f>VLOOKUP(Table8[[#This Row],[Country Code]],Table29[],9,FALSE)</f>
        <v>no</v>
      </c>
      <c r="AY201" s="233" t="str">
        <f>VLOOKUP(Table8[[#This Row],[Country Code]],Table29[],10,FALSE)</f>
        <v>no</v>
      </c>
      <c r="AZ201" s="235">
        <f>VLOOKUP(Table8[[#This Row],[Country Code]],Table29[],23,FALSE)</f>
        <v>0.98904380539195003</v>
      </c>
      <c r="BA201" s="235">
        <f>VLOOKUP(Table8[[#This Row],[Country Code]],Table29[],24,FALSE)</f>
        <v>0.25128029300322258</v>
      </c>
      <c r="BB201" s="320"/>
      <c r="BC201" s="320"/>
    </row>
    <row r="202" spans="1:55" ht="75" hidden="1" x14ac:dyDescent="0.25">
      <c r="A202" s="373">
        <v>21371</v>
      </c>
      <c r="B202" s="233" t="str">
        <f>VLOOKUP(Table8[[#This Row],[Document ID]],Table1[],2,FALSE)</f>
        <v>BRB</v>
      </c>
      <c r="C202" s="233" t="str">
        <f>VLOOKUP(Table8[[#This Row],[Document ID]],Table1[],3,FALSE)</f>
        <v>Barbados</v>
      </c>
      <c r="D202" s="243" t="str">
        <f>VLOOKUP(Table8[[#This Row],[Document ID]],Table1[],5,FALSE)</f>
        <v>NDC</v>
      </c>
      <c r="E202" s="233" t="str">
        <f>VLOOKUP(Table8[[#This Row],[Document ID]],Table1[],7,FALSE)</f>
        <v>First NDC updated</v>
      </c>
      <c r="F202" s="233" t="str">
        <f>VLOOKUP(Table8[[#This Row],[Document ID]],Table1[],8,FALSE)</f>
        <v>NDC 1.1</v>
      </c>
      <c r="G202" s="233" t="str">
        <f>VLOOKUP(Table8[[#This Row],[Document ID]],Table1[],10,FALSE)</f>
        <v>Active</v>
      </c>
      <c r="H202" s="43" t="s">
        <v>2358</v>
      </c>
      <c r="I202" s="43" t="s">
        <v>2359</v>
      </c>
      <c r="J202" s="44" t="s">
        <v>2360</v>
      </c>
      <c r="K202" s="44" t="s">
        <v>2580</v>
      </c>
      <c r="L202" s="44" t="s">
        <v>2333</v>
      </c>
      <c r="M202" s="43">
        <v>17</v>
      </c>
      <c r="N202" s="113"/>
      <c r="O202" s="113"/>
      <c r="P202" s="113"/>
      <c r="Q202" s="113"/>
      <c r="R202" s="113"/>
      <c r="S202" s="113"/>
      <c r="T202" s="113"/>
      <c r="U202" s="113"/>
      <c r="V202" s="113"/>
      <c r="W202" s="113"/>
      <c r="X202" s="113"/>
      <c r="Y202" s="113" t="s">
        <v>1113</v>
      </c>
      <c r="Z202" s="113"/>
      <c r="AA202" s="113"/>
      <c r="AB202" s="113"/>
      <c r="AC202" s="113"/>
      <c r="AD202" s="113"/>
      <c r="AE202" s="113"/>
      <c r="AF202" s="113"/>
      <c r="AG202" s="113"/>
      <c r="AH202" s="113"/>
      <c r="AI202" s="113"/>
      <c r="AJ202" s="113"/>
      <c r="AK202" s="113" t="s">
        <v>1113</v>
      </c>
      <c r="AL202" s="113"/>
      <c r="AM202" s="113"/>
      <c r="AN202" s="113"/>
      <c r="AO202" s="43" t="s">
        <v>2348</v>
      </c>
      <c r="AP202" s="43"/>
      <c r="AQ202" s="236" t="str">
        <f>VLOOKUP(Table8[[#This Row],[Instrument]],Def_Targets!$D$73:$E$159,2,FALSE)</f>
        <v>I_Emobility</v>
      </c>
      <c r="AR202" s="233" t="str">
        <f>VLOOKUP(Table8[[#This Row],[Country Code]],Table29[],3,FALSE)</f>
        <v>Non-Annex I</v>
      </c>
      <c r="AS202" s="233" t="str">
        <f>VLOOKUP(Table8[[#This Row],[Country Code]],Table29[],4,FALSE)</f>
        <v>Latin America and the Caribbean</v>
      </c>
      <c r="AT202" s="233" t="str">
        <f>VLOOKUP(Table8[[#This Row],[Country Code]],Table29[],5,FALSE)</f>
        <v>High-income</v>
      </c>
      <c r="AU202" s="233" t="str">
        <f>VLOOKUP(Table8[[#This Row],[Country Code]],Table29[],6,FALSE)</f>
        <v>no</v>
      </c>
      <c r="AV202" s="233" t="str">
        <f>VLOOKUP(Table8[[#This Row],[Country Code]],Table29[],7,FALSE)</f>
        <v>no</v>
      </c>
      <c r="AW202" s="233" t="str">
        <f>VLOOKUP(Table8[[#This Row],[Country Code]],Table29[],8,FALSE)</f>
        <v>non-OECD</v>
      </c>
      <c r="AX202" s="233" t="str">
        <f>VLOOKUP(Table8[[#This Row],[Country Code]],Table29[],9,FALSE)</f>
        <v>no</v>
      </c>
      <c r="AY202" s="233" t="str">
        <f>VLOOKUP(Table8[[#This Row],[Country Code]],Table29[],10,FALSE)</f>
        <v>no</v>
      </c>
      <c r="AZ202" s="235">
        <f>VLOOKUP(Table8[[#This Row],[Country Code]],Table29[],23,FALSE)</f>
        <v>0.98904380539195003</v>
      </c>
      <c r="BA202" s="235">
        <f>VLOOKUP(Table8[[#This Row],[Country Code]],Table29[],24,FALSE)</f>
        <v>0.25128029300322258</v>
      </c>
      <c r="BB202" s="320"/>
      <c r="BC202" s="320"/>
    </row>
    <row r="203" spans="1:55" s="17" customFormat="1" ht="75" hidden="1" x14ac:dyDescent="0.25">
      <c r="A203" s="373">
        <v>21371</v>
      </c>
      <c r="B203" s="233" t="str">
        <f>VLOOKUP(Table8[[#This Row],[Document ID]],Table1[],2,FALSE)</f>
        <v>BRB</v>
      </c>
      <c r="C203" s="233" t="str">
        <f>VLOOKUP(Table8[[#This Row],[Document ID]],Table1[],3,FALSE)</f>
        <v>Barbados</v>
      </c>
      <c r="D203" s="243" t="str">
        <f>VLOOKUP(Table8[[#This Row],[Document ID]],Table1[],5,FALSE)</f>
        <v>NDC</v>
      </c>
      <c r="E203" s="233" t="str">
        <f>VLOOKUP(Table8[[#This Row],[Document ID]],Table1[],7,FALSE)</f>
        <v>First NDC updated</v>
      </c>
      <c r="F203" s="233" t="str">
        <f>VLOOKUP(Table8[[#This Row],[Document ID]],Table1[],8,FALSE)</f>
        <v>NDC 1.1</v>
      </c>
      <c r="G203" s="233" t="str">
        <f>VLOOKUP(Table8[[#This Row],[Document ID]],Table1[],10,FALSE)</f>
        <v>Active</v>
      </c>
      <c r="H203" s="43" t="s">
        <v>2350</v>
      </c>
      <c r="I203" s="43" t="s">
        <v>2370</v>
      </c>
      <c r="J203" s="44" t="s">
        <v>2581</v>
      </c>
      <c r="K203" s="44" t="s">
        <v>2582</v>
      </c>
      <c r="L203" s="44" t="s">
        <v>2373</v>
      </c>
      <c r="M203" s="43">
        <v>17</v>
      </c>
      <c r="N203" s="113"/>
      <c r="O203" s="113"/>
      <c r="P203" s="113"/>
      <c r="Q203" s="113" t="s">
        <v>1113</v>
      </c>
      <c r="R203" s="113" t="s">
        <v>1113</v>
      </c>
      <c r="S203" s="113" t="s">
        <v>1113</v>
      </c>
      <c r="T203" s="113"/>
      <c r="U203" s="113"/>
      <c r="V203" s="113"/>
      <c r="W203" s="113"/>
      <c r="X203" s="113"/>
      <c r="Y203" s="113" t="s">
        <v>1113</v>
      </c>
      <c r="Z203" s="113"/>
      <c r="AA203" s="113"/>
      <c r="AB203" s="113"/>
      <c r="AC203" s="113"/>
      <c r="AD203" s="113"/>
      <c r="AE203" s="113"/>
      <c r="AF203" s="113"/>
      <c r="AG203" s="113"/>
      <c r="AH203" s="113"/>
      <c r="AI203" s="113"/>
      <c r="AJ203" s="113"/>
      <c r="AK203" s="113"/>
      <c r="AL203" s="113" t="s">
        <v>1113</v>
      </c>
      <c r="AM203" s="113"/>
      <c r="AN203" s="113"/>
      <c r="AO203" s="44" t="s">
        <v>2334</v>
      </c>
      <c r="AP203" s="43"/>
      <c r="AQ203" s="236" t="str">
        <f>VLOOKUP(Table8[[#This Row],[Instrument]],Def_Targets!$D$73:$E$159,2,FALSE)</f>
        <v>A_SUMP</v>
      </c>
      <c r="AR203" s="233" t="str">
        <f>VLOOKUP(Table8[[#This Row],[Country Code]],Table29[],3,FALSE)</f>
        <v>Non-Annex I</v>
      </c>
      <c r="AS203" s="233" t="str">
        <f>VLOOKUP(Table8[[#This Row],[Country Code]],Table29[],4,FALSE)</f>
        <v>Latin America and the Caribbean</v>
      </c>
      <c r="AT203" s="233" t="str">
        <f>VLOOKUP(Table8[[#This Row],[Country Code]],Table29[],5,FALSE)</f>
        <v>High-income</v>
      </c>
      <c r="AU203" s="233" t="str">
        <f>VLOOKUP(Table8[[#This Row],[Country Code]],Table29[],6,FALSE)</f>
        <v>no</v>
      </c>
      <c r="AV203" s="233" t="str">
        <f>VLOOKUP(Table8[[#This Row],[Country Code]],Table29[],7,FALSE)</f>
        <v>no</v>
      </c>
      <c r="AW203" s="233" t="str">
        <f>VLOOKUP(Table8[[#This Row],[Country Code]],Table29[],8,FALSE)</f>
        <v>non-OECD</v>
      </c>
      <c r="AX203" s="233" t="str">
        <f>VLOOKUP(Table8[[#This Row],[Country Code]],Table29[],9,FALSE)</f>
        <v>no</v>
      </c>
      <c r="AY203" s="233" t="str">
        <f>VLOOKUP(Table8[[#This Row],[Country Code]],Table29[],10,FALSE)</f>
        <v>no</v>
      </c>
      <c r="AZ203" s="235">
        <f>VLOOKUP(Table8[[#This Row],[Country Code]],Table29[],23,FALSE)</f>
        <v>0.98904380539195003</v>
      </c>
      <c r="BA203" s="235">
        <f>VLOOKUP(Table8[[#This Row],[Country Code]],Table29[],24,FALSE)</f>
        <v>0.25128029300322258</v>
      </c>
      <c r="BB203" s="320"/>
      <c r="BC203" s="320"/>
    </row>
    <row r="204" spans="1:55" s="17" customFormat="1" ht="45" hidden="1" x14ac:dyDescent="0.25">
      <c r="A204" s="373">
        <v>21371</v>
      </c>
      <c r="B204" s="233" t="str">
        <f>VLOOKUP(Table8[[#This Row],[Document ID]],Table1[],2,FALSE)</f>
        <v>BRB</v>
      </c>
      <c r="C204" s="233" t="str">
        <f>VLOOKUP(Table8[[#This Row],[Document ID]],Table1[],3,FALSE)</f>
        <v>Barbados</v>
      </c>
      <c r="D204" s="243" t="str">
        <f>VLOOKUP(Table8[[#This Row],[Document ID]],Table1[],5,FALSE)</f>
        <v>NDC</v>
      </c>
      <c r="E204" s="233" t="str">
        <f>VLOOKUP(Table8[[#This Row],[Document ID]],Table1[],7,FALSE)</f>
        <v>First NDC updated</v>
      </c>
      <c r="F204" s="233" t="str">
        <f>VLOOKUP(Table8[[#This Row],[Document ID]],Table1[],8,FALSE)</f>
        <v>NDC 1.1</v>
      </c>
      <c r="G204" s="233" t="str">
        <f>VLOOKUP(Table8[[#This Row],[Document ID]],Table1[],10,FALSE)</f>
        <v>Active</v>
      </c>
      <c r="H204" s="43" t="s">
        <v>2343</v>
      </c>
      <c r="I204" s="43" t="s">
        <v>2361</v>
      </c>
      <c r="J204" s="44" t="s">
        <v>2362</v>
      </c>
      <c r="K204" s="44" t="s">
        <v>2583</v>
      </c>
      <c r="L204" s="44" t="s">
        <v>2347</v>
      </c>
      <c r="M204" s="43">
        <v>17</v>
      </c>
      <c r="N204" s="113"/>
      <c r="O204" s="113"/>
      <c r="P204" s="113"/>
      <c r="Q204" s="113"/>
      <c r="R204" s="113" t="s">
        <v>1113</v>
      </c>
      <c r="S204" s="113"/>
      <c r="T204" s="113"/>
      <c r="U204" s="113"/>
      <c r="V204" s="113"/>
      <c r="W204" s="113"/>
      <c r="X204" s="113"/>
      <c r="Y204" s="113"/>
      <c r="Z204" s="113"/>
      <c r="AA204" s="113"/>
      <c r="AB204" s="113"/>
      <c r="AC204" s="113"/>
      <c r="AD204" s="113"/>
      <c r="AE204" s="113"/>
      <c r="AF204" s="113"/>
      <c r="AG204" s="113"/>
      <c r="AH204" s="113"/>
      <c r="AI204" s="113"/>
      <c r="AJ204" s="113"/>
      <c r="AK204" s="113"/>
      <c r="AL204" s="113" t="s">
        <v>1113</v>
      </c>
      <c r="AM204" s="113"/>
      <c r="AN204" s="113"/>
      <c r="AO204" s="44" t="s">
        <v>2334</v>
      </c>
      <c r="AP204" s="43"/>
      <c r="AQ204" s="236" t="str">
        <f>VLOOKUP(Table8[[#This Row],[Instrument]],Def_Targets!$D$73:$E$159,2,FALSE)</f>
        <v>S_Cycling</v>
      </c>
      <c r="AR204" s="233" t="str">
        <f>VLOOKUP(Table8[[#This Row],[Country Code]],Table29[],3,FALSE)</f>
        <v>Non-Annex I</v>
      </c>
      <c r="AS204" s="233" t="str">
        <f>VLOOKUP(Table8[[#This Row],[Country Code]],Table29[],4,FALSE)</f>
        <v>Latin America and the Caribbean</v>
      </c>
      <c r="AT204" s="233" t="str">
        <f>VLOOKUP(Table8[[#This Row],[Country Code]],Table29[],5,FALSE)</f>
        <v>High-income</v>
      </c>
      <c r="AU204" s="233" t="str">
        <f>VLOOKUP(Table8[[#This Row],[Country Code]],Table29[],6,FALSE)</f>
        <v>no</v>
      </c>
      <c r="AV204" s="233" t="str">
        <f>VLOOKUP(Table8[[#This Row],[Country Code]],Table29[],7,FALSE)</f>
        <v>no</v>
      </c>
      <c r="AW204" s="233" t="str">
        <f>VLOOKUP(Table8[[#This Row],[Country Code]],Table29[],8,FALSE)</f>
        <v>non-OECD</v>
      </c>
      <c r="AX204" s="233" t="str">
        <f>VLOOKUP(Table8[[#This Row],[Country Code]],Table29[],9,FALSE)</f>
        <v>no</v>
      </c>
      <c r="AY204" s="233" t="str">
        <f>VLOOKUP(Table8[[#This Row],[Country Code]],Table29[],10,FALSE)</f>
        <v>no</v>
      </c>
      <c r="AZ204" s="235">
        <f>VLOOKUP(Table8[[#This Row],[Country Code]],Table29[],23,FALSE)</f>
        <v>0.98904380539195003</v>
      </c>
      <c r="BA204" s="235">
        <f>VLOOKUP(Table8[[#This Row],[Country Code]],Table29[],24,FALSE)</f>
        <v>0.25128029300322258</v>
      </c>
      <c r="BB204" s="320"/>
      <c r="BC204" s="320"/>
    </row>
    <row r="205" spans="1:55" s="17" customFormat="1" ht="45" hidden="1" x14ac:dyDescent="0.25">
      <c r="A205" s="373">
        <v>21371</v>
      </c>
      <c r="B205" s="233" t="str">
        <f>VLOOKUP(Table8[[#This Row],[Document ID]],Table1[],2,FALSE)</f>
        <v>BRB</v>
      </c>
      <c r="C205" s="233" t="str">
        <f>VLOOKUP(Table8[[#This Row],[Document ID]],Table1[],3,FALSE)</f>
        <v>Barbados</v>
      </c>
      <c r="D205" s="243" t="str">
        <f>VLOOKUP(Table8[[#This Row],[Document ID]],Table1[],5,FALSE)</f>
        <v>NDC</v>
      </c>
      <c r="E205" s="233" t="str">
        <f>VLOOKUP(Table8[[#This Row],[Document ID]],Table1[],7,FALSE)</f>
        <v>First NDC updated</v>
      </c>
      <c r="F205" s="233" t="str">
        <f>VLOOKUP(Table8[[#This Row],[Document ID]],Table1[],8,FALSE)</f>
        <v>NDC 1.1</v>
      </c>
      <c r="G205" s="233" t="str">
        <f>VLOOKUP(Table8[[#This Row],[Document ID]],Table1[],10,FALSE)</f>
        <v>Active</v>
      </c>
      <c r="H205" s="43" t="s">
        <v>2343</v>
      </c>
      <c r="I205" s="43" t="s">
        <v>2361</v>
      </c>
      <c r="J205" s="44" t="s">
        <v>2463</v>
      </c>
      <c r="K205" s="44" t="s">
        <v>2583</v>
      </c>
      <c r="L205" s="44" t="s">
        <v>2347</v>
      </c>
      <c r="M205" s="43">
        <v>17</v>
      </c>
      <c r="N205" s="113"/>
      <c r="O205" s="113"/>
      <c r="P205" s="113"/>
      <c r="Q205" s="113" t="s">
        <v>1113</v>
      </c>
      <c r="R205" s="113" t="s">
        <v>1113</v>
      </c>
      <c r="S205" s="113"/>
      <c r="T205" s="113"/>
      <c r="U205" s="113"/>
      <c r="V205" s="113"/>
      <c r="W205" s="113"/>
      <c r="X205" s="113"/>
      <c r="Y205" s="113"/>
      <c r="Z205" s="113"/>
      <c r="AA205" s="113"/>
      <c r="AB205" s="113"/>
      <c r="AC205" s="113"/>
      <c r="AD205" s="113"/>
      <c r="AE205" s="113"/>
      <c r="AF205" s="113"/>
      <c r="AG205" s="113"/>
      <c r="AH205" s="113"/>
      <c r="AI205" s="113"/>
      <c r="AJ205" s="113"/>
      <c r="AK205" s="113"/>
      <c r="AL205" s="113" t="s">
        <v>1113</v>
      </c>
      <c r="AM205" s="113"/>
      <c r="AN205" s="113"/>
      <c r="AO205" s="44" t="s">
        <v>2334</v>
      </c>
      <c r="AP205" s="43"/>
      <c r="AQ205" s="236" t="str">
        <f>VLOOKUP(Table8[[#This Row],[Instrument]],Def_Targets!$D$73:$E$159,2,FALSE)</f>
        <v>S_Walking</v>
      </c>
      <c r="AR205" s="233" t="str">
        <f>VLOOKUP(Table8[[#This Row],[Country Code]],Table29[],3,FALSE)</f>
        <v>Non-Annex I</v>
      </c>
      <c r="AS205" s="233" t="str">
        <f>VLOOKUP(Table8[[#This Row],[Country Code]],Table29[],4,FALSE)</f>
        <v>Latin America and the Caribbean</v>
      </c>
      <c r="AT205" s="233" t="str">
        <f>VLOOKUP(Table8[[#This Row],[Country Code]],Table29[],5,FALSE)</f>
        <v>High-income</v>
      </c>
      <c r="AU205" s="233" t="str">
        <f>VLOOKUP(Table8[[#This Row],[Country Code]],Table29[],6,FALSE)</f>
        <v>no</v>
      </c>
      <c r="AV205" s="233" t="str">
        <f>VLOOKUP(Table8[[#This Row],[Country Code]],Table29[],7,FALSE)</f>
        <v>no</v>
      </c>
      <c r="AW205" s="233" t="str">
        <f>VLOOKUP(Table8[[#This Row],[Country Code]],Table29[],8,FALSE)</f>
        <v>non-OECD</v>
      </c>
      <c r="AX205" s="233" t="str">
        <f>VLOOKUP(Table8[[#This Row],[Country Code]],Table29[],9,FALSE)</f>
        <v>no</v>
      </c>
      <c r="AY205" s="233" t="str">
        <f>VLOOKUP(Table8[[#This Row],[Country Code]],Table29[],10,FALSE)</f>
        <v>no</v>
      </c>
      <c r="AZ205" s="235">
        <f>VLOOKUP(Table8[[#This Row],[Country Code]],Table29[],23,FALSE)</f>
        <v>0.98904380539195003</v>
      </c>
      <c r="BA205" s="235">
        <f>VLOOKUP(Table8[[#This Row],[Country Code]],Table29[],24,FALSE)</f>
        <v>0.25128029300322258</v>
      </c>
      <c r="BB205" s="320"/>
      <c r="BC205" s="320"/>
    </row>
    <row r="206" spans="1:55" s="23" customFormat="1" ht="45" hidden="1" x14ac:dyDescent="0.25">
      <c r="A206" s="373">
        <v>21371</v>
      </c>
      <c r="B206" s="233" t="str">
        <f>VLOOKUP(Table8[[#This Row],[Document ID]],Table1[],2,FALSE)</f>
        <v>BRB</v>
      </c>
      <c r="C206" s="233" t="str">
        <f>VLOOKUP(Table8[[#This Row],[Document ID]],Table1[],3,FALSE)</f>
        <v>Barbados</v>
      </c>
      <c r="D206" s="243" t="str">
        <f>VLOOKUP(Table8[[#This Row],[Document ID]],Table1[],5,FALSE)</f>
        <v>NDC</v>
      </c>
      <c r="E206" s="233" t="str">
        <f>VLOOKUP(Table8[[#This Row],[Document ID]],Table1[],7,FALSE)</f>
        <v>First NDC updated</v>
      </c>
      <c r="F206" s="233" t="str">
        <f>VLOOKUP(Table8[[#This Row],[Document ID]],Table1[],8,FALSE)</f>
        <v>NDC 1.1</v>
      </c>
      <c r="G206" s="233" t="str">
        <f>VLOOKUP(Table8[[#This Row],[Document ID]],Table1[],10,FALSE)</f>
        <v>Active</v>
      </c>
      <c r="H206" s="43" t="s">
        <v>2343</v>
      </c>
      <c r="I206" s="43" t="s">
        <v>2377</v>
      </c>
      <c r="J206" s="44" t="s">
        <v>2535</v>
      </c>
      <c r="K206" s="44" t="s">
        <v>2583</v>
      </c>
      <c r="L206" s="44" t="s">
        <v>2396</v>
      </c>
      <c r="M206" s="43">
        <v>17</v>
      </c>
      <c r="N206" s="113"/>
      <c r="O206" s="113"/>
      <c r="P206" s="113"/>
      <c r="Q206" s="113"/>
      <c r="R206" s="113"/>
      <c r="S206" s="113" t="s">
        <v>1113</v>
      </c>
      <c r="T206" s="113"/>
      <c r="U206" s="113"/>
      <c r="V206" s="113"/>
      <c r="W206" s="113"/>
      <c r="X206" s="113"/>
      <c r="Y206" s="113"/>
      <c r="Z206" s="113"/>
      <c r="AA206" s="113"/>
      <c r="AB206" s="113"/>
      <c r="AC206" s="113"/>
      <c r="AD206" s="113"/>
      <c r="AE206" s="113"/>
      <c r="AF206" s="113"/>
      <c r="AG206" s="113"/>
      <c r="AH206" s="113"/>
      <c r="AI206" s="113"/>
      <c r="AJ206" s="113"/>
      <c r="AK206" s="113"/>
      <c r="AL206" s="113" t="s">
        <v>1113</v>
      </c>
      <c r="AM206" s="113"/>
      <c r="AN206" s="113"/>
      <c r="AO206" s="44" t="s">
        <v>2334</v>
      </c>
      <c r="AP206" s="43"/>
      <c r="AQ206" s="236" t="str">
        <f>VLOOKUP(Table8[[#This Row],[Instrument]],Def_Targets!$D$73:$E$159,2,FALSE)</f>
        <v>S_Parking</v>
      </c>
      <c r="AR206" s="233" t="str">
        <f>VLOOKUP(Table8[[#This Row],[Country Code]],Table29[],3,FALSE)</f>
        <v>Non-Annex I</v>
      </c>
      <c r="AS206" s="233" t="str">
        <f>VLOOKUP(Table8[[#This Row],[Country Code]],Table29[],4,FALSE)</f>
        <v>Latin America and the Caribbean</v>
      </c>
      <c r="AT206" s="233" t="str">
        <f>VLOOKUP(Table8[[#This Row],[Country Code]],Table29[],5,FALSE)</f>
        <v>High-income</v>
      </c>
      <c r="AU206" s="233" t="str">
        <f>VLOOKUP(Table8[[#This Row],[Country Code]],Table29[],6,FALSE)</f>
        <v>no</v>
      </c>
      <c r="AV206" s="233" t="str">
        <f>VLOOKUP(Table8[[#This Row],[Country Code]],Table29[],7,FALSE)</f>
        <v>no</v>
      </c>
      <c r="AW206" s="233" t="str">
        <f>VLOOKUP(Table8[[#This Row],[Country Code]],Table29[],8,FALSE)</f>
        <v>non-OECD</v>
      </c>
      <c r="AX206" s="233" t="str">
        <f>VLOOKUP(Table8[[#This Row],[Country Code]],Table29[],9,FALSE)</f>
        <v>no</v>
      </c>
      <c r="AY206" s="233" t="str">
        <f>VLOOKUP(Table8[[#This Row],[Country Code]],Table29[],10,FALSE)</f>
        <v>no</v>
      </c>
      <c r="AZ206" s="235">
        <f>VLOOKUP(Table8[[#This Row],[Country Code]],Table29[],23,FALSE)</f>
        <v>0.98904380539195003</v>
      </c>
      <c r="BA206" s="235">
        <f>VLOOKUP(Table8[[#This Row],[Country Code]],Table29[],24,FALSE)</f>
        <v>0.25128029300322258</v>
      </c>
      <c r="BB206" s="320"/>
      <c r="BC206" s="320"/>
    </row>
    <row r="207" spans="1:55" s="17" customFormat="1" ht="45" hidden="1" x14ac:dyDescent="0.25">
      <c r="A207" s="373">
        <v>21371</v>
      </c>
      <c r="B207" s="233" t="str">
        <f>VLOOKUP(Table8[[#This Row],[Document ID]],Table1[],2,FALSE)</f>
        <v>BRB</v>
      </c>
      <c r="C207" s="233" t="str">
        <f>VLOOKUP(Table8[[#This Row],[Document ID]],Table1[],3,FALSE)</f>
        <v>Barbados</v>
      </c>
      <c r="D207" s="243" t="str">
        <f>VLOOKUP(Table8[[#This Row],[Document ID]],Table1[],5,FALSE)</f>
        <v>NDC</v>
      </c>
      <c r="E207" s="233" t="str">
        <f>VLOOKUP(Table8[[#This Row],[Document ID]],Table1[],7,FALSE)</f>
        <v>First NDC updated</v>
      </c>
      <c r="F207" s="233" t="str">
        <f>VLOOKUP(Table8[[#This Row],[Document ID]],Table1[],8,FALSE)</f>
        <v>NDC 1.1</v>
      </c>
      <c r="G207" s="233" t="str">
        <f>VLOOKUP(Table8[[#This Row],[Document ID]],Table1[],10,FALSE)</f>
        <v>Active</v>
      </c>
      <c r="H207" s="43" t="s">
        <v>2343</v>
      </c>
      <c r="I207" s="43" t="s">
        <v>2344</v>
      </c>
      <c r="J207" s="44" t="s">
        <v>2345</v>
      </c>
      <c r="K207" s="44" t="s">
        <v>2583</v>
      </c>
      <c r="L207" s="44" t="s">
        <v>2373</v>
      </c>
      <c r="M207" s="43">
        <v>17</v>
      </c>
      <c r="N207" s="113" t="s">
        <v>1113</v>
      </c>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t="s">
        <v>1113</v>
      </c>
      <c r="AM207" s="113"/>
      <c r="AN207" s="113"/>
      <c r="AO207" s="43" t="s">
        <v>2348</v>
      </c>
      <c r="AP207" s="43"/>
      <c r="AQ207" s="236" t="str">
        <f>VLOOKUP(Table8[[#This Row],[Instrument]],Def_Targets!$D$73:$E$159,2,FALSE)</f>
        <v>S_PublicTransport</v>
      </c>
      <c r="AR207" s="233" t="str">
        <f>VLOOKUP(Table8[[#This Row],[Country Code]],Table29[],3,FALSE)</f>
        <v>Non-Annex I</v>
      </c>
      <c r="AS207" s="233" t="str">
        <f>VLOOKUP(Table8[[#This Row],[Country Code]],Table29[],4,FALSE)</f>
        <v>Latin America and the Caribbean</v>
      </c>
      <c r="AT207" s="233" t="str">
        <f>VLOOKUP(Table8[[#This Row],[Country Code]],Table29[],5,FALSE)</f>
        <v>High-income</v>
      </c>
      <c r="AU207" s="233" t="str">
        <f>VLOOKUP(Table8[[#This Row],[Country Code]],Table29[],6,FALSE)</f>
        <v>no</v>
      </c>
      <c r="AV207" s="233" t="str">
        <f>VLOOKUP(Table8[[#This Row],[Country Code]],Table29[],7,FALSE)</f>
        <v>no</v>
      </c>
      <c r="AW207" s="233" t="str">
        <f>VLOOKUP(Table8[[#This Row],[Country Code]],Table29[],8,FALSE)</f>
        <v>non-OECD</v>
      </c>
      <c r="AX207" s="233" t="str">
        <f>VLOOKUP(Table8[[#This Row],[Country Code]],Table29[],9,FALSE)</f>
        <v>no</v>
      </c>
      <c r="AY207" s="233" t="str">
        <f>VLOOKUP(Table8[[#This Row],[Country Code]],Table29[],10,FALSE)</f>
        <v>no</v>
      </c>
      <c r="AZ207" s="235">
        <f>VLOOKUP(Table8[[#This Row],[Country Code]],Table29[],23,FALSE)</f>
        <v>0.98904380539195003</v>
      </c>
      <c r="BA207" s="235">
        <f>VLOOKUP(Table8[[#This Row],[Country Code]],Table29[],24,FALSE)</f>
        <v>0.25128029300322258</v>
      </c>
      <c r="BB207" s="320"/>
      <c r="BC207" s="320"/>
    </row>
    <row r="208" spans="1:55" s="17" customFormat="1" ht="45" hidden="1" x14ac:dyDescent="0.25">
      <c r="A208" s="373">
        <v>21371</v>
      </c>
      <c r="B208" s="233" t="str">
        <f>VLOOKUP(Table8[[#This Row],[Document ID]],Table1[],2,FALSE)</f>
        <v>BRB</v>
      </c>
      <c r="C208" s="233" t="str">
        <f>VLOOKUP(Table8[[#This Row],[Document ID]],Table1[],3,FALSE)</f>
        <v>Barbados</v>
      </c>
      <c r="D208" s="243" t="str">
        <f>VLOOKUP(Table8[[#This Row],[Document ID]],Table1[],5,FALSE)</f>
        <v>NDC</v>
      </c>
      <c r="E208" s="233" t="str">
        <f>VLOOKUP(Table8[[#This Row],[Document ID]],Table1[],7,FALSE)</f>
        <v>First NDC updated</v>
      </c>
      <c r="F208" s="233" t="str">
        <f>VLOOKUP(Table8[[#This Row],[Document ID]],Table1[],8,FALSE)</f>
        <v>NDC 1.1</v>
      </c>
      <c r="G208" s="233" t="str">
        <f>VLOOKUP(Table8[[#This Row],[Document ID]],Table1[],10,FALSE)</f>
        <v>Active</v>
      </c>
      <c r="H208" s="43" t="s">
        <v>2343</v>
      </c>
      <c r="I208" s="43" t="s">
        <v>2377</v>
      </c>
      <c r="J208" s="44" t="s">
        <v>2394</v>
      </c>
      <c r="K208" s="44" t="s">
        <v>2583</v>
      </c>
      <c r="L208" s="44" t="s">
        <v>2396</v>
      </c>
      <c r="M208" s="43">
        <v>17</v>
      </c>
      <c r="N208" s="113" t="s">
        <v>1113</v>
      </c>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t="s">
        <v>1113</v>
      </c>
      <c r="AM208" s="113"/>
      <c r="AN208" s="113"/>
      <c r="AO208" s="44" t="s">
        <v>2334</v>
      </c>
      <c r="AP208" s="43"/>
      <c r="AQ208" s="236" t="str">
        <f>VLOOKUP(Table8[[#This Row],[Instrument]],Def_Targets!$D$73:$E$159,2,FALSE)</f>
        <v>A_TDM</v>
      </c>
      <c r="AR208" s="233" t="str">
        <f>VLOOKUP(Table8[[#This Row],[Country Code]],Table29[],3,FALSE)</f>
        <v>Non-Annex I</v>
      </c>
      <c r="AS208" s="233" t="str">
        <f>VLOOKUP(Table8[[#This Row],[Country Code]],Table29[],4,FALSE)</f>
        <v>Latin America and the Caribbean</v>
      </c>
      <c r="AT208" s="233" t="str">
        <f>VLOOKUP(Table8[[#This Row],[Country Code]],Table29[],5,FALSE)</f>
        <v>High-income</v>
      </c>
      <c r="AU208" s="233" t="str">
        <f>VLOOKUP(Table8[[#This Row],[Country Code]],Table29[],6,FALSE)</f>
        <v>no</v>
      </c>
      <c r="AV208" s="233" t="str">
        <f>VLOOKUP(Table8[[#This Row],[Country Code]],Table29[],7,FALSE)</f>
        <v>no</v>
      </c>
      <c r="AW208" s="233" t="str">
        <f>VLOOKUP(Table8[[#This Row],[Country Code]],Table29[],8,FALSE)</f>
        <v>non-OECD</v>
      </c>
      <c r="AX208" s="233" t="str">
        <f>VLOOKUP(Table8[[#This Row],[Country Code]],Table29[],9,FALSE)</f>
        <v>no</v>
      </c>
      <c r="AY208" s="233" t="str">
        <f>VLOOKUP(Table8[[#This Row],[Country Code]],Table29[],10,FALSE)</f>
        <v>no</v>
      </c>
      <c r="AZ208" s="235">
        <f>VLOOKUP(Table8[[#This Row],[Country Code]],Table29[],23,FALSE)</f>
        <v>0.98904380539195003</v>
      </c>
      <c r="BA208" s="235">
        <f>VLOOKUP(Table8[[#This Row],[Country Code]],Table29[],24,FALSE)</f>
        <v>0.25128029300322258</v>
      </c>
      <c r="BB208" s="320"/>
      <c r="BC208" s="320"/>
    </row>
    <row r="209" spans="1:55" s="17" customFormat="1" ht="75" hidden="1" x14ac:dyDescent="0.25">
      <c r="A209" s="373">
        <v>21371</v>
      </c>
      <c r="B209" s="233" t="str">
        <f>VLOOKUP(Table8[[#This Row],[Document ID]],Table1[],2,FALSE)</f>
        <v>BRB</v>
      </c>
      <c r="C209" s="233" t="str">
        <f>VLOOKUP(Table8[[#This Row],[Document ID]],Table1[],3,FALSE)</f>
        <v>Barbados</v>
      </c>
      <c r="D209" s="243" t="str">
        <f>VLOOKUP(Table8[[#This Row],[Document ID]],Table1[],5,FALSE)</f>
        <v>NDC</v>
      </c>
      <c r="E209" s="233" t="str">
        <f>VLOOKUP(Table8[[#This Row],[Document ID]],Table1[],7,FALSE)</f>
        <v>First NDC updated</v>
      </c>
      <c r="F209" s="233" t="str">
        <f>VLOOKUP(Table8[[#This Row],[Document ID]],Table1[],8,FALSE)</f>
        <v>NDC 1.1</v>
      </c>
      <c r="G209" s="233" t="str">
        <f>VLOOKUP(Table8[[#This Row],[Document ID]],Table1[],10,FALSE)</f>
        <v>Active</v>
      </c>
      <c r="H209" s="43" t="s">
        <v>2343</v>
      </c>
      <c r="I209" s="43" t="s">
        <v>2386</v>
      </c>
      <c r="J209" s="44" t="s">
        <v>2412</v>
      </c>
      <c r="K209" s="44" t="s">
        <v>2584</v>
      </c>
      <c r="L209" s="44" t="s">
        <v>2373</v>
      </c>
      <c r="M209" s="43">
        <v>17</v>
      </c>
      <c r="N209" s="113" t="s">
        <v>1113</v>
      </c>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t="s">
        <v>1113</v>
      </c>
      <c r="AL209" s="113"/>
      <c r="AM209" s="113"/>
      <c r="AN209" s="113"/>
      <c r="AO209" s="44" t="s">
        <v>2334</v>
      </c>
      <c r="AP209" s="43"/>
      <c r="AQ209" s="236" t="str">
        <f>VLOOKUP(Table8[[#This Row],[Instrument]],Def_Targets!$D$73:$E$159,2,FALSE)</f>
        <v>A_Economic</v>
      </c>
      <c r="AR209" s="233" t="str">
        <f>VLOOKUP(Table8[[#This Row],[Country Code]],Table29[],3,FALSE)</f>
        <v>Non-Annex I</v>
      </c>
      <c r="AS209" s="233" t="str">
        <f>VLOOKUP(Table8[[#This Row],[Country Code]],Table29[],4,FALSE)</f>
        <v>Latin America and the Caribbean</v>
      </c>
      <c r="AT209" s="233" t="str">
        <f>VLOOKUP(Table8[[#This Row],[Country Code]],Table29[],5,FALSE)</f>
        <v>High-income</v>
      </c>
      <c r="AU209" s="233" t="str">
        <f>VLOOKUP(Table8[[#This Row],[Country Code]],Table29[],6,FALSE)</f>
        <v>no</v>
      </c>
      <c r="AV209" s="233" t="str">
        <f>VLOOKUP(Table8[[#This Row],[Country Code]],Table29[],7,FALSE)</f>
        <v>no</v>
      </c>
      <c r="AW209" s="233" t="str">
        <f>VLOOKUP(Table8[[#This Row],[Country Code]],Table29[],8,FALSE)</f>
        <v>non-OECD</v>
      </c>
      <c r="AX209" s="233" t="str">
        <f>VLOOKUP(Table8[[#This Row],[Country Code]],Table29[],9,FALSE)</f>
        <v>no</v>
      </c>
      <c r="AY209" s="233" t="str">
        <f>VLOOKUP(Table8[[#This Row],[Country Code]],Table29[],10,FALSE)</f>
        <v>no</v>
      </c>
      <c r="AZ209" s="235">
        <f>VLOOKUP(Table8[[#This Row],[Country Code]],Table29[],23,FALSE)</f>
        <v>0.98904380539195003</v>
      </c>
      <c r="BA209" s="235">
        <f>VLOOKUP(Table8[[#This Row],[Country Code]],Table29[],24,FALSE)</f>
        <v>0.25128029300322258</v>
      </c>
      <c r="BB209" s="320"/>
      <c r="BC209" s="320"/>
    </row>
    <row r="210" spans="1:55" ht="30" hidden="1" x14ac:dyDescent="0.25">
      <c r="A210" s="373">
        <v>21371</v>
      </c>
      <c r="B210" s="233" t="str">
        <f>VLOOKUP(Table8[[#This Row],[Document ID]],Table1[],2,FALSE)</f>
        <v>BRB</v>
      </c>
      <c r="C210" s="233" t="str">
        <f>VLOOKUP(Table8[[#This Row],[Document ID]],Table1[],3,FALSE)</f>
        <v>Barbados</v>
      </c>
      <c r="D210" s="243" t="str">
        <f>VLOOKUP(Table8[[#This Row],[Document ID]],Table1[],5,FALSE)</f>
        <v>NDC</v>
      </c>
      <c r="E210" s="233" t="str">
        <f>VLOOKUP(Table8[[#This Row],[Document ID]],Table1[],7,FALSE)</f>
        <v>First NDC updated</v>
      </c>
      <c r="F210" s="233" t="str">
        <f>VLOOKUP(Table8[[#This Row],[Document ID]],Table1[],8,FALSE)</f>
        <v>NDC 1.1</v>
      </c>
      <c r="G210" s="233" t="str">
        <f>VLOOKUP(Table8[[#This Row],[Document ID]],Table1[],10,FALSE)</f>
        <v>Active</v>
      </c>
      <c r="H210" s="44" t="s">
        <v>2329</v>
      </c>
      <c r="I210" s="44" t="s">
        <v>2330</v>
      </c>
      <c r="J210" s="44" t="s">
        <v>2381</v>
      </c>
      <c r="K210" s="44" t="s">
        <v>2585</v>
      </c>
      <c r="L210" s="44" t="s">
        <v>2333</v>
      </c>
      <c r="M210" s="43">
        <v>17</v>
      </c>
      <c r="N210" s="113"/>
      <c r="O210" s="113"/>
      <c r="P210" s="113"/>
      <c r="Q210" s="113"/>
      <c r="R210" s="113"/>
      <c r="S210" s="113" t="s">
        <v>1113</v>
      </c>
      <c r="T210" s="113"/>
      <c r="U210" s="113" t="s">
        <v>1113</v>
      </c>
      <c r="V210" s="113"/>
      <c r="W210" s="113"/>
      <c r="X210" s="113"/>
      <c r="Y210" s="113" t="s">
        <v>1113</v>
      </c>
      <c r="Z210" s="113"/>
      <c r="AA210" s="113"/>
      <c r="AB210" s="113"/>
      <c r="AC210" s="113"/>
      <c r="AD210" s="113"/>
      <c r="AE210" s="113"/>
      <c r="AF210" s="113"/>
      <c r="AG210" s="113"/>
      <c r="AH210" s="113"/>
      <c r="AI210" s="113"/>
      <c r="AJ210" s="113"/>
      <c r="AK210" s="113" t="s">
        <v>1113</v>
      </c>
      <c r="AL210" s="113"/>
      <c r="AM210" s="113"/>
      <c r="AN210" s="113"/>
      <c r="AO210" s="43" t="s">
        <v>2477</v>
      </c>
      <c r="AP210" s="43"/>
      <c r="AQ210" s="236" t="str">
        <f>VLOOKUP(Table8[[#This Row],[Instrument]],Def_Targets!$D$73:$E$159,2,FALSE)</f>
        <v>I_RE</v>
      </c>
      <c r="AR210" s="233" t="str">
        <f>VLOOKUP(Table8[[#This Row],[Country Code]],Table29[],3,FALSE)</f>
        <v>Non-Annex I</v>
      </c>
      <c r="AS210" s="233" t="str">
        <f>VLOOKUP(Table8[[#This Row],[Country Code]],Table29[],4,FALSE)</f>
        <v>Latin America and the Caribbean</v>
      </c>
      <c r="AT210" s="233" t="str">
        <f>VLOOKUP(Table8[[#This Row],[Country Code]],Table29[],5,FALSE)</f>
        <v>High-income</v>
      </c>
      <c r="AU210" s="233" t="str">
        <f>VLOOKUP(Table8[[#This Row],[Country Code]],Table29[],6,FALSE)</f>
        <v>no</v>
      </c>
      <c r="AV210" s="233" t="str">
        <f>VLOOKUP(Table8[[#This Row],[Country Code]],Table29[],7,FALSE)</f>
        <v>no</v>
      </c>
      <c r="AW210" s="233" t="str">
        <f>VLOOKUP(Table8[[#This Row],[Country Code]],Table29[],8,FALSE)</f>
        <v>non-OECD</v>
      </c>
      <c r="AX210" s="233" t="str">
        <f>VLOOKUP(Table8[[#This Row],[Country Code]],Table29[],9,FALSE)</f>
        <v>no</v>
      </c>
      <c r="AY210" s="233" t="str">
        <f>VLOOKUP(Table8[[#This Row],[Country Code]],Table29[],10,FALSE)</f>
        <v>no</v>
      </c>
      <c r="AZ210" s="235">
        <f>VLOOKUP(Table8[[#This Row],[Country Code]],Table29[],23,FALSE)</f>
        <v>0.98904380539195003</v>
      </c>
      <c r="BA210" s="235">
        <f>VLOOKUP(Table8[[#This Row],[Country Code]],Table29[],24,FALSE)</f>
        <v>0.25128029300322258</v>
      </c>
      <c r="BB210" s="320"/>
      <c r="BC210" s="320"/>
    </row>
    <row r="211" spans="1:55" ht="45" hidden="1" x14ac:dyDescent="0.25">
      <c r="A211" s="373">
        <v>24678</v>
      </c>
      <c r="B211" s="233" t="str">
        <f>VLOOKUP(Table8[[#This Row],[Document ID]],Table1[],2,FALSE)</f>
        <v>AUT</v>
      </c>
      <c r="C211" s="233" t="str">
        <f>VLOOKUP(Table8[[#This Row],[Document ID]],Table1[],3,FALSE)</f>
        <v>Austria</v>
      </c>
      <c r="D211" s="243" t="str">
        <f>VLOOKUP(Table8[[#This Row],[Document ID]],Table1[],5,FALSE)</f>
        <v>LTS</v>
      </c>
      <c r="E211" s="233" t="str">
        <f>VLOOKUP(Table8[[#This Row],[Document ID]],Table1[],7,FALSE)</f>
        <v>LTS</v>
      </c>
      <c r="F211" s="233" t="str">
        <f>VLOOKUP(Table8[[#This Row],[Document ID]],Table1[],8,FALSE)</f>
        <v>LTS 1.0</v>
      </c>
      <c r="G211" s="233" t="str">
        <f>VLOOKUP(Table8[[#This Row],[Document ID]],Table1[],10,FALSE)</f>
        <v>Active</v>
      </c>
      <c r="H211" s="43" t="s">
        <v>2343</v>
      </c>
      <c r="I211" s="43" t="s">
        <v>2429</v>
      </c>
      <c r="J211" s="44" t="s">
        <v>2513</v>
      </c>
      <c r="K211" s="44" t="s">
        <v>2586</v>
      </c>
      <c r="L211" s="44" t="s">
        <v>2373</v>
      </c>
      <c r="M211" s="43">
        <v>49</v>
      </c>
      <c r="N211" s="113"/>
      <c r="O211" s="113"/>
      <c r="P211" s="113"/>
      <c r="Q211" s="113"/>
      <c r="R211" s="113"/>
      <c r="S211" s="113"/>
      <c r="T211" s="113"/>
      <c r="U211" s="113"/>
      <c r="V211" s="113"/>
      <c r="W211" s="113"/>
      <c r="X211" s="113"/>
      <c r="Y211" s="113" t="s">
        <v>1113</v>
      </c>
      <c r="Z211" s="113"/>
      <c r="AA211" s="113"/>
      <c r="AB211" s="113"/>
      <c r="AC211" s="113"/>
      <c r="AD211" s="113"/>
      <c r="AE211" s="113"/>
      <c r="AF211" s="113"/>
      <c r="AG211" s="113"/>
      <c r="AH211" s="113"/>
      <c r="AI211" s="113"/>
      <c r="AJ211" s="113"/>
      <c r="AK211" s="319" t="s">
        <v>1113</v>
      </c>
      <c r="AL211" s="113"/>
      <c r="AM211" s="113"/>
      <c r="AN211" s="113"/>
      <c r="AO211" s="43" t="s">
        <v>2348</v>
      </c>
      <c r="AP211" s="43"/>
      <c r="AQ211" s="236" t="str">
        <f>VLOOKUP(Table8[[#This Row],[Instrument]],Def_Targets!$D$73:$E$159,2,FALSE)</f>
        <v>S_Sharedmob</v>
      </c>
      <c r="AR211" s="233" t="str">
        <f>VLOOKUP(Table8[[#This Row],[Country Code]],Table29[],3,FALSE)</f>
        <v>Annex I</v>
      </c>
      <c r="AS211" s="233" t="str">
        <f>VLOOKUP(Table8[[#This Row],[Country Code]],Table29[],4,FALSE)</f>
        <v>Europe</v>
      </c>
      <c r="AT211" s="233" t="str">
        <f>VLOOKUP(Table8[[#This Row],[Country Code]],Table29[],5,FALSE)</f>
        <v>High-income</v>
      </c>
      <c r="AU211" s="233" t="str">
        <f>VLOOKUP(Table8[[#This Row],[Country Code]],Table29[],6,FALSE)</f>
        <v>no</v>
      </c>
      <c r="AV211" s="233" t="str">
        <f>VLOOKUP(Table8[[#This Row],[Country Code]],Table29[],7,FALSE)</f>
        <v>no</v>
      </c>
      <c r="AW211" s="233" t="str">
        <f>VLOOKUP(Table8[[#This Row],[Country Code]],Table29[],8,FALSE)</f>
        <v>OECD</v>
      </c>
      <c r="AX211" s="233" t="str">
        <f>VLOOKUP(Table8[[#This Row],[Country Code]],Table29[],9,FALSE)</f>
        <v>EU27</v>
      </c>
      <c r="AY211" s="233" t="str">
        <f>VLOOKUP(Table8[[#This Row],[Country Code]],Table29[],10,FALSE)</f>
        <v>no</v>
      </c>
      <c r="AZ211" s="235">
        <f>VLOOKUP(Table8[[#This Row],[Country Code]],Table29[],23,FALSE)</f>
        <v>72.921492529811999</v>
      </c>
      <c r="BA211" s="235">
        <f>VLOOKUP(Table8[[#This Row],[Country Code]],Table29[],24,FALSE)</f>
        <v>21.372731064834241</v>
      </c>
      <c r="BB211" s="320"/>
      <c r="BC211" s="320"/>
    </row>
    <row r="212" spans="1:55" ht="45" hidden="1" x14ac:dyDescent="0.25">
      <c r="A212" s="373">
        <v>24678</v>
      </c>
      <c r="B212" s="233" t="str">
        <f>VLOOKUP(Table8[[#This Row],[Document ID]],Table1[],2,FALSE)</f>
        <v>AUT</v>
      </c>
      <c r="C212" s="233" t="str">
        <f>VLOOKUP(Table8[[#This Row],[Document ID]],Table1[],3,FALSE)</f>
        <v>Austria</v>
      </c>
      <c r="D212" s="243" t="str">
        <f>VLOOKUP(Table8[[#This Row],[Document ID]],Table1[],5,FALSE)</f>
        <v>LTS</v>
      </c>
      <c r="E212" s="233" t="str">
        <f>VLOOKUP(Table8[[#This Row],[Document ID]],Table1[],7,FALSE)</f>
        <v>LTS</v>
      </c>
      <c r="F212" s="233" t="str">
        <f>VLOOKUP(Table8[[#This Row],[Document ID]],Table1[],8,FALSE)</f>
        <v>LTS 1.0</v>
      </c>
      <c r="G212" s="233" t="str">
        <f>VLOOKUP(Table8[[#This Row],[Document ID]],Table1[],10,FALSE)</f>
        <v>Active</v>
      </c>
      <c r="H212" s="43" t="s">
        <v>2358</v>
      </c>
      <c r="I212" s="43" t="s">
        <v>2359</v>
      </c>
      <c r="J212" s="44" t="s">
        <v>2360</v>
      </c>
      <c r="K212" s="44" t="s">
        <v>2586</v>
      </c>
      <c r="L212" s="44" t="s">
        <v>2333</v>
      </c>
      <c r="M212" s="43">
        <v>49</v>
      </c>
      <c r="N212" s="113"/>
      <c r="O212" s="113"/>
      <c r="P212" s="113"/>
      <c r="Q212" s="113"/>
      <c r="R212" s="113"/>
      <c r="S212" s="113"/>
      <c r="T212" s="113"/>
      <c r="U212" s="113"/>
      <c r="V212" s="113"/>
      <c r="W212" s="113" t="s">
        <v>1113</v>
      </c>
      <c r="X212" s="113"/>
      <c r="Y212" s="113"/>
      <c r="Z212" s="113"/>
      <c r="AA212" s="113"/>
      <c r="AB212" s="113"/>
      <c r="AC212" s="113"/>
      <c r="AD212" s="113"/>
      <c r="AE212" s="113"/>
      <c r="AF212" s="113"/>
      <c r="AG212" s="113"/>
      <c r="AH212" s="113"/>
      <c r="AI212" s="113"/>
      <c r="AJ212" s="113"/>
      <c r="AK212" s="319" t="s">
        <v>1113</v>
      </c>
      <c r="AL212" s="113"/>
      <c r="AM212" s="113"/>
      <c r="AN212" s="113"/>
      <c r="AO212" s="43" t="s">
        <v>2348</v>
      </c>
      <c r="AP212" s="43"/>
      <c r="AQ212" s="236" t="str">
        <f>VLOOKUP(Table8[[#This Row],[Instrument]],Def_Targets!$D$73:$E$159,2,FALSE)</f>
        <v>I_Emobility</v>
      </c>
      <c r="AR212" s="233" t="str">
        <f>VLOOKUP(Table8[[#This Row],[Country Code]],Table29[],3,FALSE)</f>
        <v>Annex I</v>
      </c>
      <c r="AS212" s="233" t="str">
        <f>VLOOKUP(Table8[[#This Row],[Country Code]],Table29[],4,FALSE)</f>
        <v>Europe</v>
      </c>
      <c r="AT212" s="233" t="str">
        <f>VLOOKUP(Table8[[#This Row],[Country Code]],Table29[],5,FALSE)</f>
        <v>High-income</v>
      </c>
      <c r="AU212" s="233" t="str">
        <f>VLOOKUP(Table8[[#This Row],[Country Code]],Table29[],6,FALSE)</f>
        <v>no</v>
      </c>
      <c r="AV212" s="233" t="str">
        <f>VLOOKUP(Table8[[#This Row],[Country Code]],Table29[],7,FALSE)</f>
        <v>no</v>
      </c>
      <c r="AW212" s="233" t="str">
        <f>VLOOKUP(Table8[[#This Row],[Country Code]],Table29[],8,FALSE)</f>
        <v>OECD</v>
      </c>
      <c r="AX212" s="233" t="str">
        <f>VLOOKUP(Table8[[#This Row],[Country Code]],Table29[],9,FALSE)</f>
        <v>EU27</v>
      </c>
      <c r="AY212" s="233" t="str">
        <f>VLOOKUP(Table8[[#This Row],[Country Code]],Table29[],10,FALSE)</f>
        <v>no</v>
      </c>
      <c r="AZ212" s="235">
        <f>VLOOKUP(Table8[[#This Row],[Country Code]],Table29[],23,FALSE)</f>
        <v>72.921492529811999</v>
      </c>
      <c r="BA212" s="235">
        <f>VLOOKUP(Table8[[#This Row],[Country Code]],Table29[],24,FALSE)</f>
        <v>21.372731064834241</v>
      </c>
      <c r="BB212" s="320"/>
      <c r="BC212" s="320"/>
    </row>
    <row r="213" spans="1:55" ht="45" hidden="1" x14ac:dyDescent="0.25">
      <c r="A213" s="373">
        <v>24678</v>
      </c>
      <c r="B213" s="233" t="str">
        <f>VLOOKUP(Table8[[#This Row],[Document ID]],Table1[],2,FALSE)</f>
        <v>AUT</v>
      </c>
      <c r="C213" s="233" t="str">
        <f>VLOOKUP(Table8[[#This Row],[Document ID]],Table1[],3,FALSE)</f>
        <v>Austria</v>
      </c>
      <c r="D213" s="243" t="str">
        <f>VLOOKUP(Table8[[#This Row],[Document ID]],Table1[],5,FALSE)</f>
        <v>LTS</v>
      </c>
      <c r="E213" s="233" t="str">
        <f>VLOOKUP(Table8[[#This Row],[Document ID]],Table1[],7,FALSE)</f>
        <v>LTS</v>
      </c>
      <c r="F213" s="233" t="str">
        <f>VLOOKUP(Table8[[#This Row],[Document ID]],Table1[],8,FALSE)</f>
        <v>LTS 1.0</v>
      </c>
      <c r="G213" s="233" t="str">
        <f>VLOOKUP(Table8[[#This Row],[Document ID]],Table1[],10,FALSE)</f>
        <v>Active</v>
      </c>
      <c r="H213" s="43" t="s">
        <v>2343</v>
      </c>
      <c r="I213" s="43" t="s">
        <v>2429</v>
      </c>
      <c r="J213" s="44" t="s">
        <v>2513</v>
      </c>
      <c r="K213" s="44" t="s">
        <v>2586</v>
      </c>
      <c r="L213" s="44" t="s">
        <v>2373</v>
      </c>
      <c r="M213" s="43">
        <v>49</v>
      </c>
      <c r="N213" s="113"/>
      <c r="O213" s="113"/>
      <c r="P213" s="113"/>
      <c r="Q213" s="113"/>
      <c r="R213" s="113"/>
      <c r="S213" s="113" t="s">
        <v>1113</v>
      </c>
      <c r="T213" s="113"/>
      <c r="U213" s="113"/>
      <c r="V213" s="113"/>
      <c r="W213" s="113"/>
      <c r="X213" s="113"/>
      <c r="Y213" s="113"/>
      <c r="Z213" s="113"/>
      <c r="AA213" s="113"/>
      <c r="AB213" s="113"/>
      <c r="AC213" s="113"/>
      <c r="AD213" s="113"/>
      <c r="AE213" s="113"/>
      <c r="AF213" s="113"/>
      <c r="AG213" s="113"/>
      <c r="AH213" s="113"/>
      <c r="AI213" s="113"/>
      <c r="AJ213" s="113"/>
      <c r="AK213" s="319" t="s">
        <v>1113</v>
      </c>
      <c r="AL213" s="113"/>
      <c r="AM213" s="113"/>
      <c r="AN213" s="113"/>
      <c r="AO213" s="44" t="s">
        <v>2334</v>
      </c>
      <c r="AP213" s="43"/>
      <c r="AQ213" s="236" t="str">
        <f>VLOOKUP(Table8[[#This Row],[Instrument]],Def_Targets!$D$73:$E$159,2,FALSE)</f>
        <v>S_Sharedmob</v>
      </c>
      <c r="AR213" s="233" t="str">
        <f>VLOOKUP(Table8[[#This Row],[Country Code]],Table29[],3,FALSE)</f>
        <v>Annex I</v>
      </c>
      <c r="AS213" s="233" t="str">
        <f>VLOOKUP(Table8[[#This Row],[Country Code]],Table29[],4,FALSE)</f>
        <v>Europe</v>
      </c>
      <c r="AT213" s="233" t="str">
        <f>VLOOKUP(Table8[[#This Row],[Country Code]],Table29[],5,FALSE)</f>
        <v>High-income</v>
      </c>
      <c r="AU213" s="233" t="str">
        <f>VLOOKUP(Table8[[#This Row],[Country Code]],Table29[],6,FALSE)</f>
        <v>no</v>
      </c>
      <c r="AV213" s="233" t="str">
        <f>VLOOKUP(Table8[[#This Row],[Country Code]],Table29[],7,FALSE)</f>
        <v>no</v>
      </c>
      <c r="AW213" s="233" t="str">
        <f>VLOOKUP(Table8[[#This Row],[Country Code]],Table29[],8,FALSE)</f>
        <v>OECD</v>
      </c>
      <c r="AX213" s="233" t="str">
        <f>VLOOKUP(Table8[[#This Row],[Country Code]],Table29[],9,FALSE)</f>
        <v>EU27</v>
      </c>
      <c r="AY213" s="233" t="str">
        <f>VLOOKUP(Table8[[#This Row],[Country Code]],Table29[],10,FALSE)</f>
        <v>no</v>
      </c>
      <c r="AZ213" s="235">
        <f>VLOOKUP(Table8[[#This Row],[Country Code]],Table29[],23,FALSE)</f>
        <v>72.921492529811999</v>
      </c>
      <c r="BA213" s="235">
        <f>VLOOKUP(Table8[[#This Row],[Country Code]],Table29[],24,FALSE)</f>
        <v>21.372731064834241</v>
      </c>
      <c r="BB213" s="320"/>
      <c r="BC213" s="320"/>
    </row>
    <row r="214" spans="1:55" ht="45" hidden="1" x14ac:dyDescent="0.25">
      <c r="A214" s="373">
        <v>24678</v>
      </c>
      <c r="B214" s="233" t="str">
        <f>VLOOKUP(Table8[[#This Row],[Document ID]],Table1[],2,FALSE)</f>
        <v>AUT</v>
      </c>
      <c r="C214" s="233" t="str">
        <f>VLOOKUP(Table8[[#This Row],[Document ID]],Table1[],3,FALSE)</f>
        <v>Austria</v>
      </c>
      <c r="D214" s="243" t="str">
        <f>VLOOKUP(Table8[[#This Row],[Document ID]],Table1[],5,FALSE)</f>
        <v>LTS</v>
      </c>
      <c r="E214" s="233" t="str">
        <f>VLOOKUP(Table8[[#This Row],[Document ID]],Table1[],7,FALSE)</f>
        <v>LTS</v>
      </c>
      <c r="F214" s="233" t="str">
        <f>VLOOKUP(Table8[[#This Row],[Document ID]],Table1[],8,FALSE)</f>
        <v>LTS 1.0</v>
      </c>
      <c r="G214" s="233" t="str">
        <f>VLOOKUP(Table8[[#This Row],[Document ID]],Table1[],10,FALSE)</f>
        <v>Active</v>
      </c>
      <c r="H214" s="43" t="s">
        <v>2343</v>
      </c>
      <c r="I214" s="43" t="s">
        <v>2344</v>
      </c>
      <c r="J214" s="44" t="s">
        <v>2405</v>
      </c>
      <c r="K214" s="44" t="s">
        <v>2586</v>
      </c>
      <c r="L214" s="44" t="s">
        <v>2347</v>
      </c>
      <c r="M214" s="43">
        <v>49</v>
      </c>
      <c r="N214" s="113"/>
      <c r="O214" s="113"/>
      <c r="P214" s="113"/>
      <c r="Q214" s="113"/>
      <c r="R214" s="113"/>
      <c r="S214" s="113"/>
      <c r="T214" s="113"/>
      <c r="U214" s="113"/>
      <c r="V214" s="113"/>
      <c r="W214" s="113"/>
      <c r="X214" s="113"/>
      <c r="Y214" s="113" t="s">
        <v>1113</v>
      </c>
      <c r="Z214" s="113"/>
      <c r="AA214" s="113"/>
      <c r="AB214" s="113"/>
      <c r="AC214" s="113" t="s">
        <v>1113</v>
      </c>
      <c r="AD214" s="113"/>
      <c r="AE214" s="113"/>
      <c r="AF214" s="113"/>
      <c r="AG214" s="113"/>
      <c r="AH214" s="113"/>
      <c r="AI214" s="113"/>
      <c r="AJ214" s="113"/>
      <c r="AK214" s="319" t="s">
        <v>1113</v>
      </c>
      <c r="AL214" s="113"/>
      <c r="AM214" s="113"/>
      <c r="AN214" s="113"/>
      <c r="AO214" s="43" t="s">
        <v>2348</v>
      </c>
      <c r="AP214" s="43"/>
      <c r="AQ214" s="236" t="str">
        <f>VLOOKUP(Table8[[#This Row],[Instrument]],Def_Targets!$D$73:$E$159,2,FALSE)</f>
        <v>S_PTIntegration</v>
      </c>
      <c r="AR214" s="233" t="str">
        <f>VLOOKUP(Table8[[#This Row],[Country Code]],Table29[],3,FALSE)</f>
        <v>Annex I</v>
      </c>
      <c r="AS214" s="233" t="str">
        <f>VLOOKUP(Table8[[#This Row],[Country Code]],Table29[],4,FALSE)</f>
        <v>Europe</v>
      </c>
      <c r="AT214" s="233" t="str">
        <f>VLOOKUP(Table8[[#This Row],[Country Code]],Table29[],5,FALSE)</f>
        <v>High-income</v>
      </c>
      <c r="AU214" s="233" t="str">
        <f>VLOOKUP(Table8[[#This Row],[Country Code]],Table29[],6,FALSE)</f>
        <v>no</v>
      </c>
      <c r="AV214" s="233" t="str">
        <f>VLOOKUP(Table8[[#This Row],[Country Code]],Table29[],7,FALSE)</f>
        <v>no</v>
      </c>
      <c r="AW214" s="233" t="str">
        <f>VLOOKUP(Table8[[#This Row],[Country Code]],Table29[],8,FALSE)</f>
        <v>OECD</v>
      </c>
      <c r="AX214" s="233" t="str">
        <f>VLOOKUP(Table8[[#This Row],[Country Code]],Table29[],9,FALSE)</f>
        <v>EU27</v>
      </c>
      <c r="AY214" s="233" t="str">
        <f>VLOOKUP(Table8[[#This Row],[Country Code]],Table29[],10,FALSE)</f>
        <v>no</v>
      </c>
      <c r="AZ214" s="235">
        <f>VLOOKUP(Table8[[#This Row],[Country Code]],Table29[],23,FALSE)</f>
        <v>72.921492529811999</v>
      </c>
      <c r="BA214" s="235">
        <f>VLOOKUP(Table8[[#This Row],[Country Code]],Table29[],24,FALSE)</f>
        <v>21.372731064834241</v>
      </c>
      <c r="BB214" s="320"/>
      <c r="BC214" s="320"/>
    </row>
    <row r="215" spans="1:55" ht="45" hidden="1" x14ac:dyDescent="0.25">
      <c r="A215" s="373">
        <v>24678</v>
      </c>
      <c r="B215" s="233" t="str">
        <f>VLOOKUP(Table8[[#This Row],[Document ID]],Table1[],2,FALSE)</f>
        <v>AUT</v>
      </c>
      <c r="C215" s="233" t="str">
        <f>VLOOKUP(Table8[[#This Row],[Document ID]],Table1[],3,FALSE)</f>
        <v>Austria</v>
      </c>
      <c r="D215" s="243" t="str">
        <f>VLOOKUP(Table8[[#This Row],[Document ID]],Table1[],5,FALSE)</f>
        <v>LTS</v>
      </c>
      <c r="E215" s="233" t="str">
        <f>VLOOKUP(Table8[[#This Row],[Document ID]],Table1[],7,FALSE)</f>
        <v>LTS</v>
      </c>
      <c r="F215" s="233" t="str">
        <f>VLOOKUP(Table8[[#This Row],[Document ID]],Table1[],8,FALSE)</f>
        <v>LTS 1.0</v>
      </c>
      <c r="G215" s="233" t="str">
        <f>VLOOKUP(Table8[[#This Row],[Document ID]],Table1[],10,FALSE)</f>
        <v>Active</v>
      </c>
      <c r="H215" s="43" t="s">
        <v>2350</v>
      </c>
      <c r="I215" s="43" t="s">
        <v>2370</v>
      </c>
      <c r="J215" s="44" t="s">
        <v>2418</v>
      </c>
      <c r="K215" s="44" t="s">
        <v>2586</v>
      </c>
      <c r="L215" s="44" t="s">
        <v>2396</v>
      </c>
      <c r="M215" s="43">
        <v>49</v>
      </c>
      <c r="N215" s="113"/>
      <c r="O215" s="113"/>
      <c r="P215" s="113"/>
      <c r="Q215" s="113"/>
      <c r="R215" s="113"/>
      <c r="S215" s="113"/>
      <c r="T215" s="113"/>
      <c r="U215" s="113"/>
      <c r="V215" s="113"/>
      <c r="W215" s="113" t="s">
        <v>1113</v>
      </c>
      <c r="X215" s="113"/>
      <c r="Y215" s="113" t="s">
        <v>1113</v>
      </c>
      <c r="Z215" s="113"/>
      <c r="AA215" s="113"/>
      <c r="AB215" s="113"/>
      <c r="AC215" s="113" t="s">
        <v>1113</v>
      </c>
      <c r="AD215" s="113"/>
      <c r="AE215" s="113"/>
      <c r="AF215" s="113"/>
      <c r="AG215" s="113"/>
      <c r="AH215" s="113"/>
      <c r="AI215" s="113"/>
      <c r="AJ215" s="113"/>
      <c r="AK215" s="319" t="s">
        <v>1113</v>
      </c>
      <c r="AL215" s="113"/>
      <c r="AM215" s="113"/>
      <c r="AN215" s="113"/>
      <c r="AO215" s="43" t="s">
        <v>2348</v>
      </c>
      <c r="AP215" s="43"/>
      <c r="AQ215" s="236" t="str">
        <f>VLOOKUP(Table8[[#This Row],[Instrument]],Def_Targets!$D$73:$E$159,2,FALSE)</f>
        <v>A_Complan</v>
      </c>
      <c r="AR215" s="233" t="str">
        <f>VLOOKUP(Table8[[#This Row],[Country Code]],Table29[],3,FALSE)</f>
        <v>Annex I</v>
      </c>
      <c r="AS215" s="233" t="str">
        <f>VLOOKUP(Table8[[#This Row],[Country Code]],Table29[],4,FALSE)</f>
        <v>Europe</v>
      </c>
      <c r="AT215" s="233" t="str">
        <f>VLOOKUP(Table8[[#This Row],[Country Code]],Table29[],5,FALSE)</f>
        <v>High-income</v>
      </c>
      <c r="AU215" s="233" t="str">
        <f>VLOOKUP(Table8[[#This Row],[Country Code]],Table29[],6,FALSE)</f>
        <v>no</v>
      </c>
      <c r="AV215" s="233" t="str">
        <f>VLOOKUP(Table8[[#This Row],[Country Code]],Table29[],7,FALSE)</f>
        <v>no</v>
      </c>
      <c r="AW215" s="233" t="str">
        <f>VLOOKUP(Table8[[#This Row],[Country Code]],Table29[],8,FALSE)</f>
        <v>OECD</v>
      </c>
      <c r="AX215" s="233" t="str">
        <f>VLOOKUP(Table8[[#This Row],[Country Code]],Table29[],9,FALSE)</f>
        <v>EU27</v>
      </c>
      <c r="AY215" s="233" t="str">
        <f>VLOOKUP(Table8[[#This Row],[Country Code]],Table29[],10,FALSE)</f>
        <v>no</v>
      </c>
      <c r="AZ215" s="235">
        <f>VLOOKUP(Table8[[#This Row],[Country Code]],Table29[],23,FALSE)</f>
        <v>72.921492529811999</v>
      </c>
      <c r="BA215" s="235">
        <f>VLOOKUP(Table8[[#This Row],[Country Code]],Table29[],24,FALSE)</f>
        <v>21.372731064834241</v>
      </c>
      <c r="BB215" s="320"/>
      <c r="BC215" s="320"/>
    </row>
    <row r="216" spans="1:55" ht="30" hidden="1" x14ac:dyDescent="0.25">
      <c r="A216" s="373">
        <v>24678</v>
      </c>
      <c r="B216" s="233" t="str">
        <f>VLOOKUP(Table8[[#This Row],[Document ID]],Table1[],2,FALSE)</f>
        <v>AUT</v>
      </c>
      <c r="C216" s="233" t="str">
        <f>VLOOKUP(Table8[[#This Row],[Document ID]],Table1[],3,FALSE)</f>
        <v>Austria</v>
      </c>
      <c r="D216" s="243" t="str">
        <f>VLOOKUP(Table8[[#This Row],[Document ID]],Table1[],5,FALSE)</f>
        <v>LTS</v>
      </c>
      <c r="E216" s="233" t="str">
        <f>VLOOKUP(Table8[[#This Row],[Document ID]],Table1[],7,FALSE)</f>
        <v>LTS</v>
      </c>
      <c r="F216" s="233" t="str">
        <f>VLOOKUP(Table8[[#This Row],[Document ID]],Table1[],8,FALSE)</f>
        <v>LTS 1.0</v>
      </c>
      <c r="G216" s="233" t="str">
        <f>VLOOKUP(Table8[[#This Row],[Document ID]],Table1[],10,FALSE)</f>
        <v>Active</v>
      </c>
      <c r="H216" s="43" t="s">
        <v>2343</v>
      </c>
      <c r="I216" s="43" t="s">
        <v>2344</v>
      </c>
      <c r="J216" s="44" t="s">
        <v>2345</v>
      </c>
      <c r="K216" s="44" t="s">
        <v>2587</v>
      </c>
      <c r="L216" s="44" t="s">
        <v>2347</v>
      </c>
      <c r="M216" s="43">
        <v>49</v>
      </c>
      <c r="N216" s="113" t="s">
        <v>1113</v>
      </c>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319" t="s">
        <v>1113</v>
      </c>
      <c r="AL216" s="113"/>
      <c r="AM216" s="113"/>
      <c r="AN216" s="113"/>
      <c r="AO216" s="43" t="s">
        <v>2348</v>
      </c>
      <c r="AP216" s="43"/>
      <c r="AQ216" s="236" t="str">
        <f>VLOOKUP(Table8[[#This Row],[Instrument]],Def_Targets!$D$73:$E$159,2,FALSE)</f>
        <v>S_PublicTransport</v>
      </c>
      <c r="AR216" s="233" t="str">
        <f>VLOOKUP(Table8[[#This Row],[Country Code]],Table29[],3,FALSE)</f>
        <v>Annex I</v>
      </c>
      <c r="AS216" s="233" t="str">
        <f>VLOOKUP(Table8[[#This Row],[Country Code]],Table29[],4,FALSE)</f>
        <v>Europe</v>
      </c>
      <c r="AT216" s="233" t="str">
        <f>VLOOKUP(Table8[[#This Row],[Country Code]],Table29[],5,FALSE)</f>
        <v>High-income</v>
      </c>
      <c r="AU216" s="233" t="str">
        <f>VLOOKUP(Table8[[#This Row],[Country Code]],Table29[],6,FALSE)</f>
        <v>no</v>
      </c>
      <c r="AV216" s="233" t="str">
        <f>VLOOKUP(Table8[[#This Row],[Country Code]],Table29[],7,FALSE)</f>
        <v>no</v>
      </c>
      <c r="AW216" s="233" t="str">
        <f>VLOOKUP(Table8[[#This Row],[Country Code]],Table29[],8,FALSE)</f>
        <v>OECD</v>
      </c>
      <c r="AX216" s="233" t="str">
        <f>VLOOKUP(Table8[[#This Row],[Country Code]],Table29[],9,FALSE)</f>
        <v>EU27</v>
      </c>
      <c r="AY216" s="233" t="str">
        <f>VLOOKUP(Table8[[#This Row],[Country Code]],Table29[],10,FALSE)</f>
        <v>no</v>
      </c>
      <c r="AZ216" s="235">
        <f>VLOOKUP(Table8[[#This Row],[Country Code]],Table29[],23,FALSE)</f>
        <v>72.921492529811999</v>
      </c>
      <c r="BA216" s="235">
        <f>VLOOKUP(Table8[[#This Row],[Country Code]],Table29[],24,FALSE)</f>
        <v>21.372731064834241</v>
      </c>
      <c r="BB216" s="320"/>
      <c r="BC216" s="320"/>
    </row>
    <row r="217" spans="1:55" ht="30" hidden="1" x14ac:dyDescent="0.25">
      <c r="A217" s="373">
        <v>24678</v>
      </c>
      <c r="B217" s="233" t="str">
        <f>VLOOKUP(Table8[[#This Row],[Document ID]],Table1[],2,FALSE)</f>
        <v>AUT</v>
      </c>
      <c r="C217" s="233" t="str">
        <f>VLOOKUP(Table8[[#This Row],[Document ID]],Table1[],3,FALSE)</f>
        <v>Austria</v>
      </c>
      <c r="D217" s="243" t="str">
        <f>VLOOKUP(Table8[[#This Row],[Document ID]],Table1[],5,FALSE)</f>
        <v>LTS</v>
      </c>
      <c r="E217" s="233" t="str">
        <f>VLOOKUP(Table8[[#This Row],[Document ID]],Table1[],7,FALSE)</f>
        <v>LTS</v>
      </c>
      <c r="F217" s="233" t="str">
        <f>VLOOKUP(Table8[[#This Row],[Document ID]],Table1[],8,FALSE)</f>
        <v>LTS 1.0</v>
      </c>
      <c r="G217" s="233" t="str">
        <f>VLOOKUP(Table8[[#This Row],[Document ID]],Table1[],10,FALSE)</f>
        <v>Active</v>
      </c>
      <c r="H217" s="43" t="s">
        <v>2350</v>
      </c>
      <c r="I217" s="43" t="s">
        <v>2351</v>
      </c>
      <c r="J217" s="44" t="s">
        <v>2352</v>
      </c>
      <c r="K217" s="44" t="s">
        <v>2588</v>
      </c>
      <c r="L217" s="44" t="s">
        <v>2347</v>
      </c>
      <c r="M217" s="43">
        <v>49</v>
      </c>
      <c r="N217" s="113"/>
      <c r="O217" s="113"/>
      <c r="P217" s="113"/>
      <c r="Q217" s="113"/>
      <c r="R217" s="113"/>
      <c r="S217" s="113"/>
      <c r="T217" s="113"/>
      <c r="U217" s="113"/>
      <c r="V217" s="113"/>
      <c r="W217" s="113"/>
      <c r="X217" s="113" t="s">
        <v>1113</v>
      </c>
      <c r="Y217" s="113"/>
      <c r="Z217" s="113" t="s">
        <v>1113</v>
      </c>
      <c r="AA217" s="113"/>
      <c r="AB217" s="113"/>
      <c r="AC217" s="113"/>
      <c r="AD217" s="113"/>
      <c r="AE217" s="113"/>
      <c r="AF217" s="113"/>
      <c r="AG217" s="113"/>
      <c r="AH217" s="113"/>
      <c r="AI217" s="113"/>
      <c r="AJ217" s="113"/>
      <c r="AK217" s="319" t="s">
        <v>1113</v>
      </c>
      <c r="AL217" s="113"/>
      <c r="AM217" s="113"/>
      <c r="AN217" s="113"/>
      <c r="AO217" s="43" t="s">
        <v>2353</v>
      </c>
      <c r="AP217" s="43"/>
      <c r="AQ217" s="236" t="str">
        <f>VLOOKUP(Table8[[#This Row],[Instrument]],Def_Targets!$D$73:$E$159,2,FALSE)</f>
        <v>S_Railfreight</v>
      </c>
      <c r="AR217" s="233" t="str">
        <f>VLOOKUP(Table8[[#This Row],[Country Code]],Table29[],3,FALSE)</f>
        <v>Annex I</v>
      </c>
      <c r="AS217" s="233" t="str">
        <f>VLOOKUP(Table8[[#This Row],[Country Code]],Table29[],4,FALSE)</f>
        <v>Europe</v>
      </c>
      <c r="AT217" s="233" t="str">
        <f>VLOOKUP(Table8[[#This Row],[Country Code]],Table29[],5,FALSE)</f>
        <v>High-income</v>
      </c>
      <c r="AU217" s="233" t="str">
        <f>VLOOKUP(Table8[[#This Row],[Country Code]],Table29[],6,FALSE)</f>
        <v>no</v>
      </c>
      <c r="AV217" s="233" t="str">
        <f>VLOOKUP(Table8[[#This Row],[Country Code]],Table29[],7,FALSE)</f>
        <v>no</v>
      </c>
      <c r="AW217" s="233" t="str">
        <f>VLOOKUP(Table8[[#This Row],[Country Code]],Table29[],8,FALSE)</f>
        <v>OECD</v>
      </c>
      <c r="AX217" s="233" t="str">
        <f>VLOOKUP(Table8[[#This Row],[Country Code]],Table29[],9,FALSE)</f>
        <v>EU27</v>
      </c>
      <c r="AY217" s="233" t="str">
        <f>VLOOKUP(Table8[[#This Row],[Country Code]],Table29[],10,FALSE)</f>
        <v>no</v>
      </c>
      <c r="AZ217" s="235">
        <f>VLOOKUP(Table8[[#This Row],[Country Code]],Table29[],23,FALSE)</f>
        <v>72.921492529811999</v>
      </c>
      <c r="BA217" s="235">
        <f>VLOOKUP(Table8[[#This Row],[Country Code]],Table29[],24,FALSE)</f>
        <v>21.372731064834241</v>
      </c>
      <c r="BB217" s="320"/>
      <c r="BC217" s="320"/>
    </row>
    <row r="218" spans="1:55" hidden="1" x14ac:dyDescent="0.25">
      <c r="A218" s="373">
        <v>24678</v>
      </c>
      <c r="B218" s="233" t="str">
        <f>VLOOKUP(Table8[[#This Row],[Document ID]],Table1[],2,FALSE)</f>
        <v>AUT</v>
      </c>
      <c r="C218" s="233" t="str">
        <f>VLOOKUP(Table8[[#This Row],[Document ID]],Table1[],3,FALSE)</f>
        <v>Austria</v>
      </c>
      <c r="D218" s="243" t="str">
        <f>VLOOKUP(Table8[[#This Row],[Document ID]],Table1[],5,FALSE)</f>
        <v>LTS</v>
      </c>
      <c r="E218" s="233" t="str">
        <f>VLOOKUP(Table8[[#This Row],[Document ID]],Table1[],7,FALSE)</f>
        <v>LTS</v>
      </c>
      <c r="F218" s="233" t="str">
        <f>VLOOKUP(Table8[[#This Row],[Document ID]],Table1[],8,FALSE)</f>
        <v>LTS 1.0</v>
      </c>
      <c r="G218" s="233" t="str">
        <f>VLOOKUP(Table8[[#This Row],[Document ID]],Table1[],10,FALSE)</f>
        <v>Active</v>
      </c>
      <c r="H218" s="43" t="s">
        <v>2343</v>
      </c>
      <c r="I218" s="43" t="s">
        <v>2386</v>
      </c>
      <c r="J218" s="44" t="s">
        <v>2412</v>
      </c>
      <c r="K218" s="44" t="s">
        <v>2589</v>
      </c>
      <c r="L218" s="44" t="s">
        <v>2396</v>
      </c>
      <c r="M218" s="43">
        <v>49</v>
      </c>
      <c r="N218" s="113" t="s">
        <v>1113</v>
      </c>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319" t="s">
        <v>1113</v>
      </c>
      <c r="AL218" s="113"/>
      <c r="AM218" s="113"/>
      <c r="AN218" s="113"/>
      <c r="AO218" s="44" t="s">
        <v>2334</v>
      </c>
      <c r="AP218" s="43"/>
      <c r="AQ218" s="236" t="str">
        <f>VLOOKUP(Table8[[#This Row],[Instrument]],Def_Targets!$D$73:$E$159,2,FALSE)</f>
        <v>A_Economic</v>
      </c>
      <c r="AR218" s="233" t="str">
        <f>VLOOKUP(Table8[[#This Row],[Country Code]],Table29[],3,FALSE)</f>
        <v>Annex I</v>
      </c>
      <c r="AS218" s="233" t="str">
        <f>VLOOKUP(Table8[[#This Row],[Country Code]],Table29[],4,FALSE)</f>
        <v>Europe</v>
      </c>
      <c r="AT218" s="233" t="str">
        <f>VLOOKUP(Table8[[#This Row],[Country Code]],Table29[],5,FALSE)</f>
        <v>High-income</v>
      </c>
      <c r="AU218" s="233" t="str">
        <f>VLOOKUP(Table8[[#This Row],[Country Code]],Table29[],6,FALSE)</f>
        <v>no</v>
      </c>
      <c r="AV218" s="233" t="str">
        <f>VLOOKUP(Table8[[#This Row],[Country Code]],Table29[],7,FALSE)</f>
        <v>no</v>
      </c>
      <c r="AW218" s="233" t="str">
        <f>VLOOKUP(Table8[[#This Row],[Country Code]],Table29[],8,FALSE)</f>
        <v>OECD</v>
      </c>
      <c r="AX218" s="233" t="str">
        <f>VLOOKUP(Table8[[#This Row],[Country Code]],Table29[],9,FALSE)</f>
        <v>EU27</v>
      </c>
      <c r="AY218" s="233" t="str">
        <f>VLOOKUP(Table8[[#This Row],[Country Code]],Table29[],10,FALSE)</f>
        <v>no</v>
      </c>
      <c r="AZ218" s="235">
        <f>VLOOKUP(Table8[[#This Row],[Country Code]],Table29[],23,FALSE)</f>
        <v>72.921492529811999</v>
      </c>
      <c r="BA218" s="235">
        <f>VLOOKUP(Table8[[#This Row],[Country Code]],Table29[],24,FALSE)</f>
        <v>21.372731064834241</v>
      </c>
      <c r="BB218" s="320"/>
      <c r="BC218" s="320"/>
    </row>
    <row r="219" spans="1:55" ht="45" hidden="1" x14ac:dyDescent="0.25">
      <c r="A219" s="373">
        <v>24678</v>
      </c>
      <c r="B219" s="233" t="str">
        <f>VLOOKUP(Table8[[#This Row],[Document ID]],Table1[],2,FALSE)</f>
        <v>AUT</v>
      </c>
      <c r="C219" s="233" t="str">
        <f>VLOOKUP(Table8[[#This Row],[Document ID]],Table1[],3,FALSE)</f>
        <v>Austria</v>
      </c>
      <c r="D219" s="243" t="str">
        <f>VLOOKUP(Table8[[#This Row],[Document ID]],Table1[],5,FALSE)</f>
        <v>LTS</v>
      </c>
      <c r="E219" s="233" t="str">
        <f>VLOOKUP(Table8[[#This Row],[Document ID]],Table1[],7,FALSE)</f>
        <v>LTS</v>
      </c>
      <c r="F219" s="233" t="str">
        <f>VLOOKUP(Table8[[#This Row],[Document ID]],Table1[],8,FALSE)</f>
        <v>LTS 1.0</v>
      </c>
      <c r="G219" s="233" t="str">
        <f>VLOOKUP(Table8[[#This Row],[Document ID]],Table1[],10,FALSE)</f>
        <v>Active</v>
      </c>
      <c r="H219" s="44" t="s">
        <v>2329</v>
      </c>
      <c r="I219" s="44" t="s">
        <v>2330</v>
      </c>
      <c r="J219" s="44" t="s">
        <v>2381</v>
      </c>
      <c r="K219" s="44" t="s">
        <v>2493</v>
      </c>
      <c r="L219" s="44" t="s">
        <v>2333</v>
      </c>
      <c r="M219" s="43">
        <v>50</v>
      </c>
      <c r="N219" s="113"/>
      <c r="O219" s="113"/>
      <c r="P219" s="113"/>
      <c r="Q219" s="113"/>
      <c r="R219" s="113"/>
      <c r="S219" s="113" t="s">
        <v>1113</v>
      </c>
      <c r="T219" s="113"/>
      <c r="U219" s="113"/>
      <c r="V219" s="113"/>
      <c r="W219" s="113"/>
      <c r="X219" s="113"/>
      <c r="Y219" s="113"/>
      <c r="Z219" s="113"/>
      <c r="AA219" s="113"/>
      <c r="AB219" s="113"/>
      <c r="AC219" s="113"/>
      <c r="AD219" s="113"/>
      <c r="AE219" s="113"/>
      <c r="AF219" s="113"/>
      <c r="AG219" s="113"/>
      <c r="AH219" s="113"/>
      <c r="AI219" s="113"/>
      <c r="AJ219" s="113"/>
      <c r="AK219" s="319" t="s">
        <v>1113</v>
      </c>
      <c r="AL219" s="113"/>
      <c r="AM219" s="113"/>
      <c r="AN219" s="113"/>
      <c r="AO219" s="44" t="s">
        <v>2334</v>
      </c>
      <c r="AP219" s="43"/>
      <c r="AQ219" s="236" t="str">
        <f>VLOOKUP(Table8[[#This Row],[Instrument]],Def_Targets!$D$73:$E$159,2,FALSE)</f>
        <v>I_RE</v>
      </c>
      <c r="AR219" s="233" t="str">
        <f>VLOOKUP(Table8[[#This Row],[Country Code]],Table29[],3,FALSE)</f>
        <v>Annex I</v>
      </c>
      <c r="AS219" s="233" t="str">
        <f>VLOOKUP(Table8[[#This Row],[Country Code]],Table29[],4,FALSE)</f>
        <v>Europe</v>
      </c>
      <c r="AT219" s="233" t="str">
        <f>VLOOKUP(Table8[[#This Row],[Country Code]],Table29[],5,FALSE)</f>
        <v>High-income</v>
      </c>
      <c r="AU219" s="233" t="str">
        <f>VLOOKUP(Table8[[#This Row],[Country Code]],Table29[],6,FALSE)</f>
        <v>no</v>
      </c>
      <c r="AV219" s="233" t="str">
        <f>VLOOKUP(Table8[[#This Row],[Country Code]],Table29[],7,FALSE)</f>
        <v>no</v>
      </c>
      <c r="AW219" s="233" t="str">
        <f>VLOOKUP(Table8[[#This Row],[Country Code]],Table29[],8,FALSE)</f>
        <v>OECD</v>
      </c>
      <c r="AX219" s="233" t="str">
        <f>VLOOKUP(Table8[[#This Row],[Country Code]],Table29[],9,FALSE)</f>
        <v>EU27</v>
      </c>
      <c r="AY219" s="233" t="str">
        <f>VLOOKUP(Table8[[#This Row],[Country Code]],Table29[],10,FALSE)</f>
        <v>no</v>
      </c>
      <c r="AZ219" s="235">
        <f>VLOOKUP(Table8[[#This Row],[Country Code]],Table29[],23,FALSE)</f>
        <v>72.921492529811999</v>
      </c>
      <c r="BA219" s="235">
        <f>VLOOKUP(Table8[[#This Row],[Country Code]],Table29[],24,FALSE)</f>
        <v>21.372731064834241</v>
      </c>
      <c r="BB219" s="320"/>
      <c r="BC219" s="320"/>
    </row>
    <row r="220" spans="1:55" ht="45" hidden="1" x14ac:dyDescent="0.25">
      <c r="A220" s="373">
        <v>24678</v>
      </c>
      <c r="B220" s="233" t="str">
        <f>VLOOKUP(Table8[[#This Row],[Document ID]],Table1[],2,FALSE)</f>
        <v>AUT</v>
      </c>
      <c r="C220" s="233" t="str">
        <f>VLOOKUP(Table8[[#This Row],[Document ID]],Table1[],3,FALSE)</f>
        <v>Austria</v>
      </c>
      <c r="D220" s="243" t="str">
        <f>VLOOKUP(Table8[[#This Row],[Document ID]],Table1[],5,FALSE)</f>
        <v>LTS</v>
      </c>
      <c r="E220" s="233" t="str">
        <f>VLOOKUP(Table8[[#This Row],[Document ID]],Table1[],7,FALSE)</f>
        <v>LTS</v>
      </c>
      <c r="F220" s="233" t="str">
        <f>VLOOKUP(Table8[[#This Row],[Document ID]],Table1[],8,FALSE)</f>
        <v>LTS 1.0</v>
      </c>
      <c r="G220" s="233" t="str">
        <f>VLOOKUP(Table8[[#This Row],[Document ID]],Table1[],10,FALSE)</f>
        <v>Active</v>
      </c>
      <c r="H220" s="43" t="s">
        <v>2358</v>
      </c>
      <c r="I220" s="43" t="s">
        <v>2359</v>
      </c>
      <c r="J220" s="44" t="s">
        <v>2360</v>
      </c>
      <c r="K220" s="44" t="s">
        <v>2590</v>
      </c>
      <c r="L220" s="44" t="s">
        <v>2333</v>
      </c>
      <c r="M220" s="43">
        <v>50</v>
      </c>
      <c r="N220" s="113"/>
      <c r="O220" s="113"/>
      <c r="P220" s="113"/>
      <c r="Q220" s="113"/>
      <c r="R220" s="113"/>
      <c r="S220" s="113"/>
      <c r="T220" s="113"/>
      <c r="U220" s="113" t="s">
        <v>1113</v>
      </c>
      <c r="V220" s="113"/>
      <c r="W220" s="113"/>
      <c r="X220" s="113" t="s">
        <v>1113</v>
      </c>
      <c r="Y220" s="113"/>
      <c r="Z220" s="113"/>
      <c r="AA220" s="113"/>
      <c r="AB220" s="113"/>
      <c r="AC220" s="113"/>
      <c r="AD220" s="113"/>
      <c r="AE220" s="113"/>
      <c r="AF220" s="113"/>
      <c r="AG220" s="113"/>
      <c r="AH220" s="113"/>
      <c r="AI220" s="113"/>
      <c r="AJ220" s="113"/>
      <c r="AK220" s="319" t="s">
        <v>1113</v>
      </c>
      <c r="AL220" s="113"/>
      <c r="AM220" s="113"/>
      <c r="AN220" s="113"/>
      <c r="AO220" s="43" t="s">
        <v>2477</v>
      </c>
      <c r="AP220" s="43"/>
      <c r="AQ220" s="236" t="str">
        <f>VLOOKUP(Table8[[#This Row],[Instrument]],Def_Targets!$D$73:$E$159,2,FALSE)</f>
        <v>I_Emobility</v>
      </c>
      <c r="AR220" s="233" t="str">
        <f>VLOOKUP(Table8[[#This Row],[Country Code]],Table29[],3,FALSE)</f>
        <v>Annex I</v>
      </c>
      <c r="AS220" s="233" t="str">
        <f>VLOOKUP(Table8[[#This Row],[Country Code]],Table29[],4,FALSE)</f>
        <v>Europe</v>
      </c>
      <c r="AT220" s="233" t="str">
        <f>VLOOKUP(Table8[[#This Row],[Country Code]],Table29[],5,FALSE)</f>
        <v>High-income</v>
      </c>
      <c r="AU220" s="233" t="str">
        <f>VLOOKUP(Table8[[#This Row],[Country Code]],Table29[],6,FALSE)</f>
        <v>no</v>
      </c>
      <c r="AV220" s="233" t="str">
        <f>VLOOKUP(Table8[[#This Row],[Country Code]],Table29[],7,FALSE)</f>
        <v>no</v>
      </c>
      <c r="AW220" s="233" t="str">
        <f>VLOOKUP(Table8[[#This Row],[Country Code]],Table29[],8,FALSE)</f>
        <v>OECD</v>
      </c>
      <c r="AX220" s="233" t="str">
        <f>VLOOKUP(Table8[[#This Row],[Country Code]],Table29[],9,FALSE)</f>
        <v>EU27</v>
      </c>
      <c r="AY220" s="233" t="str">
        <f>VLOOKUP(Table8[[#This Row],[Country Code]],Table29[],10,FALSE)</f>
        <v>no</v>
      </c>
      <c r="AZ220" s="235">
        <f>VLOOKUP(Table8[[#This Row],[Country Code]],Table29[],23,FALSE)</f>
        <v>72.921492529811999</v>
      </c>
      <c r="BA220" s="235">
        <f>VLOOKUP(Table8[[#This Row],[Country Code]],Table29[],24,FALSE)</f>
        <v>21.372731064834241</v>
      </c>
      <c r="BB220" s="320"/>
      <c r="BC220" s="320"/>
    </row>
    <row r="221" spans="1:55" ht="45" hidden="1" x14ac:dyDescent="0.25">
      <c r="A221" s="373">
        <v>24678</v>
      </c>
      <c r="B221" s="233" t="str">
        <f>VLOOKUP(Table8[[#This Row],[Document ID]],Table1[],2,FALSE)</f>
        <v>AUT</v>
      </c>
      <c r="C221" s="233" t="str">
        <f>VLOOKUP(Table8[[#This Row],[Document ID]],Table1[],3,FALSE)</f>
        <v>Austria</v>
      </c>
      <c r="D221" s="243" t="str">
        <f>VLOOKUP(Table8[[#This Row],[Document ID]],Table1[],5,FALSE)</f>
        <v>LTS</v>
      </c>
      <c r="E221" s="233" t="str">
        <f>VLOOKUP(Table8[[#This Row],[Document ID]],Table1[],7,FALSE)</f>
        <v>LTS</v>
      </c>
      <c r="F221" s="233" t="str">
        <f>VLOOKUP(Table8[[#This Row],[Document ID]],Table1[],8,FALSE)</f>
        <v>LTS 1.0</v>
      </c>
      <c r="G221" s="233" t="str">
        <f>VLOOKUP(Table8[[#This Row],[Document ID]],Table1[],10,FALSE)</f>
        <v>Active</v>
      </c>
      <c r="H221" s="44" t="s">
        <v>2329</v>
      </c>
      <c r="I221" s="44" t="s">
        <v>2330</v>
      </c>
      <c r="J221" s="44" t="s">
        <v>2381</v>
      </c>
      <c r="K221" s="44" t="s">
        <v>2590</v>
      </c>
      <c r="L221" s="44" t="s">
        <v>2333</v>
      </c>
      <c r="M221" s="43">
        <v>50</v>
      </c>
      <c r="N221" s="113"/>
      <c r="O221" s="113"/>
      <c r="P221" s="113"/>
      <c r="Q221" s="113"/>
      <c r="R221" s="113"/>
      <c r="S221" s="113"/>
      <c r="T221" s="113"/>
      <c r="U221" s="113" t="s">
        <v>1113</v>
      </c>
      <c r="V221" s="113"/>
      <c r="W221" s="113"/>
      <c r="X221" s="113" t="s">
        <v>1113</v>
      </c>
      <c r="Y221" s="113"/>
      <c r="Z221" s="113"/>
      <c r="AA221" s="113"/>
      <c r="AB221" s="113"/>
      <c r="AC221" s="113"/>
      <c r="AD221" s="113"/>
      <c r="AE221" s="113"/>
      <c r="AF221" s="113"/>
      <c r="AG221" s="113"/>
      <c r="AH221" s="113"/>
      <c r="AI221" s="113"/>
      <c r="AJ221" s="113"/>
      <c r="AK221" s="319" t="s">
        <v>1113</v>
      </c>
      <c r="AL221" s="113"/>
      <c r="AM221" s="113"/>
      <c r="AN221" s="113"/>
      <c r="AO221" s="43" t="s">
        <v>2477</v>
      </c>
      <c r="AP221" s="43"/>
      <c r="AQ221" s="236" t="str">
        <f>VLOOKUP(Table8[[#This Row],[Instrument]],Def_Targets!$D$73:$E$159,2,FALSE)</f>
        <v>I_RE</v>
      </c>
      <c r="AR221" s="233" t="str">
        <f>VLOOKUP(Table8[[#This Row],[Country Code]],Table29[],3,FALSE)</f>
        <v>Annex I</v>
      </c>
      <c r="AS221" s="233" t="str">
        <f>VLOOKUP(Table8[[#This Row],[Country Code]],Table29[],4,FALSE)</f>
        <v>Europe</v>
      </c>
      <c r="AT221" s="233" t="str">
        <f>VLOOKUP(Table8[[#This Row],[Country Code]],Table29[],5,FALSE)</f>
        <v>High-income</v>
      </c>
      <c r="AU221" s="233" t="str">
        <f>VLOOKUP(Table8[[#This Row],[Country Code]],Table29[],6,FALSE)</f>
        <v>no</v>
      </c>
      <c r="AV221" s="233" t="str">
        <f>VLOOKUP(Table8[[#This Row],[Country Code]],Table29[],7,FALSE)</f>
        <v>no</v>
      </c>
      <c r="AW221" s="233" t="str">
        <f>VLOOKUP(Table8[[#This Row],[Country Code]],Table29[],8,FALSE)</f>
        <v>OECD</v>
      </c>
      <c r="AX221" s="233" t="str">
        <f>VLOOKUP(Table8[[#This Row],[Country Code]],Table29[],9,FALSE)</f>
        <v>EU27</v>
      </c>
      <c r="AY221" s="233" t="str">
        <f>VLOOKUP(Table8[[#This Row],[Country Code]],Table29[],10,FALSE)</f>
        <v>no</v>
      </c>
      <c r="AZ221" s="235">
        <f>VLOOKUP(Table8[[#This Row],[Country Code]],Table29[],23,FALSE)</f>
        <v>72.921492529811999</v>
      </c>
      <c r="BA221" s="235">
        <f>VLOOKUP(Table8[[#This Row],[Country Code]],Table29[],24,FALSE)</f>
        <v>21.372731064834241</v>
      </c>
      <c r="BB221" s="320"/>
      <c r="BC221" s="320"/>
    </row>
    <row r="222" spans="1:55" ht="30" hidden="1" x14ac:dyDescent="0.25">
      <c r="A222" s="373">
        <v>24678</v>
      </c>
      <c r="B222" s="233" t="str">
        <f>VLOOKUP(Table8[[#This Row],[Document ID]],Table1[],2,FALSE)</f>
        <v>AUT</v>
      </c>
      <c r="C222" s="233" t="str">
        <f>VLOOKUP(Table8[[#This Row],[Document ID]],Table1[],3,FALSE)</f>
        <v>Austria</v>
      </c>
      <c r="D222" s="243" t="str">
        <f>VLOOKUP(Table8[[#This Row],[Document ID]],Table1[],5,FALSE)</f>
        <v>LTS</v>
      </c>
      <c r="E222" s="233" t="str">
        <f>VLOOKUP(Table8[[#This Row],[Document ID]],Table1[],7,FALSE)</f>
        <v>LTS</v>
      </c>
      <c r="F222" s="233" t="str">
        <f>VLOOKUP(Table8[[#This Row],[Document ID]],Table1[],8,FALSE)</f>
        <v>LTS 1.0</v>
      </c>
      <c r="G222" s="233" t="str">
        <f>VLOOKUP(Table8[[#This Row],[Document ID]],Table1[],10,FALSE)</f>
        <v>Active</v>
      </c>
      <c r="H222" s="44" t="s">
        <v>2329</v>
      </c>
      <c r="I222" s="44" t="s">
        <v>2330</v>
      </c>
      <c r="J222" s="44" t="s">
        <v>2391</v>
      </c>
      <c r="K222" s="44" t="s">
        <v>2591</v>
      </c>
      <c r="L222" s="44" t="s">
        <v>2333</v>
      </c>
      <c r="M222" s="43">
        <v>50</v>
      </c>
      <c r="N222" s="113"/>
      <c r="O222" s="113"/>
      <c r="P222" s="113"/>
      <c r="Q222" s="113"/>
      <c r="R222" s="113"/>
      <c r="S222" s="113"/>
      <c r="T222" s="113"/>
      <c r="U222" s="113"/>
      <c r="V222" s="113"/>
      <c r="W222" s="113"/>
      <c r="X222" s="113" t="s">
        <v>1113</v>
      </c>
      <c r="Y222" s="113"/>
      <c r="Z222" s="113"/>
      <c r="AA222" s="113"/>
      <c r="AB222" s="113"/>
      <c r="AC222" s="113"/>
      <c r="AD222" s="113"/>
      <c r="AE222" s="113"/>
      <c r="AF222" s="113"/>
      <c r="AG222" s="113"/>
      <c r="AH222" s="113"/>
      <c r="AI222" s="113"/>
      <c r="AJ222" s="113"/>
      <c r="AK222" s="113"/>
      <c r="AL222" s="113"/>
      <c r="AM222" s="113"/>
      <c r="AN222" s="113" t="s">
        <v>1113</v>
      </c>
      <c r="AO222" s="43" t="s">
        <v>2353</v>
      </c>
      <c r="AP222" s="43"/>
      <c r="AQ222" s="236" t="str">
        <f>VLOOKUP(Table8[[#This Row],[Instrument]],Def_Targets!$D$73:$E$159,2,FALSE)</f>
        <v>I_Hydrogen</v>
      </c>
      <c r="AR222" s="233" t="str">
        <f>VLOOKUP(Table8[[#This Row],[Country Code]],Table29[],3,FALSE)</f>
        <v>Annex I</v>
      </c>
      <c r="AS222" s="233" t="str">
        <f>VLOOKUP(Table8[[#This Row],[Country Code]],Table29[],4,FALSE)</f>
        <v>Europe</v>
      </c>
      <c r="AT222" s="233" t="str">
        <f>VLOOKUP(Table8[[#This Row],[Country Code]],Table29[],5,FALSE)</f>
        <v>High-income</v>
      </c>
      <c r="AU222" s="233" t="str">
        <f>VLOOKUP(Table8[[#This Row],[Country Code]],Table29[],6,FALSE)</f>
        <v>no</v>
      </c>
      <c r="AV222" s="233" t="str">
        <f>VLOOKUP(Table8[[#This Row],[Country Code]],Table29[],7,FALSE)</f>
        <v>no</v>
      </c>
      <c r="AW222" s="233" t="str">
        <f>VLOOKUP(Table8[[#This Row],[Country Code]],Table29[],8,FALSE)</f>
        <v>OECD</v>
      </c>
      <c r="AX222" s="233" t="str">
        <f>VLOOKUP(Table8[[#This Row],[Country Code]],Table29[],9,FALSE)</f>
        <v>EU27</v>
      </c>
      <c r="AY222" s="233" t="str">
        <f>VLOOKUP(Table8[[#This Row],[Country Code]],Table29[],10,FALSE)</f>
        <v>no</v>
      </c>
      <c r="AZ222" s="235">
        <f>VLOOKUP(Table8[[#This Row],[Country Code]],Table29[],23,FALSE)</f>
        <v>72.921492529811999</v>
      </c>
      <c r="BA222" s="235">
        <f>VLOOKUP(Table8[[#This Row],[Country Code]],Table29[],24,FALSE)</f>
        <v>21.372731064834241</v>
      </c>
      <c r="BB222" s="320"/>
      <c r="BC222" s="320"/>
    </row>
    <row r="223" spans="1:55" ht="30" hidden="1" x14ac:dyDescent="0.25">
      <c r="A223" s="373">
        <v>24678</v>
      </c>
      <c r="B223" s="233" t="str">
        <f>VLOOKUP(Table8[[#This Row],[Document ID]],Table1[],2,FALSE)</f>
        <v>AUT</v>
      </c>
      <c r="C223" s="233" t="str">
        <f>VLOOKUP(Table8[[#This Row],[Document ID]],Table1[],3,FALSE)</f>
        <v>Austria</v>
      </c>
      <c r="D223" s="243" t="str">
        <f>VLOOKUP(Table8[[#This Row],[Document ID]],Table1[],5,FALSE)</f>
        <v>LTS</v>
      </c>
      <c r="E223" s="233" t="str">
        <f>VLOOKUP(Table8[[#This Row],[Document ID]],Table1[],7,FALSE)</f>
        <v>LTS</v>
      </c>
      <c r="F223" s="233" t="str">
        <f>VLOOKUP(Table8[[#This Row],[Document ID]],Table1[],8,FALSE)</f>
        <v>LTS 1.0</v>
      </c>
      <c r="G223" s="233" t="str">
        <f>VLOOKUP(Table8[[#This Row],[Document ID]],Table1[],10,FALSE)</f>
        <v>Active</v>
      </c>
      <c r="H223" s="44" t="s">
        <v>2329</v>
      </c>
      <c r="I223" s="44" t="s">
        <v>2330</v>
      </c>
      <c r="J223" s="44" t="s">
        <v>2381</v>
      </c>
      <c r="K223" s="44" t="s">
        <v>2591</v>
      </c>
      <c r="L223" s="44" t="s">
        <v>2333</v>
      </c>
      <c r="M223" s="43">
        <v>50</v>
      </c>
      <c r="N223" s="113"/>
      <c r="O223" s="113"/>
      <c r="P223" s="113"/>
      <c r="Q223" s="113"/>
      <c r="R223" s="113"/>
      <c r="S223" s="113"/>
      <c r="T223" s="113"/>
      <c r="U223" s="113"/>
      <c r="V223" s="113"/>
      <c r="W223" s="113"/>
      <c r="X223" s="113" t="s">
        <v>1113</v>
      </c>
      <c r="Y223" s="113"/>
      <c r="Z223" s="113"/>
      <c r="AA223" s="113"/>
      <c r="AB223" s="113"/>
      <c r="AC223" s="113"/>
      <c r="AD223" s="113"/>
      <c r="AE223" s="113"/>
      <c r="AF223" s="113"/>
      <c r="AG223" s="113"/>
      <c r="AH223" s="113"/>
      <c r="AI223" s="113"/>
      <c r="AJ223" s="113"/>
      <c r="AK223" s="113"/>
      <c r="AL223" s="113"/>
      <c r="AM223" s="113"/>
      <c r="AN223" s="113" t="s">
        <v>1113</v>
      </c>
      <c r="AO223" s="43" t="s">
        <v>2353</v>
      </c>
      <c r="AP223" s="43"/>
      <c r="AQ223" s="236" t="str">
        <f>VLOOKUP(Table8[[#This Row],[Instrument]],Def_Targets!$D$73:$E$159,2,FALSE)</f>
        <v>I_RE</v>
      </c>
      <c r="AR223" s="233" t="str">
        <f>VLOOKUP(Table8[[#This Row],[Country Code]],Table29[],3,FALSE)</f>
        <v>Annex I</v>
      </c>
      <c r="AS223" s="233" t="str">
        <f>VLOOKUP(Table8[[#This Row],[Country Code]],Table29[],4,FALSE)</f>
        <v>Europe</v>
      </c>
      <c r="AT223" s="233" t="str">
        <f>VLOOKUP(Table8[[#This Row],[Country Code]],Table29[],5,FALSE)</f>
        <v>High-income</v>
      </c>
      <c r="AU223" s="233" t="str">
        <f>VLOOKUP(Table8[[#This Row],[Country Code]],Table29[],6,FALSE)</f>
        <v>no</v>
      </c>
      <c r="AV223" s="233" t="str">
        <f>VLOOKUP(Table8[[#This Row],[Country Code]],Table29[],7,FALSE)</f>
        <v>no</v>
      </c>
      <c r="AW223" s="233" t="str">
        <f>VLOOKUP(Table8[[#This Row],[Country Code]],Table29[],8,FALSE)</f>
        <v>OECD</v>
      </c>
      <c r="AX223" s="233" t="str">
        <f>VLOOKUP(Table8[[#This Row],[Country Code]],Table29[],9,FALSE)</f>
        <v>EU27</v>
      </c>
      <c r="AY223" s="233" t="str">
        <f>VLOOKUP(Table8[[#This Row],[Country Code]],Table29[],10,FALSE)</f>
        <v>no</v>
      </c>
      <c r="AZ223" s="235">
        <f>VLOOKUP(Table8[[#This Row],[Country Code]],Table29[],23,FALSE)</f>
        <v>72.921492529811999</v>
      </c>
      <c r="BA223" s="235">
        <f>VLOOKUP(Table8[[#This Row],[Country Code]],Table29[],24,FALSE)</f>
        <v>21.372731064834241</v>
      </c>
      <c r="BB223" s="320"/>
      <c r="BC223" s="320"/>
    </row>
    <row r="224" spans="1:55" hidden="1" x14ac:dyDescent="0.25">
      <c r="A224" s="373">
        <v>24678</v>
      </c>
      <c r="B224" s="233" t="str">
        <f>VLOOKUP(Table8[[#This Row],[Document ID]],Table1[],2,FALSE)</f>
        <v>AUT</v>
      </c>
      <c r="C224" s="233" t="str">
        <f>VLOOKUP(Table8[[#This Row],[Document ID]],Table1[],3,FALSE)</f>
        <v>Austria</v>
      </c>
      <c r="D224" s="243" t="str">
        <f>VLOOKUP(Table8[[#This Row],[Document ID]],Table1[],5,FALSE)</f>
        <v>LTS</v>
      </c>
      <c r="E224" s="233" t="str">
        <f>VLOOKUP(Table8[[#This Row],[Document ID]],Table1[],7,FALSE)</f>
        <v>LTS</v>
      </c>
      <c r="F224" s="233" t="str">
        <f>VLOOKUP(Table8[[#This Row],[Document ID]],Table1[],8,FALSE)</f>
        <v>LTS 1.0</v>
      </c>
      <c r="G224" s="233" t="str">
        <f>VLOOKUP(Table8[[#This Row],[Document ID]],Table1[],10,FALSE)</f>
        <v>Active</v>
      </c>
      <c r="H224" s="43" t="s">
        <v>2350</v>
      </c>
      <c r="I224" s="43" t="s">
        <v>2407</v>
      </c>
      <c r="J224" s="44" t="s">
        <v>2592</v>
      </c>
      <c r="K224" s="44" t="s">
        <v>2593</v>
      </c>
      <c r="L224" s="44" t="s">
        <v>2333</v>
      </c>
      <c r="M224" s="43">
        <v>50</v>
      </c>
      <c r="N224" s="113"/>
      <c r="O224" s="113"/>
      <c r="P224" s="113"/>
      <c r="Q224" s="113"/>
      <c r="R224" s="113"/>
      <c r="S224" s="113" t="s">
        <v>1113</v>
      </c>
      <c r="T224" s="113"/>
      <c r="U224" s="113"/>
      <c r="V224" s="113"/>
      <c r="W224" s="113"/>
      <c r="X224" s="113"/>
      <c r="Y224" s="113"/>
      <c r="Z224" s="113"/>
      <c r="AA224" s="113"/>
      <c r="AB224" s="113"/>
      <c r="AC224" s="113"/>
      <c r="AD224" s="113"/>
      <c r="AE224" s="113"/>
      <c r="AF224" s="113"/>
      <c r="AG224" s="113"/>
      <c r="AH224" s="113"/>
      <c r="AI224" s="113"/>
      <c r="AJ224" s="113"/>
      <c r="AK224" s="319" t="s">
        <v>1113</v>
      </c>
      <c r="AL224" s="113"/>
      <c r="AM224" s="113"/>
      <c r="AN224" s="113"/>
      <c r="AO224" s="44" t="s">
        <v>2334</v>
      </c>
      <c r="AP224" s="43"/>
      <c r="AQ224" s="236" t="str">
        <f>VLOOKUP(Table8[[#This Row],[Instrument]],Def_Targets!$D$73:$E$159,2,FALSE)</f>
        <v>I_Ecodriving</v>
      </c>
      <c r="AR224" s="233" t="str">
        <f>VLOOKUP(Table8[[#This Row],[Country Code]],Table29[],3,FALSE)</f>
        <v>Annex I</v>
      </c>
      <c r="AS224" s="233" t="str">
        <f>VLOOKUP(Table8[[#This Row],[Country Code]],Table29[],4,FALSE)</f>
        <v>Europe</v>
      </c>
      <c r="AT224" s="233" t="str">
        <f>VLOOKUP(Table8[[#This Row],[Country Code]],Table29[],5,FALSE)</f>
        <v>High-income</v>
      </c>
      <c r="AU224" s="233" t="str">
        <f>VLOOKUP(Table8[[#This Row],[Country Code]],Table29[],6,FALSE)</f>
        <v>no</v>
      </c>
      <c r="AV224" s="233" t="str">
        <f>VLOOKUP(Table8[[#This Row],[Country Code]],Table29[],7,FALSE)</f>
        <v>no</v>
      </c>
      <c r="AW224" s="233" t="str">
        <f>VLOOKUP(Table8[[#This Row],[Country Code]],Table29[],8,FALSE)</f>
        <v>OECD</v>
      </c>
      <c r="AX224" s="233" t="str">
        <f>VLOOKUP(Table8[[#This Row],[Country Code]],Table29[],9,FALSE)</f>
        <v>EU27</v>
      </c>
      <c r="AY224" s="233" t="str">
        <f>VLOOKUP(Table8[[#This Row],[Country Code]],Table29[],10,FALSE)</f>
        <v>no</v>
      </c>
      <c r="AZ224" s="235">
        <f>VLOOKUP(Table8[[#This Row],[Country Code]],Table29[],23,FALSE)</f>
        <v>72.921492529811999</v>
      </c>
      <c r="BA224" s="235">
        <f>VLOOKUP(Table8[[#This Row],[Country Code]],Table29[],24,FALSE)</f>
        <v>21.372731064834241</v>
      </c>
      <c r="BB224" s="320"/>
      <c r="BC224" s="320"/>
    </row>
    <row r="225" spans="1:55" ht="30" hidden="1" x14ac:dyDescent="0.25">
      <c r="A225" s="373">
        <v>24678</v>
      </c>
      <c r="B225" s="233" t="str">
        <f>VLOOKUP(Table8[[#This Row],[Document ID]],Table1[],2,FALSE)</f>
        <v>AUT</v>
      </c>
      <c r="C225" s="233" t="str">
        <f>VLOOKUP(Table8[[#This Row],[Document ID]],Table1[],3,FALSE)</f>
        <v>Austria</v>
      </c>
      <c r="D225" s="243" t="str">
        <f>VLOOKUP(Table8[[#This Row],[Document ID]],Table1[],5,FALSE)</f>
        <v>LTS</v>
      </c>
      <c r="E225" s="233" t="str">
        <f>VLOOKUP(Table8[[#This Row],[Document ID]],Table1[],7,FALSE)</f>
        <v>LTS</v>
      </c>
      <c r="F225" s="233" t="str">
        <f>VLOOKUP(Table8[[#This Row],[Document ID]],Table1[],8,FALSE)</f>
        <v>LTS 1.0</v>
      </c>
      <c r="G225" s="233" t="str">
        <f>VLOOKUP(Table8[[#This Row],[Document ID]],Table1[],10,FALSE)</f>
        <v>Active</v>
      </c>
      <c r="H225" s="43" t="s">
        <v>2358</v>
      </c>
      <c r="I225" s="43" t="s">
        <v>2359</v>
      </c>
      <c r="J225" s="44" t="s">
        <v>2360</v>
      </c>
      <c r="K225" s="44" t="s">
        <v>2594</v>
      </c>
      <c r="L225" s="44" t="s">
        <v>2333</v>
      </c>
      <c r="M225" s="43">
        <v>50</v>
      </c>
      <c r="N225" s="113"/>
      <c r="O225" s="113"/>
      <c r="P225" s="113"/>
      <c r="Q225" s="113"/>
      <c r="R225" s="113"/>
      <c r="S225" s="113"/>
      <c r="T225" s="113"/>
      <c r="U225" s="113"/>
      <c r="V225" s="113"/>
      <c r="W225" s="113"/>
      <c r="X225" s="113"/>
      <c r="Y225" s="113"/>
      <c r="Z225" s="113" t="s">
        <v>1113</v>
      </c>
      <c r="AA225" s="113"/>
      <c r="AB225" s="113"/>
      <c r="AC225" s="113"/>
      <c r="AD225" s="113"/>
      <c r="AE225" s="113"/>
      <c r="AF225" s="113"/>
      <c r="AG225" s="113"/>
      <c r="AH225" s="113"/>
      <c r="AI225" s="113"/>
      <c r="AJ225" s="113"/>
      <c r="AK225" s="319" t="s">
        <v>1113</v>
      </c>
      <c r="AL225" s="113"/>
      <c r="AM225" s="113"/>
      <c r="AN225" s="113"/>
      <c r="AO225" s="44" t="s">
        <v>2334</v>
      </c>
      <c r="AP225" s="43"/>
      <c r="AQ225" s="236" t="str">
        <f>VLOOKUP(Table8[[#This Row],[Instrument]],Def_Targets!$D$73:$E$159,2,FALSE)</f>
        <v>I_Emobility</v>
      </c>
      <c r="AR225" s="233" t="str">
        <f>VLOOKUP(Table8[[#This Row],[Country Code]],Table29[],3,FALSE)</f>
        <v>Annex I</v>
      </c>
      <c r="AS225" s="233" t="str">
        <f>VLOOKUP(Table8[[#This Row],[Country Code]],Table29[],4,FALSE)</f>
        <v>Europe</v>
      </c>
      <c r="AT225" s="233" t="str">
        <f>VLOOKUP(Table8[[#This Row],[Country Code]],Table29[],5,FALSE)</f>
        <v>High-income</v>
      </c>
      <c r="AU225" s="233" t="str">
        <f>VLOOKUP(Table8[[#This Row],[Country Code]],Table29[],6,FALSE)</f>
        <v>no</v>
      </c>
      <c r="AV225" s="233" t="str">
        <f>VLOOKUP(Table8[[#This Row],[Country Code]],Table29[],7,FALSE)</f>
        <v>no</v>
      </c>
      <c r="AW225" s="233" t="str">
        <f>VLOOKUP(Table8[[#This Row],[Country Code]],Table29[],8,FALSE)</f>
        <v>OECD</v>
      </c>
      <c r="AX225" s="233" t="str">
        <f>VLOOKUP(Table8[[#This Row],[Country Code]],Table29[],9,FALSE)</f>
        <v>EU27</v>
      </c>
      <c r="AY225" s="233" t="str">
        <f>VLOOKUP(Table8[[#This Row],[Country Code]],Table29[],10,FALSE)</f>
        <v>no</v>
      </c>
      <c r="AZ225" s="235">
        <f>VLOOKUP(Table8[[#This Row],[Country Code]],Table29[],23,FALSE)</f>
        <v>72.921492529811999</v>
      </c>
      <c r="BA225" s="235">
        <f>VLOOKUP(Table8[[#This Row],[Country Code]],Table29[],24,FALSE)</f>
        <v>21.372731064834241</v>
      </c>
      <c r="BB225" s="320"/>
      <c r="BC225" s="320"/>
    </row>
    <row r="226" spans="1:55" ht="30" hidden="1" x14ac:dyDescent="0.25">
      <c r="A226" s="373">
        <v>24678</v>
      </c>
      <c r="B226" s="233" t="str">
        <f>VLOOKUP(Table8[[#This Row],[Document ID]],Table1[],2,FALSE)</f>
        <v>AUT</v>
      </c>
      <c r="C226" s="233" t="str">
        <f>VLOOKUP(Table8[[#This Row],[Document ID]],Table1[],3,FALSE)</f>
        <v>Austria</v>
      </c>
      <c r="D226" s="243" t="str">
        <f>VLOOKUP(Table8[[#This Row],[Document ID]],Table1[],5,FALSE)</f>
        <v>LTS</v>
      </c>
      <c r="E226" s="233" t="str">
        <f>VLOOKUP(Table8[[#This Row],[Document ID]],Table1[],7,FALSE)</f>
        <v>LTS</v>
      </c>
      <c r="F226" s="233" t="str">
        <f>VLOOKUP(Table8[[#This Row],[Document ID]],Table1[],8,FALSE)</f>
        <v>LTS 1.0</v>
      </c>
      <c r="G226" s="233" t="str">
        <f>VLOOKUP(Table8[[#This Row],[Document ID]],Table1[],10,FALSE)</f>
        <v>Active</v>
      </c>
      <c r="H226" s="44" t="s">
        <v>2329</v>
      </c>
      <c r="I226" s="44" t="s">
        <v>2330</v>
      </c>
      <c r="J226" s="44" t="s">
        <v>2381</v>
      </c>
      <c r="K226" s="44" t="s">
        <v>2594</v>
      </c>
      <c r="L226" s="44" t="s">
        <v>2333</v>
      </c>
      <c r="M226" s="43">
        <v>50</v>
      </c>
      <c r="N226" s="113"/>
      <c r="O226" s="113"/>
      <c r="P226" s="113"/>
      <c r="Q226" s="113"/>
      <c r="R226" s="113"/>
      <c r="S226" s="113"/>
      <c r="T226" s="113"/>
      <c r="U226" s="113"/>
      <c r="V226" s="113"/>
      <c r="W226" s="113"/>
      <c r="X226" s="113"/>
      <c r="Y226" s="113"/>
      <c r="Z226" s="113" t="s">
        <v>1113</v>
      </c>
      <c r="AA226" s="113"/>
      <c r="AB226" s="113"/>
      <c r="AC226" s="113"/>
      <c r="AD226" s="113"/>
      <c r="AE226" s="113"/>
      <c r="AF226" s="113"/>
      <c r="AG226" s="113"/>
      <c r="AH226" s="113"/>
      <c r="AI226" s="113"/>
      <c r="AJ226" s="113"/>
      <c r="AK226" s="319" t="s">
        <v>1113</v>
      </c>
      <c r="AL226" s="113"/>
      <c r="AM226" s="113"/>
      <c r="AN226" s="113"/>
      <c r="AO226" s="44" t="s">
        <v>2334</v>
      </c>
      <c r="AP226" s="43"/>
      <c r="AQ226" s="236" t="str">
        <f>VLOOKUP(Table8[[#This Row],[Instrument]],Def_Targets!$D$73:$E$159,2,FALSE)</f>
        <v>I_RE</v>
      </c>
      <c r="AR226" s="233" t="str">
        <f>VLOOKUP(Table8[[#This Row],[Country Code]],Table29[],3,FALSE)</f>
        <v>Annex I</v>
      </c>
      <c r="AS226" s="233" t="str">
        <f>VLOOKUP(Table8[[#This Row],[Country Code]],Table29[],4,FALSE)</f>
        <v>Europe</v>
      </c>
      <c r="AT226" s="233" t="str">
        <f>VLOOKUP(Table8[[#This Row],[Country Code]],Table29[],5,FALSE)</f>
        <v>High-income</v>
      </c>
      <c r="AU226" s="233" t="str">
        <f>VLOOKUP(Table8[[#This Row],[Country Code]],Table29[],6,FALSE)</f>
        <v>no</v>
      </c>
      <c r="AV226" s="233" t="str">
        <f>VLOOKUP(Table8[[#This Row],[Country Code]],Table29[],7,FALSE)</f>
        <v>no</v>
      </c>
      <c r="AW226" s="233" t="str">
        <f>VLOOKUP(Table8[[#This Row],[Country Code]],Table29[],8,FALSE)</f>
        <v>OECD</v>
      </c>
      <c r="AX226" s="233" t="str">
        <f>VLOOKUP(Table8[[#This Row],[Country Code]],Table29[],9,FALSE)</f>
        <v>EU27</v>
      </c>
      <c r="AY226" s="233" t="str">
        <f>VLOOKUP(Table8[[#This Row],[Country Code]],Table29[],10,FALSE)</f>
        <v>no</v>
      </c>
      <c r="AZ226" s="235">
        <f>VLOOKUP(Table8[[#This Row],[Country Code]],Table29[],23,FALSE)</f>
        <v>72.921492529811999</v>
      </c>
      <c r="BA226" s="235">
        <f>VLOOKUP(Table8[[#This Row],[Country Code]],Table29[],24,FALSE)</f>
        <v>21.372731064834241</v>
      </c>
      <c r="BB226" s="320"/>
      <c r="BC226" s="320"/>
    </row>
    <row r="227" spans="1:55" ht="30" hidden="1" x14ac:dyDescent="0.25">
      <c r="A227" s="373">
        <v>24678</v>
      </c>
      <c r="B227" s="233" t="str">
        <f>VLOOKUP(Table8[[#This Row],[Document ID]],Table1[],2,FALSE)</f>
        <v>AUT</v>
      </c>
      <c r="C227" s="233" t="str">
        <f>VLOOKUP(Table8[[#This Row],[Document ID]],Table1[],3,FALSE)</f>
        <v>Austria</v>
      </c>
      <c r="D227" s="243" t="str">
        <f>VLOOKUP(Table8[[#This Row],[Document ID]],Table1[],5,FALSE)</f>
        <v>LTS</v>
      </c>
      <c r="E227" s="233" t="str">
        <f>VLOOKUP(Table8[[#This Row],[Document ID]],Table1[],7,FALSE)</f>
        <v>LTS</v>
      </c>
      <c r="F227" s="233" t="str">
        <f>VLOOKUP(Table8[[#This Row],[Document ID]],Table1[],8,FALSE)</f>
        <v>LTS 1.0</v>
      </c>
      <c r="G227" s="233" t="str">
        <f>VLOOKUP(Table8[[#This Row],[Document ID]],Table1[],10,FALSE)</f>
        <v>Active</v>
      </c>
      <c r="H227" s="44" t="s">
        <v>2329</v>
      </c>
      <c r="I227" s="44" t="s">
        <v>2330</v>
      </c>
      <c r="J227" s="44" t="s">
        <v>2391</v>
      </c>
      <c r="K227" s="44" t="s">
        <v>2595</v>
      </c>
      <c r="L227" s="44" t="s">
        <v>2333</v>
      </c>
      <c r="M227" s="43">
        <v>50</v>
      </c>
      <c r="N227" s="113"/>
      <c r="O227" s="113"/>
      <c r="P227" s="113"/>
      <c r="Q227" s="113"/>
      <c r="R227" s="113"/>
      <c r="S227" s="113" t="s">
        <v>1113</v>
      </c>
      <c r="T227" s="113"/>
      <c r="U227" s="113"/>
      <c r="V227" s="113"/>
      <c r="W227" s="113"/>
      <c r="X227" s="113"/>
      <c r="Y227" s="113"/>
      <c r="Z227" s="113" t="s">
        <v>1113</v>
      </c>
      <c r="AA227" s="113"/>
      <c r="AB227" s="113"/>
      <c r="AC227" s="113"/>
      <c r="AD227" s="113"/>
      <c r="AE227" s="113"/>
      <c r="AF227" s="113"/>
      <c r="AG227" s="113"/>
      <c r="AH227" s="113"/>
      <c r="AI227" s="113"/>
      <c r="AJ227" s="113"/>
      <c r="AK227" s="319" t="s">
        <v>1113</v>
      </c>
      <c r="AL227" s="113"/>
      <c r="AM227" s="113"/>
      <c r="AN227" s="113"/>
      <c r="AO227" s="43" t="s">
        <v>2353</v>
      </c>
      <c r="AP227" s="43"/>
      <c r="AQ227" s="236" t="str">
        <f>VLOOKUP(Table8[[#This Row],[Instrument]],Def_Targets!$D$73:$E$159,2,FALSE)</f>
        <v>I_Hydrogen</v>
      </c>
      <c r="AR227" s="233" t="str">
        <f>VLOOKUP(Table8[[#This Row],[Country Code]],Table29[],3,FALSE)</f>
        <v>Annex I</v>
      </c>
      <c r="AS227" s="233" t="str">
        <f>VLOOKUP(Table8[[#This Row],[Country Code]],Table29[],4,FALSE)</f>
        <v>Europe</v>
      </c>
      <c r="AT227" s="233" t="str">
        <f>VLOOKUP(Table8[[#This Row],[Country Code]],Table29[],5,FALSE)</f>
        <v>High-income</v>
      </c>
      <c r="AU227" s="233" t="str">
        <f>VLOOKUP(Table8[[#This Row],[Country Code]],Table29[],6,FALSE)</f>
        <v>no</v>
      </c>
      <c r="AV227" s="233" t="str">
        <f>VLOOKUP(Table8[[#This Row],[Country Code]],Table29[],7,FALSE)</f>
        <v>no</v>
      </c>
      <c r="AW227" s="233" t="str">
        <f>VLOOKUP(Table8[[#This Row],[Country Code]],Table29[],8,FALSE)</f>
        <v>OECD</v>
      </c>
      <c r="AX227" s="233" t="str">
        <f>VLOOKUP(Table8[[#This Row],[Country Code]],Table29[],9,FALSE)</f>
        <v>EU27</v>
      </c>
      <c r="AY227" s="233" t="str">
        <f>VLOOKUP(Table8[[#This Row],[Country Code]],Table29[],10,FALSE)</f>
        <v>no</v>
      </c>
      <c r="AZ227" s="235">
        <f>VLOOKUP(Table8[[#This Row],[Country Code]],Table29[],23,FALSE)</f>
        <v>72.921492529811999</v>
      </c>
      <c r="BA227" s="235">
        <f>VLOOKUP(Table8[[#This Row],[Country Code]],Table29[],24,FALSE)</f>
        <v>21.372731064834241</v>
      </c>
      <c r="BB227" s="320"/>
      <c r="BC227" s="320"/>
    </row>
    <row r="228" spans="1:55" ht="30" hidden="1" x14ac:dyDescent="0.25">
      <c r="A228" s="373">
        <v>24678</v>
      </c>
      <c r="B228" s="233" t="str">
        <f>VLOOKUP(Table8[[#This Row],[Document ID]],Table1[],2,FALSE)</f>
        <v>AUT</v>
      </c>
      <c r="C228" s="233" t="str">
        <f>VLOOKUP(Table8[[#This Row],[Document ID]],Table1[],3,FALSE)</f>
        <v>Austria</v>
      </c>
      <c r="D228" s="243" t="str">
        <f>VLOOKUP(Table8[[#This Row],[Document ID]],Table1[],5,FALSE)</f>
        <v>LTS</v>
      </c>
      <c r="E228" s="233" t="str">
        <f>VLOOKUP(Table8[[#This Row],[Document ID]],Table1[],7,FALSE)</f>
        <v>LTS</v>
      </c>
      <c r="F228" s="233" t="str">
        <f>VLOOKUP(Table8[[#This Row],[Document ID]],Table1[],8,FALSE)</f>
        <v>LTS 1.0</v>
      </c>
      <c r="G228" s="233" t="str">
        <f>VLOOKUP(Table8[[#This Row],[Document ID]],Table1[],10,FALSE)</f>
        <v>Active</v>
      </c>
      <c r="H228" s="43" t="s">
        <v>2358</v>
      </c>
      <c r="I228" s="43" t="s">
        <v>2359</v>
      </c>
      <c r="J228" s="44" t="s">
        <v>2360</v>
      </c>
      <c r="K228" s="44" t="s">
        <v>2595</v>
      </c>
      <c r="L228" s="44" t="s">
        <v>2333</v>
      </c>
      <c r="M228" s="43">
        <v>50</v>
      </c>
      <c r="N228" s="113"/>
      <c r="O228" s="113"/>
      <c r="P228" s="113"/>
      <c r="Q228" s="113"/>
      <c r="R228" s="113"/>
      <c r="S228" s="113" t="s">
        <v>1113</v>
      </c>
      <c r="T228" s="113"/>
      <c r="U228" s="113"/>
      <c r="V228" s="113"/>
      <c r="W228" s="113"/>
      <c r="X228" s="113"/>
      <c r="Y228" s="113"/>
      <c r="Z228" s="113" t="s">
        <v>1113</v>
      </c>
      <c r="AA228" s="113"/>
      <c r="AB228" s="113"/>
      <c r="AC228" s="113"/>
      <c r="AD228" s="113"/>
      <c r="AE228" s="113"/>
      <c r="AF228" s="113"/>
      <c r="AG228" s="113"/>
      <c r="AH228" s="113"/>
      <c r="AI228" s="113"/>
      <c r="AJ228" s="113"/>
      <c r="AK228" s="319" t="s">
        <v>1113</v>
      </c>
      <c r="AL228" s="113"/>
      <c r="AM228" s="113"/>
      <c r="AN228" s="113"/>
      <c r="AO228" s="43" t="s">
        <v>2353</v>
      </c>
      <c r="AP228" s="43"/>
      <c r="AQ228" s="236" t="str">
        <f>VLOOKUP(Table8[[#This Row],[Instrument]],Def_Targets!$D$73:$E$159,2,FALSE)</f>
        <v>I_Emobility</v>
      </c>
      <c r="AR228" s="233" t="str">
        <f>VLOOKUP(Table8[[#This Row],[Country Code]],Table29[],3,FALSE)</f>
        <v>Annex I</v>
      </c>
      <c r="AS228" s="233" t="str">
        <f>VLOOKUP(Table8[[#This Row],[Country Code]],Table29[],4,FALSE)</f>
        <v>Europe</v>
      </c>
      <c r="AT228" s="233" t="str">
        <f>VLOOKUP(Table8[[#This Row],[Country Code]],Table29[],5,FALSE)</f>
        <v>High-income</v>
      </c>
      <c r="AU228" s="233" t="str">
        <f>VLOOKUP(Table8[[#This Row],[Country Code]],Table29[],6,FALSE)</f>
        <v>no</v>
      </c>
      <c r="AV228" s="233" t="str">
        <f>VLOOKUP(Table8[[#This Row],[Country Code]],Table29[],7,FALSE)</f>
        <v>no</v>
      </c>
      <c r="AW228" s="233" t="str">
        <f>VLOOKUP(Table8[[#This Row],[Country Code]],Table29[],8,FALSE)</f>
        <v>OECD</v>
      </c>
      <c r="AX228" s="233" t="str">
        <f>VLOOKUP(Table8[[#This Row],[Country Code]],Table29[],9,FALSE)</f>
        <v>EU27</v>
      </c>
      <c r="AY228" s="233" t="str">
        <f>VLOOKUP(Table8[[#This Row],[Country Code]],Table29[],10,FALSE)</f>
        <v>no</v>
      </c>
      <c r="AZ228" s="235">
        <f>VLOOKUP(Table8[[#This Row],[Country Code]],Table29[],23,FALSE)</f>
        <v>72.921492529811999</v>
      </c>
      <c r="BA228" s="235">
        <f>VLOOKUP(Table8[[#This Row],[Country Code]],Table29[],24,FALSE)</f>
        <v>21.372731064834241</v>
      </c>
      <c r="BB228" s="320"/>
      <c r="BC228" s="320"/>
    </row>
    <row r="229" spans="1:55" ht="30" hidden="1" x14ac:dyDescent="0.25">
      <c r="A229" s="373">
        <v>17530</v>
      </c>
      <c r="B229" s="233" t="str">
        <f>VLOOKUP(Table8[[#This Row],[Document ID]],Table1[],2,FALSE)</f>
        <v>BLZ</v>
      </c>
      <c r="C229" s="233" t="str">
        <f>VLOOKUP(Table8[[#This Row],[Document ID]],Table1[],3,FALSE)</f>
        <v>Belize</v>
      </c>
      <c r="D229" s="243" t="str">
        <f>VLOOKUP(Table8[[#This Row],[Document ID]],Table1[],5,FALSE)</f>
        <v>NDC</v>
      </c>
      <c r="E229" s="233" t="str">
        <f>VLOOKUP(Table8[[#This Row],[Document ID]],Table1[],7,FALSE)</f>
        <v>First NDC</v>
      </c>
      <c r="F229" s="236" t="str">
        <f>VLOOKUP(Table8[[#This Row],[Document ID]],Table1[],8,FALSE)</f>
        <v>NDC 1.0</v>
      </c>
      <c r="G229" s="236" t="str">
        <f>VLOOKUP(Table8[[#This Row],[Document ID]],Table1[],10,FALSE)</f>
        <v>Archived</v>
      </c>
      <c r="H229" s="43" t="s">
        <v>2350</v>
      </c>
      <c r="I229" s="43" t="s">
        <v>2370</v>
      </c>
      <c r="J229" s="44" t="s">
        <v>2511</v>
      </c>
      <c r="K229" s="44" t="s">
        <v>2596</v>
      </c>
      <c r="L229" s="44" t="s">
        <v>2333</v>
      </c>
      <c r="M229" s="43"/>
      <c r="N229" s="113" t="s">
        <v>1113</v>
      </c>
      <c r="O229" s="113"/>
      <c r="P229" s="113"/>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113" t="s">
        <v>1113</v>
      </c>
      <c r="AM229" s="319"/>
      <c r="AN229" s="319"/>
      <c r="AO229" s="44" t="s">
        <v>2334</v>
      </c>
      <c r="AP229" s="44"/>
      <c r="AQ229" s="236" t="str">
        <f>VLOOKUP(Table8[[#This Row],[Instrument]],Def_Targets!$D$73:$E$159,2,FALSE)</f>
        <v>A_LATM</v>
      </c>
      <c r="AR229" s="233" t="str">
        <f>VLOOKUP(Table8[[#This Row],[Country Code]],Table29[],3,FALSE)</f>
        <v>Non-Annex I</v>
      </c>
      <c r="AS229" s="233" t="str">
        <f>VLOOKUP(Table8[[#This Row],[Country Code]],Table29[],4,FALSE)</f>
        <v>Latin America and the Caribbean</v>
      </c>
      <c r="AT229" s="233" t="str">
        <f>VLOOKUP(Table8[[#This Row],[Country Code]],Table29[],5,FALSE)</f>
        <v>Middle-income</v>
      </c>
      <c r="AU229" s="233" t="str">
        <f>VLOOKUP(Table8[[#This Row],[Country Code]],Table29[],6,FALSE)</f>
        <v>no</v>
      </c>
      <c r="AV229" s="233" t="str">
        <f>VLOOKUP(Table8[[#This Row],[Country Code]],Table29[],7,FALSE)</f>
        <v>no</v>
      </c>
      <c r="AW229" s="233" t="str">
        <f>VLOOKUP(Table8[[#This Row],[Country Code]],Table29[],8,FALSE)</f>
        <v>non-OECD</v>
      </c>
      <c r="AX229" s="233" t="str">
        <f>VLOOKUP(Table8[[#This Row],[Country Code]],Table29[],9,FALSE)</f>
        <v>no</v>
      </c>
      <c r="AY229" s="233" t="str">
        <f>VLOOKUP(Table8[[#This Row],[Country Code]],Table29[],10,FALSE)</f>
        <v>no</v>
      </c>
      <c r="AZ229" s="235">
        <f>VLOOKUP(Table8[[#This Row],[Country Code]],Table29[],23,FALSE)</f>
        <v>0.92034733748830999</v>
      </c>
      <c r="BA229" s="235">
        <f>VLOOKUP(Table8[[#This Row],[Country Code]],Table29[],24,FALSE)</f>
        <v>9.6336672952528554E-2</v>
      </c>
      <c r="BB229" s="320"/>
      <c r="BC229" s="320"/>
    </row>
    <row r="230" spans="1:55" ht="30" hidden="1" x14ac:dyDescent="0.25">
      <c r="A230" s="373">
        <v>17530</v>
      </c>
      <c r="B230" s="233" t="str">
        <f>VLOOKUP(Table8[[#This Row],[Document ID]],Table1[],2,FALSE)</f>
        <v>BLZ</v>
      </c>
      <c r="C230" s="233" t="str">
        <f>VLOOKUP(Table8[[#This Row],[Document ID]],Table1[],3,FALSE)</f>
        <v>Belize</v>
      </c>
      <c r="D230" s="243" t="str">
        <f>VLOOKUP(Table8[[#This Row],[Document ID]],Table1[],5,FALSE)</f>
        <v>NDC</v>
      </c>
      <c r="E230" s="233" t="str">
        <f>VLOOKUP(Table8[[#This Row],[Document ID]],Table1[],7,FALSE)</f>
        <v>First NDC</v>
      </c>
      <c r="F230" s="236" t="str">
        <f>VLOOKUP(Table8[[#This Row],[Document ID]],Table1[],8,FALSE)</f>
        <v>NDC 1.0</v>
      </c>
      <c r="G230" s="236" t="str">
        <f>VLOOKUP(Table8[[#This Row],[Document ID]],Table1[],10,FALSE)</f>
        <v>Archived</v>
      </c>
      <c r="H230" s="43" t="s">
        <v>2343</v>
      </c>
      <c r="I230" s="43" t="s">
        <v>2344</v>
      </c>
      <c r="J230" s="44" t="s">
        <v>2345</v>
      </c>
      <c r="K230" s="44" t="s">
        <v>2597</v>
      </c>
      <c r="L230" s="44" t="s">
        <v>2471</v>
      </c>
      <c r="M230" s="43"/>
      <c r="N230" s="113" t="s">
        <v>1113</v>
      </c>
      <c r="O230" s="113"/>
      <c r="P230" s="113"/>
      <c r="Q230" s="319"/>
      <c r="R230" s="319"/>
      <c r="S230" s="319"/>
      <c r="T230" s="319"/>
      <c r="U230" s="319"/>
      <c r="V230" s="319"/>
      <c r="W230" s="319"/>
      <c r="X230" s="319"/>
      <c r="Y230" s="319"/>
      <c r="Z230" s="319"/>
      <c r="AA230" s="319"/>
      <c r="AB230" s="319"/>
      <c r="AC230" s="319"/>
      <c r="AD230" s="319"/>
      <c r="AE230" s="319"/>
      <c r="AF230" s="319"/>
      <c r="AG230" s="319"/>
      <c r="AH230" s="319"/>
      <c r="AI230" s="319"/>
      <c r="AJ230" s="319"/>
      <c r="AK230" s="319" t="s">
        <v>1113</v>
      </c>
      <c r="AL230" s="319"/>
      <c r="AM230" s="319"/>
      <c r="AN230" s="319"/>
      <c r="AO230" s="43" t="s">
        <v>2348</v>
      </c>
      <c r="AP230" s="44"/>
      <c r="AQ230" s="236" t="str">
        <f>VLOOKUP(Table8[[#This Row],[Instrument]],Def_Targets!$D$73:$E$159,2,FALSE)</f>
        <v>S_PublicTransport</v>
      </c>
      <c r="AR230" s="233" t="str">
        <f>VLOOKUP(Table8[[#This Row],[Country Code]],Table29[],3,FALSE)</f>
        <v>Non-Annex I</v>
      </c>
      <c r="AS230" s="233" t="str">
        <f>VLOOKUP(Table8[[#This Row],[Country Code]],Table29[],4,FALSE)</f>
        <v>Latin America and the Caribbean</v>
      </c>
      <c r="AT230" s="233" t="str">
        <f>VLOOKUP(Table8[[#This Row],[Country Code]],Table29[],5,FALSE)</f>
        <v>Middle-income</v>
      </c>
      <c r="AU230" s="233" t="str">
        <f>VLOOKUP(Table8[[#This Row],[Country Code]],Table29[],6,FALSE)</f>
        <v>no</v>
      </c>
      <c r="AV230" s="233" t="str">
        <f>VLOOKUP(Table8[[#This Row],[Country Code]],Table29[],7,FALSE)</f>
        <v>no</v>
      </c>
      <c r="AW230" s="233" t="str">
        <f>VLOOKUP(Table8[[#This Row],[Country Code]],Table29[],8,FALSE)</f>
        <v>non-OECD</v>
      </c>
      <c r="AX230" s="233" t="str">
        <f>VLOOKUP(Table8[[#This Row],[Country Code]],Table29[],9,FALSE)</f>
        <v>no</v>
      </c>
      <c r="AY230" s="233" t="str">
        <f>VLOOKUP(Table8[[#This Row],[Country Code]],Table29[],10,FALSE)</f>
        <v>no</v>
      </c>
      <c r="AZ230" s="235">
        <f>VLOOKUP(Table8[[#This Row],[Country Code]],Table29[],23,FALSE)</f>
        <v>0.92034733748830999</v>
      </c>
      <c r="BA230" s="235">
        <f>VLOOKUP(Table8[[#This Row],[Country Code]],Table29[],24,FALSE)</f>
        <v>9.6336672952528554E-2</v>
      </c>
      <c r="BB230" s="320"/>
      <c r="BC230" s="320"/>
    </row>
    <row r="231" spans="1:55" ht="30" hidden="1" x14ac:dyDescent="0.25">
      <c r="A231" s="373">
        <v>17530</v>
      </c>
      <c r="B231" s="233" t="str">
        <f>VLOOKUP(Table8[[#This Row],[Document ID]],Table1[],2,FALSE)</f>
        <v>BLZ</v>
      </c>
      <c r="C231" s="233" t="str">
        <f>VLOOKUP(Table8[[#This Row],[Document ID]],Table1[],3,FALSE)</f>
        <v>Belize</v>
      </c>
      <c r="D231" s="243" t="str">
        <f>VLOOKUP(Table8[[#This Row],[Document ID]],Table1[],5,FALSE)</f>
        <v>NDC</v>
      </c>
      <c r="E231" s="233" t="str">
        <f>VLOOKUP(Table8[[#This Row],[Document ID]],Table1[],7,FALSE)</f>
        <v>First NDC</v>
      </c>
      <c r="F231" s="236" t="str">
        <f>VLOOKUP(Table8[[#This Row],[Document ID]],Table1[],8,FALSE)</f>
        <v>NDC 1.0</v>
      </c>
      <c r="G231" s="236" t="str">
        <f>VLOOKUP(Table8[[#This Row],[Document ID]],Table1[],10,FALSE)</f>
        <v>Archived</v>
      </c>
      <c r="H231" s="44" t="s">
        <v>2338</v>
      </c>
      <c r="I231" s="44" t="s">
        <v>2339</v>
      </c>
      <c r="J231" s="44" t="s">
        <v>2451</v>
      </c>
      <c r="K231" s="44" t="s">
        <v>2598</v>
      </c>
      <c r="L231" s="44" t="s">
        <v>2471</v>
      </c>
      <c r="M231" s="43"/>
      <c r="N231" s="113"/>
      <c r="O231" s="113"/>
      <c r="P231" s="113"/>
      <c r="Q231" s="319"/>
      <c r="R231" s="319"/>
      <c r="S231" s="319"/>
      <c r="T231" s="319"/>
      <c r="U231" s="319"/>
      <c r="V231" s="319"/>
      <c r="W231" s="319"/>
      <c r="X231" s="319"/>
      <c r="Y231" s="113" t="s">
        <v>1113</v>
      </c>
      <c r="Z231" s="113"/>
      <c r="AA231" s="319"/>
      <c r="AB231" s="319"/>
      <c r="AC231" s="319"/>
      <c r="AD231" s="319"/>
      <c r="AE231" s="319"/>
      <c r="AF231" s="319"/>
      <c r="AG231" s="319"/>
      <c r="AH231" s="319"/>
      <c r="AI231" s="319"/>
      <c r="AJ231" s="319"/>
      <c r="AK231" s="319" t="s">
        <v>1113</v>
      </c>
      <c r="AL231" s="319"/>
      <c r="AM231" s="319"/>
      <c r="AN231" s="319"/>
      <c r="AO231" s="43" t="s">
        <v>2348</v>
      </c>
      <c r="AP231" s="44"/>
      <c r="AQ231" s="236" t="str">
        <f>VLOOKUP(Table8[[#This Row],[Instrument]],Def_Targets!$D$73:$E$159,2,FALSE)</f>
        <v>I_Inspection</v>
      </c>
      <c r="AR231" s="233" t="str">
        <f>VLOOKUP(Table8[[#This Row],[Country Code]],Table29[],3,FALSE)</f>
        <v>Non-Annex I</v>
      </c>
      <c r="AS231" s="233" t="str">
        <f>VLOOKUP(Table8[[#This Row],[Country Code]],Table29[],4,FALSE)</f>
        <v>Latin America and the Caribbean</v>
      </c>
      <c r="AT231" s="233" t="str">
        <f>VLOOKUP(Table8[[#This Row],[Country Code]],Table29[],5,FALSE)</f>
        <v>Middle-income</v>
      </c>
      <c r="AU231" s="233" t="str">
        <f>VLOOKUP(Table8[[#This Row],[Country Code]],Table29[],6,FALSE)</f>
        <v>no</v>
      </c>
      <c r="AV231" s="233" t="str">
        <f>VLOOKUP(Table8[[#This Row],[Country Code]],Table29[],7,FALSE)</f>
        <v>no</v>
      </c>
      <c r="AW231" s="233" t="str">
        <f>VLOOKUP(Table8[[#This Row],[Country Code]],Table29[],8,FALSE)</f>
        <v>non-OECD</v>
      </c>
      <c r="AX231" s="233" t="str">
        <f>VLOOKUP(Table8[[#This Row],[Country Code]],Table29[],9,FALSE)</f>
        <v>no</v>
      </c>
      <c r="AY231" s="233" t="str">
        <f>VLOOKUP(Table8[[#This Row],[Country Code]],Table29[],10,FALSE)</f>
        <v>no</v>
      </c>
      <c r="AZ231" s="235">
        <f>VLOOKUP(Table8[[#This Row],[Country Code]],Table29[],23,FALSE)</f>
        <v>0.92034733748830999</v>
      </c>
      <c r="BA231" s="235">
        <f>VLOOKUP(Table8[[#This Row],[Country Code]],Table29[],24,FALSE)</f>
        <v>9.6336672952528554E-2</v>
      </c>
      <c r="BB231" s="320"/>
      <c r="BC231" s="320"/>
    </row>
    <row r="232" spans="1:55" hidden="1" x14ac:dyDescent="0.25">
      <c r="A232" s="373">
        <v>17530</v>
      </c>
      <c r="B232" s="233" t="str">
        <f>VLOOKUP(Table8[[#This Row],[Document ID]],Table1[],2,FALSE)</f>
        <v>BLZ</v>
      </c>
      <c r="C232" s="233" t="str">
        <f>VLOOKUP(Table8[[#This Row],[Document ID]],Table1[],3,FALSE)</f>
        <v>Belize</v>
      </c>
      <c r="D232" s="243" t="str">
        <f>VLOOKUP(Table8[[#This Row],[Document ID]],Table1[],5,FALSE)</f>
        <v>NDC</v>
      </c>
      <c r="E232" s="233" t="str">
        <f>VLOOKUP(Table8[[#This Row],[Document ID]],Table1[],7,FALSE)</f>
        <v>First NDC</v>
      </c>
      <c r="F232" s="236" t="str">
        <f>VLOOKUP(Table8[[#This Row],[Document ID]],Table1[],8,FALSE)</f>
        <v>NDC 1.0</v>
      </c>
      <c r="G232" s="236" t="str">
        <f>VLOOKUP(Table8[[#This Row],[Document ID]],Table1[],10,FALSE)</f>
        <v>Archived</v>
      </c>
      <c r="H232" s="43" t="s">
        <v>2343</v>
      </c>
      <c r="I232" s="43" t="s">
        <v>2377</v>
      </c>
      <c r="J232" s="44" t="s">
        <v>2394</v>
      </c>
      <c r="K232" s="44" t="s">
        <v>2599</v>
      </c>
      <c r="L232" s="44" t="s">
        <v>2380</v>
      </c>
      <c r="M232" s="43"/>
      <c r="N232" s="113" t="s">
        <v>1113</v>
      </c>
      <c r="O232" s="113"/>
      <c r="P232" s="113"/>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t="s">
        <v>1113</v>
      </c>
      <c r="AL232" s="319"/>
      <c r="AM232" s="319"/>
      <c r="AN232" s="319"/>
      <c r="AO232" s="44" t="s">
        <v>2334</v>
      </c>
      <c r="AP232" s="44"/>
      <c r="AQ232" s="236" t="str">
        <f>VLOOKUP(Table8[[#This Row],[Instrument]],Def_Targets!$D$73:$E$159,2,FALSE)</f>
        <v>A_TDM</v>
      </c>
      <c r="AR232" s="233" t="str">
        <f>VLOOKUP(Table8[[#This Row],[Country Code]],Table29[],3,FALSE)</f>
        <v>Non-Annex I</v>
      </c>
      <c r="AS232" s="233" t="str">
        <f>VLOOKUP(Table8[[#This Row],[Country Code]],Table29[],4,FALSE)</f>
        <v>Latin America and the Caribbean</v>
      </c>
      <c r="AT232" s="233" t="str">
        <f>VLOOKUP(Table8[[#This Row],[Country Code]],Table29[],5,FALSE)</f>
        <v>Middle-income</v>
      </c>
      <c r="AU232" s="233" t="str">
        <f>VLOOKUP(Table8[[#This Row],[Country Code]],Table29[],6,FALSE)</f>
        <v>no</v>
      </c>
      <c r="AV232" s="233" t="str">
        <f>VLOOKUP(Table8[[#This Row],[Country Code]],Table29[],7,FALSE)</f>
        <v>no</v>
      </c>
      <c r="AW232" s="233" t="str">
        <f>VLOOKUP(Table8[[#This Row],[Country Code]],Table29[],8,FALSE)</f>
        <v>non-OECD</v>
      </c>
      <c r="AX232" s="233" t="str">
        <f>VLOOKUP(Table8[[#This Row],[Country Code]],Table29[],9,FALSE)</f>
        <v>no</v>
      </c>
      <c r="AY232" s="233" t="str">
        <f>VLOOKUP(Table8[[#This Row],[Country Code]],Table29[],10,FALSE)</f>
        <v>no</v>
      </c>
      <c r="AZ232" s="235">
        <f>VLOOKUP(Table8[[#This Row],[Country Code]],Table29[],23,FALSE)</f>
        <v>0.92034733748830999</v>
      </c>
      <c r="BA232" s="235">
        <f>VLOOKUP(Table8[[#This Row],[Country Code]],Table29[],24,FALSE)</f>
        <v>9.6336672952528554E-2</v>
      </c>
      <c r="BB232" s="320"/>
      <c r="BC232" s="320"/>
    </row>
    <row r="233" spans="1:55" hidden="1" x14ac:dyDescent="0.25">
      <c r="A233" s="373">
        <v>17530</v>
      </c>
      <c r="B233" s="233" t="str">
        <f>VLOOKUP(Table8[[#This Row],[Document ID]],Table1[],2,FALSE)</f>
        <v>BLZ</v>
      </c>
      <c r="C233" s="233" t="str">
        <f>VLOOKUP(Table8[[#This Row],[Document ID]],Table1[],3,FALSE)</f>
        <v>Belize</v>
      </c>
      <c r="D233" s="243" t="str">
        <f>VLOOKUP(Table8[[#This Row],[Document ID]],Table1[],5,FALSE)</f>
        <v>NDC</v>
      </c>
      <c r="E233" s="233" t="str">
        <f>VLOOKUP(Table8[[#This Row],[Document ID]],Table1[],7,FALSE)</f>
        <v>First NDC</v>
      </c>
      <c r="F233" s="236" t="str">
        <f>VLOOKUP(Table8[[#This Row],[Document ID]],Table1[],8,FALSE)</f>
        <v>NDC 1.0</v>
      </c>
      <c r="G233" s="236" t="str">
        <f>VLOOKUP(Table8[[#This Row],[Document ID]],Table1[],10,FALSE)</f>
        <v>Archived</v>
      </c>
      <c r="H233" s="44" t="s">
        <v>2329</v>
      </c>
      <c r="I233" s="44" t="s">
        <v>2330</v>
      </c>
      <c r="J233" s="44" t="s">
        <v>2357</v>
      </c>
      <c r="K233" s="44" t="s">
        <v>2600</v>
      </c>
      <c r="L233" s="44" t="s">
        <v>2333</v>
      </c>
      <c r="M233" s="43"/>
      <c r="N233" s="113" t="s">
        <v>1113</v>
      </c>
      <c r="O233" s="113"/>
      <c r="P233" s="113"/>
      <c r="Q233" s="319"/>
      <c r="R233" s="319"/>
      <c r="S233" s="319"/>
      <c r="T233" s="319"/>
      <c r="U233" s="319"/>
      <c r="V233" s="319"/>
      <c r="W233" s="319"/>
      <c r="X233" s="319"/>
      <c r="Y233" s="319"/>
      <c r="Z233" s="319"/>
      <c r="AA233" s="319"/>
      <c r="AB233" s="319"/>
      <c r="AC233" s="319"/>
      <c r="AD233" s="319"/>
      <c r="AE233" s="319"/>
      <c r="AF233" s="319"/>
      <c r="AG233" s="319"/>
      <c r="AH233" s="319"/>
      <c r="AI233" s="319"/>
      <c r="AJ233" s="319"/>
      <c r="AK233" s="319" t="s">
        <v>1113</v>
      </c>
      <c r="AL233" s="319"/>
      <c r="AM233" s="319"/>
      <c r="AN233" s="319"/>
      <c r="AO233" s="44" t="s">
        <v>2334</v>
      </c>
      <c r="AP233" s="44"/>
      <c r="AQ233" s="236" t="str">
        <f>VLOOKUP(Table8[[#This Row],[Instrument]],Def_Targets!$D$73:$E$159,2,FALSE)</f>
        <v>I_Biofuel</v>
      </c>
      <c r="AR233" s="233" t="str">
        <f>VLOOKUP(Table8[[#This Row],[Country Code]],Table29[],3,FALSE)</f>
        <v>Non-Annex I</v>
      </c>
      <c r="AS233" s="233" t="str">
        <f>VLOOKUP(Table8[[#This Row],[Country Code]],Table29[],4,FALSE)</f>
        <v>Latin America and the Caribbean</v>
      </c>
      <c r="AT233" s="233" t="str">
        <f>VLOOKUP(Table8[[#This Row],[Country Code]],Table29[],5,FALSE)</f>
        <v>Middle-income</v>
      </c>
      <c r="AU233" s="233" t="str">
        <f>VLOOKUP(Table8[[#This Row],[Country Code]],Table29[],6,FALSE)</f>
        <v>no</v>
      </c>
      <c r="AV233" s="233" t="str">
        <f>VLOOKUP(Table8[[#This Row],[Country Code]],Table29[],7,FALSE)</f>
        <v>no</v>
      </c>
      <c r="AW233" s="233" t="str">
        <f>VLOOKUP(Table8[[#This Row],[Country Code]],Table29[],8,FALSE)</f>
        <v>non-OECD</v>
      </c>
      <c r="AX233" s="233" t="str">
        <f>VLOOKUP(Table8[[#This Row],[Country Code]],Table29[],9,FALSE)</f>
        <v>no</v>
      </c>
      <c r="AY233" s="233" t="str">
        <f>VLOOKUP(Table8[[#This Row],[Country Code]],Table29[],10,FALSE)</f>
        <v>no</v>
      </c>
      <c r="AZ233" s="235">
        <f>VLOOKUP(Table8[[#This Row],[Country Code]],Table29[],23,FALSE)</f>
        <v>0.92034733748830999</v>
      </c>
      <c r="BA233" s="235">
        <f>VLOOKUP(Table8[[#This Row],[Country Code]],Table29[],24,FALSE)</f>
        <v>9.6336672952528554E-2</v>
      </c>
      <c r="BB233" s="320"/>
      <c r="BC233" s="320"/>
    </row>
    <row r="234" spans="1:55" hidden="1" x14ac:dyDescent="0.25">
      <c r="A234" s="373">
        <v>17530</v>
      </c>
      <c r="B234" s="233" t="str">
        <f>VLOOKUP(Table8[[#This Row],[Document ID]],Table1[],2,FALSE)</f>
        <v>BLZ</v>
      </c>
      <c r="C234" s="233" t="str">
        <f>VLOOKUP(Table8[[#This Row],[Document ID]],Table1[],3,FALSE)</f>
        <v>Belize</v>
      </c>
      <c r="D234" s="243" t="str">
        <f>VLOOKUP(Table8[[#This Row],[Document ID]],Table1[],5,FALSE)</f>
        <v>NDC</v>
      </c>
      <c r="E234" s="233" t="str">
        <f>VLOOKUP(Table8[[#This Row],[Document ID]],Table1[],7,FALSE)</f>
        <v>First NDC</v>
      </c>
      <c r="F234" s="236" t="str">
        <f>VLOOKUP(Table8[[#This Row],[Document ID]],Table1[],8,FALSE)</f>
        <v>NDC 1.0</v>
      </c>
      <c r="G234" s="236" t="str">
        <f>VLOOKUP(Table8[[#This Row],[Document ID]],Table1[],10,FALSE)</f>
        <v>Archived</v>
      </c>
      <c r="H234" s="44" t="s">
        <v>2338</v>
      </c>
      <c r="I234" s="44" t="s">
        <v>2339</v>
      </c>
      <c r="J234" s="44" t="s">
        <v>2340</v>
      </c>
      <c r="K234" s="44" t="s">
        <v>2601</v>
      </c>
      <c r="L234" s="44" t="s">
        <v>2333</v>
      </c>
      <c r="M234" s="43"/>
      <c r="N234" s="113" t="s">
        <v>1113</v>
      </c>
      <c r="O234" s="113"/>
      <c r="P234" s="113"/>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t="s">
        <v>1113</v>
      </c>
      <c r="AL234" s="319"/>
      <c r="AM234" s="319"/>
      <c r="AN234" s="319"/>
      <c r="AO234" s="44" t="s">
        <v>2334</v>
      </c>
      <c r="AP234" s="44"/>
      <c r="AQ234" s="236" t="str">
        <f>VLOOKUP(Table8[[#This Row],[Instrument]],Def_Targets!$D$73:$E$159,2,FALSE)</f>
        <v>I_Vehicleimprove</v>
      </c>
      <c r="AR234" s="233" t="str">
        <f>VLOOKUP(Table8[[#This Row],[Country Code]],Table29[],3,FALSE)</f>
        <v>Non-Annex I</v>
      </c>
      <c r="AS234" s="233" t="str">
        <f>VLOOKUP(Table8[[#This Row],[Country Code]],Table29[],4,FALSE)</f>
        <v>Latin America and the Caribbean</v>
      </c>
      <c r="AT234" s="233" t="str">
        <f>VLOOKUP(Table8[[#This Row],[Country Code]],Table29[],5,FALSE)</f>
        <v>Middle-income</v>
      </c>
      <c r="AU234" s="233" t="str">
        <f>VLOOKUP(Table8[[#This Row],[Country Code]],Table29[],6,FALSE)</f>
        <v>no</v>
      </c>
      <c r="AV234" s="233" t="str">
        <f>VLOOKUP(Table8[[#This Row],[Country Code]],Table29[],7,FALSE)</f>
        <v>no</v>
      </c>
      <c r="AW234" s="233" t="str">
        <f>VLOOKUP(Table8[[#This Row],[Country Code]],Table29[],8,FALSE)</f>
        <v>non-OECD</v>
      </c>
      <c r="AX234" s="233" t="str">
        <f>VLOOKUP(Table8[[#This Row],[Country Code]],Table29[],9,FALSE)</f>
        <v>no</v>
      </c>
      <c r="AY234" s="233" t="str">
        <f>VLOOKUP(Table8[[#This Row],[Country Code]],Table29[],10,FALSE)</f>
        <v>no</v>
      </c>
      <c r="AZ234" s="235">
        <f>VLOOKUP(Table8[[#This Row],[Country Code]],Table29[],23,FALSE)</f>
        <v>0.92034733748830999</v>
      </c>
      <c r="BA234" s="235">
        <f>VLOOKUP(Table8[[#This Row],[Country Code]],Table29[],24,FALSE)</f>
        <v>9.6336672952528554E-2</v>
      </c>
      <c r="BB234" s="320"/>
      <c r="BC234" s="320"/>
    </row>
    <row r="235" spans="1:55" s="15" customFormat="1" ht="30" hidden="1" x14ac:dyDescent="0.25">
      <c r="A235" s="373">
        <v>21711</v>
      </c>
      <c r="B235" s="233" t="str">
        <f>VLOOKUP(Table8[[#This Row],[Document ID]],Table1[],2,FALSE)</f>
        <v>BLZ</v>
      </c>
      <c r="C235" s="233" t="str">
        <f>VLOOKUP(Table8[[#This Row],[Document ID]],Table1[],3,FALSE)</f>
        <v>Belize</v>
      </c>
      <c r="D235" s="243" t="str">
        <f>VLOOKUP(Table8[[#This Row],[Document ID]],Table1[],5,FALSE)</f>
        <v>NDC</v>
      </c>
      <c r="E235" s="233" t="str">
        <f>VLOOKUP(Table8[[#This Row],[Document ID]],Table1[],7,FALSE)</f>
        <v>First NDC updated</v>
      </c>
      <c r="F235" s="233" t="str">
        <f>VLOOKUP(Table8[[#This Row],[Document ID]],Table1[],8,FALSE)</f>
        <v>NDC 1.1</v>
      </c>
      <c r="G235" s="233" t="str">
        <f>VLOOKUP(Table8[[#This Row],[Document ID]],Table1[],10,FALSE)</f>
        <v>Active</v>
      </c>
      <c r="H235" s="44" t="s">
        <v>2338</v>
      </c>
      <c r="I235" s="44" t="s">
        <v>2339</v>
      </c>
      <c r="J235" s="44" t="s">
        <v>2340</v>
      </c>
      <c r="K235" s="44" t="s">
        <v>2602</v>
      </c>
      <c r="L235" s="44" t="s">
        <v>2333</v>
      </c>
      <c r="M235" s="43">
        <v>20</v>
      </c>
      <c r="N235" s="113"/>
      <c r="O235" s="113"/>
      <c r="P235" s="113"/>
      <c r="Q235" s="113"/>
      <c r="R235" s="113"/>
      <c r="S235" s="113"/>
      <c r="T235" s="113"/>
      <c r="U235" s="113"/>
      <c r="V235" s="113"/>
      <c r="W235" s="113"/>
      <c r="X235" s="113"/>
      <c r="Y235" s="113" t="s">
        <v>1113</v>
      </c>
      <c r="Z235" s="113"/>
      <c r="AA235" s="113"/>
      <c r="AB235" s="113"/>
      <c r="AC235" s="113"/>
      <c r="AD235" s="113"/>
      <c r="AE235" s="113"/>
      <c r="AF235" s="113"/>
      <c r="AG235" s="113"/>
      <c r="AH235" s="113"/>
      <c r="AI235" s="113"/>
      <c r="AJ235" s="113"/>
      <c r="AK235" s="113" t="s">
        <v>1113</v>
      </c>
      <c r="AL235" s="113"/>
      <c r="AM235" s="113"/>
      <c r="AN235" s="113"/>
      <c r="AO235" s="43" t="s">
        <v>2348</v>
      </c>
      <c r="AP235" s="43"/>
      <c r="AQ235" s="236" t="str">
        <f>VLOOKUP(Table8[[#This Row],[Instrument]],Def_Targets!$D$73:$E$159,2,FALSE)</f>
        <v>I_Vehicleimprove</v>
      </c>
      <c r="AR235" s="233" t="str">
        <f>VLOOKUP(Table8[[#This Row],[Country Code]],Table29[],3,FALSE)</f>
        <v>Non-Annex I</v>
      </c>
      <c r="AS235" s="233" t="str">
        <f>VLOOKUP(Table8[[#This Row],[Country Code]],Table29[],4,FALSE)</f>
        <v>Latin America and the Caribbean</v>
      </c>
      <c r="AT235" s="233" t="str">
        <f>VLOOKUP(Table8[[#This Row],[Country Code]],Table29[],5,FALSE)</f>
        <v>Middle-income</v>
      </c>
      <c r="AU235" s="233" t="str">
        <f>VLOOKUP(Table8[[#This Row],[Country Code]],Table29[],6,FALSE)</f>
        <v>no</v>
      </c>
      <c r="AV235" s="233" t="str">
        <f>VLOOKUP(Table8[[#This Row],[Country Code]],Table29[],7,FALSE)</f>
        <v>no</v>
      </c>
      <c r="AW235" s="233" t="str">
        <f>VLOOKUP(Table8[[#This Row],[Country Code]],Table29[],8,FALSE)</f>
        <v>non-OECD</v>
      </c>
      <c r="AX235" s="233" t="str">
        <f>VLOOKUP(Table8[[#This Row],[Country Code]],Table29[],9,FALSE)</f>
        <v>no</v>
      </c>
      <c r="AY235" s="233" t="str">
        <f>VLOOKUP(Table8[[#This Row],[Country Code]],Table29[],10,FALSE)</f>
        <v>no</v>
      </c>
      <c r="AZ235" s="235">
        <f>VLOOKUP(Table8[[#This Row],[Country Code]],Table29[],23,FALSE)</f>
        <v>0.92034733748830999</v>
      </c>
      <c r="BA235" s="235">
        <f>VLOOKUP(Table8[[#This Row],[Country Code]],Table29[],24,FALSE)</f>
        <v>9.6336672952528554E-2</v>
      </c>
      <c r="BB235" s="320"/>
      <c r="BC235" s="320"/>
    </row>
    <row r="236" spans="1:55" ht="30" hidden="1" x14ac:dyDescent="0.25">
      <c r="A236" s="373">
        <v>21711</v>
      </c>
      <c r="B236" s="233" t="str">
        <f>VLOOKUP(Table8[[#This Row],[Document ID]],Table1[],2,FALSE)</f>
        <v>BLZ</v>
      </c>
      <c r="C236" s="233" t="str">
        <f>VLOOKUP(Table8[[#This Row],[Document ID]],Table1[],3,FALSE)</f>
        <v>Belize</v>
      </c>
      <c r="D236" s="243" t="str">
        <f>VLOOKUP(Table8[[#This Row],[Document ID]],Table1[],5,FALSE)</f>
        <v>NDC</v>
      </c>
      <c r="E236" s="233" t="str">
        <f>VLOOKUP(Table8[[#This Row],[Document ID]],Table1[],7,FALSE)</f>
        <v>First NDC updated</v>
      </c>
      <c r="F236" s="233" t="str">
        <f>VLOOKUP(Table8[[#This Row],[Document ID]],Table1[],8,FALSE)</f>
        <v>NDC 1.1</v>
      </c>
      <c r="G236" s="233" t="str">
        <f>VLOOKUP(Table8[[#This Row],[Document ID]],Table1[],10,FALSE)</f>
        <v>Active</v>
      </c>
      <c r="H236" s="44" t="s">
        <v>2338</v>
      </c>
      <c r="I236" s="44" t="s">
        <v>2339</v>
      </c>
      <c r="J236" s="44" t="s">
        <v>2355</v>
      </c>
      <c r="K236" s="44" t="s">
        <v>2603</v>
      </c>
      <c r="L236" s="44" t="s">
        <v>2333</v>
      </c>
      <c r="M236" s="43">
        <v>20</v>
      </c>
      <c r="N236" s="113" t="s">
        <v>1113</v>
      </c>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t="s">
        <v>1113</v>
      </c>
      <c r="AL236" s="113"/>
      <c r="AM236" s="113"/>
      <c r="AN236" s="113"/>
      <c r="AO236" s="44" t="s">
        <v>2334</v>
      </c>
      <c r="AP236" s="43"/>
      <c r="AQ236" s="236" t="str">
        <f>VLOOKUP(Table8[[#This Row],[Instrument]],Def_Targets!$D$73:$E$159,2,FALSE)</f>
        <v>I_Vehiclelabel</v>
      </c>
      <c r="AR236" s="233" t="str">
        <f>VLOOKUP(Table8[[#This Row],[Country Code]],Table29[],3,FALSE)</f>
        <v>Non-Annex I</v>
      </c>
      <c r="AS236" s="233" t="str">
        <f>VLOOKUP(Table8[[#This Row],[Country Code]],Table29[],4,FALSE)</f>
        <v>Latin America and the Caribbean</v>
      </c>
      <c r="AT236" s="233" t="str">
        <f>VLOOKUP(Table8[[#This Row],[Country Code]],Table29[],5,FALSE)</f>
        <v>Middle-income</v>
      </c>
      <c r="AU236" s="233" t="str">
        <f>VLOOKUP(Table8[[#This Row],[Country Code]],Table29[],6,FALSE)</f>
        <v>no</v>
      </c>
      <c r="AV236" s="233" t="str">
        <f>VLOOKUP(Table8[[#This Row],[Country Code]],Table29[],7,FALSE)</f>
        <v>no</v>
      </c>
      <c r="AW236" s="233" t="str">
        <f>VLOOKUP(Table8[[#This Row],[Country Code]],Table29[],8,FALSE)</f>
        <v>non-OECD</v>
      </c>
      <c r="AX236" s="233" t="str">
        <f>VLOOKUP(Table8[[#This Row],[Country Code]],Table29[],9,FALSE)</f>
        <v>no</v>
      </c>
      <c r="AY236" s="233" t="str">
        <f>VLOOKUP(Table8[[#This Row],[Country Code]],Table29[],10,FALSE)</f>
        <v>no</v>
      </c>
      <c r="AZ236" s="235">
        <f>VLOOKUP(Table8[[#This Row],[Country Code]],Table29[],23,FALSE)</f>
        <v>0.92034733748830999</v>
      </c>
      <c r="BA236" s="235">
        <f>VLOOKUP(Table8[[#This Row],[Country Code]],Table29[],24,FALSE)</f>
        <v>9.6336672952528554E-2</v>
      </c>
      <c r="BB236" s="320"/>
      <c r="BC236" s="320"/>
    </row>
    <row r="237" spans="1:55" hidden="1" x14ac:dyDescent="0.25">
      <c r="A237" s="373">
        <v>21711</v>
      </c>
      <c r="B237" s="233" t="str">
        <f>VLOOKUP(Table8[[#This Row],[Document ID]],Table1[],2,FALSE)</f>
        <v>BLZ</v>
      </c>
      <c r="C237" s="233" t="str">
        <f>VLOOKUP(Table8[[#This Row],[Document ID]],Table1[],3,FALSE)</f>
        <v>Belize</v>
      </c>
      <c r="D237" s="243" t="str">
        <f>VLOOKUP(Table8[[#This Row],[Document ID]],Table1[],5,FALSE)</f>
        <v>NDC</v>
      </c>
      <c r="E237" s="233" t="str">
        <f>VLOOKUP(Table8[[#This Row],[Document ID]],Table1[],7,FALSE)</f>
        <v>First NDC updated</v>
      </c>
      <c r="F237" s="233" t="str">
        <f>VLOOKUP(Table8[[#This Row],[Document ID]],Table1[],8,FALSE)</f>
        <v>NDC 1.1</v>
      </c>
      <c r="G237" s="233" t="str">
        <f>VLOOKUP(Table8[[#This Row],[Document ID]],Table1[],10,FALSE)</f>
        <v>Active</v>
      </c>
      <c r="H237" s="44" t="s">
        <v>2338</v>
      </c>
      <c r="I237" s="44" t="s">
        <v>2339</v>
      </c>
      <c r="J237" s="44" t="s">
        <v>2451</v>
      </c>
      <c r="K237" s="44" t="s">
        <v>2604</v>
      </c>
      <c r="L237" s="44" t="s">
        <v>2333</v>
      </c>
      <c r="M237" s="43">
        <v>20</v>
      </c>
      <c r="N237" s="113" t="s">
        <v>1113</v>
      </c>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t="s">
        <v>1113</v>
      </c>
      <c r="AL237" s="113"/>
      <c r="AM237" s="113"/>
      <c r="AN237" s="113"/>
      <c r="AO237" s="44" t="s">
        <v>2334</v>
      </c>
      <c r="AP237" s="43"/>
      <c r="AQ237" s="236" t="str">
        <f>VLOOKUP(Table8[[#This Row],[Instrument]],Def_Targets!$D$73:$E$159,2,FALSE)</f>
        <v>I_Inspection</v>
      </c>
      <c r="AR237" s="233" t="str">
        <f>VLOOKUP(Table8[[#This Row],[Country Code]],Table29[],3,FALSE)</f>
        <v>Non-Annex I</v>
      </c>
      <c r="AS237" s="233" t="str">
        <f>VLOOKUP(Table8[[#This Row],[Country Code]],Table29[],4,FALSE)</f>
        <v>Latin America and the Caribbean</v>
      </c>
      <c r="AT237" s="233" t="str">
        <f>VLOOKUP(Table8[[#This Row],[Country Code]],Table29[],5,FALSE)</f>
        <v>Middle-income</v>
      </c>
      <c r="AU237" s="233" t="str">
        <f>VLOOKUP(Table8[[#This Row],[Country Code]],Table29[],6,FALSE)</f>
        <v>no</v>
      </c>
      <c r="AV237" s="233" t="str">
        <f>VLOOKUP(Table8[[#This Row],[Country Code]],Table29[],7,FALSE)</f>
        <v>no</v>
      </c>
      <c r="AW237" s="233" t="str">
        <f>VLOOKUP(Table8[[#This Row],[Country Code]],Table29[],8,FALSE)</f>
        <v>non-OECD</v>
      </c>
      <c r="AX237" s="233" t="str">
        <f>VLOOKUP(Table8[[#This Row],[Country Code]],Table29[],9,FALSE)</f>
        <v>no</v>
      </c>
      <c r="AY237" s="233" t="str">
        <f>VLOOKUP(Table8[[#This Row],[Country Code]],Table29[],10,FALSE)</f>
        <v>no</v>
      </c>
      <c r="AZ237" s="235">
        <f>VLOOKUP(Table8[[#This Row],[Country Code]],Table29[],23,FALSE)</f>
        <v>0.92034733748830999</v>
      </c>
      <c r="BA237" s="235">
        <f>VLOOKUP(Table8[[#This Row],[Country Code]],Table29[],24,FALSE)</f>
        <v>9.6336672952528554E-2</v>
      </c>
      <c r="BB237" s="320"/>
      <c r="BC237" s="320"/>
    </row>
    <row r="238" spans="1:55" hidden="1" x14ac:dyDescent="0.25">
      <c r="A238" s="373">
        <v>21711</v>
      </c>
      <c r="B238" s="233" t="str">
        <f>VLOOKUP(Table8[[#This Row],[Document ID]],Table1[],2,FALSE)</f>
        <v>BLZ</v>
      </c>
      <c r="C238" s="233" t="str">
        <f>VLOOKUP(Table8[[#This Row],[Document ID]],Table1[],3,FALSE)</f>
        <v>Belize</v>
      </c>
      <c r="D238" s="243" t="str">
        <f>VLOOKUP(Table8[[#This Row],[Document ID]],Table1[],5,FALSE)</f>
        <v>NDC</v>
      </c>
      <c r="E238" s="233" t="str">
        <f>VLOOKUP(Table8[[#This Row],[Document ID]],Table1[],7,FALSE)</f>
        <v>First NDC updated</v>
      </c>
      <c r="F238" s="233" t="str">
        <f>VLOOKUP(Table8[[#This Row],[Document ID]],Table1[],8,FALSE)</f>
        <v>NDC 1.1</v>
      </c>
      <c r="G238" s="233" t="str">
        <f>VLOOKUP(Table8[[#This Row],[Document ID]],Table1[],10,FALSE)</f>
        <v>Active</v>
      </c>
      <c r="H238" s="44" t="s">
        <v>2338</v>
      </c>
      <c r="I238" s="44" t="s">
        <v>2339</v>
      </c>
      <c r="J238" s="44" t="s">
        <v>2413</v>
      </c>
      <c r="K238" s="44" t="s">
        <v>2605</v>
      </c>
      <c r="L238" s="44" t="s">
        <v>2333</v>
      </c>
      <c r="M238" s="43">
        <v>20</v>
      </c>
      <c r="N238" s="113" t="s">
        <v>1113</v>
      </c>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t="s">
        <v>1113</v>
      </c>
      <c r="AL238" s="113"/>
      <c r="AM238" s="113"/>
      <c r="AN238" s="113"/>
      <c r="AO238" s="44" t="s">
        <v>2334</v>
      </c>
      <c r="AP238" s="43"/>
      <c r="AQ238" s="236" t="str">
        <f>VLOOKUP(Table8[[#This Row],[Instrument]],Def_Targets!$D$73:$E$159,2,FALSE)</f>
        <v>I_Vehicleeff</v>
      </c>
      <c r="AR238" s="233" t="str">
        <f>VLOOKUP(Table8[[#This Row],[Country Code]],Table29[],3,FALSE)</f>
        <v>Non-Annex I</v>
      </c>
      <c r="AS238" s="233" t="str">
        <f>VLOOKUP(Table8[[#This Row],[Country Code]],Table29[],4,FALSE)</f>
        <v>Latin America and the Caribbean</v>
      </c>
      <c r="AT238" s="233" t="str">
        <f>VLOOKUP(Table8[[#This Row],[Country Code]],Table29[],5,FALSE)</f>
        <v>Middle-income</v>
      </c>
      <c r="AU238" s="233" t="str">
        <f>VLOOKUP(Table8[[#This Row],[Country Code]],Table29[],6,FALSE)</f>
        <v>no</v>
      </c>
      <c r="AV238" s="233" t="str">
        <f>VLOOKUP(Table8[[#This Row],[Country Code]],Table29[],7,FALSE)</f>
        <v>no</v>
      </c>
      <c r="AW238" s="233" t="str">
        <f>VLOOKUP(Table8[[#This Row],[Country Code]],Table29[],8,FALSE)</f>
        <v>non-OECD</v>
      </c>
      <c r="AX238" s="233" t="str">
        <f>VLOOKUP(Table8[[#This Row],[Country Code]],Table29[],9,FALSE)</f>
        <v>no</v>
      </c>
      <c r="AY238" s="233" t="str">
        <f>VLOOKUP(Table8[[#This Row],[Country Code]],Table29[],10,FALSE)</f>
        <v>no</v>
      </c>
      <c r="AZ238" s="235">
        <f>VLOOKUP(Table8[[#This Row],[Country Code]],Table29[],23,FALSE)</f>
        <v>0.92034733748830999</v>
      </c>
      <c r="BA238" s="235">
        <f>VLOOKUP(Table8[[#This Row],[Country Code]],Table29[],24,FALSE)</f>
        <v>9.6336672952528554E-2</v>
      </c>
      <c r="BB238" s="320"/>
      <c r="BC238" s="320"/>
    </row>
    <row r="239" spans="1:55" hidden="1" x14ac:dyDescent="0.25">
      <c r="A239" s="373">
        <v>21711</v>
      </c>
      <c r="B239" s="233" t="str">
        <f>VLOOKUP(Table8[[#This Row],[Document ID]],Table1[],2,FALSE)</f>
        <v>BLZ</v>
      </c>
      <c r="C239" s="233" t="str">
        <f>VLOOKUP(Table8[[#This Row],[Document ID]],Table1[],3,FALSE)</f>
        <v>Belize</v>
      </c>
      <c r="D239" s="243" t="str">
        <f>VLOOKUP(Table8[[#This Row],[Document ID]],Table1[],5,FALSE)</f>
        <v>NDC</v>
      </c>
      <c r="E239" s="233" t="str">
        <f>VLOOKUP(Table8[[#This Row],[Document ID]],Table1[],7,FALSE)</f>
        <v>First NDC updated</v>
      </c>
      <c r="F239" s="233" t="str">
        <f>VLOOKUP(Table8[[#This Row],[Document ID]],Table1[],8,FALSE)</f>
        <v>NDC 1.1</v>
      </c>
      <c r="G239" s="233" t="str">
        <f>VLOOKUP(Table8[[#This Row],[Document ID]],Table1[],10,FALSE)</f>
        <v>Active</v>
      </c>
      <c r="H239" s="43" t="s">
        <v>2343</v>
      </c>
      <c r="I239" s="43" t="s">
        <v>2386</v>
      </c>
      <c r="J239" s="44" t="s">
        <v>2530</v>
      </c>
      <c r="K239" s="44" t="s">
        <v>2606</v>
      </c>
      <c r="L239" s="44" t="s">
        <v>2333</v>
      </c>
      <c r="M239" s="43">
        <v>20</v>
      </c>
      <c r="N239" s="113" t="s">
        <v>1113</v>
      </c>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t="s">
        <v>1113</v>
      </c>
      <c r="AL239" s="113"/>
      <c r="AM239" s="113"/>
      <c r="AN239" s="113"/>
      <c r="AO239" s="44" t="s">
        <v>2334</v>
      </c>
      <c r="AP239" s="43"/>
      <c r="AQ239" s="236" t="str">
        <f>VLOOKUP(Table8[[#This Row],[Instrument]],Def_Targets!$D$73:$E$159,2,FALSE)</f>
        <v>A_Vehicletax</v>
      </c>
      <c r="AR239" s="233" t="str">
        <f>VLOOKUP(Table8[[#This Row],[Country Code]],Table29[],3,FALSE)</f>
        <v>Non-Annex I</v>
      </c>
      <c r="AS239" s="233" t="str">
        <f>VLOOKUP(Table8[[#This Row],[Country Code]],Table29[],4,FALSE)</f>
        <v>Latin America and the Caribbean</v>
      </c>
      <c r="AT239" s="233" t="str">
        <f>VLOOKUP(Table8[[#This Row],[Country Code]],Table29[],5,FALSE)</f>
        <v>Middle-income</v>
      </c>
      <c r="AU239" s="233" t="str">
        <f>VLOOKUP(Table8[[#This Row],[Country Code]],Table29[],6,FALSE)</f>
        <v>no</v>
      </c>
      <c r="AV239" s="233" t="str">
        <f>VLOOKUP(Table8[[#This Row],[Country Code]],Table29[],7,FALSE)</f>
        <v>no</v>
      </c>
      <c r="AW239" s="233" t="str">
        <f>VLOOKUP(Table8[[#This Row],[Country Code]],Table29[],8,FALSE)</f>
        <v>non-OECD</v>
      </c>
      <c r="AX239" s="233" t="str">
        <f>VLOOKUP(Table8[[#This Row],[Country Code]],Table29[],9,FALSE)</f>
        <v>no</v>
      </c>
      <c r="AY239" s="233" t="str">
        <f>VLOOKUP(Table8[[#This Row],[Country Code]],Table29[],10,FALSE)</f>
        <v>no</v>
      </c>
      <c r="AZ239" s="235">
        <f>VLOOKUP(Table8[[#This Row],[Country Code]],Table29[],23,FALSE)</f>
        <v>0.92034733748830999</v>
      </c>
      <c r="BA239" s="235">
        <f>VLOOKUP(Table8[[#This Row],[Country Code]],Table29[],24,FALSE)</f>
        <v>9.6336672952528554E-2</v>
      </c>
      <c r="BB239" s="320"/>
      <c r="BC239" s="320"/>
    </row>
    <row r="240" spans="1:55" ht="45" hidden="1" x14ac:dyDescent="0.25">
      <c r="A240" s="373">
        <v>21711</v>
      </c>
      <c r="B240" s="233" t="str">
        <f>VLOOKUP(Table8[[#This Row],[Document ID]],Table1[],2,FALSE)</f>
        <v>BLZ</v>
      </c>
      <c r="C240" s="233" t="str">
        <f>VLOOKUP(Table8[[#This Row],[Document ID]],Table1[],3,FALSE)</f>
        <v>Belize</v>
      </c>
      <c r="D240" s="243" t="str">
        <f>VLOOKUP(Table8[[#This Row],[Document ID]],Table1[],5,FALSE)</f>
        <v>NDC</v>
      </c>
      <c r="E240" s="233" t="str">
        <f>VLOOKUP(Table8[[#This Row],[Document ID]],Table1[],7,FALSE)</f>
        <v>First NDC updated</v>
      </c>
      <c r="F240" s="233" t="str">
        <f>VLOOKUP(Table8[[#This Row],[Document ID]],Table1[],8,FALSE)</f>
        <v>NDC 1.1</v>
      </c>
      <c r="G240" s="233" t="str">
        <f>VLOOKUP(Table8[[#This Row],[Document ID]],Table1[],10,FALSE)</f>
        <v>Active</v>
      </c>
      <c r="H240" s="43" t="s">
        <v>2358</v>
      </c>
      <c r="I240" s="43" t="s">
        <v>2359</v>
      </c>
      <c r="J240" s="44" t="s">
        <v>2360</v>
      </c>
      <c r="K240" s="44" t="s">
        <v>2607</v>
      </c>
      <c r="L240" s="44" t="s">
        <v>2333</v>
      </c>
      <c r="M240" s="43">
        <v>20</v>
      </c>
      <c r="N240" s="113"/>
      <c r="O240" s="113"/>
      <c r="P240" s="113"/>
      <c r="Q240" s="113"/>
      <c r="R240" s="113"/>
      <c r="S240" s="113"/>
      <c r="T240" s="113"/>
      <c r="U240" s="113"/>
      <c r="V240" s="113"/>
      <c r="W240" s="113"/>
      <c r="X240" s="113"/>
      <c r="Y240" s="113" t="s">
        <v>1113</v>
      </c>
      <c r="Z240" s="113"/>
      <c r="AA240" s="113"/>
      <c r="AB240" s="113"/>
      <c r="AC240" s="113"/>
      <c r="AD240" s="113"/>
      <c r="AE240" s="113"/>
      <c r="AF240" s="113"/>
      <c r="AG240" s="113"/>
      <c r="AH240" s="113"/>
      <c r="AI240" s="113"/>
      <c r="AJ240" s="113"/>
      <c r="AK240" s="113" t="s">
        <v>1113</v>
      </c>
      <c r="AL240" s="113"/>
      <c r="AM240" s="113"/>
      <c r="AN240" s="113"/>
      <c r="AO240" s="43" t="s">
        <v>2348</v>
      </c>
      <c r="AP240" s="43"/>
      <c r="AQ240" s="236" t="str">
        <f>VLOOKUP(Table8[[#This Row],[Instrument]],Def_Targets!$D$73:$E$159,2,FALSE)</f>
        <v>I_Emobility</v>
      </c>
      <c r="AR240" s="233" t="str">
        <f>VLOOKUP(Table8[[#This Row],[Country Code]],Table29[],3,FALSE)</f>
        <v>Non-Annex I</v>
      </c>
      <c r="AS240" s="233" t="str">
        <f>VLOOKUP(Table8[[#This Row],[Country Code]],Table29[],4,FALSE)</f>
        <v>Latin America and the Caribbean</v>
      </c>
      <c r="AT240" s="233" t="str">
        <f>VLOOKUP(Table8[[#This Row],[Country Code]],Table29[],5,FALSE)</f>
        <v>Middle-income</v>
      </c>
      <c r="AU240" s="233" t="str">
        <f>VLOOKUP(Table8[[#This Row],[Country Code]],Table29[],6,FALSE)</f>
        <v>no</v>
      </c>
      <c r="AV240" s="233" t="str">
        <f>VLOOKUP(Table8[[#This Row],[Country Code]],Table29[],7,FALSE)</f>
        <v>no</v>
      </c>
      <c r="AW240" s="233" t="str">
        <f>VLOOKUP(Table8[[#This Row],[Country Code]],Table29[],8,FALSE)</f>
        <v>non-OECD</v>
      </c>
      <c r="AX240" s="233" t="str">
        <f>VLOOKUP(Table8[[#This Row],[Country Code]],Table29[],9,FALSE)</f>
        <v>no</v>
      </c>
      <c r="AY240" s="233" t="str">
        <f>VLOOKUP(Table8[[#This Row],[Country Code]],Table29[],10,FALSE)</f>
        <v>no</v>
      </c>
      <c r="AZ240" s="235">
        <f>VLOOKUP(Table8[[#This Row],[Country Code]],Table29[],23,FALSE)</f>
        <v>0.92034733748830999</v>
      </c>
      <c r="BA240" s="235">
        <f>VLOOKUP(Table8[[#This Row],[Country Code]],Table29[],24,FALSE)</f>
        <v>9.6336672952528554E-2</v>
      </c>
      <c r="BB240" s="320"/>
      <c r="BC240" s="320"/>
    </row>
    <row r="241" spans="1:55" hidden="1" x14ac:dyDescent="0.25">
      <c r="A241" s="373">
        <v>21711</v>
      </c>
      <c r="B241" s="233" t="str">
        <f>VLOOKUP(Table8[[#This Row],[Document ID]],Table1[],2,FALSE)</f>
        <v>BLZ</v>
      </c>
      <c r="C241" s="233" t="str">
        <f>VLOOKUP(Table8[[#This Row],[Document ID]],Table1[],3,FALSE)</f>
        <v>Belize</v>
      </c>
      <c r="D241" s="243" t="str">
        <f>VLOOKUP(Table8[[#This Row],[Document ID]],Table1[],5,FALSE)</f>
        <v>NDC</v>
      </c>
      <c r="E241" s="233" t="str">
        <f>VLOOKUP(Table8[[#This Row],[Document ID]],Table1[],7,FALSE)</f>
        <v>First NDC updated</v>
      </c>
      <c r="F241" s="233" t="str">
        <f>VLOOKUP(Table8[[#This Row],[Document ID]],Table1[],8,FALSE)</f>
        <v>NDC 1.1</v>
      </c>
      <c r="G241" s="233" t="str">
        <f>VLOOKUP(Table8[[#This Row],[Document ID]],Table1[],10,FALSE)</f>
        <v>Active</v>
      </c>
      <c r="H241" s="43" t="s">
        <v>2358</v>
      </c>
      <c r="I241" s="43" t="s">
        <v>2359</v>
      </c>
      <c r="J241" s="44" t="s">
        <v>2383</v>
      </c>
      <c r="K241" s="44" t="s">
        <v>2608</v>
      </c>
      <c r="L241" s="44" t="s">
        <v>2333</v>
      </c>
      <c r="M241" s="43">
        <v>20</v>
      </c>
      <c r="N241" s="113" t="s">
        <v>1113</v>
      </c>
      <c r="O241" s="113"/>
      <c r="P241" s="113"/>
      <c r="Q241" s="113"/>
      <c r="R241" s="113"/>
      <c r="S241" s="113"/>
      <c r="T241" s="113"/>
      <c r="U241" s="113"/>
      <c r="V241" s="113"/>
      <c r="W241" s="113"/>
      <c r="X241" s="113"/>
      <c r="Y241" s="113"/>
      <c r="Z241" s="113"/>
      <c r="AA241" s="113"/>
      <c r="AB241" s="113"/>
      <c r="AC241" s="113"/>
      <c r="AD241" s="113"/>
      <c r="AE241" s="113"/>
      <c r="AF241" s="113"/>
      <c r="AG241" s="113"/>
      <c r="AH241" s="113"/>
      <c r="AI241" s="113"/>
      <c r="AJ241" s="113"/>
      <c r="AK241" s="113" t="s">
        <v>1113</v>
      </c>
      <c r="AL241" s="113"/>
      <c r="AM241" s="113"/>
      <c r="AN241" s="113"/>
      <c r="AO241" s="44" t="s">
        <v>2334</v>
      </c>
      <c r="AP241" s="43"/>
      <c r="AQ241" s="236" t="str">
        <f>VLOOKUP(Table8[[#This Row],[Instrument]],Def_Targets!$D$73:$E$159,2,FALSE)</f>
        <v>I_Emobilitycharging</v>
      </c>
      <c r="AR241" s="233" t="str">
        <f>VLOOKUP(Table8[[#This Row],[Country Code]],Table29[],3,FALSE)</f>
        <v>Non-Annex I</v>
      </c>
      <c r="AS241" s="233" t="str">
        <f>VLOOKUP(Table8[[#This Row],[Country Code]],Table29[],4,FALSE)</f>
        <v>Latin America and the Caribbean</v>
      </c>
      <c r="AT241" s="233" t="str">
        <f>VLOOKUP(Table8[[#This Row],[Country Code]],Table29[],5,FALSE)</f>
        <v>Middle-income</v>
      </c>
      <c r="AU241" s="233" t="str">
        <f>VLOOKUP(Table8[[#This Row],[Country Code]],Table29[],6,FALSE)</f>
        <v>no</v>
      </c>
      <c r="AV241" s="233" t="str">
        <f>VLOOKUP(Table8[[#This Row],[Country Code]],Table29[],7,FALSE)</f>
        <v>no</v>
      </c>
      <c r="AW241" s="233" t="str">
        <f>VLOOKUP(Table8[[#This Row],[Country Code]],Table29[],8,FALSE)</f>
        <v>non-OECD</v>
      </c>
      <c r="AX241" s="233" t="str">
        <f>VLOOKUP(Table8[[#This Row],[Country Code]],Table29[],9,FALSE)</f>
        <v>no</v>
      </c>
      <c r="AY241" s="233" t="str">
        <f>VLOOKUP(Table8[[#This Row],[Country Code]],Table29[],10,FALSE)</f>
        <v>no</v>
      </c>
      <c r="AZ241" s="235">
        <f>VLOOKUP(Table8[[#This Row],[Country Code]],Table29[],23,FALSE)</f>
        <v>0.92034733748830999</v>
      </c>
      <c r="BA241" s="235">
        <f>VLOOKUP(Table8[[#This Row],[Country Code]],Table29[],24,FALSE)</f>
        <v>9.6336672952528554E-2</v>
      </c>
      <c r="BB241" s="320"/>
      <c r="BC241" s="320"/>
    </row>
    <row r="242" spans="1:55" ht="30" hidden="1" x14ac:dyDescent="0.25">
      <c r="A242" s="373">
        <v>24678</v>
      </c>
      <c r="B242" s="233" t="str">
        <f>VLOOKUP(Table8[[#This Row],[Document ID]],Table1[],2,FALSE)</f>
        <v>AUT</v>
      </c>
      <c r="C242" s="233" t="str">
        <f>VLOOKUP(Table8[[#This Row],[Document ID]],Table1[],3,FALSE)</f>
        <v>Austria</v>
      </c>
      <c r="D242" s="243" t="str">
        <f>VLOOKUP(Table8[[#This Row],[Document ID]],Table1[],5,FALSE)</f>
        <v>LTS</v>
      </c>
      <c r="E242" s="233" t="str">
        <f>VLOOKUP(Table8[[#This Row],[Document ID]],Table1[],7,FALSE)</f>
        <v>LTS</v>
      </c>
      <c r="F242" s="233" t="str">
        <f>VLOOKUP(Table8[[#This Row],[Document ID]],Table1[],8,FALSE)</f>
        <v>LTS 1.0</v>
      </c>
      <c r="G242" s="233" t="str">
        <f>VLOOKUP(Table8[[#This Row],[Document ID]],Table1[],10,FALSE)</f>
        <v>Active</v>
      </c>
      <c r="H242" s="43" t="s">
        <v>2350</v>
      </c>
      <c r="I242" s="43" t="s">
        <v>2351</v>
      </c>
      <c r="J242" s="44" t="s">
        <v>2352</v>
      </c>
      <c r="K242" s="44" t="s">
        <v>2595</v>
      </c>
      <c r="L242" s="44" t="s">
        <v>2347</v>
      </c>
      <c r="M242" s="43">
        <v>50</v>
      </c>
      <c r="N242" s="113"/>
      <c r="O242" s="113"/>
      <c r="P242" s="113"/>
      <c r="Q242" s="113"/>
      <c r="R242" s="113"/>
      <c r="S242" s="113" t="s">
        <v>1113</v>
      </c>
      <c r="T242" s="113"/>
      <c r="U242" s="113"/>
      <c r="V242" s="113"/>
      <c r="W242" s="113"/>
      <c r="X242" s="113"/>
      <c r="Y242" s="113"/>
      <c r="Z242" s="113" t="s">
        <v>1113</v>
      </c>
      <c r="AA242" s="113"/>
      <c r="AB242" s="113"/>
      <c r="AC242" s="113"/>
      <c r="AD242" s="113"/>
      <c r="AE242" s="113"/>
      <c r="AF242" s="113"/>
      <c r="AG242" s="113"/>
      <c r="AH242" s="113"/>
      <c r="AI242" s="113"/>
      <c r="AJ242" s="113"/>
      <c r="AK242" s="319" t="s">
        <v>1113</v>
      </c>
      <c r="AL242" s="113"/>
      <c r="AM242" s="113"/>
      <c r="AN242" s="113"/>
      <c r="AO242" s="43" t="s">
        <v>2353</v>
      </c>
      <c r="AP242" s="43"/>
      <c r="AQ242" s="236" t="str">
        <f>VLOOKUP(Table8[[#This Row],[Instrument]],Def_Targets!$D$73:$E$159,2,FALSE)</f>
        <v>S_Railfreight</v>
      </c>
      <c r="AR242" s="233" t="str">
        <f>VLOOKUP(Table8[[#This Row],[Country Code]],Table29[],3,FALSE)</f>
        <v>Annex I</v>
      </c>
      <c r="AS242" s="233" t="str">
        <f>VLOOKUP(Table8[[#This Row],[Country Code]],Table29[],4,FALSE)</f>
        <v>Europe</v>
      </c>
      <c r="AT242" s="233" t="str">
        <f>VLOOKUP(Table8[[#This Row],[Country Code]],Table29[],5,FALSE)</f>
        <v>High-income</v>
      </c>
      <c r="AU242" s="233" t="str">
        <f>VLOOKUP(Table8[[#This Row],[Country Code]],Table29[],6,FALSE)</f>
        <v>no</v>
      </c>
      <c r="AV242" s="233" t="str">
        <f>VLOOKUP(Table8[[#This Row],[Country Code]],Table29[],7,FALSE)</f>
        <v>no</v>
      </c>
      <c r="AW242" s="233" t="str">
        <f>VLOOKUP(Table8[[#This Row],[Country Code]],Table29[],8,FALSE)</f>
        <v>OECD</v>
      </c>
      <c r="AX242" s="233" t="str">
        <f>VLOOKUP(Table8[[#This Row],[Country Code]],Table29[],9,FALSE)</f>
        <v>EU27</v>
      </c>
      <c r="AY242" s="233" t="str">
        <f>VLOOKUP(Table8[[#This Row],[Country Code]],Table29[],10,FALSE)</f>
        <v>no</v>
      </c>
      <c r="AZ242" s="235">
        <f>VLOOKUP(Table8[[#This Row],[Country Code]],Table29[],23,FALSE)</f>
        <v>72.921492529811999</v>
      </c>
      <c r="BA242" s="235">
        <f>VLOOKUP(Table8[[#This Row],[Country Code]],Table29[],24,FALSE)</f>
        <v>21.372731064834241</v>
      </c>
      <c r="BB242" s="320"/>
      <c r="BC242" s="320"/>
    </row>
    <row r="243" spans="1:55" hidden="1" x14ac:dyDescent="0.25">
      <c r="A243" s="373">
        <v>24678</v>
      </c>
      <c r="B243" s="233" t="str">
        <f>VLOOKUP(Table8[[#This Row],[Document ID]],Table1[],2,FALSE)</f>
        <v>AUT</v>
      </c>
      <c r="C243" s="233" t="str">
        <f>VLOOKUP(Table8[[#This Row],[Document ID]],Table1[],3,FALSE)</f>
        <v>Austria</v>
      </c>
      <c r="D243" s="243" t="str">
        <f>VLOOKUP(Table8[[#This Row],[Document ID]],Table1[],5,FALSE)</f>
        <v>LTS</v>
      </c>
      <c r="E243" s="233" t="str">
        <f>VLOOKUP(Table8[[#This Row],[Document ID]],Table1[],7,FALSE)</f>
        <v>LTS</v>
      </c>
      <c r="F243" s="233" t="str">
        <f>VLOOKUP(Table8[[#This Row],[Document ID]],Table1[],8,FALSE)</f>
        <v>LTS 1.0</v>
      </c>
      <c r="G243" s="233" t="str">
        <f>VLOOKUP(Table8[[#This Row],[Document ID]],Table1[],10,FALSE)</f>
        <v>Active</v>
      </c>
      <c r="H243" s="44" t="s">
        <v>2329</v>
      </c>
      <c r="I243" s="44" t="s">
        <v>2330</v>
      </c>
      <c r="J243" s="44" t="s">
        <v>2381</v>
      </c>
      <c r="K243" s="44" t="s">
        <v>2609</v>
      </c>
      <c r="L243" s="44" t="s">
        <v>2333</v>
      </c>
      <c r="M243" s="43">
        <v>50</v>
      </c>
      <c r="N243" s="113"/>
      <c r="O243" s="113"/>
      <c r="P243" s="113"/>
      <c r="Q243" s="113"/>
      <c r="R243" s="113"/>
      <c r="S243" s="113"/>
      <c r="T243" s="113"/>
      <c r="U243" s="113"/>
      <c r="V243" s="113"/>
      <c r="W243" s="113"/>
      <c r="X243" s="113"/>
      <c r="Y243" s="113"/>
      <c r="Z243" s="113"/>
      <c r="AA243" s="113"/>
      <c r="AB243" s="113"/>
      <c r="AC243" s="113"/>
      <c r="AD243" s="113"/>
      <c r="AE243" s="113"/>
      <c r="AF243" s="113" t="s">
        <v>1113</v>
      </c>
      <c r="AG243" s="113"/>
      <c r="AH243" s="113"/>
      <c r="AI243" s="113"/>
      <c r="AJ243" s="113"/>
      <c r="AK243" s="319" t="s">
        <v>1113</v>
      </c>
      <c r="AL243" s="113"/>
      <c r="AM243" s="113"/>
      <c r="AN243" s="113"/>
      <c r="AO243" s="44" t="s">
        <v>2334</v>
      </c>
      <c r="AP243" s="43"/>
      <c r="AQ243" s="236" t="str">
        <f>VLOOKUP(Table8[[#This Row],[Instrument]],Def_Targets!$D$73:$E$159,2,FALSE)</f>
        <v>I_RE</v>
      </c>
      <c r="AR243" s="233" t="str">
        <f>VLOOKUP(Table8[[#This Row],[Country Code]],Table29[],3,FALSE)</f>
        <v>Annex I</v>
      </c>
      <c r="AS243" s="233" t="str">
        <f>VLOOKUP(Table8[[#This Row],[Country Code]],Table29[],4,FALSE)</f>
        <v>Europe</v>
      </c>
      <c r="AT243" s="233" t="str">
        <f>VLOOKUP(Table8[[#This Row],[Country Code]],Table29[],5,FALSE)</f>
        <v>High-income</v>
      </c>
      <c r="AU243" s="233" t="str">
        <f>VLOOKUP(Table8[[#This Row],[Country Code]],Table29[],6,FALSE)</f>
        <v>no</v>
      </c>
      <c r="AV243" s="233" t="str">
        <f>VLOOKUP(Table8[[#This Row],[Country Code]],Table29[],7,FALSE)</f>
        <v>no</v>
      </c>
      <c r="AW243" s="233" t="str">
        <f>VLOOKUP(Table8[[#This Row],[Country Code]],Table29[],8,FALSE)</f>
        <v>OECD</v>
      </c>
      <c r="AX243" s="233" t="str">
        <f>VLOOKUP(Table8[[#This Row],[Country Code]],Table29[],9,FALSE)</f>
        <v>EU27</v>
      </c>
      <c r="AY243" s="233" t="str">
        <f>VLOOKUP(Table8[[#This Row],[Country Code]],Table29[],10,FALSE)</f>
        <v>no</v>
      </c>
      <c r="AZ243" s="235">
        <f>VLOOKUP(Table8[[#This Row],[Country Code]],Table29[],23,FALSE)</f>
        <v>72.921492529811999</v>
      </c>
      <c r="BA243" s="235">
        <f>VLOOKUP(Table8[[#This Row],[Country Code]],Table29[],24,FALSE)</f>
        <v>21.372731064834241</v>
      </c>
      <c r="BB243" s="320"/>
      <c r="BC243" s="320"/>
    </row>
    <row r="244" spans="1:55" ht="30" hidden="1" x14ac:dyDescent="0.25">
      <c r="A244" s="373">
        <v>17531</v>
      </c>
      <c r="B244" s="233" t="str">
        <f>VLOOKUP(Table8[[#This Row],[Document ID]],Table1[],2,FALSE)</f>
        <v>BEN</v>
      </c>
      <c r="C244" s="233" t="str">
        <f>VLOOKUP(Table8[[#This Row],[Document ID]],Table1[],3,FALSE)</f>
        <v>Benin</v>
      </c>
      <c r="D244" s="243" t="str">
        <f>VLOOKUP(Table8[[#This Row],[Document ID]],Table1[],5,FALSE)</f>
        <v>NDC</v>
      </c>
      <c r="E244" s="233" t="str">
        <f>VLOOKUP(Table8[[#This Row],[Document ID]],Table1[],7,FALSE)</f>
        <v>First NDC</v>
      </c>
      <c r="F244" s="236" t="str">
        <f>VLOOKUP(Table8[[#This Row],[Document ID]],Table1[],8,FALSE)</f>
        <v>NDC 1.0</v>
      </c>
      <c r="G244" s="236" t="str">
        <f>VLOOKUP(Table8[[#This Row],[Document ID]],Table1[],10,FALSE)</f>
        <v>Archived</v>
      </c>
      <c r="H244" s="43" t="s">
        <v>2343</v>
      </c>
      <c r="I244" s="43" t="s">
        <v>2429</v>
      </c>
      <c r="J244" s="44" t="s">
        <v>2610</v>
      </c>
      <c r="K244" s="44" t="s">
        <v>2611</v>
      </c>
      <c r="L244" s="44" t="s">
        <v>2333</v>
      </c>
      <c r="M244" s="43"/>
      <c r="N244" s="113" t="s">
        <v>1113</v>
      </c>
      <c r="O244" s="113"/>
      <c r="P244" s="113"/>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t="s">
        <v>1113</v>
      </c>
      <c r="AL244" s="319"/>
      <c r="AM244" s="319"/>
      <c r="AN244" s="319"/>
      <c r="AO244" s="44" t="s">
        <v>2334</v>
      </c>
      <c r="AP244" s="44"/>
      <c r="AQ244" s="236" t="e">
        <f>VLOOKUP(Table8[[#This Row],[Instrument]],Def_Targets!$D$73:$E$159,2,FALSE)</f>
        <v>#N/A</v>
      </c>
      <c r="AR244" s="233" t="str">
        <f>VLOOKUP(Table8[[#This Row],[Country Code]],Table29[],3,FALSE)</f>
        <v>Non-Annex I</v>
      </c>
      <c r="AS244" s="233" t="str">
        <f>VLOOKUP(Table8[[#This Row],[Country Code]],Table29[],4,FALSE)</f>
        <v>Africa</v>
      </c>
      <c r="AT244" s="233" t="str">
        <f>VLOOKUP(Table8[[#This Row],[Country Code]],Table29[],5,FALSE)</f>
        <v>Middle-income</v>
      </c>
      <c r="AU244" s="233" t="str">
        <f>VLOOKUP(Table8[[#This Row],[Country Code]],Table29[],6,FALSE)</f>
        <v>no</v>
      </c>
      <c r="AV244" s="233" t="str">
        <f>VLOOKUP(Table8[[#This Row],[Country Code]],Table29[],7,FALSE)</f>
        <v>no</v>
      </c>
      <c r="AW244" s="233" t="str">
        <f>VLOOKUP(Table8[[#This Row],[Country Code]],Table29[],8,FALSE)</f>
        <v>non-OECD</v>
      </c>
      <c r="AX244" s="233" t="str">
        <f>VLOOKUP(Table8[[#This Row],[Country Code]],Table29[],9,FALSE)</f>
        <v>no</v>
      </c>
      <c r="AY244" s="233" t="str">
        <f>VLOOKUP(Table8[[#This Row],[Country Code]],Table29[],10,FALSE)</f>
        <v>no</v>
      </c>
      <c r="AZ244" s="235">
        <f>VLOOKUP(Table8[[#This Row],[Country Code]],Table29[],23,FALSE)</f>
        <v>16.699491601106999</v>
      </c>
      <c r="BA244" s="235">
        <f>VLOOKUP(Table8[[#This Row],[Country Code]],Table29[],24,FALSE)</f>
        <v>4.358789566933627</v>
      </c>
      <c r="BB244" s="320"/>
      <c r="BC244" s="320"/>
    </row>
    <row r="245" spans="1:55" hidden="1" x14ac:dyDescent="0.25">
      <c r="A245" s="373">
        <v>17533</v>
      </c>
      <c r="B245" s="233" t="str">
        <f>VLOOKUP(Table8[[#This Row],[Document ID]],Table1[],2,FALSE)</f>
        <v>BTN</v>
      </c>
      <c r="C245" s="233" t="str">
        <f>VLOOKUP(Table8[[#This Row],[Document ID]],Table1[],3,FALSE)</f>
        <v>Bhutan</v>
      </c>
      <c r="D245" s="243" t="str">
        <f>VLOOKUP(Table8[[#This Row],[Document ID]],Table1[],5,FALSE)</f>
        <v>NDC</v>
      </c>
      <c r="E245" s="233" t="str">
        <f>VLOOKUP(Table8[[#This Row],[Document ID]],Table1[],7,FALSE)</f>
        <v>First NDC</v>
      </c>
      <c r="F245" s="236" t="str">
        <f>VLOOKUP(Table8[[#This Row],[Document ID]],Table1[],8,FALSE)</f>
        <v>NDC 1.0</v>
      </c>
      <c r="G245" s="236" t="str">
        <f>VLOOKUP(Table8[[#This Row],[Document ID]],Table1[],10,FALSE)</f>
        <v>Archived</v>
      </c>
      <c r="H245" s="44" t="s">
        <v>2338</v>
      </c>
      <c r="I245" s="44" t="s">
        <v>2339</v>
      </c>
      <c r="J245" s="44" t="s">
        <v>2413</v>
      </c>
      <c r="K245" s="44" t="s">
        <v>2612</v>
      </c>
      <c r="L245" s="44" t="s">
        <v>2333</v>
      </c>
      <c r="M245" s="43"/>
      <c r="N245" s="113" t="s">
        <v>1113</v>
      </c>
      <c r="O245" s="113"/>
      <c r="P245" s="113"/>
      <c r="Q245" s="319"/>
      <c r="R245" s="319"/>
      <c r="S245" s="319"/>
      <c r="T245" s="319"/>
      <c r="U245" s="319"/>
      <c r="V245" s="319"/>
      <c r="W245" s="319"/>
      <c r="X245" s="319"/>
      <c r="Y245" s="319"/>
      <c r="Z245" s="319"/>
      <c r="AA245" s="319"/>
      <c r="AB245" s="319"/>
      <c r="AC245" s="319"/>
      <c r="AD245" s="319"/>
      <c r="AE245" s="319"/>
      <c r="AF245" s="319"/>
      <c r="AG245" s="319"/>
      <c r="AH245" s="319"/>
      <c r="AI245" s="319"/>
      <c r="AJ245" s="319"/>
      <c r="AK245" s="319" t="s">
        <v>1113</v>
      </c>
      <c r="AL245" s="319"/>
      <c r="AM245" s="319"/>
      <c r="AN245" s="319"/>
      <c r="AO245" s="44" t="s">
        <v>2334</v>
      </c>
      <c r="AP245" s="44"/>
      <c r="AQ245" s="236" t="str">
        <f>VLOOKUP(Table8[[#This Row],[Instrument]],Def_Targets!$D$73:$E$159,2,FALSE)</f>
        <v>I_Vehicleeff</v>
      </c>
      <c r="AR245" s="233" t="str">
        <f>VLOOKUP(Table8[[#This Row],[Country Code]],Table29[],3,FALSE)</f>
        <v>Non-Annex I</v>
      </c>
      <c r="AS245" s="233" t="str">
        <f>VLOOKUP(Table8[[#This Row],[Country Code]],Table29[],4,FALSE)</f>
        <v>Asia</v>
      </c>
      <c r="AT245" s="233" t="str">
        <f>VLOOKUP(Table8[[#This Row],[Country Code]],Table29[],5,FALSE)</f>
        <v>Middle-income</v>
      </c>
      <c r="AU245" s="233" t="str">
        <f>VLOOKUP(Table8[[#This Row],[Country Code]],Table29[],6,FALSE)</f>
        <v>no</v>
      </c>
      <c r="AV245" s="233" t="str">
        <f>VLOOKUP(Table8[[#This Row],[Country Code]],Table29[],7,FALSE)</f>
        <v>no</v>
      </c>
      <c r="AW245" s="233" t="str">
        <f>VLOOKUP(Table8[[#This Row],[Country Code]],Table29[],8,FALSE)</f>
        <v>non-OECD</v>
      </c>
      <c r="AX245" s="233" t="str">
        <f>VLOOKUP(Table8[[#This Row],[Country Code]],Table29[],9,FALSE)</f>
        <v>no</v>
      </c>
      <c r="AY245" s="233" t="str">
        <f>VLOOKUP(Table8[[#This Row],[Country Code]],Table29[],10,FALSE)</f>
        <v>no</v>
      </c>
      <c r="AZ245" s="235">
        <f>VLOOKUP(Table8[[#This Row],[Country Code]],Table29[],23,FALSE)</f>
        <v>3.2548573740653</v>
      </c>
      <c r="BA245" s="235">
        <f>VLOOKUP(Table8[[#This Row],[Country Code]],Table29[],24,FALSE)</f>
        <v>0.43507987337923443</v>
      </c>
      <c r="BB245" s="320"/>
      <c r="BC245" s="320"/>
    </row>
    <row r="246" spans="1:55" hidden="1" x14ac:dyDescent="0.25">
      <c r="A246" s="373">
        <v>17533</v>
      </c>
      <c r="B246" s="233" t="str">
        <f>VLOOKUP(Table8[[#This Row],[Document ID]],Table1[],2,FALSE)</f>
        <v>BTN</v>
      </c>
      <c r="C246" s="233" t="str">
        <f>VLOOKUP(Table8[[#This Row],[Document ID]],Table1[],3,FALSE)</f>
        <v>Bhutan</v>
      </c>
      <c r="D246" s="243" t="str">
        <f>VLOOKUP(Table8[[#This Row],[Document ID]],Table1[],5,FALSE)</f>
        <v>NDC</v>
      </c>
      <c r="E246" s="233" t="str">
        <f>VLOOKUP(Table8[[#This Row],[Document ID]],Table1[],7,FALSE)</f>
        <v>First NDC</v>
      </c>
      <c r="F246" s="236" t="str">
        <f>VLOOKUP(Table8[[#This Row],[Document ID]],Table1[],8,FALSE)</f>
        <v>NDC 1.0</v>
      </c>
      <c r="G246" s="236" t="str">
        <f>VLOOKUP(Table8[[#This Row],[Document ID]],Table1[],10,FALSE)</f>
        <v>Archived</v>
      </c>
      <c r="H246" s="43" t="s">
        <v>2343</v>
      </c>
      <c r="I246" s="43" t="s">
        <v>2429</v>
      </c>
      <c r="J246" s="44" t="s">
        <v>2430</v>
      </c>
      <c r="K246" s="44" t="s">
        <v>2613</v>
      </c>
      <c r="L246" s="44" t="s">
        <v>2333</v>
      </c>
      <c r="M246" s="43"/>
      <c r="N246" s="113" t="s">
        <v>1113</v>
      </c>
      <c r="O246" s="113"/>
      <c r="P246" s="113"/>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t="s">
        <v>1113</v>
      </c>
      <c r="AL246" s="319"/>
      <c r="AM246" s="319"/>
      <c r="AN246" s="319"/>
      <c r="AO246" s="44" t="s">
        <v>2334</v>
      </c>
      <c r="AP246" s="44"/>
      <c r="AQ246" s="236" t="str">
        <f>VLOOKUP(Table8[[#This Row],[Instrument]],Def_Targets!$D$73:$E$159,2,FALSE)</f>
        <v>I_ITS</v>
      </c>
      <c r="AR246" s="233" t="str">
        <f>VLOOKUP(Table8[[#This Row],[Country Code]],Table29[],3,FALSE)</f>
        <v>Non-Annex I</v>
      </c>
      <c r="AS246" s="233" t="str">
        <f>VLOOKUP(Table8[[#This Row],[Country Code]],Table29[],4,FALSE)</f>
        <v>Asia</v>
      </c>
      <c r="AT246" s="233" t="str">
        <f>VLOOKUP(Table8[[#This Row],[Country Code]],Table29[],5,FALSE)</f>
        <v>Middle-income</v>
      </c>
      <c r="AU246" s="233" t="str">
        <f>VLOOKUP(Table8[[#This Row],[Country Code]],Table29[],6,FALSE)</f>
        <v>no</v>
      </c>
      <c r="AV246" s="233" t="str">
        <f>VLOOKUP(Table8[[#This Row],[Country Code]],Table29[],7,FALSE)</f>
        <v>no</v>
      </c>
      <c r="AW246" s="233" t="str">
        <f>VLOOKUP(Table8[[#This Row],[Country Code]],Table29[],8,FALSE)</f>
        <v>non-OECD</v>
      </c>
      <c r="AX246" s="233" t="str">
        <f>VLOOKUP(Table8[[#This Row],[Country Code]],Table29[],9,FALSE)</f>
        <v>no</v>
      </c>
      <c r="AY246" s="233" t="str">
        <f>VLOOKUP(Table8[[#This Row],[Country Code]],Table29[],10,FALSE)</f>
        <v>no</v>
      </c>
      <c r="AZ246" s="235">
        <f>VLOOKUP(Table8[[#This Row],[Country Code]],Table29[],23,FALSE)</f>
        <v>3.2548573740653</v>
      </c>
      <c r="BA246" s="235">
        <f>VLOOKUP(Table8[[#This Row],[Country Code]],Table29[],24,FALSE)</f>
        <v>0.43507987337923443</v>
      </c>
      <c r="BB246" s="320"/>
      <c r="BC246" s="320"/>
    </row>
    <row r="247" spans="1:55" hidden="1" x14ac:dyDescent="0.25">
      <c r="A247" s="373">
        <v>17533</v>
      </c>
      <c r="B247" s="233" t="str">
        <f>VLOOKUP(Table8[[#This Row],[Document ID]],Table1[],2,FALSE)</f>
        <v>BTN</v>
      </c>
      <c r="C247" s="233" t="str">
        <f>VLOOKUP(Table8[[#This Row],[Document ID]],Table1[],3,FALSE)</f>
        <v>Bhutan</v>
      </c>
      <c r="D247" s="243" t="str">
        <f>VLOOKUP(Table8[[#This Row],[Document ID]],Table1[],5,FALSE)</f>
        <v>NDC</v>
      </c>
      <c r="E247" s="233" t="str">
        <f>VLOOKUP(Table8[[#This Row],[Document ID]],Table1[],7,FALSE)</f>
        <v>First NDC</v>
      </c>
      <c r="F247" s="236" t="str">
        <f>VLOOKUP(Table8[[#This Row],[Document ID]],Table1[],8,FALSE)</f>
        <v>NDC 1.0</v>
      </c>
      <c r="G247" s="236" t="str">
        <f>VLOOKUP(Table8[[#This Row],[Document ID]],Table1[],10,FALSE)</f>
        <v>Archived</v>
      </c>
      <c r="H247" s="43" t="s">
        <v>2350</v>
      </c>
      <c r="I247" s="43" t="s">
        <v>2351</v>
      </c>
      <c r="J247" s="44" t="s">
        <v>2447</v>
      </c>
      <c r="K247" s="44" t="s">
        <v>2614</v>
      </c>
      <c r="L247" s="44" t="s">
        <v>2333</v>
      </c>
      <c r="M247" s="43"/>
      <c r="N247" s="113" t="s">
        <v>1113</v>
      </c>
      <c r="O247" s="113"/>
      <c r="P247" s="113"/>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t="s">
        <v>1113</v>
      </c>
      <c r="AL247" s="319"/>
      <c r="AM247" s="319"/>
      <c r="AN247" s="319"/>
      <c r="AO247" s="43" t="s">
        <v>2353</v>
      </c>
      <c r="AP247" s="44"/>
      <c r="AQ247" s="236" t="str">
        <f>VLOOKUP(Table8[[#This Row],[Instrument]],Def_Targets!$D$73:$E$159,2,FALSE)</f>
        <v>I_Freighteff</v>
      </c>
      <c r="AR247" s="233" t="str">
        <f>VLOOKUP(Table8[[#This Row],[Country Code]],Table29[],3,FALSE)</f>
        <v>Non-Annex I</v>
      </c>
      <c r="AS247" s="233" t="str">
        <f>VLOOKUP(Table8[[#This Row],[Country Code]],Table29[],4,FALSE)</f>
        <v>Asia</v>
      </c>
      <c r="AT247" s="233" t="str">
        <f>VLOOKUP(Table8[[#This Row],[Country Code]],Table29[],5,FALSE)</f>
        <v>Middle-income</v>
      </c>
      <c r="AU247" s="233" t="str">
        <f>VLOOKUP(Table8[[#This Row],[Country Code]],Table29[],6,FALSE)</f>
        <v>no</v>
      </c>
      <c r="AV247" s="233" t="str">
        <f>VLOOKUP(Table8[[#This Row],[Country Code]],Table29[],7,FALSE)</f>
        <v>no</v>
      </c>
      <c r="AW247" s="233" t="str">
        <f>VLOOKUP(Table8[[#This Row],[Country Code]],Table29[],8,FALSE)</f>
        <v>non-OECD</v>
      </c>
      <c r="AX247" s="233" t="str">
        <f>VLOOKUP(Table8[[#This Row],[Country Code]],Table29[],9,FALSE)</f>
        <v>no</v>
      </c>
      <c r="AY247" s="233" t="str">
        <f>VLOOKUP(Table8[[#This Row],[Country Code]],Table29[],10,FALSE)</f>
        <v>no</v>
      </c>
      <c r="AZ247" s="235">
        <f>VLOOKUP(Table8[[#This Row],[Country Code]],Table29[],23,FALSE)</f>
        <v>3.2548573740653</v>
      </c>
      <c r="BA247" s="235">
        <f>VLOOKUP(Table8[[#This Row],[Country Code]],Table29[],24,FALSE)</f>
        <v>0.43507987337923443</v>
      </c>
      <c r="BB247" s="320"/>
      <c r="BC247" s="320"/>
    </row>
    <row r="248" spans="1:55" hidden="1" x14ac:dyDescent="0.25">
      <c r="A248" s="373">
        <v>17533</v>
      </c>
      <c r="B248" s="233" t="str">
        <f>VLOOKUP(Table8[[#This Row],[Document ID]],Table1[],2,FALSE)</f>
        <v>BTN</v>
      </c>
      <c r="C248" s="233" t="str">
        <f>VLOOKUP(Table8[[#This Row],[Document ID]],Table1[],3,FALSE)</f>
        <v>Bhutan</v>
      </c>
      <c r="D248" s="243" t="str">
        <f>VLOOKUP(Table8[[#This Row],[Document ID]],Table1[],5,FALSE)</f>
        <v>NDC</v>
      </c>
      <c r="E248" s="233" t="str">
        <f>VLOOKUP(Table8[[#This Row],[Document ID]],Table1[],7,FALSE)</f>
        <v>First NDC</v>
      </c>
      <c r="F248" s="236" t="str">
        <f>VLOOKUP(Table8[[#This Row],[Document ID]],Table1[],8,FALSE)</f>
        <v>NDC 1.0</v>
      </c>
      <c r="G248" s="236" t="str">
        <f>VLOOKUP(Table8[[#This Row],[Document ID]],Table1[],10,FALSE)</f>
        <v>Archived</v>
      </c>
      <c r="H248" s="44" t="s">
        <v>2329</v>
      </c>
      <c r="I248" s="44" t="s">
        <v>2330</v>
      </c>
      <c r="J248" s="44" t="s">
        <v>2391</v>
      </c>
      <c r="K248" s="44" t="s">
        <v>2615</v>
      </c>
      <c r="L248" s="44" t="s">
        <v>2333</v>
      </c>
      <c r="M248" s="43"/>
      <c r="N248" s="113" t="s">
        <v>1113</v>
      </c>
      <c r="O248" s="113"/>
      <c r="P248" s="113"/>
      <c r="Q248" s="319"/>
      <c r="R248" s="319"/>
      <c r="S248" s="319"/>
      <c r="T248" s="319"/>
      <c r="U248" s="319"/>
      <c r="V248" s="319"/>
      <c r="W248" s="319"/>
      <c r="X248" s="319"/>
      <c r="Y248" s="319"/>
      <c r="Z248" s="319"/>
      <c r="AA248" s="319"/>
      <c r="AB248" s="319"/>
      <c r="AC248" s="319"/>
      <c r="AD248" s="319"/>
      <c r="AE248" s="319"/>
      <c r="AF248" s="319"/>
      <c r="AG248" s="319"/>
      <c r="AH248" s="319"/>
      <c r="AI248" s="319"/>
      <c r="AJ248" s="319"/>
      <c r="AK248" s="319" t="s">
        <v>1113</v>
      </c>
      <c r="AL248" s="319"/>
      <c r="AM248" s="319"/>
      <c r="AN248" s="319"/>
      <c r="AO248" s="44" t="s">
        <v>2334</v>
      </c>
      <c r="AP248" s="44"/>
      <c r="AQ248" s="236" t="str">
        <f>VLOOKUP(Table8[[#This Row],[Instrument]],Def_Targets!$D$73:$E$159,2,FALSE)</f>
        <v>I_Hydrogen</v>
      </c>
      <c r="AR248" s="233" t="str">
        <f>VLOOKUP(Table8[[#This Row],[Country Code]],Table29[],3,FALSE)</f>
        <v>Non-Annex I</v>
      </c>
      <c r="AS248" s="233" t="str">
        <f>VLOOKUP(Table8[[#This Row],[Country Code]],Table29[],4,FALSE)</f>
        <v>Asia</v>
      </c>
      <c r="AT248" s="233" t="str">
        <f>VLOOKUP(Table8[[#This Row],[Country Code]],Table29[],5,FALSE)</f>
        <v>Middle-income</v>
      </c>
      <c r="AU248" s="233" t="str">
        <f>VLOOKUP(Table8[[#This Row],[Country Code]],Table29[],6,FALSE)</f>
        <v>no</v>
      </c>
      <c r="AV248" s="233" t="str">
        <f>VLOOKUP(Table8[[#This Row],[Country Code]],Table29[],7,FALSE)</f>
        <v>no</v>
      </c>
      <c r="AW248" s="233" t="str">
        <f>VLOOKUP(Table8[[#This Row],[Country Code]],Table29[],8,FALSE)</f>
        <v>non-OECD</v>
      </c>
      <c r="AX248" s="233" t="str">
        <f>VLOOKUP(Table8[[#This Row],[Country Code]],Table29[],9,FALSE)</f>
        <v>no</v>
      </c>
      <c r="AY248" s="233" t="str">
        <f>VLOOKUP(Table8[[#This Row],[Country Code]],Table29[],10,FALSE)</f>
        <v>no</v>
      </c>
      <c r="AZ248" s="235">
        <f>VLOOKUP(Table8[[#This Row],[Country Code]],Table29[],23,FALSE)</f>
        <v>3.2548573740653</v>
      </c>
      <c r="BA248" s="235">
        <f>VLOOKUP(Table8[[#This Row],[Country Code]],Table29[],24,FALSE)</f>
        <v>0.43507987337923443</v>
      </c>
      <c r="BB248" s="320"/>
      <c r="BC248" s="320"/>
    </row>
    <row r="249" spans="1:55" hidden="1" x14ac:dyDescent="0.25">
      <c r="A249" s="373">
        <v>17533</v>
      </c>
      <c r="B249" s="233" t="str">
        <f>VLOOKUP(Table8[[#This Row],[Document ID]],Table1[],2,FALSE)</f>
        <v>BTN</v>
      </c>
      <c r="C249" s="233" t="str">
        <f>VLOOKUP(Table8[[#This Row],[Document ID]],Table1[],3,FALSE)</f>
        <v>Bhutan</v>
      </c>
      <c r="D249" s="243" t="str">
        <f>VLOOKUP(Table8[[#This Row],[Document ID]],Table1[],5,FALSE)</f>
        <v>NDC</v>
      </c>
      <c r="E249" s="233" t="str">
        <f>VLOOKUP(Table8[[#This Row],[Document ID]],Table1[],7,FALSE)</f>
        <v>First NDC</v>
      </c>
      <c r="F249" s="236" t="str">
        <f>VLOOKUP(Table8[[#This Row],[Document ID]],Table1[],8,FALSE)</f>
        <v>NDC 1.0</v>
      </c>
      <c r="G249" s="236" t="str">
        <f>VLOOKUP(Table8[[#This Row],[Document ID]],Table1[],10,FALSE)</f>
        <v>Archived</v>
      </c>
      <c r="H249" s="43" t="s">
        <v>2358</v>
      </c>
      <c r="I249" s="43" t="s">
        <v>2359</v>
      </c>
      <c r="J249" s="44" t="s">
        <v>2360</v>
      </c>
      <c r="K249" s="44" t="s">
        <v>2615</v>
      </c>
      <c r="L249" s="44" t="s">
        <v>2333</v>
      </c>
      <c r="M249" s="43"/>
      <c r="N249" s="113" t="s">
        <v>1113</v>
      </c>
      <c r="O249" s="113"/>
      <c r="P249" s="113"/>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t="s">
        <v>1113</v>
      </c>
      <c r="AL249" s="319"/>
      <c r="AM249" s="319"/>
      <c r="AN249" s="319"/>
      <c r="AO249" s="44" t="s">
        <v>2334</v>
      </c>
      <c r="AP249" s="44"/>
      <c r="AQ249" s="236" t="str">
        <f>VLOOKUP(Table8[[#This Row],[Instrument]],Def_Targets!$D$73:$E$159,2,FALSE)</f>
        <v>I_Emobility</v>
      </c>
      <c r="AR249" s="233" t="str">
        <f>VLOOKUP(Table8[[#This Row],[Country Code]],Table29[],3,FALSE)</f>
        <v>Non-Annex I</v>
      </c>
      <c r="AS249" s="233" t="str">
        <f>VLOOKUP(Table8[[#This Row],[Country Code]],Table29[],4,FALSE)</f>
        <v>Asia</v>
      </c>
      <c r="AT249" s="233" t="str">
        <f>VLOOKUP(Table8[[#This Row],[Country Code]],Table29[],5,FALSE)</f>
        <v>Middle-income</v>
      </c>
      <c r="AU249" s="233" t="str">
        <f>VLOOKUP(Table8[[#This Row],[Country Code]],Table29[],6,FALSE)</f>
        <v>no</v>
      </c>
      <c r="AV249" s="233" t="str">
        <f>VLOOKUP(Table8[[#This Row],[Country Code]],Table29[],7,FALSE)</f>
        <v>no</v>
      </c>
      <c r="AW249" s="233" t="str">
        <f>VLOOKUP(Table8[[#This Row],[Country Code]],Table29[],8,FALSE)</f>
        <v>non-OECD</v>
      </c>
      <c r="AX249" s="233" t="str">
        <f>VLOOKUP(Table8[[#This Row],[Country Code]],Table29[],9,FALSE)</f>
        <v>no</v>
      </c>
      <c r="AY249" s="233" t="str">
        <f>VLOOKUP(Table8[[#This Row],[Country Code]],Table29[],10,FALSE)</f>
        <v>no</v>
      </c>
      <c r="AZ249" s="235">
        <f>VLOOKUP(Table8[[#This Row],[Country Code]],Table29[],23,FALSE)</f>
        <v>3.2548573740653</v>
      </c>
      <c r="BA249" s="235">
        <f>VLOOKUP(Table8[[#This Row],[Country Code]],Table29[],24,FALSE)</f>
        <v>0.43507987337923443</v>
      </c>
      <c r="BB249" s="320"/>
      <c r="BC249" s="320"/>
    </row>
    <row r="250" spans="1:55" hidden="1" x14ac:dyDescent="0.25">
      <c r="A250" s="373">
        <v>17533</v>
      </c>
      <c r="B250" s="233" t="str">
        <f>VLOOKUP(Table8[[#This Row],[Document ID]],Table1[],2,FALSE)</f>
        <v>BTN</v>
      </c>
      <c r="C250" s="233" t="str">
        <f>VLOOKUP(Table8[[#This Row],[Document ID]],Table1[],3,FALSE)</f>
        <v>Bhutan</v>
      </c>
      <c r="D250" s="243" t="str">
        <f>VLOOKUP(Table8[[#This Row],[Document ID]],Table1[],5,FALSE)</f>
        <v>NDC</v>
      </c>
      <c r="E250" s="233" t="str">
        <f>VLOOKUP(Table8[[#This Row],[Document ID]],Table1[],7,FALSE)</f>
        <v>First NDC</v>
      </c>
      <c r="F250" s="236" t="str">
        <f>VLOOKUP(Table8[[#This Row],[Document ID]],Table1[],8,FALSE)</f>
        <v>NDC 1.0</v>
      </c>
      <c r="G250" s="236" t="str">
        <f>VLOOKUP(Table8[[#This Row],[Document ID]],Table1[],10,FALSE)</f>
        <v>Archived</v>
      </c>
      <c r="H250" s="43" t="s">
        <v>2343</v>
      </c>
      <c r="I250" s="43" t="s">
        <v>2361</v>
      </c>
      <c r="J250" s="44" t="s">
        <v>2366</v>
      </c>
      <c r="K250" s="44" t="s">
        <v>2616</v>
      </c>
      <c r="L250" s="44" t="s">
        <v>2347</v>
      </c>
      <c r="M250" s="43"/>
      <c r="N250" s="113"/>
      <c r="O250" s="113"/>
      <c r="P250" s="113" t="s">
        <v>1113</v>
      </c>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t="s">
        <v>1113</v>
      </c>
      <c r="AL250" s="319"/>
      <c r="AM250" s="319"/>
      <c r="AN250" s="319"/>
      <c r="AO250" s="44" t="s">
        <v>2334</v>
      </c>
      <c r="AP250" s="44"/>
      <c r="AQ250" s="236" t="str">
        <f>VLOOKUP(Table8[[#This Row],[Instrument]],Def_Targets!$D$73:$E$159,2,FALSE)</f>
        <v>S_Activemobility</v>
      </c>
      <c r="AR250" s="233" t="str">
        <f>VLOOKUP(Table8[[#This Row],[Country Code]],Table29[],3,FALSE)</f>
        <v>Non-Annex I</v>
      </c>
      <c r="AS250" s="233" t="str">
        <f>VLOOKUP(Table8[[#This Row],[Country Code]],Table29[],4,FALSE)</f>
        <v>Asia</v>
      </c>
      <c r="AT250" s="233" t="str">
        <f>VLOOKUP(Table8[[#This Row],[Country Code]],Table29[],5,FALSE)</f>
        <v>Middle-income</v>
      </c>
      <c r="AU250" s="233" t="str">
        <f>VLOOKUP(Table8[[#This Row],[Country Code]],Table29[],6,FALSE)</f>
        <v>no</v>
      </c>
      <c r="AV250" s="233" t="str">
        <f>VLOOKUP(Table8[[#This Row],[Country Code]],Table29[],7,FALSE)</f>
        <v>no</v>
      </c>
      <c r="AW250" s="233" t="str">
        <f>VLOOKUP(Table8[[#This Row],[Country Code]],Table29[],8,FALSE)</f>
        <v>non-OECD</v>
      </c>
      <c r="AX250" s="233" t="str">
        <f>VLOOKUP(Table8[[#This Row],[Country Code]],Table29[],9,FALSE)</f>
        <v>no</v>
      </c>
      <c r="AY250" s="233" t="str">
        <f>VLOOKUP(Table8[[#This Row],[Country Code]],Table29[],10,FALSE)</f>
        <v>no</v>
      </c>
      <c r="AZ250" s="235">
        <f>VLOOKUP(Table8[[#This Row],[Country Code]],Table29[],23,FALSE)</f>
        <v>3.2548573740653</v>
      </c>
      <c r="BA250" s="235">
        <f>VLOOKUP(Table8[[#This Row],[Country Code]],Table29[],24,FALSE)</f>
        <v>0.43507987337923443</v>
      </c>
      <c r="BB250" s="320"/>
      <c r="BC250" s="320"/>
    </row>
    <row r="251" spans="1:55" hidden="1" x14ac:dyDescent="0.25">
      <c r="A251" s="373">
        <v>17533</v>
      </c>
      <c r="B251" s="233" t="str">
        <f>VLOOKUP(Table8[[#This Row],[Document ID]],Table1[],2,FALSE)</f>
        <v>BTN</v>
      </c>
      <c r="C251" s="233" t="str">
        <f>VLOOKUP(Table8[[#This Row],[Document ID]],Table1[],3,FALSE)</f>
        <v>Bhutan</v>
      </c>
      <c r="D251" s="243" t="str">
        <f>VLOOKUP(Table8[[#This Row],[Document ID]],Table1[],5,FALSE)</f>
        <v>NDC</v>
      </c>
      <c r="E251" s="233" t="str">
        <f>VLOOKUP(Table8[[#This Row],[Document ID]],Table1[],7,FALSE)</f>
        <v>First NDC</v>
      </c>
      <c r="F251" s="236" t="str">
        <f>VLOOKUP(Table8[[#This Row],[Document ID]],Table1[],8,FALSE)</f>
        <v>NDC 1.0</v>
      </c>
      <c r="G251" s="236" t="str">
        <f>VLOOKUP(Table8[[#This Row],[Document ID]],Table1[],10,FALSE)</f>
        <v>Archived</v>
      </c>
      <c r="H251" s="43" t="s">
        <v>2350</v>
      </c>
      <c r="I251" s="43" t="s">
        <v>2456</v>
      </c>
      <c r="J251" s="44" t="s">
        <v>2457</v>
      </c>
      <c r="K251" s="44" t="s">
        <v>2617</v>
      </c>
      <c r="L251" s="44" t="s">
        <v>2347</v>
      </c>
      <c r="M251" s="43"/>
      <c r="N251" s="113"/>
      <c r="O251" s="113"/>
      <c r="P251" s="113"/>
      <c r="Q251" s="319"/>
      <c r="R251" s="319"/>
      <c r="S251" s="319" t="s">
        <v>1113</v>
      </c>
      <c r="T251" s="319"/>
      <c r="U251" s="319"/>
      <c r="V251" s="319"/>
      <c r="W251" s="319"/>
      <c r="X251" s="319"/>
      <c r="Y251" s="319"/>
      <c r="Z251" s="319" t="s">
        <v>1113</v>
      </c>
      <c r="AA251" s="319"/>
      <c r="AB251" s="319"/>
      <c r="AC251" s="319"/>
      <c r="AD251" s="319" t="s">
        <v>1113</v>
      </c>
      <c r="AE251" s="319"/>
      <c r="AF251" s="319"/>
      <c r="AG251" s="319"/>
      <c r="AH251" s="319"/>
      <c r="AI251" s="319"/>
      <c r="AJ251" s="319"/>
      <c r="AK251" s="319" t="s">
        <v>1113</v>
      </c>
      <c r="AL251" s="319"/>
      <c r="AM251" s="319"/>
      <c r="AN251" s="319"/>
      <c r="AO251" s="44" t="s">
        <v>2334</v>
      </c>
      <c r="AP251" s="44"/>
      <c r="AQ251" s="236" t="str">
        <f>VLOOKUP(Table8[[#This Row],[Instrument]],Def_Targets!$D$73:$E$159,2,FALSE)</f>
        <v>S_Infraimprove</v>
      </c>
      <c r="AR251" s="233" t="str">
        <f>VLOOKUP(Table8[[#This Row],[Country Code]],Table29[],3,FALSE)</f>
        <v>Non-Annex I</v>
      </c>
      <c r="AS251" s="233" t="str">
        <f>VLOOKUP(Table8[[#This Row],[Country Code]],Table29[],4,FALSE)</f>
        <v>Asia</v>
      </c>
      <c r="AT251" s="233" t="str">
        <f>VLOOKUP(Table8[[#This Row],[Country Code]],Table29[],5,FALSE)</f>
        <v>Middle-income</v>
      </c>
      <c r="AU251" s="233" t="str">
        <f>VLOOKUP(Table8[[#This Row],[Country Code]],Table29[],6,FALSE)</f>
        <v>no</v>
      </c>
      <c r="AV251" s="233" t="str">
        <f>VLOOKUP(Table8[[#This Row],[Country Code]],Table29[],7,FALSE)</f>
        <v>no</v>
      </c>
      <c r="AW251" s="233" t="str">
        <f>VLOOKUP(Table8[[#This Row],[Country Code]],Table29[],8,FALSE)</f>
        <v>non-OECD</v>
      </c>
      <c r="AX251" s="233" t="str">
        <f>VLOOKUP(Table8[[#This Row],[Country Code]],Table29[],9,FALSE)</f>
        <v>no</v>
      </c>
      <c r="AY251" s="233" t="str">
        <f>VLOOKUP(Table8[[#This Row],[Country Code]],Table29[],10,FALSE)</f>
        <v>no</v>
      </c>
      <c r="AZ251" s="235">
        <f>VLOOKUP(Table8[[#This Row],[Country Code]],Table29[],23,FALSE)</f>
        <v>3.2548573740653</v>
      </c>
      <c r="BA251" s="235">
        <f>VLOOKUP(Table8[[#This Row],[Country Code]],Table29[],24,FALSE)</f>
        <v>0.43507987337923443</v>
      </c>
      <c r="BB251" s="320"/>
      <c r="BC251" s="320"/>
    </row>
    <row r="252" spans="1:55" hidden="1" x14ac:dyDescent="0.25">
      <c r="A252" s="373">
        <v>17533</v>
      </c>
      <c r="B252" s="233" t="str">
        <f>VLOOKUP(Table8[[#This Row],[Document ID]],Table1[],2,FALSE)</f>
        <v>BTN</v>
      </c>
      <c r="C252" s="233" t="str">
        <f>VLOOKUP(Table8[[#This Row],[Document ID]],Table1[],3,FALSE)</f>
        <v>Bhutan</v>
      </c>
      <c r="D252" s="243" t="str">
        <f>VLOOKUP(Table8[[#This Row],[Document ID]],Table1[],5,FALSE)</f>
        <v>NDC</v>
      </c>
      <c r="E252" s="233" t="str">
        <f>VLOOKUP(Table8[[#This Row],[Document ID]],Table1[],7,FALSE)</f>
        <v>First NDC</v>
      </c>
      <c r="F252" s="236" t="str">
        <f>VLOOKUP(Table8[[#This Row],[Document ID]],Table1[],8,FALSE)</f>
        <v>NDC 1.0</v>
      </c>
      <c r="G252" s="236" t="str">
        <f>VLOOKUP(Table8[[#This Row],[Document ID]],Table1[],10,FALSE)</f>
        <v>Archived</v>
      </c>
      <c r="H252" s="43" t="s">
        <v>2343</v>
      </c>
      <c r="I252" s="43" t="s">
        <v>2377</v>
      </c>
      <c r="J252" s="44" t="s">
        <v>2394</v>
      </c>
      <c r="K252" s="44" t="s">
        <v>2618</v>
      </c>
      <c r="L252" s="44" t="s">
        <v>2380</v>
      </c>
      <c r="M252" s="43"/>
      <c r="N252" s="113" t="s">
        <v>1113</v>
      </c>
      <c r="O252" s="113"/>
      <c r="P252" s="113"/>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t="s">
        <v>1113</v>
      </c>
      <c r="AL252" s="319"/>
      <c r="AM252" s="319"/>
      <c r="AN252" s="319"/>
      <c r="AO252" s="44" t="s">
        <v>2334</v>
      </c>
      <c r="AP252" s="44"/>
      <c r="AQ252" s="236" t="str">
        <f>VLOOKUP(Table8[[#This Row],[Instrument]],Def_Targets!$D$73:$E$159,2,FALSE)</f>
        <v>A_TDM</v>
      </c>
      <c r="AR252" s="233" t="str">
        <f>VLOOKUP(Table8[[#This Row],[Country Code]],Table29[],3,FALSE)</f>
        <v>Non-Annex I</v>
      </c>
      <c r="AS252" s="233" t="str">
        <f>VLOOKUP(Table8[[#This Row],[Country Code]],Table29[],4,FALSE)</f>
        <v>Asia</v>
      </c>
      <c r="AT252" s="233" t="str">
        <f>VLOOKUP(Table8[[#This Row],[Country Code]],Table29[],5,FALSE)</f>
        <v>Middle-income</v>
      </c>
      <c r="AU252" s="233" t="str">
        <f>VLOOKUP(Table8[[#This Row],[Country Code]],Table29[],6,FALSE)</f>
        <v>no</v>
      </c>
      <c r="AV252" s="233" t="str">
        <f>VLOOKUP(Table8[[#This Row],[Country Code]],Table29[],7,FALSE)</f>
        <v>no</v>
      </c>
      <c r="AW252" s="233" t="str">
        <f>VLOOKUP(Table8[[#This Row],[Country Code]],Table29[],8,FALSE)</f>
        <v>non-OECD</v>
      </c>
      <c r="AX252" s="233" t="str">
        <f>VLOOKUP(Table8[[#This Row],[Country Code]],Table29[],9,FALSE)</f>
        <v>no</v>
      </c>
      <c r="AY252" s="233" t="str">
        <f>VLOOKUP(Table8[[#This Row],[Country Code]],Table29[],10,FALSE)</f>
        <v>no</v>
      </c>
      <c r="AZ252" s="235">
        <f>VLOOKUP(Table8[[#This Row],[Country Code]],Table29[],23,FALSE)</f>
        <v>3.2548573740653</v>
      </c>
      <c r="BA252" s="235">
        <f>VLOOKUP(Table8[[#This Row],[Country Code]],Table29[],24,FALSE)</f>
        <v>0.43507987337923443</v>
      </c>
      <c r="BB252" s="320"/>
      <c r="BC252" s="320"/>
    </row>
    <row r="253" spans="1:55" hidden="1" x14ac:dyDescent="0.25">
      <c r="A253" s="373">
        <v>17533</v>
      </c>
      <c r="B253" s="233" t="str">
        <f>VLOOKUP(Table8[[#This Row],[Document ID]],Table1[],2,FALSE)</f>
        <v>BTN</v>
      </c>
      <c r="C253" s="233" t="str">
        <f>VLOOKUP(Table8[[#This Row],[Document ID]],Table1[],3,FALSE)</f>
        <v>Bhutan</v>
      </c>
      <c r="D253" s="243" t="str">
        <f>VLOOKUP(Table8[[#This Row],[Document ID]],Table1[],5,FALSE)</f>
        <v>NDC</v>
      </c>
      <c r="E253" s="233" t="str">
        <f>VLOOKUP(Table8[[#This Row],[Document ID]],Table1[],7,FALSE)</f>
        <v>First NDC</v>
      </c>
      <c r="F253" s="236" t="str">
        <f>VLOOKUP(Table8[[#This Row],[Document ID]],Table1[],8,FALSE)</f>
        <v>NDC 1.0</v>
      </c>
      <c r="G253" s="236" t="str">
        <f>VLOOKUP(Table8[[#This Row],[Document ID]],Table1[],10,FALSE)</f>
        <v>Archived</v>
      </c>
      <c r="H253" s="43" t="s">
        <v>2343</v>
      </c>
      <c r="I253" s="43" t="s">
        <v>2344</v>
      </c>
      <c r="J253" s="44" t="s">
        <v>2345</v>
      </c>
      <c r="K253" s="44" t="s">
        <v>2619</v>
      </c>
      <c r="L253" s="44" t="s">
        <v>2347</v>
      </c>
      <c r="M253" s="43"/>
      <c r="N253" s="113" t="s">
        <v>1113</v>
      </c>
      <c r="O253" s="113"/>
      <c r="P253" s="113"/>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t="s">
        <v>1113</v>
      </c>
      <c r="AL253" s="319"/>
      <c r="AM253" s="319"/>
      <c r="AN253" s="319"/>
      <c r="AO253" s="43" t="s">
        <v>2348</v>
      </c>
      <c r="AP253" s="44"/>
      <c r="AQ253" s="236" t="str">
        <f>VLOOKUP(Table8[[#This Row],[Instrument]],Def_Targets!$D$73:$E$159,2,FALSE)</f>
        <v>S_PublicTransport</v>
      </c>
      <c r="AR253" s="233" t="str">
        <f>VLOOKUP(Table8[[#This Row],[Country Code]],Table29[],3,FALSE)</f>
        <v>Non-Annex I</v>
      </c>
      <c r="AS253" s="233" t="str">
        <f>VLOOKUP(Table8[[#This Row],[Country Code]],Table29[],4,FALSE)</f>
        <v>Asia</v>
      </c>
      <c r="AT253" s="233" t="str">
        <f>VLOOKUP(Table8[[#This Row],[Country Code]],Table29[],5,FALSE)</f>
        <v>Middle-income</v>
      </c>
      <c r="AU253" s="233" t="str">
        <f>VLOOKUP(Table8[[#This Row],[Country Code]],Table29[],6,FALSE)</f>
        <v>no</v>
      </c>
      <c r="AV253" s="233" t="str">
        <f>VLOOKUP(Table8[[#This Row],[Country Code]],Table29[],7,FALSE)</f>
        <v>no</v>
      </c>
      <c r="AW253" s="233" t="str">
        <f>VLOOKUP(Table8[[#This Row],[Country Code]],Table29[],8,FALSE)</f>
        <v>non-OECD</v>
      </c>
      <c r="AX253" s="233" t="str">
        <f>VLOOKUP(Table8[[#This Row],[Country Code]],Table29[],9,FALSE)</f>
        <v>no</v>
      </c>
      <c r="AY253" s="233" t="str">
        <f>VLOOKUP(Table8[[#This Row],[Country Code]],Table29[],10,FALSE)</f>
        <v>no</v>
      </c>
      <c r="AZ253" s="235">
        <f>VLOOKUP(Table8[[#This Row],[Country Code]],Table29[],23,FALSE)</f>
        <v>3.2548573740653</v>
      </c>
      <c r="BA253" s="235">
        <f>VLOOKUP(Table8[[#This Row],[Country Code]],Table29[],24,FALSE)</f>
        <v>0.43507987337923443</v>
      </c>
      <c r="BB253" s="320"/>
      <c r="BC253" s="320"/>
    </row>
    <row r="254" spans="1:55" hidden="1" x14ac:dyDescent="0.25">
      <c r="A254" s="373">
        <v>20881</v>
      </c>
      <c r="B254" s="233" t="str">
        <f>VLOOKUP(Table8[[#This Row],[Document ID]],Table1[],2,FALSE)</f>
        <v>BTN</v>
      </c>
      <c r="C254" s="233" t="str">
        <f>VLOOKUP(Table8[[#This Row],[Document ID]],Table1[],3,FALSE)</f>
        <v>Bhutan</v>
      </c>
      <c r="D254" s="243" t="str">
        <f>VLOOKUP(Table8[[#This Row],[Document ID]],Table1[],5,FALSE)</f>
        <v>NDC</v>
      </c>
      <c r="E254" s="233" t="str">
        <f>VLOOKUP(Table8[[#This Row],[Document ID]],Table1[],7,FALSE)</f>
        <v>Second NDC</v>
      </c>
      <c r="F254" s="233" t="str">
        <f>VLOOKUP(Table8[[#This Row],[Document ID]],Table1[],8,FALSE)</f>
        <v>NDC 2.0</v>
      </c>
      <c r="G254" s="233" t="str">
        <f>VLOOKUP(Table8[[#This Row],[Document ID]],Table1[],10,FALSE)</f>
        <v>Active</v>
      </c>
      <c r="H254" s="43" t="s">
        <v>2343</v>
      </c>
      <c r="I254" s="43" t="s">
        <v>2344</v>
      </c>
      <c r="J254" s="44" t="s">
        <v>2345</v>
      </c>
      <c r="K254" s="44" t="s">
        <v>2620</v>
      </c>
      <c r="L254" s="44" t="s">
        <v>2347</v>
      </c>
      <c r="M254" s="43">
        <v>8</v>
      </c>
      <c r="N254" s="113"/>
      <c r="O254" s="113"/>
      <c r="P254" s="113"/>
      <c r="Q254" s="113"/>
      <c r="R254" s="113"/>
      <c r="S254" s="113"/>
      <c r="T254" s="113"/>
      <c r="U254" s="113"/>
      <c r="V254" s="113"/>
      <c r="W254" s="113"/>
      <c r="X254" s="113"/>
      <c r="Y254" s="113" t="s">
        <v>1113</v>
      </c>
      <c r="Z254" s="113"/>
      <c r="AA254" s="113"/>
      <c r="AB254" s="113"/>
      <c r="AC254" s="113"/>
      <c r="AD254" s="113"/>
      <c r="AE254" s="113"/>
      <c r="AF254" s="113"/>
      <c r="AG254" s="113"/>
      <c r="AH254" s="113"/>
      <c r="AI254" s="113"/>
      <c r="AJ254" s="113"/>
      <c r="AK254" s="113"/>
      <c r="AL254" s="113" t="s">
        <v>1113</v>
      </c>
      <c r="AM254" s="113"/>
      <c r="AN254" s="113"/>
      <c r="AO254" s="43" t="s">
        <v>2348</v>
      </c>
      <c r="AP254" s="43"/>
      <c r="AQ254" s="236" t="str">
        <f>VLOOKUP(Table8[[#This Row],[Instrument]],Def_Targets!$D$73:$E$159,2,FALSE)</f>
        <v>S_PublicTransport</v>
      </c>
      <c r="AR254" s="233" t="str">
        <f>VLOOKUP(Table8[[#This Row],[Country Code]],Table29[],3,FALSE)</f>
        <v>Non-Annex I</v>
      </c>
      <c r="AS254" s="233" t="str">
        <f>VLOOKUP(Table8[[#This Row],[Country Code]],Table29[],4,FALSE)</f>
        <v>Asia</v>
      </c>
      <c r="AT254" s="233" t="str">
        <f>VLOOKUP(Table8[[#This Row],[Country Code]],Table29[],5,FALSE)</f>
        <v>Middle-income</v>
      </c>
      <c r="AU254" s="233" t="str">
        <f>VLOOKUP(Table8[[#This Row],[Country Code]],Table29[],6,FALSE)</f>
        <v>no</v>
      </c>
      <c r="AV254" s="233" t="str">
        <f>VLOOKUP(Table8[[#This Row],[Country Code]],Table29[],7,FALSE)</f>
        <v>no</v>
      </c>
      <c r="AW254" s="233" t="str">
        <f>VLOOKUP(Table8[[#This Row],[Country Code]],Table29[],8,FALSE)</f>
        <v>non-OECD</v>
      </c>
      <c r="AX254" s="233" t="str">
        <f>VLOOKUP(Table8[[#This Row],[Country Code]],Table29[],9,FALSE)</f>
        <v>no</v>
      </c>
      <c r="AY254" s="233" t="str">
        <f>VLOOKUP(Table8[[#This Row],[Country Code]],Table29[],10,FALSE)</f>
        <v>no</v>
      </c>
      <c r="AZ254" s="235">
        <f>VLOOKUP(Table8[[#This Row],[Country Code]],Table29[],23,FALSE)</f>
        <v>3.2548573740653</v>
      </c>
      <c r="BA254" s="235">
        <f>VLOOKUP(Table8[[#This Row],[Country Code]],Table29[],24,FALSE)</f>
        <v>0.43507987337923443</v>
      </c>
      <c r="BB254" s="320"/>
      <c r="BC254" s="320"/>
    </row>
    <row r="255" spans="1:55" hidden="1" x14ac:dyDescent="0.25">
      <c r="A255" s="373">
        <v>20881</v>
      </c>
      <c r="B255" s="233" t="str">
        <f>VLOOKUP(Table8[[#This Row],[Document ID]],Table1[],2,FALSE)</f>
        <v>BTN</v>
      </c>
      <c r="C255" s="233" t="str">
        <f>VLOOKUP(Table8[[#This Row],[Document ID]],Table1[],3,FALSE)</f>
        <v>Bhutan</v>
      </c>
      <c r="D255" s="243" t="str">
        <f>VLOOKUP(Table8[[#This Row],[Document ID]],Table1[],5,FALSE)</f>
        <v>NDC</v>
      </c>
      <c r="E255" s="233" t="str">
        <f>VLOOKUP(Table8[[#This Row],[Document ID]],Table1[],7,FALSE)</f>
        <v>Second NDC</v>
      </c>
      <c r="F255" s="233" t="str">
        <f>VLOOKUP(Table8[[#This Row],[Document ID]],Table1[],8,FALSE)</f>
        <v>NDC 2.0</v>
      </c>
      <c r="G255" s="233" t="str">
        <f>VLOOKUP(Table8[[#This Row],[Document ID]],Table1[],10,FALSE)</f>
        <v>Active</v>
      </c>
      <c r="H255" s="43" t="s">
        <v>2343</v>
      </c>
      <c r="I255" s="43" t="s">
        <v>2344</v>
      </c>
      <c r="J255" s="44" t="s">
        <v>2549</v>
      </c>
      <c r="K255" s="44" t="s">
        <v>2621</v>
      </c>
      <c r="L255" s="44" t="s">
        <v>2347</v>
      </c>
      <c r="M255" s="43">
        <v>8</v>
      </c>
      <c r="N255" s="113"/>
      <c r="O255" s="113"/>
      <c r="P255" s="113"/>
      <c r="Q255" s="113"/>
      <c r="R255" s="113"/>
      <c r="S255" s="113"/>
      <c r="T255" s="113"/>
      <c r="U255" s="113"/>
      <c r="V255" s="113"/>
      <c r="W255" s="113"/>
      <c r="X255" s="113"/>
      <c r="Y255" s="113" t="s">
        <v>1113</v>
      </c>
      <c r="Z255" s="113"/>
      <c r="AA255" s="113"/>
      <c r="AB255" s="113"/>
      <c r="AC255" s="113"/>
      <c r="AD255" s="113"/>
      <c r="AE255" s="113"/>
      <c r="AF255" s="113"/>
      <c r="AG255" s="113"/>
      <c r="AH255" s="113"/>
      <c r="AI255" s="113"/>
      <c r="AJ255" s="113"/>
      <c r="AK255" s="113"/>
      <c r="AL255" s="113" t="s">
        <v>1113</v>
      </c>
      <c r="AM255" s="113"/>
      <c r="AN255" s="113"/>
      <c r="AO255" s="43" t="s">
        <v>2348</v>
      </c>
      <c r="AP255" s="43"/>
      <c r="AQ255" s="236" t="str">
        <f>VLOOKUP(Table8[[#This Row],[Instrument]],Def_Targets!$D$73:$E$159,2,FALSE)</f>
        <v>S_BRT</v>
      </c>
      <c r="AR255" s="233" t="str">
        <f>VLOOKUP(Table8[[#This Row],[Country Code]],Table29[],3,FALSE)</f>
        <v>Non-Annex I</v>
      </c>
      <c r="AS255" s="233" t="str">
        <f>VLOOKUP(Table8[[#This Row],[Country Code]],Table29[],4,FALSE)</f>
        <v>Asia</v>
      </c>
      <c r="AT255" s="233" t="str">
        <f>VLOOKUP(Table8[[#This Row],[Country Code]],Table29[],5,FALSE)</f>
        <v>Middle-income</v>
      </c>
      <c r="AU255" s="233" t="str">
        <f>VLOOKUP(Table8[[#This Row],[Country Code]],Table29[],6,FALSE)</f>
        <v>no</v>
      </c>
      <c r="AV255" s="233" t="str">
        <f>VLOOKUP(Table8[[#This Row],[Country Code]],Table29[],7,FALSE)</f>
        <v>no</v>
      </c>
      <c r="AW255" s="233" t="str">
        <f>VLOOKUP(Table8[[#This Row],[Country Code]],Table29[],8,FALSE)</f>
        <v>non-OECD</v>
      </c>
      <c r="AX255" s="233" t="str">
        <f>VLOOKUP(Table8[[#This Row],[Country Code]],Table29[],9,FALSE)</f>
        <v>no</v>
      </c>
      <c r="AY255" s="233" t="str">
        <f>VLOOKUP(Table8[[#This Row],[Country Code]],Table29[],10,FALSE)</f>
        <v>no</v>
      </c>
      <c r="AZ255" s="235">
        <f>VLOOKUP(Table8[[#This Row],[Country Code]],Table29[],23,FALSE)</f>
        <v>3.2548573740653</v>
      </c>
      <c r="BA255" s="235">
        <f>VLOOKUP(Table8[[#This Row],[Country Code]],Table29[],24,FALSE)</f>
        <v>0.43507987337923443</v>
      </c>
      <c r="BB255" s="320"/>
      <c r="BC255" s="320"/>
    </row>
    <row r="256" spans="1:55" hidden="1" x14ac:dyDescent="0.25">
      <c r="A256" s="373">
        <v>20881</v>
      </c>
      <c r="B256" s="233" t="str">
        <f>VLOOKUP(Table8[[#This Row],[Document ID]],Table1[],2,FALSE)</f>
        <v>BTN</v>
      </c>
      <c r="C256" s="233" t="str">
        <f>VLOOKUP(Table8[[#This Row],[Document ID]],Table1[],3,FALSE)</f>
        <v>Bhutan</v>
      </c>
      <c r="D256" s="243" t="str">
        <f>VLOOKUP(Table8[[#This Row],[Document ID]],Table1[],5,FALSE)</f>
        <v>NDC</v>
      </c>
      <c r="E256" s="233" t="str">
        <f>VLOOKUP(Table8[[#This Row],[Document ID]],Table1[],7,FALSE)</f>
        <v>Second NDC</v>
      </c>
      <c r="F256" s="233" t="str">
        <f>VLOOKUP(Table8[[#This Row],[Document ID]],Table1[],8,FALSE)</f>
        <v>NDC 2.0</v>
      </c>
      <c r="G256" s="233" t="str">
        <f>VLOOKUP(Table8[[#This Row],[Document ID]],Table1[],10,FALSE)</f>
        <v>Active</v>
      </c>
      <c r="H256" s="43" t="s">
        <v>2343</v>
      </c>
      <c r="I256" s="43" t="s">
        <v>2344</v>
      </c>
      <c r="J256" s="44" t="s">
        <v>2405</v>
      </c>
      <c r="K256" s="44" t="s">
        <v>2621</v>
      </c>
      <c r="L256" s="44" t="s">
        <v>2347</v>
      </c>
      <c r="M256" s="43">
        <v>8</v>
      </c>
      <c r="N256" s="113"/>
      <c r="O256" s="113"/>
      <c r="P256" s="113"/>
      <c r="Q256" s="113"/>
      <c r="R256" s="113"/>
      <c r="S256" s="113"/>
      <c r="T256" s="113"/>
      <c r="U256" s="113"/>
      <c r="V256" s="113"/>
      <c r="W256" s="113"/>
      <c r="X256" s="113"/>
      <c r="Y256" s="113"/>
      <c r="Z256" s="113"/>
      <c r="AA256" s="113"/>
      <c r="AB256" s="113"/>
      <c r="AC256" s="319" t="s">
        <v>1113</v>
      </c>
      <c r="AD256" s="319"/>
      <c r="AE256" s="113"/>
      <c r="AF256" s="113"/>
      <c r="AG256" s="113"/>
      <c r="AH256" s="113"/>
      <c r="AI256" s="113"/>
      <c r="AJ256" s="113"/>
      <c r="AK256" s="113"/>
      <c r="AL256" s="113" t="s">
        <v>1113</v>
      </c>
      <c r="AM256" s="113"/>
      <c r="AN256" s="113"/>
      <c r="AO256" s="43" t="s">
        <v>2348</v>
      </c>
      <c r="AP256" s="43"/>
      <c r="AQ256" s="236" t="str">
        <f>VLOOKUP(Table8[[#This Row],[Instrument]],Def_Targets!$D$73:$E$159,2,FALSE)</f>
        <v>S_PTIntegration</v>
      </c>
      <c r="AR256" s="233" t="str">
        <f>VLOOKUP(Table8[[#This Row],[Country Code]],Table29[],3,FALSE)</f>
        <v>Non-Annex I</v>
      </c>
      <c r="AS256" s="233" t="str">
        <f>VLOOKUP(Table8[[#This Row],[Country Code]],Table29[],4,FALSE)</f>
        <v>Asia</v>
      </c>
      <c r="AT256" s="233" t="str">
        <f>VLOOKUP(Table8[[#This Row],[Country Code]],Table29[],5,FALSE)</f>
        <v>Middle-income</v>
      </c>
      <c r="AU256" s="233" t="str">
        <f>VLOOKUP(Table8[[#This Row],[Country Code]],Table29[],6,FALSE)</f>
        <v>no</v>
      </c>
      <c r="AV256" s="233" t="str">
        <f>VLOOKUP(Table8[[#This Row],[Country Code]],Table29[],7,FALSE)</f>
        <v>no</v>
      </c>
      <c r="AW256" s="233" t="str">
        <f>VLOOKUP(Table8[[#This Row],[Country Code]],Table29[],8,FALSE)</f>
        <v>non-OECD</v>
      </c>
      <c r="AX256" s="233" t="str">
        <f>VLOOKUP(Table8[[#This Row],[Country Code]],Table29[],9,FALSE)</f>
        <v>no</v>
      </c>
      <c r="AY256" s="233" t="str">
        <f>VLOOKUP(Table8[[#This Row],[Country Code]],Table29[],10,FALSE)</f>
        <v>no</v>
      </c>
      <c r="AZ256" s="235">
        <f>VLOOKUP(Table8[[#This Row],[Country Code]],Table29[],23,FALSE)</f>
        <v>3.2548573740653</v>
      </c>
      <c r="BA256" s="235">
        <f>VLOOKUP(Table8[[#This Row],[Country Code]],Table29[],24,FALSE)</f>
        <v>0.43507987337923443</v>
      </c>
      <c r="BB256" s="320"/>
      <c r="BC256" s="320"/>
    </row>
    <row r="257" spans="1:55" hidden="1" x14ac:dyDescent="0.25">
      <c r="A257" s="373">
        <v>20881</v>
      </c>
      <c r="B257" s="233" t="str">
        <f>VLOOKUP(Table8[[#This Row],[Document ID]],Table1[],2,FALSE)</f>
        <v>BTN</v>
      </c>
      <c r="C257" s="233" t="str">
        <f>VLOOKUP(Table8[[#This Row],[Document ID]],Table1[],3,FALSE)</f>
        <v>Bhutan</v>
      </c>
      <c r="D257" s="243" t="str">
        <f>VLOOKUP(Table8[[#This Row],[Document ID]],Table1[],5,FALSE)</f>
        <v>NDC</v>
      </c>
      <c r="E257" s="233" t="str">
        <f>VLOOKUP(Table8[[#This Row],[Document ID]],Table1[],7,FALSE)</f>
        <v>Second NDC</v>
      </c>
      <c r="F257" s="233" t="str">
        <f>VLOOKUP(Table8[[#This Row],[Document ID]],Table1[],8,FALSE)</f>
        <v>NDC 2.0</v>
      </c>
      <c r="G257" s="233" t="str">
        <f>VLOOKUP(Table8[[#This Row],[Document ID]],Table1[],10,FALSE)</f>
        <v>Active</v>
      </c>
      <c r="H257" s="43" t="s">
        <v>2358</v>
      </c>
      <c r="I257" s="43" t="s">
        <v>2359</v>
      </c>
      <c r="J257" s="44" t="s">
        <v>2360</v>
      </c>
      <c r="K257" s="44" t="s">
        <v>2622</v>
      </c>
      <c r="L257" s="44" t="s">
        <v>2333</v>
      </c>
      <c r="M257" s="43">
        <v>8</v>
      </c>
      <c r="N257" s="113"/>
      <c r="O257" s="113"/>
      <c r="P257" s="113"/>
      <c r="Q257" s="113"/>
      <c r="R257" s="113"/>
      <c r="S257" s="113"/>
      <c r="T257" s="113" t="s">
        <v>1113</v>
      </c>
      <c r="U257" s="113" t="s">
        <v>1113</v>
      </c>
      <c r="V257" s="113"/>
      <c r="W257" s="113" t="s">
        <v>1113</v>
      </c>
      <c r="X257" s="113"/>
      <c r="Y257" s="113" t="s">
        <v>1113</v>
      </c>
      <c r="Z257" s="113"/>
      <c r="AA257" s="113"/>
      <c r="AB257" s="113"/>
      <c r="AC257" s="113"/>
      <c r="AD257" s="113"/>
      <c r="AE257" s="113"/>
      <c r="AF257" s="113"/>
      <c r="AG257" s="113"/>
      <c r="AH257" s="113"/>
      <c r="AI257" s="113"/>
      <c r="AJ257" s="113"/>
      <c r="AK257" s="319" t="s">
        <v>1113</v>
      </c>
      <c r="AL257" s="113"/>
      <c r="AM257" s="113"/>
      <c r="AN257" s="113"/>
      <c r="AO257" s="43" t="s">
        <v>2348</v>
      </c>
      <c r="AP257" s="43"/>
      <c r="AQ257" s="236" t="str">
        <f>VLOOKUP(Table8[[#This Row],[Instrument]],Def_Targets!$D$73:$E$159,2,FALSE)</f>
        <v>I_Emobility</v>
      </c>
      <c r="AR257" s="233" t="str">
        <f>VLOOKUP(Table8[[#This Row],[Country Code]],Table29[],3,FALSE)</f>
        <v>Non-Annex I</v>
      </c>
      <c r="AS257" s="233" t="str">
        <f>VLOOKUP(Table8[[#This Row],[Country Code]],Table29[],4,FALSE)</f>
        <v>Asia</v>
      </c>
      <c r="AT257" s="233" t="str">
        <f>VLOOKUP(Table8[[#This Row],[Country Code]],Table29[],5,FALSE)</f>
        <v>Middle-income</v>
      </c>
      <c r="AU257" s="233" t="str">
        <f>VLOOKUP(Table8[[#This Row],[Country Code]],Table29[],6,FALSE)</f>
        <v>no</v>
      </c>
      <c r="AV257" s="233" t="str">
        <f>VLOOKUP(Table8[[#This Row],[Country Code]],Table29[],7,FALSE)</f>
        <v>no</v>
      </c>
      <c r="AW257" s="233" t="str">
        <f>VLOOKUP(Table8[[#This Row],[Country Code]],Table29[],8,FALSE)</f>
        <v>non-OECD</v>
      </c>
      <c r="AX257" s="233" t="str">
        <f>VLOOKUP(Table8[[#This Row],[Country Code]],Table29[],9,FALSE)</f>
        <v>no</v>
      </c>
      <c r="AY257" s="233" t="str">
        <f>VLOOKUP(Table8[[#This Row],[Country Code]],Table29[],10,FALSE)</f>
        <v>no</v>
      </c>
      <c r="AZ257" s="235">
        <f>VLOOKUP(Table8[[#This Row],[Country Code]],Table29[],23,FALSE)</f>
        <v>3.2548573740653</v>
      </c>
      <c r="BA257" s="235">
        <f>VLOOKUP(Table8[[#This Row],[Country Code]],Table29[],24,FALSE)</f>
        <v>0.43507987337923443</v>
      </c>
      <c r="BB257" s="320"/>
      <c r="BC257" s="320"/>
    </row>
    <row r="258" spans="1:55" s="23" customFormat="1" hidden="1" x14ac:dyDescent="0.25">
      <c r="A258" s="373">
        <v>20881</v>
      </c>
      <c r="B258" s="233" t="str">
        <f>VLOOKUP(Table8[[#This Row],[Document ID]],Table1[],2,FALSE)</f>
        <v>BTN</v>
      </c>
      <c r="C258" s="233" t="str">
        <f>VLOOKUP(Table8[[#This Row],[Document ID]],Table1[],3,FALSE)</f>
        <v>Bhutan</v>
      </c>
      <c r="D258" s="243" t="str">
        <f>VLOOKUP(Table8[[#This Row],[Document ID]],Table1[],5,FALSE)</f>
        <v>NDC</v>
      </c>
      <c r="E258" s="233" t="str">
        <f>VLOOKUP(Table8[[#This Row],[Document ID]],Table1[],7,FALSE)</f>
        <v>Second NDC</v>
      </c>
      <c r="F258" s="233" t="str">
        <f>VLOOKUP(Table8[[#This Row],[Document ID]],Table1[],8,FALSE)</f>
        <v>NDC 2.0</v>
      </c>
      <c r="G258" s="233" t="str">
        <f>VLOOKUP(Table8[[#This Row],[Document ID]],Table1[],10,FALSE)</f>
        <v>Active</v>
      </c>
      <c r="H258" s="43" t="s">
        <v>2350</v>
      </c>
      <c r="I258" s="43" t="s">
        <v>2351</v>
      </c>
      <c r="J258" s="44" t="s">
        <v>2447</v>
      </c>
      <c r="K258" s="44" t="s">
        <v>2623</v>
      </c>
      <c r="L258" s="44" t="s">
        <v>2333</v>
      </c>
      <c r="M258" s="43">
        <v>8</v>
      </c>
      <c r="N258" s="113"/>
      <c r="O258" s="113"/>
      <c r="P258" s="113"/>
      <c r="Q258" s="113"/>
      <c r="R258" s="113"/>
      <c r="S258" s="113"/>
      <c r="T258" s="113"/>
      <c r="U258" s="113"/>
      <c r="V258" s="113"/>
      <c r="W258" s="113"/>
      <c r="X258" s="113" t="s">
        <v>1113</v>
      </c>
      <c r="Y258" s="113"/>
      <c r="Z258" s="113" t="s">
        <v>1113</v>
      </c>
      <c r="AA258" s="113"/>
      <c r="AB258" s="113"/>
      <c r="AC258" s="113"/>
      <c r="AD258" s="113"/>
      <c r="AE258" s="113"/>
      <c r="AF258" s="113"/>
      <c r="AG258" s="113"/>
      <c r="AH258" s="113"/>
      <c r="AI258" s="113"/>
      <c r="AJ258" s="113"/>
      <c r="AK258" s="319" t="s">
        <v>1113</v>
      </c>
      <c r="AL258" s="113"/>
      <c r="AM258" s="113"/>
      <c r="AN258" s="113"/>
      <c r="AO258" s="43" t="s">
        <v>2353</v>
      </c>
      <c r="AP258" s="43"/>
      <c r="AQ258" s="236" t="str">
        <f>VLOOKUP(Table8[[#This Row],[Instrument]],Def_Targets!$D$73:$E$159,2,FALSE)</f>
        <v>I_Freighteff</v>
      </c>
      <c r="AR258" s="233" t="str">
        <f>VLOOKUP(Table8[[#This Row],[Country Code]],Table29[],3,FALSE)</f>
        <v>Non-Annex I</v>
      </c>
      <c r="AS258" s="233" t="str">
        <f>VLOOKUP(Table8[[#This Row],[Country Code]],Table29[],4,FALSE)</f>
        <v>Asia</v>
      </c>
      <c r="AT258" s="233" t="str">
        <f>VLOOKUP(Table8[[#This Row],[Country Code]],Table29[],5,FALSE)</f>
        <v>Middle-income</v>
      </c>
      <c r="AU258" s="233" t="str">
        <f>VLOOKUP(Table8[[#This Row],[Country Code]],Table29[],6,FALSE)</f>
        <v>no</v>
      </c>
      <c r="AV258" s="233" t="str">
        <f>VLOOKUP(Table8[[#This Row],[Country Code]],Table29[],7,FALSE)</f>
        <v>no</v>
      </c>
      <c r="AW258" s="233" t="str">
        <f>VLOOKUP(Table8[[#This Row],[Country Code]],Table29[],8,FALSE)</f>
        <v>non-OECD</v>
      </c>
      <c r="AX258" s="233" t="str">
        <f>VLOOKUP(Table8[[#This Row],[Country Code]],Table29[],9,FALSE)</f>
        <v>no</v>
      </c>
      <c r="AY258" s="233" t="str">
        <f>VLOOKUP(Table8[[#This Row],[Country Code]],Table29[],10,FALSE)</f>
        <v>no</v>
      </c>
      <c r="AZ258" s="235">
        <f>VLOOKUP(Table8[[#This Row],[Country Code]],Table29[],23,FALSE)</f>
        <v>3.2548573740653</v>
      </c>
      <c r="BA258" s="235">
        <f>VLOOKUP(Table8[[#This Row],[Country Code]],Table29[],24,FALSE)</f>
        <v>0.43507987337923443</v>
      </c>
      <c r="BB258" s="320"/>
      <c r="BC258" s="320"/>
    </row>
    <row r="259" spans="1:55" hidden="1" x14ac:dyDescent="0.25">
      <c r="A259" s="373">
        <v>20881</v>
      </c>
      <c r="B259" s="233" t="str">
        <f>VLOOKUP(Table8[[#This Row],[Document ID]],Table1[],2,FALSE)</f>
        <v>BTN</v>
      </c>
      <c r="C259" s="233" t="str">
        <f>VLOOKUP(Table8[[#This Row],[Document ID]],Table1[],3,FALSE)</f>
        <v>Bhutan</v>
      </c>
      <c r="D259" s="243" t="str">
        <f>VLOOKUP(Table8[[#This Row],[Document ID]],Table1[],5,FALSE)</f>
        <v>NDC</v>
      </c>
      <c r="E259" s="233" t="str">
        <f>VLOOKUP(Table8[[#This Row],[Document ID]],Table1[],7,FALSE)</f>
        <v>Second NDC</v>
      </c>
      <c r="F259" s="233" t="str">
        <f>VLOOKUP(Table8[[#This Row],[Document ID]],Table1[],8,FALSE)</f>
        <v>NDC 2.0</v>
      </c>
      <c r="G259" s="233" t="str">
        <f>VLOOKUP(Table8[[#This Row],[Document ID]],Table1[],10,FALSE)</f>
        <v>Active</v>
      </c>
      <c r="H259" s="43" t="s">
        <v>2343</v>
      </c>
      <c r="I259" s="43" t="s">
        <v>2361</v>
      </c>
      <c r="J259" s="44" t="s">
        <v>2366</v>
      </c>
      <c r="K259" s="44" t="s">
        <v>2624</v>
      </c>
      <c r="L259" s="44" t="s">
        <v>2347</v>
      </c>
      <c r="M259" s="43">
        <v>8</v>
      </c>
      <c r="N259" s="113"/>
      <c r="O259" s="113"/>
      <c r="P259" s="113"/>
      <c r="Q259" s="113" t="s">
        <v>1113</v>
      </c>
      <c r="R259" s="113" t="s">
        <v>1113</v>
      </c>
      <c r="S259" s="113"/>
      <c r="T259" s="113"/>
      <c r="U259" s="113"/>
      <c r="V259" s="113"/>
      <c r="W259" s="113"/>
      <c r="X259" s="113"/>
      <c r="Y259" s="113"/>
      <c r="Z259" s="113"/>
      <c r="AA259" s="113"/>
      <c r="AB259" s="113"/>
      <c r="AC259" s="113"/>
      <c r="AD259" s="113"/>
      <c r="AE259" s="113"/>
      <c r="AF259" s="113"/>
      <c r="AG259" s="113"/>
      <c r="AH259" s="113"/>
      <c r="AI259" s="113"/>
      <c r="AJ259" s="113"/>
      <c r="AK259" s="319" t="s">
        <v>1113</v>
      </c>
      <c r="AL259" s="113"/>
      <c r="AM259" s="113"/>
      <c r="AN259" s="113"/>
      <c r="AO259" s="44" t="s">
        <v>2334</v>
      </c>
      <c r="AP259" s="43"/>
      <c r="AQ259" s="236" t="str">
        <f>VLOOKUP(Table8[[#This Row],[Instrument]],Def_Targets!$D$73:$E$159,2,FALSE)</f>
        <v>S_Activemobility</v>
      </c>
      <c r="AR259" s="233" t="str">
        <f>VLOOKUP(Table8[[#This Row],[Country Code]],Table29[],3,FALSE)</f>
        <v>Non-Annex I</v>
      </c>
      <c r="AS259" s="233" t="str">
        <f>VLOOKUP(Table8[[#This Row],[Country Code]],Table29[],4,FALSE)</f>
        <v>Asia</v>
      </c>
      <c r="AT259" s="233" t="str">
        <f>VLOOKUP(Table8[[#This Row],[Country Code]],Table29[],5,FALSE)</f>
        <v>Middle-income</v>
      </c>
      <c r="AU259" s="233" t="str">
        <f>VLOOKUP(Table8[[#This Row],[Country Code]],Table29[],6,FALSE)</f>
        <v>no</v>
      </c>
      <c r="AV259" s="233" t="str">
        <f>VLOOKUP(Table8[[#This Row],[Country Code]],Table29[],7,FALSE)</f>
        <v>no</v>
      </c>
      <c r="AW259" s="233" t="str">
        <f>VLOOKUP(Table8[[#This Row],[Country Code]],Table29[],8,FALSE)</f>
        <v>non-OECD</v>
      </c>
      <c r="AX259" s="233" t="str">
        <f>VLOOKUP(Table8[[#This Row],[Country Code]],Table29[],9,FALSE)</f>
        <v>no</v>
      </c>
      <c r="AY259" s="233" t="str">
        <f>VLOOKUP(Table8[[#This Row],[Country Code]],Table29[],10,FALSE)</f>
        <v>no</v>
      </c>
      <c r="AZ259" s="235">
        <f>VLOOKUP(Table8[[#This Row],[Country Code]],Table29[],23,FALSE)</f>
        <v>3.2548573740653</v>
      </c>
      <c r="BA259" s="235">
        <f>VLOOKUP(Table8[[#This Row],[Country Code]],Table29[],24,FALSE)</f>
        <v>0.43507987337923443</v>
      </c>
      <c r="BB259" s="320"/>
      <c r="BC259" s="320"/>
    </row>
    <row r="260" spans="1:55" ht="30" hidden="1" x14ac:dyDescent="0.25">
      <c r="A260" s="373">
        <v>20881</v>
      </c>
      <c r="B260" s="233" t="str">
        <f>VLOOKUP(Table8[[#This Row],[Document ID]],Table1[],2,FALSE)</f>
        <v>BTN</v>
      </c>
      <c r="C260" s="233" t="str">
        <f>VLOOKUP(Table8[[#This Row],[Document ID]],Table1[],3,FALSE)</f>
        <v>Bhutan</v>
      </c>
      <c r="D260" s="243" t="str">
        <f>VLOOKUP(Table8[[#This Row],[Document ID]],Table1[],5,FALSE)</f>
        <v>NDC</v>
      </c>
      <c r="E260" s="233" t="str">
        <f>VLOOKUP(Table8[[#This Row],[Document ID]],Table1[],7,FALSE)</f>
        <v>Second NDC</v>
      </c>
      <c r="F260" s="233" t="str">
        <f>VLOOKUP(Table8[[#This Row],[Document ID]],Table1[],8,FALSE)</f>
        <v>NDC 2.0</v>
      </c>
      <c r="G260" s="233" t="str">
        <f>VLOOKUP(Table8[[#This Row],[Document ID]],Table1[],10,FALSE)</f>
        <v>Active</v>
      </c>
      <c r="H260" s="44" t="s">
        <v>2338</v>
      </c>
      <c r="I260" s="44" t="s">
        <v>2339</v>
      </c>
      <c r="J260" s="44" t="s">
        <v>2413</v>
      </c>
      <c r="K260" s="44" t="s">
        <v>2625</v>
      </c>
      <c r="L260" s="44" t="s">
        <v>2333</v>
      </c>
      <c r="M260" s="43">
        <v>8</v>
      </c>
      <c r="N260" s="113"/>
      <c r="O260" s="113"/>
      <c r="P260" s="113"/>
      <c r="Q260" s="113"/>
      <c r="R260" s="113"/>
      <c r="S260" s="113" t="s">
        <v>1113</v>
      </c>
      <c r="T260" s="113"/>
      <c r="U260" s="113"/>
      <c r="V260" s="113"/>
      <c r="W260" s="113"/>
      <c r="X260" s="113"/>
      <c r="Y260" s="113"/>
      <c r="Z260" s="113"/>
      <c r="AA260" s="113"/>
      <c r="AB260" s="113"/>
      <c r="AC260" s="113"/>
      <c r="AD260" s="113"/>
      <c r="AE260" s="113"/>
      <c r="AF260" s="113"/>
      <c r="AG260" s="113"/>
      <c r="AH260" s="113"/>
      <c r="AI260" s="113"/>
      <c r="AJ260" s="113"/>
      <c r="AK260" s="319" t="s">
        <v>1113</v>
      </c>
      <c r="AL260" s="113"/>
      <c r="AM260" s="113"/>
      <c r="AN260" s="113"/>
      <c r="AO260" s="44" t="s">
        <v>2334</v>
      </c>
      <c r="AP260" s="43"/>
      <c r="AQ260" s="236" t="str">
        <f>VLOOKUP(Table8[[#This Row],[Instrument]],Def_Targets!$D$73:$E$159,2,FALSE)</f>
        <v>I_Vehicleeff</v>
      </c>
      <c r="AR260" s="233" t="str">
        <f>VLOOKUP(Table8[[#This Row],[Country Code]],Table29[],3,FALSE)</f>
        <v>Non-Annex I</v>
      </c>
      <c r="AS260" s="233" t="str">
        <f>VLOOKUP(Table8[[#This Row],[Country Code]],Table29[],4,FALSE)</f>
        <v>Asia</v>
      </c>
      <c r="AT260" s="233" t="str">
        <f>VLOOKUP(Table8[[#This Row],[Country Code]],Table29[],5,FALSE)</f>
        <v>Middle-income</v>
      </c>
      <c r="AU260" s="233" t="str">
        <f>VLOOKUP(Table8[[#This Row],[Country Code]],Table29[],6,FALSE)</f>
        <v>no</v>
      </c>
      <c r="AV260" s="233" t="str">
        <f>VLOOKUP(Table8[[#This Row],[Country Code]],Table29[],7,FALSE)</f>
        <v>no</v>
      </c>
      <c r="AW260" s="233" t="str">
        <f>VLOOKUP(Table8[[#This Row],[Country Code]],Table29[],8,FALSE)</f>
        <v>non-OECD</v>
      </c>
      <c r="AX260" s="233" t="str">
        <f>VLOOKUP(Table8[[#This Row],[Country Code]],Table29[],9,FALSE)</f>
        <v>no</v>
      </c>
      <c r="AY260" s="233" t="str">
        <f>VLOOKUP(Table8[[#This Row],[Country Code]],Table29[],10,FALSE)</f>
        <v>no</v>
      </c>
      <c r="AZ260" s="235">
        <f>VLOOKUP(Table8[[#This Row],[Country Code]],Table29[],23,FALSE)</f>
        <v>3.2548573740653</v>
      </c>
      <c r="BA260" s="235">
        <f>VLOOKUP(Table8[[#This Row],[Country Code]],Table29[],24,FALSE)</f>
        <v>0.43507987337923443</v>
      </c>
      <c r="BB260" s="320"/>
      <c r="BC260" s="320"/>
    </row>
    <row r="261" spans="1:55" hidden="1" x14ac:dyDescent="0.25">
      <c r="A261" s="373">
        <v>20881</v>
      </c>
      <c r="B261" s="233" t="str">
        <f>VLOOKUP(Table8[[#This Row],[Document ID]],Table1[],2,FALSE)</f>
        <v>BTN</v>
      </c>
      <c r="C261" s="233" t="str">
        <f>VLOOKUP(Table8[[#This Row],[Document ID]],Table1[],3,FALSE)</f>
        <v>Bhutan</v>
      </c>
      <c r="D261" s="243" t="str">
        <f>VLOOKUP(Table8[[#This Row],[Document ID]],Table1[],5,FALSE)</f>
        <v>NDC</v>
      </c>
      <c r="E261" s="233" t="str">
        <f>VLOOKUP(Table8[[#This Row],[Document ID]],Table1[],7,FALSE)</f>
        <v>Second NDC</v>
      </c>
      <c r="F261" s="233" t="str">
        <f>VLOOKUP(Table8[[#This Row],[Document ID]],Table1[],8,FALSE)</f>
        <v>NDC 2.0</v>
      </c>
      <c r="G261" s="233" t="str">
        <f>VLOOKUP(Table8[[#This Row],[Document ID]],Table1[],10,FALSE)</f>
        <v>Active</v>
      </c>
      <c r="H261" s="43" t="s">
        <v>2343</v>
      </c>
      <c r="I261" s="43" t="s">
        <v>2377</v>
      </c>
      <c r="J261" s="44" t="s">
        <v>2394</v>
      </c>
      <c r="K261" s="44" t="s">
        <v>2626</v>
      </c>
      <c r="L261" s="44" t="s">
        <v>2380</v>
      </c>
      <c r="M261" s="43">
        <v>8</v>
      </c>
      <c r="N261" s="113" t="s">
        <v>1113</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319" t="s">
        <v>1113</v>
      </c>
      <c r="AL261" s="113"/>
      <c r="AM261" s="113"/>
      <c r="AN261" s="113"/>
      <c r="AO261" s="44" t="s">
        <v>2334</v>
      </c>
      <c r="AP261" s="43"/>
      <c r="AQ261" s="236" t="str">
        <f>VLOOKUP(Table8[[#This Row],[Instrument]],Def_Targets!$D$73:$E$159,2,FALSE)</f>
        <v>A_TDM</v>
      </c>
      <c r="AR261" s="233" t="str">
        <f>VLOOKUP(Table8[[#This Row],[Country Code]],Table29[],3,FALSE)</f>
        <v>Non-Annex I</v>
      </c>
      <c r="AS261" s="233" t="str">
        <f>VLOOKUP(Table8[[#This Row],[Country Code]],Table29[],4,FALSE)</f>
        <v>Asia</v>
      </c>
      <c r="AT261" s="233" t="str">
        <f>VLOOKUP(Table8[[#This Row],[Country Code]],Table29[],5,FALSE)</f>
        <v>Middle-income</v>
      </c>
      <c r="AU261" s="233" t="str">
        <f>VLOOKUP(Table8[[#This Row],[Country Code]],Table29[],6,FALSE)</f>
        <v>no</v>
      </c>
      <c r="AV261" s="233" t="str">
        <f>VLOOKUP(Table8[[#This Row],[Country Code]],Table29[],7,FALSE)</f>
        <v>no</v>
      </c>
      <c r="AW261" s="233" t="str">
        <f>VLOOKUP(Table8[[#This Row],[Country Code]],Table29[],8,FALSE)</f>
        <v>non-OECD</v>
      </c>
      <c r="AX261" s="233" t="str">
        <f>VLOOKUP(Table8[[#This Row],[Country Code]],Table29[],9,FALSE)</f>
        <v>no</v>
      </c>
      <c r="AY261" s="233" t="str">
        <f>VLOOKUP(Table8[[#This Row],[Country Code]],Table29[],10,FALSE)</f>
        <v>no</v>
      </c>
      <c r="AZ261" s="235">
        <f>VLOOKUP(Table8[[#This Row],[Country Code]],Table29[],23,FALSE)</f>
        <v>3.2548573740653</v>
      </c>
      <c r="BA261" s="235">
        <f>VLOOKUP(Table8[[#This Row],[Country Code]],Table29[],24,FALSE)</f>
        <v>0.43507987337923443</v>
      </c>
      <c r="BB261" s="320"/>
      <c r="BC261" s="320"/>
    </row>
    <row r="262" spans="1:55" hidden="1" x14ac:dyDescent="0.25">
      <c r="A262" s="373">
        <v>20881</v>
      </c>
      <c r="B262" s="233" t="str">
        <f>VLOOKUP(Table8[[#This Row],[Document ID]],Table1[],2,FALSE)</f>
        <v>BTN</v>
      </c>
      <c r="C262" s="233" t="str">
        <f>VLOOKUP(Table8[[#This Row],[Document ID]],Table1[],3,FALSE)</f>
        <v>Bhutan</v>
      </c>
      <c r="D262" s="243" t="str">
        <f>VLOOKUP(Table8[[#This Row],[Document ID]],Table1[],5,FALSE)</f>
        <v>NDC</v>
      </c>
      <c r="E262" s="233" t="str">
        <f>VLOOKUP(Table8[[#This Row],[Document ID]],Table1[],7,FALSE)</f>
        <v>Second NDC</v>
      </c>
      <c r="F262" s="233" t="str">
        <f>VLOOKUP(Table8[[#This Row],[Document ID]],Table1[],8,FALSE)</f>
        <v>NDC 2.0</v>
      </c>
      <c r="G262" s="233" t="str">
        <f>VLOOKUP(Table8[[#This Row],[Document ID]],Table1[],10,FALSE)</f>
        <v>Active</v>
      </c>
      <c r="H262" s="43" t="s">
        <v>2343</v>
      </c>
      <c r="I262" s="43" t="s">
        <v>2429</v>
      </c>
      <c r="J262" s="44" t="s">
        <v>2513</v>
      </c>
      <c r="K262" s="44" t="s">
        <v>2627</v>
      </c>
      <c r="L262" s="44" t="s">
        <v>2396</v>
      </c>
      <c r="M262" s="43">
        <v>8</v>
      </c>
      <c r="N262" s="113"/>
      <c r="O262" s="113"/>
      <c r="P262" s="113"/>
      <c r="Q262" s="113"/>
      <c r="R262" s="113"/>
      <c r="S262" s="113"/>
      <c r="T262" s="113"/>
      <c r="U262" s="113" t="s">
        <v>1113</v>
      </c>
      <c r="V262" s="113"/>
      <c r="W262" s="113"/>
      <c r="X262" s="113"/>
      <c r="Y262" s="113"/>
      <c r="Z262" s="113"/>
      <c r="AA262" s="113"/>
      <c r="AB262" s="113"/>
      <c r="AC262" s="113"/>
      <c r="AD262" s="113"/>
      <c r="AE262" s="113"/>
      <c r="AF262" s="113"/>
      <c r="AG262" s="113"/>
      <c r="AH262" s="113"/>
      <c r="AI262" s="113"/>
      <c r="AJ262" s="113"/>
      <c r="AK262" s="319" t="s">
        <v>1113</v>
      </c>
      <c r="AL262" s="113"/>
      <c r="AM262" s="113"/>
      <c r="AN262" s="113"/>
      <c r="AO262" s="44" t="s">
        <v>2334</v>
      </c>
      <c r="AP262" s="43"/>
      <c r="AQ262" s="236" t="str">
        <f>VLOOKUP(Table8[[#This Row],[Instrument]],Def_Targets!$D$73:$E$159,2,FALSE)</f>
        <v>S_Sharedmob</v>
      </c>
      <c r="AR262" s="233" t="str">
        <f>VLOOKUP(Table8[[#This Row],[Country Code]],Table29[],3,FALSE)</f>
        <v>Non-Annex I</v>
      </c>
      <c r="AS262" s="233" t="str">
        <f>VLOOKUP(Table8[[#This Row],[Country Code]],Table29[],4,FALSE)</f>
        <v>Asia</v>
      </c>
      <c r="AT262" s="233" t="str">
        <f>VLOOKUP(Table8[[#This Row],[Country Code]],Table29[],5,FALSE)</f>
        <v>Middle-income</v>
      </c>
      <c r="AU262" s="233" t="str">
        <f>VLOOKUP(Table8[[#This Row],[Country Code]],Table29[],6,FALSE)</f>
        <v>no</v>
      </c>
      <c r="AV262" s="233" t="str">
        <f>VLOOKUP(Table8[[#This Row],[Country Code]],Table29[],7,FALSE)</f>
        <v>no</v>
      </c>
      <c r="AW262" s="233" t="str">
        <f>VLOOKUP(Table8[[#This Row],[Country Code]],Table29[],8,FALSE)</f>
        <v>non-OECD</v>
      </c>
      <c r="AX262" s="233" t="str">
        <f>VLOOKUP(Table8[[#This Row],[Country Code]],Table29[],9,FALSE)</f>
        <v>no</v>
      </c>
      <c r="AY262" s="233" t="str">
        <f>VLOOKUP(Table8[[#This Row],[Country Code]],Table29[],10,FALSE)</f>
        <v>no</v>
      </c>
      <c r="AZ262" s="235">
        <f>VLOOKUP(Table8[[#This Row],[Country Code]],Table29[],23,FALSE)</f>
        <v>3.2548573740653</v>
      </c>
      <c r="BA262" s="235">
        <f>VLOOKUP(Table8[[#This Row],[Country Code]],Table29[],24,FALSE)</f>
        <v>0.43507987337923443</v>
      </c>
      <c r="BB262" s="320"/>
      <c r="BC262" s="320"/>
    </row>
    <row r="263" spans="1:55" ht="30" hidden="1" x14ac:dyDescent="0.25">
      <c r="A263" s="373">
        <v>20881</v>
      </c>
      <c r="B263" s="233" t="str">
        <f>VLOOKUP(Table8[[#This Row],[Document ID]],Table1[],2,FALSE)</f>
        <v>BTN</v>
      </c>
      <c r="C263" s="233" t="str">
        <f>VLOOKUP(Table8[[#This Row],[Document ID]],Table1[],3,FALSE)</f>
        <v>Bhutan</v>
      </c>
      <c r="D263" s="243" t="str">
        <f>VLOOKUP(Table8[[#This Row],[Document ID]],Table1[],5,FALSE)</f>
        <v>NDC</v>
      </c>
      <c r="E263" s="233" t="str">
        <f>VLOOKUP(Table8[[#This Row],[Document ID]],Table1[],7,FALSE)</f>
        <v>Second NDC</v>
      </c>
      <c r="F263" s="233" t="str">
        <f>VLOOKUP(Table8[[#This Row],[Document ID]],Table1[],8,FALSE)</f>
        <v>NDC 2.0</v>
      </c>
      <c r="G263" s="233" t="str">
        <f>VLOOKUP(Table8[[#This Row],[Document ID]],Table1[],10,FALSE)</f>
        <v>Active</v>
      </c>
      <c r="H263" s="44" t="s">
        <v>2338</v>
      </c>
      <c r="I263" s="44" t="s">
        <v>2339</v>
      </c>
      <c r="J263" s="44" t="s">
        <v>2410</v>
      </c>
      <c r="K263" s="44" t="s">
        <v>2628</v>
      </c>
      <c r="L263" s="44" t="s">
        <v>2333</v>
      </c>
      <c r="M263" s="43">
        <v>8</v>
      </c>
      <c r="N263" s="113"/>
      <c r="O263" s="113"/>
      <c r="P263" s="113"/>
      <c r="Q263" s="113"/>
      <c r="R263" s="113"/>
      <c r="S263" s="113"/>
      <c r="T263" s="113"/>
      <c r="U263" s="113" t="s">
        <v>1113</v>
      </c>
      <c r="V263" s="113"/>
      <c r="W263" s="113"/>
      <c r="X263" s="113"/>
      <c r="Y263" s="113"/>
      <c r="Z263" s="113"/>
      <c r="AA263" s="113"/>
      <c r="AB263" s="113"/>
      <c r="AC263" s="113"/>
      <c r="AD263" s="113"/>
      <c r="AE263" s="113"/>
      <c r="AF263" s="113"/>
      <c r="AG263" s="113"/>
      <c r="AH263" s="113"/>
      <c r="AI263" s="113"/>
      <c r="AJ263" s="113"/>
      <c r="AK263" s="319" t="s">
        <v>1113</v>
      </c>
      <c r="AL263" s="113"/>
      <c r="AM263" s="113"/>
      <c r="AN263" s="113"/>
      <c r="AO263" s="44" t="s">
        <v>2334</v>
      </c>
      <c r="AP263" s="43"/>
      <c r="AQ263" s="236" t="str">
        <f>VLOOKUP(Table8[[#This Row],[Instrument]],Def_Targets!$D$73:$E$159,2,FALSE)</f>
        <v>I_VehicleRestrictions</v>
      </c>
      <c r="AR263" s="233" t="str">
        <f>VLOOKUP(Table8[[#This Row],[Country Code]],Table29[],3,FALSE)</f>
        <v>Non-Annex I</v>
      </c>
      <c r="AS263" s="233" t="str">
        <f>VLOOKUP(Table8[[#This Row],[Country Code]],Table29[],4,FALSE)</f>
        <v>Asia</v>
      </c>
      <c r="AT263" s="233" t="str">
        <f>VLOOKUP(Table8[[#This Row],[Country Code]],Table29[],5,FALSE)</f>
        <v>Middle-income</v>
      </c>
      <c r="AU263" s="233" t="str">
        <f>VLOOKUP(Table8[[#This Row],[Country Code]],Table29[],6,FALSE)</f>
        <v>no</v>
      </c>
      <c r="AV263" s="233" t="str">
        <f>VLOOKUP(Table8[[#This Row],[Country Code]],Table29[],7,FALSE)</f>
        <v>no</v>
      </c>
      <c r="AW263" s="233" t="str">
        <f>VLOOKUP(Table8[[#This Row],[Country Code]],Table29[],8,FALSE)</f>
        <v>non-OECD</v>
      </c>
      <c r="AX263" s="233" t="str">
        <f>VLOOKUP(Table8[[#This Row],[Country Code]],Table29[],9,FALSE)</f>
        <v>no</v>
      </c>
      <c r="AY263" s="233" t="str">
        <f>VLOOKUP(Table8[[#This Row],[Country Code]],Table29[],10,FALSE)</f>
        <v>no</v>
      </c>
      <c r="AZ263" s="235">
        <f>VLOOKUP(Table8[[#This Row],[Country Code]],Table29[],23,FALSE)</f>
        <v>3.2548573740653</v>
      </c>
      <c r="BA263" s="235">
        <f>VLOOKUP(Table8[[#This Row],[Country Code]],Table29[],24,FALSE)</f>
        <v>0.43507987337923443</v>
      </c>
      <c r="BB263" s="320"/>
      <c r="BC263" s="320"/>
    </row>
    <row r="264" spans="1:55" ht="60" hidden="1" x14ac:dyDescent="0.25">
      <c r="A264" s="360">
        <v>26798</v>
      </c>
      <c r="B264" s="233" t="str">
        <f>VLOOKUP(Table8[[#This Row],[Document ID]],Table1[],2,FALSE)</f>
        <v>BOL</v>
      </c>
      <c r="C264" s="233" t="str">
        <f>VLOOKUP(Table8[[#This Row],[Document ID]],Table1[],3,FALSE)</f>
        <v>Bolivia (Plurinational State of)</v>
      </c>
      <c r="D264" s="233" t="str">
        <f>VLOOKUP(Table8[[#This Row],[Document ID]],Table1[],5,FALSE)</f>
        <v>NDC</v>
      </c>
      <c r="E264" s="233" t="str">
        <f>VLOOKUP(Table8[[#This Row],[Document ID]],Table1[],7,FALSE)</f>
        <v>Second NDC</v>
      </c>
      <c r="F264" s="233" t="str">
        <f>VLOOKUP(Table8[[#This Row],[Document ID]],Table1[],8,FALSE)</f>
        <v>NDC 2.0</v>
      </c>
      <c r="G264" s="233" t="str">
        <f>VLOOKUP(Table8[[#This Row],[Document ID]],Table1[],10,FALSE)</f>
        <v>Active</v>
      </c>
      <c r="H264" s="43" t="s">
        <v>2358</v>
      </c>
      <c r="I264" s="43" t="s">
        <v>2359</v>
      </c>
      <c r="J264" s="44" t="s">
        <v>2360</v>
      </c>
      <c r="K264" s="44" t="s">
        <v>2629</v>
      </c>
      <c r="L264" s="44" t="s">
        <v>2471</v>
      </c>
      <c r="M264" s="43">
        <v>17</v>
      </c>
      <c r="N264" s="113"/>
      <c r="O264" s="113"/>
      <c r="P264" s="113"/>
      <c r="Q264" s="113"/>
      <c r="R264" s="113"/>
      <c r="S264" s="113"/>
      <c r="T264" s="113"/>
      <c r="U264" s="113"/>
      <c r="V264" s="113"/>
      <c r="W264" s="113"/>
      <c r="X264" s="113"/>
      <c r="Y264" s="113" t="s">
        <v>1113</v>
      </c>
      <c r="Z264" s="113"/>
      <c r="AA264" s="113"/>
      <c r="AB264" s="113"/>
      <c r="AC264" s="113" t="s">
        <v>1113</v>
      </c>
      <c r="AD264" s="113"/>
      <c r="AE264" s="113"/>
      <c r="AF264" s="113"/>
      <c r="AG264" s="113"/>
      <c r="AH264" s="113"/>
      <c r="AI264" s="113"/>
      <c r="AJ264" s="113"/>
      <c r="AK264" s="113" t="s">
        <v>1113</v>
      </c>
      <c r="AL264" s="113"/>
      <c r="AM264" s="113"/>
      <c r="AN264" s="113"/>
      <c r="AO264" s="43" t="s">
        <v>2348</v>
      </c>
      <c r="AP264" s="43"/>
      <c r="AQ264" s="236" t="str">
        <f>VLOOKUP(Table8[[#This Row],[Instrument]],Def_Targets!$D$73:$E$159,2,FALSE)</f>
        <v>I_Emobility</v>
      </c>
      <c r="AR264" s="233" t="str">
        <f>VLOOKUP(Table8[[#This Row],[Country Code]],Table29[],3,FALSE)</f>
        <v>Non-Annex I</v>
      </c>
      <c r="AS264" s="233" t="str">
        <f>VLOOKUP(Table8[[#This Row],[Country Code]],Table29[],4,FALSE)</f>
        <v>Latin America and the Caribbean</v>
      </c>
      <c r="AT264" s="233" t="str">
        <f>VLOOKUP(Table8[[#This Row],[Country Code]],Table29[],5,FALSE)</f>
        <v>Middle-income</v>
      </c>
      <c r="AU264" s="233" t="str">
        <f>VLOOKUP(Table8[[#This Row],[Country Code]],Table29[],6,FALSE)</f>
        <v>no</v>
      </c>
      <c r="AV264" s="233" t="str">
        <f>VLOOKUP(Table8[[#This Row],[Country Code]],Table29[],7,FALSE)</f>
        <v>no</v>
      </c>
      <c r="AW264" s="233" t="str">
        <f>VLOOKUP(Table8[[#This Row],[Country Code]],Table29[],8,FALSE)</f>
        <v>non-OECD</v>
      </c>
      <c r="AX264" s="233" t="str">
        <f>VLOOKUP(Table8[[#This Row],[Country Code]],Table29[],9,FALSE)</f>
        <v>no</v>
      </c>
      <c r="AY264" s="233" t="str">
        <f>VLOOKUP(Table8[[#This Row],[Country Code]],Table29[],10,FALSE)</f>
        <v>no</v>
      </c>
      <c r="AZ264" s="235">
        <f>VLOOKUP(Table8[[#This Row],[Country Code]],Table29[],23,FALSE)</f>
        <v>55.185652756247002</v>
      </c>
      <c r="BA264" s="235">
        <f>VLOOKUP(Table8[[#This Row],[Country Code]],Table29[],24,FALSE)</f>
        <v>12.14226630499595</v>
      </c>
      <c r="BB264" s="320"/>
      <c r="BC264" s="320"/>
    </row>
    <row r="265" spans="1:55" ht="60" hidden="1" x14ac:dyDescent="0.25">
      <c r="A265" s="360">
        <v>26798</v>
      </c>
      <c r="B265" s="233" t="str">
        <f>VLOOKUP(Table8[[#This Row],[Document ID]],Table1[],2,FALSE)</f>
        <v>BOL</v>
      </c>
      <c r="C265" s="233" t="str">
        <f>VLOOKUP(Table8[[#This Row],[Document ID]],Table1[],3,FALSE)</f>
        <v>Bolivia (Plurinational State of)</v>
      </c>
      <c r="D265" s="233" t="str">
        <f>VLOOKUP(Table8[[#This Row],[Document ID]],Table1[],5,FALSE)</f>
        <v>NDC</v>
      </c>
      <c r="E265" s="233" t="str">
        <f>VLOOKUP(Table8[[#This Row],[Document ID]],Table1[],7,FALSE)</f>
        <v>Second NDC</v>
      </c>
      <c r="F265" s="233" t="str">
        <f>VLOOKUP(Table8[[#This Row],[Document ID]],Table1[],8,FALSE)</f>
        <v>NDC 2.0</v>
      </c>
      <c r="G265" s="233" t="str">
        <f>VLOOKUP(Table8[[#This Row],[Document ID]],Table1[],10,FALSE)</f>
        <v>Active</v>
      </c>
      <c r="H265" s="43" t="s">
        <v>2343</v>
      </c>
      <c r="I265" s="43" t="s">
        <v>2429</v>
      </c>
      <c r="J265" s="44" t="s">
        <v>2472</v>
      </c>
      <c r="K265" s="44" t="s">
        <v>2630</v>
      </c>
      <c r="L265" s="44" t="s">
        <v>2333</v>
      </c>
      <c r="M265" s="43">
        <v>17</v>
      </c>
      <c r="N265" s="113"/>
      <c r="O265" s="113"/>
      <c r="P265" s="113"/>
      <c r="Q265" s="113"/>
      <c r="R265" s="113"/>
      <c r="S265" s="113" t="s">
        <v>1113</v>
      </c>
      <c r="T265" s="113"/>
      <c r="U265" s="113"/>
      <c r="V265" s="113"/>
      <c r="W265" s="113"/>
      <c r="X265" s="113"/>
      <c r="Y265" s="113"/>
      <c r="Z265" s="113"/>
      <c r="AA265" s="113"/>
      <c r="AB265" s="113"/>
      <c r="AC265" s="113"/>
      <c r="AD265" s="113"/>
      <c r="AE265" s="113"/>
      <c r="AF265" s="113"/>
      <c r="AG265" s="113"/>
      <c r="AH265" s="113"/>
      <c r="AI265" s="113"/>
      <c r="AJ265" s="113"/>
      <c r="AK265" s="113" t="s">
        <v>1113</v>
      </c>
      <c r="AL265" s="113"/>
      <c r="AM265" s="113"/>
      <c r="AN265" s="113"/>
      <c r="AO265" s="44" t="s">
        <v>2334</v>
      </c>
      <c r="AP265" s="43"/>
      <c r="AQ265" s="236" t="str">
        <f>VLOOKUP(Table8[[#This Row],[Instrument]],Def_Targets!$D$73:$E$159,2,FALSE)</f>
        <v>I_Other</v>
      </c>
      <c r="AR265" s="233" t="str">
        <f>VLOOKUP(Table8[[#This Row],[Country Code]],Table29[],3,FALSE)</f>
        <v>Non-Annex I</v>
      </c>
      <c r="AS265" s="233" t="str">
        <f>VLOOKUP(Table8[[#This Row],[Country Code]],Table29[],4,FALSE)</f>
        <v>Latin America and the Caribbean</v>
      </c>
      <c r="AT265" s="233" t="str">
        <f>VLOOKUP(Table8[[#This Row],[Country Code]],Table29[],5,FALSE)</f>
        <v>Middle-income</v>
      </c>
      <c r="AU265" s="233" t="str">
        <f>VLOOKUP(Table8[[#This Row],[Country Code]],Table29[],6,FALSE)</f>
        <v>no</v>
      </c>
      <c r="AV265" s="233" t="str">
        <f>VLOOKUP(Table8[[#This Row],[Country Code]],Table29[],7,FALSE)</f>
        <v>no</v>
      </c>
      <c r="AW265" s="233" t="str">
        <f>VLOOKUP(Table8[[#This Row],[Country Code]],Table29[],8,FALSE)</f>
        <v>non-OECD</v>
      </c>
      <c r="AX265" s="233" t="str">
        <f>VLOOKUP(Table8[[#This Row],[Country Code]],Table29[],9,FALSE)</f>
        <v>no</v>
      </c>
      <c r="AY265" s="233" t="str">
        <f>VLOOKUP(Table8[[#This Row],[Country Code]],Table29[],10,FALSE)</f>
        <v>no</v>
      </c>
      <c r="AZ265" s="235">
        <f>VLOOKUP(Table8[[#This Row],[Country Code]],Table29[],23,FALSE)</f>
        <v>55.185652756247002</v>
      </c>
      <c r="BA265" s="235">
        <f>VLOOKUP(Table8[[#This Row],[Country Code]],Table29[],24,FALSE)</f>
        <v>12.14226630499595</v>
      </c>
      <c r="BB265" s="320"/>
      <c r="BC265" s="320"/>
    </row>
    <row r="266" spans="1:55" hidden="1" x14ac:dyDescent="0.25">
      <c r="A266" s="360">
        <v>17539</v>
      </c>
      <c r="B266" s="233" t="str">
        <f>VLOOKUP(Table8[[#This Row],[Document ID]],Table1[],2,FALSE)</f>
        <v>BRA</v>
      </c>
      <c r="C266" s="233" t="str">
        <f>VLOOKUP(Table8[[#This Row],[Document ID]],Table1[],3,FALSE)</f>
        <v>Brazil</v>
      </c>
      <c r="D266" s="233" t="str">
        <f>VLOOKUP(Table8[[#This Row],[Document ID]],Table1[],5,FALSE)</f>
        <v>NDC</v>
      </c>
      <c r="E266" s="233" t="str">
        <f>VLOOKUP(Table8[[#This Row],[Document ID]],Table1[],7,FALSE)</f>
        <v>First NDC updated</v>
      </c>
      <c r="F266" s="233" t="str">
        <f>VLOOKUP(Table8[[#This Row],[Document ID]],Table1[],8,FALSE)</f>
        <v>NDC 1.1</v>
      </c>
      <c r="G266" s="233" t="str">
        <f>VLOOKUP(Table8[[#This Row],[Document ID]],Table1[],10,FALSE)</f>
        <v>Archived</v>
      </c>
      <c r="H266" s="44" t="s">
        <v>2329</v>
      </c>
      <c r="I266" s="44" t="s">
        <v>2330</v>
      </c>
      <c r="J266" s="44" t="s">
        <v>2357</v>
      </c>
      <c r="K266" s="44" t="s">
        <v>2631</v>
      </c>
      <c r="L266" s="44" t="s">
        <v>2333</v>
      </c>
      <c r="M266" s="43">
        <v>8</v>
      </c>
      <c r="N266" s="113" t="s">
        <v>1113</v>
      </c>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319" t="s">
        <v>1113</v>
      </c>
      <c r="AL266" s="113"/>
      <c r="AM266" s="113"/>
      <c r="AN266" s="113"/>
      <c r="AO266" s="44" t="s">
        <v>2334</v>
      </c>
      <c r="AP266" s="43"/>
      <c r="AQ266" s="236" t="str">
        <f>VLOOKUP(Table8[[#This Row],[Instrument]],Def_Targets!$D$73:$E$159,2,FALSE)</f>
        <v>I_Biofuel</v>
      </c>
      <c r="AR266" s="233" t="str">
        <f>VLOOKUP(Table8[[#This Row],[Country Code]],Table29[],3,FALSE)</f>
        <v>Non-Annex I</v>
      </c>
      <c r="AS266" s="233" t="str">
        <f>VLOOKUP(Table8[[#This Row],[Country Code]],Table29[],4,FALSE)</f>
        <v>Latin America and the Caribbean</v>
      </c>
      <c r="AT266" s="233" t="str">
        <f>VLOOKUP(Table8[[#This Row],[Country Code]],Table29[],5,FALSE)</f>
        <v>Middle-income</v>
      </c>
      <c r="AU266" s="233" t="str">
        <f>VLOOKUP(Table8[[#This Row],[Country Code]],Table29[],6,FALSE)</f>
        <v>G20</v>
      </c>
      <c r="AV266" s="233" t="str">
        <f>VLOOKUP(Table8[[#This Row],[Country Code]],Table29[],7,FALSE)</f>
        <v>no</v>
      </c>
      <c r="AW266" s="233" t="str">
        <f>VLOOKUP(Table8[[#This Row],[Country Code]],Table29[],8,FALSE)</f>
        <v>non-OECD</v>
      </c>
      <c r="AX266" s="233" t="str">
        <f>VLOOKUP(Table8[[#This Row],[Country Code]],Table29[],9,FALSE)</f>
        <v>no</v>
      </c>
      <c r="AY266" s="233" t="str">
        <f>VLOOKUP(Table8[[#This Row],[Country Code]],Table29[],10,FALSE)</f>
        <v>no</v>
      </c>
      <c r="AZ266" s="235">
        <f>VLOOKUP(Table8[[#This Row],[Country Code]],Table29[],23,FALSE)</f>
        <v>1300.1688666752</v>
      </c>
      <c r="BA266" s="235">
        <f>VLOOKUP(Table8[[#This Row],[Country Code]],Table29[],24,FALSE)</f>
        <v>221.12609205884911</v>
      </c>
      <c r="BB266" s="320"/>
      <c r="BC266" s="320"/>
    </row>
    <row r="267" spans="1:55" ht="30" hidden="1" x14ac:dyDescent="0.25">
      <c r="A267" s="373">
        <v>17538</v>
      </c>
      <c r="B267" s="233" t="str">
        <f>VLOOKUP(Table8[[#This Row],[Document ID]],Table1[],2,FALSE)</f>
        <v>BRA</v>
      </c>
      <c r="C267" s="233" t="str">
        <f>VLOOKUP(Table8[[#This Row],[Document ID]],Table1[],3,FALSE)</f>
        <v>Brazil</v>
      </c>
      <c r="D267" s="243" t="str">
        <f>VLOOKUP(Table8[[#This Row],[Document ID]],Table1[],5,FALSE)</f>
        <v>NDC</v>
      </c>
      <c r="E267" s="233" t="str">
        <f>VLOOKUP(Table8[[#This Row],[Document ID]],Table1[],7,FALSE)</f>
        <v>First NDC</v>
      </c>
      <c r="F267" s="236" t="str">
        <f>VLOOKUP(Table8[[#This Row],[Document ID]],Table1[],8,FALSE)</f>
        <v>NDC 1.0</v>
      </c>
      <c r="G267" s="236" t="str">
        <f>VLOOKUP(Table8[[#This Row],[Document ID]],Table1[],10,FALSE)</f>
        <v>Archived</v>
      </c>
      <c r="H267" s="43" t="s">
        <v>2343</v>
      </c>
      <c r="I267" s="43" t="s">
        <v>2344</v>
      </c>
      <c r="J267" s="44" t="s">
        <v>2345</v>
      </c>
      <c r="K267" s="44" t="s">
        <v>2632</v>
      </c>
      <c r="L267" s="44" t="s">
        <v>2347</v>
      </c>
      <c r="M267" s="43"/>
      <c r="N267" s="113" t="s">
        <v>1113</v>
      </c>
      <c r="O267" s="113"/>
      <c r="P267" s="113"/>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113" t="s">
        <v>1113</v>
      </c>
      <c r="AM267" s="319"/>
      <c r="AN267" s="319"/>
      <c r="AO267" s="44" t="s">
        <v>2334</v>
      </c>
      <c r="AP267" s="44"/>
      <c r="AQ267" s="236" t="str">
        <f>VLOOKUP(Table8[[#This Row],[Instrument]],Def_Targets!$D$73:$E$159,2,FALSE)</f>
        <v>S_PublicTransport</v>
      </c>
      <c r="AR267" s="233" t="str">
        <f>VLOOKUP(Table8[[#This Row],[Country Code]],Table29[],3,FALSE)</f>
        <v>Non-Annex I</v>
      </c>
      <c r="AS267" s="233" t="str">
        <f>VLOOKUP(Table8[[#This Row],[Country Code]],Table29[],4,FALSE)</f>
        <v>Latin America and the Caribbean</v>
      </c>
      <c r="AT267" s="233" t="str">
        <f>VLOOKUP(Table8[[#This Row],[Country Code]],Table29[],5,FALSE)</f>
        <v>Middle-income</v>
      </c>
      <c r="AU267" s="233" t="str">
        <f>VLOOKUP(Table8[[#This Row],[Country Code]],Table29[],6,FALSE)</f>
        <v>G20</v>
      </c>
      <c r="AV267" s="233" t="str">
        <f>VLOOKUP(Table8[[#This Row],[Country Code]],Table29[],7,FALSE)</f>
        <v>no</v>
      </c>
      <c r="AW267" s="233" t="str">
        <f>VLOOKUP(Table8[[#This Row],[Country Code]],Table29[],8,FALSE)</f>
        <v>non-OECD</v>
      </c>
      <c r="AX267" s="233" t="str">
        <f>VLOOKUP(Table8[[#This Row],[Country Code]],Table29[],9,FALSE)</f>
        <v>no</v>
      </c>
      <c r="AY267" s="233" t="str">
        <f>VLOOKUP(Table8[[#This Row],[Country Code]],Table29[],10,FALSE)</f>
        <v>no</v>
      </c>
      <c r="AZ267" s="235">
        <f>VLOOKUP(Table8[[#This Row],[Country Code]],Table29[],23,FALSE)</f>
        <v>1300.1688666752</v>
      </c>
      <c r="BA267" s="235">
        <f>VLOOKUP(Table8[[#This Row],[Country Code]],Table29[],24,FALSE)</f>
        <v>221.12609205884911</v>
      </c>
      <c r="BB267" s="320"/>
      <c r="BC267" s="320"/>
    </row>
    <row r="268" spans="1:55" ht="30" hidden="1" x14ac:dyDescent="0.25">
      <c r="A268" s="373">
        <v>17538</v>
      </c>
      <c r="B268" s="233" t="str">
        <f>VLOOKUP(Table8[[#This Row],[Document ID]],Table1[],2,FALSE)</f>
        <v>BRA</v>
      </c>
      <c r="C268" s="233" t="str">
        <f>VLOOKUP(Table8[[#This Row],[Document ID]],Table1[],3,FALSE)</f>
        <v>Brazil</v>
      </c>
      <c r="D268" s="243" t="str">
        <f>VLOOKUP(Table8[[#This Row],[Document ID]],Table1[],5,FALSE)</f>
        <v>NDC</v>
      </c>
      <c r="E268" s="233" t="str">
        <f>VLOOKUP(Table8[[#This Row],[Document ID]],Table1[],7,FALSE)</f>
        <v>First NDC</v>
      </c>
      <c r="F268" s="236" t="str">
        <f>VLOOKUP(Table8[[#This Row],[Document ID]],Table1[],8,FALSE)</f>
        <v>NDC 1.0</v>
      </c>
      <c r="G268" s="236" t="str">
        <f>VLOOKUP(Table8[[#This Row],[Document ID]],Table1[],10,FALSE)</f>
        <v>Archived</v>
      </c>
      <c r="H268" s="43" t="s">
        <v>2350</v>
      </c>
      <c r="I268" s="43" t="s">
        <v>2456</v>
      </c>
      <c r="J268" s="44" t="s">
        <v>2457</v>
      </c>
      <c r="K268" s="44" t="s">
        <v>2632</v>
      </c>
      <c r="L268" s="44" t="s">
        <v>2347</v>
      </c>
      <c r="M268" s="43"/>
      <c r="N268" s="113" t="s">
        <v>1113</v>
      </c>
      <c r="O268" s="113"/>
      <c r="P268" s="113"/>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113" t="s">
        <v>1113</v>
      </c>
      <c r="AM268" s="319"/>
      <c r="AN268" s="319"/>
      <c r="AO268" s="43" t="s">
        <v>2348</v>
      </c>
      <c r="AP268" s="44"/>
      <c r="AQ268" s="236" t="str">
        <f>VLOOKUP(Table8[[#This Row],[Instrument]],Def_Targets!$D$73:$E$159,2,FALSE)</f>
        <v>S_Infraimprove</v>
      </c>
      <c r="AR268" s="233" t="str">
        <f>VLOOKUP(Table8[[#This Row],[Country Code]],Table29[],3,FALSE)</f>
        <v>Non-Annex I</v>
      </c>
      <c r="AS268" s="233" t="str">
        <f>VLOOKUP(Table8[[#This Row],[Country Code]],Table29[],4,FALSE)</f>
        <v>Latin America and the Caribbean</v>
      </c>
      <c r="AT268" s="233" t="str">
        <f>VLOOKUP(Table8[[#This Row],[Country Code]],Table29[],5,FALSE)</f>
        <v>Middle-income</v>
      </c>
      <c r="AU268" s="233" t="str">
        <f>VLOOKUP(Table8[[#This Row],[Country Code]],Table29[],6,FALSE)</f>
        <v>G20</v>
      </c>
      <c r="AV268" s="233" t="str">
        <f>VLOOKUP(Table8[[#This Row],[Country Code]],Table29[],7,FALSE)</f>
        <v>no</v>
      </c>
      <c r="AW268" s="233" t="str">
        <f>VLOOKUP(Table8[[#This Row],[Country Code]],Table29[],8,FALSE)</f>
        <v>non-OECD</v>
      </c>
      <c r="AX268" s="233" t="str">
        <f>VLOOKUP(Table8[[#This Row],[Country Code]],Table29[],9,FALSE)</f>
        <v>no</v>
      </c>
      <c r="AY268" s="233" t="str">
        <f>VLOOKUP(Table8[[#This Row],[Country Code]],Table29[],10,FALSE)</f>
        <v>no</v>
      </c>
      <c r="AZ268" s="235">
        <f>VLOOKUP(Table8[[#This Row],[Country Code]],Table29[],23,FALSE)</f>
        <v>1300.1688666752</v>
      </c>
      <c r="BA268" s="235">
        <f>VLOOKUP(Table8[[#This Row],[Country Code]],Table29[],24,FALSE)</f>
        <v>221.12609205884911</v>
      </c>
      <c r="BB268" s="320"/>
      <c r="BC268" s="320"/>
    </row>
    <row r="269" spans="1:55" ht="30" hidden="1" x14ac:dyDescent="0.25">
      <c r="A269" s="373">
        <v>17541</v>
      </c>
      <c r="B269" s="233" t="str">
        <f>VLOOKUP(Table8[[#This Row],[Document ID]],Table1[],2,FALSE)</f>
        <v>BRN</v>
      </c>
      <c r="C269" s="233" t="str">
        <f>VLOOKUP(Table8[[#This Row],[Document ID]],Table1[],3,FALSE)</f>
        <v>Brunei Darussalam</v>
      </c>
      <c r="D269" s="243" t="str">
        <f>VLOOKUP(Table8[[#This Row],[Document ID]],Table1[],5,FALSE)</f>
        <v>NDC</v>
      </c>
      <c r="E269" s="233" t="str">
        <f>VLOOKUP(Table8[[#This Row],[Document ID]],Table1[],7,FALSE)</f>
        <v>First NDC updated</v>
      </c>
      <c r="F269" s="233" t="str">
        <f>VLOOKUP(Table8[[#This Row],[Document ID]],Table1[],8,FALSE)</f>
        <v>NDC 1.1</v>
      </c>
      <c r="G269" s="233" t="str">
        <f>VLOOKUP(Table8[[#This Row],[Document ID]],Table1[],10,FALSE)</f>
        <v>Active</v>
      </c>
      <c r="H269" s="43" t="s">
        <v>2358</v>
      </c>
      <c r="I269" s="43" t="s">
        <v>2359</v>
      </c>
      <c r="J269" s="44" t="s">
        <v>2360</v>
      </c>
      <c r="K269" s="44" t="s">
        <v>1364</v>
      </c>
      <c r="L269" s="44" t="s">
        <v>2333</v>
      </c>
      <c r="M269" s="43">
        <v>10</v>
      </c>
      <c r="N269" s="113"/>
      <c r="O269" s="113"/>
      <c r="P269" s="113"/>
      <c r="Q269" s="113"/>
      <c r="R269" s="113"/>
      <c r="S269" s="113" t="s">
        <v>1113</v>
      </c>
      <c r="T269" s="113"/>
      <c r="U269" s="113"/>
      <c r="V269" s="113"/>
      <c r="W269" s="113"/>
      <c r="X269" s="113"/>
      <c r="Y269" s="113"/>
      <c r="Z269" s="113"/>
      <c r="AA269" s="113"/>
      <c r="AB269" s="113"/>
      <c r="AC269" s="113"/>
      <c r="AD269" s="113"/>
      <c r="AE269" s="113"/>
      <c r="AF269" s="113"/>
      <c r="AG269" s="113"/>
      <c r="AH269" s="113"/>
      <c r="AI269" s="113"/>
      <c r="AJ269" s="113"/>
      <c r="AK269" s="319" t="s">
        <v>1113</v>
      </c>
      <c r="AL269" s="113"/>
      <c r="AM269" s="113"/>
      <c r="AN269" s="113"/>
      <c r="AO269" s="44" t="s">
        <v>2334</v>
      </c>
      <c r="AP269" s="43"/>
      <c r="AQ269" s="236" t="str">
        <f>VLOOKUP(Table8[[#This Row],[Instrument]],Def_Targets!$D$73:$E$159,2,FALSE)</f>
        <v>I_Emobility</v>
      </c>
      <c r="AR269" s="233" t="str">
        <f>VLOOKUP(Table8[[#This Row],[Country Code]],Table29[],3,FALSE)</f>
        <v>Non-Annex I</v>
      </c>
      <c r="AS269" s="233" t="str">
        <f>VLOOKUP(Table8[[#This Row],[Country Code]],Table29[],4,FALSE)</f>
        <v>Asia</v>
      </c>
      <c r="AT269" s="233" t="str">
        <f>VLOOKUP(Table8[[#This Row],[Country Code]],Table29[],5,FALSE)</f>
        <v>High-income</v>
      </c>
      <c r="AU269" s="233" t="str">
        <f>VLOOKUP(Table8[[#This Row],[Country Code]],Table29[],6,FALSE)</f>
        <v>no</v>
      </c>
      <c r="AV269" s="233" t="str">
        <f>VLOOKUP(Table8[[#This Row],[Country Code]],Table29[],7,FALSE)</f>
        <v>no</v>
      </c>
      <c r="AW269" s="233" t="str">
        <f>VLOOKUP(Table8[[#This Row],[Country Code]],Table29[],8,FALSE)</f>
        <v>non-OECD</v>
      </c>
      <c r="AX269" s="233" t="str">
        <f>VLOOKUP(Table8[[#This Row],[Country Code]],Table29[],9,FALSE)</f>
        <v>no</v>
      </c>
      <c r="AY269" s="233" t="str">
        <f>VLOOKUP(Table8[[#This Row],[Country Code]],Table29[],10,FALSE)</f>
        <v>no</v>
      </c>
      <c r="AZ269" s="235">
        <f>VLOOKUP(Table8[[#This Row],[Country Code]],Table29[],23,FALSE)</f>
        <v>12.157942508343</v>
      </c>
      <c r="BA269" s="235">
        <f>VLOOKUP(Table8[[#This Row],[Country Code]],Table29[],24,FALSE)</f>
        <v>1.259434350959115</v>
      </c>
      <c r="BB269" s="320"/>
      <c r="BC269" s="320"/>
    </row>
    <row r="270" spans="1:55" hidden="1" x14ac:dyDescent="0.25">
      <c r="A270" s="373">
        <v>17541</v>
      </c>
      <c r="B270" s="233" t="str">
        <f>VLOOKUP(Table8[[#This Row],[Document ID]],Table1[],2,FALSE)</f>
        <v>BRN</v>
      </c>
      <c r="C270" s="233" t="str">
        <f>VLOOKUP(Table8[[#This Row],[Document ID]],Table1[],3,FALSE)</f>
        <v>Brunei Darussalam</v>
      </c>
      <c r="D270" s="243" t="str">
        <f>VLOOKUP(Table8[[#This Row],[Document ID]],Table1[],5,FALSE)</f>
        <v>NDC</v>
      </c>
      <c r="E270" s="233" t="str">
        <f>VLOOKUP(Table8[[#This Row],[Document ID]],Table1[],7,FALSE)</f>
        <v>First NDC updated</v>
      </c>
      <c r="F270" s="233" t="str">
        <f>VLOOKUP(Table8[[#This Row],[Document ID]],Table1[],8,FALSE)</f>
        <v>NDC 1.1</v>
      </c>
      <c r="G270" s="233" t="str">
        <f>VLOOKUP(Table8[[#This Row],[Document ID]],Table1[],10,FALSE)</f>
        <v>Active</v>
      </c>
      <c r="H270" s="43" t="s">
        <v>2358</v>
      </c>
      <c r="I270" s="43" t="s">
        <v>2359</v>
      </c>
      <c r="J270" s="44" t="s">
        <v>2383</v>
      </c>
      <c r="K270" s="44" t="s">
        <v>2633</v>
      </c>
      <c r="L270" s="44" t="s">
        <v>2333</v>
      </c>
      <c r="M270" s="43">
        <v>10</v>
      </c>
      <c r="N270" s="113"/>
      <c r="O270" s="113"/>
      <c r="P270" s="113"/>
      <c r="Q270" s="113"/>
      <c r="R270" s="113"/>
      <c r="S270" s="113" t="s">
        <v>1113</v>
      </c>
      <c r="T270" s="113"/>
      <c r="U270" s="113"/>
      <c r="V270" s="113"/>
      <c r="W270" s="113"/>
      <c r="X270" s="113"/>
      <c r="Y270" s="113"/>
      <c r="Z270" s="113"/>
      <c r="AA270" s="113"/>
      <c r="AB270" s="113"/>
      <c r="AC270" s="113"/>
      <c r="AD270" s="113"/>
      <c r="AE270" s="113"/>
      <c r="AF270" s="113"/>
      <c r="AG270" s="113"/>
      <c r="AH270" s="113"/>
      <c r="AI270" s="113"/>
      <c r="AJ270" s="113"/>
      <c r="AK270" s="319" t="s">
        <v>1113</v>
      </c>
      <c r="AL270" s="113"/>
      <c r="AM270" s="113"/>
      <c r="AN270" s="113"/>
      <c r="AO270" s="44" t="s">
        <v>2334</v>
      </c>
      <c r="AP270" s="43"/>
      <c r="AQ270" s="236" t="str">
        <f>VLOOKUP(Table8[[#This Row],[Instrument]],Def_Targets!$D$73:$E$159,2,FALSE)</f>
        <v>I_Emobilitycharging</v>
      </c>
      <c r="AR270" s="233" t="str">
        <f>VLOOKUP(Table8[[#This Row],[Country Code]],Table29[],3,FALSE)</f>
        <v>Non-Annex I</v>
      </c>
      <c r="AS270" s="233" t="str">
        <f>VLOOKUP(Table8[[#This Row],[Country Code]],Table29[],4,FALSE)</f>
        <v>Asia</v>
      </c>
      <c r="AT270" s="233" t="str">
        <f>VLOOKUP(Table8[[#This Row],[Country Code]],Table29[],5,FALSE)</f>
        <v>High-income</v>
      </c>
      <c r="AU270" s="233" t="str">
        <f>VLOOKUP(Table8[[#This Row],[Country Code]],Table29[],6,FALSE)</f>
        <v>no</v>
      </c>
      <c r="AV270" s="233" t="str">
        <f>VLOOKUP(Table8[[#This Row],[Country Code]],Table29[],7,FALSE)</f>
        <v>no</v>
      </c>
      <c r="AW270" s="233" t="str">
        <f>VLOOKUP(Table8[[#This Row],[Country Code]],Table29[],8,FALSE)</f>
        <v>non-OECD</v>
      </c>
      <c r="AX270" s="233" t="str">
        <f>VLOOKUP(Table8[[#This Row],[Country Code]],Table29[],9,FALSE)</f>
        <v>no</v>
      </c>
      <c r="AY270" s="233" t="str">
        <f>VLOOKUP(Table8[[#This Row],[Country Code]],Table29[],10,FALSE)</f>
        <v>no</v>
      </c>
      <c r="AZ270" s="235">
        <f>VLOOKUP(Table8[[#This Row],[Country Code]],Table29[],23,FALSE)</f>
        <v>12.157942508343</v>
      </c>
      <c r="BA270" s="235">
        <f>VLOOKUP(Table8[[#This Row],[Country Code]],Table29[],24,FALSE)</f>
        <v>1.259434350959115</v>
      </c>
      <c r="BB270" s="320"/>
      <c r="BC270" s="320"/>
    </row>
    <row r="271" spans="1:55" hidden="1" x14ac:dyDescent="0.25">
      <c r="A271" s="373">
        <v>17541</v>
      </c>
      <c r="B271" s="233" t="str">
        <f>VLOOKUP(Table8[[#This Row],[Document ID]],Table1[],2,FALSE)</f>
        <v>BRN</v>
      </c>
      <c r="C271" s="233" t="str">
        <f>VLOOKUP(Table8[[#This Row],[Document ID]],Table1[],3,FALSE)</f>
        <v>Brunei Darussalam</v>
      </c>
      <c r="D271" s="243" t="str">
        <f>VLOOKUP(Table8[[#This Row],[Document ID]],Table1[],5,FALSE)</f>
        <v>NDC</v>
      </c>
      <c r="E271" s="233" t="str">
        <f>VLOOKUP(Table8[[#This Row],[Document ID]],Table1[],7,FALSE)</f>
        <v>First NDC updated</v>
      </c>
      <c r="F271" s="233" t="str">
        <f>VLOOKUP(Table8[[#This Row],[Document ID]],Table1[],8,FALSE)</f>
        <v>NDC 1.1</v>
      </c>
      <c r="G271" s="233" t="str">
        <f>VLOOKUP(Table8[[#This Row],[Document ID]],Table1[],10,FALSE)</f>
        <v>Active</v>
      </c>
      <c r="H271" s="43" t="s">
        <v>2358</v>
      </c>
      <c r="I271" s="43" t="s">
        <v>2359</v>
      </c>
      <c r="J271" s="44" t="s">
        <v>2389</v>
      </c>
      <c r="K271" s="44" t="s">
        <v>2634</v>
      </c>
      <c r="L271" s="44" t="s">
        <v>2333</v>
      </c>
      <c r="M271" s="43">
        <v>10</v>
      </c>
      <c r="N271" s="113"/>
      <c r="O271" s="113"/>
      <c r="P271" s="113"/>
      <c r="Q271" s="113"/>
      <c r="R271" s="113"/>
      <c r="S271" s="113" t="s">
        <v>1113</v>
      </c>
      <c r="T271" s="113"/>
      <c r="U271" s="113"/>
      <c r="V271" s="113"/>
      <c r="W271" s="113"/>
      <c r="X271" s="113"/>
      <c r="Y271" s="113"/>
      <c r="Z271" s="113"/>
      <c r="AA271" s="113"/>
      <c r="AB271" s="113"/>
      <c r="AC271" s="113"/>
      <c r="AD271" s="113"/>
      <c r="AE271" s="113"/>
      <c r="AF271" s="113"/>
      <c r="AG271" s="113"/>
      <c r="AH271" s="113"/>
      <c r="AI271" s="113"/>
      <c r="AJ271" s="113"/>
      <c r="AK271" s="319" t="s">
        <v>1113</v>
      </c>
      <c r="AL271" s="113"/>
      <c r="AM271" s="113"/>
      <c r="AN271" s="113"/>
      <c r="AO271" s="44" t="s">
        <v>2334</v>
      </c>
      <c r="AP271" s="43"/>
      <c r="AQ271" s="236" t="str">
        <f>VLOOKUP(Table8[[#This Row],[Instrument]],Def_Targets!$D$73:$E$159,2,FALSE)</f>
        <v>I_Emobilitypurchase</v>
      </c>
      <c r="AR271" s="233" t="str">
        <f>VLOOKUP(Table8[[#This Row],[Country Code]],Table29[],3,FALSE)</f>
        <v>Non-Annex I</v>
      </c>
      <c r="AS271" s="233" t="str">
        <f>VLOOKUP(Table8[[#This Row],[Country Code]],Table29[],4,FALSE)</f>
        <v>Asia</v>
      </c>
      <c r="AT271" s="233" t="str">
        <f>VLOOKUP(Table8[[#This Row],[Country Code]],Table29[],5,FALSE)</f>
        <v>High-income</v>
      </c>
      <c r="AU271" s="233" t="str">
        <f>VLOOKUP(Table8[[#This Row],[Country Code]],Table29[],6,FALSE)</f>
        <v>no</v>
      </c>
      <c r="AV271" s="233" t="str">
        <f>VLOOKUP(Table8[[#This Row],[Country Code]],Table29[],7,FALSE)</f>
        <v>no</v>
      </c>
      <c r="AW271" s="233" t="str">
        <f>VLOOKUP(Table8[[#This Row],[Country Code]],Table29[],8,FALSE)</f>
        <v>non-OECD</v>
      </c>
      <c r="AX271" s="233" t="str">
        <f>VLOOKUP(Table8[[#This Row],[Country Code]],Table29[],9,FALSE)</f>
        <v>no</v>
      </c>
      <c r="AY271" s="233" t="str">
        <f>VLOOKUP(Table8[[#This Row],[Country Code]],Table29[],10,FALSE)</f>
        <v>no</v>
      </c>
      <c r="AZ271" s="235">
        <f>VLOOKUP(Table8[[#This Row],[Country Code]],Table29[],23,FALSE)</f>
        <v>12.157942508343</v>
      </c>
      <c r="BA271" s="235">
        <f>VLOOKUP(Table8[[#This Row],[Country Code]],Table29[],24,FALSE)</f>
        <v>1.259434350959115</v>
      </c>
      <c r="BB271" s="320"/>
      <c r="BC271" s="320"/>
    </row>
    <row r="272" spans="1:55" ht="30" hidden="1" x14ac:dyDescent="0.25">
      <c r="A272" s="373">
        <v>17541</v>
      </c>
      <c r="B272" s="233" t="str">
        <f>VLOOKUP(Table8[[#This Row],[Document ID]],Table1[],2,FALSE)</f>
        <v>BRN</v>
      </c>
      <c r="C272" s="233" t="str">
        <f>VLOOKUP(Table8[[#This Row],[Document ID]],Table1[],3,FALSE)</f>
        <v>Brunei Darussalam</v>
      </c>
      <c r="D272" s="243" t="str">
        <f>VLOOKUP(Table8[[#This Row],[Document ID]],Table1[],5,FALSE)</f>
        <v>NDC</v>
      </c>
      <c r="E272" s="233" t="str">
        <f>VLOOKUP(Table8[[#This Row],[Document ID]],Table1[],7,FALSE)</f>
        <v>First NDC updated</v>
      </c>
      <c r="F272" s="233" t="str">
        <f>VLOOKUP(Table8[[#This Row],[Document ID]],Table1[],8,FALSE)</f>
        <v>NDC 1.1</v>
      </c>
      <c r="G272" s="233" t="str">
        <f>VLOOKUP(Table8[[#This Row],[Document ID]],Table1[],10,FALSE)</f>
        <v>Active</v>
      </c>
      <c r="H272" s="43" t="s">
        <v>2343</v>
      </c>
      <c r="I272" s="43" t="s">
        <v>2386</v>
      </c>
      <c r="J272" s="44" t="s">
        <v>2530</v>
      </c>
      <c r="K272" s="44" t="s">
        <v>2635</v>
      </c>
      <c r="L272" s="44" t="s">
        <v>2572</v>
      </c>
      <c r="M272" s="43">
        <v>10</v>
      </c>
      <c r="N272" s="113"/>
      <c r="O272" s="113"/>
      <c r="P272" s="113"/>
      <c r="Q272" s="113"/>
      <c r="R272" s="113"/>
      <c r="S272" s="113" t="s">
        <v>1113</v>
      </c>
      <c r="T272" s="113"/>
      <c r="U272" s="113"/>
      <c r="V272" s="113"/>
      <c r="W272" s="113"/>
      <c r="X272" s="113"/>
      <c r="Y272" s="113"/>
      <c r="Z272" s="113"/>
      <c r="AA272" s="113"/>
      <c r="AB272" s="113"/>
      <c r="AC272" s="113"/>
      <c r="AD272" s="113"/>
      <c r="AE272" s="113"/>
      <c r="AF272" s="113"/>
      <c r="AG272" s="113"/>
      <c r="AH272" s="113"/>
      <c r="AI272" s="113"/>
      <c r="AJ272" s="113"/>
      <c r="AK272" s="319" t="s">
        <v>1113</v>
      </c>
      <c r="AL272" s="113"/>
      <c r="AM272" s="113"/>
      <c r="AN272" s="113"/>
      <c r="AO272" s="44" t="s">
        <v>2334</v>
      </c>
      <c r="AP272" s="43"/>
      <c r="AQ272" s="236" t="str">
        <f>VLOOKUP(Table8[[#This Row],[Instrument]],Def_Targets!$D$73:$E$159,2,FALSE)</f>
        <v>A_Vehicletax</v>
      </c>
      <c r="AR272" s="233" t="str">
        <f>VLOOKUP(Table8[[#This Row],[Country Code]],Table29[],3,FALSE)</f>
        <v>Non-Annex I</v>
      </c>
      <c r="AS272" s="233" t="str">
        <f>VLOOKUP(Table8[[#This Row],[Country Code]],Table29[],4,FALSE)</f>
        <v>Asia</v>
      </c>
      <c r="AT272" s="233" t="str">
        <f>VLOOKUP(Table8[[#This Row],[Country Code]],Table29[],5,FALSE)</f>
        <v>High-income</v>
      </c>
      <c r="AU272" s="233" t="str">
        <f>VLOOKUP(Table8[[#This Row],[Country Code]],Table29[],6,FALSE)</f>
        <v>no</v>
      </c>
      <c r="AV272" s="233" t="str">
        <f>VLOOKUP(Table8[[#This Row],[Country Code]],Table29[],7,FALSE)</f>
        <v>no</v>
      </c>
      <c r="AW272" s="233" t="str">
        <f>VLOOKUP(Table8[[#This Row],[Country Code]],Table29[],8,FALSE)</f>
        <v>non-OECD</v>
      </c>
      <c r="AX272" s="233" t="str">
        <f>VLOOKUP(Table8[[#This Row],[Country Code]],Table29[],9,FALSE)</f>
        <v>no</v>
      </c>
      <c r="AY272" s="233" t="str">
        <f>VLOOKUP(Table8[[#This Row],[Country Code]],Table29[],10,FALSE)</f>
        <v>no</v>
      </c>
      <c r="AZ272" s="235">
        <f>VLOOKUP(Table8[[#This Row],[Country Code]],Table29[],23,FALSE)</f>
        <v>12.157942508343</v>
      </c>
      <c r="BA272" s="235">
        <f>VLOOKUP(Table8[[#This Row],[Country Code]],Table29[],24,FALSE)</f>
        <v>1.259434350959115</v>
      </c>
      <c r="BB272" s="320"/>
      <c r="BC272" s="320"/>
    </row>
    <row r="273" spans="1:55" ht="90" hidden="1" x14ac:dyDescent="0.25">
      <c r="A273" s="373">
        <v>17540</v>
      </c>
      <c r="B273" s="233" t="str">
        <f>VLOOKUP(Table8[[#This Row],[Document ID]],Table1[],2,FALSE)</f>
        <v>BRN</v>
      </c>
      <c r="C273" s="233" t="str">
        <f>VLOOKUP(Table8[[#This Row],[Document ID]],Table1[],3,FALSE)</f>
        <v>Brunei Darussalam</v>
      </c>
      <c r="D273" s="243" t="str">
        <f>VLOOKUP(Table8[[#This Row],[Document ID]],Table1[],5,FALSE)</f>
        <v>NDC</v>
      </c>
      <c r="E273" s="233" t="str">
        <f>VLOOKUP(Table8[[#This Row],[Document ID]],Table1[],7,FALSE)</f>
        <v>First NDC</v>
      </c>
      <c r="F273" s="236" t="str">
        <f>VLOOKUP(Table8[[#This Row],[Document ID]],Table1[],8,FALSE)</f>
        <v>NDC 1.0</v>
      </c>
      <c r="G273" s="236" t="str">
        <f>VLOOKUP(Table8[[#This Row],[Document ID]],Table1[],10,FALSE)</f>
        <v>Archived</v>
      </c>
      <c r="H273" s="44" t="s">
        <v>2338</v>
      </c>
      <c r="I273" s="44" t="s">
        <v>2339</v>
      </c>
      <c r="J273" s="44" t="s">
        <v>2413</v>
      </c>
      <c r="K273" s="44" t="s">
        <v>2636</v>
      </c>
      <c r="L273" s="44" t="s">
        <v>2333</v>
      </c>
      <c r="M273" s="43"/>
      <c r="N273" s="113"/>
      <c r="O273" s="113"/>
      <c r="P273" s="113"/>
      <c r="Q273" s="319"/>
      <c r="R273" s="319"/>
      <c r="S273" s="113" t="s">
        <v>1113</v>
      </c>
      <c r="T273" s="319"/>
      <c r="U273" s="319"/>
      <c r="V273" s="319"/>
      <c r="W273" s="319"/>
      <c r="X273" s="319"/>
      <c r="Y273" s="319"/>
      <c r="Z273" s="319"/>
      <c r="AA273" s="319"/>
      <c r="AB273" s="319"/>
      <c r="AC273" s="319"/>
      <c r="AD273" s="319"/>
      <c r="AE273" s="319"/>
      <c r="AF273" s="319"/>
      <c r="AG273" s="319"/>
      <c r="AH273" s="319"/>
      <c r="AI273" s="319"/>
      <c r="AJ273" s="319"/>
      <c r="AK273" s="319" t="s">
        <v>1113</v>
      </c>
      <c r="AL273" s="319"/>
      <c r="AM273" s="319"/>
      <c r="AN273" s="319"/>
      <c r="AO273" s="44" t="s">
        <v>2334</v>
      </c>
      <c r="AP273" s="44"/>
      <c r="AQ273" s="236" t="str">
        <f>VLOOKUP(Table8[[#This Row],[Instrument]],Def_Targets!$D$73:$E$159,2,FALSE)</f>
        <v>I_Vehicleeff</v>
      </c>
      <c r="AR273" s="233" t="str">
        <f>VLOOKUP(Table8[[#This Row],[Country Code]],Table29[],3,FALSE)</f>
        <v>Non-Annex I</v>
      </c>
      <c r="AS273" s="233" t="str">
        <f>VLOOKUP(Table8[[#This Row],[Country Code]],Table29[],4,FALSE)</f>
        <v>Asia</v>
      </c>
      <c r="AT273" s="233" t="str">
        <f>VLOOKUP(Table8[[#This Row],[Country Code]],Table29[],5,FALSE)</f>
        <v>High-income</v>
      </c>
      <c r="AU273" s="233" t="str">
        <f>VLOOKUP(Table8[[#This Row],[Country Code]],Table29[],6,FALSE)</f>
        <v>no</v>
      </c>
      <c r="AV273" s="233" t="str">
        <f>VLOOKUP(Table8[[#This Row],[Country Code]],Table29[],7,FALSE)</f>
        <v>no</v>
      </c>
      <c r="AW273" s="233" t="str">
        <f>VLOOKUP(Table8[[#This Row],[Country Code]],Table29[],8,FALSE)</f>
        <v>non-OECD</v>
      </c>
      <c r="AX273" s="233" t="str">
        <f>VLOOKUP(Table8[[#This Row],[Country Code]],Table29[],9,FALSE)</f>
        <v>no</v>
      </c>
      <c r="AY273" s="233" t="str">
        <f>VLOOKUP(Table8[[#This Row],[Country Code]],Table29[],10,FALSE)</f>
        <v>no</v>
      </c>
      <c r="AZ273" s="235">
        <f>VLOOKUP(Table8[[#This Row],[Country Code]],Table29[],23,FALSE)</f>
        <v>12.157942508343</v>
      </c>
      <c r="BA273" s="235">
        <f>VLOOKUP(Table8[[#This Row],[Country Code]],Table29[],24,FALSE)</f>
        <v>1.259434350959115</v>
      </c>
      <c r="BB273" s="320"/>
      <c r="BC273" s="320"/>
    </row>
    <row r="274" spans="1:55" ht="30" hidden="1" x14ac:dyDescent="0.25">
      <c r="A274" s="373">
        <v>17540</v>
      </c>
      <c r="B274" s="233" t="str">
        <f>VLOOKUP(Table8[[#This Row],[Document ID]],Table1[],2,FALSE)</f>
        <v>BRN</v>
      </c>
      <c r="C274" s="233" t="str">
        <f>VLOOKUP(Table8[[#This Row],[Document ID]],Table1[],3,FALSE)</f>
        <v>Brunei Darussalam</v>
      </c>
      <c r="D274" s="243" t="str">
        <f>VLOOKUP(Table8[[#This Row],[Document ID]],Table1[],5,FALSE)</f>
        <v>NDC</v>
      </c>
      <c r="E274" s="233" t="str">
        <f>VLOOKUP(Table8[[#This Row],[Document ID]],Table1[],7,FALSE)</f>
        <v>First NDC</v>
      </c>
      <c r="F274" s="236" t="str">
        <f>VLOOKUP(Table8[[#This Row],[Document ID]],Table1[],8,FALSE)</f>
        <v>NDC 1.0</v>
      </c>
      <c r="G274" s="236" t="str">
        <f>VLOOKUP(Table8[[#This Row],[Document ID]],Table1[],10,FALSE)</f>
        <v>Archived</v>
      </c>
      <c r="H274" s="43" t="s">
        <v>2343</v>
      </c>
      <c r="I274" s="43" t="s">
        <v>2344</v>
      </c>
      <c r="J274" s="44" t="s">
        <v>2405</v>
      </c>
      <c r="K274" s="44" t="s">
        <v>2637</v>
      </c>
      <c r="L274" s="44" t="s">
        <v>2347</v>
      </c>
      <c r="M274" s="43"/>
      <c r="N274" s="113"/>
      <c r="O274" s="113"/>
      <c r="P274" s="113"/>
      <c r="Q274" s="319"/>
      <c r="R274" s="319"/>
      <c r="S274" s="319"/>
      <c r="T274" s="319"/>
      <c r="U274" s="319"/>
      <c r="V274" s="319"/>
      <c r="W274" s="319"/>
      <c r="X274" s="319"/>
      <c r="Y274" s="113" t="s">
        <v>1113</v>
      </c>
      <c r="Z274" s="113"/>
      <c r="AA274" s="319"/>
      <c r="AB274" s="319"/>
      <c r="AC274" s="319"/>
      <c r="AD274" s="319"/>
      <c r="AE274" s="319"/>
      <c r="AF274" s="319"/>
      <c r="AG274" s="319"/>
      <c r="AH274" s="319"/>
      <c r="AI274" s="319"/>
      <c r="AJ274" s="319"/>
      <c r="AK274" s="319"/>
      <c r="AL274" s="113" t="s">
        <v>1113</v>
      </c>
      <c r="AM274" s="319"/>
      <c r="AN274" s="319"/>
      <c r="AO274" s="43" t="s">
        <v>2348</v>
      </c>
      <c r="AP274" s="44"/>
      <c r="AQ274" s="236" t="str">
        <f>VLOOKUP(Table8[[#This Row],[Instrument]],Def_Targets!$D$73:$E$159,2,FALSE)</f>
        <v>S_PTIntegration</v>
      </c>
      <c r="AR274" s="233" t="str">
        <f>VLOOKUP(Table8[[#This Row],[Country Code]],Table29[],3,FALSE)</f>
        <v>Non-Annex I</v>
      </c>
      <c r="AS274" s="233" t="str">
        <f>VLOOKUP(Table8[[#This Row],[Country Code]],Table29[],4,FALSE)</f>
        <v>Asia</v>
      </c>
      <c r="AT274" s="233" t="str">
        <f>VLOOKUP(Table8[[#This Row],[Country Code]],Table29[],5,FALSE)</f>
        <v>High-income</v>
      </c>
      <c r="AU274" s="233" t="str">
        <f>VLOOKUP(Table8[[#This Row],[Country Code]],Table29[],6,FALSE)</f>
        <v>no</v>
      </c>
      <c r="AV274" s="233" t="str">
        <f>VLOOKUP(Table8[[#This Row],[Country Code]],Table29[],7,FALSE)</f>
        <v>no</v>
      </c>
      <c r="AW274" s="233" t="str">
        <f>VLOOKUP(Table8[[#This Row],[Country Code]],Table29[],8,FALSE)</f>
        <v>non-OECD</v>
      </c>
      <c r="AX274" s="233" t="str">
        <f>VLOOKUP(Table8[[#This Row],[Country Code]],Table29[],9,FALSE)</f>
        <v>no</v>
      </c>
      <c r="AY274" s="233" t="str">
        <f>VLOOKUP(Table8[[#This Row],[Country Code]],Table29[],10,FALSE)</f>
        <v>no</v>
      </c>
      <c r="AZ274" s="235">
        <f>VLOOKUP(Table8[[#This Row],[Country Code]],Table29[],23,FALSE)</f>
        <v>12.157942508343</v>
      </c>
      <c r="BA274" s="235">
        <f>VLOOKUP(Table8[[#This Row],[Country Code]],Table29[],24,FALSE)</f>
        <v>1.259434350959115</v>
      </c>
      <c r="BB274" s="320"/>
      <c r="BC274" s="320"/>
    </row>
    <row r="275" spans="1:55" ht="30" hidden="1" x14ac:dyDescent="0.25">
      <c r="A275" s="373">
        <v>17540</v>
      </c>
      <c r="B275" s="233" t="str">
        <f>VLOOKUP(Table8[[#This Row],[Document ID]],Table1[],2,FALSE)</f>
        <v>BRN</v>
      </c>
      <c r="C275" s="233" t="str">
        <f>VLOOKUP(Table8[[#This Row],[Document ID]],Table1[],3,FALSE)</f>
        <v>Brunei Darussalam</v>
      </c>
      <c r="D275" s="243" t="str">
        <f>VLOOKUP(Table8[[#This Row],[Document ID]],Table1[],5,FALSE)</f>
        <v>NDC</v>
      </c>
      <c r="E275" s="233" t="str">
        <f>VLOOKUP(Table8[[#This Row],[Document ID]],Table1[],7,FALSE)</f>
        <v>First NDC</v>
      </c>
      <c r="F275" s="236" t="str">
        <f>VLOOKUP(Table8[[#This Row],[Document ID]],Table1[],8,FALSE)</f>
        <v>NDC 1.0</v>
      </c>
      <c r="G275" s="236" t="str">
        <f>VLOOKUP(Table8[[#This Row],[Document ID]],Table1[],10,FALSE)</f>
        <v>Archived</v>
      </c>
      <c r="H275" s="43" t="s">
        <v>2343</v>
      </c>
      <c r="I275" s="43" t="s">
        <v>2344</v>
      </c>
      <c r="J275" s="44" t="s">
        <v>2549</v>
      </c>
      <c r="K275" s="44" t="s">
        <v>2637</v>
      </c>
      <c r="L275" s="44" t="s">
        <v>2347</v>
      </c>
      <c r="M275" s="43"/>
      <c r="N275" s="113"/>
      <c r="O275" s="113"/>
      <c r="P275" s="113"/>
      <c r="Q275" s="319"/>
      <c r="R275" s="319"/>
      <c r="S275" s="319"/>
      <c r="T275" s="319"/>
      <c r="U275" s="319"/>
      <c r="V275" s="319"/>
      <c r="W275" s="319"/>
      <c r="X275" s="319"/>
      <c r="Y275" s="113" t="s">
        <v>1113</v>
      </c>
      <c r="Z275" s="113"/>
      <c r="AA275" s="319"/>
      <c r="AB275" s="319"/>
      <c r="AC275" s="319"/>
      <c r="AD275" s="319"/>
      <c r="AE275" s="319"/>
      <c r="AF275" s="319"/>
      <c r="AG275" s="319"/>
      <c r="AH275" s="319"/>
      <c r="AI275" s="319"/>
      <c r="AJ275" s="319"/>
      <c r="AK275" s="319"/>
      <c r="AL275" s="113" t="s">
        <v>1113</v>
      </c>
      <c r="AM275" s="319"/>
      <c r="AN275" s="319"/>
      <c r="AO275" s="43" t="s">
        <v>2348</v>
      </c>
      <c r="AP275" s="44"/>
      <c r="AQ275" s="236" t="str">
        <f>VLOOKUP(Table8[[#This Row],[Instrument]],Def_Targets!$D$73:$E$159,2,FALSE)</f>
        <v>S_BRT</v>
      </c>
      <c r="AR275" s="233" t="str">
        <f>VLOOKUP(Table8[[#This Row],[Country Code]],Table29[],3,FALSE)</f>
        <v>Non-Annex I</v>
      </c>
      <c r="AS275" s="233" t="str">
        <f>VLOOKUP(Table8[[#This Row],[Country Code]],Table29[],4,FALSE)</f>
        <v>Asia</v>
      </c>
      <c r="AT275" s="233" t="str">
        <f>VLOOKUP(Table8[[#This Row],[Country Code]],Table29[],5,FALSE)</f>
        <v>High-income</v>
      </c>
      <c r="AU275" s="233" t="str">
        <f>VLOOKUP(Table8[[#This Row],[Country Code]],Table29[],6,FALSE)</f>
        <v>no</v>
      </c>
      <c r="AV275" s="233" t="str">
        <f>VLOOKUP(Table8[[#This Row],[Country Code]],Table29[],7,FALSE)</f>
        <v>no</v>
      </c>
      <c r="AW275" s="233" t="str">
        <f>VLOOKUP(Table8[[#This Row],[Country Code]],Table29[],8,FALSE)</f>
        <v>non-OECD</v>
      </c>
      <c r="AX275" s="233" t="str">
        <f>VLOOKUP(Table8[[#This Row],[Country Code]],Table29[],9,FALSE)</f>
        <v>no</v>
      </c>
      <c r="AY275" s="233" t="str">
        <f>VLOOKUP(Table8[[#This Row],[Country Code]],Table29[],10,FALSE)</f>
        <v>no</v>
      </c>
      <c r="AZ275" s="235">
        <f>VLOOKUP(Table8[[#This Row],[Country Code]],Table29[],23,FALSE)</f>
        <v>12.157942508343</v>
      </c>
      <c r="BA275" s="235">
        <f>VLOOKUP(Table8[[#This Row],[Country Code]],Table29[],24,FALSE)</f>
        <v>1.259434350959115</v>
      </c>
      <c r="BB275" s="320"/>
      <c r="BC275" s="320"/>
    </row>
    <row r="276" spans="1:55" hidden="1" x14ac:dyDescent="0.25">
      <c r="A276" s="373">
        <v>17540</v>
      </c>
      <c r="B276" s="233" t="str">
        <f>VLOOKUP(Table8[[#This Row],[Document ID]],Table1[],2,FALSE)</f>
        <v>BRN</v>
      </c>
      <c r="C276" s="233" t="str">
        <f>VLOOKUP(Table8[[#This Row],[Document ID]],Table1[],3,FALSE)</f>
        <v>Brunei Darussalam</v>
      </c>
      <c r="D276" s="243" t="str">
        <f>VLOOKUP(Table8[[#This Row],[Document ID]],Table1[],5,FALSE)</f>
        <v>NDC</v>
      </c>
      <c r="E276" s="233" t="str">
        <f>VLOOKUP(Table8[[#This Row],[Document ID]],Table1[],7,FALSE)</f>
        <v>First NDC</v>
      </c>
      <c r="F276" s="236" t="str">
        <f>VLOOKUP(Table8[[#This Row],[Document ID]],Table1[],8,FALSE)</f>
        <v>NDC 1.0</v>
      </c>
      <c r="G276" s="236" t="str">
        <f>VLOOKUP(Table8[[#This Row],[Document ID]],Table1[],10,FALSE)</f>
        <v>Archived</v>
      </c>
      <c r="H276" s="43" t="s">
        <v>2343</v>
      </c>
      <c r="I276" s="43" t="s">
        <v>2361</v>
      </c>
      <c r="J276" s="44" t="s">
        <v>2463</v>
      </c>
      <c r="K276" s="44" t="s">
        <v>2638</v>
      </c>
      <c r="L276" s="44" t="s">
        <v>2347</v>
      </c>
      <c r="M276" s="43"/>
      <c r="N276" s="113"/>
      <c r="O276" s="113"/>
      <c r="P276" s="113" t="s">
        <v>1113</v>
      </c>
      <c r="Q276" s="319" t="s">
        <v>1113</v>
      </c>
      <c r="R276" s="319" t="s">
        <v>1113</v>
      </c>
      <c r="S276" s="319"/>
      <c r="T276" s="319"/>
      <c r="U276" s="319"/>
      <c r="V276" s="319"/>
      <c r="W276" s="319"/>
      <c r="X276" s="319"/>
      <c r="Y276" s="319"/>
      <c r="Z276" s="319"/>
      <c r="AA276" s="319"/>
      <c r="AB276" s="319"/>
      <c r="AC276" s="319"/>
      <c r="AD276" s="319"/>
      <c r="AE276" s="319"/>
      <c r="AF276" s="319"/>
      <c r="AG276" s="319"/>
      <c r="AH276" s="319"/>
      <c r="AI276" s="319"/>
      <c r="AJ276" s="319"/>
      <c r="AK276" s="319"/>
      <c r="AL276" s="113" t="s">
        <v>1113</v>
      </c>
      <c r="AM276" s="319"/>
      <c r="AN276" s="319"/>
      <c r="AO276" s="44" t="s">
        <v>2334</v>
      </c>
      <c r="AP276" s="44"/>
      <c r="AQ276" s="236" t="str">
        <f>VLOOKUP(Table8[[#This Row],[Instrument]],Def_Targets!$D$73:$E$159,2,FALSE)</f>
        <v>S_Walking</v>
      </c>
      <c r="AR276" s="233" t="str">
        <f>VLOOKUP(Table8[[#This Row],[Country Code]],Table29[],3,FALSE)</f>
        <v>Non-Annex I</v>
      </c>
      <c r="AS276" s="233" t="str">
        <f>VLOOKUP(Table8[[#This Row],[Country Code]],Table29[],4,FALSE)</f>
        <v>Asia</v>
      </c>
      <c r="AT276" s="233" t="str">
        <f>VLOOKUP(Table8[[#This Row],[Country Code]],Table29[],5,FALSE)</f>
        <v>High-income</v>
      </c>
      <c r="AU276" s="233" t="str">
        <f>VLOOKUP(Table8[[#This Row],[Country Code]],Table29[],6,FALSE)</f>
        <v>no</v>
      </c>
      <c r="AV276" s="233" t="str">
        <f>VLOOKUP(Table8[[#This Row],[Country Code]],Table29[],7,FALSE)</f>
        <v>no</v>
      </c>
      <c r="AW276" s="233" t="str">
        <f>VLOOKUP(Table8[[#This Row],[Country Code]],Table29[],8,FALSE)</f>
        <v>non-OECD</v>
      </c>
      <c r="AX276" s="233" t="str">
        <f>VLOOKUP(Table8[[#This Row],[Country Code]],Table29[],9,FALSE)</f>
        <v>no</v>
      </c>
      <c r="AY276" s="233" t="str">
        <f>VLOOKUP(Table8[[#This Row],[Country Code]],Table29[],10,FALSE)</f>
        <v>no</v>
      </c>
      <c r="AZ276" s="235">
        <f>VLOOKUP(Table8[[#This Row],[Country Code]],Table29[],23,FALSE)</f>
        <v>12.157942508343</v>
      </c>
      <c r="BA276" s="235">
        <f>VLOOKUP(Table8[[#This Row],[Country Code]],Table29[],24,FALSE)</f>
        <v>1.259434350959115</v>
      </c>
      <c r="BB276" s="320"/>
      <c r="BC276" s="320"/>
    </row>
    <row r="277" spans="1:55" hidden="1" x14ac:dyDescent="0.25">
      <c r="A277" s="373">
        <v>17540</v>
      </c>
      <c r="B277" s="233" t="str">
        <f>VLOOKUP(Table8[[#This Row],[Document ID]],Table1[],2,FALSE)</f>
        <v>BRN</v>
      </c>
      <c r="C277" s="233" t="str">
        <f>VLOOKUP(Table8[[#This Row],[Document ID]],Table1[],3,FALSE)</f>
        <v>Brunei Darussalam</v>
      </c>
      <c r="D277" s="243" t="str">
        <f>VLOOKUP(Table8[[#This Row],[Document ID]],Table1[],5,FALSE)</f>
        <v>NDC</v>
      </c>
      <c r="E277" s="233" t="str">
        <f>VLOOKUP(Table8[[#This Row],[Document ID]],Table1[],7,FALSE)</f>
        <v>First NDC</v>
      </c>
      <c r="F277" s="236" t="str">
        <f>VLOOKUP(Table8[[#This Row],[Document ID]],Table1[],8,FALSE)</f>
        <v>NDC 1.0</v>
      </c>
      <c r="G277" s="236" t="str">
        <f>VLOOKUP(Table8[[#This Row],[Document ID]],Table1[],10,FALSE)</f>
        <v>Archived</v>
      </c>
      <c r="H277" s="43" t="s">
        <v>2343</v>
      </c>
      <c r="I277" s="43" t="s">
        <v>2361</v>
      </c>
      <c r="J277" s="44" t="s">
        <v>2362</v>
      </c>
      <c r="K277" s="44" t="s">
        <v>2638</v>
      </c>
      <c r="L277" s="44" t="s">
        <v>2347</v>
      </c>
      <c r="M277" s="43"/>
      <c r="N277" s="113"/>
      <c r="O277" s="113"/>
      <c r="P277" s="113" t="s">
        <v>1113</v>
      </c>
      <c r="Q277" s="319" t="s">
        <v>1113</v>
      </c>
      <c r="R277" s="319" t="s">
        <v>1113</v>
      </c>
      <c r="S277" s="319"/>
      <c r="T277" s="319"/>
      <c r="U277" s="319"/>
      <c r="V277" s="319"/>
      <c r="W277" s="319"/>
      <c r="X277" s="319"/>
      <c r="Y277" s="319"/>
      <c r="Z277" s="319"/>
      <c r="AA277" s="319"/>
      <c r="AB277" s="319"/>
      <c r="AC277" s="319"/>
      <c r="AD277" s="319"/>
      <c r="AE277" s="319"/>
      <c r="AF277" s="319"/>
      <c r="AG277" s="319"/>
      <c r="AH277" s="319"/>
      <c r="AI277" s="319"/>
      <c r="AJ277" s="319"/>
      <c r="AK277" s="319"/>
      <c r="AL277" s="113" t="s">
        <v>1113</v>
      </c>
      <c r="AM277" s="319"/>
      <c r="AN277" s="319"/>
      <c r="AO277" s="44" t="s">
        <v>2334</v>
      </c>
      <c r="AP277" s="44"/>
      <c r="AQ277" s="236" t="str">
        <f>VLOOKUP(Table8[[#This Row],[Instrument]],Def_Targets!$D$73:$E$159,2,FALSE)</f>
        <v>S_Cycling</v>
      </c>
      <c r="AR277" s="233" t="str">
        <f>VLOOKUP(Table8[[#This Row],[Country Code]],Table29[],3,FALSE)</f>
        <v>Non-Annex I</v>
      </c>
      <c r="AS277" s="233" t="str">
        <f>VLOOKUP(Table8[[#This Row],[Country Code]],Table29[],4,FALSE)</f>
        <v>Asia</v>
      </c>
      <c r="AT277" s="233" t="str">
        <f>VLOOKUP(Table8[[#This Row],[Country Code]],Table29[],5,FALSE)</f>
        <v>High-income</v>
      </c>
      <c r="AU277" s="233" t="str">
        <f>VLOOKUP(Table8[[#This Row],[Country Code]],Table29[],6,FALSE)</f>
        <v>no</v>
      </c>
      <c r="AV277" s="233" t="str">
        <f>VLOOKUP(Table8[[#This Row],[Country Code]],Table29[],7,FALSE)</f>
        <v>no</v>
      </c>
      <c r="AW277" s="233" t="str">
        <f>VLOOKUP(Table8[[#This Row],[Country Code]],Table29[],8,FALSE)</f>
        <v>non-OECD</v>
      </c>
      <c r="AX277" s="233" t="str">
        <f>VLOOKUP(Table8[[#This Row],[Country Code]],Table29[],9,FALSE)</f>
        <v>no</v>
      </c>
      <c r="AY277" s="233" t="str">
        <f>VLOOKUP(Table8[[#This Row],[Country Code]],Table29[],10,FALSE)</f>
        <v>no</v>
      </c>
      <c r="AZ277" s="235">
        <f>VLOOKUP(Table8[[#This Row],[Country Code]],Table29[],23,FALSE)</f>
        <v>12.157942508343</v>
      </c>
      <c r="BA277" s="235">
        <f>VLOOKUP(Table8[[#This Row],[Country Code]],Table29[],24,FALSE)</f>
        <v>1.259434350959115</v>
      </c>
      <c r="BB277" s="320"/>
      <c r="BC277" s="320"/>
    </row>
    <row r="278" spans="1:55" ht="30" hidden="1" x14ac:dyDescent="0.25">
      <c r="A278" s="373">
        <v>17540</v>
      </c>
      <c r="B278" s="233" t="str">
        <f>VLOOKUP(Table8[[#This Row],[Document ID]],Table1[],2,FALSE)</f>
        <v>BRN</v>
      </c>
      <c r="C278" s="233" t="str">
        <f>VLOOKUP(Table8[[#This Row],[Document ID]],Table1[],3,FALSE)</f>
        <v>Brunei Darussalam</v>
      </c>
      <c r="D278" s="243" t="str">
        <f>VLOOKUP(Table8[[#This Row],[Document ID]],Table1[],5,FALSE)</f>
        <v>NDC</v>
      </c>
      <c r="E278" s="233" t="str">
        <f>VLOOKUP(Table8[[#This Row],[Document ID]],Table1[],7,FALSE)</f>
        <v>First NDC</v>
      </c>
      <c r="F278" s="236" t="str">
        <f>VLOOKUP(Table8[[#This Row],[Document ID]],Table1[],8,FALSE)</f>
        <v>NDC 1.0</v>
      </c>
      <c r="G278" s="236" t="str">
        <f>VLOOKUP(Table8[[#This Row],[Document ID]],Table1[],10,FALSE)</f>
        <v>Archived</v>
      </c>
      <c r="H278" s="43" t="s">
        <v>2358</v>
      </c>
      <c r="I278" s="43" t="s">
        <v>2359</v>
      </c>
      <c r="J278" s="44" t="s">
        <v>2360</v>
      </c>
      <c r="K278" s="44" t="s">
        <v>2639</v>
      </c>
      <c r="L278" s="44" t="s">
        <v>2333</v>
      </c>
      <c r="M278" s="43"/>
      <c r="N278" s="113" t="s">
        <v>1113</v>
      </c>
      <c r="O278" s="113"/>
      <c r="P278" s="113"/>
      <c r="Q278" s="319"/>
      <c r="R278" s="319"/>
      <c r="S278" s="319"/>
      <c r="T278" s="319"/>
      <c r="U278" s="319"/>
      <c r="V278" s="319"/>
      <c r="W278" s="319"/>
      <c r="X278" s="319"/>
      <c r="Y278" s="319"/>
      <c r="Z278" s="319"/>
      <c r="AA278" s="319"/>
      <c r="AB278" s="319"/>
      <c r="AC278" s="319"/>
      <c r="AD278" s="319"/>
      <c r="AE278" s="319"/>
      <c r="AF278" s="319"/>
      <c r="AG278" s="319"/>
      <c r="AH278" s="319"/>
      <c r="AI278" s="319"/>
      <c r="AJ278" s="319"/>
      <c r="AK278" s="319" t="s">
        <v>1113</v>
      </c>
      <c r="AL278" s="319"/>
      <c r="AM278" s="319"/>
      <c r="AN278" s="319"/>
      <c r="AO278" s="44" t="s">
        <v>2334</v>
      </c>
      <c r="AP278" s="44"/>
      <c r="AQ278" s="236" t="str">
        <f>VLOOKUP(Table8[[#This Row],[Instrument]],Def_Targets!$D$73:$E$159,2,FALSE)</f>
        <v>I_Emobility</v>
      </c>
      <c r="AR278" s="233" t="str">
        <f>VLOOKUP(Table8[[#This Row],[Country Code]],Table29[],3,FALSE)</f>
        <v>Non-Annex I</v>
      </c>
      <c r="AS278" s="233" t="str">
        <f>VLOOKUP(Table8[[#This Row],[Country Code]],Table29[],4,FALSE)</f>
        <v>Asia</v>
      </c>
      <c r="AT278" s="233" t="str">
        <f>VLOOKUP(Table8[[#This Row],[Country Code]],Table29[],5,FALSE)</f>
        <v>High-income</v>
      </c>
      <c r="AU278" s="233" t="str">
        <f>VLOOKUP(Table8[[#This Row],[Country Code]],Table29[],6,FALSE)</f>
        <v>no</v>
      </c>
      <c r="AV278" s="233" t="str">
        <f>VLOOKUP(Table8[[#This Row],[Country Code]],Table29[],7,FALSE)</f>
        <v>no</v>
      </c>
      <c r="AW278" s="233" t="str">
        <f>VLOOKUP(Table8[[#This Row],[Country Code]],Table29[],8,FALSE)</f>
        <v>non-OECD</v>
      </c>
      <c r="AX278" s="233" t="str">
        <f>VLOOKUP(Table8[[#This Row],[Country Code]],Table29[],9,FALSE)</f>
        <v>no</v>
      </c>
      <c r="AY278" s="233" t="str">
        <f>VLOOKUP(Table8[[#This Row],[Country Code]],Table29[],10,FALSE)</f>
        <v>no</v>
      </c>
      <c r="AZ278" s="235">
        <f>VLOOKUP(Table8[[#This Row],[Country Code]],Table29[],23,FALSE)</f>
        <v>12.157942508343</v>
      </c>
      <c r="BA278" s="235">
        <f>VLOOKUP(Table8[[#This Row],[Country Code]],Table29[],24,FALSE)</f>
        <v>1.259434350959115</v>
      </c>
      <c r="BB278" s="320"/>
      <c r="BC278" s="320"/>
    </row>
    <row r="279" spans="1:55" hidden="1" x14ac:dyDescent="0.25">
      <c r="A279" s="373">
        <v>17540</v>
      </c>
      <c r="B279" s="233" t="str">
        <f>VLOOKUP(Table8[[#This Row],[Document ID]],Table1[],2,FALSE)</f>
        <v>BRN</v>
      </c>
      <c r="C279" s="233" t="str">
        <f>VLOOKUP(Table8[[#This Row],[Document ID]],Table1[],3,FALSE)</f>
        <v>Brunei Darussalam</v>
      </c>
      <c r="D279" s="243" t="str">
        <f>VLOOKUP(Table8[[#This Row],[Document ID]],Table1[],5,FALSE)</f>
        <v>NDC</v>
      </c>
      <c r="E279" s="233" t="str">
        <f>VLOOKUP(Table8[[#This Row],[Document ID]],Table1[],7,FALSE)</f>
        <v>First NDC</v>
      </c>
      <c r="F279" s="236" t="str">
        <f>VLOOKUP(Table8[[#This Row],[Document ID]],Table1[],8,FALSE)</f>
        <v>NDC 1.0</v>
      </c>
      <c r="G279" s="236" t="str">
        <f>VLOOKUP(Table8[[#This Row],[Document ID]],Table1[],10,FALSE)</f>
        <v>Archived</v>
      </c>
      <c r="H279" s="43" t="s">
        <v>2343</v>
      </c>
      <c r="I279" s="43" t="s">
        <v>2429</v>
      </c>
      <c r="J279" s="44" t="s">
        <v>2430</v>
      </c>
      <c r="K279" s="44" t="s">
        <v>2640</v>
      </c>
      <c r="L279" s="44" t="s">
        <v>2333</v>
      </c>
      <c r="M279" s="43"/>
      <c r="N279" s="113" t="s">
        <v>1113</v>
      </c>
      <c r="O279" s="113"/>
      <c r="P279" s="113"/>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t="s">
        <v>1113</v>
      </c>
      <c r="AL279" s="319"/>
      <c r="AM279" s="319"/>
      <c r="AN279" s="319"/>
      <c r="AO279" s="44" t="s">
        <v>2334</v>
      </c>
      <c r="AP279" s="44"/>
      <c r="AQ279" s="236" t="str">
        <f>VLOOKUP(Table8[[#This Row],[Instrument]],Def_Targets!$D$73:$E$159,2,FALSE)</f>
        <v>I_ITS</v>
      </c>
      <c r="AR279" s="233" t="str">
        <f>VLOOKUP(Table8[[#This Row],[Country Code]],Table29[],3,FALSE)</f>
        <v>Non-Annex I</v>
      </c>
      <c r="AS279" s="233" t="str">
        <f>VLOOKUP(Table8[[#This Row],[Country Code]],Table29[],4,FALSE)</f>
        <v>Asia</v>
      </c>
      <c r="AT279" s="233" t="str">
        <f>VLOOKUP(Table8[[#This Row],[Country Code]],Table29[],5,FALSE)</f>
        <v>High-income</v>
      </c>
      <c r="AU279" s="233" t="str">
        <f>VLOOKUP(Table8[[#This Row],[Country Code]],Table29[],6,FALSE)</f>
        <v>no</v>
      </c>
      <c r="AV279" s="233" t="str">
        <f>VLOOKUP(Table8[[#This Row],[Country Code]],Table29[],7,FALSE)</f>
        <v>no</v>
      </c>
      <c r="AW279" s="233" t="str">
        <f>VLOOKUP(Table8[[#This Row],[Country Code]],Table29[],8,FALSE)</f>
        <v>non-OECD</v>
      </c>
      <c r="AX279" s="233" t="str">
        <f>VLOOKUP(Table8[[#This Row],[Country Code]],Table29[],9,FALSE)</f>
        <v>no</v>
      </c>
      <c r="AY279" s="233" t="str">
        <f>VLOOKUP(Table8[[#This Row],[Country Code]],Table29[],10,FALSE)</f>
        <v>no</v>
      </c>
      <c r="AZ279" s="235">
        <f>VLOOKUP(Table8[[#This Row],[Country Code]],Table29[],23,FALSE)</f>
        <v>12.157942508343</v>
      </c>
      <c r="BA279" s="235">
        <f>VLOOKUP(Table8[[#This Row],[Country Code]],Table29[],24,FALSE)</f>
        <v>1.259434350959115</v>
      </c>
      <c r="BB279" s="320"/>
      <c r="BC279" s="320"/>
    </row>
    <row r="280" spans="1:55" hidden="1" x14ac:dyDescent="0.25">
      <c r="A280" s="373">
        <v>17540</v>
      </c>
      <c r="B280" s="233" t="str">
        <f>VLOOKUP(Table8[[#This Row],[Document ID]],Table1[],2,FALSE)</f>
        <v>BRN</v>
      </c>
      <c r="C280" s="233" t="str">
        <f>VLOOKUP(Table8[[#This Row],[Document ID]],Table1[],3,FALSE)</f>
        <v>Brunei Darussalam</v>
      </c>
      <c r="D280" s="243" t="str">
        <f>VLOOKUP(Table8[[#This Row],[Document ID]],Table1[],5,FALSE)</f>
        <v>NDC</v>
      </c>
      <c r="E280" s="233" t="str">
        <f>VLOOKUP(Table8[[#This Row],[Document ID]],Table1[],7,FALSE)</f>
        <v>First NDC</v>
      </c>
      <c r="F280" s="236" t="str">
        <f>VLOOKUP(Table8[[#This Row],[Document ID]],Table1[],8,FALSE)</f>
        <v>NDC 1.0</v>
      </c>
      <c r="G280" s="236" t="str">
        <f>VLOOKUP(Table8[[#This Row],[Document ID]],Table1[],10,FALSE)</f>
        <v>Archived</v>
      </c>
      <c r="H280" s="43" t="s">
        <v>2343</v>
      </c>
      <c r="I280" s="43" t="s">
        <v>2377</v>
      </c>
      <c r="J280" s="44" t="s">
        <v>2535</v>
      </c>
      <c r="K280" s="44" t="s">
        <v>2640</v>
      </c>
      <c r="L280" s="44" t="s">
        <v>2396</v>
      </c>
      <c r="M280" s="43"/>
      <c r="N280" s="113" t="s">
        <v>1113</v>
      </c>
      <c r="O280" s="113"/>
      <c r="P280" s="113"/>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t="s">
        <v>1113</v>
      </c>
      <c r="AL280" s="319"/>
      <c r="AM280" s="319"/>
      <c r="AN280" s="319"/>
      <c r="AO280" s="44" t="s">
        <v>2334</v>
      </c>
      <c r="AP280" s="44"/>
      <c r="AQ280" s="236" t="str">
        <f>VLOOKUP(Table8[[#This Row],[Instrument]],Def_Targets!$D$73:$E$159,2,FALSE)</f>
        <v>S_Parking</v>
      </c>
      <c r="AR280" s="233" t="str">
        <f>VLOOKUP(Table8[[#This Row],[Country Code]],Table29[],3,FALSE)</f>
        <v>Non-Annex I</v>
      </c>
      <c r="AS280" s="233" t="str">
        <f>VLOOKUP(Table8[[#This Row],[Country Code]],Table29[],4,FALSE)</f>
        <v>Asia</v>
      </c>
      <c r="AT280" s="233" t="str">
        <f>VLOOKUP(Table8[[#This Row],[Country Code]],Table29[],5,FALSE)</f>
        <v>High-income</v>
      </c>
      <c r="AU280" s="233" t="str">
        <f>VLOOKUP(Table8[[#This Row],[Country Code]],Table29[],6,FALSE)</f>
        <v>no</v>
      </c>
      <c r="AV280" s="233" t="str">
        <f>VLOOKUP(Table8[[#This Row],[Country Code]],Table29[],7,FALSE)</f>
        <v>no</v>
      </c>
      <c r="AW280" s="233" t="str">
        <f>VLOOKUP(Table8[[#This Row],[Country Code]],Table29[],8,FALSE)</f>
        <v>non-OECD</v>
      </c>
      <c r="AX280" s="233" t="str">
        <f>VLOOKUP(Table8[[#This Row],[Country Code]],Table29[],9,FALSE)</f>
        <v>no</v>
      </c>
      <c r="AY280" s="233" t="str">
        <f>VLOOKUP(Table8[[#This Row],[Country Code]],Table29[],10,FALSE)</f>
        <v>no</v>
      </c>
      <c r="AZ280" s="235">
        <f>VLOOKUP(Table8[[#This Row],[Country Code]],Table29[],23,FALSE)</f>
        <v>12.157942508343</v>
      </c>
      <c r="BA280" s="235">
        <f>VLOOKUP(Table8[[#This Row],[Country Code]],Table29[],24,FALSE)</f>
        <v>1.259434350959115</v>
      </c>
      <c r="BB280" s="320"/>
      <c r="BC280" s="320"/>
    </row>
    <row r="281" spans="1:55" hidden="1" x14ac:dyDescent="0.25">
      <c r="A281" s="373">
        <v>17540</v>
      </c>
      <c r="B281" s="233" t="str">
        <f>VLOOKUP(Table8[[#This Row],[Document ID]],Table1[],2,FALSE)</f>
        <v>BRN</v>
      </c>
      <c r="C281" s="233" t="str">
        <f>VLOOKUP(Table8[[#This Row],[Document ID]],Table1[],3,FALSE)</f>
        <v>Brunei Darussalam</v>
      </c>
      <c r="D281" s="243" t="str">
        <f>VLOOKUP(Table8[[#This Row],[Document ID]],Table1[],5,FALSE)</f>
        <v>NDC</v>
      </c>
      <c r="E281" s="233" t="str">
        <f>VLOOKUP(Table8[[#This Row],[Document ID]],Table1[],7,FALSE)</f>
        <v>First NDC</v>
      </c>
      <c r="F281" s="236" t="str">
        <f>VLOOKUP(Table8[[#This Row],[Document ID]],Table1[],8,FALSE)</f>
        <v>NDC 1.0</v>
      </c>
      <c r="G281" s="236" t="str">
        <f>VLOOKUP(Table8[[#This Row],[Document ID]],Table1[],10,FALSE)</f>
        <v>Archived</v>
      </c>
      <c r="H281" s="43" t="s">
        <v>2343</v>
      </c>
      <c r="I281" s="43" t="s">
        <v>2377</v>
      </c>
      <c r="J281" s="44" t="s">
        <v>2394</v>
      </c>
      <c r="K281" s="44" t="s">
        <v>2641</v>
      </c>
      <c r="L281" s="44" t="s">
        <v>2396</v>
      </c>
      <c r="M281" s="43"/>
      <c r="N281" s="113" t="s">
        <v>1113</v>
      </c>
      <c r="O281" s="113"/>
      <c r="P281" s="113"/>
      <c r="Q281" s="319"/>
      <c r="R281" s="319"/>
      <c r="S281" s="319"/>
      <c r="T281" s="319"/>
      <c r="U281" s="319"/>
      <c r="V281" s="319"/>
      <c r="W281" s="319"/>
      <c r="X281" s="319"/>
      <c r="Y281" s="319"/>
      <c r="Z281" s="319"/>
      <c r="AA281" s="319"/>
      <c r="AB281" s="319"/>
      <c r="AC281" s="319"/>
      <c r="AD281" s="319"/>
      <c r="AE281" s="319"/>
      <c r="AF281" s="319"/>
      <c r="AG281" s="319"/>
      <c r="AH281" s="319"/>
      <c r="AI281" s="319"/>
      <c r="AJ281" s="319"/>
      <c r="AK281" s="319"/>
      <c r="AL281" s="113" t="s">
        <v>1113</v>
      </c>
      <c r="AM281" s="319"/>
      <c r="AN281" s="319"/>
      <c r="AO281" s="44" t="s">
        <v>2334</v>
      </c>
      <c r="AP281" s="44"/>
      <c r="AQ281" s="236" t="str">
        <f>VLOOKUP(Table8[[#This Row],[Instrument]],Def_Targets!$D$73:$E$159,2,FALSE)</f>
        <v>A_TDM</v>
      </c>
      <c r="AR281" s="233" t="str">
        <f>VLOOKUP(Table8[[#This Row],[Country Code]],Table29[],3,FALSE)</f>
        <v>Non-Annex I</v>
      </c>
      <c r="AS281" s="233" t="str">
        <f>VLOOKUP(Table8[[#This Row],[Country Code]],Table29[],4,FALSE)</f>
        <v>Asia</v>
      </c>
      <c r="AT281" s="233" t="str">
        <f>VLOOKUP(Table8[[#This Row],[Country Code]],Table29[],5,FALSE)</f>
        <v>High-income</v>
      </c>
      <c r="AU281" s="233" t="str">
        <f>VLOOKUP(Table8[[#This Row],[Country Code]],Table29[],6,FALSE)</f>
        <v>no</v>
      </c>
      <c r="AV281" s="233" t="str">
        <f>VLOOKUP(Table8[[#This Row],[Country Code]],Table29[],7,FALSE)</f>
        <v>no</v>
      </c>
      <c r="AW281" s="233" t="str">
        <f>VLOOKUP(Table8[[#This Row],[Country Code]],Table29[],8,FALSE)</f>
        <v>non-OECD</v>
      </c>
      <c r="AX281" s="233" t="str">
        <f>VLOOKUP(Table8[[#This Row],[Country Code]],Table29[],9,FALSE)</f>
        <v>no</v>
      </c>
      <c r="AY281" s="233" t="str">
        <f>VLOOKUP(Table8[[#This Row],[Country Code]],Table29[],10,FALSE)</f>
        <v>no</v>
      </c>
      <c r="AZ281" s="235">
        <f>VLOOKUP(Table8[[#This Row],[Country Code]],Table29[],23,FALSE)</f>
        <v>12.157942508343</v>
      </c>
      <c r="BA281" s="235">
        <f>VLOOKUP(Table8[[#This Row],[Country Code]],Table29[],24,FALSE)</f>
        <v>1.259434350959115</v>
      </c>
      <c r="BB281" s="320"/>
      <c r="BC281" s="320"/>
    </row>
    <row r="282" spans="1:55" ht="30" hidden="1" x14ac:dyDescent="0.25">
      <c r="A282" s="373">
        <v>17543</v>
      </c>
      <c r="B282" s="233" t="str">
        <f>VLOOKUP(Table8[[#This Row],[Document ID]],Table1[],2,FALSE)</f>
        <v>BFA</v>
      </c>
      <c r="C282" s="233" t="str">
        <f>VLOOKUP(Table8[[#This Row],[Document ID]],Table1[],3,FALSE)</f>
        <v>Burkina Faso</v>
      </c>
      <c r="D282" s="243" t="str">
        <f>VLOOKUP(Table8[[#This Row],[Document ID]],Table1[],5,FALSE)</f>
        <v>NDC</v>
      </c>
      <c r="E282" s="233" t="str">
        <f>VLOOKUP(Table8[[#This Row],[Document ID]],Table1[],7,FALSE)</f>
        <v>First NDC</v>
      </c>
      <c r="F282" s="236" t="str">
        <f>VLOOKUP(Table8[[#This Row],[Document ID]],Table1[],8,FALSE)</f>
        <v>NDC 1.0</v>
      </c>
      <c r="G282" s="236" t="str">
        <f>VLOOKUP(Table8[[#This Row],[Document ID]],Table1[],10,FALSE)</f>
        <v>Archived</v>
      </c>
      <c r="H282" s="44" t="s">
        <v>2338</v>
      </c>
      <c r="I282" s="44" t="s">
        <v>2339</v>
      </c>
      <c r="J282" s="44" t="s">
        <v>2340</v>
      </c>
      <c r="K282" s="44" t="s">
        <v>2642</v>
      </c>
      <c r="L282" s="44" t="s">
        <v>2333</v>
      </c>
      <c r="M282" s="43"/>
      <c r="N282" s="113" t="s">
        <v>1113</v>
      </c>
      <c r="O282" s="113"/>
      <c r="P282" s="113"/>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t="s">
        <v>1113</v>
      </c>
      <c r="AL282" s="319"/>
      <c r="AM282" s="319"/>
      <c r="AN282" s="319"/>
      <c r="AO282" s="44" t="s">
        <v>2334</v>
      </c>
      <c r="AP282" s="44"/>
      <c r="AQ282" s="236" t="str">
        <f>VLOOKUP(Table8[[#This Row],[Instrument]],Def_Targets!$D$73:$E$159,2,FALSE)</f>
        <v>I_Vehicleimprove</v>
      </c>
      <c r="AR282" s="233" t="str">
        <f>VLOOKUP(Table8[[#This Row],[Country Code]],Table29[],3,FALSE)</f>
        <v>Non-Annex I</v>
      </c>
      <c r="AS282" s="233" t="str">
        <f>VLOOKUP(Table8[[#This Row],[Country Code]],Table29[],4,FALSE)</f>
        <v>Africa</v>
      </c>
      <c r="AT282" s="233" t="str">
        <f>VLOOKUP(Table8[[#This Row],[Country Code]],Table29[],5,FALSE)</f>
        <v>Low-income</v>
      </c>
      <c r="AU282" s="233" t="str">
        <f>VLOOKUP(Table8[[#This Row],[Country Code]],Table29[],6,FALSE)</f>
        <v>no</v>
      </c>
      <c r="AV282" s="233" t="str">
        <f>VLOOKUP(Table8[[#This Row],[Country Code]],Table29[],7,FALSE)</f>
        <v>no</v>
      </c>
      <c r="AW282" s="233" t="str">
        <f>VLOOKUP(Table8[[#This Row],[Country Code]],Table29[],8,FALSE)</f>
        <v>non-OECD</v>
      </c>
      <c r="AX282" s="233" t="str">
        <f>VLOOKUP(Table8[[#This Row],[Country Code]],Table29[],9,FALSE)</f>
        <v>no</v>
      </c>
      <c r="AY282" s="233" t="str">
        <f>VLOOKUP(Table8[[#This Row],[Country Code]],Table29[],10,FALSE)</f>
        <v>no</v>
      </c>
      <c r="AZ282" s="235">
        <f>VLOOKUP(Table8[[#This Row],[Country Code]],Table29[],23,FALSE)</f>
        <v>34.456815083210998</v>
      </c>
      <c r="BA282" s="235">
        <f>VLOOKUP(Table8[[#This Row],[Country Code]],Table29[],24,FALSE)</f>
        <v>2.783932508886048</v>
      </c>
      <c r="BB282" s="320"/>
      <c r="BC282" s="320"/>
    </row>
    <row r="283" spans="1:55" ht="45" hidden="1" x14ac:dyDescent="0.25">
      <c r="A283" s="373">
        <v>17543</v>
      </c>
      <c r="B283" s="233" t="str">
        <f>VLOOKUP(Table8[[#This Row],[Document ID]],Table1[],2,FALSE)</f>
        <v>BFA</v>
      </c>
      <c r="C283" s="233" t="str">
        <f>VLOOKUP(Table8[[#This Row],[Document ID]],Table1[],3,FALSE)</f>
        <v>Burkina Faso</v>
      </c>
      <c r="D283" s="243" t="str">
        <f>VLOOKUP(Table8[[#This Row],[Document ID]],Table1[],5,FALSE)</f>
        <v>NDC</v>
      </c>
      <c r="E283" s="233" t="str">
        <f>VLOOKUP(Table8[[#This Row],[Document ID]],Table1[],7,FALSE)</f>
        <v>First NDC</v>
      </c>
      <c r="F283" s="236" t="str">
        <f>VLOOKUP(Table8[[#This Row],[Document ID]],Table1[],8,FALSE)</f>
        <v>NDC 1.0</v>
      </c>
      <c r="G283" s="236" t="str">
        <f>VLOOKUP(Table8[[#This Row],[Document ID]],Table1[],10,FALSE)</f>
        <v>Archived</v>
      </c>
      <c r="H283" s="43" t="s">
        <v>2350</v>
      </c>
      <c r="I283" s="43" t="s">
        <v>2456</v>
      </c>
      <c r="J283" s="44" t="s">
        <v>2643</v>
      </c>
      <c r="K283" s="44" t="s">
        <v>2644</v>
      </c>
      <c r="L283" s="44" t="s">
        <v>2347</v>
      </c>
      <c r="M283" s="43"/>
      <c r="N283" s="113" t="s">
        <v>1113</v>
      </c>
      <c r="O283" s="113"/>
      <c r="P283" s="113"/>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113" t="s">
        <v>1113</v>
      </c>
      <c r="AM283" s="319"/>
      <c r="AN283" s="319"/>
      <c r="AO283" s="44" t="s">
        <v>2334</v>
      </c>
      <c r="AP283" s="44"/>
      <c r="AQ283" s="236" t="str">
        <f>VLOOKUP(Table8[[#This Row],[Instrument]],Def_Targets!$D$73:$E$159,2,FALSE)</f>
        <v>S_Intermodality</v>
      </c>
      <c r="AR283" s="233" t="str">
        <f>VLOOKUP(Table8[[#This Row],[Country Code]],Table29[],3,FALSE)</f>
        <v>Non-Annex I</v>
      </c>
      <c r="AS283" s="233" t="str">
        <f>VLOOKUP(Table8[[#This Row],[Country Code]],Table29[],4,FALSE)</f>
        <v>Africa</v>
      </c>
      <c r="AT283" s="233" t="str">
        <f>VLOOKUP(Table8[[#This Row],[Country Code]],Table29[],5,FALSE)</f>
        <v>Low-income</v>
      </c>
      <c r="AU283" s="233" t="str">
        <f>VLOOKUP(Table8[[#This Row],[Country Code]],Table29[],6,FALSE)</f>
        <v>no</v>
      </c>
      <c r="AV283" s="233" t="str">
        <f>VLOOKUP(Table8[[#This Row],[Country Code]],Table29[],7,FALSE)</f>
        <v>no</v>
      </c>
      <c r="AW283" s="233" t="str">
        <f>VLOOKUP(Table8[[#This Row],[Country Code]],Table29[],8,FALSE)</f>
        <v>non-OECD</v>
      </c>
      <c r="AX283" s="233" t="str">
        <f>VLOOKUP(Table8[[#This Row],[Country Code]],Table29[],9,FALSE)</f>
        <v>no</v>
      </c>
      <c r="AY283" s="233" t="str">
        <f>VLOOKUP(Table8[[#This Row],[Country Code]],Table29[],10,FALSE)</f>
        <v>no</v>
      </c>
      <c r="AZ283" s="235">
        <f>VLOOKUP(Table8[[#This Row],[Country Code]],Table29[],23,FALSE)</f>
        <v>34.456815083210998</v>
      </c>
      <c r="BA283" s="235">
        <f>VLOOKUP(Table8[[#This Row],[Country Code]],Table29[],24,FALSE)</f>
        <v>2.783932508886048</v>
      </c>
      <c r="BB283" s="320"/>
      <c r="BC283" s="320"/>
    </row>
    <row r="284" spans="1:55" ht="90" hidden="1" x14ac:dyDescent="0.25">
      <c r="A284" s="373">
        <v>17543</v>
      </c>
      <c r="B284" s="233" t="str">
        <f>VLOOKUP(Table8[[#This Row],[Document ID]],Table1[],2,FALSE)</f>
        <v>BFA</v>
      </c>
      <c r="C284" s="233" t="str">
        <f>VLOOKUP(Table8[[#This Row],[Document ID]],Table1[],3,FALSE)</f>
        <v>Burkina Faso</v>
      </c>
      <c r="D284" s="243" t="str">
        <f>VLOOKUP(Table8[[#This Row],[Document ID]],Table1[],5,FALSE)</f>
        <v>NDC</v>
      </c>
      <c r="E284" s="233" t="str">
        <f>VLOOKUP(Table8[[#This Row],[Document ID]],Table1[],7,FALSE)</f>
        <v>First NDC</v>
      </c>
      <c r="F284" s="236" t="str">
        <f>VLOOKUP(Table8[[#This Row],[Document ID]],Table1[],8,FALSE)</f>
        <v>NDC 1.0</v>
      </c>
      <c r="G284" s="236" t="str">
        <f>VLOOKUP(Table8[[#This Row],[Document ID]],Table1[],10,FALSE)</f>
        <v>Archived</v>
      </c>
      <c r="H284" s="44" t="s">
        <v>2329</v>
      </c>
      <c r="I284" s="44" t="s">
        <v>2330</v>
      </c>
      <c r="J284" s="44" t="s">
        <v>2357</v>
      </c>
      <c r="K284" s="44" t="s">
        <v>2645</v>
      </c>
      <c r="L284" s="44" t="s">
        <v>2333</v>
      </c>
      <c r="M284" s="43"/>
      <c r="N284" s="113" t="s">
        <v>1113</v>
      </c>
      <c r="O284" s="113"/>
      <c r="P284" s="113"/>
      <c r="Q284" s="319"/>
      <c r="R284" s="319"/>
      <c r="S284" s="319"/>
      <c r="T284" s="319"/>
      <c r="U284" s="319"/>
      <c r="V284" s="319"/>
      <c r="W284" s="319"/>
      <c r="X284" s="319"/>
      <c r="Y284" s="319"/>
      <c r="Z284" s="319"/>
      <c r="AA284" s="319"/>
      <c r="AB284" s="319"/>
      <c r="AC284" s="319"/>
      <c r="AD284" s="319"/>
      <c r="AE284" s="319"/>
      <c r="AF284" s="319"/>
      <c r="AG284" s="319"/>
      <c r="AH284" s="319"/>
      <c r="AI284" s="319"/>
      <c r="AJ284" s="319"/>
      <c r="AK284" s="319" t="s">
        <v>1113</v>
      </c>
      <c r="AL284" s="319"/>
      <c r="AM284" s="319"/>
      <c r="AN284" s="319"/>
      <c r="AO284" s="44" t="s">
        <v>2334</v>
      </c>
      <c r="AP284" s="44"/>
      <c r="AQ284" s="236" t="str">
        <f>VLOOKUP(Table8[[#This Row],[Instrument]],Def_Targets!$D$73:$E$159,2,FALSE)</f>
        <v>I_Biofuel</v>
      </c>
      <c r="AR284" s="233" t="str">
        <f>VLOOKUP(Table8[[#This Row],[Country Code]],Table29[],3,FALSE)</f>
        <v>Non-Annex I</v>
      </c>
      <c r="AS284" s="233" t="str">
        <f>VLOOKUP(Table8[[#This Row],[Country Code]],Table29[],4,FALSE)</f>
        <v>Africa</v>
      </c>
      <c r="AT284" s="233" t="str">
        <f>VLOOKUP(Table8[[#This Row],[Country Code]],Table29[],5,FALSE)</f>
        <v>Low-income</v>
      </c>
      <c r="AU284" s="233" t="str">
        <f>VLOOKUP(Table8[[#This Row],[Country Code]],Table29[],6,FALSE)</f>
        <v>no</v>
      </c>
      <c r="AV284" s="233" t="str">
        <f>VLOOKUP(Table8[[#This Row],[Country Code]],Table29[],7,FALSE)</f>
        <v>no</v>
      </c>
      <c r="AW284" s="233" t="str">
        <f>VLOOKUP(Table8[[#This Row],[Country Code]],Table29[],8,FALSE)</f>
        <v>non-OECD</v>
      </c>
      <c r="AX284" s="233" t="str">
        <f>VLOOKUP(Table8[[#This Row],[Country Code]],Table29[],9,FALSE)</f>
        <v>no</v>
      </c>
      <c r="AY284" s="233" t="str">
        <f>VLOOKUP(Table8[[#This Row],[Country Code]],Table29[],10,FALSE)</f>
        <v>no</v>
      </c>
      <c r="AZ284" s="235">
        <f>VLOOKUP(Table8[[#This Row],[Country Code]],Table29[],23,FALSE)</f>
        <v>34.456815083210998</v>
      </c>
      <c r="BA284" s="235">
        <f>VLOOKUP(Table8[[#This Row],[Country Code]],Table29[],24,FALSE)</f>
        <v>2.783932508886048</v>
      </c>
      <c r="BB284" s="320"/>
      <c r="BC284" s="320"/>
    </row>
    <row r="285" spans="1:55" s="17" customFormat="1" ht="30" hidden="1" x14ac:dyDescent="0.25">
      <c r="A285" s="373">
        <v>23369</v>
      </c>
      <c r="B285" s="233" t="str">
        <f>VLOOKUP(Table8[[#This Row],[Document ID]],Table1[],2,FALSE)</f>
        <v>BFA</v>
      </c>
      <c r="C285" s="233" t="str">
        <f>VLOOKUP(Table8[[#This Row],[Document ID]],Table1[],3,FALSE)</f>
        <v>Burkina Faso</v>
      </c>
      <c r="D285" s="243" t="str">
        <f>VLOOKUP(Table8[[#This Row],[Document ID]],Table1[],5,FALSE)</f>
        <v>NDC</v>
      </c>
      <c r="E285" s="233" t="str">
        <f>VLOOKUP(Table8[[#This Row],[Document ID]],Table1[],7,FALSE)</f>
        <v>First NDC updated</v>
      </c>
      <c r="F285" s="233" t="str">
        <f>VLOOKUP(Table8[[#This Row],[Document ID]],Table1[],8,FALSE)</f>
        <v>NDC 1.1</v>
      </c>
      <c r="G285" s="233" t="str">
        <f>VLOOKUP(Table8[[#This Row],[Document ID]],Table1[],10,FALSE)</f>
        <v>Active</v>
      </c>
      <c r="H285" s="44" t="s">
        <v>2329</v>
      </c>
      <c r="I285" s="44" t="s">
        <v>2330</v>
      </c>
      <c r="J285" s="44" t="s">
        <v>2381</v>
      </c>
      <c r="K285" s="44" t="s">
        <v>2646</v>
      </c>
      <c r="L285" s="44" t="s">
        <v>2333</v>
      </c>
      <c r="M285" s="43" t="s">
        <v>2647</v>
      </c>
      <c r="N285" s="113" t="s">
        <v>1113</v>
      </c>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t="s">
        <v>1113</v>
      </c>
      <c r="AL285" s="113"/>
      <c r="AM285" s="113"/>
      <c r="AN285" s="113"/>
      <c r="AO285" s="44" t="s">
        <v>2334</v>
      </c>
      <c r="AP285" s="43"/>
      <c r="AQ285" s="236" t="str">
        <f>VLOOKUP(Table8[[#This Row],[Instrument]],Def_Targets!$D$73:$E$159,2,FALSE)</f>
        <v>I_RE</v>
      </c>
      <c r="AR285" s="233" t="str">
        <f>VLOOKUP(Table8[[#This Row],[Country Code]],Table29[],3,FALSE)</f>
        <v>Non-Annex I</v>
      </c>
      <c r="AS285" s="233" t="str">
        <f>VLOOKUP(Table8[[#This Row],[Country Code]],Table29[],4,FALSE)</f>
        <v>Africa</v>
      </c>
      <c r="AT285" s="233" t="str">
        <f>VLOOKUP(Table8[[#This Row],[Country Code]],Table29[],5,FALSE)</f>
        <v>Low-income</v>
      </c>
      <c r="AU285" s="233" t="str">
        <f>VLOOKUP(Table8[[#This Row],[Country Code]],Table29[],6,FALSE)</f>
        <v>no</v>
      </c>
      <c r="AV285" s="233" t="str">
        <f>VLOOKUP(Table8[[#This Row],[Country Code]],Table29[],7,FALSE)</f>
        <v>no</v>
      </c>
      <c r="AW285" s="233" t="str">
        <f>VLOOKUP(Table8[[#This Row],[Country Code]],Table29[],8,FALSE)</f>
        <v>non-OECD</v>
      </c>
      <c r="AX285" s="233" t="str">
        <f>VLOOKUP(Table8[[#This Row],[Country Code]],Table29[],9,FALSE)</f>
        <v>no</v>
      </c>
      <c r="AY285" s="233" t="str">
        <f>VLOOKUP(Table8[[#This Row],[Country Code]],Table29[],10,FALSE)</f>
        <v>no</v>
      </c>
      <c r="AZ285" s="235">
        <f>VLOOKUP(Table8[[#This Row],[Country Code]],Table29[],23,FALSE)</f>
        <v>34.456815083210998</v>
      </c>
      <c r="BA285" s="235">
        <f>VLOOKUP(Table8[[#This Row],[Country Code]],Table29[],24,FALSE)</f>
        <v>2.783932508886048</v>
      </c>
      <c r="BB285" s="320"/>
      <c r="BC285" s="320"/>
    </row>
    <row r="286" spans="1:55" s="17" customFormat="1" hidden="1" x14ac:dyDescent="0.25">
      <c r="A286" s="373">
        <v>23369</v>
      </c>
      <c r="B286" s="233" t="str">
        <f>VLOOKUP(Table8[[#This Row],[Document ID]],Table1[],2,FALSE)</f>
        <v>BFA</v>
      </c>
      <c r="C286" s="233" t="str">
        <f>VLOOKUP(Table8[[#This Row],[Document ID]],Table1[],3,FALSE)</f>
        <v>Burkina Faso</v>
      </c>
      <c r="D286" s="243" t="str">
        <f>VLOOKUP(Table8[[#This Row],[Document ID]],Table1[],5,FALSE)</f>
        <v>NDC</v>
      </c>
      <c r="E286" s="233" t="str">
        <f>VLOOKUP(Table8[[#This Row],[Document ID]],Table1[],7,FALSE)</f>
        <v>First NDC updated</v>
      </c>
      <c r="F286" s="233" t="str">
        <f>VLOOKUP(Table8[[#This Row],[Document ID]],Table1[],8,FALSE)</f>
        <v>NDC 1.1</v>
      </c>
      <c r="G286" s="233" t="str">
        <f>VLOOKUP(Table8[[#This Row],[Document ID]],Table1[],10,FALSE)</f>
        <v>Active</v>
      </c>
      <c r="H286" s="43" t="s">
        <v>2343</v>
      </c>
      <c r="I286" s="43" t="s">
        <v>2377</v>
      </c>
      <c r="J286" s="44" t="s">
        <v>2394</v>
      </c>
      <c r="K286" s="44" t="s">
        <v>2648</v>
      </c>
      <c r="L286" s="44" t="s">
        <v>2347</v>
      </c>
      <c r="M286" s="43" t="s">
        <v>2647</v>
      </c>
      <c r="N286" s="113" t="s">
        <v>1113</v>
      </c>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t="s">
        <v>1113</v>
      </c>
      <c r="AM286" s="113"/>
      <c r="AN286" s="113"/>
      <c r="AO286" s="44" t="s">
        <v>2334</v>
      </c>
      <c r="AP286" s="43"/>
      <c r="AQ286" s="236" t="str">
        <f>VLOOKUP(Table8[[#This Row],[Instrument]],Def_Targets!$D$73:$E$159,2,FALSE)</f>
        <v>A_TDM</v>
      </c>
      <c r="AR286" s="233" t="str">
        <f>VLOOKUP(Table8[[#This Row],[Country Code]],Table29[],3,FALSE)</f>
        <v>Non-Annex I</v>
      </c>
      <c r="AS286" s="233" t="str">
        <f>VLOOKUP(Table8[[#This Row],[Country Code]],Table29[],4,FALSE)</f>
        <v>Africa</v>
      </c>
      <c r="AT286" s="233" t="str">
        <f>VLOOKUP(Table8[[#This Row],[Country Code]],Table29[],5,FALSE)</f>
        <v>Low-income</v>
      </c>
      <c r="AU286" s="233" t="str">
        <f>VLOOKUP(Table8[[#This Row],[Country Code]],Table29[],6,FALSE)</f>
        <v>no</v>
      </c>
      <c r="AV286" s="233" t="str">
        <f>VLOOKUP(Table8[[#This Row],[Country Code]],Table29[],7,FALSE)</f>
        <v>no</v>
      </c>
      <c r="AW286" s="233" t="str">
        <f>VLOOKUP(Table8[[#This Row],[Country Code]],Table29[],8,FALSE)</f>
        <v>non-OECD</v>
      </c>
      <c r="AX286" s="233" t="str">
        <f>VLOOKUP(Table8[[#This Row],[Country Code]],Table29[],9,FALSE)</f>
        <v>no</v>
      </c>
      <c r="AY286" s="233" t="str">
        <f>VLOOKUP(Table8[[#This Row],[Country Code]],Table29[],10,FALSE)</f>
        <v>no</v>
      </c>
      <c r="AZ286" s="235">
        <f>VLOOKUP(Table8[[#This Row],[Country Code]],Table29[],23,FALSE)</f>
        <v>34.456815083210998</v>
      </c>
      <c r="BA286" s="235">
        <f>VLOOKUP(Table8[[#This Row],[Country Code]],Table29[],24,FALSE)</f>
        <v>2.783932508886048</v>
      </c>
      <c r="BB286" s="320"/>
      <c r="BC286" s="320"/>
    </row>
    <row r="287" spans="1:55" s="17" customFormat="1" hidden="1" x14ac:dyDescent="0.25">
      <c r="A287" s="373">
        <v>23369</v>
      </c>
      <c r="B287" s="233" t="str">
        <f>VLOOKUP(Table8[[#This Row],[Document ID]],Table1[],2,FALSE)</f>
        <v>BFA</v>
      </c>
      <c r="C287" s="233" t="str">
        <f>VLOOKUP(Table8[[#This Row],[Document ID]],Table1[],3,FALSE)</f>
        <v>Burkina Faso</v>
      </c>
      <c r="D287" s="243" t="str">
        <f>VLOOKUP(Table8[[#This Row],[Document ID]],Table1[],5,FALSE)</f>
        <v>NDC</v>
      </c>
      <c r="E287" s="233" t="str">
        <f>VLOOKUP(Table8[[#This Row],[Document ID]],Table1[],7,FALSE)</f>
        <v>First NDC updated</v>
      </c>
      <c r="F287" s="233" t="str">
        <f>VLOOKUP(Table8[[#This Row],[Document ID]],Table1[],8,FALSE)</f>
        <v>NDC 1.1</v>
      </c>
      <c r="G287" s="233" t="str">
        <f>VLOOKUP(Table8[[#This Row],[Document ID]],Table1[],10,FALSE)</f>
        <v>Active</v>
      </c>
      <c r="H287" s="43" t="s">
        <v>2350</v>
      </c>
      <c r="I287" s="43" t="s">
        <v>2456</v>
      </c>
      <c r="J287" s="44" t="s">
        <v>2466</v>
      </c>
      <c r="K287" s="44" t="s">
        <v>2649</v>
      </c>
      <c r="L287" s="44" t="s">
        <v>2347</v>
      </c>
      <c r="M287" s="43" t="s">
        <v>2647</v>
      </c>
      <c r="N287" s="113"/>
      <c r="O287" s="113"/>
      <c r="P287" s="113"/>
      <c r="Q287" s="113"/>
      <c r="R287" s="113"/>
      <c r="S287" s="113"/>
      <c r="T287" s="113"/>
      <c r="U287" s="113"/>
      <c r="V287" s="113"/>
      <c r="W287" s="113"/>
      <c r="X287" s="113"/>
      <c r="Y287" s="113"/>
      <c r="Z287" s="113" t="s">
        <v>1113</v>
      </c>
      <c r="AA287" s="113"/>
      <c r="AB287" s="113"/>
      <c r="AC287" s="113"/>
      <c r="AD287" s="113"/>
      <c r="AE287" s="113"/>
      <c r="AF287" s="113"/>
      <c r="AG287" s="113"/>
      <c r="AH287" s="113"/>
      <c r="AI287" s="113"/>
      <c r="AJ287" s="113"/>
      <c r="AK287" s="113"/>
      <c r="AL287" s="113"/>
      <c r="AM287" s="113"/>
      <c r="AN287" s="113" t="s">
        <v>1113</v>
      </c>
      <c r="AO287" s="44" t="s">
        <v>2334</v>
      </c>
      <c r="AP287" s="43"/>
      <c r="AQ287" s="236" t="str">
        <f>VLOOKUP(Table8[[#This Row],[Instrument]],Def_Targets!$D$73:$E$159,2,FALSE)</f>
        <v>S_Infraexpansion</v>
      </c>
      <c r="AR287" s="233" t="str">
        <f>VLOOKUP(Table8[[#This Row],[Country Code]],Table29[],3,FALSE)</f>
        <v>Non-Annex I</v>
      </c>
      <c r="AS287" s="233" t="str">
        <f>VLOOKUP(Table8[[#This Row],[Country Code]],Table29[],4,FALSE)</f>
        <v>Africa</v>
      </c>
      <c r="AT287" s="233" t="str">
        <f>VLOOKUP(Table8[[#This Row],[Country Code]],Table29[],5,FALSE)</f>
        <v>Low-income</v>
      </c>
      <c r="AU287" s="233" t="str">
        <f>VLOOKUP(Table8[[#This Row],[Country Code]],Table29[],6,FALSE)</f>
        <v>no</v>
      </c>
      <c r="AV287" s="233" t="str">
        <f>VLOOKUP(Table8[[#This Row],[Country Code]],Table29[],7,FALSE)</f>
        <v>no</v>
      </c>
      <c r="AW287" s="233" t="str">
        <f>VLOOKUP(Table8[[#This Row],[Country Code]],Table29[],8,FALSE)</f>
        <v>non-OECD</v>
      </c>
      <c r="AX287" s="233" t="str">
        <f>VLOOKUP(Table8[[#This Row],[Country Code]],Table29[],9,FALSE)</f>
        <v>no</v>
      </c>
      <c r="AY287" s="233" t="str">
        <f>VLOOKUP(Table8[[#This Row],[Country Code]],Table29[],10,FALSE)</f>
        <v>no</v>
      </c>
      <c r="AZ287" s="235">
        <f>VLOOKUP(Table8[[#This Row],[Country Code]],Table29[],23,FALSE)</f>
        <v>34.456815083210998</v>
      </c>
      <c r="BA287" s="235">
        <f>VLOOKUP(Table8[[#This Row],[Country Code]],Table29[],24,FALSE)</f>
        <v>2.783932508886048</v>
      </c>
      <c r="BB287" s="320"/>
      <c r="BC287" s="320"/>
    </row>
    <row r="288" spans="1:55" s="17" customFormat="1" hidden="1" x14ac:dyDescent="0.25">
      <c r="A288" s="373">
        <v>23369</v>
      </c>
      <c r="B288" s="233" t="str">
        <f>VLOOKUP(Table8[[#This Row],[Document ID]],Table1[],2,FALSE)</f>
        <v>BFA</v>
      </c>
      <c r="C288" s="233" t="str">
        <f>VLOOKUP(Table8[[#This Row],[Document ID]],Table1[],3,FALSE)</f>
        <v>Burkina Faso</v>
      </c>
      <c r="D288" s="243" t="str">
        <f>VLOOKUP(Table8[[#This Row],[Document ID]],Table1[],5,FALSE)</f>
        <v>NDC</v>
      </c>
      <c r="E288" s="233" t="str">
        <f>VLOOKUP(Table8[[#This Row],[Document ID]],Table1[],7,FALSE)</f>
        <v>First NDC updated</v>
      </c>
      <c r="F288" s="233" t="str">
        <f>VLOOKUP(Table8[[#This Row],[Document ID]],Table1[],8,FALSE)</f>
        <v>NDC 1.1</v>
      </c>
      <c r="G288" s="233" t="str">
        <f>VLOOKUP(Table8[[#This Row],[Document ID]],Table1[],10,FALSE)</f>
        <v>Active</v>
      </c>
      <c r="H288" s="43" t="s">
        <v>2350</v>
      </c>
      <c r="I288" s="43" t="s">
        <v>2456</v>
      </c>
      <c r="J288" s="44" t="s">
        <v>2457</v>
      </c>
      <c r="K288" s="44" t="s">
        <v>2650</v>
      </c>
      <c r="L288" s="44" t="s">
        <v>2333</v>
      </c>
      <c r="M288" s="43" t="s">
        <v>2647</v>
      </c>
      <c r="N288" s="113"/>
      <c r="O288" s="113"/>
      <c r="P288" s="113"/>
      <c r="Q288" s="113"/>
      <c r="R288" s="113"/>
      <c r="S288" s="113"/>
      <c r="T288" s="113"/>
      <c r="U288" s="113"/>
      <c r="V288" s="113"/>
      <c r="W288" s="113"/>
      <c r="X288" s="113"/>
      <c r="Y288" s="113"/>
      <c r="Z288" s="113" t="s">
        <v>1113</v>
      </c>
      <c r="AA288" s="113"/>
      <c r="AB288" s="113"/>
      <c r="AC288" s="113"/>
      <c r="AD288" s="113"/>
      <c r="AE288" s="113"/>
      <c r="AF288" s="113"/>
      <c r="AG288" s="113"/>
      <c r="AH288" s="113"/>
      <c r="AI288" s="113"/>
      <c r="AJ288" s="113"/>
      <c r="AK288" s="113"/>
      <c r="AL288" s="113"/>
      <c r="AM288" s="113" t="s">
        <v>1113</v>
      </c>
      <c r="AN288" s="113"/>
      <c r="AO288" s="44" t="s">
        <v>2334</v>
      </c>
      <c r="AP288" s="43"/>
      <c r="AQ288" s="236" t="str">
        <f>VLOOKUP(Table8[[#This Row],[Instrument]],Def_Targets!$D$73:$E$159,2,FALSE)</f>
        <v>S_Infraimprove</v>
      </c>
      <c r="AR288" s="233" t="str">
        <f>VLOOKUP(Table8[[#This Row],[Country Code]],Table29[],3,FALSE)</f>
        <v>Non-Annex I</v>
      </c>
      <c r="AS288" s="233" t="str">
        <f>VLOOKUP(Table8[[#This Row],[Country Code]],Table29[],4,FALSE)</f>
        <v>Africa</v>
      </c>
      <c r="AT288" s="233" t="str">
        <f>VLOOKUP(Table8[[#This Row],[Country Code]],Table29[],5,FALSE)</f>
        <v>Low-income</v>
      </c>
      <c r="AU288" s="233" t="str">
        <f>VLOOKUP(Table8[[#This Row],[Country Code]],Table29[],6,FALSE)</f>
        <v>no</v>
      </c>
      <c r="AV288" s="233" t="str">
        <f>VLOOKUP(Table8[[#This Row],[Country Code]],Table29[],7,FALSE)</f>
        <v>no</v>
      </c>
      <c r="AW288" s="233" t="str">
        <f>VLOOKUP(Table8[[#This Row],[Country Code]],Table29[],8,FALSE)</f>
        <v>non-OECD</v>
      </c>
      <c r="AX288" s="233" t="str">
        <f>VLOOKUP(Table8[[#This Row],[Country Code]],Table29[],9,FALSE)</f>
        <v>no</v>
      </c>
      <c r="AY288" s="233" t="str">
        <f>VLOOKUP(Table8[[#This Row],[Country Code]],Table29[],10,FALSE)</f>
        <v>no</v>
      </c>
      <c r="AZ288" s="235">
        <f>VLOOKUP(Table8[[#This Row],[Country Code]],Table29[],23,FALSE)</f>
        <v>34.456815083210998</v>
      </c>
      <c r="BA288" s="235">
        <f>VLOOKUP(Table8[[#This Row],[Country Code]],Table29[],24,FALSE)</f>
        <v>2.783932508886048</v>
      </c>
      <c r="BB288" s="320"/>
      <c r="BC288" s="320"/>
    </row>
    <row r="289" spans="1:55" s="17" customFormat="1" hidden="1" x14ac:dyDescent="0.25">
      <c r="A289" s="373">
        <v>23369</v>
      </c>
      <c r="B289" s="233" t="str">
        <f>VLOOKUP(Table8[[#This Row],[Document ID]],Table1[],2,FALSE)</f>
        <v>BFA</v>
      </c>
      <c r="C289" s="233" t="str">
        <f>VLOOKUP(Table8[[#This Row],[Document ID]],Table1[],3,FALSE)</f>
        <v>Burkina Faso</v>
      </c>
      <c r="D289" s="243" t="str">
        <f>VLOOKUP(Table8[[#This Row],[Document ID]],Table1[],5,FALSE)</f>
        <v>NDC</v>
      </c>
      <c r="E289" s="233" t="str">
        <f>VLOOKUP(Table8[[#This Row],[Document ID]],Table1[],7,FALSE)</f>
        <v>First NDC updated</v>
      </c>
      <c r="F289" s="233" t="str">
        <f>VLOOKUP(Table8[[#This Row],[Document ID]],Table1[],8,FALSE)</f>
        <v>NDC 1.1</v>
      </c>
      <c r="G289" s="233" t="str">
        <f>VLOOKUP(Table8[[#This Row],[Document ID]],Table1[],10,FALSE)</f>
        <v>Active</v>
      </c>
      <c r="H289" s="43" t="s">
        <v>2343</v>
      </c>
      <c r="I289" s="43" t="s">
        <v>2377</v>
      </c>
      <c r="J289" s="44" t="s">
        <v>2394</v>
      </c>
      <c r="K289" s="44" t="s">
        <v>2651</v>
      </c>
      <c r="L289" s="44" t="s">
        <v>2347</v>
      </c>
      <c r="M289" s="43" t="s">
        <v>2647</v>
      </c>
      <c r="N289" s="113" t="s">
        <v>1113</v>
      </c>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t="s">
        <v>1113</v>
      </c>
      <c r="AM289" s="113"/>
      <c r="AN289" s="113"/>
      <c r="AO289" s="44" t="s">
        <v>2334</v>
      </c>
      <c r="AP289" s="43"/>
      <c r="AQ289" s="236" t="str">
        <f>VLOOKUP(Table8[[#This Row],[Instrument]],Def_Targets!$D$73:$E$159,2,FALSE)</f>
        <v>A_TDM</v>
      </c>
      <c r="AR289" s="233" t="str">
        <f>VLOOKUP(Table8[[#This Row],[Country Code]],Table29[],3,FALSE)</f>
        <v>Non-Annex I</v>
      </c>
      <c r="AS289" s="233" t="str">
        <f>VLOOKUP(Table8[[#This Row],[Country Code]],Table29[],4,FALSE)</f>
        <v>Africa</v>
      </c>
      <c r="AT289" s="233" t="str">
        <f>VLOOKUP(Table8[[#This Row],[Country Code]],Table29[],5,FALSE)</f>
        <v>Low-income</v>
      </c>
      <c r="AU289" s="233" t="str">
        <f>VLOOKUP(Table8[[#This Row],[Country Code]],Table29[],6,FALSE)</f>
        <v>no</v>
      </c>
      <c r="AV289" s="233" t="str">
        <f>VLOOKUP(Table8[[#This Row],[Country Code]],Table29[],7,FALSE)</f>
        <v>no</v>
      </c>
      <c r="AW289" s="233" t="str">
        <f>VLOOKUP(Table8[[#This Row],[Country Code]],Table29[],8,FALSE)</f>
        <v>non-OECD</v>
      </c>
      <c r="AX289" s="233" t="str">
        <f>VLOOKUP(Table8[[#This Row],[Country Code]],Table29[],9,FALSE)</f>
        <v>no</v>
      </c>
      <c r="AY289" s="233" t="str">
        <f>VLOOKUP(Table8[[#This Row],[Country Code]],Table29[],10,FALSE)</f>
        <v>no</v>
      </c>
      <c r="AZ289" s="235">
        <f>VLOOKUP(Table8[[#This Row],[Country Code]],Table29[],23,FALSE)</f>
        <v>34.456815083210998</v>
      </c>
      <c r="BA289" s="235">
        <f>VLOOKUP(Table8[[#This Row],[Country Code]],Table29[],24,FALSE)</f>
        <v>2.783932508886048</v>
      </c>
      <c r="BB289" s="320"/>
      <c r="BC289" s="320"/>
    </row>
    <row r="290" spans="1:55" s="17" customFormat="1" hidden="1" x14ac:dyDescent="0.25">
      <c r="A290" s="373">
        <v>23369</v>
      </c>
      <c r="B290" s="233" t="str">
        <f>VLOOKUP(Table8[[#This Row],[Document ID]],Table1[],2,FALSE)</f>
        <v>BFA</v>
      </c>
      <c r="C290" s="233" t="str">
        <f>VLOOKUP(Table8[[#This Row],[Document ID]],Table1[],3,FALSE)</f>
        <v>Burkina Faso</v>
      </c>
      <c r="D290" s="243" t="str">
        <f>VLOOKUP(Table8[[#This Row],[Document ID]],Table1[],5,FALSE)</f>
        <v>NDC</v>
      </c>
      <c r="E290" s="233" t="str">
        <f>VLOOKUP(Table8[[#This Row],[Document ID]],Table1[],7,FALSE)</f>
        <v>First NDC updated</v>
      </c>
      <c r="F290" s="233" t="str">
        <f>VLOOKUP(Table8[[#This Row],[Document ID]],Table1[],8,FALSE)</f>
        <v>NDC 1.1</v>
      </c>
      <c r="G290" s="233" t="str">
        <f>VLOOKUP(Table8[[#This Row],[Document ID]],Table1[],10,FALSE)</f>
        <v>Active</v>
      </c>
      <c r="H290" s="43" t="s">
        <v>2350</v>
      </c>
      <c r="I290" s="43" t="s">
        <v>2456</v>
      </c>
      <c r="J290" s="44" t="s">
        <v>2466</v>
      </c>
      <c r="K290" s="44" t="s">
        <v>2652</v>
      </c>
      <c r="L290" s="44" t="s">
        <v>2347</v>
      </c>
      <c r="M290" s="43" t="s">
        <v>2647</v>
      </c>
      <c r="N290" s="113"/>
      <c r="O290" s="113"/>
      <c r="P290" s="113"/>
      <c r="Q290" s="113"/>
      <c r="R290" s="113"/>
      <c r="S290" s="113"/>
      <c r="T290" s="113"/>
      <c r="U290" s="113"/>
      <c r="V290" s="113"/>
      <c r="W290" s="113"/>
      <c r="X290" s="113"/>
      <c r="Y290" s="113"/>
      <c r="Z290" s="113" t="s">
        <v>1113</v>
      </c>
      <c r="AA290" s="113"/>
      <c r="AB290" s="113"/>
      <c r="AC290" s="113"/>
      <c r="AD290" s="113"/>
      <c r="AE290" s="113"/>
      <c r="AF290" s="113"/>
      <c r="AG290" s="113"/>
      <c r="AH290" s="113"/>
      <c r="AI290" s="113"/>
      <c r="AJ290" s="113"/>
      <c r="AK290" s="113" t="s">
        <v>1113</v>
      </c>
      <c r="AL290" s="113"/>
      <c r="AM290" s="113"/>
      <c r="AN290" s="113"/>
      <c r="AO290" s="44" t="s">
        <v>2334</v>
      </c>
      <c r="AP290" s="43"/>
      <c r="AQ290" s="236" t="str">
        <f>VLOOKUP(Table8[[#This Row],[Instrument]],Def_Targets!$D$73:$E$159,2,FALSE)</f>
        <v>S_Infraexpansion</v>
      </c>
      <c r="AR290" s="233" t="str">
        <f>VLOOKUP(Table8[[#This Row],[Country Code]],Table29[],3,FALSE)</f>
        <v>Non-Annex I</v>
      </c>
      <c r="AS290" s="233" t="str">
        <f>VLOOKUP(Table8[[#This Row],[Country Code]],Table29[],4,FALSE)</f>
        <v>Africa</v>
      </c>
      <c r="AT290" s="233" t="str">
        <f>VLOOKUP(Table8[[#This Row],[Country Code]],Table29[],5,FALSE)</f>
        <v>Low-income</v>
      </c>
      <c r="AU290" s="233" t="str">
        <f>VLOOKUP(Table8[[#This Row],[Country Code]],Table29[],6,FALSE)</f>
        <v>no</v>
      </c>
      <c r="AV290" s="233" t="str">
        <f>VLOOKUP(Table8[[#This Row],[Country Code]],Table29[],7,FALSE)</f>
        <v>no</v>
      </c>
      <c r="AW290" s="233" t="str">
        <f>VLOOKUP(Table8[[#This Row],[Country Code]],Table29[],8,FALSE)</f>
        <v>non-OECD</v>
      </c>
      <c r="AX290" s="233" t="str">
        <f>VLOOKUP(Table8[[#This Row],[Country Code]],Table29[],9,FALSE)</f>
        <v>no</v>
      </c>
      <c r="AY290" s="233" t="str">
        <f>VLOOKUP(Table8[[#This Row],[Country Code]],Table29[],10,FALSE)</f>
        <v>no</v>
      </c>
      <c r="AZ290" s="235">
        <f>VLOOKUP(Table8[[#This Row],[Country Code]],Table29[],23,FALSE)</f>
        <v>34.456815083210998</v>
      </c>
      <c r="BA290" s="235">
        <f>VLOOKUP(Table8[[#This Row],[Country Code]],Table29[],24,FALSE)</f>
        <v>2.783932508886048</v>
      </c>
      <c r="BB290" s="320"/>
      <c r="BC290" s="320"/>
    </row>
    <row r="291" spans="1:55" s="17" customFormat="1" ht="30" hidden="1" x14ac:dyDescent="0.25">
      <c r="A291" s="373">
        <v>23369</v>
      </c>
      <c r="B291" s="233" t="str">
        <f>VLOOKUP(Table8[[#This Row],[Document ID]],Table1[],2,FALSE)</f>
        <v>BFA</v>
      </c>
      <c r="C291" s="233" t="str">
        <f>VLOOKUP(Table8[[#This Row],[Document ID]],Table1[],3,FALSE)</f>
        <v>Burkina Faso</v>
      </c>
      <c r="D291" s="243" t="str">
        <f>VLOOKUP(Table8[[#This Row],[Document ID]],Table1[],5,FALSE)</f>
        <v>NDC</v>
      </c>
      <c r="E291" s="233" t="str">
        <f>VLOOKUP(Table8[[#This Row],[Document ID]],Table1[],7,FALSE)</f>
        <v>First NDC updated</v>
      </c>
      <c r="F291" s="233" t="str">
        <f>VLOOKUP(Table8[[#This Row],[Document ID]],Table1[],8,FALSE)</f>
        <v>NDC 1.1</v>
      </c>
      <c r="G291" s="233" t="str">
        <f>VLOOKUP(Table8[[#This Row],[Document ID]],Table1[],10,FALSE)</f>
        <v>Active</v>
      </c>
      <c r="H291" s="43" t="s">
        <v>2350</v>
      </c>
      <c r="I291" s="43" t="s">
        <v>2456</v>
      </c>
      <c r="J291" s="44" t="s">
        <v>2466</v>
      </c>
      <c r="K291" s="44" t="s">
        <v>2653</v>
      </c>
      <c r="L291" s="44" t="s">
        <v>2333</v>
      </c>
      <c r="M291" s="43" t="s">
        <v>2647</v>
      </c>
      <c r="N291" s="113"/>
      <c r="O291" s="113"/>
      <c r="P291" s="113"/>
      <c r="Q291" s="113"/>
      <c r="R291" s="113"/>
      <c r="S291" s="113"/>
      <c r="T291" s="113"/>
      <c r="U291" s="113"/>
      <c r="V291" s="113"/>
      <c r="W291" s="113"/>
      <c r="X291" s="113"/>
      <c r="Y291" s="113"/>
      <c r="Z291" s="113" t="s">
        <v>1113</v>
      </c>
      <c r="AA291" s="113"/>
      <c r="AB291" s="113"/>
      <c r="AC291" s="113"/>
      <c r="AD291" s="113"/>
      <c r="AE291" s="113"/>
      <c r="AF291" s="113"/>
      <c r="AG291" s="113"/>
      <c r="AH291" s="113"/>
      <c r="AI291" s="113"/>
      <c r="AJ291" s="113"/>
      <c r="AK291" s="113" t="s">
        <v>1113</v>
      </c>
      <c r="AL291" s="113"/>
      <c r="AM291" s="113"/>
      <c r="AN291" s="113"/>
      <c r="AO291" s="44" t="s">
        <v>2334</v>
      </c>
      <c r="AP291" s="43"/>
      <c r="AQ291" s="236" t="str">
        <f>VLOOKUP(Table8[[#This Row],[Instrument]],Def_Targets!$D$73:$E$159,2,FALSE)</f>
        <v>S_Infraexpansion</v>
      </c>
      <c r="AR291" s="233" t="str">
        <f>VLOOKUP(Table8[[#This Row],[Country Code]],Table29[],3,FALSE)</f>
        <v>Non-Annex I</v>
      </c>
      <c r="AS291" s="233" t="str">
        <f>VLOOKUP(Table8[[#This Row],[Country Code]],Table29[],4,FALSE)</f>
        <v>Africa</v>
      </c>
      <c r="AT291" s="233" t="str">
        <f>VLOOKUP(Table8[[#This Row],[Country Code]],Table29[],5,FALSE)</f>
        <v>Low-income</v>
      </c>
      <c r="AU291" s="233" t="str">
        <f>VLOOKUP(Table8[[#This Row],[Country Code]],Table29[],6,FALSE)</f>
        <v>no</v>
      </c>
      <c r="AV291" s="233" t="str">
        <f>VLOOKUP(Table8[[#This Row],[Country Code]],Table29[],7,FALSE)</f>
        <v>no</v>
      </c>
      <c r="AW291" s="233" t="str">
        <f>VLOOKUP(Table8[[#This Row],[Country Code]],Table29[],8,FALSE)</f>
        <v>non-OECD</v>
      </c>
      <c r="AX291" s="233" t="str">
        <f>VLOOKUP(Table8[[#This Row],[Country Code]],Table29[],9,FALSE)</f>
        <v>no</v>
      </c>
      <c r="AY291" s="233" t="str">
        <f>VLOOKUP(Table8[[#This Row],[Country Code]],Table29[],10,FALSE)</f>
        <v>no</v>
      </c>
      <c r="AZ291" s="235">
        <f>VLOOKUP(Table8[[#This Row],[Country Code]],Table29[],23,FALSE)</f>
        <v>34.456815083210998</v>
      </c>
      <c r="BA291" s="235">
        <f>VLOOKUP(Table8[[#This Row],[Country Code]],Table29[],24,FALSE)</f>
        <v>2.783932508886048</v>
      </c>
      <c r="BB291" s="320"/>
      <c r="BC291" s="320"/>
    </row>
    <row r="292" spans="1:55" ht="30" hidden="1" x14ac:dyDescent="0.25">
      <c r="A292" s="373">
        <v>17544</v>
      </c>
      <c r="B292" s="233" t="str">
        <f>VLOOKUP(Table8[[#This Row],[Document ID]],Table1[],2,FALSE)</f>
        <v>BDI</v>
      </c>
      <c r="C292" s="233" t="str">
        <f>VLOOKUP(Table8[[#This Row],[Document ID]],Table1[],3,FALSE)</f>
        <v>Burundi</v>
      </c>
      <c r="D292" s="243" t="str">
        <f>VLOOKUP(Table8[[#This Row],[Document ID]],Table1[],5,FALSE)</f>
        <v>NDC</v>
      </c>
      <c r="E292" s="233" t="str">
        <f>VLOOKUP(Table8[[#This Row],[Document ID]],Table1[],7,FALSE)</f>
        <v>First NDC</v>
      </c>
      <c r="F292" s="236" t="str">
        <f>VLOOKUP(Table8[[#This Row],[Document ID]],Table1[],8,FALSE)</f>
        <v>NDC 1.0</v>
      </c>
      <c r="G292" s="236" t="str">
        <f>VLOOKUP(Table8[[#This Row],[Document ID]],Table1[],10,FALSE)</f>
        <v>Archived</v>
      </c>
      <c r="H292" s="43" t="s">
        <v>2343</v>
      </c>
      <c r="I292" s="43" t="s">
        <v>2344</v>
      </c>
      <c r="J292" s="44" t="s">
        <v>2345</v>
      </c>
      <c r="K292" s="44" t="s">
        <v>2654</v>
      </c>
      <c r="L292" s="44" t="s">
        <v>2471</v>
      </c>
      <c r="M292" s="43"/>
      <c r="N292" s="113" t="s">
        <v>1113</v>
      </c>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c r="AJ292" s="113"/>
      <c r="AK292" s="319"/>
      <c r="AL292" s="113" t="s">
        <v>1113</v>
      </c>
      <c r="AM292" s="319"/>
      <c r="AN292" s="319"/>
      <c r="AO292" s="43" t="s">
        <v>2348</v>
      </c>
      <c r="AP292" s="44"/>
      <c r="AQ292" s="236" t="str">
        <f>VLOOKUP(Table8[[#This Row],[Instrument]],Def_Targets!$D$73:$E$159,2,FALSE)</f>
        <v>S_PublicTransport</v>
      </c>
      <c r="AR292" s="233" t="str">
        <f>VLOOKUP(Table8[[#This Row],[Country Code]],Table29[],3,FALSE)</f>
        <v>Non-Annex I</v>
      </c>
      <c r="AS292" s="233" t="str">
        <f>VLOOKUP(Table8[[#This Row],[Country Code]],Table29[],4,FALSE)</f>
        <v>Africa</v>
      </c>
      <c r="AT292" s="233" t="str">
        <f>VLOOKUP(Table8[[#This Row],[Country Code]],Table29[],5,FALSE)</f>
        <v>Low-income</v>
      </c>
      <c r="AU292" s="233" t="str">
        <f>VLOOKUP(Table8[[#This Row],[Country Code]],Table29[],6,FALSE)</f>
        <v>no</v>
      </c>
      <c r="AV292" s="233" t="str">
        <f>VLOOKUP(Table8[[#This Row],[Country Code]],Table29[],7,FALSE)</f>
        <v>no</v>
      </c>
      <c r="AW292" s="233" t="str">
        <f>VLOOKUP(Table8[[#This Row],[Country Code]],Table29[],8,FALSE)</f>
        <v>non-OECD</v>
      </c>
      <c r="AX292" s="233" t="str">
        <f>VLOOKUP(Table8[[#This Row],[Country Code]],Table29[],9,FALSE)</f>
        <v>no</v>
      </c>
      <c r="AY292" s="233" t="str">
        <f>VLOOKUP(Table8[[#This Row],[Country Code]],Table29[],10,FALSE)</f>
        <v>no</v>
      </c>
      <c r="AZ292" s="235">
        <f>VLOOKUP(Table8[[#This Row],[Country Code]],Table29[],23,FALSE)</f>
        <v>7.0491399156994001</v>
      </c>
      <c r="BA292" s="235">
        <f>VLOOKUP(Table8[[#This Row],[Country Code]],Table29[],24,FALSE)</f>
        <v>0.4150090900095818</v>
      </c>
      <c r="BB292" s="320"/>
      <c r="BC292" s="320"/>
    </row>
    <row r="293" spans="1:55" ht="45" hidden="1" x14ac:dyDescent="0.25">
      <c r="A293" s="373">
        <v>23247</v>
      </c>
      <c r="B293" s="233" t="str">
        <f>VLOOKUP(Table8[[#This Row],[Document ID]],Table1[],2,FALSE)</f>
        <v>BDI</v>
      </c>
      <c r="C293" s="233" t="str">
        <f>VLOOKUP(Table8[[#This Row],[Document ID]],Table1[],3,FALSE)</f>
        <v>Burundi</v>
      </c>
      <c r="D293" s="243" t="str">
        <f>VLOOKUP(Table8[[#This Row],[Document ID]],Table1[],5,FALSE)</f>
        <v>NDC</v>
      </c>
      <c r="E293" s="233" t="str">
        <f>VLOOKUP(Table8[[#This Row],[Document ID]],Table1[],7,FALSE)</f>
        <v>First NDC updated</v>
      </c>
      <c r="F293" s="233" t="str">
        <f>VLOOKUP(Table8[[#This Row],[Document ID]],Table1[],8,FALSE)</f>
        <v>NDC 1.1</v>
      </c>
      <c r="G293" s="233" t="str">
        <f>VLOOKUP(Table8[[#This Row],[Document ID]],Table1[],10,FALSE)</f>
        <v>Active</v>
      </c>
      <c r="H293" s="43" t="s">
        <v>2358</v>
      </c>
      <c r="I293" s="43" t="s">
        <v>2359</v>
      </c>
      <c r="J293" s="44" t="s">
        <v>2360</v>
      </c>
      <c r="K293" s="44" t="s">
        <v>2655</v>
      </c>
      <c r="L293" s="44" t="s">
        <v>2333</v>
      </c>
      <c r="M293" s="43">
        <v>42</v>
      </c>
      <c r="N293" s="113" t="s">
        <v>1113</v>
      </c>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t="s">
        <v>1113</v>
      </c>
      <c r="AL293" s="113"/>
      <c r="AM293" s="113"/>
      <c r="AN293" s="113"/>
      <c r="AO293" s="44" t="s">
        <v>2334</v>
      </c>
      <c r="AP293" s="43"/>
      <c r="AQ293" s="236" t="str">
        <f>VLOOKUP(Table8[[#This Row],[Instrument]],Def_Targets!$D$73:$E$159,2,FALSE)</f>
        <v>I_Emobility</v>
      </c>
      <c r="AR293" s="233" t="str">
        <f>VLOOKUP(Table8[[#This Row],[Country Code]],Table29[],3,FALSE)</f>
        <v>Non-Annex I</v>
      </c>
      <c r="AS293" s="233" t="str">
        <f>VLOOKUP(Table8[[#This Row],[Country Code]],Table29[],4,FALSE)</f>
        <v>Africa</v>
      </c>
      <c r="AT293" s="233" t="str">
        <f>VLOOKUP(Table8[[#This Row],[Country Code]],Table29[],5,FALSE)</f>
        <v>Low-income</v>
      </c>
      <c r="AU293" s="233" t="str">
        <f>VLOOKUP(Table8[[#This Row],[Country Code]],Table29[],6,FALSE)</f>
        <v>no</v>
      </c>
      <c r="AV293" s="233" t="str">
        <f>VLOOKUP(Table8[[#This Row],[Country Code]],Table29[],7,FALSE)</f>
        <v>no</v>
      </c>
      <c r="AW293" s="233" t="str">
        <f>VLOOKUP(Table8[[#This Row],[Country Code]],Table29[],8,FALSE)</f>
        <v>non-OECD</v>
      </c>
      <c r="AX293" s="233" t="str">
        <f>VLOOKUP(Table8[[#This Row],[Country Code]],Table29[],9,FALSE)</f>
        <v>no</v>
      </c>
      <c r="AY293" s="233" t="str">
        <f>VLOOKUP(Table8[[#This Row],[Country Code]],Table29[],10,FALSE)</f>
        <v>no</v>
      </c>
      <c r="AZ293" s="235">
        <f>VLOOKUP(Table8[[#This Row],[Country Code]],Table29[],23,FALSE)</f>
        <v>7.0491399156994001</v>
      </c>
      <c r="BA293" s="235">
        <f>VLOOKUP(Table8[[#This Row],[Country Code]],Table29[],24,FALSE)</f>
        <v>0.4150090900095818</v>
      </c>
      <c r="BB293" s="320"/>
      <c r="BC293" s="320"/>
    </row>
    <row r="294" spans="1:55" ht="45" hidden="1" x14ac:dyDescent="0.25">
      <c r="A294" s="373">
        <v>23247</v>
      </c>
      <c r="B294" s="233" t="str">
        <f>VLOOKUP(Table8[[#This Row],[Document ID]],Table1[],2,FALSE)</f>
        <v>BDI</v>
      </c>
      <c r="C294" s="233" t="str">
        <f>VLOOKUP(Table8[[#This Row],[Document ID]],Table1[],3,FALSE)</f>
        <v>Burundi</v>
      </c>
      <c r="D294" s="243" t="str">
        <f>VLOOKUP(Table8[[#This Row],[Document ID]],Table1[],5,FALSE)</f>
        <v>NDC</v>
      </c>
      <c r="E294" s="233" t="str">
        <f>VLOOKUP(Table8[[#This Row],[Document ID]],Table1[],7,FALSE)</f>
        <v>First NDC updated</v>
      </c>
      <c r="F294" s="233" t="str">
        <f>VLOOKUP(Table8[[#This Row],[Document ID]],Table1[],8,FALSE)</f>
        <v>NDC 1.1</v>
      </c>
      <c r="G294" s="233" t="str">
        <f>VLOOKUP(Table8[[#This Row],[Document ID]],Table1[],10,FALSE)</f>
        <v>Active</v>
      </c>
      <c r="H294" s="43" t="s">
        <v>2343</v>
      </c>
      <c r="I294" s="43" t="s">
        <v>2361</v>
      </c>
      <c r="J294" s="44" t="s">
        <v>2366</v>
      </c>
      <c r="K294" s="44" t="s">
        <v>2655</v>
      </c>
      <c r="L294" s="44" t="s">
        <v>2347</v>
      </c>
      <c r="M294" s="43">
        <v>42</v>
      </c>
      <c r="N294" s="113"/>
      <c r="O294" s="113"/>
      <c r="P294" s="113"/>
      <c r="Q294" s="113" t="s">
        <v>1113</v>
      </c>
      <c r="R294" s="113" t="s">
        <v>1113</v>
      </c>
      <c r="S294" s="113"/>
      <c r="T294" s="113"/>
      <c r="U294" s="113"/>
      <c r="V294" s="113"/>
      <c r="W294" s="113"/>
      <c r="X294" s="113"/>
      <c r="Y294" s="113"/>
      <c r="Z294" s="113"/>
      <c r="AA294" s="113"/>
      <c r="AB294" s="113"/>
      <c r="AC294" s="113"/>
      <c r="AD294" s="113"/>
      <c r="AE294" s="113"/>
      <c r="AF294" s="113"/>
      <c r="AG294" s="113"/>
      <c r="AH294" s="113"/>
      <c r="AI294" s="113"/>
      <c r="AJ294" s="113"/>
      <c r="AK294" s="113" t="s">
        <v>1113</v>
      </c>
      <c r="AL294" s="113"/>
      <c r="AM294" s="113"/>
      <c r="AN294" s="113"/>
      <c r="AO294" s="44" t="s">
        <v>2334</v>
      </c>
      <c r="AP294" s="43"/>
      <c r="AQ294" s="236" t="str">
        <f>VLOOKUP(Table8[[#This Row],[Instrument]],Def_Targets!$D$73:$E$159,2,FALSE)</f>
        <v>S_Activemobility</v>
      </c>
      <c r="AR294" s="233" t="str">
        <f>VLOOKUP(Table8[[#This Row],[Country Code]],Table29[],3,FALSE)</f>
        <v>Non-Annex I</v>
      </c>
      <c r="AS294" s="233" t="str">
        <f>VLOOKUP(Table8[[#This Row],[Country Code]],Table29[],4,FALSE)</f>
        <v>Africa</v>
      </c>
      <c r="AT294" s="233" t="str">
        <f>VLOOKUP(Table8[[#This Row],[Country Code]],Table29[],5,FALSE)</f>
        <v>Low-income</v>
      </c>
      <c r="AU294" s="233" t="str">
        <f>VLOOKUP(Table8[[#This Row],[Country Code]],Table29[],6,FALSE)</f>
        <v>no</v>
      </c>
      <c r="AV294" s="233" t="str">
        <f>VLOOKUP(Table8[[#This Row],[Country Code]],Table29[],7,FALSE)</f>
        <v>no</v>
      </c>
      <c r="AW294" s="233" t="str">
        <f>VLOOKUP(Table8[[#This Row],[Country Code]],Table29[],8,FALSE)</f>
        <v>non-OECD</v>
      </c>
      <c r="AX294" s="233" t="str">
        <f>VLOOKUP(Table8[[#This Row],[Country Code]],Table29[],9,FALSE)</f>
        <v>no</v>
      </c>
      <c r="AY294" s="233" t="str">
        <f>VLOOKUP(Table8[[#This Row],[Country Code]],Table29[],10,FALSE)</f>
        <v>no</v>
      </c>
      <c r="AZ294" s="235">
        <f>VLOOKUP(Table8[[#This Row],[Country Code]],Table29[],23,FALSE)</f>
        <v>7.0491399156994001</v>
      </c>
      <c r="BA294" s="235">
        <f>VLOOKUP(Table8[[#This Row],[Country Code]],Table29[],24,FALSE)</f>
        <v>0.4150090900095818</v>
      </c>
      <c r="BB294" s="320"/>
      <c r="BC294" s="320"/>
    </row>
    <row r="295" spans="1:55" ht="30" hidden="1" x14ac:dyDescent="0.25">
      <c r="A295" s="373">
        <v>23247</v>
      </c>
      <c r="B295" s="233" t="str">
        <f>VLOOKUP(Table8[[#This Row],[Document ID]],Table1[],2,FALSE)</f>
        <v>BDI</v>
      </c>
      <c r="C295" s="233" t="str">
        <f>VLOOKUP(Table8[[#This Row],[Document ID]],Table1[],3,FALSE)</f>
        <v>Burundi</v>
      </c>
      <c r="D295" s="243" t="str">
        <f>VLOOKUP(Table8[[#This Row],[Document ID]],Table1[],5,FALSE)</f>
        <v>NDC</v>
      </c>
      <c r="E295" s="233" t="str">
        <f>VLOOKUP(Table8[[#This Row],[Document ID]],Table1[],7,FALSE)</f>
        <v>First NDC updated</v>
      </c>
      <c r="F295" s="233" t="str">
        <f>VLOOKUP(Table8[[#This Row],[Document ID]],Table1[],8,FALSE)</f>
        <v>NDC 1.1</v>
      </c>
      <c r="G295" s="233" t="str">
        <f>VLOOKUP(Table8[[#This Row],[Document ID]],Table1[],10,FALSE)</f>
        <v>Active</v>
      </c>
      <c r="H295" s="43" t="s">
        <v>2343</v>
      </c>
      <c r="I295" s="43" t="s">
        <v>2344</v>
      </c>
      <c r="J295" s="44" t="s">
        <v>2345</v>
      </c>
      <c r="K295" s="44" t="s">
        <v>2656</v>
      </c>
      <c r="L295" s="44" t="s">
        <v>2471</v>
      </c>
      <c r="M295" s="43">
        <v>42</v>
      </c>
      <c r="N295" s="113"/>
      <c r="O295" s="113"/>
      <c r="P295" s="113"/>
      <c r="Q295" s="113"/>
      <c r="R295" s="113"/>
      <c r="S295" s="113"/>
      <c r="T295" s="113"/>
      <c r="U295" s="113"/>
      <c r="V295" s="113"/>
      <c r="W295" s="113"/>
      <c r="X295" s="113"/>
      <c r="Y295" s="113" t="s">
        <v>1113</v>
      </c>
      <c r="Z295" s="113"/>
      <c r="AA295" s="113"/>
      <c r="AB295" s="113"/>
      <c r="AC295" s="113"/>
      <c r="AD295" s="113"/>
      <c r="AE295" s="113"/>
      <c r="AF295" s="113"/>
      <c r="AG295" s="113"/>
      <c r="AH295" s="113"/>
      <c r="AI295" s="113"/>
      <c r="AJ295" s="113"/>
      <c r="AK295" s="113" t="s">
        <v>1113</v>
      </c>
      <c r="AL295" s="113"/>
      <c r="AM295" s="113"/>
      <c r="AN295" s="113"/>
      <c r="AO295" s="43" t="s">
        <v>2348</v>
      </c>
      <c r="AP295" s="43"/>
      <c r="AQ295" s="236" t="str">
        <f>VLOOKUP(Table8[[#This Row],[Instrument]],Def_Targets!$D$73:$E$159,2,FALSE)</f>
        <v>S_PublicTransport</v>
      </c>
      <c r="AR295" s="233" t="str">
        <f>VLOOKUP(Table8[[#This Row],[Country Code]],Table29[],3,FALSE)</f>
        <v>Non-Annex I</v>
      </c>
      <c r="AS295" s="233" t="str">
        <f>VLOOKUP(Table8[[#This Row],[Country Code]],Table29[],4,FALSE)</f>
        <v>Africa</v>
      </c>
      <c r="AT295" s="233" t="str">
        <f>VLOOKUP(Table8[[#This Row],[Country Code]],Table29[],5,FALSE)</f>
        <v>Low-income</v>
      </c>
      <c r="AU295" s="233" t="str">
        <f>VLOOKUP(Table8[[#This Row],[Country Code]],Table29[],6,FALSE)</f>
        <v>no</v>
      </c>
      <c r="AV295" s="233" t="str">
        <f>VLOOKUP(Table8[[#This Row],[Country Code]],Table29[],7,FALSE)</f>
        <v>no</v>
      </c>
      <c r="AW295" s="233" t="str">
        <f>VLOOKUP(Table8[[#This Row],[Country Code]],Table29[],8,FALSE)</f>
        <v>non-OECD</v>
      </c>
      <c r="AX295" s="233" t="str">
        <f>VLOOKUP(Table8[[#This Row],[Country Code]],Table29[],9,FALSE)</f>
        <v>no</v>
      </c>
      <c r="AY295" s="233" t="str">
        <f>VLOOKUP(Table8[[#This Row],[Country Code]],Table29[],10,FALSE)</f>
        <v>no</v>
      </c>
      <c r="AZ295" s="235">
        <f>VLOOKUP(Table8[[#This Row],[Country Code]],Table29[],23,FALSE)</f>
        <v>7.0491399156994001</v>
      </c>
      <c r="BA295" s="235">
        <f>VLOOKUP(Table8[[#This Row],[Country Code]],Table29[],24,FALSE)</f>
        <v>0.4150090900095818</v>
      </c>
      <c r="BB295" s="320"/>
      <c r="BC295" s="320"/>
    </row>
    <row r="296" spans="1:55" ht="30" hidden="1" x14ac:dyDescent="0.25">
      <c r="A296" s="373">
        <v>17545</v>
      </c>
      <c r="B296" s="233" t="str">
        <f>VLOOKUP(Table8[[#This Row],[Document ID]],Table1[],2,FALSE)</f>
        <v>CPV</v>
      </c>
      <c r="C296" s="233" t="str">
        <f>VLOOKUP(Table8[[#This Row],[Document ID]],Table1[],3,FALSE)</f>
        <v>Cabo Verde</v>
      </c>
      <c r="D296" s="243" t="str">
        <f>VLOOKUP(Table8[[#This Row],[Document ID]],Table1[],5,FALSE)</f>
        <v>NDC</v>
      </c>
      <c r="E296" s="233" t="str">
        <f>VLOOKUP(Table8[[#This Row],[Document ID]],Table1[],7,FALSE)</f>
        <v>First NDC</v>
      </c>
      <c r="F296" s="236" t="str">
        <f>VLOOKUP(Table8[[#This Row],[Document ID]],Table1[],8,FALSE)</f>
        <v>NDC 1.0</v>
      </c>
      <c r="G296" s="236" t="str">
        <f>VLOOKUP(Table8[[#This Row],[Document ID]],Table1[],10,FALSE)</f>
        <v>Archived</v>
      </c>
      <c r="H296" s="43" t="s">
        <v>2358</v>
      </c>
      <c r="I296" s="43" t="s">
        <v>2359</v>
      </c>
      <c r="J296" s="44" t="s">
        <v>2360</v>
      </c>
      <c r="K296" s="44" t="s">
        <v>2657</v>
      </c>
      <c r="L296" s="44" t="s">
        <v>2333</v>
      </c>
      <c r="M296" s="43"/>
      <c r="N296" s="113" t="s">
        <v>1113</v>
      </c>
      <c r="O296" s="113"/>
      <c r="P296" s="113"/>
      <c r="Q296" s="319"/>
      <c r="R296" s="319"/>
      <c r="S296" s="319"/>
      <c r="T296" s="319"/>
      <c r="U296" s="319"/>
      <c r="V296" s="319"/>
      <c r="W296" s="319"/>
      <c r="X296" s="319"/>
      <c r="Y296" s="319"/>
      <c r="Z296" s="319"/>
      <c r="AA296" s="319"/>
      <c r="AB296" s="319"/>
      <c r="AC296" s="319"/>
      <c r="AD296" s="319"/>
      <c r="AE296" s="319"/>
      <c r="AF296" s="319"/>
      <c r="AG296" s="319"/>
      <c r="AH296" s="319"/>
      <c r="AI296" s="319"/>
      <c r="AJ296" s="319"/>
      <c r="AK296" s="319" t="s">
        <v>1113</v>
      </c>
      <c r="AL296" s="319"/>
      <c r="AM296" s="319"/>
      <c r="AN296" s="319"/>
      <c r="AO296" s="43" t="s">
        <v>2348</v>
      </c>
      <c r="AP296" s="44"/>
      <c r="AQ296" s="236" t="str">
        <f>VLOOKUP(Table8[[#This Row],[Instrument]],Def_Targets!$D$73:$E$159,2,FALSE)</f>
        <v>I_Emobility</v>
      </c>
      <c r="AR296" s="233" t="str">
        <f>VLOOKUP(Table8[[#This Row],[Country Code]],Table29[],3,FALSE)</f>
        <v>Non-Annex I</v>
      </c>
      <c r="AS296" s="233" t="str">
        <f>VLOOKUP(Table8[[#This Row],[Country Code]],Table29[],4,FALSE)</f>
        <v>Africa</v>
      </c>
      <c r="AT296" s="233" t="str">
        <f>VLOOKUP(Table8[[#This Row],[Country Code]],Table29[],5,FALSE)</f>
        <v>Middle-income</v>
      </c>
      <c r="AU296" s="233" t="str">
        <f>VLOOKUP(Table8[[#This Row],[Country Code]],Table29[],6,FALSE)</f>
        <v>no</v>
      </c>
      <c r="AV296" s="233" t="str">
        <f>VLOOKUP(Table8[[#This Row],[Country Code]],Table29[],7,FALSE)</f>
        <v>no</v>
      </c>
      <c r="AW296" s="233" t="str">
        <f>VLOOKUP(Table8[[#This Row],[Country Code]],Table29[],8,FALSE)</f>
        <v>non-OECD</v>
      </c>
      <c r="AX296" s="233" t="str">
        <f>VLOOKUP(Table8[[#This Row],[Country Code]],Table29[],9,FALSE)</f>
        <v>no</v>
      </c>
      <c r="AY296" s="233" t="str">
        <f>VLOOKUP(Table8[[#This Row],[Country Code]],Table29[],10,FALSE)</f>
        <v>no</v>
      </c>
      <c r="AZ296" s="235">
        <f>VLOOKUP(Table8[[#This Row],[Country Code]],Table29[],23,FALSE)</f>
        <v>1.2315183876125</v>
      </c>
      <c r="BA296" s="235">
        <f>VLOOKUP(Table8[[#This Row],[Country Code]],Table29[],24,FALSE)</f>
        <v>0.58681111832995647</v>
      </c>
      <c r="BB296" s="320"/>
      <c r="BC296" s="320"/>
    </row>
    <row r="297" spans="1:55" ht="105" hidden="1" x14ac:dyDescent="0.25">
      <c r="A297" s="373">
        <v>17545</v>
      </c>
      <c r="B297" s="233" t="str">
        <f>VLOOKUP(Table8[[#This Row],[Document ID]],Table1[],2,FALSE)</f>
        <v>CPV</v>
      </c>
      <c r="C297" s="233" t="str">
        <f>VLOOKUP(Table8[[#This Row],[Document ID]],Table1[],3,FALSE)</f>
        <v>Cabo Verde</v>
      </c>
      <c r="D297" s="243" t="str">
        <f>VLOOKUP(Table8[[#This Row],[Document ID]],Table1[],5,FALSE)</f>
        <v>NDC</v>
      </c>
      <c r="E297" s="233" t="str">
        <f>VLOOKUP(Table8[[#This Row],[Document ID]],Table1[],7,FALSE)</f>
        <v>First NDC</v>
      </c>
      <c r="F297" s="236" t="str">
        <f>VLOOKUP(Table8[[#This Row],[Document ID]],Table1[],8,FALSE)</f>
        <v>NDC 1.0</v>
      </c>
      <c r="G297" s="236" t="str">
        <f>VLOOKUP(Table8[[#This Row],[Document ID]],Table1[],10,FALSE)</f>
        <v>Archived</v>
      </c>
      <c r="H297" s="43" t="s">
        <v>2343</v>
      </c>
      <c r="I297" s="43" t="s">
        <v>2429</v>
      </c>
      <c r="J297" s="44" t="s">
        <v>2610</v>
      </c>
      <c r="K297" s="44" t="s">
        <v>2658</v>
      </c>
      <c r="L297" s="44" t="s">
        <v>2333</v>
      </c>
      <c r="M297" s="43"/>
      <c r="N297" s="113"/>
      <c r="O297" s="113"/>
      <c r="P297" s="113"/>
      <c r="Q297" s="319"/>
      <c r="R297" s="319"/>
      <c r="S297" s="319" t="s">
        <v>1113</v>
      </c>
      <c r="T297" s="319"/>
      <c r="U297" s="319"/>
      <c r="V297" s="319"/>
      <c r="W297" s="319"/>
      <c r="X297" s="319"/>
      <c r="Y297" s="319"/>
      <c r="Z297" s="319"/>
      <c r="AA297" s="319"/>
      <c r="AB297" s="319"/>
      <c r="AC297" s="319"/>
      <c r="AD297" s="319" t="s">
        <v>1113</v>
      </c>
      <c r="AE297" s="319"/>
      <c r="AF297" s="319"/>
      <c r="AG297" s="319"/>
      <c r="AH297" s="319" t="s">
        <v>1113</v>
      </c>
      <c r="AI297" s="319"/>
      <c r="AJ297" s="319"/>
      <c r="AK297" s="319" t="s">
        <v>1113</v>
      </c>
      <c r="AL297" s="319"/>
      <c r="AM297" s="319"/>
      <c r="AN297" s="319"/>
      <c r="AO297" s="43" t="s">
        <v>2477</v>
      </c>
      <c r="AP297" s="44"/>
      <c r="AQ297" s="236" t="e">
        <f>VLOOKUP(Table8[[#This Row],[Instrument]],Def_Targets!$D$73:$E$159,2,FALSE)</f>
        <v>#N/A</v>
      </c>
      <c r="AR297" s="233" t="str">
        <f>VLOOKUP(Table8[[#This Row],[Country Code]],Table29[],3,FALSE)</f>
        <v>Non-Annex I</v>
      </c>
      <c r="AS297" s="233" t="str">
        <f>VLOOKUP(Table8[[#This Row],[Country Code]],Table29[],4,FALSE)</f>
        <v>Africa</v>
      </c>
      <c r="AT297" s="233" t="str">
        <f>VLOOKUP(Table8[[#This Row],[Country Code]],Table29[],5,FALSE)</f>
        <v>Middle-income</v>
      </c>
      <c r="AU297" s="233" t="str">
        <f>VLOOKUP(Table8[[#This Row],[Country Code]],Table29[],6,FALSE)</f>
        <v>no</v>
      </c>
      <c r="AV297" s="233" t="str">
        <f>VLOOKUP(Table8[[#This Row],[Country Code]],Table29[],7,FALSE)</f>
        <v>no</v>
      </c>
      <c r="AW297" s="233" t="str">
        <f>VLOOKUP(Table8[[#This Row],[Country Code]],Table29[],8,FALSE)</f>
        <v>non-OECD</v>
      </c>
      <c r="AX297" s="233" t="str">
        <f>VLOOKUP(Table8[[#This Row],[Country Code]],Table29[],9,FALSE)</f>
        <v>no</v>
      </c>
      <c r="AY297" s="233" t="str">
        <f>VLOOKUP(Table8[[#This Row],[Country Code]],Table29[],10,FALSE)</f>
        <v>no</v>
      </c>
      <c r="AZ297" s="235">
        <f>VLOOKUP(Table8[[#This Row],[Country Code]],Table29[],23,FALSE)</f>
        <v>1.2315183876125</v>
      </c>
      <c r="BA297" s="235">
        <f>VLOOKUP(Table8[[#This Row],[Country Code]],Table29[],24,FALSE)</f>
        <v>0.58681111832995647</v>
      </c>
      <c r="BB297" s="320"/>
      <c r="BC297" s="320"/>
    </row>
    <row r="298" spans="1:55" hidden="1" x14ac:dyDescent="0.25">
      <c r="A298" s="373">
        <v>17546</v>
      </c>
      <c r="B298" s="233" t="str">
        <f>VLOOKUP(Table8[[#This Row],[Document ID]],Table1[],2,FALSE)</f>
        <v>CPV</v>
      </c>
      <c r="C298" s="233" t="str">
        <f>VLOOKUP(Table8[[#This Row],[Document ID]],Table1[],3,FALSE)</f>
        <v>Cabo Verde</v>
      </c>
      <c r="D298" s="243" t="str">
        <f>VLOOKUP(Table8[[#This Row],[Document ID]],Table1[],5,FALSE)</f>
        <v>NDC</v>
      </c>
      <c r="E298" s="233" t="str">
        <f>VLOOKUP(Table8[[#This Row],[Document ID]],Table1[],7,FALSE)</f>
        <v>First NDC updated</v>
      </c>
      <c r="F298" s="233" t="str">
        <f>VLOOKUP(Table8[[#This Row],[Document ID]],Table1[],8,FALSE)</f>
        <v>NDC 1.1</v>
      </c>
      <c r="G298" s="233" t="str">
        <f>VLOOKUP(Table8[[#This Row],[Document ID]],Table1[],10,FALSE)</f>
        <v>Active</v>
      </c>
      <c r="H298" s="43" t="s">
        <v>2350</v>
      </c>
      <c r="I298" s="43" t="s">
        <v>2370</v>
      </c>
      <c r="J298" s="44" t="s">
        <v>2418</v>
      </c>
      <c r="K298" s="44" t="s">
        <v>2659</v>
      </c>
      <c r="L298" s="44" t="s">
        <v>2396</v>
      </c>
      <c r="M298" s="43">
        <v>26</v>
      </c>
      <c r="N298" s="113" t="s">
        <v>1113</v>
      </c>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t="s">
        <v>1113</v>
      </c>
      <c r="AM298" s="113"/>
      <c r="AN298" s="113"/>
      <c r="AO298" s="44" t="s">
        <v>2334</v>
      </c>
      <c r="AP298" s="43"/>
      <c r="AQ298" s="236" t="str">
        <f>VLOOKUP(Table8[[#This Row],[Instrument]],Def_Targets!$D$73:$E$159,2,FALSE)</f>
        <v>A_Complan</v>
      </c>
      <c r="AR298" s="233" t="str">
        <f>VLOOKUP(Table8[[#This Row],[Country Code]],Table29[],3,FALSE)</f>
        <v>Non-Annex I</v>
      </c>
      <c r="AS298" s="233" t="str">
        <f>VLOOKUP(Table8[[#This Row],[Country Code]],Table29[],4,FALSE)</f>
        <v>Africa</v>
      </c>
      <c r="AT298" s="233" t="str">
        <f>VLOOKUP(Table8[[#This Row],[Country Code]],Table29[],5,FALSE)</f>
        <v>Middle-income</v>
      </c>
      <c r="AU298" s="233" t="str">
        <f>VLOOKUP(Table8[[#This Row],[Country Code]],Table29[],6,FALSE)</f>
        <v>no</v>
      </c>
      <c r="AV298" s="233" t="str">
        <f>VLOOKUP(Table8[[#This Row],[Country Code]],Table29[],7,FALSE)</f>
        <v>no</v>
      </c>
      <c r="AW298" s="233" t="str">
        <f>VLOOKUP(Table8[[#This Row],[Country Code]],Table29[],8,FALSE)</f>
        <v>non-OECD</v>
      </c>
      <c r="AX298" s="233" t="str">
        <f>VLOOKUP(Table8[[#This Row],[Country Code]],Table29[],9,FALSE)</f>
        <v>no</v>
      </c>
      <c r="AY298" s="233" t="str">
        <f>VLOOKUP(Table8[[#This Row],[Country Code]],Table29[],10,FALSE)</f>
        <v>no</v>
      </c>
      <c r="AZ298" s="235">
        <f>VLOOKUP(Table8[[#This Row],[Country Code]],Table29[],23,FALSE)</f>
        <v>1.2315183876125</v>
      </c>
      <c r="BA298" s="235">
        <f>VLOOKUP(Table8[[#This Row],[Country Code]],Table29[],24,FALSE)</f>
        <v>0.58681111832995647</v>
      </c>
      <c r="BB298" s="320"/>
      <c r="BC298" s="320"/>
    </row>
    <row r="299" spans="1:55" hidden="1" x14ac:dyDescent="0.25">
      <c r="A299" s="373">
        <v>17546</v>
      </c>
      <c r="B299" s="233" t="str">
        <f>VLOOKUP(Table8[[#This Row],[Document ID]],Table1[],2,FALSE)</f>
        <v>CPV</v>
      </c>
      <c r="C299" s="233" t="str">
        <f>VLOOKUP(Table8[[#This Row],[Document ID]],Table1[],3,FALSE)</f>
        <v>Cabo Verde</v>
      </c>
      <c r="D299" s="243" t="str">
        <f>VLOOKUP(Table8[[#This Row],[Document ID]],Table1[],5,FALSE)</f>
        <v>NDC</v>
      </c>
      <c r="E299" s="233" t="str">
        <f>VLOOKUP(Table8[[#This Row],[Document ID]],Table1[],7,FALSE)</f>
        <v>First NDC updated</v>
      </c>
      <c r="F299" s="233" t="str">
        <f>VLOOKUP(Table8[[#This Row],[Document ID]],Table1[],8,FALSE)</f>
        <v>NDC 1.1</v>
      </c>
      <c r="G299" s="233" t="str">
        <f>VLOOKUP(Table8[[#This Row],[Document ID]],Table1[],10,FALSE)</f>
        <v>Active</v>
      </c>
      <c r="H299" s="43" t="s">
        <v>2343</v>
      </c>
      <c r="I299" s="43" t="s">
        <v>2429</v>
      </c>
      <c r="J299" s="44" t="s">
        <v>2472</v>
      </c>
      <c r="K299" s="44" t="s">
        <v>2660</v>
      </c>
      <c r="L299" s="44" t="s">
        <v>2333</v>
      </c>
      <c r="M299" s="43">
        <v>26</v>
      </c>
      <c r="N299" s="113" t="s">
        <v>1113</v>
      </c>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319" t="s">
        <v>1113</v>
      </c>
      <c r="AL299" s="113"/>
      <c r="AM299" s="113"/>
      <c r="AN299" s="113"/>
      <c r="AO299" s="44" t="s">
        <v>2334</v>
      </c>
      <c r="AP299" s="43"/>
      <c r="AQ299" s="236" t="str">
        <f>VLOOKUP(Table8[[#This Row],[Instrument]],Def_Targets!$D$73:$E$159,2,FALSE)</f>
        <v>I_Other</v>
      </c>
      <c r="AR299" s="233" t="str">
        <f>VLOOKUP(Table8[[#This Row],[Country Code]],Table29[],3,FALSE)</f>
        <v>Non-Annex I</v>
      </c>
      <c r="AS299" s="233" t="str">
        <f>VLOOKUP(Table8[[#This Row],[Country Code]],Table29[],4,FALSE)</f>
        <v>Africa</v>
      </c>
      <c r="AT299" s="233" t="str">
        <f>VLOOKUP(Table8[[#This Row],[Country Code]],Table29[],5,FALSE)</f>
        <v>Middle-income</v>
      </c>
      <c r="AU299" s="233" t="str">
        <f>VLOOKUP(Table8[[#This Row],[Country Code]],Table29[],6,FALSE)</f>
        <v>no</v>
      </c>
      <c r="AV299" s="233" t="str">
        <f>VLOOKUP(Table8[[#This Row],[Country Code]],Table29[],7,FALSE)</f>
        <v>no</v>
      </c>
      <c r="AW299" s="233" t="str">
        <f>VLOOKUP(Table8[[#This Row],[Country Code]],Table29[],8,FALSE)</f>
        <v>non-OECD</v>
      </c>
      <c r="AX299" s="233" t="str">
        <f>VLOOKUP(Table8[[#This Row],[Country Code]],Table29[],9,FALSE)</f>
        <v>no</v>
      </c>
      <c r="AY299" s="233" t="str">
        <f>VLOOKUP(Table8[[#This Row],[Country Code]],Table29[],10,FALSE)</f>
        <v>no</v>
      </c>
      <c r="AZ299" s="235">
        <f>VLOOKUP(Table8[[#This Row],[Country Code]],Table29[],23,FALSE)</f>
        <v>1.2315183876125</v>
      </c>
      <c r="BA299" s="235">
        <f>VLOOKUP(Table8[[#This Row],[Country Code]],Table29[],24,FALSE)</f>
        <v>0.58681111832995647</v>
      </c>
      <c r="BB299" s="320"/>
      <c r="BC299" s="320"/>
    </row>
    <row r="300" spans="1:55" hidden="1" x14ac:dyDescent="0.25">
      <c r="A300" s="373">
        <v>17546</v>
      </c>
      <c r="B300" s="233" t="str">
        <f>VLOOKUP(Table8[[#This Row],[Document ID]],Table1[],2,FALSE)</f>
        <v>CPV</v>
      </c>
      <c r="C300" s="233" t="str">
        <f>VLOOKUP(Table8[[#This Row],[Document ID]],Table1[],3,FALSE)</f>
        <v>Cabo Verde</v>
      </c>
      <c r="D300" s="243" t="str">
        <f>VLOOKUP(Table8[[#This Row],[Document ID]],Table1[],5,FALSE)</f>
        <v>NDC</v>
      </c>
      <c r="E300" s="233" t="str">
        <f>VLOOKUP(Table8[[#This Row],[Document ID]],Table1[],7,FALSE)</f>
        <v>First NDC updated</v>
      </c>
      <c r="F300" s="233" t="str">
        <f>VLOOKUP(Table8[[#This Row],[Document ID]],Table1[],8,FALSE)</f>
        <v>NDC 1.1</v>
      </c>
      <c r="G300" s="233" t="str">
        <f>VLOOKUP(Table8[[#This Row],[Document ID]],Table1[],10,FALSE)</f>
        <v>Active</v>
      </c>
      <c r="H300" s="43" t="s">
        <v>2343</v>
      </c>
      <c r="I300" s="43" t="s">
        <v>2377</v>
      </c>
      <c r="J300" s="44" t="s">
        <v>2521</v>
      </c>
      <c r="K300" s="44" t="s">
        <v>2661</v>
      </c>
      <c r="L300" s="44" t="s">
        <v>2347</v>
      </c>
      <c r="M300" s="43">
        <v>26</v>
      </c>
      <c r="N300" s="113"/>
      <c r="O300" s="113"/>
      <c r="P300" s="113"/>
      <c r="Q300" s="113"/>
      <c r="R300" s="113"/>
      <c r="S300" s="113"/>
      <c r="T300" s="113"/>
      <c r="U300" s="113" t="s">
        <v>1113</v>
      </c>
      <c r="V300" s="113"/>
      <c r="W300" s="113"/>
      <c r="X300" s="113"/>
      <c r="Y300" s="113"/>
      <c r="Z300" s="113"/>
      <c r="AA300" s="113"/>
      <c r="AB300" s="113"/>
      <c r="AC300" s="113"/>
      <c r="AD300" s="113"/>
      <c r="AE300" s="113"/>
      <c r="AF300" s="113"/>
      <c r="AG300" s="113"/>
      <c r="AH300" s="113"/>
      <c r="AI300" s="113"/>
      <c r="AJ300" s="113"/>
      <c r="AK300" s="319" t="s">
        <v>1113</v>
      </c>
      <c r="AL300" s="113"/>
      <c r="AM300" s="113"/>
      <c r="AN300" s="113"/>
      <c r="AO300" s="44" t="s">
        <v>2334</v>
      </c>
      <c r="AP300" s="43"/>
      <c r="AQ300" s="236" t="str">
        <f>VLOOKUP(Table8[[#This Row],[Instrument]],Def_Targets!$D$73:$E$159,2,FALSE)</f>
        <v>A_Caraccess</v>
      </c>
      <c r="AR300" s="233" t="str">
        <f>VLOOKUP(Table8[[#This Row],[Country Code]],Table29[],3,FALSE)</f>
        <v>Non-Annex I</v>
      </c>
      <c r="AS300" s="233" t="str">
        <f>VLOOKUP(Table8[[#This Row],[Country Code]],Table29[],4,FALSE)</f>
        <v>Africa</v>
      </c>
      <c r="AT300" s="233" t="str">
        <f>VLOOKUP(Table8[[#This Row],[Country Code]],Table29[],5,FALSE)</f>
        <v>Middle-income</v>
      </c>
      <c r="AU300" s="233" t="str">
        <f>VLOOKUP(Table8[[#This Row],[Country Code]],Table29[],6,FALSE)</f>
        <v>no</v>
      </c>
      <c r="AV300" s="233" t="str">
        <f>VLOOKUP(Table8[[#This Row],[Country Code]],Table29[],7,FALSE)</f>
        <v>no</v>
      </c>
      <c r="AW300" s="233" t="str">
        <f>VLOOKUP(Table8[[#This Row],[Country Code]],Table29[],8,FALSE)</f>
        <v>non-OECD</v>
      </c>
      <c r="AX300" s="233" t="str">
        <f>VLOOKUP(Table8[[#This Row],[Country Code]],Table29[],9,FALSE)</f>
        <v>no</v>
      </c>
      <c r="AY300" s="233" t="str">
        <f>VLOOKUP(Table8[[#This Row],[Country Code]],Table29[],10,FALSE)</f>
        <v>no</v>
      </c>
      <c r="AZ300" s="235">
        <f>VLOOKUP(Table8[[#This Row],[Country Code]],Table29[],23,FALSE)</f>
        <v>1.2315183876125</v>
      </c>
      <c r="BA300" s="235">
        <f>VLOOKUP(Table8[[#This Row],[Country Code]],Table29[],24,FALSE)</f>
        <v>0.58681111832995647</v>
      </c>
      <c r="BB300" s="320"/>
      <c r="BC300" s="320"/>
    </row>
    <row r="301" spans="1:55" hidden="1" x14ac:dyDescent="0.25">
      <c r="A301" s="373">
        <v>17546</v>
      </c>
      <c r="B301" s="233" t="str">
        <f>VLOOKUP(Table8[[#This Row],[Document ID]],Table1[],2,FALSE)</f>
        <v>CPV</v>
      </c>
      <c r="C301" s="233" t="str">
        <f>VLOOKUP(Table8[[#This Row],[Document ID]],Table1[],3,FALSE)</f>
        <v>Cabo Verde</v>
      </c>
      <c r="D301" s="243" t="str">
        <f>VLOOKUP(Table8[[#This Row],[Document ID]],Table1[],5,FALSE)</f>
        <v>NDC</v>
      </c>
      <c r="E301" s="233" t="str">
        <f>VLOOKUP(Table8[[#This Row],[Document ID]],Table1[],7,FALSE)</f>
        <v>First NDC updated</v>
      </c>
      <c r="F301" s="233" t="str">
        <f>VLOOKUP(Table8[[#This Row],[Document ID]],Table1[],8,FALSE)</f>
        <v>NDC 1.1</v>
      </c>
      <c r="G301" s="233" t="str">
        <f>VLOOKUP(Table8[[#This Row],[Document ID]],Table1[],10,FALSE)</f>
        <v>Active</v>
      </c>
      <c r="H301" s="43" t="s">
        <v>2343</v>
      </c>
      <c r="I301" s="43" t="s">
        <v>2361</v>
      </c>
      <c r="J301" s="44" t="s">
        <v>2463</v>
      </c>
      <c r="K301" s="44" t="s">
        <v>2662</v>
      </c>
      <c r="L301" s="44" t="s">
        <v>2347</v>
      </c>
      <c r="M301" s="43">
        <v>26</v>
      </c>
      <c r="N301" s="113"/>
      <c r="O301" s="113"/>
      <c r="P301" s="113"/>
      <c r="Q301" s="113" t="s">
        <v>1113</v>
      </c>
      <c r="R301" s="113"/>
      <c r="S301" s="113"/>
      <c r="T301" s="113"/>
      <c r="U301" s="113"/>
      <c r="V301" s="113"/>
      <c r="W301" s="113"/>
      <c r="X301" s="113"/>
      <c r="Y301" s="113"/>
      <c r="Z301" s="113"/>
      <c r="AA301" s="113"/>
      <c r="AB301" s="113"/>
      <c r="AC301" s="113"/>
      <c r="AD301" s="113"/>
      <c r="AE301" s="113"/>
      <c r="AF301" s="113"/>
      <c r="AG301" s="113"/>
      <c r="AH301" s="113"/>
      <c r="AI301" s="113"/>
      <c r="AJ301" s="113"/>
      <c r="AK301" s="319" t="s">
        <v>1113</v>
      </c>
      <c r="AL301" s="113"/>
      <c r="AM301" s="113"/>
      <c r="AN301" s="113"/>
      <c r="AO301" s="44" t="s">
        <v>2334</v>
      </c>
      <c r="AP301" s="43"/>
      <c r="AQ301" s="236" t="str">
        <f>VLOOKUP(Table8[[#This Row],[Instrument]],Def_Targets!$D$73:$E$159,2,FALSE)</f>
        <v>S_Walking</v>
      </c>
      <c r="AR301" s="233" t="str">
        <f>VLOOKUP(Table8[[#This Row],[Country Code]],Table29[],3,FALSE)</f>
        <v>Non-Annex I</v>
      </c>
      <c r="AS301" s="233" t="str">
        <f>VLOOKUP(Table8[[#This Row],[Country Code]],Table29[],4,FALSE)</f>
        <v>Africa</v>
      </c>
      <c r="AT301" s="233" t="str">
        <f>VLOOKUP(Table8[[#This Row],[Country Code]],Table29[],5,FALSE)</f>
        <v>Middle-income</v>
      </c>
      <c r="AU301" s="233" t="str">
        <f>VLOOKUP(Table8[[#This Row],[Country Code]],Table29[],6,FALSE)</f>
        <v>no</v>
      </c>
      <c r="AV301" s="233" t="str">
        <f>VLOOKUP(Table8[[#This Row],[Country Code]],Table29[],7,FALSE)</f>
        <v>no</v>
      </c>
      <c r="AW301" s="233" t="str">
        <f>VLOOKUP(Table8[[#This Row],[Country Code]],Table29[],8,FALSE)</f>
        <v>non-OECD</v>
      </c>
      <c r="AX301" s="233" t="str">
        <f>VLOOKUP(Table8[[#This Row],[Country Code]],Table29[],9,FALSE)</f>
        <v>no</v>
      </c>
      <c r="AY301" s="233" t="str">
        <f>VLOOKUP(Table8[[#This Row],[Country Code]],Table29[],10,FALSE)</f>
        <v>no</v>
      </c>
      <c r="AZ301" s="235">
        <f>VLOOKUP(Table8[[#This Row],[Country Code]],Table29[],23,FALSE)</f>
        <v>1.2315183876125</v>
      </c>
      <c r="BA301" s="235">
        <f>VLOOKUP(Table8[[#This Row],[Country Code]],Table29[],24,FALSE)</f>
        <v>0.58681111832995647</v>
      </c>
      <c r="BB301" s="320"/>
      <c r="BC301" s="320"/>
    </row>
    <row r="302" spans="1:55" hidden="1" x14ac:dyDescent="0.25">
      <c r="A302" s="373">
        <v>17546</v>
      </c>
      <c r="B302" s="233" t="str">
        <f>VLOOKUP(Table8[[#This Row],[Document ID]],Table1[],2,FALSE)</f>
        <v>CPV</v>
      </c>
      <c r="C302" s="233" t="str">
        <f>VLOOKUP(Table8[[#This Row],[Document ID]],Table1[],3,FALSE)</f>
        <v>Cabo Verde</v>
      </c>
      <c r="D302" s="243" t="str">
        <f>VLOOKUP(Table8[[#This Row],[Document ID]],Table1[],5,FALSE)</f>
        <v>NDC</v>
      </c>
      <c r="E302" s="233" t="str">
        <f>VLOOKUP(Table8[[#This Row],[Document ID]],Table1[],7,FALSE)</f>
        <v>First NDC updated</v>
      </c>
      <c r="F302" s="233" t="str">
        <f>VLOOKUP(Table8[[#This Row],[Document ID]],Table1[],8,FALSE)</f>
        <v>NDC 1.1</v>
      </c>
      <c r="G302" s="233" t="str">
        <f>VLOOKUP(Table8[[#This Row],[Document ID]],Table1[],10,FALSE)</f>
        <v>Active</v>
      </c>
      <c r="H302" s="43" t="s">
        <v>2343</v>
      </c>
      <c r="I302" s="43" t="s">
        <v>2361</v>
      </c>
      <c r="J302" s="44" t="s">
        <v>2362</v>
      </c>
      <c r="K302" s="44" t="s">
        <v>2662</v>
      </c>
      <c r="L302" s="44" t="s">
        <v>2347</v>
      </c>
      <c r="M302" s="43">
        <v>26</v>
      </c>
      <c r="N302" s="113"/>
      <c r="O302" s="113"/>
      <c r="P302" s="113"/>
      <c r="Q302" s="113"/>
      <c r="R302" s="113" t="s">
        <v>1113</v>
      </c>
      <c r="S302" s="113"/>
      <c r="T302" s="113"/>
      <c r="U302" s="113"/>
      <c r="V302" s="113"/>
      <c r="W302" s="113"/>
      <c r="X302" s="113"/>
      <c r="Y302" s="113"/>
      <c r="Z302" s="113"/>
      <c r="AA302" s="113"/>
      <c r="AB302" s="113"/>
      <c r="AC302" s="113"/>
      <c r="AD302" s="113"/>
      <c r="AE302" s="113"/>
      <c r="AF302" s="113"/>
      <c r="AG302" s="113"/>
      <c r="AH302" s="113"/>
      <c r="AI302" s="113"/>
      <c r="AJ302" s="113"/>
      <c r="AK302" s="319" t="s">
        <v>1113</v>
      </c>
      <c r="AL302" s="113"/>
      <c r="AM302" s="113"/>
      <c r="AN302" s="113"/>
      <c r="AO302" s="44" t="s">
        <v>2334</v>
      </c>
      <c r="AP302" s="43"/>
      <c r="AQ302" s="236" t="str">
        <f>VLOOKUP(Table8[[#This Row],[Instrument]],Def_Targets!$D$73:$E$159,2,FALSE)</f>
        <v>S_Cycling</v>
      </c>
      <c r="AR302" s="233" t="str">
        <f>VLOOKUP(Table8[[#This Row],[Country Code]],Table29[],3,FALSE)</f>
        <v>Non-Annex I</v>
      </c>
      <c r="AS302" s="233" t="str">
        <f>VLOOKUP(Table8[[#This Row],[Country Code]],Table29[],4,FALSE)</f>
        <v>Africa</v>
      </c>
      <c r="AT302" s="233" t="str">
        <f>VLOOKUP(Table8[[#This Row],[Country Code]],Table29[],5,FALSE)</f>
        <v>Middle-income</v>
      </c>
      <c r="AU302" s="233" t="str">
        <f>VLOOKUP(Table8[[#This Row],[Country Code]],Table29[],6,FALSE)</f>
        <v>no</v>
      </c>
      <c r="AV302" s="233" t="str">
        <f>VLOOKUP(Table8[[#This Row],[Country Code]],Table29[],7,FALSE)</f>
        <v>no</v>
      </c>
      <c r="AW302" s="233" t="str">
        <f>VLOOKUP(Table8[[#This Row],[Country Code]],Table29[],8,FALSE)</f>
        <v>non-OECD</v>
      </c>
      <c r="AX302" s="233" t="str">
        <f>VLOOKUP(Table8[[#This Row],[Country Code]],Table29[],9,FALSE)</f>
        <v>no</v>
      </c>
      <c r="AY302" s="233" t="str">
        <f>VLOOKUP(Table8[[#This Row],[Country Code]],Table29[],10,FALSE)</f>
        <v>no</v>
      </c>
      <c r="AZ302" s="235">
        <f>VLOOKUP(Table8[[#This Row],[Country Code]],Table29[],23,FALSE)</f>
        <v>1.2315183876125</v>
      </c>
      <c r="BA302" s="235">
        <f>VLOOKUP(Table8[[#This Row],[Country Code]],Table29[],24,FALSE)</f>
        <v>0.58681111832995647</v>
      </c>
      <c r="BB302" s="320"/>
      <c r="BC302" s="320"/>
    </row>
    <row r="303" spans="1:55" ht="30" hidden="1" x14ac:dyDescent="0.25">
      <c r="A303" s="373">
        <v>17546</v>
      </c>
      <c r="B303" s="233" t="str">
        <f>VLOOKUP(Table8[[#This Row],[Document ID]],Table1[],2,FALSE)</f>
        <v>CPV</v>
      </c>
      <c r="C303" s="233" t="str">
        <f>VLOOKUP(Table8[[#This Row],[Document ID]],Table1[],3,FALSE)</f>
        <v>Cabo Verde</v>
      </c>
      <c r="D303" s="236" t="str">
        <f>VLOOKUP(Table8[[#This Row],[Document ID]],Table1[],5,FALSE)</f>
        <v>NDC</v>
      </c>
      <c r="E303" s="233" t="str">
        <f>VLOOKUP(Table8[[#This Row],[Document ID]],Table1[],7,FALSE)</f>
        <v>First NDC updated</v>
      </c>
      <c r="F303" s="233" t="str">
        <f>VLOOKUP(Table8[[#This Row],[Document ID]],Table1[],8,FALSE)</f>
        <v>NDC 1.1</v>
      </c>
      <c r="G303" s="233" t="str">
        <f>VLOOKUP(Table8[[#This Row],[Document ID]],Table1[],10,FALSE)</f>
        <v>Active</v>
      </c>
      <c r="H303" s="43" t="s">
        <v>2350</v>
      </c>
      <c r="I303" s="43" t="s">
        <v>2370</v>
      </c>
      <c r="J303" s="44" t="s">
        <v>2518</v>
      </c>
      <c r="K303" s="44" t="s">
        <v>2663</v>
      </c>
      <c r="L303" s="44" t="s">
        <v>2380</v>
      </c>
      <c r="M303" s="43">
        <v>26</v>
      </c>
      <c r="N303" s="113" t="s">
        <v>1113</v>
      </c>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t="s">
        <v>1113</v>
      </c>
      <c r="AM303" s="113"/>
      <c r="AN303" s="113"/>
      <c r="AO303" s="44" t="s">
        <v>2334</v>
      </c>
      <c r="AP303" s="43"/>
      <c r="AQ303" s="236" t="str">
        <f>VLOOKUP(Table8[[#This Row],[Instrument]],Def_Targets!$D$73:$E$159,2,FALSE)</f>
        <v>A_Mixuse</v>
      </c>
      <c r="AR303" s="233" t="str">
        <f>VLOOKUP(Table8[[#This Row],[Country Code]],Table29[],3,FALSE)</f>
        <v>Non-Annex I</v>
      </c>
      <c r="AS303" s="233" t="str">
        <f>VLOOKUP(Table8[[#This Row],[Country Code]],Table29[],4,FALSE)</f>
        <v>Africa</v>
      </c>
      <c r="AT303" s="233" t="str">
        <f>VLOOKUP(Table8[[#This Row],[Country Code]],Table29[],5,FALSE)</f>
        <v>Middle-income</v>
      </c>
      <c r="AU303" s="233" t="str">
        <f>VLOOKUP(Table8[[#This Row],[Country Code]],Table29[],6,FALSE)</f>
        <v>no</v>
      </c>
      <c r="AV303" s="233" t="str">
        <f>VLOOKUP(Table8[[#This Row],[Country Code]],Table29[],7,FALSE)</f>
        <v>no</v>
      </c>
      <c r="AW303" s="233" t="str">
        <f>VLOOKUP(Table8[[#This Row],[Country Code]],Table29[],8,FALSE)</f>
        <v>non-OECD</v>
      </c>
      <c r="AX303" s="233" t="str">
        <f>VLOOKUP(Table8[[#This Row],[Country Code]],Table29[],9,FALSE)</f>
        <v>no</v>
      </c>
      <c r="AY303" s="233" t="str">
        <f>VLOOKUP(Table8[[#This Row],[Country Code]],Table29[],10,FALSE)</f>
        <v>no</v>
      </c>
      <c r="AZ303" s="235">
        <f>VLOOKUP(Table8[[#This Row],[Country Code]],Table29[],23,FALSE)</f>
        <v>1.2315183876125</v>
      </c>
      <c r="BA303" s="235">
        <f>VLOOKUP(Table8[[#This Row],[Country Code]],Table29[],24,FALSE)</f>
        <v>0.58681111832995647</v>
      </c>
      <c r="BB303" s="320"/>
      <c r="BC303" s="320"/>
    </row>
    <row r="304" spans="1:55" ht="30" hidden="1" x14ac:dyDescent="0.25">
      <c r="A304" s="373">
        <v>17546</v>
      </c>
      <c r="B304" s="233" t="str">
        <f>VLOOKUP(Table8[[#This Row],[Document ID]],Table1[],2,FALSE)</f>
        <v>CPV</v>
      </c>
      <c r="C304" s="233" t="str">
        <f>VLOOKUP(Table8[[#This Row],[Document ID]],Table1[],3,FALSE)</f>
        <v>Cabo Verde</v>
      </c>
      <c r="D304" s="243" t="str">
        <f>VLOOKUP(Table8[[#This Row],[Document ID]],Table1[],5,FALSE)</f>
        <v>NDC</v>
      </c>
      <c r="E304" s="233" t="str">
        <f>VLOOKUP(Table8[[#This Row],[Document ID]],Table1[],7,FALSE)</f>
        <v>First NDC updated</v>
      </c>
      <c r="F304" s="233" t="str">
        <f>VLOOKUP(Table8[[#This Row],[Document ID]],Table1[],8,FALSE)</f>
        <v>NDC 1.1</v>
      </c>
      <c r="G304" s="233" t="str">
        <f>VLOOKUP(Table8[[#This Row],[Document ID]],Table1[],10,FALSE)</f>
        <v>Active</v>
      </c>
      <c r="H304" s="43" t="s">
        <v>2350</v>
      </c>
      <c r="I304" s="43" t="s">
        <v>2370</v>
      </c>
      <c r="J304" s="44" t="s">
        <v>2518</v>
      </c>
      <c r="K304" s="44" t="s">
        <v>2663</v>
      </c>
      <c r="L304" s="44" t="s">
        <v>2380</v>
      </c>
      <c r="M304" s="43">
        <v>26</v>
      </c>
      <c r="N304" s="113" t="s">
        <v>1113</v>
      </c>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319" t="s">
        <v>1113</v>
      </c>
      <c r="AL304" s="113"/>
      <c r="AM304" s="113"/>
      <c r="AN304" s="113"/>
      <c r="AO304" s="44" t="s">
        <v>2334</v>
      </c>
      <c r="AP304" s="43"/>
      <c r="AQ304" s="236" t="str">
        <f>VLOOKUP(Table8[[#This Row],[Instrument]],Def_Targets!$D$73:$E$159,2,FALSE)</f>
        <v>A_Mixuse</v>
      </c>
      <c r="AR304" s="233" t="str">
        <f>VLOOKUP(Table8[[#This Row],[Country Code]],Table29[],3,FALSE)</f>
        <v>Non-Annex I</v>
      </c>
      <c r="AS304" s="233" t="str">
        <f>VLOOKUP(Table8[[#This Row],[Country Code]],Table29[],4,FALSE)</f>
        <v>Africa</v>
      </c>
      <c r="AT304" s="233" t="str">
        <f>VLOOKUP(Table8[[#This Row],[Country Code]],Table29[],5,FALSE)</f>
        <v>Middle-income</v>
      </c>
      <c r="AU304" s="233" t="str">
        <f>VLOOKUP(Table8[[#This Row],[Country Code]],Table29[],6,FALSE)</f>
        <v>no</v>
      </c>
      <c r="AV304" s="233" t="str">
        <f>VLOOKUP(Table8[[#This Row],[Country Code]],Table29[],7,FALSE)</f>
        <v>no</v>
      </c>
      <c r="AW304" s="233" t="str">
        <f>VLOOKUP(Table8[[#This Row],[Country Code]],Table29[],8,FALSE)</f>
        <v>non-OECD</v>
      </c>
      <c r="AX304" s="233" t="str">
        <f>VLOOKUP(Table8[[#This Row],[Country Code]],Table29[],9,FALSE)</f>
        <v>no</v>
      </c>
      <c r="AY304" s="233" t="str">
        <f>VLOOKUP(Table8[[#This Row],[Country Code]],Table29[],10,FALSE)</f>
        <v>no</v>
      </c>
      <c r="AZ304" s="235">
        <f>VLOOKUP(Table8[[#This Row],[Country Code]],Table29[],23,FALSE)</f>
        <v>1.2315183876125</v>
      </c>
      <c r="BA304" s="235">
        <f>VLOOKUP(Table8[[#This Row],[Country Code]],Table29[],24,FALSE)</f>
        <v>0.58681111832995647</v>
      </c>
      <c r="BB304" s="320"/>
      <c r="BC304" s="320"/>
    </row>
    <row r="305" spans="1:55" hidden="1" x14ac:dyDescent="0.25">
      <c r="A305" s="373">
        <v>17546</v>
      </c>
      <c r="B305" s="233" t="str">
        <f>VLOOKUP(Table8[[#This Row],[Document ID]],Table1[],2,FALSE)</f>
        <v>CPV</v>
      </c>
      <c r="C305" s="233" t="str">
        <f>VLOOKUP(Table8[[#This Row],[Document ID]],Table1[],3,FALSE)</f>
        <v>Cabo Verde</v>
      </c>
      <c r="D305" s="243" t="str">
        <f>VLOOKUP(Table8[[#This Row],[Document ID]],Table1[],5,FALSE)</f>
        <v>NDC</v>
      </c>
      <c r="E305" s="233" t="str">
        <f>VLOOKUP(Table8[[#This Row],[Document ID]],Table1[],7,FALSE)</f>
        <v>First NDC updated</v>
      </c>
      <c r="F305" s="233" t="str">
        <f>VLOOKUP(Table8[[#This Row],[Document ID]],Table1[],8,FALSE)</f>
        <v>NDC 1.1</v>
      </c>
      <c r="G305" s="233" t="str">
        <f>VLOOKUP(Table8[[#This Row],[Document ID]],Table1[],10,FALSE)</f>
        <v>Active</v>
      </c>
      <c r="H305" s="43" t="s">
        <v>2343</v>
      </c>
      <c r="I305" s="44" t="s">
        <v>2377</v>
      </c>
      <c r="J305" s="44" t="s">
        <v>2378</v>
      </c>
      <c r="K305" s="44" t="s">
        <v>2664</v>
      </c>
      <c r="L305" s="44" t="s">
        <v>2380</v>
      </c>
      <c r="M305" s="43">
        <v>26</v>
      </c>
      <c r="N305" s="113" t="s">
        <v>1113</v>
      </c>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319" t="s">
        <v>1113</v>
      </c>
      <c r="AL305" s="113"/>
      <c r="AM305" s="113"/>
      <c r="AN305" s="113"/>
      <c r="AO305" s="44" t="s">
        <v>2334</v>
      </c>
      <c r="AP305" s="43"/>
      <c r="AQ305" s="236" t="str">
        <f>VLOOKUP(Table8[[#This Row],[Instrument]],Def_Targets!$D$73:$E$159,2,FALSE)</f>
        <v>A_Commute</v>
      </c>
      <c r="AR305" s="233" t="str">
        <f>VLOOKUP(Table8[[#This Row],[Country Code]],Table29[],3,FALSE)</f>
        <v>Non-Annex I</v>
      </c>
      <c r="AS305" s="233" t="str">
        <f>VLOOKUP(Table8[[#This Row],[Country Code]],Table29[],4,FALSE)</f>
        <v>Africa</v>
      </c>
      <c r="AT305" s="233" t="str">
        <f>VLOOKUP(Table8[[#This Row],[Country Code]],Table29[],5,FALSE)</f>
        <v>Middle-income</v>
      </c>
      <c r="AU305" s="233" t="str">
        <f>VLOOKUP(Table8[[#This Row],[Country Code]],Table29[],6,FALSE)</f>
        <v>no</v>
      </c>
      <c r="AV305" s="233" t="str">
        <f>VLOOKUP(Table8[[#This Row],[Country Code]],Table29[],7,FALSE)</f>
        <v>no</v>
      </c>
      <c r="AW305" s="233" t="str">
        <f>VLOOKUP(Table8[[#This Row],[Country Code]],Table29[],8,FALSE)</f>
        <v>non-OECD</v>
      </c>
      <c r="AX305" s="233" t="str">
        <f>VLOOKUP(Table8[[#This Row],[Country Code]],Table29[],9,FALSE)</f>
        <v>no</v>
      </c>
      <c r="AY305" s="233" t="str">
        <f>VLOOKUP(Table8[[#This Row],[Country Code]],Table29[],10,FALSE)</f>
        <v>no</v>
      </c>
      <c r="AZ305" s="235">
        <f>VLOOKUP(Table8[[#This Row],[Country Code]],Table29[],23,FALSE)</f>
        <v>1.2315183876125</v>
      </c>
      <c r="BA305" s="235">
        <f>VLOOKUP(Table8[[#This Row],[Country Code]],Table29[],24,FALSE)</f>
        <v>0.58681111832995647</v>
      </c>
      <c r="BB305" s="320"/>
      <c r="BC305" s="320"/>
    </row>
    <row r="306" spans="1:55" hidden="1" x14ac:dyDescent="0.25">
      <c r="A306" s="373">
        <v>17546</v>
      </c>
      <c r="B306" s="233" t="str">
        <f>VLOOKUP(Table8[[#This Row],[Document ID]],Table1[],2,FALSE)</f>
        <v>CPV</v>
      </c>
      <c r="C306" s="233" t="str">
        <f>VLOOKUP(Table8[[#This Row],[Document ID]],Table1[],3,FALSE)</f>
        <v>Cabo Verde</v>
      </c>
      <c r="D306" s="243" t="str">
        <f>VLOOKUP(Table8[[#This Row],[Document ID]],Table1[],5,FALSE)</f>
        <v>NDC</v>
      </c>
      <c r="E306" s="233" t="str">
        <f>VLOOKUP(Table8[[#This Row],[Document ID]],Table1[],7,FALSE)</f>
        <v>First NDC updated</v>
      </c>
      <c r="F306" s="233" t="str">
        <f>VLOOKUP(Table8[[#This Row],[Document ID]],Table1[],8,FALSE)</f>
        <v>NDC 1.1</v>
      </c>
      <c r="G306" s="233" t="str">
        <f>VLOOKUP(Table8[[#This Row],[Document ID]],Table1[],10,FALSE)</f>
        <v>Active</v>
      </c>
      <c r="H306" s="43" t="s">
        <v>2343</v>
      </c>
      <c r="I306" s="43" t="s">
        <v>2429</v>
      </c>
      <c r="J306" s="44" t="s">
        <v>2513</v>
      </c>
      <c r="K306" s="44" t="s">
        <v>2665</v>
      </c>
      <c r="L306" s="44" t="s">
        <v>2347</v>
      </c>
      <c r="M306" s="43">
        <v>26</v>
      </c>
      <c r="N306" s="113"/>
      <c r="O306" s="113"/>
      <c r="P306" s="113"/>
      <c r="Q306" s="113"/>
      <c r="R306" s="113"/>
      <c r="S306" s="113"/>
      <c r="T306" s="113"/>
      <c r="U306" s="113" t="s">
        <v>1113</v>
      </c>
      <c r="V306" s="113"/>
      <c r="W306" s="113" t="s">
        <v>1113</v>
      </c>
      <c r="X306" s="113"/>
      <c r="Y306" s="113"/>
      <c r="Z306" s="113"/>
      <c r="AA306" s="113"/>
      <c r="AB306" s="113"/>
      <c r="AC306" s="113"/>
      <c r="AD306" s="113"/>
      <c r="AE306" s="113"/>
      <c r="AF306" s="113"/>
      <c r="AG306" s="113"/>
      <c r="AH306" s="113"/>
      <c r="AI306" s="113"/>
      <c r="AJ306" s="113"/>
      <c r="AK306" s="319" t="s">
        <v>1113</v>
      </c>
      <c r="AL306" s="113"/>
      <c r="AM306" s="113"/>
      <c r="AN306" s="113"/>
      <c r="AO306" s="44" t="s">
        <v>2334</v>
      </c>
      <c r="AP306" s="43"/>
      <c r="AQ306" s="236" t="str">
        <f>VLOOKUP(Table8[[#This Row],[Instrument]],Def_Targets!$D$73:$E$159,2,FALSE)</f>
        <v>S_Sharedmob</v>
      </c>
      <c r="AR306" s="233" t="str">
        <f>VLOOKUP(Table8[[#This Row],[Country Code]],Table29[],3,FALSE)</f>
        <v>Non-Annex I</v>
      </c>
      <c r="AS306" s="233" t="str">
        <f>VLOOKUP(Table8[[#This Row],[Country Code]],Table29[],4,FALSE)</f>
        <v>Africa</v>
      </c>
      <c r="AT306" s="233" t="str">
        <f>VLOOKUP(Table8[[#This Row],[Country Code]],Table29[],5,FALSE)</f>
        <v>Middle-income</v>
      </c>
      <c r="AU306" s="233" t="str">
        <f>VLOOKUP(Table8[[#This Row],[Country Code]],Table29[],6,FALSE)</f>
        <v>no</v>
      </c>
      <c r="AV306" s="233" t="str">
        <f>VLOOKUP(Table8[[#This Row],[Country Code]],Table29[],7,FALSE)</f>
        <v>no</v>
      </c>
      <c r="AW306" s="233" t="str">
        <f>VLOOKUP(Table8[[#This Row],[Country Code]],Table29[],8,FALSE)</f>
        <v>non-OECD</v>
      </c>
      <c r="AX306" s="233" t="str">
        <f>VLOOKUP(Table8[[#This Row],[Country Code]],Table29[],9,FALSE)</f>
        <v>no</v>
      </c>
      <c r="AY306" s="233" t="str">
        <f>VLOOKUP(Table8[[#This Row],[Country Code]],Table29[],10,FALSE)</f>
        <v>no</v>
      </c>
      <c r="AZ306" s="235">
        <f>VLOOKUP(Table8[[#This Row],[Country Code]],Table29[],23,FALSE)</f>
        <v>1.2315183876125</v>
      </c>
      <c r="BA306" s="235">
        <f>VLOOKUP(Table8[[#This Row],[Country Code]],Table29[],24,FALSE)</f>
        <v>0.58681111832995647</v>
      </c>
      <c r="BB306" s="320"/>
      <c r="BC306" s="320"/>
    </row>
    <row r="307" spans="1:55" ht="45" hidden="1" x14ac:dyDescent="0.25">
      <c r="A307" s="373">
        <v>17546</v>
      </c>
      <c r="B307" s="233" t="str">
        <f>VLOOKUP(Table8[[#This Row],[Document ID]],Table1[],2,FALSE)</f>
        <v>CPV</v>
      </c>
      <c r="C307" s="233" t="str">
        <f>VLOOKUP(Table8[[#This Row],[Document ID]],Table1[],3,FALSE)</f>
        <v>Cabo Verde</v>
      </c>
      <c r="D307" s="243" t="str">
        <f>VLOOKUP(Table8[[#This Row],[Document ID]],Table1[],5,FALSE)</f>
        <v>NDC</v>
      </c>
      <c r="E307" s="233" t="str">
        <f>VLOOKUP(Table8[[#This Row],[Document ID]],Table1[],7,FALSE)</f>
        <v>First NDC updated</v>
      </c>
      <c r="F307" s="233" t="str">
        <f>VLOOKUP(Table8[[#This Row],[Document ID]],Table1[],8,FALSE)</f>
        <v>NDC 1.1</v>
      </c>
      <c r="G307" s="233" t="str">
        <f>VLOOKUP(Table8[[#This Row],[Document ID]],Table1[],10,FALSE)</f>
        <v>Active</v>
      </c>
      <c r="H307" s="43" t="s">
        <v>2343</v>
      </c>
      <c r="I307" s="43" t="s">
        <v>2361</v>
      </c>
      <c r="J307" s="44" t="s">
        <v>2463</v>
      </c>
      <c r="K307" s="44" t="s">
        <v>2666</v>
      </c>
      <c r="L307" s="44" t="s">
        <v>2347</v>
      </c>
      <c r="M307" s="43">
        <v>26</v>
      </c>
      <c r="N307" s="113"/>
      <c r="O307" s="113"/>
      <c r="P307" s="113"/>
      <c r="Q307" s="113" t="s">
        <v>1113</v>
      </c>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t="s">
        <v>1113</v>
      </c>
      <c r="AM307" s="113"/>
      <c r="AN307" s="113"/>
      <c r="AO307" s="44" t="s">
        <v>2334</v>
      </c>
      <c r="AP307" s="43"/>
      <c r="AQ307" s="236" t="str">
        <f>VLOOKUP(Table8[[#This Row],[Instrument]],Def_Targets!$D$73:$E$159,2,FALSE)</f>
        <v>S_Walking</v>
      </c>
      <c r="AR307" s="233" t="str">
        <f>VLOOKUP(Table8[[#This Row],[Country Code]],Table29[],3,FALSE)</f>
        <v>Non-Annex I</v>
      </c>
      <c r="AS307" s="233" t="str">
        <f>VLOOKUP(Table8[[#This Row],[Country Code]],Table29[],4,FALSE)</f>
        <v>Africa</v>
      </c>
      <c r="AT307" s="233" t="str">
        <f>VLOOKUP(Table8[[#This Row],[Country Code]],Table29[],5,FALSE)</f>
        <v>Middle-income</v>
      </c>
      <c r="AU307" s="233" t="str">
        <f>VLOOKUP(Table8[[#This Row],[Country Code]],Table29[],6,FALSE)</f>
        <v>no</v>
      </c>
      <c r="AV307" s="233" t="str">
        <f>VLOOKUP(Table8[[#This Row],[Country Code]],Table29[],7,FALSE)</f>
        <v>no</v>
      </c>
      <c r="AW307" s="233" t="str">
        <f>VLOOKUP(Table8[[#This Row],[Country Code]],Table29[],8,FALSE)</f>
        <v>non-OECD</v>
      </c>
      <c r="AX307" s="233" t="str">
        <f>VLOOKUP(Table8[[#This Row],[Country Code]],Table29[],9,FALSE)</f>
        <v>no</v>
      </c>
      <c r="AY307" s="233" t="str">
        <f>VLOOKUP(Table8[[#This Row],[Country Code]],Table29[],10,FALSE)</f>
        <v>no</v>
      </c>
      <c r="AZ307" s="235">
        <f>VLOOKUP(Table8[[#This Row],[Country Code]],Table29[],23,FALSE)</f>
        <v>1.2315183876125</v>
      </c>
      <c r="BA307" s="235">
        <f>VLOOKUP(Table8[[#This Row],[Country Code]],Table29[],24,FALSE)</f>
        <v>0.58681111832995647</v>
      </c>
      <c r="BB307" s="320"/>
      <c r="BC307" s="320"/>
    </row>
    <row r="308" spans="1:55" ht="45" hidden="1" x14ac:dyDescent="0.25">
      <c r="A308" s="373">
        <v>17546</v>
      </c>
      <c r="B308" s="233" t="str">
        <f>VLOOKUP(Table8[[#This Row],[Document ID]],Table1[],2,FALSE)</f>
        <v>CPV</v>
      </c>
      <c r="C308" s="233" t="str">
        <f>VLOOKUP(Table8[[#This Row],[Document ID]],Table1[],3,FALSE)</f>
        <v>Cabo Verde</v>
      </c>
      <c r="D308" s="243" t="str">
        <f>VLOOKUP(Table8[[#This Row],[Document ID]],Table1[],5,FALSE)</f>
        <v>NDC</v>
      </c>
      <c r="E308" s="233" t="str">
        <f>VLOOKUP(Table8[[#This Row],[Document ID]],Table1[],7,FALSE)</f>
        <v>First NDC updated</v>
      </c>
      <c r="F308" s="233" t="str">
        <f>VLOOKUP(Table8[[#This Row],[Document ID]],Table1[],8,FALSE)</f>
        <v>NDC 1.1</v>
      </c>
      <c r="G308" s="233" t="str">
        <f>VLOOKUP(Table8[[#This Row],[Document ID]],Table1[],10,FALSE)</f>
        <v>Active</v>
      </c>
      <c r="H308" s="43" t="s">
        <v>2343</v>
      </c>
      <c r="I308" s="43" t="s">
        <v>2361</v>
      </c>
      <c r="J308" s="44" t="s">
        <v>2362</v>
      </c>
      <c r="K308" s="44" t="s">
        <v>2666</v>
      </c>
      <c r="L308" s="44" t="s">
        <v>2347</v>
      </c>
      <c r="M308" s="43">
        <v>26</v>
      </c>
      <c r="N308" s="113"/>
      <c r="O308" s="113"/>
      <c r="P308" s="113"/>
      <c r="Q308" s="113"/>
      <c r="R308" s="113" t="s">
        <v>1113</v>
      </c>
      <c r="S308" s="113"/>
      <c r="T308" s="113"/>
      <c r="U308" s="113"/>
      <c r="V308" s="113"/>
      <c r="W308" s="113"/>
      <c r="X308" s="113"/>
      <c r="Y308" s="113"/>
      <c r="Z308" s="113"/>
      <c r="AA308" s="113"/>
      <c r="AB308" s="113"/>
      <c r="AC308" s="113"/>
      <c r="AD308" s="113"/>
      <c r="AE308" s="113"/>
      <c r="AF308" s="113"/>
      <c r="AG308" s="113"/>
      <c r="AH308" s="113"/>
      <c r="AI308" s="113"/>
      <c r="AJ308" s="113"/>
      <c r="AK308" s="113"/>
      <c r="AL308" s="113" t="s">
        <v>1113</v>
      </c>
      <c r="AM308" s="113"/>
      <c r="AN308" s="113"/>
      <c r="AO308" s="44" t="s">
        <v>2334</v>
      </c>
      <c r="AP308" s="43"/>
      <c r="AQ308" s="236" t="str">
        <f>VLOOKUP(Table8[[#This Row],[Instrument]],Def_Targets!$D$73:$E$159,2,FALSE)</f>
        <v>S_Cycling</v>
      </c>
      <c r="AR308" s="233" t="str">
        <f>VLOOKUP(Table8[[#This Row],[Country Code]],Table29[],3,FALSE)</f>
        <v>Non-Annex I</v>
      </c>
      <c r="AS308" s="233" t="str">
        <f>VLOOKUP(Table8[[#This Row],[Country Code]],Table29[],4,FALSE)</f>
        <v>Africa</v>
      </c>
      <c r="AT308" s="233" t="str">
        <f>VLOOKUP(Table8[[#This Row],[Country Code]],Table29[],5,FALSE)</f>
        <v>Middle-income</v>
      </c>
      <c r="AU308" s="233" t="str">
        <f>VLOOKUP(Table8[[#This Row],[Country Code]],Table29[],6,FALSE)</f>
        <v>no</v>
      </c>
      <c r="AV308" s="233" t="str">
        <f>VLOOKUP(Table8[[#This Row],[Country Code]],Table29[],7,FALSE)</f>
        <v>no</v>
      </c>
      <c r="AW308" s="233" t="str">
        <f>VLOOKUP(Table8[[#This Row],[Country Code]],Table29[],8,FALSE)</f>
        <v>non-OECD</v>
      </c>
      <c r="AX308" s="233" t="str">
        <f>VLOOKUP(Table8[[#This Row],[Country Code]],Table29[],9,FALSE)</f>
        <v>no</v>
      </c>
      <c r="AY308" s="233" t="str">
        <f>VLOOKUP(Table8[[#This Row],[Country Code]],Table29[],10,FALSE)</f>
        <v>no</v>
      </c>
      <c r="AZ308" s="235">
        <f>VLOOKUP(Table8[[#This Row],[Country Code]],Table29[],23,FALSE)</f>
        <v>1.2315183876125</v>
      </c>
      <c r="BA308" s="235">
        <f>VLOOKUP(Table8[[#This Row],[Country Code]],Table29[],24,FALSE)</f>
        <v>0.58681111832995647</v>
      </c>
      <c r="BB308" s="320"/>
      <c r="BC308" s="320"/>
    </row>
    <row r="309" spans="1:55" hidden="1" x14ac:dyDescent="0.25">
      <c r="A309" s="373">
        <v>17546</v>
      </c>
      <c r="B309" s="233" t="str">
        <f>VLOOKUP(Table8[[#This Row],[Document ID]],Table1[],2,FALSE)</f>
        <v>CPV</v>
      </c>
      <c r="C309" s="233" t="str">
        <f>VLOOKUP(Table8[[#This Row],[Document ID]],Table1[],3,FALSE)</f>
        <v>Cabo Verde</v>
      </c>
      <c r="D309" s="243" t="str">
        <f>VLOOKUP(Table8[[#This Row],[Document ID]],Table1[],5,FALSE)</f>
        <v>NDC</v>
      </c>
      <c r="E309" s="233" t="str">
        <f>VLOOKUP(Table8[[#This Row],[Document ID]],Table1[],7,FALSE)</f>
        <v>First NDC updated</v>
      </c>
      <c r="F309" s="233" t="str">
        <f>VLOOKUP(Table8[[#This Row],[Document ID]],Table1[],8,FALSE)</f>
        <v>NDC 1.1</v>
      </c>
      <c r="G309" s="233" t="str">
        <f>VLOOKUP(Table8[[#This Row],[Document ID]],Table1[],10,FALSE)</f>
        <v>Active</v>
      </c>
      <c r="H309" s="43" t="s">
        <v>2343</v>
      </c>
      <c r="I309" s="43" t="s">
        <v>2377</v>
      </c>
      <c r="J309" s="44" t="s">
        <v>2378</v>
      </c>
      <c r="K309" s="44" t="s">
        <v>2667</v>
      </c>
      <c r="L309" s="44" t="s">
        <v>2396</v>
      </c>
      <c r="M309" s="43">
        <v>26</v>
      </c>
      <c r="N309" s="113"/>
      <c r="O309" s="113"/>
      <c r="P309" s="113" t="s">
        <v>1113</v>
      </c>
      <c r="Q309" s="113" t="s">
        <v>1113</v>
      </c>
      <c r="R309" s="113" t="s">
        <v>1113</v>
      </c>
      <c r="S309" s="113"/>
      <c r="T309" s="113"/>
      <c r="U309" s="113"/>
      <c r="V309" s="113"/>
      <c r="W309" s="113"/>
      <c r="X309" s="113"/>
      <c r="Y309" s="113"/>
      <c r="Z309" s="113"/>
      <c r="AA309" s="113"/>
      <c r="AB309" s="113"/>
      <c r="AC309" s="113"/>
      <c r="AD309" s="113"/>
      <c r="AE309" s="113"/>
      <c r="AF309" s="113"/>
      <c r="AG309" s="113"/>
      <c r="AH309" s="113"/>
      <c r="AI309" s="113"/>
      <c r="AJ309" s="113"/>
      <c r="AK309" s="113"/>
      <c r="AL309" s="113" t="s">
        <v>1113</v>
      </c>
      <c r="AM309" s="113"/>
      <c r="AN309" s="113"/>
      <c r="AO309" s="44" t="s">
        <v>2334</v>
      </c>
      <c r="AP309" s="43"/>
      <c r="AQ309" s="236" t="str">
        <f>VLOOKUP(Table8[[#This Row],[Instrument]],Def_Targets!$D$73:$E$159,2,FALSE)</f>
        <v>A_Commute</v>
      </c>
      <c r="AR309" s="233" t="str">
        <f>VLOOKUP(Table8[[#This Row],[Country Code]],Table29[],3,FALSE)</f>
        <v>Non-Annex I</v>
      </c>
      <c r="AS309" s="233" t="str">
        <f>VLOOKUP(Table8[[#This Row],[Country Code]],Table29[],4,FALSE)</f>
        <v>Africa</v>
      </c>
      <c r="AT309" s="233" t="str">
        <f>VLOOKUP(Table8[[#This Row],[Country Code]],Table29[],5,FALSE)</f>
        <v>Middle-income</v>
      </c>
      <c r="AU309" s="233" t="str">
        <f>VLOOKUP(Table8[[#This Row],[Country Code]],Table29[],6,FALSE)</f>
        <v>no</v>
      </c>
      <c r="AV309" s="233" t="str">
        <f>VLOOKUP(Table8[[#This Row],[Country Code]],Table29[],7,FALSE)</f>
        <v>no</v>
      </c>
      <c r="AW309" s="233" t="str">
        <f>VLOOKUP(Table8[[#This Row],[Country Code]],Table29[],8,FALSE)</f>
        <v>non-OECD</v>
      </c>
      <c r="AX309" s="233" t="str">
        <f>VLOOKUP(Table8[[#This Row],[Country Code]],Table29[],9,FALSE)</f>
        <v>no</v>
      </c>
      <c r="AY309" s="233" t="str">
        <f>VLOOKUP(Table8[[#This Row],[Country Code]],Table29[],10,FALSE)</f>
        <v>no</v>
      </c>
      <c r="AZ309" s="235">
        <f>VLOOKUP(Table8[[#This Row],[Country Code]],Table29[],23,FALSE)</f>
        <v>1.2315183876125</v>
      </c>
      <c r="BA309" s="235">
        <f>VLOOKUP(Table8[[#This Row],[Country Code]],Table29[],24,FALSE)</f>
        <v>0.58681111832995647</v>
      </c>
      <c r="BB309" s="320"/>
      <c r="BC309" s="320"/>
    </row>
    <row r="310" spans="1:55" ht="60" hidden="1" x14ac:dyDescent="0.25">
      <c r="A310" s="373">
        <v>17546</v>
      </c>
      <c r="B310" s="233" t="str">
        <f>VLOOKUP(Table8[[#This Row],[Document ID]],Table1[],2,FALSE)</f>
        <v>CPV</v>
      </c>
      <c r="C310" s="233" t="str">
        <f>VLOOKUP(Table8[[#This Row],[Document ID]],Table1[],3,FALSE)</f>
        <v>Cabo Verde</v>
      </c>
      <c r="D310" s="243" t="str">
        <f>VLOOKUP(Table8[[#This Row],[Document ID]],Table1[],5,FALSE)</f>
        <v>NDC</v>
      </c>
      <c r="E310" s="233" t="str">
        <f>VLOOKUP(Table8[[#This Row],[Document ID]],Table1[],7,FALSE)</f>
        <v>First NDC updated</v>
      </c>
      <c r="F310" s="233" t="str">
        <f>VLOOKUP(Table8[[#This Row],[Document ID]],Table1[],8,FALSE)</f>
        <v>NDC 1.1</v>
      </c>
      <c r="G310" s="233" t="str">
        <f>VLOOKUP(Table8[[#This Row],[Document ID]],Table1[],10,FALSE)</f>
        <v>Active</v>
      </c>
      <c r="H310" s="43" t="s">
        <v>2343</v>
      </c>
      <c r="I310" s="43" t="s">
        <v>2429</v>
      </c>
      <c r="J310" s="44" t="s">
        <v>2610</v>
      </c>
      <c r="K310" s="44" t="s">
        <v>2668</v>
      </c>
      <c r="L310" s="44" t="s">
        <v>2373</v>
      </c>
      <c r="M310" s="43">
        <v>26</v>
      </c>
      <c r="N310" s="113"/>
      <c r="O310" s="113"/>
      <c r="P310" s="113"/>
      <c r="Q310" s="113"/>
      <c r="R310" s="113"/>
      <c r="S310" s="113"/>
      <c r="T310" s="113"/>
      <c r="U310" s="113"/>
      <c r="V310" s="113"/>
      <c r="W310" s="113"/>
      <c r="X310" s="113"/>
      <c r="Y310" s="113"/>
      <c r="Z310" s="113"/>
      <c r="AA310" s="113"/>
      <c r="AB310" s="113"/>
      <c r="AC310" s="113"/>
      <c r="AD310" s="113" t="s">
        <v>1113</v>
      </c>
      <c r="AE310" s="113"/>
      <c r="AF310" s="113"/>
      <c r="AG310" s="113"/>
      <c r="AH310" s="113"/>
      <c r="AI310" s="113"/>
      <c r="AJ310" s="113"/>
      <c r="AK310" s="319" t="s">
        <v>1113</v>
      </c>
      <c r="AL310" s="113"/>
      <c r="AM310" s="113"/>
      <c r="AN310" s="113"/>
      <c r="AO310" s="44" t="s">
        <v>2334</v>
      </c>
      <c r="AP310" s="43"/>
      <c r="AQ310" s="236" t="e">
        <f>VLOOKUP(Table8[[#This Row],[Instrument]],Def_Targets!$D$73:$E$159,2,FALSE)</f>
        <v>#N/A</v>
      </c>
      <c r="AR310" s="233" t="str">
        <f>VLOOKUP(Table8[[#This Row],[Country Code]],Table29[],3,FALSE)</f>
        <v>Non-Annex I</v>
      </c>
      <c r="AS310" s="233" t="str">
        <f>VLOOKUP(Table8[[#This Row],[Country Code]],Table29[],4,FALSE)</f>
        <v>Africa</v>
      </c>
      <c r="AT310" s="233" t="str">
        <f>VLOOKUP(Table8[[#This Row],[Country Code]],Table29[],5,FALSE)</f>
        <v>Middle-income</v>
      </c>
      <c r="AU310" s="233" t="str">
        <f>VLOOKUP(Table8[[#This Row],[Country Code]],Table29[],6,FALSE)</f>
        <v>no</v>
      </c>
      <c r="AV310" s="233" t="str">
        <f>VLOOKUP(Table8[[#This Row],[Country Code]],Table29[],7,FALSE)</f>
        <v>no</v>
      </c>
      <c r="AW310" s="233" t="str">
        <f>VLOOKUP(Table8[[#This Row],[Country Code]],Table29[],8,FALSE)</f>
        <v>non-OECD</v>
      </c>
      <c r="AX310" s="233" t="str">
        <f>VLOOKUP(Table8[[#This Row],[Country Code]],Table29[],9,FALSE)</f>
        <v>no</v>
      </c>
      <c r="AY310" s="233" t="str">
        <f>VLOOKUP(Table8[[#This Row],[Country Code]],Table29[],10,FALSE)</f>
        <v>no</v>
      </c>
      <c r="AZ310" s="235">
        <f>VLOOKUP(Table8[[#This Row],[Country Code]],Table29[],23,FALSE)</f>
        <v>1.2315183876125</v>
      </c>
      <c r="BA310" s="235">
        <f>VLOOKUP(Table8[[#This Row],[Country Code]],Table29[],24,FALSE)</f>
        <v>0.58681111832995647</v>
      </c>
      <c r="BB310" s="320"/>
      <c r="BC310" s="320"/>
    </row>
    <row r="311" spans="1:55" ht="60" hidden="1" x14ac:dyDescent="0.25">
      <c r="A311" s="373">
        <v>17546</v>
      </c>
      <c r="B311" s="233" t="str">
        <f>VLOOKUP(Table8[[#This Row],[Document ID]],Table1[],2,FALSE)</f>
        <v>CPV</v>
      </c>
      <c r="C311" s="233" t="str">
        <f>VLOOKUP(Table8[[#This Row],[Document ID]],Table1[],3,FALSE)</f>
        <v>Cabo Verde</v>
      </c>
      <c r="D311" s="243" t="str">
        <f>VLOOKUP(Table8[[#This Row],[Document ID]],Table1[],5,FALSE)</f>
        <v>NDC</v>
      </c>
      <c r="E311" s="233" t="str">
        <f>VLOOKUP(Table8[[#This Row],[Document ID]],Table1[],7,FALSE)</f>
        <v>First NDC updated</v>
      </c>
      <c r="F311" s="233" t="str">
        <f>VLOOKUP(Table8[[#This Row],[Document ID]],Table1[],8,FALSE)</f>
        <v>NDC 1.1</v>
      </c>
      <c r="G311" s="233" t="str">
        <f>VLOOKUP(Table8[[#This Row],[Document ID]],Table1[],10,FALSE)</f>
        <v>Active</v>
      </c>
      <c r="H311" s="43" t="s">
        <v>2484</v>
      </c>
      <c r="I311" s="43" t="s">
        <v>2485</v>
      </c>
      <c r="J311" s="44" t="s">
        <v>2486</v>
      </c>
      <c r="K311" s="44" t="s">
        <v>2668</v>
      </c>
      <c r="L311" s="44" t="s">
        <v>2333</v>
      </c>
      <c r="M311" s="43">
        <v>26</v>
      </c>
      <c r="N311" s="113"/>
      <c r="O311" s="113"/>
      <c r="P311" s="113"/>
      <c r="Q311" s="113"/>
      <c r="R311" s="113"/>
      <c r="S311" s="113"/>
      <c r="T311" s="113"/>
      <c r="U311" s="113"/>
      <c r="V311" s="113"/>
      <c r="W311" s="113"/>
      <c r="X311" s="113"/>
      <c r="Y311" s="113"/>
      <c r="Z311" s="113"/>
      <c r="AA311" s="113"/>
      <c r="AB311" s="113"/>
      <c r="AC311" s="113"/>
      <c r="AD311" s="113" t="s">
        <v>1113</v>
      </c>
      <c r="AE311" s="113"/>
      <c r="AF311" s="113"/>
      <c r="AG311" s="113"/>
      <c r="AH311" s="113"/>
      <c r="AI311" s="113"/>
      <c r="AJ311" s="113"/>
      <c r="AK311" s="319" t="s">
        <v>1113</v>
      </c>
      <c r="AL311" s="113"/>
      <c r="AM311" s="113"/>
      <c r="AN311" s="113"/>
      <c r="AO311" s="44" t="s">
        <v>2334</v>
      </c>
      <c r="AP311" s="43"/>
      <c r="AQ311" s="236" t="str">
        <f>VLOOKUP(Table8[[#This Row],[Instrument]],Def_Targets!$D$73:$E$159,2,FALSE)</f>
        <v>I_Shipping</v>
      </c>
      <c r="AR311" s="233" t="str">
        <f>VLOOKUP(Table8[[#This Row],[Country Code]],Table29[],3,FALSE)</f>
        <v>Non-Annex I</v>
      </c>
      <c r="AS311" s="233" t="str">
        <f>VLOOKUP(Table8[[#This Row],[Country Code]],Table29[],4,FALSE)</f>
        <v>Africa</v>
      </c>
      <c r="AT311" s="233" t="str">
        <f>VLOOKUP(Table8[[#This Row],[Country Code]],Table29[],5,FALSE)</f>
        <v>Middle-income</v>
      </c>
      <c r="AU311" s="233" t="str">
        <f>VLOOKUP(Table8[[#This Row],[Country Code]],Table29[],6,FALSE)</f>
        <v>no</v>
      </c>
      <c r="AV311" s="233" t="str">
        <f>VLOOKUP(Table8[[#This Row],[Country Code]],Table29[],7,FALSE)</f>
        <v>no</v>
      </c>
      <c r="AW311" s="233" t="str">
        <f>VLOOKUP(Table8[[#This Row],[Country Code]],Table29[],8,FALSE)</f>
        <v>non-OECD</v>
      </c>
      <c r="AX311" s="233" t="str">
        <f>VLOOKUP(Table8[[#This Row],[Country Code]],Table29[],9,FALSE)</f>
        <v>no</v>
      </c>
      <c r="AY311" s="233" t="str">
        <f>VLOOKUP(Table8[[#This Row],[Country Code]],Table29[],10,FALSE)</f>
        <v>no</v>
      </c>
      <c r="AZ311" s="235">
        <f>VLOOKUP(Table8[[#This Row],[Country Code]],Table29[],23,FALSE)</f>
        <v>1.2315183876125</v>
      </c>
      <c r="BA311" s="235">
        <f>VLOOKUP(Table8[[#This Row],[Country Code]],Table29[],24,FALSE)</f>
        <v>0.58681111832995647</v>
      </c>
      <c r="BB311" s="320"/>
      <c r="BC311" s="320"/>
    </row>
    <row r="312" spans="1:55" ht="60" hidden="1" x14ac:dyDescent="0.25">
      <c r="A312" s="373">
        <v>17546</v>
      </c>
      <c r="B312" s="233" t="str">
        <f>VLOOKUP(Table8[[#This Row],[Document ID]],Table1[],2,FALSE)</f>
        <v>CPV</v>
      </c>
      <c r="C312" s="233" t="str">
        <f>VLOOKUP(Table8[[#This Row],[Document ID]],Table1[],3,FALSE)</f>
        <v>Cabo Verde</v>
      </c>
      <c r="D312" s="243" t="str">
        <f>VLOOKUP(Table8[[#This Row],[Document ID]],Table1[],5,FALSE)</f>
        <v>NDC</v>
      </c>
      <c r="E312" s="233" t="str">
        <f>VLOOKUP(Table8[[#This Row],[Document ID]],Table1[],7,FALSE)</f>
        <v>First NDC updated</v>
      </c>
      <c r="F312" s="233" t="str">
        <f>VLOOKUP(Table8[[#This Row],[Document ID]],Table1[],8,FALSE)</f>
        <v>NDC 1.1</v>
      </c>
      <c r="G312" s="233" t="str">
        <f>VLOOKUP(Table8[[#This Row],[Document ID]],Table1[],10,FALSE)</f>
        <v>Active</v>
      </c>
      <c r="H312" s="43" t="s">
        <v>2484</v>
      </c>
      <c r="I312" s="43" t="s">
        <v>2485</v>
      </c>
      <c r="J312" s="44" t="s">
        <v>2669</v>
      </c>
      <c r="K312" s="44" t="s">
        <v>2668</v>
      </c>
      <c r="L312" s="44" t="s">
        <v>2333</v>
      </c>
      <c r="M312" s="43">
        <v>26</v>
      </c>
      <c r="N312" s="113"/>
      <c r="O312" s="113"/>
      <c r="P312" s="113"/>
      <c r="Q312" s="113"/>
      <c r="R312" s="113"/>
      <c r="S312" s="113"/>
      <c r="T312" s="113"/>
      <c r="U312" s="113"/>
      <c r="V312" s="113"/>
      <c r="W312" s="113"/>
      <c r="X312" s="113"/>
      <c r="Y312" s="113"/>
      <c r="Z312" s="113"/>
      <c r="AA312" s="113"/>
      <c r="AB312" s="113"/>
      <c r="AC312" s="113"/>
      <c r="AD312" s="113" t="s">
        <v>1113</v>
      </c>
      <c r="AE312" s="113"/>
      <c r="AF312" s="113"/>
      <c r="AG312" s="113"/>
      <c r="AH312" s="113"/>
      <c r="AI312" s="113"/>
      <c r="AJ312" s="113"/>
      <c r="AK312" s="319" t="s">
        <v>1113</v>
      </c>
      <c r="AL312" s="113"/>
      <c r="AM312" s="113"/>
      <c r="AN312" s="113"/>
      <c r="AO312" s="44" t="s">
        <v>2334</v>
      </c>
      <c r="AP312" s="43"/>
      <c r="AQ312" s="236" t="str">
        <f>VLOOKUP(Table8[[#This Row],[Instrument]],Def_Targets!$D$73:$E$159,2,FALSE)</f>
        <v>I_Shipefficiency</v>
      </c>
      <c r="AR312" s="233" t="str">
        <f>VLOOKUP(Table8[[#This Row],[Country Code]],Table29[],3,FALSE)</f>
        <v>Non-Annex I</v>
      </c>
      <c r="AS312" s="233" t="str">
        <f>VLOOKUP(Table8[[#This Row],[Country Code]],Table29[],4,FALSE)</f>
        <v>Africa</v>
      </c>
      <c r="AT312" s="233" t="str">
        <f>VLOOKUP(Table8[[#This Row],[Country Code]],Table29[],5,FALSE)</f>
        <v>Middle-income</v>
      </c>
      <c r="AU312" s="233" t="str">
        <f>VLOOKUP(Table8[[#This Row],[Country Code]],Table29[],6,FALSE)</f>
        <v>no</v>
      </c>
      <c r="AV312" s="233" t="str">
        <f>VLOOKUP(Table8[[#This Row],[Country Code]],Table29[],7,FALSE)</f>
        <v>no</v>
      </c>
      <c r="AW312" s="233" t="str">
        <f>VLOOKUP(Table8[[#This Row],[Country Code]],Table29[],8,FALSE)</f>
        <v>non-OECD</v>
      </c>
      <c r="AX312" s="233" t="str">
        <f>VLOOKUP(Table8[[#This Row],[Country Code]],Table29[],9,FALSE)</f>
        <v>no</v>
      </c>
      <c r="AY312" s="233" t="str">
        <f>VLOOKUP(Table8[[#This Row],[Country Code]],Table29[],10,FALSE)</f>
        <v>no</v>
      </c>
      <c r="AZ312" s="235">
        <f>VLOOKUP(Table8[[#This Row],[Country Code]],Table29[],23,FALSE)</f>
        <v>1.2315183876125</v>
      </c>
      <c r="BA312" s="235">
        <f>VLOOKUP(Table8[[#This Row],[Country Code]],Table29[],24,FALSE)</f>
        <v>0.58681111832995647</v>
      </c>
      <c r="BB312" s="320"/>
      <c r="BC312" s="320"/>
    </row>
    <row r="313" spans="1:55" ht="60" hidden="1" x14ac:dyDescent="0.25">
      <c r="A313" s="373">
        <v>17546</v>
      </c>
      <c r="B313" s="233" t="str">
        <f>VLOOKUP(Table8[[#This Row],[Document ID]],Table1[],2,FALSE)</f>
        <v>CPV</v>
      </c>
      <c r="C313" s="233" t="str">
        <f>VLOOKUP(Table8[[#This Row],[Document ID]],Table1[],3,FALSE)</f>
        <v>Cabo Verde</v>
      </c>
      <c r="D313" s="243" t="str">
        <f>VLOOKUP(Table8[[#This Row],[Document ID]],Table1[],5,FALSE)</f>
        <v>NDC</v>
      </c>
      <c r="E313" s="233" t="str">
        <f>VLOOKUP(Table8[[#This Row],[Document ID]],Table1[],7,FALSE)</f>
        <v>First NDC updated</v>
      </c>
      <c r="F313" s="233" t="str">
        <f>VLOOKUP(Table8[[#This Row],[Document ID]],Table1[],8,FALSE)</f>
        <v>NDC 1.1</v>
      </c>
      <c r="G313" s="233" t="str">
        <f>VLOOKUP(Table8[[#This Row],[Document ID]],Table1[],10,FALSE)</f>
        <v>Active</v>
      </c>
      <c r="H313" s="43" t="s">
        <v>2350</v>
      </c>
      <c r="I313" s="43" t="s">
        <v>2351</v>
      </c>
      <c r="J313" s="44" t="s">
        <v>2447</v>
      </c>
      <c r="K313" s="44" t="s">
        <v>2668</v>
      </c>
      <c r="L313" s="44" t="s">
        <v>2380</v>
      </c>
      <c r="M313" s="43">
        <v>26</v>
      </c>
      <c r="N313" s="113"/>
      <c r="O313" s="113"/>
      <c r="P313" s="113"/>
      <c r="Q313" s="113"/>
      <c r="R313" s="113"/>
      <c r="S313" s="113"/>
      <c r="T313" s="113"/>
      <c r="U313" s="113"/>
      <c r="V313" s="113"/>
      <c r="W313" s="113"/>
      <c r="X313" s="113"/>
      <c r="Y313" s="113"/>
      <c r="Z313" s="113"/>
      <c r="AA313" s="113"/>
      <c r="AB313" s="113"/>
      <c r="AC313" s="113"/>
      <c r="AD313" s="113" t="s">
        <v>1113</v>
      </c>
      <c r="AE313" s="113"/>
      <c r="AF313" s="113"/>
      <c r="AG313" s="113"/>
      <c r="AH313" s="113"/>
      <c r="AI313" s="113"/>
      <c r="AJ313" s="113"/>
      <c r="AK313" s="319" t="s">
        <v>1113</v>
      </c>
      <c r="AL313" s="113"/>
      <c r="AM313" s="113"/>
      <c r="AN313" s="113"/>
      <c r="AO313" s="43" t="s">
        <v>2353</v>
      </c>
      <c r="AP313" s="44"/>
      <c r="AQ313" s="236" t="str">
        <f>VLOOKUP(Table8[[#This Row],[Instrument]],Def_Targets!$D$73:$E$159,2,FALSE)</f>
        <v>I_Freighteff</v>
      </c>
      <c r="AR313" s="233" t="str">
        <f>VLOOKUP(Table8[[#This Row],[Country Code]],Table29[],3,FALSE)</f>
        <v>Non-Annex I</v>
      </c>
      <c r="AS313" s="233" t="str">
        <f>VLOOKUP(Table8[[#This Row],[Country Code]],Table29[],4,FALSE)</f>
        <v>Africa</v>
      </c>
      <c r="AT313" s="233" t="str">
        <f>VLOOKUP(Table8[[#This Row],[Country Code]],Table29[],5,FALSE)</f>
        <v>Middle-income</v>
      </c>
      <c r="AU313" s="233" t="str">
        <f>VLOOKUP(Table8[[#This Row],[Country Code]],Table29[],6,FALSE)</f>
        <v>no</v>
      </c>
      <c r="AV313" s="233" t="str">
        <f>VLOOKUP(Table8[[#This Row],[Country Code]],Table29[],7,FALSE)</f>
        <v>no</v>
      </c>
      <c r="AW313" s="233" t="str">
        <f>VLOOKUP(Table8[[#This Row],[Country Code]],Table29[],8,FALSE)</f>
        <v>non-OECD</v>
      </c>
      <c r="AX313" s="233" t="str">
        <f>VLOOKUP(Table8[[#This Row],[Country Code]],Table29[],9,FALSE)</f>
        <v>no</v>
      </c>
      <c r="AY313" s="233" t="str">
        <f>VLOOKUP(Table8[[#This Row],[Country Code]],Table29[],10,FALSE)</f>
        <v>no</v>
      </c>
      <c r="AZ313" s="235">
        <f>VLOOKUP(Table8[[#This Row],[Country Code]],Table29[],23,FALSE)</f>
        <v>1.2315183876125</v>
      </c>
      <c r="BA313" s="235">
        <f>VLOOKUP(Table8[[#This Row],[Country Code]],Table29[],24,FALSE)</f>
        <v>0.58681111832995647</v>
      </c>
      <c r="BB313" s="320"/>
      <c r="BC313" s="320"/>
    </row>
    <row r="314" spans="1:55" ht="45" hidden="1" x14ac:dyDescent="0.25">
      <c r="A314" s="373">
        <v>17546</v>
      </c>
      <c r="B314" s="233" t="str">
        <f>VLOOKUP(Table8[[#This Row],[Document ID]],Table1[],2,FALSE)</f>
        <v>CPV</v>
      </c>
      <c r="C314" s="233" t="str">
        <f>VLOOKUP(Table8[[#This Row],[Document ID]],Table1[],3,FALSE)</f>
        <v>Cabo Verde</v>
      </c>
      <c r="D314" s="243" t="str">
        <f>VLOOKUP(Table8[[#This Row],[Document ID]],Table1[],5,FALSE)</f>
        <v>NDC</v>
      </c>
      <c r="E314" s="233" t="str">
        <f>VLOOKUP(Table8[[#This Row],[Document ID]],Table1[],7,FALSE)</f>
        <v>First NDC updated</v>
      </c>
      <c r="F314" s="233" t="str">
        <f>VLOOKUP(Table8[[#This Row],[Document ID]],Table1[],8,FALSE)</f>
        <v>NDC 1.1</v>
      </c>
      <c r="G314" s="233" t="str">
        <f>VLOOKUP(Table8[[#This Row],[Document ID]],Table1[],10,FALSE)</f>
        <v>Active</v>
      </c>
      <c r="H314" s="43" t="s">
        <v>2484</v>
      </c>
      <c r="I314" s="43" t="s">
        <v>2485</v>
      </c>
      <c r="J314" s="44" t="s">
        <v>2486</v>
      </c>
      <c r="K314" s="44" t="s">
        <v>2670</v>
      </c>
      <c r="L314" s="44" t="s">
        <v>2333</v>
      </c>
      <c r="M314" s="43">
        <v>26</v>
      </c>
      <c r="N314" s="113"/>
      <c r="O314" s="113"/>
      <c r="P314" s="113"/>
      <c r="Q314" s="113"/>
      <c r="R314" s="113"/>
      <c r="S314" s="113"/>
      <c r="T314" s="113"/>
      <c r="U314" s="113"/>
      <c r="V314" s="113"/>
      <c r="W314" s="113"/>
      <c r="X314" s="113"/>
      <c r="Y314" s="113"/>
      <c r="Z314" s="113"/>
      <c r="AA314" s="113"/>
      <c r="AB314" s="113"/>
      <c r="AC314" s="113"/>
      <c r="AD314" s="113" t="s">
        <v>1113</v>
      </c>
      <c r="AE314" s="113"/>
      <c r="AF314" s="113"/>
      <c r="AG314" s="113"/>
      <c r="AH314" s="113"/>
      <c r="AI314" s="113"/>
      <c r="AJ314" s="113"/>
      <c r="AK314" s="319" t="s">
        <v>1113</v>
      </c>
      <c r="AL314" s="113"/>
      <c r="AM314" s="113"/>
      <c r="AN314" s="113"/>
      <c r="AO314" s="43" t="s">
        <v>2477</v>
      </c>
      <c r="AP314" s="43"/>
      <c r="AQ314" s="236" t="str">
        <f>VLOOKUP(Table8[[#This Row],[Instrument]],Def_Targets!$D$73:$E$159,2,FALSE)</f>
        <v>I_Shipping</v>
      </c>
      <c r="AR314" s="233" t="str">
        <f>VLOOKUP(Table8[[#This Row],[Country Code]],Table29[],3,FALSE)</f>
        <v>Non-Annex I</v>
      </c>
      <c r="AS314" s="233" t="str">
        <f>VLOOKUP(Table8[[#This Row],[Country Code]],Table29[],4,FALSE)</f>
        <v>Africa</v>
      </c>
      <c r="AT314" s="233" t="str">
        <f>VLOOKUP(Table8[[#This Row],[Country Code]],Table29[],5,FALSE)</f>
        <v>Middle-income</v>
      </c>
      <c r="AU314" s="233" t="str">
        <f>VLOOKUP(Table8[[#This Row],[Country Code]],Table29[],6,FALSE)</f>
        <v>no</v>
      </c>
      <c r="AV314" s="233" t="str">
        <f>VLOOKUP(Table8[[#This Row],[Country Code]],Table29[],7,FALSE)</f>
        <v>no</v>
      </c>
      <c r="AW314" s="233" t="str">
        <f>VLOOKUP(Table8[[#This Row],[Country Code]],Table29[],8,FALSE)</f>
        <v>non-OECD</v>
      </c>
      <c r="AX314" s="233" t="str">
        <f>VLOOKUP(Table8[[#This Row],[Country Code]],Table29[],9,FALSE)</f>
        <v>no</v>
      </c>
      <c r="AY314" s="233" t="str">
        <f>VLOOKUP(Table8[[#This Row],[Country Code]],Table29[],10,FALSE)</f>
        <v>no</v>
      </c>
      <c r="AZ314" s="235">
        <f>VLOOKUP(Table8[[#This Row],[Country Code]],Table29[],23,FALSE)</f>
        <v>1.2315183876125</v>
      </c>
      <c r="BA314" s="235">
        <f>VLOOKUP(Table8[[#This Row],[Country Code]],Table29[],24,FALSE)</f>
        <v>0.58681111832995647</v>
      </c>
      <c r="BB314" s="320"/>
      <c r="BC314" s="320"/>
    </row>
    <row r="315" spans="1:55" ht="45" hidden="1" x14ac:dyDescent="0.25">
      <c r="A315" s="373">
        <v>17546</v>
      </c>
      <c r="B315" s="233" t="str">
        <f>VLOOKUP(Table8[[#This Row],[Document ID]],Table1[],2,FALSE)</f>
        <v>CPV</v>
      </c>
      <c r="C315" s="233" t="str">
        <f>VLOOKUP(Table8[[#This Row],[Document ID]],Table1[],3,FALSE)</f>
        <v>Cabo Verde</v>
      </c>
      <c r="D315" s="243" t="str">
        <f>VLOOKUP(Table8[[#This Row],[Document ID]],Table1[],5,FALSE)</f>
        <v>NDC</v>
      </c>
      <c r="E315" s="233" t="str">
        <f>VLOOKUP(Table8[[#This Row],[Document ID]],Table1[],7,FALSE)</f>
        <v>First NDC updated</v>
      </c>
      <c r="F315" s="233" t="str">
        <f>VLOOKUP(Table8[[#This Row],[Document ID]],Table1[],8,FALSE)</f>
        <v>NDC 1.1</v>
      </c>
      <c r="G315" s="233" t="str">
        <f>VLOOKUP(Table8[[#This Row],[Document ID]],Table1[],10,FALSE)</f>
        <v>Active</v>
      </c>
      <c r="H315" s="43" t="s">
        <v>2358</v>
      </c>
      <c r="I315" s="43" t="s">
        <v>2359</v>
      </c>
      <c r="J315" s="44" t="s">
        <v>2360</v>
      </c>
      <c r="K315" s="44" t="s">
        <v>2671</v>
      </c>
      <c r="L315" s="44" t="s">
        <v>2471</v>
      </c>
      <c r="M315" s="43">
        <v>26</v>
      </c>
      <c r="N315" s="113"/>
      <c r="O315" s="113"/>
      <c r="P315" s="113"/>
      <c r="Q315" s="113"/>
      <c r="R315" s="113"/>
      <c r="S315" s="113" t="s">
        <v>1113</v>
      </c>
      <c r="T315" s="113"/>
      <c r="U315" s="113"/>
      <c r="V315" s="113"/>
      <c r="W315" s="113"/>
      <c r="X315" s="113"/>
      <c r="Y315" s="113"/>
      <c r="Z315" s="113"/>
      <c r="AA315" s="113"/>
      <c r="AB315" s="113"/>
      <c r="AC315" s="113"/>
      <c r="AD315" s="113"/>
      <c r="AE315" s="113"/>
      <c r="AF315" s="113"/>
      <c r="AG315" s="113"/>
      <c r="AH315" s="113"/>
      <c r="AI315" s="113"/>
      <c r="AJ315" s="113"/>
      <c r="AK315" s="319" t="s">
        <v>1113</v>
      </c>
      <c r="AL315" s="113"/>
      <c r="AM315" s="113"/>
      <c r="AN315" s="113"/>
      <c r="AO315" s="43" t="s">
        <v>2477</v>
      </c>
      <c r="AP315" s="43"/>
      <c r="AQ315" s="236" t="str">
        <f>VLOOKUP(Table8[[#This Row],[Instrument]],Def_Targets!$D$73:$E$159,2,FALSE)</f>
        <v>I_Emobility</v>
      </c>
      <c r="AR315" s="233" t="str">
        <f>VLOOKUP(Table8[[#This Row],[Country Code]],Table29[],3,FALSE)</f>
        <v>Non-Annex I</v>
      </c>
      <c r="AS315" s="233" t="str">
        <f>VLOOKUP(Table8[[#This Row],[Country Code]],Table29[],4,FALSE)</f>
        <v>Africa</v>
      </c>
      <c r="AT315" s="233" t="str">
        <f>VLOOKUP(Table8[[#This Row],[Country Code]],Table29[],5,FALSE)</f>
        <v>Middle-income</v>
      </c>
      <c r="AU315" s="233" t="str">
        <f>VLOOKUP(Table8[[#This Row],[Country Code]],Table29[],6,FALSE)</f>
        <v>no</v>
      </c>
      <c r="AV315" s="233" t="str">
        <f>VLOOKUP(Table8[[#This Row],[Country Code]],Table29[],7,FALSE)</f>
        <v>no</v>
      </c>
      <c r="AW315" s="233" t="str">
        <f>VLOOKUP(Table8[[#This Row],[Country Code]],Table29[],8,FALSE)</f>
        <v>non-OECD</v>
      </c>
      <c r="AX315" s="233" t="str">
        <f>VLOOKUP(Table8[[#This Row],[Country Code]],Table29[],9,FALSE)</f>
        <v>no</v>
      </c>
      <c r="AY315" s="233" t="str">
        <f>VLOOKUP(Table8[[#This Row],[Country Code]],Table29[],10,FALSE)</f>
        <v>no</v>
      </c>
      <c r="AZ315" s="235">
        <f>VLOOKUP(Table8[[#This Row],[Country Code]],Table29[],23,FALSE)</f>
        <v>1.2315183876125</v>
      </c>
      <c r="BA315" s="235">
        <f>VLOOKUP(Table8[[#This Row],[Country Code]],Table29[],24,FALSE)</f>
        <v>0.58681111832995647</v>
      </c>
      <c r="BB315" s="320"/>
      <c r="BC315" s="320"/>
    </row>
    <row r="316" spans="1:55" hidden="1" x14ac:dyDescent="0.25">
      <c r="A316" s="373">
        <v>17546</v>
      </c>
      <c r="B316" s="233" t="str">
        <f>VLOOKUP(Table8[[#This Row],[Document ID]],Table1[],2,FALSE)</f>
        <v>CPV</v>
      </c>
      <c r="C316" s="233" t="str">
        <f>VLOOKUP(Table8[[#This Row],[Document ID]],Table1[],3,FALSE)</f>
        <v>Cabo Verde</v>
      </c>
      <c r="D316" s="243" t="str">
        <f>VLOOKUP(Table8[[#This Row],[Document ID]],Table1[],5,FALSE)</f>
        <v>NDC</v>
      </c>
      <c r="E316" s="233" t="str">
        <f>VLOOKUP(Table8[[#This Row],[Document ID]],Table1[],7,FALSE)</f>
        <v>First NDC updated</v>
      </c>
      <c r="F316" s="233" t="str">
        <f>VLOOKUP(Table8[[#This Row],[Document ID]],Table1[],8,FALSE)</f>
        <v>NDC 1.1</v>
      </c>
      <c r="G316" s="233" t="str">
        <f>VLOOKUP(Table8[[#This Row],[Document ID]],Table1[],10,FALSE)</f>
        <v>Active</v>
      </c>
      <c r="H316" s="44" t="s">
        <v>2329</v>
      </c>
      <c r="I316" s="44" t="s">
        <v>2330</v>
      </c>
      <c r="J316" s="44" t="s">
        <v>2414</v>
      </c>
      <c r="K316" s="44" t="s">
        <v>2672</v>
      </c>
      <c r="L316" s="44" t="s">
        <v>2333</v>
      </c>
      <c r="M316" s="43">
        <v>26</v>
      </c>
      <c r="N316" s="113" t="s">
        <v>1113</v>
      </c>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319" t="s">
        <v>1113</v>
      </c>
      <c r="AL316" s="113"/>
      <c r="AM316" s="113"/>
      <c r="AN316" s="113"/>
      <c r="AO316" s="44" t="s">
        <v>2334</v>
      </c>
      <c r="AP316" s="43"/>
      <c r="AQ316" s="236" t="str">
        <f>VLOOKUP(Table8[[#This Row],[Instrument]],Def_Targets!$D$73:$E$159,2,FALSE)</f>
        <v>I_ICEdiesel</v>
      </c>
      <c r="AR316" s="233" t="str">
        <f>VLOOKUP(Table8[[#This Row],[Country Code]],Table29[],3,FALSE)</f>
        <v>Non-Annex I</v>
      </c>
      <c r="AS316" s="233" t="str">
        <f>VLOOKUP(Table8[[#This Row],[Country Code]],Table29[],4,FALSE)</f>
        <v>Africa</v>
      </c>
      <c r="AT316" s="233" t="str">
        <f>VLOOKUP(Table8[[#This Row],[Country Code]],Table29[],5,FALSE)</f>
        <v>Middle-income</v>
      </c>
      <c r="AU316" s="233" t="str">
        <f>VLOOKUP(Table8[[#This Row],[Country Code]],Table29[],6,FALSE)</f>
        <v>no</v>
      </c>
      <c r="AV316" s="233" t="str">
        <f>VLOOKUP(Table8[[#This Row],[Country Code]],Table29[],7,FALSE)</f>
        <v>no</v>
      </c>
      <c r="AW316" s="233" t="str">
        <f>VLOOKUP(Table8[[#This Row],[Country Code]],Table29[],8,FALSE)</f>
        <v>non-OECD</v>
      </c>
      <c r="AX316" s="233" t="str">
        <f>VLOOKUP(Table8[[#This Row],[Country Code]],Table29[],9,FALSE)</f>
        <v>no</v>
      </c>
      <c r="AY316" s="233" t="str">
        <f>VLOOKUP(Table8[[#This Row],[Country Code]],Table29[],10,FALSE)</f>
        <v>no</v>
      </c>
      <c r="AZ316" s="235">
        <f>VLOOKUP(Table8[[#This Row],[Country Code]],Table29[],23,FALSE)</f>
        <v>1.2315183876125</v>
      </c>
      <c r="BA316" s="235">
        <f>VLOOKUP(Table8[[#This Row],[Country Code]],Table29[],24,FALSE)</f>
        <v>0.58681111832995647</v>
      </c>
      <c r="BB316" s="320"/>
      <c r="BC316" s="320"/>
    </row>
    <row r="317" spans="1:55" ht="45" hidden="1" x14ac:dyDescent="0.25">
      <c r="A317" s="373">
        <v>17546</v>
      </c>
      <c r="B317" s="233" t="str">
        <f>VLOOKUP(Table8[[#This Row],[Document ID]],Table1[],2,FALSE)</f>
        <v>CPV</v>
      </c>
      <c r="C317" s="233" t="str">
        <f>VLOOKUP(Table8[[#This Row],[Document ID]],Table1[],3,FALSE)</f>
        <v>Cabo Verde</v>
      </c>
      <c r="D317" s="243" t="str">
        <f>VLOOKUP(Table8[[#This Row],[Document ID]],Table1[],5,FALSE)</f>
        <v>NDC</v>
      </c>
      <c r="E317" s="233" t="str">
        <f>VLOOKUP(Table8[[#This Row],[Document ID]],Table1[],7,FALSE)</f>
        <v>First NDC updated</v>
      </c>
      <c r="F317" s="233" t="str">
        <f>VLOOKUP(Table8[[#This Row],[Document ID]],Table1[],8,FALSE)</f>
        <v>NDC 1.1</v>
      </c>
      <c r="G317" s="233" t="str">
        <f>VLOOKUP(Table8[[#This Row],[Document ID]],Table1[],10,FALSE)</f>
        <v>Active</v>
      </c>
      <c r="H317" s="43" t="s">
        <v>2343</v>
      </c>
      <c r="I317" s="43" t="s">
        <v>2386</v>
      </c>
      <c r="J317" s="44" t="s">
        <v>2387</v>
      </c>
      <c r="K317" s="44" t="s">
        <v>2673</v>
      </c>
      <c r="L317" s="44" t="s">
        <v>2333</v>
      </c>
      <c r="M317" s="43">
        <v>26</v>
      </c>
      <c r="N317" s="113"/>
      <c r="O317" s="113"/>
      <c r="P317" s="113"/>
      <c r="Q317" s="113"/>
      <c r="R317" s="113"/>
      <c r="S317" s="113"/>
      <c r="T317" s="113"/>
      <c r="U317" s="113"/>
      <c r="V317" s="113"/>
      <c r="W317" s="113"/>
      <c r="X317" s="113"/>
      <c r="Y317" s="113" t="s">
        <v>1113</v>
      </c>
      <c r="Z317" s="113"/>
      <c r="AA317" s="113"/>
      <c r="AB317" s="113"/>
      <c r="AC317" s="113"/>
      <c r="AD317" s="113"/>
      <c r="AE317" s="113"/>
      <c r="AF317" s="113"/>
      <c r="AG317" s="113"/>
      <c r="AH317" s="113"/>
      <c r="AI317" s="113"/>
      <c r="AJ317" s="113"/>
      <c r="AK317" s="113"/>
      <c r="AL317" s="113" t="s">
        <v>1113</v>
      </c>
      <c r="AM317" s="113"/>
      <c r="AN317" s="113"/>
      <c r="AO317" s="43" t="s">
        <v>2348</v>
      </c>
      <c r="AP317" s="43"/>
      <c r="AQ317" s="236" t="str">
        <f>VLOOKUP(Table8[[#This Row],[Instrument]],Def_Targets!$D$73:$E$159,2,FALSE)</f>
        <v>A_Procurement</v>
      </c>
      <c r="AR317" s="233" t="str">
        <f>VLOOKUP(Table8[[#This Row],[Country Code]],Table29[],3,FALSE)</f>
        <v>Non-Annex I</v>
      </c>
      <c r="AS317" s="233" t="str">
        <f>VLOOKUP(Table8[[#This Row],[Country Code]],Table29[],4,FALSE)</f>
        <v>Africa</v>
      </c>
      <c r="AT317" s="233" t="str">
        <f>VLOOKUP(Table8[[#This Row],[Country Code]],Table29[],5,FALSE)</f>
        <v>Middle-income</v>
      </c>
      <c r="AU317" s="233" t="str">
        <f>VLOOKUP(Table8[[#This Row],[Country Code]],Table29[],6,FALSE)</f>
        <v>no</v>
      </c>
      <c r="AV317" s="233" t="str">
        <f>VLOOKUP(Table8[[#This Row],[Country Code]],Table29[],7,FALSE)</f>
        <v>no</v>
      </c>
      <c r="AW317" s="233" t="str">
        <f>VLOOKUP(Table8[[#This Row],[Country Code]],Table29[],8,FALSE)</f>
        <v>non-OECD</v>
      </c>
      <c r="AX317" s="233" t="str">
        <f>VLOOKUP(Table8[[#This Row],[Country Code]],Table29[],9,FALSE)</f>
        <v>no</v>
      </c>
      <c r="AY317" s="233" t="str">
        <f>VLOOKUP(Table8[[#This Row],[Country Code]],Table29[],10,FALSE)</f>
        <v>no</v>
      </c>
      <c r="AZ317" s="235">
        <f>VLOOKUP(Table8[[#This Row],[Country Code]],Table29[],23,FALSE)</f>
        <v>1.2315183876125</v>
      </c>
      <c r="BA317" s="235">
        <f>VLOOKUP(Table8[[#This Row],[Country Code]],Table29[],24,FALSE)</f>
        <v>0.58681111832995647</v>
      </c>
      <c r="BB317" s="320"/>
      <c r="BC317" s="320"/>
    </row>
    <row r="318" spans="1:55" ht="45" hidden="1" x14ac:dyDescent="0.25">
      <c r="A318" s="373">
        <v>17546</v>
      </c>
      <c r="B318" s="233" t="str">
        <f>VLOOKUP(Table8[[#This Row],[Document ID]],Table1[],2,FALSE)</f>
        <v>CPV</v>
      </c>
      <c r="C318" s="233" t="str">
        <f>VLOOKUP(Table8[[#This Row],[Document ID]],Table1[],3,FALSE)</f>
        <v>Cabo Verde</v>
      </c>
      <c r="D318" s="243" t="str">
        <f>VLOOKUP(Table8[[#This Row],[Document ID]],Table1[],5,FALSE)</f>
        <v>NDC</v>
      </c>
      <c r="E318" s="233" t="str">
        <f>VLOOKUP(Table8[[#This Row],[Document ID]],Table1[],7,FALSE)</f>
        <v>First NDC updated</v>
      </c>
      <c r="F318" s="233" t="str">
        <f>VLOOKUP(Table8[[#This Row],[Document ID]],Table1[],8,FALSE)</f>
        <v>NDC 1.1</v>
      </c>
      <c r="G318" s="233" t="str">
        <f>VLOOKUP(Table8[[#This Row],[Document ID]],Table1[],10,FALSE)</f>
        <v>Active</v>
      </c>
      <c r="H318" s="43" t="s">
        <v>2358</v>
      </c>
      <c r="I318" s="43" t="s">
        <v>2359</v>
      </c>
      <c r="J318" s="44" t="s">
        <v>2360</v>
      </c>
      <c r="K318" s="44" t="s">
        <v>2673</v>
      </c>
      <c r="L318" s="44" t="s">
        <v>2333</v>
      </c>
      <c r="M318" s="43">
        <v>26</v>
      </c>
      <c r="N318" s="113"/>
      <c r="O318" s="113"/>
      <c r="P318" s="113"/>
      <c r="Q318" s="113"/>
      <c r="R318" s="113"/>
      <c r="S318" s="113"/>
      <c r="T318" s="113"/>
      <c r="U318" s="113"/>
      <c r="V318" s="113"/>
      <c r="W318" s="113"/>
      <c r="X318" s="113"/>
      <c r="Y318" s="113" t="s">
        <v>1113</v>
      </c>
      <c r="Z318" s="113"/>
      <c r="AA318" s="113"/>
      <c r="AB318" s="113"/>
      <c r="AC318" s="113"/>
      <c r="AD318" s="113"/>
      <c r="AE318" s="113"/>
      <c r="AF318" s="113"/>
      <c r="AG318" s="113"/>
      <c r="AH318" s="113"/>
      <c r="AI318" s="113"/>
      <c r="AJ318" s="113"/>
      <c r="AK318" s="113"/>
      <c r="AL318" s="113" t="s">
        <v>1113</v>
      </c>
      <c r="AM318" s="113"/>
      <c r="AN318" s="113"/>
      <c r="AO318" s="43" t="s">
        <v>2348</v>
      </c>
      <c r="AP318" s="43"/>
      <c r="AQ318" s="236" t="str">
        <f>VLOOKUP(Table8[[#This Row],[Instrument]],Def_Targets!$D$73:$E$159,2,FALSE)</f>
        <v>I_Emobility</v>
      </c>
      <c r="AR318" s="233" t="str">
        <f>VLOOKUP(Table8[[#This Row],[Country Code]],Table29[],3,FALSE)</f>
        <v>Non-Annex I</v>
      </c>
      <c r="AS318" s="233" t="str">
        <f>VLOOKUP(Table8[[#This Row],[Country Code]],Table29[],4,FALSE)</f>
        <v>Africa</v>
      </c>
      <c r="AT318" s="233" t="str">
        <f>VLOOKUP(Table8[[#This Row],[Country Code]],Table29[],5,FALSE)</f>
        <v>Middle-income</v>
      </c>
      <c r="AU318" s="233" t="str">
        <f>VLOOKUP(Table8[[#This Row],[Country Code]],Table29[],6,FALSE)</f>
        <v>no</v>
      </c>
      <c r="AV318" s="233" t="str">
        <f>VLOOKUP(Table8[[#This Row],[Country Code]],Table29[],7,FALSE)</f>
        <v>no</v>
      </c>
      <c r="AW318" s="233" t="str">
        <f>VLOOKUP(Table8[[#This Row],[Country Code]],Table29[],8,FALSE)</f>
        <v>non-OECD</v>
      </c>
      <c r="AX318" s="233" t="str">
        <f>VLOOKUP(Table8[[#This Row],[Country Code]],Table29[],9,FALSE)</f>
        <v>no</v>
      </c>
      <c r="AY318" s="233" t="str">
        <f>VLOOKUP(Table8[[#This Row],[Country Code]],Table29[],10,FALSE)</f>
        <v>no</v>
      </c>
      <c r="AZ318" s="235">
        <f>VLOOKUP(Table8[[#This Row],[Country Code]],Table29[],23,FALSE)</f>
        <v>1.2315183876125</v>
      </c>
      <c r="BA318" s="235">
        <f>VLOOKUP(Table8[[#This Row],[Country Code]],Table29[],24,FALSE)</f>
        <v>0.58681111832995647</v>
      </c>
      <c r="BB318" s="320"/>
      <c r="BC318" s="320"/>
    </row>
    <row r="319" spans="1:55" ht="60" hidden="1" x14ac:dyDescent="0.25">
      <c r="A319" s="373">
        <v>17546</v>
      </c>
      <c r="B319" s="233" t="str">
        <f>VLOOKUP(Table8[[#This Row],[Document ID]],Table1[],2,FALSE)</f>
        <v>CPV</v>
      </c>
      <c r="C319" s="233" t="str">
        <f>VLOOKUP(Table8[[#This Row],[Document ID]],Table1[],3,FALSE)</f>
        <v>Cabo Verde</v>
      </c>
      <c r="D319" s="243" t="str">
        <f>VLOOKUP(Table8[[#This Row],[Document ID]],Table1[],5,FALSE)</f>
        <v>NDC</v>
      </c>
      <c r="E319" s="233" t="str">
        <f>VLOOKUP(Table8[[#This Row],[Document ID]],Table1[],7,FALSE)</f>
        <v>First NDC updated</v>
      </c>
      <c r="F319" s="233" t="str">
        <f>VLOOKUP(Table8[[#This Row],[Document ID]],Table1[],8,FALSE)</f>
        <v>NDC 1.1</v>
      </c>
      <c r="G319" s="233" t="str">
        <f>VLOOKUP(Table8[[#This Row],[Document ID]],Table1[],10,FALSE)</f>
        <v>Active</v>
      </c>
      <c r="H319" s="43" t="s">
        <v>2358</v>
      </c>
      <c r="I319" s="43" t="s">
        <v>2359</v>
      </c>
      <c r="J319" s="44" t="s">
        <v>2383</v>
      </c>
      <c r="K319" s="44" t="s">
        <v>2674</v>
      </c>
      <c r="L319" s="44" t="s">
        <v>2333</v>
      </c>
      <c r="M319" s="43">
        <v>26</v>
      </c>
      <c r="N319" s="113" t="s">
        <v>1113</v>
      </c>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319" t="s">
        <v>1113</v>
      </c>
      <c r="AL319" s="113"/>
      <c r="AM319" s="113"/>
      <c r="AN319" s="113"/>
      <c r="AO319" s="44" t="s">
        <v>2334</v>
      </c>
      <c r="AP319" s="43"/>
      <c r="AQ319" s="236" t="str">
        <f>VLOOKUP(Table8[[#This Row],[Instrument]],Def_Targets!$D$73:$E$159,2,FALSE)</f>
        <v>I_Emobilitycharging</v>
      </c>
      <c r="AR319" s="233" t="str">
        <f>VLOOKUP(Table8[[#This Row],[Country Code]],Table29[],3,FALSE)</f>
        <v>Non-Annex I</v>
      </c>
      <c r="AS319" s="233" t="str">
        <f>VLOOKUP(Table8[[#This Row],[Country Code]],Table29[],4,FALSE)</f>
        <v>Africa</v>
      </c>
      <c r="AT319" s="233" t="str">
        <f>VLOOKUP(Table8[[#This Row],[Country Code]],Table29[],5,FALSE)</f>
        <v>Middle-income</v>
      </c>
      <c r="AU319" s="233" t="str">
        <f>VLOOKUP(Table8[[#This Row],[Country Code]],Table29[],6,FALSE)</f>
        <v>no</v>
      </c>
      <c r="AV319" s="233" t="str">
        <f>VLOOKUP(Table8[[#This Row],[Country Code]],Table29[],7,FALSE)</f>
        <v>no</v>
      </c>
      <c r="AW319" s="233" t="str">
        <f>VLOOKUP(Table8[[#This Row],[Country Code]],Table29[],8,FALSE)</f>
        <v>non-OECD</v>
      </c>
      <c r="AX319" s="233" t="str">
        <f>VLOOKUP(Table8[[#This Row],[Country Code]],Table29[],9,FALSE)</f>
        <v>no</v>
      </c>
      <c r="AY319" s="233" t="str">
        <f>VLOOKUP(Table8[[#This Row],[Country Code]],Table29[],10,FALSE)</f>
        <v>no</v>
      </c>
      <c r="AZ319" s="235">
        <f>VLOOKUP(Table8[[#This Row],[Country Code]],Table29[],23,FALSE)</f>
        <v>1.2315183876125</v>
      </c>
      <c r="BA319" s="235">
        <f>VLOOKUP(Table8[[#This Row],[Country Code]],Table29[],24,FALSE)</f>
        <v>0.58681111832995647</v>
      </c>
      <c r="BB319" s="320"/>
      <c r="BC319" s="320"/>
    </row>
    <row r="320" spans="1:55" hidden="1" x14ac:dyDescent="0.25">
      <c r="A320" s="373">
        <v>17547</v>
      </c>
      <c r="B320" s="233" t="str">
        <f>VLOOKUP(Table8[[#This Row],[Document ID]],Table1[],2,FALSE)</f>
        <v>KHM</v>
      </c>
      <c r="C320" s="233" t="str">
        <f>VLOOKUP(Table8[[#This Row],[Document ID]],Table1[],3,FALSE)</f>
        <v>Cambodia</v>
      </c>
      <c r="D320" s="243" t="str">
        <f>VLOOKUP(Table8[[#This Row],[Document ID]],Table1[],5,FALSE)</f>
        <v>NDC</v>
      </c>
      <c r="E320" s="233" t="str">
        <f>VLOOKUP(Table8[[#This Row],[Document ID]],Table1[],7,FALSE)</f>
        <v>First NDC</v>
      </c>
      <c r="F320" s="236" t="str">
        <f>VLOOKUP(Table8[[#This Row],[Document ID]],Table1[],8,FALSE)</f>
        <v>NDC 1.0</v>
      </c>
      <c r="G320" s="236" t="str">
        <f>VLOOKUP(Table8[[#This Row],[Document ID]],Table1[],10,FALSE)</f>
        <v>Archived</v>
      </c>
      <c r="H320" s="44" t="s">
        <v>2338</v>
      </c>
      <c r="I320" s="44" t="s">
        <v>2339</v>
      </c>
      <c r="J320" s="44" t="s">
        <v>2451</v>
      </c>
      <c r="K320" s="44" t="s">
        <v>2675</v>
      </c>
      <c r="L320" s="44" t="s">
        <v>2333</v>
      </c>
      <c r="M320" s="43"/>
      <c r="N320" s="113"/>
      <c r="O320" s="113"/>
      <c r="P320" s="113"/>
      <c r="Q320" s="319"/>
      <c r="R320" s="319"/>
      <c r="S320" s="113" t="s">
        <v>1113</v>
      </c>
      <c r="T320" s="319"/>
      <c r="U320" s="319"/>
      <c r="V320" s="319"/>
      <c r="W320" s="319"/>
      <c r="X320" s="319"/>
      <c r="Y320" s="319"/>
      <c r="Z320" s="319"/>
      <c r="AA320" s="319"/>
      <c r="AB320" s="319"/>
      <c r="AC320" s="319"/>
      <c r="AD320" s="319"/>
      <c r="AE320" s="319"/>
      <c r="AF320" s="319"/>
      <c r="AG320" s="319"/>
      <c r="AH320" s="319"/>
      <c r="AI320" s="319"/>
      <c r="AJ320" s="319"/>
      <c r="AK320" s="319" t="s">
        <v>1113</v>
      </c>
      <c r="AL320" s="319"/>
      <c r="AM320" s="319"/>
      <c r="AN320" s="319"/>
      <c r="AO320" s="44" t="s">
        <v>2334</v>
      </c>
      <c r="AP320" s="44"/>
      <c r="AQ320" s="236" t="str">
        <f>VLOOKUP(Table8[[#This Row],[Instrument]],Def_Targets!$D$73:$E$159,2,FALSE)</f>
        <v>I_Inspection</v>
      </c>
      <c r="AR320" s="233" t="str">
        <f>VLOOKUP(Table8[[#This Row],[Country Code]],Table29[],3,FALSE)</f>
        <v>Non-Annex I</v>
      </c>
      <c r="AS320" s="233" t="str">
        <f>VLOOKUP(Table8[[#This Row],[Country Code]],Table29[],4,FALSE)</f>
        <v>Asia</v>
      </c>
      <c r="AT320" s="233" t="str">
        <f>VLOOKUP(Table8[[#This Row],[Country Code]],Table29[],5,FALSE)</f>
        <v>Middle-income</v>
      </c>
      <c r="AU320" s="233" t="str">
        <f>VLOOKUP(Table8[[#This Row],[Country Code]],Table29[],6,FALSE)</f>
        <v>no</v>
      </c>
      <c r="AV320" s="233" t="str">
        <f>VLOOKUP(Table8[[#This Row],[Country Code]],Table29[],7,FALSE)</f>
        <v>no</v>
      </c>
      <c r="AW320" s="233" t="str">
        <f>VLOOKUP(Table8[[#This Row],[Country Code]],Table29[],8,FALSE)</f>
        <v>non-OECD</v>
      </c>
      <c r="AX320" s="233" t="str">
        <f>VLOOKUP(Table8[[#This Row],[Country Code]],Table29[],9,FALSE)</f>
        <v>no</v>
      </c>
      <c r="AY320" s="233" t="str">
        <f>VLOOKUP(Table8[[#This Row],[Country Code]],Table29[],10,FALSE)</f>
        <v>no</v>
      </c>
      <c r="AZ320" s="235">
        <f>VLOOKUP(Table8[[#This Row],[Country Code]],Table29[],23,FALSE)</f>
        <v>48.774832204749998</v>
      </c>
      <c r="BA320" s="235">
        <f>VLOOKUP(Table8[[#This Row],[Country Code]],Table29[],24,FALSE)</f>
        <v>7.547213161316451</v>
      </c>
      <c r="BB320" s="320"/>
      <c r="BC320" s="320"/>
    </row>
    <row r="321" spans="1:55" hidden="1" x14ac:dyDescent="0.25">
      <c r="A321" s="373">
        <v>17547</v>
      </c>
      <c r="B321" s="233" t="str">
        <f>VLOOKUP(Table8[[#This Row],[Document ID]],Table1[],2,FALSE)</f>
        <v>KHM</v>
      </c>
      <c r="C321" s="233" t="str">
        <f>VLOOKUP(Table8[[#This Row],[Document ID]],Table1[],3,FALSE)</f>
        <v>Cambodia</v>
      </c>
      <c r="D321" s="243" t="str">
        <f>VLOOKUP(Table8[[#This Row],[Document ID]],Table1[],5,FALSE)</f>
        <v>NDC</v>
      </c>
      <c r="E321" s="233" t="str">
        <f>VLOOKUP(Table8[[#This Row],[Document ID]],Table1[],7,FALSE)</f>
        <v>First NDC</v>
      </c>
      <c r="F321" s="236" t="str">
        <f>VLOOKUP(Table8[[#This Row],[Document ID]],Table1[],8,FALSE)</f>
        <v>NDC 1.0</v>
      </c>
      <c r="G321" s="236" t="str">
        <f>VLOOKUP(Table8[[#This Row],[Document ID]],Table1[],10,FALSE)</f>
        <v>Archived</v>
      </c>
      <c r="H321" s="43" t="s">
        <v>2350</v>
      </c>
      <c r="I321" s="43" t="s">
        <v>2407</v>
      </c>
      <c r="J321" s="44" t="s">
        <v>2592</v>
      </c>
      <c r="K321" s="44" t="s">
        <v>2675</v>
      </c>
      <c r="L321" s="44" t="s">
        <v>2333</v>
      </c>
      <c r="M321" s="43"/>
      <c r="N321" s="113"/>
      <c r="O321" s="113"/>
      <c r="P321" s="113"/>
      <c r="Q321" s="319"/>
      <c r="R321" s="319"/>
      <c r="S321" s="113" t="s">
        <v>1113</v>
      </c>
      <c r="T321" s="319"/>
      <c r="U321" s="319"/>
      <c r="V321" s="319"/>
      <c r="W321" s="319"/>
      <c r="X321" s="319"/>
      <c r="Y321" s="319"/>
      <c r="Z321" s="319"/>
      <c r="AA321" s="319"/>
      <c r="AB321" s="319"/>
      <c r="AC321" s="319"/>
      <c r="AD321" s="319"/>
      <c r="AE321" s="319"/>
      <c r="AF321" s="319"/>
      <c r="AG321" s="319"/>
      <c r="AH321" s="319"/>
      <c r="AI321" s="319"/>
      <c r="AJ321" s="319"/>
      <c r="AK321" s="319" t="s">
        <v>1113</v>
      </c>
      <c r="AL321" s="319"/>
      <c r="AM321" s="319"/>
      <c r="AN321" s="319"/>
      <c r="AO321" s="44" t="s">
        <v>2334</v>
      </c>
      <c r="AP321" s="44"/>
      <c r="AQ321" s="236" t="str">
        <f>VLOOKUP(Table8[[#This Row],[Instrument]],Def_Targets!$D$73:$E$159,2,FALSE)</f>
        <v>I_Ecodriving</v>
      </c>
      <c r="AR321" s="233" t="str">
        <f>VLOOKUP(Table8[[#This Row],[Country Code]],Table29[],3,FALSE)</f>
        <v>Non-Annex I</v>
      </c>
      <c r="AS321" s="233" t="str">
        <f>VLOOKUP(Table8[[#This Row],[Country Code]],Table29[],4,FALSE)</f>
        <v>Asia</v>
      </c>
      <c r="AT321" s="233" t="str">
        <f>VLOOKUP(Table8[[#This Row],[Country Code]],Table29[],5,FALSE)</f>
        <v>Middle-income</v>
      </c>
      <c r="AU321" s="233" t="str">
        <f>VLOOKUP(Table8[[#This Row],[Country Code]],Table29[],6,FALSE)</f>
        <v>no</v>
      </c>
      <c r="AV321" s="233" t="str">
        <f>VLOOKUP(Table8[[#This Row],[Country Code]],Table29[],7,FALSE)</f>
        <v>no</v>
      </c>
      <c r="AW321" s="233" t="str">
        <f>VLOOKUP(Table8[[#This Row],[Country Code]],Table29[],8,FALSE)</f>
        <v>non-OECD</v>
      </c>
      <c r="AX321" s="233" t="str">
        <f>VLOOKUP(Table8[[#This Row],[Country Code]],Table29[],9,FALSE)</f>
        <v>no</v>
      </c>
      <c r="AY321" s="233" t="str">
        <f>VLOOKUP(Table8[[#This Row],[Country Code]],Table29[],10,FALSE)</f>
        <v>no</v>
      </c>
      <c r="AZ321" s="235">
        <f>VLOOKUP(Table8[[#This Row],[Country Code]],Table29[],23,FALSE)</f>
        <v>48.774832204749998</v>
      </c>
      <c r="BA321" s="235">
        <f>VLOOKUP(Table8[[#This Row],[Country Code]],Table29[],24,FALSE)</f>
        <v>7.547213161316451</v>
      </c>
      <c r="BB321" s="320"/>
      <c r="BC321" s="320"/>
    </row>
    <row r="322" spans="1:55" hidden="1" x14ac:dyDescent="0.25">
      <c r="A322" s="373">
        <v>17547</v>
      </c>
      <c r="B322" s="233" t="str">
        <f>VLOOKUP(Table8[[#This Row],[Document ID]],Table1[],2,FALSE)</f>
        <v>KHM</v>
      </c>
      <c r="C322" s="233" t="str">
        <f>VLOOKUP(Table8[[#This Row],[Document ID]],Table1[],3,FALSE)</f>
        <v>Cambodia</v>
      </c>
      <c r="D322" s="243" t="str">
        <f>VLOOKUP(Table8[[#This Row],[Document ID]],Table1[],5,FALSE)</f>
        <v>NDC</v>
      </c>
      <c r="E322" s="233" t="str">
        <f>VLOOKUP(Table8[[#This Row],[Document ID]],Table1[],7,FALSE)</f>
        <v>First NDC</v>
      </c>
      <c r="F322" s="236" t="str">
        <f>VLOOKUP(Table8[[#This Row],[Document ID]],Table1[],8,FALSE)</f>
        <v>NDC 1.0</v>
      </c>
      <c r="G322" s="236" t="str">
        <f>VLOOKUP(Table8[[#This Row],[Document ID]],Table1[],10,FALSE)</f>
        <v>Archived</v>
      </c>
      <c r="H322" s="43" t="s">
        <v>2358</v>
      </c>
      <c r="I322" s="43" t="s">
        <v>2359</v>
      </c>
      <c r="J322" s="44" t="s">
        <v>2360</v>
      </c>
      <c r="K322" s="44" t="s">
        <v>2676</v>
      </c>
      <c r="L322" s="44" t="s">
        <v>2333</v>
      </c>
      <c r="M322" s="43"/>
      <c r="N322" s="113" t="s">
        <v>1113</v>
      </c>
      <c r="O322" s="113"/>
      <c r="P322" s="113"/>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t="s">
        <v>1113</v>
      </c>
      <c r="AL322" s="319"/>
      <c r="AM322" s="319"/>
      <c r="AN322" s="319"/>
      <c r="AO322" s="44" t="s">
        <v>2334</v>
      </c>
      <c r="AP322" s="44"/>
      <c r="AQ322" s="236" t="str">
        <f>VLOOKUP(Table8[[#This Row],[Instrument]],Def_Targets!$D$73:$E$159,2,FALSE)</f>
        <v>I_Emobility</v>
      </c>
      <c r="AR322" s="233" t="str">
        <f>VLOOKUP(Table8[[#This Row],[Country Code]],Table29[],3,FALSE)</f>
        <v>Non-Annex I</v>
      </c>
      <c r="AS322" s="233" t="str">
        <f>VLOOKUP(Table8[[#This Row],[Country Code]],Table29[],4,FALSE)</f>
        <v>Asia</v>
      </c>
      <c r="AT322" s="233" t="str">
        <f>VLOOKUP(Table8[[#This Row],[Country Code]],Table29[],5,FALSE)</f>
        <v>Middle-income</v>
      </c>
      <c r="AU322" s="233" t="str">
        <f>VLOOKUP(Table8[[#This Row],[Country Code]],Table29[],6,FALSE)</f>
        <v>no</v>
      </c>
      <c r="AV322" s="233" t="str">
        <f>VLOOKUP(Table8[[#This Row],[Country Code]],Table29[],7,FALSE)</f>
        <v>no</v>
      </c>
      <c r="AW322" s="233" t="str">
        <f>VLOOKUP(Table8[[#This Row],[Country Code]],Table29[],8,FALSE)</f>
        <v>non-OECD</v>
      </c>
      <c r="AX322" s="233" t="str">
        <f>VLOOKUP(Table8[[#This Row],[Country Code]],Table29[],9,FALSE)</f>
        <v>no</v>
      </c>
      <c r="AY322" s="233" t="str">
        <f>VLOOKUP(Table8[[#This Row],[Country Code]],Table29[],10,FALSE)</f>
        <v>no</v>
      </c>
      <c r="AZ322" s="235">
        <f>VLOOKUP(Table8[[#This Row],[Country Code]],Table29[],23,FALSE)</f>
        <v>48.774832204749998</v>
      </c>
      <c r="BA322" s="235">
        <f>VLOOKUP(Table8[[#This Row],[Country Code]],Table29[],24,FALSE)</f>
        <v>7.547213161316451</v>
      </c>
      <c r="BB322" s="320"/>
      <c r="BC322" s="320"/>
    </row>
    <row r="323" spans="1:55" hidden="1" x14ac:dyDescent="0.25">
      <c r="A323" s="373">
        <v>17547</v>
      </c>
      <c r="B323" s="233" t="str">
        <f>VLOOKUP(Table8[[#This Row],[Document ID]],Table1[],2,FALSE)</f>
        <v>KHM</v>
      </c>
      <c r="C323" s="233" t="str">
        <f>VLOOKUP(Table8[[#This Row],[Document ID]],Table1[],3,FALSE)</f>
        <v>Cambodia</v>
      </c>
      <c r="D323" s="243" t="str">
        <f>VLOOKUP(Table8[[#This Row],[Document ID]],Table1[],5,FALSE)</f>
        <v>NDC</v>
      </c>
      <c r="E323" s="233" t="str">
        <f>VLOOKUP(Table8[[#This Row],[Document ID]],Table1[],7,FALSE)</f>
        <v>First NDC</v>
      </c>
      <c r="F323" s="236" t="str">
        <f>VLOOKUP(Table8[[#This Row],[Document ID]],Table1[],8,FALSE)</f>
        <v>NDC 1.0</v>
      </c>
      <c r="G323" s="236" t="str">
        <f>VLOOKUP(Table8[[#This Row],[Document ID]],Table1[],10,FALSE)</f>
        <v>Archived</v>
      </c>
      <c r="H323" s="43" t="s">
        <v>2343</v>
      </c>
      <c r="I323" s="43" t="s">
        <v>2361</v>
      </c>
      <c r="J323" s="44" t="s">
        <v>2362</v>
      </c>
      <c r="K323" s="44" t="s">
        <v>2676</v>
      </c>
      <c r="L323" s="44" t="s">
        <v>2347</v>
      </c>
      <c r="M323" s="43"/>
      <c r="N323" s="113"/>
      <c r="O323" s="113"/>
      <c r="P323" s="113"/>
      <c r="Q323" s="319"/>
      <c r="R323" s="113" t="s">
        <v>1113</v>
      </c>
      <c r="S323" s="319"/>
      <c r="T323" s="319"/>
      <c r="U323" s="319"/>
      <c r="V323" s="319"/>
      <c r="W323" s="319"/>
      <c r="X323" s="319"/>
      <c r="Y323" s="319"/>
      <c r="Z323" s="319"/>
      <c r="AA323" s="319"/>
      <c r="AB323" s="319"/>
      <c r="AC323" s="319"/>
      <c r="AD323" s="319"/>
      <c r="AE323" s="319"/>
      <c r="AF323" s="319"/>
      <c r="AG323" s="319"/>
      <c r="AH323" s="319"/>
      <c r="AI323" s="319"/>
      <c r="AJ323" s="319"/>
      <c r="AK323" s="319" t="s">
        <v>1113</v>
      </c>
      <c r="AL323" s="319"/>
      <c r="AM323" s="319"/>
      <c r="AN323" s="319"/>
      <c r="AO323" s="44" t="s">
        <v>2334</v>
      </c>
      <c r="AP323" s="43"/>
      <c r="AQ323" s="236" t="str">
        <f>VLOOKUP(Table8[[#This Row],[Instrument]],Def_Targets!$D$73:$E$159,2,FALSE)</f>
        <v>S_Cycling</v>
      </c>
      <c r="AR323" s="233" t="str">
        <f>VLOOKUP(Table8[[#This Row],[Country Code]],Table29[],3,FALSE)</f>
        <v>Non-Annex I</v>
      </c>
      <c r="AS323" s="233" t="str">
        <f>VLOOKUP(Table8[[#This Row],[Country Code]],Table29[],4,FALSE)</f>
        <v>Asia</v>
      </c>
      <c r="AT323" s="233" t="str">
        <f>VLOOKUP(Table8[[#This Row],[Country Code]],Table29[],5,FALSE)</f>
        <v>Middle-income</v>
      </c>
      <c r="AU323" s="233" t="str">
        <f>VLOOKUP(Table8[[#This Row],[Country Code]],Table29[],6,FALSE)</f>
        <v>no</v>
      </c>
      <c r="AV323" s="233" t="str">
        <f>VLOOKUP(Table8[[#This Row],[Country Code]],Table29[],7,FALSE)</f>
        <v>no</v>
      </c>
      <c r="AW323" s="233" t="str">
        <f>VLOOKUP(Table8[[#This Row],[Country Code]],Table29[],8,FALSE)</f>
        <v>non-OECD</v>
      </c>
      <c r="AX323" s="233" t="str">
        <f>VLOOKUP(Table8[[#This Row],[Country Code]],Table29[],9,FALSE)</f>
        <v>no</v>
      </c>
      <c r="AY323" s="233" t="str">
        <f>VLOOKUP(Table8[[#This Row],[Country Code]],Table29[],10,FALSE)</f>
        <v>no</v>
      </c>
      <c r="AZ323" s="235">
        <f>VLOOKUP(Table8[[#This Row],[Country Code]],Table29[],23,FALSE)</f>
        <v>48.774832204749998</v>
      </c>
      <c r="BA323" s="235">
        <f>VLOOKUP(Table8[[#This Row],[Country Code]],Table29[],24,FALSE)</f>
        <v>7.547213161316451</v>
      </c>
      <c r="BB323" s="320"/>
      <c r="BC323" s="320"/>
    </row>
    <row r="324" spans="1:55" hidden="1" x14ac:dyDescent="0.25">
      <c r="A324" s="373">
        <v>17547</v>
      </c>
      <c r="B324" s="233" t="str">
        <f>VLOOKUP(Table8[[#This Row],[Document ID]],Table1[],2,FALSE)</f>
        <v>KHM</v>
      </c>
      <c r="C324" s="233" t="str">
        <f>VLOOKUP(Table8[[#This Row],[Document ID]],Table1[],3,FALSE)</f>
        <v>Cambodia</v>
      </c>
      <c r="D324" s="243" t="str">
        <f>VLOOKUP(Table8[[#This Row],[Document ID]],Table1[],5,FALSE)</f>
        <v>NDC</v>
      </c>
      <c r="E324" s="233" t="str">
        <f>VLOOKUP(Table8[[#This Row],[Document ID]],Table1[],7,FALSE)</f>
        <v>First NDC</v>
      </c>
      <c r="F324" s="236" t="str">
        <f>VLOOKUP(Table8[[#This Row],[Document ID]],Table1[],8,FALSE)</f>
        <v>NDC 1.0</v>
      </c>
      <c r="G324" s="236" t="str">
        <f>VLOOKUP(Table8[[#This Row],[Document ID]],Table1[],10,FALSE)</f>
        <v>Archived</v>
      </c>
      <c r="H324" s="43" t="s">
        <v>2343</v>
      </c>
      <c r="I324" s="43" t="s">
        <v>2344</v>
      </c>
      <c r="J324" s="44" t="s">
        <v>2345</v>
      </c>
      <c r="K324" s="44" t="s">
        <v>2677</v>
      </c>
      <c r="L324" s="44" t="s">
        <v>2347</v>
      </c>
      <c r="M324" s="43"/>
      <c r="N324" s="113" t="s">
        <v>1113</v>
      </c>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319" t="s">
        <v>1113</v>
      </c>
      <c r="AL324" s="319"/>
      <c r="AM324" s="319"/>
      <c r="AN324" s="319"/>
      <c r="AO324" s="43" t="s">
        <v>2348</v>
      </c>
      <c r="AP324" s="44"/>
      <c r="AQ324" s="236" t="str">
        <f>VLOOKUP(Table8[[#This Row],[Instrument]],Def_Targets!$D$73:$E$159,2,FALSE)</f>
        <v>S_PublicTransport</v>
      </c>
      <c r="AR324" s="233" t="str">
        <f>VLOOKUP(Table8[[#This Row],[Country Code]],Table29[],3,FALSE)</f>
        <v>Non-Annex I</v>
      </c>
      <c r="AS324" s="233" t="str">
        <f>VLOOKUP(Table8[[#This Row],[Country Code]],Table29[],4,FALSE)</f>
        <v>Asia</v>
      </c>
      <c r="AT324" s="233" t="str">
        <f>VLOOKUP(Table8[[#This Row],[Country Code]],Table29[],5,FALSE)</f>
        <v>Middle-income</v>
      </c>
      <c r="AU324" s="233" t="str">
        <f>VLOOKUP(Table8[[#This Row],[Country Code]],Table29[],6,FALSE)</f>
        <v>no</v>
      </c>
      <c r="AV324" s="233" t="str">
        <f>VLOOKUP(Table8[[#This Row],[Country Code]],Table29[],7,FALSE)</f>
        <v>no</v>
      </c>
      <c r="AW324" s="233" t="str">
        <f>VLOOKUP(Table8[[#This Row],[Country Code]],Table29[],8,FALSE)</f>
        <v>non-OECD</v>
      </c>
      <c r="AX324" s="233" t="str">
        <f>VLOOKUP(Table8[[#This Row],[Country Code]],Table29[],9,FALSE)</f>
        <v>no</v>
      </c>
      <c r="AY324" s="233" t="str">
        <f>VLOOKUP(Table8[[#This Row],[Country Code]],Table29[],10,FALSE)</f>
        <v>no</v>
      </c>
      <c r="AZ324" s="235">
        <f>VLOOKUP(Table8[[#This Row],[Country Code]],Table29[],23,FALSE)</f>
        <v>48.774832204749998</v>
      </c>
      <c r="BA324" s="235">
        <f>VLOOKUP(Table8[[#This Row],[Country Code]],Table29[],24,FALSE)</f>
        <v>7.547213161316451</v>
      </c>
      <c r="BB324" s="320"/>
      <c r="BC324" s="320"/>
    </row>
    <row r="325" spans="1:55" ht="30" hidden="1" x14ac:dyDescent="0.25">
      <c r="A325" s="373">
        <v>17548</v>
      </c>
      <c r="B325" s="233" t="str">
        <f>VLOOKUP(Table8[[#This Row],[Document ID]],Table1[],2,FALSE)</f>
        <v>KHM</v>
      </c>
      <c r="C325" s="233" t="str">
        <f>VLOOKUP(Table8[[#This Row],[Document ID]],Table1[],3,FALSE)</f>
        <v>Cambodia</v>
      </c>
      <c r="D325" s="243" t="str">
        <f>VLOOKUP(Table8[[#This Row],[Document ID]],Table1[],5,FALSE)</f>
        <v>NDC</v>
      </c>
      <c r="E325" s="233" t="str">
        <f>VLOOKUP(Table8[[#This Row],[Document ID]],Table1[],7,FALSE)</f>
        <v>First NDC updated</v>
      </c>
      <c r="F325" s="233" t="str">
        <f>VLOOKUP(Table8[[#This Row],[Document ID]],Table1[],8,FALSE)</f>
        <v>NDC 1.1</v>
      </c>
      <c r="G325" s="233" t="str">
        <f>VLOOKUP(Table8[[#This Row],[Document ID]],Table1[],10,FALSE)</f>
        <v>Active</v>
      </c>
      <c r="H325" s="43" t="s">
        <v>2350</v>
      </c>
      <c r="I325" s="43" t="s">
        <v>2351</v>
      </c>
      <c r="J325" s="44" t="s">
        <v>2352</v>
      </c>
      <c r="K325" s="44" t="s">
        <v>2678</v>
      </c>
      <c r="L325" s="44" t="s">
        <v>2347</v>
      </c>
      <c r="M325" s="43">
        <v>26</v>
      </c>
      <c r="N325" s="113"/>
      <c r="O325" s="113"/>
      <c r="P325" s="113"/>
      <c r="Q325" s="113"/>
      <c r="R325" s="113"/>
      <c r="S325" s="113"/>
      <c r="T325" s="113"/>
      <c r="U325" s="113"/>
      <c r="V325" s="113"/>
      <c r="W325" s="113"/>
      <c r="X325" s="113" t="s">
        <v>1113</v>
      </c>
      <c r="Y325" s="113"/>
      <c r="Z325" s="113" t="s">
        <v>1113</v>
      </c>
      <c r="AA325" s="113"/>
      <c r="AB325" s="113"/>
      <c r="AC325" s="113"/>
      <c r="AD325" s="113"/>
      <c r="AE325" s="113"/>
      <c r="AF325" s="113"/>
      <c r="AG325" s="113"/>
      <c r="AH325" s="113"/>
      <c r="AI325" s="113"/>
      <c r="AJ325" s="113"/>
      <c r="AK325" s="319" t="s">
        <v>1113</v>
      </c>
      <c r="AL325" s="113"/>
      <c r="AM325" s="113"/>
      <c r="AN325" s="113"/>
      <c r="AO325" s="43" t="s">
        <v>2353</v>
      </c>
      <c r="AP325" s="43"/>
      <c r="AQ325" s="236" t="str">
        <f>VLOOKUP(Table8[[#This Row],[Instrument]],Def_Targets!$D$73:$E$159,2,FALSE)</f>
        <v>S_Railfreight</v>
      </c>
      <c r="AR325" s="233" t="str">
        <f>VLOOKUP(Table8[[#This Row],[Country Code]],Table29[],3,FALSE)</f>
        <v>Non-Annex I</v>
      </c>
      <c r="AS325" s="233" t="str">
        <f>VLOOKUP(Table8[[#This Row],[Country Code]],Table29[],4,FALSE)</f>
        <v>Asia</v>
      </c>
      <c r="AT325" s="233" t="str">
        <f>VLOOKUP(Table8[[#This Row],[Country Code]],Table29[],5,FALSE)</f>
        <v>Middle-income</v>
      </c>
      <c r="AU325" s="233" t="str">
        <f>VLOOKUP(Table8[[#This Row],[Country Code]],Table29[],6,FALSE)</f>
        <v>no</v>
      </c>
      <c r="AV325" s="233" t="str">
        <f>VLOOKUP(Table8[[#This Row],[Country Code]],Table29[],7,FALSE)</f>
        <v>no</v>
      </c>
      <c r="AW325" s="233" t="str">
        <f>VLOOKUP(Table8[[#This Row],[Country Code]],Table29[],8,FALSE)</f>
        <v>non-OECD</v>
      </c>
      <c r="AX325" s="233" t="str">
        <f>VLOOKUP(Table8[[#This Row],[Country Code]],Table29[],9,FALSE)</f>
        <v>no</v>
      </c>
      <c r="AY325" s="233" t="str">
        <f>VLOOKUP(Table8[[#This Row],[Country Code]],Table29[],10,FALSE)</f>
        <v>no</v>
      </c>
      <c r="AZ325" s="235">
        <f>VLOOKUP(Table8[[#This Row],[Country Code]],Table29[],23,FALSE)</f>
        <v>48.774832204749998</v>
      </c>
      <c r="BA325" s="235">
        <f>VLOOKUP(Table8[[#This Row],[Country Code]],Table29[],24,FALSE)</f>
        <v>7.547213161316451</v>
      </c>
      <c r="BB325" s="320"/>
      <c r="BC325" s="320"/>
    </row>
    <row r="326" spans="1:55" hidden="1" x14ac:dyDescent="0.25">
      <c r="A326" s="373">
        <v>17548</v>
      </c>
      <c r="B326" s="233" t="str">
        <f>VLOOKUP(Table8[[#This Row],[Document ID]],Table1[],2,FALSE)</f>
        <v>KHM</v>
      </c>
      <c r="C326" s="233" t="str">
        <f>VLOOKUP(Table8[[#This Row],[Document ID]],Table1[],3,FALSE)</f>
        <v>Cambodia</v>
      </c>
      <c r="D326" s="243" t="str">
        <f>VLOOKUP(Table8[[#This Row],[Document ID]],Table1[],5,FALSE)</f>
        <v>NDC</v>
      </c>
      <c r="E326" s="233" t="str">
        <f>VLOOKUP(Table8[[#This Row],[Document ID]],Table1[],7,FALSE)</f>
        <v>First NDC updated</v>
      </c>
      <c r="F326" s="233" t="str">
        <f>VLOOKUP(Table8[[#This Row],[Document ID]],Table1[],8,FALSE)</f>
        <v>NDC 1.1</v>
      </c>
      <c r="G326" s="233" t="str">
        <f>VLOOKUP(Table8[[#This Row],[Document ID]],Table1[],10,FALSE)</f>
        <v>Active</v>
      </c>
      <c r="H326" s="43" t="s">
        <v>2343</v>
      </c>
      <c r="I326" s="43" t="s">
        <v>2344</v>
      </c>
      <c r="J326" s="44" t="s">
        <v>2405</v>
      </c>
      <c r="K326" s="44" t="s">
        <v>2679</v>
      </c>
      <c r="L326" s="44" t="s">
        <v>2347</v>
      </c>
      <c r="M326" s="43">
        <v>26</v>
      </c>
      <c r="N326" s="113"/>
      <c r="O326" s="113"/>
      <c r="P326" s="113"/>
      <c r="Q326" s="113"/>
      <c r="R326" s="113"/>
      <c r="S326" s="113"/>
      <c r="T326" s="113"/>
      <c r="U326" s="113"/>
      <c r="V326" s="113"/>
      <c r="W326" s="113"/>
      <c r="X326" s="113"/>
      <c r="Y326" s="113" t="s">
        <v>1113</v>
      </c>
      <c r="Z326" s="113"/>
      <c r="AA326" s="113"/>
      <c r="AB326" s="113"/>
      <c r="AC326" s="113" t="s">
        <v>1113</v>
      </c>
      <c r="AD326" s="113"/>
      <c r="AE326" s="113"/>
      <c r="AF326" s="113"/>
      <c r="AG326" s="113"/>
      <c r="AH326" s="113"/>
      <c r="AI326" s="113"/>
      <c r="AJ326" s="113"/>
      <c r="AK326" s="113"/>
      <c r="AL326" s="113" t="s">
        <v>1113</v>
      </c>
      <c r="AM326" s="113"/>
      <c r="AN326" s="113"/>
      <c r="AO326" s="43" t="s">
        <v>2348</v>
      </c>
      <c r="AP326" s="43"/>
      <c r="AQ326" s="236" t="str">
        <f>VLOOKUP(Table8[[#This Row],[Instrument]],Def_Targets!$D$73:$E$159,2,FALSE)</f>
        <v>S_PTIntegration</v>
      </c>
      <c r="AR326" s="233" t="str">
        <f>VLOOKUP(Table8[[#This Row],[Country Code]],Table29[],3,FALSE)</f>
        <v>Non-Annex I</v>
      </c>
      <c r="AS326" s="233" t="str">
        <f>VLOOKUP(Table8[[#This Row],[Country Code]],Table29[],4,FALSE)</f>
        <v>Asia</v>
      </c>
      <c r="AT326" s="233" t="str">
        <f>VLOOKUP(Table8[[#This Row],[Country Code]],Table29[],5,FALSE)</f>
        <v>Middle-income</v>
      </c>
      <c r="AU326" s="233" t="str">
        <f>VLOOKUP(Table8[[#This Row],[Country Code]],Table29[],6,FALSE)</f>
        <v>no</v>
      </c>
      <c r="AV326" s="233" t="str">
        <f>VLOOKUP(Table8[[#This Row],[Country Code]],Table29[],7,FALSE)</f>
        <v>no</v>
      </c>
      <c r="AW326" s="233" t="str">
        <f>VLOOKUP(Table8[[#This Row],[Country Code]],Table29[],8,FALSE)</f>
        <v>non-OECD</v>
      </c>
      <c r="AX326" s="233" t="str">
        <f>VLOOKUP(Table8[[#This Row],[Country Code]],Table29[],9,FALSE)</f>
        <v>no</v>
      </c>
      <c r="AY326" s="233" t="str">
        <f>VLOOKUP(Table8[[#This Row],[Country Code]],Table29[],10,FALSE)</f>
        <v>no</v>
      </c>
      <c r="AZ326" s="235">
        <f>VLOOKUP(Table8[[#This Row],[Country Code]],Table29[],23,FALSE)</f>
        <v>48.774832204749998</v>
      </c>
      <c r="BA326" s="235">
        <f>VLOOKUP(Table8[[#This Row],[Country Code]],Table29[],24,FALSE)</f>
        <v>7.547213161316451</v>
      </c>
      <c r="BB326" s="320"/>
      <c r="BC326" s="320"/>
    </row>
    <row r="327" spans="1:55" ht="45" hidden="1" x14ac:dyDescent="0.25">
      <c r="A327" s="373">
        <v>17548</v>
      </c>
      <c r="B327" s="233" t="str">
        <f>VLOOKUP(Table8[[#This Row],[Document ID]],Table1[],2,FALSE)</f>
        <v>KHM</v>
      </c>
      <c r="C327" s="233" t="str">
        <f>VLOOKUP(Table8[[#This Row],[Document ID]],Table1[],3,FALSE)</f>
        <v>Cambodia</v>
      </c>
      <c r="D327" s="243" t="str">
        <f>VLOOKUP(Table8[[#This Row],[Document ID]],Table1[],5,FALSE)</f>
        <v>NDC</v>
      </c>
      <c r="E327" s="233" t="str">
        <f>VLOOKUP(Table8[[#This Row],[Document ID]],Table1[],7,FALSE)</f>
        <v>First NDC updated</v>
      </c>
      <c r="F327" s="233" t="str">
        <f>VLOOKUP(Table8[[#This Row],[Document ID]],Table1[],8,FALSE)</f>
        <v>NDC 1.1</v>
      </c>
      <c r="G327" s="233" t="str">
        <f>VLOOKUP(Table8[[#This Row],[Document ID]],Table1[],10,FALSE)</f>
        <v>Active</v>
      </c>
      <c r="H327" s="44" t="s">
        <v>2338</v>
      </c>
      <c r="I327" s="44" t="s">
        <v>2339</v>
      </c>
      <c r="J327" s="44" t="s">
        <v>2451</v>
      </c>
      <c r="K327" s="44" t="s">
        <v>2680</v>
      </c>
      <c r="L327" s="44" t="s">
        <v>2333</v>
      </c>
      <c r="M327" s="43">
        <v>68</v>
      </c>
      <c r="N327" s="113" t="s">
        <v>1113</v>
      </c>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319" t="s">
        <v>1113</v>
      </c>
      <c r="AL327" s="113"/>
      <c r="AM327" s="113"/>
      <c r="AN327" s="113"/>
      <c r="AO327" s="43" t="s">
        <v>2348</v>
      </c>
      <c r="AP327" s="43"/>
      <c r="AQ327" s="236" t="str">
        <f>VLOOKUP(Table8[[#This Row],[Instrument]],Def_Targets!$D$73:$E$159,2,FALSE)</f>
        <v>I_Inspection</v>
      </c>
      <c r="AR327" s="233" t="str">
        <f>VLOOKUP(Table8[[#This Row],[Country Code]],Table29[],3,FALSE)</f>
        <v>Non-Annex I</v>
      </c>
      <c r="AS327" s="233" t="str">
        <f>VLOOKUP(Table8[[#This Row],[Country Code]],Table29[],4,FALSE)</f>
        <v>Asia</v>
      </c>
      <c r="AT327" s="233" t="str">
        <f>VLOOKUP(Table8[[#This Row],[Country Code]],Table29[],5,FALSE)</f>
        <v>Middle-income</v>
      </c>
      <c r="AU327" s="233" t="str">
        <f>VLOOKUP(Table8[[#This Row],[Country Code]],Table29[],6,FALSE)</f>
        <v>no</v>
      </c>
      <c r="AV327" s="233" t="str">
        <f>VLOOKUP(Table8[[#This Row],[Country Code]],Table29[],7,FALSE)</f>
        <v>no</v>
      </c>
      <c r="AW327" s="233" t="str">
        <f>VLOOKUP(Table8[[#This Row],[Country Code]],Table29[],8,FALSE)</f>
        <v>non-OECD</v>
      </c>
      <c r="AX327" s="233" t="str">
        <f>VLOOKUP(Table8[[#This Row],[Country Code]],Table29[],9,FALSE)</f>
        <v>no</v>
      </c>
      <c r="AY327" s="233" t="str">
        <f>VLOOKUP(Table8[[#This Row],[Country Code]],Table29[],10,FALSE)</f>
        <v>no</v>
      </c>
      <c r="AZ327" s="235">
        <f>VLOOKUP(Table8[[#This Row],[Country Code]],Table29[],23,FALSE)</f>
        <v>48.774832204749998</v>
      </c>
      <c r="BA327" s="235">
        <f>VLOOKUP(Table8[[#This Row],[Country Code]],Table29[],24,FALSE)</f>
        <v>7.547213161316451</v>
      </c>
      <c r="BB327" s="320"/>
      <c r="BC327" s="320"/>
    </row>
    <row r="328" spans="1:55" hidden="1" x14ac:dyDescent="0.25">
      <c r="A328" s="373">
        <v>17548</v>
      </c>
      <c r="B328" s="233" t="str">
        <f>VLOOKUP(Table8[[#This Row],[Document ID]],Table1[],2,FALSE)</f>
        <v>KHM</v>
      </c>
      <c r="C328" s="233" t="str">
        <f>VLOOKUP(Table8[[#This Row],[Document ID]],Table1[],3,FALSE)</f>
        <v>Cambodia</v>
      </c>
      <c r="D328" s="243" t="str">
        <f>VLOOKUP(Table8[[#This Row],[Document ID]],Table1[],5,FALSE)</f>
        <v>NDC</v>
      </c>
      <c r="E328" s="233" t="str">
        <f>VLOOKUP(Table8[[#This Row],[Document ID]],Table1[],7,FALSE)</f>
        <v>First NDC updated</v>
      </c>
      <c r="F328" s="233" t="str">
        <f>VLOOKUP(Table8[[#This Row],[Document ID]],Table1[],8,FALSE)</f>
        <v>NDC 1.1</v>
      </c>
      <c r="G328" s="233" t="str">
        <f>VLOOKUP(Table8[[#This Row],[Document ID]],Table1[],10,FALSE)</f>
        <v>Active</v>
      </c>
      <c r="H328" s="43" t="s">
        <v>2358</v>
      </c>
      <c r="I328" s="43" t="s">
        <v>2359</v>
      </c>
      <c r="J328" s="44" t="s">
        <v>2360</v>
      </c>
      <c r="K328" s="44" t="s">
        <v>2681</v>
      </c>
      <c r="L328" s="44" t="s">
        <v>2333</v>
      </c>
      <c r="M328" s="43">
        <v>68</v>
      </c>
      <c r="N328" s="113" t="s">
        <v>1113</v>
      </c>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319" t="s">
        <v>1113</v>
      </c>
      <c r="AL328" s="113"/>
      <c r="AM328" s="113"/>
      <c r="AN328" s="113"/>
      <c r="AO328" s="44" t="s">
        <v>2334</v>
      </c>
      <c r="AP328" s="43"/>
      <c r="AQ328" s="236" t="str">
        <f>VLOOKUP(Table8[[#This Row],[Instrument]],Def_Targets!$D$73:$E$159,2,FALSE)</f>
        <v>I_Emobility</v>
      </c>
      <c r="AR328" s="233" t="str">
        <f>VLOOKUP(Table8[[#This Row],[Country Code]],Table29[],3,FALSE)</f>
        <v>Non-Annex I</v>
      </c>
      <c r="AS328" s="233" t="str">
        <f>VLOOKUP(Table8[[#This Row],[Country Code]],Table29[],4,FALSE)</f>
        <v>Asia</v>
      </c>
      <c r="AT328" s="233" t="str">
        <f>VLOOKUP(Table8[[#This Row],[Country Code]],Table29[],5,FALSE)</f>
        <v>Middle-income</v>
      </c>
      <c r="AU328" s="233" t="str">
        <f>VLOOKUP(Table8[[#This Row],[Country Code]],Table29[],6,FALSE)</f>
        <v>no</v>
      </c>
      <c r="AV328" s="233" t="str">
        <f>VLOOKUP(Table8[[#This Row],[Country Code]],Table29[],7,FALSE)</f>
        <v>no</v>
      </c>
      <c r="AW328" s="233" t="str">
        <f>VLOOKUP(Table8[[#This Row],[Country Code]],Table29[],8,FALSE)</f>
        <v>non-OECD</v>
      </c>
      <c r="AX328" s="233" t="str">
        <f>VLOOKUP(Table8[[#This Row],[Country Code]],Table29[],9,FALSE)</f>
        <v>no</v>
      </c>
      <c r="AY328" s="233" t="str">
        <f>VLOOKUP(Table8[[#This Row],[Country Code]],Table29[],10,FALSE)</f>
        <v>no</v>
      </c>
      <c r="AZ328" s="235">
        <f>VLOOKUP(Table8[[#This Row],[Country Code]],Table29[],23,FALSE)</f>
        <v>48.774832204749998</v>
      </c>
      <c r="BA328" s="235">
        <f>VLOOKUP(Table8[[#This Row],[Country Code]],Table29[],24,FALSE)</f>
        <v>7.547213161316451</v>
      </c>
      <c r="BB328" s="320"/>
      <c r="BC328" s="320"/>
    </row>
    <row r="329" spans="1:55" hidden="1" x14ac:dyDescent="0.25">
      <c r="A329" s="373">
        <v>17548</v>
      </c>
      <c r="B329" s="233" t="str">
        <f>VLOOKUP(Table8[[#This Row],[Document ID]],Table1[],2,FALSE)</f>
        <v>KHM</v>
      </c>
      <c r="C329" s="233" t="str">
        <f>VLOOKUP(Table8[[#This Row],[Document ID]],Table1[],3,FALSE)</f>
        <v>Cambodia</v>
      </c>
      <c r="D329" s="243" t="str">
        <f>VLOOKUP(Table8[[#This Row],[Document ID]],Table1[],5,FALSE)</f>
        <v>NDC</v>
      </c>
      <c r="E329" s="233" t="str">
        <f>VLOOKUP(Table8[[#This Row],[Document ID]],Table1[],7,FALSE)</f>
        <v>First NDC updated</v>
      </c>
      <c r="F329" s="233" t="str">
        <f>VLOOKUP(Table8[[#This Row],[Document ID]],Table1[],8,FALSE)</f>
        <v>NDC 1.1</v>
      </c>
      <c r="G329" s="233" t="str">
        <f>VLOOKUP(Table8[[#This Row],[Document ID]],Table1[],10,FALSE)</f>
        <v>Active</v>
      </c>
      <c r="H329" s="43" t="s">
        <v>2350</v>
      </c>
      <c r="I329" s="43" t="s">
        <v>2456</v>
      </c>
      <c r="J329" s="44" t="s">
        <v>2457</v>
      </c>
      <c r="K329" s="44" t="s">
        <v>2682</v>
      </c>
      <c r="L329" s="44" t="s">
        <v>2333</v>
      </c>
      <c r="M329" s="43">
        <v>68</v>
      </c>
      <c r="N329" s="113"/>
      <c r="O329" s="113"/>
      <c r="P329" s="113"/>
      <c r="Q329" s="113"/>
      <c r="R329" s="113"/>
      <c r="S329" s="113" t="s">
        <v>1113</v>
      </c>
      <c r="T329" s="113"/>
      <c r="U329" s="113"/>
      <c r="V329" s="113"/>
      <c r="W329" s="113"/>
      <c r="X329" s="113"/>
      <c r="Y329" s="113"/>
      <c r="Z329" s="113"/>
      <c r="AA329" s="113"/>
      <c r="AB329" s="113"/>
      <c r="AC329" s="113"/>
      <c r="AD329" s="113"/>
      <c r="AE329" s="113"/>
      <c r="AF329" s="113"/>
      <c r="AG329" s="113"/>
      <c r="AH329" s="113"/>
      <c r="AI329" s="113"/>
      <c r="AJ329" s="113"/>
      <c r="AK329" s="319" t="s">
        <v>1113</v>
      </c>
      <c r="AL329" s="113"/>
      <c r="AM329" s="113"/>
      <c r="AN329" s="113"/>
      <c r="AO329" s="44" t="s">
        <v>2334</v>
      </c>
      <c r="AP329" s="43"/>
      <c r="AQ329" s="236" t="str">
        <f>VLOOKUP(Table8[[#This Row],[Instrument]],Def_Targets!$D$73:$E$159,2,FALSE)</f>
        <v>S_Infraimprove</v>
      </c>
      <c r="AR329" s="233" t="str">
        <f>VLOOKUP(Table8[[#This Row],[Country Code]],Table29[],3,FALSE)</f>
        <v>Non-Annex I</v>
      </c>
      <c r="AS329" s="233" t="str">
        <f>VLOOKUP(Table8[[#This Row],[Country Code]],Table29[],4,FALSE)</f>
        <v>Asia</v>
      </c>
      <c r="AT329" s="233" t="str">
        <f>VLOOKUP(Table8[[#This Row],[Country Code]],Table29[],5,FALSE)</f>
        <v>Middle-income</v>
      </c>
      <c r="AU329" s="233" t="str">
        <f>VLOOKUP(Table8[[#This Row],[Country Code]],Table29[],6,FALSE)</f>
        <v>no</v>
      </c>
      <c r="AV329" s="233" t="str">
        <f>VLOOKUP(Table8[[#This Row],[Country Code]],Table29[],7,FALSE)</f>
        <v>no</v>
      </c>
      <c r="AW329" s="233" t="str">
        <f>VLOOKUP(Table8[[#This Row],[Country Code]],Table29[],8,FALSE)</f>
        <v>non-OECD</v>
      </c>
      <c r="AX329" s="233" t="str">
        <f>VLOOKUP(Table8[[#This Row],[Country Code]],Table29[],9,FALSE)</f>
        <v>no</v>
      </c>
      <c r="AY329" s="233" t="str">
        <f>VLOOKUP(Table8[[#This Row],[Country Code]],Table29[],10,FALSE)</f>
        <v>no</v>
      </c>
      <c r="AZ329" s="235">
        <f>VLOOKUP(Table8[[#This Row],[Country Code]],Table29[],23,FALSE)</f>
        <v>48.774832204749998</v>
      </c>
      <c r="BA329" s="235">
        <f>VLOOKUP(Table8[[#This Row],[Country Code]],Table29[],24,FALSE)</f>
        <v>7.547213161316451</v>
      </c>
      <c r="BB329" s="320"/>
      <c r="BC329" s="320"/>
    </row>
    <row r="330" spans="1:55" hidden="1" x14ac:dyDescent="0.25">
      <c r="A330" s="373">
        <v>24678</v>
      </c>
      <c r="B330" s="233" t="str">
        <f>VLOOKUP(Table8[[#This Row],[Document ID]],Table1[],2,FALSE)</f>
        <v>AUT</v>
      </c>
      <c r="C330" s="233" t="str">
        <f>VLOOKUP(Table8[[#This Row],[Document ID]],Table1[],3,FALSE)</f>
        <v>Austria</v>
      </c>
      <c r="D330" s="243" t="str">
        <f>VLOOKUP(Table8[[#This Row],[Document ID]],Table1[],5,FALSE)</f>
        <v>LTS</v>
      </c>
      <c r="E330" s="233" t="str">
        <f>VLOOKUP(Table8[[#This Row],[Document ID]],Table1[],7,FALSE)</f>
        <v>LTS</v>
      </c>
      <c r="F330" s="233" t="str">
        <f>VLOOKUP(Table8[[#This Row],[Document ID]],Table1[],8,FALSE)</f>
        <v>LTS 1.0</v>
      </c>
      <c r="G330" s="233" t="str">
        <f>VLOOKUP(Table8[[#This Row],[Document ID]],Table1[],10,FALSE)</f>
        <v>Active</v>
      </c>
      <c r="H330" s="44" t="s">
        <v>2329</v>
      </c>
      <c r="I330" s="44" t="s">
        <v>2330</v>
      </c>
      <c r="J330" s="44" t="s">
        <v>2331</v>
      </c>
      <c r="K330" s="44" t="s">
        <v>2683</v>
      </c>
      <c r="L330" s="44" t="s">
        <v>2333</v>
      </c>
      <c r="M330" s="43">
        <v>50</v>
      </c>
      <c r="N330" s="113" t="s">
        <v>1113</v>
      </c>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319" t="s">
        <v>1113</v>
      </c>
      <c r="AL330" s="113"/>
      <c r="AM330" s="113"/>
      <c r="AN330" s="113"/>
      <c r="AO330" s="44" t="s">
        <v>2334</v>
      </c>
      <c r="AP330" s="43"/>
      <c r="AQ330" s="236" t="str">
        <f>VLOOKUP(Table8[[#This Row],[Instrument]],Def_Targets!$D$73:$E$159,2,FALSE)</f>
        <v>I_Altfuels</v>
      </c>
      <c r="AR330" s="233" t="str">
        <f>VLOOKUP(Table8[[#This Row],[Country Code]],Table29[],3,FALSE)</f>
        <v>Annex I</v>
      </c>
      <c r="AS330" s="233" t="str">
        <f>VLOOKUP(Table8[[#This Row],[Country Code]],Table29[],4,FALSE)</f>
        <v>Europe</v>
      </c>
      <c r="AT330" s="233" t="str">
        <f>VLOOKUP(Table8[[#This Row],[Country Code]],Table29[],5,FALSE)</f>
        <v>High-income</v>
      </c>
      <c r="AU330" s="233" t="str">
        <f>VLOOKUP(Table8[[#This Row],[Country Code]],Table29[],6,FALSE)</f>
        <v>no</v>
      </c>
      <c r="AV330" s="233" t="str">
        <f>VLOOKUP(Table8[[#This Row],[Country Code]],Table29[],7,FALSE)</f>
        <v>no</v>
      </c>
      <c r="AW330" s="233" t="str">
        <f>VLOOKUP(Table8[[#This Row],[Country Code]],Table29[],8,FALSE)</f>
        <v>OECD</v>
      </c>
      <c r="AX330" s="233" t="str">
        <f>VLOOKUP(Table8[[#This Row],[Country Code]],Table29[],9,FALSE)</f>
        <v>EU27</v>
      </c>
      <c r="AY330" s="233" t="str">
        <f>VLOOKUP(Table8[[#This Row],[Country Code]],Table29[],10,FALSE)</f>
        <v>no</v>
      </c>
      <c r="AZ330" s="235">
        <f>VLOOKUP(Table8[[#This Row],[Country Code]],Table29[],23,FALSE)</f>
        <v>72.921492529811999</v>
      </c>
      <c r="BA330" s="235">
        <f>VLOOKUP(Table8[[#This Row],[Country Code]],Table29[],24,FALSE)</f>
        <v>21.372731064834241</v>
      </c>
      <c r="BB330" s="320"/>
      <c r="BC330" s="320"/>
    </row>
    <row r="331" spans="1:55" hidden="1" x14ac:dyDescent="0.25">
      <c r="A331" s="373">
        <v>24678</v>
      </c>
      <c r="B331" s="233" t="str">
        <f>VLOOKUP(Table8[[#This Row],[Document ID]],Table1[],2,FALSE)</f>
        <v>AUT</v>
      </c>
      <c r="C331" s="233" t="str">
        <f>VLOOKUP(Table8[[#This Row],[Document ID]],Table1[],3,FALSE)</f>
        <v>Austria</v>
      </c>
      <c r="D331" s="243" t="str">
        <f>VLOOKUP(Table8[[#This Row],[Document ID]],Table1[],5,FALSE)</f>
        <v>LTS</v>
      </c>
      <c r="E331" s="233" t="str">
        <f>VLOOKUP(Table8[[#This Row],[Document ID]],Table1[],7,FALSE)</f>
        <v>LTS</v>
      </c>
      <c r="F331" s="233" t="str">
        <f>VLOOKUP(Table8[[#This Row],[Document ID]],Table1[],8,FALSE)</f>
        <v>LTS 1.0</v>
      </c>
      <c r="G331" s="233" t="str">
        <f>VLOOKUP(Table8[[#This Row],[Document ID]],Table1[],10,FALSE)</f>
        <v>Active</v>
      </c>
      <c r="H331" s="43" t="s">
        <v>2484</v>
      </c>
      <c r="I331" s="43" t="s">
        <v>2488</v>
      </c>
      <c r="J331" s="44" t="s">
        <v>2684</v>
      </c>
      <c r="K331" s="44" t="s">
        <v>2685</v>
      </c>
      <c r="L331" s="44" t="s">
        <v>2333</v>
      </c>
      <c r="M331" s="43">
        <v>50</v>
      </c>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t="s">
        <v>1113</v>
      </c>
      <c r="AI331" s="113"/>
      <c r="AJ331" s="113"/>
      <c r="AK331" s="319" t="s">
        <v>1113</v>
      </c>
      <c r="AL331" s="113"/>
      <c r="AM331" s="113"/>
      <c r="AN331" s="113"/>
      <c r="AO331" s="44" t="s">
        <v>2334</v>
      </c>
      <c r="AP331" s="43"/>
      <c r="AQ331" s="236" t="str">
        <f>VLOOKUP(Table8[[#This Row],[Instrument]],Def_Targets!$D$73:$E$159,2,FALSE)</f>
        <v>I_Jetfuel</v>
      </c>
      <c r="AR331" s="233" t="str">
        <f>VLOOKUP(Table8[[#This Row],[Country Code]],Table29[],3,FALSE)</f>
        <v>Annex I</v>
      </c>
      <c r="AS331" s="233" t="str">
        <f>VLOOKUP(Table8[[#This Row],[Country Code]],Table29[],4,FALSE)</f>
        <v>Europe</v>
      </c>
      <c r="AT331" s="233" t="str">
        <f>VLOOKUP(Table8[[#This Row],[Country Code]],Table29[],5,FALSE)</f>
        <v>High-income</v>
      </c>
      <c r="AU331" s="233" t="str">
        <f>VLOOKUP(Table8[[#This Row],[Country Code]],Table29[],6,FALSE)</f>
        <v>no</v>
      </c>
      <c r="AV331" s="233" t="str">
        <f>VLOOKUP(Table8[[#This Row],[Country Code]],Table29[],7,FALSE)</f>
        <v>no</v>
      </c>
      <c r="AW331" s="233" t="str">
        <f>VLOOKUP(Table8[[#This Row],[Country Code]],Table29[],8,FALSE)</f>
        <v>OECD</v>
      </c>
      <c r="AX331" s="233" t="str">
        <f>VLOOKUP(Table8[[#This Row],[Country Code]],Table29[],9,FALSE)</f>
        <v>EU27</v>
      </c>
      <c r="AY331" s="233" t="str">
        <f>VLOOKUP(Table8[[#This Row],[Country Code]],Table29[],10,FALSE)</f>
        <v>no</v>
      </c>
      <c r="AZ331" s="235">
        <f>VLOOKUP(Table8[[#This Row],[Country Code]],Table29[],23,FALSE)</f>
        <v>72.921492529811999</v>
      </c>
      <c r="BA331" s="235">
        <f>VLOOKUP(Table8[[#This Row],[Country Code]],Table29[],24,FALSE)</f>
        <v>21.372731064834241</v>
      </c>
      <c r="BB331" s="320"/>
      <c r="BC331" s="320"/>
    </row>
    <row r="332" spans="1:55" ht="30" hidden="1" x14ac:dyDescent="0.25">
      <c r="A332" s="373">
        <v>24678</v>
      </c>
      <c r="B332" s="233" t="str">
        <f>VLOOKUP(Table8[[#This Row],[Document ID]],Table1[],2,FALSE)</f>
        <v>AUT</v>
      </c>
      <c r="C332" s="233" t="str">
        <f>VLOOKUP(Table8[[#This Row],[Document ID]],Table1[],3,FALSE)</f>
        <v>Austria</v>
      </c>
      <c r="D332" s="243" t="str">
        <f>VLOOKUP(Table8[[#This Row],[Document ID]],Table1[],5,FALSE)</f>
        <v>LTS</v>
      </c>
      <c r="E332" s="233" t="str">
        <f>VLOOKUP(Table8[[#This Row],[Document ID]],Table1[],7,FALSE)</f>
        <v>LTS</v>
      </c>
      <c r="F332" s="233" t="str">
        <f>VLOOKUP(Table8[[#This Row],[Document ID]],Table1[],8,FALSE)</f>
        <v>LTS 1.0</v>
      </c>
      <c r="G332" s="233" t="str">
        <f>VLOOKUP(Table8[[#This Row],[Document ID]],Table1[],10,FALSE)</f>
        <v>Active</v>
      </c>
      <c r="H332" s="43" t="s">
        <v>2350</v>
      </c>
      <c r="I332" s="43" t="s">
        <v>2370</v>
      </c>
      <c r="J332" s="44" t="s">
        <v>2418</v>
      </c>
      <c r="K332" s="44" t="s">
        <v>2686</v>
      </c>
      <c r="L332" s="44" t="s">
        <v>2333</v>
      </c>
      <c r="M332" s="43">
        <v>50</v>
      </c>
      <c r="N332" s="113"/>
      <c r="O332" s="113"/>
      <c r="P332" s="113"/>
      <c r="Q332" s="113"/>
      <c r="R332" s="113"/>
      <c r="S332" s="113"/>
      <c r="T332" s="113"/>
      <c r="U332" s="113"/>
      <c r="V332" s="113"/>
      <c r="W332" s="113"/>
      <c r="X332" s="113"/>
      <c r="Y332" s="113"/>
      <c r="Z332" s="113" t="s">
        <v>1113</v>
      </c>
      <c r="AA332" s="113"/>
      <c r="AB332" s="113"/>
      <c r="AC332" s="113"/>
      <c r="AD332" s="113"/>
      <c r="AE332" s="113"/>
      <c r="AF332" s="113"/>
      <c r="AG332" s="113"/>
      <c r="AH332" s="113"/>
      <c r="AI332" s="113"/>
      <c r="AJ332" s="113"/>
      <c r="AK332" s="319" t="s">
        <v>1113</v>
      </c>
      <c r="AL332" s="113"/>
      <c r="AM332" s="113"/>
      <c r="AN332" s="113"/>
      <c r="AO332" s="43" t="s">
        <v>2477</v>
      </c>
      <c r="AP332" s="43"/>
      <c r="AQ332" s="236" t="str">
        <f>VLOOKUP(Table8[[#This Row],[Instrument]],Def_Targets!$D$73:$E$159,2,FALSE)</f>
        <v>A_Complan</v>
      </c>
      <c r="AR332" s="233" t="str">
        <f>VLOOKUP(Table8[[#This Row],[Country Code]],Table29[],3,FALSE)</f>
        <v>Annex I</v>
      </c>
      <c r="AS332" s="233" t="str">
        <f>VLOOKUP(Table8[[#This Row],[Country Code]],Table29[],4,FALSE)</f>
        <v>Europe</v>
      </c>
      <c r="AT332" s="233" t="str">
        <f>VLOOKUP(Table8[[#This Row],[Country Code]],Table29[],5,FALSE)</f>
        <v>High-income</v>
      </c>
      <c r="AU332" s="233" t="str">
        <f>VLOOKUP(Table8[[#This Row],[Country Code]],Table29[],6,FALSE)</f>
        <v>no</v>
      </c>
      <c r="AV332" s="233" t="str">
        <f>VLOOKUP(Table8[[#This Row],[Country Code]],Table29[],7,FALSE)</f>
        <v>no</v>
      </c>
      <c r="AW332" s="233" t="str">
        <f>VLOOKUP(Table8[[#This Row],[Country Code]],Table29[],8,FALSE)</f>
        <v>OECD</v>
      </c>
      <c r="AX332" s="233" t="str">
        <f>VLOOKUP(Table8[[#This Row],[Country Code]],Table29[],9,FALSE)</f>
        <v>EU27</v>
      </c>
      <c r="AY332" s="233" t="str">
        <f>VLOOKUP(Table8[[#This Row],[Country Code]],Table29[],10,FALSE)</f>
        <v>no</v>
      </c>
      <c r="AZ332" s="235">
        <f>VLOOKUP(Table8[[#This Row],[Country Code]],Table29[],23,FALSE)</f>
        <v>72.921492529811999</v>
      </c>
      <c r="BA332" s="235">
        <f>VLOOKUP(Table8[[#This Row],[Country Code]],Table29[],24,FALSE)</f>
        <v>21.372731064834241</v>
      </c>
      <c r="BB332" s="320"/>
      <c r="BC332" s="320"/>
    </row>
    <row r="333" spans="1:55" hidden="1" x14ac:dyDescent="0.25">
      <c r="A333" s="373">
        <v>24678</v>
      </c>
      <c r="B333" s="233" t="str">
        <f>VLOOKUP(Table8[[#This Row],[Document ID]],Table1[],2,FALSE)</f>
        <v>AUT</v>
      </c>
      <c r="C333" s="233" t="str">
        <f>VLOOKUP(Table8[[#This Row],[Document ID]],Table1[],3,FALSE)</f>
        <v>Austria</v>
      </c>
      <c r="D333" s="243" t="str">
        <f>VLOOKUP(Table8[[#This Row],[Document ID]],Table1[],5,FALSE)</f>
        <v>LTS</v>
      </c>
      <c r="E333" s="233" t="str">
        <f>VLOOKUP(Table8[[#This Row],[Document ID]],Table1[],7,FALSE)</f>
        <v>LTS</v>
      </c>
      <c r="F333" s="233" t="str">
        <f>VLOOKUP(Table8[[#This Row],[Document ID]],Table1[],8,FALSE)</f>
        <v>LTS 1.0</v>
      </c>
      <c r="G333" s="233" t="str">
        <f>VLOOKUP(Table8[[#This Row],[Document ID]],Table1[],10,FALSE)</f>
        <v>Active</v>
      </c>
      <c r="H333" s="43" t="s">
        <v>2350</v>
      </c>
      <c r="I333" s="43" t="s">
        <v>2370</v>
      </c>
      <c r="J333" s="44" t="s">
        <v>2418</v>
      </c>
      <c r="K333" s="44" t="s">
        <v>2687</v>
      </c>
      <c r="L333" s="44" t="s">
        <v>2380</v>
      </c>
      <c r="M333" s="43">
        <v>50</v>
      </c>
      <c r="N333" s="113" t="s">
        <v>1113</v>
      </c>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319" t="s">
        <v>1113</v>
      </c>
      <c r="AL333" s="113"/>
      <c r="AM333" s="113"/>
      <c r="AN333" s="113"/>
      <c r="AO333" s="44" t="s">
        <v>2334</v>
      </c>
      <c r="AP333" s="43"/>
      <c r="AQ333" s="236" t="str">
        <f>VLOOKUP(Table8[[#This Row],[Instrument]],Def_Targets!$D$73:$E$159,2,FALSE)</f>
        <v>A_Complan</v>
      </c>
      <c r="AR333" s="233" t="str">
        <f>VLOOKUP(Table8[[#This Row],[Country Code]],Table29[],3,FALSE)</f>
        <v>Annex I</v>
      </c>
      <c r="AS333" s="233" t="str">
        <f>VLOOKUP(Table8[[#This Row],[Country Code]],Table29[],4,FALSE)</f>
        <v>Europe</v>
      </c>
      <c r="AT333" s="233" t="str">
        <f>VLOOKUP(Table8[[#This Row],[Country Code]],Table29[],5,FALSE)</f>
        <v>High-income</v>
      </c>
      <c r="AU333" s="233" t="str">
        <f>VLOOKUP(Table8[[#This Row],[Country Code]],Table29[],6,FALSE)</f>
        <v>no</v>
      </c>
      <c r="AV333" s="233" t="str">
        <f>VLOOKUP(Table8[[#This Row],[Country Code]],Table29[],7,FALSE)</f>
        <v>no</v>
      </c>
      <c r="AW333" s="233" t="str">
        <f>VLOOKUP(Table8[[#This Row],[Country Code]],Table29[],8,FALSE)</f>
        <v>OECD</v>
      </c>
      <c r="AX333" s="233" t="str">
        <f>VLOOKUP(Table8[[#This Row],[Country Code]],Table29[],9,FALSE)</f>
        <v>EU27</v>
      </c>
      <c r="AY333" s="233" t="str">
        <f>VLOOKUP(Table8[[#This Row],[Country Code]],Table29[],10,FALSE)</f>
        <v>no</v>
      </c>
      <c r="AZ333" s="235">
        <f>VLOOKUP(Table8[[#This Row],[Country Code]],Table29[],23,FALSE)</f>
        <v>72.921492529811999</v>
      </c>
      <c r="BA333" s="235">
        <f>VLOOKUP(Table8[[#This Row],[Country Code]],Table29[],24,FALSE)</f>
        <v>21.372731064834241</v>
      </c>
      <c r="BB333" s="320"/>
      <c r="BC333" s="320"/>
    </row>
    <row r="334" spans="1:55" ht="45" hidden="1" x14ac:dyDescent="0.25">
      <c r="A334" s="373">
        <v>24678</v>
      </c>
      <c r="B334" s="233" t="str">
        <f>VLOOKUP(Table8[[#This Row],[Document ID]],Table1[],2,FALSE)</f>
        <v>AUT</v>
      </c>
      <c r="C334" s="233" t="str">
        <f>VLOOKUP(Table8[[#This Row],[Document ID]],Table1[],3,FALSE)</f>
        <v>Austria</v>
      </c>
      <c r="D334" s="243" t="str">
        <f>VLOOKUP(Table8[[#This Row],[Document ID]],Table1[],5,FALSE)</f>
        <v>LTS</v>
      </c>
      <c r="E334" s="233" t="str">
        <f>VLOOKUP(Table8[[#This Row],[Document ID]],Table1[],7,FALSE)</f>
        <v>LTS</v>
      </c>
      <c r="F334" s="233" t="str">
        <f>VLOOKUP(Table8[[#This Row],[Document ID]],Table1[],8,FALSE)</f>
        <v>LTS 1.0</v>
      </c>
      <c r="G334" s="233" t="str">
        <f>VLOOKUP(Table8[[#This Row],[Document ID]],Table1[],10,FALSE)</f>
        <v>Active</v>
      </c>
      <c r="H334" s="43" t="s">
        <v>2343</v>
      </c>
      <c r="I334" s="43" t="s">
        <v>2377</v>
      </c>
      <c r="J334" s="44" t="s">
        <v>2535</v>
      </c>
      <c r="K334" s="44" t="s">
        <v>2688</v>
      </c>
      <c r="L334" s="44" t="s">
        <v>2396</v>
      </c>
      <c r="M334" s="43">
        <v>50</v>
      </c>
      <c r="N334" s="113"/>
      <c r="O334" s="113"/>
      <c r="P334" s="113"/>
      <c r="Q334" s="113"/>
      <c r="R334" s="113"/>
      <c r="S334" s="113"/>
      <c r="T334" s="113"/>
      <c r="U334" s="113"/>
      <c r="V334" s="113"/>
      <c r="W334" s="113"/>
      <c r="X334" s="113"/>
      <c r="Y334" s="113" t="s">
        <v>1113</v>
      </c>
      <c r="Z334" s="113"/>
      <c r="AA334" s="113"/>
      <c r="AB334" s="113"/>
      <c r="AC334" s="113" t="s">
        <v>1113</v>
      </c>
      <c r="AD334" s="113"/>
      <c r="AE334" s="113"/>
      <c r="AF334" s="113"/>
      <c r="AG334" s="113"/>
      <c r="AH334" s="113"/>
      <c r="AI334" s="113"/>
      <c r="AJ334" s="113"/>
      <c r="AK334" s="113"/>
      <c r="AL334" s="113" t="s">
        <v>1113</v>
      </c>
      <c r="AM334" s="113"/>
      <c r="AN334" s="113"/>
      <c r="AO334" s="43" t="s">
        <v>2348</v>
      </c>
      <c r="AP334" s="43"/>
      <c r="AQ334" s="236" t="str">
        <f>VLOOKUP(Table8[[#This Row],[Instrument]],Def_Targets!$D$73:$E$159,2,FALSE)</f>
        <v>S_Parking</v>
      </c>
      <c r="AR334" s="233" t="str">
        <f>VLOOKUP(Table8[[#This Row],[Country Code]],Table29[],3,FALSE)</f>
        <v>Annex I</v>
      </c>
      <c r="AS334" s="233" t="str">
        <f>VLOOKUP(Table8[[#This Row],[Country Code]],Table29[],4,FALSE)</f>
        <v>Europe</v>
      </c>
      <c r="AT334" s="233" t="str">
        <f>VLOOKUP(Table8[[#This Row],[Country Code]],Table29[],5,FALSE)</f>
        <v>High-income</v>
      </c>
      <c r="AU334" s="233" t="str">
        <f>VLOOKUP(Table8[[#This Row],[Country Code]],Table29[],6,FALSE)</f>
        <v>no</v>
      </c>
      <c r="AV334" s="233" t="str">
        <f>VLOOKUP(Table8[[#This Row],[Country Code]],Table29[],7,FALSE)</f>
        <v>no</v>
      </c>
      <c r="AW334" s="233" t="str">
        <f>VLOOKUP(Table8[[#This Row],[Country Code]],Table29[],8,FALSE)</f>
        <v>OECD</v>
      </c>
      <c r="AX334" s="233" t="str">
        <f>VLOOKUP(Table8[[#This Row],[Country Code]],Table29[],9,FALSE)</f>
        <v>EU27</v>
      </c>
      <c r="AY334" s="233" t="str">
        <f>VLOOKUP(Table8[[#This Row],[Country Code]],Table29[],10,FALSE)</f>
        <v>no</v>
      </c>
      <c r="AZ334" s="235">
        <f>VLOOKUP(Table8[[#This Row],[Country Code]],Table29[],23,FALSE)</f>
        <v>72.921492529811999</v>
      </c>
      <c r="BA334" s="235">
        <f>VLOOKUP(Table8[[#This Row],[Country Code]],Table29[],24,FALSE)</f>
        <v>21.372731064834241</v>
      </c>
      <c r="BB334" s="320"/>
      <c r="BC334" s="320"/>
    </row>
    <row r="335" spans="1:55" ht="30" hidden="1" x14ac:dyDescent="0.25">
      <c r="A335" s="373">
        <v>24678</v>
      </c>
      <c r="B335" s="233" t="str">
        <f>VLOOKUP(Table8[[#This Row],[Document ID]],Table1[],2,FALSE)</f>
        <v>AUT</v>
      </c>
      <c r="C335" s="233" t="str">
        <f>VLOOKUP(Table8[[#This Row],[Document ID]],Table1[],3,FALSE)</f>
        <v>Austria</v>
      </c>
      <c r="D335" s="243" t="str">
        <f>VLOOKUP(Table8[[#This Row],[Document ID]],Table1[],5,FALSE)</f>
        <v>LTS</v>
      </c>
      <c r="E335" s="233" t="str">
        <f>VLOOKUP(Table8[[#This Row],[Document ID]],Table1[],7,FALSE)</f>
        <v>LTS</v>
      </c>
      <c r="F335" s="233" t="str">
        <f>VLOOKUP(Table8[[#This Row],[Document ID]],Table1[],8,FALSE)</f>
        <v>LTS 1.0</v>
      </c>
      <c r="G335" s="233" t="str">
        <f>VLOOKUP(Table8[[#This Row],[Document ID]],Table1[],10,FALSE)</f>
        <v>Active</v>
      </c>
      <c r="H335" s="43" t="s">
        <v>2343</v>
      </c>
      <c r="I335" s="43" t="s">
        <v>2344</v>
      </c>
      <c r="J335" s="44" t="s">
        <v>2405</v>
      </c>
      <c r="K335" s="44" t="s">
        <v>2689</v>
      </c>
      <c r="L335" s="44" t="s">
        <v>2347</v>
      </c>
      <c r="M335" s="43">
        <v>50</v>
      </c>
      <c r="N335" s="113"/>
      <c r="O335" s="113"/>
      <c r="P335" s="113"/>
      <c r="Q335" s="113"/>
      <c r="R335" s="113"/>
      <c r="S335" s="113"/>
      <c r="T335" s="113"/>
      <c r="U335" s="113"/>
      <c r="V335" s="113"/>
      <c r="W335" s="113"/>
      <c r="X335" s="113"/>
      <c r="Y335" s="113" t="s">
        <v>1113</v>
      </c>
      <c r="Z335" s="113"/>
      <c r="AA335" s="113"/>
      <c r="AB335" s="113"/>
      <c r="AC335" s="113" t="s">
        <v>1113</v>
      </c>
      <c r="AD335" s="113"/>
      <c r="AE335" s="113"/>
      <c r="AF335" s="113"/>
      <c r="AG335" s="113"/>
      <c r="AH335" s="113"/>
      <c r="AI335" s="113"/>
      <c r="AJ335" s="113"/>
      <c r="AK335" s="113"/>
      <c r="AL335" s="113"/>
      <c r="AM335" s="113" t="s">
        <v>1113</v>
      </c>
      <c r="AN335" s="113"/>
      <c r="AO335" s="43" t="s">
        <v>2348</v>
      </c>
      <c r="AP335" s="43"/>
      <c r="AQ335" s="236" t="str">
        <f>VLOOKUP(Table8[[#This Row],[Instrument]],Def_Targets!$D$73:$E$159,2,FALSE)</f>
        <v>S_PTIntegration</v>
      </c>
      <c r="AR335" s="233" t="str">
        <f>VLOOKUP(Table8[[#This Row],[Country Code]],Table29[],3,FALSE)</f>
        <v>Annex I</v>
      </c>
      <c r="AS335" s="233" t="str">
        <f>VLOOKUP(Table8[[#This Row],[Country Code]],Table29[],4,FALSE)</f>
        <v>Europe</v>
      </c>
      <c r="AT335" s="233" t="str">
        <f>VLOOKUP(Table8[[#This Row],[Country Code]],Table29[],5,FALSE)</f>
        <v>High-income</v>
      </c>
      <c r="AU335" s="233" t="str">
        <f>VLOOKUP(Table8[[#This Row],[Country Code]],Table29[],6,FALSE)</f>
        <v>no</v>
      </c>
      <c r="AV335" s="233" t="str">
        <f>VLOOKUP(Table8[[#This Row],[Country Code]],Table29[],7,FALSE)</f>
        <v>no</v>
      </c>
      <c r="AW335" s="233" t="str">
        <f>VLOOKUP(Table8[[#This Row],[Country Code]],Table29[],8,FALSE)</f>
        <v>OECD</v>
      </c>
      <c r="AX335" s="233" t="str">
        <f>VLOOKUP(Table8[[#This Row],[Country Code]],Table29[],9,FALSE)</f>
        <v>EU27</v>
      </c>
      <c r="AY335" s="233" t="str">
        <f>VLOOKUP(Table8[[#This Row],[Country Code]],Table29[],10,FALSE)</f>
        <v>no</v>
      </c>
      <c r="AZ335" s="235">
        <f>VLOOKUP(Table8[[#This Row],[Country Code]],Table29[],23,FALSE)</f>
        <v>72.921492529811999</v>
      </c>
      <c r="BA335" s="235">
        <f>VLOOKUP(Table8[[#This Row],[Country Code]],Table29[],24,FALSE)</f>
        <v>21.372731064834241</v>
      </c>
      <c r="BB335" s="320"/>
      <c r="BC335" s="320"/>
    </row>
    <row r="336" spans="1:55" ht="30" hidden="1" x14ac:dyDescent="0.25">
      <c r="A336" s="373">
        <v>17549</v>
      </c>
      <c r="B336" s="233" t="str">
        <f>VLOOKUP(Table8[[#This Row],[Document ID]],Table1[],2,FALSE)</f>
        <v>CMR</v>
      </c>
      <c r="C336" s="233" t="str">
        <f>VLOOKUP(Table8[[#This Row],[Document ID]],Table1[],3,FALSE)</f>
        <v>Cameroon</v>
      </c>
      <c r="D336" s="243" t="str">
        <f>VLOOKUP(Table8[[#This Row],[Document ID]],Table1[],5,FALSE)</f>
        <v>NDC</v>
      </c>
      <c r="E336" s="233" t="str">
        <f>VLOOKUP(Table8[[#This Row],[Document ID]],Table1[],7,FALSE)</f>
        <v>First NDC</v>
      </c>
      <c r="F336" s="236" t="str">
        <f>VLOOKUP(Table8[[#This Row],[Document ID]],Table1[],8,FALSE)</f>
        <v>NDC 1.0</v>
      </c>
      <c r="G336" s="236" t="str">
        <f>VLOOKUP(Table8[[#This Row],[Document ID]],Table1[],10,FALSE)</f>
        <v>Archived</v>
      </c>
      <c r="H336" s="44" t="s">
        <v>2338</v>
      </c>
      <c r="I336" s="44" t="s">
        <v>2339</v>
      </c>
      <c r="J336" s="44" t="s">
        <v>2416</v>
      </c>
      <c r="K336" s="44" t="s">
        <v>2690</v>
      </c>
      <c r="L336" s="44" t="s">
        <v>2333</v>
      </c>
      <c r="M336" s="43"/>
      <c r="N336" s="113" t="s">
        <v>1113</v>
      </c>
      <c r="O336" s="113"/>
      <c r="P336" s="113"/>
      <c r="Q336" s="319"/>
      <c r="R336" s="319"/>
      <c r="S336" s="319"/>
      <c r="T336" s="319"/>
      <c r="U336" s="319"/>
      <c r="V336" s="319"/>
      <c r="W336" s="319"/>
      <c r="X336" s="319"/>
      <c r="Y336" s="319"/>
      <c r="Z336" s="319"/>
      <c r="AA336" s="319"/>
      <c r="AB336" s="319"/>
      <c r="AC336" s="319"/>
      <c r="AD336" s="319"/>
      <c r="AE336" s="319"/>
      <c r="AF336" s="319"/>
      <c r="AG336" s="319"/>
      <c r="AH336" s="319"/>
      <c r="AI336" s="319"/>
      <c r="AJ336" s="319"/>
      <c r="AK336" s="319" t="s">
        <v>1113</v>
      </c>
      <c r="AL336" s="319"/>
      <c r="AM336" s="319"/>
      <c r="AN336" s="319"/>
      <c r="AO336" s="44" t="s">
        <v>2334</v>
      </c>
      <c r="AP336" s="44"/>
      <c r="AQ336" s="236" t="str">
        <f>VLOOKUP(Table8[[#This Row],[Instrument]],Def_Targets!$D$73:$E$159,2,FALSE)</f>
        <v>I_Vehiclescrappage</v>
      </c>
      <c r="AR336" s="233" t="str">
        <f>VLOOKUP(Table8[[#This Row],[Country Code]],Table29[],3,FALSE)</f>
        <v>Non-Annex I</v>
      </c>
      <c r="AS336" s="233" t="str">
        <f>VLOOKUP(Table8[[#This Row],[Country Code]],Table29[],4,FALSE)</f>
        <v>Africa</v>
      </c>
      <c r="AT336" s="233" t="str">
        <f>VLOOKUP(Table8[[#This Row],[Country Code]],Table29[],5,FALSE)</f>
        <v>Middle-income</v>
      </c>
      <c r="AU336" s="233" t="str">
        <f>VLOOKUP(Table8[[#This Row],[Country Code]],Table29[],6,FALSE)</f>
        <v>no</v>
      </c>
      <c r="AV336" s="233" t="str">
        <f>VLOOKUP(Table8[[#This Row],[Country Code]],Table29[],7,FALSE)</f>
        <v>no</v>
      </c>
      <c r="AW336" s="233" t="str">
        <f>VLOOKUP(Table8[[#This Row],[Country Code]],Table29[],8,FALSE)</f>
        <v>non-OECD</v>
      </c>
      <c r="AX336" s="233" t="str">
        <f>VLOOKUP(Table8[[#This Row],[Country Code]],Table29[],9,FALSE)</f>
        <v>no</v>
      </c>
      <c r="AY336" s="233" t="str">
        <f>VLOOKUP(Table8[[#This Row],[Country Code]],Table29[],10,FALSE)</f>
        <v>no</v>
      </c>
      <c r="AZ336" s="235">
        <f>VLOOKUP(Table8[[#This Row],[Country Code]],Table29[],23,FALSE)</f>
        <v>39.377188823330997</v>
      </c>
      <c r="BA336" s="235">
        <f>VLOOKUP(Table8[[#This Row],[Country Code]],Table29[],24,FALSE)</f>
        <v>4.3438155341493783</v>
      </c>
      <c r="BB336" s="320"/>
      <c r="BC336" s="320"/>
    </row>
    <row r="337" spans="1:55" ht="30" hidden="1" x14ac:dyDescent="0.25">
      <c r="A337" s="373">
        <v>17549</v>
      </c>
      <c r="B337" s="233" t="str">
        <f>VLOOKUP(Table8[[#This Row],[Document ID]],Table1[],2,FALSE)</f>
        <v>CMR</v>
      </c>
      <c r="C337" s="233" t="str">
        <f>VLOOKUP(Table8[[#This Row],[Document ID]],Table1[],3,FALSE)</f>
        <v>Cameroon</v>
      </c>
      <c r="D337" s="243" t="str">
        <f>VLOOKUP(Table8[[#This Row],[Document ID]],Table1[],5,FALSE)</f>
        <v>NDC</v>
      </c>
      <c r="E337" s="233" t="str">
        <f>VLOOKUP(Table8[[#This Row],[Document ID]],Table1[],7,FALSE)</f>
        <v>First NDC</v>
      </c>
      <c r="F337" s="236" t="str">
        <f>VLOOKUP(Table8[[#This Row],[Document ID]],Table1[],8,FALSE)</f>
        <v>NDC 1.0</v>
      </c>
      <c r="G337" s="236" t="str">
        <f>VLOOKUP(Table8[[#This Row],[Document ID]],Table1[],10,FALSE)</f>
        <v>Archived</v>
      </c>
      <c r="H337" s="44" t="s">
        <v>2329</v>
      </c>
      <c r="I337" s="44" t="s">
        <v>2330</v>
      </c>
      <c r="J337" s="44" t="s">
        <v>2691</v>
      </c>
      <c r="K337" s="44" t="s">
        <v>2690</v>
      </c>
      <c r="L337" s="44" t="s">
        <v>2333</v>
      </c>
      <c r="M337" s="43"/>
      <c r="N337" s="113" t="s">
        <v>1113</v>
      </c>
      <c r="O337" s="113"/>
      <c r="P337" s="113"/>
      <c r="Q337" s="319"/>
      <c r="R337" s="319"/>
      <c r="S337" s="319"/>
      <c r="T337" s="319"/>
      <c r="U337" s="319"/>
      <c r="V337" s="319"/>
      <c r="W337" s="319"/>
      <c r="X337" s="319"/>
      <c r="Y337" s="319"/>
      <c r="Z337" s="319"/>
      <c r="AA337" s="319"/>
      <c r="AB337" s="319"/>
      <c r="AC337" s="319"/>
      <c r="AD337" s="319"/>
      <c r="AE337" s="319"/>
      <c r="AF337" s="319"/>
      <c r="AG337" s="319"/>
      <c r="AH337" s="319"/>
      <c r="AI337" s="319"/>
      <c r="AJ337" s="319"/>
      <c r="AK337" s="319" t="s">
        <v>1113</v>
      </c>
      <c r="AL337" s="319"/>
      <c r="AM337" s="319"/>
      <c r="AN337" s="319"/>
      <c r="AO337" s="44" t="s">
        <v>2334</v>
      </c>
      <c r="AP337" s="44"/>
      <c r="AQ337" s="236" t="str">
        <f>VLOOKUP(Table8[[#This Row],[Instrument]],Def_Targets!$D$73:$E$159,2,FALSE)</f>
        <v>I_Lowemissionincentive</v>
      </c>
      <c r="AR337" s="233" t="str">
        <f>VLOOKUP(Table8[[#This Row],[Country Code]],Table29[],3,FALSE)</f>
        <v>Non-Annex I</v>
      </c>
      <c r="AS337" s="233" t="str">
        <f>VLOOKUP(Table8[[#This Row],[Country Code]],Table29[],4,FALSE)</f>
        <v>Africa</v>
      </c>
      <c r="AT337" s="233" t="str">
        <f>VLOOKUP(Table8[[#This Row],[Country Code]],Table29[],5,FALSE)</f>
        <v>Middle-income</v>
      </c>
      <c r="AU337" s="233" t="str">
        <f>VLOOKUP(Table8[[#This Row],[Country Code]],Table29[],6,FALSE)</f>
        <v>no</v>
      </c>
      <c r="AV337" s="233" t="str">
        <f>VLOOKUP(Table8[[#This Row],[Country Code]],Table29[],7,FALSE)</f>
        <v>no</v>
      </c>
      <c r="AW337" s="233" t="str">
        <f>VLOOKUP(Table8[[#This Row],[Country Code]],Table29[],8,FALSE)</f>
        <v>non-OECD</v>
      </c>
      <c r="AX337" s="233" t="str">
        <f>VLOOKUP(Table8[[#This Row],[Country Code]],Table29[],9,FALSE)</f>
        <v>no</v>
      </c>
      <c r="AY337" s="233" t="str">
        <f>VLOOKUP(Table8[[#This Row],[Country Code]],Table29[],10,FALSE)</f>
        <v>no</v>
      </c>
      <c r="AZ337" s="235">
        <f>VLOOKUP(Table8[[#This Row],[Country Code]],Table29[],23,FALSE)</f>
        <v>39.377188823330997</v>
      </c>
      <c r="BA337" s="235">
        <f>VLOOKUP(Table8[[#This Row],[Country Code]],Table29[],24,FALSE)</f>
        <v>4.3438155341493783</v>
      </c>
      <c r="BB337" s="320"/>
      <c r="BC337" s="320"/>
    </row>
    <row r="338" spans="1:55" ht="30" hidden="1" x14ac:dyDescent="0.25">
      <c r="A338" s="373">
        <v>17549</v>
      </c>
      <c r="B338" s="233" t="str">
        <f>VLOOKUP(Table8[[#This Row],[Document ID]],Table1[],2,FALSE)</f>
        <v>CMR</v>
      </c>
      <c r="C338" s="233" t="str">
        <f>VLOOKUP(Table8[[#This Row],[Document ID]],Table1[],3,FALSE)</f>
        <v>Cameroon</v>
      </c>
      <c r="D338" s="243" t="str">
        <f>VLOOKUP(Table8[[#This Row],[Document ID]],Table1[],5,FALSE)</f>
        <v>NDC</v>
      </c>
      <c r="E338" s="233" t="str">
        <f>VLOOKUP(Table8[[#This Row],[Document ID]],Table1[],7,FALSE)</f>
        <v>First NDC</v>
      </c>
      <c r="F338" s="236" t="str">
        <f>VLOOKUP(Table8[[#This Row],[Document ID]],Table1[],8,FALSE)</f>
        <v>NDC 1.0</v>
      </c>
      <c r="G338" s="236" t="str">
        <f>VLOOKUP(Table8[[#This Row],[Document ID]],Table1[],10,FALSE)</f>
        <v>Archived</v>
      </c>
      <c r="H338" s="44" t="s">
        <v>2338</v>
      </c>
      <c r="I338" s="44" t="s">
        <v>2339</v>
      </c>
      <c r="J338" s="44" t="s">
        <v>2413</v>
      </c>
      <c r="K338" s="44" t="s">
        <v>2690</v>
      </c>
      <c r="L338" s="44" t="s">
        <v>2333</v>
      </c>
      <c r="M338" s="43"/>
      <c r="N338" s="113" t="s">
        <v>1113</v>
      </c>
      <c r="O338" s="113"/>
      <c r="P338" s="113"/>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t="s">
        <v>1113</v>
      </c>
      <c r="AL338" s="319"/>
      <c r="AM338" s="319"/>
      <c r="AN338" s="319"/>
      <c r="AO338" s="44" t="s">
        <v>2334</v>
      </c>
      <c r="AP338" s="44"/>
      <c r="AQ338" s="236" t="str">
        <f>VLOOKUP(Table8[[#This Row],[Instrument]],Def_Targets!$D$73:$E$159,2,FALSE)</f>
        <v>I_Vehicleeff</v>
      </c>
      <c r="AR338" s="233" t="str">
        <f>VLOOKUP(Table8[[#This Row],[Country Code]],Table29[],3,FALSE)</f>
        <v>Non-Annex I</v>
      </c>
      <c r="AS338" s="233" t="str">
        <f>VLOOKUP(Table8[[#This Row],[Country Code]],Table29[],4,FALSE)</f>
        <v>Africa</v>
      </c>
      <c r="AT338" s="233" t="str">
        <f>VLOOKUP(Table8[[#This Row],[Country Code]],Table29[],5,FALSE)</f>
        <v>Middle-income</v>
      </c>
      <c r="AU338" s="233" t="str">
        <f>VLOOKUP(Table8[[#This Row],[Country Code]],Table29[],6,FALSE)</f>
        <v>no</v>
      </c>
      <c r="AV338" s="233" t="str">
        <f>VLOOKUP(Table8[[#This Row],[Country Code]],Table29[],7,FALSE)</f>
        <v>no</v>
      </c>
      <c r="AW338" s="233" t="str">
        <f>VLOOKUP(Table8[[#This Row],[Country Code]],Table29[],8,FALSE)</f>
        <v>non-OECD</v>
      </c>
      <c r="AX338" s="233" t="str">
        <f>VLOOKUP(Table8[[#This Row],[Country Code]],Table29[],9,FALSE)</f>
        <v>no</v>
      </c>
      <c r="AY338" s="233" t="str">
        <f>VLOOKUP(Table8[[#This Row],[Country Code]],Table29[],10,FALSE)</f>
        <v>no</v>
      </c>
      <c r="AZ338" s="235">
        <f>VLOOKUP(Table8[[#This Row],[Country Code]],Table29[],23,FALSE)</f>
        <v>39.377188823330997</v>
      </c>
      <c r="BA338" s="235">
        <f>VLOOKUP(Table8[[#This Row],[Country Code]],Table29[],24,FALSE)</f>
        <v>4.3438155341493783</v>
      </c>
      <c r="BB338" s="320"/>
      <c r="BC338" s="320"/>
    </row>
    <row r="339" spans="1:55" ht="30" hidden="1" x14ac:dyDescent="0.25">
      <c r="A339" s="373">
        <v>17549</v>
      </c>
      <c r="B339" s="233" t="str">
        <f>VLOOKUP(Table8[[#This Row],[Document ID]],Table1[],2,FALSE)</f>
        <v>CMR</v>
      </c>
      <c r="C339" s="233" t="str">
        <f>VLOOKUP(Table8[[#This Row],[Document ID]],Table1[],3,FALSE)</f>
        <v>Cameroon</v>
      </c>
      <c r="D339" s="243" t="str">
        <f>VLOOKUP(Table8[[#This Row],[Document ID]],Table1[],5,FALSE)</f>
        <v>NDC</v>
      </c>
      <c r="E339" s="233" t="str">
        <f>VLOOKUP(Table8[[#This Row],[Document ID]],Table1[],7,FALSE)</f>
        <v>First NDC</v>
      </c>
      <c r="F339" s="236" t="str">
        <f>VLOOKUP(Table8[[#This Row],[Document ID]],Table1[],8,FALSE)</f>
        <v>NDC 1.0</v>
      </c>
      <c r="G339" s="236" t="str">
        <f>VLOOKUP(Table8[[#This Row],[Document ID]],Table1[],10,FALSE)</f>
        <v>Archived</v>
      </c>
      <c r="H339" s="43" t="s">
        <v>2343</v>
      </c>
      <c r="I339" s="43" t="s">
        <v>2344</v>
      </c>
      <c r="J339" s="44" t="s">
        <v>2345</v>
      </c>
      <c r="K339" s="44" t="s">
        <v>2692</v>
      </c>
      <c r="L339" s="44" t="s">
        <v>2347</v>
      </c>
      <c r="M339" s="43"/>
      <c r="N339" s="113"/>
      <c r="O339" s="113"/>
      <c r="P339" s="113"/>
      <c r="Q339" s="319"/>
      <c r="R339" s="319"/>
      <c r="S339" s="319"/>
      <c r="T339" s="319"/>
      <c r="U339" s="319"/>
      <c r="V339" s="319"/>
      <c r="W339" s="319"/>
      <c r="X339" s="319"/>
      <c r="Y339" s="319"/>
      <c r="Z339" s="319"/>
      <c r="AA339" s="319"/>
      <c r="AB339" s="319"/>
      <c r="AC339" s="319" t="s">
        <v>1113</v>
      </c>
      <c r="AD339" s="319"/>
      <c r="AE339" s="319"/>
      <c r="AF339" s="319"/>
      <c r="AG339" s="319"/>
      <c r="AH339" s="319"/>
      <c r="AI339" s="319"/>
      <c r="AJ339" s="319"/>
      <c r="AK339" s="319"/>
      <c r="AL339" s="113" t="s">
        <v>1113</v>
      </c>
      <c r="AM339" s="319"/>
      <c r="AN339" s="319"/>
      <c r="AO339" s="43" t="s">
        <v>2348</v>
      </c>
      <c r="AP339" s="44"/>
      <c r="AQ339" s="236" t="str">
        <f>VLOOKUP(Table8[[#This Row],[Instrument]],Def_Targets!$D$73:$E$159,2,FALSE)</f>
        <v>S_PublicTransport</v>
      </c>
      <c r="AR339" s="233" t="str">
        <f>VLOOKUP(Table8[[#This Row],[Country Code]],Table29[],3,FALSE)</f>
        <v>Non-Annex I</v>
      </c>
      <c r="AS339" s="233" t="str">
        <f>VLOOKUP(Table8[[#This Row],[Country Code]],Table29[],4,FALSE)</f>
        <v>Africa</v>
      </c>
      <c r="AT339" s="233" t="str">
        <f>VLOOKUP(Table8[[#This Row],[Country Code]],Table29[],5,FALSE)</f>
        <v>Middle-income</v>
      </c>
      <c r="AU339" s="233" t="str">
        <f>VLOOKUP(Table8[[#This Row],[Country Code]],Table29[],6,FALSE)</f>
        <v>no</v>
      </c>
      <c r="AV339" s="233" t="str">
        <f>VLOOKUP(Table8[[#This Row],[Country Code]],Table29[],7,FALSE)</f>
        <v>no</v>
      </c>
      <c r="AW339" s="233" t="str">
        <f>VLOOKUP(Table8[[#This Row],[Country Code]],Table29[],8,FALSE)</f>
        <v>non-OECD</v>
      </c>
      <c r="AX339" s="233" t="str">
        <f>VLOOKUP(Table8[[#This Row],[Country Code]],Table29[],9,FALSE)</f>
        <v>no</v>
      </c>
      <c r="AY339" s="233" t="str">
        <f>VLOOKUP(Table8[[#This Row],[Country Code]],Table29[],10,FALSE)</f>
        <v>no</v>
      </c>
      <c r="AZ339" s="235">
        <f>VLOOKUP(Table8[[#This Row],[Country Code]],Table29[],23,FALSE)</f>
        <v>39.377188823330997</v>
      </c>
      <c r="BA339" s="235">
        <f>VLOOKUP(Table8[[#This Row],[Country Code]],Table29[],24,FALSE)</f>
        <v>4.3438155341493783</v>
      </c>
      <c r="BB339" s="320"/>
      <c r="BC339" s="320"/>
    </row>
    <row r="340" spans="1:55" ht="45" hidden="1" x14ac:dyDescent="0.25">
      <c r="A340" s="373">
        <v>17549</v>
      </c>
      <c r="B340" s="233" t="str">
        <f>VLOOKUP(Table8[[#This Row],[Document ID]],Table1[],2,FALSE)</f>
        <v>CMR</v>
      </c>
      <c r="C340" s="233" t="str">
        <f>VLOOKUP(Table8[[#This Row],[Document ID]],Table1[],3,FALSE)</f>
        <v>Cameroon</v>
      </c>
      <c r="D340" s="243" t="str">
        <f>VLOOKUP(Table8[[#This Row],[Document ID]],Table1[],5,FALSE)</f>
        <v>NDC</v>
      </c>
      <c r="E340" s="233" t="str">
        <f>VLOOKUP(Table8[[#This Row],[Document ID]],Table1[],7,FALSE)</f>
        <v>First NDC</v>
      </c>
      <c r="F340" s="236" t="str">
        <f>VLOOKUP(Table8[[#This Row],[Document ID]],Table1[],8,FALSE)</f>
        <v>NDC 1.0</v>
      </c>
      <c r="G340" s="236" t="str">
        <f>VLOOKUP(Table8[[#This Row],[Document ID]],Table1[],10,FALSE)</f>
        <v>Archived</v>
      </c>
      <c r="H340" s="43" t="s">
        <v>2350</v>
      </c>
      <c r="I340" s="43" t="s">
        <v>2370</v>
      </c>
      <c r="J340" s="44" t="s">
        <v>2371</v>
      </c>
      <c r="K340" s="44" t="s">
        <v>2693</v>
      </c>
      <c r="L340" s="44" t="s">
        <v>2373</v>
      </c>
      <c r="M340" s="43"/>
      <c r="N340" s="113" t="s">
        <v>1113</v>
      </c>
      <c r="O340" s="113"/>
      <c r="P340" s="113"/>
      <c r="Q340" s="319"/>
      <c r="R340" s="319"/>
      <c r="S340" s="319"/>
      <c r="T340" s="319"/>
      <c r="U340" s="319"/>
      <c r="V340" s="319"/>
      <c r="W340" s="319"/>
      <c r="X340" s="319"/>
      <c r="Y340" s="319"/>
      <c r="Z340" s="319"/>
      <c r="AA340" s="319"/>
      <c r="AB340" s="319"/>
      <c r="AC340" s="319"/>
      <c r="AD340" s="319"/>
      <c r="AE340" s="319"/>
      <c r="AF340" s="319"/>
      <c r="AG340" s="319"/>
      <c r="AH340" s="319"/>
      <c r="AI340" s="319"/>
      <c r="AJ340" s="319"/>
      <c r="AK340" s="319" t="s">
        <v>1113</v>
      </c>
      <c r="AL340" s="319"/>
      <c r="AM340" s="319"/>
      <c r="AN340" s="319"/>
      <c r="AO340" s="44" t="s">
        <v>2334</v>
      </c>
      <c r="AP340" s="44"/>
      <c r="AQ340" s="236" t="str">
        <f>VLOOKUP(Table8[[#This Row],[Instrument]],Def_Targets!$D$73:$E$159,2,FALSE)</f>
        <v>A_Natmobplan</v>
      </c>
      <c r="AR340" s="233" t="str">
        <f>VLOOKUP(Table8[[#This Row],[Country Code]],Table29[],3,FALSE)</f>
        <v>Non-Annex I</v>
      </c>
      <c r="AS340" s="233" t="str">
        <f>VLOOKUP(Table8[[#This Row],[Country Code]],Table29[],4,FALSE)</f>
        <v>Africa</v>
      </c>
      <c r="AT340" s="233" t="str">
        <f>VLOOKUP(Table8[[#This Row],[Country Code]],Table29[],5,FALSE)</f>
        <v>Middle-income</v>
      </c>
      <c r="AU340" s="233" t="str">
        <f>VLOOKUP(Table8[[#This Row],[Country Code]],Table29[],6,FALSE)</f>
        <v>no</v>
      </c>
      <c r="AV340" s="233" t="str">
        <f>VLOOKUP(Table8[[#This Row],[Country Code]],Table29[],7,FALSE)</f>
        <v>no</v>
      </c>
      <c r="AW340" s="233" t="str">
        <f>VLOOKUP(Table8[[#This Row],[Country Code]],Table29[],8,FALSE)</f>
        <v>non-OECD</v>
      </c>
      <c r="AX340" s="233" t="str">
        <f>VLOOKUP(Table8[[#This Row],[Country Code]],Table29[],9,FALSE)</f>
        <v>no</v>
      </c>
      <c r="AY340" s="233" t="str">
        <f>VLOOKUP(Table8[[#This Row],[Country Code]],Table29[],10,FALSE)</f>
        <v>no</v>
      </c>
      <c r="AZ340" s="235">
        <f>VLOOKUP(Table8[[#This Row],[Country Code]],Table29[],23,FALSE)</f>
        <v>39.377188823330997</v>
      </c>
      <c r="BA340" s="235">
        <f>VLOOKUP(Table8[[#This Row],[Country Code]],Table29[],24,FALSE)</f>
        <v>4.3438155341493783</v>
      </c>
      <c r="BB340" s="320"/>
      <c r="BC340" s="320"/>
    </row>
    <row r="341" spans="1:55" ht="30" hidden="1" x14ac:dyDescent="0.25">
      <c r="A341" s="373">
        <v>17549</v>
      </c>
      <c r="B341" s="233" t="str">
        <f>VLOOKUP(Table8[[#This Row],[Document ID]],Table1[],2,FALSE)</f>
        <v>CMR</v>
      </c>
      <c r="C341" s="233" t="str">
        <f>VLOOKUP(Table8[[#This Row],[Document ID]],Table1[],3,FALSE)</f>
        <v>Cameroon</v>
      </c>
      <c r="D341" s="243" t="str">
        <f>VLOOKUP(Table8[[#This Row],[Document ID]],Table1[],5,FALSE)</f>
        <v>NDC</v>
      </c>
      <c r="E341" s="233" t="str">
        <f>VLOOKUP(Table8[[#This Row],[Document ID]],Table1[],7,FALSE)</f>
        <v>First NDC</v>
      </c>
      <c r="F341" s="236" t="str">
        <f>VLOOKUP(Table8[[#This Row],[Document ID]],Table1[],8,FALSE)</f>
        <v>NDC 1.0</v>
      </c>
      <c r="G341" s="236" t="str">
        <f>VLOOKUP(Table8[[#This Row],[Document ID]],Table1[],10,FALSE)</f>
        <v>Archived</v>
      </c>
      <c r="H341" s="43" t="s">
        <v>2350</v>
      </c>
      <c r="I341" s="43" t="s">
        <v>2456</v>
      </c>
      <c r="J341" s="44" t="s">
        <v>2457</v>
      </c>
      <c r="K341" s="44" t="s">
        <v>2694</v>
      </c>
      <c r="L341" s="44" t="s">
        <v>2471</v>
      </c>
      <c r="M341" s="43"/>
      <c r="N341" s="113" t="s">
        <v>1113</v>
      </c>
      <c r="O341" s="113"/>
      <c r="P341" s="113"/>
      <c r="Q341" s="319"/>
      <c r="R341" s="319"/>
      <c r="S341" s="319"/>
      <c r="T341" s="319"/>
      <c r="U341" s="319"/>
      <c r="V341" s="319"/>
      <c r="W341" s="319"/>
      <c r="X341" s="319"/>
      <c r="Y341" s="319"/>
      <c r="Z341" s="319"/>
      <c r="AA341" s="319"/>
      <c r="AB341" s="319"/>
      <c r="AC341" s="319"/>
      <c r="AD341" s="319"/>
      <c r="AE341" s="319"/>
      <c r="AF341" s="319"/>
      <c r="AG341" s="319"/>
      <c r="AH341" s="319"/>
      <c r="AI341" s="319"/>
      <c r="AJ341" s="319"/>
      <c r="AK341" s="319" t="s">
        <v>1113</v>
      </c>
      <c r="AL341" s="319"/>
      <c r="AM341" s="319"/>
      <c r="AN341" s="319"/>
      <c r="AO341" s="44" t="s">
        <v>2334</v>
      </c>
      <c r="AP341" s="44"/>
      <c r="AQ341" s="236" t="str">
        <f>VLOOKUP(Table8[[#This Row],[Instrument]],Def_Targets!$D$73:$E$159,2,FALSE)</f>
        <v>S_Infraimprove</v>
      </c>
      <c r="AR341" s="233" t="str">
        <f>VLOOKUP(Table8[[#This Row],[Country Code]],Table29[],3,FALSE)</f>
        <v>Non-Annex I</v>
      </c>
      <c r="AS341" s="233" t="str">
        <f>VLOOKUP(Table8[[#This Row],[Country Code]],Table29[],4,FALSE)</f>
        <v>Africa</v>
      </c>
      <c r="AT341" s="233" t="str">
        <f>VLOOKUP(Table8[[#This Row],[Country Code]],Table29[],5,FALSE)</f>
        <v>Middle-income</v>
      </c>
      <c r="AU341" s="233" t="str">
        <f>VLOOKUP(Table8[[#This Row],[Country Code]],Table29[],6,FALSE)</f>
        <v>no</v>
      </c>
      <c r="AV341" s="233" t="str">
        <f>VLOOKUP(Table8[[#This Row],[Country Code]],Table29[],7,FALSE)</f>
        <v>no</v>
      </c>
      <c r="AW341" s="233" t="str">
        <f>VLOOKUP(Table8[[#This Row],[Country Code]],Table29[],8,FALSE)</f>
        <v>non-OECD</v>
      </c>
      <c r="AX341" s="233" t="str">
        <f>VLOOKUP(Table8[[#This Row],[Country Code]],Table29[],9,FALSE)</f>
        <v>no</v>
      </c>
      <c r="AY341" s="233" t="str">
        <f>VLOOKUP(Table8[[#This Row],[Country Code]],Table29[],10,FALSE)</f>
        <v>no</v>
      </c>
      <c r="AZ341" s="235">
        <f>VLOOKUP(Table8[[#This Row],[Country Code]],Table29[],23,FALSE)</f>
        <v>39.377188823330997</v>
      </c>
      <c r="BA341" s="235">
        <f>VLOOKUP(Table8[[#This Row],[Country Code]],Table29[],24,FALSE)</f>
        <v>4.3438155341493783</v>
      </c>
      <c r="BB341" s="320"/>
      <c r="BC341" s="320"/>
    </row>
    <row r="342" spans="1:55" s="17" customFormat="1" ht="30" hidden="1" x14ac:dyDescent="0.25">
      <c r="A342" s="373">
        <v>23371</v>
      </c>
      <c r="B342" s="233" t="str">
        <f>VLOOKUP(Table8[[#This Row],[Document ID]],Table1[],2,FALSE)</f>
        <v>CMR</v>
      </c>
      <c r="C342" s="233" t="str">
        <f>VLOOKUP(Table8[[#This Row],[Document ID]],Table1[],3,FALSE)</f>
        <v>Cameroon</v>
      </c>
      <c r="D342" s="243" t="str">
        <f>VLOOKUP(Table8[[#This Row],[Document ID]],Table1[],5,FALSE)</f>
        <v>NDC</v>
      </c>
      <c r="E342" s="233" t="str">
        <f>VLOOKUP(Table8[[#This Row],[Document ID]],Table1[],7,FALSE)</f>
        <v>First NDC updated</v>
      </c>
      <c r="F342" s="233" t="str">
        <f>VLOOKUP(Table8[[#This Row],[Document ID]],Table1[],8,FALSE)</f>
        <v>NDC 1.1</v>
      </c>
      <c r="G342" s="233" t="str">
        <f>VLOOKUP(Table8[[#This Row],[Document ID]],Table1[],10,FALSE)</f>
        <v>Active</v>
      </c>
      <c r="H342" s="44" t="s">
        <v>2338</v>
      </c>
      <c r="I342" s="44" t="s">
        <v>2339</v>
      </c>
      <c r="J342" s="44" t="s">
        <v>2410</v>
      </c>
      <c r="K342" s="44" t="s">
        <v>2695</v>
      </c>
      <c r="L342" s="44" t="s">
        <v>2333</v>
      </c>
      <c r="M342" s="43">
        <v>17</v>
      </c>
      <c r="N342" s="113" t="s">
        <v>1113</v>
      </c>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t="s">
        <v>1113</v>
      </c>
      <c r="AL342" s="113"/>
      <c r="AM342" s="113"/>
      <c r="AN342" s="113"/>
      <c r="AO342" s="44" t="s">
        <v>2334</v>
      </c>
      <c r="AP342" s="43"/>
      <c r="AQ342" s="236" t="str">
        <f>VLOOKUP(Table8[[#This Row],[Instrument]],Def_Targets!$D$73:$E$159,2,FALSE)</f>
        <v>I_VehicleRestrictions</v>
      </c>
      <c r="AR342" s="233" t="str">
        <f>VLOOKUP(Table8[[#This Row],[Country Code]],Table29[],3,FALSE)</f>
        <v>Non-Annex I</v>
      </c>
      <c r="AS342" s="233" t="str">
        <f>VLOOKUP(Table8[[#This Row],[Country Code]],Table29[],4,FALSE)</f>
        <v>Africa</v>
      </c>
      <c r="AT342" s="233" t="str">
        <f>VLOOKUP(Table8[[#This Row],[Country Code]],Table29[],5,FALSE)</f>
        <v>Middle-income</v>
      </c>
      <c r="AU342" s="233" t="str">
        <f>VLOOKUP(Table8[[#This Row],[Country Code]],Table29[],6,FALSE)</f>
        <v>no</v>
      </c>
      <c r="AV342" s="233" t="str">
        <f>VLOOKUP(Table8[[#This Row],[Country Code]],Table29[],7,FALSE)</f>
        <v>no</v>
      </c>
      <c r="AW342" s="233" t="str">
        <f>VLOOKUP(Table8[[#This Row],[Country Code]],Table29[],8,FALSE)</f>
        <v>non-OECD</v>
      </c>
      <c r="AX342" s="233" t="str">
        <f>VLOOKUP(Table8[[#This Row],[Country Code]],Table29[],9,FALSE)</f>
        <v>no</v>
      </c>
      <c r="AY342" s="233" t="str">
        <f>VLOOKUP(Table8[[#This Row],[Country Code]],Table29[],10,FALSE)</f>
        <v>no</v>
      </c>
      <c r="AZ342" s="235">
        <f>VLOOKUP(Table8[[#This Row],[Country Code]],Table29[],23,FALSE)</f>
        <v>39.377188823330997</v>
      </c>
      <c r="BA342" s="235">
        <f>VLOOKUP(Table8[[#This Row],[Country Code]],Table29[],24,FALSE)</f>
        <v>4.3438155341493783</v>
      </c>
      <c r="BB342" s="320"/>
      <c r="BC342" s="320"/>
    </row>
    <row r="343" spans="1:55" s="17" customFormat="1" ht="30" hidden="1" x14ac:dyDescent="0.25">
      <c r="A343" s="373">
        <v>23371</v>
      </c>
      <c r="B343" s="233" t="str">
        <f>VLOOKUP(Table8[[#This Row],[Document ID]],Table1[],2,FALSE)</f>
        <v>CMR</v>
      </c>
      <c r="C343" s="233" t="str">
        <f>VLOOKUP(Table8[[#This Row],[Document ID]],Table1[],3,FALSE)</f>
        <v>Cameroon</v>
      </c>
      <c r="D343" s="243" t="str">
        <f>VLOOKUP(Table8[[#This Row],[Document ID]],Table1[],5,FALSE)</f>
        <v>NDC</v>
      </c>
      <c r="E343" s="233" t="str">
        <f>VLOOKUP(Table8[[#This Row],[Document ID]],Table1[],7,FALSE)</f>
        <v>First NDC updated</v>
      </c>
      <c r="F343" s="233" t="str">
        <f>VLOOKUP(Table8[[#This Row],[Document ID]],Table1[],8,FALSE)</f>
        <v>NDC 1.1</v>
      </c>
      <c r="G343" s="233" t="str">
        <f>VLOOKUP(Table8[[#This Row],[Document ID]],Table1[],10,FALSE)</f>
        <v>Active</v>
      </c>
      <c r="H343" s="44" t="s">
        <v>2338</v>
      </c>
      <c r="I343" s="44" t="s">
        <v>2339</v>
      </c>
      <c r="J343" s="44" t="s">
        <v>2413</v>
      </c>
      <c r="K343" s="44" t="s">
        <v>2695</v>
      </c>
      <c r="L343" s="44" t="s">
        <v>2333</v>
      </c>
      <c r="M343" s="43">
        <v>17</v>
      </c>
      <c r="N343" s="113" t="s">
        <v>1113</v>
      </c>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t="s">
        <v>1113</v>
      </c>
      <c r="AL343" s="113"/>
      <c r="AM343" s="113"/>
      <c r="AN343" s="113"/>
      <c r="AO343" s="44" t="s">
        <v>2334</v>
      </c>
      <c r="AP343" s="43"/>
      <c r="AQ343" s="236" t="str">
        <f>VLOOKUP(Table8[[#This Row],[Instrument]],Def_Targets!$D$73:$E$159,2,FALSE)</f>
        <v>I_Vehicleeff</v>
      </c>
      <c r="AR343" s="233" t="str">
        <f>VLOOKUP(Table8[[#This Row],[Country Code]],Table29[],3,FALSE)</f>
        <v>Non-Annex I</v>
      </c>
      <c r="AS343" s="233" t="str">
        <f>VLOOKUP(Table8[[#This Row],[Country Code]],Table29[],4,FALSE)</f>
        <v>Africa</v>
      </c>
      <c r="AT343" s="233" t="str">
        <f>VLOOKUP(Table8[[#This Row],[Country Code]],Table29[],5,FALSE)</f>
        <v>Middle-income</v>
      </c>
      <c r="AU343" s="233" t="str">
        <f>VLOOKUP(Table8[[#This Row],[Country Code]],Table29[],6,FALSE)</f>
        <v>no</v>
      </c>
      <c r="AV343" s="233" t="str">
        <f>VLOOKUP(Table8[[#This Row],[Country Code]],Table29[],7,FALSE)</f>
        <v>no</v>
      </c>
      <c r="AW343" s="233" t="str">
        <f>VLOOKUP(Table8[[#This Row],[Country Code]],Table29[],8,FALSE)</f>
        <v>non-OECD</v>
      </c>
      <c r="AX343" s="233" t="str">
        <f>VLOOKUP(Table8[[#This Row],[Country Code]],Table29[],9,FALSE)</f>
        <v>no</v>
      </c>
      <c r="AY343" s="233" t="str">
        <f>VLOOKUP(Table8[[#This Row],[Country Code]],Table29[],10,FALSE)</f>
        <v>no</v>
      </c>
      <c r="AZ343" s="235">
        <f>VLOOKUP(Table8[[#This Row],[Country Code]],Table29[],23,FALSE)</f>
        <v>39.377188823330997</v>
      </c>
      <c r="BA343" s="235">
        <f>VLOOKUP(Table8[[#This Row],[Country Code]],Table29[],24,FALSE)</f>
        <v>4.3438155341493783</v>
      </c>
      <c r="BB343" s="320"/>
      <c r="BC343" s="320"/>
    </row>
    <row r="344" spans="1:55" s="17" customFormat="1" ht="30" hidden="1" x14ac:dyDescent="0.25">
      <c r="A344" s="373">
        <v>23371</v>
      </c>
      <c r="B344" s="233" t="str">
        <f>VLOOKUP(Table8[[#This Row],[Document ID]],Table1[],2,FALSE)</f>
        <v>CMR</v>
      </c>
      <c r="C344" s="233" t="str">
        <f>VLOOKUP(Table8[[#This Row],[Document ID]],Table1[],3,FALSE)</f>
        <v>Cameroon</v>
      </c>
      <c r="D344" s="243" t="str">
        <f>VLOOKUP(Table8[[#This Row],[Document ID]],Table1[],5,FALSE)</f>
        <v>NDC</v>
      </c>
      <c r="E344" s="233" t="str">
        <f>VLOOKUP(Table8[[#This Row],[Document ID]],Table1[],7,FALSE)</f>
        <v>First NDC updated</v>
      </c>
      <c r="F344" s="233" t="str">
        <f>VLOOKUP(Table8[[#This Row],[Document ID]],Table1[],8,FALSE)</f>
        <v>NDC 1.1</v>
      </c>
      <c r="G344" s="233" t="str">
        <f>VLOOKUP(Table8[[#This Row],[Document ID]],Table1[],10,FALSE)</f>
        <v>Active</v>
      </c>
      <c r="H344" s="43" t="s">
        <v>2358</v>
      </c>
      <c r="I344" s="43" t="s">
        <v>2359</v>
      </c>
      <c r="J344" s="44" t="s">
        <v>2389</v>
      </c>
      <c r="K344" s="44" t="s">
        <v>2695</v>
      </c>
      <c r="L344" s="44" t="s">
        <v>2333</v>
      </c>
      <c r="M344" s="43">
        <v>17</v>
      </c>
      <c r="N344" s="113" t="s">
        <v>1113</v>
      </c>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t="s">
        <v>1113</v>
      </c>
      <c r="AL344" s="113"/>
      <c r="AM344" s="113"/>
      <c r="AN344" s="113"/>
      <c r="AO344" s="44" t="s">
        <v>2334</v>
      </c>
      <c r="AP344" s="43"/>
      <c r="AQ344" s="236" t="str">
        <f>VLOOKUP(Table8[[#This Row],[Instrument]],Def_Targets!$D$73:$E$159,2,FALSE)</f>
        <v>I_Emobilitypurchase</v>
      </c>
      <c r="AR344" s="233" t="str">
        <f>VLOOKUP(Table8[[#This Row],[Country Code]],Table29[],3,FALSE)</f>
        <v>Non-Annex I</v>
      </c>
      <c r="AS344" s="233" t="str">
        <f>VLOOKUP(Table8[[#This Row],[Country Code]],Table29[],4,FALSE)</f>
        <v>Africa</v>
      </c>
      <c r="AT344" s="233" t="str">
        <f>VLOOKUP(Table8[[#This Row],[Country Code]],Table29[],5,FALSE)</f>
        <v>Middle-income</v>
      </c>
      <c r="AU344" s="233" t="str">
        <f>VLOOKUP(Table8[[#This Row],[Country Code]],Table29[],6,FALSE)</f>
        <v>no</v>
      </c>
      <c r="AV344" s="233" t="str">
        <f>VLOOKUP(Table8[[#This Row],[Country Code]],Table29[],7,FALSE)</f>
        <v>no</v>
      </c>
      <c r="AW344" s="233" t="str">
        <f>VLOOKUP(Table8[[#This Row],[Country Code]],Table29[],8,FALSE)</f>
        <v>non-OECD</v>
      </c>
      <c r="AX344" s="233" t="str">
        <f>VLOOKUP(Table8[[#This Row],[Country Code]],Table29[],9,FALSE)</f>
        <v>no</v>
      </c>
      <c r="AY344" s="233" t="str">
        <f>VLOOKUP(Table8[[#This Row],[Country Code]],Table29[],10,FALSE)</f>
        <v>no</v>
      </c>
      <c r="AZ344" s="235">
        <f>VLOOKUP(Table8[[#This Row],[Country Code]],Table29[],23,FALSE)</f>
        <v>39.377188823330997</v>
      </c>
      <c r="BA344" s="235">
        <f>VLOOKUP(Table8[[#This Row],[Country Code]],Table29[],24,FALSE)</f>
        <v>4.3438155341493783</v>
      </c>
      <c r="BB344" s="320"/>
      <c r="BC344" s="320"/>
    </row>
    <row r="345" spans="1:55" s="17" customFormat="1" hidden="1" x14ac:dyDescent="0.25">
      <c r="A345" s="373">
        <v>23371</v>
      </c>
      <c r="B345" s="233" t="str">
        <f>VLOOKUP(Table8[[#This Row],[Document ID]],Table1[],2,FALSE)</f>
        <v>CMR</v>
      </c>
      <c r="C345" s="233" t="str">
        <f>VLOOKUP(Table8[[#This Row],[Document ID]],Table1[],3,FALSE)</f>
        <v>Cameroon</v>
      </c>
      <c r="D345" s="243" t="str">
        <f>VLOOKUP(Table8[[#This Row],[Document ID]],Table1[],5,FALSE)</f>
        <v>NDC</v>
      </c>
      <c r="E345" s="233" t="str">
        <f>VLOOKUP(Table8[[#This Row],[Document ID]],Table1[],7,FALSE)</f>
        <v>First NDC updated</v>
      </c>
      <c r="F345" s="233" t="str">
        <f>VLOOKUP(Table8[[#This Row],[Document ID]],Table1[],8,FALSE)</f>
        <v>NDC 1.1</v>
      </c>
      <c r="G345" s="233" t="str">
        <f>VLOOKUP(Table8[[#This Row],[Document ID]],Table1[],10,FALSE)</f>
        <v>Active</v>
      </c>
      <c r="H345" s="43" t="s">
        <v>2343</v>
      </c>
      <c r="I345" s="43" t="s">
        <v>2377</v>
      </c>
      <c r="J345" s="44" t="s">
        <v>2394</v>
      </c>
      <c r="K345" s="44" t="s">
        <v>2696</v>
      </c>
      <c r="L345" s="44" t="s">
        <v>2347</v>
      </c>
      <c r="M345" s="43">
        <v>17</v>
      </c>
      <c r="N345" s="113" t="s">
        <v>1113</v>
      </c>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t="s">
        <v>1113</v>
      </c>
      <c r="AL345" s="113"/>
      <c r="AM345" s="113"/>
      <c r="AN345" s="113"/>
      <c r="AO345" s="44" t="s">
        <v>2334</v>
      </c>
      <c r="AP345" s="43"/>
      <c r="AQ345" s="236" t="str">
        <f>VLOOKUP(Table8[[#This Row],[Instrument]],Def_Targets!$D$73:$E$159,2,FALSE)</f>
        <v>A_TDM</v>
      </c>
      <c r="AR345" s="233" t="str">
        <f>VLOOKUP(Table8[[#This Row],[Country Code]],Table29[],3,FALSE)</f>
        <v>Non-Annex I</v>
      </c>
      <c r="AS345" s="233" t="str">
        <f>VLOOKUP(Table8[[#This Row],[Country Code]],Table29[],4,FALSE)</f>
        <v>Africa</v>
      </c>
      <c r="AT345" s="233" t="str">
        <f>VLOOKUP(Table8[[#This Row],[Country Code]],Table29[],5,FALSE)</f>
        <v>Middle-income</v>
      </c>
      <c r="AU345" s="233" t="str">
        <f>VLOOKUP(Table8[[#This Row],[Country Code]],Table29[],6,FALSE)</f>
        <v>no</v>
      </c>
      <c r="AV345" s="233" t="str">
        <f>VLOOKUP(Table8[[#This Row],[Country Code]],Table29[],7,FALSE)</f>
        <v>no</v>
      </c>
      <c r="AW345" s="233" t="str">
        <f>VLOOKUP(Table8[[#This Row],[Country Code]],Table29[],8,FALSE)</f>
        <v>non-OECD</v>
      </c>
      <c r="AX345" s="233" t="str">
        <f>VLOOKUP(Table8[[#This Row],[Country Code]],Table29[],9,FALSE)</f>
        <v>no</v>
      </c>
      <c r="AY345" s="233" t="str">
        <f>VLOOKUP(Table8[[#This Row],[Country Code]],Table29[],10,FALSE)</f>
        <v>no</v>
      </c>
      <c r="AZ345" s="235">
        <f>VLOOKUP(Table8[[#This Row],[Country Code]],Table29[],23,FALSE)</f>
        <v>39.377188823330997</v>
      </c>
      <c r="BA345" s="235">
        <f>VLOOKUP(Table8[[#This Row],[Country Code]],Table29[],24,FALSE)</f>
        <v>4.3438155341493783</v>
      </c>
      <c r="BB345" s="320"/>
      <c r="BC345" s="320"/>
    </row>
    <row r="346" spans="1:55" s="17" customFormat="1" ht="30" hidden="1" x14ac:dyDescent="0.25">
      <c r="A346" s="373">
        <v>23371</v>
      </c>
      <c r="B346" s="233" t="str">
        <f>VLOOKUP(Table8[[#This Row],[Document ID]],Table1[],2,FALSE)</f>
        <v>CMR</v>
      </c>
      <c r="C346" s="233" t="str">
        <f>VLOOKUP(Table8[[#This Row],[Document ID]],Table1[],3,FALSE)</f>
        <v>Cameroon</v>
      </c>
      <c r="D346" s="243" t="str">
        <f>VLOOKUP(Table8[[#This Row],[Document ID]],Table1[],5,FALSE)</f>
        <v>NDC</v>
      </c>
      <c r="E346" s="233" t="str">
        <f>VLOOKUP(Table8[[#This Row],[Document ID]],Table1[],7,FALSE)</f>
        <v>First NDC updated</v>
      </c>
      <c r="F346" s="233" t="str">
        <f>VLOOKUP(Table8[[#This Row],[Document ID]],Table1[],8,FALSE)</f>
        <v>NDC 1.1</v>
      </c>
      <c r="G346" s="233" t="str">
        <f>VLOOKUP(Table8[[#This Row],[Document ID]],Table1[],10,FALSE)</f>
        <v>Active</v>
      </c>
      <c r="H346" s="43" t="s">
        <v>2343</v>
      </c>
      <c r="I346" s="43" t="s">
        <v>2344</v>
      </c>
      <c r="J346" s="44" t="s">
        <v>2549</v>
      </c>
      <c r="K346" s="44" t="s">
        <v>2697</v>
      </c>
      <c r="L346" s="44" t="s">
        <v>2347</v>
      </c>
      <c r="M346" s="43">
        <v>17</v>
      </c>
      <c r="N346" s="113"/>
      <c r="O346" s="113"/>
      <c r="P346" s="113"/>
      <c r="Q346" s="113"/>
      <c r="R346" s="113"/>
      <c r="S346" s="113"/>
      <c r="T346" s="113"/>
      <c r="U346" s="113"/>
      <c r="V346" s="113"/>
      <c r="W346" s="113"/>
      <c r="X346" s="113"/>
      <c r="Y346" s="113" t="s">
        <v>1113</v>
      </c>
      <c r="Z346" s="113"/>
      <c r="AA346" s="113"/>
      <c r="AB346" s="113"/>
      <c r="AC346" s="113"/>
      <c r="AD346" s="113"/>
      <c r="AE346" s="113"/>
      <c r="AF346" s="113"/>
      <c r="AG346" s="113"/>
      <c r="AH346" s="113"/>
      <c r="AI346" s="113"/>
      <c r="AJ346" s="113"/>
      <c r="AK346" s="113" t="s">
        <v>1113</v>
      </c>
      <c r="AL346" s="113"/>
      <c r="AM346" s="113"/>
      <c r="AN346" s="113"/>
      <c r="AO346" s="43" t="s">
        <v>2348</v>
      </c>
      <c r="AP346" s="43"/>
      <c r="AQ346" s="236" t="str">
        <f>VLOOKUP(Table8[[#This Row],[Instrument]],Def_Targets!$D$73:$E$159,2,FALSE)</f>
        <v>S_BRT</v>
      </c>
      <c r="AR346" s="233" t="str">
        <f>VLOOKUP(Table8[[#This Row],[Country Code]],Table29[],3,FALSE)</f>
        <v>Non-Annex I</v>
      </c>
      <c r="AS346" s="233" t="str">
        <f>VLOOKUP(Table8[[#This Row],[Country Code]],Table29[],4,FALSE)</f>
        <v>Africa</v>
      </c>
      <c r="AT346" s="233" t="str">
        <f>VLOOKUP(Table8[[#This Row],[Country Code]],Table29[],5,FALSE)</f>
        <v>Middle-income</v>
      </c>
      <c r="AU346" s="233" t="str">
        <f>VLOOKUP(Table8[[#This Row],[Country Code]],Table29[],6,FALSE)</f>
        <v>no</v>
      </c>
      <c r="AV346" s="233" t="str">
        <f>VLOOKUP(Table8[[#This Row],[Country Code]],Table29[],7,FALSE)</f>
        <v>no</v>
      </c>
      <c r="AW346" s="233" t="str">
        <f>VLOOKUP(Table8[[#This Row],[Country Code]],Table29[],8,FALSE)</f>
        <v>non-OECD</v>
      </c>
      <c r="AX346" s="233" t="str">
        <f>VLOOKUP(Table8[[#This Row],[Country Code]],Table29[],9,FALSE)</f>
        <v>no</v>
      </c>
      <c r="AY346" s="233" t="str">
        <f>VLOOKUP(Table8[[#This Row],[Country Code]],Table29[],10,FALSE)</f>
        <v>no</v>
      </c>
      <c r="AZ346" s="235">
        <f>VLOOKUP(Table8[[#This Row],[Country Code]],Table29[],23,FALSE)</f>
        <v>39.377188823330997</v>
      </c>
      <c r="BA346" s="235">
        <f>VLOOKUP(Table8[[#This Row],[Country Code]],Table29[],24,FALSE)</f>
        <v>4.3438155341493783</v>
      </c>
      <c r="BB346" s="320"/>
      <c r="BC346" s="320"/>
    </row>
    <row r="347" spans="1:55" ht="105" hidden="1" x14ac:dyDescent="0.25">
      <c r="A347" s="360">
        <v>17551</v>
      </c>
      <c r="B347" s="233" t="str">
        <f>VLOOKUP(Table8[[#This Row],[Document ID]],Table1[],2,FALSE)</f>
        <v>CAN</v>
      </c>
      <c r="C347" s="233" t="str">
        <f>VLOOKUP(Table8[[#This Row],[Document ID]],Table1[],3,FALSE)</f>
        <v>Canada</v>
      </c>
      <c r="D347" s="233" t="str">
        <f>VLOOKUP(Table8[[#This Row],[Document ID]],Table1[],5,FALSE)</f>
        <v>LTS</v>
      </c>
      <c r="E347" s="233" t="str">
        <f>VLOOKUP(Table8[[#This Row],[Document ID]],Table1[],7,FALSE)</f>
        <v>Archived LTS 1.0</v>
      </c>
      <c r="F347" s="233" t="str">
        <f>VLOOKUP(Table8[[#This Row],[Document ID]],Table1[],8,FALSE)</f>
        <v>LTS 1.0</v>
      </c>
      <c r="G347" s="233" t="str">
        <f>VLOOKUP(Table8[[#This Row],[Document ID]],Table1[],10,FALSE)</f>
        <v>Archived</v>
      </c>
      <c r="H347" s="43" t="s">
        <v>2358</v>
      </c>
      <c r="I347" s="43" t="s">
        <v>2359</v>
      </c>
      <c r="J347" s="44" t="s">
        <v>2360</v>
      </c>
      <c r="K347" s="44" t="s">
        <v>2698</v>
      </c>
      <c r="L347" s="44" t="s">
        <v>2333</v>
      </c>
      <c r="M347" s="43">
        <v>7</v>
      </c>
      <c r="N347" s="113"/>
      <c r="O347" s="113"/>
      <c r="P347" s="113"/>
      <c r="Q347" s="113"/>
      <c r="R347" s="113"/>
      <c r="S347" s="113"/>
      <c r="T347" s="113"/>
      <c r="U347" s="113" t="s">
        <v>1113</v>
      </c>
      <c r="V347" s="113"/>
      <c r="W347" s="113"/>
      <c r="X347" s="113" t="s">
        <v>1113</v>
      </c>
      <c r="Y347" s="113"/>
      <c r="Z347" s="113"/>
      <c r="AA347" s="113"/>
      <c r="AB347" s="113"/>
      <c r="AC347" s="113"/>
      <c r="AD347" s="113"/>
      <c r="AE347" s="113"/>
      <c r="AF347" s="113"/>
      <c r="AG347" s="113"/>
      <c r="AH347" s="113"/>
      <c r="AI347" s="113"/>
      <c r="AJ347" s="113"/>
      <c r="AK347" s="319" t="s">
        <v>1113</v>
      </c>
      <c r="AL347" s="113"/>
      <c r="AM347" s="113"/>
      <c r="AN347" s="113"/>
      <c r="AO347" s="43" t="s">
        <v>2477</v>
      </c>
      <c r="AP347" s="43"/>
      <c r="AQ347" s="236" t="str">
        <f>VLOOKUP(Table8[[#This Row],[Instrument]],Def_Targets!$D$73:$E$159,2,FALSE)</f>
        <v>I_Emobility</v>
      </c>
      <c r="AR347" s="233" t="str">
        <f>VLOOKUP(Table8[[#This Row],[Country Code]],Table29[],3,FALSE)</f>
        <v>Annex I</v>
      </c>
      <c r="AS347" s="233" t="str">
        <f>VLOOKUP(Table8[[#This Row],[Country Code]],Table29[],4,FALSE)</f>
        <v>Northern America</v>
      </c>
      <c r="AT347" s="233" t="str">
        <f>VLOOKUP(Table8[[#This Row],[Country Code]],Table29[],5,FALSE)</f>
        <v>High-income</v>
      </c>
      <c r="AU347" s="233" t="str">
        <f>VLOOKUP(Table8[[#This Row],[Country Code]],Table29[],6,FALSE)</f>
        <v>G20</v>
      </c>
      <c r="AV347" s="233" t="str">
        <f>VLOOKUP(Table8[[#This Row],[Country Code]],Table29[],7,FALSE)</f>
        <v>G7</v>
      </c>
      <c r="AW347" s="233" t="str">
        <f>VLOOKUP(Table8[[#This Row],[Country Code]],Table29[],8,FALSE)</f>
        <v>OECD</v>
      </c>
      <c r="AX347" s="233" t="str">
        <f>VLOOKUP(Table8[[#This Row],[Country Code]],Table29[],9,FALSE)</f>
        <v>no</v>
      </c>
      <c r="AY347" s="233" t="str">
        <f>VLOOKUP(Table8[[#This Row],[Country Code]],Table29[],10,FALSE)</f>
        <v>no</v>
      </c>
      <c r="AZ347" s="235">
        <f>VLOOKUP(Table8[[#This Row],[Country Code]],Table29[],23,FALSE)</f>
        <v>747.67802680902003</v>
      </c>
      <c r="BA347" s="235">
        <f>VLOOKUP(Table8[[#This Row],[Country Code]],Table29[],24,FALSE)</f>
        <v>169.021169926607</v>
      </c>
      <c r="BB347" s="320"/>
      <c r="BC347" s="320"/>
    </row>
    <row r="348" spans="1:55" ht="90" hidden="1" x14ac:dyDescent="0.25">
      <c r="A348" s="373">
        <v>17551</v>
      </c>
      <c r="B348" s="233" t="str">
        <f>VLOOKUP(Table8[[#This Row],[Document ID]],Table1[],2,FALSE)</f>
        <v>CAN</v>
      </c>
      <c r="C348" s="233" t="str">
        <f>VLOOKUP(Table8[[#This Row],[Document ID]],Table1[],3,FALSE)</f>
        <v>Canada</v>
      </c>
      <c r="D348" s="243" t="str">
        <f>VLOOKUP(Table8[[#This Row],[Document ID]],Table1[],5,FALSE)</f>
        <v>LTS</v>
      </c>
      <c r="E348" s="233" t="str">
        <f>VLOOKUP(Table8[[#This Row],[Document ID]],Table1[],7,FALSE)</f>
        <v>Archived LTS 1.0</v>
      </c>
      <c r="F348" s="233" t="str">
        <f>VLOOKUP(Table8[[#This Row],[Document ID]],Table1[],8,FALSE)</f>
        <v>LTS 1.0</v>
      </c>
      <c r="G348" s="233" t="str">
        <f>VLOOKUP(Table8[[#This Row],[Document ID]],Table1[],10,FALSE)</f>
        <v>Archived</v>
      </c>
      <c r="H348" s="43" t="s">
        <v>2343</v>
      </c>
      <c r="I348" s="43" t="s">
        <v>2377</v>
      </c>
      <c r="J348" s="44" t="s">
        <v>2394</v>
      </c>
      <c r="K348" s="44" t="s">
        <v>2699</v>
      </c>
      <c r="L348" s="44" t="s">
        <v>2396</v>
      </c>
      <c r="M348" s="43">
        <v>7</v>
      </c>
      <c r="N348" s="113" t="s">
        <v>1113</v>
      </c>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319" t="s">
        <v>1113</v>
      </c>
      <c r="AL348" s="113"/>
      <c r="AM348" s="113"/>
      <c r="AN348" s="113"/>
      <c r="AO348" s="43" t="s">
        <v>2477</v>
      </c>
      <c r="AP348" s="43"/>
      <c r="AQ348" s="236" t="str">
        <f>VLOOKUP(Table8[[#This Row],[Instrument]],Def_Targets!$D$73:$E$159,2,FALSE)</f>
        <v>A_TDM</v>
      </c>
      <c r="AR348" s="233" t="str">
        <f>VLOOKUP(Table8[[#This Row],[Country Code]],Table29[],3,FALSE)</f>
        <v>Annex I</v>
      </c>
      <c r="AS348" s="233" t="str">
        <f>VLOOKUP(Table8[[#This Row],[Country Code]],Table29[],4,FALSE)</f>
        <v>Northern America</v>
      </c>
      <c r="AT348" s="233" t="str">
        <f>VLOOKUP(Table8[[#This Row],[Country Code]],Table29[],5,FALSE)</f>
        <v>High-income</v>
      </c>
      <c r="AU348" s="233" t="str">
        <f>VLOOKUP(Table8[[#This Row],[Country Code]],Table29[],6,FALSE)</f>
        <v>G20</v>
      </c>
      <c r="AV348" s="233" t="str">
        <f>VLOOKUP(Table8[[#This Row],[Country Code]],Table29[],7,FALSE)</f>
        <v>G7</v>
      </c>
      <c r="AW348" s="233" t="str">
        <f>VLOOKUP(Table8[[#This Row],[Country Code]],Table29[],8,FALSE)</f>
        <v>OECD</v>
      </c>
      <c r="AX348" s="233" t="str">
        <f>VLOOKUP(Table8[[#This Row],[Country Code]],Table29[],9,FALSE)</f>
        <v>no</v>
      </c>
      <c r="AY348" s="233" t="str">
        <f>VLOOKUP(Table8[[#This Row],[Country Code]],Table29[],10,FALSE)</f>
        <v>no</v>
      </c>
      <c r="AZ348" s="235">
        <f>VLOOKUP(Table8[[#This Row],[Country Code]],Table29[],23,FALSE)</f>
        <v>747.67802680902003</v>
      </c>
      <c r="BA348" s="235">
        <f>VLOOKUP(Table8[[#This Row],[Country Code]],Table29[],24,FALSE)</f>
        <v>169.021169926607</v>
      </c>
      <c r="BB348" s="320"/>
      <c r="BC348" s="320"/>
    </row>
    <row r="349" spans="1:55" ht="30" hidden="1" x14ac:dyDescent="0.25">
      <c r="A349" s="373">
        <v>17551</v>
      </c>
      <c r="B349" s="233" t="str">
        <f>VLOOKUP(Table8[[#This Row],[Document ID]],Table1[],2,FALSE)</f>
        <v>CAN</v>
      </c>
      <c r="C349" s="233" t="str">
        <f>VLOOKUP(Table8[[#This Row],[Document ID]],Table1[],3,FALSE)</f>
        <v>Canada</v>
      </c>
      <c r="D349" s="243" t="str">
        <f>VLOOKUP(Table8[[#This Row],[Document ID]],Table1[],5,FALSE)</f>
        <v>LTS</v>
      </c>
      <c r="E349" s="233" t="str">
        <f>VLOOKUP(Table8[[#This Row],[Document ID]],Table1[],7,FALSE)</f>
        <v>Archived LTS 1.0</v>
      </c>
      <c r="F349" s="233" t="str">
        <f>VLOOKUP(Table8[[#This Row],[Document ID]],Table1[],8,FALSE)</f>
        <v>LTS 1.0</v>
      </c>
      <c r="G349" s="233" t="str">
        <f>VLOOKUP(Table8[[#This Row],[Document ID]],Table1[],10,FALSE)</f>
        <v>Archived</v>
      </c>
      <c r="H349" s="43" t="s">
        <v>2350</v>
      </c>
      <c r="I349" s="43" t="s">
        <v>2351</v>
      </c>
      <c r="J349" s="44" t="s">
        <v>2447</v>
      </c>
      <c r="K349" s="44" t="s">
        <v>2700</v>
      </c>
      <c r="L349" s="44" t="s">
        <v>2396</v>
      </c>
      <c r="M349" s="43">
        <v>7</v>
      </c>
      <c r="N349" s="113" t="s">
        <v>1113</v>
      </c>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319" t="s">
        <v>1113</v>
      </c>
      <c r="AL349" s="113"/>
      <c r="AM349" s="113"/>
      <c r="AN349" s="113"/>
      <c r="AO349" s="43" t="s">
        <v>2353</v>
      </c>
      <c r="AP349" s="43"/>
      <c r="AQ349" s="236" t="str">
        <f>VLOOKUP(Table8[[#This Row],[Instrument]],Def_Targets!$D$73:$E$159,2,FALSE)</f>
        <v>I_Freighteff</v>
      </c>
      <c r="AR349" s="233" t="str">
        <f>VLOOKUP(Table8[[#This Row],[Country Code]],Table29[],3,FALSE)</f>
        <v>Annex I</v>
      </c>
      <c r="AS349" s="233" t="str">
        <f>VLOOKUP(Table8[[#This Row],[Country Code]],Table29[],4,FALSE)</f>
        <v>Northern America</v>
      </c>
      <c r="AT349" s="233" t="str">
        <f>VLOOKUP(Table8[[#This Row],[Country Code]],Table29[],5,FALSE)</f>
        <v>High-income</v>
      </c>
      <c r="AU349" s="233" t="str">
        <f>VLOOKUP(Table8[[#This Row],[Country Code]],Table29[],6,FALSE)</f>
        <v>G20</v>
      </c>
      <c r="AV349" s="233" t="str">
        <f>VLOOKUP(Table8[[#This Row],[Country Code]],Table29[],7,FALSE)</f>
        <v>G7</v>
      </c>
      <c r="AW349" s="233" t="str">
        <f>VLOOKUP(Table8[[#This Row],[Country Code]],Table29[],8,FALSE)</f>
        <v>OECD</v>
      </c>
      <c r="AX349" s="233" t="str">
        <f>VLOOKUP(Table8[[#This Row],[Country Code]],Table29[],9,FALSE)</f>
        <v>no</v>
      </c>
      <c r="AY349" s="233" t="str">
        <f>VLOOKUP(Table8[[#This Row],[Country Code]],Table29[],10,FALSE)</f>
        <v>no</v>
      </c>
      <c r="AZ349" s="235">
        <f>VLOOKUP(Table8[[#This Row],[Country Code]],Table29[],23,FALSE)</f>
        <v>747.67802680902003</v>
      </c>
      <c r="BA349" s="235">
        <f>VLOOKUP(Table8[[#This Row],[Country Code]],Table29[],24,FALSE)</f>
        <v>169.021169926607</v>
      </c>
      <c r="BB349" s="320"/>
      <c r="BC349" s="320"/>
    </row>
    <row r="350" spans="1:55" ht="75" hidden="1" x14ac:dyDescent="0.25">
      <c r="A350" s="373">
        <v>17551</v>
      </c>
      <c r="B350" s="233" t="str">
        <f>VLOOKUP(Table8[[#This Row],[Document ID]],Table1[],2,FALSE)</f>
        <v>CAN</v>
      </c>
      <c r="C350" s="233" t="str">
        <f>VLOOKUP(Table8[[#This Row],[Document ID]],Table1[],3,FALSE)</f>
        <v>Canada</v>
      </c>
      <c r="D350" s="243" t="str">
        <f>VLOOKUP(Table8[[#This Row],[Document ID]],Table1[],5,FALSE)</f>
        <v>LTS</v>
      </c>
      <c r="E350" s="233" t="str">
        <f>VLOOKUP(Table8[[#This Row],[Document ID]],Table1[],7,FALSE)</f>
        <v>Archived LTS 1.0</v>
      </c>
      <c r="F350" s="233" t="str">
        <f>VLOOKUP(Table8[[#This Row],[Document ID]],Table1[],8,FALSE)</f>
        <v>LTS 1.0</v>
      </c>
      <c r="G350" s="233" t="str">
        <f>VLOOKUP(Table8[[#This Row],[Document ID]],Table1[],10,FALSE)</f>
        <v>Archived</v>
      </c>
      <c r="H350" s="43" t="s">
        <v>2358</v>
      </c>
      <c r="I350" s="43" t="s">
        <v>2359</v>
      </c>
      <c r="J350" s="44" t="s">
        <v>2360</v>
      </c>
      <c r="K350" s="44" t="s">
        <v>2701</v>
      </c>
      <c r="L350" s="44" t="s">
        <v>2333</v>
      </c>
      <c r="M350" s="43">
        <v>35</v>
      </c>
      <c r="N350" s="113" t="s">
        <v>1113</v>
      </c>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319" t="s">
        <v>1113</v>
      </c>
      <c r="AL350" s="113"/>
      <c r="AM350" s="113"/>
      <c r="AN350" s="113"/>
      <c r="AO350" s="43" t="s">
        <v>2348</v>
      </c>
      <c r="AP350" s="43"/>
      <c r="AQ350" s="236" t="str">
        <f>VLOOKUP(Table8[[#This Row],[Instrument]],Def_Targets!$D$73:$E$159,2,FALSE)</f>
        <v>I_Emobility</v>
      </c>
      <c r="AR350" s="233" t="str">
        <f>VLOOKUP(Table8[[#This Row],[Country Code]],Table29[],3,FALSE)</f>
        <v>Annex I</v>
      </c>
      <c r="AS350" s="233" t="str">
        <f>VLOOKUP(Table8[[#This Row],[Country Code]],Table29[],4,FALSE)</f>
        <v>Northern America</v>
      </c>
      <c r="AT350" s="233" t="str">
        <f>VLOOKUP(Table8[[#This Row],[Country Code]],Table29[],5,FALSE)</f>
        <v>High-income</v>
      </c>
      <c r="AU350" s="233" t="str">
        <f>VLOOKUP(Table8[[#This Row],[Country Code]],Table29[],6,FALSE)</f>
        <v>G20</v>
      </c>
      <c r="AV350" s="233" t="str">
        <f>VLOOKUP(Table8[[#This Row],[Country Code]],Table29[],7,FALSE)</f>
        <v>G7</v>
      </c>
      <c r="AW350" s="233" t="str">
        <f>VLOOKUP(Table8[[#This Row],[Country Code]],Table29[],8,FALSE)</f>
        <v>OECD</v>
      </c>
      <c r="AX350" s="233" t="str">
        <f>VLOOKUP(Table8[[#This Row],[Country Code]],Table29[],9,FALSE)</f>
        <v>no</v>
      </c>
      <c r="AY350" s="233" t="str">
        <f>VLOOKUP(Table8[[#This Row],[Country Code]],Table29[],10,FALSE)</f>
        <v>no</v>
      </c>
      <c r="AZ350" s="235">
        <f>VLOOKUP(Table8[[#This Row],[Country Code]],Table29[],23,FALSE)</f>
        <v>747.67802680902003</v>
      </c>
      <c r="BA350" s="235">
        <f>VLOOKUP(Table8[[#This Row],[Country Code]],Table29[],24,FALSE)</f>
        <v>169.021169926607</v>
      </c>
      <c r="BB350" s="320"/>
      <c r="BC350" s="320"/>
    </row>
    <row r="351" spans="1:55" ht="60" hidden="1" x14ac:dyDescent="0.25">
      <c r="A351" s="373">
        <v>17551</v>
      </c>
      <c r="B351" s="233" t="str">
        <f>VLOOKUP(Table8[[#This Row],[Document ID]],Table1[],2,FALSE)</f>
        <v>CAN</v>
      </c>
      <c r="C351" s="233" t="str">
        <f>VLOOKUP(Table8[[#This Row],[Document ID]],Table1[],3,FALSE)</f>
        <v>Canada</v>
      </c>
      <c r="D351" s="243" t="str">
        <f>VLOOKUP(Table8[[#This Row],[Document ID]],Table1[],5,FALSE)</f>
        <v>LTS</v>
      </c>
      <c r="E351" s="233" t="str">
        <f>VLOOKUP(Table8[[#This Row],[Document ID]],Table1[],7,FALSE)</f>
        <v>Archived LTS 1.0</v>
      </c>
      <c r="F351" s="233" t="str">
        <f>VLOOKUP(Table8[[#This Row],[Document ID]],Table1[],8,FALSE)</f>
        <v>LTS 1.0</v>
      </c>
      <c r="G351" s="233" t="str">
        <f>VLOOKUP(Table8[[#This Row],[Document ID]],Table1[],10,FALSE)</f>
        <v>Archived</v>
      </c>
      <c r="H351" s="43" t="s">
        <v>2350</v>
      </c>
      <c r="I351" s="43" t="s">
        <v>2407</v>
      </c>
      <c r="J351" s="44" t="s">
        <v>2408</v>
      </c>
      <c r="K351" s="44" t="s">
        <v>2702</v>
      </c>
      <c r="L351" s="44" t="s">
        <v>2333</v>
      </c>
      <c r="M351" s="43">
        <v>35</v>
      </c>
      <c r="N351" s="113" t="s">
        <v>1113</v>
      </c>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319" t="s">
        <v>1113</v>
      </c>
      <c r="AL351" s="113"/>
      <c r="AM351" s="113"/>
      <c r="AN351" s="113"/>
      <c r="AO351" s="44" t="s">
        <v>2334</v>
      </c>
      <c r="AP351" s="43"/>
      <c r="AQ351" s="236" t="str">
        <f>VLOOKUP(Table8[[#This Row],[Instrument]],Def_Targets!$D$73:$E$159,2,FALSE)</f>
        <v>I_Education</v>
      </c>
      <c r="AR351" s="233" t="str">
        <f>VLOOKUP(Table8[[#This Row],[Country Code]],Table29[],3,FALSE)</f>
        <v>Annex I</v>
      </c>
      <c r="AS351" s="233" t="str">
        <f>VLOOKUP(Table8[[#This Row],[Country Code]],Table29[],4,FALSE)</f>
        <v>Northern America</v>
      </c>
      <c r="AT351" s="233" t="str">
        <f>VLOOKUP(Table8[[#This Row],[Country Code]],Table29[],5,FALSE)</f>
        <v>High-income</v>
      </c>
      <c r="AU351" s="233" t="str">
        <f>VLOOKUP(Table8[[#This Row],[Country Code]],Table29[],6,FALSE)</f>
        <v>G20</v>
      </c>
      <c r="AV351" s="233" t="str">
        <f>VLOOKUP(Table8[[#This Row],[Country Code]],Table29[],7,FALSE)</f>
        <v>G7</v>
      </c>
      <c r="AW351" s="233" t="str">
        <f>VLOOKUP(Table8[[#This Row],[Country Code]],Table29[],8,FALSE)</f>
        <v>OECD</v>
      </c>
      <c r="AX351" s="233" t="str">
        <f>VLOOKUP(Table8[[#This Row],[Country Code]],Table29[],9,FALSE)</f>
        <v>no</v>
      </c>
      <c r="AY351" s="233" t="str">
        <f>VLOOKUP(Table8[[#This Row],[Country Code]],Table29[],10,FALSE)</f>
        <v>no</v>
      </c>
      <c r="AZ351" s="235">
        <f>VLOOKUP(Table8[[#This Row],[Country Code]],Table29[],23,FALSE)</f>
        <v>747.67802680902003</v>
      </c>
      <c r="BA351" s="235">
        <f>VLOOKUP(Table8[[#This Row],[Country Code]],Table29[],24,FALSE)</f>
        <v>169.021169926607</v>
      </c>
      <c r="BB351" s="320"/>
      <c r="BC351" s="320"/>
    </row>
    <row r="352" spans="1:55" ht="30" hidden="1" x14ac:dyDescent="0.25">
      <c r="A352" s="373">
        <v>17551</v>
      </c>
      <c r="B352" s="233" t="str">
        <f>VLOOKUP(Table8[[#This Row],[Document ID]],Table1[],2,FALSE)</f>
        <v>CAN</v>
      </c>
      <c r="C352" s="233" t="str">
        <f>VLOOKUP(Table8[[#This Row],[Document ID]],Table1[],3,FALSE)</f>
        <v>Canada</v>
      </c>
      <c r="D352" s="243" t="str">
        <f>VLOOKUP(Table8[[#This Row],[Document ID]],Table1[],5,FALSE)</f>
        <v>LTS</v>
      </c>
      <c r="E352" s="233" t="str">
        <f>VLOOKUP(Table8[[#This Row],[Document ID]],Table1[],7,FALSE)</f>
        <v>Archived LTS 1.0</v>
      </c>
      <c r="F352" s="233" t="str">
        <f>VLOOKUP(Table8[[#This Row],[Document ID]],Table1[],8,FALSE)</f>
        <v>LTS 1.0</v>
      </c>
      <c r="G352" s="233" t="str">
        <f>VLOOKUP(Table8[[#This Row],[Document ID]],Table1[],10,FALSE)</f>
        <v>Archived</v>
      </c>
      <c r="H352" s="44" t="s">
        <v>2329</v>
      </c>
      <c r="I352" s="44" t="s">
        <v>2330</v>
      </c>
      <c r="J352" s="44" t="s">
        <v>2331</v>
      </c>
      <c r="K352" s="44" t="s">
        <v>2703</v>
      </c>
      <c r="L352" s="44" t="s">
        <v>2333</v>
      </c>
      <c r="M352" s="43">
        <v>35</v>
      </c>
      <c r="N352" s="113" t="s">
        <v>1113</v>
      </c>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319" t="s">
        <v>1113</v>
      </c>
      <c r="AL352" s="113"/>
      <c r="AM352" s="113"/>
      <c r="AN352" s="113"/>
      <c r="AO352" s="44" t="s">
        <v>2334</v>
      </c>
      <c r="AP352" s="43"/>
      <c r="AQ352" s="236" t="str">
        <f>VLOOKUP(Table8[[#This Row],[Instrument]],Def_Targets!$D$73:$E$159,2,FALSE)</f>
        <v>I_Altfuels</v>
      </c>
      <c r="AR352" s="233" t="str">
        <f>VLOOKUP(Table8[[#This Row],[Country Code]],Table29[],3,FALSE)</f>
        <v>Annex I</v>
      </c>
      <c r="AS352" s="233" t="str">
        <f>VLOOKUP(Table8[[#This Row],[Country Code]],Table29[],4,FALSE)</f>
        <v>Northern America</v>
      </c>
      <c r="AT352" s="233" t="str">
        <f>VLOOKUP(Table8[[#This Row],[Country Code]],Table29[],5,FALSE)</f>
        <v>High-income</v>
      </c>
      <c r="AU352" s="233" t="str">
        <f>VLOOKUP(Table8[[#This Row],[Country Code]],Table29[],6,FALSE)</f>
        <v>G20</v>
      </c>
      <c r="AV352" s="233" t="str">
        <f>VLOOKUP(Table8[[#This Row],[Country Code]],Table29[],7,FALSE)</f>
        <v>G7</v>
      </c>
      <c r="AW352" s="233" t="str">
        <f>VLOOKUP(Table8[[#This Row],[Country Code]],Table29[],8,FALSE)</f>
        <v>OECD</v>
      </c>
      <c r="AX352" s="233" t="str">
        <f>VLOOKUP(Table8[[#This Row],[Country Code]],Table29[],9,FALSE)</f>
        <v>no</v>
      </c>
      <c r="AY352" s="233" t="str">
        <f>VLOOKUP(Table8[[#This Row],[Country Code]],Table29[],10,FALSE)</f>
        <v>no</v>
      </c>
      <c r="AZ352" s="235">
        <f>VLOOKUP(Table8[[#This Row],[Country Code]],Table29[],23,FALSE)</f>
        <v>747.67802680902003</v>
      </c>
      <c r="BA352" s="235">
        <f>VLOOKUP(Table8[[#This Row],[Country Code]],Table29[],24,FALSE)</f>
        <v>169.021169926607</v>
      </c>
      <c r="BB352" s="320"/>
      <c r="BC352" s="320"/>
    </row>
    <row r="353" spans="1:55" ht="45" hidden="1" x14ac:dyDescent="0.25">
      <c r="A353" s="373">
        <v>17551</v>
      </c>
      <c r="B353" s="233" t="str">
        <f>VLOOKUP(Table8[[#This Row],[Document ID]],Table1[],2,FALSE)</f>
        <v>CAN</v>
      </c>
      <c r="C353" s="233" t="str">
        <f>VLOOKUP(Table8[[#This Row],[Document ID]],Table1[],3,FALSE)</f>
        <v>Canada</v>
      </c>
      <c r="D353" s="243" t="str">
        <f>VLOOKUP(Table8[[#This Row],[Document ID]],Table1[],5,FALSE)</f>
        <v>LTS</v>
      </c>
      <c r="E353" s="233" t="str">
        <f>VLOOKUP(Table8[[#This Row],[Document ID]],Table1[],7,FALSE)</f>
        <v>Archived LTS 1.0</v>
      </c>
      <c r="F353" s="233" t="str">
        <f>VLOOKUP(Table8[[#This Row],[Document ID]],Table1[],8,FALSE)</f>
        <v>LTS 1.0</v>
      </c>
      <c r="G353" s="233" t="str">
        <f>VLOOKUP(Table8[[#This Row],[Document ID]],Table1[],10,FALSE)</f>
        <v>Archived</v>
      </c>
      <c r="H353" s="43" t="s">
        <v>2350</v>
      </c>
      <c r="I353" s="43" t="s">
        <v>2351</v>
      </c>
      <c r="J353" s="44" t="s">
        <v>2447</v>
      </c>
      <c r="K353" s="44" t="s">
        <v>2704</v>
      </c>
      <c r="L353" s="44" t="s">
        <v>2471</v>
      </c>
      <c r="M353" s="43">
        <v>35</v>
      </c>
      <c r="N353" s="113" t="s">
        <v>1113</v>
      </c>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319" t="s">
        <v>1113</v>
      </c>
      <c r="AL353" s="113"/>
      <c r="AM353" s="113"/>
      <c r="AN353" s="113"/>
      <c r="AO353" s="43" t="s">
        <v>2477</v>
      </c>
      <c r="AP353" s="43"/>
      <c r="AQ353" s="236" t="str">
        <f>VLOOKUP(Table8[[#This Row],[Instrument]],Def_Targets!$D$73:$E$159,2,FALSE)</f>
        <v>I_Freighteff</v>
      </c>
      <c r="AR353" s="233" t="str">
        <f>VLOOKUP(Table8[[#This Row],[Country Code]],Table29[],3,FALSE)</f>
        <v>Annex I</v>
      </c>
      <c r="AS353" s="233" t="str">
        <f>VLOOKUP(Table8[[#This Row],[Country Code]],Table29[],4,FALSE)</f>
        <v>Northern America</v>
      </c>
      <c r="AT353" s="233" t="str">
        <f>VLOOKUP(Table8[[#This Row],[Country Code]],Table29[],5,FALSE)</f>
        <v>High-income</v>
      </c>
      <c r="AU353" s="233" t="str">
        <f>VLOOKUP(Table8[[#This Row],[Country Code]],Table29[],6,FALSE)</f>
        <v>G20</v>
      </c>
      <c r="AV353" s="233" t="str">
        <f>VLOOKUP(Table8[[#This Row],[Country Code]],Table29[],7,FALSE)</f>
        <v>G7</v>
      </c>
      <c r="AW353" s="233" t="str">
        <f>VLOOKUP(Table8[[#This Row],[Country Code]],Table29[],8,FALSE)</f>
        <v>OECD</v>
      </c>
      <c r="AX353" s="233" t="str">
        <f>VLOOKUP(Table8[[#This Row],[Country Code]],Table29[],9,FALSE)</f>
        <v>no</v>
      </c>
      <c r="AY353" s="233" t="str">
        <f>VLOOKUP(Table8[[#This Row],[Country Code]],Table29[],10,FALSE)</f>
        <v>no</v>
      </c>
      <c r="AZ353" s="235">
        <f>VLOOKUP(Table8[[#This Row],[Country Code]],Table29[],23,FALSE)</f>
        <v>747.67802680902003</v>
      </c>
      <c r="BA353" s="235">
        <f>VLOOKUP(Table8[[#This Row],[Country Code]],Table29[],24,FALSE)</f>
        <v>169.021169926607</v>
      </c>
      <c r="BB353" s="320"/>
      <c r="BC353" s="320"/>
    </row>
    <row r="354" spans="1:55" ht="45" hidden="1" x14ac:dyDescent="0.25">
      <c r="A354" s="373">
        <v>17551</v>
      </c>
      <c r="B354" s="233" t="str">
        <f>VLOOKUP(Table8[[#This Row],[Document ID]],Table1[],2,FALSE)</f>
        <v>CAN</v>
      </c>
      <c r="C354" s="233" t="str">
        <f>VLOOKUP(Table8[[#This Row],[Document ID]],Table1[],3,FALSE)</f>
        <v>Canada</v>
      </c>
      <c r="D354" s="243" t="str">
        <f>VLOOKUP(Table8[[#This Row],[Document ID]],Table1[],5,FALSE)</f>
        <v>LTS</v>
      </c>
      <c r="E354" s="233" t="str">
        <f>VLOOKUP(Table8[[#This Row],[Document ID]],Table1[],7,FALSE)</f>
        <v>Archived LTS 1.0</v>
      </c>
      <c r="F354" s="233" t="str">
        <f>VLOOKUP(Table8[[#This Row],[Document ID]],Table1[],8,FALSE)</f>
        <v>LTS 1.0</v>
      </c>
      <c r="G354" s="233" t="str">
        <f>VLOOKUP(Table8[[#This Row],[Document ID]],Table1[],10,FALSE)</f>
        <v>Archived</v>
      </c>
      <c r="H354" s="43" t="s">
        <v>2350</v>
      </c>
      <c r="I354" s="43" t="s">
        <v>2456</v>
      </c>
      <c r="J354" s="44" t="s">
        <v>2457</v>
      </c>
      <c r="K354" s="44" t="s">
        <v>2705</v>
      </c>
      <c r="L354" s="44" t="s">
        <v>2471</v>
      </c>
      <c r="M354" s="43">
        <v>35</v>
      </c>
      <c r="N354" s="113" t="s">
        <v>1113</v>
      </c>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319" t="s">
        <v>1113</v>
      </c>
      <c r="AL354" s="113"/>
      <c r="AM354" s="113"/>
      <c r="AN354" s="113"/>
      <c r="AO354" s="43" t="s">
        <v>2477</v>
      </c>
      <c r="AP354" s="43"/>
      <c r="AQ354" s="236" t="str">
        <f>VLOOKUP(Table8[[#This Row],[Instrument]],Def_Targets!$D$73:$E$159,2,FALSE)</f>
        <v>S_Infraimprove</v>
      </c>
      <c r="AR354" s="233" t="str">
        <f>VLOOKUP(Table8[[#This Row],[Country Code]],Table29[],3,FALSE)</f>
        <v>Annex I</v>
      </c>
      <c r="AS354" s="233" t="str">
        <f>VLOOKUP(Table8[[#This Row],[Country Code]],Table29[],4,FALSE)</f>
        <v>Northern America</v>
      </c>
      <c r="AT354" s="233" t="str">
        <f>VLOOKUP(Table8[[#This Row],[Country Code]],Table29[],5,FALSE)</f>
        <v>High-income</v>
      </c>
      <c r="AU354" s="233" t="str">
        <f>VLOOKUP(Table8[[#This Row],[Country Code]],Table29[],6,FALSE)</f>
        <v>G20</v>
      </c>
      <c r="AV354" s="233" t="str">
        <f>VLOOKUP(Table8[[#This Row],[Country Code]],Table29[],7,FALSE)</f>
        <v>G7</v>
      </c>
      <c r="AW354" s="233" t="str">
        <f>VLOOKUP(Table8[[#This Row],[Country Code]],Table29[],8,FALSE)</f>
        <v>OECD</v>
      </c>
      <c r="AX354" s="233" t="str">
        <f>VLOOKUP(Table8[[#This Row],[Country Code]],Table29[],9,FALSE)</f>
        <v>no</v>
      </c>
      <c r="AY354" s="233" t="str">
        <f>VLOOKUP(Table8[[#This Row],[Country Code]],Table29[],10,FALSE)</f>
        <v>no</v>
      </c>
      <c r="AZ354" s="235">
        <f>VLOOKUP(Table8[[#This Row],[Country Code]],Table29[],23,FALSE)</f>
        <v>747.67802680902003</v>
      </c>
      <c r="BA354" s="235">
        <f>VLOOKUP(Table8[[#This Row],[Country Code]],Table29[],24,FALSE)</f>
        <v>169.021169926607</v>
      </c>
      <c r="BB354" s="320"/>
      <c r="BC354" s="320"/>
    </row>
    <row r="355" spans="1:55" hidden="1" x14ac:dyDescent="0.25">
      <c r="A355" s="373">
        <v>17551</v>
      </c>
      <c r="B355" s="233" t="str">
        <f>VLOOKUP(Table8[[#This Row],[Document ID]],Table1[],2,FALSE)</f>
        <v>CAN</v>
      </c>
      <c r="C355" s="233" t="str">
        <f>VLOOKUP(Table8[[#This Row],[Document ID]],Table1[],3,FALSE)</f>
        <v>Canada</v>
      </c>
      <c r="D355" s="243" t="str">
        <f>VLOOKUP(Table8[[#This Row],[Document ID]],Table1[],5,FALSE)</f>
        <v>LTS</v>
      </c>
      <c r="E355" s="233" t="str">
        <f>VLOOKUP(Table8[[#This Row],[Document ID]],Table1[],7,FALSE)</f>
        <v>Archived LTS 1.0</v>
      </c>
      <c r="F355" s="233" t="str">
        <f>VLOOKUP(Table8[[#This Row],[Document ID]],Table1[],8,FALSE)</f>
        <v>LTS 1.0</v>
      </c>
      <c r="G355" s="233" t="str">
        <f>VLOOKUP(Table8[[#This Row],[Document ID]],Table1[],10,FALSE)</f>
        <v>Archived</v>
      </c>
      <c r="H355" s="43" t="s">
        <v>2358</v>
      </c>
      <c r="I355" s="43" t="s">
        <v>2359</v>
      </c>
      <c r="J355" s="44" t="s">
        <v>2360</v>
      </c>
      <c r="K355" s="44" t="s">
        <v>2706</v>
      </c>
      <c r="L355" s="44" t="s">
        <v>2333</v>
      </c>
      <c r="M355" s="43">
        <v>35</v>
      </c>
      <c r="N355" s="113"/>
      <c r="O355" s="113"/>
      <c r="P355" s="113"/>
      <c r="Q355" s="113"/>
      <c r="R355" s="113"/>
      <c r="S355" s="113"/>
      <c r="T355" s="113"/>
      <c r="U355" s="113"/>
      <c r="V355" s="113"/>
      <c r="W355" s="113"/>
      <c r="X355" s="113"/>
      <c r="Y355" s="113"/>
      <c r="Z355" s="113" t="s">
        <v>1113</v>
      </c>
      <c r="AA355" s="113"/>
      <c r="AB355" s="113"/>
      <c r="AC355" s="113"/>
      <c r="AD355" s="113"/>
      <c r="AE355" s="113"/>
      <c r="AF355" s="113"/>
      <c r="AG355" s="113"/>
      <c r="AH355" s="113"/>
      <c r="AI355" s="113"/>
      <c r="AJ355" s="113"/>
      <c r="AK355" s="319" t="s">
        <v>1113</v>
      </c>
      <c r="AL355" s="113"/>
      <c r="AM355" s="113"/>
      <c r="AN355" s="113"/>
      <c r="AO355" s="43" t="s">
        <v>2348</v>
      </c>
      <c r="AP355" s="43"/>
      <c r="AQ355" s="236" t="str">
        <f>VLOOKUP(Table8[[#This Row],[Instrument]],Def_Targets!$D$73:$E$159,2,FALSE)</f>
        <v>I_Emobility</v>
      </c>
      <c r="AR355" s="233" t="str">
        <f>VLOOKUP(Table8[[#This Row],[Country Code]],Table29[],3,FALSE)</f>
        <v>Annex I</v>
      </c>
      <c r="AS355" s="233" t="str">
        <f>VLOOKUP(Table8[[#This Row],[Country Code]],Table29[],4,FALSE)</f>
        <v>Northern America</v>
      </c>
      <c r="AT355" s="233" t="str">
        <f>VLOOKUP(Table8[[#This Row],[Country Code]],Table29[],5,FALSE)</f>
        <v>High-income</v>
      </c>
      <c r="AU355" s="233" t="str">
        <f>VLOOKUP(Table8[[#This Row],[Country Code]],Table29[],6,FALSE)</f>
        <v>G20</v>
      </c>
      <c r="AV355" s="233" t="str">
        <f>VLOOKUP(Table8[[#This Row],[Country Code]],Table29[],7,FALSE)</f>
        <v>G7</v>
      </c>
      <c r="AW355" s="233" t="str">
        <f>VLOOKUP(Table8[[#This Row],[Country Code]],Table29[],8,FALSE)</f>
        <v>OECD</v>
      </c>
      <c r="AX355" s="233" t="str">
        <f>VLOOKUP(Table8[[#This Row],[Country Code]],Table29[],9,FALSE)</f>
        <v>no</v>
      </c>
      <c r="AY355" s="233" t="str">
        <f>VLOOKUP(Table8[[#This Row],[Country Code]],Table29[],10,FALSE)</f>
        <v>no</v>
      </c>
      <c r="AZ355" s="235">
        <f>VLOOKUP(Table8[[#This Row],[Country Code]],Table29[],23,FALSE)</f>
        <v>747.67802680902003</v>
      </c>
      <c r="BA355" s="235">
        <f>VLOOKUP(Table8[[#This Row],[Country Code]],Table29[],24,FALSE)</f>
        <v>169.021169926607</v>
      </c>
      <c r="BB355" s="320"/>
      <c r="BC355" s="320"/>
    </row>
    <row r="356" spans="1:55" hidden="1" x14ac:dyDescent="0.25">
      <c r="A356" s="373">
        <v>17551</v>
      </c>
      <c r="B356" s="233" t="str">
        <f>VLOOKUP(Table8[[#This Row],[Document ID]],Table1[],2,FALSE)</f>
        <v>CAN</v>
      </c>
      <c r="C356" s="233" t="str">
        <f>VLOOKUP(Table8[[#This Row],[Document ID]],Table1[],3,FALSE)</f>
        <v>Canada</v>
      </c>
      <c r="D356" s="243" t="str">
        <f>VLOOKUP(Table8[[#This Row],[Document ID]],Table1[],5,FALSE)</f>
        <v>LTS</v>
      </c>
      <c r="E356" s="233" t="str">
        <f>VLOOKUP(Table8[[#This Row],[Document ID]],Table1[],7,FALSE)</f>
        <v>Archived LTS 1.0</v>
      </c>
      <c r="F356" s="233" t="str">
        <f>VLOOKUP(Table8[[#This Row],[Document ID]],Table1[],8,FALSE)</f>
        <v>LTS 1.0</v>
      </c>
      <c r="G356" s="233" t="str">
        <f>VLOOKUP(Table8[[#This Row],[Document ID]],Table1[],10,FALSE)</f>
        <v>Archived</v>
      </c>
      <c r="H356" s="43" t="s">
        <v>2343</v>
      </c>
      <c r="I356" s="43" t="s">
        <v>2344</v>
      </c>
      <c r="J356" s="44" t="s">
        <v>2345</v>
      </c>
      <c r="K356" s="44" t="s">
        <v>2707</v>
      </c>
      <c r="L356" s="44" t="s">
        <v>2347</v>
      </c>
      <c r="M356" s="43">
        <v>35</v>
      </c>
      <c r="N356" s="113" t="s">
        <v>1113</v>
      </c>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t="s">
        <v>1113</v>
      </c>
      <c r="AM356" s="113"/>
      <c r="AN356" s="113"/>
      <c r="AO356" s="43" t="s">
        <v>2348</v>
      </c>
      <c r="AP356" s="43"/>
      <c r="AQ356" s="236" t="str">
        <f>VLOOKUP(Table8[[#This Row],[Instrument]],Def_Targets!$D$73:$E$159,2,FALSE)</f>
        <v>S_PublicTransport</v>
      </c>
      <c r="AR356" s="233" t="str">
        <f>VLOOKUP(Table8[[#This Row],[Country Code]],Table29[],3,FALSE)</f>
        <v>Annex I</v>
      </c>
      <c r="AS356" s="233" t="str">
        <f>VLOOKUP(Table8[[#This Row],[Country Code]],Table29[],4,FALSE)</f>
        <v>Northern America</v>
      </c>
      <c r="AT356" s="233" t="str">
        <f>VLOOKUP(Table8[[#This Row],[Country Code]],Table29[],5,FALSE)</f>
        <v>High-income</v>
      </c>
      <c r="AU356" s="233" t="str">
        <f>VLOOKUP(Table8[[#This Row],[Country Code]],Table29[],6,FALSE)</f>
        <v>G20</v>
      </c>
      <c r="AV356" s="233" t="str">
        <f>VLOOKUP(Table8[[#This Row],[Country Code]],Table29[],7,FALSE)</f>
        <v>G7</v>
      </c>
      <c r="AW356" s="233" t="str">
        <f>VLOOKUP(Table8[[#This Row],[Country Code]],Table29[],8,FALSE)</f>
        <v>OECD</v>
      </c>
      <c r="AX356" s="233" t="str">
        <f>VLOOKUP(Table8[[#This Row],[Country Code]],Table29[],9,FALSE)</f>
        <v>no</v>
      </c>
      <c r="AY356" s="233" t="str">
        <f>VLOOKUP(Table8[[#This Row],[Country Code]],Table29[],10,FALSE)</f>
        <v>no</v>
      </c>
      <c r="AZ356" s="235">
        <f>VLOOKUP(Table8[[#This Row],[Country Code]],Table29[],23,FALSE)</f>
        <v>747.67802680902003</v>
      </c>
      <c r="BA356" s="235">
        <f>VLOOKUP(Table8[[#This Row],[Country Code]],Table29[],24,FALSE)</f>
        <v>169.021169926607</v>
      </c>
      <c r="BB356" s="320"/>
      <c r="BC356" s="320"/>
    </row>
    <row r="357" spans="1:55" ht="45" hidden="1" x14ac:dyDescent="0.25">
      <c r="A357" s="373">
        <v>17551</v>
      </c>
      <c r="B357" s="233" t="str">
        <f>VLOOKUP(Table8[[#This Row],[Document ID]],Table1[],2,FALSE)</f>
        <v>CAN</v>
      </c>
      <c r="C357" s="233" t="str">
        <f>VLOOKUP(Table8[[#This Row],[Document ID]],Table1[],3,FALSE)</f>
        <v>Canada</v>
      </c>
      <c r="D357" s="243" t="str">
        <f>VLOOKUP(Table8[[#This Row],[Document ID]],Table1[],5,FALSE)</f>
        <v>LTS</v>
      </c>
      <c r="E357" s="233" t="str">
        <f>VLOOKUP(Table8[[#This Row],[Document ID]],Table1[],7,FALSE)</f>
        <v>Archived LTS 1.0</v>
      </c>
      <c r="F357" s="233" t="str">
        <f>VLOOKUP(Table8[[#This Row],[Document ID]],Table1[],8,FALSE)</f>
        <v>LTS 1.0</v>
      </c>
      <c r="G357" s="233" t="str">
        <f>VLOOKUP(Table8[[#This Row],[Document ID]],Table1[],10,FALSE)</f>
        <v>Archived</v>
      </c>
      <c r="H357" s="43" t="s">
        <v>2343</v>
      </c>
      <c r="I357" s="43" t="s">
        <v>2361</v>
      </c>
      <c r="J357" s="44" t="s">
        <v>2362</v>
      </c>
      <c r="K357" s="44" t="s">
        <v>2708</v>
      </c>
      <c r="L357" s="44" t="s">
        <v>2347</v>
      </c>
      <c r="M357" s="43">
        <v>35</v>
      </c>
      <c r="N357" s="113"/>
      <c r="O357" s="113"/>
      <c r="P357" s="113"/>
      <c r="Q357" s="113"/>
      <c r="R357" s="113" t="s">
        <v>1113</v>
      </c>
      <c r="S357" s="113"/>
      <c r="T357" s="113"/>
      <c r="U357" s="113"/>
      <c r="V357" s="113"/>
      <c r="W357" s="113"/>
      <c r="X357" s="113"/>
      <c r="Y357" s="113"/>
      <c r="Z357" s="113"/>
      <c r="AA357" s="113"/>
      <c r="AB357" s="113"/>
      <c r="AC357" s="113"/>
      <c r="AD357" s="113"/>
      <c r="AE357" s="113"/>
      <c r="AF357" s="113"/>
      <c r="AG357" s="113"/>
      <c r="AH357" s="113"/>
      <c r="AI357" s="113"/>
      <c r="AJ357" s="113"/>
      <c r="AK357" s="113"/>
      <c r="AL357" s="113" t="s">
        <v>1113</v>
      </c>
      <c r="AM357" s="113"/>
      <c r="AN357" s="113"/>
      <c r="AO357" s="44" t="s">
        <v>2334</v>
      </c>
      <c r="AP357" s="43"/>
      <c r="AQ357" s="236" t="str">
        <f>VLOOKUP(Table8[[#This Row],[Instrument]],Def_Targets!$D$73:$E$159,2,FALSE)</f>
        <v>S_Cycling</v>
      </c>
      <c r="AR357" s="233" t="str">
        <f>VLOOKUP(Table8[[#This Row],[Country Code]],Table29[],3,FALSE)</f>
        <v>Annex I</v>
      </c>
      <c r="AS357" s="233" t="str">
        <f>VLOOKUP(Table8[[#This Row],[Country Code]],Table29[],4,FALSE)</f>
        <v>Northern America</v>
      </c>
      <c r="AT357" s="233" t="str">
        <f>VLOOKUP(Table8[[#This Row],[Country Code]],Table29[],5,FALSE)</f>
        <v>High-income</v>
      </c>
      <c r="AU357" s="233" t="str">
        <f>VLOOKUP(Table8[[#This Row],[Country Code]],Table29[],6,FALSE)</f>
        <v>G20</v>
      </c>
      <c r="AV357" s="233" t="str">
        <f>VLOOKUP(Table8[[#This Row],[Country Code]],Table29[],7,FALSE)</f>
        <v>G7</v>
      </c>
      <c r="AW357" s="233" t="str">
        <f>VLOOKUP(Table8[[#This Row],[Country Code]],Table29[],8,FALSE)</f>
        <v>OECD</v>
      </c>
      <c r="AX357" s="233" t="str">
        <f>VLOOKUP(Table8[[#This Row],[Country Code]],Table29[],9,FALSE)</f>
        <v>no</v>
      </c>
      <c r="AY357" s="233" t="str">
        <f>VLOOKUP(Table8[[#This Row],[Country Code]],Table29[],10,FALSE)</f>
        <v>no</v>
      </c>
      <c r="AZ357" s="235">
        <f>VLOOKUP(Table8[[#This Row],[Country Code]],Table29[],23,FALSE)</f>
        <v>747.67802680902003</v>
      </c>
      <c r="BA357" s="235">
        <f>VLOOKUP(Table8[[#This Row],[Country Code]],Table29[],24,FALSE)</f>
        <v>169.021169926607</v>
      </c>
      <c r="BB357" s="320"/>
      <c r="BC357" s="320"/>
    </row>
    <row r="358" spans="1:55" hidden="1" x14ac:dyDescent="0.25">
      <c r="A358" s="373">
        <v>17551</v>
      </c>
      <c r="B358" s="233" t="str">
        <f>VLOOKUP(Table8[[#This Row],[Document ID]],Table1[],2,FALSE)</f>
        <v>CAN</v>
      </c>
      <c r="C358" s="233" t="str">
        <f>VLOOKUP(Table8[[#This Row],[Document ID]],Table1[],3,FALSE)</f>
        <v>Canada</v>
      </c>
      <c r="D358" s="243" t="str">
        <f>VLOOKUP(Table8[[#This Row],[Document ID]],Table1[],5,FALSE)</f>
        <v>LTS</v>
      </c>
      <c r="E358" s="233" t="str">
        <f>VLOOKUP(Table8[[#This Row],[Document ID]],Table1[],7,FALSE)</f>
        <v>Archived LTS 1.0</v>
      </c>
      <c r="F358" s="233" t="str">
        <f>VLOOKUP(Table8[[#This Row],[Document ID]],Table1[],8,FALSE)</f>
        <v>LTS 1.0</v>
      </c>
      <c r="G358" s="233" t="str">
        <f>VLOOKUP(Table8[[#This Row],[Document ID]],Table1[],10,FALSE)</f>
        <v>Archived</v>
      </c>
      <c r="H358" s="43" t="s">
        <v>2350</v>
      </c>
      <c r="I358" s="43" t="s">
        <v>2370</v>
      </c>
      <c r="J358" s="44" t="s">
        <v>2418</v>
      </c>
      <c r="K358" s="44" t="s">
        <v>2709</v>
      </c>
      <c r="L358" s="44" t="s">
        <v>2380</v>
      </c>
      <c r="M358" s="43">
        <v>35</v>
      </c>
      <c r="N358" s="113" t="s">
        <v>1113</v>
      </c>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t="s">
        <v>1113</v>
      </c>
      <c r="AM358" s="113"/>
      <c r="AN358" s="113"/>
      <c r="AO358" s="44" t="s">
        <v>2334</v>
      </c>
      <c r="AP358" s="43"/>
      <c r="AQ358" s="236" t="str">
        <f>VLOOKUP(Table8[[#This Row],[Instrument]],Def_Targets!$D$73:$E$159,2,FALSE)</f>
        <v>A_Complan</v>
      </c>
      <c r="AR358" s="233" t="str">
        <f>VLOOKUP(Table8[[#This Row],[Country Code]],Table29[],3,FALSE)</f>
        <v>Annex I</v>
      </c>
      <c r="AS358" s="233" t="str">
        <f>VLOOKUP(Table8[[#This Row],[Country Code]],Table29[],4,FALSE)</f>
        <v>Northern America</v>
      </c>
      <c r="AT358" s="233" t="str">
        <f>VLOOKUP(Table8[[#This Row],[Country Code]],Table29[],5,FALSE)</f>
        <v>High-income</v>
      </c>
      <c r="AU358" s="233" t="str">
        <f>VLOOKUP(Table8[[#This Row],[Country Code]],Table29[],6,FALSE)</f>
        <v>G20</v>
      </c>
      <c r="AV358" s="233" t="str">
        <f>VLOOKUP(Table8[[#This Row],[Country Code]],Table29[],7,FALSE)</f>
        <v>G7</v>
      </c>
      <c r="AW358" s="233" t="str">
        <f>VLOOKUP(Table8[[#This Row],[Country Code]],Table29[],8,FALSE)</f>
        <v>OECD</v>
      </c>
      <c r="AX358" s="233" t="str">
        <f>VLOOKUP(Table8[[#This Row],[Country Code]],Table29[],9,FALSE)</f>
        <v>no</v>
      </c>
      <c r="AY358" s="233" t="str">
        <f>VLOOKUP(Table8[[#This Row],[Country Code]],Table29[],10,FALSE)</f>
        <v>no</v>
      </c>
      <c r="AZ358" s="235">
        <f>VLOOKUP(Table8[[#This Row],[Country Code]],Table29[],23,FALSE)</f>
        <v>747.67802680902003</v>
      </c>
      <c r="BA358" s="235">
        <f>VLOOKUP(Table8[[#This Row],[Country Code]],Table29[],24,FALSE)</f>
        <v>169.021169926607</v>
      </c>
      <c r="BB358" s="320"/>
      <c r="BC358" s="320"/>
    </row>
    <row r="359" spans="1:55" ht="75" hidden="1" x14ac:dyDescent="0.25">
      <c r="A359" s="373">
        <v>17551</v>
      </c>
      <c r="B359" s="233" t="str">
        <f>VLOOKUP(Table8[[#This Row],[Document ID]],Table1[],2,FALSE)</f>
        <v>CAN</v>
      </c>
      <c r="C359" s="233" t="str">
        <f>VLOOKUP(Table8[[#This Row],[Document ID]],Table1[],3,FALSE)</f>
        <v>Canada</v>
      </c>
      <c r="D359" s="243" t="str">
        <f>VLOOKUP(Table8[[#This Row],[Document ID]],Table1[],5,FALSE)</f>
        <v>LTS</v>
      </c>
      <c r="E359" s="233" t="str">
        <f>VLOOKUP(Table8[[#This Row],[Document ID]],Table1[],7,FALSE)</f>
        <v>Archived LTS 1.0</v>
      </c>
      <c r="F359" s="233" t="str">
        <f>VLOOKUP(Table8[[#This Row],[Document ID]],Table1[],8,FALSE)</f>
        <v>LTS 1.0</v>
      </c>
      <c r="G359" s="233" t="str">
        <f>VLOOKUP(Table8[[#This Row],[Document ID]],Table1[],10,FALSE)</f>
        <v>Archived</v>
      </c>
      <c r="H359" s="43" t="s">
        <v>2358</v>
      </c>
      <c r="I359" s="43" t="s">
        <v>2359</v>
      </c>
      <c r="J359" s="44" t="s">
        <v>2383</v>
      </c>
      <c r="K359" s="44" t="s">
        <v>2710</v>
      </c>
      <c r="L359" s="44" t="s">
        <v>2333</v>
      </c>
      <c r="M359" s="43">
        <v>37</v>
      </c>
      <c r="N359" s="113" t="s">
        <v>1113</v>
      </c>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319" t="s">
        <v>1113</v>
      </c>
      <c r="AL359" s="113"/>
      <c r="AM359" s="113"/>
      <c r="AN359" s="113"/>
      <c r="AO359" s="44" t="s">
        <v>2334</v>
      </c>
      <c r="AP359" s="43"/>
      <c r="AQ359" s="236" t="str">
        <f>VLOOKUP(Table8[[#This Row],[Instrument]],Def_Targets!$D$73:$E$159,2,FALSE)</f>
        <v>I_Emobilitycharging</v>
      </c>
      <c r="AR359" s="233" t="str">
        <f>VLOOKUP(Table8[[#This Row],[Country Code]],Table29[],3,FALSE)</f>
        <v>Annex I</v>
      </c>
      <c r="AS359" s="233" t="str">
        <f>VLOOKUP(Table8[[#This Row],[Country Code]],Table29[],4,FALSE)</f>
        <v>Northern America</v>
      </c>
      <c r="AT359" s="233" t="str">
        <f>VLOOKUP(Table8[[#This Row],[Country Code]],Table29[],5,FALSE)</f>
        <v>High-income</v>
      </c>
      <c r="AU359" s="233" t="str">
        <f>VLOOKUP(Table8[[#This Row],[Country Code]],Table29[],6,FALSE)</f>
        <v>G20</v>
      </c>
      <c r="AV359" s="233" t="str">
        <f>VLOOKUP(Table8[[#This Row],[Country Code]],Table29[],7,FALSE)</f>
        <v>G7</v>
      </c>
      <c r="AW359" s="233" t="str">
        <f>VLOOKUP(Table8[[#This Row],[Country Code]],Table29[],8,FALSE)</f>
        <v>OECD</v>
      </c>
      <c r="AX359" s="233" t="str">
        <f>VLOOKUP(Table8[[#This Row],[Country Code]],Table29[],9,FALSE)</f>
        <v>no</v>
      </c>
      <c r="AY359" s="233" t="str">
        <f>VLOOKUP(Table8[[#This Row],[Country Code]],Table29[],10,FALSE)</f>
        <v>no</v>
      </c>
      <c r="AZ359" s="235">
        <f>VLOOKUP(Table8[[#This Row],[Country Code]],Table29[],23,FALSE)</f>
        <v>747.67802680902003</v>
      </c>
      <c r="BA359" s="235">
        <f>VLOOKUP(Table8[[#This Row],[Country Code]],Table29[],24,FALSE)</f>
        <v>169.021169926607</v>
      </c>
      <c r="BB359" s="320"/>
      <c r="BC359" s="320"/>
    </row>
    <row r="360" spans="1:55" ht="30" hidden="1" x14ac:dyDescent="0.25">
      <c r="A360" s="373">
        <v>17551</v>
      </c>
      <c r="B360" s="233" t="str">
        <f>VLOOKUP(Table8[[#This Row],[Document ID]],Table1[],2,FALSE)</f>
        <v>CAN</v>
      </c>
      <c r="C360" s="233" t="str">
        <f>VLOOKUP(Table8[[#This Row],[Document ID]],Table1[],3,FALSE)</f>
        <v>Canada</v>
      </c>
      <c r="D360" s="243" t="str">
        <f>VLOOKUP(Table8[[#This Row],[Document ID]],Table1[],5,FALSE)</f>
        <v>LTS</v>
      </c>
      <c r="E360" s="233" t="str">
        <f>VLOOKUP(Table8[[#This Row],[Document ID]],Table1[],7,FALSE)</f>
        <v>Archived LTS 1.0</v>
      </c>
      <c r="F360" s="233" t="str">
        <f>VLOOKUP(Table8[[#This Row],[Document ID]],Table1[],8,FALSE)</f>
        <v>LTS 1.0</v>
      </c>
      <c r="G360" s="233" t="str">
        <f>VLOOKUP(Table8[[#This Row],[Document ID]],Table1[],10,FALSE)</f>
        <v>Archived</v>
      </c>
      <c r="H360" s="44" t="s">
        <v>2329</v>
      </c>
      <c r="I360" s="44" t="s">
        <v>2330</v>
      </c>
      <c r="J360" s="44" t="s">
        <v>2357</v>
      </c>
      <c r="K360" s="44" t="s">
        <v>2711</v>
      </c>
      <c r="L360" s="44" t="s">
        <v>2333</v>
      </c>
      <c r="M360" s="43">
        <v>37</v>
      </c>
      <c r="N360" s="113" t="s">
        <v>1113</v>
      </c>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319" t="s">
        <v>1113</v>
      </c>
      <c r="AL360" s="113"/>
      <c r="AM360" s="113"/>
      <c r="AN360" s="113"/>
      <c r="AO360" s="44" t="s">
        <v>2334</v>
      </c>
      <c r="AP360" s="43"/>
      <c r="AQ360" s="236" t="str">
        <f>VLOOKUP(Table8[[#This Row],[Instrument]],Def_Targets!$D$73:$E$159,2,FALSE)</f>
        <v>I_Biofuel</v>
      </c>
      <c r="AR360" s="233" t="str">
        <f>VLOOKUP(Table8[[#This Row],[Country Code]],Table29[],3,FALSE)</f>
        <v>Annex I</v>
      </c>
      <c r="AS360" s="233" t="str">
        <f>VLOOKUP(Table8[[#This Row],[Country Code]],Table29[],4,FALSE)</f>
        <v>Northern America</v>
      </c>
      <c r="AT360" s="233" t="str">
        <f>VLOOKUP(Table8[[#This Row],[Country Code]],Table29[],5,FALSE)</f>
        <v>High-income</v>
      </c>
      <c r="AU360" s="233" t="str">
        <f>VLOOKUP(Table8[[#This Row],[Country Code]],Table29[],6,FALSE)</f>
        <v>G20</v>
      </c>
      <c r="AV360" s="233" t="str">
        <f>VLOOKUP(Table8[[#This Row],[Country Code]],Table29[],7,FALSE)</f>
        <v>G7</v>
      </c>
      <c r="AW360" s="233" t="str">
        <f>VLOOKUP(Table8[[#This Row],[Country Code]],Table29[],8,FALSE)</f>
        <v>OECD</v>
      </c>
      <c r="AX360" s="233" t="str">
        <f>VLOOKUP(Table8[[#This Row],[Country Code]],Table29[],9,FALSE)</f>
        <v>no</v>
      </c>
      <c r="AY360" s="233" t="str">
        <f>VLOOKUP(Table8[[#This Row],[Country Code]],Table29[],10,FALSE)</f>
        <v>no</v>
      </c>
      <c r="AZ360" s="235">
        <f>VLOOKUP(Table8[[#This Row],[Country Code]],Table29[],23,FALSE)</f>
        <v>747.67802680902003</v>
      </c>
      <c r="BA360" s="235">
        <f>VLOOKUP(Table8[[#This Row],[Country Code]],Table29[],24,FALSE)</f>
        <v>169.021169926607</v>
      </c>
      <c r="BB360" s="320"/>
      <c r="BC360" s="320"/>
    </row>
    <row r="361" spans="1:55" ht="45" hidden="1" x14ac:dyDescent="0.25">
      <c r="A361" s="373">
        <v>17551</v>
      </c>
      <c r="B361" s="233" t="str">
        <f>VLOOKUP(Table8[[#This Row],[Document ID]],Table1[],2,FALSE)</f>
        <v>CAN</v>
      </c>
      <c r="C361" s="233" t="str">
        <f>VLOOKUP(Table8[[#This Row],[Document ID]],Table1[],3,FALSE)</f>
        <v>Canada</v>
      </c>
      <c r="D361" s="243" t="str">
        <f>VLOOKUP(Table8[[#This Row],[Document ID]],Table1[],5,FALSE)</f>
        <v>LTS</v>
      </c>
      <c r="E361" s="233" t="str">
        <f>VLOOKUP(Table8[[#This Row],[Document ID]],Table1[],7,FALSE)</f>
        <v>Archived LTS 1.0</v>
      </c>
      <c r="F361" s="233" t="str">
        <f>VLOOKUP(Table8[[#This Row],[Document ID]],Table1[],8,FALSE)</f>
        <v>LTS 1.0</v>
      </c>
      <c r="G361" s="233" t="str">
        <f>VLOOKUP(Table8[[#This Row],[Document ID]],Table1[],10,FALSE)</f>
        <v>Archived</v>
      </c>
      <c r="H361" s="43" t="s">
        <v>2484</v>
      </c>
      <c r="I361" s="43" t="s">
        <v>2488</v>
      </c>
      <c r="J361" s="44" t="s">
        <v>2712</v>
      </c>
      <c r="K361" s="44" t="s">
        <v>2713</v>
      </c>
      <c r="L361" s="44" t="s">
        <v>2333</v>
      </c>
      <c r="M361" s="43">
        <v>37</v>
      </c>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t="s">
        <v>1113</v>
      </c>
      <c r="AI361" s="113"/>
      <c r="AJ361" s="113"/>
      <c r="AK361" s="319" t="s">
        <v>1113</v>
      </c>
      <c r="AL361" s="113"/>
      <c r="AM361" s="113"/>
      <c r="AN361" s="113"/>
      <c r="AO361" s="44" t="s">
        <v>2334</v>
      </c>
      <c r="AP361" s="43"/>
      <c r="AQ361" s="236" t="str">
        <f>VLOOKUP(Table8[[#This Row],[Instrument]],Def_Targets!$D$73:$E$159,2,FALSE)</f>
        <v>I_Airtraffic</v>
      </c>
      <c r="AR361" s="233" t="str">
        <f>VLOOKUP(Table8[[#This Row],[Country Code]],Table29[],3,FALSE)</f>
        <v>Annex I</v>
      </c>
      <c r="AS361" s="233" t="str">
        <f>VLOOKUP(Table8[[#This Row],[Country Code]],Table29[],4,FALSE)</f>
        <v>Northern America</v>
      </c>
      <c r="AT361" s="233" t="str">
        <f>VLOOKUP(Table8[[#This Row],[Country Code]],Table29[],5,FALSE)</f>
        <v>High-income</v>
      </c>
      <c r="AU361" s="233" t="str">
        <f>VLOOKUP(Table8[[#This Row],[Country Code]],Table29[],6,FALSE)</f>
        <v>G20</v>
      </c>
      <c r="AV361" s="233" t="str">
        <f>VLOOKUP(Table8[[#This Row],[Country Code]],Table29[],7,FALSE)</f>
        <v>G7</v>
      </c>
      <c r="AW361" s="233" t="str">
        <f>VLOOKUP(Table8[[#This Row],[Country Code]],Table29[],8,FALSE)</f>
        <v>OECD</v>
      </c>
      <c r="AX361" s="233" t="str">
        <f>VLOOKUP(Table8[[#This Row],[Country Code]],Table29[],9,FALSE)</f>
        <v>no</v>
      </c>
      <c r="AY361" s="233" t="str">
        <f>VLOOKUP(Table8[[#This Row],[Country Code]],Table29[],10,FALSE)</f>
        <v>no</v>
      </c>
      <c r="AZ361" s="235">
        <f>VLOOKUP(Table8[[#This Row],[Country Code]],Table29[],23,FALSE)</f>
        <v>747.67802680902003</v>
      </c>
      <c r="BA361" s="235">
        <f>VLOOKUP(Table8[[#This Row],[Country Code]],Table29[],24,FALSE)</f>
        <v>169.021169926607</v>
      </c>
      <c r="BB361" s="320"/>
      <c r="BC361" s="320"/>
    </row>
    <row r="362" spans="1:55" ht="45" hidden="1" x14ac:dyDescent="0.25">
      <c r="A362" s="373">
        <v>17551</v>
      </c>
      <c r="B362" s="233" t="str">
        <f>VLOOKUP(Table8[[#This Row],[Document ID]],Table1[],2,FALSE)</f>
        <v>CAN</v>
      </c>
      <c r="C362" s="233" t="str">
        <f>VLOOKUP(Table8[[#This Row],[Document ID]],Table1[],3,FALSE)</f>
        <v>Canada</v>
      </c>
      <c r="D362" s="243" t="str">
        <f>VLOOKUP(Table8[[#This Row],[Document ID]],Table1[],5,FALSE)</f>
        <v>LTS</v>
      </c>
      <c r="E362" s="233" t="str">
        <f>VLOOKUP(Table8[[#This Row],[Document ID]],Table1[],7,FALSE)</f>
        <v>Archived LTS 1.0</v>
      </c>
      <c r="F362" s="233" t="str">
        <f>VLOOKUP(Table8[[#This Row],[Document ID]],Table1[],8,FALSE)</f>
        <v>LTS 1.0</v>
      </c>
      <c r="G362" s="233" t="str">
        <f>VLOOKUP(Table8[[#This Row],[Document ID]],Table1[],10,FALSE)</f>
        <v>Archived</v>
      </c>
      <c r="H362" s="43" t="s">
        <v>2484</v>
      </c>
      <c r="I362" s="43" t="s">
        <v>2488</v>
      </c>
      <c r="J362" s="44" t="s">
        <v>2684</v>
      </c>
      <c r="K362" s="44" t="s">
        <v>2714</v>
      </c>
      <c r="L362" s="44" t="s">
        <v>2333</v>
      </c>
      <c r="M362" s="43">
        <v>37</v>
      </c>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t="s">
        <v>1113</v>
      </c>
      <c r="AI362" s="113"/>
      <c r="AJ362" s="113"/>
      <c r="AK362" s="319" t="s">
        <v>1113</v>
      </c>
      <c r="AL362" s="113"/>
      <c r="AM362" s="113"/>
      <c r="AN362" s="113"/>
      <c r="AO362" s="44" t="s">
        <v>2334</v>
      </c>
      <c r="AP362" s="43"/>
      <c r="AQ362" s="236" t="str">
        <f>VLOOKUP(Table8[[#This Row],[Instrument]],Def_Targets!$D$73:$E$159,2,FALSE)</f>
        <v>I_Jetfuel</v>
      </c>
      <c r="AR362" s="233" t="str">
        <f>VLOOKUP(Table8[[#This Row],[Country Code]],Table29[],3,FALSE)</f>
        <v>Annex I</v>
      </c>
      <c r="AS362" s="233" t="str">
        <f>VLOOKUP(Table8[[#This Row],[Country Code]],Table29[],4,FALSE)</f>
        <v>Northern America</v>
      </c>
      <c r="AT362" s="233" t="str">
        <f>VLOOKUP(Table8[[#This Row],[Country Code]],Table29[],5,FALSE)</f>
        <v>High-income</v>
      </c>
      <c r="AU362" s="233" t="str">
        <f>VLOOKUP(Table8[[#This Row],[Country Code]],Table29[],6,FALSE)</f>
        <v>G20</v>
      </c>
      <c r="AV362" s="233" t="str">
        <f>VLOOKUP(Table8[[#This Row],[Country Code]],Table29[],7,FALSE)</f>
        <v>G7</v>
      </c>
      <c r="AW362" s="233" t="str">
        <f>VLOOKUP(Table8[[#This Row],[Country Code]],Table29[],8,FALSE)</f>
        <v>OECD</v>
      </c>
      <c r="AX362" s="233" t="str">
        <f>VLOOKUP(Table8[[#This Row],[Country Code]],Table29[],9,FALSE)</f>
        <v>no</v>
      </c>
      <c r="AY362" s="233" t="str">
        <f>VLOOKUP(Table8[[#This Row],[Country Code]],Table29[],10,FALSE)</f>
        <v>no</v>
      </c>
      <c r="AZ362" s="235">
        <f>VLOOKUP(Table8[[#This Row],[Country Code]],Table29[],23,FALSE)</f>
        <v>747.67802680902003</v>
      </c>
      <c r="BA362" s="235">
        <f>VLOOKUP(Table8[[#This Row],[Country Code]],Table29[],24,FALSE)</f>
        <v>169.021169926607</v>
      </c>
      <c r="BB362" s="320"/>
      <c r="BC362" s="320"/>
    </row>
    <row r="363" spans="1:55" ht="30" hidden="1" x14ac:dyDescent="0.25">
      <c r="A363" s="373">
        <v>17551</v>
      </c>
      <c r="B363" s="233" t="str">
        <f>VLOOKUP(Table8[[#This Row],[Document ID]],Table1[],2,FALSE)</f>
        <v>CAN</v>
      </c>
      <c r="C363" s="233" t="str">
        <f>VLOOKUP(Table8[[#This Row],[Document ID]],Table1[],3,FALSE)</f>
        <v>Canada</v>
      </c>
      <c r="D363" s="243" t="str">
        <f>VLOOKUP(Table8[[#This Row],[Document ID]],Table1[],5,FALSE)</f>
        <v>LTS</v>
      </c>
      <c r="E363" s="233" t="str">
        <f>VLOOKUP(Table8[[#This Row],[Document ID]],Table1[],7,FALSE)</f>
        <v>Archived LTS 1.0</v>
      </c>
      <c r="F363" s="233" t="str">
        <f>VLOOKUP(Table8[[#This Row],[Document ID]],Table1[],8,FALSE)</f>
        <v>LTS 1.0</v>
      </c>
      <c r="G363" s="233" t="str">
        <f>VLOOKUP(Table8[[#This Row],[Document ID]],Table1[],10,FALSE)</f>
        <v>Archived</v>
      </c>
      <c r="H363" s="44" t="s">
        <v>2329</v>
      </c>
      <c r="I363" s="44" t="s">
        <v>2330</v>
      </c>
      <c r="J363" s="44" t="s">
        <v>2363</v>
      </c>
      <c r="K363" s="44" t="s">
        <v>2715</v>
      </c>
      <c r="L363" s="44" t="s">
        <v>2333</v>
      </c>
      <c r="M363" s="43">
        <v>37</v>
      </c>
      <c r="N363" s="113" t="s">
        <v>1113</v>
      </c>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319" t="s">
        <v>1113</v>
      </c>
      <c r="AL363" s="113"/>
      <c r="AM363" s="113"/>
      <c r="AN363" s="113"/>
      <c r="AO363" s="44" t="s">
        <v>2334</v>
      </c>
      <c r="AP363" s="43"/>
      <c r="AQ363" s="236" t="str">
        <f>VLOOKUP(Table8[[#This Row],[Instrument]],Def_Targets!$D$73:$E$159,2,FALSE)</f>
        <v>I_LPGCNGLNG</v>
      </c>
      <c r="AR363" s="233" t="str">
        <f>VLOOKUP(Table8[[#This Row],[Country Code]],Table29[],3,FALSE)</f>
        <v>Annex I</v>
      </c>
      <c r="AS363" s="233" t="str">
        <f>VLOOKUP(Table8[[#This Row],[Country Code]],Table29[],4,FALSE)</f>
        <v>Northern America</v>
      </c>
      <c r="AT363" s="233" t="str">
        <f>VLOOKUP(Table8[[#This Row],[Country Code]],Table29[],5,FALSE)</f>
        <v>High-income</v>
      </c>
      <c r="AU363" s="233" t="str">
        <f>VLOOKUP(Table8[[#This Row],[Country Code]],Table29[],6,FALSE)</f>
        <v>G20</v>
      </c>
      <c r="AV363" s="233" t="str">
        <f>VLOOKUP(Table8[[#This Row],[Country Code]],Table29[],7,FALSE)</f>
        <v>G7</v>
      </c>
      <c r="AW363" s="233" t="str">
        <f>VLOOKUP(Table8[[#This Row],[Country Code]],Table29[],8,FALSE)</f>
        <v>OECD</v>
      </c>
      <c r="AX363" s="233" t="str">
        <f>VLOOKUP(Table8[[#This Row],[Country Code]],Table29[],9,FALSE)</f>
        <v>no</v>
      </c>
      <c r="AY363" s="233" t="str">
        <f>VLOOKUP(Table8[[#This Row],[Country Code]],Table29[],10,FALSE)</f>
        <v>no</v>
      </c>
      <c r="AZ363" s="235">
        <f>VLOOKUP(Table8[[#This Row],[Country Code]],Table29[],23,FALSE)</f>
        <v>747.67802680902003</v>
      </c>
      <c r="BA363" s="235">
        <f>VLOOKUP(Table8[[#This Row],[Country Code]],Table29[],24,FALSE)</f>
        <v>169.021169926607</v>
      </c>
      <c r="BB363" s="320"/>
      <c r="BC363" s="320"/>
    </row>
    <row r="364" spans="1:55" ht="30" hidden="1" x14ac:dyDescent="0.25">
      <c r="A364" s="373">
        <v>17551</v>
      </c>
      <c r="B364" s="233" t="str">
        <f>VLOOKUP(Table8[[#This Row],[Document ID]],Table1[],2,FALSE)</f>
        <v>CAN</v>
      </c>
      <c r="C364" s="233" t="str">
        <f>VLOOKUP(Table8[[#This Row],[Document ID]],Table1[],3,FALSE)</f>
        <v>Canada</v>
      </c>
      <c r="D364" s="243" t="str">
        <f>VLOOKUP(Table8[[#This Row],[Document ID]],Table1[],5,FALSE)</f>
        <v>LTS</v>
      </c>
      <c r="E364" s="233" t="str">
        <f>VLOOKUP(Table8[[#This Row],[Document ID]],Table1[],7,FALSE)</f>
        <v>Archived LTS 1.0</v>
      </c>
      <c r="F364" s="233" t="str">
        <f>VLOOKUP(Table8[[#This Row],[Document ID]],Table1[],8,FALSE)</f>
        <v>LTS 1.0</v>
      </c>
      <c r="G364" s="233" t="str">
        <f>VLOOKUP(Table8[[#This Row],[Document ID]],Table1[],10,FALSE)</f>
        <v>Archived</v>
      </c>
      <c r="H364" s="44" t="s">
        <v>2329</v>
      </c>
      <c r="I364" s="44" t="s">
        <v>2330</v>
      </c>
      <c r="J364" s="44" t="s">
        <v>2391</v>
      </c>
      <c r="K364" s="44" t="s">
        <v>2716</v>
      </c>
      <c r="L364" s="44" t="s">
        <v>2333</v>
      </c>
      <c r="M364" s="43">
        <v>37</v>
      </c>
      <c r="N364" s="113" t="s">
        <v>1113</v>
      </c>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319" t="s">
        <v>1113</v>
      </c>
      <c r="AL364" s="113"/>
      <c r="AM364" s="113"/>
      <c r="AN364" s="113"/>
      <c r="AO364" s="44" t="s">
        <v>2334</v>
      </c>
      <c r="AP364" s="43"/>
      <c r="AQ364" s="236" t="str">
        <f>VLOOKUP(Table8[[#This Row],[Instrument]],Def_Targets!$D$73:$E$159,2,FALSE)</f>
        <v>I_Hydrogen</v>
      </c>
      <c r="AR364" s="233" t="str">
        <f>VLOOKUP(Table8[[#This Row],[Country Code]],Table29[],3,FALSE)</f>
        <v>Annex I</v>
      </c>
      <c r="AS364" s="233" t="str">
        <f>VLOOKUP(Table8[[#This Row],[Country Code]],Table29[],4,FALSE)</f>
        <v>Northern America</v>
      </c>
      <c r="AT364" s="233" t="str">
        <f>VLOOKUP(Table8[[#This Row],[Country Code]],Table29[],5,FALSE)</f>
        <v>High-income</v>
      </c>
      <c r="AU364" s="233" t="str">
        <f>VLOOKUP(Table8[[#This Row],[Country Code]],Table29[],6,FALSE)</f>
        <v>G20</v>
      </c>
      <c r="AV364" s="233" t="str">
        <f>VLOOKUP(Table8[[#This Row],[Country Code]],Table29[],7,FALSE)</f>
        <v>G7</v>
      </c>
      <c r="AW364" s="233" t="str">
        <f>VLOOKUP(Table8[[#This Row],[Country Code]],Table29[],8,FALSE)</f>
        <v>OECD</v>
      </c>
      <c r="AX364" s="233" t="str">
        <f>VLOOKUP(Table8[[#This Row],[Country Code]],Table29[],9,FALSE)</f>
        <v>no</v>
      </c>
      <c r="AY364" s="233" t="str">
        <f>VLOOKUP(Table8[[#This Row],[Country Code]],Table29[],10,FALSE)</f>
        <v>no</v>
      </c>
      <c r="AZ364" s="235">
        <f>VLOOKUP(Table8[[#This Row],[Country Code]],Table29[],23,FALSE)</f>
        <v>747.67802680902003</v>
      </c>
      <c r="BA364" s="235">
        <f>VLOOKUP(Table8[[#This Row],[Country Code]],Table29[],24,FALSE)</f>
        <v>169.021169926607</v>
      </c>
      <c r="BB364" s="320"/>
      <c r="BC364" s="320"/>
    </row>
    <row r="365" spans="1:55" ht="60" hidden="1" x14ac:dyDescent="0.25">
      <c r="A365" s="373">
        <v>17551</v>
      </c>
      <c r="B365" s="233" t="str">
        <f>VLOOKUP(Table8[[#This Row],[Document ID]],Table1[],2,FALSE)</f>
        <v>CAN</v>
      </c>
      <c r="C365" s="233" t="str">
        <f>VLOOKUP(Table8[[#This Row],[Document ID]],Table1[],3,FALSE)</f>
        <v>Canada</v>
      </c>
      <c r="D365" s="243" t="str">
        <f>VLOOKUP(Table8[[#This Row],[Document ID]],Table1[],5,FALSE)</f>
        <v>LTS</v>
      </c>
      <c r="E365" s="233" t="str">
        <f>VLOOKUP(Table8[[#This Row],[Document ID]],Table1[],7,FALSE)</f>
        <v>Archived LTS 1.0</v>
      </c>
      <c r="F365" s="233" t="str">
        <f>VLOOKUP(Table8[[#This Row],[Document ID]],Table1[],8,FALSE)</f>
        <v>LTS 1.0</v>
      </c>
      <c r="G365" s="233" t="str">
        <f>VLOOKUP(Table8[[#This Row],[Document ID]],Table1[],10,FALSE)</f>
        <v>Archived</v>
      </c>
      <c r="H365" s="43" t="s">
        <v>2343</v>
      </c>
      <c r="I365" s="43" t="s">
        <v>2429</v>
      </c>
      <c r="J365" s="44" t="s">
        <v>2501</v>
      </c>
      <c r="K365" s="44" t="s">
        <v>2717</v>
      </c>
      <c r="L365" s="44" t="s">
        <v>2333</v>
      </c>
      <c r="M365" s="43">
        <v>39</v>
      </c>
      <c r="N365" s="113"/>
      <c r="O365" s="113"/>
      <c r="P365" s="113"/>
      <c r="Q365" s="113"/>
      <c r="R365" s="113"/>
      <c r="S365" s="113" t="s">
        <v>1113</v>
      </c>
      <c r="T365" s="113"/>
      <c r="U365" s="113"/>
      <c r="V365" s="113"/>
      <c r="W365" s="113"/>
      <c r="X365" s="113"/>
      <c r="Y365" s="113"/>
      <c r="Z365" s="113"/>
      <c r="AA365" s="113"/>
      <c r="AB365" s="113"/>
      <c r="AC365" s="113"/>
      <c r="AD365" s="113"/>
      <c r="AE365" s="113"/>
      <c r="AF365" s="113"/>
      <c r="AG365" s="113"/>
      <c r="AH365" s="113"/>
      <c r="AI365" s="113"/>
      <c r="AJ365" s="113"/>
      <c r="AK365" s="319" t="s">
        <v>1113</v>
      </c>
      <c r="AL365" s="113"/>
      <c r="AM365" s="113"/>
      <c r="AN365" s="113"/>
      <c r="AO365" s="44" t="s">
        <v>2334</v>
      </c>
      <c r="AP365" s="43"/>
      <c r="AQ365" s="236" t="str">
        <f>VLOOKUP(Table8[[#This Row],[Instrument]],Def_Targets!$D$73:$E$159,2,FALSE)</f>
        <v>I_Autonomous</v>
      </c>
      <c r="AR365" s="233" t="str">
        <f>VLOOKUP(Table8[[#This Row],[Country Code]],Table29[],3,FALSE)</f>
        <v>Annex I</v>
      </c>
      <c r="AS365" s="233" t="str">
        <f>VLOOKUP(Table8[[#This Row],[Country Code]],Table29[],4,FALSE)</f>
        <v>Northern America</v>
      </c>
      <c r="AT365" s="233" t="str">
        <f>VLOOKUP(Table8[[#This Row],[Country Code]],Table29[],5,FALSE)</f>
        <v>High-income</v>
      </c>
      <c r="AU365" s="233" t="str">
        <f>VLOOKUP(Table8[[#This Row],[Country Code]],Table29[],6,FALSE)</f>
        <v>G20</v>
      </c>
      <c r="AV365" s="233" t="str">
        <f>VLOOKUP(Table8[[#This Row],[Country Code]],Table29[],7,FALSE)</f>
        <v>G7</v>
      </c>
      <c r="AW365" s="233" t="str">
        <f>VLOOKUP(Table8[[#This Row],[Country Code]],Table29[],8,FALSE)</f>
        <v>OECD</v>
      </c>
      <c r="AX365" s="233" t="str">
        <f>VLOOKUP(Table8[[#This Row],[Country Code]],Table29[],9,FALSE)</f>
        <v>no</v>
      </c>
      <c r="AY365" s="233" t="str">
        <f>VLOOKUP(Table8[[#This Row],[Country Code]],Table29[],10,FALSE)</f>
        <v>no</v>
      </c>
      <c r="AZ365" s="235">
        <f>VLOOKUP(Table8[[#This Row],[Country Code]],Table29[],23,FALSE)</f>
        <v>747.67802680902003</v>
      </c>
      <c r="BA365" s="235">
        <f>VLOOKUP(Table8[[#This Row],[Country Code]],Table29[],24,FALSE)</f>
        <v>169.021169926607</v>
      </c>
      <c r="BB365" s="320"/>
      <c r="BC365" s="320"/>
    </row>
    <row r="366" spans="1:55" ht="90" hidden="1" x14ac:dyDescent="0.25">
      <c r="A366" s="373">
        <v>17550</v>
      </c>
      <c r="B366" s="233" t="str">
        <f>VLOOKUP(Table8[[#This Row],[Document ID]],Table1[],2,FALSE)</f>
        <v>CAN</v>
      </c>
      <c r="C366" s="233" t="str">
        <f>VLOOKUP(Table8[[#This Row],[Document ID]],Table1[],3,FALSE)</f>
        <v>Canada</v>
      </c>
      <c r="D366" s="243" t="str">
        <f>VLOOKUP(Table8[[#This Row],[Document ID]],Table1[],5,FALSE)</f>
        <v>NDC</v>
      </c>
      <c r="E366" s="233" t="str">
        <f>VLOOKUP(Table8[[#This Row],[Document ID]],Table1[],7,FALSE)</f>
        <v>First NDC</v>
      </c>
      <c r="F366" s="236" t="str">
        <f>VLOOKUP(Table8[[#This Row],[Document ID]],Table1[],8,FALSE)</f>
        <v>NDC 1.0</v>
      </c>
      <c r="G366" s="236" t="str">
        <f>VLOOKUP(Table8[[#This Row],[Document ID]],Table1[],10,FALSE)</f>
        <v>Archived</v>
      </c>
      <c r="H366" s="44" t="s">
        <v>2338</v>
      </c>
      <c r="I366" s="44" t="s">
        <v>2339</v>
      </c>
      <c r="J366" s="44" t="s">
        <v>2413</v>
      </c>
      <c r="K366" s="44" t="s">
        <v>2718</v>
      </c>
      <c r="L366" s="44" t="s">
        <v>2333</v>
      </c>
      <c r="M366" s="43"/>
      <c r="N366" s="113"/>
      <c r="O366" s="113"/>
      <c r="P366" s="113"/>
      <c r="Q366" s="319"/>
      <c r="R366" s="319"/>
      <c r="S366" s="319"/>
      <c r="T366" s="319"/>
      <c r="U366" s="319"/>
      <c r="V366" s="319"/>
      <c r="W366" s="319"/>
      <c r="X366" s="113" t="s">
        <v>1113</v>
      </c>
      <c r="Y366" s="319"/>
      <c r="Z366" s="319"/>
      <c r="AA366" s="319"/>
      <c r="AB366" s="319"/>
      <c r="AC366" s="319"/>
      <c r="AD366" s="319"/>
      <c r="AE366" s="319"/>
      <c r="AF366" s="319"/>
      <c r="AG366" s="319"/>
      <c r="AH366" s="319"/>
      <c r="AI366" s="319"/>
      <c r="AJ366" s="319"/>
      <c r="AK366" s="319" t="s">
        <v>1113</v>
      </c>
      <c r="AL366" s="319"/>
      <c r="AM366" s="319"/>
      <c r="AN366" s="319"/>
      <c r="AO366" s="43" t="s">
        <v>2353</v>
      </c>
      <c r="AP366" s="44"/>
      <c r="AQ366" s="236" t="str">
        <f>VLOOKUP(Table8[[#This Row],[Instrument]],Def_Targets!$D$73:$E$159,2,FALSE)</f>
        <v>I_Vehicleeff</v>
      </c>
      <c r="AR366" s="233" t="str">
        <f>VLOOKUP(Table8[[#This Row],[Country Code]],Table29[],3,FALSE)</f>
        <v>Annex I</v>
      </c>
      <c r="AS366" s="233" t="str">
        <f>VLOOKUP(Table8[[#This Row],[Country Code]],Table29[],4,FALSE)</f>
        <v>Northern America</v>
      </c>
      <c r="AT366" s="233" t="str">
        <f>VLOOKUP(Table8[[#This Row],[Country Code]],Table29[],5,FALSE)</f>
        <v>High-income</v>
      </c>
      <c r="AU366" s="233" t="str">
        <f>VLOOKUP(Table8[[#This Row],[Country Code]],Table29[],6,FALSE)</f>
        <v>G20</v>
      </c>
      <c r="AV366" s="233" t="str">
        <f>VLOOKUP(Table8[[#This Row],[Country Code]],Table29[],7,FALSE)</f>
        <v>G7</v>
      </c>
      <c r="AW366" s="233" t="str">
        <f>VLOOKUP(Table8[[#This Row],[Country Code]],Table29[],8,FALSE)</f>
        <v>OECD</v>
      </c>
      <c r="AX366" s="233" t="str">
        <f>VLOOKUP(Table8[[#This Row],[Country Code]],Table29[],9,FALSE)</f>
        <v>no</v>
      </c>
      <c r="AY366" s="233" t="str">
        <f>VLOOKUP(Table8[[#This Row],[Country Code]],Table29[],10,FALSE)</f>
        <v>no</v>
      </c>
      <c r="AZ366" s="235">
        <f>VLOOKUP(Table8[[#This Row],[Country Code]],Table29[],23,FALSE)</f>
        <v>747.67802680902003</v>
      </c>
      <c r="BA366" s="235">
        <f>VLOOKUP(Table8[[#This Row],[Country Code]],Table29[],24,FALSE)</f>
        <v>169.021169926607</v>
      </c>
      <c r="BB366" s="320"/>
      <c r="BC366" s="320"/>
    </row>
    <row r="367" spans="1:55" ht="30" hidden="1" x14ac:dyDescent="0.25">
      <c r="A367" s="373">
        <v>17550</v>
      </c>
      <c r="B367" s="233" t="str">
        <f>VLOOKUP(Table8[[#This Row],[Document ID]],Table1[],2,FALSE)</f>
        <v>CAN</v>
      </c>
      <c r="C367" s="233" t="str">
        <f>VLOOKUP(Table8[[#This Row],[Document ID]],Table1[],3,FALSE)</f>
        <v>Canada</v>
      </c>
      <c r="D367" s="243" t="str">
        <f>VLOOKUP(Table8[[#This Row],[Document ID]],Table1[],5,FALSE)</f>
        <v>NDC</v>
      </c>
      <c r="E367" s="233" t="str">
        <f>VLOOKUP(Table8[[#This Row],[Document ID]],Table1[],7,FALSE)</f>
        <v>First NDC</v>
      </c>
      <c r="F367" s="236" t="str">
        <f>VLOOKUP(Table8[[#This Row],[Document ID]],Table1[],8,FALSE)</f>
        <v>NDC 1.0</v>
      </c>
      <c r="G367" s="236" t="str">
        <f>VLOOKUP(Table8[[#This Row],[Document ID]],Table1[],10,FALSE)</f>
        <v>Archived</v>
      </c>
      <c r="H367" s="43" t="s">
        <v>2350</v>
      </c>
      <c r="I367" s="43" t="s">
        <v>2456</v>
      </c>
      <c r="J367" s="44" t="s">
        <v>2457</v>
      </c>
      <c r="K367" s="44" t="s">
        <v>2719</v>
      </c>
      <c r="L367" s="44" t="s">
        <v>2373</v>
      </c>
      <c r="M367" s="43"/>
      <c r="N367" s="113" t="s">
        <v>1113</v>
      </c>
      <c r="O367" s="113"/>
      <c r="P367" s="113"/>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t="s">
        <v>1113</v>
      </c>
      <c r="AL367" s="319"/>
      <c r="AM367" s="319"/>
      <c r="AN367" s="319"/>
      <c r="AO367" s="44" t="s">
        <v>2334</v>
      </c>
      <c r="AP367" s="44"/>
      <c r="AQ367" s="236" t="str">
        <f>VLOOKUP(Table8[[#This Row],[Instrument]],Def_Targets!$D$73:$E$159,2,FALSE)</f>
        <v>S_Infraimprove</v>
      </c>
      <c r="AR367" s="233" t="str">
        <f>VLOOKUP(Table8[[#This Row],[Country Code]],Table29[],3,FALSE)</f>
        <v>Annex I</v>
      </c>
      <c r="AS367" s="233" t="str">
        <f>VLOOKUP(Table8[[#This Row],[Country Code]],Table29[],4,FALSE)</f>
        <v>Northern America</v>
      </c>
      <c r="AT367" s="233" t="str">
        <f>VLOOKUP(Table8[[#This Row],[Country Code]],Table29[],5,FALSE)</f>
        <v>High-income</v>
      </c>
      <c r="AU367" s="233" t="str">
        <f>VLOOKUP(Table8[[#This Row],[Country Code]],Table29[],6,FALSE)</f>
        <v>G20</v>
      </c>
      <c r="AV367" s="233" t="str">
        <f>VLOOKUP(Table8[[#This Row],[Country Code]],Table29[],7,FALSE)</f>
        <v>G7</v>
      </c>
      <c r="AW367" s="233" t="str">
        <f>VLOOKUP(Table8[[#This Row],[Country Code]],Table29[],8,FALSE)</f>
        <v>OECD</v>
      </c>
      <c r="AX367" s="233" t="str">
        <f>VLOOKUP(Table8[[#This Row],[Country Code]],Table29[],9,FALSE)</f>
        <v>no</v>
      </c>
      <c r="AY367" s="233" t="str">
        <f>VLOOKUP(Table8[[#This Row],[Country Code]],Table29[],10,FALSE)</f>
        <v>no</v>
      </c>
      <c r="AZ367" s="235">
        <f>VLOOKUP(Table8[[#This Row],[Country Code]],Table29[],23,FALSE)</f>
        <v>747.67802680902003</v>
      </c>
      <c r="BA367" s="235">
        <f>VLOOKUP(Table8[[#This Row],[Country Code]],Table29[],24,FALSE)</f>
        <v>169.021169926607</v>
      </c>
      <c r="BB367" s="320"/>
      <c r="BC367" s="320"/>
    </row>
    <row r="368" spans="1:55" ht="30" hidden="1" x14ac:dyDescent="0.25">
      <c r="A368" s="373">
        <v>21061</v>
      </c>
      <c r="B368" s="233" t="str">
        <f>VLOOKUP(Table8[[#This Row],[Document ID]],Table1[],2,FALSE)</f>
        <v>CAN</v>
      </c>
      <c r="C368" s="233" t="str">
        <f>VLOOKUP(Table8[[#This Row],[Document ID]],Table1[],3,FALSE)</f>
        <v>Canada</v>
      </c>
      <c r="D368" s="243" t="str">
        <f>VLOOKUP(Table8[[#This Row],[Document ID]],Table1[],5,FALSE)</f>
        <v>NDC</v>
      </c>
      <c r="E368" s="233" t="str">
        <f>VLOOKUP(Table8[[#This Row],[Document ID]],Table1[],7,FALSE)</f>
        <v>First NDC updated</v>
      </c>
      <c r="F368" s="233" t="str">
        <f>VLOOKUP(Table8[[#This Row],[Document ID]],Table1[],8,FALSE)</f>
        <v>NDC 1.1</v>
      </c>
      <c r="G368" s="233" t="str">
        <f>VLOOKUP(Table8[[#This Row],[Document ID]],Table1[],10,FALSE)</f>
        <v>Archived</v>
      </c>
      <c r="H368" s="44" t="s">
        <v>2329</v>
      </c>
      <c r="I368" s="44" t="s">
        <v>2330</v>
      </c>
      <c r="J368" s="44" t="s">
        <v>2414</v>
      </c>
      <c r="K368" s="44" t="s">
        <v>2720</v>
      </c>
      <c r="L368" s="44" t="s">
        <v>2333</v>
      </c>
      <c r="M368" s="43">
        <v>4</v>
      </c>
      <c r="N368" s="113"/>
      <c r="O368" s="113"/>
      <c r="P368" s="113"/>
      <c r="Q368" s="113"/>
      <c r="R368" s="113"/>
      <c r="S368" s="113"/>
      <c r="T368" s="113"/>
      <c r="U368" s="113" t="s">
        <v>1113</v>
      </c>
      <c r="V368" s="113"/>
      <c r="W368" s="113"/>
      <c r="X368" s="113" t="s">
        <v>1113</v>
      </c>
      <c r="Y368" s="113"/>
      <c r="Z368" s="113"/>
      <c r="AA368" s="113"/>
      <c r="AB368" s="113"/>
      <c r="AC368" s="113"/>
      <c r="AD368" s="113"/>
      <c r="AE368" s="113"/>
      <c r="AF368" s="113"/>
      <c r="AG368" s="113"/>
      <c r="AH368" s="113"/>
      <c r="AI368" s="113"/>
      <c r="AJ368" s="113"/>
      <c r="AK368" s="319" t="s">
        <v>1113</v>
      </c>
      <c r="AL368" s="319"/>
      <c r="AM368" s="319"/>
      <c r="AN368" s="319"/>
      <c r="AO368" s="43" t="s">
        <v>2477</v>
      </c>
      <c r="AP368" s="44"/>
      <c r="AQ368" s="236" t="str">
        <f>VLOOKUP(Table8[[#This Row],[Instrument]],Def_Targets!$D$73:$E$159,2,FALSE)</f>
        <v>I_ICEdiesel</v>
      </c>
      <c r="AR368" s="233" t="str">
        <f>VLOOKUP(Table8[[#This Row],[Country Code]],Table29[],3,FALSE)</f>
        <v>Annex I</v>
      </c>
      <c r="AS368" s="233" t="str">
        <f>VLOOKUP(Table8[[#This Row],[Country Code]],Table29[],4,FALSE)</f>
        <v>Northern America</v>
      </c>
      <c r="AT368" s="233" t="str">
        <f>VLOOKUP(Table8[[#This Row],[Country Code]],Table29[],5,FALSE)</f>
        <v>High-income</v>
      </c>
      <c r="AU368" s="233" t="str">
        <f>VLOOKUP(Table8[[#This Row],[Country Code]],Table29[],6,FALSE)</f>
        <v>G20</v>
      </c>
      <c r="AV368" s="233" t="str">
        <f>VLOOKUP(Table8[[#This Row],[Country Code]],Table29[],7,FALSE)</f>
        <v>G7</v>
      </c>
      <c r="AW368" s="233" t="str">
        <f>VLOOKUP(Table8[[#This Row],[Country Code]],Table29[],8,FALSE)</f>
        <v>OECD</v>
      </c>
      <c r="AX368" s="233" t="str">
        <f>VLOOKUP(Table8[[#This Row],[Country Code]],Table29[],9,FALSE)</f>
        <v>no</v>
      </c>
      <c r="AY368" s="233" t="str">
        <f>VLOOKUP(Table8[[#This Row],[Country Code]],Table29[],10,FALSE)</f>
        <v>no</v>
      </c>
      <c r="AZ368" s="235">
        <f>VLOOKUP(Table8[[#This Row],[Country Code]],Table29[],23,FALSE)</f>
        <v>747.67802680902003</v>
      </c>
      <c r="BA368" s="235">
        <f>VLOOKUP(Table8[[#This Row],[Country Code]],Table29[],24,FALSE)</f>
        <v>169.021169926607</v>
      </c>
      <c r="BB368" s="320"/>
      <c r="BC368" s="320"/>
    </row>
    <row r="369" spans="1:55" ht="30" hidden="1" x14ac:dyDescent="0.25">
      <c r="A369" s="373">
        <v>21061</v>
      </c>
      <c r="B369" s="233" t="str">
        <f>VLOOKUP(Table8[[#This Row],[Document ID]],Table1[],2,FALSE)</f>
        <v>CAN</v>
      </c>
      <c r="C369" s="233" t="str">
        <f>VLOOKUP(Table8[[#This Row],[Document ID]],Table1[],3,FALSE)</f>
        <v>Canada</v>
      </c>
      <c r="D369" s="243" t="str">
        <f>VLOOKUP(Table8[[#This Row],[Document ID]],Table1[],5,FALSE)</f>
        <v>NDC</v>
      </c>
      <c r="E369" s="233" t="str">
        <f>VLOOKUP(Table8[[#This Row],[Document ID]],Table1[],7,FALSE)</f>
        <v>First NDC updated</v>
      </c>
      <c r="F369" s="233" t="str">
        <f>VLOOKUP(Table8[[#This Row],[Document ID]],Table1[],8,FALSE)</f>
        <v>NDC 1.1</v>
      </c>
      <c r="G369" s="233" t="str">
        <f>VLOOKUP(Table8[[#This Row],[Document ID]],Table1[],10,FALSE)</f>
        <v>Archived</v>
      </c>
      <c r="H369" s="43" t="s">
        <v>2358</v>
      </c>
      <c r="I369" s="43" t="s">
        <v>2359</v>
      </c>
      <c r="J369" s="44" t="s">
        <v>2389</v>
      </c>
      <c r="K369" s="44" t="s">
        <v>2721</v>
      </c>
      <c r="L369" s="44" t="s">
        <v>2333</v>
      </c>
      <c r="M369" s="43">
        <v>4</v>
      </c>
      <c r="N369" s="113" t="s">
        <v>1113</v>
      </c>
      <c r="O369" s="113"/>
      <c r="P369" s="113"/>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t="s">
        <v>1113</v>
      </c>
      <c r="AL369" s="319"/>
      <c r="AM369" s="319"/>
      <c r="AN369" s="319"/>
      <c r="AO369" s="44" t="s">
        <v>2334</v>
      </c>
      <c r="AP369" s="43"/>
      <c r="AQ369" s="236" t="str">
        <f>VLOOKUP(Table8[[#This Row],[Instrument]],Def_Targets!$D$73:$E$159,2,FALSE)</f>
        <v>I_Emobilitypurchase</v>
      </c>
      <c r="AR369" s="233" t="str">
        <f>VLOOKUP(Table8[[#This Row],[Country Code]],Table29[],3,FALSE)</f>
        <v>Annex I</v>
      </c>
      <c r="AS369" s="233" t="str">
        <f>VLOOKUP(Table8[[#This Row],[Country Code]],Table29[],4,FALSE)</f>
        <v>Northern America</v>
      </c>
      <c r="AT369" s="233" t="str">
        <f>VLOOKUP(Table8[[#This Row],[Country Code]],Table29[],5,FALSE)</f>
        <v>High-income</v>
      </c>
      <c r="AU369" s="233" t="str">
        <f>VLOOKUP(Table8[[#This Row],[Country Code]],Table29[],6,FALSE)</f>
        <v>G20</v>
      </c>
      <c r="AV369" s="233" t="str">
        <f>VLOOKUP(Table8[[#This Row],[Country Code]],Table29[],7,FALSE)</f>
        <v>G7</v>
      </c>
      <c r="AW369" s="233" t="str">
        <f>VLOOKUP(Table8[[#This Row],[Country Code]],Table29[],8,FALSE)</f>
        <v>OECD</v>
      </c>
      <c r="AX369" s="233" t="str">
        <f>VLOOKUP(Table8[[#This Row],[Country Code]],Table29[],9,FALSE)</f>
        <v>no</v>
      </c>
      <c r="AY369" s="233" t="str">
        <f>VLOOKUP(Table8[[#This Row],[Country Code]],Table29[],10,FALSE)</f>
        <v>no</v>
      </c>
      <c r="AZ369" s="235">
        <f>VLOOKUP(Table8[[#This Row],[Country Code]],Table29[],23,FALSE)</f>
        <v>747.67802680902003</v>
      </c>
      <c r="BA369" s="235">
        <f>VLOOKUP(Table8[[#This Row],[Country Code]],Table29[],24,FALSE)</f>
        <v>169.021169926607</v>
      </c>
      <c r="BB369" s="320"/>
      <c r="BC369" s="320"/>
    </row>
    <row r="370" spans="1:55" hidden="1" x14ac:dyDescent="0.25">
      <c r="A370" s="373">
        <v>21061</v>
      </c>
      <c r="B370" s="233" t="str">
        <f>VLOOKUP(Table8[[#This Row],[Document ID]],Table1[],2,FALSE)</f>
        <v>CAN</v>
      </c>
      <c r="C370" s="233" t="str">
        <f>VLOOKUP(Table8[[#This Row],[Document ID]],Table1[],3,FALSE)</f>
        <v>Canada</v>
      </c>
      <c r="D370" s="243" t="str">
        <f>VLOOKUP(Table8[[#This Row],[Document ID]],Table1[],5,FALSE)</f>
        <v>NDC</v>
      </c>
      <c r="E370" s="233" t="str">
        <f>VLOOKUP(Table8[[#This Row],[Document ID]],Table1[],7,FALSE)</f>
        <v>First NDC updated</v>
      </c>
      <c r="F370" s="233" t="str">
        <f>VLOOKUP(Table8[[#This Row],[Document ID]],Table1[],8,FALSE)</f>
        <v>NDC 1.1</v>
      </c>
      <c r="G370" s="233" t="str">
        <f>VLOOKUP(Table8[[#This Row],[Document ID]],Table1[],10,FALSE)</f>
        <v>Archived</v>
      </c>
      <c r="H370" s="43" t="s">
        <v>2358</v>
      </c>
      <c r="I370" s="43" t="s">
        <v>2359</v>
      </c>
      <c r="J370" s="44" t="s">
        <v>2383</v>
      </c>
      <c r="K370" s="44" t="s">
        <v>2722</v>
      </c>
      <c r="L370" s="44" t="s">
        <v>2333</v>
      </c>
      <c r="M370" s="43">
        <v>4</v>
      </c>
      <c r="N370" s="113" t="s">
        <v>1113</v>
      </c>
      <c r="O370" s="113"/>
      <c r="P370" s="113"/>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t="s">
        <v>1113</v>
      </c>
      <c r="AL370" s="319"/>
      <c r="AM370" s="319"/>
      <c r="AN370" s="319"/>
      <c r="AO370" s="44" t="s">
        <v>2334</v>
      </c>
      <c r="AP370" s="43"/>
      <c r="AQ370" s="236" t="str">
        <f>VLOOKUP(Table8[[#This Row],[Instrument]],Def_Targets!$D$73:$E$159,2,FALSE)</f>
        <v>I_Emobilitycharging</v>
      </c>
      <c r="AR370" s="233" t="str">
        <f>VLOOKUP(Table8[[#This Row],[Country Code]],Table29[],3,FALSE)</f>
        <v>Annex I</v>
      </c>
      <c r="AS370" s="233" t="str">
        <f>VLOOKUP(Table8[[#This Row],[Country Code]],Table29[],4,FALSE)</f>
        <v>Northern America</v>
      </c>
      <c r="AT370" s="233" t="str">
        <f>VLOOKUP(Table8[[#This Row],[Country Code]],Table29[],5,FALSE)</f>
        <v>High-income</v>
      </c>
      <c r="AU370" s="233" t="str">
        <f>VLOOKUP(Table8[[#This Row],[Country Code]],Table29[],6,FALSE)</f>
        <v>G20</v>
      </c>
      <c r="AV370" s="233" t="str">
        <f>VLOOKUP(Table8[[#This Row],[Country Code]],Table29[],7,FALSE)</f>
        <v>G7</v>
      </c>
      <c r="AW370" s="233" t="str">
        <f>VLOOKUP(Table8[[#This Row],[Country Code]],Table29[],8,FALSE)</f>
        <v>OECD</v>
      </c>
      <c r="AX370" s="233" t="str">
        <f>VLOOKUP(Table8[[#This Row],[Country Code]],Table29[],9,FALSE)</f>
        <v>no</v>
      </c>
      <c r="AY370" s="233" t="str">
        <f>VLOOKUP(Table8[[#This Row],[Country Code]],Table29[],10,FALSE)</f>
        <v>no</v>
      </c>
      <c r="AZ370" s="235">
        <f>VLOOKUP(Table8[[#This Row],[Country Code]],Table29[],23,FALSE)</f>
        <v>747.67802680902003</v>
      </c>
      <c r="BA370" s="235">
        <f>VLOOKUP(Table8[[#This Row],[Country Code]],Table29[],24,FALSE)</f>
        <v>169.021169926607</v>
      </c>
      <c r="BB370" s="320"/>
      <c r="BC370" s="320"/>
    </row>
    <row r="371" spans="1:55" ht="30" hidden="1" x14ac:dyDescent="0.25">
      <c r="A371" s="373">
        <v>21061</v>
      </c>
      <c r="B371" s="233" t="str">
        <f>VLOOKUP(Table8[[#This Row],[Document ID]],Table1[],2,FALSE)</f>
        <v>CAN</v>
      </c>
      <c r="C371" s="233" t="str">
        <f>VLOOKUP(Table8[[#This Row],[Document ID]],Table1[],3,FALSE)</f>
        <v>Canada</v>
      </c>
      <c r="D371" s="243" t="str">
        <f>VLOOKUP(Table8[[#This Row],[Document ID]],Table1[],5,FALSE)</f>
        <v>NDC</v>
      </c>
      <c r="E371" s="233" t="str">
        <f>VLOOKUP(Table8[[#This Row],[Document ID]],Table1[],7,FALSE)</f>
        <v>First NDC updated</v>
      </c>
      <c r="F371" s="233" t="str">
        <f>VLOOKUP(Table8[[#This Row],[Document ID]],Table1[],8,FALSE)</f>
        <v>NDC 1.1</v>
      </c>
      <c r="G371" s="233" t="str">
        <f>VLOOKUP(Table8[[#This Row],[Document ID]],Table1[],10,FALSE)</f>
        <v>Archived</v>
      </c>
      <c r="H371" s="43" t="s">
        <v>2343</v>
      </c>
      <c r="I371" s="43" t="s">
        <v>2361</v>
      </c>
      <c r="J371" s="44" t="s">
        <v>2366</v>
      </c>
      <c r="K371" s="44" t="s">
        <v>2723</v>
      </c>
      <c r="L371" s="44" t="s">
        <v>2347</v>
      </c>
      <c r="M371" s="43">
        <v>4</v>
      </c>
      <c r="N371" s="113"/>
      <c r="O371" s="113"/>
      <c r="P371" s="113"/>
      <c r="Q371" s="113" t="s">
        <v>1113</v>
      </c>
      <c r="R371" s="113" t="s">
        <v>1113</v>
      </c>
      <c r="S371" s="113"/>
      <c r="T371" s="113"/>
      <c r="U371" s="113"/>
      <c r="V371" s="113"/>
      <c r="W371" s="113"/>
      <c r="X371" s="113"/>
      <c r="Y371" s="113"/>
      <c r="Z371" s="113"/>
      <c r="AA371" s="113"/>
      <c r="AB371" s="113"/>
      <c r="AC371" s="113"/>
      <c r="AD371" s="113"/>
      <c r="AE371" s="113"/>
      <c r="AF371" s="113"/>
      <c r="AG371" s="113"/>
      <c r="AH371" s="113"/>
      <c r="AI371" s="113"/>
      <c r="AJ371" s="113"/>
      <c r="AK371" s="319" t="s">
        <v>1113</v>
      </c>
      <c r="AL371" s="319"/>
      <c r="AM371" s="319"/>
      <c r="AN371" s="319"/>
      <c r="AO371" s="44" t="s">
        <v>2334</v>
      </c>
      <c r="AP371" s="43"/>
      <c r="AQ371" s="236" t="str">
        <f>VLOOKUP(Table8[[#This Row],[Instrument]],Def_Targets!$D$73:$E$159,2,FALSE)</f>
        <v>S_Activemobility</v>
      </c>
      <c r="AR371" s="233" t="str">
        <f>VLOOKUP(Table8[[#This Row],[Country Code]],Table29[],3,FALSE)</f>
        <v>Annex I</v>
      </c>
      <c r="AS371" s="233" t="str">
        <f>VLOOKUP(Table8[[#This Row],[Country Code]],Table29[],4,FALSE)</f>
        <v>Northern America</v>
      </c>
      <c r="AT371" s="233" t="str">
        <f>VLOOKUP(Table8[[#This Row],[Country Code]],Table29[],5,FALSE)</f>
        <v>High-income</v>
      </c>
      <c r="AU371" s="233" t="str">
        <f>VLOOKUP(Table8[[#This Row],[Country Code]],Table29[],6,FALSE)</f>
        <v>G20</v>
      </c>
      <c r="AV371" s="233" t="str">
        <f>VLOOKUP(Table8[[#This Row],[Country Code]],Table29[],7,FALSE)</f>
        <v>G7</v>
      </c>
      <c r="AW371" s="233" t="str">
        <f>VLOOKUP(Table8[[#This Row],[Country Code]],Table29[],8,FALSE)</f>
        <v>OECD</v>
      </c>
      <c r="AX371" s="233" t="str">
        <f>VLOOKUP(Table8[[#This Row],[Country Code]],Table29[],9,FALSE)</f>
        <v>no</v>
      </c>
      <c r="AY371" s="233" t="str">
        <f>VLOOKUP(Table8[[#This Row],[Country Code]],Table29[],10,FALSE)</f>
        <v>no</v>
      </c>
      <c r="AZ371" s="235">
        <f>VLOOKUP(Table8[[#This Row],[Country Code]],Table29[],23,FALSE)</f>
        <v>747.67802680902003</v>
      </c>
      <c r="BA371" s="235">
        <f>VLOOKUP(Table8[[#This Row],[Country Code]],Table29[],24,FALSE)</f>
        <v>169.021169926607</v>
      </c>
      <c r="BB371" s="320"/>
      <c r="BC371" s="320"/>
    </row>
    <row r="372" spans="1:55" hidden="1" x14ac:dyDescent="0.25">
      <c r="A372" s="373">
        <v>21061</v>
      </c>
      <c r="B372" s="233" t="str">
        <f>VLOOKUP(Table8[[#This Row],[Document ID]],Table1[],2,FALSE)</f>
        <v>CAN</v>
      </c>
      <c r="C372" s="233" t="str">
        <f>VLOOKUP(Table8[[#This Row],[Document ID]],Table1[],3,FALSE)</f>
        <v>Canada</v>
      </c>
      <c r="D372" s="243" t="str">
        <f>VLOOKUP(Table8[[#This Row],[Document ID]],Table1[],5,FALSE)</f>
        <v>NDC</v>
      </c>
      <c r="E372" s="233" t="str">
        <f>VLOOKUP(Table8[[#This Row],[Document ID]],Table1[],7,FALSE)</f>
        <v>First NDC updated</v>
      </c>
      <c r="F372" s="233" t="str">
        <f>VLOOKUP(Table8[[#This Row],[Document ID]],Table1[],8,FALSE)</f>
        <v>NDC 1.1</v>
      </c>
      <c r="G372" s="233" t="str">
        <f>VLOOKUP(Table8[[#This Row],[Document ID]],Table1[],10,FALSE)</f>
        <v>Archived</v>
      </c>
      <c r="H372" s="43" t="s">
        <v>2343</v>
      </c>
      <c r="I372" s="43" t="s">
        <v>2386</v>
      </c>
      <c r="J372" s="44" t="s">
        <v>2397</v>
      </c>
      <c r="K372" s="44" t="s">
        <v>2724</v>
      </c>
      <c r="L372" s="44" t="s">
        <v>2347</v>
      </c>
      <c r="M372" s="43">
        <v>4</v>
      </c>
      <c r="N372" s="113"/>
      <c r="O372" s="113"/>
      <c r="P372" s="113"/>
      <c r="Q372" s="113"/>
      <c r="R372" s="113"/>
      <c r="S372" s="113"/>
      <c r="T372" s="113"/>
      <c r="U372" s="113"/>
      <c r="V372" s="113"/>
      <c r="W372" s="113"/>
      <c r="X372" s="113"/>
      <c r="Y372" s="113" t="s">
        <v>1113</v>
      </c>
      <c r="Z372" s="113"/>
      <c r="AA372" s="113"/>
      <c r="AB372" s="113"/>
      <c r="AC372" s="113" t="s">
        <v>1113</v>
      </c>
      <c r="AD372" s="113"/>
      <c r="AE372" s="113"/>
      <c r="AF372" s="113"/>
      <c r="AG372" s="113"/>
      <c r="AH372" s="113"/>
      <c r="AI372" s="113"/>
      <c r="AJ372" s="113"/>
      <c r="AK372" s="319" t="s">
        <v>1113</v>
      </c>
      <c r="AL372" s="319"/>
      <c r="AM372" s="319"/>
      <c r="AN372" s="319"/>
      <c r="AO372" s="43" t="s">
        <v>2348</v>
      </c>
      <c r="AP372" s="43"/>
      <c r="AQ372" s="236" t="str">
        <f>VLOOKUP(Table8[[#This Row],[Instrument]],Def_Targets!$D$73:$E$159,2,FALSE)</f>
        <v>A_Finance</v>
      </c>
      <c r="AR372" s="233" t="str">
        <f>VLOOKUP(Table8[[#This Row],[Country Code]],Table29[],3,FALSE)</f>
        <v>Annex I</v>
      </c>
      <c r="AS372" s="233" t="str">
        <f>VLOOKUP(Table8[[#This Row],[Country Code]],Table29[],4,FALSE)</f>
        <v>Northern America</v>
      </c>
      <c r="AT372" s="233" t="str">
        <f>VLOOKUP(Table8[[#This Row],[Country Code]],Table29[],5,FALSE)</f>
        <v>High-income</v>
      </c>
      <c r="AU372" s="233" t="str">
        <f>VLOOKUP(Table8[[#This Row],[Country Code]],Table29[],6,FALSE)</f>
        <v>G20</v>
      </c>
      <c r="AV372" s="233" t="str">
        <f>VLOOKUP(Table8[[#This Row],[Country Code]],Table29[],7,FALSE)</f>
        <v>G7</v>
      </c>
      <c r="AW372" s="233" t="str">
        <f>VLOOKUP(Table8[[#This Row],[Country Code]],Table29[],8,FALSE)</f>
        <v>OECD</v>
      </c>
      <c r="AX372" s="233" t="str">
        <f>VLOOKUP(Table8[[#This Row],[Country Code]],Table29[],9,FALSE)</f>
        <v>no</v>
      </c>
      <c r="AY372" s="233" t="str">
        <f>VLOOKUP(Table8[[#This Row],[Country Code]],Table29[],10,FALSE)</f>
        <v>no</v>
      </c>
      <c r="AZ372" s="235">
        <f>VLOOKUP(Table8[[#This Row],[Country Code]],Table29[],23,FALSE)</f>
        <v>747.67802680902003</v>
      </c>
      <c r="BA372" s="235">
        <f>VLOOKUP(Table8[[#This Row],[Country Code]],Table29[],24,FALSE)</f>
        <v>169.021169926607</v>
      </c>
      <c r="BB372" s="320"/>
      <c r="BC372" s="320"/>
    </row>
    <row r="373" spans="1:55" hidden="1" x14ac:dyDescent="0.25">
      <c r="A373" s="373">
        <v>21061</v>
      </c>
      <c r="B373" s="233" t="str">
        <f>VLOOKUP(Table8[[#This Row],[Document ID]],Table1[],2,FALSE)</f>
        <v>CAN</v>
      </c>
      <c r="C373" s="233" t="str">
        <f>VLOOKUP(Table8[[#This Row],[Document ID]],Table1[],3,FALSE)</f>
        <v>Canada</v>
      </c>
      <c r="D373" s="243" t="str">
        <f>VLOOKUP(Table8[[#This Row],[Document ID]],Table1[],5,FALSE)</f>
        <v>NDC</v>
      </c>
      <c r="E373" s="233" t="str">
        <f>VLOOKUP(Table8[[#This Row],[Document ID]],Table1[],7,FALSE)</f>
        <v>First NDC updated</v>
      </c>
      <c r="F373" s="233" t="str">
        <f>VLOOKUP(Table8[[#This Row],[Document ID]],Table1[],8,FALSE)</f>
        <v>NDC 1.1</v>
      </c>
      <c r="G373" s="233" t="str">
        <f>VLOOKUP(Table8[[#This Row],[Document ID]],Table1[],10,FALSE)</f>
        <v>Archived</v>
      </c>
      <c r="H373" s="43" t="s">
        <v>2343</v>
      </c>
      <c r="I373" s="43" t="s">
        <v>2344</v>
      </c>
      <c r="J373" s="44" t="s">
        <v>2345</v>
      </c>
      <c r="K373" s="44" t="s">
        <v>2724</v>
      </c>
      <c r="L373" s="44" t="s">
        <v>2347</v>
      </c>
      <c r="M373" s="43">
        <v>4</v>
      </c>
      <c r="N373" s="113" t="s">
        <v>1113</v>
      </c>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319" t="s">
        <v>1113</v>
      </c>
      <c r="AL373" s="319"/>
      <c r="AM373" s="319"/>
      <c r="AN373" s="319"/>
      <c r="AO373" s="43" t="s">
        <v>2348</v>
      </c>
      <c r="AP373" s="43"/>
      <c r="AQ373" s="236" t="str">
        <f>VLOOKUP(Table8[[#This Row],[Instrument]],Def_Targets!$D$73:$E$159,2,FALSE)</f>
        <v>S_PublicTransport</v>
      </c>
      <c r="AR373" s="233" t="str">
        <f>VLOOKUP(Table8[[#This Row],[Country Code]],Table29[],3,FALSE)</f>
        <v>Annex I</v>
      </c>
      <c r="AS373" s="233" t="str">
        <f>VLOOKUP(Table8[[#This Row],[Country Code]],Table29[],4,FALSE)</f>
        <v>Northern America</v>
      </c>
      <c r="AT373" s="233" t="str">
        <f>VLOOKUP(Table8[[#This Row],[Country Code]],Table29[],5,FALSE)</f>
        <v>High-income</v>
      </c>
      <c r="AU373" s="233" t="str">
        <f>VLOOKUP(Table8[[#This Row],[Country Code]],Table29[],6,FALSE)</f>
        <v>G20</v>
      </c>
      <c r="AV373" s="233" t="str">
        <f>VLOOKUP(Table8[[#This Row],[Country Code]],Table29[],7,FALSE)</f>
        <v>G7</v>
      </c>
      <c r="AW373" s="233" t="str">
        <f>VLOOKUP(Table8[[#This Row],[Country Code]],Table29[],8,FALSE)</f>
        <v>OECD</v>
      </c>
      <c r="AX373" s="233" t="str">
        <f>VLOOKUP(Table8[[#This Row],[Country Code]],Table29[],9,FALSE)</f>
        <v>no</v>
      </c>
      <c r="AY373" s="233" t="str">
        <f>VLOOKUP(Table8[[#This Row],[Country Code]],Table29[],10,FALSE)</f>
        <v>no</v>
      </c>
      <c r="AZ373" s="235">
        <f>VLOOKUP(Table8[[#This Row],[Country Code]],Table29[],23,FALSE)</f>
        <v>747.67802680902003</v>
      </c>
      <c r="BA373" s="235">
        <f>VLOOKUP(Table8[[#This Row],[Country Code]],Table29[],24,FALSE)</f>
        <v>169.021169926607</v>
      </c>
      <c r="BB373" s="320"/>
      <c r="BC373" s="320"/>
    </row>
    <row r="374" spans="1:55" s="17" customFormat="1" ht="30" hidden="1" x14ac:dyDescent="0.25">
      <c r="A374" s="373">
        <v>21061</v>
      </c>
      <c r="B374" s="233" t="str">
        <f>VLOOKUP(Table8[[#This Row],[Document ID]],Table1[],2,FALSE)</f>
        <v>CAN</v>
      </c>
      <c r="C374" s="233" t="str">
        <f>VLOOKUP(Table8[[#This Row],[Document ID]],Table1[],3,FALSE)</f>
        <v>Canada</v>
      </c>
      <c r="D374" s="243" t="str">
        <f>VLOOKUP(Table8[[#This Row],[Document ID]],Table1[],5,FALSE)</f>
        <v>NDC</v>
      </c>
      <c r="E374" s="233" t="str">
        <f>VLOOKUP(Table8[[#This Row],[Document ID]],Table1[],7,FALSE)</f>
        <v>First NDC updated</v>
      </c>
      <c r="F374" s="233" t="str">
        <f>VLOOKUP(Table8[[#This Row],[Document ID]],Table1[],8,FALSE)</f>
        <v>NDC 1.1</v>
      </c>
      <c r="G374" s="233" t="str">
        <f>VLOOKUP(Table8[[#This Row],[Document ID]],Table1[],10,FALSE)</f>
        <v>Archived</v>
      </c>
      <c r="H374" s="44" t="s">
        <v>2338</v>
      </c>
      <c r="I374" s="44" t="s">
        <v>2339</v>
      </c>
      <c r="J374" s="44" t="s">
        <v>2413</v>
      </c>
      <c r="K374" s="44" t="s">
        <v>2725</v>
      </c>
      <c r="L374" s="44" t="s">
        <v>2333</v>
      </c>
      <c r="M374" s="43">
        <v>4</v>
      </c>
      <c r="N374" s="113"/>
      <c r="O374" s="113"/>
      <c r="P374" s="113"/>
      <c r="Q374" s="113"/>
      <c r="R374" s="113"/>
      <c r="S374" s="113"/>
      <c r="T374" s="113"/>
      <c r="U374" s="113" t="s">
        <v>1113</v>
      </c>
      <c r="V374" s="113"/>
      <c r="W374" s="113"/>
      <c r="X374" s="113" t="s">
        <v>1113</v>
      </c>
      <c r="Y374" s="113"/>
      <c r="Z374" s="113"/>
      <c r="AA374" s="113"/>
      <c r="AB374" s="113"/>
      <c r="AC374" s="113"/>
      <c r="AD374" s="113"/>
      <c r="AE374" s="113"/>
      <c r="AF374" s="113"/>
      <c r="AG374" s="113"/>
      <c r="AH374" s="113"/>
      <c r="AI374" s="113"/>
      <c r="AJ374" s="113"/>
      <c r="AK374" s="319" t="s">
        <v>1113</v>
      </c>
      <c r="AL374" s="319"/>
      <c r="AM374" s="319"/>
      <c r="AN374" s="319"/>
      <c r="AO374" s="44" t="s">
        <v>2334</v>
      </c>
      <c r="AP374" s="43"/>
      <c r="AQ374" s="236" t="str">
        <f>VLOOKUP(Table8[[#This Row],[Instrument]],Def_Targets!$D$73:$E$159,2,FALSE)</f>
        <v>I_Vehicleeff</v>
      </c>
      <c r="AR374" s="233" t="str">
        <f>VLOOKUP(Table8[[#This Row],[Country Code]],Table29[],3,FALSE)</f>
        <v>Annex I</v>
      </c>
      <c r="AS374" s="233" t="str">
        <f>VLOOKUP(Table8[[#This Row],[Country Code]],Table29[],4,FALSE)</f>
        <v>Northern America</v>
      </c>
      <c r="AT374" s="233" t="str">
        <f>VLOOKUP(Table8[[#This Row],[Country Code]],Table29[],5,FALSE)</f>
        <v>High-income</v>
      </c>
      <c r="AU374" s="233" t="str">
        <f>VLOOKUP(Table8[[#This Row],[Country Code]],Table29[],6,FALSE)</f>
        <v>G20</v>
      </c>
      <c r="AV374" s="233" t="str">
        <f>VLOOKUP(Table8[[#This Row],[Country Code]],Table29[],7,FALSE)</f>
        <v>G7</v>
      </c>
      <c r="AW374" s="233" t="str">
        <f>VLOOKUP(Table8[[#This Row],[Country Code]],Table29[],8,FALSE)</f>
        <v>OECD</v>
      </c>
      <c r="AX374" s="233" t="str">
        <f>VLOOKUP(Table8[[#This Row],[Country Code]],Table29[],9,FALSE)</f>
        <v>no</v>
      </c>
      <c r="AY374" s="233" t="str">
        <f>VLOOKUP(Table8[[#This Row],[Country Code]],Table29[],10,FALSE)</f>
        <v>no</v>
      </c>
      <c r="AZ374" s="235">
        <f>VLOOKUP(Table8[[#This Row],[Country Code]],Table29[],23,FALSE)</f>
        <v>747.67802680902003</v>
      </c>
      <c r="BA374" s="235">
        <f>VLOOKUP(Table8[[#This Row],[Country Code]],Table29[],24,FALSE)</f>
        <v>169.021169926607</v>
      </c>
      <c r="BB374" s="320"/>
      <c r="BC374" s="320"/>
    </row>
    <row r="375" spans="1:55" ht="30" hidden="1" x14ac:dyDescent="0.25">
      <c r="A375" s="373">
        <v>17528</v>
      </c>
      <c r="B375" s="233" t="str">
        <f>VLOOKUP(Table8[[#This Row],[Document ID]],Table1[],2,FALSE)</f>
        <v>BEL</v>
      </c>
      <c r="C375" s="233" t="str">
        <f>VLOOKUP(Table8[[#This Row],[Document ID]],Table1[],3,FALSE)</f>
        <v>Belgium</v>
      </c>
      <c r="D375" s="243" t="str">
        <f>VLOOKUP(Table8[[#This Row],[Document ID]],Table1[],5,FALSE)</f>
        <v>LTS</v>
      </c>
      <c r="E375" s="233" t="str">
        <f>VLOOKUP(Table8[[#This Row],[Document ID]],Table1[],7,FALSE)</f>
        <v>EU-LTS</v>
      </c>
      <c r="F375" s="233" t="str">
        <f>VLOOKUP(Table8[[#This Row],[Document ID]],Table1[],8,FALSE)</f>
        <v>LTS 1.0</v>
      </c>
      <c r="G375" s="233" t="str">
        <f>VLOOKUP(Table8[[#This Row],[Document ID]],Table1[],10,FALSE)</f>
        <v>Active</v>
      </c>
      <c r="H375" s="43" t="s">
        <v>2343</v>
      </c>
      <c r="I375" s="43" t="s">
        <v>2377</v>
      </c>
      <c r="J375" s="44" t="s">
        <v>2394</v>
      </c>
      <c r="K375" s="44" t="s">
        <v>2726</v>
      </c>
      <c r="L375" s="44" t="s">
        <v>2396</v>
      </c>
      <c r="M375" s="43">
        <v>7</v>
      </c>
      <c r="N375" s="113" t="s">
        <v>1113</v>
      </c>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319" t="s">
        <v>1113</v>
      </c>
      <c r="AL375" s="113"/>
      <c r="AM375" s="113"/>
      <c r="AN375" s="113"/>
      <c r="AO375" s="44" t="s">
        <v>2334</v>
      </c>
      <c r="AP375" s="43"/>
      <c r="AQ375" s="236" t="str">
        <f>VLOOKUP(Table8[[#This Row],[Instrument]],Def_Targets!$D$73:$E$159,2,FALSE)</f>
        <v>A_TDM</v>
      </c>
      <c r="AR375" s="233" t="str">
        <f>VLOOKUP(Table8[[#This Row],[Country Code]],Table29[],3,FALSE)</f>
        <v>Annex I</v>
      </c>
      <c r="AS375" s="233" t="str">
        <f>VLOOKUP(Table8[[#This Row],[Country Code]],Table29[],4,FALSE)</f>
        <v>Europe</v>
      </c>
      <c r="AT375" s="233" t="str">
        <f>VLOOKUP(Table8[[#This Row],[Country Code]],Table29[],5,FALSE)</f>
        <v>High-income</v>
      </c>
      <c r="AU375" s="233" t="str">
        <f>VLOOKUP(Table8[[#This Row],[Country Code]],Table29[],6,FALSE)</f>
        <v>no</v>
      </c>
      <c r="AV375" s="233" t="str">
        <f>VLOOKUP(Table8[[#This Row],[Country Code]],Table29[],7,FALSE)</f>
        <v>no</v>
      </c>
      <c r="AW375" s="233" t="str">
        <f>VLOOKUP(Table8[[#This Row],[Country Code]],Table29[],8,FALSE)</f>
        <v>OECD</v>
      </c>
      <c r="AX375" s="233" t="str">
        <f>VLOOKUP(Table8[[#This Row],[Country Code]],Table29[],9,FALSE)</f>
        <v>EU27</v>
      </c>
      <c r="AY375" s="233" t="str">
        <f>VLOOKUP(Table8[[#This Row],[Country Code]],Table29[],10,FALSE)</f>
        <v>no</v>
      </c>
      <c r="AZ375" s="235">
        <f>VLOOKUP(Table8[[#This Row],[Country Code]],Table29[],23,FALSE)</f>
        <v>106.37018790875</v>
      </c>
      <c r="BA375" s="235">
        <f>VLOOKUP(Table8[[#This Row],[Country Code]],Table29[],24,FALSE)</f>
        <v>22.197662702188101</v>
      </c>
      <c r="BB375" s="320"/>
      <c r="BC375" s="320"/>
    </row>
    <row r="376" spans="1:55" hidden="1" x14ac:dyDescent="0.25">
      <c r="A376" s="373">
        <v>17528</v>
      </c>
      <c r="B376" s="233" t="str">
        <f>VLOOKUP(Table8[[#This Row],[Document ID]],Table1[],2,FALSE)</f>
        <v>BEL</v>
      </c>
      <c r="C376" s="233" t="str">
        <f>VLOOKUP(Table8[[#This Row],[Document ID]],Table1[],3,FALSE)</f>
        <v>Belgium</v>
      </c>
      <c r="D376" s="243" t="str">
        <f>VLOOKUP(Table8[[#This Row],[Document ID]],Table1[],5,FALSE)</f>
        <v>LTS</v>
      </c>
      <c r="E376" s="233" t="str">
        <f>VLOOKUP(Table8[[#This Row],[Document ID]],Table1[],7,FALSE)</f>
        <v>EU-LTS</v>
      </c>
      <c r="F376" s="233" t="str">
        <f>VLOOKUP(Table8[[#This Row],[Document ID]],Table1[],8,FALSE)</f>
        <v>LTS 1.0</v>
      </c>
      <c r="G376" s="233" t="str">
        <f>VLOOKUP(Table8[[#This Row],[Document ID]],Table1[],10,FALSE)</f>
        <v>Active</v>
      </c>
      <c r="H376" s="43" t="s">
        <v>2350</v>
      </c>
      <c r="I376" s="43" t="s">
        <v>2370</v>
      </c>
      <c r="J376" s="44" t="s">
        <v>2418</v>
      </c>
      <c r="K376" s="44" t="s">
        <v>2727</v>
      </c>
      <c r="L376" s="44" t="s">
        <v>2380</v>
      </c>
      <c r="M376" s="43">
        <v>7</v>
      </c>
      <c r="N376" s="113" t="s">
        <v>1113</v>
      </c>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319" t="s">
        <v>1113</v>
      </c>
      <c r="AL376" s="113"/>
      <c r="AM376" s="113"/>
      <c r="AN376" s="113"/>
      <c r="AO376" s="44" t="s">
        <v>2334</v>
      </c>
      <c r="AP376" s="43"/>
      <c r="AQ376" s="236" t="str">
        <f>VLOOKUP(Table8[[#This Row],[Instrument]],Def_Targets!$D$73:$E$159,2,FALSE)</f>
        <v>A_Complan</v>
      </c>
      <c r="AR376" s="233" t="str">
        <f>VLOOKUP(Table8[[#This Row],[Country Code]],Table29[],3,FALSE)</f>
        <v>Annex I</v>
      </c>
      <c r="AS376" s="233" t="str">
        <f>VLOOKUP(Table8[[#This Row],[Country Code]],Table29[],4,FALSE)</f>
        <v>Europe</v>
      </c>
      <c r="AT376" s="233" t="str">
        <f>VLOOKUP(Table8[[#This Row],[Country Code]],Table29[],5,FALSE)</f>
        <v>High-income</v>
      </c>
      <c r="AU376" s="233" t="str">
        <f>VLOOKUP(Table8[[#This Row],[Country Code]],Table29[],6,FALSE)</f>
        <v>no</v>
      </c>
      <c r="AV376" s="233" t="str">
        <f>VLOOKUP(Table8[[#This Row],[Country Code]],Table29[],7,FALSE)</f>
        <v>no</v>
      </c>
      <c r="AW376" s="233" t="str">
        <f>VLOOKUP(Table8[[#This Row],[Country Code]],Table29[],8,FALSE)</f>
        <v>OECD</v>
      </c>
      <c r="AX376" s="233" t="str">
        <f>VLOOKUP(Table8[[#This Row],[Country Code]],Table29[],9,FALSE)</f>
        <v>EU27</v>
      </c>
      <c r="AY376" s="233" t="str">
        <f>VLOOKUP(Table8[[#This Row],[Country Code]],Table29[],10,FALSE)</f>
        <v>no</v>
      </c>
      <c r="AZ376" s="235">
        <f>VLOOKUP(Table8[[#This Row],[Country Code]],Table29[],23,FALSE)</f>
        <v>106.37018790875</v>
      </c>
      <c r="BA376" s="235">
        <f>VLOOKUP(Table8[[#This Row],[Country Code]],Table29[],24,FALSE)</f>
        <v>22.197662702188101</v>
      </c>
      <c r="BB376" s="320"/>
      <c r="BC376" s="320"/>
    </row>
    <row r="377" spans="1:55" ht="30" hidden="1" x14ac:dyDescent="0.25">
      <c r="A377" s="373">
        <v>17528</v>
      </c>
      <c r="B377" s="233" t="str">
        <f>VLOOKUP(Table8[[#This Row],[Document ID]],Table1[],2,FALSE)</f>
        <v>BEL</v>
      </c>
      <c r="C377" s="233" t="str">
        <f>VLOOKUP(Table8[[#This Row],[Document ID]],Table1[],3,FALSE)</f>
        <v>Belgium</v>
      </c>
      <c r="D377" s="243" t="str">
        <f>VLOOKUP(Table8[[#This Row],[Document ID]],Table1[],5,FALSE)</f>
        <v>LTS</v>
      </c>
      <c r="E377" s="233" t="str">
        <f>VLOOKUP(Table8[[#This Row],[Document ID]],Table1[],7,FALSE)</f>
        <v>EU-LTS</v>
      </c>
      <c r="F377" s="233" t="str">
        <f>VLOOKUP(Table8[[#This Row],[Document ID]],Table1[],8,FALSE)</f>
        <v>LTS 1.0</v>
      </c>
      <c r="G377" s="233" t="str">
        <f>VLOOKUP(Table8[[#This Row],[Document ID]],Table1[],10,FALSE)</f>
        <v>Active</v>
      </c>
      <c r="H377" s="43" t="s">
        <v>2350</v>
      </c>
      <c r="I377" s="43" t="s">
        <v>2351</v>
      </c>
      <c r="J377" s="44" t="s">
        <v>2447</v>
      </c>
      <c r="K377" s="44" t="s">
        <v>2728</v>
      </c>
      <c r="L377" s="44" t="s">
        <v>2380</v>
      </c>
      <c r="M377" s="43">
        <v>7</v>
      </c>
      <c r="N377" s="113" t="s">
        <v>1113</v>
      </c>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319" t="s">
        <v>1113</v>
      </c>
      <c r="AL377" s="113"/>
      <c r="AM377" s="113"/>
      <c r="AN377" s="113"/>
      <c r="AO377" s="43" t="s">
        <v>2353</v>
      </c>
      <c r="AP377" s="43"/>
      <c r="AQ377" s="236" t="str">
        <f>VLOOKUP(Table8[[#This Row],[Instrument]],Def_Targets!$D$73:$E$159,2,FALSE)</f>
        <v>I_Freighteff</v>
      </c>
      <c r="AR377" s="233" t="str">
        <f>VLOOKUP(Table8[[#This Row],[Country Code]],Table29[],3,FALSE)</f>
        <v>Annex I</v>
      </c>
      <c r="AS377" s="233" t="str">
        <f>VLOOKUP(Table8[[#This Row],[Country Code]],Table29[],4,FALSE)</f>
        <v>Europe</v>
      </c>
      <c r="AT377" s="233" t="str">
        <f>VLOOKUP(Table8[[#This Row],[Country Code]],Table29[],5,FALSE)</f>
        <v>High-income</v>
      </c>
      <c r="AU377" s="233" t="str">
        <f>VLOOKUP(Table8[[#This Row],[Country Code]],Table29[],6,FALSE)</f>
        <v>no</v>
      </c>
      <c r="AV377" s="233" t="str">
        <f>VLOOKUP(Table8[[#This Row],[Country Code]],Table29[],7,FALSE)</f>
        <v>no</v>
      </c>
      <c r="AW377" s="233" t="str">
        <f>VLOOKUP(Table8[[#This Row],[Country Code]],Table29[],8,FALSE)</f>
        <v>OECD</v>
      </c>
      <c r="AX377" s="233" t="str">
        <f>VLOOKUP(Table8[[#This Row],[Country Code]],Table29[],9,FALSE)</f>
        <v>EU27</v>
      </c>
      <c r="AY377" s="233" t="str">
        <f>VLOOKUP(Table8[[#This Row],[Country Code]],Table29[],10,FALSE)</f>
        <v>no</v>
      </c>
      <c r="AZ377" s="235">
        <f>VLOOKUP(Table8[[#This Row],[Country Code]],Table29[],23,FALSE)</f>
        <v>106.37018790875</v>
      </c>
      <c r="BA377" s="235">
        <f>VLOOKUP(Table8[[#This Row],[Country Code]],Table29[],24,FALSE)</f>
        <v>22.197662702188101</v>
      </c>
      <c r="BB377" s="320"/>
      <c r="BC377" s="320"/>
    </row>
    <row r="378" spans="1:55" ht="45" hidden="1" x14ac:dyDescent="0.25">
      <c r="A378" s="373">
        <v>17528</v>
      </c>
      <c r="B378" s="233" t="str">
        <f>VLOOKUP(Table8[[#This Row],[Document ID]],Table1[],2,FALSE)</f>
        <v>BEL</v>
      </c>
      <c r="C378" s="233" t="str">
        <f>VLOOKUP(Table8[[#This Row],[Document ID]],Table1[],3,FALSE)</f>
        <v>Belgium</v>
      </c>
      <c r="D378" s="243" t="str">
        <f>VLOOKUP(Table8[[#This Row],[Document ID]],Table1[],5,FALSE)</f>
        <v>LTS</v>
      </c>
      <c r="E378" s="233" t="str">
        <f>VLOOKUP(Table8[[#This Row],[Document ID]],Table1[],7,FALSE)</f>
        <v>EU-LTS</v>
      </c>
      <c r="F378" s="233" t="str">
        <f>VLOOKUP(Table8[[#This Row],[Document ID]],Table1[],8,FALSE)</f>
        <v>LTS 1.0</v>
      </c>
      <c r="G378" s="233" t="str">
        <f>VLOOKUP(Table8[[#This Row],[Document ID]],Table1[],10,FALSE)</f>
        <v>Active</v>
      </c>
      <c r="H378" s="43" t="s">
        <v>2350</v>
      </c>
      <c r="I378" s="43" t="s">
        <v>2456</v>
      </c>
      <c r="J378" s="44" t="s">
        <v>2457</v>
      </c>
      <c r="K378" s="44" t="s">
        <v>2729</v>
      </c>
      <c r="L378" s="44" t="s">
        <v>2347</v>
      </c>
      <c r="M378" s="43">
        <v>7</v>
      </c>
      <c r="N378" s="113" t="s">
        <v>1113</v>
      </c>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319" t="s">
        <v>1113</v>
      </c>
      <c r="AL378" s="113"/>
      <c r="AM378" s="113"/>
      <c r="AN378" s="113"/>
      <c r="AO378" s="44" t="s">
        <v>2334</v>
      </c>
      <c r="AP378" s="43"/>
      <c r="AQ378" s="236" t="str">
        <f>VLOOKUP(Table8[[#This Row],[Instrument]],Def_Targets!$D$73:$E$159,2,FALSE)</f>
        <v>S_Infraimprove</v>
      </c>
      <c r="AR378" s="233" t="str">
        <f>VLOOKUP(Table8[[#This Row],[Country Code]],Table29[],3,FALSE)</f>
        <v>Annex I</v>
      </c>
      <c r="AS378" s="233" t="str">
        <f>VLOOKUP(Table8[[#This Row],[Country Code]],Table29[],4,FALSE)</f>
        <v>Europe</v>
      </c>
      <c r="AT378" s="233" t="str">
        <f>VLOOKUP(Table8[[#This Row],[Country Code]],Table29[],5,FALSE)</f>
        <v>High-income</v>
      </c>
      <c r="AU378" s="233" t="str">
        <f>VLOOKUP(Table8[[#This Row],[Country Code]],Table29[],6,FALSE)</f>
        <v>no</v>
      </c>
      <c r="AV378" s="233" t="str">
        <f>VLOOKUP(Table8[[#This Row],[Country Code]],Table29[],7,FALSE)</f>
        <v>no</v>
      </c>
      <c r="AW378" s="233" t="str">
        <f>VLOOKUP(Table8[[#This Row],[Country Code]],Table29[],8,FALSE)</f>
        <v>OECD</v>
      </c>
      <c r="AX378" s="233" t="str">
        <f>VLOOKUP(Table8[[#This Row],[Country Code]],Table29[],9,FALSE)</f>
        <v>EU27</v>
      </c>
      <c r="AY378" s="233" t="str">
        <f>VLOOKUP(Table8[[#This Row],[Country Code]],Table29[],10,FALSE)</f>
        <v>no</v>
      </c>
      <c r="AZ378" s="235">
        <f>VLOOKUP(Table8[[#This Row],[Country Code]],Table29[],23,FALSE)</f>
        <v>106.37018790875</v>
      </c>
      <c r="BA378" s="235">
        <f>VLOOKUP(Table8[[#This Row],[Country Code]],Table29[],24,FALSE)</f>
        <v>22.197662702188101</v>
      </c>
      <c r="BB378" s="320"/>
      <c r="BC378" s="320"/>
    </row>
    <row r="379" spans="1:55" ht="75" hidden="1" x14ac:dyDescent="0.25">
      <c r="A379" s="373">
        <v>17528</v>
      </c>
      <c r="B379" s="233" t="str">
        <f>VLOOKUP(Table8[[#This Row],[Document ID]],Table1[],2,FALSE)</f>
        <v>BEL</v>
      </c>
      <c r="C379" s="233" t="str">
        <f>VLOOKUP(Table8[[#This Row],[Document ID]],Table1[],3,FALSE)</f>
        <v>Belgium</v>
      </c>
      <c r="D379" s="243" t="str">
        <f>VLOOKUP(Table8[[#This Row],[Document ID]],Table1[],5,FALSE)</f>
        <v>LTS</v>
      </c>
      <c r="E379" s="233" t="str">
        <f>VLOOKUP(Table8[[#This Row],[Document ID]],Table1[],7,FALSE)</f>
        <v>EU-LTS</v>
      </c>
      <c r="F379" s="233" t="str">
        <f>VLOOKUP(Table8[[#This Row],[Document ID]],Table1[],8,FALSE)</f>
        <v>LTS 1.0</v>
      </c>
      <c r="G379" s="233" t="str">
        <f>VLOOKUP(Table8[[#This Row],[Document ID]],Table1[],10,FALSE)</f>
        <v>Active</v>
      </c>
      <c r="H379" s="43" t="s">
        <v>2343</v>
      </c>
      <c r="I379" s="43" t="s">
        <v>2361</v>
      </c>
      <c r="J379" s="44" t="s">
        <v>2366</v>
      </c>
      <c r="K379" s="44" t="s">
        <v>2730</v>
      </c>
      <c r="L379" s="44" t="s">
        <v>2347</v>
      </c>
      <c r="M379" s="43">
        <v>8</v>
      </c>
      <c r="N379" s="113"/>
      <c r="O379" s="113"/>
      <c r="P379" s="113" t="s">
        <v>1113</v>
      </c>
      <c r="Q379" s="113" t="s">
        <v>1113</v>
      </c>
      <c r="R379" s="113" t="s">
        <v>1113</v>
      </c>
      <c r="S379" s="113"/>
      <c r="T379" s="113"/>
      <c r="U379" s="113"/>
      <c r="V379" s="113"/>
      <c r="W379" s="113"/>
      <c r="X379" s="113"/>
      <c r="Y379" s="113"/>
      <c r="Z379" s="113"/>
      <c r="AA379" s="113"/>
      <c r="AB379" s="113"/>
      <c r="AC379" s="113"/>
      <c r="AD379" s="113"/>
      <c r="AE379" s="113"/>
      <c r="AF379" s="113"/>
      <c r="AG379" s="113"/>
      <c r="AH379" s="113"/>
      <c r="AI379" s="113"/>
      <c r="AJ379" s="113"/>
      <c r="AK379" s="319" t="s">
        <v>1113</v>
      </c>
      <c r="AL379" s="113"/>
      <c r="AM379" s="113"/>
      <c r="AN379" s="113"/>
      <c r="AO379" s="44" t="s">
        <v>2334</v>
      </c>
      <c r="AP379" s="43"/>
      <c r="AQ379" s="236" t="str">
        <f>VLOOKUP(Table8[[#This Row],[Instrument]],Def_Targets!$D$73:$E$159,2,FALSE)</f>
        <v>S_Activemobility</v>
      </c>
      <c r="AR379" s="233" t="str">
        <f>VLOOKUP(Table8[[#This Row],[Country Code]],Table29[],3,FALSE)</f>
        <v>Annex I</v>
      </c>
      <c r="AS379" s="233" t="str">
        <f>VLOOKUP(Table8[[#This Row],[Country Code]],Table29[],4,FALSE)</f>
        <v>Europe</v>
      </c>
      <c r="AT379" s="233" t="str">
        <f>VLOOKUP(Table8[[#This Row],[Country Code]],Table29[],5,FALSE)</f>
        <v>High-income</v>
      </c>
      <c r="AU379" s="233" t="str">
        <f>VLOOKUP(Table8[[#This Row],[Country Code]],Table29[],6,FALSE)</f>
        <v>no</v>
      </c>
      <c r="AV379" s="233" t="str">
        <f>VLOOKUP(Table8[[#This Row],[Country Code]],Table29[],7,FALSE)</f>
        <v>no</v>
      </c>
      <c r="AW379" s="233" t="str">
        <f>VLOOKUP(Table8[[#This Row],[Country Code]],Table29[],8,FALSE)</f>
        <v>OECD</v>
      </c>
      <c r="AX379" s="233" t="str">
        <f>VLOOKUP(Table8[[#This Row],[Country Code]],Table29[],9,FALSE)</f>
        <v>EU27</v>
      </c>
      <c r="AY379" s="233" t="str">
        <f>VLOOKUP(Table8[[#This Row],[Country Code]],Table29[],10,FALSE)</f>
        <v>no</v>
      </c>
      <c r="AZ379" s="235">
        <f>VLOOKUP(Table8[[#This Row],[Country Code]],Table29[],23,FALSE)</f>
        <v>106.37018790875</v>
      </c>
      <c r="BA379" s="235">
        <f>VLOOKUP(Table8[[#This Row],[Country Code]],Table29[],24,FALSE)</f>
        <v>22.197662702188101</v>
      </c>
      <c r="BB379" s="320"/>
      <c r="BC379" s="320"/>
    </row>
    <row r="380" spans="1:55" ht="75" hidden="1" x14ac:dyDescent="0.25">
      <c r="A380" s="373">
        <v>17528</v>
      </c>
      <c r="B380" s="233" t="str">
        <f>VLOOKUP(Table8[[#This Row],[Document ID]],Table1[],2,FALSE)</f>
        <v>BEL</v>
      </c>
      <c r="C380" s="233" t="str">
        <f>VLOOKUP(Table8[[#This Row],[Document ID]],Table1[],3,FALSE)</f>
        <v>Belgium</v>
      </c>
      <c r="D380" s="243" t="str">
        <f>VLOOKUP(Table8[[#This Row],[Document ID]],Table1[],5,FALSE)</f>
        <v>LTS</v>
      </c>
      <c r="E380" s="233" t="str">
        <f>VLOOKUP(Table8[[#This Row],[Document ID]],Table1[],7,FALSE)</f>
        <v>EU-LTS</v>
      </c>
      <c r="F380" s="233" t="str">
        <f>VLOOKUP(Table8[[#This Row],[Document ID]],Table1[],8,FALSE)</f>
        <v>LTS 1.0</v>
      </c>
      <c r="G380" s="233" t="str">
        <f>VLOOKUP(Table8[[#This Row],[Document ID]],Table1[],10,FALSE)</f>
        <v>Active</v>
      </c>
      <c r="H380" s="43" t="s">
        <v>2358</v>
      </c>
      <c r="I380" s="43" t="s">
        <v>2359</v>
      </c>
      <c r="J380" s="44" t="s">
        <v>2360</v>
      </c>
      <c r="K380" s="44" t="s">
        <v>2730</v>
      </c>
      <c r="L380" s="44" t="s">
        <v>2347</v>
      </c>
      <c r="M380" s="43">
        <v>9</v>
      </c>
      <c r="N380" s="113" t="s">
        <v>1113</v>
      </c>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319" t="s">
        <v>1113</v>
      </c>
      <c r="AL380" s="113"/>
      <c r="AM380" s="113"/>
      <c r="AN380" s="113"/>
      <c r="AO380" s="44" t="s">
        <v>2334</v>
      </c>
      <c r="AP380" s="43"/>
      <c r="AQ380" s="236" t="str">
        <f>VLOOKUP(Table8[[#This Row],[Instrument]],Def_Targets!$D$73:$E$159,2,FALSE)</f>
        <v>I_Emobility</v>
      </c>
      <c r="AR380" s="233" t="str">
        <f>VLOOKUP(Table8[[#This Row],[Country Code]],Table29[],3,FALSE)</f>
        <v>Annex I</v>
      </c>
      <c r="AS380" s="233" t="str">
        <f>VLOOKUP(Table8[[#This Row],[Country Code]],Table29[],4,FALSE)</f>
        <v>Europe</v>
      </c>
      <c r="AT380" s="233" t="str">
        <f>VLOOKUP(Table8[[#This Row],[Country Code]],Table29[],5,FALSE)</f>
        <v>High-income</v>
      </c>
      <c r="AU380" s="233" t="str">
        <f>VLOOKUP(Table8[[#This Row],[Country Code]],Table29[],6,FALSE)</f>
        <v>no</v>
      </c>
      <c r="AV380" s="233" t="str">
        <f>VLOOKUP(Table8[[#This Row],[Country Code]],Table29[],7,FALSE)</f>
        <v>no</v>
      </c>
      <c r="AW380" s="233" t="str">
        <f>VLOOKUP(Table8[[#This Row],[Country Code]],Table29[],8,FALSE)</f>
        <v>OECD</v>
      </c>
      <c r="AX380" s="233" t="str">
        <f>VLOOKUP(Table8[[#This Row],[Country Code]],Table29[],9,FALSE)</f>
        <v>EU27</v>
      </c>
      <c r="AY380" s="233" t="str">
        <f>VLOOKUP(Table8[[#This Row],[Country Code]],Table29[],10,FALSE)</f>
        <v>no</v>
      </c>
      <c r="AZ380" s="235">
        <f>VLOOKUP(Table8[[#This Row],[Country Code]],Table29[],23,FALSE)</f>
        <v>106.37018790875</v>
      </c>
      <c r="BA380" s="235">
        <f>VLOOKUP(Table8[[#This Row],[Country Code]],Table29[],24,FALSE)</f>
        <v>22.197662702188101</v>
      </c>
      <c r="BB380" s="320"/>
      <c r="BC380" s="320"/>
    </row>
    <row r="381" spans="1:55" ht="75" hidden="1" x14ac:dyDescent="0.25">
      <c r="A381" s="373">
        <v>17528</v>
      </c>
      <c r="B381" s="233" t="str">
        <f>VLOOKUP(Table8[[#This Row],[Document ID]],Table1[],2,FALSE)</f>
        <v>BEL</v>
      </c>
      <c r="C381" s="233" t="str">
        <f>VLOOKUP(Table8[[#This Row],[Document ID]],Table1[],3,FALSE)</f>
        <v>Belgium</v>
      </c>
      <c r="D381" s="243" t="str">
        <f>VLOOKUP(Table8[[#This Row],[Document ID]],Table1[],5,FALSE)</f>
        <v>LTS</v>
      </c>
      <c r="E381" s="233" t="str">
        <f>VLOOKUP(Table8[[#This Row],[Document ID]],Table1[],7,FALSE)</f>
        <v>EU-LTS</v>
      </c>
      <c r="F381" s="233" t="str">
        <f>VLOOKUP(Table8[[#This Row],[Document ID]],Table1[],8,FALSE)</f>
        <v>LTS 1.0</v>
      </c>
      <c r="G381" s="233" t="str">
        <f>VLOOKUP(Table8[[#This Row],[Document ID]],Table1[],10,FALSE)</f>
        <v>Active</v>
      </c>
      <c r="H381" s="43" t="s">
        <v>2343</v>
      </c>
      <c r="I381" s="43" t="s">
        <v>2344</v>
      </c>
      <c r="J381" s="44" t="s">
        <v>2345</v>
      </c>
      <c r="K381" s="44" t="s">
        <v>2730</v>
      </c>
      <c r="L381" s="44" t="s">
        <v>2347</v>
      </c>
      <c r="M381" s="43">
        <v>10</v>
      </c>
      <c r="N381" s="113" t="s">
        <v>1113</v>
      </c>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319" t="s">
        <v>1113</v>
      </c>
      <c r="AL381" s="113"/>
      <c r="AM381" s="113"/>
      <c r="AN381" s="113"/>
      <c r="AO381" s="44" t="s">
        <v>2334</v>
      </c>
      <c r="AP381" s="43"/>
      <c r="AQ381" s="236" t="str">
        <f>VLOOKUP(Table8[[#This Row],[Instrument]],Def_Targets!$D$73:$E$159,2,FALSE)</f>
        <v>S_PublicTransport</v>
      </c>
      <c r="AR381" s="233" t="str">
        <f>VLOOKUP(Table8[[#This Row],[Country Code]],Table29[],3,FALSE)</f>
        <v>Annex I</v>
      </c>
      <c r="AS381" s="233" t="str">
        <f>VLOOKUP(Table8[[#This Row],[Country Code]],Table29[],4,FALSE)</f>
        <v>Europe</v>
      </c>
      <c r="AT381" s="233" t="str">
        <f>VLOOKUP(Table8[[#This Row],[Country Code]],Table29[],5,FALSE)</f>
        <v>High-income</v>
      </c>
      <c r="AU381" s="233" t="str">
        <f>VLOOKUP(Table8[[#This Row],[Country Code]],Table29[],6,FALSE)</f>
        <v>no</v>
      </c>
      <c r="AV381" s="233" t="str">
        <f>VLOOKUP(Table8[[#This Row],[Country Code]],Table29[],7,FALSE)</f>
        <v>no</v>
      </c>
      <c r="AW381" s="233" t="str">
        <f>VLOOKUP(Table8[[#This Row],[Country Code]],Table29[],8,FALSE)</f>
        <v>OECD</v>
      </c>
      <c r="AX381" s="233" t="str">
        <f>VLOOKUP(Table8[[#This Row],[Country Code]],Table29[],9,FALSE)</f>
        <v>EU27</v>
      </c>
      <c r="AY381" s="233" t="str">
        <f>VLOOKUP(Table8[[#This Row],[Country Code]],Table29[],10,FALSE)</f>
        <v>no</v>
      </c>
      <c r="AZ381" s="235">
        <f>VLOOKUP(Table8[[#This Row],[Country Code]],Table29[],23,FALSE)</f>
        <v>106.37018790875</v>
      </c>
      <c r="BA381" s="235">
        <f>VLOOKUP(Table8[[#This Row],[Country Code]],Table29[],24,FALSE)</f>
        <v>22.197662702188101</v>
      </c>
      <c r="BB381" s="320"/>
      <c r="BC381" s="320"/>
    </row>
    <row r="382" spans="1:55" ht="30" hidden="1" x14ac:dyDescent="0.25">
      <c r="A382" s="373">
        <v>17528</v>
      </c>
      <c r="B382" s="233" t="str">
        <f>VLOOKUP(Table8[[#This Row],[Document ID]],Table1[],2,FALSE)</f>
        <v>BEL</v>
      </c>
      <c r="C382" s="233" t="str">
        <f>VLOOKUP(Table8[[#This Row],[Document ID]],Table1[],3,FALSE)</f>
        <v>Belgium</v>
      </c>
      <c r="D382" s="243" t="str">
        <f>VLOOKUP(Table8[[#This Row],[Document ID]],Table1[],5,FALSE)</f>
        <v>LTS</v>
      </c>
      <c r="E382" s="233" t="str">
        <f>VLOOKUP(Table8[[#This Row],[Document ID]],Table1[],7,FALSE)</f>
        <v>EU-LTS</v>
      </c>
      <c r="F382" s="233" t="str">
        <f>VLOOKUP(Table8[[#This Row],[Document ID]],Table1[],8,FALSE)</f>
        <v>LTS 1.0</v>
      </c>
      <c r="G382" s="233" t="str">
        <f>VLOOKUP(Table8[[#This Row],[Document ID]],Table1[],10,FALSE)</f>
        <v>Active</v>
      </c>
      <c r="H382" s="43" t="s">
        <v>2350</v>
      </c>
      <c r="I382" s="43" t="s">
        <v>2456</v>
      </c>
      <c r="J382" s="44" t="s">
        <v>2643</v>
      </c>
      <c r="K382" s="44" t="s">
        <v>2731</v>
      </c>
      <c r="L382" s="44" t="s">
        <v>2347</v>
      </c>
      <c r="M382" s="43">
        <v>7</v>
      </c>
      <c r="N382" s="113" t="s">
        <v>1113</v>
      </c>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319" t="s">
        <v>1113</v>
      </c>
      <c r="AL382" s="113"/>
      <c r="AM382" s="113"/>
      <c r="AN382" s="113"/>
      <c r="AO382" s="44" t="s">
        <v>2334</v>
      </c>
      <c r="AP382" s="43"/>
      <c r="AQ382" s="236" t="str">
        <f>VLOOKUP(Table8[[#This Row],[Instrument]],Def_Targets!$D$73:$E$159,2,FALSE)</f>
        <v>S_Intermodality</v>
      </c>
      <c r="AR382" s="233" t="str">
        <f>VLOOKUP(Table8[[#This Row],[Country Code]],Table29[],3,FALSE)</f>
        <v>Annex I</v>
      </c>
      <c r="AS382" s="233" t="str">
        <f>VLOOKUP(Table8[[#This Row],[Country Code]],Table29[],4,FALSE)</f>
        <v>Europe</v>
      </c>
      <c r="AT382" s="233" t="str">
        <f>VLOOKUP(Table8[[#This Row],[Country Code]],Table29[],5,FALSE)</f>
        <v>High-income</v>
      </c>
      <c r="AU382" s="233" t="str">
        <f>VLOOKUP(Table8[[#This Row],[Country Code]],Table29[],6,FALSE)</f>
        <v>no</v>
      </c>
      <c r="AV382" s="233" t="str">
        <f>VLOOKUP(Table8[[#This Row],[Country Code]],Table29[],7,FALSE)</f>
        <v>no</v>
      </c>
      <c r="AW382" s="233" t="str">
        <f>VLOOKUP(Table8[[#This Row],[Country Code]],Table29[],8,FALSE)</f>
        <v>OECD</v>
      </c>
      <c r="AX382" s="233" t="str">
        <f>VLOOKUP(Table8[[#This Row],[Country Code]],Table29[],9,FALSE)</f>
        <v>EU27</v>
      </c>
      <c r="AY382" s="233" t="str">
        <f>VLOOKUP(Table8[[#This Row],[Country Code]],Table29[],10,FALSE)</f>
        <v>no</v>
      </c>
      <c r="AZ382" s="235">
        <f>VLOOKUP(Table8[[#This Row],[Country Code]],Table29[],23,FALSE)</f>
        <v>106.37018790875</v>
      </c>
      <c r="BA382" s="235">
        <f>VLOOKUP(Table8[[#This Row],[Country Code]],Table29[],24,FALSE)</f>
        <v>22.197662702188101</v>
      </c>
      <c r="BB382" s="320"/>
      <c r="BC382" s="320"/>
    </row>
    <row r="383" spans="1:55" ht="45" hidden="1" x14ac:dyDescent="0.25">
      <c r="A383" s="373">
        <v>17528</v>
      </c>
      <c r="B383" s="233" t="str">
        <f>VLOOKUP(Table8[[#This Row],[Document ID]],Table1[],2,FALSE)</f>
        <v>BEL</v>
      </c>
      <c r="C383" s="233" t="str">
        <f>VLOOKUP(Table8[[#This Row],[Document ID]],Table1[],3,FALSE)</f>
        <v>Belgium</v>
      </c>
      <c r="D383" s="243" t="str">
        <f>VLOOKUP(Table8[[#This Row],[Document ID]],Table1[],5,FALSE)</f>
        <v>LTS</v>
      </c>
      <c r="E383" s="233" t="str">
        <f>VLOOKUP(Table8[[#This Row],[Document ID]],Table1[],7,FALSE)</f>
        <v>EU-LTS</v>
      </c>
      <c r="F383" s="233" t="str">
        <f>VLOOKUP(Table8[[#This Row],[Document ID]],Table1[],8,FALSE)</f>
        <v>LTS 1.0</v>
      </c>
      <c r="G383" s="233" t="str">
        <f>VLOOKUP(Table8[[#This Row],[Document ID]],Table1[],10,FALSE)</f>
        <v>Active</v>
      </c>
      <c r="H383" s="43" t="s">
        <v>2343</v>
      </c>
      <c r="I383" s="43" t="s">
        <v>2429</v>
      </c>
      <c r="J383" s="44" t="s">
        <v>2513</v>
      </c>
      <c r="K383" s="44" t="s">
        <v>2732</v>
      </c>
      <c r="L383" s="44" t="s">
        <v>2471</v>
      </c>
      <c r="M383" s="43">
        <v>7</v>
      </c>
      <c r="N383" s="113" t="s">
        <v>1113</v>
      </c>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319" t="s">
        <v>1113</v>
      </c>
      <c r="AL383" s="113"/>
      <c r="AM383" s="113"/>
      <c r="AN383" s="113"/>
      <c r="AO383" s="43" t="s">
        <v>2348</v>
      </c>
      <c r="AP383" s="43"/>
      <c r="AQ383" s="236" t="str">
        <f>VLOOKUP(Table8[[#This Row],[Instrument]],Def_Targets!$D$73:$E$159,2,FALSE)</f>
        <v>S_Sharedmob</v>
      </c>
      <c r="AR383" s="233" t="str">
        <f>VLOOKUP(Table8[[#This Row],[Country Code]],Table29[],3,FALSE)</f>
        <v>Annex I</v>
      </c>
      <c r="AS383" s="233" t="str">
        <f>VLOOKUP(Table8[[#This Row],[Country Code]],Table29[],4,FALSE)</f>
        <v>Europe</v>
      </c>
      <c r="AT383" s="233" t="str">
        <f>VLOOKUP(Table8[[#This Row],[Country Code]],Table29[],5,FALSE)</f>
        <v>High-income</v>
      </c>
      <c r="AU383" s="233" t="str">
        <f>VLOOKUP(Table8[[#This Row],[Country Code]],Table29[],6,FALSE)</f>
        <v>no</v>
      </c>
      <c r="AV383" s="233" t="str">
        <f>VLOOKUP(Table8[[#This Row],[Country Code]],Table29[],7,FALSE)</f>
        <v>no</v>
      </c>
      <c r="AW383" s="233" t="str">
        <f>VLOOKUP(Table8[[#This Row],[Country Code]],Table29[],8,FALSE)</f>
        <v>OECD</v>
      </c>
      <c r="AX383" s="233" t="str">
        <f>VLOOKUP(Table8[[#This Row],[Country Code]],Table29[],9,FALSE)</f>
        <v>EU27</v>
      </c>
      <c r="AY383" s="233" t="str">
        <f>VLOOKUP(Table8[[#This Row],[Country Code]],Table29[],10,FALSE)</f>
        <v>no</v>
      </c>
      <c r="AZ383" s="235">
        <f>VLOOKUP(Table8[[#This Row],[Country Code]],Table29[],23,FALSE)</f>
        <v>106.37018790875</v>
      </c>
      <c r="BA383" s="235">
        <f>VLOOKUP(Table8[[#This Row],[Country Code]],Table29[],24,FALSE)</f>
        <v>22.197662702188101</v>
      </c>
      <c r="BB383" s="320"/>
      <c r="BC383" s="320"/>
    </row>
    <row r="384" spans="1:55" ht="30" hidden="1" x14ac:dyDescent="0.25">
      <c r="A384" s="373">
        <v>17552</v>
      </c>
      <c r="B384" s="233" t="str">
        <f>VLOOKUP(Table8[[#This Row],[Document ID]],Table1[],2,FALSE)</f>
        <v>CAF</v>
      </c>
      <c r="C384" s="233" t="str">
        <f>VLOOKUP(Table8[[#This Row],[Document ID]],Table1[],3,FALSE)</f>
        <v>Central African Republic</v>
      </c>
      <c r="D384" s="243" t="str">
        <f>VLOOKUP(Table8[[#This Row],[Document ID]],Table1[],5,FALSE)</f>
        <v>NDC</v>
      </c>
      <c r="E384" s="233" t="str">
        <f>VLOOKUP(Table8[[#This Row],[Document ID]],Table1[],7,FALSE)</f>
        <v>First NDC</v>
      </c>
      <c r="F384" s="233" t="str">
        <f>VLOOKUP(Table8[[#This Row],[Document ID]],Table1[],8,FALSE)</f>
        <v>NDC 1.0</v>
      </c>
      <c r="G384" s="233" t="str">
        <f>VLOOKUP(Table8[[#This Row],[Document ID]],Table1[],10,FALSE)</f>
        <v>Archived</v>
      </c>
      <c r="H384" s="44" t="s">
        <v>2338</v>
      </c>
      <c r="I384" s="44" t="s">
        <v>2339</v>
      </c>
      <c r="J384" s="44" t="s">
        <v>2556</v>
      </c>
      <c r="K384" s="44" t="s">
        <v>2733</v>
      </c>
      <c r="L384" s="44" t="s">
        <v>2333</v>
      </c>
      <c r="M384" s="43"/>
      <c r="N384" s="113" t="s">
        <v>1113</v>
      </c>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t="s">
        <v>1113</v>
      </c>
      <c r="AL384" s="113"/>
      <c r="AM384" s="113"/>
      <c r="AN384" s="113"/>
      <c r="AO384" s="44" t="s">
        <v>2334</v>
      </c>
      <c r="AP384" s="43"/>
      <c r="AQ384" s="236" t="str">
        <f>VLOOKUP(Table8[[#This Row],[Instrument]],Def_Targets!$D$73:$E$159,2,FALSE)</f>
        <v>I_Fuelqualimprove</v>
      </c>
      <c r="AR384" s="233" t="str">
        <f>VLOOKUP(Table8[[#This Row],[Country Code]],Table29[],3,FALSE)</f>
        <v>Non-Annex I</v>
      </c>
      <c r="AS384" s="233" t="str">
        <f>VLOOKUP(Table8[[#This Row],[Country Code]],Table29[],4,FALSE)</f>
        <v>Africa</v>
      </c>
      <c r="AT384" s="233" t="str">
        <f>VLOOKUP(Table8[[#This Row],[Country Code]],Table29[],5,FALSE)</f>
        <v>Low-income</v>
      </c>
      <c r="AU384" s="233" t="str">
        <f>VLOOKUP(Table8[[#This Row],[Country Code]],Table29[],6,FALSE)</f>
        <v>no</v>
      </c>
      <c r="AV384" s="233" t="str">
        <f>VLOOKUP(Table8[[#This Row],[Country Code]],Table29[],7,FALSE)</f>
        <v>no</v>
      </c>
      <c r="AW384" s="233" t="str">
        <f>VLOOKUP(Table8[[#This Row],[Country Code]],Table29[],8,FALSE)</f>
        <v>non-OECD</v>
      </c>
      <c r="AX384" s="233" t="str">
        <f>VLOOKUP(Table8[[#This Row],[Country Code]],Table29[],9,FALSE)</f>
        <v>no</v>
      </c>
      <c r="AY384" s="233" t="str">
        <f>VLOOKUP(Table8[[#This Row],[Country Code]],Table29[],10,FALSE)</f>
        <v>no</v>
      </c>
      <c r="AZ384" s="235">
        <f>VLOOKUP(Table8[[#This Row],[Country Code]],Table29[],23,FALSE)</f>
        <v>12.502621395350999</v>
      </c>
      <c r="BA384" s="235">
        <f>VLOOKUP(Table8[[#This Row],[Country Code]],Table29[],24,FALSE)</f>
        <v>0.20891867830184049</v>
      </c>
      <c r="BB384" s="320"/>
      <c r="BC384" s="320"/>
    </row>
    <row r="385" spans="1:55" ht="30" hidden="1" x14ac:dyDescent="0.25">
      <c r="A385" s="373">
        <v>17552</v>
      </c>
      <c r="B385" s="233" t="str">
        <f>VLOOKUP(Table8[[#This Row],[Document ID]],Table1[],2,FALSE)</f>
        <v>CAF</v>
      </c>
      <c r="C385" s="233" t="str">
        <f>VLOOKUP(Table8[[#This Row],[Document ID]],Table1[],3,FALSE)</f>
        <v>Central African Republic</v>
      </c>
      <c r="D385" s="243" t="str">
        <f>VLOOKUP(Table8[[#This Row],[Document ID]],Table1[],5,FALSE)</f>
        <v>NDC</v>
      </c>
      <c r="E385" s="233" t="str">
        <f>VLOOKUP(Table8[[#This Row],[Document ID]],Table1[],7,FALSE)</f>
        <v>First NDC</v>
      </c>
      <c r="F385" s="233" t="str">
        <f>VLOOKUP(Table8[[#This Row],[Document ID]],Table1[],8,FALSE)</f>
        <v>NDC 1.0</v>
      </c>
      <c r="G385" s="233" t="str">
        <f>VLOOKUP(Table8[[#This Row],[Document ID]],Table1[],10,FALSE)</f>
        <v>Archived</v>
      </c>
      <c r="H385" s="44" t="s">
        <v>2338</v>
      </c>
      <c r="I385" s="44" t="s">
        <v>2339</v>
      </c>
      <c r="J385" s="44" t="s">
        <v>2556</v>
      </c>
      <c r="K385" s="44" t="s">
        <v>2733</v>
      </c>
      <c r="L385" s="44" t="s">
        <v>2333</v>
      </c>
      <c r="M385" s="43"/>
      <c r="N385" s="113" t="s">
        <v>1113</v>
      </c>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t="s">
        <v>1113</v>
      </c>
      <c r="AL385" s="113"/>
      <c r="AM385" s="113"/>
      <c r="AN385" s="113"/>
      <c r="AO385" s="44" t="s">
        <v>2334</v>
      </c>
      <c r="AP385" s="43"/>
      <c r="AQ385" s="236" t="str">
        <f>VLOOKUP(Table8[[#This Row],[Instrument]],Def_Targets!$D$73:$E$159,2,FALSE)</f>
        <v>I_Fuelqualimprove</v>
      </c>
      <c r="AR385" s="233" t="str">
        <f>VLOOKUP(Table8[[#This Row],[Country Code]],Table29[],3,FALSE)</f>
        <v>Non-Annex I</v>
      </c>
      <c r="AS385" s="233" t="str">
        <f>VLOOKUP(Table8[[#This Row],[Country Code]],Table29[],4,FALSE)</f>
        <v>Africa</v>
      </c>
      <c r="AT385" s="233" t="str">
        <f>VLOOKUP(Table8[[#This Row],[Country Code]],Table29[],5,FALSE)</f>
        <v>Low-income</v>
      </c>
      <c r="AU385" s="233" t="str">
        <f>VLOOKUP(Table8[[#This Row],[Country Code]],Table29[],6,FALSE)</f>
        <v>no</v>
      </c>
      <c r="AV385" s="233" t="str">
        <f>VLOOKUP(Table8[[#This Row],[Country Code]],Table29[],7,FALSE)</f>
        <v>no</v>
      </c>
      <c r="AW385" s="233" t="str">
        <f>VLOOKUP(Table8[[#This Row],[Country Code]],Table29[],8,FALSE)</f>
        <v>non-OECD</v>
      </c>
      <c r="AX385" s="233" t="str">
        <f>VLOOKUP(Table8[[#This Row],[Country Code]],Table29[],9,FALSE)</f>
        <v>no</v>
      </c>
      <c r="AY385" s="233" t="str">
        <f>VLOOKUP(Table8[[#This Row],[Country Code]],Table29[],10,FALSE)</f>
        <v>no</v>
      </c>
      <c r="AZ385" s="235">
        <f>VLOOKUP(Table8[[#This Row],[Country Code]],Table29[],23,FALSE)</f>
        <v>12.502621395350999</v>
      </c>
      <c r="BA385" s="235">
        <f>VLOOKUP(Table8[[#This Row],[Country Code]],Table29[],24,FALSE)</f>
        <v>0.20891867830184049</v>
      </c>
      <c r="BB385" s="320"/>
      <c r="BC385" s="320"/>
    </row>
    <row r="386" spans="1:55" ht="30" hidden="1" x14ac:dyDescent="0.25">
      <c r="A386" s="373">
        <v>17555</v>
      </c>
      <c r="B386" s="233" t="str">
        <f>VLOOKUP(Table8[[#This Row],[Document ID]],Table1[],2,FALSE)</f>
        <v>CHL</v>
      </c>
      <c r="C386" s="233" t="str">
        <f>VLOOKUP(Table8[[#This Row],[Document ID]],Table1[],3,FALSE)</f>
        <v>Chile</v>
      </c>
      <c r="D386" s="243" t="str">
        <f>VLOOKUP(Table8[[#This Row],[Document ID]],Table1[],5,FALSE)</f>
        <v>NDC</v>
      </c>
      <c r="E386" s="233" t="str">
        <f>VLOOKUP(Table8[[#This Row],[Document ID]],Table1[],7,FALSE)</f>
        <v>First NDC updated</v>
      </c>
      <c r="F386" s="233" t="str">
        <f>VLOOKUP(Table8[[#This Row],[Document ID]],Table1[],8,FALSE)</f>
        <v>NDC 1.1</v>
      </c>
      <c r="G386" s="233" t="str">
        <f>VLOOKUP(Table8[[#This Row],[Document ID]],Table1[],10,FALSE)</f>
        <v>Active</v>
      </c>
      <c r="H386" s="43" t="s">
        <v>2358</v>
      </c>
      <c r="I386" s="43" t="s">
        <v>2359</v>
      </c>
      <c r="J386" s="44" t="s">
        <v>2360</v>
      </c>
      <c r="K386" s="44" t="s">
        <v>2734</v>
      </c>
      <c r="L386" s="44" t="s">
        <v>2333</v>
      </c>
      <c r="M386" s="43">
        <v>89</v>
      </c>
      <c r="N386" s="113"/>
      <c r="O386" s="113"/>
      <c r="P386" s="113"/>
      <c r="Q386" s="113"/>
      <c r="R386" s="113"/>
      <c r="S386" s="113"/>
      <c r="T386" s="113"/>
      <c r="U386" s="113" t="s">
        <v>1113</v>
      </c>
      <c r="V386" s="113"/>
      <c r="W386" s="113" t="s">
        <v>1113</v>
      </c>
      <c r="X386" s="113" t="s">
        <v>1113</v>
      </c>
      <c r="Y386" s="113" t="s">
        <v>1113</v>
      </c>
      <c r="Z386" s="113"/>
      <c r="AA386" s="113"/>
      <c r="AB386" s="113"/>
      <c r="AC386" s="113" t="s">
        <v>1113</v>
      </c>
      <c r="AD386" s="113"/>
      <c r="AE386" s="113"/>
      <c r="AF386" s="113"/>
      <c r="AG386" s="113"/>
      <c r="AH386" s="113"/>
      <c r="AI386" s="113"/>
      <c r="AJ386" s="113"/>
      <c r="AK386" s="319" t="s">
        <v>1113</v>
      </c>
      <c r="AL386" s="113"/>
      <c r="AM386" s="113"/>
      <c r="AN386" s="113"/>
      <c r="AO386" s="43" t="s">
        <v>2348</v>
      </c>
      <c r="AP386" s="43"/>
      <c r="AQ386" s="236" t="str">
        <f>VLOOKUP(Table8[[#This Row],[Instrument]],Def_Targets!$D$73:$E$159,2,FALSE)</f>
        <v>I_Emobility</v>
      </c>
      <c r="AR386" s="233" t="str">
        <f>VLOOKUP(Table8[[#This Row],[Country Code]],Table29[],3,FALSE)</f>
        <v>Non-Annex I</v>
      </c>
      <c r="AS386" s="233" t="str">
        <f>VLOOKUP(Table8[[#This Row],[Country Code]],Table29[],4,FALSE)</f>
        <v>Latin America and the Caribbean</v>
      </c>
      <c r="AT386" s="233" t="str">
        <f>VLOOKUP(Table8[[#This Row],[Country Code]],Table29[],5,FALSE)</f>
        <v>High-income</v>
      </c>
      <c r="AU386" s="233" t="str">
        <f>VLOOKUP(Table8[[#This Row],[Country Code]],Table29[],6,FALSE)</f>
        <v>no</v>
      </c>
      <c r="AV386" s="233" t="str">
        <f>VLOOKUP(Table8[[#This Row],[Country Code]],Table29[],7,FALSE)</f>
        <v>no</v>
      </c>
      <c r="AW386" s="233" t="str">
        <f>VLOOKUP(Table8[[#This Row],[Country Code]],Table29[],8,FALSE)</f>
        <v>OECD</v>
      </c>
      <c r="AX386" s="233" t="str">
        <f>VLOOKUP(Table8[[#This Row],[Country Code]],Table29[],9,FALSE)</f>
        <v>no</v>
      </c>
      <c r="AY386" s="233" t="str">
        <f>VLOOKUP(Table8[[#This Row],[Country Code]],Table29[],10,FALSE)</f>
        <v>no</v>
      </c>
      <c r="AZ386" s="235">
        <f>VLOOKUP(Table8[[#This Row],[Country Code]],Table29[],23,FALSE)</f>
        <v>121.46313217391</v>
      </c>
      <c r="BA386" s="235">
        <f>VLOOKUP(Table8[[#This Row],[Country Code]],Table29[],24,FALSE)</f>
        <v>32.478801178832768</v>
      </c>
      <c r="BB386" s="320"/>
      <c r="BC386" s="320"/>
    </row>
    <row r="387" spans="1:55" ht="30" hidden="1" x14ac:dyDescent="0.25">
      <c r="A387" s="373">
        <v>17555</v>
      </c>
      <c r="B387" s="233" t="str">
        <f>VLOOKUP(Table8[[#This Row],[Document ID]],Table1[],2,FALSE)</f>
        <v>CHL</v>
      </c>
      <c r="C387" s="233" t="str">
        <f>VLOOKUP(Table8[[#This Row],[Document ID]],Table1[],3,FALSE)</f>
        <v>Chile</v>
      </c>
      <c r="D387" s="243" t="str">
        <f>VLOOKUP(Table8[[#This Row],[Document ID]],Table1[],5,FALSE)</f>
        <v>NDC</v>
      </c>
      <c r="E387" s="233" t="str">
        <f>VLOOKUP(Table8[[#This Row],[Document ID]],Table1[],7,FALSE)</f>
        <v>First NDC updated</v>
      </c>
      <c r="F387" s="233" t="str">
        <f>VLOOKUP(Table8[[#This Row],[Document ID]],Table1[],8,FALSE)</f>
        <v>NDC 1.1</v>
      </c>
      <c r="G387" s="233" t="str">
        <f>VLOOKUP(Table8[[#This Row],[Document ID]],Table1[],10,FALSE)</f>
        <v>Active</v>
      </c>
      <c r="H387" s="43" t="s">
        <v>2343</v>
      </c>
      <c r="I387" s="43" t="s">
        <v>2344</v>
      </c>
      <c r="J387" s="44" t="s">
        <v>2345</v>
      </c>
      <c r="K387" s="44" t="s">
        <v>2735</v>
      </c>
      <c r="L387" s="44" t="s">
        <v>2347</v>
      </c>
      <c r="M387" s="43">
        <v>89</v>
      </c>
      <c r="N387" s="113"/>
      <c r="O387" s="113"/>
      <c r="P387" s="113"/>
      <c r="Q387" s="113"/>
      <c r="R387" s="113"/>
      <c r="S387" s="113"/>
      <c r="T387" s="113"/>
      <c r="U387" s="113"/>
      <c r="V387" s="113"/>
      <c r="W387" s="113"/>
      <c r="X387" s="113"/>
      <c r="Y387" s="113" t="s">
        <v>1113</v>
      </c>
      <c r="Z387" s="113"/>
      <c r="AA387" s="113"/>
      <c r="AB387" s="113"/>
      <c r="AC387" s="113"/>
      <c r="AD387" s="113"/>
      <c r="AE387" s="113"/>
      <c r="AF387" s="113"/>
      <c r="AG387" s="113"/>
      <c r="AH387" s="113"/>
      <c r="AI387" s="113"/>
      <c r="AJ387" s="113"/>
      <c r="AK387" s="319" t="s">
        <v>1113</v>
      </c>
      <c r="AL387" s="113"/>
      <c r="AM387" s="113"/>
      <c r="AN387" s="113"/>
      <c r="AO387" s="43" t="s">
        <v>2348</v>
      </c>
      <c r="AP387" s="43"/>
      <c r="AQ387" s="236" t="str">
        <f>VLOOKUP(Table8[[#This Row],[Instrument]],Def_Targets!$D$73:$E$159,2,FALSE)</f>
        <v>S_PublicTransport</v>
      </c>
      <c r="AR387" s="233" t="str">
        <f>VLOOKUP(Table8[[#This Row],[Country Code]],Table29[],3,FALSE)</f>
        <v>Non-Annex I</v>
      </c>
      <c r="AS387" s="233" t="str">
        <f>VLOOKUP(Table8[[#This Row],[Country Code]],Table29[],4,FALSE)</f>
        <v>Latin America and the Caribbean</v>
      </c>
      <c r="AT387" s="233" t="str">
        <f>VLOOKUP(Table8[[#This Row],[Country Code]],Table29[],5,FALSE)</f>
        <v>High-income</v>
      </c>
      <c r="AU387" s="233" t="str">
        <f>VLOOKUP(Table8[[#This Row],[Country Code]],Table29[],6,FALSE)</f>
        <v>no</v>
      </c>
      <c r="AV387" s="233" t="str">
        <f>VLOOKUP(Table8[[#This Row],[Country Code]],Table29[],7,FALSE)</f>
        <v>no</v>
      </c>
      <c r="AW387" s="233" t="str">
        <f>VLOOKUP(Table8[[#This Row],[Country Code]],Table29[],8,FALSE)</f>
        <v>OECD</v>
      </c>
      <c r="AX387" s="233" t="str">
        <f>VLOOKUP(Table8[[#This Row],[Country Code]],Table29[],9,FALSE)</f>
        <v>no</v>
      </c>
      <c r="AY387" s="233" t="str">
        <f>VLOOKUP(Table8[[#This Row],[Country Code]],Table29[],10,FALSE)</f>
        <v>no</v>
      </c>
      <c r="AZ387" s="235">
        <f>VLOOKUP(Table8[[#This Row],[Country Code]],Table29[],23,FALSE)</f>
        <v>121.46313217391</v>
      </c>
      <c r="BA387" s="235">
        <f>VLOOKUP(Table8[[#This Row],[Country Code]],Table29[],24,FALSE)</f>
        <v>32.478801178832768</v>
      </c>
      <c r="BB387" s="320"/>
      <c r="BC387" s="320"/>
    </row>
    <row r="388" spans="1:55" ht="30" hidden="1" x14ac:dyDescent="0.25">
      <c r="A388" s="373">
        <v>17555</v>
      </c>
      <c r="B388" s="233" t="str">
        <f>VLOOKUP(Table8[[#This Row],[Document ID]],Table1[],2,FALSE)</f>
        <v>CHL</v>
      </c>
      <c r="C388" s="233" t="str">
        <f>VLOOKUP(Table8[[#This Row],[Document ID]],Table1[],3,FALSE)</f>
        <v>Chile</v>
      </c>
      <c r="D388" s="243" t="str">
        <f>VLOOKUP(Table8[[#This Row],[Document ID]],Table1[],5,FALSE)</f>
        <v>NDC</v>
      </c>
      <c r="E388" s="233" t="str">
        <f>VLOOKUP(Table8[[#This Row],[Document ID]],Table1[],7,FALSE)</f>
        <v>First NDC updated</v>
      </c>
      <c r="F388" s="233" t="str">
        <f>VLOOKUP(Table8[[#This Row],[Document ID]],Table1[],8,FALSE)</f>
        <v>NDC 1.1</v>
      </c>
      <c r="G388" s="233" t="str">
        <f>VLOOKUP(Table8[[#This Row],[Document ID]],Table1[],10,FALSE)</f>
        <v>Active</v>
      </c>
      <c r="H388" s="43" t="s">
        <v>2343</v>
      </c>
      <c r="I388" s="43" t="s">
        <v>2361</v>
      </c>
      <c r="J388" s="44" t="s">
        <v>2362</v>
      </c>
      <c r="K388" s="44" t="s">
        <v>2735</v>
      </c>
      <c r="L388" s="44" t="s">
        <v>2347</v>
      </c>
      <c r="M388" s="43">
        <v>89</v>
      </c>
      <c r="N388" s="113"/>
      <c r="O388" s="113"/>
      <c r="P388" s="113"/>
      <c r="Q388" s="113"/>
      <c r="R388" s="113" t="s">
        <v>1113</v>
      </c>
      <c r="S388" s="113"/>
      <c r="T388" s="113"/>
      <c r="U388" s="113"/>
      <c r="V388" s="113"/>
      <c r="W388" s="113"/>
      <c r="X388" s="113"/>
      <c r="Y388" s="113"/>
      <c r="Z388" s="113"/>
      <c r="AA388" s="113"/>
      <c r="AB388" s="113"/>
      <c r="AC388" s="113"/>
      <c r="AD388" s="113"/>
      <c r="AE388" s="113"/>
      <c r="AF388" s="113"/>
      <c r="AG388" s="113"/>
      <c r="AH388" s="113"/>
      <c r="AI388" s="113"/>
      <c r="AJ388" s="113"/>
      <c r="AK388" s="319" t="s">
        <v>1113</v>
      </c>
      <c r="AL388" s="113"/>
      <c r="AM388" s="113"/>
      <c r="AN388" s="113"/>
      <c r="AO388" s="43" t="s">
        <v>2348</v>
      </c>
      <c r="AP388" s="43"/>
      <c r="AQ388" s="236" t="str">
        <f>VLOOKUP(Table8[[#This Row],[Instrument]],Def_Targets!$D$73:$E$159,2,FALSE)</f>
        <v>S_Cycling</v>
      </c>
      <c r="AR388" s="233" t="str">
        <f>VLOOKUP(Table8[[#This Row],[Country Code]],Table29[],3,FALSE)</f>
        <v>Non-Annex I</v>
      </c>
      <c r="AS388" s="233" t="str">
        <f>VLOOKUP(Table8[[#This Row],[Country Code]],Table29[],4,FALSE)</f>
        <v>Latin America and the Caribbean</v>
      </c>
      <c r="AT388" s="233" t="str">
        <f>VLOOKUP(Table8[[#This Row],[Country Code]],Table29[],5,FALSE)</f>
        <v>High-income</v>
      </c>
      <c r="AU388" s="233" t="str">
        <f>VLOOKUP(Table8[[#This Row],[Country Code]],Table29[],6,FALSE)</f>
        <v>no</v>
      </c>
      <c r="AV388" s="233" t="str">
        <f>VLOOKUP(Table8[[#This Row],[Country Code]],Table29[],7,FALSE)</f>
        <v>no</v>
      </c>
      <c r="AW388" s="233" t="str">
        <f>VLOOKUP(Table8[[#This Row],[Country Code]],Table29[],8,FALSE)</f>
        <v>OECD</v>
      </c>
      <c r="AX388" s="233" t="str">
        <f>VLOOKUP(Table8[[#This Row],[Country Code]],Table29[],9,FALSE)</f>
        <v>no</v>
      </c>
      <c r="AY388" s="233" t="str">
        <f>VLOOKUP(Table8[[#This Row],[Country Code]],Table29[],10,FALSE)</f>
        <v>no</v>
      </c>
      <c r="AZ388" s="235">
        <f>VLOOKUP(Table8[[#This Row],[Country Code]],Table29[],23,FALSE)</f>
        <v>121.46313217391</v>
      </c>
      <c r="BA388" s="235">
        <f>VLOOKUP(Table8[[#This Row],[Country Code]],Table29[],24,FALSE)</f>
        <v>32.478801178832768</v>
      </c>
      <c r="BB388" s="320"/>
      <c r="BC388" s="320"/>
    </row>
    <row r="389" spans="1:55" ht="60" hidden="1" x14ac:dyDescent="0.25">
      <c r="A389" s="373">
        <v>17555</v>
      </c>
      <c r="B389" s="233" t="str">
        <f>VLOOKUP(Table8[[#This Row],[Document ID]],Table1[],2,FALSE)</f>
        <v>CHL</v>
      </c>
      <c r="C389" s="233" t="str">
        <f>VLOOKUP(Table8[[#This Row],[Document ID]],Table1[],3,FALSE)</f>
        <v>Chile</v>
      </c>
      <c r="D389" s="243" t="str">
        <f>VLOOKUP(Table8[[#This Row],[Document ID]],Table1[],5,FALSE)</f>
        <v>NDC</v>
      </c>
      <c r="E389" s="233" t="str">
        <f>VLOOKUP(Table8[[#This Row],[Document ID]],Table1[],7,FALSE)</f>
        <v>First NDC updated</v>
      </c>
      <c r="F389" s="233" t="str">
        <f>VLOOKUP(Table8[[#This Row],[Document ID]],Table1[],8,FALSE)</f>
        <v>NDC 1.1</v>
      </c>
      <c r="G389" s="233" t="str">
        <f>VLOOKUP(Table8[[#This Row],[Document ID]],Table1[],10,FALSE)</f>
        <v>Active</v>
      </c>
      <c r="H389" s="44" t="s">
        <v>2329</v>
      </c>
      <c r="I389" s="44" t="s">
        <v>2330</v>
      </c>
      <c r="J389" s="44" t="s">
        <v>2381</v>
      </c>
      <c r="K389" s="44" t="s">
        <v>2736</v>
      </c>
      <c r="L389" s="44" t="s">
        <v>2333</v>
      </c>
      <c r="M389" s="43">
        <v>89</v>
      </c>
      <c r="N389" s="113"/>
      <c r="O389" s="113"/>
      <c r="P389" s="113"/>
      <c r="Q389" s="113"/>
      <c r="R389" s="113"/>
      <c r="S389" s="113"/>
      <c r="T389" s="113"/>
      <c r="U389" s="113"/>
      <c r="V389" s="113"/>
      <c r="W389" s="113"/>
      <c r="X389" s="113" t="s">
        <v>1113</v>
      </c>
      <c r="Y389" s="113"/>
      <c r="Z389" s="113"/>
      <c r="AA389" s="113"/>
      <c r="AB389" s="113"/>
      <c r="AC389" s="113"/>
      <c r="AD389" s="113"/>
      <c r="AE389" s="113"/>
      <c r="AF389" s="113"/>
      <c r="AG389" s="113"/>
      <c r="AH389" s="113"/>
      <c r="AI389" s="113"/>
      <c r="AJ389" s="113"/>
      <c r="AK389" s="319" t="s">
        <v>1113</v>
      </c>
      <c r="AL389" s="113"/>
      <c r="AM389" s="113"/>
      <c r="AN389" s="113"/>
      <c r="AO389" s="43" t="s">
        <v>2353</v>
      </c>
      <c r="AP389" s="43"/>
      <c r="AQ389" s="236" t="str">
        <f>VLOOKUP(Table8[[#This Row],[Instrument]],Def_Targets!$D$73:$E$159,2,FALSE)</f>
        <v>I_RE</v>
      </c>
      <c r="AR389" s="233" t="str">
        <f>VLOOKUP(Table8[[#This Row],[Country Code]],Table29[],3,FALSE)</f>
        <v>Non-Annex I</v>
      </c>
      <c r="AS389" s="233" t="str">
        <f>VLOOKUP(Table8[[#This Row],[Country Code]],Table29[],4,FALSE)</f>
        <v>Latin America and the Caribbean</v>
      </c>
      <c r="AT389" s="233" t="str">
        <f>VLOOKUP(Table8[[#This Row],[Country Code]],Table29[],5,FALSE)</f>
        <v>High-income</v>
      </c>
      <c r="AU389" s="233" t="str">
        <f>VLOOKUP(Table8[[#This Row],[Country Code]],Table29[],6,FALSE)</f>
        <v>no</v>
      </c>
      <c r="AV389" s="233" t="str">
        <f>VLOOKUP(Table8[[#This Row],[Country Code]],Table29[],7,FALSE)</f>
        <v>no</v>
      </c>
      <c r="AW389" s="233" t="str">
        <f>VLOOKUP(Table8[[#This Row],[Country Code]],Table29[],8,FALSE)</f>
        <v>OECD</v>
      </c>
      <c r="AX389" s="233" t="str">
        <f>VLOOKUP(Table8[[#This Row],[Country Code]],Table29[],9,FALSE)</f>
        <v>no</v>
      </c>
      <c r="AY389" s="233" t="str">
        <f>VLOOKUP(Table8[[#This Row],[Country Code]],Table29[],10,FALSE)</f>
        <v>no</v>
      </c>
      <c r="AZ389" s="235">
        <f>VLOOKUP(Table8[[#This Row],[Country Code]],Table29[],23,FALSE)</f>
        <v>121.46313217391</v>
      </c>
      <c r="BA389" s="235">
        <f>VLOOKUP(Table8[[#This Row],[Country Code]],Table29[],24,FALSE)</f>
        <v>32.478801178832768</v>
      </c>
      <c r="BB389" s="320"/>
      <c r="BC389" s="320"/>
    </row>
    <row r="390" spans="1:55" ht="60" hidden="1" x14ac:dyDescent="0.25">
      <c r="A390" s="373">
        <v>17555</v>
      </c>
      <c r="B390" s="233" t="str">
        <f>VLOOKUP(Table8[[#This Row],[Document ID]],Table1[],2,FALSE)</f>
        <v>CHL</v>
      </c>
      <c r="C390" s="233" t="str">
        <f>VLOOKUP(Table8[[#This Row],[Document ID]],Table1[],3,FALSE)</f>
        <v>Chile</v>
      </c>
      <c r="D390" s="243" t="str">
        <f>VLOOKUP(Table8[[#This Row],[Document ID]],Table1[],5,FALSE)</f>
        <v>NDC</v>
      </c>
      <c r="E390" s="233" t="str">
        <f>VLOOKUP(Table8[[#This Row],[Document ID]],Table1[],7,FALSE)</f>
        <v>First NDC updated</v>
      </c>
      <c r="F390" s="233" t="str">
        <f>VLOOKUP(Table8[[#This Row],[Document ID]],Table1[],8,FALSE)</f>
        <v>NDC 1.1</v>
      </c>
      <c r="G390" s="233" t="str">
        <f>VLOOKUP(Table8[[#This Row],[Document ID]],Table1[],10,FALSE)</f>
        <v>Active</v>
      </c>
      <c r="H390" s="44" t="s">
        <v>2329</v>
      </c>
      <c r="I390" s="44" t="s">
        <v>2330</v>
      </c>
      <c r="J390" s="44" t="s">
        <v>2391</v>
      </c>
      <c r="K390" s="44" t="s">
        <v>2736</v>
      </c>
      <c r="L390" s="44" t="s">
        <v>2333</v>
      </c>
      <c r="M390" s="43">
        <v>89</v>
      </c>
      <c r="N390" s="113"/>
      <c r="O390" s="113"/>
      <c r="P390" s="113"/>
      <c r="Q390" s="113"/>
      <c r="R390" s="113"/>
      <c r="S390" s="113"/>
      <c r="T390" s="113"/>
      <c r="U390" s="113"/>
      <c r="V390" s="113"/>
      <c r="W390" s="113"/>
      <c r="X390" s="113" t="s">
        <v>1113</v>
      </c>
      <c r="Y390" s="113"/>
      <c r="Z390" s="113"/>
      <c r="AA390" s="113"/>
      <c r="AB390" s="113"/>
      <c r="AC390" s="113"/>
      <c r="AD390" s="113"/>
      <c r="AE390" s="113"/>
      <c r="AF390" s="113"/>
      <c r="AG390" s="113"/>
      <c r="AH390" s="113"/>
      <c r="AI390" s="113"/>
      <c r="AJ390" s="113"/>
      <c r="AK390" s="319" t="s">
        <v>1113</v>
      </c>
      <c r="AL390" s="113"/>
      <c r="AM390" s="113"/>
      <c r="AN390" s="113"/>
      <c r="AO390" s="43" t="s">
        <v>2353</v>
      </c>
      <c r="AP390" s="43"/>
      <c r="AQ390" s="236" t="str">
        <f>VLOOKUP(Table8[[#This Row],[Instrument]],Def_Targets!$D$73:$E$159,2,FALSE)</f>
        <v>I_Hydrogen</v>
      </c>
      <c r="AR390" s="233" t="str">
        <f>VLOOKUP(Table8[[#This Row],[Country Code]],Table29[],3,FALSE)</f>
        <v>Non-Annex I</v>
      </c>
      <c r="AS390" s="233" t="str">
        <f>VLOOKUP(Table8[[#This Row],[Country Code]],Table29[],4,FALSE)</f>
        <v>Latin America and the Caribbean</v>
      </c>
      <c r="AT390" s="233" t="str">
        <f>VLOOKUP(Table8[[#This Row],[Country Code]],Table29[],5,FALSE)</f>
        <v>High-income</v>
      </c>
      <c r="AU390" s="233" t="str">
        <f>VLOOKUP(Table8[[#This Row],[Country Code]],Table29[],6,FALSE)</f>
        <v>no</v>
      </c>
      <c r="AV390" s="233" t="str">
        <f>VLOOKUP(Table8[[#This Row],[Country Code]],Table29[],7,FALSE)</f>
        <v>no</v>
      </c>
      <c r="AW390" s="233" t="str">
        <f>VLOOKUP(Table8[[#This Row],[Country Code]],Table29[],8,FALSE)</f>
        <v>OECD</v>
      </c>
      <c r="AX390" s="233" t="str">
        <f>VLOOKUP(Table8[[#This Row],[Country Code]],Table29[],9,FALSE)</f>
        <v>no</v>
      </c>
      <c r="AY390" s="233" t="str">
        <f>VLOOKUP(Table8[[#This Row],[Country Code]],Table29[],10,FALSE)</f>
        <v>no</v>
      </c>
      <c r="AZ390" s="235">
        <f>VLOOKUP(Table8[[#This Row],[Country Code]],Table29[],23,FALSE)</f>
        <v>121.46313217391</v>
      </c>
      <c r="BA390" s="235">
        <f>VLOOKUP(Table8[[#This Row],[Country Code]],Table29[],24,FALSE)</f>
        <v>32.478801178832768</v>
      </c>
      <c r="BB390" s="320"/>
      <c r="BC390" s="320"/>
    </row>
    <row r="391" spans="1:55" hidden="1" x14ac:dyDescent="0.25">
      <c r="A391" s="373">
        <v>17554</v>
      </c>
      <c r="B391" s="233" t="str">
        <f>VLOOKUP(Table8[[#This Row],[Document ID]],Table1[],2,FALSE)</f>
        <v>CHL</v>
      </c>
      <c r="C391" s="233" t="str">
        <f>VLOOKUP(Table8[[#This Row],[Document ID]],Table1[],3,FALSE)</f>
        <v>Chile</v>
      </c>
      <c r="D391" s="243" t="str">
        <f>VLOOKUP(Table8[[#This Row],[Document ID]],Table1[],5,FALSE)</f>
        <v>NDC</v>
      </c>
      <c r="E391" s="233" t="str">
        <f>VLOOKUP(Table8[[#This Row],[Document ID]],Table1[],7,FALSE)</f>
        <v>First NDC</v>
      </c>
      <c r="F391" s="236" t="str">
        <f>VLOOKUP(Table8[[#This Row],[Document ID]],Table1[],8,FALSE)</f>
        <v>NDC 1.0</v>
      </c>
      <c r="G391" s="236" t="str">
        <f>VLOOKUP(Table8[[#This Row],[Document ID]],Table1[],10,FALSE)</f>
        <v>Archived</v>
      </c>
      <c r="H391" s="43" t="s">
        <v>2343</v>
      </c>
      <c r="I391" s="43" t="s">
        <v>2386</v>
      </c>
      <c r="J391" s="44" t="s">
        <v>2530</v>
      </c>
      <c r="K391" s="44" t="s">
        <v>2737</v>
      </c>
      <c r="L391" s="44" t="s">
        <v>2333</v>
      </c>
      <c r="M391" s="43"/>
      <c r="N391" s="113" t="s">
        <v>1113</v>
      </c>
      <c r="O391" s="113"/>
      <c r="P391" s="113"/>
      <c r="Q391" s="319"/>
      <c r="R391" s="319"/>
      <c r="S391" s="319"/>
      <c r="T391" s="319"/>
      <c r="U391" s="319"/>
      <c r="V391" s="319"/>
      <c r="W391" s="319"/>
      <c r="X391" s="319"/>
      <c r="Y391" s="319"/>
      <c r="Z391" s="319"/>
      <c r="AA391" s="319"/>
      <c r="AB391" s="319"/>
      <c r="AC391" s="319"/>
      <c r="AD391" s="319"/>
      <c r="AE391" s="319"/>
      <c r="AF391" s="319"/>
      <c r="AG391" s="319"/>
      <c r="AH391" s="319"/>
      <c r="AI391" s="319"/>
      <c r="AJ391" s="319"/>
      <c r="AK391" s="319" t="s">
        <v>1113</v>
      </c>
      <c r="AL391" s="319"/>
      <c r="AM391" s="319"/>
      <c r="AN391" s="319"/>
      <c r="AO391" s="44" t="s">
        <v>2334</v>
      </c>
      <c r="AP391" s="44"/>
      <c r="AQ391" s="236" t="str">
        <f>VLOOKUP(Table8[[#This Row],[Instrument]],Def_Targets!$D$73:$E$159,2,FALSE)</f>
        <v>A_Vehicletax</v>
      </c>
      <c r="AR391" s="233" t="str">
        <f>VLOOKUP(Table8[[#This Row],[Country Code]],Table29[],3,FALSE)</f>
        <v>Non-Annex I</v>
      </c>
      <c r="AS391" s="233" t="str">
        <f>VLOOKUP(Table8[[#This Row],[Country Code]],Table29[],4,FALSE)</f>
        <v>Latin America and the Caribbean</v>
      </c>
      <c r="AT391" s="233" t="str">
        <f>VLOOKUP(Table8[[#This Row],[Country Code]],Table29[],5,FALSE)</f>
        <v>High-income</v>
      </c>
      <c r="AU391" s="233" t="str">
        <f>VLOOKUP(Table8[[#This Row],[Country Code]],Table29[],6,FALSE)</f>
        <v>no</v>
      </c>
      <c r="AV391" s="233" t="str">
        <f>VLOOKUP(Table8[[#This Row],[Country Code]],Table29[],7,FALSE)</f>
        <v>no</v>
      </c>
      <c r="AW391" s="233" t="str">
        <f>VLOOKUP(Table8[[#This Row],[Country Code]],Table29[],8,FALSE)</f>
        <v>OECD</v>
      </c>
      <c r="AX391" s="233" t="str">
        <f>VLOOKUP(Table8[[#This Row],[Country Code]],Table29[],9,FALSE)</f>
        <v>no</v>
      </c>
      <c r="AY391" s="233" t="str">
        <f>VLOOKUP(Table8[[#This Row],[Country Code]],Table29[],10,FALSE)</f>
        <v>no</v>
      </c>
      <c r="AZ391" s="235">
        <f>VLOOKUP(Table8[[#This Row],[Country Code]],Table29[],23,FALSE)</f>
        <v>121.46313217391</v>
      </c>
      <c r="BA391" s="235">
        <f>VLOOKUP(Table8[[#This Row],[Country Code]],Table29[],24,FALSE)</f>
        <v>32.478801178832768</v>
      </c>
      <c r="BB391" s="320"/>
      <c r="BC391" s="320"/>
    </row>
    <row r="392" spans="1:55" ht="30" hidden="1" x14ac:dyDescent="0.25">
      <c r="A392" s="373">
        <v>17528</v>
      </c>
      <c r="B392" s="233" t="str">
        <f>VLOOKUP(Table8[[#This Row],[Document ID]],Table1[],2,FALSE)</f>
        <v>BEL</v>
      </c>
      <c r="C392" s="233" t="str">
        <f>VLOOKUP(Table8[[#This Row],[Document ID]],Table1[],3,FALSE)</f>
        <v>Belgium</v>
      </c>
      <c r="D392" s="243" t="str">
        <f>VLOOKUP(Table8[[#This Row],[Document ID]],Table1[],5,FALSE)</f>
        <v>LTS</v>
      </c>
      <c r="E392" s="233" t="str">
        <f>VLOOKUP(Table8[[#This Row],[Document ID]],Table1[],7,FALSE)</f>
        <v>EU-LTS</v>
      </c>
      <c r="F392" s="233" t="str">
        <f>VLOOKUP(Table8[[#This Row],[Document ID]],Table1[],8,FALSE)</f>
        <v>LTS 1.0</v>
      </c>
      <c r="G392" s="233" t="str">
        <f>VLOOKUP(Table8[[#This Row],[Document ID]],Table1[],10,FALSE)</f>
        <v>Active</v>
      </c>
      <c r="H392" s="43" t="s">
        <v>2350</v>
      </c>
      <c r="I392" s="43" t="s">
        <v>2351</v>
      </c>
      <c r="J392" s="44" t="s">
        <v>2352</v>
      </c>
      <c r="K392" s="44" t="s">
        <v>2738</v>
      </c>
      <c r="L392" s="44" t="s">
        <v>2347</v>
      </c>
      <c r="M392" s="43">
        <v>7</v>
      </c>
      <c r="N392" s="113"/>
      <c r="O392" s="113"/>
      <c r="P392" s="113"/>
      <c r="Q392" s="113"/>
      <c r="R392" s="113"/>
      <c r="S392" s="113" t="s">
        <v>1113</v>
      </c>
      <c r="T392" s="113"/>
      <c r="U392" s="113"/>
      <c r="V392" s="113"/>
      <c r="W392" s="113"/>
      <c r="X392" s="113"/>
      <c r="Y392" s="113"/>
      <c r="Z392" s="113" t="s">
        <v>1113</v>
      </c>
      <c r="AA392" s="113"/>
      <c r="AB392" s="113"/>
      <c r="AC392" s="113"/>
      <c r="AD392" s="113"/>
      <c r="AE392" s="113"/>
      <c r="AF392" s="113" t="s">
        <v>1113</v>
      </c>
      <c r="AG392" s="113"/>
      <c r="AH392" s="113"/>
      <c r="AI392" s="113"/>
      <c r="AJ392" s="113"/>
      <c r="AK392" s="319" t="s">
        <v>1113</v>
      </c>
      <c r="AL392" s="113"/>
      <c r="AM392" s="113"/>
      <c r="AN392" s="113"/>
      <c r="AO392" s="43" t="s">
        <v>2353</v>
      </c>
      <c r="AP392" s="43"/>
      <c r="AQ392" s="236" t="str">
        <f>VLOOKUP(Table8[[#This Row],[Instrument]],Def_Targets!$D$73:$E$159,2,FALSE)</f>
        <v>S_Railfreight</v>
      </c>
      <c r="AR392" s="233" t="str">
        <f>VLOOKUP(Table8[[#This Row],[Country Code]],Table29[],3,FALSE)</f>
        <v>Annex I</v>
      </c>
      <c r="AS392" s="233" t="str">
        <f>VLOOKUP(Table8[[#This Row],[Country Code]],Table29[],4,FALSE)</f>
        <v>Europe</v>
      </c>
      <c r="AT392" s="233" t="str">
        <f>VLOOKUP(Table8[[#This Row],[Country Code]],Table29[],5,FALSE)</f>
        <v>High-income</v>
      </c>
      <c r="AU392" s="233" t="str">
        <f>VLOOKUP(Table8[[#This Row],[Country Code]],Table29[],6,FALSE)</f>
        <v>no</v>
      </c>
      <c r="AV392" s="233" t="str">
        <f>VLOOKUP(Table8[[#This Row],[Country Code]],Table29[],7,FALSE)</f>
        <v>no</v>
      </c>
      <c r="AW392" s="233" t="str">
        <f>VLOOKUP(Table8[[#This Row],[Country Code]],Table29[],8,FALSE)</f>
        <v>OECD</v>
      </c>
      <c r="AX392" s="233" t="str">
        <f>VLOOKUP(Table8[[#This Row],[Country Code]],Table29[],9,FALSE)</f>
        <v>EU27</v>
      </c>
      <c r="AY392" s="233" t="str">
        <f>VLOOKUP(Table8[[#This Row],[Country Code]],Table29[],10,FALSE)</f>
        <v>no</v>
      </c>
      <c r="AZ392" s="235">
        <f>VLOOKUP(Table8[[#This Row],[Country Code]],Table29[],23,FALSE)</f>
        <v>106.37018790875</v>
      </c>
      <c r="BA392" s="235">
        <f>VLOOKUP(Table8[[#This Row],[Country Code]],Table29[],24,FALSE)</f>
        <v>22.197662702188101</v>
      </c>
      <c r="BB392" s="320"/>
      <c r="BC392" s="320"/>
    </row>
    <row r="393" spans="1:55" ht="45" hidden="1" x14ac:dyDescent="0.25">
      <c r="A393" s="373">
        <v>17528</v>
      </c>
      <c r="B393" s="233" t="str">
        <f>VLOOKUP(Table8[[#This Row],[Document ID]],Table1[],2,FALSE)</f>
        <v>BEL</v>
      </c>
      <c r="C393" s="233" t="str">
        <f>VLOOKUP(Table8[[#This Row],[Document ID]],Table1[],3,FALSE)</f>
        <v>Belgium</v>
      </c>
      <c r="D393" s="243" t="str">
        <f>VLOOKUP(Table8[[#This Row],[Document ID]],Table1[],5,FALSE)</f>
        <v>LTS</v>
      </c>
      <c r="E393" s="233" t="str">
        <f>VLOOKUP(Table8[[#This Row],[Document ID]],Table1[],7,FALSE)</f>
        <v>EU-LTS</v>
      </c>
      <c r="F393" s="233" t="str">
        <f>VLOOKUP(Table8[[#This Row],[Document ID]],Table1[],8,FALSE)</f>
        <v>LTS 1.0</v>
      </c>
      <c r="G393" s="233" t="str">
        <f>VLOOKUP(Table8[[#This Row],[Document ID]],Table1[],10,FALSE)</f>
        <v>Active</v>
      </c>
      <c r="H393" s="43" t="s">
        <v>2358</v>
      </c>
      <c r="I393" s="43" t="s">
        <v>2359</v>
      </c>
      <c r="J393" s="44" t="s">
        <v>2360</v>
      </c>
      <c r="K393" s="44" t="s">
        <v>2739</v>
      </c>
      <c r="L393" s="44" t="s">
        <v>2333</v>
      </c>
      <c r="M393" s="43">
        <v>7</v>
      </c>
      <c r="N393" s="113" t="s">
        <v>1113</v>
      </c>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319" t="s">
        <v>1113</v>
      </c>
      <c r="AL393" s="113"/>
      <c r="AM393" s="113"/>
      <c r="AN393" s="113"/>
      <c r="AO393" s="44" t="s">
        <v>2334</v>
      </c>
      <c r="AP393" s="43"/>
      <c r="AQ393" s="236" t="str">
        <f>VLOOKUP(Table8[[#This Row],[Instrument]],Def_Targets!$D$73:$E$159,2,FALSE)</f>
        <v>I_Emobility</v>
      </c>
      <c r="AR393" s="233" t="str">
        <f>VLOOKUP(Table8[[#This Row],[Country Code]],Table29[],3,FALSE)</f>
        <v>Annex I</v>
      </c>
      <c r="AS393" s="233" t="str">
        <f>VLOOKUP(Table8[[#This Row],[Country Code]],Table29[],4,FALSE)</f>
        <v>Europe</v>
      </c>
      <c r="AT393" s="233" t="str">
        <f>VLOOKUP(Table8[[#This Row],[Country Code]],Table29[],5,FALSE)</f>
        <v>High-income</v>
      </c>
      <c r="AU393" s="233" t="str">
        <f>VLOOKUP(Table8[[#This Row],[Country Code]],Table29[],6,FALSE)</f>
        <v>no</v>
      </c>
      <c r="AV393" s="233" t="str">
        <f>VLOOKUP(Table8[[#This Row],[Country Code]],Table29[],7,FALSE)</f>
        <v>no</v>
      </c>
      <c r="AW393" s="233" t="str">
        <f>VLOOKUP(Table8[[#This Row],[Country Code]],Table29[],8,FALSE)</f>
        <v>OECD</v>
      </c>
      <c r="AX393" s="233" t="str">
        <f>VLOOKUP(Table8[[#This Row],[Country Code]],Table29[],9,FALSE)</f>
        <v>EU27</v>
      </c>
      <c r="AY393" s="233" t="str">
        <f>VLOOKUP(Table8[[#This Row],[Country Code]],Table29[],10,FALSE)</f>
        <v>no</v>
      </c>
      <c r="AZ393" s="235">
        <f>VLOOKUP(Table8[[#This Row],[Country Code]],Table29[],23,FALSE)</f>
        <v>106.37018790875</v>
      </c>
      <c r="BA393" s="235">
        <f>VLOOKUP(Table8[[#This Row],[Country Code]],Table29[],24,FALSE)</f>
        <v>22.197662702188101</v>
      </c>
      <c r="BB393" s="320"/>
      <c r="BC393" s="320"/>
    </row>
    <row r="394" spans="1:55" ht="45" hidden="1" x14ac:dyDescent="0.25">
      <c r="A394" s="373">
        <v>17528</v>
      </c>
      <c r="B394" s="233" t="str">
        <f>VLOOKUP(Table8[[#This Row],[Document ID]],Table1[],2,FALSE)</f>
        <v>BEL</v>
      </c>
      <c r="C394" s="233" t="str">
        <f>VLOOKUP(Table8[[#This Row],[Document ID]],Table1[],3,FALSE)</f>
        <v>Belgium</v>
      </c>
      <c r="D394" s="243" t="str">
        <f>VLOOKUP(Table8[[#This Row],[Document ID]],Table1[],5,FALSE)</f>
        <v>LTS</v>
      </c>
      <c r="E394" s="233" t="str">
        <f>VLOOKUP(Table8[[#This Row],[Document ID]],Table1[],7,FALSE)</f>
        <v>EU-LTS</v>
      </c>
      <c r="F394" s="233" t="str">
        <f>VLOOKUP(Table8[[#This Row],[Document ID]],Table1[],8,FALSE)</f>
        <v>LTS 1.0</v>
      </c>
      <c r="G394" s="233" t="str">
        <f>VLOOKUP(Table8[[#This Row],[Document ID]],Table1[],10,FALSE)</f>
        <v>Active</v>
      </c>
      <c r="H394" s="44" t="s">
        <v>2329</v>
      </c>
      <c r="I394" s="44" t="s">
        <v>2330</v>
      </c>
      <c r="J394" s="44" t="s">
        <v>2391</v>
      </c>
      <c r="K394" s="44" t="s">
        <v>2739</v>
      </c>
      <c r="L394" s="44" t="s">
        <v>2333</v>
      </c>
      <c r="M394" s="43">
        <v>7</v>
      </c>
      <c r="N394" s="113" t="s">
        <v>1113</v>
      </c>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319" t="s">
        <v>1113</v>
      </c>
      <c r="AL394" s="113"/>
      <c r="AM394" s="113"/>
      <c r="AN394" s="113"/>
      <c r="AO394" s="44" t="s">
        <v>2334</v>
      </c>
      <c r="AP394" s="43"/>
      <c r="AQ394" s="236" t="str">
        <f>VLOOKUP(Table8[[#This Row],[Instrument]],Def_Targets!$D$73:$E$159,2,FALSE)</f>
        <v>I_Hydrogen</v>
      </c>
      <c r="AR394" s="233" t="str">
        <f>VLOOKUP(Table8[[#This Row],[Country Code]],Table29[],3,FALSE)</f>
        <v>Annex I</v>
      </c>
      <c r="AS394" s="233" t="str">
        <f>VLOOKUP(Table8[[#This Row],[Country Code]],Table29[],4,FALSE)</f>
        <v>Europe</v>
      </c>
      <c r="AT394" s="233" t="str">
        <f>VLOOKUP(Table8[[#This Row],[Country Code]],Table29[],5,FALSE)</f>
        <v>High-income</v>
      </c>
      <c r="AU394" s="233" t="str">
        <f>VLOOKUP(Table8[[#This Row],[Country Code]],Table29[],6,FALSE)</f>
        <v>no</v>
      </c>
      <c r="AV394" s="233" t="str">
        <f>VLOOKUP(Table8[[#This Row],[Country Code]],Table29[],7,FALSE)</f>
        <v>no</v>
      </c>
      <c r="AW394" s="233" t="str">
        <f>VLOOKUP(Table8[[#This Row],[Country Code]],Table29[],8,FALSE)</f>
        <v>OECD</v>
      </c>
      <c r="AX394" s="233" t="str">
        <f>VLOOKUP(Table8[[#This Row],[Country Code]],Table29[],9,FALSE)</f>
        <v>EU27</v>
      </c>
      <c r="AY394" s="233" t="str">
        <f>VLOOKUP(Table8[[#This Row],[Country Code]],Table29[],10,FALSE)</f>
        <v>no</v>
      </c>
      <c r="AZ394" s="235">
        <f>VLOOKUP(Table8[[#This Row],[Country Code]],Table29[],23,FALSE)</f>
        <v>106.37018790875</v>
      </c>
      <c r="BA394" s="235">
        <f>VLOOKUP(Table8[[#This Row],[Country Code]],Table29[],24,FALSE)</f>
        <v>22.197662702188101</v>
      </c>
      <c r="BB394" s="320"/>
      <c r="BC394" s="320"/>
    </row>
    <row r="395" spans="1:55" ht="75" hidden="1" x14ac:dyDescent="0.25">
      <c r="A395" s="373">
        <v>17528</v>
      </c>
      <c r="B395" s="233" t="str">
        <f>VLOOKUP(Table8[[#This Row],[Document ID]],Table1[],2,FALSE)</f>
        <v>BEL</v>
      </c>
      <c r="C395" s="233" t="str">
        <f>VLOOKUP(Table8[[#This Row],[Document ID]],Table1[],3,FALSE)</f>
        <v>Belgium</v>
      </c>
      <c r="D395" s="243" t="str">
        <f>VLOOKUP(Table8[[#This Row],[Document ID]],Table1[],5,FALSE)</f>
        <v>LTS</v>
      </c>
      <c r="E395" s="233" t="str">
        <f>VLOOKUP(Table8[[#This Row],[Document ID]],Table1[],7,FALSE)</f>
        <v>EU-LTS</v>
      </c>
      <c r="F395" s="233" t="str">
        <f>VLOOKUP(Table8[[#This Row],[Document ID]],Table1[],8,FALSE)</f>
        <v>LTS 1.0</v>
      </c>
      <c r="G395" s="233" t="str">
        <f>VLOOKUP(Table8[[#This Row],[Document ID]],Table1[],10,FALSE)</f>
        <v>Active</v>
      </c>
      <c r="H395" s="44" t="s">
        <v>2329</v>
      </c>
      <c r="I395" s="44" t="s">
        <v>2330</v>
      </c>
      <c r="J395" s="44" t="s">
        <v>2331</v>
      </c>
      <c r="K395" s="44" t="s">
        <v>2740</v>
      </c>
      <c r="L395" s="44" t="s">
        <v>2333</v>
      </c>
      <c r="M395" s="43">
        <v>7</v>
      </c>
      <c r="N395" s="113" t="s">
        <v>1113</v>
      </c>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319" t="s">
        <v>1113</v>
      </c>
      <c r="AL395" s="113"/>
      <c r="AM395" s="113"/>
      <c r="AN395" s="113"/>
      <c r="AO395" s="43" t="s">
        <v>2353</v>
      </c>
      <c r="AP395" s="43"/>
      <c r="AQ395" s="236" t="str">
        <f>VLOOKUP(Table8[[#This Row],[Instrument]],Def_Targets!$D$73:$E$159,2,FALSE)</f>
        <v>I_Altfuels</v>
      </c>
      <c r="AR395" s="233" t="str">
        <f>VLOOKUP(Table8[[#This Row],[Country Code]],Table29[],3,FALSE)</f>
        <v>Annex I</v>
      </c>
      <c r="AS395" s="233" t="str">
        <f>VLOOKUP(Table8[[#This Row],[Country Code]],Table29[],4,FALSE)</f>
        <v>Europe</v>
      </c>
      <c r="AT395" s="233" t="str">
        <f>VLOOKUP(Table8[[#This Row],[Country Code]],Table29[],5,FALSE)</f>
        <v>High-income</v>
      </c>
      <c r="AU395" s="233" t="str">
        <f>VLOOKUP(Table8[[#This Row],[Country Code]],Table29[],6,FALSE)</f>
        <v>no</v>
      </c>
      <c r="AV395" s="233" t="str">
        <f>VLOOKUP(Table8[[#This Row],[Country Code]],Table29[],7,FALSE)</f>
        <v>no</v>
      </c>
      <c r="AW395" s="233" t="str">
        <f>VLOOKUP(Table8[[#This Row],[Country Code]],Table29[],8,FALSE)</f>
        <v>OECD</v>
      </c>
      <c r="AX395" s="233" t="str">
        <f>VLOOKUP(Table8[[#This Row],[Country Code]],Table29[],9,FALSE)</f>
        <v>EU27</v>
      </c>
      <c r="AY395" s="233" t="str">
        <f>VLOOKUP(Table8[[#This Row],[Country Code]],Table29[],10,FALSE)</f>
        <v>no</v>
      </c>
      <c r="AZ395" s="235">
        <f>VLOOKUP(Table8[[#This Row],[Country Code]],Table29[],23,FALSE)</f>
        <v>106.37018790875</v>
      </c>
      <c r="BA395" s="235">
        <f>VLOOKUP(Table8[[#This Row],[Country Code]],Table29[],24,FALSE)</f>
        <v>22.197662702188101</v>
      </c>
      <c r="BB395" s="320"/>
      <c r="BC395" s="320"/>
    </row>
    <row r="396" spans="1:55" ht="75" hidden="1" x14ac:dyDescent="0.25">
      <c r="A396" s="373">
        <v>17528</v>
      </c>
      <c r="B396" s="233" t="str">
        <f>VLOOKUP(Table8[[#This Row],[Document ID]],Table1[],2,FALSE)</f>
        <v>BEL</v>
      </c>
      <c r="C396" s="233" t="str">
        <f>VLOOKUP(Table8[[#This Row],[Document ID]],Table1[],3,FALSE)</f>
        <v>Belgium</v>
      </c>
      <c r="D396" s="243" t="str">
        <f>VLOOKUP(Table8[[#This Row],[Document ID]],Table1[],5,FALSE)</f>
        <v>LTS</v>
      </c>
      <c r="E396" s="233" t="str">
        <f>VLOOKUP(Table8[[#This Row],[Document ID]],Table1[],7,FALSE)</f>
        <v>EU-LTS</v>
      </c>
      <c r="F396" s="233" t="str">
        <f>VLOOKUP(Table8[[#This Row],[Document ID]],Table1[],8,FALSE)</f>
        <v>LTS 1.0</v>
      </c>
      <c r="G396" s="233" t="str">
        <f>VLOOKUP(Table8[[#This Row],[Document ID]],Table1[],10,FALSE)</f>
        <v>Active</v>
      </c>
      <c r="H396" s="44" t="s">
        <v>2329</v>
      </c>
      <c r="I396" s="44" t="s">
        <v>2330</v>
      </c>
      <c r="J396" s="44" t="s">
        <v>2357</v>
      </c>
      <c r="K396" s="44" t="s">
        <v>2740</v>
      </c>
      <c r="L396" s="44" t="s">
        <v>2333</v>
      </c>
      <c r="M396" s="43">
        <v>7</v>
      </c>
      <c r="N396" s="113" t="s">
        <v>1113</v>
      </c>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319" t="s">
        <v>1113</v>
      </c>
      <c r="AL396" s="113"/>
      <c r="AM396" s="113"/>
      <c r="AN396" s="113"/>
      <c r="AO396" s="43" t="s">
        <v>2353</v>
      </c>
      <c r="AP396" s="43"/>
      <c r="AQ396" s="236" t="str">
        <f>VLOOKUP(Table8[[#This Row],[Instrument]],Def_Targets!$D$73:$E$159,2,FALSE)</f>
        <v>I_Biofuel</v>
      </c>
      <c r="AR396" s="233" t="str">
        <f>VLOOKUP(Table8[[#This Row],[Country Code]],Table29[],3,FALSE)</f>
        <v>Annex I</v>
      </c>
      <c r="AS396" s="233" t="str">
        <f>VLOOKUP(Table8[[#This Row],[Country Code]],Table29[],4,FALSE)</f>
        <v>Europe</v>
      </c>
      <c r="AT396" s="233" t="str">
        <f>VLOOKUP(Table8[[#This Row],[Country Code]],Table29[],5,FALSE)</f>
        <v>High-income</v>
      </c>
      <c r="AU396" s="233" t="str">
        <f>VLOOKUP(Table8[[#This Row],[Country Code]],Table29[],6,FALSE)</f>
        <v>no</v>
      </c>
      <c r="AV396" s="233" t="str">
        <f>VLOOKUP(Table8[[#This Row],[Country Code]],Table29[],7,FALSE)</f>
        <v>no</v>
      </c>
      <c r="AW396" s="233" t="str">
        <f>VLOOKUP(Table8[[#This Row],[Country Code]],Table29[],8,FALSE)</f>
        <v>OECD</v>
      </c>
      <c r="AX396" s="233" t="str">
        <f>VLOOKUP(Table8[[#This Row],[Country Code]],Table29[],9,FALSE)</f>
        <v>EU27</v>
      </c>
      <c r="AY396" s="233" t="str">
        <f>VLOOKUP(Table8[[#This Row],[Country Code]],Table29[],10,FALSE)</f>
        <v>no</v>
      </c>
      <c r="AZ396" s="235">
        <f>VLOOKUP(Table8[[#This Row],[Country Code]],Table29[],23,FALSE)</f>
        <v>106.37018790875</v>
      </c>
      <c r="BA396" s="235">
        <f>VLOOKUP(Table8[[#This Row],[Country Code]],Table29[],24,FALSE)</f>
        <v>22.197662702188101</v>
      </c>
      <c r="BB396" s="320"/>
      <c r="BC396" s="320"/>
    </row>
    <row r="397" spans="1:55" ht="45" hidden="1" x14ac:dyDescent="0.25">
      <c r="A397" s="373">
        <v>17528</v>
      </c>
      <c r="B397" s="233" t="str">
        <f>VLOOKUP(Table8[[#This Row],[Document ID]],Table1[],2,FALSE)</f>
        <v>BEL</v>
      </c>
      <c r="C397" s="233" t="str">
        <f>VLOOKUP(Table8[[#This Row],[Document ID]],Table1[],3,FALSE)</f>
        <v>Belgium</v>
      </c>
      <c r="D397" s="243" t="str">
        <f>VLOOKUP(Table8[[#This Row],[Document ID]],Table1[],5,FALSE)</f>
        <v>LTS</v>
      </c>
      <c r="E397" s="233" t="str">
        <f>VLOOKUP(Table8[[#This Row],[Document ID]],Table1[],7,FALSE)</f>
        <v>EU-LTS</v>
      </c>
      <c r="F397" s="233" t="str">
        <f>VLOOKUP(Table8[[#This Row],[Document ID]],Table1[],8,FALSE)</f>
        <v>LTS 1.0</v>
      </c>
      <c r="G397" s="233" t="str">
        <f>VLOOKUP(Table8[[#This Row],[Document ID]],Table1[],10,FALSE)</f>
        <v>Active</v>
      </c>
      <c r="H397" s="44" t="s">
        <v>2343</v>
      </c>
      <c r="I397" s="43" t="s">
        <v>2377</v>
      </c>
      <c r="J397" s="44" t="s">
        <v>2521</v>
      </c>
      <c r="K397" s="44" t="s">
        <v>2741</v>
      </c>
      <c r="L397" s="44" t="s">
        <v>2333</v>
      </c>
      <c r="M397" s="43">
        <v>7</v>
      </c>
      <c r="N397" s="113"/>
      <c r="O397" s="113"/>
      <c r="P397" s="113"/>
      <c r="Q397" s="113"/>
      <c r="R397" s="113"/>
      <c r="S397" s="113" t="s">
        <v>1113</v>
      </c>
      <c r="T397" s="113"/>
      <c r="U397" s="113"/>
      <c r="V397" s="113"/>
      <c r="W397" s="113"/>
      <c r="X397" s="113"/>
      <c r="Y397" s="113"/>
      <c r="Z397" s="113"/>
      <c r="AA397" s="113"/>
      <c r="AB397" s="113"/>
      <c r="AC397" s="113"/>
      <c r="AD397" s="113"/>
      <c r="AE397" s="113"/>
      <c r="AF397" s="113"/>
      <c r="AG397" s="113"/>
      <c r="AH397" s="113"/>
      <c r="AI397" s="113"/>
      <c r="AJ397" s="113"/>
      <c r="AK397" s="113"/>
      <c r="AL397" s="113" t="s">
        <v>1113</v>
      </c>
      <c r="AM397" s="113"/>
      <c r="AN397" s="113"/>
      <c r="AO397" s="44" t="s">
        <v>2334</v>
      </c>
      <c r="AP397" s="43"/>
      <c r="AQ397" s="236" t="str">
        <f>VLOOKUP(Table8[[#This Row],[Instrument]],Def_Targets!$D$73:$E$159,2,FALSE)</f>
        <v>A_Caraccess</v>
      </c>
      <c r="AR397" s="233" t="str">
        <f>VLOOKUP(Table8[[#This Row],[Country Code]],Table29[],3,FALSE)</f>
        <v>Annex I</v>
      </c>
      <c r="AS397" s="233" t="str">
        <f>VLOOKUP(Table8[[#This Row],[Country Code]],Table29[],4,FALSE)</f>
        <v>Europe</v>
      </c>
      <c r="AT397" s="233" t="str">
        <f>VLOOKUP(Table8[[#This Row],[Country Code]],Table29[],5,FALSE)</f>
        <v>High-income</v>
      </c>
      <c r="AU397" s="233" t="str">
        <f>VLOOKUP(Table8[[#This Row],[Country Code]],Table29[],6,FALSE)</f>
        <v>no</v>
      </c>
      <c r="AV397" s="233" t="str">
        <f>VLOOKUP(Table8[[#This Row],[Country Code]],Table29[],7,FALSE)</f>
        <v>no</v>
      </c>
      <c r="AW397" s="233" t="str">
        <f>VLOOKUP(Table8[[#This Row],[Country Code]],Table29[],8,FALSE)</f>
        <v>OECD</v>
      </c>
      <c r="AX397" s="233" t="str">
        <f>VLOOKUP(Table8[[#This Row],[Country Code]],Table29[],9,FALSE)</f>
        <v>EU27</v>
      </c>
      <c r="AY397" s="233" t="str">
        <f>VLOOKUP(Table8[[#This Row],[Country Code]],Table29[],10,FALSE)</f>
        <v>no</v>
      </c>
      <c r="AZ397" s="235">
        <f>VLOOKUP(Table8[[#This Row],[Country Code]],Table29[],23,FALSE)</f>
        <v>106.37018790875</v>
      </c>
      <c r="BA397" s="235">
        <f>VLOOKUP(Table8[[#This Row],[Country Code]],Table29[],24,FALSE)</f>
        <v>22.197662702188101</v>
      </c>
      <c r="BB397" s="320"/>
      <c r="BC397" s="320"/>
    </row>
    <row r="398" spans="1:55" ht="45" hidden="1" x14ac:dyDescent="0.25">
      <c r="A398" s="373">
        <v>17528</v>
      </c>
      <c r="B398" s="233" t="str">
        <f>VLOOKUP(Table8[[#This Row],[Document ID]],Table1[],2,FALSE)</f>
        <v>BEL</v>
      </c>
      <c r="C398" s="233" t="str">
        <f>VLOOKUP(Table8[[#This Row],[Document ID]],Table1[],3,FALSE)</f>
        <v>Belgium</v>
      </c>
      <c r="D398" s="243" t="str">
        <f>VLOOKUP(Table8[[#This Row],[Document ID]],Table1[],5,FALSE)</f>
        <v>LTS</v>
      </c>
      <c r="E398" s="233" t="str">
        <f>VLOOKUP(Table8[[#This Row],[Document ID]],Table1[],7,FALSE)</f>
        <v>EU-LTS</v>
      </c>
      <c r="F398" s="233" t="str">
        <f>VLOOKUP(Table8[[#This Row],[Document ID]],Table1[],8,FALSE)</f>
        <v>LTS 1.0</v>
      </c>
      <c r="G398" s="233" t="str">
        <f>VLOOKUP(Table8[[#This Row],[Document ID]],Table1[],10,FALSE)</f>
        <v>Active</v>
      </c>
      <c r="H398" s="44" t="s">
        <v>2329</v>
      </c>
      <c r="I398" s="44" t="s">
        <v>2330</v>
      </c>
      <c r="J398" s="44" t="s">
        <v>2331</v>
      </c>
      <c r="K398" s="44" t="s">
        <v>2742</v>
      </c>
      <c r="L398" s="44" t="s">
        <v>2333</v>
      </c>
      <c r="M398" s="43">
        <v>7</v>
      </c>
      <c r="N398" s="113"/>
      <c r="O398" s="113"/>
      <c r="P398" s="113"/>
      <c r="Q398" s="113"/>
      <c r="R398" s="113"/>
      <c r="S398" s="113"/>
      <c r="T398" s="113"/>
      <c r="U398" s="113"/>
      <c r="V398" s="113"/>
      <c r="W398" s="113"/>
      <c r="X398" s="113"/>
      <c r="Y398" s="113"/>
      <c r="Z398" s="113"/>
      <c r="AA398" s="113"/>
      <c r="AB398" s="113"/>
      <c r="AC398" s="113"/>
      <c r="AD398" s="113" t="s">
        <v>1113</v>
      </c>
      <c r="AE398" s="113"/>
      <c r="AF398" s="113"/>
      <c r="AG398" s="113"/>
      <c r="AH398" s="113" t="s">
        <v>1113</v>
      </c>
      <c r="AI398" s="113"/>
      <c r="AJ398" s="113"/>
      <c r="AK398" s="319" t="s">
        <v>1113</v>
      </c>
      <c r="AL398" s="113"/>
      <c r="AM398" s="113"/>
      <c r="AN398" s="113"/>
      <c r="AO398" s="44" t="s">
        <v>2334</v>
      </c>
      <c r="AP398" s="43"/>
      <c r="AQ398" s="236" t="str">
        <f>VLOOKUP(Table8[[#This Row],[Instrument]],Def_Targets!$D$73:$E$159,2,FALSE)</f>
        <v>I_Altfuels</v>
      </c>
      <c r="AR398" s="233" t="str">
        <f>VLOOKUP(Table8[[#This Row],[Country Code]],Table29[],3,FALSE)</f>
        <v>Annex I</v>
      </c>
      <c r="AS398" s="233" t="str">
        <f>VLOOKUP(Table8[[#This Row],[Country Code]],Table29[],4,FALSE)</f>
        <v>Europe</v>
      </c>
      <c r="AT398" s="233" t="str">
        <f>VLOOKUP(Table8[[#This Row],[Country Code]],Table29[],5,FALSE)</f>
        <v>High-income</v>
      </c>
      <c r="AU398" s="233" t="str">
        <f>VLOOKUP(Table8[[#This Row],[Country Code]],Table29[],6,FALSE)</f>
        <v>no</v>
      </c>
      <c r="AV398" s="233" t="str">
        <f>VLOOKUP(Table8[[#This Row],[Country Code]],Table29[],7,FALSE)</f>
        <v>no</v>
      </c>
      <c r="AW398" s="233" t="str">
        <f>VLOOKUP(Table8[[#This Row],[Country Code]],Table29[],8,FALSE)</f>
        <v>OECD</v>
      </c>
      <c r="AX398" s="233" t="str">
        <f>VLOOKUP(Table8[[#This Row],[Country Code]],Table29[],9,FALSE)</f>
        <v>EU27</v>
      </c>
      <c r="AY398" s="233" t="str">
        <f>VLOOKUP(Table8[[#This Row],[Country Code]],Table29[],10,FALSE)</f>
        <v>no</v>
      </c>
      <c r="AZ398" s="235">
        <f>VLOOKUP(Table8[[#This Row],[Country Code]],Table29[],23,FALSE)</f>
        <v>106.37018790875</v>
      </c>
      <c r="BA398" s="235">
        <f>VLOOKUP(Table8[[#This Row],[Country Code]],Table29[],24,FALSE)</f>
        <v>22.197662702188101</v>
      </c>
      <c r="BB398" s="320"/>
      <c r="BC398" s="320"/>
    </row>
    <row r="399" spans="1:55" ht="45" hidden="1" x14ac:dyDescent="0.25">
      <c r="A399" s="373">
        <v>17528</v>
      </c>
      <c r="B399" s="233" t="str">
        <f>VLOOKUP(Table8[[#This Row],[Document ID]],Table1[],2,FALSE)</f>
        <v>BEL</v>
      </c>
      <c r="C399" s="233" t="str">
        <f>VLOOKUP(Table8[[#This Row],[Document ID]],Table1[],3,FALSE)</f>
        <v>Belgium</v>
      </c>
      <c r="D399" s="243" t="str">
        <f>VLOOKUP(Table8[[#This Row],[Document ID]],Table1[],5,FALSE)</f>
        <v>LTS</v>
      </c>
      <c r="E399" s="233" t="str">
        <f>VLOOKUP(Table8[[#This Row],[Document ID]],Table1[],7,FALSE)</f>
        <v>EU-LTS</v>
      </c>
      <c r="F399" s="233" t="str">
        <f>VLOOKUP(Table8[[#This Row],[Document ID]],Table1[],8,FALSE)</f>
        <v>LTS 1.0</v>
      </c>
      <c r="G399" s="233" t="str">
        <f>VLOOKUP(Table8[[#This Row],[Document ID]],Table1[],10,FALSE)</f>
        <v>Active</v>
      </c>
      <c r="H399" s="43" t="s">
        <v>2350</v>
      </c>
      <c r="I399" s="43" t="s">
        <v>2456</v>
      </c>
      <c r="J399" s="44" t="s">
        <v>2457</v>
      </c>
      <c r="K399" s="44" t="s">
        <v>2743</v>
      </c>
      <c r="L399" s="44" t="s">
        <v>2347</v>
      </c>
      <c r="M399" s="43">
        <v>7</v>
      </c>
      <c r="N399" s="113"/>
      <c r="O399" s="113"/>
      <c r="P399" s="113"/>
      <c r="Q399" s="113"/>
      <c r="R399" s="113"/>
      <c r="S399" s="113"/>
      <c r="T399" s="113"/>
      <c r="U399" s="113"/>
      <c r="V399" s="113"/>
      <c r="W399" s="113"/>
      <c r="X399" s="113"/>
      <c r="Y399" s="113"/>
      <c r="Z399" s="113" t="s">
        <v>1113</v>
      </c>
      <c r="AA399" s="113"/>
      <c r="AB399" s="113"/>
      <c r="AC399" s="113"/>
      <c r="AD399" s="113"/>
      <c r="AE399" s="113"/>
      <c r="AF399" s="113"/>
      <c r="AG399" s="113"/>
      <c r="AH399" s="113"/>
      <c r="AI399" s="113"/>
      <c r="AJ399" s="113"/>
      <c r="AK399" s="113"/>
      <c r="AL399" s="113"/>
      <c r="AM399" s="113"/>
      <c r="AN399" s="113" t="s">
        <v>1113</v>
      </c>
      <c r="AO399" s="43" t="s">
        <v>2477</v>
      </c>
      <c r="AP399" s="43"/>
      <c r="AQ399" s="236" t="str">
        <f>VLOOKUP(Table8[[#This Row],[Instrument]],Def_Targets!$D$73:$E$159,2,FALSE)</f>
        <v>S_Infraimprove</v>
      </c>
      <c r="AR399" s="233" t="str">
        <f>VLOOKUP(Table8[[#This Row],[Country Code]],Table29[],3,FALSE)</f>
        <v>Annex I</v>
      </c>
      <c r="AS399" s="233" t="str">
        <f>VLOOKUP(Table8[[#This Row],[Country Code]],Table29[],4,FALSE)</f>
        <v>Europe</v>
      </c>
      <c r="AT399" s="233" t="str">
        <f>VLOOKUP(Table8[[#This Row],[Country Code]],Table29[],5,FALSE)</f>
        <v>High-income</v>
      </c>
      <c r="AU399" s="233" t="str">
        <f>VLOOKUP(Table8[[#This Row],[Country Code]],Table29[],6,FALSE)</f>
        <v>no</v>
      </c>
      <c r="AV399" s="233" t="str">
        <f>VLOOKUP(Table8[[#This Row],[Country Code]],Table29[],7,FALSE)</f>
        <v>no</v>
      </c>
      <c r="AW399" s="233" t="str">
        <f>VLOOKUP(Table8[[#This Row],[Country Code]],Table29[],8,FALSE)</f>
        <v>OECD</v>
      </c>
      <c r="AX399" s="233" t="str">
        <f>VLOOKUP(Table8[[#This Row],[Country Code]],Table29[],9,FALSE)</f>
        <v>EU27</v>
      </c>
      <c r="AY399" s="233" t="str">
        <f>VLOOKUP(Table8[[#This Row],[Country Code]],Table29[],10,FALSE)</f>
        <v>no</v>
      </c>
      <c r="AZ399" s="235">
        <f>VLOOKUP(Table8[[#This Row],[Country Code]],Table29[],23,FALSE)</f>
        <v>106.37018790875</v>
      </c>
      <c r="BA399" s="235">
        <f>VLOOKUP(Table8[[#This Row],[Country Code]],Table29[],24,FALSE)</f>
        <v>22.197662702188101</v>
      </c>
      <c r="BB399" s="320"/>
      <c r="BC399" s="320"/>
    </row>
    <row r="400" spans="1:55" ht="30" hidden="1" x14ac:dyDescent="0.25">
      <c r="A400" s="373">
        <v>17528</v>
      </c>
      <c r="B400" s="233" t="str">
        <f>VLOOKUP(Table8[[#This Row],[Document ID]],Table1[],2,FALSE)</f>
        <v>BEL</v>
      </c>
      <c r="C400" s="233" t="str">
        <f>VLOOKUP(Table8[[#This Row],[Document ID]],Table1[],3,FALSE)</f>
        <v>Belgium</v>
      </c>
      <c r="D400" s="243" t="str">
        <f>VLOOKUP(Table8[[#This Row],[Document ID]],Table1[],5,FALSE)</f>
        <v>LTS</v>
      </c>
      <c r="E400" s="233" t="str">
        <f>VLOOKUP(Table8[[#This Row],[Document ID]],Table1[],7,FALSE)</f>
        <v>EU-LTS</v>
      </c>
      <c r="F400" s="233" t="str">
        <f>VLOOKUP(Table8[[#This Row],[Document ID]],Table1[],8,FALSE)</f>
        <v>LTS 1.0</v>
      </c>
      <c r="G400" s="233" t="str">
        <f>VLOOKUP(Table8[[#This Row],[Document ID]],Table1[],10,FALSE)</f>
        <v>Active</v>
      </c>
      <c r="H400" s="43" t="s">
        <v>2343</v>
      </c>
      <c r="I400" s="43" t="s">
        <v>2386</v>
      </c>
      <c r="J400" s="44" t="s">
        <v>2412</v>
      </c>
      <c r="K400" s="44" t="s">
        <v>2744</v>
      </c>
      <c r="L400" s="44" t="s">
        <v>2380</v>
      </c>
      <c r="M400" s="43">
        <v>7</v>
      </c>
      <c r="N400" s="113"/>
      <c r="O400" s="113"/>
      <c r="P400" s="113"/>
      <c r="Q400" s="113"/>
      <c r="R400" s="113"/>
      <c r="S400" s="113" t="s">
        <v>1113</v>
      </c>
      <c r="T400" s="113"/>
      <c r="U400" s="113"/>
      <c r="V400" s="113"/>
      <c r="W400" s="113"/>
      <c r="X400" s="113"/>
      <c r="Y400" s="113"/>
      <c r="Z400" s="113"/>
      <c r="AA400" s="113"/>
      <c r="AB400" s="113"/>
      <c r="AC400" s="113"/>
      <c r="AD400" s="113"/>
      <c r="AE400" s="113"/>
      <c r="AF400" s="113"/>
      <c r="AG400" s="113"/>
      <c r="AH400" s="113"/>
      <c r="AI400" s="113"/>
      <c r="AJ400" s="113"/>
      <c r="AK400" s="319" t="s">
        <v>1113</v>
      </c>
      <c r="AL400" s="113"/>
      <c r="AM400" s="113"/>
      <c r="AN400" s="113"/>
      <c r="AO400" s="44" t="s">
        <v>2334</v>
      </c>
      <c r="AP400" s="43"/>
      <c r="AQ400" s="236" t="str">
        <f>VLOOKUP(Table8[[#This Row],[Instrument]],Def_Targets!$D$73:$E$159,2,FALSE)</f>
        <v>A_Economic</v>
      </c>
      <c r="AR400" s="233" t="str">
        <f>VLOOKUP(Table8[[#This Row],[Country Code]],Table29[],3,FALSE)</f>
        <v>Annex I</v>
      </c>
      <c r="AS400" s="233" t="str">
        <f>VLOOKUP(Table8[[#This Row],[Country Code]],Table29[],4,FALSE)</f>
        <v>Europe</v>
      </c>
      <c r="AT400" s="233" t="str">
        <f>VLOOKUP(Table8[[#This Row],[Country Code]],Table29[],5,FALSE)</f>
        <v>High-income</v>
      </c>
      <c r="AU400" s="233" t="str">
        <f>VLOOKUP(Table8[[#This Row],[Country Code]],Table29[],6,FALSE)</f>
        <v>no</v>
      </c>
      <c r="AV400" s="233" t="str">
        <f>VLOOKUP(Table8[[#This Row],[Country Code]],Table29[],7,FALSE)</f>
        <v>no</v>
      </c>
      <c r="AW400" s="233" t="str">
        <f>VLOOKUP(Table8[[#This Row],[Country Code]],Table29[],8,FALSE)</f>
        <v>OECD</v>
      </c>
      <c r="AX400" s="233" t="str">
        <f>VLOOKUP(Table8[[#This Row],[Country Code]],Table29[],9,FALSE)</f>
        <v>EU27</v>
      </c>
      <c r="AY400" s="233" t="str">
        <f>VLOOKUP(Table8[[#This Row],[Country Code]],Table29[],10,FALSE)</f>
        <v>no</v>
      </c>
      <c r="AZ400" s="235">
        <f>VLOOKUP(Table8[[#This Row],[Country Code]],Table29[],23,FALSE)</f>
        <v>106.37018790875</v>
      </c>
      <c r="BA400" s="235">
        <f>VLOOKUP(Table8[[#This Row],[Country Code]],Table29[],24,FALSE)</f>
        <v>22.197662702188101</v>
      </c>
      <c r="BB400" s="320"/>
      <c r="BC400" s="320"/>
    </row>
    <row r="401" spans="1:55" ht="30" hidden="1" x14ac:dyDescent="0.25">
      <c r="A401" s="373">
        <v>39438</v>
      </c>
      <c r="B401" s="233" t="str">
        <f>VLOOKUP(Table8[[#This Row],[Document ID]],Table1[],2,FALSE)</f>
        <v>AZE</v>
      </c>
      <c r="C401" s="233" t="str">
        <f>VLOOKUP(Table8[[#This Row],[Document ID]],Table1[],3,FALSE)</f>
        <v>Azerbaijan</v>
      </c>
      <c r="D401" s="243" t="str">
        <f>VLOOKUP(Table8[[#This Row],[Document ID]],Table1[],5,FALSE)</f>
        <v>NDC</v>
      </c>
      <c r="E401" s="233" t="str">
        <f>VLOOKUP(Table8[[#This Row],[Document ID]],Table1[],7,FALSE)</f>
        <v>Second NDC</v>
      </c>
      <c r="F401" s="233" t="str">
        <f>VLOOKUP(Table8[[#This Row],[Document ID]],Table1[],8,FALSE)</f>
        <v>NDC 2.0</v>
      </c>
      <c r="G401" s="233" t="str">
        <f>VLOOKUP(Table8[[#This Row],[Document ID]],Table1[],10,FALSE)</f>
        <v>Active</v>
      </c>
      <c r="H401" s="43" t="s">
        <v>2343</v>
      </c>
      <c r="I401" s="43" t="s">
        <v>2344</v>
      </c>
      <c r="J401" s="44" t="s">
        <v>2345</v>
      </c>
      <c r="K401" s="316" t="s">
        <v>2745</v>
      </c>
      <c r="L401" s="44" t="s">
        <v>2333</v>
      </c>
      <c r="M401" s="43">
        <v>58</v>
      </c>
      <c r="N401" s="113"/>
      <c r="O401" s="113"/>
      <c r="P401" s="113"/>
      <c r="Q401" s="113"/>
      <c r="R401" s="113"/>
      <c r="S401" s="113"/>
      <c r="T401" s="113"/>
      <c r="U401" s="113"/>
      <c r="V401" s="113"/>
      <c r="W401" s="113"/>
      <c r="X401" s="113"/>
      <c r="Y401" s="113" t="s">
        <v>1113</v>
      </c>
      <c r="Z401" s="113"/>
      <c r="AA401" s="113"/>
      <c r="AB401" s="113"/>
      <c r="AC401" s="113"/>
      <c r="AD401" s="113"/>
      <c r="AE401" s="113"/>
      <c r="AF401" s="113"/>
      <c r="AG401" s="113"/>
      <c r="AH401" s="113"/>
      <c r="AI401" s="113"/>
      <c r="AJ401" s="113"/>
      <c r="AK401" s="113"/>
      <c r="AL401" s="113" t="s">
        <v>1113</v>
      </c>
      <c r="AM401" s="113"/>
      <c r="AN401" s="113"/>
      <c r="AO401" s="43" t="s">
        <v>2348</v>
      </c>
      <c r="AP401" s="43"/>
      <c r="AQ401" s="236" t="str">
        <f>VLOOKUP(Table8[[#This Row],[Instrument]],Def_Targets!$D$73:$E$159,2,FALSE)</f>
        <v>S_PublicTransport</v>
      </c>
      <c r="AR401" s="233" t="str">
        <f>VLOOKUP(Table8[[#This Row],[Country Code]],Table29[],3,FALSE)</f>
        <v>Non-Annex I</v>
      </c>
      <c r="AS401" s="233" t="str">
        <f>VLOOKUP(Table8[[#This Row],[Country Code]],Table29[],4,FALSE)</f>
        <v>Asia</v>
      </c>
      <c r="AT401" s="233" t="str">
        <f>VLOOKUP(Table8[[#This Row],[Country Code]],Table29[],5,FALSE)</f>
        <v>Middle-income</v>
      </c>
      <c r="AU401" s="233" t="str">
        <f>VLOOKUP(Table8[[#This Row],[Country Code]],Table29[],6,FALSE)</f>
        <v>no</v>
      </c>
      <c r="AV401" s="233" t="str">
        <f>VLOOKUP(Table8[[#This Row],[Country Code]],Table29[],7,FALSE)</f>
        <v>no</v>
      </c>
      <c r="AW401" s="233" t="str">
        <f>VLOOKUP(Table8[[#This Row],[Country Code]],Table29[],8,FALSE)</f>
        <v>non-OECD</v>
      </c>
      <c r="AX401" s="233" t="str">
        <f>VLOOKUP(Table8[[#This Row],[Country Code]],Table29[],9,FALSE)</f>
        <v>no</v>
      </c>
      <c r="AY401" s="233" t="str">
        <f>VLOOKUP(Table8[[#This Row],[Country Code]],Table29[],10,FALSE)</f>
        <v>no</v>
      </c>
      <c r="AZ401" s="235">
        <f>VLOOKUP(Table8[[#This Row],[Country Code]],Table29[],23,FALSE)</f>
        <v>62.550294041306003</v>
      </c>
      <c r="BA401" s="235">
        <f>VLOOKUP(Table8[[#This Row],[Country Code]],Table29[],24,FALSE)</f>
        <v>8.4493328883147889</v>
      </c>
      <c r="BB401" s="320"/>
      <c r="BC401" s="320"/>
    </row>
    <row r="402" spans="1:55" hidden="1" x14ac:dyDescent="0.25">
      <c r="A402" s="373">
        <v>39438</v>
      </c>
      <c r="B402" s="233" t="str">
        <f>VLOOKUP(Table8[[#This Row],[Document ID]],Table1[],2,FALSE)</f>
        <v>AZE</v>
      </c>
      <c r="C402" s="233" t="str">
        <f>VLOOKUP(Table8[[#This Row],[Document ID]],Table1[],3,FALSE)</f>
        <v>Azerbaijan</v>
      </c>
      <c r="D402" s="243" t="str">
        <f>VLOOKUP(Table8[[#This Row],[Document ID]],Table1[],5,FALSE)</f>
        <v>NDC</v>
      </c>
      <c r="E402" s="233" t="str">
        <f>VLOOKUP(Table8[[#This Row],[Document ID]],Table1[],7,FALSE)</f>
        <v>Second NDC</v>
      </c>
      <c r="F402" s="233" t="str">
        <f>VLOOKUP(Table8[[#This Row],[Document ID]],Table1[],8,FALSE)</f>
        <v>NDC 2.0</v>
      </c>
      <c r="G402" s="233" t="str">
        <f>VLOOKUP(Table8[[#This Row],[Document ID]],Table1[],10,FALSE)</f>
        <v>Active</v>
      </c>
      <c r="H402" s="44" t="s">
        <v>2338</v>
      </c>
      <c r="I402" s="44" t="s">
        <v>2339</v>
      </c>
      <c r="J402" s="44" t="s">
        <v>2413</v>
      </c>
      <c r="K402" s="316" t="s">
        <v>2746</v>
      </c>
      <c r="L402" s="44" t="s">
        <v>2347</v>
      </c>
      <c r="M402" s="43">
        <v>58</v>
      </c>
      <c r="N402" s="113"/>
      <c r="O402" s="113"/>
      <c r="P402" s="113"/>
      <c r="Q402" s="113"/>
      <c r="R402" s="113"/>
      <c r="S402" s="113"/>
      <c r="T402" s="113"/>
      <c r="U402" s="113"/>
      <c r="V402" s="113"/>
      <c r="W402" s="113"/>
      <c r="X402" s="113"/>
      <c r="Y402" s="113" t="s">
        <v>1113</v>
      </c>
      <c r="Z402" s="113"/>
      <c r="AA402" s="113"/>
      <c r="AB402" s="113"/>
      <c r="AC402" s="113"/>
      <c r="AD402" s="113"/>
      <c r="AE402" s="113"/>
      <c r="AF402" s="113"/>
      <c r="AG402" s="113"/>
      <c r="AH402" s="113"/>
      <c r="AI402" s="113"/>
      <c r="AJ402" s="113"/>
      <c r="AK402" s="113"/>
      <c r="AL402" s="113" t="s">
        <v>1113</v>
      </c>
      <c r="AM402" s="113"/>
      <c r="AN402" s="113"/>
      <c r="AO402" s="43" t="s">
        <v>2348</v>
      </c>
      <c r="AP402" s="43"/>
      <c r="AQ402" s="236" t="str">
        <f>VLOOKUP(Table8[[#This Row],[Instrument]],Def_Targets!$D$73:$E$159,2,FALSE)</f>
        <v>I_Vehicleeff</v>
      </c>
      <c r="AR402" s="233" t="str">
        <f>VLOOKUP(Table8[[#This Row],[Country Code]],Table29[],3,FALSE)</f>
        <v>Non-Annex I</v>
      </c>
      <c r="AS402" s="233" t="str">
        <f>VLOOKUP(Table8[[#This Row],[Country Code]],Table29[],4,FALSE)</f>
        <v>Asia</v>
      </c>
      <c r="AT402" s="233" t="str">
        <f>VLOOKUP(Table8[[#This Row],[Country Code]],Table29[],5,FALSE)</f>
        <v>Middle-income</v>
      </c>
      <c r="AU402" s="233" t="str">
        <f>VLOOKUP(Table8[[#This Row],[Country Code]],Table29[],6,FALSE)</f>
        <v>no</v>
      </c>
      <c r="AV402" s="233" t="str">
        <f>VLOOKUP(Table8[[#This Row],[Country Code]],Table29[],7,FALSE)</f>
        <v>no</v>
      </c>
      <c r="AW402" s="233" t="str">
        <f>VLOOKUP(Table8[[#This Row],[Country Code]],Table29[],8,FALSE)</f>
        <v>non-OECD</v>
      </c>
      <c r="AX402" s="233" t="str">
        <f>VLOOKUP(Table8[[#This Row],[Country Code]],Table29[],9,FALSE)</f>
        <v>no</v>
      </c>
      <c r="AY402" s="233" t="str">
        <f>VLOOKUP(Table8[[#This Row],[Country Code]],Table29[],10,FALSE)</f>
        <v>no</v>
      </c>
      <c r="AZ402" s="235">
        <f>VLOOKUP(Table8[[#This Row],[Country Code]],Table29[],23,FALSE)</f>
        <v>62.550294041306003</v>
      </c>
      <c r="BA402" s="235">
        <f>VLOOKUP(Table8[[#This Row],[Country Code]],Table29[],24,FALSE)</f>
        <v>8.4493328883147889</v>
      </c>
      <c r="BB402" s="320"/>
      <c r="BC402" s="320"/>
    </row>
    <row r="403" spans="1:55" ht="30" hidden="1" x14ac:dyDescent="0.25">
      <c r="A403" s="373">
        <v>39438</v>
      </c>
      <c r="B403" s="233" t="str">
        <f>VLOOKUP(Table8[[#This Row],[Document ID]],Table1[],2,FALSE)</f>
        <v>AZE</v>
      </c>
      <c r="C403" s="233" t="str">
        <f>VLOOKUP(Table8[[#This Row],[Document ID]],Table1[],3,FALSE)</f>
        <v>Azerbaijan</v>
      </c>
      <c r="D403" s="243" t="str">
        <f>VLOOKUP(Table8[[#This Row],[Document ID]],Table1[],5,FALSE)</f>
        <v>NDC</v>
      </c>
      <c r="E403" s="233" t="str">
        <f>VLOOKUP(Table8[[#This Row],[Document ID]],Table1[],7,FALSE)</f>
        <v>Second NDC</v>
      </c>
      <c r="F403" s="233" t="str">
        <f>VLOOKUP(Table8[[#This Row],[Document ID]],Table1[],8,FALSE)</f>
        <v>NDC 2.0</v>
      </c>
      <c r="G403" s="233" t="str">
        <f>VLOOKUP(Table8[[#This Row],[Document ID]],Table1[],10,FALSE)</f>
        <v>Active</v>
      </c>
      <c r="H403" s="43" t="s">
        <v>2358</v>
      </c>
      <c r="I403" s="43" t="s">
        <v>2359</v>
      </c>
      <c r="J403" s="44" t="s">
        <v>2360</v>
      </c>
      <c r="K403" s="44" t="s">
        <v>2747</v>
      </c>
      <c r="L403" s="44" t="s">
        <v>2471</v>
      </c>
      <c r="M403" s="43">
        <v>58</v>
      </c>
      <c r="N403" s="113"/>
      <c r="O403" s="113"/>
      <c r="P403" s="113"/>
      <c r="Q403" s="113"/>
      <c r="R403" s="113"/>
      <c r="S403" s="113"/>
      <c r="T403" s="113"/>
      <c r="U403" s="113"/>
      <c r="V403" s="113"/>
      <c r="W403" s="113"/>
      <c r="X403" s="113"/>
      <c r="Y403" s="113" t="s">
        <v>1113</v>
      </c>
      <c r="Z403" s="113"/>
      <c r="AA403" s="113"/>
      <c r="AB403" s="113"/>
      <c r="AC403" s="113"/>
      <c r="AD403" s="113"/>
      <c r="AE403" s="113"/>
      <c r="AF403" s="113"/>
      <c r="AG403" s="113"/>
      <c r="AH403" s="113"/>
      <c r="AI403" s="113"/>
      <c r="AJ403" s="113"/>
      <c r="AK403" s="113"/>
      <c r="AL403" s="113" t="s">
        <v>1113</v>
      </c>
      <c r="AM403" s="113"/>
      <c r="AN403" s="113"/>
      <c r="AO403" s="43" t="s">
        <v>2348</v>
      </c>
      <c r="AP403" s="43"/>
      <c r="AQ403" s="236" t="str">
        <f>VLOOKUP(Table8[[#This Row],[Instrument]],Def_Targets!$D$73:$E$159,2,FALSE)</f>
        <v>I_Emobility</v>
      </c>
      <c r="AR403" s="233" t="str">
        <f>VLOOKUP(Table8[[#This Row],[Country Code]],Table29[],3,FALSE)</f>
        <v>Non-Annex I</v>
      </c>
      <c r="AS403" s="233" t="str">
        <f>VLOOKUP(Table8[[#This Row],[Country Code]],Table29[],4,FALSE)</f>
        <v>Asia</v>
      </c>
      <c r="AT403" s="233" t="str">
        <f>VLOOKUP(Table8[[#This Row],[Country Code]],Table29[],5,FALSE)</f>
        <v>Middle-income</v>
      </c>
      <c r="AU403" s="233" t="str">
        <f>VLOOKUP(Table8[[#This Row],[Country Code]],Table29[],6,FALSE)</f>
        <v>no</v>
      </c>
      <c r="AV403" s="233" t="str">
        <f>VLOOKUP(Table8[[#This Row],[Country Code]],Table29[],7,FALSE)</f>
        <v>no</v>
      </c>
      <c r="AW403" s="233" t="str">
        <f>VLOOKUP(Table8[[#This Row],[Country Code]],Table29[],8,FALSE)</f>
        <v>non-OECD</v>
      </c>
      <c r="AX403" s="233" t="str">
        <f>VLOOKUP(Table8[[#This Row],[Country Code]],Table29[],9,FALSE)</f>
        <v>no</v>
      </c>
      <c r="AY403" s="233" t="str">
        <f>VLOOKUP(Table8[[#This Row],[Country Code]],Table29[],10,FALSE)</f>
        <v>no</v>
      </c>
      <c r="AZ403" s="235">
        <f>VLOOKUP(Table8[[#This Row],[Country Code]],Table29[],23,FALSE)</f>
        <v>62.550294041306003</v>
      </c>
      <c r="BA403" s="235">
        <f>VLOOKUP(Table8[[#This Row],[Country Code]],Table29[],24,FALSE)</f>
        <v>8.4493328883147889</v>
      </c>
      <c r="BB403" s="320"/>
      <c r="BC403" s="320"/>
    </row>
    <row r="404" spans="1:55" ht="30" hidden="1" x14ac:dyDescent="0.25">
      <c r="A404" s="373">
        <v>39438</v>
      </c>
      <c r="B404" s="233" t="str">
        <f>VLOOKUP(Table8[[#This Row],[Document ID]],Table1[],2,FALSE)</f>
        <v>AZE</v>
      </c>
      <c r="C404" s="233" t="str">
        <f>VLOOKUP(Table8[[#This Row],[Document ID]],Table1[],3,FALSE)</f>
        <v>Azerbaijan</v>
      </c>
      <c r="D404" s="243" t="str">
        <f>VLOOKUP(Table8[[#This Row],[Document ID]],Table1[],5,FALSE)</f>
        <v>NDC</v>
      </c>
      <c r="E404" s="233" t="str">
        <f>VLOOKUP(Table8[[#This Row],[Document ID]],Table1[],7,FALSE)</f>
        <v>Second NDC</v>
      </c>
      <c r="F404" s="233" t="str">
        <f>VLOOKUP(Table8[[#This Row],[Document ID]],Table1[],8,FALSE)</f>
        <v>NDC 2.0</v>
      </c>
      <c r="G404" s="233" t="str">
        <f>VLOOKUP(Table8[[#This Row],[Document ID]],Table1[],10,FALSE)</f>
        <v>Active</v>
      </c>
      <c r="H404" s="43" t="s">
        <v>2358</v>
      </c>
      <c r="I404" s="43" t="s">
        <v>2359</v>
      </c>
      <c r="J404" s="44" t="s">
        <v>2360</v>
      </c>
      <c r="K404" s="44" t="s">
        <v>2748</v>
      </c>
      <c r="L404" s="44" t="s">
        <v>2471</v>
      </c>
      <c r="M404" s="43">
        <v>58</v>
      </c>
      <c r="N404" s="113"/>
      <c r="O404" s="113"/>
      <c r="P404" s="113"/>
      <c r="Q404" s="113"/>
      <c r="R404" s="113"/>
      <c r="S404" s="113"/>
      <c r="T404" s="113"/>
      <c r="U404" s="113"/>
      <c r="V404" s="113"/>
      <c r="W404" s="113"/>
      <c r="X404" s="113"/>
      <c r="Y404" s="113" t="s">
        <v>1113</v>
      </c>
      <c r="Z404" s="113"/>
      <c r="AA404" s="113"/>
      <c r="AB404" s="113"/>
      <c r="AC404" s="113"/>
      <c r="AD404" s="113"/>
      <c r="AE404" s="113"/>
      <c r="AF404" s="113"/>
      <c r="AG404" s="113"/>
      <c r="AH404" s="113"/>
      <c r="AI404" s="113"/>
      <c r="AJ404" s="113"/>
      <c r="AK404" s="113"/>
      <c r="AL404" s="113"/>
      <c r="AM404" s="113"/>
      <c r="AN404" s="113" t="s">
        <v>1113</v>
      </c>
      <c r="AO404" s="43" t="s">
        <v>2348</v>
      </c>
      <c r="AP404" s="43"/>
      <c r="AQ404" s="236" t="str">
        <f>VLOOKUP(Table8[[#This Row],[Instrument]],Def_Targets!$D$73:$E$159,2,FALSE)</f>
        <v>I_Emobility</v>
      </c>
      <c r="AR404" s="233" t="str">
        <f>VLOOKUP(Table8[[#This Row],[Country Code]],Table29[],3,FALSE)</f>
        <v>Non-Annex I</v>
      </c>
      <c r="AS404" s="233" t="str">
        <f>VLOOKUP(Table8[[#This Row],[Country Code]],Table29[],4,FALSE)</f>
        <v>Asia</v>
      </c>
      <c r="AT404" s="233" t="str">
        <f>VLOOKUP(Table8[[#This Row],[Country Code]],Table29[],5,FALSE)</f>
        <v>Middle-income</v>
      </c>
      <c r="AU404" s="233" t="str">
        <f>VLOOKUP(Table8[[#This Row],[Country Code]],Table29[],6,FALSE)</f>
        <v>no</v>
      </c>
      <c r="AV404" s="233" t="str">
        <f>VLOOKUP(Table8[[#This Row],[Country Code]],Table29[],7,FALSE)</f>
        <v>no</v>
      </c>
      <c r="AW404" s="233" t="str">
        <f>VLOOKUP(Table8[[#This Row],[Country Code]],Table29[],8,FALSE)</f>
        <v>non-OECD</v>
      </c>
      <c r="AX404" s="233" t="str">
        <f>VLOOKUP(Table8[[#This Row],[Country Code]],Table29[],9,FALSE)</f>
        <v>no</v>
      </c>
      <c r="AY404" s="233" t="str">
        <f>VLOOKUP(Table8[[#This Row],[Country Code]],Table29[],10,FALSE)</f>
        <v>no</v>
      </c>
      <c r="AZ404" s="235">
        <f>VLOOKUP(Table8[[#This Row],[Country Code]],Table29[],23,FALSE)</f>
        <v>62.550294041306003</v>
      </c>
      <c r="BA404" s="235">
        <f>VLOOKUP(Table8[[#This Row],[Country Code]],Table29[],24,FALSE)</f>
        <v>8.4493328883147889</v>
      </c>
      <c r="BB404" s="320"/>
      <c r="BC404" s="320"/>
    </row>
    <row r="405" spans="1:55" hidden="1" x14ac:dyDescent="0.25">
      <c r="A405" s="373">
        <v>39438</v>
      </c>
      <c r="B405" s="233" t="str">
        <f>VLOOKUP(Table8[[#This Row],[Document ID]],Table1[],2,FALSE)</f>
        <v>AZE</v>
      </c>
      <c r="C405" s="233" t="str">
        <f>VLOOKUP(Table8[[#This Row],[Document ID]],Table1[],3,FALSE)</f>
        <v>Azerbaijan</v>
      </c>
      <c r="D405" s="243" t="str">
        <f>VLOOKUP(Table8[[#This Row],[Document ID]],Table1[],5,FALSE)</f>
        <v>NDC</v>
      </c>
      <c r="E405" s="233" t="str">
        <f>VLOOKUP(Table8[[#This Row],[Document ID]],Table1[],7,FALSE)</f>
        <v>Second NDC</v>
      </c>
      <c r="F405" s="233" t="str">
        <f>VLOOKUP(Table8[[#This Row],[Document ID]],Table1[],8,FALSE)</f>
        <v>NDC 2.0</v>
      </c>
      <c r="G405" s="233" t="str">
        <f>VLOOKUP(Table8[[#This Row],[Document ID]],Table1[],10,FALSE)</f>
        <v>Active</v>
      </c>
      <c r="H405" s="43" t="s">
        <v>2343</v>
      </c>
      <c r="I405" s="43" t="s">
        <v>2377</v>
      </c>
      <c r="J405" s="44" t="s">
        <v>2378</v>
      </c>
      <c r="K405" s="44" t="s">
        <v>2749</v>
      </c>
      <c r="L405" s="44" t="s">
        <v>2347</v>
      </c>
      <c r="M405" s="43">
        <v>58</v>
      </c>
      <c r="N405" s="113"/>
      <c r="O405" s="113"/>
      <c r="P405" s="113"/>
      <c r="Q405" s="113"/>
      <c r="R405" s="113"/>
      <c r="S405" s="113"/>
      <c r="T405" s="113"/>
      <c r="U405" s="113"/>
      <c r="V405" s="113"/>
      <c r="W405" s="113"/>
      <c r="X405" s="113"/>
      <c r="Y405" s="113" t="s">
        <v>1113</v>
      </c>
      <c r="Z405" s="113"/>
      <c r="AA405" s="113"/>
      <c r="AB405" s="113"/>
      <c r="AC405" s="113"/>
      <c r="AD405" s="113"/>
      <c r="AE405" s="113"/>
      <c r="AF405" s="113"/>
      <c r="AG405" s="113"/>
      <c r="AH405" s="113"/>
      <c r="AI405" s="113"/>
      <c r="AJ405" s="113"/>
      <c r="AK405" s="113"/>
      <c r="AL405" s="113" t="s">
        <v>1113</v>
      </c>
      <c r="AM405" s="113"/>
      <c r="AN405" s="113"/>
      <c r="AO405" s="43" t="s">
        <v>2348</v>
      </c>
      <c r="AP405" s="43"/>
      <c r="AQ405" s="236" t="str">
        <f>VLOOKUP(Table8[[#This Row],[Instrument]],Def_Targets!$D$73:$E$159,2,FALSE)</f>
        <v>A_Commute</v>
      </c>
      <c r="AR405" s="233" t="str">
        <f>VLOOKUP(Table8[[#This Row],[Country Code]],Table29[],3,FALSE)</f>
        <v>Non-Annex I</v>
      </c>
      <c r="AS405" s="233" t="str">
        <f>VLOOKUP(Table8[[#This Row],[Country Code]],Table29[],4,FALSE)</f>
        <v>Asia</v>
      </c>
      <c r="AT405" s="233" t="str">
        <f>VLOOKUP(Table8[[#This Row],[Country Code]],Table29[],5,FALSE)</f>
        <v>Middle-income</v>
      </c>
      <c r="AU405" s="233" t="str">
        <f>VLOOKUP(Table8[[#This Row],[Country Code]],Table29[],6,FALSE)</f>
        <v>no</v>
      </c>
      <c r="AV405" s="233" t="str">
        <f>VLOOKUP(Table8[[#This Row],[Country Code]],Table29[],7,FALSE)</f>
        <v>no</v>
      </c>
      <c r="AW405" s="233" t="str">
        <f>VLOOKUP(Table8[[#This Row],[Country Code]],Table29[],8,FALSE)</f>
        <v>non-OECD</v>
      </c>
      <c r="AX405" s="233" t="str">
        <f>VLOOKUP(Table8[[#This Row],[Country Code]],Table29[],9,FALSE)</f>
        <v>no</v>
      </c>
      <c r="AY405" s="233" t="str">
        <f>VLOOKUP(Table8[[#This Row],[Country Code]],Table29[],10,FALSE)</f>
        <v>no</v>
      </c>
      <c r="AZ405" s="235">
        <f>VLOOKUP(Table8[[#This Row],[Country Code]],Table29[],23,FALSE)</f>
        <v>62.550294041306003</v>
      </c>
      <c r="BA405" s="235">
        <f>VLOOKUP(Table8[[#This Row],[Country Code]],Table29[],24,FALSE)</f>
        <v>8.4493328883147889</v>
      </c>
      <c r="BB405" s="320"/>
      <c r="BC405" s="320"/>
    </row>
    <row r="406" spans="1:55" hidden="1" x14ac:dyDescent="0.25">
      <c r="A406" s="373">
        <v>39438</v>
      </c>
      <c r="B406" s="233" t="str">
        <f>VLOOKUP(Table8[[#This Row],[Document ID]],Table1[],2,FALSE)</f>
        <v>AZE</v>
      </c>
      <c r="C406" s="233" t="str">
        <f>VLOOKUP(Table8[[#This Row],[Document ID]],Table1[],3,FALSE)</f>
        <v>Azerbaijan</v>
      </c>
      <c r="D406" s="243" t="str">
        <f>VLOOKUP(Table8[[#This Row],[Document ID]],Table1[],5,FALSE)</f>
        <v>NDC</v>
      </c>
      <c r="E406" s="233" t="str">
        <f>VLOOKUP(Table8[[#This Row],[Document ID]],Table1[],7,FALSE)</f>
        <v>Second NDC</v>
      </c>
      <c r="F406" s="233" t="str">
        <f>VLOOKUP(Table8[[#This Row],[Document ID]],Table1[],8,FALSE)</f>
        <v>NDC 2.0</v>
      </c>
      <c r="G406" s="233" t="str">
        <f>VLOOKUP(Table8[[#This Row],[Document ID]],Table1[],10,FALSE)</f>
        <v>Active</v>
      </c>
      <c r="H406" s="44" t="s">
        <v>2338</v>
      </c>
      <c r="I406" s="44" t="s">
        <v>2339</v>
      </c>
      <c r="J406" s="44" t="s">
        <v>2413</v>
      </c>
      <c r="K406" s="44" t="s">
        <v>2750</v>
      </c>
      <c r="L406" s="44" t="s">
        <v>2333</v>
      </c>
      <c r="M406" s="43">
        <v>58</v>
      </c>
      <c r="N406" s="113"/>
      <c r="O406" s="113"/>
      <c r="P406" s="113"/>
      <c r="Q406" s="113"/>
      <c r="R406" s="113"/>
      <c r="S406" s="113"/>
      <c r="T406" s="113"/>
      <c r="U406" s="113" t="s">
        <v>1113</v>
      </c>
      <c r="V406" s="113"/>
      <c r="W406" s="113"/>
      <c r="X406" s="113"/>
      <c r="Y406" s="113"/>
      <c r="Z406" s="113"/>
      <c r="AA406" s="113"/>
      <c r="AB406" s="113"/>
      <c r="AC406" s="113"/>
      <c r="AD406" s="113"/>
      <c r="AE406" s="113"/>
      <c r="AF406" s="113"/>
      <c r="AG406" s="113"/>
      <c r="AH406" s="113"/>
      <c r="AI406" s="113"/>
      <c r="AJ406" s="113"/>
      <c r="AK406" s="113" t="s">
        <v>1113</v>
      </c>
      <c r="AL406" s="113"/>
      <c r="AM406" s="113"/>
      <c r="AN406" s="113"/>
      <c r="AO406" s="43" t="s">
        <v>2348</v>
      </c>
      <c r="AP406" s="43"/>
      <c r="AQ406" s="236" t="str">
        <f>VLOOKUP(Table8[[#This Row],[Instrument]],Def_Targets!$D$73:$E$159,2,FALSE)</f>
        <v>I_Vehicleeff</v>
      </c>
      <c r="AR406" s="233" t="str">
        <f>VLOOKUP(Table8[[#This Row],[Country Code]],Table29[],3,FALSE)</f>
        <v>Non-Annex I</v>
      </c>
      <c r="AS406" s="233" t="str">
        <f>VLOOKUP(Table8[[#This Row],[Country Code]],Table29[],4,FALSE)</f>
        <v>Asia</v>
      </c>
      <c r="AT406" s="233" t="str">
        <f>VLOOKUP(Table8[[#This Row],[Country Code]],Table29[],5,FALSE)</f>
        <v>Middle-income</v>
      </c>
      <c r="AU406" s="233" t="str">
        <f>VLOOKUP(Table8[[#This Row],[Country Code]],Table29[],6,FALSE)</f>
        <v>no</v>
      </c>
      <c r="AV406" s="233" t="str">
        <f>VLOOKUP(Table8[[#This Row],[Country Code]],Table29[],7,FALSE)</f>
        <v>no</v>
      </c>
      <c r="AW406" s="233" t="str">
        <f>VLOOKUP(Table8[[#This Row],[Country Code]],Table29[],8,FALSE)</f>
        <v>non-OECD</v>
      </c>
      <c r="AX406" s="233" t="str">
        <f>VLOOKUP(Table8[[#This Row],[Country Code]],Table29[],9,FALSE)</f>
        <v>no</v>
      </c>
      <c r="AY406" s="233" t="str">
        <f>VLOOKUP(Table8[[#This Row],[Country Code]],Table29[],10,FALSE)</f>
        <v>no</v>
      </c>
      <c r="AZ406" s="235">
        <f>VLOOKUP(Table8[[#This Row],[Country Code]],Table29[],23,FALSE)</f>
        <v>62.550294041306003</v>
      </c>
      <c r="BA406" s="235">
        <f>VLOOKUP(Table8[[#This Row],[Country Code]],Table29[],24,FALSE)</f>
        <v>8.4493328883147889</v>
      </c>
      <c r="BB406" s="320"/>
      <c r="BC406" s="320"/>
    </row>
    <row r="407" spans="1:55" ht="30" hidden="1" x14ac:dyDescent="0.25">
      <c r="A407" s="373">
        <v>39438</v>
      </c>
      <c r="B407" s="233" t="str">
        <f>VLOOKUP(Table8[[#This Row],[Document ID]],Table1[],2,FALSE)</f>
        <v>AZE</v>
      </c>
      <c r="C407" s="233" t="str">
        <f>VLOOKUP(Table8[[#This Row],[Document ID]],Table1[],3,FALSE)</f>
        <v>Azerbaijan</v>
      </c>
      <c r="D407" s="243" t="str">
        <f>VLOOKUP(Table8[[#This Row],[Document ID]],Table1[],5,FALSE)</f>
        <v>NDC</v>
      </c>
      <c r="E407" s="233" t="str">
        <f>VLOOKUP(Table8[[#This Row],[Document ID]],Table1[],7,FALSE)</f>
        <v>Second NDC</v>
      </c>
      <c r="F407" s="233" t="str">
        <f>VLOOKUP(Table8[[#This Row],[Document ID]],Table1[],8,FALSE)</f>
        <v>NDC 2.0</v>
      </c>
      <c r="G407" s="233" t="str">
        <f>VLOOKUP(Table8[[#This Row],[Document ID]],Table1[],10,FALSE)</f>
        <v>Active</v>
      </c>
      <c r="H407" s="44" t="s">
        <v>2338</v>
      </c>
      <c r="I407" s="44" t="s">
        <v>2339</v>
      </c>
      <c r="J407" s="44" t="s">
        <v>2410</v>
      </c>
      <c r="K407" s="44" t="s">
        <v>2751</v>
      </c>
      <c r="L407" s="44" t="s">
        <v>2333</v>
      </c>
      <c r="M407" s="43">
        <v>58</v>
      </c>
      <c r="N407" s="113"/>
      <c r="O407" s="113"/>
      <c r="P407" s="113"/>
      <c r="Q407" s="113"/>
      <c r="R407" s="113"/>
      <c r="S407" s="113"/>
      <c r="T407" s="113"/>
      <c r="U407" s="113" t="s">
        <v>1113</v>
      </c>
      <c r="V407" s="113"/>
      <c r="W407" s="113"/>
      <c r="X407" s="113"/>
      <c r="Y407" s="113"/>
      <c r="Z407" s="113"/>
      <c r="AA407" s="113"/>
      <c r="AB407" s="113"/>
      <c r="AC407" s="113"/>
      <c r="AD407" s="113"/>
      <c r="AE407" s="113"/>
      <c r="AF407" s="113"/>
      <c r="AG407" s="113"/>
      <c r="AH407" s="113"/>
      <c r="AI407" s="113"/>
      <c r="AJ407" s="113"/>
      <c r="AK407" s="113" t="s">
        <v>1113</v>
      </c>
      <c r="AL407" s="113"/>
      <c r="AM407" s="113"/>
      <c r="AN407" s="113"/>
      <c r="AO407" s="43" t="s">
        <v>2348</v>
      </c>
      <c r="AP407" s="43"/>
      <c r="AQ407" s="236" t="str">
        <f>VLOOKUP(Table8[[#This Row],[Instrument]],Def_Targets!$D$73:$E$159,2,FALSE)</f>
        <v>I_VehicleRestrictions</v>
      </c>
      <c r="AR407" s="233" t="str">
        <f>VLOOKUP(Table8[[#This Row],[Country Code]],Table29[],3,FALSE)</f>
        <v>Non-Annex I</v>
      </c>
      <c r="AS407" s="233" t="str">
        <f>VLOOKUP(Table8[[#This Row],[Country Code]],Table29[],4,FALSE)</f>
        <v>Asia</v>
      </c>
      <c r="AT407" s="233" t="str">
        <f>VLOOKUP(Table8[[#This Row],[Country Code]],Table29[],5,FALSE)</f>
        <v>Middle-income</v>
      </c>
      <c r="AU407" s="233" t="str">
        <f>VLOOKUP(Table8[[#This Row],[Country Code]],Table29[],6,FALSE)</f>
        <v>no</v>
      </c>
      <c r="AV407" s="233" t="str">
        <f>VLOOKUP(Table8[[#This Row],[Country Code]],Table29[],7,FALSE)</f>
        <v>no</v>
      </c>
      <c r="AW407" s="233" t="str">
        <f>VLOOKUP(Table8[[#This Row],[Country Code]],Table29[],8,FALSE)</f>
        <v>non-OECD</v>
      </c>
      <c r="AX407" s="233" t="str">
        <f>VLOOKUP(Table8[[#This Row],[Country Code]],Table29[],9,FALSE)</f>
        <v>no</v>
      </c>
      <c r="AY407" s="233" t="str">
        <f>VLOOKUP(Table8[[#This Row],[Country Code]],Table29[],10,FALSE)</f>
        <v>no</v>
      </c>
      <c r="AZ407" s="235">
        <f>VLOOKUP(Table8[[#This Row],[Country Code]],Table29[],23,FALSE)</f>
        <v>62.550294041306003</v>
      </c>
      <c r="BA407" s="235">
        <f>VLOOKUP(Table8[[#This Row],[Country Code]],Table29[],24,FALSE)</f>
        <v>8.4493328883147889</v>
      </c>
      <c r="BB407" s="320"/>
      <c r="BC407" s="320"/>
    </row>
    <row r="408" spans="1:55" ht="30" hidden="1" x14ac:dyDescent="0.25">
      <c r="A408" s="373">
        <v>39438</v>
      </c>
      <c r="B408" s="233" t="str">
        <f>VLOOKUP(Table8[[#This Row],[Document ID]],Table1[],2,FALSE)</f>
        <v>AZE</v>
      </c>
      <c r="C408" s="233" t="str">
        <f>VLOOKUP(Table8[[#This Row],[Document ID]],Table1[],3,FALSE)</f>
        <v>Azerbaijan</v>
      </c>
      <c r="D408" s="243" t="str">
        <f>VLOOKUP(Table8[[#This Row],[Document ID]],Table1[],5,FALSE)</f>
        <v>NDC</v>
      </c>
      <c r="E408" s="233" t="str">
        <f>VLOOKUP(Table8[[#This Row],[Document ID]],Table1[],7,FALSE)</f>
        <v>Second NDC</v>
      </c>
      <c r="F408" s="233" t="str">
        <f>VLOOKUP(Table8[[#This Row],[Document ID]],Table1[],8,FALSE)</f>
        <v>NDC 2.0</v>
      </c>
      <c r="G408" s="233" t="str">
        <f>VLOOKUP(Table8[[#This Row],[Document ID]],Table1[],10,FALSE)</f>
        <v>Active</v>
      </c>
      <c r="H408" s="44" t="s">
        <v>2338</v>
      </c>
      <c r="I408" s="44" t="s">
        <v>2339</v>
      </c>
      <c r="J408" s="44" t="s">
        <v>2410</v>
      </c>
      <c r="K408" s="44" t="s">
        <v>2752</v>
      </c>
      <c r="L408" s="44" t="s">
        <v>2333</v>
      </c>
      <c r="M408" s="43">
        <v>58</v>
      </c>
      <c r="N408" s="113"/>
      <c r="O408" s="113"/>
      <c r="P408" s="113"/>
      <c r="Q408" s="113"/>
      <c r="R408" s="113"/>
      <c r="S408" s="113"/>
      <c r="T408" s="113" t="s">
        <v>1113</v>
      </c>
      <c r="U408" s="113"/>
      <c r="V408" s="113"/>
      <c r="W408" s="113"/>
      <c r="X408" s="113"/>
      <c r="Y408" s="113"/>
      <c r="Z408" s="113"/>
      <c r="AA408" s="113"/>
      <c r="AB408" s="113"/>
      <c r="AC408" s="113"/>
      <c r="AD408" s="113"/>
      <c r="AE408" s="113"/>
      <c r="AF408" s="113"/>
      <c r="AG408" s="113"/>
      <c r="AH408" s="113"/>
      <c r="AI408" s="113"/>
      <c r="AJ408" s="113"/>
      <c r="AK408" s="113" t="s">
        <v>1113</v>
      </c>
      <c r="AL408" s="113"/>
      <c r="AM408" s="113"/>
      <c r="AN408" s="113"/>
      <c r="AO408" s="44" t="s">
        <v>2334</v>
      </c>
      <c r="AP408" s="43"/>
      <c r="AQ408" s="236" t="str">
        <f>VLOOKUP(Table8[[#This Row],[Instrument]],Def_Targets!$D$73:$E$159,2,FALSE)</f>
        <v>I_VehicleRestrictions</v>
      </c>
      <c r="AR408" s="233" t="str">
        <f>VLOOKUP(Table8[[#This Row],[Country Code]],Table29[],3,FALSE)</f>
        <v>Non-Annex I</v>
      </c>
      <c r="AS408" s="233" t="str">
        <f>VLOOKUP(Table8[[#This Row],[Country Code]],Table29[],4,FALSE)</f>
        <v>Asia</v>
      </c>
      <c r="AT408" s="233" t="str">
        <f>VLOOKUP(Table8[[#This Row],[Country Code]],Table29[],5,FALSE)</f>
        <v>Middle-income</v>
      </c>
      <c r="AU408" s="233" t="str">
        <f>VLOOKUP(Table8[[#This Row],[Country Code]],Table29[],6,FALSE)</f>
        <v>no</v>
      </c>
      <c r="AV408" s="233" t="str">
        <f>VLOOKUP(Table8[[#This Row],[Country Code]],Table29[],7,FALSE)</f>
        <v>no</v>
      </c>
      <c r="AW408" s="233" t="str">
        <f>VLOOKUP(Table8[[#This Row],[Country Code]],Table29[],8,FALSE)</f>
        <v>non-OECD</v>
      </c>
      <c r="AX408" s="233" t="str">
        <f>VLOOKUP(Table8[[#This Row],[Country Code]],Table29[],9,FALSE)</f>
        <v>no</v>
      </c>
      <c r="AY408" s="233" t="str">
        <f>VLOOKUP(Table8[[#This Row],[Country Code]],Table29[],10,FALSE)</f>
        <v>no</v>
      </c>
      <c r="AZ408" s="235">
        <f>VLOOKUP(Table8[[#This Row],[Country Code]],Table29[],23,FALSE)</f>
        <v>62.550294041306003</v>
      </c>
      <c r="BA408" s="235">
        <f>VLOOKUP(Table8[[#This Row],[Country Code]],Table29[],24,FALSE)</f>
        <v>8.4493328883147889</v>
      </c>
      <c r="BB408" s="320"/>
      <c r="BC408" s="320"/>
    </row>
    <row r="409" spans="1:55" hidden="1" x14ac:dyDescent="0.25">
      <c r="A409" s="373">
        <v>39438</v>
      </c>
      <c r="B409" s="233" t="str">
        <f>VLOOKUP(Table8[[#This Row],[Document ID]],Table1[],2,FALSE)</f>
        <v>AZE</v>
      </c>
      <c r="C409" s="233" t="str">
        <f>VLOOKUP(Table8[[#This Row],[Document ID]],Table1[],3,FALSE)</f>
        <v>Azerbaijan</v>
      </c>
      <c r="D409" s="243" t="str">
        <f>VLOOKUP(Table8[[#This Row],[Document ID]],Table1[],5,FALSE)</f>
        <v>NDC</v>
      </c>
      <c r="E409" s="233" t="str">
        <f>VLOOKUP(Table8[[#This Row],[Document ID]],Table1[],7,FALSE)</f>
        <v>Second NDC</v>
      </c>
      <c r="F409" s="233" t="str">
        <f>VLOOKUP(Table8[[#This Row],[Document ID]],Table1[],8,FALSE)</f>
        <v>NDC 2.0</v>
      </c>
      <c r="G409" s="233" t="str">
        <f>VLOOKUP(Table8[[#This Row],[Document ID]],Table1[],10,FALSE)</f>
        <v>Active</v>
      </c>
      <c r="H409" s="44" t="s">
        <v>2329</v>
      </c>
      <c r="I409" s="44" t="s">
        <v>2330</v>
      </c>
      <c r="J409" s="44" t="s">
        <v>2357</v>
      </c>
      <c r="K409" s="44" t="s">
        <v>2753</v>
      </c>
      <c r="L409" s="44" t="s">
        <v>2333</v>
      </c>
      <c r="M409" s="43">
        <v>58</v>
      </c>
      <c r="N409" s="113" t="s">
        <v>1113</v>
      </c>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t="s">
        <v>1113</v>
      </c>
      <c r="AL409" s="113"/>
      <c r="AM409" s="113"/>
      <c r="AN409" s="113"/>
      <c r="AO409" s="44" t="s">
        <v>2334</v>
      </c>
      <c r="AP409" s="43"/>
      <c r="AQ409" s="236" t="str">
        <f>VLOOKUP(Table8[[#This Row],[Instrument]],Def_Targets!$D$73:$E$159,2,FALSE)</f>
        <v>I_Biofuel</v>
      </c>
      <c r="AR409" s="233" t="str">
        <f>VLOOKUP(Table8[[#This Row],[Country Code]],Table29[],3,FALSE)</f>
        <v>Non-Annex I</v>
      </c>
      <c r="AS409" s="233" t="str">
        <f>VLOOKUP(Table8[[#This Row],[Country Code]],Table29[],4,FALSE)</f>
        <v>Asia</v>
      </c>
      <c r="AT409" s="233" t="str">
        <f>VLOOKUP(Table8[[#This Row],[Country Code]],Table29[],5,FALSE)</f>
        <v>Middle-income</v>
      </c>
      <c r="AU409" s="233" t="str">
        <f>VLOOKUP(Table8[[#This Row],[Country Code]],Table29[],6,FALSE)</f>
        <v>no</v>
      </c>
      <c r="AV409" s="233" t="str">
        <f>VLOOKUP(Table8[[#This Row],[Country Code]],Table29[],7,FALSE)</f>
        <v>no</v>
      </c>
      <c r="AW409" s="233" t="str">
        <f>VLOOKUP(Table8[[#This Row],[Country Code]],Table29[],8,FALSE)</f>
        <v>non-OECD</v>
      </c>
      <c r="AX409" s="233" t="str">
        <f>VLOOKUP(Table8[[#This Row],[Country Code]],Table29[],9,FALSE)</f>
        <v>no</v>
      </c>
      <c r="AY409" s="233" t="str">
        <f>VLOOKUP(Table8[[#This Row],[Country Code]],Table29[],10,FALSE)</f>
        <v>no</v>
      </c>
      <c r="AZ409" s="235">
        <f>VLOOKUP(Table8[[#This Row],[Country Code]],Table29[],23,FALSE)</f>
        <v>62.550294041306003</v>
      </c>
      <c r="BA409" s="235">
        <f>VLOOKUP(Table8[[#This Row],[Country Code]],Table29[],24,FALSE)</f>
        <v>8.4493328883147889</v>
      </c>
      <c r="BB409" s="320"/>
      <c r="BC409" s="320"/>
    </row>
    <row r="410" spans="1:55" hidden="1" x14ac:dyDescent="0.25">
      <c r="A410" s="373">
        <v>39438</v>
      </c>
      <c r="B410" s="233" t="str">
        <f>VLOOKUP(Table8[[#This Row],[Document ID]],Table1[],2,FALSE)</f>
        <v>AZE</v>
      </c>
      <c r="C410" s="233" t="str">
        <f>VLOOKUP(Table8[[#This Row],[Document ID]],Table1[],3,FALSE)</f>
        <v>Azerbaijan</v>
      </c>
      <c r="D410" s="243" t="str">
        <f>VLOOKUP(Table8[[#This Row],[Document ID]],Table1[],5,FALSE)</f>
        <v>NDC</v>
      </c>
      <c r="E410" s="233" t="str">
        <f>VLOOKUP(Table8[[#This Row],[Document ID]],Table1[],7,FALSE)</f>
        <v>Second NDC</v>
      </c>
      <c r="F410" s="233" t="str">
        <f>VLOOKUP(Table8[[#This Row],[Document ID]],Table1[],8,FALSE)</f>
        <v>NDC 2.0</v>
      </c>
      <c r="G410" s="233" t="str">
        <f>VLOOKUP(Table8[[#This Row],[Document ID]],Table1[],10,FALSE)</f>
        <v>Active</v>
      </c>
      <c r="H410" s="44" t="s">
        <v>2329</v>
      </c>
      <c r="I410" s="44" t="s">
        <v>2330</v>
      </c>
      <c r="J410" s="44" t="s">
        <v>2357</v>
      </c>
      <c r="K410" s="44" t="s">
        <v>2754</v>
      </c>
      <c r="L410" s="44" t="s">
        <v>2333</v>
      </c>
      <c r="M410" s="43">
        <v>58</v>
      </c>
      <c r="N410" s="113" t="s">
        <v>1113</v>
      </c>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t="s">
        <v>1113</v>
      </c>
      <c r="AL410" s="113"/>
      <c r="AM410" s="113"/>
      <c r="AN410" s="113"/>
      <c r="AO410" s="44" t="s">
        <v>2334</v>
      </c>
      <c r="AP410" s="43"/>
      <c r="AQ410" s="236" t="str">
        <f>VLOOKUP(Table8[[#This Row],[Instrument]],Def_Targets!$D$73:$E$159,2,FALSE)</f>
        <v>I_Biofuel</v>
      </c>
      <c r="AR410" s="233" t="str">
        <f>VLOOKUP(Table8[[#This Row],[Country Code]],Table29[],3,FALSE)</f>
        <v>Non-Annex I</v>
      </c>
      <c r="AS410" s="233" t="str">
        <f>VLOOKUP(Table8[[#This Row],[Country Code]],Table29[],4,FALSE)</f>
        <v>Asia</v>
      </c>
      <c r="AT410" s="233" t="str">
        <f>VLOOKUP(Table8[[#This Row],[Country Code]],Table29[],5,FALSE)</f>
        <v>Middle-income</v>
      </c>
      <c r="AU410" s="233" t="str">
        <f>VLOOKUP(Table8[[#This Row],[Country Code]],Table29[],6,FALSE)</f>
        <v>no</v>
      </c>
      <c r="AV410" s="233" t="str">
        <f>VLOOKUP(Table8[[#This Row],[Country Code]],Table29[],7,FALSE)</f>
        <v>no</v>
      </c>
      <c r="AW410" s="233" t="str">
        <f>VLOOKUP(Table8[[#This Row],[Country Code]],Table29[],8,FALSE)</f>
        <v>non-OECD</v>
      </c>
      <c r="AX410" s="233" t="str">
        <f>VLOOKUP(Table8[[#This Row],[Country Code]],Table29[],9,FALSE)</f>
        <v>no</v>
      </c>
      <c r="AY410" s="233" t="str">
        <f>VLOOKUP(Table8[[#This Row],[Country Code]],Table29[],10,FALSE)</f>
        <v>no</v>
      </c>
      <c r="AZ410" s="235">
        <f>VLOOKUP(Table8[[#This Row],[Country Code]],Table29[],23,FALSE)</f>
        <v>62.550294041306003</v>
      </c>
      <c r="BA410" s="235">
        <f>VLOOKUP(Table8[[#This Row],[Country Code]],Table29[],24,FALSE)</f>
        <v>8.4493328883147889</v>
      </c>
      <c r="BB410" s="320"/>
      <c r="BC410" s="320"/>
    </row>
    <row r="411" spans="1:55" hidden="1" x14ac:dyDescent="0.25">
      <c r="A411" s="373">
        <v>39438</v>
      </c>
      <c r="B411" s="233" t="str">
        <f>VLOOKUP(Table8[[#This Row],[Document ID]],Table1[],2,FALSE)</f>
        <v>AZE</v>
      </c>
      <c r="C411" s="233" t="str">
        <f>VLOOKUP(Table8[[#This Row],[Document ID]],Table1[],3,FALSE)</f>
        <v>Azerbaijan</v>
      </c>
      <c r="D411" s="243" t="str">
        <f>VLOOKUP(Table8[[#This Row],[Document ID]],Table1[],5,FALSE)</f>
        <v>NDC</v>
      </c>
      <c r="E411" s="233" t="str">
        <f>VLOOKUP(Table8[[#This Row],[Document ID]],Table1[],7,FALSE)</f>
        <v>Second NDC</v>
      </c>
      <c r="F411" s="233" t="str">
        <f>VLOOKUP(Table8[[#This Row],[Document ID]],Table1[],8,FALSE)</f>
        <v>NDC 2.0</v>
      </c>
      <c r="G411" s="233" t="str">
        <f>VLOOKUP(Table8[[#This Row],[Document ID]],Table1[],10,FALSE)</f>
        <v>Active</v>
      </c>
      <c r="H411" s="44" t="s">
        <v>2338</v>
      </c>
      <c r="I411" s="44" t="s">
        <v>2339</v>
      </c>
      <c r="J411" s="44" t="s">
        <v>2413</v>
      </c>
      <c r="K411" s="44" t="s">
        <v>2755</v>
      </c>
      <c r="L411" s="44" t="s">
        <v>2333</v>
      </c>
      <c r="M411" s="43">
        <v>58</v>
      </c>
      <c r="N411" s="113" t="s">
        <v>1113</v>
      </c>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t="s">
        <v>1113</v>
      </c>
      <c r="AL411" s="113"/>
      <c r="AM411" s="113"/>
      <c r="AN411" s="113"/>
      <c r="AO411" s="44" t="s">
        <v>2334</v>
      </c>
      <c r="AP411" s="43"/>
      <c r="AQ411" s="236" t="str">
        <f>VLOOKUP(Table8[[#This Row],[Instrument]],Def_Targets!$D$73:$E$159,2,FALSE)</f>
        <v>I_Vehicleeff</v>
      </c>
      <c r="AR411" s="233" t="str">
        <f>VLOOKUP(Table8[[#This Row],[Country Code]],Table29[],3,FALSE)</f>
        <v>Non-Annex I</v>
      </c>
      <c r="AS411" s="233" t="str">
        <f>VLOOKUP(Table8[[#This Row],[Country Code]],Table29[],4,FALSE)</f>
        <v>Asia</v>
      </c>
      <c r="AT411" s="233" t="str">
        <f>VLOOKUP(Table8[[#This Row],[Country Code]],Table29[],5,FALSE)</f>
        <v>Middle-income</v>
      </c>
      <c r="AU411" s="233" t="str">
        <f>VLOOKUP(Table8[[#This Row],[Country Code]],Table29[],6,FALSE)</f>
        <v>no</v>
      </c>
      <c r="AV411" s="233" t="str">
        <f>VLOOKUP(Table8[[#This Row],[Country Code]],Table29[],7,FALSE)</f>
        <v>no</v>
      </c>
      <c r="AW411" s="233" t="str">
        <f>VLOOKUP(Table8[[#This Row],[Country Code]],Table29[],8,FALSE)</f>
        <v>non-OECD</v>
      </c>
      <c r="AX411" s="233" t="str">
        <f>VLOOKUP(Table8[[#This Row],[Country Code]],Table29[],9,FALSE)</f>
        <v>no</v>
      </c>
      <c r="AY411" s="233" t="str">
        <f>VLOOKUP(Table8[[#This Row],[Country Code]],Table29[],10,FALSE)</f>
        <v>no</v>
      </c>
      <c r="AZ411" s="235">
        <f>VLOOKUP(Table8[[#This Row],[Country Code]],Table29[],23,FALSE)</f>
        <v>62.550294041306003</v>
      </c>
      <c r="BA411" s="235">
        <f>VLOOKUP(Table8[[#This Row],[Country Code]],Table29[],24,FALSE)</f>
        <v>8.4493328883147889</v>
      </c>
      <c r="BB411" s="320"/>
      <c r="BC411" s="320"/>
    </row>
    <row r="412" spans="1:55" hidden="1" x14ac:dyDescent="0.25">
      <c r="A412" s="373">
        <v>39438</v>
      </c>
      <c r="B412" s="233" t="str">
        <f>VLOOKUP(Table8[[#This Row],[Document ID]],Table1[],2,FALSE)</f>
        <v>AZE</v>
      </c>
      <c r="C412" s="233" t="str">
        <f>VLOOKUP(Table8[[#This Row],[Document ID]],Table1[],3,FALSE)</f>
        <v>Azerbaijan</v>
      </c>
      <c r="D412" s="243" t="str">
        <f>VLOOKUP(Table8[[#This Row],[Document ID]],Table1[],5,FALSE)</f>
        <v>NDC</v>
      </c>
      <c r="E412" s="233" t="str">
        <f>VLOOKUP(Table8[[#This Row],[Document ID]],Table1[],7,FALSE)</f>
        <v>Second NDC</v>
      </c>
      <c r="F412" s="233" t="str">
        <f>VLOOKUP(Table8[[#This Row],[Document ID]],Table1[],8,FALSE)</f>
        <v>NDC 2.0</v>
      </c>
      <c r="G412" s="233" t="str">
        <f>VLOOKUP(Table8[[#This Row],[Document ID]],Table1[],10,FALSE)</f>
        <v>Active</v>
      </c>
      <c r="H412" s="44" t="s">
        <v>2338</v>
      </c>
      <c r="I412" s="44" t="s">
        <v>2339</v>
      </c>
      <c r="J412" s="44" t="s">
        <v>2556</v>
      </c>
      <c r="K412" s="44" t="s">
        <v>2756</v>
      </c>
      <c r="L412" s="44" t="s">
        <v>2333</v>
      </c>
      <c r="M412" s="43">
        <v>58</v>
      </c>
      <c r="N412" s="113"/>
      <c r="O412" s="113"/>
      <c r="P412" s="113"/>
      <c r="Q412" s="113"/>
      <c r="R412" s="113"/>
      <c r="S412" s="113" t="s">
        <v>1113</v>
      </c>
      <c r="T412" s="113"/>
      <c r="U412" s="113"/>
      <c r="V412" s="113"/>
      <c r="W412" s="113"/>
      <c r="X412" s="113"/>
      <c r="Y412" s="113"/>
      <c r="Z412" s="113"/>
      <c r="AA412" s="113"/>
      <c r="AB412" s="113"/>
      <c r="AC412" s="113"/>
      <c r="AD412" s="113"/>
      <c r="AE412" s="113"/>
      <c r="AF412" s="113"/>
      <c r="AG412" s="113"/>
      <c r="AH412" s="113"/>
      <c r="AI412" s="113"/>
      <c r="AJ412" s="113"/>
      <c r="AK412" s="113" t="s">
        <v>1113</v>
      </c>
      <c r="AL412" s="113"/>
      <c r="AM412" s="113"/>
      <c r="AN412" s="113"/>
      <c r="AO412" s="43" t="s">
        <v>2353</v>
      </c>
      <c r="AP412" s="43"/>
      <c r="AQ412" s="236" t="str">
        <f>VLOOKUP(Table8[[#This Row],[Instrument]],Def_Targets!$D$73:$E$159,2,FALSE)</f>
        <v>I_Fuelqualimprove</v>
      </c>
      <c r="AR412" s="233" t="str">
        <f>VLOOKUP(Table8[[#This Row],[Country Code]],Table29[],3,FALSE)</f>
        <v>Non-Annex I</v>
      </c>
      <c r="AS412" s="233" t="str">
        <f>VLOOKUP(Table8[[#This Row],[Country Code]],Table29[],4,FALSE)</f>
        <v>Asia</v>
      </c>
      <c r="AT412" s="233" t="str">
        <f>VLOOKUP(Table8[[#This Row],[Country Code]],Table29[],5,FALSE)</f>
        <v>Middle-income</v>
      </c>
      <c r="AU412" s="233" t="str">
        <f>VLOOKUP(Table8[[#This Row],[Country Code]],Table29[],6,FALSE)</f>
        <v>no</v>
      </c>
      <c r="AV412" s="233" t="str">
        <f>VLOOKUP(Table8[[#This Row],[Country Code]],Table29[],7,FALSE)</f>
        <v>no</v>
      </c>
      <c r="AW412" s="233" t="str">
        <f>VLOOKUP(Table8[[#This Row],[Country Code]],Table29[],8,FALSE)</f>
        <v>non-OECD</v>
      </c>
      <c r="AX412" s="233" t="str">
        <f>VLOOKUP(Table8[[#This Row],[Country Code]],Table29[],9,FALSE)</f>
        <v>no</v>
      </c>
      <c r="AY412" s="233" t="str">
        <f>VLOOKUP(Table8[[#This Row],[Country Code]],Table29[],10,FALSE)</f>
        <v>no</v>
      </c>
      <c r="AZ412" s="235">
        <f>VLOOKUP(Table8[[#This Row],[Country Code]],Table29[],23,FALSE)</f>
        <v>62.550294041306003</v>
      </c>
      <c r="BA412" s="235">
        <f>VLOOKUP(Table8[[#This Row],[Country Code]],Table29[],24,FALSE)</f>
        <v>8.4493328883147889</v>
      </c>
      <c r="BB412" s="320"/>
      <c r="BC412" s="320"/>
    </row>
    <row r="413" spans="1:55" hidden="1" x14ac:dyDescent="0.25">
      <c r="A413" s="373">
        <v>39438</v>
      </c>
      <c r="B413" s="233" t="str">
        <f>VLOOKUP(Table8[[#This Row],[Document ID]],Table1[],2,FALSE)</f>
        <v>AZE</v>
      </c>
      <c r="C413" s="233" t="str">
        <f>VLOOKUP(Table8[[#This Row],[Document ID]],Table1[],3,FALSE)</f>
        <v>Azerbaijan</v>
      </c>
      <c r="D413" s="243" t="str">
        <f>VLOOKUP(Table8[[#This Row],[Document ID]],Table1[],5,FALSE)</f>
        <v>NDC</v>
      </c>
      <c r="E413" s="233" t="str">
        <f>VLOOKUP(Table8[[#This Row],[Document ID]],Table1[],7,FALSE)</f>
        <v>Second NDC</v>
      </c>
      <c r="F413" s="233" t="str">
        <f>VLOOKUP(Table8[[#This Row],[Document ID]],Table1[],8,FALSE)</f>
        <v>NDC 2.0</v>
      </c>
      <c r="G413" s="233" t="str">
        <f>VLOOKUP(Table8[[#This Row],[Document ID]],Table1[],10,FALSE)</f>
        <v>Active</v>
      </c>
      <c r="H413" s="43" t="s">
        <v>2343</v>
      </c>
      <c r="I413" s="43" t="s">
        <v>2361</v>
      </c>
      <c r="J413" s="44" t="s">
        <v>2362</v>
      </c>
      <c r="K413" s="44" t="s">
        <v>2757</v>
      </c>
      <c r="L413" s="44" t="s">
        <v>2347</v>
      </c>
      <c r="M413" s="43">
        <v>58</v>
      </c>
      <c r="N413" s="113"/>
      <c r="O413" s="113"/>
      <c r="P413" s="113"/>
      <c r="Q413" s="113"/>
      <c r="R413" s="113" t="s">
        <v>1113</v>
      </c>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44" t="s">
        <v>2334</v>
      </c>
      <c r="AP413" s="43"/>
      <c r="AQ413" s="236" t="str">
        <f>VLOOKUP(Table8[[#This Row],[Instrument]],Def_Targets!$D$73:$E$159,2,FALSE)</f>
        <v>S_Cycling</v>
      </c>
      <c r="AR413" s="233" t="str">
        <f>VLOOKUP(Table8[[#This Row],[Country Code]],Table29[],3,FALSE)</f>
        <v>Non-Annex I</v>
      </c>
      <c r="AS413" s="233" t="str">
        <f>VLOOKUP(Table8[[#This Row],[Country Code]],Table29[],4,FALSE)</f>
        <v>Asia</v>
      </c>
      <c r="AT413" s="233" t="str">
        <f>VLOOKUP(Table8[[#This Row],[Country Code]],Table29[],5,FALSE)</f>
        <v>Middle-income</v>
      </c>
      <c r="AU413" s="233" t="str">
        <f>VLOOKUP(Table8[[#This Row],[Country Code]],Table29[],6,FALSE)</f>
        <v>no</v>
      </c>
      <c r="AV413" s="233" t="str">
        <f>VLOOKUP(Table8[[#This Row],[Country Code]],Table29[],7,FALSE)</f>
        <v>no</v>
      </c>
      <c r="AW413" s="233" t="str">
        <f>VLOOKUP(Table8[[#This Row],[Country Code]],Table29[],8,FALSE)</f>
        <v>non-OECD</v>
      </c>
      <c r="AX413" s="233" t="str">
        <f>VLOOKUP(Table8[[#This Row],[Country Code]],Table29[],9,FALSE)</f>
        <v>no</v>
      </c>
      <c r="AY413" s="233" t="str">
        <f>VLOOKUP(Table8[[#This Row],[Country Code]],Table29[],10,FALSE)</f>
        <v>no</v>
      </c>
      <c r="AZ413" s="235">
        <f>VLOOKUP(Table8[[#This Row],[Country Code]],Table29[],23,FALSE)</f>
        <v>62.550294041306003</v>
      </c>
      <c r="BA413" s="235">
        <f>VLOOKUP(Table8[[#This Row],[Country Code]],Table29[],24,FALSE)</f>
        <v>8.4493328883147889</v>
      </c>
      <c r="BB413" s="320"/>
      <c r="BC413" s="320"/>
    </row>
    <row r="414" spans="1:55" hidden="1" x14ac:dyDescent="0.25">
      <c r="A414" s="373">
        <v>39438</v>
      </c>
      <c r="B414" s="233" t="str">
        <f>VLOOKUP(Table8[[#This Row],[Document ID]],Table1[],2,FALSE)</f>
        <v>AZE</v>
      </c>
      <c r="C414" s="233" t="str">
        <f>VLOOKUP(Table8[[#This Row],[Document ID]],Table1[],3,FALSE)</f>
        <v>Azerbaijan</v>
      </c>
      <c r="D414" s="243" t="str">
        <f>VLOOKUP(Table8[[#This Row],[Document ID]],Table1[],5,FALSE)</f>
        <v>NDC</v>
      </c>
      <c r="E414" s="233" t="str">
        <f>VLOOKUP(Table8[[#This Row],[Document ID]],Table1[],7,FALSE)</f>
        <v>Second NDC</v>
      </c>
      <c r="F414" s="233" t="str">
        <f>VLOOKUP(Table8[[#This Row],[Document ID]],Table1[],8,FALSE)</f>
        <v>NDC 2.0</v>
      </c>
      <c r="G414" s="233" t="str">
        <f>VLOOKUP(Table8[[#This Row],[Document ID]],Table1[],10,FALSE)</f>
        <v>Active</v>
      </c>
      <c r="H414" s="43" t="s">
        <v>2358</v>
      </c>
      <c r="I414" s="43" t="s">
        <v>2359</v>
      </c>
      <c r="J414" s="44" t="s">
        <v>2360</v>
      </c>
      <c r="K414" s="44" t="s">
        <v>2758</v>
      </c>
      <c r="L414" s="44" t="s">
        <v>2347</v>
      </c>
      <c r="M414" s="43">
        <v>62</v>
      </c>
      <c r="N414" s="113" t="s">
        <v>1113</v>
      </c>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t="s">
        <v>1113</v>
      </c>
      <c r="AL414" s="113"/>
      <c r="AM414" s="113"/>
      <c r="AN414" s="113"/>
      <c r="AO414" s="44" t="s">
        <v>2334</v>
      </c>
      <c r="AP414" s="43"/>
      <c r="AQ414" s="236" t="str">
        <f>VLOOKUP(Table8[[#This Row],[Instrument]],Def_Targets!$D$73:$E$159,2,FALSE)</f>
        <v>I_Emobility</v>
      </c>
      <c r="AR414" s="233" t="str">
        <f>VLOOKUP(Table8[[#This Row],[Country Code]],Table29[],3,FALSE)</f>
        <v>Non-Annex I</v>
      </c>
      <c r="AS414" s="233" t="str">
        <f>VLOOKUP(Table8[[#This Row],[Country Code]],Table29[],4,FALSE)</f>
        <v>Asia</v>
      </c>
      <c r="AT414" s="233" t="str">
        <f>VLOOKUP(Table8[[#This Row],[Country Code]],Table29[],5,FALSE)</f>
        <v>Middle-income</v>
      </c>
      <c r="AU414" s="233" t="str">
        <f>VLOOKUP(Table8[[#This Row],[Country Code]],Table29[],6,FALSE)</f>
        <v>no</v>
      </c>
      <c r="AV414" s="233" t="str">
        <f>VLOOKUP(Table8[[#This Row],[Country Code]],Table29[],7,FALSE)</f>
        <v>no</v>
      </c>
      <c r="AW414" s="233" t="str">
        <f>VLOOKUP(Table8[[#This Row],[Country Code]],Table29[],8,FALSE)</f>
        <v>non-OECD</v>
      </c>
      <c r="AX414" s="233" t="str">
        <f>VLOOKUP(Table8[[#This Row],[Country Code]],Table29[],9,FALSE)</f>
        <v>no</v>
      </c>
      <c r="AY414" s="233" t="str">
        <f>VLOOKUP(Table8[[#This Row],[Country Code]],Table29[],10,FALSE)</f>
        <v>no</v>
      </c>
      <c r="AZ414" s="235">
        <f>VLOOKUP(Table8[[#This Row],[Country Code]],Table29[],23,FALSE)</f>
        <v>62.550294041306003</v>
      </c>
      <c r="BA414" s="235">
        <f>VLOOKUP(Table8[[#This Row],[Country Code]],Table29[],24,FALSE)</f>
        <v>8.4493328883147889</v>
      </c>
      <c r="BB414" s="320"/>
      <c r="BC414" s="320"/>
    </row>
    <row r="415" spans="1:55" hidden="1" x14ac:dyDescent="0.25">
      <c r="A415" s="360">
        <v>17532</v>
      </c>
      <c r="B415" s="233" t="str">
        <f>VLOOKUP(Table8[[#This Row],[Document ID]],Table1[],2,FALSE)</f>
        <v>BEN</v>
      </c>
      <c r="C415" s="233" t="str">
        <f>VLOOKUP(Table8[[#This Row],[Document ID]],Table1[],3,FALSE)</f>
        <v>Benin</v>
      </c>
      <c r="D415" s="233" t="str">
        <f>VLOOKUP(Table8[[#This Row],[Document ID]],Table1[],5,FALSE)</f>
        <v>LTS</v>
      </c>
      <c r="E415" s="233" t="str">
        <f>VLOOKUP(Table8[[#This Row],[Document ID]],Table1[],7,FALSE)</f>
        <v>LTS</v>
      </c>
      <c r="F415" s="233" t="str">
        <f>VLOOKUP(Table8[[#This Row],[Document ID]],Table1[],8,FALSE)</f>
        <v>LTS 1.0</v>
      </c>
      <c r="G415" s="233" t="str">
        <f>VLOOKUP(Table8[[#This Row],[Document ID]],Table1[],10,FALSE)</f>
        <v>Active</v>
      </c>
      <c r="H415" s="44" t="s">
        <v>2329</v>
      </c>
      <c r="I415" s="44" t="s">
        <v>2330</v>
      </c>
      <c r="J415" s="44" t="s">
        <v>2357</v>
      </c>
      <c r="K415" s="44" t="s">
        <v>2759</v>
      </c>
      <c r="L415" s="44" t="s">
        <v>2333</v>
      </c>
      <c r="M415" s="43">
        <v>32</v>
      </c>
      <c r="N415" s="113" t="s">
        <v>1113</v>
      </c>
      <c r="O415" s="113"/>
      <c r="P415" s="113"/>
      <c r="Q415" s="319"/>
      <c r="R415" s="319"/>
      <c r="S415" s="319"/>
      <c r="T415" s="319"/>
      <c r="U415" s="319"/>
      <c r="V415" s="319"/>
      <c r="W415" s="319"/>
      <c r="X415" s="319"/>
      <c r="Y415" s="319"/>
      <c r="Z415" s="319"/>
      <c r="AA415" s="319"/>
      <c r="AB415" s="319"/>
      <c r="AC415" s="319"/>
      <c r="AD415" s="319"/>
      <c r="AE415" s="319"/>
      <c r="AF415" s="319"/>
      <c r="AG415" s="319"/>
      <c r="AH415" s="319"/>
      <c r="AI415" s="319"/>
      <c r="AJ415" s="319"/>
      <c r="AK415" s="319" t="s">
        <v>1113</v>
      </c>
      <c r="AL415" s="319"/>
      <c r="AM415" s="319"/>
      <c r="AN415" s="319"/>
      <c r="AO415" s="44" t="s">
        <v>2334</v>
      </c>
      <c r="AP415" s="44"/>
      <c r="AQ415" s="236" t="str">
        <f>VLOOKUP(Table8[[#This Row],[Instrument]],Def_Targets!$D$73:$E$159,2,FALSE)</f>
        <v>I_Biofuel</v>
      </c>
      <c r="AR415" s="233" t="str">
        <f>VLOOKUP(Table8[[#This Row],[Country Code]],Table29[],3,FALSE)</f>
        <v>Non-Annex I</v>
      </c>
      <c r="AS415" s="233" t="str">
        <f>VLOOKUP(Table8[[#This Row],[Country Code]],Table29[],4,FALSE)</f>
        <v>Africa</v>
      </c>
      <c r="AT415" s="233" t="str">
        <f>VLOOKUP(Table8[[#This Row],[Country Code]],Table29[],5,FALSE)</f>
        <v>Middle-income</v>
      </c>
      <c r="AU415" s="233" t="str">
        <f>VLOOKUP(Table8[[#This Row],[Country Code]],Table29[],6,FALSE)</f>
        <v>no</v>
      </c>
      <c r="AV415" s="233" t="str">
        <f>VLOOKUP(Table8[[#This Row],[Country Code]],Table29[],7,FALSE)</f>
        <v>no</v>
      </c>
      <c r="AW415" s="233" t="str">
        <f>VLOOKUP(Table8[[#This Row],[Country Code]],Table29[],8,FALSE)</f>
        <v>non-OECD</v>
      </c>
      <c r="AX415" s="233" t="str">
        <f>VLOOKUP(Table8[[#This Row],[Country Code]],Table29[],9,FALSE)</f>
        <v>no</v>
      </c>
      <c r="AY415" s="233" t="str">
        <f>VLOOKUP(Table8[[#This Row],[Country Code]],Table29[],10,FALSE)</f>
        <v>no</v>
      </c>
      <c r="AZ415" s="235">
        <f>VLOOKUP(Table8[[#This Row],[Country Code]],Table29[],23,FALSE)</f>
        <v>16.699491601106999</v>
      </c>
      <c r="BA415" s="235">
        <f>VLOOKUP(Table8[[#This Row],[Country Code]],Table29[],24,FALSE)</f>
        <v>4.358789566933627</v>
      </c>
      <c r="BB415" s="320"/>
      <c r="BC415" s="320"/>
    </row>
    <row r="416" spans="1:55" ht="30" hidden="1" x14ac:dyDescent="0.25">
      <c r="A416" s="360">
        <v>17532</v>
      </c>
      <c r="B416" s="233" t="str">
        <f>VLOOKUP(Table8[[#This Row],[Document ID]],Table1[],2,FALSE)</f>
        <v>BEN</v>
      </c>
      <c r="C416" s="233" t="str">
        <f>VLOOKUP(Table8[[#This Row],[Document ID]],Table1[],3,FALSE)</f>
        <v>Benin</v>
      </c>
      <c r="D416" s="233" t="str">
        <f>VLOOKUP(Table8[[#This Row],[Document ID]],Table1[],5,FALSE)</f>
        <v>LTS</v>
      </c>
      <c r="E416" s="233" t="str">
        <f>VLOOKUP(Table8[[#This Row],[Document ID]],Table1[],7,FALSE)</f>
        <v>LTS</v>
      </c>
      <c r="F416" s="233" t="str">
        <f>VLOOKUP(Table8[[#This Row],[Document ID]],Table1[],8,FALSE)</f>
        <v>LTS 1.0</v>
      </c>
      <c r="G416" s="233" t="str">
        <f>VLOOKUP(Table8[[#This Row],[Document ID]],Table1[],10,FALSE)</f>
        <v>Active</v>
      </c>
      <c r="H416" s="43" t="s">
        <v>2350</v>
      </c>
      <c r="I416" s="43" t="s">
        <v>2456</v>
      </c>
      <c r="J416" s="44" t="s">
        <v>2457</v>
      </c>
      <c r="K416" s="44" t="s">
        <v>2760</v>
      </c>
      <c r="L416" s="44" t="s">
        <v>2333</v>
      </c>
      <c r="M416" s="43">
        <v>32</v>
      </c>
      <c r="N416" s="113" t="s">
        <v>1113</v>
      </c>
      <c r="O416" s="113"/>
      <c r="P416" s="113"/>
      <c r="Q416" s="319"/>
      <c r="R416" s="319"/>
      <c r="S416" s="319"/>
      <c r="T416" s="319"/>
      <c r="U416" s="319"/>
      <c r="V416" s="319"/>
      <c r="W416" s="319"/>
      <c r="X416" s="319"/>
      <c r="Y416" s="319"/>
      <c r="Z416" s="319"/>
      <c r="AA416" s="319"/>
      <c r="AB416" s="319"/>
      <c r="AC416" s="319"/>
      <c r="AD416" s="319"/>
      <c r="AE416" s="319"/>
      <c r="AF416" s="319"/>
      <c r="AG416" s="319"/>
      <c r="AH416" s="319"/>
      <c r="AI416" s="319"/>
      <c r="AJ416" s="319"/>
      <c r="AK416" s="319" t="s">
        <v>1113</v>
      </c>
      <c r="AL416" s="319"/>
      <c r="AM416" s="319"/>
      <c r="AN416" s="319"/>
      <c r="AO416" s="44" t="s">
        <v>2334</v>
      </c>
      <c r="AP416" s="44"/>
      <c r="AQ416" s="236" t="str">
        <f>VLOOKUP(Table8[[#This Row],[Instrument]],Def_Targets!$D$73:$E$159,2,FALSE)</f>
        <v>S_Infraimprove</v>
      </c>
      <c r="AR416" s="233" t="str">
        <f>VLOOKUP(Table8[[#This Row],[Country Code]],Table29[],3,FALSE)</f>
        <v>Non-Annex I</v>
      </c>
      <c r="AS416" s="233" t="str">
        <f>VLOOKUP(Table8[[#This Row],[Country Code]],Table29[],4,FALSE)</f>
        <v>Africa</v>
      </c>
      <c r="AT416" s="233" t="str">
        <f>VLOOKUP(Table8[[#This Row],[Country Code]],Table29[],5,FALSE)</f>
        <v>Middle-income</v>
      </c>
      <c r="AU416" s="233" t="str">
        <f>VLOOKUP(Table8[[#This Row],[Country Code]],Table29[],6,FALSE)</f>
        <v>no</v>
      </c>
      <c r="AV416" s="233" t="str">
        <f>VLOOKUP(Table8[[#This Row],[Country Code]],Table29[],7,FALSE)</f>
        <v>no</v>
      </c>
      <c r="AW416" s="233" t="str">
        <f>VLOOKUP(Table8[[#This Row],[Country Code]],Table29[],8,FALSE)</f>
        <v>non-OECD</v>
      </c>
      <c r="AX416" s="233" t="str">
        <f>VLOOKUP(Table8[[#This Row],[Country Code]],Table29[],9,FALSE)</f>
        <v>no</v>
      </c>
      <c r="AY416" s="233" t="str">
        <f>VLOOKUP(Table8[[#This Row],[Country Code]],Table29[],10,FALSE)</f>
        <v>no</v>
      </c>
      <c r="AZ416" s="235">
        <f>VLOOKUP(Table8[[#This Row],[Country Code]],Table29[],23,FALSE)</f>
        <v>16.699491601106999</v>
      </c>
      <c r="BA416" s="235">
        <f>VLOOKUP(Table8[[#This Row],[Country Code]],Table29[],24,FALSE)</f>
        <v>4.358789566933627</v>
      </c>
      <c r="BB416" s="320"/>
      <c r="BC416" s="320"/>
    </row>
    <row r="417" spans="1:55" hidden="1" x14ac:dyDescent="0.25">
      <c r="A417" s="373">
        <v>17556</v>
      </c>
      <c r="B417" s="233" t="str">
        <f>VLOOKUP(Table8[[#This Row],[Document ID]],Table1[],2,FALSE)</f>
        <v>CHN</v>
      </c>
      <c r="C417" s="233" t="str">
        <f>VLOOKUP(Table8[[#This Row],[Document ID]],Table1[],3,FALSE)</f>
        <v>China</v>
      </c>
      <c r="D417" s="243" t="str">
        <f>VLOOKUP(Table8[[#This Row],[Document ID]],Table1[],5,FALSE)</f>
        <v>NDC</v>
      </c>
      <c r="E417" s="233" t="str">
        <f>VLOOKUP(Table8[[#This Row],[Document ID]],Table1[],7,FALSE)</f>
        <v>First NDC</v>
      </c>
      <c r="F417" s="236" t="str">
        <f>VLOOKUP(Table8[[#This Row],[Document ID]],Table1[],8,FALSE)</f>
        <v>NDC 1.0</v>
      </c>
      <c r="G417" s="236" t="str">
        <f>VLOOKUP(Table8[[#This Row],[Document ID]],Table1[],10,FALSE)</f>
        <v>Archived</v>
      </c>
      <c r="H417" s="44" t="s">
        <v>2338</v>
      </c>
      <c r="I417" s="44" t="s">
        <v>2339</v>
      </c>
      <c r="J417" s="44" t="s">
        <v>2556</v>
      </c>
      <c r="K417" s="44" t="s">
        <v>2761</v>
      </c>
      <c r="L417" s="44" t="s">
        <v>2333</v>
      </c>
      <c r="M417" s="43"/>
      <c r="N417" s="113" t="s">
        <v>1113</v>
      </c>
      <c r="O417" s="113"/>
      <c r="P417" s="113"/>
      <c r="Q417" s="319"/>
      <c r="R417" s="319"/>
      <c r="S417" s="319"/>
      <c r="T417" s="319"/>
      <c r="U417" s="319"/>
      <c r="V417" s="319"/>
      <c r="W417" s="319"/>
      <c r="X417" s="319"/>
      <c r="Y417" s="319"/>
      <c r="Z417" s="319"/>
      <c r="AA417" s="319"/>
      <c r="AB417" s="319"/>
      <c r="AC417" s="319"/>
      <c r="AD417" s="319"/>
      <c r="AE417" s="319"/>
      <c r="AF417" s="319"/>
      <c r="AG417" s="319"/>
      <c r="AH417" s="319"/>
      <c r="AI417" s="319"/>
      <c r="AJ417" s="319"/>
      <c r="AK417" s="319" t="s">
        <v>1113</v>
      </c>
      <c r="AL417" s="319"/>
      <c r="AM417" s="319"/>
      <c r="AN417" s="319"/>
      <c r="AO417" s="44" t="s">
        <v>2334</v>
      </c>
      <c r="AP417" s="44"/>
      <c r="AQ417" s="236" t="str">
        <f>VLOOKUP(Table8[[#This Row],[Instrument]],Def_Targets!$D$73:$E$159,2,FALSE)</f>
        <v>I_Fuelqualimprove</v>
      </c>
      <c r="AR417" s="233" t="str">
        <f>VLOOKUP(Table8[[#This Row],[Country Code]],Table29[],3,FALSE)</f>
        <v>Non-Annex I</v>
      </c>
      <c r="AS417" s="233" t="str">
        <f>VLOOKUP(Table8[[#This Row],[Country Code]],Table29[],4,FALSE)</f>
        <v>Asia</v>
      </c>
      <c r="AT417" s="233" t="str">
        <f>VLOOKUP(Table8[[#This Row],[Country Code]],Table29[],5,FALSE)</f>
        <v>Middle-income</v>
      </c>
      <c r="AU417" s="233" t="str">
        <f>VLOOKUP(Table8[[#This Row],[Country Code]],Table29[],6,FALSE)</f>
        <v>G20</v>
      </c>
      <c r="AV417" s="233" t="str">
        <f>VLOOKUP(Table8[[#This Row],[Country Code]],Table29[],7,FALSE)</f>
        <v>no</v>
      </c>
      <c r="AW417" s="233" t="str">
        <f>VLOOKUP(Table8[[#This Row],[Country Code]],Table29[],8,FALSE)</f>
        <v>non-OECD</v>
      </c>
      <c r="AX417" s="233" t="str">
        <f>VLOOKUP(Table8[[#This Row],[Country Code]],Table29[],9,FALSE)</f>
        <v>no</v>
      </c>
      <c r="AY417" s="233" t="str">
        <f>VLOOKUP(Table8[[#This Row],[Country Code]],Table29[],10,FALSE)</f>
        <v>no</v>
      </c>
      <c r="AZ417" s="235">
        <f>VLOOKUP(Table8[[#This Row],[Country Code]],Table29[],23,FALSE)</f>
        <v>15943.986552905</v>
      </c>
      <c r="BA417" s="235">
        <f>VLOOKUP(Table8[[#This Row],[Country Code]],Table29[],24,FALSE)</f>
        <v>1110.1781062864729</v>
      </c>
      <c r="BB417" s="320"/>
      <c r="BC417" s="320"/>
    </row>
    <row r="418" spans="1:55" hidden="1" x14ac:dyDescent="0.25">
      <c r="A418" s="373">
        <v>17556</v>
      </c>
      <c r="B418" s="233" t="str">
        <f>VLOOKUP(Table8[[#This Row],[Document ID]],Table1[],2,FALSE)</f>
        <v>CHN</v>
      </c>
      <c r="C418" s="233" t="str">
        <f>VLOOKUP(Table8[[#This Row],[Document ID]],Table1[],3,FALSE)</f>
        <v>China</v>
      </c>
      <c r="D418" s="243" t="str">
        <f>VLOOKUP(Table8[[#This Row],[Document ID]],Table1[],5,FALSE)</f>
        <v>NDC</v>
      </c>
      <c r="E418" s="233" t="str">
        <f>VLOOKUP(Table8[[#This Row],[Document ID]],Table1[],7,FALSE)</f>
        <v>First NDC</v>
      </c>
      <c r="F418" s="236" t="str">
        <f>VLOOKUP(Table8[[#This Row],[Document ID]],Table1[],8,FALSE)</f>
        <v>NDC 1.0</v>
      </c>
      <c r="G418" s="236" t="str">
        <f>VLOOKUP(Table8[[#This Row],[Document ID]],Table1[],10,FALSE)</f>
        <v>Archived</v>
      </c>
      <c r="H418" s="44" t="s">
        <v>2329</v>
      </c>
      <c r="I418" s="44" t="s">
        <v>2330</v>
      </c>
      <c r="J418" s="44" t="s">
        <v>2331</v>
      </c>
      <c r="K418" s="44" t="s">
        <v>2761</v>
      </c>
      <c r="L418" s="44" t="s">
        <v>2333</v>
      </c>
      <c r="M418" s="43"/>
      <c r="N418" s="113" t="s">
        <v>1113</v>
      </c>
      <c r="O418" s="113"/>
      <c r="P418" s="113"/>
      <c r="Q418" s="319"/>
      <c r="R418" s="319"/>
      <c r="S418" s="319"/>
      <c r="T418" s="319"/>
      <c r="U418" s="319"/>
      <c r="V418" s="319"/>
      <c r="W418" s="319"/>
      <c r="X418" s="319"/>
      <c r="Y418" s="319"/>
      <c r="Z418" s="319"/>
      <c r="AA418" s="319"/>
      <c r="AB418" s="319"/>
      <c r="AC418" s="319"/>
      <c r="AD418" s="319"/>
      <c r="AE418" s="319"/>
      <c r="AF418" s="319"/>
      <c r="AG418" s="319"/>
      <c r="AH418" s="319"/>
      <c r="AI418" s="319"/>
      <c r="AJ418" s="319"/>
      <c r="AK418" s="319" t="s">
        <v>1113</v>
      </c>
      <c r="AL418" s="319"/>
      <c r="AM418" s="319"/>
      <c r="AN418" s="319"/>
      <c r="AO418" s="44" t="s">
        <v>2334</v>
      </c>
      <c r="AP418" s="44"/>
      <c r="AQ418" s="236" t="str">
        <f>VLOOKUP(Table8[[#This Row],[Instrument]],Def_Targets!$D$73:$E$159,2,FALSE)</f>
        <v>I_Altfuels</v>
      </c>
      <c r="AR418" s="233" t="str">
        <f>VLOOKUP(Table8[[#This Row],[Country Code]],Table29[],3,FALSE)</f>
        <v>Non-Annex I</v>
      </c>
      <c r="AS418" s="233" t="str">
        <f>VLOOKUP(Table8[[#This Row],[Country Code]],Table29[],4,FALSE)</f>
        <v>Asia</v>
      </c>
      <c r="AT418" s="233" t="str">
        <f>VLOOKUP(Table8[[#This Row],[Country Code]],Table29[],5,FALSE)</f>
        <v>Middle-income</v>
      </c>
      <c r="AU418" s="233" t="str">
        <f>VLOOKUP(Table8[[#This Row],[Country Code]],Table29[],6,FALSE)</f>
        <v>G20</v>
      </c>
      <c r="AV418" s="233" t="str">
        <f>VLOOKUP(Table8[[#This Row],[Country Code]],Table29[],7,FALSE)</f>
        <v>no</v>
      </c>
      <c r="AW418" s="233" t="str">
        <f>VLOOKUP(Table8[[#This Row],[Country Code]],Table29[],8,FALSE)</f>
        <v>non-OECD</v>
      </c>
      <c r="AX418" s="233" t="str">
        <f>VLOOKUP(Table8[[#This Row],[Country Code]],Table29[],9,FALSE)</f>
        <v>no</v>
      </c>
      <c r="AY418" s="233" t="str">
        <f>VLOOKUP(Table8[[#This Row],[Country Code]],Table29[],10,FALSE)</f>
        <v>no</v>
      </c>
      <c r="AZ418" s="235">
        <f>VLOOKUP(Table8[[#This Row],[Country Code]],Table29[],23,FALSE)</f>
        <v>15943.986552905</v>
      </c>
      <c r="BA418" s="235">
        <f>VLOOKUP(Table8[[#This Row],[Country Code]],Table29[],24,FALSE)</f>
        <v>1110.1781062864729</v>
      </c>
      <c r="BB418" s="320"/>
      <c r="BC418" s="320"/>
    </row>
    <row r="419" spans="1:55" hidden="1" x14ac:dyDescent="0.25">
      <c r="A419" s="373">
        <v>17556</v>
      </c>
      <c r="B419" s="233" t="str">
        <f>VLOOKUP(Table8[[#This Row],[Document ID]],Table1[],2,FALSE)</f>
        <v>CHN</v>
      </c>
      <c r="C419" s="233" t="str">
        <f>VLOOKUP(Table8[[#This Row],[Document ID]],Table1[],3,FALSE)</f>
        <v>China</v>
      </c>
      <c r="D419" s="243" t="str">
        <f>VLOOKUP(Table8[[#This Row],[Document ID]],Table1[],5,FALSE)</f>
        <v>NDC</v>
      </c>
      <c r="E419" s="233" t="str">
        <f>VLOOKUP(Table8[[#This Row],[Document ID]],Table1[],7,FALSE)</f>
        <v>First NDC</v>
      </c>
      <c r="F419" s="236" t="str">
        <f>VLOOKUP(Table8[[#This Row],[Document ID]],Table1[],8,FALSE)</f>
        <v>NDC 1.0</v>
      </c>
      <c r="G419" s="236" t="str">
        <f>VLOOKUP(Table8[[#This Row],[Document ID]],Table1[],10,FALSE)</f>
        <v>Archived</v>
      </c>
      <c r="H419" s="43" t="s">
        <v>2343</v>
      </c>
      <c r="I419" s="43" t="s">
        <v>2361</v>
      </c>
      <c r="J419" s="44" t="s">
        <v>2463</v>
      </c>
      <c r="K419" s="44" t="s">
        <v>2762</v>
      </c>
      <c r="L419" s="44" t="s">
        <v>2347</v>
      </c>
      <c r="M419" s="43"/>
      <c r="N419" s="113"/>
      <c r="O419" s="113"/>
      <c r="P419" s="113" t="s">
        <v>1113</v>
      </c>
      <c r="Q419" s="319" t="s">
        <v>1113</v>
      </c>
      <c r="R419" s="319" t="s">
        <v>1113</v>
      </c>
      <c r="S419" s="319"/>
      <c r="T419" s="319"/>
      <c r="U419" s="319"/>
      <c r="V419" s="319"/>
      <c r="W419" s="319"/>
      <c r="X419" s="319"/>
      <c r="Y419" s="319"/>
      <c r="Z419" s="319"/>
      <c r="AA419" s="319"/>
      <c r="AB419" s="319"/>
      <c r="AC419" s="319"/>
      <c r="AD419" s="319"/>
      <c r="AE419" s="319"/>
      <c r="AF419" s="319"/>
      <c r="AG419" s="319"/>
      <c r="AH419" s="319"/>
      <c r="AI419" s="319"/>
      <c r="AJ419" s="319"/>
      <c r="AK419" s="319"/>
      <c r="AL419" s="113" t="s">
        <v>1113</v>
      </c>
      <c r="AM419" s="319"/>
      <c r="AN419" s="319"/>
      <c r="AO419" s="43" t="s">
        <v>2348</v>
      </c>
      <c r="AP419" s="44"/>
      <c r="AQ419" s="236" t="str">
        <f>VLOOKUP(Table8[[#This Row],[Instrument]],Def_Targets!$D$73:$E$159,2,FALSE)</f>
        <v>S_Walking</v>
      </c>
      <c r="AR419" s="233" t="str">
        <f>VLOOKUP(Table8[[#This Row],[Country Code]],Table29[],3,FALSE)</f>
        <v>Non-Annex I</v>
      </c>
      <c r="AS419" s="233" t="str">
        <f>VLOOKUP(Table8[[#This Row],[Country Code]],Table29[],4,FALSE)</f>
        <v>Asia</v>
      </c>
      <c r="AT419" s="233" t="str">
        <f>VLOOKUP(Table8[[#This Row],[Country Code]],Table29[],5,FALSE)</f>
        <v>Middle-income</v>
      </c>
      <c r="AU419" s="233" t="str">
        <f>VLOOKUP(Table8[[#This Row],[Country Code]],Table29[],6,FALSE)</f>
        <v>G20</v>
      </c>
      <c r="AV419" s="233" t="str">
        <f>VLOOKUP(Table8[[#This Row],[Country Code]],Table29[],7,FALSE)</f>
        <v>no</v>
      </c>
      <c r="AW419" s="233" t="str">
        <f>VLOOKUP(Table8[[#This Row],[Country Code]],Table29[],8,FALSE)</f>
        <v>non-OECD</v>
      </c>
      <c r="AX419" s="233" t="str">
        <f>VLOOKUP(Table8[[#This Row],[Country Code]],Table29[],9,FALSE)</f>
        <v>no</v>
      </c>
      <c r="AY419" s="233" t="str">
        <f>VLOOKUP(Table8[[#This Row],[Country Code]],Table29[],10,FALSE)</f>
        <v>no</v>
      </c>
      <c r="AZ419" s="235">
        <f>VLOOKUP(Table8[[#This Row],[Country Code]],Table29[],23,FALSE)</f>
        <v>15943.986552905</v>
      </c>
      <c r="BA419" s="235">
        <f>VLOOKUP(Table8[[#This Row],[Country Code]],Table29[],24,FALSE)</f>
        <v>1110.1781062864729</v>
      </c>
      <c r="BB419" s="320"/>
      <c r="BC419" s="320"/>
    </row>
    <row r="420" spans="1:55" hidden="1" x14ac:dyDescent="0.25">
      <c r="A420" s="373">
        <v>17556</v>
      </c>
      <c r="B420" s="233" t="str">
        <f>VLOOKUP(Table8[[#This Row],[Document ID]],Table1[],2,FALSE)</f>
        <v>CHN</v>
      </c>
      <c r="C420" s="233" t="str">
        <f>VLOOKUP(Table8[[#This Row],[Document ID]],Table1[],3,FALSE)</f>
        <v>China</v>
      </c>
      <c r="D420" s="243" t="str">
        <f>VLOOKUP(Table8[[#This Row],[Document ID]],Table1[],5,FALSE)</f>
        <v>NDC</v>
      </c>
      <c r="E420" s="233" t="str">
        <f>VLOOKUP(Table8[[#This Row],[Document ID]],Table1[],7,FALSE)</f>
        <v>First NDC</v>
      </c>
      <c r="F420" s="236" t="str">
        <f>VLOOKUP(Table8[[#This Row],[Document ID]],Table1[],8,FALSE)</f>
        <v>NDC 1.0</v>
      </c>
      <c r="G420" s="236" t="str">
        <f>VLOOKUP(Table8[[#This Row],[Document ID]],Table1[],10,FALSE)</f>
        <v>Archived</v>
      </c>
      <c r="H420" s="43" t="s">
        <v>2343</v>
      </c>
      <c r="I420" s="43" t="s">
        <v>2361</v>
      </c>
      <c r="J420" s="44" t="s">
        <v>2362</v>
      </c>
      <c r="K420" s="44" t="s">
        <v>2762</v>
      </c>
      <c r="L420" s="44" t="s">
        <v>2347</v>
      </c>
      <c r="M420" s="43"/>
      <c r="N420" s="113"/>
      <c r="O420" s="113"/>
      <c r="P420" s="113" t="s">
        <v>1113</v>
      </c>
      <c r="Q420" s="319" t="s">
        <v>1113</v>
      </c>
      <c r="R420" s="319" t="s">
        <v>1113</v>
      </c>
      <c r="S420" s="319"/>
      <c r="T420" s="319"/>
      <c r="U420" s="319"/>
      <c r="V420" s="319"/>
      <c r="W420" s="319"/>
      <c r="X420" s="319"/>
      <c r="Y420" s="319"/>
      <c r="Z420" s="319"/>
      <c r="AA420" s="319"/>
      <c r="AB420" s="319"/>
      <c r="AC420" s="319"/>
      <c r="AD420" s="319"/>
      <c r="AE420" s="319"/>
      <c r="AF420" s="319"/>
      <c r="AG420" s="319"/>
      <c r="AH420" s="319"/>
      <c r="AI420" s="319"/>
      <c r="AJ420" s="319"/>
      <c r="AK420" s="319"/>
      <c r="AL420" s="113" t="s">
        <v>1113</v>
      </c>
      <c r="AM420" s="319"/>
      <c r="AN420" s="319"/>
      <c r="AO420" s="43" t="s">
        <v>2348</v>
      </c>
      <c r="AP420" s="44"/>
      <c r="AQ420" s="236" t="str">
        <f>VLOOKUP(Table8[[#This Row],[Instrument]],Def_Targets!$D$73:$E$159,2,FALSE)</f>
        <v>S_Cycling</v>
      </c>
      <c r="AR420" s="233" t="str">
        <f>VLOOKUP(Table8[[#This Row],[Country Code]],Table29[],3,FALSE)</f>
        <v>Non-Annex I</v>
      </c>
      <c r="AS420" s="233" t="str">
        <f>VLOOKUP(Table8[[#This Row],[Country Code]],Table29[],4,FALSE)</f>
        <v>Asia</v>
      </c>
      <c r="AT420" s="233" t="str">
        <f>VLOOKUP(Table8[[#This Row],[Country Code]],Table29[],5,FALSE)</f>
        <v>Middle-income</v>
      </c>
      <c r="AU420" s="233" t="str">
        <f>VLOOKUP(Table8[[#This Row],[Country Code]],Table29[],6,FALSE)</f>
        <v>G20</v>
      </c>
      <c r="AV420" s="233" t="str">
        <f>VLOOKUP(Table8[[#This Row],[Country Code]],Table29[],7,FALSE)</f>
        <v>no</v>
      </c>
      <c r="AW420" s="233" t="str">
        <f>VLOOKUP(Table8[[#This Row],[Country Code]],Table29[],8,FALSE)</f>
        <v>non-OECD</v>
      </c>
      <c r="AX420" s="233" t="str">
        <f>VLOOKUP(Table8[[#This Row],[Country Code]],Table29[],9,FALSE)</f>
        <v>no</v>
      </c>
      <c r="AY420" s="233" t="str">
        <f>VLOOKUP(Table8[[#This Row],[Country Code]],Table29[],10,FALSE)</f>
        <v>no</v>
      </c>
      <c r="AZ420" s="235">
        <f>VLOOKUP(Table8[[#This Row],[Country Code]],Table29[],23,FALSE)</f>
        <v>15943.986552905</v>
      </c>
      <c r="BA420" s="235">
        <f>VLOOKUP(Table8[[#This Row],[Country Code]],Table29[],24,FALSE)</f>
        <v>1110.1781062864729</v>
      </c>
      <c r="BB420" s="320"/>
      <c r="BC420" s="320"/>
    </row>
    <row r="421" spans="1:55" hidden="1" x14ac:dyDescent="0.25">
      <c r="A421" s="373">
        <v>17556</v>
      </c>
      <c r="B421" s="233" t="str">
        <f>VLOOKUP(Table8[[#This Row],[Document ID]],Table1[],2,FALSE)</f>
        <v>CHN</v>
      </c>
      <c r="C421" s="233" t="str">
        <f>VLOOKUP(Table8[[#This Row],[Document ID]],Table1[],3,FALSE)</f>
        <v>China</v>
      </c>
      <c r="D421" s="243" t="str">
        <f>VLOOKUP(Table8[[#This Row],[Document ID]],Table1[],5,FALSE)</f>
        <v>NDC</v>
      </c>
      <c r="E421" s="233" t="str">
        <f>VLOOKUP(Table8[[#This Row],[Document ID]],Table1[],7,FALSE)</f>
        <v>First NDC</v>
      </c>
      <c r="F421" s="236" t="str">
        <f>VLOOKUP(Table8[[#This Row],[Document ID]],Table1[],8,FALSE)</f>
        <v>NDC 1.0</v>
      </c>
      <c r="G421" s="236" t="str">
        <f>VLOOKUP(Table8[[#This Row],[Document ID]],Table1[],10,FALSE)</f>
        <v>Archived</v>
      </c>
      <c r="H421" s="43" t="s">
        <v>2350</v>
      </c>
      <c r="I421" s="43" t="s">
        <v>2351</v>
      </c>
      <c r="J421" s="44" t="s">
        <v>2447</v>
      </c>
      <c r="K421" s="44" t="s">
        <v>2763</v>
      </c>
      <c r="L421" s="44" t="s">
        <v>2333</v>
      </c>
      <c r="M421" s="43"/>
      <c r="N421" s="113" t="s">
        <v>1113</v>
      </c>
      <c r="O421" s="113"/>
      <c r="P421" s="113"/>
      <c r="Q421" s="319"/>
      <c r="R421" s="319"/>
      <c r="S421" s="319"/>
      <c r="T421" s="319"/>
      <c r="U421" s="319"/>
      <c r="V421" s="319"/>
      <c r="W421" s="319"/>
      <c r="X421" s="319"/>
      <c r="Y421" s="319"/>
      <c r="Z421" s="319"/>
      <c r="AA421" s="319"/>
      <c r="AB421" s="319"/>
      <c r="AC421" s="319"/>
      <c r="AD421" s="319"/>
      <c r="AE421" s="319"/>
      <c r="AF421" s="319"/>
      <c r="AG421" s="319"/>
      <c r="AH421" s="319"/>
      <c r="AI421" s="319"/>
      <c r="AJ421" s="319"/>
      <c r="AK421" s="319" t="s">
        <v>1113</v>
      </c>
      <c r="AL421" s="319"/>
      <c r="AM421" s="319"/>
      <c r="AN421" s="319"/>
      <c r="AO421" s="43" t="s">
        <v>2353</v>
      </c>
      <c r="AP421" s="44"/>
      <c r="AQ421" s="236" t="str">
        <f>VLOOKUP(Table8[[#This Row],[Instrument]],Def_Targets!$D$73:$E$159,2,FALSE)</f>
        <v>I_Freighteff</v>
      </c>
      <c r="AR421" s="233" t="str">
        <f>VLOOKUP(Table8[[#This Row],[Country Code]],Table29[],3,FALSE)</f>
        <v>Non-Annex I</v>
      </c>
      <c r="AS421" s="233" t="str">
        <f>VLOOKUP(Table8[[#This Row],[Country Code]],Table29[],4,FALSE)</f>
        <v>Asia</v>
      </c>
      <c r="AT421" s="233" t="str">
        <f>VLOOKUP(Table8[[#This Row],[Country Code]],Table29[],5,FALSE)</f>
        <v>Middle-income</v>
      </c>
      <c r="AU421" s="233" t="str">
        <f>VLOOKUP(Table8[[#This Row],[Country Code]],Table29[],6,FALSE)</f>
        <v>G20</v>
      </c>
      <c r="AV421" s="233" t="str">
        <f>VLOOKUP(Table8[[#This Row],[Country Code]],Table29[],7,FALSE)</f>
        <v>no</v>
      </c>
      <c r="AW421" s="233" t="str">
        <f>VLOOKUP(Table8[[#This Row],[Country Code]],Table29[],8,FALSE)</f>
        <v>non-OECD</v>
      </c>
      <c r="AX421" s="233" t="str">
        <f>VLOOKUP(Table8[[#This Row],[Country Code]],Table29[],9,FALSE)</f>
        <v>no</v>
      </c>
      <c r="AY421" s="233" t="str">
        <f>VLOOKUP(Table8[[#This Row],[Country Code]],Table29[],10,FALSE)</f>
        <v>no</v>
      </c>
      <c r="AZ421" s="235">
        <f>VLOOKUP(Table8[[#This Row],[Country Code]],Table29[],23,FALSE)</f>
        <v>15943.986552905</v>
      </c>
      <c r="BA421" s="235">
        <f>VLOOKUP(Table8[[#This Row],[Country Code]],Table29[],24,FALSE)</f>
        <v>1110.1781062864729</v>
      </c>
      <c r="BB421" s="320"/>
      <c r="BC421" s="320"/>
    </row>
    <row r="422" spans="1:55" ht="30" hidden="1" x14ac:dyDescent="0.25">
      <c r="A422" s="373">
        <v>17556</v>
      </c>
      <c r="B422" s="233" t="str">
        <f>VLOOKUP(Table8[[#This Row],[Document ID]],Table1[],2,FALSE)</f>
        <v>CHN</v>
      </c>
      <c r="C422" s="233" t="str">
        <f>VLOOKUP(Table8[[#This Row],[Document ID]],Table1[],3,FALSE)</f>
        <v>China</v>
      </c>
      <c r="D422" s="243" t="str">
        <f>VLOOKUP(Table8[[#This Row],[Document ID]],Table1[],5,FALSE)</f>
        <v>NDC</v>
      </c>
      <c r="E422" s="233" t="str">
        <f>VLOOKUP(Table8[[#This Row],[Document ID]],Table1[],7,FALSE)</f>
        <v>First NDC</v>
      </c>
      <c r="F422" s="236" t="str">
        <f>VLOOKUP(Table8[[#This Row],[Document ID]],Table1[],8,FALSE)</f>
        <v>NDC 1.0</v>
      </c>
      <c r="G422" s="236" t="str">
        <f>VLOOKUP(Table8[[#This Row],[Document ID]],Table1[],10,FALSE)</f>
        <v>Archived</v>
      </c>
      <c r="H422" s="43" t="s">
        <v>2350</v>
      </c>
      <c r="I422" s="43" t="s">
        <v>2456</v>
      </c>
      <c r="J422" s="44" t="s">
        <v>2457</v>
      </c>
      <c r="K422" s="44" t="s">
        <v>2763</v>
      </c>
      <c r="L422" s="44" t="s">
        <v>2373</v>
      </c>
      <c r="M422" s="43"/>
      <c r="N422" s="113" t="s">
        <v>1113</v>
      </c>
      <c r="O422" s="113"/>
      <c r="P422" s="113"/>
      <c r="Q422" s="319"/>
      <c r="R422" s="319"/>
      <c r="S422" s="319"/>
      <c r="T422" s="319"/>
      <c r="U422" s="319"/>
      <c r="V422" s="319"/>
      <c r="W422" s="319"/>
      <c r="X422" s="319"/>
      <c r="Y422" s="319"/>
      <c r="Z422" s="319"/>
      <c r="AA422" s="319"/>
      <c r="AB422" s="319"/>
      <c r="AC422" s="319"/>
      <c r="AD422" s="319"/>
      <c r="AE422" s="319"/>
      <c r="AF422" s="319"/>
      <c r="AG422" s="319"/>
      <c r="AH422" s="319"/>
      <c r="AI422" s="319"/>
      <c r="AJ422" s="319"/>
      <c r="AK422" s="319" t="s">
        <v>1113</v>
      </c>
      <c r="AL422" s="319"/>
      <c r="AM422" s="319"/>
      <c r="AN422" s="319"/>
      <c r="AO422" s="43" t="s">
        <v>2477</v>
      </c>
      <c r="AP422" s="44"/>
      <c r="AQ422" s="236" t="str">
        <f>VLOOKUP(Table8[[#This Row],[Instrument]],Def_Targets!$D$73:$E$159,2,FALSE)</f>
        <v>S_Infraimprove</v>
      </c>
      <c r="AR422" s="233" t="str">
        <f>VLOOKUP(Table8[[#This Row],[Country Code]],Table29[],3,FALSE)</f>
        <v>Non-Annex I</v>
      </c>
      <c r="AS422" s="233" t="str">
        <f>VLOOKUP(Table8[[#This Row],[Country Code]],Table29[],4,FALSE)</f>
        <v>Asia</v>
      </c>
      <c r="AT422" s="233" t="str">
        <f>VLOOKUP(Table8[[#This Row],[Country Code]],Table29[],5,FALSE)</f>
        <v>Middle-income</v>
      </c>
      <c r="AU422" s="233" t="str">
        <f>VLOOKUP(Table8[[#This Row],[Country Code]],Table29[],6,FALSE)</f>
        <v>G20</v>
      </c>
      <c r="AV422" s="233" t="str">
        <f>VLOOKUP(Table8[[#This Row],[Country Code]],Table29[],7,FALSE)</f>
        <v>no</v>
      </c>
      <c r="AW422" s="233" t="str">
        <f>VLOOKUP(Table8[[#This Row],[Country Code]],Table29[],8,FALSE)</f>
        <v>non-OECD</v>
      </c>
      <c r="AX422" s="233" t="str">
        <f>VLOOKUP(Table8[[#This Row],[Country Code]],Table29[],9,FALSE)</f>
        <v>no</v>
      </c>
      <c r="AY422" s="233" t="str">
        <f>VLOOKUP(Table8[[#This Row],[Country Code]],Table29[],10,FALSE)</f>
        <v>no</v>
      </c>
      <c r="AZ422" s="235">
        <f>VLOOKUP(Table8[[#This Row],[Country Code]],Table29[],23,FALSE)</f>
        <v>15943.986552905</v>
      </c>
      <c r="BA422" s="235">
        <f>VLOOKUP(Table8[[#This Row],[Country Code]],Table29[],24,FALSE)</f>
        <v>1110.1781062864729</v>
      </c>
      <c r="BB422" s="320"/>
      <c r="BC422" s="320"/>
    </row>
    <row r="423" spans="1:55" ht="30" hidden="1" x14ac:dyDescent="0.25">
      <c r="A423" s="373">
        <v>17556</v>
      </c>
      <c r="B423" s="233" t="str">
        <f>VLOOKUP(Table8[[#This Row],[Document ID]],Table1[],2,FALSE)</f>
        <v>CHN</v>
      </c>
      <c r="C423" s="233" t="str">
        <f>VLOOKUP(Table8[[#This Row],[Document ID]],Table1[],3,FALSE)</f>
        <v>China</v>
      </c>
      <c r="D423" s="243" t="str">
        <f>VLOOKUP(Table8[[#This Row],[Document ID]],Table1[],5,FALSE)</f>
        <v>NDC</v>
      </c>
      <c r="E423" s="233" t="str">
        <f>VLOOKUP(Table8[[#This Row],[Document ID]],Table1[],7,FALSE)</f>
        <v>First NDC</v>
      </c>
      <c r="F423" s="236" t="str">
        <f>VLOOKUP(Table8[[#This Row],[Document ID]],Table1[],8,FALSE)</f>
        <v>NDC 1.0</v>
      </c>
      <c r="G423" s="236" t="str">
        <f>VLOOKUP(Table8[[#This Row],[Document ID]],Table1[],10,FALSE)</f>
        <v>Archived</v>
      </c>
      <c r="H423" s="43" t="s">
        <v>2350</v>
      </c>
      <c r="I423" s="43" t="s">
        <v>2370</v>
      </c>
      <c r="J423" s="44" t="s">
        <v>2418</v>
      </c>
      <c r="K423" s="44" t="s">
        <v>2764</v>
      </c>
      <c r="L423" s="44" t="s">
        <v>2373</v>
      </c>
      <c r="M423" s="43"/>
      <c r="N423" s="113" t="s">
        <v>1113</v>
      </c>
      <c r="O423" s="113"/>
      <c r="P423" s="113"/>
      <c r="Q423" s="319"/>
      <c r="R423" s="319"/>
      <c r="S423" s="319"/>
      <c r="T423" s="319"/>
      <c r="U423" s="319"/>
      <c r="V423" s="319"/>
      <c r="W423" s="319"/>
      <c r="X423" s="319"/>
      <c r="Y423" s="319"/>
      <c r="Z423" s="319"/>
      <c r="AA423" s="319"/>
      <c r="AB423" s="319"/>
      <c r="AC423" s="319"/>
      <c r="AD423" s="319"/>
      <c r="AE423" s="319"/>
      <c r="AF423" s="319"/>
      <c r="AG423" s="319"/>
      <c r="AH423" s="319"/>
      <c r="AI423" s="319"/>
      <c r="AJ423" s="319"/>
      <c r="AK423" s="319"/>
      <c r="AL423" s="113" t="s">
        <v>1113</v>
      </c>
      <c r="AM423" s="319"/>
      <c r="AN423" s="319"/>
      <c r="AO423" s="44" t="s">
        <v>2334</v>
      </c>
      <c r="AP423" s="44"/>
      <c r="AQ423" s="236" t="str">
        <f>VLOOKUP(Table8[[#This Row],[Instrument]],Def_Targets!$D$73:$E$159,2,FALSE)</f>
        <v>A_Complan</v>
      </c>
      <c r="AR423" s="233" t="str">
        <f>VLOOKUP(Table8[[#This Row],[Country Code]],Table29[],3,FALSE)</f>
        <v>Non-Annex I</v>
      </c>
      <c r="AS423" s="233" t="str">
        <f>VLOOKUP(Table8[[#This Row],[Country Code]],Table29[],4,FALSE)</f>
        <v>Asia</v>
      </c>
      <c r="AT423" s="233" t="str">
        <f>VLOOKUP(Table8[[#This Row],[Country Code]],Table29[],5,FALSE)</f>
        <v>Middle-income</v>
      </c>
      <c r="AU423" s="233" t="str">
        <f>VLOOKUP(Table8[[#This Row],[Country Code]],Table29[],6,FALSE)</f>
        <v>G20</v>
      </c>
      <c r="AV423" s="233" t="str">
        <f>VLOOKUP(Table8[[#This Row],[Country Code]],Table29[],7,FALSE)</f>
        <v>no</v>
      </c>
      <c r="AW423" s="233" t="str">
        <f>VLOOKUP(Table8[[#This Row],[Country Code]],Table29[],8,FALSE)</f>
        <v>non-OECD</v>
      </c>
      <c r="AX423" s="233" t="str">
        <f>VLOOKUP(Table8[[#This Row],[Country Code]],Table29[],9,FALSE)</f>
        <v>no</v>
      </c>
      <c r="AY423" s="233" t="str">
        <f>VLOOKUP(Table8[[#This Row],[Country Code]],Table29[],10,FALSE)</f>
        <v>no</v>
      </c>
      <c r="AZ423" s="235">
        <f>VLOOKUP(Table8[[#This Row],[Country Code]],Table29[],23,FALSE)</f>
        <v>15943.986552905</v>
      </c>
      <c r="BA423" s="235">
        <f>VLOOKUP(Table8[[#This Row],[Country Code]],Table29[],24,FALSE)</f>
        <v>1110.1781062864729</v>
      </c>
      <c r="BB423" s="320"/>
      <c r="BC423" s="320"/>
    </row>
    <row r="424" spans="1:55" ht="30" hidden="1" x14ac:dyDescent="0.25">
      <c r="A424" s="373">
        <v>17556</v>
      </c>
      <c r="B424" s="233" t="str">
        <f>VLOOKUP(Table8[[#This Row],[Document ID]],Table1[],2,FALSE)</f>
        <v>CHN</v>
      </c>
      <c r="C424" s="233" t="str">
        <f>VLOOKUP(Table8[[#This Row],[Document ID]],Table1[],3,FALSE)</f>
        <v>China</v>
      </c>
      <c r="D424" s="243" t="str">
        <f>VLOOKUP(Table8[[#This Row],[Document ID]],Table1[],5,FALSE)</f>
        <v>NDC</v>
      </c>
      <c r="E424" s="233" t="str">
        <f>VLOOKUP(Table8[[#This Row],[Document ID]],Table1[],7,FALSE)</f>
        <v>First NDC</v>
      </c>
      <c r="F424" s="236" t="str">
        <f>VLOOKUP(Table8[[#This Row],[Document ID]],Table1[],8,FALSE)</f>
        <v>NDC 1.0</v>
      </c>
      <c r="G424" s="236" t="str">
        <f>VLOOKUP(Table8[[#This Row],[Document ID]],Table1[],10,FALSE)</f>
        <v>Archived</v>
      </c>
      <c r="H424" s="43" t="s">
        <v>2343</v>
      </c>
      <c r="I424" s="43" t="s">
        <v>2344</v>
      </c>
      <c r="J424" s="44" t="s">
        <v>2345</v>
      </c>
      <c r="K424" s="44" t="s">
        <v>2765</v>
      </c>
      <c r="L424" s="44" t="s">
        <v>2347</v>
      </c>
      <c r="M424" s="43"/>
      <c r="N424" s="113" t="s">
        <v>1113</v>
      </c>
      <c r="O424" s="113"/>
      <c r="P424" s="113"/>
      <c r="Q424" s="319"/>
      <c r="R424" s="319"/>
      <c r="S424" s="319"/>
      <c r="T424" s="319"/>
      <c r="U424" s="319"/>
      <c r="V424" s="319"/>
      <c r="W424" s="319"/>
      <c r="X424" s="319"/>
      <c r="Y424" s="319"/>
      <c r="Z424" s="319"/>
      <c r="AA424" s="319"/>
      <c r="AB424" s="319"/>
      <c r="AC424" s="319"/>
      <c r="AD424" s="319"/>
      <c r="AE424" s="319"/>
      <c r="AF424" s="319"/>
      <c r="AG424" s="319"/>
      <c r="AH424" s="319"/>
      <c r="AI424" s="319"/>
      <c r="AJ424" s="319"/>
      <c r="AK424" s="319"/>
      <c r="AL424" s="113" t="s">
        <v>1113</v>
      </c>
      <c r="AM424" s="319"/>
      <c r="AN424" s="319"/>
      <c r="AO424" s="43" t="s">
        <v>2348</v>
      </c>
      <c r="AP424" s="44"/>
      <c r="AQ424" s="236" t="str">
        <f>VLOOKUP(Table8[[#This Row],[Instrument]],Def_Targets!$D$73:$E$159,2,FALSE)</f>
        <v>S_PublicTransport</v>
      </c>
      <c r="AR424" s="233" t="str">
        <f>VLOOKUP(Table8[[#This Row],[Country Code]],Table29[],3,FALSE)</f>
        <v>Non-Annex I</v>
      </c>
      <c r="AS424" s="233" t="str">
        <f>VLOOKUP(Table8[[#This Row],[Country Code]],Table29[],4,FALSE)</f>
        <v>Asia</v>
      </c>
      <c r="AT424" s="233" t="str">
        <f>VLOOKUP(Table8[[#This Row],[Country Code]],Table29[],5,FALSE)</f>
        <v>Middle-income</v>
      </c>
      <c r="AU424" s="233" t="str">
        <f>VLOOKUP(Table8[[#This Row],[Country Code]],Table29[],6,FALSE)</f>
        <v>G20</v>
      </c>
      <c r="AV424" s="233" t="str">
        <f>VLOOKUP(Table8[[#This Row],[Country Code]],Table29[],7,FALSE)</f>
        <v>no</v>
      </c>
      <c r="AW424" s="233" t="str">
        <f>VLOOKUP(Table8[[#This Row],[Country Code]],Table29[],8,FALSE)</f>
        <v>non-OECD</v>
      </c>
      <c r="AX424" s="233" t="str">
        <f>VLOOKUP(Table8[[#This Row],[Country Code]],Table29[],9,FALSE)</f>
        <v>no</v>
      </c>
      <c r="AY424" s="233" t="str">
        <f>VLOOKUP(Table8[[#This Row],[Country Code]],Table29[],10,FALSE)</f>
        <v>no</v>
      </c>
      <c r="AZ424" s="235">
        <f>VLOOKUP(Table8[[#This Row],[Country Code]],Table29[],23,FALSE)</f>
        <v>15943.986552905</v>
      </c>
      <c r="BA424" s="235">
        <f>VLOOKUP(Table8[[#This Row],[Country Code]],Table29[],24,FALSE)</f>
        <v>1110.1781062864729</v>
      </c>
      <c r="BB424" s="320"/>
      <c r="BC424" s="320"/>
    </row>
    <row r="425" spans="1:55" s="23" customFormat="1" hidden="1" x14ac:dyDescent="0.25">
      <c r="A425" s="373">
        <v>23840</v>
      </c>
      <c r="B425" s="233" t="str">
        <f>VLOOKUP(Table8[[#This Row],[Document ID]],Table1[],2,FALSE)</f>
        <v>CHN</v>
      </c>
      <c r="C425" s="233" t="str">
        <f>VLOOKUP(Table8[[#This Row],[Document ID]],Table1[],3,FALSE)</f>
        <v>China</v>
      </c>
      <c r="D425" s="243" t="str">
        <f>VLOOKUP(Table8[[#This Row],[Document ID]],Table1[],5,FALSE)</f>
        <v>NDC</v>
      </c>
      <c r="E425" s="233" t="str">
        <f>VLOOKUP(Table8[[#This Row],[Document ID]],Table1[],7,FALSE)</f>
        <v>First NDC updated</v>
      </c>
      <c r="F425" s="233" t="str">
        <f>VLOOKUP(Table8[[#This Row],[Document ID]],Table1[],8,FALSE)</f>
        <v>NDC 1.1</v>
      </c>
      <c r="G425" s="233" t="str">
        <f>VLOOKUP(Table8[[#This Row],[Document ID]],Table1[],10,FALSE)</f>
        <v>Active</v>
      </c>
      <c r="H425" s="43" t="s">
        <v>2350</v>
      </c>
      <c r="I425" s="43" t="s">
        <v>2456</v>
      </c>
      <c r="J425" s="44" t="s">
        <v>2466</v>
      </c>
      <c r="K425" s="44" t="s">
        <v>2766</v>
      </c>
      <c r="L425" s="44" t="s">
        <v>2333</v>
      </c>
      <c r="M425" s="43">
        <v>36</v>
      </c>
      <c r="N425" s="113" t="s">
        <v>1113</v>
      </c>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t="s">
        <v>1113</v>
      </c>
      <c r="AL425" s="113"/>
      <c r="AM425" s="113"/>
      <c r="AN425" s="113"/>
      <c r="AO425" s="44" t="s">
        <v>2334</v>
      </c>
      <c r="AP425" s="43"/>
      <c r="AQ425" s="236" t="str">
        <f>VLOOKUP(Table8[[#This Row],[Instrument]],Def_Targets!$D$73:$E$159,2,FALSE)</f>
        <v>S_Infraexpansion</v>
      </c>
      <c r="AR425" s="233" t="str">
        <f>VLOOKUP(Table8[[#This Row],[Country Code]],Table29[],3,FALSE)</f>
        <v>Non-Annex I</v>
      </c>
      <c r="AS425" s="233" t="str">
        <f>VLOOKUP(Table8[[#This Row],[Country Code]],Table29[],4,FALSE)</f>
        <v>Asia</v>
      </c>
      <c r="AT425" s="233" t="str">
        <f>VLOOKUP(Table8[[#This Row],[Country Code]],Table29[],5,FALSE)</f>
        <v>Middle-income</v>
      </c>
      <c r="AU425" s="233" t="str">
        <f>VLOOKUP(Table8[[#This Row],[Country Code]],Table29[],6,FALSE)</f>
        <v>G20</v>
      </c>
      <c r="AV425" s="233" t="str">
        <f>VLOOKUP(Table8[[#This Row],[Country Code]],Table29[],7,FALSE)</f>
        <v>no</v>
      </c>
      <c r="AW425" s="233" t="str">
        <f>VLOOKUP(Table8[[#This Row],[Country Code]],Table29[],8,FALSE)</f>
        <v>non-OECD</v>
      </c>
      <c r="AX425" s="233" t="str">
        <f>VLOOKUP(Table8[[#This Row],[Country Code]],Table29[],9,FALSE)</f>
        <v>no</v>
      </c>
      <c r="AY425" s="233" t="str">
        <f>VLOOKUP(Table8[[#This Row],[Country Code]],Table29[],10,FALSE)</f>
        <v>no</v>
      </c>
      <c r="AZ425" s="235">
        <f>VLOOKUP(Table8[[#This Row],[Country Code]],Table29[],23,FALSE)</f>
        <v>15943.986552905</v>
      </c>
      <c r="BA425" s="235">
        <f>VLOOKUP(Table8[[#This Row],[Country Code]],Table29[],24,FALSE)</f>
        <v>1110.1781062864729</v>
      </c>
      <c r="BB425" s="320"/>
      <c r="BC425" s="320"/>
    </row>
    <row r="426" spans="1:55" hidden="1" x14ac:dyDescent="0.25">
      <c r="A426" s="373">
        <v>23840</v>
      </c>
      <c r="B426" s="233" t="str">
        <f>VLOOKUP(Table8[[#This Row],[Document ID]],Table1[],2,FALSE)</f>
        <v>CHN</v>
      </c>
      <c r="C426" s="233" t="str">
        <f>VLOOKUP(Table8[[#This Row],[Document ID]],Table1[],3,FALSE)</f>
        <v>China</v>
      </c>
      <c r="D426" s="243" t="str">
        <f>VLOOKUP(Table8[[#This Row],[Document ID]],Table1[],5,FALSE)</f>
        <v>NDC</v>
      </c>
      <c r="E426" s="233" t="str">
        <f>VLOOKUP(Table8[[#This Row],[Document ID]],Table1[],7,FALSE)</f>
        <v>First NDC updated</v>
      </c>
      <c r="F426" s="233" t="str">
        <f>VLOOKUP(Table8[[#This Row],[Document ID]],Table1[],8,FALSE)</f>
        <v>NDC 1.1</v>
      </c>
      <c r="G426" s="233" t="str">
        <f>VLOOKUP(Table8[[#This Row],[Document ID]],Table1[],10,FALSE)</f>
        <v>Active</v>
      </c>
      <c r="H426" s="43" t="s">
        <v>2350</v>
      </c>
      <c r="I426" s="43" t="s">
        <v>2456</v>
      </c>
      <c r="J426" s="44" t="s">
        <v>2643</v>
      </c>
      <c r="K426" s="44" t="s">
        <v>2767</v>
      </c>
      <c r="L426" s="44" t="s">
        <v>2333</v>
      </c>
      <c r="M426" s="43">
        <v>36</v>
      </c>
      <c r="N426" s="113" t="s">
        <v>1113</v>
      </c>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t="s">
        <v>1113</v>
      </c>
      <c r="AL426" s="113"/>
      <c r="AM426" s="113"/>
      <c r="AN426" s="113"/>
      <c r="AO426" s="44" t="s">
        <v>2334</v>
      </c>
      <c r="AP426" s="43"/>
      <c r="AQ426" s="236" t="str">
        <f>VLOOKUP(Table8[[#This Row],[Instrument]],Def_Targets!$D$73:$E$159,2,FALSE)</f>
        <v>S_Intermodality</v>
      </c>
      <c r="AR426" s="233" t="str">
        <f>VLOOKUP(Table8[[#This Row],[Country Code]],Table29[],3,FALSE)</f>
        <v>Non-Annex I</v>
      </c>
      <c r="AS426" s="233" t="str">
        <f>VLOOKUP(Table8[[#This Row],[Country Code]],Table29[],4,FALSE)</f>
        <v>Asia</v>
      </c>
      <c r="AT426" s="233" t="str">
        <f>VLOOKUP(Table8[[#This Row],[Country Code]],Table29[],5,FALSE)</f>
        <v>Middle-income</v>
      </c>
      <c r="AU426" s="233" t="str">
        <f>VLOOKUP(Table8[[#This Row],[Country Code]],Table29[],6,FALSE)</f>
        <v>G20</v>
      </c>
      <c r="AV426" s="233" t="str">
        <f>VLOOKUP(Table8[[#This Row],[Country Code]],Table29[],7,FALSE)</f>
        <v>no</v>
      </c>
      <c r="AW426" s="233" t="str">
        <f>VLOOKUP(Table8[[#This Row],[Country Code]],Table29[],8,FALSE)</f>
        <v>non-OECD</v>
      </c>
      <c r="AX426" s="233" t="str">
        <f>VLOOKUP(Table8[[#This Row],[Country Code]],Table29[],9,FALSE)</f>
        <v>no</v>
      </c>
      <c r="AY426" s="233" t="str">
        <f>VLOOKUP(Table8[[#This Row],[Country Code]],Table29[],10,FALSE)</f>
        <v>no</v>
      </c>
      <c r="AZ426" s="235">
        <f>VLOOKUP(Table8[[#This Row],[Country Code]],Table29[],23,FALSE)</f>
        <v>15943.986552905</v>
      </c>
      <c r="BA426" s="235">
        <f>VLOOKUP(Table8[[#This Row],[Country Code]],Table29[],24,FALSE)</f>
        <v>1110.1781062864729</v>
      </c>
      <c r="BB426" s="320"/>
      <c r="BC426" s="320"/>
    </row>
    <row r="427" spans="1:55" ht="30" hidden="1" x14ac:dyDescent="0.25">
      <c r="A427" s="373">
        <v>23840</v>
      </c>
      <c r="B427" s="233" t="str">
        <f>VLOOKUP(Table8[[#This Row],[Document ID]],Table1[],2,FALSE)</f>
        <v>CHN</v>
      </c>
      <c r="C427" s="233" t="str">
        <f>VLOOKUP(Table8[[#This Row],[Document ID]],Table1[],3,FALSE)</f>
        <v>China</v>
      </c>
      <c r="D427" s="243" t="str">
        <f>VLOOKUP(Table8[[#This Row],[Document ID]],Table1[],5,FALSE)</f>
        <v>NDC</v>
      </c>
      <c r="E427" s="233" t="str">
        <f>VLOOKUP(Table8[[#This Row],[Document ID]],Table1[],7,FALSE)</f>
        <v>First NDC updated</v>
      </c>
      <c r="F427" s="233" t="str">
        <f>VLOOKUP(Table8[[#This Row],[Document ID]],Table1[],8,FALSE)</f>
        <v>NDC 1.1</v>
      </c>
      <c r="G427" s="233" t="str">
        <f>VLOOKUP(Table8[[#This Row],[Document ID]],Table1[],10,FALSE)</f>
        <v>Active</v>
      </c>
      <c r="H427" s="43" t="s">
        <v>2350</v>
      </c>
      <c r="I427" s="43" t="s">
        <v>2351</v>
      </c>
      <c r="J427" s="44" t="s">
        <v>2352</v>
      </c>
      <c r="K427" s="44" t="s">
        <v>2768</v>
      </c>
      <c r="L427" s="44" t="s">
        <v>2347</v>
      </c>
      <c r="M427" s="43">
        <v>36</v>
      </c>
      <c r="N427" s="113"/>
      <c r="O427" s="113"/>
      <c r="P427" s="113"/>
      <c r="Q427" s="113"/>
      <c r="R427" s="113"/>
      <c r="S427" s="113"/>
      <c r="T427" s="113"/>
      <c r="U427" s="113"/>
      <c r="V427" s="113"/>
      <c r="W427" s="113"/>
      <c r="X427" s="113"/>
      <c r="Y427" s="113"/>
      <c r="Z427" s="113" t="s">
        <v>1113</v>
      </c>
      <c r="AA427" s="113"/>
      <c r="AB427" s="113"/>
      <c r="AC427" s="113"/>
      <c r="AD427" s="113" t="s">
        <v>1113</v>
      </c>
      <c r="AE427" s="113"/>
      <c r="AF427" s="113"/>
      <c r="AG427" s="113"/>
      <c r="AH427" s="113"/>
      <c r="AI427" s="113"/>
      <c r="AJ427" s="113"/>
      <c r="AK427" s="113" t="s">
        <v>1113</v>
      </c>
      <c r="AL427" s="113"/>
      <c r="AM427" s="113"/>
      <c r="AN427" s="113"/>
      <c r="AO427" s="44" t="s">
        <v>2334</v>
      </c>
      <c r="AP427" s="43"/>
      <c r="AQ427" s="236" t="str">
        <f>VLOOKUP(Table8[[#This Row],[Instrument]],Def_Targets!$D$73:$E$159,2,FALSE)</f>
        <v>S_Railfreight</v>
      </c>
      <c r="AR427" s="233" t="str">
        <f>VLOOKUP(Table8[[#This Row],[Country Code]],Table29[],3,FALSE)</f>
        <v>Non-Annex I</v>
      </c>
      <c r="AS427" s="233" t="str">
        <f>VLOOKUP(Table8[[#This Row],[Country Code]],Table29[],4,FALSE)</f>
        <v>Asia</v>
      </c>
      <c r="AT427" s="233" t="str">
        <f>VLOOKUP(Table8[[#This Row],[Country Code]],Table29[],5,FALSE)</f>
        <v>Middle-income</v>
      </c>
      <c r="AU427" s="233" t="str">
        <f>VLOOKUP(Table8[[#This Row],[Country Code]],Table29[],6,FALSE)</f>
        <v>G20</v>
      </c>
      <c r="AV427" s="233" t="str">
        <f>VLOOKUP(Table8[[#This Row],[Country Code]],Table29[],7,FALSE)</f>
        <v>no</v>
      </c>
      <c r="AW427" s="233" t="str">
        <f>VLOOKUP(Table8[[#This Row],[Country Code]],Table29[],8,FALSE)</f>
        <v>non-OECD</v>
      </c>
      <c r="AX427" s="233" t="str">
        <f>VLOOKUP(Table8[[#This Row],[Country Code]],Table29[],9,FALSE)</f>
        <v>no</v>
      </c>
      <c r="AY427" s="233" t="str">
        <f>VLOOKUP(Table8[[#This Row],[Country Code]],Table29[],10,FALSE)</f>
        <v>no</v>
      </c>
      <c r="AZ427" s="235">
        <f>VLOOKUP(Table8[[#This Row],[Country Code]],Table29[],23,FALSE)</f>
        <v>15943.986552905</v>
      </c>
      <c r="BA427" s="235">
        <f>VLOOKUP(Table8[[#This Row],[Country Code]],Table29[],24,FALSE)</f>
        <v>1110.1781062864729</v>
      </c>
      <c r="BB427" s="320"/>
      <c r="BC427" s="320"/>
    </row>
    <row r="428" spans="1:55" ht="30" hidden="1" x14ac:dyDescent="0.25">
      <c r="A428" s="373">
        <v>23840</v>
      </c>
      <c r="B428" s="233" t="str">
        <f>VLOOKUP(Table8[[#This Row],[Document ID]],Table1[],2,FALSE)</f>
        <v>CHN</v>
      </c>
      <c r="C428" s="233" t="str">
        <f>VLOOKUP(Table8[[#This Row],[Document ID]],Table1[],3,FALSE)</f>
        <v>China</v>
      </c>
      <c r="D428" s="243" t="str">
        <f>VLOOKUP(Table8[[#This Row],[Document ID]],Table1[],5,FALSE)</f>
        <v>NDC</v>
      </c>
      <c r="E428" s="233" t="str">
        <f>VLOOKUP(Table8[[#This Row],[Document ID]],Table1[],7,FALSE)</f>
        <v>First NDC updated</v>
      </c>
      <c r="F428" s="233" t="str">
        <f>VLOOKUP(Table8[[#This Row],[Document ID]],Table1[],8,FALSE)</f>
        <v>NDC 1.1</v>
      </c>
      <c r="G428" s="233" t="str">
        <f>VLOOKUP(Table8[[#This Row],[Document ID]],Table1[],10,FALSE)</f>
        <v>Active</v>
      </c>
      <c r="H428" s="43" t="s">
        <v>2343</v>
      </c>
      <c r="I428" s="43" t="s">
        <v>2344</v>
      </c>
      <c r="J428" s="44" t="s">
        <v>2345</v>
      </c>
      <c r="K428" s="44" t="s">
        <v>2769</v>
      </c>
      <c r="L428" s="44" t="s">
        <v>2333</v>
      </c>
      <c r="M428" s="43">
        <v>36</v>
      </c>
      <c r="N428" s="113" t="s">
        <v>1113</v>
      </c>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t="s">
        <v>1113</v>
      </c>
      <c r="AL428" s="113"/>
      <c r="AM428" s="113"/>
      <c r="AN428" s="113"/>
      <c r="AO428" s="43" t="s">
        <v>2348</v>
      </c>
      <c r="AP428" s="43"/>
      <c r="AQ428" s="236" t="str">
        <f>VLOOKUP(Table8[[#This Row],[Instrument]],Def_Targets!$D$73:$E$159,2,FALSE)</f>
        <v>S_PublicTransport</v>
      </c>
      <c r="AR428" s="233" t="str">
        <f>VLOOKUP(Table8[[#This Row],[Country Code]],Table29[],3,FALSE)</f>
        <v>Non-Annex I</v>
      </c>
      <c r="AS428" s="233" t="str">
        <f>VLOOKUP(Table8[[#This Row],[Country Code]],Table29[],4,FALSE)</f>
        <v>Asia</v>
      </c>
      <c r="AT428" s="233" t="str">
        <f>VLOOKUP(Table8[[#This Row],[Country Code]],Table29[],5,FALSE)</f>
        <v>Middle-income</v>
      </c>
      <c r="AU428" s="233" t="str">
        <f>VLOOKUP(Table8[[#This Row],[Country Code]],Table29[],6,FALSE)</f>
        <v>G20</v>
      </c>
      <c r="AV428" s="233" t="str">
        <f>VLOOKUP(Table8[[#This Row],[Country Code]],Table29[],7,FALSE)</f>
        <v>no</v>
      </c>
      <c r="AW428" s="233" t="str">
        <f>VLOOKUP(Table8[[#This Row],[Country Code]],Table29[],8,FALSE)</f>
        <v>non-OECD</v>
      </c>
      <c r="AX428" s="233" t="str">
        <f>VLOOKUP(Table8[[#This Row],[Country Code]],Table29[],9,FALSE)</f>
        <v>no</v>
      </c>
      <c r="AY428" s="233" t="str">
        <f>VLOOKUP(Table8[[#This Row],[Country Code]],Table29[],10,FALSE)</f>
        <v>no</v>
      </c>
      <c r="AZ428" s="235">
        <f>VLOOKUP(Table8[[#This Row],[Country Code]],Table29[],23,FALSE)</f>
        <v>15943.986552905</v>
      </c>
      <c r="BA428" s="235">
        <f>VLOOKUP(Table8[[#This Row],[Country Code]],Table29[],24,FALSE)</f>
        <v>1110.1781062864729</v>
      </c>
      <c r="BB428" s="320"/>
      <c r="BC428" s="320"/>
    </row>
    <row r="429" spans="1:55" ht="30" hidden="1" x14ac:dyDescent="0.25">
      <c r="A429" s="373">
        <v>23840</v>
      </c>
      <c r="B429" s="233" t="str">
        <f>VLOOKUP(Table8[[#This Row],[Document ID]],Table1[],2,FALSE)</f>
        <v>CHN</v>
      </c>
      <c r="C429" s="233" t="str">
        <f>VLOOKUP(Table8[[#This Row],[Document ID]],Table1[],3,FALSE)</f>
        <v>China</v>
      </c>
      <c r="D429" s="243" t="str">
        <f>VLOOKUP(Table8[[#This Row],[Document ID]],Table1[],5,FALSE)</f>
        <v>NDC</v>
      </c>
      <c r="E429" s="233" t="str">
        <f>VLOOKUP(Table8[[#This Row],[Document ID]],Table1[],7,FALSE)</f>
        <v>First NDC updated</v>
      </c>
      <c r="F429" s="233" t="str">
        <f>VLOOKUP(Table8[[#This Row],[Document ID]],Table1[],8,FALSE)</f>
        <v>NDC 1.1</v>
      </c>
      <c r="G429" s="233" t="str">
        <f>VLOOKUP(Table8[[#This Row],[Document ID]],Table1[],10,FALSE)</f>
        <v>Active</v>
      </c>
      <c r="H429" s="43" t="s">
        <v>2350</v>
      </c>
      <c r="I429" s="43" t="s">
        <v>2351</v>
      </c>
      <c r="J429" s="44" t="s">
        <v>2447</v>
      </c>
      <c r="K429" s="44" t="s">
        <v>2770</v>
      </c>
      <c r="L429" s="44" t="s">
        <v>2333</v>
      </c>
      <c r="M429" s="43">
        <v>36</v>
      </c>
      <c r="N429" s="113" t="s">
        <v>1113</v>
      </c>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t="s">
        <v>1113</v>
      </c>
      <c r="AL429" s="113"/>
      <c r="AM429" s="113"/>
      <c r="AN429" s="113"/>
      <c r="AO429" s="43" t="s">
        <v>2353</v>
      </c>
      <c r="AP429" s="43"/>
      <c r="AQ429" s="236" t="str">
        <f>VLOOKUP(Table8[[#This Row],[Instrument]],Def_Targets!$D$73:$E$159,2,FALSE)</f>
        <v>I_Freighteff</v>
      </c>
      <c r="AR429" s="233" t="str">
        <f>VLOOKUP(Table8[[#This Row],[Country Code]],Table29[],3,FALSE)</f>
        <v>Non-Annex I</v>
      </c>
      <c r="AS429" s="233" t="str">
        <f>VLOOKUP(Table8[[#This Row],[Country Code]],Table29[],4,FALSE)</f>
        <v>Asia</v>
      </c>
      <c r="AT429" s="233" t="str">
        <f>VLOOKUP(Table8[[#This Row],[Country Code]],Table29[],5,FALSE)</f>
        <v>Middle-income</v>
      </c>
      <c r="AU429" s="233" t="str">
        <f>VLOOKUP(Table8[[#This Row],[Country Code]],Table29[],6,FALSE)</f>
        <v>G20</v>
      </c>
      <c r="AV429" s="233" t="str">
        <f>VLOOKUP(Table8[[#This Row],[Country Code]],Table29[],7,FALSE)</f>
        <v>no</v>
      </c>
      <c r="AW429" s="233" t="str">
        <f>VLOOKUP(Table8[[#This Row],[Country Code]],Table29[],8,FALSE)</f>
        <v>non-OECD</v>
      </c>
      <c r="AX429" s="233" t="str">
        <f>VLOOKUP(Table8[[#This Row],[Country Code]],Table29[],9,FALSE)</f>
        <v>no</v>
      </c>
      <c r="AY429" s="233" t="str">
        <f>VLOOKUP(Table8[[#This Row],[Country Code]],Table29[],10,FALSE)</f>
        <v>no</v>
      </c>
      <c r="AZ429" s="235">
        <f>VLOOKUP(Table8[[#This Row],[Country Code]],Table29[],23,FALSE)</f>
        <v>15943.986552905</v>
      </c>
      <c r="BA429" s="235">
        <f>VLOOKUP(Table8[[#This Row],[Country Code]],Table29[],24,FALSE)</f>
        <v>1110.1781062864729</v>
      </c>
      <c r="BB429" s="320"/>
      <c r="BC429" s="320"/>
    </row>
    <row r="430" spans="1:55" ht="30" hidden="1" x14ac:dyDescent="0.25">
      <c r="A430" s="373">
        <v>23840</v>
      </c>
      <c r="B430" s="233" t="str">
        <f>VLOOKUP(Table8[[#This Row],[Document ID]],Table1[],2,FALSE)</f>
        <v>CHN</v>
      </c>
      <c r="C430" s="233" t="str">
        <f>VLOOKUP(Table8[[#This Row],[Document ID]],Table1[],3,FALSE)</f>
        <v>China</v>
      </c>
      <c r="D430" s="243" t="str">
        <f>VLOOKUP(Table8[[#This Row],[Document ID]],Table1[],5,FALSE)</f>
        <v>NDC</v>
      </c>
      <c r="E430" s="233" t="str">
        <f>VLOOKUP(Table8[[#This Row],[Document ID]],Table1[],7,FALSE)</f>
        <v>First NDC updated</v>
      </c>
      <c r="F430" s="233" t="str">
        <f>VLOOKUP(Table8[[#This Row],[Document ID]],Table1[],8,FALSE)</f>
        <v>NDC 1.1</v>
      </c>
      <c r="G430" s="233" t="str">
        <f>VLOOKUP(Table8[[#This Row],[Document ID]],Table1[],10,FALSE)</f>
        <v>Active</v>
      </c>
      <c r="H430" s="44" t="s">
        <v>2329</v>
      </c>
      <c r="I430" s="44" t="s">
        <v>2330</v>
      </c>
      <c r="J430" s="44" t="s">
        <v>2331</v>
      </c>
      <c r="K430" s="44" t="s">
        <v>2771</v>
      </c>
      <c r="L430" s="44" t="s">
        <v>2333</v>
      </c>
      <c r="M430" s="43">
        <v>36</v>
      </c>
      <c r="N430" s="113" t="s">
        <v>1113</v>
      </c>
      <c r="O430" s="113"/>
      <c r="P430" s="113"/>
      <c r="Q430" s="113"/>
      <c r="R430" s="113"/>
      <c r="S430" s="113"/>
      <c r="T430" s="113"/>
      <c r="U430" s="113"/>
      <c r="V430" s="113"/>
      <c r="W430" s="113"/>
      <c r="X430" s="113"/>
      <c r="Y430" s="113"/>
      <c r="Z430" s="113"/>
      <c r="AA430" s="113"/>
      <c r="AB430" s="113"/>
      <c r="AC430" s="113"/>
      <c r="AD430" s="113" t="s">
        <v>1113</v>
      </c>
      <c r="AE430" s="113"/>
      <c r="AF430" s="113"/>
      <c r="AG430" s="113"/>
      <c r="AH430" s="113"/>
      <c r="AI430" s="113"/>
      <c r="AJ430" s="113"/>
      <c r="AK430" s="113" t="s">
        <v>1113</v>
      </c>
      <c r="AL430" s="113"/>
      <c r="AM430" s="113"/>
      <c r="AN430" s="113"/>
      <c r="AO430" s="44" t="s">
        <v>2334</v>
      </c>
      <c r="AP430" s="43"/>
      <c r="AQ430" s="236" t="str">
        <f>VLOOKUP(Table8[[#This Row],[Instrument]],Def_Targets!$D$73:$E$159,2,FALSE)</f>
        <v>I_Altfuels</v>
      </c>
      <c r="AR430" s="233" t="str">
        <f>VLOOKUP(Table8[[#This Row],[Country Code]],Table29[],3,FALSE)</f>
        <v>Non-Annex I</v>
      </c>
      <c r="AS430" s="233" t="str">
        <f>VLOOKUP(Table8[[#This Row],[Country Code]],Table29[],4,FALSE)</f>
        <v>Asia</v>
      </c>
      <c r="AT430" s="233" t="str">
        <f>VLOOKUP(Table8[[#This Row],[Country Code]],Table29[],5,FALSE)</f>
        <v>Middle-income</v>
      </c>
      <c r="AU430" s="233" t="str">
        <f>VLOOKUP(Table8[[#This Row],[Country Code]],Table29[],6,FALSE)</f>
        <v>G20</v>
      </c>
      <c r="AV430" s="233" t="str">
        <f>VLOOKUP(Table8[[#This Row],[Country Code]],Table29[],7,FALSE)</f>
        <v>no</v>
      </c>
      <c r="AW430" s="233" t="str">
        <f>VLOOKUP(Table8[[#This Row],[Country Code]],Table29[],8,FALSE)</f>
        <v>non-OECD</v>
      </c>
      <c r="AX430" s="233" t="str">
        <f>VLOOKUP(Table8[[#This Row],[Country Code]],Table29[],9,FALSE)</f>
        <v>no</v>
      </c>
      <c r="AY430" s="233" t="str">
        <f>VLOOKUP(Table8[[#This Row],[Country Code]],Table29[],10,FALSE)</f>
        <v>no</v>
      </c>
      <c r="AZ430" s="235">
        <f>VLOOKUP(Table8[[#This Row],[Country Code]],Table29[],23,FALSE)</f>
        <v>15943.986552905</v>
      </c>
      <c r="BA430" s="235">
        <f>VLOOKUP(Table8[[#This Row],[Country Code]],Table29[],24,FALSE)</f>
        <v>1110.1781062864729</v>
      </c>
      <c r="BB430" s="320"/>
      <c r="BC430" s="320"/>
    </row>
    <row r="431" spans="1:55" hidden="1" x14ac:dyDescent="0.25">
      <c r="A431" s="373">
        <v>23840</v>
      </c>
      <c r="B431" s="233" t="str">
        <f>VLOOKUP(Table8[[#This Row],[Document ID]],Table1[],2,FALSE)</f>
        <v>CHN</v>
      </c>
      <c r="C431" s="233" t="str">
        <f>VLOOKUP(Table8[[#This Row],[Document ID]],Table1[],3,FALSE)</f>
        <v>China</v>
      </c>
      <c r="D431" s="243" t="str">
        <f>VLOOKUP(Table8[[#This Row],[Document ID]],Table1[],5,FALSE)</f>
        <v>NDC</v>
      </c>
      <c r="E431" s="233" t="str">
        <f>VLOOKUP(Table8[[#This Row],[Document ID]],Table1[],7,FALSE)</f>
        <v>First NDC updated</v>
      </c>
      <c r="F431" s="233" t="str">
        <f>VLOOKUP(Table8[[#This Row],[Document ID]],Table1[],8,FALSE)</f>
        <v>NDC 1.1</v>
      </c>
      <c r="G431" s="233" t="str">
        <f>VLOOKUP(Table8[[#This Row],[Document ID]],Table1[],10,FALSE)</f>
        <v>Active</v>
      </c>
      <c r="H431" s="43" t="s">
        <v>2343</v>
      </c>
      <c r="I431" s="43" t="s">
        <v>2429</v>
      </c>
      <c r="J431" s="44" t="s">
        <v>2430</v>
      </c>
      <c r="K431" s="44" t="s">
        <v>2772</v>
      </c>
      <c r="L431" s="44" t="s">
        <v>2333</v>
      </c>
      <c r="M431" s="43">
        <v>36</v>
      </c>
      <c r="N431" s="113" t="s">
        <v>1113</v>
      </c>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t="s">
        <v>1113</v>
      </c>
      <c r="AL431" s="113"/>
      <c r="AM431" s="113"/>
      <c r="AN431" s="113"/>
      <c r="AO431" s="44" t="s">
        <v>2334</v>
      </c>
      <c r="AP431" s="43"/>
      <c r="AQ431" s="236" t="str">
        <f>VLOOKUP(Table8[[#This Row],[Instrument]],Def_Targets!$D$73:$E$159,2,FALSE)</f>
        <v>I_ITS</v>
      </c>
      <c r="AR431" s="233" t="str">
        <f>VLOOKUP(Table8[[#This Row],[Country Code]],Table29[],3,FALSE)</f>
        <v>Non-Annex I</v>
      </c>
      <c r="AS431" s="233" t="str">
        <f>VLOOKUP(Table8[[#This Row],[Country Code]],Table29[],4,FALSE)</f>
        <v>Asia</v>
      </c>
      <c r="AT431" s="233" t="str">
        <f>VLOOKUP(Table8[[#This Row],[Country Code]],Table29[],5,FALSE)</f>
        <v>Middle-income</v>
      </c>
      <c r="AU431" s="233" t="str">
        <f>VLOOKUP(Table8[[#This Row],[Country Code]],Table29[],6,FALSE)</f>
        <v>G20</v>
      </c>
      <c r="AV431" s="233" t="str">
        <f>VLOOKUP(Table8[[#This Row],[Country Code]],Table29[],7,FALSE)</f>
        <v>no</v>
      </c>
      <c r="AW431" s="233" t="str">
        <f>VLOOKUP(Table8[[#This Row],[Country Code]],Table29[],8,FALSE)</f>
        <v>non-OECD</v>
      </c>
      <c r="AX431" s="233" t="str">
        <f>VLOOKUP(Table8[[#This Row],[Country Code]],Table29[],9,FALSE)</f>
        <v>no</v>
      </c>
      <c r="AY431" s="233" t="str">
        <f>VLOOKUP(Table8[[#This Row],[Country Code]],Table29[],10,FALSE)</f>
        <v>no</v>
      </c>
      <c r="AZ431" s="235">
        <f>VLOOKUP(Table8[[#This Row],[Country Code]],Table29[],23,FALSE)</f>
        <v>15943.986552905</v>
      </c>
      <c r="BA431" s="235">
        <f>VLOOKUP(Table8[[#This Row],[Country Code]],Table29[],24,FALSE)</f>
        <v>1110.1781062864729</v>
      </c>
      <c r="BB431" s="320"/>
      <c r="BC431" s="320"/>
    </row>
    <row r="432" spans="1:55" hidden="1" x14ac:dyDescent="0.25">
      <c r="A432" s="373">
        <v>23840</v>
      </c>
      <c r="B432" s="233" t="str">
        <f>VLOOKUP(Table8[[#This Row],[Document ID]],Table1[],2,FALSE)</f>
        <v>CHN</v>
      </c>
      <c r="C432" s="233" t="str">
        <f>VLOOKUP(Table8[[#This Row],[Document ID]],Table1[],3,FALSE)</f>
        <v>China</v>
      </c>
      <c r="D432" s="243" t="str">
        <f>VLOOKUP(Table8[[#This Row],[Document ID]],Table1[],5,FALSE)</f>
        <v>NDC</v>
      </c>
      <c r="E432" s="233" t="str">
        <f>VLOOKUP(Table8[[#This Row],[Document ID]],Table1[],7,FALSE)</f>
        <v>First NDC updated</v>
      </c>
      <c r="F432" s="233" t="str">
        <f>VLOOKUP(Table8[[#This Row],[Document ID]],Table1[],8,FALSE)</f>
        <v>NDC 1.1</v>
      </c>
      <c r="G432" s="233" t="str">
        <f>VLOOKUP(Table8[[#This Row],[Document ID]],Table1[],10,FALSE)</f>
        <v>Active</v>
      </c>
      <c r="H432" s="43" t="s">
        <v>2358</v>
      </c>
      <c r="I432" s="43" t="s">
        <v>2359</v>
      </c>
      <c r="J432" s="44" t="s">
        <v>2360</v>
      </c>
      <c r="K432" s="44" t="s">
        <v>2773</v>
      </c>
      <c r="L432" s="44" t="s">
        <v>2333</v>
      </c>
      <c r="M432" s="43">
        <v>36</v>
      </c>
      <c r="N432" s="113"/>
      <c r="O432" s="113"/>
      <c r="P432" s="113"/>
      <c r="Q432" s="113"/>
      <c r="R432" s="113"/>
      <c r="S432" s="113"/>
      <c r="T432" s="113"/>
      <c r="U432" s="113"/>
      <c r="V432" s="113"/>
      <c r="W432" s="113"/>
      <c r="X432" s="113"/>
      <c r="Y432" s="113"/>
      <c r="Z432" s="113" t="s">
        <v>1113</v>
      </c>
      <c r="AA432" s="113"/>
      <c r="AB432" s="113"/>
      <c r="AC432" s="113"/>
      <c r="AD432" s="113"/>
      <c r="AE432" s="113"/>
      <c r="AF432" s="113"/>
      <c r="AG432" s="113"/>
      <c r="AH432" s="113"/>
      <c r="AI432" s="113"/>
      <c r="AJ432" s="113"/>
      <c r="AK432" s="113" t="s">
        <v>1113</v>
      </c>
      <c r="AL432" s="113"/>
      <c r="AM432" s="113"/>
      <c r="AN432" s="113"/>
      <c r="AO432" s="44" t="s">
        <v>2334</v>
      </c>
      <c r="AP432" s="43"/>
      <c r="AQ432" s="236" t="str">
        <f>VLOOKUP(Table8[[#This Row],[Instrument]],Def_Targets!$D$73:$E$159,2,FALSE)</f>
        <v>I_Emobility</v>
      </c>
      <c r="AR432" s="233" t="str">
        <f>VLOOKUP(Table8[[#This Row],[Country Code]],Table29[],3,FALSE)</f>
        <v>Non-Annex I</v>
      </c>
      <c r="AS432" s="233" t="str">
        <f>VLOOKUP(Table8[[#This Row],[Country Code]],Table29[],4,FALSE)</f>
        <v>Asia</v>
      </c>
      <c r="AT432" s="233" t="str">
        <f>VLOOKUP(Table8[[#This Row],[Country Code]],Table29[],5,FALSE)</f>
        <v>Middle-income</v>
      </c>
      <c r="AU432" s="233" t="str">
        <f>VLOOKUP(Table8[[#This Row],[Country Code]],Table29[],6,FALSE)</f>
        <v>G20</v>
      </c>
      <c r="AV432" s="233" t="str">
        <f>VLOOKUP(Table8[[#This Row],[Country Code]],Table29[],7,FALSE)</f>
        <v>no</v>
      </c>
      <c r="AW432" s="233" t="str">
        <f>VLOOKUP(Table8[[#This Row],[Country Code]],Table29[],8,FALSE)</f>
        <v>non-OECD</v>
      </c>
      <c r="AX432" s="233" t="str">
        <f>VLOOKUP(Table8[[#This Row],[Country Code]],Table29[],9,FALSE)</f>
        <v>no</v>
      </c>
      <c r="AY432" s="233" t="str">
        <f>VLOOKUP(Table8[[#This Row],[Country Code]],Table29[],10,FALSE)</f>
        <v>no</v>
      </c>
      <c r="AZ432" s="235">
        <f>VLOOKUP(Table8[[#This Row],[Country Code]],Table29[],23,FALSE)</f>
        <v>15943.986552905</v>
      </c>
      <c r="BA432" s="235">
        <f>VLOOKUP(Table8[[#This Row],[Country Code]],Table29[],24,FALSE)</f>
        <v>1110.1781062864729</v>
      </c>
      <c r="BB432" s="320"/>
      <c r="BC432" s="320"/>
    </row>
    <row r="433" spans="1:55" hidden="1" x14ac:dyDescent="0.25">
      <c r="A433" s="373">
        <v>23840</v>
      </c>
      <c r="B433" s="233" t="str">
        <f>VLOOKUP(Table8[[#This Row],[Document ID]],Table1[],2,FALSE)</f>
        <v>CHN</v>
      </c>
      <c r="C433" s="233" t="str">
        <f>VLOOKUP(Table8[[#This Row],[Document ID]],Table1[],3,FALSE)</f>
        <v>China</v>
      </c>
      <c r="D433" s="243" t="str">
        <f>VLOOKUP(Table8[[#This Row],[Document ID]],Table1[],5,FALSE)</f>
        <v>NDC</v>
      </c>
      <c r="E433" s="233" t="str">
        <f>VLOOKUP(Table8[[#This Row],[Document ID]],Table1[],7,FALSE)</f>
        <v>First NDC updated</v>
      </c>
      <c r="F433" s="233" t="str">
        <f>VLOOKUP(Table8[[#This Row],[Document ID]],Table1[],8,FALSE)</f>
        <v>NDC 1.1</v>
      </c>
      <c r="G433" s="233" t="str">
        <f>VLOOKUP(Table8[[#This Row],[Document ID]],Table1[],10,FALSE)</f>
        <v>Active</v>
      </c>
      <c r="H433" s="44" t="s">
        <v>2329</v>
      </c>
      <c r="I433" s="44" t="s">
        <v>2330</v>
      </c>
      <c r="J433" s="44" t="s">
        <v>2391</v>
      </c>
      <c r="K433" s="44" t="s">
        <v>2774</v>
      </c>
      <c r="L433" s="44" t="s">
        <v>2333</v>
      </c>
      <c r="M433" s="43">
        <v>36</v>
      </c>
      <c r="N433" s="113" t="s">
        <v>1113</v>
      </c>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t="s">
        <v>1113</v>
      </c>
      <c r="AL433" s="113"/>
      <c r="AM433" s="113"/>
      <c r="AN433" s="113"/>
      <c r="AO433" s="44" t="s">
        <v>2334</v>
      </c>
      <c r="AP433" s="43"/>
      <c r="AQ433" s="236" t="str">
        <f>VLOOKUP(Table8[[#This Row],[Instrument]],Def_Targets!$D$73:$E$159,2,FALSE)</f>
        <v>I_Hydrogen</v>
      </c>
      <c r="AR433" s="233" t="str">
        <f>VLOOKUP(Table8[[#This Row],[Country Code]],Table29[],3,FALSE)</f>
        <v>Non-Annex I</v>
      </c>
      <c r="AS433" s="233" t="str">
        <f>VLOOKUP(Table8[[#This Row],[Country Code]],Table29[],4,FALSE)</f>
        <v>Asia</v>
      </c>
      <c r="AT433" s="233" t="str">
        <f>VLOOKUP(Table8[[#This Row],[Country Code]],Table29[],5,FALSE)</f>
        <v>Middle-income</v>
      </c>
      <c r="AU433" s="233" t="str">
        <f>VLOOKUP(Table8[[#This Row],[Country Code]],Table29[],6,FALSE)</f>
        <v>G20</v>
      </c>
      <c r="AV433" s="233" t="str">
        <f>VLOOKUP(Table8[[#This Row],[Country Code]],Table29[],7,FALSE)</f>
        <v>no</v>
      </c>
      <c r="AW433" s="233" t="str">
        <f>VLOOKUP(Table8[[#This Row],[Country Code]],Table29[],8,FALSE)</f>
        <v>non-OECD</v>
      </c>
      <c r="AX433" s="233" t="str">
        <f>VLOOKUP(Table8[[#This Row],[Country Code]],Table29[],9,FALSE)</f>
        <v>no</v>
      </c>
      <c r="AY433" s="233" t="str">
        <f>VLOOKUP(Table8[[#This Row],[Country Code]],Table29[],10,FALSE)</f>
        <v>no</v>
      </c>
      <c r="AZ433" s="235">
        <f>VLOOKUP(Table8[[#This Row],[Country Code]],Table29[],23,FALSE)</f>
        <v>15943.986552905</v>
      </c>
      <c r="BA433" s="235">
        <f>VLOOKUP(Table8[[#This Row],[Country Code]],Table29[],24,FALSE)</f>
        <v>1110.1781062864729</v>
      </c>
      <c r="BB433" s="320"/>
      <c r="BC433" s="320"/>
    </row>
    <row r="434" spans="1:55" ht="30" hidden="1" x14ac:dyDescent="0.25">
      <c r="A434" s="373">
        <v>23840</v>
      </c>
      <c r="B434" s="233" t="str">
        <f>VLOOKUP(Table8[[#This Row],[Document ID]],Table1[],2,FALSE)</f>
        <v>CHN</v>
      </c>
      <c r="C434" s="233" t="str">
        <f>VLOOKUP(Table8[[#This Row],[Document ID]],Table1[],3,FALSE)</f>
        <v>China</v>
      </c>
      <c r="D434" s="243" t="str">
        <f>VLOOKUP(Table8[[#This Row],[Document ID]],Table1[],5,FALSE)</f>
        <v>NDC</v>
      </c>
      <c r="E434" s="233" t="str">
        <f>VLOOKUP(Table8[[#This Row],[Document ID]],Table1[],7,FALSE)</f>
        <v>First NDC updated</v>
      </c>
      <c r="F434" s="233" t="str">
        <f>VLOOKUP(Table8[[#This Row],[Document ID]],Table1[],8,FALSE)</f>
        <v>NDC 1.1</v>
      </c>
      <c r="G434" s="233" t="str">
        <f>VLOOKUP(Table8[[#This Row],[Document ID]],Table1[],10,FALSE)</f>
        <v>Active</v>
      </c>
      <c r="H434" s="43" t="s">
        <v>2484</v>
      </c>
      <c r="I434" s="43" t="s">
        <v>2485</v>
      </c>
      <c r="J434" s="44" t="s">
        <v>2775</v>
      </c>
      <c r="K434" s="44" t="s">
        <v>2776</v>
      </c>
      <c r="L434" s="44" t="s">
        <v>2333</v>
      </c>
      <c r="M434" s="43">
        <v>36</v>
      </c>
      <c r="N434" s="113"/>
      <c r="O434" s="113"/>
      <c r="P434" s="113"/>
      <c r="Q434" s="113"/>
      <c r="R434" s="113"/>
      <c r="S434" s="113"/>
      <c r="T434" s="113"/>
      <c r="U434" s="113"/>
      <c r="V434" s="113"/>
      <c r="W434" s="113"/>
      <c r="X434" s="113"/>
      <c r="Y434" s="113"/>
      <c r="Z434" s="113"/>
      <c r="AA434" s="113"/>
      <c r="AB434" s="113"/>
      <c r="AC434" s="113"/>
      <c r="AD434" s="113" t="s">
        <v>1113</v>
      </c>
      <c r="AE434" s="113"/>
      <c r="AF434" s="113"/>
      <c r="AG434" s="113"/>
      <c r="AH434" s="113"/>
      <c r="AI434" s="113"/>
      <c r="AJ434" s="113"/>
      <c r="AK434" s="113" t="s">
        <v>1113</v>
      </c>
      <c r="AL434" s="113"/>
      <c r="AM434" s="113"/>
      <c r="AN434" s="113"/>
      <c r="AO434" s="44" t="s">
        <v>2334</v>
      </c>
      <c r="AP434" s="43"/>
      <c r="AQ434" s="236" t="str">
        <f>VLOOKUP(Table8[[#This Row],[Instrument]],Def_Targets!$D$73:$E$159,2,FALSE)</f>
        <v>I_Onshorepower</v>
      </c>
      <c r="AR434" s="233" t="str">
        <f>VLOOKUP(Table8[[#This Row],[Country Code]],Table29[],3,FALSE)</f>
        <v>Non-Annex I</v>
      </c>
      <c r="AS434" s="233" t="str">
        <f>VLOOKUP(Table8[[#This Row],[Country Code]],Table29[],4,FALSE)</f>
        <v>Asia</v>
      </c>
      <c r="AT434" s="233" t="str">
        <f>VLOOKUP(Table8[[#This Row],[Country Code]],Table29[],5,FALSE)</f>
        <v>Middle-income</v>
      </c>
      <c r="AU434" s="233" t="str">
        <f>VLOOKUP(Table8[[#This Row],[Country Code]],Table29[],6,FALSE)</f>
        <v>G20</v>
      </c>
      <c r="AV434" s="233" t="str">
        <f>VLOOKUP(Table8[[#This Row],[Country Code]],Table29[],7,FALSE)</f>
        <v>no</v>
      </c>
      <c r="AW434" s="233" t="str">
        <f>VLOOKUP(Table8[[#This Row],[Country Code]],Table29[],8,FALSE)</f>
        <v>non-OECD</v>
      </c>
      <c r="AX434" s="233" t="str">
        <f>VLOOKUP(Table8[[#This Row],[Country Code]],Table29[],9,FALSE)</f>
        <v>no</v>
      </c>
      <c r="AY434" s="233" t="str">
        <f>VLOOKUP(Table8[[#This Row],[Country Code]],Table29[],10,FALSE)</f>
        <v>no</v>
      </c>
      <c r="AZ434" s="235">
        <f>VLOOKUP(Table8[[#This Row],[Country Code]],Table29[],23,FALSE)</f>
        <v>15943.986552905</v>
      </c>
      <c r="BA434" s="235">
        <f>VLOOKUP(Table8[[#This Row],[Country Code]],Table29[],24,FALSE)</f>
        <v>1110.1781062864729</v>
      </c>
      <c r="BB434" s="320"/>
      <c r="BC434" s="320"/>
    </row>
    <row r="435" spans="1:55" ht="30" hidden="1" x14ac:dyDescent="0.25">
      <c r="A435" s="373">
        <v>23840</v>
      </c>
      <c r="B435" s="233" t="str">
        <f>VLOOKUP(Table8[[#This Row],[Document ID]],Table1[],2,FALSE)</f>
        <v>CHN</v>
      </c>
      <c r="C435" s="233" t="str">
        <f>VLOOKUP(Table8[[#This Row],[Document ID]],Table1[],3,FALSE)</f>
        <v>China</v>
      </c>
      <c r="D435" s="243" t="str">
        <f>VLOOKUP(Table8[[#This Row],[Document ID]],Table1[],5,FALSE)</f>
        <v>NDC</v>
      </c>
      <c r="E435" s="233" t="str">
        <f>VLOOKUP(Table8[[#This Row],[Document ID]],Table1[],7,FALSE)</f>
        <v>First NDC updated</v>
      </c>
      <c r="F435" s="233" t="str">
        <f>VLOOKUP(Table8[[#This Row],[Document ID]],Table1[],8,FALSE)</f>
        <v>NDC 1.1</v>
      </c>
      <c r="G435" s="233" t="str">
        <f>VLOOKUP(Table8[[#This Row],[Document ID]],Table1[],10,FALSE)</f>
        <v>Active</v>
      </c>
      <c r="H435" s="43" t="s">
        <v>2358</v>
      </c>
      <c r="I435" s="43" t="s">
        <v>2359</v>
      </c>
      <c r="J435" s="44" t="s">
        <v>2383</v>
      </c>
      <c r="K435" s="44" t="s">
        <v>2777</v>
      </c>
      <c r="L435" s="44" t="s">
        <v>2333</v>
      </c>
      <c r="M435" s="43">
        <v>36</v>
      </c>
      <c r="N435" s="113" t="s">
        <v>1113</v>
      </c>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t="s">
        <v>1113</v>
      </c>
      <c r="AL435" s="113"/>
      <c r="AM435" s="113"/>
      <c r="AN435" s="113"/>
      <c r="AO435" s="44" t="s">
        <v>2334</v>
      </c>
      <c r="AP435" s="43"/>
      <c r="AQ435" s="236" t="str">
        <f>VLOOKUP(Table8[[#This Row],[Instrument]],Def_Targets!$D$73:$E$159,2,FALSE)</f>
        <v>I_Emobilitycharging</v>
      </c>
      <c r="AR435" s="233" t="str">
        <f>VLOOKUP(Table8[[#This Row],[Country Code]],Table29[],3,FALSE)</f>
        <v>Non-Annex I</v>
      </c>
      <c r="AS435" s="233" t="str">
        <f>VLOOKUP(Table8[[#This Row],[Country Code]],Table29[],4,FALSE)</f>
        <v>Asia</v>
      </c>
      <c r="AT435" s="233" t="str">
        <f>VLOOKUP(Table8[[#This Row],[Country Code]],Table29[],5,FALSE)</f>
        <v>Middle-income</v>
      </c>
      <c r="AU435" s="233" t="str">
        <f>VLOOKUP(Table8[[#This Row],[Country Code]],Table29[],6,FALSE)</f>
        <v>G20</v>
      </c>
      <c r="AV435" s="233" t="str">
        <f>VLOOKUP(Table8[[#This Row],[Country Code]],Table29[],7,FALSE)</f>
        <v>no</v>
      </c>
      <c r="AW435" s="233" t="str">
        <f>VLOOKUP(Table8[[#This Row],[Country Code]],Table29[],8,FALSE)</f>
        <v>non-OECD</v>
      </c>
      <c r="AX435" s="233" t="str">
        <f>VLOOKUP(Table8[[#This Row],[Country Code]],Table29[],9,FALSE)</f>
        <v>no</v>
      </c>
      <c r="AY435" s="233" t="str">
        <f>VLOOKUP(Table8[[#This Row],[Country Code]],Table29[],10,FALSE)</f>
        <v>no</v>
      </c>
      <c r="AZ435" s="235">
        <f>VLOOKUP(Table8[[#This Row],[Country Code]],Table29[],23,FALSE)</f>
        <v>15943.986552905</v>
      </c>
      <c r="BA435" s="235">
        <f>VLOOKUP(Table8[[#This Row],[Country Code]],Table29[],24,FALSE)</f>
        <v>1110.1781062864729</v>
      </c>
      <c r="BB435" s="320"/>
      <c r="BC435" s="320"/>
    </row>
    <row r="436" spans="1:55" hidden="1" x14ac:dyDescent="0.25">
      <c r="A436" s="373">
        <v>23840</v>
      </c>
      <c r="B436" s="233" t="str">
        <f>VLOOKUP(Table8[[#This Row],[Document ID]],Table1[],2,FALSE)</f>
        <v>CHN</v>
      </c>
      <c r="C436" s="233" t="str">
        <f>VLOOKUP(Table8[[#This Row],[Document ID]],Table1[],3,FALSE)</f>
        <v>China</v>
      </c>
      <c r="D436" s="243" t="str">
        <f>VLOOKUP(Table8[[#This Row],[Document ID]],Table1[],5,FALSE)</f>
        <v>NDC</v>
      </c>
      <c r="E436" s="233" t="str">
        <f>VLOOKUP(Table8[[#This Row],[Document ID]],Table1[],7,FALSE)</f>
        <v>First NDC updated</v>
      </c>
      <c r="F436" s="233" t="str">
        <f>VLOOKUP(Table8[[#This Row],[Document ID]],Table1[],8,FALSE)</f>
        <v>NDC 1.1</v>
      </c>
      <c r="G436" s="233" t="str">
        <f>VLOOKUP(Table8[[#This Row],[Document ID]],Table1[],10,FALSE)</f>
        <v>Active</v>
      </c>
      <c r="H436" s="44" t="s">
        <v>2338</v>
      </c>
      <c r="I436" s="44" t="s">
        <v>2339</v>
      </c>
      <c r="J436" s="44" t="s">
        <v>2413</v>
      </c>
      <c r="K436" s="44" t="s">
        <v>2778</v>
      </c>
      <c r="L436" s="44" t="s">
        <v>2333</v>
      </c>
      <c r="M436" s="43">
        <v>36</v>
      </c>
      <c r="N436" s="113" t="s">
        <v>1113</v>
      </c>
      <c r="O436" s="113"/>
      <c r="P436" s="113"/>
      <c r="Q436" s="113"/>
      <c r="R436" s="113"/>
      <c r="S436" s="113"/>
      <c r="T436" s="113"/>
      <c r="U436" s="113"/>
      <c r="V436" s="113"/>
      <c r="W436" s="113"/>
      <c r="X436" s="113"/>
      <c r="Y436" s="113"/>
      <c r="Z436" s="113"/>
      <c r="AA436" s="113"/>
      <c r="AB436" s="113"/>
      <c r="AC436" s="113"/>
      <c r="AD436" s="113" t="s">
        <v>1113</v>
      </c>
      <c r="AE436" s="113"/>
      <c r="AF436" s="113"/>
      <c r="AG436" s="113"/>
      <c r="AH436" s="113"/>
      <c r="AI436" s="113"/>
      <c r="AJ436" s="113"/>
      <c r="AK436" s="113" t="s">
        <v>1113</v>
      </c>
      <c r="AL436" s="113"/>
      <c r="AM436" s="113"/>
      <c r="AN436" s="113"/>
      <c r="AO436" s="44" t="s">
        <v>2334</v>
      </c>
      <c r="AP436" s="43"/>
      <c r="AQ436" s="236" t="str">
        <f>VLOOKUP(Table8[[#This Row],[Instrument]],Def_Targets!$D$73:$E$159,2,FALSE)</f>
        <v>I_Vehicleeff</v>
      </c>
      <c r="AR436" s="233" t="str">
        <f>VLOOKUP(Table8[[#This Row],[Country Code]],Table29[],3,FALSE)</f>
        <v>Non-Annex I</v>
      </c>
      <c r="AS436" s="233" t="str">
        <f>VLOOKUP(Table8[[#This Row],[Country Code]],Table29[],4,FALSE)</f>
        <v>Asia</v>
      </c>
      <c r="AT436" s="233" t="str">
        <f>VLOOKUP(Table8[[#This Row],[Country Code]],Table29[],5,FALSE)</f>
        <v>Middle-income</v>
      </c>
      <c r="AU436" s="233" t="str">
        <f>VLOOKUP(Table8[[#This Row],[Country Code]],Table29[],6,FALSE)</f>
        <v>G20</v>
      </c>
      <c r="AV436" s="233" t="str">
        <f>VLOOKUP(Table8[[#This Row],[Country Code]],Table29[],7,FALSE)</f>
        <v>no</v>
      </c>
      <c r="AW436" s="233" t="str">
        <f>VLOOKUP(Table8[[#This Row],[Country Code]],Table29[],8,FALSE)</f>
        <v>non-OECD</v>
      </c>
      <c r="AX436" s="233" t="str">
        <f>VLOOKUP(Table8[[#This Row],[Country Code]],Table29[],9,FALSE)</f>
        <v>no</v>
      </c>
      <c r="AY436" s="233" t="str">
        <f>VLOOKUP(Table8[[#This Row],[Country Code]],Table29[],10,FALSE)</f>
        <v>no</v>
      </c>
      <c r="AZ436" s="235">
        <f>VLOOKUP(Table8[[#This Row],[Country Code]],Table29[],23,FALSE)</f>
        <v>15943.986552905</v>
      </c>
      <c r="BA436" s="235">
        <f>VLOOKUP(Table8[[#This Row],[Country Code]],Table29[],24,FALSE)</f>
        <v>1110.1781062864729</v>
      </c>
      <c r="BB436" s="320"/>
      <c r="BC436" s="320"/>
    </row>
    <row r="437" spans="1:55" hidden="1" x14ac:dyDescent="0.25">
      <c r="A437" s="373">
        <v>23840</v>
      </c>
      <c r="B437" s="233" t="str">
        <f>VLOOKUP(Table8[[#This Row],[Document ID]],Table1[],2,FALSE)</f>
        <v>CHN</v>
      </c>
      <c r="C437" s="233" t="str">
        <f>VLOOKUP(Table8[[#This Row],[Document ID]],Table1[],3,FALSE)</f>
        <v>China</v>
      </c>
      <c r="D437" s="243" t="str">
        <f>VLOOKUP(Table8[[#This Row],[Document ID]],Table1[],5,FALSE)</f>
        <v>NDC</v>
      </c>
      <c r="E437" s="233" t="str">
        <f>VLOOKUP(Table8[[#This Row],[Document ID]],Table1[],7,FALSE)</f>
        <v>First NDC updated</v>
      </c>
      <c r="F437" s="233" t="str">
        <f>VLOOKUP(Table8[[#This Row],[Document ID]],Table1[],8,FALSE)</f>
        <v>NDC 1.1</v>
      </c>
      <c r="G437" s="233" t="str">
        <f>VLOOKUP(Table8[[#This Row],[Document ID]],Table1[],10,FALSE)</f>
        <v>Active</v>
      </c>
      <c r="H437" s="44" t="s">
        <v>2338</v>
      </c>
      <c r="I437" s="44" t="s">
        <v>2339</v>
      </c>
      <c r="J437" s="44" t="s">
        <v>2355</v>
      </c>
      <c r="K437" s="44" t="s">
        <v>2779</v>
      </c>
      <c r="L437" s="44" t="s">
        <v>2333</v>
      </c>
      <c r="M437" s="43">
        <v>36</v>
      </c>
      <c r="N437" s="113" t="s">
        <v>1113</v>
      </c>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t="s">
        <v>1113</v>
      </c>
      <c r="AL437" s="113"/>
      <c r="AM437" s="113"/>
      <c r="AN437" s="113"/>
      <c r="AO437" s="44" t="s">
        <v>2334</v>
      </c>
      <c r="AP437" s="43"/>
      <c r="AQ437" s="236" t="str">
        <f>VLOOKUP(Table8[[#This Row],[Instrument]],Def_Targets!$D$73:$E$159,2,FALSE)</f>
        <v>I_Vehiclelabel</v>
      </c>
      <c r="AR437" s="233" t="str">
        <f>VLOOKUP(Table8[[#This Row],[Country Code]],Table29[],3,FALSE)</f>
        <v>Non-Annex I</v>
      </c>
      <c r="AS437" s="233" t="str">
        <f>VLOOKUP(Table8[[#This Row],[Country Code]],Table29[],4,FALSE)</f>
        <v>Asia</v>
      </c>
      <c r="AT437" s="233" t="str">
        <f>VLOOKUP(Table8[[#This Row],[Country Code]],Table29[],5,FALSE)</f>
        <v>Middle-income</v>
      </c>
      <c r="AU437" s="233" t="str">
        <f>VLOOKUP(Table8[[#This Row],[Country Code]],Table29[],6,FALSE)</f>
        <v>G20</v>
      </c>
      <c r="AV437" s="233" t="str">
        <f>VLOOKUP(Table8[[#This Row],[Country Code]],Table29[],7,FALSE)</f>
        <v>no</v>
      </c>
      <c r="AW437" s="233" t="str">
        <f>VLOOKUP(Table8[[#This Row],[Country Code]],Table29[],8,FALSE)</f>
        <v>non-OECD</v>
      </c>
      <c r="AX437" s="233" t="str">
        <f>VLOOKUP(Table8[[#This Row],[Country Code]],Table29[],9,FALSE)</f>
        <v>no</v>
      </c>
      <c r="AY437" s="233" t="str">
        <f>VLOOKUP(Table8[[#This Row],[Country Code]],Table29[],10,FALSE)</f>
        <v>no</v>
      </c>
      <c r="AZ437" s="235">
        <f>VLOOKUP(Table8[[#This Row],[Country Code]],Table29[],23,FALSE)</f>
        <v>15943.986552905</v>
      </c>
      <c r="BA437" s="235">
        <f>VLOOKUP(Table8[[#This Row],[Country Code]],Table29[],24,FALSE)</f>
        <v>1110.1781062864729</v>
      </c>
      <c r="BB437" s="320"/>
      <c r="BC437" s="320"/>
    </row>
    <row r="438" spans="1:55" ht="30" hidden="1" x14ac:dyDescent="0.25">
      <c r="A438" s="373">
        <v>23840</v>
      </c>
      <c r="B438" s="233" t="str">
        <f>VLOOKUP(Table8[[#This Row],[Document ID]],Table1[],2,FALSE)</f>
        <v>CHN</v>
      </c>
      <c r="C438" s="233" t="str">
        <f>VLOOKUP(Table8[[#This Row],[Document ID]],Table1[],3,FALSE)</f>
        <v>China</v>
      </c>
      <c r="D438" s="243" t="str">
        <f>VLOOKUP(Table8[[#This Row],[Document ID]],Table1[],5,FALSE)</f>
        <v>NDC</v>
      </c>
      <c r="E438" s="233" t="str">
        <f>VLOOKUP(Table8[[#This Row],[Document ID]],Table1[],7,FALSE)</f>
        <v>First NDC updated</v>
      </c>
      <c r="F438" s="233" t="str">
        <f>VLOOKUP(Table8[[#This Row],[Document ID]],Table1[],8,FALSE)</f>
        <v>NDC 1.1</v>
      </c>
      <c r="G438" s="233" t="str">
        <f>VLOOKUP(Table8[[#This Row],[Document ID]],Table1[],10,FALSE)</f>
        <v>Active</v>
      </c>
      <c r="H438" s="44" t="s">
        <v>2338</v>
      </c>
      <c r="I438" s="44" t="s">
        <v>2339</v>
      </c>
      <c r="J438" s="44" t="s">
        <v>2410</v>
      </c>
      <c r="K438" s="44" t="s">
        <v>2780</v>
      </c>
      <c r="L438" s="44" t="s">
        <v>2333</v>
      </c>
      <c r="M438" s="43">
        <v>36</v>
      </c>
      <c r="N438" s="113" t="s">
        <v>1113</v>
      </c>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t="s">
        <v>1113</v>
      </c>
      <c r="AL438" s="113"/>
      <c r="AM438" s="113"/>
      <c r="AN438" s="113"/>
      <c r="AO438" s="44" t="s">
        <v>2334</v>
      </c>
      <c r="AP438" s="43"/>
      <c r="AQ438" s="236" t="str">
        <f>VLOOKUP(Table8[[#This Row],[Instrument]],Def_Targets!$D$73:$E$159,2,FALSE)</f>
        <v>I_VehicleRestrictions</v>
      </c>
      <c r="AR438" s="233" t="str">
        <f>VLOOKUP(Table8[[#This Row],[Country Code]],Table29[],3,FALSE)</f>
        <v>Non-Annex I</v>
      </c>
      <c r="AS438" s="233" t="str">
        <f>VLOOKUP(Table8[[#This Row],[Country Code]],Table29[],4,FALSE)</f>
        <v>Asia</v>
      </c>
      <c r="AT438" s="233" t="str">
        <f>VLOOKUP(Table8[[#This Row],[Country Code]],Table29[],5,FALSE)</f>
        <v>Middle-income</v>
      </c>
      <c r="AU438" s="233" t="str">
        <f>VLOOKUP(Table8[[#This Row],[Country Code]],Table29[],6,FALSE)</f>
        <v>G20</v>
      </c>
      <c r="AV438" s="233" t="str">
        <f>VLOOKUP(Table8[[#This Row],[Country Code]],Table29[],7,FALSE)</f>
        <v>no</v>
      </c>
      <c r="AW438" s="233" t="str">
        <f>VLOOKUP(Table8[[#This Row],[Country Code]],Table29[],8,FALSE)</f>
        <v>non-OECD</v>
      </c>
      <c r="AX438" s="233" t="str">
        <f>VLOOKUP(Table8[[#This Row],[Country Code]],Table29[],9,FALSE)</f>
        <v>no</v>
      </c>
      <c r="AY438" s="233" t="str">
        <f>VLOOKUP(Table8[[#This Row],[Country Code]],Table29[],10,FALSE)</f>
        <v>no</v>
      </c>
      <c r="AZ438" s="235">
        <f>VLOOKUP(Table8[[#This Row],[Country Code]],Table29[],23,FALSE)</f>
        <v>15943.986552905</v>
      </c>
      <c r="BA438" s="235">
        <f>VLOOKUP(Table8[[#This Row],[Country Code]],Table29[],24,FALSE)</f>
        <v>1110.1781062864729</v>
      </c>
      <c r="BB438" s="320"/>
      <c r="BC438" s="320"/>
    </row>
    <row r="439" spans="1:55" ht="45" hidden="1" x14ac:dyDescent="0.25">
      <c r="A439" s="373">
        <v>23840</v>
      </c>
      <c r="B439" s="233" t="str">
        <f>VLOOKUP(Table8[[#This Row],[Document ID]],Table1[],2,FALSE)</f>
        <v>CHN</v>
      </c>
      <c r="C439" s="233" t="str">
        <f>VLOOKUP(Table8[[#This Row],[Document ID]],Table1[],3,FALSE)</f>
        <v>China</v>
      </c>
      <c r="D439" s="243" t="str">
        <f>VLOOKUP(Table8[[#This Row],[Document ID]],Table1[],5,FALSE)</f>
        <v>NDC</v>
      </c>
      <c r="E439" s="233" t="str">
        <f>VLOOKUP(Table8[[#This Row],[Document ID]],Table1[],7,FALSE)</f>
        <v>First NDC updated</v>
      </c>
      <c r="F439" s="233" t="str">
        <f>VLOOKUP(Table8[[#This Row],[Document ID]],Table1[],8,FALSE)</f>
        <v>NDC 1.1</v>
      </c>
      <c r="G439" s="233" t="str">
        <f>VLOOKUP(Table8[[#This Row],[Document ID]],Table1[],10,FALSE)</f>
        <v>Active</v>
      </c>
      <c r="H439" s="43" t="s">
        <v>2343</v>
      </c>
      <c r="I439" s="43" t="s">
        <v>2344</v>
      </c>
      <c r="J439" s="44" t="s">
        <v>2405</v>
      </c>
      <c r="K439" s="44" t="s">
        <v>2781</v>
      </c>
      <c r="L439" s="44" t="s">
        <v>2347</v>
      </c>
      <c r="M439" s="43">
        <v>36</v>
      </c>
      <c r="N439" s="113"/>
      <c r="O439" s="113"/>
      <c r="P439" s="113"/>
      <c r="Q439" s="113"/>
      <c r="R439" s="113"/>
      <c r="S439" s="113"/>
      <c r="T439" s="113"/>
      <c r="U439" s="113"/>
      <c r="V439" s="113"/>
      <c r="W439" s="113"/>
      <c r="X439" s="113"/>
      <c r="Y439" s="113" t="s">
        <v>1113</v>
      </c>
      <c r="Z439" s="113"/>
      <c r="AA439" s="113"/>
      <c r="AB439" s="113"/>
      <c r="AC439" s="113" t="s">
        <v>1113</v>
      </c>
      <c r="AD439" s="113"/>
      <c r="AE439" s="113"/>
      <c r="AF439" s="113"/>
      <c r="AG439" s="113"/>
      <c r="AH439" s="113"/>
      <c r="AI439" s="113"/>
      <c r="AJ439" s="113"/>
      <c r="AK439" s="113"/>
      <c r="AL439" s="113" t="s">
        <v>1113</v>
      </c>
      <c r="AM439" s="113"/>
      <c r="AN439" s="113"/>
      <c r="AO439" s="43" t="s">
        <v>2348</v>
      </c>
      <c r="AP439" s="43"/>
      <c r="AQ439" s="236" t="str">
        <f>VLOOKUP(Table8[[#This Row],[Instrument]],Def_Targets!$D$73:$E$159,2,FALSE)</f>
        <v>S_PTIntegration</v>
      </c>
      <c r="AR439" s="233" t="str">
        <f>VLOOKUP(Table8[[#This Row],[Country Code]],Table29[],3,FALSE)</f>
        <v>Non-Annex I</v>
      </c>
      <c r="AS439" s="233" t="str">
        <f>VLOOKUP(Table8[[#This Row],[Country Code]],Table29[],4,FALSE)</f>
        <v>Asia</v>
      </c>
      <c r="AT439" s="233" t="str">
        <f>VLOOKUP(Table8[[#This Row],[Country Code]],Table29[],5,FALSE)</f>
        <v>Middle-income</v>
      </c>
      <c r="AU439" s="233" t="str">
        <f>VLOOKUP(Table8[[#This Row],[Country Code]],Table29[],6,FALSE)</f>
        <v>G20</v>
      </c>
      <c r="AV439" s="233" t="str">
        <f>VLOOKUP(Table8[[#This Row],[Country Code]],Table29[],7,FALSE)</f>
        <v>no</v>
      </c>
      <c r="AW439" s="233" t="str">
        <f>VLOOKUP(Table8[[#This Row],[Country Code]],Table29[],8,FALSE)</f>
        <v>non-OECD</v>
      </c>
      <c r="AX439" s="233" t="str">
        <f>VLOOKUP(Table8[[#This Row],[Country Code]],Table29[],9,FALSE)</f>
        <v>no</v>
      </c>
      <c r="AY439" s="233" t="str">
        <f>VLOOKUP(Table8[[#This Row],[Country Code]],Table29[],10,FALSE)</f>
        <v>no</v>
      </c>
      <c r="AZ439" s="235">
        <f>VLOOKUP(Table8[[#This Row],[Country Code]],Table29[],23,FALSE)</f>
        <v>15943.986552905</v>
      </c>
      <c r="BA439" s="235">
        <f>VLOOKUP(Table8[[#This Row],[Country Code]],Table29[],24,FALSE)</f>
        <v>1110.1781062864729</v>
      </c>
      <c r="BB439" s="320"/>
      <c r="BC439" s="320"/>
    </row>
    <row r="440" spans="1:55" ht="30" hidden="1" x14ac:dyDescent="0.25">
      <c r="A440" s="373">
        <v>23840</v>
      </c>
      <c r="B440" s="233" t="str">
        <f>VLOOKUP(Table8[[#This Row],[Document ID]],Table1[],2,FALSE)</f>
        <v>CHN</v>
      </c>
      <c r="C440" s="233" t="str">
        <f>VLOOKUP(Table8[[#This Row],[Document ID]],Table1[],3,FALSE)</f>
        <v>China</v>
      </c>
      <c r="D440" s="243" t="str">
        <f>VLOOKUP(Table8[[#This Row],[Document ID]],Table1[],5,FALSE)</f>
        <v>NDC</v>
      </c>
      <c r="E440" s="233" t="str">
        <f>VLOOKUP(Table8[[#This Row],[Document ID]],Table1[],7,FALSE)</f>
        <v>First NDC updated</v>
      </c>
      <c r="F440" s="233" t="str">
        <f>VLOOKUP(Table8[[#This Row],[Document ID]],Table1[],8,FALSE)</f>
        <v>NDC 1.1</v>
      </c>
      <c r="G440" s="233" t="str">
        <f>VLOOKUP(Table8[[#This Row],[Document ID]],Table1[],10,FALSE)</f>
        <v>Active</v>
      </c>
      <c r="H440" s="43" t="s">
        <v>2343</v>
      </c>
      <c r="I440" s="43" t="s">
        <v>2344</v>
      </c>
      <c r="J440" s="44" t="s">
        <v>2549</v>
      </c>
      <c r="K440" s="44" t="s">
        <v>2782</v>
      </c>
      <c r="L440" s="44" t="s">
        <v>2347</v>
      </c>
      <c r="M440" s="43">
        <v>36</v>
      </c>
      <c r="N440" s="113"/>
      <c r="O440" s="113"/>
      <c r="P440" s="113"/>
      <c r="Q440" s="113"/>
      <c r="R440" s="113"/>
      <c r="S440" s="113"/>
      <c r="T440" s="113"/>
      <c r="U440" s="113"/>
      <c r="V440" s="113"/>
      <c r="W440" s="113"/>
      <c r="X440" s="113"/>
      <c r="Y440" s="113" t="s">
        <v>1113</v>
      </c>
      <c r="Z440" s="113"/>
      <c r="AA440" s="113"/>
      <c r="AB440" s="113"/>
      <c r="AC440" s="113"/>
      <c r="AD440" s="113"/>
      <c r="AE440" s="113"/>
      <c r="AF440" s="113"/>
      <c r="AG440" s="113"/>
      <c r="AH440" s="113"/>
      <c r="AI440" s="113"/>
      <c r="AJ440" s="113"/>
      <c r="AK440" s="113"/>
      <c r="AL440" s="113" t="s">
        <v>1113</v>
      </c>
      <c r="AM440" s="113"/>
      <c r="AN440" s="113"/>
      <c r="AO440" s="43" t="s">
        <v>2348</v>
      </c>
      <c r="AP440" s="43"/>
      <c r="AQ440" s="236" t="str">
        <f>VLOOKUP(Table8[[#This Row],[Instrument]],Def_Targets!$D$73:$E$159,2,FALSE)</f>
        <v>S_BRT</v>
      </c>
      <c r="AR440" s="233" t="str">
        <f>VLOOKUP(Table8[[#This Row],[Country Code]],Table29[],3,FALSE)</f>
        <v>Non-Annex I</v>
      </c>
      <c r="AS440" s="233" t="str">
        <f>VLOOKUP(Table8[[#This Row],[Country Code]],Table29[],4,FALSE)</f>
        <v>Asia</v>
      </c>
      <c r="AT440" s="233" t="str">
        <f>VLOOKUP(Table8[[#This Row],[Country Code]],Table29[],5,FALSE)</f>
        <v>Middle-income</v>
      </c>
      <c r="AU440" s="233" t="str">
        <f>VLOOKUP(Table8[[#This Row],[Country Code]],Table29[],6,FALSE)</f>
        <v>G20</v>
      </c>
      <c r="AV440" s="233" t="str">
        <f>VLOOKUP(Table8[[#This Row],[Country Code]],Table29[],7,FALSE)</f>
        <v>no</v>
      </c>
      <c r="AW440" s="233" t="str">
        <f>VLOOKUP(Table8[[#This Row],[Country Code]],Table29[],8,FALSE)</f>
        <v>non-OECD</v>
      </c>
      <c r="AX440" s="233" t="str">
        <f>VLOOKUP(Table8[[#This Row],[Country Code]],Table29[],9,FALSE)</f>
        <v>no</v>
      </c>
      <c r="AY440" s="233" t="str">
        <f>VLOOKUP(Table8[[#This Row],[Country Code]],Table29[],10,FALSE)</f>
        <v>no</v>
      </c>
      <c r="AZ440" s="235">
        <f>VLOOKUP(Table8[[#This Row],[Country Code]],Table29[],23,FALSE)</f>
        <v>15943.986552905</v>
      </c>
      <c r="BA440" s="235">
        <f>VLOOKUP(Table8[[#This Row],[Country Code]],Table29[],24,FALSE)</f>
        <v>1110.1781062864729</v>
      </c>
      <c r="BB440" s="320"/>
      <c r="BC440" s="320"/>
    </row>
    <row r="441" spans="1:55" s="23" customFormat="1" ht="30" hidden="1" x14ac:dyDescent="0.25">
      <c r="A441" s="373">
        <v>23840</v>
      </c>
      <c r="B441" s="233" t="str">
        <f>VLOOKUP(Table8[[#This Row],[Document ID]],Table1[],2,FALSE)</f>
        <v>CHN</v>
      </c>
      <c r="C441" s="233" t="str">
        <f>VLOOKUP(Table8[[#This Row],[Document ID]],Table1[],3,FALSE)</f>
        <v>China</v>
      </c>
      <c r="D441" s="243" t="str">
        <f>VLOOKUP(Table8[[#This Row],[Document ID]],Table1[],5,FALSE)</f>
        <v>NDC</v>
      </c>
      <c r="E441" s="233" t="str">
        <f>VLOOKUP(Table8[[#This Row],[Document ID]],Table1[],7,FALSE)</f>
        <v>First NDC updated</v>
      </c>
      <c r="F441" s="233" t="str">
        <f>VLOOKUP(Table8[[#This Row],[Document ID]],Table1[],8,FALSE)</f>
        <v>NDC 1.1</v>
      </c>
      <c r="G441" s="233" t="str">
        <f>VLOOKUP(Table8[[#This Row],[Document ID]],Table1[],10,FALSE)</f>
        <v>Active</v>
      </c>
      <c r="H441" s="43" t="s">
        <v>2343</v>
      </c>
      <c r="I441" s="43" t="s">
        <v>2361</v>
      </c>
      <c r="J441" s="44" t="s">
        <v>2366</v>
      </c>
      <c r="K441" s="44" t="s">
        <v>2783</v>
      </c>
      <c r="L441" s="44" t="s">
        <v>2347</v>
      </c>
      <c r="M441" s="43">
        <v>36</v>
      </c>
      <c r="N441" s="113"/>
      <c r="O441" s="113"/>
      <c r="P441" s="113"/>
      <c r="Q441" s="113" t="s">
        <v>1113</v>
      </c>
      <c r="R441" s="113" t="s">
        <v>1113</v>
      </c>
      <c r="S441" s="113"/>
      <c r="T441" s="113"/>
      <c r="U441" s="113"/>
      <c r="V441" s="113"/>
      <c r="W441" s="113"/>
      <c r="X441" s="113"/>
      <c r="Y441" s="113"/>
      <c r="Z441" s="113"/>
      <c r="AA441" s="113"/>
      <c r="AB441" s="113"/>
      <c r="AC441" s="113"/>
      <c r="AD441" s="113"/>
      <c r="AE441" s="113"/>
      <c r="AF441" s="113"/>
      <c r="AG441" s="113"/>
      <c r="AH441" s="113"/>
      <c r="AI441" s="113"/>
      <c r="AJ441" s="113"/>
      <c r="AK441" s="113"/>
      <c r="AL441" s="113" t="s">
        <v>1113</v>
      </c>
      <c r="AM441" s="113"/>
      <c r="AN441" s="113"/>
      <c r="AO441" s="44" t="s">
        <v>2334</v>
      </c>
      <c r="AP441" s="43"/>
      <c r="AQ441" s="236" t="str">
        <f>VLOOKUP(Table8[[#This Row],[Instrument]],Def_Targets!$D$73:$E$159,2,FALSE)</f>
        <v>S_Activemobility</v>
      </c>
      <c r="AR441" s="233" t="str">
        <f>VLOOKUP(Table8[[#This Row],[Country Code]],Table29[],3,FALSE)</f>
        <v>Non-Annex I</v>
      </c>
      <c r="AS441" s="233" t="str">
        <f>VLOOKUP(Table8[[#This Row],[Country Code]],Table29[],4,FALSE)</f>
        <v>Asia</v>
      </c>
      <c r="AT441" s="233" t="str">
        <f>VLOOKUP(Table8[[#This Row],[Country Code]],Table29[],5,FALSE)</f>
        <v>Middle-income</v>
      </c>
      <c r="AU441" s="233" t="str">
        <f>VLOOKUP(Table8[[#This Row],[Country Code]],Table29[],6,FALSE)</f>
        <v>G20</v>
      </c>
      <c r="AV441" s="233" t="str">
        <f>VLOOKUP(Table8[[#This Row],[Country Code]],Table29[],7,FALSE)</f>
        <v>no</v>
      </c>
      <c r="AW441" s="233" t="str">
        <f>VLOOKUP(Table8[[#This Row],[Country Code]],Table29[],8,FALSE)</f>
        <v>non-OECD</v>
      </c>
      <c r="AX441" s="233" t="str">
        <f>VLOOKUP(Table8[[#This Row],[Country Code]],Table29[],9,FALSE)</f>
        <v>no</v>
      </c>
      <c r="AY441" s="233" t="str">
        <f>VLOOKUP(Table8[[#This Row],[Country Code]],Table29[],10,FALSE)</f>
        <v>no</v>
      </c>
      <c r="AZ441" s="235">
        <f>VLOOKUP(Table8[[#This Row],[Country Code]],Table29[],23,FALSE)</f>
        <v>15943.986552905</v>
      </c>
      <c r="BA441" s="235">
        <f>VLOOKUP(Table8[[#This Row],[Country Code]],Table29[],24,FALSE)</f>
        <v>1110.1781062864729</v>
      </c>
      <c r="BB441" s="320"/>
      <c r="BC441" s="320"/>
    </row>
    <row r="442" spans="1:55" ht="30" hidden="1" x14ac:dyDescent="0.25">
      <c r="A442" s="373">
        <v>23840</v>
      </c>
      <c r="B442" s="233" t="str">
        <f>VLOOKUP(Table8[[#This Row],[Document ID]],Table1[],2,FALSE)</f>
        <v>CHN</v>
      </c>
      <c r="C442" s="233" t="str">
        <f>VLOOKUP(Table8[[#This Row],[Document ID]],Table1[],3,FALSE)</f>
        <v>China</v>
      </c>
      <c r="D442" s="243" t="str">
        <f>VLOOKUP(Table8[[#This Row],[Document ID]],Table1[],5,FALSE)</f>
        <v>NDC</v>
      </c>
      <c r="E442" s="233" t="str">
        <f>VLOOKUP(Table8[[#This Row],[Document ID]],Table1[],7,FALSE)</f>
        <v>First NDC updated</v>
      </c>
      <c r="F442" s="233" t="str">
        <f>VLOOKUP(Table8[[#This Row],[Document ID]],Table1[],8,FALSE)</f>
        <v>NDC 1.1</v>
      </c>
      <c r="G442" s="233" t="str">
        <f>VLOOKUP(Table8[[#This Row],[Document ID]],Table1[],10,FALSE)</f>
        <v>Active</v>
      </c>
      <c r="H442" s="43" t="s">
        <v>2343</v>
      </c>
      <c r="I442" s="43" t="s">
        <v>2386</v>
      </c>
      <c r="J442" s="44" t="s">
        <v>2412</v>
      </c>
      <c r="K442" s="44" t="s">
        <v>2784</v>
      </c>
      <c r="L442" s="44" t="s">
        <v>2380</v>
      </c>
      <c r="M442" s="43">
        <v>36</v>
      </c>
      <c r="N442" s="113" t="s">
        <v>1113</v>
      </c>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t="s">
        <v>1113</v>
      </c>
      <c r="AM442" s="113"/>
      <c r="AN442" s="113"/>
      <c r="AO442" s="44" t="s">
        <v>2334</v>
      </c>
      <c r="AP442" s="43"/>
      <c r="AQ442" s="236" t="str">
        <f>VLOOKUP(Table8[[#This Row],[Instrument]],Def_Targets!$D$73:$E$159,2,FALSE)</f>
        <v>A_Economic</v>
      </c>
      <c r="AR442" s="233" t="str">
        <f>VLOOKUP(Table8[[#This Row],[Country Code]],Table29[],3,FALSE)</f>
        <v>Non-Annex I</v>
      </c>
      <c r="AS442" s="233" t="str">
        <f>VLOOKUP(Table8[[#This Row],[Country Code]],Table29[],4,FALSE)</f>
        <v>Asia</v>
      </c>
      <c r="AT442" s="233" t="str">
        <f>VLOOKUP(Table8[[#This Row],[Country Code]],Table29[],5,FALSE)</f>
        <v>Middle-income</v>
      </c>
      <c r="AU442" s="233" t="str">
        <f>VLOOKUP(Table8[[#This Row],[Country Code]],Table29[],6,FALSE)</f>
        <v>G20</v>
      </c>
      <c r="AV442" s="233" t="str">
        <f>VLOOKUP(Table8[[#This Row],[Country Code]],Table29[],7,FALSE)</f>
        <v>no</v>
      </c>
      <c r="AW442" s="233" t="str">
        <f>VLOOKUP(Table8[[#This Row],[Country Code]],Table29[],8,FALSE)</f>
        <v>non-OECD</v>
      </c>
      <c r="AX442" s="233" t="str">
        <f>VLOOKUP(Table8[[#This Row],[Country Code]],Table29[],9,FALSE)</f>
        <v>no</v>
      </c>
      <c r="AY442" s="233" t="str">
        <f>VLOOKUP(Table8[[#This Row],[Country Code]],Table29[],10,FALSE)</f>
        <v>no</v>
      </c>
      <c r="AZ442" s="235">
        <f>VLOOKUP(Table8[[#This Row],[Country Code]],Table29[],23,FALSE)</f>
        <v>15943.986552905</v>
      </c>
      <c r="BA442" s="235">
        <f>VLOOKUP(Table8[[#This Row],[Country Code]],Table29[],24,FALSE)</f>
        <v>1110.1781062864729</v>
      </c>
      <c r="BB442" s="320"/>
      <c r="BC442" s="320"/>
    </row>
    <row r="443" spans="1:55" s="17" customFormat="1" ht="45" hidden="1" x14ac:dyDescent="0.25">
      <c r="A443" s="373">
        <v>39440</v>
      </c>
      <c r="B443" s="233" t="str">
        <f>VLOOKUP(Table8[[#This Row],[Document ID]],Table1[],2,FALSE)</f>
        <v>BTN</v>
      </c>
      <c r="C443" s="233" t="str">
        <f>VLOOKUP(Table8[[#This Row],[Document ID]],Table1[],3,FALSE)</f>
        <v>Bhutan</v>
      </c>
      <c r="D443" s="243" t="str">
        <f>VLOOKUP(Table8[[#This Row],[Document ID]],Table1[],5,FALSE)</f>
        <v>LTS</v>
      </c>
      <c r="E443" s="233" t="str">
        <f>VLOOKUP(Table8[[#This Row],[Document ID]],Table1[],7,FALSE)</f>
        <v>LTS</v>
      </c>
      <c r="F443" s="233" t="str">
        <f>VLOOKUP(Table8[[#This Row],[Document ID]],Table1[],8,FALSE)</f>
        <v>LTS 1.0</v>
      </c>
      <c r="G443" s="233" t="str">
        <f>VLOOKUP(Table8[[#This Row],[Document ID]],Table1[],10,FALSE)</f>
        <v>Active</v>
      </c>
      <c r="H443" s="44" t="s">
        <v>2338</v>
      </c>
      <c r="I443" s="44" t="s">
        <v>2339</v>
      </c>
      <c r="J443" s="44" t="s">
        <v>2556</v>
      </c>
      <c r="K443" s="44" t="s">
        <v>2785</v>
      </c>
      <c r="L443" s="44" t="s">
        <v>2333</v>
      </c>
      <c r="M443" s="43">
        <v>61</v>
      </c>
      <c r="N443" s="113" t="s">
        <v>1113</v>
      </c>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t="s">
        <v>1113</v>
      </c>
      <c r="AL443" s="113"/>
      <c r="AM443" s="113"/>
      <c r="AN443" s="113"/>
      <c r="AO443" s="44" t="s">
        <v>2334</v>
      </c>
      <c r="AP443" s="43"/>
      <c r="AQ443" s="236" t="str">
        <f>VLOOKUP(Table8[[#This Row],[Instrument]],Def_Targets!$D$73:$E$159,2,FALSE)</f>
        <v>I_Fuelqualimprove</v>
      </c>
      <c r="AR443" s="233" t="str">
        <f>VLOOKUP(Table8[[#This Row],[Country Code]],Table29[],3,FALSE)</f>
        <v>Non-Annex I</v>
      </c>
      <c r="AS443" s="233" t="str">
        <f>VLOOKUP(Table8[[#This Row],[Country Code]],Table29[],4,FALSE)</f>
        <v>Asia</v>
      </c>
      <c r="AT443" s="233" t="str">
        <f>VLOOKUP(Table8[[#This Row],[Country Code]],Table29[],5,FALSE)</f>
        <v>Middle-income</v>
      </c>
      <c r="AU443" s="233" t="str">
        <f>VLOOKUP(Table8[[#This Row],[Country Code]],Table29[],6,FALSE)</f>
        <v>no</v>
      </c>
      <c r="AV443" s="233" t="str">
        <f>VLOOKUP(Table8[[#This Row],[Country Code]],Table29[],7,FALSE)</f>
        <v>no</v>
      </c>
      <c r="AW443" s="233" t="str">
        <f>VLOOKUP(Table8[[#This Row],[Country Code]],Table29[],8,FALSE)</f>
        <v>non-OECD</v>
      </c>
      <c r="AX443" s="233" t="str">
        <f>VLOOKUP(Table8[[#This Row],[Country Code]],Table29[],9,FALSE)</f>
        <v>no</v>
      </c>
      <c r="AY443" s="233" t="str">
        <f>VLOOKUP(Table8[[#This Row],[Country Code]],Table29[],10,FALSE)</f>
        <v>no</v>
      </c>
      <c r="AZ443" s="235">
        <f>VLOOKUP(Table8[[#This Row],[Country Code]],Table29[],23,FALSE)</f>
        <v>3.2548573740653</v>
      </c>
      <c r="BA443" s="235">
        <f>VLOOKUP(Table8[[#This Row],[Country Code]],Table29[],24,FALSE)</f>
        <v>0.43507987337923443</v>
      </c>
      <c r="BB443" s="320"/>
      <c r="BC443" s="320"/>
    </row>
    <row r="444" spans="1:55" s="17" customFormat="1" ht="30" hidden="1" x14ac:dyDescent="0.25">
      <c r="A444" s="373">
        <v>39440</v>
      </c>
      <c r="B444" s="233" t="str">
        <f>VLOOKUP(Table8[[#This Row],[Document ID]],Table1[],2,FALSE)</f>
        <v>BTN</v>
      </c>
      <c r="C444" s="233" t="str">
        <f>VLOOKUP(Table8[[#This Row],[Document ID]],Table1[],3,FALSE)</f>
        <v>Bhutan</v>
      </c>
      <c r="D444" s="243" t="str">
        <f>VLOOKUP(Table8[[#This Row],[Document ID]],Table1[],5,FALSE)</f>
        <v>LTS</v>
      </c>
      <c r="E444" s="233" t="str">
        <f>VLOOKUP(Table8[[#This Row],[Document ID]],Table1[],7,FALSE)</f>
        <v>LTS</v>
      </c>
      <c r="F444" s="233" t="str">
        <f>VLOOKUP(Table8[[#This Row],[Document ID]],Table1[],8,FALSE)</f>
        <v>LTS 1.0</v>
      </c>
      <c r="G444" s="233" t="str">
        <f>VLOOKUP(Table8[[#This Row],[Document ID]],Table1[],10,FALSE)</f>
        <v>Active</v>
      </c>
      <c r="H444" s="44" t="s">
        <v>2338</v>
      </c>
      <c r="I444" s="44" t="s">
        <v>2339</v>
      </c>
      <c r="J444" s="44" t="s">
        <v>2413</v>
      </c>
      <c r="K444" s="44" t="s">
        <v>2786</v>
      </c>
      <c r="L444" s="44" t="s">
        <v>2333</v>
      </c>
      <c r="M444" s="43">
        <v>61</v>
      </c>
      <c r="N444" s="113" t="s">
        <v>1113</v>
      </c>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t="s">
        <v>1113</v>
      </c>
      <c r="AL444" s="113"/>
      <c r="AM444" s="113"/>
      <c r="AN444" s="113"/>
      <c r="AO444" s="44" t="s">
        <v>2334</v>
      </c>
      <c r="AP444" s="43"/>
      <c r="AQ444" s="236" t="str">
        <f>VLOOKUP(Table8[[#This Row],[Instrument]],Def_Targets!$D$73:$E$159,2,FALSE)</f>
        <v>I_Vehicleeff</v>
      </c>
      <c r="AR444" s="233" t="str">
        <f>VLOOKUP(Table8[[#This Row],[Country Code]],Table29[],3,FALSE)</f>
        <v>Non-Annex I</v>
      </c>
      <c r="AS444" s="233" t="str">
        <f>VLOOKUP(Table8[[#This Row],[Country Code]],Table29[],4,FALSE)</f>
        <v>Asia</v>
      </c>
      <c r="AT444" s="233" t="str">
        <f>VLOOKUP(Table8[[#This Row],[Country Code]],Table29[],5,FALSE)</f>
        <v>Middle-income</v>
      </c>
      <c r="AU444" s="233" t="str">
        <f>VLOOKUP(Table8[[#This Row],[Country Code]],Table29[],6,FALSE)</f>
        <v>no</v>
      </c>
      <c r="AV444" s="233" t="str">
        <f>VLOOKUP(Table8[[#This Row],[Country Code]],Table29[],7,FALSE)</f>
        <v>no</v>
      </c>
      <c r="AW444" s="233" t="str">
        <f>VLOOKUP(Table8[[#This Row],[Country Code]],Table29[],8,FALSE)</f>
        <v>non-OECD</v>
      </c>
      <c r="AX444" s="233" t="str">
        <f>VLOOKUP(Table8[[#This Row],[Country Code]],Table29[],9,FALSE)</f>
        <v>no</v>
      </c>
      <c r="AY444" s="233" t="str">
        <f>VLOOKUP(Table8[[#This Row],[Country Code]],Table29[],10,FALSE)</f>
        <v>no</v>
      </c>
      <c r="AZ444" s="235">
        <f>VLOOKUP(Table8[[#This Row],[Country Code]],Table29[],23,FALSE)</f>
        <v>3.2548573740653</v>
      </c>
      <c r="BA444" s="235">
        <f>VLOOKUP(Table8[[#This Row],[Country Code]],Table29[],24,FALSE)</f>
        <v>0.43507987337923443</v>
      </c>
      <c r="BB444" s="320"/>
      <c r="BC444" s="320"/>
    </row>
    <row r="445" spans="1:55" s="17" customFormat="1" ht="45" hidden="1" x14ac:dyDescent="0.25">
      <c r="A445" s="373">
        <v>39440</v>
      </c>
      <c r="B445" s="233" t="str">
        <f>VLOOKUP(Table8[[#This Row],[Document ID]],Table1[],2,FALSE)</f>
        <v>BTN</v>
      </c>
      <c r="C445" s="233" t="str">
        <f>VLOOKUP(Table8[[#This Row],[Document ID]],Table1[],3,FALSE)</f>
        <v>Bhutan</v>
      </c>
      <c r="D445" s="243" t="str">
        <f>VLOOKUP(Table8[[#This Row],[Document ID]],Table1[],5,FALSE)</f>
        <v>LTS</v>
      </c>
      <c r="E445" s="233" t="str">
        <f>VLOOKUP(Table8[[#This Row],[Document ID]],Table1[],7,FALSE)</f>
        <v>LTS</v>
      </c>
      <c r="F445" s="233" t="str">
        <f>VLOOKUP(Table8[[#This Row],[Document ID]],Table1[],8,FALSE)</f>
        <v>LTS 1.0</v>
      </c>
      <c r="G445" s="233" t="str">
        <f>VLOOKUP(Table8[[#This Row],[Document ID]],Table1[],10,FALSE)</f>
        <v>Active</v>
      </c>
      <c r="H445" s="44" t="s">
        <v>2329</v>
      </c>
      <c r="I445" s="44" t="s">
        <v>2330</v>
      </c>
      <c r="J445" s="44" t="s">
        <v>2691</v>
      </c>
      <c r="K445" s="44" t="s">
        <v>2787</v>
      </c>
      <c r="L445" s="44" t="s">
        <v>2333</v>
      </c>
      <c r="M445" s="43">
        <v>61</v>
      </c>
      <c r="N445" s="113"/>
      <c r="O445" s="113"/>
      <c r="P445" s="113"/>
      <c r="Q445" s="113"/>
      <c r="R445" s="113"/>
      <c r="S445" s="113" t="s">
        <v>1113</v>
      </c>
      <c r="T445" s="113"/>
      <c r="U445" s="113"/>
      <c r="V445" s="113"/>
      <c r="W445" s="113"/>
      <c r="X445" s="113" t="s">
        <v>1113</v>
      </c>
      <c r="Y445" s="113"/>
      <c r="Z445" s="113"/>
      <c r="AA445" s="113"/>
      <c r="AB445" s="113"/>
      <c r="AC445" s="113"/>
      <c r="AD445" s="113"/>
      <c r="AE445" s="113"/>
      <c r="AF445" s="113"/>
      <c r="AG445" s="113"/>
      <c r="AH445" s="113"/>
      <c r="AI445" s="113"/>
      <c r="AJ445" s="113"/>
      <c r="AK445" s="113" t="s">
        <v>1113</v>
      </c>
      <c r="AL445" s="113"/>
      <c r="AM445" s="113"/>
      <c r="AN445" s="113"/>
      <c r="AO445" s="44" t="s">
        <v>2334</v>
      </c>
      <c r="AP445" s="43"/>
      <c r="AQ445" s="236" t="str">
        <f>VLOOKUP(Table8[[#This Row],[Instrument]],Def_Targets!$D$73:$E$159,2,FALSE)</f>
        <v>I_Lowemissionincentive</v>
      </c>
      <c r="AR445" s="233" t="str">
        <f>VLOOKUP(Table8[[#This Row],[Country Code]],Table29[],3,FALSE)</f>
        <v>Non-Annex I</v>
      </c>
      <c r="AS445" s="233" t="str">
        <f>VLOOKUP(Table8[[#This Row],[Country Code]],Table29[],4,FALSE)</f>
        <v>Asia</v>
      </c>
      <c r="AT445" s="233" t="str">
        <f>VLOOKUP(Table8[[#This Row],[Country Code]],Table29[],5,FALSE)</f>
        <v>Middle-income</v>
      </c>
      <c r="AU445" s="233" t="str">
        <f>VLOOKUP(Table8[[#This Row],[Country Code]],Table29[],6,FALSE)</f>
        <v>no</v>
      </c>
      <c r="AV445" s="233" t="str">
        <f>VLOOKUP(Table8[[#This Row],[Country Code]],Table29[],7,FALSE)</f>
        <v>no</v>
      </c>
      <c r="AW445" s="233" t="str">
        <f>VLOOKUP(Table8[[#This Row],[Country Code]],Table29[],8,FALSE)</f>
        <v>non-OECD</v>
      </c>
      <c r="AX445" s="233" t="str">
        <f>VLOOKUP(Table8[[#This Row],[Country Code]],Table29[],9,FALSE)</f>
        <v>no</v>
      </c>
      <c r="AY445" s="233" t="str">
        <f>VLOOKUP(Table8[[#This Row],[Country Code]],Table29[],10,FALSE)</f>
        <v>no</v>
      </c>
      <c r="AZ445" s="235">
        <f>VLOOKUP(Table8[[#This Row],[Country Code]],Table29[],23,FALSE)</f>
        <v>3.2548573740653</v>
      </c>
      <c r="BA445" s="235">
        <f>VLOOKUP(Table8[[#This Row],[Country Code]],Table29[],24,FALSE)</f>
        <v>0.43507987337923443</v>
      </c>
      <c r="BB445" s="320"/>
      <c r="BC445" s="320"/>
    </row>
    <row r="446" spans="1:55" s="17" customFormat="1" ht="45" hidden="1" x14ac:dyDescent="0.25">
      <c r="A446" s="373">
        <v>39440</v>
      </c>
      <c r="B446" s="233" t="str">
        <f>VLOOKUP(Table8[[#This Row],[Document ID]],Table1[],2,FALSE)</f>
        <v>BTN</v>
      </c>
      <c r="C446" s="233" t="str">
        <f>VLOOKUP(Table8[[#This Row],[Document ID]],Table1[],3,FALSE)</f>
        <v>Bhutan</v>
      </c>
      <c r="D446" s="243" t="str">
        <f>VLOOKUP(Table8[[#This Row],[Document ID]],Table1[],5,FALSE)</f>
        <v>LTS</v>
      </c>
      <c r="E446" s="233" t="str">
        <f>VLOOKUP(Table8[[#This Row],[Document ID]],Table1[],7,FALSE)</f>
        <v>LTS</v>
      </c>
      <c r="F446" s="233" t="str">
        <f>VLOOKUP(Table8[[#This Row],[Document ID]],Table1[],8,FALSE)</f>
        <v>LTS 1.0</v>
      </c>
      <c r="G446" s="233" t="str">
        <f>VLOOKUP(Table8[[#This Row],[Document ID]],Table1[],10,FALSE)</f>
        <v>Active</v>
      </c>
      <c r="H446" s="44" t="s">
        <v>2338</v>
      </c>
      <c r="I446" s="44" t="s">
        <v>2339</v>
      </c>
      <c r="J446" s="44" t="s">
        <v>2416</v>
      </c>
      <c r="K446" s="44" t="s">
        <v>2788</v>
      </c>
      <c r="L446" s="44" t="s">
        <v>2333</v>
      </c>
      <c r="M446" s="43">
        <v>61</v>
      </c>
      <c r="N446" s="113"/>
      <c r="O446" s="113"/>
      <c r="P446" s="113"/>
      <c r="Q446" s="113"/>
      <c r="R446" s="113"/>
      <c r="S446" s="113" t="s">
        <v>1113</v>
      </c>
      <c r="T446" s="113"/>
      <c r="U446" s="113"/>
      <c r="V446" s="113"/>
      <c r="W446" s="113"/>
      <c r="X446" s="113"/>
      <c r="Y446" s="113"/>
      <c r="Z446" s="113"/>
      <c r="AA446" s="113"/>
      <c r="AB446" s="113"/>
      <c r="AC446" s="113"/>
      <c r="AD446" s="113"/>
      <c r="AE446" s="113"/>
      <c r="AF446" s="113"/>
      <c r="AG446" s="113"/>
      <c r="AH446" s="113"/>
      <c r="AI446" s="113"/>
      <c r="AJ446" s="113"/>
      <c r="AK446" s="113" t="s">
        <v>1113</v>
      </c>
      <c r="AL446" s="113"/>
      <c r="AM446" s="113"/>
      <c r="AN446" s="113"/>
      <c r="AO446" s="44" t="s">
        <v>2334</v>
      </c>
      <c r="AP446" s="43"/>
      <c r="AQ446" s="236" t="str">
        <f>VLOOKUP(Table8[[#This Row],[Instrument]],Def_Targets!$D$73:$E$159,2,FALSE)</f>
        <v>I_Vehiclescrappage</v>
      </c>
      <c r="AR446" s="233" t="str">
        <f>VLOOKUP(Table8[[#This Row],[Country Code]],Table29[],3,FALSE)</f>
        <v>Non-Annex I</v>
      </c>
      <c r="AS446" s="233" t="str">
        <f>VLOOKUP(Table8[[#This Row],[Country Code]],Table29[],4,FALSE)</f>
        <v>Asia</v>
      </c>
      <c r="AT446" s="233" t="str">
        <f>VLOOKUP(Table8[[#This Row],[Country Code]],Table29[],5,FALSE)</f>
        <v>Middle-income</v>
      </c>
      <c r="AU446" s="233" t="str">
        <f>VLOOKUP(Table8[[#This Row],[Country Code]],Table29[],6,FALSE)</f>
        <v>no</v>
      </c>
      <c r="AV446" s="233" t="str">
        <f>VLOOKUP(Table8[[#This Row],[Country Code]],Table29[],7,FALSE)</f>
        <v>no</v>
      </c>
      <c r="AW446" s="233" t="str">
        <f>VLOOKUP(Table8[[#This Row],[Country Code]],Table29[],8,FALSE)</f>
        <v>non-OECD</v>
      </c>
      <c r="AX446" s="233" t="str">
        <f>VLOOKUP(Table8[[#This Row],[Country Code]],Table29[],9,FALSE)</f>
        <v>no</v>
      </c>
      <c r="AY446" s="233" t="str">
        <f>VLOOKUP(Table8[[#This Row],[Country Code]],Table29[],10,FALSE)</f>
        <v>no</v>
      </c>
      <c r="AZ446" s="235">
        <f>VLOOKUP(Table8[[#This Row],[Country Code]],Table29[],23,FALSE)</f>
        <v>3.2548573740653</v>
      </c>
      <c r="BA446" s="235">
        <f>VLOOKUP(Table8[[#This Row],[Country Code]],Table29[],24,FALSE)</f>
        <v>0.43507987337923443</v>
      </c>
      <c r="BB446" s="320"/>
      <c r="BC446" s="320"/>
    </row>
    <row r="447" spans="1:55" s="17" customFormat="1" ht="30" hidden="1" x14ac:dyDescent="0.25">
      <c r="A447" s="373">
        <v>39440</v>
      </c>
      <c r="B447" s="233" t="str">
        <f>VLOOKUP(Table8[[#This Row],[Document ID]],Table1[],2,FALSE)</f>
        <v>BTN</v>
      </c>
      <c r="C447" s="233" t="str">
        <f>VLOOKUP(Table8[[#This Row],[Document ID]],Table1[],3,FALSE)</f>
        <v>Bhutan</v>
      </c>
      <c r="D447" s="243" t="str">
        <f>VLOOKUP(Table8[[#This Row],[Document ID]],Table1[],5,FALSE)</f>
        <v>LTS</v>
      </c>
      <c r="E447" s="233" t="str">
        <f>VLOOKUP(Table8[[#This Row],[Document ID]],Table1[],7,FALSE)</f>
        <v>LTS</v>
      </c>
      <c r="F447" s="233" t="str">
        <f>VLOOKUP(Table8[[#This Row],[Document ID]],Table1[],8,FALSE)</f>
        <v>LTS 1.0</v>
      </c>
      <c r="G447" s="233" t="str">
        <f>VLOOKUP(Table8[[#This Row],[Document ID]],Table1[],10,FALSE)</f>
        <v>Active</v>
      </c>
      <c r="H447" s="43" t="s">
        <v>2343</v>
      </c>
      <c r="I447" s="43" t="s">
        <v>2386</v>
      </c>
      <c r="J447" s="44" t="s">
        <v>2412</v>
      </c>
      <c r="K447" s="44" t="s">
        <v>2789</v>
      </c>
      <c r="L447" s="44" t="s">
        <v>2333</v>
      </c>
      <c r="M447" s="43">
        <v>61</v>
      </c>
      <c r="N447" s="113" t="s">
        <v>1113</v>
      </c>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t="s">
        <v>1113</v>
      </c>
      <c r="AL447" s="113"/>
      <c r="AM447" s="113"/>
      <c r="AN447" s="113"/>
      <c r="AO447" s="44" t="s">
        <v>2334</v>
      </c>
      <c r="AP447" s="43"/>
      <c r="AQ447" s="236" t="str">
        <f>VLOOKUP(Table8[[#This Row],[Instrument]],Def_Targets!$D$73:$E$159,2,FALSE)</f>
        <v>A_Economic</v>
      </c>
      <c r="AR447" s="233" t="str">
        <f>VLOOKUP(Table8[[#This Row],[Country Code]],Table29[],3,FALSE)</f>
        <v>Non-Annex I</v>
      </c>
      <c r="AS447" s="233" t="str">
        <f>VLOOKUP(Table8[[#This Row],[Country Code]],Table29[],4,FALSE)</f>
        <v>Asia</v>
      </c>
      <c r="AT447" s="233" t="str">
        <f>VLOOKUP(Table8[[#This Row],[Country Code]],Table29[],5,FALSE)</f>
        <v>Middle-income</v>
      </c>
      <c r="AU447" s="233" t="str">
        <f>VLOOKUP(Table8[[#This Row],[Country Code]],Table29[],6,FALSE)</f>
        <v>no</v>
      </c>
      <c r="AV447" s="233" t="str">
        <f>VLOOKUP(Table8[[#This Row],[Country Code]],Table29[],7,FALSE)</f>
        <v>no</v>
      </c>
      <c r="AW447" s="233" t="str">
        <f>VLOOKUP(Table8[[#This Row],[Country Code]],Table29[],8,FALSE)</f>
        <v>non-OECD</v>
      </c>
      <c r="AX447" s="233" t="str">
        <f>VLOOKUP(Table8[[#This Row],[Country Code]],Table29[],9,FALSE)</f>
        <v>no</v>
      </c>
      <c r="AY447" s="233" t="str">
        <f>VLOOKUP(Table8[[#This Row],[Country Code]],Table29[],10,FALSE)</f>
        <v>no</v>
      </c>
      <c r="AZ447" s="235">
        <f>VLOOKUP(Table8[[#This Row],[Country Code]],Table29[],23,FALSE)</f>
        <v>3.2548573740653</v>
      </c>
      <c r="BA447" s="235">
        <f>VLOOKUP(Table8[[#This Row],[Country Code]],Table29[],24,FALSE)</f>
        <v>0.43507987337923443</v>
      </c>
      <c r="BB447" s="320"/>
      <c r="BC447" s="320"/>
    </row>
    <row r="448" spans="1:55" s="17" customFormat="1" ht="135" hidden="1" x14ac:dyDescent="0.25">
      <c r="A448" s="373">
        <v>39440</v>
      </c>
      <c r="B448" s="233" t="str">
        <f>VLOOKUP(Table8[[#This Row],[Document ID]],Table1[],2,FALSE)</f>
        <v>BTN</v>
      </c>
      <c r="C448" s="233" t="str">
        <f>VLOOKUP(Table8[[#This Row],[Document ID]],Table1[],3,FALSE)</f>
        <v>Bhutan</v>
      </c>
      <c r="D448" s="243" t="str">
        <f>VLOOKUP(Table8[[#This Row],[Document ID]],Table1[],5,FALSE)</f>
        <v>LTS</v>
      </c>
      <c r="E448" s="233" t="str">
        <f>VLOOKUP(Table8[[#This Row],[Document ID]],Table1[],7,FALSE)</f>
        <v>LTS</v>
      </c>
      <c r="F448" s="233" t="str">
        <f>VLOOKUP(Table8[[#This Row],[Document ID]],Table1[],8,FALSE)</f>
        <v>LTS 1.0</v>
      </c>
      <c r="G448" s="233" t="str">
        <f>VLOOKUP(Table8[[#This Row],[Document ID]],Table1[],10,FALSE)</f>
        <v>Active</v>
      </c>
      <c r="H448" s="44" t="s">
        <v>2329</v>
      </c>
      <c r="I448" s="44" t="s">
        <v>2330</v>
      </c>
      <c r="J448" s="44" t="s">
        <v>2381</v>
      </c>
      <c r="K448" s="44" t="s">
        <v>2790</v>
      </c>
      <c r="L448" s="44" t="s">
        <v>2333</v>
      </c>
      <c r="M448" s="43">
        <v>61</v>
      </c>
      <c r="N448" s="113" t="s">
        <v>1113</v>
      </c>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t="s">
        <v>1113</v>
      </c>
      <c r="AL448" s="113"/>
      <c r="AM448" s="113"/>
      <c r="AN448" s="113"/>
      <c r="AO448" s="44" t="s">
        <v>2334</v>
      </c>
      <c r="AP448" s="43"/>
      <c r="AQ448" s="236" t="str">
        <f>VLOOKUP(Table8[[#This Row],[Instrument]],Def_Targets!$D$73:$E$159,2,FALSE)</f>
        <v>I_RE</v>
      </c>
      <c r="AR448" s="233" t="str">
        <f>VLOOKUP(Table8[[#This Row],[Country Code]],Table29[],3,FALSE)</f>
        <v>Non-Annex I</v>
      </c>
      <c r="AS448" s="233" t="str">
        <f>VLOOKUP(Table8[[#This Row],[Country Code]],Table29[],4,FALSE)</f>
        <v>Asia</v>
      </c>
      <c r="AT448" s="233" t="str">
        <f>VLOOKUP(Table8[[#This Row],[Country Code]],Table29[],5,FALSE)</f>
        <v>Middle-income</v>
      </c>
      <c r="AU448" s="233" t="str">
        <f>VLOOKUP(Table8[[#This Row],[Country Code]],Table29[],6,FALSE)</f>
        <v>no</v>
      </c>
      <c r="AV448" s="233" t="str">
        <f>VLOOKUP(Table8[[#This Row],[Country Code]],Table29[],7,FALSE)</f>
        <v>no</v>
      </c>
      <c r="AW448" s="233" t="str">
        <f>VLOOKUP(Table8[[#This Row],[Country Code]],Table29[],8,FALSE)</f>
        <v>non-OECD</v>
      </c>
      <c r="AX448" s="233" t="str">
        <f>VLOOKUP(Table8[[#This Row],[Country Code]],Table29[],9,FALSE)</f>
        <v>no</v>
      </c>
      <c r="AY448" s="233" t="str">
        <f>VLOOKUP(Table8[[#This Row],[Country Code]],Table29[],10,FALSE)</f>
        <v>no</v>
      </c>
      <c r="AZ448" s="235">
        <f>VLOOKUP(Table8[[#This Row],[Country Code]],Table29[],23,FALSE)</f>
        <v>3.2548573740653</v>
      </c>
      <c r="BA448" s="235">
        <f>VLOOKUP(Table8[[#This Row],[Country Code]],Table29[],24,FALSE)</f>
        <v>0.43507987337923443</v>
      </c>
      <c r="BB448" s="320"/>
      <c r="BC448" s="320"/>
    </row>
    <row r="449" spans="1:55" s="17" customFormat="1" ht="60" hidden="1" x14ac:dyDescent="0.25">
      <c r="A449" s="373">
        <v>39440</v>
      </c>
      <c r="B449" s="233" t="str">
        <f>VLOOKUP(Table8[[#This Row],[Document ID]],Table1[],2,FALSE)</f>
        <v>BTN</v>
      </c>
      <c r="C449" s="233" t="str">
        <f>VLOOKUP(Table8[[#This Row],[Document ID]],Table1[],3,FALSE)</f>
        <v>Bhutan</v>
      </c>
      <c r="D449" s="243" t="str">
        <f>VLOOKUP(Table8[[#This Row],[Document ID]],Table1[],5,FALSE)</f>
        <v>LTS</v>
      </c>
      <c r="E449" s="233" t="str">
        <f>VLOOKUP(Table8[[#This Row],[Document ID]],Table1[],7,FALSE)</f>
        <v>LTS</v>
      </c>
      <c r="F449" s="233" t="str">
        <f>VLOOKUP(Table8[[#This Row],[Document ID]],Table1[],8,FALSE)</f>
        <v>LTS 1.0</v>
      </c>
      <c r="G449" s="233" t="str">
        <f>VLOOKUP(Table8[[#This Row],[Document ID]],Table1[],10,FALSE)</f>
        <v>Active</v>
      </c>
      <c r="H449" s="43" t="s">
        <v>2358</v>
      </c>
      <c r="I449" s="43" t="s">
        <v>2359</v>
      </c>
      <c r="J449" s="44" t="s">
        <v>2360</v>
      </c>
      <c r="K449" s="44" t="s">
        <v>2791</v>
      </c>
      <c r="L449" s="44" t="s">
        <v>2333</v>
      </c>
      <c r="M449" s="43">
        <v>61</v>
      </c>
      <c r="N449" s="113" t="s">
        <v>1113</v>
      </c>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t="s">
        <v>1113</v>
      </c>
      <c r="AL449" s="113"/>
      <c r="AM449" s="113"/>
      <c r="AN449" s="113"/>
      <c r="AO449" s="44" t="s">
        <v>2334</v>
      </c>
      <c r="AP449" s="43"/>
      <c r="AQ449" s="236" t="str">
        <f>VLOOKUP(Table8[[#This Row],[Instrument]],Def_Targets!$D$73:$E$159,2,FALSE)</f>
        <v>I_Emobility</v>
      </c>
      <c r="AR449" s="233" t="str">
        <f>VLOOKUP(Table8[[#This Row],[Country Code]],Table29[],3,FALSE)</f>
        <v>Non-Annex I</v>
      </c>
      <c r="AS449" s="233" t="str">
        <f>VLOOKUP(Table8[[#This Row],[Country Code]],Table29[],4,FALSE)</f>
        <v>Asia</v>
      </c>
      <c r="AT449" s="233" t="str">
        <f>VLOOKUP(Table8[[#This Row],[Country Code]],Table29[],5,FALSE)</f>
        <v>Middle-income</v>
      </c>
      <c r="AU449" s="233" t="str">
        <f>VLOOKUP(Table8[[#This Row],[Country Code]],Table29[],6,FALSE)</f>
        <v>no</v>
      </c>
      <c r="AV449" s="233" t="str">
        <f>VLOOKUP(Table8[[#This Row],[Country Code]],Table29[],7,FALSE)</f>
        <v>no</v>
      </c>
      <c r="AW449" s="233" t="str">
        <f>VLOOKUP(Table8[[#This Row],[Country Code]],Table29[],8,FALSE)</f>
        <v>non-OECD</v>
      </c>
      <c r="AX449" s="233" t="str">
        <f>VLOOKUP(Table8[[#This Row],[Country Code]],Table29[],9,FALSE)</f>
        <v>no</v>
      </c>
      <c r="AY449" s="233" t="str">
        <f>VLOOKUP(Table8[[#This Row],[Country Code]],Table29[],10,FALSE)</f>
        <v>no</v>
      </c>
      <c r="AZ449" s="235">
        <f>VLOOKUP(Table8[[#This Row],[Country Code]],Table29[],23,FALSE)</f>
        <v>3.2548573740653</v>
      </c>
      <c r="BA449" s="235">
        <f>VLOOKUP(Table8[[#This Row],[Country Code]],Table29[],24,FALSE)</f>
        <v>0.43507987337923443</v>
      </c>
      <c r="BB449" s="320"/>
      <c r="BC449" s="320"/>
    </row>
    <row r="450" spans="1:55" s="17" customFormat="1" ht="60" hidden="1" x14ac:dyDescent="0.25">
      <c r="A450" s="373">
        <v>39440</v>
      </c>
      <c r="B450" s="233" t="str">
        <f>VLOOKUP(Table8[[#This Row],[Document ID]],Table1[],2,FALSE)</f>
        <v>BTN</v>
      </c>
      <c r="C450" s="233" t="str">
        <f>VLOOKUP(Table8[[#This Row],[Document ID]],Table1[],3,FALSE)</f>
        <v>Bhutan</v>
      </c>
      <c r="D450" s="243" t="str">
        <f>VLOOKUP(Table8[[#This Row],[Document ID]],Table1[],5,FALSE)</f>
        <v>LTS</v>
      </c>
      <c r="E450" s="233" t="str">
        <f>VLOOKUP(Table8[[#This Row],[Document ID]],Table1[],7,FALSE)</f>
        <v>LTS</v>
      </c>
      <c r="F450" s="233" t="str">
        <f>VLOOKUP(Table8[[#This Row],[Document ID]],Table1[],8,FALSE)</f>
        <v>LTS 1.0</v>
      </c>
      <c r="G450" s="233" t="str">
        <f>VLOOKUP(Table8[[#This Row],[Document ID]],Table1[],10,FALSE)</f>
        <v>Active</v>
      </c>
      <c r="H450" s="44" t="s">
        <v>2329</v>
      </c>
      <c r="I450" s="44" t="s">
        <v>2330</v>
      </c>
      <c r="J450" s="44" t="s">
        <v>2391</v>
      </c>
      <c r="K450" s="44" t="s">
        <v>2791</v>
      </c>
      <c r="L450" s="44" t="s">
        <v>2333</v>
      </c>
      <c r="M450" s="43">
        <v>61</v>
      </c>
      <c r="N450" s="113" t="s">
        <v>1113</v>
      </c>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t="s">
        <v>1113</v>
      </c>
      <c r="AL450" s="113"/>
      <c r="AM450" s="113"/>
      <c r="AN450" s="113"/>
      <c r="AO450" s="44" t="s">
        <v>2334</v>
      </c>
      <c r="AP450" s="43"/>
      <c r="AQ450" s="236" t="str">
        <f>VLOOKUP(Table8[[#This Row],[Instrument]],Def_Targets!$D$73:$E$159,2,FALSE)</f>
        <v>I_Hydrogen</v>
      </c>
      <c r="AR450" s="233" t="str">
        <f>VLOOKUP(Table8[[#This Row],[Country Code]],Table29[],3,FALSE)</f>
        <v>Non-Annex I</v>
      </c>
      <c r="AS450" s="233" t="str">
        <f>VLOOKUP(Table8[[#This Row],[Country Code]],Table29[],4,FALSE)</f>
        <v>Asia</v>
      </c>
      <c r="AT450" s="233" t="str">
        <f>VLOOKUP(Table8[[#This Row],[Country Code]],Table29[],5,FALSE)</f>
        <v>Middle-income</v>
      </c>
      <c r="AU450" s="233" t="str">
        <f>VLOOKUP(Table8[[#This Row],[Country Code]],Table29[],6,FALSE)</f>
        <v>no</v>
      </c>
      <c r="AV450" s="233" t="str">
        <f>VLOOKUP(Table8[[#This Row],[Country Code]],Table29[],7,FALSE)</f>
        <v>no</v>
      </c>
      <c r="AW450" s="233" t="str">
        <f>VLOOKUP(Table8[[#This Row],[Country Code]],Table29[],8,FALSE)</f>
        <v>non-OECD</v>
      </c>
      <c r="AX450" s="233" t="str">
        <f>VLOOKUP(Table8[[#This Row],[Country Code]],Table29[],9,FALSE)</f>
        <v>no</v>
      </c>
      <c r="AY450" s="233" t="str">
        <f>VLOOKUP(Table8[[#This Row],[Country Code]],Table29[],10,FALSE)</f>
        <v>no</v>
      </c>
      <c r="AZ450" s="235">
        <f>VLOOKUP(Table8[[#This Row],[Country Code]],Table29[],23,FALSE)</f>
        <v>3.2548573740653</v>
      </c>
      <c r="BA450" s="235">
        <f>VLOOKUP(Table8[[#This Row],[Country Code]],Table29[],24,FALSE)</f>
        <v>0.43507987337923443</v>
      </c>
      <c r="BB450" s="320"/>
      <c r="BC450" s="320"/>
    </row>
    <row r="451" spans="1:55" s="17" customFormat="1" ht="60" hidden="1" x14ac:dyDescent="0.25">
      <c r="A451" s="373">
        <v>39440</v>
      </c>
      <c r="B451" s="233" t="str">
        <f>VLOOKUP(Table8[[#This Row],[Document ID]],Table1[],2,FALSE)</f>
        <v>BTN</v>
      </c>
      <c r="C451" s="233" t="str">
        <f>VLOOKUP(Table8[[#This Row],[Document ID]],Table1[],3,FALSE)</f>
        <v>Bhutan</v>
      </c>
      <c r="D451" s="243" t="str">
        <f>VLOOKUP(Table8[[#This Row],[Document ID]],Table1[],5,FALSE)</f>
        <v>LTS</v>
      </c>
      <c r="E451" s="233" t="str">
        <f>VLOOKUP(Table8[[#This Row],[Document ID]],Table1[],7,FALSE)</f>
        <v>LTS</v>
      </c>
      <c r="F451" s="233" t="str">
        <f>VLOOKUP(Table8[[#This Row],[Document ID]],Table1[],8,FALSE)</f>
        <v>LTS 1.0</v>
      </c>
      <c r="G451" s="233" t="str">
        <f>VLOOKUP(Table8[[#This Row],[Document ID]],Table1[],10,FALSE)</f>
        <v>Active</v>
      </c>
      <c r="H451" s="44" t="s">
        <v>2338</v>
      </c>
      <c r="I451" s="44" t="s">
        <v>2339</v>
      </c>
      <c r="J451" s="44" t="s">
        <v>2410</v>
      </c>
      <c r="K451" s="44" t="s">
        <v>2791</v>
      </c>
      <c r="L451" s="44" t="s">
        <v>2333</v>
      </c>
      <c r="M451" s="43">
        <v>61</v>
      </c>
      <c r="N451" s="113" t="s">
        <v>1113</v>
      </c>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t="s">
        <v>1113</v>
      </c>
      <c r="AL451" s="113"/>
      <c r="AM451" s="113"/>
      <c r="AN451" s="113"/>
      <c r="AO451" s="44" t="s">
        <v>2334</v>
      </c>
      <c r="AP451" s="43"/>
      <c r="AQ451" s="236" t="str">
        <f>VLOOKUP(Table8[[#This Row],[Instrument]],Def_Targets!$D$73:$E$159,2,FALSE)</f>
        <v>I_VehicleRestrictions</v>
      </c>
      <c r="AR451" s="233" t="str">
        <f>VLOOKUP(Table8[[#This Row],[Country Code]],Table29[],3,FALSE)</f>
        <v>Non-Annex I</v>
      </c>
      <c r="AS451" s="233" t="str">
        <f>VLOOKUP(Table8[[#This Row],[Country Code]],Table29[],4,FALSE)</f>
        <v>Asia</v>
      </c>
      <c r="AT451" s="233" t="str">
        <f>VLOOKUP(Table8[[#This Row],[Country Code]],Table29[],5,FALSE)</f>
        <v>Middle-income</v>
      </c>
      <c r="AU451" s="233" t="str">
        <f>VLOOKUP(Table8[[#This Row],[Country Code]],Table29[],6,FALSE)</f>
        <v>no</v>
      </c>
      <c r="AV451" s="233" t="str">
        <f>VLOOKUP(Table8[[#This Row],[Country Code]],Table29[],7,FALSE)</f>
        <v>no</v>
      </c>
      <c r="AW451" s="233" t="str">
        <f>VLOOKUP(Table8[[#This Row],[Country Code]],Table29[],8,FALSE)</f>
        <v>non-OECD</v>
      </c>
      <c r="AX451" s="233" t="str">
        <f>VLOOKUP(Table8[[#This Row],[Country Code]],Table29[],9,FALSE)</f>
        <v>no</v>
      </c>
      <c r="AY451" s="233" t="str">
        <f>VLOOKUP(Table8[[#This Row],[Country Code]],Table29[],10,FALSE)</f>
        <v>no</v>
      </c>
      <c r="AZ451" s="235">
        <f>VLOOKUP(Table8[[#This Row],[Country Code]],Table29[],23,FALSE)</f>
        <v>3.2548573740653</v>
      </c>
      <c r="BA451" s="235">
        <f>VLOOKUP(Table8[[#This Row],[Country Code]],Table29[],24,FALSE)</f>
        <v>0.43507987337923443</v>
      </c>
      <c r="BB451" s="320"/>
      <c r="BC451" s="320"/>
    </row>
    <row r="452" spans="1:55" s="17" customFormat="1" ht="60" hidden="1" x14ac:dyDescent="0.25">
      <c r="A452" s="373">
        <v>39440</v>
      </c>
      <c r="B452" s="233" t="str">
        <f>VLOOKUP(Table8[[#This Row],[Document ID]],Table1[],2,FALSE)</f>
        <v>BTN</v>
      </c>
      <c r="C452" s="233" t="str">
        <f>VLOOKUP(Table8[[#This Row],[Document ID]],Table1[],3,FALSE)</f>
        <v>Bhutan</v>
      </c>
      <c r="D452" s="243" t="str">
        <f>VLOOKUP(Table8[[#This Row],[Document ID]],Table1[],5,FALSE)</f>
        <v>LTS</v>
      </c>
      <c r="E452" s="233" t="str">
        <f>VLOOKUP(Table8[[#This Row],[Document ID]],Table1[],7,FALSE)</f>
        <v>LTS</v>
      </c>
      <c r="F452" s="233" t="str">
        <f>VLOOKUP(Table8[[#This Row],[Document ID]],Table1[],8,FALSE)</f>
        <v>LTS 1.0</v>
      </c>
      <c r="G452" s="233" t="str">
        <f>VLOOKUP(Table8[[#This Row],[Document ID]],Table1[],10,FALSE)</f>
        <v>Active</v>
      </c>
      <c r="H452" s="43" t="s">
        <v>2358</v>
      </c>
      <c r="I452" s="43" t="s">
        <v>2359</v>
      </c>
      <c r="J452" s="44" t="s">
        <v>2389</v>
      </c>
      <c r="K452" s="44" t="s">
        <v>2792</v>
      </c>
      <c r="L452" s="44" t="s">
        <v>2333</v>
      </c>
      <c r="M452" s="43">
        <v>61</v>
      </c>
      <c r="N452" s="113" t="s">
        <v>1113</v>
      </c>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t="s">
        <v>1113</v>
      </c>
      <c r="AL452" s="113"/>
      <c r="AM452" s="113"/>
      <c r="AN452" s="113"/>
      <c r="AO452" s="44" t="s">
        <v>2334</v>
      </c>
      <c r="AP452" s="43"/>
      <c r="AQ452" s="236" t="str">
        <f>VLOOKUP(Table8[[#This Row],[Instrument]],Def_Targets!$D$73:$E$159,2,FALSE)</f>
        <v>I_Emobilitypurchase</v>
      </c>
      <c r="AR452" s="233" t="str">
        <f>VLOOKUP(Table8[[#This Row],[Country Code]],Table29[],3,FALSE)</f>
        <v>Non-Annex I</v>
      </c>
      <c r="AS452" s="233" t="str">
        <f>VLOOKUP(Table8[[#This Row],[Country Code]],Table29[],4,FALSE)</f>
        <v>Asia</v>
      </c>
      <c r="AT452" s="233" t="str">
        <f>VLOOKUP(Table8[[#This Row],[Country Code]],Table29[],5,FALSE)</f>
        <v>Middle-income</v>
      </c>
      <c r="AU452" s="233" t="str">
        <f>VLOOKUP(Table8[[#This Row],[Country Code]],Table29[],6,FALSE)</f>
        <v>no</v>
      </c>
      <c r="AV452" s="233" t="str">
        <f>VLOOKUP(Table8[[#This Row],[Country Code]],Table29[],7,FALSE)</f>
        <v>no</v>
      </c>
      <c r="AW452" s="233" t="str">
        <f>VLOOKUP(Table8[[#This Row],[Country Code]],Table29[],8,FALSE)</f>
        <v>non-OECD</v>
      </c>
      <c r="AX452" s="233" t="str">
        <f>VLOOKUP(Table8[[#This Row],[Country Code]],Table29[],9,FALSE)</f>
        <v>no</v>
      </c>
      <c r="AY452" s="233" t="str">
        <f>VLOOKUP(Table8[[#This Row],[Country Code]],Table29[],10,FALSE)</f>
        <v>no</v>
      </c>
      <c r="AZ452" s="235">
        <f>VLOOKUP(Table8[[#This Row],[Country Code]],Table29[],23,FALSE)</f>
        <v>3.2548573740653</v>
      </c>
      <c r="BA452" s="235">
        <f>VLOOKUP(Table8[[#This Row],[Country Code]],Table29[],24,FALSE)</f>
        <v>0.43507987337923443</v>
      </c>
      <c r="BB452" s="320"/>
      <c r="BC452" s="320"/>
    </row>
    <row r="453" spans="1:55" s="17" customFormat="1" ht="45" hidden="1" x14ac:dyDescent="0.25">
      <c r="A453" s="373">
        <v>39440</v>
      </c>
      <c r="B453" s="233" t="str">
        <f>VLOOKUP(Table8[[#This Row],[Document ID]],Table1[],2,FALSE)</f>
        <v>BTN</v>
      </c>
      <c r="C453" s="233" t="str">
        <f>VLOOKUP(Table8[[#This Row],[Document ID]],Table1[],3,FALSE)</f>
        <v>Bhutan</v>
      </c>
      <c r="D453" s="243" t="str">
        <f>VLOOKUP(Table8[[#This Row],[Document ID]],Table1[],5,FALSE)</f>
        <v>LTS</v>
      </c>
      <c r="E453" s="233" t="str">
        <f>VLOOKUP(Table8[[#This Row],[Document ID]],Table1[],7,FALSE)</f>
        <v>LTS</v>
      </c>
      <c r="F453" s="233" t="str">
        <f>VLOOKUP(Table8[[#This Row],[Document ID]],Table1[],8,FALSE)</f>
        <v>LTS 1.0</v>
      </c>
      <c r="G453" s="233" t="str">
        <f>VLOOKUP(Table8[[#This Row],[Document ID]],Table1[],10,FALSE)</f>
        <v>Active</v>
      </c>
      <c r="H453" s="44" t="s">
        <v>2338</v>
      </c>
      <c r="I453" s="44" t="s">
        <v>2339</v>
      </c>
      <c r="J453" s="44" t="s">
        <v>2451</v>
      </c>
      <c r="K453" s="44" t="s">
        <v>2793</v>
      </c>
      <c r="L453" s="44" t="s">
        <v>2333</v>
      </c>
      <c r="M453" s="43">
        <v>62</v>
      </c>
      <c r="N453" s="113" t="s">
        <v>1113</v>
      </c>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t="s">
        <v>1113</v>
      </c>
      <c r="AL453" s="113"/>
      <c r="AM453" s="113"/>
      <c r="AN453" s="113"/>
      <c r="AO453" s="44" t="s">
        <v>2334</v>
      </c>
      <c r="AP453" s="43"/>
      <c r="AQ453" s="236" t="str">
        <f>VLOOKUP(Table8[[#This Row],[Instrument]],Def_Targets!$D$73:$E$159,2,FALSE)</f>
        <v>I_Inspection</v>
      </c>
      <c r="AR453" s="233" t="str">
        <f>VLOOKUP(Table8[[#This Row],[Country Code]],Table29[],3,FALSE)</f>
        <v>Non-Annex I</v>
      </c>
      <c r="AS453" s="233" t="str">
        <f>VLOOKUP(Table8[[#This Row],[Country Code]],Table29[],4,FALSE)</f>
        <v>Asia</v>
      </c>
      <c r="AT453" s="233" t="str">
        <f>VLOOKUP(Table8[[#This Row],[Country Code]],Table29[],5,FALSE)</f>
        <v>Middle-income</v>
      </c>
      <c r="AU453" s="233" t="str">
        <f>VLOOKUP(Table8[[#This Row],[Country Code]],Table29[],6,FALSE)</f>
        <v>no</v>
      </c>
      <c r="AV453" s="233" t="str">
        <f>VLOOKUP(Table8[[#This Row],[Country Code]],Table29[],7,FALSE)</f>
        <v>no</v>
      </c>
      <c r="AW453" s="233" t="str">
        <f>VLOOKUP(Table8[[#This Row],[Country Code]],Table29[],8,FALSE)</f>
        <v>non-OECD</v>
      </c>
      <c r="AX453" s="233" t="str">
        <f>VLOOKUP(Table8[[#This Row],[Country Code]],Table29[],9,FALSE)</f>
        <v>no</v>
      </c>
      <c r="AY453" s="233" t="str">
        <f>VLOOKUP(Table8[[#This Row],[Country Code]],Table29[],10,FALSE)</f>
        <v>no</v>
      </c>
      <c r="AZ453" s="235">
        <f>VLOOKUP(Table8[[#This Row],[Country Code]],Table29[],23,FALSE)</f>
        <v>3.2548573740653</v>
      </c>
      <c r="BA453" s="235">
        <f>VLOOKUP(Table8[[#This Row],[Country Code]],Table29[],24,FALSE)</f>
        <v>0.43507987337923443</v>
      </c>
      <c r="BB453" s="320"/>
      <c r="BC453" s="320"/>
    </row>
    <row r="454" spans="1:55" s="17" customFormat="1" ht="165" hidden="1" x14ac:dyDescent="0.25">
      <c r="A454" s="373">
        <v>39440</v>
      </c>
      <c r="B454" s="233" t="str">
        <f>VLOOKUP(Table8[[#This Row],[Document ID]],Table1[],2,FALSE)</f>
        <v>BTN</v>
      </c>
      <c r="C454" s="233" t="str">
        <f>VLOOKUP(Table8[[#This Row],[Document ID]],Table1[],3,FALSE)</f>
        <v>Bhutan</v>
      </c>
      <c r="D454" s="243" t="str">
        <f>VLOOKUP(Table8[[#This Row],[Document ID]],Table1[],5,FALSE)</f>
        <v>LTS</v>
      </c>
      <c r="E454" s="233" t="str">
        <f>VLOOKUP(Table8[[#This Row],[Document ID]],Table1[],7,FALSE)</f>
        <v>LTS</v>
      </c>
      <c r="F454" s="233" t="str">
        <f>VLOOKUP(Table8[[#This Row],[Document ID]],Table1[],8,FALSE)</f>
        <v>LTS 1.0</v>
      </c>
      <c r="G454" s="233" t="str">
        <f>VLOOKUP(Table8[[#This Row],[Document ID]],Table1[],10,FALSE)</f>
        <v>Active</v>
      </c>
      <c r="H454" s="43" t="s">
        <v>2343</v>
      </c>
      <c r="I454" s="43" t="s">
        <v>2361</v>
      </c>
      <c r="J454" s="44" t="s">
        <v>2366</v>
      </c>
      <c r="K454" s="44" t="s">
        <v>2794</v>
      </c>
      <c r="L454" s="44" t="s">
        <v>2347</v>
      </c>
      <c r="M454" s="43">
        <v>63</v>
      </c>
      <c r="N454" s="113"/>
      <c r="O454" s="113"/>
      <c r="P454" s="113" t="s">
        <v>1113</v>
      </c>
      <c r="Q454" s="113" t="s">
        <v>1113</v>
      </c>
      <c r="R454" s="113" t="s">
        <v>1113</v>
      </c>
      <c r="S454" s="113"/>
      <c r="T454" s="113"/>
      <c r="U454" s="113"/>
      <c r="V454" s="113"/>
      <c r="W454" s="113"/>
      <c r="X454" s="113"/>
      <c r="Y454" s="113"/>
      <c r="Z454" s="113"/>
      <c r="AA454" s="113"/>
      <c r="AB454" s="113"/>
      <c r="AC454" s="113"/>
      <c r="AD454" s="113"/>
      <c r="AE454" s="113"/>
      <c r="AF454" s="113"/>
      <c r="AG454" s="113"/>
      <c r="AH454" s="113"/>
      <c r="AI454" s="113"/>
      <c r="AJ454" s="113"/>
      <c r="AK454" s="113" t="s">
        <v>1113</v>
      </c>
      <c r="AL454" s="113"/>
      <c r="AM454" s="113"/>
      <c r="AN454" s="113"/>
      <c r="AO454" s="44" t="s">
        <v>2334</v>
      </c>
      <c r="AP454" s="43"/>
      <c r="AQ454" s="236" t="str">
        <f>VLOOKUP(Table8[[#This Row],[Instrument]],Def_Targets!$D$73:$E$159,2,FALSE)</f>
        <v>S_Activemobility</v>
      </c>
      <c r="AR454" s="233" t="str">
        <f>VLOOKUP(Table8[[#This Row],[Country Code]],Table29[],3,FALSE)</f>
        <v>Non-Annex I</v>
      </c>
      <c r="AS454" s="233" t="str">
        <f>VLOOKUP(Table8[[#This Row],[Country Code]],Table29[],4,FALSE)</f>
        <v>Asia</v>
      </c>
      <c r="AT454" s="233" t="str">
        <f>VLOOKUP(Table8[[#This Row],[Country Code]],Table29[],5,FALSE)</f>
        <v>Middle-income</v>
      </c>
      <c r="AU454" s="233" t="str">
        <f>VLOOKUP(Table8[[#This Row],[Country Code]],Table29[],6,FALSE)</f>
        <v>no</v>
      </c>
      <c r="AV454" s="233" t="str">
        <f>VLOOKUP(Table8[[#This Row],[Country Code]],Table29[],7,FALSE)</f>
        <v>no</v>
      </c>
      <c r="AW454" s="233" t="str">
        <f>VLOOKUP(Table8[[#This Row],[Country Code]],Table29[],8,FALSE)</f>
        <v>non-OECD</v>
      </c>
      <c r="AX454" s="233" t="str">
        <f>VLOOKUP(Table8[[#This Row],[Country Code]],Table29[],9,FALSE)</f>
        <v>no</v>
      </c>
      <c r="AY454" s="233" t="str">
        <f>VLOOKUP(Table8[[#This Row],[Country Code]],Table29[],10,FALSE)</f>
        <v>no</v>
      </c>
      <c r="AZ454" s="235">
        <f>VLOOKUP(Table8[[#This Row],[Country Code]],Table29[],23,FALSE)</f>
        <v>3.2548573740653</v>
      </c>
      <c r="BA454" s="235">
        <f>VLOOKUP(Table8[[#This Row],[Country Code]],Table29[],24,FALSE)</f>
        <v>0.43507987337923443</v>
      </c>
      <c r="BB454" s="320"/>
      <c r="BC454" s="320"/>
    </row>
    <row r="455" spans="1:55" s="17" customFormat="1" ht="45" hidden="1" x14ac:dyDescent="0.25">
      <c r="A455" s="373">
        <v>39440</v>
      </c>
      <c r="B455" s="233" t="str">
        <f>VLOOKUP(Table8[[#This Row],[Document ID]],Table1[],2,FALSE)</f>
        <v>BTN</v>
      </c>
      <c r="C455" s="233" t="str">
        <f>VLOOKUP(Table8[[#This Row],[Document ID]],Table1[],3,FALSE)</f>
        <v>Bhutan</v>
      </c>
      <c r="D455" s="243" t="str">
        <f>VLOOKUP(Table8[[#This Row],[Document ID]],Table1[],5,FALSE)</f>
        <v>LTS</v>
      </c>
      <c r="E455" s="233" t="str">
        <f>VLOOKUP(Table8[[#This Row],[Document ID]],Table1[],7,FALSE)</f>
        <v>LTS</v>
      </c>
      <c r="F455" s="233" t="str">
        <f>VLOOKUP(Table8[[#This Row],[Document ID]],Table1[],8,FALSE)</f>
        <v>LTS 1.0</v>
      </c>
      <c r="G455" s="233" t="str">
        <f>VLOOKUP(Table8[[#This Row],[Document ID]],Table1[],10,FALSE)</f>
        <v>Active</v>
      </c>
      <c r="H455" s="43" t="s">
        <v>2350</v>
      </c>
      <c r="I455" s="43" t="s">
        <v>2456</v>
      </c>
      <c r="J455" s="44" t="s">
        <v>2466</v>
      </c>
      <c r="K455" s="44" t="s">
        <v>2795</v>
      </c>
      <c r="L455" s="44" t="s">
        <v>2347</v>
      </c>
      <c r="M455" s="43">
        <v>63</v>
      </c>
      <c r="N455" s="113"/>
      <c r="O455" s="113"/>
      <c r="P455" s="113"/>
      <c r="Q455" s="113" t="s">
        <v>1113</v>
      </c>
      <c r="R455" s="113" t="s">
        <v>1113</v>
      </c>
      <c r="S455" s="113"/>
      <c r="T455" s="113"/>
      <c r="U455" s="113"/>
      <c r="V455" s="113"/>
      <c r="W455" s="113"/>
      <c r="X455" s="113"/>
      <c r="Y455" s="113"/>
      <c r="Z455" s="113"/>
      <c r="AA455" s="113"/>
      <c r="AB455" s="113"/>
      <c r="AC455" s="113"/>
      <c r="AD455" s="113"/>
      <c r="AE455" s="113"/>
      <c r="AF455" s="113"/>
      <c r="AG455" s="113"/>
      <c r="AH455" s="113"/>
      <c r="AI455" s="113"/>
      <c r="AJ455" s="113"/>
      <c r="AK455" s="113" t="s">
        <v>1113</v>
      </c>
      <c r="AL455" s="113"/>
      <c r="AM455" s="113"/>
      <c r="AN455" s="113"/>
      <c r="AO455" s="44" t="s">
        <v>2334</v>
      </c>
      <c r="AP455" s="43"/>
      <c r="AQ455" s="236" t="str">
        <f>VLOOKUP(Table8[[#This Row],[Instrument]],Def_Targets!$D$73:$E$159,2,FALSE)</f>
        <v>S_Infraexpansion</v>
      </c>
      <c r="AR455" s="233" t="str">
        <f>VLOOKUP(Table8[[#This Row],[Country Code]],Table29[],3,FALSE)</f>
        <v>Non-Annex I</v>
      </c>
      <c r="AS455" s="233" t="str">
        <f>VLOOKUP(Table8[[#This Row],[Country Code]],Table29[],4,FALSE)</f>
        <v>Asia</v>
      </c>
      <c r="AT455" s="233" t="str">
        <f>VLOOKUP(Table8[[#This Row],[Country Code]],Table29[],5,FALSE)</f>
        <v>Middle-income</v>
      </c>
      <c r="AU455" s="233" t="str">
        <f>VLOOKUP(Table8[[#This Row],[Country Code]],Table29[],6,FALSE)</f>
        <v>no</v>
      </c>
      <c r="AV455" s="233" t="str">
        <f>VLOOKUP(Table8[[#This Row],[Country Code]],Table29[],7,FALSE)</f>
        <v>no</v>
      </c>
      <c r="AW455" s="233" t="str">
        <f>VLOOKUP(Table8[[#This Row],[Country Code]],Table29[],8,FALSE)</f>
        <v>non-OECD</v>
      </c>
      <c r="AX455" s="233" t="str">
        <f>VLOOKUP(Table8[[#This Row],[Country Code]],Table29[],9,FALSE)</f>
        <v>no</v>
      </c>
      <c r="AY455" s="233" t="str">
        <f>VLOOKUP(Table8[[#This Row],[Country Code]],Table29[],10,FALSE)</f>
        <v>no</v>
      </c>
      <c r="AZ455" s="235">
        <f>VLOOKUP(Table8[[#This Row],[Country Code]],Table29[],23,FALSE)</f>
        <v>3.2548573740653</v>
      </c>
      <c r="BA455" s="235">
        <f>VLOOKUP(Table8[[#This Row],[Country Code]],Table29[],24,FALSE)</f>
        <v>0.43507987337923443</v>
      </c>
      <c r="BB455" s="320"/>
      <c r="BC455" s="320"/>
    </row>
    <row r="456" spans="1:55" s="17" customFormat="1" hidden="1" x14ac:dyDescent="0.25">
      <c r="A456" s="373">
        <v>39440</v>
      </c>
      <c r="B456" s="233" t="str">
        <f>VLOOKUP(Table8[[#This Row],[Document ID]],Table1[],2,FALSE)</f>
        <v>BTN</v>
      </c>
      <c r="C456" s="233" t="str">
        <f>VLOOKUP(Table8[[#This Row],[Document ID]],Table1[],3,FALSE)</f>
        <v>Bhutan</v>
      </c>
      <c r="D456" s="243" t="str">
        <f>VLOOKUP(Table8[[#This Row],[Document ID]],Table1[],5,FALSE)</f>
        <v>LTS</v>
      </c>
      <c r="E456" s="233" t="str">
        <f>VLOOKUP(Table8[[#This Row],[Document ID]],Table1[],7,FALSE)</f>
        <v>LTS</v>
      </c>
      <c r="F456" s="233" t="str">
        <f>VLOOKUP(Table8[[#This Row],[Document ID]],Table1[],8,FALSE)</f>
        <v>LTS 1.0</v>
      </c>
      <c r="G456" s="233" t="str">
        <f>VLOOKUP(Table8[[#This Row],[Document ID]],Table1[],10,FALSE)</f>
        <v>Active</v>
      </c>
      <c r="H456" s="43" t="s">
        <v>2343</v>
      </c>
      <c r="I456" s="43" t="s">
        <v>2386</v>
      </c>
      <c r="J456" s="44" t="s">
        <v>2412</v>
      </c>
      <c r="K456" s="44" t="s">
        <v>2796</v>
      </c>
      <c r="L456" s="44" t="s">
        <v>2347</v>
      </c>
      <c r="M456" s="43">
        <v>63</v>
      </c>
      <c r="N456" s="113"/>
      <c r="O456" s="113"/>
      <c r="P456" s="113"/>
      <c r="Q456" s="113"/>
      <c r="R456" s="113" t="s">
        <v>1113</v>
      </c>
      <c r="S456" s="113"/>
      <c r="T456" s="113"/>
      <c r="U456" s="113"/>
      <c r="V456" s="113"/>
      <c r="W456" s="113"/>
      <c r="X456" s="113"/>
      <c r="Y456" s="113"/>
      <c r="Z456" s="113"/>
      <c r="AA456" s="113"/>
      <c r="AB456" s="113"/>
      <c r="AC456" s="113"/>
      <c r="AD456" s="113"/>
      <c r="AE456" s="113"/>
      <c r="AF456" s="113"/>
      <c r="AG456" s="113"/>
      <c r="AH456" s="113"/>
      <c r="AI456" s="113"/>
      <c r="AJ456" s="113"/>
      <c r="AK456" s="113" t="s">
        <v>1113</v>
      </c>
      <c r="AL456" s="113"/>
      <c r="AM456" s="113"/>
      <c r="AN456" s="113"/>
      <c r="AO456" s="44" t="s">
        <v>2334</v>
      </c>
      <c r="AP456" s="43"/>
      <c r="AQ456" s="236" t="str">
        <f>VLOOKUP(Table8[[#This Row],[Instrument]],Def_Targets!$D$73:$E$159,2,FALSE)</f>
        <v>A_Economic</v>
      </c>
      <c r="AR456" s="233" t="str">
        <f>VLOOKUP(Table8[[#This Row],[Country Code]],Table29[],3,FALSE)</f>
        <v>Non-Annex I</v>
      </c>
      <c r="AS456" s="233" t="str">
        <f>VLOOKUP(Table8[[#This Row],[Country Code]],Table29[],4,FALSE)</f>
        <v>Asia</v>
      </c>
      <c r="AT456" s="233" t="str">
        <f>VLOOKUP(Table8[[#This Row],[Country Code]],Table29[],5,FALSE)</f>
        <v>Middle-income</v>
      </c>
      <c r="AU456" s="233" t="str">
        <f>VLOOKUP(Table8[[#This Row],[Country Code]],Table29[],6,FALSE)</f>
        <v>no</v>
      </c>
      <c r="AV456" s="233" t="str">
        <f>VLOOKUP(Table8[[#This Row],[Country Code]],Table29[],7,FALSE)</f>
        <v>no</v>
      </c>
      <c r="AW456" s="233" t="str">
        <f>VLOOKUP(Table8[[#This Row],[Country Code]],Table29[],8,FALSE)</f>
        <v>non-OECD</v>
      </c>
      <c r="AX456" s="233" t="str">
        <f>VLOOKUP(Table8[[#This Row],[Country Code]],Table29[],9,FALSE)</f>
        <v>no</v>
      </c>
      <c r="AY456" s="233" t="str">
        <f>VLOOKUP(Table8[[#This Row],[Country Code]],Table29[],10,FALSE)</f>
        <v>no</v>
      </c>
      <c r="AZ456" s="235">
        <f>VLOOKUP(Table8[[#This Row],[Country Code]],Table29[],23,FALSE)</f>
        <v>3.2548573740653</v>
      </c>
      <c r="BA456" s="235">
        <f>VLOOKUP(Table8[[#This Row],[Country Code]],Table29[],24,FALSE)</f>
        <v>0.43507987337923443</v>
      </c>
      <c r="BB456" s="320"/>
      <c r="BC456" s="320"/>
    </row>
    <row r="457" spans="1:55" s="17" customFormat="1" ht="105" hidden="1" x14ac:dyDescent="0.25">
      <c r="A457" s="373">
        <v>39440</v>
      </c>
      <c r="B457" s="233" t="str">
        <f>VLOOKUP(Table8[[#This Row],[Document ID]],Table1[],2,FALSE)</f>
        <v>BTN</v>
      </c>
      <c r="C457" s="233" t="str">
        <f>VLOOKUP(Table8[[#This Row],[Document ID]],Table1[],3,FALSE)</f>
        <v>Bhutan</v>
      </c>
      <c r="D457" s="243" t="str">
        <f>VLOOKUP(Table8[[#This Row],[Document ID]],Table1[],5,FALSE)</f>
        <v>LTS</v>
      </c>
      <c r="E457" s="233" t="str">
        <f>VLOOKUP(Table8[[#This Row],[Document ID]],Table1[],7,FALSE)</f>
        <v>LTS</v>
      </c>
      <c r="F457" s="233" t="str">
        <f>VLOOKUP(Table8[[#This Row],[Document ID]],Table1[],8,FALSE)</f>
        <v>LTS 1.0</v>
      </c>
      <c r="G457" s="233" t="str">
        <f>VLOOKUP(Table8[[#This Row],[Document ID]],Table1[],10,FALSE)</f>
        <v>Active</v>
      </c>
      <c r="H457" s="43" t="s">
        <v>2343</v>
      </c>
      <c r="I457" s="43" t="s">
        <v>2361</v>
      </c>
      <c r="J457" s="44" t="s">
        <v>2362</v>
      </c>
      <c r="K457" s="44" t="s">
        <v>2797</v>
      </c>
      <c r="L457" s="44" t="s">
        <v>2347</v>
      </c>
      <c r="M457" s="43">
        <v>63</v>
      </c>
      <c r="N457" s="113"/>
      <c r="O457" s="113"/>
      <c r="P457" s="113"/>
      <c r="Q457" s="113"/>
      <c r="R457" s="113" t="s">
        <v>1113</v>
      </c>
      <c r="S457" s="113"/>
      <c r="T457" s="113"/>
      <c r="U457" s="113"/>
      <c r="V457" s="113"/>
      <c r="W457" s="113"/>
      <c r="X457" s="113"/>
      <c r="Y457" s="113"/>
      <c r="Z457" s="113"/>
      <c r="AA457" s="113"/>
      <c r="AB457" s="113"/>
      <c r="AC457" s="113"/>
      <c r="AD457" s="113"/>
      <c r="AE457" s="113"/>
      <c r="AF457" s="113"/>
      <c r="AG457" s="113"/>
      <c r="AH457" s="113"/>
      <c r="AI457" s="113"/>
      <c r="AJ457" s="113"/>
      <c r="AK457" s="113" t="s">
        <v>1113</v>
      </c>
      <c r="AL457" s="113"/>
      <c r="AM457" s="113"/>
      <c r="AN457" s="113"/>
      <c r="AO457" s="43" t="s">
        <v>2348</v>
      </c>
      <c r="AP457" s="43"/>
      <c r="AQ457" s="236" t="str">
        <f>VLOOKUP(Table8[[#This Row],[Instrument]],Def_Targets!$D$73:$E$159,2,FALSE)</f>
        <v>S_Cycling</v>
      </c>
      <c r="AR457" s="233" t="str">
        <f>VLOOKUP(Table8[[#This Row],[Country Code]],Table29[],3,FALSE)</f>
        <v>Non-Annex I</v>
      </c>
      <c r="AS457" s="233" t="str">
        <f>VLOOKUP(Table8[[#This Row],[Country Code]],Table29[],4,FALSE)</f>
        <v>Asia</v>
      </c>
      <c r="AT457" s="233" t="str">
        <f>VLOOKUP(Table8[[#This Row],[Country Code]],Table29[],5,FALSE)</f>
        <v>Middle-income</v>
      </c>
      <c r="AU457" s="233" t="str">
        <f>VLOOKUP(Table8[[#This Row],[Country Code]],Table29[],6,FALSE)</f>
        <v>no</v>
      </c>
      <c r="AV457" s="233" t="str">
        <f>VLOOKUP(Table8[[#This Row],[Country Code]],Table29[],7,FALSE)</f>
        <v>no</v>
      </c>
      <c r="AW457" s="233" t="str">
        <f>VLOOKUP(Table8[[#This Row],[Country Code]],Table29[],8,FALSE)</f>
        <v>non-OECD</v>
      </c>
      <c r="AX457" s="233" t="str">
        <f>VLOOKUP(Table8[[#This Row],[Country Code]],Table29[],9,FALSE)</f>
        <v>no</v>
      </c>
      <c r="AY457" s="233" t="str">
        <f>VLOOKUP(Table8[[#This Row],[Country Code]],Table29[],10,FALSE)</f>
        <v>no</v>
      </c>
      <c r="AZ457" s="235">
        <f>VLOOKUP(Table8[[#This Row],[Country Code]],Table29[],23,FALSE)</f>
        <v>3.2548573740653</v>
      </c>
      <c r="BA457" s="235">
        <f>VLOOKUP(Table8[[#This Row],[Country Code]],Table29[],24,FALSE)</f>
        <v>0.43507987337923443</v>
      </c>
      <c r="BB457" s="320"/>
      <c r="BC457" s="320"/>
    </row>
    <row r="458" spans="1:55" s="17" customFormat="1" ht="195" hidden="1" x14ac:dyDescent="0.25">
      <c r="A458" s="373">
        <v>39440</v>
      </c>
      <c r="B458" s="233" t="str">
        <f>VLOOKUP(Table8[[#This Row],[Document ID]],Table1[],2,FALSE)</f>
        <v>BTN</v>
      </c>
      <c r="C458" s="233" t="str">
        <f>VLOOKUP(Table8[[#This Row],[Document ID]],Table1[],3,FALSE)</f>
        <v>Bhutan</v>
      </c>
      <c r="D458" s="243" t="str">
        <f>VLOOKUP(Table8[[#This Row],[Document ID]],Table1[],5,FALSE)</f>
        <v>LTS</v>
      </c>
      <c r="E458" s="233" t="str">
        <f>VLOOKUP(Table8[[#This Row],[Document ID]],Table1[],7,FALSE)</f>
        <v>LTS</v>
      </c>
      <c r="F458" s="233" t="str">
        <f>VLOOKUP(Table8[[#This Row],[Document ID]],Table1[],8,FALSE)</f>
        <v>LTS 1.0</v>
      </c>
      <c r="G458" s="233" t="str">
        <f>VLOOKUP(Table8[[#This Row],[Document ID]],Table1[],10,FALSE)</f>
        <v>Active</v>
      </c>
      <c r="H458" s="43" t="s">
        <v>2343</v>
      </c>
      <c r="I458" s="43" t="s">
        <v>2429</v>
      </c>
      <c r="J458" s="44" t="s">
        <v>2513</v>
      </c>
      <c r="K458" s="44" t="s">
        <v>2798</v>
      </c>
      <c r="L458" s="44" t="s">
        <v>2347</v>
      </c>
      <c r="M458" s="43">
        <v>63</v>
      </c>
      <c r="N458" s="113"/>
      <c r="O458" s="113"/>
      <c r="P458" s="113"/>
      <c r="Q458" s="113"/>
      <c r="R458" s="113"/>
      <c r="S458" s="113" t="s">
        <v>1113</v>
      </c>
      <c r="T458" s="113"/>
      <c r="U458" s="113"/>
      <c r="V458" s="113"/>
      <c r="W458" s="113" t="s">
        <v>1113</v>
      </c>
      <c r="X458" s="113"/>
      <c r="Y458" s="113"/>
      <c r="Z458" s="113"/>
      <c r="AA458" s="113"/>
      <c r="AB458" s="113"/>
      <c r="AC458" s="113"/>
      <c r="AD458" s="113"/>
      <c r="AE458" s="113"/>
      <c r="AF458" s="113"/>
      <c r="AG458" s="113"/>
      <c r="AH458" s="113"/>
      <c r="AI458" s="113"/>
      <c r="AJ458" s="113"/>
      <c r="AK458" s="113" t="s">
        <v>1113</v>
      </c>
      <c r="AL458" s="113"/>
      <c r="AM458" s="113"/>
      <c r="AN458" s="113"/>
      <c r="AO458" s="43" t="s">
        <v>2477</v>
      </c>
      <c r="AP458" s="43"/>
      <c r="AQ458" s="236" t="str">
        <f>VLOOKUP(Table8[[#This Row],[Instrument]],Def_Targets!$D$73:$E$159,2,FALSE)</f>
        <v>S_Sharedmob</v>
      </c>
      <c r="AR458" s="233" t="str">
        <f>VLOOKUP(Table8[[#This Row],[Country Code]],Table29[],3,FALSE)</f>
        <v>Non-Annex I</v>
      </c>
      <c r="AS458" s="233" t="str">
        <f>VLOOKUP(Table8[[#This Row],[Country Code]],Table29[],4,FALSE)</f>
        <v>Asia</v>
      </c>
      <c r="AT458" s="233" t="str">
        <f>VLOOKUP(Table8[[#This Row],[Country Code]],Table29[],5,FALSE)</f>
        <v>Middle-income</v>
      </c>
      <c r="AU458" s="233" t="str">
        <f>VLOOKUP(Table8[[#This Row],[Country Code]],Table29[],6,FALSE)</f>
        <v>no</v>
      </c>
      <c r="AV458" s="233" t="str">
        <f>VLOOKUP(Table8[[#This Row],[Country Code]],Table29[],7,FALSE)</f>
        <v>no</v>
      </c>
      <c r="AW458" s="233" t="str">
        <f>VLOOKUP(Table8[[#This Row],[Country Code]],Table29[],8,FALSE)</f>
        <v>non-OECD</v>
      </c>
      <c r="AX458" s="233" t="str">
        <f>VLOOKUP(Table8[[#This Row],[Country Code]],Table29[],9,FALSE)</f>
        <v>no</v>
      </c>
      <c r="AY458" s="233" t="str">
        <f>VLOOKUP(Table8[[#This Row],[Country Code]],Table29[],10,FALSE)</f>
        <v>no</v>
      </c>
      <c r="AZ458" s="235">
        <f>VLOOKUP(Table8[[#This Row],[Country Code]],Table29[],23,FALSE)</f>
        <v>3.2548573740653</v>
      </c>
      <c r="BA458" s="235">
        <f>VLOOKUP(Table8[[#This Row],[Country Code]],Table29[],24,FALSE)</f>
        <v>0.43507987337923443</v>
      </c>
      <c r="BB458" s="320"/>
      <c r="BC458" s="320"/>
    </row>
    <row r="459" spans="1:55" s="17" customFormat="1" ht="45" hidden="1" x14ac:dyDescent="0.25">
      <c r="A459" s="373">
        <v>39440</v>
      </c>
      <c r="B459" s="233" t="str">
        <f>VLOOKUP(Table8[[#This Row],[Document ID]],Table1[],2,FALSE)</f>
        <v>BTN</v>
      </c>
      <c r="C459" s="233" t="str">
        <f>VLOOKUP(Table8[[#This Row],[Document ID]],Table1[],3,FALSE)</f>
        <v>Bhutan</v>
      </c>
      <c r="D459" s="243" t="str">
        <f>VLOOKUP(Table8[[#This Row],[Document ID]],Table1[],5,FALSE)</f>
        <v>LTS</v>
      </c>
      <c r="E459" s="233" t="str">
        <f>VLOOKUP(Table8[[#This Row],[Document ID]],Table1[],7,FALSE)</f>
        <v>LTS</v>
      </c>
      <c r="F459" s="233" t="str">
        <f>VLOOKUP(Table8[[#This Row],[Document ID]],Table1[],8,FALSE)</f>
        <v>LTS 1.0</v>
      </c>
      <c r="G459" s="233" t="str">
        <f>VLOOKUP(Table8[[#This Row],[Document ID]],Table1[],10,FALSE)</f>
        <v>Active</v>
      </c>
      <c r="H459" s="43" t="s">
        <v>2350</v>
      </c>
      <c r="I459" s="43" t="s">
        <v>2370</v>
      </c>
      <c r="J459" s="44" t="s">
        <v>2418</v>
      </c>
      <c r="K459" s="44" t="s">
        <v>2799</v>
      </c>
      <c r="L459" s="44" t="s">
        <v>2380</v>
      </c>
      <c r="M459" s="43">
        <v>65</v>
      </c>
      <c r="N459" s="113"/>
      <c r="O459" s="113"/>
      <c r="P459" s="113"/>
      <c r="Q459" s="113"/>
      <c r="R459" s="113"/>
      <c r="S459" s="113" t="s">
        <v>1113</v>
      </c>
      <c r="T459" s="113"/>
      <c r="U459" s="113"/>
      <c r="V459" s="113"/>
      <c r="W459" s="113"/>
      <c r="X459" s="113"/>
      <c r="Y459" s="113"/>
      <c r="Z459" s="113"/>
      <c r="AA459" s="113"/>
      <c r="AB459" s="113"/>
      <c r="AC459" s="113"/>
      <c r="AD459" s="113"/>
      <c r="AE459" s="113"/>
      <c r="AF459" s="113"/>
      <c r="AG459" s="113"/>
      <c r="AH459" s="113"/>
      <c r="AI459" s="113"/>
      <c r="AJ459" s="113"/>
      <c r="AK459" s="113"/>
      <c r="AL459" s="113" t="s">
        <v>1113</v>
      </c>
      <c r="AM459" s="113"/>
      <c r="AN459" s="113"/>
      <c r="AO459" s="44" t="s">
        <v>2334</v>
      </c>
      <c r="AP459" s="43"/>
      <c r="AQ459" s="236" t="str">
        <f>VLOOKUP(Table8[[#This Row],[Instrument]],Def_Targets!$D$73:$E$159,2,FALSE)</f>
        <v>A_Complan</v>
      </c>
      <c r="AR459" s="233" t="str">
        <f>VLOOKUP(Table8[[#This Row],[Country Code]],Table29[],3,FALSE)</f>
        <v>Non-Annex I</v>
      </c>
      <c r="AS459" s="233" t="str">
        <f>VLOOKUP(Table8[[#This Row],[Country Code]],Table29[],4,FALSE)</f>
        <v>Asia</v>
      </c>
      <c r="AT459" s="233" t="str">
        <f>VLOOKUP(Table8[[#This Row],[Country Code]],Table29[],5,FALSE)</f>
        <v>Middle-income</v>
      </c>
      <c r="AU459" s="233" t="str">
        <f>VLOOKUP(Table8[[#This Row],[Country Code]],Table29[],6,FALSE)</f>
        <v>no</v>
      </c>
      <c r="AV459" s="233" t="str">
        <f>VLOOKUP(Table8[[#This Row],[Country Code]],Table29[],7,FALSE)</f>
        <v>no</v>
      </c>
      <c r="AW459" s="233" t="str">
        <f>VLOOKUP(Table8[[#This Row],[Country Code]],Table29[],8,FALSE)</f>
        <v>non-OECD</v>
      </c>
      <c r="AX459" s="233" t="str">
        <f>VLOOKUP(Table8[[#This Row],[Country Code]],Table29[],9,FALSE)</f>
        <v>no</v>
      </c>
      <c r="AY459" s="233" t="str">
        <f>VLOOKUP(Table8[[#This Row],[Country Code]],Table29[],10,FALSE)</f>
        <v>no</v>
      </c>
      <c r="AZ459" s="235">
        <f>VLOOKUP(Table8[[#This Row],[Country Code]],Table29[],23,FALSE)</f>
        <v>3.2548573740653</v>
      </c>
      <c r="BA459" s="235">
        <f>VLOOKUP(Table8[[#This Row],[Country Code]],Table29[],24,FALSE)</f>
        <v>0.43507987337923443</v>
      </c>
      <c r="BB459" s="320"/>
      <c r="BC459" s="320"/>
    </row>
    <row r="460" spans="1:55" s="17" customFormat="1" ht="165" hidden="1" x14ac:dyDescent="0.25">
      <c r="A460" s="373">
        <v>39440</v>
      </c>
      <c r="B460" s="233" t="str">
        <f>VLOOKUP(Table8[[#This Row],[Document ID]],Table1[],2,FALSE)</f>
        <v>BTN</v>
      </c>
      <c r="C460" s="233" t="str">
        <f>VLOOKUP(Table8[[#This Row],[Document ID]],Table1[],3,FALSE)</f>
        <v>Bhutan</v>
      </c>
      <c r="D460" s="243" t="str">
        <f>VLOOKUP(Table8[[#This Row],[Document ID]],Table1[],5,FALSE)</f>
        <v>LTS</v>
      </c>
      <c r="E460" s="233" t="str">
        <f>VLOOKUP(Table8[[#This Row],[Document ID]],Table1[],7,FALSE)</f>
        <v>LTS</v>
      </c>
      <c r="F460" s="233" t="str">
        <f>VLOOKUP(Table8[[#This Row],[Document ID]],Table1[],8,FALSE)</f>
        <v>LTS 1.0</v>
      </c>
      <c r="G460" s="233" t="str">
        <f>VLOOKUP(Table8[[#This Row],[Document ID]],Table1[],10,FALSE)</f>
        <v>Active</v>
      </c>
      <c r="H460" s="44" t="s">
        <v>2338</v>
      </c>
      <c r="I460" s="44" t="s">
        <v>2339</v>
      </c>
      <c r="J460" s="44" t="s">
        <v>2410</v>
      </c>
      <c r="K460" s="44" t="s">
        <v>2800</v>
      </c>
      <c r="L460" s="44" t="s">
        <v>2380</v>
      </c>
      <c r="M460" s="43" t="s">
        <v>2801</v>
      </c>
      <c r="N460" s="113"/>
      <c r="O460" s="113"/>
      <c r="P460" s="113" t="s">
        <v>1113</v>
      </c>
      <c r="Q460" s="113"/>
      <c r="R460" s="113"/>
      <c r="S460" s="113" t="s">
        <v>1113</v>
      </c>
      <c r="T460" s="113"/>
      <c r="U460" s="113"/>
      <c r="V460" s="113"/>
      <c r="W460" s="113"/>
      <c r="X460" s="113"/>
      <c r="Y460" s="113" t="s">
        <v>1113</v>
      </c>
      <c r="Z460" s="113"/>
      <c r="AA460" s="113"/>
      <c r="AB460" s="113"/>
      <c r="AC460" s="113" t="s">
        <v>1113</v>
      </c>
      <c r="AD460" s="113"/>
      <c r="AE460" s="113"/>
      <c r="AF460" s="113"/>
      <c r="AG460" s="113"/>
      <c r="AH460" s="113"/>
      <c r="AI460" s="113"/>
      <c r="AJ460" s="113"/>
      <c r="AK460" s="113"/>
      <c r="AL460" s="113"/>
      <c r="AM460" s="113"/>
      <c r="AN460" s="113"/>
      <c r="AO460" s="43" t="s">
        <v>2348</v>
      </c>
      <c r="AP460" s="43"/>
      <c r="AQ460" s="236" t="str">
        <f>VLOOKUP(Table8[[#This Row],[Instrument]],Def_Targets!$D$73:$E$159,2,FALSE)</f>
        <v>I_VehicleRestrictions</v>
      </c>
      <c r="AR460" s="233" t="str">
        <f>VLOOKUP(Table8[[#This Row],[Country Code]],Table29[],3,FALSE)</f>
        <v>Non-Annex I</v>
      </c>
      <c r="AS460" s="233" t="str">
        <f>VLOOKUP(Table8[[#This Row],[Country Code]],Table29[],4,FALSE)</f>
        <v>Asia</v>
      </c>
      <c r="AT460" s="233" t="str">
        <f>VLOOKUP(Table8[[#This Row],[Country Code]],Table29[],5,FALSE)</f>
        <v>Middle-income</v>
      </c>
      <c r="AU460" s="233" t="str">
        <f>VLOOKUP(Table8[[#This Row],[Country Code]],Table29[],6,FALSE)</f>
        <v>no</v>
      </c>
      <c r="AV460" s="233" t="str">
        <f>VLOOKUP(Table8[[#This Row],[Country Code]],Table29[],7,FALSE)</f>
        <v>no</v>
      </c>
      <c r="AW460" s="233" t="str">
        <f>VLOOKUP(Table8[[#This Row],[Country Code]],Table29[],8,FALSE)</f>
        <v>non-OECD</v>
      </c>
      <c r="AX460" s="233" t="str">
        <f>VLOOKUP(Table8[[#This Row],[Country Code]],Table29[],9,FALSE)</f>
        <v>no</v>
      </c>
      <c r="AY460" s="233" t="str">
        <f>VLOOKUP(Table8[[#This Row],[Country Code]],Table29[],10,FALSE)</f>
        <v>no</v>
      </c>
      <c r="AZ460" s="235">
        <f>VLOOKUP(Table8[[#This Row],[Country Code]],Table29[],23,FALSE)</f>
        <v>3.2548573740653</v>
      </c>
      <c r="BA460" s="235">
        <f>VLOOKUP(Table8[[#This Row],[Country Code]],Table29[],24,FALSE)</f>
        <v>0.43507987337923443</v>
      </c>
      <c r="BB460" s="320"/>
      <c r="BC460" s="320"/>
    </row>
    <row r="461" spans="1:55" s="17" customFormat="1" ht="30" hidden="1" x14ac:dyDescent="0.25">
      <c r="A461" s="373">
        <v>39440</v>
      </c>
      <c r="B461" s="233" t="str">
        <f>VLOOKUP(Table8[[#This Row],[Document ID]],Table1[],2,FALSE)</f>
        <v>BTN</v>
      </c>
      <c r="C461" s="233" t="str">
        <f>VLOOKUP(Table8[[#This Row],[Document ID]],Table1[],3,FALSE)</f>
        <v>Bhutan</v>
      </c>
      <c r="D461" s="243" t="str">
        <f>VLOOKUP(Table8[[#This Row],[Document ID]],Table1[],5,FALSE)</f>
        <v>LTS</v>
      </c>
      <c r="E461" s="233" t="str">
        <f>VLOOKUP(Table8[[#This Row],[Document ID]],Table1[],7,FALSE)</f>
        <v>LTS</v>
      </c>
      <c r="F461" s="233" t="str">
        <f>VLOOKUP(Table8[[#This Row],[Document ID]],Table1[],8,FALSE)</f>
        <v>LTS 1.0</v>
      </c>
      <c r="G461" s="233" t="str">
        <f>VLOOKUP(Table8[[#This Row],[Document ID]],Table1[],10,FALSE)</f>
        <v>Active</v>
      </c>
      <c r="H461" s="43" t="s">
        <v>2350</v>
      </c>
      <c r="I461" s="43" t="s">
        <v>2351</v>
      </c>
      <c r="J461" s="44" t="s">
        <v>2447</v>
      </c>
      <c r="K461" s="44" t="s">
        <v>2802</v>
      </c>
      <c r="L461" s="44" t="s">
        <v>2333</v>
      </c>
      <c r="M461" s="43">
        <v>67</v>
      </c>
      <c r="N461" s="113"/>
      <c r="O461" s="113"/>
      <c r="P461" s="113"/>
      <c r="Q461" s="113"/>
      <c r="R461" s="113"/>
      <c r="S461" s="113"/>
      <c r="T461" s="113"/>
      <c r="U461" s="113"/>
      <c r="V461" s="113"/>
      <c r="W461" s="113"/>
      <c r="X461" s="113" t="s">
        <v>1113</v>
      </c>
      <c r="Y461" s="113"/>
      <c r="Z461" s="113"/>
      <c r="AA461" s="113"/>
      <c r="AB461" s="113"/>
      <c r="AC461" s="113"/>
      <c r="AD461" s="113"/>
      <c r="AE461" s="113"/>
      <c r="AF461" s="113"/>
      <c r="AG461" s="113"/>
      <c r="AH461" s="113"/>
      <c r="AI461" s="113"/>
      <c r="AJ461" s="113"/>
      <c r="AK461" s="113" t="s">
        <v>1113</v>
      </c>
      <c r="AL461" s="113"/>
      <c r="AM461" s="113"/>
      <c r="AN461" s="113"/>
      <c r="AO461" s="43" t="s">
        <v>2353</v>
      </c>
      <c r="AP461" s="43"/>
      <c r="AQ461" s="236" t="str">
        <f>VLOOKUP(Table8[[#This Row],[Instrument]],Def_Targets!$D$73:$E$159,2,FALSE)</f>
        <v>I_Freighteff</v>
      </c>
      <c r="AR461" s="233" t="str">
        <f>VLOOKUP(Table8[[#This Row],[Country Code]],Table29[],3,FALSE)</f>
        <v>Non-Annex I</v>
      </c>
      <c r="AS461" s="233" t="str">
        <f>VLOOKUP(Table8[[#This Row],[Country Code]],Table29[],4,FALSE)</f>
        <v>Asia</v>
      </c>
      <c r="AT461" s="233" t="str">
        <f>VLOOKUP(Table8[[#This Row],[Country Code]],Table29[],5,FALSE)</f>
        <v>Middle-income</v>
      </c>
      <c r="AU461" s="233" t="str">
        <f>VLOOKUP(Table8[[#This Row],[Country Code]],Table29[],6,FALSE)</f>
        <v>no</v>
      </c>
      <c r="AV461" s="233" t="str">
        <f>VLOOKUP(Table8[[#This Row],[Country Code]],Table29[],7,FALSE)</f>
        <v>no</v>
      </c>
      <c r="AW461" s="233" t="str">
        <f>VLOOKUP(Table8[[#This Row],[Country Code]],Table29[],8,FALSE)</f>
        <v>non-OECD</v>
      </c>
      <c r="AX461" s="233" t="str">
        <f>VLOOKUP(Table8[[#This Row],[Country Code]],Table29[],9,FALSE)</f>
        <v>no</v>
      </c>
      <c r="AY461" s="233" t="str">
        <f>VLOOKUP(Table8[[#This Row],[Country Code]],Table29[],10,FALSE)</f>
        <v>no</v>
      </c>
      <c r="AZ461" s="235">
        <f>VLOOKUP(Table8[[#This Row],[Country Code]],Table29[],23,FALSE)</f>
        <v>3.2548573740653</v>
      </c>
      <c r="BA461" s="235">
        <f>VLOOKUP(Table8[[#This Row],[Country Code]],Table29[],24,FALSE)</f>
        <v>0.43507987337923443</v>
      </c>
      <c r="BB461" s="320"/>
      <c r="BC461" s="320"/>
    </row>
    <row r="462" spans="1:55" s="17" customFormat="1" ht="195" hidden="1" x14ac:dyDescent="0.25">
      <c r="A462" s="373">
        <v>39440</v>
      </c>
      <c r="B462" s="233" t="str">
        <f>VLOOKUP(Table8[[#This Row],[Document ID]],Table1[],2,FALSE)</f>
        <v>BTN</v>
      </c>
      <c r="C462" s="233" t="str">
        <f>VLOOKUP(Table8[[#This Row],[Document ID]],Table1[],3,FALSE)</f>
        <v>Bhutan</v>
      </c>
      <c r="D462" s="243" t="str">
        <f>VLOOKUP(Table8[[#This Row],[Document ID]],Table1[],5,FALSE)</f>
        <v>LTS</v>
      </c>
      <c r="E462" s="233" t="str">
        <f>VLOOKUP(Table8[[#This Row],[Document ID]],Table1[],7,FALSE)</f>
        <v>LTS</v>
      </c>
      <c r="F462" s="233" t="str">
        <f>VLOOKUP(Table8[[#This Row],[Document ID]],Table1[],8,FALSE)</f>
        <v>LTS 1.0</v>
      </c>
      <c r="G462" s="233" t="str">
        <f>VLOOKUP(Table8[[#This Row],[Document ID]],Table1[],10,FALSE)</f>
        <v>Active</v>
      </c>
      <c r="H462" s="43" t="s">
        <v>2358</v>
      </c>
      <c r="I462" s="43" t="s">
        <v>2359</v>
      </c>
      <c r="J462" s="44" t="s">
        <v>2360</v>
      </c>
      <c r="K462" s="44" t="s">
        <v>2803</v>
      </c>
      <c r="L462" s="44" t="s">
        <v>2333</v>
      </c>
      <c r="M462" s="43" t="s">
        <v>2804</v>
      </c>
      <c r="N462" s="113"/>
      <c r="O462" s="113"/>
      <c r="P462" s="113"/>
      <c r="Q462" s="113"/>
      <c r="R462" s="113"/>
      <c r="S462" s="113"/>
      <c r="T462" s="113"/>
      <c r="U462" s="113"/>
      <c r="V462" s="113"/>
      <c r="W462" s="113"/>
      <c r="X462" s="113" t="s">
        <v>1113</v>
      </c>
      <c r="Y462" s="113"/>
      <c r="Z462" s="113"/>
      <c r="AA462" s="113"/>
      <c r="AB462" s="113"/>
      <c r="AC462" s="113"/>
      <c r="AD462" s="113"/>
      <c r="AE462" s="113"/>
      <c r="AF462" s="113"/>
      <c r="AG462" s="113"/>
      <c r="AH462" s="113"/>
      <c r="AI462" s="113"/>
      <c r="AJ462" s="113"/>
      <c r="AK462" s="113" t="s">
        <v>1113</v>
      </c>
      <c r="AL462" s="113"/>
      <c r="AM462" s="113"/>
      <c r="AN462" s="113"/>
      <c r="AO462" s="43" t="s">
        <v>2353</v>
      </c>
      <c r="AP462" s="43"/>
      <c r="AQ462" s="236" t="str">
        <f>VLOOKUP(Table8[[#This Row],[Instrument]],Def_Targets!$D$73:$E$159,2,FALSE)</f>
        <v>I_Emobility</v>
      </c>
      <c r="AR462" s="233" t="str">
        <f>VLOOKUP(Table8[[#This Row],[Country Code]],Table29[],3,FALSE)</f>
        <v>Non-Annex I</v>
      </c>
      <c r="AS462" s="233" t="str">
        <f>VLOOKUP(Table8[[#This Row],[Country Code]],Table29[],4,FALSE)</f>
        <v>Asia</v>
      </c>
      <c r="AT462" s="233" t="str">
        <f>VLOOKUP(Table8[[#This Row],[Country Code]],Table29[],5,FALSE)</f>
        <v>Middle-income</v>
      </c>
      <c r="AU462" s="233" t="str">
        <f>VLOOKUP(Table8[[#This Row],[Country Code]],Table29[],6,FALSE)</f>
        <v>no</v>
      </c>
      <c r="AV462" s="233" t="str">
        <f>VLOOKUP(Table8[[#This Row],[Country Code]],Table29[],7,FALSE)</f>
        <v>no</v>
      </c>
      <c r="AW462" s="233" t="str">
        <f>VLOOKUP(Table8[[#This Row],[Country Code]],Table29[],8,FALSE)</f>
        <v>non-OECD</v>
      </c>
      <c r="AX462" s="233" t="str">
        <f>VLOOKUP(Table8[[#This Row],[Country Code]],Table29[],9,FALSE)</f>
        <v>no</v>
      </c>
      <c r="AY462" s="233" t="str">
        <f>VLOOKUP(Table8[[#This Row],[Country Code]],Table29[],10,FALSE)</f>
        <v>no</v>
      </c>
      <c r="AZ462" s="235">
        <f>VLOOKUP(Table8[[#This Row],[Country Code]],Table29[],23,FALSE)</f>
        <v>3.2548573740653</v>
      </c>
      <c r="BA462" s="235">
        <f>VLOOKUP(Table8[[#This Row],[Country Code]],Table29[],24,FALSE)</f>
        <v>0.43507987337923443</v>
      </c>
      <c r="BB462" s="320"/>
      <c r="BC462" s="320"/>
    </row>
    <row r="463" spans="1:55" s="17" customFormat="1" ht="195" hidden="1" x14ac:dyDescent="0.25">
      <c r="A463" s="373">
        <v>39440</v>
      </c>
      <c r="B463" s="233" t="str">
        <f>VLOOKUP(Table8[[#This Row],[Document ID]],Table1[],2,FALSE)</f>
        <v>BTN</v>
      </c>
      <c r="C463" s="233" t="str">
        <f>VLOOKUP(Table8[[#This Row],[Document ID]],Table1[],3,FALSE)</f>
        <v>Bhutan</v>
      </c>
      <c r="D463" s="243" t="str">
        <f>VLOOKUP(Table8[[#This Row],[Document ID]],Table1[],5,FALSE)</f>
        <v>LTS</v>
      </c>
      <c r="E463" s="233" t="str">
        <f>VLOOKUP(Table8[[#This Row],[Document ID]],Table1[],7,FALSE)</f>
        <v>LTS</v>
      </c>
      <c r="F463" s="233" t="str">
        <f>VLOOKUP(Table8[[#This Row],[Document ID]],Table1[],8,FALSE)</f>
        <v>LTS 1.0</v>
      </c>
      <c r="G463" s="233" t="str">
        <f>VLOOKUP(Table8[[#This Row],[Document ID]],Table1[],10,FALSE)</f>
        <v>Active</v>
      </c>
      <c r="H463" s="44" t="s">
        <v>2329</v>
      </c>
      <c r="I463" s="44" t="s">
        <v>2330</v>
      </c>
      <c r="J463" s="44" t="s">
        <v>2391</v>
      </c>
      <c r="K463" s="44" t="s">
        <v>2803</v>
      </c>
      <c r="L463" s="44" t="s">
        <v>2333</v>
      </c>
      <c r="M463" s="43" t="s">
        <v>2804</v>
      </c>
      <c r="N463" s="113"/>
      <c r="O463" s="113"/>
      <c r="P463" s="113"/>
      <c r="Q463" s="113"/>
      <c r="R463" s="113"/>
      <c r="S463" s="113"/>
      <c r="T463" s="113"/>
      <c r="U463" s="113"/>
      <c r="V463" s="113"/>
      <c r="W463" s="113"/>
      <c r="X463" s="113" t="s">
        <v>1113</v>
      </c>
      <c r="Y463" s="113"/>
      <c r="Z463" s="113"/>
      <c r="AA463" s="113"/>
      <c r="AB463" s="113"/>
      <c r="AC463" s="113"/>
      <c r="AD463" s="113"/>
      <c r="AE463" s="113"/>
      <c r="AF463" s="113"/>
      <c r="AG463" s="113"/>
      <c r="AH463" s="113"/>
      <c r="AI463" s="113"/>
      <c r="AJ463" s="113"/>
      <c r="AK463" s="113" t="s">
        <v>1113</v>
      </c>
      <c r="AL463" s="113"/>
      <c r="AM463" s="113"/>
      <c r="AN463" s="113"/>
      <c r="AO463" s="43" t="s">
        <v>2353</v>
      </c>
      <c r="AP463" s="43"/>
      <c r="AQ463" s="236" t="str">
        <f>VLOOKUP(Table8[[#This Row],[Instrument]],Def_Targets!$D$73:$E$159,2,FALSE)</f>
        <v>I_Hydrogen</v>
      </c>
      <c r="AR463" s="233" t="str">
        <f>VLOOKUP(Table8[[#This Row],[Country Code]],Table29[],3,FALSE)</f>
        <v>Non-Annex I</v>
      </c>
      <c r="AS463" s="233" t="str">
        <f>VLOOKUP(Table8[[#This Row],[Country Code]],Table29[],4,FALSE)</f>
        <v>Asia</v>
      </c>
      <c r="AT463" s="233" t="str">
        <f>VLOOKUP(Table8[[#This Row],[Country Code]],Table29[],5,FALSE)</f>
        <v>Middle-income</v>
      </c>
      <c r="AU463" s="233" t="str">
        <f>VLOOKUP(Table8[[#This Row],[Country Code]],Table29[],6,FALSE)</f>
        <v>no</v>
      </c>
      <c r="AV463" s="233" t="str">
        <f>VLOOKUP(Table8[[#This Row],[Country Code]],Table29[],7,FALSE)</f>
        <v>no</v>
      </c>
      <c r="AW463" s="233" t="str">
        <f>VLOOKUP(Table8[[#This Row],[Country Code]],Table29[],8,FALSE)</f>
        <v>non-OECD</v>
      </c>
      <c r="AX463" s="233" t="str">
        <f>VLOOKUP(Table8[[#This Row],[Country Code]],Table29[],9,FALSE)</f>
        <v>no</v>
      </c>
      <c r="AY463" s="233" t="str">
        <f>VLOOKUP(Table8[[#This Row],[Country Code]],Table29[],10,FALSE)</f>
        <v>no</v>
      </c>
      <c r="AZ463" s="235">
        <f>VLOOKUP(Table8[[#This Row],[Country Code]],Table29[],23,FALSE)</f>
        <v>3.2548573740653</v>
      </c>
      <c r="BA463" s="235">
        <f>VLOOKUP(Table8[[#This Row],[Country Code]],Table29[],24,FALSE)</f>
        <v>0.43507987337923443</v>
      </c>
      <c r="BB463" s="320"/>
      <c r="BC463" s="320"/>
    </row>
    <row r="464" spans="1:55" s="17" customFormat="1" ht="90" hidden="1" x14ac:dyDescent="0.25">
      <c r="A464" s="373">
        <v>39440</v>
      </c>
      <c r="B464" s="233" t="str">
        <f>VLOOKUP(Table8[[#This Row],[Document ID]],Table1[],2,FALSE)</f>
        <v>BTN</v>
      </c>
      <c r="C464" s="233" t="str">
        <f>VLOOKUP(Table8[[#This Row],[Document ID]],Table1[],3,FALSE)</f>
        <v>Bhutan</v>
      </c>
      <c r="D464" s="243" t="str">
        <f>VLOOKUP(Table8[[#This Row],[Document ID]],Table1[],5,FALSE)</f>
        <v>LTS</v>
      </c>
      <c r="E464" s="233" t="str">
        <f>VLOOKUP(Table8[[#This Row],[Document ID]],Table1[],7,FALSE)</f>
        <v>LTS</v>
      </c>
      <c r="F464" s="233" t="str">
        <f>VLOOKUP(Table8[[#This Row],[Document ID]],Table1[],8,FALSE)</f>
        <v>LTS 1.0</v>
      </c>
      <c r="G464" s="233" t="str">
        <f>VLOOKUP(Table8[[#This Row],[Document ID]],Table1[],10,FALSE)</f>
        <v>Active</v>
      </c>
      <c r="H464" s="43" t="s">
        <v>2343</v>
      </c>
      <c r="I464" s="43" t="s">
        <v>2344</v>
      </c>
      <c r="J464" s="44" t="s">
        <v>2549</v>
      </c>
      <c r="K464" s="44" t="s">
        <v>2805</v>
      </c>
      <c r="L464" s="44" t="s">
        <v>2347</v>
      </c>
      <c r="M464" s="43">
        <v>67</v>
      </c>
      <c r="N464" s="113"/>
      <c r="O464" s="113"/>
      <c r="P464" s="113"/>
      <c r="Q464" s="113"/>
      <c r="R464" s="113"/>
      <c r="S464" s="113"/>
      <c r="T464" s="113"/>
      <c r="U464" s="113"/>
      <c r="V464" s="113"/>
      <c r="W464" s="113"/>
      <c r="X464" s="113"/>
      <c r="Y464" s="113" t="s">
        <v>1113</v>
      </c>
      <c r="Z464" s="113"/>
      <c r="AA464" s="113"/>
      <c r="AB464" s="113"/>
      <c r="AC464" s="113"/>
      <c r="AD464" s="113"/>
      <c r="AE464" s="113"/>
      <c r="AF464" s="113"/>
      <c r="AG464" s="113"/>
      <c r="AH464" s="113"/>
      <c r="AI464" s="113"/>
      <c r="AJ464" s="113"/>
      <c r="AK464" s="113" t="s">
        <v>1113</v>
      </c>
      <c r="AL464" s="113"/>
      <c r="AM464" s="113"/>
      <c r="AN464" s="113"/>
      <c r="AO464" s="43" t="s">
        <v>2348</v>
      </c>
      <c r="AP464" s="43"/>
      <c r="AQ464" s="236" t="str">
        <f>VLOOKUP(Table8[[#This Row],[Instrument]],Def_Targets!$D$73:$E$159,2,FALSE)</f>
        <v>S_BRT</v>
      </c>
      <c r="AR464" s="233" t="str">
        <f>VLOOKUP(Table8[[#This Row],[Country Code]],Table29[],3,FALSE)</f>
        <v>Non-Annex I</v>
      </c>
      <c r="AS464" s="233" t="str">
        <f>VLOOKUP(Table8[[#This Row],[Country Code]],Table29[],4,FALSE)</f>
        <v>Asia</v>
      </c>
      <c r="AT464" s="233" t="str">
        <f>VLOOKUP(Table8[[#This Row],[Country Code]],Table29[],5,FALSE)</f>
        <v>Middle-income</v>
      </c>
      <c r="AU464" s="233" t="str">
        <f>VLOOKUP(Table8[[#This Row],[Country Code]],Table29[],6,FALSE)</f>
        <v>no</v>
      </c>
      <c r="AV464" s="233" t="str">
        <f>VLOOKUP(Table8[[#This Row],[Country Code]],Table29[],7,FALSE)</f>
        <v>no</v>
      </c>
      <c r="AW464" s="233" t="str">
        <f>VLOOKUP(Table8[[#This Row],[Country Code]],Table29[],8,FALSE)</f>
        <v>non-OECD</v>
      </c>
      <c r="AX464" s="233" t="str">
        <f>VLOOKUP(Table8[[#This Row],[Country Code]],Table29[],9,FALSE)</f>
        <v>no</v>
      </c>
      <c r="AY464" s="233" t="str">
        <f>VLOOKUP(Table8[[#This Row],[Country Code]],Table29[],10,FALSE)</f>
        <v>no</v>
      </c>
      <c r="AZ464" s="235">
        <f>VLOOKUP(Table8[[#This Row],[Country Code]],Table29[],23,FALSE)</f>
        <v>3.2548573740653</v>
      </c>
      <c r="BA464" s="235">
        <f>VLOOKUP(Table8[[#This Row],[Country Code]],Table29[],24,FALSE)</f>
        <v>0.43507987337923443</v>
      </c>
      <c r="BB464" s="320"/>
      <c r="BC464" s="320"/>
    </row>
    <row r="465" spans="1:55" s="17" customFormat="1" ht="180" hidden="1" x14ac:dyDescent="0.25">
      <c r="A465" s="373">
        <v>39440</v>
      </c>
      <c r="B465" s="233" t="str">
        <f>VLOOKUP(Table8[[#This Row],[Document ID]],Table1[],2,FALSE)</f>
        <v>BTN</v>
      </c>
      <c r="C465" s="233" t="str">
        <f>VLOOKUP(Table8[[#This Row],[Document ID]],Table1[],3,FALSE)</f>
        <v>Bhutan</v>
      </c>
      <c r="D465" s="243" t="str">
        <f>VLOOKUP(Table8[[#This Row],[Document ID]],Table1[],5,FALSE)</f>
        <v>LTS</v>
      </c>
      <c r="E465" s="233" t="str">
        <f>VLOOKUP(Table8[[#This Row],[Document ID]],Table1[],7,FALSE)</f>
        <v>LTS</v>
      </c>
      <c r="F465" s="233" t="str">
        <f>VLOOKUP(Table8[[#This Row],[Document ID]],Table1[],8,FALSE)</f>
        <v>LTS 1.0</v>
      </c>
      <c r="G465" s="233" t="str">
        <f>VLOOKUP(Table8[[#This Row],[Document ID]],Table1[],10,FALSE)</f>
        <v>Active</v>
      </c>
      <c r="H465" s="43" t="s">
        <v>2343</v>
      </c>
      <c r="I465" s="43" t="s">
        <v>2344</v>
      </c>
      <c r="J465" s="44" t="s">
        <v>2345</v>
      </c>
      <c r="K465" s="44" t="s">
        <v>2806</v>
      </c>
      <c r="L465" s="44" t="s">
        <v>2347</v>
      </c>
      <c r="M465" s="43">
        <v>68</v>
      </c>
      <c r="N465" s="113"/>
      <c r="O465" s="113"/>
      <c r="P465" s="113"/>
      <c r="Q465" s="113"/>
      <c r="R465" s="113"/>
      <c r="S465" s="113"/>
      <c r="T465" s="113"/>
      <c r="U465" s="113"/>
      <c r="V465" s="113"/>
      <c r="W465" s="113"/>
      <c r="X465" s="113"/>
      <c r="Y465" s="113" t="s">
        <v>1113</v>
      </c>
      <c r="Z465" s="113"/>
      <c r="AA465" s="113"/>
      <c r="AB465" s="113"/>
      <c r="AC465" s="113"/>
      <c r="AD465" s="113"/>
      <c r="AE465" s="113"/>
      <c r="AF465" s="113"/>
      <c r="AG465" s="113"/>
      <c r="AH465" s="113"/>
      <c r="AI465" s="113"/>
      <c r="AJ465" s="113"/>
      <c r="AK465" s="113" t="s">
        <v>1113</v>
      </c>
      <c r="AL465" s="113"/>
      <c r="AM465" s="113"/>
      <c r="AN465" s="113"/>
      <c r="AO465" s="43" t="s">
        <v>2348</v>
      </c>
      <c r="AP465" s="43"/>
      <c r="AQ465" s="236" t="str">
        <f>VLOOKUP(Table8[[#This Row],[Instrument]],Def_Targets!$D$73:$E$159,2,FALSE)</f>
        <v>S_PublicTransport</v>
      </c>
      <c r="AR465" s="233" t="str">
        <f>VLOOKUP(Table8[[#This Row],[Country Code]],Table29[],3,FALSE)</f>
        <v>Non-Annex I</v>
      </c>
      <c r="AS465" s="233" t="str">
        <f>VLOOKUP(Table8[[#This Row],[Country Code]],Table29[],4,FALSE)</f>
        <v>Asia</v>
      </c>
      <c r="AT465" s="233" t="str">
        <f>VLOOKUP(Table8[[#This Row],[Country Code]],Table29[],5,FALSE)</f>
        <v>Middle-income</v>
      </c>
      <c r="AU465" s="233" t="str">
        <f>VLOOKUP(Table8[[#This Row],[Country Code]],Table29[],6,FALSE)</f>
        <v>no</v>
      </c>
      <c r="AV465" s="233" t="str">
        <f>VLOOKUP(Table8[[#This Row],[Country Code]],Table29[],7,FALSE)</f>
        <v>no</v>
      </c>
      <c r="AW465" s="233" t="str">
        <f>VLOOKUP(Table8[[#This Row],[Country Code]],Table29[],8,FALSE)</f>
        <v>non-OECD</v>
      </c>
      <c r="AX465" s="233" t="str">
        <f>VLOOKUP(Table8[[#This Row],[Country Code]],Table29[],9,FALSE)</f>
        <v>no</v>
      </c>
      <c r="AY465" s="233" t="str">
        <f>VLOOKUP(Table8[[#This Row],[Country Code]],Table29[],10,FALSE)</f>
        <v>no</v>
      </c>
      <c r="AZ465" s="235">
        <f>VLOOKUP(Table8[[#This Row],[Country Code]],Table29[],23,FALSE)</f>
        <v>3.2548573740653</v>
      </c>
      <c r="BA465" s="235">
        <f>VLOOKUP(Table8[[#This Row],[Country Code]],Table29[],24,FALSE)</f>
        <v>0.43507987337923443</v>
      </c>
      <c r="BB465" s="320"/>
      <c r="BC465" s="320"/>
    </row>
    <row r="466" spans="1:55" s="17" customFormat="1" ht="45" hidden="1" x14ac:dyDescent="0.25">
      <c r="A466" s="373">
        <v>39440</v>
      </c>
      <c r="B466" s="233" t="str">
        <f>VLOOKUP(Table8[[#This Row],[Document ID]],Table1[],2,FALSE)</f>
        <v>BTN</v>
      </c>
      <c r="C466" s="233" t="str">
        <f>VLOOKUP(Table8[[#This Row],[Document ID]],Table1[],3,FALSE)</f>
        <v>Bhutan</v>
      </c>
      <c r="D466" s="243" t="str">
        <f>VLOOKUP(Table8[[#This Row],[Document ID]],Table1[],5,FALSE)</f>
        <v>LTS</v>
      </c>
      <c r="E466" s="233" t="str">
        <f>VLOOKUP(Table8[[#This Row],[Document ID]],Table1[],7,FALSE)</f>
        <v>LTS</v>
      </c>
      <c r="F466" s="233" t="str">
        <f>VLOOKUP(Table8[[#This Row],[Document ID]],Table1[],8,FALSE)</f>
        <v>LTS 1.0</v>
      </c>
      <c r="G466" s="233" t="str">
        <f>VLOOKUP(Table8[[#This Row],[Document ID]],Table1[],10,FALSE)</f>
        <v>Active</v>
      </c>
      <c r="H466" s="43" t="s">
        <v>2358</v>
      </c>
      <c r="I466" s="43" t="s">
        <v>2359</v>
      </c>
      <c r="J466" s="44" t="s">
        <v>2360</v>
      </c>
      <c r="K466" s="44" t="s">
        <v>2807</v>
      </c>
      <c r="L466" s="44" t="s">
        <v>2471</v>
      </c>
      <c r="M466" s="43">
        <v>68</v>
      </c>
      <c r="N466" s="113"/>
      <c r="O466" s="113"/>
      <c r="P466" s="113"/>
      <c r="Q466" s="113"/>
      <c r="R466" s="113"/>
      <c r="S466" s="113"/>
      <c r="T466" s="113"/>
      <c r="U466" s="113"/>
      <c r="V466" s="113"/>
      <c r="W466" s="113"/>
      <c r="X466" s="113"/>
      <c r="Y466" s="113" t="s">
        <v>1113</v>
      </c>
      <c r="Z466" s="113"/>
      <c r="AA466" s="113"/>
      <c r="AB466" s="113"/>
      <c r="AC466" s="113"/>
      <c r="AD466" s="113"/>
      <c r="AE466" s="113"/>
      <c r="AF466" s="113"/>
      <c r="AG466" s="113"/>
      <c r="AH466" s="113"/>
      <c r="AI466" s="113"/>
      <c r="AJ466" s="113"/>
      <c r="AK466" s="113"/>
      <c r="AL466" s="113" t="s">
        <v>1113</v>
      </c>
      <c r="AM466" s="113"/>
      <c r="AN466" s="113"/>
      <c r="AO466" s="43" t="s">
        <v>2348</v>
      </c>
      <c r="AP466" s="43"/>
      <c r="AQ466" s="236" t="str">
        <f>VLOOKUP(Table8[[#This Row],[Instrument]],Def_Targets!$D$73:$E$159,2,FALSE)</f>
        <v>I_Emobility</v>
      </c>
      <c r="AR466" s="233" t="str">
        <f>VLOOKUP(Table8[[#This Row],[Country Code]],Table29[],3,FALSE)</f>
        <v>Non-Annex I</v>
      </c>
      <c r="AS466" s="233" t="str">
        <f>VLOOKUP(Table8[[#This Row],[Country Code]],Table29[],4,FALSE)</f>
        <v>Asia</v>
      </c>
      <c r="AT466" s="233" t="str">
        <f>VLOOKUP(Table8[[#This Row],[Country Code]],Table29[],5,FALSE)</f>
        <v>Middle-income</v>
      </c>
      <c r="AU466" s="233" t="str">
        <f>VLOOKUP(Table8[[#This Row],[Country Code]],Table29[],6,FALSE)</f>
        <v>no</v>
      </c>
      <c r="AV466" s="233" t="str">
        <f>VLOOKUP(Table8[[#This Row],[Country Code]],Table29[],7,FALSE)</f>
        <v>no</v>
      </c>
      <c r="AW466" s="233" t="str">
        <f>VLOOKUP(Table8[[#This Row],[Country Code]],Table29[],8,FALSE)</f>
        <v>non-OECD</v>
      </c>
      <c r="AX466" s="233" t="str">
        <f>VLOOKUP(Table8[[#This Row],[Country Code]],Table29[],9,FALSE)</f>
        <v>no</v>
      </c>
      <c r="AY466" s="233" t="str">
        <f>VLOOKUP(Table8[[#This Row],[Country Code]],Table29[],10,FALSE)</f>
        <v>no</v>
      </c>
      <c r="AZ466" s="235">
        <f>VLOOKUP(Table8[[#This Row],[Country Code]],Table29[],23,FALSE)</f>
        <v>3.2548573740653</v>
      </c>
      <c r="BA466" s="235">
        <f>VLOOKUP(Table8[[#This Row],[Country Code]],Table29[],24,FALSE)</f>
        <v>0.43507987337923443</v>
      </c>
      <c r="BB466" s="320"/>
      <c r="BC466" s="320"/>
    </row>
    <row r="467" spans="1:55" s="17" customFormat="1" ht="45" hidden="1" x14ac:dyDescent="0.25">
      <c r="A467" s="373">
        <v>39440</v>
      </c>
      <c r="B467" s="233" t="str">
        <f>VLOOKUP(Table8[[#This Row],[Document ID]],Table1[],2,FALSE)</f>
        <v>BTN</v>
      </c>
      <c r="C467" s="233" t="str">
        <f>VLOOKUP(Table8[[#This Row],[Document ID]],Table1[],3,FALSE)</f>
        <v>Bhutan</v>
      </c>
      <c r="D467" s="243" t="str">
        <f>VLOOKUP(Table8[[#This Row],[Document ID]],Table1[],5,FALSE)</f>
        <v>LTS</v>
      </c>
      <c r="E467" s="233" t="str">
        <f>VLOOKUP(Table8[[#This Row],[Document ID]],Table1[],7,FALSE)</f>
        <v>LTS</v>
      </c>
      <c r="F467" s="233" t="str">
        <f>VLOOKUP(Table8[[#This Row],[Document ID]],Table1[],8,FALSE)</f>
        <v>LTS 1.0</v>
      </c>
      <c r="G467" s="233" t="str">
        <f>VLOOKUP(Table8[[#This Row],[Document ID]],Table1[],10,FALSE)</f>
        <v>Active</v>
      </c>
      <c r="H467" s="43" t="s">
        <v>2343</v>
      </c>
      <c r="I467" s="43" t="s">
        <v>2386</v>
      </c>
      <c r="J467" s="44" t="s">
        <v>2387</v>
      </c>
      <c r="K467" s="44" t="s">
        <v>2808</v>
      </c>
      <c r="L467" s="44" t="s">
        <v>2347</v>
      </c>
      <c r="M467" s="43">
        <v>68</v>
      </c>
      <c r="N467" s="113"/>
      <c r="O467" s="113"/>
      <c r="P467" s="113"/>
      <c r="Q467" s="113"/>
      <c r="R467" s="113"/>
      <c r="S467" s="113"/>
      <c r="T467" s="113"/>
      <c r="U467" s="113"/>
      <c r="V467" s="113"/>
      <c r="W467" s="113"/>
      <c r="X467" s="113"/>
      <c r="Y467" s="113" t="s">
        <v>1113</v>
      </c>
      <c r="Z467" s="113"/>
      <c r="AA467" s="113"/>
      <c r="AB467" s="113"/>
      <c r="AC467" s="113"/>
      <c r="AD467" s="113"/>
      <c r="AE467" s="113"/>
      <c r="AF467" s="113"/>
      <c r="AG467" s="113"/>
      <c r="AH467" s="113"/>
      <c r="AI467" s="113"/>
      <c r="AJ467" s="113"/>
      <c r="AK467" s="113" t="s">
        <v>1113</v>
      </c>
      <c r="AL467" s="113"/>
      <c r="AM467" s="113"/>
      <c r="AN467" s="113"/>
      <c r="AO467" s="43" t="s">
        <v>2348</v>
      </c>
      <c r="AP467" s="43"/>
      <c r="AQ467" s="236" t="str">
        <f>VLOOKUP(Table8[[#This Row],[Instrument]],Def_Targets!$D$73:$E$159,2,FALSE)</f>
        <v>A_Procurement</v>
      </c>
      <c r="AR467" s="233" t="str">
        <f>VLOOKUP(Table8[[#This Row],[Country Code]],Table29[],3,FALSE)</f>
        <v>Non-Annex I</v>
      </c>
      <c r="AS467" s="233" t="str">
        <f>VLOOKUP(Table8[[#This Row],[Country Code]],Table29[],4,FALSE)</f>
        <v>Asia</v>
      </c>
      <c r="AT467" s="233" t="str">
        <f>VLOOKUP(Table8[[#This Row],[Country Code]],Table29[],5,FALSE)</f>
        <v>Middle-income</v>
      </c>
      <c r="AU467" s="233" t="str">
        <f>VLOOKUP(Table8[[#This Row],[Country Code]],Table29[],6,FALSE)</f>
        <v>no</v>
      </c>
      <c r="AV467" s="233" t="str">
        <f>VLOOKUP(Table8[[#This Row],[Country Code]],Table29[],7,FALSE)</f>
        <v>no</v>
      </c>
      <c r="AW467" s="233" t="str">
        <f>VLOOKUP(Table8[[#This Row],[Country Code]],Table29[],8,FALSE)</f>
        <v>non-OECD</v>
      </c>
      <c r="AX467" s="233" t="str">
        <f>VLOOKUP(Table8[[#This Row],[Country Code]],Table29[],9,FALSE)</f>
        <v>no</v>
      </c>
      <c r="AY467" s="233" t="str">
        <f>VLOOKUP(Table8[[#This Row],[Country Code]],Table29[],10,FALSE)</f>
        <v>no</v>
      </c>
      <c r="AZ467" s="235">
        <f>VLOOKUP(Table8[[#This Row],[Country Code]],Table29[],23,FALSE)</f>
        <v>3.2548573740653</v>
      </c>
      <c r="BA467" s="235">
        <f>VLOOKUP(Table8[[#This Row],[Country Code]],Table29[],24,FALSE)</f>
        <v>0.43507987337923443</v>
      </c>
      <c r="BB467" s="320"/>
      <c r="BC467" s="320"/>
    </row>
    <row r="468" spans="1:55" ht="30" hidden="1" x14ac:dyDescent="0.25">
      <c r="A468" s="373">
        <v>17558</v>
      </c>
      <c r="B468" s="233" t="str">
        <f>VLOOKUP(Table8[[#This Row],[Document ID]],Table1[],2,FALSE)</f>
        <v>COL</v>
      </c>
      <c r="C468" s="233" t="str">
        <f>VLOOKUP(Table8[[#This Row],[Document ID]],Table1[],3,FALSE)</f>
        <v>Colombia</v>
      </c>
      <c r="D468" s="243" t="str">
        <f>VLOOKUP(Table8[[#This Row],[Document ID]],Table1[],5,FALSE)</f>
        <v>NDC</v>
      </c>
      <c r="E468" s="233" t="str">
        <f>VLOOKUP(Table8[[#This Row],[Document ID]],Table1[],7,FALSE)</f>
        <v>First NDC updated</v>
      </c>
      <c r="F468" s="233" t="str">
        <f>VLOOKUP(Table8[[#This Row],[Document ID]],Table1[],8,FALSE)</f>
        <v>NDC 1.1</v>
      </c>
      <c r="G468" s="233" t="str">
        <f>VLOOKUP(Table8[[#This Row],[Document ID]],Table1[],10,FALSE)</f>
        <v>Active</v>
      </c>
      <c r="H468" s="43" t="s">
        <v>2358</v>
      </c>
      <c r="I468" s="43" t="s">
        <v>2359</v>
      </c>
      <c r="J468" s="44" t="s">
        <v>2360</v>
      </c>
      <c r="K468" s="44" t="s">
        <v>2809</v>
      </c>
      <c r="L468" s="44" t="s">
        <v>2333</v>
      </c>
      <c r="M468" s="43" t="s">
        <v>2810</v>
      </c>
      <c r="N468" s="113" t="s">
        <v>1113</v>
      </c>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319" t="s">
        <v>1113</v>
      </c>
      <c r="AL468" s="113"/>
      <c r="AM468" s="113"/>
      <c r="AN468" s="113"/>
      <c r="AO468" s="44" t="s">
        <v>2334</v>
      </c>
      <c r="AP468" s="43"/>
      <c r="AQ468" s="236" t="str">
        <f>VLOOKUP(Table8[[#This Row],[Instrument]],Def_Targets!$D$73:$E$159,2,FALSE)</f>
        <v>I_Emobility</v>
      </c>
      <c r="AR468" s="233" t="str">
        <f>VLOOKUP(Table8[[#This Row],[Country Code]],Table29[],3,FALSE)</f>
        <v>Non-Annex I</v>
      </c>
      <c r="AS468" s="233" t="str">
        <f>VLOOKUP(Table8[[#This Row],[Country Code]],Table29[],4,FALSE)</f>
        <v>Latin America and the Caribbean</v>
      </c>
      <c r="AT468" s="233" t="str">
        <f>VLOOKUP(Table8[[#This Row],[Country Code]],Table29[],5,FALSE)</f>
        <v>Middle-income</v>
      </c>
      <c r="AU468" s="233" t="str">
        <f>VLOOKUP(Table8[[#This Row],[Country Code]],Table29[],6,FALSE)</f>
        <v>no</v>
      </c>
      <c r="AV468" s="233" t="str">
        <f>VLOOKUP(Table8[[#This Row],[Country Code]],Table29[],7,FALSE)</f>
        <v>no</v>
      </c>
      <c r="AW468" s="233" t="str">
        <f>VLOOKUP(Table8[[#This Row],[Country Code]],Table29[],8,FALSE)</f>
        <v>OECD</v>
      </c>
      <c r="AX468" s="233" t="str">
        <f>VLOOKUP(Table8[[#This Row],[Country Code]],Table29[],9,FALSE)</f>
        <v>no</v>
      </c>
      <c r="AY468" s="233" t="str">
        <f>VLOOKUP(Table8[[#This Row],[Country Code]],Table29[],10,FALSE)</f>
        <v>no</v>
      </c>
      <c r="AZ468" s="235">
        <f>VLOOKUP(Table8[[#This Row],[Country Code]],Table29[],23,FALSE)</f>
        <v>223.96663405241</v>
      </c>
      <c r="BA468" s="235">
        <f>VLOOKUP(Table8[[#This Row],[Country Code]],Table29[],24,FALSE)</f>
        <v>37.36796885652894</v>
      </c>
      <c r="BB468" s="320"/>
      <c r="BC468" s="320"/>
    </row>
    <row r="469" spans="1:55" ht="45" hidden="1" x14ac:dyDescent="0.25">
      <c r="A469" s="373">
        <v>17558</v>
      </c>
      <c r="B469" s="233" t="str">
        <f>VLOOKUP(Table8[[#This Row],[Document ID]],Table1[],2,FALSE)</f>
        <v>COL</v>
      </c>
      <c r="C469" s="233" t="str">
        <f>VLOOKUP(Table8[[#This Row],[Document ID]],Table1[],3,FALSE)</f>
        <v>Colombia</v>
      </c>
      <c r="D469" s="243" t="str">
        <f>VLOOKUP(Table8[[#This Row],[Document ID]],Table1[],5,FALSE)</f>
        <v>NDC</v>
      </c>
      <c r="E469" s="233" t="str">
        <f>VLOOKUP(Table8[[#This Row],[Document ID]],Table1[],7,FALSE)</f>
        <v>First NDC updated</v>
      </c>
      <c r="F469" s="233" t="str">
        <f>VLOOKUP(Table8[[#This Row],[Document ID]],Table1[],8,FALSE)</f>
        <v>NDC 1.1</v>
      </c>
      <c r="G469" s="233" t="str">
        <f>VLOOKUP(Table8[[#This Row],[Document ID]],Table1[],10,FALSE)</f>
        <v>Active</v>
      </c>
      <c r="H469" s="43" t="s">
        <v>2358</v>
      </c>
      <c r="I469" s="43" t="s">
        <v>2359</v>
      </c>
      <c r="J469" s="44" t="s">
        <v>2383</v>
      </c>
      <c r="K469" s="44" t="s">
        <v>2811</v>
      </c>
      <c r="L469" s="44" t="s">
        <v>2333</v>
      </c>
      <c r="M469" s="43" t="s">
        <v>2810</v>
      </c>
      <c r="N469" s="113" t="s">
        <v>1113</v>
      </c>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319" t="s">
        <v>1113</v>
      </c>
      <c r="AL469" s="113"/>
      <c r="AM469" s="113"/>
      <c r="AN469" s="113"/>
      <c r="AO469" s="44" t="s">
        <v>2334</v>
      </c>
      <c r="AP469" s="43"/>
      <c r="AQ469" s="236" t="str">
        <f>VLOOKUP(Table8[[#This Row],[Instrument]],Def_Targets!$D$73:$E$159,2,FALSE)</f>
        <v>I_Emobilitycharging</v>
      </c>
      <c r="AR469" s="233" t="str">
        <f>VLOOKUP(Table8[[#This Row],[Country Code]],Table29[],3,FALSE)</f>
        <v>Non-Annex I</v>
      </c>
      <c r="AS469" s="233" t="str">
        <f>VLOOKUP(Table8[[#This Row],[Country Code]],Table29[],4,FALSE)</f>
        <v>Latin America and the Caribbean</v>
      </c>
      <c r="AT469" s="233" t="str">
        <f>VLOOKUP(Table8[[#This Row],[Country Code]],Table29[],5,FALSE)</f>
        <v>Middle-income</v>
      </c>
      <c r="AU469" s="233" t="str">
        <f>VLOOKUP(Table8[[#This Row],[Country Code]],Table29[],6,FALSE)</f>
        <v>no</v>
      </c>
      <c r="AV469" s="233" t="str">
        <f>VLOOKUP(Table8[[#This Row],[Country Code]],Table29[],7,FALSE)</f>
        <v>no</v>
      </c>
      <c r="AW469" s="233" t="str">
        <f>VLOOKUP(Table8[[#This Row],[Country Code]],Table29[],8,FALSE)</f>
        <v>OECD</v>
      </c>
      <c r="AX469" s="233" t="str">
        <f>VLOOKUP(Table8[[#This Row],[Country Code]],Table29[],9,FALSE)</f>
        <v>no</v>
      </c>
      <c r="AY469" s="233" t="str">
        <f>VLOOKUP(Table8[[#This Row],[Country Code]],Table29[],10,FALSE)</f>
        <v>no</v>
      </c>
      <c r="AZ469" s="235">
        <f>VLOOKUP(Table8[[#This Row],[Country Code]],Table29[],23,FALSE)</f>
        <v>223.96663405241</v>
      </c>
      <c r="BA469" s="235">
        <f>VLOOKUP(Table8[[#This Row],[Country Code]],Table29[],24,FALSE)</f>
        <v>37.36796885652894</v>
      </c>
      <c r="BB469" s="320"/>
      <c r="BC469" s="320"/>
    </row>
    <row r="470" spans="1:55" ht="28.5" hidden="1" customHeight="1" x14ac:dyDescent="0.25">
      <c r="A470" s="373">
        <v>17558</v>
      </c>
      <c r="B470" s="233" t="str">
        <f>VLOOKUP(Table8[[#This Row],[Document ID]],Table1[],2,FALSE)</f>
        <v>COL</v>
      </c>
      <c r="C470" s="233" t="str">
        <f>VLOOKUP(Table8[[#This Row],[Document ID]],Table1[],3,FALSE)</f>
        <v>Colombia</v>
      </c>
      <c r="D470" s="243" t="str">
        <f>VLOOKUP(Table8[[#This Row],[Document ID]],Table1[],5,FALSE)</f>
        <v>NDC</v>
      </c>
      <c r="E470" s="233" t="str">
        <f>VLOOKUP(Table8[[#This Row],[Document ID]],Table1[],7,FALSE)</f>
        <v>First NDC updated</v>
      </c>
      <c r="F470" s="233" t="str">
        <f>VLOOKUP(Table8[[#This Row],[Document ID]],Table1[],8,FALSE)</f>
        <v>NDC 1.1</v>
      </c>
      <c r="G470" s="233" t="str">
        <f>VLOOKUP(Table8[[#This Row],[Document ID]],Table1[],10,FALSE)</f>
        <v>Active</v>
      </c>
      <c r="H470" s="43" t="s">
        <v>2358</v>
      </c>
      <c r="I470" s="43" t="s">
        <v>2359</v>
      </c>
      <c r="J470" s="44" t="s">
        <v>2383</v>
      </c>
      <c r="K470" s="44" t="s">
        <v>2812</v>
      </c>
      <c r="L470" s="44" t="s">
        <v>2333</v>
      </c>
      <c r="M470" s="43" t="s">
        <v>2810</v>
      </c>
      <c r="N470" s="113" t="s">
        <v>1113</v>
      </c>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319" t="s">
        <v>1113</v>
      </c>
      <c r="AL470" s="113"/>
      <c r="AM470" s="113"/>
      <c r="AN470" s="113"/>
      <c r="AO470" s="44" t="s">
        <v>2334</v>
      </c>
      <c r="AP470" s="43"/>
      <c r="AQ470" s="236" t="str">
        <f>VLOOKUP(Table8[[#This Row],[Instrument]],Def_Targets!$D$73:$E$159,2,FALSE)</f>
        <v>I_Emobilitycharging</v>
      </c>
      <c r="AR470" s="233" t="str">
        <f>VLOOKUP(Table8[[#This Row],[Country Code]],Table29[],3,FALSE)</f>
        <v>Non-Annex I</v>
      </c>
      <c r="AS470" s="233" t="str">
        <f>VLOOKUP(Table8[[#This Row],[Country Code]],Table29[],4,FALSE)</f>
        <v>Latin America and the Caribbean</v>
      </c>
      <c r="AT470" s="233" t="str">
        <f>VLOOKUP(Table8[[#This Row],[Country Code]],Table29[],5,FALSE)</f>
        <v>Middle-income</v>
      </c>
      <c r="AU470" s="233" t="str">
        <f>VLOOKUP(Table8[[#This Row],[Country Code]],Table29[],6,FALSE)</f>
        <v>no</v>
      </c>
      <c r="AV470" s="233" t="str">
        <f>VLOOKUP(Table8[[#This Row],[Country Code]],Table29[],7,FALSE)</f>
        <v>no</v>
      </c>
      <c r="AW470" s="233" t="str">
        <f>VLOOKUP(Table8[[#This Row],[Country Code]],Table29[],8,FALSE)</f>
        <v>OECD</v>
      </c>
      <c r="AX470" s="233" t="str">
        <f>VLOOKUP(Table8[[#This Row],[Country Code]],Table29[],9,FALSE)</f>
        <v>no</v>
      </c>
      <c r="AY470" s="233" t="str">
        <f>VLOOKUP(Table8[[#This Row],[Country Code]],Table29[],10,FALSE)</f>
        <v>no</v>
      </c>
      <c r="AZ470" s="235">
        <f>VLOOKUP(Table8[[#This Row],[Country Code]],Table29[],23,FALSE)</f>
        <v>223.96663405241</v>
      </c>
      <c r="BA470" s="235">
        <f>VLOOKUP(Table8[[#This Row],[Country Code]],Table29[],24,FALSE)</f>
        <v>37.36796885652894</v>
      </c>
      <c r="BB470" s="320"/>
      <c r="BC470" s="320"/>
    </row>
    <row r="471" spans="1:55" ht="75" hidden="1" x14ac:dyDescent="0.25">
      <c r="A471" s="373">
        <v>17558</v>
      </c>
      <c r="B471" s="233" t="str">
        <f>VLOOKUP(Table8[[#This Row],[Document ID]],Table1[],2,FALSE)</f>
        <v>COL</v>
      </c>
      <c r="C471" s="233" t="str">
        <f>VLOOKUP(Table8[[#This Row],[Document ID]],Table1[],3,FALSE)</f>
        <v>Colombia</v>
      </c>
      <c r="D471" s="243" t="str">
        <f>VLOOKUP(Table8[[#This Row],[Document ID]],Table1[],5,FALSE)</f>
        <v>NDC</v>
      </c>
      <c r="E471" s="233" t="str">
        <f>VLOOKUP(Table8[[#This Row],[Document ID]],Table1[],7,FALSE)</f>
        <v>First NDC updated</v>
      </c>
      <c r="F471" s="233" t="str">
        <f>VLOOKUP(Table8[[#This Row],[Document ID]],Table1[],8,FALSE)</f>
        <v>NDC 1.1</v>
      </c>
      <c r="G471" s="233" t="str">
        <f>VLOOKUP(Table8[[#This Row],[Document ID]],Table1[],10,FALSE)</f>
        <v>Active</v>
      </c>
      <c r="H471" s="43" t="s">
        <v>2358</v>
      </c>
      <c r="I471" s="43" t="s">
        <v>2359</v>
      </c>
      <c r="J471" s="44" t="s">
        <v>2389</v>
      </c>
      <c r="K471" s="44" t="s">
        <v>2813</v>
      </c>
      <c r="L471" s="44" t="s">
        <v>2333</v>
      </c>
      <c r="M471" s="43" t="s">
        <v>2810</v>
      </c>
      <c r="N471" s="113" t="s">
        <v>1113</v>
      </c>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319" t="s">
        <v>1113</v>
      </c>
      <c r="AL471" s="113"/>
      <c r="AM471" s="113"/>
      <c r="AN471" s="113"/>
      <c r="AO471" s="44" t="s">
        <v>2334</v>
      </c>
      <c r="AP471" s="43"/>
      <c r="AQ471" s="236" t="str">
        <f>VLOOKUP(Table8[[#This Row],[Instrument]],Def_Targets!$D$73:$E$159,2,FALSE)</f>
        <v>I_Emobilitypurchase</v>
      </c>
      <c r="AR471" s="233" t="str">
        <f>VLOOKUP(Table8[[#This Row],[Country Code]],Table29[],3,FALSE)</f>
        <v>Non-Annex I</v>
      </c>
      <c r="AS471" s="233" t="str">
        <f>VLOOKUP(Table8[[#This Row],[Country Code]],Table29[],4,FALSE)</f>
        <v>Latin America and the Caribbean</v>
      </c>
      <c r="AT471" s="233" t="str">
        <f>VLOOKUP(Table8[[#This Row],[Country Code]],Table29[],5,FALSE)</f>
        <v>Middle-income</v>
      </c>
      <c r="AU471" s="233" t="str">
        <f>VLOOKUP(Table8[[#This Row],[Country Code]],Table29[],6,FALSE)</f>
        <v>no</v>
      </c>
      <c r="AV471" s="233" t="str">
        <f>VLOOKUP(Table8[[#This Row],[Country Code]],Table29[],7,FALSE)</f>
        <v>no</v>
      </c>
      <c r="AW471" s="233" t="str">
        <f>VLOOKUP(Table8[[#This Row],[Country Code]],Table29[],8,FALSE)</f>
        <v>OECD</v>
      </c>
      <c r="AX471" s="233" t="str">
        <f>VLOOKUP(Table8[[#This Row],[Country Code]],Table29[],9,FALSE)</f>
        <v>no</v>
      </c>
      <c r="AY471" s="233" t="str">
        <f>VLOOKUP(Table8[[#This Row],[Country Code]],Table29[],10,FALSE)</f>
        <v>no</v>
      </c>
      <c r="AZ471" s="235">
        <f>VLOOKUP(Table8[[#This Row],[Country Code]],Table29[],23,FALSE)</f>
        <v>223.96663405241</v>
      </c>
      <c r="BA471" s="235">
        <f>VLOOKUP(Table8[[#This Row],[Country Code]],Table29[],24,FALSE)</f>
        <v>37.36796885652894</v>
      </c>
      <c r="BB471" s="320"/>
      <c r="BC471" s="320"/>
    </row>
    <row r="472" spans="1:55" ht="30" hidden="1" x14ac:dyDescent="0.25">
      <c r="A472" s="373">
        <v>17558</v>
      </c>
      <c r="B472" s="233" t="str">
        <f>VLOOKUP(Table8[[#This Row],[Document ID]],Table1[],2,FALSE)</f>
        <v>COL</v>
      </c>
      <c r="C472" s="233" t="str">
        <f>VLOOKUP(Table8[[#This Row],[Document ID]],Table1[],3,FALSE)</f>
        <v>Colombia</v>
      </c>
      <c r="D472" s="243" t="str">
        <f>VLOOKUP(Table8[[#This Row],[Document ID]],Table1[],5,FALSE)</f>
        <v>NDC</v>
      </c>
      <c r="E472" s="233" t="str">
        <f>VLOOKUP(Table8[[#This Row],[Document ID]],Table1[],7,FALSE)</f>
        <v>First NDC updated</v>
      </c>
      <c r="F472" s="233" t="str">
        <f>VLOOKUP(Table8[[#This Row],[Document ID]],Table1[],8,FALSE)</f>
        <v>NDC 1.1</v>
      </c>
      <c r="G472" s="233" t="str">
        <f>VLOOKUP(Table8[[#This Row],[Document ID]],Table1[],10,FALSE)</f>
        <v>Active</v>
      </c>
      <c r="H472" s="43" t="s">
        <v>2343</v>
      </c>
      <c r="I472" s="43" t="s">
        <v>2386</v>
      </c>
      <c r="J472" s="44" t="s">
        <v>2412</v>
      </c>
      <c r="K472" s="44" t="s">
        <v>2814</v>
      </c>
      <c r="L472" s="44" t="s">
        <v>2471</v>
      </c>
      <c r="M472" s="43" t="s">
        <v>2810</v>
      </c>
      <c r="N472" s="113"/>
      <c r="O472" s="113"/>
      <c r="P472" s="113"/>
      <c r="Q472" s="113"/>
      <c r="R472" s="113"/>
      <c r="S472" s="113" t="s">
        <v>1113</v>
      </c>
      <c r="T472" s="113"/>
      <c r="U472" s="113"/>
      <c r="V472" s="113"/>
      <c r="W472" s="113"/>
      <c r="X472" s="113"/>
      <c r="Y472" s="113"/>
      <c r="Z472" s="113"/>
      <c r="AA472" s="113"/>
      <c r="AB472" s="113"/>
      <c r="AC472" s="113"/>
      <c r="AD472" s="113"/>
      <c r="AE472" s="113"/>
      <c r="AF472" s="113"/>
      <c r="AG472" s="113"/>
      <c r="AH472" s="113"/>
      <c r="AI472" s="113"/>
      <c r="AJ472" s="113"/>
      <c r="AK472" s="319" t="s">
        <v>1113</v>
      </c>
      <c r="AL472" s="113"/>
      <c r="AM472" s="113"/>
      <c r="AN472" s="113"/>
      <c r="AO472" s="43" t="s">
        <v>2348</v>
      </c>
      <c r="AP472" s="43"/>
      <c r="AQ472" s="236" t="str">
        <f>VLOOKUP(Table8[[#This Row],[Instrument]],Def_Targets!$D$73:$E$159,2,FALSE)</f>
        <v>A_Economic</v>
      </c>
      <c r="AR472" s="233" t="str">
        <f>VLOOKUP(Table8[[#This Row],[Country Code]],Table29[],3,FALSE)</f>
        <v>Non-Annex I</v>
      </c>
      <c r="AS472" s="233" t="str">
        <f>VLOOKUP(Table8[[#This Row],[Country Code]],Table29[],4,FALSE)</f>
        <v>Latin America and the Caribbean</v>
      </c>
      <c r="AT472" s="233" t="str">
        <f>VLOOKUP(Table8[[#This Row],[Country Code]],Table29[],5,FALSE)</f>
        <v>Middle-income</v>
      </c>
      <c r="AU472" s="233" t="str">
        <f>VLOOKUP(Table8[[#This Row],[Country Code]],Table29[],6,FALSE)</f>
        <v>no</v>
      </c>
      <c r="AV472" s="233" t="str">
        <f>VLOOKUP(Table8[[#This Row],[Country Code]],Table29[],7,FALSE)</f>
        <v>no</v>
      </c>
      <c r="AW472" s="233" t="str">
        <f>VLOOKUP(Table8[[#This Row],[Country Code]],Table29[],8,FALSE)</f>
        <v>OECD</v>
      </c>
      <c r="AX472" s="233" t="str">
        <f>VLOOKUP(Table8[[#This Row],[Country Code]],Table29[],9,FALSE)</f>
        <v>no</v>
      </c>
      <c r="AY472" s="233" t="str">
        <f>VLOOKUP(Table8[[#This Row],[Country Code]],Table29[],10,FALSE)</f>
        <v>no</v>
      </c>
      <c r="AZ472" s="235">
        <f>VLOOKUP(Table8[[#This Row],[Country Code]],Table29[],23,FALSE)</f>
        <v>223.96663405241</v>
      </c>
      <c r="BA472" s="235">
        <f>VLOOKUP(Table8[[#This Row],[Country Code]],Table29[],24,FALSE)</f>
        <v>37.36796885652894</v>
      </c>
      <c r="BB472" s="320"/>
      <c r="BC472" s="320"/>
    </row>
    <row r="473" spans="1:55" ht="75" hidden="1" x14ac:dyDescent="0.25">
      <c r="A473" s="373">
        <v>17558</v>
      </c>
      <c r="B473" s="233" t="str">
        <f>VLOOKUP(Table8[[#This Row],[Document ID]],Table1[],2,FALSE)</f>
        <v>COL</v>
      </c>
      <c r="C473" s="233" t="str">
        <f>VLOOKUP(Table8[[#This Row],[Document ID]],Table1[],3,FALSE)</f>
        <v>Colombia</v>
      </c>
      <c r="D473" s="243" t="str">
        <f>VLOOKUP(Table8[[#This Row],[Document ID]],Table1[],5,FALSE)</f>
        <v>NDC</v>
      </c>
      <c r="E473" s="233" t="str">
        <f>VLOOKUP(Table8[[#This Row],[Document ID]],Table1[],7,FALSE)</f>
        <v>First NDC updated</v>
      </c>
      <c r="F473" s="233" t="str">
        <f>VLOOKUP(Table8[[#This Row],[Document ID]],Table1[],8,FALSE)</f>
        <v>NDC 1.1</v>
      </c>
      <c r="G473" s="233" t="str">
        <f>VLOOKUP(Table8[[#This Row],[Document ID]],Table1[],10,FALSE)</f>
        <v>Active</v>
      </c>
      <c r="H473" s="43" t="s">
        <v>2358</v>
      </c>
      <c r="I473" s="43" t="s">
        <v>2359</v>
      </c>
      <c r="J473" s="44" t="s">
        <v>2360</v>
      </c>
      <c r="K473" s="44" t="s">
        <v>2815</v>
      </c>
      <c r="L473" s="44" t="s">
        <v>2333</v>
      </c>
      <c r="M473" s="43" t="s">
        <v>2816</v>
      </c>
      <c r="N473" s="113"/>
      <c r="O473" s="113"/>
      <c r="P473" s="113"/>
      <c r="Q473" s="113"/>
      <c r="R473" s="113"/>
      <c r="S473" s="113" t="s">
        <v>1113</v>
      </c>
      <c r="T473" s="113"/>
      <c r="U473" s="113"/>
      <c r="V473" s="113"/>
      <c r="W473" s="113"/>
      <c r="X473" s="113"/>
      <c r="Y473" s="113"/>
      <c r="Z473" s="113"/>
      <c r="AA473" s="113"/>
      <c r="AB473" s="113"/>
      <c r="AC473" s="113"/>
      <c r="AD473" s="113"/>
      <c r="AE473" s="113"/>
      <c r="AF473" s="113"/>
      <c r="AG473" s="113"/>
      <c r="AH473" s="113"/>
      <c r="AI473" s="113"/>
      <c r="AJ473" s="113"/>
      <c r="AK473" s="319" t="s">
        <v>1113</v>
      </c>
      <c r="AL473" s="113"/>
      <c r="AM473" s="113"/>
      <c r="AN473" s="113"/>
      <c r="AO473" s="44" t="s">
        <v>2334</v>
      </c>
      <c r="AP473" s="43"/>
      <c r="AQ473" s="236" t="str">
        <f>VLOOKUP(Table8[[#This Row],[Instrument]],Def_Targets!$D$73:$E$159,2,FALSE)</f>
        <v>I_Emobility</v>
      </c>
      <c r="AR473" s="233" t="str">
        <f>VLOOKUP(Table8[[#This Row],[Country Code]],Table29[],3,FALSE)</f>
        <v>Non-Annex I</v>
      </c>
      <c r="AS473" s="233" t="str">
        <f>VLOOKUP(Table8[[#This Row],[Country Code]],Table29[],4,FALSE)</f>
        <v>Latin America and the Caribbean</v>
      </c>
      <c r="AT473" s="233" t="str">
        <f>VLOOKUP(Table8[[#This Row],[Country Code]],Table29[],5,FALSE)</f>
        <v>Middle-income</v>
      </c>
      <c r="AU473" s="233" t="str">
        <f>VLOOKUP(Table8[[#This Row],[Country Code]],Table29[],6,FALSE)</f>
        <v>no</v>
      </c>
      <c r="AV473" s="233" t="str">
        <f>VLOOKUP(Table8[[#This Row],[Country Code]],Table29[],7,FALSE)</f>
        <v>no</v>
      </c>
      <c r="AW473" s="233" t="str">
        <f>VLOOKUP(Table8[[#This Row],[Country Code]],Table29[],8,FALSE)</f>
        <v>OECD</v>
      </c>
      <c r="AX473" s="233" t="str">
        <f>VLOOKUP(Table8[[#This Row],[Country Code]],Table29[],9,FALSE)</f>
        <v>no</v>
      </c>
      <c r="AY473" s="233" t="str">
        <f>VLOOKUP(Table8[[#This Row],[Country Code]],Table29[],10,FALSE)</f>
        <v>no</v>
      </c>
      <c r="AZ473" s="235">
        <f>VLOOKUP(Table8[[#This Row],[Country Code]],Table29[],23,FALSE)</f>
        <v>223.96663405241</v>
      </c>
      <c r="BA473" s="235">
        <f>VLOOKUP(Table8[[#This Row],[Country Code]],Table29[],24,FALSE)</f>
        <v>37.36796885652894</v>
      </c>
      <c r="BB473" s="320"/>
      <c r="BC473" s="320"/>
    </row>
    <row r="474" spans="1:55" ht="75" hidden="1" x14ac:dyDescent="0.25">
      <c r="A474" s="373">
        <v>17558</v>
      </c>
      <c r="B474" s="233" t="str">
        <f>VLOOKUP(Table8[[#This Row],[Document ID]],Table1[],2,FALSE)</f>
        <v>COL</v>
      </c>
      <c r="C474" s="233" t="str">
        <f>VLOOKUP(Table8[[#This Row],[Document ID]],Table1[],3,FALSE)</f>
        <v>Colombia</v>
      </c>
      <c r="D474" s="243" t="str">
        <f>VLOOKUP(Table8[[#This Row],[Document ID]],Table1[],5,FALSE)</f>
        <v>NDC</v>
      </c>
      <c r="E474" s="233" t="str">
        <f>VLOOKUP(Table8[[#This Row],[Document ID]],Table1[],7,FALSE)</f>
        <v>First NDC updated</v>
      </c>
      <c r="F474" s="233" t="str">
        <f>VLOOKUP(Table8[[#This Row],[Document ID]],Table1[],8,FALSE)</f>
        <v>NDC 1.1</v>
      </c>
      <c r="G474" s="233" t="str">
        <f>VLOOKUP(Table8[[#This Row],[Document ID]],Table1[],10,FALSE)</f>
        <v>Active</v>
      </c>
      <c r="H474" s="43" t="s">
        <v>2484</v>
      </c>
      <c r="I474" s="43" t="s">
        <v>2488</v>
      </c>
      <c r="J474" s="44" t="s">
        <v>2489</v>
      </c>
      <c r="K474" s="44" t="s">
        <v>2817</v>
      </c>
      <c r="L474" s="44" t="s">
        <v>2333</v>
      </c>
      <c r="M474" s="43" t="s">
        <v>2816</v>
      </c>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t="s">
        <v>1113</v>
      </c>
      <c r="AI474" s="113"/>
      <c r="AJ474" s="113"/>
      <c r="AK474" s="319" t="s">
        <v>1113</v>
      </c>
      <c r="AL474" s="113"/>
      <c r="AM474" s="113"/>
      <c r="AN474" s="113"/>
      <c r="AO474" s="44" t="s">
        <v>2334</v>
      </c>
      <c r="AP474" s="43"/>
      <c r="AQ474" s="236" t="str">
        <f>VLOOKUP(Table8[[#This Row],[Instrument]],Def_Targets!$D$73:$E$159,2,FALSE)</f>
        <v>I_Aviation</v>
      </c>
      <c r="AR474" s="233" t="str">
        <f>VLOOKUP(Table8[[#This Row],[Country Code]],Table29[],3,FALSE)</f>
        <v>Non-Annex I</v>
      </c>
      <c r="AS474" s="233" t="str">
        <f>VLOOKUP(Table8[[#This Row],[Country Code]],Table29[],4,FALSE)</f>
        <v>Latin America and the Caribbean</v>
      </c>
      <c r="AT474" s="233" t="str">
        <f>VLOOKUP(Table8[[#This Row],[Country Code]],Table29[],5,FALSE)</f>
        <v>Middle-income</v>
      </c>
      <c r="AU474" s="233" t="str">
        <f>VLOOKUP(Table8[[#This Row],[Country Code]],Table29[],6,FALSE)</f>
        <v>no</v>
      </c>
      <c r="AV474" s="233" t="str">
        <f>VLOOKUP(Table8[[#This Row],[Country Code]],Table29[],7,FALSE)</f>
        <v>no</v>
      </c>
      <c r="AW474" s="233" t="str">
        <f>VLOOKUP(Table8[[#This Row],[Country Code]],Table29[],8,FALSE)</f>
        <v>OECD</v>
      </c>
      <c r="AX474" s="233" t="str">
        <f>VLOOKUP(Table8[[#This Row],[Country Code]],Table29[],9,FALSE)</f>
        <v>no</v>
      </c>
      <c r="AY474" s="233" t="str">
        <f>VLOOKUP(Table8[[#This Row],[Country Code]],Table29[],10,FALSE)</f>
        <v>no</v>
      </c>
      <c r="AZ474" s="235">
        <f>VLOOKUP(Table8[[#This Row],[Country Code]],Table29[],23,FALSE)</f>
        <v>223.96663405241</v>
      </c>
      <c r="BA474" s="235">
        <f>VLOOKUP(Table8[[#This Row],[Country Code]],Table29[],24,FALSE)</f>
        <v>37.36796885652894</v>
      </c>
      <c r="BB474" s="320"/>
      <c r="BC474" s="320"/>
    </row>
    <row r="475" spans="1:55" ht="30" hidden="1" x14ac:dyDescent="0.25">
      <c r="A475" s="373">
        <v>17558</v>
      </c>
      <c r="B475" s="233" t="str">
        <f>VLOOKUP(Table8[[#This Row],[Document ID]],Table1[],2,FALSE)</f>
        <v>COL</v>
      </c>
      <c r="C475" s="233" t="str">
        <f>VLOOKUP(Table8[[#This Row],[Document ID]],Table1[],3,FALSE)</f>
        <v>Colombia</v>
      </c>
      <c r="D475" s="243" t="str">
        <f>VLOOKUP(Table8[[#This Row],[Document ID]],Table1[],5,FALSE)</f>
        <v>NDC</v>
      </c>
      <c r="E475" s="233" t="str">
        <f>VLOOKUP(Table8[[#This Row],[Document ID]],Table1[],7,FALSE)</f>
        <v>First NDC updated</v>
      </c>
      <c r="F475" s="233" t="str">
        <f>VLOOKUP(Table8[[#This Row],[Document ID]],Table1[],8,FALSE)</f>
        <v>NDC 1.1</v>
      </c>
      <c r="G475" s="233" t="str">
        <f>VLOOKUP(Table8[[#This Row],[Document ID]],Table1[],10,FALSE)</f>
        <v>Active</v>
      </c>
      <c r="H475" s="44" t="s">
        <v>2338</v>
      </c>
      <c r="I475" s="44" t="s">
        <v>2339</v>
      </c>
      <c r="J475" s="44" t="s">
        <v>2340</v>
      </c>
      <c r="K475" s="44" t="s">
        <v>2818</v>
      </c>
      <c r="L475" s="44" t="s">
        <v>2333</v>
      </c>
      <c r="M475" s="43" t="s">
        <v>2816</v>
      </c>
      <c r="N475" s="113"/>
      <c r="O475" s="113"/>
      <c r="P475" s="113"/>
      <c r="Q475" s="113"/>
      <c r="R475" s="113"/>
      <c r="S475" s="113"/>
      <c r="T475" s="113"/>
      <c r="U475" s="113"/>
      <c r="V475" s="113"/>
      <c r="W475" s="113"/>
      <c r="X475" s="113" t="s">
        <v>1113</v>
      </c>
      <c r="Y475" s="113"/>
      <c r="Z475" s="113"/>
      <c r="AA475" s="113"/>
      <c r="AB475" s="113"/>
      <c r="AC475" s="113"/>
      <c r="AD475" s="113"/>
      <c r="AE475" s="113"/>
      <c r="AF475" s="113"/>
      <c r="AG475" s="113"/>
      <c r="AH475" s="113"/>
      <c r="AI475" s="113"/>
      <c r="AJ475" s="113"/>
      <c r="AK475" s="319" t="s">
        <v>1113</v>
      </c>
      <c r="AL475" s="113"/>
      <c r="AM475" s="113"/>
      <c r="AN475" s="113"/>
      <c r="AO475" s="43" t="s">
        <v>2353</v>
      </c>
      <c r="AP475" s="43"/>
      <c r="AQ475" s="236" t="str">
        <f>VLOOKUP(Table8[[#This Row],[Instrument]],Def_Targets!$D$73:$E$159,2,FALSE)</f>
        <v>I_Vehicleimprove</v>
      </c>
      <c r="AR475" s="233" t="str">
        <f>VLOOKUP(Table8[[#This Row],[Country Code]],Table29[],3,FALSE)</f>
        <v>Non-Annex I</v>
      </c>
      <c r="AS475" s="233" t="str">
        <f>VLOOKUP(Table8[[#This Row],[Country Code]],Table29[],4,FALSE)</f>
        <v>Latin America and the Caribbean</v>
      </c>
      <c r="AT475" s="233" t="str">
        <f>VLOOKUP(Table8[[#This Row],[Country Code]],Table29[],5,FALSE)</f>
        <v>Middle-income</v>
      </c>
      <c r="AU475" s="233" t="str">
        <f>VLOOKUP(Table8[[#This Row],[Country Code]],Table29[],6,FALSE)</f>
        <v>no</v>
      </c>
      <c r="AV475" s="233" t="str">
        <f>VLOOKUP(Table8[[#This Row],[Country Code]],Table29[],7,FALSE)</f>
        <v>no</v>
      </c>
      <c r="AW475" s="233" t="str">
        <f>VLOOKUP(Table8[[#This Row],[Country Code]],Table29[],8,FALSE)</f>
        <v>OECD</v>
      </c>
      <c r="AX475" s="233" t="str">
        <f>VLOOKUP(Table8[[#This Row],[Country Code]],Table29[],9,FALSE)</f>
        <v>no</v>
      </c>
      <c r="AY475" s="233" t="str">
        <f>VLOOKUP(Table8[[#This Row],[Country Code]],Table29[],10,FALSE)</f>
        <v>no</v>
      </c>
      <c r="AZ475" s="235">
        <f>VLOOKUP(Table8[[#This Row],[Country Code]],Table29[],23,FALSE)</f>
        <v>223.96663405241</v>
      </c>
      <c r="BA475" s="235">
        <f>VLOOKUP(Table8[[#This Row],[Country Code]],Table29[],24,FALSE)</f>
        <v>37.36796885652894</v>
      </c>
      <c r="BB475" s="320"/>
      <c r="BC475" s="320"/>
    </row>
    <row r="476" spans="1:55" ht="30" hidden="1" x14ac:dyDescent="0.25">
      <c r="A476" s="373">
        <v>17558</v>
      </c>
      <c r="B476" s="233" t="str">
        <f>VLOOKUP(Table8[[#This Row],[Document ID]],Table1[],2,FALSE)</f>
        <v>COL</v>
      </c>
      <c r="C476" s="233" t="str">
        <f>VLOOKUP(Table8[[#This Row],[Document ID]],Table1[],3,FALSE)</f>
        <v>Colombia</v>
      </c>
      <c r="D476" s="243" t="str">
        <f>VLOOKUP(Table8[[#This Row],[Document ID]],Table1[],5,FALSE)</f>
        <v>NDC</v>
      </c>
      <c r="E476" s="233" t="str">
        <f>VLOOKUP(Table8[[#This Row],[Document ID]],Table1[],7,FALSE)</f>
        <v>First NDC updated</v>
      </c>
      <c r="F476" s="233" t="str">
        <f>VLOOKUP(Table8[[#This Row],[Document ID]],Table1[],8,FALSE)</f>
        <v>NDC 1.1</v>
      </c>
      <c r="G476" s="233" t="str">
        <f>VLOOKUP(Table8[[#This Row],[Document ID]],Table1[],10,FALSE)</f>
        <v>Active</v>
      </c>
      <c r="H476" s="43" t="s">
        <v>2350</v>
      </c>
      <c r="I476" s="43" t="s">
        <v>2351</v>
      </c>
      <c r="J476" s="44" t="s">
        <v>2352</v>
      </c>
      <c r="K476" s="44" t="s">
        <v>2819</v>
      </c>
      <c r="L476" s="44" t="s">
        <v>2347</v>
      </c>
      <c r="M476" s="43" t="s">
        <v>2816</v>
      </c>
      <c r="N476" s="113"/>
      <c r="O476" s="113"/>
      <c r="P476" s="113"/>
      <c r="Q476" s="113"/>
      <c r="R476" s="113"/>
      <c r="S476" s="113" t="s">
        <v>1113</v>
      </c>
      <c r="T476" s="113"/>
      <c r="U476" s="113"/>
      <c r="V476" s="113"/>
      <c r="W476" s="113"/>
      <c r="X476" s="113"/>
      <c r="Y476" s="113"/>
      <c r="Z476" s="113"/>
      <c r="AA476" s="113"/>
      <c r="AB476" s="113"/>
      <c r="AC476" s="113"/>
      <c r="AD476" s="113" t="s">
        <v>1113</v>
      </c>
      <c r="AE476" s="113"/>
      <c r="AF476" s="113"/>
      <c r="AG476" s="113"/>
      <c r="AH476" s="113"/>
      <c r="AI476" s="113"/>
      <c r="AJ476" s="113"/>
      <c r="AK476" s="319" t="s">
        <v>1113</v>
      </c>
      <c r="AL476" s="113"/>
      <c r="AM476" s="113"/>
      <c r="AN476" s="113"/>
      <c r="AO476" s="43" t="s">
        <v>2353</v>
      </c>
      <c r="AP476" s="43"/>
      <c r="AQ476" s="236" t="str">
        <f>VLOOKUP(Table8[[#This Row],[Instrument]],Def_Targets!$D$73:$E$159,2,FALSE)</f>
        <v>S_Railfreight</v>
      </c>
      <c r="AR476" s="233" t="str">
        <f>VLOOKUP(Table8[[#This Row],[Country Code]],Table29[],3,FALSE)</f>
        <v>Non-Annex I</v>
      </c>
      <c r="AS476" s="233" t="str">
        <f>VLOOKUP(Table8[[#This Row],[Country Code]],Table29[],4,FALSE)</f>
        <v>Latin America and the Caribbean</v>
      </c>
      <c r="AT476" s="233" t="str">
        <f>VLOOKUP(Table8[[#This Row],[Country Code]],Table29[],5,FALSE)</f>
        <v>Middle-income</v>
      </c>
      <c r="AU476" s="233" t="str">
        <f>VLOOKUP(Table8[[#This Row],[Country Code]],Table29[],6,FALSE)</f>
        <v>no</v>
      </c>
      <c r="AV476" s="233" t="str">
        <f>VLOOKUP(Table8[[#This Row],[Country Code]],Table29[],7,FALSE)</f>
        <v>no</v>
      </c>
      <c r="AW476" s="233" t="str">
        <f>VLOOKUP(Table8[[#This Row],[Country Code]],Table29[],8,FALSE)</f>
        <v>OECD</v>
      </c>
      <c r="AX476" s="233" t="str">
        <f>VLOOKUP(Table8[[#This Row],[Country Code]],Table29[],9,FALSE)</f>
        <v>no</v>
      </c>
      <c r="AY476" s="233" t="str">
        <f>VLOOKUP(Table8[[#This Row],[Country Code]],Table29[],10,FALSE)</f>
        <v>no</v>
      </c>
      <c r="AZ476" s="235">
        <f>VLOOKUP(Table8[[#This Row],[Country Code]],Table29[],23,FALSE)</f>
        <v>223.96663405241</v>
      </c>
      <c r="BA476" s="235">
        <f>VLOOKUP(Table8[[#This Row],[Country Code]],Table29[],24,FALSE)</f>
        <v>37.36796885652894</v>
      </c>
      <c r="BB476" s="320"/>
      <c r="BC476" s="320"/>
    </row>
    <row r="477" spans="1:55" ht="45" hidden="1" x14ac:dyDescent="0.25">
      <c r="A477" s="373">
        <v>17558</v>
      </c>
      <c r="B477" s="233" t="str">
        <f>VLOOKUP(Table8[[#This Row],[Document ID]],Table1[],2,FALSE)</f>
        <v>COL</v>
      </c>
      <c r="C477" s="233" t="str">
        <f>VLOOKUP(Table8[[#This Row],[Document ID]],Table1[],3,FALSE)</f>
        <v>Colombia</v>
      </c>
      <c r="D477" s="243" t="str">
        <f>VLOOKUP(Table8[[#This Row],[Document ID]],Table1[],5,FALSE)</f>
        <v>NDC</v>
      </c>
      <c r="E477" s="233" t="str">
        <f>VLOOKUP(Table8[[#This Row],[Document ID]],Table1[],7,FALSE)</f>
        <v>First NDC updated</v>
      </c>
      <c r="F477" s="233" t="str">
        <f>VLOOKUP(Table8[[#This Row],[Document ID]],Table1[],8,FALSE)</f>
        <v>NDC 1.1</v>
      </c>
      <c r="G477" s="233" t="str">
        <f>VLOOKUP(Table8[[#This Row],[Document ID]],Table1[],10,FALSE)</f>
        <v>Active</v>
      </c>
      <c r="H477" s="43" t="s">
        <v>2343</v>
      </c>
      <c r="I477" s="43" t="s">
        <v>2361</v>
      </c>
      <c r="J477" s="44" t="s">
        <v>2362</v>
      </c>
      <c r="K477" s="44" t="s">
        <v>2820</v>
      </c>
      <c r="L477" s="44" t="s">
        <v>2347</v>
      </c>
      <c r="M477" s="43" t="s">
        <v>2821</v>
      </c>
      <c r="N477" s="113"/>
      <c r="O477" s="113"/>
      <c r="P477" s="113"/>
      <c r="Q477" s="113"/>
      <c r="R477" s="113" t="s">
        <v>1113</v>
      </c>
      <c r="S477" s="113"/>
      <c r="T477" s="113"/>
      <c r="U477" s="113"/>
      <c r="V477" s="113"/>
      <c r="W477" s="113"/>
      <c r="X477" s="113"/>
      <c r="Y477" s="113"/>
      <c r="Z477" s="113"/>
      <c r="AA477" s="113"/>
      <c r="AB477" s="113"/>
      <c r="AC477" s="113"/>
      <c r="AD477" s="113"/>
      <c r="AE477" s="113"/>
      <c r="AF477" s="113"/>
      <c r="AG477" s="113"/>
      <c r="AH477" s="113"/>
      <c r="AI477" s="113"/>
      <c r="AJ477" s="113"/>
      <c r="AK477" s="113"/>
      <c r="AL477" s="113" t="s">
        <v>1113</v>
      </c>
      <c r="AM477" s="113"/>
      <c r="AN477" s="113"/>
      <c r="AO477" s="44" t="s">
        <v>2334</v>
      </c>
      <c r="AP477" s="43"/>
      <c r="AQ477" s="236" t="str">
        <f>VLOOKUP(Table8[[#This Row],[Instrument]],Def_Targets!$D$73:$E$159,2,FALSE)</f>
        <v>S_Cycling</v>
      </c>
      <c r="AR477" s="233" t="str">
        <f>VLOOKUP(Table8[[#This Row],[Country Code]],Table29[],3,FALSE)</f>
        <v>Non-Annex I</v>
      </c>
      <c r="AS477" s="233" t="str">
        <f>VLOOKUP(Table8[[#This Row],[Country Code]],Table29[],4,FALSE)</f>
        <v>Latin America and the Caribbean</v>
      </c>
      <c r="AT477" s="233" t="str">
        <f>VLOOKUP(Table8[[#This Row],[Country Code]],Table29[],5,FALSE)</f>
        <v>Middle-income</v>
      </c>
      <c r="AU477" s="233" t="str">
        <f>VLOOKUP(Table8[[#This Row],[Country Code]],Table29[],6,FALSE)</f>
        <v>no</v>
      </c>
      <c r="AV477" s="233" t="str">
        <f>VLOOKUP(Table8[[#This Row],[Country Code]],Table29[],7,FALSE)</f>
        <v>no</v>
      </c>
      <c r="AW477" s="233" t="str">
        <f>VLOOKUP(Table8[[#This Row],[Country Code]],Table29[],8,FALSE)</f>
        <v>OECD</v>
      </c>
      <c r="AX477" s="233" t="str">
        <f>VLOOKUP(Table8[[#This Row],[Country Code]],Table29[],9,FALSE)</f>
        <v>no</v>
      </c>
      <c r="AY477" s="233" t="str">
        <f>VLOOKUP(Table8[[#This Row],[Country Code]],Table29[],10,FALSE)</f>
        <v>no</v>
      </c>
      <c r="AZ477" s="235">
        <f>VLOOKUP(Table8[[#This Row],[Country Code]],Table29[],23,FALSE)</f>
        <v>223.96663405241</v>
      </c>
      <c r="BA477" s="235">
        <f>VLOOKUP(Table8[[#This Row],[Country Code]],Table29[],24,FALSE)</f>
        <v>37.36796885652894</v>
      </c>
      <c r="BB477" s="320"/>
      <c r="BC477" s="320"/>
    </row>
    <row r="478" spans="1:55" ht="30" hidden="1" x14ac:dyDescent="0.25">
      <c r="A478" s="373">
        <v>17558</v>
      </c>
      <c r="B478" s="233" t="str">
        <f>VLOOKUP(Table8[[#This Row],[Document ID]],Table1[],2,FALSE)</f>
        <v>COL</v>
      </c>
      <c r="C478" s="233" t="str">
        <f>VLOOKUP(Table8[[#This Row],[Document ID]],Table1[],3,FALSE)</f>
        <v>Colombia</v>
      </c>
      <c r="D478" s="243" t="str">
        <f>VLOOKUP(Table8[[#This Row],[Document ID]],Table1[],5,FALSE)</f>
        <v>NDC</v>
      </c>
      <c r="E478" s="233" t="str">
        <f>VLOOKUP(Table8[[#This Row],[Document ID]],Table1[],7,FALSE)</f>
        <v>First NDC updated</v>
      </c>
      <c r="F478" s="233" t="str">
        <f>VLOOKUP(Table8[[#This Row],[Document ID]],Table1[],8,FALSE)</f>
        <v>NDC 1.1</v>
      </c>
      <c r="G478" s="233" t="str">
        <f>VLOOKUP(Table8[[#This Row],[Document ID]],Table1[],10,FALSE)</f>
        <v>Active</v>
      </c>
      <c r="H478" s="43" t="s">
        <v>2350</v>
      </c>
      <c r="I478" s="43" t="s">
        <v>2370</v>
      </c>
      <c r="J478" s="44" t="s">
        <v>2518</v>
      </c>
      <c r="K478" s="44" t="s">
        <v>2822</v>
      </c>
      <c r="L478" s="44" t="s">
        <v>2380</v>
      </c>
      <c r="M478" s="43" t="s">
        <v>2821</v>
      </c>
      <c r="N478" s="113" t="s">
        <v>1113</v>
      </c>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319"/>
      <c r="AL478" s="113" t="s">
        <v>1113</v>
      </c>
      <c r="AM478" s="319"/>
      <c r="AN478" s="319"/>
      <c r="AO478" s="44" t="s">
        <v>2334</v>
      </c>
      <c r="AP478" s="43"/>
      <c r="AQ478" s="236" t="str">
        <f>VLOOKUP(Table8[[#This Row],[Instrument]],Def_Targets!$D$73:$E$159,2,FALSE)</f>
        <v>A_Mixuse</v>
      </c>
      <c r="AR478" s="233" t="str">
        <f>VLOOKUP(Table8[[#This Row],[Country Code]],Table29[],3,FALSE)</f>
        <v>Non-Annex I</v>
      </c>
      <c r="AS478" s="233" t="str">
        <f>VLOOKUP(Table8[[#This Row],[Country Code]],Table29[],4,FALSE)</f>
        <v>Latin America and the Caribbean</v>
      </c>
      <c r="AT478" s="233" t="str">
        <f>VLOOKUP(Table8[[#This Row],[Country Code]],Table29[],5,FALSE)</f>
        <v>Middle-income</v>
      </c>
      <c r="AU478" s="233" t="str">
        <f>VLOOKUP(Table8[[#This Row],[Country Code]],Table29[],6,FALSE)</f>
        <v>no</v>
      </c>
      <c r="AV478" s="233" t="str">
        <f>VLOOKUP(Table8[[#This Row],[Country Code]],Table29[],7,FALSE)</f>
        <v>no</v>
      </c>
      <c r="AW478" s="233" t="str">
        <f>VLOOKUP(Table8[[#This Row],[Country Code]],Table29[],8,FALSE)</f>
        <v>OECD</v>
      </c>
      <c r="AX478" s="233" t="str">
        <f>VLOOKUP(Table8[[#This Row],[Country Code]],Table29[],9,FALSE)</f>
        <v>no</v>
      </c>
      <c r="AY478" s="233" t="str">
        <f>VLOOKUP(Table8[[#This Row],[Country Code]],Table29[],10,FALSE)</f>
        <v>no</v>
      </c>
      <c r="AZ478" s="235">
        <f>VLOOKUP(Table8[[#This Row],[Country Code]],Table29[],23,FALSE)</f>
        <v>223.96663405241</v>
      </c>
      <c r="BA478" s="235">
        <f>VLOOKUP(Table8[[#This Row],[Country Code]],Table29[],24,FALSE)</f>
        <v>37.36796885652894</v>
      </c>
      <c r="BB478" s="320"/>
      <c r="BC478" s="320"/>
    </row>
    <row r="479" spans="1:55" ht="60" hidden="1" x14ac:dyDescent="0.25">
      <c r="A479" s="373">
        <v>17558</v>
      </c>
      <c r="B479" s="233" t="str">
        <f>VLOOKUP(Table8[[#This Row],[Document ID]],Table1[],2,FALSE)</f>
        <v>COL</v>
      </c>
      <c r="C479" s="233" t="str">
        <f>VLOOKUP(Table8[[#This Row],[Document ID]],Table1[],3,FALSE)</f>
        <v>Colombia</v>
      </c>
      <c r="D479" s="243" t="str">
        <f>VLOOKUP(Table8[[#This Row],[Document ID]],Table1[],5,FALSE)</f>
        <v>NDC</v>
      </c>
      <c r="E479" s="233" t="str">
        <f>VLOOKUP(Table8[[#This Row],[Document ID]],Table1[],7,FALSE)</f>
        <v>First NDC updated</v>
      </c>
      <c r="F479" s="233" t="str">
        <f>VLOOKUP(Table8[[#This Row],[Document ID]],Table1[],8,FALSE)</f>
        <v>NDC 1.1</v>
      </c>
      <c r="G479" s="233" t="str">
        <f>VLOOKUP(Table8[[#This Row],[Document ID]],Table1[],10,FALSE)</f>
        <v>Active</v>
      </c>
      <c r="H479" s="43" t="s">
        <v>2350</v>
      </c>
      <c r="I479" s="43" t="s">
        <v>2370</v>
      </c>
      <c r="J479" s="44" t="s">
        <v>2518</v>
      </c>
      <c r="K479" s="44" t="s">
        <v>2823</v>
      </c>
      <c r="L479" s="44" t="s">
        <v>2380</v>
      </c>
      <c r="M479" s="43" t="s">
        <v>2821</v>
      </c>
      <c r="N479" s="113"/>
      <c r="O479" s="113"/>
      <c r="P479" s="113"/>
      <c r="Q479" s="113"/>
      <c r="R479" s="113"/>
      <c r="S479" s="113"/>
      <c r="T479" s="113"/>
      <c r="U479" s="113"/>
      <c r="V479" s="113"/>
      <c r="W479" s="113"/>
      <c r="X479" s="113"/>
      <c r="Y479" s="113" t="s">
        <v>1113</v>
      </c>
      <c r="Z479" s="113"/>
      <c r="AA479" s="113"/>
      <c r="AB479" s="113"/>
      <c r="AC479" s="113" t="s">
        <v>1113</v>
      </c>
      <c r="AD479" s="113"/>
      <c r="AE479" s="113"/>
      <c r="AF479" s="113"/>
      <c r="AG479" s="113"/>
      <c r="AH479" s="113"/>
      <c r="AI479" s="113"/>
      <c r="AJ479" s="113"/>
      <c r="AK479" s="319"/>
      <c r="AL479" s="113" t="s">
        <v>1113</v>
      </c>
      <c r="AM479" s="319"/>
      <c r="AN479" s="319"/>
      <c r="AO479" s="43" t="s">
        <v>2348</v>
      </c>
      <c r="AP479" s="43"/>
      <c r="AQ479" s="236" t="str">
        <f>VLOOKUP(Table8[[#This Row],[Instrument]],Def_Targets!$D$73:$E$159,2,FALSE)</f>
        <v>A_Mixuse</v>
      </c>
      <c r="AR479" s="233" t="str">
        <f>VLOOKUP(Table8[[#This Row],[Country Code]],Table29[],3,FALSE)</f>
        <v>Non-Annex I</v>
      </c>
      <c r="AS479" s="233" t="str">
        <f>VLOOKUP(Table8[[#This Row],[Country Code]],Table29[],4,FALSE)</f>
        <v>Latin America and the Caribbean</v>
      </c>
      <c r="AT479" s="233" t="str">
        <f>VLOOKUP(Table8[[#This Row],[Country Code]],Table29[],5,FALSE)</f>
        <v>Middle-income</v>
      </c>
      <c r="AU479" s="233" t="str">
        <f>VLOOKUP(Table8[[#This Row],[Country Code]],Table29[],6,FALSE)</f>
        <v>no</v>
      </c>
      <c r="AV479" s="233" t="str">
        <f>VLOOKUP(Table8[[#This Row],[Country Code]],Table29[],7,FALSE)</f>
        <v>no</v>
      </c>
      <c r="AW479" s="233" t="str">
        <f>VLOOKUP(Table8[[#This Row],[Country Code]],Table29[],8,FALSE)</f>
        <v>OECD</v>
      </c>
      <c r="AX479" s="233" t="str">
        <f>VLOOKUP(Table8[[#This Row],[Country Code]],Table29[],9,FALSE)</f>
        <v>no</v>
      </c>
      <c r="AY479" s="233" t="str">
        <f>VLOOKUP(Table8[[#This Row],[Country Code]],Table29[],10,FALSE)</f>
        <v>no</v>
      </c>
      <c r="AZ479" s="235">
        <f>VLOOKUP(Table8[[#This Row],[Country Code]],Table29[],23,FALSE)</f>
        <v>223.96663405241</v>
      </c>
      <c r="BA479" s="235">
        <f>VLOOKUP(Table8[[#This Row],[Country Code]],Table29[],24,FALSE)</f>
        <v>37.36796885652894</v>
      </c>
      <c r="BB479" s="320"/>
      <c r="BC479" s="320"/>
    </row>
    <row r="480" spans="1:55" ht="45" hidden="1" x14ac:dyDescent="0.25">
      <c r="A480" s="373">
        <v>17558</v>
      </c>
      <c r="B480" s="233" t="str">
        <f>VLOOKUP(Table8[[#This Row],[Document ID]],Table1[],2,FALSE)</f>
        <v>COL</v>
      </c>
      <c r="C480" s="233" t="str">
        <f>VLOOKUP(Table8[[#This Row],[Document ID]],Table1[],3,FALSE)</f>
        <v>Colombia</v>
      </c>
      <c r="D480" s="243" t="str">
        <f>VLOOKUP(Table8[[#This Row],[Document ID]],Table1[],5,FALSE)</f>
        <v>NDC</v>
      </c>
      <c r="E480" s="233" t="str">
        <f>VLOOKUP(Table8[[#This Row],[Document ID]],Table1[],7,FALSE)</f>
        <v>First NDC updated</v>
      </c>
      <c r="F480" s="233" t="str">
        <f>VLOOKUP(Table8[[#This Row],[Document ID]],Table1[],8,FALSE)</f>
        <v>NDC 1.1</v>
      </c>
      <c r="G480" s="233" t="str">
        <f>VLOOKUP(Table8[[#This Row],[Document ID]],Table1[],10,FALSE)</f>
        <v>Active</v>
      </c>
      <c r="H480" s="43" t="s">
        <v>2350</v>
      </c>
      <c r="I480" s="43" t="s">
        <v>2456</v>
      </c>
      <c r="J480" s="44" t="s">
        <v>2457</v>
      </c>
      <c r="K480" s="44" t="s">
        <v>2824</v>
      </c>
      <c r="L480" s="44" t="s">
        <v>2471</v>
      </c>
      <c r="M480" s="43" t="s">
        <v>2821</v>
      </c>
      <c r="N480" s="113"/>
      <c r="O480" s="113"/>
      <c r="P480" s="113"/>
      <c r="Q480" s="113"/>
      <c r="R480" s="113"/>
      <c r="S480" s="113"/>
      <c r="T480" s="113"/>
      <c r="U480" s="113"/>
      <c r="V480" s="113"/>
      <c r="W480" s="113"/>
      <c r="X480" s="113"/>
      <c r="Y480" s="113"/>
      <c r="Z480" s="113" t="s">
        <v>1113</v>
      </c>
      <c r="AA480" s="113"/>
      <c r="AB480" s="113"/>
      <c r="AC480" s="113"/>
      <c r="AD480" s="113"/>
      <c r="AE480" s="113"/>
      <c r="AF480" s="113"/>
      <c r="AG480" s="113"/>
      <c r="AH480" s="113"/>
      <c r="AI480" s="113"/>
      <c r="AJ480" s="113"/>
      <c r="AK480" s="113"/>
      <c r="AL480" s="113"/>
      <c r="AM480" s="113"/>
      <c r="AN480" s="113" t="s">
        <v>1113</v>
      </c>
      <c r="AO480" s="44" t="s">
        <v>2334</v>
      </c>
      <c r="AP480" s="43"/>
      <c r="AQ480" s="236" t="str">
        <f>VLOOKUP(Table8[[#This Row],[Instrument]],Def_Targets!$D$73:$E$159,2,FALSE)</f>
        <v>S_Infraimprove</v>
      </c>
      <c r="AR480" s="233" t="str">
        <f>VLOOKUP(Table8[[#This Row],[Country Code]],Table29[],3,FALSE)</f>
        <v>Non-Annex I</v>
      </c>
      <c r="AS480" s="233" t="str">
        <f>VLOOKUP(Table8[[#This Row],[Country Code]],Table29[],4,FALSE)</f>
        <v>Latin America and the Caribbean</v>
      </c>
      <c r="AT480" s="233" t="str">
        <f>VLOOKUP(Table8[[#This Row],[Country Code]],Table29[],5,FALSE)</f>
        <v>Middle-income</v>
      </c>
      <c r="AU480" s="233" t="str">
        <f>VLOOKUP(Table8[[#This Row],[Country Code]],Table29[],6,FALSE)</f>
        <v>no</v>
      </c>
      <c r="AV480" s="233" t="str">
        <f>VLOOKUP(Table8[[#This Row],[Country Code]],Table29[],7,FALSE)</f>
        <v>no</v>
      </c>
      <c r="AW480" s="233" t="str">
        <f>VLOOKUP(Table8[[#This Row],[Country Code]],Table29[],8,FALSE)</f>
        <v>OECD</v>
      </c>
      <c r="AX480" s="233" t="str">
        <f>VLOOKUP(Table8[[#This Row],[Country Code]],Table29[],9,FALSE)</f>
        <v>no</v>
      </c>
      <c r="AY480" s="233" t="str">
        <f>VLOOKUP(Table8[[#This Row],[Country Code]],Table29[],10,FALSE)</f>
        <v>no</v>
      </c>
      <c r="AZ480" s="235">
        <f>VLOOKUP(Table8[[#This Row],[Country Code]],Table29[],23,FALSE)</f>
        <v>223.96663405241</v>
      </c>
      <c r="BA480" s="235">
        <f>VLOOKUP(Table8[[#This Row],[Country Code]],Table29[],24,FALSE)</f>
        <v>37.36796885652894</v>
      </c>
      <c r="BB480" s="320"/>
      <c r="BC480" s="320"/>
    </row>
    <row r="481" spans="1:55" ht="45" hidden="1" x14ac:dyDescent="0.25">
      <c r="A481" s="373">
        <v>17558</v>
      </c>
      <c r="B481" s="233" t="str">
        <f>VLOOKUP(Table8[[#This Row],[Document ID]],Table1[],2,FALSE)</f>
        <v>COL</v>
      </c>
      <c r="C481" s="233" t="str">
        <f>VLOOKUP(Table8[[#This Row],[Document ID]],Table1[],3,FALSE)</f>
        <v>Colombia</v>
      </c>
      <c r="D481" s="243" t="str">
        <f>VLOOKUP(Table8[[#This Row],[Document ID]],Table1[],5,FALSE)</f>
        <v>NDC</v>
      </c>
      <c r="E481" s="233" t="str">
        <f>VLOOKUP(Table8[[#This Row],[Document ID]],Table1[],7,FALSE)</f>
        <v>First NDC updated</v>
      </c>
      <c r="F481" s="233" t="str">
        <f>VLOOKUP(Table8[[#This Row],[Document ID]],Table1[],8,FALSE)</f>
        <v>NDC 1.1</v>
      </c>
      <c r="G481" s="233" t="str">
        <f>VLOOKUP(Table8[[#This Row],[Document ID]],Table1[],10,FALSE)</f>
        <v>Active</v>
      </c>
      <c r="H481" s="43" t="s">
        <v>2350</v>
      </c>
      <c r="I481" s="43" t="s">
        <v>2351</v>
      </c>
      <c r="J481" s="44" t="s">
        <v>2447</v>
      </c>
      <c r="K481" s="44" t="s">
        <v>2825</v>
      </c>
      <c r="L481" s="44" t="s">
        <v>2380</v>
      </c>
      <c r="M481" s="43" t="s">
        <v>2816</v>
      </c>
      <c r="N481" s="113" t="s">
        <v>1113</v>
      </c>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319" t="s">
        <v>1113</v>
      </c>
      <c r="AL481" s="113"/>
      <c r="AM481" s="113"/>
      <c r="AN481" s="113"/>
      <c r="AO481" s="43" t="s">
        <v>2353</v>
      </c>
      <c r="AP481" s="43"/>
      <c r="AQ481" s="236" t="str">
        <f>VLOOKUP(Table8[[#This Row],[Instrument]],Def_Targets!$D$73:$E$159,2,FALSE)</f>
        <v>I_Freighteff</v>
      </c>
      <c r="AR481" s="233" t="str">
        <f>VLOOKUP(Table8[[#This Row],[Country Code]],Table29[],3,FALSE)</f>
        <v>Non-Annex I</v>
      </c>
      <c r="AS481" s="233" t="str">
        <f>VLOOKUP(Table8[[#This Row],[Country Code]],Table29[],4,FALSE)</f>
        <v>Latin America and the Caribbean</v>
      </c>
      <c r="AT481" s="233" t="str">
        <f>VLOOKUP(Table8[[#This Row],[Country Code]],Table29[],5,FALSE)</f>
        <v>Middle-income</v>
      </c>
      <c r="AU481" s="233" t="str">
        <f>VLOOKUP(Table8[[#This Row],[Country Code]],Table29[],6,FALSE)</f>
        <v>no</v>
      </c>
      <c r="AV481" s="233" t="str">
        <f>VLOOKUP(Table8[[#This Row],[Country Code]],Table29[],7,FALSE)</f>
        <v>no</v>
      </c>
      <c r="AW481" s="233" t="str">
        <f>VLOOKUP(Table8[[#This Row],[Country Code]],Table29[],8,FALSE)</f>
        <v>OECD</v>
      </c>
      <c r="AX481" s="233" t="str">
        <f>VLOOKUP(Table8[[#This Row],[Country Code]],Table29[],9,FALSE)</f>
        <v>no</v>
      </c>
      <c r="AY481" s="233" t="str">
        <f>VLOOKUP(Table8[[#This Row],[Country Code]],Table29[],10,FALSE)</f>
        <v>no</v>
      </c>
      <c r="AZ481" s="235">
        <f>VLOOKUP(Table8[[#This Row],[Country Code]],Table29[],23,FALSE)</f>
        <v>223.96663405241</v>
      </c>
      <c r="BA481" s="235">
        <f>VLOOKUP(Table8[[#This Row],[Country Code]],Table29[],24,FALSE)</f>
        <v>37.36796885652894</v>
      </c>
      <c r="BB481" s="320"/>
      <c r="BC481" s="320"/>
    </row>
    <row r="482" spans="1:55" hidden="1" x14ac:dyDescent="0.25">
      <c r="A482" s="373">
        <v>17558</v>
      </c>
      <c r="B482" s="233" t="str">
        <f>VLOOKUP(Table8[[#This Row],[Document ID]],Table1[],2,FALSE)</f>
        <v>COL</v>
      </c>
      <c r="C482" s="233" t="str">
        <f>VLOOKUP(Table8[[#This Row],[Document ID]],Table1[],3,FALSE)</f>
        <v>Colombia</v>
      </c>
      <c r="D482" s="243" t="str">
        <f>VLOOKUP(Table8[[#This Row],[Document ID]],Table1[],5,FALSE)</f>
        <v>NDC</v>
      </c>
      <c r="E482" s="233" t="str">
        <f>VLOOKUP(Table8[[#This Row],[Document ID]],Table1[],7,FALSE)</f>
        <v>First NDC updated</v>
      </c>
      <c r="F482" s="233" t="str">
        <f>VLOOKUP(Table8[[#This Row],[Document ID]],Table1[],8,FALSE)</f>
        <v>NDC 1.1</v>
      </c>
      <c r="G482" s="233" t="str">
        <f>VLOOKUP(Table8[[#This Row],[Document ID]],Table1[],10,FALSE)</f>
        <v>Active</v>
      </c>
      <c r="H482" s="44" t="s">
        <v>2338</v>
      </c>
      <c r="I482" s="44" t="s">
        <v>2339</v>
      </c>
      <c r="J482" s="44" t="s">
        <v>2425</v>
      </c>
      <c r="K482" s="44" t="s">
        <v>2826</v>
      </c>
      <c r="L482" s="44" t="s">
        <v>2333</v>
      </c>
      <c r="M482" s="43" t="s">
        <v>2827</v>
      </c>
      <c r="N482" s="113"/>
      <c r="O482" s="113"/>
      <c r="P482" s="113"/>
      <c r="Q482" s="113"/>
      <c r="R482" s="113"/>
      <c r="S482" s="113" t="s">
        <v>1113</v>
      </c>
      <c r="T482" s="113"/>
      <c r="U482" s="113"/>
      <c r="V482" s="113"/>
      <c r="W482" s="113"/>
      <c r="X482" s="113"/>
      <c r="Y482" s="113"/>
      <c r="Z482" s="113"/>
      <c r="AA482" s="113"/>
      <c r="AB482" s="113"/>
      <c r="AC482" s="113"/>
      <c r="AD482" s="113"/>
      <c r="AE482" s="113"/>
      <c r="AF482" s="113"/>
      <c r="AG482" s="113"/>
      <c r="AH482" s="113"/>
      <c r="AI482" s="113"/>
      <c r="AJ482" s="113"/>
      <c r="AK482" s="319" t="s">
        <v>1113</v>
      </c>
      <c r="AL482" s="113"/>
      <c r="AM482" s="113"/>
      <c r="AN482" s="113"/>
      <c r="AO482" s="43" t="s">
        <v>2348</v>
      </c>
      <c r="AP482" s="43"/>
      <c r="AQ482" s="236" t="str">
        <f>VLOOKUP(Table8[[#This Row],[Instrument]],Def_Targets!$D$73:$E$159,2,FALSE)</f>
        <v>I_Efficiencystd</v>
      </c>
      <c r="AR482" s="233" t="str">
        <f>VLOOKUP(Table8[[#This Row],[Country Code]],Table29[],3,FALSE)</f>
        <v>Non-Annex I</v>
      </c>
      <c r="AS482" s="233" t="str">
        <f>VLOOKUP(Table8[[#This Row],[Country Code]],Table29[],4,FALSE)</f>
        <v>Latin America and the Caribbean</v>
      </c>
      <c r="AT482" s="233" t="str">
        <f>VLOOKUP(Table8[[#This Row],[Country Code]],Table29[],5,FALSE)</f>
        <v>Middle-income</v>
      </c>
      <c r="AU482" s="233" t="str">
        <f>VLOOKUP(Table8[[#This Row],[Country Code]],Table29[],6,FALSE)</f>
        <v>no</v>
      </c>
      <c r="AV482" s="233" t="str">
        <f>VLOOKUP(Table8[[#This Row],[Country Code]],Table29[],7,FALSE)</f>
        <v>no</v>
      </c>
      <c r="AW482" s="233" t="str">
        <f>VLOOKUP(Table8[[#This Row],[Country Code]],Table29[],8,FALSE)</f>
        <v>OECD</v>
      </c>
      <c r="AX482" s="233" t="str">
        <f>VLOOKUP(Table8[[#This Row],[Country Code]],Table29[],9,FALSE)</f>
        <v>no</v>
      </c>
      <c r="AY482" s="233" t="str">
        <f>VLOOKUP(Table8[[#This Row],[Country Code]],Table29[],10,FALSE)</f>
        <v>no</v>
      </c>
      <c r="AZ482" s="235">
        <f>VLOOKUP(Table8[[#This Row],[Country Code]],Table29[],23,FALSE)</f>
        <v>223.96663405241</v>
      </c>
      <c r="BA482" s="235">
        <f>VLOOKUP(Table8[[#This Row],[Country Code]],Table29[],24,FALSE)</f>
        <v>37.36796885652894</v>
      </c>
      <c r="BB482" s="320"/>
      <c r="BC482" s="320"/>
    </row>
    <row r="483" spans="1:55" hidden="1" x14ac:dyDescent="0.25">
      <c r="A483" s="373">
        <v>17558</v>
      </c>
      <c r="B483" s="233" t="str">
        <f>VLOOKUP(Table8[[#This Row],[Document ID]],Table1[],2,FALSE)</f>
        <v>COL</v>
      </c>
      <c r="C483" s="233" t="str">
        <f>VLOOKUP(Table8[[#This Row],[Document ID]],Table1[],3,FALSE)</f>
        <v>Colombia</v>
      </c>
      <c r="D483" s="243" t="str">
        <f>VLOOKUP(Table8[[#This Row],[Document ID]],Table1[],5,FALSE)</f>
        <v>NDC</v>
      </c>
      <c r="E483" s="233" t="str">
        <f>VLOOKUP(Table8[[#This Row],[Document ID]],Table1[],7,FALSE)</f>
        <v>First NDC updated</v>
      </c>
      <c r="F483" s="233" t="str">
        <f>VLOOKUP(Table8[[#This Row],[Document ID]],Table1[],8,FALSE)</f>
        <v>NDC 1.1</v>
      </c>
      <c r="G483" s="233" t="str">
        <f>VLOOKUP(Table8[[#This Row],[Document ID]],Table1[],10,FALSE)</f>
        <v>Active</v>
      </c>
      <c r="H483" s="44" t="s">
        <v>2338</v>
      </c>
      <c r="I483" s="44" t="s">
        <v>2339</v>
      </c>
      <c r="J483" s="44" t="s">
        <v>2425</v>
      </c>
      <c r="K483" s="44" t="s">
        <v>2828</v>
      </c>
      <c r="L483" s="44" t="s">
        <v>2333</v>
      </c>
      <c r="M483" s="43" t="s">
        <v>2827</v>
      </c>
      <c r="N483" s="113"/>
      <c r="O483" s="113"/>
      <c r="P483" s="113"/>
      <c r="Q483" s="113"/>
      <c r="R483" s="113"/>
      <c r="S483" s="113" t="s">
        <v>1113</v>
      </c>
      <c r="T483" s="113"/>
      <c r="U483" s="113"/>
      <c r="V483" s="113"/>
      <c r="W483" s="113"/>
      <c r="X483" s="113"/>
      <c r="Y483" s="113"/>
      <c r="Z483" s="113"/>
      <c r="AA483" s="113"/>
      <c r="AB483" s="113"/>
      <c r="AC483" s="113"/>
      <c r="AD483" s="113"/>
      <c r="AE483" s="113"/>
      <c r="AF483" s="113"/>
      <c r="AG483" s="113"/>
      <c r="AH483" s="113"/>
      <c r="AI483" s="113"/>
      <c r="AJ483" s="113"/>
      <c r="AK483" s="319" t="s">
        <v>1113</v>
      </c>
      <c r="AL483" s="113"/>
      <c r="AM483" s="113"/>
      <c r="AN483" s="113"/>
      <c r="AO483" s="43" t="s">
        <v>2353</v>
      </c>
      <c r="AP483" s="43"/>
      <c r="AQ483" s="236" t="str">
        <f>VLOOKUP(Table8[[#This Row],[Instrument]],Def_Targets!$D$73:$E$159,2,FALSE)</f>
        <v>I_Efficiencystd</v>
      </c>
      <c r="AR483" s="233" t="str">
        <f>VLOOKUP(Table8[[#This Row],[Country Code]],Table29[],3,FALSE)</f>
        <v>Non-Annex I</v>
      </c>
      <c r="AS483" s="233" t="str">
        <f>VLOOKUP(Table8[[#This Row],[Country Code]],Table29[],4,FALSE)</f>
        <v>Latin America and the Caribbean</v>
      </c>
      <c r="AT483" s="233" t="str">
        <f>VLOOKUP(Table8[[#This Row],[Country Code]],Table29[],5,FALSE)</f>
        <v>Middle-income</v>
      </c>
      <c r="AU483" s="233" t="str">
        <f>VLOOKUP(Table8[[#This Row],[Country Code]],Table29[],6,FALSE)</f>
        <v>no</v>
      </c>
      <c r="AV483" s="233" t="str">
        <f>VLOOKUP(Table8[[#This Row],[Country Code]],Table29[],7,FALSE)</f>
        <v>no</v>
      </c>
      <c r="AW483" s="233" t="str">
        <f>VLOOKUP(Table8[[#This Row],[Country Code]],Table29[],8,FALSE)</f>
        <v>OECD</v>
      </c>
      <c r="AX483" s="233" t="str">
        <f>VLOOKUP(Table8[[#This Row],[Country Code]],Table29[],9,FALSE)</f>
        <v>no</v>
      </c>
      <c r="AY483" s="233" t="str">
        <f>VLOOKUP(Table8[[#This Row],[Country Code]],Table29[],10,FALSE)</f>
        <v>no</v>
      </c>
      <c r="AZ483" s="235">
        <f>VLOOKUP(Table8[[#This Row],[Country Code]],Table29[],23,FALSE)</f>
        <v>223.96663405241</v>
      </c>
      <c r="BA483" s="235">
        <f>VLOOKUP(Table8[[#This Row],[Country Code]],Table29[],24,FALSE)</f>
        <v>37.36796885652894</v>
      </c>
      <c r="BB483" s="320"/>
      <c r="BC483" s="320"/>
    </row>
    <row r="484" spans="1:55" ht="30" hidden="1" x14ac:dyDescent="0.25">
      <c r="A484" s="373">
        <v>17558</v>
      </c>
      <c r="B484" s="233" t="str">
        <f>VLOOKUP(Table8[[#This Row],[Document ID]],Table1[],2,FALSE)</f>
        <v>COL</v>
      </c>
      <c r="C484" s="233" t="str">
        <f>VLOOKUP(Table8[[#This Row],[Document ID]],Table1[],3,FALSE)</f>
        <v>Colombia</v>
      </c>
      <c r="D484" s="243" t="str">
        <f>VLOOKUP(Table8[[#This Row],[Document ID]],Table1[],5,FALSE)</f>
        <v>NDC</v>
      </c>
      <c r="E484" s="233" t="str">
        <f>VLOOKUP(Table8[[#This Row],[Document ID]],Table1[],7,FALSE)</f>
        <v>First NDC updated</v>
      </c>
      <c r="F484" s="233" t="str">
        <f>VLOOKUP(Table8[[#This Row],[Document ID]],Table1[],8,FALSE)</f>
        <v>NDC 1.1</v>
      </c>
      <c r="G484" s="233" t="str">
        <f>VLOOKUP(Table8[[#This Row],[Document ID]],Table1[],10,FALSE)</f>
        <v>Active</v>
      </c>
      <c r="H484" s="43" t="s">
        <v>2358</v>
      </c>
      <c r="I484" s="43" t="s">
        <v>2359</v>
      </c>
      <c r="J484" s="44" t="s">
        <v>2360</v>
      </c>
      <c r="K484" s="44" t="s">
        <v>2829</v>
      </c>
      <c r="L484" s="44" t="s">
        <v>2333</v>
      </c>
      <c r="M484" s="43" t="s">
        <v>2810</v>
      </c>
      <c r="N484" s="113" t="s">
        <v>1113</v>
      </c>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319" t="s">
        <v>1113</v>
      </c>
      <c r="AL484" s="113"/>
      <c r="AM484" s="113"/>
      <c r="AN484" s="113"/>
      <c r="AO484" s="44" t="s">
        <v>2334</v>
      </c>
      <c r="AP484" s="43"/>
      <c r="AQ484" s="236" t="str">
        <f>VLOOKUP(Table8[[#This Row],[Instrument]],Def_Targets!$D$73:$E$159,2,FALSE)</f>
        <v>I_Emobility</v>
      </c>
      <c r="AR484" s="233" t="str">
        <f>VLOOKUP(Table8[[#This Row],[Country Code]],Table29[],3,FALSE)</f>
        <v>Non-Annex I</v>
      </c>
      <c r="AS484" s="233" t="str">
        <f>VLOOKUP(Table8[[#This Row],[Country Code]],Table29[],4,FALSE)</f>
        <v>Latin America and the Caribbean</v>
      </c>
      <c r="AT484" s="233" t="str">
        <f>VLOOKUP(Table8[[#This Row],[Country Code]],Table29[],5,FALSE)</f>
        <v>Middle-income</v>
      </c>
      <c r="AU484" s="233" t="str">
        <f>VLOOKUP(Table8[[#This Row],[Country Code]],Table29[],6,FALSE)</f>
        <v>no</v>
      </c>
      <c r="AV484" s="233" t="str">
        <f>VLOOKUP(Table8[[#This Row],[Country Code]],Table29[],7,FALSE)</f>
        <v>no</v>
      </c>
      <c r="AW484" s="233" t="str">
        <f>VLOOKUP(Table8[[#This Row],[Country Code]],Table29[],8,FALSE)</f>
        <v>OECD</v>
      </c>
      <c r="AX484" s="233" t="str">
        <f>VLOOKUP(Table8[[#This Row],[Country Code]],Table29[],9,FALSE)</f>
        <v>no</v>
      </c>
      <c r="AY484" s="233" t="str">
        <f>VLOOKUP(Table8[[#This Row],[Country Code]],Table29[],10,FALSE)</f>
        <v>no</v>
      </c>
      <c r="AZ484" s="235">
        <f>VLOOKUP(Table8[[#This Row],[Country Code]],Table29[],23,FALSE)</f>
        <v>223.96663405241</v>
      </c>
      <c r="BA484" s="235">
        <f>VLOOKUP(Table8[[#This Row],[Country Code]],Table29[],24,FALSE)</f>
        <v>37.36796885652894</v>
      </c>
      <c r="BB484" s="320"/>
      <c r="BC484" s="320"/>
    </row>
    <row r="485" spans="1:55" ht="30" hidden="1" x14ac:dyDescent="0.25">
      <c r="A485" s="373">
        <v>17558</v>
      </c>
      <c r="B485" s="233" t="str">
        <f>VLOOKUP(Table8[[#This Row],[Document ID]],Table1[],2,FALSE)</f>
        <v>COL</v>
      </c>
      <c r="C485" s="233" t="str">
        <f>VLOOKUP(Table8[[#This Row],[Document ID]],Table1[],3,FALSE)</f>
        <v>Colombia</v>
      </c>
      <c r="D485" s="243" t="str">
        <f>VLOOKUP(Table8[[#This Row],[Document ID]],Table1[],5,FALSE)</f>
        <v>NDC</v>
      </c>
      <c r="E485" s="233" t="str">
        <f>VLOOKUP(Table8[[#This Row],[Document ID]],Table1[],7,FALSE)</f>
        <v>First NDC updated</v>
      </c>
      <c r="F485" s="233" t="str">
        <f>VLOOKUP(Table8[[#This Row],[Document ID]],Table1[],8,FALSE)</f>
        <v>NDC 1.1</v>
      </c>
      <c r="G485" s="233" t="str">
        <f>VLOOKUP(Table8[[#This Row],[Document ID]],Table1[],10,FALSE)</f>
        <v>Active</v>
      </c>
      <c r="H485" s="44" t="s">
        <v>2338</v>
      </c>
      <c r="I485" s="44" t="s">
        <v>2339</v>
      </c>
      <c r="J485" s="44" t="s">
        <v>2340</v>
      </c>
      <c r="K485" s="44" t="s">
        <v>2829</v>
      </c>
      <c r="L485" s="44" t="s">
        <v>2333</v>
      </c>
      <c r="M485" s="43" t="s">
        <v>2810</v>
      </c>
      <c r="N485" s="113" t="s">
        <v>1113</v>
      </c>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319" t="s">
        <v>1113</v>
      </c>
      <c r="AL485" s="113"/>
      <c r="AM485" s="113"/>
      <c r="AN485" s="113"/>
      <c r="AO485" s="44" t="s">
        <v>2334</v>
      </c>
      <c r="AP485" s="43"/>
      <c r="AQ485" s="236" t="str">
        <f>VLOOKUP(Table8[[#This Row],[Instrument]],Def_Targets!$D$73:$E$159,2,FALSE)</f>
        <v>I_Vehicleimprove</v>
      </c>
      <c r="AR485" s="233" t="str">
        <f>VLOOKUP(Table8[[#This Row],[Country Code]],Table29[],3,FALSE)</f>
        <v>Non-Annex I</v>
      </c>
      <c r="AS485" s="233" t="str">
        <f>VLOOKUP(Table8[[#This Row],[Country Code]],Table29[],4,FALSE)</f>
        <v>Latin America and the Caribbean</v>
      </c>
      <c r="AT485" s="233" t="str">
        <f>VLOOKUP(Table8[[#This Row],[Country Code]],Table29[],5,FALSE)</f>
        <v>Middle-income</v>
      </c>
      <c r="AU485" s="233" t="str">
        <f>VLOOKUP(Table8[[#This Row],[Country Code]],Table29[],6,FALSE)</f>
        <v>no</v>
      </c>
      <c r="AV485" s="233" t="str">
        <f>VLOOKUP(Table8[[#This Row],[Country Code]],Table29[],7,FALSE)</f>
        <v>no</v>
      </c>
      <c r="AW485" s="233" t="str">
        <f>VLOOKUP(Table8[[#This Row],[Country Code]],Table29[],8,FALSE)</f>
        <v>OECD</v>
      </c>
      <c r="AX485" s="233" t="str">
        <f>VLOOKUP(Table8[[#This Row],[Country Code]],Table29[],9,FALSE)</f>
        <v>no</v>
      </c>
      <c r="AY485" s="233" t="str">
        <f>VLOOKUP(Table8[[#This Row],[Country Code]],Table29[],10,FALSE)</f>
        <v>no</v>
      </c>
      <c r="AZ485" s="235">
        <f>VLOOKUP(Table8[[#This Row],[Country Code]],Table29[],23,FALSE)</f>
        <v>223.96663405241</v>
      </c>
      <c r="BA485" s="235">
        <f>VLOOKUP(Table8[[#This Row],[Country Code]],Table29[],24,FALSE)</f>
        <v>37.36796885652894</v>
      </c>
      <c r="BB485" s="320"/>
      <c r="BC485" s="320"/>
    </row>
    <row r="486" spans="1:55" hidden="1" x14ac:dyDescent="0.25">
      <c r="A486" s="373">
        <v>26773</v>
      </c>
      <c r="B486" s="233" t="str">
        <f>VLOOKUP(Table8[[#This Row],[Document ID]],Table1[],2,FALSE)</f>
        <v>KHM</v>
      </c>
      <c r="C486" s="233" t="str">
        <f>VLOOKUP(Table8[[#This Row],[Document ID]],Table1[],3,FALSE)</f>
        <v>Cambodia</v>
      </c>
      <c r="D486" s="243" t="str">
        <f>VLOOKUP(Table8[[#This Row],[Document ID]],Table1[],5,FALSE)</f>
        <v>LTS</v>
      </c>
      <c r="E486" s="233" t="str">
        <f>VLOOKUP(Table8[[#This Row],[Document ID]],Table1[],7,FALSE)</f>
        <v>LTS</v>
      </c>
      <c r="F486" s="233" t="str">
        <f>VLOOKUP(Table8[[#This Row],[Document ID]],Table1[],8,FALSE)</f>
        <v>LTS 1.0</v>
      </c>
      <c r="G486" s="233" t="str">
        <f>VLOOKUP(Table8[[#This Row],[Document ID]],Table1[],10,FALSE)</f>
        <v>Active</v>
      </c>
      <c r="H486" s="43" t="s">
        <v>2343</v>
      </c>
      <c r="I486" s="43" t="s">
        <v>2344</v>
      </c>
      <c r="J486" s="44" t="s">
        <v>2345</v>
      </c>
      <c r="K486" s="44" t="s">
        <v>1703</v>
      </c>
      <c r="L486" s="44" t="s">
        <v>2347</v>
      </c>
      <c r="M486" s="43">
        <v>5</v>
      </c>
      <c r="N486" s="113" t="s">
        <v>1113</v>
      </c>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t="s">
        <v>1113</v>
      </c>
      <c r="AM486" s="113"/>
      <c r="AN486" s="113"/>
      <c r="AO486" s="43" t="s">
        <v>2348</v>
      </c>
      <c r="AP486" s="43"/>
      <c r="AQ486" s="236" t="str">
        <f>VLOOKUP(Table8[[#This Row],[Instrument]],Def_Targets!$D$73:$E$159,2,FALSE)</f>
        <v>S_PublicTransport</v>
      </c>
      <c r="AR486" s="233" t="str">
        <f>VLOOKUP(Table8[[#This Row],[Country Code]],Table29[],3,FALSE)</f>
        <v>Non-Annex I</v>
      </c>
      <c r="AS486" s="233" t="str">
        <f>VLOOKUP(Table8[[#This Row],[Country Code]],Table29[],4,FALSE)</f>
        <v>Asia</v>
      </c>
      <c r="AT486" s="233" t="str">
        <f>VLOOKUP(Table8[[#This Row],[Country Code]],Table29[],5,FALSE)</f>
        <v>Middle-income</v>
      </c>
      <c r="AU486" s="233" t="str">
        <f>VLOOKUP(Table8[[#This Row],[Country Code]],Table29[],6,FALSE)</f>
        <v>no</v>
      </c>
      <c r="AV486" s="233" t="str">
        <f>VLOOKUP(Table8[[#This Row],[Country Code]],Table29[],7,FALSE)</f>
        <v>no</v>
      </c>
      <c r="AW486" s="233" t="str">
        <f>VLOOKUP(Table8[[#This Row],[Country Code]],Table29[],8,FALSE)</f>
        <v>non-OECD</v>
      </c>
      <c r="AX486" s="233" t="str">
        <f>VLOOKUP(Table8[[#This Row],[Country Code]],Table29[],9,FALSE)</f>
        <v>no</v>
      </c>
      <c r="AY486" s="233" t="str">
        <f>VLOOKUP(Table8[[#This Row],[Country Code]],Table29[],10,FALSE)</f>
        <v>no</v>
      </c>
      <c r="AZ486" s="235">
        <f>VLOOKUP(Table8[[#This Row],[Country Code]],Table29[],23,FALSE)</f>
        <v>48.774832204749998</v>
      </c>
      <c r="BA486" s="235">
        <f>VLOOKUP(Table8[[#This Row],[Country Code]],Table29[],24,FALSE)</f>
        <v>7.547213161316451</v>
      </c>
      <c r="BB486" s="320"/>
      <c r="BC486" s="320"/>
    </row>
    <row r="487" spans="1:55" ht="30" hidden="1" x14ac:dyDescent="0.25">
      <c r="A487" s="373">
        <v>26773</v>
      </c>
      <c r="B487" s="233" t="str">
        <f>VLOOKUP(Table8[[#This Row],[Document ID]],Table1[],2,FALSE)</f>
        <v>KHM</v>
      </c>
      <c r="C487" s="233" t="str">
        <f>VLOOKUP(Table8[[#This Row],[Document ID]],Table1[],3,FALSE)</f>
        <v>Cambodia</v>
      </c>
      <c r="D487" s="243" t="str">
        <f>VLOOKUP(Table8[[#This Row],[Document ID]],Table1[],5,FALSE)</f>
        <v>LTS</v>
      </c>
      <c r="E487" s="233" t="str">
        <f>VLOOKUP(Table8[[#This Row],[Document ID]],Table1[],7,FALSE)</f>
        <v>LTS</v>
      </c>
      <c r="F487" s="233" t="str">
        <f>VLOOKUP(Table8[[#This Row],[Document ID]],Table1[],8,FALSE)</f>
        <v>LTS 1.0</v>
      </c>
      <c r="G487" s="233" t="str">
        <f>VLOOKUP(Table8[[#This Row],[Document ID]],Table1[],10,FALSE)</f>
        <v>Active</v>
      </c>
      <c r="H487" s="43" t="s">
        <v>2358</v>
      </c>
      <c r="I487" s="43" t="s">
        <v>2359</v>
      </c>
      <c r="J487" s="44" t="s">
        <v>2360</v>
      </c>
      <c r="K487" s="44" t="s">
        <v>2830</v>
      </c>
      <c r="L487" s="44" t="s">
        <v>2333</v>
      </c>
      <c r="M487" s="43">
        <v>5</v>
      </c>
      <c r="N487" s="113"/>
      <c r="O487" s="113"/>
      <c r="P487" s="113"/>
      <c r="Q487" s="113"/>
      <c r="R487" s="113"/>
      <c r="S487" s="113"/>
      <c r="T487" s="113" t="s">
        <v>1113</v>
      </c>
      <c r="U487" s="113" t="s">
        <v>1113</v>
      </c>
      <c r="V487" s="113"/>
      <c r="W487" s="113"/>
      <c r="X487" s="113"/>
      <c r="Y487" s="113" t="s">
        <v>1113</v>
      </c>
      <c r="Z487" s="113"/>
      <c r="AA487" s="113"/>
      <c r="AB487" s="113"/>
      <c r="AC487" s="113"/>
      <c r="AD487" s="113"/>
      <c r="AE487" s="113"/>
      <c r="AF487" s="113"/>
      <c r="AG487" s="113"/>
      <c r="AH487" s="113"/>
      <c r="AI487" s="113"/>
      <c r="AJ487" s="113"/>
      <c r="AK487" s="113" t="s">
        <v>1113</v>
      </c>
      <c r="AL487" s="113" t="s">
        <v>1113</v>
      </c>
      <c r="AM487" s="113"/>
      <c r="AN487" s="113"/>
      <c r="AO487" s="43" t="s">
        <v>2348</v>
      </c>
      <c r="AP487" s="43"/>
      <c r="AQ487" s="236" t="str">
        <f>VLOOKUP(Table8[[#This Row],[Instrument]],Def_Targets!$D$73:$E$159,2,FALSE)</f>
        <v>I_Emobility</v>
      </c>
      <c r="AR487" s="233" t="str">
        <f>VLOOKUP(Table8[[#This Row],[Country Code]],Table29[],3,FALSE)</f>
        <v>Non-Annex I</v>
      </c>
      <c r="AS487" s="233" t="str">
        <f>VLOOKUP(Table8[[#This Row],[Country Code]],Table29[],4,FALSE)</f>
        <v>Asia</v>
      </c>
      <c r="AT487" s="233" t="str">
        <f>VLOOKUP(Table8[[#This Row],[Country Code]],Table29[],5,FALSE)</f>
        <v>Middle-income</v>
      </c>
      <c r="AU487" s="233" t="str">
        <f>VLOOKUP(Table8[[#This Row],[Country Code]],Table29[],6,FALSE)</f>
        <v>no</v>
      </c>
      <c r="AV487" s="233" t="str">
        <f>VLOOKUP(Table8[[#This Row],[Country Code]],Table29[],7,FALSE)</f>
        <v>no</v>
      </c>
      <c r="AW487" s="233" t="str">
        <f>VLOOKUP(Table8[[#This Row],[Country Code]],Table29[],8,FALSE)</f>
        <v>non-OECD</v>
      </c>
      <c r="AX487" s="233" t="str">
        <f>VLOOKUP(Table8[[#This Row],[Country Code]],Table29[],9,FALSE)</f>
        <v>no</v>
      </c>
      <c r="AY487" s="233" t="str">
        <f>VLOOKUP(Table8[[#This Row],[Country Code]],Table29[],10,FALSE)</f>
        <v>no</v>
      </c>
      <c r="AZ487" s="235">
        <f>VLOOKUP(Table8[[#This Row],[Country Code]],Table29[],23,FALSE)</f>
        <v>48.774832204749998</v>
      </c>
      <c r="BA487" s="235">
        <f>VLOOKUP(Table8[[#This Row],[Country Code]],Table29[],24,FALSE)</f>
        <v>7.547213161316451</v>
      </c>
      <c r="BB487" s="320"/>
      <c r="BC487" s="320"/>
    </row>
    <row r="488" spans="1:55" hidden="1" x14ac:dyDescent="0.25">
      <c r="A488" s="373">
        <v>26773</v>
      </c>
      <c r="B488" s="233" t="str">
        <f>VLOOKUP(Table8[[#This Row],[Document ID]],Table1[],2,FALSE)</f>
        <v>KHM</v>
      </c>
      <c r="C488" s="233" t="str">
        <f>VLOOKUP(Table8[[#This Row],[Document ID]],Table1[],3,FALSE)</f>
        <v>Cambodia</v>
      </c>
      <c r="D488" s="243" t="str">
        <f>VLOOKUP(Table8[[#This Row],[Document ID]],Table1[],5,FALSE)</f>
        <v>LTS</v>
      </c>
      <c r="E488" s="233" t="str">
        <f>VLOOKUP(Table8[[#This Row],[Document ID]],Table1[],7,FALSE)</f>
        <v>LTS</v>
      </c>
      <c r="F488" s="233" t="str">
        <f>VLOOKUP(Table8[[#This Row],[Document ID]],Table1[],8,FALSE)</f>
        <v>LTS 1.0</v>
      </c>
      <c r="G488" s="233" t="str">
        <f>VLOOKUP(Table8[[#This Row],[Document ID]],Table1[],10,FALSE)</f>
        <v>Active</v>
      </c>
      <c r="H488" s="44" t="s">
        <v>2338</v>
      </c>
      <c r="I488" s="44" t="s">
        <v>2339</v>
      </c>
      <c r="J488" s="44" t="s">
        <v>2340</v>
      </c>
      <c r="K488" s="44" t="s">
        <v>2831</v>
      </c>
      <c r="L488" s="44" t="s">
        <v>2333</v>
      </c>
      <c r="M488" s="43">
        <v>5</v>
      </c>
      <c r="N488" s="113" t="s">
        <v>1113</v>
      </c>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44" t="s">
        <v>2334</v>
      </c>
      <c r="AP488" s="43"/>
      <c r="AQ488" s="236" t="str">
        <f>VLOOKUP(Table8[[#This Row],[Instrument]],Def_Targets!$D$73:$E$159,2,FALSE)</f>
        <v>I_Vehicleimprove</v>
      </c>
      <c r="AR488" s="233" t="str">
        <f>VLOOKUP(Table8[[#This Row],[Country Code]],Table29[],3,FALSE)</f>
        <v>Non-Annex I</v>
      </c>
      <c r="AS488" s="233" t="str">
        <f>VLOOKUP(Table8[[#This Row],[Country Code]],Table29[],4,FALSE)</f>
        <v>Asia</v>
      </c>
      <c r="AT488" s="233" t="str">
        <f>VLOOKUP(Table8[[#This Row],[Country Code]],Table29[],5,FALSE)</f>
        <v>Middle-income</v>
      </c>
      <c r="AU488" s="233" t="str">
        <f>VLOOKUP(Table8[[#This Row],[Country Code]],Table29[],6,FALSE)</f>
        <v>no</v>
      </c>
      <c r="AV488" s="233" t="str">
        <f>VLOOKUP(Table8[[#This Row],[Country Code]],Table29[],7,FALSE)</f>
        <v>no</v>
      </c>
      <c r="AW488" s="233" t="str">
        <f>VLOOKUP(Table8[[#This Row],[Country Code]],Table29[],8,FALSE)</f>
        <v>non-OECD</v>
      </c>
      <c r="AX488" s="233" t="str">
        <f>VLOOKUP(Table8[[#This Row],[Country Code]],Table29[],9,FALSE)</f>
        <v>no</v>
      </c>
      <c r="AY488" s="233" t="str">
        <f>VLOOKUP(Table8[[#This Row],[Country Code]],Table29[],10,FALSE)</f>
        <v>no</v>
      </c>
      <c r="AZ488" s="235">
        <f>VLOOKUP(Table8[[#This Row],[Country Code]],Table29[],23,FALSE)</f>
        <v>48.774832204749998</v>
      </c>
      <c r="BA488" s="235">
        <f>VLOOKUP(Table8[[#This Row],[Country Code]],Table29[],24,FALSE)</f>
        <v>7.547213161316451</v>
      </c>
      <c r="BB488" s="320"/>
      <c r="BC488" s="320"/>
    </row>
    <row r="489" spans="1:55" hidden="1" x14ac:dyDescent="0.25">
      <c r="A489" s="373">
        <v>26773</v>
      </c>
      <c r="B489" s="233" t="str">
        <f>VLOOKUP(Table8[[#This Row],[Document ID]],Table1[],2,FALSE)</f>
        <v>KHM</v>
      </c>
      <c r="C489" s="233" t="str">
        <f>VLOOKUP(Table8[[#This Row],[Document ID]],Table1[],3,FALSE)</f>
        <v>Cambodia</v>
      </c>
      <c r="D489" s="243" t="str">
        <f>VLOOKUP(Table8[[#This Row],[Document ID]],Table1[],5,FALSE)</f>
        <v>LTS</v>
      </c>
      <c r="E489" s="233" t="str">
        <f>VLOOKUP(Table8[[#This Row],[Document ID]],Table1[],7,FALSE)</f>
        <v>LTS</v>
      </c>
      <c r="F489" s="233" t="str">
        <f>VLOOKUP(Table8[[#This Row],[Document ID]],Table1[],8,FALSE)</f>
        <v>LTS 1.0</v>
      </c>
      <c r="G489" s="233" t="str">
        <f>VLOOKUP(Table8[[#This Row],[Document ID]],Table1[],10,FALSE)</f>
        <v>Active</v>
      </c>
      <c r="H489" s="43" t="s">
        <v>2350</v>
      </c>
      <c r="I489" s="43" t="s">
        <v>2456</v>
      </c>
      <c r="J489" s="44" t="s">
        <v>2466</v>
      </c>
      <c r="K489" s="44" t="s">
        <v>2832</v>
      </c>
      <c r="L489" s="44" t="s">
        <v>2347</v>
      </c>
      <c r="M489" s="43">
        <v>5</v>
      </c>
      <c r="N489" s="113"/>
      <c r="O489" s="113"/>
      <c r="P489" s="113"/>
      <c r="Q489" s="113"/>
      <c r="R489" s="113"/>
      <c r="S489" s="113"/>
      <c r="T489" s="113"/>
      <c r="U489" s="113"/>
      <c r="V489" s="113"/>
      <c r="W489" s="113"/>
      <c r="X489" s="113"/>
      <c r="Y489" s="113" t="s">
        <v>1113</v>
      </c>
      <c r="Z489" s="113" t="s">
        <v>1113</v>
      </c>
      <c r="AA489" s="113"/>
      <c r="AB489" s="113"/>
      <c r="AC489" s="113"/>
      <c r="AD489" s="113"/>
      <c r="AE489" s="113"/>
      <c r="AF489" s="113"/>
      <c r="AG489" s="113"/>
      <c r="AH489" s="113"/>
      <c r="AI489" s="113"/>
      <c r="AJ489" s="113"/>
      <c r="AK489" s="113" t="s">
        <v>1113</v>
      </c>
      <c r="AL489" s="113"/>
      <c r="AM489" s="113"/>
      <c r="AN489" s="113"/>
      <c r="AO489" s="43" t="s">
        <v>2477</v>
      </c>
      <c r="AP489" s="43"/>
      <c r="AQ489" s="236" t="str">
        <f>VLOOKUP(Table8[[#This Row],[Instrument]],Def_Targets!$D$73:$E$159,2,FALSE)</f>
        <v>S_Infraexpansion</v>
      </c>
      <c r="AR489" s="233" t="str">
        <f>VLOOKUP(Table8[[#This Row],[Country Code]],Table29[],3,FALSE)</f>
        <v>Non-Annex I</v>
      </c>
      <c r="AS489" s="233" t="str">
        <f>VLOOKUP(Table8[[#This Row],[Country Code]],Table29[],4,FALSE)</f>
        <v>Asia</v>
      </c>
      <c r="AT489" s="233" t="str">
        <f>VLOOKUP(Table8[[#This Row],[Country Code]],Table29[],5,FALSE)</f>
        <v>Middle-income</v>
      </c>
      <c r="AU489" s="233" t="str">
        <f>VLOOKUP(Table8[[#This Row],[Country Code]],Table29[],6,FALSE)</f>
        <v>no</v>
      </c>
      <c r="AV489" s="233" t="str">
        <f>VLOOKUP(Table8[[#This Row],[Country Code]],Table29[],7,FALSE)</f>
        <v>no</v>
      </c>
      <c r="AW489" s="233" t="str">
        <f>VLOOKUP(Table8[[#This Row],[Country Code]],Table29[],8,FALSE)</f>
        <v>non-OECD</v>
      </c>
      <c r="AX489" s="233" t="str">
        <f>VLOOKUP(Table8[[#This Row],[Country Code]],Table29[],9,FALSE)</f>
        <v>no</v>
      </c>
      <c r="AY489" s="233" t="str">
        <f>VLOOKUP(Table8[[#This Row],[Country Code]],Table29[],10,FALSE)</f>
        <v>no</v>
      </c>
      <c r="AZ489" s="235">
        <f>VLOOKUP(Table8[[#This Row],[Country Code]],Table29[],23,FALSE)</f>
        <v>48.774832204749998</v>
      </c>
      <c r="BA489" s="235">
        <f>VLOOKUP(Table8[[#This Row],[Country Code]],Table29[],24,FALSE)</f>
        <v>7.547213161316451</v>
      </c>
      <c r="BB489" s="320"/>
      <c r="BC489" s="320"/>
    </row>
    <row r="490" spans="1:55" ht="30" hidden="1" x14ac:dyDescent="0.25">
      <c r="A490" s="373">
        <v>26773</v>
      </c>
      <c r="B490" s="233" t="str">
        <f>VLOOKUP(Table8[[#This Row],[Document ID]],Table1[],2,FALSE)</f>
        <v>KHM</v>
      </c>
      <c r="C490" s="233" t="str">
        <f>VLOOKUP(Table8[[#This Row],[Document ID]],Table1[],3,FALSE)</f>
        <v>Cambodia</v>
      </c>
      <c r="D490" s="243" t="str">
        <f>VLOOKUP(Table8[[#This Row],[Document ID]],Table1[],5,FALSE)</f>
        <v>LTS</v>
      </c>
      <c r="E490" s="233" t="str">
        <f>VLOOKUP(Table8[[#This Row],[Document ID]],Table1[],7,FALSE)</f>
        <v>LTS</v>
      </c>
      <c r="F490" s="233" t="str">
        <f>VLOOKUP(Table8[[#This Row],[Document ID]],Table1[],8,FALSE)</f>
        <v>LTS 1.0</v>
      </c>
      <c r="G490" s="233" t="str">
        <f>VLOOKUP(Table8[[#This Row],[Document ID]],Table1[],10,FALSE)</f>
        <v>Active</v>
      </c>
      <c r="H490" s="43" t="s">
        <v>2350</v>
      </c>
      <c r="I490" s="43" t="s">
        <v>2351</v>
      </c>
      <c r="J490" s="44" t="s">
        <v>2352</v>
      </c>
      <c r="K490" s="44" t="s">
        <v>2832</v>
      </c>
      <c r="L490" s="44" t="s">
        <v>2347</v>
      </c>
      <c r="M490" s="43">
        <v>5</v>
      </c>
      <c r="N490" s="113"/>
      <c r="O490" s="113"/>
      <c r="P490" s="113"/>
      <c r="Q490" s="113"/>
      <c r="R490" s="113"/>
      <c r="S490" s="113"/>
      <c r="T490" s="113"/>
      <c r="U490" s="113"/>
      <c r="V490" s="113"/>
      <c r="W490" s="113"/>
      <c r="X490" s="113"/>
      <c r="Y490" s="113" t="s">
        <v>1113</v>
      </c>
      <c r="Z490" s="113" t="s">
        <v>1113</v>
      </c>
      <c r="AA490" s="113"/>
      <c r="AB490" s="113"/>
      <c r="AC490" s="113"/>
      <c r="AD490" s="113"/>
      <c r="AE490" s="113"/>
      <c r="AF490" s="113"/>
      <c r="AG490" s="113"/>
      <c r="AH490" s="113"/>
      <c r="AI490" s="113"/>
      <c r="AJ490" s="113"/>
      <c r="AK490" s="113" t="s">
        <v>1113</v>
      </c>
      <c r="AL490" s="113"/>
      <c r="AM490" s="113"/>
      <c r="AN490" s="113"/>
      <c r="AO490" s="43" t="s">
        <v>2477</v>
      </c>
      <c r="AP490" s="43"/>
      <c r="AQ490" s="236" t="str">
        <f>VLOOKUP(Table8[[#This Row],[Instrument]],Def_Targets!$D$73:$E$159,2,FALSE)</f>
        <v>S_Railfreight</v>
      </c>
      <c r="AR490" s="233" t="str">
        <f>VLOOKUP(Table8[[#This Row],[Country Code]],Table29[],3,FALSE)</f>
        <v>Non-Annex I</v>
      </c>
      <c r="AS490" s="233" t="str">
        <f>VLOOKUP(Table8[[#This Row],[Country Code]],Table29[],4,FALSE)</f>
        <v>Asia</v>
      </c>
      <c r="AT490" s="233" t="str">
        <f>VLOOKUP(Table8[[#This Row],[Country Code]],Table29[],5,FALSE)</f>
        <v>Middle-income</v>
      </c>
      <c r="AU490" s="233" t="str">
        <f>VLOOKUP(Table8[[#This Row],[Country Code]],Table29[],6,FALSE)</f>
        <v>no</v>
      </c>
      <c r="AV490" s="233" t="str">
        <f>VLOOKUP(Table8[[#This Row],[Country Code]],Table29[],7,FALSE)</f>
        <v>no</v>
      </c>
      <c r="AW490" s="233" t="str">
        <f>VLOOKUP(Table8[[#This Row],[Country Code]],Table29[],8,FALSE)</f>
        <v>non-OECD</v>
      </c>
      <c r="AX490" s="233" t="str">
        <f>VLOOKUP(Table8[[#This Row],[Country Code]],Table29[],9,FALSE)</f>
        <v>no</v>
      </c>
      <c r="AY490" s="233" t="str">
        <f>VLOOKUP(Table8[[#This Row],[Country Code]],Table29[],10,FALSE)</f>
        <v>no</v>
      </c>
      <c r="AZ490" s="235">
        <f>VLOOKUP(Table8[[#This Row],[Country Code]],Table29[],23,FALSE)</f>
        <v>48.774832204749998</v>
      </c>
      <c r="BA490" s="235">
        <f>VLOOKUP(Table8[[#This Row],[Country Code]],Table29[],24,FALSE)</f>
        <v>7.547213161316451</v>
      </c>
      <c r="BB490" s="320"/>
      <c r="BC490" s="320"/>
    </row>
    <row r="491" spans="1:55" ht="30" hidden="1" x14ac:dyDescent="0.25">
      <c r="A491" s="373">
        <v>26773</v>
      </c>
      <c r="B491" s="233" t="str">
        <f>VLOOKUP(Table8[[#This Row],[Document ID]],Table1[],2,FALSE)</f>
        <v>KHM</v>
      </c>
      <c r="C491" s="233" t="str">
        <f>VLOOKUP(Table8[[#This Row],[Document ID]],Table1[],3,FALSE)</f>
        <v>Cambodia</v>
      </c>
      <c r="D491" s="243" t="str">
        <f>VLOOKUP(Table8[[#This Row],[Document ID]],Table1[],5,FALSE)</f>
        <v>LTS</v>
      </c>
      <c r="E491" s="233" t="str">
        <f>VLOOKUP(Table8[[#This Row],[Document ID]],Table1[],7,FALSE)</f>
        <v>LTS</v>
      </c>
      <c r="F491" s="233" t="str">
        <f>VLOOKUP(Table8[[#This Row],[Document ID]],Table1[],8,FALSE)</f>
        <v>LTS 1.0</v>
      </c>
      <c r="G491" s="233" t="str">
        <f>VLOOKUP(Table8[[#This Row],[Document ID]],Table1[],10,FALSE)</f>
        <v>Active</v>
      </c>
      <c r="H491" s="44" t="s">
        <v>2329</v>
      </c>
      <c r="I491" s="44" t="s">
        <v>2330</v>
      </c>
      <c r="J491" s="44" t="s">
        <v>2363</v>
      </c>
      <c r="K491" s="44" t="s">
        <v>2833</v>
      </c>
      <c r="L491" s="44" t="s">
        <v>2333</v>
      </c>
      <c r="M491" s="43">
        <v>5</v>
      </c>
      <c r="N491" s="113"/>
      <c r="O491" s="113"/>
      <c r="P491" s="113"/>
      <c r="Q491" s="113"/>
      <c r="R491" s="113"/>
      <c r="S491" s="113"/>
      <c r="T491" s="113"/>
      <c r="U491" s="113"/>
      <c r="V491" s="113"/>
      <c r="W491" s="113"/>
      <c r="X491" s="113" t="s">
        <v>1113</v>
      </c>
      <c r="Y491" s="113" t="s">
        <v>1113</v>
      </c>
      <c r="Z491" s="113"/>
      <c r="AA491" s="113"/>
      <c r="AB491" s="113"/>
      <c r="AC491" s="113"/>
      <c r="AD491" s="113"/>
      <c r="AE491" s="113"/>
      <c r="AF491" s="113"/>
      <c r="AG491" s="113"/>
      <c r="AH491" s="113"/>
      <c r="AI491" s="113"/>
      <c r="AJ491" s="113"/>
      <c r="AK491" s="113" t="s">
        <v>1113</v>
      </c>
      <c r="AL491" s="113"/>
      <c r="AM491" s="113"/>
      <c r="AN491" s="113" t="s">
        <v>1113</v>
      </c>
      <c r="AO491" s="43" t="s">
        <v>2477</v>
      </c>
      <c r="AP491" s="43"/>
      <c r="AQ491" s="236" t="str">
        <f>VLOOKUP(Table8[[#This Row],[Instrument]],Def_Targets!$D$73:$E$159,2,FALSE)</f>
        <v>I_LPGCNGLNG</v>
      </c>
      <c r="AR491" s="233" t="str">
        <f>VLOOKUP(Table8[[#This Row],[Country Code]],Table29[],3,FALSE)</f>
        <v>Non-Annex I</v>
      </c>
      <c r="AS491" s="233" t="str">
        <f>VLOOKUP(Table8[[#This Row],[Country Code]],Table29[],4,FALSE)</f>
        <v>Asia</v>
      </c>
      <c r="AT491" s="233" t="str">
        <f>VLOOKUP(Table8[[#This Row],[Country Code]],Table29[],5,FALSE)</f>
        <v>Middle-income</v>
      </c>
      <c r="AU491" s="233" t="str">
        <f>VLOOKUP(Table8[[#This Row],[Country Code]],Table29[],6,FALSE)</f>
        <v>no</v>
      </c>
      <c r="AV491" s="233" t="str">
        <f>VLOOKUP(Table8[[#This Row],[Country Code]],Table29[],7,FALSE)</f>
        <v>no</v>
      </c>
      <c r="AW491" s="233" t="str">
        <f>VLOOKUP(Table8[[#This Row],[Country Code]],Table29[],8,FALSE)</f>
        <v>non-OECD</v>
      </c>
      <c r="AX491" s="233" t="str">
        <f>VLOOKUP(Table8[[#This Row],[Country Code]],Table29[],9,FALSE)</f>
        <v>no</v>
      </c>
      <c r="AY491" s="233" t="str">
        <f>VLOOKUP(Table8[[#This Row],[Country Code]],Table29[],10,FALSE)</f>
        <v>no</v>
      </c>
      <c r="AZ491" s="235">
        <f>VLOOKUP(Table8[[#This Row],[Country Code]],Table29[],23,FALSE)</f>
        <v>48.774832204749998</v>
      </c>
      <c r="BA491" s="235">
        <f>VLOOKUP(Table8[[#This Row],[Country Code]],Table29[],24,FALSE)</f>
        <v>7.547213161316451</v>
      </c>
      <c r="BB491" s="320"/>
      <c r="BC491" s="320"/>
    </row>
    <row r="492" spans="1:55" hidden="1" x14ac:dyDescent="0.25">
      <c r="A492" s="373">
        <v>32531</v>
      </c>
      <c r="B492" s="233" t="str">
        <f>VLOOKUP(Table8[[#This Row],[Document ID]],Table1[],2,FALSE)</f>
        <v>CAN</v>
      </c>
      <c r="C492" s="233" t="str">
        <f>VLOOKUP(Table8[[#This Row],[Document ID]],Table1[],3,FALSE)</f>
        <v>Canada</v>
      </c>
      <c r="D492" s="243" t="str">
        <f>VLOOKUP(Table8[[#This Row],[Document ID]],Table1[],5,FALSE)</f>
        <v>LTS</v>
      </c>
      <c r="E492" s="233" t="str">
        <f>VLOOKUP(Table8[[#This Row],[Document ID]],Table1[],7,FALSE)</f>
        <v>LTS</v>
      </c>
      <c r="F492" s="233" t="str">
        <f>VLOOKUP(Table8[[#This Row],[Document ID]],Table1[],8,FALSE)</f>
        <v>LTS 2.0</v>
      </c>
      <c r="G492" s="233" t="str">
        <f>VLOOKUP(Table8[[#This Row],[Document ID]],Table1[],10,FALSE)</f>
        <v>Active</v>
      </c>
      <c r="H492" s="44" t="s">
        <v>2329</v>
      </c>
      <c r="I492" s="44" t="s">
        <v>2330</v>
      </c>
      <c r="J492" s="44" t="s">
        <v>2331</v>
      </c>
      <c r="K492" s="44" t="s">
        <v>2834</v>
      </c>
      <c r="L492" s="44" t="s">
        <v>2333</v>
      </c>
      <c r="M492" s="43">
        <v>3</v>
      </c>
      <c r="N492" s="113" t="s">
        <v>1113</v>
      </c>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t="s">
        <v>1113</v>
      </c>
      <c r="AL492" s="113"/>
      <c r="AM492" s="113"/>
      <c r="AN492" s="113"/>
      <c r="AO492" s="44" t="s">
        <v>2334</v>
      </c>
      <c r="AP492" s="43"/>
      <c r="AQ492" s="236" t="str">
        <f>VLOOKUP(Table8[[#This Row],[Instrument]],Def_Targets!$D$73:$E$159,2,FALSE)</f>
        <v>I_Altfuels</v>
      </c>
      <c r="AR492" s="233" t="str">
        <f>VLOOKUP(Table8[[#This Row],[Country Code]],Table29[],3,FALSE)</f>
        <v>Annex I</v>
      </c>
      <c r="AS492" s="233" t="str">
        <f>VLOOKUP(Table8[[#This Row],[Country Code]],Table29[],4,FALSE)</f>
        <v>Northern America</v>
      </c>
      <c r="AT492" s="233" t="str">
        <f>VLOOKUP(Table8[[#This Row],[Country Code]],Table29[],5,FALSE)</f>
        <v>High-income</v>
      </c>
      <c r="AU492" s="233" t="str">
        <f>VLOOKUP(Table8[[#This Row],[Country Code]],Table29[],6,FALSE)</f>
        <v>G20</v>
      </c>
      <c r="AV492" s="233" t="str">
        <f>VLOOKUP(Table8[[#This Row],[Country Code]],Table29[],7,FALSE)</f>
        <v>G7</v>
      </c>
      <c r="AW492" s="233" t="str">
        <f>VLOOKUP(Table8[[#This Row],[Country Code]],Table29[],8,FALSE)</f>
        <v>OECD</v>
      </c>
      <c r="AX492" s="233" t="str">
        <f>VLOOKUP(Table8[[#This Row],[Country Code]],Table29[],9,FALSE)</f>
        <v>no</v>
      </c>
      <c r="AY492" s="233" t="str">
        <f>VLOOKUP(Table8[[#This Row],[Country Code]],Table29[],10,FALSE)</f>
        <v>no</v>
      </c>
      <c r="AZ492" s="235">
        <f>VLOOKUP(Table8[[#This Row],[Country Code]],Table29[],23,FALSE)</f>
        <v>747.67802680902003</v>
      </c>
      <c r="BA492" s="235">
        <f>VLOOKUP(Table8[[#This Row],[Country Code]],Table29[],24,FALSE)</f>
        <v>169.021169926607</v>
      </c>
      <c r="BB492" s="320"/>
      <c r="BC492" s="320"/>
    </row>
    <row r="493" spans="1:55" ht="30" hidden="1" x14ac:dyDescent="0.25">
      <c r="A493" s="373">
        <v>32531</v>
      </c>
      <c r="B493" s="233" t="str">
        <f>VLOOKUP(Table8[[#This Row],[Document ID]],Table1[],2,FALSE)</f>
        <v>CAN</v>
      </c>
      <c r="C493" s="233" t="str">
        <f>VLOOKUP(Table8[[#This Row],[Document ID]],Table1[],3,FALSE)</f>
        <v>Canada</v>
      </c>
      <c r="D493" s="243" t="str">
        <f>VLOOKUP(Table8[[#This Row],[Document ID]],Table1[],5,FALSE)</f>
        <v>LTS</v>
      </c>
      <c r="E493" s="233" t="str">
        <f>VLOOKUP(Table8[[#This Row],[Document ID]],Table1[],7,FALSE)</f>
        <v>LTS</v>
      </c>
      <c r="F493" s="233" t="str">
        <f>VLOOKUP(Table8[[#This Row],[Document ID]],Table1[],8,FALSE)</f>
        <v>LTS 2.0</v>
      </c>
      <c r="G493" s="233" t="str">
        <f>VLOOKUP(Table8[[#This Row],[Document ID]],Table1[],10,FALSE)</f>
        <v>Active</v>
      </c>
      <c r="H493" s="43" t="s">
        <v>2343</v>
      </c>
      <c r="I493" s="43" t="s">
        <v>2386</v>
      </c>
      <c r="J493" s="44" t="s">
        <v>2397</v>
      </c>
      <c r="K493" s="28" t="s">
        <v>2835</v>
      </c>
      <c r="L493" s="44" t="s">
        <v>2333</v>
      </c>
      <c r="M493" s="43">
        <v>14</v>
      </c>
      <c r="N493" s="113" t="s">
        <v>1113</v>
      </c>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t="s">
        <v>1113</v>
      </c>
      <c r="AL493" s="113"/>
      <c r="AM493" s="113"/>
      <c r="AN493" s="113"/>
      <c r="AO493" s="44" t="s">
        <v>2334</v>
      </c>
      <c r="AP493" s="43"/>
      <c r="AQ493" s="236" t="str">
        <f>VLOOKUP(Table8[[#This Row],[Instrument]],Def_Targets!$D$73:$E$159,2,FALSE)</f>
        <v>A_Finance</v>
      </c>
      <c r="AR493" s="233" t="str">
        <f>VLOOKUP(Table8[[#This Row],[Country Code]],Table29[],3,FALSE)</f>
        <v>Annex I</v>
      </c>
      <c r="AS493" s="233" t="str">
        <f>VLOOKUP(Table8[[#This Row],[Country Code]],Table29[],4,FALSE)</f>
        <v>Northern America</v>
      </c>
      <c r="AT493" s="233" t="str">
        <f>VLOOKUP(Table8[[#This Row],[Country Code]],Table29[],5,FALSE)</f>
        <v>High-income</v>
      </c>
      <c r="AU493" s="233" t="str">
        <f>VLOOKUP(Table8[[#This Row],[Country Code]],Table29[],6,FALSE)</f>
        <v>G20</v>
      </c>
      <c r="AV493" s="233" t="str">
        <f>VLOOKUP(Table8[[#This Row],[Country Code]],Table29[],7,FALSE)</f>
        <v>G7</v>
      </c>
      <c r="AW493" s="233" t="str">
        <f>VLOOKUP(Table8[[#This Row],[Country Code]],Table29[],8,FALSE)</f>
        <v>OECD</v>
      </c>
      <c r="AX493" s="233" t="str">
        <f>VLOOKUP(Table8[[#This Row],[Country Code]],Table29[],9,FALSE)</f>
        <v>no</v>
      </c>
      <c r="AY493" s="233" t="str">
        <f>VLOOKUP(Table8[[#This Row],[Country Code]],Table29[],10,FALSE)</f>
        <v>no</v>
      </c>
      <c r="AZ493" s="235">
        <f>VLOOKUP(Table8[[#This Row],[Country Code]],Table29[],23,FALSE)</f>
        <v>747.67802680902003</v>
      </c>
      <c r="BA493" s="235">
        <f>VLOOKUP(Table8[[#This Row],[Country Code]],Table29[],24,FALSE)</f>
        <v>169.021169926607</v>
      </c>
      <c r="BB493" s="320"/>
      <c r="BC493" s="320"/>
    </row>
    <row r="494" spans="1:55" ht="30" hidden="1" x14ac:dyDescent="0.25">
      <c r="A494" s="373">
        <v>32531</v>
      </c>
      <c r="B494" s="233" t="str">
        <f>VLOOKUP(Table8[[#This Row],[Document ID]],Table1[],2,FALSE)</f>
        <v>CAN</v>
      </c>
      <c r="C494" s="233" t="str">
        <f>VLOOKUP(Table8[[#This Row],[Document ID]],Table1[],3,FALSE)</f>
        <v>Canada</v>
      </c>
      <c r="D494" s="243" t="str">
        <f>VLOOKUP(Table8[[#This Row],[Document ID]],Table1[],5,FALSE)</f>
        <v>LTS</v>
      </c>
      <c r="E494" s="233" t="str">
        <f>VLOOKUP(Table8[[#This Row],[Document ID]],Table1[],7,FALSE)</f>
        <v>LTS</v>
      </c>
      <c r="F494" s="233" t="str">
        <f>VLOOKUP(Table8[[#This Row],[Document ID]],Table1[],8,FALSE)</f>
        <v>LTS 2.0</v>
      </c>
      <c r="G494" s="233" t="str">
        <f>VLOOKUP(Table8[[#This Row],[Document ID]],Table1[],10,FALSE)</f>
        <v>Active</v>
      </c>
      <c r="H494" s="43" t="s">
        <v>2358</v>
      </c>
      <c r="I494" s="43" t="s">
        <v>2359</v>
      </c>
      <c r="J494" s="44" t="s">
        <v>2383</v>
      </c>
      <c r="K494" s="44" t="s">
        <v>2836</v>
      </c>
      <c r="L494" s="44" t="s">
        <v>2333</v>
      </c>
      <c r="M494" s="43">
        <v>14</v>
      </c>
      <c r="N494" s="113" t="s">
        <v>1113</v>
      </c>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t="s">
        <v>1113</v>
      </c>
      <c r="AL494" s="113"/>
      <c r="AM494" s="113"/>
      <c r="AN494" s="113"/>
      <c r="AO494" s="44" t="s">
        <v>2334</v>
      </c>
      <c r="AP494" s="43"/>
      <c r="AQ494" s="236" t="str">
        <f>VLOOKUP(Table8[[#This Row],[Instrument]],Def_Targets!$D$73:$E$159,2,FALSE)</f>
        <v>I_Emobilitycharging</v>
      </c>
      <c r="AR494" s="233" t="str">
        <f>VLOOKUP(Table8[[#This Row],[Country Code]],Table29[],3,FALSE)</f>
        <v>Annex I</v>
      </c>
      <c r="AS494" s="233" t="str">
        <f>VLOOKUP(Table8[[#This Row],[Country Code]],Table29[],4,FALSE)</f>
        <v>Northern America</v>
      </c>
      <c r="AT494" s="233" t="str">
        <f>VLOOKUP(Table8[[#This Row],[Country Code]],Table29[],5,FALSE)</f>
        <v>High-income</v>
      </c>
      <c r="AU494" s="233" t="str">
        <f>VLOOKUP(Table8[[#This Row],[Country Code]],Table29[],6,FALSE)</f>
        <v>G20</v>
      </c>
      <c r="AV494" s="233" t="str">
        <f>VLOOKUP(Table8[[#This Row],[Country Code]],Table29[],7,FALSE)</f>
        <v>G7</v>
      </c>
      <c r="AW494" s="233" t="str">
        <f>VLOOKUP(Table8[[#This Row],[Country Code]],Table29[],8,FALSE)</f>
        <v>OECD</v>
      </c>
      <c r="AX494" s="233" t="str">
        <f>VLOOKUP(Table8[[#This Row],[Country Code]],Table29[],9,FALSE)</f>
        <v>no</v>
      </c>
      <c r="AY494" s="233" t="str">
        <f>VLOOKUP(Table8[[#This Row],[Country Code]],Table29[],10,FALSE)</f>
        <v>no</v>
      </c>
      <c r="AZ494" s="235">
        <f>VLOOKUP(Table8[[#This Row],[Country Code]],Table29[],23,FALSE)</f>
        <v>747.67802680902003</v>
      </c>
      <c r="BA494" s="235">
        <f>VLOOKUP(Table8[[#This Row],[Country Code]],Table29[],24,FALSE)</f>
        <v>169.021169926607</v>
      </c>
      <c r="BB494" s="320"/>
      <c r="BC494" s="320"/>
    </row>
    <row r="495" spans="1:55" ht="30" hidden="1" x14ac:dyDescent="0.25">
      <c r="A495" s="373">
        <v>32531</v>
      </c>
      <c r="B495" s="233" t="str">
        <f>VLOOKUP(Table8[[#This Row],[Document ID]],Table1[],2,FALSE)</f>
        <v>CAN</v>
      </c>
      <c r="C495" s="233" t="str">
        <f>VLOOKUP(Table8[[#This Row],[Document ID]],Table1[],3,FALSE)</f>
        <v>Canada</v>
      </c>
      <c r="D495" s="243" t="str">
        <f>VLOOKUP(Table8[[#This Row],[Document ID]],Table1[],5,FALSE)</f>
        <v>LTS</v>
      </c>
      <c r="E495" s="233" t="str">
        <f>VLOOKUP(Table8[[#This Row],[Document ID]],Table1[],7,FALSE)</f>
        <v>LTS</v>
      </c>
      <c r="F495" s="233" t="str">
        <f>VLOOKUP(Table8[[#This Row],[Document ID]],Table1[],8,FALSE)</f>
        <v>LTS 2.0</v>
      </c>
      <c r="G495" s="233" t="str">
        <f>VLOOKUP(Table8[[#This Row],[Document ID]],Table1[],10,FALSE)</f>
        <v>Active</v>
      </c>
      <c r="H495" s="43" t="s">
        <v>2358</v>
      </c>
      <c r="I495" s="43" t="s">
        <v>2359</v>
      </c>
      <c r="J495" s="44" t="s">
        <v>2360</v>
      </c>
      <c r="K495" s="44" t="s">
        <v>2836</v>
      </c>
      <c r="L495" s="44" t="s">
        <v>2333</v>
      </c>
      <c r="M495" s="43">
        <v>14</v>
      </c>
      <c r="N495" s="113" t="s">
        <v>1113</v>
      </c>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t="s">
        <v>1113</v>
      </c>
      <c r="AL495" s="113"/>
      <c r="AM495" s="113"/>
      <c r="AN495" s="113"/>
      <c r="AO495" s="44" t="s">
        <v>2334</v>
      </c>
      <c r="AP495" s="43"/>
      <c r="AQ495" s="236" t="str">
        <f>VLOOKUP(Table8[[#This Row],[Instrument]],Def_Targets!$D$73:$E$159,2,FALSE)</f>
        <v>I_Emobility</v>
      </c>
      <c r="AR495" s="233" t="str">
        <f>VLOOKUP(Table8[[#This Row],[Country Code]],Table29[],3,FALSE)</f>
        <v>Annex I</v>
      </c>
      <c r="AS495" s="233" t="str">
        <f>VLOOKUP(Table8[[#This Row],[Country Code]],Table29[],4,FALSE)</f>
        <v>Northern America</v>
      </c>
      <c r="AT495" s="233" t="str">
        <f>VLOOKUP(Table8[[#This Row],[Country Code]],Table29[],5,FALSE)</f>
        <v>High-income</v>
      </c>
      <c r="AU495" s="233" t="str">
        <f>VLOOKUP(Table8[[#This Row],[Country Code]],Table29[],6,FALSE)</f>
        <v>G20</v>
      </c>
      <c r="AV495" s="233" t="str">
        <f>VLOOKUP(Table8[[#This Row],[Country Code]],Table29[],7,FALSE)</f>
        <v>G7</v>
      </c>
      <c r="AW495" s="233" t="str">
        <f>VLOOKUP(Table8[[#This Row],[Country Code]],Table29[],8,FALSE)</f>
        <v>OECD</v>
      </c>
      <c r="AX495" s="233" t="str">
        <f>VLOOKUP(Table8[[#This Row],[Country Code]],Table29[],9,FALSE)</f>
        <v>no</v>
      </c>
      <c r="AY495" s="233" t="str">
        <f>VLOOKUP(Table8[[#This Row],[Country Code]],Table29[],10,FALSE)</f>
        <v>no</v>
      </c>
      <c r="AZ495" s="235">
        <f>VLOOKUP(Table8[[#This Row],[Country Code]],Table29[],23,FALSE)</f>
        <v>747.67802680902003</v>
      </c>
      <c r="BA495" s="235">
        <f>VLOOKUP(Table8[[#This Row],[Country Code]],Table29[],24,FALSE)</f>
        <v>169.021169926607</v>
      </c>
      <c r="BB495" s="320"/>
      <c r="BC495" s="320"/>
    </row>
    <row r="496" spans="1:55" hidden="1" x14ac:dyDescent="0.25">
      <c r="A496" s="373">
        <v>32531</v>
      </c>
      <c r="B496" s="233" t="str">
        <f>VLOOKUP(Table8[[#This Row],[Document ID]],Table1[],2,FALSE)</f>
        <v>CAN</v>
      </c>
      <c r="C496" s="233" t="str">
        <f>VLOOKUP(Table8[[#This Row],[Document ID]],Table1[],3,FALSE)</f>
        <v>Canada</v>
      </c>
      <c r="D496" s="243" t="str">
        <f>VLOOKUP(Table8[[#This Row],[Document ID]],Table1[],5,FALSE)</f>
        <v>LTS</v>
      </c>
      <c r="E496" s="233" t="str">
        <f>VLOOKUP(Table8[[#This Row],[Document ID]],Table1[],7,FALSE)</f>
        <v>LTS</v>
      </c>
      <c r="F496" s="233" t="str">
        <f>VLOOKUP(Table8[[#This Row],[Document ID]],Table1[],8,FALSE)</f>
        <v>LTS 2.0</v>
      </c>
      <c r="G496" s="233" t="str">
        <f>VLOOKUP(Table8[[#This Row],[Document ID]],Table1[],10,FALSE)</f>
        <v>Active</v>
      </c>
      <c r="H496" s="43" t="s">
        <v>2343</v>
      </c>
      <c r="I496" s="43" t="s">
        <v>2344</v>
      </c>
      <c r="J496" s="44" t="s">
        <v>2345</v>
      </c>
      <c r="K496" s="44" t="s">
        <v>2837</v>
      </c>
      <c r="L496" s="44" t="s">
        <v>2347</v>
      </c>
      <c r="M496" s="43">
        <v>15</v>
      </c>
      <c r="N496" s="113" t="s">
        <v>1113</v>
      </c>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t="s">
        <v>1113</v>
      </c>
      <c r="AL496" s="113"/>
      <c r="AM496" s="113"/>
      <c r="AN496" s="113"/>
      <c r="AO496" s="43" t="s">
        <v>2348</v>
      </c>
      <c r="AP496" s="43"/>
      <c r="AQ496" s="236" t="str">
        <f>VLOOKUP(Table8[[#This Row],[Instrument]],Def_Targets!$D$73:$E$159,2,FALSE)</f>
        <v>S_PublicTransport</v>
      </c>
      <c r="AR496" s="233" t="str">
        <f>VLOOKUP(Table8[[#This Row],[Country Code]],Table29[],3,FALSE)</f>
        <v>Annex I</v>
      </c>
      <c r="AS496" s="233" t="str">
        <f>VLOOKUP(Table8[[#This Row],[Country Code]],Table29[],4,FALSE)</f>
        <v>Northern America</v>
      </c>
      <c r="AT496" s="233" t="str">
        <f>VLOOKUP(Table8[[#This Row],[Country Code]],Table29[],5,FALSE)</f>
        <v>High-income</v>
      </c>
      <c r="AU496" s="233" t="str">
        <f>VLOOKUP(Table8[[#This Row],[Country Code]],Table29[],6,FALSE)</f>
        <v>G20</v>
      </c>
      <c r="AV496" s="233" t="str">
        <f>VLOOKUP(Table8[[#This Row],[Country Code]],Table29[],7,FALSE)</f>
        <v>G7</v>
      </c>
      <c r="AW496" s="233" t="str">
        <f>VLOOKUP(Table8[[#This Row],[Country Code]],Table29[],8,FALSE)</f>
        <v>OECD</v>
      </c>
      <c r="AX496" s="233" t="str">
        <f>VLOOKUP(Table8[[#This Row],[Country Code]],Table29[],9,FALSE)</f>
        <v>no</v>
      </c>
      <c r="AY496" s="233" t="str">
        <f>VLOOKUP(Table8[[#This Row],[Country Code]],Table29[],10,FALSE)</f>
        <v>no</v>
      </c>
      <c r="AZ496" s="235">
        <f>VLOOKUP(Table8[[#This Row],[Country Code]],Table29[],23,FALSE)</f>
        <v>747.67802680902003</v>
      </c>
      <c r="BA496" s="235">
        <f>VLOOKUP(Table8[[#This Row],[Country Code]],Table29[],24,FALSE)</f>
        <v>169.021169926607</v>
      </c>
      <c r="BB496" s="320"/>
      <c r="BC496" s="320"/>
    </row>
    <row r="497" spans="1:55" hidden="1" x14ac:dyDescent="0.25">
      <c r="A497" s="373">
        <v>32531</v>
      </c>
      <c r="B497" s="233" t="str">
        <f>VLOOKUP(Table8[[#This Row],[Document ID]],Table1[],2,FALSE)</f>
        <v>CAN</v>
      </c>
      <c r="C497" s="233" t="str">
        <f>VLOOKUP(Table8[[#This Row],[Document ID]],Table1[],3,FALSE)</f>
        <v>Canada</v>
      </c>
      <c r="D497" s="243" t="str">
        <f>VLOOKUP(Table8[[#This Row],[Document ID]],Table1[],5,FALSE)</f>
        <v>LTS</v>
      </c>
      <c r="E497" s="233" t="str">
        <f>VLOOKUP(Table8[[#This Row],[Document ID]],Table1[],7,FALSE)</f>
        <v>LTS</v>
      </c>
      <c r="F497" s="233" t="str">
        <f>VLOOKUP(Table8[[#This Row],[Document ID]],Table1[],8,FALSE)</f>
        <v>LTS 2.0</v>
      </c>
      <c r="G497" s="233" t="str">
        <f>VLOOKUP(Table8[[#This Row],[Document ID]],Table1[],10,FALSE)</f>
        <v>Active</v>
      </c>
      <c r="H497" s="43" t="s">
        <v>2343</v>
      </c>
      <c r="I497" s="43" t="s">
        <v>2361</v>
      </c>
      <c r="J497" s="44" t="s">
        <v>2366</v>
      </c>
      <c r="K497" s="44" t="s">
        <v>2837</v>
      </c>
      <c r="L497" s="44" t="s">
        <v>2347</v>
      </c>
      <c r="M497" s="43">
        <v>15</v>
      </c>
      <c r="N497" s="113"/>
      <c r="O497" s="113"/>
      <c r="P497" s="113" t="s">
        <v>1113</v>
      </c>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t="s">
        <v>1113</v>
      </c>
      <c r="AL497" s="113"/>
      <c r="AM497" s="113"/>
      <c r="AN497" s="113"/>
      <c r="AO497" s="44" t="s">
        <v>2334</v>
      </c>
      <c r="AP497" s="43"/>
      <c r="AQ497" s="236" t="str">
        <f>VLOOKUP(Table8[[#This Row],[Instrument]],Def_Targets!$D$73:$E$159,2,FALSE)</f>
        <v>S_Activemobility</v>
      </c>
      <c r="AR497" s="233" t="str">
        <f>VLOOKUP(Table8[[#This Row],[Country Code]],Table29[],3,FALSE)</f>
        <v>Annex I</v>
      </c>
      <c r="AS497" s="233" t="str">
        <f>VLOOKUP(Table8[[#This Row],[Country Code]],Table29[],4,FALSE)</f>
        <v>Northern America</v>
      </c>
      <c r="AT497" s="233" t="str">
        <f>VLOOKUP(Table8[[#This Row],[Country Code]],Table29[],5,FALSE)</f>
        <v>High-income</v>
      </c>
      <c r="AU497" s="233" t="str">
        <f>VLOOKUP(Table8[[#This Row],[Country Code]],Table29[],6,FALSE)</f>
        <v>G20</v>
      </c>
      <c r="AV497" s="233" t="str">
        <f>VLOOKUP(Table8[[#This Row],[Country Code]],Table29[],7,FALSE)</f>
        <v>G7</v>
      </c>
      <c r="AW497" s="233" t="str">
        <f>VLOOKUP(Table8[[#This Row],[Country Code]],Table29[],8,FALSE)</f>
        <v>OECD</v>
      </c>
      <c r="AX497" s="233" t="str">
        <f>VLOOKUP(Table8[[#This Row],[Country Code]],Table29[],9,FALSE)</f>
        <v>no</v>
      </c>
      <c r="AY497" s="233" t="str">
        <f>VLOOKUP(Table8[[#This Row],[Country Code]],Table29[],10,FALSE)</f>
        <v>no</v>
      </c>
      <c r="AZ497" s="235">
        <f>VLOOKUP(Table8[[#This Row],[Country Code]],Table29[],23,FALSE)</f>
        <v>747.67802680902003</v>
      </c>
      <c r="BA497" s="235">
        <f>VLOOKUP(Table8[[#This Row],[Country Code]],Table29[],24,FALSE)</f>
        <v>169.021169926607</v>
      </c>
      <c r="BB497" s="320"/>
      <c r="BC497" s="320"/>
    </row>
    <row r="498" spans="1:55" hidden="1" x14ac:dyDescent="0.25">
      <c r="A498" s="373">
        <v>32531</v>
      </c>
      <c r="B498" s="233" t="str">
        <f>VLOOKUP(Table8[[#This Row],[Document ID]],Table1[],2,FALSE)</f>
        <v>CAN</v>
      </c>
      <c r="C498" s="233" t="str">
        <f>VLOOKUP(Table8[[#This Row],[Document ID]],Table1[],3,FALSE)</f>
        <v>Canada</v>
      </c>
      <c r="D498" s="243" t="str">
        <f>VLOOKUP(Table8[[#This Row],[Document ID]],Table1[],5,FALSE)</f>
        <v>LTS</v>
      </c>
      <c r="E498" s="233" t="str">
        <f>VLOOKUP(Table8[[#This Row],[Document ID]],Table1[],7,FALSE)</f>
        <v>LTS</v>
      </c>
      <c r="F498" s="233" t="str">
        <f>VLOOKUP(Table8[[#This Row],[Document ID]],Table1[],8,FALSE)</f>
        <v>LTS 2.0</v>
      </c>
      <c r="G498" s="233" t="str">
        <f>VLOOKUP(Table8[[#This Row],[Document ID]],Table1[],10,FALSE)</f>
        <v>Active</v>
      </c>
      <c r="H498" s="43" t="s">
        <v>2484</v>
      </c>
      <c r="I498" s="43" t="s">
        <v>2488</v>
      </c>
      <c r="J498" s="44" t="s">
        <v>2489</v>
      </c>
      <c r="K498" s="44" t="s">
        <v>2838</v>
      </c>
      <c r="L498" s="44" t="s">
        <v>2333</v>
      </c>
      <c r="M498" s="43">
        <v>15</v>
      </c>
      <c r="N498" s="113"/>
      <c r="O498" s="113"/>
      <c r="P498" s="113"/>
      <c r="Q498" s="113"/>
      <c r="R498" s="113"/>
      <c r="S498" s="113"/>
      <c r="T498" s="113"/>
      <c r="U498" s="113"/>
      <c r="V498" s="113"/>
      <c r="W498" s="113"/>
      <c r="X498" s="113"/>
      <c r="Y498" s="113"/>
      <c r="Z498" s="113"/>
      <c r="AA498" s="113"/>
      <c r="AB498" s="113"/>
      <c r="AC498" s="113"/>
      <c r="AD498" s="113"/>
      <c r="AE498" s="113"/>
      <c r="AF498" s="113"/>
      <c r="AG498" s="113"/>
      <c r="AH498" s="113" t="s">
        <v>1113</v>
      </c>
      <c r="AI498" s="113"/>
      <c r="AJ498" s="113"/>
      <c r="AK498" s="113"/>
      <c r="AL498" s="113"/>
      <c r="AM498" s="113"/>
      <c r="AN498" s="113"/>
      <c r="AO498" s="44" t="s">
        <v>2334</v>
      </c>
      <c r="AP498" s="43"/>
      <c r="AQ498" s="236" t="str">
        <f>VLOOKUP(Table8[[#This Row],[Instrument]],Def_Targets!$D$73:$E$159,2,FALSE)</f>
        <v>I_Aviation</v>
      </c>
      <c r="AR498" s="233" t="str">
        <f>VLOOKUP(Table8[[#This Row],[Country Code]],Table29[],3,FALSE)</f>
        <v>Annex I</v>
      </c>
      <c r="AS498" s="233" t="str">
        <f>VLOOKUP(Table8[[#This Row],[Country Code]],Table29[],4,FALSE)</f>
        <v>Northern America</v>
      </c>
      <c r="AT498" s="233" t="str">
        <f>VLOOKUP(Table8[[#This Row],[Country Code]],Table29[],5,FALSE)</f>
        <v>High-income</v>
      </c>
      <c r="AU498" s="233" t="str">
        <f>VLOOKUP(Table8[[#This Row],[Country Code]],Table29[],6,FALSE)</f>
        <v>G20</v>
      </c>
      <c r="AV498" s="233" t="str">
        <f>VLOOKUP(Table8[[#This Row],[Country Code]],Table29[],7,FALSE)</f>
        <v>G7</v>
      </c>
      <c r="AW498" s="233" t="str">
        <f>VLOOKUP(Table8[[#This Row],[Country Code]],Table29[],8,FALSE)</f>
        <v>OECD</v>
      </c>
      <c r="AX498" s="233" t="str">
        <f>VLOOKUP(Table8[[#This Row],[Country Code]],Table29[],9,FALSE)</f>
        <v>no</v>
      </c>
      <c r="AY498" s="233" t="str">
        <f>VLOOKUP(Table8[[#This Row],[Country Code]],Table29[],10,FALSE)</f>
        <v>no</v>
      </c>
      <c r="AZ498" s="235">
        <f>VLOOKUP(Table8[[#This Row],[Country Code]],Table29[],23,FALSE)</f>
        <v>747.67802680902003</v>
      </c>
      <c r="BA498" s="235">
        <f>VLOOKUP(Table8[[#This Row],[Country Code]],Table29[],24,FALSE)</f>
        <v>169.021169926607</v>
      </c>
      <c r="BB498" s="320"/>
      <c r="BC498" s="320"/>
    </row>
    <row r="499" spans="1:55" hidden="1" x14ac:dyDescent="0.25">
      <c r="A499" s="373">
        <v>32531</v>
      </c>
      <c r="B499" s="233" t="str">
        <f>VLOOKUP(Table8[[#This Row],[Document ID]],Table1[],2,FALSE)</f>
        <v>CAN</v>
      </c>
      <c r="C499" s="233" t="str">
        <f>VLOOKUP(Table8[[#This Row],[Document ID]],Table1[],3,FALSE)</f>
        <v>Canada</v>
      </c>
      <c r="D499" s="243" t="str">
        <f>VLOOKUP(Table8[[#This Row],[Document ID]],Table1[],5,FALSE)</f>
        <v>LTS</v>
      </c>
      <c r="E499" s="233" t="str">
        <f>VLOOKUP(Table8[[#This Row],[Document ID]],Table1[],7,FALSE)</f>
        <v>LTS</v>
      </c>
      <c r="F499" s="233" t="str">
        <f>VLOOKUP(Table8[[#This Row],[Document ID]],Table1[],8,FALSE)</f>
        <v>LTS 2.0</v>
      </c>
      <c r="G499" s="233" t="str">
        <f>VLOOKUP(Table8[[#This Row],[Document ID]],Table1[],10,FALSE)</f>
        <v>Active</v>
      </c>
      <c r="H499" s="43" t="s">
        <v>2350</v>
      </c>
      <c r="I499" s="43" t="s">
        <v>2370</v>
      </c>
      <c r="J499" s="44" t="s">
        <v>2418</v>
      </c>
      <c r="K499" s="44" t="s">
        <v>2839</v>
      </c>
      <c r="L499" s="44" t="s">
        <v>2333</v>
      </c>
      <c r="M499" s="43">
        <v>15</v>
      </c>
      <c r="N499" s="113"/>
      <c r="O499" s="113"/>
      <c r="P499" s="113"/>
      <c r="Q499" s="113"/>
      <c r="R499" s="113"/>
      <c r="S499" s="113"/>
      <c r="T499" s="113"/>
      <c r="U499" s="113"/>
      <c r="V499" s="113"/>
      <c r="W499" s="113"/>
      <c r="X499" s="113"/>
      <c r="Y499" s="113"/>
      <c r="Z499" s="113" t="s">
        <v>1113</v>
      </c>
      <c r="AA499" s="113"/>
      <c r="AB499" s="113"/>
      <c r="AC499" s="113"/>
      <c r="AD499" s="113"/>
      <c r="AE499" s="113"/>
      <c r="AF499" s="113"/>
      <c r="AG499" s="113"/>
      <c r="AH499" s="113"/>
      <c r="AI499" s="113"/>
      <c r="AJ499" s="113"/>
      <c r="AK499" s="113" t="s">
        <v>1113</v>
      </c>
      <c r="AL499" s="113"/>
      <c r="AM499" s="113"/>
      <c r="AN499" s="113"/>
      <c r="AO499" s="44" t="s">
        <v>2334</v>
      </c>
      <c r="AP499" s="43"/>
      <c r="AQ499" s="236" t="str">
        <f>VLOOKUP(Table8[[#This Row],[Instrument]],Def_Targets!$D$73:$E$159,2,FALSE)</f>
        <v>A_Complan</v>
      </c>
      <c r="AR499" s="233" t="str">
        <f>VLOOKUP(Table8[[#This Row],[Country Code]],Table29[],3,FALSE)</f>
        <v>Annex I</v>
      </c>
      <c r="AS499" s="233" t="str">
        <f>VLOOKUP(Table8[[#This Row],[Country Code]],Table29[],4,FALSE)</f>
        <v>Northern America</v>
      </c>
      <c r="AT499" s="233" t="str">
        <f>VLOOKUP(Table8[[#This Row],[Country Code]],Table29[],5,FALSE)</f>
        <v>High-income</v>
      </c>
      <c r="AU499" s="233" t="str">
        <f>VLOOKUP(Table8[[#This Row],[Country Code]],Table29[],6,FALSE)</f>
        <v>G20</v>
      </c>
      <c r="AV499" s="233" t="str">
        <f>VLOOKUP(Table8[[#This Row],[Country Code]],Table29[],7,FALSE)</f>
        <v>G7</v>
      </c>
      <c r="AW499" s="233" t="str">
        <f>VLOOKUP(Table8[[#This Row],[Country Code]],Table29[],8,FALSE)</f>
        <v>OECD</v>
      </c>
      <c r="AX499" s="233" t="str">
        <f>VLOOKUP(Table8[[#This Row],[Country Code]],Table29[],9,FALSE)</f>
        <v>no</v>
      </c>
      <c r="AY499" s="233" t="str">
        <f>VLOOKUP(Table8[[#This Row],[Country Code]],Table29[],10,FALSE)</f>
        <v>no</v>
      </c>
      <c r="AZ499" s="235">
        <f>VLOOKUP(Table8[[#This Row],[Country Code]],Table29[],23,FALSE)</f>
        <v>747.67802680902003</v>
      </c>
      <c r="BA499" s="235">
        <f>VLOOKUP(Table8[[#This Row],[Country Code]],Table29[],24,FALSE)</f>
        <v>169.021169926607</v>
      </c>
      <c r="BB499" s="320"/>
      <c r="BC499" s="320"/>
    </row>
    <row r="500" spans="1:55" hidden="1" x14ac:dyDescent="0.25">
      <c r="A500" s="373">
        <v>32531</v>
      </c>
      <c r="B500" s="233" t="str">
        <f>VLOOKUP(Table8[[#This Row],[Document ID]],Table1[],2,FALSE)</f>
        <v>CAN</v>
      </c>
      <c r="C500" s="233" t="str">
        <f>VLOOKUP(Table8[[#This Row],[Document ID]],Table1[],3,FALSE)</f>
        <v>Canada</v>
      </c>
      <c r="D500" s="243" t="str">
        <f>VLOOKUP(Table8[[#This Row],[Document ID]],Table1[],5,FALSE)</f>
        <v>LTS</v>
      </c>
      <c r="E500" s="233" t="str">
        <f>VLOOKUP(Table8[[#This Row],[Document ID]],Table1[],7,FALSE)</f>
        <v>LTS</v>
      </c>
      <c r="F500" s="233" t="str">
        <f>VLOOKUP(Table8[[#This Row],[Document ID]],Table1[],8,FALSE)</f>
        <v>LTS 2.0</v>
      </c>
      <c r="G500" s="233" t="str">
        <f>VLOOKUP(Table8[[#This Row],[Document ID]],Table1[],10,FALSE)</f>
        <v>Active</v>
      </c>
      <c r="H500" s="43" t="s">
        <v>2484</v>
      </c>
      <c r="I500" s="43" t="s">
        <v>2485</v>
      </c>
      <c r="J500" s="44" t="s">
        <v>2486</v>
      </c>
      <c r="K500" s="44" t="s">
        <v>2840</v>
      </c>
      <c r="L500" s="44" t="s">
        <v>2333</v>
      </c>
      <c r="M500" s="43">
        <v>15</v>
      </c>
      <c r="N500" s="113"/>
      <c r="O500" s="113"/>
      <c r="P500" s="113"/>
      <c r="Q500" s="113"/>
      <c r="R500" s="113"/>
      <c r="S500" s="113"/>
      <c r="T500" s="113"/>
      <c r="U500" s="113"/>
      <c r="V500" s="113"/>
      <c r="W500" s="113"/>
      <c r="X500" s="113"/>
      <c r="Y500" s="113"/>
      <c r="Z500" s="113"/>
      <c r="AA500" s="113"/>
      <c r="AB500" s="113"/>
      <c r="AC500" s="113"/>
      <c r="AD500" s="113" t="s">
        <v>1113</v>
      </c>
      <c r="AE500" s="113"/>
      <c r="AF500" s="113"/>
      <c r="AG500" s="113"/>
      <c r="AH500" s="113"/>
      <c r="AI500" s="113"/>
      <c r="AJ500" s="113"/>
      <c r="AK500" s="113" t="s">
        <v>1113</v>
      </c>
      <c r="AL500" s="113"/>
      <c r="AM500" s="113"/>
      <c r="AN500" s="113"/>
      <c r="AO500" s="44" t="s">
        <v>2334</v>
      </c>
      <c r="AP500" s="43"/>
      <c r="AQ500" s="236" t="str">
        <f>VLOOKUP(Table8[[#This Row],[Instrument]],Def_Targets!$D$73:$E$159,2,FALSE)</f>
        <v>I_Shipping</v>
      </c>
      <c r="AR500" s="233" t="str">
        <f>VLOOKUP(Table8[[#This Row],[Country Code]],Table29[],3,FALSE)</f>
        <v>Annex I</v>
      </c>
      <c r="AS500" s="233" t="str">
        <f>VLOOKUP(Table8[[#This Row],[Country Code]],Table29[],4,FALSE)</f>
        <v>Northern America</v>
      </c>
      <c r="AT500" s="233" t="str">
        <f>VLOOKUP(Table8[[#This Row],[Country Code]],Table29[],5,FALSE)</f>
        <v>High-income</v>
      </c>
      <c r="AU500" s="233" t="str">
        <f>VLOOKUP(Table8[[#This Row],[Country Code]],Table29[],6,FALSE)</f>
        <v>G20</v>
      </c>
      <c r="AV500" s="233" t="str">
        <f>VLOOKUP(Table8[[#This Row],[Country Code]],Table29[],7,FALSE)</f>
        <v>G7</v>
      </c>
      <c r="AW500" s="233" t="str">
        <f>VLOOKUP(Table8[[#This Row],[Country Code]],Table29[],8,FALSE)</f>
        <v>OECD</v>
      </c>
      <c r="AX500" s="233" t="str">
        <f>VLOOKUP(Table8[[#This Row],[Country Code]],Table29[],9,FALSE)</f>
        <v>no</v>
      </c>
      <c r="AY500" s="233" t="str">
        <f>VLOOKUP(Table8[[#This Row],[Country Code]],Table29[],10,FALSE)</f>
        <v>no</v>
      </c>
      <c r="AZ500" s="235">
        <f>VLOOKUP(Table8[[#This Row],[Country Code]],Table29[],23,FALSE)</f>
        <v>747.67802680902003</v>
      </c>
      <c r="BA500" s="235">
        <f>VLOOKUP(Table8[[#This Row],[Country Code]],Table29[],24,FALSE)</f>
        <v>169.021169926607</v>
      </c>
      <c r="BB500" s="320"/>
      <c r="BC500" s="320"/>
    </row>
    <row r="501" spans="1:55" hidden="1" x14ac:dyDescent="0.25">
      <c r="A501" s="373">
        <v>26776</v>
      </c>
      <c r="B501" s="233" t="str">
        <f>VLOOKUP(Table8[[#This Row],[Document ID]],Table1[],2,FALSE)</f>
        <v>CHL</v>
      </c>
      <c r="C501" s="233" t="str">
        <f>VLOOKUP(Table8[[#This Row],[Document ID]],Table1[],3,FALSE)</f>
        <v>Chile</v>
      </c>
      <c r="D501" s="243" t="str">
        <f>VLOOKUP(Table8[[#This Row],[Document ID]],Table1[],5,FALSE)</f>
        <v>LTS</v>
      </c>
      <c r="E501" s="233" t="str">
        <f>VLOOKUP(Table8[[#This Row],[Document ID]],Table1[],7,FALSE)</f>
        <v>LTS</v>
      </c>
      <c r="F501" s="236" t="str">
        <f>VLOOKUP(Table8[[#This Row],[Document ID]],Table1[],8,FALSE)</f>
        <v>LTS 1.0</v>
      </c>
      <c r="G501" s="236" t="str">
        <f>VLOOKUP(Table8[[#This Row],[Document ID]],Table1[],10,FALSE)</f>
        <v>Active</v>
      </c>
      <c r="H501" s="43" t="s">
        <v>2358</v>
      </c>
      <c r="I501" s="43" t="s">
        <v>2359</v>
      </c>
      <c r="J501" s="44" t="s">
        <v>2360</v>
      </c>
      <c r="K501" s="44" t="s">
        <v>2841</v>
      </c>
      <c r="L501" s="44" t="s">
        <v>2333</v>
      </c>
      <c r="M501" s="43">
        <v>83</v>
      </c>
      <c r="N501" s="113" t="s">
        <v>1113</v>
      </c>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c r="AJ501" s="113"/>
      <c r="AK501" s="113" t="s">
        <v>1113</v>
      </c>
      <c r="AL501" s="113"/>
      <c r="AM501" s="113"/>
      <c r="AN501" s="113"/>
      <c r="AO501" s="44" t="s">
        <v>2334</v>
      </c>
      <c r="AP501" s="43"/>
      <c r="AQ501" s="236" t="str">
        <f>VLOOKUP(Table8[[#This Row],[Instrument]],Def_Targets!$D$73:$E$159,2,FALSE)</f>
        <v>I_Emobility</v>
      </c>
      <c r="AR501" s="233" t="str">
        <f>VLOOKUP(Table8[[#This Row],[Country Code]],Table29[],3,FALSE)</f>
        <v>Non-Annex I</v>
      </c>
      <c r="AS501" s="233" t="str">
        <f>VLOOKUP(Table8[[#This Row],[Country Code]],Table29[],4,FALSE)</f>
        <v>Latin America and the Caribbean</v>
      </c>
      <c r="AT501" s="233" t="str">
        <f>VLOOKUP(Table8[[#This Row],[Country Code]],Table29[],5,FALSE)</f>
        <v>High-income</v>
      </c>
      <c r="AU501" s="233" t="str">
        <f>VLOOKUP(Table8[[#This Row],[Country Code]],Table29[],6,FALSE)</f>
        <v>no</v>
      </c>
      <c r="AV501" s="233" t="str">
        <f>VLOOKUP(Table8[[#This Row],[Country Code]],Table29[],7,FALSE)</f>
        <v>no</v>
      </c>
      <c r="AW501" s="233" t="str">
        <f>VLOOKUP(Table8[[#This Row],[Country Code]],Table29[],8,FALSE)</f>
        <v>OECD</v>
      </c>
      <c r="AX501" s="233" t="str">
        <f>VLOOKUP(Table8[[#This Row],[Country Code]],Table29[],9,FALSE)</f>
        <v>no</v>
      </c>
      <c r="AY501" s="233" t="str">
        <f>VLOOKUP(Table8[[#This Row],[Country Code]],Table29[],10,FALSE)</f>
        <v>no</v>
      </c>
      <c r="AZ501" s="235">
        <f>VLOOKUP(Table8[[#This Row],[Country Code]],Table29[],23,FALSE)</f>
        <v>121.46313217391</v>
      </c>
      <c r="BA501" s="235">
        <f>VLOOKUP(Table8[[#This Row],[Country Code]],Table29[],24,FALSE)</f>
        <v>32.478801178832768</v>
      </c>
      <c r="BB501" s="320"/>
      <c r="BC501" s="320"/>
    </row>
    <row r="502" spans="1:55" hidden="1" x14ac:dyDescent="0.25">
      <c r="A502" s="373">
        <v>26776</v>
      </c>
      <c r="B502" s="233" t="str">
        <f>VLOOKUP(Table8[[#This Row],[Document ID]],Table1[],2,FALSE)</f>
        <v>CHL</v>
      </c>
      <c r="C502" s="233" t="str">
        <f>VLOOKUP(Table8[[#This Row],[Document ID]],Table1[],3,FALSE)</f>
        <v>Chile</v>
      </c>
      <c r="D502" s="243" t="str">
        <f>VLOOKUP(Table8[[#This Row],[Document ID]],Table1[],5,FALSE)</f>
        <v>LTS</v>
      </c>
      <c r="E502" s="233" t="str">
        <f>VLOOKUP(Table8[[#This Row],[Document ID]],Table1[],7,FALSE)</f>
        <v>LTS</v>
      </c>
      <c r="F502" s="236" t="str">
        <f>VLOOKUP(Table8[[#This Row],[Document ID]],Table1[],8,FALSE)</f>
        <v>LTS 1.0</v>
      </c>
      <c r="G502" s="236" t="str">
        <f>VLOOKUP(Table8[[#This Row],[Document ID]],Table1[],10,FALSE)</f>
        <v>Active</v>
      </c>
      <c r="H502" s="44" t="s">
        <v>2329</v>
      </c>
      <c r="I502" s="44" t="s">
        <v>2330</v>
      </c>
      <c r="J502" s="44" t="s">
        <v>2391</v>
      </c>
      <c r="K502" s="44" t="s">
        <v>2842</v>
      </c>
      <c r="L502" s="44" t="s">
        <v>2333</v>
      </c>
      <c r="M502" s="43">
        <v>83</v>
      </c>
      <c r="N502" s="113" t="s">
        <v>1113</v>
      </c>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c r="AJ502" s="113"/>
      <c r="AK502" s="113" t="s">
        <v>1113</v>
      </c>
      <c r="AL502" s="113"/>
      <c r="AM502" s="113"/>
      <c r="AN502" s="113"/>
      <c r="AO502" s="43" t="s">
        <v>2353</v>
      </c>
      <c r="AP502" s="43"/>
      <c r="AQ502" s="236" t="str">
        <f>VLOOKUP(Table8[[#This Row],[Instrument]],Def_Targets!$D$73:$E$159,2,FALSE)</f>
        <v>I_Hydrogen</v>
      </c>
      <c r="AR502" s="233" t="str">
        <f>VLOOKUP(Table8[[#This Row],[Country Code]],Table29[],3,FALSE)</f>
        <v>Non-Annex I</v>
      </c>
      <c r="AS502" s="233" t="str">
        <f>VLOOKUP(Table8[[#This Row],[Country Code]],Table29[],4,FALSE)</f>
        <v>Latin America and the Caribbean</v>
      </c>
      <c r="AT502" s="233" t="str">
        <f>VLOOKUP(Table8[[#This Row],[Country Code]],Table29[],5,FALSE)</f>
        <v>High-income</v>
      </c>
      <c r="AU502" s="233" t="str">
        <f>VLOOKUP(Table8[[#This Row],[Country Code]],Table29[],6,FALSE)</f>
        <v>no</v>
      </c>
      <c r="AV502" s="233" t="str">
        <f>VLOOKUP(Table8[[#This Row],[Country Code]],Table29[],7,FALSE)</f>
        <v>no</v>
      </c>
      <c r="AW502" s="233" t="str">
        <f>VLOOKUP(Table8[[#This Row],[Country Code]],Table29[],8,FALSE)</f>
        <v>OECD</v>
      </c>
      <c r="AX502" s="233" t="str">
        <f>VLOOKUP(Table8[[#This Row],[Country Code]],Table29[],9,FALSE)</f>
        <v>no</v>
      </c>
      <c r="AY502" s="233" t="str">
        <f>VLOOKUP(Table8[[#This Row],[Country Code]],Table29[],10,FALSE)</f>
        <v>no</v>
      </c>
      <c r="AZ502" s="235">
        <f>VLOOKUP(Table8[[#This Row],[Country Code]],Table29[],23,FALSE)</f>
        <v>121.46313217391</v>
      </c>
      <c r="BA502" s="235">
        <f>VLOOKUP(Table8[[#This Row],[Country Code]],Table29[],24,FALSE)</f>
        <v>32.478801178832768</v>
      </c>
      <c r="BB502" s="320"/>
      <c r="BC502" s="320"/>
    </row>
    <row r="503" spans="1:55" ht="30" hidden="1" x14ac:dyDescent="0.25">
      <c r="A503" s="373">
        <v>26776</v>
      </c>
      <c r="B503" s="233" t="str">
        <f>VLOOKUP(Table8[[#This Row],[Document ID]],Table1[],2,FALSE)</f>
        <v>CHL</v>
      </c>
      <c r="C503" s="233" t="str">
        <f>VLOOKUP(Table8[[#This Row],[Document ID]],Table1[],3,FALSE)</f>
        <v>Chile</v>
      </c>
      <c r="D503" s="243" t="str">
        <f>VLOOKUP(Table8[[#This Row],[Document ID]],Table1[],5,FALSE)</f>
        <v>LTS</v>
      </c>
      <c r="E503" s="233" t="str">
        <f>VLOOKUP(Table8[[#This Row],[Document ID]],Table1[],7,FALSE)</f>
        <v>LTS</v>
      </c>
      <c r="F503" s="236" t="str">
        <f>VLOOKUP(Table8[[#This Row],[Document ID]],Table1[],8,FALSE)</f>
        <v>LTS 1.0</v>
      </c>
      <c r="G503" s="236" t="str">
        <f>VLOOKUP(Table8[[#This Row],[Document ID]],Table1[],10,FALSE)</f>
        <v>Active</v>
      </c>
      <c r="H503" s="43" t="s">
        <v>2343</v>
      </c>
      <c r="I503" s="43" t="s">
        <v>2429</v>
      </c>
      <c r="J503" s="44" t="s">
        <v>2610</v>
      </c>
      <c r="K503" s="44" t="s">
        <v>2843</v>
      </c>
      <c r="L503" s="44" t="s">
        <v>2373</v>
      </c>
      <c r="M503" s="43">
        <v>148</v>
      </c>
      <c r="N503" s="113" t="s">
        <v>1113</v>
      </c>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c r="AJ503" s="113"/>
      <c r="AK503" s="113" t="s">
        <v>1113</v>
      </c>
      <c r="AL503" s="113"/>
      <c r="AM503" s="113"/>
      <c r="AN503" s="113"/>
      <c r="AO503" s="43" t="s">
        <v>2353</v>
      </c>
      <c r="AP503" s="43"/>
      <c r="AQ503" s="236" t="e">
        <f>VLOOKUP(Table8[[#This Row],[Instrument]],Def_Targets!$D$73:$E$159,2,FALSE)</f>
        <v>#N/A</v>
      </c>
      <c r="AR503" s="233" t="str">
        <f>VLOOKUP(Table8[[#This Row],[Country Code]],Table29[],3,FALSE)</f>
        <v>Non-Annex I</v>
      </c>
      <c r="AS503" s="233" t="str">
        <f>VLOOKUP(Table8[[#This Row],[Country Code]],Table29[],4,FALSE)</f>
        <v>Latin America and the Caribbean</v>
      </c>
      <c r="AT503" s="233" t="str">
        <f>VLOOKUP(Table8[[#This Row],[Country Code]],Table29[],5,FALSE)</f>
        <v>High-income</v>
      </c>
      <c r="AU503" s="233" t="str">
        <f>VLOOKUP(Table8[[#This Row],[Country Code]],Table29[],6,FALSE)</f>
        <v>no</v>
      </c>
      <c r="AV503" s="233" t="str">
        <f>VLOOKUP(Table8[[#This Row],[Country Code]],Table29[],7,FALSE)</f>
        <v>no</v>
      </c>
      <c r="AW503" s="233" t="str">
        <f>VLOOKUP(Table8[[#This Row],[Country Code]],Table29[],8,FALSE)</f>
        <v>OECD</v>
      </c>
      <c r="AX503" s="233" t="str">
        <f>VLOOKUP(Table8[[#This Row],[Country Code]],Table29[],9,FALSE)</f>
        <v>no</v>
      </c>
      <c r="AY503" s="233" t="str">
        <f>VLOOKUP(Table8[[#This Row],[Country Code]],Table29[],10,FALSE)</f>
        <v>no</v>
      </c>
      <c r="AZ503" s="235">
        <f>VLOOKUP(Table8[[#This Row],[Country Code]],Table29[],23,FALSE)</f>
        <v>121.46313217391</v>
      </c>
      <c r="BA503" s="235">
        <f>VLOOKUP(Table8[[#This Row],[Country Code]],Table29[],24,FALSE)</f>
        <v>32.478801178832768</v>
      </c>
      <c r="BB503" s="320"/>
      <c r="BC503" s="320"/>
    </row>
    <row r="504" spans="1:55" ht="45" hidden="1" x14ac:dyDescent="0.25">
      <c r="A504" s="373">
        <v>26776</v>
      </c>
      <c r="B504" s="233" t="str">
        <f>VLOOKUP(Table8[[#This Row],[Document ID]],Table1[],2,FALSE)</f>
        <v>CHL</v>
      </c>
      <c r="C504" s="233" t="str">
        <f>VLOOKUP(Table8[[#This Row],[Document ID]],Table1[],3,FALSE)</f>
        <v>Chile</v>
      </c>
      <c r="D504" s="243" t="str">
        <f>VLOOKUP(Table8[[#This Row],[Document ID]],Table1[],5,FALSE)</f>
        <v>LTS</v>
      </c>
      <c r="E504" s="233" t="str">
        <f>VLOOKUP(Table8[[#This Row],[Document ID]],Table1[],7,FALSE)</f>
        <v>LTS</v>
      </c>
      <c r="F504" s="236" t="str">
        <f>VLOOKUP(Table8[[#This Row],[Document ID]],Table1[],8,FALSE)</f>
        <v>LTS 1.0</v>
      </c>
      <c r="G504" s="236" t="str">
        <f>VLOOKUP(Table8[[#This Row],[Document ID]],Table1[],10,FALSE)</f>
        <v>Active</v>
      </c>
      <c r="H504" s="43" t="s">
        <v>2350</v>
      </c>
      <c r="I504" s="43" t="s">
        <v>2370</v>
      </c>
      <c r="J504" s="44" t="s">
        <v>2418</v>
      </c>
      <c r="K504" s="44" t="s">
        <v>2844</v>
      </c>
      <c r="L504" s="44" t="s">
        <v>2373</v>
      </c>
      <c r="M504" s="43">
        <v>148</v>
      </c>
      <c r="N504" s="113" t="s">
        <v>1113</v>
      </c>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c r="AJ504" s="113"/>
      <c r="AK504" s="113" t="s">
        <v>1113</v>
      </c>
      <c r="AL504" s="113"/>
      <c r="AM504" s="113"/>
      <c r="AN504" s="113"/>
      <c r="AO504" s="44" t="s">
        <v>2334</v>
      </c>
      <c r="AP504" s="43"/>
      <c r="AQ504" s="236" t="str">
        <f>VLOOKUP(Table8[[#This Row],[Instrument]],Def_Targets!$D$73:$E$159,2,FALSE)</f>
        <v>A_Complan</v>
      </c>
      <c r="AR504" s="233" t="str">
        <f>VLOOKUP(Table8[[#This Row],[Country Code]],Table29[],3,FALSE)</f>
        <v>Non-Annex I</v>
      </c>
      <c r="AS504" s="233" t="str">
        <f>VLOOKUP(Table8[[#This Row],[Country Code]],Table29[],4,FALSE)</f>
        <v>Latin America and the Caribbean</v>
      </c>
      <c r="AT504" s="233" t="str">
        <f>VLOOKUP(Table8[[#This Row],[Country Code]],Table29[],5,FALSE)</f>
        <v>High-income</v>
      </c>
      <c r="AU504" s="233" t="str">
        <f>VLOOKUP(Table8[[#This Row],[Country Code]],Table29[],6,FALSE)</f>
        <v>no</v>
      </c>
      <c r="AV504" s="233" t="str">
        <f>VLOOKUP(Table8[[#This Row],[Country Code]],Table29[],7,FALSE)</f>
        <v>no</v>
      </c>
      <c r="AW504" s="233" t="str">
        <f>VLOOKUP(Table8[[#This Row],[Country Code]],Table29[],8,FALSE)</f>
        <v>OECD</v>
      </c>
      <c r="AX504" s="233" t="str">
        <f>VLOOKUP(Table8[[#This Row],[Country Code]],Table29[],9,FALSE)</f>
        <v>no</v>
      </c>
      <c r="AY504" s="233" t="str">
        <f>VLOOKUP(Table8[[#This Row],[Country Code]],Table29[],10,FALSE)</f>
        <v>no</v>
      </c>
      <c r="AZ504" s="235">
        <f>VLOOKUP(Table8[[#This Row],[Country Code]],Table29[],23,FALSE)</f>
        <v>121.46313217391</v>
      </c>
      <c r="BA504" s="235">
        <f>VLOOKUP(Table8[[#This Row],[Country Code]],Table29[],24,FALSE)</f>
        <v>32.478801178832768</v>
      </c>
      <c r="BB504" s="320"/>
      <c r="BC504" s="320"/>
    </row>
    <row r="505" spans="1:55" s="153" customFormat="1" ht="105" hidden="1" x14ac:dyDescent="0.25">
      <c r="A505" s="373">
        <v>26776</v>
      </c>
      <c r="B505" s="233" t="str">
        <f>VLOOKUP(Table8[[#This Row],[Document ID]],Table1[],2,FALSE)</f>
        <v>CHL</v>
      </c>
      <c r="C505" s="233" t="str">
        <f>VLOOKUP(Table8[[#This Row],[Document ID]],Table1[],3,FALSE)</f>
        <v>Chile</v>
      </c>
      <c r="D505" s="243" t="str">
        <f>VLOOKUP(Table8[[#This Row],[Document ID]],Table1[],5,FALSE)</f>
        <v>LTS</v>
      </c>
      <c r="E505" s="233" t="str">
        <f>VLOOKUP(Table8[[#This Row],[Document ID]],Table1[],7,FALSE)</f>
        <v>LTS</v>
      </c>
      <c r="F505" s="236" t="str">
        <f>VLOOKUP(Table8[[#This Row],[Document ID]],Table1[],8,FALSE)</f>
        <v>LTS 1.0</v>
      </c>
      <c r="G505" s="236" t="str">
        <f>VLOOKUP(Table8[[#This Row],[Document ID]],Table1[],10,FALSE)</f>
        <v>Active</v>
      </c>
      <c r="H505" s="43" t="s">
        <v>2350</v>
      </c>
      <c r="I505" s="43" t="s">
        <v>2407</v>
      </c>
      <c r="J505" s="44" t="s">
        <v>2408</v>
      </c>
      <c r="K505" s="44" t="s">
        <v>2845</v>
      </c>
      <c r="L505" s="44" t="s">
        <v>2373</v>
      </c>
      <c r="M505" s="43">
        <v>148</v>
      </c>
      <c r="N505" s="113" t="s">
        <v>1113</v>
      </c>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c r="AJ505" s="113"/>
      <c r="AK505" s="113" t="s">
        <v>1113</v>
      </c>
      <c r="AL505" s="113"/>
      <c r="AM505" s="113"/>
      <c r="AN505" s="113"/>
      <c r="AO505" s="44" t="s">
        <v>2334</v>
      </c>
      <c r="AP505" s="43"/>
      <c r="AQ505" s="236" t="str">
        <f>VLOOKUP(Table8[[#This Row],[Instrument]],Def_Targets!$D$73:$E$159,2,FALSE)</f>
        <v>I_Education</v>
      </c>
      <c r="AR505" s="233" t="str">
        <f>VLOOKUP(Table8[[#This Row],[Country Code]],Table29[],3,FALSE)</f>
        <v>Non-Annex I</v>
      </c>
      <c r="AS505" s="233" t="str">
        <f>VLOOKUP(Table8[[#This Row],[Country Code]],Table29[],4,FALSE)</f>
        <v>Latin America and the Caribbean</v>
      </c>
      <c r="AT505" s="233" t="str">
        <f>VLOOKUP(Table8[[#This Row],[Country Code]],Table29[],5,FALSE)</f>
        <v>High-income</v>
      </c>
      <c r="AU505" s="233" t="str">
        <f>VLOOKUP(Table8[[#This Row],[Country Code]],Table29[],6,FALSE)</f>
        <v>no</v>
      </c>
      <c r="AV505" s="233" t="str">
        <f>VLOOKUP(Table8[[#This Row],[Country Code]],Table29[],7,FALSE)</f>
        <v>no</v>
      </c>
      <c r="AW505" s="233" t="str">
        <f>VLOOKUP(Table8[[#This Row],[Country Code]],Table29[],8,FALSE)</f>
        <v>OECD</v>
      </c>
      <c r="AX505" s="233" t="str">
        <f>VLOOKUP(Table8[[#This Row],[Country Code]],Table29[],9,FALSE)</f>
        <v>no</v>
      </c>
      <c r="AY505" s="233" t="str">
        <f>VLOOKUP(Table8[[#This Row],[Country Code]],Table29[],10,FALSE)</f>
        <v>no</v>
      </c>
      <c r="AZ505" s="235">
        <f>VLOOKUP(Table8[[#This Row],[Country Code]],Table29[],23,FALSE)</f>
        <v>121.46313217391</v>
      </c>
      <c r="BA505" s="235">
        <f>VLOOKUP(Table8[[#This Row],[Country Code]],Table29[],24,FALSE)</f>
        <v>32.478801178832768</v>
      </c>
      <c r="BB505" s="320"/>
      <c r="BC505" s="320"/>
    </row>
    <row r="506" spans="1:55" ht="30" hidden="1" x14ac:dyDescent="0.25">
      <c r="A506" s="373">
        <v>17560</v>
      </c>
      <c r="B506" s="233" t="str">
        <f>VLOOKUP(Table8[[#This Row],[Document ID]],Table1[],2,FALSE)</f>
        <v>COG</v>
      </c>
      <c r="C506" s="233" t="str">
        <f>VLOOKUP(Table8[[#This Row],[Document ID]],Table1[],3,FALSE)</f>
        <v>Congo</v>
      </c>
      <c r="D506" s="243" t="str">
        <f>VLOOKUP(Table8[[#This Row],[Document ID]],Table1[],5,FALSE)</f>
        <v>NDC</v>
      </c>
      <c r="E506" s="233" t="str">
        <f>VLOOKUP(Table8[[#This Row],[Document ID]],Table1[],7,FALSE)</f>
        <v>First NDC</v>
      </c>
      <c r="F506" s="236" t="str">
        <f>VLOOKUP(Table8[[#This Row],[Document ID]],Table1[],8,FALSE)</f>
        <v>NDC 1.0</v>
      </c>
      <c r="G506" s="236" t="str">
        <f>VLOOKUP(Table8[[#This Row],[Document ID]],Table1[],10,FALSE)</f>
        <v>Archived</v>
      </c>
      <c r="H506" s="43" t="s">
        <v>2343</v>
      </c>
      <c r="I506" s="43" t="s">
        <v>2344</v>
      </c>
      <c r="J506" s="44" t="s">
        <v>2345</v>
      </c>
      <c r="K506" s="44" t="s">
        <v>2846</v>
      </c>
      <c r="L506" s="44" t="s">
        <v>2347</v>
      </c>
      <c r="M506" s="43"/>
      <c r="N506" s="113" t="s">
        <v>1113</v>
      </c>
      <c r="O506" s="113"/>
      <c r="P506" s="113"/>
      <c r="Q506" s="319"/>
      <c r="R506" s="319"/>
      <c r="S506" s="319"/>
      <c r="T506" s="319"/>
      <c r="U506" s="319"/>
      <c r="V506" s="319"/>
      <c r="W506" s="319"/>
      <c r="X506" s="319"/>
      <c r="Y506" s="319"/>
      <c r="Z506" s="319"/>
      <c r="AA506" s="319"/>
      <c r="AB506" s="319"/>
      <c r="AC506" s="319"/>
      <c r="AD506" s="319"/>
      <c r="AE506" s="319"/>
      <c r="AF506" s="319"/>
      <c r="AG506" s="319"/>
      <c r="AH506" s="319"/>
      <c r="AI506" s="319"/>
      <c r="AJ506" s="319"/>
      <c r="AK506" s="319"/>
      <c r="AL506" s="113" t="s">
        <v>1113</v>
      </c>
      <c r="AM506" s="319"/>
      <c r="AN506" s="319"/>
      <c r="AO506" s="43" t="s">
        <v>2348</v>
      </c>
      <c r="AP506" s="44"/>
      <c r="AQ506" s="236" t="str">
        <f>VLOOKUP(Table8[[#This Row],[Instrument]],Def_Targets!$D$73:$E$159,2,FALSE)</f>
        <v>S_PublicTransport</v>
      </c>
      <c r="AR506" s="233" t="str">
        <f>VLOOKUP(Table8[[#This Row],[Country Code]],Table29[],3,FALSE)</f>
        <v>Non-Annex I</v>
      </c>
      <c r="AS506" s="233" t="str">
        <f>VLOOKUP(Table8[[#This Row],[Country Code]],Table29[],4,FALSE)</f>
        <v>Africa</v>
      </c>
      <c r="AT506" s="233" t="str">
        <f>VLOOKUP(Table8[[#This Row],[Country Code]],Table29[],5,FALSE)</f>
        <v>Middle-income</v>
      </c>
      <c r="AU506" s="233" t="str">
        <f>VLOOKUP(Table8[[#This Row],[Country Code]],Table29[],6,FALSE)</f>
        <v>no</v>
      </c>
      <c r="AV506" s="233" t="str">
        <f>VLOOKUP(Table8[[#This Row],[Country Code]],Table29[],7,FALSE)</f>
        <v>no</v>
      </c>
      <c r="AW506" s="233" t="str">
        <f>VLOOKUP(Table8[[#This Row],[Country Code]],Table29[],8,FALSE)</f>
        <v>non-OECD</v>
      </c>
      <c r="AX506" s="233" t="str">
        <f>VLOOKUP(Table8[[#This Row],[Country Code]],Table29[],9,FALSE)</f>
        <v>no</v>
      </c>
      <c r="AY506" s="233" t="str">
        <f>VLOOKUP(Table8[[#This Row],[Country Code]],Table29[],10,FALSE)</f>
        <v>no</v>
      </c>
      <c r="AZ506" s="235">
        <f>VLOOKUP(Table8[[#This Row],[Country Code]],Table29[],23,FALSE)</f>
        <v>23.702014388194002</v>
      </c>
      <c r="BA506" s="235">
        <f>VLOOKUP(Table8[[#This Row],[Country Code]],Table29[],24,FALSE)</f>
        <v>1.4878367477049981</v>
      </c>
      <c r="BB506" s="320"/>
      <c r="BC506" s="320"/>
    </row>
    <row r="507" spans="1:55" ht="30" hidden="1" x14ac:dyDescent="0.25">
      <c r="A507" s="373">
        <v>17560</v>
      </c>
      <c r="B507" s="233" t="str">
        <f>VLOOKUP(Table8[[#This Row],[Document ID]],Table1[],2,FALSE)</f>
        <v>COG</v>
      </c>
      <c r="C507" s="233" t="str">
        <f>VLOOKUP(Table8[[#This Row],[Document ID]],Table1[],3,FALSE)</f>
        <v>Congo</v>
      </c>
      <c r="D507" s="243" t="str">
        <f>VLOOKUP(Table8[[#This Row],[Document ID]],Table1[],5,FALSE)</f>
        <v>NDC</v>
      </c>
      <c r="E507" s="233" t="str">
        <f>VLOOKUP(Table8[[#This Row],[Document ID]],Table1[],7,FALSE)</f>
        <v>First NDC</v>
      </c>
      <c r="F507" s="236" t="str">
        <f>VLOOKUP(Table8[[#This Row],[Document ID]],Table1[],8,FALSE)</f>
        <v>NDC 1.0</v>
      </c>
      <c r="G507" s="236" t="str">
        <f>VLOOKUP(Table8[[#This Row],[Document ID]],Table1[],10,FALSE)</f>
        <v>Archived</v>
      </c>
      <c r="H507" s="44" t="s">
        <v>2338</v>
      </c>
      <c r="I507" s="44" t="s">
        <v>2339</v>
      </c>
      <c r="J507" s="44" t="s">
        <v>2410</v>
      </c>
      <c r="K507" s="44" t="s">
        <v>2847</v>
      </c>
      <c r="L507" s="44" t="s">
        <v>2333</v>
      </c>
      <c r="M507" s="43"/>
      <c r="N507" s="113" t="s">
        <v>1113</v>
      </c>
      <c r="O507" s="113"/>
      <c r="P507" s="113"/>
      <c r="Q507" s="319"/>
      <c r="R507" s="319"/>
      <c r="S507" s="319"/>
      <c r="T507" s="319"/>
      <c r="U507" s="319"/>
      <c r="V507" s="319"/>
      <c r="W507" s="319"/>
      <c r="X507" s="319"/>
      <c r="Y507" s="319"/>
      <c r="Z507" s="319"/>
      <c r="AA507" s="319"/>
      <c r="AB507" s="319"/>
      <c r="AC507" s="319"/>
      <c r="AD507" s="319"/>
      <c r="AE507" s="319"/>
      <c r="AF507" s="319"/>
      <c r="AG507" s="319"/>
      <c r="AH507" s="319"/>
      <c r="AI507" s="319"/>
      <c r="AJ507" s="319"/>
      <c r="AK507" s="319" t="s">
        <v>1113</v>
      </c>
      <c r="AL507" s="319"/>
      <c r="AM507" s="319"/>
      <c r="AN507" s="319"/>
      <c r="AO507" s="44" t="s">
        <v>2334</v>
      </c>
      <c r="AP507" s="44"/>
      <c r="AQ507" s="236" t="str">
        <f>VLOOKUP(Table8[[#This Row],[Instrument]],Def_Targets!$D$73:$E$159,2,FALSE)</f>
        <v>I_VehicleRestrictions</v>
      </c>
      <c r="AR507" s="233" t="str">
        <f>VLOOKUP(Table8[[#This Row],[Country Code]],Table29[],3,FALSE)</f>
        <v>Non-Annex I</v>
      </c>
      <c r="AS507" s="233" t="str">
        <f>VLOOKUP(Table8[[#This Row],[Country Code]],Table29[],4,FALSE)</f>
        <v>Africa</v>
      </c>
      <c r="AT507" s="233" t="str">
        <f>VLOOKUP(Table8[[#This Row],[Country Code]],Table29[],5,FALSE)</f>
        <v>Middle-income</v>
      </c>
      <c r="AU507" s="233" t="str">
        <f>VLOOKUP(Table8[[#This Row],[Country Code]],Table29[],6,FALSE)</f>
        <v>no</v>
      </c>
      <c r="AV507" s="233" t="str">
        <f>VLOOKUP(Table8[[#This Row],[Country Code]],Table29[],7,FALSE)</f>
        <v>no</v>
      </c>
      <c r="AW507" s="233" t="str">
        <f>VLOOKUP(Table8[[#This Row],[Country Code]],Table29[],8,FALSE)</f>
        <v>non-OECD</v>
      </c>
      <c r="AX507" s="233" t="str">
        <f>VLOOKUP(Table8[[#This Row],[Country Code]],Table29[],9,FALSE)</f>
        <v>no</v>
      </c>
      <c r="AY507" s="233" t="str">
        <f>VLOOKUP(Table8[[#This Row],[Country Code]],Table29[],10,FALSE)</f>
        <v>no</v>
      </c>
      <c r="AZ507" s="235">
        <f>VLOOKUP(Table8[[#This Row],[Country Code]],Table29[],23,FALSE)</f>
        <v>23.702014388194002</v>
      </c>
      <c r="BA507" s="235">
        <f>VLOOKUP(Table8[[#This Row],[Country Code]],Table29[],24,FALSE)</f>
        <v>1.4878367477049981</v>
      </c>
      <c r="BB507" s="320"/>
      <c r="BC507" s="320"/>
    </row>
    <row r="508" spans="1:55" ht="45" hidden="1" x14ac:dyDescent="0.25">
      <c r="A508" s="373">
        <v>17560</v>
      </c>
      <c r="B508" s="233" t="str">
        <f>VLOOKUP(Table8[[#This Row],[Document ID]],Table1[],2,FALSE)</f>
        <v>COG</v>
      </c>
      <c r="C508" s="233" t="str">
        <f>VLOOKUP(Table8[[#This Row],[Document ID]],Table1[],3,FALSE)</f>
        <v>Congo</v>
      </c>
      <c r="D508" s="243" t="str">
        <f>VLOOKUP(Table8[[#This Row],[Document ID]],Table1[],5,FALSE)</f>
        <v>NDC</v>
      </c>
      <c r="E508" s="233" t="str">
        <f>VLOOKUP(Table8[[#This Row],[Document ID]],Table1[],7,FALSE)</f>
        <v>First NDC</v>
      </c>
      <c r="F508" s="236" t="str">
        <f>VLOOKUP(Table8[[#This Row],[Document ID]],Table1[],8,FALSE)</f>
        <v>NDC 1.0</v>
      </c>
      <c r="G508" s="236" t="str">
        <f>VLOOKUP(Table8[[#This Row],[Document ID]],Table1[],10,FALSE)</f>
        <v>Archived</v>
      </c>
      <c r="H508" s="44" t="s">
        <v>2329</v>
      </c>
      <c r="I508" s="44" t="s">
        <v>2330</v>
      </c>
      <c r="J508" s="44" t="s">
        <v>2381</v>
      </c>
      <c r="K508" s="44" t="s">
        <v>2848</v>
      </c>
      <c r="L508" s="44" t="s">
        <v>2333</v>
      </c>
      <c r="M508" s="43"/>
      <c r="N508" s="113" t="s">
        <v>1113</v>
      </c>
      <c r="O508" s="113"/>
      <c r="P508" s="113"/>
      <c r="Q508" s="319"/>
      <c r="R508" s="319"/>
      <c r="S508" s="319"/>
      <c r="T508" s="319"/>
      <c r="U508" s="319"/>
      <c r="V508" s="319"/>
      <c r="W508" s="319"/>
      <c r="X508" s="319"/>
      <c r="Y508" s="319"/>
      <c r="Z508" s="319"/>
      <c r="AA508" s="319"/>
      <c r="AB508" s="319"/>
      <c r="AC508" s="319"/>
      <c r="AD508" s="319"/>
      <c r="AE508" s="319"/>
      <c r="AF508" s="319"/>
      <c r="AG508" s="319"/>
      <c r="AH508" s="319"/>
      <c r="AI508" s="319"/>
      <c r="AJ508" s="319"/>
      <c r="AK508" s="319" t="s">
        <v>1113</v>
      </c>
      <c r="AL508" s="319"/>
      <c r="AM508" s="319"/>
      <c r="AN508" s="319"/>
      <c r="AO508" s="44" t="s">
        <v>2334</v>
      </c>
      <c r="AP508" s="44"/>
      <c r="AQ508" s="236" t="str">
        <f>VLOOKUP(Table8[[#This Row],[Instrument]],Def_Targets!$D$73:$E$159,2,FALSE)</f>
        <v>I_RE</v>
      </c>
      <c r="AR508" s="233" t="str">
        <f>VLOOKUP(Table8[[#This Row],[Country Code]],Table29[],3,FALSE)</f>
        <v>Non-Annex I</v>
      </c>
      <c r="AS508" s="233" t="str">
        <f>VLOOKUP(Table8[[#This Row],[Country Code]],Table29[],4,FALSE)</f>
        <v>Africa</v>
      </c>
      <c r="AT508" s="233" t="str">
        <f>VLOOKUP(Table8[[#This Row],[Country Code]],Table29[],5,FALSE)</f>
        <v>Middle-income</v>
      </c>
      <c r="AU508" s="233" t="str">
        <f>VLOOKUP(Table8[[#This Row],[Country Code]],Table29[],6,FALSE)</f>
        <v>no</v>
      </c>
      <c r="AV508" s="233" t="str">
        <f>VLOOKUP(Table8[[#This Row],[Country Code]],Table29[],7,FALSE)</f>
        <v>no</v>
      </c>
      <c r="AW508" s="233" t="str">
        <f>VLOOKUP(Table8[[#This Row],[Country Code]],Table29[],8,FALSE)</f>
        <v>non-OECD</v>
      </c>
      <c r="AX508" s="233" t="str">
        <f>VLOOKUP(Table8[[#This Row],[Country Code]],Table29[],9,FALSE)</f>
        <v>no</v>
      </c>
      <c r="AY508" s="233" t="str">
        <f>VLOOKUP(Table8[[#This Row],[Country Code]],Table29[],10,FALSE)</f>
        <v>no</v>
      </c>
      <c r="AZ508" s="235">
        <f>VLOOKUP(Table8[[#This Row],[Country Code]],Table29[],23,FALSE)</f>
        <v>23.702014388194002</v>
      </c>
      <c r="BA508" s="235">
        <f>VLOOKUP(Table8[[#This Row],[Country Code]],Table29[],24,FALSE)</f>
        <v>1.4878367477049981</v>
      </c>
      <c r="BB508" s="320"/>
      <c r="BC508" s="320"/>
    </row>
    <row r="509" spans="1:55" hidden="1" x14ac:dyDescent="0.25">
      <c r="A509" s="373">
        <v>21423</v>
      </c>
      <c r="B509" s="233" t="str">
        <f>VLOOKUP(Table8[[#This Row],[Document ID]],Table1[],2,FALSE)</f>
        <v>COG</v>
      </c>
      <c r="C509" s="233" t="str">
        <f>VLOOKUP(Table8[[#This Row],[Document ID]],Table1[],3,FALSE)</f>
        <v>Congo</v>
      </c>
      <c r="D509" s="243" t="str">
        <f>VLOOKUP(Table8[[#This Row],[Document ID]],Table1[],5,FALSE)</f>
        <v>NDC</v>
      </c>
      <c r="E509" s="233" t="str">
        <f>VLOOKUP(Table8[[#This Row],[Document ID]],Table1[],7,FALSE)</f>
        <v>First NDC updated</v>
      </c>
      <c r="F509" s="233" t="str">
        <f>VLOOKUP(Table8[[#This Row],[Document ID]],Table1[],8,FALSE)</f>
        <v>NDC 1.1</v>
      </c>
      <c r="G509" s="233" t="str">
        <f>VLOOKUP(Table8[[#This Row],[Document ID]],Table1[],10,FALSE)</f>
        <v>Active</v>
      </c>
      <c r="H509" s="43" t="s">
        <v>2358</v>
      </c>
      <c r="I509" s="43" t="s">
        <v>2359</v>
      </c>
      <c r="J509" s="44" t="s">
        <v>2360</v>
      </c>
      <c r="K509" s="44" t="s">
        <v>2849</v>
      </c>
      <c r="L509" s="44" t="s">
        <v>2333</v>
      </c>
      <c r="M509" s="43">
        <v>14</v>
      </c>
      <c r="N509" s="113"/>
      <c r="O509" s="113"/>
      <c r="P509" s="113"/>
      <c r="Q509" s="113"/>
      <c r="R509" s="113"/>
      <c r="S509" s="113" t="s">
        <v>1113</v>
      </c>
      <c r="T509" s="113"/>
      <c r="U509" s="113"/>
      <c r="V509" s="113"/>
      <c r="W509" s="113"/>
      <c r="X509" s="113"/>
      <c r="Y509" s="113" t="s">
        <v>1113</v>
      </c>
      <c r="Z509" s="113"/>
      <c r="AA509" s="113"/>
      <c r="AB509" s="113"/>
      <c r="AC509" s="113"/>
      <c r="AD509" s="113"/>
      <c r="AE509" s="113"/>
      <c r="AF509" s="113"/>
      <c r="AG509" s="113"/>
      <c r="AH509" s="113"/>
      <c r="AI509" s="113"/>
      <c r="AJ509" s="113"/>
      <c r="AK509" s="113" t="s">
        <v>1113</v>
      </c>
      <c r="AL509" s="113"/>
      <c r="AM509" s="113"/>
      <c r="AN509" s="113"/>
      <c r="AO509" s="43" t="s">
        <v>2348</v>
      </c>
      <c r="AP509" s="43"/>
      <c r="AQ509" s="236" t="str">
        <f>VLOOKUP(Table8[[#This Row],[Instrument]],Def_Targets!$D$73:$E$159,2,FALSE)</f>
        <v>I_Emobility</v>
      </c>
      <c r="AR509" s="233" t="str">
        <f>VLOOKUP(Table8[[#This Row],[Country Code]],Table29[],3,FALSE)</f>
        <v>Non-Annex I</v>
      </c>
      <c r="AS509" s="233" t="str">
        <f>VLOOKUP(Table8[[#This Row],[Country Code]],Table29[],4,FALSE)</f>
        <v>Africa</v>
      </c>
      <c r="AT509" s="233" t="str">
        <f>VLOOKUP(Table8[[#This Row],[Country Code]],Table29[],5,FALSE)</f>
        <v>Middle-income</v>
      </c>
      <c r="AU509" s="233" t="str">
        <f>VLOOKUP(Table8[[#This Row],[Country Code]],Table29[],6,FALSE)</f>
        <v>no</v>
      </c>
      <c r="AV509" s="233" t="str">
        <f>VLOOKUP(Table8[[#This Row],[Country Code]],Table29[],7,FALSE)</f>
        <v>no</v>
      </c>
      <c r="AW509" s="233" t="str">
        <f>VLOOKUP(Table8[[#This Row],[Country Code]],Table29[],8,FALSE)</f>
        <v>non-OECD</v>
      </c>
      <c r="AX509" s="233" t="str">
        <f>VLOOKUP(Table8[[#This Row],[Country Code]],Table29[],9,FALSE)</f>
        <v>no</v>
      </c>
      <c r="AY509" s="233" t="str">
        <f>VLOOKUP(Table8[[#This Row],[Country Code]],Table29[],10,FALSE)</f>
        <v>no</v>
      </c>
      <c r="AZ509" s="235">
        <f>VLOOKUP(Table8[[#This Row],[Country Code]],Table29[],23,FALSE)</f>
        <v>23.702014388194002</v>
      </c>
      <c r="BA509" s="235">
        <f>VLOOKUP(Table8[[#This Row],[Country Code]],Table29[],24,FALSE)</f>
        <v>1.4878367477049981</v>
      </c>
      <c r="BB509" s="320"/>
      <c r="BC509" s="320"/>
    </row>
    <row r="510" spans="1:55" hidden="1" x14ac:dyDescent="0.25">
      <c r="A510" s="373">
        <v>21423</v>
      </c>
      <c r="B510" s="233" t="str">
        <f>VLOOKUP(Table8[[#This Row],[Document ID]],Table1[],2,FALSE)</f>
        <v>COG</v>
      </c>
      <c r="C510" s="233" t="str">
        <f>VLOOKUP(Table8[[#This Row],[Document ID]],Table1[],3,FALSE)</f>
        <v>Congo</v>
      </c>
      <c r="D510" s="243" t="str">
        <f>VLOOKUP(Table8[[#This Row],[Document ID]],Table1[],5,FALSE)</f>
        <v>NDC</v>
      </c>
      <c r="E510" s="233" t="str">
        <f>VLOOKUP(Table8[[#This Row],[Document ID]],Table1[],7,FALSE)</f>
        <v>First NDC updated</v>
      </c>
      <c r="F510" s="233" t="str">
        <f>VLOOKUP(Table8[[#This Row],[Document ID]],Table1[],8,FALSE)</f>
        <v>NDC 1.1</v>
      </c>
      <c r="G510" s="233" t="str">
        <f>VLOOKUP(Table8[[#This Row],[Document ID]],Table1[],10,FALSE)</f>
        <v>Active</v>
      </c>
      <c r="H510" s="43" t="s">
        <v>2358</v>
      </c>
      <c r="I510" s="43" t="s">
        <v>2359</v>
      </c>
      <c r="J510" s="44" t="s">
        <v>2360</v>
      </c>
      <c r="K510" s="44" t="s">
        <v>2850</v>
      </c>
      <c r="L510" s="44" t="s">
        <v>2333</v>
      </c>
      <c r="M510" s="43">
        <v>14</v>
      </c>
      <c r="N510" s="113"/>
      <c r="O510" s="113"/>
      <c r="P510" s="113"/>
      <c r="Q510" s="113"/>
      <c r="R510" s="113"/>
      <c r="S510" s="113" t="s">
        <v>1113</v>
      </c>
      <c r="T510" s="113"/>
      <c r="U510" s="113"/>
      <c r="V510" s="113"/>
      <c r="W510" s="113"/>
      <c r="X510" s="113"/>
      <c r="Y510" s="113" t="s">
        <v>1113</v>
      </c>
      <c r="Z510" s="113"/>
      <c r="AA510" s="113"/>
      <c r="AB510" s="113"/>
      <c r="AC510" s="113"/>
      <c r="AD510" s="113"/>
      <c r="AE510" s="113"/>
      <c r="AF510" s="113"/>
      <c r="AG510" s="113"/>
      <c r="AH510" s="113"/>
      <c r="AI510" s="113"/>
      <c r="AJ510" s="113"/>
      <c r="AK510" s="113" t="s">
        <v>1113</v>
      </c>
      <c r="AL510" s="113"/>
      <c r="AM510" s="113"/>
      <c r="AN510" s="113"/>
      <c r="AO510" s="44" t="s">
        <v>2334</v>
      </c>
      <c r="AP510" s="43"/>
      <c r="AQ510" s="236" t="str">
        <f>VLOOKUP(Table8[[#This Row],[Instrument]],Def_Targets!$D$73:$E$159,2,FALSE)</f>
        <v>I_Emobility</v>
      </c>
      <c r="AR510" s="233" t="str">
        <f>VLOOKUP(Table8[[#This Row],[Country Code]],Table29[],3,FALSE)</f>
        <v>Non-Annex I</v>
      </c>
      <c r="AS510" s="233" t="str">
        <f>VLOOKUP(Table8[[#This Row],[Country Code]],Table29[],4,FALSE)</f>
        <v>Africa</v>
      </c>
      <c r="AT510" s="233" t="str">
        <f>VLOOKUP(Table8[[#This Row],[Country Code]],Table29[],5,FALSE)</f>
        <v>Middle-income</v>
      </c>
      <c r="AU510" s="233" t="str">
        <f>VLOOKUP(Table8[[#This Row],[Country Code]],Table29[],6,FALSE)</f>
        <v>no</v>
      </c>
      <c r="AV510" s="233" t="str">
        <f>VLOOKUP(Table8[[#This Row],[Country Code]],Table29[],7,FALSE)</f>
        <v>no</v>
      </c>
      <c r="AW510" s="233" t="str">
        <f>VLOOKUP(Table8[[#This Row],[Country Code]],Table29[],8,FALSE)</f>
        <v>non-OECD</v>
      </c>
      <c r="AX510" s="233" t="str">
        <f>VLOOKUP(Table8[[#This Row],[Country Code]],Table29[],9,FALSE)</f>
        <v>no</v>
      </c>
      <c r="AY510" s="233" t="str">
        <f>VLOOKUP(Table8[[#This Row],[Country Code]],Table29[],10,FALSE)</f>
        <v>no</v>
      </c>
      <c r="AZ510" s="235">
        <f>VLOOKUP(Table8[[#This Row],[Country Code]],Table29[],23,FALSE)</f>
        <v>23.702014388194002</v>
      </c>
      <c r="BA510" s="235">
        <f>VLOOKUP(Table8[[#This Row],[Country Code]],Table29[],24,FALSE)</f>
        <v>1.4878367477049981</v>
      </c>
      <c r="BB510" s="320"/>
      <c r="BC510" s="320"/>
    </row>
    <row r="511" spans="1:55" ht="30" hidden="1" x14ac:dyDescent="0.25">
      <c r="A511" s="373">
        <v>17561</v>
      </c>
      <c r="B511" s="233" t="str">
        <f>VLOOKUP(Table8[[#This Row],[Document ID]],Table1[],2,FALSE)</f>
        <v>COK</v>
      </c>
      <c r="C511" s="233" t="str">
        <f>VLOOKUP(Table8[[#This Row],[Document ID]],Table1[],3,FALSE)</f>
        <v>Cook Islands</v>
      </c>
      <c r="D511" s="243" t="str">
        <f>VLOOKUP(Table8[[#This Row],[Document ID]],Table1[],5,FALSE)</f>
        <v>NDC</v>
      </c>
      <c r="E511" s="233" t="str">
        <f>VLOOKUP(Table8[[#This Row],[Document ID]],Table1[],7,FALSE)</f>
        <v>First NDC</v>
      </c>
      <c r="F511" s="236" t="str">
        <f>VLOOKUP(Table8[[#This Row],[Document ID]],Table1[],8,FALSE)</f>
        <v>NDC 1.0</v>
      </c>
      <c r="G511" s="236" t="str">
        <f>VLOOKUP(Table8[[#This Row],[Document ID]],Table1[],10,FALSE)</f>
        <v>Active</v>
      </c>
      <c r="H511" s="44" t="s">
        <v>2329</v>
      </c>
      <c r="I511" s="44" t="s">
        <v>2330</v>
      </c>
      <c r="J511" s="44" t="s">
        <v>2691</v>
      </c>
      <c r="K511" s="44" t="s">
        <v>2851</v>
      </c>
      <c r="L511" s="44" t="s">
        <v>2333</v>
      </c>
      <c r="M511" s="43"/>
      <c r="N511" s="113" t="s">
        <v>1113</v>
      </c>
      <c r="O511" s="113"/>
      <c r="P511" s="113"/>
      <c r="Q511" s="319"/>
      <c r="R511" s="319"/>
      <c r="S511" s="319"/>
      <c r="T511" s="319"/>
      <c r="U511" s="319"/>
      <c r="V511" s="319"/>
      <c r="W511" s="319"/>
      <c r="X511" s="319"/>
      <c r="Y511" s="319"/>
      <c r="Z511" s="319"/>
      <c r="AA511" s="319"/>
      <c r="AB511" s="319"/>
      <c r="AC511" s="319"/>
      <c r="AD511" s="319"/>
      <c r="AE511" s="319"/>
      <c r="AF511" s="319"/>
      <c r="AG511" s="319"/>
      <c r="AH511" s="319"/>
      <c r="AI511" s="319"/>
      <c r="AJ511" s="319"/>
      <c r="AK511" s="319" t="s">
        <v>1113</v>
      </c>
      <c r="AL511" s="319"/>
      <c r="AM511" s="319"/>
      <c r="AN511" s="319"/>
      <c r="AO511" s="44" t="s">
        <v>2334</v>
      </c>
      <c r="AP511" s="44"/>
      <c r="AQ511" s="236" t="str">
        <f>VLOOKUP(Table8[[#This Row],[Instrument]],Def_Targets!$D$73:$E$159,2,FALSE)</f>
        <v>I_Lowemissionincentive</v>
      </c>
      <c r="AR511" s="233" t="str">
        <f>VLOOKUP(Table8[[#This Row],[Country Code]],Table29[],3,FALSE)</f>
        <v>Non-Annex I</v>
      </c>
      <c r="AS511" s="233" t="str">
        <f>VLOOKUP(Table8[[#This Row],[Country Code]],Table29[],4,FALSE)</f>
        <v>Oceania</v>
      </c>
      <c r="AT511" s="233" t="str">
        <f>VLOOKUP(Table8[[#This Row],[Country Code]],Table29[],5,FALSE)</f>
        <v>N/A</v>
      </c>
      <c r="AU511" s="233" t="str">
        <f>VLOOKUP(Table8[[#This Row],[Country Code]],Table29[],6,FALSE)</f>
        <v>no</v>
      </c>
      <c r="AV511" s="233" t="str">
        <f>VLOOKUP(Table8[[#This Row],[Country Code]],Table29[],7,FALSE)</f>
        <v>no</v>
      </c>
      <c r="AW511" s="233" t="str">
        <f>VLOOKUP(Table8[[#This Row],[Country Code]],Table29[],8,FALSE)</f>
        <v>non-OECD</v>
      </c>
      <c r="AX511" s="233" t="str">
        <f>VLOOKUP(Table8[[#This Row],[Country Code]],Table29[],9,FALSE)</f>
        <v>no</v>
      </c>
      <c r="AY511" s="233" t="str">
        <f>VLOOKUP(Table8[[#This Row],[Country Code]],Table29[],10,FALSE)</f>
        <v>no</v>
      </c>
      <c r="AZ511" s="235">
        <f>VLOOKUP(Table8[[#This Row],[Country Code]],Table29[],23,FALSE)</f>
        <v>0.15431817447160001</v>
      </c>
      <c r="BA511" s="235">
        <f>VLOOKUP(Table8[[#This Row],[Country Code]],Table29[],24,FALSE)</f>
        <v>7.3867712256084558E-2</v>
      </c>
      <c r="BB511" s="320"/>
      <c r="BC511" s="320"/>
    </row>
    <row r="512" spans="1:55" hidden="1" x14ac:dyDescent="0.25">
      <c r="A512" s="373">
        <v>17561</v>
      </c>
      <c r="B512" s="233" t="str">
        <f>VLOOKUP(Table8[[#This Row],[Document ID]],Table1[],2,FALSE)</f>
        <v>COK</v>
      </c>
      <c r="C512" s="233" t="str">
        <f>VLOOKUP(Table8[[#This Row],[Document ID]],Table1[],3,FALSE)</f>
        <v>Cook Islands</v>
      </c>
      <c r="D512" s="243" t="str">
        <f>VLOOKUP(Table8[[#This Row],[Document ID]],Table1[],5,FALSE)</f>
        <v>NDC</v>
      </c>
      <c r="E512" s="233" t="str">
        <f>VLOOKUP(Table8[[#This Row],[Document ID]],Table1[],7,FALSE)</f>
        <v>First NDC</v>
      </c>
      <c r="F512" s="236" t="str">
        <f>VLOOKUP(Table8[[#This Row],[Document ID]],Table1[],8,FALSE)</f>
        <v>NDC 1.0</v>
      </c>
      <c r="G512" s="236" t="str">
        <f>VLOOKUP(Table8[[#This Row],[Document ID]],Table1[],10,FALSE)</f>
        <v>Active</v>
      </c>
      <c r="H512" s="44" t="s">
        <v>2338</v>
      </c>
      <c r="I512" s="44" t="s">
        <v>2339</v>
      </c>
      <c r="J512" s="44" t="s">
        <v>2340</v>
      </c>
      <c r="K512" s="44" t="s">
        <v>2852</v>
      </c>
      <c r="L512" s="44" t="s">
        <v>2333</v>
      </c>
      <c r="M512" s="43"/>
      <c r="N512" s="113" t="s">
        <v>1113</v>
      </c>
      <c r="O512" s="113"/>
      <c r="P512" s="113"/>
      <c r="Q512" s="319"/>
      <c r="R512" s="319"/>
      <c r="S512" s="319"/>
      <c r="T512" s="319"/>
      <c r="U512" s="319"/>
      <c r="V512" s="319"/>
      <c r="W512" s="319"/>
      <c r="X512" s="319"/>
      <c r="Y512" s="319"/>
      <c r="Z512" s="319"/>
      <c r="AA512" s="319"/>
      <c r="AB512" s="319"/>
      <c r="AC512" s="319"/>
      <c r="AD512" s="319"/>
      <c r="AE512" s="319"/>
      <c r="AF512" s="319"/>
      <c r="AG512" s="319"/>
      <c r="AH512" s="319"/>
      <c r="AI512" s="319"/>
      <c r="AJ512" s="319"/>
      <c r="AK512" s="319" t="s">
        <v>1113</v>
      </c>
      <c r="AL512" s="319"/>
      <c r="AM512" s="319"/>
      <c r="AN512" s="319"/>
      <c r="AO512" s="44" t="s">
        <v>2334</v>
      </c>
      <c r="AP512" s="44"/>
      <c r="AQ512" s="236" t="str">
        <f>VLOOKUP(Table8[[#This Row],[Instrument]],Def_Targets!$D$73:$E$159,2,FALSE)</f>
        <v>I_Vehicleimprove</v>
      </c>
      <c r="AR512" s="233" t="str">
        <f>VLOOKUP(Table8[[#This Row],[Country Code]],Table29[],3,FALSE)</f>
        <v>Non-Annex I</v>
      </c>
      <c r="AS512" s="233" t="str">
        <f>VLOOKUP(Table8[[#This Row],[Country Code]],Table29[],4,FALSE)</f>
        <v>Oceania</v>
      </c>
      <c r="AT512" s="233" t="str">
        <f>VLOOKUP(Table8[[#This Row],[Country Code]],Table29[],5,FALSE)</f>
        <v>N/A</v>
      </c>
      <c r="AU512" s="233" t="str">
        <f>VLOOKUP(Table8[[#This Row],[Country Code]],Table29[],6,FALSE)</f>
        <v>no</v>
      </c>
      <c r="AV512" s="233" t="str">
        <f>VLOOKUP(Table8[[#This Row],[Country Code]],Table29[],7,FALSE)</f>
        <v>no</v>
      </c>
      <c r="AW512" s="233" t="str">
        <f>VLOOKUP(Table8[[#This Row],[Country Code]],Table29[],8,FALSE)</f>
        <v>non-OECD</v>
      </c>
      <c r="AX512" s="233" t="str">
        <f>VLOOKUP(Table8[[#This Row],[Country Code]],Table29[],9,FALSE)</f>
        <v>no</v>
      </c>
      <c r="AY512" s="233" t="str">
        <f>VLOOKUP(Table8[[#This Row],[Country Code]],Table29[],10,FALSE)</f>
        <v>no</v>
      </c>
      <c r="AZ512" s="235">
        <f>VLOOKUP(Table8[[#This Row],[Country Code]],Table29[],23,FALSE)</f>
        <v>0.15431817447160001</v>
      </c>
      <c r="BA512" s="235">
        <f>VLOOKUP(Table8[[#This Row],[Country Code]],Table29[],24,FALSE)</f>
        <v>7.3867712256084558E-2</v>
      </c>
      <c r="BB512" s="320"/>
      <c r="BC512" s="320"/>
    </row>
    <row r="513" spans="1:55" hidden="1" x14ac:dyDescent="0.25">
      <c r="A513" s="373">
        <v>17561</v>
      </c>
      <c r="B513" s="233" t="str">
        <f>VLOOKUP(Table8[[#This Row],[Document ID]],Table1[],2,FALSE)</f>
        <v>COK</v>
      </c>
      <c r="C513" s="233" t="str">
        <f>VLOOKUP(Table8[[#This Row],[Document ID]],Table1[],3,FALSE)</f>
        <v>Cook Islands</v>
      </c>
      <c r="D513" s="243" t="str">
        <f>VLOOKUP(Table8[[#This Row],[Document ID]],Table1[],5,FALSE)</f>
        <v>NDC</v>
      </c>
      <c r="E513" s="233" t="str">
        <f>VLOOKUP(Table8[[#This Row],[Document ID]],Table1[],7,FALSE)</f>
        <v>First NDC</v>
      </c>
      <c r="F513" s="236" t="str">
        <f>VLOOKUP(Table8[[#This Row],[Document ID]],Table1[],8,FALSE)</f>
        <v>NDC 1.0</v>
      </c>
      <c r="G513" s="236" t="str">
        <f>VLOOKUP(Table8[[#This Row],[Document ID]],Table1[],10,FALSE)</f>
        <v>Active</v>
      </c>
      <c r="H513" s="43" t="s">
        <v>2343</v>
      </c>
      <c r="I513" s="43" t="s">
        <v>2386</v>
      </c>
      <c r="J513" s="44" t="s">
        <v>2530</v>
      </c>
      <c r="K513" s="44" t="s">
        <v>2853</v>
      </c>
      <c r="L513" s="44" t="s">
        <v>2333</v>
      </c>
      <c r="M513" s="43"/>
      <c r="N513" s="113" t="s">
        <v>1113</v>
      </c>
      <c r="O513" s="113"/>
      <c r="P513" s="113"/>
      <c r="Q513" s="319"/>
      <c r="R513" s="319"/>
      <c r="S513" s="319"/>
      <c r="T513" s="319"/>
      <c r="U513" s="319"/>
      <c r="V513" s="319"/>
      <c r="W513" s="319"/>
      <c r="X513" s="319"/>
      <c r="Y513" s="319"/>
      <c r="Z513" s="319"/>
      <c r="AA513" s="319"/>
      <c r="AB513" s="319"/>
      <c r="AC513" s="319"/>
      <c r="AD513" s="319"/>
      <c r="AE513" s="319"/>
      <c r="AF513" s="319"/>
      <c r="AG513" s="319"/>
      <c r="AH513" s="319"/>
      <c r="AI513" s="319"/>
      <c r="AJ513" s="319"/>
      <c r="AK513" s="319" t="s">
        <v>1113</v>
      </c>
      <c r="AL513" s="319"/>
      <c r="AM513" s="319"/>
      <c r="AN513" s="319"/>
      <c r="AO513" s="44" t="s">
        <v>2334</v>
      </c>
      <c r="AP513" s="44"/>
      <c r="AQ513" s="236" t="str">
        <f>VLOOKUP(Table8[[#This Row],[Instrument]],Def_Targets!$D$73:$E$159,2,FALSE)</f>
        <v>A_Vehicletax</v>
      </c>
      <c r="AR513" s="233" t="str">
        <f>VLOOKUP(Table8[[#This Row],[Country Code]],Table29[],3,FALSE)</f>
        <v>Non-Annex I</v>
      </c>
      <c r="AS513" s="233" t="str">
        <f>VLOOKUP(Table8[[#This Row],[Country Code]],Table29[],4,FALSE)</f>
        <v>Oceania</v>
      </c>
      <c r="AT513" s="233" t="str">
        <f>VLOOKUP(Table8[[#This Row],[Country Code]],Table29[],5,FALSE)</f>
        <v>N/A</v>
      </c>
      <c r="AU513" s="233" t="str">
        <f>VLOOKUP(Table8[[#This Row],[Country Code]],Table29[],6,FALSE)</f>
        <v>no</v>
      </c>
      <c r="AV513" s="233" t="str">
        <f>VLOOKUP(Table8[[#This Row],[Country Code]],Table29[],7,FALSE)</f>
        <v>no</v>
      </c>
      <c r="AW513" s="233" t="str">
        <f>VLOOKUP(Table8[[#This Row],[Country Code]],Table29[],8,FALSE)</f>
        <v>non-OECD</v>
      </c>
      <c r="AX513" s="233" t="str">
        <f>VLOOKUP(Table8[[#This Row],[Country Code]],Table29[],9,FALSE)</f>
        <v>no</v>
      </c>
      <c r="AY513" s="233" t="str">
        <f>VLOOKUP(Table8[[#This Row],[Country Code]],Table29[],10,FALSE)</f>
        <v>no</v>
      </c>
      <c r="AZ513" s="235">
        <f>VLOOKUP(Table8[[#This Row],[Country Code]],Table29[],23,FALSE)</f>
        <v>0.15431817447160001</v>
      </c>
      <c r="BA513" s="235">
        <f>VLOOKUP(Table8[[#This Row],[Country Code]],Table29[],24,FALSE)</f>
        <v>7.3867712256084558E-2</v>
      </c>
      <c r="BB513" s="320"/>
      <c r="BC513" s="320"/>
    </row>
    <row r="514" spans="1:55" ht="30" hidden="1" x14ac:dyDescent="0.25">
      <c r="A514" s="373">
        <v>17562</v>
      </c>
      <c r="B514" s="233" t="str">
        <f>VLOOKUP(Table8[[#This Row],[Document ID]],Table1[],2,FALSE)</f>
        <v>CRI</v>
      </c>
      <c r="C514" s="233" t="str">
        <f>VLOOKUP(Table8[[#This Row],[Document ID]],Table1[],3,FALSE)</f>
        <v>Costa Rica</v>
      </c>
      <c r="D514" s="243" t="str">
        <f>VLOOKUP(Table8[[#This Row],[Document ID]],Table1[],5,FALSE)</f>
        <v>NDC</v>
      </c>
      <c r="E514" s="233" t="str">
        <f>VLOOKUP(Table8[[#This Row],[Document ID]],Table1[],7,FALSE)</f>
        <v>First NDC</v>
      </c>
      <c r="F514" s="236" t="str">
        <f>VLOOKUP(Table8[[#This Row],[Document ID]],Table1[],8,FALSE)</f>
        <v>NDC 1.0</v>
      </c>
      <c r="G514" s="236" t="str">
        <f>VLOOKUP(Table8[[#This Row],[Document ID]],Table1[],10,FALSE)</f>
        <v>Archived</v>
      </c>
      <c r="H514" s="43" t="s">
        <v>2343</v>
      </c>
      <c r="I514" s="43" t="s">
        <v>2344</v>
      </c>
      <c r="J514" s="44" t="s">
        <v>2345</v>
      </c>
      <c r="K514" s="44" t="s">
        <v>2854</v>
      </c>
      <c r="L514" s="44" t="s">
        <v>2347</v>
      </c>
      <c r="M514" s="43"/>
      <c r="N514" s="113"/>
      <c r="O514" s="113"/>
      <c r="P514" s="113"/>
      <c r="Q514" s="319"/>
      <c r="R514" s="319"/>
      <c r="S514" s="319"/>
      <c r="T514" s="319"/>
      <c r="U514" s="319"/>
      <c r="V514" s="319"/>
      <c r="W514" s="319"/>
      <c r="X514" s="319"/>
      <c r="Y514" s="319"/>
      <c r="Z514" s="319"/>
      <c r="AA514" s="319"/>
      <c r="AB514" s="319"/>
      <c r="AC514" s="319" t="s">
        <v>1113</v>
      </c>
      <c r="AD514" s="319"/>
      <c r="AE514" s="319"/>
      <c r="AF514" s="319"/>
      <c r="AG514" s="319"/>
      <c r="AH514" s="319"/>
      <c r="AI514" s="319"/>
      <c r="AJ514" s="319"/>
      <c r="AK514" s="319" t="s">
        <v>1113</v>
      </c>
      <c r="AL514" s="319"/>
      <c r="AM514" s="319"/>
      <c r="AN514" s="319"/>
      <c r="AO514" s="43" t="s">
        <v>2348</v>
      </c>
      <c r="AP514" s="44"/>
      <c r="AQ514" s="236" t="str">
        <f>VLOOKUP(Table8[[#This Row],[Instrument]],Def_Targets!$D$73:$E$159,2,FALSE)</f>
        <v>S_PublicTransport</v>
      </c>
      <c r="AR514" s="233" t="str">
        <f>VLOOKUP(Table8[[#This Row],[Country Code]],Table29[],3,FALSE)</f>
        <v>Non-Annex I</v>
      </c>
      <c r="AS514" s="233" t="str">
        <f>VLOOKUP(Table8[[#This Row],[Country Code]],Table29[],4,FALSE)</f>
        <v>Latin America and the Caribbean</v>
      </c>
      <c r="AT514" s="233" t="str">
        <f>VLOOKUP(Table8[[#This Row],[Country Code]],Table29[],5,FALSE)</f>
        <v>Middle-income</v>
      </c>
      <c r="AU514" s="233" t="str">
        <f>VLOOKUP(Table8[[#This Row],[Country Code]],Table29[],6,FALSE)</f>
        <v>no</v>
      </c>
      <c r="AV514" s="233" t="str">
        <f>VLOOKUP(Table8[[#This Row],[Country Code]],Table29[],7,FALSE)</f>
        <v>no</v>
      </c>
      <c r="AW514" s="233" t="str">
        <f>VLOOKUP(Table8[[#This Row],[Country Code]],Table29[],8,FALSE)</f>
        <v>OECD</v>
      </c>
      <c r="AX514" s="233" t="str">
        <f>VLOOKUP(Table8[[#This Row],[Country Code]],Table29[],9,FALSE)</f>
        <v>no</v>
      </c>
      <c r="AY514" s="233" t="str">
        <f>VLOOKUP(Table8[[#This Row],[Country Code]],Table29[],10,FALSE)</f>
        <v>no</v>
      </c>
      <c r="AZ514" s="235">
        <f>VLOOKUP(Table8[[#This Row],[Country Code]],Table29[],23,FALSE)</f>
        <v>16.468143919330998</v>
      </c>
      <c r="BA514" s="235">
        <f>VLOOKUP(Table8[[#This Row],[Country Code]],Table29[],24,FALSE)</f>
        <v>6.1699800179976929</v>
      </c>
      <c r="BB514" s="320"/>
      <c r="BC514" s="320"/>
    </row>
    <row r="515" spans="1:55" ht="45" hidden="1" x14ac:dyDescent="0.25">
      <c r="A515" s="373">
        <v>17562</v>
      </c>
      <c r="B515" s="233" t="str">
        <f>VLOOKUP(Table8[[#This Row],[Document ID]],Table1[],2,FALSE)</f>
        <v>CRI</v>
      </c>
      <c r="C515" s="233" t="str">
        <f>VLOOKUP(Table8[[#This Row],[Document ID]],Table1[],3,FALSE)</f>
        <v>Costa Rica</v>
      </c>
      <c r="D515" s="243" t="str">
        <f>VLOOKUP(Table8[[#This Row],[Document ID]],Table1[],5,FALSE)</f>
        <v>NDC</v>
      </c>
      <c r="E515" s="233" t="str">
        <f>VLOOKUP(Table8[[#This Row],[Document ID]],Table1[],7,FALSE)</f>
        <v>First NDC</v>
      </c>
      <c r="F515" s="236" t="str">
        <f>VLOOKUP(Table8[[#This Row],[Document ID]],Table1[],8,FALSE)</f>
        <v>NDC 1.0</v>
      </c>
      <c r="G515" s="236" t="str">
        <f>VLOOKUP(Table8[[#This Row],[Document ID]],Table1[],10,FALSE)</f>
        <v>Archived</v>
      </c>
      <c r="H515" s="43" t="s">
        <v>2343</v>
      </c>
      <c r="I515" s="43" t="s">
        <v>2361</v>
      </c>
      <c r="J515" s="44" t="s">
        <v>2366</v>
      </c>
      <c r="K515" s="44" t="s">
        <v>2855</v>
      </c>
      <c r="L515" s="44" t="s">
        <v>2347</v>
      </c>
      <c r="M515" s="43"/>
      <c r="N515" s="113"/>
      <c r="O515" s="113"/>
      <c r="P515" s="113" t="s">
        <v>1113</v>
      </c>
      <c r="Q515" s="319"/>
      <c r="R515" s="319"/>
      <c r="S515" s="319" t="s">
        <v>1113</v>
      </c>
      <c r="T515" s="319"/>
      <c r="U515" s="319"/>
      <c r="V515" s="319"/>
      <c r="W515" s="319"/>
      <c r="X515" s="319"/>
      <c r="Y515" s="319" t="s">
        <v>1113</v>
      </c>
      <c r="Z515" s="319" t="s">
        <v>1113</v>
      </c>
      <c r="AA515" s="319"/>
      <c r="AB515" s="319"/>
      <c r="AC515" s="319" t="s">
        <v>1113</v>
      </c>
      <c r="AD515" s="319"/>
      <c r="AE515" s="319"/>
      <c r="AF515" s="319"/>
      <c r="AG515" s="319"/>
      <c r="AH515" s="319"/>
      <c r="AI515" s="319"/>
      <c r="AJ515" s="319"/>
      <c r="AK515" s="319" t="s">
        <v>1113</v>
      </c>
      <c r="AL515" s="319"/>
      <c r="AM515" s="319"/>
      <c r="AN515" s="319"/>
      <c r="AO515" s="43" t="s">
        <v>2348</v>
      </c>
      <c r="AP515" s="44"/>
      <c r="AQ515" s="236" t="str">
        <f>VLOOKUP(Table8[[#This Row],[Instrument]],Def_Targets!$D$73:$E$159,2,FALSE)</f>
        <v>S_Activemobility</v>
      </c>
      <c r="AR515" s="233" t="str">
        <f>VLOOKUP(Table8[[#This Row],[Country Code]],Table29[],3,FALSE)</f>
        <v>Non-Annex I</v>
      </c>
      <c r="AS515" s="233" t="str">
        <f>VLOOKUP(Table8[[#This Row],[Country Code]],Table29[],4,FALSE)</f>
        <v>Latin America and the Caribbean</v>
      </c>
      <c r="AT515" s="233" t="str">
        <f>VLOOKUP(Table8[[#This Row],[Country Code]],Table29[],5,FALSE)</f>
        <v>Middle-income</v>
      </c>
      <c r="AU515" s="233" t="str">
        <f>VLOOKUP(Table8[[#This Row],[Country Code]],Table29[],6,FALSE)</f>
        <v>no</v>
      </c>
      <c r="AV515" s="233" t="str">
        <f>VLOOKUP(Table8[[#This Row],[Country Code]],Table29[],7,FALSE)</f>
        <v>no</v>
      </c>
      <c r="AW515" s="233" t="str">
        <f>VLOOKUP(Table8[[#This Row],[Country Code]],Table29[],8,FALSE)</f>
        <v>OECD</v>
      </c>
      <c r="AX515" s="233" t="str">
        <f>VLOOKUP(Table8[[#This Row],[Country Code]],Table29[],9,FALSE)</f>
        <v>no</v>
      </c>
      <c r="AY515" s="233" t="str">
        <f>VLOOKUP(Table8[[#This Row],[Country Code]],Table29[],10,FALSE)</f>
        <v>no</v>
      </c>
      <c r="AZ515" s="235">
        <f>VLOOKUP(Table8[[#This Row],[Country Code]],Table29[],23,FALSE)</f>
        <v>16.468143919330998</v>
      </c>
      <c r="BA515" s="235">
        <f>VLOOKUP(Table8[[#This Row],[Country Code]],Table29[],24,FALSE)</f>
        <v>6.1699800179976929</v>
      </c>
      <c r="BB515" s="320"/>
      <c r="BC515" s="320"/>
    </row>
    <row r="516" spans="1:55" ht="60" hidden="1" x14ac:dyDescent="0.25">
      <c r="A516" s="373">
        <v>17562</v>
      </c>
      <c r="B516" s="233" t="str">
        <f>VLOOKUP(Table8[[#This Row],[Document ID]],Table1[],2,FALSE)</f>
        <v>CRI</v>
      </c>
      <c r="C516" s="233" t="str">
        <f>VLOOKUP(Table8[[#This Row],[Document ID]],Table1[],3,FALSE)</f>
        <v>Costa Rica</v>
      </c>
      <c r="D516" s="243" t="str">
        <f>VLOOKUP(Table8[[#This Row],[Document ID]],Table1[],5,FALSE)</f>
        <v>NDC</v>
      </c>
      <c r="E516" s="233" t="str">
        <f>VLOOKUP(Table8[[#This Row],[Document ID]],Table1[],7,FALSE)</f>
        <v>First NDC</v>
      </c>
      <c r="F516" s="236" t="str">
        <f>VLOOKUP(Table8[[#This Row],[Document ID]],Table1[],8,FALSE)</f>
        <v>NDC 1.0</v>
      </c>
      <c r="G516" s="236" t="str">
        <f>VLOOKUP(Table8[[#This Row],[Document ID]],Table1[],10,FALSE)</f>
        <v>Archived</v>
      </c>
      <c r="H516" s="43" t="s">
        <v>2343</v>
      </c>
      <c r="I516" s="43" t="s">
        <v>2344</v>
      </c>
      <c r="J516" s="44" t="s">
        <v>2405</v>
      </c>
      <c r="K516" s="44" t="s">
        <v>2856</v>
      </c>
      <c r="L516" s="44" t="s">
        <v>2347</v>
      </c>
      <c r="M516" s="43"/>
      <c r="N516" s="113"/>
      <c r="O516" s="113"/>
      <c r="P516" s="113" t="s">
        <v>1113</v>
      </c>
      <c r="Q516" s="319"/>
      <c r="R516" s="319"/>
      <c r="S516" s="319" t="s">
        <v>1113</v>
      </c>
      <c r="T516" s="319"/>
      <c r="U516" s="319"/>
      <c r="V516" s="319"/>
      <c r="W516" s="319"/>
      <c r="X516" s="319"/>
      <c r="Y516" s="319" t="s">
        <v>1113</v>
      </c>
      <c r="Z516" s="319" t="s">
        <v>1113</v>
      </c>
      <c r="AA516" s="319"/>
      <c r="AB516" s="319"/>
      <c r="AC516" s="319" t="s">
        <v>1113</v>
      </c>
      <c r="AD516" s="319"/>
      <c r="AE516" s="319"/>
      <c r="AF516" s="319"/>
      <c r="AG516" s="319"/>
      <c r="AH516" s="319"/>
      <c r="AI516" s="319"/>
      <c r="AJ516" s="319"/>
      <c r="AK516" s="319" t="s">
        <v>1113</v>
      </c>
      <c r="AL516" s="319"/>
      <c r="AM516" s="319"/>
      <c r="AN516" s="319"/>
      <c r="AO516" s="43" t="s">
        <v>2348</v>
      </c>
      <c r="AP516" s="44"/>
      <c r="AQ516" s="236" t="str">
        <f>VLOOKUP(Table8[[#This Row],[Instrument]],Def_Targets!$D$73:$E$159,2,FALSE)</f>
        <v>S_PTIntegration</v>
      </c>
      <c r="AR516" s="233" t="str">
        <f>VLOOKUP(Table8[[#This Row],[Country Code]],Table29[],3,FALSE)</f>
        <v>Non-Annex I</v>
      </c>
      <c r="AS516" s="233" t="str">
        <f>VLOOKUP(Table8[[#This Row],[Country Code]],Table29[],4,FALSE)</f>
        <v>Latin America and the Caribbean</v>
      </c>
      <c r="AT516" s="233" t="str">
        <f>VLOOKUP(Table8[[#This Row],[Country Code]],Table29[],5,FALSE)</f>
        <v>Middle-income</v>
      </c>
      <c r="AU516" s="233" t="str">
        <f>VLOOKUP(Table8[[#This Row],[Country Code]],Table29[],6,FALSE)</f>
        <v>no</v>
      </c>
      <c r="AV516" s="233" t="str">
        <f>VLOOKUP(Table8[[#This Row],[Country Code]],Table29[],7,FALSE)</f>
        <v>no</v>
      </c>
      <c r="AW516" s="233" t="str">
        <f>VLOOKUP(Table8[[#This Row],[Country Code]],Table29[],8,FALSE)</f>
        <v>OECD</v>
      </c>
      <c r="AX516" s="233" t="str">
        <f>VLOOKUP(Table8[[#This Row],[Country Code]],Table29[],9,FALSE)</f>
        <v>no</v>
      </c>
      <c r="AY516" s="233" t="str">
        <f>VLOOKUP(Table8[[#This Row],[Country Code]],Table29[],10,FALSE)</f>
        <v>no</v>
      </c>
      <c r="AZ516" s="235">
        <f>VLOOKUP(Table8[[#This Row],[Country Code]],Table29[],23,FALSE)</f>
        <v>16.468143919330998</v>
      </c>
      <c r="BA516" s="235">
        <f>VLOOKUP(Table8[[#This Row],[Country Code]],Table29[],24,FALSE)</f>
        <v>6.1699800179976929</v>
      </c>
      <c r="BB516" s="320"/>
      <c r="BC516" s="320"/>
    </row>
    <row r="517" spans="1:55" ht="30" hidden="1" x14ac:dyDescent="0.25">
      <c r="A517" s="373">
        <v>17562</v>
      </c>
      <c r="B517" s="233" t="str">
        <f>VLOOKUP(Table8[[#This Row],[Document ID]],Table1[],2,FALSE)</f>
        <v>CRI</v>
      </c>
      <c r="C517" s="233" t="str">
        <f>VLOOKUP(Table8[[#This Row],[Document ID]],Table1[],3,FALSE)</f>
        <v>Costa Rica</v>
      </c>
      <c r="D517" s="243" t="str">
        <f>VLOOKUP(Table8[[#This Row],[Document ID]],Table1[],5,FALSE)</f>
        <v>NDC</v>
      </c>
      <c r="E517" s="233" t="str">
        <f>VLOOKUP(Table8[[#This Row],[Document ID]],Table1[],7,FALSE)</f>
        <v>First NDC</v>
      </c>
      <c r="F517" s="236" t="str">
        <f>VLOOKUP(Table8[[#This Row],[Document ID]],Table1[],8,FALSE)</f>
        <v>NDC 1.0</v>
      </c>
      <c r="G517" s="236" t="str">
        <f>VLOOKUP(Table8[[#This Row],[Document ID]],Table1[],10,FALSE)</f>
        <v>Archived</v>
      </c>
      <c r="H517" s="43" t="s">
        <v>2350</v>
      </c>
      <c r="I517" s="43" t="s">
        <v>2456</v>
      </c>
      <c r="J517" s="44" t="s">
        <v>2457</v>
      </c>
      <c r="K517" s="44" t="s">
        <v>2857</v>
      </c>
      <c r="L517" s="44" t="s">
        <v>2471</v>
      </c>
      <c r="M517" s="43"/>
      <c r="N517" s="113"/>
      <c r="O517" s="113"/>
      <c r="P517" s="113"/>
      <c r="Q517" s="319"/>
      <c r="R517" s="319"/>
      <c r="S517" s="319"/>
      <c r="T517" s="319"/>
      <c r="U517" s="319"/>
      <c r="V517" s="319"/>
      <c r="W517" s="319"/>
      <c r="X517" s="319"/>
      <c r="Y517" s="319"/>
      <c r="Z517" s="113" t="s">
        <v>1113</v>
      </c>
      <c r="AA517" s="319"/>
      <c r="AB517" s="319"/>
      <c r="AC517" s="319"/>
      <c r="AD517" s="319"/>
      <c r="AE517" s="319"/>
      <c r="AF517" s="319"/>
      <c r="AG517" s="319"/>
      <c r="AH517" s="319"/>
      <c r="AI517" s="319"/>
      <c r="AJ517" s="319"/>
      <c r="AK517" s="319" t="s">
        <v>1113</v>
      </c>
      <c r="AL517" s="319"/>
      <c r="AM517" s="319"/>
      <c r="AN517" s="319"/>
      <c r="AO517" s="44" t="s">
        <v>2334</v>
      </c>
      <c r="AP517" s="44"/>
      <c r="AQ517" s="236" t="str">
        <f>VLOOKUP(Table8[[#This Row],[Instrument]],Def_Targets!$D$73:$E$159,2,FALSE)</f>
        <v>S_Infraimprove</v>
      </c>
      <c r="AR517" s="233" t="str">
        <f>VLOOKUP(Table8[[#This Row],[Country Code]],Table29[],3,FALSE)</f>
        <v>Non-Annex I</v>
      </c>
      <c r="AS517" s="233" t="str">
        <f>VLOOKUP(Table8[[#This Row],[Country Code]],Table29[],4,FALSE)</f>
        <v>Latin America and the Caribbean</v>
      </c>
      <c r="AT517" s="233" t="str">
        <f>VLOOKUP(Table8[[#This Row],[Country Code]],Table29[],5,FALSE)</f>
        <v>Middle-income</v>
      </c>
      <c r="AU517" s="233" t="str">
        <f>VLOOKUP(Table8[[#This Row],[Country Code]],Table29[],6,FALSE)</f>
        <v>no</v>
      </c>
      <c r="AV517" s="233" t="str">
        <f>VLOOKUP(Table8[[#This Row],[Country Code]],Table29[],7,FALSE)</f>
        <v>no</v>
      </c>
      <c r="AW517" s="233" t="str">
        <f>VLOOKUP(Table8[[#This Row],[Country Code]],Table29[],8,FALSE)</f>
        <v>OECD</v>
      </c>
      <c r="AX517" s="233" t="str">
        <f>VLOOKUP(Table8[[#This Row],[Country Code]],Table29[],9,FALSE)</f>
        <v>no</v>
      </c>
      <c r="AY517" s="233" t="str">
        <f>VLOOKUP(Table8[[#This Row],[Country Code]],Table29[],10,FALSE)</f>
        <v>no</v>
      </c>
      <c r="AZ517" s="235">
        <f>VLOOKUP(Table8[[#This Row],[Country Code]],Table29[],23,FALSE)</f>
        <v>16.468143919330998</v>
      </c>
      <c r="BA517" s="235">
        <f>VLOOKUP(Table8[[#This Row],[Country Code]],Table29[],24,FALSE)</f>
        <v>6.1699800179976929</v>
      </c>
      <c r="BB517" s="320"/>
      <c r="BC517" s="320"/>
    </row>
    <row r="518" spans="1:55" hidden="1" x14ac:dyDescent="0.25">
      <c r="A518" s="373">
        <v>17562</v>
      </c>
      <c r="B518" s="233" t="str">
        <f>VLOOKUP(Table8[[#This Row],[Document ID]],Table1[],2,FALSE)</f>
        <v>CRI</v>
      </c>
      <c r="C518" s="233" t="str">
        <f>VLOOKUP(Table8[[#This Row],[Document ID]],Table1[],3,FALSE)</f>
        <v>Costa Rica</v>
      </c>
      <c r="D518" s="243" t="str">
        <f>VLOOKUP(Table8[[#This Row],[Document ID]],Table1[],5,FALSE)</f>
        <v>NDC</v>
      </c>
      <c r="E518" s="233" t="str">
        <f>VLOOKUP(Table8[[#This Row],[Document ID]],Table1[],7,FALSE)</f>
        <v>First NDC</v>
      </c>
      <c r="F518" s="236" t="str">
        <f>VLOOKUP(Table8[[#This Row],[Document ID]],Table1[],8,FALSE)</f>
        <v>NDC 1.0</v>
      </c>
      <c r="G518" s="236" t="str">
        <f>VLOOKUP(Table8[[#This Row],[Document ID]],Table1[],10,FALSE)</f>
        <v>Archived</v>
      </c>
      <c r="H518" s="43" t="s">
        <v>2350</v>
      </c>
      <c r="I518" s="43" t="s">
        <v>2456</v>
      </c>
      <c r="J518" s="44" t="s">
        <v>2643</v>
      </c>
      <c r="K518" s="44" t="s">
        <v>2858</v>
      </c>
      <c r="L518" s="44" t="s">
        <v>2347</v>
      </c>
      <c r="M518" s="43"/>
      <c r="N518" s="113" t="s">
        <v>1113</v>
      </c>
      <c r="O518" s="113"/>
      <c r="P518" s="113"/>
      <c r="Q518" s="319"/>
      <c r="R518" s="319"/>
      <c r="S518" s="319"/>
      <c r="T518" s="319"/>
      <c r="U518" s="319"/>
      <c r="V518" s="319"/>
      <c r="W518" s="319"/>
      <c r="X518" s="319"/>
      <c r="Y518" s="319"/>
      <c r="Z518" s="319"/>
      <c r="AA518" s="319"/>
      <c r="AB518" s="319"/>
      <c r="AC518" s="319"/>
      <c r="AD518" s="319"/>
      <c r="AE518" s="319"/>
      <c r="AF518" s="319"/>
      <c r="AG518" s="319"/>
      <c r="AH518" s="319"/>
      <c r="AI518" s="319"/>
      <c r="AJ518" s="319"/>
      <c r="AK518" s="319" t="s">
        <v>1113</v>
      </c>
      <c r="AL518" s="319"/>
      <c r="AM518" s="319"/>
      <c r="AN518" s="319"/>
      <c r="AO518" s="43" t="s">
        <v>2353</v>
      </c>
      <c r="AP518" s="44"/>
      <c r="AQ518" s="236" t="str">
        <f>VLOOKUP(Table8[[#This Row],[Instrument]],Def_Targets!$D$73:$E$159,2,FALSE)</f>
        <v>S_Intermodality</v>
      </c>
      <c r="AR518" s="233" t="str">
        <f>VLOOKUP(Table8[[#This Row],[Country Code]],Table29[],3,FALSE)</f>
        <v>Non-Annex I</v>
      </c>
      <c r="AS518" s="233" t="str">
        <f>VLOOKUP(Table8[[#This Row],[Country Code]],Table29[],4,FALSE)</f>
        <v>Latin America and the Caribbean</v>
      </c>
      <c r="AT518" s="233" t="str">
        <f>VLOOKUP(Table8[[#This Row],[Country Code]],Table29[],5,FALSE)</f>
        <v>Middle-income</v>
      </c>
      <c r="AU518" s="233" t="str">
        <f>VLOOKUP(Table8[[#This Row],[Country Code]],Table29[],6,FALSE)</f>
        <v>no</v>
      </c>
      <c r="AV518" s="233" t="str">
        <f>VLOOKUP(Table8[[#This Row],[Country Code]],Table29[],7,FALSE)</f>
        <v>no</v>
      </c>
      <c r="AW518" s="233" t="str">
        <f>VLOOKUP(Table8[[#This Row],[Country Code]],Table29[],8,FALSE)</f>
        <v>OECD</v>
      </c>
      <c r="AX518" s="233" t="str">
        <f>VLOOKUP(Table8[[#This Row],[Country Code]],Table29[],9,FALSE)</f>
        <v>no</v>
      </c>
      <c r="AY518" s="233" t="str">
        <f>VLOOKUP(Table8[[#This Row],[Country Code]],Table29[],10,FALSE)</f>
        <v>no</v>
      </c>
      <c r="AZ518" s="235">
        <f>VLOOKUP(Table8[[#This Row],[Country Code]],Table29[],23,FALSE)</f>
        <v>16.468143919330998</v>
      </c>
      <c r="BA518" s="235">
        <f>VLOOKUP(Table8[[#This Row],[Country Code]],Table29[],24,FALSE)</f>
        <v>6.1699800179976929</v>
      </c>
      <c r="BB518" s="320"/>
      <c r="BC518" s="320"/>
    </row>
    <row r="519" spans="1:55" hidden="1" x14ac:dyDescent="0.25">
      <c r="A519" s="373">
        <v>17562</v>
      </c>
      <c r="B519" s="233" t="str">
        <f>VLOOKUP(Table8[[#This Row],[Document ID]],Table1[],2,FALSE)</f>
        <v>CRI</v>
      </c>
      <c r="C519" s="233" t="str">
        <f>VLOOKUP(Table8[[#This Row],[Document ID]],Table1[],3,FALSE)</f>
        <v>Costa Rica</v>
      </c>
      <c r="D519" s="243" t="str">
        <f>VLOOKUP(Table8[[#This Row],[Document ID]],Table1[],5,FALSE)</f>
        <v>NDC</v>
      </c>
      <c r="E519" s="233" t="str">
        <f>VLOOKUP(Table8[[#This Row],[Document ID]],Table1[],7,FALSE)</f>
        <v>First NDC</v>
      </c>
      <c r="F519" s="236" t="str">
        <f>VLOOKUP(Table8[[#This Row],[Document ID]],Table1[],8,FALSE)</f>
        <v>NDC 1.0</v>
      </c>
      <c r="G519" s="236" t="str">
        <f>VLOOKUP(Table8[[#This Row],[Document ID]],Table1[],10,FALSE)</f>
        <v>Archived</v>
      </c>
      <c r="H519" s="44" t="s">
        <v>2329</v>
      </c>
      <c r="I519" s="44" t="s">
        <v>2330</v>
      </c>
      <c r="J519" s="44" t="s">
        <v>2331</v>
      </c>
      <c r="K519" s="44" t="s">
        <v>2859</v>
      </c>
      <c r="L519" s="44" t="s">
        <v>2333</v>
      </c>
      <c r="M519" s="43"/>
      <c r="N519" s="113" t="s">
        <v>1113</v>
      </c>
      <c r="O519" s="113"/>
      <c r="P519" s="113"/>
      <c r="Q519" s="319"/>
      <c r="R519" s="319"/>
      <c r="S519" s="319"/>
      <c r="T519" s="319"/>
      <c r="U519" s="319"/>
      <c r="V519" s="319"/>
      <c r="W519" s="319"/>
      <c r="X519" s="319"/>
      <c r="Y519" s="319"/>
      <c r="Z519" s="319"/>
      <c r="AA519" s="319"/>
      <c r="AB519" s="319"/>
      <c r="AC519" s="319"/>
      <c r="AD519" s="319"/>
      <c r="AE519" s="319"/>
      <c r="AF519" s="319"/>
      <c r="AG519" s="319"/>
      <c r="AH519" s="319"/>
      <c r="AI519" s="319"/>
      <c r="AJ519" s="319"/>
      <c r="AK519" s="319" t="s">
        <v>1113</v>
      </c>
      <c r="AL519" s="319"/>
      <c r="AM519" s="319"/>
      <c r="AN519" s="319"/>
      <c r="AO519" s="44" t="s">
        <v>2334</v>
      </c>
      <c r="AP519" s="44"/>
      <c r="AQ519" s="236" t="str">
        <f>VLOOKUP(Table8[[#This Row],[Instrument]],Def_Targets!$D$73:$E$159,2,FALSE)</f>
        <v>I_Altfuels</v>
      </c>
      <c r="AR519" s="233" t="str">
        <f>VLOOKUP(Table8[[#This Row],[Country Code]],Table29[],3,FALSE)</f>
        <v>Non-Annex I</v>
      </c>
      <c r="AS519" s="233" t="str">
        <f>VLOOKUP(Table8[[#This Row],[Country Code]],Table29[],4,FALSE)</f>
        <v>Latin America and the Caribbean</v>
      </c>
      <c r="AT519" s="233" t="str">
        <f>VLOOKUP(Table8[[#This Row],[Country Code]],Table29[],5,FALSE)</f>
        <v>Middle-income</v>
      </c>
      <c r="AU519" s="233" t="str">
        <f>VLOOKUP(Table8[[#This Row],[Country Code]],Table29[],6,FALSE)</f>
        <v>no</v>
      </c>
      <c r="AV519" s="233" t="str">
        <f>VLOOKUP(Table8[[#This Row],[Country Code]],Table29[],7,FALSE)</f>
        <v>no</v>
      </c>
      <c r="AW519" s="233" t="str">
        <f>VLOOKUP(Table8[[#This Row],[Country Code]],Table29[],8,FALSE)</f>
        <v>OECD</v>
      </c>
      <c r="AX519" s="233" t="str">
        <f>VLOOKUP(Table8[[#This Row],[Country Code]],Table29[],9,FALSE)</f>
        <v>no</v>
      </c>
      <c r="AY519" s="233" t="str">
        <f>VLOOKUP(Table8[[#This Row],[Country Code]],Table29[],10,FALSE)</f>
        <v>no</v>
      </c>
      <c r="AZ519" s="235">
        <f>VLOOKUP(Table8[[#This Row],[Country Code]],Table29[],23,FALSE)</f>
        <v>16.468143919330998</v>
      </c>
      <c r="BA519" s="235">
        <f>VLOOKUP(Table8[[#This Row],[Country Code]],Table29[],24,FALSE)</f>
        <v>6.1699800179976929</v>
      </c>
      <c r="BB519" s="320"/>
      <c r="BC519" s="320"/>
    </row>
    <row r="520" spans="1:55" ht="30" hidden="1" x14ac:dyDescent="0.25">
      <c r="A520" s="373">
        <v>17564</v>
      </c>
      <c r="B520" s="233" t="str">
        <f>VLOOKUP(Table8[[#This Row],[Document ID]],Table1[],2,FALSE)</f>
        <v>CRI</v>
      </c>
      <c r="C520" s="233" t="str">
        <f>VLOOKUP(Table8[[#This Row],[Document ID]],Table1[],3,FALSE)</f>
        <v>Costa Rica</v>
      </c>
      <c r="D520" s="243" t="str">
        <f>VLOOKUP(Table8[[#This Row],[Document ID]],Table1[],5,FALSE)</f>
        <v>NDC</v>
      </c>
      <c r="E520" s="233" t="str">
        <f>VLOOKUP(Table8[[#This Row],[Document ID]],Table1[],7,FALSE)</f>
        <v>First NDC updated</v>
      </c>
      <c r="F520" s="233" t="str">
        <f>VLOOKUP(Table8[[#This Row],[Document ID]],Table1[],8,FALSE)</f>
        <v>NDC 1.1</v>
      </c>
      <c r="G520" s="233" t="str">
        <f>VLOOKUP(Table8[[#This Row],[Document ID]],Table1[],10,FALSE)</f>
        <v>Active</v>
      </c>
      <c r="H520" s="44" t="s">
        <v>2329</v>
      </c>
      <c r="I520" s="44" t="s">
        <v>2330</v>
      </c>
      <c r="J520" s="44" t="s">
        <v>2381</v>
      </c>
      <c r="K520" s="44" t="s">
        <v>2860</v>
      </c>
      <c r="L520" s="44" t="s">
        <v>2471</v>
      </c>
      <c r="M520" s="43">
        <v>18</v>
      </c>
      <c r="N520" s="113"/>
      <c r="O520" s="113"/>
      <c r="P520" s="113"/>
      <c r="Q520" s="113"/>
      <c r="R520" s="113"/>
      <c r="S520" s="113"/>
      <c r="T520" s="113"/>
      <c r="U520" s="113"/>
      <c r="V520" s="113"/>
      <c r="W520" s="113"/>
      <c r="X520" s="113"/>
      <c r="Y520" s="113"/>
      <c r="Z520" s="113" t="s">
        <v>1113</v>
      </c>
      <c r="AA520" s="113"/>
      <c r="AB520" s="113"/>
      <c r="AC520" s="113"/>
      <c r="AD520" s="113"/>
      <c r="AE520" s="113"/>
      <c r="AF520" s="113"/>
      <c r="AG520" s="113"/>
      <c r="AH520" s="113"/>
      <c r="AI520" s="113"/>
      <c r="AJ520" s="113"/>
      <c r="AK520" s="319" t="s">
        <v>1113</v>
      </c>
      <c r="AL520" s="113"/>
      <c r="AM520" s="113"/>
      <c r="AN520" s="113"/>
      <c r="AO520" s="43" t="s">
        <v>2348</v>
      </c>
      <c r="AP520" s="43"/>
      <c r="AQ520" s="236" t="str">
        <f>VLOOKUP(Table8[[#This Row],[Instrument]],Def_Targets!$D$73:$E$159,2,FALSE)</f>
        <v>I_RE</v>
      </c>
      <c r="AR520" s="233" t="str">
        <f>VLOOKUP(Table8[[#This Row],[Country Code]],Table29[],3,FALSE)</f>
        <v>Non-Annex I</v>
      </c>
      <c r="AS520" s="233" t="str">
        <f>VLOOKUP(Table8[[#This Row],[Country Code]],Table29[],4,FALSE)</f>
        <v>Latin America and the Caribbean</v>
      </c>
      <c r="AT520" s="233" t="str">
        <f>VLOOKUP(Table8[[#This Row],[Country Code]],Table29[],5,FALSE)</f>
        <v>Middle-income</v>
      </c>
      <c r="AU520" s="233" t="str">
        <f>VLOOKUP(Table8[[#This Row],[Country Code]],Table29[],6,FALSE)</f>
        <v>no</v>
      </c>
      <c r="AV520" s="233" t="str">
        <f>VLOOKUP(Table8[[#This Row],[Country Code]],Table29[],7,FALSE)</f>
        <v>no</v>
      </c>
      <c r="AW520" s="233" t="str">
        <f>VLOOKUP(Table8[[#This Row],[Country Code]],Table29[],8,FALSE)</f>
        <v>OECD</v>
      </c>
      <c r="AX520" s="233" t="str">
        <f>VLOOKUP(Table8[[#This Row],[Country Code]],Table29[],9,FALSE)</f>
        <v>no</v>
      </c>
      <c r="AY520" s="233" t="str">
        <f>VLOOKUP(Table8[[#This Row],[Country Code]],Table29[],10,FALSE)</f>
        <v>no</v>
      </c>
      <c r="AZ520" s="235">
        <f>VLOOKUP(Table8[[#This Row],[Country Code]],Table29[],23,FALSE)</f>
        <v>16.468143919330998</v>
      </c>
      <c r="BA520" s="235">
        <f>VLOOKUP(Table8[[#This Row],[Country Code]],Table29[],24,FALSE)</f>
        <v>6.1699800179976929</v>
      </c>
      <c r="BB520" s="320"/>
      <c r="BC520" s="320"/>
    </row>
    <row r="521" spans="1:55" ht="30" hidden="1" x14ac:dyDescent="0.25">
      <c r="A521" s="373">
        <v>17564</v>
      </c>
      <c r="B521" s="233" t="str">
        <f>VLOOKUP(Table8[[#This Row],[Document ID]],Table1[],2,FALSE)</f>
        <v>CRI</v>
      </c>
      <c r="C521" s="233" t="str">
        <f>VLOOKUP(Table8[[#This Row],[Document ID]],Table1[],3,FALSE)</f>
        <v>Costa Rica</v>
      </c>
      <c r="D521" s="243" t="str">
        <f>VLOOKUP(Table8[[#This Row],[Document ID]],Table1[],5,FALSE)</f>
        <v>NDC</v>
      </c>
      <c r="E521" s="233" t="str">
        <f>VLOOKUP(Table8[[#This Row],[Document ID]],Table1[],7,FALSE)</f>
        <v>First NDC updated</v>
      </c>
      <c r="F521" s="233" t="str">
        <f>VLOOKUP(Table8[[#This Row],[Document ID]],Table1[],8,FALSE)</f>
        <v>NDC 1.1</v>
      </c>
      <c r="G521" s="233" t="str">
        <f>VLOOKUP(Table8[[#This Row],[Document ID]],Table1[],10,FALSE)</f>
        <v>Active</v>
      </c>
      <c r="H521" s="43" t="s">
        <v>2358</v>
      </c>
      <c r="I521" s="43" t="s">
        <v>2359</v>
      </c>
      <c r="J521" s="44" t="s">
        <v>2360</v>
      </c>
      <c r="K521" s="44" t="s">
        <v>2860</v>
      </c>
      <c r="L521" s="44" t="s">
        <v>2471</v>
      </c>
      <c r="M521" s="43">
        <v>18</v>
      </c>
      <c r="N521" s="113"/>
      <c r="O521" s="113"/>
      <c r="P521" s="113"/>
      <c r="Q521" s="113"/>
      <c r="R521" s="113"/>
      <c r="S521" s="113"/>
      <c r="T521" s="113"/>
      <c r="U521" s="113"/>
      <c r="V521" s="113"/>
      <c r="W521" s="113"/>
      <c r="X521" s="113"/>
      <c r="Y521" s="113"/>
      <c r="Z521" s="113" t="s">
        <v>1113</v>
      </c>
      <c r="AA521" s="113"/>
      <c r="AB521" s="113"/>
      <c r="AC521" s="113"/>
      <c r="AD521" s="113"/>
      <c r="AE521" s="113"/>
      <c r="AF521" s="113"/>
      <c r="AG521" s="113"/>
      <c r="AH521" s="113"/>
      <c r="AI521" s="113"/>
      <c r="AJ521" s="113"/>
      <c r="AK521" s="319" t="s">
        <v>1113</v>
      </c>
      <c r="AL521" s="113"/>
      <c r="AM521" s="113"/>
      <c r="AN521" s="113"/>
      <c r="AO521" s="43" t="s">
        <v>2348</v>
      </c>
      <c r="AP521" s="43"/>
      <c r="AQ521" s="236" t="str">
        <f>VLOOKUP(Table8[[#This Row],[Instrument]],Def_Targets!$D$73:$E$159,2,FALSE)</f>
        <v>I_Emobility</v>
      </c>
      <c r="AR521" s="233" t="str">
        <f>VLOOKUP(Table8[[#This Row],[Country Code]],Table29[],3,FALSE)</f>
        <v>Non-Annex I</v>
      </c>
      <c r="AS521" s="233" t="str">
        <f>VLOOKUP(Table8[[#This Row],[Country Code]],Table29[],4,FALSE)</f>
        <v>Latin America and the Caribbean</v>
      </c>
      <c r="AT521" s="233" t="str">
        <f>VLOOKUP(Table8[[#This Row],[Country Code]],Table29[],5,FALSE)</f>
        <v>Middle-income</v>
      </c>
      <c r="AU521" s="233" t="str">
        <f>VLOOKUP(Table8[[#This Row],[Country Code]],Table29[],6,FALSE)</f>
        <v>no</v>
      </c>
      <c r="AV521" s="233" t="str">
        <f>VLOOKUP(Table8[[#This Row],[Country Code]],Table29[],7,FALSE)</f>
        <v>no</v>
      </c>
      <c r="AW521" s="233" t="str">
        <f>VLOOKUP(Table8[[#This Row],[Country Code]],Table29[],8,FALSE)</f>
        <v>OECD</v>
      </c>
      <c r="AX521" s="233" t="str">
        <f>VLOOKUP(Table8[[#This Row],[Country Code]],Table29[],9,FALSE)</f>
        <v>no</v>
      </c>
      <c r="AY521" s="233" t="str">
        <f>VLOOKUP(Table8[[#This Row],[Country Code]],Table29[],10,FALSE)</f>
        <v>no</v>
      </c>
      <c r="AZ521" s="235">
        <f>VLOOKUP(Table8[[#This Row],[Country Code]],Table29[],23,FALSE)</f>
        <v>16.468143919330998</v>
      </c>
      <c r="BA521" s="235">
        <f>VLOOKUP(Table8[[#This Row],[Country Code]],Table29[],24,FALSE)</f>
        <v>6.1699800179976929</v>
      </c>
      <c r="BB521" s="320"/>
      <c r="BC521" s="320"/>
    </row>
    <row r="522" spans="1:55" ht="45" hidden="1" x14ac:dyDescent="0.25">
      <c r="A522" s="373">
        <v>17564</v>
      </c>
      <c r="B522" s="233" t="str">
        <f>VLOOKUP(Table8[[#This Row],[Document ID]],Table1[],2,FALSE)</f>
        <v>CRI</v>
      </c>
      <c r="C522" s="233" t="str">
        <f>VLOOKUP(Table8[[#This Row],[Document ID]],Table1[],3,FALSE)</f>
        <v>Costa Rica</v>
      </c>
      <c r="D522" s="243" t="str">
        <f>VLOOKUP(Table8[[#This Row],[Document ID]],Table1[],5,FALSE)</f>
        <v>NDC</v>
      </c>
      <c r="E522" s="233" t="str">
        <f>VLOOKUP(Table8[[#This Row],[Document ID]],Table1[],7,FALSE)</f>
        <v>First NDC updated</v>
      </c>
      <c r="F522" s="233" t="str">
        <f>VLOOKUP(Table8[[#This Row],[Document ID]],Table1[],8,FALSE)</f>
        <v>NDC 1.1</v>
      </c>
      <c r="G522" s="233" t="str">
        <f>VLOOKUP(Table8[[#This Row],[Document ID]],Table1[],10,FALSE)</f>
        <v>Active</v>
      </c>
      <c r="H522" s="43" t="s">
        <v>2343</v>
      </c>
      <c r="I522" s="43" t="s">
        <v>2344</v>
      </c>
      <c r="J522" s="44" t="s">
        <v>2405</v>
      </c>
      <c r="K522" s="44" t="s">
        <v>2861</v>
      </c>
      <c r="L522" s="44" t="s">
        <v>2471</v>
      </c>
      <c r="M522" s="43">
        <v>18</v>
      </c>
      <c r="N522" s="113"/>
      <c r="O522" s="113"/>
      <c r="P522" s="113"/>
      <c r="Q522" s="113"/>
      <c r="R522" s="113"/>
      <c r="S522" s="113"/>
      <c r="T522" s="113"/>
      <c r="U522" s="113"/>
      <c r="V522" s="113"/>
      <c r="W522" s="113"/>
      <c r="X522" s="113"/>
      <c r="Y522" s="113" t="s">
        <v>1113</v>
      </c>
      <c r="Z522" s="113"/>
      <c r="AA522" s="113"/>
      <c r="AB522" s="113"/>
      <c r="AC522" s="113"/>
      <c r="AD522" s="113"/>
      <c r="AE522" s="113"/>
      <c r="AF522" s="113"/>
      <c r="AG522" s="113"/>
      <c r="AH522" s="113"/>
      <c r="AI522" s="113"/>
      <c r="AJ522" s="113"/>
      <c r="AK522" s="319" t="s">
        <v>1113</v>
      </c>
      <c r="AL522" s="113"/>
      <c r="AM522" s="113"/>
      <c r="AN522" s="113"/>
      <c r="AO522" s="43" t="s">
        <v>2348</v>
      </c>
      <c r="AP522" s="43"/>
      <c r="AQ522" s="236" t="str">
        <f>VLOOKUP(Table8[[#This Row],[Instrument]],Def_Targets!$D$73:$E$159,2,FALSE)</f>
        <v>S_PTIntegration</v>
      </c>
      <c r="AR522" s="233" t="str">
        <f>VLOOKUP(Table8[[#This Row],[Country Code]],Table29[],3,FALSE)</f>
        <v>Non-Annex I</v>
      </c>
      <c r="AS522" s="233" t="str">
        <f>VLOOKUP(Table8[[#This Row],[Country Code]],Table29[],4,FALSE)</f>
        <v>Latin America and the Caribbean</v>
      </c>
      <c r="AT522" s="233" t="str">
        <f>VLOOKUP(Table8[[#This Row],[Country Code]],Table29[],5,FALSE)</f>
        <v>Middle-income</v>
      </c>
      <c r="AU522" s="233" t="str">
        <f>VLOOKUP(Table8[[#This Row],[Country Code]],Table29[],6,FALSE)</f>
        <v>no</v>
      </c>
      <c r="AV522" s="233" t="str">
        <f>VLOOKUP(Table8[[#This Row],[Country Code]],Table29[],7,FALSE)</f>
        <v>no</v>
      </c>
      <c r="AW522" s="233" t="str">
        <f>VLOOKUP(Table8[[#This Row],[Country Code]],Table29[],8,FALSE)</f>
        <v>OECD</v>
      </c>
      <c r="AX522" s="233" t="str">
        <f>VLOOKUP(Table8[[#This Row],[Country Code]],Table29[],9,FALSE)</f>
        <v>no</v>
      </c>
      <c r="AY522" s="233" t="str">
        <f>VLOOKUP(Table8[[#This Row],[Country Code]],Table29[],10,FALSE)</f>
        <v>no</v>
      </c>
      <c r="AZ522" s="235">
        <f>VLOOKUP(Table8[[#This Row],[Country Code]],Table29[],23,FALSE)</f>
        <v>16.468143919330998</v>
      </c>
      <c r="BA522" s="235">
        <f>VLOOKUP(Table8[[#This Row],[Country Code]],Table29[],24,FALSE)</f>
        <v>6.1699800179976929</v>
      </c>
      <c r="BB522" s="320"/>
      <c r="BC522" s="320"/>
    </row>
    <row r="523" spans="1:55" ht="45" hidden="1" x14ac:dyDescent="0.25">
      <c r="A523" s="373">
        <v>17564</v>
      </c>
      <c r="B523" s="233" t="str">
        <f>VLOOKUP(Table8[[#This Row],[Document ID]],Table1[],2,FALSE)</f>
        <v>CRI</v>
      </c>
      <c r="C523" s="233" t="str">
        <f>VLOOKUP(Table8[[#This Row],[Document ID]],Table1[],3,FALSE)</f>
        <v>Costa Rica</v>
      </c>
      <c r="D523" s="243" t="str">
        <f>VLOOKUP(Table8[[#This Row],[Document ID]],Table1[],5,FALSE)</f>
        <v>NDC</v>
      </c>
      <c r="E523" s="233" t="str">
        <f>VLOOKUP(Table8[[#This Row],[Document ID]],Table1[],7,FALSE)</f>
        <v>First NDC updated</v>
      </c>
      <c r="F523" s="233" t="str">
        <f>VLOOKUP(Table8[[#This Row],[Document ID]],Table1[],8,FALSE)</f>
        <v>NDC 1.1</v>
      </c>
      <c r="G523" s="233" t="str">
        <f>VLOOKUP(Table8[[#This Row],[Document ID]],Table1[],10,FALSE)</f>
        <v>Active</v>
      </c>
      <c r="H523" s="43" t="s">
        <v>2343</v>
      </c>
      <c r="I523" s="43" t="s">
        <v>2344</v>
      </c>
      <c r="J523" s="44" t="s">
        <v>2345</v>
      </c>
      <c r="K523" s="44" t="s">
        <v>2861</v>
      </c>
      <c r="L523" s="44" t="s">
        <v>2471</v>
      </c>
      <c r="M523" s="43">
        <v>18</v>
      </c>
      <c r="N523" s="113"/>
      <c r="O523" s="113"/>
      <c r="P523" s="113"/>
      <c r="Q523" s="113"/>
      <c r="R523" s="113"/>
      <c r="S523" s="113"/>
      <c r="T523" s="113"/>
      <c r="U523" s="113"/>
      <c r="V523" s="113"/>
      <c r="W523" s="113"/>
      <c r="X523" s="113"/>
      <c r="Y523" s="113" t="s">
        <v>1113</v>
      </c>
      <c r="Z523" s="113"/>
      <c r="AA523" s="113"/>
      <c r="AB523" s="113"/>
      <c r="AC523" s="113"/>
      <c r="AD523" s="113"/>
      <c r="AE523" s="113"/>
      <c r="AF523" s="113"/>
      <c r="AG523" s="113"/>
      <c r="AH523" s="113"/>
      <c r="AI523" s="113"/>
      <c r="AJ523" s="113"/>
      <c r="AK523" s="319" t="s">
        <v>1113</v>
      </c>
      <c r="AL523" s="113"/>
      <c r="AM523" s="113"/>
      <c r="AN523" s="113"/>
      <c r="AO523" s="43" t="s">
        <v>2348</v>
      </c>
      <c r="AP523" s="43"/>
      <c r="AQ523" s="236" t="str">
        <f>VLOOKUP(Table8[[#This Row],[Instrument]],Def_Targets!$D$73:$E$159,2,FALSE)</f>
        <v>S_PublicTransport</v>
      </c>
      <c r="AR523" s="233" t="str">
        <f>VLOOKUP(Table8[[#This Row],[Country Code]],Table29[],3,FALSE)</f>
        <v>Non-Annex I</v>
      </c>
      <c r="AS523" s="233" t="str">
        <f>VLOOKUP(Table8[[#This Row],[Country Code]],Table29[],4,FALSE)</f>
        <v>Latin America and the Caribbean</v>
      </c>
      <c r="AT523" s="233" t="str">
        <f>VLOOKUP(Table8[[#This Row],[Country Code]],Table29[],5,FALSE)</f>
        <v>Middle-income</v>
      </c>
      <c r="AU523" s="233" t="str">
        <f>VLOOKUP(Table8[[#This Row],[Country Code]],Table29[],6,FALSE)</f>
        <v>no</v>
      </c>
      <c r="AV523" s="233" t="str">
        <f>VLOOKUP(Table8[[#This Row],[Country Code]],Table29[],7,FALSE)</f>
        <v>no</v>
      </c>
      <c r="AW523" s="233" t="str">
        <f>VLOOKUP(Table8[[#This Row],[Country Code]],Table29[],8,FALSE)</f>
        <v>OECD</v>
      </c>
      <c r="AX523" s="233" t="str">
        <f>VLOOKUP(Table8[[#This Row],[Country Code]],Table29[],9,FALSE)</f>
        <v>no</v>
      </c>
      <c r="AY523" s="233" t="str">
        <f>VLOOKUP(Table8[[#This Row],[Country Code]],Table29[],10,FALSE)</f>
        <v>no</v>
      </c>
      <c r="AZ523" s="235">
        <f>VLOOKUP(Table8[[#This Row],[Country Code]],Table29[],23,FALSE)</f>
        <v>16.468143919330998</v>
      </c>
      <c r="BA523" s="235">
        <f>VLOOKUP(Table8[[#This Row],[Country Code]],Table29[],24,FALSE)</f>
        <v>6.1699800179976929</v>
      </c>
      <c r="BB523" s="320"/>
      <c r="BC523" s="320"/>
    </row>
    <row r="524" spans="1:55" ht="30" hidden="1" x14ac:dyDescent="0.25">
      <c r="A524" s="373">
        <v>17564</v>
      </c>
      <c r="B524" s="233" t="str">
        <f>VLOOKUP(Table8[[#This Row],[Document ID]],Table1[],2,FALSE)</f>
        <v>CRI</v>
      </c>
      <c r="C524" s="233" t="str">
        <f>VLOOKUP(Table8[[#This Row],[Document ID]],Table1[],3,FALSE)</f>
        <v>Costa Rica</v>
      </c>
      <c r="D524" s="243" t="str">
        <f>VLOOKUP(Table8[[#This Row],[Document ID]],Table1[],5,FALSE)</f>
        <v>NDC</v>
      </c>
      <c r="E524" s="233" t="str">
        <f>VLOOKUP(Table8[[#This Row],[Document ID]],Table1[],7,FALSE)</f>
        <v>First NDC updated</v>
      </c>
      <c r="F524" s="233" t="str">
        <f>VLOOKUP(Table8[[#This Row],[Document ID]],Table1[],8,FALSE)</f>
        <v>NDC 1.1</v>
      </c>
      <c r="G524" s="233" t="str">
        <f>VLOOKUP(Table8[[#This Row],[Document ID]],Table1[],10,FALSE)</f>
        <v>Active</v>
      </c>
      <c r="H524" s="43" t="s">
        <v>2358</v>
      </c>
      <c r="I524" s="43" t="s">
        <v>2359</v>
      </c>
      <c r="J524" s="44" t="s">
        <v>2360</v>
      </c>
      <c r="K524" s="44" t="s">
        <v>2862</v>
      </c>
      <c r="L524" s="44" t="s">
        <v>2471</v>
      </c>
      <c r="M524" s="43">
        <v>18</v>
      </c>
      <c r="N524" s="113"/>
      <c r="O524" s="113"/>
      <c r="P524" s="113"/>
      <c r="Q524" s="113"/>
      <c r="R524" s="113"/>
      <c r="S524" s="113"/>
      <c r="T524" s="113"/>
      <c r="U524" s="113"/>
      <c r="V524" s="113"/>
      <c r="W524" s="113"/>
      <c r="X524" s="113"/>
      <c r="Y524" s="113"/>
      <c r="Z524" s="113" t="s">
        <v>1113</v>
      </c>
      <c r="AA524" s="113"/>
      <c r="AB524" s="113"/>
      <c r="AC524" s="113"/>
      <c r="AD524" s="113"/>
      <c r="AE524" s="113"/>
      <c r="AF524" s="113"/>
      <c r="AG524" s="113"/>
      <c r="AH524" s="113"/>
      <c r="AI524" s="113"/>
      <c r="AJ524" s="113"/>
      <c r="AK524" s="319" t="s">
        <v>1113</v>
      </c>
      <c r="AL524" s="113"/>
      <c r="AM524" s="113"/>
      <c r="AN524" s="113"/>
      <c r="AO524" s="44" t="s">
        <v>2334</v>
      </c>
      <c r="AP524" s="43"/>
      <c r="AQ524" s="236" t="str">
        <f>VLOOKUP(Table8[[#This Row],[Instrument]],Def_Targets!$D$73:$E$159,2,FALSE)</f>
        <v>I_Emobility</v>
      </c>
      <c r="AR524" s="233" t="str">
        <f>VLOOKUP(Table8[[#This Row],[Country Code]],Table29[],3,FALSE)</f>
        <v>Non-Annex I</v>
      </c>
      <c r="AS524" s="233" t="str">
        <f>VLOOKUP(Table8[[#This Row],[Country Code]],Table29[],4,FALSE)</f>
        <v>Latin America and the Caribbean</v>
      </c>
      <c r="AT524" s="233" t="str">
        <f>VLOOKUP(Table8[[#This Row],[Country Code]],Table29[],5,FALSE)</f>
        <v>Middle-income</v>
      </c>
      <c r="AU524" s="233" t="str">
        <f>VLOOKUP(Table8[[#This Row],[Country Code]],Table29[],6,FALSE)</f>
        <v>no</v>
      </c>
      <c r="AV524" s="233" t="str">
        <f>VLOOKUP(Table8[[#This Row],[Country Code]],Table29[],7,FALSE)</f>
        <v>no</v>
      </c>
      <c r="AW524" s="233" t="str">
        <f>VLOOKUP(Table8[[#This Row],[Country Code]],Table29[],8,FALSE)</f>
        <v>OECD</v>
      </c>
      <c r="AX524" s="233" t="str">
        <f>VLOOKUP(Table8[[#This Row],[Country Code]],Table29[],9,FALSE)</f>
        <v>no</v>
      </c>
      <c r="AY524" s="233" t="str">
        <f>VLOOKUP(Table8[[#This Row],[Country Code]],Table29[],10,FALSE)</f>
        <v>no</v>
      </c>
      <c r="AZ524" s="235">
        <f>VLOOKUP(Table8[[#This Row],[Country Code]],Table29[],23,FALSE)</f>
        <v>16.468143919330998</v>
      </c>
      <c r="BA524" s="235">
        <f>VLOOKUP(Table8[[#This Row],[Country Code]],Table29[],24,FALSE)</f>
        <v>6.1699800179976929</v>
      </c>
      <c r="BB524" s="320"/>
      <c r="BC524" s="320"/>
    </row>
    <row r="525" spans="1:55" ht="60" hidden="1" x14ac:dyDescent="0.25">
      <c r="A525" s="373">
        <v>26776</v>
      </c>
      <c r="B525" s="233" t="str">
        <f>VLOOKUP(Table8[[#This Row],[Document ID]],Table1[],2,FALSE)</f>
        <v>CHL</v>
      </c>
      <c r="C525" s="233" t="str">
        <f>VLOOKUP(Table8[[#This Row],[Document ID]],Table1[],3,FALSE)</f>
        <v>Chile</v>
      </c>
      <c r="D525" s="243" t="str">
        <f>VLOOKUP(Table8[[#This Row],[Document ID]],Table1[],5,FALSE)</f>
        <v>LTS</v>
      </c>
      <c r="E525" s="233" t="str">
        <f>VLOOKUP(Table8[[#This Row],[Document ID]],Table1[],7,FALSE)</f>
        <v>LTS</v>
      </c>
      <c r="F525" s="236" t="str">
        <f>VLOOKUP(Table8[[#This Row],[Document ID]],Table1[],8,FALSE)</f>
        <v>LTS 1.0</v>
      </c>
      <c r="G525" s="236" t="str">
        <f>VLOOKUP(Table8[[#This Row],[Document ID]],Table1[],10,FALSE)</f>
        <v>Active</v>
      </c>
      <c r="H525" s="43" t="s">
        <v>2350</v>
      </c>
      <c r="I525" s="43" t="s">
        <v>2370</v>
      </c>
      <c r="J525" s="44" t="s">
        <v>2418</v>
      </c>
      <c r="K525" s="44" t="s">
        <v>2863</v>
      </c>
      <c r="L525" s="44" t="s">
        <v>2373</v>
      </c>
      <c r="M525" s="43">
        <v>148</v>
      </c>
      <c r="N525" s="113" t="s">
        <v>1113</v>
      </c>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t="s">
        <v>1113</v>
      </c>
      <c r="AM525" s="113"/>
      <c r="AN525" s="113" t="s">
        <v>1113</v>
      </c>
      <c r="AO525" s="44" t="s">
        <v>2334</v>
      </c>
      <c r="AP525" s="43"/>
      <c r="AQ525" s="236" t="str">
        <f>VLOOKUP(Table8[[#This Row],[Instrument]],Def_Targets!$D$73:$E$159,2,FALSE)</f>
        <v>A_Complan</v>
      </c>
      <c r="AR525" s="233" t="str">
        <f>VLOOKUP(Table8[[#This Row],[Country Code]],Table29[],3,FALSE)</f>
        <v>Non-Annex I</v>
      </c>
      <c r="AS525" s="233" t="str">
        <f>VLOOKUP(Table8[[#This Row],[Country Code]],Table29[],4,FALSE)</f>
        <v>Latin America and the Caribbean</v>
      </c>
      <c r="AT525" s="233" t="str">
        <f>VLOOKUP(Table8[[#This Row],[Country Code]],Table29[],5,FALSE)</f>
        <v>High-income</v>
      </c>
      <c r="AU525" s="233" t="str">
        <f>VLOOKUP(Table8[[#This Row],[Country Code]],Table29[],6,FALSE)</f>
        <v>no</v>
      </c>
      <c r="AV525" s="233" t="str">
        <f>VLOOKUP(Table8[[#This Row],[Country Code]],Table29[],7,FALSE)</f>
        <v>no</v>
      </c>
      <c r="AW525" s="233" t="str">
        <f>VLOOKUP(Table8[[#This Row],[Country Code]],Table29[],8,FALSE)</f>
        <v>OECD</v>
      </c>
      <c r="AX525" s="233" t="str">
        <f>VLOOKUP(Table8[[#This Row],[Country Code]],Table29[],9,FALSE)</f>
        <v>no</v>
      </c>
      <c r="AY525" s="233" t="str">
        <f>VLOOKUP(Table8[[#This Row],[Country Code]],Table29[],10,FALSE)</f>
        <v>no</v>
      </c>
      <c r="AZ525" s="235">
        <f>VLOOKUP(Table8[[#This Row],[Country Code]],Table29[],23,FALSE)</f>
        <v>121.46313217391</v>
      </c>
      <c r="BA525" s="235">
        <f>VLOOKUP(Table8[[#This Row],[Country Code]],Table29[],24,FALSE)</f>
        <v>32.478801178832768</v>
      </c>
      <c r="BB525" s="320"/>
      <c r="BC525" s="320"/>
    </row>
    <row r="526" spans="1:55" ht="30" hidden="1" x14ac:dyDescent="0.25">
      <c r="A526" s="373">
        <v>26776</v>
      </c>
      <c r="B526" s="233" t="str">
        <f>VLOOKUP(Table8[[#This Row],[Document ID]],Table1[],2,FALSE)</f>
        <v>CHL</v>
      </c>
      <c r="C526" s="233" t="str">
        <f>VLOOKUP(Table8[[#This Row],[Document ID]],Table1[],3,FALSE)</f>
        <v>Chile</v>
      </c>
      <c r="D526" s="243" t="str">
        <f>VLOOKUP(Table8[[#This Row],[Document ID]],Table1[],5,FALSE)</f>
        <v>LTS</v>
      </c>
      <c r="E526" s="233" t="str">
        <f>VLOOKUP(Table8[[#This Row],[Document ID]],Table1[],7,FALSE)</f>
        <v>LTS</v>
      </c>
      <c r="F526" s="236" t="str">
        <f>VLOOKUP(Table8[[#This Row],[Document ID]],Table1[],8,FALSE)</f>
        <v>LTS 1.0</v>
      </c>
      <c r="G526" s="236" t="str">
        <f>VLOOKUP(Table8[[#This Row],[Document ID]],Table1[],10,FALSE)</f>
        <v>Active</v>
      </c>
      <c r="H526" s="43" t="s">
        <v>2484</v>
      </c>
      <c r="I526" s="43" t="s">
        <v>2485</v>
      </c>
      <c r="J526" s="44" t="s">
        <v>2486</v>
      </c>
      <c r="K526" s="44" t="s">
        <v>2864</v>
      </c>
      <c r="L526" s="44" t="s">
        <v>2373</v>
      </c>
      <c r="M526" s="43">
        <v>148</v>
      </c>
      <c r="N526" s="113"/>
      <c r="O526" s="113"/>
      <c r="P526" s="113"/>
      <c r="Q526" s="113"/>
      <c r="R526" s="113"/>
      <c r="S526" s="113"/>
      <c r="T526" s="113"/>
      <c r="U526" s="113"/>
      <c r="V526" s="113"/>
      <c r="W526" s="113"/>
      <c r="X526" s="113"/>
      <c r="Y526" s="113"/>
      <c r="Z526" s="113"/>
      <c r="AA526" s="113"/>
      <c r="AB526" s="113"/>
      <c r="AC526" s="113"/>
      <c r="AD526" s="113" t="s">
        <v>1113</v>
      </c>
      <c r="AE526" s="113"/>
      <c r="AF526" s="113"/>
      <c r="AG526" s="113"/>
      <c r="AH526" s="113"/>
      <c r="AI526" s="113"/>
      <c r="AJ526" s="113"/>
      <c r="AK526" s="113" t="s">
        <v>1113</v>
      </c>
      <c r="AL526" s="113"/>
      <c r="AM526" s="113"/>
      <c r="AN526" s="113"/>
      <c r="AO526" s="44" t="s">
        <v>2334</v>
      </c>
      <c r="AP526" s="43"/>
      <c r="AQ526" s="236" t="str">
        <f>VLOOKUP(Table8[[#This Row],[Instrument]],Def_Targets!$D$73:$E$159,2,FALSE)</f>
        <v>I_Shipping</v>
      </c>
      <c r="AR526" s="233" t="str">
        <f>VLOOKUP(Table8[[#This Row],[Country Code]],Table29[],3,FALSE)</f>
        <v>Non-Annex I</v>
      </c>
      <c r="AS526" s="233" t="str">
        <f>VLOOKUP(Table8[[#This Row],[Country Code]],Table29[],4,FALSE)</f>
        <v>Latin America and the Caribbean</v>
      </c>
      <c r="AT526" s="233" t="str">
        <f>VLOOKUP(Table8[[#This Row],[Country Code]],Table29[],5,FALSE)</f>
        <v>High-income</v>
      </c>
      <c r="AU526" s="233" t="str">
        <f>VLOOKUP(Table8[[#This Row],[Country Code]],Table29[],6,FALSE)</f>
        <v>no</v>
      </c>
      <c r="AV526" s="233" t="str">
        <f>VLOOKUP(Table8[[#This Row],[Country Code]],Table29[],7,FALSE)</f>
        <v>no</v>
      </c>
      <c r="AW526" s="233" t="str">
        <f>VLOOKUP(Table8[[#This Row],[Country Code]],Table29[],8,FALSE)</f>
        <v>OECD</v>
      </c>
      <c r="AX526" s="233" t="str">
        <f>VLOOKUP(Table8[[#This Row],[Country Code]],Table29[],9,FALSE)</f>
        <v>no</v>
      </c>
      <c r="AY526" s="233" t="str">
        <f>VLOOKUP(Table8[[#This Row],[Country Code]],Table29[],10,FALSE)</f>
        <v>no</v>
      </c>
      <c r="AZ526" s="235">
        <f>VLOOKUP(Table8[[#This Row],[Country Code]],Table29[],23,FALSE)</f>
        <v>121.46313217391</v>
      </c>
      <c r="BA526" s="235">
        <f>VLOOKUP(Table8[[#This Row],[Country Code]],Table29[],24,FALSE)</f>
        <v>32.478801178832768</v>
      </c>
      <c r="BB526" s="320"/>
      <c r="BC526" s="320"/>
    </row>
    <row r="527" spans="1:55" hidden="1" x14ac:dyDescent="0.25">
      <c r="A527" s="373">
        <v>26776</v>
      </c>
      <c r="B527" s="233" t="str">
        <f>VLOOKUP(Table8[[#This Row],[Document ID]],Table1[],2,FALSE)</f>
        <v>CHL</v>
      </c>
      <c r="C527" s="233" t="str">
        <f>VLOOKUP(Table8[[#This Row],[Document ID]],Table1[],3,FALSE)</f>
        <v>Chile</v>
      </c>
      <c r="D527" s="243" t="str">
        <f>VLOOKUP(Table8[[#This Row],[Document ID]],Table1[],5,FALSE)</f>
        <v>LTS</v>
      </c>
      <c r="E527" s="233" t="str">
        <f>VLOOKUP(Table8[[#This Row],[Document ID]],Table1[],7,FALSE)</f>
        <v>LTS</v>
      </c>
      <c r="F527" s="236" t="str">
        <f>VLOOKUP(Table8[[#This Row],[Document ID]],Table1[],8,FALSE)</f>
        <v>LTS 1.0</v>
      </c>
      <c r="G527" s="236" t="str">
        <f>VLOOKUP(Table8[[#This Row],[Document ID]],Table1[],10,FALSE)</f>
        <v>Active</v>
      </c>
      <c r="H527" s="44" t="s">
        <v>2329</v>
      </c>
      <c r="I527" s="44" t="s">
        <v>2330</v>
      </c>
      <c r="J527" s="44" t="s">
        <v>2381</v>
      </c>
      <c r="K527" s="44" t="s">
        <v>2865</v>
      </c>
      <c r="L527" s="44" t="s">
        <v>2333</v>
      </c>
      <c r="M527" s="43">
        <v>148</v>
      </c>
      <c r="N527" s="113"/>
      <c r="O527" s="113"/>
      <c r="P527" s="113"/>
      <c r="Q527" s="113"/>
      <c r="R527" s="113"/>
      <c r="S527" s="113"/>
      <c r="T527" s="113"/>
      <c r="U527" s="113"/>
      <c r="V527" s="113"/>
      <c r="W527" s="113"/>
      <c r="X527" s="113"/>
      <c r="Y527" s="113"/>
      <c r="Z527" s="113" t="s">
        <v>1113</v>
      </c>
      <c r="AA527" s="113"/>
      <c r="AB527" s="113"/>
      <c r="AC527" s="113"/>
      <c r="AD527" s="113"/>
      <c r="AE527" s="113"/>
      <c r="AF527" s="113"/>
      <c r="AG527" s="113"/>
      <c r="AH527" s="113"/>
      <c r="AI527" s="113"/>
      <c r="AJ527" s="113"/>
      <c r="AK527" s="113" t="s">
        <v>1113</v>
      </c>
      <c r="AL527" s="113"/>
      <c r="AM527" s="113"/>
      <c r="AN527" s="113"/>
      <c r="AO527" s="44" t="s">
        <v>2334</v>
      </c>
      <c r="AP527" s="43"/>
      <c r="AQ527" s="236" t="str">
        <f>VLOOKUP(Table8[[#This Row],[Instrument]],Def_Targets!$D$73:$E$159,2,FALSE)</f>
        <v>I_RE</v>
      </c>
      <c r="AR527" s="233" t="str">
        <f>VLOOKUP(Table8[[#This Row],[Country Code]],Table29[],3,FALSE)</f>
        <v>Non-Annex I</v>
      </c>
      <c r="AS527" s="233" t="str">
        <f>VLOOKUP(Table8[[#This Row],[Country Code]],Table29[],4,FALSE)</f>
        <v>Latin America and the Caribbean</v>
      </c>
      <c r="AT527" s="233" t="str">
        <f>VLOOKUP(Table8[[#This Row],[Country Code]],Table29[],5,FALSE)</f>
        <v>High-income</v>
      </c>
      <c r="AU527" s="233" t="str">
        <f>VLOOKUP(Table8[[#This Row],[Country Code]],Table29[],6,FALSE)</f>
        <v>no</v>
      </c>
      <c r="AV527" s="233" t="str">
        <f>VLOOKUP(Table8[[#This Row],[Country Code]],Table29[],7,FALSE)</f>
        <v>no</v>
      </c>
      <c r="AW527" s="233" t="str">
        <f>VLOOKUP(Table8[[#This Row],[Country Code]],Table29[],8,FALSE)</f>
        <v>OECD</v>
      </c>
      <c r="AX527" s="233" t="str">
        <f>VLOOKUP(Table8[[#This Row],[Country Code]],Table29[],9,FALSE)</f>
        <v>no</v>
      </c>
      <c r="AY527" s="233" t="str">
        <f>VLOOKUP(Table8[[#This Row],[Country Code]],Table29[],10,FALSE)</f>
        <v>no</v>
      </c>
      <c r="AZ527" s="235">
        <f>VLOOKUP(Table8[[#This Row],[Country Code]],Table29[],23,FALSE)</f>
        <v>121.46313217391</v>
      </c>
      <c r="BA527" s="235">
        <f>VLOOKUP(Table8[[#This Row],[Country Code]],Table29[],24,FALSE)</f>
        <v>32.478801178832768</v>
      </c>
      <c r="BB527" s="320"/>
      <c r="BC527" s="320"/>
    </row>
    <row r="528" spans="1:55" ht="60" hidden="1" x14ac:dyDescent="0.25">
      <c r="A528" s="373">
        <v>26776</v>
      </c>
      <c r="B528" s="233" t="str">
        <f>VLOOKUP(Table8[[#This Row],[Document ID]],Table1[],2,FALSE)</f>
        <v>CHL</v>
      </c>
      <c r="C528" s="233" t="str">
        <f>VLOOKUP(Table8[[#This Row],[Document ID]],Table1[],3,FALSE)</f>
        <v>Chile</v>
      </c>
      <c r="D528" s="243" t="str">
        <f>VLOOKUP(Table8[[#This Row],[Document ID]],Table1[],5,FALSE)</f>
        <v>LTS</v>
      </c>
      <c r="E528" s="233" t="str">
        <f>VLOOKUP(Table8[[#This Row],[Document ID]],Table1[],7,FALSE)</f>
        <v>LTS</v>
      </c>
      <c r="F528" s="236" t="str">
        <f>VLOOKUP(Table8[[#This Row],[Document ID]],Table1[],8,FALSE)</f>
        <v>LTS 1.0</v>
      </c>
      <c r="G528" s="236" t="str">
        <f>VLOOKUP(Table8[[#This Row],[Document ID]],Table1[],10,FALSE)</f>
        <v>Active</v>
      </c>
      <c r="H528" s="43" t="s">
        <v>2350</v>
      </c>
      <c r="I528" s="43" t="s">
        <v>2370</v>
      </c>
      <c r="J528" s="44" t="s">
        <v>2518</v>
      </c>
      <c r="K528" s="44" t="s">
        <v>2866</v>
      </c>
      <c r="L528" s="44" t="s">
        <v>2380</v>
      </c>
      <c r="M528" s="43">
        <v>149</v>
      </c>
      <c r="N528" s="113" t="s">
        <v>1113</v>
      </c>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t="s">
        <v>1113</v>
      </c>
      <c r="AM528" s="113"/>
      <c r="AN528" s="113"/>
      <c r="AO528" s="44" t="s">
        <v>2334</v>
      </c>
      <c r="AP528" s="43"/>
      <c r="AQ528" s="236" t="str">
        <f>VLOOKUP(Table8[[#This Row],[Instrument]],Def_Targets!$D$73:$E$159,2,FALSE)</f>
        <v>A_Mixuse</v>
      </c>
      <c r="AR528" s="233" t="str">
        <f>VLOOKUP(Table8[[#This Row],[Country Code]],Table29[],3,FALSE)</f>
        <v>Non-Annex I</v>
      </c>
      <c r="AS528" s="233" t="str">
        <f>VLOOKUP(Table8[[#This Row],[Country Code]],Table29[],4,FALSE)</f>
        <v>Latin America and the Caribbean</v>
      </c>
      <c r="AT528" s="233" t="str">
        <f>VLOOKUP(Table8[[#This Row],[Country Code]],Table29[],5,FALSE)</f>
        <v>High-income</v>
      </c>
      <c r="AU528" s="233" t="str">
        <f>VLOOKUP(Table8[[#This Row],[Country Code]],Table29[],6,FALSE)</f>
        <v>no</v>
      </c>
      <c r="AV528" s="233" t="str">
        <f>VLOOKUP(Table8[[#This Row],[Country Code]],Table29[],7,FALSE)</f>
        <v>no</v>
      </c>
      <c r="AW528" s="233" t="str">
        <f>VLOOKUP(Table8[[#This Row],[Country Code]],Table29[],8,FALSE)</f>
        <v>OECD</v>
      </c>
      <c r="AX528" s="233" t="str">
        <f>VLOOKUP(Table8[[#This Row],[Country Code]],Table29[],9,FALSE)</f>
        <v>no</v>
      </c>
      <c r="AY528" s="233" t="str">
        <f>VLOOKUP(Table8[[#This Row],[Country Code]],Table29[],10,FALSE)</f>
        <v>no</v>
      </c>
      <c r="AZ528" s="235">
        <f>VLOOKUP(Table8[[#This Row],[Country Code]],Table29[],23,FALSE)</f>
        <v>121.46313217391</v>
      </c>
      <c r="BA528" s="235">
        <f>VLOOKUP(Table8[[#This Row],[Country Code]],Table29[],24,FALSE)</f>
        <v>32.478801178832768</v>
      </c>
      <c r="BB528" s="320"/>
      <c r="BC528" s="320"/>
    </row>
    <row r="529" spans="1:55" ht="30" hidden="1" x14ac:dyDescent="0.25">
      <c r="A529" s="373">
        <v>26776</v>
      </c>
      <c r="B529" s="233" t="str">
        <f>VLOOKUP(Table8[[#This Row],[Document ID]],Table1[],2,FALSE)</f>
        <v>CHL</v>
      </c>
      <c r="C529" s="233" t="str">
        <f>VLOOKUP(Table8[[#This Row],[Document ID]],Table1[],3,FALSE)</f>
        <v>Chile</v>
      </c>
      <c r="D529" s="243" t="str">
        <f>VLOOKUP(Table8[[#This Row],[Document ID]],Table1[],5,FALSE)</f>
        <v>LTS</v>
      </c>
      <c r="E529" s="233" t="str">
        <f>VLOOKUP(Table8[[#This Row],[Document ID]],Table1[],7,FALSE)</f>
        <v>LTS</v>
      </c>
      <c r="F529" s="236" t="str">
        <f>VLOOKUP(Table8[[#This Row],[Document ID]],Table1[],8,FALSE)</f>
        <v>LTS 1.0</v>
      </c>
      <c r="G529" s="236" t="str">
        <f>VLOOKUP(Table8[[#This Row],[Document ID]],Table1[],10,FALSE)</f>
        <v>Active</v>
      </c>
      <c r="H529" s="43" t="s">
        <v>2343</v>
      </c>
      <c r="I529" s="43" t="s">
        <v>2344</v>
      </c>
      <c r="J529" s="44" t="s">
        <v>2345</v>
      </c>
      <c r="K529" s="44" t="s">
        <v>2867</v>
      </c>
      <c r="L529" s="44" t="s">
        <v>2347</v>
      </c>
      <c r="M529" s="43">
        <v>149</v>
      </c>
      <c r="N529" s="113" t="s">
        <v>1113</v>
      </c>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c r="AJ529" s="113"/>
      <c r="AK529" s="113" t="s">
        <v>1113</v>
      </c>
      <c r="AL529" s="113"/>
      <c r="AM529" s="113"/>
      <c r="AN529" s="113"/>
      <c r="AO529" s="44" t="s">
        <v>2334</v>
      </c>
      <c r="AP529" s="43"/>
      <c r="AQ529" s="236" t="str">
        <f>VLOOKUP(Table8[[#This Row],[Instrument]],Def_Targets!$D$73:$E$159,2,FALSE)</f>
        <v>S_PublicTransport</v>
      </c>
      <c r="AR529" s="233" t="str">
        <f>VLOOKUP(Table8[[#This Row],[Country Code]],Table29[],3,FALSE)</f>
        <v>Non-Annex I</v>
      </c>
      <c r="AS529" s="233" t="str">
        <f>VLOOKUP(Table8[[#This Row],[Country Code]],Table29[],4,FALSE)</f>
        <v>Latin America and the Caribbean</v>
      </c>
      <c r="AT529" s="233" t="str">
        <f>VLOOKUP(Table8[[#This Row],[Country Code]],Table29[],5,FALSE)</f>
        <v>High-income</v>
      </c>
      <c r="AU529" s="233" t="str">
        <f>VLOOKUP(Table8[[#This Row],[Country Code]],Table29[],6,FALSE)</f>
        <v>no</v>
      </c>
      <c r="AV529" s="233" t="str">
        <f>VLOOKUP(Table8[[#This Row],[Country Code]],Table29[],7,FALSE)</f>
        <v>no</v>
      </c>
      <c r="AW529" s="233" t="str">
        <f>VLOOKUP(Table8[[#This Row],[Country Code]],Table29[],8,FALSE)</f>
        <v>OECD</v>
      </c>
      <c r="AX529" s="233" t="str">
        <f>VLOOKUP(Table8[[#This Row],[Country Code]],Table29[],9,FALSE)</f>
        <v>no</v>
      </c>
      <c r="AY529" s="233" t="str">
        <f>VLOOKUP(Table8[[#This Row],[Country Code]],Table29[],10,FALSE)</f>
        <v>no</v>
      </c>
      <c r="AZ529" s="235">
        <f>VLOOKUP(Table8[[#This Row],[Country Code]],Table29[],23,FALSE)</f>
        <v>121.46313217391</v>
      </c>
      <c r="BA529" s="235">
        <f>VLOOKUP(Table8[[#This Row],[Country Code]],Table29[],24,FALSE)</f>
        <v>32.478801178832768</v>
      </c>
      <c r="BB529" s="320"/>
      <c r="BC529" s="320"/>
    </row>
    <row r="530" spans="1:55" ht="30" hidden="1" x14ac:dyDescent="0.25">
      <c r="A530" s="373">
        <v>26776</v>
      </c>
      <c r="B530" s="233" t="str">
        <f>VLOOKUP(Table8[[#This Row],[Document ID]],Table1[],2,FALSE)</f>
        <v>CHL</v>
      </c>
      <c r="C530" s="233" t="str">
        <f>VLOOKUP(Table8[[#This Row],[Document ID]],Table1[],3,FALSE)</f>
        <v>Chile</v>
      </c>
      <c r="D530" s="243" t="str">
        <f>VLOOKUP(Table8[[#This Row],[Document ID]],Table1[],5,FALSE)</f>
        <v>LTS</v>
      </c>
      <c r="E530" s="233" t="str">
        <f>VLOOKUP(Table8[[#This Row],[Document ID]],Table1[],7,FALSE)</f>
        <v>LTS</v>
      </c>
      <c r="F530" s="236" t="str">
        <f>VLOOKUP(Table8[[#This Row],[Document ID]],Table1[],8,FALSE)</f>
        <v>LTS 1.0</v>
      </c>
      <c r="G530" s="236" t="str">
        <f>VLOOKUP(Table8[[#This Row],[Document ID]],Table1[],10,FALSE)</f>
        <v>Active</v>
      </c>
      <c r="H530" s="43" t="s">
        <v>2343</v>
      </c>
      <c r="I530" s="43" t="s">
        <v>2361</v>
      </c>
      <c r="J530" s="44" t="s">
        <v>2366</v>
      </c>
      <c r="K530" s="44" t="s">
        <v>2867</v>
      </c>
      <c r="L530" s="44" t="s">
        <v>2347</v>
      </c>
      <c r="M530" s="43">
        <v>149</v>
      </c>
      <c r="N530" s="113" t="s">
        <v>1113</v>
      </c>
      <c r="O530" s="113"/>
      <c r="P530" s="113" t="s">
        <v>1113</v>
      </c>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t="s">
        <v>1113</v>
      </c>
      <c r="AL530" s="113"/>
      <c r="AM530" s="113"/>
      <c r="AN530" s="113"/>
      <c r="AO530" s="44" t="s">
        <v>2334</v>
      </c>
      <c r="AP530" s="43"/>
      <c r="AQ530" s="236" t="str">
        <f>VLOOKUP(Table8[[#This Row],[Instrument]],Def_Targets!$D$73:$E$159,2,FALSE)</f>
        <v>S_Activemobility</v>
      </c>
      <c r="AR530" s="233" t="str">
        <f>VLOOKUP(Table8[[#This Row],[Country Code]],Table29[],3,FALSE)</f>
        <v>Non-Annex I</v>
      </c>
      <c r="AS530" s="233" t="str">
        <f>VLOOKUP(Table8[[#This Row],[Country Code]],Table29[],4,FALSE)</f>
        <v>Latin America and the Caribbean</v>
      </c>
      <c r="AT530" s="233" t="str">
        <f>VLOOKUP(Table8[[#This Row],[Country Code]],Table29[],5,FALSE)</f>
        <v>High-income</v>
      </c>
      <c r="AU530" s="233" t="str">
        <f>VLOOKUP(Table8[[#This Row],[Country Code]],Table29[],6,FALSE)</f>
        <v>no</v>
      </c>
      <c r="AV530" s="233" t="str">
        <f>VLOOKUP(Table8[[#This Row],[Country Code]],Table29[],7,FALSE)</f>
        <v>no</v>
      </c>
      <c r="AW530" s="233" t="str">
        <f>VLOOKUP(Table8[[#This Row],[Country Code]],Table29[],8,FALSE)</f>
        <v>OECD</v>
      </c>
      <c r="AX530" s="233" t="str">
        <f>VLOOKUP(Table8[[#This Row],[Country Code]],Table29[],9,FALSE)</f>
        <v>no</v>
      </c>
      <c r="AY530" s="233" t="str">
        <f>VLOOKUP(Table8[[#This Row],[Country Code]],Table29[],10,FALSE)</f>
        <v>no</v>
      </c>
      <c r="AZ530" s="235">
        <f>VLOOKUP(Table8[[#This Row],[Country Code]],Table29[],23,FALSE)</f>
        <v>121.46313217391</v>
      </c>
      <c r="BA530" s="235">
        <f>VLOOKUP(Table8[[#This Row],[Country Code]],Table29[],24,FALSE)</f>
        <v>32.478801178832768</v>
      </c>
      <c r="BB530" s="320"/>
      <c r="BC530" s="320"/>
    </row>
    <row r="531" spans="1:55" ht="60" hidden="1" x14ac:dyDescent="0.25">
      <c r="A531" s="373">
        <v>26776</v>
      </c>
      <c r="B531" s="233" t="str">
        <f>VLOOKUP(Table8[[#This Row],[Document ID]],Table1[],2,FALSE)</f>
        <v>CHL</v>
      </c>
      <c r="C531" s="233" t="str">
        <f>VLOOKUP(Table8[[#This Row],[Document ID]],Table1[],3,FALSE)</f>
        <v>Chile</v>
      </c>
      <c r="D531" s="243" t="str">
        <f>VLOOKUP(Table8[[#This Row],[Document ID]],Table1[],5,FALSE)</f>
        <v>LTS</v>
      </c>
      <c r="E531" s="233" t="str">
        <f>VLOOKUP(Table8[[#This Row],[Document ID]],Table1[],7,FALSE)</f>
        <v>LTS</v>
      </c>
      <c r="F531" s="236" t="str">
        <f>VLOOKUP(Table8[[#This Row],[Document ID]],Table1[],8,FALSE)</f>
        <v>LTS 1.0</v>
      </c>
      <c r="G531" s="236" t="str">
        <f>VLOOKUP(Table8[[#This Row],[Document ID]],Table1[],10,FALSE)</f>
        <v>Active</v>
      </c>
      <c r="H531" s="43" t="s">
        <v>2343</v>
      </c>
      <c r="I531" s="43" t="s">
        <v>2361</v>
      </c>
      <c r="J531" s="44" t="s">
        <v>2362</v>
      </c>
      <c r="K531" s="44" t="s">
        <v>2868</v>
      </c>
      <c r="L531" s="44" t="s">
        <v>2347</v>
      </c>
      <c r="M531" s="43">
        <v>149</v>
      </c>
      <c r="N531" s="113"/>
      <c r="O531" s="113"/>
      <c r="P531" s="113"/>
      <c r="Q531" s="113"/>
      <c r="R531" s="113" t="s">
        <v>1113</v>
      </c>
      <c r="S531" s="113"/>
      <c r="T531" s="113"/>
      <c r="U531" s="113"/>
      <c r="V531" s="113"/>
      <c r="W531" s="113"/>
      <c r="X531" s="113"/>
      <c r="Y531" s="113"/>
      <c r="Z531" s="113"/>
      <c r="AA531" s="113"/>
      <c r="AB531" s="113"/>
      <c r="AC531" s="113"/>
      <c r="AD531" s="113"/>
      <c r="AE531" s="113"/>
      <c r="AF531" s="113"/>
      <c r="AG531" s="113"/>
      <c r="AH531" s="113"/>
      <c r="AI531" s="113"/>
      <c r="AJ531" s="113"/>
      <c r="AK531" s="113" t="s">
        <v>1113</v>
      </c>
      <c r="AL531" s="113"/>
      <c r="AM531" s="113"/>
      <c r="AN531" s="113"/>
      <c r="AO531" s="44" t="s">
        <v>2334</v>
      </c>
      <c r="AP531" s="43"/>
      <c r="AQ531" s="236" t="str">
        <f>VLOOKUP(Table8[[#This Row],[Instrument]],Def_Targets!$D$73:$E$159,2,FALSE)</f>
        <v>S_Cycling</v>
      </c>
      <c r="AR531" s="233" t="str">
        <f>VLOOKUP(Table8[[#This Row],[Country Code]],Table29[],3,FALSE)</f>
        <v>Non-Annex I</v>
      </c>
      <c r="AS531" s="233" t="str">
        <f>VLOOKUP(Table8[[#This Row],[Country Code]],Table29[],4,FALSE)</f>
        <v>Latin America and the Caribbean</v>
      </c>
      <c r="AT531" s="233" t="str">
        <f>VLOOKUP(Table8[[#This Row],[Country Code]],Table29[],5,FALSE)</f>
        <v>High-income</v>
      </c>
      <c r="AU531" s="233" t="str">
        <f>VLOOKUP(Table8[[#This Row],[Country Code]],Table29[],6,FALSE)</f>
        <v>no</v>
      </c>
      <c r="AV531" s="233" t="str">
        <f>VLOOKUP(Table8[[#This Row],[Country Code]],Table29[],7,FALSE)</f>
        <v>no</v>
      </c>
      <c r="AW531" s="233" t="str">
        <f>VLOOKUP(Table8[[#This Row],[Country Code]],Table29[],8,FALSE)</f>
        <v>OECD</v>
      </c>
      <c r="AX531" s="233" t="str">
        <f>VLOOKUP(Table8[[#This Row],[Country Code]],Table29[],9,FALSE)</f>
        <v>no</v>
      </c>
      <c r="AY531" s="233" t="str">
        <f>VLOOKUP(Table8[[#This Row],[Country Code]],Table29[],10,FALSE)</f>
        <v>no</v>
      </c>
      <c r="AZ531" s="235">
        <f>VLOOKUP(Table8[[#This Row],[Country Code]],Table29[],23,FALSE)</f>
        <v>121.46313217391</v>
      </c>
      <c r="BA531" s="235">
        <f>VLOOKUP(Table8[[#This Row],[Country Code]],Table29[],24,FALSE)</f>
        <v>32.478801178832768</v>
      </c>
      <c r="BB531" s="320"/>
      <c r="BC531" s="320"/>
    </row>
    <row r="532" spans="1:55" ht="60" hidden="1" x14ac:dyDescent="0.25">
      <c r="A532" s="373">
        <v>26776</v>
      </c>
      <c r="B532" s="233" t="str">
        <f>VLOOKUP(Table8[[#This Row],[Document ID]],Table1[],2,FALSE)</f>
        <v>CHL</v>
      </c>
      <c r="C532" s="233" t="str">
        <f>VLOOKUP(Table8[[#This Row],[Document ID]],Table1[],3,FALSE)</f>
        <v>Chile</v>
      </c>
      <c r="D532" s="243" t="str">
        <f>VLOOKUP(Table8[[#This Row],[Document ID]],Table1[],5,FALSE)</f>
        <v>LTS</v>
      </c>
      <c r="E532" s="233" t="str">
        <f>VLOOKUP(Table8[[#This Row],[Document ID]],Table1[],7,FALSE)</f>
        <v>LTS</v>
      </c>
      <c r="F532" s="236" t="str">
        <f>VLOOKUP(Table8[[#This Row],[Document ID]],Table1[],8,FALSE)</f>
        <v>LTS 1.0</v>
      </c>
      <c r="G532" s="236" t="str">
        <f>VLOOKUP(Table8[[#This Row],[Document ID]],Table1[],10,FALSE)</f>
        <v>Active</v>
      </c>
      <c r="H532" s="43" t="s">
        <v>2350</v>
      </c>
      <c r="I532" s="43" t="s">
        <v>2370</v>
      </c>
      <c r="J532" s="44" t="s">
        <v>2581</v>
      </c>
      <c r="K532" s="44" t="s">
        <v>2869</v>
      </c>
      <c r="L532" s="44" t="s">
        <v>2373</v>
      </c>
      <c r="M532" s="43">
        <v>149</v>
      </c>
      <c r="N532" s="113" t="s">
        <v>1113</v>
      </c>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t="s">
        <v>1113</v>
      </c>
      <c r="AM532" s="113"/>
      <c r="AN532" s="113"/>
      <c r="AO532" s="44" t="s">
        <v>2334</v>
      </c>
      <c r="AP532" s="43"/>
      <c r="AQ532" s="236" t="str">
        <f>VLOOKUP(Table8[[#This Row],[Instrument]],Def_Targets!$D$73:$E$159,2,FALSE)</f>
        <v>A_SUMP</v>
      </c>
      <c r="AR532" s="233" t="str">
        <f>VLOOKUP(Table8[[#This Row],[Country Code]],Table29[],3,FALSE)</f>
        <v>Non-Annex I</v>
      </c>
      <c r="AS532" s="233" t="str">
        <f>VLOOKUP(Table8[[#This Row],[Country Code]],Table29[],4,FALSE)</f>
        <v>Latin America and the Caribbean</v>
      </c>
      <c r="AT532" s="233" t="str">
        <f>VLOOKUP(Table8[[#This Row],[Country Code]],Table29[],5,FALSE)</f>
        <v>High-income</v>
      </c>
      <c r="AU532" s="233" t="str">
        <f>VLOOKUP(Table8[[#This Row],[Country Code]],Table29[],6,FALSE)</f>
        <v>no</v>
      </c>
      <c r="AV532" s="233" t="str">
        <f>VLOOKUP(Table8[[#This Row],[Country Code]],Table29[],7,FALSE)</f>
        <v>no</v>
      </c>
      <c r="AW532" s="233" t="str">
        <f>VLOOKUP(Table8[[#This Row],[Country Code]],Table29[],8,FALSE)</f>
        <v>OECD</v>
      </c>
      <c r="AX532" s="233" t="str">
        <f>VLOOKUP(Table8[[#This Row],[Country Code]],Table29[],9,FALSE)</f>
        <v>no</v>
      </c>
      <c r="AY532" s="233" t="str">
        <f>VLOOKUP(Table8[[#This Row],[Country Code]],Table29[],10,FALSE)</f>
        <v>no</v>
      </c>
      <c r="AZ532" s="235">
        <f>VLOOKUP(Table8[[#This Row],[Country Code]],Table29[],23,FALSE)</f>
        <v>121.46313217391</v>
      </c>
      <c r="BA532" s="235">
        <f>VLOOKUP(Table8[[#This Row],[Country Code]],Table29[],24,FALSE)</f>
        <v>32.478801178832768</v>
      </c>
      <c r="BB532" s="320"/>
      <c r="BC532" s="320"/>
    </row>
    <row r="533" spans="1:55" ht="30" hidden="1" x14ac:dyDescent="0.25">
      <c r="A533" s="373">
        <v>26776</v>
      </c>
      <c r="B533" s="233" t="str">
        <f>VLOOKUP(Table8[[#This Row],[Document ID]],Table1[],2,FALSE)</f>
        <v>CHL</v>
      </c>
      <c r="C533" s="233" t="str">
        <f>VLOOKUP(Table8[[#This Row],[Document ID]],Table1[],3,FALSE)</f>
        <v>Chile</v>
      </c>
      <c r="D533" s="243" t="str">
        <f>VLOOKUP(Table8[[#This Row],[Document ID]],Table1[],5,FALSE)</f>
        <v>LTS</v>
      </c>
      <c r="E533" s="233" t="str">
        <f>VLOOKUP(Table8[[#This Row],[Document ID]],Table1[],7,FALSE)</f>
        <v>LTS</v>
      </c>
      <c r="F533" s="236" t="str">
        <f>VLOOKUP(Table8[[#This Row],[Document ID]],Table1[],8,FALSE)</f>
        <v>LTS 1.0</v>
      </c>
      <c r="G533" s="236" t="str">
        <f>VLOOKUP(Table8[[#This Row],[Document ID]],Table1[],10,FALSE)</f>
        <v>Active</v>
      </c>
      <c r="H533" s="43" t="s">
        <v>2350</v>
      </c>
      <c r="I533" s="43" t="s">
        <v>2370</v>
      </c>
      <c r="J533" s="44" t="s">
        <v>2581</v>
      </c>
      <c r="K533" s="44" t="s">
        <v>2870</v>
      </c>
      <c r="L533" s="44" t="s">
        <v>2373</v>
      </c>
      <c r="M533" s="43">
        <v>149</v>
      </c>
      <c r="N533" s="113"/>
      <c r="O533" s="113"/>
      <c r="P533" s="113"/>
      <c r="Q533" s="113" t="s">
        <v>1113</v>
      </c>
      <c r="R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t="s">
        <v>1113</v>
      </c>
      <c r="AM533" s="113"/>
      <c r="AN533" s="113"/>
      <c r="AO533" s="44" t="s">
        <v>2334</v>
      </c>
      <c r="AP533" s="43"/>
      <c r="AQ533" s="236" t="str">
        <f>VLOOKUP(Table8[[#This Row],[Instrument]],Def_Targets!$D$73:$E$159,2,FALSE)</f>
        <v>A_SUMP</v>
      </c>
      <c r="AR533" s="233" t="str">
        <f>VLOOKUP(Table8[[#This Row],[Country Code]],Table29[],3,FALSE)</f>
        <v>Non-Annex I</v>
      </c>
      <c r="AS533" s="233" t="str">
        <f>VLOOKUP(Table8[[#This Row],[Country Code]],Table29[],4,FALSE)</f>
        <v>Latin America and the Caribbean</v>
      </c>
      <c r="AT533" s="233" t="str">
        <f>VLOOKUP(Table8[[#This Row],[Country Code]],Table29[],5,FALSE)</f>
        <v>High-income</v>
      </c>
      <c r="AU533" s="233" t="str">
        <f>VLOOKUP(Table8[[#This Row],[Country Code]],Table29[],6,FALSE)</f>
        <v>no</v>
      </c>
      <c r="AV533" s="233" t="str">
        <f>VLOOKUP(Table8[[#This Row],[Country Code]],Table29[],7,FALSE)</f>
        <v>no</v>
      </c>
      <c r="AW533" s="233" t="str">
        <f>VLOOKUP(Table8[[#This Row],[Country Code]],Table29[],8,FALSE)</f>
        <v>OECD</v>
      </c>
      <c r="AX533" s="233" t="str">
        <f>VLOOKUP(Table8[[#This Row],[Country Code]],Table29[],9,FALSE)</f>
        <v>no</v>
      </c>
      <c r="AY533" s="233" t="str">
        <f>VLOOKUP(Table8[[#This Row],[Country Code]],Table29[],10,FALSE)</f>
        <v>no</v>
      </c>
      <c r="AZ533" s="235">
        <f>VLOOKUP(Table8[[#This Row],[Country Code]],Table29[],23,FALSE)</f>
        <v>121.46313217391</v>
      </c>
      <c r="BA533" s="235">
        <f>VLOOKUP(Table8[[#This Row],[Country Code]],Table29[],24,FALSE)</f>
        <v>32.478801178832768</v>
      </c>
      <c r="BB533" s="320"/>
      <c r="BC533" s="320"/>
    </row>
    <row r="534" spans="1:55" ht="45" hidden="1" x14ac:dyDescent="0.25">
      <c r="A534" s="373">
        <v>26776</v>
      </c>
      <c r="B534" s="233" t="str">
        <f>VLOOKUP(Table8[[#This Row],[Document ID]],Table1[],2,FALSE)</f>
        <v>CHL</v>
      </c>
      <c r="C534" s="233" t="str">
        <f>VLOOKUP(Table8[[#This Row],[Document ID]],Table1[],3,FALSE)</f>
        <v>Chile</v>
      </c>
      <c r="D534" s="243" t="str">
        <f>VLOOKUP(Table8[[#This Row],[Document ID]],Table1[],5,FALSE)</f>
        <v>LTS</v>
      </c>
      <c r="E534" s="233" t="str">
        <f>VLOOKUP(Table8[[#This Row],[Document ID]],Table1[],7,FALSE)</f>
        <v>LTS</v>
      </c>
      <c r="F534" s="236" t="str">
        <f>VLOOKUP(Table8[[#This Row],[Document ID]],Table1[],8,FALSE)</f>
        <v>LTS 1.0</v>
      </c>
      <c r="G534" s="236" t="str">
        <f>VLOOKUP(Table8[[#This Row],[Document ID]],Table1[],10,FALSE)</f>
        <v>Active</v>
      </c>
      <c r="H534" s="43" t="s">
        <v>2343</v>
      </c>
      <c r="I534" s="43" t="s">
        <v>2429</v>
      </c>
      <c r="J534" s="44" t="s">
        <v>2513</v>
      </c>
      <c r="K534" s="44" t="s">
        <v>2871</v>
      </c>
      <c r="L534" s="44" t="s">
        <v>2347</v>
      </c>
      <c r="M534" s="43">
        <v>150</v>
      </c>
      <c r="N534" s="113"/>
      <c r="O534" s="113"/>
      <c r="P534" s="113"/>
      <c r="Q534" s="113"/>
      <c r="R534" s="113" t="s">
        <v>1113</v>
      </c>
      <c r="S534" s="113"/>
      <c r="T534" s="113"/>
      <c r="U534" s="113"/>
      <c r="V534" s="113"/>
      <c r="W534" s="113"/>
      <c r="X534" s="113"/>
      <c r="Y534" s="113"/>
      <c r="Z534" s="113"/>
      <c r="AA534" s="113"/>
      <c r="AB534" s="113"/>
      <c r="AC534" s="113"/>
      <c r="AD534" s="113"/>
      <c r="AE534" s="113"/>
      <c r="AF534" s="113"/>
      <c r="AG534" s="113"/>
      <c r="AH534" s="113"/>
      <c r="AI534" s="113"/>
      <c r="AJ534" s="113"/>
      <c r="AK534" s="113"/>
      <c r="AL534" s="113" t="s">
        <v>1113</v>
      </c>
      <c r="AM534" s="113"/>
      <c r="AN534" s="113"/>
      <c r="AO534" s="44" t="s">
        <v>2334</v>
      </c>
      <c r="AP534" s="43"/>
      <c r="AQ534" s="236" t="str">
        <f>VLOOKUP(Table8[[#This Row],[Instrument]],Def_Targets!$D$73:$E$159,2,FALSE)</f>
        <v>S_Sharedmob</v>
      </c>
      <c r="AR534" s="233" t="str">
        <f>VLOOKUP(Table8[[#This Row],[Country Code]],Table29[],3,FALSE)</f>
        <v>Non-Annex I</v>
      </c>
      <c r="AS534" s="233" t="str">
        <f>VLOOKUP(Table8[[#This Row],[Country Code]],Table29[],4,FALSE)</f>
        <v>Latin America and the Caribbean</v>
      </c>
      <c r="AT534" s="233" t="str">
        <f>VLOOKUP(Table8[[#This Row],[Country Code]],Table29[],5,FALSE)</f>
        <v>High-income</v>
      </c>
      <c r="AU534" s="233" t="str">
        <f>VLOOKUP(Table8[[#This Row],[Country Code]],Table29[],6,FALSE)</f>
        <v>no</v>
      </c>
      <c r="AV534" s="233" t="str">
        <f>VLOOKUP(Table8[[#This Row],[Country Code]],Table29[],7,FALSE)</f>
        <v>no</v>
      </c>
      <c r="AW534" s="233" t="str">
        <f>VLOOKUP(Table8[[#This Row],[Country Code]],Table29[],8,FALSE)</f>
        <v>OECD</v>
      </c>
      <c r="AX534" s="233" t="str">
        <f>VLOOKUP(Table8[[#This Row],[Country Code]],Table29[],9,FALSE)</f>
        <v>no</v>
      </c>
      <c r="AY534" s="233" t="str">
        <f>VLOOKUP(Table8[[#This Row],[Country Code]],Table29[],10,FALSE)</f>
        <v>no</v>
      </c>
      <c r="AZ534" s="235">
        <f>VLOOKUP(Table8[[#This Row],[Country Code]],Table29[],23,FALSE)</f>
        <v>121.46313217391</v>
      </c>
      <c r="BA534" s="235">
        <f>VLOOKUP(Table8[[#This Row],[Country Code]],Table29[],24,FALSE)</f>
        <v>32.478801178832768</v>
      </c>
      <c r="BB534" s="320"/>
      <c r="BC534" s="320"/>
    </row>
    <row r="535" spans="1:55" ht="105" hidden="1" x14ac:dyDescent="0.25">
      <c r="A535" s="373">
        <v>26776</v>
      </c>
      <c r="B535" s="233" t="str">
        <f>VLOOKUP(Table8[[#This Row],[Document ID]],Table1[],2,FALSE)</f>
        <v>CHL</v>
      </c>
      <c r="C535" s="233" t="str">
        <f>VLOOKUP(Table8[[#This Row],[Document ID]],Table1[],3,FALSE)</f>
        <v>Chile</v>
      </c>
      <c r="D535" s="243" t="str">
        <f>VLOOKUP(Table8[[#This Row],[Document ID]],Table1[],5,FALSE)</f>
        <v>LTS</v>
      </c>
      <c r="E535" s="233" t="str">
        <f>VLOOKUP(Table8[[#This Row],[Document ID]],Table1[],7,FALSE)</f>
        <v>LTS</v>
      </c>
      <c r="F535" s="236" t="str">
        <f>VLOOKUP(Table8[[#This Row],[Document ID]],Table1[],8,FALSE)</f>
        <v>LTS 1.0</v>
      </c>
      <c r="G535" s="236" t="str">
        <f>VLOOKUP(Table8[[#This Row],[Document ID]],Table1[],10,FALSE)</f>
        <v>Active</v>
      </c>
      <c r="H535" s="43" t="s">
        <v>2343</v>
      </c>
      <c r="I535" s="43" t="s">
        <v>2429</v>
      </c>
      <c r="J535" s="44" t="s">
        <v>2472</v>
      </c>
      <c r="K535" s="44" t="s">
        <v>2872</v>
      </c>
      <c r="L535" s="44" t="s">
        <v>2373</v>
      </c>
      <c r="M535" s="43">
        <v>151</v>
      </c>
      <c r="N535" s="113" t="s">
        <v>1113</v>
      </c>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c r="AJ535" s="113"/>
      <c r="AK535" s="113" t="s">
        <v>1113</v>
      </c>
      <c r="AL535" s="113"/>
      <c r="AM535" s="113"/>
      <c r="AN535" s="113"/>
      <c r="AO535" s="44" t="s">
        <v>2334</v>
      </c>
      <c r="AP535" s="43"/>
      <c r="AQ535" s="236" t="str">
        <f>VLOOKUP(Table8[[#This Row],[Instrument]],Def_Targets!$D$73:$E$159,2,FALSE)</f>
        <v>I_Other</v>
      </c>
      <c r="AR535" s="233" t="str">
        <f>VLOOKUP(Table8[[#This Row],[Country Code]],Table29[],3,FALSE)</f>
        <v>Non-Annex I</v>
      </c>
      <c r="AS535" s="233" t="str">
        <f>VLOOKUP(Table8[[#This Row],[Country Code]],Table29[],4,FALSE)</f>
        <v>Latin America and the Caribbean</v>
      </c>
      <c r="AT535" s="233" t="str">
        <f>VLOOKUP(Table8[[#This Row],[Country Code]],Table29[],5,FALSE)</f>
        <v>High-income</v>
      </c>
      <c r="AU535" s="233" t="str">
        <f>VLOOKUP(Table8[[#This Row],[Country Code]],Table29[],6,FALSE)</f>
        <v>no</v>
      </c>
      <c r="AV535" s="233" t="str">
        <f>VLOOKUP(Table8[[#This Row],[Country Code]],Table29[],7,FALSE)</f>
        <v>no</v>
      </c>
      <c r="AW535" s="233" t="str">
        <f>VLOOKUP(Table8[[#This Row],[Country Code]],Table29[],8,FALSE)</f>
        <v>OECD</v>
      </c>
      <c r="AX535" s="233" t="str">
        <f>VLOOKUP(Table8[[#This Row],[Country Code]],Table29[],9,FALSE)</f>
        <v>no</v>
      </c>
      <c r="AY535" s="233" t="str">
        <f>VLOOKUP(Table8[[#This Row],[Country Code]],Table29[],10,FALSE)</f>
        <v>no</v>
      </c>
      <c r="AZ535" s="235">
        <f>VLOOKUP(Table8[[#This Row],[Country Code]],Table29[],23,FALSE)</f>
        <v>121.46313217391</v>
      </c>
      <c r="BA535" s="235">
        <f>VLOOKUP(Table8[[#This Row],[Country Code]],Table29[],24,FALSE)</f>
        <v>32.478801178832768</v>
      </c>
      <c r="BB535" s="320"/>
      <c r="BC535" s="320"/>
    </row>
    <row r="536" spans="1:55" ht="45" hidden="1" x14ac:dyDescent="0.25">
      <c r="A536" s="373">
        <v>26776</v>
      </c>
      <c r="B536" s="233" t="str">
        <f>VLOOKUP(Table8[[#This Row],[Document ID]],Table1[],2,FALSE)</f>
        <v>CHL</v>
      </c>
      <c r="C536" s="233" t="str">
        <f>VLOOKUP(Table8[[#This Row],[Document ID]],Table1[],3,FALSE)</f>
        <v>Chile</v>
      </c>
      <c r="D536" s="243" t="str">
        <f>VLOOKUP(Table8[[#This Row],[Document ID]],Table1[],5,FALSE)</f>
        <v>LTS</v>
      </c>
      <c r="E536" s="233" t="str">
        <f>VLOOKUP(Table8[[#This Row],[Document ID]],Table1[],7,FALSE)</f>
        <v>LTS</v>
      </c>
      <c r="F536" s="236" t="str">
        <f>VLOOKUP(Table8[[#This Row],[Document ID]],Table1[],8,FALSE)</f>
        <v>LTS 1.0</v>
      </c>
      <c r="G536" s="236" t="str">
        <f>VLOOKUP(Table8[[#This Row],[Document ID]],Table1[],10,FALSE)</f>
        <v>Active</v>
      </c>
      <c r="H536" s="43" t="s">
        <v>2350</v>
      </c>
      <c r="I536" s="43" t="s">
        <v>2370</v>
      </c>
      <c r="J536" s="44" t="s">
        <v>2511</v>
      </c>
      <c r="K536" s="44" t="s">
        <v>2873</v>
      </c>
      <c r="L536" s="44" t="s">
        <v>2380</v>
      </c>
      <c r="M536" s="43">
        <v>151</v>
      </c>
      <c r="N536" s="113" t="s">
        <v>1113</v>
      </c>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t="s">
        <v>1113</v>
      </c>
      <c r="AM536" s="113"/>
      <c r="AN536" s="113"/>
      <c r="AO536" s="44" t="s">
        <v>2334</v>
      </c>
      <c r="AP536" s="43"/>
      <c r="AQ536" s="236" t="str">
        <f>VLOOKUP(Table8[[#This Row],[Instrument]],Def_Targets!$D$73:$E$159,2,FALSE)</f>
        <v>A_LATM</v>
      </c>
      <c r="AR536" s="233" t="str">
        <f>VLOOKUP(Table8[[#This Row],[Country Code]],Table29[],3,FALSE)</f>
        <v>Non-Annex I</v>
      </c>
      <c r="AS536" s="233" t="str">
        <f>VLOOKUP(Table8[[#This Row],[Country Code]],Table29[],4,FALSE)</f>
        <v>Latin America and the Caribbean</v>
      </c>
      <c r="AT536" s="233" t="str">
        <f>VLOOKUP(Table8[[#This Row],[Country Code]],Table29[],5,FALSE)</f>
        <v>High-income</v>
      </c>
      <c r="AU536" s="233" t="str">
        <f>VLOOKUP(Table8[[#This Row],[Country Code]],Table29[],6,FALSE)</f>
        <v>no</v>
      </c>
      <c r="AV536" s="233" t="str">
        <f>VLOOKUP(Table8[[#This Row],[Country Code]],Table29[],7,FALSE)</f>
        <v>no</v>
      </c>
      <c r="AW536" s="233" t="str">
        <f>VLOOKUP(Table8[[#This Row],[Country Code]],Table29[],8,FALSE)</f>
        <v>OECD</v>
      </c>
      <c r="AX536" s="233" t="str">
        <f>VLOOKUP(Table8[[#This Row],[Country Code]],Table29[],9,FALSE)</f>
        <v>no</v>
      </c>
      <c r="AY536" s="233" t="str">
        <f>VLOOKUP(Table8[[#This Row],[Country Code]],Table29[],10,FALSE)</f>
        <v>no</v>
      </c>
      <c r="AZ536" s="235">
        <f>VLOOKUP(Table8[[#This Row],[Country Code]],Table29[],23,FALSE)</f>
        <v>121.46313217391</v>
      </c>
      <c r="BA536" s="235">
        <f>VLOOKUP(Table8[[#This Row],[Country Code]],Table29[],24,FALSE)</f>
        <v>32.478801178832768</v>
      </c>
      <c r="BB536" s="320"/>
      <c r="BC536" s="320"/>
    </row>
    <row r="537" spans="1:55" ht="45" hidden="1" x14ac:dyDescent="0.25">
      <c r="A537" s="373">
        <v>26776</v>
      </c>
      <c r="B537" s="233" t="str">
        <f>VLOOKUP(Table8[[#This Row],[Document ID]],Table1[],2,FALSE)</f>
        <v>CHL</v>
      </c>
      <c r="C537" s="233" t="str">
        <f>VLOOKUP(Table8[[#This Row],[Document ID]],Table1[],3,FALSE)</f>
        <v>Chile</v>
      </c>
      <c r="D537" s="243" t="str">
        <f>VLOOKUP(Table8[[#This Row],[Document ID]],Table1[],5,FALSE)</f>
        <v>LTS</v>
      </c>
      <c r="E537" s="233" t="str">
        <f>VLOOKUP(Table8[[#This Row],[Document ID]],Table1[],7,FALSE)</f>
        <v>LTS</v>
      </c>
      <c r="F537" s="233" t="str">
        <f>VLOOKUP(Table8[[#This Row],[Document ID]],Table1[],8,FALSE)</f>
        <v>LTS 1.0</v>
      </c>
      <c r="G537" s="233" t="str">
        <f>VLOOKUP(Table8[[#This Row],[Document ID]],Table1[],10,FALSE)</f>
        <v>Active</v>
      </c>
      <c r="H537" s="44" t="s">
        <v>2329</v>
      </c>
      <c r="I537" s="44" t="s">
        <v>2330</v>
      </c>
      <c r="J537" s="44" t="s">
        <v>2331</v>
      </c>
      <c r="K537" s="44" t="s">
        <v>2874</v>
      </c>
      <c r="L537" s="44" t="s">
        <v>2333</v>
      </c>
      <c r="M537" s="43">
        <v>152</v>
      </c>
      <c r="N537" s="113" t="s">
        <v>1113</v>
      </c>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t="s">
        <v>1113</v>
      </c>
      <c r="AM537" s="113" t="s">
        <v>1113</v>
      </c>
      <c r="AN537" s="113" t="s">
        <v>1113</v>
      </c>
      <c r="AO537" s="43" t="s">
        <v>2477</v>
      </c>
      <c r="AP537" s="43"/>
      <c r="AQ537" s="236" t="str">
        <f>VLOOKUP(Table8[[#This Row],[Instrument]],Def_Targets!$D$73:$E$159,2,FALSE)</f>
        <v>I_Altfuels</v>
      </c>
      <c r="AR537" s="233" t="str">
        <f>VLOOKUP(Table8[[#This Row],[Country Code]],Table29[],3,FALSE)</f>
        <v>Non-Annex I</v>
      </c>
      <c r="AS537" s="233" t="str">
        <f>VLOOKUP(Table8[[#This Row],[Country Code]],Table29[],4,FALSE)</f>
        <v>Latin America and the Caribbean</v>
      </c>
      <c r="AT537" s="233" t="str">
        <f>VLOOKUP(Table8[[#This Row],[Country Code]],Table29[],5,FALSE)</f>
        <v>High-income</v>
      </c>
      <c r="AU537" s="233" t="str">
        <f>VLOOKUP(Table8[[#This Row],[Country Code]],Table29[],6,FALSE)</f>
        <v>no</v>
      </c>
      <c r="AV537" s="233" t="str">
        <f>VLOOKUP(Table8[[#This Row],[Country Code]],Table29[],7,FALSE)</f>
        <v>no</v>
      </c>
      <c r="AW537" s="233" t="str">
        <f>VLOOKUP(Table8[[#This Row],[Country Code]],Table29[],8,FALSE)</f>
        <v>OECD</v>
      </c>
      <c r="AX537" s="233" t="str">
        <f>VLOOKUP(Table8[[#This Row],[Country Code]],Table29[],9,FALSE)</f>
        <v>no</v>
      </c>
      <c r="AY537" s="233" t="str">
        <f>VLOOKUP(Table8[[#This Row],[Country Code]],Table29[],10,FALSE)</f>
        <v>no</v>
      </c>
      <c r="AZ537" s="235">
        <f>VLOOKUP(Table8[[#This Row],[Country Code]],Table29[],23,FALSE)</f>
        <v>121.46313217391</v>
      </c>
      <c r="BA537" s="235">
        <f>VLOOKUP(Table8[[#This Row],[Country Code]],Table29[],24,FALSE)</f>
        <v>32.478801178832768</v>
      </c>
      <c r="BB537" s="320"/>
      <c r="BC537" s="320"/>
    </row>
    <row r="538" spans="1:55" ht="60" hidden="1" x14ac:dyDescent="0.25">
      <c r="A538" s="373">
        <v>26776</v>
      </c>
      <c r="B538" s="233" t="str">
        <f>VLOOKUP(Table8[[#This Row],[Document ID]],Table1[],2,FALSE)</f>
        <v>CHL</v>
      </c>
      <c r="C538" s="233" t="str">
        <f>VLOOKUP(Table8[[#This Row],[Document ID]],Table1[],3,FALSE)</f>
        <v>Chile</v>
      </c>
      <c r="D538" s="243" t="str">
        <f>VLOOKUP(Table8[[#This Row],[Document ID]],Table1[],5,FALSE)</f>
        <v>LTS</v>
      </c>
      <c r="E538" s="233" t="str">
        <f>VLOOKUP(Table8[[#This Row],[Document ID]],Table1[],7,FALSE)</f>
        <v>LTS</v>
      </c>
      <c r="F538" s="233" t="str">
        <f>VLOOKUP(Table8[[#This Row],[Document ID]],Table1[],8,FALSE)</f>
        <v>LTS 1.0</v>
      </c>
      <c r="G538" s="233" t="str">
        <f>VLOOKUP(Table8[[#This Row],[Document ID]],Table1[],10,FALSE)</f>
        <v>Active</v>
      </c>
      <c r="H538" s="44" t="s">
        <v>2329</v>
      </c>
      <c r="I538" s="44" t="s">
        <v>2330</v>
      </c>
      <c r="J538" s="44" t="s">
        <v>2391</v>
      </c>
      <c r="K538" s="44" t="s">
        <v>2875</v>
      </c>
      <c r="L538" s="44" t="s">
        <v>2333</v>
      </c>
      <c r="M538" s="43">
        <v>152</v>
      </c>
      <c r="N538" s="113" t="s">
        <v>1113</v>
      </c>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t="s">
        <v>1113</v>
      </c>
      <c r="AM538" s="113"/>
      <c r="AN538" s="113"/>
      <c r="AO538" s="43" t="s">
        <v>2353</v>
      </c>
      <c r="AP538" s="43"/>
      <c r="AQ538" s="236" t="str">
        <f>VLOOKUP(Table8[[#This Row],[Instrument]],Def_Targets!$D$73:$E$159,2,FALSE)</f>
        <v>I_Hydrogen</v>
      </c>
      <c r="AR538" s="233" t="str">
        <f>VLOOKUP(Table8[[#This Row],[Country Code]],Table29[],3,FALSE)</f>
        <v>Non-Annex I</v>
      </c>
      <c r="AS538" s="233" t="str">
        <f>VLOOKUP(Table8[[#This Row],[Country Code]],Table29[],4,FALSE)</f>
        <v>Latin America and the Caribbean</v>
      </c>
      <c r="AT538" s="233" t="str">
        <f>VLOOKUP(Table8[[#This Row],[Country Code]],Table29[],5,FALSE)</f>
        <v>High-income</v>
      </c>
      <c r="AU538" s="233" t="str">
        <f>VLOOKUP(Table8[[#This Row],[Country Code]],Table29[],6,FALSE)</f>
        <v>no</v>
      </c>
      <c r="AV538" s="233" t="str">
        <f>VLOOKUP(Table8[[#This Row],[Country Code]],Table29[],7,FALSE)</f>
        <v>no</v>
      </c>
      <c r="AW538" s="233" t="str">
        <f>VLOOKUP(Table8[[#This Row],[Country Code]],Table29[],8,FALSE)</f>
        <v>OECD</v>
      </c>
      <c r="AX538" s="233" t="str">
        <f>VLOOKUP(Table8[[#This Row],[Country Code]],Table29[],9,FALSE)</f>
        <v>no</v>
      </c>
      <c r="AY538" s="233" t="str">
        <f>VLOOKUP(Table8[[#This Row],[Country Code]],Table29[],10,FALSE)</f>
        <v>no</v>
      </c>
      <c r="AZ538" s="235">
        <f>VLOOKUP(Table8[[#This Row],[Country Code]],Table29[],23,FALSE)</f>
        <v>121.46313217391</v>
      </c>
      <c r="BA538" s="235">
        <f>VLOOKUP(Table8[[#This Row],[Country Code]],Table29[],24,FALSE)</f>
        <v>32.478801178832768</v>
      </c>
      <c r="BB538" s="320"/>
      <c r="BC538" s="320"/>
    </row>
    <row r="539" spans="1:55" ht="60" hidden="1" x14ac:dyDescent="0.25">
      <c r="A539" s="373">
        <v>26776</v>
      </c>
      <c r="B539" s="233" t="str">
        <f>VLOOKUP(Table8[[#This Row],[Document ID]],Table1[],2,FALSE)</f>
        <v>CHL</v>
      </c>
      <c r="C539" s="233" t="str">
        <f>VLOOKUP(Table8[[#This Row],[Document ID]],Table1[],3,FALSE)</f>
        <v>Chile</v>
      </c>
      <c r="D539" s="243" t="str">
        <f>VLOOKUP(Table8[[#This Row],[Document ID]],Table1[],5,FALSE)</f>
        <v>LTS</v>
      </c>
      <c r="E539" s="233" t="str">
        <f>VLOOKUP(Table8[[#This Row],[Document ID]],Table1[],7,FALSE)</f>
        <v>LTS</v>
      </c>
      <c r="F539" s="233" t="str">
        <f>VLOOKUP(Table8[[#This Row],[Document ID]],Table1[],8,FALSE)</f>
        <v>LTS 1.0</v>
      </c>
      <c r="G539" s="233" t="str">
        <f>VLOOKUP(Table8[[#This Row],[Document ID]],Table1[],10,FALSE)</f>
        <v>Active</v>
      </c>
      <c r="H539" s="43" t="s">
        <v>2343</v>
      </c>
      <c r="I539" s="43" t="s">
        <v>2429</v>
      </c>
      <c r="J539" s="44" t="s">
        <v>2610</v>
      </c>
      <c r="K539" s="44" t="s">
        <v>2876</v>
      </c>
      <c r="L539" s="44" t="s">
        <v>2373</v>
      </c>
      <c r="M539" s="43">
        <v>152</v>
      </c>
      <c r="N539" s="113" t="s">
        <v>1113</v>
      </c>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t="s">
        <v>1113</v>
      </c>
      <c r="AM539" s="113"/>
      <c r="AN539" s="113"/>
      <c r="AO539" s="44" t="s">
        <v>2334</v>
      </c>
      <c r="AP539" s="43"/>
      <c r="AQ539" s="236" t="e">
        <f>VLOOKUP(Table8[[#This Row],[Instrument]],Def_Targets!$D$73:$E$159,2,FALSE)</f>
        <v>#N/A</v>
      </c>
      <c r="AR539" s="233" t="str">
        <f>VLOOKUP(Table8[[#This Row],[Country Code]],Table29[],3,FALSE)</f>
        <v>Non-Annex I</v>
      </c>
      <c r="AS539" s="233" t="str">
        <f>VLOOKUP(Table8[[#This Row],[Country Code]],Table29[],4,FALSE)</f>
        <v>Latin America and the Caribbean</v>
      </c>
      <c r="AT539" s="233" t="str">
        <f>VLOOKUP(Table8[[#This Row],[Country Code]],Table29[],5,FALSE)</f>
        <v>High-income</v>
      </c>
      <c r="AU539" s="233" t="str">
        <f>VLOOKUP(Table8[[#This Row],[Country Code]],Table29[],6,FALSE)</f>
        <v>no</v>
      </c>
      <c r="AV539" s="233" t="str">
        <f>VLOOKUP(Table8[[#This Row],[Country Code]],Table29[],7,FALSE)</f>
        <v>no</v>
      </c>
      <c r="AW539" s="233" t="str">
        <f>VLOOKUP(Table8[[#This Row],[Country Code]],Table29[],8,FALSE)</f>
        <v>OECD</v>
      </c>
      <c r="AX539" s="233" t="str">
        <f>VLOOKUP(Table8[[#This Row],[Country Code]],Table29[],9,FALSE)</f>
        <v>no</v>
      </c>
      <c r="AY539" s="233" t="str">
        <f>VLOOKUP(Table8[[#This Row],[Country Code]],Table29[],10,FALSE)</f>
        <v>no</v>
      </c>
      <c r="AZ539" s="235">
        <f>VLOOKUP(Table8[[#This Row],[Country Code]],Table29[],23,FALSE)</f>
        <v>121.46313217391</v>
      </c>
      <c r="BA539" s="235">
        <f>VLOOKUP(Table8[[#This Row],[Country Code]],Table29[],24,FALSE)</f>
        <v>32.478801178832768</v>
      </c>
      <c r="BB539" s="320"/>
      <c r="BC539" s="320"/>
    </row>
    <row r="540" spans="1:55" ht="30" hidden="1" x14ac:dyDescent="0.25">
      <c r="A540" s="373">
        <v>26776</v>
      </c>
      <c r="B540" s="233" t="str">
        <f>VLOOKUP(Table8[[#This Row],[Document ID]],Table1[],2,FALSE)</f>
        <v>CHL</v>
      </c>
      <c r="C540" s="233" t="str">
        <f>VLOOKUP(Table8[[#This Row],[Document ID]],Table1[],3,FALSE)</f>
        <v>Chile</v>
      </c>
      <c r="D540" s="243" t="str">
        <f>VLOOKUP(Table8[[#This Row],[Document ID]],Table1[],5,FALSE)</f>
        <v>LTS</v>
      </c>
      <c r="E540" s="233" t="str">
        <f>VLOOKUP(Table8[[#This Row],[Document ID]],Table1[],7,FALSE)</f>
        <v>LTS</v>
      </c>
      <c r="F540" s="233" t="str">
        <f>VLOOKUP(Table8[[#This Row],[Document ID]],Table1[],8,FALSE)</f>
        <v>LTS 1.0</v>
      </c>
      <c r="G540" s="233" t="str">
        <f>VLOOKUP(Table8[[#This Row],[Document ID]],Table1[],10,FALSE)</f>
        <v>Active</v>
      </c>
      <c r="H540" s="44" t="s">
        <v>2338</v>
      </c>
      <c r="I540" s="44" t="s">
        <v>2339</v>
      </c>
      <c r="J540" s="44" t="s">
        <v>2340</v>
      </c>
      <c r="K540" s="44" t="s">
        <v>2877</v>
      </c>
      <c r="L540" s="44" t="s">
        <v>2373</v>
      </c>
      <c r="M540" s="43">
        <v>152</v>
      </c>
      <c r="N540" s="113" t="s">
        <v>1113</v>
      </c>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t="s">
        <v>1113</v>
      </c>
      <c r="AL540" s="113"/>
      <c r="AM540" s="113"/>
      <c r="AN540" s="113"/>
      <c r="AO540" s="44" t="s">
        <v>2334</v>
      </c>
      <c r="AP540" s="43"/>
      <c r="AQ540" s="236" t="str">
        <f>VLOOKUP(Table8[[#This Row],[Instrument]],Def_Targets!$D$73:$E$159,2,FALSE)</f>
        <v>I_Vehicleimprove</v>
      </c>
      <c r="AR540" s="233" t="str">
        <f>VLOOKUP(Table8[[#This Row],[Country Code]],Table29[],3,FALSE)</f>
        <v>Non-Annex I</v>
      </c>
      <c r="AS540" s="233" t="str">
        <f>VLOOKUP(Table8[[#This Row],[Country Code]],Table29[],4,FALSE)</f>
        <v>Latin America and the Caribbean</v>
      </c>
      <c r="AT540" s="233" t="str">
        <f>VLOOKUP(Table8[[#This Row],[Country Code]],Table29[],5,FALSE)</f>
        <v>High-income</v>
      </c>
      <c r="AU540" s="233" t="str">
        <f>VLOOKUP(Table8[[#This Row],[Country Code]],Table29[],6,FALSE)</f>
        <v>no</v>
      </c>
      <c r="AV540" s="233" t="str">
        <f>VLOOKUP(Table8[[#This Row],[Country Code]],Table29[],7,FALSE)</f>
        <v>no</v>
      </c>
      <c r="AW540" s="233" t="str">
        <f>VLOOKUP(Table8[[#This Row],[Country Code]],Table29[],8,FALSE)</f>
        <v>OECD</v>
      </c>
      <c r="AX540" s="233" t="str">
        <f>VLOOKUP(Table8[[#This Row],[Country Code]],Table29[],9,FALSE)</f>
        <v>no</v>
      </c>
      <c r="AY540" s="233" t="str">
        <f>VLOOKUP(Table8[[#This Row],[Country Code]],Table29[],10,FALSE)</f>
        <v>no</v>
      </c>
      <c r="AZ540" s="235">
        <f>VLOOKUP(Table8[[#This Row],[Country Code]],Table29[],23,FALSE)</f>
        <v>121.46313217391</v>
      </c>
      <c r="BA540" s="235">
        <f>VLOOKUP(Table8[[#This Row],[Country Code]],Table29[],24,FALSE)</f>
        <v>32.478801178832768</v>
      </c>
      <c r="BB540" s="320"/>
      <c r="BC540" s="320"/>
    </row>
    <row r="541" spans="1:55" ht="30" hidden="1" x14ac:dyDescent="0.25">
      <c r="A541" s="373">
        <v>26776</v>
      </c>
      <c r="B541" s="233" t="str">
        <f>VLOOKUP(Table8[[#This Row],[Document ID]],Table1[],2,FALSE)</f>
        <v>CHL</v>
      </c>
      <c r="C541" s="233" t="str">
        <f>VLOOKUP(Table8[[#This Row],[Document ID]],Table1[],3,FALSE)</f>
        <v>Chile</v>
      </c>
      <c r="D541" s="243" t="str">
        <f>VLOOKUP(Table8[[#This Row],[Document ID]],Table1[],5,FALSE)</f>
        <v>LTS</v>
      </c>
      <c r="E541" s="233" t="str">
        <f>VLOOKUP(Table8[[#This Row],[Document ID]],Table1[],7,FALSE)</f>
        <v>LTS</v>
      </c>
      <c r="F541" s="233" t="str">
        <f>VLOOKUP(Table8[[#This Row],[Document ID]],Table1[],8,FALSE)</f>
        <v>LTS 1.0</v>
      </c>
      <c r="G541" s="233" t="str">
        <f>VLOOKUP(Table8[[#This Row],[Document ID]],Table1[],10,FALSE)</f>
        <v>Active</v>
      </c>
      <c r="H541" s="43" t="s">
        <v>2358</v>
      </c>
      <c r="I541" s="43" t="s">
        <v>2359</v>
      </c>
      <c r="J541" s="44" t="s">
        <v>2360</v>
      </c>
      <c r="K541" s="44" t="s">
        <v>2878</v>
      </c>
      <c r="L541" s="44" t="s">
        <v>2333</v>
      </c>
      <c r="M541" s="43">
        <v>152</v>
      </c>
      <c r="N541" s="113" t="s">
        <v>1113</v>
      </c>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t="s">
        <v>1113</v>
      </c>
      <c r="AM541" s="113"/>
      <c r="AN541" s="113"/>
      <c r="AO541" s="44" t="s">
        <v>2334</v>
      </c>
      <c r="AP541" s="43"/>
      <c r="AQ541" s="236" t="str">
        <f>VLOOKUP(Table8[[#This Row],[Instrument]],Def_Targets!$D$73:$E$159,2,FALSE)</f>
        <v>I_Emobility</v>
      </c>
      <c r="AR541" s="233" t="str">
        <f>VLOOKUP(Table8[[#This Row],[Country Code]],Table29[],3,FALSE)</f>
        <v>Non-Annex I</v>
      </c>
      <c r="AS541" s="233" t="str">
        <f>VLOOKUP(Table8[[#This Row],[Country Code]],Table29[],4,FALSE)</f>
        <v>Latin America and the Caribbean</v>
      </c>
      <c r="AT541" s="233" t="str">
        <f>VLOOKUP(Table8[[#This Row],[Country Code]],Table29[],5,FALSE)</f>
        <v>High-income</v>
      </c>
      <c r="AU541" s="233" t="str">
        <f>VLOOKUP(Table8[[#This Row],[Country Code]],Table29[],6,FALSE)</f>
        <v>no</v>
      </c>
      <c r="AV541" s="233" t="str">
        <f>VLOOKUP(Table8[[#This Row],[Country Code]],Table29[],7,FALSE)</f>
        <v>no</v>
      </c>
      <c r="AW541" s="233" t="str">
        <f>VLOOKUP(Table8[[#This Row],[Country Code]],Table29[],8,FALSE)</f>
        <v>OECD</v>
      </c>
      <c r="AX541" s="233" t="str">
        <f>VLOOKUP(Table8[[#This Row],[Country Code]],Table29[],9,FALSE)</f>
        <v>no</v>
      </c>
      <c r="AY541" s="233" t="str">
        <f>VLOOKUP(Table8[[#This Row],[Country Code]],Table29[],10,FALSE)</f>
        <v>no</v>
      </c>
      <c r="AZ541" s="235">
        <f>VLOOKUP(Table8[[#This Row],[Country Code]],Table29[],23,FALSE)</f>
        <v>121.46313217391</v>
      </c>
      <c r="BA541" s="235">
        <f>VLOOKUP(Table8[[#This Row],[Country Code]],Table29[],24,FALSE)</f>
        <v>32.478801178832768</v>
      </c>
      <c r="BB541" s="320"/>
      <c r="BC541" s="320"/>
    </row>
    <row r="542" spans="1:55" ht="30" hidden="1" x14ac:dyDescent="0.25">
      <c r="A542" s="373">
        <v>26776</v>
      </c>
      <c r="B542" s="233" t="str">
        <f>VLOOKUP(Table8[[#This Row],[Document ID]],Table1[],2,FALSE)</f>
        <v>CHL</v>
      </c>
      <c r="C542" s="233" t="str">
        <f>VLOOKUP(Table8[[#This Row],[Document ID]],Table1[],3,FALSE)</f>
        <v>Chile</v>
      </c>
      <c r="D542" s="243" t="str">
        <f>VLOOKUP(Table8[[#This Row],[Document ID]],Table1[],5,FALSE)</f>
        <v>LTS</v>
      </c>
      <c r="E542" s="233" t="str">
        <f>VLOOKUP(Table8[[#This Row],[Document ID]],Table1[],7,FALSE)</f>
        <v>LTS</v>
      </c>
      <c r="F542" s="233" t="str">
        <f>VLOOKUP(Table8[[#This Row],[Document ID]],Table1[],8,FALSE)</f>
        <v>LTS 1.0</v>
      </c>
      <c r="G542" s="233" t="str">
        <f>VLOOKUP(Table8[[#This Row],[Document ID]],Table1[],10,FALSE)</f>
        <v>Active</v>
      </c>
      <c r="H542" s="43" t="s">
        <v>2358</v>
      </c>
      <c r="I542" s="43" t="s">
        <v>2359</v>
      </c>
      <c r="J542" s="44" t="s">
        <v>2360</v>
      </c>
      <c r="K542" s="44" t="s">
        <v>2879</v>
      </c>
      <c r="L542" s="44" t="s">
        <v>2333</v>
      </c>
      <c r="M542" s="43">
        <v>152</v>
      </c>
      <c r="N542" s="113"/>
      <c r="O542" s="113"/>
      <c r="P542" s="113"/>
      <c r="Q542" s="113"/>
      <c r="R542" s="113"/>
      <c r="S542" s="113"/>
      <c r="T542" s="113"/>
      <c r="U542" s="113"/>
      <c r="V542" s="113"/>
      <c r="W542" s="113" t="s">
        <v>1113</v>
      </c>
      <c r="X542" s="113"/>
      <c r="Y542" s="113" t="s">
        <v>1113</v>
      </c>
      <c r="Z542" s="113"/>
      <c r="AA542" s="113"/>
      <c r="AB542" s="113"/>
      <c r="AC542" s="113"/>
      <c r="AD542" s="113"/>
      <c r="AE542" s="113"/>
      <c r="AF542" s="113"/>
      <c r="AG542" s="113"/>
      <c r="AH542" s="113"/>
      <c r="AI542" s="113"/>
      <c r="AJ542" s="113"/>
      <c r="AK542" s="113"/>
      <c r="AL542" s="113" t="s">
        <v>1113</v>
      </c>
      <c r="AM542" s="113"/>
      <c r="AN542" s="113"/>
      <c r="AO542" s="44" t="s">
        <v>2334</v>
      </c>
      <c r="AP542" s="43"/>
      <c r="AQ542" s="236" t="str">
        <f>VLOOKUP(Table8[[#This Row],[Instrument]],Def_Targets!$D$73:$E$159,2,FALSE)</f>
        <v>I_Emobility</v>
      </c>
      <c r="AR542" s="233" t="str">
        <f>VLOOKUP(Table8[[#This Row],[Country Code]],Table29[],3,FALSE)</f>
        <v>Non-Annex I</v>
      </c>
      <c r="AS542" s="233" t="str">
        <f>VLOOKUP(Table8[[#This Row],[Country Code]],Table29[],4,FALSE)</f>
        <v>Latin America and the Caribbean</v>
      </c>
      <c r="AT542" s="233" t="str">
        <f>VLOOKUP(Table8[[#This Row],[Country Code]],Table29[],5,FALSE)</f>
        <v>High-income</v>
      </c>
      <c r="AU542" s="233" t="str">
        <f>VLOOKUP(Table8[[#This Row],[Country Code]],Table29[],6,FALSE)</f>
        <v>no</v>
      </c>
      <c r="AV542" s="233" t="str">
        <f>VLOOKUP(Table8[[#This Row],[Country Code]],Table29[],7,FALSE)</f>
        <v>no</v>
      </c>
      <c r="AW542" s="233" t="str">
        <f>VLOOKUP(Table8[[#This Row],[Country Code]],Table29[],8,FALSE)</f>
        <v>OECD</v>
      </c>
      <c r="AX542" s="233" t="str">
        <f>VLOOKUP(Table8[[#This Row],[Country Code]],Table29[],9,FALSE)</f>
        <v>no</v>
      </c>
      <c r="AY542" s="233" t="str">
        <f>VLOOKUP(Table8[[#This Row],[Country Code]],Table29[],10,FALSE)</f>
        <v>no</v>
      </c>
      <c r="AZ542" s="235">
        <f>VLOOKUP(Table8[[#This Row],[Country Code]],Table29[],23,FALSE)</f>
        <v>121.46313217391</v>
      </c>
      <c r="BA542" s="235">
        <f>VLOOKUP(Table8[[#This Row],[Country Code]],Table29[],24,FALSE)</f>
        <v>32.478801178832768</v>
      </c>
      <c r="BB542" s="320"/>
      <c r="BC542" s="320"/>
    </row>
    <row r="543" spans="1:55" ht="30" hidden="1" x14ac:dyDescent="0.25">
      <c r="A543" s="373">
        <v>26776</v>
      </c>
      <c r="B543" s="233" t="str">
        <f>VLOOKUP(Table8[[#This Row],[Document ID]],Table1[],2,FALSE)</f>
        <v>CHL</v>
      </c>
      <c r="C543" s="233" t="str">
        <f>VLOOKUP(Table8[[#This Row],[Document ID]],Table1[],3,FALSE)</f>
        <v>Chile</v>
      </c>
      <c r="D543" s="243" t="str">
        <f>VLOOKUP(Table8[[#This Row],[Document ID]],Table1[],5,FALSE)</f>
        <v>LTS</v>
      </c>
      <c r="E543" s="233" t="str">
        <f>VLOOKUP(Table8[[#This Row],[Document ID]],Table1[],7,FALSE)</f>
        <v>LTS</v>
      </c>
      <c r="F543" s="233" t="str">
        <f>VLOOKUP(Table8[[#This Row],[Document ID]],Table1[],8,FALSE)</f>
        <v>LTS 1.0</v>
      </c>
      <c r="G543" s="233" t="str">
        <f>VLOOKUP(Table8[[#This Row],[Document ID]],Table1[],10,FALSE)</f>
        <v>Active</v>
      </c>
      <c r="H543" s="43" t="s">
        <v>2358</v>
      </c>
      <c r="I543" s="43" t="s">
        <v>2359</v>
      </c>
      <c r="J543" s="44" t="s">
        <v>2360</v>
      </c>
      <c r="K543" s="44" t="s">
        <v>2880</v>
      </c>
      <c r="L543" s="44" t="s">
        <v>2333</v>
      </c>
      <c r="M543" s="43">
        <v>152</v>
      </c>
      <c r="N543" s="113" t="s">
        <v>1113</v>
      </c>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t="s">
        <v>1113</v>
      </c>
      <c r="AL543" s="113"/>
      <c r="AM543" s="113"/>
      <c r="AN543" s="113"/>
      <c r="AO543" s="43" t="s">
        <v>2353</v>
      </c>
      <c r="AP543" s="43"/>
      <c r="AQ543" s="236" t="str">
        <f>VLOOKUP(Table8[[#This Row],[Instrument]],Def_Targets!$D$73:$E$159,2,FALSE)</f>
        <v>I_Emobility</v>
      </c>
      <c r="AR543" s="233" t="str">
        <f>VLOOKUP(Table8[[#This Row],[Country Code]],Table29[],3,FALSE)</f>
        <v>Non-Annex I</v>
      </c>
      <c r="AS543" s="233" t="str">
        <f>VLOOKUP(Table8[[#This Row],[Country Code]],Table29[],4,FALSE)</f>
        <v>Latin America and the Caribbean</v>
      </c>
      <c r="AT543" s="233" t="str">
        <f>VLOOKUP(Table8[[#This Row],[Country Code]],Table29[],5,FALSE)</f>
        <v>High-income</v>
      </c>
      <c r="AU543" s="233" t="str">
        <f>VLOOKUP(Table8[[#This Row],[Country Code]],Table29[],6,FALSE)</f>
        <v>no</v>
      </c>
      <c r="AV543" s="233" t="str">
        <f>VLOOKUP(Table8[[#This Row],[Country Code]],Table29[],7,FALSE)</f>
        <v>no</v>
      </c>
      <c r="AW543" s="233" t="str">
        <f>VLOOKUP(Table8[[#This Row],[Country Code]],Table29[],8,FALSE)</f>
        <v>OECD</v>
      </c>
      <c r="AX543" s="233" t="str">
        <f>VLOOKUP(Table8[[#This Row],[Country Code]],Table29[],9,FALSE)</f>
        <v>no</v>
      </c>
      <c r="AY543" s="233" t="str">
        <f>VLOOKUP(Table8[[#This Row],[Country Code]],Table29[],10,FALSE)</f>
        <v>no</v>
      </c>
      <c r="AZ543" s="235">
        <f>VLOOKUP(Table8[[#This Row],[Country Code]],Table29[],23,FALSE)</f>
        <v>121.46313217391</v>
      </c>
      <c r="BA543" s="235">
        <f>VLOOKUP(Table8[[#This Row],[Country Code]],Table29[],24,FALSE)</f>
        <v>32.478801178832768</v>
      </c>
      <c r="BB543" s="320"/>
      <c r="BC543" s="320"/>
    </row>
    <row r="544" spans="1:55" ht="30" hidden="1" x14ac:dyDescent="0.25">
      <c r="A544" s="373">
        <v>26776</v>
      </c>
      <c r="B544" s="233" t="str">
        <f>VLOOKUP(Table8[[#This Row],[Document ID]],Table1[],2,FALSE)</f>
        <v>CHL</v>
      </c>
      <c r="C544" s="233" t="str">
        <f>VLOOKUP(Table8[[#This Row],[Document ID]],Table1[],3,FALSE)</f>
        <v>Chile</v>
      </c>
      <c r="D544" s="243" t="str">
        <f>VLOOKUP(Table8[[#This Row],[Document ID]],Table1[],5,FALSE)</f>
        <v>LTS</v>
      </c>
      <c r="E544" s="233" t="str">
        <f>VLOOKUP(Table8[[#This Row],[Document ID]],Table1[],7,FALSE)</f>
        <v>LTS</v>
      </c>
      <c r="F544" s="233" t="str">
        <f>VLOOKUP(Table8[[#This Row],[Document ID]],Table1[],8,FALSE)</f>
        <v>LTS 1.0</v>
      </c>
      <c r="G544" s="233" t="str">
        <f>VLOOKUP(Table8[[#This Row],[Document ID]],Table1[],10,FALSE)</f>
        <v>Active</v>
      </c>
      <c r="H544" s="43" t="s">
        <v>2358</v>
      </c>
      <c r="I544" s="43" t="s">
        <v>2359</v>
      </c>
      <c r="J544" s="44" t="s">
        <v>2360</v>
      </c>
      <c r="K544" s="44" t="s">
        <v>2881</v>
      </c>
      <c r="L544" s="44" t="s">
        <v>2333</v>
      </c>
      <c r="M544" s="43">
        <v>159</v>
      </c>
      <c r="N544" s="113" t="s">
        <v>1113</v>
      </c>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c r="AJ544" s="113"/>
      <c r="AK544" s="113" t="s">
        <v>1113</v>
      </c>
      <c r="AL544" s="113"/>
      <c r="AM544" s="113"/>
      <c r="AN544" s="113"/>
      <c r="AO544" s="44" t="s">
        <v>2334</v>
      </c>
      <c r="AP544" s="43"/>
      <c r="AQ544" s="236" t="str">
        <f>VLOOKUP(Table8[[#This Row],[Instrument]],Def_Targets!$D$73:$E$159,2,FALSE)</f>
        <v>I_Emobility</v>
      </c>
      <c r="AR544" s="233" t="str">
        <f>VLOOKUP(Table8[[#This Row],[Country Code]],Table29[],3,FALSE)</f>
        <v>Non-Annex I</v>
      </c>
      <c r="AS544" s="233" t="str">
        <f>VLOOKUP(Table8[[#This Row],[Country Code]],Table29[],4,FALSE)</f>
        <v>Latin America and the Caribbean</v>
      </c>
      <c r="AT544" s="233" t="str">
        <f>VLOOKUP(Table8[[#This Row],[Country Code]],Table29[],5,FALSE)</f>
        <v>High-income</v>
      </c>
      <c r="AU544" s="233" t="str">
        <f>VLOOKUP(Table8[[#This Row],[Country Code]],Table29[],6,FALSE)</f>
        <v>no</v>
      </c>
      <c r="AV544" s="233" t="str">
        <f>VLOOKUP(Table8[[#This Row],[Country Code]],Table29[],7,FALSE)</f>
        <v>no</v>
      </c>
      <c r="AW544" s="233" t="str">
        <f>VLOOKUP(Table8[[#This Row],[Country Code]],Table29[],8,FALSE)</f>
        <v>OECD</v>
      </c>
      <c r="AX544" s="233" t="str">
        <f>VLOOKUP(Table8[[#This Row],[Country Code]],Table29[],9,FALSE)</f>
        <v>no</v>
      </c>
      <c r="AY544" s="233" t="str">
        <f>VLOOKUP(Table8[[#This Row],[Country Code]],Table29[],10,FALSE)</f>
        <v>no</v>
      </c>
      <c r="AZ544" s="235">
        <f>VLOOKUP(Table8[[#This Row],[Country Code]],Table29[],23,FALSE)</f>
        <v>121.46313217391</v>
      </c>
      <c r="BA544" s="235">
        <f>VLOOKUP(Table8[[#This Row],[Country Code]],Table29[],24,FALSE)</f>
        <v>32.478801178832768</v>
      </c>
      <c r="BB544" s="320"/>
      <c r="BC544" s="320"/>
    </row>
    <row r="545" spans="1:55" ht="60" hidden="1" x14ac:dyDescent="0.25">
      <c r="A545" s="373">
        <v>24705</v>
      </c>
      <c r="B545" s="233" t="str">
        <f>VLOOKUP(Table8[[#This Row],[Document ID]],Table1[],2,FALSE)</f>
        <v>CHN</v>
      </c>
      <c r="C545" s="233" t="str">
        <f>VLOOKUP(Table8[[#This Row],[Document ID]],Table1[],3,FALSE)</f>
        <v>China</v>
      </c>
      <c r="D545" s="243" t="str">
        <f>VLOOKUP(Table8[[#This Row],[Document ID]],Table1[],5,FALSE)</f>
        <v>LTS</v>
      </c>
      <c r="E545" s="233" t="str">
        <f>VLOOKUP(Table8[[#This Row],[Document ID]],Table1[],7,FALSE)</f>
        <v>LTS</v>
      </c>
      <c r="F545" s="233" t="str">
        <f>VLOOKUP(Table8[[#This Row],[Document ID]],Table1[],8,FALSE)</f>
        <v>LTS 1.0</v>
      </c>
      <c r="G545" s="233" t="str">
        <f>VLOOKUP(Table8[[#This Row],[Document ID]],Table1[],10,FALSE)</f>
        <v>Active</v>
      </c>
      <c r="H545" s="43" t="s">
        <v>2350</v>
      </c>
      <c r="I545" s="43" t="s">
        <v>2370</v>
      </c>
      <c r="J545" s="44" t="s">
        <v>2418</v>
      </c>
      <c r="K545" s="44" t="s">
        <v>2882</v>
      </c>
      <c r="L545" s="44" t="s">
        <v>2373</v>
      </c>
      <c r="M545" s="43">
        <v>19</v>
      </c>
      <c r="N545" s="113"/>
      <c r="O545" s="113"/>
      <c r="P545" s="113"/>
      <c r="Q545" s="113"/>
      <c r="R545" s="113"/>
      <c r="S545" s="113" t="s">
        <v>1113</v>
      </c>
      <c r="T545" s="113"/>
      <c r="U545" s="113"/>
      <c r="V545" s="113"/>
      <c r="W545" s="113"/>
      <c r="X545" s="113"/>
      <c r="Y545" s="113"/>
      <c r="Z545" s="113" t="s">
        <v>1113</v>
      </c>
      <c r="AA545" s="113"/>
      <c r="AB545" s="113"/>
      <c r="AC545" s="113"/>
      <c r="AD545" s="113" t="s">
        <v>1113</v>
      </c>
      <c r="AE545" s="113"/>
      <c r="AF545" s="113"/>
      <c r="AG545" s="113"/>
      <c r="AH545" s="113" t="s">
        <v>1113</v>
      </c>
      <c r="AI545" s="113"/>
      <c r="AJ545" s="113"/>
      <c r="AK545" s="113" t="s">
        <v>1113</v>
      </c>
      <c r="AL545" s="113"/>
      <c r="AM545" s="113"/>
      <c r="AN545" s="113"/>
      <c r="AO545" s="44" t="s">
        <v>2334</v>
      </c>
      <c r="AP545" s="43"/>
      <c r="AQ545" s="236" t="str">
        <f>VLOOKUP(Table8[[#This Row],[Instrument]],Def_Targets!$D$73:$E$159,2,FALSE)</f>
        <v>A_Complan</v>
      </c>
      <c r="AR545" s="233" t="str">
        <f>VLOOKUP(Table8[[#This Row],[Country Code]],Table29[],3,FALSE)</f>
        <v>Non-Annex I</v>
      </c>
      <c r="AS545" s="233" t="str">
        <f>VLOOKUP(Table8[[#This Row],[Country Code]],Table29[],4,FALSE)</f>
        <v>Asia</v>
      </c>
      <c r="AT545" s="233" t="str">
        <f>VLOOKUP(Table8[[#This Row],[Country Code]],Table29[],5,FALSE)</f>
        <v>Middle-income</v>
      </c>
      <c r="AU545" s="233" t="str">
        <f>VLOOKUP(Table8[[#This Row],[Country Code]],Table29[],6,FALSE)</f>
        <v>G20</v>
      </c>
      <c r="AV545" s="233" t="str">
        <f>VLOOKUP(Table8[[#This Row],[Country Code]],Table29[],7,FALSE)</f>
        <v>no</v>
      </c>
      <c r="AW545" s="233" t="str">
        <f>VLOOKUP(Table8[[#This Row],[Country Code]],Table29[],8,FALSE)</f>
        <v>non-OECD</v>
      </c>
      <c r="AX545" s="233" t="str">
        <f>VLOOKUP(Table8[[#This Row],[Country Code]],Table29[],9,FALSE)</f>
        <v>no</v>
      </c>
      <c r="AY545" s="233" t="str">
        <f>VLOOKUP(Table8[[#This Row],[Country Code]],Table29[],10,FALSE)</f>
        <v>no</v>
      </c>
      <c r="AZ545" s="235">
        <f>VLOOKUP(Table8[[#This Row],[Country Code]],Table29[],23,FALSE)</f>
        <v>15943.986552905</v>
      </c>
      <c r="BA545" s="235">
        <f>VLOOKUP(Table8[[#This Row],[Country Code]],Table29[],24,FALSE)</f>
        <v>1110.1781062864729</v>
      </c>
      <c r="BB545" s="320"/>
      <c r="BC545" s="320"/>
    </row>
    <row r="546" spans="1:55" ht="75" hidden="1" x14ac:dyDescent="0.25">
      <c r="A546" s="373">
        <v>24705</v>
      </c>
      <c r="B546" s="233" t="str">
        <f>VLOOKUP(Table8[[#This Row],[Document ID]],Table1[],2,FALSE)</f>
        <v>CHN</v>
      </c>
      <c r="C546" s="233" t="str">
        <f>VLOOKUP(Table8[[#This Row],[Document ID]],Table1[],3,FALSE)</f>
        <v>China</v>
      </c>
      <c r="D546" s="243" t="str">
        <f>VLOOKUP(Table8[[#This Row],[Document ID]],Table1[],5,FALSE)</f>
        <v>LTS</v>
      </c>
      <c r="E546" s="233" t="str">
        <f>VLOOKUP(Table8[[#This Row],[Document ID]],Table1[],7,FALSE)</f>
        <v>LTS</v>
      </c>
      <c r="F546" s="233" t="str">
        <f>VLOOKUP(Table8[[#This Row],[Document ID]],Table1[],8,FALSE)</f>
        <v>LTS 1.0</v>
      </c>
      <c r="G546" s="233" t="str">
        <f>VLOOKUP(Table8[[#This Row],[Document ID]],Table1[],10,FALSE)</f>
        <v>Active</v>
      </c>
      <c r="H546" s="43" t="s">
        <v>2350</v>
      </c>
      <c r="I546" s="43" t="s">
        <v>2351</v>
      </c>
      <c r="J546" s="44" t="s">
        <v>2352</v>
      </c>
      <c r="K546" s="44" t="s">
        <v>2883</v>
      </c>
      <c r="L546" s="44" t="s">
        <v>2347</v>
      </c>
      <c r="M546" s="43">
        <v>19</v>
      </c>
      <c r="N546" s="113"/>
      <c r="O546" s="113"/>
      <c r="P546" s="113"/>
      <c r="Q546" s="113"/>
      <c r="R546" s="113"/>
      <c r="S546" s="113"/>
      <c r="T546" s="113"/>
      <c r="U546" s="113"/>
      <c r="V546" s="113"/>
      <c r="W546" s="113"/>
      <c r="X546" s="113"/>
      <c r="Y546" s="113"/>
      <c r="Z546" s="113" t="s">
        <v>1113</v>
      </c>
      <c r="AA546" s="113"/>
      <c r="AB546" s="113"/>
      <c r="AC546" s="113"/>
      <c r="AD546" s="113"/>
      <c r="AE546" s="113" t="s">
        <v>1113</v>
      </c>
      <c r="AF546" s="113" t="s">
        <v>1113</v>
      </c>
      <c r="AG546" s="113"/>
      <c r="AH546" s="113"/>
      <c r="AI546" s="113"/>
      <c r="AJ546" s="113"/>
      <c r="AK546" s="113" t="s">
        <v>1113</v>
      </c>
      <c r="AL546" s="113"/>
      <c r="AM546" s="113"/>
      <c r="AN546" s="113"/>
      <c r="AO546" s="43" t="s">
        <v>2353</v>
      </c>
      <c r="AP546" s="43"/>
      <c r="AQ546" s="236" t="str">
        <f>VLOOKUP(Table8[[#This Row],[Instrument]],Def_Targets!$D$73:$E$159,2,FALSE)</f>
        <v>S_Railfreight</v>
      </c>
      <c r="AR546" s="233" t="str">
        <f>VLOOKUP(Table8[[#This Row],[Country Code]],Table29[],3,FALSE)</f>
        <v>Non-Annex I</v>
      </c>
      <c r="AS546" s="233" t="str">
        <f>VLOOKUP(Table8[[#This Row],[Country Code]],Table29[],4,FALSE)</f>
        <v>Asia</v>
      </c>
      <c r="AT546" s="233" t="str">
        <f>VLOOKUP(Table8[[#This Row],[Country Code]],Table29[],5,FALSE)</f>
        <v>Middle-income</v>
      </c>
      <c r="AU546" s="233" t="str">
        <f>VLOOKUP(Table8[[#This Row],[Country Code]],Table29[],6,FALSE)</f>
        <v>G20</v>
      </c>
      <c r="AV546" s="233" t="str">
        <f>VLOOKUP(Table8[[#This Row],[Country Code]],Table29[],7,FALSE)</f>
        <v>no</v>
      </c>
      <c r="AW546" s="233" t="str">
        <f>VLOOKUP(Table8[[#This Row],[Country Code]],Table29[],8,FALSE)</f>
        <v>non-OECD</v>
      </c>
      <c r="AX546" s="233" t="str">
        <f>VLOOKUP(Table8[[#This Row],[Country Code]],Table29[],9,FALSE)</f>
        <v>no</v>
      </c>
      <c r="AY546" s="233" t="str">
        <f>VLOOKUP(Table8[[#This Row],[Country Code]],Table29[],10,FALSE)</f>
        <v>no</v>
      </c>
      <c r="AZ546" s="235">
        <f>VLOOKUP(Table8[[#This Row],[Country Code]],Table29[],23,FALSE)</f>
        <v>15943.986552905</v>
      </c>
      <c r="BA546" s="235">
        <f>VLOOKUP(Table8[[#This Row],[Country Code]],Table29[],24,FALSE)</f>
        <v>1110.1781062864729</v>
      </c>
      <c r="BB546" s="320"/>
      <c r="BC546" s="320"/>
    </row>
    <row r="547" spans="1:55" ht="30" hidden="1" x14ac:dyDescent="0.25">
      <c r="A547" s="373">
        <v>24705</v>
      </c>
      <c r="B547" s="233" t="str">
        <f>VLOOKUP(Table8[[#This Row],[Document ID]],Table1[],2,FALSE)</f>
        <v>CHN</v>
      </c>
      <c r="C547" s="233" t="str">
        <f>VLOOKUP(Table8[[#This Row],[Document ID]],Table1[],3,FALSE)</f>
        <v>China</v>
      </c>
      <c r="D547" s="243" t="str">
        <f>VLOOKUP(Table8[[#This Row],[Document ID]],Table1[],5,FALSE)</f>
        <v>LTS</v>
      </c>
      <c r="E547" s="233" t="str">
        <f>VLOOKUP(Table8[[#This Row],[Document ID]],Table1[],7,FALSE)</f>
        <v>LTS</v>
      </c>
      <c r="F547" s="233" t="str">
        <f>VLOOKUP(Table8[[#This Row],[Document ID]],Table1[],8,FALSE)</f>
        <v>LTS 1.0</v>
      </c>
      <c r="G547" s="233" t="str">
        <f>VLOOKUP(Table8[[#This Row],[Document ID]],Table1[],10,FALSE)</f>
        <v>Active</v>
      </c>
      <c r="H547" s="43" t="s">
        <v>2350</v>
      </c>
      <c r="I547" s="43" t="s">
        <v>2456</v>
      </c>
      <c r="J547" s="44" t="s">
        <v>2643</v>
      </c>
      <c r="K547" s="44" t="s">
        <v>2884</v>
      </c>
      <c r="L547" s="44" t="s">
        <v>2333</v>
      </c>
      <c r="M547" s="43">
        <v>19</v>
      </c>
      <c r="N547" s="113" t="s">
        <v>1113</v>
      </c>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c r="AJ547" s="113"/>
      <c r="AK547" s="113" t="s">
        <v>1113</v>
      </c>
      <c r="AL547" s="113"/>
      <c r="AM547" s="113"/>
      <c r="AN547" s="113"/>
      <c r="AO547" s="43" t="s">
        <v>2353</v>
      </c>
      <c r="AP547" s="43"/>
      <c r="AQ547" s="236" t="str">
        <f>VLOOKUP(Table8[[#This Row],[Instrument]],Def_Targets!$D$73:$E$159,2,FALSE)</f>
        <v>S_Intermodality</v>
      </c>
      <c r="AR547" s="233" t="str">
        <f>VLOOKUP(Table8[[#This Row],[Country Code]],Table29[],3,FALSE)</f>
        <v>Non-Annex I</v>
      </c>
      <c r="AS547" s="233" t="str">
        <f>VLOOKUP(Table8[[#This Row],[Country Code]],Table29[],4,FALSE)</f>
        <v>Asia</v>
      </c>
      <c r="AT547" s="233" t="str">
        <f>VLOOKUP(Table8[[#This Row],[Country Code]],Table29[],5,FALSE)</f>
        <v>Middle-income</v>
      </c>
      <c r="AU547" s="233" t="str">
        <f>VLOOKUP(Table8[[#This Row],[Country Code]],Table29[],6,FALSE)</f>
        <v>G20</v>
      </c>
      <c r="AV547" s="233" t="str">
        <f>VLOOKUP(Table8[[#This Row],[Country Code]],Table29[],7,FALSE)</f>
        <v>no</v>
      </c>
      <c r="AW547" s="233" t="str">
        <f>VLOOKUP(Table8[[#This Row],[Country Code]],Table29[],8,FALSE)</f>
        <v>non-OECD</v>
      </c>
      <c r="AX547" s="233" t="str">
        <f>VLOOKUP(Table8[[#This Row],[Country Code]],Table29[],9,FALSE)</f>
        <v>no</v>
      </c>
      <c r="AY547" s="233" t="str">
        <f>VLOOKUP(Table8[[#This Row],[Country Code]],Table29[],10,FALSE)</f>
        <v>no</v>
      </c>
      <c r="AZ547" s="235">
        <f>VLOOKUP(Table8[[#This Row],[Country Code]],Table29[],23,FALSE)</f>
        <v>15943.986552905</v>
      </c>
      <c r="BA547" s="235">
        <f>VLOOKUP(Table8[[#This Row],[Country Code]],Table29[],24,FALSE)</f>
        <v>1110.1781062864729</v>
      </c>
      <c r="BB547" s="320"/>
      <c r="BC547" s="320"/>
    </row>
    <row r="548" spans="1:55" ht="30" hidden="1" x14ac:dyDescent="0.25">
      <c r="A548" s="373">
        <v>24705</v>
      </c>
      <c r="B548" s="233" t="str">
        <f>VLOOKUP(Table8[[#This Row],[Document ID]],Table1[],2,FALSE)</f>
        <v>CHN</v>
      </c>
      <c r="C548" s="233" t="str">
        <f>VLOOKUP(Table8[[#This Row],[Document ID]],Table1[],3,FALSE)</f>
        <v>China</v>
      </c>
      <c r="D548" s="243" t="str">
        <f>VLOOKUP(Table8[[#This Row],[Document ID]],Table1[],5,FALSE)</f>
        <v>LTS</v>
      </c>
      <c r="E548" s="233" t="str">
        <f>VLOOKUP(Table8[[#This Row],[Document ID]],Table1[],7,FALSE)</f>
        <v>LTS</v>
      </c>
      <c r="F548" s="233" t="str">
        <f>VLOOKUP(Table8[[#This Row],[Document ID]],Table1[],8,FALSE)</f>
        <v>LTS 1.0</v>
      </c>
      <c r="G548" s="233" t="str">
        <f>VLOOKUP(Table8[[#This Row],[Document ID]],Table1[],10,FALSE)</f>
        <v>Active</v>
      </c>
      <c r="H548" s="43" t="s">
        <v>2350</v>
      </c>
      <c r="I548" s="43" t="s">
        <v>2351</v>
      </c>
      <c r="J548" s="44" t="s">
        <v>2447</v>
      </c>
      <c r="K548" s="44" t="s">
        <v>2885</v>
      </c>
      <c r="L548" s="44" t="s">
        <v>2333</v>
      </c>
      <c r="M548" s="43">
        <v>19</v>
      </c>
      <c r="N548" s="113" t="s">
        <v>1113</v>
      </c>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c r="AJ548" s="113"/>
      <c r="AK548" s="113" t="s">
        <v>1113</v>
      </c>
      <c r="AL548" s="113"/>
      <c r="AM548" s="113"/>
      <c r="AN548" s="113"/>
      <c r="AO548" s="43" t="s">
        <v>2353</v>
      </c>
      <c r="AP548" s="43"/>
      <c r="AQ548" s="236" t="str">
        <f>VLOOKUP(Table8[[#This Row],[Instrument]],Def_Targets!$D$73:$E$159,2,FALSE)</f>
        <v>I_Freighteff</v>
      </c>
      <c r="AR548" s="233" t="str">
        <f>VLOOKUP(Table8[[#This Row],[Country Code]],Table29[],3,FALSE)</f>
        <v>Non-Annex I</v>
      </c>
      <c r="AS548" s="233" t="str">
        <f>VLOOKUP(Table8[[#This Row],[Country Code]],Table29[],4,FALSE)</f>
        <v>Asia</v>
      </c>
      <c r="AT548" s="233" t="str">
        <f>VLOOKUP(Table8[[#This Row],[Country Code]],Table29[],5,FALSE)</f>
        <v>Middle-income</v>
      </c>
      <c r="AU548" s="233" t="str">
        <f>VLOOKUP(Table8[[#This Row],[Country Code]],Table29[],6,FALSE)</f>
        <v>G20</v>
      </c>
      <c r="AV548" s="233" t="str">
        <f>VLOOKUP(Table8[[#This Row],[Country Code]],Table29[],7,FALSE)</f>
        <v>no</v>
      </c>
      <c r="AW548" s="233" t="str">
        <f>VLOOKUP(Table8[[#This Row],[Country Code]],Table29[],8,FALSE)</f>
        <v>non-OECD</v>
      </c>
      <c r="AX548" s="233" t="str">
        <f>VLOOKUP(Table8[[#This Row],[Country Code]],Table29[],9,FALSE)</f>
        <v>no</v>
      </c>
      <c r="AY548" s="233" t="str">
        <f>VLOOKUP(Table8[[#This Row],[Country Code]],Table29[],10,FALSE)</f>
        <v>no</v>
      </c>
      <c r="AZ548" s="235">
        <f>VLOOKUP(Table8[[#This Row],[Country Code]],Table29[],23,FALSE)</f>
        <v>15943.986552905</v>
      </c>
      <c r="BA548" s="235">
        <f>VLOOKUP(Table8[[#This Row],[Country Code]],Table29[],24,FALSE)</f>
        <v>1110.1781062864729</v>
      </c>
      <c r="BB548" s="320"/>
      <c r="BC548" s="320"/>
    </row>
    <row r="549" spans="1:55" ht="30" hidden="1" x14ac:dyDescent="0.25">
      <c r="A549" s="373">
        <v>24705</v>
      </c>
      <c r="B549" s="233" t="str">
        <f>VLOOKUP(Table8[[#This Row],[Document ID]],Table1[],2,FALSE)</f>
        <v>CHN</v>
      </c>
      <c r="C549" s="233" t="str">
        <f>VLOOKUP(Table8[[#This Row],[Document ID]],Table1[],3,FALSE)</f>
        <v>China</v>
      </c>
      <c r="D549" s="243" t="str">
        <f>VLOOKUP(Table8[[#This Row],[Document ID]],Table1[],5,FALSE)</f>
        <v>LTS</v>
      </c>
      <c r="E549" s="233" t="str">
        <f>VLOOKUP(Table8[[#This Row],[Document ID]],Table1[],7,FALSE)</f>
        <v>LTS</v>
      </c>
      <c r="F549" s="233" t="str">
        <f>VLOOKUP(Table8[[#This Row],[Document ID]],Table1[],8,FALSE)</f>
        <v>LTS 1.0</v>
      </c>
      <c r="G549" s="233" t="str">
        <f>VLOOKUP(Table8[[#This Row],[Document ID]],Table1[],10,FALSE)</f>
        <v>Active</v>
      </c>
      <c r="H549" s="43" t="s">
        <v>2343</v>
      </c>
      <c r="I549" s="43" t="s">
        <v>2429</v>
      </c>
      <c r="J549" s="44" t="s">
        <v>2472</v>
      </c>
      <c r="K549" s="44" t="s">
        <v>2886</v>
      </c>
      <c r="L549" s="44" t="s">
        <v>2333</v>
      </c>
      <c r="M549" s="43">
        <v>19</v>
      </c>
      <c r="N549" s="113" t="s">
        <v>1113</v>
      </c>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c r="AJ549" s="113"/>
      <c r="AK549" s="113" t="s">
        <v>1113</v>
      </c>
      <c r="AL549" s="113"/>
      <c r="AM549" s="113"/>
      <c r="AN549" s="113"/>
      <c r="AO549" s="44" t="s">
        <v>2334</v>
      </c>
      <c r="AP549" s="43"/>
      <c r="AQ549" s="236" t="str">
        <f>VLOOKUP(Table8[[#This Row],[Instrument]],Def_Targets!$D$73:$E$159,2,FALSE)</f>
        <v>I_Other</v>
      </c>
      <c r="AR549" s="233" t="str">
        <f>VLOOKUP(Table8[[#This Row],[Country Code]],Table29[],3,FALSE)</f>
        <v>Non-Annex I</v>
      </c>
      <c r="AS549" s="233" t="str">
        <f>VLOOKUP(Table8[[#This Row],[Country Code]],Table29[],4,FALSE)</f>
        <v>Asia</v>
      </c>
      <c r="AT549" s="233" t="str">
        <f>VLOOKUP(Table8[[#This Row],[Country Code]],Table29[],5,FALSE)</f>
        <v>Middle-income</v>
      </c>
      <c r="AU549" s="233" t="str">
        <f>VLOOKUP(Table8[[#This Row],[Country Code]],Table29[],6,FALSE)</f>
        <v>G20</v>
      </c>
      <c r="AV549" s="233" t="str">
        <f>VLOOKUP(Table8[[#This Row],[Country Code]],Table29[],7,FALSE)</f>
        <v>no</v>
      </c>
      <c r="AW549" s="233" t="str">
        <f>VLOOKUP(Table8[[#This Row],[Country Code]],Table29[],8,FALSE)</f>
        <v>non-OECD</v>
      </c>
      <c r="AX549" s="233" t="str">
        <f>VLOOKUP(Table8[[#This Row],[Country Code]],Table29[],9,FALSE)</f>
        <v>no</v>
      </c>
      <c r="AY549" s="233" t="str">
        <f>VLOOKUP(Table8[[#This Row],[Country Code]],Table29[],10,FALSE)</f>
        <v>no</v>
      </c>
      <c r="AZ549" s="235">
        <f>VLOOKUP(Table8[[#This Row],[Country Code]],Table29[],23,FALSE)</f>
        <v>15943.986552905</v>
      </c>
      <c r="BA549" s="235">
        <f>VLOOKUP(Table8[[#This Row],[Country Code]],Table29[],24,FALSE)</f>
        <v>1110.1781062864729</v>
      </c>
      <c r="BB549" s="320"/>
      <c r="BC549" s="320"/>
    </row>
    <row r="550" spans="1:55" hidden="1" x14ac:dyDescent="0.25">
      <c r="A550" s="373">
        <v>24705</v>
      </c>
      <c r="B550" s="233" t="str">
        <f>VLOOKUP(Table8[[#This Row],[Document ID]],Table1[],2,FALSE)</f>
        <v>CHN</v>
      </c>
      <c r="C550" s="233" t="str">
        <f>VLOOKUP(Table8[[#This Row],[Document ID]],Table1[],3,FALSE)</f>
        <v>China</v>
      </c>
      <c r="D550" s="243" t="str">
        <f>VLOOKUP(Table8[[#This Row],[Document ID]],Table1[],5,FALSE)</f>
        <v>LTS</v>
      </c>
      <c r="E550" s="233" t="str">
        <f>VLOOKUP(Table8[[#This Row],[Document ID]],Table1[],7,FALSE)</f>
        <v>LTS</v>
      </c>
      <c r="F550" s="233" t="str">
        <f>VLOOKUP(Table8[[#This Row],[Document ID]],Table1[],8,FALSE)</f>
        <v>LTS 1.0</v>
      </c>
      <c r="G550" s="233" t="str">
        <f>VLOOKUP(Table8[[#This Row],[Document ID]],Table1[],10,FALSE)</f>
        <v>Active</v>
      </c>
      <c r="H550" s="43" t="s">
        <v>2343</v>
      </c>
      <c r="I550" s="43" t="s">
        <v>2429</v>
      </c>
      <c r="J550" s="44" t="s">
        <v>2501</v>
      </c>
      <c r="K550" s="44" t="s">
        <v>2887</v>
      </c>
      <c r="L550" s="44" t="s">
        <v>2333</v>
      </c>
      <c r="M550" s="43">
        <v>19</v>
      </c>
      <c r="N550" s="113"/>
      <c r="O550" s="113"/>
      <c r="P550" s="113"/>
      <c r="Q550" s="113"/>
      <c r="R550" s="113"/>
      <c r="S550" s="113"/>
      <c r="T550" s="113"/>
      <c r="U550" s="113" t="s">
        <v>1113</v>
      </c>
      <c r="V550" s="113"/>
      <c r="W550" s="113"/>
      <c r="X550" s="113"/>
      <c r="Y550" s="113"/>
      <c r="Z550" s="113"/>
      <c r="AA550" s="113"/>
      <c r="AB550" s="113"/>
      <c r="AC550" s="113"/>
      <c r="AD550" s="113"/>
      <c r="AE550" s="113"/>
      <c r="AF550" s="113"/>
      <c r="AG550" s="113"/>
      <c r="AH550" s="113"/>
      <c r="AI550" s="113"/>
      <c r="AJ550" s="113"/>
      <c r="AK550" s="113" t="s">
        <v>1113</v>
      </c>
      <c r="AL550" s="113"/>
      <c r="AM550" s="113"/>
      <c r="AN550" s="113"/>
      <c r="AO550" s="44" t="s">
        <v>2334</v>
      </c>
      <c r="AP550" s="43"/>
      <c r="AQ550" s="236" t="str">
        <f>VLOOKUP(Table8[[#This Row],[Instrument]],Def_Targets!$D$73:$E$159,2,FALSE)</f>
        <v>I_Autonomous</v>
      </c>
      <c r="AR550" s="233" t="str">
        <f>VLOOKUP(Table8[[#This Row],[Country Code]],Table29[],3,FALSE)</f>
        <v>Non-Annex I</v>
      </c>
      <c r="AS550" s="233" t="str">
        <f>VLOOKUP(Table8[[#This Row],[Country Code]],Table29[],4,FALSE)</f>
        <v>Asia</v>
      </c>
      <c r="AT550" s="233" t="str">
        <f>VLOOKUP(Table8[[#This Row],[Country Code]],Table29[],5,FALSE)</f>
        <v>Middle-income</v>
      </c>
      <c r="AU550" s="233" t="str">
        <f>VLOOKUP(Table8[[#This Row],[Country Code]],Table29[],6,FALSE)</f>
        <v>G20</v>
      </c>
      <c r="AV550" s="233" t="str">
        <f>VLOOKUP(Table8[[#This Row],[Country Code]],Table29[],7,FALSE)</f>
        <v>no</v>
      </c>
      <c r="AW550" s="233" t="str">
        <f>VLOOKUP(Table8[[#This Row],[Country Code]],Table29[],8,FALSE)</f>
        <v>non-OECD</v>
      </c>
      <c r="AX550" s="233" t="str">
        <f>VLOOKUP(Table8[[#This Row],[Country Code]],Table29[],9,FALSE)</f>
        <v>no</v>
      </c>
      <c r="AY550" s="233" t="str">
        <f>VLOOKUP(Table8[[#This Row],[Country Code]],Table29[],10,FALSE)</f>
        <v>no</v>
      </c>
      <c r="AZ550" s="235">
        <f>VLOOKUP(Table8[[#This Row],[Country Code]],Table29[],23,FALSE)</f>
        <v>15943.986552905</v>
      </c>
      <c r="BA550" s="235">
        <f>VLOOKUP(Table8[[#This Row],[Country Code]],Table29[],24,FALSE)</f>
        <v>1110.1781062864729</v>
      </c>
      <c r="BB550" s="320"/>
      <c r="BC550" s="320"/>
    </row>
    <row r="551" spans="1:55" hidden="1" x14ac:dyDescent="0.25">
      <c r="A551" s="373">
        <v>24705</v>
      </c>
      <c r="B551" s="233" t="str">
        <f>VLOOKUP(Table8[[#This Row],[Document ID]],Table1[],2,FALSE)</f>
        <v>CHN</v>
      </c>
      <c r="C551" s="233" t="str">
        <f>VLOOKUP(Table8[[#This Row],[Document ID]],Table1[],3,FALSE)</f>
        <v>China</v>
      </c>
      <c r="D551" s="243" t="str">
        <f>VLOOKUP(Table8[[#This Row],[Document ID]],Table1[],5,FALSE)</f>
        <v>LTS</v>
      </c>
      <c r="E551" s="233" t="str">
        <f>VLOOKUP(Table8[[#This Row],[Document ID]],Table1[],7,FALSE)</f>
        <v>LTS</v>
      </c>
      <c r="F551" s="233" t="str">
        <f>VLOOKUP(Table8[[#This Row],[Document ID]],Table1[],8,FALSE)</f>
        <v>LTS 1.0</v>
      </c>
      <c r="G551" s="233" t="str">
        <f>VLOOKUP(Table8[[#This Row],[Document ID]],Table1[],10,FALSE)</f>
        <v>Active</v>
      </c>
      <c r="H551" s="43" t="s">
        <v>2343</v>
      </c>
      <c r="I551" s="43" t="s">
        <v>2429</v>
      </c>
      <c r="J551" s="44" t="s">
        <v>2513</v>
      </c>
      <c r="K551" s="44" t="s">
        <v>2887</v>
      </c>
      <c r="L551" s="44" t="s">
        <v>2333</v>
      </c>
      <c r="M551" s="43">
        <v>19</v>
      </c>
      <c r="N551" s="113"/>
      <c r="O551" s="113"/>
      <c r="P551" s="113"/>
      <c r="Q551" s="113"/>
      <c r="R551" s="113"/>
      <c r="S551" s="113"/>
      <c r="T551" s="113"/>
      <c r="U551" s="113" t="s">
        <v>1113</v>
      </c>
      <c r="V551" s="113"/>
      <c r="W551" s="113"/>
      <c r="X551" s="113"/>
      <c r="Y551" s="113"/>
      <c r="Z551" s="113"/>
      <c r="AA551" s="113"/>
      <c r="AB551" s="113"/>
      <c r="AC551" s="113"/>
      <c r="AD551" s="113"/>
      <c r="AE551" s="113"/>
      <c r="AF551" s="113"/>
      <c r="AG551" s="113"/>
      <c r="AH551" s="113"/>
      <c r="AI551" s="113"/>
      <c r="AJ551" s="113"/>
      <c r="AK551" s="113" t="s">
        <v>1113</v>
      </c>
      <c r="AL551" s="113"/>
      <c r="AM551" s="113"/>
      <c r="AN551" s="113"/>
      <c r="AO551" s="44" t="s">
        <v>2334</v>
      </c>
      <c r="AP551" s="43"/>
      <c r="AQ551" s="236" t="str">
        <f>VLOOKUP(Table8[[#This Row],[Instrument]],Def_Targets!$D$73:$E$159,2,FALSE)</f>
        <v>S_Sharedmob</v>
      </c>
      <c r="AR551" s="233" t="str">
        <f>VLOOKUP(Table8[[#This Row],[Country Code]],Table29[],3,FALSE)</f>
        <v>Non-Annex I</v>
      </c>
      <c r="AS551" s="233" t="str">
        <f>VLOOKUP(Table8[[#This Row],[Country Code]],Table29[],4,FALSE)</f>
        <v>Asia</v>
      </c>
      <c r="AT551" s="233" t="str">
        <f>VLOOKUP(Table8[[#This Row],[Country Code]],Table29[],5,FALSE)</f>
        <v>Middle-income</v>
      </c>
      <c r="AU551" s="233" t="str">
        <f>VLOOKUP(Table8[[#This Row],[Country Code]],Table29[],6,FALSE)</f>
        <v>G20</v>
      </c>
      <c r="AV551" s="233" t="str">
        <f>VLOOKUP(Table8[[#This Row],[Country Code]],Table29[],7,FALSE)</f>
        <v>no</v>
      </c>
      <c r="AW551" s="233" t="str">
        <f>VLOOKUP(Table8[[#This Row],[Country Code]],Table29[],8,FALSE)</f>
        <v>non-OECD</v>
      </c>
      <c r="AX551" s="233" t="str">
        <f>VLOOKUP(Table8[[#This Row],[Country Code]],Table29[],9,FALSE)</f>
        <v>no</v>
      </c>
      <c r="AY551" s="233" t="str">
        <f>VLOOKUP(Table8[[#This Row],[Country Code]],Table29[],10,FALSE)</f>
        <v>no</v>
      </c>
      <c r="AZ551" s="235">
        <f>VLOOKUP(Table8[[#This Row],[Country Code]],Table29[],23,FALSE)</f>
        <v>15943.986552905</v>
      </c>
      <c r="BA551" s="235">
        <f>VLOOKUP(Table8[[#This Row],[Country Code]],Table29[],24,FALSE)</f>
        <v>1110.1781062864729</v>
      </c>
      <c r="BB551" s="320"/>
      <c r="BC551" s="320"/>
    </row>
    <row r="552" spans="1:55" ht="30" hidden="1" x14ac:dyDescent="0.25">
      <c r="A552" s="373">
        <v>24705</v>
      </c>
      <c r="B552" s="233" t="str">
        <f>VLOOKUP(Table8[[#This Row],[Document ID]],Table1[],2,FALSE)</f>
        <v>CHN</v>
      </c>
      <c r="C552" s="233" t="str">
        <f>VLOOKUP(Table8[[#This Row],[Document ID]],Table1[],3,FALSE)</f>
        <v>China</v>
      </c>
      <c r="D552" s="243" t="str">
        <f>VLOOKUP(Table8[[#This Row],[Document ID]],Table1[],5,FALSE)</f>
        <v>LTS</v>
      </c>
      <c r="E552" s="233" t="str">
        <f>VLOOKUP(Table8[[#This Row],[Document ID]],Table1[],7,FALSE)</f>
        <v>LTS</v>
      </c>
      <c r="F552" s="233" t="str">
        <f>VLOOKUP(Table8[[#This Row],[Document ID]],Table1[],8,FALSE)</f>
        <v>LTS 1.0</v>
      </c>
      <c r="G552" s="233" t="str">
        <f>VLOOKUP(Table8[[#This Row],[Document ID]],Table1[],10,FALSE)</f>
        <v>Active</v>
      </c>
      <c r="H552" s="44" t="s">
        <v>2338</v>
      </c>
      <c r="I552" s="44" t="s">
        <v>2339</v>
      </c>
      <c r="J552" s="44" t="s">
        <v>2340</v>
      </c>
      <c r="K552" s="44" t="s">
        <v>2888</v>
      </c>
      <c r="L552" s="44" t="s">
        <v>2333</v>
      </c>
      <c r="M552" s="43">
        <v>19</v>
      </c>
      <c r="N552" s="113" t="s">
        <v>1113</v>
      </c>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c r="AJ552" s="113"/>
      <c r="AK552" s="113" t="s">
        <v>1113</v>
      </c>
      <c r="AL552" s="113"/>
      <c r="AM552" s="113"/>
      <c r="AN552" s="113"/>
      <c r="AO552" s="44" t="s">
        <v>2334</v>
      </c>
      <c r="AP552" s="43"/>
      <c r="AQ552" s="236" t="str">
        <f>VLOOKUP(Table8[[#This Row],[Instrument]],Def_Targets!$D$73:$E$159,2,FALSE)</f>
        <v>I_Vehicleimprove</v>
      </c>
      <c r="AR552" s="233" t="str">
        <f>VLOOKUP(Table8[[#This Row],[Country Code]],Table29[],3,FALSE)</f>
        <v>Non-Annex I</v>
      </c>
      <c r="AS552" s="233" t="str">
        <f>VLOOKUP(Table8[[#This Row],[Country Code]],Table29[],4,FALSE)</f>
        <v>Asia</v>
      </c>
      <c r="AT552" s="233" t="str">
        <f>VLOOKUP(Table8[[#This Row],[Country Code]],Table29[],5,FALSE)</f>
        <v>Middle-income</v>
      </c>
      <c r="AU552" s="233" t="str">
        <f>VLOOKUP(Table8[[#This Row],[Country Code]],Table29[],6,FALSE)</f>
        <v>G20</v>
      </c>
      <c r="AV552" s="233" t="str">
        <f>VLOOKUP(Table8[[#This Row],[Country Code]],Table29[],7,FALSE)</f>
        <v>no</v>
      </c>
      <c r="AW552" s="233" t="str">
        <f>VLOOKUP(Table8[[#This Row],[Country Code]],Table29[],8,FALSE)</f>
        <v>non-OECD</v>
      </c>
      <c r="AX552" s="233" t="str">
        <f>VLOOKUP(Table8[[#This Row],[Country Code]],Table29[],9,FALSE)</f>
        <v>no</v>
      </c>
      <c r="AY552" s="233" t="str">
        <f>VLOOKUP(Table8[[#This Row],[Country Code]],Table29[],10,FALSE)</f>
        <v>no</v>
      </c>
      <c r="AZ552" s="235">
        <f>VLOOKUP(Table8[[#This Row],[Country Code]],Table29[],23,FALSE)</f>
        <v>15943.986552905</v>
      </c>
      <c r="BA552" s="235">
        <f>VLOOKUP(Table8[[#This Row],[Country Code]],Table29[],24,FALSE)</f>
        <v>1110.1781062864729</v>
      </c>
      <c r="BB552" s="320"/>
      <c r="BC552" s="320"/>
    </row>
    <row r="553" spans="1:55" hidden="1" x14ac:dyDescent="0.25">
      <c r="A553" s="373">
        <v>24705</v>
      </c>
      <c r="B553" s="233" t="str">
        <f>VLOOKUP(Table8[[#This Row],[Document ID]],Table1[],2,FALSE)</f>
        <v>CHN</v>
      </c>
      <c r="C553" s="233" t="str">
        <f>VLOOKUP(Table8[[#This Row],[Document ID]],Table1[],3,FALSE)</f>
        <v>China</v>
      </c>
      <c r="D553" s="243" t="str">
        <f>VLOOKUP(Table8[[#This Row],[Document ID]],Table1[],5,FALSE)</f>
        <v>LTS</v>
      </c>
      <c r="E553" s="233" t="str">
        <f>VLOOKUP(Table8[[#This Row],[Document ID]],Table1[],7,FALSE)</f>
        <v>LTS</v>
      </c>
      <c r="F553" s="233" t="str">
        <f>VLOOKUP(Table8[[#This Row],[Document ID]],Table1[],8,FALSE)</f>
        <v>LTS 1.0</v>
      </c>
      <c r="G553" s="233" t="str">
        <f>VLOOKUP(Table8[[#This Row],[Document ID]],Table1[],10,FALSE)</f>
        <v>Active</v>
      </c>
      <c r="H553" s="43" t="s">
        <v>2358</v>
      </c>
      <c r="I553" s="43" t="s">
        <v>2359</v>
      </c>
      <c r="J553" s="44" t="s">
        <v>2360</v>
      </c>
      <c r="K553" s="44" t="s">
        <v>2889</v>
      </c>
      <c r="L553" s="44" t="s">
        <v>2333</v>
      </c>
      <c r="M553" s="43">
        <v>20</v>
      </c>
      <c r="N553" s="113" t="s">
        <v>1113</v>
      </c>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t="s">
        <v>1113</v>
      </c>
      <c r="AL553" s="113"/>
      <c r="AM553" s="113"/>
      <c r="AN553" s="113"/>
      <c r="AO553" s="44" t="s">
        <v>2334</v>
      </c>
      <c r="AP553" s="43"/>
      <c r="AQ553" s="236" t="str">
        <f>VLOOKUP(Table8[[#This Row],[Instrument]],Def_Targets!$D$73:$E$159,2,FALSE)</f>
        <v>I_Emobility</v>
      </c>
      <c r="AR553" s="233" t="str">
        <f>VLOOKUP(Table8[[#This Row],[Country Code]],Table29[],3,FALSE)</f>
        <v>Non-Annex I</v>
      </c>
      <c r="AS553" s="233" t="str">
        <f>VLOOKUP(Table8[[#This Row],[Country Code]],Table29[],4,FALSE)</f>
        <v>Asia</v>
      </c>
      <c r="AT553" s="233" t="str">
        <f>VLOOKUP(Table8[[#This Row],[Country Code]],Table29[],5,FALSE)</f>
        <v>Middle-income</v>
      </c>
      <c r="AU553" s="233" t="str">
        <f>VLOOKUP(Table8[[#This Row],[Country Code]],Table29[],6,FALSE)</f>
        <v>G20</v>
      </c>
      <c r="AV553" s="233" t="str">
        <f>VLOOKUP(Table8[[#This Row],[Country Code]],Table29[],7,FALSE)</f>
        <v>no</v>
      </c>
      <c r="AW553" s="233" t="str">
        <f>VLOOKUP(Table8[[#This Row],[Country Code]],Table29[],8,FALSE)</f>
        <v>non-OECD</v>
      </c>
      <c r="AX553" s="233" t="str">
        <f>VLOOKUP(Table8[[#This Row],[Country Code]],Table29[],9,FALSE)</f>
        <v>no</v>
      </c>
      <c r="AY553" s="233" t="str">
        <f>VLOOKUP(Table8[[#This Row],[Country Code]],Table29[],10,FALSE)</f>
        <v>no</v>
      </c>
      <c r="AZ553" s="235">
        <f>VLOOKUP(Table8[[#This Row],[Country Code]],Table29[],23,FALSE)</f>
        <v>15943.986552905</v>
      </c>
      <c r="BA553" s="235">
        <f>VLOOKUP(Table8[[#This Row],[Country Code]],Table29[],24,FALSE)</f>
        <v>1110.1781062864729</v>
      </c>
      <c r="BB553" s="320"/>
      <c r="BC553" s="320"/>
    </row>
    <row r="554" spans="1:55" ht="30" hidden="1" x14ac:dyDescent="0.25">
      <c r="A554" s="373">
        <v>24705</v>
      </c>
      <c r="B554" s="233" t="str">
        <f>VLOOKUP(Table8[[#This Row],[Document ID]],Table1[],2,FALSE)</f>
        <v>CHN</v>
      </c>
      <c r="C554" s="233" t="str">
        <f>VLOOKUP(Table8[[#This Row],[Document ID]],Table1[],3,FALSE)</f>
        <v>China</v>
      </c>
      <c r="D554" s="243" t="str">
        <f>VLOOKUP(Table8[[#This Row],[Document ID]],Table1[],5,FALSE)</f>
        <v>LTS</v>
      </c>
      <c r="E554" s="233" t="str">
        <f>VLOOKUP(Table8[[#This Row],[Document ID]],Table1[],7,FALSE)</f>
        <v>LTS</v>
      </c>
      <c r="F554" s="233" t="str">
        <f>VLOOKUP(Table8[[#This Row],[Document ID]],Table1[],8,FALSE)</f>
        <v>LTS 1.0</v>
      </c>
      <c r="G554" s="233" t="str">
        <f>VLOOKUP(Table8[[#This Row],[Document ID]],Table1[],10,FALSE)</f>
        <v>Active</v>
      </c>
      <c r="H554" s="43" t="s">
        <v>2358</v>
      </c>
      <c r="I554" s="43" t="s">
        <v>2359</v>
      </c>
      <c r="J554" s="44" t="s">
        <v>2360</v>
      </c>
      <c r="K554" s="44" t="s">
        <v>2890</v>
      </c>
      <c r="L554" s="44" t="s">
        <v>2333</v>
      </c>
      <c r="M554" s="43">
        <v>20</v>
      </c>
      <c r="N554" s="113"/>
      <c r="O554" s="113"/>
      <c r="P554" s="113"/>
      <c r="Q554" s="113"/>
      <c r="R554" s="113"/>
      <c r="S554" s="113"/>
      <c r="T554" s="113"/>
      <c r="U554" s="113" t="s">
        <v>1113</v>
      </c>
      <c r="V554" s="113"/>
      <c r="W554" s="113"/>
      <c r="X554" s="113" t="s">
        <v>1113</v>
      </c>
      <c r="Y554" s="113" t="s">
        <v>1113</v>
      </c>
      <c r="Z554" s="113"/>
      <c r="AA554" s="113"/>
      <c r="AB554" s="113"/>
      <c r="AC554" s="113" t="s">
        <v>1113</v>
      </c>
      <c r="AD554" s="113"/>
      <c r="AE554" s="113"/>
      <c r="AF554" s="113"/>
      <c r="AG554" s="113"/>
      <c r="AH554" s="113"/>
      <c r="AI554" s="113"/>
      <c r="AJ554" s="113"/>
      <c r="AK554" s="113"/>
      <c r="AL554" s="113" t="s">
        <v>1113</v>
      </c>
      <c r="AM554" s="113"/>
      <c r="AN554" s="113"/>
      <c r="AO554" s="43" t="s">
        <v>2477</v>
      </c>
      <c r="AP554" s="43"/>
      <c r="AQ554" s="236" t="str">
        <f>VLOOKUP(Table8[[#This Row],[Instrument]],Def_Targets!$D$73:$E$159,2,FALSE)</f>
        <v>I_Emobility</v>
      </c>
      <c r="AR554" s="233" t="str">
        <f>VLOOKUP(Table8[[#This Row],[Country Code]],Table29[],3,FALSE)</f>
        <v>Non-Annex I</v>
      </c>
      <c r="AS554" s="233" t="str">
        <f>VLOOKUP(Table8[[#This Row],[Country Code]],Table29[],4,FALSE)</f>
        <v>Asia</v>
      </c>
      <c r="AT554" s="233" t="str">
        <f>VLOOKUP(Table8[[#This Row],[Country Code]],Table29[],5,FALSE)</f>
        <v>Middle-income</v>
      </c>
      <c r="AU554" s="233" t="str">
        <f>VLOOKUP(Table8[[#This Row],[Country Code]],Table29[],6,FALSE)</f>
        <v>G20</v>
      </c>
      <c r="AV554" s="233" t="str">
        <f>VLOOKUP(Table8[[#This Row],[Country Code]],Table29[],7,FALSE)</f>
        <v>no</v>
      </c>
      <c r="AW554" s="233" t="str">
        <f>VLOOKUP(Table8[[#This Row],[Country Code]],Table29[],8,FALSE)</f>
        <v>non-OECD</v>
      </c>
      <c r="AX554" s="233" t="str">
        <f>VLOOKUP(Table8[[#This Row],[Country Code]],Table29[],9,FALSE)</f>
        <v>no</v>
      </c>
      <c r="AY554" s="233" t="str">
        <f>VLOOKUP(Table8[[#This Row],[Country Code]],Table29[],10,FALSE)</f>
        <v>no</v>
      </c>
      <c r="AZ554" s="235">
        <f>VLOOKUP(Table8[[#This Row],[Country Code]],Table29[],23,FALSE)</f>
        <v>15943.986552905</v>
      </c>
      <c r="BA554" s="235">
        <f>VLOOKUP(Table8[[#This Row],[Country Code]],Table29[],24,FALSE)</f>
        <v>1110.1781062864729</v>
      </c>
      <c r="BB554" s="320"/>
      <c r="BC554" s="320"/>
    </row>
    <row r="555" spans="1:55" hidden="1" x14ac:dyDescent="0.25">
      <c r="A555" s="373">
        <v>24705</v>
      </c>
      <c r="B555" s="233" t="str">
        <f>VLOOKUP(Table8[[#This Row],[Document ID]],Table1[],2,FALSE)</f>
        <v>CHN</v>
      </c>
      <c r="C555" s="233" t="str">
        <f>VLOOKUP(Table8[[#This Row],[Document ID]],Table1[],3,FALSE)</f>
        <v>China</v>
      </c>
      <c r="D555" s="243" t="str">
        <f>VLOOKUP(Table8[[#This Row],[Document ID]],Table1[],5,FALSE)</f>
        <v>LTS</v>
      </c>
      <c r="E555" s="233" t="str">
        <f>VLOOKUP(Table8[[#This Row],[Document ID]],Table1[],7,FALSE)</f>
        <v>LTS</v>
      </c>
      <c r="F555" s="233" t="str">
        <f>VLOOKUP(Table8[[#This Row],[Document ID]],Table1[],8,FALSE)</f>
        <v>LTS 1.0</v>
      </c>
      <c r="G555" s="233" t="str">
        <f>VLOOKUP(Table8[[#This Row],[Document ID]],Table1[],10,FALSE)</f>
        <v>Active</v>
      </c>
      <c r="H555" s="43" t="s">
        <v>2484</v>
      </c>
      <c r="I555" s="43" t="s">
        <v>2485</v>
      </c>
      <c r="J555" s="44" t="s">
        <v>2669</v>
      </c>
      <c r="K555" s="44" t="s">
        <v>2891</v>
      </c>
      <c r="L555" s="44" t="s">
        <v>2333</v>
      </c>
      <c r="M555" s="43">
        <v>20</v>
      </c>
      <c r="N555" s="113"/>
      <c r="O555" s="113"/>
      <c r="P555" s="113"/>
      <c r="Q555" s="113"/>
      <c r="R555" s="113"/>
      <c r="S555" s="113"/>
      <c r="T555" s="113"/>
      <c r="U555" s="113"/>
      <c r="V555" s="113"/>
      <c r="W555" s="113"/>
      <c r="X555" s="113"/>
      <c r="Y555" s="113"/>
      <c r="Z555" s="113"/>
      <c r="AA555" s="113"/>
      <c r="AB555" s="113"/>
      <c r="AC555" s="113"/>
      <c r="AD555" s="113" t="s">
        <v>1113</v>
      </c>
      <c r="AE555" s="113"/>
      <c r="AF555" s="113"/>
      <c r="AG555" s="113"/>
      <c r="AH555" s="113"/>
      <c r="AI555" s="113"/>
      <c r="AJ555" s="113"/>
      <c r="AK555" s="113" t="s">
        <v>1113</v>
      </c>
      <c r="AL555" s="113"/>
      <c r="AM555" s="113"/>
      <c r="AN555" s="113"/>
      <c r="AO555" s="44" t="s">
        <v>2334</v>
      </c>
      <c r="AP555" s="43"/>
      <c r="AQ555" s="236" t="str">
        <f>VLOOKUP(Table8[[#This Row],[Instrument]],Def_Targets!$D$73:$E$159,2,FALSE)</f>
        <v>I_Shipefficiency</v>
      </c>
      <c r="AR555" s="233" t="str">
        <f>VLOOKUP(Table8[[#This Row],[Country Code]],Table29[],3,FALSE)</f>
        <v>Non-Annex I</v>
      </c>
      <c r="AS555" s="233" t="str">
        <f>VLOOKUP(Table8[[#This Row],[Country Code]],Table29[],4,FALSE)</f>
        <v>Asia</v>
      </c>
      <c r="AT555" s="233" t="str">
        <f>VLOOKUP(Table8[[#This Row],[Country Code]],Table29[],5,FALSE)</f>
        <v>Middle-income</v>
      </c>
      <c r="AU555" s="233" t="str">
        <f>VLOOKUP(Table8[[#This Row],[Country Code]],Table29[],6,FALSE)</f>
        <v>G20</v>
      </c>
      <c r="AV555" s="233" t="str">
        <f>VLOOKUP(Table8[[#This Row],[Country Code]],Table29[],7,FALSE)</f>
        <v>no</v>
      </c>
      <c r="AW555" s="233" t="str">
        <f>VLOOKUP(Table8[[#This Row],[Country Code]],Table29[],8,FALSE)</f>
        <v>non-OECD</v>
      </c>
      <c r="AX555" s="233" t="str">
        <f>VLOOKUP(Table8[[#This Row],[Country Code]],Table29[],9,FALSE)</f>
        <v>no</v>
      </c>
      <c r="AY555" s="233" t="str">
        <f>VLOOKUP(Table8[[#This Row],[Country Code]],Table29[],10,FALSE)</f>
        <v>no</v>
      </c>
      <c r="AZ555" s="235">
        <f>VLOOKUP(Table8[[#This Row],[Country Code]],Table29[],23,FALSE)</f>
        <v>15943.986552905</v>
      </c>
      <c r="BA555" s="235">
        <f>VLOOKUP(Table8[[#This Row],[Country Code]],Table29[],24,FALSE)</f>
        <v>1110.1781062864729</v>
      </c>
      <c r="BB555" s="320"/>
      <c r="BC555" s="320"/>
    </row>
    <row r="556" spans="1:55" hidden="1" x14ac:dyDescent="0.25">
      <c r="A556" s="373">
        <v>24705</v>
      </c>
      <c r="B556" s="233" t="str">
        <f>VLOOKUP(Table8[[#This Row],[Document ID]],Table1[],2,FALSE)</f>
        <v>CHN</v>
      </c>
      <c r="C556" s="233" t="str">
        <f>VLOOKUP(Table8[[#This Row],[Document ID]],Table1[],3,FALSE)</f>
        <v>China</v>
      </c>
      <c r="D556" s="243" t="str">
        <f>VLOOKUP(Table8[[#This Row],[Document ID]],Table1[],5,FALSE)</f>
        <v>LTS</v>
      </c>
      <c r="E556" s="233" t="str">
        <f>VLOOKUP(Table8[[#This Row],[Document ID]],Table1[],7,FALSE)</f>
        <v>LTS</v>
      </c>
      <c r="F556" s="233" t="str">
        <f>VLOOKUP(Table8[[#This Row],[Document ID]],Table1[],8,FALSE)</f>
        <v>LTS 1.0</v>
      </c>
      <c r="G556" s="233" t="str">
        <f>VLOOKUP(Table8[[#This Row],[Document ID]],Table1[],10,FALSE)</f>
        <v>Active</v>
      </c>
      <c r="H556" s="43" t="s">
        <v>2484</v>
      </c>
      <c r="I556" s="43" t="s">
        <v>2488</v>
      </c>
      <c r="J556" s="44" t="s">
        <v>2684</v>
      </c>
      <c r="K556" s="44" t="s">
        <v>2892</v>
      </c>
      <c r="L556" s="44" t="s">
        <v>2333</v>
      </c>
      <c r="M556" s="43">
        <v>20</v>
      </c>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t="s">
        <v>1113</v>
      </c>
      <c r="AI556" s="113"/>
      <c r="AJ556" s="113"/>
      <c r="AK556" s="113" t="s">
        <v>1113</v>
      </c>
      <c r="AL556" s="113"/>
      <c r="AM556" s="113"/>
      <c r="AN556" s="113"/>
      <c r="AO556" s="44" t="s">
        <v>2334</v>
      </c>
      <c r="AP556" s="43"/>
      <c r="AQ556" s="236" t="str">
        <f>VLOOKUP(Table8[[#This Row],[Instrument]],Def_Targets!$D$73:$E$159,2,FALSE)</f>
        <v>I_Jetfuel</v>
      </c>
      <c r="AR556" s="233" t="str">
        <f>VLOOKUP(Table8[[#This Row],[Country Code]],Table29[],3,FALSE)</f>
        <v>Non-Annex I</v>
      </c>
      <c r="AS556" s="233" t="str">
        <f>VLOOKUP(Table8[[#This Row],[Country Code]],Table29[],4,FALSE)</f>
        <v>Asia</v>
      </c>
      <c r="AT556" s="233" t="str">
        <f>VLOOKUP(Table8[[#This Row],[Country Code]],Table29[],5,FALSE)</f>
        <v>Middle-income</v>
      </c>
      <c r="AU556" s="233" t="str">
        <f>VLOOKUP(Table8[[#This Row],[Country Code]],Table29[],6,FALSE)</f>
        <v>G20</v>
      </c>
      <c r="AV556" s="233" t="str">
        <f>VLOOKUP(Table8[[#This Row],[Country Code]],Table29[],7,FALSE)</f>
        <v>no</v>
      </c>
      <c r="AW556" s="233" t="str">
        <f>VLOOKUP(Table8[[#This Row],[Country Code]],Table29[],8,FALSE)</f>
        <v>non-OECD</v>
      </c>
      <c r="AX556" s="233" t="str">
        <f>VLOOKUP(Table8[[#This Row],[Country Code]],Table29[],9,FALSE)</f>
        <v>no</v>
      </c>
      <c r="AY556" s="233" t="str">
        <f>VLOOKUP(Table8[[#This Row],[Country Code]],Table29[],10,FALSE)</f>
        <v>no</v>
      </c>
      <c r="AZ556" s="235">
        <f>VLOOKUP(Table8[[#This Row],[Country Code]],Table29[],23,FALSE)</f>
        <v>15943.986552905</v>
      </c>
      <c r="BA556" s="235">
        <f>VLOOKUP(Table8[[#This Row],[Country Code]],Table29[],24,FALSE)</f>
        <v>1110.1781062864729</v>
      </c>
      <c r="BB556" s="320"/>
      <c r="BC556" s="320"/>
    </row>
    <row r="557" spans="1:55" hidden="1" x14ac:dyDescent="0.25">
      <c r="A557" s="373">
        <v>24705</v>
      </c>
      <c r="B557" s="233" t="str">
        <f>VLOOKUP(Table8[[#This Row],[Document ID]],Table1[],2,FALSE)</f>
        <v>CHN</v>
      </c>
      <c r="C557" s="233" t="str">
        <f>VLOOKUP(Table8[[#This Row],[Document ID]],Table1[],3,FALSE)</f>
        <v>China</v>
      </c>
      <c r="D557" s="243" t="str">
        <f>VLOOKUP(Table8[[#This Row],[Document ID]],Table1[],5,FALSE)</f>
        <v>LTS</v>
      </c>
      <c r="E557" s="233" t="str">
        <f>VLOOKUP(Table8[[#This Row],[Document ID]],Table1[],7,FALSE)</f>
        <v>LTS</v>
      </c>
      <c r="F557" s="233" t="str">
        <f>VLOOKUP(Table8[[#This Row],[Document ID]],Table1[],8,FALSE)</f>
        <v>LTS 1.0</v>
      </c>
      <c r="G557" s="233" t="str">
        <f>VLOOKUP(Table8[[#This Row],[Document ID]],Table1[],10,FALSE)</f>
        <v>Active</v>
      </c>
      <c r="H557" s="44" t="s">
        <v>2329</v>
      </c>
      <c r="I557" s="44" t="s">
        <v>2330</v>
      </c>
      <c r="J557" s="44" t="s">
        <v>2357</v>
      </c>
      <c r="K557" s="44" t="s">
        <v>2892</v>
      </c>
      <c r="L557" s="44" t="s">
        <v>2333</v>
      </c>
      <c r="M557" s="43">
        <v>20</v>
      </c>
      <c r="N557" s="113"/>
      <c r="O557" s="113"/>
      <c r="P557" s="113"/>
      <c r="Q557" s="113"/>
      <c r="R557" s="113"/>
      <c r="S557" s="113"/>
      <c r="T557" s="113"/>
      <c r="U557" s="113"/>
      <c r="V557" s="113"/>
      <c r="W557" s="113"/>
      <c r="X557" s="113"/>
      <c r="Y557" s="113"/>
      <c r="Z557" s="113"/>
      <c r="AA557" s="113"/>
      <c r="AB557" s="113"/>
      <c r="AC557" s="113"/>
      <c r="AD557" s="113"/>
      <c r="AE557" s="113"/>
      <c r="AF557" s="113"/>
      <c r="AG557" s="113"/>
      <c r="AH557" s="113" t="s">
        <v>1113</v>
      </c>
      <c r="AI557" s="113"/>
      <c r="AJ557" s="113"/>
      <c r="AK557" s="113" t="s">
        <v>1113</v>
      </c>
      <c r="AL557" s="113"/>
      <c r="AM557" s="113"/>
      <c r="AN557" s="113"/>
      <c r="AO557" s="44" t="s">
        <v>2334</v>
      </c>
      <c r="AP557" s="43"/>
      <c r="AQ557" s="236" t="str">
        <f>VLOOKUP(Table8[[#This Row],[Instrument]],Def_Targets!$D$73:$E$159,2,FALSE)</f>
        <v>I_Biofuel</v>
      </c>
      <c r="AR557" s="233" t="str">
        <f>VLOOKUP(Table8[[#This Row],[Country Code]],Table29[],3,FALSE)</f>
        <v>Non-Annex I</v>
      </c>
      <c r="AS557" s="233" t="str">
        <f>VLOOKUP(Table8[[#This Row],[Country Code]],Table29[],4,FALSE)</f>
        <v>Asia</v>
      </c>
      <c r="AT557" s="233" t="str">
        <f>VLOOKUP(Table8[[#This Row],[Country Code]],Table29[],5,FALSE)</f>
        <v>Middle-income</v>
      </c>
      <c r="AU557" s="233" t="str">
        <f>VLOOKUP(Table8[[#This Row],[Country Code]],Table29[],6,FALSE)</f>
        <v>G20</v>
      </c>
      <c r="AV557" s="233" t="str">
        <f>VLOOKUP(Table8[[#This Row],[Country Code]],Table29[],7,FALSE)</f>
        <v>no</v>
      </c>
      <c r="AW557" s="233" t="str">
        <f>VLOOKUP(Table8[[#This Row],[Country Code]],Table29[],8,FALSE)</f>
        <v>non-OECD</v>
      </c>
      <c r="AX557" s="233" t="str">
        <f>VLOOKUP(Table8[[#This Row],[Country Code]],Table29[],9,FALSE)</f>
        <v>no</v>
      </c>
      <c r="AY557" s="233" t="str">
        <f>VLOOKUP(Table8[[#This Row],[Country Code]],Table29[],10,FALSE)</f>
        <v>no</v>
      </c>
      <c r="AZ557" s="235">
        <f>VLOOKUP(Table8[[#This Row],[Country Code]],Table29[],23,FALSE)</f>
        <v>15943.986552905</v>
      </c>
      <c r="BA557" s="235">
        <f>VLOOKUP(Table8[[#This Row],[Country Code]],Table29[],24,FALSE)</f>
        <v>1110.1781062864729</v>
      </c>
      <c r="BB557" s="320"/>
      <c r="BC557" s="320"/>
    </row>
    <row r="558" spans="1:55" ht="30" hidden="1" x14ac:dyDescent="0.25">
      <c r="A558" s="373">
        <v>24705</v>
      </c>
      <c r="B558" s="233" t="str">
        <f>VLOOKUP(Table8[[#This Row],[Document ID]],Table1[],2,FALSE)</f>
        <v>CHN</v>
      </c>
      <c r="C558" s="233" t="str">
        <f>VLOOKUP(Table8[[#This Row],[Document ID]],Table1[],3,FALSE)</f>
        <v>China</v>
      </c>
      <c r="D558" s="243" t="str">
        <f>VLOOKUP(Table8[[#This Row],[Document ID]],Table1[],5,FALSE)</f>
        <v>LTS</v>
      </c>
      <c r="E558" s="233" t="str">
        <f>VLOOKUP(Table8[[#This Row],[Document ID]],Table1[],7,FALSE)</f>
        <v>LTS</v>
      </c>
      <c r="F558" s="233" t="str">
        <f>VLOOKUP(Table8[[#This Row],[Document ID]],Table1[],8,FALSE)</f>
        <v>LTS 1.0</v>
      </c>
      <c r="G558" s="233" t="str">
        <f>VLOOKUP(Table8[[#This Row],[Document ID]],Table1[],10,FALSE)</f>
        <v>Active</v>
      </c>
      <c r="H558" s="44" t="s">
        <v>2329</v>
      </c>
      <c r="I558" s="44" t="s">
        <v>2330</v>
      </c>
      <c r="J558" s="44" t="s">
        <v>2381</v>
      </c>
      <c r="K558" s="44" t="s">
        <v>2893</v>
      </c>
      <c r="L558" s="44" t="s">
        <v>2333</v>
      </c>
      <c r="M558" s="43">
        <v>20</v>
      </c>
      <c r="N558" s="113" t="s">
        <v>1113</v>
      </c>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t="s">
        <v>1113</v>
      </c>
      <c r="AL558" s="113"/>
      <c r="AM558" s="113"/>
      <c r="AN558" s="113"/>
      <c r="AO558" s="44" t="s">
        <v>2334</v>
      </c>
      <c r="AP558" s="43"/>
      <c r="AQ558" s="236" t="str">
        <f>VLOOKUP(Table8[[#This Row],[Instrument]],Def_Targets!$D$73:$E$159,2,FALSE)</f>
        <v>I_RE</v>
      </c>
      <c r="AR558" s="233" t="str">
        <f>VLOOKUP(Table8[[#This Row],[Country Code]],Table29[],3,FALSE)</f>
        <v>Non-Annex I</v>
      </c>
      <c r="AS558" s="233" t="str">
        <f>VLOOKUP(Table8[[#This Row],[Country Code]],Table29[],4,FALSE)</f>
        <v>Asia</v>
      </c>
      <c r="AT558" s="233" t="str">
        <f>VLOOKUP(Table8[[#This Row],[Country Code]],Table29[],5,FALSE)</f>
        <v>Middle-income</v>
      </c>
      <c r="AU558" s="233" t="str">
        <f>VLOOKUP(Table8[[#This Row],[Country Code]],Table29[],6,FALSE)</f>
        <v>G20</v>
      </c>
      <c r="AV558" s="233" t="str">
        <f>VLOOKUP(Table8[[#This Row],[Country Code]],Table29[],7,FALSE)</f>
        <v>no</v>
      </c>
      <c r="AW558" s="233" t="str">
        <f>VLOOKUP(Table8[[#This Row],[Country Code]],Table29[],8,FALSE)</f>
        <v>non-OECD</v>
      </c>
      <c r="AX558" s="233" t="str">
        <f>VLOOKUP(Table8[[#This Row],[Country Code]],Table29[],9,FALSE)</f>
        <v>no</v>
      </c>
      <c r="AY558" s="233" t="str">
        <f>VLOOKUP(Table8[[#This Row],[Country Code]],Table29[],10,FALSE)</f>
        <v>no</v>
      </c>
      <c r="AZ558" s="235">
        <f>VLOOKUP(Table8[[#This Row],[Country Code]],Table29[],23,FALSE)</f>
        <v>15943.986552905</v>
      </c>
      <c r="BA558" s="235">
        <f>VLOOKUP(Table8[[#This Row],[Country Code]],Table29[],24,FALSE)</f>
        <v>1110.1781062864729</v>
      </c>
      <c r="BB558" s="320"/>
      <c r="BC558" s="320"/>
    </row>
    <row r="559" spans="1:55" hidden="1" x14ac:dyDescent="0.25">
      <c r="A559" s="373">
        <v>24705</v>
      </c>
      <c r="B559" s="233" t="str">
        <f>VLOOKUP(Table8[[#This Row],[Document ID]],Table1[],2,FALSE)</f>
        <v>CHN</v>
      </c>
      <c r="C559" s="233" t="str">
        <f>VLOOKUP(Table8[[#This Row],[Document ID]],Table1[],3,FALSE)</f>
        <v>China</v>
      </c>
      <c r="D559" s="243" t="str">
        <f>VLOOKUP(Table8[[#This Row],[Document ID]],Table1[],5,FALSE)</f>
        <v>LTS</v>
      </c>
      <c r="E559" s="233" t="str">
        <f>VLOOKUP(Table8[[#This Row],[Document ID]],Table1[],7,FALSE)</f>
        <v>LTS</v>
      </c>
      <c r="F559" s="233" t="str">
        <f>VLOOKUP(Table8[[#This Row],[Document ID]],Table1[],8,FALSE)</f>
        <v>LTS 1.0</v>
      </c>
      <c r="G559" s="233" t="str">
        <f>VLOOKUP(Table8[[#This Row],[Document ID]],Table1[],10,FALSE)</f>
        <v>Active</v>
      </c>
      <c r="H559" s="44" t="s">
        <v>2329</v>
      </c>
      <c r="I559" s="44" t="s">
        <v>2330</v>
      </c>
      <c r="J559" s="44" t="s">
        <v>2363</v>
      </c>
      <c r="K559" s="44" t="s">
        <v>2894</v>
      </c>
      <c r="L559" s="44" t="s">
        <v>2333</v>
      </c>
      <c r="M559" s="43">
        <v>20</v>
      </c>
      <c r="N559" s="113" t="s">
        <v>1113</v>
      </c>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t="s">
        <v>1113</v>
      </c>
      <c r="AL559" s="113"/>
      <c r="AM559" s="113"/>
      <c r="AN559" s="113"/>
      <c r="AO559" s="44" t="s">
        <v>2334</v>
      </c>
      <c r="AP559" s="43"/>
      <c r="AQ559" s="236" t="str">
        <f>VLOOKUP(Table8[[#This Row],[Instrument]],Def_Targets!$D$73:$E$159,2,FALSE)</f>
        <v>I_LPGCNGLNG</v>
      </c>
      <c r="AR559" s="233" t="str">
        <f>VLOOKUP(Table8[[#This Row],[Country Code]],Table29[],3,FALSE)</f>
        <v>Non-Annex I</v>
      </c>
      <c r="AS559" s="233" t="str">
        <f>VLOOKUP(Table8[[#This Row],[Country Code]],Table29[],4,FALSE)</f>
        <v>Asia</v>
      </c>
      <c r="AT559" s="233" t="str">
        <f>VLOOKUP(Table8[[#This Row],[Country Code]],Table29[],5,FALSE)</f>
        <v>Middle-income</v>
      </c>
      <c r="AU559" s="233" t="str">
        <f>VLOOKUP(Table8[[#This Row],[Country Code]],Table29[],6,FALSE)</f>
        <v>G20</v>
      </c>
      <c r="AV559" s="233" t="str">
        <f>VLOOKUP(Table8[[#This Row],[Country Code]],Table29[],7,FALSE)</f>
        <v>no</v>
      </c>
      <c r="AW559" s="233" t="str">
        <f>VLOOKUP(Table8[[#This Row],[Country Code]],Table29[],8,FALSE)</f>
        <v>non-OECD</v>
      </c>
      <c r="AX559" s="233" t="str">
        <f>VLOOKUP(Table8[[#This Row],[Country Code]],Table29[],9,FALSE)</f>
        <v>no</v>
      </c>
      <c r="AY559" s="233" t="str">
        <f>VLOOKUP(Table8[[#This Row],[Country Code]],Table29[],10,FALSE)</f>
        <v>no</v>
      </c>
      <c r="AZ559" s="235">
        <f>VLOOKUP(Table8[[#This Row],[Country Code]],Table29[],23,FALSE)</f>
        <v>15943.986552905</v>
      </c>
      <c r="BA559" s="235">
        <f>VLOOKUP(Table8[[#This Row],[Country Code]],Table29[],24,FALSE)</f>
        <v>1110.1781062864729</v>
      </c>
      <c r="BB559" s="320"/>
      <c r="BC559" s="320"/>
    </row>
    <row r="560" spans="1:55" ht="30" hidden="1" x14ac:dyDescent="0.25">
      <c r="A560" s="373">
        <v>17565</v>
      </c>
      <c r="B560" s="233" t="str">
        <f>VLOOKUP(Table8[[#This Row],[Document ID]],Table1[],2,FALSE)</f>
        <v>CIV</v>
      </c>
      <c r="C560" s="233" t="str">
        <f>VLOOKUP(Table8[[#This Row],[Document ID]],Table1[],3,FALSE)</f>
        <v>Côte D'Ivoire</v>
      </c>
      <c r="D560" s="243" t="str">
        <f>VLOOKUP(Table8[[#This Row],[Document ID]],Table1[],5,FALSE)</f>
        <v>NDC</v>
      </c>
      <c r="E560" s="233" t="str">
        <f>VLOOKUP(Table8[[#This Row],[Document ID]],Table1[],7,FALSE)</f>
        <v>First NDC</v>
      </c>
      <c r="F560" s="236" t="str">
        <f>VLOOKUP(Table8[[#This Row],[Document ID]],Table1[],8,FALSE)</f>
        <v>NDC 1.0</v>
      </c>
      <c r="G560" s="236" t="str">
        <f>VLOOKUP(Table8[[#This Row],[Document ID]],Table1[],10,FALSE)</f>
        <v>Archived</v>
      </c>
      <c r="H560" s="44" t="s">
        <v>2329</v>
      </c>
      <c r="I560" s="44" t="s">
        <v>2330</v>
      </c>
      <c r="J560" s="44" t="s">
        <v>2691</v>
      </c>
      <c r="K560" s="44" t="s">
        <v>2895</v>
      </c>
      <c r="L560" s="44" t="s">
        <v>2333</v>
      </c>
      <c r="M560" s="43"/>
      <c r="N560" s="113" t="s">
        <v>1113</v>
      </c>
      <c r="O560" s="113"/>
      <c r="P560" s="113"/>
      <c r="Q560" s="319"/>
      <c r="R560" s="319"/>
      <c r="S560" s="319"/>
      <c r="T560" s="319"/>
      <c r="U560" s="319"/>
      <c r="V560" s="319"/>
      <c r="W560" s="319"/>
      <c r="X560" s="319"/>
      <c r="Y560" s="319"/>
      <c r="Z560" s="319"/>
      <c r="AA560" s="319"/>
      <c r="AB560" s="319"/>
      <c r="AC560" s="319"/>
      <c r="AD560" s="319"/>
      <c r="AE560" s="319"/>
      <c r="AF560" s="319"/>
      <c r="AG560" s="319"/>
      <c r="AH560" s="319"/>
      <c r="AI560" s="319"/>
      <c r="AJ560" s="319"/>
      <c r="AK560" s="319" t="s">
        <v>1113</v>
      </c>
      <c r="AL560" s="319"/>
      <c r="AM560" s="319"/>
      <c r="AN560" s="319"/>
      <c r="AO560" s="44" t="s">
        <v>2334</v>
      </c>
      <c r="AP560" s="44"/>
      <c r="AQ560" s="236" t="str">
        <f>VLOOKUP(Table8[[#This Row],[Instrument]],Def_Targets!$D$73:$E$159,2,FALSE)</f>
        <v>I_Lowemissionincentive</v>
      </c>
      <c r="AR560" s="233" t="str">
        <f>VLOOKUP(Table8[[#This Row],[Country Code]],Table29[],3,FALSE)</f>
        <v>Non-Annex I</v>
      </c>
      <c r="AS560" s="233" t="str">
        <f>VLOOKUP(Table8[[#This Row],[Country Code]],Table29[],4,FALSE)</f>
        <v>Africa</v>
      </c>
      <c r="AT560" s="233" t="str">
        <f>VLOOKUP(Table8[[#This Row],[Country Code]],Table29[],5,FALSE)</f>
        <v>Middle-income</v>
      </c>
      <c r="AU560" s="233" t="str">
        <f>VLOOKUP(Table8[[#This Row],[Country Code]],Table29[],6,FALSE)</f>
        <v>no</v>
      </c>
      <c r="AV560" s="233" t="str">
        <f>VLOOKUP(Table8[[#This Row],[Country Code]],Table29[],7,FALSE)</f>
        <v>no</v>
      </c>
      <c r="AW560" s="233" t="str">
        <f>VLOOKUP(Table8[[#This Row],[Country Code]],Table29[],8,FALSE)</f>
        <v>non-OECD</v>
      </c>
      <c r="AX560" s="233" t="str">
        <f>VLOOKUP(Table8[[#This Row],[Country Code]],Table29[],9,FALSE)</f>
        <v>no</v>
      </c>
      <c r="AY560" s="233" t="str">
        <f>VLOOKUP(Table8[[#This Row],[Country Code]],Table29[],10,FALSE)</f>
        <v>no</v>
      </c>
      <c r="AZ560" s="235">
        <f>VLOOKUP(Table8[[#This Row],[Country Code]],Table29[],23,FALSE)</f>
        <v>32.184005493065001</v>
      </c>
      <c r="BA560" s="235">
        <f>VLOOKUP(Table8[[#This Row],[Country Code]],Table29[],24,FALSE)</f>
        <v>5.258263110860768</v>
      </c>
      <c r="BB560" s="320"/>
      <c r="BC560" s="320"/>
    </row>
    <row r="561" spans="1:55" hidden="1" x14ac:dyDescent="0.25">
      <c r="A561" s="373">
        <v>17565</v>
      </c>
      <c r="B561" s="233" t="str">
        <f>VLOOKUP(Table8[[#This Row],[Document ID]],Table1[],2,FALSE)</f>
        <v>CIV</v>
      </c>
      <c r="C561" s="233" t="str">
        <f>VLOOKUP(Table8[[#This Row],[Document ID]],Table1[],3,FALSE)</f>
        <v>Côte D'Ivoire</v>
      </c>
      <c r="D561" s="243" t="str">
        <f>VLOOKUP(Table8[[#This Row],[Document ID]],Table1[],5,FALSE)</f>
        <v>NDC</v>
      </c>
      <c r="E561" s="233" t="str">
        <f>VLOOKUP(Table8[[#This Row],[Document ID]],Table1[],7,FALSE)</f>
        <v>First NDC</v>
      </c>
      <c r="F561" s="236" t="str">
        <f>VLOOKUP(Table8[[#This Row],[Document ID]],Table1[],8,FALSE)</f>
        <v>NDC 1.0</v>
      </c>
      <c r="G561" s="236" t="str">
        <f>VLOOKUP(Table8[[#This Row],[Document ID]],Table1[],10,FALSE)</f>
        <v>Archived</v>
      </c>
      <c r="H561" s="44" t="s">
        <v>2338</v>
      </c>
      <c r="I561" s="44" t="s">
        <v>2339</v>
      </c>
      <c r="J561" s="44" t="s">
        <v>2416</v>
      </c>
      <c r="K561" s="44" t="s">
        <v>2896</v>
      </c>
      <c r="L561" s="44" t="s">
        <v>2333</v>
      </c>
      <c r="M561" s="43"/>
      <c r="N561" s="113" t="s">
        <v>1113</v>
      </c>
      <c r="O561" s="113"/>
      <c r="P561" s="113"/>
      <c r="Q561" s="319"/>
      <c r="R561" s="319"/>
      <c r="S561" s="319"/>
      <c r="T561" s="319"/>
      <c r="U561" s="319"/>
      <c r="V561" s="319"/>
      <c r="W561" s="319"/>
      <c r="X561" s="319"/>
      <c r="Y561" s="319"/>
      <c r="Z561" s="319"/>
      <c r="AA561" s="319"/>
      <c r="AB561" s="319"/>
      <c r="AC561" s="319"/>
      <c r="AD561" s="319"/>
      <c r="AE561" s="319"/>
      <c r="AF561" s="319"/>
      <c r="AG561" s="319"/>
      <c r="AH561" s="319"/>
      <c r="AI561" s="319"/>
      <c r="AJ561" s="319"/>
      <c r="AK561" s="319" t="s">
        <v>1113</v>
      </c>
      <c r="AL561" s="319"/>
      <c r="AM561" s="319"/>
      <c r="AN561" s="319"/>
      <c r="AO561" s="44" t="s">
        <v>2334</v>
      </c>
      <c r="AP561" s="44"/>
      <c r="AQ561" s="236" t="str">
        <f>VLOOKUP(Table8[[#This Row],[Instrument]],Def_Targets!$D$73:$E$159,2,FALSE)</f>
        <v>I_Vehiclescrappage</v>
      </c>
      <c r="AR561" s="233" t="str">
        <f>VLOOKUP(Table8[[#This Row],[Country Code]],Table29[],3,FALSE)</f>
        <v>Non-Annex I</v>
      </c>
      <c r="AS561" s="233" t="str">
        <f>VLOOKUP(Table8[[#This Row],[Country Code]],Table29[],4,FALSE)</f>
        <v>Africa</v>
      </c>
      <c r="AT561" s="233" t="str">
        <f>VLOOKUP(Table8[[#This Row],[Country Code]],Table29[],5,FALSE)</f>
        <v>Middle-income</v>
      </c>
      <c r="AU561" s="233" t="str">
        <f>VLOOKUP(Table8[[#This Row],[Country Code]],Table29[],6,FALSE)</f>
        <v>no</v>
      </c>
      <c r="AV561" s="233" t="str">
        <f>VLOOKUP(Table8[[#This Row],[Country Code]],Table29[],7,FALSE)</f>
        <v>no</v>
      </c>
      <c r="AW561" s="233" t="str">
        <f>VLOOKUP(Table8[[#This Row],[Country Code]],Table29[],8,FALSE)</f>
        <v>non-OECD</v>
      </c>
      <c r="AX561" s="233" t="str">
        <f>VLOOKUP(Table8[[#This Row],[Country Code]],Table29[],9,FALSE)</f>
        <v>no</v>
      </c>
      <c r="AY561" s="233" t="str">
        <f>VLOOKUP(Table8[[#This Row],[Country Code]],Table29[],10,FALSE)</f>
        <v>no</v>
      </c>
      <c r="AZ561" s="235">
        <f>VLOOKUP(Table8[[#This Row],[Country Code]],Table29[],23,FALSE)</f>
        <v>32.184005493065001</v>
      </c>
      <c r="BA561" s="235">
        <f>VLOOKUP(Table8[[#This Row],[Country Code]],Table29[],24,FALSE)</f>
        <v>5.258263110860768</v>
      </c>
      <c r="BB561" s="320"/>
      <c r="BC561" s="320"/>
    </row>
    <row r="562" spans="1:55" hidden="1" x14ac:dyDescent="0.25">
      <c r="A562" s="373">
        <v>17565</v>
      </c>
      <c r="B562" s="233" t="str">
        <f>VLOOKUP(Table8[[#This Row],[Document ID]],Table1[],2,FALSE)</f>
        <v>CIV</v>
      </c>
      <c r="C562" s="233" t="str">
        <f>VLOOKUP(Table8[[#This Row],[Document ID]],Table1[],3,FALSE)</f>
        <v>Côte D'Ivoire</v>
      </c>
      <c r="D562" s="243" t="str">
        <f>VLOOKUP(Table8[[#This Row],[Document ID]],Table1[],5,FALSE)</f>
        <v>NDC</v>
      </c>
      <c r="E562" s="233" t="str">
        <f>VLOOKUP(Table8[[#This Row],[Document ID]],Table1[],7,FALSE)</f>
        <v>First NDC</v>
      </c>
      <c r="F562" s="236" t="str">
        <f>VLOOKUP(Table8[[#This Row],[Document ID]],Table1[],8,FALSE)</f>
        <v>NDC 1.0</v>
      </c>
      <c r="G562" s="236" t="str">
        <f>VLOOKUP(Table8[[#This Row],[Document ID]],Table1[],10,FALSE)</f>
        <v>Archived</v>
      </c>
      <c r="H562" s="43" t="s">
        <v>2350</v>
      </c>
      <c r="I562" s="43" t="s">
        <v>2370</v>
      </c>
      <c r="J562" s="44" t="s">
        <v>2418</v>
      </c>
      <c r="K562" s="44" t="s">
        <v>2897</v>
      </c>
      <c r="L562" s="44" t="s">
        <v>2380</v>
      </c>
      <c r="M562" s="43"/>
      <c r="N562" s="113" t="s">
        <v>1113</v>
      </c>
      <c r="O562" s="113"/>
      <c r="P562" s="113"/>
      <c r="Q562" s="319"/>
      <c r="R562" s="319"/>
      <c r="S562" s="319"/>
      <c r="T562" s="319"/>
      <c r="U562" s="319"/>
      <c r="V562" s="319"/>
      <c r="W562" s="319"/>
      <c r="X562" s="319"/>
      <c r="Y562" s="319"/>
      <c r="Z562" s="319"/>
      <c r="AA562" s="319"/>
      <c r="AB562" s="319"/>
      <c r="AC562" s="319"/>
      <c r="AD562" s="319"/>
      <c r="AE562" s="319"/>
      <c r="AF562" s="319"/>
      <c r="AG562" s="319"/>
      <c r="AH562" s="319"/>
      <c r="AI562" s="319"/>
      <c r="AJ562" s="319"/>
      <c r="AK562" s="319" t="s">
        <v>1113</v>
      </c>
      <c r="AL562" s="319"/>
      <c r="AM562" s="319"/>
      <c r="AN562" s="319"/>
      <c r="AO562" s="44" t="s">
        <v>2334</v>
      </c>
      <c r="AP562" s="44"/>
      <c r="AQ562" s="236" t="str">
        <f>VLOOKUP(Table8[[#This Row],[Instrument]],Def_Targets!$D$73:$E$159,2,FALSE)</f>
        <v>A_Complan</v>
      </c>
      <c r="AR562" s="233" t="str">
        <f>VLOOKUP(Table8[[#This Row],[Country Code]],Table29[],3,FALSE)</f>
        <v>Non-Annex I</v>
      </c>
      <c r="AS562" s="233" t="str">
        <f>VLOOKUP(Table8[[#This Row],[Country Code]],Table29[],4,FALSE)</f>
        <v>Africa</v>
      </c>
      <c r="AT562" s="233" t="str">
        <f>VLOOKUP(Table8[[#This Row],[Country Code]],Table29[],5,FALSE)</f>
        <v>Middle-income</v>
      </c>
      <c r="AU562" s="233" t="str">
        <f>VLOOKUP(Table8[[#This Row],[Country Code]],Table29[],6,FALSE)</f>
        <v>no</v>
      </c>
      <c r="AV562" s="233" t="str">
        <f>VLOOKUP(Table8[[#This Row],[Country Code]],Table29[],7,FALSE)</f>
        <v>no</v>
      </c>
      <c r="AW562" s="233" t="str">
        <f>VLOOKUP(Table8[[#This Row],[Country Code]],Table29[],8,FALSE)</f>
        <v>non-OECD</v>
      </c>
      <c r="AX562" s="233" t="str">
        <f>VLOOKUP(Table8[[#This Row],[Country Code]],Table29[],9,FALSE)</f>
        <v>no</v>
      </c>
      <c r="AY562" s="233" t="str">
        <f>VLOOKUP(Table8[[#This Row],[Country Code]],Table29[],10,FALSE)</f>
        <v>no</v>
      </c>
      <c r="AZ562" s="235">
        <f>VLOOKUP(Table8[[#This Row],[Country Code]],Table29[],23,FALSE)</f>
        <v>32.184005493065001</v>
      </c>
      <c r="BA562" s="235">
        <f>VLOOKUP(Table8[[#This Row],[Country Code]],Table29[],24,FALSE)</f>
        <v>5.258263110860768</v>
      </c>
      <c r="BB562" s="320"/>
      <c r="BC562" s="320"/>
    </row>
    <row r="563" spans="1:55" hidden="1" x14ac:dyDescent="0.25">
      <c r="A563" s="373">
        <v>17565</v>
      </c>
      <c r="B563" s="233" t="str">
        <f>VLOOKUP(Table8[[#This Row],[Document ID]],Table1[],2,FALSE)</f>
        <v>CIV</v>
      </c>
      <c r="C563" s="233" t="str">
        <f>VLOOKUP(Table8[[#This Row],[Document ID]],Table1[],3,FALSE)</f>
        <v>Côte D'Ivoire</v>
      </c>
      <c r="D563" s="243" t="str">
        <f>VLOOKUP(Table8[[#This Row],[Document ID]],Table1[],5,FALSE)</f>
        <v>NDC</v>
      </c>
      <c r="E563" s="233" t="str">
        <f>VLOOKUP(Table8[[#This Row],[Document ID]],Table1[],7,FALSE)</f>
        <v>First NDC</v>
      </c>
      <c r="F563" s="236" t="str">
        <f>VLOOKUP(Table8[[#This Row],[Document ID]],Table1[],8,FALSE)</f>
        <v>NDC 1.0</v>
      </c>
      <c r="G563" s="236" t="str">
        <f>VLOOKUP(Table8[[#This Row],[Document ID]],Table1[],10,FALSE)</f>
        <v>Archived</v>
      </c>
      <c r="H563" s="43" t="s">
        <v>2350</v>
      </c>
      <c r="I563" s="43" t="s">
        <v>2370</v>
      </c>
      <c r="J563" s="44" t="s">
        <v>2418</v>
      </c>
      <c r="K563" s="44" t="s">
        <v>2898</v>
      </c>
      <c r="L563" s="44" t="s">
        <v>2347</v>
      </c>
      <c r="M563" s="43"/>
      <c r="N563" s="113" t="s">
        <v>1113</v>
      </c>
      <c r="O563" s="113"/>
      <c r="P563" s="113"/>
      <c r="Q563" s="319"/>
      <c r="R563" s="319"/>
      <c r="S563" s="319"/>
      <c r="T563" s="319"/>
      <c r="U563" s="319"/>
      <c r="V563" s="319"/>
      <c r="W563" s="319"/>
      <c r="X563" s="319"/>
      <c r="Y563" s="319"/>
      <c r="Z563" s="319"/>
      <c r="AA563" s="319"/>
      <c r="AB563" s="319"/>
      <c r="AC563" s="319"/>
      <c r="AD563" s="319"/>
      <c r="AE563" s="319"/>
      <c r="AF563" s="319"/>
      <c r="AG563" s="319"/>
      <c r="AH563" s="319"/>
      <c r="AI563" s="319"/>
      <c r="AJ563" s="319"/>
      <c r="AK563" s="319"/>
      <c r="AL563" s="113" t="s">
        <v>1113</v>
      </c>
      <c r="AM563" s="319"/>
      <c r="AN563" s="319"/>
      <c r="AO563" s="44" t="s">
        <v>2334</v>
      </c>
      <c r="AP563" s="44"/>
      <c r="AQ563" s="236" t="str">
        <f>VLOOKUP(Table8[[#This Row],[Instrument]],Def_Targets!$D$73:$E$159,2,FALSE)</f>
        <v>A_Complan</v>
      </c>
      <c r="AR563" s="233" t="str">
        <f>VLOOKUP(Table8[[#This Row],[Country Code]],Table29[],3,FALSE)</f>
        <v>Non-Annex I</v>
      </c>
      <c r="AS563" s="233" t="str">
        <f>VLOOKUP(Table8[[#This Row],[Country Code]],Table29[],4,FALSE)</f>
        <v>Africa</v>
      </c>
      <c r="AT563" s="233" t="str">
        <f>VLOOKUP(Table8[[#This Row],[Country Code]],Table29[],5,FALSE)</f>
        <v>Middle-income</v>
      </c>
      <c r="AU563" s="233" t="str">
        <f>VLOOKUP(Table8[[#This Row],[Country Code]],Table29[],6,FALSE)</f>
        <v>no</v>
      </c>
      <c r="AV563" s="233" t="str">
        <f>VLOOKUP(Table8[[#This Row],[Country Code]],Table29[],7,FALSE)</f>
        <v>no</v>
      </c>
      <c r="AW563" s="233" t="str">
        <f>VLOOKUP(Table8[[#This Row],[Country Code]],Table29[],8,FALSE)</f>
        <v>non-OECD</v>
      </c>
      <c r="AX563" s="233" t="str">
        <f>VLOOKUP(Table8[[#This Row],[Country Code]],Table29[],9,FALSE)</f>
        <v>no</v>
      </c>
      <c r="AY563" s="233" t="str">
        <f>VLOOKUP(Table8[[#This Row],[Country Code]],Table29[],10,FALSE)</f>
        <v>no</v>
      </c>
      <c r="AZ563" s="235">
        <f>VLOOKUP(Table8[[#This Row],[Country Code]],Table29[],23,FALSE)</f>
        <v>32.184005493065001</v>
      </c>
      <c r="BA563" s="235">
        <f>VLOOKUP(Table8[[#This Row],[Country Code]],Table29[],24,FALSE)</f>
        <v>5.258263110860768</v>
      </c>
      <c r="BB563" s="320"/>
      <c r="BC563" s="320"/>
    </row>
    <row r="564" spans="1:55" hidden="1" x14ac:dyDescent="0.25">
      <c r="A564" s="373">
        <v>17565</v>
      </c>
      <c r="B564" s="233" t="str">
        <f>VLOOKUP(Table8[[#This Row],[Document ID]],Table1[],2,FALSE)</f>
        <v>CIV</v>
      </c>
      <c r="C564" s="233" t="str">
        <f>VLOOKUP(Table8[[#This Row],[Document ID]],Table1[],3,FALSE)</f>
        <v>Côte D'Ivoire</v>
      </c>
      <c r="D564" s="243" t="str">
        <f>VLOOKUP(Table8[[#This Row],[Document ID]],Table1[],5,FALSE)</f>
        <v>NDC</v>
      </c>
      <c r="E564" s="233" t="str">
        <f>VLOOKUP(Table8[[#This Row],[Document ID]],Table1[],7,FALSE)</f>
        <v>First NDC</v>
      </c>
      <c r="F564" s="236" t="str">
        <f>VLOOKUP(Table8[[#This Row],[Document ID]],Table1[],8,FALSE)</f>
        <v>NDC 1.0</v>
      </c>
      <c r="G564" s="236" t="str">
        <f>VLOOKUP(Table8[[#This Row],[Document ID]],Table1[],10,FALSE)</f>
        <v>Archived</v>
      </c>
      <c r="H564" s="43" t="s">
        <v>2350</v>
      </c>
      <c r="I564" s="43" t="s">
        <v>2370</v>
      </c>
      <c r="J564" s="44" t="s">
        <v>2418</v>
      </c>
      <c r="K564" s="44" t="s">
        <v>2899</v>
      </c>
      <c r="L564" s="44" t="s">
        <v>2347</v>
      </c>
      <c r="M564" s="43"/>
      <c r="N564" s="113" t="s">
        <v>1113</v>
      </c>
      <c r="O564" s="113"/>
      <c r="P564" s="113"/>
      <c r="Q564" s="319"/>
      <c r="R564" s="319"/>
      <c r="S564" s="319"/>
      <c r="T564" s="319"/>
      <c r="U564" s="319"/>
      <c r="V564" s="319"/>
      <c r="W564" s="319"/>
      <c r="X564" s="319"/>
      <c r="Y564" s="319"/>
      <c r="Z564" s="319"/>
      <c r="AA564" s="319"/>
      <c r="AB564" s="319"/>
      <c r="AC564" s="319"/>
      <c r="AD564" s="319"/>
      <c r="AE564" s="319"/>
      <c r="AF564" s="319"/>
      <c r="AG564" s="319"/>
      <c r="AH564" s="319"/>
      <c r="AI564" s="319"/>
      <c r="AJ564" s="319"/>
      <c r="AK564" s="319" t="s">
        <v>1113</v>
      </c>
      <c r="AL564" s="319"/>
      <c r="AM564" s="319"/>
      <c r="AN564" s="319"/>
      <c r="AO564" s="44" t="s">
        <v>2334</v>
      </c>
      <c r="AP564" s="44"/>
      <c r="AQ564" s="236" t="str">
        <f>VLOOKUP(Table8[[#This Row],[Instrument]],Def_Targets!$D$73:$E$159,2,FALSE)</f>
        <v>A_Complan</v>
      </c>
      <c r="AR564" s="233" t="str">
        <f>VLOOKUP(Table8[[#This Row],[Country Code]],Table29[],3,FALSE)</f>
        <v>Non-Annex I</v>
      </c>
      <c r="AS564" s="233" t="str">
        <f>VLOOKUP(Table8[[#This Row],[Country Code]],Table29[],4,FALSE)</f>
        <v>Africa</v>
      </c>
      <c r="AT564" s="233" t="str">
        <f>VLOOKUP(Table8[[#This Row],[Country Code]],Table29[],5,FALSE)</f>
        <v>Middle-income</v>
      </c>
      <c r="AU564" s="233" t="str">
        <f>VLOOKUP(Table8[[#This Row],[Country Code]],Table29[],6,FALSE)</f>
        <v>no</v>
      </c>
      <c r="AV564" s="233" t="str">
        <f>VLOOKUP(Table8[[#This Row],[Country Code]],Table29[],7,FALSE)</f>
        <v>no</v>
      </c>
      <c r="AW564" s="233" t="str">
        <f>VLOOKUP(Table8[[#This Row],[Country Code]],Table29[],8,FALSE)</f>
        <v>non-OECD</v>
      </c>
      <c r="AX564" s="233" t="str">
        <f>VLOOKUP(Table8[[#This Row],[Country Code]],Table29[],9,FALSE)</f>
        <v>no</v>
      </c>
      <c r="AY564" s="233" t="str">
        <f>VLOOKUP(Table8[[#This Row],[Country Code]],Table29[],10,FALSE)</f>
        <v>no</v>
      </c>
      <c r="AZ564" s="235">
        <f>VLOOKUP(Table8[[#This Row],[Country Code]],Table29[],23,FALSE)</f>
        <v>32.184005493065001</v>
      </c>
      <c r="BA564" s="235">
        <f>VLOOKUP(Table8[[#This Row],[Country Code]],Table29[],24,FALSE)</f>
        <v>5.258263110860768</v>
      </c>
      <c r="BB564" s="320"/>
      <c r="BC564" s="320"/>
    </row>
    <row r="565" spans="1:55" ht="30" hidden="1" x14ac:dyDescent="0.25">
      <c r="A565" s="373">
        <v>17565</v>
      </c>
      <c r="B565" s="233" t="str">
        <f>VLOOKUP(Table8[[#This Row],[Document ID]],Table1[],2,FALSE)</f>
        <v>CIV</v>
      </c>
      <c r="C565" s="233" t="str">
        <f>VLOOKUP(Table8[[#This Row],[Document ID]],Table1[],3,FALSE)</f>
        <v>Côte D'Ivoire</v>
      </c>
      <c r="D565" s="243" t="str">
        <f>VLOOKUP(Table8[[#This Row],[Document ID]],Table1[],5,FALSE)</f>
        <v>NDC</v>
      </c>
      <c r="E565" s="233" t="str">
        <f>VLOOKUP(Table8[[#This Row],[Document ID]],Table1[],7,FALSE)</f>
        <v>First NDC</v>
      </c>
      <c r="F565" s="236" t="str">
        <f>VLOOKUP(Table8[[#This Row],[Document ID]],Table1[],8,FALSE)</f>
        <v>NDC 1.0</v>
      </c>
      <c r="G565" s="236" t="str">
        <f>VLOOKUP(Table8[[#This Row],[Document ID]],Table1[],10,FALSE)</f>
        <v>Archived</v>
      </c>
      <c r="H565" s="44" t="s">
        <v>2338</v>
      </c>
      <c r="I565" s="44" t="s">
        <v>2339</v>
      </c>
      <c r="J565" s="44" t="s">
        <v>2340</v>
      </c>
      <c r="K565" s="44" t="s">
        <v>2900</v>
      </c>
      <c r="L565" s="44" t="s">
        <v>2333</v>
      </c>
      <c r="M565" s="43"/>
      <c r="N565" s="113" t="s">
        <v>1113</v>
      </c>
      <c r="O565" s="113"/>
      <c r="P565" s="113"/>
      <c r="Q565" s="319"/>
      <c r="R565" s="319"/>
      <c r="S565" s="319"/>
      <c r="T565" s="319"/>
      <c r="U565" s="319"/>
      <c r="V565" s="319"/>
      <c r="W565" s="319"/>
      <c r="X565" s="319"/>
      <c r="Y565" s="319"/>
      <c r="Z565" s="319"/>
      <c r="AA565" s="319"/>
      <c r="AB565" s="319"/>
      <c r="AC565" s="319"/>
      <c r="AD565" s="319"/>
      <c r="AE565" s="319"/>
      <c r="AF565" s="319"/>
      <c r="AG565" s="319"/>
      <c r="AH565" s="319"/>
      <c r="AI565" s="319"/>
      <c r="AJ565" s="319"/>
      <c r="AK565" s="319" t="s">
        <v>1113</v>
      </c>
      <c r="AL565" s="319"/>
      <c r="AM565" s="319"/>
      <c r="AN565" s="319"/>
      <c r="AO565" s="44" t="s">
        <v>2334</v>
      </c>
      <c r="AP565" s="44"/>
      <c r="AQ565" s="236" t="str">
        <f>VLOOKUP(Table8[[#This Row],[Instrument]],Def_Targets!$D$73:$E$159,2,FALSE)</f>
        <v>I_Vehicleimprove</v>
      </c>
      <c r="AR565" s="233" t="str">
        <f>VLOOKUP(Table8[[#This Row],[Country Code]],Table29[],3,FALSE)</f>
        <v>Non-Annex I</v>
      </c>
      <c r="AS565" s="233" t="str">
        <f>VLOOKUP(Table8[[#This Row],[Country Code]],Table29[],4,FALSE)</f>
        <v>Africa</v>
      </c>
      <c r="AT565" s="233" t="str">
        <f>VLOOKUP(Table8[[#This Row],[Country Code]],Table29[],5,FALSE)</f>
        <v>Middle-income</v>
      </c>
      <c r="AU565" s="233" t="str">
        <f>VLOOKUP(Table8[[#This Row],[Country Code]],Table29[],6,FALSE)</f>
        <v>no</v>
      </c>
      <c r="AV565" s="233" t="str">
        <f>VLOOKUP(Table8[[#This Row],[Country Code]],Table29[],7,FALSE)</f>
        <v>no</v>
      </c>
      <c r="AW565" s="233" t="str">
        <f>VLOOKUP(Table8[[#This Row],[Country Code]],Table29[],8,FALSE)</f>
        <v>non-OECD</v>
      </c>
      <c r="AX565" s="233" t="str">
        <f>VLOOKUP(Table8[[#This Row],[Country Code]],Table29[],9,FALSE)</f>
        <v>no</v>
      </c>
      <c r="AY565" s="233" t="str">
        <f>VLOOKUP(Table8[[#This Row],[Country Code]],Table29[],10,FALSE)</f>
        <v>no</v>
      </c>
      <c r="AZ565" s="235">
        <f>VLOOKUP(Table8[[#This Row],[Country Code]],Table29[],23,FALSE)</f>
        <v>32.184005493065001</v>
      </c>
      <c r="BA565" s="235">
        <f>VLOOKUP(Table8[[#This Row],[Country Code]],Table29[],24,FALSE)</f>
        <v>5.258263110860768</v>
      </c>
      <c r="BB565" s="320"/>
      <c r="BC565" s="320"/>
    </row>
    <row r="566" spans="1:55" hidden="1" x14ac:dyDescent="0.25">
      <c r="A566" s="373">
        <v>26797</v>
      </c>
      <c r="B566" s="233" t="str">
        <f>VLOOKUP(Table8[[#This Row],[Document ID]],Table1[],2,FALSE)</f>
        <v>CIV</v>
      </c>
      <c r="C566" s="233" t="str">
        <f>VLOOKUP(Table8[[#This Row],[Document ID]],Table1[],3,FALSE)</f>
        <v>Côte D'Ivoire</v>
      </c>
      <c r="D566" s="243" t="str">
        <f>VLOOKUP(Table8[[#This Row],[Document ID]],Table1[],5,FALSE)</f>
        <v>NDC</v>
      </c>
      <c r="E566" s="233" t="str">
        <f>VLOOKUP(Table8[[#This Row],[Document ID]],Table1[],7,FALSE)</f>
        <v>Second NDC</v>
      </c>
      <c r="F566" s="233" t="str">
        <f>VLOOKUP(Table8[[#This Row],[Document ID]],Table1[],8,FALSE)</f>
        <v>NDC 2.0</v>
      </c>
      <c r="G566" s="233" t="str">
        <f>VLOOKUP(Table8[[#This Row],[Document ID]],Table1[],10,FALSE)</f>
        <v>Active</v>
      </c>
      <c r="H566" s="43" t="s">
        <v>2343</v>
      </c>
      <c r="I566" s="43" t="s">
        <v>2344</v>
      </c>
      <c r="J566" s="44" t="s">
        <v>2345</v>
      </c>
      <c r="K566" s="44" t="s">
        <v>2901</v>
      </c>
      <c r="L566" s="44" t="s">
        <v>2347</v>
      </c>
      <c r="M566" s="43">
        <v>11</v>
      </c>
      <c r="N566" s="113" t="s">
        <v>1113</v>
      </c>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t="s">
        <v>1113</v>
      </c>
      <c r="AL566" s="113"/>
      <c r="AM566" s="113"/>
      <c r="AN566" s="113"/>
      <c r="AO566" s="43" t="s">
        <v>2348</v>
      </c>
      <c r="AP566" s="43"/>
      <c r="AQ566" s="236" t="str">
        <f>VLOOKUP(Table8[[#This Row],[Instrument]],Def_Targets!$D$73:$E$159,2,FALSE)</f>
        <v>S_PublicTransport</v>
      </c>
      <c r="AR566" s="233" t="str">
        <f>VLOOKUP(Table8[[#This Row],[Country Code]],Table29[],3,FALSE)</f>
        <v>Non-Annex I</v>
      </c>
      <c r="AS566" s="233" t="str">
        <f>VLOOKUP(Table8[[#This Row],[Country Code]],Table29[],4,FALSE)</f>
        <v>Africa</v>
      </c>
      <c r="AT566" s="233" t="str">
        <f>VLOOKUP(Table8[[#This Row],[Country Code]],Table29[],5,FALSE)</f>
        <v>Middle-income</v>
      </c>
      <c r="AU566" s="233" t="str">
        <f>VLOOKUP(Table8[[#This Row],[Country Code]],Table29[],6,FALSE)</f>
        <v>no</v>
      </c>
      <c r="AV566" s="233" t="str">
        <f>VLOOKUP(Table8[[#This Row],[Country Code]],Table29[],7,FALSE)</f>
        <v>no</v>
      </c>
      <c r="AW566" s="233" t="str">
        <f>VLOOKUP(Table8[[#This Row],[Country Code]],Table29[],8,FALSE)</f>
        <v>non-OECD</v>
      </c>
      <c r="AX566" s="233" t="str">
        <f>VLOOKUP(Table8[[#This Row],[Country Code]],Table29[],9,FALSE)</f>
        <v>no</v>
      </c>
      <c r="AY566" s="233" t="str">
        <f>VLOOKUP(Table8[[#This Row],[Country Code]],Table29[],10,FALSE)</f>
        <v>no</v>
      </c>
      <c r="AZ566" s="235">
        <f>VLOOKUP(Table8[[#This Row],[Country Code]],Table29[],23,FALSE)</f>
        <v>32.184005493065001</v>
      </c>
      <c r="BA566" s="235">
        <f>VLOOKUP(Table8[[#This Row],[Country Code]],Table29[],24,FALSE)</f>
        <v>5.258263110860768</v>
      </c>
      <c r="BB566" s="320"/>
      <c r="BC566" s="320"/>
    </row>
    <row r="567" spans="1:55" hidden="1" x14ac:dyDescent="0.25">
      <c r="A567" s="373">
        <v>26797</v>
      </c>
      <c r="B567" s="233" t="str">
        <f>VLOOKUP(Table8[[#This Row],[Document ID]],Table1[],2,FALSE)</f>
        <v>CIV</v>
      </c>
      <c r="C567" s="233" t="str">
        <f>VLOOKUP(Table8[[#This Row],[Document ID]],Table1[],3,FALSE)</f>
        <v>Côte D'Ivoire</v>
      </c>
      <c r="D567" s="243" t="str">
        <f>VLOOKUP(Table8[[#This Row],[Document ID]],Table1[],5,FALSE)</f>
        <v>NDC</v>
      </c>
      <c r="E567" s="233" t="str">
        <f>VLOOKUP(Table8[[#This Row],[Document ID]],Table1[],7,FALSE)</f>
        <v>Second NDC</v>
      </c>
      <c r="F567" s="233" t="str">
        <f>VLOOKUP(Table8[[#This Row],[Document ID]],Table1[],8,FALSE)</f>
        <v>NDC 2.0</v>
      </c>
      <c r="G567" s="233" t="str">
        <f>VLOOKUP(Table8[[#This Row],[Document ID]],Table1[],10,FALSE)</f>
        <v>Active</v>
      </c>
      <c r="H567" s="44" t="s">
        <v>2338</v>
      </c>
      <c r="I567" s="44" t="s">
        <v>2339</v>
      </c>
      <c r="J567" s="44" t="s">
        <v>2340</v>
      </c>
      <c r="K567" s="44" t="s">
        <v>2902</v>
      </c>
      <c r="L567" s="44" t="s">
        <v>2333</v>
      </c>
      <c r="M567" s="43">
        <v>11</v>
      </c>
      <c r="N567" s="113"/>
      <c r="O567" s="113"/>
      <c r="P567" s="113"/>
      <c r="Q567" s="113"/>
      <c r="R567" s="113"/>
      <c r="S567" s="113"/>
      <c r="T567" s="113"/>
      <c r="U567" s="113" t="s">
        <v>1113</v>
      </c>
      <c r="V567" s="113"/>
      <c r="W567" s="113"/>
      <c r="X567" s="113"/>
      <c r="Y567" s="113"/>
      <c r="Z567" s="113"/>
      <c r="AA567" s="113"/>
      <c r="AB567" s="113"/>
      <c r="AC567" s="113"/>
      <c r="AD567" s="113"/>
      <c r="AE567" s="113"/>
      <c r="AF567" s="113"/>
      <c r="AG567" s="113"/>
      <c r="AH567" s="113"/>
      <c r="AI567" s="113"/>
      <c r="AJ567" s="113"/>
      <c r="AK567" s="113" t="s">
        <v>1113</v>
      </c>
      <c r="AL567" s="113"/>
      <c r="AM567" s="113"/>
      <c r="AN567" s="113"/>
      <c r="AO567" s="44" t="s">
        <v>2334</v>
      </c>
      <c r="AP567" s="43"/>
      <c r="AQ567" s="236" t="str">
        <f>VLOOKUP(Table8[[#This Row],[Instrument]],Def_Targets!$D$73:$E$159,2,FALSE)</f>
        <v>I_Vehicleimprove</v>
      </c>
      <c r="AR567" s="233" t="str">
        <f>VLOOKUP(Table8[[#This Row],[Country Code]],Table29[],3,FALSE)</f>
        <v>Non-Annex I</v>
      </c>
      <c r="AS567" s="233" t="str">
        <f>VLOOKUP(Table8[[#This Row],[Country Code]],Table29[],4,FALSE)</f>
        <v>Africa</v>
      </c>
      <c r="AT567" s="233" t="str">
        <f>VLOOKUP(Table8[[#This Row],[Country Code]],Table29[],5,FALSE)</f>
        <v>Middle-income</v>
      </c>
      <c r="AU567" s="233" t="str">
        <f>VLOOKUP(Table8[[#This Row],[Country Code]],Table29[],6,FALSE)</f>
        <v>no</v>
      </c>
      <c r="AV567" s="233" t="str">
        <f>VLOOKUP(Table8[[#This Row],[Country Code]],Table29[],7,FALSE)</f>
        <v>no</v>
      </c>
      <c r="AW567" s="233" t="str">
        <f>VLOOKUP(Table8[[#This Row],[Country Code]],Table29[],8,FALSE)</f>
        <v>non-OECD</v>
      </c>
      <c r="AX567" s="233" t="str">
        <f>VLOOKUP(Table8[[#This Row],[Country Code]],Table29[],9,FALSE)</f>
        <v>no</v>
      </c>
      <c r="AY567" s="233" t="str">
        <f>VLOOKUP(Table8[[#This Row],[Country Code]],Table29[],10,FALSE)</f>
        <v>no</v>
      </c>
      <c r="AZ567" s="235">
        <f>VLOOKUP(Table8[[#This Row],[Country Code]],Table29[],23,FALSE)</f>
        <v>32.184005493065001</v>
      </c>
      <c r="BA567" s="235">
        <f>VLOOKUP(Table8[[#This Row],[Country Code]],Table29[],24,FALSE)</f>
        <v>5.258263110860768</v>
      </c>
      <c r="BB567" s="320"/>
      <c r="BC567" s="320"/>
    </row>
    <row r="568" spans="1:55" ht="30" hidden="1" x14ac:dyDescent="0.25">
      <c r="A568" s="373">
        <v>26797</v>
      </c>
      <c r="B568" s="233" t="str">
        <f>VLOOKUP(Table8[[#This Row],[Document ID]],Table1[],2,FALSE)</f>
        <v>CIV</v>
      </c>
      <c r="C568" s="233" t="str">
        <f>VLOOKUP(Table8[[#This Row],[Document ID]],Table1[],3,FALSE)</f>
        <v>Côte D'Ivoire</v>
      </c>
      <c r="D568" s="243" t="str">
        <f>VLOOKUP(Table8[[#This Row],[Document ID]],Table1[],5,FALSE)</f>
        <v>NDC</v>
      </c>
      <c r="E568" s="233" t="str">
        <f>VLOOKUP(Table8[[#This Row],[Document ID]],Table1[],7,FALSE)</f>
        <v>Second NDC</v>
      </c>
      <c r="F568" s="233" t="str">
        <f>VLOOKUP(Table8[[#This Row],[Document ID]],Table1[],8,FALSE)</f>
        <v>NDC 2.0</v>
      </c>
      <c r="G568" s="233" t="str">
        <f>VLOOKUP(Table8[[#This Row],[Document ID]],Table1[],10,FALSE)</f>
        <v>Active</v>
      </c>
      <c r="H568" s="43" t="s">
        <v>2358</v>
      </c>
      <c r="I568" s="43" t="s">
        <v>2359</v>
      </c>
      <c r="J568" s="44" t="s">
        <v>2360</v>
      </c>
      <c r="K568" s="44" t="s">
        <v>2903</v>
      </c>
      <c r="L568" s="44" t="s">
        <v>2333</v>
      </c>
      <c r="M568" s="43" t="s">
        <v>2904</v>
      </c>
      <c r="N568" s="113"/>
      <c r="O568" s="113"/>
      <c r="P568" s="113"/>
      <c r="Q568" s="113"/>
      <c r="R568" s="113"/>
      <c r="S568" s="113"/>
      <c r="T568" s="113"/>
      <c r="U568" s="113" t="s">
        <v>1113</v>
      </c>
      <c r="V568" s="113"/>
      <c r="W568" s="113"/>
      <c r="X568" s="113"/>
      <c r="Y568" s="113"/>
      <c r="Z568" s="113"/>
      <c r="AA568" s="113"/>
      <c r="AB568" s="113"/>
      <c r="AC568" s="113"/>
      <c r="AD568" s="113"/>
      <c r="AE568" s="113"/>
      <c r="AF568" s="113"/>
      <c r="AG568" s="113"/>
      <c r="AH568" s="113"/>
      <c r="AI568" s="113"/>
      <c r="AJ568" s="113"/>
      <c r="AK568" s="113" t="s">
        <v>1113</v>
      </c>
      <c r="AL568" s="113"/>
      <c r="AM568" s="113"/>
      <c r="AN568" s="113"/>
      <c r="AO568" s="44" t="s">
        <v>2334</v>
      </c>
      <c r="AP568" s="43"/>
      <c r="AQ568" s="236" t="str">
        <f>VLOOKUP(Table8[[#This Row],[Instrument]],Def_Targets!$D$73:$E$159,2,FALSE)</f>
        <v>I_Emobility</v>
      </c>
      <c r="AR568" s="233" t="str">
        <f>VLOOKUP(Table8[[#This Row],[Country Code]],Table29[],3,FALSE)</f>
        <v>Non-Annex I</v>
      </c>
      <c r="AS568" s="233" t="str">
        <f>VLOOKUP(Table8[[#This Row],[Country Code]],Table29[],4,FALSE)</f>
        <v>Africa</v>
      </c>
      <c r="AT568" s="233" t="str">
        <f>VLOOKUP(Table8[[#This Row],[Country Code]],Table29[],5,FALSE)</f>
        <v>Middle-income</v>
      </c>
      <c r="AU568" s="233" t="str">
        <f>VLOOKUP(Table8[[#This Row],[Country Code]],Table29[],6,FALSE)</f>
        <v>no</v>
      </c>
      <c r="AV568" s="233" t="str">
        <f>VLOOKUP(Table8[[#This Row],[Country Code]],Table29[],7,FALSE)</f>
        <v>no</v>
      </c>
      <c r="AW568" s="233" t="str">
        <f>VLOOKUP(Table8[[#This Row],[Country Code]],Table29[],8,FALSE)</f>
        <v>non-OECD</v>
      </c>
      <c r="AX568" s="233" t="str">
        <f>VLOOKUP(Table8[[#This Row],[Country Code]],Table29[],9,FALSE)</f>
        <v>no</v>
      </c>
      <c r="AY568" s="233" t="str">
        <f>VLOOKUP(Table8[[#This Row],[Country Code]],Table29[],10,FALSE)</f>
        <v>no</v>
      </c>
      <c r="AZ568" s="235">
        <f>VLOOKUP(Table8[[#This Row],[Country Code]],Table29[],23,FALSE)</f>
        <v>32.184005493065001</v>
      </c>
      <c r="BA568" s="235">
        <f>VLOOKUP(Table8[[#This Row],[Country Code]],Table29[],24,FALSE)</f>
        <v>5.258263110860768</v>
      </c>
      <c r="BB568" s="320"/>
      <c r="BC568" s="320"/>
    </row>
    <row r="569" spans="1:55" ht="30" hidden="1" x14ac:dyDescent="0.25">
      <c r="A569" s="373">
        <v>26797</v>
      </c>
      <c r="B569" s="233" t="str">
        <f>VLOOKUP(Table8[[#This Row],[Document ID]],Table1[],2,FALSE)</f>
        <v>CIV</v>
      </c>
      <c r="C569" s="233" t="str">
        <f>VLOOKUP(Table8[[#This Row],[Document ID]],Table1[],3,FALSE)</f>
        <v>Côte D'Ivoire</v>
      </c>
      <c r="D569" s="243" t="str">
        <f>VLOOKUP(Table8[[#This Row],[Document ID]],Table1[],5,FALSE)</f>
        <v>NDC</v>
      </c>
      <c r="E569" s="233" t="str">
        <f>VLOOKUP(Table8[[#This Row],[Document ID]],Table1[],7,FALSE)</f>
        <v>Second NDC</v>
      </c>
      <c r="F569" s="233" t="str">
        <f>VLOOKUP(Table8[[#This Row],[Document ID]],Table1[],8,FALSE)</f>
        <v>NDC 2.0</v>
      </c>
      <c r="G569" s="233" t="str">
        <f>VLOOKUP(Table8[[#This Row],[Document ID]],Table1[],10,FALSE)</f>
        <v>Active</v>
      </c>
      <c r="H569" s="44" t="s">
        <v>2338</v>
      </c>
      <c r="I569" s="44" t="s">
        <v>2339</v>
      </c>
      <c r="J569" s="44" t="s">
        <v>2425</v>
      </c>
      <c r="K569" s="44" t="s">
        <v>1411</v>
      </c>
      <c r="L569" s="44" t="s">
        <v>2333</v>
      </c>
      <c r="M569" s="43">
        <v>30</v>
      </c>
      <c r="N569" s="113"/>
      <c r="O569" s="113"/>
      <c r="P569" s="113"/>
      <c r="Q569" s="113"/>
      <c r="R569" s="113"/>
      <c r="S569" s="113"/>
      <c r="T569" s="113"/>
      <c r="U569" s="113"/>
      <c r="V569" s="113"/>
      <c r="W569" s="113" t="s">
        <v>1113</v>
      </c>
      <c r="X569" s="113" t="s">
        <v>1113</v>
      </c>
      <c r="Y569" s="113"/>
      <c r="Z569" s="113"/>
      <c r="AA569" s="113"/>
      <c r="AB569" s="113"/>
      <c r="AC569" s="113"/>
      <c r="AD569" s="113"/>
      <c r="AE569" s="113"/>
      <c r="AF569" s="113"/>
      <c r="AG569" s="113"/>
      <c r="AH569" s="113"/>
      <c r="AI569" s="113"/>
      <c r="AJ569" s="113"/>
      <c r="AK569" s="113" t="s">
        <v>1113</v>
      </c>
      <c r="AL569" s="113"/>
      <c r="AM569" s="113"/>
      <c r="AN569" s="113"/>
      <c r="AO569" s="43" t="s">
        <v>2477</v>
      </c>
      <c r="AP569" s="43"/>
      <c r="AQ569" s="236" t="str">
        <f>VLOOKUP(Table8[[#This Row],[Instrument]],Def_Targets!$D$73:$E$159,2,FALSE)</f>
        <v>I_Efficiencystd</v>
      </c>
      <c r="AR569" s="233" t="str">
        <f>VLOOKUP(Table8[[#This Row],[Country Code]],Table29[],3,FALSE)</f>
        <v>Non-Annex I</v>
      </c>
      <c r="AS569" s="233" t="str">
        <f>VLOOKUP(Table8[[#This Row],[Country Code]],Table29[],4,FALSE)</f>
        <v>Africa</v>
      </c>
      <c r="AT569" s="233" t="str">
        <f>VLOOKUP(Table8[[#This Row],[Country Code]],Table29[],5,FALSE)</f>
        <v>Middle-income</v>
      </c>
      <c r="AU569" s="233" t="str">
        <f>VLOOKUP(Table8[[#This Row],[Country Code]],Table29[],6,FALSE)</f>
        <v>no</v>
      </c>
      <c r="AV569" s="233" t="str">
        <f>VLOOKUP(Table8[[#This Row],[Country Code]],Table29[],7,FALSE)</f>
        <v>no</v>
      </c>
      <c r="AW569" s="233" t="str">
        <f>VLOOKUP(Table8[[#This Row],[Country Code]],Table29[],8,FALSE)</f>
        <v>non-OECD</v>
      </c>
      <c r="AX569" s="233" t="str">
        <f>VLOOKUP(Table8[[#This Row],[Country Code]],Table29[],9,FALSE)</f>
        <v>no</v>
      </c>
      <c r="AY569" s="233" t="str">
        <f>VLOOKUP(Table8[[#This Row],[Country Code]],Table29[],10,FALSE)</f>
        <v>no</v>
      </c>
      <c r="AZ569" s="235">
        <f>VLOOKUP(Table8[[#This Row],[Country Code]],Table29[],23,FALSE)</f>
        <v>32.184005493065001</v>
      </c>
      <c r="BA569" s="235">
        <f>VLOOKUP(Table8[[#This Row],[Country Code]],Table29[],24,FALSE)</f>
        <v>5.258263110860768</v>
      </c>
      <c r="BB569" s="320"/>
      <c r="BC569" s="320"/>
    </row>
    <row r="570" spans="1:55" hidden="1" x14ac:dyDescent="0.25">
      <c r="A570" s="373">
        <v>26797</v>
      </c>
      <c r="B570" s="233" t="str">
        <f>VLOOKUP(Table8[[#This Row],[Document ID]],Table1[],2,FALSE)</f>
        <v>CIV</v>
      </c>
      <c r="C570" s="233" t="str">
        <f>VLOOKUP(Table8[[#This Row],[Document ID]],Table1[],3,FALSE)</f>
        <v>Côte D'Ivoire</v>
      </c>
      <c r="D570" s="243" t="str">
        <f>VLOOKUP(Table8[[#This Row],[Document ID]],Table1[],5,FALSE)</f>
        <v>NDC</v>
      </c>
      <c r="E570" s="233" t="str">
        <f>VLOOKUP(Table8[[#This Row],[Document ID]],Table1[],7,FALSE)</f>
        <v>Second NDC</v>
      </c>
      <c r="F570" s="233" t="str">
        <f>VLOOKUP(Table8[[#This Row],[Document ID]],Table1[],8,FALSE)</f>
        <v>NDC 2.0</v>
      </c>
      <c r="G570" s="233" t="str">
        <f>VLOOKUP(Table8[[#This Row],[Document ID]],Table1[],10,FALSE)</f>
        <v>Active</v>
      </c>
      <c r="H570" s="43" t="s">
        <v>2343</v>
      </c>
      <c r="I570" s="43" t="s">
        <v>2344</v>
      </c>
      <c r="J570" s="44" t="s">
        <v>2549</v>
      </c>
      <c r="K570" s="44" t="s">
        <v>2905</v>
      </c>
      <c r="L570" s="44" t="s">
        <v>2347</v>
      </c>
      <c r="M570" s="43">
        <v>30</v>
      </c>
      <c r="N570" s="113"/>
      <c r="O570" s="113"/>
      <c r="P570" s="113"/>
      <c r="Q570" s="113"/>
      <c r="R570" s="113"/>
      <c r="S570" s="113"/>
      <c r="T570" s="113"/>
      <c r="U570" s="113"/>
      <c r="V570" s="113"/>
      <c r="W570" s="113"/>
      <c r="X570" s="113"/>
      <c r="Y570" s="113" t="s">
        <v>1113</v>
      </c>
      <c r="Z570" s="113"/>
      <c r="AA570" s="113"/>
      <c r="AB570" s="113"/>
      <c r="AC570" s="113"/>
      <c r="AD570" s="113"/>
      <c r="AE570" s="113"/>
      <c r="AF570" s="113"/>
      <c r="AG570" s="113"/>
      <c r="AH570" s="113"/>
      <c r="AI570" s="113"/>
      <c r="AJ570" s="113"/>
      <c r="AK570" s="113"/>
      <c r="AL570" s="113" t="s">
        <v>1113</v>
      </c>
      <c r="AM570" s="113"/>
      <c r="AN570" s="113"/>
      <c r="AO570" s="43" t="s">
        <v>2348</v>
      </c>
      <c r="AP570" s="43"/>
      <c r="AQ570" s="236" t="str">
        <f>VLOOKUP(Table8[[#This Row],[Instrument]],Def_Targets!$D$73:$E$159,2,FALSE)</f>
        <v>S_BRT</v>
      </c>
      <c r="AR570" s="233" t="str">
        <f>VLOOKUP(Table8[[#This Row],[Country Code]],Table29[],3,FALSE)</f>
        <v>Non-Annex I</v>
      </c>
      <c r="AS570" s="233" t="str">
        <f>VLOOKUP(Table8[[#This Row],[Country Code]],Table29[],4,FALSE)</f>
        <v>Africa</v>
      </c>
      <c r="AT570" s="233" t="str">
        <f>VLOOKUP(Table8[[#This Row],[Country Code]],Table29[],5,FALSE)</f>
        <v>Middle-income</v>
      </c>
      <c r="AU570" s="233" t="str">
        <f>VLOOKUP(Table8[[#This Row],[Country Code]],Table29[],6,FALSE)</f>
        <v>no</v>
      </c>
      <c r="AV570" s="233" t="str">
        <f>VLOOKUP(Table8[[#This Row],[Country Code]],Table29[],7,FALSE)</f>
        <v>no</v>
      </c>
      <c r="AW570" s="233" t="str">
        <f>VLOOKUP(Table8[[#This Row],[Country Code]],Table29[],8,FALSE)</f>
        <v>non-OECD</v>
      </c>
      <c r="AX570" s="233" t="str">
        <f>VLOOKUP(Table8[[#This Row],[Country Code]],Table29[],9,FALSE)</f>
        <v>no</v>
      </c>
      <c r="AY570" s="233" t="str">
        <f>VLOOKUP(Table8[[#This Row],[Country Code]],Table29[],10,FALSE)</f>
        <v>no</v>
      </c>
      <c r="AZ570" s="235">
        <f>VLOOKUP(Table8[[#This Row],[Country Code]],Table29[],23,FALSE)</f>
        <v>32.184005493065001</v>
      </c>
      <c r="BA570" s="235">
        <f>VLOOKUP(Table8[[#This Row],[Country Code]],Table29[],24,FALSE)</f>
        <v>5.258263110860768</v>
      </c>
      <c r="BB570" s="320"/>
      <c r="BC570" s="320"/>
    </row>
    <row r="571" spans="1:55" hidden="1" x14ac:dyDescent="0.25">
      <c r="A571" s="373">
        <v>26797</v>
      </c>
      <c r="B571" s="233" t="str">
        <f>VLOOKUP(Table8[[#This Row],[Document ID]],Table1[],2,FALSE)</f>
        <v>CIV</v>
      </c>
      <c r="C571" s="233" t="str">
        <f>VLOOKUP(Table8[[#This Row],[Document ID]],Table1[],3,FALSE)</f>
        <v>Côte D'Ivoire</v>
      </c>
      <c r="D571" s="243" t="str">
        <f>VLOOKUP(Table8[[#This Row],[Document ID]],Table1[],5,FALSE)</f>
        <v>NDC</v>
      </c>
      <c r="E571" s="233" t="str">
        <f>VLOOKUP(Table8[[#This Row],[Document ID]],Table1[],7,FALSE)</f>
        <v>Second NDC</v>
      </c>
      <c r="F571" s="233" t="str">
        <f>VLOOKUP(Table8[[#This Row],[Document ID]],Table1[],8,FALSE)</f>
        <v>NDC 2.0</v>
      </c>
      <c r="G571" s="233" t="str">
        <f>VLOOKUP(Table8[[#This Row],[Document ID]],Table1[],10,FALSE)</f>
        <v>Active</v>
      </c>
      <c r="H571" s="43" t="s">
        <v>2343</v>
      </c>
      <c r="I571" s="43" t="s">
        <v>2344</v>
      </c>
      <c r="J571" s="44" t="s">
        <v>2405</v>
      </c>
      <c r="K571" s="44" t="s">
        <v>2906</v>
      </c>
      <c r="L571" s="44" t="s">
        <v>2347</v>
      </c>
      <c r="M571" s="43">
        <v>30</v>
      </c>
      <c r="N571" s="113"/>
      <c r="O571" s="113"/>
      <c r="P571" s="113"/>
      <c r="Q571" s="113"/>
      <c r="R571" s="113"/>
      <c r="S571" s="113"/>
      <c r="T571" s="113"/>
      <c r="U571" s="113"/>
      <c r="V571" s="113"/>
      <c r="W571" s="113"/>
      <c r="X571" s="113"/>
      <c r="Y571" s="113"/>
      <c r="Z571" s="113"/>
      <c r="AA571" s="113"/>
      <c r="AB571" s="113"/>
      <c r="AC571" s="113" t="s">
        <v>1113</v>
      </c>
      <c r="AD571" s="113"/>
      <c r="AE571" s="113"/>
      <c r="AF571" s="113"/>
      <c r="AG571" s="113"/>
      <c r="AH571" s="113"/>
      <c r="AI571" s="113"/>
      <c r="AJ571" s="113"/>
      <c r="AK571" s="113"/>
      <c r="AL571" s="113" t="s">
        <v>1113</v>
      </c>
      <c r="AM571" s="113"/>
      <c r="AN571" s="113"/>
      <c r="AO571" s="43" t="s">
        <v>2348</v>
      </c>
      <c r="AP571" s="43"/>
      <c r="AQ571" s="236" t="str">
        <f>VLOOKUP(Table8[[#This Row],[Instrument]],Def_Targets!$D$73:$E$159,2,FALSE)</f>
        <v>S_PTIntegration</v>
      </c>
      <c r="AR571" s="233" t="str">
        <f>VLOOKUP(Table8[[#This Row],[Country Code]],Table29[],3,FALSE)</f>
        <v>Non-Annex I</v>
      </c>
      <c r="AS571" s="233" t="str">
        <f>VLOOKUP(Table8[[#This Row],[Country Code]],Table29[],4,FALSE)</f>
        <v>Africa</v>
      </c>
      <c r="AT571" s="233" t="str">
        <f>VLOOKUP(Table8[[#This Row],[Country Code]],Table29[],5,FALSE)</f>
        <v>Middle-income</v>
      </c>
      <c r="AU571" s="233" t="str">
        <f>VLOOKUP(Table8[[#This Row],[Country Code]],Table29[],6,FALSE)</f>
        <v>no</v>
      </c>
      <c r="AV571" s="233" t="str">
        <f>VLOOKUP(Table8[[#This Row],[Country Code]],Table29[],7,FALSE)</f>
        <v>no</v>
      </c>
      <c r="AW571" s="233" t="str">
        <f>VLOOKUP(Table8[[#This Row],[Country Code]],Table29[],8,FALSE)</f>
        <v>non-OECD</v>
      </c>
      <c r="AX571" s="233" t="str">
        <f>VLOOKUP(Table8[[#This Row],[Country Code]],Table29[],9,FALSE)</f>
        <v>no</v>
      </c>
      <c r="AY571" s="233" t="str">
        <f>VLOOKUP(Table8[[#This Row],[Country Code]],Table29[],10,FALSE)</f>
        <v>no</v>
      </c>
      <c r="AZ571" s="235">
        <f>VLOOKUP(Table8[[#This Row],[Country Code]],Table29[],23,FALSE)</f>
        <v>32.184005493065001</v>
      </c>
      <c r="BA571" s="235">
        <f>VLOOKUP(Table8[[#This Row],[Country Code]],Table29[],24,FALSE)</f>
        <v>5.258263110860768</v>
      </c>
      <c r="BB571" s="320"/>
      <c r="BC571" s="320"/>
    </row>
    <row r="572" spans="1:55" hidden="1" x14ac:dyDescent="0.25">
      <c r="A572" s="373">
        <v>26797</v>
      </c>
      <c r="B572" s="233" t="str">
        <f>VLOOKUP(Table8[[#This Row],[Document ID]],Table1[],2,FALSE)</f>
        <v>CIV</v>
      </c>
      <c r="C572" s="233" t="str">
        <f>VLOOKUP(Table8[[#This Row],[Document ID]],Table1[],3,FALSE)</f>
        <v>Côte D'Ivoire</v>
      </c>
      <c r="D572" s="243" t="str">
        <f>VLOOKUP(Table8[[#This Row],[Document ID]],Table1[],5,FALSE)</f>
        <v>NDC</v>
      </c>
      <c r="E572" s="233" t="str">
        <f>VLOOKUP(Table8[[#This Row],[Document ID]],Table1[],7,FALSE)</f>
        <v>Second NDC</v>
      </c>
      <c r="F572" s="233" t="str">
        <f>VLOOKUP(Table8[[#This Row],[Document ID]],Table1[],8,FALSE)</f>
        <v>NDC 2.0</v>
      </c>
      <c r="G572" s="233" t="str">
        <f>VLOOKUP(Table8[[#This Row],[Document ID]],Table1[],10,FALSE)</f>
        <v>Active</v>
      </c>
      <c r="H572" s="44" t="s">
        <v>2338</v>
      </c>
      <c r="I572" s="44" t="s">
        <v>2339</v>
      </c>
      <c r="J572" s="44" t="s">
        <v>2556</v>
      </c>
      <c r="K572" s="44" t="s">
        <v>1412</v>
      </c>
      <c r="L572" s="44" t="s">
        <v>2333</v>
      </c>
      <c r="M572" s="43">
        <v>30</v>
      </c>
      <c r="N572" s="113"/>
      <c r="O572" s="113"/>
      <c r="P572" s="113"/>
      <c r="Q572" s="113"/>
      <c r="R572" s="113"/>
      <c r="S572" s="113" t="s">
        <v>1113</v>
      </c>
      <c r="T572" s="113"/>
      <c r="U572" s="113"/>
      <c r="V572" s="113"/>
      <c r="W572" s="113"/>
      <c r="X572" s="113"/>
      <c r="Y572" s="113"/>
      <c r="Z572" s="113"/>
      <c r="AA572" s="113"/>
      <c r="AB572" s="113"/>
      <c r="AC572" s="113"/>
      <c r="AD572" s="113"/>
      <c r="AE572" s="113"/>
      <c r="AF572" s="113"/>
      <c r="AG572" s="113"/>
      <c r="AH572" s="113"/>
      <c r="AI572" s="113"/>
      <c r="AJ572" s="113"/>
      <c r="AK572" s="113" t="s">
        <v>1113</v>
      </c>
      <c r="AL572" s="113"/>
      <c r="AM572" s="113"/>
      <c r="AN572" s="113"/>
      <c r="AO572" s="44" t="s">
        <v>2334</v>
      </c>
      <c r="AP572" s="43"/>
      <c r="AQ572" s="236" t="str">
        <f>VLOOKUP(Table8[[#This Row],[Instrument]],Def_Targets!$D$73:$E$159,2,FALSE)</f>
        <v>I_Fuelqualimprove</v>
      </c>
      <c r="AR572" s="233" t="str">
        <f>VLOOKUP(Table8[[#This Row],[Country Code]],Table29[],3,FALSE)</f>
        <v>Non-Annex I</v>
      </c>
      <c r="AS572" s="233" t="str">
        <f>VLOOKUP(Table8[[#This Row],[Country Code]],Table29[],4,FALSE)</f>
        <v>Africa</v>
      </c>
      <c r="AT572" s="233" t="str">
        <f>VLOOKUP(Table8[[#This Row],[Country Code]],Table29[],5,FALSE)</f>
        <v>Middle-income</v>
      </c>
      <c r="AU572" s="233" t="str">
        <f>VLOOKUP(Table8[[#This Row],[Country Code]],Table29[],6,FALSE)</f>
        <v>no</v>
      </c>
      <c r="AV572" s="233" t="str">
        <f>VLOOKUP(Table8[[#This Row],[Country Code]],Table29[],7,FALSE)</f>
        <v>no</v>
      </c>
      <c r="AW572" s="233" t="str">
        <f>VLOOKUP(Table8[[#This Row],[Country Code]],Table29[],8,FALSE)</f>
        <v>non-OECD</v>
      </c>
      <c r="AX572" s="233" t="str">
        <f>VLOOKUP(Table8[[#This Row],[Country Code]],Table29[],9,FALSE)</f>
        <v>no</v>
      </c>
      <c r="AY572" s="233" t="str">
        <f>VLOOKUP(Table8[[#This Row],[Country Code]],Table29[],10,FALSE)</f>
        <v>no</v>
      </c>
      <c r="AZ572" s="235">
        <f>VLOOKUP(Table8[[#This Row],[Country Code]],Table29[],23,FALSE)</f>
        <v>32.184005493065001</v>
      </c>
      <c r="BA572" s="235">
        <f>VLOOKUP(Table8[[#This Row],[Country Code]],Table29[],24,FALSE)</f>
        <v>5.258263110860768</v>
      </c>
      <c r="BB572" s="320"/>
      <c r="BC572" s="320"/>
    </row>
    <row r="573" spans="1:55" ht="30" hidden="1" x14ac:dyDescent="0.25">
      <c r="A573" s="373">
        <v>26797</v>
      </c>
      <c r="B573" s="233" t="str">
        <f>VLOOKUP(Table8[[#This Row],[Document ID]],Table1[],2,FALSE)</f>
        <v>CIV</v>
      </c>
      <c r="C573" s="233" t="str">
        <f>VLOOKUP(Table8[[#This Row],[Document ID]],Table1[],3,FALSE)</f>
        <v>Côte D'Ivoire</v>
      </c>
      <c r="D573" s="243" t="str">
        <f>VLOOKUP(Table8[[#This Row],[Document ID]],Table1[],5,FALSE)</f>
        <v>NDC</v>
      </c>
      <c r="E573" s="233" t="str">
        <f>VLOOKUP(Table8[[#This Row],[Document ID]],Table1[],7,FALSE)</f>
        <v>Second NDC</v>
      </c>
      <c r="F573" s="233" t="str">
        <f>VLOOKUP(Table8[[#This Row],[Document ID]],Table1[],8,FALSE)</f>
        <v>NDC 2.0</v>
      </c>
      <c r="G573" s="233" t="str">
        <f>VLOOKUP(Table8[[#This Row],[Document ID]],Table1[],10,FALSE)</f>
        <v>Active</v>
      </c>
      <c r="H573" s="44" t="s">
        <v>2329</v>
      </c>
      <c r="I573" s="44" t="s">
        <v>2330</v>
      </c>
      <c r="J573" s="44" t="s">
        <v>2691</v>
      </c>
      <c r="K573" s="44" t="s">
        <v>2907</v>
      </c>
      <c r="L573" s="44" t="s">
        <v>2333</v>
      </c>
      <c r="M573" s="43">
        <v>30</v>
      </c>
      <c r="N573" s="113"/>
      <c r="O573" s="113"/>
      <c r="P573" s="113"/>
      <c r="Q573" s="113"/>
      <c r="R573" s="113"/>
      <c r="S573" s="113" t="s">
        <v>1113</v>
      </c>
      <c r="T573" s="113"/>
      <c r="U573" s="113"/>
      <c r="V573" s="113"/>
      <c r="W573" s="113"/>
      <c r="X573" s="113"/>
      <c r="Y573" s="113"/>
      <c r="Z573" s="113"/>
      <c r="AA573" s="113"/>
      <c r="AB573" s="113"/>
      <c r="AC573" s="113"/>
      <c r="AD573" s="113"/>
      <c r="AE573" s="113"/>
      <c r="AF573" s="113"/>
      <c r="AG573" s="113"/>
      <c r="AH573" s="113"/>
      <c r="AI573" s="113"/>
      <c r="AJ573" s="113"/>
      <c r="AK573" s="113" t="s">
        <v>1113</v>
      </c>
      <c r="AL573" s="113"/>
      <c r="AM573" s="113"/>
      <c r="AN573" s="113"/>
      <c r="AO573" s="44" t="s">
        <v>2334</v>
      </c>
      <c r="AP573" s="43"/>
      <c r="AQ573" s="236" t="str">
        <f>VLOOKUP(Table8[[#This Row],[Instrument]],Def_Targets!$D$73:$E$159,2,FALSE)</f>
        <v>I_Lowemissionincentive</v>
      </c>
      <c r="AR573" s="233" t="str">
        <f>VLOOKUP(Table8[[#This Row],[Country Code]],Table29[],3,FALSE)</f>
        <v>Non-Annex I</v>
      </c>
      <c r="AS573" s="233" t="str">
        <f>VLOOKUP(Table8[[#This Row],[Country Code]],Table29[],4,FALSE)</f>
        <v>Africa</v>
      </c>
      <c r="AT573" s="233" t="str">
        <f>VLOOKUP(Table8[[#This Row],[Country Code]],Table29[],5,FALSE)</f>
        <v>Middle-income</v>
      </c>
      <c r="AU573" s="233" t="str">
        <f>VLOOKUP(Table8[[#This Row],[Country Code]],Table29[],6,FALSE)</f>
        <v>no</v>
      </c>
      <c r="AV573" s="233" t="str">
        <f>VLOOKUP(Table8[[#This Row],[Country Code]],Table29[],7,FALSE)</f>
        <v>no</v>
      </c>
      <c r="AW573" s="233" t="str">
        <f>VLOOKUP(Table8[[#This Row],[Country Code]],Table29[],8,FALSE)</f>
        <v>non-OECD</v>
      </c>
      <c r="AX573" s="233" t="str">
        <f>VLOOKUP(Table8[[#This Row],[Country Code]],Table29[],9,FALSE)</f>
        <v>no</v>
      </c>
      <c r="AY573" s="233" t="str">
        <f>VLOOKUP(Table8[[#This Row],[Country Code]],Table29[],10,FALSE)</f>
        <v>no</v>
      </c>
      <c r="AZ573" s="235">
        <f>VLOOKUP(Table8[[#This Row],[Country Code]],Table29[],23,FALSE)</f>
        <v>32.184005493065001</v>
      </c>
      <c r="BA573" s="235">
        <f>VLOOKUP(Table8[[#This Row],[Country Code]],Table29[],24,FALSE)</f>
        <v>5.258263110860768</v>
      </c>
      <c r="BB573" s="320"/>
      <c r="BC573" s="320"/>
    </row>
    <row r="574" spans="1:55" hidden="1" x14ac:dyDescent="0.25">
      <c r="A574" s="373">
        <v>24705</v>
      </c>
      <c r="B574" s="233" t="str">
        <f>VLOOKUP(Table8[[#This Row],[Document ID]],Table1[],2,FALSE)</f>
        <v>CHN</v>
      </c>
      <c r="C574" s="233" t="str">
        <f>VLOOKUP(Table8[[#This Row],[Document ID]],Table1[],3,FALSE)</f>
        <v>China</v>
      </c>
      <c r="D574" s="243" t="str">
        <f>VLOOKUP(Table8[[#This Row],[Document ID]],Table1[],5,FALSE)</f>
        <v>LTS</v>
      </c>
      <c r="E574" s="233" t="str">
        <f>VLOOKUP(Table8[[#This Row],[Document ID]],Table1[],7,FALSE)</f>
        <v>LTS</v>
      </c>
      <c r="F574" s="233" t="str">
        <f>VLOOKUP(Table8[[#This Row],[Document ID]],Table1[],8,FALSE)</f>
        <v>LTS 1.0</v>
      </c>
      <c r="G574" s="233" t="str">
        <f>VLOOKUP(Table8[[#This Row],[Document ID]],Table1[],10,FALSE)</f>
        <v>Active</v>
      </c>
      <c r="H574" s="44" t="s">
        <v>2329</v>
      </c>
      <c r="I574" s="44" t="s">
        <v>2330</v>
      </c>
      <c r="J574" s="44" t="s">
        <v>2391</v>
      </c>
      <c r="K574" s="44" t="s">
        <v>2894</v>
      </c>
      <c r="L574" s="44" t="s">
        <v>2333</v>
      </c>
      <c r="M574" s="43">
        <v>20</v>
      </c>
      <c r="N574" s="113" t="s">
        <v>1113</v>
      </c>
      <c r="O574" s="113"/>
      <c r="P574" s="113"/>
      <c r="Q574" s="113"/>
      <c r="R574" s="113"/>
      <c r="S574" s="113"/>
      <c r="T574" s="113"/>
      <c r="U574" s="113"/>
      <c r="V574" s="113"/>
      <c r="W574" s="113"/>
      <c r="X574" s="113"/>
      <c r="Y574" s="113"/>
      <c r="Z574" s="113"/>
      <c r="AA574" s="113"/>
      <c r="AB574" s="113"/>
      <c r="AC574" s="113"/>
      <c r="AD574" s="113"/>
      <c r="AE574" s="113"/>
      <c r="AF574" s="113"/>
      <c r="AG574" s="113"/>
      <c r="AH574" s="113"/>
      <c r="AI574" s="113"/>
      <c r="AJ574" s="113"/>
      <c r="AK574" s="113" t="s">
        <v>1113</v>
      </c>
      <c r="AL574" s="113"/>
      <c r="AM574" s="113"/>
      <c r="AN574" s="113"/>
      <c r="AO574" s="44" t="s">
        <v>2334</v>
      </c>
      <c r="AP574" s="43"/>
      <c r="AQ574" s="236" t="str">
        <f>VLOOKUP(Table8[[#This Row],[Instrument]],Def_Targets!$D$73:$E$159,2,FALSE)</f>
        <v>I_Hydrogen</v>
      </c>
      <c r="AR574" s="233" t="str">
        <f>VLOOKUP(Table8[[#This Row],[Country Code]],Table29[],3,FALSE)</f>
        <v>Non-Annex I</v>
      </c>
      <c r="AS574" s="233" t="str">
        <f>VLOOKUP(Table8[[#This Row],[Country Code]],Table29[],4,FALSE)</f>
        <v>Asia</v>
      </c>
      <c r="AT574" s="233" t="str">
        <f>VLOOKUP(Table8[[#This Row],[Country Code]],Table29[],5,FALSE)</f>
        <v>Middle-income</v>
      </c>
      <c r="AU574" s="233" t="str">
        <f>VLOOKUP(Table8[[#This Row],[Country Code]],Table29[],6,FALSE)</f>
        <v>G20</v>
      </c>
      <c r="AV574" s="233" t="str">
        <f>VLOOKUP(Table8[[#This Row],[Country Code]],Table29[],7,FALSE)</f>
        <v>no</v>
      </c>
      <c r="AW574" s="233" t="str">
        <f>VLOOKUP(Table8[[#This Row],[Country Code]],Table29[],8,FALSE)</f>
        <v>non-OECD</v>
      </c>
      <c r="AX574" s="233" t="str">
        <f>VLOOKUP(Table8[[#This Row],[Country Code]],Table29[],9,FALSE)</f>
        <v>no</v>
      </c>
      <c r="AY574" s="233" t="str">
        <f>VLOOKUP(Table8[[#This Row],[Country Code]],Table29[],10,FALSE)</f>
        <v>no</v>
      </c>
      <c r="AZ574" s="235">
        <f>VLOOKUP(Table8[[#This Row],[Country Code]],Table29[],23,FALSE)</f>
        <v>15943.986552905</v>
      </c>
      <c r="BA574" s="235">
        <f>VLOOKUP(Table8[[#This Row],[Country Code]],Table29[],24,FALSE)</f>
        <v>1110.1781062864729</v>
      </c>
      <c r="BB574" s="320"/>
      <c r="BC574" s="320"/>
    </row>
    <row r="575" spans="1:55" ht="30" hidden="1" x14ac:dyDescent="0.25">
      <c r="A575" s="373">
        <v>24705</v>
      </c>
      <c r="B575" s="233" t="str">
        <f>VLOOKUP(Table8[[#This Row],[Document ID]],Table1[],2,FALSE)</f>
        <v>CHN</v>
      </c>
      <c r="C575" s="233" t="str">
        <f>VLOOKUP(Table8[[#This Row],[Document ID]],Table1[],3,FALSE)</f>
        <v>China</v>
      </c>
      <c r="D575" s="243" t="str">
        <f>VLOOKUP(Table8[[#This Row],[Document ID]],Table1[],5,FALSE)</f>
        <v>LTS</v>
      </c>
      <c r="E575" s="233" t="str">
        <f>VLOOKUP(Table8[[#This Row],[Document ID]],Table1[],7,FALSE)</f>
        <v>LTS</v>
      </c>
      <c r="F575" s="233" t="str">
        <f>VLOOKUP(Table8[[#This Row],[Document ID]],Table1[],8,FALSE)</f>
        <v>LTS 1.0</v>
      </c>
      <c r="G575" s="233" t="str">
        <f>VLOOKUP(Table8[[#This Row],[Document ID]],Table1[],10,FALSE)</f>
        <v>Active</v>
      </c>
      <c r="H575" s="44" t="s">
        <v>2329</v>
      </c>
      <c r="I575" s="44" t="s">
        <v>2330</v>
      </c>
      <c r="J575" s="44" t="s">
        <v>2363</v>
      </c>
      <c r="K575" s="44" t="s">
        <v>2908</v>
      </c>
      <c r="L575" s="44" t="s">
        <v>2333</v>
      </c>
      <c r="M575" s="43">
        <v>20</v>
      </c>
      <c r="N575" s="113"/>
      <c r="O575" s="113"/>
      <c r="P575" s="113"/>
      <c r="Q575" s="113"/>
      <c r="R575" s="113"/>
      <c r="S575" s="113"/>
      <c r="T575" s="113"/>
      <c r="U575" s="113"/>
      <c r="V575" s="113"/>
      <c r="W575" s="113"/>
      <c r="X575" s="113"/>
      <c r="Y575" s="113"/>
      <c r="Z575" s="113"/>
      <c r="AA575" s="113"/>
      <c r="AB575" s="113"/>
      <c r="AC575" s="113"/>
      <c r="AD575" s="113" t="s">
        <v>1113</v>
      </c>
      <c r="AE575" s="113"/>
      <c r="AF575" s="113"/>
      <c r="AG575" s="113"/>
      <c r="AH575" s="113"/>
      <c r="AI575" s="113"/>
      <c r="AJ575" s="113"/>
      <c r="AK575" s="113" t="s">
        <v>1113</v>
      </c>
      <c r="AL575" s="113"/>
      <c r="AM575" s="113"/>
      <c r="AN575" s="113"/>
      <c r="AO575" s="44" t="s">
        <v>2334</v>
      </c>
      <c r="AP575" s="43"/>
      <c r="AQ575" s="236" t="str">
        <f>VLOOKUP(Table8[[#This Row],[Instrument]],Def_Targets!$D$73:$E$159,2,FALSE)</f>
        <v>I_LPGCNGLNG</v>
      </c>
      <c r="AR575" s="233" t="str">
        <f>VLOOKUP(Table8[[#This Row],[Country Code]],Table29[],3,FALSE)</f>
        <v>Non-Annex I</v>
      </c>
      <c r="AS575" s="233" t="str">
        <f>VLOOKUP(Table8[[#This Row],[Country Code]],Table29[],4,FALSE)</f>
        <v>Asia</v>
      </c>
      <c r="AT575" s="233" t="str">
        <f>VLOOKUP(Table8[[#This Row],[Country Code]],Table29[],5,FALSE)</f>
        <v>Middle-income</v>
      </c>
      <c r="AU575" s="233" t="str">
        <f>VLOOKUP(Table8[[#This Row],[Country Code]],Table29[],6,FALSE)</f>
        <v>G20</v>
      </c>
      <c r="AV575" s="233" t="str">
        <f>VLOOKUP(Table8[[#This Row],[Country Code]],Table29[],7,FALSE)</f>
        <v>no</v>
      </c>
      <c r="AW575" s="233" t="str">
        <f>VLOOKUP(Table8[[#This Row],[Country Code]],Table29[],8,FALSE)</f>
        <v>non-OECD</v>
      </c>
      <c r="AX575" s="233" t="str">
        <f>VLOOKUP(Table8[[#This Row],[Country Code]],Table29[],9,FALSE)</f>
        <v>no</v>
      </c>
      <c r="AY575" s="233" t="str">
        <f>VLOOKUP(Table8[[#This Row],[Country Code]],Table29[],10,FALSE)</f>
        <v>no</v>
      </c>
      <c r="AZ575" s="235">
        <f>VLOOKUP(Table8[[#This Row],[Country Code]],Table29[],23,FALSE)</f>
        <v>15943.986552905</v>
      </c>
      <c r="BA575" s="235">
        <f>VLOOKUP(Table8[[#This Row],[Country Code]],Table29[],24,FALSE)</f>
        <v>1110.1781062864729</v>
      </c>
      <c r="BB575" s="320"/>
      <c r="BC575" s="320"/>
    </row>
    <row r="576" spans="1:55" ht="30" hidden="1" x14ac:dyDescent="0.25">
      <c r="A576" s="373">
        <v>24705</v>
      </c>
      <c r="B576" s="233" t="str">
        <f>VLOOKUP(Table8[[#This Row],[Document ID]],Table1[],2,FALSE)</f>
        <v>CHN</v>
      </c>
      <c r="C576" s="233" t="str">
        <f>VLOOKUP(Table8[[#This Row],[Document ID]],Table1[],3,FALSE)</f>
        <v>China</v>
      </c>
      <c r="D576" s="243" t="str">
        <f>VLOOKUP(Table8[[#This Row],[Document ID]],Table1[],5,FALSE)</f>
        <v>LTS</v>
      </c>
      <c r="E576" s="233" t="str">
        <f>VLOOKUP(Table8[[#This Row],[Document ID]],Table1[],7,FALSE)</f>
        <v>LTS</v>
      </c>
      <c r="F576" s="233" t="str">
        <f>VLOOKUP(Table8[[#This Row],[Document ID]],Table1[],8,FALSE)</f>
        <v>LTS 1.0</v>
      </c>
      <c r="G576" s="233" t="str">
        <f>VLOOKUP(Table8[[#This Row],[Document ID]],Table1[],10,FALSE)</f>
        <v>Active</v>
      </c>
      <c r="H576" s="43" t="s">
        <v>2350</v>
      </c>
      <c r="I576" s="43" t="s">
        <v>2456</v>
      </c>
      <c r="J576" s="44" t="s">
        <v>2643</v>
      </c>
      <c r="K576" s="44" t="s">
        <v>2909</v>
      </c>
      <c r="L576" s="44" t="s">
        <v>2333</v>
      </c>
      <c r="M576" s="43">
        <v>20</v>
      </c>
      <c r="N576" s="113"/>
      <c r="O576" s="113"/>
      <c r="P576" s="113"/>
      <c r="Q576" s="113"/>
      <c r="R576" s="113"/>
      <c r="S576" s="113"/>
      <c r="T576" s="113"/>
      <c r="U576" s="113"/>
      <c r="V576" s="113"/>
      <c r="W576" s="113"/>
      <c r="X576" s="113"/>
      <c r="Y576" s="113"/>
      <c r="Z576" s="113"/>
      <c r="AA576" s="113"/>
      <c r="AB576" s="113"/>
      <c r="AC576" s="113"/>
      <c r="AD576" s="113" t="s">
        <v>1113</v>
      </c>
      <c r="AE576" s="113"/>
      <c r="AF576" s="113"/>
      <c r="AG576" s="113"/>
      <c r="AH576" s="113"/>
      <c r="AI576" s="113"/>
      <c r="AJ576" s="113"/>
      <c r="AK576" s="113" t="s">
        <v>1113</v>
      </c>
      <c r="AL576" s="113"/>
      <c r="AM576" s="113"/>
      <c r="AN576" s="113"/>
      <c r="AO576" s="44" t="s">
        <v>2334</v>
      </c>
      <c r="AP576" s="43"/>
      <c r="AQ576" s="236" t="str">
        <f>VLOOKUP(Table8[[#This Row],[Instrument]],Def_Targets!$D$73:$E$159,2,FALSE)</f>
        <v>S_Intermodality</v>
      </c>
      <c r="AR576" s="233" t="str">
        <f>VLOOKUP(Table8[[#This Row],[Country Code]],Table29[],3,FALSE)</f>
        <v>Non-Annex I</v>
      </c>
      <c r="AS576" s="233" t="str">
        <f>VLOOKUP(Table8[[#This Row],[Country Code]],Table29[],4,FALSE)</f>
        <v>Asia</v>
      </c>
      <c r="AT576" s="233" t="str">
        <f>VLOOKUP(Table8[[#This Row],[Country Code]],Table29[],5,FALSE)</f>
        <v>Middle-income</v>
      </c>
      <c r="AU576" s="233" t="str">
        <f>VLOOKUP(Table8[[#This Row],[Country Code]],Table29[],6,FALSE)</f>
        <v>G20</v>
      </c>
      <c r="AV576" s="233" t="str">
        <f>VLOOKUP(Table8[[#This Row],[Country Code]],Table29[],7,FALSE)</f>
        <v>no</v>
      </c>
      <c r="AW576" s="233" t="str">
        <f>VLOOKUP(Table8[[#This Row],[Country Code]],Table29[],8,FALSE)</f>
        <v>non-OECD</v>
      </c>
      <c r="AX576" s="233" t="str">
        <f>VLOOKUP(Table8[[#This Row],[Country Code]],Table29[],9,FALSE)</f>
        <v>no</v>
      </c>
      <c r="AY576" s="233" t="str">
        <f>VLOOKUP(Table8[[#This Row],[Country Code]],Table29[],10,FALSE)</f>
        <v>no</v>
      </c>
      <c r="AZ576" s="235">
        <f>VLOOKUP(Table8[[#This Row],[Country Code]],Table29[],23,FALSE)</f>
        <v>15943.986552905</v>
      </c>
      <c r="BA576" s="235">
        <f>VLOOKUP(Table8[[#This Row],[Country Code]],Table29[],24,FALSE)</f>
        <v>1110.1781062864729</v>
      </c>
      <c r="BB576" s="320"/>
      <c r="BC576" s="320"/>
    </row>
    <row r="577" spans="1:55" hidden="1" x14ac:dyDescent="0.25">
      <c r="A577" s="373">
        <v>24705</v>
      </c>
      <c r="B577" s="233" t="str">
        <f>VLOOKUP(Table8[[#This Row],[Document ID]],Table1[],2,FALSE)</f>
        <v>CHN</v>
      </c>
      <c r="C577" s="233" t="str">
        <f>VLOOKUP(Table8[[#This Row],[Document ID]],Table1[],3,FALSE)</f>
        <v>China</v>
      </c>
      <c r="D577" s="243" t="str">
        <f>VLOOKUP(Table8[[#This Row],[Document ID]],Table1[],5,FALSE)</f>
        <v>LTS</v>
      </c>
      <c r="E577" s="233" t="str">
        <f>VLOOKUP(Table8[[#This Row],[Document ID]],Table1[],7,FALSE)</f>
        <v>LTS</v>
      </c>
      <c r="F577" s="233" t="str">
        <f>VLOOKUP(Table8[[#This Row],[Document ID]],Table1[],8,FALSE)</f>
        <v>LTS 1.0</v>
      </c>
      <c r="G577" s="233" t="str">
        <f>VLOOKUP(Table8[[#This Row],[Document ID]],Table1[],10,FALSE)</f>
        <v>Active</v>
      </c>
      <c r="H577" s="43" t="s">
        <v>2350</v>
      </c>
      <c r="I577" s="43" t="s">
        <v>2370</v>
      </c>
      <c r="J577" s="44" t="s">
        <v>2511</v>
      </c>
      <c r="K577" s="44" t="s">
        <v>2910</v>
      </c>
      <c r="L577" s="44" t="s">
        <v>2333</v>
      </c>
      <c r="M577" s="43">
        <v>20</v>
      </c>
      <c r="N577" s="113" t="s">
        <v>1113</v>
      </c>
      <c r="O577" s="113"/>
      <c r="P577" s="113"/>
      <c r="Q577" s="113"/>
      <c r="R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t="s">
        <v>1113</v>
      </c>
      <c r="AM577" s="113"/>
      <c r="AN577" s="113"/>
      <c r="AO577" s="44" t="s">
        <v>2334</v>
      </c>
      <c r="AP577" s="43"/>
      <c r="AQ577" s="236" t="str">
        <f>VLOOKUP(Table8[[#This Row],[Instrument]],Def_Targets!$D$73:$E$159,2,FALSE)</f>
        <v>A_LATM</v>
      </c>
      <c r="AR577" s="233" t="str">
        <f>VLOOKUP(Table8[[#This Row],[Country Code]],Table29[],3,FALSE)</f>
        <v>Non-Annex I</v>
      </c>
      <c r="AS577" s="233" t="str">
        <f>VLOOKUP(Table8[[#This Row],[Country Code]],Table29[],4,FALSE)</f>
        <v>Asia</v>
      </c>
      <c r="AT577" s="233" t="str">
        <f>VLOOKUP(Table8[[#This Row],[Country Code]],Table29[],5,FALSE)</f>
        <v>Middle-income</v>
      </c>
      <c r="AU577" s="233" t="str">
        <f>VLOOKUP(Table8[[#This Row],[Country Code]],Table29[],6,FALSE)</f>
        <v>G20</v>
      </c>
      <c r="AV577" s="233" t="str">
        <f>VLOOKUP(Table8[[#This Row],[Country Code]],Table29[],7,FALSE)</f>
        <v>no</v>
      </c>
      <c r="AW577" s="233" t="str">
        <f>VLOOKUP(Table8[[#This Row],[Country Code]],Table29[],8,FALSE)</f>
        <v>non-OECD</v>
      </c>
      <c r="AX577" s="233" t="str">
        <f>VLOOKUP(Table8[[#This Row],[Country Code]],Table29[],9,FALSE)</f>
        <v>no</v>
      </c>
      <c r="AY577" s="233" t="str">
        <f>VLOOKUP(Table8[[#This Row],[Country Code]],Table29[],10,FALSE)</f>
        <v>no</v>
      </c>
      <c r="AZ577" s="235">
        <f>VLOOKUP(Table8[[#This Row],[Country Code]],Table29[],23,FALSE)</f>
        <v>15943.986552905</v>
      </c>
      <c r="BA577" s="235">
        <f>VLOOKUP(Table8[[#This Row],[Country Code]],Table29[],24,FALSE)</f>
        <v>1110.1781062864729</v>
      </c>
      <c r="BB577" s="320"/>
      <c r="BC577" s="320"/>
    </row>
    <row r="578" spans="1:55" hidden="1" x14ac:dyDescent="0.25">
      <c r="A578" s="373">
        <v>24705</v>
      </c>
      <c r="B578" s="233" t="str">
        <f>VLOOKUP(Table8[[#This Row],[Document ID]],Table1[],2,FALSE)</f>
        <v>CHN</v>
      </c>
      <c r="C578" s="233" t="str">
        <f>VLOOKUP(Table8[[#This Row],[Document ID]],Table1[],3,FALSE)</f>
        <v>China</v>
      </c>
      <c r="D578" s="243" t="str">
        <f>VLOOKUP(Table8[[#This Row],[Document ID]],Table1[],5,FALSE)</f>
        <v>LTS</v>
      </c>
      <c r="E578" s="233" t="str">
        <f>VLOOKUP(Table8[[#This Row],[Document ID]],Table1[],7,FALSE)</f>
        <v>LTS</v>
      </c>
      <c r="F578" s="233" t="str">
        <f>VLOOKUP(Table8[[#This Row],[Document ID]],Table1[],8,FALSE)</f>
        <v>LTS 1.0</v>
      </c>
      <c r="G578" s="233" t="str">
        <f>VLOOKUP(Table8[[#This Row],[Document ID]],Table1[],10,FALSE)</f>
        <v>Active</v>
      </c>
      <c r="H578" s="43" t="s">
        <v>2343</v>
      </c>
      <c r="I578" s="43" t="s">
        <v>2344</v>
      </c>
      <c r="J578" s="44" t="s">
        <v>2405</v>
      </c>
      <c r="K578" s="44" t="s">
        <v>2911</v>
      </c>
      <c r="L578" s="44" t="s">
        <v>2347</v>
      </c>
      <c r="M578" s="43">
        <v>20</v>
      </c>
      <c r="N578" s="113"/>
      <c r="O578" s="113"/>
      <c r="P578" s="113"/>
      <c r="Q578" s="113"/>
      <c r="R578" s="113"/>
      <c r="S578" s="113"/>
      <c r="T578" s="113"/>
      <c r="U578" s="113"/>
      <c r="V578" s="113"/>
      <c r="W578" s="113"/>
      <c r="X578" s="113"/>
      <c r="Y578" s="113" t="s">
        <v>1113</v>
      </c>
      <c r="Z578" s="113"/>
      <c r="AA578" s="113"/>
      <c r="AB578" s="113"/>
      <c r="AC578" s="113" t="s">
        <v>1113</v>
      </c>
      <c r="AD578" s="113"/>
      <c r="AE578" s="113"/>
      <c r="AF578" s="113"/>
      <c r="AG578" s="113"/>
      <c r="AH578" s="113"/>
      <c r="AI578" s="113"/>
      <c r="AJ578" s="113"/>
      <c r="AK578" s="113"/>
      <c r="AL578" s="113" t="s">
        <v>1113</v>
      </c>
      <c r="AM578" s="113"/>
      <c r="AN578" s="113"/>
      <c r="AO578" s="43" t="s">
        <v>2348</v>
      </c>
      <c r="AP578" s="43"/>
      <c r="AQ578" s="236" t="str">
        <f>VLOOKUP(Table8[[#This Row],[Instrument]],Def_Targets!$D$73:$E$159,2,FALSE)</f>
        <v>S_PTIntegration</v>
      </c>
      <c r="AR578" s="233" t="str">
        <f>VLOOKUP(Table8[[#This Row],[Country Code]],Table29[],3,FALSE)</f>
        <v>Non-Annex I</v>
      </c>
      <c r="AS578" s="233" t="str">
        <f>VLOOKUP(Table8[[#This Row],[Country Code]],Table29[],4,FALSE)</f>
        <v>Asia</v>
      </c>
      <c r="AT578" s="233" t="str">
        <f>VLOOKUP(Table8[[#This Row],[Country Code]],Table29[],5,FALSE)</f>
        <v>Middle-income</v>
      </c>
      <c r="AU578" s="233" t="str">
        <f>VLOOKUP(Table8[[#This Row],[Country Code]],Table29[],6,FALSE)</f>
        <v>G20</v>
      </c>
      <c r="AV578" s="233" t="str">
        <f>VLOOKUP(Table8[[#This Row],[Country Code]],Table29[],7,FALSE)</f>
        <v>no</v>
      </c>
      <c r="AW578" s="233" t="str">
        <f>VLOOKUP(Table8[[#This Row],[Country Code]],Table29[],8,FALSE)</f>
        <v>non-OECD</v>
      </c>
      <c r="AX578" s="233" t="str">
        <f>VLOOKUP(Table8[[#This Row],[Country Code]],Table29[],9,FALSE)</f>
        <v>no</v>
      </c>
      <c r="AY578" s="233" t="str">
        <f>VLOOKUP(Table8[[#This Row],[Country Code]],Table29[],10,FALSE)</f>
        <v>no</v>
      </c>
      <c r="AZ578" s="235">
        <f>VLOOKUP(Table8[[#This Row],[Country Code]],Table29[],23,FALSE)</f>
        <v>15943.986552905</v>
      </c>
      <c r="BA578" s="235">
        <f>VLOOKUP(Table8[[#This Row],[Country Code]],Table29[],24,FALSE)</f>
        <v>1110.1781062864729</v>
      </c>
      <c r="BB578" s="320"/>
      <c r="BC578" s="320"/>
    </row>
    <row r="579" spans="1:55" hidden="1" x14ac:dyDescent="0.25">
      <c r="A579" s="373">
        <v>24705</v>
      </c>
      <c r="B579" s="233" t="str">
        <f>VLOOKUP(Table8[[#This Row],[Document ID]],Table1[],2,FALSE)</f>
        <v>CHN</v>
      </c>
      <c r="C579" s="233" t="str">
        <f>VLOOKUP(Table8[[#This Row],[Document ID]],Table1[],3,FALSE)</f>
        <v>China</v>
      </c>
      <c r="D579" s="243" t="str">
        <f>VLOOKUP(Table8[[#This Row],[Document ID]],Table1[],5,FALSE)</f>
        <v>LTS</v>
      </c>
      <c r="E579" s="233" t="str">
        <f>VLOOKUP(Table8[[#This Row],[Document ID]],Table1[],7,FALSE)</f>
        <v>LTS</v>
      </c>
      <c r="F579" s="233" t="str">
        <f>VLOOKUP(Table8[[#This Row],[Document ID]],Table1[],8,FALSE)</f>
        <v>LTS 1.0</v>
      </c>
      <c r="G579" s="233" t="str">
        <f>VLOOKUP(Table8[[#This Row],[Document ID]],Table1[],10,FALSE)</f>
        <v>Active</v>
      </c>
      <c r="H579" s="43" t="s">
        <v>2350</v>
      </c>
      <c r="I579" s="43" t="s">
        <v>2407</v>
      </c>
      <c r="J579" s="44" t="s">
        <v>2408</v>
      </c>
      <c r="K579" s="44" t="s">
        <v>2912</v>
      </c>
      <c r="L579" s="44" t="s">
        <v>2333</v>
      </c>
      <c r="M579" s="43">
        <v>20</v>
      </c>
      <c r="N579" s="113"/>
      <c r="O579" s="113"/>
      <c r="P579" s="113"/>
      <c r="Q579" s="113"/>
      <c r="R579" s="113"/>
      <c r="S579" s="113"/>
      <c r="T579" s="113"/>
      <c r="U579" s="113"/>
      <c r="V579" s="113"/>
      <c r="W579" s="113"/>
      <c r="X579" s="113"/>
      <c r="Y579" s="113" t="s">
        <v>1113</v>
      </c>
      <c r="Z579" s="113"/>
      <c r="AA579" s="113"/>
      <c r="AB579" s="113"/>
      <c r="AC579" s="113" t="s">
        <v>1113</v>
      </c>
      <c r="AD579" s="113"/>
      <c r="AE579" s="113"/>
      <c r="AF579" s="113"/>
      <c r="AG579" s="113"/>
      <c r="AH579" s="113"/>
      <c r="AI579" s="113"/>
      <c r="AJ579" s="113"/>
      <c r="AK579" s="113"/>
      <c r="AL579" s="113" t="s">
        <v>1113</v>
      </c>
      <c r="AM579" s="113"/>
      <c r="AN579" s="113"/>
      <c r="AO579" s="43" t="s">
        <v>2348</v>
      </c>
      <c r="AP579" s="43"/>
      <c r="AQ579" s="236" t="str">
        <f>VLOOKUP(Table8[[#This Row],[Instrument]],Def_Targets!$D$73:$E$159,2,FALSE)</f>
        <v>I_Education</v>
      </c>
      <c r="AR579" s="233" t="str">
        <f>VLOOKUP(Table8[[#This Row],[Country Code]],Table29[],3,FALSE)</f>
        <v>Non-Annex I</v>
      </c>
      <c r="AS579" s="233" t="str">
        <f>VLOOKUP(Table8[[#This Row],[Country Code]],Table29[],4,FALSE)</f>
        <v>Asia</v>
      </c>
      <c r="AT579" s="233" t="str">
        <f>VLOOKUP(Table8[[#This Row],[Country Code]],Table29[],5,FALSE)</f>
        <v>Middle-income</v>
      </c>
      <c r="AU579" s="233" t="str">
        <f>VLOOKUP(Table8[[#This Row],[Country Code]],Table29[],6,FALSE)</f>
        <v>G20</v>
      </c>
      <c r="AV579" s="233" t="str">
        <f>VLOOKUP(Table8[[#This Row],[Country Code]],Table29[],7,FALSE)</f>
        <v>no</v>
      </c>
      <c r="AW579" s="233" t="str">
        <f>VLOOKUP(Table8[[#This Row],[Country Code]],Table29[],8,FALSE)</f>
        <v>non-OECD</v>
      </c>
      <c r="AX579" s="233" t="str">
        <f>VLOOKUP(Table8[[#This Row],[Country Code]],Table29[],9,FALSE)</f>
        <v>no</v>
      </c>
      <c r="AY579" s="233" t="str">
        <f>VLOOKUP(Table8[[#This Row],[Country Code]],Table29[],10,FALSE)</f>
        <v>no</v>
      </c>
      <c r="AZ579" s="235">
        <f>VLOOKUP(Table8[[#This Row],[Country Code]],Table29[],23,FALSE)</f>
        <v>15943.986552905</v>
      </c>
      <c r="BA579" s="235">
        <f>VLOOKUP(Table8[[#This Row],[Country Code]],Table29[],24,FALSE)</f>
        <v>1110.1781062864729</v>
      </c>
      <c r="BB579" s="320"/>
      <c r="BC579" s="320"/>
    </row>
    <row r="580" spans="1:55" hidden="1" x14ac:dyDescent="0.25">
      <c r="A580" s="373">
        <v>24705</v>
      </c>
      <c r="B580" s="233" t="str">
        <f>VLOOKUP(Table8[[#This Row],[Document ID]],Table1[],2,FALSE)</f>
        <v>CHN</v>
      </c>
      <c r="C580" s="233" t="str">
        <f>VLOOKUP(Table8[[#This Row],[Document ID]],Table1[],3,FALSE)</f>
        <v>China</v>
      </c>
      <c r="D580" s="243" t="str">
        <f>VLOOKUP(Table8[[#This Row],[Document ID]],Table1[],5,FALSE)</f>
        <v>LTS</v>
      </c>
      <c r="E580" s="233" t="str">
        <f>VLOOKUP(Table8[[#This Row],[Document ID]],Table1[],7,FALSE)</f>
        <v>LTS</v>
      </c>
      <c r="F580" s="233" t="str">
        <f>VLOOKUP(Table8[[#This Row],[Document ID]],Table1[],8,FALSE)</f>
        <v>LTS 1.0</v>
      </c>
      <c r="G580" s="233" t="str">
        <f>VLOOKUP(Table8[[#This Row],[Document ID]],Table1[],10,FALSE)</f>
        <v>Active</v>
      </c>
      <c r="H580" s="43" t="s">
        <v>2343</v>
      </c>
      <c r="I580" s="43" t="s">
        <v>2361</v>
      </c>
      <c r="J580" s="44" t="s">
        <v>2366</v>
      </c>
      <c r="K580" s="44" t="s">
        <v>2913</v>
      </c>
      <c r="L580" s="44" t="s">
        <v>2347</v>
      </c>
      <c r="M580" s="43">
        <v>20</v>
      </c>
      <c r="N580" s="113"/>
      <c r="O580" s="113"/>
      <c r="P580" s="113" t="s">
        <v>1113</v>
      </c>
      <c r="Q580" s="113"/>
      <c r="R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t="s">
        <v>1113</v>
      </c>
      <c r="AM580" s="113"/>
      <c r="AN580" s="113"/>
      <c r="AO580" s="44" t="s">
        <v>2334</v>
      </c>
      <c r="AP580" s="43"/>
      <c r="AQ580" s="236" t="str">
        <f>VLOOKUP(Table8[[#This Row],[Instrument]],Def_Targets!$D$73:$E$159,2,FALSE)</f>
        <v>S_Activemobility</v>
      </c>
      <c r="AR580" s="233" t="str">
        <f>VLOOKUP(Table8[[#This Row],[Country Code]],Table29[],3,FALSE)</f>
        <v>Non-Annex I</v>
      </c>
      <c r="AS580" s="233" t="str">
        <f>VLOOKUP(Table8[[#This Row],[Country Code]],Table29[],4,FALSE)</f>
        <v>Asia</v>
      </c>
      <c r="AT580" s="233" t="str">
        <f>VLOOKUP(Table8[[#This Row],[Country Code]],Table29[],5,FALSE)</f>
        <v>Middle-income</v>
      </c>
      <c r="AU580" s="233" t="str">
        <f>VLOOKUP(Table8[[#This Row],[Country Code]],Table29[],6,FALSE)</f>
        <v>G20</v>
      </c>
      <c r="AV580" s="233" t="str">
        <f>VLOOKUP(Table8[[#This Row],[Country Code]],Table29[],7,FALSE)</f>
        <v>no</v>
      </c>
      <c r="AW580" s="233" t="str">
        <f>VLOOKUP(Table8[[#This Row],[Country Code]],Table29[],8,FALSE)</f>
        <v>non-OECD</v>
      </c>
      <c r="AX580" s="233" t="str">
        <f>VLOOKUP(Table8[[#This Row],[Country Code]],Table29[],9,FALSE)</f>
        <v>no</v>
      </c>
      <c r="AY580" s="233" t="str">
        <f>VLOOKUP(Table8[[#This Row],[Country Code]],Table29[],10,FALSE)</f>
        <v>no</v>
      </c>
      <c r="AZ580" s="235">
        <f>VLOOKUP(Table8[[#This Row],[Country Code]],Table29[],23,FALSE)</f>
        <v>15943.986552905</v>
      </c>
      <c r="BA580" s="235">
        <f>VLOOKUP(Table8[[#This Row],[Country Code]],Table29[],24,FALSE)</f>
        <v>1110.1781062864729</v>
      </c>
      <c r="BB580" s="320"/>
      <c r="BC580" s="320"/>
    </row>
    <row r="581" spans="1:55" ht="30" hidden="1" x14ac:dyDescent="0.25">
      <c r="A581" s="373">
        <v>24705</v>
      </c>
      <c r="B581" s="233" t="str">
        <f>VLOOKUP(Table8[[#This Row],[Document ID]],Table1[],2,FALSE)</f>
        <v>CHN</v>
      </c>
      <c r="C581" s="233" t="str">
        <f>VLOOKUP(Table8[[#This Row],[Document ID]],Table1[],3,FALSE)</f>
        <v>China</v>
      </c>
      <c r="D581" s="243" t="str">
        <f>VLOOKUP(Table8[[#This Row],[Document ID]],Table1[],5,FALSE)</f>
        <v>LTS</v>
      </c>
      <c r="E581" s="233" t="str">
        <f>VLOOKUP(Table8[[#This Row],[Document ID]],Table1[],7,FALSE)</f>
        <v>LTS</v>
      </c>
      <c r="F581" s="233" t="str">
        <f>VLOOKUP(Table8[[#This Row],[Document ID]],Table1[],8,FALSE)</f>
        <v>LTS 1.0</v>
      </c>
      <c r="G581" s="233" t="str">
        <f>VLOOKUP(Table8[[#This Row],[Document ID]],Table1[],10,FALSE)</f>
        <v>Active</v>
      </c>
      <c r="H581" s="43" t="s">
        <v>2350</v>
      </c>
      <c r="I581" s="43" t="s">
        <v>2456</v>
      </c>
      <c r="J581" s="44" t="s">
        <v>2466</v>
      </c>
      <c r="K581" s="44" t="s">
        <v>2914</v>
      </c>
      <c r="L581" s="44" t="s">
        <v>2347</v>
      </c>
      <c r="M581" s="43">
        <v>20</v>
      </c>
      <c r="N581" s="113"/>
      <c r="O581" s="113"/>
      <c r="P581" s="113"/>
      <c r="Q581" s="113"/>
      <c r="R581" s="113"/>
      <c r="S581" s="113"/>
      <c r="T581" s="113"/>
      <c r="U581" s="113"/>
      <c r="V581" s="113"/>
      <c r="W581" s="113"/>
      <c r="X581" s="113"/>
      <c r="Y581" s="113"/>
      <c r="Z581" s="113" t="s">
        <v>1113</v>
      </c>
      <c r="AA581" s="113"/>
      <c r="AB581" s="113"/>
      <c r="AC581" s="113"/>
      <c r="AD581" s="113"/>
      <c r="AE581" s="113"/>
      <c r="AF581" s="113"/>
      <c r="AG581" s="113"/>
      <c r="AH581" s="113" t="s">
        <v>1113</v>
      </c>
      <c r="AI581" s="113"/>
      <c r="AJ581" s="113"/>
      <c r="AK581" s="113"/>
      <c r="AL581" s="113"/>
      <c r="AM581" s="113"/>
      <c r="AN581" s="113" t="s">
        <v>1113</v>
      </c>
      <c r="AO581" s="43" t="s">
        <v>2348</v>
      </c>
      <c r="AP581" s="43"/>
      <c r="AQ581" s="236" t="str">
        <f>VLOOKUP(Table8[[#This Row],[Instrument]],Def_Targets!$D$73:$E$159,2,FALSE)</f>
        <v>S_Infraexpansion</v>
      </c>
      <c r="AR581" s="233" t="str">
        <f>VLOOKUP(Table8[[#This Row],[Country Code]],Table29[],3,FALSE)</f>
        <v>Non-Annex I</v>
      </c>
      <c r="AS581" s="233" t="str">
        <f>VLOOKUP(Table8[[#This Row],[Country Code]],Table29[],4,FALSE)</f>
        <v>Asia</v>
      </c>
      <c r="AT581" s="233" t="str">
        <f>VLOOKUP(Table8[[#This Row],[Country Code]],Table29[],5,FALSE)</f>
        <v>Middle-income</v>
      </c>
      <c r="AU581" s="233" t="str">
        <f>VLOOKUP(Table8[[#This Row],[Country Code]],Table29[],6,FALSE)</f>
        <v>G20</v>
      </c>
      <c r="AV581" s="233" t="str">
        <f>VLOOKUP(Table8[[#This Row],[Country Code]],Table29[],7,FALSE)</f>
        <v>no</v>
      </c>
      <c r="AW581" s="233" t="str">
        <f>VLOOKUP(Table8[[#This Row],[Country Code]],Table29[],8,FALSE)</f>
        <v>non-OECD</v>
      </c>
      <c r="AX581" s="233" t="str">
        <f>VLOOKUP(Table8[[#This Row],[Country Code]],Table29[],9,FALSE)</f>
        <v>no</v>
      </c>
      <c r="AY581" s="233" t="str">
        <f>VLOOKUP(Table8[[#This Row],[Country Code]],Table29[],10,FALSE)</f>
        <v>no</v>
      </c>
      <c r="AZ581" s="235">
        <f>VLOOKUP(Table8[[#This Row],[Country Code]],Table29[],23,FALSE)</f>
        <v>15943.986552905</v>
      </c>
      <c r="BA581" s="235">
        <f>VLOOKUP(Table8[[#This Row],[Country Code]],Table29[],24,FALSE)</f>
        <v>1110.1781062864729</v>
      </c>
      <c r="BB581" s="320"/>
      <c r="BC581" s="320"/>
    </row>
    <row r="582" spans="1:55" hidden="1" x14ac:dyDescent="0.25">
      <c r="A582" s="373">
        <v>24705</v>
      </c>
      <c r="B582" s="233" t="str">
        <f>VLOOKUP(Table8[[#This Row],[Document ID]],Table1[],2,FALSE)</f>
        <v>CHN</v>
      </c>
      <c r="C582" s="233" t="str">
        <f>VLOOKUP(Table8[[#This Row],[Document ID]],Table1[],3,FALSE)</f>
        <v>China</v>
      </c>
      <c r="D582" s="243" t="str">
        <f>VLOOKUP(Table8[[#This Row],[Document ID]],Table1[],5,FALSE)</f>
        <v>LTS</v>
      </c>
      <c r="E582" s="233" t="str">
        <f>VLOOKUP(Table8[[#This Row],[Document ID]],Table1[],7,FALSE)</f>
        <v>LTS</v>
      </c>
      <c r="F582" s="233" t="str">
        <f>VLOOKUP(Table8[[#This Row],[Document ID]],Table1[],8,FALSE)</f>
        <v>LTS 1.0</v>
      </c>
      <c r="G582" s="233" t="str">
        <f>VLOOKUP(Table8[[#This Row],[Document ID]],Table1[],10,FALSE)</f>
        <v>Active</v>
      </c>
      <c r="H582" s="43" t="s">
        <v>2343</v>
      </c>
      <c r="I582" s="43" t="s">
        <v>2377</v>
      </c>
      <c r="J582" s="44" t="s">
        <v>2378</v>
      </c>
      <c r="K582" s="44" t="s">
        <v>2915</v>
      </c>
      <c r="L582" s="44" t="s">
        <v>2333</v>
      </c>
      <c r="M582" s="43">
        <v>20</v>
      </c>
      <c r="N582" s="113"/>
      <c r="O582" s="113"/>
      <c r="P582" s="113"/>
      <c r="Q582" s="113"/>
      <c r="R582" s="113"/>
      <c r="S582" s="113"/>
      <c r="T582" s="113"/>
      <c r="U582" s="113"/>
      <c r="V582" s="113"/>
      <c r="W582" s="113"/>
      <c r="X582" s="113"/>
      <c r="Y582" s="113"/>
      <c r="Z582" s="113"/>
      <c r="AA582" s="113"/>
      <c r="AB582" s="113"/>
      <c r="AC582" s="113" t="s">
        <v>1113</v>
      </c>
      <c r="AD582" s="113"/>
      <c r="AE582" s="113"/>
      <c r="AF582" s="113"/>
      <c r="AG582" s="113"/>
      <c r="AH582" s="113"/>
      <c r="AI582" s="113"/>
      <c r="AJ582" s="113"/>
      <c r="AK582" s="113"/>
      <c r="AL582" s="113" t="s">
        <v>1113</v>
      </c>
      <c r="AM582" s="113"/>
      <c r="AN582" s="113"/>
      <c r="AO582" s="43" t="s">
        <v>2348</v>
      </c>
      <c r="AP582" s="43"/>
      <c r="AQ582" s="236" t="str">
        <f>VLOOKUP(Table8[[#This Row],[Instrument]],Def_Targets!$D$73:$E$159,2,FALSE)</f>
        <v>A_Commute</v>
      </c>
      <c r="AR582" s="233" t="str">
        <f>VLOOKUP(Table8[[#This Row],[Country Code]],Table29[],3,FALSE)</f>
        <v>Non-Annex I</v>
      </c>
      <c r="AS582" s="233" t="str">
        <f>VLOOKUP(Table8[[#This Row],[Country Code]],Table29[],4,FALSE)</f>
        <v>Asia</v>
      </c>
      <c r="AT582" s="233" t="str">
        <f>VLOOKUP(Table8[[#This Row],[Country Code]],Table29[],5,FALSE)</f>
        <v>Middle-income</v>
      </c>
      <c r="AU582" s="233" t="str">
        <f>VLOOKUP(Table8[[#This Row],[Country Code]],Table29[],6,FALSE)</f>
        <v>G20</v>
      </c>
      <c r="AV582" s="233" t="str">
        <f>VLOOKUP(Table8[[#This Row],[Country Code]],Table29[],7,FALSE)</f>
        <v>no</v>
      </c>
      <c r="AW582" s="233" t="str">
        <f>VLOOKUP(Table8[[#This Row],[Country Code]],Table29[],8,FALSE)</f>
        <v>non-OECD</v>
      </c>
      <c r="AX582" s="233" t="str">
        <f>VLOOKUP(Table8[[#This Row],[Country Code]],Table29[],9,FALSE)</f>
        <v>no</v>
      </c>
      <c r="AY582" s="233" t="str">
        <f>VLOOKUP(Table8[[#This Row],[Country Code]],Table29[],10,FALSE)</f>
        <v>no</v>
      </c>
      <c r="AZ582" s="235">
        <f>VLOOKUP(Table8[[#This Row],[Country Code]],Table29[],23,FALSE)</f>
        <v>15943.986552905</v>
      </c>
      <c r="BA582" s="235">
        <f>VLOOKUP(Table8[[#This Row],[Country Code]],Table29[],24,FALSE)</f>
        <v>1110.1781062864729</v>
      </c>
      <c r="BB582" s="320"/>
      <c r="BC582" s="320"/>
    </row>
    <row r="583" spans="1:55" ht="30" hidden="1" x14ac:dyDescent="0.25">
      <c r="A583" s="373">
        <v>24705</v>
      </c>
      <c r="B583" s="233" t="str">
        <f>VLOOKUP(Table8[[#This Row],[Document ID]],Table1[],2,FALSE)</f>
        <v>CHN</v>
      </c>
      <c r="C583" s="233" t="str">
        <f>VLOOKUP(Table8[[#This Row],[Document ID]],Table1[],3,FALSE)</f>
        <v>China</v>
      </c>
      <c r="D583" s="243" t="str">
        <f>VLOOKUP(Table8[[#This Row],[Document ID]],Table1[],5,FALSE)</f>
        <v>LTS</v>
      </c>
      <c r="E583" s="233" t="str">
        <f>VLOOKUP(Table8[[#This Row],[Document ID]],Table1[],7,FALSE)</f>
        <v>LTS</v>
      </c>
      <c r="F583" s="233" t="str">
        <f>VLOOKUP(Table8[[#This Row],[Document ID]],Table1[],8,FALSE)</f>
        <v>LTS 1.0</v>
      </c>
      <c r="G583" s="233" t="str">
        <f>VLOOKUP(Table8[[#This Row],[Document ID]],Table1[],10,FALSE)</f>
        <v>Active</v>
      </c>
      <c r="H583" s="43" t="s">
        <v>2343</v>
      </c>
      <c r="I583" s="43" t="s">
        <v>2344</v>
      </c>
      <c r="J583" s="44" t="s">
        <v>2345</v>
      </c>
      <c r="K583" s="44" t="s">
        <v>2916</v>
      </c>
      <c r="L583" s="44" t="s">
        <v>2347</v>
      </c>
      <c r="M583" s="43">
        <v>20</v>
      </c>
      <c r="N583" s="113" t="s">
        <v>1113</v>
      </c>
      <c r="O583" s="113"/>
      <c r="P583" s="113"/>
      <c r="Q583" s="113"/>
      <c r="R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t="s">
        <v>1113</v>
      </c>
      <c r="AO583" s="43" t="s">
        <v>2348</v>
      </c>
      <c r="AP583" s="43"/>
      <c r="AQ583" s="236" t="str">
        <f>VLOOKUP(Table8[[#This Row],[Instrument]],Def_Targets!$D$73:$E$159,2,FALSE)</f>
        <v>S_PublicTransport</v>
      </c>
      <c r="AR583" s="233" t="str">
        <f>VLOOKUP(Table8[[#This Row],[Country Code]],Table29[],3,FALSE)</f>
        <v>Non-Annex I</v>
      </c>
      <c r="AS583" s="233" t="str">
        <f>VLOOKUP(Table8[[#This Row],[Country Code]],Table29[],4,FALSE)</f>
        <v>Asia</v>
      </c>
      <c r="AT583" s="233" t="str">
        <f>VLOOKUP(Table8[[#This Row],[Country Code]],Table29[],5,FALSE)</f>
        <v>Middle-income</v>
      </c>
      <c r="AU583" s="233" t="str">
        <f>VLOOKUP(Table8[[#This Row],[Country Code]],Table29[],6,FALSE)</f>
        <v>G20</v>
      </c>
      <c r="AV583" s="233" t="str">
        <f>VLOOKUP(Table8[[#This Row],[Country Code]],Table29[],7,FALSE)</f>
        <v>no</v>
      </c>
      <c r="AW583" s="233" t="str">
        <f>VLOOKUP(Table8[[#This Row],[Country Code]],Table29[],8,FALSE)</f>
        <v>non-OECD</v>
      </c>
      <c r="AX583" s="233" t="str">
        <f>VLOOKUP(Table8[[#This Row],[Country Code]],Table29[],9,FALSE)</f>
        <v>no</v>
      </c>
      <c r="AY583" s="233" t="str">
        <f>VLOOKUP(Table8[[#This Row],[Country Code]],Table29[],10,FALSE)</f>
        <v>no</v>
      </c>
      <c r="AZ583" s="235">
        <f>VLOOKUP(Table8[[#This Row],[Country Code]],Table29[],23,FALSE)</f>
        <v>15943.986552905</v>
      </c>
      <c r="BA583" s="235">
        <f>VLOOKUP(Table8[[#This Row],[Country Code]],Table29[],24,FALSE)</f>
        <v>1110.1781062864729</v>
      </c>
      <c r="BB583" s="320"/>
      <c r="BC583" s="320"/>
    </row>
    <row r="584" spans="1:55" ht="60" hidden="1" x14ac:dyDescent="0.25">
      <c r="A584" s="373">
        <v>26777</v>
      </c>
      <c r="B584" s="233" t="str">
        <f>VLOOKUP(Table8[[#This Row],[Document ID]],Table1[],2,FALSE)</f>
        <v>COL</v>
      </c>
      <c r="C584" s="233" t="str">
        <f>VLOOKUP(Table8[[#This Row],[Document ID]],Table1[],3,FALSE)</f>
        <v>Colombia</v>
      </c>
      <c r="D584" s="243" t="str">
        <f>VLOOKUP(Table8[[#This Row],[Document ID]],Table1[],5,FALSE)</f>
        <v>LTS</v>
      </c>
      <c r="E584" s="233" t="str">
        <f>VLOOKUP(Table8[[#This Row],[Document ID]],Table1[],7,FALSE)</f>
        <v>LTS</v>
      </c>
      <c r="F584" s="236" t="str">
        <f>VLOOKUP(Table8[[#This Row],[Document ID]],Table1[],8,FALSE)</f>
        <v>LTS 1.0</v>
      </c>
      <c r="G584" s="236" t="str">
        <f>VLOOKUP(Table8[[#This Row],[Document ID]],Table1[],10,FALSE)</f>
        <v>Active</v>
      </c>
      <c r="H584" s="44" t="s">
        <v>2329</v>
      </c>
      <c r="I584" s="44" t="s">
        <v>2330</v>
      </c>
      <c r="J584" s="44" t="s">
        <v>2391</v>
      </c>
      <c r="K584" s="44" t="s">
        <v>2917</v>
      </c>
      <c r="L584" s="44" t="s">
        <v>2333</v>
      </c>
      <c r="M584" s="43">
        <v>33</v>
      </c>
      <c r="N584" s="113" t="s">
        <v>1291</v>
      </c>
      <c r="O584" s="113"/>
      <c r="P584" s="113"/>
      <c r="Q584" s="113"/>
      <c r="R584" s="113"/>
      <c r="S584" s="113"/>
      <c r="T584" s="113"/>
      <c r="U584" s="113"/>
      <c r="V584" s="113"/>
      <c r="W584" s="113"/>
      <c r="X584" s="113"/>
      <c r="Y584" s="113"/>
      <c r="Z584" s="113"/>
      <c r="AA584" s="113"/>
      <c r="AB584" s="113"/>
      <c r="AC584" s="113"/>
      <c r="AD584" s="113"/>
      <c r="AE584" s="113"/>
      <c r="AF584" s="113"/>
      <c r="AG584" s="113"/>
      <c r="AH584" s="113"/>
      <c r="AI584" s="113"/>
      <c r="AJ584" s="113"/>
      <c r="AK584" s="113" t="s">
        <v>1291</v>
      </c>
      <c r="AL584" s="113"/>
      <c r="AM584" s="113"/>
      <c r="AN584" s="113"/>
      <c r="AO584" s="44" t="s">
        <v>2334</v>
      </c>
      <c r="AP584" s="43"/>
      <c r="AQ584" s="236" t="str">
        <f>VLOOKUP(Table8[[#This Row],[Instrument]],Def_Targets!$D$73:$E$159,2,FALSE)</f>
        <v>I_Hydrogen</v>
      </c>
      <c r="AR584" s="233" t="str">
        <f>VLOOKUP(Table8[[#This Row],[Country Code]],Table29[],3,FALSE)</f>
        <v>Non-Annex I</v>
      </c>
      <c r="AS584" s="233" t="str">
        <f>VLOOKUP(Table8[[#This Row],[Country Code]],Table29[],4,FALSE)</f>
        <v>Latin America and the Caribbean</v>
      </c>
      <c r="AT584" s="233" t="str">
        <f>VLOOKUP(Table8[[#This Row],[Country Code]],Table29[],5,FALSE)</f>
        <v>Middle-income</v>
      </c>
      <c r="AU584" s="233" t="str">
        <f>VLOOKUP(Table8[[#This Row],[Country Code]],Table29[],6,FALSE)</f>
        <v>no</v>
      </c>
      <c r="AV584" s="233" t="str">
        <f>VLOOKUP(Table8[[#This Row],[Country Code]],Table29[],7,FALSE)</f>
        <v>no</v>
      </c>
      <c r="AW584" s="233" t="str">
        <f>VLOOKUP(Table8[[#This Row],[Country Code]],Table29[],8,FALSE)</f>
        <v>OECD</v>
      </c>
      <c r="AX584" s="233" t="str">
        <f>VLOOKUP(Table8[[#This Row],[Country Code]],Table29[],9,FALSE)</f>
        <v>no</v>
      </c>
      <c r="AY584" s="233" t="str">
        <f>VLOOKUP(Table8[[#This Row],[Country Code]],Table29[],10,FALSE)</f>
        <v>no</v>
      </c>
      <c r="AZ584" s="235">
        <f>VLOOKUP(Table8[[#This Row],[Country Code]],Table29[],23,FALSE)</f>
        <v>223.96663405241</v>
      </c>
      <c r="BA584" s="235">
        <f>VLOOKUP(Table8[[#This Row],[Country Code]],Table29[],24,FALSE)</f>
        <v>37.36796885652894</v>
      </c>
      <c r="BB584" s="320"/>
      <c r="BC584" s="320"/>
    </row>
    <row r="585" spans="1:55" s="23" customFormat="1" ht="60" hidden="1" x14ac:dyDescent="0.25">
      <c r="A585" s="373">
        <v>26777</v>
      </c>
      <c r="B585" s="233" t="str">
        <f>VLOOKUP(Table8[[#This Row],[Document ID]],Table1[],2,FALSE)</f>
        <v>COL</v>
      </c>
      <c r="C585" s="233" t="str">
        <f>VLOOKUP(Table8[[#This Row],[Document ID]],Table1[],3,FALSE)</f>
        <v>Colombia</v>
      </c>
      <c r="D585" s="243" t="str">
        <f>VLOOKUP(Table8[[#This Row],[Document ID]],Table1[],5,FALSE)</f>
        <v>LTS</v>
      </c>
      <c r="E585" s="233" t="str">
        <f>VLOOKUP(Table8[[#This Row],[Document ID]],Table1[],7,FALSE)</f>
        <v>LTS</v>
      </c>
      <c r="F585" s="236" t="str">
        <f>VLOOKUP(Table8[[#This Row],[Document ID]],Table1[],8,FALSE)</f>
        <v>LTS 1.0</v>
      </c>
      <c r="G585" s="236" t="str">
        <f>VLOOKUP(Table8[[#This Row],[Document ID]],Table1[],10,FALSE)</f>
        <v>Active</v>
      </c>
      <c r="H585" s="44" t="s">
        <v>2329</v>
      </c>
      <c r="I585" s="44" t="s">
        <v>2330</v>
      </c>
      <c r="J585" s="44" t="s">
        <v>2363</v>
      </c>
      <c r="K585" s="44" t="s">
        <v>2917</v>
      </c>
      <c r="L585" s="44" t="s">
        <v>2333</v>
      </c>
      <c r="M585" s="43">
        <v>33</v>
      </c>
      <c r="N585" s="113" t="s">
        <v>1291</v>
      </c>
      <c r="O585" s="113"/>
      <c r="P585" s="113"/>
      <c r="Q585" s="113"/>
      <c r="R585" s="113"/>
      <c r="S585" s="113"/>
      <c r="T585" s="113"/>
      <c r="U585" s="113"/>
      <c r="V585" s="113"/>
      <c r="W585" s="113"/>
      <c r="X585" s="113"/>
      <c r="Y585" s="113"/>
      <c r="Z585" s="113"/>
      <c r="AA585" s="113"/>
      <c r="AB585" s="113"/>
      <c r="AC585" s="113"/>
      <c r="AD585" s="113"/>
      <c r="AE585" s="113"/>
      <c r="AF585" s="113"/>
      <c r="AG585" s="113"/>
      <c r="AH585" s="113"/>
      <c r="AI585" s="113"/>
      <c r="AJ585" s="113"/>
      <c r="AK585" s="113" t="s">
        <v>1291</v>
      </c>
      <c r="AL585" s="113"/>
      <c r="AM585" s="113"/>
      <c r="AN585" s="113"/>
      <c r="AO585" s="44" t="s">
        <v>2334</v>
      </c>
      <c r="AP585" s="43"/>
      <c r="AQ585" s="236" t="str">
        <f>VLOOKUP(Table8[[#This Row],[Instrument]],Def_Targets!$D$73:$E$159,2,FALSE)</f>
        <v>I_LPGCNGLNG</v>
      </c>
      <c r="AR585" s="233" t="str">
        <f>VLOOKUP(Table8[[#This Row],[Country Code]],Table29[],3,FALSE)</f>
        <v>Non-Annex I</v>
      </c>
      <c r="AS585" s="233" t="str">
        <f>VLOOKUP(Table8[[#This Row],[Country Code]],Table29[],4,FALSE)</f>
        <v>Latin America and the Caribbean</v>
      </c>
      <c r="AT585" s="233" t="str">
        <f>VLOOKUP(Table8[[#This Row],[Country Code]],Table29[],5,FALSE)</f>
        <v>Middle-income</v>
      </c>
      <c r="AU585" s="233" t="str">
        <f>VLOOKUP(Table8[[#This Row],[Country Code]],Table29[],6,FALSE)</f>
        <v>no</v>
      </c>
      <c r="AV585" s="233" t="str">
        <f>VLOOKUP(Table8[[#This Row],[Country Code]],Table29[],7,FALSE)</f>
        <v>no</v>
      </c>
      <c r="AW585" s="233" t="str">
        <f>VLOOKUP(Table8[[#This Row],[Country Code]],Table29[],8,FALSE)</f>
        <v>OECD</v>
      </c>
      <c r="AX585" s="233" t="str">
        <f>VLOOKUP(Table8[[#This Row],[Country Code]],Table29[],9,FALSE)</f>
        <v>no</v>
      </c>
      <c r="AY585" s="233" t="str">
        <f>VLOOKUP(Table8[[#This Row],[Country Code]],Table29[],10,FALSE)</f>
        <v>no</v>
      </c>
      <c r="AZ585" s="235">
        <f>VLOOKUP(Table8[[#This Row],[Country Code]],Table29[],23,FALSE)</f>
        <v>223.96663405241</v>
      </c>
      <c r="BA585" s="235">
        <f>VLOOKUP(Table8[[#This Row],[Country Code]],Table29[],24,FALSE)</f>
        <v>37.36796885652894</v>
      </c>
      <c r="BB585" s="320"/>
      <c r="BC585" s="320"/>
    </row>
    <row r="586" spans="1:55" ht="60" hidden="1" x14ac:dyDescent="0.25">
      <c r="A586" s="373">
        <v>26777</v>
      </c>
      <c r="B586" s="233" t="str">
        <f>VLOOKUP(Table8[[#This Row],[Document ID]],Table1[],2,FALSE)</f>
        <v>COL</v>
      </c>
      <c r="C586" s="233" t="str">
        <f>VLOOKUP(Table8[[#This Row],[Document ID]],Table1[],3,FALSE)</f>
        <v>Colombia</v>
      </c>
      <c r="D586" s="243" t="str">
        <f>VLOOKUP(Table8[[#This Row],[Document ID]],Table1[],5,FALSE)</f>
        <v>LTS</v>
      </c>
      <c r="E586" s="233" t="str">
        <f>VLOOKUP(Table8[[#This Row],[Document ID]],Table1[],7,FALSE)</f>
        <v>LTS</v>
      </c>
      <c r="F586" s="236" t="str">
        <f>VLOOKUP(Table8[[#This Row],[Document ID]],Table1[],8,FALSE)</f>
        <v>LTS 1.0</v>
      </c>
      <c r="G586" s="236" t="str">
        <f>VLOOKUP(Table8[[#This Row],[Document ID]],Table1[],10,FALSE)</f>
        <v>Active</v>
      </c>
      <c r="H586" s="44" t="s">
        <v>2329</v>
      </c>
      <c r="I586" s="44" t="s">
        <v>2330</v>
      </c>
      <c r="J586" s="44" t="s">
        <v>2357</v>
      </c>
      <c r="K586" s="44" t="s">
        <v>2917</v>
      </c>
      <c r="L586" s="44" t="s">
        <v>2333</v>
      </c>
      <c r="M586" s="43">
        <v>33</v>
      </c>
      <c r="N586" s="113" t="s">
        <v>1291</v>
      </c>
      <c r="O586" s="113"/>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t="s">
        <v>1291</v>
      </c>
      <c r="AL586" s="113"/>
      <c r="AM586" s="113"/>
      <c r="AN586" s="113"/>
      <c r="AO586" s="44" t="s">
        <v>2334</v>
      </c>
      <c r="AP586" s="43"/>
      <c r="AQ586" s="236" t="str">
        <f>VLOOKUP(Table8[[#This Row],[Instrument]],Def_Targets!$D$73:$E$159,2,FALSE)</f>
        <v>I_Biofuel</v>
      </c>
      <c r="AR586" s="233" t="str">
        <f>VLOOKUP(Table8[[#This Row],[Country Code]],Table29[],3,FALSE)</f>
        <v>Non-Annex I</v>
      </c>
      <c r="AS586" s="233" t="str">
        <f>VLOOKUP(Table8[[#This Row],[Country Code]],Table29[],4,FALSE)</f>
        <v>Latin America and the Caribbean</v>
      </c>
      <c r="AT586" s="233" t="str">
        <f>VLOOKUP(Table8[[#This Row],[Country Code]],Table29[],5,FALSE)</f>
        <v>Middle-income</v>
      </c>
      <c r="AU586" s="233" t="str">
        <f>VLOOKUP(Table8[[#This Row],[Country Code]],Table29[],6,FALSE)</f>
        <v>no</v>
      </c>
      <c r="AV586" s="233" t="str">
        <f>VLOOKUP(Table8[[#This Row],[Country Code]],Table29[],7,FALSE)</f>
        <v>no</v>
      </c>
      <c r="AW586" s="233" t="str">
        <f>VLOOKUP(Table8[[#This Row],[Country Code]],Table29[],8,FALSE)</f>
        <v>OECD</v>
      </c>
      <c r="AX586" s="233" t="str">
        <f>VLOOKUP(Table8[[#This Row],[Country Code]],Table29[],9,FALSE)</f>
        <v>no</v>
      </c>
      <c r="AY586" s="233" t="str">
        <f>VLOOKUP(Table8[[#This Row],[Country Code]],Table29[],10,FALSE)</f>
        <v>no</v>
      </c>
      <c r="AZ586" s="235">
        <f>VLOOKUP(Table8[[#This Row],[Country Code]],Table29[],23,FALSE)</f>
        <v>223.96663405241</v>
      </c>
      <c r="BA586" s="235">
        <f>VLOOKUP(Table8[[#This Row],[Country Code]],Table29[],24,FALSE)</f>
        <v>37.36796885652894</v>
      </c>
      <c r="BB586" s="320"/>
      <c r="BC586" s="320"/>
    </row>
    <row r="587" spans="1:55" ht="30" hidden="1" x14ac:dyDescent="0.25">
      <c r="A587" s="373">
        <v>26777</v>
      </c>
      <c r="B587" s="233" t="str">
        <f>VLOOKUP(Table8[[#This Row],[Document ID]],Table1[],2,FALSE)</f>
        <v>COL</v>
      </c>
      <c r="C587" s="233" t="str">
        <f>VLOOKUP(Table8[[#This Row],[Document ID]],Table1[],3,FALSE)</f>
        <v>Colombia</v>
      </c>
      <c r="D587" s="243" t="str">
        <f>VLOOKUP(Table8[[#This Row],[Document ID]],Table1[],5,FALSE)</f>
        <v>LTS</v>
      </c>
      <c r="E587" s="233" t="str">
        <f>VLOOKUP(Table8[[#This Row],[Document ID]],Table1[],7,FALSE)</f>
        <v>LTS</v>
      </c>
      <c r="F587" s="236" t="str">
        <f>VLOOKUP(Table8[[#This Row],[Document ID]],Table1[],8,FALSE)</f>
        <v>LTS 1.0</v>
      </c>
      <c r="G587" s="236" t="str">
        <f>VLOOKUP(Table8[[#This Row],[Document ID]],Table1[],10,FALSE)</f>
        <v>Active</v>
      </c>
      <c r="H587" s="43" t="s">
        <v>2358</v>
      </c>
      <c r="I587" s="43" t="s">
        <v>2359</v>
      </c>
      <c r="J587" s="44" t="s">
        <v>2360</v>
      </c>
      <c r="K587" s="44" t="s">
        <v>2918</v>
      </c>
      <c r="L587" s="44" t="s">
        <v>2333</v>
      </c>
      <c r="M587" s="43">
        <v>35</v>
      </c>
      <c r="N587" s="113" t="s">
        <v>1291</v>
      </c>
      <c r="O587" s="113"/>
      <c r="P587" s="113"/>
      <c r="Q587" s="113"/>
      <c r="R587" s="113"/>
      <c r="S587" s="113"/>
      <c r="T587" s="113"/>
      <c r="U587" s="113"/>
      <c r="V587" s="113"/>
      <c r="W587" s="113"/>
      <c r="X587" s="113"/>
      <c r="Y587" s="113"/>
      <c r="Z587" s="113"/>
      <c r="AA587" s="113"/>
      <c r="AB587" s="113"/>
      <c r="AC587" s="113"/>
      <c r="AD587" s="113"/>
      <c r="AE587" s="113"/>
      <c r="AF587" s="113"/>
      <c r="AG587" s="113"/>
      <c r="AH587" s="113"/>
      <c r="AI587" s="113"/>
      <c r="AJ587" s="113"/>
      <c r="AK587" s="113" t="s">
        <v>1291</v>
      </c>
      <c r="AL587" s="113"/>
      <c r="AM587" s="113"/>
      <c r="AN587" s="113"/>
      <c r="AO587" s="44" t="s">
        <v>2334</v>
      </c>
      <c r="AP587" s="43"/>
      <c r="AQ587" s="236" t="str">
        <f>VLOOKUP(Table8[[#This Row],[Instrument]],Def_Targets!$D$73:$E$159,2,FALSE)</f>
        <v>I_Emobility</v>
      </c>
      <c r="AR587" s="233" t="str">
        <f>VLOOKUP(Table8[[#This Row],[Country Code]],Table29[],3,FALSE)</f>
        <v>Non-Annex I</v>
      </c>
      <c r="AS587" s="233" t="str">
        <f>VLOOKUP(Table8[[#This Row],[Country Code]],Table29[],4,FALSE)</f>
        <v>Latin America and the Caribbean</v>
      </c>
      <c r="AT587" s="233" t="str">
        <f>VLOOKUP(Table8[[#This Row],[Country Code]],Table29[],5,FALSE)</f>
        <v>Middle-income</v>
      </c>
      <c r="AU587" s="233" t="str">
        <f>VLOOKUP(Table8[[#This Row],[Country Code]],Table29[],6,FALSE)</f>
        <v>no</v>
      </c>
      <c r="AV587" s="233" t="str">
        <f>VLOOKUP(Table8[[#This Row],[Country Code]],Table29[],7,FALSE)</f>
        <v>no</v>
      </c>
      <c r="AW587" s="233" t="str">
        <f>VLOOKUP(Table8[[#This Row],[Country Code]],Table29[],8,FALSE)</f>
        <v>OECD</v>
      </c>
      <c r="AX587" s="233" t="str">
        <f>VLOOKUP(Table8[[#This Row],[Country Code]],Table29[],9,FALSE)</f>
        <v>no</v>
      </c>
      <c r="AY587" s="233" t="str">
        <f>VLOOKUP(Table8[[#This Row],[Country Code]],Table29[],10,FALSE)</f>
        <v>no</v>
      </c>
      <c r="AZ587" s="235">
        <f>VLOOKUP(Table8[[#This Row],[Country Code]],Table29[],23,FALSE)</f>
        <v>223.96663405241</v>
      </c>
      <c r="BA587" s="235">
        <f>VLOOKUP(Table8[[#This Row],[Country Code]],Table29[],24,FALSE)</f>
        <v>37.36796885652894</v>
      </c>
      <c r="BB587" s="320"/>
      <c r="BC587" s="320"/>
    </row>
    <row r="588" spans="1:55" hidden="1" x14ac:dyDescent="0.25">
      <c r="A588" s="373">
        <v>26777</v>
      </c>
      <c r="B588" s="233" t="str">
        <f>VLOOKUP(Table8[[#This Row],[Document ID]],Table1[],2,FALSE)</f>
        <v>COL</v>
      </c>
      <c r="C588" s="233" t="str">
        <f>VLOOKUP(Table8[[#This Row],[Document ID]],Table1[],3,FALSE)</f>
        <v>Colombia</v>
      </c>
      <c r="D588" s="243" t="str">
        <f>VLOOKUP(Table8[[#This Row],[Document ID]],Table1[],5,FALSE)</f>
        <v>LTS</v>
      </c>
      <c r="E588" s="233" t="str">
        <f>VLOOKUP(Table8[[#This Row],[Document ID]],Table1[],7,FALSE)</f>
        <v>LTS</v>
      </c>
      <c r="F588" s="236" t="str">
        <f>VLOOKUP(Table8[[#This Row],[Document ID]],Table1[],8,FALSE)</f>
        <v>LTS 1.0</v>
      </c>
      <c r="G588" s="236" t="str">
        <f>VLOOKUP(Table8[[#This Row],[Document ID]],Table1[],10,FALSE)</f>
        <v>Active</v>
      </c>
      <c r="H588" s="43" t="s">
        <v>2358</v>
      </c>
      <c r="I588" s="43" t="s">
        <v>2359</v>
      </c>
      <c r="J588" s="44" t="s">
        <v>2383</v>
      </c>
      <c r="K588" s="44" t="s">
        <v>2919</v>
      </c>
      <c r="L588" s="44" t="s">
        <v>2333</v>
      </c>
      <c r="M588" s="43">
        <v>35</v>
      </c>
      <c r="N588" s="113" t="s">
        <v>1291</v>
      </c>
      <c r="O588" s="113"/>
      <c r="P588" s="113"/>
      <c r="Q588" s="113"/>
      <c r="R588" s="113"/>
      <c r="S588" s="113"/>
      <c r="T588" s="113"/>
      <c r="U588" s="113"/>
      <c r="V588" s="113"/>
      <c r="W588" s="113"/>
      <c r="X588" s="113"/>
      <c r="Y588" s="113"/>
      <c r="Z588" s="113"/>
      <c r="AA588" s="113"/>
      <c r="AB588" s="113"/>
      <c r="AC588" s="113"/>
      <c r="AD588" s="113"/>
      <c r="AE588" s="113"/>
      <c r="AF588" s="113"/>
      <c r="AG588" s="113"/>
      <c r="AH588" s="113"/>
      <c r="AI588" s="113"/>
      <c r="AJ588" s="113"/>
      <c r="AK588" s="113" t="s">
        <v>1291</v>
      </c>
      <c r="AL588" s="113"/>
      <c r="AM588" s="113"/>
      <c r="AN588" s="113"/>
      <c r="AO588" s="44" t="s">
        <v>2334</v>
      </c>
      <c r="AP588" s="43"/>
      <c r="AQ588" s="236" t="str">
        <f>VLOOKUP(Table8[[#This Row],[Instrument]],Def_Targets!$D$73:$E$159,2,FALSE)</f>
        <v>I_Emobilitycharging</v>
      </c>
      <c r="AR588" s="233" t="str">
        <f>VLOOKUP(Table8[[#This Row],[Country Code]],Table29[],3,FALSE)</f>
        <v>Non-Annex I</v>
      </c>
      <c r="AS588" s="233" t="str">
        <f>VLOOKUP(Table8[[#This Row],[Country Code]],Table29[],4,FALSE)</f>
        <v>Latin America and the Caribbean</v>
      </c>
      <c r="AT588" s="233" t="str">
        <f>VLOOKUP(Table8[[#This Row],[Country Code]],Table29[],5,FALSE)</f>
        <v>Middle-income</v>
      </c>
      <c r="AU588" s="233" t="str">
        <f>VLOOKUP(Table8[[#This Row],[Country Code]],Table29[],6,FALSE)</f>
        <v>no</v>
      </c>
      <c r="AV588" s="233" t="str">
        <f>VLOOKUP(Table8[[#This Row],[Country Code]],Table29[],7,FALSE)</f>
        <v>no</v>
      </c>
      <c r="AW588" s="233" t="str">
        <f>VLOOKUP(Table8[[#This Row],[Country Code]],Table29[],8,FALSE)</f>
        <v>OECD</v>
      </c>
      <c r="AX588" s="233" t="str">
        <f>VLOOKUP(Table8[[#This Row],[Country Code]],Table29[],9,FALSE)</f>
        <v>no</v>
      </c>
      <c r="AY588" s="233" t="str">
        <f>VLOOKUP(Table8[[#This Row],[Country Code]],Table29[],10,FALSE)</f>
        <v>no</v>
      </c>
      <c r="AZ588" s="235">
        <f>VLOOKUP(Table8[[#This Row],[Country Code]],Table29[],23,FALSE)</f>
        <v>223.96663405241</v>
      </c>
      <c r="BA588" s="235">
        <f>VLOOKUP(Table8[[#This Row],[Country Code]],Table29[],24,FALSE)</f>
        <v>37.36796885652894</v>
      </c>
      <c r="BB588" s="320"/>
      <c r="BC588" s="320"/>
    </row>
    <row r="589" spans="1:55" hidden="1" x14ac:dyDescent="0.25">
      <c r="A589" s="373">
        <v>26777</v>
      </c>
      <c r="B589" s="233" t="str">
        <f>VLOOKUP(Table8[[#This Row],[Document ID]],Table1[],2,FALSE)</f>
        <v>COL</v>
      </c>
      <c r="C589" s="233" t="str">
        <f>VLOOKUP(Table8[[#This Row],[Document ID]],Table1[],3,FALSE)</f>
        <v>Colombia</v>
      </c>
      <c r="D589" s="243" t="str">
        <f>VLOOKUP(Table8[[#This Row],[Document ID]],Table1[],5,FALSE)</f>
        <v>LTS</v>
      </c>
      <c r="E589" s="233" t="str">
        <f>VLOOKUP(Table8[[#This Row],[Document ID]],Table1[],7,FALSE)</f>
        <v>LTS</v>
      </c>
      <c r="F589" s="236" t="str">
        <f>VLOOKUP(Table8[[#This Row],[Document ID]],Table1[],8,FALSE)</f>
        <v>LTS 1.0</v>
      </c>
      <c r="G589" s="236" t="str">
        <f>VLOOKUP(Table8[[#This Row],[Document ID]],Table1[],10,FALSE)</f>
        <v>Active</v>
      </c>
      <c r="H589" s="43" t="s">
        <v>2358</v>
      </c>
      <c r="I589" s="43" t="s">
        <v>2359</v>
      </c>
      <c r="J589" s="44" t="s">
        <v>2360</v>
      </c>
      <c r="K589" s="44" t="s">
        <v>2920</v>
      </c>
      <c r="L589" s="44" t="s">
        <v>2333</v>
      </c>
      <c r="M589" s="43">
        <v>35</v>
      </c>
      <c r="N589" s="113" t="s">
        <v>1291</v>
      </c>
      <c r="O589" s="113"/>
      <c r="P589" s="113"/>
      <c r="Q589" s="113"/>
      <c r="R589" s="113"/>
      <c r="S589" s="113"/>
      <c r="T589" s="113"/>
      <c r="U589" s="113"/>
      <c r="V589" s="113"/>
      <c r="W589" s="113"/>
      <c r="X589" s="113"/>
      <c r="Y589" s="113"/>
      <c r="Z589" s="113"/>
      <c r="AA589" s="113"/>
      <c r="AB589" s="113"/>
      <c r="AC589" s="113"/>
      <c r="AD589" s="113"/>
      <c r="AE589" s="113"/>
      <c r="AF589" s="113"/>
      <c r="AG589" s="113"/>
      <c r="AH589" s="113"/>
      <c r="AI589" s="113"/>
      <c r="AJ589" s="113"/>
      <c r="AK589" s="113" t="s">
        <v>1291</v>
      </c>
      <c r="AL589" s="113"/>
      <c r="AM589" s="113"/>
      <c r="AN589" s="113"/>
      <c r="AO589" s="44" t="s">
        <v>2334</v>
      </c>
      <c r="AP589" s="43"/>
      <c r="AQ589" s="236" t="str">
        <f>VLOOKUP(Table8[[#This Row],[Instrument]],Def_Targets!$D$73:$E$159,2,FALSE)</f>
        <v>I_Emobility</v>
      </c>
      <c r="AR589" s="233" t="str">
        <f>VLOOKUP(Table8[[#This Row],[Country Code]],Table29[],3,FALSE)</f>
        <v>Non-Annex I</v>
      </c>
      <c r="AS589" s="233" t="str">
        <f>VLOOKUP(Table8[[#This Row],[Country Code]],Table29[],4,FALSE)</f>
        <v>Latin America and the Caribbean</v>
      </c>
      <c r="AT589" s="233" t="str">
        <f>VLOOKUP(Table8[[#This Row],[Country Code]],Table29[],5,FALSE)</f>
        <v>Middle-income</v>
      </c>
      <c r="AU589" s="233" t="str">
        <f>VLOOKUP(Table8[[#This Row],[Country Code]],Table29[],6,FALSE)</f>
        <v>no</v>
      </c>
      <c r="AV589" s="233" t="str">
        <f>VLOOKUP(Table8[[#This Row],[Country Code]],Table29[],7,FALSE)</f>
        <v>no</v>
      </c>
      <c r="AW589" s="233" t="str">
        <f>VLOOKUP(Table8[[#This Row],[Country Code]],Table29[],8,FALSE)</f>
        <v>OECD</v>
      </c>
      <c r="AX589" s="233" t="str">
        <f>VLOOKUP(Table8[[#This Row],[Country Code]],Table29[],9,FALSE)</f>
        <v>no</v>
      </c>
      <c r="AY589" s="233" t="str">
        <f>VLOOKUP(Table8[[#This Row],[Country Code]],Table29[],10,FALSE)</f>
        <v>no</v>
      </c>
      <c r="AZ589" s="235">
        <f>VLOOKUP(Table8[[#This Row],[Country Code]],Table29[],23,FALSE)</f>
        <v>223.96663405241</v>
      </c>
      <c r="BA589" s="235">
        <f>VLOOKUP(Table8[[#This Row],[Country Code]],Table29[],24,FALSE)</f>
        <v>37.36796885652894</v>
      </c>
      <c r="BB589" s="320"/>
      <c r="BC589" s="320"/>
    </row>
    <row r="590" spans="1:55" ht="45" hidden="1" x14ac:dyDescent="0.25">
      <c r="A590" s="373">
        <v>26777</v>
      </c>
      <c r="B590" s="233" t="str">
        <f>VLOOKUP(Table8[[#This Row],[Document ID]],Table1[],2,FALSE)</f>
        <v>COL</v>
      </c>
      <c r="C590" s="233" t="str">
        <f>VLOOKUP(Table8[[#This Row],[Document ID]],Table1[],3,FALSE)</f>
        <v>Colombia</v>
      </c>
      <c r="D590" s="243" t="str">
        <f>VLOOKUP(Table8[[#This Row],[Document ID]],Table1[],5,FALSE)</f>
        <v>LTS</v>
      </c>
      <c r="E590" s="233" t="str">
        <f>VLOOKUP(Table8[[#This Row],[Document ID]],Table1[],7,FALSE)</f>
        <v>LTS</v>
      </c>
      <c r="F590" s="236" t="str">
        <f>VLOOKUP(Table8[[#This Row],[Document ID]],Table1[],8,FALSE)</f>
        <v>LTS 1.0</v>
      </c>
      <c r="G590" s="236" t="str">
        <f>VLOOKUP(Table8[[#This Row],[Document ID]],Table1[],10,FALSE)</f>
        <v>Active</v>
      </c>
      <c r="H590" s="43" t="s">
        <v>2343</v>
      </c>
      <c r="I590" s="43" t="s">
        <v>2344</v>
      </c>
      <c r="J590" s="44" t="s">
        <v>2345</v>
      </c>
      <c r="K590" s="44" t="s">
        <v>2921</v>
      </c>
      <c r="L590" s="44" t="s">
        <v>2347</v>
      </c>
      <c r="M590" s="43">
        <v>124</v>
      </c>
      <c r="N590" s="113" t="s">
        <v>1113</v>
      </c>
      <c r="O590" s="113"/>
      <c r="P590" s="113"/>
      <c r="Q590" s="113"/>
      <c r="R590" s="113"/>
      <c r="S590" s="113"/>
      <c r="T590" s="113"/>
      <c r="U590" s="113"/>
      <c r="V590" s="113"/>
      <c r="W590" s="113"/>
      <c r="X590" s="113"/>
      <c r="Y590" s="113"/>
      <c r="Z590" s="113"/>
      <c r="AA590" s="113"/>
      <c r="AB590" s="113"/>
      <c r="AC590" s="113"/>
      <c r="AD590" s="113"/>
      <c r="AE590" s="113"/>
      <c r="AF590" s="113"/>
      <c r="AG590" s="113"/>
      <c r="AH590" s="113"/>
      <c r="AI590" s="113"/>
      <c r="AJ590" s="113"/>
      <c r="AK590" s="113" t="s">
        <v>1113</v>
      </c>
      <c r="AL590" s="113"/>
      <c r="AM590" s="113"/>
      <c r="AN590" s="113"/>
      <c r="AO590" s="44" t="s">
        <v>2334</v>
      </c>
      <c r="AP590" s="43"/>
      <c r="AQ590" s="236" t="str">
        <f>VLOOKUP(Table8[[#This Row],[Instrument]],Def_Targets!$D$73:$E$159,2,FALSE)</f>
        <v>S_PublicTransport</v>
      </c>
      <c r="AR590" s="233" t="str">
        <f>VLOOKUP(Table8[[#This Row],[Country Code]],Table29[],3,FALSE)</f>
        <v>Non-Annex I</v>
      </c>
      <c r="AS590" s="233" t="str">
        <f>VLOOKUP(Table8[[#This Row],[Country Code]],Table29[],4,FALSE)</f>
        <v>Latin America and the Caribbean</v>
      </c>
      <c r="AT590" s="233" t="str">
        <f>VLOOKUP(Table8[[#This Row],[Country Code]],Table29[],5,FALSE)</f>
        <v>Middle-income</v>
      </c>
      <c r="AU590" s="233" t="str">
        <f>VLOOKUP(Table8[[#This Row],[Country Code]],Table29[],6,FALSE)</f>
        <v>no</v>
      </c>
      <c r="AV590" s="233" t="str">
        <f>VLOOKUP(Table8[[#This Row],[Country Code]],Table29[],7,FALSE)</f>
        <v>no</v>
      </c>
      <c r="AW590" s="233" t="str">
        <f>VLOOKUP(Table8[[#This Row],[Country Code]],Table29[],8,FALSE)</f>
        <v>OECD</v>
      </c>
      <c r="AX590" s="233" t="str">
        <f>VLOOKUP(Table8[[#This Row],[Country Code]],Table29[],9,FALSE)</f>
        <v>no</v>
      </c>
      <c r="AY590" s="233" t="str">
        <f>VLOOKUP(Table8[[#This Row],[Country Code]],Table29[],10,FALSE)</f>
        <v>no</v>
      </c>
      <c r="AZ590" s="235">
        <f>VLOOKUP(Table8[[#This Row],[Country Code]],Table29[],23,FALSE)</f>
        <v>223.96663405241</v>
      </c>
      <c r="BA590" s="235">
        <f>VLOOKUP(Table8[[#This Row],[Country Code]],Table29[],24,FALSE)</f>
        <v>37.36796885652894</v>
      </c>
      <c r="BB590" s="320"/>
      <c r="BC590" s="320"/>
    </row>
    <row r="591" spans="1:55" hidden="1" x14ac:dyDescent="0.25">
      <c r="A591" s="373">
        <v>17572</v>
      </c>
      <c r="B591" s="233" t="str">
        <f>VLOOKUP(Table8[[#This Row],[Document ID]],Table1[],2,FALSE)</f>
        <v>PRK</v>
      </c>
      <c r="C591" s="233" t="str">
        <f>VLOOKUP(Table8[[#This Row],[Document ID]],Table1[],3,FALSE)</f>
        <v>Democratic People's Republic of Korea</v>
      </c>
      <c r="D591" s="243" t="str">
        <f>VLOOKUP(Table8[[#This Row],[Document ID]],Table1[],5,FALSE)</f>
        <v>NDC</v>
      </c>
      <c r="E591" s="233" t="str">
        <f>VLOOKUP(Table8[[#This Row],[Document ID]],Table1[],7,FALSE)</f>
        <v>First NDC</v>
      </c>
      <c r="F591" s="236" t="str">
        <f>VLOOKUP(Table8[[#This Row],[Document ID]],Table1[],8,FALSE)</f>
        <v>NDC 1.0</v>
      </c>
      <c r="G591" s="236" t="str">
        <f>VLOOKUP(Table8[[#This Row],[Document ID]],Table1[],10,FALSE)</f>
        <v>Archived</v>
      </c>
      <c r="H591" s="44" t="s">
        <v>2338</v>
      </c>
      <c r="I591" s="44" t="s">
        <v>2339</v>
      </c>
      <c r="J591" s="44" t="s">
        <v>2340</v>
      </c>
      <c r="K591" s="44" t="s">
        <v>2922</v>
      </c>
      <c r="L591" s="44" t="s">
        <v>2333</v>
      </c>
      <c r="M591" s="43"/>
      <c r="N591" s="113"/>
      <c r="O591" s="113"/>
      <c r="P591" s="113"/>
      <c r="Q591" s="319"/>
      <c r="R591" s="319"/>
      <c r="S591" s="113" t="s">
        <v>1113</v>
      </c>
      <c r="T591" s="319"/>
      <c r="U591" s="319"/>
      <c r="V591" s="319"/>
      <c r="W591" s="319"/>
      <c r="X591" s="319"/>
      <c r="Y591" s="319"/>
      <c r="Z591" s="319"/>
      <c r="AA591" s="319"/>
      <c r="AB591" s="319"/>
      <c r="AC591" s="319"/>
      <c r="AD591" s="319"/>
      <c r="AE591" s="319"/>
      <c r="AF591" s="319"/>
      <c r="AG591" s="319"/>
      <c r="AH591" s="319"/>
      <c r="AI591" s="319"/>
      <c r="AJ591" s="319"/>
      <c r="AK591" s="319" t="s">
        <v>1113</v>
      </c>
      <c r="AL591" s="319"/>
      <c r="AM591" s="319"/>
      <c r="AN591" s="319"/>
      <c r="AO591" s="44" t="s">
        <v>2334</v>
      </c>
      <c r="AP591" s="44"/>
      <c r="AQ591" s="236" t="str">
        <f>VLOOKUP(Table8[[#This Row],[Instrument]],Def_Targets!$D$73:$E$159,2,FALSE)</f>
        <v>I_Vehicleimprove</v>
      </c>
      <c r="AR591" s="233" t="str">
        <f>VLOOKUP(Table8[[#This Row],[Country Code]],Table29[],3,FALSE)</f>
        <v>Non-Annex I</v>
      </c>
      <c r="AS591" s="233" t="str">
        <f>VLOOKUP(Table8[[#This Row],[Country Code]],Table29[],4,FALSE)</f>
        <v>Asia</v>
      </c>
      <c r="AT591" s="233" t="str">
        <f>VLOOKUP(Table8[[#This Row],[Country Code]],Table29[],5,FALSE)</f>
        <v>Low-income</v>
      </c>
      <c r="AU591" s="233" t="str">
        <f>VLOOKUP(Table8[[#This Row],[Country Code]],Table29[],6,FALSE)</f>
        <v>no</v>
      </c>
      <c r="AV591" s="233" t="str">
        <f>VLOOKUP(Table8[[#This Row],[Country Code]],Table29[],7,FALSE)</f>
        <v>no</v>
      </c>
      <c r="AW591" s="233" t="str">
        <f>VLOOKUP(Table8[[#This Row],[Country Code]],Table29[],8,FALSE)</f>
        <v>non-OECD</v>
      </c>
      <c r="AX591" s="233" t="str">
        <f>VLOOKUP(Table8[[#This Row],[Country Code]],Table29[],9,FALSE)</f>
        <v>no</v>
      </c>
      <c r="AY591" s="233" t="str">
        <f>VLOOKUP(Table8[[#This Row],[Country Code]],Table29[],10,FALSE)</f>
        <v>no</v>
      </c>
      <c r="AZ591" s="235">
        <f>VLOOKUP(Table8[[#This Row],[Country Code]],Table29[],23,FALSE)</f>
        <v>90.148479942172997</v>
      </c>
      <c r="BA591" s="235">
        <f>VLOOKUP(Table8[[#This Row],[Country Code]],Table29[],24,FALSE)</f>
        <v>4.9656668892531348</v>
      </c>
      <c r="BB591" s="320"/>
      <c r="BC591" s="320"/>
    </row>
    <row r="592" spans="1:55" hidden="1" x14ac:dyDescent="0.25">
      <c r="A592" s="373">
        <v>17572</v>
      </c>
      <c r="B592" s="233" t="str">
        <f>VLOOKUP(Table8[[#This Row],[Document ID]],Table1[],2,FALSE)</f>
        <v>PRK</v>
      </c>
      <c r="C592" s="233" t="str">
        <f>VLOOKUP(Table8[[#This Row],[Document ID]],Table1[],3,FALSE)</f>
        <v>Democratic People's Republic of Korea</v>
      </c>
      <c r="D592" s="243" t="str">
        <f>VLOOKUP(Table8[[#This Row],[Document ID]],Table1[],5,FALSE)</f>
        <v>NDC</v>
      </c>
      <c r="E592" s="233" t="str">
        <f>VLOOKUP(Table8[[#This Row],[Document ID]],Table1[],7,FALSE)</f>
        <v>First NDC</v>
      </c>
      <c r="F592" s="236" t="str">
        <f>VLOOKUP(Table8[[#This Row],[Document ID]],Table1[],8,FALSE)</f>
        <v>NDC 1.0</v>
      </c>
      <c r="G592" s="236" t="str">
        <f>VLOOKUP(Table8[[#This Row],[Document ID]],Table1[],10,FALSE)</f>
        <v>Archived</v>
      </c>
      <c r="H592" s="43" t="s">
        <v>2343</v>
      </c>
      <c r="I592" s="43" t="s">
        <v>2344</v>
      </c>
      <c r="J592" s="44" t="s">
        <v>2549</v>
      </c>
      <c r="K592" s="44" t="s">
        <v>2923</v>
      </c>
      <c r="L592" s="44" t="s">
        <v>2347</v>
      </c>
      <c r="M592" s="43"/>
      <c r="N592" s="113"/>
      <c r="O592" s="113"/>
      <c r="P592" s="113"/>
      <c r="Q592" s="319"/>
      <c r="R592" s="319"/>
      <c r="S592" s="319"/>
      <c r="T592" s="319"/>
      <c r="U592" s="319"/>
      <c r="V592" s="319"/>
      <c r="W592" s="319"/>
      <c r="X592" s="319"/>
      <c r="Y592" s="319" t="s">
        <v>1113</v>
      </c>
      <c r="Z592" s="113"/>
      <c r="AA592" s="319"/>
      <c r="AB592" s="319"/>
      <c r="AC592" s="319"/>
      <c r="AD592" s="319"/>
      <c r="AE592" s="319"/>
      <c r="AF592" s="319"/>
      <c r="AG592" s="319"/>
      <c r="AH592" s="319"/>
      <c r="AI592" s="319"/>
      <c r="AJ592" s="319"/>
      <c r="AK592" s="319"/>
      <c r="AL592" s="319" t="s">
        <v>1113</v>
      </c>
      <c r="AM592" s="319"/>
      <c r="AN592" s="319"/>
      <c r="AO592" s="43" t="s">
        <v>2348</v>
      </c>
      <c r="AP592" s="44"/>
      <c r="AQ592" s="236" t="str">
        <f>VLOOKUP(Table8[[#This Row],[Instrument]],Def_Targets!$D$73:$E$159,2,FALSE)</f>
        <v>S_BRT</v>
      </c>
      <c r="AR592" s="233" t="str">
        <f>VLOOKUP(Table8[[#This Row],[Country Code]],Table29[],3,FALSE)</f>
        <v>Non-Annex I</v>
      </c>
      <c r="AS592" s="233" t="str">
        <f>VLOOKUP(Table8[[#This Row],[Country Code]],Table29[],4,FALSE)</f>
        <v>Asia</v>
      </c>
      <c r="AT592" s="233" t="str">
        <f>VLOOKUP(Table8[[#This Row],[Country Code]],Table29[],5,FALSE)</f>
        <v>Low-income</v>
      </c>
      <c r="AU592" s="233" t="str">
        <f>VLOOKUP(Table8[[#This Row],[Country Code]],Table29[],6,FALSE)</f>
        <v>no</v>
      </c>
      <c r="AV592" s="233" t="str">
        <f>VLOOKUP(Table8[[#This Row],[Country Code]],Table29[],7,FALSE)</f>
        <v>no</v>
      </c>
      <c r="AW592" s="233" t="str">
        <f>VLOOKUP(Table8[[#This Row],[Country Code]],Table29[],8,FALSE)</f>
        <v>non-OECD</v>
      </c>
      <c r="AX592" s="233" t="str">
        <f>VLOOKUP(Table8[[#This Row],[Country Code]],Table29[],9,FALSE)</f>
        <v>no</v>
      </c>
      <c r="AY592" s="233" t="str">
        <f>VLOOKUP(Table8[[#This Row],[Country Code]],Table29[],10,FALSE)</f>
        <v>no</v>
      </c>
      <c r="AZ592" s="235">
        <f>VLOOKUP(Table8[[#This Row],[Country Code]],Table29[],23,FALSE)</f>
        <v>90.148479942172997</v>
      </c>
      <c r="BA592" s="235">
        <f>VLOOKUP(Table8[[#This Row],[Country Code]],Table29[],24,FALSE)</f>
        <v>4.9656668892531348</v>
      </c>
      <c r="BB592" s="320"/>
      <c r="BC592" s="320"/>
    </row>
    <row r="593" spans="1:55" hidden="1" x14ac:dyDescent="0.25">
      <c r="A593" s="373">
        <v>17572</v>
      </c>
      <c r="B593" s="233" t="str">
        <f>VLOOKUP(Table8[[#This Row],[Document ID]],Table1[],2,FALSE)</f>
        <v>PRK</v>
      </c>
      <c r="C593" s="233" t="str">
        <f>VLOOKUP(Table8[[#This Row],[Document ID]],Table1[],3,FALSE)</f>
        <v>Democratic People's Republic of Korea</v>
      </c>
      <c r="D593" s="243" t="str">
        <f>VLOOKUP(Table8[[#This Row],[Document ID]],Table1[],5,FALSE)</f>
        <v>NDC</v>
      </c>
      <c r="E593" s="233" t="str">
        <f>VLOOKUP(Table8[[#This Row],[Document ID]],Table1[],7,FALSE)</f>
        <v>First NDC</v>
      </c>
      <c r="F593" s="236" t="str">
        <f>VLOOKUP(Table8[[#This Row],[Document ID]],Table1[],8,FALSE)</f>
        <v>NDC 1.0</v>
      </c>
      <c r="G593" s="236" t="str">
        <f>VLOOKUP(Table8[[#This Row],[Document ID]],Table1[],10,FALSE)</f>
        <v>Archived</v>
      </c>
      <c r="H593" s="43" t="s">
        <v>2343</v>
      </c>
      <c r="I593" s="43" t="s">
        <v>2344</v>
      </c>
      <c r="J593" s="44" t="s">
        <v>2405</v>
      </c>
      <c r="K593" s="44" t="s">
        <v>2924</v>
      </c>
      <c r="L593" s="44" t="s">
        <v>2347</v>
      </c>
      <c r="M593" s="43"/>
      <c r="N593" s="113" t="s">
        <v>1113</v>
      </c>
      <c r="O593" s="113"/>
      <c r="P593" s="113"/>
      <c r="Q593" s="319"/>
      <c r="R593" s="319"/>
      <c r="S593" s="319"/>
      <c r="T593" s="319"/>
      <c r="U593" s="319"/>
      <c r="V593" s="319"/>
      <c r="W593" s="319"/>
      <c r="X593" s="319"/>
      <c r="Y593" s="319"/>
      <c r="Z593" s="113"/>
      <c r="AA593" s="319"/>
      <c r="AB593" s="319"/>
      <c r="AC593" s="319"/>
      <c r="AD593" s="319"/>
      <c r="AE593" s="319"/>
      <c r="AF593" s="319"/>
      <c r="AG593" s="319"/>
      <c r="AH593" s="319"/>
      <c r="AI593" s="319"/>
      <c r="AJ593" s="319"/>
      <c r="AK593" s="319" t="s">
        <v>1113</v>
      </c>
      <c r="AL593" s="319"/>
      <c r="AM593" s="319"/>
      <c r="AN593" s="319"/>
      <c r="AO593" s="43" t="s">
        <v>2348</v>
      </c>
      <c r="AP593" s="44"/>
      <c r="AQ593" s="236" t="str">
        <f>VLOOKUP(Table8[[#This Row],[Instrument]],Def_Targets!$D$73:$E$159,2,FALSE)</f>
        <v>S_PTIntegration</v>
      </c>
      <c r="AR593" s="233" t="str">
        <f>VLOOKUP(Table8[[#This Row],[Country Code]],Table29[],3,FALSE)</f>
        <v>Non-Annex I</v>
      </c>
      <c r="AS593" s="233" t="str">
        <f>VLOOKUP(Table8[[#This Row],[Country Code]],Table29[],4,FALSE)</f>
        <v>Asia</v>
      </c>
      <c r="AT593" s="233" t="str">
        <f>VLOOKUP(Table8[[#This Row],[Country Code]],Table29[],5,FALSE)</f>
        <v>Low-income</v>
      </c>
      <c r="AU593" s="233" t="str">
        <f>VLOOKUP(Table8[[#This Row],[Country Code]],Table29[],6,FALSE)</f>
        <v>no</v>
      </c>
      <c r="AV593" s="233" t="str">
        <f>VLOOKUP(Table8[[#This Row],[Country Code]],Table29[],7,FALSE)</f>
        <v>no</v>
      </c>
      <c r="AW593" s="233" t="str">
        <f>VLOOKUP(Table8[[#This Row],[Country Code]],Table29[],8,FALSE)</f>
        <v>non-OECD</v>
      </c>
      <c r="AX593" s="233" t="str">
        <f>VLOOKUP(Table8[[#This Row],[Country Code]],Table29[],9,FALSE)</f>
        <v>no</v>
      </c>
      <c r="AY593" s="233" t="str">
        <f>VLOOKUP(Table8[[#This Row],[Country Code]],Table29[],10,FALSE)</f>
        <v>no</v>
      </c>
      <c r="AZ593" s="235">
        <f>VLOOKUP(Table8[[#This Row],[Country Code]],Table29[],23,FALSE)</f>
        <v>90.148479942172997</v>
      </c>
      <c r="BA593" s="235">
        <f>VLOOKUP(Table8[[#This Row],[Country Code]],Table29[],24,FALSE)</f>
        <v>4.9656668892531348</v>
      </c>
      <c r="BB593" s="320"/>
      <c r="BC593" s="320"/>
    </row>
    <row r="594" spans="1:55" ht="30" hidden="1" x14ac:dyDescent="0.25">
      <c r="A594" s="373">
        <v>17572</v>
      </c>
      <c r="B594" s="233" t="str">
        <f>VLOOKUP(Table8[[#This Row],[Document ID]],Table1[],2,FALSE)</f>
        <v>PRK</v>
      </c>
      <c r="C594" s="233" t="str">
        <f>VLOOKUP(Table8[[#This Row],[Document ID]],Table1[],3,FALSE)</f>
        <v>Democratic People's Republic of Korea</v>
      </c>
      <c r="D594" s="243" t="str">
        <f>VLOOKUP(Table8[[#This Row],[Document ID]],Table1[],5,FALSE)</f>
        <v>NDC</v>
      </c>
      <c r="E594" s="233" t="str">
        <f>VLOOKUP(Table8[[#This Row],[Document ID]],Table1[],7,FALSE)</f>
        <v>First NDC</v>
      </c>
      <c r="F594" s="236" t="str">
        <f>VLOOKUP(Table8[[#This Row],[Document ID]],Table1[],8,FALSE)</f>
        <v>NDC 1.0</v>
      </c>
      <c r="G594" s="236" t="str">
        <f>VLOOKUP(Table8[[#This Row],[Document ID]],Table1[],10,FALSE)</f>
        <v>Archived</v>
      </c>
      <c r="H594" s="43" t="s">
        <v>2343</v>
      </c>
      <c r="I594" s="43" t="s">
        <v>2377</v>
      </c>
      <c r="J594" s="44" t="s">
        <v>2521</v>
      </c>
      <c r="K594" s="44" t="s">
        <v>2925</v>
      </c>
      <c r="L594" s="44" t="s">
        <v>2380</v>
      </c>
      <c r="M594" s="43"/>
      <c r="N594" s="113"/>
      <c r="O594" s="113"/>
      <c r="P594" s="113"/>
      <c r="Q594" s="319"/>
      <c r="R594" s="319"/>
      <c r="S594" s="319"/>
      <c r="T594" s="319"/>
      <c r="U594" s="319"/>
      <c r="V594" s="319" t="s">
        <v>1113</v>
      </c>
      <c r="W594" s="319"/>
      <c r="X594" s="319"/>
      <c r="Y594" s="319"/>
      <c r="Z594" s="113"/>
      <c r="AA594" s="319"/>
      <c r="AB594" s="319"/>
      <c r="AC594" s="319"/>
      <c r="AD594" s="319"/>
      <c r="AE594" s="319"/>
      <c r="AF594" s="319"/>
      <c r="AG594" s="319"/>
      <c r="AH594" s="319"/>
      <c r="AI594" s="319"/>
      <c r="AJ594" s="319"/>
      <c r="AK594" s="319" t="s">
        <v>1113</v>
      </c>
      <c r="AL594" s="319"/>
      <c r="AM594" s="319"/>
      <c r="AN594" s="319"/>
      <c r="AO594" s="44" t="s">
        <v>2334</v>
      </c>
      <c r="AP594" s="44"/>
      <c r="AQ594" s="236" t="str">
        <f>VLOOKUP(Table8[[#This Row],[Instrument]],Def_Targets!$D$73:$E$159,2,FALSE)</f>
        <v>A_Caraccess</v>
      </c>
      <c r="AR594" s="233" t="str">
        <f>VLOOKUP(Table8[[#This Row],[Country Code]],Table29[],3,FALSE)</f>
        <v>Non-Annex I</v>
      </c>
      <c r="AS594" s="233" t="str">
        <f>VLOOKUP(Table8[[#This Row],[Country Code]],Table29[],4,FALSE)</f>
        <v>Asia</v>
      </c>
      <c r="AT594" s="233" t="str">
        <f>VLOOKUP(Table8[[#This Row],[Country Code]],Table29[],5,FALSE)</f>
        <v>Low-income</v>
      </c>
      <c r="AU594" s="233" t="str">
        <f>VLOOKUP(Table8[[#This Row],[Country Code]],Table29[],6,FALSE)</f>
        <v>no</v>
      </c>
      <c r="AV594" s="233" t="str">
        <f>VLOOKUP(Table8[[#This Row],[Country Code]],Table29[],7,FALSE)</f>
        <v>no</v>
      </c>
      <c r="AW594" s="233" t="str">
        <f>VLOOKUP(Table8[[#This Row],[Country Code]],Table29[],8,FALSE)</f>
        <v>non-OECD</v>
      </c>
      <c r="AX594" s="233" t="str">
        <f>VLOOKUP(Table8[[#This Row],[Country Code]],Table29[],9,FALSE)</f>
        <v>no</v>
      </c>
      <c r="AY594" s="233" t="str">
        <f>VLOOKUP(Table8[[#This Row],[Country Code]],Table29[],10,FALSE)</f>
        <v>no</v>
      </c>
      <c r="AZ594" s="235">
        <f>VLOOKUP(Table8[[#This Row],[Country Code]],Table29[],23,FALSE)</f>
        <v>90.148479942172997</v>
      </c>
      <c r="BA594" s="235">
        <f>VLOOKUP(Table8[[#This Row],[Country Code]],Table29[],24,FALSE)</f>
        <v>4.9656668892531348</v>
      </c>
      <c r="BB594" s="320"/>
      <c r="BC594" s="320"/>
    </row>
    <row r="595" spans="1:55" hidden="1" x14ac:dyDescent="0.25">
      <c r="A595" s="373">
        <v>17574</v>
      </c>
      <c r="B595" s="233" t="str">
        <f>VLOOKUP(Table8[[#This Row],[Document ID]],Table1[],2,FALSE)</f>
        <v>COD</v>
      </c>
      <c r="C595" s="233" t="str">
        <f>VLOOKUP(Table8[[#This Row],[Document ID]],Table1[],3,FALSE)</f>
        <v>Democratic Republic of the Congo</v>
      </c>
      <c r="D595" s="243" t="str">
        <f>VLOOKUP(Table8[[#This Row],[Document ID]],Table1[],5,FALSE)</f>
        <v>NDC</v>
      </c>
      <c r="E595" s="233" t="str">
        <f>VLOOKUP(Table8[[#This Row],[Document ID]],Table1[],7,FALSE)</f>
        <v>First NDC</v>
      </c>
      <c r="F595" s="236" t="str">
        <f>VLOOKUP(Table8[[#This Row],[Document ID]],Table1[],8,FALSE)</f>
        <v>NDC 1.0</v>
      </c>
      <c r="G595" s="236" t="str">
        <f>VLOOKUP(Table8[[#This Row],[Document ID]],Table1[],10,FALSE)</f>
        <v>Archived</v>
      </c>
      <c r="H595" s="43" t="s">
        <v>2343</v>
      </c>
      <c r="I595" s="43" t="s">
        <v>2344</v>
      </c>
      <c r="J595" s="44" t="s">
        <v>2345</v>
      </c>
      <c r="K595" s="44" t="s">
        <v>2926</v>
      </c>
      <c r="L595" s="44" t="s">
        <v>2347</v>
      </c>
      <c r="M595" s="43"/>
      <c r="N595" s="113" t="s">
        <v>1113</v>
      </c>
      <c r="O595" s="113"/>
      <c r="P595" s="113"/>
      <c r="Q595" s="319"/>
      <c r="R595" s="319"/>
      <c r="S595" s="319"/>
      <c r="T595" s="319"/>
      <c r="U595" s="319"/>
      <c r="V595" s="319"/>
      <c r="W595" s="319"/>
      <c r="X595" s="319"/>
      <c r="Y595" s="319"/>
      <c r="Z595" s="319"/>
      <c r="AA595" s="319"/>
      <c r="AB595" s="319"/>
      <c r="AC595" s="319"/>
      <c r="AD595" s="319"/>
      <c r="AE595" s="319"/>
      <c r="AF595" s="319"/>
      <c r="AG595" s="319"/>
      <c r="AH595" s="319"/>
      <c r="AI595" s="319"/>
      <c r="AJ595" s="319"/>
      <c r="AK595" s="319" t="s">
        <v>1113</v>
      </c>
      <c r="AL595" s="319"/>
      <c r="AM595" s="319"/>
      <c r="AN595" s="319"/>
      <c r="AO595" s="43" t="s">
        <v>2348</v>
      </c>
      <c r="AP595" s="44"/>
      <c r="AQ595" s="236" t="str">
        <f>VLOOKUP(Table8[[#This Row],[Instrument]],Def_Targets!$D$73:$E$159,2,FALSE)</f>
        <v>S_PublicTransport</v>
      </c>
      <c r="AR595" s="233" t="str">
        <f>VLOOKUP(Table8[[#This Row],[Country Code]],Table29[],3,FALSE)</f>
        <v>Non-Annex I</v>
      </c>
      <c r="AS595" s="233" t="str">
        <f>VLOOKUP(Table8[[#This Row],[Country Code]],Table29[],4,FALSE)</f>
        <v>Africa</v>
      </c>
      <c r="AT595" s="233" t="str">
        <f>VLOOKUP(Table8[[#This Row],[Country Code]],Table29[],5,FALSE)</f>
        <v>Low-income</v>
      </c>
      <c r="AU595" s="233" t="str">
        <f>VLOOKUP(Table8[[#This Row],[Country Code]],Table29[],6,FALSE)</f>
        <v>no</v>
      </c>
      <c r="AV595" s="233" t="str">
        <f>VLOOKUP(Table8[[#This Row],[Country Code]],Table29[],7,FALSE)</f>
        <v>no</v>
      </c>
      <c r="AW595" s="233" t="str">
        <f>VLOOKUP(Table8[[#This Row],[Country Code]],Table29[],8,FALSE)</f>
        <v>non-OECD</v>
      </c>
      <c r="AX595" s="233" t="str">
        <f>VLOOKUP(Table8[[#This Row],[Country Code]],Table29[],9,FALSE)</f>
        <v>no</v>
      </c>
      <c r="AY595" s="233" t="str">
        <f>VLOOKUP(Table8[[#This Row],[Country Code]],Table29[],10,FALSE)</f>
        <v>no</v>
      </c>
      <c r="AZ595" s="235">
        <f>VLOOKUP(Table8[[#This Row],[Country Code]],Table29[],23,FALSE)</f>
        <v>56.105911645372998</v>
      </c>
      <c r="BA595" s="235">
        <f>VLOOKUP(Table8[[#This Row],[Country Code]],Table29[],24,FALSE)</f>
        <v>2.8181763967662752</v>
      </c>
      <c r="BB595" s="320"/>
      <c r="BC595" s="320"/>
    </row>
    <row r="596" spans="1:55" ht="30" hidden="1" x14ac:dyDescent="0.25">
      <c r="A596" s="360">
        <v>26779</v>
      </c>
      <c r="B596" s="233" t="str">
        <f>VLOOKUP(Table8[[#This Row],[Document ID]],Table1[],2,FALSE)</f>
        <v>COD</v>
      </c>
      <c r="C596" s="233" t="str">
        <f>VLOOKUP(Table8[[#This Row],[Document ID]],Table1[],3,FALSE)</f>
        <v>Democratic Republic of the Congo</v>
      </c>
      <c r="D596" s="233" t="str">
        <f>VLOOKUP(Table8[[#This Row],[Document ID]],Table1[],5,FALSE)</f>
        <v>NDC</v>
      </c>
      <c r="E596" s="233" t="str">
        <f>VLOOKUP(Table8[[#This Row],[Document ID]],Table1[],7,FALSE)</f>
        <v>First NDC updated</v>
      </c>
      <c r="F596" s="233" t="str">
        <f>VLOOKUP(Table8[[#This Row],[Document ID]],Table1[],8,FALSE)</f>
        <v>NDC 1.1</v>
      </c>
      <c r="G596" s="233" t="str">
        <f>VLOOKUP(Table8[[#This Row],[Document ID]],Table1[],10,FALSE)</f>
        <v>Active</v>
      </c>
      <c r="H596" s="43" t="s">
        <v>2343</v>
      </c>
      <c r="I596" s="43" t="s">
        <v>2344</v>
      </c>
      <c r="J596" s="44" t="s">
        <v>2345</v>
      </c>
      <c r="K596" s="44" t="s">
        <v>2927</v>
      </c>
      <c r="L596" s="44" t="s">
        <v>2347</v>
      </c>
      <c r="M596" s="43">
        <v>10</v>
      </c>
      <c r="N596" s="113"/>
      <c r="O596" s="113"/>
      <c r="P596" s="113"/>
      <c r="Q596" s="113"/>
      <c r="R596" s="113"/>
      <c r="S596" s="113"/>
      <c r="T596" s="113"/>
      <c r="U596" s="113"/>
      <c r="V596" s="113"/>
      <c r="W596" s="113"/>
      <c r="X596" s="113"/>
      <c r="Y596" s="113" t="s">
        <v>1113</v>
      </c>
      <c r="Z596" s="113" t="s">
        <v>1113</v>
      </c>
      <c r="AA596" s="113"/>
      <c r="AB596" s="113"/>
      <c r="AC596" s="113" t="s">
        <v>1113</v>
      </c>
      <c r="AD596" s="113"/>
      <c r="AE596" s="113"/>
      <c r="AF596" s="113"/>
      <c r="AG596" s="113"/>
      <c r="AH596" s="113"/>
      <c r="AI596" s="113"/>
      <c r="AJ596" s="113"/>
      <c r="AK596" s="113" t="s">
        <v>1113</v>
      </c>
      <c r="AL596" s="113"/>
      <c r="AM596" s="113"/>
      <c r="AN596" s="113"/>
      <c r="AO596" s="43" t="s">
        <v>2348</v>
      </c>
      <c r="AP596" s="43"/>
      <c r="AQ596" s="236" t="str">
        <f>VLOOKUP(Table8[[#This Row],[Instrument]],Def_Targets!$D$73:$E$159,2,FALSE)</f>
        <v>S_PublicTransport</v>
      </c>
      <c r="AR596" s="233" t="str">
        <f>VLOOKUP(Table8[[#This Row],[Country Code]],Table29[],3,FALSE)</f>
        <v>Non-Annex I</v>
      </c>
      <c r="AS596" s="233" t="str">
        <f>VLOOKUP(Table8[[#This Row],[Country Code]],Table29[],4,FALSE)</f>
        <v>Africa</v>
      </c>
      <c r="AT596" s="233" t="str">
        <f>VLOOKUP(Table8[[#This Row],[Country Code]],Table29[],5,FALSE)</f>
        <v>Low-income</v>
      </c>
      <c r="AU596" s="233" t="str">
        <f>VLOOKUP(Table8[[#This Row],[Country Code]],Table29[],6,FALSE)</f>
        <v>no</v>
      </c>
      <c r="AV596" s="233" t="str">
        <f>VLOOKUP(Table8[[#This Row],[Country Code]],Table29[],7,FALSE)</f>
        <v>no</v>
      </c>
      <c r="AW596" s="233" t="str">
        <f>VLOOKUP(Table8[[#This Row],[Country Code]],Table29[],8,FALSE)</f>
        <v>non-OECD</v>
      </c>
      <c r="AX596" s="233" t="str">
        <f>VLOOKUP(Table8[[#This Row],[Country Code]],Table29[],9,FALSE)</f>
        <v>no</v>
      </c>
      <c r="AY596" s="233" t="str">
        <f>VLOOKUP(Table8[[#This Row],[Country Code]],Table29[],10,FALSE)</f>
        <v>no</v>
      </c>
      <c r="AZ596" s="235">
        <f>VLOOKUP(Table8[[#This Row],[Country Code]],Table29[],23,FALSE)</f>
        <v>56.105911645372998</v>
      </c>
      <c r="BA596" s="235">
        <f>VLOOKUP(Table8[[#This Row],[Country Code]],Table29[],24,FALSE)</f>
        <v>2.8181763967662752</v>
      </c>
      <c r="BB596" s="320"/>
      <c r="BC596" s="320"/>
    </row>
    <row r="597" spans="1:55" ht="60" hidden="1" x14ac:dyDescent="0.25">
      <c r="A597" s="360">
        <v>26779</v>
      </c>
      <c r="B597" s="233" t="str">
        <f>VLOOKUP(Table8[[#This Row],[Document ID]],Table1[],2,FALSE)</f>
        <v>COD</v>
      </c>
      <c r="C597" s="233" t="str">
        <f>VLOOKUP(Table8[[#This Row],[Document ID]],Table1[],3,FALSE)</f>
        <v>Democratic Republic of the Congo</v>
      </c>
      <c r="D597" s="233" t="str">
        <f>VLOOKUP(Table8[[#This Row],[Document ID]],Table1[],5,FALSE)</f>
        <v>NDC</v>
      </c>
      <c r="E597" s="233" t="str">
        <f>VLOOKUP(Table8[[#This Row],[Document ID]],Table1[],7,FALSE)</f>
        <v>First NDC updated</v>
      </c>
      <c r="F597" s="233" t="str">
        <f>VLOOKUP(Table8[[#This Row],[Document ID]],Table1[],8,FALSE)</f>
        <v>NDC 1.1</v>
      </c>
      <c r="G597" s="233" t="str">
        <f>VLOOKUP(Table8[[#This Row],[Document ID]],Table1[],10,FALSE)</f>
        <v>Active</v>
      </c>
      <c r="H597" s="43" t="s">
        <v>2343</v>
      </c>
      <c r="I597" s="43" t="s">
        <v>2344</v>
      </c>
      <c r="J597" s="44" t="s">
        <v>2345</v>
      </c>
      <c r="K597" s="44" t="s">
        <v>2928</v>
      </c>
      <c r="L597" s="44" t="s">
        <v>2347</v>
      </c>
      <c r="M597" s="43">
        <v>47</v>
      </c>
      <c r="N597" s="113"/>
      <c r="O597" s="113"/>
      <c r="P597" s="113"/>
      <c r="Q597" s="113"/>
      <c r="R597" s="113"/>
      <c r="S597" s="113"/>
      <c r="T597" s="113"/>
      <c r="U597" s="113"/>
      <c r="V597" s="113"/>
      <c r="W597" s="113"/>
      <c r="X597" s="113"/>
      <c r="Y597" s="113" t="s">
        <v>1113</v>
      </c>
      <c r="Z597" s="113" t="s">
        <v>1113</v>
      </c>
      <c r="AA597" s="113"/>
      <c r="AB597" s="113"/>
      <c r="AC597" s="113" t="s">
        <v>1113</v>
      </c>
      <c r="AD597" s="113"/>
      <c r="AE597" s="113"/>
      <c r="AF597" s="113"/>
      <c r="AG597" s="113"/>
      <c r="AH597" s="113"/>
      <c r="AI597" s="113"/>
      <c r="AJ597" s="113"/>
      <c r="AK597" s="113"/>
      <c r="AL597" s="113" t="s">
        <v>1113</v>
      </c>
      <c r="AM597" s="113"/>
      <c r="AN597" s="113" t="s">
        <v>1113</v>
      </c>
      <c r="AO597" s="43" t="s">
        <v>2348</v>
      </c>
      <c r="AP597" s="43"/>
      <c r="AQ597" s="236" t="str">
        <f>VLOOKUP(Table8[[#This Row],[Instrument]],Def_Targets!$D$73:$E$159,2,FALSE)</f>
        <v>S_PublicTransport</v>
      </c>
      <c r="AR597" s="233" t="str">
        <f>VLOOKUP(Table8[[#This Row],[Country Code]],Table29[],3,FALSE)</f>
        <v>Non-Annex I</v>
      </c>
      <c r="AS597" s="233" t="str">
        <f>VLOOKUP(Table8[[#This Row],[Country Code]],Table29[],4,FALSE)</f>
        <v>Africa</v>
      </c>
      <c r="AT597" s="233" t="str">
        <f>VLOOKUP(Table8[[#This Row],[Country Code]],Table29[],5,FALSE)</f>
        <v>Low-income</v>
      </c>
      <c r="AU597" s="233" t="str">
        <f>VLOOKUP(Table8[[#This Row],[Country Code]],Table29[],6,FALSE)</f>
        <v>no</v>
      </c>
      <c r="AV597" s="233" t="str">
        <f>VLOOKUP(Table8[[#This Row],[Country Code]],Table29[],7,FALSE)</f>
        <v>no</v>
      </c>
      <c r="AW597" s="233" t="str">
        <f>VLOOKUP(Table8[[#This Row],[Country Code]],Table29[],8,FALSE)</f>
        <v>non-OECD</v>
      </c>
      <c r="AX597" s="233" t="str">
        <f>VLOOKUP(Table8[[#This Row],[Country Code]],Table29[],9,FALSE)</f>
        <v>no</v>
      </c>
      <c r="AY597" s="233" t="str">
        <f>VLOOKUP(Table8[[#This Row],[Country Code]],Table29[],10,FALSE)</f>
        <v>no</v>
      </c>
      <c r="AZ597" s="235">
        <f>VLOOKUP(Table8[[#This Row],[Country Code]],Table29[],23,FALSE)</f>
        <v>56.105911645372998</v>
      </c>
      <c r="BA597" s="235">
        <f>VLOOKUP(Table8[[#This Row],[Country Code]],Table29[],24,FALSE)</f>
        <v>2.8181763967662752</v>
      </c>
      <c r="BB597" s="320"/>
      <c r="BC597" s="320"/>
    </row>
    <row r="598" spans="1:55" ht="30" hidden="1" x14ac:dyDescent="0.25">
      <c r="A598" s="373">
        <v>26779</v>
      </c>
      <c r="B598" s="233" t="str">
        <f>VLOOKUP(Table8[[#This Row],[Document ID]],Table1[],2,FALSE)</f>
        <v>COD</v>
      </c>
      <c r="C598" s="233" t="str">
        <f>VLOOKUP(Table8[[#This Row],[Document ID]],Table1[],3,FALSE)</f>
        <v>Democratic Republic of the Congo</v>
      </c>
      <c r="D598" s="242" t="str">
        <f>VLOOKUP(Table8[[#This Row],[Document ID]],Table1[],5,FALSE)</f>
        <v>NDC</v>
      </c>
      <c r="E598" s="233" t="str">
        <f>VLOOKUP(Table8[[#This Row],[Document ID]],Table1[],7,FALSE)</f>
        <v>First NDC updated</v>
      </c>
      <c r="F598" s="233" t="str">
        <f>VLOOKUP(Table8[[#This Row],[Document ID]],Table1[],8,FALSE)</f>
        <v>NDC 1.1</v>
      </c>
      <c r="G598" s="233" t="str">
        <f>VLOOKUP(Table8[[#This Row],[Document ID]],Table1[],10,FALSE)</f>
        <v>Active</v>
      </c>
      <c r="H598" s="43" t="s">
        <v>2350</v>
      </c>
      <c r="I598" s="43" t="s">
        <v>2370</v>
      </c>
      <c r="J598" s="44" t="s">
        <v>2371</v>
      </c>
      <c r="K598" s="44" t="s">
        <v>2929</v>
      </c>
      <c r="L598" s="44" t="s">
        <v>2373</v>
      </c>
      <c r="M598" s="43">
        <v>47</v>
      </c>
      <c r="N598" s="113" t="s">
        <v>1113</v>
      </c>
      <c r="O598" s="113"/>
      <c r="P598" s="113"/>
      <c r="Q598" s="113"/>
      <c r="R598" s="113"/>
      <c r="S598" s="113"/>
      <c r="T598" s="113"/>
      <c r="U598" s="113"/>
      <c r="V598" s="113"/>
      <c r="W598" s="113"/>
      <c r="X598" s="113"/>
      <c r="Y598" s="113"/>
      <c r="Z598" s="113"/>
      <c r="AA598" s="113"/>
      <c r="AB598" s="113"/>
      <c r="AC598" s="113"/>
      <c r="AD598" s="113"/>
      <c r="AE598" s="113"/>
      <c r="AF598" s="113"/>
      <c r="AG598" s="113"/>
      <c r="AH598" s="113"/>
      <c r="AI598" s="113"/>
      <c r="AJ598" s="113"/>
      <c r="AK598" s="113" t="s">
        <v>1113</v>
      </c>
      <c r="AL598" s="113"/>
      <c r="AM598" s="113"/>
      <c r="AN598" s="113"/>
      <c r="AO598" s="44" t="s">
        <v>2334</v>
      </c>
      <c r="AP598" s="43"/>
      <c r="AQ598" s="236" t="str">
        <f>VLOOKUP(Table8[[#This Row],[Instrument]],Def_Targets!$D$73:$E$159,2,FALSE)</f>
        <v>A_Natmobplan</v>
      </c>
      <c r="AR598" s="233" t="str">
        <f>VLOOKUP(Table8[[#This Row],[Country Code]],Table29[],3,FALSE)</f>
        <v>Non-Annex I</v>
      </c>
      <c r="AS598" s="233" t="str">
        <f>VLOOKUP(Table8[[#This Row],[Country Code]],Table29[],4,FALSE)</f>
        <v>Africa</v>
      </c>
      <c r="AT598" s="233" t="str">
        <f>VLOOKUP(Table8[[#This Row],[Country Code]],Table29[],5,FALSE)</f>
        <v>Low-income</v>
      </c>
      <c r="AU598" s="233" t="str">
        <f>VLOOKUP(Table8[[#This Row],[Country Code]],Table29[],6,FALSE)</f>
        <v>no</v>
      </c>
      <c r="AV598" s="233" t="str">
        <f>VLOOKUP(Table8[[#This Row],[Country Code]],Table29[],7,FALSE)</f>
        <v>no</v>
      </c>
      <c r="AW598" s="233" t="str">
        <f>VLOOKUP(Table8[[#This Row],[Country Code]],Table29[],8,FALSE)</f>
        <v>non-OECD</v>
      </c>
      <c r="AX598" s="233" t="str">
        <f>VLOOKUP(Table8[[#This Row],[Country Code]],Table29[],9,FALSE)</f>
        <v>no</v>
      </c>
      <c r="AY598" s="233" t="str">
        <f>VLOOKUP(Table8[[#This Row],[Country Code]],Table29[],10,FALSE)</f>
        <v>no</v>
      </c>
      <c r="AZ598" s="235">
        <f>VLOOKUP(Table8[[#This Row],[Country Code]],Table29[],23,FALSE)</f>
        <v>56.105911645372998</v>
      </c>
      <c r="BA598" s="235">
        <f>VLOOKUP(Table8[[#This Row],[Country Code]],Table29[],24,FALSE)</f>
        <v>2.8181763967662752</v>
      </c>
      <c r="BB598" s="320"/>
      <c r="BC598" s="320"/>
    </row>
    <row r="599" spans="1:55" ht="30" hidden="1" x14ac:dyDescent="0.25">
      <c r="A599" s="373">
        <v>26779</v>
      </c>
      <c r="B599" s="233" t="str">
        <f>VLOOKUP(Table8[[#This Row],[Document ID]],Table1[],2,FALSE)</f>
        <v>COD</v>
      </c>
      <c r="C599" s="233" t="str">
        <f>VLOOKUP(Table8[[#This Row],[Document ID]],Table1[],3,FALSE)</f>
        <v>Democratic Republic of the Congo</v>
      </c>
      <c r="D599" s="243" t="str">
        <f>VLOOKUP(Table8[[#This Row],[Document ID]],Table1[],5,FALSE)</f>
        <v>NDC</v>
      </c>
      <c r="E599" s="233" t="str">
        <f>VLOOKUP(Table8[[#This Row],[Document ID]],Table1[],7,FALSE)</f>
        <v>First NDC updated</v>
      </c>
      <c r="F599" s="233" t="str">
        <f>VLOOKUP(Table8[[#This Row],[Document ID]],Table1[],8,FALSE)</f>
        <v>NDC 1.1</v>
      </c>
      <c r="G599" s="233" t="str">
        <f>VLOOKUP(Table8[[#This Row],[Document ID]],Table1[],10,FALSE)</f>
        <v>Active</v>
      </c>
      <c r="H599" s="43" t="s">
        <v>2350</v>
      </c>
      <c r="I599" s="43" t="s">
        <v>2456</v>
      </c>
      <c r="J599" s="44" t="s">
        <v>2643</v>
      </c>
      <c r="K599" s="44" t="s">
        <v>2930</v>
      </c>
      <c r="L599" s="44" t="s">
        <v>2373</v>
      </c>
      <c r="M599" s="43">
        <v>47</v>
      </c>
      <c r="N599" s="113" t="s">
        <v>1113</v>
      </c>
      <c r="O599" s="113"/>
      <c r="P599" s="113"/>
      <c r="Q599" s="113"/>
      <c r="R599" s="113"/>
      <c r="S599" s="113"/>
      <c r="T599" s="113"/>
      <c r="U599" s="113"/>
      <c r="V599" s="113"/>
      <c r="W599" s="113"/>
      <c r="X599" s="113"/>
      <c r="Y599" s="113"/>
      <c r="Z599" s="113"/>
      <c r="AA599" s="113"/>
      <c r="AB599" s="113"/>
      <c r="AC599" s="113"/>
      <c r="AD599" s="113"/>
      <c r="AE599" s="113"/>
      <c r="AF599" s="113"/>
      <c r="AG599" s="113"/>
      <c r="AH599" s="113"/>
      <c r="AI599" s="113"/>
      <c r="AJ599" s="113"/>
      <c r="AK599" s="113" t="s">
        <v>1113</v>
      </c>
      <c r="AL599" s="113"/>
      <c r="AM599" s="113"/>
      <c r="AN599" s="113"/>
      <c r="AO599" s="43" t="s">
        <v>2477</v>
      </c>
      <c r="AP599" s="43"/>
      <c r="AQ599" s="236" t="str">
        <f>VLOOKUP(Table8[[#This Row],[Instrument]],Def_Targets!$D$73:$E$159,2,FALSE)</f>
        <v>S_Intermodality</v>
      </c>
      <c r="AR599" s="233" t="str">
        <f>VLOOKUP(Table8[[#This Row],[Country Code]],Table29[],3,FALSE)</f>
        <v>Non-Annex I</v>
      </c>
      <c r="AS599" s="233" t="str">
        <f>VLOOKUP(Table8[[#This Row],[Country Code]],Table29[],4,FALSE)</f>
        <v>Africa</v>
      </c>
      <c r="AT599" s="233" t="str">
        <f>VLOOKUP(Table8[[#This Row],[Country Code]],Table29[],5,FALSE)</f>
        <v>Low-income</v>
      </c>
      <c r="AU599" s="233" t="str">
        <f>VLOOKUP(Table8[[#This Row],[Country Code]],Table29[],6,FALSE)</f>
        <v>no</v>
      </c>
      <c r="AV599" s="233" t="str">
        <f>VLOOKUP(Table8[[#This Row],[Country Code]],Table29[],7,FALSE)</f>
        <v>no</v>
      </c>
      <c r="AW599" s="233" t="str">
        <f>VLOOKUP(Table8[[#This Row],[Country Code]],Table29[],8,FALSE)</f>
        <v>non-OECD</v>
      </c>
      <c r="AX599" s="233" t="str">
        <f>VLOOKUP(Table8[[#This Row],[Country Code]],Table29[],9,FALSE)</f>
        <v>no</v>
      </c>
      <c r="AY599" s="233" t="str">
        <f>VLOOKUP(Table8[[#This Row],[Country Code]],Table29[],10,FALSE)</f>
        <v>no</v>
      </c>
      <c r="AZ599" s="235">
        <f>VLOOKUP(Table8[[#This Row],[Country Code]],Table29[],23,FALSE)</f>
        <v>56.105911645372998</v>
      </c>
      <c r="BA599" s="235">
        <f>VLOOKUP(Table8[[#This Row],[Country Code]],Table29[],24,FALSE)</f>
        <v>2.8181763967662752</v>
      </c>
      <c r="BB599" s="320"/>
      <c r="BC599" s="320"/>
    </row>
    <row r="600" spans="1:55" hidden="1" x14ac:dyDescent="0.25">
      <c r="A600" s="373">
        <v>26779</v>
      </c>
      <c r="B600" s="233" t="str">
        <f>VLOOKUP(Table8[[#This Row],[Document ID]],Table1[],2,FALSE)</f>
        <v>COD</v>
      </c>
      <c r="C600" s="233" t="str">
        <f>VLOOKUP(Table8[[#This Row],[Document ID]],Table1[],3,FALSE)</f>
        <v>Democratic Republic of the Congo</v>
      </c>
      <c r="D600" s="243" t="str">
        <f>VLOOKUP(Table8[[#This Row],[Document ID]],Table1[],5,FALSE)</f>
        <v>NDC</v>
      </c>
      <c r="E600" s="233" t="str">
        <f>VLOOKUP(Table8[[#This Row],[Document ID]],Table1[],7,FALSE)</f>
        <v>First NDC updated</v>
      </c>
      <c r="F600" s="233" t="str">
        <f>VLOOKUP(Table8[[#This Row],[Document ID]],Table1[],8,FALSE)</f>
        <v>NDC 1.1</v>
      </c>
      <c r="G600" s="233" t="str">
        <f>VLOOKUP(Table8[[#This Row],[Document ID]],Table1[],10,FALSE)</f>
        <v>Active</v>
      </c>
      <c r="H600" s="43" t="s">
        <v>2350</v>
      </c>
      <c r="I600" s="43" t="s">
        <v>2370</v>
      </c>
      <c r="J600" s="44" t="s">
        <v>2511</v>
      </c>
      <c r="K600" s="44" t="s">
        <v>2931</v>
      </c>
      <c r="L600" s="44" t="s">
        <v>2380</v>
      </c>
      <c r="M600" s="43">
        <v>54</v>
      </c>
      <c r="N600" s="113" t="s">
        <v>1113</v>
      </c>
      <c r="O600" s="113"/>
      <c r="P600" s="113"/>
      <c r="Q600" s="113"/>
      <c r="R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t="s">
        <v>1113</v>
      </c>
      <c r="AM600" s="113" t="s">
        <v>1113</v>
      </c>
      <c r="AN600" s="113"/>
      <c r="AO600" s="44" t="s">
        <v>2334</v>
      </c>
      <c r="AP600" s="43"/>
      <c r="AQ600" s="236" t="str">
        <f>VLOOKUP(Table8[[#This Row],[Instrument]],Def_Targets!$D$73:$E$159,2,FALSE)</f>
        <v>A_LATM</v>
      </c>
      <c r="AR600" s="233" t="str">
        <f>VLOOKUP(Table8[[#This Row],[Country Code]],Table29[],3,FALSE)</f>
        <v>Non-Annex I</v>
      </c>
      <c r="AS600" s="233" t="str">
        <f>VLOOKUP(Table8[[#This Row],[Country Code]],Table29[],4,FALSE)</f>
        <v>Africa</v>
      </c>
      <c r="AT600" s="233" t="str">
        <f>VLOOKUP(Table8[[#This Row],[Country Code]],Table29[],5,FALSE)</f>
        <v>Low-income</v>
      </c>
      <c r="AU600" s="233" t="str">
        <f>VLOOKUP(Table8[[#This Row],[Country Code]],Table29[],6,FALSE)</f>
        <v>no</v>
      </c>
      <c r="AV600" s="233" t="str">
        <f>VLOOKUP(Table8[[#This Row],[Country Code]],Table29[],7,FALSE)</f>
        <v>no</v>
      </c>
      <c r="AW600" s="233" t="str">
        <f>VLOOKUP(Table8[[#This Row],[Country Code]],Table29[],8,FALSE)</f>
        <v>non-OECD</v>
      </c>
      <c r="AX600" s="233" t="str">
        <f>VLOOKUP(Table8[[#This Row],[Country Code]],Table29[],9,FALSE)</f>
        <v>no</v>
      </c>
      <c r="AY600" s="233" t="str">
        <f>VLOOKUP(Table8[[#This Row],[Country Code]],Table29[],10,FALSE)</f>
        <v>no</v>
      </c>
      <c r="AZ600" s="235">
        <f>VLOOKUP(Table8[[#This Row],[Country Code]],Table29[],23,FALSE)</f>
        <v>56.105911645372998</v>
      </c>
      <c r="BA600" s="235">
        <f>VLOOKUP(Table8[[#This Row],[Country Code]],Table29[],24,FALSE)</f>
        <v>2.8181763967662752</v>
      </c>
      <c r="BB600" s="320"/>
      <c r="BC600" s="320"/>
    </row>
    <row r="601" spans="1:55" hidden="1" x14ac:dyDescent="0.25">
      <c r="A601" s="373">
        <v>26779</v>
      </c>
      <c r="B601" s="233" t="str">
        <f>VLOOKUP(Table8[[#This Row],[Document ID]],Table1[],2,FALSE)</f>
        <v>COD</v>
      </c>
      <c r="C601" s="233" t="str">
        <f>VLOOKUP(Table8[[#This Row],[Document ID]],Table1[],3,FALSE)</f>
        <v>Democratic Republic of the Congo</v>
      </c>
      <c r="D601" s="243" t="str">
        <f>VLOOKUP(Table8[[#This Row],[Document ID]],Table1[],5,FALSE)</f>
        <v>NDC</v>
      </c>
      <c r="E601" s="233" t="str">
        <f>VLOOKUP(Table8[[#This Row],[Document ID]],Table1[],7,FALSE)</f>
        <v>First NDC updated</v>
      </c>
      <c r="F601" s="233" t="str">
        <f>VLOOKUP(Table8[[#This Row],[Document ID]],Table1[],8,FALSE)</f>
        <v>NDC 1.1</v>
      </c>
      <c r="G601" s="233" t="str">
        <f>VLOOKUP(Table8[[#This Row],[Document ID]],Table1[],10,FALSE)</f>
        <v>Active</v>
      </c>
      <c r="H601" s="43" t="s">
        <v>2343</v>
      </c>
      <c r="I601" s="43" t="s">
        <v>2344</v>
      </c>
      <c r="J601" s="44" t="s">
        <v>2345</v>
      </c>
      <c r="K601" s="44" t="s">
        <v>2932</v>
      </c>
      <c r="L601" s="44" t="s">
        <v>2347</v>
      </c>
      <c r="M601" s="43">
        <v>54</v>
      </c>
      <c r="N601" s="113"/>
      <c r="O601" s="113"/>
      <c r="P601" s="113"/>
      <c r="Q601" s="113"/>
      <c r="R601" s="113"/>
      <c r="S601" s="113"/>
      <c r="T601" s="113"/>
      <c r="U601" s="113"/>
      <c r="V601" s="113"/>
      <c r="W601" s="113"/>
      <c r="X601" s="113"/>
      <c r="Y601" s="113" t="s">
        <v>1113</v>
      </c>
      <c r="Z601" s="113" t="s">
        <v>1113</v>
      </c>
      <c r="AA601" s="113"/>
      <c r="AB601" s="113"/>
      <c r="AC601" s="113"/>
      <c r="AD601" s="113"/>
      <c r="AE601" s="113"/>
      <c r="AF601" s="113"/>
      <c r="AG601" s="113"/>
      <c r="AH601" s="113"/>
      <c r="AI601" s="113"/>
      <c r="AJ601" s="113"/>
      <c r="AK601" s="113" t="s">
        <v>1113</v>
      </c>
      <c r="AL601" s="113"/>
      <c r="AM601" s="113"/>
      <c r="AN601" s="113"/>
      <c r="AO601" s="43" t="s">
        <v>2348</v>
      </c>
      <c r="AP601" s="43"/>
      <c r="AQ601" s="236" t="str">
        <f>VLOOKUP(Table8[[#This Row],[Instrument]],Def_Targets!$D$73:$E$159,2,FALSE)</f>
        <v>S_PublicTransport</v>
      </c>
      <c r="AR601" s="233" t="str">
        <f>VLOOKUP(Table8[[#This Row],[Country Code]],Table29[],3,FALSE)</f>
        <v>Non-Annex I</v>
      </c>
      <c r="AS601" s="233" t="str">
        <f>VLOOKUP(Table8[[#This Row],[Country Code]],Table29[],4,FALSE)</f>
        <v>Africa</v>
      </c>
      <c r="AT601" s="233" t="str">
        <f>VLOOKUP(Table8[[#This Row],[Country Code]],Table29[],5,FALSE)</f>
        <v>Low-income</v>
      </c>
      <c r="AU601" s="233" t="str">
        <f>VLOOKUP(Table8[[#This Row],[Country Code]],Table29[],6,FALSE)</f>
        <v>no</v>
      </c>
      <c r="AV601" s="233" t="str">
        <f>VLOOKUP(Table8[[#This Row],[Country Code]],Table29[],7,FALSE)</f>
        <v>no</v>
      </c>
      <c r="AW601" s="233" t="str">
        <f>VLOOKUP(Table8[[#This Row],[Country Code]],Table29[],8,FALSE)</f>
        <v>non-OECD</v>
      </c>
      <c r="AX601" s="233" t="str">
        <f>VLOOKUP(Table8[[#This Row],[Country Code]],Table29[],9,FALSE)</f>
        <v>no</v>
      </c>
      <c r="AY601" s="233" t="str">
        <f>VLOOKUP(Table8[[#This Row],[Country Code]],Table29[],10,FALSE)</f>
        <v>no</v>
      </c>
      <c r="AZ601" s="235">
        <f>VLOOKUP(Table8[[#This Row],[Country Code]],Table29[],23,FALSE)</f>
        <v>56.105911645372998</v>
      </c>
      <c r="BA601" s="235">
        <f>VLOOKUP(Table8[[#This Row],[Country Code]],Table29[],24,FALSE)</f>
        <v>2.8181763967662752</v>
      </c>
      <c r="BB601" s="320"/>
      <c r="BC601" s="320"/>
    </row>
    <row r="602" spans="1:55" ht="30" hidden="1" x14ac:dyDescent="0.25">
      <c r="A602" s="373">
        <v>26779</v>
      </c>
      <c r="B602" s="233" t="str">
        <f>VLOOKUP(Table8[[#This Row],[Document ID]],Table1[],2,FALSE)</f>
        <v>COD</v>
      </c>
      <c r="C602" s="233" t="str">
        <f>VLOOKUP(Table8[[#This Row],[Document ID]],Table1[],3,FALSE)</f>
        <v>Democratic Republic of the Congo</v>
      </c>
      <c r="D602" s="243" t="str">
        <f>VLOOKUP(Table8[[#This Row],[Document ID]],Table1[],5,FALSE)</f>
        <v>NDC</v>
      </c>
      <c r="E602" s="233" t="str">
        <f>VLOOKUP(Table8[[#This Row],[Document ID]],Table1[],7,FALSE)</f>
        <v>First NDC updated</v>
      </c>
      <c r="F602" s="233" t="str">
        <f>VLOOKUP(Table8[[#This Row],[Document ID]],Table1[],8,FALSE)</f>
        <v>NDC 1.1</v>
      </c>
      <c r="G602" s="233" t="str">
        <f>VLOOKUP(Table8[[#This Row],[Document ID]],Table1[],10,FALSE)</f>
        <v>Active</v>
      </c>
      <c r="H602" s="43" t="s">
        <v>2350</v>
      </c>
      <c r="I602" s="43" t="s">
        <v>2456</v>
      </c>
      <c r="J602" s="44" t="s">
        <v>2466</v>
      </c>
      <c r="K602" s="44" t="s">
        <v>2933</v>
      </c>
      <c r="L602" s="44" t="s">
        <v>2347</v>
      </c>
      <c r="M602" s="43">
        <v>54</v>
      </c>
      <c r="N602" s="113"/>
      <c r="O602" s="113"/>
      <c r="P602" s="113"/>
      <c r="Q602" s="113"/>
      <c r="R602" s="113"/>
      <c r="S602" s="113" t="s">
        <v>1113</v>
      </c>
      <c r="T602" s="113"/>
      <c r="U602" s="113"/>
      <c r="V602" s="113"/>
      <c r="W602" s="113"/>
      <c r="X602" s="113"/>
      <c r="Y602" s="113"/>
      <c r="Z602" s="113" t="s">
        <v>1113</v>
      </c>
      <c r="AA602" s="113"/>
      <c r="AB602" s="113"/>
      <c r="AC602" s="113"/>
      <c r="AD602" s="113" t="s">
        <v>1113</v>
      </c>
      <c r="AE602" s="113"/>
      <c r="AF602" s="113"/>
      <c r="AG602" s="113"/>
      <c r="AH602" s="113"/>
      <c r="AI602" s="113"/>
      <c r="AJ602" s="113"/>
      <c r="AK602" s="113" t="s">
        <v>1113</v>
      </c>
      <c r="AL602" s="113"/>
      <c r="AM602" s="113"/>
      <c r="AN602" s="113"/>
      <c r="AO602" s="44" t="s">
        <v>2334</v>
      </c>
      <c r="AP602" s="43"/>
      <c r="AQ602" s="236" t="str">
        <f>VLOOKUP(Table8[[#This Row],[Instrument]],Def_Targets!$D$73:$E$159,2,FALSE)</f>
        <v>S_Infraexpansion</v>
      </c>
      <c r="AR602" s="233" t="str">
        <f>VLOOKUP(Table8[[#This Row],[Country Code]],Table29[],3,FALSE)</f>
        <v>Non-Annex I</v>
      </c>
      <c r="AS602" s="233" t="str">
        <f>VLOOKUP(Table8[[#This Row],[Country Code]],Table29[],4,FALSE)</f>
        <v>Africa</v>
      </c>
      <c r="AT602" s="233" t="str">
        <f>VLOOKUP(Table8[[#This Row],[Country Code]],Table29[],5,FALSE)</f>
        <v>Low-income</v>
      </c>
      <c r="AU602" s="233" t="str">
        <f>VLOOKUP(Table8[[#This Row],[Country Code]],Table29[],6,FALSE)</f>
        <v>no</v>
      </c>
      <c r="AV602" s="233" t="str">
        <f>VLOOKUP(Table8[[#This Row],[Country Code]],Table29[],7,FALSE)</f>
        <v>no</v>
      </c>
      <c r="AW602" s="233" t="str">
        <f>VLOOKUP(Table8[[#This Row],[Country Code]],Table29[],8,FALSE)</f>
        <v>non-OECD</v>
      </c>
      <c r="AX602" s="233" t="str">
        <f>VLOOKUP(Table8[[#This Row],[Country Code]],Table29[],9,FALSE)</f>
        <v>no</v>
      </c>
      <c r="AY602" s="233" t="str">
        <f>VLOOKUP(Table8[[#This Row],[Country Code]],Table29[],10,FALSE)</f>
        <v>no</v>
      </c>
      <c r="AZ602" s="235">
        <f>VLOOKUP(Table8[[#This Row],[Country Code]],Table29[],23,FALSE)</f>
        <v>56.105911645372998</v>
      </c>
      <c r="BA602" s="235">
        <f>VLOOKUP(Table8[[#This Row],[Country Code]],Table29[],24,FALSE)</f>
        <v>2.8181763967662752</v>
      </c>
      <c r="BB602" s="320"/>
      <c r="BC602" s="320"/>
    </row>
    <row r="603" spans="1:55" ht="30" hidden="1" x14ac:dyDescent="0.25">
      <c r="A603" s="373">
        <v>26779</v>
      </c>
      <c r="B603" s="233" t="str">
        <f>VLOOKUP(Table8[[#This Row],[Document ID]],Table1[],2,FALSE)</f>
        <v>COD</v>
      </c>
      <c r="C603" s="233" t="str">
        <f>VLOOKUP(Table8[[#This Row],[Document ID]],Table1[],3,FALSE)</f>
        <v>Democratic Republic of the Congo</v>
      </c>
      <c r="D603" s="243" t="str">
        <f>VLOOKUP(Table8[[#This Row],[Document ID]],Table1[],5,FALSE)</f>
        <v>NDC</v>
      </c>
      <c r="E603" s="233" t="str">
        <f>VLOOKUP(Table8[[#This Row],[Document ID]],Table1[],7,FALSE)</f>
        <v>First NDC updated</v>
      </c>
      <c r="F603" s="233" t="str">
        <f>VLOOKUP(Table8[[#This Row],[Document ID]],Table1[],8,FALSE)</f>
        <v>NDC 1.1</v>
      </c>
      <c r="G603" s="233" t="str">
        <f>VLOOKUP(Table8[[#This Row],[Document ID]],Table1[],10,FALSE)</f>
        <v>Active</v>
      </c>
      <c r="H603" s="43" t="s">
        <v>2350</v>
      </c>
      <c r="I603" s="43" t="s">
        <v>2456</v>
      </c>
      <c r="J603" s="44" t="s">
        <v>2643</v>
      </c>
      <c r="K603" s="44" t="s">
        <v>2933</v>
      </c>
      <c r="L603" s="44" t="s">
        <v>2347</v>
      </c>
      <c r="M603" s="43">
        <v>54</v>
      </c>
      <c r="N603" s="113"/>
      <c r="O603" s="113"/>
      <c r="P603" s="113"/>
      <c r="Q603" s="113"/>
      <c r="R603" s="113"/>
      <c r="S603" s="113" t="s">
        <v>1113</v>
      </c>
      <c r="T603" s="113"/>
      <c r="U603" s="113"/>
      <c r="V603" s="113"/>
      <c r="W603" s="113"/>
      <c r="X603" s="113"/>
      <c r="Y603" s="113"/>
      <c r="Z603" s="113" t="s">
        <v>1113</v>
      </c>
      <c r="AA603" s="113"/>
      <c r="AB603" s="113"/>
      <c r="AC603" s="113"/>
      <c r="AD603" s="113" t="s">
        <v>1113</v>
      </c>
      <c r="AE603" s="113"/>
      <c r="AF603" s="113"/>
      <c r="AG603" s="113"/>
      <c r="AH603" s="113"/>
      <c r="AI603" s="113"/>
      <c r="AJ603" s="113"/>
      <c r="AK603" s="113" t="s">
        <v>1113</v>
      </c>
      <c r="AL603" s="113"/>
      <c r="AM603" s="113"/>
      <c r="AN603" s="113"/>
      <c r="AO603" s="44" t="s">
        <v>2334</v>
      </c>
      <c r="AP603" s="43"/>
      <c r="AQ603" s="236" t="str">
        <f>VLOOKUP(Table8[[#This Row],[Instrument]],Def_Targets!$D$73:$E$159,2,FALSE)</f>
        <v>S_Intermodality</v>
      </c>
      <c r="AR603" s="233" t="str">
        <f>VLOOKUP(Table8[[#This Row],[Country Code]],Table29[],3,FALSE)</f>
        <v>Non-Annex I</v>
      </c>
      <c r="AS603" s="233" t="str">
        <f>VLOOKUP(Table8[[#This Row],[Country Code]],Table29[],4,FALSE)</f>
        <v>Africa</v>
      </c>
      <c r="AT603" s="233" t="str">
        <f>VLOOKUP(Table8[[#This Row],[Country Code]],Table29[],5,FALSE)</f>
        <v>Low-income</v>
      </c>
      <c r="AU603" s="233" t="str">
        <f>VLOOKUP(Table8[[#This Row],[Country Code]],Table29[],6,FALSE)</f>
        <v>no</v>
      </c>
      <c r="AV603" s="233" t="str">
        <f>VLOOKUP(Table8[[#This Row],[Country Code]],Table29[],7,FALSE)</f>
        <v>no</v>
      </c>
      <c r="AW603" s="233" t="str">
        <f>VLOOKUP(Table8[[#This Row],[Country Code]],Table29[],8,FALSE)</f>
        <v>non-OECD</v>
      </c>
      <c r="AX603" s="233" t="str">
        <f>VLOOKUP(Table8[[#This Row],[Country Code]],Table29[],9,FALSE)</f>
        <v>no</v>
      </c>
      <c r="AY603" s="233" t="str">
        <f>VLOOKUP(Table8[[#This Row],[Country Code]],Table29[],10,FALSE)</f>
        <v>no</v>
      </c>
      <c r="AZ603" s="235">
        <f>VLOOKUP(Table8[[#This Row],[Country Code]],Table29[],23,FALSE)</f>
        <v>56.105911645372998</v>
      </c>
      <c r="BA603" s="235">
        <f>VLOOKUP(Table8[[#This Row],[Country Code]],Table29[],24,FALSE)</f>
        <v>2.8181763967662752</v>
      </c>
      <c r="BB603" s="320"/>
      <c r="BC603" s="320"/>
    </row>
    <row r="604" spans="1:55" ht="30" hidden="1" x14ac:dyDescent="0.25">
      <c r="A604" s="373">
        <v>26779</v>
      </c>
      <c r="B604" s="233" t="str">
        <f>VLOOKUP(Table8[[#This Row],[Document ID]],Table1[],2,FALSE)</f>
        <v>COD</v>
      </c>
      <c r="C604" s="233" t="str">
        <f>VLOOKUP(Table8[[#This Row],[Document ID]],Table1[],3,FALSE)</f>
        <v>Democratic Republic of the Congo</v>
      </c>
      <c r="D604" s="243" t="str">
        <f>VLOOKUP(Table8[[#This Row],[Document ID]],Table1[],5,FALSE)</f>
        <v>NDC</v>
      </c>
      <c r="E604" s="233" t="str">
        <f>VLOOKUP(Table8[[#This Row],[Document ID]],Table1[],7,FALSE)</f>
        <v>First NDC updated</v>
      </c>
      <c r="F604" s="233" t="str">
        <f>VLOOKUP(Table8[[#This Row],[Document ID]],Table1[],8,FALSE)</f>
        <v>NDC 1.1</v>
      </c>
      <c r="G604" s="233" t="str">
        <f>VLOOKUP(Table8[[#This Row],[Document ID]],Table1[],10,FALSE)</f>
        <v>Active</v>
      </c>
      <c r="H604" s="44" t="s">
        <v>2338</v>
      </c>
      <c r="I604" s="44" t="s">
        <v>2339</v>
      </c>
      <c r="J604" s="44" t="s">
        <v>2340</v>
      </c>
      <c r="K604" s="44" t="s">
        <v>2934</v>
      </c>
      <c r="L604" s="44" t="s">
        <v>2333</v>
      </c>
      <c r="M604" s="43">
        <v>54</v>
      </c>
      <c r="N604" s="113" t="s">
        <v>1113</v>
      </c>
      <c r="O604" s="113"/>
      <c r="P604" s="113"/>
      <c r="Q604" s="113"/>
      <c r="R604" s="113"/>
      <c r="S604" s="113"/>
      <c r="T604" s="113"/>
      <c r="U604" s="113"/>
      <c r="V604" s="113"/>
      <c r="W604" s="113"/>
      <c r="X604" s="113"/>
      <c r="Y604" s="113"/>
      <c r="Z604" s="113"/>
      <c r="AA604" s="113"/>
      <c r="AB604" s="113"/>
      <c r="AC604" s="113"/>
      <c r="AD604" s="113"/>
      <c r="AE604" s="113"/>
      <c r="AF604" s="113"/>
      <c r="AG604" s="113"/>
      <c r="AH604" s="113"/>
      <c r="AI604" s="113"/>
      <c r="AJ604" s="113"/>
      <c r="AK604" s="113" t="s">
        <v>1113</v>
      </c>
      <c r="AL604" s="113"/>
      <c r="AM604" s="113"/>
      <c r="AN604" s="113"/>
      <c r="AO604" s="44" t="s">
        <v>2334</v>
      </c>
      <c r="AP604" s="43"/>
      <c r="AQ604" s="236" t="str">
        <f>VLOOKUP(Table8[[#This Row],[Instrument]],Def_Targets!$D$73:$E$159,2,FALSE)</f>
        <v>I_Vehicleimprove</v>
      </c>
      <c r="AR604" s="233" t="str">
        <f>VLOOKUP(Table8[[#This Row],[Country Code]],Table29[],3,FALSE)</f>
        <v>Non-Annex I</v>
      </c>
      <c r="AS604" s="233" t="str">
        <f>VLOOKUP(Table8[[#This Row],[Country Code]],Table29[],4,FALSE)</f>
        <v>Africa</v>
      </c>
      <c r="AT604" s="233" t="str">
        <f>VLOOKUP(Table8[[#This Row],[Country Code]],Table29[],5,FALSE)</f>
        <v>Low-income</v>
      </c>
      <c r="AU604" s="233" t="str">
        <f>VLOOKUP(Table8[[#This Row],[Country Code]],Table29[],6,FALSE)</f>
        <v>no</v>
      </c>
      <c r="AV604" s="233" t="str">
        <f>VLOOKUP(Table8[[#This Row],[Country Code]],Table29[],7,FALSE)</f>
        <v>no</v>
      </c>
      <c r="AW604" s="233" t="str">
        <f>VLOOKUP(Table8[[#This Row],[Country Code]],Table29[],8,FALSE)</f>
        <v>non-OECD</v>
      </c>
      <c r="AX604" s="233" t="str">
        <f>VLOOKUP(Table8[[#This Row],[Country Code]],Table29[],9,FALSE)</f>
        <v>no</v>
      </c>
      <c r="AY604" s="233" t="str">
        <f>VLOOKUP(Table8[[#This Row],[Country Code]],Table29[],10,FALSE)</f>
        <v>no</v>
      </c>
      <c r="AZ604" s="235">
        <f>VLOOKUP(Table8[[#This Row],[Country Code]],Table29[],23,FALSE)</f>
        <v>56.105911645372998</v>
      </c>
      <c r="BA604" s="235">
        <f>VLOOKUP(Table8[[#This Row],[Country Code]],Table29[],24,FALSE)</f>
        <v>2.8181763967662752</v>
      </c>
      <c r="BB604" s="320"/>
      <c r="BC604" s="320"/>
    </row>
    <row r="605" spans="1:55" ht="45" hidden="1" x14ac:dyDescent="0.25">
      <c r="A605" s="373">
        <v>26777</v>
      </c>
      <c r="B605" s="233" t="str">
        <f>VLOOKUP(Table8[[#This Row],[Document ID]],Table1[],2,FALSE)</f>
        <v>COL</v>
      </c>
      <c r="C605" s="233" t="str">
        <f>VLOOKUP(Table8[[#This Row],[Document ID]],Table1[],3,FALSE)</f>
        <v>Colombia</v>
      </c>
      <c r="D605" s="243" t="str">
        <f>VLOOKUP(Table8[[#This Row],[Document ID]],Table1[],5,FALSE)</f>
        <v>LTS</v>
      </c>
      <c r="E605" s="233" t="str">
        <f>VLOOKUP(Table8[[#This Row],[Document ID]],Table1[],7,FALSE)</f>
        <v>LTS</v>
      </c>
      <c r="F605" s="236" t="str">
        <f>VLOOKUP(Table8[[#This Row],[Document ID]],Table1[],8,FALSE)</f>
        <v>LTS 1.0</v>
      </c>
      <c r="G605" s="236" t="str">
        <f>VLOOKUP(Table8[[#This Row],[Document ID]],Table1[],10,FALSE)</f>
        <v>Active</v>
      </c>
      <c r="H605" s="43" t="s">
        <v>2358</v>
      </c>
      <c r="I605" s="43" t="s">
        <v>2359</v>
      </c>
      <c r="J605" s="44" t="s">
        <v>2360</v>
      </c>
      <c r="K605" s="44" t="s">
        <v>2935</v>
      </c>
      <c r="L605" s="44" t="s">
        <v>2347</v>
      </c>
      <c r="M605" s="43">
        <v>124</v>
      </c>
      <c r="N605" s="113"/>
      <c r="O605" s="113"/>
      <c r="P605" s="113"/>
      <c r="Q605" s="113"/>
      <c r="R605" s="113"/>
      <c r="S605" s="113" t="s">
        <v>1113</v>
      </c>
      <c r="T605" s="113"/>
      <c r="U605" s="113"/>
      <c r="V605" s="113"/>
      <c r="W605" s="113"/>
      <c r="X605" s="113"/>
      <c r="Y605" s="113"/>
      <c r="Z605" s="113"/>
      <c r="AA605" s="113"/>
      <c r="AB605" s="113"/>
      <c r="AC605" s="113"/>
      <c r="AD605" s="113"/>
      <c r="AE605" s="113"/>
      <c r="AF605" s="113"/>
      <c r="AG605" s="113"/>
      <c r="AH605" s="113"/>
      <c r="AI605" s="113"/>
      <c r="AJ605" s="113"/>
      <c r="AK605" s="113" t="s">
        <v>1113</v>
      </c>
      <c r="AL605" s="113"/>
      <c r="AM605" s="113"/>
      <c r="AN605" s="113"/>
      <c r="AO605" s="44" t="s">
        <v>2334</v>
      </c>
      <c r="AP605" s="43"/>
      <c r="AQ605" s="236" t="str">
        <f>VLOOKUP(Table8[[#This Row],[Instrument]],Def_Targets!$D$73:$E$159,2,FALSE)</f>
        <v>I_Emobility</v>
      </c>
      <c r="AR605" s="233" t="str">
        <f>VLOOKUP(Table8[[#This Row],[Country Code]],Table29[],3,FALSE)</f>
        <v>Non-Annex I</v>
      </c>
      <c r="AS605" s="233" t="str">
        <f>VLOOKUP(Table8[[#This Row],[Country Code]],Table29[],4,FALSE)</f>
        <v>Latin America and the Caribbean</v>
      </c>
      <c r="AT605" s="233" t="str">
        <f>VLOOKUP(Table8[[#This Row],[Country Code]],Table29[],5,FALSE)</f>
        <v>Middle-income</v>
      </c>
      <c r="AU605" s="233" t="str">
        <f>VLOOKUP(Table8[[#This Row],[Country Code]],Table29[],6,FALSE)</f>
        <v>no</v>
      </c>
      <c r="AV605" s="233" t="str">
        <f>VLOOKUP(Table8[[#This Row],[Country Code]],Table29[],7,FALSE)</f>
        <v>no</v>
      </c>
      <c r="AW605" s="233" t="str">
        <f>VLOOKUP(Table8[[#This Row],[Country Code]],Table29[],8,FALSE)</f>
        <v>OECD</v>
      </c>
      <c r="AX605" s="233" t="str">
        <f>VLOOKUP(Table8[[#This Row],[Country Code]],Table29[],9,FALSE)</f>
        <v>no</v>
      </c>
      <c r="AY605" s="233" t="str">
        <f>VLOOKUP(Table8[[#This Row],[Country Code]],Table29[],10,FALSE)</f>
        <v>no</v>
      </c>
      <c r="AZ605" s="235">
        <f>VLOOKUP(Table8[[#This Row],[Country Code]],Table29[],23,FALSE)</f>
        <v>223.96663405241</v>
      </c>
      <c r="BA605" s="235">
        <f>VLOOKUP(Table8[[#This Row],[Country Code]],Table29[],24,FALSE)</f>
        <v>37.36796885652894</v>
      </c>
      <c r="BB605" s="320"/>
      <c r="BC605" s="320"/>
    </row>
    <row r="606" spans="1:55" ht="30" hidden="1" x14ac:dyDescent="0.25">
      <c r="A606" s="373">
        <v>26777</v>
      </c>
      <c r="B606" s="233" t="str">
        <f>VLOOKUP(Table8[[#This Row],[Document ID]],Table1[],2,FALSE)</f>
        <v>COL</v>
      </c>
      <c r="C606" s="233" t="str">
        <f>VLOOKUP(Table8[[#This Row],[Document ID]],Table1[],3,FALSE)</f>
        <v>Colombia</v>
      </c>
      <c r="D606" s="243" t="str">
        <f>VLOOKUP(Table8[[#This Row],[Document ID]],Table1[],5,FALSE)</f>
        <v>LTS</v>
      </c>
      <c r="E606" s="233" t="str">
        <f>VLOOKUP(Table8[[#This Row],[Document ID]],Table1[],7,FALSE)</f>
        <v>LTS</v>
      </c>
      <c r="F606" s="236" t="str">
        <f>VLOOKUP(Table8[[#This Row],[Document ID]],Table1[],8,FALSE)</f>
        <v>LTS 1.0</v>
      </c>
      <c r="G606" s="236" t="str">
        <f>VLOOKUP(Table8[[#This Row],[Document ID]],Table1[],10,FALSE)</f>
        <v>Active</v>
      </c>
      <c r="H606" s="43" t="s">
        <v>2343</v>
      </c>
      <c r="I606" s="43" t="s">
        <v>2361</v>
      </c>
      <c r="J606" s="44" t="s">
        <v>2362</v>
      </c>
      <c r="K606" s="44" t="s">
        <v>2936</v>
      </c>
      <c r="L606" s="44" t="s">
        <v>2373</v>
      </c>
      <c r="M606" s="43">
        <v>164</v>
      </c>
      <c r="N606" s="113"/>
      <c r="O606" s="113"/>
      <c r="P606" s="113"/>
      <c r="Q606" s="113"/>
      <c r="R606" s="113" t="s">
        <v>1113</v>
      </c>
      <c r="S606" s="113" t="s">
        <v>1291</v>
      </c>
      <c r="T606" s="113"/>
      <c r="U606" s="113"/>
      <c r="V606" s="113"/>
      <c r="W606" s="113"/>
      <c r="X606" s="113"/>
      <c r="Y606" s="113"/>
      <c r="Z606" s="113"/>
      <c r="AA606" s="113"/>
      <c r="AB606" s="113"/>
      <c r="AC606" s="113"/>
      <c r="AD606" s="113"/>
      <c r="AE606" s="113"/>
      <c r="AF606" s="113"/>
      <c r="AG606" s="113"/>
      <c r="AH606" s="113"/>
      <c r="AI606" s="113"/>
      <c r="AJ606" s="113"/>
      <c r="AK606" s="113" t="s">
        <v>1291</v>
      </c>
      <c r="AL606" s="113"/>
      <c r="AM606" s="113"/>
      <c r="AN606" s="113"/>
      <c r="AO606" s="44" t="s">
        <v>2334</v>
      </c>
      <c r="AP606" s="43"/>
      <c r="AQ606" s="236" t="str">
        <f>VLOOKUP(Table8[[#This Row],[Instrument]],Def_Targets!$D$73:$E$159,2,FALSE)</f>
        <v>S_Cycling</v>
      </c>
      <c r="AR606" s="233" t="str">
        <f>VLOOKUP(Table8[[#This Row],[Country Code]],Table29[],3,FALSE)</f>
        <v>Non-Annex I</v>
      </c>
      <c r="AS606" s="233" t="str">
        <f>VLOOKUP(Table8[[#This Row],[Country Code]],Table29[],4,FALSE)</f>
        <v>Latin America and the Caribbean</v>
      </c>
      <c r="AT606" s="233" t="str">
        <f>VLOOKUP(Table8[[#This Row],[Country Code]],Table29[],5,FALSE)</f>
        <v>Middle-income</v>
      </c>
      <c r="AU606" s="233" t="str">
        <f>VLOOKUP(Table8[[#This Row],[Country Code]],Table29[],6,FALSE)</f>
        <v>no</v>
      </c>
      <c r="AV606" s="233" t="str">
        <f>VLOOKUP(Table8[[#This Row],[Country Code]],Table29[],7,FALSE)</f>
        <v>no</v>
      </c>
      <c r="AW606" s="233" t="str">
        <f>VLOOKUP(Table8[[#This Row],[Country Code]],Table29[],8,FALSE)</f>
        <v>OECD</v>
      </c>
      <c r="AX606" s="233" t="str">
        <f>VLOOKUP(Table8[[#This Row],[Country Code]],Table29[],9,FALSE)</f>
        <v>no</v>
      </c>
      <c r="AY606" s="233" t="str">
        <f>VLOOKUP(Table8[[#This Row],[Country Code]],Table29[],10,FALSE)</f>
        <v>no</v>
      </c>
      <c r="AZ606" s="235">
        <f>VLOOKUP(Table8[[#This Row],[Country Code]],Table29[],23,FALSE)</f>
        <v>223.96663405241</v>
      </c>
      <c r="BA606" s="235">
        <f>VLOOKUP(Table8[[#This Row],[Country Code]],Table29[],24,FALSE)</f>
        <v>37.36796885652894</v>
      </c>
      <c r="BB606" s="320"/>
      <c r="BC606" s="320"/>
    </row>
    <row r="607" spans="1:55" hidden="1" x14ac:dyDescent="0.25">
      <c r="A607" s="373">
        <v>26777</v>
      </c>
      <c r="B607" s="233" t="str">
        <f>VLOOKUP(Table8[[#This Row],[Document ID]],Table1[],2,FALSE)</f>
        <v>COL</v>
      </c>
      <c r="C607" s="233" t="str">
        <f>VLOOKUP(Table8[[#This Row],[Document ID]],Table1[],3,FALSE)</f>
        <v>Colombia</v>
      </c>
      <c r="D607" s="243" t="str">
        <f>VLOOKUP(Table8[[#This Row],[Document ID]],Table1[],5,FALSE)</f>
        <v>LTS</v>
      </c>
      <c r="E607" s="233" t="str">
        <f>VLOOKUP(Table8[[#This Row],[Document ID]],Table1[],7,FALSE)</f>
        <v>LTS</v>
      </c>
      <c r="F607" s="236" t="str">
        <f>VLOOKUP(Table8[[#This Row],[Document ID]],Table1[],8,FALSE)</f>
        <v>LTS 1.0</v>
      </c>
      <c r="G607" s="236" t="str">
        <f>VLOOKUP(Table8[[#This Row],[Document ID]],Table1[],10,FALSE)</f>
        <v>Active</v>
      </c>
      <c r="H607" s="43" t="s">
        <v>2343</v>
      </c>
      <c r="I607" s="43" t="s">
        <v>2344</v>
      </c>
      <c r="J607" s="44" t="s">
        <v>2564</v>
      </c>
      <c r="K607" s="44" t="s">
        <v>2937</v>
      </c>
      <c r="L607" s="44" t="s">
        <v>2347</v>
      </c>
      <c r="M607" s="43">
        <v>164</v>
      </c>
      <c r="N607" s="113"/>
      <c r="O607" s="113"/>
      <c r="P607" s="113"/>
      <c r="Q607" s="113"/>
      <c r="R607" s="113"/>
      <c r="S607" s="113" t="s">
        <v>1291</v>
      </c>
      <c r="T607" s="113"/>
      <c r="U607" s="113"/>
      <c r="V607" s="113"/>
      <c r="W607" s="113"/>
      <c r="X607" s="113"/>
      <c r="Y607" s="113"/>
      <c r="Z607" s="113"/>
      <c r="AA607" s="113"/>
      <c r="AB607" s="113"/>
      <c r="AC607" s="113"/>
      <c r="AD607" s="113"/>
      <c r="AE607" s="113"/>
      <c r="AF607" s="113"/>
      <c r="AG607" s="113"/>
      <c r="AH607" s="113"/>
      <c r="AI607" s="113"/>
      <c r="AJ607" s="113"/>
      <c r="AK607" s="113" t="s">
        <v>1291</v>
      </c>
      <c r="AL607" s="113"/>
      <c r="AM607" s="113"/>
      <c r="AN607" s="113"/>
      <c r="AO607" s="44" t="s">
        <v>2334</v>
      </c>
      <c r="AP607" s="43"/>
      <c r="AQ607" s="236" t="str">
        <f>VLOOKUP(Table8[[#This Row],[Instrument]],Def_Targets!$D$73:$E$159,2,FALSE)</f>
        <v>S_PTPriority</v>
      </c>
      <c r="AR607" s="233" t="str">
        <f>VLOOKUP(Table8[[#This Row],[Country Code]],Table29[],3,FALSE)</f>
        <v>Non-Annex I</v>
      </c>
      <c r="AS607" s="233" t="str">
        <f>VLOOKUP(Table8[[#This Row],[Country Code]],Table29[],4,FALSE)</f>
        <v>Latin America and the Caribbean</v>
      </c>
      <c r="AT607" s="233" t="str">
        <f>VLOOKUP(Table8[[#This Row],[Country Code]],Table29[],5,FALSE)</f>
        <v>Middle-income</v>
      </c>
      <c r="AU607" s="233" t="str">
        <f>VLOOKUP(Table8[[#This Row],[Country Code]],Table29[],6,FALSE)</f>
        <v>no</v>
      </c>
      <c r="AV607" s="233" t="str">
        <f>VLOOKUP(Table8[[#This Row],[Country Code]],Table29[],7,FALSE)</f>
        <v>no</v>
      </c>
      <c r="AW607" s="233" t="str">
        <f>VLOOKUP(Table8[[#This Row],[Country Code]],Table29[],8,FALSE)</f>
        <v>OECD</v>
      </c>
      <c r="AX607" s="233" t="str">
        <f>VLOOKUP(Table8[[#This Row],[Country Code]],Table29[],9,FALSE)</f>
        <v>no</v>
      </c>
      <c r="AY607" s="233" t="str">
        <f>VLOOKUP(Table8[[#This Row],[Country Code]],Table29[],10,FALSE)</f>
        <v>no</v>
      </c>
      <c r="AZ607" s="235">
        <f>VLOOKUP(Table8[[#This Row],[Country Code]],Table29[],23,FALSE)</f>
        <v>223.96663405241</v>
      </c>
      <c r="BA607" s="235">
        <f>VLOOKUP(Table8[[#This Row],[Country Code]],Table29[],24,FALSE)</f>
        <v>37.36796885652894</v>
      </c>
      <c r="BB607" s="320"/>
      <c r="BC607" s="320"/>
    </row>
    <row r="608" spans="1:55" hidden="1" x14ac:dyDescent="0.25">
      <c r="A608" s="373">
        <v>26777</v>
      </c>
      <c r="B608" s="233" t="str">
        <f>VLOOKUP(Table8[[#This Row],[Document ID]],Table1[],2,FALSE)</f>
        <v>COL</v>
      </c>
      <c r="C608" s="233" t="str">
        <f>VLOOKUP(Table8[[#This Row],[Document ID]],Table1[],3,FALSE)</f>
        <v>Colombia</v>
      </c>
      <c r="D608" s="243" t="str">
        <f>VLOOKUP(Table8[[#This Row],[Document ID]],Table1[],5,FALSE)</f>
        <v>LTS</v>
      </c>
      <c r="E608" s="233" t="str">
        <f>VLOOKUP(Table8[[#This Row],[Document ID]],Table1[],7,FALSE)</f>
        <v>LTS</v>
      </c>
      <c r="F608" s="236" t="str">
        <f>VLOOKUP(Table8[[#This Row],[Document ID]],Table1[],8,FALSE)</f>
        <v>LTS 1.0</v>
      </c>
      <c r="G608" s="236" t="str">
        <f>VLOOKUP(Table8[[#This Row],[Document ID]],Table1[],10,FALSE)</f>
        <v>Active</v>
      </c>
      <c r="H608" s="43" t="s">
        <v>2358</v>
      </c>
      <c r="I608" s="43" t="s">
        <v>2359</v>
      </c>
      <c r="J608" s="44" t="s">
        <v>2383</v>
      </c>
      <c r="K608" s="44" t="s">
        <v>2938</v>
      </c>
      <c r="L608" s="44" t="s">
        <v>2333</v>
      </c>
      <c r="M608" s="43">
        <v>164</v>
      </c>
      <c r="N608" s="113" t="s">
        <v>1113</v>
      </c>
      <c r="O608" s="113"/>
      <c r="P608" s="113"/>
      <c r="Q608" s="113"/>
      <c r="R608" s="113"/>
      <c r="S608" s="113"/>
      <c r="T608" s="113"/>
      <c r="U608" s="113"/>
      <c r="V608" s="113"/>
      <c r="W608" s="113"/>
      <c r="X608" s="113"/>
      <c r="Y608" s="113"/>
      <c r="Z608" s="113"/>
      <c r="AA608" s="113"/>
      <c r="AB608" s="113"/>
      <c r="AC608" s="113"/>
      <c r="AD608" s="113"/>
      <c r="AE608" s="113"/>
      <c r="AF608" s="113"/>
      <c r="AG608" s="113"/>
      <c r="AH608" s="113"/>
      <c r="AI608" s="113"/>
      <c r="AJ608" s="113"/>
      <c r="AK608" s="113" t="s">
        <v>1113</v>
      </c>
      <c r="AL608" s="113"/>
      <c r="AM608" s="113"/>
      <c r="AN608" s="113"/>
      <c r="AO608" s="44" t="s">
        <v>2334</v>
      </c>
      <c r="AP608" s="43"/>
      <c r="AQ608" s="236" t="str">
        <f>VLOOKUP(Table8[[#This Row],[Instrument]],Def_Targets!$D$73:$E$159,2,FALSE)</f>
        <v>I_Emobilitycharging</v>
      </c>
      <c r="AR608" s="233" t="str">
        <f>VLOOKUP(Table8[[#This Row],[Country Code]],Table29[],3,FALSE)</f>
        <v>Non-Annex I</v>
      </c>
      <c r="AS608" s="233" t="str">
        <f>VLOOKUP(Table8[[#This Row],[Country Code]],Table29[],4,FALSE)</f>
        <v>Latin America and the Caribbean</v>
      </c>
      <c r="AT608" s="233" t="str">
        <f>VLOOKUP(Table8[[#This Row],[Country Code]],Table29[],5,FALSE)</f>
        <v>Middle-income</v>
      </c>
      <c r="AU608" s="233" t="str">
        <f>VLOOKUP(Table8[[#This Row],[Country Code]],Table29[],6,FALSE)</f>
        <v>no</v>
      </c>
      <c r="AV608" s="233" t="str">
        <f>VLOOKUP(Table8[[#This Row],[Country Code]],Table29[],7,FALSE)</f>
        <v>no</v>
      </c>
      <c r="AW608" s="233" t="str">
        <f>VLOOKUP(Table8[[#This Row],[Country Code]],Table29[],8,FALSE)</f>
        <v>OECD</v>
      </c>
      <c r="AX608" s="233" t="str">
        <f>VLOOKUP(Table8[[#This Row],[Country Code]],Table29[],9,FALSE)</f>
        <v>no</v>
      </c>
      <c r="AY608" s="233" t="str">
        <f>VLOOKUP(Table8[[#This Row],[Country Code]],Table29[],10,FALSE)</f>
        <v>no</v>
      </c>
      <c r="AZ608" s="235">
        <f>VLOOKUP(Table8[[#This Row],[Country Code]],Table29[],23,FALSE)</f>
        <v>223.96663405241</v>
      </c>
      <c r="BA608" s="235">
        <f>VLOOKUP(Table8[[#This Row],[Country Code]],Table29[],24,FALSE)</f>
        <v>37.36796885652894</v>
      </c>
      <c r="BB608" s="320"/>
      <c r="BC608" s="320"/>
    </row>
    <row r="609" spans="1:55" ht="60" hidden="1" x14ac:dyDescent="0.25">
      <c r="A609" s="373">
        <v>26777</v>
      </c>
      <c r="B609" s="233" t="str">
        <f>VLOOKUP(Table8[[#This Row],[Document ID]],Table1[],2,FALSE)</f>
        <v>COL</v>
      </c>
      <c r="C609" s="233" t="str">
        <f>VLOOKUP(Table8[[#This Row],[Document ID]],Table1[],3,FALSE)</f>
        <v>Colombia</v>
      </c>
      <c r="D609" s="243" t="str">
        <f>VLOOKUP(Table8[[#This Row],[Document ID]],Table1[],5,FALSE)</f>
        <v>LTS</v>
      </c>
      <c r="E609" s="233" t="str">
        <f>VLOOKUP(Table8[[#This Row],[Document ID]],Table1[],7,FALSE)</f>
        <v>LTS</v>
      </c>
      <c r="F609" s="236" t="str">
        <f>VLOOKUP(Table8[[#This Row],[Document ID]],Table1[],8,FALSE)</f>
        <v>LTS 1.0</v>
      </c>
      <c r="G609" s="236" t="str">
        <f>VLOOKUP(Table8[[#This Row],[Document ID]],Table1[],10,FALSE)</f>
        <v>Active</v>
      </c>
      <c r="H609" s="43" t="s">
        <v>2350</v>
      </c>
      <c r="I609" s="43" t="s">
        <v>2370</v>
      </c>
      <c r="J609" s="44" t="s">
        <v>2418</v>
      </c>
      <c r="K609" s="44" t="s">
        <v>2939</v>
      </c>
      <c r="L609" s="44" t="s">
        <v>2380</v>
      </c>
      <c r="M609" s="43">
        <v>172</v>
      </c>
      <c r="N609" s="113" t="s">
        <v>1113</v>
      </c>
      <c r="O609" s="113"/>
      <c r="P609" s="113"/>
      <c r="Q609" s="113"/>
      <c r="R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t="s">
        <v>1113</v>
      </c>
      <c r="AM609" s="113"/>
      <c r="AN609" s="113"/>
      <c r="AO609" s="44" t="s">
        <v>2334</v>
      </c>
      <c r="AP609" s="43"/>
      <c r="AQ609" s="236" t="str">
        <f>VLOOKUP(Table8[[#This Row],[Instrument]],Def_Targets!$D$73:$E$159,2,FALSE)</f>
        <v>A_Complan</v>
      </c>
      <c r="AR609" s="233" t="str">
        <f>VLOOKUP(Table8[[#This Row],[Country Code]],Table29[],3,FALSE)</f>
        <v>Non-Annex I</v>
      </c>
      <c r="AS609" s="233" t="str">
        <f>VLOOKUP(Table8[[#This Row],[Country Code]],Table29[],4,FALSE)</f>
        <v>Latin America and the Caribbean</v>
      </c>
      <c r="AT609" s="233" t="str">
        <f>VLOOKUP(Table8[[#This Row],[Country Code]],Table29[],5,FALSE)</f>
        <v>Middle-income</v>
      </c>
      <c r="AU609" s="233" t="str">
        <f>VLOOKUP(Table8[[#This Row],[Country Code]],Table29[],6,FALSE)</f>
        <v>no</v>
      </c>
      <c r="AV609" s="233" t="str">
        <f>VLOOKUP(Table8[[#This Row],[Country Code]],Table29[],7,FALSE)</f>
        <v>no</v>
      </c>
      <c r="AW609" s="233" t="str">
        <f>VLOOKUP(Table8[[#This Row],[Country Code]],Table29[],8,FALSE)</f>
        <v>OECD</v>
      </c>
      <c r="AX609" s="233" t="str">
        <f>VLOOKUP(Table8[[#This Row],[Country Code]],Table29[],9,FALSE)</f>
        <v>no</v>
      </c>
      <c r="AY609" s="233" t="str">
        <f>VLOOKUP(Table8[[#This Row],[Country Code]],Table29[],10,FALSE)</f>
        <v>no</v>
      </c>
      <c r="AZ609" s="235">
        <f>VLOOKUP(Table8[[#This Row],[Country Code]],Table29[],23,FALSE)</f>
        <v>223.96663405241</v>
      </c>
      <c r="BA609" s="235">
        <f>VLOOKUP(Table8[[#This Row],[Country Code]],Table29[],24,FALSE)</f>
        <v>37.36796885652894</v>
      </c>
      <c r="BB609" s="320"/>
      <c r="BC609" s="320"/>
    </row>
    <row r="610" spans="1:55" ht="30" hidden="1" x14ac:dyDescent="0.25">
      <c r="A610" s="373">
        <v>26777</v>
      </c>
      <c r="B610" s="233" t="str">
        <f>VLOOKUP(Table8[[#This Row],[Document ID]],Table1[],2,FALSE)</f>
        <v>COL</v>
      </c>
      <c r="C610" s="233" t="str">
        <f>VLOOKUP(Table8[[#This Row],[Document ID]],Table1[],3,FALSE)</f>
        <v>Colombia</v>
      </c>
      <c r="D610" s="243" t="str">
        <f>VLOOKUP(Table8[[#This Row],[Document ID]],Table1[],5,FALSE)</f>
        <v>LTS</v>
      </c>
      <c r="E610" s="233" t="str">
        <f>VLOOKUP(Table8[[#This Row],[Document ID]],Table1[],7,FALSE)</f>
        <v>LTS</v>
      </c>
      <c r="F610" s="236" t="str">
        <f>VLOOKUP(Table8[[#This Row],[Document ID]],Table1[],8,FALSE)</f>
        <v>LTS 1.0</v>
      </c>
      <c r="G610" s="236" t="str">
        <f>VLOOKUP(Table8[[#This Row],[Document ID]],Table1[],10,FALSE)</f>
        <v>Active</v>
      </c>
      <c r="H610" s="43" t="s">
        <v>2350</v>
      </c>
      <c r="I610" s="43" t="s">
        <v>2351</v>
      </c>
      <c r="J610" s="44" t="s">
        <v>2447</v>
      </c>
      <c r="K610" s="44" t="s">
        <v>2940</v>
      </c>
      <c r="L610" s="44" t="s">
        <v>2333</v>
      </c>
      <c r="M610" s="43">
        <v>173</v>
      </c>
      <c r="N610" s="113" t="s">
        <v>1113</v>
      </c>
      <c r="O610" s="113"/>
      <c r="P610" s="113"/>
      <c r="Q610" s="113"/>
      <c r="R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t="s">
        <v>1113</v>
      </c>
      <c r="AM610" s="113"/>
      <c r="AN610" s="113"/>
      <c r="AO610" s="43" t="s">
        <v>2353</v>
      </c>
      <c r="AP610" s="43"/>
      <c r="AQ610" s="236" t="str">
        <f>VLOOKUP(Table8[[#This Row],[Instrument]],Def_Targets!$D$73:$E$159,2,FALSE)</f>
        <v>I_Freighteff</v>
      </c>
      <c r="AR610" s="233" t="str">
        <f>VLOOKUP(Table8[[#This Row],[Country Code]],Table29[],3,FALSE)</f>
        <v>Non-Annex I</v>
      </c>
      <c r="AS610" s="233" t="str">
        <f>VLOOKUP(Table8[[#This Row],[Country Code]],Table29[],4,FALSE)</f>
        <v>Latin America and the Caribbean</v>
      </c>
      <c r="AT610" s="233" t="str">
        <f>VLOOKUP(Table8[[#This Row],[Country Code]],Table29[],5,FALSE)</f>
        <v>Middle-income</v>
      </c>
      <c r="AU610" s="233" t="str">
        <f>VLOOKUP(Table8[[#This Row],[Country Code]],Table29[],6,FALSE)</f>
        <v>no</v>
      </c>
      <c r="AV610" s="233" t="str">
        <f>VLOOKUP(Table8[[#This Row],[Country Code]],Table29[],7,FALSE)</f>
        <v>no</v>
      </c>
      <c r="AW610" s="233" t="str">
        <f>VLOOKUP(Table8[[#This Row],[Country Code]],Table29[],8,FALSE)</f>
        <v>OECD</v>
      </c>
      <c r="AX610" s="233" t="str">
        <f>VLOOKUP(Table8[[#This Row],[Country Code]],Table29[],9,FALSE)</f>
        <v>no</v>
      </c>
      <c r="AY610" s="233" t="str">
        <f>VLOOKUP(Table8[[#This Row],[Country Code]],Table29[],10,FALSE)</f>
        <v>no</v>
      </c>
      <c r="AZ610" s="235">
        <f>VLOOKUP(Table8[[#This Row],[Country Code]],Table29[],23,FALSE)</f>
        <v>223.96663405241</v>
      </c>
      <c r="BA610" s="235">
        <f>VLOOKUP(Table8[[#This Row],[Country Code]],Table29[],24,FALSE)</f>
        <v>37.36796885652894</v>
      </c>
      <c r="BB610" s="320"/>
      <c r="BC610" s="320"/>
    </row>
    <row r="611" spans="1:55" ht="45" hidden="1" x14ac:dyDescent="0.25">
      <c r="A611" s="373">
        <v>26777</v>
      </c>
      <c r="B611" s="233" t="str">
        <f>VLOOKUP(Table8[[#This Row],[Document ID]],Table1[],2,FALSE)</f>
        <v>COL</v>
      </c>
      <c r="C611" s="233" t="str">
        <f>VLOOKUP(Table8[[#This Row],[Document ID]],Table1[],3,FALSE)</f>
        <v>Colombia</v>
      </c>
      <c r="D611" s="243" t="str">
        <f>VLOOKUP(Table8[[#This Row],[Document ID]],Table1[],5,FALSE)</f>
        <v>LTS</v>
      </c>
      <c r="E611" s="233" t="str">
        <f>VLOOKUP(Table8[[#This Row],[Document ID]],Table1[],7,FALSE)</f>
        <v>LTS</v>
      </c>
      <c r="F611" s="236" t="str">
        <f>VLOOKUP(Table8[[#This Row],[Document ID]],Table1[],8,FALSE)</f>
        <v>LTS 1.0</v>
      </c>
      <c r="G611" s="236" t="str">
        <f>VLOOKUP(Table8[[#This Row],[Document ID]],Table1[],10,FALSE)</f>
        <v>Active</v>
      </c>
      <c r="H611" s="44" t="s">
        <v>2329</v>
      </c>
      <c r="I611" s="44" t="s">
        <v>2330</v>
      </c>
      <c r="J611" s="44" t="s">
        <v>2331</v>
      </c>
      <c r="K611" s="44" t="s">
        <v>2941</v>
      </c>
      <c r="L611" s="44" t="s">
        <v>2333</v>
      </c>
      <c r="M611" s="43">
        <v>173</v>
      </c>
      <c r="N611" s="113" t="s">
        <v>1113</v>
      </c>
      <c r="O611" s="113"/>
      <c r="P611" s="113"/>
      <c r="Q611" s="113"/>
      <c r="R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t="s">
        <v>1113</v>
      </c>
      <c r="AM611" s="113"/>
      <c r="AN611" s="113"/>
      <c r="AO611" s="43" t="s">
        <v>2348</v>
      </c>
      <c r="AP611" s="43"/>
      <c r="AQ611" s="236" t="str">
        <f>VLOOKUP(Table8[[#This Row],[Instrument]],Def_Targets!$D$73:$E$159,2,FALSE)</f>
        <v>I_Altfuels</v>
      </c>
      <c r="AR611" s="233" t="str">
        <f>VLOOKUP(Table8[[#This Row],[Country Code]],Table29[],3,FALSE)</f>
        <v>Non-Annex I</v>
      </c>
      <c r="AS611" s="233" t="str">
        <f>VLOOKUP(Table8[[#This Row],[Country Code]],Table29[],4,FALSE)</f>
        <v>Latin America and the Caribbean</v>
      </c>
      <c r="AT611" s="233" t="str">
        <f>VLOOKUP(Table8[[#This Row],[Country Code]],Table29[],5,FALSE)</f>
        <v>Middle-income</v>
      </c>
      <c r="AU611" s="233" t="str">
        <f>VLOOKUP(Table8[[#This Row],[Country Code]],Table29[],6,FALSE)</f>
        <v>no</v>
      </c>
      <c r="AV611" s="233" t="str">
        <f>VLOOKUP(Table8[[#This Row],[Country Code]],Table29[],7,FALSE)</f>
        <v>no</v>
      </c>
      <c r="AW611" s="233" t="str">
        <f>VLOOKUP(Table8[[#This Row],[Country Code]],Table29[],8,FALSE)</f>
        <v>OECD</v>
      </c>
      <c r="AX611" s="233" t="str">
        <f>VLOOKUP(Table8[[#This Row],[Country Code]],Table29[],9,FALSE)</f>
        <v>no</v>
      </c>
      <c r="AY611" s="233" t="str">
        <f>VLOOKUP(Table8[[#This Row],[Country Code]],Table29[],10,FALSE)</f>
        <v>no</v>
      </c>
      <c r="AZ611" s="235">
        <f>VLOOKUP(Table8[[#This Row],[Country Code]],Table29[],23,FALSE)</f>
        <v>223.96663405241</v>
      </c>
      <c r="BA611" s="235">
        <f>VLOOKUP(Table8[[#This Row],[Country Code]],Table29[],24,FALSE)</f>
        <v>37.36796885652894</v>
      </c>
      <c r="BB611" s="320"/>
      <c r="BC611" s="320"/>
    </row>
    <row r="612" spans="1:55" ht="30" hidden="1" x14ac:dyDescent="0.25">
      <c r="A612" s="373">
        <v>26777</v>
      </c>
      <c r="B612" s="233" t="str">
        <f>VLOOKUP(Table8[[#This Row],[Document ID]],Table1[],2,FALSE)</f>
        <v>COL</v>
      </c>
      <c r="C612" s="233" t="str">
        <f>VLOOKUP(Table8[[#This Row],[Document ID]],Table1[],3,FALSE)</f>
        <v>Colombia</v>
      </c>
      <c r="D612" s="243" t="str">
        <f>VLOOKUP(Table8[[#This Row],[Document ID]],Table1[],5,FALSE)</f>
        <v>LTS</v>
      </c>
      <c r="E612" s="233" t="str">
        <f>VLOOKUP(Table8[[#This Row],[Document ID]],Table1[],7,FALSE)</f>
        <v>LTS</v>
      </c>
      <c r="F612" s="236" t="str">
        <f>VLOOKUP(Table8[[#This Row],[Document ID]],Table1[],8,FALSE)</f>
        <v>LTS 1.0</v>
      </c>
      <c r="G612" s="236" t="str">
        <f>VLOOKUP(Table8[[#This Row],[Document ID]],Table1[],10,FALSE)</f>
        <v>Active</v>
      </c>
      <c r="H612" s="43" t="s">
        <v>2484</v>
      </c>
      <c r="I612" s="43" t="s">
        <v>2488</v>
      </c>
      <c r="J612" s="44" t="s">
        <v>2489</v>
      </c>
      <c r="K612" s="44" t="s">
        <v>2942</v>
      </c>
      <c r="L612" s="44" t="s">
        <v>2333</v>
      </c>
      <c r="M612" s="43">
        <v>179</v>
      </c>
      <c r="N612" s="113"/>
      <c r="O612" s="113"/>
      <c r="P612" s="113"/>
      <c r="Q612" s="113"/>
      <c r="R612" s="113"/>
      <c r="S612" s="113"/>
      <c r="T612" s="113"/>
      <c r="U612" s="113"/>
      <c r="V612" s="113"/>
      <c r="W612" s="113"/>
      <c r="X612" s="113"/>
      <c r="Y612" s="113"/>
      <c r="Z612" s="113"/>
      <c r="AA612" s="113"/>
      <c r="AB612" s="113"/>
      <c r="AC612" s="113"/>
      <c r="AD612" s="113"/>
      <c r="AE612" s="113"/>
      <c r="AF612" s="113"/>
      <c r="AG612" s="113"/>
      <c r="AH612" s="113" t="s">
        <v>1113</v>
      </c>
      <c r="AI612" s="113"/>
      <c r="AJ612" s="113"/>
      <c r="AK612" s="113" t="s">
        <v>1113</v>
      </c>
      <c r="AL612" s="113"/>
      <c r="AM612" s="113"/>
      <c r="AN612" s="113"/>
      <c r="AO612" s="44" t="s">
        <v>2334</v>
      </c>
      <c r="AP612" s="43"/>
      <c r="AQ612" s="236" t="str">
        <f>VLOOKUP(Table8[[#This Row],[Instrument]],Def_Targets!$D$73:$E$159,2,FALSE)</f>
        <v>I_Aviation</v>
      </c>
      <c r="AR612" s="233" t="str">
        <f>VLOOKUP(Table8[[#This Row],[Country Code]],Table29[],3,FALSE)</f>
        <v>Non-Annex I</v>
      </c>
      <c r="AS612" s="233" t="str">
        <f>VLOOKUP(Table8[[#This Row],[Country Code]],Table29[],4,FALSE)</f>
        <v>Latin America and the Caribbean</v>
      </c>
      <c r="AT612" s="233" t="str">
        <f>VLOOKUP(Table8[[#This Row],[Country Code]],Table29[],5,FALSE)</f>
        <v>Middle-income</v>
      </c>
      <c r="AU612" s="233" t="str">
        <f>VLOOKUP(Table8[[#This Row],[Country Code]],Table29[],6,FALSE)</f>
        <v>no</v>
      </c>
      <c r="AV612" s="233" t="str">
        <f>VLOOKUP(Table8[[#This Row],[Country Code]],Table29[],7,FALSE)</f>
        <v>no</v>
      </c>
      <c r="AW612" s="233" t="str">
        <f>VLOOKUP(Table8[[#This Row],[Country Code]],Table29[],8,FALSE)</f>
        <v>OECD</v>
      </c>
      <c r="AX612" s="233" t="str">
        <f>VLOOKUP(Table8[[#This Row],[Country Code]],Table29[],9,FALSE)</f>
        <v>no</v>
      </c>
      <c r="AY612" s="233" t="str">
        <f>VLOOKUP(Table8[[#This Row],[Country Code]],Table29[],10,FALSE)</f>
        <v>no</v>
      </c>
      <c r="AZ612" s="235">
        <f>VLOOKUP(Table8[[#This Row],[Country Code]],Table29[],23,FALSE)</f>
        <v>223.96663405241</v>
      </c>
      <c r="BA612" s="235">
        <f>VLOOKUP(Table8[[#This Row],[Country Code]],Table29[],24,FALSE)</f>
        <v>37.36796885652894</v>
      </c>
      <c r="BB612" s="320"/>
      <c r="BC612" s="320"/>
    </row>
    <row r="613" spans="1:55" ht="30" hidden="1" x14ac:dyDescent="0.25">
      <c r="A613" s="373">
        <v>26777</v>
      </c>
      <c r="B613" s="233" t="str">
        <f>VLOOKUP(Table8[[#This Row],[Document ID]],Table1[],2,FALSE)</f>
        <v>COL</v>
      </c>
      <c r="C613" s="233" t="str">
        <f>VLOOKUP(Table8[[#This Row],[Document ID]],Table1[],3,FALSE)</f>
        <v>Colombia</v>
      </c>
      <c r="D613" s="243" t="str">
        <f>VLOOKUP(Table8[[#This Row],[Document ID]],Table1[],5,FALSE)</f>
        <v>LTS</v>
      </c>
      <c r="E613" s="233" t="str">
        <f>VLOOKUP(Table8[[#This Row],[Document ID]],Table1[],7,FALSE)</f>
        <v>LTS</v>
      </c>
      <c r="F613" s="236" t="str">
        <f>VLOOKUP(Table8[[#This Row],[Document ID]],Table1[],8,FALSE)</f>
        <v>LTS 1.0</v>
      </c>
      <c r="G613" s="236" t="str">
        <f>VLOOKUP(Table8[[#This Row],[Document ID]],Table1[],10,FALSE)</f>
        <v>Active</v>
      </c>
      <c r="H613" s="43" t="s">
        <v>2358</v>
      </c>
      <c r="I613" s="43" t="s">
        <v>2359</v>
      </c>
      <c r="J613" s="44" t="s">
        <v>2383</v>
      </c>
      <c r="K613" s="44" t="s">
        <v>2943</v>
      </c>
      <c r="L613" s="44" t="s">
        <v>2333</v>
      </c>
      <c r="M613" s="43">
        <v>178</v>
      </c>
      <c r="N613" s="113"/>
      <c r="O613" s="113"/>
      <c r="P613" s="113"/>
      <c r="Q613" s="113"/>
      <c r="R613" s="113"/>
      <c r="S613" s="113" t="s">
        <v>1113</v>
      </c>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t="s">
        <v>1113</v>
      </c>
      <c r="AO613" s="44" t="s">
        <v>2334</v>
      </c>
      <c r="AP613" s="43"/>
      <c r="AQ613" s="236" t="str">
        <f>VLOOKUP(Table8[[#This Row],[Instrument]],Def_Targets!$D$73:$E$159,2,FALSE)</f>
        <v>I_Emobilitycharging</v>
      </c>
      <c r="AR613" s="233" t="str">
        <f>VLOOKUP(Table8[[#This Row],[Country Code]],Table29[],3,FALSE)</f>
        <v>Non-Annex I</v>
      </c>
      <c r="AS613" s="233" t="str">
        <f>VLOOKUP(Table8[[#This Row],[Country Code]],Table29[],4,FALSE)</f>
        <v>Latin America and the Caribbean</v>
      </c>
      <c r="AT613" s="233" t="str">
        <f>VLOOKUP(Table8[[#This Row],[Country Code]],Table29[],5,FALSE)</f>
        <v>Middle-income</v>
      </c>
      <c r="AU613" s="233" t="str">
        <f>VLOOKUP(Table8[[#This Row],[Country Code]],Table29[],6,FALSE)</f>
        <v>no</v>
      </c>
      <c r="AV613" s="233" t="str">
        <f>VLOOKUP(Table8[[#This Row],[Country Code]],Table29[],7,FALSE)</f>
        <v>no</v>
      </c>
      <c r="AW613" s="233" t="str">
        <f>VLOOKUP(Table8[[#This Row],[Country Code]],Table29[],8,FALSE)</f>
        <v>OECD</v>
      </c>
      <c r="AX613" s="233" t="str">
        <f>VLOOKUP(Table8[[#This Row],[Country Code]],Table29[],9,FALSE)</f>
        <v>no</v>
      </c>
      <c r="AY613" s="233" t="str">
        <f>VLOOKUP(Table8[[#This Row],[Country Code]],Table29[],10,FALSE)</f>
        <v>no</v>
      </c>
      <c r="AZ613" s="235">
        <f>VLOOKUP(Table8[[#This Row],[Country Code]],Table29[],23,FALSE)</f>
        <v>223.96663405241</v>
      </c>
      <c r="BA613" s="235">
        <f>VLOOKUP(Table8[[#This Row],[Country Code]],Table29[],24,FALSE)</f>
        <v>37.36796885652894</v>
      </c>
      <c r="BB613" s="320"/>
      <c r="BC613" s="320"/>
    </row>
    <row r="614" spans="1:55" hidden="1" x14ac:dyDescent="0.25">
      <c r="A614" s="373">
        <v>26777</v>
      </c>
      <c r="B614" s="233" t="str">
        <f>VLOOKUP(Table8[[#This Row],[Document ID]],Table1[],2,FALSE)</f>
        <v>COL</v>
      </c>
      <c r="C614" s="233" t="str">
        <f>VLOOKUP(Table8[[#This Row],[Document ID]],Table1[],3,FALSE)</f>
        <v>Colombia</v>
      </c>
      <c r="D614" s="243" t="str">
        <f>VLOOKUP(Table8[[#This Row],[Document ID]],Table1[],5,FALSE)</f>
        <v>LTS</v>
      </c>
      <c r="E614" s="233" t="str">
        <f>VLOOKUP(Table8[[#This Row],[Document ID]],Table1[],7,FALSE)</f>
        <v>LTS</v>
      </c>
      <c r="F614" s="236" t="str">
        <f>VLOOKUP(Table8[[#This Row],[Document ID]],Table1[],8,FALSE)</f>
        <v>LTS 1.0</v>
      </c>
      <c r="G614" s="236" t="str">
        <f>VLOOKUP(Table8[[#This Row],[Document ID]],Table1[],10,FALSE)</f>
        <v>Active</v>
      </c>
      <c r="H614" s="43" t="s">
        <v>2350</v>
      </c>
      <c r="I614" s="43" t="s">
        <v>2351</v>
      </c>
      <c r="J614" s="44" t="s">
        <v>2447</v>
      </c>
      <c r="K614" s="44" t="s">
        <v>2944</v>
      </c>
      <c r="L614" s="44" t="s">
        <v>2333</v>
      </c>
      <c r="M614" s="43">
        <v>179</v>
      </c>
      <c r="N614" s="113"/>
      <c r="O614" s="113"/>
      <c r="P614" s="113"/>
      <c r="Q614" s="113"/>
      <c r="R614" s="113"/>
      <c r="S614" s="113"/>
      <c r="T614" s="113"/>
      <c r="U614" s="113"/>
      <c r="V614" s="113"/>
      <c r="W614" s="113"/>
      <c r="X614" s="113" t="s">
        <v>1113</v>
      </c>
      <c r="Y614" s="113"/>
      <c r="Z614" s="113" t="s">
        <v>1113</v>
      </c>
      <c r="AA614" s="113"/>
      <c r="AB614" s="113"/>
      <c r="AC614" s="113"/>
      <c r="AD614" s="113"/>
      <c r="AE614" s="113"/>
      <c r="AF614" s="113"/>
      <c r="AG614" s="113"/>
      <c r="AH614" s="113"/>
      <c r="AI614" s="113"/>
      <c r="AJ614" s="113"/>
      <c r="AK614" s="113" t="s">
        <v>1113</v>
      </c>
      <c r="AL614" s="113"/>
      <c r="AM614" s="113"/>
      <c r="AN614" s="113"/>
      <c r="AO614" s="43" t="s">
        <v>2353</v>
      </c>
      <c r="AP614" s="43"/>
      <c r="AQ614" s="236" t="str">
        <f>VLOOKUP(Table8[[#This Row],[Instrument]],Def_Targets!$D$73:$E$159,2,FALSE)</f>
        <v>I_Freighteff</v>
      </c>
      <c r="AR614" s="233" t="str">
        <f>VLOOKUP(Table8[[#This Row],[Country Code]],Table29[],3,FALSE)</f>
        <v>Non-Annex I</v>
      </c>
      <c r="AS614" s="233" t="str">
        <f>VLOOKUP(Table8[[#This Row],[Country Code]],Table29[],4,FALSE)</f>
        <v>Latin America and the Caribbean</v>
      </c>
      <c r="AT614" s="233" t="str">
        <f>VLOOKUP(Table8[[#This Row],[Country Code]],Table29[],5,FALSE)</f>
        <v>Middle-income</v>
      </c>
      <c r="AU614" s="233" t="str">
        <f>VLOOKUP(Table8[[#This Row],[Country Code]],Table29[],6,FALSE)</f>
        <v>no</v>
      </c>
      <c r="AV614" s="233" t="str">
        <f>VLOOKUP(Table8[[#This Row],[Country Code]],Table29[],7,FALSE)</f>
        <v>no</v>
      </c>
      <c r="AW614" s="233" t="str">
        <f>VLOOKUP(Table8[[#This Row],[Country Code]],Table29[],8,FALSE)</f>
        <v>OECD</v>
      </c>
      <c r="AX614" s="233" t="str">
        <f>VLOOKUP(Table8[[#This Row],[Country Code]],Table29[],9,FALSE)</f>
        <v>no</v>
      </c>
      <c r="AY614" s="233" t="str">
        <f>VLOOKUP(Table8[[#This Row],[Country Code]],Table29[],10,FALSE)</f>
        <v>no</v>
      </c>
      <c r="AZ614" s="235">
        <f>VLOOKUP(Table8[[#This Row],[Country Code]],Table29[],23,FALSE)</f>
        <v>223.96663405241</v>
      </c>
      <c r="BA614" s="235">
        <f>VLOOKUP(Table8[[#This Row],[Country Code]],Table29[],24,FALSE)</f>
        <v>37.36796885652894</v>
      </c>
      <c r="BB614" s="320"/>
      <c r="BC614" s="320"/>
    </row>
    <row r="615" spans="1:55" ht="30" hidden="1" x14ac:dyDescent="0.25">
      <c r="A615" s="373">
        <v>26777</v>
      </c>
      <c r="B615" s="233" t="str">
        <f>VLOOKUP(Table8[[#This Row],[Document ID]],Table1[],2,FALSE)</f>
        <v>COL</v>
      </c>
      <c r="C615" s="233" t="str">
        <f>VLOOKUP(Table8[[#This Row],[Document ID]],Table1[],3,FALSE)</f>
        <v>Colombia</v>
      </c>
      <c r="D615" s="243" t="str">
        <f>VLOOKUP(Table8[[#This Row],[Document ID]],Table1[],5,FALSE)</f>
        <v>LTS</v>
      </c>
      <c r="E615" s="233" t="str">
        <f>VLOOKUP(Table8[[#This Row],[Document ID]],Table1[],7,FALSE)</f>
        <v>LTS</v>
      </c>
      <c r="F615" s="236" t="str">
        <f>VLOOKUP(Table8[[#This Row],[Document ID]],Table1[],8,FALSE)</f>
        <v>LTS 1.0</v>
      </c>
      <c r="G615" s="236" t="str">
        <f>VLOOKUP(Table8[[#This Row],[Document ID]],Table1[],10,FALSE)</f>
        <v>Active</v>
      </c>
      <c r="H615" s="44" t="s">
        <v>2338</v>
      </c>
      <c r="I615" s="44" t="s">
        <v>2339</v>
      </c>
      <c r="J615" s="44" t="s">
        <v>2410</v>
      </c>
      <c r="K615" s="44" t="s">
        <v>2945</v>
      </c>
      <c r="L615" s="44" t="s">
        <v>2333</v>
      </c>
      <c r="M615" s="43">
        <v>179</v>
      </c>
      <c r="N615" s="113" t="s">
        <v>1113</v>
      </c>
      <c r="O615" s="113"/>
      <c r="P615" s="113"/>
      <c r="Q615" s="113"/>
      <c r="R615" s="113"/>
      <c r="S615" s="113"/>
      <c r="T615" s="113"/>
      <c r="U615" s="113"/>
      <c r="V615" s="113"/>
      <c r="W615" s="113"/>
      <c r="X615" s="113"/>
      <c r="Y615" s="113"/>
      <c r="Z615" s="113"/>
      <c r="AA615" s="113"/>
      <c r="AB615" s="113"/>
      <c r="AC615" s="113"/>
      <c r="AD615" s="113"/>
      <c r="AE615" s="113"/>
      <c r="AF615" s="113"/>
      <c r="AG615" s="113"/>
      <c r="AH615" s="113"/>
      <c r="AI615" s="113"/>
      <c r="AJ615" s="113"/>
      <c r="AK615" s="113" t="s">
        <v>1113</v>
      </c>
      <c r="AL615" s="113"/>
      <c r="AM615" s="113"/>
      <c r="AN615" s="113"/>
      <c r="AO615" s="44" t="s">
        <v>2334</v>
      </c>
      <c r="AP615" s="43"/>
      <c r="AQ615" s="236" t="str">
        <f>VLOOKUP(Table8[[#This Row],[Instrument]],Def_Targets!$D$73:$E$159,2,FALSE)</f>
        <v>I_VehicleRestrictions</v>
      </c>
      <c r="AR615" s="233" t="str">
        <f>VLOOKUP(Table8[[#This Row],[Country Code]],Table29[],3,FALSE)</f>
        <v>Non-Annex I</v>
      </c>
      <c r="AS615" s="233" t="str">
        <f>VLOOKUP(Table8[[#This Row],[Country Code]],Table29[],4,FALSE)</f>
        <v>Latin America and the Caribbean</v>
      </c>
      <c r="AT615" s="233" t="str">
        <f>VLOOKUP(Table8[[#This Row],[Country Code]],Table29[],5,FALSE)</f>
        <v>Middle-income</v>
      </c>
      <c r="AU615" s="233" t="str">
        <f>VLOOKUP(Table8[[#This Row],[Country Code]],Table29[],6,FALSE)</f>
        <v>no</v>
      </c>
      <c r="AV615" s="233" t="str">
        <f>VLOOKUP(Table8[[#This Row],[Country Code]],Table29[],7,FALSE)</f>
        <v>no</v>
      </c>
      <c r="AW615" s="233" t="str">
        <f>VLOOKUP(Table8[[#This Row],[Country Code]],Table29[],8,FALSE)</f>
        <v>OECD</v>
      </c>
      <c r="AX615" s="233" t="str">
        <f>VLOOKUP(Table8[[#This Row],[Country Code]],Table29[],9,FALSE)</f>
        <v>no</v>
      </c>
      <c r="AY615" s="233" t="str">
        <f>VLOOKUP(Table8[[#This Row],[Country Code]],Table29[],10,FALSE)</f>
        <v>no</v>
      </c>
      <c r="AZ615" s="235">
        <f>VLOOKUP(Table8[[#This Row],[Country Code]],Table29[],23,FALSE)</f>
        <v>223.96663405241</v>
      </c>
      <c r="BA615" s="235">
        <f>VLOOKUP(Table8[[#This Row],[Country Code]],Table29[],24,FALSE)</f>
        <v>37.36796885652894</v>
      </c>
      <c r="BB615" s="320"/>
      <c r="BC615" s="320"/>
    </row>
    <row r="616" spans="1:55" ht="30" hidden="1" x14ac:dyDescent="0.25">
      <c r="A616" s="373">
        <v>26777</v>
      </c>
      <c r="B616" s="233" t="str">
        <f>VLOOKUP(Table8[[#This Row],[Document ID]],Table1[],2,FALSE)</f>
        <v>COL</v>
      </c>
      <c r="C616" s="233" t="str">
        <f>VLOOKUP(Table8[[#This Row],[Document ID]],Table1[],3,FALSE)</f>
        <v>Colombia</v>
      </c>
      <c r="D616" s="243" t="str">
        <f>VLOOKUP(Table8[[#This Row],[Document ID]],Table1[],5,FALSE)</f>
        <v>LTS</v>
      </c>
      <c r="E616" s="233" t="str">
        <f>VLOOKUP(Table8[[#This Row],[Document ID]],Table1[],7,FALSE)</f>
        <v>LTS</v>
      </c>
      <c r="F616" s="236" t="str">
        <f>VLOOKUP(Table8[[#This Row],[Document ID]],Table1[],8,FALSE)</f>
        <v>LTS 1.0</v>
      </c>
      <c r="G616" s="236" t="str">
        <f>VLOOKUP(Table8[[#This Row],[Document ID]],Table1[],10,FALSE)</f>
        <v>Active</v>
      </c>
      <c r="H616" s="43" t="s">
        <v>2343</v>
      </c>
      <c r="I616" s="43" t="s">
        <v>2429</v>
      </c>
      <c r="J616" s="44" t="s">
        <v>2472</v>
      </c>
      <c r="K616" s="44" t="s">
        <v>2946</v>
      </c>
      <c r="L616" s="44" t="s">
        <v>2333</v>
      </c>
      <c r="M616" s="43">
        <v>179</v>
      </c>
      <c r="N616" s="113" t="s">
        <v>1113</v>
      </c>
      <c r="O616" s="113"/>
      <c r="P616" s="113"/>
      <c r="Q616" s="113"/>
      <c r="R616" s="113"/>
      <c r="S616" s="113"/>
      <c r="T616" s="113"/>
      <c r="U616" s="113"/>
      <c r="V616" s="113"/>
      <c r="W616" s="113"/>
      <c r="X616" s="113"/>
      <c r="Y616" s="113"/>
      <c r="Z616" s="113"/>
      <c r="AA616" s="113"/>
      <c r="AB616" s="113"/>
      <c r="AC616" s="113"/>
      <c r="AD616" s="113"/>
      <c r="AE616" s="113"/>
      <c r="AF616" s="113"/>
      <c r="AG616" s="113"/>
      <c r="AH616" s="113"/>
      <c r="AI616" s="113"/>
      <c r="AJ616" s="113"/>
      <c r="AK616" s="113" t="s">
        <v>1113</v>
      </c>
      <c r="AL616" s="113"/>
      <c r="AM616" s="113"/>
      <c r="AN616" s="113"/>
      <c r="AO616" s="44" t="s">
        <v>2334</v>
      </c>
      <c r="AP616" s="43"/>
      <c r="AQ616" s="236" t="str">
        <f>VLOOKUP(Table8[[#This Row],[Instrument]],Def_Targets!$D$73:$E$159,2,FALSE)</f>
        <v>I_Other</v>
      </c>
      <c r="AR616" s="233" t="str">
        <f>VLOOKUP(Table8[[#This Row],[Country Code]],Table29[],3,FALSE)</f>
        <v>Non-Annex I</v>
      </c>
      <c r="AS616" s="233" t="str">
        <f>VLOOKUP(Table8[[#This Row],[Country Code]],Table29[],4,FALSE)</f>
        <v>Latin America and the Caribbean</v>
      </c>
      <c r="AT616" s="233" t="str">
        <f>VLOOKUP(Table8[[#This Row],[Country Code]],Table29[],5,FALSE)</f>
        <v>Middle-income</v>
      </c>
      <c r="AU616" s="233" t="str">
        <f>VLOOKUP(Table8[[#This Row],[Country Code]],Table29[],6,FALSE)</f>
        <v>no</v>
      </c>
      <c r="AV616" s="233" t="str">
        <f>VLOOKUP(Table8[[#This Row],[Country Code]],Table29[],7,FALSE)</f>
        <v>no</v>
      </c>
      <c r="AW616" s="233" t="str">
        <f>VLOOKUP(Table8[[#This Row],[Country Code]],Table29[],8,FALSE)</f>
        <v>OECD</v>
      </c>
      <c r="AX616" s="233" t="str">
        <f>VLOOKUP(Table8[[#This Row],[Country Code]],Table29[],9,FALSE)</f>
        <v>no</v>
      </c>
      <c r="AY616" s="233" t="str">
        <f>VLOOKUP(Table8[[#This Row],[Country Code]],Table29[],10,FALSE)</f>
        <v>no</v>
      </c>
      <c r="AZ616" s="235">
        <f>VLOOKUP(Table8[[#This Row],[Country Code]],Table29[],23,FALSE)</f>
        <v>223.96663405241</v>
      </c>
      <c r="BA616" s="235">
        <f>VLOOKUP(Table8[[#This Row],[Country Code]],Table29[],24,FALSE)</f>
        <v>37.36796885652894</v>
      </c>
      <c r="BB616" s="320"/>
      <c r="BC616" s="320"/>
    </row>
    <row r="617" spans="1:55" ht="30" hidden="1" x14ac:dyDescent="0.25">
      <c r="A617" s="373">
        <v>26777</v>
      </c>
      <c r="B617" s="233" t="str">
        <f>VLOOKUP(Table8[[#This Row],[Document ID]],Table1[],2,FALSE)</f>
        <v>COL</v>
      </c>
      <c r="C617" s="233" t="str">
        <f>VLOOKUP(Table8[[#This Row],[Document ID]],Table1[],3,FALSE)</f>
        <v>Colombia</v>
      </c>
      <c r="D617" s="243" t="str">
        <f>VLOOKUP(Table8[[#This Row],[Document ID]],Table1[],5,FALSE)</f>
        <v>LTS</v>
      </c>
      <c r="E617" s="233" t="str">
        <f>VLOOKUP(Table8[[#This Row],[Document ID]],Table1[],7,FALSE)</f>
        <v>LTS</v>
      </c>
      <c r="F617" s="236" t="str">
        <f>VLOOKUP(Table8[[#This Row],[Document ID]],Table1[],8,FALSE)</f>
        <v>LTS 1.0</v>
      </c>
      <c r="G617" s="236" t="str">
        <f>VLOOKUP(Table8[[#This Row],[Document ID]],Table1[],10,FALSE)</f>
        <v>Active</v>
      </c>
      <c r="H617" s="43" t="s">
        <v>2350</v>
      </c>
      <c r="I617" s="43" t="s">
        <v>2456</v>
      </c>
      <c r="J617" s="44" t="s">
        <v>2643</v>
      </c>
      <c r="K617" s="44" t="s">
        <v>2947</v>
      </c>
      <c r="L617" s="44" t="s">
        <v>2373</v>
      </c>
      <c r="M617" s="43">
        <v>180</v>
      </c>
      <c r="N617" s="113"/>
      <c r="O617" s="113"/>
      <c r="P617" s="113"/>
      <c r="Q617" s="113"/>
      <c r="R617" s="113"/>
      <c r="S617" s="113"/>
      <c r="T617" s="113"/>
      <c r="U617" s="113"/>
      <c r="V617" s="113"/>
      <c r="W617" s="113"/>
      <c r="X617" s="113"/>
      <c r="Y617" s="113"/>
      <c r="Z617" s="113"/>
      <c r="AA617" s="113"/>
      <c r="AB617" s="113"/>
      <c r="AC617" s="113"/>
      <c r="AD617" s="113" t="s">
        <v>1113</v>
      </c>
      <c r="AE617" s="113"/>
      <c r="AF617" s="113"/>
      <c r="AG617" s="113"/>
      <c r="AH617" s="113"/>
      <c r="AI617" s="113"/>
      <c r="AJ617" s="113"/>
      <c r="AK617" s="113" t="s">
        <v>1113</v>
      </c>
      <c r="AL617" s="113"/>
      <c r="AM617" s="113"/>
      <c r="AN617" s="113"/>
      <c r="AO617" s="44" t="s">
        <v>2334</v>
      </c>
      <c r="AP617" s="43"/>
      <c r="AQ617" s="236" t="str">
        <f>VLOOKUP(Table8[[#This Row],[Instrument]],Def_Targets!$D$73:$E$159,2,FALSE)</f>
        <v>S_Intermodality</v>
      </c>
      <c r="AR617" s="233" t="str">
        <f>VLOOKUP(Table8[[#This Row],[Country Code]],Table29[],3,FALSE)</f>
        <v>Non-Annex I</v>
      </c>
      <c r="AS617" s="233" t="str">
        <f>VLOOKUP(Table8[[#This Row],[Country Code]],Table29[],4,FALSE)</f>
        <v>Latin America and the Caribbean</v>
      </c>
      <c r="AT617" s="233" t="str">
        <f>VLOOKUP(Table8[[#This Row],[Country Code]],Table29[],5,FALSE)</f>
        <v>Middle-income</v>
      </c>
      <c r="AU617" s="233" t="str">
        <f>VLOOKUP(Table8[[#This Row],[Country Code]],Table29[],6,FALSE)</f>
        <v>no</v>
      </c>
      <c r="AV617" s="233" t="str">
        <f>VLOOKUP(Table8[[#This Row],[Country Code]],Table29[],7,FALSE)</f>
        <v>no</v>
      </c>
      <c r="AW617" s="233" t="str">
        <f>VLOOKUP(Table8[[#This Row],[Country Code]],Table29[],8,FALSE)</f>
        <v>OECD</v>
      </c>
      <c r="AX617" s="233" t="str">
        <f>VLOOKUP(Table8[[#This Row],[Country Code]],Table29[],9,FALSE)</f>
        <v>no</v>
      </c>
      <c r="AY617" s="233" t="str">
        <f>VLOOKUP(Table8[[#This Row],[Country Code]],Table29[],10,FALSE)</f>
        <v>no</v>
      </c>
      <c r="AZ617" s="235">
        <f>VLOOKUP(Table8[[#This Row],[Country Code]],Table29[],23,FALSE)</f>
        <v>223.96663405241</v>
      </c>
      <c r="BA617" s="235">
        <f>VLOOKUP(Table8[[#This Row],[Country Code]],Table29[],24,FALSE)</f>
        <v>37.36796885652894</v>
      </c>
      <c r="BB617" s="320"/>
      <c r="BC617" s="320"/>
    </row>
    <row r="618" spans="1:55" hidden="1" x14ac:dyDescent="0.25">
      <c r="A618" s="373">
        <v>17563</v>
      </c>
      <c r="B618" s="233" t="str">
        <f>VLOOKUP(Table8[[#This Row],[Document ID]],Table1[],2,FALSE)</f>
        <v>CRI</v>
      </c>
      <c r="C618" s="233" t="str">
        <f>VLOOKUP(Table8[[#This Row],[Document ID]],Table1[],3,FALSE)</f>
        <v>Costa Rica</v>
      </c>
      <c r="D618" s="243" t="str">
        <f>VLOOKUP(Table8[[#This Row],[Document ID]],Table1[],5,FALSE)</f>
        <v>LTS</v>
      </c>
      <c r="E618" s="233" t="str">
        <f>VLOOKUP(Table8[[#This Row],[Document ID]],Table1[],7,FALSE)</f>
        <v>LTS</v>
      </c>
      <c r="F618" s="233" t="str">
        <f>VLOOKUP(Table8[[#This Row],[Document ID]],Table1[],8,FALSE)</f>
        <v>LTS 1.0</v>
      </c>
      <c r="G618" s="233" t="str">
        <f>VLOOKUP(Table8[[#This Row],[Document ID]],Table1[],10,FALSE)</f>
        <v>Active</v>
      </c>
      <c r="H618" s="44" t="s">
        <v>2338</v>
      </c>
      <c r="I618" s="44" t="s">
        <v>2339</v>
      </c>
      <c r="J618" s="44" t="s">
        <v>2416</v>
      </c>
      <c r="K618" s="44" t="s">
        <v>2948</v>
      </c>
      <c r="L618" s="44" t="s">
        <v>2333</v>
      </c>
      <c r="M618" s="43">
        <v>38</v>
      </c>
      <c r="N618" s="113" t="s">
        <v>1113</v>
      </c>
      <c r="O618" s="113"/>
      <c r="P618" s="113"/>
      <c r="Q618" s="113"/>
      <c r="R618" s="113"/>
      <c r="S618" s="113"/>
      <c r="T618" s="113"/>
      <c r="U618" s="113"/>
      <c r="V618" s="113"/>
      <c r="W618" s="113"/>
      <c r="X618" s="113"/>
      <c r="Y618" s="113"/>
      <c r="Z618" s="113"/>
      <c r="AA618" s="113"/>
      <c r="AB618" s="113"/>
      <c r="AC618" s="113"/>
      <c r="AD618" s="113"/>
      <c r="AE618" s="113"/>
      <c r="AF618" s="113"/>
      <c r="AG618" s="113"/>
      <c r="AH618" s="113"/>
      <c r="AI618" s="113"/>
      <c r="AJ618" s="113"/>
      <c r="AK618" s="319" t="s">
        <v>1113</v>
      </c>
      <c r="AL618" s="113"/>
      <c r="AM618" s="113"/>
      <c r="AN618" s="113"/>
      <c r="AO618" s="44" t="s">
        <v>2334</v>
      </c>
      <c r="AP618" s="43"/>
      <c r="AQ618" s="236" t="str">
        <f>VLOOKUP(Table8[[#This Row],[Instrument]],Def_Targets!$D$73:$E$159,2,FALSE)</f>
        <v>I_Vehiclescrappage</v>
      </c>
      <c r="AR618" s="233" t="str">
        <f>VLOOKUP(Table8[[#This Row],[Country Code]],Table29[],3,FALSE)</f>
        <v>Non-Annex I</v>
      </c>
      <c r="AS618" s="233" t="str">
        <f>VLOOKUP(Table8[[#This Row],[Country Code]],Table29[],4,FALSE)</f>
        <v>Latin America and the Caribbean</v>
      </c>
      <c r="AT618" s="233" t="str">
        <f>VLOOKUP(Table8[[#This Row],[Country Code]],Table29[],5,FALSE)</f>
        <v>Middle-income</v>
      </c>
      <c r="AU618" s="233" t="str">
        <f>VLOOKUP(Table8[[#This Row],[Country Code]],Table29[],6,FALSE)</f>
        <v>no</v>
      </c>
      <c r="AV618" s="233" t="str">
        <f>VLOOKUP(Table8[[#This Row],[Country Code]],Table29[],7,FALSE)</f>
        <v>no</v>
      </c>
      <c r="AW618" s="233" t="str">
        <f>VLOOKUP(Table8[[#This Row],[Country Code]],Table29[],8,FALSE)</f>
        <v>OECD</v>
      </c>
      <c r="AX618" s="233" t="str">
        <f>VLOOKUP(Table8[[#This Row],[Country Code]],Table29[],9,FALSE)</f>
        <v>no</v>
      </c>
      <c r="AY618" s="233" t="str">
        <f>VLOOKUP(Table8[[#This Row],[Country Code]],Table29[],10,FALSE)</f>
        <v>no</v>
      </c>
      <c r="AZ618" s="235">
        <f>VLOOKUP(Table8[[#This Row],[Country Code]],Table29[],23,FALSE)</f>
        <v>16.468143919330998</v>
      </c>
      <c r="BA618" s="235">
        <f>VLOOKUP(Table8[[#This Row],[Country Code]],Table29[],24,FALSE)</f>
        <v>6.1699800179976929</v>
      </c>
      <c r="BB618" s="320"/>
      <c r="BC618" s="320"/>
    </row>
    <row r="619" spans="1:55" ht="45" hidden="1" x14ac:dyDescent="0.25">
      <c r="A619" s="373">
        <v>17563</v>
      </c>
      <c r="B619" s="233" t="str">
        <f>VLOOKUP(Table8[[#This Row],[Document ID]],Table1[],2,FALSE)</f>
        <v>CRI</v>
      </c>
      <c r="C619" s="233" t="str">
        <f>VLOOKUP(Table8[[#This Row],[Document ID]],Table1[],3,FALSE)</f>
        <v>Costa Rica</v>
      </c>
      <c r="D619" s="243" t="str">
        <f>VLOOKUP(Table8[[#This Row],[Document ID]],Table1[],5,FALSE)</f>
        <v>LTS</v>
      </c>
      <c r="E619" s="233" t="str">
        <f>VLOOKUP(Table8[[#This Row],[Document ID]],Table1[],7,FALSE)</f>
        <v>LTS</v>
      </c>
      <c r="F619" s="233" t="str">
        <f>VLOOKUP(Table8[[#This Row],[Document ID]],Table1[],8,FALSE)</f>
        <v>LTS 1.0</v>
      </c>
      <c r="G619" s="233" t="str">
        <f>VLOOKUP(Table8[[#This Row],[Document ID]],Table1[],10,FALSE)</f>
        <v>Active</v>
      </c>
      <c r="H619" s="44" t="s">
        <v>2338</v>
      </c>
      <c r="I619" s="44" t="s">
        <v>2339</v>
      </c>
      <c r="J619" s="44" t="s">
        <v>2410</v>
      </c>
      <c r="K619" s="44" t="s">
        <v>2949</v>
      </c>
      <c r="L619" s="44" t="s">
        <v>2333</v>
      </c>
      <c r="M619" s="43">
        <v>39</v>
      </c>
      <c r="N619" s="113"/>
      <c r="O619" s="113"/>
      <c r="P619" s="113"/>
      <c r="Q619" s="113"/>
      <c r="R619" s="113"/>
      <c r="S619" s="113" t="s">
        <v>1113</v>
      </c>
      <c r="T619" s="113"/>
      <c r="U619" s="113"/>
      <c r="V619" s="113"/>
      <c r="W619" s="113"/>
      <c r="X619" s="113"/>
      <c r="Y619" s="113"/>
      <c r="Z619" s="113"/>
      <c r="AA619" s="113"/>
      <c r="AB619" s="113"/>
      <c r="AC619" s="113"/>
      <c r="AD619" s="113"/>
      <c r="AE619" s="113"/>
      <c r="AF619" s="113"/>
      <c r="AG619" s="113"/>
      <c r="AH619" s="113"/>
      <c r="AI619" s="113"/>
      <c r="AJ619" s="113"/>
      <c r="AK619" s="319" t="s">
        <v>1113</v>
      </c>
      <c r="AL619" s="113"/>
      <c r="AM619" s="113"/>
      <c r="AN619" s="113"/>
      <c r="AO619" s="44" t="s">
        <v>2334</v>
      </c>
      <c r="AP619" s="43"/>
      <c r="AQ619" s="236" t="str">
        <f>VLOOKUP(Table8[[#This Row],[Instrument]],Def_Targets!$D$73:$E$159,2,FALSE)</f>
        <v>I_VehicleRestrictions</v>
      </c>
      <c r="AR619" s="233" t="str">
        <f>VLOOKUP(Table8[[#This Row],[Country Code]],Table29[],3,FALSE)</f>
        <v>Non-Annex I</v>
      </c>
      <c r="AS619" s="233" t="str">
        <f>VLOOKUP(Table8[[#This Row],[Country Code]],Table29[],4,FALSE)</f>
        <v>Latin America and the Caribbean</v>
      </c>
      <c r="AT619" s="233" t="str">
        <f>VLOOKUP(Table8[[#This Row],[Country Code]],Table29[],5,FALSE)</f>
        <v>Middle-income</v>
      </c>
      <c r="AU619" s="233" t="str">
        <f>VLOOKUP(Table8[[#This Row],[Country Code]],Table29[],6,FALSE)</f>
        <v>no</v>
      </c>
      <c r="AV619" s="233" t="str">
        <f>VLOOKUP(Table8[[#This Row],[Country Code]],Table29[],7,FALSE)</f>
        <v>no</v>
      </c>
      <c r="AW619" s="233" t="str">
        <f>VLOOKUP(Table8[[#This Row],[Country Code]],Table29[],8,FALSE)</f>
        <v>OECD</v>
      </c>
      <c r="AX619" s="233" t="str">
        <f>VLOOKUP(Table8[[#This Row],[Country Code]],Table29[],9,FALSE)</f>
        <v>no</v>
      </c>
      <c r="AY619" s="233" t="str">
        <f>VLOOKUP(Table8[[#This Row],[Country Code]],Table29[],10,FALSE)</f>
        <v>no</v>
      </c>
      <c r="AZ619" s="235">
        <f>VLOOKUP(Table8[[#This Row],[Country Code]],Table29[],23,FALSE)</f>
        <v>16.468143919330998</v>
      </c>
      <c r="BA619" s="235">
        <f>VLOOKUP(Table8[[#This Row],[Country Code]],Table29[],24,FALSE)</f>
        <v>6.1699800179976929</v>
      </c>
      <c r="BB619" s="320"/>
      <c r="BC619" s="320"/>
    </row>
    <row r="620" spans="1:55" ht="45" hidden="1" x14ac:dyDescent="0.25">
      <c r="A620" s="373">
        <v>17563</v>
      </c>
      <c r="B620" s="233" t="str">
        <f>VLOOKUP(Table8[[#This Row],[Document ID]],Table1[],2,FALSE)</f>
        <v>CRI</v>
      </c>
      <c r="C620" s="233" t="str">
        <f>VLOOKUP(Table8[[#This Row],[Document ID]],Table1[],3,FALSE)</f>
        <v>Costa Rica</v>
      </c>
      <c r="D620" s="243" t="str">
        <f>VLOOKUP(Table8[[#This Row],[Document ID]],Table1[],5,FALSE)</f>
        <v>LTS</v>
      </c>
      <c r="E620" s="233" t="str">
        <f>VLOOKUP(Table8[[#This Row],[Document ID]],Table1[],7,FALSE)</f>
        <v>LTS</v>
      </c>
      <c r="F620" s="233" t="str">
        <f>VLOOKUP(Table8[[#This Row],[Document ID]],Table1[],8,FALSE)</f>
        <v>LTS 1.0</v>
      </c>
      <c r="G620" s="233" t="str">
        <f>VLOOKUP(Table8[[#This Row],[Document ID]],Table1[],10,FALSE)</f>
        <v>Active</v>
      </c>
      <c r="H620" s="43" t="s">
        <v>2343</v>
      </c>
      <c r="I620" s="43" t="s">
        <v>2344</v>
      </c>
      <c r="J620" s="44" t="s">
        <v>2345</v>
      </c>
      <c r="K620" s="44" t="s">
        <v>2950</v>
      </c>
      <c r="L620" s="44" t="s">
        <v>2347</v>
      </c>
      <c r="M620" s="43">
        <v>32</v>
      </c>
      <c r="N620" s="113"/>
      <c r="O620" s="113"/>
      <c r="P620" s="113"/>
      <c r="Q620" s="113"/>
      <c r="R620" s="113"/>
      <c r="S620" s="113"/>
      <c r="T620" s="113"/>
      <c r="U620" s="113"/>
      <c r="V620" s="113"/>
      <c r="W620" s="113"/>
      <c r="X620" s="113"/>
      <c r="Y620" s="113" t="s">
        <v>1113</v>
      </c>
      <c r="Z620" s="113"/>
      <c r="AA620" s="113"/>
      <c r="AB620" s="113"/>
      <c r="AC620" s="113"/>
      <c r="AD620" s="113"/>
      <c r="AE620" s="113"/>
      <c r="AF620" s="113"/>
      <c r="AG620" s="113"/>
      <c r="AH620" s="113"/>
      <c r="AI620" s="113"/>
      <c r="AJ620" s="113"/>
      <c r="AK620" s="319" t="s">
        <v>1113</v>
      </c>
      <c r="AL620" s="113"/>
      <c r="AM620" s="113"/>
      <c r="AN620" s="113"/>
      <c r="AO620" s="43" t="s">
        <v>2348</v>
      </c>
      <c r="AP620" s="43"/>
      <c r="AQ620" s="236" t="str">
        <f>VLOOKUP(Table8[[#This Row],[Instrument]],Def_Targets!$D$73:$E$159,2,FALSE)</f>
        <v>S_PublicTransport</v>
      </c>
      <c r="AR620" s="233" t="str">
        <f>VLOOKUP(Table8[[#This Row],[Country Code]],Table29[],3,FALSE)</f>
        <v>Non-Annex I</v>
      </c>
      <c r="AS620" s="233" t="str">
        <f>VLOOKUP(Table8[[#This Row],[Country Code]],Table29[],4,FALSE)</f>
        <v>Latin America and the Caribbean</v>
      </c>
      <c r="AT620" s="233" t="str">
        <f>VLOOKUP(Table8[[#This Row],[Country Code]],Table29[],5,FALSE)</f>
        <v>Middle-income</v>
      </c>
      <c r="AU620" s="233" t="str">
        <f>VLOOKUP(Table8[[#This Row],[Country Code]],Table29[],6,FALSE)</f>
        <v>no</v>
      </c>
      <c r="AV620" s="233" t="str">
        <f>VLOOKUP(Table8[[#This Row],[Country Code]],Table29[],7,FALSE)</f>
        <v>no</v>
      </c>
      <c r="AW620" s="233" t="str">
        <f>VLOOKUP(Table8[[#This Row],[Country Code]],Table29[],8,FALSE)</f>
        <v>OECD</v>
      </c>
      <c r="AX620" s="233" t="str">
        <f>VLOOKUP(Table8[[#This Row],[Country Code]],Table29[],9,FALSE)</f>
        <v>no</v>
      </c>
      <c r="AY620" s="233" t="str">
        <f>VLOOKUP(Table8[[#This Row],[Country Code]],Table29[],10,FALSE)</f>
        <v>no</v>
      </c>
      <c r="AZ620" s="235">
        <f>VLOOKUP(Table8[[#This Row],[Country Code]],Table29[],23,FALSE)</f>
        <v>16.468143919330998</v>
      </c>
      <c r="BA620" s="235">
        <f>VLOOKUP(Table8[[#This Row],[Country Code]],Table29[],24,FALSE)</f>
        <v>6.1699800179976929</v>
      </c>
      <c r="BB620" s="320"/>
      <c r="BC620" s="320"/>
    </row>
    <row r="621" spans="1:55" ht="30" hidden="1" x14ac:dyDescent="0.25">
      <c r="A621" s="373">
        <v>17563</v>
      </c>
      <c r="B621" s="233" t="str">
        <f>VLOOKUP(Table8[[#This Row],[Document ID]],Table1[],2,FALSE)</f>
        <v>CRI</v>
      </c>
      <c r="C621" s="233" t="str">
        <f>VLOOKUP(Table8[[#This Row],[Document ID]],Table1[],3,FALSE)</f>
        <v>Costa Rica</v>
      </c>
      <c r="D621" s="243" t="str">
        <f>VLOOKUP(Table8[[#This Row],[Document ID]],Table1[],5,FALSE)</f>
        <v>LTS</v>
      </c>
      <c r="E621" s="233" t="str">
        <f>VLOOKUP(Table8[[#This Row],[Document ID]],Table1[],7,FALSE)</f>
        <v>LTS</v>
      </c>
      <c r="F621" s="233" t="str">
        <f>VLOOKUP(Table8[[#This Row],[Document ID]],Table1[],8,FALSE)</f>
        <v>LTS 1.0</v>
      </c>
      <c r="G621" s="233" t="str">
        <f>VLOOKUP(Table8[[#This Row],[Document ID]],Table1[],10,FALSE)</f>
        <v>Active</v>
      </c>
      <c r="H621" s="43" t="s">
        <v>2343</v>
      </c>
      <c r="I621" s="43" t="s">
        <v>2429</v>
      </c>
      <c r="J621" s="44" t="s">
        <v>2513</v>
      </c>
      <c r="K621" s="44" t="s">
        <v>2951</v>
      </c>
      <c r="L621" s="44" t="s">
        <v>2347</v>
      </c>
      <c r="M621" s="43">
        <v>32</v>
      </c>
      <c r="N621" s="113"/>
      <c r="O621" s="113"/>
      <c r="P621" s="113"/>
      <c r="Q621" s="113"/>
      <c r="R621" s="113"/>
      <c r="S621" s="113"/>
      <c r="T621" s="113"/>
      <c r="U621" s="113"/>
      <c r="V621" s="113"/>
      <c r="W621" s="113"/>
      <c r="X621" s="113"/>
      <c r="Y621" s="113" t="s">
        <v>1113</v>
      </c>
      <c r="Z621" s="113"/>
      <c r="AA621" s="113"/>
      <c r="AB621" s="113"/>
      <c r="AC621" s="113" t="s">
        <v>1113</v>
      </c>
      <c r="AD621" s="113"/>
      <c r="AE621" s="113"/>
      <c r="AF621" s="113"/>
      <c r="AG621" s="113"/>
      <c r="AH621" s="113"/>
      <c r="AI621" s="113"/>
      <c r="AJ621" s="113"/>
      <c r="AK621" s="319" t="s">
        <v>1113</v>
      </c>
      <c r="AL621" s="113"/>
      <c r="AM621" s="113"/>
      <c r="AN621" s="113"/>
      <c r="AO621" s="43" t="s">
        <v>2348</v>
      </c>
      <c r="AP621" s="43"/>
      <c r="AQ621" s="236" t="str">
        <f>VLOOKUP(Table8[[#This Row],[Instrument]],Def_Targets!$D$73:$E$159,2,FALSE)</f>
        <v>S_Sharedmob</v>
      </c>
      <c r="AR621" s="233" t="str">
        <f>VLOOKUP(Table8[[#This Row],[Country Code]],Table29[],3,FALSE)</f>
        <v>Non-Annex I</v>
      </c>
      <c r="AS621" s="233" t="str">
        <f>VLOOKUP(Table8[[#This Row],[Country Code]],Table29[],4,FALSE)</f>
        <v>Latin America and the Caribbean</v>
      </c>
      <c r="AT621" s="233" t="str">
        <f>VLOOKUP(Table8[[#This Row],[Country Code]],Table29[],5,FALSE)</f>
        <v>Middle-income</v>
      </c>
      <c r="AU621" s="233" t="str">
        <f>VLOOKUP(Table8[[#This Row],[Country Code]],Table29[],6,FALSE)</f>
        <v>no</v>
      </c>
      <c r="AV621" s="233" t="str">
        <f>VLOOKUP(Table8[[#This Row],[Country Code]],Table29[],7,FALSE)</f>
        <v>no</v>
      </c>
      <c r="AW621" s="233" t="str">
        <f>VLOOKUP(Table8[[#This Row],[Country Code]],Table29[],8,FALSE)</f>
        <v>OECD</v>
      </c>
      <c r="AX621" s="233" t="str">
        <f>VLOOKUP(Table8[[#This Row],[Country Code]],Table29[],9,FALSE)</f>
        <v>no</v>
      </c>
      <c r="AY621" s="233" t="str">
        <f>VLOOKUP(Table8[[#This Row],[Country Code]],Table29[],10,FALSE)</f>
        <v>no</v>
      </c>
      <c r="AZ621" s="235">
        <f>VLOOKUP(Table8[[#This Row],[Country Code]],Table29[],23,FALSE)</f>
        <v>16.468143919330998</v>
      </c>
      <c r="BA621" s="235">
        <f>VLOOKUP(Table8[[#This Row],[Country Code]],Table29[],24,FALSE)</f>
        <v>6.1699800179976929</v>
      </c>
      <c r="BB621" s="320"/>
      <c r="BC621" s="320"/>
    </row>
    <row r="622" spans="1:55" hidden="1" x14ac:dyDescent="0.25">
      <c r="A622" s="373">
        <v>17563</v>
      </c>
      <c r="B622" s="233" t="str">
        <f>VLOOKUP(Table8[[#This Row],[Document ID]],Table1[],2,FALSE)</f>
        <v>CRI</v>
      </c>
      <c r="C622" s="233" t="str">
        <f>VLOOKUP(Table8[[#This Row],[Document ID]],Table1[],3,FALSE)</f>
        <v>Costa Rica</v>
      </c>
      <c r="D622" s="243" t="str">
        <f>VLOOKUP(Table8[[#This Row],[Document ID]],Table1[],5,FALSE)</f>
        <v>LTS</v>
      </c>
      <c r="E622" s="233" t="str">
        <f>VLOOKUP(Table8[[#This Row],[Document ID]],Table1[],7,FALSE)</f>
        <v>LTS</v>
      </c>
      <c r="F622" s="233" t="str">
        <f>VLOOKUP(Table8[[#This Row],[Document ID]],Table1[],8,FALSE)</f>
        <v>LTS 1.0</v>
      </c>
      <c r="G622" s="233" t="str">
        <f>VLOOKUP(Table8[[#This Row],[Document ID]],Table1[],10,FALSE)</f>
        <v>Active</v>
      </c>
      <c r="H622" s="43" t="s">
        <v>2350</v>
      </c>
      <c r="I622" s="43" t="s">
        <v>2456</v>
      </c>
      <c r="J622" s="44" t="s">
        <v>2643</v>
      </c>
      <c r="K622" s="44" t="s">
        <v>2952</v>
      </c>
      <c r="L622" s="44" t="s">
        <v>2347</v>
      </c>
      <c r="M622" s="43">
        <v>32</v>
      </c>
      <c r="N622" s="113"/>
      <c r="O622" s="113"/>
      <c r="P622" s="113"/>
      <c r="Q622" s="113"/>
      <c r="R622" s="113"/>
      <c r="S622" s="113"/>
      <c r="T622" s="113"/>
      <c r="U622" s="113"/>
      <c r="V622" s="113"/>
      <c r="W622" s="113"/>
      <c r="X622" s="113"/>
      <c r="Y622" s="113" t="s">
        <v>1113</v>
      </c>
      <c r="Z622" s="113"/>
      <c r="AA622" s="113"/>
      <c r="AB622" s="113"/>
      <c r="AC622" s="113" t="s">
        <v>1113</v>
      </c>
      <c r="AD622" s="113"/>
      <c r="AE622" s="113"/>
      <c r="AF622" s="113"/>
      <c r="AG622" s="113"/>
      <c r="AH622" s="113"/>
      <c r="AI622" s="113"/>
      <c r="AJ622" s="113"/>
      <c r="AK622" s="319" t="s">
        <v>1113</v>
      </c>
      <c r="AL622" s="113"/>
      <c r="AM622" s="113"/>
      <c r="AN622" s="113"/>
      <c r="AO622" s="43" t="s">
        <v>2348</v>
      </c>
      <c r="AP622" s="43"/>
      <c r="AQ622" s="236" t="str">
        <f>VLOOKUP(Table8[[#This Row],[Instrument]],Def_Targets!$D$73:$E$159,2,FALSE)</f>
        <v>S_Intermodality</v>
      </c>
      <c r="AR622" s="233" t="str">
        <f>VLOOKUP(Table8[[#This Row],[Country Code]],Table29[],3,FALSE)</f>
        <v>Non-Annex I</v>
      </c>
      <c r="AS622" s="233" t="str">
        <f>VLOOKUP(Table8[[#This Row],[Country Code]],Table29[],4,FALSE)</f>
        <v>Latin America and the Caribbean</v>
      </c>
      <c r="AT622" s="233" t="str">
        <f>VLOOKUP(Table8[[#This Row],[Country Code]],Table29[],5,FALSE)</f>
        <v>Middle-income</v>
      </c>
      <c r="AU622" s="233" t="str">
        <f>VLOOKUP(Table8[[#This Row],[Country Code]],Table29[],6,FALSE)</f>
        <v>no</v>
      </c>
      <c r="AV622" s="233" t="str">
        <f>VLOOKUP(Table8[[#This Row],[Country Code]],Table29[],7,FALSE)</f>
        <v>no</v>
      </c>
      <c r="AW622" s="233" t="str">
        <f>VLOOKUP(Table8[[#This Row],[Country Code]],Table29[],8,FALSE)</f>
        <v>OECD</v>
      </c>
      <c r="AX622" s="233" t="str">
        <f>VLOOKUP(Table8[[#This Row],[Country Code]],Table29[],9,FALSE)</f>
        <v>no</v>
      </c>
      <c r="AY622" s="233" t="str">
        <f>VLOOKUP(Table8[[#This Row],[Country Code]],Table29[],10,FALSE)</f>
        <v>no</v>
      </c>
      <c r="AZ622" s="235">
        <f>VLOOKUP(Table8[[#This Row],[Country Code]],Table29[],23,FALSE)</f>
        <v>16.468143919330998</v>
      </c>
      <c r="BA622" s="235">
        <f>VLOOKUP(Table8[[#This Row],[Country Code]],Table29[],24,FALSE)</f>
        <v>6.1699800179976929</v>
      </c>
      <c r="BB622" s="320"/>
      <c r="BC622" s="320"/>
    </row>
    <row r="623" spans="1:55" ht="30" hidden="1" x14ac:dyDescent="0.25">
      <c r="A623" s="373">
        <v>17563</v>
      </c>
      <c r="B623" s="233" t="str">
        <f>VLOOKUP(Table8[[#This Row],[Document ID]],Table1[],2,FALSE)</f>
        <v>CRI</v>
      </c>
      <c r="C623" s="233" t="str">
        <f>VLOOKUP(Table8[[#This Row],[Document ID]],Table1[],3,FALSE)</f>
        <v>Costa Rica</v>
      </c>
      <c r="D623" s="243" t="str">
        <f>VLOOKUP(Table8[[#This Row],[Document ID]],Table1[],5,FALSE)</f>
        <v>LTS</v>
      </c>
      <c r="E623" s="233" t="str">
        <f>VLOOKUP(Table8[[#This Row],[Document ID]],Table1[],7,FALSE)</f>
        <v>LTS</v>
      </c>
      <c r="F623" s="233" t="str">
        <f>VLOOKUP(Table8[[#This Row],[Document ID]],Table1[],8,FALSE)</f>
        <v>LTS 1.0</v>
      </c>
      <c r="G623" s="233" t="str">
        <f>VLOOKUP(Table8[[#This Row],[Document ID]],Table1[],10,FALSE)</f>
        <v>Active</v>
      </c>
      <c r="H623" s="43" t="s">
        <v>2350</v>
      </c>
      <c r="I623" s="43" t="s">
        <v>2370</v>
      </c>
      <c r="J623" s="44" t="s">
        <v>2418</v>
      </c>
      <c r="K623" s="44" t="s">
        <v>2953</v>
      </c>
      <c r="L623" s="44" t="s">
        <v>2373</v>
      </c>
      <c r="M623" s="44">
        <v>32</v>
      </c>
      <c r="N623" s="113" t="s">
        <v>1113</v>
      </c>
      <c r="O623" s="113"/>
      <c r="P623" s="113"/>
      <c r="Q623" s="113"/>
      <c r="R623" s="113"/>
      <c r="S623" s="113"/>
      <c r="T623" s="113"/>
      <c r="U623" s="113"/>
      <c r="V623" s="113"/>
      <c r="W623" s="113"/>
      <c r="X623" s="113"/>
      <c r="Y623" s="113"/>
      <c r="Z623" s="113"/>
      <c r="AA623" s="113"/>
      <c r="AB623" s="113"/>
      <c r="AC623" s="113"/>
      <c r="AD623" s="113"/>
      <c r="AE623" s="113"/>
      <c r="AF623" s="113"/>
      <c r="AG623" s="113"/>
      <c r="AH623" s="113"/>
      <c r="AI623" s="113"/>
      <c r="AJ623" s="113"/>
      <c r="AK623" s="319" t="s">
        <v>1113</v>
      </c>
      <c r="AL623" s="113"/>
      <c r="AM623" s="113"/>
      <c r="AN623" s="113"/>
      <c r="AO623" s="44" t="s">
        <v>2334</v>
      </c>
      <c r="AP623" s="44"/>
      <c r="AQ623" s="236" t="str">
        <f>VLOOKUP(Table8[[#This Row],[Instrument]],Def_Targets!$D$73:$E$159,2,FALSE)</f>
        <v>A_Complan</v>
      </c>
      <c r="AR623" s="233" t="str">
        <f>VLOOKUP(Table8[[#This Row],[Country Code]],Table29[],3,FALSE)</f>
        <v>Non-Annex I</v>
      </c>
      <c r="AS623" s="233" t="str">
        <f>VLOOKUP(Table8[[#This Row],[Country Code]],Table29[],4,FALSE)</f>
        <v>Latin America and the Caribbean</v>
      </c>
      <c r="AT623" s="233" t="str">
        <f>VLOOKUP(Table8[[#This Row],[Country Code]],Table29[],5,FALSE)</f>
        <v>Middle-income</v>
      </c>
      <c r="AU623" s="233" t="str">
        <f>VLOOKUP(Table8[[#This Row],[Country Code]],Table29[],6,FALSE)</f>
        <v>no</v>
      </c>
      <c r="AV623" s="233" t="str">
        <f>VLOOKUP(Table8[[#This Row],[Country Code]],Table29[],7,FALSE)</f>
        <v>no</v>
      </c>
      <c r="AW623" s="233" t="str">
        <f>VLOOKUP(Table8[[#This Row],[Country Code]],Table29[],8,FALSE)</f>
        <v>OECD</v>
      </c>
      <c r="AX623" s="233" t="str">
        <f>VLOOKUP(Table8[[#This Row],[Country Code]],Table29[],9,FALSE)</f>
        <v>no</v>
      </c>
      <c r="AY623" s="233" t="str">
        <f>VLOOKUP(Table8[[#This Row],[Country Code]],Table29[],10,FALSE)</f>
        <v>no</v>
      </c>
      <c r="AZ623" s="235">
        <f>VLOOKUP(Table8[[#This Row],[Country Code]],Table29[],23,FALSE)</f>
        <v>16.468143919330998</v>
      </c>
      <c r="BA623" s="235">
        <f>VLOOKUP(Table8[[#This Row],[Country Code]],Table29[],24,FALSE)</f>
        <v>6.1699800179976929</v>
      </c>
      <c r="BB623" s="320"/>
      <c r="BC623" s="320"/>
    </row>
    <row r="624" spans="1:55" ht="45" hidden="1" x14ac:dyDescent="0.25">
      <c r="A624" s="373">
        <v>17563</v>
      </c>
      <c r="B624" s="233" t="str">
        <f>VLOOKUP(Table8[[#This Row],[Document ID]],Table1[],2,FALSE)</f>
        <v>CRI</v>
      </c>
      <c r="C624" s="233" t="str">
        <f>VLOOKUP(Table8[[#This Row],[Document ID]],Table1[],3,FALSE)</f>
        <v>Costa Rica</v>
      </c>
      <c r="D624" s="243" t="str">
        <f>VLOOKUP(Table8[[#This Row],[Document ID]],Table1[],5,FALSE)</f>
        <v>LTS</v>
      </c>
      <c r="E624" s="233" t="str">
        <f>VLOOKUP(Table8[[#This Row],[Document ID]],Table1[],7,FALSE)</f>
        <v>LTS</v>
      </c>
      <c r="F624" s="233" t="str">
        <f>VLOOKUP(Table8[[#This Row],[Document ID]],Table1[],8,FALSE)</f>
        <v>LTS 1.0</v>
      </c>
      <c r="G624" s="233" t="str">
        <f>VLOOKUP(Table8[[#This Row],[Document ID]],Table1[],10,FALSE)</f>
        <v>Active</v>
      </c>
      <c r="H624" s="43" t="s">
        <v>2358</v>
      </c>
      <c r="I624" s="43" t="s">
        <v>2359</v>
      </c>
      <c r="J624" s="44" t="s">
        <v>2360</v>
      </c>
      <c r="K624" s="44" t="s">
        <v>2954</v>
      </c>
      <c r="L624" s="44" t="s">
        <v>2333</v>
      </c>
      <c r="M624" s="44">
        <v>33</v>
      </c>
      <c r="N624" s="113"/>
      <c r="O624" s="113"/>
      <c r="P624" s="113"/>
      <c r="Q624" s="113"/>
      <c r="R624" s="113"/>
      <c r="S624" s="113"/>
      <c r="T624" s="113"/>
      <c r="U624" s="113"/>
      <c r="V624" s="113"/>
      <c r="W624" s="113"/>
      <c r="X624" s="113"/>
      <c r="Y624" s="113"/>
      <c r="Z624" s="113" t="s">
        <v>1113</v>
      </c>
      <c r="AA624" s="113"/>
      <c r="AB624" s="113"/>
      <c r="AC624" s="113"/>
      <c r="AD624" s="113"/>
      <c r="AE624" s="113"/>
      <c r="AF624" s="113"/>
      <c r="AG624" s="113"/>
      <c r="AH624" s="113"/>
      <c r="AI624" s="113"/>
      <c r="AJ624" s="113"/>
      <c r="AK624" s="113"/>
      <c r="AL624" s="113"/>
      <c r="AM624" s="113"/>
      <c r="AN624" s="113" t="s">
        <v>1113</v>
      </c>
      <c r="AO624" s="44" t="s">
        <v>2334</v>
      </c>
      <c r="AP624" s="44"/>
      <c r="AQ624" s="236" t="str">
        <f>VLOOKUP(Table8[[#This Row],[Instrument]],Def_Targets!$D$73:$E$159,2,FALSE)</f>
        <v>I_Emobility</v>
      </c>
      <c r="AR624" s="233" t="str">
        <f>VLOOKUP(Table8[[#This Row],[Country Code]],Table29[],3,FALSE)</f>
        <v>Non-Annex I</v>
      </c>
      <c r="AS624" s="233" t="str">
        <f>VLOOKUP(Table8[[#This Row],[Country Code]],Table29[],4,FALSE)</f>
        <v>Latin America and the Caribbean</v>
      </c>
      <c r="AT624" s="233" t="str">
        <f>VLOOKUP(Table8[[#This Row],[Country Code]],Table29[],5,FALSE)</f>
        <v>Middle-income</v>
      </c>
      <c r="AU624" s="233" t="str">
        <f>VLOOKUP(Table8[[#This Row],[Country Code]],Table29[],6,FALSE)</f>
        <v>no</v>
      </c>
      <c r="AV624" s="233" t="str">
        <f>VLOOKUP(Table8[[#This Row],[Country Code]],Table29[],7,FALSE)</f>
        <v>no</v>
      </c>
      <c r="AW624" s="233" t="str">
        <f>VLOOKUP(Table8[[#This Row],[Country Code]],Table29[],8,FALSE)</f>
        <v>OECD</v>
      </c>
      <c r="AX624" s="233" t="str">
        <f>VLOOKUP(Table8[[#This Row],[Country Code]],Table29[],9,FALSE)</f>
        <v>no</v>
      </c>
      <c r="AY624" s="233" t="str">
        <f>VLOOKUP(Table8[[#This Row],[Country Code]],Table29[],10,FALSE)</f>
        <v>no</v>
      </c>
      <c r="AZ624" s="235">
        <f>VLOOKUP(Table8[[#This Row],[Country Code]],Table29[],23,FALSE)</f>
        <v>16.468143919330998</v>
      </c>
      <c r="BA624" s="235">
        <f>VLOOKUP(Table8[[#This Row],[Country Code]],Table29[],24,FALSE)</f>
        <v>6.1699800179976929</v>
      </c>
      <c r="BB624" s="320"/>
      <c r="BC624" s="320"/>
    </row>
    <row r="625" spans="1:55" ht="45" hidden="1" x14ac:dyDescent="0.25">
      <c r="A625" s="373">
        <v>17563</v>
      </c>
      <c r="B625" s="233" t="str">
        <f>VLOOKUP(Table8[[#This Row],[Document ID]],Table1[],2,FALSE)</f>
        <v>CRI</v>
      </c>
      <c r="C625" s="233" t="str">
        <f>VLOOKUP(Table8[[#This Row],[Document ID]],Table1[],3,FALSE)</f>
        <v>Costa Rica</v>
      </c>
      <c r="D625" s="243" t="str">
        <f>VLOOKUP(Table8[[#This Row],[Document ID]],Table1[],5,FALSE)</f>
        <v>LTS</v>
      </c>
      <c r="E625" s="233" t="str">
        <f>VLOOKUP(Table8[[#This Row],[Document ID]],Table1[],7,FALSE)</f>
        <v>LTS</v>
      </c>
      <c r="F625" s="233" t="str">
        <f>VLOOKUP(Table8[[#This Row],[Document ID]],Table1[],8,FALSE)</f>
        <v>LTS 1.0</v>
      </c>
      <c r="G625" s="233" t="str">
        <f>VLOOKUP(Table8[[#This Row],[Document ID]],Table1[],10,FALSE)</f>
        <v>Active</v>
      </c>
      <c r="H625" s="43" t="s">
        <v>2350</v>
      </c>
      <c r="I625" s="43" t="s">
        <v>2456</v>
      </c>
      <c r="J625" s="44" t="s">
        <v>2466</v>
      </c>
      <c r="K625" s="44" t="s">
        <v>2954</v>
      </c>
      <c r="L625" s="44" t="s">
        <v>2333</v>
      </c>
      <c r="M625" s="44">
        <v>33</v>
      </c>
      <c r="N625" s="113"/>
      <c r="O625" s="113"/>
      <c r="P625" s="113"/>
      <c r="Q625" s="113"/>
      <c r="R625" s="113"/>
      <c r="S625" s="113"/>
      <c r="T625" s="113"/>
      <c r="U625" s="113"/>
      <c r="V625" s="113"/>
      <c r="W625" s="113"/>
      <c r="X625" s="113"/>
      <c r="Y625" s="113"/>
      <c r="Z625" s="113" t="s">
        <v>1113</v>
      </c>
      <c r="AA625" s="113"/>
      <c r="AB625" s="113"/>
      <c r="AC625" s="113"/>
      <c r="AD625" s="113"/>
      <c r="AE625" s="113"/>
      <c r="AF625" s="113"/>
      <c r="AG625" s="113"/>
      <c r="AH625" s="113"/>
      <c r="AI625" s="113"/>
      <c r="AJ625" s="113"/>
      <c r="AK625" s="113"/>
      <c r="AL625" s="113"/>
      <c r="AM625" s="113"/>
      <c r="AN625" s="113" t="s">
        <v>1113</v>
      </c>
      <c r="AO625" s="44" t="s">
        <v>2334</v>
      </c>
      <c r="AP625" s="44"/>
      <c r="AQ625" s="236" t="str">
        <f>VLOOKUP(Table8[[#This Row],[Instrument]],Def_Targets!$D$73:$E$159,2,FALSE)</f>
        <v>S_Infraexpansion</v>
      </c>
      <c r="AR625" s="233" t="str">
        <f>VLOOKUP(Table8[[#This Row],[Country Code]],Table29[],3,FALSE)</f>
        <v>Non-Annex I</v>
      </c>
      <c r="AS625" s="233" t="str">
        <f>VLOOKUP(Table8[[#This Row],[Country Code]],Table29[],4,FALSE)</f>
        <v>Latin America and the Caribbean</v>
      </c>
      <c r="AT625" s="233" t="str">
        <f>VLOOKUP(Table8[[#This Row],[Country Code]],Table29[],5,FALSE)</f>
        <v>Middle-income</v>
      </c>
      <c r="AU625" s="233" t="str">
        <f>VLOOKUP(Table8[[#This Row],[Country Code]],Table29[],6,FALSE)</f>
        <v>no</v>
      </c>
      <c r="AV625" s="233" t="str">
        <f>VLOOKUP(Table8[[#This Row],[Country Code]],Table29[],7,FALSE)</f>
        <v>no</v>
      </c>
      <c r="AW625" s="233" t="str">
        <f>VLOOKUP(Table8[[#This Row],[Country Code]],Table29[],8,FALSE)</f>
        <v>OECD</v>
      </c>
      <c r="AX625" s="233" t="str">
        <f>VLOOKUP(Table8[[#This Row],[Country Code]],Table29[],9,FALSE)</f>
        <v>no</v>
      </c>
      <c r="AY625" s="233" t="str">
        <f>VLOOKUP(Table8[[#This Row],[Country Code]],Table29[],10,FALSE)</f>
        <v>no</v>
      </c>
      <c r="AZ625" s="235">
        <f>VLOOKUP(Table8[[#This Row],[Country Code]],Table29[],23,FALSE)</f>
        <v>16.468143919330998</v>
      </c>
      <c r="BA625" s="235">
        <f>VLOOKUP(Table8[[#This Row],[Country Code]],Table29[],24,FALSE)</f>
        <v>6.1699800179976929</v>
      </c>
      <c r="BB625" s="320"/>
      <c r="BC625" s="320"/>
    </row>
    <row r="626" spans="1:55" ht="30" hidden="1" x14ac:dyDescent="0.25">
      <c r="A626" s="373">
        <v>17563</v>
      </c>
      <c r="B626" s="233" t="str">
        <f>VLOOKUP(Table8[[#This Row],[Document ID]],Table1[],2,FALSE)</f>
        <v>CRI</v>
      </c>
      <c r="C626" s="233" t="str">
        <f>VLOOKUP(Table8[[#This Row],[Document ID]],Table1[],3,FALSE)</f>
        <v>Costa Rica</v>
      </c>
      <c r="D626" s="243" t="str">
        <f>VLOOKUP(Table8[[#This Row],[Document ID]],Table1[],5,FALSE)</f>
        <v>LTS</v>
      </c>
      <c r="E626" s="233" t="str">
        <f>VLOOKUP(Table8[[#This Row],[Document ID]],Table1[],7,FALSE)</f>
        <v>LTS</v>
      </c>
      <c r="F626" s="233" t="str">
        <f>VLOOKUP(Table8[[#This Row],[Document ID]],Table1[],8,FALSE)</f>
        <v>LTS 1.0</v>
      </c>
      <c r="G626" s="233" t="str">
        <f>VLOOKUP(Table8[[#This Row],[Document ID]],Table1[],10,FALSE)</f>
        <v>Active</v>
      </c>
      <c r="H626" s="43" t="s">
        <v>2350</v>
      </c>
      <c r="I626" s="43" t="s">
        <v>2407</v>
      </c>
      <c r="J626" s="44" t="s">
        <v>2408</v>
      </c>
      <c r="K626" s="44" t="s">
        <v>2955</v>
      </c>
      <c r="L626" s="44" t="s">
        <v>2347</v>
      </c>
      <c r="M626" s="44">
        <v>33</v>
      </c>
      <c r="N626" s="113"/>
      <c r="O626" s="113"/>
      <c r="P626" s="113"/>
      <c r="Q626" s="113"/>
      <c r="R626" s="113"/>
      <c r="S626" s="113"/>
      <c r="T626" s="113"/>
      <c r="U626" s="113"/>
      <c r="V626" s="113"/>
      <c r="W626" s="113"/>
      <c r="X626" s="113"/>
      <c r="Y626" s="113" t="s">
        <v>1113</v>
      </c>
      <c r="Z626" s="113"/>
      <c r="AA626" s="113"/>
      <c r="AB626" s="113"/>
      <c r="AC626" s="113" t="s">
        <v>1113</v>
      </c>
      <c r="AD626" s="113"/>
      <c r="AE626" s="113"/>
      <c r="AF626" s="113"/>
      <c r="AG626" s="113"/>
      <c r="AH626" s="113"/>
      <c r="AI626" s="113"/>
      <c r="AJ626" s="113"/>
      <c r="AK626" s="319" t="s">
        <v>1113</v>
      </c>
      <c r="AL626" s="113"/>
      <c r="AM626" s="113"/>
      <c r="AN626" s="113"/>
      <c r="AO626" s="43" t="s">
        <v>2348</v>
      </c>
      <c r="AP626" s="43"/>
      <c r="AQ626" s="236" t="str">
        <f>VLOOKUP(Table8[[#This Row],[Instrument]],Def_Targets!$D$73:$E$159,2,FALSE)</f>
        <v>I_Education</v>
      </c>
      <c r="AR626" s="233" t="str">
        <f>VLOOKUP(Table8[[#This Row],[Country Code]],Table29[],3,FALSE)</f>
        <v>Non-Annex I</v>
      </c>
      <c r="AS626" s="233" t="str">
        <f>VLOOKUP(Table8[[#This Row],[Country Code]],Table29[],4,FALSE)</f>
        <v>Latin America and the Caribbean</v>
      </c>
      <c r="AT626" s="233" t="str">
        <f>VLOOKUP(Table8[[#This Row],[Country Code]],Table29[],5,FALSE)</f>
        <v>Middle-income</v>
      </c>
      <c r="AU626" s="233" t="str">
        <f>VLOOKUP(Table8[[#This Row],[Country Code]],Table29[],6,FALSE)</f>
        <v>no</v>
      </c>
      <c r="AV626" s="233" t="str">
        <f>VLOOKUP(Table8[[#This Row],[Country Code]],Table29[],7,FALSE)</f>
        <v>no</v>
      </c>
      <c r="AW626" s="233" t="str">
        <f>VLOOKUP(Table8[[#This Row],[Country Code]],Table29[],8,FALSE)</f>
        <v>OECD</v>
      </c>
      <c r="AX626" s="233" t="str">
        <f>VLOOKUP(Table8[[#This Row],[Country Code]],Table29[],9,FALSE)</f>
        <v>no</v>
      </c>
      <c r="AY626" s="233" t="str">
        <f>VLOOKUP(Table8[[#This Row],[Country Code]],Table29[],10,FALSE)</f>
        <v>no</v>
      </c>
      <c r="AZ626" s="235">
        <f>VLOOKUP(Table8[[#This Row],[Country Code]],Table29[],23,FALSE)</f>
        <v>16.468143919330998</v>
      </c>
      <c r="BA626" s="235">
        <f>VLOOKUP(Table8[[#This Row],[Country Code]],Table29[],24,FALSE)</f>
        <v>6.1699800179976929</v>
      </c>
      <c r="BB626" s="320"/>
      <c r="BC626" s="320"/>
    </row>
    <row r="627" spans="1:55" ht="60" hidden="1" x14ac:dyDescent="0.25">
      <c r="A627" s="373">
        <v>17563</v>
      </c>
      <c r="B627" s="233" t="str">
        <f>VLOOKUP(Table8[[#This Row],[Document ID]],Table1[],2,FALSE)</f>
        <v>CRI</v>
      </c>
      <c r="C627" s="233" t="str">
        <f>VLOOKUP(Table8[[#This Row],[Document ID]],Table1[],3,FALSE)</f>
        <v>Costa Rica</v>
      </c>
      <c r="D627" s="243" t="str">
        <f>VLOOKUP(Table8[[#This Row],[Document ID]],Table1[],5,FALSE)</f>
        <v>LTS</v>
      </c>
      <c r="E627" s="233" t="str">
        <f>VLOOKUP(Table8[[#This Row],[Document ID]],Table1[],7,FALSE)</f>
        <v>LTS</v>
      </c>
      <c r="F627" s="233" t="str">
        <f>VLOOKUP(Table8[[#This Row],[Document ID]],Table1[],8,FALSE)</f>
        <v>LTS 1.0</v>
      </c>
      <c r="G627" s="233" t="str">
        <f>VLOOKUP(Table8[[#This Row],[Document ID]],Table1[],10,FALSE)</f>
        <v>Active</v>
      </c>
      <c r="H627" s="43" t="s">
        <v>2358</v>
      </c>
      <c r="I627" s="43" t="s">
        <v>2359</v>
      </c>
      <c r="J627" s="44" t="s">
        <v>2360</v>
      </c>
      <c r="K627" s="44" t="s">
        <v>2956</v>
      </c>
      <c r="L627" s="44" t="s">
        <v>2333</v>
      </c>
      <c r="M627" s="43">
        <v>33</v>
      </c>
      <c r="N627" s="113"/>
      <c r="O627" s="113"/>
      <c r="P627" s="113"/>
      <c r="Q627" s="113"/>
      <c r="R627" s="113"/>
      <c r="S627" s="113"/>
      <c r="T627" s="113"/>
      <c r="U627" s="113"/>
      <c r="V627" s="113"/>
      <c r="W627" s="113"/>
      <c r="X627" s="113"/>
      <c r="Y627" s="113" t="s">
        <v>1113</v>
      </c>
      <c r="Z627" s="113"/>
      <c r="AA627" s="113"/>
      <c r="AB627" s="113"/>
      <c r="AC627" s="113"/>
      <c r="AD627" s="113"/>
      <c r="AE627" s="113"/>
      <c r="AF627" s="113"/>
      <c r="AG627" s="113"/>
      <c r="AH627" s="113"/>
      <c r="AI627" s="113"/>
      <c r="AJ627" s="113"/>
      <c r="AK627" s="319" t="s">
        <v>1113</v>
      </c>
      <c r="AL627" s="113"/>
      <c r="AM627" s="113"/>
      <c r="AN627" s="113"/>
      <c r="AO627" s="43" t="s">
        <v>2348</v>
      </c>
      <c r="AP627" s="43"/>
      <c r="AQ627" s="236" t="str">
        <f>VLOOKUP(Table8[[#This Row],[Instrument]],Def_Targets!$D$73:$E$159,2,FALSE)</f>
        <v>I_Emobility</v>
      </c>
      <c r="AR627" s="233" t="str">
        <f>VLOOKUP(Table8[[#This Row],[Country Code]],Table29[],3,FALSE)</f>
        <v>Non-Annex I</v>
      </c>
      <c r="AS627" s="233" t="str">
        <f>VLOOKUP(Table8[[#This Row],[Country Code]],Table29[],4,FALSE)</f>
        <v>Latin America and the Caribbean</v>
      </c>
      <c r="AT627" s="233" t="str">
        <f>VLOOKUP(Table8[[#This Row],[Country Code]],Table29[],5,FALSE)</f>
        <v>Middle-income</v>
      </c>
      <c r="AU627" s="233" t="str">
        <f>VLOOKUP(Table8[[#This Row],[Country Code]],Table29[],6,FALSE)</f>
        <v>no</v>
      </c>
      <c r="AV627" s="233" t="str">
        <f>VLOOKUP(Table8[[#This Row],[Country Code]],Table29[],7,FALSE)</f>
        <v>no</v>
      </c>
      <c r="AW627" s="233" t="str">
        <f>VLOOKUP(Table8[[#This Row],[Country Code]],Table29[],8,FALSE)</f>
        <v>OECD</v>
      </c>
      <c r="AX627" s="233" t="str">
        <f>VLOOKUP(Table8[[#This Row],[Country Code]],Table29[],9,FALSE)</f>
        <v>no</v>
      </c>
      <c r="AY627" s="233" t="str">
        <f>VLOOKUP(Table8[[#This Row],[Country Code]],Table29[],10,FALSE)</f>
        <v>no</v>
      </c>
      <c r="AZ627" s="235">
        <f>VLOOKUP(Table8[[#This Row],[Country Code]],Table29[],23,FALSE)</f>
        <v>16.468143919330998</v>
      </c>
      <c r="BA627" s="235">
        <f>VLOOKUP(Table8[[#This Row],[Country Code]],Table29[],24,FALSE)</f>
        <v>6.1699800179976929</v>
      </c>
      <c r="BB627" s="320"/>
      <c r="BC627" s="320"/>
    </row>
    <row r="628" spans="1:55" hidden="1" x14ac:dyDescent="0.25">
      <c r="A628" s="373">
        <v>17563</v>
      </c>
      <c r="B628" s="233" t="str">
        <f>VLOOKUP(Table8[[#This Row],[Document ID]],Table1[],2,FALSE)</f>
        <v>CRI</v>
      </c>
      <c r="C628" s="233" t="str">
        <f>VLOOKUP(Table8[[#This Row],[Document ID]],Table1[],3,FALSE)</f>
        <v>Costa Rica</v>
      </c>
      <c r="D628" s="243" t="str">
        <f>VLOOKUP(Table8[[#This Row],[Document ID]],Table1[],5,FALSE)</f>
        <v>LTS</v>
      </c>
      <c r="E628" s="233" t="str">
        <f>VLOOKUP(Table8[[#This Row],[Document ID]],Table1[],7,FALSE)</f>
        <v>LTS</v>
      </c>
      <c r="F628" s="233" t="str">
        <f>VLOOKUP(Table8[[#This Row],[Document ID]],Table1[],8,FALSE)</f>
        <v>LTS 1.0</v>
      </c>
      <c r="G628" s="233" t="str">
        <f>VLOOKUP(Table8[[#This Row],[Document ID]],Table1[],10,FALSE)</f>
        <v>Active</v>
      </c>
      <c r="H628" s="43" t="s">
        <v>2358</v>
      </c>
      <c r="I628" s="43" t="s">
        <v>2359</v>
      </c>
      <c r="J628" s="44" t="s">
        <v>2360</v>
      </c>
      <c r="K628" s="44" t="s">
        <v>2957</v>
      </c>
      <c r="L628" s="44" t="s">
        <v>2333</v>
      </c>
      <c r="M628" s="43">
        <v>33</v>
      </c>
      <c r="N628" s="113"/>
      <c r="O628" s="113"/>
      <c r="P628" s="113"/>
      <c r="Q628" s="113"/>
      <c r="R628" s="113"/>
      <c r="S628" s="113"/>
      <c r="T628" s="113"/>
      <c r="U628" s="113"/>
      <c r="V628" s="113"/>
      <c r="W628" s="113" t="s">
        <v>1113</v>
      </c>
      <c r="X628" s="113"/>
      <c r="Y628" s="113"/>
      <c r="Z628" s="113"/>
      <c r="AA628" s="113"/>
      <c r="AB628" s="113"/>
      <c r="AC628" s="113"/>
      <c r="AD628" s="113"/>
      <c r="AE628" s="113"/>
      <c r="AF628" s="113"/>
      <c r="AG628" s="113"/>
      <c r="AH628" s="113"/>
      <c r="AI628" s="113"/>
      <c r="AJ628" s="113"/>
      <c r="AK628" s="319" t="s">
        <v>1113</v>
      </c>
      <c r="AL628" s="113"/>
      <c r="AM628" s="113"/>
      <c r="AN628" s="113"/>
      <c r="AO628" s="43" t="s">
        <v>2348</v>
      </c>
      <c r="AP628" s="43"/>
      <c r="AQ628" s="236" t="str">
        <f>VLOOKUP(Table8[[#This Row],[Instrument]],Def_Targets!$D$73:$E$159,2,FALSE)</f>
        <v>I_Emobility</v>
      </c>
      <c r="AR628" s="233" t="str">
        <f>VLOOKUP(Table8[[#This Row],[Country Code]],Table29[],3,FALSE)</f>
        <v>Non-Annex I</v>
      </c>
      <c r="AS628" s="233" t="str">
        <f>VLOOKUP(Table8[[#This Row],[Country Code]],Table29[],4,FALSE)</f>
        <v>Latin America and the Caribbean</v>
      </c>
      <c r="AT628" s="233" t="str">
        <f>VLOOKUP(Table8[[#This Row],[Country Code]],Table29[],5,FALSE)</f>
        <v>Middle-income</v>
      </c>
      <c r="AU628" s="233" t="str">
        <f>VLOOKUP(Table8[[#This Row],[Country Code]],Table29[],6,FALSE)</f>
        <v>no</v>
      </c>
      <c r="AV628" s="233" t="str">
        <f>VLOOKUP(Table8[[#This Row],[Country Code]],Table29[],7,FALSE)</f>
        <v>no</v>
      </c>
      <c r="AW628" s="233" t="str">
        <f>VLOOKUP(Table8[[#This Row],[Country Code]],Table29[],8,FALSE)</f>
        <v>OECD</v>
      </c>
      <c r="AX628" s="233" t="str">
        <f>VLOOKUP(Table8[[#This Row],[Country Code]],Table29[],9,FALSE)</f>
        <v>no</v>
      </c>
      <c r="AY628" s="233" t="str">
        <f>VLOOKUP(Table8[[#This Row],[Country Code]],Table29[],10,FALSE)</f>
        <v>no</v>
      </c>
      <c r="AZ628" s="235">
        <f>VLOOKUP(Table8[[#This Row],[Country Code]],Table29[],23,FALSE)</f>
        <v>16.468143919330998</v>
      </c>
      <c r="BA628" s="235">
        <f>VLOOKUP(Table8[[#This Row],[Country Code]],Table29[],24,FALSE)</f>
        <v>6.1699800179976929</v>
      </c>
      <c r="BB628" s="320"/>
      <c r="BC628" s="320"/>
    </row>
    <row r="629" spans="1:55" ht="30" hidden="1" x14ac:dyDescent="0.25">
      <c r="A629" s="373">
        <v>17563</v>
      </c>
      <c r="B629" s="233" t="str">
        <f>VLOOKUP(Table8[[#This Row],[Document ID]],Table1[],2,FALSE)</f>
        <v>CRI</v>
      </c>
      <c r="C629" s="233" t="str">
        <f>VLOOKUP(Table8[[#This Row],[Document ID]],Table1[],3,FALSE)</f>
        <v>Costa Rica</v>
      </c>
      <c r="D629" s="243" t="str">
        <f>VLOOKUP(Table8[[#This Row],[Document ID]],Table1[],5,FALSE)</f>
        <v>LTS</v>
      </c>
      <c r="E629" s="233" t="str">
        <f>VLOOKUP(Table8[[#This Row],[Document ID]],Table1[],7,FALSE)</f>
        <v>LTS</v>
      </c>
      <c r="F629" s="233" t="str">
        <f>VLOOKUP(Table8[[#This Row],[Document ID]],Table1[],8,FALSE)</f>
        <v>LTS 1.0</v>
      </c>
      <c r="G629" s="233" t="str">
        <f>VLOOKUP(Table8[[#This Row],[Document ID]],Table1[],10,FALSE)</f>
        <v>Active</v>
      </c>
      <c r="H629" s="43" t="s">
        <v>2343</v>
      </c>
      <c r="I629" s="43" t="s">
        <v>2386</v>
      </c>
      <c r="J629" s="44" t="s">
        <v>2397</v>
      </c>
      <c r="K629" s="44" t="s">
        <v>2958</v>
      </c>
      <c r="L629" s="44" t="s">
        <v>2333</v>
      </c>
      <c r="M629" s="43">
        <v>33</v>
      </c>
      <c r="N629" s="113"/>
      <c r="O629" s="113"/>
      <c r="P629" s="113"/>
      <c r="Q629" s="113"/>
      <c r="R629" s="113"/>
      <c r="S629" s="113"/>
      <c r="T629" s="113"/>
      <c r="U629" s="113"/>
      <c r="V629" s="113"/>
      <c r="W629" s="113"/>
      <c r="X629" s="113"/>
      <c r="Y629" s="113" t="s">
        <v>1113</v>
      </c>
      <c r="Z629" s="113"/>
      <c r="AA629" s="113"/>
      <c r="AB629" s="113"/>
      <c r="AC629" s="113" t="s">
        <v>1113</v>
      </c>
      <c r="AD629" s="113"/>
      <c r="AE629" s="113"/>
      <c r="AF629" s="113"/>
      <c r="AG629" s="113"/>
      <c r="AH629" s="113"/>
      <c r="AI629" s="113"/>
      <c r="AJ629" s="113"/>
      <c r="AK629" s="319" t="s">
        <v>1113</v>
      </c>
      <c r="AL629" s="113"/>
      <c r="AM629" s="113"/>
      <c r="AN629" s="113"/>
      <c r="AO629" s="44" t="s">
        <v>2334</v>
      </c>
      <c r="AP629" s="44"/>
      <c r="AQ629" s="236" t="str">
        <f>VLOOKUP(Table8[[#This Row],[Instrument]],Def_Targets!$D$73:$E$159,2,FALSE)</f>
        <v>A_Finance</v>
      </c>
      <c r="AR629" s="233" t="str">
        <f>VLOOKUP(Table8[[#This Row],[Country Code]],Table29[],3,FALSE)</f>
        <v>Non-Annex I</v>
      </c>
      <c r="AS629" s="233" t="str">
        <f>VLOOKUP(Table8[[#This Row],[Country Code]],Table29[],4,FALSE)</f>
        <v>Latin America and the Caribbean</v>
      </c>
      <c r="AT629" s="233" t="str">
        <f>VLOOKUP(Table8[[#This Row],[Country Code]],Table29[],5,FALSE)</f>
        <v>Middle-income</v>
      </c>
      <c r="AU629" s="233" t="str">
        <f>VLOOKUP(Table8[[#This Row],[Country Code]],Table29[],6,FALSE)</f>
        <v>no</v>
      </c>
      <c r="AV629" s="233" t="str">
        <f>VLOOKUP(Table8[[#This Row],[Country Code]],Table29[],7,FALSE)</f>
        <v>no</v>
      </c>
      <c r="AW629" s="233" t="str">
        <f>VLOOKUP(Table8[[#This Row],[Country Code]],Table29[],8,FALSE)</f>
        <v>OECD</v>
      </c>
      <c r="AX629" s="233" t="str">
        <f>VLOOKUP(Table8[[#This Row],[Country Code]],Table29[],9,FALSE)</f>
        <v>no</v>
      </c>
      <c r="AY629" s="233" t="str">
        <f>VLOOKUP(Table8[[#This Row],[Country Code]],Table29[],10,FALSE)</f>
        <v>no</v>
      </c>
      <c r="AZ629" s="235">
        <f>VLOOKUP(Table8[[#This Row],[Country Code]],Table29[],23,FALSE)</f>
        <v>16.468143919330998</v>
      </c>
      <c r="BA629" s="235">
        <f>VLOOKUP(Table8[[#This Row],[Country Code]],Table29[],24,FALSE)</f>
        <v>6.1699800179976929</v>
      </c>
      <c r="BB629" s="320"/>
      <c r="BC629" s="320"/>
    </row>
    <row r="630" spans="1:55" ht="30" hidden="1" x14ac:dyDescent="0.25">
      <c r="A630" s="373">
        <v>17563</v>
      </c>
      <c r="B630" s="233" t="str">
        <f>VLOOKUP(Table8[[#This Row],[Document ID]],Table1[],2,FALSE)</f>
        <v>CRI</v>
      </c>
      <c r="C630" s="233" t="str">
        <f>VLOOKUP(Table8[[#This Row],[Document ID]],Table1[],3,FALSE)</f>
        <v>Costa Rica</v>
      </c>
      <c r="D630" s="243" t="str">
        <f>VLOOKUP(Table8[[#This Row],[Document ID]],Table1[],5,FALSE)</f>
        <v>LTS</v>
      </c>
      <c r="E630" s="233" t="str">
        <f>VLOOKUP(Table8[[#This Row],[Document ID]],Table1[],7,FALSE)</f>
        <v>LTS</v>
      </c>
      <c r="F630" s="233" t="str">
        <f>VLOOKUP(Table8[[#This Row],[Document ID]],Table1[],8,FALSE)</f>
        <v>LTS 1.0</v>
      </c>
      <c r="G630" s="233" t="str">
        <f>VLOOKUP(Table8[[#This Row],[Document ID]],Table1[],10,FALSE)</f>
        <v>Active</v>
      </c>
      <c r="H630" s="44" t="s">
        <v>2329</v>
      </c>
      <c r="I630" s="44" t="s">
        <v>2330</v>
      </c>
      <c r="J630" s="44" t="s">
        <v>2391</v>
      </c>
      <c r="K630" s="44" t="s">
        <v>2959</v>
      </c>
      <c r="L630" s="44" t="s">
        <v>2333</v>
      </c>
      <c r="M630" s="43">
        <v>33</v>
      </c>
      <c r="N630" s="113" t="s">
        <v>1113</v>
      </c>
      <c r="O630" s="113"/>
      <c r="P630" s="113"/>
      <c r="Q630" s="113"/>
      <c r="R630" s="113"/>
      <c r="S630" s="113"/>
      <c r="T630" s="113"/>
      <c r="U630" s="113"/>
      <c r="V630" s="113"/>
      <c r="W630" s="113"/>
      <c r="X630" s="113"/>
      <c r="Y630" s="113"/>
      <c r="Z630" s="113"/>
      <c r="AA630" s="113"/>
      <c r="AB630" s="113"/>
      <c r="AC630" s="113"/>
      <c r="AD630" s="113"/>
      <c r="AE630" s="113"/>
      <c r="AF630" s="113"/>
      <c r="AG630" s="113"/>
      <c r="AH630" s="113"/>
      <c r="AI630" s="113"/>
      <c r="AJ630" s="113"/>
      <c r="AK630" s="319" t="s">
        <v>1113</v>
      </c>
      <c r="AL630" s="113"/>
      <c r="AM630" s="113"/>
      <c r="AN630" s="113"/>
      <c r="AO630" s="44" t="s">
        <v>2334</v>
      </c>
      <c r="AP630" s="44"/>
      <c r="AQ630" s="236" t="str">
        <f>VLOOKUP(Table8[[#This Row],[Instrument]],Def_Targets!$D$73:$E$159,2,FALSE)</f>
        <v>I_Hydrogen</v>
      </c>
      <c r="AR630" s="233" t="str">
        <f>VLOOKUP(Table8[[#This Row],[Country Code]],Table29[],3,FALSE)</f>
        <v>Non-Annex I</v>
      </c>
      <c r="AS630" s="233" t="str">
        <f>VLOOKUP(Table8[[#This Row],[Country Code]],Table29[],4,FALSE)</f>
        <v>Latin America and the Caribbean</v>
      </c>
      <c r="AT630" s="233" t="str">
        <f>VLOOKUP(Table8[[#This Row],[Country Code]],Table29[],5,FALSE)</f>
        <v>Middle-income</v>
      </c>
      <c r="AU630" s="233" t="str">
        <f>VLOOKUP(Table8[[#This Row],[Country Code]],Table29[],6,FALSE)</f>
        <v>no</v>
      </c>
      <c r="AV630" s="233" t="str">
        <f>VLOOKUP(Table8[[#This Row],[Country Code]],Table29[],7,FALSE)</f>
        <v>no</v>
      </c>
      <c r="AW630" s="233" t="str">
        <f>VLOOKUP(Table8[[#This Row],[Country Code]],Table29[],8,FALSE)</f>
        <v>OECD</v>
      </c>
      <c r="AX630" s="233" t="str">
        <f>VLOOKUP(Table8[[#This Row],[Country Code]],Table29[],9,FALSE)</f>
        <v>no</v>
      </c>
      <c r="AY630" s="233" t="str">
        <f>VLOOKUP(Table8[[#This Row],[Country Code]],Table29[],10,FALSE)</f>
        <v>no</v>
      </c>
      <c r="AZ630" s="235">
        <f>VLOOKUP(Table8[[#This Row],[Country Code]],Table29[],23,FALSE)</f>
        <v>16.468143919330998</v>
      </c>
      <c r="BA630" s="235">
        <f>VLOOKUP(Table8[[#This Row],[Country Code]],Table29[],24,FALSE)</f>
        <v>6.1699800179976929</v>
      </c>
      <c r="BB630" s="320"/>
      <c r="BC630" s="320"/>
    </row>
    <row r="631" spans="1:55" ht="30" hidden="1" x14ac:dyDescent="0.25">
      <c r="A631" s="373">
        <v>17563</v>
      </c>
      <c r="B631" s="233" t="str">
        <f>VLOOKUP(Table8[[#This Row],[Document ID]],Table1[],2,FALSE)</f>
        <v>CRI</v>
      </c>
      <c r="C631" s="233" t="str">
        <f>VLOOKUP(Table8[[#This Row],[Document ID]],Table1[],3,FALSE)</f>
        <v>Costa Rica</v>
      </c>
      <c r="D631" s="243" t="str">
        <f>VLOOKUP(Table8[[#This Row],[Document ID]],Table1[],5,FALSE)</f>
        <v>LTS</v>
      </c>
      <c r="E631" s="233" t="str">
        <f>VLOOKUP(Table8[[#This Row],[Document ID]],Table1[],7,FALSE)</f>
        <v>LTS</v>
      </c>
      <c r="F631" s="233" t="str">
        <f>VLOOKUP(Table8[[#This Row],[Document ID]],Table1[],8,FALSE)</f>
        <v>LTS 1.0</v>
      </c>
      <c r="G631" s="233" t="str">
        <f>VLOOKUP(Table8[[#This Row],[Document ID]],Table1[],10,FALSE)</f>
        <v>Active</v>
      </c>
      <c r="H631" s="43" t="s">
        <v>2343</v>
      </c>
      <c r="I631" s="43" t="s">
        <v>2429</v>
      </c>
      <c r="J631" s="44" t="s">
        <v>2513</v>
      </c>
      <c r="K631" s="44" t="s">
        <v>2960</v>
      </c>
      <c r="L631" s="44" t="s">
        <v>2471</v>
      </c>
      <c r="M631" s="43">
        <v>34</v>
      </c>
      <c r="N631" s="113" t="s">
        <v>1113</v>
      </c>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319" t="s">
        <v>1113</v>
      </c>
      <c r="AL631" s="113"/>
      <c r="AM631" s="113"/>
      <c r="AN631" s="113"/>
      <c r="AO631" s="44" t="s">
        <v>2334</v>
      </c>
      <c r="AP631" s="44"/>
      <c r="AQ631" s="236" t="str">
        <f>VLOOKUP(Table8[[#This Row],[Instrument]],Def_Targets!$D$73:$E$159,2,FALSE)</f>
        <v>S_Sharedmob</v>
      </c>
      <c r="AR631" s="233" t="str">
        <f>VLOOKUP(Table8[[#This Row],[Country Code]],Table29[],3,FALSE)</f>
        <v>Non-Annex I</v>
      </c>
      <c r="AS631" s="233" t="str">
        <f>VLOOKUP(Table8[[#This Row],[Country Code]],Table29[],4,FALSE)</f>
        <v>Latin America and the Caribbean</v>
      </c>
      <c r="AT631" s="233" t="str">
        <f>VLOOKUP(Table8[[#This Row],[Country Code]],Table29[],5,FALSE)</f>
        <v>Middle-income</v>
      </c>
      <c r="AU631" s="233" t="str">
        <f>VLOOKUP(Table8[[#This Row],[Country Code]],Table29[],6,FALSE)</f>
        <v>no</v>
      </c>
      <c r="AV631" s="233" t="str">
        <f>VLOOKUP(Table8[[#This Row],[Country Code]],Table29[],7,FALSE)</f>
        <v>no</v>
      </c>
      <c r="AW631" s="233" t="str">
        <f>VLOOKUP(Table8[[#This Row],[Country Code]],Table29[],8,FALSE)</f>
        <v>OECD</v>
      </c>
      <c r="AX631" s="233" t="str">
        <f>VLOOKUP(Table8[[#This Row],[Country Code]],Table29[],9,FALSE)</f>
        <v>no</v>
      </c>
      <c r="AY631" s="233" t="str">
        <f>VLOOKUP(Table8[[#This Row],[Country Code]],Table29[],10,FALSE)</f>
        <v>no</v>
      </c>
      <c r="AZ631" s="235">
        <f>VLOOKUP(Table8[[#This Row],[Country Code]],Table29[],23,FALSE)</f>
        <v>16.468143919330998</v>
      </c>
      <c r="BA631" s="235">
        <f>VLOOKUP(Table8[[#This Row],[Country Code]],Table29[],24,FALSE)</f>
        <v>6.1699800179976929</v>
      </c>
      <c r="BB631" s="320"/>
      <c r="BC631" s="320"/>
    </row>
    <row r="632" spans="1:55" hidden="1" x14ac:dyDescent="0.25">
      <c r="A632" s="373">
        <v>17563</v>
      </c>
      <c r="B632" s="233" t="str">
        <f>VLOOKUP(Table8[[#This Row],[Document ID]],Table1[],2,FALSE)</f>
        <v>CRI</v>
      </c>
      <c r="C632" s="233" t="str">
        <f>VLOOKUP(Table8[[#This Row],[Document ID]],Table1[],3,FALSE)</f>
        <v>Costa Rica</v>
      </c>
      <c r="D632" s="243" t="str">
        <f>VLOOKUP(Table8[[#This Row],[Document ID]],Table1[],5,FALSE)</f>
        <v>LTS</v>
      </c>
      <c r="E632" s="233" t="str">
        <f>VLOOKUP(Table8[[#This Row],[Document ID]],Table1[],7,FALSE)</f>
        <v>LTS</v>
      </c>
      <c r="F632" s="233" t="str">
        <f>VLOOKUP(Table8[[#This Row],[Document ID]],Table1[],8,FALSE)</f>
        <v>LTS 1.0</v>
      </c>
      <c r="G632" s="233" t="str">
        <f>VLOOKUP(Table8[[#This Row],[Document ID]],Table1[],10,FALSE)</f>
        <v>Active</v>
      </c>
      <c r="H632" s="43" t="s">
        <v>2350</v>
      </c>
      <c r="I632" s="43" t="s">
        <v>2407</v>
      </c>
      <c r="J632" s="44" t="s">
        <v>2408</v>
      </c>
      <c r="K632" s="44" t="s">
        <v>2961</v>
      </c>
      <c r="L632" s="44" t="s">
        <v>2347</v>
      </c>
      <c r="M632" s="43">
        <v>34</v>
      </c>
      <c r="N632" s="113"/>
      <c r="O632" s="113"/>
      <c r="P632" s="113"/>
      <c r="Q632" s="113"/>
      <c r="R632" s="113"/>
      <c r="S632" s="113"/>
      <c r="T632" s="113"/>
      <c r="U632" s="113"/>
      <c r="V632" s="113"/>
      <c r="W632" s="113"/>
      <c r="X632" s="113"/>
      <c r="Y632" s="113" t="s">
        <v>1113</v>
      </c>
      <c r="Z632" s="113"/>
      <c r="AA632" s="113"/>
      <c r="AB632" s="113"/>
      <c r="AC632" s="113" t="s">
        <v>1113</v>
      </c>
      <c r="AD632" s="113"/>
      <c r="AE632" s="113"/>
      <c r="AF632" s="113"/>
      <c r="AG632" s="113"/>
      <c r="AH632" s="113"/>
      <c r="AI632" s="113"/>
      <c r="AJ632" s="113"/>
      <c r="AK632" s="319" t="s">
        <v>1113</v>
      </c>
      <c r="AL632" s="113"/>
      <c r="AM632" s="113"/>
      <c r="AN632" s="113"/>
      <c r="AO632" s="43" t="s">
        <v>2348</v>
      </c>
      <c r="AP632" s="43"/>
      <c r="AQ632" s="236" t="str">
        <f>VLOOKUP(Table8[[#This Row],[Instrument]],Def_Targets!$D$73:$E$159,2,FALSE)</f>
        <v>I_Education</v>
      </c>
      <c r="AR632" s="233" t="str">
        <f>VLOOKUP(Table8[[#This Row],[Country Code]],Table29[],3,FALSE)</f>
        <v>Non-Annex I</v>
      </c>
      <c r="AS632" s="233" t="str">
        <f>VLOOKUP(Table8[[#This Row],[Country Code]],Table29[],4,FALSE)</f>
        <v>Latin America and the Caribbean</v>
      </c>
      <c r="AT632" s="233" t="str">
        <f>VLOOKUP(Table8[[#This Row],[Country Code]],Table29[],5,FALSE)</f>
        <v>Middle-income</v>
      </c>
      <c r="AU632" s="233" t="str">
        <f>VLOOKUP(Table8[[#This Row],[Country Code]],Table29[],6,FALSE)</f>
        <v>no</v>
      </c>
      <c r="AV632" s="233" t="str">
        <f>VLOOKUP(Table8[[#This Row],[Country Code]],Table29[],7,FALSE)</f>
        <v>no</v>
      </c>
      <c r="AW632" s="233" t="str">
        <f>VLOOKUP(Table8[[#This Row],[Country Code]],Table29[],8,FALSE)</f>
        <v>OECD</v>
      </c>
      <c r="AX632" s="233" t="str">
        <f>VLOOKUP(Table8[[#This Row],[Country Code]],Table29[],9,FALSE)</f>
        <v>no</v>
      </c>
      <c r="AY632" s="233" t="str">
        <f>VLOOKUP(Table8[[#This Row],[Country Code]],Table29[],10,FALSE)</f>
        <v>no</v>
      </c>
      <c r="AZ632" s="235">
        <f>VLOOKUP(Table8[[#This Row],[Country Code]],Table29[],23,FALSE)</f>
        <v>16.468143919330998</v>
      </c>
      <c r="BA632" s="235">
        <f>VLOOKUP(Table8[[#This Row],[Country Code]],Table29[],24,FALSE)</f>
        <v>6.1699800179976929</v>
      </c>
      <c r="BB632" s="320"/>
      <c r="BC632" s="320"/>
    </row>
    <row r="633" spans="1:55" ht="30" hidden="1" x14ac:dyDescent="0.25">
      <c r="A633" s="373">
        <v>17563</v>
      </c>
      <c r="B633" s="233" t="str">
        <f>VLOOKUP(Table8[[#This Row],[Document ID]],Table1[],2,FALSE)</f>
        <v>CRI</v>
      </c>
      <c r="C633" s="233" t="str">
        <f>VLOOKUP(Table8[[#This Row],[Document ID]],Table1[],3,FALSE)</f>
        <v>Costa Rica</v>
      </c>
      <c r="D633" s="243" t="str">
        <f>VLOOKUP(Table8[[#This Row],[Document ID]],Table1[],5,FALSE)</f>
        <v>LTS</v>
      </c>
      <c r="E633" s="233" t="str">
        <f>VLOOKUP(Table8[[#This Row],[Document ID]],Table1[],7,FALSE)</f>
        <v>LTS</v>
      </c>
      <c r="F633" s="233" t="str">
        <f>VLOOKUP(Table8[[#This Row],[Document ID]],Table1[],8,FALSE)</f>
        <v>LTS 1.0</v>
      </c>
      <c r="G633" s="233" t="str">
        <f>VLOOKUP(Table8[[#This Row],[Document ID]],Table1[],10,FALSE)</f>
        <v>Active</v>
      </c>
      <c r="H633" s="43" t="s">
        <v>2350</v>
      </c>
      <c r="I633" s="43" t="s">
        <v>2370</v>
      </c>
      <c r="J633" s="44" t="s">
        <v>2371</v>
      </c>
      <c r="K633" s="44" t="s">
        <v>2962</v>
      </c>
      <c r="L633" s="44" t="s">
        <v>2373</v>
      </c>
      <c r="M633" s="43">
        <v>34</v>
      </c>
      <c r="N633" s="113" t="s">
        <v>1113</v>
      </c>
      <c r="O633" s="113"/>
      <c r="P633" s="113"/>
      <c r="Q633" s="113"/>
      <c r="R633" s="113"/>
      <c r="S633" s="113"/>
      <c r="T633" s="113"/>
      <c r="U633" s="113"/>
      <c r="V633" s="113"/>
      <c r="W633" s="113"/>
      <c r="X633" s="113"/>
      <c r="Y633" s="113"/>
      <c r="Z633" s="113"/>
      <c r="AA633" s="113"/>
      <c r="AB633" s="113"/>
      <c r="AC633" s="113"/>
      <c r="AD633" s="113"/>
      <c r="AE633" s="113"/>
      <c r="AF633" s="113"/>
      <c r="AG633" s="113"/>
      <c r="AH633" s="113"/>
      <c r="AI633" s="113"/>
      <c r="AJ633" s="113"/>
      <c r="AK633" s="319" t="s">
        <v>1113</v>
      </c>
      <c r="AL633" s="113"/>
      <c r="AM633" s="113"/>
      <c r="AN633" s="113"/>
      <c r="AO633" s="44" t="s">
        <v>2334</v>
      </c>
      <c r="AP633" s="44"/>
      <c r="AQ633" s="236" t="str">
        <f>VLOOKUP(Table8[[#This Row],[Instrument]],Def_Targets!$D$73:$E$159,2,FALSE)</f>
        <v>A_Natmobplan</v>
      </c>
      <c r="AR633" s="233" t="str">
        <f>VLOOKUP(Table8[[#This Row],[Country Code]],Table29[],3,FALSE)</f>
        <v>Non-Annex I</v>
      </c>
      <c r="AS633" s="233" t="str">
        <f>VLOOKUP(Table8[[#This Row],[Country Code]],Table29[],4,FALSE)</f>
        <v>Latin America and the Caribbean</v>
      </c>
      <c r="AT633" s="233" t="str">
        <f>VLOOKUP(Table8[[#This Row],[Country Code]],Table29[],5,FALSE)</f>
        <v>Middle-income</v>
      </c>
      <c r="AU633" s="233" t="str">
        <f>VLOOKUP(Table8[[#This Row],[Country Code]],Table29[],6,FALSE)</f>
        <v>no</v>
      </c>
      <c r="AV633" s="233" t="str">
        <f>VLOOKUP(Table8[[#This Row],[Country Code]],Table29[],7,FALSE)</f>
        <v>no</v>
      </c>
      <c r="AW633" s="233" t="str">
        <f>VLOOKUP(Table8[[#This Row],[Country Code]],Table29[],8,FALSE)</f>
        <v>OECD</v>
      </c>
      <c r="AX633" s="233" t="str">
        <f>VLOOKUP(Table8[[#This Row],[Country Code]],Table29[],9,FALSE)</f>
        <v>no</v>
      </c>
      <c r="AY633" s="233" t="str">
        <f>VLOOKUP(Table8[[#This Row],[Country Code]],Table29[],10,FALSE)</f>
        <v>no</v>
      </c>
      <c r="AZ633" s="235">
        <f>VLOOKUP(Table8[[#This Row],[Country Code]],Table29[],23,FALSE)</f>
        <v>16.468143919330998</v>
      </c>
      <c r="BA633" s="235">
        <f>VLOOKUP(Table8[[#This Row],[Country Code]],Table29[],24,FALSE)</f>
        <v>6.1699800179976929</v>
      </c>
      <c r="BB633" s="320"/>
      <c r="BC633" s="320"/>
    </row>
    <row r="634" spans="1:55" ht="30" hidden="1" x14ac:dyDescent="0.25">
      <c r="A634" s="373">
        <v>17563</v>
      </c>
      <c r="B634" s="233" t="str">
        <f>VLOOKUP(Table8[[#This Row],[Document ID]],Table1[],2,FALSE)</f>
        <v>CRI</v>
      </c>
      <c r="C634" s="233" t="str">
        <f>VLOOKUP(Table8[[#This Row],[Document ID]],Table1[],3,FALSE)</f>
        <v>Costa Rica</v>
      </c>
      <c r="D634" s="243" t="str">
        <f>VLOOKUP(Table8[[#This Row],[Document ID]],Table1[],5,FALSE)</f>
        <v>LTS</v>
      </c>
      <c r="E634" s="233" t="str">
        <f>VLOOKUP(Table8[[#This Row],[Document ID]],Table1[],7,FALSE)</f>
        <v>LTS</v>
      </c>
      <c r="F634" s="233" t="str">
        <f>VLOOKUP(Table8[[#This Row],[Document ID]],Table1[],8,FALSE)</f>
        <v>LTS 1.0</v>
      </c>
      <c r="G634" s="233" t="str">
        <f>VLOOKUP(Table8[[#This Row],[Document ID]],Table1[],10,FALSE)</f>
        <v>Active</v>
      </c>
      <c r="H634" s="43" t="s">
        <v>2350</v>
      </c>
      <c r="I634" s="43" t="s">
        <v>2370</v>
      </c>
      <c r="J634" s="44" t="s">
        <v>2518</v>
      </c>
      <c r="K634" s="44" t="s">
        <v>2963</v>
      </c>
      <c r="L634" s="44" t="s">
        <v>2380</v>
      </c>
      <c r="M634" s="43">
        <v>34</v>
      </c>
      <c r="N634" s="113" t="s">
        <v>1113</v>
      </c>
      <c r="O634" s="113"/>
      <c r="P634" s="113"/>
      <c r="Q634" s="113"/>
      <c r="R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t="s">
        <v>1113</v>
      </c>
      <c r="AM634" s="113"/>
      <c r="AN634" s="113"/>
      <c r="AO634" s="44" t="s">
        <v>2334</v>
      </c>
      <c r="AP634" s="44"/>
      <c r="AQ634" s="236" t="str">
        <f>VLOOKUP(Table8[[#This Row],[Instrument]],Def_Targets!$D$73:$E$159,2,FALSE)</f>
        <v>A_Mixuse</v>
      </c>
      <c r="AR634" s="233" t="str">
        <f>VLOOKUP(Table8[[#This Row],[Country Code]],Table29[],3,FALSE)</f>
        <v>Non-Annex I</v>
      </c>
      <c r="AS634" s="233" t="str">
        <f>VLOOKUP(Table8[[#This Row],[Country Code]],Table29[],4,FALSE)</f>
        <v>Latin America and the Caribbean</v>
      </c>
      <c r="AT634" s="233" t="str">
        <f>VLOOKUP(Table8[[#This Row],[Country Code]],Table29[],5,FALSE)</f>
        <v>Middle-income</v>
      </c>
      <c r="AU634" s="233" t="str">
        <f>VLOOKUP(Table8[[#This Row],[Country Code]],Table29[],6,FALSE)</f>
        <v>no</v>
      </c>
      <c r="AV634" s="233" t="str">
        <f>VLOOKUP(Table8[[#This Row],[Country Code]],Table29[],7,FALSE)</f>
        <v>no</v>
      </c>
      <c r="AW634" s="233" t="str">
        <f>VLOOKUP(Table8[[#This Row],[Country Code]],Table29[],8,FALSE)</f>
        <v>OECD</v>
      </c>
      <c r="AX634" s="233" t="str">
        <f>VLOOKUP(Table8[[#This Row],[Country Code]],Table29[],9,FALSE)</f>
        <v>no</v>
      </c>
      <c r="AY634" s="233" t="str">
        <f>VLOOKUP(Table8[[#This Row],[Country Code]],Table29[],10,FALSE)</f>
        <v>no</v>
      </c>
      <c r="AZ634" s="235">
        <f>VLOOKUP(Table8[[#This Row],[Country Code]],Table29[],23,FALSE)</f>
        <v>16.468143919330998</v>
      </c>
      <c r="BA634" s="235">
        <f>VLOOKUP(Table8[[#This Row],[Country Code]],Table29[],24,FALSE)</f>
        <v>6.1699800179976929</v>
      </c>
      <c r="BB634" s="320"/>
      <c r="BC634" s="320"/>
    </row>
    <row r="635" spans="1:55" hidden="1" x14ac:dyDescent="0.25">
      <c r="A635" s="373">
        <v>17577</v>
      </c>
      <c r="B635" s="233" t="str">
        <f>VLOOKUP(Table8[[#This Row],[Document ID]],Table1[],2,FALSE)</f>
        <v>DJI</v>
      </c>
      <c r="C635" s="233" t="str">
        <f>VLOOKUP(Table8[[#This Row],[Document ID]],Table1[],3,FALSE)</f>
        <v>Djibouti</v>
      </c>
      <c r="D635" s="243" t="str">
        <f>VLOOKUP(Table8[[#This Row],[Document ID]],Table1[],5,FALSE)</f>
        <v>NDC</v>
      </c>
      <c r="E635" s="233" t="str">
        <f>VLOOKUP(Table8[[#This Row],[Document ID]],Table1[],7,FALSE)</f>
        <v>First NDC</v>
      </c>
      <c r="F635" s="236" t="str">
        <f>VLOOKUP(Table8[[#This Row],[Document ID]],Table1[],8,FALSE)</f>
        <v>NDC 1.0</v>
      </c>
      <c r="G635" s="236" t="str">
        <f>VLOOKUP(Table8[[#This Row],[Document ID]],Table1[],10,FALSE)</f>
        <v>Active</v>
      </c>
      <c r="H635" s="44" t="s">
        <v>2338</v>
      </c>
      <c r="I635" s="44" t="s">
        <v>2339</v>
      </c>
      <c r="J635" s="44" t="s">
        <v>2451</v>
      </c>
      <c r="K635" s="44" t="s">
        <v>2964</v>
      </c>
      <c r="L635" s="44" t="s">
        <v>2333</v>
      </c>
      <c r="M635" s="43"/>
      <c r="N635" s="113"/>
      <c r="O635" s="113"/>
      <c r="P635" s="113"/>
      <c r="Q635" s="319"/>
      <c r="R635" s="319"/>
      <c r="S635" s="319"/>
      <c r="T635" s="319" t="s">
        <v>1113</v>
      </c>
      <c r="U635" s="319"/>
      <c r="V635" s="319"/>
      <c r="W635" s="319"/>
      <c r="X635" s="319"/>
      <c r="Y635" s="319"/>
      <c r="Z635" s="319"/>
      <c r="AA635" s="319"/>
      <c r="AB635" s="319"/>
      <c r="AC635" s="319"/>
      <c r="AD635" s="319"/>
      <c r="AE635" s="319"/>
      <c r="AF635" s="319"/>
      <c r="AG635" s="319"/>
      <c r="AH635" s="319"/>
      <c r="AI635" s="319"/>
      <c r="AJ635" s="319"/>
      <c r="AK635" s="319" t="s">
        <v>1113</v>
      </c>
      <c r="AL635" s="319"/>
      <c r="AM635" s="319"/>
      <c r="AN635" s="319"/>
      <c r="AO635" s="44" t="s">
        <v>2334</v>
      </c>
      <c r="AP635" s="44"/>
      <c r="AQ635" s="236" t="str">
        <f>VLOOKUP(Table8[[#This Row],[Instrument]],Def_Targets!$D$73:$E$159,2,FALSE)</f>
        <v>I_Inspection</v>
      </c>
      <c r="AR635" s="233" t="str">
        <f>VLOOKUP(Table8[[#This Row],[Country Code]],Table29[],3,FALSE)</f>
        <v>Non-Annex I</v>
      </c>
      <c r="AS635" s="233" t="str">
        <f>VLOOKUP(Table8[[#This Row],[Country Code]],Table29[],4,FALSE)</f>
        <v>Africa</v>
      </c>
      <c r="AT635" s="233" t="str">
        <f>VLOOKUP(Table8[[#This Row],[Country Code]],Table29[],5,FALSE)</f>
        <v>Middle-income</v>
      </c>
      <c r="AU635" s="233" t="str">
        <f>VLOOKUP(Table8[[#This Row],[Country Code]],Table29[],6,FALSE)</f>
        <v>no</v>
      </c>
      <c r="AV635" s="233" t="str">
        <f>VLOOKUP(Table8[[#This Row],[Country Code]],Table29[],7,FALSE)</f>
        <v>no</v>
      </c>
      <c r="AW635" s="233" t="str">
        <f>VLOOKUP(Table8[[#This Row],[Country Code]],Table29[],8,FALSE)</f>
        <v>non-OECD</v>
      </c>
      <c r="AX635" s="233" t="str">
        <f>VLOOKUP(Table8[[#This Row],[Country Code]],Table29[],9,FALSE)</f>
        <v>no</v>
      </c>
      <c r="AY635" s="233" t="str">
        <f>VLOOKUP(Table8[[#This Row],[Country Code]],Table29[],10,FALSE)</f>
        <v>MENA</v>
      </c>
      <c r="AZ635" s="235">
        <f>VLOOKUP(Table8[[#This Row],[Country Code]],Table29[],23,FALSE)</f>
        <v>2.1324079847021999</v>
      </c>
      <c r="BA635" s="235">
        <f>VLOOKUP(Table8[[#This Row],[Country Code]],Table29[],24,FALSE)</f>
        <v>0.3545557540757589</v>
      </c>
      <c r="BB635" s="320"/>
      <c r="BC635" s="320"/>
    </row>
    <row r="636" spans="1:55" hidden="1" x14ac:dyDescent="0.25">
      <c r="A636" s="373">
        <v>17577</v>
      </c>
      <c r="B636" s="233" t="str">
        <f>VLOOKUP(Table8[[#This Row],[Document ID]],Table1[],2,FALSE)</f>
        <v>DJI</v>
      </c>
      <c r="C636" s="233" t="str">
        <f>VLOOKUP(Table8[[#This Row],[Document ID]],Table1[],3,FALSE)</f>
        <v>Djibouti</v>
      </c>
      <c r="D636" s="243" t="str">
        <f>VLOOKUP(Table8[[#This Row],[Document ID]],Table1[],5,FALSE)</f>
        <v>NDC</v>
      </c>
      <c r="E636" s="233" t="str">
        <f>VLOOKUP(Table8[[#This Row],[Document ID]],Table1[],7,FALSE)</f>
        <v>First NDC</v>
      </c>
      <c r="F636" s="236" t="str">
        <f>VLOOKUP(Table8[[#This Row],[Document ID]],Table1[],8,FALSE)</f>
        <v>NDC 1.0</v>
      </c>
      <c r="G636" s="236" t="str">
        <f>VLOOKUP(Table8[[#This Row],[Document ID]],Table1[],10,FALSE)</f>
        <v>Active</v>
      </c>
      <c r="H636" s="43" t="s">
        <v>2350</v>
      </c>
      <c r="I636" s="43" t="s">
        <v>2407</v>
      </c>
      <c r="J636" s="44" t="s">
        <v>2408</v>
      </c>
      <c r="K636" s="44" t="s">
        <v>2964</v>
      </c>
      <c r="L636" s="44" t="s">
        <v>2333</v>
      </c>
      <c r="M636" s="43"/>
      <c r="N636" s="113"/>
      <c r="O636" s="113"/>
      <c r="P636" s="113"/>
      <c r="Q636" s="319"/>
      <c r="R636" s="319"/>
      <c r="S636" s="319"/>
      <c r="T636" s="319" t="s">
        <v>1113</v>
      </c>
      <c r="U636" s="319"/>
      <c r="V636" s="319"/>
      <c r="W636" s="319"/>
      <c r="X636" s="319"/>
      <c r="Y636" s="319"/>
      <c r="Z636" s="319"/>
      <c r="AA636" s="319"/>
      <c r="AB636" s="319"/>
      <c r="AC636" s="319"/>
      <c r="AD636" s="319"/>
      <c r="AE636" s="319"/>
      <c r="AF636" s="319"/>
      <c r="AG636" s="319"/>
      <c r="AH636" s="319"/>
      <c r="AI636" s="319"/>
      <c r="AJ636" s="319"/>
      <c r="AK636" s="319" t="s">
        <v>1113</v>
      </c>
      <c r="AL636" s="319"/>
      <c r="AM636" s="319"/>
      <c r="AN636" s="319"/>
      <c r="AO636" s="44" t="s">
        <v>2334</v>
      </c>
      <c r="AP636" s="44"/>
      <c r="AQ636" s="236" t="str">
        <f>VLOOKUP(Table8[[#This Row],[Instrument]],Def_Targets!$D$73:$E$159,2,FALSE)</f>
        <v>I_Education</v>
      </c>
      <c r="AR636" s="233" t="str">
        <f>VLOOKUP(Table8[[#This Row],[Country Code]],Table29[],3,FALSE)</f>
        <v>Non-Annex I</v>
      </c>
      <c r="AS636" s="233" t="str">
        <f>VLOOKUP(Table8[[#This Row],[Country Code]],Table29[],4,FALSE)</f>
        <v>Africa</v>
      </c>
      <c r="AT636" s="233" t="str">
        <f>VLOOKUP(Table8[[#This Row],[Country Code]],Table29[],5,FALSE)</f>
        <v>Middle-income</v>
      </c>
      <c r="AU636" s="233" t="str">
        <f>VLOOKUP(Table8[[#This Row],[Country Code]],Table29[],6,FALSE)</f>
        <v>no</v>
      </c>
      <c r="AV636" s="233" t="str">
        <f>VLOOKUP(Table8[[#This Row],[Country Code]],Table29[],7,FALSE)</f>
        <v>no</v>
      </c>
      <c r="AW636" s="233" t="str">
        <f>VLOOKUP(Table8[[#This Row],[Country Code]],Table29[],8,FALSE)</f>
        <v>non-OECD</v>
      </c>
      <c r="AX636" s="233" t="str">
        <f>VLOOKUP(Table8[[#This Row],[Country Code]],Table29[],9,FALSE)</f>
        <v>no</v>
      </c>
      <c r="AY636" s="233" t="str">
        <f>VLOOKUP(Table8[[#This Row],[Country Code]],Table29[],10,FALSE)</f>
        <v>MENA</v>
      </c>
      <c r="AZ636" s="235">
        <f>VLOOKUP(Table8[[#This Row],[Country Code]],Table29[],23,FALSE)</f>
        <v>2.1324079847021999</v>
      </c>
      <c r="BA636" s="235">
        <f>VLOOKUP(Table8[[#This Row],[Country Code]],Table29[],24,FALSE)</f>
        <v>0.3545557540757589</v>
      </c>
      <c r="BB636" s="320"/>
      <c r="BC636" s="320"/>
    </row>
    <row r="637" spans="1:55" hidden="1" x14ac:dyDescent="0.25">
      <c r="A637" s="373">
        <v>17577</v>
      </c>
      <c r="B637" s="233" t="str">
        <f>VLOOKUP(Table8[[#This Row],[Document ID]],Table1[],2,FALSE)</f>
        <v>DJI</v>
      </c>
      <c r="C637" s="233" t="str">
        <f>VLOOKUP(Table8[[#This Row],[Document ID]],Table1[],3,FALSE)</f>
        <v>Djibouti</v>
      </c>
      <c r="D637" s="243" t="str">
        <f>VLOOKUP(Table8[[#This Row],[Document ID]],Table1[],5,FALSE)</f>
        <v>NDC</v>
      </c>
      <c r="E637" s="233" t="str">
        <f>VLOOKUP(Table8[[#This Row],[Document ID]],Table1[],7,FALSE)</f>
        <v>First NDC</v>
      </c>
      <c r="F637" s="236" t="str">
        <f>VLOOKUP(Table8[[#This Row],[Document ID]],Table1[],8,FALSE)</f>
        <v>NDC 1.0</v>
      </c>
      <c r="G637" s="236" t="str">
        <f>VLOOKUP(Table8[[#This Row],[Document ID]],Table1[],10,FALSE)</f>
        <v>Active</v>
      </c>
      <c r="H637" s="43" t="s">
        <v>2343</v>
      </c>
      <c r="I637" s="43" t="s">
        <v>2344</v>
      </c>
      <c r="J637" s="44" t="s">
        <v>2405</v>
      </c>
      <c r="K637" s="44" t="s">
        <v>2965</v>
      </c>
      <c r="L637" s="44" t="s">
        <v>2347</v>
      </c>
      <c r="M637" s="43"/>
      <c r="N637" s="113"/>
      <c r="O637" s="113"/>
      <c r="P637" s="113"/>
      <c r="Q637" s="319"/>
      <c r="R637" s="319"/>
      <c r="S637" s="319"/>
      <c r="T637" s="319"/>
      <c r="U637" s="319"/>
      <c r="V637" s="319"/>
      <c r="W637" s="319"/>
      <c r="X637" s="319"/>
      <c r="Y637" s="319"/>
      <c r="Z637" s="113" t="s">
        <v>1113</v>
      </c>
      <c r="AA637" s="319"/>
      <c r="AB637" s="319"/>
      <c r="AC637" s="319"/>
      <c r="AD637" s="319"/>
      <c r="AE637" s="319"/>
      <c r="AF637" s="319"/>
      <c r="AG637" s="319"/>
      <c r="AH637" s="319"/>
      <c r="AI637" s="319"/>
      <c r="AJ637" s="319"/>
      <c r="AK637" s="319" t="s">
        <v>1113</v>
      </c>
      <c r="AL637" s="319"/>
      <c r="AM637" s="319"/>
      <c r="AN637" s="319"/>
      <c r="AO637" s="44" t="s">
        <v>2334</v>
      </c>
      <c r="AP637" s="44"/>
      <c r="AQ637" s="236" t="str">
        <f>VLOOKUP(Table8[[#This Row],[Instrument]],Def_Targets!$D$73:$E$159,2,FALSE)</f>
        <v>S_PTIntegration</v>
      </c>
      <c r="AR637" s="233" t="str">
        <f>VLOOKUP(Table8[[#This Row],[Country Code]],Table29[],3,FALSE)</f>
        <v>Non-Annex I</v>
      </c>
      <c r="AS637" s="233" t="str">
        <f>VLOOKUP(Table8[[#This Row],[Country Code]],Table29[],4,FALSE)</f>
        <v>Africa</v>
      </c>
      <c r="AT637" s="233" t="str">
        <f>VLOOKUP(Table8[[#This Row],[Country Code]],Table29[],5,FALSE)</f>
        <v>Middle-income</v>
      </c>
      <c r="AU637" s="233" t="str">
        <f>VLOOKUP(Table8[[#This Row],[Country Code]],Table29[],6,FALSE)</f>
        <v>no</v>
      </c>
      <c r="AV637" s="233" t="str">
        <f>VLOOKUP(Table8[[#This Row],[Country Code]],Table29[],7,FALSE)</f>
        <v>no</v>
      </c>
      <c r="AW637" s="233" t="str">
        <f>VLOOKUP(Table8[[#This Row],[Country Code]],Table29[],8,FALSE)</f>
        <v>non-OECD</v>
      </c>
      <c r="AX637" s="233" t="str">
        <f>VLOOKUP(Table8[[#This Row],[Country Code]],Table29[],9,FALSE)</f>
        <v>no</v>
      </c>
      <c r="AY637" s="233" t="str">
        <f>VLOOKUP(Table8[[#This Row],[Country Code]],Table29[],10,FALSE)</f>
        <v>MENA</v>
      </c>
      <c r="AZ637" s="235">
        <f>VLOOKUP(Table8[[#This Row],[Country Code]],Table29[],23,FALSE)</f>
        <v>2.1324079847021999</v>
      </c>
      <c r="BA637" s="235">
        <f>VLOOKUP(Table8[[#This Row],[Country Code]],Table29[],24,FALSE)</f>
        <v>0.3545557540757589</v>
      </c>
      <c r="BB637" s="320"/>
      <c r="BC637" s="320"/>
    </row>
    <row r="638" spans="1:55" ht="30" hidden="1" x14ac:dyDescent="0.25">
      <c r="A638" s="373">
        <v>17577</v>
      </c>
      <c r="B638" s="233" t="str">
        <f>VLOOKUP(Table8[[#This Row],[Document ID]],Table1[],2,FALSE)</f>
        <v>DJI</v>
      </c>
      <c r="C638" s="233" t="str">
        <f>VLOOKUP(Table8[[#This Row],[Document ID]],Table1[],3,FALSE)</f>
        <v>Djibouti</v>
      </c>
      <c r="D638" s="243" t="str">
        <f>VLOOKUP(Table8[[#This Row],[Document ID]],Table1[],5,FALSE)</f>
        <v>NDC</v>
      </c>
      <c r="E638" s="233" t="str">
        <f>VLOOKUP(Table8[[#This Row],[Document ID]],Table1[],7,FALSE)</f>
        <v>First NDC</v>
      </c>
      <c r="F638" s="236" t="str">
        <f>VLOOKUP(Table8[[#This Row],[Document ID]],Table1[],8,FALSE)</f>
        <v>NDC 1.0</v>
      </c>
      <c r="G638" s="236" t="str">
        <f>VLOOKUP(Table8[[#This Row],[Document ID]],Table1[],10,FALSE)</f>
        <v>Active</v>
      </c>
      <c r="H638" s="44" t="s">
        <v>2338</v>
      </c>
      <c r="I638" s="44" t="s">
        <v>2339</v>
      </c>
      <c r="J638" s="44" t="s">
        <v>2410</v>
      </c>
      <c r="K638" s="44" t="s">
        <v>2966</v>
      </c>
      <c r="L638" s="44" t="s">
        <v>2333</v>
      </c>
      <c r="M638" s="43"/>
      <c r="N638" s="113"/>
      <c r="O638" s="113"/>
      <c r="P638" s="113"/>
      <c r="Q638" s="319"/>
      <c r="R638" s="319"/>
      <c r="S638" s="319"/>
      <c r="T638" s="319"/>
      <c r="U638" s="113" t="s">
        <v>1113</v>
      </c>
      <c r="V638" s="319"/>
      <c r="W638" s="319"/>
      <c r="X638" s="319"/>
      <c r="Y638" s="319"/>
      <c r="Z638" s="319"/>
      <c r="AA638" s="319"/>
      <c r="AB638" s="319"/>
      <c r="AC638" s="319"/>
      <c r="AD638" s="319"/>
      <c r="AE638" s="319"/>
      <c r="AF638" s="319"/>
      <c r="AG638" s="319"/>
      <c r="AH638" s="319"/>
      <c r="AI638" s="319"/>
      <c r="AJ638" s="319"/>
      <c r="AK638" s="319" t="s">
        <v>1113</v>
      </c>
      <c r="AL638" s="319"/>
      <c r="AM638" s="319"/>
      <c r="AN638" s="319"/>
      <c r="AO638" s="44" t="s">
        <v>2334</v>
      </c>
      <c r="AP638" s="44"/>
      <c r="AQ638" s="236" t="str">
        <f>VLOOKUP(Table8[[#This Row],[Instrument]],Def_Targets!$D$73:$E$159,2,FALSE)</f>
        <v>I_VehicleRestrictions</v>
      </c>
      <c r="AR638" s="233" t="str">
        <f>VLOOKUP(Table8[[#This Row],[Country Code]],Table29[],3,FALSE)</f>
        <v>Non-Annex I</v>
      </c>
      <c r="AS638" s="233" t="str">
        <f>VLOOKUP(Table8[[#This Row],[Country Code]],Table29[],4,FALSE)</f>
        <v>Africa</v>
      </c>
      <c r="AT638" s="233" t="str">
        <f>VLOOKUP(Table8[[#This Row],[Country Code]],Table29[],5,FALSE)</f>
        <v>Middle-income</v>
      </c>
      <c r="AU638" s="233" t="str">
        <f>VLOOKUP(Table8[[#This Row],[Country Code]],Table29[],6,FALSE)</f>
        <v>no</v>
      </c>
      <c r="AV638" s="233" t="str">
        <f>VLOOKUP(Table8[[#This Row],[Country Code]],Table29[],7,FALSE)</f>
        <v>no</v>
      </c>
      <c r="AW638" s="233" t="str">
        <f>VLOOKUP(Table8[[#This Row],[Country Code]],Table29[],8,FALSE)</f>
        <v>non-OECD</v>
      </c>
      <c r="AX638" s="233" t="str">
        <f>VLOOKUP(Table8[[#This Row],[Country Code]],Table29[],9,FALSE)</f>
        <v>no</v>
      </c>
      <c r="AY638" s="233" t="str">
        <f>VLOOKUP(Table8[[#This Row],[Country Code]],Table29[],10,FALSE)</f>
        <v>MENA</v>
      </c>
      <c r="AZ638" s="235">
        <f>VLOOKUP(Table8[[#This Row],[Country Code]],Table29[],23,FALSE)</f>
        <v>2.1324079847021999</v>
      </c>
      <c r="BA638" s="235">
        <f>VLOOKUP(Table8[[#This Row],[Country Code]],Table29[],24,FALSE)</f>
        <v>0.3545557540757589</v>
      </c>
      <c r="BB638" s="320"/>
      <c r="BC638" s="320"/>
    </row>
    <row r="639" spans="1:55" ht="30" hidden="1" x14ac:dyDescent="0.25">
      <c r="A639" s="373">
        <v>17578</v>
      </c>
      <c r="B639" s="233" t="str">
        <f>VLOOKUP(Table8[[#This Row],[Document ID]],Table1[],2,FALSE)</f>
        <v>DMA</v>
      </c>
      <c r="C639" s="233" t="str">
        <f>VLOOKUP(Table8[[#This Row],[Document ID]],Table1[],3,FALSE)</f>
        <v>Dominica</v>
      </c>
      <c r="D639" s="243" t="str">
        <f>VLOOKUP(Table8[[#This Row],[Document ID]],Table1[],5,FALSE)</f>
        <v>NDC</v>
      </c>
      <c r="E639" s="233" t="str">
        <f>VLOOKUP(Table8[[#This Row],[Document ID]],Table1[],7,FALSE)</f>
        <v>First NDC</v>
      </c>
      <c r="F639" s="236" t="str">
        <f>VLOOKUP(Table8[[#This Row],[Document ID]],Table1[],8,FALSE)</f>
        <v>NDC 1.0</v>
      </c>
      <c r="G639" s="236" t="str">
        <f>VLOOKUP(Table8[[#This Row],[Document ID]],Table1[],10,FALSE)</f>
        <v>Archived</v>
      </c>
      <c r="H639" s="43" t="s">
        <v>2343</v>
      </c>
      <c r="I639" s="43" t="s">
        <v>2386</v>
      </c>
      <c r="J639" s="44" t="s">
        <v>2530</v>
      </c>
      <c r="K639" s="44" t="s">
        <v>2967</v>
      </c>
      <c r="L639" s="44" t="s">
        <v>2333</v>
      </c>
      <c r="M639" s="43"/>
      <c r="N639" s="113" t="s">
        <v>1113</v>
      </c>
      <c r="O639" s="113"/>
      <c r="P639" s="113"/>
      <c r="Q639" s="319"/>
      <c r="R639" s="319"/>
      <c r="S639" s="319"/>
      <c r="T639" s="319"/>
      <c r="U639" s="319"/>
      <c r="V639" s="319"/>
      <c r="W639" s="319"/>
      <c r="X639" s="319"/>
      <c r="Y639" s="319"/>
      <c r="Z639" s="319"/>
      <c r="AA639" s="319"/>
      <c r="AB639" s="319"/>
      <c r="AC639" s="319"/>
      <c r="AD639" s="319"/>
      <c r="AE639" s="319"/>
      <c r="AF639" s="319"/>
      <c r="AG639" s="319"/>
      <c r="AH639" s="319"/>
      <c r="AI639" s="319"/>
      <c r="AJ639" s="319"/>
      <c r="AK639" s="319" t="s">
        <v>1113</v>
      </c>
      <c r="AL639" s="319"/>
      <c r="AM639" s="319"/>
      <c r="AN639" s="319"/>
      <c r="AO639" s="44" t="s">
        <v>2334</v>
      </c>
      <c r="AP639" s="44"/>
      <c r="AQ639" s="236" t="str">
        <f>VLOOKUP(Table8[[#This Row],[Instrument]],Def_Targets!$D$73:$E$159,2,FALSE)</f>
        <v>A_Vehicletax</v>
      </c>
      <c r="AR639" s="233" t="str">
        <f>VLOOKUP(Table8[[#This Row],[Country Code]],Table29[],3,FALSE)</f>
        <v>Non-Annex I</v>
      </c>
      <c r="AS639" s="233" t="str">
        <f>VLOOKUP(Table8[[#This Row],[Country Code]],Table29[],4,FALSE)</f>
        <v>Latin America and the Caribbean</v>
      </c>
      <c r="AT639" s="233" t="str">
        <f>VLOOKUP(Table8[[#This Row],[Country Code]],Table29[],5,FALSE)</f>
        <v>Middle-income</v>
      </c>
      <c r="AU639" s="233" t="str">
        <f>VLOOKUP(Table8[[#This Row],[Country Code]],Table29[],6,FALSE)</f>
        <v>no</v>
      </c>
      <c r="AV639" s="233" t="str">
        <f>VLOOKUP(Table8[[#This Row],[Country Code]],Table29[],7,FALSE)</f>
        <v>no</v>
      </c>
      <c r="AW639" s="233" t="str">
        <f>VLOOKUP(Table8[[#This Row],[Country Code]],Table29[],8,FALSE)</f>
        <v>non-OECD</v>
      </c>
      <c r="AX639" s="233" t="str">
        <f>VLOOKUP(Table8[[#This Row],[Country Code]],Table29[],9,FALSE)</f>
        <v>no</v>
      </c>
      <c r="AY639" s="233" t="str">
        <f>VLOOKUP(Table8[[#This Row],[Country Code]],Table29[],10,FALSE)</f>
        <v>no</v>
      </c>
      <c r="AZ639" s="235">
        <f>VLOOKUP(Table8[[#This Row],[Country Code]],Table29[],23,FALSE)</f>
        <v>0.14691940907449</v>
      </c>
      <c r="BA639" s="235">
        <f>VLOOKUP(Table8[[#This Row],[Country Code]],Table29[],24,FALSE)</f>
        <v>2.8004429294222619E-2</v>
      </c>
      <c r="BB639" s="320"/>
      <c r="BC639" s="320"/>
    </row>
    <row r="640" spans="1:55" ht="90" hidden="1" x14ac:dyDescent="0.25">
      <c r="A640" s="373">
        <v>17578</v>
      </c>
      <c r="B640" s="233" t="str">
        <f>VLOOKUP(Table8[[#This Row],[Document ID]],Table1[],2,FALSE)</f>
        <v>DMA</v>
      </c>
      <c r="C640" s="233" t="str">
        <f>VLOOKUP(Table8[[#This Row],[Document ID]],Table1[],3,FALSE)</f>
        <v>Dominica</v>
      </c>
      <c r="D640" s="243" t="str">
        <f>VLOOKUP(Table8[[#This Row],[Document ID]],Table1[],5,FALSE)</f>
        <v>NDC</v>
      </c>
      <c r="E640" s="233" t="str">
        <f>VLOOKUP(Table8[[#This Row],[Document ID]],Table1[],7,FALSE)</f>
        <v>First NDC</v>
      </c>
      <c r="F640" s="236" t="str">
        <f>VLOOKUP(Table8[[#This Row],[Document ID]],Table1[],8,FALSE)</f>
        <v>NDC 1.0</v>
      </c>
      <c r="G640" s="236" t="str">
        <f>VLOOKUP(Table8[[#This Row],[Document ID]],Table1[],10,FALSE)</f>
        <v>Archived</v>
      </c>
      <c r="H640" s="43" t="s">
        <v>2358</v>
      </c>
      <c r="I640" s="43" t="s">
        <v>2359</v>
      </c>
      <c r="J640" s="44" t="s">
        <v>2389</v>
      </c>
      <c r="K640" s="44" t="s">
        <v>2968</v>
      </c>
      <c r="L640" s="44" t="s">
        <v>2333</v>
      </c>
      <c r="M640" s="43"/>
      <c r="N640" s="113"/>
      <c r="O640" s="113"/>
      <c r="P640" s="113"/>
      <c r="Q640" s="319"/>
      <c r="R640" s="319"/>
      <c r="S640" s="113" t="s">
        <v>1113</v>
      </c>
      <c r="T640" s="319"/>
      <c r="U640" s="319"/>
      <c r="V640" s="319"/>
      <c r="W640" s="319"/>
      <c r="X640" s="319"/>
      <c r="Y640" s="319"/>
      <c r="Z640" s="319"/>
      <c r="AA640" s="319"/>
      <c r="AB640" s="319"/>
      <c r="AC640" s="319"/>
      <c r="AD640" s="319"/>
      <c r="AE640" s="319"/>
      <c r="AF640" s="319"/>
      <c r="AG640" s="319"/>
      <c r="AH640" s="319"/>
      <c r="AI640" s="319"/>
      <c r="AJ640" s="319"/>
      <c r="AK640" s="319" t="s">
        <v>1113</v>
      </c>
      <c r="AL640" s="319"/>
      <c r="AM640" s="319"/>
      <c r="AN640" s="319"/>
      <c r="AO640" s="44" t="s">
        <v>2334</v>
      </c>
      <c r="AP640" s="44"/>
      <c r="AQ640" s="236" t="str">
        <f>VLOOKUP(Table8[[#This Row],[Instrument]],Def_Targets!$D$73:$E$159,2,FALSE)</f>
        <v>I_Emobilitypurchase</v>
      </c>
      <c r="AR640" s="233" t="str">
        <f>VLOOKUP(Table8[[#This Row],[Country Code]],Table29[],3,FALSE)</f>
        <v>Non-Annex I</v>
      </c>
      <c r="AS640" s="233" t="str">
        <f>VLOOKUP(Table8[[#This Row],[Country Code]],Table29[],4,FALSE)</f>
        <v>Latin America and the Caribbean</v>
      </c>
      <c r="AT640" s="233" t="str">
        <f>VLOOKUP(Table8[[#This Row],[Country Code]],Table29[],5,FALSE)</f>
        <v>Middle-income</v>
      </c>
      <c r="AU640" s="233" t="str">
        <f>VLOOKUP(Table8[[#This Row],[Country Code]],Table29[],6,FALSE)</f>
        <v>no</v>
      </c>
      <c r="AV640" s="233" t="str">
        <f>VLOOKUP(Table8[[#This Row],[Country Code]],Table29[],7,FALSE)</f>
        <v>no</v>
      </c>
      <c r="AW640" s="233" t="str">
        <f>VLOOKUP(Table8[[#This Row],[Country Code]],Table29[],8,FALSE)</f>
        <v>non-OECD</v>
      </c>
      <c r="AX640" s="233" t="str">
        <f>VLOOKUP(Table8[[#This Row],[Country Code]],Table29[],9,FALSE)</f>
        <v>no</v>
      </c>
      <c r="AY640" s="233" t="str">
        <f>VLOOKUP(Table8[[#This Row],[Country Code]],Table29[],10,FALSE)</f>
        <v>no</v>
      </c>
      <c r="AZ640" s="235">
        <f>VLOOKUP(Table8[[#This Row],[Country Code]],Table29[],23,FALSE)</f>
        <v>0.14691940907449</v>
      </c>
      <c r="BA640" s="235">
        <f>VLOOKUP(Table8[[#This Row],[Country Code]],Table29[],24,FALSE)</f>
        <v>2.8004429294222619E-2</v>
      </c>
      <c r="BB640" s="320"/>
      <c r="BC640" s="320"/>
    </row>
    <row r="641" spans="1:55" ht="90" hidden="1" x14ac:dyDescent="0.25">
      <c r="A641" s="373">
        <v>17578</v>
      </c>
      <c r="B641" s="233" t="str">
        <f>VLOOKUP(Table8[[#This Row],[Document ID]],Table1[],2,FALSE)</f>
        <v>DMA</v>
      </c>
      <c r="C641" s="233" t="str">
        <f>VLOOKUP(Table8[[#This Row],[Document ID]],Table1[],3,FALSE)</f>
        <v>Dominica</v>
      </c>
      <c r="D641" s="243" t="str">
        <f>VLOOKUP(Table8[[#This Row],[Document ID]],Table1[],5,FALSE)</f>
        <v>NDC</v>
      </c>
      <c r="E641" s="233" t="str">
        <f>VLOOKUP(Table8[[#This Row],[Document ID]],Table1[],7,FALSE)</f>
        <v>First NDC</v>
      </c>
      <c r="F641" s="236" t="str">
        <f>VLOOKUP(Table8[[#This Row],[Document ID]],Table1[],8,FALSE)</f>
        <v>NDC 1.0</v>
      </c>
      <c r="G641" s="236" t="str">
        <f>VLOOKUP(Table8[[#This Row],[Document ID]],Table1[],10,FALSE)</f>
        <v>Archived</v>
      </c>
      <c r="H641" s="43" t="s">
        <v>2343</v>
      </c>
      <c r="I641" s="43" t="s">
        <v>2386</v>
      </c>
      <c r="J641" s="44" t="s">
        <v>2387</v>
      </c>
      <c r="K641" s="44" t="s">
        <v>2968</v>
      </c>
      <c r="L641" s="44" t="s">
        <v>2333</v>
      </c>
      <c r="M641" s="43"/>
      <c r="N641" s="113"/>
      <c r="O641" s="113"/>
      <c r="P641" s="113"/>
      <c r="Q641" s="319"/>
      <c r="R641" s="319"/>
      <c r="S641" s="113" t="s">
        <v>1113</v>
      </c>
      <c r="T641" s="319"/>
      <c r="U641" s="319"/>
      <c r="V641" s="319"/>
      <c r="W641" s="319"/>
      <c r="X641" s="319"/>
      <c r="Y641" s="319"/>
      <c r="Z641" s="319"/>
      <c r="AA641" s="319"/>
      <c r="AB641" s="319"/>
      <c r="AC641" s="319"/>
      <c r="AD641" s="319"/>
      <c r="AE641" s="319"/>
      <c r="AF641" s="319"/>
      <c r="AG641" s="319"/>
      <c r="AH641" s="319"/>
      <c r="AI641" s="319"/>
      <c r="AJ641" s="319"/>
      <c r="AK641" s="319" t="s">
        <v>1113</v>
      </c>
      <c r="AL641" s="319"/>
      <c r="AM641" s="319"/>
      <c r="AN641" s="319"/>
      <c r="AO641" s="44" t="s">
        <v>2334</v>
      </c>
      <c r="AP641" s="44"/>
      <c r="AQ641" s="236" t="str">
        <f>VLOOKUP(Table8[[#This Row],[Instrument]],Def_Targets!$D$73:$E$159,2,FALSE)</f>
        <v>A_Procurement</v>
      </c>
      <c r="AR641" s="233" t="str">
        <f>VLOOKUP(Table8[[#This Row],[Country Code]],Table29[],3,FALSE)</f>
        <v>Non-Annex I</v>
      </c>
      <c r="AS641" s="233" t="str">
        <f>VLOOKUP(Table8[[#This Row],[Country Code]],Table29[],4,FALSE)</f>
        <v>Latin America and the Caribbean</v>
      </c>
      <c r="AT641" s="233" t="str">
        <f>VLOOKUP(Table8[[#This Row],[Country Code]],Table29[],5,FALSE)</f>
        <v>Middle-income</v>
      </c>
      <c r="AU641" s="233" t="str">
        <f>VLOOKUP(Table8[[#This Row],[Country Code]],Table29[],6,FALSE)</f>
        <v>no</v>
      </c>
      <c r="AV641" s="233" t="str">
        <f>VLOOKUP(Table8[[#This Row],[Country Code]],Table29[],7,FALSE)</f>
        <v>no</v>
      </c>
      <c r="AW641" s="233" t="str">
        <f>VLOOKUP(Table8[[#This Row],[Country Code]],Table29[],8,FALSE)</f>
        <v>non-OECD</v>
      </c>
      <c r="AX641" s="233" t="str">
        <f>VLOOKUP(Table8[[#This Row],[Country Code]],Table29[],9,FALSE)</f>
        <v>no</v>
      </c>
      <c r="AY641" s="233" t="str">
        <f>VLOOKUP(Table8[[#This Row],[Country Code]],Table29[],10,FALSE)</f>
        <v>no</v>
      </c>
      <c r="AZ641" s="235">
        <f>VLOOKUP(Table8[[#This Row],[Country Code]],Table29[],23,FALSE)</f>
        <v>0.14691940907449</v>
      </c>
      <c r="BA641" s="235">
        <f>VLOOKUP(Table8[[#This Row],[Country Code]],Table29[],24,FALSE)</f>
        <v>2.8004429294222619E-2</v>
      </c>
      <c r="BB641" s="320"/>
      <c r="BC641" s="320"/>
    </row>
    <row r="642" spans="1:55" ht="90" hidden="1" x14ac:dyDescent="0.25">
      <c r="A642" s="373">
        <v>17578</v>
      </c>
      <c r="B642" s="233" t="str">
        <f>VLOOKUP(Table8[[#This Row],[Document ID]],Table1[],2,FALSE)</f>
        <v>DMA</v>
      </c>
      <c r="C642" s="233" t="str">
        <f>VLOOKUP(Table8[[#This Row],[Document ID]],Table1[],3,FALSE)</f>
        <v>Dominica</v>
      </c>
      <c r="D642" s="243" t="str">
        <f>VLOOKUP(Table8[[#This Row],[Document ID]],Table1[],5,FALSE)</f>
        <v>NDC</v>
      </c>
      <c r="E642" s="233" t="str">
        <f>VLOOKUP(Table8[[#This Row],[Document ID]],Table1[],7,FALSE)</f>
        <v>First NDC</v>
      </c>
      <c r="F642" s="236" t="str">
        <f>VLOOKUP(Table8[[#This Row],[Document ID]],Table1[],8,FALSE)</f>
        <v>NDC 1.0</v>
      </c>
      <c r="G642" s="236" t="str">
        <f>VLOOKUP(Table8[[#This Row],[Document ID]],Table1[],10,FALSE)</f>
        <v>Archived</v>
      </c>
      <c r="H642" s="43" t="s">
        <v>2343</v>
      </c>
      <c r="I642" s="43" t="s">
        <v>2386</v>
      </c>
      <c r="J642" s="44" t="s">
        <v>2412</v>
      </c>
      <c r="K642" s="44" t="s">
        <v>2968</v>
      </c>
      <c r="L642" s="44" t="s">
        <v>2333</v>
      </c>
      <c r="M642" s="43"/>
      <c r="N642" s="113"/>
      <c r="O642" s="113"/>
      <c r="P642" s="113"/>
      <c r="Q642" s="319"/>
      <c r="R642" s="319"/>
      <c r="S642" s="113" t="s">
        <v>1113</v>
      </c>
      <c r="T642" s="319"/>
      <c r="U642" s="319"/>
      <c r="V642" s="319"/>
      <c r="W642" s="319"/>
      <c r="X642" s="319"/>
      <c r="Y642" s="319"/>
      <c r="Z642" s="319"/>
      <c r="AA642" s="319"/>
      <c r="AB642" s="319"/>
      <c r="AC642" s="319"/>
      <c r="AD642" s="319"/>
      <c r="AE642" s="319"/>
      <c r="AF642" s="319"/>
      <c r="AG642" s="319"/>
      <c r="AH642" s="319"/>
      <c r="AI642" s="319"/>
      <c r="AJ642" s="319"/>
      <c r="AK642" s="319" t="s">
        <v>1113</v>
      </c>
      <c r="AL642" s="319"/>
      <c r="AM642" s="319"/>
      <c r="AN642" s="319"/>
      <c r="AO642" s="44" t="s">
        <v>2334</v>
      </c>
      <c r="AP642" s="44"/>
      <c r="AQ642" s="236" t="str">
        <f>VLOOKUP(Table8[[#This Row],[Instrument]],Def_Targets!$D$73:$E$159,2,FALSE)</f>
        <v>A_Economic</v>
      </c>
      <c r="AR642" s="233" t="str">
        <f>VLOOKUP(Table8[[#This Row],[Country Code]],Table29[],3,FALSE)</f>
        <v>Non-Annex I</v>
      </c>
      <c r="AS642" s="233" t="str">
        <f>VLOOKUP(Table8[[#This Row],[Country Code]],Table29[],4,FALSE)</f>
        <v>Latin America and the Caribbean</v>
      </c>
      <c r="AT642" s="233" t="str">
        <f>VLOOKUP(Table8[[#This Row],[Country Code]],Table29[],5,FALSE)</f>
        <v>Middle-income</v>
      </c>
      <c r="AU642" s="233" t="str">
        <f>VLOOKUP(Table8[[#This Row],[Country Code]],Table29[],6,FALSE)</f>
        <v>no</v>
      </c>
      <c r="AV642" s="233" t="str">
        <f>VLOOKUP(Table8[[#This Row],[Country Code]],Table29[],7,FALSE)</f>
        <v>no</v>
      </c>
      <c r="AW642" s="233" t="str">
        <f>VLOOKUP(Table8[[#This Row],[Country Code]],Table29[],8,FALSE)</f>
        <v>non-OECD</v>
      </c>
      <c r="AX642" s="233" t="str">
        <f>VLOOKUP(Table8[[#This Row],[Country Code]],Table29[],9,FALSE)</f>
        <v>no</v>
      </c>
      <c r="AY642" s="233" t="str">
        <f>VLOOKUP(Table8[[#This Row],[Country Code]],Table29[],10,FALSE)</f>
        <v>no</v>
      </c>
      <c r="AZ642" s="235">
        <f>VLOOKUP(Table8[[#This Row],[Country Code]],Table29[],23,FALSE)</f>
        <v>0.14691940907449</v>
      </c>
      <c r="BA642" s="235">
        <f>VLOOKUP(Table8[[#This Row],[Country Code]],Table29[],24,FALSE)</f>
        <v>2.8004429294222619E-2</v>
      </c>
      <c r="BB642" s="320"/>
      <c r="BC642" s="320"/>
    </row>
    <row r="643" spans="1:55" hidden="1" x14ac:dyDescent="0.25">
      <c r="A643" s="373">
        <v>29230</v>
      </c>
      <c r="B643" s="233" t="str">
        <f>VLOOKUP(Table8[[#This Row],[Document ID]],Table1[],2,FALSE)</f>
        <v>DMA</v>
      </c>
      <c r="C643" s="233" t="str">
        <f>VLOOKUP(Table8[[#This Row],[Document ID]],Table1[],3,FALSE)</f>
        <v>Dominica</v>
      </c>
      <c r="D643" s="243" t="str">
        <f>VLOOKUP(Table8[[#This Row],[Document ID]],Table1[],5,FALSE)</f>
        <v>NDC</v>
      </c>
      <c r="E643" s="233" t="str">
        <f>VLOOKUP(Table8[[#This Row],[Document ID]],Table1[],7,FALSE)</f>
        <v>First NDC updated</v>
      </c>
      <c r="F643" s="233" t="str">
        <f>VLOOKUP(Table8[[#This Row],[Document ID]],Table1[],8,FALSE)</f>
        <v>NDC 1.1</v>
      </c>
      <c r="G643" s="233" t="str">
        <f>VLOOKUP(Table8[[#This Row],[Document ID]],Table1[],10,FALSE)</f>
        <v>Active</v>
      </c>
      <c r="H643" s="44" t="s">
        <v>2329</v>
      </c>
      <c r="I643" s="44" t="s">
        <v>2330</v>
      </c>
      <c r="J643" s="44" t="s">
        <v>2381</v>
      </c>
      <c r="K643" s="44" t="s">
        <v>2969</v>
      </c>
      <c r="L643" s="44" t="s">
        <v>2333</v>
      </c>
      <c r="M643" s="43">
        <v>10</v>
      </c>
      <c r="N643" s="113" t="s">
        <v>1113</v>
      </c>
      <c r="O643" s="113"/>
      <c r="P643" s="113"/>
      <c r="Q643" s="113"/>
      <c r="R643" s="113"/>
      <c r="S643" s="113"/>
      <c r="T643" s="113"/>
      <c r="U643" s="113"/>
      <c r="V643" s="113"/>
      <c r="W643" s="113"/>
      <c r="X643" s="113"/>
      <c r="Y643" s="113"/>
      <c r="Z643" s="113"/>
      <c r="AA643" s="113"/>
      <c r="AB643" s="113"/>
      <c r="AC643" s="113"/>
      <c r="AD643" s="113"/>
      <c r="AE643" s="113"/>
      <c r="AF643" s="113"/>
      <c r="AG643" s="113"/>
      <c r="AH643" s="113"/>
      <c r="AI643" s="113"/>
      <c r="AJ643" s="113"/>
      <c r="AK643" s="113" t="s">
        <v>1113</v>
      </c>
      <c r="AL643" s="113"/>
      <c r="AM643" s="113"/>
      <c r="AN643" s="113"/>
      <c r="AO643" s="44" t="s">
        <v>2334</v>
      </c>
      <c r="AP643" s="43"/>
      <c r="AQ643" s="236" t="str">
        <f>VLOOKUP(Table8[[#This Row],[Instrument]],Def_Targets!$D$73:$E$159,2,FALSE)</f>
        <v>I_RE</v>
      </c>
      <c r="AR643" s="233" t="str">
        <f>VLOOKUP(Table8[[#This Row],[Country Code]],Table29[],3,FALSE)</f>
        <v>Non-Annex I</v>
      </c>
      <c r="AS643" s="233" t="str">
        <f>VLOOKUP(Table8[[#This Row],[Country Code]],Table29[],4,FALSE)</f>
        <v>Latin America and the Caribbean</v>
      </c>
      <c r="AT643" s="233" t="str">
        <f>VLOOKUP(Table8[[#This Row],[Country Code]],Table29[],5,FALSE)</f>
        <v>Middle-income</v>
      </c>
      <c r="AU643" s="233" t="str">
        <f>VLOOKUP(Table8[[#This Row],[Country Code]],Table29[],6,FALSE)</f>
        <v>no</v>
      </c>
      <c r="AV643" s="233" t="str">
        <f>VLOOKUP(Table8[[#This Row],[Country Code]],Table29[],7,FALSE)</f>
        <v>no</v>
      </c>
      <c r="AW643" s="233" t="str">
        <f>VLOOKUP(Table8[[#This Row],[Country Code]],Table29[],8,FALSE)</f>
        <v>non-OECD</v>
      </c>
      <c r="AX643" s="233" t="str">
        <f>VLOOKUP(Table8[[#This Row],[Country Code]],Table29[],9,FALSE)</f>
        <v>no</v>
      </c>
      <c r="AY643" s="233" t="str">
        <f>VLOOKUP(Table8[[#This Row],[Country Code]],Table29[],10,FALSE)</f>
        <v>no</v>
      </c>
      <c r="AZ643" s="235">
        <f>VLOOKUP(Table8[[#This Row],[Country Code]],Table29[],23,FALSE)</f>
        <v>0.14691940907449</v>
      </c>
      <c r="BA643" s="235">
        <f>VLOOKUP(Table8[[#This Row],[Country Code]],Table29[],24,FALSE)</f>
        <v>2.8004429294222619E-2</v>
      </c>
      <c r="BB643" s="320"/>
      <c r="BC643" s="320"/>
    </row>
    <row r="644" spans="1:55" hidden="1" x14ac:dyDescent="0.25">
      <c r="A644" s="373">
        <v>29230</v>
      </c>
      <c r="B644" s="233" t="str">
        <f>VLOOKUP(Table8[[#This Row],[Document ID]],Table1[],2,FALSE)</f>
        <v>DMA</v>
      </c>
      <c r="C644" s="233" t="str">
        <f>VLOOKUP(Table8[[#This Row],[Document ID]],Table1[],3,FALSE)</f>
        <v>Dominica</v>
      </c>
      <c r="D644" s="243" t="str">
        <f>VLOOKUP(Table8[[#This Row],[Document ID]],Table1[],5,FALSE)</f>
        <v>NDC</v>
      </c>
      <c r="E644" s="233" t="str">
        <f>VLOOKUP(Table8[[#This Row],[Document ID]],Table1[],7,FALSE)</f>
        <v>First NDC updated</v>
      </c>
      <c r="F644" s="233" t="str">
        <f>VLOOKUP(Table8[[#This Row],[Document ID]],Table1[],8,FALSE)</f>
        <v>NDC 1.1</v>
      </c>
      <c r="G644" s="233" t="str">
        <f>VLOOKUP(Table8[[#This Row],[Document ID]],Table1[],10,FALSE)</f>
        <v>Active</v>
      </c>
      <c r="H644" s="43" t="s">
        <v>2358</v>
      </c>
      <c r="I644" s="43" t="s">
        <v>2359</v>
      </c>
      <c r="J644" s="44" t="s">
        <v>2360</v>
      </c>
      <c r="K644" s="44" t="s">
        <v>2970</v>
      </c>
      <c r="L644" s="44" t="s">
        <v>2333</v>
      </c>
      <c r="M644" s="43">
        <v>52</v>
      </c>
      <c r="N644" s="113" t="s">
        <v>1113</v>
      </c>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t="s">
        <v>1113</v>
      </c>
      <c r="AL644" s="113"/>
      <c r="AM644" s="113"/>
      <c r="AN644" s="113"/>
      <c r="AO644" s="44" t="s">
        <v>2334</v>
      </c>
      <c r="AP644" s="43"/>
      <c r="AQ644" s="236" t="str">
        <f>VLOOKUP(Table8[[#This Row],[Instrument]],Def_Targets!$D$73:$E$159,2,FALSE)</f>
        <v>I_Emobility</v>
      </c>
      <c r="AR644" s="233" t="str">
        <f>VLOOKUP(Table8[[#This Row],[Country Code]],Table29[],3,FALSE)</f>
        <v>Non-Annex I</v>
      </c>
      <c r="AS644" s="233" t="str">
        <f>VLOOKUP(Table8[[#This Row],[Country Code]],Table29[],4,FALSE)</f>
        <v>Latin America and the Caribbean</v>
      </c>
      <c r="AT644" s="233" t="str">
        <f>VLOOKUP(Table8[[#This Row],[Country Code]],Table29[],5,FALSE)</f>
        <v>Middle-income</v>
      </c>
      <c r="AU644" s="233" t="str">
        <f>VLOOKUP(Table8[[#This Row],[Country Code]],Table29[],6,FALSE)</f>
        <v>no</v>
      </c>
      <c r="AV644" s="233" t="str">
        <f>VLOOKUP(Table8[[#This Row],[Country Code]],Table29[],7,FALSE)</f>
        <v>no</v>
      </c>
      <c r="AW644" s="233" t="str">
        <f>VLOOKUP(Table8[[#This Row],[Country Code]],Table29[],8,FALSE)</f>
        <v>non-OECD</v>
      </c>
      <c r="AX644" s="233" t="str">
        <f>VLOOKUP(Table8[[#This Row],[Country Code]],Table29[],9,FALSE)</f>
        <v>no</v>
      </c>
      <c r="AY644" s="233" t="str">
        <f>VLOOKUP(Table8[[#This Row],[Country Code]],Table29[],10,FALSE)</f>
        <v>no</v>
      </c>
      <c r="AZ644" s="235">
        <f>VLOOKUP(Table8[[#This Row],[Country Code]],Table29[],23,FALSE)</f>
        <v>0.14691940907449</v>
      </c>
      <c r="BA644" s="235">
        <f>VLOOKUP(Table8[[#This Row],[Country Code]],Table29[],24,FALSE)</f>
        <v>2.8004429294222619E-2</v>
      </c>
      <c r="BB644" s="320"/>
      <c r="BC644" s="320"/>
    </row>
    <row r="645" spans="1:55" ht="45" hidden="1" x14ac:dyDescent="0.25">
      <c r="A645" s="373">
        <v>29230</v>
      </c>
      <c r="B645" s="233" t="str">
        <f>VLOOKUP(Table8[[#This Row],[Document ID]],Table1[],2,FALSE)</f>
        <v>DMA</v>
      </c>
      <c r="C645" s="233" t="str">
        <f>VLOOKUP(Table8[[#This Row],[Document ID]],Table1[],3,FALSE)</f>
        <v>Dominica</v>
      </c>
      <c r="D645" s="243" t="str">
        <f>VLOOKUP(Table8[[#This Row],[Document ID]],Table1[],5,FALSE)</f>
        <v>NDC</v>
      </c>
      <c r="E645" s="233" t="str">
        <f>VLOOKUP(Table8[[#This Row],[Document ID]],Table1[],7,FALSE)</f>
        <v>First NDC updated</v>
      </c>
      <c r="F645" s="233" t="str">
        <f>VLOOKUP(Table8[[#This Row],[Document ID]],Table1[],8,FALSE)</f>
        <v>NDC 1.1</v>
      </c>
      <c r="G645" s="233" t="str">
        <f>VLOOKUP(Table8[[#This Row],[Document ID]],Table1[],10,FALSE)</f>
        <v>Active</v>
      </c>
      <c r="H645" s="43" t="s">
        <v>2358</v>
      </c>
      <c r="I645" s="43" t="s">
        <v>2359</v>
      </c>
      <c r="J645" s="44" t="s">
        <v>2383</v>
      </c>
      <c r="K645" s="44" t="s">
        <v>2971</v>
      </c>
      <c r="L645" s="44" t="s">
        <v>2333</v>
      </c>
      <c r="M645" s="43">
        <v>52</v>
      </c>
      <c r="N645" s="113"/>
      <c r="O645" s="113"/>
      <c r="P645" s="113"/>
      <c r="Q645" s="113"/>
      <c r="R645" s="113"/>
      <c r="S645" s="113" t="s">
        <v>1113</v>
      </c>
      <c r="T645" s="113"/>
      <c r="U645" s="113" t="s">
        <v>1113</v>
      </c>
      <c r="V645" s="113"/>
      <c r="W645" s="113"/>
      <c r="X645" s="113"/>
      <c r="Y645" s="113" t="s">
        <v>1113</v>
      </c>
      <c r="Z645" s="113"/>
      <c r="AA645" s="113"/>
      <c r="AB645" s="113"/>
      <c r="AC645" s="113"/>
      <c r="AD645" s="113"/>
      <c r="AE645" s="113"/>
      <c r="AF645" s="113"/>
      <c r="AG645" s="113"/>
      <c r="AH645" s="113"/>
      <c r="AI645" s="113"/>
      <c r="AJ645" s="113"/>
      <c r="AK645" s="113" t="s">
        <v>1113</v>
      </c>
      <c r="AL645" s="113"/>
      <c r="AM645" s="113"/>
      <c r="AN645" s="113"/>
      <c r="AO645" s="44" t="s">
        <v>2334</v>
      </c>
      <c r="AP645" s="43"/>
      <c r="AQ645" s="236" t="str">
        <f>VLOOKUP(Table8[[#This Row],[Instrument]],Def_Targets!$D$73:$E$159,2,FALSE)</f>
        <v>I_Emobilitycharging</v>
      </c>
      <c r="AR645" s="233" t="str">
        <f>VLOOKUP(Table8[[#This Row],[Country Code]],Table29[],3,FALSE)</f>
        <v>Non-Annex I</v>
      </c>
      <c r="AS645" s="233" t="str">
        <f>VLOOKUP(Table8[[#This Row],[Country Code]],Table29[],4,FALSE)</f>
        <v>Latin America and the Caribbean</v>
      </c>
      <c r="AT645" s="233" t="str">
        <f>VLOOKUP(Table8[[#This Row],[Country Code]],Table29[],5,FALSE)</f>
        <v>Middle-income</v>
      </c>
      <c r="AU645" s="233" t="str">
        <f>VLOOKUP(Table8[[#This Row],[Country Code]],Table29[],6,FALSE)</f>
        <v>no</v>
      </c>
      <c r="AV645" s="233" t="str">
        <f>VLOOKUP(Table8[[#This Row],[Country Code]],Table29[],7,FALSE)</f>
        <v>no</v>
      </c>
      <c r="AW645" s="233" t="str">
        <f>VLOOKUP(Table8[[#This Row],[Country Code]],Table29[],8,FALSE)</f>
        <v>non-OECD</v>
      </c>
      <c r="AX645" s="233" t="str">
        <f>VLOOKUP(Table8[[#This Row],[Country Code]],Table29[],9,FALSE)</f>
        <v>no</v>
      </c>
      <c r="AY645" s="233" t="str">
        <f>VLOOKUP(Table8[[#This Row],[Country Code]],Table29[],10,FALSE)</f>
        <v>no</v>
      </c>
      <c r="AZ645" s="235">
        <f>VLOOKUP(Table8[[#This Row],[Country Code]],Table29[],23,FALSE)</f>
        <v>0.14691940907449</v>
      </c>
      <c r="BA645" s="235">
        <f>VLOOKUP(Table8[[#This Row],[Country Code]],Table29[],24,FALSE)</f>
        <v>2.8004429294222619E-2</v>
      </c>
      <c r="BB645" s="320"/>
      <c r="BC645" s="320"/>
    </row>
    <row r="646" spans="1:55" ht="45" hidden="1" x14ac:dyDescent="0.25">
      <c r="A646" s="373">
        <v>29230</v>
      </c>
      <c r="B646" s="233" t="str">
        <f>VLOOKUP(Table8[[#This Row],[Document ID]],Table1[],2,FALSE)</f>
        <v>DMA</v>
      </c>
      <c r="C646" s="233" t="str">
        <f>VLOOKUP(Table8[[#This Row],[Document ID]],Table1[],3,FALSE)</f>
        <v>Dominica</v>
      </c>
      <c r="D646" s="243" t="str">
        <f>VLOOKUP(Table8[[#This Row],[Document ID]],Table1[],5,FALSE)</f>
        <v>NDC</v>
      </c>
      <c r="E646" s="233" t="str">
        <f>VLOOKUP(Table8[[#This Row],[Document ID]],Table1[],7,FALSE)</f>
        <v>First NDC updated</v>
      </c>
      <c r="F646" s="233" t="str">
        <f>VLOOKUP(Table8[[#This Row],[Document ID]],Table1[],8,FALSE)</f>
        <v>NDC 1.1</v>
      </c>
      <c r="G646" s="233" t="str">
        <f>VLOOKUP(Table8[[#This Row],[Document ID]],Table1[],10,FALSE)</f>
        <v>Active</v>
      </c>
      <c r="H646" s="44" t="s">
        <v>2329</v>
      </c>
      <c r="I646" s="44" t="s">
        <v>2330</v>
      </c>
      <c r="J646" s="44" t="s">
        <v>2381</v>
      </c>
      <c r="K646" s="44" t="s">
        <v>2971</v>
      </c>
      <c r="L646" s="44" t="s">
        <v>2333</v>
      </c>
      <c r="M646" s="43">
        <v>52</v>
      </c>
      <c r="N646" s="113"/>
      <c r="O646" s="113"/>
      <c r="P646" s="113"/>
      <c r="Q646" s="113"/>
      <c r="R646" s="113"/>
      <c r="S646" s="113" t="s">
        <v>1113</v>
      </c>
      <c r="T646" s="113"/>
      <c r="U646" s="113" t="s">
        <v>1113</v>
      </c>
      <c r="V646" s="113"/>
      <c r="W646" s="113"/>
      <c r="X646" s="113"/>
      <c r="Y646" s="113" t="s">
        <v>1113</v>
      </c>
      <c r="Z646" s="113"/>
      <c r="AA646" s="113"/>
      <c r="AB646" s="113"/>
      <c r="AC646" s="113"/>
      <c r="AD646" s="113"/>
      <c r="AE646" s="113"/>
      <c r="AF646" s="113"/>
      <c r="AG646" s="113"/>
      <c r="AH646" s="113"/>
      <c r="AI646" s="113"/>
      <c r="AJ646" s="113"/>
      <c r="AK646" s="113" t="s">
        <v>1113</v>
      </c>
      <c r="AL646" s="113"/>
      <c r="AM646" s="113"/>
      <c r="AN646" s="113"/>
      <c r="AO646" s="44" t="s">
        <v>2334</v>
      </c>
      <c r="AP646" s="43"/>
      <c r="AQ646" s="236" t="str">
        <f>VLOOKUP(Table8[[#This Row],[Instrument]],Def_Targets!$D$73:$E$159,2,FALSE)</f>
        <v>I_RE</v>
      </c>
      <c r="AR646" s="233" t="str">
        <f>VLOOKUP(Table8[[#This Row],[Country Code]],Table29[],3,FALSE)</f>
        <v>Non-Annex I</v>
      </c>
      <c r="AS646" s="233" t="str">
        <f>VLOOKUP(Table8[[#This Row],[Country Code]],Table29[],4,FALSE)</f>
        <v>Latin America and the Caribbean</v>
      </c>
      <c r="AT646" s="233" t="str">
        <f>VLOOKUP(Table8[[#This Row],[Country Code]],Table29[],5,FALSE)</f>
        <v>Middle-income</v>
      </c>
      <c r="AU646" s="233" t="str">
        <f>VLOOKUP(Table8[[#This Row],[Country Code]],Table29[],6,FALSE)</f>
        <v>no</v>
      </c>
      <c r="AV646" s="233" t="str">
        <f>VLOOKUP(Table8[[#This Row],[Country Code]],Table29[],7,FALSE)</f>
        <v>no</v>
      </c>
      <c r="AW646" s="233" t="str">
        <f>VLOOKUP(Table8[[#This Row],[Country Code]],Table29[],8,FALSE)</f>
        <v>non-OECD</v>
      </c>
      <c r="AX646" s="233" t="str">
        <f>VLOOKUP(Table8[[#This Row],[Country Code]],Table29[],9,FALSE)</f>
        <v>no</v>
      </c>
      <c r="AY646" s="233" t="str">
        <f>VLOOKUP(Table8[[#This Row],[Country Code]],Table29[],10,FALSE)</f>
        <v>no</v>
      </c>
      <c r="AZ646" s="235">
        <f>VLOOKUP(Table8[[#This Row],[Country Code]],Table29[],23,FALSE)</f>
        <v>0.14691940907449</v>
      </c>
      <c r="BA646" s="235">
        <f>VLOOKUP(Table8[[#This Row],[Country Code]],Table29[],24,FALSE)</f>
        <v>2.8004429294222619E-2</v>
      </c>
      <c r="BB646" s="320"/>
      <c r="BC646" s="320"/>
    </row>
    <row r="647" spans="1:55" ht="30" hidden="1" x14ac:dyDescent="0.25">
      <c r="A647" s="373">
        <v>29230</v>
      </c>
      <c r="B647" s="233" t="str">
        <f>VLOOKUP(Table8[[#This Row],[Document ID]],Table1[],2,FALSE)</f>
        <v>DMA</v>
      </c>
      <c r="C647" s="233" t="str">
        <f>VLOOKUP(Table8[[#This Row],[Document ID]],Table1[],3,FALSE)</f>
        <v>Dominica</v>
      </c>
      <c r="D647" s="243" t="str">
        <f>VLOOKUP(Table8[[#This Row],[Document ID]],Table1[],5,FALSE)</f>
        <v>NDC</v>
      </c>
      <c r="E647" s="233" t="str">
        <f>VLOOKUP(Table8[[#This Row],[Document ID]],Table1[],7,FALSE)</f>
        <v>First NDC updated</v>
      </c>
      <c r="F647" s="233" t="str">
        <f>VLOOKUP(Table8[[#This Row],[Document ID]],Table1[],8,FALSE)</f>
        <v>NDC 1.1</v>
      </c>
      <c r="G647" s="233" t="str">
        <f>VLOOKUP(Table8[[#This Row],[Document ID]],Table1[],10,FALSE)</f>
        <v>Active</v>
      </c>
      <c r="H647" s="43" t="s">
        <v>2343</v>
      </c>
      <c r="I647" s="43" t="s">
        <v>2344</v>
      </c>
      <c r="J647" s="44" t="s">
        <v>2345</v>
      </c>
      <c r="K647" s="44" t="s">
        <v>2972</v>
      </c>
      <c r="L647" s="44" t="s">
        <v>2333</v>
      </c>
      <c r="M647" s="43">
        <v>52</v>
      </c>
      <c r="N647" s="113" t="s">
        <v>1113</v>
      </c>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t="s">
        <v>1113</v>
      </c>
      <c r="AL647" s="113"/>
      <c r="AM647" s="113"/>
      <c r="AN647" s="113"/>
      <c r="AO647" s="43" t="s">
        <v>2348</v>
      </c>
      <c r="AP647" s="43"/>
      <c r="AQ647" s="236" t="str">
        <f>VLOOKUP(Table8[[#This Row],[Instrument]],Def_Targets!$D$73:$E$159,2,FALSE)</f>
        <v>S_PublicTransport</v>
      </c>
      <c r="AR647" s="233" t="str">
        <f>VLOOKUP(Table8[[#This Row],[Country Code]],Table29[],3,FALSE)</f>
        <v>Non-Annex I</v>
      </c>
      <c r="AS647" s="233" t="str">
        <f>VLOOKUP(Table8[[#This Row],[Country Code]],Table29[],4,FALSE)</f>
        <v>Latin America and the Caribbean</v>
      </c>
      <c r="AT647" s="233" t="str">
        <f>VLOOKUP(Table8[[#This Row],[Country Code]],Table29[],5,FALSE)</f>
        <v>Middle-income</v>
      </c>
      <c r="AU647" s="233" t="str">
        <f>VLOOKUP(Table8[[#This Row],[Country Code]],Table29[],6,FALSE)</f>
        <v>no</v>
      </c>
      <c r="AV647" s="233" t="str">
        <f>VLOOKUP(Table8[[#This Row],[Country Code]],Table29[],7,FALSE)</f>
        <v>no</v>
      </c>
      <c r="AW647" s="233" t="str">
        <f>VLOOKUP(Table8[[#This Row],[Country Code]],Table29[],8,FALSE)</f>
        <v>non-OECD</v>
      </c>
      <c r="AX647" s="233" t="str">
        <f>VLOOKUP(Table8[[#This Row],[Country Code]],Table29[],9,FALSE)</f>
        <v>no</v>
      </c>
      <c r="AY647" s="233" t="str">
        <f>VLOOKUP(Table8[[#This Row],[Country Code]],Table29[],10,FALSE)</f>
        <v>no</v>
      </c>
      <c r="AZ647" s="235">
        <f>VLOOKUP(Table8[[#This Row],[Country Code]],Table29[],23,FALSE)</f>
        <v>0.14691940907449</v>
      </c>
      <c r="BA647" s="235">
        <f>VLOOKUP(Table8[[#This Row],[Country Code]],Table29[],24,FALSE)</f>
        <v>2.8004429294222619E-2</v>
      </c>
      <c r="BB647" s="320"/>
      <c r="BC647" s="320"/>
    </row>
    <row r="648" spans="1:55" ht="30" hidden="1" x14ac:dyDescent="0.25">
      <c r="A648" s="373">
        <v>29230</v>
      </c>
      <c r="B648" s="233" t="str">
        <f>VLOOKUP(Table8[[#This Row],[Document ID]],Table1[],2,FALSE)</f>
        <v>DMA</v>
      </c>
      <c r="C648" s="233" t="str">
        <f>VLOOKUP(Table8[[#This Row],[Document ID]],Table1[],3,FALSE)</f>
        <v>Dominica</v>
      </c>
      <c r="D648" s="243" t="str">
        <f>VLOOKUP(Table8[[#This Row],[Document ID]],Table1[],5,FALSE)</f>
        <v>NDC</v>
      </c>
      <c r="E648" s="233" t="str">
        <f>VLOOKUP(Table8[[#This Row],[Document ID]],Table1[],7,FALSE)</f>
        <v>First NDC updated</v>
      </c>
      <c r="F648" s="233" t="str">
        <f>VLOOKUP(Table8[[#This Row],[Document ID]],Table1[],8,FALSE)</f>
        <v>NDC 1.1</v>
      </c>
      <c r="G648" s="233" t="str">
        <f>VLOOKUP(Table8[[#This Row],[Document ID]],Table1[],10,FALSE)</f>
        <v>Active</v>
      </c>
      <c r="H648" s="43" t="s">
        <v>2343</v>
      </c>
      <c r="I648" s="43" t="s">
        <v>2361</v>
      </c>
      <c r="J648" s="44" t="s">
        <v>2463</v>
      </c>
      <c r="K648" s="44" t="s">
        <v>2973</v>
      </c>
      <c r="L648" s="44" t="s">
        <v>2333</v>
      </c>
      <c r="M648" s="43">
        <v>52</v>
      </c>
      <c r="N648" s="113"/>
      <c r="O648" s="113"/>
      <c r="P648" s="113"/>
      <c r="Q648" s="113" t="s">
        <v>1113</v>
      </c>
      <c r="R648" s="113"/>
      <c r="S648" s="113"/>
      <c r="T648" s="113"/>
      <c r="U648" s="113"/>
      <c r="V648" s="113"/>
      <c r="W648" s="113"/>
      <c r="X648" s="113"/>
      <c r="Y648" s="113"/>
      <c r="Z648" s="113"/>
      <c r="AA648" s="113"/>
      <c r="AB648" s="113"/>
      <c r="AC648" s="113"/>
      <c r="AD648" s="113"/>
      <c r="AE648" s="113"/>
      <c r="AF648" s="113"/>
      <c r="AG648" s="113"/>
      <c r="AH648" s="113"/>
      <c r="AI648" s="113"/>
      <c r="AJ648" s="113"/>
      <c r="AK648" s="113" t="s">
        <v>1113</v>
      </c>
      <c r="AL648" s="113"/>
      <c r="AM648" s="113"/>
      <c r="AN648" s="113"/>
      <c r="AO648" s="44" t="s">
        <v>2334</v>
      </c>
      <c r="AP648" s="43"/>
      <c r="AQ648" s="236" t="str">
        <f>VLOOKUP(Table8[[#This Row],[Instrument]],Def_Targets!$D$73:$E$159,2,FALSE)</f>
        <v>S_Walking</v>
      </c>
      <c r="AR648" s="233" t="str">
        <f>VLOOKUP(Table8[[#This Row],[Country Code]],Table29[],3,FALSE)</f>
        <v>Non-Annex I</v>
      </c>
      <c r="AS648" s="233" t="str">
        <f>VLOOKUP(Table8[[#This Row],[Country Code]],Table29[],4,FALSE)</f>
        <v>Latin America and the Caribbean</v>
      </c>
      <c r="AT648" s="233" t="str">
        <f>VLOOKUP(Table8[[#This Row],[Country Code]],Table29[],5,FALSE)</f>
        <v>Middle-income</v>
      </c>
      <c r="AU648" s="233" t="str">
        <f>VLOOKUP(Table8[[#This Row],[Country Code]],Table29[],6,FALSE)</f>
        <v>no</v>
      </c>
      <c r="AV648" s="233" t="str">
        <f>VLOOKUP(Table8[[#This Row],[Country Code]],Table29[],7,FALSE)</f>
        <v>no</v>
      </c>
      <c r="AW648" s="233" t="str">
        <f>VLOOKUP(Table8[[#This Row],[Country Code]],Table29[],8,FALSE)</f>
        <v>non-OECD</v>
      </c>
      <c r="AX648" s="233" t="str">
        <f>VLOOKUP(Table8[[#This Row],[Country Code]],Table29[],9,FALSE)</f>
        <v>no</v>
      </c>
      <c r="AY648" s="233" t="str">
        <f>VLOOKUP(Table8[[#This Row],[Country Code]],Table29[],10,FALSE)</f>
        <v>no</v>
      </c>
      <c r="AZ648" s="235">
        <f>VLOOKUP(Table8[[#This Row],[Country Code]],Table29[],23,FALSE)</f>
        <v>0.14691940907449</v>
      </c>
      <c r="BA648" s="235">
        <f>VLOOKUP(Table8[[#This Row],[Country Code]],Table29[],24,FALSE)</f>
        <v>2.8004429294222619E-2</v>
      </c>
      <c r="BB648" s="320"/>
      <c r="BC648" s="320"/>
    </row>
    <row r="649" spans="1:55" ht="30" hidden="1" x14ac:dyDescent="0.25">
      <c r="A649" s="373">
        <v>29230</v>
      </c>
      <c r="B649" s="233" t="str">
        <f>VLOOKUP(Table8[[#This Row],[Document ID]],Table1[],2,FALSE)</f>
        <v>DMA</v>
      </c>
      <c r="C649" s="233" t="str">
        <f>VLOOKUP(Table8[[#This Row],[Document ID]],Table1[],3,FALSE)</f>
        <v>Dominica</v>
      </c>
      <c r="D649" s="243" t="str">
        <f>VLOOKUP(Table8[[#This Row],[Document ID]],Table1[],5,FALSE)</f>
        <v>NDC</v>
      </c>
      <c r="E649" s="233" t="str">
        <f>VLOOKUP(Table8[[#This Row],[Document ID]],Table1[],7,FALSE)</f>
        <v>First NDC updated</v>
      </c>
      <c r="F649" s="233" t="str">
        <f>VLOOKUP(Table8[[#This Row],[Document ID]],Table1[],8,FALSE)</f>
        <v>NDC 1.1</v>
      </c>
      <c r="G649" s="233" t="str">
        <f>VLOOKUP(Table8[[#This Row],[Document ID]],Table1[],10,FALSE)</f>
        <v>Active</v>
      </c>
      <c r="H649" s="43" t="s">
        <v>2358</v>
      </c>
      <c r="I649" s="43" t="s">
        <v>2359</v>
      </c>
      <c r="J649" s="44" t="s">
        <v>2360</v>
      </c>
      <c r="K649" s="44" t="s">
        <v>2974</v>
      </c>
      <c r="L649" s="44" t="s">
        <v>2333</v>
      </c>
      <c r="M649" s="43">
        <v>53</v>
      </c>
      <c r="N649" s="113" t="s">
        <v>1113</v>
      </c>
      <c r="O649" s="113"/>
      <c r="P649" s="113"/>
      <c r="Q649" s="113"/>
      <c r="R649" s="113"/>
      <c r="S649" s="113"/>
      <c r="T649" s="113"/>
      <c r="U649" s="113"/>
      <c r="V649" s="113"/>
      <c r="W649" s="113"/>
      <c r="X649" s="113"/>
      <c r="Y649" s="113"/>
      <c r="Z649" s="113"/>
      <c r="AA649" s="113"/>
      <c r="AB649" s="113"/>
      <c r="AC649" s="113"/>
      <c r="AD649" s="113"/>
      <c r="AE649" s="113"/>
      <c r="AF649" s="113"/>
      <c r="AG649" s="113"/>
      <c r="AH649" s="113"/>
      <c r="AI649" s="113"/>
      <c r="AJ649" s="113"/>
      <c r="AK649" s="113" t="s">
        <v>1113</v>
      </c>
      <c r="AL649" s="113"/>
      <c r="AM649" s="113"/>
      <c r="AN649" s="113"/>
      <c r="AO649" s="44" t="s">
        <v>2334</v>
      </c>
      <c r="AP649" s="43"/>
      <c r="AQ649" s="236" t="str">
        <f>VLOOKUP(Table8[[#This Row],[Instrument]],Def_Targets!$D$73:$E$159,2,FALSE)</f>
        <v>I_Emobility</v>
      </c>
      <c r="AR649" s="233" t="str">
        <f>VLOOKUP(Table8[[#This Row],[Country Code]],Table29[],3,FALSE)</f>
        <v>Non-Annex I</v>
      </c>
      <c r="AS649" s="233" t="str">
        <f>VLOOKUP(Table8[[#This Row],[Country Code]],Table29[],4,FALSE)</f>
        <v>Latin America and the Caribbean</v>
      </c>
      <c r="AT649" s="233" t="str">
        <f>VLOOKUP(Table8[[#This Row],[Country Code]],Table29[],5,FALSE)</f>
        <v>Middle-income</v>
      </c>
      <c r="AU649" s="233" t="str">
        <f>VLOOKUP(Table8[[#This Row],[Country Code]],Table29[],6,FALSE)</f>
        <v>no</v>
      </c>
      <c r="AV649" s="233" t="str">
        <f>VLOOKUP(Table8[[#This Row],[Country Code]],Table29[],7,FALSE)</f>
        <v>no</v>
      </c>
      <c r="AW649" s="233" t="str">
        <f>VLOOKUP(Table8[[#This Row],[Country Code]],Table29[],8,FALSE)</f>
        <v>non-OECD</v>
      </c>
      <c r="AX649" s="233" t="str">
        <f>VLOOKUP(Table8[[#This Row],[Country Code]],Table29[],9,FALSE)</f>
        <v>no</v>
      </c>
      <c r="AY649" s="233" t="str">
        <f>VLOOKUP(Table8[[#This Row],[Country Code]],Table29[],10,FALSE)</f>
        <v>no</v>
      </c>
      <c r="AZ649" s="235">
        <f>VLOOKUP(Table8[[#This Row],[Country Code]],Table29[],23,FALSE)</f>
        <v>0.14691940907449</v>
      </c>
      <c r="BA649" s="235">
        <f>VLOOKUP(Table8[[#This Row],[Country Code]],Table29[],24,FALSE)</f>
        <v>2.8004429294222619E-2</v>
      </c>
      <c r="BB649" s="320"/>
      <c r="BC649" s="320"/>
    </row>
    <row r="650" spans="1:55" ht="30" hidden="1" x14ac:dyDescent="0.25">
      <c r="A650" s="373">
        <v>29230</v>
      </c>
      <c r="B650" s="233" t="str">
        <f>VLOOKUP(Table8[[#This Row],[Document ID]],Table1[],2,FALSE)</f>
        <v>DMA</v>
      </c>
      <c r="C650" s="233" t="str">
        <f>VLOOKUP(Table8[[#This Row],[Document ID]],Table1[],3,FALSE)</f>
        <v>Dominica</v>
      </c>
      <c r="D650" s="243" t="str">
        <f>VLOOKUP(Table8[[#This Row],[Document ID]],Table1[],5,FALSE)</f>
        <v>NDC</v>
      </c>
      <c r="E650" s="233" t="str">
        <f>VLOOKUP(Table8[[#This Row],[Document ID]],Table1[],7,FALSE)</f>
        <v>First NDC updated</v>
      </c>
      <c r="F650" s="233" t="str">
        <f>VLOOKUP(Table8[[#This Row],[Document ID]],Table1[],8,FALSE)</f>
        <v>NDC 1.1</v>
      </c>
      <c r="G650" s="233" t="str">
        <f>VLOOKUP(Table8[[#This Row],[Document ID]],Table1[],10,FALSE)</f>
        <v>Active</v>
      </c>
      <c r="H650" s="43" t="s">
        <v>2343</v>
      </c>
      <c r="I650" s="43" t="s">
        <v>2386</v>
      </c>
      <c r="J650" s="44" t="s">
        <v>2412</v>
      </c>
      <c r="K650" s="44" t="s">
        <v>2975</v>
      </c>
      <c r="L650" s="44" t="s">
        <v>2333</v>
      </c>
      <c r="M650" s="43">
        <v>53</v>
      </c>
      <c r="N650" s="113" t="s">
        <v>1113</v>
      </c>
      <c r="O650" s="113"/>
      <c r="P650" s="113"/>
      <c r="Q650" s="113"/>
      <c r="R650" s="113"/>
      <c r="S650" s="113"/>
      <c r="T650" s="113"/>
      <c r="U650" s="113"/>
      <c r="V650" s="113"/>
      <c r="W650" s="113"/>
      <c r="X650" s="113"/>
      <c r="Y650" s="113"/>
      <c r="Z650" s="113"/>
      <c r="AA650" s="113"/>
      <c r="AB650" s="113"/>
      <c r="AC650" s="113"/>
      <c r="AD650" s="113"/>
      <c r="AE650" s="113"/>
      <c r="AF650" s="113"/>
      <c r="AG650" s="113"/>
      <c r="AH650" s="113"/>
      <c r="AI650" s="113"/>
      <c r="AJ650" s="113"/>
      <c r="AK650" s="113" t="s">
        <v>1113</v>
      </c>
      <c r="AL650" s="113"/>
      <c r="AM650" s="113"/>
      <c r="AN650" s="113"/>
      <c r="AO650" s="44" t="s">
        <v>2334</v>
      </c>
      <c r="AP650" s="43"/>
      <c r="AQ650" s="236" t="str">
        <f>VLOOKUP(Table8[[#This Row],[Instrument]],Def_Targets!$D$73:$E$159,2,FALSE)</f>
        <v>A_Economic</v>
      </c>
      <c r="AR650" s="233" t="str">
        <f>VLOOKUP(Table8[[#This Row],[Country Code]],Table29[],3,FALSE)</f>
        <v>Non-Annex I</v>
      </c>
      <c r="AS650" s="233" t="str">
        <f>VLOOKUP(Table8[[#This Row],[Country Code]],Table29[],4,FALSE)</f>
        <v>Latin America and the Caribbean</v>
      </c>
      <c r="AT650" s="233" t="str">
        <f>VLOOKUP(Table8[[#This Row],[Country Code]],Table29[],5,FALSE)</f>
        <v>Middle-income</v>
      </c>
      <c r="AU650" s="233" t="str">
        <f>VLOOKUP(Table8[[#This Row],[Country Code]],Table29[],6,FALSE)</f>
        <v>no</v>
      </c>
      <c r="AV650" s="233" t="str">
        <f>VLOOKUP(Table8[[#This Row],[Country Code]],Table29[],7,FALSE)</f>
        <v>no</v>
      </c>
      <c r="AW650" s="233" t="str">
        <f>VLOOKUP(Table8[[#This Row],[Country Code]],Table29[],8,FALSE)</f>
        <v>non-OECD</v>
      </c>
      <c r="AX650" s="233" t="str">
        <f>VLOOKUP(Table8[[#This Row],[Country Code]],Table29[],9,FALSE)</f>
        <v>no</v>
      </c>
      <c r="AY650" s="233" t="str">
        <f>VLOOKUP(Table8[[#This Row],[Country Code]],Table29[],10,FALSE)</f>
        <v>no</v>
      </c>
      <c r="AZ650" s="235">
        <f>VLOOKUP(Table8[[#This Row],[Country Code]],Table29[],23,FALSE)</f>
        <v>0.14691940907449</v>
      </c>
      <c r="BA650" s="235">
        <f>VLOOKUP(Table8[[#This Row],[Country Code]],Table29[],24,FALSE)</f>
        <v>2.8004429294222619E-2</v>
      </c>
      <c r="BB650" s="320"/>
      <c r="BC650" s="320"/>
    </row>
    <row r="651" spans="1:55" ht="45" hidden="1" x14ac:dyDescent="0.25">
      <c r="A651" s="373">
        <v>29230</v>
      </c>
      <c r="B651" s="233" t="str">
        <f>VLOOKUP(Table8[[#This Row],[Document ID]],Table1[],2,FALSE)</f>
        <v>DMA</v>
      </c>
      <c r="C651" s="233" t="str">
        <f>VLOOKUP(Table8[[#This Row],[Document ID]],Table1[],3,FALSE)</f>
        <v>Dominica</v>
      </c>
      <c r="D651" s="243" t="str">
        <f>VLOOKUP(Table8[[#This Row],[Document ID]],Table1[],5,FALSE)</f>
        <v>NDC</v>
      </c>
      <c r="E651" s="233" t="str">
        <f>VLOOKUP(Table8[[#This Row],[Document ID]],Table1[],7,FALSE)</f>
        <v>First NDC updated</v>
      </c>
      <c r="F651" s="233" t="str">
        <f>VLOOKUP(Table8[[#This Row],[Document ID]],Table1[],8,FALSE)</f>
        <v>NDC 1.1</v>
      </c>
      <c r="G651" s="233" t="str">
        <f>VLOOKUP(Table8[[#This Row],[Document ID]],Table1[],10,FALSE)</f>
        <v>Active</v>
      </c>
      <c r="H651" s="43" t="s">
        <v>2484</v>
      </c>
      <c r="I651" s="43" t="s">
        <v>2488</v>
      </c>
      <c r="J651" s="44" t="s">
        <v>2976</v>
      </c>
      <c r="K651" s="44" t="s">
        <v>2977</v>
      </c>
      <c r="L651" s="44" t="s">
        <v>2333</v>
      </c>
      <c r="M651" s="43">
        <v>54</v>
      </c>
      <c r="N651" s="113"/>
      <c r="O651" s="113"/>
      <c r="P651" s="113"/>
      <c r="Q651" s="113"/>
      <c r="R651" s="113"/>
      <c r="S651" s="113"/>
      <c r="T651" s="113"/>
      <c r="U651" s="113"/>
      <c r="V651" s="113"/>
      <c r="W651" s="113"/>
      <c r="X651" s="113"/>
      <c r="Y651" s="113"/>
      <c r="Z651" s="113"/>
      <c r="AA651" s="113"/>
      <c r="AB651" s="113"/>
      <c r="AC651" s="113"/>
      <c r="AD651" s="113"/>
      <c r="AE651" s="113"/>
      <c r="AF651" s="113"/>
      <c r="AG651" s="113"/>
      <c r="AH651" s="113" t="s">
        <v>1113</v>
      </c>
      <c r="AI651" s="113"/>
      <c r="AJ651" s="113"/>
      <c r="AK651" s="113" t="s">
        <v>1113</v>
      </c>
      <c r="AL651" s="113"/>
      <c r="AM651" s="113"/>
      <c r="AN651" s="113"/>
      <c r="AO651" s="44" t="s">
        <v>2334</v>
      </c>
      <c r="AP651" s="43"/>
      <c r="AQ651" s="236" t="str">
        <f>VLOOKUP(Table8[[#This Row],[Instrument]],Def_Targets!$D$73:$E$159,2,FALSE)</f>
        <v>I_CO2certificate</v>
      </c>
      <c r="AR651" s="233" t="str">
        <f>VLOOKUP(Table8[[#This Row],[Country Code]],Table29[],3,FALSE)</f>
        <v>Non-Annex I</v>
      </c>
      <c r="AS651" s="233" t="str">
        <f>VLOOKUP(Table8[[#This Row],[Country Code]],Table29[],4,FALSE)</f>
        <v>Latin America and the Caribbean</v>
      </c>
      <c r="AT651" s="233" t="str">
        <f>VLOOKUP(Table8[[#This Row],[Country Code]],Table29[],5,FALSE)</f>
        <v>Middle-income</v>
      </c>
      <c r="AU651" s="233" t="str">
        <f>VLOOKUP(Table8[[#This Row],[Country Code]],Table29[],6,FALSE)</f>
        <v>no</v>
      </c>
      <c r="AV651" s="233" t="str">
        <f>VLOOKUP(Table8[[#This Row],[Country Code]],Table29[],7,FALSE)</f>
        <v>no</v>
      </c>
      <c r="AW651" s="233" t="str">
        <f>VLOOKUP(Table8[[#This Row],[Country Code]],Table29[],8,FALSE)</f>
        <v>non-OECD</v>
      </c>
      <c r="AX651" s="233" t="str">
        <f>VLOOKUP(Table8[[#This Row],[Country Code]],Table29[],9,FALSE)</f>
        <v>no</v>
      </c>
      <c r="AY651" s="233" t="str">
        <f>VLOOKUP(Table8[[#This Row],[Country Code]],Table29[],10,FALSE)</f>
        <v>no</v>
      </c>
      <c r="AZ651" s="235">
        <f>VLOOKUP(Table8[[#This Row],[Country Code]],Table29[],23,FALSE)</f>
        <v>0.14691940907449</v>
      </c>
      <c r="BA651" s="235">
        <f>VLOOKUP(Table8[[#This Row],[Country Code]],Table29[],24,FALSE)</f>
        <v>2.8004429294222619E-2</v>
      </c>
      <c r="BB651" s="320"/>
      <c r="BC651" s="320"/>
    </row>
    <row r="652" spans="1:55" hidden="1" x14ac:dyDescent="0.25">
      <c r="A652" s="373">
        <v>29230</v>
      </c>
      <c r="B652" s="233" t="str">
        <f>VLOOKUP(Table8[[#This Row],[Document ID]],Table1[],2,FALSE)</f>
        <v>DMA</v>
      </c>
      <c r="C652" s="233" t="str">
        <f>VLOOKUP(Table8[[#This Row],[Document ID]],Table1[],3,FALSE)</f>
        <v>Dominica</v>
      </c>
      <c r="D652" s="243" t="str">
        <f>VLOOKUP(Table8[[#This Row],[Document ID]],Table1[],5,FALSE)</f>
        <v>NDC</v>
      </c>
      <c r="E652" s="233" t="str">
        <f>VLOOKUP(Table8[[#This Row],[Document ID]],Table1[],7,FALSE)</f>
        <v>First NDC updated</v>
      </c>
      <c r="F652" s="233" t="str">
        <f>VLOOKUP(Table8[[#This Row],[Document ID]],Table1[],8,FALSE)</f>
        <v>NDC 1.1</v>
      </c>
      <c r="G652" s="233" t="str">
        <f>VLOOKUP(Table8[[#This Row],[Document ID]],Table1[],10,FALSE)</f>
        <v>Active</v>
      </c>
      <c r="H652" s="43" t="s">
        <v>2484</v>
      </c>
      <c r="I652" s="43" t="s">
        <v>2485</v>
      </c>
      <c r="J652" s="44" t="s">
        <v>2978</v>
      </c>
      <c r="K652" s="44" t="s">
        <v>2979</v>
      </c>
      <c r="L652" s="44" t="s">
        <v>2333</v>
      </c>
      <c r="M652" s="43">
        <v>54</v>
      </c>
      <c r="N652" s="113"/>
      <c r="O652" s="113"/>
      <c r="P652" s="113"/>
      <c r="Q652" s="113"/>
      <c r="R652" s="113"/>
      <c r="S652" s="113"/>
      <c r="T652" s="113"/>
      <c r="U652" s="113"/>
      <c r="V652" s="113"/>
      <c r="W652" s="113"/>
      <c r="X652" s="113"/>
      <c r="Y652" s="113"/>
      <c r="Z652" s="113"/>
      <c r="AA652" s="113"/>
      <c r="AB652" s="113"/>
      <c r="AC652" s="113"/>
      <c r="AD652" s="113"/>
      <c r="AE652" s="113" t="s">
        <v>1113</v>
      </c>
      <c r="AF652" s="113"/>
      <c r="AG652" s="113"/>
      <c r="AH652" s="113"/>
      <c r="AI652" s="113"/>
      <c r="AJ652" s="113"/>
      <c r="AK652" s="113" t="s">
        <v>1113</v>
      </c>
      <c r="AL652" s="113"/>
      <c r="AM652" s="113"/>
      <c r="AN652" s="113"/>
      <c r="AO652" s="44" t="s">
        <v>2334</v>
      </c>
      <c r="AP652" s="43"/>
      <c r="AQ652" s="236" t="str">
        <f>VLOOKUP(Table8[[#This Row],[Instrument]],Def_Targets!$D$73:$E$159,2,FALSE)</f>
        <v>I_PortInfra</v>
      </c>
      <c r="AR652" s="233" t="str">
        <f>VLOOKUP(Table8[[#This Row],[Country Code]],Table29[],3,FALSE)</f>
        <v>Non-Annex I</v>
      </c>
      <c r="AS652" s="233" t="str">
        <f>VLOOKUP(Table8[[#This Row],[Country Code]],Table29[],4,FALSE)</f>
        <v>Latin America and the Caribbean</v>
      </c>
      <c r="AT652" s="233" t="str">
        <f>VLOOKUP(Table8[[#This Row],[Country Code]],Table29[],5,FALSE)</f>
        <v>Middle-income</v>
      </c>
      <c r="AU652" s="233" t="str">
        <f>VLOOKUP(Table8[[#This Row],[Country Code]],Table29[],6,FALSE)</f>
        <v>no</v>
      </c>
      <c r="AV652" s="233" t="str">
        <f>VLOOKUP(Table8[[#This Row],[Country Code]],Table29[],7,FALSE)</f>
        <v>no</v>
      </c>
      <c r="AW652" s="233" t="str">
        <f>VLOOKUP(Table8[[#This Row],[Country Code]],Table29[],8,FALSE)</f>
        <v>non-OECD</v>
      </c>
      <c r="AX652" s="233" t="str">
        <f>VLOOKUP(Table8[[#This Row],[Country Code]],Table29[],9,FALSE)</f>
        <v>no</v>
      </c>
      <c r="AY652" s="233" t="str">
        <f>VLOOKUP(Table8[[#This Row],[Country Code]],Table29[],10,FALSE)</f>
        <v>no</v>
      </c>
      <c r="AZ652" s="235">
        <f>VLOOKUP(Table8[[#This Row],[Country Code]],Table29[],23,FALSE)</f>
        <v>0.14691940907449</v>
      </c>
      <c r="BA652" s="235">
        <f>VLOOKUP(Table8[[#This Row],[Country Code]],Table29[],24,FALSE)</f>
        <v>2.8004429294222619E-2</v>
      </c>
      <c r="BB652" s="320"/>
      <c r="BC652" s="320"/>
    </row>
    <row r="653" spans="1:55" hidden="1" x14ac:dyDescent="0.25">
      <c r="A653" s="373">
        <v>29230</v>
      </c>
      <c r="B653" s="233" t="str">
        <f>VLOOKUP(Table8[[#This Row],[Document ID]],Table1[],2,FALSE)</f>
        <v>DMA</v>
      </c>
      <c r="C653" s="233" t="str">
        <f>VLOOKUP(Table8[[#This Row],[Document ID]],Table1[],3,FALSE)</f>
        <v>Dominica</v>
      </c>
      <c r="D653" s="243" t="str">
        <f>VLOOKUP(Table8[[#This Row],[Document ID]],Table1[],5,FALSE)</f>
        <v>NDC</v>
      </c>
      <c r="E653" s="233" t="str">
        <f>VLOOKUP(Table8[[#This Row],[Document ID]],Table1[],7,FALSE)</f>
        <v>First NDC updated</v>
      </c>
      <c r="F653" s="233" t="str">
        <f>VLOOKUP(Table8[[#This Row],[Document ID]],Table1[],8,FALSE)</f>
        <v>NDC 1.1</v>
      </c>
      <c r="G653" s="233" t="str">
        <f>VLOOKUP(Table8[[#This Row],[Document ID]],Table1[],10,FALSE)</f>
        <v>Active</v>
      </c>
      <c r="H653" s="44" t="s">
        <v>2329</v>
      </c>
      <c r="I653" s="44" t="s">
        <v>2330</v>
      </c>
      <c r="J653" s="44" t="s">
        <v>2357</v>
      </c>
      <c r="K653" s="44" t="s">
        <v>2980</v>
      </c>
      <c r="L653" s="44" t="s">
        <v>2333</v>
      </c>
      <c r="M653" s="43">
        <v>59</v>
      </c>
      <c r="N653" s="113" t="s">
        <v>1113</v>
      </c>
      <c r="O653" s="113"/>
      <c r="P653" s="113"/>
      <c r="Q653" s="113"/>
      <c r="R653" s="113"/>
      <c r="S653" s="113"/>
      <c r="T653" s="113"/>
      <c r="U653" s="113"/>
      <c r="V653" s="113"/>
      <c r="W653" s="113"/>
      <c r="X653" s="113"/>
      <c r="Y653" s="113"/>
      <c r="Z653" s="113"/>
      <c r="AA653" s="113"/>
      <c r="AB653" s="113"/>
      <c r="AC653" s="113"/>
      <c r="AD653" s="113"/>
      <c r="AE653" s="113"/>
      <c r="AF653" s="113"/>
      <c r="AG653" s="113"/>
      <c r="AH653" s="113"/>
      <c r="AI653" s="113"/>
      <c r="AJ653" s="113"/>
      <c r="AK653" s="113" t="s">
        <v>1113</v>
      </c>
      <c r="AL653" s="113"/>
      <c r="AM653" s="113"/>
      <c r="AN653" s="113"/>
      <c r="AO653" s="44" t="s">
        <v>2334</v>
      </c>
      <c r="AP653" s="43"/>
      <c r="AQ653" s="236" t="str">
        <f>VLOOKUP(Table8[[#This Row],[Instrument]],Def_Targets!$D$73:$E$159,2,FALSE)</f>
        <v>I_Biofuel</v>
      </c>
      <c r="AR653" s="233" t="str">
        <f>VLOOKUP(Table8[[#This Row],[Country Code]],Table29[],3,FALSE)</f>
        <v>Non-Annex I</v>
      </c>
      <c r="AS653" s="233" t="str">
        <f>VLOOKUP(Table8[[#This Row],[Country Code]],Table29[],4,FALSE)</f>
        <v>Latin America and the Caribbean</v>
      </c>
      <c r="AT653" s="233" t="str">
        <f>VLOOKUP(Table8[[#This Row],[Country Code]],Table29[],5,FALSE)</f>
        <v>Middle-income</v>
      </c>
      <c r="AU653" s="233" t="str">
        <f>VLOOKUP(Table8[[#This Row],[Country Code]],Table29[],6,FALSE)</f>
        <v>no</v>
      </c>
      <c r="AV653" s="233" t="str">
        <f>VLOOKUP(Table8[[#This Row],[Country Code]],Table29[],7,FALSE)</f>
        <v>no</v>
      </c>
      <c r="AW653" s="233" t="str">
        <f>VLOOKUP(Table8[[#This Row],[Country Code]],Table29[],8,FALSE)</f>
        <v>non-OECD</v>
      </c>
      <c r="AX653" s="233" t="str">
        <f>VLOOKUP(Table8[[#This Row],[Country Code]],Table29[],9,FALSE)</f>
        <v>no</v>
      </c>
      <c r="AY653" s="233" t="str">
        <f>VLOOKUP(Table8[[#This Row],[Country Code]],Table29[],10,FALSE)</f>
        <v>no</v>
      </c>
      <c r="AZ653" s="235">
        <f>VLOOKUP(Table8[[#This Row],[Country Code]],Table29[],23,FALSE)</f>
        <v>0.14691940907449</v>
      </c>
      <c r="BA653" s="235">
        <f>VLOOKUP(Table8[[#This Row],[Country Code]],Table29[],24,FALSE)</f>
        <v>2.8004429294222619E-2</v>
      </c>
      <c r="BB653" s="320"/>
      <c r="BC653" s="320"/>
    </row>
    <row r="654" spans="1:55" hidden="1" x14ac:dyDescent="0.25">
      <c r="A654" s="373">
        <v>29230</v>
      </c>
      <c r="B654" s="233" t="str">
        <f>VLOOKUP(Table8[[#This Row],[Document ID]],Table1[],2,FALSE)</f>
        <v>DMA</v>
      </c>
      <c r="C654" s="233" t="str">
        <f>VLOOKUP(Table8[[#This Row],[Document ID]],Table1[],3,FALSE)</f>
        <v>Dominica</v>
      </c>
      <c r="D654" s="243" t="str">
        <f>VLOOKUP(Table8[[#This Row],[Document ID]],Table1[],5,FALSE)</f>
        <v>NDC</v>
      </c>
      <c r="E654" s="233" t="str">
        <f>VLOOKUP(Table8[[#This Row],[Document ID]],Table1[],7,FALSE)</f>
        <v>First NDC updated</v>
      </c>
      <c r="F654" s="233" t="str">
        <f>VLOOKUP(Table8[[#This Row],[Document ID]],Table1[],8,FALSE)</f>
        <v>NDC 1.1</v>
      </c>
      <c r="G654" s="233" t="str">
        <f>VLOOKUP(Table8[[#This Row],[Document ID]],Table1[],10,FALSE)</f>
        <v>Active</v>
      </c>
      <c r="H654" s="43" t="s">
        <v>2350</v>
      </c>
      <c r="I654" s="43" t="s">
        <v>2456</v>
      </c>
      <c r="J654" s="44" t="s">
        <v>2457</v>
      </c>
      <c r="K654" s="44" t="s">
        <v>2981</v>
      </c>
      <c r="L654" s="44" t="s">
        <v>2333</v>
      </c>
      <c r="M654" s="43">
        <v>60</v>
      </c>
      <c r="N654" s="113"/>
      <c r="O654" s="113"/>
      <c r="P654" s="113"/>
      <c r="Q654" s="113"/>
      <c r="R654" s="113"/>
      <c r="S654" s="113" t="s">
        <v>1113</v>
      </c>
      <c r="T654" s="113"/>
      <c r="U654" s="113"/>
      <c r="V654" s="113"/>
      <c r="W654" s="113"/>
      <c r="X654" s="113"/>
      <c r="Y654" s="113"/>
      <c r="Z654" s="113"/>
      <c r="AA654" s="113"/>
      <c r="AB654" s="113"/>
      <c r="AC654" s="113"/>
      <c r="AD654" s="113"/>
      <c r="AE654" s="113"/>
      <c r="AF654" s="113"/>
      <c r="AG654" s="113"/>
      <c r="AH654" s="113"/>
      <c r="AI654" s="113"/>
      <c r="AJ654" s="113"/>
      <c r="AK654" s="113" t="s">
        <v>1113</v>
      </c>
      <c r="AL654" s="113"/>
      <c r="AM654" s="113"/>
      <c r="AN654" s="113"/>
      <c r="AO654" s="44" t="s">
        <v>2334</v>
      </c>
      <c r="AP654" s="43"/>
      <c r="AQ654" s="236" t="str">
        <f>VLOOKUP(Table8[[#This Row],[Instrument]],Def_Targets!$D$73:$E$159,2,FALSE)</f>
        <v>S_Infraimprove</v>
      </c>
      <c r="AR654" s="233" t="str">
        <f>VLOOKUP(Table8[[#This Row],[Country Code]],Table29[],3,FALSE)</f>
        <v>Non-Annex I</v>
      </c>
      <c r="AS654" s="233" t="str">
        <f>VLOOKUP(Table8[[#This Row],[Country Code]],Table29[],4,FALSE)</f>
        <v>Latin America and the Caribbean</v>
      </c>
      <c r="AT654" s="233" t="str">
        <f>VLOOKUP(Table8[[#This Row],[Country Code]],Table29[],5,FALSE)</f>
        <v>Middle-income</v>
      </c>
      <c r="AU654" s="233" t="str">
        <f>VLOOKUP(Table8[[#This Row],[Country Code]],Table29[],6,FALSE)</f>
        <v>no</v>
      </c>
      <c r="AV654" s="233" t="str">
        <f>VLOOKUP(Table8[[#This Row],[Country Code]],Table29[],7,FALSE)</f>
        <v>no</v>
      </c>
      <c r="AW654" s="233" t="str">
        <f>VLOOKUP(Table8[[#This Row],[Country Code]],Table29[],8,FALSE)</f>
        <v>non-OECD</v>
      </c>
      <c r="AX654" s="233" t="str">
        <f>VLOOKUP(Table8[[#This Row],[Country Code]],Table29[],9,FALSE)</f>
        <v>no</v>
      </c>
      <c r="AY654" s="233" t="str">
        <f>VLOOKUP(Table8[[#This Row],[Country Code]],Table29[],10,FALSE)</f>
        <v>no</v>
      </c>
      <c r="AZ654" s="235">
        <f>VLOOKUP(Table8[[#This Row],[Country Code]],Table29[],23,FALSE)</f>
        <v>0.14691940907449</v>
      </c>
      <c r="BA654" s="235">
        <f>VLOOKUP(Table8[[#This Row],[Country Code]],Table29[],24,FALSE)</f>
        <v>2.8004429294222619E-2</v>
      </c>
      <c r="BB654" s="320"/>
      <c r="BC654" s="320"/>
    </row>
    <row r="655" spans="1:55" hidden="1" x14ac:dyDescent="0.25">
      <c r="A655" s="373">
        <v>29230</v>
      </c>
      <c r="B655" s="233" t="str">
        <f>VLOOKUP(Table8[[#This Row],[Document ID]],Table1[],2,FALSE)</f>
        <v>DMA</v>
      </c>
      <c r="C655" s="233" t="str">
        <f>VLOOKUP(Table8[[#This Row],[Document ID]],Table1[],3,FALSE)</f>
        <v>Dominica</v>
      </c>
      <c r="D655" s="243" t="str">
        <f>VLOOKUP(Table8[[#This Row],[Document ID]],Table1[],5,FALSE)</f>
        <v>NDC</v>
      </c>
      <c r="E655" s="233" t="str">
        <f>VLOOKUP(Table8[[#This Row],[Document ID]],Table1[],7,FALSE)</f>
        <v>First NDC updated</v>
      </c>
      <c r="F655" s="233" t="str">
        <f>VLOOKUP(Table8[[#This Row],[Document ID]],Table1[],8,FALSE)</f>
        <v>NDC 1.1</v>
      </c>
      <c r="G655" s="233" t="str">
        <f>VLOOKUP(Table8[[#This Row],[Document ID]],Table1[],10,FALSE)</f>
        <v>Active</v>
      </c>
      <c r="H655" s="44" t="s">
        <v>2329</v>
      </c>
      <c r="I655" s="44" t="s">
        <v>2330</v>
      </c>
      <c r="J655" s="44" t="s">
        <v>2381</v>
      </c>
      <c r="K655" s="44" t="s">
        <v>2982</v>
      </c>
      <c r="L655" s="44" t="s">
        <v>2333</v>
      </c>
      <c r="M655" s="43">
        <v>60</v>
      </c>
      <c r="N655" s="113"/>
      <c r="O655" s="113"/>
      <c r="P655" s="113"/>
      <c r="Q655" s="113"/>
      <c r="R655" s="113"/>
      <c r="S655" s="113" t="s">
        <v>1113</v>
      </c>
      <c r="T655" s="113"/>
      <c r="U655" s="113"/>
      <c r="V655" s="113"/>
      <c r="W655" s="113"/>
      <c r="X655" s="113"/>
      <c r="Y655" s="113"/>
      <c r="Z655" s="113"/>
      <c r="AA655" s="113"/>
      <c r="AB655" s="113"/>
      <c r="AC655" s="113"/>
      <c r="AD655" s="113"/>
      <c r="AE655" s="113"/>
      <c r="AF655" s="113"/>
      <c r="AG655" s="113"/>
      <c r="AH655" s="113"/>
      <c r="AI655" s="113"/>
      <c r="AJ655" s="113"/>
      <c r="AK655" s="113" t="s">
        <v>1113</v>
      </c>
      <c r="AL655" s="113"/>
      <c r="AM655" s="113"/>
      <c r="AN655" s="113"/>
      <c r="AO655" s="44" t="s">
        <v>2334</v>
      </c>
      <c r="AP655" s="43"/>
      <c r="AQ655" s="236" t="str">
        <f>VLOOKUP(Table8[[#This Row],[Instrument]],Def_Targets!$D$73:$E$159,2,FALSE)</f>
        <v>I_RE</v>
      </c>
      <c r="AR655" s="233" t="str">
        <f>VLOOKUP(Table8[[#This Row],[Country Code]],Table29[],3,FALSE)</f>
        <v>Non-Annex I</v>
      </c>
      <c r="AS655" s="233" t="str">
        <f>VLOOKUP(Table8[[#This Row],[Country Code]],Table29[],4,FALSE)</f>
        <v>Latin America and the Caribbean</v>
      </c>
      <c r="AT655" s="233" t="str">
        <f>VLOOKUP(Table8[[#This Row],[Country Code]],Table29[],5,FALSE)</f>
        <v>Middle-income</v>
      </c>
      <c r="AU655" s="233" t="str">
        <f>VLOOKUP(Table8[[#This Row],[Country Code]],Table29[],6,FALSE)</f>
        <v>no</v>
      </c>
      <c r="AV655" s="233" t="str">
        <f>VLOOKUP(Table8[[#This Row],[Country Code]],Table29[],7,FALSE)</f>
        <v>no</v>
      </c>
      <c r="AW655" s="233" t="str">
        <f>VLOOKUP(Table8[[#This Row],[Country Code]],Table29[],8,FALSE)</f>
        <v>non-OECD</v>
      </c>
      <c r="AX655" s="233" t="str">
        <f>VLOOKUP(Table8[[#This Row],[Country Code]],Table29[],9,FALSE)</f>
        <v>no</v>
      </c>
      <c r="AY655" s="233" t="str">
        <f>VLOOKUP(Table8[[#This Row],[Country Code]],Table29[],10,FALSE)</f>
        <v>no</v>
      </c>
      <c r="AZ655" s="235">
        <f>VLOOKUP(Table8[[#This Row],[Country Code]],Table29[],23,FALSE)</f>
        <v>0.14691940907449</v>
      </c>
      <c r="BA655" s="235">
        <f>VLOOKUP(Table8[[#This Row],[Country Code]],Table29[],24,FALSE)</f>
        <v>2.8004429294222619E-2</v>
      </c>
      <c r="BB655" s="320"/>
      <c r="BC655" s="320"/>
    </row>
    <row r="656" spans="1:55" ht="30" hidden="1" x14ac:dyDescent="0.25">
      <c r="A656" s="373">
        <v>29230</v>
      </c>
      <c r="B656" s="233" t="str">
        <f>VLOOKUP(Table8[[#This Row],[Document ID]],Table1[],2,FALSE)</f>
        <v>DMA</v>
      </c>
      <c r="C656" s="233" t="str">
        <f>VLOOKUP(Table8[[#This Row],[Document ID]],Table1[],3,FALSE)</f>
        <v>Dominica</v>
      </c>
      <c r="D656" s="243" t="str">
        <f>VLOOKUP(Table8[[#This Row],[Document ID]],Table1[],5,FALSE)</f>
        <v>NDC</v>
      </c>
      <c r="E656" s="233" t="str">
        <f>VLOOKUP(Table8[[#This Row],[Document ID]],Table1[],7,FALSE)</f>
        <v>First NDC updated</v>
      </c>
      <c r="F656" s="233" t="str">
        <f>VLOOKUP(Table8[[#This Row],[Document ID]],Table1[],8,FALSE)</f>
        <v>NDC 1.1</v>
      </c>
      <c r="G656" s="233" t="str">
        <f>VLOOKUP(Table8[[#This Row],[Document ID]],Table1[],10,FALSE)</f>
        <v>Active</v>
      </c>
      <c r="H656" s="44" t="s">
        <v>2338</v>
      </c>
      <c r="I656" s="44" t="s">
        <v>2339</v>
      </c>
      <c r="J656" s="44" t="s">
        <v>2340</v>
      </c>
      <c r="K656" s="44" t="s">
        <v>2983</v>
      </c>
      <c r="L656" s="44" t="s">
        <v>2333</v>
      </c>
      <c r="M656" s="43">
        <v>61</v>
      </c>
      <c r="N656" s="113" t="s">
        <v>1113</v>
      </c>
      <c r="O656" s="113"/>
      <c r="P656" s="113"/>
      <c r="Q656" s="113"/>
      <c r="R656" s="113"/>
      <c r="S656" s="113"/>
      <c r="T656" s="113"/>
      <c r="U656" s="113"/>
      <c r="V656" s="113"/>
      <c r="W656" s="113"/>
      <c r="X656" s="113"/>
      <c r="Y656" s="113"/>
      <c r="Z656" s="113"/>
      <c r="AA656" s="113"/>
      <c r="AB656" s="113"/>
      <c r="AC656" s="113"/>
      <c r="AD656" s="113"/>
      <c r="AE656" s="113"/>
      <c r="AF656" s="113"/>
      <c r="AG656" s="113"/>
      <c r="AH656" s="113"/>
      <c r="AI656" s="113"/>
      <c r="AJ656" s="113"/>
      <c r="AK656" s="113" t="s">
        <v>1113</v>
      </c>
      <c r="AL656" s="113"/>
      <c r="AM656" s="113"/>
      <c r="AN656" s="113"/>
      <c r="AO656" s="44" t="s">
        <v>2334</v>
      </c>
      <c r="AP656" s="43"/>
      <c r="AQ656" s="236" t="str">
        <f>VLOOKUP(Table8[[#This Row],[Instrument]],Def_Targets!$D$73:$E$159,2,FALSE)</f>
        <v>I_Vehicleimprove</v>
      </c>
      <c r="AR656" s="233" t="str">
        <f>VLOOKUP(Table8[[#This Row],[Country Code]],Table29[],3,FALSE)</f>
        <v>Non-Annex I</v>
      </c>
      <c r="AS656" s="233" t="str">
        <f>VLOOKUP(Table8[[#This Row],[Country Code]],Table29[],4,FALSE)</f>
        <v>Latin America and the Caribbean</v>
      </c>
      <c r="AT656" s="233" t="str">
        <f>VLOOKUP(Table8[[#This Row],[Country Code]],Table29[],5,FALSE)</f>
        <v>Middle-income</v>
      </c>
      <c r="AU656" s="233" t="str">
        <f>VLOOKUP(Table8[[#This Row],[Country Code]],Table29[],6,FALSE)</f>
        <v>no</v>
      </c>
      <c r="AV656" s="233" t="str">
        <f>VLOOKUP(Table8[[#This Row],[Country Code]],Table29[],7,FALSE)</f>
        <v>no</v>
      </c>
      <c r="AW656" s="233" t="str">
        <f>VLOOKUP(Table8[[#This Row],[Country Code]],Table29[],8,FALSE)</f>
        <v>non-OECD</v>
      </c>
      <c r="AX656" s="233" t="str">
        <f>VLOOKUP(Table8[[#This Row],[Country Code]],Table29[],9,FALSE)</f>
        <v>no</v>
      </c>
      <c r="AY656" s="233" t="str">
        <f>VLOOKUP(Table8[[#This Row],[Country Code]],Table29[],10,FALSE)</f>
        <v>no</v>
      </c>
      <c r="AZ656" s="235">
        <f>VLOOKUP(Table8[[#This Row],[Country Code]],Table29[],23,FALSE)</f>
        <v>0.14691940907449</v>
      </c>
      <c r="BA656" s="235">
        <f>VLOOKUP(Table8[[#This Row],[Country Code]],Table29[],24,FALSE)</f>
        <v>2.8004429294222619E-2</v>
      </c>
      <c r="BB656" s="320"/>
      <c r="BC656" s="320"/>
    </row>
    <row r="657" spans="1:55" hidden="1" x14ac:dyDescent="0.25">
      <c r="A657" s="373">
        <v>29230</v>
      </c>
      <c r="B657" s="233" t="str">
        <f>VLOOKUP(Table8[[#This Row],[Document ID]],Table1[],2,FALSE)</f>
        <v>DMA</v>
      </c>
      <c r="C657" s="233" t="str">
        <f>VLOOKUP(Table8[[#This Row],[Document ID]],Table1[],3,FALSE)</f>
        <v>Dominica</v>
      </c>
      <c r="D657" s="243" t="str">
        <f>VLOOKUP(Table8[[#This Row],[Document ID]],Table1[],5,FALSE)</f>
        <v>NDC</v>
      </c>
      <c r="E657" s="233" t="str">
        <f>VLOOKUP(Table8[[#This Row],[Document ID]],Table1[],7,FALSE)</f>
        <v>First NDC updated</v>
      </c>
      <c r="F657" s="233" t="str">
        <f>VLOOKUP(Table8[[#This Row],[Document ID]],Table1[],8,FALSE)</f>
        <v>NDC 1.1</v>
      </c>
      <c r="G657" s="233" t="str">
        <f>VLOOKUP(Table8[[#This Row],[Document ID]],Table1[],10,FALSE)</f>
        <v>Active</v>
      </c>
      <c r="H657" s="44" t="s">
        <v>2329</v>
      </c>
      <c r="I657" s="44" t="s">
        <v>2330</v>
      </c>
      <c r="J657" s="44" t="s">
        <v>2381</v>
      </c>
      <c r="K657" s="44" t="s">
        <v>2984</v>
      </c>
      <c r="L657" s="44" t="s">
        <v>2333</v>
      </c>
      <c r="M657" s="43">
        <v>61</v>
      </c>
      <c r="N657" s="113" t="s">
        <v>1113</v>
      </c>
      <c r="O657" s="113"/>
      <c r="P657" s="113"/>
      <c r="Q657" s="113"/>
      <c r="R657" s="113"/>
      <c r="S657" s="113"/>
      <c r="T657" s="113"/>
      <c r="U657" s="113"/>
      <c r="V657" s="113"/>
      <c r="W657" s="113"/>
      <c r="X657" s="113"/>
      <c r="Y657" s="113"/>
      <c r="Z657" s="113"/>
      <c r="AA657" s="113"/>
      <c r="AB657" s="113"/>
      <c r="AC657" s="113"/>
      <c r="AD657" s="113"/>
      <c r="AE657" s="113"/>
      <c r="AF657" s="113"/>
      <c r="AG657" s="113"/>
      <c r="AH657" s="113"/>
      <c r="AI657" s="113"/>
      <c r="AJ657" s="113"/>
      <c r="AK657" s="113" t="s">
        <v>1113</v>
      </c>
      <c r="AL657" s="113"/>
      <c r="AM657" s="113"/>
      <c r="AN657" s="113"/>
      <c r="AO657" s="44" t="s">
        <v>2334</v>
      </c>
      <c r="AP657" s="43"/>
      <c r="AQ657" s="236" t="str">
        <f>VLOOKUP(Table8[[#This Row],[Instrument]],Def_Targets!$D$73:$E$159,2,FALSE)</f>
        <v>I_RE</v>
      </c>
      <c r="AR657" s="233" t="str">
        <f>VLOOKUP(Table8[[#This Row],[Country Code]],Table29[],3,FALSE)</f>
        <v>Non-Annex I</v>
      </c>
      <c r="AS657" s="233" t="str">
        <f>VLOOKUP(Table8[[#This Row],[Country Code]],Table29[],4,FALSE)</f>
        <v>Latin America and the Caribbean</v>
      </c>
      <c r="AT657" s="233" t="str">
        <f>VLOOKUP(Table8[[#This Row],[Country Code]],Table29[],5,FALSE)</f>
        <v>Middle-income</v>
      </c>
      <c r="AU657" s="233" t="str">
        <f>VLOOKUP(Table8[[#This Row],[Country Code]],Table29[],6,FALSE)</f>
        <v>no</v>
      </c>
      <c r="AV657" s="233" t="str">
        <f>VLOOKUP(Table8[[#This Row],[Country Code]],Table29[],7,FALSE)</f>
        <v>no</v>
      </c>
      <c r="AW657" s="233" t="str">
        <f>VLOOKUP(Table8[[#This Row],[Country Code]],Table29[],8,FALSE)</f>
        <v>non-OECD</v>
      </c>
      <c r="AX657" s="233" t="str">
        <f>VLOOKUP(Table8[[#This Row],[Country Code]],Table29[],9,FALSE)</f>
        <v>no</v>
      </c>
      <c r="AY657" s="233" t="str">
        <f>VLOOKUP(Table8[[#This Row],[Country Code]],Table29[],10,FALSE)</f>
        <v>no</v>
      </c>
      <c r="AZ657" s="235">
        <f>VLOOKUP(Table8[[#This Row],[Country Code]],Table29[],23,FALSE)</f>
        <v>0.14691940907449</v>
      </c>
      <c r="BA657" s="235">
        <f>VLOOKUP(Table8[[#This Row],[Country Code]],Table29[],24,FALSE)</f>
        <v>2.8004429294222619E-2</v>
      </c>
      <c r="BB657" s="320"/>
      <c r="BC657" s="320"/>
    </row>
    <row r="658" spans="1:55" hidden="1" x14ac:dyDescent="0.25">
      <c r="A658" s="373">
        <v>29230</v>
      </c>
      <c r="B658" s="233" t="str">
        <f>VLOOKUP(Table8[[#This Row],[Document ID]],Table1[],2,FALSE)</f>
        <v>DMA</v>
      </c>
      <c r="C658" s="233" t="str">
        <f>VLOOKUP(Table8[[#This Row],[Document ID]],Table1[],3,FALSE)</f>
        <v>Dominica</v>
      </c>
      <c r="D658" s="243" t="str">
        <f>VLOOKUP(Table8[[#This Row],[Document ID]],Table1[],5,FALSE)</f>
        <v>NDC</v>
      </c>
      <c r="E658" s="233" t="str">
        <f>VLOOKUP(Table8[[#This Row],[Document ID]],Table1[],7,FALSE)</f>
        <v>First NDC updated</v>
      </c>
      <c r="F658" s="233" t="str">
        <f>VLOOKUP(Table8[[#This Row],[Document ID]],Table1[],8,FALSE)</f>
        <v>NDC 1.1</v>
      </c>
      <c r="G658" s="233" t="str">
        <f>VLOOKUP(Table8[[#This Row],[Document ID]],Table1[],10,FALSE)</f>
        <v>Active</v>
      </c>
      <c r="H658" s="43" t="s">
        <v>2343</v>
      </c>
      <c r="I658" s="43" t="s">
        <v>2344</v>
      </c>
      <c r="J658" s="44" t="s">
        <v>2345</v>
      </c>
      <c r="K658" s="44" t="s">
        <v>2985</v>
      </c>
      <c r="L658" s="44" t="s">
        <v>2347</v>
      </c>
      <c r="M658" s="43">
        <v>41</v>
      </c>
      <c r="N658" s="113" t="s">
        <v>1113</v>
      </c>
      <c r="O658" s="113"/>
      <c r="P658" s="113"/>
      <c r="Q658" s="113"/>
      <c r="R658" s="113"/>
      <c r="S658" s="113"/>
      <c r="T658" s="113"/>
      <c r="U658" s="113"/>
      <c r="V658" s="113"/>
      <c r="W658" s="113"/>
      <c r="X658" s="113"/>
      <c r="Y658" s="113"/>
      <c r="Z658" s="113"/>
      <c r="AA658" s="113"/>
      <c r="AB658" s="113"/>
      <c r="AC658" s="113"/>
      <c r="AD658" s="113"/>
      <c r="AE658" s="113"/>
      <c r="AF658" s="113"/>
      <c r="AG658" s="113"/>
      <c r="AH658" s="113"/>
      <c r="AI658" s="113"/>
      <c r="AJ658" s="113"/>
      <c r="AK658" s="113" t="s">
        <v>1113</v>
      </c>
      <c r="AL658" s="113"/>
      <c r="AM658" s="113"/>
      <c r="AN658" s="113"/>
      <c r="AO658" s="44" t="s">
        <v>2334</v>
      </c>
      <c r="AP658" s="43"/>
      <c r="AQ658" s="236" t="str">
        <f>VLOOKUP(Table8[[#This Row],[Instrument]],Def_Targets!$D$73:$E$159,2,FALSE)</f>
        <v>S_PublicTransport</v>
      </c>
      <c r="AR658" s="233" t="str">
        <f>VLOOKUP(Table8[[#This Row],[Country Code]],Table29[],3,FALSE)</f>
        <v>Non-Annex I</v>
      </c>
      <c r="AS658" s="233" t="str">
        <f>VLOOKUP(Table8[[#This Row],[Country Code]],Table29[],4,FALSE)</f>
        <v>Latin America and the Caribbean</v>
      </c>
      <c r="AT658" s="233" t="str">
        <f>VLOOKUP(Table8[[#This Row],[Country Code]],Table29[],5,FALSE)</f>
        <v>Middle-income</v>
      </c>
      <c r="AU658" s="233" t="str">
        <f>VLOOKUP(Table8[[#This Row],[Country Code]],Table29[],6,FALSE)</f>
        <v>no</v>
      </c>
      <c r="AV658" s="233" t="str">
        <f>VLOOKUP(Table8[[#This Row],[Country Code]],Table29[],7,FALSE)</f>
        <v>no</v>
      </c>
      <c r="AW658" s="233" t="str">
        <f>VLOOKUP(Table8[[#This Row],[Country Code]],Table29[],8,FALSE)</f>
        <v>non-OECD</v>
      </c>
      <c r="AX658" s="233" t="str">
        <f>VLOOKUP(Table8[[#This Row],[Country Code]],Table29[],9,FALSE)</f>
        <v>no</v>
      </c>
      <c r="AY658" s="233" t="str">
        <f>VLOOKUP(Table8[[#This Row],[Country Code]],Table29[],10,FALSE)</f>
        <v>no</v>
      </c>
      <c r="AZ658" s="235">
        <f>VLOOKUP(Table8[[#This Row],[Country Code]],Table29[],23,FALSE)</f>
        <v>0.14691940907449</v>
      </c>
      <c r="BA658" s="235">
        <f>VLOOKUP(Table8[[#This Row],[Country Code]],Table29[],24,FALSE)</f>
        <v>2.8004429294222619E-2</v>
      </c>
      <c r="BB658" s="320"/>
      <c r="BC658" s="320"/>
    </row>
    <row r="659" spans="1:55" ht="30" hidden="1" x14ac:dyDescent="0.25">
      <c r="A659" s="373">
        <v>29230</v>
      </c>
      <c r="B659" s="233" t="str">
        <f>VLOOKUP(Table8[[#This Row],[Document ID]],Table1[],2,FALSE)</f>
        <v>DMA</v>
      </c>
      <c r="C659" s="233" t="str">
        <f>VLOOKUP(Table8[[#This Row],[Document ID]],Table1[],3,FALSE)</f>
        <v>Dominica</v>
      </c>
      <c r="D659" s="243" t="str">
        <f>VLOOKUP(Table8[[#This Row],[Document ID]],Table1[],5,FALSE)</f>
        <v>NDC</v>
      </c>
      <c r="E659" s="233" t="str">
        <f>VLOOKUP(Table8[[#This Row],[Document ID]],Table1[],7,FALSE)</f>
        <v>First NDC updated</v>
      </c>
      <c r="F659" s="233" t="str">
        <f>VLOOKUP(Table8[[#This Row],[Document ID]],Table1[],8,FALSE)</f>
        <v>NDC 1.1</v>
      </c>
      <c r="G659" s="233" t="str">
        <f>VLOOKUP(Table8[[#This Row],[Document ID]],Table1[],10,FALSE)</f>
        <v>Active</v>
      </c>
      <c r="H659" s="43" t="s">
        <v>2343</v>
      </c>
      <c r="I659" s="43" t="s">
        <v>2429</v>
      </c>
      <c r="J659" s="44" t="s">
        <v>2513</v>
      </c>
      <c r="K659" s="44" t="s">
        <v>2986</v>
      </c>
      <c r="L659" s="44" t="s">
        <v>2333</v>
      </c>
      <c r="M659" s="43">
        <v>41</v>
      </c>
      <c r="N659" s="113"/>
      <c r="O659" s="113"/>
      <c r="P659" s="113"/>
      <c r="Q659" s="113"/>
      <c r="R659" s="113" t="s">
        <v>1113</v>
      </c>
      <c r="S659" s="113" t="s">
        <v>1113</v>
      </c>
      <c r="T659" s="113"/>
      <c r="U659" s="113"/>
      <c r="V659" s="113"/>
      <c r="W659" s="113"/>
      <c r="X659" s="113"/>
      <c r="Y659" s="113"/>
      <c r="Z659" s="113"/>
      <c r="AA659" s="113"/>
      <c r="AB659" s="113"/>
      <c r="AC659" s="113"/>
      <c r="AD659" s="113"/>
      <c r="AE659" s="113"/>
      <c r="AF659" s="113"/>
      <c r="AG659" s="113"/>
      <c r="AH659" s="113"/>
      <c r="AI659" s="113"/>
      <c r="AJ659" s="113"/>
      <c r="AK659" s="113" t="s">
        <v>1113</v>
      </c>
      <c r="AL659" s="113"/>
      <c r="AM659" s="113"/>
      <c r="AN659" s="113"/>
      <c r="AO659" s="44" t="s">
        <v>2334</v>
      </c>
      <c r="AP659" s="43"/>
      <c r="AQ659" s="236" t="str">
        <f>VLOOKUP(Table8[[#This Row],[Instrument]],Def_Targets!$D$73:$E$159,2,FALSE)</f>
        <v>S_Sharedmob</v>
      </c>
      <c r="AR659" s="233" t="str">
        <f>VLOOKUP(Table8[[#This Row],[Country Code]],Table29[],3,FALSE)</f>
        <v>Non-Annex I</v>
      </c>
      <c r="AS659" s="233" t="str">
        <f>VLOOKUP(Table8[[#This Row],[Country Code]],Table29[],4,FALSE)</f>
        <v>Latin America and the Caribbean</v>
      </c>
      <c r="AT659" s="233" t="str">
        <f>VLOOKUP(Table8[[#This Row],[Country Code]],Table29[],5,FALSE)</f>
        <v>Middle-income</v>
      </c>
      <c r="AU659" s="233" t="str">
        <f>VLOOKUP(Table8[[#This Row],[Country Code]],Table29[],6,FALSE)</f>
        <v>no</v>
      </c>
      <c r="AV659" s="233" t="str">
        <f>VLOOKUP(Table8[[#This Row],[Country Code]],Table29[],7,FALSE)</f>
        <v>no</v>
      </c>
      <c r="AW659" s="233" t="str">
        <f>VLOOKUP(Table8[[#This Row],[Country Code]],Table29[],8,FALSE)</f>
        <v>non-OECD</v>
      </c>
      <c r="AX659" s="233" t="str">
        <f>VLOOKUP(Table8[[#This Row],[Country Code]],Table29[],9,FALSE)</f>
        <v>no</v>
      </c>
      <c r="AY659" s="233" t="str">
        <f>VLOOKUP(Table8[[#This Row],[Country Code]],Table29[],10,FALSE)</f>
        <v>no</v>
      </c>
      <c r="AZ659" s="235">
        <f>VLOOKUP(Table8[[#This Row],[Country Code]],Table29[],23,FALSE)</f>
        <v>0.14691940907449</v>
      </c>
      <c r="BA659" s="235">
        <f>VLOOKUP(Table8[[#This Row],[Country Code]],Table29[],24,FALSE)</f>
        <v>2.8004429294222619E-2</v>
      </c>
      <c r="BB659" s="320"/>
      <c r="BC659" s="320"/>
    </row>
    <row r="660" spans="1:55" ht="30" hidden="1" x14ac:dyDescent="0.25">
      <c r="A660" s="373">
        <v>29230</v>
      </c>
      <c r="B660" s="233" t="str">
        <f>VLOOKUP(Table8[[#This Row],[Document ID]],Table1[],2,FALSE)</f>
        <v>DMA</v>
      </c>
      <c r="C660" s="233" t="str">
        <f>VLOOKUP(Table8[[#This Row],[Document ID]],Table1[],3,FALSE)</f>
        <v>Dominica</v>
      </c>
      <c r="D660" s="243" t="str">
        <f>VLOOKUP(Table8[[#This Row],[Document ID]],Table1[],5,FALSE)</f>
        <v>NDC</v>
      </c>
      <c r="E660" s="233" t="str">
        <f>VLOOKUP(Table8[[#This Row],[Document ID]],Table1[],7,FALSE)</f>
        <v>First NDC updated</v>
      </c>
      <c r="F660" s="233" t="str">
        <f>VLOOKUP(Table8[[#This Row],[Document ID]],Table1[],8,FALSE)</f>
        <v>NDC 1.1</v>
      </c>
      <c r="G660" s="233" t="str">
        <f>VLOOKUP(Table8[[#This Row],[Document ID]],Table1[],10,FALSE)</f>
        <v>Active</v>
      </c>
      <c r="H660" s="43" t="s">
        <v>2358</v>
      </c>
      <c r="I660" s="43" t="s">
        <v>2359</v>
      </c>
      <c r="J660" s="44" t="s">
        <v>2360</v>
      </c>
      <c r="K660" s="44" t="s">
        <v>2987</v>
      </c>
      <c r="L660" s="44" t="s">
        <v>2333</v>
      </c>
      <c r="M660" s="43">
        <v>41</v>
      </c>
      <c r="N660" s="113"/>
      <c r="O660" s="113"/>
      <c r="P660" s="113"/>
      <c r="Q660" s="113"/>
      <c r="R660" s="113"/>
      <c r="S660" s="113" t="s">
        <v>1113</v>
      </c>
      <c r="T660" s="113"/>
      <c r="U660" s="113"/>
      <c r="V660" s="113"/>
      <c r="W660" s="113"/>
      <c r="X660" s="113" t="s">
        <v>1113</v>
      </c>
      <c r="Y660" s="113" t="s">
        <v>1113</v>
      </c>
      <c r="Z660" s="113"/>
      <c r="AA660" s="113"/>
      <c r="AB660" s="113"/>
      <c r="AC660" s="113"/>
      <c r="AD660" s="113"/>
      <c r="AE660" s="113"/>
      <c r="AF660" s="113"/>
      <c r="AG660" s="113"/>
      <c r="AH660" s="113"/>
      <c r="AI660" s="113"/>
      <c r="AJ660" s="113"/>
      <c r="AK660" s="113" t="s">
        <v>1113</v>
      </c>
      <c r="AL660" s="113"/>
      <c r="AM660" s="113"/>
      <c r="AN660" s="113"/>
      <c r="AO660" s="44" t="s">
        <v>2334</v>
      </c>
      <c r="AP660" s="43"/>
      <c r="AQ660" s="236" t="str">
        <f>VLOOKUP(Table8[[#This Row],[Instrument]],Def_Targets!$D$73:$E$159,2,FALSE)</f>
        <v>I_Emobility</v>
      </c>
      <c r="AR660" s="233" t="str">
        <f>VLOOKUP(Table8[[#This Row],[Country Code]],Table29[],3,FALSE)</f>
        <v>Non-Annex I</v>
      </c>
      <c r="AS660" s="233" t="str">
        <f>VLOOKUP(Table8[[#This Row],[Country Code]],Table29[],4,FALSE)</f>
        <v>Latin America and the Caribbean</v>
      </c>
      <c r="AT660" s="233" t="str">
        <f>VLOOKUP(Table8[[#This Row],[Country Code]],Table29[],5,FALSE)</f>
        <v>Middle-income</v>
      </c>
      <c r="AU660" s="233" t="str">
        <f>VLOOKUP(Table8[[#This Row],[Country Code]],Table29[],6,FALSE)</f>
        <v>no</v>
      </c>
      <c r="AV660" s="233" t="str">
        <f>VLOOKUP(Table8[[#This Row],[Country Code]],Table29[],7,FALSE)</f>
        <v>no</v>
      </c>
      <c r="AW660" s="233" t="str">
        <f>VLOOKUP(Table8[[#This Row],[Country Code]],Table29[],8,FALSE)</f>
        <v>non-OECD</v>
      </c>
      <c r="AX660" s="233" t="str">
        <f>VLOOKUP(Table8[[#This Row],[Country Code]],Table29[],9,FALSE)</f>
        <v>no</v>
      </c>
      <c r="AY660" s="233" t="str">
        <f>VLOOKUP(Table8[[#This Row],[Country Code]],Table29[],10,FALSE)</f>
        <v>no</v>
      </c>
      <c r="AZ660" s="235">
        <f>VLOOKUP(Table8[[#This Row],[Country Code]],Table29[],23,FALSE)</f>
        <v>0.14691940907449</v>
      </c>
      <c r="BA660" s="235">
        <f>VLOOKUP(Table8[[#This Row],[Country Code]],Table29[],24,FALSE)</f>
        <v>2.8004429294222619E-2</v>
      </c>
      <c r="BB660" s="320"/>
      <c r="BC660" s="320"/>
    </row>
    <row r="661" spans="1:55" hidden="1" x14ac:dyDescent="0.25">
      <c r="A661" s="373">
        <v>29230</v>
      </c>
      <c r="B661" s="233" t="str">
        <f>VLOOKUP(Table8[[#This Row],[Document ID]],Table1[],2,FALSE)</f>
        <v>DMA</v>
      </c>
      <c r="C661" s="233" t="str">
        <f>VLOOKUP(Table8[[#This Row],[Document ID]],Table1[],3,FALSE)</f>
        <v>Dominica</v>
      </c>
      <c r="D661" s="243" t="str">
        <f>VLOOKUP(Table8[[#This Row],[Document ID]],Table1[],5,FALSE)</f>
        <v>NDC</v>
      </c>
      <c r="E661" s="233" t="str">
        <f>VLOOKUP(Table8[[#This Row],[Document ID]],Table1[],7,FALSE)</f>
        <v>First NDC updated</v>
      </c>
      <c r="F661" s="233" t="str">
        <f>VLOOKUP(Table8[[#This Row],[Document ID]],Table1[],8,FALSE)</f>
        <v>NDC 1.1</v>
      </c>
      <c r="G661" s="233" t="str">
        <f>VLOOKUP(Table8[[#This Row],[Document ID]],Table1[],10,FALSE)</f>
        <v>Active</v>
      </c>
      <c r="H661" s="43" t="s">
        <v>2358</v>
      </c>
      <c r="I661" s="43" t="s">
        <v>2359</v>
      </c>
      <c r="J661" s="44" t="s">
        <v>2383</v>
      </c>
      <c r="K661" s="44" t="s">
        <v>2988</v>
      </c>
      <c r="L661" s="44" t="s">
        <v>2333</v>
      </c>
      <c r="M661" s="43">
        <v>41</v>
      </c>
      <c r="N661" s="113" t="s">
        <v>1113</v>
      </c>
      <c r="O661" s="113"/>
      <c r="P661" s="113"/>
      <c r="Q661" s="113"/>
      <c r="R661" s="113"/>
      <c r="S661" s="113"/>
      <c r="T661" s="113"/>
      <c r="U661" s="113"/>
      <c r="V661" s="113"/>
      <c r="W661" s="113"/>
      <c r="X661" s="113"/>
      <c r="Y661" s="113"/>
      <c r="Z661" s="113"/>
      <c r="AA661" s="113"/>
      <c r="AB661" s="113"/>
      <c r="AC661" s="113"/>
      <c r="AD661" s="113"/>
      <c r="AE661" s="113"/>
      <c r="AF661" s="113"/>
      <c r="AG661" s="113"/>
      <c r="AH661" s="113"/>
      <c r="AI661" s="113"/>
      <c r="AJ661" s="113"/>
      <c r="AK661" s="113" t="s">
        <v>1113</v>
      </c>
      <c r="AL661" s="113"/>
      <c r="AM661" s="113"/>
      <c r="AN661" s="113"/>
      <c r="AO661" s="44" t="s">
        <v>2334</v>
      </c>
      <c r="AP661" s="43"/>
      <c r="AQ661" s="236" t="str">
        <f>VLOOKUP(Table8[[#This Row],[Instrument]],Def_Targets!$D$73:$E$159,2,FALSE)</f>
        <v>I_Emobilitycharging</v>
      </c>
      <c r="AR661" s="233" t="str">
        <f>VLOOKUP(Table8[[#This Row],[Country Code]],Table29[],3,FALSE)</f>
        <v>Non-Annex I</v>
      </c>
      <c r="AS661" s="233" t="str">
        <f>VLOOKUP(Table8[[#This Row],[Country Code]],Table29[],4,FALSE)</f>
        <v>Latin America and the Caribbean</v>
      </c>
      <c r="AT661" s="233" t="str">
        <f>VLOOKUP(Table8[[#This Row],[Country Code]],Table29[],5,FALSE)</f>
        <v>Middle-income</v>
      </c>
      <c r="AU661" s="233" t="str">
        <f>VLOOKUP(Table8[[#This Row],[Country Code]],Table29[],6,FALSE)</f>
        <v>no</v>
      </c>
      <c r="AV661" s="233" t="str">
        <f>VLOOKUP(Table8[[#This Row],[Country Code]],Table29[],7,FALSE)</f>
        <v>no</v>
      </c>
      <c r="AW661" s="233" t="str">
        <f>VLOOKUP(Table8[[#This Row],[Country Code]],Table29[],8,FALSE)</f>
        <v>non-OECD</v>
      </c>
      <c r="AX661" s="233" t="str">
        <f>VLOOKUP(Table8[[#This Row],[Country Code]],Table29[],9,FALSE)</f>
        <v>no</v>
      </c>
      <c r="AY661" s="233" t="str">
        <f>VLOOKUP(Table8[[#This Row],[Country Code]],Table29[],10,FALSE)</f>
        <v>no</v>
      </c>
      <c r="AZ661" s="235">
        <f>VLOOKUP(Table8[[#This Row],[Country Code]],Table29[],23,FALSE)</f>
        <v>0.14691940907449</v>
      </c>
      <c r="BA661" s="235">
        <f>VLOOKUP(Table8[[#This Row],[Country Code]],Table29[],24,FALSE)</f>
        <v>2.8004429294222619E-2</v>
      </c>
      <c r="BB661" s="320"/>
      <c r="BC661" s="320"/>
    </row>
    <row r="662" spans="1:55" ht="30" hidden="1" x14ac:dyDescent="0.25">
      <c r="A662" s="373">
        <v>29230</v>
      </c>
      <c r="B662" s="233" t="str">
        <f>VLOOKUP(Table8[[#This Row],[Document ID]],Table1[],2,FALSE)</f>
        <v>DMA</v>
      </c>
      <c r="C662" s="233" t="str">
        <f>VLOOKUP(Table8[[#This Row],[Document ID]],Table1[],3,FALSE)</f>
        <v>Dominica</v>
      </c>
      <c r="D662" s="243" t="str">
        <f>VLOOKUP(Table8[[#This Row],[Document ID]],Table1[],5,FALSE)</f>
        <v>NDC</v>
      </c>
      <c r="E662" s="233" t="str">
        <f>VLOOKUP(Table8[[#This Row],[Document ID]],Table1[],7,FALSE)</f>
        <v>First NDC updated</v>
      </c>
      <c r="F662" s="233" t="str">
        <f>VLOOKUP(Table8[[#This Row],[Document ID]],Table1[],8,FALSE)</f>
        <v>NDC 1.1</v>
      </c>
      <c r="G662" s="233" t="str">
        <f>VLOOKUP(Table8[[#This Row],[Document ID]],Table1[],10,FALSE)</f>
        <v>Active</v>
      </c>
      <c r="H662" s="44" t="s">
        <v>2329</v>
      </c>
      <c r="I662" s="44" t="s">
        <v>2330</v>
      </c>
      <c r="J662" s="44" t="s">
        <v>2381</v>
      </c>
      <c r="K662" s="44" t="s">
        <v>2989</v>
      </c>
      <c r="L662" s="44" t="s">
        <v>2333</v>
      </c>
      <c r="M662" s="43">
        <v>41</v>
      </c>
      <c r="N662" s="113" t="s">
        <v>1113</v>
      </c>
      <c r="O662" s="113"/>
      <c r="P662" s="113"/>
      <c r="Q662" s="113"/>
      <c r="R662" s="113"/>
      <c r="S662" s="113"/>
      <c r="T662" s="113"/>
      <c r="U662" s="113"/>
      <c r="V662" s="113"/>
      <c r="W662" s="113"/>
      <c r="X662" s="113"/>
      <c r="Y662" s="113"/>
      <c r="Z662" s="113"/>
      <c r="AA662" s="113"/>
      <c r="AB662" s="113"/>
      <c r="AC662" s="113"/>
      <c r="AD662" s="113"/>
      <c r="AE662" s="113"/>
      <c r="AF662" s="113"/>
      <c r="AG662" s="113"/>
      <c r="AH662" s="113"/>
      <c r="AI662" s="113"/>
      <c r="AJ662" s="113"/>
      <c r="AK662" s="113" t="s">
        <v>1113</v>
      </c>
      <c r="AL662" s="113"/>
      <c r="AM662" s="113"/>
      <c r="AN662" s="113"/>
      <c r="AO662" s="44" t="s">
        <v>2334</v>
      </c>
      <c r="AP662" s="43"/>
      <c r="AQ662" s="236" t="str">
        <f>VLOOKUP(Table8[[#This Row],[Instrument]],Def_Targets!$D$73:$E$159,2,FALSE)</f>
        <v>I_RE</v>
      </c>
      <c r="AR662" s="233" t="str">
        <f>VLOOKUP(Table8[[#This Row],[Country Code]],Table29[],3,FALSE)</f>
        <v>Non-Annex I</v>
      </c>
      <c r="AS662" s="233" t="str">
        <f>VLOOKUP(Table8[[#This Row],[Country Code]],Table29[],4,FALSE)</f>
        <v>Latin America and the Caribbean</v>
      </c>
      <c r="AT662" s="233" t="str">
        <f>VLOOKUP(Table8[[#This Row],[Country Code]],Table29[],5,FALSE)</f>
        <v>Middle-income</v>
      </c>
      <c r="AU662" s="233" t="str">
        <f>VLOOKUP(Table8[[#This Row],[Country Code]],Table29[],6,FALSE)</f>
        <v>no</v>
      </c>
      <c r="AV662" s="233" t="str">
        <f>VLOOKUP(Table8[[#This Row],[Country Code]],Table29[],7,FALSE)</f>
        <v>no</v>
      </c>
      <c r="AW662" s="233" t="str">
        <f>VLOOKUP(Table8[[#This Row],[Country Code]],Table29[],8,FALSE)</f>
        <v>non-OECD</v>
      </c>
      <c r="AX662" s="233" t="str">
        <f>VLOOKUP(Table8[[#This Row],[Country Code]],Table29[],9,FALSE)</f>
        <v>no</v>
      </c>
      <c r="AY662" s="233" t="str">
        <f>VLOOKUP(Table8[[#This Row],[Country Code]],Table29[],10,FALSE)</f>
        <v>no</v>
      </c>
      <c r="AZ662" s="235">
        <f>VLOOKUP(Table8[[#This Row],[Country Code]],Table29[],23,FALSE)</f>
        <v>0.14691940907449</v>
      </c>
      <c r="BA662" s="235">
        <f>VLOOKUP(Table8[[#This Row],[Country Code]],Table29[],24,FALSE)</f>
        <v>2.8004429294222619E-2</v>
      </c>
      <c r="BB662" s="320"/>
      <c r="BC662" s="320"/>
    </row>
    <row r="663" spans="1:55" ht="45" hidden="1" x14ac:dyDescent="0.25">
      <c r="A663" s="373">
        <v>29230</v>
      </c>
      <c r="B663" s="233" t="str">
        <f>VLOOKUP(Table8[[#This Row],[Document ID]],Table1[],2,FALSE)</f>
        <v>DMA</v>
      </c>
      <c r="C663" s="233" t="str">
        <f>VLOOKUP(Table8[[#This Row],[Document ID]],Table1[],3,FALSE)</f>
        <v>Dominica</v>
      </c>
      <c r="D663" s="243" t="str">
        <f>VLOOKUP(Table8[[#This Row],[Document ID]],Table1[],5,FALSE)</f>
        <v>NDC</v>
      </c>
      <c r="E663" s="233" t="str">
        <f>VLOOKUP(Table8[[#This Row],[Document ID]],Table1[],7,FALSE)</f>
        <v>First NDC updated</v>
      </c>
      <c r="F663" s="233" t="str">
        <f>VLOOKUP(Table8[[#This Row],[Document ID]],Table1[],8,FALSE)</f>
        <v>NDC 1.1</v>
      </c>
      <c r="G663" s="233" t="str">
        <f>VLOOKUP(Table8[[#This Row],[Document ID]],Table1[],10,FALSE)</f>
        <v>Active</v>
      </c>
      <c r="H663" s="44" t="s">
        <v>2329</v>
      </c>
      <c r="I663" s="44" t="s">
        <v>2330</v>
      </c>
      <c r="J663" s="44" t="s">
        <v>2391</v>
      </c>
      <c r="K663" s="44" t="s">
        <v>2990</v>
      </c>
      <c r="L663" s="44" t="s">
        <v>2333</v>
      </c>
      <c r="M663" s="43">
        <v>41</v>
      </c>
      <c r="N663" s="113" t="s">
        <v>1113</v>
      </c>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t="s">
        <v>1113</v>
      </c>
      <c r="AL663" s="113"/>
      <c r="AM663" s="113"/>
      <c r="AN663" s="113"/>
      <c r="AO663" s="44" t="s">
        <v>2334</v>
      </c>
      <c r="AP663" s="43"/>
      <c r="AQ663" s="236" t="str">
        <f>VLOOKUP(Table8[[#This Row],[Instrument]],Def_Targets!$D$73:$E$159,2,FALSE)</f>
        <v>I_Hydrogen</v>
      </c>
      <c r="AR663" s="233" t="str">
        <f>VLOOKUP(Table8[[#This Row],[Country Code]],Table29[],3,FALSE)</f>
        <v>Non-Annex I</v>
      </c>
      <c r="AS663" s="233" t="str">
        <f>VLOOKUP(Table8[[#This Row],[Country Code]],Table29[],4,FALSE)</f>
        <v>Latin America and the Caribbean</v>
      </c>
      <c r="AT663" s="233" t="str">
        <f>VLOOKUP(Table8[[#This Row],[Country Code]],Table29[],5,FALSE)</f>
        <v>Middle-income</v>
      </c>
      <c r="AU663" s="233" t="str">
        <f>VLOOKUP(Table8[[#This Row],[Country Code]],Table29[],6,FALSE)</f>
        <v>no</v>
      </c>
      <c r="AV663" s="233" t="str">
        <f>VLOOKUP(Table8[[#This Row],[Country Code]],Table29[],7,FALSE)</f>
        <v>no</v>
      </c>
      <c r="AW663" s="233" t="str">
        <f>VLOOKUP(Table8[[#This Row],[Country Code]],Table29[],8,FALSE)</f>
        <v>non-OECD</v>
      </c>
      <c r="AX663" s="233" t="str">
        <f>VLOOKUP(Table8[[#This Row],[Country Code]],Table29[],9,FALSE)</f>
        <v>no</v>
      </c>
      <c r="AY663" s="233" t="str">
        <f>VLOOKUP(Table8[[#This Row],[Country Code]],Table29[],10,FALSE)</f>
        <v>no</v>
      </c>
      <c r="AZ663" s="235">
        <f>VLOOKUP(Table8[[#This Row],[Country Code]],Table29[],23,FALSE)</f>
        <v>0.14691940907449</v>
      </c>
      <c r="BA663" s="235">
        <f>VLOOKUP(Table8[[#This Row],[Country Code]],Table29[],24,FALSE)</f>
        <v>2.8004429294222619E-2</v>
      </c>
      <c r="BB663" s="320"/>
      <c r="BC663" s="320"/>
    </row>
    <row r="664" spans="1:55" ht="60" hidden="1" x14ac:dyDescent="0.25">
      <c r="A664" s="373">
        <v>29230</v>
      </c>
      <c r="B664" s="233" t="str">
        <f>VLOOKUP(Table8[[#This Row],[Document ID]],Table1[],2,FALSE)</f>
        <v>DMA</v>
      </c>
      <c r="C664" s="233" t="str">
        <f>VLOOKUP(Table8[[#This Row],[Document ID]],Table1[],3,FALSE)</f>
        <v>Dominica</v>
      </c>
      <c r="D664" s="243" t="str">
        <f>VLOOKUP(Table8[[#This Row],[Document ID]],Table1[],5,FALSE)</f>
        <v>NDC</v>
      </c>
      <c r="E664" s="233" t="str">
        <f>VLOOKUP(Table8[[#This Row],[Document ID]],Table1[],7,FALSE)</f>
        <v>First NDC updated</v>
      </c>
      <c r="F664" s="233" t="str">
        <f>VLOOKUP(Table8[[#This Row],[Document ID]],Table1[],8,FALSE)</f>
        <v>NDC 1.1</v>
      </c>
      <c r="G664" s="233" t="str">
        <f>VLOOKUP(Table8[[#This Row],[Document ID]],Table1[],10,FALSE)</f>
        <v>Active</v>
      </c>
      <c r="H664" s="43" t="s">
        <v>2343</v>
      </c>
      <c r="I664" s="43" t="s">
        <v>2386</v>
      </c>
      <c r="J664" s="44" t="s">
        <v>2397</v>
      </c>
      <c r="K664" s="44" t="s">
        <v>2991</v>
      </c>
      <c r="L664" s="44" t="s">
        <v>2333</v>
      </c>
      <c r="M664" s="43">
        <v>41</v>
      </c>
      <c r="N664" s="113" t="s">
        <v>1113</v>
      </c>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t="s">
        <v>1113</v>
      </c>
      <c r="AL664" s="113"/>
      <c r="AM664" s="113"/>
      <c r="AN664" s="113"/>
      <c r="AO664" s="44" t="s">
        <v>2334</v>
      </c>
      <c r="AP664" s="43"/>
      <c r="AQ664" s="236" t="str">
        <f>VLOOKUP(Table8[[#This Row],[Instrument]],Def_Targets!$D$73:$E$159,2,FALSE)</f>
        <v>A_Finance</v>
      </c>
      <c r="AR664" s="233" t="str">
        <f>VLOOKUP(Table8[[#This Row],[Country Code]],Table29[],3,FALSE)</f>
        <v>Non-Annex I</v>
      </c>
      <c r="AS664" s="233" t="str">
        <f>VLOOKUP(Table8[[#This Row],[Country Code]],Table29[],4,FALSE)</f>
        <v>Latin America and the Caribbean</v>
      </c>
      <c r="AT664" s="233" t="str">
        <f>VLOOKUP(Table8[[#This Row],[Country Code]],Table29[],5,FALSE)</f>
        <v>Middle-income</v>
      </c>
      <c r="AU664" s="233" t="str">
        <f>VLOOKUP(Table8[[#This Row],[Country Code]],Table29[],6,FALSE)</f>
        <v>no</v>
      </c>
      <c r="AV664" s="233" t="str">
        <f>VLOOKUP(Table8[[#This Row],[Country Code]],Table29[],7,FALSE)</f>
        <v>no</v>
      </c>
      <c r="AW664" s="233" t="str">
        <f>VLOOKUP(Table8[[#This Row],[Country Code]],Table29[],8,FALSE)</f>
        <v>non-OECD</v>
      </c>
      <c r="AX664" s="233" t="str">
        <f>VLOOKUP(Table8[[#This Row],[Country Code]],Table29[],9,FALSE)</f>
        <v>no</v>
      </c>
      <c r="AY664" s="233" t="str">
        <f>VLOOKUP(Table8[[#This Row],[Country Code]],Table29[],10,FALSE)</f>
        <v>no</v>
      </c>
      <c r="AZ664" s="235">
        <f>VLOOKUP(Table8[[#This Row],[Country Code]],Table29[],23,FALSE)</f>
        <v>0.14691940907449</v>
      </c>
      <c r="BA664" s="235">
        <f>VLOOKUP(Table8[[#This Row],[Country Code]],Table29[],24,FALSE)</f>
        <v>2.8004429294222619E-2</v>
      </c>
      <c r="BB664" s="320"/>
      <c r="BC664" s="320"/>
    </row>
    <row r="665" spans="1:55" hidden="1" x14ac:dyDescent="0.25">
      <c r="A665" s="373">
        <v>29230</v>
      </c>
      <c r="B665" s="233" t="str">
        <f>VLOOKUP(Table8[[#This Row],[Document ID]],Table1[],2,FALSE)</f>
        <v>DMA</v>
      </c>
      <c r="C665" s="233" t="str">
        <f>VLOOKUP(Table8[[#This Row],[Document ID]],Table1[],3,FALSE)</f>
        <v>Dominica</v>
      </c>
      <c r="D665" s="243" t="str">
        <f>VLOOKUP(Table8[[#This Row],[Document ID]],Table1[],5,FALSE)</f>
        <v>NDC</v>
      </c>
      <c r="E665" s="233" t="str">
        <f>VLOOKUP(Table8[[#This Row],[Document ID]],Table1[],7,FALSE)</f>
        <v>First NDC updated</v>
      </c>
      <c r="F665" s="233" t="str">
        <f>VLOOKUP(Table8[[#This Row],[Document ID]],Table1[],8,FALSE)</f>
        <v>NDC 1.1</v>
      </c>
      <c r="G665" s="233" t="str">
        <f>VLOOKUP(Table8[[#This Row],[Document ID]],Table1[],10,FALSE)</f>
        <v>Active</v>
      </c>
      <c r="H665" s="44" t="s">
        <v>2329</v>
      </c>
      <c r="I665" s="44" t="s">
        <v>2330</v>
      </c>
      <c r="J665" s="44" t="s">
        <v>2414</v>
      </c>
      <c r="K665" s="44" t="s">
        <v>1498</v>
      </c>
      <c r="L665" s="44" t="s">
        <v>2333</v>
      </c>
      <c r="M665" s="43">
        <v>43</v>
      </c>
      <c r="N665" s="113"/>
      <c r="O665" s="113"/>
      <c r="P665" s="113"/>
      <c r="Q665" s="113"/>
      <c r="R665" s="113"/>
      <c r="S665" s="113"/>
      <c r="T665" s="113"/>
      <c r="U665" s="113" t="s">
        <v>1113</v>
      </c>
      <c r="V665" s="113"/>
      <c r="W665" s="113"/>
      <c r="X665" s="113"/>
      <c r="Y665" s="113"/>
      <c r="Z665" s="113"/>
      <c r="AA665" s="113"/>
      <c r="AB665" s="113"/>
      <c r="AC665" s="113"/>
      <c r="AD665" s="113"/>
      <c r="AE665" s="113"/>
      <c r="AF665" s="113"/>
      <c r="AG665" s="113"/>
      <c r="AH665" s="113"/>
      <c r="AI665" s="113"/>
      <c r="AJ665" s="113"/>
      <c r="AK665" s="113" t="s">
        <v>1113</v>
      </c>
      <c r="AL665" s="113"/>
      <c r="AM665" s="113"/>
      <c r="AN665" s="113"/>
      <c r="AO665" s="43" t="s">
        <v>2348</v>
      </c>
      <c r="AP665" s="43"/>
      <c r="AQ665" s="236" t="str">
        <f>VLOOKUP(Table8[[#This Row],[Instrument]],Def_Targets!$D$73:$E$159,2,FALSE)</f>
        <v>I_ICEdiesel</v>
      </c>
      <c r="AR665" s="233" t="str">
        <f>VLOOKUP(Table8[[#This Row],[Country Code]],Table29[],3,FALSE)</f>
        <v>Non-Annex I</v>
      </c>
      <c r="AS665" s="233" t="str">
        <f>VLOOKUP(Table8[[#This Row],[Country Code]],Table29[],4,FALSE)</f>
        <v>Latin America and the Caribbean</v>
      </c>
      <c r="AT665" s="233" t="str">
        <f>VLOOKUP(Table8[[#This Row],[Country Code]],Table29[],5,FALSE)</f>
        <v>Middle-income</v>
      </c>
      <c r="AU665" s="233" t="str">
        <f>VLOOKUP(Table8[[#This Row],[Country Code]],Table29[],6,FALSE)</f>
        <v>no</v>
      </c>
      <c r="AV665" s="233" t="str">
        <f>VLOOKUP(Table8[[#This Row],[Country Code]],Table29[],7,FALSE)</f>
        <v>no</v>
      </c>
      <c r="AW665" s="233" t="str">
        <f>VLOOKUP(Table8[[#This Row],[Country Code]],Table29[],8,FALSE)</f>
        <v>non-OECD</v>
      </c>
      <c r="AX665" s="233" t="str">
        <f>VLOOKUP(Table8[[#This Row],[Country Code]],Table29[],9,FALSE)</f>
        <v>no</v>
      </c>
      <c r="AY665" s="233" t="str">
        <f>VLOOKUP(Table8[[#This Row],[Country Code]],Table29[],10,FALSE)</f>
        <v>no</v>
      </c>
      <c r="AZ665" s="235">
        <f>VLOOKUP(Table8[[#This Row],[Country Code]],Table29[],23,FALSE)</f>
        <v>0.14691940907449</v>
      </c>
      <c r="BA665" s="235">
        <f>VLOOKUP(Table8[[#This Row],[Country Code]],Table29[],24,FALSE)</f>
        <v>2.8004429294222619E-2</v>
      </c>
      <c r="BB665" s="320"/>
      <c r="BC665" s="320"/>
    </row>
    <row r="666" spans="1:55" hidden="1" x14ac:dyDescent="0.25">
      <c r="A666" s="373">
        <v>17580</v>
      </c>
      <c r="B666" s="233" t="str">
        <f>VLOOKUP(Table8[[#This Row],[Document ID]],Table1[],2,FALSE)</f>
        <v>DOM</v>
      </c>
      <c r="C666" s="233" t="str">
        <f>VLOOKUP(Table8[[#This Row],[Document ID]],Table1[],3,FALSE)</f>
        <v>Dominican Republic</v>
      </c>
      <c r="D666" s="243" t="str">
        <f>VLOOKUP(Table8[[#This Row],[Document ID]],Table1[],5,FALSE)</f>
        <v>NDC</v>
      </c>
      <c r="E666" s="233" t="str">
        <f>VLOOKUP(Table8[[#This Row],[Document ID]],Table1[],7,FALSE)</f>
        <v>First NDC updated</v>
      </c>
      <c r="F666" s="233" t="str">
        <f>VLOOKUP(Table8[[#This Row],[Document ID]],Table1[],8,FALSE)</f>
        <v>NDC 1.1</v>
      </c>
      <c r="G666" s="233" t="str">
        <f>VLOOKUP(Table8[[#This Row],[Document ID]],Table1[],10,FALSE)</f>
        <v>Active</v>
      </c>
      <c r="H666" s="43" t="s">
        <v>2343</v>
      </c>
      <c r="I666" s="43" t="s">
        <v>2344</v>
      </c>
      <c r="J666" s="44" t="s">
        <v>2405</v>
      </c>
      <c r="K666" s="44" t="s">
        <v>2992</v>
      </c>
      <c r="L666" s="44" t="s">
        <v>2347</v>
      </c>
      <c r="M666" s="43">
        <v>28</v>
      </c>
      <c r="N666" s="113"/>
      <c r="O666" s="113"/>
      <c r="P666" s="113"/>
      <c r="Q666" s="113"/>
      <c r="R666" s="113"/>
      <c r="S666" s="113"/>
      <c r="T666" s="113"/>
      <c r="U666" s="113"/>
      <c r="V666" s="113"/>
      <c r="W666" s="113"/>
      <c r="X666" s="113"/>
      <c r="Y666" s="113"/>
      <c r="Z666" s="113"/>
      <c r="AA666" s="113"/>
      <c r="AB666" s="113"/>
      <c r="AC666" s="319" t="s">
        <v>1113</v>
      </c>
      <c r="AD666" s="319"/>
      <c r="AE666" s="113"/>
      <c r="AF666" s="113"/>
      <c r="AG666" s="113"/>
      <c r="AH666" s="113"/>
      <c r="AI666" s="113"/>
      <c r="AJ666" s="113"/>
      <c r="AK666" s="113"/>
      <c r="AL666" s="113" t="s">
        <v>1113</v>
      </c>
      <c r="AM666" s="113"/>
      <c r="AN666" s="113"/>
      <c r="AO666" s="43" t="s">
        <v>2348</v>
      </c>
      <c r="AP666" s="43"/>
      <c r="AQ666" s="236" t="str">
        <f>VLOOKUP(Table8[[#This Row],[Instrument]],Def_Targets!$D$73:$E$159,2,FALSE)</f>
        <v>S_PTIntegration</v>
      </c>
      <c r="AR666" s="233" t="str">
        <f>VLOOKUP(Table8[[#This Row],[Country Code]],Table29[],3,FALSE)</f>
        <v>Non-Annex I</v>
      </c>
      <c r="AS666" s="233" t="str">
        <f>VLOOKUP(Table8[[#This Row],[Country Code]],Table29[],4,FALSE)</f>
        <v>Latin America and the Caribbean</v>
      </c>
      <c r="AT666" s="233" t="str">
        <f>VLOOKUP(Table8[[#This Row],[Country Code]],Table29[],5,FALSE)</f>
        <v>Middle-income</v>
      </c>
      <c r="AU666" s="233" t="str">
        <f>VLOOKUP(Table8[[#This Row],[Country Code]],Table29[],6,FALSE)</f>
        <v>no</v>
      </c>
      <c r="AV666" s="233" t="str">
        <f>VLOOKUP(Table8[[#This Row],[Country Code]],Table29[],7,FALSE)</f>
        <v>no</v>
      </c>
      <c r="AW666" s="233" t="str">
        <f>VLOOKUP(Table8[[#This Row],[Country Code]],Table29[],8,FALSE)</f>
        <v>non-OECD</v>
      </c>
      <c r="AX666" s="233" t="str">
        <f>VLOOKUP(Table8[[#This Row],[Country Code]],Table29[],9,FALSE)</f>
        <v>no</v>
      </c>
      <c r="AY666" s="233" t="str">
        <f>VLOOKUP(Table8[[#This Row],[Country Code]],Table29[],10,FALSE)</f>
        <v>no</v>
      </c>
      <c r="AZ666" s="235">
        <f>VLOOKUP(Table8[[#This Row],[Country Code]],Table29[],23,FALSE)</f>
        <v>48.396213040657997</v>
      </c>
      <c r="BA666" s="235">
        <f>VLOOKUP(Table8[[#This Row],[Country Code]],Table29[],24,FALSE)</f>
        <v>8.515708871390995</v>
      </c>
      <c r="BB666" s="320"/>
      <c r="BC666" s="320"/>
    </row>
    <row r="667" spans="1:55" hidden="1" x14ac:dyDescent="0.25">
      <c r="A667" s="373">
        <v>17580</v>
      </c>
      <c r="B667" s="233" t="str">
        <f>VLOOKUP(Table8[[#This Row],[Document ID]],Table1[],2,FALSE)</f>
        <v>DOM</v>
      </c>
      <c r="C667" s="233" t="str">
        <f>VLOOKUP(Table8[[#This Row],[Document ID]],Table1[],3,FALSE)</f>
        <v>Dominican Republic</v>
      </c>
      <c r="D667" s="243" t="str">
        <f>VLOOKUP(Table8[[#This Row],[Document ID]],Table1[],5,FALSE)</f>
        <v>NDC</v>
      </c>
      <c r="E667" s="233" t="str">
        <f>VLOOKUP(Table8[[#This Row],[Document ID]],Table1[],7,FALSE)</f>
        <v>First NDC updated</v>
      </c>
      <c r="F667" s="233" t="str">
        <f>VLOOKUP(Table8[[#This Row],[Document ID]],Table1[],8,FALSE)</f>
        <v>NDC 1.1</v>
      </c>
      <c r="G667" s="233" t="str">
        <f>VLOOKUP(Table8[[#This Row],[Document ID]],Table1[],10,FALSE)</f>
        <v>Active</v>
      </c>
      <c r="H667" s="43" t="s">
        <v>2343</v>
      </c>
      <c r="I667" s="43" t="s">
        <v>2344</v>
      </c>
      <c r="J667" s="44" t="s">
        <v>2405</v>
      </c>
      <c r="K667" s="44" t="s">
        <v>2993</v>
      </c>
      <c r="L667" s="44" t="s">
        <v>2347</v>
      </c>
      <c r="M667" s="43">
        <v>28</v>
      </c>
      <c r="N667" s="113"/>
      <c r="O667" s="113"/>
      <c r="P667" s="113"/>
      <c r="Q667" s="113"/>
      <c r="R667" s="113"/>
      <c r="S667" s="113"/>
      <c r="T667" s="113"/>
      <c r="U667" s="113"/>
      <c r="V667" s="113"/>
      <c r="W667" s="113"/>
      <c r="X667" s="113"/>
      <c r="Y667" s="113"/>
      <c r="Z667" s="113"/>
      <c r="AA667" s="113"/>
      <c r="AB667" s="113"/>
      <c r="AC667" s="319" t="s">
        <v>1113</v>
      </c>
      <c r="AD667" s="319"/>
      <c r="AE667" s="113"/>
      <c r="AF667" s="113"/>
      <c r="AG667" s="113"/>
      <c r="AH667" s="113"/>
      <c r="AI667" s="113"/>
      <c r="AJ667" s="113"/>
      <c r="AK667" s="319" t="s">
        <v>1113</v>
      </c>
      <c r="AL667" s="113"/>
      <c r="AM667" s="113"/>
      <c r="AN667" s="113"/>
      <c r="AO667" s="43" t="s">
        <v>2348</v>
      </c>
      <c r="AP667" s="43"/>
      <c r="AQ667" s="236" t="str">
        <f>VLOOKUP(Table8[[#This Row],[Instrument]],Def_Targets!$D$73:$E$159,2,FALSE)</f>
        <v>S_PTIntegration</v>
      </c>
      <c r="AR667" s="233" t="str">
        <f>VLOOKUP(Table8[[#This Row],[Country Code]],Table29[],3,FALSE)</f>
        <v>Non-Annex I</v>
      </c>
      <c r="AS667" s="233" t="str">
        <f>VLOOKUP(Table8[[#This Row],[Country Code]],Table29[],4,FALSE)</f>
        <v>Latin America and the Caribbean</v>
      </c>
      <c r="AT667" s="233" t="str">
        <f>VLOOKUP(Table8[[#This Row],[Country Code]],Table29[],5,FALSE)</f>
        <v>Middle-income</v>
      </c>
      <c r="AU667" s="233" t="str">
        <f>VLOOKUP(Table8[[#This Row],[Country Code]],Table29[],6,FALSE)</f>
        <v>no</v>
      </c>
      <c r="AV667" s="233" t="str">
        <f>VLOOKUP(Table8[[#This Row],[Country Code]],Table29[],7,FALSE)</f>
        <v>no</v>
      </c>
      <c r="AW667" s="233" t="str">
        <f>VLOOKUP(Table8[[#This Row],[Country Code]],Table29[],8,FALSE)</f>
        <v>non-OECD</v>
      </c>
      <c r="AX667" s="233" t="str">
        <f>VLOOKUP(Table8[[#This Row],[Country Code]],Table29[],9,FALSE)</f>
        <v>no</v>
      </c>
      <c r="AY667" s="233" t="str">
        <f>VLOOKUP(Table8[[#This Row],[Country Code]],Table29[],10,FALSE)</f>
        <v>no</v>
      </c>
      <c r="AZ667" s="235">
        <f>VLOOKUP(Table8[[#This Row],[Country Code]],Table29[],23,FALSE)</f>
        <v>48.396213040657997</v>
      </c>
      <c r="BA667" s="235">
        <f>VLOOKUP(Table8[[#This Row],[Country Code]],Table29[],24,FALSE)</f>
        <v>8.515708871390995</v>
      </c>
      <c r="BB667" s="320"/>
      <c r="BC667" s="320"/>
    </row>
    <row r="668" spans="1:55" ht="30" hidden="1" x14ac:dyDescent="0.25">
      <c r="A668" s="373">
        <v>17580</v>
      </c>
      <c r="B668" s="233" t="str">
        <f>VLOOKUP(Table8[[#This Row],[Document ID]],Table1[],2,FALSE)</f>
        <v>DOM</v>
      </c>
      <c r="C668" s="233" t="str">
        <f>VLOOKUP(Table8[[#This Row],[Document ID]],Table1[],3,FALSE)</f>
        <v>Dominican Republic</v>
      </c>
      <c r="D668" s="243" t="str">
        <f>VLOOKUP(Table8[[#This Row],[Document ID]],Table1[],5,FALSE)</f>
        <v>NDC</v>
      </c>
      <c r="E668" s="233" t="str">
        <f>VLOOKUP(Table8[[#This Row],[Document ID]],Table1[],7,FALSE)</f>
        <v>First NDC updated</v>
      </c>
      <c r="F668" s="233" t="str">
        <f>VLOOKUP(Table8[[#This Row],[Document ID]],Table1[],8,FALSE)</f>
        <v>NDC 1.1</v>
      </c>
      <c r="G668" s="233" t="str">
        <f>VLOOKUP(Table8[[#This Row],[Document ID]],Table1[],10,FALSE)</f>
        <v>Active</v>
      </c>
      <c r="H668" s="43" t="s">
        <v>2343</v>
      </c>
      <c r="I668" s="43" t="s">
        <v>2344</v>
      </c>
      <c r="J668" s="44" t="s">
        <v>2549</v>
      </c>
      <c r="K668" s="44" t="s">
        <v>2994</v>
      </c>
      <c r="L668" s="44" t="s">
        <v>2347</v>
      </c>
      <c r="M668" s="43">
        <v>28</v>
      </c>
      <c r="N668" s="113"/>
      <c r="O668" s="113"/>
      <c r="P668" s="113"/>
      <c r="Q668" s="113"/>
      <c r="R668" s="113"/>
      <c r="S668" s="113"/>
      <c r="T668" s="113"/>
      <c r="U668" s="113"/>
      <c r="V668" s="113"/>
      <c r="W668" s="113"/>
      <c r="X668" s="113"/>
      <c r="Y668" s="113" t="s">
        <v>1113</v>
      </c>
      <c r="Z668" s="113"/>
      <c r="AA668" s="113"/>
      <c r="AB668" s="113"/>
      <c r="AC668" s="319"/>
      <c r="AD668" s="319"/>
      <c r="AE668" s="113"/>
      <c r="AF668" s="113"/>
      <c r="AG668" s="113"/>
      <c r="AH668" s="113"/>
      <c r="AI668" s="113"/>
      <c r="AJ668" s="113"/>
      <c r="AK668" s="319"/>
      <c r="AL668" s="113" t="s">
        <v>1113</v>
      </c>
      <c r="AM668" s="319"/>
      <c r="AN668" s="319"/>
      <c r="AO668" s="43" t="s">
        <v>2348</v>
      </c>
      <c r="AP668" s="43"/>
      <c r="AQ668" s="236" t="str">
        <f>VLOOKUP(Table8[[#This Row],[Instrument]],Def_Targets!$D$73:$E$159,2,FALSE)</f>
        <v>S_BRT</v>
      </c>
      <c r="AR668" s="233" t="str">
        <f>VLOOKUP(Table8[[#This Row],[Country Code]],Table29[],3,FALSE)</f>
        <v>Non-Annex I</v>
      </c>
      <c r="AS668" s="233" t="str">
        <f>VLOOKUP(Table8[[#This Row],[Country Code]],Table29[],4,FALSE)</f>
        <v>Latin America and the Caribbean</v>
      </c>
      <c r="AT668" s="233" t="str">
        <f>VLOOKUP(Table8[[#This Row],[Country Code]],Table29[],5,FALSE)</f>
        <v>Middle-income</v>
      </c>
      <c r="AU668" s="233" t="str">
        <f>VLOOKUP(Table8[[#This Row],[Country Code]],Table29[],6,FALSE)</f>
        <v>no</v>
      </c>
      <c r="AV668" s="233" t="str">
        <f>VLOOKUP(Table8[[#This Row],[Country Code]],Table29[],7,FALSE)</f>
        <v>no</v>
      </c>
      <c r="AW668" s="233" t="str">
        <f>VLOOKUP(Table8[[#This Row],[Country Code]],Table29[],8,FALSE)</f>
        <v>non-OECD</v>
      </c>
      <c r="AX668" s="233" t="str">
        <f>VLOOKUP(Table8[[#This Row],[Country Code]],Table29[],9,FALSE)</f>
        <v>no</v>
      </c>
      <c r="AY668" s="233" t="str">
        <f>VLOOKUP(Table8[[#This Row],[Country Code]],Table29[],10,FALSE)</f>
        <v>no</v>
      </c>
      <c r="AZ668" s="235">
        <f>VLOOKUP(Table8[[#This Row],[Country Code]],Table29[],23,FALSE)</f>
        <v>48.396213040657997</v>
      </c>
      <c r="BA668" s="235">
        <f>VLOOKUP(Table8[[#This Row],[Country Code]],Table29[],24,FALSE)</f>
        <v>8.515708871390995</v>
      </c>
      <c r="BB668" s="320"/>
      <c r="BC668" s="320"/>
    </row>
    <row r="669" spans="1:55" ht="45" hidden="1" x14ac:dyDescent="0.25">
      <c r="A669" s="373">
        <v>17580</v>
      </c>
      <c r="B669" s="233" t="str">
        <f>VLOOKUP(Table8[[#This Row],[Document ID]],Table1[],2,FALSE)</f>
        <v>DOM</v>
      </c>
      <c r="C669" s="233" t="str">
        <f>VLOOKUP(Table8[[#This Row],[Document ID]],Table1[],3,FALSE)</f>
        <v>Dominican Republic</v>
      </c>
      <c r="D669" s="243" t="str">
        <f>VLOOKUP(Table8[[#This Row],[Document ID]],Table1[],5,FALSE)</f>
        <v>NDC</v>
      </c>
      <c r="E669" s="233" t="str">
        <f>VLOOKUP(Table8[[#This Row],[Document ID]],Table1[],7,FALSE)</f>
        <v>First NDC updated</v>
      </c>
      <c r="F669" s="233" t="str">
        <f>VLOOKUP(Table8[[#This Row],[Document ID]],Table1[],8,FALSE)</f>
        <v>NDC 1.1</v>
      </c>
      <c r="G669" s="233" t="str">
        <f>VLOOKUP(Table8[[#This Row],[Document ID]],Table1[],10,FALSE)</f>
        <v>Active</v>
      </c>
      <c r="H669" s="43" t="s">
        <v>2358</v>
      </c>
      <c r="I669" s="43" t="s">
        <v>2359</v>
      </c>
      <c r="J669" s="44" t="s">
        <v>2360</v>
      </c>
      <c r="K669" s="44" t="s">
        <v>2995</v>
      </c>
      <c r="L669" s="44" t="s">
        <v>2333</v>
      </c>
      <c r="M669" s="43">
        <v>28</v>
      </c>
      <c r="N669" s="113"/>
      <c r="O669" s="113"/>
      <c r="P669" s="113"/>
      <c r="Q669" s="113"/>
      <c r="R669" s="113"/>
      <c r="S669" s="113" t="s">
        <v>1113</v>
      </c>
      <c r="T669" s="113"/>
      <c r="U669" s="113"/>
      <c r="V669" s="113"/>
      <c r="W669" s="113"/>
      <c r="X669" s="113"/>
      <c r="Y669" s="113" t="s">
        <v>1113</v>
      </c>
      <c r="Z669" s="113"/>
      <c r="AA669" s="113"/>
      <c r="AB669" s="113"/>
      <c r="AC669" s="113"/>
      <c r="AD669" s="113"/>
      <c r="AE669" s="113"/>
      <c r="AF669" s="113"/>
      <c r="AG669" s="113"/>
      <c r="AH669" s="113"/>
      <c r="AI669" s="113"/>
      <c r="AJ669" s="113"/>
      <c r="AK669" s="319" t="s">
        <v>1113</v>
      </c>
      <c r="AL669" s="113"/>
      <c r="AM669" s="113"/>
      <c r="AN669" s="113"/>
      <c r="AO669" s="43" t="s">
        <v>2348</v>
      </c>
      <c r="AP669" s="43"/>
      <c r="AQ669" s="236" t="str">
        <f>VLOOKUP(Table8[[#This Row],[Instrument]],Def_Targets!$D$73:$E$159,2,FALSE)</f>
        <v>I_Emobility</v>
      </c>
      <c r="AR669" s="233" t="str">
        <f>VLOOKUP(Table8[[#This Row],[Country Code]],Table29[],3,FALSE)</f>
        <v>Non-Annex I</v>
      </c>
      <c r="AS669" s="233" t="str">
        <f>VLOOKUP(Table8[[#This Row],[Country Code]],Table29[],4,FALSE)</f>
        <v>Latin America and the Caribbean</v>
      </c>
      <c r="AT669" s="233" t="str">
        <f>VLOOKUP(Table8[[#This Row],[Country Code]],Table29[],5,FALSE)</f>
        <v>Middle-income</v>
      </c>
      <c r="AU669" s="233" t="str">
        <f>VLOOKUP(Table8[[#This Row],[Country Code]],Table29[],6,FALSE)</f>
        <v>no</v>
      </c>
      <c r="AV669" s="233" t="str">
        <f>VLOOKUP(Table8[[#This Row],[Country Code]],Table29[],7,FALSE)</f>
        <v>no</v>
      </c>
      <c r="AW669" s="233" t="str">
        <f>VLOOKUP(Table8[[#This Row],[Country Code]],Table29[],8,FALSE)</f>
        <v>non-OECD</v>
      </c>
      <c r="AX669" s="233" t="str">
        <f>VLOOKUP(Table8[[#This Row],[Country Code]],Table29[],9,FALSE)</f>
        <v>no</v>
      </c>
      <c r="AY669" s="233" t="str">
        <f>VLOOKUP(Table8[[#This Row],[Country Code]],Table29[],10,FALSE)</f>
        <v>no</v>
      </c>
      <c r="AZ669" s="235">
        <f>VLOOKUP(Table8[[#This Row],[Country Code]],Table29[],23,FALSE)</f>
        <v>48.396213040657997</v>
      </c>
      <c r="BA669" s="235">
        <f>VLOOKUP(Table8[[#This Row],[Country Code]],Table29[],24,FALSE)</f>
        <v>8.515708871390995</v>
      </c>
      <c r="BB669" s="320"/>
      <c r="BC669" s="320"/>
    </row>
    <row r="670" spans="1:55" ht="30" hidden="1" x14ac:dyDescent="0.25">
      <c r="A670" s="373">
        <v>17580</v>
      </c>
      <c r="B670" s="233" t="str">
        <f>VLOOKUP(Table8[[#This Row],[Document ID]],Table1[],2,FALSE)</f>
        <v>DOM</v>
      </c>
      <c r="C670" s="233" t="str">
        <f>VLOOKUP(Table8[[#This Row],[Document ID]],Table1[],3,FALSE)</f>
        <v>Dominican Republic</v>
      </c>
      <c r="D670" s="243" t="str">
        <f>VLOOKUP(Table8[[#This Row],[Document ID]],Table1[],5,FALSE)</f>
        <v>NDC</v>
      </c>
      <c r="E670" s="233" t="str">
        <f>VLOOKUP(Table8[[#This Row],[Document ID]],Table1[],7,FALSE)</f>
        <v>First NDC updated</v>
      </c>
      <c r="F670" s="233" t="str">
        <f>VLOOKUP(Table8[[#This Row],[Document ID]],Table1[],8,FALSE)</f>
        <v>NDC 1.1</v>
      </c>
      <c r="G670" s="233" t="str">
        <f>VLOOKUP(Table8[[#This Row],[Document ID]],Table1[],10,FALSE)</f>
        <v>Active</v>
      </c>
      <c r="H670" s="43" t="s">
        <v>2343</v>
      </c>
      <c r="I670" s="43" t="s">
        <v>2344</v>
      </c>
      <c r="J670" s="44" t="s">
        <v>2405</v>
      </c>
      <c r="K670" s="44" t="s">
        <v>2996</v>
      </c>
      <c r="L670" s="44" t="s">
        <v>2347</v>
      </c>
      <c r="M670" s="43">
        <v>28</v>
      </c>
      <c r="N670" s="113"/>
      <c r="O670" s="113"/>
      <c r="P670" s="113"/>
      <c r="Q670" s="113"/>
      <c r="R670" s="113"/>
      <c r="S670" s="113"/>
      <c r="T670" s="113"/>
      <c r="U670" s="113"/>
      <c r="V670" s="113"/>
      <c r="W670" s="113"/>
      <c r="X670" s="113"/>
      <c r="Y670" s="113" t="s">
        <v>1113</v>
      </c>
      <c r="Z670" s="113"/>
      <c r="AA670" s="113"/>
      <c r="AB670" s="113"/>
      <c r="AC670" s="113"/>
      <c r="AD670" s="113"/>
      <c r="AE670" s="113"/>
      <c r="AF670" s="113"/>
      <c r="AG670" s="113"/>
      <c r="AH670" s="113"/>
      <c r="AI670" s="113"/>
      <c r="AJ670" s="113"/>
      <c r="AK670" s="319" t="s">
        <v>1113</v>
      </c>
      <c r="AL670" s="113"/>
      <c r="AM670" s="113"/>
      <c r="AN670" s="113"/>
      <c r="AO670" s="43" t="s">
        <v>2348</v>
      </c>
      <c r="AP670" s="43"/>
      <c r="AQ670" s="236" t="str">
        <f>VLOOKUP(Table8[[#This Row],[Instrument]],Def_Targets!$D$73:$E$159,2,FALSE)</f>
        <v>S_PTIntegration</v>
      </c>
      <c r="AR670" s="233" t="str">
        <f>VLOOKUP(Table8[[#This Row],[Country Code]],Table29[],3,FALSE)</f>
        <v>Non-Annex I</v>
      </c>
      <c r="AS670" s="233" t="str">
        <f>VLOOKUP(Table8[[#This Row],[Country Code]],Table29[],4,FALSE)</f>
        <v>Latin America and the Caribbean</v>
      </c>
      <c r="AT670" s="233" t="str">
        <f>VLOOKUP(Table8[[#This Row],[Country Code]],Table29[],5,FALSE)</f>
        <v>Middle-income</v>
      </c>
      <c r="AU670" s="233" t="str">
        <f>VLOOKUP(Table8[[#This Row],[Country Code]],Table29[],6,FALSE)</f>
        <v>no</v>
      </c>
      <c r="AV670" s="233" t="str">
        <f>VLOOKUP(Table8[[#This Row],[Country Code]],Table29[],7,FALSE)</f>
        <v>no</v>
      </c>
      <c r="AW670" s="233" t="str">
        <f>VLOOKUP(Table8[[#This Row],[Country Code]],Table29[],8,FALSE)</f>
        <v>non-OECD</v>
      </c>
      <c r="AX670" s="233" t="str">
        <f>VLOOKUP(Table8[[#This Row],[Country Code]],Table29[],9,FALSE)</f>
        <v>no</v>
      </c>
      <c r="AY670" s="233" t="str">
        <f>VLOOKUP(Table8[[#This Row],[Country Code]],Table29[],10,FALSE)</f>
        <v>no</v>
      </c>
      <c r="AZ670" s="235">
        <f>VLOOKUP(Table8[[#This Row],[Country Code]],Table29[],23,FALSE)</f>
        <v>48.396213040657997</v>
      </c>
      <c r="BA670" s="235">
        <f>VLOOKUP(Table8[[#This Row],[Country Code]],Table29[],24,FALSE)</f>
        <v>8.515708871390995</v>
      </c>
      <c r="BB670" s="320"/>
      <c r="BC670" s="320"/>
    </row>
    <row r="671" spans="1:55" hidden="1" x14ac:dyDescent="0.25">
      <c r="A671" s="373">
        <v>17580</v>
      </c>
      <c r="B671" s="233" t="str">
        <f>VLOOKUP(Table8[[#This Row],[Document ID]],Table1[],2,FALSE)</f>
        <v>DOM</v>
      </c>
      <c r="C671" s="233" t="str">
        <f>VLOOKUP(Table8[[#This Row],[Document ID]],Table1[],3,FALSE)</f>
        <v>Dominican Republic</v>
      </c>
      <c r="D671" s="243" t="str">
        <f>VLOOKUP(Table8[[#This Row],[Document ID]],Table1[],5,FALSE)</f>
        <v>NDC</v>
      </c>
      <c r="E671" s="233" t="str">
        <f>VLOOKUP(Table8[[#This Row],[Document ID]],Table1[],7,FALSE)</f>
        <v>First NDC updated</v>
      </c>
      <c r="F671" s="233" t="str">
        <f>VLOOKUP(Table8[[#This Row],[Document ID]],Table1[],8,FALSE)</f>
        <v>NDC 1.1</v>
      </c>
      <c r="G671" s="233" t="str">
        <f>VLOOKUP(Table8[[#This Row],[Document ID]],Table1[],10,FALSE)</f>
        <v>Active</v>
      </c>
      <c r="H671" s="44" t="s">
        <v>2329</v>
      </c>
      <c r="I671" s="44" t="s">
        <v>2330</v>
      </c>
      <c r="J671" s="44" t="s">
        <v>2363</v>
      </c>
      <c r="K671" s="44" t="s">
        <v>2997</v>
      </c>
      <c r="L671" s="44" t="s">
        <v>2333</v>
      </c>
      <c r="M671" s="43">
        <v>28</v>
      </c>
      <c r="N671" s="113"/>
      <c r="O671" s="113"/>
      <c r="P671" s="113"/>
      <c r="Q671" s="113"/>
      <c r="R671" s="113"/>
      <c r="S671" s="113"/>
      <c r="T671" s="113"/>
      <c r="U671" s="113"/>
      <c r="V671" s="113"/>
      <c r="W671" s="113"/>
      <c r="X671" s="113"/>
      <c r="Y671" s="113" t="s">
        <v>1113</v>
      </c>
      <c r="Z671" s="113"/>
      <c r="AA671" s="113"/>
      <c r="AB671" s="113"/>
      <c r="AC671" s="113"/>
      <c r="AD671" s="113"/>
      <c r="AE671" s="113"/>
      <c r="AF671" s="113"/>
      <c r="AG671" s="113"/>
      <c r="AH671" s="113"/>
      <c r="AI671" s="113"/>
      <c r="AJ671" s="113"/>
      <c r="AK671" s="319" t="s">
        <v>1113</v>
      </c>
      <c r="AL671" s="113"/>
      <c r="AM671" s="113"/>
      <c r="AN671" s="113"/>
      <c r="AO671" s="43" t="s">
        <v>2348</v>
      </c>
      <c r="AP671" s="43"/>
      <c r="AQ671" s="236" t="str">
        <f>VLOOKUP(Table8[[#This Row],[Instrument]],Def_Targets!$D$73:$E$159,2,FALSE)</f>
        <v>I_LPGCNGLNG</v>
      </c>
      <c r="AR671" s="233" t="str">
        <f>VLOOKUP(Table8[[#This Row],[Country Code]],Table29[],3,FALSE)</f>
        <v>Non-Annex I</v>
      </c>
      <c r="AS671" s="233" t="str">
        <f>VLOOKUP(Table8[[#This Row],[Country Code]],Table29[],4,FALSE)</f>
        <v>Latin America and the Caribbean</v>
      </c>
      <c r="AT671" s="233" t="str">
        <f>VLOOKUP(Table8[[#This Row],[Country Code]],Table29[],5,FALSE)</f>
        <v>Middle-income</v>
      </c>
      <c r="AU671" s="233" t="str">
        <f>VLOOKUP(Table8[[#This Row],[Country Code]],Table29[],6,FALSE)</f>
        <v>no</v>
      </c>
      <c r="AV671" s="233" t="str">
        <f>VLOOKUP(Table8[[#This Row],[Country Code]],Table29[],7,FALSE)</f>
        <v>no</v>
      </c>
      <c r="AW671" s="233" t="str">
        <f>VLOOKUP(Table8[[#This Row],[Country Code]],Table29[],8,FALSE)</f>
        <v>non-OECD</v>
      </c>
      <c r="AX671" s="233" t="str">
        <f>VLOOKUP(Table8[[#This Row],[Country Code]],Table29[],9,FALSE)</f>
        <v>no</v>
      </c>
      <c r="AY671" s="233" t="str">
        <f>VLOOKUP(Table8[[#This Row],[Country Code]],Table29[],10,FALSE)</f>
        <v>no</v>
      </c>
      <c r="AZ671" s="235">
        <f>VLOOKUP(Table8[[#This Row],[Country Code]],Table29[],23,FALSE)</f>
        <v>48.396213040657997</v>
      </c>
      <c r="BA671" s="235">
        <f>VLOOKUP(Table8[[#This Row],[Country Code]],Table29[],24,FALSE)</f>
        <v>8.515708871390995</v>
      </c>
      <c r="BB671" s="320"/>
      <c r="BC671" s="320"/>
    </row>
    <row r="672" spans="1:55" ht="30" hidden="1" x14ac:dyDescent="0.25">
      <c r="A672" s="373">
        <v>17580</v>
      </c>
      <c r="B672" s="233" t="str">
        <f>VLOOKUP(Table8[[#This Row],[Document ID]],Table1[],2,FALSE)</f>
        <v>DOM</v>
      </c>
      <c r="C672" s="233" t="str">
        <f>VLOOKUP(Table8[[#This Row],[Document ID]],Table1[],3,FALSE)</f>
        <v>Dominican Republic</v>
      </c>
      <c r="D672" s="243" t="str">
        <f>VLOOKUP(Table8[[#This Row],[Document ID]],Table1[],5,FALSE)</f>
        <v>NDC</v>
      </c>
      <c r="E672" s="233" t="str">
        <f>VLOOKUP(Table8[[#This Row],[Document ID]],Table1[],7,FALSE)</f>
        <v>First NDC updated</v>
      </c>
      <c r="F672" s="233" t="str">
        <f>VLOOKUP(Table8[[#This Row],[Document ID]],Table1[],8,FALSE)</f>
        <v>NDC 1.1</v>
      </c>
      <c r="G672" s="233" t="str">
        <f>VLOOKUP(Table8[[#This Row],[Document ID]],Table1[],10,FALSE)</f>
        <v>Active</v>
      </c>
      <c r="H672" s="43" t="s">
        <v>2358</v>
      </c>
      <c r="I672" s="43" t="s">
        <v>2359</v>
      </c>
      <c r="J672" s="44" t="s">
        <v>2360</v>
      </c>
      <c r="K672" s="44" t="s">
        <v>2998</v>
      </c>
      <c r="L672" s="44" t="s">
        <v>2333</v>
      </c>
      <c r="M672" s="43">
        <v>28</v>
      </c>
      <c r="N672" s="113"/>
      <c r="O672" s="113"/>
      <c r="P672" s="113"/>
      <c r="Q672" s="113"/>
      <c r="R672" s="113"/>
      <c r="S672" s="113"/>
      <c r="T672" s="113"/>
      <c r="U672" s="113"/>
      <c r="V672" s="113" t="s">
        <v>1113</v>
      </c>
      <c r="W672" s="113"/>
      <c r="X672" s="113"/>
      <c r="Y672" s="113"/>
      <c r="Z672" s="113"/>
      <c r="AA672" s="113"/>
      <c r="AB672" s="113"/>
      <c r="AC672" s="113"/>
      <c r="AD672" s="113"/>
      <c r="AE672" s="113"/>
      <c r="AF672" s="113"/>
      <c r="AG672" s="113"/>
      <c r="AH672" s="113"/>
      <c r="AI672" s="113"/>
      <c r="AJ672" s="113"/>
      <c r="AK672" s="319" t="s">
        <v>1113</v>
      </c>
      <c r="AL672" s="113"/>
      <c r="AM672" s="113"/>
      <c r="AN672" s="113"/>
      <c r="AO672" s="43" t="s">
        <v>2348</v>
      </c>
      <c r="AP672" s="43"/>
      <c r="AQ672" s="236" t="str">
        <f>VLOOKUP(Table8[[#This Row],[Instrument]],Def_Targets!$D$73:$E$159,2,FALSE)</f>
        <v>I_Emobility</v>
      </c>
      <c r="AR672" s="233" t="str">
        <f>VLOOKUP(Table8[[#This Row],[Country Code]],Table29[],3,FALSE)</f>
        <v>Non-Annex I</v>
      </c>
      <c r="AS672" s="233" t="str">
        <f>VLOOKUP(Table8[[#This Row],[Country Code]],Table29[],4,FALSE)</f>
        <v>Latin America and the Caribbean</v>
      </c>
      <c r="AT672" s="233" t="str">
        <f>VLOOKUP(Table8[[#This Row],[Country Code]],Table29[],5,FALSE)</f>
        <v>Middle-income</v>
      </c>
      <c r="AU672" s="233" t="str">
        <f>VLOOKUP(Table8[[#This Row],[Country Code]],Table29[],6,FALSE)</f>
        <v>no</v>
      </c>
      <c r="AV672" s="233" t="str">
        <f>VLOOKUP(Table8[[#This Row],[Country Code]],Table29[],7,FALSE)</f>
        <v>no</v>
      </c>
      <c r="AW672" s="233" t="str">
        <f>VLOOKUP(Table8[[#This Row],[Country Code]],Table29[],8,FALSE)</f>
        <v>non-OECD</v>
      </c>
      <c r="AX672" s="233" t="str">
        <f>VLOOKUP(Table8[[#This Row],[Country Code]],Table29[],9,FALSE)</f>
        <v>no</v>
      </c>
      <c r="AY672" s="233" t="str">
        <f>VLOOKUP(Table8[[#This Row],[Country Code]],Table29[],10,FALSE)</f>
        <v>no</v>
      </c>
      <c r="AZ672" s="235">
        <f>VLOOKUP(Table8[[#This Row],[Country Code]],Table29[],23,FALSE)</f>
        <v>48.396213040657997</v>
      </c>
      <c r="BA672" s="235">
        <f>VLOOKUP(Table8[[#This Row],[Country Code]],Table29[],24,FALSE)</f>
        <v>8.515708871390995</v>
      </c>
      <c r="BB672" s="320"/>
      <c r="BC672" s="320"/>
    </row>
    <row r="673" spans="1:55" hidden="1" x14ac:dyDescent="0.25">
      <c r="A673" s="373">
        <v>17580</v>
      </c>
      <c r="B673" s="233" t="str">
        <f>VLOOKUP(Table8[[#This Row],[Document ID]],Table1[],2,FALSE)</f>
        <v>DOM</v>
      </c>
      <c r="C673" s="233" t="str">
        <f>VLOOKUP(Table8[[#This Row],[Document ID]],Table1[],3,FALSE)</f>
        <v>Dominican Republic</v>
      </c>
      <c r="D673" s="243" t="str">
        <f>VLOOKUP(Table8[[#This Row],[Document ID]],Table1[],5,FALSE)</f>
        <v>NDC</v>
      </c>
      <c r="E673" s="233" t="str">
        <f>VLOOKUP(Table8[[#This Row],[Document ID]],Table1[],7,FALSE)</f>
        <v>First NDC updated</v>
      </c>
      <c r="F673" s="233" t="str">
        <f>VLOOKUP(Table8[[#This Row],[Document ID]],Table1[],8,FALSE)</f>
        <v>NDC 1.1</v>
      </c>
      <c r="G673" s="233" t="str">
        <f>VLOOKUP(Table8[[#This Row],[Document ID]],Table1[],10,FALSE)</f>
        <v>Active</v>
      </c>
      <c r="H673" s="43" t="s">
        <v>2343</v>
      </c>
      <c r="I673" s="43" t="s">
        <v>2361</v>
      </c>
      <c r="J673" s="44" t="s">
        <v>2362</v>
      </c>
      <c r="K673" s="44" t="s">
        <v>2999</v>
      </c>
      <c r="L673" s="44" t="s">
        <v>2347</v>
      </c>
      <c r="M673" s="44">
        <v>28</v>
      </c>
      <c r="N673" s="113"/>
      <c r="O673" s="113"/>
      <c r="P673" s="113"/>
      <c r="Q673" s="319"/>
      <c r="R673" s="113" t="s">
        <v>1113</v>
      </c>
      <c r="S673" s="319"/>
      <c r="T673" s="319"/>
      <c r="U673" s="319"/>
      <c r="V673" s="319"/>
      <c r="W673" s="319"/>
      <c r="X673" s="319"/>
      <c r="Y673" s="319"/>
      <c r="Z673" s="319"/>
      <c r="AA673" s="319"/>
      <c r="AB673" s="319"/>
      <c r="AC673" s="319"/>
      <c r="AD673" s="319"/>
      <c r="AE673" s="319"/>
      <c r="AF673" s="319"/>
      <c r="AG673" s="319"/>
      <c r="AH673" s="319"/>
      <c r="AI673" s="319"/>
      <c r="AJ673" s="319"/>
      <c r="AK673" s="319"/>
      <c r="AL673" s="113" t="s">
        <v>1113</v>
      </c>
      <c r="AM673" s="319"/>
      <c r="AN673" s="319"/>
      <c r="AO673" s="44" t="s">
        <v>2334</v>
      </c>
      <c r="AP673" s="43"/>
      <c r="AQ673" s="236" t="str">
        <f>VLOOKUP(Table8[[#This Row],[Instrument]],Def_Targets!$D$73:$E$159,2,FALSE)</f>
        <v>S_Cycling</v>
      </c>
      <c r="AR673" s="233" t="str">
        <f>VLOOKUP(Table8[[#This Row],[Country Code]],Table29[],3,FALSE)</f>
        <v>Non-Annex I</v>
      </c>
      <c r="AS673" s="233" t="str">
        <f>VLOOKUP(Table8[[#This Row],[Country Code]],Table29[],4,FALSE)</f>
        <v>Latin America and the Caribbean</v>
      </c>
      <c r="AT673" s="233" t="str">
        <f>VLOOKUP(Table8[[#This Row],[Country Code]],Table29[],5,FALSE)</f>
        <v>Middle-income</v>
      </c>
      <c r="AU673" s="233" t="str">
        <f>VLOOKUP(Table8[[#This Row],[Country Code]],Table29[],6,FALSE)</f>
        <v>no</v>
      </c>
      <c r="AV673" s="233" t="str">
        <f>VLOOKUP(Table8[[#This Row],[Country Code]],Table29[],7,FALSE)</f>
        <v>no</v>
      </c>
      <c r="AW673" s="233" t="str">
        <f>VLOOKUP(Table8[[#This Row],[Country Code]],Table29[],8,FALSE)</f>
        <v>non-OECD</v>
      </c>
      <c r="AX673" s="233" t="str">
        <f>VLOOKUP(Table8[[#This Row],[Country Code]],Table29[],9,FALSE)</f>
        <v>no</v>
      </c>
      <c r="AY673" s="233" t="str">
        <f>VLOOKUP(Table8[[#This Row],[Country Code]],Table29[],10,FALSE)</f>
        <v>no</v>
      </c>
      <c r="AZ673" s="235">
        <f>VLOOKUP(Table8[[#This Row],[Country Code]],Table29[],23,FALSE)</f>
        <v>48.396213040657997</v>
      </c>
      <c r="BA673" s="235">
        <f>VLOOKUP(Table8[[#This Row],[Country Code]],Table29[],24,FALSE)</f>
        <v>8.515708871390995</v>
      </c>
      <c r="BB673" s="320"/>
      <c r="BC673" s="320"/>
    </row>
    <row r="674" spans="1:55" hidden="1" x14ac:dyDescent="0.25">
      <c r="A674" s="373">
        <v>17580</v>
      </c>
      <c r="B674" s="233" t="str">
        <f>VLOOKUP(Table8[[#This Row],[Document ID]],Table1[],2,FALSE)</f>
        <v>DOM</v>
      </c>
      <c r="C674" s="233" t="str">
        <f>VLOOKUP(Table8[[#This Row],[Document ID]],Table1[],3,FALSE)</f>
        <v>Dominican Republic</v>
      </c>
      <c r="D674" s="243" t="str">
        <f>VLOOKUP(Table8[[#This Row],[Document ID]],Table1[],5,FALSE)</f>
        <v>NDC</v>
      </c>
      <c r="E674" s="233" t="str">
        <f>VLOOKUP(Table8[[#This Row],[Document ID]],Table1[],7,FALSE)</f>
        <v>First NDC updated</v>
      </c>
      <c r="F674" s="233" t="str">
        <f>VLOOKUP(Table8[[#This Row],[Document ID]],Table1[],8,FALSE)</f>
        <v>NDC 1.1</v>
      </c>
      <c r="G674" s="233" t="str">
        <f>VLOOKUP(Table8[[#This Row],[Document ID]],Table1[],10,FALSE)</f>
        <v>Active</v>
      </c>
      <c r="H674" s="43" t="s">
        <v>2343</v>
      </c>
      <c r="I674" s="43" t="s">
        <v>2344</v>
      </c>
      <c r="J674" s="44" t="s">
        <v>2564</v>
      </c>
      <c r="K674" s="44" t="s">
        <v>3000</v>
      </c>
      <c r="L674" s="44" t="s">
        <v>2347</v>
      </c>
      <c r="M674" s="43">
        <v>28</v>
      </c>
      <c r="N674" s="113"/>
      <c r="O674" s="113"/>
      <c r="P674" s="113"/>
      <c r="Q674" s="113"/>
      <c r="R674" s="113"/>
      <c r="S674" s="113"/>
      <c r="T674" s="113"/>
      <c r="U674" s="113"/>
      <c r="V674" s="113"/>
      <c r="W674" s="113"/>
      <c r="X674" s="113"/>
      <c r="Y674" s="113" t="s">
        <v>1113</v>
      </c>
      <c r="Z674" s="113"/>
      <c r="AA674" s="113"/>
      <c r="AB674" s="113"/>
      <c r="AC674" s="113"/>
      <c r="AD674" s="113"/>
      <c r="AE674" s="113"/>
      <c r="AF674" s="113"/>
      <c r="AG674" s="113"/>
      <c r="AH674" s="113"/>
      <c r="AI674" s="113"/>
      <c r="AJ674" s="113"/>
      <c r="AK674" s="319"/>
      <c r="AL674" s="113" t="s">
        <v>1113</v>
      </c>
      <c r="AM674" s="319"/>
      <c r="AN674" s="319"/>
      <c r="AO674" s="43" t="s">
        <v>2348</v>
      </c>
      <c r="AP674" s="43"/>
      <c r="AQ674" s="236" t="str">
        <f>VLOOKUP(Table8[[#This Row],[Instrument]],Def_Targets!$D$73:$E$159,2,FALSE)</f>
        <v>S_PTPriority</v>
      </c>
      <c r="AR674" s="233" t="str">
        <f>VLOOKUP(Table8[[#This Row],[Country Code]],Table29[],3,FALSE)</f>
        <v>Non-Annex I</v>
      </c>
      <c r="AS674" s="233" t="str">
        <f>VLOOKUP(Table8[[#This Row],[Country Code]],Table29[],4,FALSE)</f>
        <v>Latin America and the Caribbean</v>
      </c>
      <c r="AT674" s="233" t="str">
        <f>VLOOKUP(Table8[[#This Row],[Country Code]],Table29[],5,FALSE)</f>
        <v>Middle-income</v>
      </c>
      <c r="AU674" s="233" t="str">
        <f>VLOOKUP(Table8[[#This Row],[Country Code]],Table29[],6,FALSE)</f>
        <v>no</v>
      </c>
      <c r="AV674" s="233" t="str">
        <f>VLOOKUP(Table8[[#This Row],[Country Code]],Table29[],7,FALSE)</f>
        <v>no</v>
      </c>
      <c r="AW674" s="233" t="str">
        <f>VLOOKUP(Table8[[#This Row],[Country Code]],Table29[],8,FALSE)</f>
        <v>non-OECD</v>
      </c>
      <c r="AX674" s="233" t="str">
        <f>VLOOKUP(Table8[[#This Row],[Country Code]],Table29[],9,FALSE)</f>
        <v>no</v>
      </c>
      <c r="AY674" s="233" t="str">
        <f>VLOOKUP(Table8[[#This Row],[Country Code]],Table29[],10,FALSE)</f>
        <v>no</v>
      </c>
      <c r="AZ674" s="235">
        <f>VLOOKUP(Table8[[#This Row],[Country Code]],Table29[],23,FALSE)</f>
        <v>48.396213040657997</v>
      </c>
      <c r="BA674" s="235">
        <f>VLOOKUP(Table8[[#This Row],[Country Code]],Table29[],24,FALSE)</f>
        <v>8.515708871390995</v>
      </c>
      <c r="BB674" s="320"/>
      <c r="BC674" s="320"/>
    </row>
    <row r="675" spans="1:55" ht="30" hidden="1" x14ac:dyDescent="0.25">
      <c r="A675" s="373">
        <v>17580</v>
      </c>
      <c r="B675" s="233" t="str">
        <f>VLOOKUP(Table8[[#This Row],[Document ID]],Table1[],2,FALSE)</f>
        <v>DOM</v>
      </c>
      <c r="C675" s="233" t="str">
        <f>VLOOKUP(Table8[[#This Row],[Document ID]],Table1[],3,FALSE)</f>
        <v>Dominican Republic</v>
      </c>
      <c r="D675" s="243" t="str">
        <f>VLOOKUP(Table8[[#This Row],[Document ID]],Table1[],5,FALSE)</f>
        <v>NDC</v>
      </c>
      <c r="E675" s="233" t="str">
        <f>VLOOKUP(Table8[[#This Row],[Document ID]],Table1[],7,FALSE)</f>
        <v>First NDC updated</v>
      </c>
      <c r="F675" s="233" t="str">
        <f>VLOOKUP(Table8[[#This Row],[Document ID]],Table1[],8,FALSE)</f>
        <v>NDC 1.1</v>
      </c>
      <c r="G675" s="233" t="str">
        <f>VLOOKUP(Table8[[#This Row],[Document ID]],Table1[],10,FALSE)</f>
        <v>Active</v>
      </c>
      <c r="H675" s="44" t="s">
        <v>2338</v>
      </c>
      <c r="I675" s="44" t="s">
        <v>2339</v>
      </c>
      <c r="J675" s="44" t="s">
        <v>2451</v>
      </c>
      <c r="K675" s="44" t="s">
        <v>3001</v>
      </c>
      <c r="L675" s="44" t="s">
        <v>2333</v>
      </c>
      <c r="M675" s="43">
        <v>28</v>
      </c>
      <c r="N675" s="113" t="s">
        <v>1113</v>
      </c>
      <c r="O675" s="113"/>
      <c r="P675" s="113"/>
      <c r="Q675" s="113"/>
      <c r="R675" s="113"/>
      <c r="S675" s="113"/>
      <c r="T675" s="113"/>
      <c r="U675" s="113"/>
      <c r="V675" s="113"/>
      <c r="W675" s="113"/>
      <c r="X675" s="113"/>
      <c r="Y675" s="113"/>
      <c r="Z675" s="113"/>
      <c r="AA675" s="113"/>
      <c r="AB675" s="113"/>
      <c r="AC675" s="113"/>
      <c r="AD675" s="113"/>
      <c r="AE675" s="113"/>
      <c r="AF675" s="113"/>
      <c r="AG675" s="113"/>
      <c r="AH675" s="113"/>
      <c r="AI675" s="113"/>
      <c r="AJ675" s="113"/>
      <c r="AK675" s="319" t="s">
        <v>1113</v>
      </c>
      <c r="AL675" s="113"/>
      <c r="AM675" s="113"/>
      <c r="AN675" s="113"/>
      <c r="AO675" s="44" t="s">
        <v>2334</v>
      </c>
      <c r="AP675" s="43"/>
      <c r="AQ675" s="236" t="str">
        <f>VLOOKUP(Table8[[#This Row],[Instrument]],Def_Targets!$D$73:$E$159,2,FALSE)</f>
        <v>I_Inspection</v>
      </c>
      <c r="AR675" s="233" t="str">
        <f>VLOOKUP(Table8[[#This Row],[Country Code]],Table29[],3,FALSE)</f>
        <v>Non-Annex I</v>
      </c>
      <c r="AS675" s="233" t="str">
        <f>VLOOKUP(Table8[[#This Row],[Country Code]],Table29[],4,FALSE)</f>
        <v>Latin America and the Caribbean</v>
      </c>
      <c r="AT675" s="233" t="str">
        <f>VLOOKUP(Table8[[#This Row],[Country Code]],Table29[],5,FALSE)</f>
        <v>Middle-income</v>
      </c>
      <c r="AU675" s="233" t="str">
        <f>VLOOKUP(Table8[[#This Row],[Country Code]],Table29[],6,FALSE)</f>
        <v>no</v>
      </c>
      <c r="AV675" s="233" t="str">
        <f>VLOOKUP(Table8[[#This Row],[Country Code]],Table29[],7,FALSE)</f>
        <v>no</v>
      </c>
      <c r="AW675" s="233" t="str">
        <f>VLOOKUP(Table8[[#This Row],[Country Code]],Table29[],8,FALSE)</f>
        <v>non-OECD</v>
      </c>
      <c r="AX675" s="233" t="str">
        <f>VLOOKUP(Table8[[#This Row],[Country Code]],Table29[],9,FALSE)</f>
        <v>no</v>
      </c>
      <c r="AY675" s="233" t="str">
        <f>VLOOKUP(Table8[[#This Row],[Country Code]],Table29[],10,FALSE)</f>
        <v>no</v>
      </c>
      <c r="AZ675" s="235">
        <f>VLOOKUP(Table8[[#This Row],[Country Code]],Table29[],23,FALSE)</f>
        <v>48.396213040657997</v>
      </c>
      <c r="BA675" s="235">
        <f>VLOOKUP(Table8[[#This Row],[Country Code]],Table29[],24,FALSE)</f>
        <v>8.515708871390995</v>
      </c>
      <c r="BB675" s="320"/>
      <c r="BC675" s="320"/>
    </row>
    <row r="676" spans="1:55" hidden="1" x14ac:dyDescent="0.25">
      <c r="A676" s="373">
        <v>17580</v>
      </c>
      <c r="B676" s="233" t="str">
        <f>VLOOKUP(Table8[[#This Row],[Document ID]],Table1[],2,FALSE)</f>
        <v>DOM</v>
      </c>
      <c r="C676" s="233" t="str">
        <f>VLOOKUP(Table8[[#This Row],[Document ID]],Table1[],3,FALSE)</f>
        <v>Dominican Republic</v>
      </c>
      <c r="D676" s="243" t="str">
        <f>VLOOKUP(Table8[[#This Row],[Document ID]],Table1[],5,FALSE)</f>
        <v>NDC</v>
      </c>
      <c r="E676" s="233" t="str">
        <f>VLOOKUP(Table8[[#This Row],[Document ID]],Table1[],7,FALSE)</f>
        <v>First NDC updated</v>
      </c>
      <c r="F676" s="233" t="str">
        <f>VLOOKUP(Table8[[#This Row],[Document ID]],Table1[],8,FALSE)</f>
        <v>NDC 1.1</v>
      </c>
      <c r="G676" s="233" t="str">
        <f>VLOOKUP(Table8[[#This Row],[Document ID]],Table1[],10,FALSE)</f>
        <v>Active</v>
      </c>
      <c r="H676" s="44" t="s">
        <v>2338</v>
      </c>
      <c r="I676" s="44" t="s">
        <v>2339</v>
      </c>
      <c r="J676" s="44" t="s">
        <v>2416</v>
      </c>
      <c r="K676" s="44" t="s">
        <v>3002</v>
      </c>
      <c r="L676" s="44" t="s">
        <v>2333</v>
      </c>
      <c r="M676" s="43">
        <v>28</v>
      </c>
      <c r="N676" s="113"/>
      <c r="O676" s="113"/>
      <c r="P676" s="113"/>
      <c r="Q676" s="113"/>
      <c r="R676" s="113"/>
      <c r="S676" s="113"/>
      <c r="T676" s="113"/>
      <c r="U676" s="113"/>
      <c r="V676" s="113"/>
      <c r="W676" s="113" t="s">
        <v>1113</v>
      </c>
      <c r="X676" s="113"/>
      <c r="Y676" s="113"/>
      <c r="Z676" s="113"/>
      <c r="AA676" s="113"/>
      <c r="AB676" s="113"/>
      <c r="AC676" s="113"/>
      <c r="AD676" s="113"/>
      <c r="AE676" s="113"/>
      <c r="AF676" s="113"/>
      <c r="AG676" s="113"/>
      <c r="AH676" s="113"/>
      <c r="AI676" s="113"/>
      <c r="AJ676" s="113"/>
      <c r="AK676" s="319" t="s">
        <v>1113</v>
      </c>
      <c r="AL676" s="113"/>
      <c r="AM676" s="113"/>
      <c r="AN676" s="113"/>
      <c r="AO676" s="43" t="s">
        <v>2348</v>
      </c>
      <c r="AP676" s="43"/>
      <c r="AQ676" s="236" t="str">
        <f>VLOOKUP(Table8[[#This Row],[Instrument]],Def_Targets!$D$73:$E$159,2,FALSE)</f>
        <v>I_Vehiclescrappage</v>
      </c>
      <c r="AR676" s="233" t="str">
        <f>VLOOKUP(Table8[[#This Row],[Country Code]],Table29[],3,FALSE)</f>
        <v>Non-Annex I</v>
      </c>
      <c r="AS676" s="233" t="str">
        <f>VLOOKUP(Table8[[#This Row],[Country Code]],Table29[],4,FALSE)</f>
        <v>Latin America and the Caribbean</v>
      </c>
      <c r="AT676" s="233" t="str">
        <f>VLOOKUP(Table8[[#This Row],[Country Code]],Table29[],5,FALSE)</f>
        <v>Middle-income</v>
      </c>
      <c r="AU676" s="233" t="str">
        <f>VLOOKUP(Table8[[#This Row],[Country Code]],Table29[],6,FALSE)</f>
        <v>no</v>
      </c>
      <c r="AV676" s="233" t="str">
        <f>VLOOKUP(Table8[[#This Row],[Country Code]],Table29[],7,FALSE)</f>
        <v>no</v>
      </c>
      <c r="AW676" s="233" t="str">
        <f>VLOOKUP(Table8[[#This Row],[Country Code]],Table29[],8,FALSE)</f>
        <v>non-OECD</v>
      </c>
      <c r="AX676" s="233" t="str">
        <f>VLOOKUP(Table8[[#This Row],[Country Code]],Table29[],9,FALSE)</f>
        <v>no</v>
      </c>
      <c r="AY676" s="233" t="str">
        <f>VLOOKUP(Table8[[#This Row],[Country Code]],Table29[],10,FALSE)</f>
        <v>no</v>
      </c>
      <c r="AZ676" s="235">
        <f>VLOOKUP(Table8[[#This Row],[Country Code]],Table29[],23,FALSE)</f>
        <v>48.396213040657997</v>
      </c>
      <c r="BA676" s="235">
        <f>VLOOKUP(Table8[[#This Row],[Country Code]],Table29[],24,FALSE)</f>
        <v>8.515708871390995</v>
      </c>
      <c r="BB676" s="320"/>
      <c r="BC676" s="320"/>
    </row>
    <row r="677" spans="1:55" ht="30" hidden="1" x14ac:dyDescent="0.25">
      <c r="A677" s="373">
        <v>17581</v>
      </c>
      <c r="B677" s="233" t="str">
        <f>VLOOKUP(Table8[[#This Row],[Document ID]],Table1[],2,FALSE)</f>
        <v>ECU</v>
      </c>
      <c r="C677" s="233" t="str">
        <f>VLOOKUP(Table8[[#This Row],[Document ID]],Table1[],3,FALSE)</f>
        <v>Ecuador</v>
      </c>
      <c r="D677" s="243" t="str">
        <f>VLOOKUP(Table8[[#This Row],[Document ID]],Table1[],5,FALSE)</f>
        <v>NDC</v>
      </c>
      <c r="E677" s="233" t="str">
        <f>VLOOKUP(Table8[[#This Row],[Document ID]],Table1[],7,FALSE)</f>
        <v>First NDC</v>
      </c>
      <c r="F677" s="236" t="str">
        <f>VLOOKUP(Table8[[#This Row],[Document ID]],Table1[],8,FALSE)</f>
        <v>NDC 1.0</v>
      </c>
      <c r="G677" s="236" t="str">
        <f>VLOOKUP(Table8[[#This Row],[Document ID]],Table1[],10,FALSE)</f>
        <v>Archived</v>
      </c>
      <c r="H677" s="43" t="s">
        <v>2358</v>
      </c>
      <c r="I677" s="43" t="s">
        <v>2359</v>
      </c>
      <c r="J677" s="44" t="s">
        <v>2360</v>
      </c>
      <c r="K677" s="44" t="s">
        <v>3003</v>
      </c>
      <c r="L677" s="44" t="s">
        <v>2471</v>
      </c>
      <c r="M677" s="43"/>
      <c r="N677" s="113"/>
      <c r="O677" s="113"/>
      <c r="P677" s="113"/>
      <c r="Q677" s="319"/>
      <c r="R677" s="319"/>
      <c r="S677" s="319"/>
      <c r="T677" s="319"/>
      <c r="U677" s="319"/>
      <c r="V677" s="319"/>
      <c r="W677" s="319"/>
      <c r="X677" s="319"/>
      <c r="Y677" s="319"/>
      <c r="Z677" s="113" t="s">
        <v>1113</v>
      </c>
      <c r="AA677" s="319"/>
      <c r="AB677" s="319"/>
      <c r="AC677" s="319"/>
      <c r="AD677" s="319"/>
      <c r="AE677" s="319"/>
      <c r="AF677" s="319"/>
      <c r="AG677" s="319"/>
      <c r="AH677" s="319"/>
      <c r="AI677" s="319"/>
      <c r="AJ677" s="319"/>
      <c r="AK677" s="319" t="s">
        <v>1113</v>
      </c>
      <c r="AL677" s="319"/>
      <c r="AM677" s="319"/>
      <c r="AN677" s="319"/>
      <c r="AO677" s="44" t="s">
        <v>2334</v>
      </c>
      <c r="AP677" s="44"/>
      <c r="AQ677" s="236" t="str">
        <f>VLOOKUP(Table8[[#This Row],[Instrument]],Def_Targets!$D$73:$E$159,2,FALSE)</f>
        <v>I_Emobility</v>
      </c>
      <c r="AR677" s="233" t="str">
        <f>VLOOKUP(Table8[[#This Row],[Country Code]],Table29[],3,FALSE)</f>
        <v>Non-Annex I</v>
      </c>
      <c r="AS677" s="233" t="str">
        <f>VLOOKUP(Table8[[#This Row],[Country Code]],Table29[],4,FALSE)</f>
        <v>Latin America and the Caribbean</v>
      </c>
      <c r="AT677" s="233" t="str">
        <f>VLOOKUP(Table8[[#This Row],[Country Code]],Table29[],5,FALSE)</f>
        <v>Middle-income</v>
      </c>
      <c r="AU677" s="233" t="str">
        <f>VLOOKUP(Table8[[#This Row],[Country Code]],Table29[],6,FALSE)</f>
        <v>no</v>
      </c>
      <c r="AV677" s="233" t="str">
        <f>VLOOKUP(Table8[[#This Row],[Country Code]],Table29[],7,FALSE)</f>
        <v>no</v>
      </c>
      <c r="AW677" s="233" t="str">
        <f>VLOOKUP(Table8[[#This Row],[Country Code]],Table29[],8,FALSE)</f>
        <v>non-OECD</v>
      </c>
      <c r="AX677" s="233" t="str">
        <f>VLOOKUP(Table8[[#This Row],[Country Code]],Table29[],9,FALSE)</f>
        <v>no</v>
      </c>
      <c r="AY677" s="233" t="str">
        <f>VLOOKUP(Table8[[#This Row],[Country Code]],Table29[],10,FALSE)</f>
        <v>no</v>
      </c>
      <c r="AZ677" s="235">
        <f>VLOOKUP(Table8[[#This Row],[Country Code]],Table29[],23,FALSE)</f>
        <v>73.604607615068005</v>
      </c>
      <c r="BA677" s="235">
        <f>VLOOKUP(Table8[[#This Row],[Country Code]],Table29[],24,FALSE)</f>
        <v>22.250312638556871</v>
      </c>
      <c r="BB677" s="320"/>
      <c r="BC677" s="320"/>
    </row>
    <row r="678" spans="1:55" hidden="1" x14ac:dyDescent="0.25">
      <c r="A678" s="360">
        <v>32498</v>
      </c>
      <c r="B678" s="233" t="str">
        <f>VLOOKUP(Table8[[#This Row],[Document ID]],Table1[],2,FALSE)</f>
        <v>ECU</v>
      </c>
      <c r="C678" s="233" t="str">
        <f>VLOOKUP(Table8[[#This Row],[Document ID]],Table1[],3,FALSE)</f>
        <v>Ecuador</v>
      </c>
      <c r="D678" s="233" t="str">
        <f>VLOOKUP(Table8[[#This Row],[Document ID]],Table1[],5,FALSE)</f>
        <v>NDC</v>
      </c>
      <c r="E678" s="233" t="str">
        <f>VLOOKUP(Table8[[#This Row],[Document ID]],Table1[],7,FALSE)</f>
        <v>First NDC</v>
      </c>
      <c r="F678" s="233" t="str">
        <f>VLOOKUP(Table8[[#This Row],[Document ID]],Table1[],8,FALSE)</f>
        <v>NDC 1.0</v>
      </c>
      <c r="G678" s="233" t="str">
        <f>VLOOKUP(Table8[[#This Row],[Document ID]],Table1[],10,FALSE)</f>
        <v>Archived</v>
      </c>
      <c r="H678" s="43" t="s">
        <v>2350</v>
      </c>
      <c r="I678" s="43" t="s">
        <v>2351</v>
      </c>
      <c r="J678" s="44" t="s">
        <v>2447</v>
      </c>
      <c r="K678" s="44" t="s">
        <v>3004</v>
      </c>
      <c r="L678" s="44" t="s">
        <v>2333</v>
      </c>
      <c r="M678" s="43">
        <v>20</v>
      </c>
      <c r="N678" s="113" t="s">
        <v>1113</v>
      </c>
      <c r="O678" s="113"/>
      <c r="P678" s="113"/>
      <c r="Q678" s="113"/>
      <c r="R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t="s">
        <v>1113</v>
      </c>
      <c r="AM678" s="113"/>
      <c r="AN678" s="113"/>
      <c r="AO678" s="43" t="s">
        <v>2353</v>
      </c>
      <c r="AP678" s="43"/>
      <c r="AQ678" s="236" t="str">
        <f>VLOOKUP(Table8[[#This Row],[Instrument]],Def_Targets!$D$73:$E$159,2,FALSE)</f>
        <v>I_Freighteff</v>
      </c>
      <c r="AR678" s="233" t="str">
        <f>VLOOKUP(Table8[[#This Row],[Country Code]],Table29[],3,FALSE)</f>
        <v>Non-Annex I</v>
      </c>
      <c r="AS678" s="233" t="str">
        <f>VLOOKUP(Table8[[#This Row],[Country Code]],Table29[],4,FALSE)</f>
        <v>Latin America and the Caribbean</v>
      </c>
      <c r="AT678" s="233" t="str">
        <f>VLOOKUP(Table8[[#This Row],[Country Code]],Table29[],5,FALSE)</f>
        <v>Middle-income</v>
      </c>
      <c r="AU678" s="233" t="str">
        <f>VLOOKUP(Table8[[#This Row],[Country Code]],Table29[],6,FALSE)</f>
        <v>no</v>
      </c>
      <c r="AV678" s="233" t="str">
        <f>VLOOKUP(Table8[[#This Row],[Country Code]],Table29[],7,FALSE)</f>
        <v>no</v>
      </c>
      <c r="AW678" s="233" t="str">
        <f>VLOOKUP(Table8[[#This Row],[Country Code]],Table29[],8,FALSE)</f>
        <v>non-OECD</v>
      </c>
      <c r="AX678" s="233" t="str">
        <f>VLOOKUP(Table8[[#This Row],[Country Code]],Table29[],9,FALSE)</f>
        <v>no</v>
      </c>
      <c r="AY678" s="233" t="str">
        <f>VLOOKUP(Table8[[#This Row],[Country Code]],Table29[],10,FALSE)</f>
        <v>no</v>
      </c>
      <c r="AZ678" s="235">
        <f>VLOOKUP(Table8[[#This Row],[Country Code]],Table29[],23,FALSE)</f>
        <v>73.604607615068005</v>
      </c>
      <c r="BA678" s="235">
        <f>VLOOKUP(Table8[[#This Row],[Country Code]],Table29[],24,FALSE)</f>
        <v>22.250312638556871</v>
      </c>
      <c r="BB678" s="320"/>
      <c r="BC678" s="320"/>
    </row>
    <row r="679" spans="1:55" hidden="1" x14ac:dyDescent="0.25">
      <c r="A679" s="360">
        <v>32498</v>
      </c>
      <c r="B679" s="233" t="str">
        <f>VLOOKUP(Table8[[#This Row],[Document ID]],Table1[],2,FALSE)</f>
        <v>ECU</v>
      </c>
      <c r="C679" s="233" t="str">
        <f>VLOOKUP(Table8[[#This Row],[Document ID]],Table1[],3,FALSE)</f>
        <v>Ecuador</v>
      </c>
      <c r="D679" s="233" t="str">
        <f>VLOOKUP(Table8[[#This Row],[Document ID]],Table1[],5,FALSE)</f>
        <v>NDC</v>
      </c>
      <c r="E679" s="233" t="str">
        <f>VLOOKUP(Table8[[#This Row],[Document ID]],Table1[],7,FALSE)</f>
        <v>First NDC</v>
      </c>
      <c r="F679" s="233" t="str">
        <f>VLOOKUP(Table8[[#This Row],[Document ID]],Table1[],8,FALSE)</f>
        <v>NDC 1.0</v>
      </c>
      <c r="G679" s="233" t="str">
        <f>VLOOKUP(Table8[[#This Row],[Document ID]],Table1[],10,FALSE)</f>
        <v>Archived</v>
      </c>
      <c r="H679" s="43" t="s">
        <v>2343</v>
      </c>
      <c r="I679" s="43" t="s">
        <v>2377</v>
      </c>
      <c r="J679" s="44" t="s">
        <v>2394</v>
      </c>
      <c r="K679" s="44" t="s">
        <v>3005</v>
      </c>
      <c r="L679" s="44" t="s">
        <v>2333</v>
      </c>
      <c r="M679" s="43">
        <v>20</v>
      </c>
      <c r="N679" s="113" t="s">
        <v>1113</v>
      </c>
      <c r="O679" s="113"/>
      <c r="P679" s="113"/>
      <c r="Q679" s="113"/>
      <c r="R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t="s">
        <v>1113</v>
      </c>
      <c r="AM679" s="113"/>
      <c r="AN679" s="113"/>
      <c r="AO679" s="43" t="s">
        <v>2348</v>
      </c>
      <c r="AP679" s="43"/>
      <c r="AQ679" s="236" t="str">
        <f>VLOOKUP(Table8[[#This Row],[Instrument]],Def_Targets!$D$73:$E$159,2,FALSE)</f>
        <v>A_TDM</v>
      </c>
      <c r="AR679" s="233" t="str">
        <f>VLOOKUP(Table8[[#This Row],[Country Code]],Table29[],3,FALSE)</f>
        <v>Non-Annex I</v>
      </c>
      <c r="AS679" s="233" t="str">
        <f>VLOOKUP(Table8[[#This Row],[Country Code]],Table29[],4,FALSE)</f>
        <v>Latin America and the Caribbean</v>
      </c>
      <c r="AT679" s="233" t="str">
        <f>VLOOKUP(Table8[[#This Row],[Country Code]],Table29[],5,FALSE)</f>
        <v>Middle-income</v>
      </c>
      <c r="AU679" s="233" t="str">
        <f>VLOOKUP(Table8[[#This Row],[Country Code]],Table29[],6,FALSE)</f>
        <v>no</v>
      </c>
      <c r="AV679" s="233" t="str">
        <f>VLOOKUP(Table8[[#This Row],[Country Code]],Table29[],7,FALSE)</f>
        <v>no</v>
      </c>
      <c r="AW679" s="233" t="str">
        <f>VLOOKUP(Table8[[#This Row],[Country Code]],Table29[],8,FALSE)</f>
        <v>non-OECD</v>
      </c>
      <c r="AX679" s="233" t="str">
        <f>VLOOKUP(Table8[[#This Row],[Country Code]],Table29[],9,FALSE)</f>
        <v>no</v>
      </c>
      <c r="AY679" s="233" t="str">
        <f>VLOOKUP(Table8[[#This Row],[Country Code]],Table29[],10,FALSE)</f>
        <v>no</v>
      </c>
      <c r="AZ679" s="235">
        <f>VLOOKUP(Table8[[#This Row],[Country Code]],Table29[],23,FALSE)</f>
        <v>73.604607615068005</v>
      </c>
      <c r="BA679" s="235">
        <f>VLOOKUP(Table8[[#This Row],[Country Code]],Table29[],24,FALSE)</f>
        <v>22.250312638556871</v>
      </c>
      <c r="BB679" s="320"/>
      <c r="BC679" s="320"/>
    </row>
    <row r="680" spans="1:55" ht="30" hidden="1" x14ac:dyDescent="0.25">
      <c r="A680" s="373">
        <v>17582</v>
      </c>
      <c r="B680" s="233" t="str">
        <f>VLOOKUP(Table8[[#This Row],[Document ID]],Table1[],2,FALSE)</f>
        <v>EGY</v>
      </c>
      <c r="C680" s="233" t="str">
        <f>VLOOKUP(Table8[[#This Row],[Document ID]],Table1[],3,FALSE)</f>
        <v>Egypt</v>
      </c>
      <c r="D680" s="243" t="str">
        <f>VLOOKUP(Table8[[#This Row],[Document ID]],Table1[],5,FALSE)</f>
        <v>NDC</v>
      </c>
      <c r="E680" s="233" t="str">
        <f>VLOOKUP(Table8[[#This Row],[Document ID]],Table1[],7,FALSE)</f>
        <v>First NDC</v>
      </c>
      <c r="F680" s="236" t="str">
        <f>VLOOKUP(Table8[[#This Row],[Document ID]],Table1[],8,FALSE)</f>
        <v>NDC 1.0</v>
      </c>
      <c r="G680" s="236" t="str">
        <f>VLOOKUP(Table8[[#This Row],[Document ID]],Table1[],10,FALSE)</f>
        <v>Archived</v>
      </c>
      <c r="H680" s="43" t="s">
        <v>2350</v>
      </c>
      <c r="I680" s="43" t="s">
        <v>2351</v>
      </c>
      <c r="J680" s="44" t="s">
        <v>2352</v>
      </c>
      <c r="K680" s="44" t="s">
        <v>3006</v>
      </c>
      <c r="L680" s="44" t="s">
        <v>2347</v>
      </c>
      <c r="M680" s="43"/>
      <c r="N680" s="113"/>
      <c r="O680" s="113"/>
      <c r="P680" s="113"/>
      <c r="Q680" s="319"/>
      <c r="R680" s="319"/>
      <c r="S680" s="319"/>
      <c r="T680" s="319"/>
      <c r="U680" s="319"/>
      <c r="V680" s="319"/>
      <c r="W680" s="319"/>
      <c r="X680" s="319"/>
      <c r="Y680" s="319"/>
      <c r="Z680" s="319" t="s">
        <v>1113</v>
      </c>
      <c r="AA680" s="319"/>
      <c r="AB680" s="319"/>
      <c r="AC680" s="319"/>
      <c r="AD680" s="319" t="s">
        <v>1113</v>
      </c>
      <c r="AE680" s="319"/>
      <c r="AF680" s="319"/>
      <c r="AG680" s="319"/>
      <c r="AH680" s="319"/>
      <c r="AI680" s="319"/>
      <c r="AJ680" s="319"/>
      <c r="AK680" s="319" t="s">
        <v>1113</v>
      </c>
      <c r="AL680" s="319"/>
      <c r="AM680" s="319"/>
      <c r="AN680" s="319"/>
      <c r="AO680" s="43" t="s">
        <v>2353</v>
      </c>
      <c r="AP680" s="44"/>
      <c r="AQ680" s="236" t="str">
        <f>VLOOKUP(Table8[[#This Row],[Instrument]],Def_Targets!$D$73:$E$159,2,FALSE)</f>
        <v>S_Railfreight</v>
      </c>
      <c r="AR680" s="233" t="str">
        <f>VLOOKUP(Table8[[#This Row],[Country Code]],Table29[],3,FALSE)</f>
        <v>Non-Annex I</v>
      </c>
      <c r="AS680" s="233" t="str">
        <f>VLOOKUP(Table8[[#This Row],[Country Code]],Table29[],4,FALSE)</f>
        <v>Africa</v>
      </c>
      <c r="AT680" s="233" t="str">
        <f>VLOOKUP(Table8[[#This Row],[Country Code]],Table29[],5,FALSE)</f>
        <v>Middle-income</v>
      </c>
      <c r="AU680" s="233" t="str">
        <f>VLOOKUP(Table8[[#This Row],[Country Code]],Table29[],6,FALSE)</f>
        <v>no</v>
      </c>
      <c r="AV680" s="233" t="str">
        <f>VLOOKUP(Table8[[#This Row],[Country Code]],Table29[],7,FALSE)</f>
        <v>no</v>
      </c>
      <c r="AW680" s="233" t="str">
        <f>VLOOKUP(Table8[[#This Row],[Country Code]],Table29[],8,FALSE)</f>
        <v>non-OECD</v>
      </c>
      <c r="AX680" s="233" t="str">
        <f>VLOOKUP(Table8[[#This Row],[Country Code]],Table29[],9,FALSE)</f>
        <v>no</v>
      </c>
      <c r="AY680" s="233" t="str">
        <f>VLOOKUP(Table8[[#This Row],[Country Code]],Table29[],10,FALSE)</f>
        <v>MENA</v>
      </c>
      <c r="AZ680" s="235">
        <f>VLOOKUP(Table8[[#This Row],[Country Code]],Table29[],23,FALSE)</f>
        <v>335.96804878175999</v>
      </c>
      <c r="BA680" s="235">
        <f>VLOOKUP(Table8[[#This Row],[Country Code]],Table29[],24,FALSE)</f>
        <v>53.140796953162749</v>
      </c>
      <c r="BB680" s="320"/>
      <c r="BC680" s="320"/>
    </row>
    <row r="681" spans="1:55" ht="90" hidden="1" x14ac:dyDescent="0.25">
      <c r="A681" s="373">
        <v>17582</v>
      </c>
      <c r="B681" s="233" t="str">
        <f>VLOOKUP(Table8[[#This Row],[Document ID]],Table1[],2,FALSE)</f>
        <v>EGY</v>
      </c>
      <c r="C681" s="233" t="str">
        <f>VLOOKUP(Table8[[#This Row],[Document ID]],Table1[],3,FALSE)</f>
        <v>Egypt</v>
      </c>
      <c r="D681" s="243" t="str">
        <f>VLOOKUP(Table8[[#This Row],[Document ID]],Table1[],5,FALSE)</f>
        <v>NDC</v>
      </c>
      <c r="E681" s="233" t="str">
        <f>VLOOKUP(Table8[[#This Row],[Document ID]],Table1[],7,FALSE)</f>
        <v>First NDC</v>
      </c>
      <c r="F681" s="236" t="str">
        <f>VLOOKUP(Table8[[#This Row],[Document ID]],Table1[],8,FALSE)</f>
        <v>NDC 1.0</v>
      </c>
      <c r="G681" s="236" t="str">
        <f>VLOOKUP(Table8[[#This Row],[Document ID]],Table1[],10,FALSE)</f>
        <v>Archived</v>
      </c>
      <c r="H681" s="43" t="s">
        <v>2343</v>
      </c>
      <c r="I681" s="43" t="s">
        <v>2344</v>
      </c>
      <c r="J681" s="44" t="s">
        <v>2345</v>
      </c>
      <c r="K681" s="44" t="s">
        <v>3007</v>
      </c>
      <c r="L681" s="44" t="s">
        <v>2347</v>
      </c>
      <c r="M681" s="43"/>
      <c r="N681" s="113"/>
      <c r="O681" s="113"/>
      <c r="P681" s="113"/>
      <c r="Q681" s="319"/>
      <c r="R681" s="319"/>
      <c r="S681" s="319"/>
      <c r="T681" s="319"/>
      <c r="U681" s="319"/>
      <c r="V681" s="319"/>
      <c r="W681" s="319"/>
      <c r="X681" s="319"/>
      <c r="Y681" s="319" t="s">
        <v>1113</v>
      </c>
      <c r="Z681" s="319" t="s">
        <v>1113</v>
      </c>
      <c r="AA681" s="319"/>
      <c r="AB681" s="319"/>
      <c r="AC681" s="319" t="s">
        <v>1113</v>
      </c>
      <c r="AD681" s="319"/>
      <c r="AE681" s="319"/>
      <c r="AF681" s="319" t="s">
        <v>1113</v>
      </c>
      <c r="AG681" s="319"/>
      <c r="AH681" s="319"/>
      <c r="AI681" s="319"/>
      <c r="AJ681" s="319"/>
      <c r="AK681" s="319" t="s">
        <v>1113</v>
      </c>
      <c r="AL681" s="319"/>
      <c r="AM681" s="319"/>
      <c r="AN681" s="319"/>
      <c r="AO681" s="43" t="s">
        <v>2348</v>
      </c>
      <c r="AP681" s="44"/>
      <c r="AQ681" s="236" t="str">
        <f>VLOOKUP(Table8[[#This Row],[Instrument]],Def_Targets!$D$73:$E$159,2,FALSE)</f>
        <v>S_PublicTransport</v>
      </c>
      <c r="AR681" s="233" t="str">
        <f>VLOOKUP(Table8[[#This Row],[Country Code]],Table29[],3,FALSE)</f>
        <v>Non-Annex I</v>
      </c>
      <c r="AS681" s="233" t="str">
        <f>VLOOKUP(Table8[[#This Row],[Country Code]],Table29[],4,FALSE)</f>
        <v>Africa</v>
      </c>
      <c r="AT681" s="233" t="str">
        <f>VLOOKUP(Table8[[#This Row],[Country Code]],Table29[],5,FALSE)</f>
        <v>Middle-income</v>
      </c>
      <c r="AU681" s="233" t="str">
        <f>VLOOKUP(Table8[[#This Row],[Country Code]],Table29[],6,FALSE)</f>
        <v>no</v>
      </c>
      <c r="AV681" s="233" t="str">
        <f>VLOOKUP(Table8[[#This Row],[Country Code]],Table29[],7,FALSE)</f>
        <v>no</v>
      </c>
      <c r="AW681" s="233" t="str">
        <f>VLOOKUP(Table8[[#This Row],[Country Code]],Table29[],8,FALSE)</f>
        <v>non-OECD</v>
      </c>
      <c r="AX681" s="233" t="str">
        <f>VLOOKUP(Table8[[#This Row],[Country Code]],Table29[],9,FALSE)</f>
        <v>no</v>
      </c>
      <c r="AY681" s="233" t="str">
        <f>VLOOKUP(Table8[[#This Row],[Country Code]],Table29[],10,FALSE)</f>
        <v>MENA</v>
      </c>
      <c r="AZ681" s="235">
        <f>VLOOKUP(Table8[[#This Row],[Country Code]],Table29[],23,FALSE)</f>
        <v>335.96804878175999</v>
      </c>
      <c r="BA681" s="235">
        <f>VLOOKUP(Table8[[#This Row],[Country Code]],Table29[],24,FALSE)</f>
        <v>53.140796953162749</v>
      </c>
      <c r="BB681" s="320"/>
      <c r="BC681" s="320"/>
    </row>
    <row r="682" spans="1:55" hidden="1" x14ac:dyDescent="0.25">
      <c r="A682" s="373">
        <v>17582</v>
      </c>
      <c r="B682" s="233" t="str">
        <f>VLOOKUP(Table8[[#This Row],[Document ID]],Table1[],2,FALSE)</f>
        <v>EGY</v>
      </c>
      <c r="C682" s="233" t="str">
        <f>VLOOKUP(Table8[[#This Row],[Document ID]],Table1[],3,FALSE)</f>
        <v>Egypt</v>
      </c>
      <c r="D682" s="243" t="str">
        <f>VLOOKUP(Table8[[#This Row],[Document ID]],Table1[],5,FALSE)</f>
        <v>NDC</v>
      </c>
      <c r="E682" s="233" t="str">
        <f>VLOOKUP(Table8[[#This Row],[Document ID]],Table1[],7,FALSE)</f>
        <v>First NDC</v>
      </c>
      <c r="F682" s="236" t="str">
        <f>VLOOKUP(Table8[[#This Row],[Document ID]],Table1[],8,FALSE)</f>
        <v>NDC 1.0</v>
      </c>
      <c r="G682" s="236" t="str">
        <f>VLOOKUP(Table8[[#This Row],[Document ID]],Table1[],10,FALSE)</f>
        <v>Archived</v>
      </c>
      <c r="H682" s="44" t="s">
        <v>2338</v>
      </c>
      <c r="I682" s="44" t="s">
        <v>2339</v>
      </c>
      <c r="J682" s="44" t="s">
        <v>2340</v>
      </c>
      <c r="K682" s="44" t="s">
        <v>3008</v>
      </c>
      <c r="L682" s="44" t="s">
        <v>2333</v>
      </c>
      <c r="M682" s="43"/>
      <c r="N682" s="113"/>
      <c r="O682" s="113"/>
      <c r="P682" s="113"/>
      <c r="Q682" s="319"/>
      <c r="R682" s="319"/>
      <c r="S682" s="113" t="s">
        <v>1113</v>
      </c>
      <c r="T682" s="319"/>
      <c r="U682" s="319"/>
      <c r="V682" s="319"/>
      <c r="W682" s="319"/>
      <c r="X682" s="319"/>
      <c r="Y682" s="319"/>
      <c r="Z682" s="319"/>
      <c r="AA682" s="319"/>
      <c r="AB682" s="319"/>
      <c r="AC682" s="319"/>
      <c r="AD682" s="319"/>
      <c r="AE682" s="319"/>
      <c r="AF682" s="319"/>
      <c r="AG682" s="319"/>
      <c r="AH682" s="319"/>
      <c r="AI682" s="319"/>
      <c r="AJ682" s="319"/>
      <c r="AK682" s="319" t="s">
        <v>1113</v>
      </c>
      <c r="AL682" s="319"/>
      <c r="AM682" s="319"/>
      <c r="AN682" s="319"/>
      <c r="AO682" s="44" t="s">
        <v>2334</v>
      </c>
      <c r="AP682" s="44"/>
      <c r="AQ682" s="236" t="str">
        <f>VLOOKUP(Table8[[#This Row],[Instrument]],Def_Targets!$D$73:$E$159,2,FALSE)</f>
        <v>I_Vehicleimprove</v>
      </c>
      <c r="AR682" s="233" t="str">
        <f>VLOOKUP(Table8[[#This Row],[Country Code]],Table29[],3,FALSE)</f>
        <v>Non-Annex I</v>
      </c>
      <c r="AS682" s="233" t="str">
        <f>VLOOKUP(Table8[[#This Row],[Country Code]],Table29[],4,FALSE)</f>
        <v>Africa</v>
      </c>
      <c r="AT682" s="233" t="str">
        <f>VLOOKUP(Table8[[#This Row],[Country Code]],Table29[],5,FALSE)</f>
        <v>Middle-income</v>
      </c>
      <c r="AU682" s="233" t="str">
        <f>VLOOKUP(Table8[[#This Row],[Country Code]],Table29[],6,FALSE)</f>
        <v>no</v>
      </c>
      <c r="AV682" s="233" t="str">
        <f>VLOOKUP(Table8[[#This Row],[Country Code]],Table29[],7,FALSE)</f>
        <v>no</v>
      </c>
      <c r="AW682" s="233" t="str">
        <f>VLOOKUP(Table8[[#This Row],[Country Code]],Table29[],8,FALSE)</f>
        <v>non-OECD</v>
      </c>
      <c r="AX682" s="233" t="str">
        <f>VLOOKUP(Table8[[#This Row],[Country Code]],Table29[],9,FALSE)</f>
        <v>no</v>
      </c>
      <c r="AY682" s="233" t="str">
        <f>VLOOKUP(Table8[[#This Row],[Country Code]],Table29[],10,FALSE)</f>
        <v>MENA</v>
      </c>
      <c r="AZ682" s="235">
        <f>VLOOKUP(Table8[[#This Row],[Country Code]],Table29[],23,FALSE)</f>
        <v>335.96804878175999</v>
      </c>
      <c r="BA682" s="235">
        <f>VLOOKUP(Table8[[#This Row],[Country Code]],Table29[],24,FALSE)</f>
        <v>53.140796953162749</v>
      </c>
      <c r="BB682" s="320"/>
      <c r="BC682" s="320"/>
    </row>
    <row r="683" spans="1:55" ht="75" hidden="1" x14ac:dyDescent="0.25">
      <c r="A683" s="373">
        <v>29227</v>
      </c>
      <c r="B683" s="233" t="str">
        <f>VLOOKUP(Table8[[#This Row],[Document ID]],Table1[],2,FALSE)</f>
        <v>EGY</v>
      </c>
      <c r="C683" s="233" t="str">
        <f>VLOOKUP(Table8[[#This Row],[Document ID]],Table1[],3,FALSE)</f>
        <v>Egypt</v>
      </c>
      <c r="D683" s="243" t="str">
        <f>VLOOKUP(Table8[[#This Row],[Document ID]],Table1[],5,FALSE)</f>
        <v>NDC</v>
      </c>
      <c r="E683" s="233" t="str">
        <f>VLOOKUP(Table8[[#This Row],[Document ID]],Table1[],7,FALSE)</f>
        <v>First NDC updated</v>
      </c>
      <c r="F683" s="233" t="str">
        <f>VLOOKUP(Table8[[#This Row],[Document ID]],Table1[],8,FALSE)</f>
        <v>NDC 1.1</v>
      </c>
      <c r="G683" s="233" t="str">
        <f>VLOOKUP(Table8[[#This Row],[Document ID]],Table1[],10,FALSE)</f>
        <v>Archived</v>
      </c>
      <c r="H683" s="43" t="s">
        <v>2350</v>
      </c>
      <c r="I683" s="43" t="s">
        <v>2456</v>
      </c>
      <c r="J683" s="44" t="s">
        <v>2466</v>
      </c>
      <c r="K683" s="44" t="s">
        <v>3009</v>
      </c>
      <c r="L683" s="44" t="s">
        <v>2347</v>
      </c>
      <c r="M683" s="43">
        <v>10</v>
      </c>
      <c r="N683" s="113"/>
      <c r="O683" s="113"/>
      <c r="P683" s="113"/>
      <c r="Q683" s="113"/>
      <c r="R683" s="113"/>
      <c r="S683" s="113"/>
      <c r="T683" s="113"/>
      <c r="U683" s="113"/>
      <c r="V683" s="113"/>
      <c r="W683" s="113"/>
      <c r="X683" s="113"/>
      <c r="Y683" s="113"/>
      <c r="Z683" s="113"/>
      <c r="AA683" s="113"/>
      <c r="AB683" s="113"/>
      <c r="AC683" s="113" t="s">
        <v>1113</v>
      </c>
      <c r="AD683" s="113"/>
      <c r="AE683" s="113"/>
      <c r="AF683" s="113"/>
      <c r="AG683" s="113"/>
      <c r="AH683" s="113"/>
      <c r="AI683" s="113"/>
      <c r="AJ683" s="113"/>
      <c r="AK683" s="113"/>
      <c r="AL683" s="113" t="s">
        <v>1113</v>
      </c>
      <c r="AM683" s="113"/>
      <c r="AN683" s="113"/>
      <c r="AO683" s="43" t="s">
        <v>2348</v>
      </c>
      <c r="AP683" s="43"/>
      <c r="AQ683" s="236" t="str">
        <f>VLOOKUP(Table8[[#This Row],[Instrument]],Def_Targets!$D$73:$E$159,2,FALSE)</f>
        <v>S_Infraexpansion</v>
      </c>
      <c r="AR683" s="233" t="str">
        <f>VLOOKUP(Table8[[#This Row],[Country Code]],Table29[],3,FALSE)</f>
        <v>Non-Annex I</v>
      </c>
      <c r="AS683" s="233" t="str">
        <f>VLOOKUP(Table8[[#This Row],[Country Code]],Table29[],4,FALSE)</f>
        <v>Africa</v>
      </c>
      <c r="AT683" s="233" t="str">
        <f>VLOOKUP(Table8[[#This Row],[Country Code]],Table29[],5,FALSE)</f>
        <v>Middle-income</v>
      </c>
      <c r="AU683" s="233" t="str">
        <f>VLOOKUP(Table8[[#This Row],[Country Code]],Table29[],6,FALSE)</f>
        <v>no</v>
      </c>
      <c r="AV683" s="233" t="str">
        <f>VLOOKUP(Table8[[#This Row],[Country Code]],Table29[],7,FALSE)</f>
        <v>no</v>
      </c>
      <c r="AW683" s="233" t="str">
        <f>VLOOKUP(Table8[[#This Row],[Country Code]],Table29[],8,FALSE)</f>
        <v>non-OECD</v>
      </c>
      <c r="AX683" s="233" t="str">
        <f>VLOOKUP(Table8[[#This Row],[Country Code]],Table29[],9,FALSE)</f>
        <v>no</v>
      </c>
      <c r="AY683" s="233" t="str">
        <f>VLOOKUP(Table8[[#This Row],[Country Code]],Table29[],10,FALSE)</f>
        <v>MENA</v>
      </c>
      <c r="AZ683" s="235">
        <f>VLOOKUP(Table8[[#This Row],[Country Code]],Table29[],23,FALSE)</f>
        <v>335.96804878175999</v>
      </c>
      <c r="BA683" s="235">
        <f>VLOOKUP(Table8[[#This Row],[Country Code]],Table29[],24,FALSE)</f>
        <v>53.140796953162749</v>
      </c>
      <c r="BB683" s="320"/>
      <c r="BC683" s="320"/>
    </row>
    <row r="684" spans="1:55" ht="60" hidden="1" x14ac:dyDescent="0.25">
      <c r="A684" s="373">
        <v>29227</v>
      </c>
      <c r="B684" s="233" t="str">
        <f>VLOOKUP(Table8[[#This Row],[Document ID]],Table1[],2,FALSE)</f>
        <v>EGY</v>
      </c>
      <c r="C684" s="233" t="str">
        <f>VLOOKUP(Table8[[#This Row],[Document ID]],Table1[],3,FALSE)</f>
        <v>Egypt</v>
      </c>
      <c r="D684" s="243" t="str">
        <f>VLOOKUP(Table8[[#This Row],[Document ID]],Table1[],5,FALSE)</f>
        <v>NDC</v>
      </c>
      <c r="E684" s="233" t="str">
        <f>VLOOKUP(Table8[[#This Row],[Document ID]],Table1[],7,FALSE)</f>
        <v>First NDC updated</v>
      </c>
      <c r="F684" s="233" t="str">
        <f>VLOOKUP(Table8[[#This Row],[Document ID]],Table1[],8,FALSE)</f>
        <v>NDC 1.1</v>
      </c>
      <c r="G684" s="233" t="str">
        <f>VLOOKUP(Table8[[#This Row],[Document ID]],Table1[],10,FALSE)</f>
        <v>Archived</v>
      </c>
      <c r="H684" s="43" t="s">
        <v>2343</v>
      </c>
      <c r="I684" s="43" t="s">
        <v>2344</v>
      </c>
      <c r="J684" s="44" t="s">
        <v>2405</v>
      </c>
      <c r="K684" s="44" t="s">
        <v>3010</v>
      </c>
      <c r="L684" s="44" t="s">
        <v>2347</v>
      </c>
      <c r="M684" s="43">
        <v>10</v>
      </c>
      <c r="N684" s="113"/>
      <c r="O684" s="113"/>
      <c r="P684" s="113"/>
      <c r="Q684" s="113"/>
      <c r="R684" s="113"/>
      <c r="S684" s="113"/>
      <c r="T684" s="113"/>
      <c r="U684" s="113"/>
      <c r="V684" s="113"/>
      <c r="W684" s="113"/>
      <c r="X684" s="113"/>
      <c r="Y684" s="113" t="s">
        <v>1113</v>
      </c>
      <c r="Z684" s="113"/>
      <c r="AA684" s="113"/>
      <c r="AB684" s="113"/>
      <c r="AC684" s="113" t="s">
        <v>1113</v>
      </c>
      <c r="AD684" s="113"/>
      <c r="AE684" s="113"/>
      <c r="AF684" s="113"/>
      <c r="AG684" s="113"/>
      <c r="AH684" s="113"/>
      <c r="AI684" s="113"/>
      <c r="AJ684" s="113"/>
      <c r="AK684" s="113" t="s">
        <v>1113</v>
      </c>
      <c r="AL684" s="113"/>
      <c r="AM684" s="113"/>
      <c r="AN684" s="113"/>
      <c r="AO684" s="43" t="s">
        <v>2348</v>
      </c>
      <c r="AP684" s="43"/>
      <c r="AQ684" s="236" t="str">
        <f>VLOOKUP(Table8[[#This Row],[Instrument]],Def_Targets!$D$73:$E$159,2,FALSE)</f>
        <v>S_PTIntegration</v>
      </c>
      <c r="AR684" s="233" t="str">
        <f>VLOOKUP(Table8[[#This Row],[Country Code]],Table29[],3,FALSE)</f>
        <v>Non-Annex I</v>
      </c>
      <c r="AS684" s="233" t="str">
        <f>VLOOKUP(Table8[[#This Row],[Country Code]],Table29[],4,FALSE)</f>
        <v>Africa</v>
      </c>
      <c r="AT684" s="233" t="str">
        <f>VLOOKUP(Table8[[#This Row],[Country Code]],Table29[],5,FALSE)</f>
        <v>Middle-income</v>
      </c>
      <c r="AU684" s="233" t="str">
        <f>VLOOKUP(Table8[[#This Row],[Country Code]],Table29[],6,FALSE)</f>
        <v>no</v>
      </c>
      <c r="AV684" s="233" t="str">
        <f>VLOOKUP(Table8[[#This Row],[Country Code]],Table29[],7,FALSE)</f>
        <v>no</v>
      </c>
      <c r="AW684" s="233" t="str">
        <f>VLOOKUP(Table8[[#This Row],[Country Code]],Table29[],8,FALSE)</f>
        <v>non-OECD</v>
      </c>
      <c r="AX684" s="233" t="str">
        <f>VLOOKUP(Table8[[#This Row],[Country Code]],Table29[],9,FALSE)</f>
        <v>no</v>
      </c>
      <c r="AY684" s="233" t="str">
        <f>VLOOKUP(Table8[[#This Row],[Country Code]],Table29[],10,FALSE)</f>
        <v>MENA</v>
      </c>
      <c r="AZ684" s="235">
        <f>VLOOKUP(Table8[[#This Row],[Country Code]],Table29[],23,FALSE)</f>
        <v>335.96804878175999</v>
      </c>
      <c r="BA684" s="235">
        <f>VLOOKUP(Table8[[#This Row],[Country Code]],Table29[],24,FALSE)</f>
        <v>53.140796953162749</v>
      </c>
      <c r="BB684" s="320"/>
      <c r="BC684" s="320"/>
    </row>
    <row r="685" spans="1:55" ht="30" hidden="1" x14ac:dyDescent="0.25">
      <c r="A685" s="373">
        <v>29227</v>
      </c>
      <c r="B685" s="233" t="str">
        <f>VLOOKUP(Table8[[#This Row],[Document ID]],Table1[],2,FALSE)</f>
        <v>EGY</v>
      </c>
      <c r="C685" s="233" t="str">
        <f>VLOOKUP(Table8[[#This Row],[Document ID]],Table1[],3,FALSE)</f>
        <v>Egypt</v>
      </c>
      <c r="D685" s="243" t="str">
        <f>VLOOKUP(Table8[[#This Row],[Document ID]],Table1[],5,FALSE)</f>
        <v>NDC</v>
      </c>
      <c r="E685" s="233" t="str">
        <f>VLOOKUP(Table8[[#This Row],[Document ID]],Table1[],7,FALSE)</f>
        <v>First NDC updated</v>
      </c>
      <c r="F685" s="233" t="str">
        <f>VLOOKUP(Table8[[#This Row],[Document ID]],Table1[],8,FALSE)</f>
        <v>NDC 1.1</v>
      </c>
      <c r="G685" s="233" t="str">
        <f>VLOOKUP(Table8[[#This Row],[Document ID]],Table1[],10,FALSE)</f>
        <v>Archived</v>
      </c>
      <c r="H685" s="43" t="s">
        <v>2343</v>
      </c>
      <c r="I685" s="43" t="s">
        <v>2429</v>
      </c>
      <c r="J685" s="44" t="s">
        <v>2472</v>
      </c>
      <c r="K685" s="44" t="s">
        <v>3011</v>
      </c>
      <c r="L685" s="44" t="s">
        <v>2333</v>
      </c>
      <c r="M685" s="43">
        <v>10</v>
      </c>
      <c r="N685" s="113"/>
      <c r="O685" s="113"/>
      <c r="P685" s="113"/>
      <c r="Q685" s="113"/>
      <c r="R685" s="113"/>
      <c r="S685" s="113"/>
      <c r="T685" s="113"/>
      <c r="U685" s="113"/>
      <c r="V685" s="113"/>
      <c r="W685" s="113"/>
      <c r="X685" s="113"/>
      <c r="Y685" s="113" t="s">
        <v>1113</v>
      </c>
      <c r="Z685" s="113"/>
      <c r="AA685" s="113"/>
      <c r="AB685" s="113"/>
      <c r="AC685" s="113"/>
      <c r="AD685" s="113"/>
      <c r="AE685" s="113"/>
      <c r="AF685" s="113"/>
      <c r="AG685" s="113"/>
      <c r="AH685" s="113"/>
      <c r="AI685" s="113"/>
      <c r="AJ685" s="113"/>
      <c r="AK685" s="113" t="s">
        <v>1113</v>
      </c>
      <c r="AL685" s="113"/>
      <c r="AM685" s="113"/>
      <c r="AN685" s="113"/>
      <c r="AO685" s="43" t="s">
        <v>2348</v>
      </c>
      <c r="AP685" s="43"/>
      <c r="AQ685" s="236" t="str">
        <f>VLOOKUP(Table8[[#This Row],[Instrument]],Def_Targets!$D$73:$E$159,2,FALSE)</f>
        <v>I_Other</v>
      </c>
      <c r="AR685" s="233" t="str">
        <f>VLOOKUP(Table8[[#This Row],[Country Code]],Table29[],3,FALSE)</f>
        <v>Non-Annex I</v>
      </c>
      <c r="AS685" s="233" t="str">
        <f>VLOOKUP(Table8[[#This Row],[Country Code]],Table29[],4,FALSE)</f>
        <v>Africa</v>
      </c>
      <c r="AT685" s="233" t="str">
        <f>VLOOKUP(Table8[[#This Row],[Country Code]],Table29[],5,FALSE)</f>
        <v>Middle-income</v>
      </c>
      <c r="AU685" s="233" t="str">
        <f>VLOOKUP(Table8[[#This Row],[Country Code]],Table29[],6,FALSE)</f>
        <v>no</v>
      </c>
      <c r="AV685" s="233" t="str">
        <f>VLOOKUP(Table8[[#This Row],[Country Code]],Table29[],7,FALSE)</f>
        <v>no</v>
      </c>
      <c r="AW685" s="233" t="str">
        <f>VLOOKUP(Table8[[#This Row],[Country Code]],Table29[],8,FALSE)</f>
        <v>non-OECD</v>
      </c>
      <c r="AX685" s="233" t="str">
        <f>VLOOKUP(Table8[[#This Row],[Country Code]],Table29[],9,FALSE)</f>
        <v>no</v>
      </c>
      <c r="AY685" s="233" t="str">
        <f>VLOOKUP(Table8[[#This Row],[Country Code]],Table29[],10,FALSE)</f>
        <v>MENA</v>
      </c>
      <c r="AZ685" s="235">
        <f>VLOOKUP(Table8[[#This Row],[Country Code]],Table29[],23,FALSE)</f>
        <v>335.96804878175999</v>
      </c>
      <c r="BA685" s="235">
        <f>VLOOKUP(Table8[[#This Row],[Country Code]],Table29[],24,FALSE)</f>
        <v>53.140796953162749</v>
      </c>
      <c r="BB685" s="320"/>
      <c r="BC685" s="320"/>
    </row>
    <row r="686" spans="1:55" ht="105" hidden="1" x14ac:dyDescent="0.25">
      <c r="A686" s="373">
        <v>29227</v>
      </c>
      <c r="B686" s="233" t="str">
        <f>VLOOKUP(Table8[[#This Row],[Document ID]],Table1[],2,FALSE)</f>
        <v>EGY</v>
      </c>
      <c r="C686" s="233" t="str">
        <f>VLOOKUP(Table8[[#This Row],[Document ID]],Table1[],3,FALSE)</f>
        <v>Egypt</v>
      </c>
      <c r="D686" s="243" t="str">
        <f>VLOOKUP(Table8[[#This Row],[Document ID]],Table1[],5,FALSE)</f>
        <v>NDC</v>
      </c>
      <c r="E686" s="233" t="str">
        <f>VLOOKUP(Table8[[#This Row],[Document ID]],Table1[],7,FALSE)</f>
        <v>First NDC updated</v>
      </c>
      <c r="F686" s="233" t="str">
        <f>VLOOKUP(Table8[[#This Row],[Document ID]],Table1[],8,FALSE)</f>
        <v>NDC 1.1</v>
      </c>
      <c r="G686" s="233" t="str">
        <f>VLOOKUP(Table8[[#This Row],[Document ID]],Table1[],10,FALSE)</f>
        <v>Archived</v>
      </c>
      <c r="H686" s="43" t="s">
        <v>2343</v>
      </c>
      <c r="I686" s="43" t="s">
        <v>2386</v>
      </c>
      <c r="J686" s="44" t="s">
        <v>2397</v>
      </c>
      <c r="K686" s="44" t="s">
        <v>3012</v>
      </c>
      <c r="L686" s="44" t="s">
        <v>2333</v>
      </c>
      <c r="M686" s="43">
        <v>11</v>
      </c>
      <c r="N686" s="113"/>
      <c r="O686" s="113"/>
      <c r="P686" s="113"/>
      <c r="Q686" s="113"/>
      <c r="R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44" t="s">
        <v>2334</v>
      </c>
      <c r="AP686" s="43"/>
      <c r="AQ686" s="236" t="str">
        <f>VLOOKUP(Table8[[#This Row],[Instrument]],Def_Targets!$D$73:$E$159,2,FALSE)</f>
        <v>A_Finance</v>
      </c>
      <c r="AR686" s="233" t="str">
        <f>VLOOKUP(Table8[[#This Row],[Country Code]],Table29[],3,FALSE)</f>
        <v>Non-Annex I</v>
      </c>
      <c r="AS686" s="233" t="str">
        <f>VLOOKUP(Table8[[#This Row],[Country Code]],Table29[],4,FALSE)</f>
        <v>Africa</v>
      </c>
      <c r="AT686" s="233" t="str">
        <f>VLOOKUP(Table8[[#This Row],[Country Code]],Table29[],5,FALSE)</f>
        <v>Middle-income</v>
      </c>
      <c r="AU686" s="233" t="str">
        <f>VLOOKUP(Table8[[#This Row],[Country Code]],Table29[],6,FALSE)</f>
        <v>no</v>
      </c>
      <c r="AV686" s="233" t="str">
        <f>VLOOKUP(Table8[[#This Row],[Country Code]],Table29[],7,FALSE)</f>
        <v>no</v>
      </c>
      <c r="AW686" s="233" t="str">
        <f>VLOOKUP(Table8[[#This Row],[Country Code]],Table29[],8,FALSE)</f>
        <v>non-OECD</v>
      </c>
      <c r="AX686" s="233" t="str">
        <f>VLOOKUP(Table8[[#This Row],[Country Code]],Table29[],9,FALSE)</f>
        <v>no</v>
      </c>
      <c r="AY686" s="233" t="str">
        <f>VLOOKUP(Table8[[#This Row],[Country Code]],Table29[],10,FALSE)</f>
        <v>MENA</v>
      </c>
      <c r="AZ686" s="235">
        <f>VLOOKUP(Table8[[#This Row],[Country Code]],Table29[],23,FALSE)</f>
        <v>335.96804878175999</v>
      </c>
      <c r="BA686" s="235">
        <f>VLOOKUP(Table8[[#This Row],[Country Code]],Table29[],24,FALSE)</f>
        <v>53.140796953162749</v>
      </c>
      <c r="BB686" s="320"/>
      <c r="BC686" s="320"/>
    </row>
    <row r="687" spans="1:55" ht="210" hidden="1" x14ac:dyDescent="0.25">
      <c r="A687" s="373">
        <v>29227</v>
      </c>
      <c r="B687" s="233" t="str">
        <f>VLOOKUP(Table8[[#This Row],[Document ID]],Table1[],2,FALSE)</f>
        <v>EGY</v>
      </c>
      <c r="C687" s="233" t="str">
        <f>VLOOKUP(Table8[[#This Row],[Document ID]],Table1[],3,FALSE)</f>
        <v>Egypt</v>
      </c>
      <c r="D687" s="243" t="str">
        <f>VLOOKUP(Table8[[#This Row],[Document ID]],Table1[],5,FALSE)</f>
        <v>NDC</v>
      </c>
      <c r="E687" s="233" t="str">
        <f>VLOOKUP(Table8[[#This Row],[Document ID]],Table1[],7,FALSE)</f>
        <v>First NDC updated</v>
      </c>
      <c r="F687" s="233" t="str">
        <f>VLOOKUP(Table8[[#This Row],[Document ID]],Table1[],8,FALSE)</f>
        <v>NDC 1.1</v>
      </c>
      <c r="G687" s="233" t="str">
        <f>VLOOKUP(Table8[[#This Row],[Document ID]],Table1[],10,FALSE)</f>
        <v>Archived</v>
      </c>
      <c r="H687" s="43" t="s">
        <v>2350</v>
      </c>
      <c r="I687" s="43" t="s">
        <v>2456</v>
      </c>
      <c r="J687" s="44" t="s">
        <v>2466</v>
      </c>
      <c r="K687" s="44" t="s">
        <v>3013</v>
      </c>
      <c r="L687" s="44" t="s">
        <v>2347</v>
      </c>
      <c r="M687" s="43" t="s">
        <v>3014</v>
      </c>
      <c r="N687" s="113"/>
      <c r="O687" s="113"/>
      <c r="P687" s="113"/>
      <c r="Q687" s="113"/>
      <c r="R687" s="113"/>
      <c r="S687" s="113"/>
      <c r="T687" s="113"/>
      <c r="U687" s="113"/>
      <c r="V687" s="113"/>
      <c r="W687" s="113"/>
      <c r="X687" s="113"/>
      <c r="Y687" s="113"/>
      <c r="Z687" s="113" t="s">
        <v>1113</v>
      </c>
      <c r="AA687" s="113"/>
      <c r="AB687" s="113"/>
      <c r="AC687" s="113" t="s">
        <v>1113</v>
      </c>
      <c r="AD687" s="113"/>
      <c r="AE687" s="113"/>
      <c r="AF687" s="113"/>
      <c r="AG687" s="113"/>
      <c r="AH687" s="113"/>
      <c r="AI687" s="113"/>
      <c r="AJ687" s="113"/>
      <c r="AK687" s="113"/>
      <c r="AL687" s="113" t="s">
        <v>1113</v>
      </c>
      <c r="AM687" s="113"/>
      <c r="AN687" s="113" t="s">
        <v>1113</v>
      </c>
      <c r="AO687" s="43" t="s">
        <v>2477</v>
      </c>
      <c r="AP687" s="44"/>
      <c r="AQ687" s="236" t="str">
        <f>VLOOKUP(Table8[[#This Row],[Instrument]],Def_Targets!$D$73:$E$159,2,FALSE)</f>
        <v>S_Infraexpansion</v>
      </c>
      <c r="AR687" s="233" t="str">
        <f>VLOOKUP(Table8[[#This Row],[Country Code]],Table29[],3,FALSE)</f>
        <v>Non-Annex I</v>
      </c>
      <c r="AS687" s="233" t="str">
        <f>VLOOKUP(Table8[[#This Row],[Country Code]],Table29[],4,FALSE)</f>
        <v>Africa</v>
      </c>
      <c r="AT687" s="233" t="str">
        <f>VLOOKUP(Table8[[#This Row],[Country Code]],Table29[],5,FALSE)</f>
        <v>Middle-income</v>
      </c>
      <c r="AU687" s="233" t="str">
        <f>VLOOKUP(Table8[[#This Row],[Country Code]],Table29[],6,FALSE)</f>
        <v>no</v>
      </c>
      <c r="AV687" s="233" t="str">
        <f>VLOOKUP(Table8[[#This Row],[Country Code]],Table29[],7,FALSE)</f>
        <v>no</v>
      </c>
      <c r="AW687" s="233" t="str">
        <f>VLOOKUP(Table8[[#This Row],[Country Code]],Table29[],8,FALSE)</f>
        <v>non-OECD</v>
      </c>
      <c r="AX687" s="233" t="str">
        <f>VLOOKUP(Table8[[#This Row],[Country Code]],Table29[],9,FALSE)</f>
        <v>no</v>
      </c>
      <c r="AY687" s="233" t="str">
        <f>VLOOKUP(Table8[[#This Row],[Country Code]],Table29[],10,FALSE)</f>
        <v>MENA</v>
      </c>
      <c r="AZ687" s="235">
        <f>VLOOKUP(Table8[[#This Row],[Country Code]],Table29[],23,FALSE)</f>
        <v>335.96804878175999</v>
      </c>
      <c r="BA687" s="235">
        <f>VLOOKUP(Table8[[#This Row],[Country Code]],Table29[],24,FALSE)</f>
        <v>53.140796953162749</v>
      </c>
      <c r="BB687" s="320"/>
      <c r="BC687" s="320"/>
    </row>
    <row r="688" spans="1:55" ht="105" hidden="1" x14ac:dyDescent="0.25">
      <c r="A688" s="373">
        <v>29227</v>
      </c>
      <c r="B688" s="233" t="str">
        <f>VLOOKUP(Table8[[#This Row],[Document ID]],Table1[],2,FALSE)</f>
        <v>EGY</v>
      </c>
      <c r="C688" s="233" t="str">
        <f>VLOOKUP(Table8[[#This Row],[Document ID]],Table1[],3,FALSE)</f>
        <v>Egypt</v>
      </c>
      <c r="D688" s="243" t="str">
        <f>VLOOKUP(Table8[[#This Row],[Document ID]],Table1[],5,FALSE)</f>
        <v>NDC</v>
      </c>
      <c r="E688" s="233" t="str">
        <f>VLOOKUP(Table8[[#This Row],[Document ID]],Table1[],7,FALSE)</f>
        <v>First NDC updated</v>
      </c>
      <c r="F688" s="233" t="str">
        <f>VLOOKUP(Table8[[#This Row],[Document ID]],Table1[],8,FALSE)</f>
        <v>NDC 1.1</v>
      </c>
      <c r="G688" s="233" t="str">
        <f>VLOOKUP(Table8[[#This Row],[Document ID]],Table1[],10,FALSE)</f>
        <v>Archived</v>
      </c>
      <c r="H688" s="43" t="s">
        <v>2350</v>
      </c>
      <c r="I688" s="43" t="s">
        <v>2456</v>
      </c>
      <c r="J688" s="44" t="s">
        <v>2466</v>
      </c>
      <c r="K688" s="44" t="s">
        <v>3015</v>
      </c>
      <c r="L688" s="44" t="s">
        <v>2347</v>
      </c>
      <c r="M688" s="43">
        <v>17</v>
      </c>
      <c r="N688" s="113"/>
      <c r="O688" s="113"/>
      <c r="P688" s="113"/>
      <c r="Q688" s="113"/>
      <c r="R688" s="113"/>
      <c r="S688" s="113"/>
      <c r="T688" s="113"/>
      <c r="U688" s="113"/>
      <c r="V688" s="113"/>
      <c r="W688" s="113"/>
      <c r="X688" s="113"/>
      <c r="Y688" s="113"/>
      <c r="Z688" s="113" t="s">
        <v>1113</v>
      </c>
      <c r="AA688" s="113"/>
      <c r="AB688" s="113" t="s">
        <v>1113</v>
      </c>
      <c r="AC688" s="113"/>
      <c r="AD688" s="113"/>
      <c r="AE688" s="113"/>
      <c r="AF688" s="113"/>
      <c r="AG688" s="113"/>
      <c r="AH688" s="113"/>
      <c r="AI688" s="113"/>
      <c r="AJ688" s="113"/>
      <c r="AK688" s="113"/>
      <c r="AL688" s="113"/>
      <c r="AM688" s="113"/>
      <c r="AN688" s="113" t="s">
        <v>1113</v>
      </c>
      <c r="AO688" s="43" t="s">
        <v>2477</v>
      </c>
      <c r="AP688" s="44"/>
      <c r="AQ688" s="236" t="str">
        <f>VLOOKUP(Table8[[#This Row],[Instrument]],Def_Targets!$D$73:$E$159,2,FALSE)</f>
        <v>S_Infraexpansion</v>
      </c>
      <c r="AR688" s="233" t="str">
        <f>VLOOKUP(Table8[[#This Row],[Country Code]],Table29[],3,FALSE)</f>
        <v>Non-Annex I</v>
      </c>
      <c r="AS688" s="233" t="str">
        <f>VLOOKUP(Table8[[#This Row],[Country Code]],Table29[],4,FALSE)</f>
        <v>Africa</v>
      </c>
      <c r="AT688" s="233" t="str">
        <f>VLOOKUP(Table8[[#This Row],[Country Code]],Table29[],5,FALSE)</f>
        <v>Middle-income</v>
      </c>
      <c r="AU688" s="233" t="str">
        <f>VLOOKUP(Table8[[#This Row],[Country Code]],Table29[],6,FALSE)</f>
        <v>no</v>
      </c>
      <c r="AV688" s="233" t="str">
        <f>VLOOKUP(Table8[[#This Row],[Country Code]],Table29[],7,FALSE)</f>
        <v>no</v>
      </c>
      <c r="AW688" s="233" t="str">
        <f>VLOOKUP(Table8[[#This Row],[Country Code]],Table29[],8,FALSE)</f>
        <v>non-OECD</v>
      </c>
      <c r="AX688" s="233" t="str">
        <f>VLOOKUP(Table8[[#This Row],[Country Code]],Table29[],9,FALSE)</f>
        <v>no</v>
      </c>
      <c r="AY688" s="233" t="str">
        <f>VLOOKUP(Table8[[#This Row],[Country Code]],Table29[],10,FALSE)</f>
        <v>MENA</v>
      </c>
      <c r="AZ688" s="235">
        <f>VLOOKUP(Table8[[#This Row],[Country Code]],Table29[],23,FALSE)</f>
        <v>335.96804878175999</v>
      </c>
      <c r="BA688" s="235">
        <f>VLOOKUP(Table8[[#This Row],[Country Code]],Table29[],24,FALSE)</f>
        <v>53.140796953162749</v>
      </c>
      <c r="BB688" s="320"/>
      <c r="BC688" s="320"/>
    </row>
    <row r="689" spans="1:55" hidden="1" x14ac:dyDescent="0.25">
      <c r="A689" s="373">
        <v>29227</v>
      </c>
      <c r="B689" s="233" t="str">
        <f>VLOOKUP(Table8[[#This Row],[Document ID]],Table1[],2,FALSE)</f>
        <v>EGY</v>
      </c>
      <c r="C689" s="233" t="str">
        <f>VLOOKUP(Table8[[#This Row],[Document ID]],Table1[],3,FALSE)</f>
        <v>Egypt</v>
      </c>
      <c r="D689" s="243" t="str">
        <f>VLOOKUP(Table8[[#This Row],[Document ID]],Table1[],5,FALSE)</f>
        <v>NDC</v>
      </c>
      <c r="E689" s="233" t="str">
        <f>VLOOKUP(Table8[[#This Row],[Document ID]],Table1[],7,FALSE)</f>
        <v>First NDC updated</v>
      </c>
      <c r="F689" s="233" t="str">
        <f>VLOOKUP(Table8[[#This Row],[Document ID]],Table1[],8,FALSE)</f>
        <v>NDC 1.1</v>
      </c>
      <c r="G689" s="233" t="str">
        <f>VLOOKUP(Table8[[#This Row],[Document ID]],Table1[],10,FALSE)</f>
        <v>Archived</v>
      </c>
      <c r="H689" s="44" t="s">
        <v>2329</v>
      </c>
      <c r="I689" s="44" t="s">
        <v>2330</v>
      </c>
      <c r="J689" s="44" t="s">
        <v>2363</v>
      </c>
      <c r="K689" s="44" t="s">
        <v>3016</v>
      </c>
      <c r="L689" s="44" t="s">
        <v>2333</v>
      </c>
      <c r="M689" s="43">
        <v>17</v>
      </c>
      <c r="N689" s="113"/>
      <c r="O689" s="113"/>
      <c r="P689" s="113"/>
      <c r="Q689" s="113"/>
      <c r="R689" s="113"/>
      <c r="S689" s="113"/>
      <c r="T689" s="113"/>
      <c r="U689" s="113"/>
      <c r="V689" s="113"/>
      <c r="W689" s="113"/>
      <c r="X689" s="113"/>
      <c r="Y689" s="113" t="s">
        <v>1113</v>
      </c>
      <c r="Z689" s="113"/>
      <c r="AA689" s="113"/>
      <c r="AB689" s="113"/>
      <c r="AC689" s="113"/>
      <c r="AD689" s="113"/>
      <c r="AE689" s="113"/>
      <c r="AF689" s="113"/>
      <c r="AG689" s="113"/>
      <c r="AH689" s="113"/>
      <c r="AI689" s="113"/>
      <c r="AJ689" s="113"/>
      <c r="AK689" s="113" t="s">
        <v>1113</v>
      </c>
      <c r="AL689" s="113"/>
      <c r="AM689" s="113"/>
      <c r="AN689" s="113"/>
      <c r="AO689" s="43" t="s">
        <v>2348</v>
      </c>
      <c r="AP689" s="43"/>
      <c r="AQ689" s="236" t="str">
        <f>VLOOKUP(Table8[[#This Row],[Instrument]],Def_Targets!$D$73:$E$159,2,FALSE)</f>
        <v>I_LPGCNGLNG</v>
      </c>
      <c r="AR689" s="233" t="str">
        <f>VLOOKUP(Table8[[#This Row],[Country Code]],Table29[],3,FALSE)</f>
        <v>Non-Annex I</v>
      </c>
      <c r="AS689" s="233" t="str">
        <f>VLOOKUP(Table8[[#This Row],[Country Code]],Table29[],4,FALSE)</f>
        <v>Africa</v>
      </c>
      <c r="AT689" s="233" t="str">
        <f>VLOOKUP(Table8[[#This Row],[Country Code]],Table29[],5,FALSE)</f>
        <v>Middle-income</v>
      </c>
      <c r="AU689" s="233" t="str">
        <f>VLOOKUP(Table8[[#This Row],[Country Code]],Table29[],6,FALSE)</f>
        <v>no</v>
      </c>
      <c r="AV689" s="233" t="str">
        <f>VLOOKUP(Table8[[#This Row],[Country Code]],Table29[],7,FALSE)</f>
        <v>no</v>
      </c>
      <c r="AW689" s="233" t="str">
        <f>VLOOKUP(Table8[[#This Row],[Country Code]],Table29[],8,FALSE)</f>
        <v>non-OECD</v>
      </c>
      <c r="AX689" s="233" t="str">
        <f>VLOOKUP(Table8[[#This Row],[Country Code]],Table29[],9,FALSE)</f>
        <v>no</v>
      </c>
      <c r="AY689" s="233" t="str">
        <f>VLOOKUP(Table8[[#This Row],[Country Code]],Table29[],10,FALSE)</f>
        <v>MENA</v>
      </c>
      <c r="AZ689" s="235">
        <f>VLOOKUP(Table8[[#This Row],[Country Code]],Table29[],23,FALSE)</f>
        <v>335.96804878175999</v>
      </c>
      <c r="BA689" s="235">
        <f>VLOOKUP(Table8[[#This Row],[Country Code]],Table29[],24,FALSE)</f>
        <v>53.140796953162749</v>
      </c>
      <c r="BB689" s="320"/>
      <c r="BC689" s="320"/>
    </row>
    <row r="690" spans="1:55" hidden="1" x14ac:dyDescent="0.25">
      <c r="A690" s="373">
        <v>29227</v>
      </c>
      <c r="B690" s="233" t="str">
        <f>VLOOKUP(Table8[[#This Row],[Document ID]],Table1[],2,FALSE)</f>
        <v>EGY</v>
      </c>
      <c r="C690" s="233" t="str">
        <f>VLOOKUP(Table8[[#This Row],[Document ID]],Table1[],3,FALSE)</f>
        <v>Egypt</v>
      </c>
      <c r="D690" s="243" t="str">
        <f>VLOOKUP(Table8[[#This Row],[Document ID]],Table1[],5,FALSE)</f>
        <v>NDC</v>
      </c>
      <c r="E690" s="233" t="str">
        <f>VLOOKUP(Table8[[#This Row],[Document ID]],Table1[],7,FALSE)</f>
        <v>First NDC updated</v>
      </c>
      <c r="F690" s="233" t="str">
        <f>VLOOKUP(Table8[[#This Row],[Document ID]],Table1[],8,FALSE)</f>
        <v>NDC 1.1</v>
      </c>
      <c r="G690" s="233" t="str">
        <f>VLOOKUP(Table8[[#This Row],[Document ID]],Table1[],10,FALSE)</f>
        <v>Archived</v>
      </c>
      <c r="H690" s="43" t="s">
        <v>2343</v>
      </c>
      <c r="I690" s="43" t="s">
        <v>2344</v>
      </c>
      <c r="J690" s="44" t="s">
        <v>2549</v>
      </c>
      <c r="K690" s="44" t="s">
        <v>3017</v>
      </c>
      <c r="L690" s="44" t="s">
        <v>2347</v>
      </c>
      <c r="M690" s="43">
        <v>17</v>
      </c>
      <c r="N690" s="113"/>
      <c r="O690" s="113"/>
      <c r="P690" s="113"/>
      <c r="Q690" s="113"/>
      <c r="R690" s="113"/>
      <c r="S690" s="113"/>
      <c r="T690" s="113"/>
      <c r="U690" s="113"/>
      <c r="V690" s="113"/>
      <c r="W690" s="113"/>
      <c r="X690" s="113"/>
      <c r="Y690" s="113" t="s">
        <v>1113</v>
      </c>
      <c r="Z690" s="113"/>
      <c r="AA690" s="113"/>
      <c r="AB690" s="113"/>
      <c r="AC690" s="113"/>
      <c r="AD690" s="113"/>
      <c r="AE690" s="113"/>
      <c r="AF690" s="113"/>
      <c r="AG690" s="113"/>
      <c r="AH690" s="113"/>
      <c r="AI690" s="113"/>
      <c r="AJ690" s="113"/>
      <c r="AK690" s="113" t="s">
        <v>1113</v>
      </c>
      <c r="AL690" s="113"/>
      <c r="AM690" s="113"/>
      <c r="AN690" s="113"/>
      <c r="AO690" s="43" t="s">
        <v>2348</v>
      </c>
      <c r="AP690" s="43"/>
      <c r="AQ690" s="236" t="str">
        <f>VLOOKUP(Table8[[#This Row],[Instrument]],Def_Targets!$D$73:$E$159,2,FALSE)</f>
        <v>S_BRT</v>
      </c>
      <c r="AR690" s="233" t="str">
        <f>VLOOKUP(Table8[[#This Row],[Country Code]],Table29[],3,FALSE)</f>
        <v>Non-Annex I</v>
      </c>
      <c r="AS690" s="233" t="str">
        <f>VLOOKUP(Table8[[#This Row],[Country Code]],Table29[],4,FALSE)</f>
        <v>Africa</v>
      </c>
      <c r="AT690" s="233" t="str">
        <f>VLOOKUP(Table8[[#This Row],[Country Code]],Table29[],5,FALSE)</f>
        <v>Middle-income</v>
      </c>
      <c r="AU690" s="233" t="str">
        <f>VLOOKUP(Table8[[#This Row],[Country Code]],Table29[],6,FALSE)</f>
        <v>no</v>
      </c>
      <c r="AV690" s="233" t="str">
        <f>VLOOKUP(Table8[[#This Row],[Country Code]],Table29[],7,FALSE)</f>
        <v>no</v>
      </c>
      <c r="AW690" s="233" t="str">
        <f>VLOOKUP(Table8[[#This Row],[Country Code]],Table29[],8,FALSE)</f>
        <v>non-OECD</v>
      </c>
      <c r="AX690" s="233" t="str">
        <f>VLOOKUP(Table8[[#This Row],[Country Code]],Table29[],9,FALSE)</f>
        <v>no</v>
      </c>
      <c r="AY690" s="233" t="str">
        <f>VLOOKUP(Table8[[#This Row],[Country Code]],Table29[],10,FALSE)</f>
        <v>MENA</v>
      </c>
      <c r="AZ690" s="235">
        <f>VLOOKUP(Table8[[#This Row],[Country Code]],Table29[],23,FALSE)</f>
        <v>335.96804878175999</v>
      </c>
      <c r="BA690" s="235">
        <f>VLOOKUP(Table8[[#This Row],[Country Code]],Table29[],24,FALSE)</f>
        <v>53.140796953162749</v>
      </c>
      <c r="BB690" s="320"/>
      <c r="BC690" s="320"/>
    </row>
    <row r="691" spans="1:55" ht="30" hidden="1" x14ac:dyDescent="0.25">
      <c r="A691" s="373">
        <v>29227</v>
      </c>
      <c r="B691" s="233" t="str">
        <f>VLOOKUP(Table8[[#This Row],[Document ID]],Table1[],2,FALSE)</f>
        <v>EGY</v>
      </c>
      <c r="C691" s="233" t="str">
        <f>VLOOKUP(Table8[[#This Row],[Document ID]],Table1[],3,FALSE)</f>
        <v>Egypt</v>
      </c>
      <c r="D691" s="243" t="str">
        <f>VLOOKUP(Table8[[#This Row],[Document ID]],Table1[],5,FALSE)</f>
        <v>NDC</v>
      </c>
      <c r="E691" s="233" t="str">
        <f>VLOOKUP(Table8[[#This Row],[Document ID]],Table1[],7,FALSE)</f>
        <v>First NDC updated</v>
      </c>
      <c r="F691" s="233" t="str">
        <f>VLOOKUP(Table8[[#This Row],[Document ID]],Table1[],8,FALSE)</f>
        <v>NDC 1.1</v>
      </c>
      <c r="G691" s="233" t="str">
        <f>VLOOKUP(Table8[[#This Row],[Document ID]],Table1[],10,FALSE)</f>
        <v>Archived</v>
      </c>
      <c r="H691" s="43" t="s">
        <v>2343</v>
      </c>
      <c r="I691" s="43" t="s">
        <v>2361</v>
      </c>
      <c r="J691" s="44" t="s">
        <v>2362</v>
      </c>
      <c r="K691" s="44" t="s">
        <v>3018</v>
      </c>
      <c r="L691" s="44" t="s">
        <v>2347</v>
      </c>
      <c r="M691" s="43">
        <v>17</v>
      </c>
      <c r="N691" s="113"/>
      <c r="O691" s="113"/>
      <c r="P691" s="113"/>
      <c r="Q691" s="113"/>
      <c r="R691" s="113" t="s">
        <v>1113</v>
      </c>
      <c r="S691" s="113"/>
      <c r="T691" s="113"/>
      <c r="U691" s="113"/>
      <c r="V691" s="113"/>
      <c r="W691" s="113"/>
      <c r="X691" s="113"/>
      <c r="Y691" s="113"/>
      <c r="Z691" s="113"/>
      <c r="AA691" s="113"/>
      <c r="AB691" s="113"/>
      <c r="AC691" s="113"/>
      <c r="AD691" s="113"/>
      <c r="AE691" s="113"/>
      <c r="AF691" s="113"/>
      <c r="AG691" s="113"/>
      <c r="AH691" s="113"/>
      <c r="AI691" s="113"/>
      <c r="AJ691" s="113"/>
      <c r="AK691" s="113" t="s">
        <v>1113</v>
      </c>
      <c r="AL691" s="113"/>
      <c r="AM691" s="113"/>
      <c r="AN691" s="113"/>
      <c r="AO691" s="44" t="s">
        <v>2334</v>
      </c>
      <c r="AP691" s="43"/>
      <c r="AQ691" s="236" t="str">
        <f>VLOOKUP(Table8[[#This Row],[Instrument]],Def_Targets!$D$73:$E$159,2,FALSE)</f>
        <v>S_Cycling</v>
      </c>
      <c r="AR691" s="233" t="str">
        <f>VLOOKUP(Table8[[#This Row],[Country Code]],Table29[],3,FALSE)</f>
        <v>Non-Annex I</v>
      </c>
      <c r="AS691" s="233" t="str">
        <f>VLOOKUP(Table8[[#This Row],[Country Code]],Table29[],4,FALSE)</f>
        <v>Africa</v>
      </c>
      <c r="AT691" s="233" t="str">
        <f>VLOOKUP(Table8[[#This Row],[Country Code]],Table29[],5,FALSE)</f>
        <v>Middle-income</v>
      </c>
      <c r="AU691" s="233" t="str">
        <f>VLOOKUP(Table8[[#This Row],[Country Code]],Table29[],6,FALSE)</f>
        <v>no</v>
      </c>
      <c r="AV691" s="233" t="str">
        <f>VLOOKUP(Table8[[#This Row],[Country Code]],Table29[],7,FALSE)</f>
        <v>no</v>
      </c>
      <c r="AW691" s="233" t="str">
        <f>VLOOKUP(Table8[[#This Row],[Country Code]],Table29[],8,FALSE)</f>
        <v>non-OECD</v>
      </c>
      <c r="AX691" s="233" t="str">
        <f>VLOOKUP(Table8[[#This Row],[Country Code]],Table29[],9,FALSE)</f>
        <v>no</v>
      </c>
      <c r="AY691" s="233" t="str">
        <f>VLOOKUP(Table8[[#This Row],[Country Code]],Table29[],10,FALSE)</f>
        <v>MENA</v>
      </c>
      <c r="AZ691" s="235">
        <f>VLOOKUP(Table8[[#This Row],[Country Code]],Table29[],23,FALSE)</f>
        <v>335.96804878175999</v>
      </c>
      <c r="BA691" s="235">
        <f>VLOOKUP(Table8[[#This Row],[Country Code]],Table29[],24,FALSE)</f>
        <v>53.140796953162749</v>
      </c>
      <c r="BB691" s="320"/>
      <c r="BC691" s="320"/>
    </row>
    <row r="692" spans="1:55" ht="105" hidden="1" x14ac:dyDescent="0.25">
      <c r="A692" s="373">
        <v>29227</v>
      </c>
      <c r="B692" s="233" t="str">
        <f>VLOOKUP(Table8[[#This Row],[Document ID]],Table1[],2,FALSE)</f>
        <v>EGY</v>
      </c>
      <c r="C692" s="233" t="str">
        <f>VLOOKUP(Table8[[#This Row],[Document ID]],Table1[],3,FALSE)</f>
        <v>Egypt</v>
      </c>
      <c r="D692" s="243" t="str">
        <f>VLOOKUP(Table8[[#This Row],[Document ID]],Table1[],5,FALSE)</f>
        <v>NDC</v>
      </c>
      <c r="E692" s="233" t="str">
        <f>VLOOKUP(Table8[[#This Row],[Document ID]],Table1[],7,FALSE)</f>
        <v>First NDC updated</v>
      </c>
      <c r="F692" s="233" t="str">
        <f>VLOOKUP(Table8[[#This Row],[Document ID]],Table1[],8,FALSE)</f>
        <v>NDC 1.1</v>
      </c>
      <c r="G692" s="233" t="str">
        <f>VLOOKUP(Table8[[#This Row],[Document ID]],Table1[],10,FALSE)</f>
        <v>Archived</v>
      </c>
      <c r="H692" s="43" t="s">
        <v>2350</v>
      </c>
      <c r="I692" s="43" t="s">
        <v>2456</v>
      </c>
      <c r="J692" s="44" t="s">
        <v>2457</v>
      </c>
      <c r="K692" s="44" t="s">
        <v>3019</v>
      </c>
      <c r="L692" s="44" t="s">
        <v>2333</v>
      </c>
      <c r="M692" s="43">
        <v>17</v>
      </c>
      <c r="N692" s="113"/>
      <c r="O692" s="113"/>
      <c r="P692" s="113"/>
      <c r="Q692" s="113"/>
      <c r="R692" s="113"/>
      <c r="S692" s="113" t="s">
        <v>1113</v>
      </c>
      <c r="T692" s="113"/>
      <c r="U692" s="113"/>
      <c r="V692" s="113"/>
      <c r="W692" s="113"/>
      <c r="X692" s="113"/>
      <c r="Y692" s="113"/>
      <c r="Z692" s="113"/>
      <c r="AA692" s="113"/>
      <c r="AB692" s="113"/>
      <c r="AC692" s="113"/>
      <c r="AD692" s="113"/>
      <c r="AE692" s="113"/>
      <c r="AF692" s="113"/>
      <c r="AG692" s="113"/>
      <c r="AH692" s="113"/>
      <c r="AI692" s="113"/>
      <c r="AJ692" s="113"/>
      <c r="AK692" s="113" t="s">
        <v>1113</v>
      </c>
      <c r="AL692" s="113"/>
      <c r="AM692" s="113"/>
      <c r="AN692" s="113"/>
      <c r="AO692" s="43" t="s">
        <v>2477</v>
      </c>
      <c r="AP692" s="44"/>
      <c r="AQ692" s="236" t="str">
        <f>VLOOKUP(Table8[[#This Row],[Instrument]],Def_Targets!$D$73:$E$159,2,FALSE)</f>
        <v>S_Infraimprove</v>
      </c>
      <c r="AR692" s="233" t="str">
        <f>VLOOKUP(Table8[[#This Row],[Country Code]],Table29[],3,FALSE)</f>
        <v>Non-Annex I</v>
      </c>
      <c r="AS692" s="233" t="str">
        <f>VLOOKUP(Table8[[#This Row],[Country Code]],Table29[],4,FALSE)</f>
        <v>Africa</v>
      </c>
      <c r="AT692" s="233" t="str">
        <f>VLOOKUP(Table8[[#This Row],[Country Code]],Table29[],5,FALSE)</f>
        <v>Middle-income</v>
      </c>
      <c r="AU692" s="233" t="str">
        <f>VLOOKUP(Table8[[#This Row],[Country Code]],Table29[],6,FALSE)</f>
        <v>no</v>
      </c>
      <c r="AV692" s="233" t="str">
        <f>VLOOKUP(Table8[[#This Row],[Country Code]],Table29[],7,FALSE)</f>
        <v>no</v>
      </c>
      <c r="AW692" s="233" t="str">
        <f>VLOOKUP(Table8[[#This Row],[Country Code]],Table29[],8,FALSE)</f>
        <v>non-OECD</v>
      </c>
      <c r="AX692" s="233" t="str">
        <f>VLOOKUP(Table8[[#This Row],[Country Code]],Table29[],9,FALSE)</f>
        <v>no</v>
      </c>
      <c r="AY692" s="233" t="str">
        <f>VLOOKUP(Table8[[#This Row],[Country Code]],Table29[],10,FALSE)</f>
        <v>MENA</v>
      </c>
      <c r="AZ692" s="235">
        <f>VLOOKUP(Table8[[#This Row],[Country Code]],Table29[],23,FALSE)</f>
        <v>335.96804878175999</v>
      </c>
      <c r="BA692" s="235">
        <f>VLOOKUP(Table8[[#This Row],[Country Code]],Table29[],24,FALSE)</f>
        <v>53.140796953162749</v>
      </c>
      <c r="BB692" s="320"/>
      <c r="BC692" s="320"/>
    </row>
    <row r="693" spans="1:55" ht="30" hidden="1" x14ac:dyDescent="0.25">
      <c r="A693" s="373">
        <v>29227</v>
      </c>
      <c r="B693" s="233" t="str">
        <f>VLOOKUP(Table8[[#This Row],[Document ID]],Table1[],2,FALSE)</f>
        <v>EGY</v>
      </c>
      <c r="C693" s="233" t="str">
        <f>VLOOKUP(Table8[[#This Row],[Document ID]],Table1[],3,FALSE)</f>
        <v>Egypt</v>
      </c>
      <c r="D693" s="243" t="str">
        <f>VLOOKUP(Table8[[#This Row],[Document ID]],Table1[],5,FALSE)</f>
        <v>NDC</v>
      </c>
      <c r="E693" s="233" t="str">
        <f>VLOOKUP(Table8[[#This Row],[Document ID]],Table1[],7,FALSE)</f>
        <v>First NDC updated</v>
      </c>
      <c r="F693" s="233" t="str">
        <f>VLOOKUP(Table8[[#This Row],[Document ID]],Table1[],8,FALSE)</f>
        <v>NDC 1.1</v>
      </c>
      <c r="G693" s="233" t="str">
        <f>VLOOKUP(Table8[[#This Row],[Document ID]],Table1[],10,FALSE)</f>
        <v>Archived</v>
      </c>
      <c r="H693" s="43" t="s">
        <v>2484</v>
      </c>
      <c r="I693" s="43" t="s">
        <v>2488</v>
      </c>
      <c r="J693" s="44" t="s">
        <v>2684</v>
      </c>
      <c r="K693" s="44" t="s">
        <v>3020</v>
      </c>
      <c r="L693" s="44" t="s">
        <v>2333</v>
      </c>
      <c r="M693" s="43">
        <v>17</v>
      </c>
      <c r="N693" s="113"/>
      <c r="O693" s="113"/>
      <c r="P693" s="113"/>
      <c r="Q693" s="113"/>
      <c r="R693" s="113"/>
      <c r="S693" s="113"/>
      <c r="T693" s="113"/>
      <c r="U693" s="113"/>
      <c r="V693" s="113"/>
      <c r="W693" s="113"/>
      <c r="X693" s="113"/>
      <c r="Y693" s="113"/>
      <c r="Z693" s="113"/>
      <c r="AA693" s="113"/>
      <c r="AB693" s="113"/>
      <c r="AC693" s="113"/>
      <c r="AD693" s="113"/>
      <c r="AE693" s="113"/>
      <c r="AF693" s="113"/>
      <c r="AG693" s="113"/>
      <c r="AH693" s="113" t="s">
        <v>1113</v>
      </c>
      <c r="AI693" s="113"/>
      <c r="AJ693" s="113"/>
      <c r="AK693" s="113"/>
      <c r="AL693" s="113" t="s">
        <v>1113</v>
      </c>
      <c r="AM693" s="113"/>
      <c r="AN693" s="113"/>
      <c r="AO693" s="43" t="s">
        <v>2477</v>
      </c>
      <c r="AP693" s="44"/>
      <c r="AQ693" s="236" t="str">
        <f>VLOOKUP(Table8[[#This Row],[Instrument]],Def_Targets!$D$73:$E$159,2,FALSE)</f>
        <v>I_Jetfuel</v>
      </c>
      <c r="AR693" s="233" t="str">
        <f>VLOOKUP(Table8[[#This Row],[Country Code]],Table29[],3,FALSE)</f>
        <v>Non-Annex I</v>
      </c>
      <c r="AS693" s="233" t="str">
        <f>VLOOKUP(Table8[[#This Row],[Country Code]],Table29[],4,FALSE)</f>
        <v>Africa</v>
      </c>
      <c r="AT693" s="233" t="str">
        <f>VLOOKUP(Table8[[#This Row],[Country Code]],Table29[],5,FALSE)</f>
        <v>Middle-income</v>
      </c>
      <c r="AU693" s="233" t="str">
        <f>VLOOKUP(Table8[[#This Row],[Country Code]],Table29[],6,FALSE)</f>
        <v>no</v>
      </c>
      <c r="AV693" s="233" t="str">
        <f>VLOOKUP(Table8[[#This Row],[Country Code]],Table29[],7,FALSE)</f>
        <v>no</v>
      </c>
      <c r="AW693" s="233" t="str">
        <f>VLOOKUP(Table8[[#This Row],[Country Code]],Table29[],8,FALSE)</f>
        <v>non-OECD</v>
      </c>
      <c r="AX693" s="233" t="str">
        <f>VLOOKUP(Table8[[#This Row],[Country Code]],Table29[],9,FALSE)</f>
        <v>no</v>
      </c>
      <c r="AY693" s="233" t="str">
        <f>VLOOKUP(Table8[[#This Row],[Country Code]],Table29[],10,FALSE)</f>
        <v>MENA</v>
      </c>
      <c r="AZ693" s="235">
        <f>VLOOKUP(Table8[[#This Row],[Country Code]],Table29[],23,FALSE)</f>
        <v>335.96804878175999</v>
      </c>
      <c r="BA693" s="235">
        <f>VLOOKUP(Table8[[#This Row],[Country Code]],Table29[],24,FALSE)</f>
        <v>53.140796953162749</v>
      </c>
      <c r="BB693" s="320"/>
      <c r="BC693" s="320"/>
    </row>
    <row r="694" spans="1:55" hidden="1" x14ac:dyDescent="0.25">
      <c r="A694" s="373">
        <v>29227</v>
      </c>
      <c r="B694" s="233" t="str">
        <f>VLOOKUP(Table8[[#This Row],[Document ID]],Table1[],2,FALSE)</f>
        <v>EGY</v>
      </c>
      <c r="C694" s="233" t="str">
        <f>VLOOKUP(Table8[[#This Row],[Document ID]],Table1[],3,FALSE)</f>
        <v>Egypt</v>
      </c>
      <c r="D694" s="243" t="str">
        <f>VLOOKUP(Table8[[#This Row],[Document ID]],Table1[],5,FALSE)</f>
        <v>NDC</v>
      </c>
      <c r="E694" s="233" t="str">
        <f>VLOOKUP(Table8[[#This Row],[Document ID]],Table1[],7,FALSE)</f>
        <v>First NDC updated</v>
      </c>
      <c r="F694" s="233" t="str">
        <f>VLOOKUP(Table8[[#This Row],[Document ID]],Table1[],8,FALSE)</f>
        <v>NDC 1.1</v>
      </c>
      <c r="G694" s="233" t="str">
        <f>VLOOKUP(Table8[[#This Row],[Document ID]],Table1[],10,FALSE)</f>
        <v>Archived</v>
      </c>
      <c r="H694" s="44" t="s">
        <v>2329</v>
      </c>
      <c r="I694" s="44" t="s">
        <v>2330</v>
      </c>
      <c r="J694" s="44" t="s">
        <v>2331</v>
      </c>
      <c r="K694" s="44" t="s">
        <v>3021</v>
      </c>
      <c r="L694" s="44" t="s">
        <v>2333</v>
      </c>
      <c r="M694" s="43">
        <v>17</v>
      </c>
      <c r="N694" s="113"/>
      <c r="O694" s="113"/>
      <c r="P694" s="113"/>
      <c r="Q694" s="113"/>
      <c r="R694" s="113"/>
      <c r="S694" s="113"/>
      <c r="T694" s="113"/>
      <c r="U694" s="113"/>
      <c r="V694" s="113"/>
      <c r="W694" s="113"/>
      <c r="X694" s="113"/>
      <c r="Y694" s="113" t="s">
        <v>1113</v>
      </c>
      <c r="Z694" s="113"/>
      <c r="AA694" s="113"/>
      <c r="AB694" s="113"/>
      <c r="AC694" s="113"/>
      <c r="AD694" s="113"/>
      <c r="AE694" s="113"/>
      <c r="AF694" s="113"/>
      <c r="AG694" s="113"/>
      <c r="AH694" s="113"/>
      <c r="AI694" s="113"/>
      <c r="AJ694" s="113"/>
      <c r="AK694" s="113"/>
      <c r="AL694" s="113" t="s">
        <v>1113</v>
      </c>
      <c r="AM694" s="113"/>
      <c r="AN694" s="113"/>
      <c r="AO694" s="43" t="s">
        <v>2348</v>
      </c>
      <c r="AP694" s="43"/>
      <c r="AQ694" s="236" t="str">
        <f>VLOOKUP(Table8[[#This Row],[Instrument]],Def_Targets!$D$73:$E$159,2,FALSE)</f>
        <v>I_Altfuels</v>
      </c>
      <c r="AR694" s="233" t="str">
        <f>VLOOKUP(Table8[[#This Row],[Country Code]],Table29[],3,FALSE)</f>
        <v>Non-Annex I</v>
      </c>
      <c r="AS694" s="233" t="str">
        <f>VLOOKUP(Table8[[#This Row],[Country Code]],Table29[],4,FALSE)</f>
        <v>Africa</v>
      </c>
      <c r="AT694" s="233" t="str">
        <f>VLOOKUP(Table8[[#This Row],[Country Code]],Table29[],5,FALSE)</f>
        <v>Middle-income</v>
      </c>
      <c r="AU694" s="233" t="str">
        <f>VLOOKUP(Table8[[#This Row],[Country Code]],Table29[],6,FALSE)</f>
        <v>no</v>
      </c>
      <c r="AV694" s="233" t="str">
        <f>VLOOKUP(Table8[[#This Row],[Country Code]],Table29[],7,FALSE)</f>
        <v>no</v>
      </c>
      <c r="AW694" s="233" t="str">
        <f>VLOOKUP(Table8[[#This Row],[Country Code]],Table29[],8,FALSE)</f>
        <v>non-OECD</v>
      </c>
      <c r="AX694" s="233" t="str">
        <f>VLOOKUP(Table8[[#This Row],[Country Code]],Table29[],9,FALSE)</f>
        <v>no</v>
      </c>
      <c r="AY694" s="233" t="str">
        <f>VLOOKUP(Table8[[#This Row],[Country Code]],Table29[],10,FALSE)</f>
        <v>MENA</v>
      </c>
      <c r="AZ694" s="235">
        <f>VLOOKUP(Table8[[#This Row],[Country Code]],Table29[],23,FALSE)</f>
        <v>335.96804878175999</v>
      </c>
      <c r="BA694" s="235">
        <f>VLOOKUP(Table8[[#This Row],[Country Code]],Table29[],24,FALSE)</f>
        <v>53.140796953162749</v>
      </c>
      <c r="BB694" s="320"/>
      <c r="BC694" s="320"/>
    </row>
    <row r="695" spans="1:55" ht="30" hidden="1" x14ac:dyDescent="0.25">
      <c r="A695" s="373">
        <v>29227</v>
      </c>
      <c r="B695" s="233" t="str">
        <f>VLOOKUP(Table8[[#This Row],[Document ID]],Table1[],2,FALSE)</f>
        <v>EGY</v>
      </c>
      <c r="C695" s="233" t="str">
        <f>VLOOKUP(Table8[[#This Row],[Document ID]],Table1[],3,FALSE)</f>
        <v>Egypt</v>
      </c>
      <c r="D695" s="243" t="str">
        <f>VLOOKUP(Table8[[#This Row],[Document ID]],Table1[],5,FALSE)</f>
        <v>NDC</v>
      </c>
      <c r="E695" s="233" t="str">
        <f>VLOOKUP(Table8[[#This Row],[Document ID]],Table1[],7,FALSE)</f>
        <v>First NDC updated</v>
      </c>
      <c r="F695" s="233" t="str">
        <f>VLOOKUP(Table8[[#This Row],[Document ID]],Table1[],8,FALSE)</f>
        <v>NDC 1.1</v>
      </c>
      <c r="G695" s="233" t="str">
        <f>VLOOKUP(Table8[[#This Row],[Document ID]],Table1[],10,FALSE)</f>
        <v>Archived</v>
      </c>
      <c r="H695" s="43" t="s">
        <v>2484</v>
      </c>
      <c r="I695" s="43" t="s">
        <v>2488</v>
      </c>
      <c r="J695" s="44" t="s">
        <v>2976</v>
      </c>
      <c r="K695" s="44" t="s">
        <v>3022</v>
      </c>
      <c r="L695" s="44" t="s">
        <v>2333</v>
      </c>
      <c r="M695" s="43">
        <v>17</v>
      </c>
      <c r="N695" s="113"/>
      <c r="O695" s="113"/>
      <c r="P695" s="113"/>
      <c r="Q695" s="113"/>
      <c r="R695" s="113"/>
      <c r="S695" s="113"/>
      <c r="T695" s="113"/>
      <c r="U695" s="113"/>
      <c r="V695" s="113"/>
      <c r="W695" s="113"/>
      <c r="X695" s="113"/>
      <c r="Y695" s="113"/>
      <c r="Z695" s="113"/>
      <c r="AA695" s="113"/>
      <c r="AB695" s="113"/>
      <c r="AC695" s="113"/>
      <c r="AD695" s="113"/>
      <c r="AE695" s="113"/>
      <c r="AF695" s="113"/>
      <c r="AG695" s="113"/>
      <c r="AH695" s="113" t="s">
        <v>1113</v>
      </c>
      <c r="AI695" s="113"/>
      <c r="AJ695" s="113"/>
      <c r="AK695" s="113"/>
      <c r="AL695" s="113" t="s">
        <v>1113</v>
      </c>
      <c r="AM695" s="113"/>
      <c r="AN695" s="113"/>
      <c r="AO695" s="44" t="s">
        <v>2334</v>
      </c>
      <c r="AP695" s="43"/>
      <c r="AQ695" s="236" t="str">
        <f>VLOOKUP(Table8[[#This Row],[Instrument]],Def_Targets!$D$73:$E$159,2,FALSE)</f>
        <v>I_CO2certificate</v>
      </c>
      <c r="AR695" s="233" t="str">
        <f>VLOOKUP(Table8[[#This Row],[Country Code]],Table29[],3,FALSE)</f>
        <v>Non-Annex I</v>
      </c>
      <c r="AS695" s="233" t="str">
        <f>VLOOKUP(Table8[[#This Row],[Country Code]],Table29[],4,FALSE)</f>
        <v>Africa</v>
      </c>
      <c r="AT695" s="233" t="str">
        <f>VLOOKUP(Table8[[#This Row],[Country Code]],Table29[],5,FALSE)</f>
        <v>Middle-income</v>
      </c>
      <c r="AU695" s="233" t="str">
        <f>VLOOKUP(Table8[[#This Row],[Country Code]],Table29[],6,FALSE)</f>
        <v>no</v>
      </c>
      <c r="AV695" s="233" t="str">
        <f>VLOOKUP(Table8[[#This Row],[Country Code]],Table29[],7,FALSE)</f>
        <v>no</v>
      </c>
      <c r="AW695" s="233" t="str">
        <f>VLOOKUP(Table8[[#This Row],[Country Code]],Table29[],8,FALSE)</f>
        <v>non-OECD</v>
      </c>
      <c r="AX695" s="233" t="str">
        <f>VLOOKUP(Table8[[#This Row],[Country Code]],Table29[],9,FALSE)</f>
        <v>no</v>
      </c>
      <c r="AY695" s="233" t="str">
        <f>VLOOKUP(Table8[[#This Row],[Country Code]],Table29[],10,FALSE)</f>
        <v>MENA</v>
      </c>
      <c r="AZ695" s="235">
        <f>VLOOKUP(Table8[[#This Row],[Country Code]],Table29[],23,FALSE)</f>
        <v>335.96804878175999</v>
      </c>
      <c r="BA695" s="235">
        <f>VLOOKUP(Table8[[#This Row],[Country Code]],Table29[],24,FALSE)</f>
        <v>53.140796953162749</v>
      </c>
      <c r="BB695" s="320"/>
      <c r="BC695" s="320"/>
    </row>
    <row r="696" spans="1:55" ht="30" hidden="1" x14ac:dyDescent="0.25">
      <c r="A696" s="373">
        <v>29227</v>
      </c>
      <c r="B696" s="233" t="str">
        <f>VLOOKUP(Table8[[#This Row],[Document ID]],Table1[],2,FALSE)</f>
        <v>EGY</v>
      </c>
      <c r="C696" s="233" t="str">
        <f>VLOOKUP(Table8[[#This Row],[Document ID]],Table1[],3,FALSE)</f>
        <v>Egypt</v>
      </c>
      <c r="D696" s="243" t="str">
        <f>VLOOKUP(Table8[[#This Row],[Document ID]],Table1[],5,FALSE)</f>
        <v>NDC</v>
      </c>
      <c r="E696" s="233" t="str">
        <f>VLOOKUP(Table8[[#This Row],[Document ID]],Table1[],7,FALSE)</f>
        <v>First NDC updated</v>
      </c>
      <c r="F696" s="233" t="str">
        <f>VLOOKUP(Table8[[#This Row],[Document ID]],Table1[],8,FALSE)</f>
        <v>NDC 1.1</v>
      </c>
      <c r="G696" s="233" t="str">
        <f>VLOOKUP(Table8[[#This Row],[Document ID]],Table1[],10,FALSE)</f>
        <v>Archived</v>
      </c>
      <c r="H696" s="43" t="s">
        <v>2343</v>
      </c>
      <c r="I696" s="43" t="s">
        <v>2361</v>
      </c>
      <c r="J696" s="44" t="s">
        <v>2366</v>
      </c>
      <c r="K696" s="44" t="s">
        <v>3023</v>
      </c>
      <c r="L696" s="44" t="s">
        <v>2333</v>
      </c>
      <c r="M696" s="43">
        <v>20</v>
      </c>
      <c r="N696" s="113"/>
      <c r="O696" s="113"/>
      <c r="P696" s="113" t="s">
        <v>1113</v>
      </c>
      <c r="Q696" s="113" t="s">
        <v>1113</v>
      </c>
      <c r="R696" s="113" t="s">
        <v>1113</v>
      </c>
      <c r="S696" s="113"/>
      <c r="T696" s="113"/>
      <c r="U696" s="113"/>
      <c r="V696" s="113"/>
      <c r="W696" s="113"/>
      <c r="X696" s="113"/>
      <c r="Y696" s="113"/>
      <c r="Z696" s="113"/>
      <c r="AA696" s="113"/>
      <c r="AB696" s="113"/>
      <c r="AC696" s="113"/>
      <c r="AD696" s="113"/>
      <c r="AE696" s="113"/>
      <c r="AF696" s="113"/>
      <c r="AG696" s="113"/>
      <c r="AH696" s="113"/>
      <c r="AI696" s="113"/>
      <c r="AJ696" s="113"/>
      <c r="AK696" s="113" t="s">
        <v>1113</v>
      </c>
      <c r="AL696" s="113"/>
      <c r="AM696" s="113"/>
      <c r="AN696" s="113"/>
      <c r="AO696" s="44" t="s">
        <v>2334</v>
      </c>
      <c r="AP696" s="43"/>
      <c r="AQ696" s="236" t="str">
        <f>VLOOKUP(Table8[[#This Row],[Instrument]],Def_Targets!$D$73:$E$159,2,FALSE)</f>
        <v>S_Activemobility</v>
      </c>
      <c r="AR696" s="233" t="str">
        <f>VLOOKUP(Table8[[#This Row],[Country Code]],Table29[],3,FALSE)</f>
        <v>Non-Annex I</v>
      </c>
      <c r="AS696" s="233" t="str">
        <f>VLOOKUP(Table8[[#This Row],[Country Code]],Table29[],4,FALSE)</f>
        <v>Africa</v>
      </c>
      <c r="AT696" s="233" t="str">
        <f>VLOOKUP(Table8[[#This Row],[Country Code]],Table29[],5,FALSE)</f>
        <v>Middle-income</v>
      </c>
      <c r="AU696" s="233" t="str">
        <f>VLOOKUP(Table8[[#This Row],[Country Code]],Table29[],6,FALSE)</f>
        <v>no</v>
      </c>
      <c r="AV696" s="233" t="str">
        <f>VLOOKUP(Table8[[#This Row],[Country Code]],Table29[],7,FALSE)</f>
        <v>no</v>
      </c>
      <c r="AW696" s="233" t="str">
        <f>VLOOKUP(Table8[[#This Row],[Country Code]],Table29[],8,FALSE)</f>
        <v>non-OECD</v>
      </c>
      <c r="AX696" s="233" t="str">
        <f>VLOOKUP(Table8[[#This Row],[Country Code]],Table29[],9,FALSE)</f>
        <v>no</v>
      </c>
      <c r="AY696" s="233" t="str">
        <f>VLOOKUP(Table8[[#This Row],[Country Code]],Table29[],10,FALSE)</f>
        <v>MENA</v>
      </c>
      <c r="AZ696" s="235">
        <f>VLOOKUP(Table8[[#This Row],[Country Code]],Table29[],23,FALSE)</f>
        <v>335.96804878175999</v>
      </c>
      <c r="BA696" s="235">
        <f>VLOOKUP(Table8[[#This Row],[Country Code]],Table29[],24,FALSE)</f>
        <v>53.140796953162749</v>
      </c>
      <c r="BB696" s="320"/>
      <c r="BC696" s="320"/>
    </row>
    <row r="697" spans="1:55" ht="30" hidden="1" x14ac:dyDescent="0.25">
      <c r="A697" s="373">
        <v>29227</v>
      </c>
      <c r="B697" s="233" t="str">
        <f>VLOOKUP(Table8[[#This Row],[Document ID]],Table1[],2,FALSE)</f>
        <v>EGY</v>
      </c>
      <c r="C697" s="233" t="str">
        <f>VLOOKUP(Table8[[#This Row],[Document ID]],Table1[],3,FALSE)</f>
        <v>Egypt</v>
      </c>
      <c r="D697" s="243" t="str">
        <f>VLOOKUP(Table8[[#This Row],[Document ID]],Table1[],5,FALSE)</f>
        <v>NDC</v>
      </c>
      <c r="E697" s="233" t="str">
        <f>VLOOKUP(Table8[[#This Row],[Document ID]],Table1[],7,FALSE)</f>
        <v>First NDC updated</v>
      </c>
      <c r="F697" s="233" t="str">
        <f>VLOOKUP(Table8[[#This Row],[Document ID]],Table1[],8,FALSE)</f>
        <v>NDC 1.1</v>
      </c>
      <c r="G697" s="233" t="str">
        <f>VLOOKUP(Table8[[#This Row],[Document ID]],Table1[],10,FALSE)</f>
        <v>Archived</v>
      </c>
      <c r="H697" s="43" t="s">
        <v>2358</v>
      </c>
      <c r="I697" s="43" t="s">
        <v>2359</v>
      </c>
      <c r="J697" s="44" t="s">
        <v>2360</v>
      </c>
      <c r="K697" s="44" t="s">
        <v>3024</v>
      </c>
      <c r="L697" s="44" t="s">
        <v>2333</v>
      </c>
      <c r="M697" s="43">
        <v>20</v>
      </c>
      <c r="N697" s="113"/>
      <c r="O697" s="113"/>
      <c r="P697" s="113"/>
      <c r="Q697" s="113"/>
      <c r="R697" s="113"/>
      <c r="S697" s="113" t="s">
        <v>1113</v>
      </c>
      <c r="T697" s="113"/>
      <c r="U697" s="113"/>
      <c r="V697" s="113"/>
      <c r="W697" s="113"/>
      <c r="X697" s="113"/>
      <c r="Y697" s="113"/>
      <c r="Z697" s="113"/>
      <c r="AA697" s="113"/>
      <c r="AB697" s="113"/>
      <c r="AC697" s="113"/>
      <c r="AD697" s="113"/>
      <c r="AE697" s="113"/>
      <c r="AF697" s="113"/>
      <c r="AG697" s="113"/>
      <c r="AH697" s="113"/>
      <c r="AI697" s="113"/>
      <c r="AJ697" s="113"/>
      <c r="AK697" s="113" t="s">
        <v>1113</v>
      </c>
      <c r="AL697" s="113"/>
      <c r="AM697" s="113"/>
      <c r="AN697" s="113"/>
      <c r="AO697" s="44" t="s">
        <v>2334</v>
      </c>
      <c r="AP697" s="43"/>
      <c r="AQ697" s="236" t="str">
        <f>VLOOKUP(Table8[[#This Row],[Instrument]],Def_Targets!$D$73:$E$159,2,FALSE)</f>
        <v>I_Emobility</v>
      </c>
      <c r="AR697" s="233" t="str">
        <f>VLOOKUP(Table8[[#This Row],[Country Code]],Table29[],3,FALSE)</f>
        <v>Non-Annex I</v>
      </c>
      <c r="AS697" s="233" t="str">
        <f>VLOOKUP(Table8[[#This Row],[Country Code]],Table29[],4,FALSE)</f>
        <v>Africa</v>
      </c>
      <c r="AT697" s="233" t="str">
        <f>VLOOKUP(Table8[[#This Row],[Country Code]],Table29[],5,FALSE)</f>
        <v>Middle-income</v>
      </c>
      <c r="AU697" s="233" t="str">
        <f>VLOOKUP(Table8[[#This Row],[Country Code]],Table29[],6,FALSE)</f>
        <v>no</v>
      </c>
      <c r="AV697" s="233" t="str">
        <f>VLOOKUP(Table8[[#This Row],[Country Code]],Table29[],7,FALSE)</f>
        <v>no</v>
      </c>
      <c r="AW697" s="233" t="str">
        <f>VLOOKUP(Table8[[#This Row],[Country Code]],Table29[],8,FALSE)</f>
        <v>non-OECD</v>
      </c>
      <c r="AX697" s="233" t="str">
        <f>VLOOKUP(Table8[[#This Row],[Country Code]],Table29[],9,FALSE)</f>
        <v>no</v>
      </c>
      <c r="AY697" s="233" t="str">
        <f>VLOOKUP(Table8[[#This Row],[Country Code]],Table29[],10,FALSE)</f>
        <v>MENA</v>
      </c>
      <c r="AZ697" s="235">
        <f>VLOOKUP(Table8[[#This Row],[Country Code]],Table29[],23,FALSE)</f>
        <v>335.96804878175999</v>
      </c>
      <c r="BA697" s="235">
        <f>VLOOKUP(Table8[[#This Row],[Country Code]],Table29[],24,FALSE)</f>
        <v>53.140796953162749</v>
      </c>
      <c r="BB697" s="320"/>
      <c r="BC697" s="320"/>
    </row>
    <row r="698" spans="1:55" ht="30" hidden="1" x14ac:dyDescent="0.25">
      <c r="A698" s="373">
        <v>29227</v>
      </c>
      <c r="B698" s="233" t="str">
        <f>VLOOKUP(Table8[[#This Row],[Document ID]],Table1[],2,FALSE)</f>
        <v>EGY</v>
      </c>
      <c r="C698" s="233" t="str">
        <f>VLOOKUP(Table8[[#This Row],[Document ID]],Table1[],3,FALSE)</f>
        <v>Egypt</v>
      </c>
      <c r="D698" s="243" t="str">
        <f>VLOOKUP(Table8[[#This Row],[Document ID]],Table1[],5,FALSE)</f>
        <v>NDC</v>
      </c>
      <c r="E698" s="233" t="str">
        <f>VLOOKUP(Table8[[#This Row],[Document ID]],Table1[],7,FALSE)</f>
        <v>First NDC updated</v>
      </c>
      <c r="F698" s="233" t="str">
        <f>VLOOKUP(Table8[[#This Row],[Document ID]],Table1[],8,FALSE)</f>
        <v>NDC 1.1</v>
      </c>
      <c r="G698" s="233" t="str">
        <f>VLOOKUP(Table8[[#This Row],[Document ID]],Table1[],10,FALSE)</f>
        <v>Archived</v>
      </c>
      <c r="H698" s="44" t="s">
        <v>2329</v>
      </c>
      <c r="I698" s="44" t="s">
        <v>2330</v>
      </c>
      <c r="J698" s="44" t="s">
        <v>2381</v>
      </c>
      <c r="K698" s="44" t="s">
        <v>3025</v>
      </c>
      <c r="L698" s="44" t="s">
        <v>2333</v>
      </c>
      <c r="M698" s="43">
        <v>20</v>
      </c>
      <c r="N698" s="113" t="s">
        <v>1113</v>
      </c>
      <c r="O698" s="113"/>
      <c r="P698" s="113"/>
      <c r="Q698" s="113"/>
      <c r="R698" s="113"/>
      <c r="S698" s="113" t="s">
        <v>1113</v>
      </c>
      <c r="T698" s="113"/>
      <c r="U698" s="113"/>
      <c r="V698" s="113"/>
      <c r="W698" s="113"/>
      <c r="X698" s="113"/>
      <c r="Y698" s="113"/>
      <c r="Z698" s="113"/>
      <c r="AA698" s="113"/>
      <c r="AB698" s="113"/>
      <c r="AC698" s="113"/>
      <c r="AD698" s="113"/>
      <c r="AE698" s="113"/>
      <c r="AF698" s="113"/>
      <c r="AG698" s="113"/>
      <c r="AH698" s="113"/>
      <c r="AI698" s="113"/>
      <c r="AJ698" s="113"/>
      <c r="AK698" s="113" t="s">
        <v>1113</v>
      </c>
      <c r="AL698" s="113"/>
      <c r="AM698" s="113"/>
      <c r="AN698" s="113"/>
      <c r="AO698" s="44" t="s">
        <v>2334</v>
      </c>
      <c r="AP698" s="43"/>
      <c r="AQ698" s="236" t="str">
        <f>VLOOKUP(Table8[[#This Row],[Instrument]],Def_Targets!$D$73:$E$159,2,FALSE)</f>
        <v>I_RE</v>
      </c>
      <c r="AR698" s="233" t="str">
        <f>VLOOKUP(Table8[[#This Row],[Country Code]],Table29[],3,FALSE)</f>
        <v>Non-Annex I</v>
      </c>
      <c r="AS698" s="233" t="str">
        <f>VLOOKUP(Table8[[#This Row],[Country Code]],Table29[],4,FALSE)</f>
        <v>Africa</v>
      </c>
      <c r="AT698" s="233" t="str">
        <f>VLOOKUP(Table8[[#This Row],[Country Code]],Table29[],5,FALSE)</f>
        <v>Middle-income</v>
      </c>
      <c r="AU698" s="233" t="str">
        <f>VLOOKUP(Table8[[#This Row],[Country Code]],Table29[],6,FALSE)</f>
        <v>no</v>
      </c>
      <c r="AV698" s="233" t="str">
        <f>VLOOKUP(Table8[[#This Row],[Country Code]],Table29[],7,FALSE)</f>
        <v>no</v>
      </c>
      <c r="AW698" s="233" t="str">
        <f>VLOOKUP(Table8[[#This Row],[Country Code]],Table29[],8,FALSE)</f>
        <v>non-OECD</v>
      </c>
      <c r="AX698" s="233" t="str">
        <f>VLOOKUP(Table8[[#This Row],[Country Code]],Table29[],9,FALSE)</f>
        <v>no</v>
      </c>
      <c r="AY698" s="233" t="str">
        <f>VLOOKUP(Table8[[#This Row],[Country Code]],Table29[],10,FALSE)</f>
        <v>MENA</v>
      </c>
      <c r="AZ698" s="235">
        <f>VLOOKUP(Table8[[#This Row],[Country Code]],Table29[],23,FALSE)</f>
        <v>335.96804878175999</v>
      </c>
      <c r="BA698" s="235">
        <f>VLOOKUP(Table8[[#This Row],[Country Code]],Table29[],24,FALSE)</f>
        <v>53.140796953162749</v>
      </c>
      <c r="BB698" s="320"/>
      <c r="BC698" s="320"/>
    </row>
    <row r="699" spans="1:55" ht="75" hidden="1" x14ac:dyDescent="0.25">
      <c r="A699" s="373">
        <v>39441</v>
      </c>
      <c r="B699" s="233" t="str">
        <f>VLOOKUP(Table8[[#This Row],[Document ID]],Table1[],2,FALSE)</f>
        <v>EGY</v>
      </c>
      <c r="C699" s="233" t="str">
        <f>VLOOKUP(Table8[[#This Row],[Document ID]],Table1[],3,FALSE)</f>
        <v>Egypt</v>
      </c>
      <c r="D699" s="243" t="str">
        <f>VLOOKUP(Table8[[#This Row],[Document ID]],Table1[],5,FALSE)</f>
        <v>NDC</v>
      </c>
      <c r="E699" s="233" t="str">
        <f>VLOOKUP(Table8[[#This Row],[Document ID]],Table1[],7,FALSE)</f>
        <v>First NDC updated</v>
      </c>
      <c r="F699" s="233" t="str">
        <f>VLOOKUP(Table8[[#This Row],[Document ID]],Table1[],8,FALSE)</f>
        <v>NDC 1.2</v>
      </c>
      <c r="G699" s="233" t="str">
        <f>VLOOKUP(Table8[[#This Row],[Document ID]],Table1[],10,FALSE)</f>
        <v>Active</v>
      </c>
      <c r="H699" s="43" t="s">
        <v>2350</v>
      </c>
      <c r="I699" s="43" t="s">
        <v>2456</v>
      </c>
      <c r="J699" s="44" t="s">
        <v>2466</v>
      </c>
      <c r="K699" s="44" t="s">
        <v>3009</v>
      </c>
      <c r="L699" s="44" t="s">
        <v>2347</v>
      </c>
      <c r="M699" s="43">
        <v>10</v>
      </c>
      <c r="N699" s="113"/>
      <c r="O699" s="113"/>
      <c r="P699" s="113"/>
      <c r="Q699" s="113"/>
      <c r="R699" s="113"/>
      <c r="S699" s="113"/>
      <c r="T699" s="113"/>
      <c r="U699" s="113"/>
      <c r="V699" s="113"/>
      <c r="W699" s="113"/>
      <c r="X699" s="113"/>
      <c r="Y699" s="113"/>
      <c r="Z699" s="113"/>
      <c r="AA699" s="113"/>
      <c r="AB699" s="113"/>
      <c r="AC699" s="113" t="s">
        <v>1113</v>
      </c>
      <c r="AD699" s="113"/>
      <c r="AE699" s="113"/>
      <c r="AF699" s="113"/>
      <c r="AG699" s="113"/>
      <c r="AH699" s="113"/>
      <c r="AI699" s="113"/>
      <c r="AJ699" s="113"/>
      <c r="AK699" s="113"/>
      <c r="AL699" s="113" t="s">
        <v>1113</v>
      </c>
      <c r="AM699" s="113"/>
      <c r="AN699" s="113"/>
      <c r="AO699" s="43" t="s">
        <v>2348</v>
      </c>
      <c r="AP699" s="43"/>
      <c r="AQ699" s="236" t="str">
        <f>VLOOKUP(Table8[[#This Row],[Instrument]],Def_Targets!$D$73:$E$159,2,FALSE)</f>
        <v>S_Infraexpansion</v>
      </c>
      <c r="AR699" s="233" t="str">
        <f>VLOOKUP(Table8[[#This Row],[Country Code]],Table29[],3,FALSE)</f>
        <v>Non-Annex I</v>
      </c>
      <c r="AS699" s="233" t="str">
        <f>VLOOKUP(Table8[[#This Row],[Country Code]],Table29[],4,FALSE)</f>
        <v>Africa</v>
      </c>
      <c r="AT699" s="233" t="str">
        <f>VLOOKUP(Table8[[#This Row],[Country Code]],Table29[],5,FALSE)</f>
        <v>Middle-income</v>
      </c>
      <c r="AU699" s="233" t="str">
        <f>VLOOKUP(Table8[[#This Row],[Country Code]],Table29[],6,FALSE)</f>
        <v>no</v>
      </c>
      <c r="AV699" s="233" t="str">
        <f>VLOOKUP(Table8[[#This Row],[Country Code]],Table29[],7,FALSE)</f>
        <v>no</v>
      </c>
      <c r="AW699" s="233" t="str">
        <f>VLOOKUP(Table8[[#This Row],[Country Code]],Table29[],8,FALSE)</f>
        <v>non-OECD</v>
      </c>
      <c r="AX699" s="233" t="str">
        <f>VLOOKUP(Table8[[#This Row],[Country Code]],Table29[],9,FALSE)</f>
        <v>no</v>
      </c>
      <c r="AY699" s="233" t="str">
        <f>VLOOKUP(Table8[[#This Row],[Country Code]],Table29[],10,FALSE)</f>
        <v>MENA</v>
      </c>
      <c r="AZ699" s="235">
        <f>VLOOKUP(Table8[[#This Row],[Country Code]],Table29[],23,FALSE)</f>
        <v>335.96804878175999</v>
      </c>
      <c r="BA699" s="235">
        <f>VLOOKUP(Table8[[#This Row],[Country Code]],Table29[],24,FALSE)</f>
        <v>53.140796953162749</v>
      </c>
      <c r="BB699" s="320"/>
      <c r="BC699" s="320"/>
    </row>
    <row r="700" spans="1:55" ht="60" hidden="1" x14ac:dyDescent="0.25">
      <c r="A700" s="373">
        <v>39441</v>
      </c>
      <c r="B700" s="233" t="str">
        <f>VLOOKUP(Table8[[#This Row],[Document ID]],Table1[],2,FALSE)</f>
        <v>EGY</v>
      </c>
      <c r="C700" s="233" t="str">
        <f>VLOOKUP(Table8[[#This Row],[Document ID]],Table1[],3,FALSE)</f>
        <v>Egypt</v>
      </c>
      <c r="D700" s="243" t="str">
        <f>VLOOKUP(Table8[[#This Row],[Document ID]],Table1[],5,FALSE)</f>
        <v>NDC</v>
      </c>
      <c r="E700" s="233" t="str">
        <f>VLOOKUP(Table8[[#This Row],[Document ID]],Table1[],7,FALSE)</f>
        <v>First NDC updated</v>
      </c>
      <c r="F700" s="233" t="str">
        <f>VLOOKUP(Table8[[#This Row],[Document ID]],Table1[],8,FALSE)</f>
        <v>NDC 1.2</v>
      </c>
      <c r="G700" s="233" t="str">
        <f>VLOOKUP(Table8[[#This Row],[Document ID]],Table1[],10,FALSE)</f>
        <v>Active</v>
      </c>
      <c r="H700" s="43" t="s">
        <v>2343</v>
      </c>
      <c r="I700" s="43" t="s">
        <v>2344</v>
      </c>
      <c r="J700" s="44" t="s">
        <v>2405</v>
      </c>
      <c r="K700" s="44" t="s">
        <v>3010</v>
      </c>
      <c r="L700" s="44" t="s">
        <v>2347</v>
      </c>
      <c r="M700" s="43">
        <v>10</v>
      </c>
      <c r="N700" s="113"/>
      <c r="O700" s="113"/>
      <c r="P700" s="113"/>
      <c r="Q700" s="113"/>
      <c r="R700" s="113"/>
      <c r="S700" s="113"/>
      <c r="T700" s="113"/>
      <c r="U700" s="113"/>
      <c r="V700" s="113"/>
      <c r="W700" s="113"/>
      <c r="X700" s="113"/>
      <c r="Y700" s="113" t="s">
        <v>1113</v>
      </c>
      <c r="Z700" s="113"/>
      <c r="AA700" s="113"/>
      <c r="AB700" s="113"/>
      <c r="AC700" s="113" t="s">
        <v>1113</v>
      </c>
      <c r="AD700" s="113"/>
      <c r="AE700" s="113"/>
      <c r="AF700" s="113"/>
      <c r="AG700" s="113"/>
      <c r="AH700" s="113"/>
      <c r="AI700" s="113"/>
      <c r="AJ700" s="113"/>
      <c r="AK700" s="113" t="s">
        <v>1113</v>
      </c>
      <c r="AL700" s="113"/>
      <c r="AM700" s="113"/>
      <c r="AN700" s="113"/>
      <c r="AO700" s="43" t="s">
        <v>2348</v>
      </c>
      <c r="AP700" s="43"/>
      <c r="AQ700" s="236" t="str">
        <f>VLOOKUP(Table8[[#This Row],[Instrument]],Def_Targets!$D$73:$E$159,2,FALSE)</f>
        <v>S_PTIntegration</v>
      </c>
      <c r="AR700" s="233" t="str">
        <f>VLOOKUP(Table8[[#This Row],[Country Code]],Table29[],3,FALSE)</f>
        <v>Non-Annex I</v>
      </c>
      <c r="AS700" s="233" t="str">
        <f>VLOOKUP(Table8[[#This Row],[Country Code]],Table29[],4,FALSE)</f>
        <v>Africa</v>
      </c>
      <c r="AT700" s="233" t="str">
        <f>VLOOKUP(Table8[[#This Row],[Country Code]],Table29[],5,FALSE)</f>
        <v>Middle-income</v>
      </c>
      <c r="AU700" s="233" t="str">
        <f>VLOOKUP(Table8[[#This Row],[Country Code]],Table29[],6,FALSE)</f>
        <v>no</v>
      </c>
      <c r="AV700" s="233" t="str">
        <f>VLOOKUP(Table8[[#This Row],[Country Code]],Table29[],7,FALSE)</f>
        <v>no</v>
      </c>
      <c r="AW700" s="233" t="str">
        <f>VLOOKUP(Table8[[#This Row],[Country Code]],Table29[],8,FALSE)</f>
        <v>non-OECD</v>
      </c>
      <c r="AX700" s="233" t="str">
        <f>VLOOKUP(Table8[[#This Row],[Country Code]],Table29[],9,FALSE)</f>
        <v>no</v>
      </c>
      <c r="AY700" s="233" t="str">
        <f>VLOOKUP(Table8[[#This Row],[Country Code]],Table29[],10,FALSE)</f>
        <v>MENA</v>
      </c>
      <c r="AZ700" s="235">
        <f>VLOOKUP(Table8[[#This Row],[Country Code]],Table29[],23,FALSE)</f>
        <v>335.96804878175999</v>
      </c>
      <c r="BA700" s="235">
        <f>VLOOKUP(Table8[[#This Row],[Country Code]],Table29[],24,FALSE)</f>
        <v>53.140796953162749</v>
      </c>
      <c r="BB700" s="320"/>
      <c r="BC700" s="320"/>
    </row>
    <row r="701" spans="1:55" ht="30" hidden="1" x14ac:dyDescent="0.25">
      <c r="A701" s="373">
        <v>39441</v>
      </c>
      <c r="B701" s="233" t="str">
        <f>VLOOKUP(Table8[[#This Row],[Document ID]],Table1[],2,FALSE)</f>
        <v>EGY</v>
      </c>
      <c r="C701" s="233" t="str">
        <f>VLOOKUP(Table8[[#This Row],[Document ID]],Table1[],3,FALSE)</f>
        <v>Egypt</v>
      </c>
      <c r="D701" s="243" t="str">
        <f>VLOOKUP(Table8[[#This Row],[Document ID]],Table1[],5,FALSE)</f>
        <v>NDC</v>
      </c>
      <c r="E701" s="233" t="str">
        <f>VLOOKUP(Table8[[#This Row],[Document ID]],Table1[],7,FALSE)</f>
        <v>First NDC updated</v>
      </c>
      <c r="F701" s="233" t="str">
        <f>VLOOKUP(Table8[[#This Row],[Document ID]],Table1[],8,FALSE)</f>
        <v>NDC 1.2</v>
      </c>
      <c r="G701" s="233" t="str">
        <f>VLOOKUP(Table8[[#This Row],[Document ID]],Table1[],10,FALSE)</f>
        <v>Active</v>
      </c>
      <c r="H701" s="43" t="s">
        <v>2343</v>
      </c>
      <c r="I701" s="43" t="s">
        <v>2429</v>
      </c>
      <c r="J701" s="44" t="s">
        <v>2472</v>
      </c>
      <c r="K701" s="44" t="s">
        <v>3011</v>
      </c>
      <c r="L701" s="44" t="s">
        <v>2333</v>
      </c>
      <c r="M701" s="43">
        <v>10</v>
      </c>
      <c r="N701" s="113"/>
      <c r="O701" s="113"/>
      <c r="P701" s="113"/>
      <c r="Q701" s="113"/>
      <c r="R701" s="113"/>
      <c r="S701" s="113"/>
      <c r="T701" s="113"/>
      <c r="U701" s="113"/>
      <c r="V701" s="113"/>
      <c r="W701" s="113"/>
      <c r="X701" s="113"/>
      <c r="Y701" s="113" t="s">
        <v>1113</v>
      </c>
      <c r="Z701" s="113"/>
      <c r="AA701" s="113"/>
      <c r="AB701" s="113"/>
      <c r="AC701" s="113"/>
      <c r="AD701" s="113"/>
      <c r="AE701" s="113"/>
      <c r="AF701" s="113"/>
      <c r="AG701" s="113"/>
      <c r="AH701" s="113"/>
      <c r="AI701" s="113"/>
      <c r="AJ701" s="113"/>
      <c r="AK701" s="113" t="s">
        <v>1113</v>
      </c>
      <c r="AL701" s="113"/>
      <c r="AM701" s="113"/>
      <c r="AN701" s="113"/>
      <c r="AO701" s="43" t="s">
        <v>2348</v>
      </c>
      <c r="AP701" s="43"/>
      <c r="AQ701" s="236" t="str">
        <f>VLOOKUP(Table8[[#This Row],[Instrument]],Def_Targets!$D$73:$E$159,2,FALSE)</f>
        <v>I_Other</v>
      </c>
      <c r="AR701" s="233" t="str">
        <f>VLOOKUP(Table8[[#This Row],[Country Code]],Table29[],3,FALSE)</f>
        <v>Non-Annex I</v>
      </c>
      <c r="AS701" s="233" t="str">
        <f>VLOOKUP(Table8[[#This Row],[Country Code]],Table29[],4,FALSE)</f>
        <v>Africa</v>
      </c>
      <c r="AT701" s="233" t="str">
        <f>VLOOKUP(Table8[[#This Row],[Country Code]],Table29[],5,FALSE)</f>
        <v>Middle-income</v>
      </c>
      <c r="AU701" s="233" t="str">
        <f>VLOOKUP(Table8[[#This Row],[Country Code]],Table29[],6,FALSE)</f>
        <v>no</v>
      </c>
      <c r="AV701" s="233" t="str">
        <f>VLOOKUP(Table8[[#This Row],[Country Code]],Table29[],7,FALSE)</f>
        <v>no</v>
      </c>
      <c r="AW701" s="233" t="str">
        <f>VLOOKUP(Table8[[#This Row],[Country Code]],Table29[],8,FALSE)</f>
        <v>non-OECD</v>
      </c>
      <c r="AX701" s="233" t="str">
        <f>VLOOKUP(Table8[[#This Row],[Country Code]],Table29[],9,FALSE)</f>
        <v>no</v>
      </c>
      <c r="AY701" s="233" t="str">
        <f>VLOOKUP(Table8[[#This Row],[Country Code]],Table29[],10,FALSE)</f>
        <v>MENA</v>
      </c>
      <c r="AZ701" s="235">
        <f>VLOOKUP(Table8[[#This Row],[Country Code]],Table29[],23,FALSE)</f>
        <v>335.96804878175999</v>
      </c>
      <c r="BA701" s="235">
        <f>VLOOKUP(Table8[[#This Row],[Country Code]],Table29[],24,FALSE)</f>
        <v>53.140796953162749</v>
      </c>
      <c r="BB701" s="320"/>
      <c r="BC701" s="320"/>
    </row>
    <row r="702" spans="1:55" ht="105" hidden="1" x14ac:dyDescent="0.25">
      <c r="A702" s="373">
        <v>39441</v>
      </c>
      <c r="B702" s="233" t="str">
        <f>VLOOKUP(Table8[[#This Row],[Document ID]],Table1[],2,FALSE)</f>
        <v>EGY</v>
      </c>
      <c r="C702" s="233" t="str">
        <f>VLOOKUP(Table8[[#This Row],[Document ID]],Table1[],3,FALSE)</f>
        <v>Egypt</v>
      </c>
      <c r="D702" s="243" t="str">
        <f>VLOOKUP(Table8[[#This Row],[Document ID]],Table1[],5,FALSE)</f>
        <v>NDC</v>
      </c>
      <c r="E702" s="233" t="str">
        <f>VLOOKUP(Table8[[#This Row],[Document ID]],Table1[],7,FALSE)</f>
        <v>First NDC updated</v>
      </c>
      <c r="F702" s="233" t="str">
        <f>VLOOKUP(Table8[[#This Row],[Document ID]],Table1[],8,FALSE)</f>
        <v>NDC 1.2</v>
      </c>
      <c r="G702" s="233" t="str">
        <f>VLOOKUP(Table8[[#This Row],[Document ID]],Table1[],10,FALSE)</f>
        <v>Active</v>
      </c>
      <c r="H702" s="43" t="s">
        <v>2343</v>
      </c>
      <c r="I702" s="43" t="s">
        <v>2386</v>
      </c>
      <c r="J702" s="44" t="s">
        <v>2397</v>
      </c>
      <c r="K702" s="44" t="s">
        <v>3012</v>
      </c>
      <c r="L702" s="44" t="s">
        <v>2333</v>
      </c>
      <c r="M702" s="43">
        <v>11</v>
      </c>
      <c r="N702" s="113"/>
      <c r="O702" s="113"/>
      <c r="P702" s="113"/>
      <c r="Q702" s="113"/>
      <c r="R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44" t="s">
        <v>2334</v>
      </c>
      <c r="AP702" s="43"/>
      <c r="AQ702" s="236" t="str">
        <f>VLOOKUP(Table8[[#This Row],[Instrument]],Def_Targets!$D$73:$E$159,2,FALSE)</f>
        <v>A_Finance</v>
      </c>
      <c r="AR702" s="233" t="str">
        <f>VLOOKUP(Table8[[#This Row],[Country Code]],Table29[],3,FALSE)</f>
        <v>Non-Annex I</v>
      </c>
      <c r="AS702" s="233" t="str">
        <f>VLOOKUP(Table8[[#This Row],[Country Code]],Table29[],4,FALSE)</f>
        <v>Africa</v>
      </c>
      <c r="AT702" s="233" t="str">
        <f>VLOOKUP(Table8[[#This Row],[Country Code]],Table29[],5,FALSE)</f>
        <v>Middle-income</v>
      </c>
      <c r="AU702" s="233" t="str">
        <f>VLOOKUP(Table8[[#This Row],[Country Code]],Table29[],6,FALSE)</f>
        <v>no</v>
      </c>
      <c r="AV702" s="233" t="str">
        <f>VLOOKUP(Table8[[#This Row],[Country Code]],Table29[],7,FALSE)</f>
        <v>no</v>
      </c>
      <c r="AW702" s="233" t="str">
        <f>VLOOKUP(Table8[[#This Row],[Country Code]],Table29[],8,FALSE)</f>
        <v>non-OECD</v>
      </c>
      <c r="AX702" s="233" t="str">
        <f>VLOOKUP(Table8[[#This Row],[Country Code]],Table29[],9,FALSE)</f>
        <v>no</v>
      </c>
      <c r="AY702" s="233" t="str">
        <f>VLOOKUP(Table8[[#This Row],[Country Code]],Table29[],10,FALSE)</f>
        <v>MENA</v>
      </c>
      <c r="AZ702" s="235">
        <f>VLOOKUP(Table8[[#This Row],[Country Code]],Table29[],23,FALSE)</f>
        <v>335.96804878175999</v>
      </c>
      <c r="BA702" s="235">
        <f>VLOOKUP(Table8[[#This Row],[Country Code]],Table29[],24,FALSE)</f>
        <v>53.140796953162749</v>
      </c>
      <c r="BB702" s="320"/>
      <c r="BC702" s="320"/>
    </row>
    <row r="703" spans="1:55" ht="210" hidden="1" x14ac:dyDescent="0.25">
      <c r="A703" s="373">
        <v>39441</v>
      </c>
      <c r="B703" s="233" t="str">
        <f>VLOOKUP(Table8[[#This Row],[Document ID]],Table1[],2,FALSE)</f>
        <v>EGY</v>
      </c>
      <c r="C703" s="233" t="str">
        <f>VLOOKUP(Table8[[#This Row],[Document ID]],Table1[],3,FALSE)</f>
        <v>Egypt</v>
      </c>
      <c r="D703" s="243" t="str">
        <f>VLOOKUP(Table8[[#This Row],[Document ID]],Table1[],5,FALSE)</f>
        <v>NDC</v>
      </c>
      <c r="E703" s="233" t="str">
        <f>VLOOKUP(Table8[[#This Row],[Document ID]],Table1[],7,FALSE)</f>
        <v>First NDC updated</v>
      </c>
      <c r="F703" s="233" t="str">
        <f>VLOOKUP(Table8[[#This Row],[Document ID]],Table1[],8,FALSE)</f>
        <v>NDC 1.2</v>
      </c>
      <c r="G703" s="233" t="str">
        <f>VLOOKUP(Table8[[#This Row],[Document ID]],Table1[],10,FALSE)</f>
        <v>Active</v>
      </c>
      <c r="H703" s="43" t="s">
        <v>2350</v>
      </c>
      <c r="I703" s="43" t="s">
        <v>2456</v>
      </c>
      <c r="J703" s="44" t="s">
        <v>2466</v>
      </c>
      <c r="K703" s="44" t="s">
        <v>3013</v>
      </c>
      <c r="L703" s="44" t="s">
        <v>2347</v>
      </c>
      <c r="M703" s="43" t="s">
        <v>3014</v>
      </c>
      <c r="N703" s="113"/>
      <c r="O703" s="113"/>
      <c r="P703" s="113"/>
      <c r="Q703" s="113"/>
      <c r="R703" s="113"/>
      <c r="S703" s="113"/>
      <c r="T703" s="113"/>
      <c r="U703" s="113"/>
      <c r="V703" s="113"/>
      <c r="W703" s="113"/>
      <c r="X703" s="113"/>
      <c r="Y703" s="113"/>
      <c r="Z703" s="113" t="s">
        <v>1113</v>
      </c>
      <c r="AA703" s="113"/>
      <c r="AB703" s="113"/>
      <c r="AC703" s="113" t="s">
        <v>1113</v>
      </c>
      <c r="AD703" s="113"/>
      <c r="AE703" s="113"/>
      <c r="AF703" s="113"/>
      <c r="AG703" s="113"/>
      <c r="AH703" s="113"/>
      <c r="AI703" s="113"/>
      <c r="AJ703" s="113"/>
      <c r="AK703" s="113"/>
      <c r="AL703" s="113" t="s">
        <v>1113</v>
      </c>
      <c r="AM703" s="113"/>
      <c r="AN703" s="113" t="s">
        <v>1113</v>
      </c>
      <c r="AO703" s="43" t="s">
        <v>2477</v>
      </c>
      <c r="AP703" s="44"/>
      <c r="AQ703" s="236" t="str">
        <f>VLOOKUP(Table8[[#This Row],[Instrument]],Def_Targets!$D$73:$E$159,2,FALSE)</f>
        <v>S_Infraexpansion</v>
      </c>
      <c r="AR703" s="233" t="str">
        <f>VLOOKUP(Table8[[#This Row],[Country Code]],Table29[],3,FALSE)</f>
        <v>Non-Annex I</v>
      </c>
      <c r="AS703" s="233" t="str">
        <f>VLOOKUP(Table8[[#This Row],[Country Code]],Table29[],4,FALSE)</f>
        <v>Africa</v>
      </c>
      <c r="AT703" s="233" t="str">
        <f>VLOOKUP(Table8[[#This Row],[Country Code]],Table29[],5,FALSE)</f>
        <v>Middle-income</v>
      </c>
      <c r="AU703" s="233" t="str">
        <f>VLOOKUP(Table8[[#This Row],[Country Code]],Table29[],6,FALSE)</f>
        <v>no</v>
      </c>
      <c r="AV703" s="233" t="str">
        <f>VLOOKUP(Table8[[#This Row],[Country Code]],Table29[],7,FALSE)</f>
        <v>no</v>
      </c>
      <c r="AW703" s="233" t="str">
        <f>VLOOKUP(Table8[[#This Row],[Country Code]],Table29[],8,FALSE)</f>
        <v>non-OECD</v>
      </c>
      <c r="AX703" s="233" t="str">
        <f>VLOOKUP(Table8[[#This Row],[Country Code]],Table29[],9,FALSE)</f>
        <v>no</v>
      </c>
      <c r="AY703" s="233" t="str">
        <f>VLOOKUP(Table8[[#This Row],[Country Code]],Table29[],10,FALSE)</f>
        <v>MENA</v>
      </c>
      <c r="AZ703" s="235">
        <f>VLOOKUP(Table8[[#This Row],[Country Code]],Table29[],23,FALSE)</f>
        <v>335.96804878175999</v>
      </c>
      <c r="BA703" s="235">
        <f>VLOOKUP(Table8[[#This Row],[Country Code]],Table29[],24,FALSE)</f>
        <v>53.140796953162749</v>
      </c>
      <c r="BB703" s="320"/>
      <c r="BC703" s="320"/>
    </row>
    <row r="704" spans="1:55" ht="105" hidden="1" x14ac:dyDescent="0.25">
      <c r="A704" s="373">
        <v>39441</v>
      </c>
      <c r="B704" s="233" t="str">
        <f>VLOOKUP(Table8[[#This Row],[Document ID]],Table1[],2,FALSE)</f>
        <v>EGY</v>
      </c>
      <c r="C704" s="233" t="str">
        <f>VLOOKUP(Table8[[#This Row],[Document ID]],Table1[],3,FALSE)</f>
        <v>Egypt</v>
      </c>
      <c r="D704" s="243" t="str">
        <f>VLOOKUP(Table8[[#This Row],[Document ID]],Table1[],5,FALSE)</f>
        <v>NDC</v>
      </c>
      <c r="E704" s="233" t="str">
        <f>VLOOKUP(Table8[[#This Row],[Document ID]],Table1[],7,FALSE)</f>
        <v>First NDC updated</v>
      </c>
      <c r="F704" s="233" t="str">
        <f>VLOOKUP(Table8[[#This Row],[Document ID]],Table1[],8,FALSE)</f>
        <v>NDC 1.2</v>
      </c>
      <c r="G704" s="233" t="str">
        <f>VLOOKUP(Table8[[#This Row],[Document ID]],Table1[],10,FALSE)</f>
        <v>Active</v>
      </c>
      <c r="H704" s="43" t="s">
        <v>2350</v>
      </c>
      <c r="I704" s="43" t="s">
        <v>2456</v>
      </c>
      <c r="J704" s="44" t="s">
        <v>2466</v>
      </c>
      <c r="K704" s="44" t="s">
        <v>3015</v>
      </c>
      <c r="L704" s="44" t="s">
        <v>2347</v>
      </c>
      <c r="M704" s="43">
        <v>17</v>
      </c>
      <c r="N704" s="113"/>
      <c r="O704" s="113"/>
      <c r="P704" s="113"/>
      <c r="Q704" s="113"/>
      <c r="R704" s="113"/>
      <c r="S704" s="113"/>
      <c r="T704" s="113"/>
      <c r="U704" s="113"/>
      <c r="V704" s="113"/>
      <c r="W704" s="113"/>
      <c r="X704" s="113"/>
      <c r="Y704" s="113"/>
      <c r="Z704" s="113" t="s">
        <v>1113</v>
      </c>
      <c r="AA704" s="113"/>
      <c r="AB704" s="113" t="s">
        <v>1113</v>
      </c>
      <c r="AC704" s="113"/>
      <c r="AD704" s="113"/>
      <c r="AE704" s="113"/>
      <c r="AF704" s="113"/>
      <c r="AG704" s="113"/>
      <c r="AH704" s="113"/>
      <c r="AI704" s="113"/>
      <c r="AJ704" s="113"/>
      <c r="AK704" s="113"/>
      <c r="AL704" s="113"/>
      <c r="AM704" s="113"/>
      <c r="AN704" s="113" t="s">
        <v>1113</v>
      </c>
      <c r="AO704" s="43" t="s">
        <v>2477</v>
      </c>
      <c r="AP704" s="44"/>
      <c r="AQ704" s="236" t="str">
        <f>VLOOKUP(Table8[[#This Row],[Instrument]],Def_Targets!$D$73:$E$159,2,FALSE)</f>
        <v>S_Infraexpansion</v>
      </c>
      <c r="AR704" s="233" t="str">
        <f>VLOOKUP(Table8[[#This Row],[Country Code]],Table29[],3,FALSE)</f>
        <v>Non-Annex I</v>
      </c>
      <c r="AS704" s="233" t="str">
        <f>VLOOKUP(Table8[[#This Row],[Country Code]],Table29[],4,FALSE)</f>
        <v>Africa</v>
      </c>
      <c r="AT704" s="233" t="str">
        <f>VLOOKUP(Table8[[#This Row],[Country Code]],Table29[],5,FALSE)</f>
        <v>Middle-income</v>
      </c>
      <c r="AU704" s="233" t="str">
        <f>VLOOKUP(Table8[[#This Row],[Country Code]],Table29[],6,FALSE)</f>
        <v>no</v>
      </c>
      <c r="AV704" s="233" t="str">
        <f>VLOOKUP(Table8[[#This Row],[Country Code]],Table29[],7,FALSE)</f>
        <v>no</v>
      </c>
      <c r="AW704" s="233" t="str">
        <f>VLOOKUP(Table8[[#This Row],[Country Code]],Table29[],8,FALSE)</f>
        <v>non-OECD</v>
      </c>
      <c r="AX704" s="233" t="str">
        <f>VLOOKUP(Table8[[#This Row],[Country Code]],Table29[],9,FALSE)</f>
        <v>no</v>
      </c>
      <c r="AY704" s="233" t="str">
        <f>VLOOKUP(Table8[[#This Row],[Country Code]],Table29[],10,FALSE)</f>
        <v>MENA</v>
      </c>
      <c r="AZ704" s="235">
        <f>VLOOKUP(Table8[[#This Row],[Country Code]],Table29[],23,FALSE)</f>
        <v>335.96804878175999</v>
      </c>
      <c r="BA704" s="235">
        <f>VLOOKUP(Table8[[#This Row],[Country Code]],Table29[],24,FALSE)</f>
        <v>53.140796953162749</v>
      </c>
      <c r="BB704" s="320"/>
      <c r="BC704" s="320"/>
    </row>
    <row r="705" spans="1:55" hidden="1" x14ac:dyDescent="0.25">
      <c r="A705" s="373">
        <v>39441</v>
      </c>
      <c r="B705" s="233" t="str">
        <f>VLOOKUP(Table8[[#This Row],[Document ID]],Table1[],2,FALSE)</f>
        <v>EGY</v>
      </c>
      <c r="C705" s="233" t="str">
        <f>VLOOKUP(Table8[[#This Row],[Document ID]],Table1[],3,FALSE)</f>
        <v>Egypt</v>
      </c>
      <c r="D705" s="243" t="str">
        <f>VLOOKUP(Table8[[#This Row],[Document ID]],Table1[],5,FALSE)</f>
        <v>NDC</v>
      </c>
      <c r="E705" s="233" t="str">
        <f>VLOOKUP(Table8[[#This Row],[Document ID]],Table1[],7,FALSE)</f>
        <v>First NDC updated</v>
      </c>
      <c r="F705" s="233" t="str">
        <f>VLOOKUP(Table8[[#This Row],[Document ID]],Table1[],8,FALSE)</f>
        <v>NDC 1.2</v>
      </c>
      <c r="G705" s="233" t="str">
        <f>VLOOKUP(Table8[[#This Row],[Document ID]],Table1[],10,FALSE)</f>
        <v>Active</v>
      </c>
      <c r="H705" s="44" t="s">
        <v>2329</v>
      </c>
      <c r="I705" s="44" t="s">
        <v>2330</v>
      </c>
      <c r="J705" s="44" t="s">
        <v>2363</v>
      </c>
      <c r="K705" s="44" t="s">
        <v>3016</v>
      </c>
      <c r="L705" s="44" t="s">
        <v>2333</v>
      </c>
      <c r="M705" s="43">
        <v>17</v>
      </c>
      <c r="N705" s="113"/>
      <c r="O705" s="113"/>
      <c r="P705" s="113"/>
      <c r="Q705" s="113"/>
      <c r="R705" s="113"/>
      <c r="S705" s="113"/>
      <c r="T705" s="113"/>
      <c r="U705" s="113"/>
      <c r="V705" s="113"/>
      <c r="W705" s="113"/>
      <c r="X705" s="113"/>
      <c r="Y705" s="113" t="s">
        <v>1113</v>
      </c>
      <c r="Z705" s="113"/>
      <c r="AA705" s="113"/>
      <c r="AB705" s="113"/>
      <c r="AC705" s="113"/>
      <c r="AD705" s="113"/>
      <c r="AE705" s="113"/>
      <c r="AF705" s="113"/>
      <c r="AG705" s="113"/>
      <c r="AH705" s="113"/>
      <c r="AI705" s="113"/>
      <c r="AJ705" s="113"/>
      <c r="AK705" s="113" t="s">
        <v>1113</v>
      </c>
      <c r="AL705" s="113"/>
      <c r="AM705" s="113"/>
      <c r="AN705" s="113"/>
      <c r="AO705" s="43" t="s">
        <v>2348</v>
      </c>
      <c r="AP705" s="43"/>
      <c r="AQ705" s="236" t="str">
        <f>VLOOKUP(Table8[[#This Row],[Instrument]],Def_Targets!$D$73:$E$159,2,FALSE)</f>
        <v>I_LPGCNGLNG</v>
      </c>
      <c r="AR705" s="233" t="str">
        <f>VLOOKUP(Table8[[#This Row],[Country Code]],Table29[],3,FALSE)</f>
        <v>Non-Annex I</v>
      </c>
      <c r="AS705" s="233" t="str">
        <f>VLOOKUP(Table8[[#This Row],[Country Code]],Table29[],4,FALSE)</f>
        <v>Africa</v>
      </c>
      <c r="AT705" s="233" t="str">
        <f>VLOOKUP(Table8[[#This Row],[Country Code]],Table29[],5,FALSE)</f>
        <v>Middle-income</v>
      </c>
      <c r="AU705" s="233" t="str">
        <f>VLOOKUP(Table8[[#This Row],[Country Code]],Table29[],6,FALSE)</f>
        <v>no</v>
      </c>
      <c r="AV705" s="233" t="str">
        <f>VLOOKUP(Table8[[#This Row],[Country Code]],Table29[],7,FALSE)</f>
        <v>no</v>
      </c>
      <c r="AW705" s="233" t="str">
        <f>VLOOKUP(Table8[[#This Row],[Country Code]],Table29[],8,FALSE)</f>
        <v>non-OECD</v>
      </c>
      <c r="AX705" s="233" t="str">
        <f>VLOOKUP(Table8[[#This Row],[Country Code]],Table29[],9,FALSE)</f>
        <v>no</v>
      </c>
      <c r="AY705" s="233" t="str">
        <f>VLOOKUP(Table8[[#This Row],[Country Code]],Table29[],10,FALSE)</f>
        <v>MENA</v>
      </c>
      <c r="AZ705" s="235">
        <f>VLOOKUP(Table8[[#This Row],[Country Code]],Table29[],23,FALSE)</f>
        <v>335.96804878175999</v>
      </c>
      <c r="BA705" s="235">
        <f>VLOOKUP(Table8[[#This Row],[Country Code]],Table29[],24,FALSE)</f>
        <v>53.140796953162749</v>
      </c>
      <c r="BB705" s="320"/>
      <c r="BC705" s="320"/>
    </row>
    <row r="706" spans="1:55" hidden="1" x14ac:dyDescent="0.25">
      <c r="A706" s="373">
        <v>39441</v>
      </c>
      <c r="B706" s="233" t="str">
        <f>VLOOKUP(Table8[[#This Row],[Document ID]],Table1[],2,FALSE)</f>
        <v>EGY</v>
      </c>
      <c r="C706" s="233" t="str">
        <f>VLOOKUP(Table8[[#This Row],[Document ID]],Table1[],3,FALSE)</f>
        <v>Egypt</v>
      </c>
      <c r="D706" s="243" t="str">
        <f>VLOOKUP(Table8[[#This Row],[Document ID]],Table1[],5,FALSE)</f>
        <v>NDC</v>
      </c>
      <c r="E706" s="233" t="str">
        <f>VLOOKUP(Table8[[#This Row],[Document ID]],Table1[],7,FALSE)</f>
        <v>First NDC updated</v>
      </c>
      <c r="F706" s="233" t="str">
        <f>VLOOKUP(Table8[[#This Row],[Document ID]],Table1[],8,FALSE)</f>
        <v>NDC 1.2</v>
      </c>
      <c r="G706" s="233" t="str">
        <f>VLOOKUP(Table8[[#This Row],[Document ID]],Table1[],10,FALSE)</f>
        <v>Active</v>
      </c>
      <c r="H706" s="43" t="s">
        <v>2343</v>
      </c>
      <c r="I706" s="43" t="s">
        <v>2344</v>
      </c>
      <c r="J706" s="44" t="s">
        <v>2549</v>
      </c>
      <c r="K706" s="44" t="s">
        <v>3017</v>
      </c>
      <c r="L706" s="44" t="s">
        <v>2347</v>
      </c>
      <c r="M706" s="43">
        <v>17</v>
      </c>
      <c r="N706" s="113"/>
      <c r="O706" s="113"/>
      <c r="P706" s="113"/>
      <c r="Q706" s="113"/>
      <c r="R706" s="113"/>
      <c r="S706" s="113"/>
      <c r="T706" s="113"/>
      <c r="U706" s="113"/>
      <c r="V706" s="113"/>
      <c r="W706" s="113"/>
      <c r="X706" s="113"/>
      <c r="Y706" s="113" t="s">
        <v>1113</v>
      </c>
      <c r="Z706" s="113"/>
      <c r="AA706" s="113"/>
      <c r="AB706" s="113"/>
      <c r="AC706" s="113"/>
      <c r="AD706" s="113"/>
      <c r="AE706" s="113"/>
      <c r="AF706" s="113"/>
      <c r="AG706" s="113"/>
      <c r="AH706" s="113"/>
      <c r="AI706" s="113"/>
      <c r="AJ706" s="113"/>
      <c r="AK706" s="113" t="s">
        <v>1113</v>
      </c>
      <c r="AL706" s="113"/>
      <c r="AM706" s="113"/>
      <c r="AN706" s="113"/>
      <c r="AO706" s="43" t="s">
        <v>2348</v>
      </c>
      <c r="AP706" s="43"/>
      <c r="AQ706" s="236" t="str">
        <f>VLOOKUP(Table8[[#This Row],[Instrument]],Def_Targets!$D$73:$E$159,2,FALSE)</f>
        <v>S_BRT</v>
      </c>
      <c r="AR706" s="233" t="str">
        <f>VLOOKUP(Table8[[#This Row],[Country Code]],Table29[],3,FALSE)</f>
        <v>Non-Annex I</v>
      </c>
      <c r="AS706" s="233" t="str">
        <f>VLOOKUP(Table8[[#This Row],[Country Code]],Table29[],4,FALSE)</f>
        <v>Africa</v>
      </c>
      <c r="AT706" s="233" t="str">
        <f>VLOOKUP(Table8[[#This Row],[Country Code]],Table29[],5,FALSE)</f>
        <v>Middle-income</v>
      </c>
      <c r="AU706" s="233" t="str">
        <f>VLOOKUP(Table8[[#This Row],[Country Code]],Table29[],6,FALSE)</f>
        <v>no</v>
      </c>
      <c r="AV706" s="233" t="str">
        <f>VLOOKUP(Table8[[#This Row],[Country Code]],Table29[],7,FALSE)</f>
        <v>no</v>
      </c>
      <c r="AW706" s="233" t="str">
        <f>VLOOKUP(Table8[[#This Row],[Country Code]],Table29[],8,FALSE)</f>
        <v>non-OECD</v>
      </c>
      <c r="AX706" s="233" t="str">
        <f>VLOOKUP(Table8[[#This Row],[Country Code]],Table29[],9,FALSE)</f>
        <v>no</v>
      </c>
      <c r="AY706" s="233" t="str">
        <f>VLOOKUP(Table8[[#This Row],[Country Code]],Table29[],10,FALSE)</f>
        <v>MENA</v>
      </c>
      <c r="AZ706" s="235">
        <f>VLOOKUP(Table8[[#This Row],[Country Code]],Table29[],23,FALSE)</f>
        <v>335.96804878175999</v>
      </c>
      <c r="BA706" s="235">
        <f>VLOOKUP(Table8[[#This Row],[Country Code]],Table29[],24,FALSE)</f>
        <v>53.140796953162749</v>
      </c>
      <c r="BB706" s="320"/>
      <c r="BC706" s="320"/>
    </row>
    <row r="707" spans="1:55" ht="30" hidden="1" x14ac:dyDescent="0.25">
      <c r="A707" s="373">
        <v>39441</v>
      </c>
      <c r="B707" s="233" t="str">
        <f>VLOOKUP(Table8[[#This Row],[Document ID]],Table1[],2,FALSE)</f>
        <v>EGY</v>
      </c>
      <c r="C707" s="233" t="str">
        <f>VLOOKUP(Table8[[#This Row],[Document ID]],Table1[],3,FALSE)</f>
        <v>Egypt</v>
      </c>
      <c r="D707" s="243" t="str">
        <f>VLOOKUP(Table8[[#This Row],[Document ID]],Table1[],5,FALSE)</f>
        <v>NDC</v>
      </c>
      <c r="E707" s="233" t="str">
        <f>VLOOKUP(Table8[[#This Row],[Document ID]],Table1[],7,FALSE)</f>
        <v>First NDC updated</v>
      </c>
      <c r="F707" s="233" t="str">
        <f>VLOOKUP(Table8[[#This Row],[Document ID]],Table1[],8,FALSE)</f>
        <v>NDC 1.2</v>
      </c>
      <c r="G707" s="233" t="str">
        <f>VLOOKUP(Table8[[#This Row],[Document ID]],Table1[],10,FALSE)</f>
        <v>Active</v>
      </c>
      <c r="H707" s="43" t="s">
        <v>2343</v>
      </c>
      <c r="I707" s="43" t="s">
        <v>2361</v>
      </c>
      <c r="J707" s="44" t="s">
        <v>2362</v>
      </c>
      <c r="K707" s="44" t="s">
        <v>3018</v>
      </c>
      <c r="L707" s="44" t="s">
        <v>2347</v>
      </c>
      <c r="M707" s="43">
        <v>17</v>
      </c>
      <c r="N707" s="113"/>
      <c r="O707" s="113"/>
      <c r="P707" s="113"/>
      <c r="Q707" s="113"/>
      <c r="R707" s="113" t="s">
        <v>1113</v>
      </c>
      <c r="S707" s="113"/>
      <c r="T707" s="113"/>
      <c r="U707" s="113"/>
      <c r="V707" s="113"/>
      <c r="W707" s="113"/>
      <c r="X707" s="113"/>
      <c r="Y707" s="113"/>
      <c r="Z707" s="113"/>
      <c r="AA707" s="113"/>
      <c r="AB707" s="113"/>
      <c r="AC707" s="113"/>
      <c r="AD707" s="113"/>
      <c r="AE707" s="113"/>
      <c r="AF707" s="113"/>
      <c r="AG707" s="113"/>
      <c r="AH707" s="113"/>
      <c r="AI707" s="113"/>
      <c r="AJ707" s="113"/>
      <c r="AK707" s="113" t="s">
        <v>1113</v>
      </c>
      <c r="AL707" s="113"/>
      <c r="AM707" s="113"/>
      <c r="AN707" s="113"/>
      <c r="AO707" s="44" t="s">
        <v>2334</v>
      </c>
      <c r="AP707" s="43"/>
      <c r="AQ707" s="236" t="str">
        <f>VLOOKUP(Table8[[#This Row],[Instrument]],Def_Targets!$D$73:$E$159,2,FALSE)</f>
        <v>S_Cycling</v>
      </c>
      <c r="AR707" s="233" t="str">
        <f>VLOOKUP(Table8[[#This Row],[Country Code]],Table29[],3,FALSE)</f>
        <v>Non-Annex I</v>
      </c>
      <c r="AS707" s="233" t="str">
        <f>VLOOKUP(Table8[[#This Row],[Country Code]],Table29[],4,FALSE)</f>
        <v>Africa</v>
      </c>
      <c r="AT707" s="233" t="str">
        <f>VLOOKUP(Table8[[#This Row],[Country Code]],Table29[],5,FALSE)</f>
        <v>Middle-income</v>
      </c>
      <c r="AU707" s="233" t="str">
        <f>VLOOKUP(Table8[[#This Row],[Country Code]],Table29[],6,FALSE)</f>
        <v>no</v>
      </c>
      <c r="AV707" s="233" t="str">
        <f>VLOOKUP(Table8[[#This Row],[Country Code]],Table29[],7,FALSE)</f>
        <v>no</v>
      </c>
      <c r="AW707" s="233" t="str">
        <f>VLOOKUP(Table8[[#This Row],[Country Code]],Table29[],8,FALSE)</f>
        <v>non-OECD</v>
      </c>
      <c r="AX707" s="233" t="str">
        <f>VLOOKUP(Table8[[#This Row],[Country Code]],Table29[],9,FALSE)</f>
        <v>no</v>
      </c>
      <c r="AY707" s="233" t="str">
        <f>VLOOKUP(Table8[[#This Row],[Country Code]],Table29[],10,FALSE)</f>
        <v>MENA</v>
      </c>
      <c r="AZ707" s="235">
        <f>VLOOKUP(Table8[[#This Row],[Country Code]],Table29[],23,FALSE)</f>
        <v>335.96804878175999</v>
      </c>
      <c r="BA707" s="235">
        <f>VLOOKUP(Table8[[#This Row],[Country Code]],Table29[],24,FALSE)</f>
        <v>53.140796953162749</v>
      </c>
      <c r="BB707" s="320"/>
      <c r="BC707" s="320"/>
    </row>
    <row r="708" spans="1:55" ht="105" hidden="1" x14ac:dyDescent="0.25">
      <c r="A708" s="373">
        <v>39441</v>
      </c>
      <c r="B708" s="233" t="str">
        <f>VLOOKUP(Table8[[#This Row],[Document ID]],Table1[],2,FALSE)</f>
        <v>EGY</v>
      </c>
      <c r="C708" s="233" t="str">
        <f>VLOOKUP(Table8[[#This Row],[Document ID]],Table1[],3,FALSE)</f>
        <v>Egypt</v>
      </c>
      <c r="D708" s="243" t="str">
        <f>VLOOKUP(Table8[[#This Row],[Document ID]],Table1[],5,FALSE)</f>
        <v>NDC</v>
      </c>
      <c r="E708" s="233" t="str">
        <f>VLOOKUP(Table8[[#This Row],[Document ID]],Table1[],7,FALSE)</f>
        <v>First NDC updated</v>
      </c>
      <c r="F708" s="233" t="str">
        <f>VLOOKUP(Table8[[#This Row],[Document ID]],Table1[],8,FALSE)</f>
        <v>NDC 1.2</v>
      </c>
      <c r="G708" s="233" t="str">
        <f>VLOOKUP(Table8[[#This Row],[Document ID]],Table1[],10,FALSE)</f>
        <v>Active</v>
      </c>
      <c r="H708" s="43" t="s">
        <v>2350</v>
      </c>
      <c r="I708" s="43" t="s">
        <v>2456</v>
      </c>
      <c r="J708" s="44" t="s">
        <v>2457</v>
      </c>
      <c r="K708" s="44" t="s">
        <v>3019</v>
      </c>
      <c r="L708" s="44" t="s">
        <v>2333</v>
      </c>
      <c r="M708" s="43">
        <v>17</v>
      </c>
      <c r="N708" s="113"/>
      <c r="O708" s="113"/>
      <c r="P708" s="113"/>
      <c r="Q708" s="113"/>
      <c r="R708" s="113"/>
      <c r="S708" s="113" t="s">
        <v>1113</v>
      </c>
      <c r="T708" s="113"/>
      <c r="U708" s="113"/>
      <c r="V708" s="113"/>
      <c r="W708" s="113"/>
      <c r="X708" s="113"/>
      <c r="Y708" s="113"/>
      <c r="Z708" s="113"/>
      <c r="AA708" s="113"/>
      <c r="AB708" s="113"/>
      <c r="AC708" s="113"/>
      <c r="AD708" s="113"/>
      <c r="AE708" s="113"/>
      <c r="AF708" s="113"/>
      <c r="AG708" s="113"/>
      <c r="AH708" s="113"/>
      <c r="AI708" s="113"/>
      <c r="AJ708" s="113"/>
      <c r="AK708" s="113" t="s">
        <v>1113</v>
      </c>
      <c r="AL708" s="113"/>
      <c r="AM708" s="113"/>
      <c r="AN708" s="113"/>
      <c r="AO708" s="43" t="s">
        <v>2477</v>
      </c>
      <c r="AP708" s="44"/>
      <c r="AQ708" s="236" t="str">
        <f>VLOOKUP(Table8[[#This Row],[Instrument]],Def_Targets!$D$73:$E$159,2,FALSE)</f>
        <v>S_Infraimprove</v>
      </c>
      <c r="AR708" s="233" t="str">
        <f>VLOOKUP(Table8[[#This Row],[Country Code]],Table29[],3,FALSE)</f>
        <v>Non-Annex I</v>
      </c>
      <c r="AS708" s="233" t="str">
        <f>VLOOKUP(Table8[[#This Row],[Country Code]],Table29[],4,FALSE)</f>
        <v>Africa</v>
      </c>
      <c r="AT708" s="233" t="str">
        <f>VLOOKUP(Table8[[#This Row],[Country Code]],Table29[],5,FALSE)</f>
        <v>Middle-income</v>
      </c>
      <c r="AU708" s="233" t="str">
        <f>VLOOKUP(Table8[[#This Row],[Country Code]],Table29[],6,FALSE)</f>
        <v>no</v>
      </c>
      <c r="AV708" s="233" t="str">
        <f>VLOOKUP(Table8[[#This Row],[Country Code]],Table29[],7,FALSE)</f>
        <v>no</v>
      </c>
      <c r="AW708" s="233" t="str">
        <f>VLOOKUP(Table8[[#This Row],[Country Code]],Table29[],8,FALSE)</f>
        <v>non-OECD</v>
      </c>
      <c r="AX708" s="233" t="str">
        <f>VLOOKUP(Table8[[#This Row],[Country Code]],Table29[],9,FALSE)</f>
        <v>no</v>
      </c>
      <c r="AY708" s="233" t="str">
        <f>VLOOKUP(Table8[[#This Row],[Country Code]],Table29[],10,FALSE)</f>
        <v>MENA</v>
      </c>
      <c r="AZ708" s="235">
        <f>VLOOKUP(Table8[[#This Row],[Country Code]],Table29[],23,FALSE)</f>
        <v>335.96804878175999</v>
      </c>
      <c r="BA708" s="235">
        <f>VLOOKUP(Table8[[#This Row],[Country Code]],Table29[],24,FALSE)</f>
        <v>53.140796953162749</v>
      </c>
      <c r="BB708" s="320"/>
      <c r="BC708" s="320"/>
    </row>
    <row r="709" spans="1:55" ht="30" hidden="1" x14ac:dyDescent="0.25">
      <c r="A709" s="373">
        <v>39441</v>
      </c>
      <c r="B709" s="233" t="str">
        <f>VLOOKUP(Table8[[#This Row],[Document ID]],Table1[],2,FALSE)</f>
        <v>EGY</v>
      </c>
      <c r="C709" s="233" t="str">
        <f>VLOOKUP(Table8[[#This Row],[Document ID]],Table1[],3,FALSE)</f>
        <v>Egypt</v>
      </c>
      <c r="D709" s="243" t="str">
        <f>VLOOKUP(Table8[[#This Row],[Document ID]],Table1[],5,FALSE)</f>
        <v>NDC</v>
      </c>
      <c r="E709" s="233" t="str">
        <f>VLOOKUP(Table8[[#This Row],[Document ID]],Table1[],7,FALSE)</f>
        <v>First NDC updated</v>
      </c>
      <c r="F709" s="233" t="str">
        <f>VLOOKUP(Table8[[#This Row],[Document ID]],Table1[],8,FALSE)</f>
        <v>NDC 1.2</v>
      </c>
      <c r="G709" s="233" t="str">
        <f>VLOOKUP(Table8[[#This Row],[Document ID]],Table1[],10,FALSE)</f>
        <v>Active</v>
      </c>
      <c r="H709" s="43" t="s">
        <v>2484</v>
      </c>
      <c r="I709" s="43" t="s">
        <v>2488</v>
      </c>
      <c r="J709" s="44" t="s">
        <v>2684</v>
      </c>
      <c r="K709" s="44" t="s">
        <v>3020</v>
      </c>
      <c r="L709" s="44" t="s">
        <v>2333</v>
      </c>
      <c r="M709" s="43">
        <v>17</v>
      </c>
      <c r="N709" s="113"/>
      <c r="O709" s="113"/>
      <c r="P709" s="113"/>
      <c r="Q709" s="113"/>
      <c r="R709" s="113"/>
      <c r="S709" s="113"/>
      <c r="T709" s="113"/>
      <c r="U709" s="113"/>
      <c r="V709" s="113"/>
      <c r="W709" s="113"/>
      <c r="X709" s="113"/>
      <c r="Y709" s="113"/>
      <c r="Z709" s="113"/>
      <c r="AA709" s="113"/>
      <c r="AB709" s="113"/>
      <c r="AC709" s="113"/>
      <c r="AD709" s="113"/>
      <c r="AE709" s="113"/>
      <c r="AF709" s="113"/>
      <c r="AG709" s="113"/>
      <c r="AH709" s="113" t="s">
        <v>1113</v>
      </c>
      <c r="AI709" s="113"/>
      <c r="AJ709" s="113"/>
      <c r="AK709" s="113"/>
      <c r="AL709" s="113" t="s">
        <v>1113</v>
      </c>
      <c r="AM709" s="113"/>
      <c r="AN709" s="113"/>
      <c r="AO709" s="43" t="s">
        <v>2477</v>
      </c>
      <c r="AP709" s="44"/>
      <c r="AQ709" s="236" t="str">
        <f>VLOOKUP(Table8[[#This Row],[Instrument]],Def_Targets!$D$73:$E$159,2,FALSE)</f>
        <v>I_Jetfuel</v>
      </c>
      <c r="AR709" s="233" t="str">
        <f>VLOOKUP(Table8[[#This Row],[Country Code]],Table29[],3,FALSE)</f>
        <v>Non-Annex I</v>
      </c>
      <c r="AS709" s="233" t="str">
        <f>VLOOKUP(Table8[[#This Row],[Country Code]],Table29[],4,FALSE)</f>
        <v>Africa</v>
      </c>
      <c r="AT709" s="233" t="str">
        <f>VLOOKUP(Table8[[#This Row],[Country Code]],Table29[],5,FALSE)</f>
        <v>Middle-income</v>
      </c>
      <c r="AU709" s="233" t="str">
        <f>VLOOKUP(Table8[[#This Row],[Country Code]],Table29[],6,FALSE)</f>
        <v>no</v>
      </c>
      <c r="AV709" s="233" t="str">
        <f>VLOOKUP(Table8[[#This Row],[Country Code]],Table29[],7,FALSE)</f>
        <v>no</v>
      </c>
      <c r="AW709" s="233" t="str">
        <f>VLOOKUP(Table8[[#This Row],[Country Code]],Table29[],8,FALSE)</f>
        <v>non-OECD</v>
      </c>
      <c r="AX709" s="233" t="str">
        <f>VLOOKUP(Table8[[#This Row],[Country Code]],Table29[],9,FALSE)</f>
        <v>no</v>
      </c>
      <c r="AY709" s="233" t="str">
        <f>VLOOKUP(Table8[[#This Row],[Country Code]],Table29[],10,FALSE)</f>
        <v>MENA</v>
      </c>
      <c r="AZ709" s="235">
        <f>VLOOKUP(Table8[[#This Row],[Country Code]],Table29[],23,FALSE)</f>
        <v>335.96804878175999</v>
      </c>
      <c r="BA709" s="235">
        <f>VLOOKUP(Table8[[#This Row],[Country Code]],Table29[],24,FALSE)</f>
        <v>53.140796953162749</v>
      </c>
      <c r="BB709" s="320"/>
      <c r="BC709" s="320"/>
    </row>
    <row r="710" spans="1:55" hidden="1" x14ac:dyDescent="0.25">
      <c r="A710" s="373">
        <v>39441</v>
      </c>
      <c r="B710" s="233" t="str">
        <f>VLOOKUP(Table8[[#This Row],[Document ID]],Table1[],2,FALSE)</f>
        <v>EGY</v>
      </c>
      <c r="C710" s="233" t="str">
        <f>VLOOKUP(Table8[[#This Row],[Document ID]],Table1[],3,FALSE)</f>
        <v>Egypt</v>
      </c>
      <c r="D710" s="243" t="str">
        <f>VLOOKUP(Table8[[#This Row],[Document ID]],Table1[],5,FALSE)</f>
        <v>NDC</v>
      </c>
      <c r="E710" s="233" t="str">
        <f>VLOOKUP(Table8[[#This Row],[Document ID]],Table1[],7,FALSE)</f>
        <v>First NDC updated</v>
      </c>
      <c r="F710" s="233" t="str">
        <f>VLOOKUP(Table8[[#This Row],[Document ID]],Table1[],8,FALSE)</f>
        <v>NDC 1.2</v>
      </c>
      <c r="G710" s="233" t="str">
        <f>VLOOKUP(Table8[[#This Row],[Document ID]],Table1[],10,FALSE)</f>
        <v>Active</v>
      </c>
      <c r="H710" s="44" t="s">
        <v>2329</v>
      </c>
      <c r="I710" s="44" t="s">
        <v>2330</v>
      </c>
      <c r="J710" s="44" t="s">
        <v>2331</v>
      </c>
      <c r="K710" s="44" t="s">
        <v>3021</v>
      </c>
      <c r="L710" s="44" t="s">
        <v>2333</v>
      </c>
      <c r="M710" s="43">
        <v>17</v>
      </c>
      <c r="N710" s="113"/>
      <c r="O710" s="113"/>
      <c r="P710" s="113"/>
      <c r="Q710" s="113"/>
      <c r="R710" s="113"/>
      <c r="S710" s="113"/>
      <c r="T710" s="113"/>
      <c r="U710" s="113"/>
      <c r="V710" s="113"/>
      <c r="W710" s="113"/>
      <c r="X710" s="113"/>
      <c r="Y710" s="113" t="s">
        <v>1113</v>
      </c>
      <c r="Z710" s="113"/>
      <c r="AA710" s="113"/>
      <c r="AB710" s="113"/>
      <c r="AC710" s="113"/>
      <c r="AD710" s="113"/>
      <c r="AE710" s="113"/>
      <c r="AF710" s="113"/>
      <c r="AG710" s="113"/>
      <c r="AH710" s="113"/>
      <c r="AI710" s="113"/>
      <c r="AJ710" s="113"/>
      <c r="AK710" s="113"/>
      <c r="AL710" s="113" t="s">
        <v>1113</v>
      </c>
      <c r="AM710" s="113"/>
      <c r="AN710" s="113"/>
      <c r="AO710" s="43" t="s">
        <v>2348</v>
      </c>
      <c r="AP710" s="43"/>
      <c r="AQ710" s="236" t="str">
        <f>VLOOKUP(Table8[[#This Row],[Instrument]],Def_Targets!$D$73:$E$159,2,FALSE)</f>
        <v>I_Altfuels</v>
      </c>
      <c r="AR710" s="233" t="str">
        <f>VLOOKUP(Table8[[#This Row],[Country Code]],Table29[],3,FALSE)</f>
        <v>Non-Annex I</v>
      </c>
      <c r="AS710" s="233" t="str">
        <f>VLOOKUP(Table8[[#This Row],[Country Code]],Table29[],4,FALSE)</f>
        <v>Africa</v>
      </c>
      <c r="AT710" s="233" t="str">
        <f>VLOOKUP(Table8[[#This Row],[Country Code]],Table29[],5,FALSE)</f>
        <v>Middle-income</v>
      </c>
      <c r="AU710" s="233" t="str">
        <f>VLOOKUP(Table8[[#This Row],[Country Code]],Table29[],6,FALSE)</f>
        <v>no</v>
      </c>
      <c r="AV710" s="233" t="str">
        <f>VLOOKUP(Table8[[#This Row],[Country Code]],Table29[],7,FALSE)</f>
        <v>no</v>
      </c>
      <c r="AW710" s="233" t="str">
        <f>VLOOKUP(Table8[[#This Row],[Country Code]],Table29[],8,FALSE)</f>
        <v>non-OECD</v>
      </c>
      <c r="AX710" s="233" t="str">
        <f>VLOOKUP(Table8[[#This Row],[Country Code]],Table29[],9,FALSE)</f>
        <v>no</v>
      </c>
      <c r="AY710" s="233" t="str">
        <f>VLOOKUP(Table8[[#This Row],[Country Code]],Table29[],10,FALSE)</f>
        <v>MENA</v>
      </c>
      <c r="AZ710" s="235">
        <f>VLOOKUP(Table8[[#This Row],[Country Code]],Table29[],23,FALSE)</f>
        <v>335.96804878175999</v>
      </c>
      <c r="BA710" s="235">
        <f>VLOOKUP(Table8[[#This Row],[Country Code]],Table29[],24,FALSE)</f>
        <v>53.140796953162749</v>
      </c>
      <c r="BB710" s="320"/>
      <c r="BC710" s="320"/>
    </row>
    <row r="711" spans="1:55" ht="30" hidden="1" x14ac:dyDescent="0.25">
      <c r="A711" s="373">
        <v>39441</v>
      </c>
      <c r="B711" s="233" t="str">
        <f>VLOOKUP(Table8[[#This Row],[Document ID]],Table1[],2,FALSE)</f>
        <v>EGY</v>
      </c>
      <c r="C711" s="233" t="str">
        <f>VLOOKUP(Table8[[#This Row],[Document ID]],Table1[],3,FALSE)</f>
        <v>Egypt</v>
      </c>
      <c r="D711" s="243" t="str">
        <f>VLOOKUP(Table8[[#This Row],[Document ID]],Table1[],5,FALSE)</f>
        <v>NDC</v>
      </c>
      <c r="E711" s="233" t="str">
        <f>VLOOKUP(Table8[[#This Row],[Document ID]],Table1[],7,FALSE)</f>
        <v>First NDC updated</v>
      </c>
      <c r="F711" s="233" t="str">
        <f>VLOOKUP(Table8[[#This Row],[Document ID]],Table1[],8,FALSE)</f>
        <v>NDC 1.2</v>
      </c>
      <c r="G711" s="233" t="str">
        <f>VLOOKUP(Table8[[#This Row],[Document ID]],Table1[],10,FALSE)</f>
        <v>Active</v>
      </c>
      <c r="H711" s="43" t="s">
        <v>2484</v>
      </c>
      <c r="I711" s="43" t="s">
        <v>2488</v>
      </c>
      <c r="J711" s="44" t="s">
        <v>2976</v>
      </c>
      <c r="K711" s="44" t="s">
        <v>3022</v>
      </c>
      <c r="L711" s="44" t="s">
        <v>2333</v>
      </c>
      <c r="M711" s="43">
        <v>17</v>
      </c>
      <c r="N711" s="113"/>
      <c r="O711" s="113"/>
      <c r="P711" s="113"/>
      <c r="Q711" s="113"/>
      <c r="R711" s="113"/>
      <c r="S711" s="113"/>
      <c r="T711" s="113"/>
      <c r="U711" s="113"/>
      <c r="V711" s="113"/>
      <c r="W711" s="113"/>
      <c r="X711" s="113"/>
      <c r="Y711" s="113"/>
      <c r="Z711" s="113"/>
      <c r="AA711" s="113"/>
      <c r="AB711" s="113"/>
      <c r="AC711" s="113"/>
      <c r="AD711" s="113"/>
      <c r="AE711" s="113"/>
      <c r="AF711" s="113"/>
      <c r="AG711" s="113"/>
      <c r="AH711" s="113" t="s">
        <v>1113</v>
      </c>
      <c r="AI711" s="113"/>
      <c r="AJ711" s="113"/>
      <c r="AK711" s="113"/>
      <c r="AL711" s="113" t="s">
        <v>1113</v>
      </c>
      <c r="AM711" s="113"/>
      <c r="AN711" s="113"/>
      <c r="AO711" s="44" t="s">
        <v>2334</v>
      </c>
      <c r="AP711" s="43"/>
      <c r="AQ711" s="236" t="str">
        <f>VLOOKUP(Table8[[#This Row],[Instrument]],Def_Targets!$D$73:$E$159,2,FALSE)</f>
        <v>I_CO2certificate</v>
      </c>
      <c r="AR711" s="233" t="str">
        <f>VLOOKUP(Table8[[#This Row],[Country Code]],Table29[],3,FALSE)</f>
        <v>Non-Annex I</v>
      </c>
      <c r="AS711" s="233" t="str">
        <f>VLOOKUP(Table8[[#This Row],[Country Code]],Table29[],4,FALSE)</f>
        <v>Africa</v>
      </c>
      <c r="AT711" s="233" t="str">
        <f>VLOOKUP(Table8[[#This Row],[Country Code]],Table29[],5,FALSE)</f>
        <v>Middle-income</v>
      </c>
      <c r="AU711" s="233" t="str">
        <f>VLOOKUP(Table8[[#This Row],[Country Code]],Table29[],6,FALSE)</f>
        <v>no</v>
      </c>
      <c r="AV711" s="233" t="str">
        <f>VLOOKUP(Table8[[#This Row],[Country Code]],Table29[],7,FALSE)</f>
        <v>no</v>
      </c>
      <c r="AW711" s="233" t="str">
        <f>VLOOKUP(Table8[[#This Row],[Country Code]],Table29[],8,FALSE)</f>
        <v>non-OECD</v>
      </c>
      <c r="AX711" s="233" t="str">
        <f>VLOOKUP(Table8[[#This Row],[Country Code]],Table29[],9,FALSE)</f>
        <v>no</v>
      </c>
      <c r="AY711" s="233" t="str">
        <f>VLOOKUP(Table8[[#This Row],[Country Code]],Table29[],10,FALSE)</f>
        <v>MENA</v>
      </c>
      <c r="AZ711" s="235">
        <f>VLOOKUP(Table8[[#This Row],[Country Code]],Table29[],23,FALSE)</f>
        <v>335.96804878175999</v>
      </c>
      <c r="BA711" s="235">
        <f>VLOOKUP(Table8[[#This Row],[Country Code]],Table29[],24,FALSE)</f>
        <v>53.140796953162749</v>
      </c>
      <c r="BB711" s="320"/>
      <c r="BC711" s="320"/>
    </row>
    <row r="712" spans="1:55" ht="30" hidden="1" x14ac:dyDescent="0.25">
      <c r="A712" s="373">
        <v>39441</v>
      </c>
      <c r="B712" s="233" t="str">
        <f>VLOOKUP(Table8[[#This Row],[Document ID]],Table1[],2,FALSE)</f>
        <v>EGY</v>
      </c>
      <c r="C712" s="233" t="str">
        <f>VLOOKUP(Table8[[#This Row],[Document ID]],Table1[],3,FALSE)</f>
        <v>Egypt</v>
      </c>
      <c r="D712" s="243" t="str">
        <f>VLOOKUP(Table8[[#This Row],[Document ID]],Table1[],5,FALSE)</f>
        <v>NDC</v>
      </c>
      <c r="E712" s="233" t="str">
        <f>VLOOKUP(Table8[[#This Row],[Document ID]],Table1[],7,FALSE)</f>
        <v>First NDC updated</v>
      </c>
      <c r="F712" s="233" t="str">
        <f>VLOOKUP(Table8[[#This Row],[Document ID]],Table1[],8,FALSE)</f>
        <v>NDC 1.2</v>
      </c>
      <c r="G712" s="233" t="str">
        <f>VLOOKUP(Table8[[#This Row],[Document ID]],Table1[],10,FALSE)</f>
        <v>Active</v>
      </c>
      <c r="H712" s="43" t="s">
        <v>2343</v>
      </c>
      <c r="I712" s="43" t="s">
        <v>2361</v>
      </c>
      <c r="J712" s="44" t="s">
        <v>2366</v>
      </c>
      <c r="K712" s="44" t="s">
        <v>3023</v>
      </c>
      <c r="L712" s="44" t="s">
        <v>2333</v>
      </c>
      <c r="M712" s="43">
        <v>20</v>
      </c>
      <c r="N712" s="113"/>
      <c r="O712" s="113"/>
      <c r="P712" s="113" t="s">
        <v>1113</v>
      </c>
      <c r="Q712" s="113" t="s">
        <v>1113</v>
      </c>
      <c r="R712" s="113" t="s">
        <v>1113</v>
      </c>
      <c r="S712" s="113"/>
      <c r="T712" s="113"/>
      <c r="U712" s="113"/>
      <c r="V712" s="113"/>
      <c r="W712" s="113"/>
      <c r="X712" s="113"/>
      <c r="Y712" s="113"/>
      <c r="Z712" s="113"/>
      <c r="AA712" s="113"/>
      <c r="AB712" s="113"/>
      <c r="AC712" s="113"/>
      <c r="AD712" s="113"/>
      <c r="AE712" s="113"/>
      <c r="AF712" s="113"/>
      <c r="AG712" s="113"/>
      <c r="AH712" s="113"/>
      <c r="AI712" s="113"/>
      <c r="AJ712" s="113"/>
      <c r="AK712" s="113" t="s">
        <v>1113</v>
      </c>
      <c r="AL712" s="113"/>
      <c r="AM712" s="113"/>
      <c r="AN712" s="113"/>
      <c r="AO712" s="44" t="s">
        <v>2334</v>
      </c>
      <c r="AP712" s="43"/>
      <c r="AQ712" s="236" t="str">
        <f>VLOOKUP(Table8[[#This Row],[Instrument]],Def_Targets!$D$73:$E$159,2,FALSE)</f>
        <v>S_Activemobility</v>
      </c>
      <c r="AR712" s="233" t="str">
        <f>VLOOKUP(Table8[[#This Row],[Country Code]],Table29[],3,FALSE)</f>
        <v>Non-Annex I</v>
      </c>
      <c r="AS712" s="233" t="str">
        <f>VLOOKUP(Table8[[#This Row],[Country Code]],Table29[],4,FALSE)</f>
        <v>Africa</v>
      </c>
      <c r="AT712" s="233" t="str">
        <f>VLOOKUP(Table8[[#This Row],[Country Code]],Table29[],5,FALSE)</f>
        <v>Middle-income</v>
      </c>
      <c r="AU712" s="233" t="str">
        <f>VLOOKUP(Table8[[#This Row],[Country Code]],Table29[],6,FALSE)</f>
        <v>no</v>
      </c>
      <c r="AV712" s="233" t="str">
        <f>VLOOKUP(Table8[[#This Row],[Country Code]],Table29[],7,FALSE)</f>
        <v>no</v>
      </c>
      <c r="AW712" s="233" t="str">
        <f>VLOOKUP(Table8[[#This Row],[Country Code]],Table29[],8,FALSE)</f>
        <v>non-OECD</v>
      </c>
      <c r="AX712" s="233" t="str">
        <f>VLOOKUP(Table8[[#This Row],[Country Code]],Table29[],9,FALSE)</f>
        <v>no</v>
      </c>
      <c r="AY712" s="233" t="str">
        <f>VLOOKUP(Table8[[#This Row],[Country Code]],Table29[],10,FALSE)</f>
        <v>MENA</v>
      </c>
      <c r="AZ712" s="235">
        <f>VLOOKUP(Table8[[#This Row],[Country Code]],Table29[],23,FALSE)</f>
        <v>335.96804878175999</v>
      </c>
      <c r="BA712" s="235">
        <f>VLOOKUP(Table8[[#This Row],[Country Code]],Table29[],24,FALSE)</f>
        <v>53.140796953162749</v>
      </c>
      <c r="BB712" s="320"/>
      <c r="BC712" s="320"/>
    </row>
    <row r="713" spans="1:55" ht="30" hidden="1" x14ac:dyDescent="0.25">
      <c r="A713" s="373">
        <v>39441</v>
      </c>
      <c r="B713" s="233" t="str">
        <f>VLOOKUP(Table8[[#This Row],[Document ID]],Table1[],2,FALSE)</f>
        <v>EGY</v>
      </c>
      <c r="C713" s="233" t="str">
        <f>VLOOKUP(Table8[[#This Row],[Document ID]],Table1[],3,FALSE)</f>
        <v>Egypt</v>
      </c>
      <c r="D713" s="243" t="str">
        <f>VLOOKUP(Table8[[#This Row],[Document ID]],Table1[],5,FALSE)</f>
        <v>NDC</v>
      </c>
      <c r="E713" s="233" t="str">
        <f>VLOOKUP(Table8[[#This Row],[Document ID]],Table1[],7,FALSE)</f>
        <v>First NDC updated</v>
      </c>
      <c r="F713" s="233" t="str">
        <f>VLOOKUP(Table8[[#This Row],[Document ID]],Table1[],8,FALSE)</f>
        <v>NDC 1.2</v>
      </c>
      <c r="G713" s="233" t="str">
        <f>VLOOKUP(Table8[[#This Row],[Document ID]],Table1[],10,FALSE)</f>
        <v>Active</v>
      </c>
      <c r="H713" s="43" t="s">
        <v>2358</v>
      </c>
      <c r="I713" s="43" t="s">
        <v>2359</v>
      </c>
      <c r="J713" s="44" t="s">
        <v>2360</v>
      </c>
      <c r="K713" s="44" t="s">
        <v>3024</v>
      </c>
      <c r="L713" s="44" t="s">
        <v>2333</v>
      </c>
      <c r="M713" s="43">
        <v>20</v>
      </c>
      <c r="N713" s="113"/>
      <c r="O713" s="113"/>
      <c r="P713" s="113"/>
      <c r="Q713" s="113"/>
      <c r="R713" s="113"/>
      <c r="S713" s="113" t="s">
        <v>1113</v>
      </c>
      <c r="T713" s="113"/>
      <c r="U713" s="113"/>
      <c r="V713" s="113"/>
      <c r="W713" s="113"/>
      <c r="X713" s="113"/>
      <c r="Y713" s="113"/>
      <c r="Z713" s="113"/>
      <c r="AA713" s="113"/>
      <c r="AB713" s="113"/>
      <c r="AC713" s="113"/>
      <c r="AD713" s="113"/>
      <c r="AE713" s="113"/>
      <c r="AF713" s="113"/>
      <c r="AG713" s="113"/>
      <c r="AH713" s="113"/>
      <c r="AI713" s="113"/>
      <c r="AJ713" s="113"/>
      <c r="AK713" s="113" t="s">
        <v>1113</v>
      </c>
      <c r="AL713" s="113"/>
      <c r="AM713" s="113"/>
      <c r="AN713" s="113"/>
      <c r="AO713" s="44" t="s">
        <v>2334</v>
      </c>
      <c r="AP713" s="43"/>
      <c r="AQ713" s="236" t="str">
        <f>VLOOKUP(Table8[[#This Row],[Instrument]],Def_Targets!$D$73:$E$159,2,FALSE)</f>
        <v>I_Emobility</v>
      </c>
      <c r="AR713" s="233" t="str">
        <f>VLOOKUP(Table8[[#This Row],[Country Code]],Table29[],3,FALSE)</f>
        <v>Non-Annex I</v>
      </c>
      <c r="AS713" s="233" t="str">
        <f>VLOOKUP(Table8[[#This Row],[Country Code]],Table29[],4,FALSE)</f>
        <v>Africa</v>
      </c>
      <c r="AT713" s="233" t="str">
        <f>VLOOKUP(Table8[[#This Row],[Country Code]],Table29[],5,FALSE)</f>
        <v>Middle-income</v>
      </c>
      <c r="AU713" s="233" t="str">
        <f>VLOOKUP(Table8[[#This Row],[Country Code]],Table29[],6,FALSE)</f>
        <v>no</v>
      </c>
      <c r="AV713" s="233" t="str">
        <f>VLOOKUP(Table8[[#This Row],[Country Code]],Table29[],7,FALSE)</f>
        <v>no</v>
      </c>
      <c r="AW713" s="233" t="str">
        <f>VLOOKUP(Table8[[#This Row],[Country Code]],Table29[],8,FALSE)</f>
        <v>non-OECD</v>
      </c>
      <c r="AX713" s="233" t="str">
        <f>VLOOKUP(Table8[[#This Row],[Country Code]],Table29[],9,FALSE)</f>
        <v>no</v>
      </c>
      <c r="AY713" s="233" t="str">
        <f>VLOOKUP(Table8[[#This Row],[Country Code]],Table29[],10,FALSE)</f>
        <v>MENA</v>
      </c>
      <c r="AZ713" s="235">
        <f>VLOOKUP(Table8[[#This Row],[Country Code]],Table29[],23,FALSE)</f>
        <v>335.96804878175999</v>
      </c>
      <c r="BA713" s="235">
        <f>VLOOKUP(Table8[[#This Row],[Country Code]],Table29[],24,FALSE)</f>
        <v>53.140796953162749</v>
      </c>
      <c r="BB713" s="320"/>
      <c r="BC713" s="320"/>
    </row>
    <row r="714" spans="1:55" ht="30" hidden="1" x14ac:dyDescent="0.25">
      <c r="A714" s="373">
        <v>39441</v>
      </c>
      <c r="B714" s="233" t="str">
        <f>VLOOKUP(Table8[[#This Row],[Document ID]],Table1[],2,FALSE)</f>
        <v>EGY</v>
      </c>
      <c r="C714" s="233" t="str">
        <f>VLOOKUP(Table8[[#This Row],[Document ID]],Table1[],3,FALSE)</f>
        <v>Egypt</v>
      </c>
      <c r="D714" s="243" t="str">
        <f>VLOOKUP(Table8[[#This Row],[Document ID]],Table1[],5,FALSE)</f>
        <v>NDC</v>
      </c>
      <c r="E714" s="233" t="str">
        <f>VLOOKUP(Table8[[#This Row],[Document ID]],Table1[],7,FALSE)</f>
        <v>First NDC updated</v>
      </c>
      <c r="F714" s="233" t="str">
        <f>VLOOKUP(Table8[[#This Row],[Document ID]],Table1[],8,FALSE)</f>
        <v>NDC 1.2</v>
      </c>
      <c r="G714" s="233" t="str">
        <f>VLOOKUP(Table8[[#This Row],[Document ID]],Table1[],10,FALSE)</f>
        <v>Active</v>
      </c>
      <c r="H714" s="44" t="s">
        <v>2329</v>
      </c>
      <c r="I714" s="44" t="s">
        <v>2330</v>
      </c>
      <c r="J714" s="44" t="s">
        <v>2381</v>
      </c>
      <c r="K714" s="44" t="s">
        <v>3025</v>
      </c>
      <c r="L714" s="44" t="s">
        <v>2333</v>
      </c>
      <c r="M714" s="43">
        <v>20</v>
      </c>
      <c r="N714" s="113" t="s">
        <v>1113</v>
      </c>
      <c r="O714" s="113"/>
      <c r="P714" s="113"/>
      <c r="Q714" s="113"/>
      <c r="R714" s="113"/>
      <c r="S714" s="113" t="s">
        <v>1113</v>
      </c>
      <c r="T714" s="113"/>
      <c r="U714" s="113"/>
      <c r="V714" s="113"/>
      <c r="W714" s="113"/>
      <c r="X714" s="113"/>
      <c r="Y714" s="113"/>
      <c r="Z714" s="113"/>
      <c r="AA714" s="113"/>
      <c r="AB714" s="113"/>
      <c r="AC714" s="113"/>
      <c r="AD714" s="113"/>
      <c r="AE714" s="113"/>
      <c r="AF714" s="113"/>
      <c r="AG714" s="113"/>
      <c r="AH714" s="113"/>
      <c r="AI714" s="113"/>
      <c r="AJ714" s="113"/>
      <c r="AK714" s="113" t="s">
        <v>1113</v>
      </c>
      <c r="AL714" s="113"/>
      <c r="AM714" s="113"/>
      <c r="AN714" s="113"/>
      <c r="AO714" s="44" t="s">
        <v>2334</v>
      </c>
      <c r="AP714" s="43"/>
      <c r="AQ714" s="236" t="str">
        <f>VLOOKUP(Table8[[#This Row],[Instrument]],Def_Targets!$D$73:$E$159,2,FALSE)</f>
        <v>I_RE</v>
      </c>
      <c r="AR714" s="233" t="str">
        <f>VLOOKUP(Table8[[#This Row],[Country Code]],Table29[],3,FALSE)</f>
        <v>Non-Annex I</v>
      </c>
      <c r="AS714" s="233" t="str">
        <f>VLOOKUP(Table8[[#This Row],[Country Code]],Table29[],4,FALSE)</f>
        <v>Africa</v>
      </c>
      <c r="AT714" s="233" t="str">
        <f>VLOOKUP(Table8[[#This Row],[Country Code]],Table29[],5,FALSE)</f>
        <v>Middle-income</v>
      </c>
      <c r="AU714" s="233" t="str">
        <f>VLOOKUP(Table8[[#This Row],[Country Code]],Table29[],6,FALSE)</f>
        <v>no</v>
      </c>
      <c r="AV714" s="233" t="str">
        <f>VLOOKUP(Table8[[#This Row],[Country Code]],Table29[],7,FALSE)</f>
        <v>no</v>
      </c>
      <c r="AW714" s="233" t="str">
        <f>VLOOKUP(Table8[[#This Row],[Country Code]],Table29[],8,FALSE)</f>
        <v>non-OECD</v>
      </c>
      <c r="AX714" s="233" t="str">
        <f>VLOOKUP(Table8[[#This Row],[Country Code]],Table29[],9,FALSE)</f>
        <v>no</v>
      </c>
      <c r="AY714" s="233" t="str">
        <f>VLOOKUP(Table8[[#This Row],[Country Code]],Table29[],10,FALSE)</f>
        <v>MENA</v>
      </c>
      <c r="AZ714" s="235">
        <f>VLOOKUP(Table8[[#This Row],[Country Code]],Table29[],23,FALSE)</f>
        <v>335.96804878175999</v>
      </c>
      <c r="BA714" s="235">
        <f>VLOOKUP(Table8[[#This Row],[Country Code]],Table29[],24,FALSE)</f>
        <v>53.140796953162749</v>
      </c>
      <c r="BB714" s="320"/>
      <c r="BC714" s="320"/>
    </row>
    <row r="715" spans="1:55" s="17" customFormat="1" ht="30" hidden="1" x14ac:dyDescent="0.25">
      <c r="A715" s="373">
        <v>26800</v>
      </c>
      <c r="B715" s="233" t="str">
        <f>VLOOKUP(Table8[[#This Row],[Document ID]],Table1[],2,FALSE)</f>
        <v>SLV</v>
      </c>
      <c r="C715" s="233" t="str">
        <f>VLOOKUP(Table8[[#This Row],[Document ID]],Table1[],3,FALSE)</f>
        <v>El Salvador</v>
      </c>
      <c r="D715" s="243" t="str">
        <f>VLOOKUP(Table8[[#This Row],[Document ID]],Table1[],5,FALSE)</f>
        <v>NDC</v>
      </c>
      <c r="E715" s="233" t="str">
        <f>VLOOKUP(Table8[[#This Row],[Document ID]],Table1[],7,FALSE)</f>
        <v>First NDC updated</v>
      </c>
      <c r="F715" s="233" t="str">
        <f>VLOOKUP(Table8[[#This Row],[Document ID]],Table1[],8,FALSE)</f>
        <v>NDC 1.1</v>
      </c>
      <c r="G715" s="233" t="str">
        <f>VLOOKUP(Table8[[#This Row],[Document ID]],Table1[],10,FALSE)</f>
        <v>Active</v>
      </c>
      <c r="H715" s="43" t="s">
        <v>2358</v>
      </c>
      <c r="I715" s="43" t="s">
        <v>2359</v>
      </c>
      <c r="J715" s="44" t="s">
        <v>2360</v>
      </c>
      <c r="K715" s="44" t="s">
        <v>3026</v>
      </c>
      <c r="L715" s="44" t="s">
        <v>2333</v>
      </c>
      <c r="M715" s="43">
        <v>41</v>
      </c>
      <c r="N715" s="113" t="s">
        <v>1113</v>
      </c>
      <c r="O715" s="113"/>
      <c r="P715" s="113"/>
      <c r="Q715" s="113"/>
      <c r="R715" s="113"/>
      <c r="S715" s="113"/>
      <c r="T715" s="113"/>
      <c r="U715" s="113"/>
      <c r="V715" s="113"/>
      <c r="W715" s="113"/>
      <c r="X715" s="113"/>
      <c r="Y715" s="113"/>
      <c r="Z715" s="113"/>
      <c r="AA715" s="113"/>
      <c r="AB715" s="113"/>
      <c r="AC715" s="113"/>
      <c r="AD715" s="113"/>
      <c r="AE715" s="113"/>
      <c r="AF715" s="113"/>
      <c r="AG715" s="113"/>
      <c r="AH715" s="113"/>
      <c r="AI715" s="113"/>
      <c r="AJ715" s="113"/>
      <c r="AK715" s="113" t="s">
        <v>1113</v>
      </c>
      <c r="AL715" s="113"/>
      <c r="AM715" s="113"/>
      <c r="AN715" s="113"/>
      <c r="AO715" s="43" t="s">
        <v>2348</v>
      </c>
      <c r="AP715" s="43"/>
      <c r="AQ715" s="236" t="str">
        <f>VLOOKUP(Table8[[#This Row],[Instrument]],Def_Targets!$D$73:$E$159,2,FALSE)</f>
        <v>I_Emobility</v>
      </c>
      <c r="AR715" s="233" t="str">
        <f>VLOOKUP(Table8[[#This Row],[Country Code]],Table29[],3,FALSE)</f>
        <v>Non-Annex I</v>
      </c>
      <c r="AS715" s="233" t="str">
        <f>VLOOKUP(Table8[[#This Row],[Country Code]],Table29[],4,FALSE)</f>
        <v>Latin America and the Caribbean</v>
      </c>
      <c r="AT715" s="233" t="str">
        <f>VLOOKUP(Table8[[#This Row],[Country Code]],Table29[],5,FALSE)</f>
        <v>Middle-income</v>
      </c>
      <c r="AU715" s="233" t="str">
        <f>VLOOKUP(Table8[[#This Row],[Country Code]],Table29[],6,FALSE)</f>
        <v>no</v>
      </c>
      <c r="AV715" s="233" t="str">
        <f>VLOOKUP(Table8[[#This Row],[Country Code]],Table29[],7,FALSE)</f>
        <v>no</v>
      </c>
      <c r="AW715" s="233" t="str">
        <f>VLOOKUP(Table8[[#This Row],[Country Code]],Table29[],8,FALSE)</f>
        <v>non-OECD</v>
      </c>
      <c r="AX715" s="233" t="str">
        <f>VLOOKUP(Table8[[#This Row],[Country Code]],Table29[],9,FALSE)</f>
        <v>no</v>
      </c>
      <c r="AY715" s="233" t="str">
        <f>VLOOKUP(Table8[[#This Row],[Country Code]],Table29[],10,FALSE)</f>
        <v>no</v>
      </c>
      <c r="AZ715" s="235">
        <f>VLOOKUP(Table8[[#This Row],[Country Code]],Table29[],23,FALSE)</f>
        <v>13.051313657078</v>
      </c>
      <c r="BA715" s="235">
        <f>VLOOKUP(Table8[[#This Row],[Country Code]],Table29[],24,FALSE)</f>
        <v>4.4777041118287633</v>
      </c>
      <c r="BB715" s="320"/>
      <c r="BC715" s="320"/>
    </row>
    <row r="716" spans="1:55" s="17" customFormat="1" hidden="1" x14ac:dyDescent="0.25">
      <c r="A716" s="373">
        <v>26800</v>
      </c>
      <c r="B716" s="233" t="str">
        <f>VLOOKUP(Table8[[#This Row],[Document ID]],Table1[],2,FALSE)</f>
        <v>SLV</v>
      </c>
      <c r="C716" s="233" t="str">
        <f>VLOOKUP(Table8[[#This Row],[Document ID]],Table1[],3,FALSE)</f>
        <v>El Salvador</v>
      </c>
      <c r="D716" s="243" t="str">
        <f>VLOOKUP(Table8[[#This Row],[Document ID]],Table1[],5,FALSE)</f>
        <v>NDC</v>
      </c>
      <c r="E716" s="233" t="str">
        <f>VLOOKUP(Table8[[#This Row],[Document ID]],Table1[],7,FALSE)</f>
        <v>First NDC updated</v>
      </c>
      <c r="F716" s="233" t="str">
        <f>VLOOKUP(Table8[[#This Row],[Document ID]],Table1[],8,FALSE)</f>
        <v>NDC 1.1</v>
      </c>
      <c r="G716" s="233" t="str">
        <f>VLOOKUP(Table8[[#This Row],[Document ID]],Table1[],10,FALSE)</f>
        <v>Active</v>
      </c>
      <c r="H716" s="43" t="s">
        <v>2343</v>
      </c>
      <c r="I716" s="43" t="s">
        <v>2344</v>
      </c>
      <c r="J716" s="44" t="s">
        <v>2345</v>
      </c>
      <c r="K716" s="44" t="s">
        <v>3027</v>
      </c>
      <c r="L716" s="44" t="s">
        <v>2347</v>
      </c>
      <c r="M716" s="43">
        <v>92</v>
      </c>
      <c r="N716" s="113" t="s">
        <v>1113</v>
      </c>
      <c r="O716" s="113"/>
      <c r="P716" s="113"/>
      <c r="Q716" s="113"/>
      <c r="R716" s="113"/>
      <c r="S716" s="113"/>
      <c r="T716" s="113"/>
      <c r="U716" s="113"/>
      <c r="V716" s="113"/>
      <c r="W716" s="113"/>
      <c r="X716" s="113"/>
      <c r="Y716" s="113"/>
      <c r="Z716" s="113"/>
      <c r="AA716" s="113"/>
      <c r="AB716" s="113"/>
      <c r="AC716" s="113"/>
      <c r="AD716" s="113"/>
      <c r="AE716" s="113"/>
      <c r="AF716" s="113"/>
      <c r="AG716" s="113"/>
      <c r="AH716" s="113"/>
      <c r="AI716" s="113"/>
      <c r="AJ716" s="113"/>
      <c r="AK716" s="113" t="s">
        <v>1113</v>
      </c>
      <c r="AL716" s="113"/>
      <c r="AM716" s="113"/>
      <c r="AN716" s="113"/>
      <c r="AO716" s="43" t="s">
        <v>2348</v>
      </c>
      <c r="AP716" s="43"/>
      <c r="AQ716" s="236" t="str">
        <f>VLOOKUP(Table8[[#This Row],[Instrument]],Def_Targets!$D$73:$E$159,2,FALSE)</f>
        <v>S_PublicTransport</v>
      </c>
      <c r="AR716" s="233" t="str">
        <f>VLOOKUP(Table8[[#This Row],[Country Code]],Table29[],3,FALSE)</f>
        <v>Non-Annex I</v>
      </c>
      <c r="AS716" s="233" t="str">
        <f>VLOOKUP(Table8[[#This Row],[Country Code]],Table29[],4,FALSE)</f>
        <v>Latin America and the Caribbean</v>
      </c>
      <c r="AT716" s="233" t="str">
        <f>VLOOKUP(Table8[[#This Row],[Country Code]],Table29[],5,FALSE)</f>
        <v>Middle-income</v>
      </c>
      <c r="AU716" s="233" t="str">
        <f>VLOOKUP(Table8[[#This Row],[Country Code]],Table29[],6,FALSE)</f>
        <v>no</v>
      </c>
      <c r="AV716" s="233" t="str">
        <f>VLOOKUP(Table8[[#This Row],[Country Code]],Table29[],7,FALSE)</f>
        <v>no</v>
      </c>
      <c r="AW716" s="233" t="str">
        <f>VLOOKUP(Table8[[#This Row],[Country Code]],Table29[],8,FALSE)</f>
        <v>non-OECD</v>
      </c>
      <c r="AX716" s="233" t="str">
        <f>VLOOKUP(Table8[[#This Row],[Country Code]],Table29[],9,FALSE)</f>
        <v>no</v>
      </c>
      <c r="AY716" s="233" t="str">
        <f>VLOOKUP(Table8[[#This Row],[Country Code]],Table29[],10,FALSE)</f>
        <v>no</v>
      </c>
      <c r="AZ716" s="235">
        <f>VLOOKUP(Table8[[#This Row],[Country Code]],Table29[],23,FALSE)</f>
        <v>13.051313657078</v>
      </c>
      <c r="BA716" s="235">
        <f>VLOOKUP(Table8[[#This Row],[Country Code]],Table29[],24,FALSE)</f>
        <v>4.4777041118287633</v>
      </c>
      <c r="BB716" s="320"/>
      <c r="BC716" s="320"/>
    </row>
    <row r="717" spans="1:55" s="17" customFormat="1" hidden="1" x14ac:dyDescent="0.25">
      <c r="A717" s="373">
        <v>26800</v>
      </c>
      <c r="B717" s="233" t="str">
        <f>VLOOKUP(Table8[[#This Row],[Document ID]],Table1[],2,FALSE)</f>
        <v>SLV</v>
      </c>
      <c r="C717" s="233" t="str">
        <f>VLOOKUP(Table8[[#This Row],[Document ID]],Table1[],3,FALSE)</f>
        <v>El Salvador</v>
      </c>
      <c r="D717" s="243" t="str">
        <f>VLOOKUP(Table8[[#This Row],[Document ID]],Table1[],5,FALSE)</f>
        <v>NDC</v>
      </c>
      <c r="E717" s="233" t="str">
        <f>VLOOKUP(Table8[[#This Row],[Document ID]],Table1[],7,FALSE)</f>
        <v>First NDC updated</v>
      </c>
      <c r="F717" s="233" t="str">
        <f>VLOOKUP(Table8[[#This Row],[Document ID]],Table1[],8,FALSE)</f>
        <v>NDC 1.1</v>
      </c>
      <c r="G717" s="233" t="str">
        <f>VLOOKUP(Table8[[#This Row],[Document ID]],Table1[],10,FALSE)</f>
        <v>Active</v>
      </c>
      <c r="H717" s="43" t="s">
        <v>2343</v>
      </c>
      <c r="I717" s="43" t="s">
        <v>2361</v>
      </c>
      <c r="J717" s="44" t="s">
        <v>2362</v>
      </c>
      <c r="K717" s="44" t="s">
        <v>3028</v>
      </c>
      <c r="L717" s="44" t="s">
        <v>2347</v>
      </c>
      <c r="M717" s="43">
        <v>92</v>
      </c>
      <c r="N717" s="113"/>
      <c r="O717" s="113"/>
      <c r="P717" s="113"/>
      <c r="Q717" s="113"/>
      <c r="R717" s="113" t="s">
        <v>1113</v>
      </c>
      <c r="S717" s="113"/>
      <c r="T717" s="113"/>
      <c r="U717" s="113"/>
      <c r="V717" s="113"/>
      <c r="W717" s="113"/>
      <c r="X717" s="113"/>
      <c r="Y717" s="113"/>
      <c r="Z717" s="113"/>
      <c r="AA717" s="113"/>
      <c r="AB717" s="113"/>
      <c r="AC717" s="113"/>
      <c r="AD717" s="113"/>
      <c r="AE717" s="113"/>
      <c r="AF717" s="113"/>
      <c r="AG717" s="113"/>
      <c r="AH717" s="113"/>
      <c r="AI717" s="113"/>
      <c r="AJ717" s="113"/>
      <c r="AK717" s="113" t="s">
        <v>1113</v>
      </c>
      <c r="AL717" s="113"/>
      <c r="AM717" s="113"/>
      <c r="AN717" s="113"/>
      <c r="AO717" s="44" t="s">
        <v>2334</v>
      </c>
      <c r="AP717" s="43"/>
      <c r="AQ717" s="236" t="str">
        <f>VLOOKUP(Table8[[#This Row],[Instrument]],Def_Targets!$D$73:$E$159,2,FALSE)</f>
        <v>S_Cycling</v>
      </c>
      <c r="AR717" s="233" t="str">
        <f>VLOOKUP(Table8[[#This Row],[Country Code]],Table29[],3,FALSE)</f>
        <v>Non-Annex I</v>
      </c>
      <c r="AS717" s="233" t="str">
        <f>VLOOKUP(Table8[[#This Row],[Country Code]],Table29[],4,FALSE)</f>
        <v>Latin America and the Caribbean</v>
      </c>
      <c r="AT717" s="233" t="str">
        <f>VLOOKUP(Table8[[#This Row],[Country Code]],Table29[],5,FALSE)</f>
        <v>Middle-income</v>
      </c>
      <c r="AU717" s="233" t="str">
        <f>VLOOKUP(Table8[[#This Row],[Country Code]],Table29[],6,FALSE)</f>
        <v>no</v>
      </c>
      <c r="AV717" s="233" t="str">
        <f>VLOOKUP(Table8[[#This Row],[Country Code]],Table29[],7,FALSE)</f>
        <v>no</v>
      </c>
      <c r="AW717" s="233" t="str">
        <f>VLOOKUP(Table8[[#This Row],[Country Code]],Table29[],8,FALSE)</f>
        <v>non-OECD</v>
      </c>
      <c r="AX717" s="233" t="str">
        <f>VLOOKUP(Table8[[#This Row],[Country Code]],Table29[],9,FALSE)</f>
        <v>no</v>
      </c>
      <c r="AY717" s="233" t="str">
        <f>VLOOKUP(Table8[[#This Row],[Country Code]],Table29[],10,FALSE)</f>
        <v>no</v>
      </c>
      <c r="AZ717" s="235">
        <f>VLOOKUP(Table8[[#This Row],[Country Code]],Table29[],23,FALSE)</f>
        <v>13.051313657078</v>
      </c>
      <c r="BA717" s="235">
        <f>VLOOKUP(Table8[[#This Row],[Country Code]],Table29[],24,FALSE)</f>
        <v>4.4777041118287633</v>
      </c>
      <c r="BB717" s="320"/>
      <c r="BC717" s="320"/>
    </row>
    <row r="718" spans="1:55" s="17" customFormat="1" hidden="1" x14ac:dyDescent="0.25">
      <c r="A718" s="373">
        <v>26800</v>
      </c>
      <c r="B718" s="233" t="str">
        <f>VLOOKUP(Table8[[#This Row],[Document ID]],Table1[],2,FALSE)</f>
        <v>SLV</v>
      </c>
      <c r="C718" s="233" t="str">
        <f>VLOOKUP(Table8[[#This Row],[Document ID]],Table1[],3,FALSE)</f>
        <v>El Salvador</v>
      </c>
      <c r="D718" s="243" t="str">
        <f>VLOOKUP(Table8[[#This Row],[Document ID]],Table1[],5,FALSE)</f>
        <v>NDC</v>
      </c>
      <c r="E718" s="233" t="str">
        <f>VLOOKUP(Table8[[#This Row],[Document ID]],Table1[],7,FALSE)</f>
        <v>First NDC updated</v>
      </c>
      <c r="F718" s="233" t="str">
        <f>VLOOKUP(Table8[[#This Row],[Document ID]],Table1[],8,FALSE)</f>
        <v>NDC 1.1</v>
      </c>
      <c r="G718" s="233" t="str">
        <f>VLOOKUP(Table8[[#This Row],[Document ID]],Table1[],10,FALSE)</f>
        <v>Active</v>
      </c>
      <c r="H718" s="43" t="s">
        <v>2350</v>
      </c>
      <c r="I718" s="43" t="s">
        <v>2370</v>
      </c>
      <c r="J718" s="44" t="s">
        <v>2511</v>
      </c>
      <c r="K718" s="44" t="s">
        <v>3029</v>
      </c>
      <c r="L718" s="44" t="s">
        <v>2333</v>
      </c>
      <c r="M718" s="43">
        <v>92</v>
      </c>
      <c r="N718" s="113" t="s">
        <v>1113</v>
      </c>
      <c r="O718" s="113"/>
      <c r="P718" s="113"/>
      <c r="Q718" s="113"/>
      <c r="R718" s="113"/>
      <c r="S718" s="113"/>
      <c r="T718" s="113"/>
      <c r="U718" s="113"/>
      <c r="V718" s="113"/>
      <c r="W718" s="113"/>
      <c r="X718" s="113"/>
      <c r="Y718" s="113"/>
      <c r="Z718" s="113"/>
      <c r="AA718" s="113"/>
      <c r="AB718" s="113"/>
      <c r="AC718" s="113"/>
      <c r="AD718" s="113"/>
      <c r="AE718" s="113"/>
      <c r="AF718" s="113"/>
      <c r="AG718" s="113"/>
      <c r="AH718" s="113"/>
      <c r="AI718" s="113"/>
      <c r="AJ718" s="113"/>
      <c r="AK718" s="113" t="s">
        <v>1113</v>
      </c>
      <c r="AL718" s="113"/>
      <c r="AM718" s="113"/>
      <c r="AN718" s="113"/>
      <c r="AO718" s="44" t="s">
        <v>2334</v>
      </c>
      <c r="AP718" s="43"/>
      <c r="AQ718" s="236" t="str">
        <f>VLOOKUP(Table8[[#This Row],[Instrument]],Def_Targets!$D$73:$E$159,2,FALSE)</f>
        <v>A_LATM</v>
      </c>
      <c r="AR718" s="233" t="str">
        <f>VLOOKUP(Table8[[#This Row],[Country Code]],Table29[],3,FALSE)</f>
        <v>Non-Annex I</v>
      </c>
      <c r="AS718" s="233" t="str">
        <f>VLOOKUP(Table8[[#This Row],[Country Code]],Table29[],4,FALSE)</f>
        <v>Latin America and the Caribbean</v>
      </c>
      <c r="AT718" s="233" t="str">
        <f>VLOOKUP(Table8[[#This Row],[Country Code]],Table29[],5,FALSE)</f>
        <v>Middle-income</v>
      </c>
      <c r="AU718" s="233" t="str">
        <f>VLOOKUP(Table8[[#This Row],[Country Code]],Table29[],6,FALSE)</f>
        <v>no</v>
      </c>
      <c r="AV718" s="233" t="str">
        <f>VLOOKUP(Table8[[#This Row],[Country Code]],Table29[],7,FALSE)</f>
        <v>no</v>
      </c>
      <c r="AW718" s="233" t="str">
        <f>VLOOKUP(Table8[[#This Row],[Country Code]],Table29[],8,FALSE)</f>
        <v>non-OECD</v>
      </c>
      <c r="AX718" s="233" t="str">
        <f>VLOOKUP(Table8[[#This Row],[Country Code]],Table29[],9,FALSE)</f>
        <v>no</v>
      </c>
      <c r="AY718" s="233" t="str">
        <f>VLOOKUP(Table8[[#This Row],[Country Code]],Table29[],10,FALSE)</f>
        <v>no</v>
      </c>
      <c r="AZ718" s="235">
        <f>VLOOKUP(Table8[[#This Row],[Country Code]],Table29[],23,FALSE)</f>
        <v>13.051313657078</v>
      </c>
      <c r="BA718" s="235">
        <f>VLOOKUP(Table8[[#This Row],[Country Code]],Table29[],24,FALSE)</f>
        <v>4.4777041118287633</v>
      </c>
      <c r="BB718" s="320"/>
      <c r="BC718" s="320"/>
    </row>
    <row r="719" spans="1:55" s="17" customFormat="1" hidden="1" x14ac:dyDescent="0.25">
      <c r="A719" s="373">
        <v>26800</v>
      </c>
      <c r="B719" s="233" t="str">
        <f>VLOOKUP(Table8[[#This Row],[Document ID]],Table1[],2,FALSE)</f>
        <v>SLV</v>
      </c>
      <c r="C719" s="233" t="str">
        <f>VLOOKUP(Table8[[#This Row],[Document ID]],Table1[],3,FALSE)</f>
        <v>El Salvador</v>
      </c>
      <c r="D719" s="233" t="str">
        <f>VLOOKUP(Table8[[#This Row],[Document ID]],Table1[],5,FALSE)</f>
        <v>NDC</v>
      </c>
      <c r="E719" s="233" t="str">
        <f>VLOOKUP(Table8[[#This Row],[Document ID]],Table1[],7,FALSE)</f>
        <v>First NDC updated</v>
      </c>
      <c r="F719" s="233" t="str">
        <f>VLOOKUP(Table8[[#This Row],[Document ID]],Table1[],8,FALSE)</f>
        <v>NDC 1.1</v>
      </c>
      <c r="G719" s="233" t="str">
        <f>VLOOKUP(Table8[[#This Row],[Document ID]],Table1[],10,FALSE)</f>
        <v>Active</v>
      </c>
      <c r="H719" s="43" t="s">
        <v>2350</v>
      </c>
      <c r="I719" s="43" t="s">
        <v>2407</v>
      </c>
      <c r="J719" s="44" t="s">
        <v>2592</v>
      </c>
      <c r="K719" s="44" t="s">
        <v>3030</v>
      </c>
      <c r="L719" s="44" t="s">
        <v>2333</v>
      </c>
      <c r="M719" s="43">
        <v>92</v>
      </c>
      <c r="N719" s="113" t="s">
        <v>1113</v>
      </c>
      <c r="O719" s="113"/>
      <c r="P719" s="113"/>
      <c r="Q719" s="113"/>
      <c r="R719" s="113"/>
      <c r="S719" s="113"/>
      <c r="T719" s="113"/>
      <c r="U719" s="113"/>
      <c r="V719" s="113"/>
      <c r="W719" s="113"/>
      <c r="X719" s="113"/>
      <c r="Y719" s="113"/>
      <c r="Z719" s="113"/>
      <c r="AA719" s="113"/>
      <c r="AB719" s="113"/>
      <c r="AC719" s="113"/>
      <c r="AD719" s="113"/>
      <c r="AE719" s="113"/>
      <c r="AF719" s="113"/>
      <c r="AG719" s="113"/>
      <c r="AH719" s="113"/>
      <c r="AI719" s="113"/>
      <c r="AJ719" s="113"/>
      <c r="AK719" s="113" t="s">
        <v>1113</v>
      </c>
      <c r="AL719" s="113"/>
      <c r="AM719" s="113"/>
      <c r="AN719" s="113"/>
      <c r="AO719" s="44" t="s">
        <v>2334</v>
      </c>
      <c r="AP719" s="43"/>
      <c r="AQ719" s="236" t="str">
        <f>VLOOKUP(Table8[[#This Row],[Instrument]],Def_Targets!$D$73:$E$159,2,FALSE)</f>
        <v>I_Ecodriving</v>
      </c>
      <c r="AR719" s="233" t="str">
        <f>VLOOKUP(Table8[[#This Row],[Country Code]],Table29[],3,FALSE)</f>
        <v>Non-Annex I</v>
      </c>
      <c r="AS719" s="233" t="str">
        <f>VLOOKUP(Table8[[#This Row],[Country Code]],Table29[],4,FALSE)</f>
        <v>Latin America and the Caribbean</v>
      </c>
      <c r="AT719" s="233" t="str">
        <f>VLOOKUP(Table8[[#This Row],[Country Code]],Table29[],5,FALSE)</f>
        <v>Middle-income</v>
      </c>
      <c r="AU719" s="233" t="str">
        <f>VLOOKUP(Table8[[#This Row],[Country Code]],Table29[],6,FALSE)</f>
        <v>no</v>
      </c>
      <c r="AV719" s="233" t="str">
        <f>VLOOKUP(Table8[[#This Row],[Country Code]],Table29[],7,FALSE)</f>
        <v>no</v>
      </c>
      <c r="AW719" s="233" t="str">
        <f>VLOOKUP(Table8[[#This Row],[Country Code]],Table29[],8,FALSE)</f>
        <v>non-OECD</v>
      </c>
      <c r="AX719" s="233" t="str">
        <f>VLOOKUP(Table8[[#This Row],[Country Code]],Table29[],9,FALSE)</f>
        <v>no</v>
      </c>
      <c r="AY719" s="233" t="str">
        <f>VLOOKUP(Table8[[#This Row],[Country Code]],Table29[],10,FALSE)</f>
        <v>no</v>
      </c>
      <c r="AZ719" s="235">
        <f>VLOOKUP(Table8[[#This Row],[Country Code]],Table29[],23,FALSE)</f>
        <v>13.051313657078</v>
      </c>
      <c r="BA719" s="235">
        <f>VLOOKUP(Table8[[#This Row],[Country Code]],Table29[],24,FALSE)</f>
        <v>4.4777041118287633</v>
      </c>
      <c r="BB719" s="320"/>
      <c r="BC719" s="320"/>
    </row>
    <row r="720" spans="1:55" s="17" customFormat="1" ht="30" hidden="1" x14ac:dyDescent="0.25">
      <c r="A720" s="373">
        <v>26800</v>
      </c>
      <c r="B720" s="233" t="str">
        <f>VLOOKUP(Table8[[#This Row],[Document ID]],Table1[],2,FALSE)</f>
        <v>SLV</v>
      </c>
      <c r="C720" s="233" t="str">
        <f>VLOOKUP(Table8[[#This Row],[Document ID]],Table1[],3,FALSE)</f>
        <v>El Salvador</v>
      </c>
      <c r="D720" s="243" t="str">
        <f>VLOOKUP(Table8[[#This Row],[Document ID]],Table1[],5,FALSE)</f>
        <v>NDC</v>
      </c>
      <c r="E720" s="233" t="str">
        <f>VLOOKUP(Table8[[#This Row],[Document ID]],Table1[],7,FALSE)</f>
        <v>First NDC updated</v>
      </c>
      <c r="F720" s="233" t="str">
        <f>VLOOKUP(Table8[[#This Row],[Document ID]],Table1[],8,FALSE)</f>
        <v>NDC 1.1</v>
      </c>
      <c r="G720" s="233" t="str">
        <f>VLOOKUP(Table8[[#This Row],[Document ID]],Table1[],10,FALSE)</f>
        <v>Active</v>
      </c>
      <c r="H720" s="43" t="s">
        <v>2343</v>
      </c>
      <c r="I720" s="43" t="s">
        <v>2361</v>
      </c>
      <c r="J720" s="44" t="s">
        <v>2362</v>
      </c>
      <c r="K720" s="44" t="s">
        <v>3031</v>
      </c>
      <c r="L720" s="44" t="s">
        <v>2347</v>
      </c>
      <c r="M720" s="43">
        <v>93</v>
      </c>
      <c r="N720" s="113"/>
      <c r="O720" s="113"/>
      <c r="P720" s="113"/>
      <c r="Q720" s="113"/>
      <c r="R720" s="113" t="s">
        <v>1113</v>
      </c>
      <c r="S720" s="113"/>
      <c r="T720" s="113"/>
      <c r="U720" s="113"/>
      <c r="V720" s="113"/>
      <c r="W720" s="113"/>
      <c r="X720" s="113"/>
      <c r="Y720" s="113"/>
      <c r="Z720" s="113"/>
      <c r="AA720" s="113"/>
      <c r="AB720" s="113"/>
      <c r="AC720" s="113"/>
      <c r="AD720" s="113"/>
      <c r="AE720" s="113"/>
      <c r="AF720" s="113"/>
      <c r="AG720" s="113"/>
      <c r="AH720" s="113"/>
      <c r="AI720" s="113"/>
      <c r="AJ720" s="113"/>
      <c r="AK720" s="113"/>
      <c r="AL720" s="113" t="s">
        <v>1113</v>
      </c>
      <c r="AM720" s="113"/>
      <c r="AN720" s="113"/>
      <c r="AO720" s="44" t="s">
        <v>2334</v>
      </c>
      <c r="AP720" s="43"/>
      <c r="AQ720" s="236" t="str">
        <f>VLOOKUP(Table8[[#This Row],[Instrument]],Def_Targets!$D$73:$E$159,2,FALSE)</f>
        <v>S_Cycling</v>
      </c>
      <c r="AR720" s="233" t="str">
        <f>VLOOKUP(Table8[[#This Row],[Country Code]],Table29[],3,FALSE)</f>
        <v>Non-Annex I</v>
      </c>
      <c r="AS720" s="233" t="str">
        <f>VLOOKUP(Table8[[#This Row],[Country Code]],Table29[],4,FALSE)</f>
        <v>Latin America and the Caribbean</v>
      </c>
      <c r="AT720" s="233" t="str">
        <f>VLOOKUP(Table8[[#This Row],[Country Code]],Table29[],5,FALSE)</f>
        <v>Middle-income</v>
      </c>
      <c r="AU720" s="233" t="str">
        <f>VLOOKUP(Table8[[#This Row],[Country Code]],Table29[],6,FALSE)</f>
        <v>no</v>
      </c>
      <c r="AV720" s="233" t="str">
        <f>VLOOKUP(Table8[[#This Row],[Country Code]],Table29[],7,FALSE)</f>
        <v>no</v>
      </c>
      <c r="AW720" s="233" t="str">
        <f>VLOOKUP(Table8[[#This Row],[Country Code]],Table29[],8,FALSE)</f>
        <v>non-OECD</v>
      </c>
      <c r="AX720" s="233" t="str">
        <f>VLOOKUP(Table8[[#This Row],[Country Code]],Table29[],9,FALSE)</f>
        <v>no</v>
      </c>
      <c r="AY720" s="233" t="str">
        <f>VLOOKUP(Table8[[#This Row],[Country Code]],Table29[],10,FALSE)</f>
        <v>no</v>
      </c>
      <c r="AZ720" s="235">
        <f>VLOOKUP(Table8[[#This Row],[Country Code]],Table29[],23,FALSE)</f>
        <v>13.051313657078</v>
      </c>
      <c r="BA720" s="235">
        <f>VLOOKUP(Table8[[#This Row],[Country Code]],Table29[],24,FALSE)</f>
        <v>4.4777041118287633</v>
      </c>
      <c r="BB720" s="320"/>
      <c r="BC720" s="320"/>
    </row>
    <row r="721" spans="1:55" s="17" customFormat="1" ht="30" hidden="1" x14ac:dyDescent="0.25">
      <c r="A721" s="373">
        <v>26800</v>
      </c>
      <c r="B721" s="233" t="str">
        <f>VLOOKUP(Table8[[#This Row],[Document ID]],Table1[],2,FALSE)</f>
        <v>SLV</v>
      </c>
      <c r="C721" s="233" t="str">
        <f>VLOOKUP(Table8[[#This Row],[Document ID]],Table1[],3,FALSE)</f>
        <v>El Salvador</v>
      </c>
      <c r="D721" s="243" t="str">
        <f>VLOOKUP(Table8[[#This Row],[Document ID]],Table1[],5,FALSE)</f>
        <v>NDC</v>
      </c>
      <c r="E721" s="233" t="str">
        <f>VLOOKUP(Table8[[#This Row],[Document ID]],Table1[],7,FALSE)</f>
        <v>First NDC updated</v>
      </c>
      <c r="F721" s="233" t="str">
        <f>VLOOKUP(Table8[[#This Row],[Document ID]],Table1[],8,FALSE)</f>
        <v>NDC 1.1</v>
      </c>
      <c r="G721" s="233" t="str">
        <f>VLOOKUP(Table8[[#This Row],[Document ID]],Table1[],10,FALSE)</f>
        <v>Active</v>
      </c>
      <c r="H721" s="43" t="s">
        <v>2343</v>
      </c>
      <c r="I721" s="43" t="s">
        <v>2361</v>
      </c>
      <c r="J721" s="44" t="s">
        <v>2463</v>
      </c>
      <c r="K721" s="44" t="s">
        <v>3031</v>
      </c>
      <c r="L721" s="44" t="s">
        <v>2347</v>
      </c>
      <c r="M721" s="43">
        <v>93</v>
      </c>
      <c r="N721" s="113"/>
      <c r="O721" s="113"/>
      <c r="P721" s="113"/>
      <c r="Q721" s="113" t="s">
        <v>1113</v>
      </c>
      <c r="R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t="s">
        <v>1113</v>
      </c>
      <c r="AM721" s="113"/>
      <c r="AN721" s="113"/>
      <c r="AO721" s="44" t="s">
        <v>2334</v>
      </c>
      <c r="AP721" s="43"/>
      <c r="AQ721" s="236" t="str">
        <f>VLOOKUP(Table8[[#This Row],[Instrument]],Def_Targets!$D$73:$E$159,2,FALSE)</f>
        <v>S_Walking</v>
      </c>
      <c r="AR721" s="233" t="str">
        <f>VLOOKUP(Table8[[#This Row],[Country Code]],Table29[],3,FALSE)</f>
        <v>Non-Annex I</v>
      </c>
      <c r="AS721" s="233" t="str">
        <f>VLOOKUP(Table8[[#This Row],[Country Code]],Table29[],4,FALSE)</f>
        <v>Latin America and the Caribbean</v>
      </c>
      <c r="AT721" s="233" t="str">
        <f>VLOOKUP(Table8[[#This Row],[Country Code]],Table29[],5,FALSE)</f>
        <v>Middle-income</v>
      </c>
      <c r="AU721" s="233" t="str">
        <f>VLOOKUP(Table8[[#This Row],[Country Code]],Table29[],6,FALSE)</f>
        <v>no</v>
      </c>
      <c r="AV721" s="233" t="str">
        <f>VLOOKUP(Table8[[#This Row],[Country Code]],Table29[],7,FALSE)</f>
        <v>no</v>
      </c>
      <c r="AW721" s="233" t="str">
        <f>VLOOKUP(Table8[[#This Row],[Country Code]],Table29[],8,FALSE)</f>
        <v>non-OECD</v>
      </c>
      <c r="AX721" s="233" t="str">
        <f>VLOOKUP(Table8[[#This Row],[Country Code]],Table29[],9,FALSE)</f>
        <v>no</v>
      </c>
      <c r="AY721" s="233" t="str">
        <f>VLOOKUP(Table8[[#This Row],[Country Code]],Table29[],10,FALSE)</f>
        <v>no</v>
      </c>
      <c r="AZ721" s="235">
        <f>VLOOKUP(Table8[[#This Row],[Country Code]],Table29[],23,FALSE)</f>
        <v>13.051313657078</v>
      </c>
      <c r="BA721" s="235">
        <f>VLOOKUP(Table8[[#This Row],[Country Code]],Table29[],24,FALSE)</f>
        <v>4.4777041118287633</v>
      </c>
      <c r="BB721" s="320"/>
      <c r="BC721" s="320"/>
    </row>
    <row r="722" spans="1:55" hidden="1" x14ac:dyDescent="0.25">
      <c r="A722" s="373">
        <v>17584</v>
      </c>
      <c r="B722" s="233" t="str">
        <f>VLOOKUP(Table8[[#This Row],[Document ID]],Table1[],2,FALSE)</f>
        <v>GNQ</v>
      </c>
      <c r="C722" s="233" t="str">
        <f>VLOOKUP(Table8[[#This Row],[Document ID]],Table1[],3,FALSE)</f>
        <v>Equatorial Guinea</v>
      </c>
      <c r="D722" s="243" t="str">
        <f>VLOOKUP(Table8[[#This Row],[Document ID]],Table1[],5,FALSE)</f>
        <v>NDC</v>
      </c>
      <c r="E722" s="233" t="str">
        <f>VLOOKUP(Table8[[#This Row],[Document ID]],Table1[],7,FALSE)</f>
        <v>First NDC</v>
      </c>
      <c r="F722" s="236" t="str">
        <f>VLOOKUP(Table8[[#This Row],[Document ID]],Table1[],8,FALSE)</f>
        <v>NDC 1.0</v>
      </c>
      <c r="G722" s="236" t="str">
        <f>VLOOKUP(Table8[[#This Row],[Document ID]],Table1[],10,FALSE)</f>
        <v>Archived</v>
      </c>
      <c r="H722" s="43" t="s">
        <v>2350</v>
      </c>
      <c r="I722" s="43" t="s">
        <v>2456</v>
      </c>
      <c r="J722" s="44" t="s">
        <v>2457</v>
      </c>
      <c r="K722" s="44" t="s">
        <v>3032</v>
      </c>
      <c r="L722" s="44" t="s">
        <v>2333</v>
      </c>
      <c r="M722" s="43"/>
      <c r="N722" s="113"/>
      <c r="O722" s="113"/>
      <c r="P722" s="113"/>
      <c r="Q722" s="319"/>
      <c r="R722" s="319"/>
      <c r="S722" s="113" t="s">
        <v>1113</v>
      </c>
      <c r="T722" s="319"/>
      <c r="U722" s="319"/>
      <c r="V722" s="319"/>
      <c r="W722" s="319"/>
      <c r="X722" s="319"/>
      <c r="Y722" s="319"/>
      <c r="Z722" s="319"/>
      <c r="AA722" s="319"/>
      <c r="AB722" s="319"/>
      <c r="AC722" s="319"/>
      <c r="AD722" s="319"/>
      <c r="AE722" s="319"/>
      <c r="AF722" s="319"/>
      <c r="AG722" s="319"/>
      <c r="AH722" s="319"/>
      <c r="AI722" s="319"/>
      <c r="AJ722" s="319"/>
      <c r="AK722" s="319" t="s">
        <v>1113</v>
      </c>
      <c r="AL722" s="319"/>
      <c r="AM722" s="319"/>
      <c r="AN722" s="319"/>
      <c r="AO722" s="44" t="s">
        <v>2334</v>
      </c>
      <c r="AP722" s="44"/>
      <c r="AQ722" s="236" t="str">
        <f>VLOOKUP(Table8[[#This Row],[Instrument]],Def_Targets!$D$73:$E$159,2,FALSE)</f>
        <v>S_Infraimprove</v>
      </c>
      <c r="AR722" s="233" t="str">
        <f>VLOOKUP(Table8[[#This Row],[Country Code]],Table29[],3,FALSE)</f>
        <v>Non-Annex I</v>
      </c>
      <c r="AS722" s="233" t="str">
        <f>VLOOKUP(Table8[[#This Row],[Country Code]],Table29[],4,FALSE)</f>
        <v>Africa</v>
      </c>
      <c r="AT722" s="233" t="str">
        <f>VLOOKUP(Table8[[#This Row],[Country Code]],Table29[],5,FALSE)</f>
        <v>Middle-income</v>
      </c>
      <c r="AU722" s="233" t="str">
        <f>VLOOKUP(Table8[[#This Row],[Country Code]],Table29[],6,FALSE)</f>
        <v>no</v>
      </c>
      <c r="AV722" s="233" t="str">
        <f>VLOOKUP(Table8[[#This Row],[Country Code]],Table29[],7,FALSE)</f>
        <v>no</v>
      </c>
      <c r="AW722" s="233" t="str">
        <f>VLOOKUP(Table8[[#This Row],[Country Code]],Table29[],8,FALSE)</f>
        <v>non-OECD</v>
      </c>
      <c r="AX722" s="233" t="str">
        <f>VLOOKUP(Table8[[#This Row],[Country Code]],Table29[],9,FALSE)</f>
        <v>no</v>
      </c>
      <c r="AY722" s="233" t="str">
        <f>VLOOKUP(Table8[[#This Row],[Country Code]],Table29[],10,FALSE)</f>
        <v>no</v>
      </c>
      <c r="AZ722" s="235">
        <f>VLOOKUP(Table8[[#This Row],[Country Code]],Table29[],23,FALSE)</f>
        <v>6.9820980789903002</v>
      </c>
      <c r="BA722" s="235">
        <f>VLOOKUP(Table8[[#This Row],[Country Code]],Table29[],24,FALSE)</f>
        <v>0.54145530040743117</v>
      </c>
      <c r="BB722" s="320"/>
      <c r="BC722" s="320"/>
    </row>
    <row r="723" spans="1:55" ht="45" hidden="1" x14ac:dyDescent="0.25">
      <c r="A723" s="373">
        <v>17584</v>
      </c>
      <c r="B723" s="233" t="str">
        <f>VLOOKUP(Table8[[#This Row],[Document ID]],Table1[],2,FALSE)</f>
        <v>GNQ</v>
      </c>
      <c r="C723" s="233" t="str">
        <f>VLOOKUP(Table8[[#This Row],[Document ID]],Table1[],3,FALSE)</f>
        <v>Equatorial Guinea</v>
      </c>
      <c r="D723" s="243" t="str">
        <f>VLOOKUP(Table8[[#This Row],[Document ID]],Table1[],5,FALSE)</f>
        <v>NDC</v>
      </c>
      <c r="E723" s="233" t="str">
        <f>VLOOKUP(Table8[[#This Row],[Document ID]],Table1[],7,FALSE)</f>
        <v>First NDC</v>
      </c>
      <c r="F723" s="236" t="str">
        <f>VLOOKUP(Table8[[#This Row],[Document ID]],Table1[],8,FALSE)</f>
        <v>NDC 1.0</v>
      </c>
      <c r="G723" s="236" t="str">
        <f>VLOOKUP(Table8[[#This Row],[Document ID]],Table1[],10,FALSE)</f>
        <v>Archived</v>
      </c>
      <c r="H723" s="43" t="s">
        <v>2484</v>
      </c>
      <c r="I723" s="43" t="s">
        <v>2488</v>
      </c>
      <c r="J723" s="44" t="s">
        <v>2489</v>
      </c>
      <c r="K723" s="44" t="s">
        <v>3033</v>
      </c>
      <c r="L723" s="44" t="s">
        <v>2333</v>
      </c>
      <c r="M723" s="43"/>
      <c r="N723" s="113"/>
      <c r="O723" s="113"/>
      <c r="P723" s="113"/>
      <c r="Q723" s="319"/>
      <c r="R723" s="319"/>
      <c r="S723" s="319"/>
      <c r="T723" s="319"/>
      <c r="U723" s="319"/>
      <c r="V723" s="319"/>
      <c r="W723" s="319"/>
      <c r="X723" s="319"/>
      <c r="Y723" s="319"/>
      <c r="Z723" s="319"/>
      <c r="AA723" s="319"/>
      <c r="AB723" s="319"/>
      <c r="AC723" s="319"/>
      <c r="AD723" s="319"/>
      <c r="AE723" s="319"/>
      <c r="AF723" s="319"/>
      <c r="AG723" s="319"/>
      <c r="AH723" s="113" t="s">
        <v>1113</v>
      </c>
      <c r="AI723" s="113"/>
      <c r="AJ723" s="113"/>
      <c r="AK723" s="319" t="s">
        <v>1113</v>
      </c>
      <c r="AL723" s="319"/>
      <c r="AM723" s="319"/>
      <c r="AN723" s="319"/>
      <c r="AO723" s="44" t="s">
        <v>2334</v>
      </c>
      <c r="AP723" s="44"/>
      <c r="AQ723" s="236" t="str">
        <f>VLOOKUP(Table8[[#This Row],[Instrument]],Def_Targets!$D$73:$E$159,2,FALSE)</f>
        <v>I_Aviation</v>
      </c>
      <c r="AR723" s="233" t="str">
        <f>VLOOKUP(Table8[[#This Row],[Country Code]],Table29[],3,FALSE)</f>
        <v>Non-Annex I</v>
      </c>
      <c r="AS723" s="233" t="str">
        <f>VLOOKUP(Table8[[#This Row],[Country Code]],Table29[],4,FALSE)</f>
        <v>Africa</v>
      </c>
      <c r="AT723" s="233" t="str">
        <f>VLOOKUP(Table8[[#This Row],[Country Code]],Table29[],5,FALSE)</f>
        <v>Middle-income</v>
      </c>
      <c r="AU723" s="233" t="str">
        <f>VLOOKUP(Table8[[#This Row],[Country Code]],Table29[],6,FALSE)</f>
        <v>no</v>
      </c>
      <c r="AV723" s="233" t="str">
        <f>VLOOKUP(Table8[[#This Row],[Country Code]],Table29[],7,FALSE)</f>
        <v>no</v>
      </c>
      <c r="AW723" s="233" t="str">
        <f>VLOOKUP(Table8[[#This Row],[Country Code]],Table29[],8,FALSE)</f>
        <v>non-OECD</v>
      </c>
      <c r="AX723" s="233" t="str">
        <f>VLOOKUP(Table8[[#This Row],[Country Code]],Table29[],9,FALSE)</f>
        <v>no</v>
      </c>
      <c r="AY723" s="233" t="str">
        <f>VLOOKUP(Table8[[#This Row],[Country Code]],Table29[],10,FALSE)</f>
        <v>no</v>
      </c>
      <c r="AZ723" s="235">
        <f>VLOOKUP(Table8[[#This Row],[Country Code]],Table29[],23,FALSE)</f>
        <v>6.9820980789903002</v>
      </c>
      <c r="BA723" s="235">
        <f>VLOOKUP(Table8[[#This Row],[Country Code]],Table29[],24,FALSE)</f>
        <v>0.54145530040743117</v>
      </c>
      <c r="BB723" s="320"/>
      <c r="BC723" s="320"/>
    </row>
    <row r="724" spans="1:55" hidden="1" x14ac:dyDescent="0.25">
      <c r="A724" s="373">
        <v>17584</v>
      </c>
      <c r="B724" s="233" t="str">
        <f>VLOOKUP(Table8[[#This Row],[Document ID]],Table1[],2,FALSE)</f>
        <v>GNQ</v>
      </c>
      <c r="C724" s="233" t="str">
        <f>VLOOKUP(Table8[[#This Row],[Document ID]],Table1[],3,FALSE)</f>
        <v>Equatorial Guinea</v>
      </c>
      <c r="D724" s="243" t="str">
        <f>VLOOKUP(Table8[[#This Row],[Document ID]],Table1[],5,FALSE)</f>
        <v>NDC</v>
      </c>
      <c r="E724" s="233" t="str">
        <f>VLOOKUP(Table8[[#This Row],[Document ID]],Table1[],7,FALSE)</f>
        <v>First NDC</v>
      </c>
      <c r="F724" s="236" t="str">
        <f>VLOOKUP(Table8[[#This Row],[Document ID]],Table1[],8,FALSE)</f>
        <v>NDC 1.0</v>
      </c>
      <c r="G724" s="236" t="str">
        <f>VLOOKUP(Table8[[#This Row],[Document ID]],Table1[],10,FALSE)</f>
        <v>Archived</v>
      </c>
      <c r="H724" s="43" t="s">
        <v>2484</v>
      </c>
      <c r="I724" s="43" t="s">
        <v>2485</v>
      </c>
      <c r="J724" s="44" t="s">
        <v>2978</v>
      </c>
      <c r="K724" s="44" t="s">
        <v>3034</v>
      </c>
      <c r="L724" s="44" t="s">
        <v>2333</v>
      </c>
      <c r="M724" s="43"/>
      <c r="N724" s="113"/>
      <c r="O724" s="113"/>
      <c r="P724" s="113"/>
      <c r="Q724" s="319"/>
      <c r="R724" s="319"/>
      <c r="S724" s="319"/>
      <c r="T724" s="319"/>
      <c r="U724" s="319"/>
      <c r="V724" s="319"/>
      <c r="W724" s="319"/>
      <c r="X724" s="319"/>
      <c r="Y724" s="319"/>
      <c r="Z724" s="319"/>
      <c r="AA724" s="319"/>
      <c r="AB724" s="319"/>
      <c r="AC724" s="319"/>
      <c r="AD724" s="113" t="s">
        <v>1113</v>
      </c>
      <c r="AE724" s="319"/>
      <c r="AF724" s="319"/>
      <c r="AG724" s="319"/>
      <c r="AH724" s="319"/>
      <c r="AI724" s="319"/>
      <c r="AJ724" s="319"/>
      <c r="AK724" s="319" t="s">
        <v>1113</v>
      </c>
      <c r="AL724" s="319"/>
      <c r="AM724" s="319"/>
      <c r="AN724" s="319"/>
      <c r="AO724" s="44" t="s">
        <v>2334</v>
      </c>
      <c r="AP724" s="44"/>
      <c r="AQ724" s="236" t="str">
        <f>VLOOKUP(Table8[[#This Row],[Instrument]],Def_Targets!$D$73:$E$159,2,FALSE)</f>
        <v>I_PortInfra</v>
      </c>
      <c r="AR724" s="233" t="str">
        <f>VLOOKUP(Table8[[#This Row],[Country Code]],Table29[],3,FALSE)</f>
        <v>Non-Annex I</v>
      </c>
      <c r="AS724" s="233" t="str">
        <f>VLOOKUP(Table8[[#This Row],[Country Code]],Table29[],4,FALSE)</f>
        <v>Africa</v>
      </c>
      <c r="AT724" s="233" t="str">
        <f>VLOOKUP(Table8[[#This Row],[Country Code]],Table29[],5,FALSE)</f>
        <v>Middle-income</v>
      </c>
      <c r="AU724" s="233" t="str">
        <f>VLOOKUP(Table8[[#This Row],[Country Code]],Table29[],6,FALSE)</f>
        <v>no</v>
      </c>
      <c r="AV724" s="233" t="str">
        <f>VLOOKUP(Table8[[#This Row],[Country Code]],Table29[],7,FALSE)</f>
        <v>no</v>
      </c>
      <c r="AW724" s="233" t="str">
        <f>VLOOKUP(Table8[[#This Row],[Country Code]],Table29[],8,FALSE)</f>
        <v>non-OECD</v>
      </c>
      <c r="AX724" s="233" t="str">
        <f>VLOOKUP(Table8[[#This Row],[Country Code]],Table29[],9,FALSE)</f>
        <v>no</v>
      </c>
      <c r="AY724" s="233" t="str">
        <f>VLOOKUP(Table8[[#This Row],[Country Code]],Table29[],10,FALSE)</f>
        <v>no</v>
      </c>
      <c r="AZ724" s="235">
        <f>VLOOKUP(Table8[[#This Row],[Country Code]],Table29[],23,FALSE)</f>
        <v>6.9820980789903002</v>
      </c>
      <c r="BA724" s="235">
        <f>VLOOKUP(Table8[[#This Row],[Country Code]],Table29[],24,FALSE)</f>
        <v>0.54145530040743117</v>
      </c>
      <c r="BB724" s="320"/>
      <c r="BC724" s="320"/>
    </row>
    <row r="725" spans="1:55" ht="30" hidden="1" x14ac:dyDescent="0.25">
      <c r="A725" s="373">
        <v>17584</v>
      </c>
      <c r="B725" s="233" t="str">
        <f>VLOOKUP(Table8[[#This Row],[Document ID]],Table1[],2,FALSE)</f>
        <v>GNQ</v>
      </c>
      <c r="C725" s="233" t="str">
        <f>VLOOKUP(Table8[[#This Row],[Document ID]],Table1[],3,FALSE)</f>
        <v>Equatorial Guinea</v>
      </c>
      <c r="D725" s="243" t="str">
        <f>VLOOKUP(Table8[[#This Row],[Document ID]],Table1[],5,FALSE)</f>
        <v>NDC</v>
      </c>
      <c r="E725" s="233" t="str">
        <f>VLOOKUP(Table8[[#This Row],[Document ID]],Table1[],7,FALSE)</f>
        <v>First NDC</v>
      </c>
      <c r="F725" s="236" t="str">
        <f>VLOOKUP(Table8[[#This Row],[Document ID]],Table1[],8,FALSE)</f>
        <v>NDC 1.0</v>
      </c>
      <c r="G725" s="236" t="str">
        <f>VLOOKUP(Table8[[#This Row],[Document ID]],Table1[],10,FALSE)</f>
        <v>Archived</v>
      </c>
      <c r="H725" s="43" t="s">
        <v>2343</v>
      </c>
      <c r="I725" s="43" t="s">
        <v>2344</v>
      </c>
      <c r="J725" s="44" t="s">
        <v>2345</v>
      </c>
      <c r="K725" s="44" t="s">
        <v>3035</v>
      </c>
      <c r="L725" s="44" t="s">
        <v>2347</v>
      </c>
      <c r="M725" s="43"/>
      <c r="N725" s="113" t="s">
        <v>1113</v>
      </c>
      <c r="O725" s="113"/>
      <c r="P725" s="113"/>
      <c r="Q725" s="319"/>
      <c r="R725" s="319"/>
      <c r="S725" s="319"/>
      <c r="T725" s="319"/>
      <c r="U725" s="319"/>
      <c r="V725" s="319"/>
      <c r="W725" s="319"/>
      <c r="X725" s="319"/>
      <c r="Y725" s="319"/>
      <c r="Z725" s="319"/>
      <c r="AA725" s="319"/>
      <c r="AB725" s="319"/>
      <c r="AC725" s="319"/>
      <c r="AD725" s="319"/>
      <c r="AE725" s="319"/>
      <c r="AF725" s="319"/>
      <c r="AG725" s="319"/>
      <c r="AH725" s="319"/>
      <c r="AI725" s="319"/>
      <c r="AJ725" s="319"/>
      <c r="AK725" s="319"/>
      <c r="AL725" s="113" t="s">
        <v>1113</v>
      </c>
      <c r="AM725" s="113"/>
      <c r="AN725" s="113" t="s">
        <v>1113</v>
      </c>
      <c r="AO725" s="44" t="s">
        <v>2334</v>
      </c>
      <c r="AP725" s="44"/>
      <c r="AQ725" s="236" t="str">
        <f>VLOOKUP(Table8[[#This Row],[Instrument]],Def_Targets!$D$73:$E$159,2,FALSE)</f>
        <v>S_PublicTransport</v>
      </c>
      <c r="AR725" s="233" t="str">
        <f>VLOOKUP(Table8[[#This Row],[Country Code]],Table29[],3,FALSE)</f>
        <v>Non-Annex I</v>
      </c>
      <c r="AS725" s="233" t="str">
        <f>VLOOKUP(Table8[[#This Row],[Country Code]],Table29[],4,FALSE)</f>
        <v>Africa</v>
      </c>
      <c r="AT725" s="233" t="str">
        <f>VLOOKUP(Table8[[#This Row],[Country Code]],Table29[],5,FALSE)</f>
        <v>Middle-income</v>
      </c>
      <c r="AU725" s="233" t="str">
        <f>VLOOKUP(Table8[[#This Row],[Country Code]],Table29[],6,FALSE)</f>
        <v>no</v>
      </c>
      <c r="AV725" s="233" t="str">
        <f>VLOOKUP(Table8[[#This Row],[Country Code]],Table29[],7,FALSE)</f>
        <v>no</v>
      </c>
      <c r="AW725" s="233" t="str">
        <f>VLOOKUP(Table8[[#This Row],[Country Code]],Table29[],8,FALSE)</f>
        <v>non-OECD</v>
      </c>
      <c r="AX725" s="233" t="str">
        <f>VLOOKUP(Table8[[#This Row],[Country Code]],Table29[],9,FALSE)</f>
        <v>no</v>
      </c>
      <c r="AY725" s="233" t="str">
        <f>VLOOKUP(Table8[[#This Row],[Country Code]],Table29[],10,FALSE)</f>
        <v>no</v>
      </c>
      <c r="AZ725" s="235">
        <f>VLOOKUP(Table8[[#This Row],[Country Code]],Table29[],23,FALSE)</f>
        <v>6.9820980789903002</v>
      </c>
      <c r="BA725" s="235">
        <f>VLOOKUP(Table8[[#This Row],[Country Code]],Table29[],24,FALSE)</f>
        <v>0.54145530040743117</v>
      </c>
      <c r="BB725" s="320"/>
      <c r="BC725" s="320"/>
    </row>
    <row r="726" spans="1:55" hidden="1" x14ac:dyDescent="0.25">
      <c r="A726" s="373">
        <v>17584</v>
      </c>
      <c r="B726" s="233" t="str">
        <f>VLOOKUP(Table8[[#This Row],[Document ID]],Table1[],2,FALSE)</f>
        <v>GNQ</v>
      </c>
      <c r="C726" s="233" t="str">
        <f>VLOOKUP(Table8[[#This Row],[Document ID]],Table1[],3,FALSE)</f>
        <v>Equatorial Guinea</v>
      </c>
      <c r="D726" s="243" t="str">
        <f>VLOOKUP(Table8[[#This Row],[Document ID]],Table1[],5,FALSE)</f>
        <v>NDC</v>
      </c>
      <c r="E726" s="233" t="str">
        <f>VLOOKUP(Table8[[#This Row],[Document ID]],Table1[],7,FALSE)</f>
        <v>First NDC</v>
      </c>
      <c r="F726" s="236" t="str">
        <f>VLOOKUP(Table8[[#This Row],[Document ID]],Table1[],8,FALSE)</f>
        <v>NDC 1.0</v>
      </c>
      <c r="G726" s="236" t="str">
        <f>VLOOKUP(Table8[[#This Row],[Document ID]],Table1[],10,FALSE)</f>
        <v>Archived</v>
      </c>
      <c r="H726" s="43" t="s">
        <v>2484</v>
      </c>
      <c r="I726" s="43" t="s">
        <v>2488</v>
      </c>
      <c r="J726" s="44" t="s">
        <v>2712</v>
      </c>
      <c r="K726" s="44" t="s">
        <v>3036</v>
      </c>
      <c r="L726" s="44" t="s">
        <v>2333</v>
      </c>
      <c r="M726" s="43"/>
      <c r="N726" s="113"/>
      <c r="O726" s="113"/>
      <c r="P726" s="113"/>
      <c r="Q726" s="319"/>
      <c r="R726" s="319"/>
      <c r="S726" s="319"/>
      <c r="T726" s="319"/>
      <c r="U726" s="319"/>
      <c r="V726" s="319"/>
      <c r="W726" s="319"/>
      <c r="X726" s="319"/>
      <c r="Y726" s="319"/>
      <c r="Z726" s="319"/>
      <c r="AA726" s="319"/>
      <c r="AB726" s="319"/>
      <c r="AC726" s="319"/>
      <c r="AD726" s="319"/>
      <c r="AE726" s="319"/>
      <c r="AF726" s="319"/>
      <c r="AG726" s="319"/>
      <c r="AH726" s="113" t="s">
        <v>1113</v>
      </c>
      <c r="AI726" s="113"/>
      <c r="AJ726" s="113"/>
      <c r="AK726" s="319" t="s">
        <v>1113</v>
      </c>
      <c r="AL726" s="319"/>
      <c r="AM726" s="319"/>
      <c r="AN726" s="319"/>
      <c r="AO726" s="44" t="s">
        <v>2334</v>
      </c>
      <c r="AP726" s="44"/>
      <c r="AQ726" s="236" t="str">
        <f>VLOOKUP(Table8[[#This Row],[Instrument]],Def_Targets!$D$73:$E$159,2,FALSE)</f>
        <v>I_Airtraffic</v>
      </c>
      <c r="AR726" s="233" t="str">
        <f>VLOOKUP(Table8[[#This Row],[Country Code]],Table29[],3,FALSE)</f>
        <v>Non-Annex I</v>
      </c>
      <c r="AS726" s="233" t="str">
        <f>VLOOKUP(Table8[[#This Row],[Country Code]],Table29[],4,FALSE)</f>
        <v>Africa</v>
      </c>
      <c r="AT726" s="233" t="str">
        <f>VLOOKUP(Table8[[#This Row],[Country Code]],Table29[],5,FALSE)</f>
        <v>Middle-income</v>
      </c>
      <c r="AU726" s="233" t="str">
        <f>VLOOKUP(Table8[[#This Row],[Country Code]],Table29[],6,FALSE)</f>
        <v>no</v>
      </c>
      <c r="AV726" s="233" t="str">
        <f>VLOOKUP(Table8[[#This Row],[Country Code]],Table29[],7,FALSE)</f>
        <v>no</v>
      </c>
      <c r="AW726" s="233" t="str">
        <f>VLOOKUP(Table8[[#This Row],[Country Code]],Table29[],8,FALSE)</f>
        <v>non-OECD</v>
      </c>
      <c r="AX726" s="233" t="str">
        <f>VLOOKUP(Table8[[#This Row],[Country Code]],Table29[],9,FALSE)</f>
        <v>no</v>
      </c>
      <c r="AY726" s="233" t="str">
        <f>VLOOKUP(Table8[[#This Row],[Country Code]],Table29[],10,FALSE)</f>
        <v>no</v>
      </c>
      <c r="AZ726" s="235">
        <f>VLOOKUP(Table8[[#This Row],[Country Code]],Table29[],23,FALSE)</f>
        <v>6.9820980789903002</v>
      </c>
      <c r="BA726" s="235">
        <f>VLOOKUP(Table8[[#This Row],[Country Code]],Table29[],24,FALSE)</f>
        <v>0.54145530040743117</v>
      </c>
      <c r="BB726" s="320"/>
      <c r="BC726" s="320"/>
    </row>
    <row r="727" spans="1:55" hidden="1" x14ac:dyDescent="0.25">
      <c r="A727" s="373">
        <v>17584</v>
      </c>
      <c r="B727" s="233" t="str">
        <f>VLOOKUP(Table8[[#This Row],[Document ID]],Table1[],2,FALSE)</f>
        <v>GNQ</v>
      </c>
      <c r="C727" s="233" t="str">
        <f>VLOOKUP(Table8[[#This Row],[Document ID]],Table1[],3,FALSE)</f>
        <v>Equatorial Guinea</v>
      </c>
      <c r="D727" s="243" t="str">
        <f>VLOOKUP(Table8[[#This Row],[Document ID]],Table1[],5,FALSE)</f>
        <v>NDC</v>
      </c>
      <c r="E727" s="233" t="str">
        <f>VLOOKUP(Table8[[#This Row],[Document ID]],Table1[],7,FALSE)</f>
        <v>First NDC</v>
      </c>
      <c r="F727" s="236" t="str">
        <f>VLOOKUP(Table8[[#This Row],[Document ID]],Table1[],8,FALSE)</f>
        <v>NDC 1.0</v>
      </c>
      <c r="G727" s="236" t="str">
        <f>VLOOKUP(Table8[[#This Row],[Document ID]],Table1[],10,FALSE)</f>
        <v>Archived</v>
      </c>
      <c r="H727" s="43" t="s">
        <v>2484</v>
      </c>
      <c r="I727" s="43" t="s">
        <v>2485</v>
      </c>
      <c r="J727" s="44" t="s">
        <v>2486</v>
      </c>
      <c r="K727" s="44" t="s">
        <v>3037</v>
      </c>
      <c r="L727" s="44" t="s">
        <v>2333</v>
      </c>
      <c r="M727" s="43"/>
      <c r="N727" s="113"/>
      <c r="O727" s="113"/>
      <c r="P727" s="113"/>
      <c r="Q727" s="319"/>
      <c r="R727" s="319"/>
      <c r="S727" s="319" t="s">
        <v>1113</v>
      </c>
      <c r="T727" s="319"/>
      <c r="U727" s="319"/>
      <c r="V727" s="319"/>
      <c r="W727" s="319"/>
      <c r="X727" s="319"/>
      <c r="Y727" s="319"/>
      <c r="Z727" s="319"/>
      <c r="AA727" s="319"/>
      <c r="AB727" s="319"/>
      <c r="AC727" s="319"/>
      <c r="AD727" s="319" t="s">
        <v>1113</v>
      </c>
      <c r="AE727" s="319"/>
      <c r="AF727" s="319"/>
      <c r="AG727" s="319"/>
      <c r="AH727" s="319" t="s">
        <v>1113</v>
      </c>
      <c r="AI727" s="319"/>
      <c r="AJ727" s="319"/>
      <c r="AK727" s="319" t="s">
        <v>1113</v>
      </c>
      <c r="AL727" s="319"/>
      <c r="AM727" s="319"/>
      <c r="AN727" s="319"/>
      <c r="AO727" s="44" t="s">
        <v>2334</v>
      </c>
      <c r="AP727" s="44"/>
      <c r="AQ727" s="236" t="str">
        <f>VLOOKUP(Table8[[#This Row],[Instrument]],Def_Targets!$D$73:$E$159,2,FALSE)</f>
        <v>I_Shipping</v>
      </c>
      <c r="AR727" s="233" t="str">
        <f>VLOOKUP(Table8[[#This Row],[Country Code]],Table29[],3,FALSE)</f>
        <v>Non-Annex I</v>
      </c>
      <c r="AS727" s="233" t="str">
        <f>VLOOKUP(Table8[[#This Row],[Country Code]],Table29[],4,FALSE)</f>
        <v>Africa</v>
      </c>
      <c r="AT727" s="233" t="str">
        <f>VLOOKUP(Table8[[#This Row],[Country Code]],Table29[],5,FALSE)</f>
        <v>Middle-income</v>
      </c>
      <c r="AU727" s="233" t="str">
        <f>VLOOKUP(Table8[[#This Row],[Country Code]],Table29[],6,FALSE)</f>
        <v>no</v>
      </c>
      <c r="AV727" s="233" t="str">
        <f>VLOOKUP(Table8[[#This Row],[Country Code]],Table29[],7,FALSE)</f>
        <v>no</v>
      </c>
      <c r="AW727" s="233" t="str">
        <f>VLOOKUP(Table8[[#This Row],[Country Code]],Table29[],8,FALSE)</f>
        <v>non-OECD</v>
      </c>
      <c r="AX727" s="233" t="str">
        <f>VLOOKUP(Table8[[#This Row],[Country Code]],Table29[],9,FALSE)</f>
        <v>no</v>
      </c>
      <c r="AY727" s="233" t="str">
        <f>VLOOKUP(Table8[[#This Row],[Country Code]],Table29[],10,FALSE)</f>
        <v>no</v>
      </c>
      <c r="AZ727" s="235">
        <f>VLOOKUP(Table8[[#This Row],[Country Code]],Table29[],23,FALSE)</f>
        <v>6.9820980789903002</v>
      </c>
      <c r="BA727" s="235">
        <f>VLOOKUP(Table8[[#This Row],[Country Code]],Table29[],24,FALSE)</f>
        <v>0.54145530040743117</v>
      </c>
      <c r="BB727" s="320"/>
      <c r="BC727" s="320"/>
    </row>
    <row r="728" spans="1:55" ht="30" hidden="1" x14ac:dyDescent="0.25">
      <c r="A728" s="373">
        <v>32499</v>
      </c>
      <c r="B728" s="233" t="str">
        <f>VLOOKUP(Table8[[#This Row],[Document ID]],Table1[],2,FALSE)</f>
        <v>GNQ</v>
      </c>
      <c r="C728" s="233" t="str">
        <f>VLOOKUP(Table8[[#This Row],[Document ID]],Table1[],3,FALSE)</f>
        <v>Equatorial Guinea</v>
      </c>
      <c r="D728" s="243" t="str">
        <f>VLOOKUP(Table8[[#This Row],[Document ID]],Table1[],5,FALSE)</f>
        <v>NDC</v>
      </c>
      <c r="E728" s="233" t="str">
        <f>VLOOKUP(Table8[[#This Row],[Document ID]],Table1[],7,FALSE)</f>
        <v>First NDC updated</v>
      </c>
      <c r="F728" s="233" t="str">
        <f>VLOOKUP(Table8[[#This Row],[Document ID]],Table1[],8,FALSE)</f>
        <v>NDC 1.1</v>
      </c>
      <c r="G728" s="233" t="str">
        <f>VLOOKUP(Table8[[#This Row],[Document ID]],Table1[],10,FALSE)</f>
        <v>Active</v>
      </c>
      <c r="H728" s="43" t="s">
        <v>2343</v>
      </c>
      <c r="I728" s="43" t="s">
        <v>2344</v>
      </c>
      <c r="J728" s="44" t="s">
        <v>2345</v>
      </c>
      <c r="K728" s="44" t="s">
        <v>3038</v>
      </c>
      <c r="L728" s="44" t="s">
        <v>2347</v>
      </c>
      <c r="M728" s="43">
        <v>23</v>
      </c>
      <c r="N728" s="113" t="s">
        <v>1113</v>
      </c>
      <c r="O728" s="113"/>
      <c r="P728" s="113"/>
      <c r="Q728" s="113"/>
      <c r="R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t="s">
        <v>1113</v>
      </c>
      <c r="AM728" s="113"/>
      <c r="AN728" s="113" t="s">
        <v>1113</v>
      </c>
      <c r="AO728" s="43" t="s">
        <v>2348</v>
      </c>
      <c r="AP728" s="43"/>
      <c r="AQ728" s="236" t="str">
        <f>VLOOKUP(Table8[[#This Row],[Instrument]],Def_Targets!$D$73:$E$159,2,FALSE)</f>
        <v>S_PublicTransport</v>
      </c>
      <c r="AR728" s="233" t="str">
        <f>VLOOKUP(Table8[[#This Row],[Country Code]],Table29[],3,FALSE)</f>
        <v>Non-Annex I</v>
      </c>
      <c r="AS728" s="233" t="str">
        <f>VLOOKUP(Table8[[#This Row],[Country Code]],Table29[],4,FALSE)</f>
        <v>Africa</v>
      </c>
      <c r="AT728" s="233" t="str">
        <f>VLOOKUP(Table8[[#This Row],[Country Code]],Table29[],5,FALSE)</f>
        <v>Middle-income</v>
      </c>
      <c r="AU728" s="233" t="str">
        <f>VLOOKUP(Table8[[#This Row],[Country Code]],Table29[],6,FALSE)</f>
        <v>no</v>
      </c>
      <c r="AV728" s="233" t="str">
        <f>VLOOKUP(Table8[[#This Row],[Country Code]],Table29[],7,FALSE)</f>
        <v>no</v>
      </c>
      <c r="AW728" s="233" t="str">
        <f>VLOOKUP(Table8[[#This Row],[Country Code]],Table29[],8,FALSE)</f>
        <v>non-OECD</v>
      </c>
      <c r="AX728" s="233" t="str">
        <f>VLOOKUP(Table8[[#This Row],[Country Code]],Table29[],9,FALSE)</f>
        <v>no</v>
      </c>
      <c r="AY728" s="233" t="str">
        <f>VLOOKUP(Table8[[#This Row],[Country Code]],Table29[],10,FALSE)</f>
        <v>no</v>
      </c>
      <c r="AZ728" s="235">
        <f>VLOOKUP(Table8[[#This Row],[Country Code]],Table29[],23,FALSE)</f>
        <v>6.9820980789903002</v>
      </c>
      <c r="BA728" s="235">
        <f>VLOOKUP(Table8[[#This Row],[Country Code]],Table29[],24,FALSE)</f>
        <v>0.54145530040743117</v>
      </c>
      <c r="BB728" s="320"/>
      <c r="BC728" s="320"/>
    </row>
    <row r="729" spans="1:55" ht="30" hidden="1" x14ac:dyDescent="0.25">
      <c r="A729" s="373">
        <v>32499</v>
      </c>
      <c r="B729" s="233" t="str">
        <f>VLOOKUP(Table8[[#This Row],[Document ID]],Table1[],2,FALSE)</f>
        <v>GNQ</v>
      </c>
      <c r="C729" s="233" t="str">
        <f>VLOOKUP(Table8[[#This Row],[Document ID]],Table1[],3,FALSE)</f>
        <v>Equatorial Guinea</v>
      </c>
      <c r="D729" s="243" t="str">
        <f>VLOOKUP(Table8[[#This Row],[Document ID]],Table1[],5,FALSE)</f>
        <v>NDC</v>
      </c>
      <c r="E729" s="233" t="str">
        <f>VLOOKUP(Table8[[#This Row],[Document ID]],Table1[],7,FALSE)</f>
        <v>First NDC updated</v>
      </c>
      <c r="F729" s="233" t="str">
        <f>VLOOKUP(Table8[[#This Row],[Document ID]],Table1[],8,FALSE)</f>
        <v>NDC 1.1</v>
      </c>
      <c r="G729" s="233" t="str">
        <f>VLOOKUP(Table8[[#This Row],[Document ID]],Table1[],10,FALSE)</f>
        <v>Active</v>
      </c>
      <c r="H729" s="43" t="s">
        <v>2358</v>
      </c>
      <c r="I729" s="43" t="s">
        <v>2359</v>
      </c>
      <c r="J729" s="44" t="s">
        <v>2360</v>
      </c>
      <c r="K729" s="44" t="s">
        <v>3039</v>
      </c>
      <c r="L729" s="44" t="s">
        <v>2471</v>
      </c>
      <c r="M729" s="43">
        <v>23</v>
      </c>
      <c r="N729" s="113"/>
      <c r="O729" s="113"/>
      <c r="P729" s="113"/>
      <c r="Q729" s="113"/>
      <c r="R729" s="113"/>
      <c r="S729" s="113"/>
      <c r="T729" s="113"/>
      <c r="U729" s="113"/>
      <c r="V729" s="113"/>
      <c r="W729" s="113"/>
      <c r="X729" s="113"/>
      <c r="Y729" s="113" t="s">
        <v>1113</v>
      </c>
      <c r="Z729" s="113"/>
      <c r="AA729" s="113"/>
      <c r="AB729" s="113"/>
      <c r="AC729" s="113"/>
      <c r="AD729" s="113"/>
      <c r="AE729" s="113"/>
      <c r="AF729" s="113"/>
      <c r="AG729" s="113"/>
      <c r="AH729" s="113"/>
      <c r="AI729" s="113"/>
      <c r="AJ729" s="113"/>
      <c r="AK729" s="113"/>
      <c r="AL729" s="113" t="s">
        <v>1113</v>
      </c>
      <c r="AM729" s="113"/>
      <c r="AN729" s="113" t="s">
        <v>1113</v>
      </c>
      <c r="AO729" s="43" t="s">
        <v>2348</v>
      </c>
      <c r="AP729" s="43"/>
      <c r="AQ729" s="236" t="str">
        <f>VLOOKUP(Table8[[#This Row],[Instrument]],Def_Targets!$D$73:$E$159,2,FALSE)</f>
        <v>I_Emobility</v>
      </c>
      <c r="AR729" s="233" t="str">
        <f>VLOOKUP(Table8[[#This Row],[Country Code]],Table29[],3,FALSE)</f>
        <v>Non-Annex I</v>
      </c>
      <c r="AS729" s="233" t="str">
        <f>VLOOKUP(Table8[[#This Row],[Country Code]],Table29[],4,FALSE)</f>
        <v>Africa</v>
      </c>
      <c r="AT729" s="233" t="str">
        <f>VLOOKUP(Table8[[#This Row],[Country Code]],Table29[],5,FALSE)</f>
        <v>Middle-income</v>
      </c>
      <c r="AU729" s="233" t="str">
        <f>VLOOKUP(Table8[[#This Row],[Country Code]],Table29[],6,FALSE)</f>
        <v>no</v>
      </c>
      <c r="AV729" s="233" t="str">
        <f>VLOOKUP(Table8[[#This Row],[Country Code]],Table29[],7,FALSE)</f>
        <v>no</v>
      </c>
      <c r="AW729" s="233" t="str">
        <f>VLOOKUP(Table8[[#This Row],[Country Code]],Table29[],8,FALSE)</f>
        <v>non-OECD</v>
      </c>
      <c r="AX729" s="233" t="str">
        <f>VLOOKUP(Table8[[#This Row],[Country Code]],Table29[],9,FALSE)</f>
        <v>no</v>
      </c>
      <c r="AY729" s="233" t="str">
        <f>VLOOKUP(Table8[[#This Row],[Country Code]],Table29[],10,FALSE)</f>
        <v>no</v>
      </c>
      <c r="AZ729" s="235">
        <f>VLOOKUP(Table8[[#This Row],[Country Code]],Table29[],23,FALSE)</f>
        <v>6.9820980789903002</v>
      </c>
      <c r="BA729" s="235">
        <f>VLOOKUP(Table8[[#This Row],[Country Code]],Table29[],24,FALSE)</f>
        <v>0.54145530040743117</v>
      </c>
      <c r="BB729" s="320"/>
      <c r="BC729" s="320"/>
    </row>
    <row r="730" spans="1:55" hidden="1" x14ac:dyDescent="0.25">
      <c r="A730" s="373">
        <v>32499</v>
      </c>
      <c r="B730" s="233" t="str">
        <f>VLOOKUP(Table8[[#This Row],[Document ID]],Table1[],2,FALSE)</f>
        <v>GNQ</v>
      </c>
      <c r="C730" s="233" t="str">
        <f>VLOOKUP(Table8[[#This Row],[Document ID]],Table1[],3,FALSE)</f>
        <v>Equatorial Guinea</v>
      </c>
      <c r="D730" s="243" t="str">
        <f>VLOOKUP(Table8[[#This Row],[Document ID]],Table1[],5,FALSE)</f>
        <v>NDC</v>
      </c>
      <c r="E730" s="233" t="str">
        <f>VLOOKUP(Table8[[#This Row],[Document ID]],Table1[],7,FALSE)</f>
        <v>First NDC updated</v>
      </c>
      <c r="F730" s="233" t="str">
        <f>VLOOKUP(Table8[[#This Row],[Document ID]],Table1[],8,FALSE)</f>
        <v>NDC 1.1</v>
      </c>
      <c r="G730" s="233" t="str">
        <f>VLOOKUP(Table8[[#This Row],[Document ID]],Table1[],10,FALSE)</f>
        <v>Active</v>
      </c>
      <c r="H730" s="43" t="s">
        <v>2358</v>
      </c>
      <c r="I730" s="43" t="s">
        <v>2359</v>
      </c>
      <c r="J730" s="44" t="s">
        <v>2383</v>
      </c>
      <c r="K730" s="44" t="s">
        <v>3040</v>
      </c>
      <c r="L730" s="44" t="s">
        <v>2333</v>
      </c>
      <c r="M730" s="43">
        <v>23</v>
      </c>
      <c r="N730" s="113"/>
      <c r="O730" s="113"/>
      <c r="P730" s="113"/>
      <c r="Q730" s="113"/>
      <c r="R730" s="113"/>
      <c r="S730" s="113"/>
      <c r="T730" s="113"/>
      <c r="U730" s="113"/>
      <c r="V730" s="113"/>
      <c r="W730" s="113"/>
      <c r="X730" s="113"/>
      <c r="Y730" s="113" t="s">
        <v>1113</v>
      </c>
      <c r="Z730" s="113"/>
      <c r="AA730" s="113"/>
      <c r="AB730" s="113"/>
      <c r="AC730" s="113"/>
      <c r="AD730" s="113"/>
      <c r="AE730" s="113"/>
      <c r="AF730" s="113"/>
      <c r="AG730" s="113"/>
      <c r="AH730" s="113"/>
      <c r="AI730" s="113"/>
      <c r="AJ730" s="113"/>
      <c r="AK730" s="113"/>
      <c r="AL730" s="113" t="s">
        <v>1113</v>
      </c>
      <c r="AM730" s="113"/>
      <c r="AN730" s="113" t="s">
        <v>1113</v>
      </c>
      <c r="AO730" s="43" t="s">
        <v>2348</v>
      </c>
      <c r="AP730" s="43"/>
      <c r="AQ730" s="236" t="str">
        <f>VLOOKUP(Table8[[#This Row],[Instrument]],Def_Targets!$D$73:$E$159,2,FALSE)</f>
        <v>I_Emobilitycharging</v>
      </c>
      <c r="AR730" s="233" t="str">
        <f>VLOOKUP(Table8[[#This Row],[Country Code]],Table29[],3,FALSE)</f>
        <v>Non-Annex I</v>
      </c>
      <c r="AS730" s="233" t="str">
        <f>VLOOKUP(Table8[[#This Row],[Country Code]],Table29[],4,FALSE)</f>
        <v>Africa</v>
      </c>
      <c r="AT730" s="233" t="str">
        <f>VLOOKUP(Table8[[#This Row],[Country Code]],Table29[],5,FALSE)</f>
        <v>Middle-income</v>
      </c>
      <c r="AU730" s="233" t="str">
        <f>VLOOKUP(Table8[[#This Row],[Country Code]],Table29[],6,FALSE)</f>
        <v>no</v>
      </c>
      <c r="AV730" s="233" t="str">
        <f>VLOOKUP(Table8[[#This Row],[Country Code]],Table29[],7,FALSE)</f>
        <v>no</v>
      </c>
      <c r="AW730" s="233" t="str">
        <f>VLOOKUP(Table8[[#This Row],[Country Code]],Table29[],8,FALSE)</f>
        <v>non-OECD</v>
      </c>
      <c r="AX730" s="233" t="str">
        <f>VLOOKUP(Table8[[#This Row],[Country Code]],Table29[],9,FALSE)</f>
        <v>no</v>
      </c>
      <c r="AY730" s="233" t="str">
        <f>VLOOKUP(Table8[[#This Row],[Country Code]],Table29[],10,FALSE)</f>
        <v>no</v>
      </c>
      <c r="AZ730" s="235">
        <f>VLOOKUP(Table8[[#This Row],[Country Code]],Table29[],23,FALSE)</f>
        <v>6.9820980789903002</v>
      </c>
      <c r="BA730" s="235">
        <f>VLOOKUP(Table8[[#This Row],[Country Code]],Table29[],24,FALSE)</f>
        <v>0.54145530040743117</v>
      </c>
      <c r="BB730" s="320"/>
      <c r="BC730" s="320"/>
    </row>
    <row r="731" spans="1:55" ht="45" hidden="1" x14ac:dyDescent="0.25">
      <c r="A731" s="373">
        <v>32499</v>
      </c>
      <c r="B731" s="233" t="str">
        <f>VLOOKUP(Table8[[#This Row],[Document ID]],Table1[],2,FALSE)</f>
        <v>GNQ</v>
      </c>
      <c r="C731" s="233" t="str">
        <f>VLOOKUP(Table8[[#This Row],[Document ID]],Table1[],3,FALSE)</f>
        <v>Equatorial Guinea</v>
      </c>
      <c r="D731" s="243" t="str">
        <f>VLOOKUP(Table8[[#This Row],[Document ID]],Table1[],5,FALSE)</f>
        <v>NDC</v>
      </c>
      <c r="E731" s="233" t="str">
        <f>VLOOKUP(Table8[[#This Row],[Document ID]],Table1[],7,FALSE)</f>
        <v>First NDC updated</v>
      </c>
      <c r="F731" s="233" t="str">
        <f>VLOOKUP(Table8[[#This Row],[Document ID]],Table1[],8,FALSE)</f>
        <v>NDC 1.1</v>
      </c>
      <c r="G731" s="233" t="str">
        <f>VLOOKUP(Table8[[#This Row],[Document ID]],Table1[],10,FALSE)</f>
        <v>Active</v>
      </c>
      <c r="H731" s="43" t="s">
        <v>2350</v>
      </c>
      <c r="I731" s="43" t="s">
        <v>2456</v>
      </c>
      <c r="J731" s="44" t="s">
        <v>2457</v>
      </c>
      <c r="K731" s="44" t="s">
        <v>3041</v>
      </c>
      <c r="L731" s="44" t="s">
        <v>2333</v>
      </c>
      <c r="M731" s="43">
        <v>24</v>
      </c>
      <c r="N731" s="113"/>
      <c r="O731" s="113"/>
      <c r="P731" s="113"/>
      <c r="Q731" s="113"/>
      <c r="R731" s="113"/>
      <c r="S731" s="113" t="s">
        <v>1113</v>
      </c>
      <c r="T731" s="113"/>
      <c r="U731" s="113"/>
      <c r="V731" s="113"/>
      <c r="W731" s="113"/>
      <c r="X731" s="113"/>
      <c r="Y731" s="113"/>
      <c r="Z731" s="113"/>
      <c r="AA731" s="113"/>
      <c r="AB731" s="113"/>
      <c r="AC731" s="113"/>
      <c r="AD731" s="113" t="s">
        <v>1113</v>
      </c>
      <c r="AE731" s="113"/>
      <c r="AF731" s="113"/>
      <c r="AG731" s="113"/>
      <c r="AH731" s="113" t="s">
        <v>1113</v>
      </c>
      <c r="AI731" s="113"/>
      <c r="AJ731" s="113"/>
      <c r="AK731" s="113" t="s">
        <v>1113</v>
      </c>
      <c r="AL731" s="113" t="s">
        <v>1113</v>
      </c>
      <c r="AM731" s="113"/>
      <c r="AN731" s="113"/>
      <c r="AO731" s="44" t="s">
        <v>2334</v>
      </c>
      <c r="AP731" s="43"/>
      <c r="AQ731" s="236" t="str">
        <f>VLOOKUP(Table8[[#This Row],[Instrument]],Def_Targets!$D$73:$E$159,2,FALSE)</f>
        <v>S_Infraimprove</v>
      </c>
      <c r="AR731" s="233" t="str">
        <f>VLOOKUP(Table8[[#This Row],[Country Code]],Table29[],3,FALSE)</f>
        <v>Non-Annex I</v>
      </c>
      <c r="AS731" s="233" t="str">
        <f>VLOOKUP(Table8[[#This Row],[Country Code]],Table29[],4,FALSE)</f>
        <v>Africa</v>
      </c>
      <c r="AT731" s="233" t="str">
        <f>VLOOKUP(Table8[[#This Row],[Country Code]],Table29[],5,FALSE)</f>
        <v>Middle-income</v>
      </c>
      <c r="AU731" s="233" t="str">
        <f>VLOOKUP(Table8[[#This Row],[Country Code]],Table29[],6,FALSE)</f>
        <v>no</v>
      </c>
      <c r="AV731" s="233" t="str">
        <f>VLOOKUP(Table8[[#This Row],[Country Code]],Table29[],7,FALSE)</f>
        <v>no</v>
      </c>
      <c r="AW731" s="233" t="str">
        <f>VLOOKUP(Table8[[#This Row],[Country Code]],Table29[],8,FALSE)</f>
        <v>non-OECD</v>
      </c>
      <c r="AX731" s="233" t="str">
        <f>VLOOKUP(Table8[[#This Row],[Country Code]],Table29[],9,FALSE)</f>
        <v>no</v>
      </c>
      <c r="AY731" s="233" t="str">
        <f>VLOOKUP(Table8[[#This Row],[Country Code]],Table29[],10,FALSE)</f>
        <v>no</v>
      </c>
      <c r="AZ731" s="235">
        <f>VLOOKUP(Table8[[#This Row],[Country Code]],Table29[],23,FALSE)</f>
        <v>6.9820980789903002</v>
      </c>
      <c r="BA731" s="235">
        <f>VLOOKUP(Table8[[#This Row],[Country Code]],Table29[],24,FALSE)</f>
        <v>0.54145530040743117</v>
      </c>
      <c r="BB731" s="320"/>
      <c r="BC731" s="320"/>
    </row>
    <row r="732" spans="1:55" ht="30" hidden="1" x14ac:dyDescent="0.25">
      <c r="A732" s="373">
        <v>32499</v>
      </c>
      <c r="B732" s="233" t="str">
        <f>VLOOKUP(Table8[[#This Row],[Document ID]],Table1[],2,FALSE)</f>
        <v>GNQ</v>
      </c>
      <c r="C732" s="233" t="str">
        <f>VLOOKUP(Table8[[#This Row],[Document ID]],Table1[],3,FALSE)</f>
        <v>Equatorial Guinea</v>
      </c>
      <c r="D732" s="243" t="str">
        <f>VLOOKUP(Table8[[#This Row],[Document ID]],Table1[],5,FALSE)</f>
        <v>NDC</v>
      </c>
      <c r="E732" s="233" t="str">
        <f>VLOOKUP(Table8[[#This Row],[Document ID]],Table1[],7,FALSE)</f>
        <v>First NDC updated</v>
      </c>
      <c r="F732" s="233" t="str">
        <f>VLOOKUP(Table8[[#This Row],[Document ID]],Table1[],8,FALSE)</f>
        <v>NDC 1.1</v>
      </c>
      <c r="G732" s="233" t="str">
        <f>VLOOKUP(Table8[[#This Row],[Document ID]],Table1[],10,FALSE)</f>
        <v>Active</v>
      </c>
      <c r="H732" s="43" t="s">
        <v>2350</v>
      </c>
      <c r="I732" s="43" t="s">
        <v>2456</v>
      </c>
      <c r="J732" s="44" t="s">
        <v>2466</v>
      </c>
      <c r="K732" s="44" t="s">
        <v>3042</v>
      </c>
      <c r="L732" s="44" t="s">
        <v>2333</v>
      </c>
      <c r="M732" s="43">
        <v>24</v>
      </c>
      <c r="N732" s="113"/>
      <c r="O732" s="113"/>
      <c r="P732" s="113"/>
      <c r="Q732" s="113"/>
      <c r="R732" s="113"/>
      <c r="S732" s="113" t="s">
        <v>1113</v>
      </c>
      <c r="T732" s="113"/>
      <c r="U732" s="113"/>
      <c r="V732" s="113"/>
      <c r="W732" s="113"/>
      <c r="X732" s="113"/>
      <c r="Y732" s="113"/>
      <c r="Z732" s="113"/>
      <c r="AA732" s="113"/>
      <c r="AB732" s="113"/>
      <c r="AC732" s="113"/>
      <c r="AD732" s="113" t="s">
        <v>1113</v>
      </c>
      <c r="AE732" s="113"/>
      <c r="AF732" s="113"/>
      <c r="AG732" s="113"/>
      <c r="AH732" s="113" t="s">
        <v>1113</v>
      </c>
      <c r="AI732" s="113"/>
      <c r="AJ732" s="113"/>
      <c r="AK732" s="113" t="s">
        <v>1113</v>
      </c>
      <c r="AL732" s="113" t="s">
        <v>1113</v>
      </c>
      <c r="AM732" s="113"/>
      <c r="AN732" s="113"/>
      <c r="AO732" s="44" t="s">
        <v>2334</v>
      </c>
      <c r="AP732" s="43"/>
      <c r="AQ732" s="236" t="str">
        <f>VLOOKUP(Table8[[#This Row],[Instrument]],Def_Targets!$D$73:$E$159,2,FALSE)</f>
        <v>S_Infraexpansion</v>
      </c>
      <c r="AR732" s="233" t="str">
        <f>VLOOKUP(Table8[[#This Row],[Country Code]],Table29[],3,FALSE)</f>
        <v>Non-Annex I</v>
      </c>
      <c r="AS732" s="233" t="str">
        <f>VLOOKUP(Table8[[#This Row],[Country Code]],Table29[],4,FALSE)</f>
        <v>Africa</v>
      </c>
      <c r="AT732" s="233" t="str">
        <f>VLOOKUP(Table8[[#This Row],[Country Code]],Table29[],5,FALSE)</f>
        <v>Middle-income</v>
      </c>
      <c r="AU732" s="233" t="str">
        <f>VLOOKUP(Table8[[#This Row],[Country Code]],Table29[],6,FALSE)</f>
        <v>no</v>
      </c>
      <c r="AV732" s="233" t="str">
        <f>VLOOKUP(Table8[[#This Row],[Country Code]],Table29[],7,FALSE)</f>
        <v>no</v>
      </c>
      <c r="AW732" s="233" t="str">
        <f>VLOOKUP(Table8[[#This Row],[Country Code]],Table29[],8,FALSE)</f>
        <v>non-OECD</v>
      </c>
      <c r="AX732" s="233" t="str">
        <f>VLOOKUP(Table8[[#This Row],[Country Code]],Table29[],9,FALSE)</f>
        <v>no</v>
      </c>
      <c r="AY732" s="233" t="str">
        <f>VLOOKUP(Table8[[#This Row],[Country Code]],Table29[],10,FALSE)</f>
        <v>no</v>
      </c>
      <c r="AZ732" s="235">
        <f>VLOOKUP(Table8[[#This Row],[Country Code]],Table29[],23,FALSE)</f>
        <v>6.9820980789903002</v>
      </c>
      <c r="BA732" s="235">
        <f>VLOOKUP(Table8[[#This Row],[Country Code]],Table29[],24,FALSE)</f>
        <v>0.54145530040743117</v>
      </c>
      <c r="BB732" s="320"/>
      <c r="BC732" s="320"/>
    </row>
    <row r="733" spans="1:55" hidden="1" x14ac:dyDescent="0.25">
      <c r="A733" s="373">
        <v>17585</v>
      </c>
      <c r="B733" s="233" t="str">
        <f>VLOOKUP(Table8[[#This Row],[Document ID]],Table1[],2,FALSE)</f>
        <v>ERI</v>
      </c>
      <c r="C733" s="233" t="str">
        <f>VLOOKUP(Table8[[#This Row],[Document ID]],Table1[],3,FALSE)</f>
        <v>Eritrea</v>
      </c>
      <c r="D733" s="243" t="str">
        <f>VLOOKUP(Table8[[#This Row],[Document ID]],Table1[],5,FALSE)</f>
        <v>NDC</v>
      </c>
      <c r="E733" s="233" t="str">
        <f>VLOOKUP(Table8[[#This Row],[Document ID]],Table1[],7,FALSE)</f>
        <v>First NDC</v>
      </c>
      <c r="F733" s="236" t="str">
        <f>VLOOKUP(Table8[[#This Row],[Document ID]],Table1[],8,FALSE)</f>
        <v>NDC 1.0</v>
      </c>
      <c r="G733" s="236" t="str">
        <f>VLOOKUP(Table8[[#This Row],[Document ID]],Table1[],10,FALSE)</f>
        <v>Active</v>
      </c>
      <c r="H733" s="44" t="s">
        <v>2329</v>
      </c>
      <c r="I733" s="44" t="s">
        <v>2330</v>
      </c>
      <c r="J733" s="44" t="s">
        <v>2357</v>
      </c>
      <c r="K733" s="44" t="s">
        <v>3043</v>
      </c>
      <c r="L733" s="44" t="s">
        <v>2333</v>
      </c>
      <c r="M733" s="43"/>
      <c r="N733" s="113"/>
      <c r="O733" s="113"/>
      <c r="P733" s="113"/>
      <c r="Q733" s="319"/>
      <c r="R733" s="319"/>
      <c r="S733" s="319"/>
      <c r="T733" s="319"/>
      <c r="U733" s="319"/>
      <c r="V733" s="319"/>
      <c r="W733" s="319"/>
      <c r="X733" s="319"/>
      <c r="Y733" s="319"/>
      <c r="Z733" s="319"/>
      <c r="AA733" s="319"/>
      <c r="AB733" s="319"/>
      <c r="AC733" s="319"/>
      <c r="AD733" s="319"/>
      <c r="AE733" s="319"/>
      <c r="AF733" s="319"/>
      <c r="AG733" s="319"/>
      <c r="AH733" s="113" t="s">
        <v>1113</v>
      </c>
      <c r="AI733" s="113"/>
      <c r="AJ733" s="113"/>
      <c r="AK733" s="319" t="s">
        <v>1113</v>
      </c>
      <c r="AL733" s="319"/>
      <c r="AM733" s="319"/>
      <c r="AN733" s="319"/>
      <c r="AO733" s="44" t="s">
        <v>2334</v>
      </c>
      <c r="AP733" s="44"/>
      <c r="AQ733" s="236" t="str">
        <f>VLOOKUP(Table8[[#This Row],[Instrument]],Def_Targets!$D$73:$E$159,2,FALSE)</f>
        <v>I_Biofuel</v>
      </c>
      <c r="AR733" s="233" t="str">
        <f>VLOOKUP(Table8[[#This Row],[Country Code]],Table29[],3,FALSE)</f>
        <v>Non-Annex I</v>
      </c>
      <c r="AS733" s="233" t="str">
        <f>VLOOKUP(Table8[[#This Row],[Country Code]],Table29[],4,FALSE)</f>
        <v>Africa</v>
      </c>
      <c r="AT733" s="233" t="str">
        <f>VLOOKUP(Table8[[#This Row],[Country Code]],Table29[],5,FALSE)</f>
        <v>Low-income</v>
      </c>
      <c r="AU733" s="233" t="str">
        <f>VLOOKUP(Table8[[#This Row],[Country Code]],Table29[],6,FALSE)</f>
        <v>no</v>
      </c>
      <c r="AV733" s="233" t="str">
        <f>VLOOKUP(Table8[[#This Row],[Country Code]],Table29[],7,FALSE)</f>
        <v>no</v>
      </c>
      <c r="AW733" s="233" t="str">
        <f>VLOOKUP(Table8[[#This Row],[Country Code]],Table29[],8,FALSE)</f>
        <v>non-OECD</v>
      </c>
      <c r="AX733" s="233" t="str">
        <f>VLOOKUP(Table8[[#This Row],[Country Code]],Table29[],9,FALSE)</f>
        <v>no</v>
      </c>
      <c r="AY733" s="233" t="str">
        <f>VLOOKUP(Table8[[#This Row],[Country Code]],Table29[],10,FALSE)</f>
        <v>no</v>
      </c>
      <c r="AZ733" s="235">
        <f>VLOOKUP(Table8[[#This Row],[Country Code]],Table29[],23,FALSE)</f>
        <v>6.4018203690061002</v>
      </c>
      <c r="BA733" s="235">
        <f>VLOOKUP(Table8[[#This Row],[Country Code]],Table29[],24,FALSE)</f>
        <v>0.2140694731903762</v>
      </c>
      <c r="BB733" s="320"/>
      <c r="BC733" s="320"/>
    </row>
    <row r="734" spans="1:55" hidden="1" x14ac:dyDescent="0.25">
      <c r="A734" s="373">
        <v>17585</v>
      </c>
      <c r="B734" s="233" t="str">
        <f>VLOOKUP(Table8[[#This Row],[Document ID]],Table1[],2,FALSE)</f>
        <v>ERI</v>
      </c>
      <c r="C734" s="233" t="str">
        <f>VLOOKUP(Table8[[#This Row],[Document ID]],Table1[],3,FALSE)</f>
        <v>Eritrea</v>
      </c>
      <c r="D734" s="243" t="str">
        <f>VLOOKUP(Table8[[#This Row],[Document ID]],Table1[],5,FALSE)</f>
        <v>NDC</v>
      </c>
      <c r="E734" s="233" t="str">
        <f>VLOOKUP(Table8[[#This Row],[Document ID]],Table1[],7,FALSE)</f>
        <v>First NDC</v>
      </c>
      <c r="F734" s="236" t="str">
        <f>VLOOKUP(Table8[[#This Row],[Document ID]],Table1[],8,FALSE)</f>
        <v>NDC 1.0</v>
      </c>
      <c r="G734" s="236" t="str">
        <f>VLOOKUP(Table8[[#This Row],[Document ID]],Table1[],10,FALSE)</f>
        <v>Active</v>
      </c>
      <c r="H734" s="43" t="s">
        <v>2350</v>
      </c>
      <c r="I734" s="43" t="s">
        <v>2456</v>
      </c>
      <c r="J734" s="44" t="s">
        <v>2466</v>
      </c>
      <c r="K734" s="44" t="s">
        <v>3044</v>
      </c>
      <c r="L734" s="44" t="s">
        <v>2347</v>
      </c>
      <c r="M734" s="43"/>
      <c r="N734" s="113"/>
      <c r="O734" s="113"/>
      <c r="P734" s="113"/>
      <c r="Q734" s="319"/>
      <c r="R734" s="319"/>
      <c r="S734" s="319"/>
      <c r="T734" s="319"/>
      <c r="U734" s="319"/>
      <c r="V734" s="319"/>
      <c r="W734" s="319"/>
      <c r="X734" s="319"/>
      <c r="Y734" s="319"/>
      <c r="Z734" s="113" t="s">
        <v>1113</v>
      </c>
      <c r="AA734" s="319"/>
      <c r="AB734" s="319"/>
      <c r="AC734" s="319"/>
      <c r="AD734" s="319"/>
      <c r="AE734" s="319"/>
      <c r="AF734" s="319"/>
      <c r="AG734" s="319"/>
      <c r="AH734" s="319"/>
      <c r="AI734" s="319"/>
      <c r="AJ734" s="319"/>
      <c r="AK734" s="319" t="s">
        <v>1113</v>
      </c>
      <c r="AL734" s="319"/>
      <c r="AM734" s="319"/>
      <c r="AN734" s="319"/>
      <c r="AO734" s="44" t="s">
        <v>2334</v>
      </c>
      <c r="AP734" s="44"/>
      <c r="AQ734" s="236" t="str">
        <f>VLOOKUP(Table8[[#This Row],[Instrument]],Def_Targets!$D$73:$E$159,2,FALSE)</f>
        <v>S_Infraexpansion</v>
      </c>
      <c r="AR734" s="233" t="str">
        <f>VLOOKUP(Table8[[#This Row],[Country Code]],Table29[],3,FALSE)</f>
        <v>Non-Annex I</v>
      </c>
      <c r="AS734" s="233" t="str">
        <f>VLOOKUP(Table8[[#This Row],[Country Code]],Table29[],4,FALSE)</f>
        <v>Africa</v>
      </c>
      <c r="AT734" s="233" t="str">
        <f>VLOOKUP(Table8[[#This Row],[Country Code]],Table29[],5,FALSE)</f>
        <v>Low-income</v>
      </c>
      <c r="AU734" s="233" t="str">
        <f>VLOOKUP(Table8[[#This Row],[Country Code]],Table29[],6,FALSE)</f>
        <v>no</v>
      </c>
      <c r="AV734" s="233" t="str">
        <f>VLOOKUP(Table8[[#This Row],[Country Code]],Table29[],7,FALSE)</f>
        <v>no</v>
      </c>
      <c r="AW734" s="233" t="str">
        <f>VLOOKUP(Table8[[#This Row],[Country Code]],Table29[],8,FALSE)</f>
        <v>non-OECD</v>
      </c>
      <c r="AX734" s="233" t="str">
        <f>VLOOKUP(Table8[[#This Row],[Country Code]],Table29[],9,FALSE)</f>
        <v>no</v>
      </c>
      <c r="AY734" s="233" t="str">
        <f>VLOOKUP(Table8[[#This Row],[Country Code]],Table29[],10,FALSE)</f>
        <v>no</v>
      </c>
      <c r="AZ734" s="235">
        <f>VLOOKUP(Table8[[#This Row],[Country Code]],Table29[],23,FALSE)</f>
        <v>6.4018203690061002</v>
      </c>
      <c r="BA734" s="235">
        <f>VLOOKUP(Table8[[#This Row],[Country Code]],Table29[],24,FALSE)</f>
        <v>0.2140694731903762</v>
      </c>
      <c r="BB734" s="320"/>
      <c r="BC734" s="320"/>
    </row>
    <row r="735" spans="1:55" ht="30" hidden="1" x14ac:dyDescent="0.25">
      <c r="A735" s="373">
        <v>17585</v>
      </c>
      <c r="B735" s="233" t="str">
        <f>VLOOKUP(Table8[[#This Row],[Document ID]],Table1[],2,FALSE)</f>
        <v>ERI</v>
      </c>
      <c r="C735" s="233" t="str">
        <f>VLOOKUP(Table8[[#This Row],[Document ID]],Table1[],3,FALSE)</f>
        <v>Eritrea</v>
      </c>
      <c r="D735" s="243" t="str">
        <f>VLOOKUP(Table8[[#This Row],[Document ID]],Table1[],5,FALSE)</f>
        <v>NDC</v>
      </c>
      <c r="E735" s="233" t="str">
        <f>VLOOKUP(Table8[[#This Row],[Document ID]],Table1[],7,FALSE)</f>
        <v>First NDC</v>
      </c>
      <c r="F735" s="236" t="str">
        <f>VLOOKUP(Table8[[#This Row],[Document ID]],Table1[],8,FALSE)</f>
        <v>NDC 1.0</v>
      </c>
      <c r="G735" s="236" t="str">
        <f>VLOOKUP(Table8[[#This Row],[Document ID]],Table1[],10,FALSE)</f>
        <v>Active</v>
      </c>
      <c r="H735" s="44" t="s">
        <v>2338</v>
      </c>
      <c r="I735" s="44" t="s">
        <v>2339</v>
      </c>
      <c r="J735" s="44" t="s">
        <v>2410</v>
      </c>
      <c r="K735" s="44" t="s">
        <v>3045</v>
      </c>
      <c r="L735" s="44" t="s">
        <v>2333</v>
      </c>
      <c r="M735" s="43"/>
      <c r="N735" s="113"/>
      <c r="O735" s="113"/>
      <c r="P735" s="113"/>
      <c r="Q735" s="319"/>
      <c r="R735" s="319"/>
      <c r="S735" s="319"/>
      <c r="T735" s="319"/>
      <c r="U735" s="113" t="s">
        <v>1113</v>
      </c>
      <c r="V735" s="319"/>
      <c r="W735" s="319"/>
      <c r="X735" s="319"/>
      <c r="Y735" s="319"/>
      <c r="Z735" s="319"/>
      <c r="AA735" s="319"/>
      <c r="AB735" s="319"/>
      <c r="AC735" s="319"/>
      <c r="AD735" s="319"/>
      <c r="AE735" s="319"/>
      <c r="AF735" s="319"/>
      <c r="AG735" s="319"/>
      <c r="AH735" s="319"/>
      <c r="AI735" s="319"/>
      <c r="AJ735" s="319"/>
      <c r="AK735" s="319" t="s">
        <v>1113</v>
      </c>
      <c r="AL735" s="319"/>
      <c r="AM735" s="319"/>
      <c r="AN735" s="319"/>
      <c r="AO735" s="43" t="s">
        <v>2348</v>
      </c>
      <c r="AP735" s="44"/>
      <c r="AQ735" s="236" t="str">
        <f>VLOOKUP(Table8[[#This Row],[Instrument]],Def_Targets!$D$73:$E$159,2,FALSE)</f>
        <v>I_VehicleRestrictions</v>
      </c>
      <c r="AR735" s="233" t="str">
        <f>VLOOKUP(Table8[[#This Row],[Country Code]],Table29[],3,FALSE)</f>
        <v>Non-Annex I</v>
      </c>
      <c r="AS735" s="233" t="str">
        <f>VLOOKUP(Table8[[#This Row],[Country Code]],Table29[],4,FALSE)</f>
        <v>Africa</v>
      </c>
      <c r="AT735" s="233" t="str">
        <f>VLOOKUP(Table8[[#This Row],[Country Code]],Table29[],5,FALSE)</f>
        <v>Low-income</v>
      </c>
      <c r="AU735" s="233" t="str">
        <f>VLOOKUP(Table8[[#This Row],[Country Code]],Table29[],6,FALSE)</f>
        <v>no</v>
      </c>
      <c r="AV735" s="233" t="str">
        <f>VLOOKUP(Table8[[#This Row],[Country Code]],Table29[],7,FALSE)</f>
        <v>no</v>
      </c>
      <c r="AW735" s="233" t="str">
        <f>VLOOKUP(Table8[[#This Row],[Country Code]],Table29[],8,FALSE)</f>
        <v>non-OECD</v>
      </c>
      <c r="AX735" s="233" t="str">
        <f>VLOOKUP(Table8[[#This Row],[Country Code]],Table29[],9,FALSE)</f>
        <v>no</v>
      </c>
      <c r="AY735" s="233" t="str">
        <f>VLOOKUP(Table8[[#This Row],[Country Code]],Table29[],10,FALSE)</f>
        <v>no</v>
      </c>
      <c r="AZ735" s="235">
        <f>VLOOKUP(Table8[[#This Row],[Country Code]],Table29[],23,FALSE)</f>
        <v>6.4018203690061002</v>
      </c>
      <c r="BA735" s="235">
        <f>VLOOKUP(Table8[[#This Row],[Country Code]],Table29[],24,FALSE)</f>
        <v>0.2140694731903762</v>
      </c>
      <c r="BB735" s="320"/>
      <c r="BC735" s="320"/>
    </row>
    <row r="736" spans="1:55" hidden="1" x14ac:dyDescent="0.25">
      <c r="A736" s="373">
        <v>17749</v>
      </c>
      <c r="B736" s="233" t="str">
        <f>VLOOKUP(Table8[[#This Row],[Document ID]],Table1[],2,FALSE)</f>
        <v>SWZ</v>
      </c>
      <c r="C736" s="233" t="str">
        <f>VLOOKUP(Table8[[#This Row],[Document ID]],Table1[],3,FALSE)</f>
        <v>Eswatini</v>
      </c>
      <c r="D736" s="243" t="str">
        <f>VLOOKUP(Table8[[#This Row],[Document ID]],Table1[],5,FALSE)</f>
        <v>NDC</v>
      </c>
      <c r="E736" s="233" t="str">
        <f>VLOOKUP(Table8[[#This Row],[Document ID]],Table1[],7,FALSE)</f>
        <v>First NDC</v>
      </c>
      <c r="F736" s="233" t="str">
        <f>VLOOKUP(Table8[[#This Row],[Document ID]],Table1[],8,FALSE)</f>
        <v>NDC 1.0</v>
      </c>
      <c r="G736" s="233" t="str">
        <f>VLOOKUP(Table8[[#This Row],[Document ID]],Table1[],10,FALSE)</f>
        <v>Archived</v>
      </c>
      <c r="H736" s="44" t="s">
        <v>2329</v>
      </c>
      <c r="I736" s="43" t="s">
        <v>2330</v>
      </c>
      <c r="J736" s="44" t="s">
        <v>2357</v>
      </c>
      <c r="K736" s="44" t="s">
        <v>3046</v>
      </c>
      <c r="L736" s="44" t="s">
        <v>2333</v>
      </c>
      <c r="M736" s="43"/>
      <c r="N736" s="113" t="s">
        <v>1113</v>
      </c>
      <c r="O736" s="113"/>
      <c r="P736" s="113"/>
      <c r="Q736" s="113"/>
      <c r="R736" s="113"/>
      <c r="S736" s="113"/>
      <c r="T736" s="113"/>
      <c r="U736" s="113"/>
      <c r="V736" s="113"/>
      <c r="W736" s="113"/>
      <c r="X736" s="113"/>
      <c r="Y736" s="113"/>
      <c r="Z736" s="113"/>
      <c r="AA736" s="113"/>
      <c r="AB736" s="113"/>
      <c r="AC736" s="113"/>
      <c r="AD736" s="113"/>
      <c r="AE736" s="113"/>
      <c r="AF736" s="113"/>
      <c r="AG736" s="113"/>
      <c r="AH736" s="113"/>
      <c r="AI736" s="113"/>
      <c r="AJ736" s="113"/>
      <c r="AK736" s="319" t="s">
        <v>1113</v>
      </c>
      <c r="AL736" s="113"/>
      <c r="AM736" s="113"/>
      <c r="AN736" s="113"/>
      <c r="AO736" s="44" t="s">
        <v>2334</v>
      </c>
      <c r="AP736" s="43"/>
      <c r="AQ736" s="236" t="str">
        <f>VLOOKUP(Table8[[#This Row],[Instrument]],Def_Targets!$D$73:$E$159,2,FALSE)</f>
        <v>I_Biofuel</v>
      </c>
      <c r="AR736" s="233" t="str">
        <f>VLOOKUP(Table8[[#This Row],[Country Code]],Table29[],3,FALSE)</f>
        <v>Non-Annex I</v>
      </c>
      <c r="AS736" s="233" t="str">
        <f>VLOOKUP(Table8[[#This Row],[Country Code]],Table29[],4,FALSE)</f>
        <v>Africa</v>
      </c>
      <c r="AT736" s="233" t="str">
        <f>VLOOKUP(Table8[[#This Row],[Country Code]],Table29[],5,FALSE)</f>
        <v>Middle-income</v>
      </c>
      <c r="AU736" s="233" t="str">
        <f>VLOOKUP(Table8[[#This Row],[Country Code]],Table29[],6,FALSE)</f>
        <v>no</v>
      </c>
      <c r="AV736" s="233" t="str">
        <f>VLOOKUP(Table8[[#This Row],[Country Code]],Table29[],7,FALSE)</f>
        <v>no</v>
      </c>
      <c r="AW736" s="233" t="str">
        <f>VLOOKUP(Table8[[#This Row],[Country Code]],Table29[],8,FALSE)</f>
        <v>non-OECD</v>
      </c>
      <c r="AX736" s="233" t="str">
        <f>VLOOKUP(Table8[[#This Row],[Country Code]],Table29[],9,FALSE)</f>
        <v>no</v>
      </c>
      <c r="AY736" s="233" t="str">
        <f>VLOOKUP(Table8[[#This Row],[Country Code]],Table29[],10,FALSE)</f>
        <v>no</v>
      </c>
      <c r="AZ736" s="235">
        <f>VLOOKUP(Table8[[#This Row],[Country Code]],Table29[],23,FALSE)</f>
        <v>3.2895503749739001</v>
      </c>
      <c r="BA736" s="235">
        <f>VLOOKUP(Table8[[#This Row],[Country Code]],Table29[],24,FALSE)</f>
        <v>0.8680947820135414</v>
      </c>
      <c r="BB736" s="320"/>
      <c r="BC736" s="320"/>
    </row>
    <row r="737" spans="1:55" s="17" customFormat="1" hidden="1" x14ac:dyDescent="0.25">
      <c r="A737" s="373">
        <v>23377</v>
      </c>
      <c r="B737" s="233" t="str">
        <f>VLOOKUP(Table8[[#This Row],[Document ID]],Table1[],2,FALSE)</f>
        <v>SWZ</v>
      </c>
      <c r="C737" s="233" t="str">
        <f>VLOOKUP(Table8[[#This Row],[Document ID]],Table1[],3,FALSE)</f>
        <v>Eswatini</v>
      </c>
      <c r="D737" s="243" t="str">
        <f>VLOOKUP(Table8[[#This Row],[Document ID]],Table1[],5,FALSE)</f>
        <v>NDC</v>
      </c>
      <c r="E737" s="233" t="str">
        <f>VLOOKUP(Table8[[#This Row],[Document ID]],Table1[],7,FALSE)</f>
        <v>First NDC updated</v>
      </c>
      <c r="F737" s="233" t="str">
        <f>VLOOKUP(Table8[[#This Row],[Document ID]],Table1[],8,FALSE)</f>
        <v>NDC 1.1</v>
      </c>
      <c r="G737" s="233" t="str">
        <f>VLOOKUP(Table8[[#This Row],[Document ID]],Table1[],10,FALSE)</f>
        <v>Active</v>
      </c>
      <c r="H737" s="44" t="s">
        <v>2329</v>
      </c>
      <c r="I737" s="44" t="s">
        <v>2330</v>
      </c>
      <c r="J737" s="44" t="s">
        <v>2357</v>
      </c>
      <c r="K737" s="322" t="s">
        <v>3047</v>
      </c>
      <c r="L737" s="44" t="s">
        <v>2333</v>
      </c>
      <c r="M737" s="43">
        <v>7</v>
      </c>
      <c r="N737" s="113" t="s">
        <v>1113</v>
      </c>
      <c r="O737" s="113"/>
      <c r="P737" s="113"/>
      <c r="Q737" s="113"/>
      <c r="R737" s="113"/>
      <c r="S737" s="113"/>
      <c r="T737" s="113"/>
      <c r="U737" s="113"/>
      <c r="V737" s="113"/>
      <c r="W737" s="113"/>
      <c r="X737" s="113"/>
      <c r="Y737" s="113"/>
      <c r="Z737" s="113"/>
      <c r="AA737" s="113"/>
      <c r="AB737" s="113"/>
      <c r="AC737" s="113"/>
      <c r="AD737" s="113"/>
      <c r="AE737" s="113"/>
      <c r="AF737" s="113"/>
      <c r="AG737" s="113"/>
      <c r="AH737" s="113"/>
      <c r="AI737" s="113"/>
      <c r="AJ737" s="113"/>
      <c r="AK737" s="113" t="s">
        <v>1113</v>
      </c>
      <c r="AL737" s="113"/>
      <c r="AM737" s="113"/>
      <c r="AN737" s="113"/>
      <c r="AO737" s="44" t="s">
        <v>2334</v>
      </c>
      <c r="AP737" s="43"/>
      <c r="AQ737" s="236" t="str">
        <f>VLOOKUP(Table8[[#This Row],[Instrument]],Def_Targets!$D$73:$E$159,2,FALSE)</f>
        <v>I_Biofuel</v>
      </c>
      <c r="AR737" s="233" t="str">
        <f>VLOOKUP(Table8[[#This Row],[Country Code]],Table29[],3,FALSE)</f>
        <v>Non-Annex I</v>
      </c>
      <c r="AS737" s="233" t="str">
        <f>VLOOKUP(Table8[[#This Row],[Country Code]],Table29[],4,FALSE)</f>
        <v>Africa</v>
      </c>
      <c r="AT737" s="233" t="str">
        <f>VLOOKUP(Table8[[#This Row],[Country Code]],Table29[],5,FALSE)</f>
        <v>Middle-income</v>
      </c>
      <c r="AU737" s="233" t="str">
        <f>VLOOKUP(Table8[[#This Row],[Country Code]],Table29[],6,FALSE)</f>
        <v>no</v>
      </c>
      <c r="AV737" s="233" t="str">
        <f>VLOOKUP(Table8[[#This Row],[Country Code]],Table29[],7,FALSE)</f>
        <v>no</v>
      </c>
      <c r="AW737" s="233" t="str">
        <f>VLOOKUP(Table8[[#This Row],[Country Code]],Table29[],8,FALSE)</f>
        <v>non-OECD</v>
      </c>
      <c r="AX737" s="233" t="str">
        <f>VLOOKUP(Table8[[#This Row],[Country Code]],Table29[],9,FALSE)</f>
        <v>no</v>
      </c>
      <c r="AY737" s="233" t="str">
        <f>VLOOKUP(Table8[[#This Row],[Country Code]],Table29[],10,FALSE)</f>
        <v>no</v>
      </c>
      <c r="AZ737" s="235">
        <f>VLOOKUP(Table8[[#This Row],[Country Code]],Table29[],23,FALSE)</f>
        <v>3.2895503749739001</v>
      </c>
      <c r="BA737" s="235">
        <f>VLOOKUP(Table8[[#This Row],[Country Code]],Table29[],24,FALSE)</f>
        <v>0.8680947820135414</v>
      </c>
      <c r="BB737" s="320"/>
      <c r="BC737" s="320"/>
    </row>
    <row r="738" spans="1:55" s="17" customFormat="1" hidden="1" x14ac:dyDescent="0.25">
      <c r="A738" s="373">
        <v>23377</v>
      </c>
      <c r="B738" s="233" t="str">
        <f>VLOOKUP(Table8[[#This Row],[Document ID]],Table1[],2,FALSE)</f>
        <v>SWZ</v>
      </c>
      <c r="C738" s="233" t="str">
        <f>VLOOKUP(Table8[[#This Row],[Document ID]],Table1[],3,FALSE)</f>
        <v>Eswatini</v>
      </c>
      <c r="D738" s="243" t="str">
        <f>VLOOKUP(Table8[[#This Row],[Document ID]],Table1[],5,FALSE)</f>
        <v>NDC</v>
      </c>
      <c r="E738" s="233" t="str">
        <f>VLOOKUP(Table8[[#This Row],[Document ID]],Table1[],7,FALSE)</f>
        <v>First NDC updated</v>
      </c>
      <c r="F738" s="233" t="str">
        <f>VLOOKUP(Table8[[#This Row],[Document ID]],Table1[],8,FALSE)</f>
        <v>NDC 1.1</v>
      </c>
      <c r="G738" s="233" t="str">
        <f>VLOOKUP(Table8[[#This Row],[Document ID]],Table1[],10,FALSE)</f>
        <v>Active</v>
      </c>
      <c r="H738" s="43" t="s">
        <v>2358</v>
      </c>
      <c r="I738" s="43" t="s">
        <v>2359</v>
      </c>
      <c r="J738" s="44" t="s">
        <v>2360</v>
      </c>
      <c r="K738" s="322" t="s">
        <v>3048</v>
      </c>
      <c r="L738" s="44" t="s">
        <v>2333</v>
      </c>
      <c r="M738" s="43">
        <v>7</v>
      </c>
      <c r="N738" s="113" t="s">
        <v>1113</v>
      </c>
      <c r="O738" s="113"/>
      <c r="P738" s="113"/>
      <c r="Q738" s="113"/>
      <c r="R738" s="113"/>
      <c r="S738" s="113"/>
      <c r="T738" s="113"/>
      <c r="U738" s="113"/>
      <c r="V738" s="113"/>
      <c r="W738" s="113"/>
      <c r="X738" s="113"/>
      <c r="Y738" s="113"/>
      <c r="Z738" s="113"/>
      <c r="AA738" s="113"/>
      <c r="AB738" s="113"/>
      <c r="AC738" s="113"/>
      <c r="AD738" s="113"/>
      <c r="AE738" s="113"/>
      <c r="AF738" s="113"/>
      <c r="AG738" s="113"/>
      <c r="AH738" s="113"/>
      <c r="AI738" s="113"/>
      <c r="AJ738" s="113"/>
      <c r="AK738" s="113" t="s">
        <v>1113</v>
      </c>
      <c r="AL738" s="113"/>
      <c r="AM738" s="113"/>
      <c r="AN738" s="113"/>
      <c r="AO738" s="44" t="s">
        <v>2334</v>
      </c>
      <c r="AP738" s="43"/>
      <c r="AQ738" s="236" t="str">
        <f>VLOOKUP(Table8[[#This Row],[Instrument]],Def_Targets!$D$73:$E$159,2,FALSE)</f>
        <v>I_Emobility</v>
      </c>
      <c r="AR738" s="233" t="str">
        <f>VLOOKUP(Table8[[#This Row],[Country Code]],Table29[],3,FALSE)</f>
        <v>Non-Annex I</v>
      </c>
      <c r="AS738" s="233" t="str">
        <f>VLOOKUP(Table8[[#This Row],[Country Code]],Table29[],4,FALSE)</f>
        <v>Africa</v>
      </c>
      <c r="AT738" s="233" t="str">
        <f>VLOOKUP(Table8[[#This Row],[Country Code]],Table29[],5,FALSE)</f>
        <v>Middle-income</v>
      </c>
      <c r="AU738" s="233" t="str">
        <f>VLOOKUP(Table8[[#This Row],[Country Code]],Table29[],6,FALSE)</f>
        <v>no</v>
      </c>
      <c r="AV738" s="233" t="str">
        <f>VLOOKUP(Table8[[#This Row],[Country Code]],Table29[],7,FALSE)</f>
        <v>no</v>
      </c>
      <c r="AW738" s="233" t="str">
        <f>VLOOKUP(Table8[[#This Row],[Country Code]],Table29[],8,FALSE)</f>
        <v>non-OECD</v>
      </c>
      <c r="AX738" s="233" t="str">
        <f>VLOOKUP(Table8[[#This Row],[Country Code]],Table29[],9,FALSE)</f>
        <v>no</v>
      </c>
      <c r="AY738" s="233" t="str">
        <f>VLOOKUP(Table8[[#This Row],[Country Code]],Table29[],10,FALSE)</f>
        <v>no</v>
      </c>
      <c r="AZ738" s="235">
        <f>VLOOKUP(Table8[[#This Row],[Country Code]],Table29[],23,FALSE)</f>
        <v>3.2895503749739001</v>
      </c>
      <c r="BA738" s="235">
        <f>VLOOKUP(Table8[[#This Row],[Country Code]],Table29[],24,FALSE)</f>
        <v>0.8680947820135414</v>
      </c>
      <c r="BB738" s="320"/>
      <c r="BC738" s="320"/>
    </row>
    <row r="739" spans="1:55" ht="30" hidden="1" x14ac:dyDescent="0.25">
      <c r="A739" s="373">
        <v>17587</v>
      </c>
      <c r="B739" s="233" t="str">
        <f>VLOOKUP(Table8[[#This Row],[Document ID]],Table1[],2,FALSE)</f>
        <v>ETH</v>
      </c>
      <c r="C739" s="233" t="str">
        <f>VLOOKUP(Table8[[#This Row],[Document ID]],Table1[],3,FALSE)</f>
        <v>Ethiopia</v>
      </c>
      <c r="D739" s="243" t="str">
        <f>VLOOKUP(Table8[[#This Row],[Document ID]],Table1[],5,FALSE)</f>
        <v>NDC</v>
      </c>
      <c r="E739" s="233" t="str">
        <f>VLOOKUP(Table8[[#This Row],[Document ID]],Table1[],7,FALSE)</f>
        <v>First NDC</v>
      </c>
      <c r="F739" s="236" t="str">
        <f>VLOOKUP(Table8[[#This Row],[Document ID]],Table1[],8,FALSE)</f>
        <v>NDC 1.0</v>
      </c>
      <c r="G739" s="236" t="str">
        <f>VLOOKUP(Table8[[#This Row],[Document ID]],Table1[],10,FALSE)</f>
        <v>Archived</v>
      </c>
      <c r="H739" s="43" t="s">
        <v>2343</v>
      </c>
      <c r="I739" s="43" t="s">
        <v>2386</v>
      </c>
      <c r="J739" s="44" t="s">
        <v>2397</v>
      </c>
      <c r="K739" s="44" t="s">
        <v>3049</v>
      </c>
      <c r="L739" s="44" t="s">
        <v>2471</v>
      </c>
      <c r="M739" s="43"/>
      <c r="N739" s="113"/>
      <c r="O739" s="113"/>
      <c r="P739" s="113"/>
      <c r="Q739" s="319"/>
      <c r="R739" s="319"/>
      <c r="S739" s="319"/>
      <c r="T739" s="319"/>
      <c r="U739" s="319"/>
      <c r="V739" s="319"/>
      <c r="W739" s="319"/>
      <c r="X739" s="319"/>
      <c r="Y739" s="319"/>
      <c r="Z739" s="113" t="s">
        <v>1113</v>
      </c>
      <c r="AA739" s="319"/>
      <c r="AB739" s="319"/>
      <c r="AC739" s="319"/>
      <c r="AD739" s="319"/>
      <c r="AE739" s="319"/>
      <c r="AF739" s="319"/>
      <c r="AG739" s="319"/>
      <c r="AH739" s="319"/>
      <c r="AI739" s="319"/>
      <c r="AJ739" s="319"/>
      <c r="AK739" s="319" t="s">
        <v>1113</v>
      </c>
      <c r="AL739" s="319"/>
      <c r="AM739" s="319"/>
      <c r="AN739" s="319"/>
      <c r="AO739" s="44" t="s">
        <v>2334</v>
      </c>
      <c r="AP739" s="44"/>
      <c r="AQ739" s="236" t="str">
        <f>VLOOKUP(Table8[[#This Row],[Instrument]],Def_Targets!$D$73:$E$159,2,FALSE)</f>
        <v>A_Finance</v>
      </c>
      <c r="AR739" s="233" t="str">
        <f>VLOOKUP(Table8[[#This Row],[Country Code]],Table29[],3,FALSE)</f>
        <v>Non-Annex I</v>
      </c>
      <c r="AS739" s="233" t="str">
        <f>VLOOKUP(Table8[[#This Row],[Country Code]],Table29[],4,FALSE)</f>
        <v>Africa</v>
      </c>
      <c r="AT739" s="233" t="str">
        <f>VLOOKUP(Table8[[#This Row],[Country Code]],Table29[],5,FALSE)</f>
        <v>Low-income</v>
      </c>
      <c r="AU739" s="233" t="str">
        <f>VLOOKUP(Table8[[#This Row],[Country Code]],Table29[],6,FALSE)</f>
        <v>no</v>
      </c>
      <c r="AV739" s="233" t="str">
        <f>VLOOKUP(Table8[[#This Row],[Country Code]],Table29[],7,FALSE)</f>
        <v>no</v>
      </c>
      <c r="AW739" s="233" t="str">
        <f>VLOOKUP(Table8[[#This Row],[Country Code]],Table29[],8,FALSE)</f>
        <v>non-OECD</v>
      </c>
      <c r="AX739" s="233" t="str">
        <f>VLOOKUP(Table8[[#This Row],[Country Code]],Table29[],9,FALSE)</f>
        <v>no</v>
      </c>
      <c r="AY739" s="233" t="str">
        <f>VLOOKUP(Table8[[#This Row],[Country Code]],Table29[],10,FALSE)</f>
        <v>no</v>
      </c>
      <c r="AZ739" s="235">
        <f>VLOOKUP(Table8[[#This Row],[Country Code]],Table29[],23,FALSE)</f>
        <v>170.03385065136999</v>
      </c>
      <c r="BA739" s="235">
        <f>VLOOKUP(Table8[[#This Row],[Country Code]],Table29[],24,FALSE)</f>
        <v>6.7537831121432941</v>
      </c>
      <c r="BB739" s="320"/>
      <c r="BC739" s="320"/>
    </row>
    <row r="740" spans="1:55" ht="30" hidden="1" x14ac:dyDescent="0.25">
      <c r="A740" s="373">
        <v>17587</v>
      </c>
      <c r="B740" s="233" t="str">
        <f>VLOOKUP(Table8[[#This Row],[Document ID]],Table1[],2,FALSE)</f>
        <v>ETH</v>
      </c>
      <c r="C740" s="233" t="str">
        <f>VLOOKUP(Table8[[#This Row],[Document ID]],Table1[],3,FALSE)</f>
        <v>Ethiopia</v>
      </c>
      <c r="D740" s="243" t="str">
        <f>VLOOKUP(Table8[[#This Row],[Document ID]],Table1[],5,FALSE)</f>
        <v>NDC</v>
      </c>
      <c r="E740" s="233" t="str">
        <f>VLOOKUP(Table8[[#This Row],[Document ID]],Table1[],7,FALSE)</f>
        <v>First NDC</v>
      </c>
      <c r="F740" s="236" t="str">
        <f>VLOOKUP(Table8[[#This Row],[Document ID]],Table1[],8,FALSE)</f>
        <v>NDC 1.0</v>
      </c>
      <c r="G740" s="236" t="str">
        <f>VLOOKUP(Table8[[#This Row],[Document ID]],Table1[],10,FALSE)</f>
        <v>Archived</v>
      </c>
      <c r="H740" s="43" t="s">
        <v>2350</v>
      </c>
      <c r="I740" s="43" t="s">
        <v>2456</v>
      </c>
      <c r="J740" s="44" t="s">
        <v>2457</v>
      </c>
      <c r="K740" s="44" t="s">
        <v>3049</v>
      </c>
      <c r="L740" s="44" t="s">
        <v>2471</v>
      </c>
      <c r="M740" s="43"/>
      <c r="N740" s="113"/>
      <c r="O740" s="113"/>
      <c r="P740" s="113"/>
      <c r="Q740" s="319"/>
      <c r="R740" s="319"/>
      <c r="S740" s="319"/>
      <c r="T740" s="319"/>
      <c r="U740" s="319"/>
      <c r="V740" s="319"/>
      <c r="W740" s="319"/>
      <c r="X740" s="319"/>
      <c r="Y740" s="319"/>
      <c r="Z740" s="113" t="s">
        <v>1113</v>
      </c>
      <c r="AA740" s="319"/>
      <c r="AB740" s="319"/>
      <c r="AC740" s="319"/>
      <c r="AD740" s="319"/>
      <c r="AE740" s="319"/>
      <c r="AF740" s="319"/>
      <c r="AG740" s="319"/>
      <c r="AH740" s="319"/>
      <c r="AI740" s="319"/>
      <c r="AJ740" s="319"/>
      <c r="AK740" s="319" t="s">
        <v>1113</v>
      </c>
      <c r="AL740" s="319"/>
      <c r="AM740" s="319"/>
      <c r="AN740" s="319"/>
      <c r="AO740" s="44" t="s">
        <v>2334</v>
      </c>
      <c r="AP740" s="44"/>
      <c r="AQ740" s="236" t="str">
        <f>VLOOKUP(Table8[[#This Row],[Instrument]],Def_Targets!$D$73:$E$159,2,FALSE)</f>
        <v>S_Infraimprove</v>
      </c>
      <c r="AR740" s="233" t="str">
        <f>VLOOKUP(Table8[[#This Row],[Country Code]],Table29[],3,FALSE)</f>
        <v>Non-Annex I</v>
      </c>
      <c r="AS740" s="233" t="str">
        <f>VLOOKUP(Table8[[#This Row],[Country Code]],Table29[],4,FALSE)</f>
        <v>Africa</v>
      </c>
      <c r="AT740" s="233" t="str">
        <f>VLOOKUP(Table8[[#This Row],[Country Code]],Table29[],5,FALSE)</f>
        <v>Low-income</v>
      </c>
      <c r="AU740" s="233" t="str">
        <f>VLOOKUP(Table8[[#This Row],[Country Code]],Table29[],6,FALSE)</f>
        <v>no</v>
      </c>
      <c r="AV740" s="233" t="str">
        <f>VLOOKUP(Table8[[#This Row],[Country Code]],Table29[],7,FALSE)</f>
        <v>no</v>
      </c>
      <c r="AW740" s="233" t="str">
        <f>VLOOKUP(Table8[[#This Row],[Country Code]],Table29[],8,FALSE)</f>
        <v>non-OECD</v>
      </c>
      <c r="AX740" s="233" t="str">
        <f>VLOOKUP(Table8[[#This Row],[Country Code]],Table29[],9,FALSE)</f>
        <v>no</v>
      </c>
      <c r="AY740" s="233" t="str">
        <f>VLOOKUP(Table8[[#This Row],[Country Code]],Table29[],10,FALSE)</f>
        <v>no</v>
      </c>
      <c r="AZ740" s="235">
        <f>VLOOKUP(Table8[[#This Row],[Country Code]],Table29[],23,FALSE)</f>
        <v>170.03385065136999</v>
      </c>
      <c r="BA740" s="235">
        <f>VLOOKUP(Table8[[#This Row],[Country Code]],Table29[],24,FALSE)</f>
        <v>6.7537831121432941</v>
      </c>
      <c r="BB740" s="320"/>
      <c r="BC740" s="320"/>
    </row>
    <row r="741" spans="1:55" hidden="1" x14ac:dyDescent="0.25">
      <c r="A741" s="373">
        <v>17587</v>
      </c>
      <c r="B741" s="233" t="str">
        <f>VLOOKUP(Table8[[#This Row],[Document ID]],Table1[],2,FALSE)</f>
        <v>ETH</v>
      </c>
      <c r="C741" s="233" t="str">
        <f>VLOOKUP(Table8[[#This Row],[Document ID]],Table1[],3,FALSE)</f>
        <v>Ethiopia</v>
      </c>
      <c r="D741" s="243" t="str">
        <f>VLOOKUP(Table8[[#This Row],[Document ID]],Table1[],5,FALSE)</f>
        <v>NDC</v>
      </c>
      <c r="E741" s="233" t="str">
        <f>VLOOKUP(Table8[[#This Row],[Document ID]],Table1[],7,FALSE)</f>
        <v>First NDC</v>
      </c>
      <c r="F741" s="236" t="str">
        <f>VLOOKUP(Table8[[#This Row],[Document ID]],Table1[],8,FALSE)</f>
        <v>NDC 1.0</v>
      </c>
      <c r="G741" s="236" t="str">
        <f>VLOOKUP(Table8[[#This Row],[Document ID]],Table1[],10,FALSE)</f>
        <v>Archived</v>
      </c>
      <c r="H741" s="44" t="s">
        <v>2329</v>
      </c>
      <c r="I741" s="44" t="s">
        <v>2330</v>
      </c>
      <c r="J741" s="44" t="s">
        <v>2381</v>
      </c>
      <c r="K741" s="44" t="s">
        <v>3049</v>
      </c>
      <c r="L741" s="44" t="s">
        <v>2333</v>
      </c>
      <c r="M741" s="43"/>
      <c r="N741" s="113"/>
      <c r="O741" s="113"/>
      <c r="P741" s="113"/>
      <c r="Q741" s="319"/>
      <c r="R741" s="319"/>
      <c r="S741" s="319"/>
      <c r="T741" s="319"/>
      <c r="U741" s="319"/>
      <c r="V741" s="319"/>
      <c r="W741" s="319"/>
      <c r="X741" s="319"/>
      <c r="Y741" s="319"/>
      <c r="Z741" s="113" t="s">
        <v>1113</v>
      </c>
      <c r="AA741" s="319"/>
      <c r="AB741" s="319"/>
      <c r="AC741" s="319"/>
      <c r="AD741" s="319"/>
      <c r="AE741" s="319"/>
      <c r="AF741" s="319"/>
      <c r="AG741" s="319"/>
      <c r="AH741" s="319"/>
      <c r="AI741" s="319"/>
      <c r="AJ741" s="319"/>
      <c r="AK741" s="319" t="s">
        <v>1113</v>
      </c>
      <c r="AL741" s="319"/>
      <c r="AM741" s="319"/>
      <c r="AN741" s="319"/>
      <c r="AO741" s="44" t="s">
        <v>2334</v>
      </c>
      <c r="AP741" s="44"/>
      <c r="AQ741" s="236" t="str">
        <f>VLOOKUP(Table8[[#This Row],[Instrument]],Def_Targets!$D$73:$E$159,2,FALSE)</f>
        <v>I_RE</v>
      </c>
      <c r="AR741" s="233" t="str">
        <f>VLOOKUP(Table8[[#This Row],[Country Code]],Table29[],3,FALSE)</f>
        <v>Non-Annex I</v>
      </c>
      <c r="AS741" s="233" t="str">
        <f>VLOOKUP(Table8[[#This Row],[Country Code]],Table29[],4,FALSE)</f>
        <v>Africa</v>
      </c>
      <c r="AT741" s="233" t="str">
        <f>VLOOKUP(Table8[[#This Row],[Country Code]],Table29[],5,FALSE)</f>
        <v>Low-income</v>
      </c>
      <c r="AU741" s="233" t="str">
        <f>VLOOKUP(Table8[[#This Row],[Country Code]],Table29[],6,FALSE)</f>
        <v>no</v>
      </c>
      <c r="AV741" s="233" t="str">
        <f>VLOOKUP(Table8[[#This Row],[Country Code]],Table29[],7,FALSE)</f>
        <v>no</v>
      </c>
      <c r="AW741" s="233" t="str">
        <f>VLOOKUP(Table8[[#This Row],[Country Code]],Table29[],8,FALSE)</f>
        <v>non-OECD</v>
      </c>
      <c r="AX741" s="233" t="str">
        <f>VLOOKUP(Table8[[#This Row],[Country Code]],Table29[],9,FALSE)</f>
        <v>no</v>
      </c>
      <c r="AY741" s="233" t="str">
        <f>VLOOKUP(Table8[[#This Row],[Country Code]],Table29[],10,FALSE)</f>
        <v>no</v>
      </c>
      <c r="AZ741" s="235">
        <f>VLOOKUP(Table8[[#This Row],[Country Code]],Table29[],23,FALSE)</f>
        <v>170.03385065136999</v>
      </c>
      <c r="BA741" s="235">
        <f>VLOOKUP(Table8[[#This Row],[Country Code]],Table29[],24,FALSE)</f>
        <v>6.7537831121432941</v>
      </c>
      <c r="BB741" s="320"/>
      <c r="BC741" s="320"/>
    </row>
    <row r="742" spans="1:55" ht="30" hidden="1" x14ac:dyDescent="0.25">
      <c r="A742" s="373">
        <v>17587</v>
      </c>
      <c r="B742" s="233" t="str">
        <f>VLOOKUP(Table8[[#This Row],[Document ID]],Table1[],2,FALSE)</f>
        <v>ETH</v>
      </c>
      <c r="C742" s="233" t="str">
        <f>VLOOKUP(Table8[[#This Row],[Document ID]],Table1[],3,FALSE)</f>
        <v>Ethiopia</v>
      </c>
      <c r="D742" s="243" t="str">
        <f>VLOOKUP(Table8[[#This Row],[Document ID]],Table1[],5,FALSE)</f>
        <v>NDC</v>
      </c>
      <c r="E742" s="233" t="str">
        <f>VLOOKUP(Table8[[#This Row],[Document ID]],Table1[],7,FALSE)</f>
        <v>First NDC</v>
      </c>
      <c r="F742" s="236" t="str">
        <f>VLOOKUP(Table8[[#This Row],[Document ID]],Table1[],8,FALSE)</f>
        <v>NDC 1.0</v>
      </c>
      <c r="G742" s="236" t="str">
        <f>VLOOKUP(Table8[[#This Row],[Document ID]],Table1[],10,FALSE)</f>
        <v>Archived</v>
      </c>
      <c r="H742" s="43" t="s">
        <v>2350</v>
      </c>
      <c r="I742" s="43" t="s">
        <v>2370</v>
      </c>
      <c r="J742" s="44" t="s">
        <v>2518</v>
      </c>
      <c r="K742" s="44" t="s">
        <v>3050</v>
      </c>
      <c r="L742" s="44" t="s">
        <v>2380</v>
      </c>
      <c r="M742" s="43"/>
      <c r="N742" s="113" t="s">
        <v>1113</v>
      </c>
      <c r="O742" s="113"/>
      <c r="P742" s="113"/>
      <c r="Q742" s="319"/>
      <c r="R742" s="319"/>
      <c r="S742" s="319"/>
      <c r="T742" s="319"/>
      <c r="U742" s="319"/>
      <c r="V742" s="319"/>
      <c r="W742" s="319"/>
      <c r="X742" s="319"/>
      <c r="Y742" s="319"/>
      <c r="Z742" s="319"/>
      <c r="AA742" s="319"/>
      <c r="AB742" s="319"/>
      <c r="AC742" s="319"/>
      <c r="AD742" s="319"/>
      <c r="AE742" s="319"/>
      <c r="AF742" s="319"/>
      <c r="AG742" s="319"/>
      <c r="AH742" s="319"/>
      <c r="AI742" s="319"/>
      <c r="AJ742" s="319"/>
      <c r="AK742" s="319"/>
      <c r="AL742" s="113" t="s">
        <v>1113</v>
      </c>
      <c r="AM742" s="319"/>
      <c r="AN742" s="319"/>
      <c r="AO742" s="44" t="s">
        <v>2334</v>
      </c>
      <c r="AP742" s="44"/>
      <c r="AQ742" s="236" t="str">
        <f>VLOOKUP(Table8[[#This Row],[Instrument]],Def_Targets!$D$73:$E$159,2,FALSE)</f>
        <v>A_Mixuse</v>
      </c>
      <c r="AR742" s="233" t="str">
        <f>VLOOKUP(Table8[[#This Row],[Country Code]],Table29[],3,FALSE)</f>
        <v>Non-Annex I</v>
      </c>
      <c r="AS742" s="233" t="str">
        <f>VLOOKUP(Table8[[#This Row],[Country Code]],Table29[],4,FALSE)</f>
        <v>Africa</v>
      </c>
      <c r="AT742" s="233" t="str">
        <f>VLOOKUP(Table8[[#This Row],[Country Code]],Table29[],5,FALSE)</f>
        <v>Low-income</v>
      </c>
      <c r="AU742" s="233" t="str">
        <f>VLOOKUP(Table8[[#This Row],[Country Code]],Table29[],6,FALSE)</f>
        <v>no</v>
      </c>
      <c r="AV742" s="233" t="str">
        <f>VLOOKUP(Table8[[#This Row],[Country Code]],Table29[],7,FALSE)</f>
        <v>no</v>
      </c>
      <c r="AW742" s="233" t="str">
        <f>VLOOKUP(Table8[[#This Row],[Country Code]],Table29[],8,FALSE)</f>
        <v>non-OECD</v>
      </c>
      <c r="AX742" s="233" t="str">
        <f>VLOOKUP(Table8[[#This Row],[Country Code]],Table29[],9,FALSE)</f>
        <v>no</v>
      </c>
      <c r="AY742" s="233" t="str">
        <f>VLOOKUP(Table8[[#This Row],[Country Code]],Table29[],10,FALSE)</f>
        <v>no</v>
      </c>
      <c r="AZ742" s="235">
        <f>VLOOKUP(Table8[[#This Row],[Country Code]],Table29[],23,FALSE)</f>
        <v>170.03385065136999</v>
      </c>
      <c r="BA742" s="235">
        <f>VLOOKUP(Table8[[#This Row],[Country Code]],Table29[],24,FALSE)</f>
        <v>6.7537831121432941</v>
      </c>
      <c r="BB742" s="320"/>
      <c r="BC742" s="320"/>
    </row>
    <row r="743" spans="1:55" ht="30" hidden="1" x14ac:dyDescent="0.25">
      <c r="A743" s="373">
        <v>17587</v>
      </c>
      <c r="B743" s="233" t="str">
        <f>VLOOKUP(Table8[[#This Row],[Document ID]],Table1[],2,FALSE)</f>
        <v>ETH</v>
      </c>
      <c r="C743" s="233" t="str">
        <f>VLOOKUP(Table8[[#This Row],[Document ID]],Table1[],3,FALSE)</f>
        <v>Ethiopia</v>
      </c>
      <c r="D743" s="243" t="str">
        <f>VLOOKUP(Table8[[#This Row],[Document ID]],Table1[],5,FALSE)</f>
        <v>NDC</v>
      </c>
      <c r="E743" s="233" t="str">
        <f>VLOOKUP(Table8[[#This Row],[Document ID]],Table1[],7,FALSE)</f>
        <v>First NDC</v>
      </c>
      <c r="F743" s="236" t="str">
        <f>VLOOKUP(Table8[[#This Row],[Document ID]],Table1[],8,FALSE)</f>
        <v>NDC 1.0</v>
      </c>
      <c r="G743" s="236" t="str">
        <f>VLOOKUP(Table8[[#This Row],[Document ID]],Table1[],10,FALSE)</f>
        <v>Archived</v>
      </c>
      <c r="H743" s="43" t="s">
        <v>2350</v>
      </c>
      <c r="I743" s="43" t="s">
        <v>2370</v>
      </c>
      <c r="J743" s="44" t="s">
        <v>2518</v>
      </c>
      <c r="K743" s="44" t="s">
        <v>3050</v>
      </c>
      <c r="L743" s="44" t="s">
        <v>2380</v>
      </c>
      <c r="M743" s="43"/>
      <c r="N743" s="113" t="s">
        <v>1113</v>
      </c>
      <c r="O743" s="113"/>
      <c r="P743" s="113"/>
      <c r="Q743" s="319"/>
      <c r="R743" s="319"/>
      <c r="S743" s="319"/>
      <c r="T743" s="319"/>
      <c r="U743" s="319"/>
      <c r="V743" s="319"/>
      <c r="W743" s="319"/>
      <c r="X743" s="319"/>
      <c r="Y743" s="319"/>
      <c r="Z743" s="319"/>
      <c r="AA743" s="319"/>
      <c r="AB743" s="319"/>
      <c r="AC743" s="319"/>
      <c r="AD743" s="319"/>
      <c r="AE743" s="319"/>
      <c r="AF743" s="319"/>
      <c r="AG743" s="319"/>
      <c r="AH743" s="319"/>
      <c r="AI743" s="319"/>
      <c r="AJ743" s="319"/>
      <c r="AK743" s="319"/>
      <c r="AL743" s="113" t="s">
        <v>1113</v>
      </c>
      <c r="AM743" s="319"/>
      <c r="AN743" s="319"/>
      <c r="AO743" s="44" t="s">
        <v>2334</v>
      </c>
      <c r="AP743" s="44"/>
      <c r="AQ743" s="236" t="str">
        <f>VLOOKUP(Table8[[#This Row],[Instrument]],Def_Targets!$D$73:$E$159,2,FALSE)</f>
        <v>A_Mixuse</v>
      </c>
      <c r="AR743" s="233" t="str">
        <f>VLOOKUP(Table8[[#This Row],[Country Code]],Table29[],3,FALSE)</f>
        <v>Non-Annex I</v>
      </c>
      <c r="AS743" s="233" t="str">
        <f>VLOOKUP(Table8[[#This Row],[Country Code]],Table29[],4,FALSE)</f>
        <v>Africa</v>
      </c>
      <c r="AT743" s="233" t="str">
        <f>VLOOKUP(Table8[[#This Row],[Country Code]],Table29[],5,FALSE)</f>
        <v>Low-income</v>
      </c>
      <c r="AU743" s="233" t="str">
        <f>VLOOKUP(Table8[[#This Row],[Country Code]],Table29[],6,FALSE)</f>
        <v>no</v>
      </c>
      <c r="AV743" s="233" t="str">
        <f>VLOOKUP(Table8[[#This Row],[Country Code]],Table29[],7,FALSE)</f>
        <v>no</v>
      </c>
      <c r="AW743" s="233" t="str">
        <f>VLOOKUP(Table8[[#This Row],[Country Code]],Table29[],8,FALSE)</f>
        <v>non-OECD</v>
      </c>
      <c r="AX743" s="233" t="str">
        <f>VLOOKUP(Table8[[#This Row],[Country Code]],Table29[],9,FALSE)</f>
        <v>no</v>
      </c>
      <c r="AY743" s="233" t="str">
        <f>VLOOKUP(Table8[[#This Row],[Country Code]],Table29[],10,FALSE)</f>
        <v>no</v>
      </c>
      <c r="AZ743" s="235">
        <f>VLOOKUP(Table8[[#This Row],[Country Code]],Table29[],23,FALSE)</f>
        <v>170.03385065136999</v>
      </c>
      <c r="BA743" s="235">
        <f>VLOOKUP(Table8[[#This Row],[Country Code]],Table29[],24,FALSE)</f>
        <v>6.7537831121432941</v>
      </c>
      <c r="BB743" s="320"/>
      <c r="BC743" s="320"/>
    </row>
    <row r="744" spans="1:55" ht="30" hidden="1" x14ac:dyDescent="0.25">
      <c r="A744" s="373">
        <v>17588</v>
      </c>
      <c r="B744" s="233" t="str">
        <f>VLOOKUP(Table8[[#This Row],[Document ID]],Table1[],2,FALSE)</f>
        <v>ETH</v>
      </c>
      <c r="C744" s="233" t="str">
        <f>VLOOKUP(Table8[[#This Row],[Document ID]],Table1[],3,FALSE)</f>
        <v>Ethiopia</v>
      </c>
      <c r="D744" s="243" t="str">
        <f>VLOOKUP(Table8[[#This Row],[Document ID]],Table1[],5,FALSE)</f>
        <v>NDC</v>
      </c>
      <c r="E744" s="233" t="str">
        <f>VLOOKUP(Table8[[#This Row],[Document ID]],Table1[],7,FALSE)</f>
        <v>First NDC updated</v>
      </c>
      <c r="F744" s="233" t="str">
        <f>VLOOKUP(Table8[[#This Row],[Document ID]],Table1[],8,FALSE)</f>
        <v>NDC 1.1</v>
      </c>
      <c r="G744" s="233" t="str">
        <f>VLOOKUP(Table8[[#This Row],[Document ID]],Table1[],10,FALSE)</f>
        <v>Active</v>
      </c>
      <c r="H744" s="43" t="s">
        <v>2358</v>
      </c>
      <c r="I744" s="43" t="s">
        <v>2359</v>
      </c>
      <c r="J744" s="44" t="s">
        <v>2360</v>
      </c>
      <c r="K744" s="44" t="s">
        <v>3051</v>
      </c>
      <c r="L744" s="44" t="s">
        <v>2333</v>
      </c>
      <c r="M744" s="43">
        <v>14</v>
      </c>
      <c r="N744" s="113"/>
      <c r="O744" s="113"/>
      <c r="P744" s="113"/>
      <c r="Q744" s="113"/>
      <c r="R744" s="113"/>
      <c r="S744" s="113" t="s">
        <v>1113</v>
      </c>
      <c r="T744" s="113"/>
      <c r="U744" s="113"/>
      <c r="V744" s="113"/>
      <c r="W744" s="113"/>
      <c r="X744" s="113"/>
      <c r="Y744" s="113" t="s">
        <v>1113</v>
      </c>
      <c r="Z744" s="113"/>
      <c r="AA744" s="113"/>
      <c r="AB744" s="113"/>
      <c r="AC744" s="113" t="s">
        <v>1113</v>
      </c>
      <c r="AD744" s="113"/>
      <c r="AE744" s="113"/>
      <c r="AF744" s="113"/>
      <c r="AG744" s="113"/>
      <c r="AH744" s="113"/>
      <c r="AI744" s="113"/>
      <c r="AJ744" s="113"/>
      <c r="AK744" s="113" t="s">
        <v>1113</v>
      </c>
      <c r="AL744" s="113"/>
      <c r="AM744" s="113"/>
      <c r="AN744" s="113"/>
      <c r="AO744" s="44" t="s">
        <v>2334</v>
      </c>
      <c r="AP744" s="43"/>
      <c r="AQ744" s="236" t="str">
        <f>VLOOKUP(Table8[[#This Row],[Instrument]],Def_Targets!$D$73:$E$159,2,FALSE)</f>
        <v>I_Emobility</v>
      </c>
      <c r="AR744" s="233" t="str">
        <f>VLOOKUP(Table8[[#This Row],[Country Code]],Table29[],3,FALSE)</f>
        <v>Non-Annex I</v>
      </c>
      <c r="AS744" s="233" t="str">
        <f>VLOOKUP(Table8[[#This Row],[Country Code]],Table29[],4,FALSE)</f>
        <v>Africa</v>
      </c>
      <c r="AT744" s="233" t="str">
        <f>VLOOKUP(Table8[[#This Row],[Country Code]],Table29[],5,FALSE)</f>
        <v>Low-income</v>
      </c>
      <c r="AU744" s="233" t="str">
        <f>VLOOKUP(Table8[[#This Row],[Country Code]],Table29[],6,FALSE)</f>
        <v>no</v>
      </c>
      <c r="AV744" s="233" t="str">
        <f>VLOOKUP(Table8[[#This Row],[Country Code]],Table29[],7,FALSE)</f>
        <v>no</v>
      </c>
      <c r="AW744" s="233" t="str">
        <f>VLOOKUP(Table8[[#This Row],[Country Code]],Table29[],8,FALSE)</f>
        <v>non-OECD</v>
      </c>
      <c r="AX744" s="233" t="str">
        <f>VLOOKUP(Table8[[#This Row],[Country Code]],Table29[],9,FALSE)</f>
        <v>no</v>
      </c>
      <c r="AY744" s="233" t="str">
        <f>VLOOKUP(Table8[[#This Row],[Country Code]],Table29[],10,FALSE)</f>
        <v>no</v>
      </c>
      <c r="AZ744" s="235">
        <f>VLOOKUP(Table8[[#This Row],[Country Code]],Table29[],23,FALSE)</f>
        <v>170.03385065136999</v>
      </c>
      <c r="BA744" s="235">
        <f>VLOOKUP(Table8[[#This Row],[Country Code]],Table29[],24,FALSE)</f>
        <v>6.7537831121432941</v>
      </c>
      <c r="BB744" s="320"/>
      <c r="BC744" s="320"/>
    </row>
    <row r="745" spans="1:55" hidden="1" x14ac:dyDescent="0.25">
      <c r="A745" s="373">
        <v>17588</v>
      </c>
      <c r="B745" s="233" t="str">
        <f>VLOOKUP(Table8[[#This Row],[Document ID]],Table1[],2,FALSE)</f>
        <v>ETH</v>
      </c>
      <c r="C745" s="233" t="str">
        <f>VLOOKUP(Table8[[#This Row],[Document ID]],Table1[],3,FALSE)</f>
        <v>Ethiopia</v>
      </c>
      <c r="D745" s="243" t="str">
        <f>VLOOKUP(Table8[[#This Row],[Document ID]],Table1[],5,FALSE)</f>
        <v>NDC</v>
      </c>
      <c r="E745" s="233" t="str">
        <f>VLOOKUP(Table8[[#This Row],[Document ID]],Table1[],7,FALSE)</f>
        <v>First NDC updated</v>
      </c>
      <c r="F745" s="233" t="str">
        <f>VLOOKUP(Table8[[#This Row],[Document ID]],Table1[],8,FALSE)</f>
        <v>NDC 1.1</v>
      </c>
      <c r="G745" s="233" t="str">
        <f>VLOOKUP(Table8[[#This Row],[Document ID]],Table1[],10,FALSE)</f>
        <v>Active</v>
      </c>
      <c r="H745" s="43" t="s">
        <v>2358</v>
      </c>
      <c r="I745" s="43" t="s">
        <v>2359</v>
      </c>
      <c r="J745" s="44" t="s">
        <v>2360</v>
      </c>
      <c r="K745" s="44" t="s">
        <v>3052</v>
      </c>
      <c r="L745" s="44" t="s">
        <v>2333</v>
      </c>
      <c r="M745" s="43">
        <v>14</v>
      </c>
      <c r="N745" s="113"/>
      <c r="O745" s="113"/>
      <c r="P745" s="113"/>
      <c r="Q745" s="113"/>
      <c r="R745" s="113"/>
      <c r="S745" s="113"/>
      <c r="T745" s="113"/>
      <c r="U745" s="113"/>
      <c r="V745" s="113"/>
      <c r="W745" s="113"/>
      <c r="X745" s="113"/>
      <c r="Y745" s="113"/>
      <c r="Z745" s="113"/>
      <c r="AA745" s="113"/>
      <c r="AB745" s="113"/>
      <c r="AC745" s="113"/>
      <c r="AD745" s="113"/>
      <c r="AE745" s="113"/>
      <c r="AF745" s="113"/>
      <c r="AG745" s="113"/>
      <c r="AH745" s="113"/>
      <c r="AI745" s="113"/>
      <c r="AJ745" s="113"/>
      <c r="AK745" s="113" t="s">
        <v>1113</v>
      </c>
      <c r="AL745" s="113"/>
      <c r="AM745" s="113"/>
      <c r="AN745" s="113"/>
      <c r="AO745" s="43" t="s">
        <v>2348</v>
      </c>
      <c r="AP745" s="43"/>
      <c r="AQ745" s="236" t="str">
        <f>VLOOKUP(Table8[[#This Row],[Instrument]],Def_Targets!$D$73:$E$159,2,FALSE)</f>
        <v>I_Emobility</v>
      </c>
      <c r="AR745" s="233" t="str">
        <f>VLOOKUP(Table8[[#This Row],[Country Code]],Table29[],3,FALSE)</f>
        <v>Non-Annex I</v>
      </c>
      <c r="AS745" s="233" t="str">
        <f>VLOOKUP(Table8[[#This Row],[Country Code]],Table29[],4,FALSE)</f>
        <v>Africa</v>
      </c>
      <c r="AT745" s="233" t="str">
        <f>VLOOKUP(Table8[[#This Row],[Country Code]],Table29[],5,FALSE)</f>
        <v>Low-income</v>
      </c>
      <c r="AU745" s="233" t="str">
        <f>VLOOKUP(Table8[[#This Row],[Country Code]],Table29[],6,FALSE)</f>
        <v>no</v>
      </c>
      <c r="AV745" s="233" t="str">
        <f>VLOOKUP(Table8[[#This Row],[Country Code]],Table29[],7,FALSE)</f>
        <v>no</v>
      </c>
      <c r="AW745" s="233" t="str">
        <f>VLOOKUP(Table8[[#This Row],[Country Code]],Table29[],8,FALSE)</f>
        <v>non-OECD</v>
      </c>
      <c r="AX745" s="233" t="str">
        <f>VLOOKUP(Table8[[#This Row],[Country Code]],Table29[],9,FALSE)</f>
        <v>no</v>
      </c>
      <c r="AY745" s="233" t="str">
        <f>VLOOKUP(Table8[[#This Row],[Country Code]],Table29[],10,FALSE)</f>
        <v>no</v>
      </c>
      <c r="AZ745" s="235">
        <f>VLOOKUP(Table8[[#This Row],[Country Code]],Table29[],23,FALSE)</f>
        <v>170.03385065136999</v>
      </c>
      <c r="BA745" s="235">
        <f>VLOOKUP(Table8[[#This Row],[Country Code]],Table29[],24,FALSE)</f>
        <v>6.7537831121432941</v>
      </c>
      <c r="BB745" s="320"/>
      <c r="BC745" s="320"/>
    </row>
    <row r="746" spans="1:55" hidden="1" x14ac:dyDescent="0.25">
      <c r="A746" s="373">
        <v>17588</v>
      </c>
      <c r="B746" s="233" t="str">
        <f>VLOOKUP(Table8[[#This Row],[Document ID]],Table1[],2,FALSE)</f>
        <v>ETH</v>
      </c>
      <c r="C746" s="233" t="str">
        <f>VLOOKUP(Table8[[#This Row],[Document ID]],Table1[],3,FALSE)</f>
        <v>Ethiopia</v>
      </c>
      <c r="D746" s="243" t="str">
        <f>VLOOKUP(Table8[[#This Row],[Document ID]],Table1[],5,FALSE)</f>
        <v>NDC</v>
      </c>
      <c r="E746" s="233" t="str">
        <f>VLOOKUP(Table8[[#This Row],[Document ID]],Table1[],7,FALSE)</f>
        <v>First NDC updated</v>
      </c>
      <c r="F746" s="233" t="str">
        <f>VLOOKUP(Table8[[#This Row],[Document ID]],Table1[],8,FALSE)</f>
        <v>NDC 1.1</v>
      </c>
      <c r="G746" s="233" t="str">
        <f>VLOOKUP(Table8[[#This Row],[Document ID]],Table1[],10,FALSE)</f>
        <v>Active</v>
      </c>
      <c r="H746" s="43" t="s">
        <v>2343</v>
      </c>
      <c r="I746" s="43" t="s">
        <v>2344</v>
      </c>
      <c r="J746" s="44" t="s">
        <v>2405</v>
      </c>
      <c r="K746" s="44" t="s">
        <v>3053</v>
      </c>
      <c r="L746" s="44" t="s">
        <v>2347</v>
      </c>
      <c r="M746" s="43">
        <v>14</v>
      </c>
      <c r="N746" s="113"/>
      <c r="O746" s="113"/>
      <c r="P746" s="113"/>
      <c r="Q746" s="113"/>
      <c r="R746" s="113"/>
      <c r="S746" s="113"/>
      <c r="T746" s="113"/>
      <c r="U746" s="113"/>
      <c r="V746" s="113"/>
      <c r="W746" s="113"/>
      <c r="X746" s="113"/>
      <c r="Y746" s="113" t="s">
        <v>1113</v>
      </c>
      <c r="Z746" s="113"/>
      <c r="AA746" s="113"/>
      <c r="AB746" s="113"/>
      <c r="AC746" s="113"/>
      <c r="AD746" s="113"/>
      <c r="AE746" s="113"/>
      <c r="AF746" s="113"/>
      <c r="AG746" s="113"/>
      <c r="AH746" s="113"/>
      <c r="AI746" s="113"/>
      <c r="AJ746" s="113"/>
      <c r="AK746" s="113" t="s">
        <v>1113</v>
      </c>
      <c r="AL746" s="113"/>
      <c r="AM746" s="113"/>
      <c r="AN746" s="113"/>
      <c r="AO746" s="43" t="s">
        <v>2348</v>
      </c>
      <c r="AP746" s="43"/>
      <c r="AQ746" s="236" t="str">
        <f>VLOOKUP(Table8[[#This Row],[Instrument]],Def_Targets!$D$73:$E$159,2,FALSE)</f>
        <v>S_PTIntegration</v>
      </c>
      <c r="AR746" s="233" t="str">
        <f>VLOOKUP(Table8[[#This Row],[Country Code]],Table29[],3,FALSE)</f>
        <v>Non-Annex I</v>
      </c>
      <c r="AS746" s="233" t="str">
        <f>VLOOKUP(Table8[[#This Row],[Country Code]],Table29[],4,FALSE)</f>
        <v>Africa</v>
      </c>
      <c r="AT746" s="233" t="str">
        <f>VLOOKUP(Table8[[#This Row],[Country Code]],Table29[],5,FALSE)</f>
        <v>Low-income</v>
      </c>
      <c r="AU746" s="233" t="str">
        <f>VLOOKUP(Table8[[#This Row],[Country Code]],Table29[],6,FALSE)</f>
        <v>no</v>
      </c>
      <c r="AV746" s="233" t="str">
        <f>VLOOKUP(Table8[[#This Row],[Country Code]],Table29[],7,FALSE)</f>
        <v>no</v>
      </c>
      <c r="AW746" s="233" t="str">
        <f>VLOOKUP(Table8[[#This Row],[Country Code]],Table29[],8,FALSE)</f>
        <v>non-OECD</v>
      </c>
      <c r="AX746" s="233" t="str">
        <f>VLOOKUP(Table8[[#This Row],[Country Code]],Table29[],9,FALSE)</f>
        <v>no</v>
      </c>
      <c r="AY746" s="233" t="str">
        <f>VLOOKUP(Table8[[#This Row],[Country Code]],Table29[],10,FALSE)</f>
        <v>no</v>
      </c>
      <c r="AZ746" s="235">
        <f>VLOOKUP(Table8[[#This Row],[Country Code]],Table29[],23,FALSE)</f>
        <v>170.03385065136999</v>
      </c>
      <c r="BA746" s="235">
        <f>VLOOKUP(Table8[[#This Row],[Country Code]],Table29[],24,FALSE)</f>
        <v>6.7537831121432941</v>
      </c>
      <c r="BB746" s="320"/>
      <c r="BC746" s="320"/>
    </row>
    <row r="747" spans="1:55" ht="45" hidden="1" x14ac:dyDescent="0.25">
      <c r="A747" s="360">
        <v>39443</v>
      </c>
      <c r="B747" s="233" t="str">
        <f>VLOOKUP(Table8[[#This Row],[Document ID]],Table1[],2,FALSE)</f>
        <v>EEU</v>
      </c>
      <c r="C747" s="233" t="str">
        <f>VLOOKUP(Table8[[#This Row],[Document ID]],Table1[],3,FALSE)</f>
        <v>European Union</v>
      </c>
      <c r="D747" s="236" t="str">
        <f>VLOOKUP(Table8[[#This Row],[Document ID]],Table1[],5,FALSE)</f>
        <v>NDC</v>
      </c>
      <c r="E747" s="233" t="str">
        <f>VLOOKUP(Table8[[#This Row],[Document ID]],Table1[],7,FALSE)</f>
        <v>First NDC updated</v>
      </c>
      <c r="F747" s="233" t="str">
        <f>VLOOKUP(Table8[[#This Row],[Document ID]],Table1[],8,FALSE)</f>
        <v>NDC 1.2</v>
      </c>
      <c r="G747" s="233" t="str">
        <f>VLOOKUP(Table8[[#This Row],[Document ID]],Table1[],10,FALSE)</f>
        <v>Active</v>
      </c>
      <c r="H747" s="44" t="s">
        <v>2338</v>
      </c>
      <c r="I747" s="44" t="s">
        <v>2339</v>
      </c>
      <c r="J747" s="44" t="s">
        <v>2413</v>
      </c>
      <c r="K747" s="44" t="s">
        <v>3054</v>
      </c>
      <c r="L747" s="44" t="s">
        <v>2333</v>
      </c>
      <c r="M747" s="44">
        <v>5</v>
      </c>
      <c r="N747" s="113"/>
      <c r="O747" s="113"/>
      <c r="P747" s="113"/>
      <c r="Q747" s="113"/>
      <c r="R747" s="113"/>
      <c r="S747" s="113"/>
      <c r="T747" s="113"/>
      <c r="U747" s="113" t="s">
        <v>1113</v>
      </c>
      <c r="V747" s="113"/>
      <c r="W747" s="113"/>
      <c r="X747" s="113"/>
      <c r="Y747" s="113"/>
      <c r="Z747" s="113"/>
      <c r="AA747" s="113"/>
      <c r="AB747" s="113"/>
      <c r="AC747" s="113"/>
      <c r="AD747" s="113"/>
      <c r="AE747" s="113"/>
      <c r="AF747" s="113"/>
      <c r="AG747" s="113"/>
      <c r="AH747" s="113"/>
      <c r="AI747" s="113"/>
      <c r="AJ747" s="113"/>
      <c r="AK747" s="113" t="s">
        <v>1113</v>
      </c>
      <c r="AL747" s="113"/>
      <c r="AM747" s="113"/>
      <c r="AN747" s="113"/>
      <c r="AO747" s="43" t="s">
        <v>2477</v>
      </c>
      <c r="AP747" s="43"/>
      <c r="AQ747" s="236" t="str">
        <f>VLOOKUP(Table8[[#This Row],[Instrument]],Def_Targets!$D$73:$E$159,2,FALSE)</f>
        <v>I_Vehicleeff</v>
      </c>
      <c r="AR747" s="233" t="str">
        <f>VLOOKUP(Table8[[#This Row],[Country Code]],Table29[],3,FALSE)</f>
        <v>Annex I</v>
      </c>
      <c r="AS747" s="233" t="str">
        <f>VLOOKUP(Table8[[#This Row],[Country Code]],Table29[],4,FALSE)</f>
        <v>Europe</v>
      </c>
      <c r="AT747" s="233" t="str">
        <f>VLOOKUP(Table8[[#This Row],[Country Code]],Table29[],5,FALSE)</f>
        <v>N/A</v>
      </c>
      <c r="AU747" s="233" t="str">
        <f>VLOOKUP(Table8[[#This Row],[Country Code]],Table29[],6,FALSE)</f>
        <v>G20</v>
      </c>
      <c r="AV747" s="233" t="str">
        <f>VLOOKUP(Table8[[#This Row],[Country Code]],Table29[],7,FALSE)</f>
        <v>no</v>
      </c>
      <c r="AW747" s="233" t="str">
        <f>VLOOKUP(Table8[[#This Row],[Country Code]],Table29[],8,FALSE)</f>
        <v>non-OECD</v>
      </c>
      <c r="AX747" s="233" t="str">
        <f>VLOOKUP(Table8[[#This Row],[Country Code]],Table29[],9,FALSE)</f>
        <v>no</v>
      </c>
      <c r="AY747" s="233" t="str">
        <f>VLOOKUP(Table8[[#This Row],[Country Code]],Table29[],10,FALSE)</f>
        <v>no</v>
      </c>
      <c r="AZ747" s="235" t="e">
        <f>VLOOKUP(Table8[[#This Row],[Country Code]],Table29[],23,FALSE)</f>
        <v>#N/A</v>
      </c>
      <c r="BA747" s="235" t="e">
        <f>VLOOKUP(Table8[[#This Row],[Country Code]],Table29[],24,FALSE)</f>
        <v>#N/A</v>
      </c>
      <c r="BB747" s="320"/>
      <c r="BC747" s="320"/>
    </row>
    <row r="748" spans="1:55" ht="60" hidden="1" x14ac:dyDescent="0.25">
      <c r="A748" s="360">
        <v>39443</v>
      </c>
      <c r="B748" s="233" t="str">
        <f>VLOOKUP(Table8[[#This Row],[Document ID]],Table1[],2,FALSE)</f>
        <v>EEU</v>
      </c>
      <c r="C748" s="233" t="str">
        <f>VLOOKUP(Table8[[#This Row],[Document ID]],Table1[],3,FALSE)</f>
        <v>European Union</v>
      </c>
      <c r="D748" s="236" t="str">
        <f>VLOOKUP(Table8[[#This Row],[Document ID]],Table1[],5,FALSE)</f>
        <v>NDC</v>
      </c>
      <c r="E748" s="233" t="str">
        <f>VLOOKUP(Table8[[#This Row],[Document ID]],Table1[],7,FALSE)</f>
        <v>First NDC updated</v>
      </c>
      <c r="F748" s="233" t="str">
        <f>VLOOKUP(Table8[[#This Row],[Document ID]],Table1[],8,FALSE)</f>
        <v>NDC 1.2</v>
      </c>
      <c r="G748" s="233" t="str">
        <f>VLOOKUP(Table8[[#This Row],[Document ID]],Table1[],10,FALSE)</f>
        <v>Active</v>
      </c>
      <c r="H748" s="43" t="s">
        <v>2343</v>
      </c>
      <c r="I748" s="43" t="s">
        <v>2386</v>
      </c>
      <c r="J748" s="44" t="s">
        <v>3055</v>
      </c>
      <c r="K748" s="44" t="s">
        <v>3056</v>
      </c>
      <c r="L748" s="44" t="s">
        <v>3057</v>
      </c>
      <c r="M748" s="44">
        <v>5</v>
      </c>
      <c r="N748" s="113"/>
      <c r="O748" s="113"/>
      <c r="P748" s="113"/>
      <c r="Q748" s="113"/>
      <c r="R748" s="113"/>
      <c r="S748" s="113" t="s">
        <v>1113</v>
      </c>
      <c r="T748" s="113"/>
      <c r="U748" s="113"/>
      <c r="V748" s="113"/>
      <c r="W748" s="113"/>
      <c r="X748" s="113"/>
      <c r="Y748" s="113"/>
      <c r="Z748" s="113"/>
      <c r="AA748" s="113"/>
      <c r="AB748" s="113"/>
      <c r="AC748" s="113"/>
      <c r="AD748" s="113"/>
      <c r="AE748" s="113"/>
      <c r="AF748" s="113"/>
      <c r="AG748" s="113"/>
      <c r="AH748" s="113"/>
      <c r="AI748" s="113"/>
      <c r="AJ748" s="113"/>
      <c r="AK748" s="113" t="s">
        <v>1113</v>
      </c>
      <c r="AL748" s="113"/>
      <c r="AM748" s="113"/>
      <c r="AN748" s="113"/>
      <c r="AO748" s="44" t="s">
        <v>2334</v>
      </c>
      <c r="AP748" s="43"/>
      <c r="AQ748" s="236" t="str">
        <f>VLOOKUP(Table8[[#This Row],[Instrument]],Def_Targets!$D$73:$E$159,2,FALSE)</f>
        <v>A_Emistrad</v>
      </c>
      <c r="AR748" s="233" t="str">
        <f>VLOOKUP(Table8[[#This Row],[Country Code]],Table29[],3,FALSE)</f>
        <v>Annex I</v>
      </c>
      <c r="AS748" s="233" t="str">
        <f>VLOOKUP(Table8[[#This Row],[Country Code]],Table29[],4,FALSE)</f>
        <v>Europe</v>
      </c>
      <c r="AT748" s="233" t="str">
        <f>VLOOKUP(Table8[[#This Row],[Country Code]],Table29[],5,FALSE)</f>
        <v>N/A</v>
      </c>
      <c r="AU748" s="233" t="str">
        <f>VLOOKUP(Table8[[#This Row],[Country Code]],Table29[],6,FALSE)</f>
        <v>G20</v>
      </c>
      <c r="AV748" s="233" t="str">
        <f>VLOOKUP(Table8[[#This Row],[Country Code]],Table29[],7,FALSE)</f>
        <v>no</v>
      </c>
      <c r="AW748" s="233" t="str">
        <f>VLOOKUP(Table8[[#This Row],[Country Code]],Table29[],8,FALSE)</f>
        <v>non-OECD</v>
      </c>
      <c r="AX748" s="233" t="str">
        <f>VLOOKUP(Table8[[#This Row],[Country Code]],Table29[],9,FALSE)</f>
        <v>no</v>
      </c>
      <c r="AY748" s="233" t="str">
        <f>VLOOKUP(Table8[[#This Row],[Country Code]],Table29[],10,FALSE)</f>
        <v>no</v>
      </c>
      <c r="AZ748" s="235" t="e">
        <f>VLOOKUP(Table8[[#This Row],[Country Code]],Table29[],23,FALSE)</f>
        <v>#N/A</v>
      </c>
      <c r="BA748" s="235" t="e">
        <f>VLOOKUP(Table8[[#This Row],[Country Code]],Table29[],24,FALSE)</f>
        <v>#N/A</v>
      </c>
      <c r="BB748" s="320"/>
      <c r="BC748" s="320"/>
    </row>
    <row r="749" spans="1:55" ht="30" hidden="1" x14ac:dyDescent="0.25">
      <c r="A749" s="360">
        <v>39443</v>
      </c>
      <c r="B749" s="233" t="str">
        <f>VLOOKUP(Table8[[#This Row],[Document ID]],Table1[],2,FALSE)</f>
        <v>EEU</v>
      </c>
      <c r="C749" s="233" t="str">
        <f>VLOOKUP(Table8[[#This Row],[Document ID]],Table1[],3,FALSE)</f>
        <v>European Union</v>
      </c>
      <c r="D749" s="236" t="str">
        <f>VLOOKUP(Table8[[#This Row],[Document ID]],Table1[],5,FALSE)</f>
        <v>NDC</v>
      </c>
      <c r="E749" s="233" t="str">
        <f>VLOOKUP(Table8[[#This Row],[Document ID]],Table1[],7,FALSE)</f>
        <v>First NDC updated</v>
      </c>
      <c r="F749" s="233" t="str">
        <f>VLOOKUP(Table8[[#This Row],[Document ID]],Table1[],8,FALSE)</f>
        <v>NDC 1.2</v>
      </c>
      <c r="G749" s="233" t="str">
        <f>VLOOKUP(Table8[[#This Row],[Document ID]],Table1[],10,FALSE)</f>
        <v>Active</v>
      </c>
      <c r="H749" s="43" t="s">
        <v>2484</v>
      </c>
      <c r="I749" s="43" t="s">
        <v>2488</v>
      </c>
      <c r="J749" s="44" t="s">
        <v>2489</v>
      </c>
      <c r="K749" s="44" t="s">
        <v>3058</v>
      </c>
      <c r="L749" s="44" t="s">
        <v>3057</v>
      </c>
      <c r="M749" s="44">
        <v>4</v>
      </c>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t="s">
        <v>1113</v>
      </c>
      <c r="AI749" s="113"/>
      <c r="AJ749" s="113"/>
      <c r="AK749" s="113" t="s">
        <v>1113</v>
      </c>
      <c r="AL749" s="113"/>
      <c r="AM749" s="113"/>
      <c r="AN749" s="113"/>
      <c r="AO749" s="44" t="s">
        <v>2334</v>
      </c>
      <c r="AP749" s="43"/>
      <c r="AQ749" s="236" t="str">
        <f>VLOOKUP(Table8[[#This Row],[Instrument]],Def_Targets!$D$73:$E$159,2,FALSE)</f>
        <v>I_Aviation</v>
      </c>
      <c r="AR749" s="233" t="str">
        <f>VLOOKUP(Table8[[#This Row],[Country Code]],Table29[],3,FALSE)</f>
        <v>Annex I</v>
      </c>
      <c r="AS749" s="233" t="str">
        <f>VLOOKUP(Table8[[#This Row],[Country Code]],Table29[],4,FALSE)</f>
        <v>Europe</v>
      </c>
      <c r="AT749" s="233" t="str">
        <f>VLOOKUP(Table8[[#This Row],[Country Code]],Table29[],5,FALSE)</f>
        <v>N/A</v>
      </c>
      <c r="AU749" s="233" t="str">
        <f>VLOOKUP(Table8[[#This Row],[Country Code]],Table29[],6,FALSE)</f>
        <v>G20</v>
      </c>
      <c r="AV749" s="233" t="str">
        <f>VLOOKUP(Table8[[#This Row],[Country Code]],Table29[],7,FALSE)</f>
        <v>no</v>
      </c>
      <c r="AW749" s="233" t="str">
        <f>VLOOKUP(Table8[[#This Row],[Country Code]],Table29[],8,FALSE)</f>
        <v>non-OECD</v>
      </c>
      <c r="AX749" s="233" t="str">
        <f>VLOOKUP(Table8[[#This Row],[Country Code]],Table29[],9,FALSE)</f>
        <v>no</v>
      </c>
      <c r="AY749" s="233" t="str">
        <f>VLOOKUP(Table8[[#This Row],[Country Code]],Table29[],10,FALSE)</f>
        <v>no</v>
      </c>
      <c r="AZ749" s="235" t="e">
        <f>VLOOKUP(Table8[[#This Row],[Country Code]],Table29[],23,FALSE)</f>
        <v>#N/A</v>
      </c>
      <c r="BA749" s="235" t="e">
        <f>VLOOKUP(Table8[[#This Row],[Country Code]],Table29[],24,FALSE)</f>
        <v>#N/A</v>
      </c>
      <c r="BB749" s="320"/>
      <c r="BC749" s="320"/>
    </row>
    <row r="750" spans="1:55" ht="30" hidden="1" x14ac:dyDescent="0.25">
      <c r="A750" s="360">
        <v>39443</v>
      </c>
      <c r="B750" s="233" t="str">
        <f>VLOOKUP(Table8[[#This Row],[Document ID]],Table1[],2,FALSE)</f>
        <v>EEU</v>
      </c>
      <c r="C750" s="233" t="str">
        <f>VLOOKUP(Table8[[#This Row],[Document ID]],Table1[],3,FALSE)</f>
        <v>European Union</v>
      </c>
      <c r="D750" s="236" t="str">
        <f>VLOOKUP(Table8[[#This Row],[Document ID]],Table1[],5,FALSE)</f>
        <v>NDC</v>
      </c>
      <c r="E750" s="233" t="str">
        <f>VLOOKUP(Table8[[#This Row],[Document ID]],Table1[],7,FALSE)</f>
        <v>First NDC updated</v>
      </c>
      <c r="F750" s="233" t="str">
        <f>VLOOKUP(Table8[[#This Row],[Document ID]],Table1[],8,FALSE)</f>
        <v>NDC 1.2</v>
      </c>
      <c r="G750" s="233" t="str">
        <f>VLOOKUP(Table8[[#This Row],[Document ID]],Table1[],10,FALSE)</f>
        <v>Active</v>
      </c>
      <c r="H750" s="43" t="s">
        <v>2484</v>
      </c>
      <c r="I750" s="43" t="s">
        <v>2485</v>
      </c>
      <c r="J750" s="44" t="s">
        <v>2486</v>
      </c>
      <c r="K750" s="44" t="s">
        <v>3059</v>
      </c>
      <c r="L750" s="44" t="s">
        <v>3057</v>
      </c>
      <c r="M750" s="44">
        <v>4</v>
      </c>
      <c r="N750" s="113"/>
      <c r="O750" s="113"/>
      <c r="P750" s="113"/>
      <c r="Q750" s="113"/>
      <c r="R750" s="113"/>
      <c r="S750" s="113"/>
      <c r="T750" s="113"/>
      <c r="U750" s="113"/>
      <c r="V750" s="113"/>
      <c r="W750" s="113"/>
      <c r="X750" s="113"/>
      <c r="Y750" s="113"/>
      <c r="Z750" s="113"/>
      <c r="AA750" s="113"/>
      <c r="AB750" s="113"/>
      <c r="AC750" s="113"/>
      <c r="AD750" s="113" t="s">
        <v>1113</v>
      </c>
      <c r="AE750" s="113"/>
      <c r="AF750" s="113"/>
      <c r="AG750" s="113"/>
      <c r="AH750" s="113"/>
      <c r="AI750" s="113"/>
      <c r="AJ750" s="113"/>
      <c r="AK750" s="113" t="s">
        <v>1113</v>
      </c>
      <c r="AL750" s="113"/>
      <c r="AM750" s="113"/>
      <c r="AN750" s="113"/>
      <c r="AO750" s="44" t="s">
        <v>2334</v>
      </c>
      <c r="AP750" s="43"/>
      <c r="AQ750" s="236" t="str">
        <f>VLOOKUP(Table8[[#This Row],[Instrument]],Def_Targets!$D$73:$E$159,2,FALSE)</f>
        <v>I_Shipping</v>
      </c>
      <c r="AR750" s="233" t="str">
        <f>VLOOKUP(Table8[[#This Row],[Country Code]],Table29[],3,FALSE)</f>
        <v>Annex I</v>
      </c>
      <c r="AS750" s="233" t="str">
        <f>VLOOKUP(Table8[[#This Row],[Country Code]],Table29[],4,FALSE)</f>
        <v>Europe</v>
      </c>
      <c r="AT750" s="233" t="str">
        <f>VLOOKUP(Table8[[#This Row],[Country Code]],Table29[],5,FALSE)</f>
        <v>N/A</v>
      </c>
      <c r="AU750" s="233" t="str">
        <f>VLOOKUP(Table8[[#This Row],[Country Code]],Table29[],6,FALSE)</f>
        <v>G20</v>
      </c>
      <c r="AV750" s="233" t="str">
        <f>VLOOKUP(Table8[[#This Row],[Country Code]],Table29[],7,FALSE)</f>
        <v>no</v>
      </c>
      <c r="AW750" s="233" t="str">
        <f>VLOOKUP(Table8[[#This Row],[Country Code]],Table29[],8,FALSE)</f>
        <v>non-OECD</v>
      </c>
      <c r="AX750" s="233" t="str">
        <f>VLOOKUP(Table8[[#This Row],[Country Code]],Table29[],9,FALSE)</f>
        <v>no</v>
      </c>
      <c r="AY750" s="233" t="str">
        <f>VLOOKUP(Table8[[#This Row],[Country Code]],Table29[],10,FALSE)</f>
        <v>no</v>
      </c>
      <c r="AZ750" s="235" t="e">
        <f>VLOOKUP(Table8[[#This Row],[Country Code]],Table29[],23,FALSE)</f>
        <v>#N/A</v>
      </c>
      <c r="BA750" s="235" t="e">
        <f>VLOOKUP(Table8[[#This Row],[Country Code]],Table29[],24,FALSE)</f>
        <v>#N/A</v>
      </c>
      <c r="BB750" s="320"/>
      <c r="BC750" s="320"/>
    </row>
    <row r="751" spans="1:55" ht="45" hidden="1" x14ac:dyDescent="0.25">
      <c r="A751" s="360">
        <v>39443</v>
      </c>
      <c r="B751" s="233" t="str">
        <f>VLOOKUP(Table8[[#This Row],[Document ID]],Table1[],2,FALSE)</f>
        <v>EEU</v>
      </c>
      <c r="C751" s="233" t="str">
        <f>VLOOKUP(Table8[[#This Row],[Document ID]],Table1[],3,FALSE)</f>
        <v>European Union</v>
      </c>
      <c r="D751" s="236" t="str">
        <f>VLOOKUP(Table8[[#This Row],[Document ID]],Table1[],5,FALSE)</f>
        <v>NDC</v>
      </c>
      <c r="E751" s="233" t="str">
        <f>VLOOKUP(Table8[[#This Row],[Document ID]],Table1[],7,FALSE)</f>
        <v>First NDC updated</v>
      </c>
      <c r="F751" s="233" t="str">
        <f>VLOOKUP(Table8[[#This Row],[Document ID]],Table1[],8,FALSE)</f>
        <v>NDC 1.2</v>
      </c>
      <c r="G751" s="233" t="str">
        <f>VLOOKUP(Table8[[#This Row],[Document ID]],Table1[],10,FALSE)</f>
        <v>Active</v>
      </c>
      <c r="H751" s="43" t="s">
        <v>2484</v>
      </c>
      <c r="I751" s="43" t="s">
        <v>2485</v>
      </c>
      <c r="J751" s="44" t="s">
        <v>2486</v>
      </c>
      <c r="K751" s="44" t="s">
        <v>3060</v>
      </c>
      <c r="L751" s="44" t="s">
        <v>2333</v>
      </c>
      <c r="M751" s="44">
        <v>6</v>
      </c>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t="s">
        <v>1113</v>
      </c>
      <c r="AI751" s="113"/>
      <c r="AJ751" s="113"/>
      <c r="AK751" s="113" t="s">
        <v>1113</v>
      </c>
      <c r="AL751" s="113"/>
      <c r="AM751" s="113"/>
      <c r="AN751" s="113"/>
      <c r="AO751" s="44" t="s">
        <v>2334</v>
      </c>
      <c r="AP751" s="43"/>
      <c r="AQ751" s="236" t="str">
        <f>VLOOKUP(Table8[[#This Row],[Instrument]],Def_Targets!$D$73:$E$159,2,FALSE)</f>
        <v>I_Shipping</v>
      </c>
      <c r="AR751" s="233" t="str">
        <f>VLOOKUP(Table8[[#This Row],[Country Code]],Table29[],3,FALSE)</f>
        <v>Annex I</v>
      </c>
      <c r="AS751" s="233" t="str">
        <f>VLOOKUP(Table8[[#This Row],[Country Code]],Table29[],4,FALSE)</f>
        <v>Europe</v>
      </c>
      <c r="AT751" s="233" t="str">
        <f>VLOOKUP(Table8[[#This Row],[Country Code]],Table29[],5,FALSE)</f>
        <v>N/A</v>
      </c>
      <c r="AU751" s="233" t="str">
        <f>VLOOKUP(Table8[[#This Row],[Country Code]],Table29[],6,FALSE)</f>
        <v>G20</v>
      </c>
      <c r="AV751" s="233" t="str">
        <f>VLOOKUP(Table8[[#This Row],[Country Code]],Table29[],7,FALSE)</f>
        <v>no</v>
      </c>
      <c r="AW751" s="233" t="str">
        <f>VLOOKUP(Table8[[#This Row],[Country Code]],Table29[],8,FALSE)</f>
        <v>non-OECD</v>
      </c>
      <c r="AX751" s="233" t="str">
        <f>VLOOKUP(Table8[[#This Row],[Country Code]],Table29[],9,FALSE)</f>
        <v>no</v>
      </c>
      <c r="AY751" s="233" t="str">
        <f>VLOOKUP(Table8[[#This Row],[Country Code]],Table29[],10,FALSE)</f>
        <v>no</v>
      </c>
      <c r="AZ751" s="235" t="e">
        <f>VLOOKUP(Table8[[#This Row],[Country Code]],Table29[],23,FALSE)</f>
        <v>#N/A</v>
      </c>
      <c r="BA751" s="235" t="e">
        <f>VLOOKUP(Table8[[#This Row],[Country Code]],Table29[],24,FALSE)</f>
        <v>#N/A</v>
      </c>
      <c r="BB751" s="320"/>
      <c r="BC751" s="320"/>
    </row>
    <row r="752" spans="1:55" ht="45" hidden="1" x14ac:dyDescent="0.25">
      <c r="A752" s="360">
        <v>39443</v>
      </c>
      <c r="B752" s="233" t="str">
        <f>VLOOKUP(Table8[[#This Row],[Document ID]],Table1[],2,FALSE)</f>
        <v>EEU</v>
      </c>
      <c r="C752" s="233" t="str">
        <f>VLOOKUP(Table8[[#This Row],[Document ID]],Table1[],3,FALSE)</f>
        <v>European Union</v>
      </c>
      <c r="D752" s="236" t="str">
        <f>VLOOKUP(Table8[[#This Row],[Document ID]],Table1[],5,FALSE)</f>
        <v>NDC</v>
      </c>
      <c r="E752" s="233" t="str">
        <f>VLOOKUP(Table8[[#This Row],[Document ID]],Table1[],7,FALSE)</f>
        <v>First NDC updated</v>
      </c>
      <c r="F752" s="233" t="str">
        <f>VLOOKUP(Table8[[#This Row],[Document ID]],Table1[],8,FALSE)</f>
        <v>NDC 1.2</v>
      </c>
      <c r="G752" s="233" t="str">
        <f>VLOOKUP(Table8[[#This Row],[Document ID]],Table1[],10,FALSE)</f>
        <v>Active</v>
      </c>
      <c r="H752" s="44" t="s">
        <v>2329</v>
      </c>
      <c r="I752" s="44" t="s">
        <v>2330</v>
      </c>
      <c r="J752" s="44" t="s">
        <v>2331</v>
      </c>
      <c r="K752" s="44" t="s">
        <v>3061</v>
      </c>
      <c r="L752" s="44" t="s">
        <v>2333</v>
      </c>
      <c r="M752" s="44">
        <v>6</v>
      </c>
      <c r="N752" s="113"/>
      <c r="O752" s="113"/>
      <c r="P752" s="113"/>
      <c r="Q752" s="113"/>
      <c r="R752" s="113"/>
      <c r="S752" s="113" t="s">
        <v>1113</v>
      </c>
      <c r="T752" s="113"/>
      <c r="U752" s="113"/>
      <c r="V752" s="113"/>
      <c r="W752" s="113"/>
      <c r="X752" s="113"/>
      <c r="Y752" s="113"/>
      <c r="Z752" s="113"/>
      <c r="AA752" s="113"/>
      <c r="AB752" s="113"/>
      <c r="AC752" s="113"/>
      <c r="AD752" s="113" t="s">
        <v>1113</v>
      </c>
      <c r="AE752" s="113"/>
      <c r="AF752" s="113"/>
      <c r="AG752" s="113"/>
      <c r="AH752" s="113"/>
      <c r="AI752" s="113"/>
      <c r="AJ752" s="113"/>
      <c r="AK752" s="113" t="s">
        <v>1113</v>
      </c>
      <c r="AL752" s="113"/>
      <c r="AM752" s="113"/>
      <c r="AN752" s="113"/>
      <c r="AO752" s="44" t="s">
        <v>2334</v>
      </c>
      <c r="AP752" s="43"/>
      <c r="AQ752" s="236" t="str">
        <f>VLOOKUP(Table8[[#This Row],[Instrument]],Def_Targets!$D$73:$E$159,2,FALSE)</f>
        <v>I_Altfuels</v>
      </c>
      <c r="AR752" s="233" t="str">
        <f>VLOOKUP(Table8[[#This Row],[Country Code]],Table29[],3,FALSE)</f>
        <v>Annex I</v>
      </c>
      <c r="AS752" s="233" t="str">
        <f>VLOOKUP(Table8[[#This Row],[Country Code]],Table29[],4,FALSE)</f>
        <v>Europe</v>
      </c>
      <c r="AT752" s="233" t="str">
        <f>VLOOKUP(Table8[[#This Row],[Country Code]],Table29[],5,FALSE)</f>
        <v>N/A</v>
      </c>
      <c r="AU752" s="233" t="str">
        <f>VLOOKUP(Table8[[#This Row],[Country Code]],Table29[],6,FALSE)</f>
        <v>G20</v>
      </c>
      <c r="AV752" s="233" t="str">
        <f>VLOOKUP(Table8[[#This Row],[Country Code]],Table29[],7,FALSE)</f>
        <v>no</v>
      </c>
      <c r="AW752" s="233" t="str">
        <f>VLOOKUP(Table8[[#This Row],[Country Code]],Table29[],8,FALSE)</f>
        <v>non-OECD</v>
      </c>
      <c r="AX752" s="233" t="str">
        <f>VLOOKUP(Table8[[#This Row],[Country Code]],Table29[],9,FALSE)</f>
        <v>no</v>
      </c>
      <c r="AY752" s="233" t="str">
        <f>VLOOKUP(Table8[[#This Row],[Country Code]],Table29[],10,FALSE)</f>
        <v>no</v>
      </c>
      <c r="AZ752" s="235" t="e">
        <f>VLOOKUP(Table8[[#This Row],[Country Code]],Table29[],23,FALSE)</f>
        <v>#N/A</v>
      </c>
      <c r="BA752" s="235" t="e">
        <f>VLOOKUP(Table8[[#This Row],[Country Code]],Table29[],24,FALSE)</f>
        <v>#N/A</v>
      </c>
      <c r="BB752" s="320"/>
      <c r="BC752" s="320"/>
    </row>
    <row r="753" spans="1:55" ht="45" hidden="1" x14ac:dyDescent="0.25">
      <c r="A753" s="373">
        <v>17591</v>
      </c>
      <c r="B753" s="233" t="str">
        <f>VLOOKUP(Table8[[#This Row],[Document ID]],Table1[],2,FALSE)</f>
        <v>EEU</v>
      </c>
      <c r="C753" s="233" t="str">
        <f>VLOOKUP(Table8[[#This Row],[Document ID]],Table1[],3,FALSE)</f>
        <v>European Union</v>
      </c>
      <c r="D753" s="243" t="str">
        <f>VLOOKUP(Table8[[#This Row],[Document ID]],Table1[],5,FALSE)</f>
        <v>NDC</v>
      </c>
      <c r="E753" s="233" t="str">
        <f>VLOOKUP(Table8[[#This Row],[Document ID]],Table1[],7,FALSE)</f>
        <v>First NDC updated</v>
      </c>
      <c r="F753" s="242" t="str">
        <f>VLOOKUP(Table8[[#This Row],[Document ID]],Table1[],8,FALSE)</f>
        <v>NDC 1.1</v>
      </c>
      <c r="G753" s="242" t="str">
        <f>VLOOKUP(Table8[[#This Row],[Document ID]],Table1[],10,FALSE)</f>
        <v>Archived</v>
      </c>
      <c r="H753" s="44" t="s">
        <v>2338</v>
      </c>
      <c r="I753" s="44" t="s">
        <v>2339</v>
      </c>
      <c r="J753" s="44" t="s">
        <v>2413</v>
      </c>
      <c r="K753" s="44" t="s">
        <v>3062</v>
      </c>
      <c r="L753" s="44" t="s">
        <v>2333</v>
      </c>
      <c r="M753" s="43">
        <v>4</v>
      </c>
      <c r="N753" s="113"/>
      <c r="O753" s="113"/>
      <c r="P753" s="113"/>
      <c r="Q753" s="113"/>
      <c r="R753" s="113"/>
      <c r="S753" s="113"/>
      <c r="T753" s="113"/>
      <c r="U753" s="113" t="s">
        <v>1113</v>
      </c>
      <c r="V753" s="113"/>
      <c r="W753" s="113"/>
      <c r="X753" s="113"/>
      <c r="Y753" s="113"/>
      <c r="Z753" s="113"/>
      <c r="AA753" s="113"/>
      <c r="AB753" s="113"/>
      <c r="AC753" s="113"/>
      <c r="AD753" s="113"/>
      <c r="AE753" s="113"/>
      <c r="AF753" s="113"/>
      <c r="AG753" s="113"/>
      <c r="AH753" s="113"/>
      <c r="AI753" s="113"/>
      <c r="AJ753" s="113"/>
      <c r="AK753" s="319" t="s">
        <v>1113</v>
      </c>
      <c r="AL753" s="113"/>
      <c r="AM753" s="113"/>
      <c r="AN753" s="113"/>
      <c r="AO753" s="43" t="s">
        <v>2348</v>
      </c>
      <c r="AP753" s="43"/>
      <c r="AQ753" s="236" t="str">
        <f>VLOOKUP(Table8[[#This Row],[Instrument]],Def_Targets!$D$73:$E$159,2,FALSE)</f>
        <v>I_Vehicleeff</v>
      </c>
      <c r="AR753" s="233" t="str">
        <f>VLOOKUP(Table8[[#This Row],[Country Code]],Table29[],3,FALSE)</f>
        <v>Annex I</v>
      </c>
      <c r="AS753" s="233" t="str">
        <f>VLOOKUP(Table8[[#This Row],[Country Code]],Table29[],4,FALSE)</f>
        <v>Europe</v>
      </c>
      <c r="AT753" s="233" t="str">
        <f>VLOOKUP(Table8[[#This Row],[Country Code]],Table29[],5,FALSE)</f>
        <v>N/A</v>
      </c>
      <c r="AU753" s="233" t="str">
        <f>VLOOKUP(Table8[[#This Row],[Country Code]],Table29[],6,FALSE)</f>
        <v>G20</v>
      </c>
      <c r="AV753" s="233" t="str">
        <f>VLOOKUP(Table8[[#This Row],[Country Code]],Table29[],7,FALSE)</f>
        <v>no</v>
      </c>
      <c r="AW753" s="233" t="str">
        <f>VLOOKUP(Table8[[#This Row],[Country Code]],Table29[],8,FALSE)</f>
        <v>non-OECD</v>
      </c>
      <c r="AX753" s="233" t="str">
        <f>VLOOKUP(Table8[[#This Row],[Country Code]],Table29[],9,FALSE)</f>
        <v>no</v>
      </c>
      <c r="AY753" s="233" t="str">
        <f>VLOOKUP(Table8[[#This Row],[Country Code]],Table29[],10,FALSE)</f>
        <v>no</v>
      </c>
      <c r="AZ753" s="235" t="e">
        <f>VLOOKUP(Table8[[#This Row],[Country Code]],Table29[],23,FALSE)</f>
        <v>#N/A</v>
      </c>
      <c r="BA753" s="235" t="e">
        <f>VLOOKUP(Table8[[#This Row],[Country Code]],Table29[],24,FALSE)</f>
        <v>#N/A</v>
      </c>
      <c r="BB753" s="320"/>
      <c r="BC753" s="320"/>
    </row>
    <row r="754" spans="1:55" ht="30" hidden="1" x14ac:dyDescent="0.25">
      <c r="A754" s="373">
        <v>17591</v>
      </c>
      <c r="B754" s="233" t="str">
        <f>VLOOKUP(Table8[[#This Row],[Document ID]],Table1[],2,FALSE)</f>
        <v>EEU</v>
      </c>
      <c r="C754" s="233" t="str">
        <f>VLOOKUP(Table8[[#This Row],[Document ID]],Table1[],3,FALSE)</f>
        <v>European Union</v>
      </c>
      <c r="D754" s="243" t="str">
        <f>VLOOKUP(Table8[[#This Row],[Document ID]],Table1[],5,FALSE)</f>
        <v>NDC</v>
      </c>
      <c r="E754" s="233" t="str">
        <f>VLOOKUP(Table8[[#This Row],[Document ID]],Table1[],7,FALSE)</f>
        <v>First NDC updated</v>
      </c>
      <c r="F754" s="242" t="str">
        <f>VLOOKUP(Table8[[#This Row],[Document ID]],Table1[],8,FALSE)</f>
        <v>NDC 1.1</v>
      </c>
      <c r="G754" s="242" t="str">
        <f>VLOOKUP(Table8[[#This Row],[Document ID]],Table1[],10,FALSE)</f>
        <v>Archived</v>
      </c>
      <c r="H754" s="44" t="s">
        <v>2338</v>
      </c>
      <c r="I754" s="44" t="s">
        <v>2339</v>
      </c>
      <c r="J754" s="44" t="s">
        <v>2413</v>
      </c>
      <c r="K754" s="44" t="s">
        <v>3063</v>
      </c>
      <c r="L754" s="44" t="s">
        <v>2333</v>
      </c>
      <c r="M754" s="43">
        <v>4</v>
      </c>
      <c r="N754" s="113"/>
      <c r="O754" s="113"/>
      <c r="P754" s="113"/>
      <c r="Q754" s="113"/>
      <c r="R754" s="113"/>
      <c r="S754" s="113"/>
      <c r="T754" s="113"/>
      <c r="U754" s="113"/>
      <c r="V754" s="113"/>
      <c r="W754" s="113"/>
      <c r="X754" s="113" t="s">
        <v>1113</v>
      </c>
      <c r="Y754" s="113"/>
      <c r="Z754" s="113"/>
      <c r="AA754" s="113"/>
      <c r="AB754" s="113"/>
      <c r="AC754" s="113"/>
      <c r="AD754" s="113"/>
      <c r="AE754" s="113"/>
      <c r="AF754" s="113"/>
      <c r="AG754" s="113"/>
      <c r="AH754" s="113"/>
      <c r="AI754" s="113"/>
      <c r="AJ754" s="113"/>
      <c r="AK754" s="319" t="s">
        <v>1113</v>
      </c>
      <c r="AL754" s="113"/>
      <c r="AM754" s="113"/>
      <c r="AN754" s="113"/>
      <c r="AO754" s="43" t="s">
        <v>2353</v>
      </c>
      <c r="AP754" s="43"/>
      <c r="AQ754" s="236" t="str">
        <f>VLOOKUP(Table8[[#This Row],[Instrument]],Def_Targets!$D$73:$E$159,2,FALSE)</f>
        <v>I_Vehicleeff</v>
      </c>
      <c r="AR754" s="233" t="str">
        <f>VLOOKUP(Table8[[#This Row],[Country Code]],Table29[],3,FALSE)</f>
        <v>Annex I</v>
      </c>
      <c r="AS754" s="233" t="str">
        <f>VLOOKUP(Table8[[#This Row],[Country Code]],Table29[],4,FALSE)</f>
        <v>Europe</v>
      </c>
      <c r="AT754" s="233" t="str">
        <f>VLOOKUP(Table8[[#This Row],[Country Code]],Table29[],5,FALSE)</f>
        <v>N/A</v>
      </c>
      <c r="AU754" s="233" t="str">
        <f>VLOOKUP(Table8[[#This Row],[Country Code]],Table29[],6,FALSE)</f>
        <v>G20</v>
      </c>
      <c r="AV754" s="233" t="str">
        <f>VLOOKUP(Table8[[#This Row],[Country Code]],Table29[],7,FALSE)</f>
        <v>no</v>
      </c>
      <c r="AW754" s="233" t="str">
        <f>VLOOKUP(Table8[[#This Row],[Country Code]],Table29[],8,FALSE)</f>
        <v>non-OECD</v>
      </c>
      <c r="AX754" s="233" t="str">
        <f>VLOOKUP(Table8[[#This Row],[Country Code]],Table29[],9,FALSE)</f>
        <v>no</v>
      </c>
      <c r="AY754" s="233" t="str">
        <f>VLOOKUP(Table8[[#This Row],[Country Code]],Table29[],10,FALSE)</f>
        <v>no</v>
      </c>
      <c r="AZ754" s="235" t="e">
        <f>VLOOKUP(Table8[[#This Row],[Country Code]],Table29[],23,FALSE)</f>
        <v>#N/A</v>
      </c>
      <c r="BA754" s="235" t="e">
        <f>VLOOKUP(Table8[[#This Row],[Country Code]],Table29[],24,FALSE)</f>
        <v>#N/A</v>
      </c>
      <c r="BB754" s="320"/>
      <c r="BC754" s="320"/>
    </row>
    <row r="755" spans="1:55" ht="30" hidden="1" x14ac:dyDescent="0.25">
      <c r="A755" s="373">
        <v>17591</v>
      </c>
      <c r="B755" s="233" t="str">
        <f>VLOOKUP(Table8[[#This Row],[Document ID]],Table1[],2,FALSE)</f>
        <v>EEU</v>
      </c>
      <c r="C755" s="233" t="str">
        <f>VLOOKUP(Table8[[#This Row],[Document ID]],Table1[],3,FALSE)</f>
        <v>European Union</v>
      </c>
      <c r="D755" s="243" t="str">
        <f>VLOOKUP(Table8[[#This Row],[Document ID]],Table1[],5,FALSE)</f>
        <v>NDC</v>
      </c>
      <c r="E755" s="233" t="str">
        <f>VLOOKUP(Table8[[#This Row],[Document ID]],Table1[],7,FALSE)</f>
        <v>First NDC updated</v>
      </c>
      <c r="F755" s="242" t="str">
        <f>VLOOKUP(Table8[[#This Row],[Document ID]],Table1[],8,FALSE)</f>
        <v>NDC 1.1</v>
      </c>
      <c r="G755" s="242" t="str">
        <f>VLOOKUP(Table8[[#This Row],[Document ID]],Table1[],10,FALSE)</f>
        <v>Archived</v>
      </c>
      <c r="H755" s="44" t="s">
        <v>2338</v>
      </c>
      <c r="I755" s="44" t="s">
        <v>2339</v>
      </c>
      <c r="J755" s="44" t="s">
        <v>2413</v>
      </c>
      <c r="K755" s="44" t="s">
        <v>3064</v>
      </c>
      <c r="L755" s="44" t="s">
        <v>2333</v>
      </c>
      <c r="M755" s="43">
        <v>4</v>
      </c>
      <c r="N755" s="113"/>
      <c r="O755" s="113"/>
      <c r="P755" s="113"/>
      <c r="Q755" s="319"/>
      <c r="R755" s="319"/>
      <c r="S755" s="319"/>
      <c r="T755" s="319"/>
      <c r="U755" s="319"/>
      <c r="V755" s="319"/>
      <c r="W755" s="319"/>
      <c r="X755" s="319" t="s">
        <v>1113</v>
      </c>
      <c r="Y755" s="319" t="s">
        <v>1113</v>
      </c>
      <c r="Z755" s="319"/>
      <c r="AA755" s="319"/>
      <c r="AB755" s="319"/>
      <c r="AC755" s="319"/>
      <c r="AD755" s="319"/>
      <c r="AE755" s="319"/>
      <c r="AF755" s="319"/>
      <c r="AG755" s="319"/>
      <c r="AH755" s="319"/>
      <c r="AI755" s="319"/>
      <c r="AJ755" s="319"/>
      <c r="AK755" s="319" t="s">
        <v>1113</v>
      </c>
      <c r="AL755" s="113"/>
      <c r="AM755" s="113"/>
      <c r="AN755" s="113"/>
      <c r="AO755" s="43" t="s">
        <v>2477</v>
      </c>
      <c r="AP755" s="43"/>
      <c r="AQ755" s="236" t="str">
        <f>VLOOKUP(Table8[[#This Row],[Instrument]],Def_Targets!$D$73:$E$159,2,FALSE)</f>
        <v>I_Vehicleeff</v>
      </c>
      <c r="AR755" s="233" t="str">
        <f>VLOOKUP(Table8[[#This Row],[Country Code]],Table29[],3,FALSE)</f>
        <v>Annex I</v>
      </c>
      <c r="AS755" s="233" t="str">
        <f>VLOOKUP(Table8[[#This Row],[Country Code]],Table29[],4,FALSE)</f>
        <v>Europe</v>
      </c>
      <c r="AT755" s="233" t="str">
        <f>VLOOKUP(Table8[[#This Row],[Country Code]],Table29[],5,FALSE)</f>
        <v>N/A</v>
      </c>
      <c r="AU755" s="233" t="str">
        <f>VLOOKUP(Table8[[#This Row],[Country Code]],Table29[],6,FALSE)</f>
        <v>G20</v>
      </c>
      <c r="AV755" s="233" t="str">
        <f>VLOOKUP(Table8[[#This Row],[Country Code]],Table29[],7,FALSE)</f>
        <v>no</v>
      </c>
      <c r="AW755" s="233" t="str">
        <f>VLOOKUP(Table8[[#This Row],[Country Code]],Table29[],8,FALSE)</f>
        <v>non-OECD</v>
      </c>
      <c r="AX755" s="233" t="str">
        <f>VLOOKUP(Table8[[#This Row],[Country Code]],Table29[],9,FALSE)</f>
        <v>no</v>
      </c>
      <c r="AY755" s="233" t="str">
        <f>VLOOKUP(Table8[[#This Row],[Country Code]],Table29[],10,FALSE)</f>
        <v>no</v>
      </c>
      <c r="AZ755" s="235" t="e">
        <f>VLOOKUP(Table8[[#This Row],[Country Code]],Table29[],23,FALSE)</f>
        <v>#N/A</v>
      </c>
      <c r="BA755" s="235" t="e">
        <f>VLOOKUP(Table8[[#This Row],[Country Code]],Table29[],24,FALSE)</f>
        <v>#N/A</v>
      </c>
      <c r="BB755" s="320"/>
      <c r="BC755" s="320"/>
    </row>
    <row r="756" spans="1:55" ht="30" hidden="1" x14ac:dyDescent="0.25">
      <c r="A756" s="373">
        <v>17591</v>
      </c>
      <c r="B756" s="233" t="str">
        <f>VLOOKUP(Table8[[#This Row],[Document ID]],Table1[],2,FALSE)</f>
        <v>EEU</v>
      </c>
      <c r="C756" s="233" t="str">
        <f>VLOOKUP(Table8[[#This Row],[Document ID]],Table1[],3,FALSE)</f>
        <v>European Union</v>
      </c>
      <c r="D756" s="243" t="str">
        <f>VLOOKUP(Table8[[#This Row],[Document ID]],Table1[],5,FALSE)</f>
        <v>NDC</v>
      </c>
      <c r="E756" s="233" t="str">
        <f>VLOOKUP(Table8[[#This Row],[Document ID]],Table1[],7,FALSE)</f>
        <v>First NDC updated</v>
      </c>
      <c r="F756" s="242" t="str">
        <f>VLOOKUP(Table8[[#This Row],[Document ID]],Table1[],8,FALSE)</f>
        <v>NDC 1.1</v>
      </c>
      <c r="G756" s="242" t="str">
        <f>VLOOKUP(Table8[[#This Row],[Document ID]],Table1[],10,FALSE)</f>
        <v>Archived</v>
      </c>
      <c r="H756" s="43" t="s">
        <v>2343</v>
      </c>
      <c r="I756" s="43" t="s">
        <v>2386</v>
      </c>
      <c r="J756" s="44" t="s">
        <v>3055</v>
      </c>
      <c r="K756" s="44" t="s">
        <v>3065</v>
      </c>
      <c r="L756" s="44" t="s">
        <v>3057</v>
      </c>
      <c r="M756" s="43">
        <v>4</v>
      </c>
      <c r="N756" s="113"/>
      <c r="O756" s="113"/>
      <c r="P756" s="113"/>
      <c r="Q756" s="319"/>
      <c r="R756" s="319"/>
      <c r="S756" s="319"/>
      <c r="T756" s="319"/>
      <c r="U756" s="113"/>
      <c r="V756" s="319"/>
      <c r="W756" s="319"/>
      <c r="X756" s="319"/>
      <c r="Y756" s="319"/>
      <c r="Z756" s="113"/>
      <c r="AA756" s="319"/>
      <c r="AB756" s="319"/>
      <c r="AC756" s="319"/>
      <c r="AD756" s="113"/>
      <c r="AE756" s="319"/>
      <c r="AF756" s="319"/>
      <c r="AG756" s="319"/>
      <c r="AH756" s="319" t="s">
        <v>1113</v>
      </c>
      <c r="AI756" s="319"/>
      <c r="AJ756" s="319"/>
      <c r="AK756" s="319" t="s">
        <v>1113</v>
      </c>
      <c r="AL756" s="113"/>
      <c r="AM756" s="113"/>
      <c r="AN756" s="113"/>
      <c r="AO756" s="44" t="s">
        <v>2334</v>
      </c>
      <c r="AP756" s="43"/>
      <c r="AQ756" s="236" t="str">
        <f>VLOOKUP(Table8[[#This Row],[Instrument]],Def_Targets!$D$73:$E$159,2,FALSE)</f>
        <v>A_Emistrad</v>
      </c>
      <c r="AR756" s="233" t="str">
        <f>VLOOKUP(Table8[[#This Row],[Country Code]],Table29[],3,FALSE)</f>
        <v>Annex I</v>
      </c>
      <c r="AS756" s="233" t="str">
        <f>VLOOKUP(Table8[[#This Row],[Country Code]],Table29[],4,FALSE)</f>
        <v>Europe</v>
      </c>
      <c r="AT756" s="233" t="str">
        <f>VLOOKUP(Table8[[#This Row],[Country Code]],Table29[],5,FALSE)</f>
        <v>N/A</v>
      </c>
      <c r="AU756" s="233" t="str">
        <f>VLOOKUP(Table8[[#This Row],[Country Code]],Table29[],6,FALSE)</f>
        <v>G20</v>
      </c>
      <c r="AV756" s="233" t="str">
        <f>VLOOKUP(Table8[[#This Row],[Country Code]],Table29[],7,FALSE)</f>
        <v>no</v>
      </c>
      <c r="AW756" s="233" t="str">
        <f>VLOOKUP(Table8[[#This Row],[Country Code]],Table29[],8,FALSE)</f>
        <v>non-OECD</v>
      </c>
      <c r="AX756" s="233" t="str">
        <f>VLOOKUP(Table8[[#This Row],[Country Code]],Table29[],9,FALSE)</f>
        <v>no</v>
      </c>
      <c r="AY756" s="233" t="str">
        <f>VLOOKUP(Table8[[#This Row],[Country Code]],Table29[],10,FALSE)</f>
        <v>no</v>
      </c>
      <c r="AZ756" s="235" t="e">
        <f>VLOOKUP(Table8[[#This Row],[Country Code]],Table29[],23,FALSE)</f>
        <v>#N/A</v>
      </c>
      <c r="BA756" s="235" t="e">
        <f>VLOOKUP(Table8[[#This Row],[Country Code]],Table29[],24,FALSE)</f>
        <v>#N/A</v>
      </c>
      <c r="BB756" s="320"/>
      <c r="BC756" s="320"/>
    </row>
    <row r="757" spans="1:55" hidden="1" x14ac:dyDescent="0.25">
      <c r="A757" s="373">
        <v>17563</v>
      </c>
      <c r="B757" s="233" t="str">
        <f>VLOOKUP(Table8[[#This Row],[Document ID]],Table1[],2,FALSE)</f>
        <v>CRI</v>
      </c>
      <c r="C757" s="233" t="str">
        <f>VLOOKUP(Table8[[#This Row],[Document ID]],Table1[],3,FALSE)</f>
        <v>Costa Rica</v>
      </c>
      <c r="D757" s="243" t="str">
        <f>VLOOKUP(Table8[[#This Row],[Document ID]],Table1[],5,FALSE)</f>
        <v>LTS</v>
      </c>
      <c r="E757" s="233" t="str">
        <f>VLOOKUP(Table8[[#This Row],[Document ID]],Table1[],7,FALSE)</f>
        <v>LTS</v>
      </c>
      <c r="F757" s="233" t="str">
        <f>VLOOKUP(Table8[[#This Row],[Document ID]],Table1[],8,FALSE)</f>
        <v>LTS 1.0</v>
      </c>
      <c r="G757" s="233" t="str">
        <f>VLOOKUP(Table8[[#This Row],[Document ID]],Table1[],10,FALSE)</f>
        <v>Active</v>
      </c>
      <c r="H757" s="43" t="s">
        <v>2343</v>
      </c>
      <c r="I757" s="43" t="s">
        <v>2361</v>
      </c>
      <c r="J757" s="44" t="s">
        <v>2366</v>
      </c>
      <c r="K757" s="44" t="s">
        <v>3066</v>
      </c>
      <c r="L757" s="44" t="s">
        <v>2347</v>
      </c>
      <c r="M757" s="43">
        <v>35</v>
      </c>
      <c r="N757" s="113"/>
      <c r="O757" s="113"/>
      <c r="P757" s="113" t="s">
        <v>1113</v>
      </c>
      <c r="Q757" s="113"/>
      <c r="R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t="s">
        <v>1113</v>
      </c>
      <c r="AM757" s="113"/>
      <c r="AN757" s="113"/>
      <c r="AO757" s="44" t="s">
        <v>2334</v>
      </c>
      <c r="AP757" s="44"/>
      <c r="AQ757" s="236" t="str">
        <f>VLOOKUP(Table8[[#This Row],[Instrument]],Def_Targets!$D$73:$E$159,2,FALSE)</f>
        <v>S_Activemobility</v>
      </c>
      <c r="AR757" s="233" t="str">
        <f>VLOOKUP(Table8[[#This Row],[Country Code]],Table29[],3,FALSE)</f>
        <v>Non-Annex I</v>
      </c>
      <c r="AS757" s="233" t="str">
        <f>VLOOKUP(Table8[[#This Row],[Country Code]],Table29[],4,FALSE)</f>
        <v>Latin America and the Caribbean</v>
      </c>
      <c r="AT757" s="233" t="str">
        <f>VLOOKUP(Table8[[#This Row],[Country Code]],Table29[],5,FALSE)</f>
        <v>Middle-income</v>
      </c>
      <c r="AU757" s="233" t="str">
        <f>VLOOKUP(Table8[[#This Row],[Country Code]],Table29[],6,FALSE)</f>
        <v>no</v>
      </c>
      <c r="AV757" s="233" t="str">
        <f>VLOOKUP(Table8[[#This Row],[Country Code]],Table29[],7,FALSE)</f>
        <v>no</v>
      </c>
      <c r="AW757" s="233" t="str">
        <f>VLOOKUP(Table8[[#This Row],[Country Code]],Table29[],8,FALSE)</f>
        <v>OECD</v>
      </c>
      <c r="AX757" s="233" t="str">
        <f>VLOOKUP(Table8[[#This Row],[Country Code]],Table29[],9,FALSE)</f>
        <v>no</v>
      </c>
      <c r="AY757" s="233" t="str">
        <f>VLOOKUP(Table8[[#This Row],[Country Code]],Table29[],10,FALSE)</f>
        <v>no</v>
      </c>
      <c r="AZ757" s="235">
        <f>VLOOKUP(Table8[[#This Row],[Country Code]],Table29[],23,FALSE)</f>
        <v>16.468143919330998</v>
      </c>
      <c r="BA757" s="235">
        <f>VLOOKUP(Table8[[#This Row],[Country Code]],Table29[],24,FALSE)</f>
        <v>6.1699800179976929</v>
      </c>
      <c r="BB757" s="320"/>
      <c r="BC757" s="320"/>
    </row>
    <row r="758" spans="1:55" hidden="1" x14ac:dyDescent="0.25">
      <c r="A758" s="373">
        <v>17563</v>
      </c>
      <c r="B758" s="233" t="str">
        <f>VLOOKUP(Table8[[#This Row],[Document ID]],Table1[],2,FALSE)</f>
        <v>CRI</v>
      </c>
      <c r="C758" s="233" t="str">
        <f>VLOOKUP(Table8[[#This Row],[Document ID]],Table1[],3,FALSE)</f>
        <v>Costa Rica</v>
      </c>
      <c r="D758" s="243" t="str">
        <f>VLOOKUP(Table8[[#This Row],[Document ID]],Table1[],5,FALSE)</f>
        <v>LTS</v>
      </c>
      <c r="E758" s="233" t="str">
        <f>VLOOKUP(Table8[[#This Row],[Document ID]],Table1[],7,FALSE)</f>
        <v>LTS</v>
      </c>
      <c r="F758" s="233" t="str">
        <f>VLOOKUP(Table8[[#This Row],[Document ID]],Table1[],8,FALSE)</f>
        <v>LTS 1.0</v>
      </c>
      <c r="G758" s="233" t="str">
        <f>VLOOKUP(Table8[[#This Row],[Document ID]],Table1[],10,FALSE)</f>
        <v>Active</v>
      </c>
      <c r="H758" s="43" t="s">
        <v>2343</v>
      </c>
      <c r="I758" s="43" t="s">
        <v>2377</v>
      </c>
      <c r="J758" s="44" t="s">
        <v>2394</v>
      </c>
      <c r="K758" s="44" t="s">
        <v>3067</v>
      </c>
      <c r="L758" s="44" t="s">
        <v>2396</v>
      </c>
      <c r="M758" s="43">
        <v>35</v>
      </c>
      <c r="N758" s="113" t="s">
        <v>1113</v>
      </c>
      <c r="O758" s="113"/>
      <c r="P758" s="113"/>
      <c r="Q758" s="113"/>
      <c r="R758" s="113"/>
      <c r="S758" s="113"/>
      <c r="T758" s="113"/>
      <c r="U758" s="113"/>
      <c r="V758" s="113"/>
      <c r="W758" s="113"/>
      <c r="X758" s="113"/>
      <c r="Y758" s="113"/>
      <c r="Z758" s="113"/>
      <c r="AA758" s="113"/>
      <c r="AB758" s="113"/>
      <c r="AC758" s="113"/>
      <c r="AD758" s="113"/>
      <c r="AE758" s="113"/>
      <c r="AF758" s="113"/>
      <c r="AG758" s="113"/>
      <c r="AH758" s="113"/>
      <c r="AI758" s="113"/>
      <c r="AJ758" s="113"/>
      <c r="AK758" s="319" t="s">
        <v>1113</v>
      </c>
      <c r="AL758" s="113"/>
      <c r="AM758" s="113"/>
      <c r="AN758" s="113"/>
      <c r="AO758" s="44" t="s">
        <v>2334</v>
      </c>
      <c r="AP758" s="44"/>
      <c r="AQ758" s="236" t="str">
        <f>VLOOKUP(Table8[[#This Row],[Instrument]],Def_Targets!$D$73:$E$159,2,FALSE)</f>
        <v>A_TDM</v>
      </c>
      <c r="AR758" s="233" t="str">
        <f>VLOOKUP(Table8[[#This Row],[Country Code]],Table29[],3,FALSE)</f>
        <v>Non-Annex I</v>
      </c>
      <c r="AS758" s="233" t="str">
        <f>VLOOKUP(Table8[[#This Row],[Country Code]],Table29[],4,FALSE)</f>
        <v>Latin America and the Caribbean</v>
      </c>
      <c r="AT758" s="233" t="str">
        <f>VLOOKUP(Table8[[#This Row],[Country Code]],Table29[],5,FALSE)</f>
        <v>Middle-income</v>
      </c>
      <c r="AU758" s="233" t="str">
        <f>VLOOKUP(Table8[[#This Row],[Country Code]],Table29[],6,FALSE)</f>
        <v>no</v>
      </c>
      <c r="AV758" s="233" t="str">
        <f>VLOOKUP(Table8[[#This Row],[Country Code]],Table29[],7,FALSE)</f>
        <v>no</v>
      </c>
      <c r="AW758" s="233" t="str">
        <f>VLOOKUP(Table8[[#This Row],[Country Code]],Table29[],8,FALSE)</f>
        <v>OECD</v>
      </c>
      <c r="AX758" s="233" t="str">
        <f>VLOOKUP(Table8[[#This Row],[Country Code]],Table29[],9,FALSE)</f>
        <v>no</v>
      </c>
      <c r="AY758" s="233" t="str">
        <f>VLOOKUP(Table8[[#This Row],[Country Code]],Table29[],10,FALSE)</f>
        <v>no</v>
      </c>
      <c r="AZ758" s="235">
        <f>VLOOKUP(Table8[[#This Row],[Country Code]],Table29[],23,FALSE)</f>
        <v>16.468143919330998</v>
      </c>
      <c r="BA758" s="235">
        <f>VLOOKUP(Table8[[#This Row],[Country Code]],Table29[],24,FALSE)</f>
        <v>6.1699800179976929</v>
      </c>
      <c r="BB758" s="320"/>
      <c r="BC758" s="320"/>
    </row>
    <row r="759" spans="1:55" ht="45" hidden="1" x14ac:dyDescent="0.25">
      <c r="A759" s="373">
        <v>17563</v>
      </c>
      <c r="B759" s="233" t="str">
        <f>VLOOKUP(Table8[[#This Row],[Document ID]],Table1[],2,FALSE)</f>
        <v>CRI</v>
      </c>
      <c r="C759" s="233" t="str">
        <f>VLOOKUP(Table8[[#This Row],[Document ID]],Table1[],3,FALSE)</f>
        <v>Costa Rica</v>
      </c>
      <c r="D759" s="243" t="str">
        <f>VLOOKUP(Table8[[#This Row],[Document ID]],Table1[],5,FALSE)</f>
        <v>LTS</v>
      </c>
      <c r="E759" s="233" t="str">
        <f>VLOOKUP(Table8[[#This Row],[Document ID]],Table1[],7,FALSE)</f>
        <v>LTS</v>
      </c>
      <c r="F759" s="233" t="str">
        <f>VLOOKUP(Table8[[#This Row],[Document ID]],Table1[],8,FALSE)</f>
        <v>LTS 1.0</v>
      </c>
      <c r="G759" s="233" t="str">
        <f>VLOOKUP(Table8[[#This Row],[Document ID]],Table1[],10,FALSE)</f>
        <v>Active</v>
      </c>
      <c r="H759" s="43" t="s">
        <v>2358</v>
      </c>
      <c r="I759" s="43" t="s">
        <v>2359</v>
      </c>
      <c r="J759" s="44" t="s">
        <v>2389</v>
      </c>
      <c r="K759" s="44" t="s">
        <v>3068</v>
      </c>
      <c r="L759" s="44" t="s">
        <v>2333</v>
      </c>
      <c r="M759" s="43">
        <v>37</v>
      </c>
      <c r="N759" s="113" t="s">
        <v>1113</v>
      </c>
      <c r="O759" s="113"/>
      <c r="P759" s="113"/>
      <c r="Q759" s="113"/>
      <c r="R759" s="113"/>
      <c r="S759" s="113"/>
      <c r="T759" s="113"/>
      <c r="U759" s="113"/>
      <c r="V759" s="113"/>
      <c r="W759" s="113"/>
      <c r="X759" s="113"/>
      <c r="Y759" s="113"/>
      <c r="Z759" s="113"/>
      <c r="AA759" s="113"/>
      <c r="AB759" s="113"/>
      <c r="AC759" s="113"/>
      <c r="AD759" s="113"/>
      <c r="AE759" s="113"/>
      <c r="AF759" s="113"/>
      <c r="AG759" s="113"/>
      <c r="AH759" s="113"/>
      <c r="AI759" s="113"/>
      <c r="AJ759" s="113"/>
      <c r="AK759" s="319" t="s">
        <v>1113</v>
      </c>
      <c r="AL759" s="113"/>
      <c r="AM759" s="113"/>
      <c r="AN759" s="113"/>
      <c r="AO759" s="44" t="s">
        <v>2334</v>
      </c>
      <c r="AP759" s="43"/>
      <c r="AQ759" s="236" t="str">
        <f>VLOOKUP(Table8[[#This Row],[Instrument]],Def_Targets!$D$73:$E$159,2,FALSE)</f>
        <v>I_Emobilitypurchase</v>
      </c>
      <c r="AR759" s="233" t="str">
        <f>VLOOKUP(Table8[[#This Row],[Country Code]],Table29[],3,FALSE)</f>
        <v>Non-Annex I</v>
      </c>
      <c r="AS759" s="233" t="str">
        <f>VLOOKUP(Table8[[#This Row],[Country Code]],Table29[],4,FALSE)</f>
        <v>Latin America and the Caribbean</v>
      </c>
      <c r="AT759" s="233" t="str">
        <f>VLOOKUP(Table8[[#This Row],[Country Code]],Table29[],5,FALSE)</f>
        <v>Middle-income</v>
      </c>
      <c r="AU759" s="233" t="str">
        <f>VLOOKUP(Table8[[#This Row],[Country Code]],Table29[],6,FALSE)</f>
        <v>no</v>
      </c>
      <c r="AV759" s="233" t="str">
        <f>VLOOKUP(Table8[[#This Row],[Country Code]],Table29[],7,FALSE)</f>
        <v>no</v>
      </c>
      <c r="AW759" s="233" t="str">
        <f>VLOOKUP(Table8[[#This Row],[Country Code]],Table29[],8,FALSE)</f>
        <v>OECD</v>
      </c>
      <c r="AX759" s="233" t="str">
        <f>VLOOKUP(Table8[[#This Row],[Country Code]],Table29[],9,FALSE)</f>
        <v>no</v>
      </c>
      <c r="AY759" s="233" t="str">
        <f>VLOOKUP(Table8[[#This Row],[Country Code]],Table29[],10,FALSE)</f>
        <v>no</v>
      </c>
      <c r="AZ759" s="235">
        <f>VLOOKUP(Table8[[#This Row],[Country Code]],Table29[],23,FALSE)</f>
        <v>16.468143919330998</v>
      </c>
      <c r="BA759" s="235">
        <f>VLOOKUP(Table8[[#This Row],[Country Code]],Table29[],24,FALSE)</f>
        <v>6.1699800179976929</v>
      </c>
      <c r="BB759" s="320"/>
      <c r="BC759" s="320"/>
    </row>
    <row r="760" spans="1:55" hidden="1" x14ac:dyDescent="0.25">
      <c r="A760" s="373">
        <v>17563</v>
      </c>
      <c r="B760" s="233" t="str">
        <f>VLOOKUP(Table8[[#This Row],[Document ID]],Table1[],2,FALSE)</f>
        <v>CRI</v>
      </c>
      <c r="C760" s="233" t="str">
        <f>VLOOKUP(Table8[[#This Row],[Document ID]],Table1[],3,FALSE)</f>
        <v>Costa Rica</v>
      </c>
      <c r="D760" s="243" t="str">
        <f>VLOOKUP(Table8[[#This Row],[Document ID]],Table1[],5,FALSE)</f>
        <v>LTS</v>
      </c>
      <c r="E760" s="233" t="str">
        <f>VLOOKUP(Table8[[#This Row],[Document ID]],Table1[],7,FALSE)</f>
        <v>LTS</v>
      </c>
      <c r="F760" s="233" t="str">
        <f>VLOOKUP(Table8[[#This Row],[Document ID]],Table1[],8,FALSE)</f>
        <v>LTS 1.0</v>
      </c>
      <c r="G760" s="233" t="str">
        <f>VLOOKUP(Table8[[#This Row],[Document ID]],Table1[],10,FALSE)</f>
        <v>Active</v>
      </c>
      <c r="H760" s="43" t="s">
        <v>2343</v>
      </c>
      <c r="I760" s="43" t="s">
        <v>2386</v>
      </c>
      <c r="J760" s="44" t="s">
        <v>2387</v>
      </c>
      <c r="K760" s="44" t="s">
        <v>3069</v>
      </c>
      <c r="L760" s="44" t="s">
        <v>2333</v>
      </c>
      <c r="M760" s="43">
        <v>37</v>
      </c>
      <c r="N760" s="113" t="s">
        <v>1113</v>
      </c>
      <c r="O760" s="113"/>
      <c r="P760" s="113"/>
      <c r="Q760" s="113"/>
      <c r="R760" s="113"/>
      <c r="S760" s="113"/>
      <c r="T760" s="113"/>
      <c r="U760" s="113"/>
      <c r="V760" s="113"/>
      <c r="W760" s="113"/>
      <c r="X760" s="113"/>
      <c r="Y760" s="113"/>
      <c r="Z760" s="113"/>
      <c r="AA760" s="113"/>
      <c r="AB760" s="113"/>
      <c r="AC760" s="113"/>
      <c r="AD760" s="113"/>
      <c r="AE760" s="113"/>
      <c r="AF760" s="113"/>
      <c r="AG760" s="113"/>
      <c r="AH760" s="113"/>
      <c r="AI760" s="113"/>
      <c r="AJ760" s="113"/>
      <c r="AK760" s="319" t="s">
        <v>1113</v>
      </c>
      <c r="AL760" s="113"/>
      <c r="AM760" s="113"/>
      <c r="AN760" s="113"/>
      <c r="AO760" s="44" t="s">
        <v>2334</v>
      </c>
      <c r="AP760" s="43"/>
      <c r="AQ760" s="236" t="str">
        <f>VLOOKUP(Table8[[#This Row],[Instrument]],Def_Targets!$D$73:$E$159,2,FALSE)</f>
        <v>A_Procurement</v>
      </c>
      <c r="AR760" s="233" t="str">
        <f>VLOOKUP(Table8[[#This Row],[Country Code]],Table29[],3,FALSE)</f>
        <v>Non-Annex I</v>
      </c>
      <c r="AS760" s="233" t="str">
        <f>VLOOKUP(Table8[[#This Row],[Country Code]],Table29[],4,FALSE)</f>
        <v>Latin America and the Caribbean</v>
      </c>
      <c r="AT760" s="233" t="str">
        <f>VLOOKUP(Table8[[#This Row],[Country Code]],Table29[],5,FALSE)</f>
        <v>Middle-income</v>
      </c>
      <c r="AU760" s="233" t="str">
        <f>VLOOKUP(Table8[[#This Row],[Country Code]],Table29[],6,FALSE)</f>
        <v>no</v>
      </c>
      <c r="AV760" s="233" t="str">
        <f>VLOOKUP(Table8[[#This Row],[Country Code]],Table29[],7,FALSE)</f>
        <v>no</v>
      </c>
      <c r="AW760" s="233" t="str">
        <f>VLOOKUP(Table8[[#This Row],[Country Code]],Table29[],8,FALSE)</f>
        <v>OECD</v>
      </c>
      <c r="AX760" s="233" t="str">
        <f>VLOOKUP(Table8[[#This Row],[Country Code]],Table29[],9,FALSE)</f>
        <v>no</v>
      </c>
      <c r="AY760" s="233" t="str">
        <f>VLOOKUP(Table8[[#This Row],[Country Code]],Table29[],10,FALSE)</f>
        <v>no</v>
      </c>
      <c r="AZ760" s="235">
        <f>VLOOKUP(Table8[[#This Row],[Country Code]],Table29[],23,FALSE)</f>
        <v>16.468143919330998</v>
      </c>
      <c r="BA760" s="235">
        <f>VLOOKUP(Table8[[#This Row],[Country Code]],Table29[],24,FALSE)</f>
        <v>6.1699800179976929</v>
      </c>
      <c r="BB760" s="320"/>
      <c r="BC760" s="320"/>
    </row>
    <row r="761" spans="1:55" hidden="1" x14ac:dyDescent="0.25">
      <c r="A761" s="373">
        <v>17563</v>
      </c>
      <c r="B761" s="233" t="str">
        <f>VLOOKUP(Table8[[#This Row],[Document ID]],Table1[],2,FALSE)</f>
        <v>CRI</v>
      </c>
      <c r="C761" s="233" t="str">
        <f>VLOOKUP(Table8[[#This Row],[Document ID]],Table1[],3,FALSE)</f>
        <v>Costa Rica</v>
      </c>
      <c r="D761" s="243" t="str">
        <f>VLOOKUP(Table8[[#This Row],[Document ID]],Table1[],5,FALSE)</f>
        <v>LTS</v>
      </c>
      <c r="E761" s="233" t="str">
        <f>VLOOKUP(Table8[[#This Row],[Document ID]],Table1[],7,FALSE)</f>
        <v>LTS</v>
      </c>
      <c r="F761" s="233" t="str">
        <f>VLOOKUP(Table8[[#This Row],[Document ID]],Table1[],8,FALSE)</f>
        <v>LTS 1.0</v>
      </c>
      <c r="G761" s="233" t="str">
        <f>VLOOKUP(Table8[[#This Row],[Document ID]],Table1[],10,FALSE)</f>
        <v>Active</v>
      </c>
      <c r="H761" s="44" t="s">
        <v>2338</v>
      </c>
      <c r="I761" s="44" t="s">
        <v>2339</v>
      </c>
      <c r="J761" s="44" t="s">
        <v>2451</v>
      </c>
      <c r="K761" s="44" t="s">
        <v>3070</v>
      </c>
      <c r="L761" s="44" t="s">
        <v>2333</v>
      </c>
      <c r="M761" s="43">
        <v>37</v>
      </c>
      <c r="N761" s="113" t="s">
        <v>1113</v>
      </c>
      <c r="O761" s="113"/>
      <c r="P761" s="113"/>
      <c r="Q761" s="113"/>
      <c r="R761" s="113"/>
      <c r="S761" s="113"/>
      <c r="T761" s="113"/>
      <c r="U761" s="113"/>
      <c r="V761" s="113"/>
      <c r="W761" s="113"/>
      <c r="X761" s="113"/>
      <c r="Y761" s="113"/>
      <c r="Z761" s="113"/>
      <c r="AA761" s="113"/>
      <c r="AB761" s="113"/>
      <c r="AC761" s="113"/>
      <c r="AD761" s="113"/>
      <c r="AE761" s="113"/>
      <c r="AF761" s="113"/>
      <c r="AG761" s="113"/>
      <c r="AH761" s="113"/>
      <c r="AI761" s="113"/>
      <c r="AJ761" s="113"/>
      <c r="AK761" s="319" t="s">
        <v>1113</v>
      </c>
      <c r="AL761" s="113"/>
      <c r="AM761" s="113"/>
      <c r="AN761" s="113"/>
      <c r="AO761" s="44" t="s">
        <v>2334</v>
      </c>
      <c r="AP761" s="43"/>
      <c r="AQ761" s="236" t="str">
        <f>VLOOKUP(Table8[[#This Row],[Instrument]],Def_Targets!$D$73:$E$159,2,FALSE)</f>
        <v>I_Inspection</v>
      </c>
      <c r="AR761" s="233" t="str">
        <f>VLOOKUP(Table8[[#This Row],[Country Code]],Table29[],3,FALSE)</f>
        <v>Non-Annex I</v>
      </c>
      <c r="AS761" s="233" t="str">
        <f>VLOOKUP(Table8[[#This Row],[Country Code]],Table29[],4,FALSE)</f>
        <v>Latin America and the Caribbean</v>
      </c>
      <c r="AT761" s="233" t="str">
        <f>VLOOKUP(Table8[[#This Row],[Country Code]],Table29[],5,FALSE)</f>
        <v>Middle-income</v>
      </c>
      <c r="AU761" s="233" t="str">
        <f>VLOOKUP(Table8[[#This Row],[Country Code]],Table29[],6,FALSE)</f>
        <v>no</v>
      </c>
      <c r="AV761" s="233" t="str">
        <f>VLOOKUP(Table8[[#This Row],[Country Code]],Table29[],7,FALSE)</f>
        <v>no</v>
      </c>
      <c r="AW761" s="233" t="str">
        <f>VLOOKUP(Table8[[#This Row],[Country Code]],Table29[],8,FALSE)</f>
        <v>OECD</v>
      </c>
      <c r="AX761" s="233" t="str">
        <f>VLOOKUP(Table8[[#This Row],[Country Code]],Table29[],9,FALSE)</f>
        <v>no</v>
      </c>
      <c r="AY761" s="233" t="str">
        <f>VLOOKUP(Table8[[#This Row],[Country Code]],Table29[],10,FALSE)</f>
        <v>no</v>
      </c>
      <c r="AZ761" s="235">
        <f>VLOOKUP(Table8[[#This Row],[Country Code]],Table29[],23,FALSE)</f>
        <v>16.468143919330998</v>
      </c>
      <c r="BA761" s="235">
        <f>VLOOKUP(Table8[[#This Row],[Country Code]],Table29[],24,FALSE)</f>
        <v>6.1699800179976929</v>
      </c>
      <c r="BB761" s="320"/>
      <c r="BC761" s="320"/>
    </row>
    <row r="762" spans="1:55" hidden="1" x14ac:dyDescent="0.25">
      <c r="A762" s="373">
        <v>17563</v>
      </c>
      <c r="B762" s="233" t="str">
        <f>VLOOKUP(Table8[[#This Row],[Document ID]],Table1[],2,FALSE)</f>
        <v>CRI</v>
      </c>
      <c r="C762" s="233" t="str">
        <f>VLOOKUP(Table8[[#This Row],[Document ID]],Table1[],3,FALSE)</f>
        <v>Costa Rica</v>
      </c>
      <c r="D762" s="243" t="str">
        <f>VLOOKUP(Table8[[#This Row],[Document ID]],Table1[],5,FALSE)</f>
        <v>LTS</v>
      </c>
      <c r="E762" s="233" t="str">
        <f>VLOOKUP(Table8[[#This Row],[Document ID]],Table1[],7,FALSE)</f>
        <v>LTS</v>
      </c>
      <c r="F762" s="233" t="str">
        <f>VLOOKUP(Table8[[#This Row],[Document ID]],Table1[],8,FALSE)</f>
        <v>LTS 1.0</v>
      </c>
      <c r="G762" s="233" t="str">
        <f>VLOOKUP(Table8[[#This Row],[Document ID]],Table1[],10,FALSE)</f>
        <v>Active</v>
      </c>
      <c r="H762" s="43" t="s">
        <v>2358</v>
      </c>
      <c r="I762" s="43" t="s">
        <v>2359</v>
      </c>
      <c r="J762" s="44" t="s">
        <v>2383</v>
      </c>
      <c r="K762" s="44" t="s">
        <v>3071</v>
      </c>
      <c r="L762" s="44" t="s">
        <v>2333</v>
      </c>
      <c r="M762" s="43">
        <v>37</v>
      </c>
      <c r="N762" s="113"/>
      <c r="O762" s="113"/>
      <c r="P762" s="113"/>
      <c r="Q762" s="113"/>
      <c r="R762" s="113"/>
      <c r="S762" s="113" t="s">
        <v>1113</v>
      </c>
      <c r="T762" s="113"/>
      <c r="U762" s="113"/>
      <c r="V762" s="113"/>
      <c r="W762" s="113"/>
      <c r="X762" s="113"/>
      <c r="Y762" s="113"/>
      <c r="Z762" s="113"/>
      <c r="AA762" s="113"/>
      <c r="AB762" s="113"/>
      <c r="AC762" s="113"/>
      <c r="AD762" s="113"/>
      <c r="AE762" s="113"/>
      <c r="AF762" s="113"/>
      <c r="AG762" s="113"/>
      <c r="AH762" s="113"/>
      <c r="AI762" s="113"/>
      <c r="AJ762" s="113"/>
      <c r="AK762" s="319" t="s">
        <v>1113</v>
      </c>
      <c r="AL762" s="113"/>
      <c r="AM762" s="113"/>
      <c r="AN762" s="113"/>
      <c r="AO762" s="44" t="s">
        <v>2334</v>
      </c>
      <c r="AP762" s="43"/>
      <c r="AQ762" s="236" t="str">
        <f>VLOOKUP(Table8[[#This Row],[Instrument]],Def_Targets!$D$73:$E$159,2,FALSE)</f>
        <v>I_Emobilitycharging</v>
      </c>
      <c r="AR762" s="233" t="str">
        <f>VLOOKUP(Table8[[#This Row],[Country Code]],Table29[],3,FALSE)</f>
        <v>Non-Annex I</v>
      </c>
      <c r="AS762" s="233" t="str">
        <f>VLOOKUP(Table8[[#This Row],[Country Code]],Table29[],4,FALSE)</f>
        <v>Latin America and the Caribbean</v>
      </c>
      <c r="AT762" s="233" t="str">
        <f>VLOOKUP(Table8[[#This Row],[Country Code]],Table29[],5,FALSE)</f>
        <v>Middle-income</v>
      </c>
      <c r="AU762" s="233" t="str">
        <f>VLOOKUP(Table8[[#This Row],[Country Code]],Table29[],6,FALSE)</f>
        <v>no</v>
      </c>
      <c r="AV762" s="233" t="str">
        <f>VLOOKUP(Table8[[#This Row],[Country Code]],Table29[],7,FALSE)</f>
        <v>no</v>
      </c>
      <c r="AW762" s="233" t="str">
        <f>VLOOKUP(Table8[[#This Row],[Country Code]],Table29[],8,FALSE)</f>
        <v>OECD</v>
      </c>
      <c r="AX762" s="233" t="str">
        <f>VLOOKUP(Table8[[#This Row],[Country Code]],Table29[],9,FALSE)</f>
        <v>no</v>
      </c>
      <c r="AY762" s="233" t="str">
        <f>VLOOKUP(Table8[[#This Row],[Country Code]],Table29[],10,FALSE)</f>
        <v>no</v>
      </c>
      <c r="AZ762" s="235">
        <f>VLOOKUP(Table8[[#This Row],[Country Code]],Table29[],23,FALSE)</f>
        <v>16.468143919330998</v>
      </c>
      <c r="BA762" s="235">
        <f>VLOOKUP(Table8[[#This Row],[Country Code]],Table29[],24,FALSE)</f>
        <v>6.1699800179976929</v>
      </c>
      <c r="BB762" s="320"/>
      <c r="BC762" s="320"/>
    </row>
    <row r="763" spans="1:55" ht="45" hidden="1" x14ac:dyDescent="0.25">
      <c r="A763" s="373">
        <v>17563</v>
      </c>
      <c r="B763" s="233" t="str">
        <f>VLOOKUP(Table8[[#This Row],[Document ID]],Table1[],2,FALSE)</f>
        <v>CRI</v>
      </c>
      <c r="C763" s="233" t="str">
        <f>VLOOKUP(Table8[[#This Row],[Document ID]],Table1[],3,FALSE)</f>
        <v>Costa Rica</v>
      </c>
      <c r="D763" s="243" t="str">
        <f>VLOOKUP(Table8[[#This Row],[Document ID]],Table1[],5,FALSE)</f>
        <v>LTS</v>
      </c>
      <c r="E763" s="233" t="str">
        <f>VLOOKUP(Table8[[#This Row],[Document ID]],Table1[],7,FALSE)</f>
        <v>LTS</v>
      </c>
      <c r="F763" s="233" t="str">
        <f>VLOOKUP(Table8[[#This Row],[Document ID]],Table1[],8,FALSE)</f>
        <v>LTS 1.0</v>
      </c>
      <c r="G763" s="233" t="str">
        <f>VLOOKUP(Table8[[#This Row],[Document ID]],Table1[],10,FALSE)</f>
        <v>Active</v>
      </c>
      <c r="H763" s="43" t="s">
        <v>2350</v>
      </c>
      <c r="I763" s="43" t="s">
        <v>2407</v>
      </c>
      <c r="J763" s="44" t="s">
        <v>2408</v>
      </c>
      <c r="K763" s="44" t="s">
        <v>3072</v>
      </c>
      <c r="L763" s="44" t="s">
        <v>2333</v>
      </c>
      <c r="M763" s="43">
        <v>38</v>
      </c>
      <c r="N763" s="113" t="s">
        <v>1113</v>
      </c>
      <c r="O763" s="113"/>
      <c r="P763" s="113"/>
      <c r="Q763" s="113"/>
      <c r="R763" s="113"/>
      <c r="S763" s="113"/>
      <c r="T763" s="113"/>
      <c r="U763" s="113"/>
      <c r="V763" s="113"/>
      <c r="W763" s="113"/>
      <c r="X763" s="113"/>
      <c r="Y763" s="113"/>
      <c r="Z763" s="113"/>
      <c r="AA763" s="113"/>
      <c r="AB763" s="113"/>
      <c r="AC763" s="113"/>
      <c r="AD763" s="113"/>
      <c r="AE763" s="113"/>
      <c r="AF763" s="113"/>
      <c r="AG763" s="113"/>
      <c r="AH763" s="113"/>
      <c r="AI763" s="113"/>
      <c r="AJ763" s="113"/>
      <c r="AK763" s="319" t="s">
        <v>1113</v>
      </c>
      <c r="AL763" s="113"/>
      <c r="AM763" s="113"/>
      <c r="AN763" s="113"/>
      <c r="AO763" s="44" t="s">
        <v>2334</v>
      </c>
      <c r="AP763" s="43"/>
      <c r="AQ763" s="236" t="str">
        <f>VLOOKUP(Table8[[#This Row],[Instrument]],Def_Targets!$D$73:$E$159,2,FALSE)</f>
        <v>I_Education</v>
      </c>
      <c r="AR763" s="233" t="str">
        <f>VLOOKUP(Table8[[#This Row],[Country Code]],Table29[],3,FALSE)</f>
        <v>Non-Annex I</v>
      </c>
      <c r="AS763" s="233" t="str">
        <f>VLOOKUP(Table8[[#This Row],[Country Code]],Table29[],4,FALSE)</f>
        <v>Latin America and the Caribbean</v>
      </c>
      <c r="AT763" s="233" t="str">
        <f>VLOOKUP(Table8[[#This Row],[Country Code]],Table29[],5,FALSE)</f>
        <v>Middle-income</v>
      </c>
      <c r="AU763" s="233" t="str">
        <f>VLOOKUP(Table8[[#This Row],[Country Code]],Table29[],6,FALSE)</f>
        <v>no</v>
      </c>
      <c r="AV763" s="233" t="str">
        <f>VLOOKUP(Table8[[#This Row],[Country Code]],Table29[],7,FALSE)</f>
        <v>no</v>
      </c>
      <c r="AW763" s="233" t="str">
        <f>VLOOKUP(Table8[[#This Row],[Country Code]],Table29[],8,FALSE)</f>
        <v>OECD</v>
      </c>
      <c r="AX763" s="233" t="str">
        <f>VLOOKUP(Table8[[#This Row],[Country Code]],Table29[],9,FALSE)</f>
        <v>no</v>
      </c>
      <c r="AY763" s="233" t="str">
        <f>VLOOKUP(Table8[[#This Row],[Country Code]],Table29[],10,FALSE)</f>
        <v>no</v>
      </c>
      <c r="AZ763" s="235">
        <f>VLOOKUP(Table8[[#This Row],[Country Code]],Table29[],23,FALSE)</f>
        <v>16.468143919330998</v>
      </c>
      <c r="BA763" s="235">
        <f>VLOOKUP(Table8[[#This Row],[Country Code]],Table29[],24,FALSE)</f>
        <v>6.1699800179976929</v>
      </c>
      <c r="BB763" s="320"/>
      <c r="BC763" s="320"/>
    </row>
    <row r="764" spans="1:55" ht="30" hidden="1" x14ac:dyDescent="0.25">
      <c r="A764" s="373">
        <v>17563</v>
      </c>
      <c r="B764" s="233" t="str">
        <f>VLOOKUP(Table8[[#This Row],[Document ID]],Table1[],2,FALSE)</f>
        <v>CRI</v>
      </c>
      <c r="C764" s="233" t="str">
        <f>VLOOKUP(Table8[[#This Row],[Document ID]],Table1[],3,FALSE)</f>
        <v>Costa Rica</v>
      </c>
      <c r="D764" s="243" t="str">
        <f>VLOOKUP(Table8[[#This Row],[Document ID]],Table1[],5,FALSE)</f>
        <v>LTS</v>
      </c>
      <c r="E764" s="233" t="str">
        <f>VLOOKUP(Table8[[#This Row],[Document ID]],Table1[],7,FALSE)</f>
        <v>LTS</v>
      </c>
      <c r="F764" s="233" t="str">
        <f>VLOOKUP(Table8[[#This Row],[Document ID]],Table1[],8,FALSE)</f>
        <v>LTS 1.0</v>
      </c>
      <c r="G764" s="233" t="str">
        <f>VLOOKUP(Table8[[#This Row],[Document ID]],Table1[],10,FALSE)</f>
        <v>Active</v>
      </c>
      <c r="H764" s="43" t="s">
        <v>2358</v>
      </c>
      <c r="I764" s="43" t="s">
        <v>2359</v>
      </c>
      <c r="J764" s="44" t="s">
        <v>2360</v>
      </c>
      <c r="K764" s="44" t="s">
        <v>3073</v>
      </c>
      <c r="L764" s="44" t="s">
        <v>2333</v>
      </c>
      <c r="M764" s="43">
        <v>38</v>
      </c>
      <c r="N764" s="113" t="s">
        <v>1113</v>
      </c>
      <c r="O764" s="113"/>
      <c r="P764" s="113"/>
      <c r="Q764" s="113"/>
      <c r="R764" s="113"/>
      <c r="S764" s="113"/>
      <c r="T764" s="113"/>
      <c r="U764" s="113"/>
      <c r="V764" s="113"/>
      <c r="W764" s="113"/>
      <c r="X764" s="113"/>
      <c r="Y764" s="113"/>
      <c r="Z764" s="113"/>
      <c r="AA764" s="113"/>
      <c r="AB764" s="113"/>
      <c r="AC764" s="113"/>
      <c r="AD764" s="113"/>
      <c r="AE764" s="113"/>
      <c r="AF764" s="113"/>
      <c r="AG764" s="113"/>
      <c r="AH764" s="113"/>
      <c r="AI764" s="113"/>
      <c r="AJ764" s="113"/>
      <c r="AK764" s="319" t="s">
        <v>1113</v>
      </c>
      <c r="AL764" s="113"/>
      <c r="AM764" s="113"/>
      <c r="AN764" s="113"/>
      <c r="AO764" s="44" t="s">
        <v>2334</v>
      </c>
      <c r="AP764" s="43"/>
      <c r="AQ764" s="236" t="str">
        <f>VLOOKUP(Table8[[#This Row],[Instrument]],Def_Targets!$D$73:$E$159,2,FALSE)</f>
        <v>I_Emobility</v>
      </c>
      <c r="AR764" s="233" t="str">
        <f>VLOOKUP(Table8[[#This Row],[Country Code]],Table29[],3,FALSE)</f>
        <v>Non-Annex I</v>
      </c>
      <c r="AS764" s="233" t="str">
        <f>VLOOKUP(Table8[[#This Row],[Country Code]],Table29[],4,FALSE)</f>
        <v>Latin America and the Caribbean</v>
      </c>
      <c r="AT764" s="233" t="str">
        <f>VLOOKUP(Table8[[#This Row],[Country Code]],Table29[],5,FALSE)</f>
        <v>Middle-income</v>
      </c>
      <c r="AU764" s="233" t="str">
        <f>VLOOKUP(Table8[[#This Row],[Country Code]],Table29[],6,FALSE)</f>
        <v>no</v>
      </c>
      <c r="AV764" s="233" t="str">
        <f>VLOOKUP(Table8[[#This Row],[Country Code]],Table29[],7,FALSE)</f>
        <v>no</v>
      </c>
      <c r="AW764" s="233" t="str">
        <f>VLOOKUP(Table8[[#This Row],[Country Code]],Table29[],8,FALSE)</f>
        <v>OECD</v>
      </c>
      <c r="AX764" s="233" t="str">
        <f>VLOOKUP(Table8[[#This Row],[Country Code]],Table29[],9,FALSE)</f>
        <v>no</v>
      </c>
      <c r="AY764" s="233" t="str">
        <f>VLOOKUP(Table8[[#This Row],[Country Code]],Table29[],10,FALSE)</f>
        <v>no</v>
      </c>
      <c r="AZ764" s="235">
        <f>VLOOKUP(Table8[[#This Row],[Country Code]],Table29[],23,FALSE)</f>
        <v>16.468143919330998</v>
      </c>
      <c r="BA764" s="235">
        <f>VLOOKUP(Table8[[#This Row],[Country Code]],Table29[],24,FALSE)</f>
        <v>6.1699800179976929</v>
      </c>
      <c r="BB764" s="320"/>
      <c r="BC764" s="320"/>
    </row>
    <row r="765" spans="1:55" hidden="1" x14ac:dyDescent="0.25">
      <c r="A765" s="373">
        <v>17563</v>
      </c>
      <c r="B765" s="233" t="str">
        <f>VLOOKUP(Table8[[#This Row],[Document ID]],Table1[],2,FALSE)</f>
        <v>CRI</v>
      </c>
      <c r="C765" s="233" t="str">
        <f>VLOOKUP(Table8[[#This Row],[Document ID]],Table1[],3,FALSE)</f>
        <v>Costa Rica</v>
      </c>
      <c r="D765" s="243" t="str">
        <f>VLOOKUP(Table8[[#This Row],[Document ID]],Table1[],5,FALSE)</f>
        <v>LTS</v>
      </c>
      <c r="E765" s="233" t="str">
        <f>VLOOKUP(Table8[[#This Row],[Document ID]],Table1[],7,FALSE)</f>
        <v>LTS</v>
      </c>
      <c r="F765" s="233" t="str">
        <f>VLOOKUP(Table8[[#This Row],[Document ID]],Table1[],8,FALSE)</f>
        <v>LTS 1.0</v>
      </c>
      <c r="G765" s="233" t="str">
        <f>VLOOKUP(Table8[[#This Row],[Document ID]],Table1[],10,FALSE)</f>
        <v>Active</v>
      </c>
      <c r="H765" s="44" t="s">
        <v>2329</v>
      </c>
      <c r="I765" s="44" t="s">
        <v>2330</v>
      </c>
      <c r="J765" s="44" t="s">
        <v>2357</v>
      </c>
      <c r="K765" s="44" t="s">
        <v>3074</v>
      </c>
      <c r="L765" s="44" t="s">
        <v>2333</v>
      </c>
      <c r="M765" s="43">
        <v>38</v>
      </c>
      <c r="N765" s="113" t="s">
        <v>1113</v>
      </c>
      <c r="O765" s="113"/>
      <c r="P765" s="113"/>
      <c r="Q765" s="113"/>
      <c r="R765" s="113"/>
      <c r="S765" s="113"/>
      <c r="T765" s="113"/>
      <c r="U765" s="113"/>
      <c r="V765" s="113"/>
      <c r="W765" s="113"/>
      <c r="X765" s="113"/>
      <c r="Y765" s="113"/>
      <c r="Z765" s="113"/>
      <c r="AA765" s="113"/>
      <c r="AB765" s="113"/>
      <c r="AC765" s="113"/>
      <c r="AD765" s="113"/>
      <c r="AE765" s="113"/>
      <c r="AF765" s="113"/>
      <c r="AG765" s="113"/>
      <c r="AH765" s="113"/>
      <c r="AI765" s="113"/>
      <c r="AJ765" s="113"/>
      <c r="AK765" s="319" t="s">
        <v>1113</v>
      </c>
      <c r="AL765" s="113"/>
      <c r="AM765" s="113"/>
      <c r="AN765" s="113"/>
      <c r="AO765" s="44" t="s">
        <v>2334</v>
      </c>
      <c r="AP765" s="43"/>
      <c r="AQ765" s="236" t="str">
        <f>VLOOKUP(Table8[[#This Row],[Instrument]],Def_Targets!$D$73:$E$159,2,FALSE)</f>
        <v>I_Biofuel</v>
      </c>
      <c r="AR765" s="233" t="str">
        <f>VLOOKUP(Table8[[#This Row],[Country Code]],Table29[],3,FALSE)</f>
        <v>Non-Annex I</v>
      </c>
      <c r="AS765" s="233" t="str">
        <f>VLOOKUP(Table8[[#This Row],[Country Code]],Table29[],4,FALSE)</f>
        <v>Latin America and the Caribbean</v>
      </c>
      <c r="AT765" s="233" t="str">
        <f>VLOOKUP(Table8[[#This Row],[Country Code]],Table29[],5,FALSE)</f>
        <v>Middle-income</v>
      </c>
      <c r="AU765" s="233" t="str">
        <f>VLOOKUP(Table8[[#This Row],[Country Code]],Table29[],6,FALSE)</f>
        <v>no</v>
      </c>
      <c r="AV765" s="233" t="str">
        <f>VLOOKUP(Table8[[#This Row],[Country Code]],Table29[],7,FALSE)</f>
        <v>no</v>
      </c>
      <c r="AW765" s="233" t="str">
        <f>VLOOKUP(Table8[[#This Row],[Country Code]],Table29[],8,FALSE)</f>
        <v>OECD</v>
      </c>
      <c r="AX765" s="233" t="str">
        <f>VLOOKUP(Table8[[#This Row],[Country Code]],Table29[],9,FALSE)</f>
        <v>no</v>
      </c>
      <c r="AY765" s="233" t="str">
        <f>VLOOKUP(Table8[[#This Row],[Country Code]],Table29[],10,FALSE)</f>
        <v>no</v>
      </c>
      <c r="AZ765" s="235">
        <f>VLOOKUP(Table8[[#This Row],[Country Code]],Table29[],23,FALSE)</f>
        <v>16.468143919330998</v>
      </c>
      <c r="BA765" s="235">
        <f>VLOOKUP(Table8[[#This Row],[Country Code]],Table29[],24,FALSE)</f>
        <v>6.1699800179976929</v>
      </c>
      <c r="BB765" s="320"/>
      <c r="BC765" s="320"/>
    </row>
    <row r="766" spans="1:55" ht="30" hidden="1" x14ac:dyDescent="0.25">
      <c r="A766" s="373">
        <v>17563</v>
      </c>
      <c r="B766" s="233" t="str">
        <f>VLOOKUP(Table8[[#This Row],[Document ID]],Table1[],2,FALSE)</f>
        <v>CRI</v>
      </c>
      <c r="C766" s="233" t="str">
        <f>VLOOKUP(Table8[[#This Row],[Document ID]],Table1[],3,FALSE)</f>
        <v>Costa Rica</v>
      </c>
      <c r="D766" s="243" t="str">
        <f>VLOOKUP(Table8[[#This Row],[Document ID]],Table1[],5,FALSE)</f>
        <v>LTS</v>
      </c>
      <c r="E766" s="233" t="str">
        <f>VLOOKUP(Table8[[#This Row],[Document ID]],Table1[],7,FALSE)</f>
        <v>LTS</v>
      </c>
      <c r="F766" s="233" t="str">
        <f>VLOOKUP(Table8[[#This Row],[Document ID]],Table1[],8,FALSE)</f>
        <v>LTS 1.0</v>
      </c>
      <c r="G766" s="233" t="str">
        <f>VLOOKUP(Table8[[#This Row],[Document ID]],Table1[],10,FALSE)</f>
        <v>Active</v>
      </c>
      <c r="H766" s="44" t="s">
        <v>2329</v>
      </c>
      <c r="I766" s="44" t="s">
        <v>2330</v>
      </c>
      <c r="J766" s="44" t="s">
        <v>2363</v>
      </c>
      <c r="K766" s="44" t="s">
        <v>3075</v>
      </c>
      <c r="L766" s="44" t="s">
        <v>2333</v>
      </c>
      <c r="M766" s="43">
        <v>38</v>
      </c>
      <c r="N766" s="113" t="s">
        <v>1113</v>
      </c>
      <c r="O766" s="113"/>
      <c r="P766" s="113"/>
      <c r="Q766" s="113"/>
      <c r="R766" s="113"/>
      <c r="S766" s="113"/>
      <c r="T766" s="113"/>
      <c r="U766" s="113"/>
      <c r="V766" s="113"/>
      <c r="W766" s="113"/>
      <c r="X766" s="113"/>
      <c r="Y766" s="113"/>
      <c r="Z766" s="113"/>
      <c r="AA766" s="113"/>
      <c r="AB766" s="113"/>
      <c r="AC766" s="113"/>
      <c r="AD766" s="113"/>
      <c r="AE766" s="113"/>
      <c r="AF766" s="113"/>
      <c r="AG766" s="113"/>
      <c r="AH766" s="113"/>
      <c r="AI766" s="113"/>
      <c r="AJ766" s="113"/>
      <c r="AK766" s="319" t="s">
        <v>1113</v>
      </c>
      <c r="AL766" s="113"/>
      <c r="AM766" s="113"/>
      <c r="AN766" s="113"/>
      <c r="AO766" s="44" t="s">
        <v>2334</v>
      </c>
      <c r="AP766" s="43"/>
      <c r="AQ766" s="236" t="str">
        <f>VLOOKUP(Table8[[#This Row],[Instrument]],Def_Targets!$D$73:$E$159,2,FALSE)</f>
        <v>I_LPGCNGLNG</v>
      </c>
      <c r="AR766" s="233" t="str">
        <f>VLOOKUP(Table8[[#This Row],[Country Code]],Table29[],3,FALSE)</f>
        <v>Non-Annex I</v>
      </c>
      <c r="AS766" s="233" t="str">
        <f>VLOOKUP(Table8[[#This Row],[Country Code]],Table29[],4,FALSE)</f>
        <v>Latin America and the Caribbean</v>
      </c>
      <c r="AT766" s="233" t="str">
        <f>VLOOKUP(Table8[[#This Row],[Country Code]],Table29[],5,FALSE)</f>
        <v>Middle-income</v>
      </c>
      <c r="AU766" s="233" t="str">
        <f>VLOOKUP(Table8[[#This Row],[Country Code]],Table29[],6,FALSE)</f>
        <v>no</v>
      </c>
      <c r="AV766" s="233" t="str">
        <f>VLOOKUP(Table8[[#This Row],[Country Code]],Table29[],7,FALSE)</f>
        <v>no</v>
      </c>
      <c r="AW766" s="233" t="str">
        <f>VLOOKUP(Table8[[#This Row],[Country Code]],Table29[],8,FALSE)</f>
        <v>OECD</v>
      </c>
      <c r="AX766" s="233" t="str">
        <f>VLOOKUP(Table8[[#This Row],[Country Code]],Table29[],9,FALSE)</f>
        <v>no</v>
      </c>
      <c r="AY766" s="233" t="str">
        <f>VLOOKUP(Table8[[#This Row],[Country Code]],Table29[],10,FALSE)</f>
        <v>no</v>
      </c>
      <c r="AZ766" s="235">
        <f>VLOOKUP(Table8[[#This Row],[Country Code]],Table29[],23,FALSE)</f>
        <v>16.468143919330998</v>
      </c>
      <c r="BA766" s="235">
        <f>VLOOKUP(Table8[[#This Row],[Country Code]],Table29[],24,FALSE)</f>
        <v>6.1699800179976929</v>
      </c>
      <c r="BB766" s="320"/>
      <c r="BC766" s="320"/>
    </row>
    <row r="767" spans="1:55" hidden="1" x14ac:dyDescent="0.25">
      <c r="A767" s="373">
        <v>17563</v>
      </c>
      <c r="B767" s="233" t="str">
        <f>VLOOKUP(Table8[[#This Row],[Document ID]],Table1[],2,FALSE)</f>
        <v>CRI</v>
      </c>
      <c r="C767" s="233" t="str">
        <f>VLOOKUP(Table8[[#This Row],[Document ID]],Table1[],3,FALSE)</f>
        <v>Costa Rica</v>
      </c>
      <c r="D767" s="243" t="str">
        <f>VLOOKUP(Table8[[#This Row],[Document ID]],Table1[],5,FALSE)</f>
        <v>LTS</v>
      </c>
      <c r="E767" s="233" t="str">
        <f>VLOOKUP(Table8[[#This Row],[Document ID]],Table1[],7,FALSE)</f>
        <v>LTS</v>
      </c>
      <c r="F767" s="233" t="str">
        <f>VLOOKUP(Table8[[#This Row],[Document ID]],Table1[],8,FALSE)</f>
        <v>LTS 1.0</v>
      </c>
      <c r="G767" s="233" t="str">
        <f>VLOOKUP(Table8[[#This Row],[Document ID]],Table1[],10,FALSE)</f>
        <v>Active</v>
      </c>
      <c r="H767" s="44" t="s">
        <v>2338</v>
      </c>
      <c r="I767" s="44" t="s">
        <v>2339</v>
      </c>
      <c r="J767" s="44" t="s">
        <v>2556</v>
      </c>
      <c r="K767" s="44" t="s">
        <v>3076</v>
      </c>
      <c r="L767" s="44" t="s">
        <v>2333</v>
      </c>
      <c r="M767" s="43">
        <v>38</v>
      </c>
      <c r="N767" s="113" t="s">
        <v>1113</v>
      </c>
      <c r="O767" s="113"/>
      <c r="P767" s="113"/>
      <c r="Q767" s="113"/>
      <c r="R767" s="113"/>
      <c r="S767" s="113"/>
      <c r="T767" s="113"/>
      <c r="U767" s="113"/>
      <c r="V767" s="113"/>
      <c r="W767" s="113"/>
      <c r="X767" s="113"/>
      <c r="Y767" s="113"/>
      <c r="Z767" s="113"/>
      <c r="AA767" s="113"/>
      <c r="AB767" s="113"/>
      <c r="AC767" s="113"/>
      <c r="AD767" s="113"/>
      <c r="AE767" s="113"/>
      <c r="AF767" s="113"/>
      <c r="AG767" s="113"/>
      <c r="AH767" s="113"/>
      <c r="AI767" s="113"/>
      <c r="AJ767" s="113"/>
      <c r="AK767" s="319" t="s">
        <v>1113</v>
      </c>
      <c r="AL767" s="113"/>
      <c r="AM767" s="113"/>
      <c r="AN767" s="113"/>
      <c r="AO767" s="44" t="s">
        <v>2334</v>
      </c>
      <c r="AP767" s="43"/>
      <c r="AQ767" s="236" t="str">
        <f>VLOOKUP(Table8[[#This Row],[Instrument]],Def_Targets!$D$73:$E$159,2,FALSE)</f>
        <v>I_Fuelqualimprove</v>
      </c>
      <c r="AR767" s="233" t="str">
        <f>VLOOKUP(Table8[[#This Row],[Country Code]],Table29[],3,FALSE)</f>
        <v>Non-Annex I</v>
      </c>
      <c r="AS767" s="233" t="str">
        <f>VLOOKUP(Table8[[#This Row],[Country Code]],Table29[],4,FALSE)</f>
        <v>Latin America and the Caribbean</v>
      </c>
      <c r="AT767" s="233" t="str">
        <f>VLOOKUP(Table8[[#This Row],[Country Code]],Table29[],5,FALSE)</f>
        <v>Middle-income</v>
      </c>
      <c r="AU767" s="233" t="str">
        <f>VLOOKUP(Table8[[#This Row],[Country Code]],Table29[],6,FALSE)</f>
        <v>no</v>
      </c>
      <c r="AV767" s="233" t="str">
        <f>VLOOKUP(Table8[[#This Row],[Country Code]],Table29[],7,FALSE)</f>
        <v>no</v>
      </c>
      <c r="AW767" s="233" t="str">
        <f>VLOOKUP(Table8[[#This Row],[Country Code]],Table29[],8,FALSE)</f>
        <v>OECD</v>
      </c>
      <c r="AX767" s="233" t="str">
        <f>VLOOKUP(Table8[[#This Row],[Country Code]],Table29[],9,FALSE)</f>
        <v>no</v>
      </c>
      <c r="AY767" s="233" t="str">
        <f>VLOOKUP(Table8[[#This Row],[Country Code]],Table29[],10,FALSE)</f>
        <v>no</v>
      </c>
      <c r="AZ767" s="235">
        <f>VLOOKUP(Table8[[#This Row],[Country Code]],Table29[],23,FALSE)</f>
        <v>16.468143919330998</v>
      </c>
      <c r="BA767" s="235">
        <f>VLOOKUP(Table8[[#This Row],[Country Code]],Table29[],24,FALSE)</f>
        <v>6.1699800179976929</v>
      </c>
      <c r="BB767" s="320"/>
      <c r="BC767" s="320"/>
    </row>
    <row r="768" spans="1:55" ht="30" hidden="1" x14ac:dyDescent="0.25">
      <c r="A768" s="373">
        <v>17563</v>
      </c>
      <c r="B768" s="233" t="str">
        <f>VLOOKUP(Table8[[#This Row],[Document ID]],Table1[],2,FALSE)</f>
        <v>CRI</v>
      </c>
      <c r="C768" s="233" t="str">
        <f>VLOOKUP(Table8[[#This Row],[Document ID]],Table1[],3,FALSE)</f>
        <v>Costa Rica</v>
      </c>
      <c r="D768" s="243" t="str">
        <f>VLOOKUP(Table8[[#This Row],[Document ID]],Table1[],5,FALSE)</f>
        <v>LTS</v>
      </c>
      <c r="E768" s="233" t="str">
        <f>VLOOKUP(Table8[[#This Row],[Document ID]],Table1[],7,FALSE)</f>
        <v>LTS</v>
      </c>
      <c r="F768" s="233" t="str">
        <f>VLOOKUP(Table8[[#This Row],[Document ID]],Table1[],8,FALSE)</f>
        <v>LTS 1.0</v>
      </c>
      <c r="G768" s="233" t="str">
        <f>VLOOKUP(Table8[[#This Row],[Document ID]],Table1[],10,FALSE)</f>
        <v>Active</v>
      </c>
      <c r="H768" s="43" t="s">
        <v>2350</v>
      </c>
      <c r="I768" s="43" t="s">
        <v>2351</v>
      </c>
      <c r="J768" s="44" t="s">
        <v>2447</v>
      </c>
      <c r="K768" s="44" t="s">
        <v>3077</v>
      </c>
      <c r="L768" s="44" t="s">
        <v>2333</v>
      </c>
      <c r="M768" s="43">
        <v>40</v>
      </c>
      <c r="N768" s="113" t="s">
        <v>1113</v>
      </c>
      <c r="O768" s="113"/>
      <c r="P768" s="113"/>
      <c r="Q768" s="113"/>
      <c r="R768" s="113"/>
      <c r="S768" s="113"/>
      <c r="T768" s="113"/>
      <c r="U768" s="113"/>
      <c r="V768" s="113"/>
      <c r="W768" s="113"/>
      <c r="X768" s="113"/>
      <c r="Y768" s="113"/>
      <c r="Z768" s="113"/>
      <c r="AA768" s="113"/>
      <c r="AB768" s="113"/>
      <c r="AC768" s="113"/>
      <c r="AD768" s="113"/>
      <c r="AE768" s="113"/>
      <c r="AF768" s="113"/>
      <c r="AG768" s="113"/>
      <c r="AH768" s="113"/>
      <c r="AI768" s="113"/>
      <c r="AJ768" s="113"/>
      <c r="AK768" s="319" t="s">
        <v>1113</v>
      </c>
      <c r="AL768" s="113"/>
      <c r="AM768" s="113"/>
      <c r="AN768" s="113"/>
      <c r="AO768" s="43" t="s">
        <v>2353</v>
      </c>
      <c r="AP768" s="43"/>
      <c r="AQ768" s="236" t="str">
        <f>VLOOKUP(Table8[[#This Row],[Instrument]],Def_Targets!$D$73:$E$159,2,FALSE)</f>
        <v>I_Freighteff</v>
      </c>
      <c r="AR768" s="233" t="str">
        <f>VLOOKUP(Table8[[#This Row],[Country Code]],Table29[],3,FALSE)</f>
        <v>Non-Annex I</v>
      </c>
      <c r="AS768" s="233" t="str">
        <f>VLOOKUP(Table8[[#This Row],[Country Code]],Table29[],4,FALSE)</f>
        <v>Latin America and the Caribbean</v>
      </c>
      <c r="AT768" s="233" t="str">
        <f>VLOOKUP(Table8[[#This Row],[Country Code]],Table29[],5,FALSE)</f>
        <v>Middle-income</v>
      </c>
      <c r="AU768" s="233" t="str">
        <f>VLOOKUP(Table8[[#This Row],[Country Code]],Table29[],6,FALSE)</f>
        <v>no</v>
      </c>
      <c r="AV768" s="233" t="str">
        <f>VLOOKUP(Table8[[#This Row],[Country Code]],Table29[],7,FALSE)</f>
        <v>no</v>
      </c>
      <c r="AW768" s="233" t="str">
        <f>VLOOKUP(Table8[[#This Row],[Country Code]],Table29[],8,FALSE)</f>
        <v>OECD</v>
      </c>
      <c r="AX768" s="233" t="str">
        <f>VLOOKUP(Table8[[#This Row],[Country Code]],Table29[],9,FALSE)</f>
        <v>no</v>
      </c>
      <c r="AY768" s="233" t="str">
        <f>VLOOKUP(Table8[[#This Row],[Country Code]],Table29[],10,FALSE)</f>
        <v>no</v>
      </c>
      <c r="AZ768" s="235">
        <f>VLOOKUP(Table8[[#This Row],[Country Code]],Table29[],23,FALSE)</f>
        <v>16.468143919330998</v>
      </c>
      <c r="BA768" s="235">
        <f>VLOOKUP(Table8[[#This Row],[Country Code]],Table29[],24,FALSE)</f>
        <v>6.1699800179976929</v>
      </c>
      <c r="BB768" s="320"/>
      <c r="BC768" s="320"/>
    </row>
    <row r="769" spans="1:55" hidden="1" x14ac:dyDescent="0.25">
      <c r="A769" s="373">
        <v>17563</v>
      </c>
      <c r="B769" s="233" t="str">
        <f>VLOOKUP(Table8[[#This Row],[Document ID]],Table1[],2,FALSE)</f>
        <v>CRI</v>
      </c>
      <c r="C769" s="233" t="str">
        <f>VLOOKUP(Table8[[#This Row],[Document ID]],Table1[],3,FALSE)</f>
        <v>Costa Rica</v>
      </c>
      <c r="D769" s="243" t="str">
        <f>VLOOKUP(Table8[[#This Row],[Document ID]],Table1[],5,FALSE)</f>
        <v>LTS</v>
      </c>
      <c r="E769" s="233" t="str">
        <f>VLOOKUP(Table8[[#This Row],[Document ID]],Table1[],7,FALSE)</f>
        <v>LTS</v>
      </c>
      <c r="F769" s="233" t="str">
        <f>VLOOKUP(Table8[[#This Row],[Document ID]],Table1[],8,FALSE)</f>
        <v>LTS 1.0</v>
      </c>
      <c r="G769" s="233" t="str">
        <f>VLOOKUP(Table8[[#This Row],[Document ID]],Table1[],10,FALSE)</f>
        <v>Active</v>
      </c>
      <c r="H769" s="43" t="s">
        <v>2343</v>
      </c>
      <c r="I769" s="43" t="s">
        <v>2429</v>
      </c>
      <c r="J769" s="44" t="s">
        <v>2610</v>
      </c>
      <c r="K769" s="44" t="s">
        <v>3078</v>
      </c>
      <c r="L769" s="44" t="s">
        <v>2333</v>
      </c>
      <c r="M769" s="43">
        <v>40</v>
      </c>
      <c r="N769" s="113" t="s">
        <v>1113</v>
      </c>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319" t="s">
        <v>1113</v>
      </c>
      <c r="AL769" s="113"/>
      <c r="AM769" s="113"/>
      <c r="AN769" s="113"/>
      <c r="AO769" s="43" t="s">
        <v>2353</v>
      </c>
      <c r="AP769" s="43"/>
      <c r="AQ769" s="236" t="e">
        <f>VLOOKUP(Table8[[#This Row],[Instrument]],Def_Targets!$D$73:$E$159,2,FALSE)</f>
        <v>#N/A</v>
      </c>
      <c r="AR769" s="233" t="str">
        <f>VLOOKUP(Table8[[#This Row],[Country Code]],Table29[],3,FALSE)</f>
        <v>Non-Annex I</v>
      </c>
      <c r="AS769" s="233" t="str">
        <f>VLOOKUP(Table8[[#This Row],[Country Code]],Table29[],4,FALSE)</f>
        <v>Latin America and the Caribbean</v>
      </c>
      <c r="AT769" s="233" t="str">
        <f>VLOOKUP(Table8[[#This Row],[Country Code]],Table29[],5,FALSE)</f>
        <v>Middle-income</v>
      </c>
      <c r="AU769" s="233" t="str">
        <f>VLOOKUP(Table8[[#This Row],[Country Code]],Table29[],6,FALSE)</f>
        <v>no</v>
      </c>
      <c r="AV769" s="233" t="str">
        <f>VLOOKUP(Table8[[#This Row],[Country Code]],Table29[],7,FALSE)</f>
        <v>no</v>
      </c>
      <c r="AW769" s="233" t="str">
        <f>VLOOKUP(Table8[[#This Row],[Country Code]],Table29[],8,FALSE)</f>
        <v>OECD</v>
      </c>
      <c r="AX769" s="233" t="str">
        <f>VLOOKUP(Table8[[#This Row],[Country Code]],Table29[],9,FALSE)</f>
        <v>no</v>
      </c>
      <c r="AY769" s="233" t="str">
        <f>VLOOKUP(Table8[[#This Row],[Country Code]],Table29[],10,FALSE)</f>
        <v>no</v>
      </c>
      <c r="AZ769" s="235">
        <f>VLOOKUP(Table8[[#This Row],[Country Code]],Table29[],23,FALSE)</f>
        <v>16.468143919330998</v>
      </c>
      <c r="BA769" s="235">
        <f>VLOOKUP(Table8[[#This Row],[Country Code]],Table29[],24,FALSE)</f>
        <v>6.1699800179976929</v>
      </c>
      <c r="BB769" s="320"/>
      <c r="BC769" s="320"/>
    </row>
    <row r="770" spans="1:55" ht="45" hidden="1" x14ac:dyDescent="0.25">
      <c r="A770" s="373">
        <v>17563</v>
      </c>
      <c r="B770" s="233" t="str">
        <f>VLOOKUP(Table8[[#This Row],[Document ID]],Table1[],2,FALSE)</f>
        <v>CRI</v>
      </c>
      <c r="C770" s="233" t="str">
        <f>VLOOKUP(Table8[[#This Row],[Document ID]],Table1[],3,FALSE)</f>
        <v>Costa Rica</v>
      </c>
      <c r="D770" s="243" t="str">
        <f>VLOOKUP(Table8[[#This Row],[Document ID]],Table1[],5,FALSE)</f>
        <v>LTS</v>
      </c>
      <c r="E770" s="233" t="str">
        <f>VLOOKUP(Table8[[#This Row],[Document ID]],Table1[],7,FALSE)</f>
        <v>LTS</v>
      </c>
      <c r="F770" s="233" t="str">
        <f>VLOOKUP(Table8[[#This Row],[Document ID]],Table1[],8,FALSE)</f>
        <v>LTS 1.0</v>
      </c>
      <c r="G770" s="233" t="str">
        <f>VLOOKUP(Table8[[#This Row],[Document ID]],Table1[],10,FALSE)</f>
        <v>Active</v>
      </c>
      <c r="H770" s="43" t="s">
        <v>2350</v>
      </c>
      <c r="I770" s="43" t="s">
        <v>2351</v>
      </c>
      <c r="J770" s="44" t="s">
        <v>2352</v>
      </c>
      <c r="K770" s="44" t="s">
        <v>3079</v>
      </c>
      <c r="L770" s="44" t="s">
        <v>2347</v>
      </c>
      <c r="M770" s="43">
        <v>40</v>
      </c>
      <c r="N770" s="113" t="s">
        <v>1113</v>
      </c>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319" t="s">
        <v>1113</v>
      </c>
      <c r="AL770" s="113"/>
      <c r="AM770" s="113"/>
      <c r="AN770" s="113"/>
      <c r="AO770" s="43" t="s">
        <v>2353</v>
      </c>
      <c r="AP770" s="43"/>
      <c r="AQ770" s="236" t="str">
        <f>VLOOKUP(Table8[[#This Row],[Instrument]],Def_Targets!$D$73:$E$159,2,FALSE)</f>
        <v>S_Railfreight</v>
      </c>
      <c r="AR770" s="233" t="str">
        <f>VLOOKUP(Table8[[#This Row],[Country Code]],Table29[],3,FALSE)</f>
        <v>Non-Annex I</v>
      </c>
      <c r="AS770" s="233" t="str">
        <f>VLOOKUP(Table8[[#This Row],[Country Code]],Table29[],4,FALSE)</f>
        <v>Latin America and the Caribbean</v>
      </c>
      <c r="AT770" s="233" t="str">
        <f>VLOOKUP(Table8[[#This Row],[Country Code]],Table29[],5,FALSE)</f>
        <v>Middle-income</v>
      </c>
      <c r="AU770" s="233" t="str">
        <f>VLOOKUP(Table8[[#This Row],[Country Code]],Table29[],6,FALSE)</f>
        <v>no</v>
      </c>
      <c r="AV770" s="233" t="str">
        <f>VLOOKUP(Table8[[#This Row],[Country Code]],Table29[],7,FALSE)</f>
        <v>no</v>
      </c>
      <c r="AW770" s="233" t="str">
        <f>VLOOKUP(Table8[[#This Row],[Country Code]],Table29[],8,FALSE)</f>
        <v>OECD</v>
      </c>
      <c r="AX770" s="233" t="str">
        <f>VLOOKUP(Table8[[#This Row],[Country Code]],Table29[],9,FALSE)</f>
        <v>no</v>
      </c>
      <c r="AY770" s="233" t="str">
        <f>VLOOKUP(Table8[[#This Row],[Country Code]],Table29[],10,FALSE)</f>
        <v>no</v>
      </c>
      <c r="AZ770" s="235">
        <f>VLOOKUP(Table8[[#This Row],[Country Code]],Table29[],23,FALSE)</f>
        <v>16.468143919330998</v>
      </c>
      <c r="BA770" s="235">
        <f>VLOOKUP(Table8[[#This Row],[Country Code]],Table29[],24,FALSE)</f>
        <v>6.1699800179976929</v>
      </c>
      <c r="BB770" s="320"/>
      <c r="BC770" s="320"/>
    </row>
    <row r="771" spans="1:55" ht="60" hidden="1" x14ac:dyDescent="0.25">
      <c r="A771" s="373">
        <v>17563</v>
      </c>
      <c r="B771" s="233" t="str">
        <f>VLOOKUP(Table8[[#This Row],[Document ID]],Table1[],2,FALSE)</f>
        <v>CRI</v>
      </c>
      <c r="C771" s="233" t="str">
        <f>VLOOKUP(Table8[[#This Row],[Document ID]],Table1[],3,FALSE)</f>
        <v>Costa Rica</v>
      </c>
      <c r="D771" s="243" t="str">
        <f>VLOOKUP(Table8[[#This Row],[Document ID]],Table1[],5,FALSE)</f>
        <v>LTS</v>
      </c>
      <c r="E771" s="233" t="str">
        <f>VLOOKUP(Table8[[#This Row],[Document ID]],Table1[],7,FALSE)</f>
        <v>LTS</v>
      </c>
      <c r="F771" s="233" t="str">
        <f>VLOOKUP(Table8[[#This Row],[Document ID]],Table1[],8,FALSE)</f>
        <v>LTS 1.0</v>
      </c>
      <c r="G771" s="233" t="str">
        <f>VLOOKUP(Table8[[#This Row],[Document ID]],Table1[],10,FALSE)</f>
        <v>Active</v>
      </c>
      <c r="H771" s="43" t="s">
        <v>2350</v>
      </c>
      <c r="I771" s="43" t="s">
        <v>2351</v>
      </c>
      <c r="J771" s="44" t="s">
        <v>2447</v>
      </c>
      <c r="K771" s="44" t="s">
        <v>3080</v>
      </c>
      <c r="L771" s="44" t="s">
        <v>2333</v>
      </c>
      <c r="M771" s="43">
        <v>41</v>
      </c>
      <c r="N771" s="113" t="s">
        <v>1113</v>
      </c>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319" t="s">
        <v>1113</v>
      </c>
      <c r="AL771" s="113"/>
      <c r="AM771" s="113"/>
      <c r="AN771" s="113"/>
      <c r="AO771" s="43" t="s">
        <v>2353</v>
      </c>
      <c r="AP771" s="43"/>
      <c r="AQ771" s="236" t="str">
        <f>VLOOKUP(Table8[[#This Row],[Instrument]],Def_Targets!$D$73:$E$159,2,FALSE)</f>
        <v>I_Freighteff</v>
      </c>
      <c r="AR771" s="233" t="str">
        <f>VLOOKUP(Table8[[#This Row],[Country Code]],Table29[],3,FALSE)</f>
        <v>Non-Annex I</v>
      </c>
      <c r="AS771" s="233" t="str">
        <f>VLOOKUP(Table8[[#This Row],[Country Code]],Table29[],4,FALSE)</f>
        <v>Latin America and the Caribbean</v>
      </c>
      <c r="AT771" s="233" t="str">
        <f>VLOOKUP(Table8[[#This Row],[Country Code]],Table29[],5,FALSE)</f>
        <v>Middle-income</v>
      </c>
      <c r="AU771" s="233" t="str">
        <f>VLOOKUP(Table8[[#This Row],[Country Code]],Table29[],6,FALSE)</f>
        <v>no</v>
      </c>
      <c r="AV771" s="233" t="str">
        <f>VLOOKUP(Table8[[#This Row],[Country Code]],Table29[],7,FALSE)</f>
        <v>no</v>
      </c>
      <c r="AW771" s="233" t="str">
        <f>VLOOKUP(Table8[[#This Row],[Country Code]],Table29[],8,FALSE)</f>
        <v>OECD</v>
      </c>
      <c r="AX771" s="233" t="str">
        <f>VLOOKUP(Table8[[#This Row],[Country Code]],Table29[],9,FALSE)</f>
        <v>no</v>
      </c>
      <c r="AY771" s="233" t="str">
        <f>VLOOKUP(Table8[[#This Row],[Country Code]],Table29[],10,FALSE)</f>
        <v>no</v>
      </c>
      <c r="AZ771" s="235">
        <f>VLOOKUP(Table8[[#This Row],[Country Code]],Table29[],23,FALSE)</f>
        <v>16.468143919330998</v>
      </c>
      <c r="BA771" s="235">
        <f>VLOOKUP(Table8[[#This Row],[Country Code]],Table29[],24,FALSE)</f>
        <v>6.1699800179976929</v>
      </c>
      <c r="BB771" s="320"/>
      <c r="BC771" s="320"/>
    </row>
    <row r="772" spans="1:55" hidden="1" x14ac:dyDescent="0.25">
      <c r="A772" s="373">
        <v>17563</v>
      </c>
      <c r="B772" s="233" t="str">
        <f>VLOOKUP(Table8[[#This Row],[Document ID]],Table1[],2,FALSE)</f>
        <v>CRI</v>
      </c>
      <c r="C772" s="233" t="str">
        <f>VLOOKUP(Table8[[#This Row],[Document ID]],Table1[],3,FALSE)</f>
        <v>Costa Rica</v>
      </c>
      <c r="D772" s="243" t="str">
        <f>VLOOKUP(Table8[[#This Row],[Document ID]],Table1[],5,FALSE)</f>
        <v>LTS</v>
      </c>
      <c r="E772" s="233" t="str">
        <f>VLOOKUP(Table8[[#This Row],[Document ID]],Table1[],7,FALSE)</f>
        <v>LTS</v>
      </c>
      <c r="F772" s="233" t="str">
        <f>VLOOKUP(Table8[[#This Row],[Document ID]],Table1[],8,FALSE)</f>
        <v>LTS 1.0</v>
      </c>
      <c r="G772" s="233" t="str">
        <f>VLOOKUP(Table8[[#This Row],[Document ID]],Table1[],10,FALSE)</f>
        <v>Active</v>
      </c>
      <c r="H772" s="43" t="s">
        <v>2350</v>
      </c>
      <c r="I772" s="43" t="s">
        <v>2351</v>
      </c>
      <c r="J772" s="44" t="s">
        <v>2447</v>
      </c>
      <c r="K772" s="44" t="s">
        <v>3081</v>
      </c>
      <c r="L772" s="44" t="s">
        <v>2380</v>
      </c>
      <c r="M772" s="43">
        <v>41</v>
      </c>
      <c r="N772" s="113" t="s">
        <v>1113</v>
      </c>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319" t="s">
        <v>1113</v>
      </c>
      <c r="AL772" s="113"/>
      <c r="AM772" s="113"/>
      <c r="AN772" s="113"/>
      <c r="AO772" s="43" t="s">
        <v>2353</v>
      </c>
      <c r="AP772" s="43"/>
      <c r="AQ772" s="236" t="str">
        <f>VLOOKUP(Table8[[#This Row],[Instrument]],Def_Targets!$D$73:$E$159,2,FALSE)</f>
        <v>I_Freighteff</v>
      </c>
      <c r="AR772" s="233" t="str">
        <f>VLOOKUP(Table8[[#This Row],[Country Code]],Table29[],3,FALSE)</f>
        <v>Non-Annex I</v>
      </c>
      <c r="AS772" s="233" t="str">
        <f>VLOOKUP(Table8[[#This Row],[Country Code]],Table29[],4,FALSE)</f>
        <v>Latin America and the Caribbean</v>
      </c>
      <c r="AT772" s="233" t="str">
        <f>VLOOKUP(Table8[[#This Row],[Country Code]],Table29[],5,FALSE)</f>
        <v>Middle-income</v>
      </c>
      <c r="AU772" s="233" t="str">
        <f>VLOOKUP(Table8[[#This Row],[Country Code]],Table29[],6,FALSE)</f>
        <v>no</v>
      </c>
      <c r="AV772" s="233" t="str">
        <f>VLOOKUP(Table8[[#This Row],[Country Code]],Table29[],7,FALSE)</f>
        <v>no</v>
      </c>
      <c r="AW772" s="233" t="str">
        <f>VLOOKUP(Table8[[#This Row],[Country Code]],Table29[],8,FALSE)</f>
        <v>OECD</v>
      </c>
      <c r="AX772" s="233" t="str">
        <f>VLOOKUP(Table8[[#This Row],[Country Code]],Table29[],9,FALSE)</f>
        <v>no</v>
      </c>
      <c r="AY772" s="233" t="str">
        <f>VLOOKUP(Table8[[#This Row],[Country Code]],Table29[],10,FALSE)</f>
        <v>no</v>
      </c>
      <c r="AZ772" s="235">
        <f>VLOOKUP(Table8[[#This Row],[Country Code]],Table29[],23,FALSE)</f>
        <v>16.468143919330998</v>
      </c>
      <c r="BA772" s="235">
        <f>VLOOKUP(Table8[[#This Row],[Country Code]],Table29[],24,FALSE)</f>
        <v>6.1699800179976929</v>
      </c>
      <c r="BB772" s="320"/>
      <c r="BC772" s="320"/>
    </row>
    <row r="773" spans="1:55" hidden="1" x14ac:dyDescent="0.25">
      <c r="A773" s="373">
        <v>17563</v>
      </c>
      <c r="B773" s="233" t="str">
        <f>VLOOKUP(Table8[[#This Row],[Document ID]],Table1[],2,FALSE)</f>
        <v>CRI</v>
      </c>
      <c r="C773" s="233" t="str">
        <f>VLOOKUP(Table8[[#This Row],[Document ID]],Table1[],3,FALSE)</f>
        <v>Costa Rica</v>
      </c>
      <c r="D773" s="243" t="str">
        <f>VLOOKUP(Table8[[#This Row],[Document ID]],Table1[],5,FALSE)</f>
        <v>LTS</v>
      </c>
      <c r="E773" s="233" t="str">
        <f>VLOOKUP(Table8[[#This Row],[Document ID]],Table1[],7,FALSE)</f>
        <v>LTS</v>
      </c>
      <c r="F773" s="233" t="str">
        <f>VLOOKUP(Table8[[#This Row],[Document ID]],Table1[],8,FALSE)</f>
        <v>LTS 1.0</v>
      </c>
      <c r="G773" s="233" t="str">
        <f>VLOOKUP(Table8[[#This Row],[Document ID]],Table1[],10,FALSE)</f>
        <v>Active</v>
      </c>
      <c r="H773" s="43" t="s">
        <v>2358</v>
      </c>
      <c r="I773" s="43" t="s">
        <v>2359</v>
      </c>
      <c r="J773" s="44" t="s">
        <v>2389</v>
      </c>
      <c r="K773" s="44" t="s">
        <v>3082</v>
      </c>
      <c r="L773" s="44" t="s">
        <v>2333</v>
      </c>
      <c r="M773" s="43">
        <v>41</v>
      </c>
      <c r="N773" s="113"/>
      <c r="O773" s="113"/>
      <c r="P773" s="113"/>
      <c r="Q773" s="113"/>
      <c r="R773" s="113"/>
      <c r="S773" s="113" t="s">
        <v>1113</v>
      </c>
      <c r="T773" s="113"/>
      <c r="U773" s="113"/>
      <c r="V773" s="113"/>
      <c r="W773" s="113"/>
      <c r="X773" s="113"/>
      <c r="Y773" s="113"/>
      <c r="Z773" s="113"/>
      <c r="AA773" s="113"/>
      <c r="AB773" s="113"/>
      <c r="AC773" s="113"/>
      <c r="AD773" s="113"/>
      <c r="AE773" s="113"/>
      <c r="AF773" s="113"/>
      <c r="AG773" s="113"/>
      <c r="AH773" s="113"/>
      <c r="AI773" s="113"/>
      <c r="AJ773" s="113"/>
      <c r="AK773" s="319" t="s">
        <v>1113</v>
      </c>
      <c r="AL773" s="113"/>
      <c r="AM773" s="113"/>
      <c r="AN773" s="113"/>
      <c r="AO773" s="44" t="s">
        <v>2334</v>
      </c>
      <c r="AP773" s="43"/>
      <c r="AQ773" s="236" t="str">
        <f>VLOOKUP(Table8[[#This Row],[Instrument]],Def_Targets!$D$73:$E$159,2,FALSE)</f>
        <v>I_Emobilitypurchase</v>
      </c>
      <c r="AR773" s="233" t="str">
        <f>VLOOKUP(Table8[[#This Row],[Country Code]],Table29[],3,FALSE)</f>
        <v>Non-Annex I</v>
      </c>
      <c r="AS773" s="233" t="str">
        <f>VLOOKUP(Table8[[#This Row],[Country Code]],Table29[],4,FALSE)</f>
        <v>Latin America and the Caribbean</v>
      </c>
      <c r="AT773" s="233" t="str">
        <f>VLOOKUP(Table8[[#This Row],[Country Code]],Table29[],5,FALSE)</f>
        <v>Middle-income</v>
      </c>
      <c r="AU773" s="233" t="str">
        <f>VLOOKUP(Table8[[#This Row],[Country Code]],Table29[],6,FALSE)</f>
        <v>no</v>
      </c>
      <c r="AV773" s="233" t="str">
        <f>VLOOKUP(Table8[[#This Row],[Country Code]],Table29[],7,FALSE)</f>
        <v>no</v>
      </c>
      <c r="AW773" s="233" t="str">
        <f>VLOOKUP(Table8[[#This Row],[Country Code]],Table29[],8,FALSE)</f>
        <v>OECD</v>
      </c>
      <c r="AX773" s="233" t="str">
        <f>VLOOKUP(Table8[[#This Row],[Country Code]],Table29[],9,FALSE)</f>
        <v>no</v>
      </c>
      <c r="AY773" s="233" t="str">
        <f>VLOOKUP(Table8[[#This Row],[Country Code]],Table29[],10,FALSE)</f>
        <v>no</v>
      </c>
      <c r="AZ773" s="235">
        <f>VLOOKUP(Table8[[#This Row],[Country Code]],Table29[],23,FALSE)</f>
        <v>16.468143919330998</v>
      </c>
      <c r="BA773" s="235">
        <f>VLOOKUP(Table8[[#This Row],[Country Code]],Table29[],24,FALSE)</f>
        <v>6.1699800179976929</v>
      </c>
      <c r="BB773" s="320"/>
      <c r="BC773" s="320"/>
    </row>
    <row r="774" spans="1:55" ht="30" hidden="1" x14ac:dyDescent="0.25">
      <c r="A774" s="373">
        <v>17563</v>
      </c>
      <c r="B774" s="233" t="str">
        <f>VLOOKUP(Table8[[#This Row],[Document ID]],Table1[],2,FALSE)</f>
        <v>CRI</v>
      </c>
      <c r="C774" s="233" t="str">
        <f>VLOOKUP(Table8[[#This Row],[Document ID]],Table1[],3,FALSE)</f>
        <v>Costa Rica</v>
      </c>
      <c r="D774" s="243" t="str">
        <f>VLOOKUP(Table8[[#This Row],[Document ID]],Table1[],5,FALSE)</f>
        <v>LTS</v>
      </c>
      <c r="E774" s="233" t="str">
        <f>VLOOKUP(Table8[[#This Row],[Document ID]],Table1[],7,FALSE)</f>
        <v>LTS</v>
      </c>
      <c r="F774" s="233" t="str">
        <f>VLOOKUP(Table8[[#This Row],[Document ID]],Table1[],8,FALSE)</f>
        <v>LTS 1.0</v>
      </c>
      <c r="G774" s="233" t="str">
        <f>VLOOKUP(Table8[[#This Row],[Document ID]],Table1[],10,FALSE)</f>
        <v>Active</v>
      </c>
      <c r="H774" s="43" t="s">
        <v>2350</v>
      </c>
      <c r="I774" s="43" t="s">
        <v>2351</v>
      </c>
      <c r="J774" s="44" t="s">
        <v>2447</v>
      </c>
      <c r="K774" s="44" t="s">
        <v>3083</v>
      </c>
      <c r="L774" s="44" t="s">
        <v>2373</v>
      </c>
      <c r="M774" s="43">
        <v>41</v>
      </c>
      <c r="N774" s="113" t="s">
        <v>1113</v>
      </c>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319" t="s">
        <v>1113</v>
      </c>
      <c r="AL774" s="113"/>
      <c r="AM774" s="113"/>
      <c r="AN774" s="113"/>
      <c r="AO774" s="43" t="s">
        <v>2353</v>
      </c>
      <c r="AP774" s="43"/>
      <c r="AQ774" s="236" t="str">
        <f>VLOOKUP(Table8[[#This Row],[Instrument]],Def_Targets!$D$73:$E$159,2,FALSE)</f>
        <v>I_Freighteff</v>
      </c>
      <c r="AR774" s="233" t="str">
        <f>VLOOKUP(Table8[[#This Row],[Country Code]],Table29[],3,FALSE)</f>
        <v>Non-Annex I</v>
      </c>
      <c r="AS774" s="233" t="str">
        <f>VLOOKUP(Table8[[#This Row],[Country Code]],Table29[],4,FALSE)</f>
        <v>Latin America and the Caribbean</v>
      </c>
      <c r="AT774" s="233" t="str">
        <f>VLOOKUP(Table8[[#This Row],[Country Code]],Table29[],5,FALSE)</f>
        <v>Middle-income</v>
      </c>
      <c r="AU774" s="233" t="str">
        <f>VLOOKUP(Table8[[#This Row],[Country Code]],Table29[],6,FALSE)</f>
        <v>no</v>
      </c>
      <c r="AV774" s="233" t="str">
        <f>VLOOKUP(Table8[[#This Row],[Country Code]],Table29[],7,FALSE)</f>
        <v>no</v>
      </c>
      <c r="AW774" s="233" t="str">
        <f>VLOOKUP(Table8[[#This Row],[Country Code]],Table29[],8,FALSE)</f>
        <v>OECD</v>
      </c>
      <c r="AX774" s="233" t="str">
        <f>VLOOKUP(Table8[[#This Row],[Country Code]],Table29[],9,FALSE)</f>
        <v>no</v>
      </c>
      <c r="AY774" s="233" t="str">
        <f>VLOOKUP(Table8[[#This Row],[Country Code]],Table29[],10,FALSE)</f>
        <v>no</v>
      </c>
      <c r="AZ774" s="235">
        <f>VLOOKUP(Table8[[#This Row],[Country Code]],Table29[],23,FALSE)</f>
        <v>16.468143919330998</v>
      </c>
      <c r="BA774" s="235">
        <f>VLOOKUP(Table8[[#This Row],[Country Code]],Table29[],24,FALSE)</f>
        <v>6.1699800179976929</v>
      </c>
      <c r="BB774" s="320"/>
      <c r="BC774" s="320"/>
    </row>
    <row r="775" spans="1:55" ht="30" hidden="1" x14ac:dyDescent="0.25">
      <c r="A775" s="373">
        <v>32497</v>
      </c>
      <c r="B775" s="233" t="str">
        <f>VLOOKUP(Table8[[#This Row],[Document ID]],Table1[],2,FALSE)</f>
        <v>CYP</v>
      </c>
      <c r="C775" s="233" t="str">
        <f>VLOOKUP(Table8[[#This Row],[Document ID]],Table1[],3,FALSE)</f>
        <v>Cyprus</v>
      </c>
      <c r="D775" s="243" t="str">
        <f>VLOOKUP(Table8[[#This Row],[Document ID]],Table1[],5,FALSE)</f>
        <v>LTS</v>
      </c>
      <c r="E775" s="233" t="str">
        <f>VLOOKUP(Table8[[#This Row],[Document ID]],Table1[],7,FALSE)</f>
        <v>EU-LTS</v>
      </c>
      <c r="F775" s="233" t="str">
        <f>VLOOKUP(Table8[[#This Row],[Document ID]],Table1[],8,FALSE)</f>
        <v>LTS 1.0</v>
      </c>
      <c r="G775" s="233" t="str">
        <f>VLOOKUP(Table8[[#This Row],[Document ID]],Table1[],10,FALSE)</f>
        <v>Active</v>
      </c>
      <c r="H775" s="43" t="s">
        <v>2343</v>
      </c>
      <c r="I775" s="43" t="s">
        <v>2386</v>
      </c>
      <c r="J775" s="44" t="s">
        <v>3055</v>
      </c>
      <c r="K775" s="44" t="s">
        <v>3084</v>
      </c>
      <c r="L775" s="44" t="s">
        <v>2373</v>
      </c>
      <c r="M775" s="43">
        <v>12</v>
      </c>
      <c r="N775" s="113"/>
      <c r="O775" s="113"/>
      <c r="P775" s="113"/>
      <c r="Q775" s="113"/>
      <c r="R775" s="113"/>
      <c r="S775" s="113" t="s">
        <v>1113</v>
      </c>
      <c r="T775" s="113"/>
      <c r="U775" s="113"/>
      <c r="V775" s="113"/>
      <c r="W775" s="113"/>
      <c r="X775" s="113"/>
      <c r="Y775" s="113"/>
      <c r="Z775" s="113"/>
      <c r="AA775" s="113"/>
      <c r="AB775" s="113"/>
      <c r="AC775" s="113"/>
      <c r="AD775" s="113"/>
      <c r="AE775" s="113"/>
      <c r="AF775" s="113"/>
      <c r="AG775" s="113"/>
      <c r="AH775" s="113"/>
      <c r="AI775" s="113"/>
      <c r="AJ775" s="113"/>
      <c r="AK775" s="113" t="s">
        <v>1113</v>
      </c>
      <c r="AL775" s="113"/>
      <c r="AM775" s="113"/>
      <c r="AN775" s="113"/>
      <c r="AO775" s="44" t="s">
        <v>2334</v>
      </c>
      <c r="AP775" s="43"/>
      <c r="AQ775" s="236" t="str">
        <f>VLOOKUP(Table8[[#This Row],[Instrument]],Def_Targets!$D$73:$E$159,2,FALSE)</f>
        <v>A_Emistrad</v>
      </c>
      <c r="AR775" s="233" t="str">
        <f>VLOOKUP(Table8[[#This Row],[Country Code]],Table29[],3,FALSE)</f>
        <v>Annex I</v>
      </c>
      <c r="AS775" s="233" t="str">
        <f>VLOOKUP(Table8[[#This Row],[Country Code]],Table29[],4,FALSE)</f>
        <v>Asia</v>
      </c>
      <c r="AT775" s="233" t="str">
        <f>VLOOKUP(Table8[[#This Row],[Country Code]],Table29[],5,FALSE)</f>
        <v>High-income</v>
      </c>
      <c r="AU775" s="233" t="str">
        <f>VLOOKUP(Table8[[#This Row],[Country Code]],Table29[],6,FALSE)</f>
        <v>no</v>
      </c>
      <c r="AV775" s="233" t="str">
        <f>VLOOKUP(Table8[[#This Row],[Country Code]],Table29[],7,FALSE)</f>
        <v>no</v>
      </c>
      <c r="AW775" s="233" t="str">
        <f>VLOOKUP(Table8[[#This Row],[Country Code]],Table29[],8,FALSE)</f>
        <v>non-OECD</v>
      </c>
      <c r="AX775" s="233" t="str">
        <f>VLOOKUP(Table8[[#This Row],[Country Code]],Table29[],9,FALSE)</f>
        <v>EU27</v>
      </c>
      <c r="AY775" s="233" t="str">
        <f>VLOOKUP(Table8[[#This Row],[Country Code]],Table29[],10,FALSE)</f>
        <v>no</v>
      </c>
      <c r="AZ775" s="235">
        <f>VLOOKUP(Table8[[#This Row],[Country Code]],Table29[],23,FALSE)</f>
        <v>10.324656394181</v>
      </c>
      <c r="BA775" s="235">
        <f>VLOOKUP(Table8[[#This Row],[Country Code]],Table29[],24,FALSE)</f>
        <v>1.897782414839597</v>
      </c>
      <c r="BB775" s="320"/>
      <c r="BC775" s="320"/>
    </row>
    <row r="776" spans="1:55" ht="30" hidden="1" x14ac:dyDescent="0.25">
      <c r="A776" s="373">
        <v>32497</v>
      </c>
      <c r="B776" s="233" t="str">
        <f>VLOOKUP(Table8[[#This Row],[Document ID]],Table1[],2,FALSE)</f>
        <v>CYP</v>
      </c>
      <c r="C776" s="233" t="str">
        <f>VLOOKUP(Table8[[#This Row],[Document ID]],Table1[],3,FALSE)</f>
        <v>Cyprus</v>
      </c>
      <c r="D776" s="243" t="str">
        <f>VLOOKUP(Table8[[#This Row],[Document ID]],Table1[],5,FALSE)</f>
        <v>LTS</v>
      </c>
      <c r="E776" s="233" t="str">
        <f>VLOOKUP(Table8[[#This Row],[Document ID]],Table1[],7,FALSE)</f>
        <v>EU-LTS</v>
      </c>
      <c r="F776" s="233" t="str">
        <f>VLOOKUP(Table8[[#This Row],[Document ID]],Table1[],8,FALSE)</f>
        <v>LTS 1.0</v>
      </c>
      <c r="G776" s="233" t="str">
        <f>VLOOKUP(Table8[[#This Row],[Document ID]],Table1[],10,FALSE)</f>
        <v>Active</v>
      </c>
      <c r="H776" s="43" t="s">
        <v>2343</v>
      </c>
      <c r="I776" s="43" t="s">
        <v>2386</v>
      </c>
      <c r="J776" s="44" t="s">
        <v>2412</v>
      </c>
      <c r="K776" s="44" t="s">
        <v>3085</v>
      </c>
      <c r="L776" s="44" t="s">
        <v>2373</v>
      </c>
      <c r="M776" s="43">
        <v>12</v>
      </c>
      <c r="N776" s="113"/>
      <c r="O776" s="113"/>
      <c r="P776" s="113"/>
      <c r="Q776" s="113"/>
      <c r="R776" s="113"/>
      <c r="S776" s="113" t="s">
        <v>1113</v>
      </c>
      <c r="T776" s="113"/>
      <c r="U776" s="113"/>
      <c r="V776" s="113"/>
      <c r="W776" s="113"/>
      <c r="X776" s="113"/>
      <c r="Y776" s="113"/>
      <c r="Z776" s="113"/>
      <c r="AA776" s="113"/>
      <c r="AB776" s="113"/>
      <c r="AC776" s="113"/>
      <c r="AD776" s="113"/>
      <c r="AE776" s="113"/>
      <c r="AF776" s="113"/>
      <c r="AG776" s="113"/>
      <c r="AH776" s="113"/>
      <c r="AI776" s="113"/>
      <c r="AJ776" s="113"/>
      <c r="AK776" s="113" t="s">
        <v>1113</v>
      </c>
      <c r="AL776" s="113"/>
      <c r="AM776" s="113"/>
      <c r="AN776" s="113"/>
      <c r="AO776" s="44" t="s">
        <v>2334</v>
      </c>
      <c r="AP776" s="43"/>
      <c r="AQ776" s="236" t="str">
        <f>VLOOKUP(Table8[[#This Row],[Instrument]],Def_Targets!$D$73:$E$159,2,FALSE)</f>
        <v>A_Economic</v>
      </c>
      <c r="AR776" s="233" t="str">
        <f>VLOOKUP(Table8[[#This Row],[Country Code]],Table29[],3,FALSE)</f>
        <v>Annex I</v>
      </c>
      <c r="AS776" s="233" t="str">
        <f>VLOOKUP(Table8[[#This Row],[Country Code]],Table29[],4,FALSE)</f>
        <v>Asia</v>
      </c>
      <c r="AT776" s="233" t="str">
        <f>VLOOKUP(Table8[[#This Row],[Country Code]],Table29[],5,FALSE)</f>
        <v>High-income</v>
      </c>
      <c r="AU776" s="233" t="str">
        <f>VLOOKUP(Table8[[#This Row],[Country Code]],Table29[],6,FALSE)</f>
        <v>no</v>
      </c>
      <c r="AV776" s="233" t="str">
        <f>VLOOKUP(Table8[[#This Row],[Country Code]],Table29[],7,FALSE)</f>
        <v>no</v>
      </c>
      <c r="AW776" s="233" t="str">
        <f>VLOOKUP(Table8[[#This Row],[Country Code]],Table29[],8,FALSE)</f>
        <v>non-OECD</v>
      </c>
      <c r="AX776" s="233" t="str">
        <f>VLOOKUP(Table8[[#This Row],[Country Code]],Table29[],9,FALSE)</f>
        <v>EU27</v>
      </c>
      <c r="AY776" s="233" t="str">
        <f>VLOOKUP(Table8[[#This Row],[Country Code]],Table29[],10,FALSE)</f>
        <v>no</v>
      </c>
      <c r="AZ776" s="235">
        <f>VLOOKUP(Table8[[#This Row],[Country Code]],Table29[],23,FALSE)</f>
        <v>10.324656394181</v>
      </c>
      <c r="BA776" s="235">
        <f>VLOOKUP(Table8[[#This Row],[Country Code]],Table29[],24,FALSE)</f>
        <v>1.897782414839597</v>
      </c>
      <c r="BB776" s="320"/>
      <c r="BC776" s="320"/>
    </row>
    <row r="777" spans="1:55" ht="45" hidden="1" x14ac:dyDescent="0.25">
      <c r="A777" s="373">
        <v>32497</v>
      </c>
      <c r="B777" s="233" t="str">
        <f>VLOOKUP(Table8[[#This Row],[Document ID]],Table1[],2,FALSE)</f>
        <v>CYP</v>
      </c>
      <c r="C777" s="233" t="str">
        <f>VLOOKUP(Table8[[#This Row],[Document ID]],Table1[],3,FALSE)</f>
        <v>Cyprus</v>
      </c>
      <c r="D777" s="243" t="str">
        <f>VLOOKUP(Table8[[#This Row],[Document ID]],Table1[],5,FALSE)</f>
        <v>LTS</v>
      </c>
      <c r="E777" s="233" t="str">
        <f>VLOOKUP(Table8[[#This Row],[Document ID]],Table1[],7,FALSE)</f>
        <v>EU-LTS</v>
      </c>
      <c r="F777" s="233" t="str">
        <f>VLOOKUP(Table8[[#This Row],[Document ID]],Table1[],8,FALSE)</f>
        <v>LTS 1.0</v>
      </c>
      <c r="G777" s="233" t="str">
        <f>VLOOKUP(Table8[[#This Row],[Document ID]],Table1[],10,FALSE)</f>
        <v>Active</v>
      </c>
      <c r="H777" s="44" t="s">
        <v>2329</v>
      </c>
      <c r="I777" s="44" t="s">
        <v>2330</v>
      </c>
      <c r="J777" s="44" t="s">
        <v>2381</v>
      </c>
      <c r="K777" s="44" t="s">
        <v>3086</v>
      </c>
      <c r="L777" s="44" t="s">
        <v>2333</v>
      </c>
      <c r="M777" s="43">
        <v>12</v>
      </c>
      <c r="N777" s="113" t="s">
        <v>1113</v>
      </c>
      <c r="O777" s="113"/>
      <c r="P777" s="113"/>
      <c r="Q777" s="113"/>
      <c r="R777" s="113"/>
      <c r="S777" s="113"/>
      <c r="T777" s="113"/>
      <c r="U777" s="113"/>
      <c r="V777" s="113"/>
      <c r="W777" s="113"/>
      <c r="X777" s="113"/>
      <c r="Y777" s="113"/>
      <c r="Z777" s="113"/>
      <c r="AA777" s="113"/>
      <c r="AB777" s="113"/>
      <c r="AC777" s="113"/>
      <c r="AD777" s="113"/>
      <c r="AE777" s="113"/>
      <c r="AF777" s="113"/>
      <c r="AG777" s="113"/>
      <c r="AH777" s="113"/>
      <c r="AI777" s="113"/>
      <c r="AJ777" s="113"/>
      <c r="AK777" s="113" t="s">
        <v>1113</v>
      </c>
      <c r="AL777" s="113"/>
      <c r="AM777" s="113"/>
      <c r="AN777" s="113"/>
      <c r="AO777" s="44" t="s">
        <v>2334</v>
      </c>
      <c r="AP777" s="43"/>
      <c r="AQ777" s="236" t="str">
        <f>VLOOKUP(Table8[[#This Row],[Instrument]],Def_Targets!$D$73:$E$159,2,FALSE)</f>
        <v>I_RE</v>
      </c>
      <c r="AR777" s="233" t="str">
        <f>VLOOKUP(Table8[[#This Row],[Country Code]],Table29[],3,FALSE)</f>
        <v>Annex I</v>
      </c>
      <c r="AS777" s="233" t="str">
        <f>VLOOKUP(Table8[[#This Row],[Country Code]],Table29[],4,FALSE)</f>
        <v>Asia</v>
      </c>
      <c r="AT777" s="233" t="str">
        <f>VLOOKUP(Table8[[#This Row],[Country Code]],Table29[],5,FALSE)</f>
        <v>High-income</v>
      </c>
      <c r="AU777" s="233" t="str">
        <f>VLOOKUP(Table8[[#This Row],[Country Code]],Table29[],6,FALSE)</f>
        <v>no</v>
      </c>
      <c r="AV777" s="233" t="str">
        <f>VLOOKUP(Table8[[#This Row],[Country Code]],Table29[],7,FALSE)</f>
        <v>no</v>
      </c>
      <c r="AW777" s="233" t="str">
        <f>VLOOKUP(Table8[[#This Row],[Country Code]],Table29[],8,FALSE)</f>
        <v>non-OECD</v>
      </c>
      <c r="AX777" s="233" t="str">
        <f>VLOOKUP(Table8[[#This Row],[Country Code]],Table29[],9,FALSE)</f>
        <v>EU27</v>
      </c>
      <c r="AY777" s="233" t="str">
        <f>VLOOKUP(Table8[[#This Row],[Country Code]],Table29[],10,FALSE)</f>
        <v>no</v>
      </c>
      <c r="AZ777" s="235">
        <f>VLOOKUP(Table8[[#This Row],[Country Code]],Table29[],23,FALSE)</f>
        <v>10.324656394181</v>
      </c>
      <c r="BA777" s="235">
        <f>VLOOKUP(Table8[[#This Row],[Country Code]],Table29[],24,FALSE)</f>
        <v>1.897782414839597</v>
      </c>
      <c r="BB777" s="320"/>
      <c r="BC777" s="320"/>
    </row>
    <row r="778" spans="1:55" ht="45" hidden="1" x14ac:dyDescent="0.25">
      <c r="A778" s="373">
        <v>32497</v>
      </c>
      <c r="B778" s="233" t="str">
        <f>VLOOKUP(Table8[[#This Row],[Document ID]],Table1[],2,FALSE)</f>
        <v>CYP</v>
      </c>
      <c r="C778" s="233" t="str">
        <f>VLOOKUP(Table8[[#This Row],[Document ID]],Table1[],3,FALSE)</f>
        <v>Cyprus</v>
      </c>
      <c r="D778" s="243" t="str">
        <f>VLOOKUP(Table8[[#This Row],[Document ID]],Table1[],5,FALSE)</f>
        <v>LTS</v>
      </c>
      <c r="E778" s="233" t="str">
        <f>VLOOKUP(Table8[[#This Row],[Document ID]],Table1[],7,FALSE)</f>
        <v>EU-LTS</v>
      </c>
      <c r="F778" s="233" t="str">
        <f>VLOOKUP(Table8[[#This Row],[Document ID]],Table1[],8,FALSE)</f>
        <v>LTS 1.0</v>
      </c>
      <c r="G778" s="233" t="str">
        <f>VLOOKUP(Table8[[#This Row],[Document ID]],Table1[],10,FALSE)</f>
        <v>Active</v>
      </c>
      <c r="H778" s="44" t="s">
        <v>2338</v>
      </c>
      <c r="I778" s="44" t="s">
        <v>2339</v>
      </c>
      <c r="J778" s="44" t="s">
        <v>2413</v>
      </c>
      <c r="K778" s="44" t="s">
        <v>3087</v>
      </c>
      <c r="L778" s="44" t="s">
        <v>2333</v>
      </c>
      <c r="M778" s="43">
        <v>13</v>
      </c>
      <c r="N778" s="113"/>
      <c r="O778" s="113"/>
      <c r="P778" s="113"/>
      <c r="Q778" s="113"/>
      <c r="R778" s="113"/>
      <c r="S778" s="113"/>
      <c r="T778" s="113"/>
      <c r="U778" s="113" t="s">
        <v>1113</v>
      </c>
      <c r="V778" s="113"/>
      <c r="W778" s="113"/>
      <c r="X778" s="113" t="s">
        <v>1113</v>
      </c>
      <c r="Y778" s="113"/>
      <c r="Z778" s="113"/>
      <c r="AA778" s="113"/>
      <c r="AB778" s="113"/>
      <c r="AC778" s="113"/>
      <c r="AD778" s="113"/>
      <c r="AE778" s="113"/>
      <c r="AF778" s="113"/>
      <c r="AG778" s="113"/>
      <c r="AH778" s="113"/>
      <c r="AI778" s="113"/>
      <c r="AJ778" s="113"/>
      <c r="AK778" s="113" t="s">
        <v>1113</v>
      </c>
      <c r="AL778" s="113"/>
      <c r="AM778" s="113"/>
      <c r="AN778" s="113"/>
      <c r="AO778" s="44" t="s">
        <v>2334</v>
      </c>
      <c r="AP778" s="43"/>
      <c r="AQ778" s="236" t="str">
        <f>VLOOKUP(Table8[[#This Row],[Instrument]],Def_Targets!$D$73:$E$159,2,FALSE)</f>
        <v>I_Vehicleeff</v>
      </c>
      <c r="AR778" s="233" t="str">
        <f>VLOOKUP(Table8[[#This Row],[Country Code]],Table29[],3,FALSE)</f>
        <v>Annex I</v>
      </c>
      <c r="AS778" s="233" t="str">
        <f>VLOOKUP(Table8[[#This Row],[Country Code]],Table29[],4,FALSE)</f>
        <v>Asia</v>
      </c>
      <c r="AT778" s="233" t="str">
        <f>VLOOKUP(Table8[[#This Row],[Country Code]],Table29[],5,FALSE)</f>
        <v>High-income</v>
      </c>
      <c r="AU778" s="233" t="str">
        <f>VLOOKUP(Table8[[#This Row],[Country Code]],Table29[],6,FALSE)</f>
        <v>no</v>
      </c>
      <c r="AV778" s="233" t="str">
        <f>VLOOKUP(Table8[[#This Row],[Country Code]],Table29[],7,FALSE)</f>
        <v>no</v>
      </c>
      <c r="AW778" s="233" t="str">
        <f>VLOOKUP(Table8[[#This Row],[Country Code]],Table29[],8,FALSE)</f>
        <v>non-OECD</v>
      </c>
      <c r="AX778" s="233" t="str">
        <f>VLOOKUP(Table8[[#This Row],[Country Code]],Table29[],9,FALSE)</f>
        <v>EU27</v>
      </c>
      <c r="AY778" s="233" t="str">
        <f>VLOOKUP(Table8[[#This Row],[Country Code]],Table29[],10,FALSE)</f>
        <v>no</v>
      </c>
      <c r="AZ778" s="235">
        <f>VLOOKUP(Table8[[#This Row],[Country Code]],Table29[],23,FALSE)</f>
        <v>10.324656394181</v>
      </c>
      <c r="BA778" s="235">
        <f>VLOOKUP(Table8[[#This Row],[Country Code]],Table29[],24,FALSE)</f>
        <v>1.897782414839597</v>
      </c>
      <c r="BB778" s="320"/>
      <c r="BC778" s="320"/>
    </row>
    <row r="779" spans="1:55" hidden="1" x14ac:dyDescent="0.25">
      <c r="A779" s="373">
        <v>32497</v>
      </c>
      <c r="B779" s="233" t="str">
        <f>VLOOKUP(Table8[[#This Row],[Document ID]],Table1[],2,FALSE)</f>
        <v>CYP</v>
      </c>
      <c r="C779" s="233" t="str">
        <f>VLOOKUP(Table8[[#This Row],[Document ID]],Table1[],3,FALSE)</f>
        <v>Cyprus</v>
      </c>
      <c r="D779" s="243" t="str">
        <f>VLOOKUP(Table8[[#This Row],[Document ID]],Table1[],5,FALSE)</f>
        <v>LTS</v>
      </c>
      <c r="E779" s="233" t="str">
        <f>VLOOKUP(Table8[[#This Row],[Document ID]],Table1[],7,FALSE)</f>
        <v>EU-LTS</v>
      </c>
      <c r="F779" s="233" t="str">
        <f>VLOOKUP(Table8[[#This Row],[Document ID]],Table1[],8,FALSE)</f>
        <v>LTS 1.0</v>
      </c>
      <c r="G779" s="233" t="str">
        <f>VLOOKUP(Table8[[#This Row],[Document ID]],Table1[],10,FALSE)</f>
        <v>Active</v>
      </c>
      <c r="H779" s="44" t="s">
        <v>2329</v>
      </c>
      <c r="I779" s="44" t="s">
        <v>2330</v>
      </c>
      <c r="J779" s="44" t="s">
        <v>2414</v>
      </c>
      <c r="K779" s="44" t="s">
        <v>3088</v>
      </c>
      <c r="L779" s="44" t="s">
        <v>2333</v>
      </c>
      <c r="M779" s="43">
        <v>13</v>
      </c>
      <c r="N779" s="113"/>
      <c r="O779" s="113"/>
      <c r="P779" s="113"/>
      <c r="Q779" s="113"/>
      <c r="R779" s="113"/>
      <c r="S779" s="113"/>
      <c r="T779" s="113"/>
      <c r="U779" s="113" t="s">
        <v>1113</v>
      </c>
      <c r="V779" s="113"/>
      <c r="W779" s="113"/>
      <c r="X779" s="113"/>
      <c r="Y779" s="113"/>
      <c r="Z779" s="113"/>
      <c r="AA779" s="113"/>
      <c r="AB779" s="113"/>
      <c r="AC779" s="113"/>
      <c r="AD779" s="113"/>
      <c r="AE779" s="113"/>
      <c r="AF779" s="113"/>
      <c r="AG779" s="113"/>
      <c r="AH779" s="113"/>
      <c r="AI779" s="113"/>
      <c r="AJ779" s="113"/>
      <c r="AK779" s="113" t="s">
        <v>1113</v>
      </c>
      <c r="AL779" s="113"/>
      <c r="AM779" s="113"/>
      <c r="AN779" s="113"/>
      <c r="AO779" s="44" t="s">
        <v>2334</v>
      </c>
      <c r="AP779" s="43"/>
      <c r="AQ779" s="236" t="str">
        <f>VLOOKUP(Table8[[#This Row],[Instrument]],Def_Targets!$D$73:$E$159,2,FALSE)</f>
        <v>I_ICEdiesel</v>
      </c>
      <c r="AR779" s="233" t="str">
        <f>VLOOKUP(Table8[[#This Row],[Country Code]],Table29[],3,FALSE)</f>
        <v>Annex I</v>
      </c>
      <c r="AS779" s="233" t="str">
        <f>VLOOKUP(Table8[[#This Row],[Country Code]],Table29[],4,FALSE)</f>
        <v>Asia</v>
      </c>
      <c r="AT779" s="233" t="str">
        <f>VLOOKUP(Table8[[#This Row],[Country Code]],Table29[],5,FALSE)</f>
        <v>High-income</v>
      </c>
      <c r="AU779" s="233" t="str">
        <f>VLOOKUP(Table8[[#This Row],[Country Code]],Table29[],6,FALSE)</f>
        <v>no</v>
      </c>
      <c r="AV779" s="233" t="str">
        <f>VLOOKUP(Table8[[#This Row],[Country Code]],Table29[],7,FALSE)</f>
        <v>no</v>
      </c>
      <c r="AW779" s="233" t="str">
        <f>VLOOKUP(Table8[[#This Row],[Country Code]],Table29[],8,FALSE)</f>
        <v>non-OECD</v>
      </c>
      <c r="AX779" s="233" t="str">
        <f>VLOOKUP(Table8[[#This Row],[Country Code]],Table29[],9,FALSE)</f>
        <v>EU27</v>
      </c>
      <c r="AY779" s="233" t="str">
        <f>VLOOKUP(Table8[[#This Row],[Country Code]],Table29[],10,FALSE)</f>
        <v>no</v>
      </c>
      <c r="AZ779" s="235">
        <f>VLOOKUP(Table8[[#This Row],[Country Code]],Table29[],23,FALSE)</f>
        <v>10.324656394181</v>
      </c>
      <c r="BA779" s="235">
        <f>VLOOKUP(Table8[[#This Row],[Country Code]],Table29[],24,FALSE)</f>
        <v>1.897782414839597</v>
      </c>
      <c r="BB779" s="320"/>
      <c r="BC779" s="320"/>
    </row>
    <row r="780" spans="1:55" ht="75" hidden="1" x14ac:dyDescent="0.25">
      <c r="A780" s="373">
        <v>32497</v>
      </c>
      <c r="B780" s="233" t="str">
        <f>VLOOKUP(Table8[[#This Row],[Document ID]],Table1[],2,FALSE)</f>
        <v>CYP</v>
      </c>
      <c r="C780" s="233" t="str">
        <f>VLOOKUP(Table8[[#This Row],[Document ID]],Table1[],3,FALSE)</f>
        <v>Cyprus</v>
      </c>
      <c r="D780" s="243" t="str">
        <f>VLOOKUP(Table8[[#This Row],[Document ID]],Table1[],5,FALSE)</f>
        <v>LTS</v>
      </c>
      <c r="E780" s="233" t="str">
        <f>VLOOKUP(Table8[[#This Row],[Document ID]],Table1[],7,FALSE)</f>
        <v>EU-LTS</v>
      </c>
      <c r="F780" s="233" t="str">
        <f>VLOOKUP(Table8[[#This Row],[Document ID]],Table1[],8,FALSE)</f>
        <v>LTS 1.0</v>
      </c>
      <c r="G780" s="233" t="str">
        <f>VLOOKUP(Table8[[#This Row],[Document ID]],Table1[],10,FALSE)</f>
        <v>Active</v>
      </c>
      <c r="H780" s="43" t="s">
        <v>2358</v>
      </c>
      <c r="I780" s="43" t="s">
        <v>2359</v>
      </c>
      <c r="J780" s="44" t="s">
        <v>2383</v>
      </c>
      <c r="K780" s="44" t="s">
        <v>3089</v>
      </c>
      <c r="L780" s="44" t="s">
        <v>2333</v>
      </c>
      <c r="M780" s="43">
        <v>13</v>
      </c>
      <c r="N780" s="113"/>
      <c r="O780" s="113"/>
      <c r="P780" s="113"/>
      <c r="Q780" s="113"/>
      <c r="R780" s="113"/>
      <c r="S780" s="113"/>
      <c r="T780" s="113" t="s">
        <v>1113</v>
      </c>
      <c r="U780" s="113"/>
      <c r="V780" s="113"/>
      <c r="W780" s="113"/>
      <c r="X780" s="113"/>
      <c r="Y780" s="113"/>
      <c r="Z780" s="113"/>
      <c r="AA780" s="113"/>
      <c r="AB780" s="113"/>
      <c r="AC780" s="113"/>
      <c r="AD780" s="113"/>
      <c r="AE780" s="113"/>
      <c r="AF780" s="113"/>
      <c r="AG780" s="113"/>
      <c r="AH780" s="113"/>
      <c r="AI780" s="113"/>
      <c r="AJ780" s="113"/>
      <c r="AK780" s="113"/>
      <c r="AL780" s="113"/>
      <c r="AM780" s="113"/>
      <c r="AN780" s="113" t="s">
        <v>1113</v>
      </c>
      <c r="AO780" s="44" t="s">
        <v>2334</v>
      </c>
      <c r="AP780" s="43"/>
      <c r="AQ780" s="236" t="str">
        <f>VLOOKUP(Table8[[#This Row],[Instrument]],Def_Targets!$D$73:$E$159,2,FALSE)</f>
        <v>I_Emobilitycharging</v>
      </c>
      <c r="AR780" s="233" t="str">
        <f>VLOOKUP(Table8[[#This Row],[Country Code]],Table29[],3,FALSE)</f>
        <v>Annex I</v>
      </c>
      <c r="AS780" s="233" t="str">
        <f>VLOOKUP(Table8[[#This Row],[Country Code]],Table29[],4,FALSE)</f>
        <v>Asia</v>
      </c>
      <c r="AT780" s="233" t="str">
        <f>VLOOKUP(Table8[[#This Row],[Country Code]],Table29[],5,FALSE)</f>
        <v>High-income</v>
      </c>
      <c r="AU780" s="233" t="str">
        <f>VLOOKUP(Table8[[#This Row],[Country Code]],Table29[],6,FALSE)</f>
        <v>no</v>
      </c>
      <c r="AV780" s="233" t="str">
        <f>VLOOKUP(Table8[[#This Row],[Country Code]],Table29[],7,FALSE)</f>
        <v>no</v>
      </c>
      <c r="AW780" s="233" t="str">
        <f>VLOOKUP(Table8[[#This Row],[Country Code]],Table29[],8,FALSE)</f>
        <v>non-OECD</v>
      </c>
      <c r="AX780" s="233" t="str">
        <f>VLOOKUP(Table8[[#This Row],[Country Code]],Table29[],9,FALSE)</f>
        <v>EU27</v>
      </c>
      <c r="AY780" s="233" t="str">
        <f>VLOOKUP(Table8[[#This Row],[Country Code]],Table29[],10,FALSE)</f>
        <v>no</v>
      </c>
      <c r="AZ780" s="235">
        <f>VLOOKUP(Table8[[#This Row],[Country Code]],Table29[],23,FALSE)</f>
        <v>10.324656394181</v>
      </c>
      <c r="BA780" s="235">
        <f>VLOOKUP(Table8[[#This Row],[Country Code]],Table29[],24,FALSE)</f>
        <v>1.897782414839597</v>
      </c>
      <c r="BB780" s="320"/>
      <c r="BC780" s="320"/>
    </row>
    <row r="781" spans="1:55" ht="45" hidden="1" x14ac:dyDescent="0.25">
      <c r="A781" s="373">
        <v>32497</v>
      </c>
      <c r="B781" s="233" t="str">
        <f>VLOOKUP(Table8[[#This Row],[Document ID]],Table1[],2,FALSE)</f>
        <v>CYP</v>
      </c>
      <c r="C781" s="233" t="str">
        <f>VLOOKUP(Table8[[#This Row],[Document ID]],Table1[],3,FALSE)</f>
        <v>Cyprus</v>
      </c>
      <c r="D781" s="243" t="str">
        <f>VLOOKUP(Table8[[#This Row],[Document ID]],Table1[],5,FALSE)</f>
        <v>LTS</v>
      </c>
      <c r="E781" s="233" t="str">
        <f>VLOOKUP(Table8[[#This Row],[Document ID]],Table1[],7,FALSE)</f>
        <v>EU-LTS</v>
      </c>
      <c r="F781" s="233" t="str">
        <f>VLOOKUP(Table8[[#This Row],[Document ID]],Table1[],8,FALSE)</f>
        <v>LTS 1.0</v>
      </c>
      <c r="G781" s="233" t="str">
        <f>VLOOKUP(Table8[[#This Row],[Document ID]],Table1[],10,FALSE)</f>
        <v>Active</v>
      </c>
      <c r="H781" s="44" t="s">
        <v>2329</v>
      </c>
      <c r="I781" s="44" t="s">
        <v>2330</v>
      </c>
      <c r="J781" s="44" t="s">
        <v>2331</v>
      </c>
      <c r="K781" s="44" t="s">
        <v>3090</v>
      </c>
      <c r="L781" s="44" t="s">
        <v>2333</v>
      </c>
      <c r="M781" s="43">
        <v>13</v>
      </c>
      <c r="N781" s="113"/>
      <c r="O781" s="113"/>
      <c r="P781" s="113"/>
      <c r="Q781" s="113"/>
      <c r="R781" s="113"/>
      <c r="S781" s="113"/>
      <c r="T781" s="113"/>
      <c r="U781" s="113"/>
      <c r="V781" s="113"/>
      <c r="W781" s="113"/>
      <c r="X781" s="113"/>
      <c r="Y781" s="113"/>
      <c r="Z781" s="113"/>
      <c r="AA781" s="113"/>
      <c r="AB781" s="113"/>
      <c r="AC781" s="113"/>
      <c r="AD781" s="113" t="s">
        <v>1113</v>
      </c>
      <c r="AE781" s="113"/>
      <c r="AF781" s="113"/>
      <c r="AG781" s="113"/>
      <c r="AH781" s="113" t="s">
        <v>1113</v>
      </c>
      <c r="AI781" s="113"/>
      <c r="AJ781" s="113"/>
      <c r="AK781" s="113" t="s">
        <v>1113</v>
      </c>
      <c r="AL781" s="113"/>
      <c r="AM781" s="113"/>
      <c r="AN781" s="113"/>
      <c r="AO781" s="44" t="s">
        <v>2334</v>
      </c>
      <c r="AP781" s="43"/>
      <c r="AQ781" s="236" t="str">
        <f>VLOOKUP(Table8[[#This Row],[Instrument]],Def_Targets!$D$73:$E$159,2,FALSE)</f>
        <v>I_Altfuels</v>
      </c>
      <c r="AR781" s="233" t="str">
        <f>VLOOKUP(Table8[[#This Row],[Country Code]],Table29[],3,FALSE)</f>
        <v>Annex I</v>
      </c>
      <c r="AS781" s="233" t="str">
        <f>VLOOKUP(Table8[[#This Row],[Country Code]],Table29[],4,FALSE)</f>
        <v>Asia</v>
      </c>
      <c r="AT781" s="233" t="str">
        <f>VLOOKUP(Table8[[#This Row],[Country Code]],Table29[],5,FALSE)</f>
        <v>High-income</v>
      </c>
      <c r="AU781" s="233" t="str">
        <f>VLOOKUP(Table8[[#This Row],[Country Code]],Table29[],6,FALSE)</f>
        <v>no</v>
      </c>
      <c r="AV781" s="233" t="str">
        <f>VLOOKUP(Table8[[#This Row],[Country Code]],Table29[],7,FALSE)</f>
        <v>no</v>
      </c>
      <c r="AW781" s="233" t="str">
        <f>VLOOKUP(Table8[[#This Row],[Country Code]],Table29[],8,FALSE)</f>
        <v>non-OECD</v>
      </c>
      <c r="AX781" s="233" t="str">
        <f>VLOOKUP(Table8[[#This Row],[Country Code]],Table29[],9,FALSE)</f>
        <v>EU27</v>
      </c>
      <c r="AY781" s="233" t="str">
        <f>VLOOKUP(Table8[[#This Row],[Country Code]],Table29[],10,FALSE)</f>
        <v>no</v>
      </c>
      <c r="AZ781" s="235">
        <f>VLOOKUP(Table8[[#This Row],[Country Code]],Table29[],23,FALSE)</f>
        <v>10.324656394181</v>
      </c>
      <c r="BA781" s="235">
        <f>VLOOKUP(Table8[[#This Row],[Country Code]],Table29[],24,FALSE)</f>
        <v>1.897782414839597</v>
      </c>
      <c r="BB781" s="320"/>
      <c r="BC781" s="320"/>
    </row>
    <row r="782" spans="1:55" ht="45" hidden="1" x14ac:dyDescent="0.25">
      <c r="A782" s="373">
        <v>32497</v>
      </c>
      <c r="B782" s="233" t="str">
        <f>VLOOKUP(Table8[[#This Row],[Document ID]],Table1[],2,FALSE)</f>
        <v>CYP</v>
      </c>
      <c r="C782" s="233" t="str">
        <f>VLOOKUP(Table8[[#This Row],[Document ID]],Table1[],3,FALSE)</f>
        <v>Cyprus</v>
      </c>
      <c r="D782" s="243" t="str">
        <f>VLOOKUP(Table8[[#This Row],[Document ID]],Table1[],5,FALSE)</f>
        <v>LTS</v>
      </c>
      <c r="E782" s="233" t="str">
        <f>VLOOKUP(Table8[[#This Row],[Document ID]],Table1[],7,FALSE)</f>
        <v>EU-LTS</v>
      </c>
      <c r="F782" s="233" t="str">
        <f>VLOOKUP(Table8[[#This Row],[Document ID]],Table1[],8,FALSE)</f>
        <v>LTS 1.0</v>
      </c>
      <c r="G782" s="233" t="str">
        <f>VLOOKUP(Table8[[#This Row],[Document ID]],Table1[],10,FALSE)</f>
        <v>Active</v>
      </c>
      <c r="H782" s="43" t="s">
        <v>2484</v>
      </c>
      <c r="I782" s="43" t="s">
        <v>2488</v>
      </c>
      <c r="J782" s="44" t="s">
        <v>2684</v>
      </c>
      <c r="K782" s="44" t="s">
        <v>3091</v>
      </c>
      <c r="L782" s="44" t="s">
        <v>2333</v>
      </c>
      <c r="M782" s="43">
        <v>13</v>
      </c>
      <c r="N782" s="113"/>
      <c r="O782" s="113"/>
      <c r="P782" s="113"/>
      <c r="Q782" s="113"/>
      <c r="R782" s="113"/>
      <c r="S782" s="113"/>
      <c r="T782" s="113"/>
      <c r="U782" s="113"/>
      <c r="V782" s="113"/>
      <c r="W782" s="113"/>
      <c r="X782" s="113"/>
      <c r="Y782" s="113"/>
      <c r="Z782" s="113"/>
      <c r="AA782" s="113"/>
      <c r="AB782" s="113"/>
      <c r="AC782" s="113"/>
      <c r="AD782" s="113"/>
      <c r="AE782" s="113"/>
      <c r="AF782" s="113"/>
      <c r="AG782" s="113"/>
      <c r="AH782" s="113" t="s">
        <v>1113</v>
      </c>
      <c r="AI782" s="113"/>
      <c r="AJ782" s="113"/>
      <c r="AK782" s="113" t="s">
        <v>1113</v>
      </c>
      <c r="AL782" s="113"/>
      <c r="AM782" s="113"/>
      <c r="AN782" s="113"/>
      <c r="AO782" s="44" t="s">
        <v>2334</v>
      </c>
      <c r="AP782" s="43"/>
      <c r="AQ782" s="236" t="str">
        <f>VLOOKUP(Table8[[#This Row],[Instrument]],Def_Targets!$D$73:$E$159,2,FALSE)</f>
        <v>I_Jetfuel</v>
      </c>
      <c r="AR782" s="233" t="str">
        <f>VLOOKUP(Table8[[#This Row],[Country Code]],Table29[],3,FALSE)</f>
        <v>Annex I</v>
      </c>
      <c r="AS782" s="233" t="str">
        <f>VLOOKUP(Table8[[#This Row],[Country Code]],Table29[],4,FALSE)</f>
        <v>Asia</v>
      </c>
      <c r="AT782" s="233" t="str">
        <f>VLOOKUP(Table8[[#This Row],[Country Code]],Table29[],5,FALSE)</f>
        <v>High-income</v>
      </c>
      <c r="AU782" s="233" t="str">
        <f>VLOOKUP(Table8[[#This Row],[Country Code]],Table29[],6,FALSE)</f>
        <v>no</v>
      </c>
      <c r="AV782" s="233" t="str">
        <f>VLOOKUP(Table8[[#This Row],[Country Code]],Table29[],7,FALSE)</f>
        <v>no</v>
      </c>
      <c r="AW782" s="233" t="str">
        <f>VLOOKUP(Table8[[#This Row],[Country Code]],Table29[],8,FALSE)</f>
        <v>non-OECD</v>
      </c>
      <c r="AX782" s="233" t="str">
        <f>VLOOKUP(Table8[[#This Row],[Country Code]],Table29[],9,FALSE)</f>
        <v>EU27</v>
      </c>
      <c r="AY782" s="233" t="str">
        <f>VLOOKUP(Table8[[#This Row],[Country Code]],Table29[],10,FALSE)</f>
        <v>no</v>
      </c>
      <c r="AZ782" s="235">
        <f>VLOOKUP(Table8[[#This Row],[Country Code]],Table29[],23,FALSE)</f>
        <v>10.324656394181</v>
      </c>
      <c r="BA782" s="235">
        <f>VLOOKUP(Table8[[#This Row],[Country Code]],Table29[],24,FALSE)</f>
        <v>1.897782414839597</v>
      </c>
      <c r="BB782" s="320"/>
      <c r="BC782" s="320"/>
    </row>
    <row r="783" spans="1:55" ht="45" hidden="1" x14ac:dyDescent="0.25">
      <c r="A783" s="373">
        <v>32497</v>
      </c>
      <c r="B783" s="233" t="str">
        <f>VLOOKUP(Table8[[#This Row],[Document ID]],Table1[],2,FALSE)</f>
        <v>CYP</v>
      </c>
      <c r="C783" s="233" t="str">
        <f>VLOOKUP(Table8[[#This Row],[Document ID]],Table1[],3,FALSE)</f>
        <v>Cyprus</v>
      </c>
      <c r="D783" s="243" t="str">
        <f>VLOOKUP(Table8[[#This Row],[Document ID]],Table1[],5,FALSE)</f>
        <v>LTS</v>
      </c>
      <c r="E783" s="233" t="str">
        <f>VLOOKUP(Table8[[#This Row],[Document ID]],Table1[],7,FALSE)</f>
        <v>EU-LTS</v>
      </c>
      <c r="F783" s="233" t="str">
        <f>VLOOKUP(Table8[[#This Row],[Document ID]],Table1[],8,FALSE)</f>
        <v>LTS 1.0</v>
      </c>
      <c r="G783" s="233" t="str">
        <f>VLOOKUP(Table8[[#This Row],[Document ID]],Table1[],10,FALSE)</f>
        <v>Active</v>
      </c>
      <c r="H783" s="43" t="s">
        <v>2484</v>
      </c>
      <c r="I783" s="43" t="s">
        <v>2485</v>
      </c>
      <c r="J783" s="44" t="s">
        <v>2486</v>
      </c>
      <c r="K783" s="44" t="s">
        <v>3092</v>
      </c>
      <c r="L783" s="44" t="s">
        <v>2333</v>
      </c>
      <c r="M783" s="43">
        <v>13</v>
      </c>
      <c r="N783" s="113"/>
      <c r="O783" s="113"/>
      <c r="P783" s="113"/>
      <c r="Q783" s="113"/>
      <c r="R783" s="113"/>
      <c r="S783" s="113"/>
      <c r="T783" s="113"/>
      <c r="U783" s="113"/>
      <c r="V783" s="113"/>
      <c r="W783" s="113"/>
      <c r="X783" s="113"/>
      <c r="Y783" s="113"/>
      <c r="Z783" s="113"/>
      <c r="AA783" s="113"/>
      <c r="AB783" s="113"/>
      <c r="AC783" s="113"/>
      <c r="AD783" s="113" t="s">
        <v>1113</v>
      </c>
      <c r="AE783" s="113"/>
      <c r="AF783" s="113"/>
      <c r="AG783" s="113"/>
      <c r="AH783" s="113"/>
      <c r="AI783" s="113"/>
      <c r="AJ783" s="113"/>
      <c r="AK783" s="113" t="s">
        <v>1113</v>
      </c>
      <c r="AL783" s="113"/>
      <c r="AM783" s="113"/>
      <c r="AN783" s="113"/>
      <c r="AO783" s="44" t="s">
        <v>2334</v>
      </c>
      <c r="AP783" s="43"/>
      <c r="AQ783" s="236" t="str">
        <f>VLOOKUP(Table8[[#This Row],[Instrument]],Def_Targets!$D$73:$E$159,2,FALSE)</f>
        <v>I_Shipping</v>
      </c>
      <c r="AR783" s="233" t="str">
        <f>VLOOKUP(Table8[[#This Row],[Country Code]],Table29[],3,FALSE)</f>
        <v>Annex I</v>
      </c>
      <c r="AS783" s="233" t="str">
        <f>VLOOKUP(Table8[[#This Row],[Country Code]],Table29[],4,FALSE)</f>
        <v>Asia</v>
      </c>
      <c r="AT783" s="233" t="str">
        <f>VLOOKUP(Table8[[#This Row],[Country Code]],Table29[],5,FALSE)</f>
        <v>High-income</v>
      </c>
      <c r="AU783" s="233" t="str">
        <f>VLOOKUP(Table8[[#This Row],[Country Code]],Table29[],6,FALSE)</f>
        <v>no</v>
      </c>
      <c r="AV783" s="233" t="str">
        <f>VLOOKUP(Table8[[#This Row],[Country Code]],Table29[],7,FALSE)</f>
        <v>no</v>
      </c>
      <c r="AW783" s="233" t="str">
        <f>VLOOKUP(Table8[[#This Row],[Country Code]],Table29[],8,FALSE)</f>
        <v>non-OECD</v>
      </c>
      <c r="AX783" s="233" t="str">
        <f>VLOOKUP(Table8[[#This Row],[Country Code]],Table29[],9,FALSE)</f>
        <v>EU27</v>
      </c>
      <c r="AY783" s="233" t="str">
        <f>VLOOKUP(Table8[[#This Row],[Country Code]],Table29[],10,FALSE)</f>
        <v>no</v>
      </c>
      <c r="AZ783" s="235">
        <f>VLOOKUP(Table8[[#This Row],[Country Code]],Table29[],23,FALSE)</f>
        <v>10.324656394181</v>
      </c>
      <c r="BA783" s="235">
        <f>VLOOKUP(Table8[[#This Row],[Country Code]],Table29[],24,FALSE)</f>
        <v>1.897782414839597</v>
      </c>
      <c r="BB783" s="320"/>
      <c r="BC783" s="320"/>
    </row>
    <row r="784" spans="1:55" ht="60" hidden="1" x14ac:dyDescent="0.25">
      <c r="A784" s="373">
        <v>32497</v>
      </c>
      <c r="B784" s="233" t="str">
        <f>VLOOKUP(Table8[[#This Row],[Document ID]],Table1[],2,FALSE)</f>
        <v>CYP</v>
      </c>
      <c r="C784" s="233" t="str">
        <f>VLOOKUP(Table8[[#This Row],[Document ID]],Table1[],3,FALSE)</f>
        <v>Cyprus</v>
      </c>
      <c r="D784" s="243" t="str">
        <f>VLOOKUP(Table8[[#This Row],[Document ID]],Table1[],5,FALSE)</f>
        <v>LTS</v>
      </c>
      <c r="E784" s="233" t="str">
        <f>VLOOKUP(Table8[[#This Row],[Document ID]],Table1[],7,FALSE)</f>
        <v>EU-LTS</v>
      </c>
      <c r="F784" s="233" t="str">
        <f>VLOOKUP(Table8[[#This Row],[Document ID]],Table1[],8,FALSE)</f>
        <v>LTS 1.0</v>
      </c>
      <c r="G784" s="233" t="str">
        <f>VLOOKUP(Table8[[#This Row],[Document ID]],Table1[],10,FALSE)</f>
        <v>Active</v>
      </c>
      <c r="H784" s="43" t="s">
        <v>2358</v>
      </c>
      <c r="I784" s="43" t="s">
        <v>2359</v>
      </c>
      <c r="J784" s="44" t="s">
        <v>2360</v>
      </c>
      <c r="K784" s="44" t="s">
        <v>3093</v>
      </c>
      <c r="L784" s="44" t="s">
        <v>2333</v>
      </c>
      <c r="M784" s="43">
        <v>22</v>
      </c>
      <c r="N784" s="113"/>
      <c r="O784" s="113"/>
      <c r="P784" s="113"/>
      <c r="Q784" s="113"/>
      <c r="R784" s="113"/>
      <c r="S784" s="113" t="s">
        <v>1113</v>
      </c>
      <c r="T784" s="113"/>
      <c r="U784" s="113"/>
      <c r="V784" s="113"/>
      <c r="W784" s="113"/>
      <c r="X784" s="113"/>
      <c r="Y784" s="113"/>
      <c r="Z784" s="113"/>
      <c r="AA784" s="113"/>
      <c r="AB784" s="113"/>
      <c r="AC784" s="113"/>
      <c r="AD784" s="113"/>
      <c r="AE784" s="113"/>
      <c r="AF784" s="113"/>
      <c r="AG784" s="113"/>
      <c r="AH784" s="113"/>
      <c r="AI784" s="113"/>
      <c r="AJ784" s="113"/>
      <c r="AK784" s="113" t="s">
        <v>1113</v>
      </c>
      <c r="AL784" s="113"/>
      <c r="AM784" s="113"/>
      <c r="AN784" s="113"/>
      <c r="AO784" s="44" t="s">
        <v>2334</v>
      </c>
      <c r="AP784" s="43"/>
      <c r="AQ784" s="236" t="str">
        <f>VLOOKUP(Table8[[#This Row],[Instrument]],Def_Targets!$D$73:$E$159,2,FALSE)</f>
        <v>I_Emobility</v>
      </c>
      <c r="AR784" s="233" t="str">
        <f>VLOOKUP(Table8[[#This Row],[Country Code]],Table29[],3,FALSE)</f>
        <v>Annex I</v>
      </c>
      <c r="AS784" s="233" t="str">
        <f>VLOOKUP(Table8[[#This Row],[Country Code]],Table29[],4,FALSE)</f>
        <v>Asia</v>
      </c>
      <c r="AT784" s="233" t="str">
        <f>VLOOKUP(Table8[[#This Row],[Country Code]],Table29[],5,FALSE)</f>
        <v>High-income</v>
      </c>
      <c r="AU784" s="233" t="str">
        <f>VLOOKUP(Table8[[#This Row],[Country Code]],Table29[],6,FALSE)</f>
        <v>no</v>
      </c>
      <c r="AV784" s="233" t="str">
        <f>VLOOKUP(Table8[[#This Row],[Country Code]],Table29[],7,FALSE)</f>
        <v>no</v>
      </c>
      <c r="AW784" s="233" t="str">
        <f>VLOOKUP(Table8[[#This Row],[Country Code]],Table29[],8,FALSE)</f>
        <v>non-OECD</v>
      </c>
      <c r="AX784" s="233" t="str">
        <f>VLOOKUP(Table8[[#This Row],[Country Code]],Table29[],9,FALSE)</f>
        <v>EU27</v>
      </c>
      <c r="AY784" s="233" t="str">
        <f>VLOOKUP(Table8[[#This Row],[Country Code]],Table29[],10,FALSE)</f>
        <v>no</v>
      </c>
      <c r="AZ784" s="235">
        <f>VLOOKUP(Table8[[#This Row],[Country Code]],Table29[],23,FALSE)</f>
        <v>10.324656394181</v>
      </c>
      <c r="BA784" s="235">
        <f>VLOOKUP(Table8[[#This Row],[Country Code]],Table29[],24,FALSE)</f>
        <v>1.897782414839597</v>
      </c>
      <c r="BB784" s="320"/>
      <c r="BC784" s="320"/>
    </row>
    <row r="785" spans="1:55" ht="75" hidden="1" x14ac:dyDescent="0.25">
      <c r="A785" s="373">
        <v>32497</v>
      </c>
      <c r="B785" s="233" t="str">
        <f>VLOOKUP(Table8[[#This Row],[Document ID]],Table1[],2,FALSE)</f>
        <v>CYP</v>
      </c>
      <c r="C785" s="233" t="str">
        <f>VLOOKUP(Table8[[#This Row],[Document ID]],Table1[],3,FALSE)</f>
        <v>Cyprus</v>
      </c>
      <c r="D785" s="243" t="str">
        <f>VLOOKUP(Table8[[#This Row],[Document ID]],Table1[],5,FALSE)</f>
        <v>LTS</v>
      </c>
      <c r="E785" s="233" t="str">
        <f>VLOOKUP(Table8[[#This Row],[Document ID]],Table1[],7,FALSE)</f>
        <v>EU-LTS</v>
      </c>
      <c r="F785" s="233" t="str">
        <f>VLOOKUP(Table8[[#This Row],[Document ID]],Table1[],8,FALSE)</f>
        <v>LTS 1.0</v>
      </c>
      <c r="G785" s="233" t="str">
        <f>VLOOKUP(Table8[[#This Row],[Document ID]],Table1[],10,FALSE)</f>
        <v>Active</v>
      </c>
      <c r="H785" s="43" t="s">
        <v>2358</v>
      </c>
      <c r="I785" s="43" t="s">
        <v>2359</v>
      </c>
      <c r="J785" s="44" t="s">
        <v>3094</v>
      </c>
      <c r="K785" s="44" t="s">
        <v>3095</v>
      </c>
      <c r="L785" s="44" t="s">
        <v>2333</v>
      </c>
      <c r="M785" s="43">
        <v>23</v>
      </c>
      <c r="N785" s="113" t="s">
        <v>1113</v>
      </c>
      <c r="O785" s="113"/>
      <c r="P785" s="113"/>
      <c r="Q785" s="113"/>
      <c r="R785" s="113"/>
      <c r="S785" s="113"/>
      <c r="T785" s="113"/>
      <c r="U785" s="113"/>
      <c r="V785" s="113"/>
      <c r="W785" s="113"/>
      <c r="X785" s="113"/>
      <c r="Y785" s="113"/>
      <c r="Z785" s="113"/>
      <c r="AA785" s="113"/>
      <c r="AB785" s="113"/>
      <c r="AC785" s="113"/>
      <c r="AD785" s="113"/>
      <c r="AE785" s="113"/>
      <c r="AF785" s="113"/>
      <c r="AG785" s="113"/>
      <c r="AH785" s="113"/>
      <c r="AI785" s="113"/>
      <c r="AJ785" s="113"/>
      <c r="AK785" s="113" t="s">
        <v>1113</v>
      </c>
      <c r="AL785" s="113"/>
      <c r="AM785" s="113"/>
      <c r="AN785" s="113"/>
      <c r="AO785" s="44" t="s">
        <v>2334</v>
      </c>
      <c r="AP785" s="43"/>
      <c r="AQ785" s="236" t="str">
        <f>VLOOKUP(Table8[[#This Row],[Instrument]],Def_Targets!$D$73:$E$159,2,FALSE)</f>
        <v>I_Smartcharging</v>
      </c>
      <c r="AR785" s="233" t="str">
        <f>VLOOKUP(Table8[[#This Row],[Country Code]],Table29[],3,FALSE)</f>
        <v>Annex I</v>
      </c>
      <c r="AS785" s="233" t="str">
        <f>VLOOKUP(Table8[[#This Row],[Country Code]],Table29[],4,FALSE)</f>
        <v>Asia</v>
      </c>
      <c r="AT785" s="233" t="str">
        <f>VLOOKUP(Table8[[#This Row],[Country Code]],Table29[],5,FALSE)</f>
        <v>High-income</v>
      </c>
      <c r="AU785" s="233" t="str">
        <f>VLOOKUP(Table8[[#This Row],[Country Code]],Table29[],6,FALSE)</f>
        <v>no</v>
      </c>
      <c r="AV785" s="233" t="str">
        <f>VLOOKUP(Table8[[#This Row],[Country Code]],Table29[],7,FALSE)</f>
        <v>no</v>
      </c>
      <c r="AW785" s="233" t="str">
        <f>VLOOKUP(Table8[[#This Row],[Country Code]],Table29[],8,FALSE)</f>
        <v>non-OECD</v>
      </c>
      <c r="AX785" s="233" t="str">
        <f>VLOOKUP(Table8[[#This Row],[Country Code]],Table29[],9,FALSE)</f>
        <v>EU27</v>
      </c>
      <c r="AY785" s="233" t="str">
        <f>VLOOKUP(Table8[[#This Row],[Country Code]],Table29[],10,FALSE)</f>
        <v>no</v>
      </c>
      <c r="AZ785" s="235">
        <f>VLOOKUP(Table8[[#This Row],[Country Code]],Table29[],23,FALSE)</f>
        <v>10.324656394181</v>
      </c>
      <c r="BA785" s="235">
        <f>VLOOKUP(Table8[[#This Row],[Country Code]],Table29[],24,FALSE)</f>
        <v>1.897782414839597</v>
      </c>
      <c r="BB785" s="320"/>
      <c r="BC785" s="320"/>
    </row>
    <row r="786" spans="1:55" ht="75" hidden="1" x14ac:dyDescent="0.25">
      <c r="A786" s="373">
        <v>32497</v>
      </c>
      <c r="B786" s="233" t="str">
        <f>VLOOKUP(Table8[[#This Row],[Document ID]],Table1[],2,FALSE)</f>
        <v>CYP</v>
      </c>
      <c r="C786" s="233" t="str">
        <f>VLOOKUP(Table8[[#This Row],[Document ID]],Table1[],3,FALSE)</f>
        <v>Cyprus</v>
      </c>
      <c r="D786" s="243" t="str">
        <f>VLOOKUP(Table8[[#This Row],[Document ID]],Table1[],5,FALSE)</f>
        <v>LTS</v>
      </c>
      <c r="E786" s="233" t="str">
        <f>VLOOKUP(Table8[[#This Row],[Document ID]],Table1[],7,FALSE)</f>
        <v>EU-LTS</v>
      </c>
      <c r="F786" s="233" t="str">
        <f>VLOOKUP(Table8[[#This Row],[Document ID]],Table1[],8,FALSE)</f>
        <v>LTS 1.0</v>
      </c>
      <c r="G786" s="233" t="str">
        <f>VLOOKUP(Table8[[#This Row],[Document ID]],Table1[],10,FALSE)</f>
        <v>Active</v>
      </c>
      <c r="H786" s="43" t="s">
        <v>2343</v>
      </c>
      <c r="I786" s="43" t="s">
        <v>2344</v>
      </c>
      <c r="J786" s="44" t="s">
        <v>2345</v>
      </c>
      <c r="K786" s="44" t="s">
        <v>3096</v>
      </c>
      <c r="L786" s="44" t="s">
        <v>2347</v>
      </c>
      <c r="M786" s="43">
        <v>23</v>
      </c>
      <c r="N786" s="113"/>
      <c r="O786" s="113"/>
      <c r="P786" s="113"/>
      <c r="Q786" s="113"/>
      <c r="R786" s="113"/>
      <c r="S786" s="113"/>
      <c r="T786" s="113"/>
      <c r="U786" s="113"/>
      <c r="V786" s="113"/>
      <c r="W786" s="113"/>
      <c r="X786" s="113"/>
      <c r="Y786" s="113" t="s">
        <v>1113</v>
      </c>
      <c r="Z786" s="113"/>
      <c r="AA786" s="113"/>
      <c r="AB786" s="113"/>
      <c r="AC786" s="113" t="s">
        <v>1113</v>
      </c>
      <c r="AD786" s="113"/>
      <c r="AE786" s="113"/>
      <c r="AF786" s="113"/>
      <c r="AG786" s="113"/>
      <c r="AH786" s="113"/>
      <c r="AI786" s="113"/>
      <c r="AJ786" s="113"/>
      <c r="AK786" s="113" t="s">
        <v>1113</v>
      </c>
      <c r="AL786" s="113"/>
      <c r="AM786" s="113"/>
      <c r="AN786" s="113"/>
      <c r="AO786" s="43" t="s">
        <v>2348</v>
      </c>
      <c r="AP786" s="43"/>
      <c r="AQ786" s="236" t="str">
        <f>VLOOKUP(Table8[[#This Row],[Instrument]],Def_Targets!$D$73:$E$159,2,FALSE)</f>
        <v>S_PublicTransport</v>
      </c>
      <c r="AR786" s="233" t="str">
        <f>VLOOKUP(Table8[[#This Row],[Country Code]],Table29[],3,FALSE)</f>
        <v>Annex I</v>
      </c>
      <c r="AS786" s="233" t="str">
        <f>VLOOKUP(Table8[[#This Row],[Country Code]],Table29[],4,FALSE)</f>
        <v>Asia</v>
      </c>
      <c r="AT786" s="233" t="str">
        <f>VLOOKUP(Table8[[#This Row],[Country Code]],Table29[],5,FALSE)</f>
        <v>High-income</v>
      </c>
      <c r="AU786" s="233" t="str">
        <f>VLOOKUP(Table8[[#This Row],[Country Code]],Table29[],6,FALSE)</f>
        <v>no</v>
      </c>
      <c r="AV786" s="233" t="str">
        <f>VLOOKUP(Table8[[#This Row],[Country Code]],Table29[],7,FALSE)</f>
        <v>no</v>
      </c>
      <c r="AW786" s="233" t="str">
        <f>VLOOKUP(Table8[[#This Row],[Country Code]],Table29[],8,FALSE)</f>
        <v>non-OECD</v>
      </c>
      <c r="AX786" s="233" t="str">
        <f>VLOOKUP(Table8[[#This Row],[Country Code]],Table29[],9,FALSE)</f>
        <v>EU27</v>
      </c>
      <c r="AY786" s="233" t="str">
        <f>VLOOKUP(Table8[[#This Row],[Country Code]],Table29[],10,FALSE)</f>
        <v>no</v>
      </c>
      <c r="AZ786" s="235">
        <f>VLOOKUP(Table8[[#This Row],[Country Code]],Table29[],23,FALSE)</f>
        <v>10.324656394181</v>
      </c>
      <c r="BA786" s="235">
        <f>VLOOKUP(Table8[[#This Row],[Country Code]],Table29[],24,FALSE)</f>
        <v>1.897782414839597</v>
      </c>
      <c r="BB786" s="320"/>
      <c r="BC786" s="320"/>
    </row>
    <row r="787" spans="1:55" ht="30" hidden="1" x14ac:dyDescent="0.25">
      <c r="A787" s="373">
        <v>32497</v>
      </c>
      <c r="B787" s="233" t="str">
        <f>VLOOKUP(Table8[[#This Row],[Document ID]],Table1[],2,FALSE)</f>
        <v>CYP</v>
      </c>
      <c r="C787" s="233" t="str">
        <f>VLOOKUP(Table8[[#This Row],[Document ID]],Table1[],3,FALSE)</f>
        <v>Cyprus</v>
      </c>
      <c r="D787" s="243" t="str">
        <f>VLOOKUP(Table8[[#This Row],[Document ID]],Table1[],5,FALSE)</f>
        <v>LTS</v>
      </c>
      <c r="E787" s="233" t="str">
        <f>VLOOKUP(Table8[[#This Row],[Document ID]],Table1[],7,FALSE)</f>
        <v>EU-LTS</v>
      </c>
      <c r="F787" s="233" t="str">
        <f>VLOOKUP(Table8[[#This Row],[Document ID]],Table1[],8,FALSE)</f>
        <v>LTS 1.0</v>
      </c>
      <c r="G787" s="233" t="str">
        <f>VLOOKUP(Table8[[#This Row],[Document ID]],Table1[],10,FALSE)</f>
        <v>Active</v>
      </c>
      <c r="H787" s="44" t="s">
        <v>2329</v>
      </c>
      <c r="I787" s="44" t="s">
        <v>2330</v>
      </c>
      <c r="J787" s="44" t="s">
        <v>2363</v>
      </c>
      <c r="K787" s="44" t="s">
        <v>3097</v>
      </c>
      <c r="L787" s="44" t="s">
        <v>2333</v>
      </c>
      <c r="M787" s="43">
        <v>24</v>
      </c>
      <c r="N787" s="113" t="s">
        <v>1113</v>
      </c>
      <c r="O787" s="113"/>
      <c r="P787" s="113"/>
      <c r="Q787" s="113"/>
      <c r="R787" s="113"/>
      <c r="S787" s="113"/>
      <c r="T787" s="113"/>
      <c r="U787" s="113"/>
      <c r="V787" s="113"/>
      <c r="W787" s="113"/>
      <c r="X787" s="113"/>
      <c r="Y787" s="113"/>
      <c r="Z787" s="113"/>
      <c r="AA787" s="113"/>
      <c r="AB787" s="113"/>
      <c r="AC787" s="113"/>
      <c r="AD787" s="113"/>
      <c r="AE787" s="113"/>
      <c r="AF787" s="113"/>
      <c r="AG787" s="113"/>
      <c r="AH787" s="113"/>
      <c r="AI787" s="113"/>
      <c r="AJ787" s="113"/>
      <c r="AK787" s="113" t="s">
        <v>1113</v>
      </c>
      <c r="AL787" s="113"/>
      <c r="AM787" s="113"/>
      <c r="AN787" s="113"/>
      <c r="AO787" s="44" t="s">
        <v>2334</v>
      </c>
      <c r="AP787" s="43"/>
      <c r="AQ787" s="236" t="str">
        <f>VLOOKUP(Table8[[#This Row],[Instrument]],Def_Targets!$D$73:$E$159,2,FALSE)</f>
        <v>I_LPGCNGLNG</v>
      </c>
      <c r="AR787" s="233" t="str">
        <f>VLOOKUP(Table8[[#This Row],[Country Code]],Table29[],3,FALSE)</f>
        <v>Annex I</v>
      </c>
      <c r="AS787" s="233" t="str">
        <f>VLOOKUP(Table8[[#This Row],[Country Code]],Table29[],4,FALSE)</f>
        <v>Asia</v>
      </c>
      <c r="AT787" s="233" t="str">
        <f>VLOOKUP(Table8[[#This Row],[Country Code]],Table29[],5,FALSE)</f>
        <v>High-income</v>
      </c>
      <c r="AU787" s="233" t="str">
        <f>VLOOKUP(Table8[[#This Row],[Country Code]],Table29[],6,FALSE)</f>
        <v>no</v>
      </c>
      <c r="AV787" s="233" t="str">
        <f>VLOOKUP(Table8[[#This Row],[Country Code]],Table29[],7,FALSE)</f>
        <v>no</v>
      </c>
      <c r="AW787" s="233" t="str">
        <f>VLOOKUP(Table8[[#This Row],[Country Code]],Table29[],8,FALSE)</f>
        <v>non-OECD</v>
      </c>
      <c r="AX787" s="233" t="str">
        <f>VLOOKUP(Table8[[#This Row],[Country Code]],Table29[],9,FALSE)</f>
        <v>EU27</v>
      </c>
      <c r="AY787" s="233" t="str">
        <f>VLOOKUP(Table8[[#This Row],[Country Code]],Table29[],10,FALSE)</f>
        <v>no</v>
      </c>
      <c r="AZ787" s="235">
        <f>VLOOKUP(Table8[[#This Row],[Country Code]],Table29[],23,FALSE)</f>
        <v>10.324656394181</v>
      </c>
      <c r="BA787" s="235">
        <f>VLOOKUP(Table8[[#This Row],[Country Code]],Table29[],24,FALSE)</f>
        <v>1.897782414839597</v>
      </c>
      <c r="BB787" s="320"/>
      <c r="BC787" s="320"/>
    </row>
    <row r="788" spans="1:55" hidden="1" x14ac:dyDescent="0.25">
      <c r="A788" s="373">
        <v>32497</v>
      </c>
      <c r="B788" s="233" t="str">
        <f>VLOOKUP(Table8[[#This Row],[Document ID]],Table1[],2,FALSE)</f>
        <v>CYP</v>
      </c>
      <c r="C788" s="233" t="str">
        <f>VLOOKUP(Table8[[#This Row],[Document ID]],Table1[],3,FALSE)</f>
        <v>Cyprus</v>
      </c>
      <c r="D788" s="243" t="str">
        <f>VLOOKUP(Table8[[#This Row],[Document ID]],Table1[],5,FALSE)</f>
        <v>LTS</v>
      </c>
      <c r="E788" s="233" t="str">
        <f>VLOOKUP(Table8[[#This Row],[Document ID]],Table1[],7,FALSE)</f>
        <v>EU-LTS</v>
      </c>
      <c r="F788" s="233" t="str">
        <f>VLOOKUP(Table8[[#This Row],[Document ID]],Table1[],8,FALSE)</f>
        <v>LTS 1.0</v>
      </c>
      <c r="G788" s="233" t="str">
        <f>VLOOKUP(Table8[[#This Row],[Document ID]],Table1[],10,FALSE)</f>
        <v>Active</v>
      </c>
      <c r="H788" s="43" t="s">
        <v>2343</v>
      </c>
      <c r="I788" s="43" t="s">
        <v>2386</v>
      </c>
      <c r="J788" s="44" t="s">
        <v>3055</v>
      </c>
      <c r="K788" s="209" t="s">
        <v>3098</v>
      </c>
      <c r="L788" s="44" t="s">
        <v>2380</v>
      </c>
      <c r="M788" s="43">
        <v>24</v>
      </c>
      <c r="N788" s="113" t="s">
        <v>1113</v>
      </c>
      <c r="O788" s="113"/>
      <c r="P788" s="113"/>
      <c r="Q788" s="113"/>
      <c r="R788" s="113"/>
      <c r="S788" s="113"/>
      <c r="T788" s="113"/>
      <c r="U788" s="113"/>
      <c r="V788" s="113"/>
      <c r="W788" s="113"/>
      <c r="X788" s="113"/>
      <c r="Y788" s="113"/>
      <c r="Z788" s="113"/>
      <c r="AA788" s="113"/>
      <c r="AB788" s="113"/>
      <c r="AC788" s="113"/>
      <c r="AD788" s="113"/>
      <c r="AE788" s="113"/>
      <c r="AF788" s="113"/>
      <c r="AG788" s="113"/>
      <c r="AH788" s="113"/>
      <c r="AI788" s="113"/>
      <c r="AJ788" s="113"/>
      <c r="AK788" s="113" t="s">
        <v>1113</v>
      </c>
      <c r="AL788" s="113"/>
      <c r="AM788" s="113"/>
      <c r="AN788" s="113"/>
      <c r="AO788" s="44" t="s">
        <v>2334</v>
      </c>
      <c r="AP788" s="43"/>
      <c r="AQ788" s="236" t="str">
        <f>VLOOKUP(Table8[[#This Row],[Instrument]],Def_Targets!$D$73:$E$159,2,FALSE)</f>
        <v>A_Emistrad</v>
      </c>
      <c r="AR788" s="233" t="str">
        <f>VLOOKUP(Table8[[#This Row],[Country Code]],Table29[],3,FALSE)</f>
        <v>Annex I</v>
      </c>
      <c r="AS788" s="233" t="str">
        <f>VLOOKUP(Table8[[#This Row],[Country Code]],Table29[],4,FALSE)</f>
        <v>Asia</v>
      </c>
      <c r="AT788" s="233" t="str">
        <f>VLOOKUP(Table8[[#This Row],[Country Code]],Table29[],5,FALSE)</f>
        <v>High-income</v>
      </c>
      <c r="AU788" s="233" t="str">
        <f>VLOOKUP(Table8[[#This Row],[Country Code]],Table29[],6,FALSE)</f>
        <v>no</v>
      </c>
      <c r="AV788" s="233" t="str">
        <f>VLOOKUP(Table8[[#This Row],[Country Code]],Table29[],7,FALSE)</f>
        <v>no</v>
      </c>
      <c r="AW788" s="233" t="str">
        <f>VLOOKUP(Table8[[#This Row],[Country Code]],Table29[],8,FALSE)</f>
        <v>non-OECD</v>
      </c>
      <c r="AX788" s="233" t="str">
        <f>VLOOKUP(Table8[[#This Row],[Country Code]],Table29[],9,FALSE)</f>
        <v>EU27</v>
      </c>
      <c r="AY788" s="233" t="str">
        <f>VLOOKUP(Table8[[#This Row],[Country Code]],Table29[],10,FALSE)</f>
        <v>no</v>
      </c>
      <c r="AZ788" s="235">
        <f>VLOOKUP(Table8[[#This Row],[Country Code]],Table29[],23,FALSE)</f>
        <v>10.324656394181</v>
      </c>
      <c r="BA788" s="235">
        <f>VLOOKUP(Table8[[#This Row],[Country Code]],Table29[],24,FALSE)</f>
        <v>1.897782414839597</v>
      </c>
      <c r="BB788" s="320"/>
      <c r="BC788" s="320"/>
    </row>
    <row r="789" spans="1:55" ht="45" hidden="1" x14ac:dyDescent="0.25">
      <c r="A789" s="373">
        <v>17570</v>
      </c>
      <c r="B789" s="233" t="str">
        <f>VLOOKUP(Table8[[#This Row],[Document ID]],Table1[],2,FALSE)</f>
        <v>CZE</v>
      </c>
      <c r="C789" s="233" t="str">
        <f>VLOOKUP(Table8[[#This Row],[Document ID]],Table1[],3,FALSE)</f>
        <v>Czech Republic</v>
      </c>
      <c r="D789" s="243" t="str">
        <f>VLOOKUP(Table8[[#This Row],[Document ID]],Table1[],5,FALSE)</f>
        <v>LTS</v>
      </c>
      <c r="E789" s="233" t="str">
        <f>VLOOKUP(Table8[[#This Row],[Document ID]],Table1[],7,FALSE)</f>
        <v>EU-LTS</v>
      </c>
      <c r="F789" s="233" t="str">
        <f>VLOOKUP(Table8[[#This Row],[Document ID]],Table1[],8,FALSE)</f>
        <v>LTS 1.0</v>
      </c>
      <c r="G789" s="233" t="str">
        <f>VLOOKUP(Table8[[#This Row],[Document ID]],Table1[],10,FALSE)</f>
        <v>Active</v>
      </c>
      <c r="H789" s="44" t="s">
        <v>2329</v>
      </c>
      <c r="I789" s="44" t="s">
        <v>2330</v>
      </c>
      <c r="J789" s="44" t="s">
        <v>2331</v>
      </c>
      <c r="K789" s="44" t="s">
        <v>3099</v>
      </c>
      <c r="L789" s="44" t="s">
        <v>2333</v>
      </c>
      <c r="M789" s="43">
        <v>11</v>
      </c>
      <c r="N789" s="113"/>
      <c r="O789" s="113"/>
      <c r="P789" s="113"/>
      <c r="Q789" s="113"/>
      <c r="R789" s="113"/>
      <c r="S789" s="113" t="s">
        <v>1113</v>
      </c>
      <c r="T789" s="113"/>
      <c r="U789" s="113"/>
      <c r="V789" s="113"/>
      <c r="W789" s="113"/>
      <c r="X789" s="113"/>
      <c r="Y789" s="113"/>
      <c r="Z789" s="113"/>
      <c r="AA789" s="113"/>
      <c r="AB789" s="113"/>
      <c r="AC789" s="113"/>
      <c r="AD789" s="113"/>
      <c r="AE789" s="113"/>
      <c r="AF789" s="113"/>
      <c r="AG789" s="113"/>
      <c r="AH789" s="113"/>
      <c r="AI789" s="113"/>
      <c r="AJ789" s="113"/>
      <c r="AK789" s="319" t="s">
        <v>1113</v>
      </c>
      <c r="AL789" s="113"/>
      <c r="AM789" s="113"/>
      <c r="AN789" s="113"/>
      <c r="AO789" s="44" t="s">
        <v>2334</v>
      </c>
      <c r="AP789" s="43"/>
      <c r="AQ789" s="236" t="str">
        <f>VLOOKUP(Table8[[#This Row],[Instrument]],Def_Targets!$D$73:$E$159,2,FALSE)</f>
        <v>I_Altfuels</v>
      </c>
      <c r="AR789" s="233" t="str">
        <f>VLOOKUP(Table8[[#This Row],[Country Code]],Table29[],3,FALSE)</f>
        <v>Annex I</v>
      </c>
      <c r="AS789" s="233" t="str">
        <f>VLOOKUP(Table8[[#This Row],[Country Code]],Table29[],4,FALSE)</f>
        <v>Europe</v>
      </c>
      <c r="AT789" s="233" t="str">
        <f>VLOOKUP(Table8[[#This Row],[Country Code]],Table29[],5,FALSE)</f>
        <v>High-income</v>
      </c>
      <c r="AU789" s="233" t="str">
        <f>VLOOKUP(Table8[[#This Row],[Country Code]],Table29[],6,FALSE)</f>
        <v>no</v>
      </c>
      <c r="AV789" s="233" t="str">
        <f>VLOOKUP(Table8[[#This Row],[Country Code]],Table29[],7,FALSE)</f>
        <v>no</v>
      </c>
      <c r="AW789" s="233" t="str">
        <f>VLOOKUP(Table8[[#This Row],[Country Code]],Table29[],8,FALSE)</f>
        <v>OECD</v>
      </c>
      <c r="AX789" s="233" t="str">
        <f>VLOOKUP(Table8[[#This Row],[Country Code]],Table29[],9,FALSE)</f>
        <v>EU27</v>
      </c>
      <c r="AY789" s="233" t="str">
        <f>VLOOKUP(Table8[[#This Row],[Country Code]],Table29[],10,FALSE)</f>
        <v>no</v>
      </c>
      <c r="AZ789" s="235">
        <f>VLOOKUP(Table8[[#This Row],[Country Code]],Table29[],23,FALSE)</f>
        <v>114.43841612935999</v>
      </c>
      <c r="BA789" s="235">
        <f>VLOOKUP(Table8[[#This Row],[Country Code]],Table29[],24,FALSE)</f>
        <v>19.612786549290181</v>
      </c>
      <c r="BB789" s="320"/>
      <c r="BC789" s="320"/>
    </row>
    <row r="790" spans="1:55" hidden="1" x14ac:dyDescent="0.25">
      <c r="A790" s="373">
        <v>17570</v>
      </c>
      <c r="B790" s="233" t="str">
        <f>VLOOKUP(Table8[[#This Row],[Document ID]],Table1[],2,FALSE)</f>
        <v>CZE</v>
      </c>
      <c r="C790" s="233" t="str">
        <f>VLOOKUP(Table8[[#This Row],[Document ID]],Table1[],3,FALSE)</f>
        <v>Czech Republic</v>
      </c>
      <c r="D790" s="243" t="str">
        <f>VLOOKUP(Table8[[#This Row],[Document ID]],Table1[],5,FALSE)</f>
        <v>LTS</v>
      </c>
      <c r="E790" s="233" t="str">
        <f>VLOOKUP(Table8[[#This Row],[Document ID]],Table1[],7,FALSE)</f>
        <v>EU-LTS</v>
      </c>
      <c r="F790" s="233" t="str">
        <f>VLOOKUP(Table8[[#This Row],[Document ID]],Table1[],8,FALSE)</f>
        <v>LTS 1.0</v>
      </c>
      <c r="G790" s="233" t="str">
        <f>VLOOKUP(Table8[[#This Row],[Document ID]],Table1[],10,FALSE)</f>
        <v>Active</v>
      </c>
      <c r="H790" s="43" t="s">
        <v>2358</v>
      </c>
      <c r="I790" s="43" t="s">
        <v>2359</v>
      </c>
      <c r="J790" s="44" t="s">
        <v>2360</v>
      </c>
      <c r="K790" s="44" t="s">
        <v>3100</v>
      </c>
      <c r="L790" s="44" t="s">
        <v>2333</v>
      </c>
      <c r="M790" s="43">
        <v>11</v>
      </c>
      <c r="N790" s="113"/>
      <c r="O790" s="113"/>
      <c r="P790" s="113"/>
      <c r="Q790" s="113"/>
      <c r="R790" s="113"/>
      <c r="S790" s="113"/>
      <c r="T790" s="113"/>
      <c r="U790" s="113"/>
      <c r="V790" s="113"/>
      <c r="W790" s="113"/>
      <c r="X790" s="113"/>
      <c r="Y790" s="113"/>
      <c r="Z790" s="113" t="s">
        <v>1113</v>
      </c>
      <c r="AA790" s="113"/>
      <c r="AB790" s="113"/>
      <c r="AC790" s="113"/>
      <c r="AD790" s="113"/>
      <c r="AE790" s="113"/>
      <c r="AF790" s="113"/>
      <c r="AG790" s="113"/>
      <c r="AH790" s="113"/>
      <c r="AI790" s="113"/>
      <c r="AJ790" s="113"/>
      <c r="AK790" s="319" t="s">
        <v>1113</v>
      </c>
      <c r="AL790" s="113"/>
      <c r="AM790" s="113"/>
      <c r="AN790" s="113"/>
      <c r="AO790" s="44" t="s">
        <v>2334</v>
      </c>
      <c r="AP790" s="43"/>
      <c r="AQ790" s="236" t="str">
        <f>VLOOKUP(Table8[[#This Row],[Instrument]],Def_Targets!$D$73:$E$159,2,FALSE)</f>
        <v>I_Emobility</v>
      </c>
      <c r="AR790" s="233" t="str">
        <f>VLOOKUP(Table8[[#This Row],[Country Code]],Table29[],3,FALSE)</f>
        <v>Annex I</v>
      </c>
      <c r="AS790" s="233" t="str">
        <f>VLOOKUP(Table8[[#This Row],[Country Code]],Table29[],4,FALSE)</f>
        <v>Europe</v>
      </c>
      <c r="AT790" s="233" t="str">
        <f>VLOOKUP(Table8[[#This Row],[Country Code]],Table29[],5,FALSE)</f>
        <v>High-income</v>
      </c>
      <c r="AU790" s="233" t="str">
        <f>VLOOKUP(Table8[[#This Row],[Country Code]],Table29[],6,FALSE)</f>
        <v>no</v>
      </c>
      <c r="AV790" s="233" t="str">
        <f>VLOOKUP(Table8[[#This Row],[Country Code]],Table29[],7,FALSE)</f>
        <v>no</v>
      </c>
      <c r="AW790" s="233" t="str">
        <f>VLOOKUP(Table8[[#This Row],[Country Code]],Table29[],8,FALSE)</f>
        <v>OECD</v>
      </c>
      <c r="AX790" s="233" t="str">
        <f>VLOOKUP(Table8[[#This Row],[Country Code]],Table29[],9,FALSE)</f>
        <v>EU27</v>
      </c>
      <c r="AY790" s="233" t="str">
        <f>VLOOKUP(Table8[[#This Row],[Country Code]],Table29[],10,FALSE)</f>
        <v>no</v>
      </c>
      <c r="AZ790" s="235">
        <f>VLOOKUP(Table8[[#This Row],[Country Code]],Table29[],23,FALSE)</f>
        <v>114.43841612935999</v>
      </c>
      <c r="BA790" s="235">
        <f>VLOOKUP(Table8[[#This Row],[Country Code]],Table29[],24,FALSE)</f>
        <v>19.612786549290181</v>
      </c>
      <c r="BB790" s="320"/>
      <c r="BC790" s="320"/>
    </row>
    <row r="791" spans="1:55" ht="30" hidden="1" x14ac:dyDescent="0.25">
      <c r="A791" s="373">
        <v>17570</v>
      </c>
      <c r="B791" s="233" t="str">
        <f>VLOOKUP(Table8[[#This Row],[Document ID]],Table1[],2,FALSE)</f>
        <v>CZE</v>
      </c>
      <c r="C791" s="233" t="str">
        <f>VLOOKUP(Table8[[#This Row],[Document ID]],Table1[],3,FALSE)</f>
        <v>Czech Republic</v>
      </c>
      <c r="D791" s="243" t="str">
        <f>VLOOKUP(Table8[[#This Row],[Document ID]],Table1[],5,FALSE)</f>
        <v>LTS</v>
      </c>
      <c r="E791" s="233" t="str">
        <f>VLOOKUP(Table8[[#This Row],[Document ID]],Table1[],7,FALSE)</f>
        <v>EU-LTS</v>
      </c>
      <c r="F791" s="233" t="str">
        <f>VLOOKUP(Table8[[#This Row],[Document ID]],Table1[],8,FALSE)</f>
        <v>LTS 1.0</v>
      </c>
      <c r="G791" s="233" t="str">
        <f>VLOOKUP(Table8[[#This Row],[Document ID]],Table1[],10,FALSE)</f>
        <v>Active</v>
      </c>
      <c r="H791" s="43" t="s">
        <v>2350</v>
      </c>
      <c r="I791" s="43" t="s">
        <v>2351</v>
      </c>
      <c r="J791" s="44" t="s">
        <v>2352</v>
      </c>
      <c r="K791" s="44" t="s">
        <v>3101</v>
      </c>
      <c r="L791" s="44" t="s">
        <v>2347</v>
      </c>
      <c r="M791" s="43">
        <v>11</v>
      </c>
      <c r="N791" s="113"/>
      <c r="O791" s="113"/>
      <c r="P791" s="113"/>
      <c r="Q791" s="113"/>
      <c r="R791" s="113"/>
      <c r="S791" s="113" t="s">
        <v>1113</v>
      </c>
      <c r="T791" s="113"/>
      <c r="U791" s="113"/>
      <c r="V791" s="113"/>
      <c r="W791" s="113"/>
      <c r="X791" s="113"/>
      <c r="Y791" s="113"/>
      <c r="Z791" s="113" t="s">
        <v>1113</v>
      </c>
      <c r="AA791" s="113"/>
      <c r="AB791" s="113"/>
      <c r="AC791" s="113"/>
      <c r="AD791" s="113" t="s">
        <v>1113</v>
      </c>
      <c r="AE791" s="113"/>
      <c r="AF791" s="113"/>
      <c r="AG791" s="113"/>
      <c r="AH791" s="113"/>
      <c r="AI791" s="113"/>
      <c r="AJ791" s="113"/>
      <c r="AK791" s="319" t="s">
        <v>1113</v>
      </c>
      <c r="AL791" s="113"/>
      <c r="AM791" s="113"/>
      <c r="AN791" s="113"/>
      <c r="AO791" s="43" t="s">
        <v>2353</v>
      </c>
      <c r="AP791" s="43"/>
      <c r="AQ791" s="236" t="str">
        <f>VLOOKUP(Table8[[#This Row],[Instrument]],Def_Targets!$D$73:$E$159,2,FALSE)</f>
        <v>S_Railfreight</v>
      </c>
      <c r="AR791" s="233" t="str">
        <f>VLOOKUP(Table8[[#This Row],[Country Code]],Table29[],3,FALSE)</f>
        <v>Annex I</v>
      </c>
      <c r="AS791" s="233" t="str">
        <f>VLOOKUP(Table8[[#This Row],[Country Code]],Table29[],4,FALSE)</f>
        <v>Europe</v>
      </c>
      <c r="AT791" s="233" t="str">
        <f>VLOOKUP(Table8[[#This Row],[Country Code]],Table29[],5,FALSE)</f>
        <v>High-income</v>
      </c>
      <c r="AU791" s="233" t="str">
        <f>VLOOKUP(Table8[[#This Row],[Country Code]],Table29[],6,FALSE)</f>
        <v>no</v>
      </c>
      <c r="AV791" s="233" t="str">
        <f>VLOOKUP(Table8[[#This Row],[Country Code]],Table29[],7,FALSE)</f>
        <v>no</v>
      </c>
      <c r="AW791" s="233" t="str">
        <f>VLOOKUP(Table8[[#This Row],[Country Code]],Table29[],8,FALSE)</f>
        <v>OECD</v>
      </c>
      <c r="AX791" s="233" t="str">
        <f>VLOOKUP(Table8[[#This Row],[Country Code]],Table29[],9,FALSE)</f>
        <v>EU27</v>
      </c>
      <c r="AY791" s="233" t="str">
        <f>VLOOKUP(Table8[[#This Row],[Country Code]],Table29[],10,FALSE)</f>
        <v>no</v>
      </c>
      <c r="AZ791" s="235">
        <f>VLOOKUP(Table8[[#This Row],[Country Code]],Table29[],23,FALSE)</f>
        <v>114.43841612935999</v>
      </c>
      <c r="BA791" s="235">
        <f>VLOOKUP(Table8[[#This Row],[Country Code]],Table29[],24,FALSE)</f>
        <v>19.612786549290181</v>
      </c>
      <c r="BB791" s="320"/>
      <c r="BC791" s="320"/>
    </row>
    <row r="792" spans="1:55" hidden="1" x14ac:dyDescent="0.25">
      <c r="A792" s="360">
        <v>17575</v>
      </c>
      <c r="B792" s="233" t="str">
        <f>VLOOKUP(Table8[[#This Row],[Document ID]],Table1[],2,FALSE)</f>
        <v>DNK</v>
      </c>
      <c r="C792" s="233" t="str">
        <f>VLOOKUP(Table8[[#This Row],[Document ID]],Table1[],3,FALSE)</f>
        <v>Denmark</v>
      </c>
      <c r="D792" s="233" t="str">
        <f>VLOOKUP(Table8[[#This Row],[Document ID]],Table1[],5,FALSE)</f>
        <v>LTS</v>
      </c>
      <c r="E792" s="233" t="str">
        <f>VLOOKUP(Table8[[#This Row],[Document ID]],Table1[],7,FALSE)</f>
        <v>LTS</v>
      </c>
      <c r="F792" s="233" t="str">
        <f>VLOOKUP(Table8[[#This Row],[Document ID]],Table1[],8,FALSE)</f>
        <v>LTS 1.0</v>
      </c>
      <c r="G792" s="233" t="str">
        <f>VLOOKUP(Table8[[#This Row],[Document ID]],Table1[],10,FALSE)</f>
        <v>Active</v>
      </c>
      <c r="H792" s="44" t="s">
        <v>2338</v>
      </c>
      <c r="I792" s="44" t="s">
        <v>2339</v>
      </c>
      <c r="J792" s="44" t="s">
        <v>2416</v>
      </c>
      <c r="K792" s="44" t="s">
        <v>3102</v>
      </c>
      <c r="L792" s="44" t="s">
        <v>2333</v>
      </c>
      <c r="M792" s="43">
        <v>18</v>
      </c>
      <c r="N792" s="113" t="s">
        <v>1113</v>
      </c>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319" t="s">
        <v>1113</v>
      </c>
      <c r="AL792" s="113"/>
      <c r="AM792" s="113"/>
      <c r="AN792" s="113"/>
      <c r="AO792" s="44" t="s">
        <v>2334</v>
      </c>
      <c r="AP792" s="43"/>
      <c r="AQ792" s="236" t="str">
        <f>VLOOKUP(Table8[[#This Row],[Instrument]],Def_Targets!$D$73:$E$159,2,FALSE)</f>
        <v>I_Vehiclescrappage</v>
      </c>
      <c r="AR792" s="233" t="str">
        <f>VLOOKUP(Table8[[#This Row],[Country Code]],Table29[],3,FALSE)</f>
        <v>Annex I</v>
      </c>
      <c r="AS792" s="233" t="str">
        <f>VLOOKUP(Table8[[#This Row],[Country Code]],Table29[],4,FALSE)</f>
        <v>Europe</v>
      </c>
      <c r="AT792" s="233" t="str">
        <f>VLOOKUP(Table8[[#This Row],[Country Code]],Table29[],5,FALSE)</f>
        <v>High-income</v>
      </c>
      <c r="AU792" s="233" t="str">
        <f>VLOOKUP(Table8[[#This Row],[Country Code]],Table29[],6,FALSE)</f>
        <v>no</v>
      </c>
      <c r="AV792" s="233" t="str">
        <f>VLOOKUP(Table8[[#This Row],[Country Code]],Table29[],7,FALSE)</f>
        <v>no</v>
      </c>
      <c r="AW792" s="233" t="str">
        <f>VLOOKUP(Table8[[#This Row],[Country Code]],Table29[],8,FALSE)</f>
        <v>OECD</v>
      </c>
      <c r="AX792" s="233" t="str">
        <f>VLOOKUP(Table8[[#This Row],[Country Code]],Table29[],9,FALSE)</f>
        <v>EU27</v>
      </c>
      <c r="AY792" s="233" t="str">
        <f>VLOOKUP(Table8[[#This Row],[Country Code]],Table29[],10,FALSE)</f>
        <v>no</v>
      </c>
      <c r="AZ792" s="235">
        <f>VLOOKUP(Table8[[#This Row],[Country Code]],Table29[],23,FALSE)</f>
        <v>41.831473036828001</v>
      </c>
      <c r="BA792" s="235">
        <f>VLOOKUP(Table8[[#This Row],[Country Code]],Table29[],24,FALSE)</f>
        <v>11.369548725375189</v>
      </c>
      <c r="BB792" s="320"/>
      <c r="BC792" s="320"/>
    </row>
    <row r="793" spans="1:55" hidden="1" x14ac:dyDescent="0.25">
      <c r="A793" s="360">
        <v>17575</v>
      </c>
      <c r="B793" s="233" t="str">
        <f>VLOOKUP(Table8[[#This Row],[Document ID]],Table1[],2,FALSE)</f>
        <v>DNK</v>
      </c>
      <c r="C793" s="233" t="str">
        <f>VLOOKUP(Table8[[#This Row],[Document ID]],Table1[],3,FALSE)</f>
        <v>Denmark</v>
      </c>
      <c r="D793" s="233" t="str">
        <f>VLOOKUP(Table8[[#This Row],[Document ID]],Table1[],5,FALSE)</f>
        <v>LTS</v>
      </c>
      <c r="E793" s="233" t="str">
        <f>VLOOKUP(Table8[[#This Row],[Document ID]],Table1[],7,FALSE)</f>
        <v>LTS</v>
      </c>
      <c r="F793" s="233" t="str">
        <f>VLOOKUP(Table8[[#This Row],[Document ID]],Table1[],8,FALSE)</f>
        <v>LTS 1.0</v>
      </c>
      <c r="G793" s="233" t="str">
        <f>VLOOKUP(Table8[[#This Row],[Document ID]],Table1[],10,FALSE)</f>
        <v>Active</v>
      </c>
      <c r="H793" s="43" t="s">
        <v>2350</v>
      </c>
      <c r="I793" s="43" t="s">
        <v>2407</v>
      </c>
      <c r="J793" s="44" t="s">
        <v>2408</v>
      </c>
      <c r="K793" s="44" t="s">
        <v>3103</v>
      </c>
      <c r="L793" s="44" t="s">
        <v>2333</v>
      </c>
      <c r="M793" s="43">
        <v>18</v>
      </c>
      <c r="N793" s="113" t="s">
        <v>1113</v>
      </c>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319" t="s">
        <v>1113</v>
      </c>
      <c r="AL793" s="113"/>
      <c r="AM793" s="113"/>
      <c r="AN793" s="113"/>
      <c r="AO793" s="44" t="s">
        <v>2334</v>
      </c>
      <c r="AP793" s="43"/>
      <c r="AQ793" s="236" t="str">
        <f>VLOOKUP(Table8[[#This Row],[Instrument]],Def_Targets!$D$73:$E$159,2,FALSE)</f>
        <v>I_Education</v>
      </c>
      <c r="AR793" s="233" t="str">
        <f>VLOOKUP(Table8[[#This Row],[Country Code]],Table29[],3,FALSE)</f>
        <v>Annex I</v>
      </c>
      <c r="AS793" s="233" t="str">
        <f>VLOOKUP(Table8[[#This Row],[Country Code]],Table29[],4,FALSE)</f>
        <v>Europe</v>
      </c>
      <c r="AT793" s="233" t="str">
        <f>VLOOKUP(Table8[[#This Row],[Country Code]],Table29[],5,FALSE)</f>
        <v>High-income</v>
      </c>
      <c r="AU793" s="233" t="str">
        <f>VLOOKUP(Table8[[#This Row],[Country Code]],Table29[],6,FALSE)</f>
        <v>no</v>
      </c>
      <c r="AV793" s="233" t="str">
        <f>VLOOKUP(Table8[[#This Row],[Country Code]],Table29[],7,FALSE)</f>
        <v>no</v>
      </c>
      <c r="AW793" s="233" t="str">
        <f>VLOOKUP(Table8[[#This Row],[Country Code]],Table29[],8,FALSE)</f>
        <v>OECD</v>
      </c>
      <c r="AX793" s="233" t="str">
        <f>VLOOKUP(Table8[[#This Row],[Country Code]],Table29[],9,FALSE)</f>
        <v>EU27</v>
      </c>
      <c r="AY793" s="233" t="str">
        <f>VLOOKUP(Table8[[#This Row],[Country Code]],Table29[],10,FALSE)</f>
        <v>no</v>
      </c>
      <c r="AZ793" s="235">
        <f>VLOOKUP(Table8[[#This Row],[Country Code]],Table29[],23,FALSE)</f>
        <v>41.831473036828001</v>
      </c>
      <c r="BA793" s="235">
        <f>VLOOKUP(Table8[[#This Row],[Country Code]],Table29[],24,FALSE)</f>
        <v>11.369548725375189</v>
      </c>
      <c r="BB793" s="320"/>
      <c r="BC793" s="320"/>
    </row>
    <row r="794" spans="1:55" ht="105" hidden="1" x14ac:dyDescent="0.25">
      <c r="A794" s="360">
        <v>17575</v>
      </c>
      <c r="B794" s="233" t="str">
        <f>VLOOKUP(Table8[[#This Row],[Document ID]],Table1[],2,FALSE)</f>
        <v>DNK</v>
      </c>
      <c r="C794" s="233" t="str">
        <f>VLOOKUP(Table8[[#This Row],[Document ID]],Table1[],3,FALSE)</f>
        <v>Denmark</v>
      </c>
      <c r="D794" s="233" t="str">
        <f>VLOOKUP(Table8[[#This Row],[Document ID]],Table1[],5,FALSE)</f>
        <v>LTS</v>
      </c>
      <c r="E794" s="233" t="str">
        <f>VLOOKUP(Table8[[#This Row],[Document ID]],Table1[],7,FALSE)</f>
        <v>LTS</v>
      </c>
      <c r="F794" s="233" t="str">
        <f>VLOOKUP(Table8[[#This Row],[Document ID]],Table1[],8,FALSE)</f>
        <v>LTS 1.0</v>
      </c>
      <c r="G794" s="233" t="str">
        <f>VLOOKUP(Table8[[#This Row],[Document ID]],Table1[],10,FALSE)</f>
        <v>Active</v>
      </c>
      <c r="H794" s="44" t="s">
        <v>2338</v>
      </c>
      <c r="I794" s="44" t="s">
        <v>2339</v>
      </c>
      <c r="J794" s="44" t="s">
        <v>2413</v>
      </c>
      <c r="K794" s="44" t="s">
        <v>3104</v>
      </c>
      <c r="L794" s="44" t="s">
        <v>2333</v>
      </c>
      <c r="M794" s="43">
        <v>18</v>
      </c>
      <c r="N794" s="113"/>
      <c r="O794" s="113"/>
      <c r="P794" s="113"/>
      <c r="Q794" s="113"/>
      <c r="R794" s="113"/>
      <c r="S794" s="113" t="s">
        <v>1113</v>
      </c>
      <c r="T794" s="113"/>
      <c r="U794" s="113" t="s">
        <v>1113</v>
      </c>
      <c r="V794" s="113"/>
      <c r="W794" s="113"/>
      <c r="X794" s="113" t="s">
        <v>1113</v>
      </c>
      <c r="Y794" s="113"/>
      <c r="Z794" s="113"/>
      <c r="AA794" s="113"/>
      <c r="AB794" s="113"/>
      <c r="AC794" s="113"/>
      <c r="AD794" s="113"/>
      <c r="AE794" s="113"/>
      <c r="AF794" s="113"/>
      <c r="AG794" s="113"/>
      <c r="AH794" s="113"/>
      <c r="AI794" s="113"/>
      <c r="AJ794" s="113"/>
      <c r="AK794" s="319" t="s">
        <v>1113</v>
      </c>
      <c r="AL794" s="113"/>
      <c r="AM794" s="113"/>
      <c r="AN794" s="113"/>
      <c r="AO794" s="44" t="s">
        <v>2334</v>
      </c>
      <c r="AP794" s="43"/>
      <c r="AQ794" s="236" t="str">
        <f>VLOOKUP(Table8[[#This Row],[Instrument]],Def_Targets!$D$73:$E$159,2,FALSE)</f>
        <v>I_Vehicleeff</v>
      </c>
      <c r="AR794" s="233" t="str">
        <f>VLOOKUP(Table8[[#This Row],[Country Code]],Table29[],3,FALSE)</f>
        <v>Annex I</v>
      </c>
      <c r="AS794" s="233" t="str">
        <f>VLOOKUP(Table8[[#This Row],[Country Code]],Table29[],4,FALSE)</f>
        <v>Europe</v>
      </c>
      <c r="AT794" s="233" t="str">
        <f>VLOOKUP(Table8[[#This Row],[Country Code]],Table29[],5,FALSE)</f>
        <v>High-income</v>
      </c>
      <c r="AU794" s="233" t="str">
        <f>VLOOKUP(Table8[[#This Row],[Country Code]],Table29[],6,FALSE)</f>
        <v>no</v>
      </c>
      <c r="AV794" s="233" t="str">
        <f>VLOOKUP(Table8[[#This Row],[Country Code]],Table29[],7,FALSE)</f>
        <v>no</v>
      </c>
      <c r="AW794" s="233" t="str">
        <f>VLOOKUP(Table8[[#This Row],[Country Code]],Table29[],8,FALSE)</f>
        <v>OECD</v>
      </c>
      <c r="AX794" s="233" t="str">
        <f>VLOOKUP(Table8[[#This Row],[Country Code]],Table29[],9,FALSE)</f>
        <v>EU27</v>
      </c>
      <c r="AY794" s="233" t="str">
        <f>VLOOKUP(Table8[[#This Row],[Country Code]],Table29[],10,FALSE)</f>
        <v>no</v>
      </c>
      <c r="AZ794" s="235">
        <f>VLOOKUP(Table8[[#This Row],[Country Code]],Table29[],23,FALSE)</f>
        <v>41.831473036828001</v>
      </c>
      <c r="BA794" s="235">
        <f>VLOOKUP(Table8[[#This Row],[Country Code]],Table29[],24,FALSE)</f>
        <v>11.369548725375189</v>
      </c>
      <c r="BB794" s="320"/>
      <c r="BC794" s="320"/>
    </row>
    <row r="795" spans="1:55" hidden="1" x14ac:dyDescent="0.25">
      <c r="A795" s="360">
        <v>17575</v>
      </c>
      <c r="B795" s="233" t="str">
        <f>VLOOKUP(Table8[[#This Row],[Document ID]],Table1[],2,FALSE)</f>
        <v>DNK</v>
      </c>
      <c r="C795" s="233" t="str">
        <f>VLOOKUP(Table8[[#This Row],[Document ID]],Table1[],3,FALSE)</f>
        <v>Denmark</v>
      </c>
      <c r="D795" s="233" t="str">
        <f>VLOOKUP(Table8[[#This Row],[Document ID]],Table1[],5,FALSE)</f>
        <v>LTS</v>
      </c>
      <c r="E795" s="233" t="str">
        <f>VLOOKUP(Table8[[#This Row],[Document ID]],Table1[],7,FALSE)</f>
        <v>LTS</v>
      </c>
      <c r="F795" s="233" t="str">
        <f>VLOOKUP(Table8[[#This Row],[Document ID]],Table1[],8,FALSE)</f>
        <v>LTS 1.0</v>
      </c>
      <c r="G795" s="233" t="str">
        <f>VLOOKUP(Table8[[#This Row],[Document ID]],Table1[],10,FALSE)</f>
        <v>Active</v>
      </c>
      <c r="H795" s="44" t="s">
        <v>2338</v>
      </c>
      <c r="I795" s="44" t="s">
        <v>2339</v>
      </c>
      <c r="J795" s="44" t="s">
        <v>2340</v>
      </c>
      <c r="K795" s="44" t="s">
        <v>3105</v>
      </c>
      <c r="L795" s="44" t="s">
        <v>2333</v>
      </c>
      <c r="M795" s="43">
        <v>18</v>
      </c>
      <c r="N795" s="113" t="s">
        <v>1113</v>
      </c>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319" t="s">
        <v>1113</v>
      </c>
      <c r="AL795" s="113"/>
      <c r="AM795" s="113"/>
      <c r="AN795" s="113"/>
      <c r="AO795" s="44" t="s">
        <v>2334</v>
      </c>
      <c r="AP795" s="43"/>
      <c r="AQ795" s="236" t="str">
        <f>VLOOKUP(Table8[[#This Row],[Instrument]],Def_Targets!$D$73:$E$159,2,FALSE)</f>
        <v>I_Vehicleimprove</v>
      </c>
      <c r="AR795" s="233" t="str">
        <f>VLOOKUP(Table8[[#This Row],[Country Code]],Table29[],3,FALSE)</f>
        <v>Annex I</v>
      </c>
      <c r="AS795" s="233" t="str">
        <f>VLOOKUP(Table8[[#This Row],[Country Code]],Table29[],4,FALSE)</f>
        <v>Europe</v>
      </c>
      <c r="AT795" s="233" t="str">
        <f>VLOOKUP(Table8[[#This Row],[Country Code]],Table29[],5,FALSE)</f>
        <v>High-income</v>
      </c>
      <c r="AU795" s="233" t="str">
        <f>VLOOKUP(Table8[[#This Row],[Country Code]],Table29[],6,FALSE)</f>
        <v>no</v>
      </c>
      <c r="AV795" s="233" t="str">
        <f>VLOOKUP(Table8[[#This Row],[Country Code]],Table29[],7,FALSE)</f>
        <v>no</v>
      </c>
      <c r="AW795" s="233" t="str">
        <f>VLOOKUP(Table8[[#This Row],[Country Code]],Table29[],8,FALSE)</f>
        <v>OECD</v>
      </c>
      <c r="AX795" s="233" t="str">
        <f>VLOOKUP(Table8[[#This Row],[Country Code]],Table29[],9,FALSE)</f>
        <v>EU27</v>
      </c>
      <c r="AY795" s="233" t="str">
        <f>VLOOKUP(Table8[[#This Row],[Country Code]],Table29[],10,FALSE)</f>
        <v>no</v>
      </c>
      <c r="AZ795" s="235">
        <f>VLOOKUP(Table8[[#This Row],[Country Code]],Table29[],23,FALSE)</f>
        <v>41.831473036828001</v>
      </c>
      <c r="BA795" s="235">
        <f>VLOOKUP(Table8[[#This Row],[Country Code]],Table29[],24,FALSE)</f>
        <v>11.369548725375189</v>
      </c>
      <c r="BB795" s="320"/>
      <c r="BC795" s="320"/>
    </row>
    <row r="796" spans="1:55" hidden="1" x14ac:dyDescent="0.25">
      <c r="A796" s="360">
        <v>17575</v>
      </c>
      <c r="B796" s="233" t="str">
        <f>VLOOKUP(Table8[[#This Row],[Document ID]],Table1[],2,FALSE)</f>
        <v>DNK</v>
      </c>
      <c r="C796" s="233" t="str">
        <f>VLOOKUP(Table8[[#This Row],[Document ID]],Table1[],3,FALSE)</f>
        <v>Denmark</v>
      </c>
      <c r="D796" s="233" t="str">
        <f>VLOOKUP(Table8[[#This Row],[Document ID]],Table1[],5,FALSE)</f>
        <v>LTS</v>
      </c>
      <c r="E796" s="233" t="str">
        <f>VLOOKUP(Table8[[#This Row],[Document ID]],Table1[],7,FALSE)</f>
        <v>LTS</v>
      </c>
      <c r="F796" s="233" t="str">
        <f>VLOOKUP(Table8[[#This Row],[Document ID]],Table1[],8,FALSE)</f>
        <v>LTS 1.0</v>
      </c>
      <c r="G796" s="233" t="str">
        <f>VLOOKUP(Table8[[#This Row],[Document ID]],Table1[],10,FALSE)</f>
        <v>Active</v>
      </c>
      <c r="H796" s="44" t="s">
        <v>2329</v>
      </c>
      <c r="I796" s="44" t="s">
        <v>2330</v>
      </c>
      <c r="J796" s="44" t="s">
        <v>2357</v>
      </c>
      <c r="K796" s="44" t="s">
        <v>3106</v>
      </c>
      <c r="L796" s="44" t="s">
        <v>2333</v>
      </c>
      <c r="M796" s="43">
        <v>5</v>
      </c>
      <c r="N796" s="113" t="s">
        <v>1113</v>
      </c>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319" t="s">
        <v>1113</v>
      </c>
      <c r="AL796" s="113"/>
      <c r="AM796" s="113"/>
      <c r="AN796" s="113"/>
      <c r="AO796" s="44" t="s">
        <v>2334</v>
      </c>
      <c r="AP796" s="43"/>
      <c r="AQ796" s="236" t="str">
        <f>VLOOKUP(Table8[[#This Row],[Instrument]],Def_Targets!$D$73:$E$159,2,FALSE)</f>
        <v>I_Biofuel</v>
      </c>
      <c r="AR796" s="233" t="str">
        <f>VLOOKUP(Table8[[#This Row],[Country Code]],Table29[],3,FALSE)</f>
        <v>Annex I</v>
      </c>
      <c r="AS796" s="233" t="str">
        <f>VLOOKUP(Table8[[#This Row],[Country Code]],Table29[],4,FALSE)</f>
        <v>Europe</v>
      </c>
      <c r="AT796" s="233" t="str">
        <f>VLOOKUP(Table8[[#This Row],[Country Code]],Table29[],5,FALSE)</f>
        <v>High-income</v>
      </c>
      <c r="AU796" s="233" t="str">
        <f>VLOOKUP(Table8[[#This Row],[Country Code]],Table29[],6,FALSE)</f>
        <v>no</v>
      </c>
      <c r="AV796" s="233" t="str">
        <f>VLOOKUP(Table8[[#This Row],[Country Code]],Table29[],7,FALSE)</f>
        <v>no</v>
      </c>
      <c r="AW796" s="233" t="str">
        <f>VLOOKUP(Table8[[#This Row],[Country Code]],Table29[],8,FALSE)</f>
        <v>OECD</v>
      </c>
      <c r="AX796" s="233" t="str">
        <f>VLOOKUP(Table8[[#This Row],[Country Code]],Table29[],9,FALSE)</f>
        <v>EU27</v>
      </c>
      <c r="AY796" s="233" t="str">
        <f>VLOOKUP(Table8[[#This Row],[Country Code]],Table29[],10,FALSE)</f>
        <v>no</v>
      </c>
      <c r="AZ796" s="235">
        <f>VLOOKUP(Table8[[#This Row],[Country Code]],Table29[],23,FALSE)</f>
        <v>41.831473036828001</v>
      </c>
      <c r="BA796" s="235">
        <f>VLOOKUP(Table8[[#This Row],[Country Code]],Table29[],24,FALSE)</f>
        <v>11.369548725375189</v>
      </c>
      <c r="BB796" s="320"/>
      <c r="BC796" s="320"/>
    </row>
    <row r="797" spans="1:55" hidden="1" x14ac:dyDescent="0.25">
      <c r="A797" s="360">
        <v>17575</v>
      </c>
      <c r="B797" s="233" t="str">
        <f>VLOOKUP(Table8[[#This Row],[Document ID]],Table1[],2,FALSE)</f>
        <v>DNK</v>
      </c>
      <c r="C797" s="233" t="str">
        <f>VLOOKUP(Table8[[#This Row],[Document ID]],Table1[],3,FALSE)</f>
        <v>Denmark</v>
      </c>
      <c r="D797" s="233" t="str">
        <f>VLOOKUP(Table8[[#This Row],[Document ID]],Table1[],5,FALSE)</f>
        <v>LTS</v>
      </c>
      <c r="E797" s="233" t="str">
        <f>VLOOKUP(Table8[[#This Row],[Document ID]],Table1[],7,FALSE)</f>
        <v>LTS</v>
      </c>
      <c r="F797" s="233" t="str">
        <f>VLOOKUP(Table8[[#This Row],[Document ID]],Table1[],8,FALSE)</f>
        <v>LTS 1.0</v>
      </c>
      <c r="G797" s="233" t="str">
        <f>VLOOKUP(Table8[[#This Row],[Document ID]],Table1[],10,FALSE)</f>
        <v>Active</v>
      </c>
      <c r="H797" s="43" t="s">
        <v>2343</v>
      </c>
      <c r="I797" s="43" t="s">
        <v>2386</v>
      </c>
      <c r="J797" s="44" t="s">
        <v>2530</v>
      </c>
      <c r="K797" s="44" t="s">
        <v>3107</v>
      </c>
      <c r="L797" s="44" t="s">
        <v>2333</v>
      </c>
      <c r="M797" s="43">
        <v>5</v>
      </c>
      <c r="N797" s="113"/>
      <c r="O797" s="113"/>
      <c r="P797" s="113"/>
      <c r="Q797" s="113"/>
      <c r="R797" s="113"/>
      <c r="S797" s="113"/>
      <c r="T797" s="113"/>
      <c r="U797" s="113" t="s">
        <v>1113</v>
      </c>
      <c r="V797" s="113"/>
      <c r="W797" s="113"/>
      <c r="X797" s="113" t="s">
        <v>1113</v>
      </c>
      <c r="Y797" s="113"/>
      <c r="Z797" s="113"/>
      <c r="AA797" s="113"/>
      <c r="AB797" s="113"/>
      <c r="AC797" s="113"/>
      <c r="AD797" s="113"/>
      <c r="AE797" s="113"/>
      <c r="AF797" s="113"/>
      <c r="AG797" s="113"/>
      <c r="AH797" s="113"/>
      <c r="AI797" s="113"/>
      <c r="AJ797" s="113"/>
      <c r="AK797" s="319" t="s">
        <v>1113</v>
      </c>
      <c r="AL797" s="113"/>
      <c r="AM797" s="113"/>
      <c r="AN797" s="113"/>
      <c r="AO797" s="44" t="s">
        <v>2334</v>
      </c>
      <c r="AP797" s="43"/>
      <c r="AQ797" s="236" t="str">
        <f>VLOOKUP(Table8[[#This Row],[Instrument]],Def_Targets!$D$73:$E$159,2,FALSE)</f>
        <v>A_Vehicletax</v>
      </c>
      <c r="AR797" s="233" t="str">
        <f>VLOOKUP(Table8[[#This Row],[Country Code]],Table29[],3,FALSE)</f>
        <v>Annex I</v>
      </c>
      <c r="AS797" s="233" t="str">
        <f>VLOOKUP(Table8[[#This Row],[Country Code]],Table29[],4,FALSE)</f>
        <v>Europe</v>
      </c>
      <c r="AT797" s="233" t="str">
        <f>VLOOKUP(Table8[[#This Row],[Country Code]],Table29[],5,FALSE)</f>
        <v>High-income</v>
      </c>
      <c r="AU797" s="233" t="str">
        <f>VLOOKUP(Table8[[#This Row],[Country Code]],Table29[],6,FALSE)</f>
        <v>no</v>
      </c>
      <c r="AV797" s="233" t="str">
        <f>VLOOKUP(Table8[[#This Row],[Country Code]],Table29[],7,FALSE)</f>
        <v>no</v>
      </c>
      <c r="AW797" s="233" t="str">
        <f>VLOOKUP(Table8[[#This Row],[Country Code]],Table29[],8,FALSE)</f>
        <v>OECD</v>
      </c>
      <c r="AX797" s="233" t="str">
        <f>VLOOKUP(Table8[[#This Row],[Country Code]],Table29[],9,FALSE)</f>
        <v>EU27</v>
      </c>
      <c r="AY797" s="233" t="str">
        <f>VLOOKUP(Table8[[#This Row],[Country Code]],Table29[],10,FALSE)</f>
        <v>no</v>
      </c>
      <c r="AZ797" s="235">
        <f>VLOOKUP(Table8[[#This Row],[Country Code]],Table29[],23,FALSE)</f>
        <v>41.831473036828001</v>
      </c>
      <c r="BA797" s="235">
        <f>VLOOKUP(Table8[[#This Row],[Country Code]],Table29[],24,FALSE)</f>
        <v>11.369548725375189</v>
      </c>
      <c r="BB797" s="320"/>
      <c r="BC797" s="320"/>
    </row>
    <row r="798" spans="1:55" hidden="1" x14ac:dyDescent="0.25">
      <c r="A798" s="360">
        <v>17575</v>
      </c>
      <c r="B798" s="233" t="str">
        <f>VLOOKUP(Table8[[#This Row],[Document ID]],Table1[],2,FALSE)</f>
        <v>DNK</v>
      </c>
      <c r="C798" s="233" t="str">
        <f>VLOOKUP(Table8[[#This Row],[Document ID]],Table1[],3,FALSE)</f>
        <v>Denmark</v>
      </c>
      <c r="D798" s="233" t="str">
        <f>VLOOKUP(Table8[[#This Row],[Document ID]],Table1[],5,FALSE)</f>
        <v>LTS</v>
      </c>
      <c r="E798" s="233" t="str">
        <f>VLOOKUP(Table8[[#This Row],[Document ID]],Table1[],7,FALSE)</f>
        <v>LTS</v>
      </c>
      <c r="F798" s="233" t="str">
        <f>VLOOKUP(Table8[[#This Row],[Document ID]],Table1[],8,FALSE)</f>
        <v>LTS 1.0</v>
      </c>
      <c r="G798" s="233" t="str">
        <f>VLOOKUP(Table8[[#This Row],[Document ID]],Table1[],10,FALSE)</f>
        <v>Active</v>
      </c>
      <c r="H798" s="44" t="s">
        <v>2329</v>
      </c>
      <c r="I798" s="44" t="s">
        <v>2330</v>
      </c>
      <c r="J798" s="44" t="s">
        <v>2381</v>
      </c>
      <c r="K798" s="44" t="s">
        <v>3108</v>
      </c>
      <c r="L798" s="44" t="s">
        <v>2333</v>
      </c>
      <c r="M798" s="43">
        <v>5</v>
      </c>
      <c r="N798" s="113" t="s">
        <v>1113</v>
      </c>
      <c r="O798" s="113"/>
      <c r="P798" s="113"/>
      <c r="Q798" s="113"/>
      <c r="R798" s="113"/>
      <c r="S798" s="113"/>
      <c r="T798" s="113"/>
      <c r="U798" s="113"/>
      <c r="V798" s="113"/>
      <c r="W798" s="113"/>
      <c r="X798" s="113"/>
      <c r="Y798" s="113"/>
      <c r="Z798" s="113"/>
      <c r="AA798" s="113"/>
      <c r="AB798" s="113"/>
      <c r="AC798" s="113"/>
      <c r="AD798" s="113"/>
      <c r="AE798" s="113"/>
      <c r="AF798" s="113"/>
      <c r="AG798" s="113"/>
      <c r="AH798" s="113"/>
      <c r="AI798" s="113"/>
      <c r="AJ798" s="113"/>
      <c r="AK798" s="319" t="s">
        <v>1113</v>
      </c>
      <c r="AL798" s="113"/>
      <c r="AM798" s="113"/>
      <c r="AN798" s="113"/>
      <c r="AO798" s="44" t="s">
        <v>2334</v>
      </c>
      <c r="AP798" s="43"/>
      <c r="AQ798" s="236" t="str">
        <f>VLOOKUP(Table8[[#This Row],[Instrument]],Def_Targets!$D$73:$E$159,2,FALSE)</f>
        <v>I_RE</v>
      </c>
      <c r="AR798" s="233" t="str">
        <f>VLOOKUP(Table8[[#This Row],[Country Code]],Table29[],3,FALSE)</f>
        <v>Annex I</v>
      </c>
      <c r="AS798" s="233" t="str">
        <f>VLOOKUP(Table8[[#This Row],[Country Code]],Table29[],4,FALSE)</f>
        <v>Europe</v>
      </c>
      <c r="AT798" s="233" t="str">
        <f>VLOOKUP(Table8[[#This Row],[Country Code]],Table29[],5,FALSE)</f>
        <v>High-income</v>
      </c>
      <c r="AU798" s="233" t="str">
        <f>VLOOKUP(Table8[[#This Row],[Country Code]],Table29[],6,FALSE)</f>
        <v>no</v>
      </c>
      <c r="AV798" s="233" t="str">
        <f>VLOOKUP(Table8[[#This Row],[Country Code]],Table29[],7,FALSE)</f>
        <v>no</v>
      </c>
      <c r="AW798" s="233" t="str">
        <f>VLOOKUP(Table8[[#This Row],[Country Code]],Table29[],8,FALSE)</f>
        <v>OECD</v>
      </c>
      <c r="AX798" s="233" t="str">
        <f>VLOOKUP(Table8[[#This Row],[Country Code]],Table29[],9,FALSE)</f>
        <v>EU27</v>
      </c>
      <c r="AY798" s="233" t="str">
        <f>VLOOKUP(Table8[[#This Row],[Country Code]],Table29[],10,FALSE)</f>
        <v>no</v>
      </c>
      <c r="AZ798" s="235">
        <f>VLOOKUP(Table8[[#This Row],[Country Code]],Table29[],23,FALSE)</f>
        <v>41.831473036828001</v>
      </c>
      <c r="BA798" s="235">
        <f>VLOOKUP(Table8[[#This Row],[Country Code]],Table29[],24,FALSE)</f>
        <v>11.369548725375189</v>
      </c>
      <c r="BB798" s="320"/>
      <c r="BC798" s="320"/>
    </row>
    <row r="799" spans="1:55" ht="45" hidden="1" x14ac:dyDescent="0.25">
      <c r="A799" s="360">
        <v>17575</v>
      </c>
      <c r="B799" s="233" t="str">
        <f>VLOOKUP(Table8[[#This Row],[Document ID]],Table1[],2,FALSE)</f>
        <v>DNK</v>
      </c>
      <c r="C799" s="233" t="str">
        <f>VLOOKUP(Table8[[#This Row],[Document ID]],Table1[],3,FALSE)</f>
        <v>Denmark</v>
      </c>
      <c r="D799" s="233" t="str">
        <f>VLOOKUP(Table8[[#This Row],[Document ID]],Table1[],5,FALSE)</f>
        <v>LTS</v>
      </c>
      <c r="E799" s="233" t="str">
        <f>VLOOKUP(Table8[[#This Row],[Document ID]],Table1[],7,FALSE)</f>
        <v>LTS</v>
      </c>
      <c r="F799" s="233" t="str">
        <f>VLOOKUP(Table8[[#This Row],[Document ID]],Table1[],8,FALSE)</f>
        <v>LTS 1.0</v>
      </c>
      <c r="G799" s="233" t="str">
        <f>VLOOKUP(Table8[[#This Row],[Document ID]],Table1[],10,FALSE)</f>
        <v>Active</v>
      </c>
      <c r="H799" s="43" t="s">
        <v>2343</v>
      </c>
      <c r="I799" s="43" t="s">
        <v>2386</v>
      </c>
      <c r="J799" s="44" t="s">
        <v>2530</v>
      </c>
      <c r="K799" s="44" t="s">
        <v>3109</v>
      </c>
      <c r="L799" s="44" t="s">
        <v>2333</v>
      </c>
      <c r="M799" s="43">
        <v>5</v>
      </c>
      <c r="N799" s="113"/>
      <c r="O799" s="113"/>
      <c r="P799" s="113"/>
      <c r="Q799" s="113"/>
      <c r="R799" s="113"/>
      <c r="S799" s="113"/>
      <c r="T799" s="113"/>
      <c r="U799" s="113" t="s">
        <v>1113</v>
      </c>
      <c r="V799" s="113"/>
      <c r="W799" s="113"/>
      <c r="X799" s="113" t="s">
        <v>1113</v>
      </c>
      <c r="Y799" s="113"/>
      <c r="Z799" s="113"/>
      <c r="AA799" s="113"/>
      <c r="AB799" s="113"/>
      <c r="AC799" s="113"/>
      <c r="AD799" s="113"/>
      <c r="AE799" s="113"/>
      <c r="AF799" s="113"/>
      <c r="AG799" s="113"/>
      <c r="AH799" s="113"/>
      <c r="AI799" s="113"/>
      <c r="AJ799" s="113"/>
      <c r="AK799" s="319" t="s">
        <v>1113</v>
      </c>
      <c r="AL799" s="113"/>
      <c r="AM799" s="113"/>
      <c r="AN799" s="113"/>
      <c r="AO799" s="44" t="s">
        <v>2334</v>
      </c>
      <c r="AP799" s="43"/>
      <c r="AQ799" s="236" t="str">
        <f>VLOOKUP(Table8[[#This Row],[Instrument]],Def_Targets!$D$73:$E$159,2,FALSE)</f>
        <v>A_Vehicletax</v>
      </c>
      <c r="AR799" s="233" t="str">
        <f>VLOOKUP(Table8[[#This Row],[Country Code]],Table29[],3,FALSE)</f>
        <v>Annex I</v>
      </c>
      <c r="AS799" s="233" t="str">
        <f>VLOOKUP(Table8[[#This Row],[Country Code]],Table29[],4,FALSE)</f>
        <v>Europe</v>
      </c>
      <c r="AT799" s="233" t="str">
        <f>VLOOKUP(Table8[[#This Row],[Country Code]],Table29[],5,FALSE)</f>
        <v>High-income</v>
      </c>
      <c r="AU799" s="233" t="str">
        <f>VLOOKUP(Table8[[#This Row],[Country Code]],Table29[],6,FALSE)</f>
        <v>no</v>
      </c>
      <c r="AV799" s="233" t="str">
        <f>VLOOKUP(Table8[[#This Row],[Country Code]],Table29[],7,FALSE)</f>
        <v>no</v>
      </c>
      <c r="AW799" s="233" t="str">
        <f>VLOOKUP(Table8[[#This Row],[Country Code]],Table29[],8,FALSE)</f>
        <v>OECD</v>
      </c>
      <c r="AX799" s="233" t="str">
        <f>VLOOKUP(Table8[[#This Row],[Country Code]],Table29[],9,FALSE)</f>
        <v>EU27</v>
      </c>
      <c r="AY799" s="233" t="str">
        <f>VLOOKUP(Table8[[#This Row],[Country Code]],Table29[],10,FALSE)</f>
        <v>no</v>
      </c>
      <c r="AZ799" s="235">
        <f>VLOOKUP(Table8[[#This Row],[Country Code]],Table29[],23,FALSE)</f>
        <v>41.831473036828001</v>
      </c>
      <c r="BA799" s="235">
        <f>VLOOKUP(Table8[[#This Row],[Country Code]],Table29[],24,FALSE)</f>
        <v>11.369548725375189</v>
      </c>
      <c r="BB799" s="320"/>
      <c r="BC799" s="320"/>
    </row>
    <row r="800" spans="1:55" ht="60" hidden="1" x14ac:dyDescent="0.25">
      <c r="A800" s="360">
        <v>17575</v>
      </c>
      <c r="B800" s="233" t="str">
        <f>VLOOKUP(Table8[[#This Row],[Document ID]],Table1[],2,FALSE)</f>
        <v>DNK</v>
      </c>
      <c r="C800" s="233" t="str">
        <f>VLOOKUP(Table8[[#This Row],[Document ID]],Table1[],3,FALSE)</f>
        <v>Denmark</v>
      </c>
      <c r="D800" s="233" t="str">
        <f>VLOOKUP(Table8[[#This Row],[Document ID]],Table1[],5,FALSE)</f>
        <v>LTS</v>
      </c>
      <c r="E800" s="233" t="str">
        <f>VLOOKUP(Table8[[#This Row],[Document ID]],Table1[],7,FALSE)</f>
        <v>LTS</v>
      </c>
      <c r="F800" s="233" t="str">
        <f>VLOOKUP(Table8[[#This Row],[Document ID]],Table1[],8,FALSE)</f>
        <v>LTS 1.0</v>
      </c>
      <c r="G800" s="233" t="str">
        <f>VLOOKUP(Table8[[#This Row],[Document ID]],Table1[],10,FALSE)</f>
        <v>Active</v>
      </c>
      <c r="H800" s="43" t="s">
        <v>2343</v>
      </c>
      <c r="I800" s="43" t="s">
        <v>2386</v>
      </c>
      <c r="J800" s="44" t="s">
        <v>2569</v>
      </c>
      <c r="K800" s="44" t="s">
        <v>3110</v>
      </c>
      <c r="L800" s="44" t="s">
        <v>2396</v>
      </c>
      <c r="M800" s="43">
        <v>5</v>
      </c>
      <c r="N800" s="113"/>
      <c r="O800" s="113"/>
      <c r="P800" s="113"/>
      <c r="Q800" s="113"/>
      <c r="R800" s="113"/>
      <c r="S800" s="113"/>
      <c r="T800" s="113"/>
      <c r="U800" s="113"/>
      <c r="V800" s="113"/>
      <c r="W800" s="113"/>
      <c r="X800" s="113" t="s">
        <v>1113</v>
      </c>
      <c r="Y800" s="113"/>
      <c r="Z800" s="113"/>
      <c r="AA800" s="113"/>
      <c r="AB800" s="113"/>
      <c r="AC800" s="113"/>
      <c r="AD800" s="113"/>
      <c r="AE800" s="113"/>
      <c r="AF800" s="113"/>
      <c r="AG800" s="113"/>
      <c r="AH800" s="113"/>
      <c r="AI800" s="113"/>
      <c r="AJ800" s="113"/>
      <c r="AK800" s="319" t="s">
        <v>1113</v>
      </c>
      <c r="AL800" s="113"/>
      <c r="AM800" s="113"/>
      <c r="AN800" s="113"/>
      <c r="AO800" s="43" t="s">
        <v>2353</v>
      </c>
      <c r="AP800" s="43"/>
      <c r="AQ800" s="236" t="str">
        <f>VLOOKUP(Table8[[#This Row],[Instrument]],Def_Targets!$D$73:$E$159,2,FALSE)</f>
        <v>A_Roadcharging</v>
      </c>
      <c r="AR800" s="233" t="str">
        <f>VLOOKUP(Table8[[#This Row],[Country Code]],Table29[],3,FALSE)</f>
        <v>Annex I</v>
      </c>
      <c r="AS800" s="233" t="str">
        <f>VLOOKUP(Table8[[#This Row],[Country Code]],Table29[],4,FALSE)</f>
        <v>Europe</v>
      </c>
      <c r="AT800" s="233" t="str">
        <f>VLOOKUP(Table8[[#This Row],[Country Code]],Table29[],5,FALSE)</f>
        <v>High-income</v>
      </c>
      <c r="AU800" s="233" t="str">
        <f>VLOOKUP(Table8[[#This Row],[Country Code]],Table29[],6,FALSE)</f>
        <v>no</v>
      </c>
      <c r="AV800" s="233" t="str">
        <f>VLOOKUP(Table8[[#This Row],[Country Code]],Table29[],7,FALSE)</f>
        <v>no</v>
      </c>
      <c r="AW800" s="233" t="str">
        <f>VLOOKUP(Table8[[#This Row],[Country Code]],Table29[],8,FALSE)</f>
        <v>OECD</v>
      </c>
      <c r="AX800" s="233" t="str">
        <f>VLOOKUP(Table8[[#This Row],[Country Code]],Table29[],9,FALSE)</f>
        <v>EU27</v>
      </c>
      <c r="AY800" s="233" t="str">
        <f>VLOOKUP(Table8[[#This Row],[Country Code]],Table29[],10,FALSE)</f>
        <v>no</v>
      </c>
      <c r="AZ800" s="235">
        <f>VLOOKUP(Table8[[#This Row],[Country Code]],Table29[],23,FALSE)</f>
        <v>41.831473036828001</v>
      </c>
      <c r="BA800" s="235">
        <f>VLOOKUP(Table8[[#This Row],[Country Code]],Table29[],24,FALSE)</f>
        <v>11.369548725375189</v>
      </c>
      <c r="BB800" s="320"/>
      <c r="BC800" s="320"/>
    </row>
    <row r="801" spans="1:55" hidden="1" x14ac:dyDescent="0.25">
      <c r="A801" s="360">
        <v>17575</v>
      </c>
      <c r="B801" s="233" t="str">
        <f>VLOOKUP(Table8[[#This Row],[Document ID]],Table1[],2,FALSE)</f>
        <v>DNK</v>
      </c>
      <c r="C801" s="233" t="str">
        <f>VLOOKUP(Table8[[#This Row],[Document ID]],Table1[],3,FALSE)</f>
        <v>Denmark</v>
      </c>
      <c r="D801" s="233" t="str">
        <f>VLOOKUP(Table8[[#This Row],[Document ID]],Table1[],5,FALSE)</f>
        <v>LTS</v>
      </c>
      <c r="E801" s="233" t="str">
        <f>VLOOKUP(Table8[[#This Row],[Document ID]],Table1[],7,FALSE)</f>
        <v>LTS</v>
      </c>
      <c r="F801" s="233" t="str">
        <f>VLOOKUP(Table8[[#This Row],[Document ID]],Table1[],8,FALSE)</f>
        <v>LTS 1.0</v>
      </c>
      <c r="G801" s="233" t="str">
        <f>VLOOKUP(Table8[[#This Row],[Document ID]],Table1[],10,FALSE)</f>
        <v>Active</v>
      </c>
      <c r="H801" s="44" t="s">
        <v>2329</v>
      </c>
      <c r="I801" s="44" t="s">
        <v>2330</v>
      </c>
      <c r="J801" s="44" t="s">
        <v>2331</v>
      </c>
      <c r="K801" s="44" t="s">
        <v>3111</v>
      </c>
      <c r="L801" s="44" t="s">
        <v>2333</v>
      </c>
      <c r="M801" s="43">
        <v>18</v>
      </c>
      <c r="N801" s="113" t="s">
        <v>1113</v>
      </c>
      <c r="O801" s="113"/>
      <c r="P801" s="113"/>
      <c r="Q801" s="113"/>
      <c r="R801" s="113"/>
      <c r="S801" s="113"/>
      <c r="T801" s="113"/>
      <c r="U801" s="113"/>
      <c r="V801" s="113"/>
      <c r="W801" s="113"/>
      <c r="X801" s="113"/>
      <c r="Y801" s="113"/>
      <c r="Z801" s="113"/>
      <c r="AA801" s="113"/>
      <c r="AB801" s="113"/>
      <c r="AC801" s="113"/>
      <c r="AD801" s="113"/>
      <c r="AE801" s="113"/>
      <c r="AF801" s="113"/>
      <c r="AG801" s="113"/>
      <c r="AH801" s="113"/>
      <c r="AI801" s="113"/>
      <c r="AJ801" s="113"/>
      <c r="AK801" s="319" t="s">
        <v>1113</v>
      </c>
      <c r="AL801" s="113"/>
      <c r="AM801" s="113"/>
      <c r="AN801" s="113"/>
      <c r="AO801" s="44" t="s">
        <v>2334</v>
      </c>
      <c r="AP801" s="43"/>
      <c r="AQ801" s="236" t="str">
        <f>VLOOKUP(Table8[[#This Row],[Instrument]],Def_Targets!$D$73:$E$159,2,FALSE)</f>
        <v>I_Altfuels</v>
      </c>
      <c r="AR801" s="233" t="str">
        <f>VLOOKUP(Table8[[#This Row],[Country Code]],Table29[],3,FALSE)</f>
        <v>Annex I</v>
      </c>
      <c r="AS801" s="233" t="str">
        <f>VLOOKUP(Table8[[#This Row],[Country Code]],Table29[],4,FALSE)</f>
        <v>Europe</v>
      </c>
      <c r="AT801" s="233" t="str">
        <f>VLOOKUP(Table8[[#This Row],[Country Code]],Table29[],5,FALSE)</f>
        <v>High-income</v>
      </c>
      <c r="AU801" s="233" t="str">
        <f>VLOOKUP(Table8[[#This Row],[Country Code]],Table29[],6,FALSE)</f>
        <v>no</v>
      </c>
      <c r="AV801" s="233" t="str">
        <f>VLOOKUP(Table8[[#This Row],[Country Code]],Table29[],7,FALSE)</f>
        <v>no</v>
      </c>
      <c r="AW801" s="233" t="str">
        <f>VLOOKUP(Table8[[#This Row],[Country Code]],Table29[],8,FALSE)</f>
        <v>OECD</v>
      </c>
      <c r="AX801" s="233" t="str">
        <f>VLOOKUP(Table8[[#This Row],[Country Code]],Table29[],9,FALSE)</f>
        <v>EU27</v>
      </c>
      <c r="AY801" s="233" t="str">
        <f>VLOOKUP(Table8[[#This Row],[Country Code]],Table29[],10,FALSE)</f>
        <v>no</v>
      </c>
      <c r="AZ801" s="235">
        <f>VLOOKUP(Table8[[#This Row],[Country Code]],Table29[],23,FALSE)</f>
        <v>41.831473036828001</v>
      </c>
      <c r="BA801" s="235">
        <f>VLOOKUP(Table8[[#This Row],[Country Code]],Table29[],24,FALSE)</f>
        <v>11.369548725375189</v>
      </c>
      <c r="BB801" s="320"/>
      <c r="BC801" s="320"/>
    </row>
    <row r="802" spans="1:55" ht="45" hidden="1" x14ac:dyDescent="0.25">
      <c r="A802" s="360">
        <v>17575</v>
      </c>
      <c r="B802" s="233" t="str">
        <f>VLOOKUP(Table8[[#This Row],[Document ID]],Table1[],2,FALSE)</f>
        <v>DNK</v>
      </c>
      <c r="C802" s="233" t="str">
        <f>VLOOKUP(Table8[[#This Row],[Document ID]],Table1[],3,FALSE)</f>
        <v>Denmark</v>
      </c>
      <c r="D802" s="233" t="str">
        <f>VLOOKUP(Table8[[#This Row],[Document ID]],Table1[],5,FALSE)</f>
        <v>LTS</v>
      </c>
      <c r="E802" s="233" t="str">
        <f>VLOOKUP(Table8[[#This Row],[Document ID]],Table1[],7,FALSE)</f>
        <v>LTS</v>
      </c>
      <c r="F802" s="233" t="str">
        <f>VLOOKUP(Table8[[#This Row],[Document ID]],Table1[],8,FALSE)</f>
        <v>LTS 1.0</v>
      </c>
      <c r="G802" s="233" t="str">
        <f>VLOOKUP(Table8[[#This Row],[Document ID]],Table1[],10,FALSE)</f>
        <v>Active</v>
      </c>
      <c r="H802" s="44" t="s">
        <v>2329</v>
      </c>
      <c r="I802" s="44" t="s">
        <v>2330</v>
      </c>
      <c r="J802" s="44" t="s">
        <v>2357</v>
      </c>
      <c r="K802" s="44" t="s">
        <v>3112</v>
      </c>
      <c r="L802" s="44" t="s">
        <v>2333</v>
      </c>
      <c r="M802" s="43">
        <v>18</v>
      </c>
      <c r="N802" s="113" t="s">
        <v>1113</v>
      </c>
      <c r="O802" s="113"/>
      <c r="P802" s="113"/>
      <c r="Q802" s="113"/>
      <c r="R802" s="113"/>
      <c r="S802" s="113"/>
      <c r="T802" s="113"/>
      <c r="U802" s="113"/>
      <c r="V802" s="113"/>
      <c r="W802" s="113"/>
      <c r="X802" s="113"/>
      <c r="Y802" s="113"/>
      <c r="Z802" s="113"/>
      <c r="AA802" s="113"/>
      <c r="AB802" s="113"/>
      <c r="AC802" s="113"/>
      <c r="AD802" s="113"/>
      <c r="AE802" s="113"/>
      <c r="AF802" s="113"/>
      <c r="AG802" s="113"/>
      <c r="AH802" s="113"/>
      <c r="AI802" s="113"/>
      <c r="AJ802" s="113"/>
      <c r="AK802" s="319" t="s">
        <v>1113</v>
      </c>
      <c r="AL802" s="113"/>
      <c r="AM802" s="113"/>
      <c r="AN802" s="113"/>
      <c r="AO802" s="44" t="s">
        <v>2334</v>
      </c>
      <c r="AP802" s="43"/>
      <c r="AQ802" s="236" t="str">
        <f>VLOOKUP(Table8[[#This Row],[Instrument]],Def_Targets!$D$73:$E$159,2,FALSE)</f>
        <v>I_Biofuel</v>
      </c>
      <c r="AR802" s="233" t="str">
        <f>VLOOKUP(Table8[[#This Row],[Country Code]],Table29[],3,FALSE)</f>
        <v>Annex I</v>
      </c>
      <c r="AS802" s="233" t="str">
        <f>VLOOKUP(Table8[[#This Row],[Country Code]],Table29[],4,FALSE)</f>
        <v>Europe</v>
      </c>
      <c r="AT802" s="233" t="str">
        <f>VLOOKUP(Table8[[#This Row],[Country Code]],Table29[],5,FALSE)</f>
        <v>High-income</v>
      </c>
      <c r="AU802" s="233" t="str">
        <f>VLOOKUP(Table8[[#This Row],[Country Code]],Table29[],6,FALSE)</f>
        <v>no</v>
      </c>
      <c r="AV802" s="233" t="str">
        <f>VLOOKUP(Table8[[#This Row],[Country Code]],Table29[],7,FALSE)</f>
        <v>no</v>
      </c>
      <c r="AW802" s="233" t="str">
        <f>VLOOKUP(Table8[[#This Row],[Country Code]],Table29[],8,FALSE)</f>
        <v>OECD</v>
      </c>
      <c r="AX802" s="233" t="str">
        <f>VLOOKUP(Table8[[#This Row],[Country Code]],Table29[],9,FALSE)</f>
        <v>EU27</v>
      </c>
      <c r="AY802" s="233" t="str">
        <f>VLOOKUP(Table8[[#This Row],[Country Code]],Table29[],10,FALSE)</f>
        <v>no</v>
      </c>
      <c r="AZ802" s="235">
        <f>VLOOKUP(Table8[[#This Row],[Country Code]],Table29[],23,FALSE)</f>
        <v>41.831473036828001</v>
      </c>
      <c r="BA802" s="235">
        <f>VLOOKUP(Table8[[#This Row],[Country Code]],Table29[],24,FALSE)</f>
        <v>11.369548725375189</v>
      </c>
      <c r="BB802" s="320"/>
      <c r="BC802" s="320"/>
    </row>
    <row r="803" spans="1:55" ht="45" hidden="1" x14ac:dyDescent="0.25">
      <c r="A803" s="373">
        <v>17575</v>
      </c>
      <c r="B803" s="233" t="str">
        <f>VLOOKUP(Table8[[#This Row],[Document ID]],Table1[],2,FALSE)</f>
        <v>DNK</v>
      </c>
      <c r="C803" s="233" t="str">
        <f>VLOOKUP(Table8[[#This Row],[Document ID]],Table1[],3,FALSE)</f>
        <v>Denmark</v>
      </c>
      <c r="D803" s="243" t="str">
        <f>VLOOKUP(Table8[[#This Row],[Document ID]],Table1[],5,FALSE)</f>
        <v>LTS</v>
      </c>
      <c r="E803" s="233" t="str">
        <f>VLOOKUP(Table8[[#This Row],[Document ID]],Table1[],7,FALSE)</f>
        <v>LTS</v>
      </c>
      <c r="F803" s="233" t="str">
        <f>VLOOKUP(Table8[[#This Row],[Document ID]],Table1[],8,FALSE)</f>
        <v>LTS 1.0</v>
      </c>
      <c r="G803" s="233" t="str">
        <f>VLOOKUP(Table8[[#This Row],[Document ID]],Table1[],10,FALSE)</f>
        <v>Active</v>
      </c>
      <c r="H803" s="43" t="s">
        <v>2343</v>
      </c>
      <c r="I803" s="43" t="s">
        <v>2386</v>
      </c>
      <c r="J803" s="44" t="s">
        <v>3055</v>
      </c>
      <c r="K803" s="44" t="s">
        <v>3113</v>
      </c>
      <c r="L803" s="44" t="s">
        <v>2373</v>
      </c>
      <c r="M803" s="43">
        <v>27</v>
      </c>
      <c r="N803" s="113" t="s">
        <v>1113</v>
      </c>
      <c r="O803" s="113"/>
      <c r="P803" s="113"/>
      <c r="Q803" s="113"/>
      <c r="R803" s="113"/>
      <c r="S803" s="113"/>
      <c r="T803" s="113"/>
      <c r="U803" s="113"/>
      <c r="V803" s="113"/>
      <c r="W803" s="113"/>
      <c r="X803" s="113"/>
      <c r="Y803" s="113"/>
      <c r="Z803" s="113"/>
      <c r="AA803" s="113"/>
      <c r="AB803" s="113"/>
      <c r="AC803" s="113"/>
      <c r="AD803" s="113"/>
      <c r="AE803" s="113"/>
      <c r="AF803" s="113"/>
      <c r="AG803" s="113"/>
      <c r="AH803" s="113"/>
      <c r="AI803" s="113"/>
      <c r="AJ803" s="113"/>
      <c r="AK803" s="319" t="s">
        <v>1113</v>
      </c>
      <c r="AL803" s="113"/>
      <c r="AM803" s="113"/>
      <c r="AN803" s="113"/>
      <c r="AO803" s="44" t="s">
        <v>2334</v>
      </c>
      <c r="AP803" s="43"/>
      <c r="AQ803" s="236" t="str">
        <f>VLOOKUP(Table8[[#This Row],[Instrument]],Def_Targets!$D$73:$E$159,2,FALSE)</f>
        <v>A_Emistrad</v>
      </c>
      <c r="AR803" s="233" t="str">
        <f>VLOOKUP(Table8[[#This Row],[Country Code]],Table29[],3,FALSE)</f>
        <v>Annex I</v>
      </c>
      <c r="AS803" s="233" t="str">
        <f>VLOOKUP(Table8[[#This Row],[Country Code]],Table29[],4,FALSE)</f>
        <v>Europe</v>
      </c>
      <c r="AT803" s="233" t="str">
        <f>VLOOKUP(Table8[[#This Row],[Country Code]],Table29[],5,FALSE)</f>
        <v>High-income</v>
      </c>
      <c r="AU803" s="233" t="str">
        <f>VLOOKUP(Table8[[#This Row],[Country Code]],Table29[],6,FALSE)</f>
        <v>no</v>
      </c>
      <c r="AV803" s="233" t="str">
        <f>VLOOKUP(Table8[[#This Row],[Country Code]],Table29[],7,FALSE)</f>
        <v>no</v>
      </c>
      <c r="AW803" s="233" t="str">
        <f>VLOOKUP(Table8[[#This Row],[Country Code]],Table29[],8,FALSE)</f>
        <v>OECD</v>
      </c>
      <c r="AX803" s="233" t="str">
        <f>VLOOKUP(Table8[[#This Row],[Country Code]],Table29[],9,FALSE)</f>
        <v>EU27</v>
      </c>
      <c r="AY803" s="233" t="str">
        <f>VLOOKUP(Table8[[#This Row],[Country Code]],Table29[],10,FALSE)</f>
        <v>no</v>
      </c>
      <c r="AZ803" s="235">
        <f>VLOOKUP(Table8[[#This Row],[Country Code]],Table29[],23,FALSE)</f>
        <v>41.831473036828001</v>
      </c>
      <c r="BA803" s="235">
        <f>VLOOKUP(Table8[[#This Row],[Country Code]],Table29[],24,FALSE)</f>
        <v>11.369548725375189</v>
      </c>
      <c r="BB803" s="320"/>
      <c r="BC803" s="320"/>
    </row>
    <row r="804" spans="1:55" ht="60" hidden="1" x14ac:dyDescent="0.25">
      <c r="A804" s="373">
        <v>17575</v>
      </c>
      <c r="B804" s="233" t="str">
        <f>VLOOKUP(Table8[[#This Row],[Document ID]],Table1[],2,FALSE)</f>
        <v>DNK</v>
      </c>
      <c r="C804" s="233" t="str">
        <f>VLOOKUP(Table8[[#This Row],[Document ID]],Table1[],3,FALSE)</f>
        <v>Denmark</v>
      </c>
      <c r="D804" s="243" t="str">
        <f>VLOOKUP(Table8[[#This Row],[Document ID]],Table1[],5,FALSE)</f>
        <v>LTS</v>
      </c>
      <c r="E804" s="233" t="str">
        <f>VLOOKUP(Table8[[#This Row],[Document ID]],Table1[],7,FALSE)</f>
        <v>LTS</v>
      </c>
      <c r="F804" s="233" t="str">
        <f>VLOOKUP(Table8[[#This Row],[Document ID]],Table1[],8,FALSE)</f>
        <v>LTS 1.0</v>
      </c>
      <c r="G804" s="233" t="str">
        <f>VLOOKUP(Table8[[#This Row],[Document ID]],Table1[],10,FALSE)</f>
        <v>Active</v>
      </c>
      <c r="H804" s="44" t="s">
        <v>2329</v>
      </c>
      <c r="I804" s="44" t="s">
        <v>2330</v>
      </c>
      <c r="J804" s="44" t="s">
        <v>2381</v>
      </c>
      <c r="K804" s="44" t="s">
        <v>3114</v>
      </c>
      <c r="L804" s="44" t="s">
        <v>2333</v>
      </c>
      <c r="M804" s="43">
        <v>24</v>
      </c>
      <c r="N804" s="113" t="s">
        <v>1113</v>
      </c>
      <c r="O804" s="113"/>
      <c r="P804" s="113"/>
      <c r="Q804" s="113"/>
      <c r="R804" s="113"/>
      <c r="S804" s="113"/>
      <c r="T804" s="113"/>
      <c r="U804" s="113"/>
      <c r="V804" s="113"/>
      <c r="W804" s="113"/>
      <c r="X804" s="113"/>
      <c r="Y804" s="113"/>
      <c r="Z804" s="113"/>
      <c r="AA804" s="113"/>
      <c r="AB804" s="113"/>
      <c r="AC804" s="113"/>
      <c r="AD804" s="113"/>
      <c r="AE804" s="113"/>
      <c r="AF804" s="113"/>
      <c r="AG804" s="113"/>
      <c r="AH804" s="113"/>
      <c r="AI804" s="113"/>
      <c r="AJ804" s="113"/>
      <c r="AK804" s="319" t="s">
        <v>1113</v>
      </c>
      <c r="AL804" s="113"/>
      <c r="AM804" s="113"/>
      <c r="AN804" s="113"/>
      <c r="AO804" s="44" t="s">
        <v>2334</v>
      </c>
      <c r="AP804" s="43"/>
      <c r="AQ804" s="236" t="str">
        <f>VLOOKUP(Table8[[#This Row],[Instrument]],Def_Targets!$D$73:$E$159,2,FALSE)</f>
        <v>I_RE</v>
      </c>
      <c r="AR804" s="233" t="str">
        <f>VLOOKUP(Table8[[#This Row],[Country Code]],Table29[],3,FALSE)</f>
        <v>Annex I</v>
      </c>
      <c r="AS804" s="233" t="str">
        <f>VLOOKUP(Table8[[#This Row],[Country Code]],Table29[],4,FALSE)</f>
        <v>Europe</v>
      </c>
      <c r="AT804" s="233" t="str">
        <f>VLOOKUP(Table8[[#This Row],[Country Code]],Table29[],5,FALSE)</f>
        <v>High-income</v>
      </c>
      <c r="AU804" s="233" t="str">
        <f>VLOOKUP(Table8[[#This Row],[Country Code]],Table29[],6,FALSE)</f>
        <v>no</v>
      </c>
      <c r="AV804" s="233" t="str">
        <f>VLOOKUP(Table8[[#This Row],[Country Code]],Table29[],7,FALSE)</f>
        <v>no</v>
      </c>
      <c r="AW804" s="233" t="str">
        <f>VLOOKUP(Table8[[#This Row],[Country Code]],Table29[],8,FALSE)</f>
        <v>OECD</v>
      </c>
      <c r="AX804" s="233" t="str">
        <f>VLOOKUP(Table8[[#This Row],[Country Code]],Table29[],9,FALSE)</f>
        <v>EU27</v>
      </c>
      <c r="AY804" s="233" t="str">
        <f>VLOOKUP(Table8[[#This Row],[Country Code]],Table29[],10,FALSE)</f>
        <v>no</v>
      </c>
      <c r="AZ804" s="235">
        <f>VLOOKUP(Table8[[#This Row],[Country Code]],Table29[],23,FALSE)</f>
        <v>41.831473036828001</v>
      </c>
      <c r="BA804" s="235">
        <f>VLOOKUP(Table8[[#This Row],[Country Code]],Table29[],24,FALSE)</f>
        <v>11.369548725375189</v>
      </c>
      <c r="BB804" s="320"/>
      <c r="BC804" s="320"/>
    </row>
    <row r="805" spans="1:55" ht="60" hidden="1" x14ac:dyDescent="0.25">
      <c r="A805" s="373">
        <v>17575</v>
      </c>
      <c r="B805" s="233" t="str">
        <f>VLOOKUP(Table8[[#This Row],[Document ID]],Table1[],2,FALSE)</f>
        <v>DNK</v>
      </c>
      <c r="C805" s="233" t="str">
        <f>VLOOKUP(Table8[[#This Row],[Document ID]],Table1[],3,FALSE)</f>
        <v>Denmark</v>
      </c>
      <c r="D805" s="243" t="str">
        <f>VLOOKUP(Table8[[#This Row],[Document ID]],Table1[],5,FALSE)</f>
        <v>LTS</v>
      </c>
      <c r="E805" s="233" t="str">
        <f>VLOOKUP(Table8[[#This Row],[Document ID]],Table1[],7,FALSE)</f>
        <v>LTS</v>
      </c>
      <c r="F805" s="233" t="str">
        <f>VLOOKUP(Table8[[#This Row],[Document ID]],Table1[],8,FALSE)</f>
        <v>LTS 1.0</v>
      </c>
      <c r="G805" s="233" t="str">
        <f>VLOOKUP(Table8[[#This Row],[Document ID]],Table1[],10,FALSE)</f>
        <v>Active</v>
      </c>
      <c r="H805" s="44" t="s">
        <v>2329</v>
      </c>
      <c r="I805" s="44" t="s">
        <v>2330</v>
      </c>
      <c r="J805" s="44" t="s">
        <v>2391</v>
      </c>
      <c r="K805" s="44" t="s">
        <v>3115</v>
      </c>
      <c r="L805" s="44" t="s">
        <v>2333</v>
      </c>
      <c r="M805" s="43">
        <v>25</v>
      </c>
      <c r="N805" s="113" t="s">
        <v>1113</v>
      </c>
      <c r="O805" s="113"/>
      <c r="P805" s="113"/>
      <c r="Q805" s="113"/>
      <c r="R805" s="113"/>
      <c r="S805" s="113"/>
      <c r="T805" s="113"/>
      <c r="U805" s="113"/>
      <c r="V805" s="113"/>
      <c r="W805" s="113"/>
      <c r="X805" s="113"/>
      <c r="Y805" s="113"/>
      <c r="Z805" s="113"/>
      <c r="AA805" s="113"/>
      <c r="AB805" s="113"/>
      <c r="AC805" s="113"/>
      <c r="AD805" s="113"/>
      <c r="AE805" s="113"/>
      <c r="AF805" s="113"/>
      <c r="AG805" s="113"/>
      <c r="AH805" s="113"/>
      <c r="AI805" s="113"/>
      <c r="AJ805" s="113"/>
      <c r="AK805" s="319" t="s">
        <v>1113</v>
      </c>
      <c r="AL805" s="113"/>
      <c r="AM805" s="113"/>
      <c r="AN805" s="113"/>
      <c r="AO805" s="44" t="s">
        <v>2334</v>
      </c>
      <c r="AP805" s="43"/>
      <c r="AQ805" s="236" t="str">
        <f>VLOOKUP(Table8[[#This Row],[Instrument]],Def_Targets!$D$73:$E$159,2,FALSE)</f>
        <v>I_Hydrogen</v>
      </c>
      <c r="AR805" s="233" t="str">
        <f>VLOOKUP(Table8[[#This Row],[Country Code]],Table29[],3,FALSE)</f>
        <v>Annex I</v>
      </c>
      <c r="AS805" s="233" t="str">
        <f>VLOOKUP(Table8[[#This Row],[Country Code]],Table29[],4,FALSE)</f>
        <v>Europe</v>
      </c>
      <c r="AT805" s="233" t="str">
        <f>VLOOKUP(Table8[[#This Row],[Country Code]],Table29[],5,FALSE)</f>
        <v>High-income</v>
      </c>
      <c r="AU805" s="233" t="str">
        <f>VLOOKUP(Table8[[#This Row],[Country Code]],Table29[],6,FALSE)</f>
        <v>no</v>
      </c>
      <c r="AV805" s="233" t="str">
        <f>VLOOKUP(Table8[[#This Row],[Country Code]],Table29[],7,FALSE)</f>
        <v>no</v>
      </c>
      <c r="AW805" s="233" t="str">
        <f>VLOOKUP(Table8[[#This Row],[Country Code]],Table29[],8,FALSE)</f>
        <v>OECD</v>
      </c>
      <c r="AX805" s="233" t="str">
        <f>VLOOKUP(Table8[[#This Row],[Country Code]],Table29[],9,FALSE)</f>
        <v>EU27</v>
      </c>
      <c r="AY805" s="233" t="str">
        <f>VLOOKUP(Table8[[#This Row],[Country Code]],Table29[],10,FALSE)</f>
        <v>no</v>
      </c>
      <c r="AZ805" s="235">
        <f>VLOOKUP(Table8[[#This Row],[Country Code]],Table29[],23,FALSE)</f>
        <v>41.831473036828001</v>
      </c>
      <c r="BA805" s="235">
        <f>VLOOKUP(Table8[[#This Row],[Country Code]],Table29[],24,FALSE)</f>
        <v>11.369548725375189</v>
      </c>
      <c r="BB805" s="320"/>
      <c r="BC805" s="320"/>
    </row>
    <row r="806" spans="1:55" ht="30" hidden="1" x14ac:dyDescent="0.25">
      <c r="A806" s="373">
        <v>17575</v>
      </c>
      <c r="B806" s="233" t="str">
        <f>VLOOKUP(Table8[[#This Row],[Document ID]],Table1[],2,FALSE)</f>
        <v>DNK</v>
      </c>
      <c r="C806" s="233" t="str">
        <f>VLOOKUP(Table8[[#This Row],[Document ID]],Table1[],3,FALSE)</f>
        <v>Denmark</v>
      </c>
      <c r="D806" s="243" t="str">
        <f>VLOOKUP(Table8[[#This Row],[Document ID]],Table1[],5,FALSE)</f>
        <v>LTS</v>
      </c>
      <c r="E806" s="233" t="str">
        <f>VLOOKUP(Table8[[#This Row],[Document ID]],Table1[],7,FALSE)</f>
        <v>LTS</v>
      </c>
      <c r="F806" s="233" t="str">
        <f>VLOOKUP(Table8[[#This Row],[Document ID]],Table1[],8,FALSE)</f>
        <v>LTS 1.0</v>
      </c>
      <c r="G806" s="233" t="str">
        <f>VLOOKUP(Table8[[#This Row],[Document ID]],Table1[],10,FALSE)</f>
        <v>Active</v>
      </c>
      <c r="H806" s="43" t="s">
        <v>2358</v>
      </c>
      <c r="I806" s="43" t="s">
        <v>2359</v>
      </c>
      <c r="J806" s="44" t="s">
        <v>2389</v>
      </c>
      <c r="K806" s="44" t="s">
        <v>3116</v>
      </c>
      <c r="L806" s="44" t="s">
        <v>2333</v>
      </c>
      <c r="M806" s="43">
        <v>27</v>
      </c>
      <c r="N806" s="113" t="s">
        <v>1113</v>
      </c>
      <c r="O806" s="113"/>
      <c r="P806" s="113"/>
      <c r="Q806" s="113"/>
      <c r="R806" s="113"/>
      <c r="S806" s="113"/>
      <c r="T806" s="113"/>
      <c r="U806" s="113"/>
      <c r="V806" s="113"/>
      <c r="W806" s="113"/>
      <c r="X806" s="113"/>
      <c r="Y806" s="113"/>
      <c r="Z806" s="113"/>
      <c r="AA806" s="113"/>
      <c r="AB806" s="113"/>
      <c r="AC806" s="113"/>
      <c r="AD806" s="113"/>
      <c r="AE806" s="113"/>
      <c r="AF806" s="113"/>
      <c r="AG806" s="113"/>
      <c r="AH806" s="113"/>
      <c r="AI806" s="113"/>
      <c r="AJ806" s="113"/>
      <c r="AK806" s="319" t="s">
        <v>1113</v>
      </c>
      <c r="AL806" s="113"/>
      <c r="AM806" s="113"/>
      <c r="AN806" s="113"/>
      <c r="AO806" s="44" t="s">
        <v>2334</v>
      </c>
      <c r="AP806" s="43"/>
      <c r="AQ806" s="236" t="str">
        <f>VLOOKUP(Table8[[#This Row],[Instrument]],Def_Targets!$D$73:$E$159,2,FALSE)</f>
        <v>I_Emobilitypurchase</v>
      </c>
      <c r="AR806" s="233" t="str">
        <f>VLOOKUP(Table8[[#This Row],[Country Code]],Table29[],3,FALSE)</f>
        <v>Annex I</v>
      </c>
      <c r="AS806" s="233" t="str">
        <f>VLOOKUP(Table8[[#This Row],[Country Code]],Table29[],4,FALSE)</f>
        <v>Europe</v>
      </c>
      <c r="AT806" s="233" t="str">
        <f>VLOOKUP(Table8[[#This Row],[Country Code]],Table29[],5,FALSE)</f>
        <v>High-income</v>
      </c>
      <c r="AU806" s="233" t="str">
        <f>VLOOKUP(Table8[[#This Row],[Country Code]],Table29[],6,FALSE)</f>
        <v>no</v>
      </c>
      <c r="AV806" s="233" t="str">
        <f>VLOOKUP(Table8[[#This Row],[Country Code]],Table29[],7,FALSE)</f>
        <v>no</v>
      </c>
      <c r="AW806" s="233" t="str">
        <f>VLOOKUP(Table8[[#This Row],[Country Code]],Table29[],8,FALSE)</f>
        <v>OECD</v>
      </c>
      <c r="AX806" s="233" t="str">
        <f>VLOOKUP(Table8[[#This Row],[Country Code]],Table29[],9,FALSE)</f>
        <v>EU27</v>
      </c>
      <c r="AY806" s="233" t="str">
        <f>VLOOKUP(Table8[[#This Row],[Country Code]],Table29[],10,FALSE)</f>
        <v>no</v>
      </c>
      <c r="AZ806" s="235">
        <f>VLOOKUP(Table8[[#This Row],[Country Code]],Table29[],23,FALSE)</f>
        <v>41.831473036828001</v>
      </c>
      <c r="BA806" s="235">
        <f>VLOOKUP(Table8[[#This Row],[Country Code]],Table29[],24,FALSE)</f>
        <v>11.369548725375189</v>
      </c>
      <c r="BB806" s="320"/>
      <c r="BC806" s="320"/>
    </row>
    <row r="807" spans="1:55" ht="30" hidden="1" x14ac:dyDescent="0.25">
      <c r="A807" s="373">
        <v>17575</v>
      </c>
      <c r="B807" s="233" t="str">
        <f>VLOOKUP(Table8[[#This Row],[Document ID]],Table1[],2,FALSE)</f>
        <v>DNK</v>
      </c>
      <c r="C807" s="233" t="str">
        <f>VLOOKUP(Table8[[#This Row],[Document ID]],Table1[],3,FALSE)</f>
        <v>Denmark</v>
      </c>
      <c r="D807" s="243" t="str">
        <f>VLOOKUP(Table8[[#This Row],[Document ID]],Table1[],5,FALSE)</f>
        <v>LTS</v>
      </c>
      <c r="E807" s="233" t="str">
        <f>VLOOKUP(Table8[[#This Row],[Document ID]],Table1[],7,FALSE)</f>
        <v>LTS</v>
      </c>
      <c r="F807" s="233" t="str">
        <f>VLOOKUP(Table8[[#This Row],[Document ID]],Table1[],8,FALSE)</f>
        <v>LTS 1.0</v>
      </c>
      <c r="G807" s="233" t="str">
        <f>VLOOKUP(Table8[[#This Row],[Document ID]],Table1[],10,FALSE)</f>
        <v>Active</v>
      </c>
      <c r="H807" s="43" t="s">
        <v>2343</v>
      </c>
      <c r="I807" s="43" t="s">
        <v>2386</v>
      </c>
      <c r="J807" s="44" t="s">
        <v>2412</v>
      </c>
      <c r="K807" s="44" t="s">
        <v>3117</v>
      </c>
      <c r="L807" s="44" t="s">
        <v>2333</v>
      </c>
      <c r="M807" s="43">
        <v>27</v>
      </c>
      <c r="N807" s="113"/>
      <c r="O807" s="113"/>
      <c r="P807" s="113"/>
      <c r="Q807" s="113"/>
      <c r="R807" s="113"/>
      <c r="S807" s="113"/>
      <c r="T807" s="113"/>
      <c r="U807" s="113" t="s">
        <v>1113</v>
      </c>
      <c r="V807" s="113"/>
      <c r="W807" s="113"/>
      <c r="X807" s="113"/>
      <c r="Y807" s="113"/>
      <c r="Z807" s="113"/>
      <c r="AA807" s="113"/>
      <c r="AB807" s="113"/>
      <c r="AC807" s="113"/>
      <c r="AD807" s="113"/>
      <c r="AE807" s="113"/>
      <c r="AF807" s="113"/>
      <c r="AG807" s="113"/>
      <c r="AH807" s="113"/>
      <c r="AI807" s="113"/>
      <c r="AJ807" s="113"/>
      <c r="AK807" s="319" t="s">
        <v>1113</v>
      </c>
      <c r="AL807" s="113"/>
      <c r="AM807" s="113"/>
      <c r="AN807" s="113"/>
      <c r="AO807" s="43" t="s">
        <v>2348</v>
      </c>
      <c r="AP807" s="43"/>
      <c r="AQ807" s="236" t="str">
        <f>VLOOKUP(Table8[[#This Row],[Instrument]],Def_Targets!$D$73:$E$159,2,FALSE)</f>
        <v>A_Economic</v>
      </c>
      <c r="AR807" s="233" t="str">
        <f>VLOOKUP(Table8[[#This Row],[Country Code]],Table29[],3,FALSE)</f>
        <v>Annex I</v>
      </c>
      <c r="AS807" s="233" t="str">
        <f>VLOOKUP(Table8[[#This Row],[Country Code]],Table29[],4,FALSE)</f>
        <v>Europe</v>
      </c>
      <c r="AT807" s="233" t="str">
        <f>VLOOKUP(Table8[[#This Row],[Country Code]],Table29[],5,FALSE)</f>
        <v>High-income</v>
      </c>
      <c r="AU807" s="233" t="str">
        <f>VLOOKUP(Table8[[#This Row],[Country Code]],Table29[],6,FALSE)</f>
        <v>no</v>
      </c>
      <c r="AV807" s="233" t="str">
        <f>VLOOKUP(Table8[[#This Row],[Country Code]],Table29[],7,FALSE)</f>
        <v>no</v>
      </c>
      <c r="AW807" s="233" t="str">
        <f>VLOOKUP(Table8[[#This Row],[Country Code]],Table29[],8,FALSE)</f>
        <v>OECD</v>
      </c>
      <c r="AX807" s="233" t="str">
        <f>VLOOKUP(Table8[[#This Row],[Country Code]],Table29[],9,FALSE)</f>
        <v>EU27</v>
      </c>
      <c r="AY807" s="233" t="str">
        <f>VLOOKUP(Table8[[#This Row],[Country Code]],Table29[],10,FALSE)</f>
        <v>no</v>
      </c>
      <c r="AZ807" s="235">
        <f>VLOOKUP(Table8[[#This Row],[Country Code]],Table29[],23,FALSE)</f>
        <v>41.831473036828001</v>
      </c>
      <c r="BA807" s="235">
        <f>VLOOKUP(Table8[[#This Row],[Country Code]],Table29[],24,FALSE)</f>
        <v>11.369548725375189</v>
      </c>
      <c r="BB807" s="320"/>
      <c r="BC807" s="320"/>
    </row>
    <row r="808" spans="1:55" hidden="1" x14ac:dyDescent="0.25">
      <c r="A808" s="373">
        <v>17575</v>
      </c>
      <c r="B808" s="233" t="str">
        <f>VLOOKUP(Table8[[#This Row],[Document ID]],Table1[],2,FALSE)</f>
        <v>DNK</v>
      </c>
      <c r="C808" s="233" t="str">
        <f>VLOOKUP(Table8[[#This Row],[Document ID]],Table1[],3,FALSE)</f>
        <v>Denmark</v>
      </c>
      <c r="D808" s="243" t="str">
        <f>VLOOKUP(Table8[[#This Row],[Document ID]],Table1[],5,FALSE)</f>
        <v>LTS</v>
      </c>
      <c r="E808" s="233" t="str">
        <f>VLOOKUP(Table8[[#This Row],[Document ID]],Table1[],7,FALSE)</f>
        <v>LTS</v>
      </c>
      <c r="F808" s="233" t="str">
        <f>VLOOKUP(Table8[[#This Row],[Document ID]],Table1[],8,FALSE)</f>
        <v>LTS 1.0</v>
      </c>
      <c r="G808" s="233" t="str">
        <f>VLOOKUP(Table8[[#This Row],[Document ID]],Table1[],10,FALSE)</f>
        <v>Active</v>
      </c>
      <c r="H808" s="43" t="s">
        <v>2343</v>
      </c>
      <c r="I808" s="43" t="s">
        <v>2344</v>
      </c>
      <c r="J808" s="44" t="s">
        <v>2345</v>
      </c>
      <c r="K808" s="44" t="s">
        <v>3118</v>
      </c>
      <c r="L808" s="44" t="s">
        <v>2333</v>
      </c>
      <c r="M808" s="43">
        <v>27</v>
      </c>
      <c r="N808" s="113"/>
      <c r="O808" s="113"/>
      <c r="P808" s="113"/>
      <c r="Q808" s="113"/>
      <c r="R808" s="113"/>
      <c r="S808" s="113"/>
      <c r="T808" s="113"/>
      <c r="U808" s="113"/>
      <c r="V808" s="113"/>
      <c r="W808" s="113"/>
      <c r="X808" s="113"/>
      <c r="Y808" s="113" t="s">
        <v>1113</v>
      </c>
      <c r="Z808" s="113"/>
      <c r="AA808" s="113"/>
      <c r="AB808" s="113"/>
      <c r="AC808" s="113"/>
      <c r="AD808" s="113"/>
      <c r="AE808" s="113"/>
      <c r="AF808" s="113"/>
      <c r="AG808" s="113"/>
      <c r="AH808" s="113"/>
      <c r="AI808" s="113"/>
      <c r="AJ808" s="113"/>
      <c r="AK808" s="113"/>
      <c r="AL808" s="113" t="s">
        <v>1113</v>
      </c>
      <c r="AM808" s="113"/>
      <c r="AN808" s="113"/>
      <c r="AO808" s="43" t="s">
        <v>2348</v>
      </c>
      <c r="AP808" s="43"/>
      <c r="AQ808" s="236" t="str">
        <f>VLOOKUP(Table8[[#This Row],[Instrument]],Def_Targets!$D$73:$E$159,2,FALSE)</f>
        <v>S_PublicTransport</v>
      </c>
      <c r="AR808" s="233" t="str">
        <f>VLOOKUP(Table8[[#This Row],[Country Code]],Table29[],3,FALSE)</f>
        <v>Annex I</v>
      </c>
      <c r="AS808" s="233" t="str">
        <f>VLOOKUP(Table8[[#This Row],[Country Code]],Table29[],4,FALSE)</f>
        <v>Europe</v>
      </c>
      <c r="AT808" s="233" t="str">
        <f>VLOOKUP(Table8[[#This Row],[Country Code]],Table29[],5,FALSE)</f>
        <v>High-income</v>
      </c>
      <c r="AU808" s="233" t="str">
        <f>VLOOKUP(Table8[[#This Row],[Country Code]],Table29[],6,FALSE)</f>
        <v>no</v>
      </c>
      <c r="AV808" s="233" t="str">
        <f>VLOOKUP(Table8[[#This Row],[Country Code]],Table29[],7,FALSE)</f>
        <v>no</v>
      </c>
      <c r="AW808" s="233" t="str">
        <f>VLOOKUP(Table8[[#This Row],[Country Code]],Table29[],8,FALSE)</f>
        <v>OECD</v>
      </c>
      <c r="AX808" s="233" t="str">
        <f>VLOOKUP(Table8[[#This Row],[Country Code]],Table29[],9,FALSE)</f>
        <v>EU27</v>
      </c>
      <c r="AY808" s="233" t="str">
        <f>VLOOKUP(Table8[[#This Row],[Country Code]],Table29[],10,FALSE)</f>
        <v>no</v>
      </c>
      <c r="AZ808" s="235">
        <f>VLOOKUP(Table8[[#This Row],[Country Code]],Table29[],23,FALSE)</f>
        <v>41.831473036828001</v>
      </c>
      <c r="BA808" s="235">
        <f>VLOOKUP(Table8[[#This Row],[Country Code]],Table29[],24,FALSE)</f>
        <v>11.369548725375189</v>
      </c>
      <c r="BB808" s="320"/>
      <c r="BC808" s="320"/>
    </row>
    <row r="809" spans="1:55" ht="30" hidden="1" x14ac:dyDescent="0.25">
      <c r="A809" s="373">
        <v>17575</v>
      </c>
      <c r="B809" s="233" t="str">
        <f>VLOOKUP(Table8[[#This Row],[Document ID]],Table1[],2,FALSE)</f>
        <v>DNK</v>
      </c>
      <c r="C809" s="233" t="str">
        <f>VLOOKUP(Table8[[#This Row],[Document ID]],Table1[],3,FALSE)</f>
        <v>Denmark</v>
      </c>
      <c r="D809" s="243" t="str">
        <f>VLOOKUP(Table8[[#This Row],[Document ID]],Table1[],5,FALSE)</f>
        <v>LTS</v>
      </c>
      <c r="E809" s="233" t="str">
        <f>VLOOKUP(Table8[[#This Row],[Document ID]],Table1[],7,FALSE)</f>
        <v>LTS</v>
      </c>
      <c r="F809" s="233" t="str">
        <f>VLOOKUP(Table8[[#This Row],[Document ID]],Table1[],8,FALSE)</f>
        <v>LTS 1.0</v>
      </c>
      <c r="G809" s="233" t="str">
        <f>VLOOKUP(Table8[[#This Row],[Document ID]],Table1[],10,FALSE)</f>
        <v>Active</v>
      </c>
      <c r="H809" s="43" t="s">
        <v>2343</v>
      </c>
      <c r="I809" s="43" t="s">
        <v>2361</v>
      </c>
      <c r="J809" s="44" t="s">
        <v>2362</v>
      </c>
      <c r="K809" s="44" t="s">
        <v>3119</v>
      </c>
      <c r="L809" s="44" t="s">
        <v>2347</v>
      </c>
      <c r="M809" s="43">
        <v>27</v>
      </c>
      <c r="N809" s="113"/>
      <c r="O809" s="113"/>
      <c r="P809" s="113"/>
      <c r="Q809" s="113"/>
      <c r="R809" s="113" t="s">
        <v>1113</v>
      </c>
      <c r="S809" s="113"/>
      <c r="T809" s="113"/>
      <c r="U809" s="113"/>
      <c r="V809" s="113"/>
      <c r="W809" s="113"/>
      <c r="X809" s="113"/>
      <c r="Y809" s="113"/>
      <c r="Z809" s="113"/>
      <c r="AA809" s="113"/>
      <c r="AB809" s="113"/>
      <c r="AC809" s="113"/>
      <c r="AD809" s="113"/>
      <c r="AE809" s="113"/>
      <c r="AF809" s="113"/>
      <c r="AG809" s="113"/>
      <c r="AH809" s="113"/>
      <c r="AI809" s="113"/>
      <c r="AJ809" s="113"/>
      <c r="AK809" s="113"/>
      <c r="AL809" s="113" t="s">
        <v>1113</v>
      </c>
      <c r="AM809" s="113"/>
      <c r="AN809" s="113"/>
      <c r="AO809" s="44" t="s">
        <v>2334</v>
      </c>
      <c r="AP809" s="43"/>
      <c r="AQ809" s="236" t="str">
        <f>VLOOKUP(Table8[[#This Row],[Instrument]],Def_Targets!$D$73:$E$159,2,FALSE)</f>
        <v>S_Cycling</v>
      </c>
      <c r="AR809" s="233" t="str">
        <f>VLOOKUP(Table8[[#This Row],[Country Code]],Table29[],3,FALSE)</f>
        <v>Annex I</v>
      </c>
      <c r="AS809" s="233" t="str">
        <f>VLOOKUP(Table8[[#This Row],[Country Code]],Table29[],4,FALSE)</f>
        <v>Europe</v>
      </c>
      <c r="AT809" s="233" t="str">
        <f>VLOOKUP(Table8[[#This Row],[Country Code]],Table29[],5,FALSE)</f>
        <v>High-income</v>
      </c>
      <c r="AU809" s="233" t="str">
        <f>VLOOKUP(Table8[[#This Row],[Country Code]],Table29[],6,FALSE)</f>
        <v>no</v>
      </c>
      <c r="AV809" s="233" t="str">
        <f>VLOOKUP(Table8[[#This Row],[Country Code]],Table29[],7,FALSE)</f>
        <v>no</v>
      </c>
      <c r="AW809" s="233" t="str">
        <f>VLOOKUP(Table8[[#This Row],[Country Code]],Table29[],8,FALSE)</f>
        <v>OECD</v>
      </c>
      <c r="AX809" s="233" t="str">
        <f>VLOOKUP(Table8[[#This Row],[Country Code]],Table29[],9,FALSE)</f>
        <v>EU27</v>
      </c>
      <c r="AY809" s="233" t="str">
        <f>VLOOKUP(Table8[[#This Row],[Country Code]],Table29[],10,FALSE)</f>
        <v>no</v>
      </c>
      <c r="AZ809" s="235">
        <f>VLOOKUP(Table8[[#This Row],[Country Code]],Table29[],23,FALSE)</f>
        <v>41.831473036828001</v>
      </c>
      <c r="BA809" s="235">
        <f>VLOOKUP(Table8[[#This Row],[Country Code]],Table29[],24,FALSE)</f>
        <v>11.369548725375189</v>
      </c>
      <c r="BB809" s="320"/>
      <c r="BC809" s="320"/>
    </row>
    <row r="810" spans="1:55" hidden="1" x14ac:dyDescent="0.25">
      <c r="A810" s="373">
        <v>17575</v>
      </c>
      <c r="B810" s="233" t="str">
        <f>VLOOKUP(Table8[[#This Row],[Document ID]],Table1[],2,FALSE)</f>
        <v>DNK</v>
      </c>
      <c r="C810" s="233" t="str">
        <f>VLOOKUP(Table8[[#This Row],[Document ID]],Table1[],3,FALSE)</f>
        <v>Denmark</v>
      </c>
      <c r="D810" s="243" t="str">
        <f>VLOOKUP(Table8[[#This Row],[Document ID]],Table1[],5,FALSE)</f>
        <v>LTS</v>
      </c>
      <c r="E810" s="233" t="str">
        <f>VLOOKUP(Table8[[#This Row],[Document ID]],Table1[],7,FALSE)</f>
        <v>LTS</v>
      </c>
      <c r="F810" s="233" t="str">
        <f>VLOOKUP(Table8[[#This Row],[Document ID]],Table1[],8,FALSE)</f>
        <v>LTS 1.0</v>
      </c>
      <c r="G810" s="233" t="str">
        <f>VLOOKUP(Table8[[#This Row],[Document ID]],Table1[],10,FALSE)</f>
        <v>Active</v>
      </c>
      <c r="H810" s="43" t="s">
        <v>2358</v>
      </c>
      <c r="I810" s="43" t="s">
        <v>2359</v>
      </c>
      <c r="J810" s="44" t="s">
        <v>2383</v>
      </c>
      <c r="K810" s="44" t="s">
        <v>3120</v>
      </c>
      <c r="L810" s="44" t="s">
        <v>2333</v>
      </c>
      <c r="M810" s="43">
        <v>27</v>
      </c>
      <c r="N810" s="113"/>
      <c r="O810" s="113"/>
      <c r="P810" s="113"/>
      <c r="Q810" s="113"/>
      <c r="R810" s="113"/>
      <c r="S810" s="113" t="s">
        <v>1113</v>
      </c>
      <c r="T810" s="113"/>
      <c r="U810" s="113"/>
      <c r="V810" s="113"/>
      <c r="W810" s="113"/>
      <c r="X810" s="113"/>
      <c r="Y810" s="113"/>
      <c r="Z810" s="113"/>
      <c r="AA810" s="113"/>
      <c r="AB810" s="113"/>
      <c r="AC810" s="113"/>
      <c r="AD810" s="113"/>
      <c r="AE810" s="113"/>
      <c r="AF810" s="113"/>
      <c r="AG810" s="113"/>
      <c r="AH810" s="113"/>
      <c r="AI810" s="113"/>
      <c r="AJ810" s="113"/>
      <c r="AK810" s="319" t="s">
        <v>1113</v>
      </c>
      <c r="AL810" s="113"/>
      <c r="AM810" s="113"/>
      <c r="AN810" s="113"/>
      <c r="AO810" s="44" t="s">
        <v>2334</v>
      </c>
      <c r="AP810" s="43"/>
      <c r="AQ810" s="236" t="str">
        <f>VLOOKUP(Table8[[#This Row],[Instrument]],Def_Targets!$D$73:$E$159,2,FALSE)</f>
        <v>I_Emobilitycharging</v>
      </c>
      <c r="AR810" s="233" t="str">
        <f>VLOOKUP(Table8[[#This Row],[Country Code]],Table29[],3,FALSE)</f>
        <v>Annex I</v>
      </c>
      <c r="AS810" s="233" t="str">
        <f>VLOOKUP(Table8[[#This Row],[Country Code]],Table29[],4,FALSE)</f>
        <v>Europe</v>
      </c>
      <c r="AT810" s="233" t="str">
        <f>VLOOKUP(Table8[[#This Row],[Country Code]],Table29[],5,FALSE)</f>
        <v>High-income</v>
      </c>
      <c r="AU810" s="233" t="str">
        <f>VLOOKUP(Table8[[#This Row],[Country Code]],Table29[],6,FALSE)</f>
        <v>no</v>
      </c>
      <c r="AV810" s="233" t="str">
        <f>VLOOKUP(Table8[[#This Row],[Country Code]],Table29[],7,FALSE)</f>
        <v>no</v>
      </c>
      <c r="AW810" s="233" t="str">
        <f>VLOOKUP(Table8[[#This Row],[Country Code]],Table29[],8,FALSE)</f>
        <v>OECD</v>
      </c>
      <c r="AX810" s="233" t="str">
        <f>VLOOKUP(Table8[[#This Row],[Country Code]],Table29[],9,FALSE)</f>
        <v>EU27</v>
      </c>
      <c r="AY810" s="233" t="str">
        <f>VLOOKUP(Table8[[#This Row],[Country Code]],Table29[],10,FALSE)</f>
        <v>no</v>
      </c>
      <c r="AZ810" s="235">
        <f>VLOOKUP(Table8[[#This Row],[Country Code]],Table29[],23,FALSE)</f>
        <v>41.831473036828001</v>
      </c>
      <c r="BA810" s="235">
        <f>VLOOKUP(Table8[[#This Row],[Country Code]],Table29[],24,FALSE)</f>
        <v>11.369548725375189</v>
      </c>
      <c r="BB810" s="320"/>
      <c r="BC810" s="320"/>
    </row>
    <row r="811" spans="1:55" ht="30" hidden="1" x14ac:dyDescent="0.25">
      <c r="A811" s="373">
        <v>17592</v>
      </c>
      <c r="B811" s="233" t="str">
        <f>VLOOKUP(Table8[[#This Row],[Document ID]],Table1[],2,FALSE)</f>
        <v>FJI</v>
      </c>
      <c r="C811" s="233" t="str">
        <f>VLOOKUP(Table8[[#This Row],[Document ID]],Table1[],3,FALSE)</f>
        <v>Fiji</v>
      </c>
      <c r="D811" s="243" t="str">
        <f>VLOOKUP(Table8[[#This Row],[Document ID]],Table1[],5,FALSE)</f>
        <v>NDC</v>
      </c>
      <c r="E811" s="233" t="str">
        <f>VLOOKUP(Table8[[#This Row],[Document ID]],Table1[],7,FALSE)</f>
        <v>First NDC</v>
      </c>
      <c r="F811" s="236" t="str">
        <f>VLOOKUP(Table8[[#This Row],[Document ID]],Table1[],8,FALSE)</f>
        <v>NDC 1.0</v>
      </c>
      <c r="G811" s="236" t="str">
        <f>VLOOKUP(Table8[[#This Row],[Document ID]],Table1[],10,FALSE)</f>
        <v>Archived</v>
      </c>
      <c r="H811" s="44" t="s">
        <v>2329</v>
      </c>
      <c r="I811" s="44" t="s">
        <v>2330</v>
      </c>
      <c r="J811" s="44" t="s">
        <v>2357</v>
      </c>
      <c r="K811" s="44" t="s">
        <v>3121</v>
      </c>
      <c r="L811" s="44" t="s">
        <v>2333</v>
      </c>
      <c r="M811" s="43"/>
      <c r="N811" s="113" t="s">
        <v>1113</v>
      </c>
      <c r="O811" s="113"/>
      <c r="P811" s="113"/>
      <c r="Q811" s="319"/>
      <c r="R811" s="319"/>
      <c r="S811" s="319"/>
      <c r="T811" s="319"/>
      <c r="U811" s="319"/>
      <c r="V811" s="319"/>
      <c r="W811" s="319"/>
      <c r="X811" s="319"/>
      <c r="Y811" s="319"/>
      <c r="Z811" s="319"/>
      <c r="AA811" s="319"/>
      <c r="AB811" s="319"/>
      <c r="AC811" s="319"/>
      <c r="AD811" s="319"/>
      <c r="AE811" s="319"/>
      <c r="AF811" s="319"/>
      <c r="AG811" s="319"/>
      <c r="AH811" s="319"/>
      <c r="AI811" s="319"/>
      <c r="AJ811" s="319"/>
      <c r="AK811" s="319" t="s">
        <v>1113</v>
      </c>
      <c r="AL811" s="319"/>
      <c r="AM811" s="319"/>
      <c r="AN811" s="319"/>
      <c r="AO811" s="43" t="s">
        <v>2348</v>
      </c>
      <c r="AP811" s="44"/>
      <c r="AQ811" s="236" t="str">
        <f>VLOOKUP(Table8[[#This Row],[Instrument]],Def_Targets!$D$73:$E$159,2,FALSE)</f>
        <v>I_Biofuel</v>
      </c>
      <c r="AR811" s="233" t="str">
        <f>VLOOKUP(Table8[[#This Row],[Country Code]],Table29[],3,FALSE)</f>
        <v>Non-Annex I</v>
      </c>
      <c r="AS811" s="233" t="str">
        <f>VLOOKUP(Table8[[#This Row],[Country Code]],Table29[],4,FALSE)</f>
        <v>Oceania</v>
      </c>
      <c r="AT811" s="233" t="str">
        <f>VLOOKUP(Table8[[#This Row],[Country Code]],Table29[],5,FALSE)</f>
        <v>Middle-income</v>
      </c>
      <c r="AU811" s="233" t="str">
        <f>VLOOKUP(Table8[[#This Row],[Country Code]],Table29[],6,FALSE)</f>
        <v>no</v>
      </c>
      <c r="AV811" s="233" t="str">
        <f>VLOOKUP(Table8[[#This Row],[Country Code]],Table29[],7,FALSE)</f>
        <v>no</v>
      </c>
      <c r="AW811" s="233" t="str">
        <f>VLOOKUP(Table8[[#This Row],[Country Code]],Table29[],8,FALSE)</f>
        <v>non-OECD</v>
      </c>
      <c r="AX811" s="233" t="str">
        <f>VLOOKUP(Table8[[#This Row],[Country Code]],Table29[],9,FALSE)</f>
        <v>no</v>
      </c>
      <c r="AY811" s="233" t="str">
        <f>VLOOKUP(Table8[[#This Row],[Country Code]],Table29[],10,FALSE)</f>
        <v>no</v>
      </c>
      <c r="AZ811" s="235">
        <f>VLOOKUP(Table8[[#This Row],[Country Code]],Table29[],23,FALSE)</f>
        <v>3.4009927758626</v>
      </c>
      <c r="BA811" s="235">
        <f>VLOOKUP(Table8[[#This Row],[Country Code]],Table29[],24,FALSE)</f>
        <v>1.126237744382208</v>
      </c>
      <c r="BB811" s="320"/>
      <c r="BC811" s="320"/>
    </row>
    <row r="812" spans="1:55" ht="30" hidden="1" x14ac:dyDescent="0.25">
      <c r="A812" s="373">
        <v>17592</v>
      </c>
      <c r="B812" s="233" t="str">
        <f>VLOOKUP(Table8[[#This Row],[Document ID]],Table1[],2,FALSE)</f>
        <v>FJI</v>
      </c>
      <c r="C812" s="233" t="str">
        <f>VLOOKUP(Table8[[#This Row],[Document ID]],Table1[],3,FALSE)</f>
        <v>Fiji</v>
      </c>
      <c r="D812" s="243" t="str">
        <f>VLOOKUP(Table8[[#This Row],[Document ID]],Table1[],5,FALSE)</f>
        <v>NDC</v>
      </c>
      <c r="E812" s="233" t="str">
        <f>VLOOKUP(Table8[[#This Row],[Document ID]],Table1[],7,FALSE)</f>
        <v>First NDC</v>
      </c>
      <c r="F812" s="236" t="str">
        <f>VLOOKUP(Table8[[#This Row],[Document ID]],Table1[],8,FALSE)</f>
        <v>NDC 1.0</v>
      </c>
      <c r="G812" s="236" t="str">
        <f>VLOOKUP(Table8[[#This Row],[Document ID]],Table1[],10,FALSE)</f>
        <v>Archived</v>
      </c>
      <c r="H812" s="43" t="s">
        <v>2358</v>
      </c>
      <c r="I812" s="43" t="s">
        <v>2359</v>
      </c>
      <c r="J812" s="44" t="s">
        <v>2360</v>
      </c>
      <c r="K812" s="44" t="s">
        <v>3121</v>
      </c>
      <c r="L812" s="44" t="s">
        <v>2333</v>
      </c>
      <c r="M812" s="43"/>
      <c r="N812" s="113" t="s">
        <v>1113</v>
      </c>
      <c r="O812" s="113"/>
      <c r="P812" s="113"/>
      <c r="Q812" s="319"/>
      <c r="R812" s="319"/>
      <c r="S812" s="319"/>
      <c r="T812" s="319"/>
      <c r="U812" s="319"/>
      <c r="V812" s="319"/>
      <c r="W812" s="319"/>
      <c r="X812" s="319"/>
      <c r="Y812" s="319"/>
      <c r="Z812" s="319"/>
      <c r="AA812" s="319"/>
      <c r="AB812" s="319"/>
      <c r="AC812" s="319"/>
      <c r="AD812" s="319"/>
      <c r="AE812" s="319"/>
      <c r="AF812" s="319"/>
      <c r="AG812" s="319"/>
      <c r="AH812" s="319"/>
      <c r="AI812" s="319"/>
      <c r="AJ812" s="319"/>
      <c r="AK812" s="319" t="s">
        <v>1113</v>
      </c>
      <c r="AL812" s="319"/>
      <c r="AM812" s="319"/>
      <c r="AN812" s="319"/>
      <c r="AO812" s="43" t="s">
        <v>2348</v>
      </c>
      <c r="AP812" s="44"/>
      <c r="AQ812" s="236" t="str">
        <f>VLOOKUP(Table8[[#This Row],[Instrument]],Def_Targets!$D$73:$E$159,2,FALSE)</f>
        <v>I_Emobility</v>
      </c>
      <c r="AR812" s="233" t="str">
        <f>VLOOKUP(Table8[[#This Row],[Country Code]],Table29[],3,FALSE)</f>
        <v>Non-Annex I</v>
      </c>
      <c r="AS812" s="233" t="str">
        <f>VLOOKUP(Table8[[#This Row],[Country Code]],Table29[],4,FALSE)</f>
        <v>Oceania</v>
      </c>
      <c r="AT812" s="233" t="str">
        <f>VLOOKUP(Table8[[#This Row],[Country Code]],Table29[],5,FALSE)</f>
        <v>Middle-income</v>
      </c>
      <c r="AU812" s="233" t="str">
        <f>VLOOKUP(Table8[[#This Row],[Country Code]],Table29[],6,FALSE)</f>
        <v>no</v>
      </c>
      <c r="AV812" s="233" t="str">
        <f>VLOOKUP(Table8[[#This Row],[Country Code]],Table29[],7,FALSE)</f>
        <v>no</v>
      </c>
      <c r="AW812" s="233" t="str">
        <f>VLOOKUP(Table8[[#This Row],[Country Code]],Table29[],8,FALSE)</f>
        <v>non-OECD</v>
      </c>
      <c r="AX812" s="233" t="str">
        <f>VLOOKUP(Table8[[#This Row],[Country Code]],Table29[],9,FALSE)</f>
        <v>no</v>
      </c>
      <c r="AY812" s="233" t="str">
        <f>VLOOKUP(Table8[[#This Row],[Country Code]],Table29[],10,FALSE)</f>
        <v>no</v>
      </c>
      <c r="AZ812" s="235">
        <f>VLOOKUP(Table8[[#This Row],[Country Code]],Table29[],23,FALSE)</f>
        <v>3.4009927758626</v>
      </c>
      <c r="BA812" s="235">
        <f>VLOOKUP(Table8[[#This Row],[Country Code]],Table29[],24,FALSE)</f>
        <v>1.126237744382208</v>
      </c>
      <c r="BB812" s="320"/>
      <c r="BC812" s="320"/>
    </row>
    <row r="813" spans="1:55" ht="45" hidden="1" x14ac:dyDescent="0.25">
      <c r="A813" s="373">
        <v>17575</v>
      </c>
      <c r="B813" s="233" t="str">
        <f>VLOOKUP(Table8[[#This Row],[Document ID]],Table1[],2,FALSE)</f>
        <v>DNK</v>
      </c>
      <c r="C813" s="233" t="str">
        <f>VLOOKUP(Table8[[#This Row],[Document ID]],Table1[],3,FALSE)</f>
        <v>Denmark</v>
      </c>
      <c r="D813" s="243" t="str">
        <f>VLOOKUP(Table8[[#This Row],[Document ID]],Table1[],5,FALSE)</f>
        <v>LTS</v>
      </c>
      <c r="E813" s="233" t="str">
        <f>VLOOKUP(Table8[[#This Row],[Document ID]],Table1[],7,FALSE)</f>
        <v>LTS</v>
      </c>
      <c r="F813" s="233" t="str">
        <f>VLOOKUP(Table8[[#This Row],[Document ID]],Table1[],8,FALSE)</f>
        <v>LTS 1.0</v>
      </c>
      <c r="G813" s="233" t="str">
        <f>VLOOKUP(Table8[[#This Row],[Document ID]],Table1[],10,FALSE)</f>
        <v>Active</v>
      </c>
      <c r="H813" s="44" t="s">
        <v>2329</v>
      </c>
      <c r="I813" s="44" t="s">
        <v>2330</v>
      </c>
      <c r="J813" s="44" t="s">
        <v>2381</v>
      </c>
      <c r="K813" s="44" t="s">
        <v>3122</v>
      </c>
      <c r="L813" s="44" t="s">
        <v>2333</v>
      </c>
      <c r="M813" s="43">
        <v>27</v>
      </c>
      <c r="N813" s="113"/>
      <c r="O813" s="113"/>
      <c r="P813" s="113"/>
      <c r="Q813" s="113"/>
      <c r="R813" s="113"/>
      <c r="S813" s="113"/>
      <c r="T813" s="113"/>
      <c r="U813" s="113"/>
      <c r="V813" s="113"/>
      <c r="W813" s="113"/>
      <c r="X813" s="113"/>
      <c r="Y813" s="113"/>
      <c r="Z813" s="113"/>
      <c r="AA813" s="113"/>
      <c r="AB813" s="113"/>
      <c r="AC813" s="113"/>
      <c r="AD813" s="113" t="s">
        <v>1113</v>
      </c>
      <c r="AE813" s="113"/>
      <c r="AF813" s="113"/>
      <c r="AG813" s="113"/>
      <c r="AH813" s="113"/>
      <c r="AI813" s="113"/>
      <c r="AJ813" s="113"/>
      <c r="AK813" s="319" t="s">
        <v>1113</v>
      </c>
      <c r="AL813" s="113"/>
      <c r="AM813" s="113"/>
      <c r="AN813" s="113"/>
      <c r="AO813" s="44" t="s">
        <v>2334</v>
      </c>
      <c r="AP813" s="43"/>
      <c r="AQ813" s="236" t="str">
        <f>VLOOKUP(Table8[[#This Row],[Instrument]],Def_Targets!$D$73:$E$159,2,FALSE)</f>
        <v>I_RE</v>
      </c>
      <c r="AR813" s="233" t="str">
        <f>VLOOKUP(Table8[[#This Row],[Country Code]],Table29[],3,FALSE)</f>
        <v>Annex I</v>
      </c>
      <c r="AS813" s="233" t="str">
        <f>VLOOKUP(Table8[[#This Row],[Country Code]],Table29[],4,FALSE)</f>
        <v>Europe</v>
      </c>
      <c r="AT813" s="233" t="str">
        <f>VLOOKUP(Table8[[#This Row],[Country Code]],Table29[],5,FALSE)</f>
        <v>High-income</v>
      </c>
      <c r="AU813" s="233" t="str">
        <f>VLOOKUP(Table8[[#This Row],[Country Code]],Table29[],6,FALSE)</f>
        <v>no</v>
      </c>
      <c r="AV813" s="233" t="str">
        <f>VLOOKUP(Table8[[#This Row],[Country Code]],Table29[],7,FALSE)</f>
        <v>no</v>
      </c>
      <c r="AW813" s="233" t="str">
        <f>VLOOKUP(Table8[[#This Row],[Country Code]],Table29[],8,FALSE)</f>
        <v>OECD</v>
      </c>
      <c r="AX813" s="233" t="str">
        <f>VLOOKUP(Table8[[#This Row],[Country Code]],Table29[],9,FALSE)</f>
        <v>EU27</v>
      </c>
      <c r="AY813" s="233" t="str">
        <f>VLOOKUP(Table8[[#This Row],[Country Code]],Table29[],10,FALSE)</f>
        <v>no</v>
      </c>
      <c r="AZ813" s="235">
        <f>VLOOKUP(Table8[[#This Row],[Country Code]],Table29[],23,FALSE)</f>
        <v>41.831473036828001</v>
      </c>
      <c r="BA813" s="235">
        <f>VLOOKUP(Table8[[#This Row],[Country Code]],Table29[],24,FALSE)</f>
        <v>11.369548725375189</v>
      </c>
      <c r="BB813" s="320"/>
      <c r="BC813" s="320"/>
    </row>
    <row r="814" spans="1:55" ht="45" hidden="1" x14ac:dyDescent="0.25">
      <c r="A814" s="373">
        <v>17575</v>
      </c>
      <c r="B814" s="233" t="str">
        <f>VLOOKUP(Table8[[#This Row],[Document ID]],Table1[],2,FALSE)</f>
        <v>DNK</v>
      </c>
      <c r="C814" s="233" t="str">
        <f>VLOOKUP(Table8[[#This Row],[Document ID]],Table1[],3,FALSE)</f>
        <v>Denmark</v>
      </c>
      <c r="D814" s="243" t="str">
        <f>VLOOKUP(Table8[[#This Row],[Document ID]],Table1[],5,FALSE)</f>
        <v>LTS</v>
      </c>
      <c r="E814" s="233" t="str">
        <f>VLOOKUP(Table8[[#This Row],[Document ID]],Table1[],7,FALSE)</f>
        <v>LTS</v>
      </c>
      <c r="F814" s="233" t="str">
        <f>VLOOKUP(Table8[[#This Row],[Document ID]],Table1[],8,FALSE)</f>
        <v>LTS 1.0</v>
      </c>
      <c r="G814" s="233" t="str">
        <f>VLOOKUP(Table8[[#This Row],[Document ID]],Table1[],10,FALSE)</f>
        <v>Active</v>
      </c>
      <c r="H814" s="43" t="s">
        <v>2484</v>
      </c>
      <c r="I814" s="43" t="s">
        <v>2485</v>
      </c>
      <c r="J814" s="44" t="s">
        <v>2486</v>
      </c>
      <c r="K814" s="44" t="s">
        <v>3122</v>
      </c>
      <c r="L814" s="44" t="s">
        <v>2333</v>
      </c>
      <c r="M814" s="43">
        <v>27</v>
      </c>
      <c r="N814" s="113"/>
      <c r="O814" s="113"/>
      <c r="P814" s="113"/>
      <c r="Q814" s="113"/>
      <c r="R814" s="113"/>
      <c r="S814" s="113"/>
      <c r="T814" s="113"/>
      <c r="U814" s="113"/>
      <c r="V814" s="113"/>
      <c r="W814" s="113"/>
      <c r="X814" s="113"/>
      <c r="Y814" s="113"/>
      <c r="Z814" s="113"/>
      <c r="AA814" s="113"/>
      <c r="AB814" s="113"/>
      <c r="AC814" s="113"/>
      <c r="AD814" s="113" t="s">
        <v>1113</v>
      </c>
      <c r="AE814" s="113"/>
      <c r="AF814" s="113"/>
      <c r="AG814" s="113"/>
      <c r="AH814" s="113"/>
      <c r="AI814" s="113"/>
      <c r="AJ814" s="113"/>
      <c r="AK814" s="319" t="s">
        <v>1113</v>
      </c>
      <c r="AL814" s="113"/>
      <c r="AM814" s="113"/>
      <c r="AN814" s="113"/>
      <c r="AO814" s="44" t="s">
        <v>2334</v>
      </c>
      <c r="AP814" s="43"/>
      <c r="AQ814" s="236" t="str">
        <f>VLOOKUP(Table8[[#This Row],[Instrument]],Def_Targets!$D$73:$E$159,2,FALSE)</f>
        <v>I_Shipping</v>
      </c>
      <c r="AR814" s="233" t="str">
        <f>VLOOKUP(Table8[[#This Row],[Country Code]],Table29[],3,FALSE)</f>
        <v>Annex I</v>
      </c>
      <c r="AS814" s="233" t="str">
        <f>VLOOKUP(Table8[[#This Row],[Country Code]],Table29[],4,FALSE)</f>
        <v>Europe</v>
      </c>
      <c r="AT814" s="233" t="str">
        <f>VLOOKUP(Table8[[#This Row],[Country Code]],Table29[],5,FALSE)</f>
        <v>High-income</v>
      </c>
      <c r="AU814" s="233" t="str">
        <f>VLOOKUP(Table8[[#This Row],[Country Code]],Table29[],6,FALSE)</f>
        <v>no</v>
      </c>
      <c r="AV814" s="233" t="str">
        <f>VLOOKUP(Table8[[#This Row],[Country Code]],Table29[],7,FALSE)</f>
        <v>no</v>
      </c>
      <c r="AW814" s="233" t="str">
        <f>VLOOKUP(Table8[[#This Row],[Country Code]],Table29[],8,FALSE)</f>
        <v>OECD</v>
      </c>
      <c r="AX814" s="233" t="str">
        <f>VLOOKUP(Table8[[#This Row],[Country Code]],Table29[],9,FALSE)</f>
        <v>EU27</v>
      </c>
      <c r="AY814" s="233" t="str">
        <f>VLOOKUP(Table8[[#This Row],[Country Code]],Table29[],10,FALSE)</f>
        <v>no</v>
      </c>
      <c r="AZ814" s="235">
        <f>VLOOKUP(Table8[[#This Row],[Country Code]],Table29[],23,FALSE)</f>
        <v>41.831473036828001</v>
      </c>
      <c r="BA814" s="235">
        <f>VLOOKUP(Table8[[#This Row],[Country Code]],Table29[],24,FALSE)</f>
        <v>11.369548725375189</v>
      </c>
      <c r="BB814" s="320"/>
      <c r="BC814" s="320"/>
    </row>
    <row r="815" spans="1:55" ht="60" hidden="1" x14ac:dyDescent="0.25">
      <c r="A815" s="373">
        <v>17575</v>
      </c>
      <c r="B815" s="233" t="str">
        <f>VLOOKUP(Table8[[#This Row],[Document ID]],Table1[],2,FALSE)</f>
        <v>DNK</v>
      </c>
      <c r="C815" s="233" t="str">
        <f>VLOOKUP(Table8[[#This Row],[Document ID]],Table1[],3,FALSE)</f>
        <v>Denmark</v>
      </c>
      <c r="D815" s="243" t="str">
        <f>VLOOKUP(Table8[[#This Row],[Document ID]],Table1[],5,FALSE)</f>
        <v>LTS</v>
      </c>
      <c r="E815" s="233" t="str">
        <f>VLOOKUP(Table8[[#This Row],[Document ID]],Table1[],7,FALSE)</f>
        <v>LTS</v>
      </c>
      <c r="F815" s="233" t="str">
        <f>VLOOKUP(Table8[[#This Row],[Document ID]],Table1[],8,FALSE)</f>
        <v>LTS 1.0</v>
      </c>
      <c r="G815" s="233" t="str">
        <f>VLOOKUP(Table8[[#This Row],[Document ID]],Table1[],10,FALSE)</f>
        <v>Active</v>
      </c>
      <c r="H815" s="43" t="s">
        <v>2343</v>
      </c>
      <c r="I815" s="43" t="s">
        <v>2386</v>
      </c>
      <c r="J815" s="44" t="s">
        <v>2397</v>
      </c>
      <c r="K815" s="44" t="s">
        <v>3123</v>
      </c>
      <c r="L815" s="44" t="s">
        <v>2373</v>
      </c>
      <c r="M815" s="43">
        <v>27</v>
      </c>
      <c r="N815" s="113" t="s">
        <v>1113</v>
      </c>
      <c r="O815" s="113"/>
      <c r="P815" s="113"/>
      <c r="Q815" s="113"/>
      <c r="R815" s="113"/>
      <c r="S815" s="113"/>
      <c r="T815" s="113"/>
      <c r="U815" s="113"/>
      <c r="V815" s="113"/>
      <c r="W815" s="113"/>
      <c r="X815" s="113"/>
      <c r="Y815" s="113"/>
      <c r="Z815" s="113"/>
      <c r="AA815" s="113"/>
      <c r="AB815" s="113"/>
      <c r="AC815" s="113"/>
      <c r="AD815" s="113" t="s">
        <v>1113</v>
      </c>
      <c r="AE815" s="113"/>
      <c r="AF815" s="113"/>
      <c r="AG815" s="113"/>
      <c r="AH815" s="113"/>
      <c r="AI815" s="113"/>
      <c r="AJ815" s="113"/>
      <c r="AK815" s="319" t="s">
        <v>1113</v>
      </c>
      <c r="AL815" s="113"/>
      <c r="AM815" s="113"/>
      <c r="AN815" s="113"/>
      <c r="AO815" s="44" t="s">
        <v>2334</v>
      </c>
      <c r="AP815" s="43"/>
      <c r="AQ815" s="236" t="str">
        <f>VLOOKUP(Table8[[#This Row],[Instrument]],Def_Targets!$D$73:$E$159,2,FALSE)</f>
        <v>A_Finance</v>
      </c>
      <c r="AR815" s="233" t="str">
        <f>VLOOKUP(Table8[[#This Row],[Country Code]],Table29[],3,FALSE)</f>
        <v>Annex I</v>
      </c>
      <c r="AS815" s="233" t="str">
        <f>VLOOKUP(Table8[[#This Row],[Country Code]],Table29[],4,FALSE)</f>
        <v>Europe</v>
      </c>
      <c r="AT815" s="233" t="str">
        <f>VLOOKUP(Table8[[#This Row],[Country Code]],Table29[],5,FALSE)</f>
        <v>High-income</v>
      </c>
      <c r="AU815" s="233" t="str">
        <f>VLOOKUP(Table8[[#This Row],[Country Code]],Table29[],6,FALSE)</f>
        <v>no</v>
      </c>
      <c r="AV815" s="233" t="str">
        <f>VLOOKUP(Table8[[#This Row],[Country Code]],Table29[],7,FALSE)</f>
        <v>no</v>
      </c>
      <c r="AW815" s="233" t="str">
        <f>VLOOKUP(Table8[[#This Row],[Country Code]],Table29[],8,FALSE)</f>
        <v>OECD</v>
      </c>
      <c r="AX815" s="233" t="str">
        <f>VLOOKUP(Table8[[#This Row],[Country Code]],Table29[],9,FALSE)</f>
        <v>EU27</v>
      </c>
      <c r="AY815" s="233" t="str">
        <f>VLOOKUP(Table8[[#This Row],[Country Code]],Table29[],10,FALSE)</f>
        <v>no</v>
      </c>
      <c r="AZ815" s="235">
        <f>VLOOKUP(Table8[[#This Row],[Country Code]],Table29[],23,FALSE)</f>
        <v>41.831473036828001</v>
      </c>
      <c r="BA815" s="235">
        <f>VLOOKUP(Table8[[#This Row],[Country Code]],Table29[],24,FALSE)</f>
        <v>11.369548725375189</v>
      </c>
      <c r="BB815" s="320"/>
      <c r="BC815" s="320"/>
    </row>
    <row r="816" spans="1:55" ht="45" hidden="1" x14ac:dyDescent="0.25">
      <c r="A816" s="373">
        <v>17575</v>
      </c>
      <c r="B816" s="233" t="str">
        <f>VLOOKUP(Table8[[#This Row],[Document ID]],Table1[],2,FALSE)</f>
        <v>DNK</v>
      </c>
      <c r="C816" s="233" t="str">
        <f>VLOOKUP(Table8[[#This Row],[Document ID]],Table1[],3,FALSE)</f>
        <v>Denmark</v>
      </c>
      <c r="D816" s="243" t="str">
        <f>VLOOKUP(Table8[[#This Row],[Document ID]],Table1[],5,FALSE)</f>
        <v>LTS</v>
      </c>
      <c r="E816" s="233" t="str">
        <f>VLOOKUP(Table8[[#This Row],[Document ID]],Table1[],7,FALSE)</f>
        <v>LTS</v>
      </c>
      <c r="F816" s="233" t="str">
        <f>VLOOKUP(Table8[[#This Row],[Document ID]],Table1[],8,FALSE)</f>
        <v>LTS 1.0</v>
      </c>
      <c r="G816" s="233" t="str">
        <f>VLOOKUP(Table8[[#This Row],[Document ID]],Table1[],10,FALSE)</f>
        <v>Active</v>
      </c>
      <c r="H816" s="43" t="s">
        <v>2350</v>
      </c>
      <c r="I816" s="43" t="s">
        <v>2370</v>
      </c>
      <c r="J816" s="44" t="s">
        <v>2371</v>
      </c>
      <c r="K816" s="44" t="s">
        <v>3124</v>
      </c>
      <c r="L816" s="44" t="s">
        <v>2373</v>
      </c>
      <c r="M816" s="43">
        <v>27</v>
      </c>
      <c r="N816" s="113"/>
      <c r="O816" s="113"/>
      <c r="P816" s="113"/>
      <c r="Q816" s="113"/>
      <c r="R816" s="113"/>
      <c r="S816" s="113" t="s">
        <v>1113</v>
      </c>
      <c r="T816" s="113"/>
      <c r="U816" s="113" t="s">
        <v>1113</v>
      </c>
      <c r="V816" s="113"/>
      <c r="W816" s="113"/>
      <c r="X816" s="113" t="s">
        <v>1113</v>
      </c>
      <c r="Y816" s="113"/>
      <c r="Z816" s="113"/>
      <c r="AA816" s="113"/>
      <c r="AB816" s="113"/>
      <c r="AC816" s="113"/>
      <c r="AD816" s="113"/>
      <c r="AE816" s="113"/>
      <c r="AF816" s="113"/>
      <c r="AG816" s="113"/>
      <c r="AH816" s="113"/>
      <c r="AI816" s="113"/>
      <c r="AJ816" s="113"/>
      <c r="AK816" s="319" t="s">
        <v>1113</v>
      </c>
      <c r="AL816" s="113"/>
      <c r="AM816" s="113"/>
      <c r="AN816" s="113"/>
      <c r="AO816" s="43" t="s">
        <v>2477</v>
      </c>
      <c r="AP816" s="43"/>
      <c r="AQ816" s="236" t="str">
        <f>VLOOKUP(Table8[[#This Row],[Instrument]],Def_Targets!$D$73:$E$159,2,FALSE)</f>
        <v>A_Natmobplan</v>
      </c>
      <c r="AR816" s="233" t="str">
        <f>VLOOKUP(Table8[[#This Row],[Country Code]],Table29[],3,FALSE)</f>
        <v>Annex I</v>
      </c>
      <c r="AS816" s="233" t="str">
        <f>VLOOKUP(Table8[[#This Row],[Country Code]],Table29[],4,FALSE)</f>
        <v>Europe</v>
      </c>
      <c r="AT816" s="233" t="str">
        <f>VLOOKUP(Table8[[#This Row],[Country Code]],Table29[],5,FALSE)</f>
        <v>High-income</v>
      </c>
      <c r="AU816" s="233" t="str">
        <f>VLOOKUP(Table8[[#This Row],[Country Code]],Table29[],6,FALSE)</f>
        <v>no</v>
      </c>
      <c r="AV816" s="233" t="str">
        <f>VLOOKUP(Table8[[#This Row],[Country Code]],Table29[],7,FALSE)</f>
        <v>no</v>
      </c>
      <c r="AW816" s="233" t="str">
        <f>VLOOKUP(Table8[[#This Row],[Country Code]],Table29[],8,FALSE)</f>
        <v>OECD</v>
      </c>
      <c r="AX816" s="233" t="str">
        <f>VLOOKUP(Table8[[#This Row],[Country Code]],Table29[],9,FALSE)</f>
        <v>EU27</v>
      </c>
      <c r="AY816" s="233" t="str">
        <f>VLOOKUP(Table8[[#This Row],[Country Code]],Table29[],10,FALSE)</f>
        <v>no</v>
      </c>
      <c r="AZ816" s="235">
        <f>VLOOKUP(Table8[[#This Row],[Country Code]],Table29[],23,FALSE)</f>
        <v>41.831473036828001</v>
      </c>
      <c r="BA816" s="235">
        <f>VLOOKUP(Table8[[#This Row],[Country Code]],Table29[],24,FALSE)</f>
        <v>11.369548725375189</v>
      </c>
      <c r="BB816" s="320"/>
      <c r="BC816" s="320"/>
    </row>
    <row r="817" spans="1:55" ht="30" hidden="1" x14ac:dyDescent="0.25">
      <c r="A817" s="373">
        <v>17575</v>
      </c>
      <c r="B817" s="233" t="str">
        <f>VLOOKUP(Table8[[#This Row],[Document ID]],Table1[],2,FALSE)</f>
        <v>DNK</v>
      </c>
      <c r="C817" s="233" t="str">
        <f>VLOOKUP(Table8[[#This Row],[Document ID]],Table1[],3,FALSE)</f>
        <v>Denmark</v>
      </c>
      <c r="D817" s="243" t="str">
        <f>VLOOKUP(Table8[[#This Row],[Document ID]],Table1[],5,FALSE)</f>
        <v>LTS</v>
      </c>
      <c r="E817" s="233" t="str">
        <f>VLOOKUP(Table8[[#This Row],[Document ID]],Table1[],7,FALSE)</f>
        <v>LTS</v>
      </c>
      <c r="F817" s="233" t="str">
        <f>VLOOKUP(Table8[[#This Row],[Document ID]],Table1[],8,FALSE)</f>
        <v>LTS 1.0</v>
      </c>
      <c r="G817" s="233" t="str">
        <f>VLOOKUP(Table8[[#This Row],[Document ID]],Table1[],10,FALSE)</f>
        <v>Active</v>
      </c>
      <c r="H817" s="44" t="s">
        <v>2329</v>
      </c>
      <c r="I817" s="44" t="s">
        <v>2330</v>
      </c>
      <c r="J817" s="44" t="s">
        <v>2357</v>
      </c>
      <c r="K817" s="44" t="s">
        <v>3125</v>
      </c>
      <c r="L817" s="44" t="s">
        <v>2333</v>
      </c>
      <c r="M817" s="43">
        <v>27</v>
      </c>
      <c r="N817" s="113" t="s">
        <v>1113</v>
      </c>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319" t="s">
        <v>1113</v>
      </c>
      <c r="AL817" s="113"/>
      <c r="AM817" s="113"/>
      <c r="AN817" s="113"/>
      <c r="AO817" s="44" t="s">
        <v>2334</v>
      </c>
      <c r="AP817" s="43"/>
      <c r="AQ817" s="236" t="str">
        <f>VLOOKUP(Table8[[#This Row],[Instrument]],Def_Targets!$D$73:$E$159,2,FALSE)</f>
        <v>I_Biofuel</v>
      </c>
      <c r="AR817" s="233" t="str">
        <f>VLOOKUP(Table8[[#This Row],[Country Code]],Table29[],3,FALSE)</f>
        <v>Annex I</v>
      </c>
      <c r="AS817" s="233" t="str">
        <f>VLOOKUP(Table8[[#This Row],[Country Code]],Table29[],4,FALSE)</f>
        <v>Europe</v>
      </c>
      <c r="AT817" s="233" t="str">
        <f>VLOOKUP(Table8[[#This Row],[Country Code]],Table29[],5,FALSE)</f>
        <v>High-income</v>
      </c>
      <c r="AU817" s="233" t="str">
        <f>VLOOKUP(Table8[[#This Row],[Country Code]],Table29[],6,FALSE)</f>
        <v>no</v>
      </c>
      <c r="AV817" s="233" t="str">
        <f>VLOOKUP(Table8[[#This Row],[Country Code]],Table29[],7,FALSE)</f>
        <v>no</v>
      </c>
      <c r="AW817" s="233" t="str">
        <f>VLOOKUP(Table8[[#This Row],[Country Code]],Table29[],8,FALSE)</f>
        <v>OECD</v>
      </c>
      <c r="AX817" s="233" t="str">
        <f>VLOOKUP(Table8[[#This Row],[Country Code]],Table29[],9,FALSE)</f>
        <v>EU27</v>
      </c>
      <c r="AY817" s="233" t="str">
        <f>VLOOKUP(Table8[[#This Row],[Country Code]],Table29[],10,FALSE)</f>
        <v>no</v>
      </c>
      <c r="AZ817" s="235">
        <f>VLOOKUP(Table8[[#This Row],[Country Code]],Table29[],23,FALSE)</f>
        <v>41.831473036828001</v>
      </c>
      <c r="BA817" s="235">
        <f>VLOOKUP(Table8[[#This Row],[Country Code]],Table29[],24,FALSE)</f>
        <v>11.369548725375189</v>
      </c>
      <c r="BB817" s="320"/>
      <c r="BC817" s="320"/>
    </row>
    <row r="818" spans="1:55" ht="30" hidden="1" x14ac:dyDescent="0.25">
      <c r="A818" s="373">
        <v>17575</v>
      </c>
      <c r="B818" s="233" t="str">
        <f>VLOOKUP(Table8[[#This Row],[Document ID]],Table1[],2,FALSE)</f>
        <v>DNK</v>
      </c>
      <c r="C818" s="233" t="str">
        <f>VLOOKUP(Table8[[#This Row],[Document ID]],Table1[],3,FALSE)</f>
        <v>Denmark</v>
      </c>
      <c r="D818" s="243" t="str">
        <f>VLOOKUP(Table8[[#This Row],[Document ID]],Table1[],5,FALSE)</f>
        <v>LTS</v>
      </c>
      <c r="E818" s="233" t="str">
        <f>VLOOKUP(Table8[[#This Row],[Document ID]],Table1[],7,FALSE)</f>
        <v>LTS</v>
      </c>
      <c r="F818" s="233" t="str">
        <f>VLOOKUP(Table8[[#This Row],[Document ID]],Table1[],8,FALSE)</f>
        <v>LTS 1.0</v>
      </c>
      <c r="G818" s="233" t="str">
        <f>VLOOKUP(Table8[[#This Row],[Document ID]],Table1[],10,FALSE)</f>
        <v>Active</v>
      </c>
      <c r="H818" s="43" t="s">
        <v>2343</v>
      </c>
      <c r="I818" s="43" t="s">
        <v>2386</v>
      </c>
      <c r="J818" s="44" t="s">
        <v>3055</v>
      </c>
      <c r="K818" s="44" t="s">
        <v>3126</v>
      </c>
      <c r="L818" s="44" t="s">
        <v>2373</v>
      </c>
      <c r="M818" s="43">
        <v>27</v>
      </c>
      <c r="N818" s="113"/>
      <c r="O818" s="113"/>
      <c r="P818" s="113"/>
      <c r="Q818" s="113"/>
      <c r="R818" s="113"/>
      <c r="S818" s="113" t="s">
        <v>1113</v>
      </c>
      <c r="T818" s="113"/>
      <c r="U818" s="113"/>
      <c r="V818" s="113"/>
      <c r="W818" s="113"/>
      <c r="X818" s="113"/>
      <c r="Y818" s="113"/>
      <c r="Z818" s="113"/>
      <c r="AA818" s="113"/>
      <c r="AB818" s="113"/>
      <c r="AC818" s="113"/>
      <c r="AD818" s="113"/>
      <c r="AE818" s="113"/>
      <c r="AF818" s="113"/>
      <c r="AG818" s="113"/>
      <c r="AH818" s="113"/>
      <c r="AI818" s="113"/>
      <c r="AJ818" s="113"/>
      <c r="AK818" s="319" t="s">
        <v>1113</v>
      </c>
      <c r="AL818" s="113"/>
      <c r="AM818" s="113"/>
      <c r="AN818" s="113"/>
      <c r="AO818" s="44" t="s">
        <v>2334</v>
      </c>
      <c r="AP818" s="43"/>
      <c r="AQ818" s="236" t="str">
        <f>VLOOKUP(Table8[[#This Row],[Instrument]],Def_Targets!$D$73:$E$159,2,FALSE)</f>
        <v>A_Emistrad</v>
      </c>
      <c r="AR818" s="233" t="str">
        <f>VLOOKUP(Table8[[#This Row],[Country Code]],Table29[],3,FALSE)</f>
        <v>Annex I</v>
      </c>
      <c r="AS818" s="233" t="str">
        <f>VLOOKUP(Table8[[#This Row],[Country Code]],Table29[],4,FALSE)</f>
        <v>Europe</v>
      </c>
      <c r="AT818" s="233" t="str">
        <f>VLOOKUP(Table8[[#This Row],[Country Code]],Table29[],5,FALSE)</f>
        <v>High-income</v>
      </c>
      <c r="AU818" s="233" t="str">
        <f>VLOOKUP(Table8[[#This Row],[Country Code]],Table29[],6,FALSE)</f>
        <v>no</v>
      </c>
      <c r="AV818" s="233" t="str">
        <f>VLOOKUP(Table8[[#This Row],[Country Code]],Table29[],7,FALSE)</f>
        <v>no</v>
      </c>
      <c r="AW818" s="233" t="str">
        <f>VLOOKUP(Table8[[#This Row],[Country Code]],Table29[],8,FALSE)</f>
        <v>OECD</v>
      </c>
      <c r="AX818" s="233" t="str">
        <f>VLOOKUP(Table8[[#This Row],[Country Code]],Table29[],9,FALSE)</f>
        <v>EU27</v>
      </c>
      <c r="AY818" s="233" t="str">
        <f>VLOOKUP(Table8[[#This Row],[Country Code]],Table29[],10,FALSE)</f>
        <v>no</v>
      </c>
      <c r="AZ818" s="235">
        <f>VLOOKUP(Table8[[#This Row],[Country Code]],Table29[],23,FALSE)</f>
        <v>41.831473036828001</v>
      </c>
      <c r="BA818" s="235">
        <f>VLOOKUP(Table8[[#This Row],[Country Code]],Table29[],24,FALSE)</f>
        <v>11.369548725375189</v>
      </c>
      <c r="BB818" s="320"/>
      <c r="BC818" s="320"/>
    </row>
    <row r="819" spans="1:55" ht="135" hidden="1" x14ac:dyDescent="0.25">
      <c r="A819" s="373">
        <v>17575</v>
      </c>
      <c r="B819" s="233" t="str">
        <f>VLOOKUP(Table8[[#This Row],[Document ID]],Table1[],2,FALSE)</f>
        <v>DNK</v>
      </c>
      <c r="C819" s="233" t="str">
        <f>VLOOKUP(Table8[[#This Row],[Document ID]],Table1[],3,FALSE)</f>
        <v>Denmark</v>
      </c>
      <c r="D819" s="243" t="str">
        <f>VLOOKUP(Table8[[#This Row],[Document ID]],Table1[],5,FALSE)</f>
        <v>LTS</v>
      </c>
      <c r="E819" s="233" t="str">
        <f>VLOOKUP(Table8[[#This Row],[Document ID]],Table1[],7,FALSE)</f>
        <v>LTS</v>
      </c>
      <c r="F819" s="233" t="str">
        <f>VLOOKUP(Table8[[#This Row],[Document ID]],Table1[],8,FALSE)</f>
        <v>LTS 1.0</v>
      </c>
      <c r="G819" s="233" t="str">
        <f>VLOOKUP(Table8[[#This Row],[Document ID]],Table1[],10,FALSE)</f>
        <v>Active</v>
      </c>
      <c r="H819" s="44" t="s">
        <v>2329</v>
      </c>
      <c r="I819" s="44" t="s">
        <v>2330</v>
      </c>
      <c r="J819" s="44" t="s">
        <v>2414</v>
      </c>
      <c r="K819" s="44" t="s">
        <v>3127</v>
      </c>
      <c r="L819" s="44" t="s">
        <v>2333</v>
      </c>
      <c r="M819" s="43">
        <v>27</v>
      </c>
      <c r="N819" s="113" t="s">
        <v>1113</v>
      </c>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319" t="s">
        <v>1113</v>
      </c>
      <c r="AL819" s="113"/>
      <c r="AM819" s="113"/>
      <c r="AN819" s="113"/>
      <c r="AO819" s="44" t="s">
        <v>2334</v>
      </c>
      <c r="AP819" s="43"/>
      <c r="AQ819" s="236" t="str">
        <f>VLOOKUP(Table8[[#This Row],[Instrument]],Def_Targets!$D$73:$E$159,2,FALSE)</f>
        <v>I_ICEdiesel</v>
      </c>
      <c r="AR819" s="233" t="str">
        <f>VLOOKUP(Table8[[#This Row],[Country Code]],Table29[],3,FALSE)</f>
        <v>Annex I</v>
      </c>
      <c r="AS819" s="233" t="str">
        <f>VLOOKUP(Table8[[#This Row],[Country Code]],Table29[],4,FALSE)</f>
        <v>Europe</v>
      </c>
      <c r="AT819" s="233" t="str">
        <f>VLOOKUP(Table8[[#This Row],[Country Code]],Table29[],5,FALSE)</f>
        <v>High-income</v>
      </c>
      <c r="AU819" s="233" t="str">
        <f>VLOOKUP(Table8[[#This Row],[Country Code]],Table29[],6,FALSE)</f>
        <v>no</v>
      </c>
      <c r="AV819" s="233" t="str">
        <f>VLOOKUP(Table8[[#This Row],[Country Code]],Table29[],7,FALSE)</f>
        <v>no</v>
      </c>
      <c r="AW819" s="233" t="str">
        <f>VLOOKUP(Table8[[#This Row],[Country Code]],Table29[],8,FALSE)</f>
        <v>OECD</v>
      </c>
      <c r="AX819" s="233" t="str">
        <f>VLOOKUP(Table8[[#This Row],[Country Code]],Table29[],9,FALSE)</f>
        <v>EU27</v>
      </c>
      <c r="AY819" s="233" t="str">
        <f>VLOOKUP(Table8[[#This Row],[Country Code]],Table29[],10,FALSE)</f>
        <v>no</v>
      </c>
      <c r="AZ819" s="235">
        <f>VLOOKUP(Table8[[#This Row],[Country Code]],Table29[],23,FALSE)</f>
        <v>41.831473036828001</v>
      </c>
      <c r="BA819" s="235">
        <f>VLOOKUP(Table8[[#This Row],[Country Code]],Table29[],24,FALSE)</f>
        <v>11.369548725375189</v>
      </c>
      <c r="BB819" s="320"/>
      <c r="BC819" s="320"/>
    </row>
    <row r="820" spans="1:55" ht="60" hidden="1" x14ac:dyDescent="0.25">
      <c r="A820" s="373">
        <v>17575</v>
      </c>
      <c r="B820" s="233" t="str">
        <f>VLOOKUP(Table8[[#This Row],[Document ID]],Table1[],2,FALSE)</f>
        <v>DNK</v>
      </c>
      <c r="C820" s="233" t="str">
        <f>VLOOKUP(Table8[[#This Row],[Document ID]],Table1[],3,FALSE)</f>
        <v>Denmark</v>
      </c>
      <c r="D820" s="243" t="str">
        <f>VLOOKUP(Table8[[#This Row],[Document ID]],Table1[],5,FALSE)</f>
        <v>LTS</v>
      </c>
      <c r="E820" s="233" t="str">
        <f>VLOOKUP(Table8[[#This Row],[Document ID]],Table1[],7,FALSE)</f>
        <v>LTS</v>
      </c>
      <c r="F820" s="233" t="str">
        <f>VLOOKUP(Table8[[#This Row],[Document ID]],Table1[],8,FALSE)</f>
        <v>LTS 1.0</v>
      </c>
      <c r="G820" s="233" t="str">
        <f>VLOOKUP(Table8[[#This Row],[Document ID]],Table1[],10,FALSE)</f>
        <v>Active</v>
      </c>
      <c r="H820" s="43" t="s">
        <v>2343</v>
      </c>
      <c r="I820" s="43" t="s">
        <v>2386</v>
      </c>
      <c r="J820" s="44" t="s">
        <v>3055</v>
      </c>
      <c r="K820" s="44" t="s">
        <v>3128</v>
      </c>
      <c r="L820" s="44" t="s">
        <v>2380</v>
      </c>
      <c r="M820" s="43">
        <v>27</v>
      </c>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t="s">
        <v>1113</v>
      </c>
      <c r="AI820" s="113"/>
      <c r="AJ820" s="113"/>
      <c r="AK820" s="319" t="s">
        <v>1113</v>
      </c>
      <c r="AL820" s="113"/>
      <c r="AM820" s="113"/>
      <c r="AN820" s="113"/>
      <c r="AO820" s="44" t="s">
        <v>2334</v>
      </c>
      <c r="AP820" s="43"/>
      <c r="AQ820" s="236" t="str">
        <f>VLOOKUP(Table8[[#This Row],[Instrument]],Def_Targets!$D$73:$E$159,2,FALSE)</f>
        <v>A_Emistrad</v>
      </c>
      <c r="AR820" s="233" t="str">
        <f>VLOOKUP(Table8[[#This Row],[Country Code]],Table29[],3,FALSE)</f>
        <v>Annex I</v>
      </c>
      <c r="AS820" s="233" t="str">
        <f>VLOOKUP(Table8[[#This Row],[Country Code]],Table29[],4,FALSE)</f>
        <v>Europe</v>
      </c>
      <c r="AT820" s="233" t="str">
        <f>VLOOKUP(Table8[[#This Row],[Country Code]],Table29[],5,FALSE)</f>
        <v>High-income</v>
      </c>
      <c r="AU820" s="233" t="str">
        <f>VLOOKUP(Table8[[#This Row],[Country Code]],Table29[],6,FALSE)</f>
        <v>no</v>
      </c>
      <c r="AV820" s="233" t="str">
        <f>VLOOKUP(Table8[[#This Row],[Country Code]],Table29[],7,FALSE)</f>
        <v>no</v>
      </c>
      <c r="AW820" s="233" t="str">
        <f>VLOOKUP(Table8[[#This Row],[Country Code]],Table29[],8,FALSE)</f>
        <v>OECD</v>
      </c>
      <c r="AX820" s="233" t="str">
        <f>VLOOKUP(Table8[[#This Row],[Country Code]],Table29[],9,FALSE)</f>
        <v>EU27</v>
      </c>
      <c r="AY820" s="233" t="str">
        <f>VLOOKUP(Table8[[#This Row],[Country Code]],Table29[],10,FALSE)</f>
        <v>no</v>
      </c>
      <c r="AZ820" s="235">
        <f>VLOOKUP(Table8[[#This Row],[Country Code]],Table29[],23,FALSE)</f>
        <v>41.831473036828001</v>
      </c>
      <c r="BA820" s="235">
        <f>VLOOKUP(Table8[[#This Row],[Country Code]],Table29[],24,FALSE)</f>
        <v>11.369548725375189</v>
      </c>
      <c r="BB820" s="320"/>
      <c r="BC820" s="320"/>
    </row>
    <row r="821" spans="1:55" ht="30" hidden="1" x14ac:dyDescent="0.25">
      <c r="A821" s="373">
        <v>17575</v>
      </c>
      <c r="B821" s="233" t="str">
        <f>VLOOKUP(Table8[[#This Row],[Document ID]],Table1[],2,FALSE)</f>
        <v>DNK</v>
      </c>
      <c r="C821" s="233" t="str">
        <f>VLOOKUP(Table8[[#This Row],[Document ID]],Table1[],3,FALSE)</f>
        <v>Denmark</v>
      </c>
      <c r="D821" s="243" t="str">
        <f>VLOOKUP(Table8[[#This Row],[Document ID]],Table1[],5,FALSE)</f>
        <v>LTS</v>
      </c>
      <c r="E821" s="233" t="str">
        <f>VLOOKUP(Table8[[#This Row],[Document ID]],Table1[],7,FALSE)</f>
        <v>LTS</v>
      </c>
      <c r="F821" s="233" t="str">
        <f>VLOOKUP(Table8[[#This Row],[Document ID]],Table1[],8,FALSE)</f>
        <v>LTS 1.0</v>
      </c>
      <c r="G821" s="233" t="str">
        <f>VLOOKUP(Table8[[#This Row],[Document ID]],Table1[],10,FALSE)</f>
        <v>Active</v>
      </c>
      <c r="H821" s="43" t="s">
        <v>2484</v>
      </c>
      <c r="I821" s="43" t="s">
        <v>2485</v>
      </c>
      <c r="J821" s="44" t="s">
        <v>2486</v>
      </c>
      <c r="K821" s="44" t="s">
        <v>3129</v>
      </c>
      <c r="L821" s="44" t="s">
        <v>2333</v>
      </c>
      <c r="M821" s="43">
        <v>27</v>
      </c>
      <c r="N821" s="113"/>
      <c r="O821" s="113"/>
      <c r="P821" s="113"/>
      <c r="Q821" s="113"/>
      <c r="R821" s="113"/>
      <c r="S821" s="113"/>
      <c r="T821" s="113"/>
      <c r="U821" s="113"/>
      <c r="V821" s="113"/>
      <c r="W821" s="113"/>
      <c r="X821" s="113"/>
      <c r="Y821" s="113"/>
      <c r="Z821" s="113"/>
      <c r="AA821" s="113"/>
      <c r="AB821" s="113"/>
      <c r="AC821" s="113"/>
      <c r="AD821" s="113" t="s">
        <v>1113</v>
      </c>
      <c r="AE821" s="113"/>
      <c r="AF821" s="113"/>
      <c r="AG821" s="113"/>
      <c r="AH821" s="113"/>
      <c r="AI821" s="113"/>
      <c r="AJ821" s="113"/>
      <c r="AK821" s="319" t="s">
        <v>1113</v>
      </c>
      <c r="AL821" s="113"/>
      <c r="AM821" s="113"/>
      <c r="AN821" s="113"/>
      <c r="AO821" s="44" t="s">
        <v>2334</v>
      </c>
      <c r="AP821" s="43"/>
      <c r="AQ821" s="236" t="str">
        <f>VLOOKUP(Table8[[#This Row],[Instrument]],Def_Targets!$D$73:$E$159,2,FALSE)</f>
        <v>I_Shipping</v>
      </c>
      <c r="AR821" s="233" t="str">
        <f>VLOOKUP(Table8[[#This Row],[Country Code]],Table29[],3,FALSE)</f>
        <v>Annex I</v>
      </c>
      <c r="AS821" s="233" t="str">
        <f>VLOOKUP(Table8[[#This Row],[Country Code]],Table29[],4,FALSE)</f>
        <v>Europe</v>
      </c>
      <c r="AT821" s="233" t="str">
        <f>VLOOKUP(Table8[[#This Row],[Country Code]],Table29[],5,FALSE)</f>
        <v>High-income</v>
      </c>
      <c r="AU821" s="233" t="str">
        <f>VLOOKUP(Table8[[#This Row],[Country Code]],Table29[],6,FALSE)</f>
        <v>no</v>
      </c>
      <c r="AV821" s="233" t="str">
        <f>VLOOKUP(Table8[[#This Row],[Country Code]],Table29[],7,FALSE)</f>
        <v>no</v>
      </c>
      <c r="AW821" s="233" t="str">
        <f>VLOOKUP(Table8[[#This Row],[Country Code]],Table29[],8,FALSE)</f>
        <v>OECD</v>
      </c>
      <c r="AX821" s="233" t="str">
        <f>VLOOKUP(Table8[[#This Row],[Country Code]],Table29[],9,FALSE)</f>
        <v>EU27</v>
      </c>
      <c r="AY821" s="233" t="str">
        <f>VLOOKUP(Table8[[#This Row],[Country Code]],Table29[],10,FALSE)</f>
        <v>no</v>
      </c>
      <c r="AZ821" s="235">
        <f>VLOOKUP(Table8[[#This Row],[Country Code]],Table29[],23,FALSE)</f>
        <v>41.831473036828001</v>
      </c>
      <c r="BA821" s="235">
        <f>VLOOKUP(Table8[[#This Row],[Country Code]],Table29[],24,FALSE)</f>
        <v>11.369548725375189</v>
      </c>
      <c r="BB821" s="320"/>
      <c r="BC821" s="320"/>
    </row>
    <row r="822" spans="1:55" ht="60" hidden="1" x14ac:dyDescent="0.25">
      <c r="A822" s="373">
        <v>17575</v>
      </c>
      <c r="B822" s="233" t="str">
        <f>VLOOKUP(Table8[[#This Row],[Document ID]],Table1[],2,FALSE)</f>
        <v>DNK</v>
      </c>
      <c r="C822" s="233" t="str">
        <f>VLOOKUP(Table8[[#This Row],[Document ID]],Table1[],3,FALSE)</f>
        <v>Denmark</v>
      </c>
      <c r="D822" s="243" t="str">
        <f>VLOOKUP(Table8[[#This Row],[Document ID]],Table1[],5,FALSE)</f>
        <v>LTS</v>
      </c>
      <c r="E822" s="233" t="str">
        <f>VLOOKUP(Table8[[#This Row],[Document ID]],Table1[],7,FALSE)</f>
        <v>LTS</v>
      </c>
      <c r="F822" s="233" t="str">
        <f>VLOOKUP(Table8[[#This Row],[Document ID]],Table1[],8,FALSE)</f>
        <v>LTS 1.0</v>
      </c>
      <c r="G822" s="233" t="str">
        <f>VLOOKUP(Table8[[#This Row],[Document ID]],Table1[],10,FALSE)</f>
        <v>Active</v>
      </c>
      <c r="H822" s="44" t="s">
        <v>2329</v>
      </c>
      <c r="I822" s="44" t="s">
        <v>2330</v>
      </c>
      <c r="J822" s="44" t="s">
        <v>2391</v>
      </c>
      <c r="K822" s="44" t="s">
        <v>3130</v>
      </c>
      <c r="L822" s="44" t="s">
        <v>2333</v>
      </c>
      <c r="M822" s="43">
        <v>27</v>
      </c>
      <c r="N822" s="113" t="s">
        <v>1113</v>
      </c>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319" t="s">
        <v>1113</v>
      </c>
      <c r="AL822" s="113"/>
      <c r="AM822" s="113"/>
      <c r="AN822" s="113"/>
      <c r="AO822" s="44" t="s">
        <v>2334</v>
      </c>
      <c r="AP822" s="43"/>
      <c r="AQ822" s="236" t="str">
        <f>VLOOKUP(Table8[[#This Row],[Instrument]],Def_Targets!$D$73:$E$159,2,FALSE)</f>
        <v>I_Hydrogen</v>
      </c>
      <c r="AR822" s="233" t="str">
        <f>VLOOKUP(Table8[[#This Row],[Country Code]],Table29[],3,FALSE)</f>
        <v>Annex I</v>
      </c>
      <c r="AS822" s="233" t="str">
        <f>VLOOKUP(Table8[[#This Row],[Country Code]],Table29[],4,FALSE)</f>
        <v>Europe</v>
      </c>
      <c r="AT822" s="233" t="str">
        <f>VLOOKUP(Table8[[#This Row],[Country Code]],Table29[],5,FALSE)</f>
        <v>High-income</v>
      </c>
      <c r="AU822" s="233" t="str">
        <f>VLOOKUP(Table8[[#This Row],[Country Code]],Table29[],6,FALSE)</f>
        <v>no</v>
      </c>
      <c r="AV822" s="233" t="str">
        <f>VLOOKUP(Table8[[#This Row],[Country Code]],Table29[],7,FALSE)</f>
        <v>no</v>
      </c>
      <c r="AW822" s="233" t="str">
        <f>VLOOKUP(Table8[[#This Row],[Country Code]],Table29[],8,FALSE)</f>
        <v>OECD</v>
      </c>
      <c r="AX822" s="233" t="str">
        <f>VLOOKUP(Table8[[#This Row],[Country Code]],Table29[],9,FALSE)</f>
        <v>EU27</v>
      </c>
      <c r="AY822" s="233" t="str">
        <f>VLOOKUP(Table8[[#This Row],[Country Code]],Table29[],10,FALSE)</f>
        <v>no</v>
      </c>
      <c r="AZ822" s="235">
        <f>VLOOKUP(Table8[[#This Row],[Country Code]],Table29[],23,FALSE)</f>
        <v>41.831473036828001</v>
      </c>
      <c r="BA822" s="235">
        <f>VLOOKUP(Table8[[#This Row],[Country Code]],Table29[],24,FALSE)</f>
        <v>11.369548725375189</v>
      </c>
      <c r="BB822" s="320"/>
      <c r="BC822" s="320"/>
    </row>
    <row r="823" spans="1:55" ht="90" hidden="1" x14ac:dyDescent="0.25">
      <c r="A823" s="373">
        <v>17575</v>
      </c>
      <c r="B823" s="233" t="str">
        <f>VLOOKUP(Table8[[#This Row],[Document ID]],Table1[],2,FALSE)</f>
        <v>DNK</v>
      </c>
      <c r="C823" s="233" t="str">
        <f>VLOOKUP(Table8[[#This Row],[Document ID]],Table1[],3,FALSE)</f>
        <v>Denmark</v>
      </c>
      <c r="D823" s="243" t="str">
        <f>VLOOKUP(Table8[[#This Row],[Document ID]],Table1[],5,FALSE)</f>
        <v>LTS</v>
      </c>
      <c r="E823" s="233" t="str">
        <f>VLOOKUP(Table8[[#This Row],[Document ID]],Table1[],7,FALSE)</f>
        <v>LTS</v>
      </c>
      <c r="F823" s="233" t="str">
        <f>VLOOKUP(Table8[[#This Row],[Document ID]],Table1[],8,FALSE)</f>
        <v>LTS 1.0</v>
      </c>
      <c r="G823" s="233" t="str">
        <f>VLOOKUP(Table8[[#This Row],[Document ID]],Table1[],10,FALSE)</f>
        <v>Active</v>
      </c>
      <c r="H823" s="43" t="s">
        <v>2343</v>
      </c>
      <c r="I823" s="43" t="s">
        <v>2429</v>
      </c>
      <c r="J823" s="44" t="s">
        <v>2610</v>
      </c>
      <c r="K823" s="44" t="s">
        <v>3131</v>
      </c>
      <c r="L823" s="44" t="s">
        <v>2333</v>
      </c>
      <c r="M823" s="43">
        <v>27</v>
      </c>
      <c r="N823" s="113" t="s">
        <v>1113</v>
      </c>
      <c r="O823" s="113"/>
      <c r="P823" s="113"/>
      <c r="Q823" s="113"/>
      <c r="R823" s="113"/>
      <c r="S823" s="113"/>
      <c r="T823" s="113"/>
      <c r="U823" s="113"/>
      <c r="V823" s="113"/>
      <c r="W823" s="113"/>
      <c r="X823" s="113"/>
      <c r="Y823" s="113"/>
      <c r="Z823" s="113"/>
      <c r="AA823" s="113"/>
      <c r="AB823" s="113"/>
      <c r="AC823" s="113"/>
      <c r="AD823" s="113"/>
      <c r="AE823" s="113"/>
      <c r="AF823" s="113"/>
      <c r="AG823" s="113"/>
      <c r="AH823" s="113"/>
      <c r="AI823" s="113"/>
      <c r="AJ823" s="113"/>
      <c r="AK823" s="319" t="s">
        <v>1113</v>
      </c>
      <c r="AL823" s="113"/>
      <c r="AM823" s="113"/>
      <c r="AN823" s="113"/>
      <c r="AO823" s="44" t="s">
        <v>2334</v>
      </c>
      <c r="AP823" s="43"/>
      <c r="AQ823" s="236" t="e">
        <f>VLOOKUP(Table8[[#This Row],[Instrument]],Def_Targets!$D$73:$E$159,2,FALSE)</f>
        <v>#N/A</v>
      </c>
      <c r="AR823" s="233" t="str">
        <f>VLOOKUP(Table8[[#This Row],[Country Code]],Table29[],3,FALSE)</f>
        <v>Annex I</v>
      </c>
      <c r="AS823" s="233" t="str">
        <f>VLOOKUP(Table8[[#This Row],[Country Code]],Table29[],4,FALSE)</f>
        <v>Europe</v>
      </c>
      <c r="AT823" s="233" t="str">
        <f>VLOOKUP(Table8[[#This Row],[Country Code]],Table29[],5,FALSE)</f>
        <v>High-income</v>
      </c>
      <c r="AU823" s="233" t="str">
        <f>VLOOKUP(Table8[[#This Row],[Country Code]],Table29[],6,FALSE)</f>
        <v>no</v>
      </c>
      <c r="AV823" s="233" t="str">
        <f>VLOOKUP(Table8[[#This Row],[Country Code]],Table29[],7,FALSE)</f>
        <v>no</v>
      </c>
      <c r="AW823" s="233" t="str">
        <f>VLOOKUP(Table8[[#This Row],[Country Code]],Table29[],8,FALSE)</f>
        <v>OECD</v>
      </c>
      <c r="AX823" s="233" t="str">
        <f>VLOOKUP(Table8[[#This Row],[Country Code]],Table29[],9,FALSE)</f>
        <v>EU27</v>
      </c>
      <c r="AY823" s="233" t="str">
        <f>VLOOKUP(Table8[[#This Row],[Country Code]],Table29[],10,FALSE)</f>
        <v>no</v>
      </c>
      <c r="AZ823" s="235">
        <f>VLOOKUP(Table8[[#This Row],[Country Code]],Table29[],23,FALSE)</f>
        <v>41.831473036828001</v>
      </c>
      <c r="BA823" s="235">
        <f>VLOOKUP(Table8[[#This Row],[Country Code]],Table29[],24,FALSE)</f>
        <v>11.369548725375189</v>
      </c>
      <c r="BB823" s="320"/>
      <c r="BC823" s="320"/>
    </row>
    <row r="824" spans="1:55" hidden="1" x14ac:dyDescent="0.25">
      <c r="A824" s="360">
        <v>39442</v>
      </c>
      <c r="B824" s="233" t="str">
        <f>VLOOKUP(Table8[[#This Row],[Document ID]],Table1[],2,FALSE)</f>
        <v>ETH</v>
      </c>
      <c r="C824" s="233" t="str">
        <f>VLOOKUP(Table8[[#This Row],[Document ID]],Table1[],3,FALSE)</f>
        <v>Ethiopia</v>
      </c>
      <c r="D824" s="233" t="str">
        <f>VLOOKUP(Table8[[#This Row],[Document ID]],Table1[],5,FALSE)</f>
        <v>LTS</v>
      </c>
      <c r="E824" s="233" t="str">
        <f>VLOOKUP(Table8[[#This Row],[Document ID]],Table1[],7,FALSE)</f>
        <v>LTS</v>
      </c>
      <c r="F824" s="233" t="str">
        <f>VLOOKUP(Table8[[#This Row],[Document ID]],Table1[],8,FALSE)</f>
        <v>LTS 1.0</v>
      </c>
      <c r="G824" s="233" t="str">
        <f>VLOOKUP(Table8[[#This Row],[Document ID]],Table1[],10,FALSE)</f>
        <v>Active</v>
      </c>
      <c r="H824" s="43" t="s">
        <v>2358</v>
      </c>
      <c r="I824" s="43" t="s">
        <v>2359</v>
      </c>
      <c r="J824" s="44" t="s">
        <v>2360</v>
      </c>
      <c r="K824" s="44" t="s">
        <v>3132</v>
      </c>
      <c r="L824" s="44" t="s">
        <v>2333</v>
      </c>
      <c r="M824" s="43">
        <v>44</v>
      </c>
      <c r="N824" s="113" t="s">
        <v>1113</v>
      </c>
      <c r="O824" s="113"/>
      <c r="P824" s="113"/>
      <c r="Q824" s="113"/>
      <c r="R824" s="113"/>
      <c r="S824" s="113"/>
      <c r="T824" s="113"/>
      <c r="U824" s="113"/>
      <c r="V824" s="113"/>
      <c r="W824" s="113"/>
      <c r="X824" s="113"/>
      <c r="Y824" s="113"/>
      <c r="Z824" s="113"/>
      <c r="AA824" s="113"/>
      <c r="AB824" s="113"/>
      <c r="AC824" s="113"/>
      <c r="AD824" s="113"/>
      <c r="AE824" s="113"/>
      <c r="AF824" s="113"/>
      <c r="AG824" s="113"/>
      <c r="AH824" s="113"/>
      <c r="AI824" s="113"/>
      <c r="AJ824" s="113"/>
      <c r="AK824" s="113" t="s">
        <v>1113</v>
      </c>
      <c r="AL824" s="113"/>
      <c r="AM824" s="113"/>
      <c r="AN824" s="113"/>
      <c r="AO824" s="44" t="s">
        <v>2334</v>
      </c>
      <c r="AP824" s="43"/>
      <c r="AQ824" s="236" t="str">
        <f>VLOOKUP(Table8[[#This Row],[Instrument]],Def_Targets!$D$73:$E$159,2,FALSE)</f>
        <v>I_Emobility</v>
      </c>
      <c r="AR824" s="233" t="str">
        <f>VLOOKUP(Table8[[#This Row],[Country Code]],Table29[],3,FALSE)</f>
        <v>Non-Annex I</v>
      </c>
      <c r="AS824" s="233" t="str">
        <f>VLOOKUP(Table8[[#This Row],[Country Code]],Table29[],4,FALSE)</f>
        <v>Africa</v>
      </c>
      <c r="AT824" s="233" t="str">
        <f>VLOOKUP(Table8[[#This Row],[Country Code]],Table29[],5,FALSE)</f>
        <v>Low-income</v>
      </c>
      <c r="AU824" s="233" t="str">
        <f>VLOOKUP(Table8[[#This Row],[Country Code]],Table29[],6,FALSE)</f>
        <v>no</v>
      </c>
      <c r="AV824" s="233" t="str">
        <f>VLOOKUP(Table8[[#This Row],[Country Code]],Table29[],7,FALSE)</f>
        <v>no</v>
      </c>
      <c r="AW824" s="233" t="str">
        <f>VLOOKUP(Table8[[#This Row],[Country Code]],Table29[],8,FALSE)</f>
        <v>non-OECD</v>
      </c>
      <c r="AX824" s="233" t="str">
        <f>VLOOKUP(Table8[[#This Row],[Country Code]],Table29[],9,FALSE)</f>
        <v>no</v>
      </c>
      <c r="AY824" s="233" t="str">
        <f>VLOOKUP(Table8[[#This Row],[Country Code]],Table29[],10,FALSE)</f>
        <v>no</v>
      </c>
      <c r="AZ824" s="235">
        <f>VLOOKUP(Table8[[#This Row],[Country Code]],Table29[],23,FALSE)</f>
        <v>170.03385065136999</v>
      </c>
      <c r="BA824" s="235">
        <f>VLOOKUP(Table8[[#This Row],[Country Code]],Table29[],24,FALSE)</f>
        <v>6.7537831121432941</v>
      </c>
      <c r="BB824" s="320" t="s">
        <v>3133</v>
      </c>
      <c r="BC824" s="320"/>
    </row>
    <row r="825" spans="1:55" hidden="1" x14ac:dyDescent="0.25">
      <c r="A825" s="360">
        <v>39442</v>
      </c>
      <c r="B825" s="233" t="str">
        <f>VLOOKUP(Table8[[#This Row],[Document ID]],Table1[],2,FALSE)</f>
        <v>ETH</v>
      </c>
      <c r="C825" s="233" t="str">
        <f>VLOOKUP(Table8[[#This Row],[Document ID]],Table1[],3,FALSE)</f>
        <v>Ethiopia</v>
      </c>
      <c r="D825" s="233" t="str">
        <f>VLOOKUP(Table8[[#This Row],[Document ID]],Table1[],5,FALSE)</f>
        <v>LTS</v>
      </c>
      <c r="E825" s="233" t="str">
        <f>VLOOKUP(Table8[[#This Row],[Document ID]],Table1[],7,FALSE)</f>
        <v>LTS</v>
      </c>
      <c r="F825" s="233" t="str">
        <f>VLOOKUP(Table8[[#This Row],[Document ID]],Table1[],8,FALSE)</f>
        <v>LTS 1.0</v>
      </c>
      <c r="G825" s="233" t="str">
        <f>VLOOKUP(Table8[[#This Row],[Document ID]],Table1[],10,FALSE)</f>
        <v>Active</v>
      </c>
      <c r="H825" s="43" t="s">
        <v>2343</v>
      </c>
      <c r="I825" s="43" t="s">
        <v>2361</v>
      </c>
      <c r="J825" s="44" t="s">
        <v>2366</v>
      </c>
      <c r="K825" s="44" t="s">
        <v>3134</v>
      </c>
      <c r="L825" s="44" t="s">
        <v>2347</v>
      </c>
      <c r="M825" s="43">
        <v>44</v>
      </c>
      <c r="N825" s="113"/>
      <c r="O825" s="113"/>
      <c r="P825" s="113"/>
      <c r="Q825" s="113" t="s">
        <v>1113</v>
      </c>
      <c r="R825" s="113" t="s">
        <v>1113</v>
      </c>
      <c r="S825" s="113"/>
      <c r="T825" s="113"/>
      <c r="U825" s="113"/>
      <c r="V825" s="113"/>
      <c r="W825" s="113"/>
      <c r="X825" s="113"/>
      <c r="Y825" s="113"/>
      <c r="Z825" s="113"/>
      <c r="AA825" s="113"/>
      <c r="AB825" s="113"/>
      <c r="AC825" s="113"/>
      <c r="AD825" s="113"/>
      <c r="AE825" s="113"/>
      <c r="AF825" s="113"/>
      <c r="AG825" s="113"/>
      <c r="AH825" s="113"/>
      <c r="AI825" s="113"/>
      <c r="AJ825" s="113"/>
      <c r="AK825" s="113" t="s">
        <v>1113</v>
      </c>
      <c r="AL825" s="113"/>
      <c r="AM825" s="113"/>
      <c r="AN825" s="113"/>
      <c r="AO825" s="44" t="s">
        <v>2334</v>
      </c>
      <c r="AP825" s="43"/>
      <c r="AQ825" s="236" t="str">
        <f>VLOOKUP(Table8[[#This Row],[Instrument]],Def_Targets!$D$73:$E$159,2,FALSE)</f>
        <v>S_Activemobility</v>
      </c>
      <c r="AR825" s="233" t="str">
        <f>VLOOKUP(Table8[[#This Row],[Country Code]],Table29[],3,FALSE)</f>
        <v>Non-Annex I</v>
      </c>
      <c r="AS825" s="233" t="str">
        <f>VLOOKUP(Table8[[#This Row],[Country Code]],Table29[],4,FALSE)</f>
        <v>Africa</v>
      </c>
      <c r="AT825" s="233" t="str">
        <f>VLOOKUP(Table8[[#This Row],[Country Code]],Table29[],5,FALSE)</f>
        <v>Low-income</v>
      </c>
      <c r="AU825" s="233" t="str">
        <f>VLOOKUP(Table8[[#This Row],[Country Code]],Table29[],6,FALSE)</f>
        <v>no</v>
      </c>
      <c r="AV825" s="233" t="str">
        <f>VLOOKUP(Table8[[#This Row],[Country Code]],Table29[],7,FALSE)</f>
        <v>no</v>
      </c>
      <c r="AW825" s="233" t="str">
        <f>VLOOKUP(Table8[[#This Row],[Country Code]],Table29[],8,FALSE)</f>
        <v>non-OECD</v>
      </c>
      <c r="AX825" s="233" t="str">
        <f>VLOOKUP(Table8[[#This Row],[Country Code]],Table29[],9,FALSE)</f>
        <v>no</v>
      </c>
      <c r="AY825" s="233" t="str">
        <f>VLOOKUP(Table8[[#This Row],[Country Code]],Table29[],10,FALSE)</f>
        <v>no</v>
      </c>
      <c r="AZ825" s="235">
        <f>VLOOKUP(Table8[[#This Row],[Country Code]],Table29[],23,FALSE)</f>
        <v>170.03385065136999</v>
      </c>
      <c r="BA825" s="235">
        <f>VLOOKUP(Table8[[#This Row],[Country Code]],Table29[],24,FALSE)</f>
        <v>6.7537831121432941</v>
      </c>
      <c r="BB825" s="320" t="s">
        <v>3133</v>
      </c>
      <c r="BC825" s="320"/>
    </row>
    <row r="826" spans="1:55" hidden="1" x14ac:dyDescent="0.25">
      <c r="A826" s="360">
        <v>39442</v>
      </c>
      <c r="B826" s="233" t="str">
        <f>VLOOKUP(Table8[[#This Row],[Document ID]],Table1[],2,FALSE)</f>
        <v>ETH</v>
      </c>
      <c r="C826" s="233" t="str">
        <f>VLOOKUP(Table8[[#This Row],[Document ID]],Table1[],3,FALSE)</f>
        <v>Ethiopia</v>
      </c>
      <c r="D826" s="233" t="str">
        <f>VLOOKUP(Table8[[#This Row],[Document ID]],Table1[],5,FALSE)</f>
        <v>LTS</v>
      </c>
      <c r="E826" s="233" t="str">
        <f>VLOOKUP(Table8[[#This Row],[Document ID]],Table1[],7,FALSE)</f>
        <v>LTS</v>
      </c>
      <c r="F826" s="233" t="str">
        <f>VLOOKUP(Table8[[#This Row],[Document ID]],Table1[],8,FALSE)</f>
        <v>LTS 1.0</v>
      </c>
      <c r="G826" s="233" t="str">
        <f>VLOOKUP(Table8[[#This Row],[Document ID]],Table1[],10,FALSE)</f>
        <v>Active</v>
      </c>
      <c r="H826" s="43" t="s">
        <v>2343</v>
      </c>
      <c r="I826" s="43" t="s">
        <v>2344</v>
      </c>
      <c r="J826" s="44" t="s">
        <v>2345</v>
      </c>
      <c r="K826" s="44" t="s">
        <v>3135</v>
      </c>
      <c r="L826" s="44" t="s">
        <v>2347</v>
      </c>
      <c r="M826" s="43">
        <v>45</v>
      </c>
      <c r="N826" s="113"/>
      <c r="O826" s="113"/>
      <c r="P826" s="113"/>
      <c r="Q826" s="113"/>
      <c r="R826" s="113"/>
      <c r="S826" s="113"/>
      <c r="T826" s="113"/>
      <c r="U826" s="113"/>
      <c r="V826" s="113"/>
      <c r="W826" s="113"/>
      <c r="X826" s="113"/>
      <c r="Y826" s="113" t="s">
        <v>1113</v>
      </c>
      <c r="Z826" s="113"/>
      <c r="AA826" s="113"/>
      <c r="AB826" s="113"/>
      <c r="AC826" s="113" t="s">
        <v>1113</v>
      </c>
      <c r="AD826" s="113"/>
      <c r="AE826" s="113"/>
      <c r="AF826" s="113"/>
      <c r="AG826" s="113"/>
      <c r="AH826" s="113"/>
      <c r="AI826" s="113"/>
      <c r="AJ826" s="113"/>
      <c r="AK826" s="113" t="s">
        <v>1113</v>
      </c>
      <c r="AL826" s="113"/>
      <c r="AM826" s="113"/>
      <c r="AN826" s="113"/>
      <c r="AO826" s="43" t="s">
        <v>2348</v>
      </c>
      <c r="AP826" s="43"/>
      <c r="AQ826" s="236" t="str">
        <f>VLOOKUP(Table8[[#This Row],[Instrument]],Def_Targets!$D$73:$E$159,2,FALSE)</f>
        <v>S_PublicTransport</v>
      </c>
      <c r="AR826" s="233" t="str">
        <f>VLOOKUP(Table8[[#This Row],[Country Code]],Table29[],3,FALSE)</f>
        <v>Non-Annex I</v>
      </c>
      <c r="AS826" s="233" t="str">
        <f>VLOOKUP(Table8[[#This Row],[Country Code]],Table29[],4,FALSE)</f>
        <v>Africa</v>
      </c>
      <c r="AT826" s="233" t="str">
        <f>VLOOKUP(Table8[[#This Row],[Country Code]],Table29[],5,FALSE)</f>
        <v>Low-income</v>
      </c>
      <c r="AU826" s="233" t="str">
        <f>VLOOKUP(Table8[[#This Row],[Country Code]],Table29[],6,FALSE)</f>
        <v>no</v>
      </c>
      <c r="AV826" s="233" t="str">
        <f>VLOOKUP(Table8[[#This Row],[Country Code]],Table29[],7,FALSE)</f>
        <v>no</v>
      </c>
      <c r="AW826" s="233" t="str">
        <f>VLOOKUP(Table8[[#This Row],[Country Code]],Table29[],8,FALSE)</f>
        <v>non-OECD</v>
      </c>
      <c r="AX826" s="233" t="str">
        <f>VLOOKUP(Table8[[#This Row],[Country Code]],Table29[],9,FALSE)</f>
        <v>no</v>
      </c>
      <c r="AY826" s="233" t="str">
        <f>VLOOKUP(Table8[[#This Row],[Country Code]],Table29[],10,FALSE)</f>
        <v>no</v>
      </c>
      <c r="AZ826" s="235">
        <f>VLOOKUP(Table8[[#This Row],[Country Code]],Table29[],23,FALSE)</f>
        <v>170.03385065136999</v>
      </c>
      <c r="BA826" s="235">
        <f>VLOOKUP(Table8[[#This Row],[Country Code]],Table29[],24,FALSE)</f>
        <v>6.7537831121432941</v>
      </c>
      <c r="BB826" s="320" t="s">
        <v>3133</v>
      </c>
      <c r="BC826" s="320"/>
    </row>
    <row r="827" spans="1:55" ht="45" hidden="1" x14ac:dyDescent="0.25">
      <c r="A827" s="360">
        <v>39442</v>
      </c>
      <c r="B827" s="233" t="str">
        <f>VLOOKUP(Table8[[#This Row],[Document ID]],Table1[],2,FALSE)</f>
        <v>ETH</v>
      </c>
      <c r="C827" s="233" t="str">
        <f>VLOOKUP(Table8[[#This Row],[Document ID]],Table1[],3,FALSE)</f>
        <v>Ethiopia</v>
      </c>
      <c r="D827" s="233" t="str">
        <f>VLOOKUP(Table8[[#This Row],[Document ID]],Table1[],5,FALSE)</f>
        <v>LTS</v>
      </c>
      <c r="E827" s="233" t="str">
        <f>VLOOKUP(Table8[[#This Row],[Document ID]],Table1[],7,FALSE)</f>
        <v>LTS</v>
      </c>
      <c r="F827" s="233" t="str">
        <f>VLOOKUP(Table8[[#This Row],[Document ID]],Table1[],8,FALSE)</f>
        <v>LTS 1.0</v>
      </c>
      <c r="G827" s="233" t="str">
        <f>VLOOKUP(Table8[[#This Row],[Document ID]],Table1[],10,FALSE)</f>
        <v>Active</v>
      </c>
      <c r="H827" s="44" t="s">
        <v>2329</v>
      </c>
      <c r="I827" s="44" t="s">
        <v>2330</v>
      </c>
      <c r="J827" s="44" t="s">
        <v>2357</v>
      </c>
      <c r="K827" s="44" t="s">
        <v>3136</v>
      </c>
      <c r="L827" s="44" t="s">
        <v>2333</v>
      </c>
      <c r="M827" s="43">
        <v>45</v>
      </c>
      <c r="N827" s="113" t="s">
        <v>1113</v>
      </c>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t="s">
        <v>1113</v>
      </c>
      <c r="AL827" s="113"/>
      <c r="AM827" s="113"/>
      <c r="AN827" s="113"/>
      <c r="AO827" s="44" t="s">
        <v>2334</v>
      </c>
      <c r="AP827" s="43"/>
      <c r="AQ827" s="236" t="str">
        <f>VLOOKUP(Table8[[#This Row],[Instrument]],Def_Targets!$D$73:$E$159,2,FALSE)</f>
        <v>I_Biofuel</v>
      </c>
      <c r="AR827" s="233" t="str">
        <f>VLOOKUP(Table8[[#This Row],[Country Code]],Table29[],3,FALSE)</f>
        <v>Non-Annex I</v>
      </c>
      <c r="AS827" s="233" t="str">
        <f>VLOOKUP(Table8[[#This Row],[Country Code]],Table29[],4,FALSE)</f>
        <v>Africa</v>
      </c>
      <c r="AT827" s="233" t="str">
        <f>VLOOKUP(Table8[[#This Row],[Country Code]],Table29[],5,FALSE)</f>
        <v>Low-income</v>
      </c>
      <c r="AU827" s="233" t="str">
        <f>VLOOKUP(Table8[[#This Row],[Country Code]],Table29[],6,FALSE)</f>
        <v>no</v>
      </c>
      <c r="AV827" s="233" t="str">
        <f>VLOOKUP(Table8[[#This Row],[Country Code]],Table29[],7,FALSE)</f>
        <v>no</v>
      </c>
      <c r="AW827" s="233" t="str">
        <f>VLOOKUP(Table8[[#This Row],[Country Code]],Table29[],8,FALSE)</f>
        <v>non-OECD</v>
      </c>
      <c r="AX827" s="233" t="str">
        <f>VLOOKUP(Table8[[#This Row],[Country Code]],Table29[],9,FALSE)</f>
        <v>no</v>
      </c>
      <c r="AY827" s="233" t="str">
        <f>VLOOKUP(Table8[[#This Row],[Country Code]],Table29[],10,FALSE)</f>
        <v>no</v>
      </c>
      <c r="AZ827" s="235">
        <f>VLOOKUP(Table8[[#This Row],[Country Code]],Table29[],23,FALSE)</f>
        <v>170.03385065136999</v>
      </c>
      <c r="BA827" s="235">
        <f>VLOOKUP(Table8[[#This Row],[Country Code]],Table29[],24,FALSE)</f>
        <v>6.7537831121432941</v>
      </c>
      <c r="BB827" s="320" t="s">
        <v>3133</v>
      </c>
      <c r="BC827" s="320"/>
    </row>
    <row r="828" spans="1:55" hidden="1" x14ac:dyDescent="0.25">
      <c r="A828" s="360">
        <v>39442</v>
      </c>
      <c r="B828" s="233" t="str">
        <f>VLOOKUP(Table8[[#This Row],[Document ID]],Table1[],2,FALSE)</f>
        <v>ETH</v>
      </c>
      <c r="C828" s="233" t="str">
        <f>VLOOKUP(Table8[[#This Row],[Document ID]],Table1[],3,FALSE)</f>
        <v>Ethiopia</v>
      </c>
      <c r="D828" s="233" t="str">
        <f>VLOOKUP(Table8[[#This Row],[Document ID]],Table1[],5,FALSE)</f>
        <v>LTS</v>
      </c>
      <c r="E828" s="233" t="str">
        <f>VLOOKUP(Table8[[#This Row],[Document ID]],Table1[],7,FALSE)</f>
        <v>LTS</v>
      </c>
      <c r="F828" s="233" t="str">
        <f>VLOOKUP(Table8[[#This Row],[Document ID]],Table1[],8,FALSE)</f>
        <v>LTS 1.0</v>
      </c>
      <c r="G828" s="233" t="str">
        <f>VLOOKUP(Table8[[#This Row],[Document ID]],Table1[],10,FALSE)</f>
        <v>Active</v>
      </c>
      <c r="H828" s="44" t="s">
        <v>2338</v>
      </c>
      <c r="I828" s="44" t="s">
        <v>2339</v>
      </c>
      <c r="J828" s="44" t="s">
        <v>2340</v>
      </c>
      <c r="K828" s="44" t="s">
        <v>3137</v>
      </c>
      <c r="L828" s="44" t="s">
        <v>2333</v>
      </c>
      <c r="M828" s="43">
        <v>43</v>
      </c>
      <c r="N828" s="113" t="s">
        <v>1113</v>
      </c>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t="s">
        <v>1113</v>
      </c>
      <c r="AL828" s="113"/>
      <c r="AM828" s="113"/>
      <c r="AN828" s="113"/>
      <c r="AO828" s="44" t="s">
        <v>2334</v>
      </c>
      <c r="AP828" s="43"/>
      <c r="AQ828" s="236" t="str">
        <f>VLOOKUP(Table8[[#This Row],[Instrument]],Def_Targets!$D$73:$E$159,2,FALSE)</f>
        <v>I_Vehicleimprove</v>
      </c>
      <c r="AR828" s="233" t="str">
        <f>VLOOKUP(Table8[[#This Row],[Country Code]],Table29[],3,FALSE)</f>
        <v>Non-Annex I</v>
      </c>
      <c r="AS828" s="233" t="str">
        <f>VLOOKUP(Table8[[#This Row],[Country Code]],Table29[],4,FALSE)</f>
        <v>Africa</v>
      </c>
      <c r="AT828" s="233" t="str">
        <f>VLOOKUP(Table8[[#This Row],[Country Code]],Table29[],5,FALSE)</f>
        <v>Low-income</v>
      </c>
      <c r="AU828" s="233" t="str">
        <f>VLOOKUP(Table8[[#This Row],[Country Code]],Table29[],6,FALSE)</f>
        <v>no</v>
      </c>
      <c r="AV828" s="233" t="str">
        <f>VLOOKUP(Table8[[#This Row],[Country Code]],Table29[],7,FALSE)</f>
        <v>no</v>
      </c>
      <c r="AW828" s="233" t="str">
        <f>VLOOKUP(Table8[[#This Row],[Country Code]],Table29[],8,FALSE)</f>
        <v>non-OECD</v>
      </c>
      <c r="AX828" s="233" t="str">
        <f>VLOOKUP(Table8[[#This Row],[Country Code]],Table29[],9,FALSE)</f>
        <v>no</v>
      </c>
      <c r="AY828" s="233" t="str">
        <f>VLOOKUP(Table8[[#This Row],[Country Code]],Table29[],10,FALSE)</f>
        <v>no</v>
      </c>
      <c r="AZ828" s="235">
        <f>VLOOKUP(Table8[[#This Row],[Country Code]],Table29[],23,FALSE)</f>
        <v>170.03385065136999</v>
      </c>
      <c r="BA828" s="235">
        <f>VLOOKUP(Table8[[#This Row],[Country Code]],Table29[],24,FALSE)</f>
        <v>6.7537831121432941</v>
      </c>
      <c r="BB828" s="320" t="s">
        <v>3133</v>
      </c>
      <c r="BC828" s="320"/>
    </row>
    <row r="829" spans="1:55" hidden="1" x14ac:dyDescent="0.25">
      <c r="A829" s="360">
        <v>39442</v>
      </c>
      <c r="B829" s="233" t="str">
        <f>VLOOKUP(Table8[[#This Row],[Document ID]],Table1[],2,FALSE)</f>
        <v>ETH</v>
      </c>
      <c r="C829" s="233" t="str">
        <f>VLOOKUP(Table8[[#This Row],[Document ID]],Table1[],3,FALSE)</f>
        <v>Ethiopia</v>
      </c>
      <c r="D829" s="233" t="str">
        <f>VLOOKUP(Table8[[#This Row],[Document ID]],Table1[],5,FALSE)</f>
        <v>LTS</v>
      </c>
      <c r="E829" s="233" t="str">
        <f>VLOOKUP(Table8[[#This Row],[Document ID]],Table1[],7,FALSE)</f>
        <v>LTS</v>
      </c>
      <c r="F829" s="233" t="str">
        <f>VLOOKUP(Table8[[#This Row],[Document ID]],Table1[],8,FALSE)</f>
        <v>LTS 1.0</v>
      </c>
      <c r="G829" s="233" t="str">
        <f>VLOOKUP(Table8[[#This Row],[Document ID]],Table1[],10,FALSE)</f>
        <v>Active</v>
      </c>
      <c r="H829" s="43" t="s">
        <v>2343</v>
      </c>
      <c r="I829" s="43" t="s">
        <v>2377</v>
      </c>
      <c r="J829" s="44" t="s">
        <v>2394</v>
      </c>
      <c r="K829" s="44" t="s">
        <v>3138</v>
      </c>
      <c r="L829" s="44" t="s">
        <v>2396</v>
      </c>
      <c r="M829" s="43">
        <v>43</v>
      </c>
      <c r="N829" s="113" t="s">
        <v>1113</v>
      </c>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t="s">
        <v>1113</v>
      </c>
      <c r="AL829" s="113"/>
      <c r="AM829" s="113"/>
      <c r="AN829" s="113"/>
      <c r="AO829" s="44" t="s">
        <v>2334</v>
      </c>
      <c r="AP829" s="43"/>
      <c r="AQ829" s="236" t="str">
        <f>VLOOKUP(Table8[[#This Row],[Instrument]],Def_Targets!$D$73:$E$159,2,FALSE)</f>
        <v>A_TDM</v>
      </c>
      <c r="AR829" s="233" t="str">
        <f>VLOOKUP(Table8[[#This Row],[Country Code]],Table29[],3,FALSE)</f>
        <v>Non-Annex I</v>
      </c>
      <c r="AS829" s="233" t="str">
        <f>VLOOKUP(Table8[[#This Row],[Country Code]],Table29[],4,FALSE)</f>
        <v>Africa</v>
      </c>
      <c r="AT829" s="233" t="str">
        <f>VLOOKUP(Table8[[#This Row],[Country Code]],Table29[],5,FALSE)</f>
        <v>Low-income</v>
      </c>
      <c r="AU829" s="233" t="str">
        <f>VLOOKUP(Table8[[#This Row],[Country Code]],Table29[],6,FALSE)</f>
        <v>no</v>
      </c>
      <c r="AV829" s="233" t="str">
        <f>VLOOKUP(Table8[[#This Row],[Country Code]],Table29[],7,FALSE)</f>
        <v>no</v>
      </c>
      <c r="AW829" s="233" t="str">
        <f>VLOOKUP(Table8[[#This Row],[Country Code]],Table29[],8,FALSE)</f>
        <v>non-OECD</v>
      </c>
      <c r="AX829" s="233" t="str">
        <f>VLOOKUP(Table8[[#This Row],[Country Code]],Table29[],9,FALSE)</f>
        <v>no</v>
      </c>
      <c r="AY829" s="233" t="str">
        <f>VLOOKUP(Table8[[#This Row],[Country Code]],Table29[],10,FALSE)</f>
        <v>no</v>
      </c>
      <c r="AZ829" s="235">
        <f>VLOOKUP(Table8[[#This Row],[Country Code]],Table29[],23,FALSE)</f>
        <v>170.03385065136999</v>
      </c>
      <c r="BA829" s="235">
        <f>VLOOKUP(Table8[[#This Row],[Country Code]],Table29[],24,FALSE)</f>
        <v>6.7537831121432941</v>
      </c>
      <c r="BB829" s="320" t="s">
        <v>3133</v>
      </c>
      <c r="BC829" s="320"/>
    </row>
    <row r="830" spans="1:55" ht="30" hidden="1" x14ac:dyDescent="0.25">
      <c r="A830" s="360">
        <v>39442</v>
      </c>
      <c r="B830" s="233" t="str">
        <f>VLOOKUP(Table8[[#This Row],[Document ID]],Table1[],2,FALSE)</f>
        <v>ETH</v>
      </c>
      <c r="C830" s="233" t="str">
        <f>VLOOKUP(Table8[[#This Row],[Document ID]],Table1[],3,FALSE)</f>
        <v>Ethiopia</v>
      </c>
      <c r="D830" s="233" t="str">
        <f>VLOOKUP(Table8[[#This Row],[Document ID]],Table1[],5,FALSE)</f>
        <v>LTS</v>
      </c>
      <c r="E830" s="233" t="str">
        <f>VLOOKUP(Table8[[#This Row],[Document ID]],Table1[],7,FALSE)</f>
        <v>LTS</v>
      </c>
      <c r="F830" s="233" t="str">
        <f>VLOOKUP(Table8[[#This Row],[Document ID]],Table1[],8,FALSE)</f>
        <v>LTS 1.0</v>
      </c>
      <c r="G830" s="233" t="str">
        <f>VLOOKUP(Table8[[#This Row],[Document ID]],Table1[],10,FALSE)</f>
        <v>Active</v>
      </c>
      <c r="H830" s="43" t="s">
        <v>2350</v>
      </c>
      <c r="I830" s="43" t="s">
        <v>2351</v>
      </c>
      <c r="J830" s="44" t="s">
        <v>2352</v>
      </c>
      <c r="K830" s="44" t="s">
        <v>3139</v>
      </c>
      <c r="L830" s="44" t="s">
        <v>2347</v>
      </c>
      <c r="M830" s="43">
        <v>45</v>
      </c>
      <c r="N830" s="113"/>
      <c r="O830" s="113"/>
      <c r="P830" s="113"/>
      <c r="Q830" s="113"/>
      <c r="R830" s="113"/>
      <c r="S830" s="113"/>
      <c r="T830" s="113"/>
      <c r="U830" s="113"/>
      <c r="V830" s="113"/>
      <c r="W830" s="113"/>
      <c r="X830" s="113"/>
      <c r="Y830" s="113"/>
      <c r="Z830" s="113" t="s">
        <v>1113</v>
      </c>
      <c r="AA830" s="113"/>
      <c r="AB830" s="113"/>
      <c r="AC830" s="113"/>
      <c r="AD830" s="113"/>
      <c r="AE830" s="113"/>
      <c r="AF830" s="113"/>
      <c r="AG830" s="113"/>
      <c r="AH830" s="113"/>
      <c r="AI830" s="113"/>
      <c r="AJ830" s="113"/>
      <c r="AK830" s="113" t="s">
        <v>1113</v>
      </c>
      <c r="AL830" s="113"/>
      <c r="AM830" s="113"/>
      <c r="AN830" s="113"/>
      <c r="AO830" s="43" t="s">
        <v>2353</v>
      </c>
      <c r="AP830" s="43"/>
      <c r="AQ830" s="236" t="str">
        <f>VLOOKUP(Table8[[#This Row],[Instrument]],Def_Targets!$D$73:$E$159,2,FALSE)</f>
        <v>S_Railfreight</v>
      </c>
      <c r="AR830" s="233" t="str">
        <f>VLOOKUP(Table8[[#This Row],[Country Code]],Table29[],3,FALSE)</f>
        <v>Non-Annex I</v>
      </c>
      <c r="AS830" s="233" t="str">
        <f>VLOOKUP(Table8[[#This Row],[Country Code]],Table29[],4,FALSE)</f>
        <v>Africa</v>
      </c>
      <c r="AT830" s="233" t="str">
        <f>VLOOKUP(Table8[[#This Row],[Country Code]],Table29[],5,FALSE)</f>
        <v>Low-income</v>
      </c>
      <c r="AU830" s="233" t="str">
        <f>VLOOKUP(Table8[[#This Row],[Country Code]],Table29[],6,FALSE)</f>
        <v>no</v>
      </c>
      <c r="AV830" s="233" t="str">
        <f>VLOOKUP(Table8[[#This Row],[Country Code]],Table29[],7,FALSE)</f>
        <v>no</v>
      </c>
      <c r="AW830" s="233" t="str">
        <f>VLOOKUP(Table8[[#This Row],[Country Code]],Table29[],8,FALSE)</f>
        <v>non-OECD</v>
      </c>
      <c r="AX830" s="233" t="str">
        <f>VLOOKUP(Table8[[#This Row],[Country Code]],Table29[],9,FALSE)</f>
        <v>no</v>
      </c>
      <c r="AY830" s="233" t="str">
        <f>VLOOKUP(Table8[[#This Row],[Country Code]],Table29[],10,FALSE)</f>
        <v>no</v>
      </c>
      <c r="AZ830" s="235">
        <f>VLOOKUP(Table8[[#This Row],[Country Code]],Table29[],23,FALSE)</f>
        <v>170.03385065136999</v>
      </c>
      <c r="BA830" s="235">
        <f>VLOOKUP(Table8[[#This Row],[Country Code]],Table29[],24,FALSE)</f>
        <v>6.7537831121432941</v>
      </c>
      <c r="BB830" s="320" t="s">
        <v>3133</v>
      </c>
      <c r="BC830" s="320"/>
    </row>
    <row r="831" spans="1:55" hidden="1" x14ac:dyDescent="0.25">
      <c r="A831" s="360">
        <v>39442</v>
      </c>
      <c r="B831" s="233" t="str">
        <f>VLOOKUP(Table8[[#This Row],[Document ID]],Table1[],2,FALSE)</f>
        <v>ETH</v>
      </c>
      <c r="C831" s="233" t="str">
        <f>VLOOKUP(Table8[[#This Row],[Document ID]],Table1[],3,FALSE)</f>
        <v>Ethiopia</v>
      </c>
      <c r="D831" s="233" t="str">
        <f>VLOOKUP(Table8[[#This Row],[Document ID]],Table1[],5,FALSE)</f>
        <v>LTS</v>
      </c>
      <c r="E831" s="233" t="str">
        <f>VLOOKUP(Table8[[#This Row],[Document ID]],Table1[],7,FALSE)</f>
        <v>LTS</v>
      </c>
      <c r="F831" s="233" t="str">
        <f>VLOOKUP(Table8[[#This Row],[Document ID]],Table1[],8,FALSE)</f>
        <v>LTS 1.0</v>
      </c>
      <c r="G831" s="233" t="str">
        <f>VLOOKUP(Table8[[#This Row],[Document ID]],Table1[],10,FALSE)</f>
        <v>Active</v>
      </c>
      <c r="H831" s="43" t="s">
        <v>2343</v>
      </c>
      <c r="I831" s="43" t="s">
        <v>2344</v>
      </c>
      <c r="J831" s="44" t="s">
        <v>2345</v>
      </c>
      <c r="K831" s="44" t="s">
        <v>3140</v>
      </c>
      <c r="L831" s="44" t="s">
        <v>2347</v>
      </c>
      <c r="M831" s="43">
        <v>45</v>
      </c>
      <c r="N831" s="113"/>
      <c r="O831" s="113"/>
      <c r="P831" s="113"/>
      <c r="Q831" s="113"/>
      <c r="R831" s="113"/>
      <c r="S831" s="113"/>
      <c r="T831" s="113"/>
      <c r="U831" s="113"/>
      <c r="V831" s="113"/>
      <c r="W831" s="113"/>
      <c r="X831" s="113"/>
      <c r="Y831" s="113"/>
      <c r="Z831" s="113" t="s">
        <v>1113</v>
      </c>
      <c r="AA831" s="113"/>
      <c r="AB831" s="113"/>
      <c r="AC831" s="113"/>
      <c r="AD831" s="113"/>
      <c r="AE831" s="113"/>
      <c r="AF831" s="113"/>
      <c r="AG831" s="113"/>
      <c r="AH831" s="113"/>
      <c r="AI831" s="113"/>
      <c r="AJ831" s="113"/>
      <c r="AK831" s="113" t="s">
        <v>1113</v>
      </c>
      <c r="AL831" s="113"/>
      <c r="AM831" s="113"/>
      <c r="AN831" s="113"/>
      <c r="AO831" s="43" t="s">
        <v>2348</v>
      </c>
      <c r="AP831" s="43"/>
      <c r="AQ831" s="236" t="str">
        <f>VLOOKUP(Table8[[#This Row],[Instrument]],Def_Targets!$D$73:$E$159,2,FALSE)</f>
        <v>S_PublicTransport</v>
      </c>
      <c r="AR831" s="233" t="str">
        <f>VLOOKUP(Table8[[#This Row],[Country Code]],Table29[],3,FALSE)</f>
        <v>Non-Annex I</v>
      </c>
      <c r="AS831" s="233" t="str">
        <f>VLOOKUP(Table8[[#This Row],[Country Code]],Table29[],4,FALSE)</f>
        <v>Africa</v>
      </c>
      <c r="AT831" s="233" t="str">
        <f>VLOOKUP(Table8[[#This Row],[Country Code]],Table29[],5,FALSE)</f>
        <v>Low-income</v>
      </c>
      <c r="AU831" s="233" t="str">
        <f>VLOOKUP(Table8[[#This Row],[Country Code]],Table29[],6,FALSE)</f>
        <v>no</v>
      </c>
      <c r="AV831" s="233" t="str">
        <f>VLOOKUP(Table8[[#This Row],[Country Code]],Table29[],7,FALSE)</f>
        <v>no</v>
      </c>
      <c r="AW831" s="233" t="str">
        <f>VLOOKUP(Table8[[#This Row],[Country Code]],Table29[],8,FALSE)</f>
        <v>non-OECD</v>
      </c>
      <c r="AX831" s="233" t="str">
        <f>VLOOKUP(Table8[[#This Row],[Country Code]],Table29[],9,FALSE)</f>
        <v>no</v>
      </c>
      <c r="AY831" s="233" t="str">
        <f>VLOOKUP(Table8[[#This Row],[Country Code]],Table29[],10,FALSE)</f>
        <v>no</v>
      </c>
      <c r="AZ831" s="235">
        <f>VLOOKUP(Table8[[#This Row],[Country Code]],Table29[],23,FALSE)</f>
        <v>170.03385065136999</v>
      </c>
      <c r="BA831" s="235">
        <f>VLOOKUP(Table8[[#This Row],[Country Code]],Table29[],24,FALSE)</f>
        <v>6.7537831121432941</v>
      </c>
      <c r="BB831" s="320" t="s">
        <v>3133</v>
      </c>
      <c r="BC831" s="320"/>
    </row>
    <row r="832" spans="1:55" ht="90" hidden="1" x14ac:dyDescent="0.25">
      <c r="A832" s="360">
        <v>17590</v>
      </c>
      <c r="B832" s="233" t="str">
        <f>VLOOKUP(Table8[[#This Row],[Document ID]],Table1[],2,FALSE)</f>
        <v>EEU</v>
      </c>
      <c r="C832" s="233" t="str">
        <f>VLOOKUP(Table8[[#This Row],[Document ID]],Table1[],3,FALSE)</f>
        <v>European Union</v>
      </c>
      <c r="D832" s="233" t="str">
        <f>VLOOKUP(Table8[[#This Row],[Document ID]],Table1[],5,FALSE)</f>
        <v>LTS</v>
      </c>
      <c r="E832" s="233" t="str">
        <f>VLOOKUP(Table8[[#This Row],[Document ID]],Table1[],7,FALSE)</f>
        <v>LTS</v>
      </c>
      <c r="F832" s="233" t="str">
        <f>VLOOKUP(Table8[[#This Row],[Document ID]],Table1[],8,FALSE)</f>
        <v>LTS 1.0</v>
      </c>
      <c r="G832" s="233" t="str">
        <f>VLOOKUP(Table8[[#This Row],[Document ID]],Table1[],10,FALSE)</f>
        <v>Active</v>
      </c>
      <c r="H832" s="43" t="s">
        <v>2358</v>
      </c>
      <c r="I832" s="43" t="s">
        <v>2359</v>
      </c>
      <c r="J832" s="44" t="s">
        <v>2360</v>
      </c>
      <c r="K832" s="44" t="s">
        <v>3141</v>
      </c>
      <c r="L832" s="44" t="s">
        <v>2333</v>
      </c>
      <c r="M832" s="43">
        <v>10</v>
      </c>
      <c r="N832" s="113" t="s">
        <v>1113</v>
      </c>
      <c r="O832" s="113"/>
      <c r="P832" s="113"/>
      <c r="Q832" s="113"/>
      <c r="R832" s="113"/>
      <c r="S832" s="113"/>
      <c r="T832" s="113"/>
      <c r="U832" s="113"/>
      <c r="V832" s="113"/>
      <c r="W832" s="113"/>
      <c r="X832" s="113"/>
      <c r="Y832" s="113"/>
      <c r="Z832" s="113"/>
      <c r="AA832" s="113"/>
      <c r="AB832" s="113"/>
      <c r="AC832" s="113"/>
      <c r="AD832" s="113"/>
      <c r="AE832" s="113"/>
      <c r="AF832" s="113"/>
      <c r="AG832" s="113"/>
      <c r="AH832" s="113"/>
      <c r="AI832" s="113"/>
      <c r="AJ832" s="113"/>
      <c r="AK832" s="319" t="s">
        <v>1113</v>
      </c>
      <c r="AL832" s="113"/>
      <c r="AM832" s="113"/>
      <c r="AN832" s="113"/>
      <c r="AO832" s="44" t="s">
        <v>2334</v>
      </c>
      <c r="AP832" s="43"/>
      <c r="AQ832" s="236" t="str">
        <f>VLOOKUP(Table8[[#This Row],[Instrument]],Def_Targets!$D$73:$E$159,2,FALSE)</f>
        <v>I_Emobility</v>
      </c>
      <c r="AR832" s="233" t="str">
        <f>VLOOKUP(Table8[[#This Row],[Country Code]],Table29[],3,FALSE)</f>
        <v>Annex I</v>
      </c>
      <c r="AS832" s="233" t="str">
        <f>VLOOKUP(Table8[[#This Row],[Country Code]],Table29[],4,FALSE)</f>
        <v>Europe</v>
      </c>
      <c r="AT832" s="233" t="str">
        <f>VLOOKUP(Table8[[#This Row],[Country Code]],Table29[],5,FALSE)</f>
        <v>N/A</v>
      </c>
      <c r="AU832" s="233" t="str">
        <f>VLOOKUP(Table8[[#This Row],[Country Code]],Table29[],6,FALSE)</f>
        <v>G20</v>
      </c>
      <c r="AV832" s="233" t="str">
        <f>VLOOKUP(Table8[[#This Row],[Country Code]],Table29[],7,FALSE)</f>
        <v>no</v>
      </c>
      <c r="AW832" s="233" t="str">
        <f>VLOOKUP(Table8[[#This Row],[Country Code]],Table29[],8,FALSE)</f>
        <v>non-OECD</v>
      </c>
      <c r="AX832" s="233" t="str">
        <f>VLOOKUP(Table8[[#This Row],[Country Code]],Table29[],9,FALSE)</f>
        <v>no</v>
      </c>
      <c r="AY832" s="233" t="str">
        <f>VLOOKUP(Table8[[#This Row],[Country Code]],Table29[],10,FALSE)</f>
        <v>no</v>
      </c>
      <c r="AZ832" s="235" t="e">
        <f>VLOOKUP(Table8[[#This Row],[Country Code]],Table29[],23,FALSE)</f>
        <v>#N/A</v>
      </c>
      <c r="BA832" s="235" t="e">
        <f>VLOOKUP(Table8[[#This Row],[Country Code]],Table29[],24,FALSE)</f>
        <v>#N/A</v>
      </c>
      <c r="BB832" s="320"/>
      <c r="BC832" s="320"/>
    </row>
    <row r="833" spans="1:55" ht="30" hidden="1" x14ac:dyDescent="0.25">
      <c r="A833" s="360">
        <v>17590</v>
      </c>
      <c r="B833" s="233" t="str">
        <f>VLOOKUP(Table8[[#This Row],[Document ID]],Table1[],2,FALSE)</f>
        <v>EEU</v>
      </c>
      <c r="C833" s="233" t="str">
        <f>VLOOKUP(Table8[[#This Row],[Document ID]],Table1[],3,FALSE)</f>
        <v>European Union</v>
      </c>
      <c r="D833" s="233" t="str">
        <f>VLOOKUP(Table8[[#This Row],[Document ID]],Table1[],5,FALSE)</f>
        <v>LTS</v>
      </c>
      <c r="E833" s="233" t="str">
        <f>VLOOKUP(Table8[[#This Row],[Document ID]],Table1[],7,FALSE)</f>
        <v>LTS</v>
      </c>
      <c r="F833" s="233" t="str">
        <f>VLOOKUP(Table8[[#This Row],[Document ID]],Table1[],8,FALSE)</f>
        <v>LTS 1.0</v>
      </c>
      <c r="G833" s="233" t="str">
        <f>VLOOKUP(Table8[[#This Row],[Document ID]],Table1[],10,FALSE)</f>
        <v>Active</v>
      </c>
      <c r="H833" s="43" t="s">
        <v>2343</v>
      </c>
      <c r="I833" s="43" t="s">
        <v>2429</v>
      </c>
      <c r="J833" s="44" t="s">
        <v>2501</v>
      </c>
      <c r="K833" s="44" t="s">
        <v>3142</v>
      </c>
      <c r="L833" s="44" t="s">
        <v>2333</v>
      </c>
      <c r="M833" s="43">
        <v>10</v>
      </c>
      <c r="N833" s="113" t="s">
        <v>1113</v>
      </c>
      <c r="O833" s="113"/>
      <c r="P833" s="113"/>
      <c r="Q833" s="113"/>
      <c r="R833" s="113"/>
      <c r="S833" s="113"/>
      <c r="T833" s="113"/>
      <c r="U833" s="113"/>
      <c r="V833" s="113"/>
      <c r="W833" s="113"/>
      <c r="X833" s="113"/>
      <c r="Y833" s="113"/>
      <c r="Z833" s="113"/>
      <c r="AA833" s="113"/>
      <c r="AB833" s="113"/>
      <c r="AC833" s="113"/>
      <c r="AD833" s="113"/>
      <c r="AE833" s="113"/>
      <c r="AF833" s="113"/>
      <c r="AG833" s="113"/>
      <c r="AH833" s="113"/>
      <c r="AI833" s="113"/>
      <c r="AJ833" s="113"/>
      <c r="AK833" s="319" t="s">
        <v>1113</v>
      </c>
      <c r="AL833" s="113"/>
      <c r="AM833" s="113"/>
      <c r="AN833" s="113"/>
      <c r="AO833" s="44" t="s">
        <v>2334</v>
      </c>
      <c r="AP833" s="43"/>
      <c r="AQ833" s="236" t="str">
        <f>VLOOKUP(Table8[[#This Row],[Instrument]],Def_Targets!$D$73:$E$159,2,FALSE)</f>
        <v>I_Autonomous</v>
      </c>
      <c r="AR833" s="233" t="str">
        <f>VLOOKUP(Table8[[#This Row],[Country Code]],Table29[],3,FALSE)</f>
        <v>Annex I</v>
      </c>
      <c r="AS833" s="233" t="str">
        <f>VLOOKUP(Table8[[#This Row],[Country Code]],Table29[],4,FALSE)</f>
        <v>Europe</v>
      </c>
      <c r="AT833" s="233" t="str">
        <f>VLOOKUP(Table8[[#This Row],[Country Code]],Table29[],5,FALSE)</f>
        <v>N/A</v>
      </c>
      <c r="AU833" s="233" t="str">
        <f>VLOOKUP(Table8[[#This Row],[Country Code]],Table29[],6,FALSE)</f>
        <v>G20</v>
      </c>
      <c r="AV833" s="233" t="str">
        <f>VLOOKUP(Table8[[#This Row],[Country Code]],Table29[],7,FALSE)</f>
        <v>no</v>
      </c>
      <c r="AW833" s="233" t="str">
        <f>VLOOKUP(Table8[[#This Row],[Country Code]],Table29[],8,FALSE)</f>
        <v>non-OECD</v>
      </c>
      <c r="AX833" s="233" t="str">
        <f>VLOOKUP(Table8[[#This Row],[Country Code]],Table29[],9,FALSE)</f>
        <v>no</v>
      </c>
      <c r="AY833" s="233" t="str">
        <f>VLOOKUP(Table8[[#This Row],[Country Code]],Table29[],10,FALSE)</f>
        <v>no</v>
      </c>
      <c r="AZ833" s="235" t="e">
        <f>VLOOKUP(Table8[[#This Row],[Country Code]],Table29[],23,FALSE)</f>
        <v>#N/A</v>
      </c>
      <c r="BA833" s="235" t="e">
        <f>VLOOKUP(Table8[[#This Row],[Country Code]],Table29[],24,FALSE)</f>
        <v>#N/A</v>
      </c>
      <c r="BB833" s="320"/>
      <c r="BC833" s="320"/>
    </row>
    <row r="834" spans="1:55" ht="30" hidden="1" x14ac:dyDescent="0.25">
      <c r="A834" s="360">
        <v>17590</v>
      </c>
      <c r="B834" s="233" t="str">
        <f>VLOOKUP(Table8[[#This Row],[Document ID]],Table1[],2,FALSE)</f>
        <v>EEU</v>
      </c>
      <c r="C834" s="233" t="str">
        <f>VLOOKUP(Table8[[#This Row],[Document ID]],Table1[],3,FALSE)</f>
        <v>European Union</v>
      </c>
      <c r="D834" s="233" t="str">
        <f>VLOOKUP(Table8[[#This Row],[Document ID]],Table1[],5,FALSE)</f>
        <v>LTS</v>
      </c>
      <c r="E834" s="233" t="str">
        <f>VLOOKUP(Table8[[#This Row],[Document ID]],Table1[],7,FALSE)</f>
        <v>LTS</v>
      </c>
      <c r="F834" s="233" t="str">
        <f>VLOOKUP(Table8[[#This Row],[Document ID]],Table1[],8,FALSE)</f>
        <v>LTS 1.0</v>
      </c>
      <c r="G834" s="233" t="str">
        <f>VLOOKUP(Table8[[#This Row],[Document ID]],Table1[],10,FALSE)</f>
        <v>Active</v>
      </c>
      <c r="H834" s="43" t="s">
        <v>2358</v>
      </c>
      <c r="I834" s="43" t="s">
        <v>2359</v>
      </c>
      <c r="J834" s="44" t="s">
        <v>2360</v>
      </c>
      <c r="K834" s="44" t="s">
        <v>3143</v>
      </c>
      <c r="L834" s="44" t="s">
        <v>2333</v>
      </c>
      <c r="M834" s="43">
        <v>10</v>
      </c>
      <c r="N834" s="113"/>
      <c r="O834" s="113"/>
      <c r="P834" s="113"/>
      <c r="Q834" s="113"/>
      <c r="R834" s="113"/>
      <c r="S834" s="113"/>
      <c r="T834" s="113"/>
      <c r="U834" s="113"/>
      <c r="V834" s="113"/>
      <c r="W834" s="113"/>
      <c r="X834" s="113"/>
      <c r="Y834" s="113"/>
      <c r="Z834" s="113"/>
      <c r="AA834" s="113"/>
      <c r="AB834" s="113"/>
      <c r="AC834" s="113"/>
      <c r="AD834" s="113" t="s">
        <v>1113</v>
      </c>
      <c r="AE834" s="113" t="s">
        <v>1113</v>
      </c>
      <c r="AF834" s="113" t="s">
        <v>1113</v>
      </c>
      <c r="AG834" s="113"/>
      <c r="AH834" s="113"/>
      <c r="AI834" s="113"/>
      <c r="AJ834" s="113"/>
      <c r="AK834" s="319" t="s">
        <v>1113</v>
      </c>
      <c r="AL834" s="113"/>
      <c r="AM834" s="113"/>
      <c r="AN834" s="113"/>
      <c r="AO834" s="44" t="s">
        <v>2334</v>
      </c>
      <c r="AP834" s="43"/>
      <c r="AQ834" s="236" t="str">
        <f>VLOOKUP(Table8[[#This Row],[Instrument]],Def_Targets!$D$73:$E$159,2,FALSE)</f>
        <v>I_Emobility</v>
      </c>
      <c r="AR834" s="233" t="str">
        <f>VLOOKUP(Table8[[#This Row],[Country Code]],Table29[],3,FALSE)</f>
        <v>Annex I</v>
      </c>
      <c r="AS834" s="233" t="str">
        <f>VLOOKUP(Table8[[#This Row],[Country Code]],Table29[],4,FALSE)</f>
        <v>Europe</v>
      </c>
      <c r="AT834" s="233" t="str">
        <f>VLOOKUP(Table8[[#This Row],[Country Code]],Table29[],5,FALSE)</f>
        <v>N/A</v>
      </c>
      <c r="AU834" s="233" t="str">
        <f>VLOOKUP(Table8[[#This Row],[Country Code]],Table29[],6,FALSE)</f>
        <v>G20</v>
      </c>
      <c r="AV834" s="233" t="str">
        <f>VLOOKUP(Table8[[#This Row],[Country Code]],Table29[],7,FALSE)</f>
        <v>no</v>
      </c>
      <c r="AW834" s="233" t="str">
        <f>VLOOKUP(Table8[[#This Row],[Country Code]],Table29[],8,FALSE)</f>
        <v>non-OECD</v>
      </c>
      <c r="AX834" s="233" t="str">
        <f>VLOOKUP(Table8[[#This Row],[Country Code]],Table29[],9,FALSE)</f>
        <v>no</v>
      </c>
      <c r="AY834" s="233" t="str">
        <f>VLOOKUP(Table8[[#This Row],[Country Code]],Table29[],10,FALSE)</f>
        <v>no</v>
      </c>
      <c r="AZ834" s="235" t="e">
        <f>VLOOKUP(Table8[[#This Row],[Country Code]],Table29[],23,FALSE)</f>
        <v>#N/A</v>
      </c>
      <c r="BA834" s="235" t="e">
        <f>VLOOKUP(Table8[[#This Row],[Country Code]],Table29[],24,FALSE)</f>
        <v>#N/A</v>
      </c>
      <c r="BB834" s="320"/>
      <c r="BC834" s="320"/>
    </row>
    <row r="835" spans="1:55" ht="45" hidden="1" x14ac:dyDescent="0.25">
      <c r="A835" s="360">
        <v>17590</v>
      </c>
      <c r="B835" s="233" t="str">
        <f>VLOOKUP(Table8[[#This Row],[Document ID]],Table1[],2,FALSE)</f>
        <v>EEU</v>
      </c>
      <c r="C835" s="233" t="str">
        <f>VLOOKUP(Table8[[#This Row],[Document ID]],Table1[],3,FALSE)</f>
        <v>European Union</v>
      </c>
      <c r="D835" s="233" t="str">
        <f>VLOOKUP(Table8[[#This Row],[Document ID]],Table1[],5,FALSE)</f>
        <v>LTS</v>
      </c>
      <c r="E835" s="233" t="str">
        <f>VLOOKUP(Table8[[#This Row],[Document ID]],Table1[],7,FALSE)</f>
        <v>LTS</v>
      </c>
      <c r="F835" s="233" t="str">
        <f>VLOOKUP(Table8[[#This Row],[Document ID]],Table1[],8,FALSE)</f>
        <v>LTS 1.0</v>
      </c>
      <c r="G835" s="233" t="str">
        <f>VLOOKUP(Table8[[#This Row],[Document ID]],Table1[],10,FALSE)</f>
        <v>Active</v>
      </c>
      <c r="H835" s="43" t="s">
        <v>2350</v>
      </c>
      <c r="I835" s="43" t="s">
        <v>2351</v>
      </c>
      <c r="J835" s="44" t="s">
        <v>2352</v>
      </c>
      <c r="K835" s="44" t="s">
        <v>3144</v>
      </c>
      <c r="L835" s="44" t="s">
        <v>2347</v>
      </c>
      <c r="M835" s="43">
        <v>11</v>
      </c>
      <c r="N835" s="113"/>
      <c r="O835" s="113"/>
      <c r="P835" s="113"/>
      <c r="Q835" s="113"/>
      <c r="R835" s="113"/>
      <c r="S835" s="113" t="s">
        <v>1113</v>
      </c>
      <c r="T835" s="113"/>
      <c r="U835" s="113"/>
      <c r="V835" s="113"/>
      <c r="W835" s="113"/>
      <c r="X835" s="113"/>
      <c r="Y835" s="113"/>
      <c r="Z835" s="113" t="s">
        <v>1113</v>
      </c>
      <c r="AA835" s="113"/>
      <c r="AB835" s="113"/>
      <c r="AC835" s="113"/>
      <c r="AD835" s="113"/>
      <c r="AE835" s="113"/>
      <c r="AF835" s="113"/>
      <c r="AG835" s="113"/>
      <c r="AH835" s="113"/>
      <c r="AI835" s="113"/>
      <c r="AJ835" s="113"/>
      <c r="AK835" s="319" t="s">
        <v>1113</v>
      </c>
      <c r="AL835" s="113"/>
      <c r="AM835" s="113"/>
      <c r="AN835" s="113"/>
      <c r="AO835" s="43" t="s">
        <v>2353</v>
      </c>
      <c r="AP835" s="43"/>
      <c r="AQ835" s="236" t="str">
        <f>VLOOKUP(Table8[[#This Row],[Instrument]],Def_Targets!$D$73:$E$159,2,FALSE)</f>
        <v>S_Railfreight</v>
      </c>
      <c r="AR835" s="233" t="str">
        <f>VLOOKUP(Table8[[#This Row],[Country Code]],Table29[],3,FALSE)</f>
        <v>Annex I</v>
      </c>
      <c r="AS835" s="233" t="str">
        <f>VLOOKUP(Table8[[#This Row],[Country Code]],Table29[],4,FALSE)</f>
        <v>Europe</v>
      </c>
      <c r="AT835" s="233" t="str">
        <f>VLOOKUP(Table8[[#This Row],[Country Code]],Table29[],5,FALSE)</f>
        <v>N/A</v>
      </c>
      <c r="AU835" s="233" t="str">
        <f>VLOOKUP(Table8[[#This Row],[Country Code]],Table29[],6,FALSE)</f>
        <v>G20</v>
      </c>
      <c r="AV835" s="233" t="str">
        <f>VLOOKUP(Table8[[#This Row],[Country Code]],Table29[],7,FALSE)</f>
        <v>no</v>
      </c>
      <c r="AW835" s="233" t="str">
        <f>VLOOKUP(Table8[[#This Row],[Country Code]],Table29[],8,FALSE)</f>
        <v>non-OECD</v>
      </c>
      <c r="AX835" s="233" t="str">
        <f>VLOOKUP(Table8[[#This Row],[Country Code]],Table29[],9,FALSE)</f>
        <v>no</v>
      </c>
      <c r="AY835" s="233" t="str">
        <f>VLOOKUP(Table8[[#This Row],[Country Code]],Table29[],10,FALSE)</f>
        <v>no</v>
      </c>
      <c r="AZ835" s="235" t="e">
        <f>VLOOKUP(Table8[[#This Row],[Country Code]],Table29[],23,FALSE)</f>
        <v>#N/A</v>
      </c>
      <c r="BA835" s="235" t="e">
        <f>VLOOKUP(Table8[[#This Row],[Country Code]],Table29[],24,FALSE)</f>
        <v>#N/A</v>
      </c>
      <c r="BB835" s="320"/>
      <c r="BC835" s="320"/>
    </row>
    <row r="836" spans="1:55" ht="30" hidden="1" x14ac:dyDescent="0.25">
      <c r="A836" s="360">
        <v>17590</v>
      </c>
      <c r="B836" s="233" t="str">
        <f>VLOOKUP(Table8[[#This Row],[Document ID]],Table1[],2,FALSE)</f>
        <v>EEU</v>
      </c>
      <c r="C836" s="233" t="str">
        <f>VLOOKUP(Table8[[#This Row],[Document ID]],Table1[],3,FALSE)</f>
        <v>European Union</v>
      </c>
      <c r="D836" s="233" t="str">
        <f>VLOOKUP(Table8[[#This Row],[Document ID]],Table1[],5,FALSE)</f>
        <v>LTS</v>
      </c>
      <c r="E836" s="233" t="str">
        <f>VLOOKUP(Table8[[#This Row],[Document ID]],Table1[],7,FALSE)</f>
        <v>LTS</v>
      </c>
      <c r="F836" s="233" t="str">
        <f>VLOOKUP(Table8[[#This Row],[Document ID]],Table1[],8,FALSE)</f>
        <v>LTS 1.0</v>
      </c>
      <c r="G836" s="233" t="str">
        <f>VLOOKUP(Table8[[#This Row],[Document ID]],Table1[],10,FALSE)</f>
        <v>Active</v>
      </c>
      <c r="H836" s="44" t="s">
        <v>2329</v>
      </c>
      <c r="I836" s="44" t="s">
        <v>2330</v>
      </c>
      <c r="J836" s="44" t="s">
        <v>2331</v>
      </c>
      <c r="K836" s="44" t="s">
        <v>3145</v>
      </c>
      <c r="L836" s="44" t="s">
        <v>2333</v>
      </c>
      <c r="M836" s="43">
        <v>11</v>
      </c>
      <c r="N836" s="113" t="s">
        <v>1113</v>
      </c>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319" t="s">
        <v>1113</v>
      </c>
      <c r="AL836" s="113"/>
      <c r="AM836" s="113"/>
      <c r="AN836" s="113"/>
      <c r="AO836" s="44" t="s">
        <v>2334</v>
      </c>
      <c r="AP836" s="43"/>
      <c r="AQ836" s="236" t="str">
        <f>VLOOKUP(Table8[[#This Row],[Instrument]],Def_Targets!$D$73:$E$159,2,FALSE)</f>
        <v>I_Altfuels</v>
      </c>
      <c r="AR836" s="233" t="str">
        <f>VLOOKUP(Table8[[#This Row],[Country Code]],Table29[],3,FALSE)</f>
        <v>Annex I</v>
      </c>
      <c r="AS836" s="233" t="str">
        <f>VLOOKUP(Table8[[#This Row],[Country Code]],Table29[],4,FALSE)</f>
        <v>Europe</v>
      </c>
      <c r="AT836" s="233" t="str">
        <f>VLOOKUP(Table8[[#This Row],[Country Code]],Table29[],5,FALSE)</f>
        <v>N/A</v>
      </c>
      <c r="AU836" s="233" t="str">
        <f>VLOOKUP(Table8[[#This Row],[Country Code]],Table29[],6,FALSE)</f>
        <v>G20</v>
      </c>
      <c r="AV836" s="233" t="str">
        <f>VLOOKUP(Table8[[#This Row],[Country Code]],Table29[],7,FALSE)</f>
        <v>no</v>
      </c>
      <c r="AW836" s="233" t="str">
        <f>VLOOKUP(Table8[[#This Row],[Country Code]],Table29[],8,FALSE)</f>
        <v>non-OECD</v>
      </c>
      <c r="AX836" s="233" t="str">
        <f>VLOOKUP(Table8[[#This Row],[Country Code]],Table29[],9,FALSE)</f>
        <v>no</v>
      </c>
      <c r="AY836" s="233" t="str">
        <f>VLOOKUP(Table8[[#This Row],[Country Code]],Table29[],10,FALSE)</f>
        <v>no</v>
      </c>
      <c r="AZ836" s="235" t="e">
        <f>VLOOKUP(Table8[[#This Row],[Country Code]],Table29[],23,FALSE)</f>
        <v>#N/A</v>
      </c>
      <c r="BA836" s="235" t="e">
        <f>VLOOKUP(Table8[[#This Row],[Country Code]],Table29[],24,FALSE)</f>
        <v>#N/A</v>
      </c>
      <c r="BB836" s="320"/>
      <c r="BC836" s="320"/>
    </row>
    <row r="837" spans="1:55" ht="30" hidden="1" x14ac:dyDescent="0.25">
      <c r="A837" s="360">
        <v>17590</v>
      </c>
      <c r="B837" s="233" t="str">
        <f>VLOOKUP(Table8[[#This Row],[Document ID]],Table1[],2,FALSE)</f>
        <v>EEU</v>
      </c>
      <c r="C837" s="233" t="str">
        <f>VLOOKUP(Table8[[#This Row],[Document ID]],Table1[],3,FALSE)</f>
        <v>European Union</v>
      </c>
      <c r="D837" s="233" t="str">
        <f>VLOOKUP(Table8[[#This Row],[Document ID]],Table1[],5,FALSE)</f>
        <v>LTS</v>
      </c>
      <c r="E837" s="233" t="str">
        <f>VLOOKUP(Table8[[#This Row],[Document ID]],Table1[],7,FALSE)</f>
        <v>LTS</v>
      </c>
      <c r="F837" s="233" t="str">
        <f>VLOOKUP(Table8[[#This Row],[Document ID]],Table1[],8,FALSE)</f>
        <v>LTS 1.0</v>
      </c>
      <c r="G837" s="233" t="str">
        <f>VLOOKUP(Table8[[#This Row],[Document ID]],Table1[],10,FALSE)</f>
        <v>Active</v>
      </c>
      <c r="H837" s="44" t="s">
        <v>2329</v>
      </c>
      <c r="I837" s="44" t="s">
        <v>2330</v>
      </c>
      <c r="J837" s="44" t="s">
        <v>2391</v>
      </c>
      <c r="K837" s="44" t="s">
        <v>3146</v>
      </c>
      <c r="L837" s="44" t="s">
        <v>2333</v>
      </c>
      <c r="M837" s="43">
        <v>11</v>
      </c>
      <c r="N837" s="113" t="s">
        <v>1113</v>
      </c>
      <c r="O837" s="113"/>
      <c r="P837" s="113"/>
      <c r="Q837" s="113"/>
      <c r="R837" s="113"/>
      <c r="S837" s="113"/>
      <c r="T837" s="113"/>
      <c r="U837" s="113"/>
      <c r="V837" s="113"/>
      <c r="W837" s="113"/>
      <c r="X837" s="113"/>
      <c r="Y837" s="113"/>
      <c r="Z837" s="113"/>
      <c r="AA837" s="113"/>
      <c r="AB837" s="113"/>
      <c r="AC837" s="113"/>
      <c r="AD837" s="113" t="s">
        <v>1113</v>
      </c>
      <c r="AE837" s="113"/>
      <c r="AF837" s="113"/>
      <c r="AG837" s="113"/>
      <c r="AH837" s="113"/>
      <c r="AI837" s="113"/>
      <c r="AJ837" s="113"/>
      <c r="AK837" s="319" t="s">
        <v>1113</v>
      </c>
      <c r="AL837" s="113"/>
      <c r="AM837" s="113"/>
      <c r="AN837" s="113"/>
      <c r="AO837" s="43" t="s">
        <v>2353</v>
      </c>
      <c r="AP837" s="43"/>
      <c r="AQ837" s="236" t="str">
        <f>VLOOKUP(Table8[[#This Row],[Instrument]],Def_Targets!$D$73:$E$159,2,FALSE)</f>
        <v>I_Hydrogen</v>
      </c>
      <c r="AR837" s="233" t="str">
        <f>VLOOKUP(Table8[[#This Row],[Country Code]],Table29[],3,FALSE)</f>
        <v>Annex I</v>
      </c>
      <c r="AS837" s="233" t="str">
        <f>VLOOKUP(Table8[[#This Row],[Country Code]],Table29[],4,FALSE)</f>
        <v>Europe</v>
      </c>
      <c r="AT837" s="233" t="str">
        <f>VLOOKUP(Table8[[#This Row],[Country Code]],Table29[],5,FALSE)</f>
        <v>N/A</v>
      </c>
      <c r="AU837" s="233" t="str">
        <f>VLOOKUP(Table8[[#This Row],[Country Code]],Table29[],6,FALSE)</f>
        <v>G20</v>
      </c>
      <c r="AV837" s="233" t="str">
        <f>VLOOKUP(Table8[[#This Row],[Country Code]],Table29[],7,FALSE)</f>
        <v>no</v>
      </c>
      <c r="AW837" s="233" t="str">
        <f>VLOOKUP(Table8[[#This Row],[Country Code]],Table29[],8,FALSE)</f>
        <v>non-OECD</v>
      </c>
      <c r="AX837" s="233" t="str">
        <f>VLOOKUP(Table8[[#This Row],[Country Code]],Table29[],9,FALSE)</f>
        <v>no</v>
      </c>
      <c r="AY837" s="233" t="str">
        <f>VLOOKUP(Table8[[#This Row],[Country Code]],Table29[],10,FALSE)</f>
        <v>no</v>
      </c>
      <c r="AZ837" s="235" t="e">
        <f>VLOOKUP(Table8[[#This Row],[Country Code]],Table29[],23,FALSE)</f>
        <v>#N/A</v>
      </c>
      <c r="BA837" s="235" t="e">
        <f>VLOOKUP(Table8[[#This Row],[Country Code]],Table29[],24,FALSE)</f>
        <v>#N/A</v>
      </c>
      <c r="BB837" s="320"/>
      <c r="BC837" s="320"/>
    </row>
    <row r="838" spans="1:55" ht="30" hidden="1" x14ac:dyDescent="0.25">
      <c r="A838" s="360">
        <v>17590</v>
      </c>
      <c r="B838" s="233" t="str">
        <f>VLOOKUP(Table8[[#This Row],[Document ID]],Table1[],2,FALSE)</f>
        <v>EEU</v>
      </c>
      <c r="C838" s="233" t="str">
        <f>VLOOKUP(Table8[[#This Row],[Document ID]],Table1[],3,FALSE)</f>
        <v>European Union</v>
      </c>
      <c r="D838" s="233" t="str">
        <f>VLOOKUP(Table8[[#This Row],[Document ID]],Table1[],5,FALSE)</f>
        <v>LTS</v>
      </c>
      <c r="E838" s="233" t="str">
        <f>VLOOKUP(Table8[[#This Row],[Document ID]],Table1[],7,FALSE)</f>
        <v>LTS</v>
      </c>
      <c r="F838" s="233" t="str">
        <f>VLOOKUP(Table8[[#This Row],[Document ID]],Table1[],8,FALSE)</f>
        <v>LTS 1.0</v>
      </c>
      <c r="G838" s="233" t="str">
        <f>VLOOKUP(Table8[[#This Row],[Document ID]],Table1[],10,FALSE)</f>
        <v>Active</v>
      </c>
      <c r="H838" s="44" t="s">
        <v>2329</v>
      </c>
      <c r="I838" s="44" t="s">
        <v>2330</v>
      </c>
      <c r="J838" s="44" t="s">
        <v>2363</v>
      </c>
      <c r="K838" s="44" t="s">
        <v>3147</v>
      </c>
      <c r="L838" s="44" t="s">
        <v>2333</v>
      </c>
      <c r="M838" s="43">
        <v>11</v>
      </c>
      <c r="N838" s="113"/>
      <c r="O838" s="113"/>
      <c r="P838" s="113"/>
      <c r="Q838" s="113"/>
      <c r="R838" s="113"/>
      <c r="S838" s="113"/>
      <c r="T838" s="113"/>
      <c r="U838" s="113"/>
      <c r="V838" s="113"/>
      <c r="W838" s="113"/>
      <c r="X838" s="113" t="s">
        <v>1113</v>
      </c>
      <c r="Y838" s="113"/>
      <c r="Z838" s="113"/>
      <c r="AA838" s="113"/>
      <c r="AB838" s="113"/>
      <c r="AC838" s="113"/>
      <c r="AD838" s="113"/>
      <c r="AE838" s="113"/>
      <c r="AF838" s="113"/>
      <c r="AG838" s="113"/>
      <c r="AH838" s="113"/>
      <c r="AI838" s="113"/>
      <c r="AJ838" s="113"/>
      <c r="AK838" s="113"/>
      <c r="AL838" s="113"/>
      <c r="AM838" s="113"/>
      <c r="AN838" s="113" t="s">
        <v>1113</v>
      </c>
      <c r="AO838" s="43" t="s">
        <v>2353</v>
      </c>
      <c r="AP838" s="43"/>
      <c r="AQ838" s="236" t="str">
        <f>VLOOKUP(Table8[[#This Row],[Instrument]],Def_Targets!$D$73:$E$159,2,FALSE)</f>
        <v>I_LPGCNGLNG</v>
      </c>
      <c r="AR838" s="233" t="str">
        <f>VLOOKUP(Table8[[#This Row],[Country Code]],Table29[],3,FALSE)</f>
        <v>Annex I</v>
      </c>
      <c r="AS838" s="233" t="str">
        <f>VLOOKUP(Table8[[#This Row],[Country Code]],Table29[],4,FALSE)</f>
        <v>Europe</v>
      </c>
      <c r="AT838" s="233" t="str">
        <f>VLOOKUP(Table8[[#This Row],[Country Code]],Table29[],5,FALSE)</f>
        <v>N/A</v>
      </c>
      <c r="AU838" s="233" t="str">
        <f>VLOOKUP(Table8[[#This Row],[Country Code]],Table29[],6,FALSE)</f>
        <v>G20</v>
      </c>
      <c r="AV838" s="233" t="str">
        <f>VLOOKUP(Table8[[#This Row],[Country Code]],Table29[],7,FALSE)</f>
        <v>no</v>
      </c>
      <c r="AW838" s="233" t="str">
        <f>VLOOKUP(Table8[[#This Row],[Country Code]],Table29[],8,FALSE)</f>
        <v>non-OECD</v>
      </c>
      <c r="AX838" s="233" t="str">
        <f>VLOOKUP(Table8[[#This Row],[Country Code]],Table29[],9,FALSE)</f>
        <v>no</v>
      </c>
      <c r="AY838" s="233" t="str">
        <f>VLOOKUP(Table8[[#This Row],[Country Code]],Table29[],10,FALSE)</f>
        <v>no</v>
      </c>
      <c r="AZ838" s="235" t="e">
        <f>VLOOKUP(Table8[[#This Row],[Country Code]],Table29[],23,FALSE)</f>
        <v>#N/A</v>
      </c>
      <c r="BA838" s="235" t="e">
        <f>VLOOKUP(Table8[[#This Row],[Country Code]],Table29[],24,FALSE)</f>
        <v>#N/A</v>
      </c>
      <c r="BB838" s="320"/>
      <c r="BC838" s="320"/>
    </row>
    <row r="839" spans="1:55" ht="30" hidden="1" x14ac:dyDescent="0.25">
      <c r="A839" s="360">
        <v>17590</v>
      </c>
      <c r="B839" s="233" t="str">
        <f>VLOOKUP(Table8[[#This Row],[Document ID]],Table1[],2,FALSE)</f>
        <v>EEU</v>
      </c>
      <c r="C839" s="233" t="str">
        <f>VLOOKUP(Table8[[#This Row],[Document ID]],Table1[],3,FALSE)</f>
        <v>European Union</v>
      </c>
      <c r="D839" s="233" t="str">
        <f>VLOOKUP(Table8[[#This Row],[Document ID]],Table1[],5,FALSE)</f>
        <v>LTS</v>
      </c>
      <c r="E839" s="233" t="str">
        <f>VLOOKUP(Table8[[#This Row],[Document ID]],Table1[],7,FALSE)</f>
        <v>LTS</v>
      </c>
      <c r="F839" s="233" t="str">
        <f>VLOOKUP(Table8[[#This Row],[Document ID]],Table1[],8,FALSE)</f>
        <v>LTS 1.0</v>
      </c>
      <c r="G839" s="233" t="str">
        <f>VLOOKUP(Table8[[#This Row],[Document ID]],Table1[],10,FALSE)</f>
        <v>Active</v>
      </c>
      <c r="H839" s="43" t="s">
        <v>2484</v>
      </c>
      <c r="I839" s="43" t="s">
        <v>2488</v>
      </c>
      <c r="J839" s="44" t="s">
        <v>2684</v>
      </c>
      <c r="K839" s="44" t="s">
        <v>3148</v>
      </c>
      <c r="L839" s="44" t="s">
        <v>2333</v>
      </c>
      <c r="M839" s="43">
        <v>11</v>
      </c>
      <c r="N839" s="113"/>
      <c r="O839" s="113"/>
      <c r="P839" s="113"/>
      <c r="Q839" s="113"/>
      <c r="R839" s="113"/>
      <c r="S839" s="113"/>
      <c r="T839" s="113"/>
      <c r="U839" s="113"/>
      <c r="V839" s="113"/>
      <c r="W839" s="113"/>
      <c r="X839" s="113"/>
      <c r="Y839" s="113"/>
      <c r="Z839" s="113"/>
      <c r="AA839" s="113"/>
      <c r="AB839" s="113"/>
      <c r="AC839" s="113"/>
      <c r="AD839" s="113"/>
      <c r="AE839" s="113"/>
      <c r="AF839" s="113"/>
      <c r="AG839" s="113"/>
      <c r="AH839" s="113" t="s">
        <v>1113</v>
      </c>
      <c r="AI839" s="113"/>
      <c r="AJ839" s="113"/>
      <c r="AK839" s="319" t="s">
        <v>1113</v>
      </c>
      <c r="AL839" s="113"/>
      <c r="AM839" s="113"/>
      <c r="AN839" s="113"/>
      <c r="AO839" s="44" t="s">
        <v>2334</v>
      </c>
      <c r="AP839" s="43"/>
      <c r="AQ839" s="236" t="str">
        <f>VLOOKUP(Table8[[#This Row],[Instrument]],Def_Targets!$D$73:$E$159,2,FALSE)</f>
        <v>I_Jetfuel</v>
      </c>
      <c r="AR839" s="233" t="str">
        <f>VLOOKUP(Table8[[#This Row],[Country Code]],Table29[],3,FALSE)</f>
        <v>Annex I</v>
      </c>
      <c r="AS839" s="233" t="str">
        <f>VLOOKUP(Table8[[#This Row],[Country Code]],Table29[],4,FALSE)</f>
        <v>Europe</v>
      </c>
      <c r="AT839" s="233" t="str">
        <f>VLOOKUP(Table8[[#This Row],[Country Code]],Table29[],5,FALSE)</f>
        <v>N/A</v>
      </c>
      <c r="AU839" s="233" t="str">
        <f>VLOOKUP(Table8[[#This Row],[Country Code]],Table29[],6,FALSE)</f>
        <v>G20</v>
      </c>
      <c r="AV839" s="233" t="str">
        <f>VLOOKUP(Table8[[#This Row],[Country Code]],Table29[],7,FALSE)</f>
        <v>no</v>
      </c>
      <c r="AW839" s="233" t="str">
        <f>VLOOKUP(Table8[[#This Row],[Country Code]],Table29[],8,FALSE)</f>
        <v>non-OECD</v>
      </c>
      <c r="AX839" s="233" t="str">
        <f>VLOOKUP(Table8[[#This Row],[Country Code]],Table29[],9,FALSE)</f>
        <v>no</v>
      </c>
      <c r="AY839" s="233" t="str">
        <f>VLOOKUP(Table8[[#This Row],[Country Code]],Table29[],10,FALSE)</f>
        <v>no</v>
      </c>
      <c r="AZ839" s="235" t="e">
        <f>VLOOKUP(Table8[[#This Row],[Country Code]],Table29[],23,FALSE)</f>
        <v>#N/A</v>
      </c>
      <c r="BA839" s="235" t="e">
        <f>VLOOKUP(Table8[[#This Row],[Country Code]],Table29[],24,FALSE)</f>
        <v>#N/A</v>
      </c>
      <c r="BB839" s="320"/>
      <c r="BC839" s="320"/>
    </row>
    <row r="840" spans="1:55" ht="45" hidden="1" x14ac:dyDescent="0.25">
      <c r="A840" s="373">
        <v>17590</v>
      </c>
      <c r="B840" s="233" t="str">
        <f>VLOOKUP(Table8[[#This Row],[Document ID]],Table1[],2,FALSE)</f>
        <v>EEU</v>
      </c>
      <c r="C840" s="233" t="str">
        <f>VLOOKUP(Table8[[#This Row],[Document ID]],Table1[],3,FALSE)</f>
        <v>European Union</v>
      </c>
      <c r="D840" s="243" t="str">
        <f>VLOOKUP(Table8[[#This Row],[Document ID]],Table1[],5,FALSE)</f>
        <v>LTS</v>
      </c>
      <c r="E840" s="233" t="str">
        <f>VLOOKUP(Table8[[#This Row],[Document ID]],Table1[],7,FALSE)</f>
        <v>LTS</v>
      </c>
      <c r="F840" s="233" t="str">
        <f>VLOOKUP(Table8[[#This Row],[Document ID]],Table1[],8,FALSE)</f>
        <v>LTS 1.0</v>
      </c>
      <c r="G840" s="233" t="str">
        <f>VLOOKUP(Table8[[#This Row],[Document ID]],Table1[],10,FALSE)</f>
        <v>Active</v>
      </c>
      <c r="H840" s="44" t="s">
        <v>2329</v>
      </c>
      <c r="I840" s="44" t="s">
        <v>2330</v>
      </c>
      <c r="J840" s="44" t="s">
        <v>2331</v>
      </c>
      <c r="K840" s="44" t="s">
        <v>3149</v>
      </c>
      <c r="L840" s="44" t="s">
        <v>2333</v>
      </c>
      <c r="M840" s="43">
        <v>11</v>
      </c>
      <c r="N840" s="113"/>
      <c r="O840" s="113"/>
      <c r="P840" s="113"/>
      <c r="Q840" s="113"/>
      <c r="R840" s="113"/>
      <c r="S840" s="113"/>
      <c r="T840" s="113"/>
      <c r="U840" s="113"/>
      <c r="V840" s="113"/>
      <c r="W840" s="113"/>
      <c r="X840" s="113" t="s">
        <v>1113</v>
      </c>
      <c r="Y840" s="113"/>
      <c r="Z840" s="113"/>
      <c r="AA840" s="113"/>
      <c r="AB840" s="113"/>
      <c r="AC840" s="113"/>
      <c r="AD840" s="113" t="s">
        <v>1113</v>
      </c>
      <c r="AE840" s="113"/>
      <c r="AF840" s="113"/>
      <c r="AG840" s="113"/>
      <c r="AH840" s="113"/>
      <c r="AI840" s="113"/>
      <c r="AJ840" s="113"/>
      <c r="AK840" s="113"/>
      <c r="AL840" s="113"/>
      <c r="AM840" s="113"/>
      <c r="AN840" s="113" t="s">
        <v>1113</v>
      </c>
      <c r="AO840" s="43" t="s">
        <v>2353</v>
      </c>
      <c r="AP840" s="43"/>
      <c r="AQ840" s="236" t="str">
        <f>VLOOKUP(Table8[[#This Row],[Instrument]],Def_Targets!$D$73:$E$159,2,FALSE)</f>
        <v>I_Altfuels</v>
      </c>
      <c r="AR840" s="233" t="str">
        <f>VLOOKUP(Table8[[#This Row],[Country Code]],Table29[],3,FALSE)</f>
        <v>Annex I</v>
      </c>
      <c r="AS840" s="233" t="str">
        <f>VLOOKUP(Table8[[#This Row],[Country Code]],Table29[],4,FALSE)</f>
        <v>Europe</v>
      </c>
      <c r="AT840" s="233" t="str">
        <f>VLOOKUP(Table8[[#This Row],[Country Code]],Table29[],5,FALSE)</f>
        <v>N/A</v>
      </c>
      <c r="AU840" s="233" t="str">
        <f>VLOOKUP(Table8[[#This Row],[Country Code]],Table29[],6,FALSE)</f>
        <v>G20</v>
      </c>
      <c r="AV840" s="233" t="str">
        <f>VLOOKUP(Table8[[#This Row],[Country Code]],Table29[],7,FALSE)</f>
        <v>no</v>
      </c>
      <c r="AW840" s="233" t="str">
        <f>VLOOKUP(Table8[[#This Row],[Country Code]],Table29[],8,FALSE)</f>
        <v>non-OECD</v>
      </c>
      <c r="AX840" s="233" t="str">
        <f>VLOOKUP(Table8[[#This Row],[Country Code]],Table29[],9,FALSE)</f>
        <v>no</v>
      </c>
      <c r="AY840" s="233" t="str">
        <f>VLOOKUP(Table8[[#This Row],[Country Code]],Table29[],10,FALSE)</f>
        <v>no</v>
      </c>
      <c r="AZ840" s="235" t="e">
        <f>VLOOKUP(Table8[[#This Row],[Country Code]],Table29[],23,FALSE)</f>
        <v>#N/A</v>
      </c>
      <c r="BA840" s="235" t="e">
        <f>VLOOKUP(Table8[[#This Row],[Country Code]],Table29[],24,FALSE)</f>
        <v>#N/A</v>
      </c>
      <c r="BB840" s="320"/>
      <c r="BC840" s="320"/>
    </row>
    <row r="841" spans="1:55" ht="30" hidden="1" x14ac:dyDescent="0.25">
      <c r="A841" s="373">
        <v>17590</v>
      </c>
      <c r="B841" s="233" t="str">
        <f>VLOOKUP(Table8[[#This Row],[Document ID]],Table1[],2,FALSE)</f>
        <v>EEU</v>
      </c>
      <c r="C841" s="233" t="str">
        <f>VLOOKUP(Table8[[#This Row],[Document ID]],Table1[],3,FALSE)</f>
        <v>European Union</v>
      </c>
      <c r="D841" s="243" t="str">
        <f>VLOOKUP(Table8[[#This Row],[Document ID]],Table1[],5,FALSE)</f>
        <v>LTS</v>
      </c>
      <c r="E841" s="233" t="str">
        <f>VLOOKUP(Table8[[#This Row],[Document ID]],Table1[],7,FALSE)</f>
        <v>LTS</v>
      </c>
      <c r="F841" s="233" t="str">
        <f>VLOOKUP(Table8[[#This Row],[Document ID]],Table1[],8,FALSE)</f>
        <v>LTS 1.0</v>
      </c>
      <c r="G841" s="233" t="str">
        <f>VLOOKUP(Table8[[#This Row],[Document ID]],Table1[],10,FALSE)</f>
        <v>Active</v>
      </c>
      <c r="H841" s="43" t="s">
        <v>2343</v>
      </c>
      <c r="I841" s="43" t="s">
        <v>2429</v>
      </c>
      <c r="J841" s="44" t="s">
        <v>2472</v>
      </c>
      <c r="K841" s="44" t="s">
        <v>3150</v>
      </c>
      <c r="L841" s="44" t="s">
        <v>2333</v>
      </c>
      <c r="M841" s="43">
        <v>11</v>
      </c>
      <c r="N841" s="113" t="s">
        <v>1113</v>
      </c>
      <c r="O841" s="113"/>
      <c r="P841" s="113"/>
      <c r="Q841" s="113"/>
      <c r="R841" s="113"/>
      <c r="S841" s="113"/>
      <c r="T841" s="113"/>
      <c r="U841" s="113"/>
      <c r="V841" s="113"/>
      <c r="W841" s="113"/>
      <c r="X841" s="113"/>
      <c r="Y841" s="113"/>
      <c r="Z841" s="113"/>
      <c r="AA841" s="113"/>
      <c r="AB841" s="113"/>
      <c r="AC841" s="113"/>
      <c r="AD841" s="113"/>
      <c r="AE841" s="113"/>
      <c r="AF841" s="113"/>
      <c r="AG841" s="113"/>
      <c r="AH841" s="113"/>
      <c r="AI841" s="113"/>
      <c r="AJ841" s="113"/>
      <c r="AK841" s="319" t="s">
        <v>1113</v>
      </c>
      <c r="AL841" s="113"/>
      <c r="AM841" s="113"/>
      <c r="AN841" s="113"/>
      <c r="AO841" s="44" t="s">
        <v>2334</v>
      </c>
      <c r="AP841" s="43"/>
      <c r="AQ841" s="236" t="str">
        <f>VLOOKUP(Table8[[#This Row],[Instrument]],Def_Targets!$D$73:$E$159,2,FALSE)</f>
        <v>I_Other</v>
      </c>
      <c r="AR841" s="233" t="str">
        <f>VLOOKUP(Table8[[#This Row],[Country Code]],Table29[],3,FALSE)</f>
        <v>Annex I</v>
      </c>
      <c r="AS841" s="233" t="str">
        <f>VLOOKUP(Table8[[#This Row],[Country Code]],Table29[],4,FALSE)</f>
        <v>Europe</v>
      </c>
      <c r="AT841" s="233" t="str">
        <f>VLOOKUP(Table8[[#This Row],[Country Code]],Table29[],5,FALSE)</f>
        <v>N/A</v>
      </c>
      <c r="AU841" s="233" t="str">
        <f>VLOOKUP(Table8[[#This Row],[Country Code]],Table29[],6,FALSE)</f>
        <v>G20</v>
      </c>
      <c r="AV841" s="233" t="str">
        <f>VLOOKUP(Table8[[#This Row],[Country Code]],Table29[],7,FALSE)</f>
        <v>no</v>
      </c>
      <c r="AW841" s="233" t="str">
        <f>VLOOKUP(Table8[[#This Row],[Country Code]],Table29[],8,FALSE)</f>
        <v>non-OECD</v>
      </c>
      <c r="AX841" s="233" t="str">
        <f>VLOOKUP(Table8[[#This Row],[Country Code]],Table29[],9,FALSE)</f>
        <v>no</v>
      </c>
      <c r="AY841" s="233" t="str">
        <f>VLOOKUP(Table8[[#This Row],[Country Code]],Table29[],10,FALSE)</f>
        <v>no</v>
      </c>
      <c r="AZ841" s="235" t="e">
        <f>VLOOKUP(Table8[[#This Row],[Country Code]],Table29[],23,FALSE)</f>
        <v>#N/A</v>
      </c>
      <c r="BA841" s="235" t="e">
        <f>VLOOKUP(Table8[[#This Row],[Country Code]],Table29[],24,FALSE)</f>
        <v>#N/A</v>
      </c>
      <c r="BB841" s="320"/>
      <c r="BC841" s="320"/>
    </row>
    <row r="842" spans="1:55" ht="30" hidden="1" x14ac:dyDescent="0.25">
      <c r="A842" s="373">
        <v>17590</v>
      </c>
      <c r="B842" s="233" t="str">
        <f>VLOOKUP(Table8[[#This Row],[Document ID]],Table1[],2,FALSE)</f>
        <v>EEU</v>
      </c>
      <c r="C842" s="233" t="str">
        <f>VLOOKUP(Table8[[#This Row],[Document ID]],Table1[],3,FALSE)</f>
        <v>European Union</v>
      </c>
      <c r="D842" s="243" t="str">
        <f>VLOOKUP(Table8[[#This Row],[Document ID]],Table1[],5,FALSE)</f>
        <v>LTS</v>
      </c>
      <c r="E842" s="233" t="str">
        <f>VLOOKUP(Table8[[#This Row],[Document ID]],Table1[],7,FALSE)</f>
        <v>LTS</v>
      </c>
      <c r="F842" s="233" t="str">
        <f>VLOOKUP(Table8[[#This Row],[Document ID]],Table1[],8,FALSE)</f>
        <v>LTS 1.0</v>
      </c>
      <c r="G842" s="233" t="str">
        <f>VLOOKUP(Table8[[#This Row],[Document ID]],Table1[],10,FALSE)</f>
        <v>Active</v>
      </c>
      <c r="H842" s="43" t="s">
        <v>2350</v>
      </c>
      <c r="I842" s="43" t="s">
        <v>2456</v>
      </c>
      <c r="J842" s="44" t="s">
        <v>2457</v>
      </c>
      <c r="K842" s="44" t="s">
        <v>3151</v>
      </c>
      <c r="L842" s="44" t="s">
        <v>2347</v>
      </c>
      <c r="M842" s="43">
        <v>11</v>
      </c>
      <c r="N842" s="113"/>
      <c r="O842" s="113"/>
      <c r="P842" s="113"/>
      <c r="Q842" s="113"/>
      <c r="R842" s="113"/>
      <c r="S842" s="113"/>
      <c r="T842" s="113"/>
      <c r="U842" s="113"/>
      <c r="V842" s="113"/>
      <c r="W842" s="113"/>
      <c r="X842" s="113"/>
      <c r="Y842" s="113" t="s">
        <v>1113</v>
      </c>
      <c r="Z842" s="113"/>
      <c r="AA842" s="113"/>
      <c r="AB842" s="113"/>
      <c r="AC842" s="113" t="s">
        <v>1113</v>
      </c>
      <c r="AD842" s="113"/>
      <c r="AE842" s="113"/>
      <c r="AF842" s="113"/>
      <c r="AG842" s="113"/>
      <c r="AH842" s="113"/>
      <c r="AI842" s="113"/>
      <c r="AJ842" s="113"/>
      <c r="AK842" s="113"/>
      <c r="AL842" s="113"/>
      <c r="AM842" s="113"/>
      <c r="AN842" s="113" t="s">
        <v>1113</v>
      </c>
      <c r="AO842" s="43" t="s">
        <v>2348</v>
      </c>
      <c r="AP842" s="43"/>
      <c r="AQ842" s="236" t="str">
        <f>VLOOKUP(Table8[[#This Row],[Instrument]],Def_Targets!$D$73:$E$159,2,FALSE)</f>
        <v>S_Infraimprove</v>
      </c>
      <c r="AR842" s="233" t="str">
        <f>VLOOKUP(Table8[[#This Row],[Country Code]],Table29[],3,FALSE)</f>
        <v>Annex I</v>
      </c>
      <c r="AS842" s="233" t="str">
        <f>VLOOKUP(Table8[[#This Row],[Country Code]],Table29[],4,FALSE)</f>
        <v>Europe</v>
      </c>
      <c r="AT842" s="233" t="str">
        <f>VLOOKUP(Table8[[#This Row],[Country Code]],Table29[],5,FALSE)</f>
        <v>N/A</v>
      </c>
      <c r="AU842" s="233" t="str">
        <f>VLOOKUP(Table8[[#This Row],[Country Code]],Table29[],6,FALSE)</f>
        <v>G20</v>
      </c>
      <c r="AV842" s="233" t="str">
        <f>VLOOKUP(Table8[[#This Row],[Country Code]],Table29[],7,FALSE)</f>
        <v>no</v>
      </c>
      <c r="AW842" s="233" t="str">
        <f>VLOOKUP(Table8[[#This Row],[Country Code]],Table29[],8,FALSE)</f>
        <v>non-OECD</v>
      </c>
      <c r="AX842" s="233" t="str">
        <f>VLOOKUP(Table8[[#This Row],[Country Code]],Table29[],9,FALSE)</f>
        <v>no</v>
      </c>
      <c r="AY842" s="233" t="str">
        <f>VLOOKUP(Table8[[#This Row],[Country Code]],Table29[],10,FALSE)</f>
        <v>no</v>
      </c>
      <c r="AZ842" s="235" t="e">
        <f>VLOOKUP(Table8[[#This Row],[Country Code]],Table29[],23,FALSE)</f>
        <v>#N/A</v>
      </c>
      <c r="BA842" s="235" t="e">
        <f>VLOOKUP(Table8[[#This Row],[Country Code]],Table29[],24,FALSE)</f>
        <v>#N/A</v>
      </c>
      <c r="BB842" s="320"/>
      <c r="BC842" s="320"/>
    </row>
    <row r="843" spans="1:55" ht="75" hidden="1" x14ac:dyDescent="0.25">
      <c r="A843" s="373">
        <v>17590</v>
      </c>
      <c r="B843" s="233" t="str">
        <f>VLOOKUP(Table8[[#This Row],[Document ID]],Table1[],2,FALSE)</f>
        <v>EEU</v>
      </c>
      <c r="C843" s="233" t="str">
        <f>VLOOKUP(Table8[[#This Row],[Document ID]],Table1[],3,FALSE)</f>
        <v>European Union</v>
      </c>
      <c r="D843" s="243" t="str">
        <f>VLOOKUP(Table8[[#This Row],[Document ID]],Table1[],5,FALSE)</f>
        <v>LTS</v>
      </c>
      <c r="E843" s="233" t="str">
        <f>VLOOKUP(Table8[[#This Row],[Document ID]],Table1[],7,FALSE)</f>
        <v>LTS</v>
      </c>
      <c r="F843" s="233" t="str">
        <f>VLOOKUP(Table8[[#This Row],[Document ID]],Table1[],8,FALSE)</f>
        <v>LTS 1.0</v>
      </c>
      <c r="G843" s="233" t="str">
        <f>VLOOKUP(Table8[[#This Row],[Document ID]],Table1[],10,FALSE)</f>
        <v>Active</v>
      </c>
      <c r="H843" s="43" t="s">
        <v>2343</v>
      </c>
      <c r="I843" s="43" t="s">
        <v>2429</v>
      </c>
      <c r="J843" s="44" t="s">
        <v>2513</v>
      </c>
      <c r="K843" s="44" t="s">
        <v>3152</v>
      </c>
      <c r="L843" s="44" t="s">
        <v>2373</v>
      </c>
      <c r="M843" s="43">
        <v>11</v>
      </c>
      <c r="N843" s="113"/>
      <c r="O843" s="113"/>
      <c r="P843" s="113" t="s">
        <v>1113</v>
      </c>
      <c r="Q843" s="113"/>
      <c r="R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t="s">
        <v>1113</v>
      </c>
      <c r="AM843" s="113"/>
      <c r="AN843" s="113"/>
      <c r="AO843" s="44" t="s">
        <v>2334</v>
      </c>
      <c r="AP843" s="43"/>
      <c r="AQ843" s="236" t="str">
        <f>VLOOKUP(Table8[[#This Row],[Instrument]],Def_Targets!$D$73:$E$159,2,FALSE)</f>
        <v>S_Sharedmob</v>
      </c>
      <c r="AR843" s="233" t="str">
        <f>VLOOKUP(Table8[[#This Row],[Country Code]],Table29[],3,FALSE)</f>
        <v>Annex I</v>
      </c>
      <c r="AS843" s="233" t="str">
        <f>VLOOKUP(Table8[[#This Row],[Country Code]],Table29[],4,FALSE)</f>
        <v>Europe</v>
      </c>
      <c r="AT843" s="233" t="str">
        <f>VLOOKUP(Table8[[#This Row],[Country Code]],Table29[],5,FALSE)</f>
        <v>N/A</v>
      </c>
      <c r="AU843" s="233" t="str">
        <f>VLOOKUP(Table8[[#This Row],[Country Code]],Table29[],6,FALSE)</f>
        <v>G20</v>
      </c>
      <c r="AV843" s="233" t="str">
        <f>VLOOKUP(Table8[[#This Row],[Country Code]],Table29[],7,FALSE)</f>
        <v>no</v>
      </c>
      <c r="AW843" s="233" t="str">
        <f>VLOOKUP(Table8[[#This Row],[Country Code]],Table29[],8,FALSE)</f>
        <v>non-OECD</v>
      </c>
      <c r="AX843" s="233" t="str">
        <f>VLOOKUP(Table8[[#This Row],[Country Code]],Table29[],9,FALSE)</f>
        <v>no</v>
      </c>
      <c r="AY843" s="233" t="str">
        <f>VLOOKUP(Table8[[#This Row],[Country Code]],Table29[],10,FALSE)</f>
        <v>no</v>
      </c>
      <c r="AZ843" s="235" t="e">
        <f>VLOOKUP(Table8[[#This Row],[Country Code]],Table29[],23,FALSE)</f>
        <v>#N/A</v>
      </c>
      <c r="BA843" s="235" t="e">
        <f>VLOOKUP(Table8[[#This Row],[Country Code]],Table29[],24,FALSE)</f>
        <v>#N/A</v>
      </c>
      <c r="BB843" s="320"/>
      <c r="BC843" s="320"/>
    </row>
    <row r="844" spans="1:55" ht="75" hidden="1" x14ac:dyDescent="0.25">
      <c r="A844" s="373">
        <v>17590</v>
      </c>
      <c r="B844" s="233" t="str">
        <f>VLOOKUP(Table8[[#This Row],[Document ID]],Table1[],2,FALSE)</f>
        <v>EEU</v>
      </c>
      <c r="C844" s="233" t="str">
        <f>VLOOKUP(Table8[[#This Row],[Document ID]],Table1[],3,FALSE)</f>
        <v>European Union</v>
      </c>
      <c r="D844" s="243" t="str">
        <f>VLOOKUP(Table8[[#This Row],[Document ID]],Table1[],5,FALSE)</f>
        <v>LTS</v>
      </c>
      <c r="E844" s="233" t="str">
        <f>VLOOKUP(Table8[[#This Row],[Document ID]],Table1[],7,FALSE)</f>
        <v>LTS</v>
      </c>
      <c r="F844" s="233" t="str">
        <f>VLOOKUP(Table8[[#This Row],[Document ID]],Table1[],8,FALSE)</f>
        <v>LTS 1.0</v>
      </c>
      <c r="G844" s="233" t="str">
        <f>VLOOKUP(Table8[[#This Row],[Document ID]],Table1[],10,FALSE)</f>
        <v>Active</v>
      </c>
      <c r="H844" s="43" t="s">
        <v>2343</v>
      </c>
      <c r="I844" s="43" t="s">
        <v>2429</v>
      </c>
      <c r="J844" s="44" t="s">
        <v>2513</v>
      </c>
      <c r="K844" s="44" t="s">
        <v>3152</v>
      </c>
      <c r="L844" s="44" t="s">
        <v>2373</v>
      </c>
      <c r="M844" s="43">
        <v>11</v>
      </c>
      <c r="N844" s="113"/>
      <c r="O844" s="113"/>
      <c r="P844" s="113" t="s">
        <v>1113</v>
      </c>
      <c r="Q844" s="113"/>
      <c r="R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t="s">
        <v>1113</v>
      </c>
      <c r="AM844" s="113"/>
      <c r="AN844" s="113"/>
      <c r="AO844" s="44" t="s">
        <v>2334</v>
      </c>
      <c r="AP844" s="43"/>
      <c r="AQ844" s="236" t="str">
        <f>VLOOKUP(Table8[[#This Row],[Instrument]],Def_Targets!$D$73:$E$159,2,FALSE)</f>
        <v>S_Sharedmob</v>
      </c>
      <c r="AR844" s="233" t="str">
        <f>VLOOKUP(Table8[[#This Row],[Country Code]],Table29[],3,FALSE)</f>
        <v>Annex I</v>
      </c>
      <c r="AS844" s="233" t="str">
        <f>VLOOKUP(Table8[[#This Row],[Country Code]],Table29[],4,FALSE)</f>
        <v>Europe</v>
      </c>
      <c r="AT844" s="233" t="str">
        <f>VLOOKUP(Table8[[#This Row],[Country Code]],Table29[],5,FALSE)</f>
        <v>N/A</v>
      </c>
      <c r="AU844" s="233" t="str">
        <f>VLOOKUP(Table8[[#This Row],[Country Code]],Table29[],6,FALSE)</f>
        <v>G20</v>
      </c>
      <c r="AV844" s="233" t="str">
        <f>VLOOKUP(Table8[[#This Row],[Country Code]],Table29[],7,FALSE)</f>
        <v>no</v>
      </c>
      <c r="AW844" s="233" t="str">
        <f>VLOOKUP(Table8[[#This Row],[Country Code]],Table29[],8,FALSE)</f>
        <v>non-OECD</v>
      </c>
      <c r="AX844" s="233" t="str">
        <f>VLOOKUP(Table8[[#This Row],[Country Code]],Table29[],9,FALSE)</f>
        <v>no</v>
      </c>
      <c r="AY844" s="233" t="str">
        <f>VLOOKUP(Table8[[#This Row],[Country Code]],Table29[],10,FALSE)</f>
        <v>no</v>
      </c>
      <c r="AZ844" s="235" t="e">
        <f>VLOOKUP(Table8[[#This Row],[Country Code]],Table29[],23,FALSE)</f>
        <v>#N/A</v>
      </c>
      <c r="BA844" s="235" t="e">
        <f>VLOOKUP(Table8[[#This Row],[Country Code]],Table29[],24,FALSE)</f>
        <v>#N/A</v>
      </c>
      <c r="BB844" s="320"/>
      <c r="BC844" s="320"/>
    </row>
    <row r="845" spans="1:55" ht="75" hidden="1" x14ac:dyDescent="0.25">
      <c r="A845" s="373">
        <v>17590</v>
      </c>
      <c r="B845" s="233" t="str">
        <f>VLOOKUP(Table8[[#This Row],[Document ID]],Table1[],2,FALSE)</f>
        <v>EEU</v>
      </c>
      <c r="C845" s="233" t="str">
        <f>VLOOKUP(Table8[[#This Row],[Document ID]],Table1[],3,FALSE)</f>
        <v>European Union</v>
      </c>
      <c r="D845" s="243" t="str">
        <f>VLOOKUP(Table8[[#This Row],[Document ID]],Table1[],5,FALSE)</f>
        <v>LTS</v>
      </c>
      <c r="E845" s="233" t="str">
        <f>VLOOKUP(Table8[[#This Row],[Document ID]],Table1[],7,FALSE)</f>
        <v>LTS</v>
      </c>
      <c r="F845" s="233" t="str">
        <f>VLOOKUP(Table8[[#This Row],[Document ID]],Table1[],8,FALSE)</f>
        <v>LTS 1.0</v>
      </c>
      <c r="G845" s="233" t="str">
        <f>VLOOKUP(Table8[[#This Row],[Document ID]],Table1[],10,FALSE)</f>
        <v>Active</v>
      </c>
      <c r="H845" s="43" t="s">
        <v>2343</v>
      </c>
      <c r="I845" s="43" t="s">
        <v>2361</v>
      </c>
      <c r="J845" s="44" t="s">
        <v>2362</v>
      </c>
      <c r="K845" s="44" t="s">
        <v>3152</v>
      </c>
      <c r="L845" s="44" t="s">
        <v>2373</v>
      </c>
      <c r="M845" s="43">
        <v>11</v>
      </c>
      <c r="N845" s="113"/>
      <c r="O845" s="113"/>
      <c r="P845" s="113"/>
      <c r="Q845" s="113"/>
      <c r="R845" s="113" t="s">
        <v>1113</v>
      </c>
      <c r="S845" s="113"/>
      <c r="T845" s="113"/>
      <c r="U845" s="113"/>
      <c r="V845" s="113"/>
      <c r="W845" s="113"/>
      <c r="X845" s="113"/>
      <c r="Y845" s="113"/>
      <c r="Z845" s="113"/>
      <c r="AA845" s="113"/>
      <c r="AB845" s="113"/>
      <c r="AC845" s="113"/>
      <c r="AD845" s="113"/>
      <c r="AE845" s="113"/>
      <c r="AF845" s="113"/>
      <c r="AG845" s="113"/>
      <c r="AH845" s="113"/>
      <c r="AI845" s="113"/>
      <c r="AJ845" s="113"/>
      <c r="AK845" s="113"/>
      <c r="AL845" s="113" t="s">
        <v>1113</v>
      </c>
      <c r="AM845" s="113"/>
      <c r="AN845" s="113"/>
      <c r="AO845" s="44" t="s">
        <v>2334</v>
      </c>
      <c r="AP845" s="43"/>
      <c r="AQ845" s="236" t="str">
        <f>VLOOKUP(Table8[[#This Row],[Instrument]],Def_Targets!$D$73:$E$159,2,FALSE)</f>
        <v>S_Cycling</v>
      </c>
      <c r="AR845" s="233" t="str">
        <f>VLOOKUP(Table8[[#This Row],[Country Code]],Table29[],3,FALSE)</f>
        <v>Annex I</v>
      </c>
      <c r="AS845" s="233" t="str">
        <f>VLOOKUP(Table8[[#This Row],[Country Code]],Table29[],4,FALSE)</f>
        <v>Europe</v>
      </c>
      <c r="AT845" s="233" t="str">
        <f>VLOOKUP(Table8[[#This Row],[Country Code]],Table29[],5,FALSE)</f>
        <v>N/A</v>
      </c>
      <c r="AU845" s="233" t="str">
        <f>VLOOKUP(Table8[[#This Row],[Country Code]],Table29[],6,FALSE)</f>
        <v>G20</v>
      </c>
      <c r="AV845" s="233" t="str">
        <f>VLOOKUP(Table8[[#This Row],[Country Code]],Table29[],7,FALSE)</f>
        <v>no</v>
      </c>
      <c r="AW845" s="233" t="str">
        <f>VLOOKUP(Table8[[#This Row],[Country Code]],Table29[],8,FALSE)</f>
        <v>non-OECD</v>
      </c>
      <c r="AX845" s="233" t="str">
        <f>VLOOKUP(Table8[[#This Row],[Country Code]],Table29[],9,FALSE)</f>
        <v>no</v>
      </c>
      <c r="AY845" s="233" t="str">
        <f>VLOOKUP(Table8[[#This Row],[Country Code]],Table29[],10,FALSE)</f>
        <v>no</v>
      </c>
      <c r="AZ845" s="235" t="e">
        <f>VLOOKUP(Table8[[#This Row],[Country Code]],Table29[],23,FALSE)</f>
        <v>#N/A</v>
      </c>
      <c r="BA845" s="235" t="e">
        <f>VLOOKUP(Table8[[#This Row],[Country Code]],Table29[],24,FALSE)</f>
        <v>#N/A</v>
      </c>
      <c r="BB845" s="320"/>
      <c r="BC845" s="320"/>
    </row>
    <row r="846" spans="1:55" ht="75" hidden="1" x14ac:dyDescent="0.25">
      <c r="A846" s="373">
        <v>17590</v>
      </c>
      <c r="B846" s="233" t="str">
        <f>VLOOKUP(Table8[[#This Row],[Document ID]],Table1[],2,FALSE)</f>
        <v>EEU</v>
      </c>
      <c r="C846" s="233" t="str">
        <f>VLOOKUP(Table8[[#This Row],[Document ID]],Table1[],3,FALSE)</f>
        <v>European Union</v>
      </c>
      <c r="D846" s="243" t="str">
        <f>VLOOKUP(Table8[[#This Row],[Document ID]],Table1[],5,FALSE)</f>
        <v>LTS</v>
      </c>
      <c r="E846" s="233" t="str">
        <f>VLOOKUP(Table8[[#This Row],[Document ID]],Table1[],7,FALSE)</f>
        <v>LTS</v>
      </c>
      <c r="F846" s="233" t="str">
        <f>VLOOKUP(Table8[[#This Row],[Document ID]],Table1[],8,FALSE)</f>
        <v>LTS 1.0</v>
      </c>
      <c r="G846" s="233" t="str">
        <f>VLOOKUP(Table8[[#This Row],[Document ID]],Table1[],10,FALSE)</f>
        <v>Active</v>
      </c>
      <c r="H846" s="43" t="s">
        <v>2343</v>
      </c>
      <c r="I846" s="43" t="s">
        <v>2361</v>
      </c>
      <c r="J846" s="44" t="s">
        <v>2463</v>
      </c>
      <c r="K846" s="44" t="s">
        <v>3152</v>
      </c>
      <c r="L846" s="44" t="s">
        <v>2373</v>
      </c>
      <c r="M846" s="43">
        <v>11</v>
      </c>
      <c r="N846" s="113"/>
      <c r="O846" s="113"/>
      <c r="P846" s="113"/>
      <c r="Q846" s="113" t="s">
        <v>1113</v>
      </c>
      <c r="R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t="s">
        <v>1113</v>
      </c>
      <c r="AM846" s="113"/>
      <c r="AN846" s="113"/>
      <c r="AO846" s="44" t="s">
        <v>2334</v>
      </c>
      <c r="AP846" s="43"/>
      <c r="AQ846" s="236" t="str">
        <f>VLOOKUP(Table8[[#This Row],[Instrument]],Def_Targets!$D$73:$E$159,2,FALSE)</f>
        <v>S_Walking</v>
      </c>
      <c r="AR846" s="233" t="str">
        <f>VLOOKUP(Table8[[#This Row],[Country Code]],Table29[],3,FALSE)</f>
        <v>Annex I</v>
      </c>
      <c r="AS846" s="233" t="str">
        <f>VLOOKUP(Table8[[#This Row],[Country Code]],Table29[],4,FALSE)</f>
        <v>Europe</v>
      </c>
      <c r="AT846" s="233" t="str">
        <f>VLOOKUP(Table8[[#This Row],[Country Code]],Table29[],5,FALSE)</f>
        <v>N/A</v>
      </c>
      <c r="AU846" s="233" t="str">
        <f>VLOOKUP(Table8[[#This Row],[Country Code]],Table29[],6,FALSE)</f>
        <v>G20</v>
      </c>
      <c r="AV846" s="233" t="str">
        <f>VLOOKUP(Table8[[#This Row],[Country Code]],Table29[],7,FALSE)</f>
        <v>no</v>
      </c>
      <c r="AW846" s="233" t="str">
        <f>VLOOKUP(Table8[[#This Row],[Country Code]],Table29[],8,FALSE)</f>
        <v>non-OECD</v>
      </c>
      <c r="AX846" s="233" t="str">
        <f>VLOOKUP(Table8[[#This Row],[Country Code]],Table29[],9,FALSE)</f>
        <v>no</v>
      </c>
      <c r="AY846" s="233" t="str">
        <f>VLOOKUP(Table8[[#This Row],[Country Code]],Table29[],10,FALSE)</f>
        <v>no</v>
      </c>
      <c r="AZ846" s="235" t="e">
        <f>VLOOKUP(Table8[[#This Row],[Country Code]],Table29[],23,FALSE)</f>
        <v>#N/A</v>
      </c>
      <c r="BA846" s="235" t="e">
        <f>VLOOKUP(Table8[[#This Row],[Country Code]],Table29[],24,FALSE)</f>
        <v>#N/A</v>
      </c>
      <c r="BB846" s="320"/>
      <c r="BC846" s="320"/>
    </row>
    <row r="847" spans="1:55" ht="75" hidden="1" x14ac:dyDescent="0.25">
      <c r="A847" s="373">
        <v>17590</v>
      </c>
      <c r="B847" s="233" t="str">
        <f>VLOOKUP(Table8[[#This Row],[Document ID]],Table1[],2,FALSE)</f>
        <v>EEU</v>
      </c>
      <c r="C847" s="233" t="str">
        <f>VLOOKUP(Table8[[#This Row],[Document ID]],Table1[],3,FALSE)</f>
        <v>European Union</v>
      </c>
      <c r="D847" s="243" t="str">
        <f>VLOOKUP(Table8[[#This Row],[Document ID]],Table1[],5,FALSE)</f>
        <v>LTS</v>
      </c>
      <c r="E847" s="233" t="str">
        <f>VLOOKUP(Table8[[#This Row],[Document ID]],Table1[],7,FALSE)</f>
        <v>LTS</v>
      </c>
      <c r="F847" s="233" t="str">
        <f>VLOOKUP(Table8[[#This Row],[Document ID]],Table1[],8,FALSE)</f>
        <v>LTS 1.0</v>
      </c>
      <c r="G847" s="233" t="str">
        <f>VLOOKUP(Table8[[#This Row],[Document ID]],Table1[],10,FALSE)</f>
        <v>Active</v>
      </c>
      <c r="H847" s="43" t="s">
        <v>2350</v>
      </c>
      <c r="I847" s="43" t="s">
        <v>2370</v>
      </c>
      <c r="J847" s="44" t="s">
        <v>2418</v>
      </c>
      <c r="K847" s="44" t="s">
        <v>3152</v>
      </c>
      <c r="L847" s="44" t="s">
        <v>2373</v>
      </c>
      <c r="M847" s="43">
        <v>11</v>
      </c>
      <c r="N847" s="113"/>
      <c r="O847" s="113"/>
      <c r="P847" s="113"/>
      <c r="Q847" s="113"/>
      <c r="R847" s="113" t="s">
        <v>1113</v>
      </c>
      <c r="S847" s="113"/>
      <c r="T847" s="113"/>
      <c r="U847" s="113" t="s">
        <v>1113</v>
      </c>
      <c r="V847" s="113"/>
      <c r="W847" s="113"/>
      <c r="X847" s="113"/>
      <c r="Y847" s="113" t="s">
        <v>1113</v>
      </c>
      <c r="Z847" s="113"/>
      <c r="AA847" s="113"/>
      <c r="AB847" s="113"/>
      <c r="AC847" s="113" t="s">
        <v>1113</v>
      </c>
      <c r="AD847" s="113"/>
      <c r="AE847" s="113"/>
      <c r="AF847" s="113"/>
      <c r="AG847" s="113"/>
      <c r="AH847" s="113"/>
      <c r="AI847" s="113"/>
      <c r="AJ847" s="113"/>
      <c r="AK847" s="113"/>
      <c r="AL847" s="113" t="s">
        <v>1113</v>
      </c>
      <c r="AM847" s="113"/>
      <c r="AN847" s="113"/>
      <c r="AO847" s="44" t="s">
        <v>2334</v>
      </c>
      <c r="AP847" s="43"/>
      <c r="AQ847" s="236" t="str">
        <f>VLOOKUP(Table8[[#This Row],[Instrument]],Def_Targets!$D$73:$E$159,2,FALSE)</f>
        <v>A_Complan</v>
      </c>
      <c r="AR847" s="233" t="str">
        <f>VLOOKUP(Table8[[#This Row],[Country Code]],Table29[],3,FALSE)</f>
        <v>Annex I</v>
      </c>
      <c r="AS847" s="233" t="str">
        <f>VLOOKUP(Table8[[#This Row],[Country Code]],Table29[],4,FALSE)</f>
        <v>Europe</v>
      </c>
      <c r="AT847" s="233" t="str">
        <f>VLOOKUP(Table8[[#This Row],[Country Code]],Table29[],5,FALSE)</f>
        <v>N/A</v>
      </c>
      <c r="AU847" s="233" t="str">
        <f>VLOOKUP(Table8[[#This Row],[Country Code]],Table29[],6,FALSE)</f>
        <v>G20</v>
      </c>
      <c r="AV847" s="233" t="str">
        <f>VLOOKUP(Table8[[#This Row],[Country Code]],Table29[],7,FALSE)</f>
        <v>no</v>
      </c>
      <c r="AW847" s="233" t="str">
        <f>VLOOKUP(Table8[[#This Row],[Country Code]],Table29[],8,FALSE)</f>
        <v>non-OECD</v>
      </c>
      <c r="AX847" s="233" t="str">
        <f>VLOOKUP(Table8[[#This Row],[Country Code]],Table29[],9,FALSE)</f>
        <v>no</v>
      </c>
      <c r="AY847" s="233" t="str">
        <f>VLOOKUP(Table8[[#This Row],[Country Code]],Table29[],10,FALSE)</f>
        <v>no</v>
      </c>
      <c r="AZ847" s="235" t="e">
        <f>VLOOKUP(Table8[[#This Row],[Country Code]],Table29[],23,FALSE)</f>
        <v>#N/A</v>
      </c>
      <c r="BA847" s="235" t="e">
        <f>VLOOKUP(Table8[[#This Row],[Country Code]],Table29[],24,FALSE)</f>
        <v>#N/A</v>
      </c>
      <c r="BB847" s="320"/>
      <c r="BC847" s="320"/>
    </row>
    <row r="848" spans="1:55" ht="30" hidden="1" x14ac:dyDescent="0.25">
      <c r="A848" s="373">
        <v>17590</v>
      </c>
      <c r="B848" s="233" t="str">
        <f>VLOOKUP(Table8[[#This Row],[Document ID]],Table1[],2,FALSE)</f>
        <v>EEU</v>
      </c>
      <c r="C848" s="233" t="str">
        <f>VLOOKUP(Table8[[#This Row],[Document ID]],Table1[],3,FALSE)</f>
        <v>European Union</v>
      </c>
      <c r="D848" s="243" t="str">
        <f>VLOOKUP(Table8[[#This Row],[Document ID]],Table1[],5,FALSE)</f>
        <v>LTS</v>
      </c>
      <c r="E848" s="233" t="str">
        <f>VLOOKUP(Table8[[#This Row],[Document ID]],Table1[],7,FALSE)</f>
        <v>LTS</v>
      </c>
      <c r="F848" s="233" t="str">
        <f>VLOOKUP(Table8[[#This Row],[Document ID]],Table1[],8,FALSE)</f>
        <v>LTS 1.0</v>
      </c>
      <c r="G848" s="233" t="str">
        <f>VLOOKUP(Table8[[#This Row],[Document ID]],Table1[],10,FALSE)</f>
        <v>Active</v>
      </c>
      <c r="H848" s="43" t="s">
        <v>2350</v>
      </c>
      <c r="I848" s="43" t="s">
        <v>2407</v>
      </c>
      <c r="J848" s="44" t="s">
        <v>2408</v>
      </c>
      <c r="K848" s="44" t="s">
        <v>3153</v>
      </c>
      <c r="L848" s="44" t="s">
        <v>2373</v>
      </c>
      <c r="M848" s="43">
        <v>11</v>
      </c>
      <c r="N848" s="113" t="s">
        <v>1113</v>
      </c>
      <c r="O848" s="113"/>
      <c r="P848" s="113"/>
      <c r="Q848" s="113"/>
      <c r="R848" s="113"/>
      <c r="S848" s="113"/>
      <c r="T848" s="113"/>
      <c r="U848" s="113"/>
      <c r="V848" s="113"/>
      <c r="W848" s="113"/>
      <c r="X848" s="113"/>
      <c r="Y848" s="113"/>
      <c r="Z848" s="113"/>
      <c r="AA848" s="113"/>
      <c r="AB848" s="113"/>
      <c r="AC848" s="113"/>
      <c r="AD848" s="113"/>
      <c r="AE848" s="113"/>
      <c r="AF848" s="113"/>
      <c r="AG848" s="113"/>
      <c r="AH848" s="113"/>
      <c r="AI848" s="113"/>
      <c r="AJ848" s="113"/>
      <c r="AK848" s="319" t="s">
        <v>1113</v>
      </c>
      <c r="AL848" s="113"/>
      <c r="AM848" s="113"/>
      <c r="AN848" s="113"/>
      <c r="AO848" s="44" t="s">
        <v>2334</v>
      </c>
      <c r="AP848" s="43"/>
      <c r="AQ848" s="236" t="str">
        <f>VLOOKUP(Table8[[#This Row],[Instrument]],Def_Targets!$D$73:$E$159,2,FALSE)</f>
        <v>I_Education</v>
      </c>
      <c r="AR848" s="233" t="str">
        <f>VLOOKUP(Table8[[#This Row],[Country Code]],Table29[],3,FALSE)</f>
        <v>Annex I</v>
      </c>
      <c r="AS848" s="233" t="str">
        <f>VLOOKUP(Table8[[#This Row],[Country Code]],Table29[],4,FALSE)</f>
        <v>Europe</v>
      </c>
      <c r="AT848" s="233" t="str">
        <f>VLOOKUP(Table8[[#This Row],[Country Code]],Table29[],5,FALSE)</f>
        <v>N/A</v>
      </c>
      <c r="AU848" s="233" t="str">
        <f>VLOOKUP(Table8[[#This Row],[Country Code]],Table29[],6,FALSE)</f>
        <v>G20</v>
      </c>
      <c r="AV848" s="233" t="str">
        <f>VLOOKUP(Table8[[#This Row],[Country Code]],Table29[],7,FALSE)</f>
        <v>no</v>
      </c>
      <c r="AW848" s="233" t="str">
        <f>VLOOKUP(Table8[[#This Row],[Country Code]],Table29[],8,FALSE)</f>
        <v>non-OECD</v>
      </c>
      <c r="AX848" s="233" t="str">
        <f>VLOOKUP(Table8[[#This Row],[Country Code]],Table29[],9,FALSE)</f>
        <v>no</v>
      </c>
      <c r="AY848" s="233" t="str">
        <f>VLOOKUP(Table8[[#This Row],[Country Code]],Table29[],10,FALSE)</f>
        <v>no</v>
      </c>
      <c r="AZ848" s="235" t="e">
        <f>VLOOKUP(Table8[[#This Row],[Country Code]],Table29[],23,FALSE)</f>
        <v>#N/A</v>
      </c>
      <c r="BA848" s="235" t="e">
        <f>VLOOKUP(Table8[[#This Row],[Country Code]],Table29[],24,FALSE)</f>
        <v>#N/A</v>
      </c>
      <c r="BB848" s="320"/>
      <c r="BC848" s="320"/>
    </row>
    <row r="849" spans="1:55" ht="45" hidden="1" x14ac:dyDescent="0.25">
      <c r="A849" s="373">
        <v>17590</v>
      </c>
      <c r="B849" s="233" t="str">
        <f>VLOOKUP(Table8[[#This Row],[Document ID]],Table1[],2,FALSE)</f>
        <v>EEU</v>
      </c>
      <c r="C849" s="233" t="str">
        <f>VLOOKUP(Table8[[#This Row],[Document ID]],Table1[],3,FALSE)</f>
        <v>European Union</v>
      </c>
      <c r="D849" s="243" t="str">
        <f>VLOOKUP(Table8[[#This Row],[Document ID]],Table1[],5,FALSE)</f>
        <v>LTS</v>
      </c>
      <c r="E849" s="233" t="str">
        <f>VLOOKUP(Table8[[#This Row],[Document ID]],Table1[],7,FALSE)</f>
        <v>LTS</v>
      </c>
      <c r="F849" s="233" t="str">
        <f>VLOOKUP(Table8[[#This Row],[Document ID]],Table1[],8,FALSE)</f>
        <v>LTS 1.0</v>
      </c>
      <c r="G849" s="233" t="str">
        <f>VLOOKUP(Table8[[#This Row],[Document ID]],Table1[],10,FALSE)</f>
        <v>Active</v>
      </c>
      <c r="H849" s="43" t="s">
        <v>2343</v>
      </c>
      <c r="I849" s="44" t="s">
        <v>2377</v>
      </c>
      <c r="J849" s="44" t="s">
        <v>2378</v>
      </c>
      <c r="K849" s="44" t="s">
        <v>3154</v>
      </c>
      <c r="L849" s="44" t="s">
        <v>2380</v>
      </c>
      <c r="M849" s="43">
        <v>11</v>
      </c>
      <c r="N849" s="113" t="s">
        <v>1113</v>
      </c>
      <c r="O849" s="113"/>
      <c r="P849" s="113"/>
      <c r="Q849" s="113"/>
      <c r="R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t="s">
        <v>1113</v>
      </c>
      <c r="AO849" s="44" t="s">
        <v>2334</v>
      </c>
      <c r="AP849" s="43"/>
      <c r="AQ849" s="236" t="str">
        <f>VLOOKUP(Table8[[#This Row],[Instrument]],Def_Targets!$D$73:$E$159,2,FALSE)</f>
        <v>A_Commute</v>
      </c>
      <c r="AR849" s="233" t="str">
        <f>VLOOKUP(Table8[[#This Row],[Country Code]],Table29[],3,FALSE)</f>
        <v>Annex I</v>
      </c>
      <c r="AS849" s="233" t="str">
        <f>VLOOKUP(Table8[[#This Row],[Country Code]],Table29[],4,FALSE)</f>
        <v>Europe</v>
      </c>
      <c r="AT849" s="233" t="str">
        <f>VLOOKUP(Table8[[#This Row],[Country Code]],Table29[],5,FALSE)</f>
        <v>N/A</v>
      </c>
      <c r="AU849" s="233" t="str">
        <f>VLOOKUP(Table8[[#This Row],[Country Code]],Table29[],6,FALSE)</f>
        <v>G20</v>
      </c>
      <c r="AV849" s="233" t="str">
        <f>VLOOKUP(Table8[[#This Row],[Country Code]],Table29[],7,FALSE)</f>
        <v>no</v>
      </c>
      <c r="AW849" s="233" t="str">
        <f>VLOOKUP(Table8[[#This Row],[Country Code]],Table29[],8,FALSE)</f>
        <v>non-OECD</v>
      </c>
      <c r="AX849" s="233" t="str">
        <f>VLOOKUP(Table8[[#This Row],[Country Code]],Table29[],9,FALSE)</f>
        <v>no</v>
      </c>
      <c r="AY849" s="233" t="str">
        <f>VLOOKUP(Table8[[#This Row],[Country Code]],Table29[],10,FALSE)</f>
        <v>no</v>
      </c>
      <c r="AZ849" s="235" t="e">
        <f>VLOOKUP(Table8[[#This Row],[Country Code]],Table29[],23,FALSE)</f>
        <v>#N/A</v>
      </c>
      <c r="BA849" s="235" t="e">
        <f>VLOOKUP(Table8[[#This Row],[Country Code]],Table29[],24,FALSE)</f>
        <v>#N/A</v>
      </c>
      <c r="BB849" s="320"/>
      <c r="BC849" s="320"/>
    </row>
    <row r="850" spans="1:55" ht="30" hidden="1" x14ac:dyDescent="0.25">
      <c r="A850" s="373">
        <v>17590</v>
      </c>
      <c r="B850" s="233" t="str">
        <f>VLOOKUP(Table8[[#This Row],[Document ID]],Table1[],2,FALSE)</f>
        <v>EEU</v>
      </c>
      <c r="C850" s="233" t="str">
        <f>VLOOKUP(Table8[[#This Row],[Document ID]],Table1[],3,FALSE)</f>
        <v>European Union</v>
      </c>
      <c r="D850" s="243" t="str">
        <f>VLOOKUP(Table8[[#This Row],[Document ID]],Table1[],5,FALSE)</f>
        <v>LTS</v>
      </c>
      <c r="E850" s="233" t="str">
        <f>VLOOKUP(Table8[[#This Row],[Document ID]],Table1[],7,FALSE)</f>
        <v>LTS</v>
      </c>
      <c r="F850" s="233" t="str">
        <f>VLOOKUP(Table8[[#This Row],[Document ID]],Table1[],8,FALSE)</f>
        <v>LTS 1.0</v>
      </c>
      <c r="G850" s="233" t="str">
        <f>VLOOKUP(Table8[[#This Row],[Document ID]],Table1[],10,FALSE)</f>
        <v>Active</v>
      </c>
      <c r="H850" s="43" t="s">
        <v>2350</v>
      </c>
      <c r="I850" s="43" t="s">
        <v>2407</v>
      </c>
      <c r="J850" s="44" t="s">
        <v>2408</v>
      </c>
      <c r="K850" s="44" t="s">
        <v>3155</v>
      </c>
      <c r="L850" s="44" t="s">
        <v>2471</v>
      </c>
      <c r="M850" s="43">
        <v>11</v>
      </c>
      <c r="N850" s="113" t="s">
        <v>1113</v>
      </c>
      <c r="O850" s="113"/>
      <c r="P850" s="113"/>
      <c r="Q850" s="113"/>
      <c r="R850" s="113"/>
      <c r="S850" s="113"/>
      <c r="T850" s="113"/>
      <c r="U850" s="113"/>
      <c r="V850" s="113"/>
      <c r="W850" s="113"/>
      <c r="X850" s="113"/>
      <c r="Y850" s="113"/>
      <c r="Z850" s="113"/>
      <c r="AA850" s="113"/>
      <c r="AB850" s="113"/>
      <c r="AC850" s="113"/>
      <c r="AD850" s="113"/>
      <c r="AE850" s="113"/>
      <c r="AF850" s="113"/>
      <c r="AG850" s="113"/>
      <c r="AH850" s="113"/>
      <c r="AI850" s="113"/>
      <c r="AJ850" s="113"/>
      <c r="AK850" s="319" t="s">
        <v>1113</v>
      </c>
      <c r="AL850" s="113"/>
      <c r="AM850" s="113"/>
      <c r="AN850" s="113"/>
      <c r="AO850" s="44" t="s">
        <v>2334</v>
      </c>
      <c r="AP850" s="43"/>
      <c r="AQ850" s="236" t="str">
        <f>VLOOKUP(Table8[[#This Row],[Instrument]],Def_Targets!$D$73:$E$159,2,FALSE)</f>
        <v>I_Education</v>
      </c>
      <c r="AR850" s="233" t="str">
        <f>VLOOKUP(Table8[[#This Row],[Country Code]],Table29[],3,FALSE)</f>
        <v>Annex I</v>
      </c>
      <c r="AS850" s="233" t="str">
        <f>VLOOKUP(Table8[[#This Row],[Country Code]],Table29[],4,FALSE)</f>
        <v>Europe</v>
      </c>
      <c r="AT850" s="233" t="str">
        <f>VLOOKUP(Table8[[#This Row],[Country Code]],Table29[],5,FALSE)</f>
        <v>N/A</v>
      </c>
      <c r="AU850" s="233" t="str">
        <f>VLOOKUP(Table8[[#This Row],[Country Code]],Table29[],6,FALSE)</f>
        <v>G20</v>
      </c>
      <c r="AV850" s="233" t="str">
        <f>VLOOKUP(Table8[[#This Row],[Country Code]],Table29[],7,FALSE)</f>
        <v>no</v>
      </c>
      <c r="AW850" s="233" t="str">
        <f>VLOOKUP(Table8[[#This Row],[Country Code]],Table29[],8,FALSE)</f>
        <v>non-OECD</v>
      </c>
      <c r="AX850" s="233" t="str">
        <f>VLOOKUP(Table8[[#This Row],[Country Code]],Table29[],9,FALSE)</f>
        <v>no</v>
      </c>
      <c r="AY850" s="233" t="str">
        <f>VLOOKUP(Table8[[#This Row],[Country Code]],Table29[],10,FALSE)</f>
        <v>no</v>
      </c>
      <c r="AZ850" s="235" t="e">
        <f>VLOOKUP(Table8[[#This Row],[Country Code]],Table29[],23,FALSE)</f>
        <v>#N/A</v>
      </c>
      <c r="BA850" s="235" t="e">
        <f>VLOOKUP(Table8[[#This Row],[Country Code]],Table29[],24,FALSE)</f>
        <v>#N/A</v>
      </c>
      <c r="BB850" s="320"/>
      <c r="BC850" s="320"/>
    </row>
    <row r="851" spans="1:55" ht="30" hidden="1" x14ac:dyDescent="0.25">
      <c r="A851" s="373">
        <v>17590</v>
      </c>
      <c r="B851" s="233" t="str">
        <f>VLOOKUP(Table8[[#This Row],[Document ID]],Table1[],2,FALSE)</f>
        <v>EEU</v>
      </c>
      <c r="C851" s="233" t="str">
        <f>VLOOKUP(Table8[[#This Row],[Document ID]],Table1[],3,FALSE)</f>
        <v>European Union</v>
      </c>
      <c r="D851" s="243" t="str">
        <f>VLOOKUP(Table8[[#This Row],[Document ID]],Table1[],5,FALSE)</f>
        <v>LTS</v>
      </c>
      <c r="E851" s="233" t="str">
        <f>VLOOKUP(Table8[[#This Row],[Document ID]],Table1[],7,FALSE)</f>
        <v>LTS</v>
      </c>
      <c r="F851" s="233" t="str">
        <f>VLOOKUP(Table8[[#This Row],[Document ID]],Table1[],8,FALSE)</f>
        <v>LTS 1.0</v>
      </c>
      <c r="G851" s="233" t="str">
        <f>VLOOKUP(Table8[[#This Row],[Document ID]],Table1[],10,FALSE)</f>
        <v>Active</v>
      </c>
      <c r="H851" s="43" t="s">
        <v>2343</v>
      </c>
      <c r="I851" s="43" t="s">
        <v>2386</v>
      </c>
      <c r="J851" s="44" t="s">
        <v>2412</v>
      </c>
      <c r="K851" s="44" t="s">
        <v>3156</v>
      </c>
      <c r="L851" s="44" t="s">
        <v>2396</v>
      </c>
      <c r="M851" s="43">
        <v>11</v>
      </c>
      <c r="N851" s="113" t="s">
        <v>1113</v>
      </c>
      <c r="O851" s="113"/>
      <c r="P851" s="113"/>
      <c r="Q851" s="113"/>
      <c r="R851" s="113"/>
      <c r="S851" s="113"/>
      <c r="T851" s="113"/>
      <c r="U851" s="113"/>
      <c r="V851" s="113"/>
      <c r="W851" s="113"/>
      <c r="X851" s="113"/>
      <c r="Y851" s="113"/>
      <c r="Z851" s="113"/>
      <c r="AA851" s="113"/>
      <c r="AB851" s="113"/>
      <c r="AC851" s="113"/>
      <c r="AD851" s="113"/>
      <c r="AE851" s="113"/>
      <c r="AF851" s="113"/>
      <c r="AG851" s="113"/>
      <c r="AH851" s="113"/>
      <c r="AI851" s="113"/>
      <c r="AJ851" s="113"/>
      <c r="AK851" s="319" t="s">
        <v>1113</v>
      </c>
      <c r="AL851" s="113"/>
      <c r="AM851" s="113"/>
      <c r="AN851" s="113"/>
      <c r="AO851" s="44" t="s">
        <v>2334</v>
      </c>
      <c r="AP851" s="43"/>
      <c r="AQ851" s="236" t="str">
        <f>VLOOKUP(Table8[[#This Row],[Instrument]],Def_Targets!$D$73:$E$159,2,FALSE)</f>
        <v>A_Economic</v>
      </c>
      <c r="AR851" s="233" t="str">
        <f>VLOOKUP(Table8[[#This Row],[Country Code]],Table29[],3,FALSE)</f>
        <v>Annex I</v>
      </c>
      <c r="AS851" s="233" t="str">
        <f>VLOOKUP(Table8[[#This Row],[Country Code]],Table29[],4,FALSE)</f>
        <v>Europe</v>
      </c>
      <c r="AT851" s="233" t="str">
        <f>VLOOKUP(Table8[[#This Row],[Country Code]],Table29[],5,FALSE)</f>
        <v>N/A</v>
      </c>
      <c r="AU851" s="233" t="str">
        <f>VLOOKUP(Table8[[#This Row],[Country Code]],Table29[],6,FALSE)</f>
        <v>G20</v>
      </c>
      <c r="AV851" s="233" t="str">
        <f>VLOOKUP(Table8[[#This Row],[Country Code]],Table29[],7,FALSE)</f>
        <v>no</v>
      </c>
      <c r="AW851" s="233" t="str">
        <f>VLOOKUP(Table8[[#This Row],[Country Code]],Table29[],8,FALSE)</f>
        <v>non-OECD</v>
      </c>
      <c r="AX851" s="233" t="str">
        <f>VLOOKUP(Table8[[#This Row],[Country Code]],Table29[],9,FALSE)</f>
        <v>no</v>
      </c>
      <c r="AY851" s="233" t="str">
        <f>VLOOKUP(Table8[[#This Row],[Country Code]],Table29[],10,FALSE)</f>
        <v>no</v>
      </c>
      <c r="AZ851" s="235" t="e">
        <f>VLOOKUP(Table8[[#This Row],[Country Code]],Table29[],23,FALSE)</f>
        <v>#N/A</v>
      </c>
      <c r="BA851" s="235" t="e">
        <f>VLOOKUP(Table8[[#This Row],[Country Code]],Table29[],24,FALSE)</f>
        <v>#N/A</v>
      </c>
      <c r="BB851" s="320"/>
      <c r="BC851" s="320"/>
    </row>
    <row r="852" spans="1:55" ht="30" hidden="1" x14ac:dyDescent="0.25">
      <c r="A852" s="373">
        <v>17590</v>
      </c>
      <c r="B852" s="233" t="str">
        <f>VLOOKUP(Table8[[#This Row],[Document ID]],Table1[],2,FALSE)</f>
        <v>EEU</v>
      </c>
      <c r="C852" s="233" t="str">
        <f>VLOOKUP(Table8[[#This Row],[Document ID]],Table1[],3,FALSE)</f>
        <v>European Union</v>
      </c>
      <c r="D852" s="243" t="str">
        <f>VLOOKUP(Table8[[#This Row],[Document ID]],Table1[],5,FALSE)</f>
        <v>LTS</v>
      </c>
      <c r="E852" s="233" t="str">
        <f>VLOOKUP(Table8[[#This Row],[Document ID]],Table1[],7,FALSE)</f>
        <v>LTS</v>
      </c>
      <c r="F852" s="233" t="str">
        <f>VLOOKUP(Table8[[#This Row],[Document ID]],Table1[],8,FALSE)</f>
        <v>LTS 1.0</v>
      </c>
      <c r="G852" s="233" t="str">
        <f>VLOOKUP(Table8[[#This Row],[Document ID]],Table1[],10,FALSE)</f>
        <v>Active</v>
      </c>
      <c r="H852" s="43" t="s">
        <v>2350</v>
      </c>
      <c r="I852" s="43" t="s">
        <v>2456</v>
      </c>
      <c r="J852" s="44" t="s">
        <v>2466</v>
      </c>
      <c r="K852" s="44" t="s">
        <v>3157</v>
      </c>
      <c r="L852" s="44" t="s">
        <v>2471</v>
      </c>
      <c r="M852" s="43">
        <v>11</v>
      </c>
      <c r="N852" s="113"/>
      <c r="O852" s="113"/>
      <c r="P852" s="113"/>
      <c r="Q852" s="113"/>
      <c r="R852" s="113"/>
      <c r="S852" s="113"/>
      <c r="T852" s="113"/>
      <c r="U852" s="113"/>
      <c r="V852" s="113"/>
      <c r="W852" s="113"/>
      <c r="X852" s="113"/>
      <c r="Y852" s="113"/>
      <c r="Z852" s="113" t="s">
        <v>1113</v>
      </c>
      <c r="AA852" s="113"/>
      <c r="AB852" s="113"/>
      <c r="AC852" s="113"/>
      <c r="AD852" s="113"/>
      <c r="AE852" s="113"/>
      <c r="AF852" s="113"/>
      <c r="AG852" s="113"/>
      <c r="AH852" s="113"/>
      <c r="AI852" s="113"/>
      <c r="AJ852" s="113"/>
      <c r="AK852" s="113"/>
      <c r="AL852" s="113"/>
      <c r="AM852" s="113"/>
      <c r="AN852" s="113" t="s">
        <v>1113</v>
      </c>
      <c r="AO852" s="44" t="s">
        <v>2334</v>
      </c>
      <c r="AP852" s="43"/>
      <c r="AQ852" s="236" t="str">
        <f>VLOOKUP(Table8[[#This Row],[Instrument]],Def_Targets!$D$73:$E$159,2,FALSE)</f>
        <v>S_Infraexpansion</v>
      </c>
      <c r="AR852" s="233" t="str">
        <f>VLOOKUP(Table8[[#This Row],[Country Code]],Table29[],3,FALSE)</f>
        <v>Annex I</v>
      </c>
      <c r="AS852" s="233" t="str">
        <f>VLOOKUP(Table8[[#This Row],[Country Code]],Table29[],4,FALSE)</f>
        <v>Europe</v>
      </c>
      <c r="AT852" s="233" t="str">
        <f>VLOOKUP(Table8[[#This Row],[Country Code]],Table29[],5,FALSE)</f>
        <v>N/A</v>
      </c>
      <c r="AU852" s="233" t="str">
        <f>VLOOKUP(Table8[[#This Row],[Country Code]],Table29[],6,FALSE)</f>
        <v>G20</v>
      </c>
      <c r="AV852" s="233" t="str">
        <f>VLOOKUP(Table8[[#This Row],[Country Code]],Table29[],7,FALSE)</f>
        <v>no</v>
      </c>
      <c r="AW852" s="233" t="str">
        <f>VLOOKUP(Table8[[#This Row],[Country Code]],Table29[],8,FALSE)</f>
        <v>non-OECD</v>
      </c>
      <c r="AX852" s="233" t="str">
        <f>VLOOKUP(Table8[[#This Row],[Country Code]],Table29[],9,FALSE)</f>
        <v>no</v>
      </c>
      <c r="AY852" s="233" t="str">
        <f>VLOOKUP(Table8[[#This Row],[Country Code]],Table29[],10,FALSE)</f>
        <v>no</v>
      </c>
      <c r="AZ852" s="235" t="e">
        <f>VLOOKUP(Table8[[#This Row],[Country Code]],Table29[],23,FALSE)</f>
        <v>#N/A</v>
      </c>
      <c r="BA852" s="235" t="e">
        <f>VLOOKUP(Table8[[#This Row],[Country Code]],Table29[],24,FALSE)</f>
        <v>#N/A</v>
      </c>
      <c r="BB852" s="320"/>
      <c r="BC852" s="320"/>
    </row>
    <row r="853" spans="1:55" ht="75" hidden="1" x14ac:dyDescent="0.25">
      <c r="A853" s="373">
        <v>17590</v>
      </c>
      <c r="B853" s="233" t="str">
        <f>VLOOKUP(Table8[[#This Row],[Document ID]],Table1[],2,FALSE)</f>
        <v>EEU</v>
      </c>
      <c r="C853" s="233" t="str">
        <f>VLOOKUP(Table8[[#This Row],[Document ID]],Table1[],3,FALSE)</f>
        <v>European Union</v>
      </c>
      <c r="D853" s="243" t="str">
        <f>VLOOKUP(Table8[[#This Row],[Document ID]],Table1[],5,FALSE)</f>
        <v>LTS</v>
      </c>
      <c r="E853" s="233" t="str">
        <f>VLOOKUP(Table8[[#This Row],[Document ID]],Table1[],7,FALSE)</f>
        <v>LTS</v>
      </c>
      <c r="F853" s="233" t="str">
        <f>VLOOKUP(Table8[[#This Row],[Document ID]],Table1[],8,FALSE)</f>
        <v>LTS 1.0</v>
      </c>
      <c r="G853" s="233" t="str">
        <f>VLOOKUP(Table8[[#This Row],[Document ID]],Table1[],10,FALSE)</f>
        <v>Active</v>
      </c>
      <c r="H853" s="43" t="s">
        <v>2350</v>
      </c>
      <c r="I853" s="43" t="s">
        <v>2456</v>
      </c>
      <c r="J853" s="44" t="s">
        <v>2457</v>
      </c>
      <c r="K853" s="44" t="s">
        <v>3158</v>
      </c>
      <c r="L853" s="44" t="s">
        <v>2471</v>
      </c>
      <c r="M853" s="43">
        <v>11</v>
      </c>
      <c r="N853" s="113"/>
      <c r="O853" s="113"/>
      <c r="P853" s="113"/>
      <c r="Q853" s="113"/>
      <c r="R853" s="113"/>
      <c r="S853" s="113"/>
      <c r="T853" s="113"/>
      <c r="U853" s="113"/>
      <c r="V853" s="113"/>
      <c r="W853" s="113"/>
      <c r="X853" s="113"/>
      <c r="Y853" s="113"/>
      <c r="Z853" s="113" t="s">
        <v>1113</v>
      </c>
      <c r="AA853" s="113"/>
      <c r="AB853" s="113" t="s">
        <v>1113</v>
      </c>
      <c r="AC853" s="113"/>
      <c r="AD853" s="113"/>
      <c r="AE853" s="113"/>
      <c r="AF853" s="113"/>
      <c r="AG853" s="113"/>
      <c r="AH853" s="113"/>
      <c r="AI853" s="113"/>
      <c r="AJ853" s="113"/>
      <c r="AK853" s="319" t="s">
        <v>1113</v>
      </c>
      <c r="AL853" s="113"/>
      <c r="AM853" s="113"/>
      <c r="AN853" s="113"/>
      <c r="AO853" s="44" t="s">
        <v>2334</v>
      </c>
      <c r="AP853" s="43"/>
      <c r="AQ853" s="236" t="str">
        <f>VLOOKUP(Table8[[#This Row],[Instrument]],Def_Targets!$D$73:$E$159,2,FALSE)</f>
        <v>S_Infraimprove</v>
      </c>
      <c r="AR853" s="233" t="str">
        <f>VLOOKUP(Table8[[#This Row],[Country Code]],Table29[],3,FALSE)</f>
        <v>Annex I</v>
      </c>
      <c r="AS853" s="233" t="str">
        <f>VLOOKUP(Table8[[#This Row],[Country Code]],Table29[],4,FALSE)</f>
        <v>Europe</v>
      </c>
      <c r="AT853" s="233" t="str">
        <f>VLOOKUP(Table8[[#This Row],[Country Code]],Table29[],5,FALSE)</f>
        <v>N/A</v>
      </c>
      <c r="AU853" s="233" t="str">
        <f>VLOOKUP(Table8[[#This Row],[Country Code]],Table29[],6,FALSE)</f>
        <v>G20</v>
      </c>
      <c r="AV853" s="233" t="str">
        <f>VLOOKUP(Table8[[#This Row],[Country Code]],Table29[],7,FALSE)</f>
        <v>no</v>
      </c>
      <c r="AW853" s="233" t="str">
        <f>VLOOKUP(Table8[[#This Row],[Country Code]],Table29[],8,FALSE)</f>
        <v>non-OECD</v>
      </c>
      <c r="AX853" s="233" t="str">
        <f>VLOOKUP(Table8[[#This Row],[Country Code]],Table29[],9,FALSE)</f>
        <v>no</v>
      </c>
      <c r="AY853" s="233" t="str">
        <f>VLOOKUP(Table8[[#This Row],[Country Code]],Table29[],10,FALSE)</f>
        <v>no</v>
      </c>
      <c r="AZ853" s="235" t="e">
        <f>VLOOKUP(Table8[[#This Row],[Country Code]],Table29[],23,FALSE)</f>
        <v>#N/A</v>
      </c>
      <c r="BA853" s="235" t="e">
        <f>VLOOKUP(Table8[[#This Row],[Country Code]],Table29[],24,FALSE)</f>
        <v>#N/A</v>
      </c>
      <c r="BB853" s="320"/>
      <c r="BC853" s="320"/>
    </row>
    <row r="854" spans="1:55" ht="30" hidden="1" x14ac:dyDescent="0.25">
      <c r="A854" s="360">
        <v>17590</v>
      </c>
      <c r="B854" s="233" t="str">
        <f>VLOOKUP(Table8[[#This Row],[Document ID]],Table1[],2,FALSE)</f>
        <v>EEU</v>
      </c>
      <c r="C854" s="233" t="str">
        <f>VLOOKUP(Table8[[#This Row],[Document ID]],Table1[],3,FALSE)</f>
        <v>European Union</v>
      </c>
      <c r="D854" s="233" t="str">
        <f>VLOOKUP(Table8[[#This Row],[Document ID]],Table1[],5,FALSE)</f>
        <v>LTS</v>
      </c>
      <c r="E854" s="233" t="str">
        <f>VLOOKUP(Table8[[#This Row],[Document ID]],Table1[],7,FALSE)</f>
        <v>LTS</v>
      </c>
      <c r="F854" s="233" t="str">
        <f>VLOOKUP(Table8[[#This Row],[Document ID]],Table1[],8,FALSE)</f>
        <v>LTS 1.0</v>
      </c>
      <c r="G854" s="233" t="str">
        <f>VLOOKUP(Table8[[#This Row],[Document ID]],Table1[],10,FALSE)</f>
        <v>Active</v>
      </c>
      <c r="H854" s="44" t="s">
        <v>2338</v>
      </c>
      <c r="I854" s="44" t="s">
        <v>2339</v>
      </c>
      <c r="J854" s="44" t="s">
        <v>2340</v>
      </c>
      <c r="K854" s="44" t="s">
        <v>3159</v>
      </c>
      <c r="L854" s="44" t="s">
        <v>2333</v>
      </c>
      <c r="M854" s="43">
        <v>10</v>
      </c>
      <c r="N854" s="113" t="s">
        <v>1113</v>
      </c>
      <c r="O854" s="113"/>
      <c r="P854" s="113"/>
      <c r="Q854" s="113"/>
      <c r="R854" s="113"/>
      <c r="S854" s="113"/>
      <c r="T854" s="113"/>
      <c r="U854" s="113"/>
      <c r="V854" s="113"/>
      <c r="W854" s="113"/>
      <c r="X854" s="113"/>
      <c r="Y854" s="113"/>
      <c r="Z854" s="113"/>
      <c r="AA854" s="113"/>
      <c r="AB854" s="113"/>
      <c r="AC854" s="113"/>
      <c r="AD854" s="113"/>
      <c r="AE854" s="113"/>
      <c r="AF854" s="113"/>
      <c r="AG854" s="113"/>
      <c r="AH854" s="113"/>
      <c r="AI854" s="113"/>
      <c r="AJ854" s="113"/>
      <c r="AK854" s="319" t="s">
        <v>1113</v>
      </c>
      <c r="AL854" s="113"/>
      <c r="AM854" s="113"/>
      <c r="AN854" s="113"/>
      <c r="AO854" s="44" t="s">
        <v>2334</v>
      </c>
      <c r="AP854" s="43"/>
      <c r="AQ854" s="236" t="str">
        <f>VLOOKUP(Table8[[#This Row],[Instrument]],Def_Targets!$D$73:$E$159,2,FALSE)</f>
        <v>I_Vehicleimprove</v>
      </c>
      <c r="AR854" s="233" t="str">
        <f>VLOOKUP(Table8[[#This Row],[Country Code]],Table29[],3,FALSE)</f>
        <v>Annex I</v>
      </c>
      <c r="AS854" s="233" t="str">
        <f>VLOOKUP(Table8[[#This Row],[Country Code]],Table29[],4,FALSE)</f>
        <v>Europe</v>
      </c>
      <c r="AT854" s="233" t="str">
        <f>VLOOKUP(Table8[[#This Row],[Country Code]],Table29[],5,FALSE)</f>
        <v>N/A</v>
      </c>
      <c r="AU854" s="233" t="str">
        <f>VLOOKUP(Table8[[#This Row],[Country Code]],Table29[],6,FALSE)</f>
        <v>G20</v>
      </c>
      <c r="AV854" s="233" t="str">
        <f>VLOOKUP(Table8[[#This Row],[Country Code]],Table29[],7,FALSE)</f>
        <v>no</v>
      </c>
      <c r="AW854" s="233" t="str">
        <f>VLOOKUP(Table8[[#This Row],[Country Code]],Table29[],8,FALSE)</f>
        <v>non-OECD</v>
      </c>
      <c r="AX854" s="233" t="str">
        <f>VLOOKUP(Table8[[#This Row],[Country Code]],Table29[],9,FALSE)</f>
        <v>no</v>
      </c>
      <c r="AY854" s="233" t="str">
        <f>VLOOKUP(Table8[[#This Row],[Country Code]],Table29[],10,FALSE)</f>
        <v>no</v>
      </c>
      <c r="AZ854" s="235" t="e">
        <f>VLOOKUP(Table8[[#This Row],[Country Code]],Table29[],23,FALSE)</f>
        <v>#N/A</v>
      </c>
      <c r="BA854" s="235" t="e">
        <f>VLOOKUP(Table8[[#This Row],[Country Code]],Table29[],24,FALSE)</f>
        <v>#N/A</v>
      </c>
      <c r="BB854" s="320"/>
      <c r="BC854" s="320"/>
    </row>
    <row r="855" spans="1:55" ht="45" hidden="1" x14ac:dyDescent="0.25">
      <c r="A855" s="373">
        <v>17593</v>
      </c>
      <c r="B855" s="233" t="str">
        <f>VLOOKUP(Table8[[#This Row],[Document ID]],Table1[],2,FALSE)</f>
        <v>FJI</v>
      </c>
      <c r="C855" s="233" t="str">
        <f>VLOOKUP(Table8[[#This Row],[Document ID]],Table1[],3,FALSE)</f>
        <v>Fiji</v>
      </c>
      <c r="D855" s="243" t="str">
        <f>VLOOKUP(Table8[[#This Row],[Document ID]],Table1[],5,FALSE)</f>
        <v>LTS</v>
      </c>
      <c r="E855" s="233" t="str">
        <f>VLOOKUP(Table8[[#This Row],[Document ID]],Table1[],7,FALSE)</f>
        <v>LTS</v>
      </c>
      <c r="F855" s="233" t="str">
        <f>VLOOKUP(Table8[[#This Row],[Document ID]],Table1[],8,FALSE)</f>
        <v>LTS 1.0</v>
      </c>
      <c r="G855" s="233" t="str">
        <f>VLOOKUP(Table8[[#This Row],[Document ID]],Table1[],10,FALSE)</f>
        <v>Active</v>
      </c>
      <c r="H855" s="44" t="s">
        <v>2338</v>
      </c>
      <c r="I855" s="44" t="s">
        <v>2339</v>
      </c>
      <c r="J855" s="44" t="s">
        <v>2416</v>
      </c>
      <c r="K855" s="44" t="s">
        <v>3160</v>
      </c>
      <c r="L855" s="44" t="s">
        <v>2333</v>
      </c>
      <c r="M855" s="43">
        <v>222</v>
      </c>
      <c r="N855" s="113"/>
      <c r="O855" s="113"/>
      <c r="P855" s="113"/>
      <c r="Q855" s="113"/>
      <c r="R855" s="113"/>
      <c r="S855" s="113"/>
      <c r="T855" s="113"/>
      <c r="U855" s="113"/>
      <c r="V855" s="113"/>
      <c r="W855" s="113"/>
      <c r="X855" s="113"/>
      <c r="Y855" s="113"/>
      <c r="Z855" s="113"/>
      <c r="AA855" s="113"/>
      <c r="AB855" s="113"/>
      <c r="AC855" s="113"/>
      <c r="AD855" s="113" t="s">
        <v>1113</v>
      </c>
      <c r="AE855" s="113"/>
      <c r="AF855" s="113"/>
      <c r="AG855" s="113"/>
      <c r="AH855" s="113"/>
      <c r="AI855" s="113"/>
      <c r="AJ855" s="113"/>
      <c r="AK855" s="319" t="s">
        <v>1113</v>
      </c>
      <c r="AL855" s="113"/>
      <c r="AM855" s="113"/>
      <c r="AN855" s="113"/>
      <c r="AO855" s="44" t="s">
        <v>2334</v>
      </c>
      <c r="AP855" s="44"/>
      <c r="AQ855" s="236" t="str">
        <f>VLOOKUP(Table8[[#This Row],[Instrument]],Def_Targets!$D$73:$E$159,2,FALSE)</f>
        <v>I_Vehiclescrappage</v>
      </c>
      <c r="AR855" s="233" t="str">
        <f>VLOOKUP(Table8[[#This Row],[Country Code]],Table29[],3,FALSE)</f>
        <v>Non-Annex I</v>
      </c>
      <c r="AS855" s="233" t="str">
        <f>VLOOKUP(Table8[[#This Row],[Country Code]],Table29[],4,FALSE)</f>
        <v>Oceania</v>
      </c>
      <c r="AT855" s="233" t="str">
        <f>VLOOKUP(Table8[[#This Row],[Country Code]],Table29[],5,FALSE)</f>
        <v>Middle-income</v>
      </c>
      <c r="AU855" s="233" t="str">
        <f>VLOOKUP(Table8[[#This Row],[Country Code]],Table29[],6,FALSE)</f>
        <v>no</v>
      </c>
      <c r="AV855" s="233" t="str">
        <f>VLOOKUP(Table8[[#This Row],[Country Code]],Table29[],7,FALSE)</f>
        <v>no</v>
      </c>
      <c r="AW855" s="233" t="str">
        <f>VLOOKUP(Table8[[#This Row],[Country Code]],Table29[],8,FALSE)</f>
        <v>non-OECD</v>
      </c>
      <c r="AX855" s="233" t="str">
        <f>VLOOKUP(Table8[[#This Row],[Country Code]],Table29[],9,FALSE)</f>
        <v>no</v>
      </c>
      <c r="AY855" s="233" t="str">
        <f>VLOOKUP(Table8[[#This Row],[Country Code]],Table29[],10,FALSE)</f>
        <v>no</v>
      </c>
      <c r="AZ855" s="235">
        <f>VLOOKUP(Table8[[#This Row],[Country Code]],Table29[],23,FALSE)</f>
        <v>3.4009927758626</v>
      </c>
      <c r="BA855" s="235">
        <f>VLOOKUP(Table8[[#This Row],[Country Code]],Table29[],24,FALSE)</f>
        <v>1.126237744382208</v>
      </c>
      <c r="BB855" s="320"/>
      <c r="BC855" s="320"/>
    </row>
    <row r="856" spans="1:55" ht="30" hidden="1" x14ac:dyDescent="0.25">
      <c r="A856" s="360">
        <v>17593</v>
      </c>
      <c r="B856" s="233" t="str">
        <f>VLOOKUP(Table8[[#This Row],[Document ID]],Table1[],2,FALSE)</f>
        <v>FJI</v>
      </c>
      <c r="C856" s="233" t="str">
        <f>VLOOKUP(Table8[[#This Row],[Document ID]],Table1[],3,FALSE)</f>
        <v>Fiji</v>
      </c>
      <c r="D856" s="233" t="str">
        <f>VLOOKUP(Table8[[#This Row],[Document ID]],Table1[],5,FALSE)</f>
        <v>LTS</v>
      </c>
      <c r="E856" s="233" t="str">
        <f>VLOOKUP(Table8[[#This Row],[Document ID]],Table1[],7,FALSE)</f>
        <v>LTS</v>
      </c>
      <c r="F856" s="233" t="str">
        <f>VLOOKUP(Table8[[#This Row],[Document ID]],Table1[],8,FALSE)</f>
        <v>LTS 1.0</v>
      </c>
      <c r="G856" s="233" t="str">
        <f>VLOOKUP(Table8[[#This Row],[Document ID]],Table1[],10,FALSE)</f>
        <v>Active</v>
      </c>
      <c r="H856" s="43" t="s">
        <v>2343</v>
      </c>
      <c r="I856" s="43" t="s">
        <v>2344</v>
      </c>
      <c r="J856" s="44" t="s">
        <v>2345</v>
      </c>
      <c r="K856" s="44" t="s">
        <v>3161</v>
      </c>
      <c r="L856" s="44" t="s">
        <v>2471</v>
      </c>
      <c r="M856" s="43">
        <v>89</v>
      </c>
      <c r="N856" s="113" t="s">
        <v>1113</v>
      </c>
      <c r="O856" s="113"/>
      <c r="P856" s="113"/>
      <c r="Q856" s="113"/>
      <c r="R856" s="113"/>
      <c r="S856" s="113"/>
      <c r="T856" s="113"/>
      <c r="U856" s="113"/>
      <c r="V856" s="113"/>
      <c r="W856" s="113"/>
      <c r="X856" s="113"/>
      <c r="Y856" s="113"/>
      <c r="Z856" s="113"/>
      <c r="AA856" s="113"/>
      <c r="AB856" s="113"/>
      <c r="AC856" s="113"/>
      <c r="AD856" s="113"/>
      <c r="AE856" s="113"/>
      <c r="AF856" s="113"/>
      <c r="AG856" s="113"/>
      <c r="AH856" s="113"/>
      <c r="AI856" s="113"/>
      <c r="AJ856" s="113"/>
      <c r="AK856" s="319" t="s">
        <v>1113</v>
      </c>
      <c r="AL856" s="113"/>
      <c r="AM856" s="113"/>
      <c r="AN856" s="113"/>
      <c r="AO856" s="44" t="s">
        <v>2334</v>
      </c>
      <c r="AP856" s="44"/>
      <c r="AQ856" s="236" t="str">
        <f>VLOOKUP(Table8[[#This Row],[Instrument]],Def_Targets!$D$73:$E$159,2,FALSE)</f>
        <v>S_PublicTransport</v>
      </c>
      <c r="AR856" s="233" t="str">
        <f>VLOOKUP(Table8[[#This Row],[Country Code]],Table29[],3,FALSE)</f>
        <v>Non-Annex I</v>
      </c>
      <c r="AS856" s="233" t="str">
        <f>VLOOKUP(Table8[[#This Row],[Country Code]],Table29[],4,FALSE)</f>
        <v>Oceania</v>
      </c>
      <c r="AT856" s="233" t="str">
        <f>VLOOKUP(Table8[[#This Row],[Country Code]],Table29[],5,FALSE)</f>
        <v>Middle-income</v>
      </c>
      <c r="AU856" s="233" t="str">
        <f>VLOOKUP(Table8[[#This Row],[Country Code]],Table29[],6,FALSE)</f>
        <v>no</v>
      </c>
      <c r="AV856" s="233" t="str">
        <f>VLOOKUP(Table8[[#This Row],[Country Code]],Table29[],7,FALSE)</f>
        <v>no</v>
      </c>
      <c r="AW856" s="233" t="str">
        <f>VLOOKUP(Table8[[#This Row],[Country Code]],Table29[],8,FALSE)</f>
        <v>non-OECD</v>
      </c>
      <c r="AX856" s="233" t="str">
        <f>VLOOKUP(Table8[[#This Row],[Country Code]],Table29[],9,FALSE)</f>
        <v>no</v>
      </c>
      <c r="AY856" s="233" t="str">
        <f>VLOOKUP(Table8[[#This Row],[Country Code]],Table29[],10,FALSE)</f>
        <v>no</v>
      </c>
      <c r="AZ856" s="235">
        <f>VLOOKUP(Table8[[#This Row],[Country Code]],Table29[],23,FALSE)</f>
        <v>3.4009927758626</v>
      </c>
      <c r="BA856" s="235">
        <f>VLOOKUP(Table8[[#This Row],[Country Code]],Table29[],24,FALSE)</f>
        <v>1.126237744382208</v>
      </c>
      <c r="BB856" s="320"/>
      <c r="BC856" s="320"/>
    </row>
    <row r="857" spans="1:55" ht="30" hidden="1" x14ac:dyDescent="0.25">
      <c r="A857" s="360">
        <v>17593</v>
      </c>
      <c r="B857" s="233" t="str">
        <f>VLOOKUP(Table8[[#This Row],[Document ID]],Table1[],2,FALSE)</f>
        <v>FJI</v>
      </c>
      <c r="C857" s="233" t="str">
        <f>VLOOKUP(Table8[[#This Row],[Document ID]],Table1[],3,FALSE)</f>
        <v>Fiji</v>
      </c>
      <c r="D857" s="233" t="str">
        <f>VLOOKUP(Table8[[#This Row],[Document ID]],Table1[],5,FALSE)</f>
        <v>LTS</v>
      </c>
      <c r="E857" s="233" t="str">
        <f>VLOOKUP(Table8[[#This Row],[Document ID]],Table1[],7,FALSE)</f>
        <v>LTS</v>
      </c>
      <c r="F857" s="233" t="str">
        <f>VLOOKUP(Table8[[#This Row],[Document ID]],Table1[],8,FALSE)</f>
        <v>LTS 1.0</v>
      </c>
      <c r="G857" s="233" t="str">
        <f>VLOOKUP(Table8[[#This Row],[Document ID]],Table1[],10,FALSE)</f>
        <v>Active</v>
      </c>
      <c r="H857" s="43" t="s">
        <v>2343</v>
      </c>
      <c r="I857" s="43" t="s">
        <v>2361</v>
      </c>
      <c r="J857" s="44" t="s">
        <v>2366</v>
      </c>
      <c r="K857" s="44" t="s">
        <v>3161</v>
      </c>
      <c r="L857" s="44" t="s">
        <v>2347</v>
      </c>
      <c r="M857" s="43">
        <v>89</v>
      </c>
      <c r="N857" s="113"/>
      <c r="O857" s="113"/>
      <c r="P857" s="113"/>
      <c r="Q857" s="113" t="s">
        <v>1113</v>
      </c>
      <c r="R857" s="113" t="s">
        <v>1113</v>
      </c>
      <c r="S857" s="113"/>
      <c r="T857" s="113"/>
      <c r="U857" s="113"/>
      <c r="V857" s="113"/>
      <c r="W857" s="113"/>
      <c r="X857" s="113"/>
      <c r="Y857" s="113"/>
      <c r="Z857" s="113"/>
      <c r="AA857" s="113"/>
      <c r="AB857" s="113"/>
      <c r="AC857" s="113"/>
      <c r="AD857" s="113"/>
      <c r="AE857" s="113"/>
      <c r="AF857" s="113"/>
      <c r="AG857" s="113"/>
      <c r="AH857" s="113"/>
      <c r="AI857" s="113"/>
      <c r="AJ857" s="113"/>
      <c r="AK857" s="319" t="s">
        <v>1113</v>
      </c>
      <c r="AL857" s="113"/>
      <c r="AM857" s="113"/>
      <c r="AN857" s="113"/>
      <c r="AO857" s="44" t="s">
        <v>2334</v>
      </c>
      <c r="AP857" s="44"/>
      <c r="AQ857" s="236" t="str">
        <f>VLOOKUP(Table8[[#This Row],[Instrument]],Def_Targets!$D$73:$E$159,2,FALSE)</f>
        <v>S_Activemobility</v>
      </c>
      <c r="AR857" s="233" t="str">
        <f>VLOOKUP(Table8[[#This Row],[Country Code]],Table29[],3,FALSE)</f>
        <v>Non-Annex I</v>
      </c>
      <c r="AS857" s="233" t="str">
        <f>VLOOKUP(Table8[[#This Row],[Country Code]],Table29[],4,FALSE)</f>
        <v>Oceania</v>
      </c>
      <c r="AT857" s="233" t="str">
        <f>VLOOKUP(Table8[[#This Row],[Country Code]],Table29[],5,FALSE)</f>
        <v>Middle-income</v>
      </c>
      <c r="AU857" s="233" t="str">
        <f>VLOOKUP(Table8[[#This Row],[Country Code]],Table29[],6,FALSE)</f>
        <v>no</v>
      </c>
      <c r="AV857" s="233" t="str">
        <f>VLOOKUP(Table8[[#This Row],[Country Code]],Table29[],7,FALSE)</f>
        <v>no</v>
      </c>
      <c r="AW857" s="233" t="str">
        <f>VLOOKUP(Table8[[#This Row],[Country Code]],Table29[],8,FALSE)</f>
        <v>non-OECD</v>
      </c>
      <c r="AX857" s="233" t="str">
        <f>VLOOKUP(Table8[[#This Row],[Country Code]],Table29[],9,FALSE)</f>
        <v>no</v>
      </c>
      <c r="AY857" s="233" t="str">
        <f>VLOOKUP(Table8[[#This Row],[Country Code]],Table29[],10,FALSE)</f>
        <v>no</v>
      </c>
      <c r="AZ857" s="235">
        <f>VLOOKUP(Table8[[#This Row],[Country Code]],Table29[],23,FALSE)</f>
        <v>3.4009927758626</v>
      </c>
      <c r="BA857" s="235">
        <f>VLOOKUP(Table8[[#This Row],[Country Code]],Table29[],24,FALSE)</f>
        <v>1.126237744382208</v>
      </c>
      <c r="BB857" s="320"/>
      <c r="BC857" s="320"/>
    </row>
    <row r="858" spans="1:55" ht="30" hidden="1" x14ac:dyDescent="0.25">
      <c r="A858" s="373">
        <v>17593</v>
      </c>
      <c r="B858" s="233" t="str">
        <f>VLOOKUP(Table8[[#This Row],[Document ID]],Table1[],2,FALSE)</f>
        <v>FJI</v>
      </c>
      <c r="C858" s="233" t="str">
        <f>VLOOKUP(Table8[[#This Row],[Document ID]],Table1[],3,FALSE)</f>
        <v>Fiji</v>
      </c>
      <c r="D858" s="243" t="str">
        <f>VLOOKUP(Table8[[#This Row],[Document ID]],Table1[],5,FALSE)</f>
        <v>LTS</v>
      </c>
      <c r="E858" s="233" t="str">
        <f>VLOOKUP(Table8[[#This Row],[Document ID]],Table1[],7,FALSE)</f>
        <v>LTS</v>
      </c>
      <c r="F858" s="233" t="str">
        <f>VLOOKUP(Table8[[#This Row],[Document ID]],Table1[],8,FALSE)</f>
        <v>LTS 1.0</v>
      </c>
      <c r="G858" s="233" t="str">
        <f>VLOOKUP(Table8[[#This Row],[Document ID]],Table1[],10,FALSE)</f>
        <v>Active</v>
      </c>
      <c r="H858" s="43" t="s">
        <v>2343</v>
      </c>
      <c r="I858" s="43" t="s">
        <v>2361</v>
      </c>
      <c r="J858" s="44" t="s">
        <v>2362</v>
      </c>
      <c r="K858" s="44" t="s">
        <v>3162</v>
      </c>
      <c r="L858" s="44" t="s">
        <v>2471</v>
      </c>
      <c r="M858" s="43">
        <v>89</v>
      </c>
      <c r="N858" s="113"/>
      <c r="O858" s="113"/>
      <c r="P858" s="113"/>
      <c r="Q858" s="113" t="s">
        <v>1113</v>
      </c>
      <c r="R858" s="113" t="s">
        <v>1113</v>
      </c>
      <c r="S858" s="113"/>
      <c r="T858" s="113"/>
      <c r="U858" s="113"/>
      <c r="V858" s="113"/>
      <c r="W858" s="113"/>
      <c r="X858" s="113"/>
      <c r="Y858" s="113"/>
      <c r="Z858" s="113"/>
      <c r="AA858" s="113"/>
      <c r="AB858" s="113"/>
      <c r="AC858" s="113"/>
      <c r="AD858" s="113"/>
      <c r="AE858" s="113"/>
      <c r="AF858" s="113"/>
      <c r="AG858" s="113"/>
      <c r="AH858" s="113"/>
      <c r="AI858" s="113"/>
      <c r="AJ858" s="113"/>
      <c r="AK858" s="319" t="s">
        <v>1113</v>
      </c>
      <c r="AL858" s="113"/>
      <c r="AM858" s="113"/>
      <c r="AN858" s="113"/>
      <c r="AO858" s="44" t="s">
        <v>2334</v>
      </c>
      <c r="AP858" s="44"/>
      <c r="AQ858" s="236" t="str">
        <f>VLOOKUP(Table8[[#This Row],[Instrument]],Def_Targets!$D$73:$E$159,2,FALSE)</f>
        <v>S_Cycling</v>
      </c>
      <c r="AR858" s="233" t="str">
        <f>VLOOKUP(Table8[[#This Row],[Country Code]],Table29[],3,FALSE)</f>
        <v>Non-Annex I</v>
      </c>
      <c r="AS858" s="233" t="str">
        <f>VLOOKUP(Table8[[#This Row],[Country Code]],Table29[],4,FALSE)</f>
        <v>Oceania</v>
      </c>
      <c r="AT858" s="233" t="str">
        <f>VLOOKUP(Table8[[#This Row],[Country Code]],Table29[],5,FALSE)</f>
        <v>Middle-income</v>
      </c>
      <c r="AU858" s="233" t="str">
        <f>VLOOKUP(Table8[[#This Row],[Country Code]],Table29[],6,FALSE)</f>
        <v>no</v>
      </c>
      <c r="AV858" s="233" t="str">
        <f>VLOOKUP(Table8[[#This Row],[Country Code]],Table29[],7,FALSE)</f>
        <v>no</v>
      </c>
      <c r="AW858" s="233" t="str">
        <f>VLOOKUP(Table8[[#This Row],[Country Code]],Table29[],8,FALSE)</f>
        <v>non-OECD</v>
      </c>
      <c r="AX858" s="233" t="str">
        <f>VLOOKUP(Table8[[#This Row],[Country Code]],Table29[],9,FALSE)</f>
        <v>no</v>
      </c>
      <c r="AY858" s="233" t="str">
        <f>VLOOKUP(Table8[[#This Row],[Country Code]],Table29[],10,FALSE)</f>
        <v>no</v>
      </c>
      <c r="AZ858" s="235">
        <f>VLOOKUP(Table8[[#This Row],[Country Code]],Table29[],23,FALSE)</f>
        <v>3.4009927758626</v>
      </c>
      <c r="BA858" s="235">
        <f>VLOOKUP(Table8[[#This Row],[Country Code]],Table29[],24,FALSE)</f>
        <v>1.126237744382208</v>
      </c>
      <c r="BB858" s="320"/>
      <c r="BC858" s="320"/>
    </row>
    <row r="859" spans="1:55" ht="30" hidden="1" x14ac:dyDescent="0.25">
      <c r="A859" s="373">
        <v>17593</v>
      </c>
      <c r="B859" s="233" t="str">
        <f>VLOOKUP(Table8[[#This Row],[Document ID]],Table1[],2,FALSE)</f>
        <v>FJI</v>
      </c>
      <c r="C859" s="233" t="str">
        <f>VLOOKUP(Table8[[#This Row],[Document ID]],Table1[],3,FALSE)</f>
        <v>Fiji</v>
      </c>
      <c r="D859" s="243" t="str">
        <f>VLOOKUP(Table8[[#This Row],[Document ID]],Table1[],5,FALSE)</f>
        <v>LTS</v>
      </c>
      <c r="E859" s="233" t="str">
        <f>VLOOKUP(Table8[[#This Row],[Document ID]],Table1[],7,FALSE)</f>
        <v>LTS</v>
      </c>
      <c r="F859" s="233" t="str">
        <f>VLOOKUP(Table8[[#This Row],[Document ID]],Table1[],8,FALSE)</f>
        <v>LTS 1.0</v>
      </c>
      <c r="G859" s="233" t="str">
        <f>VLOOKUP(Table8[[#This Row],[Document ID]],Table1[],10,FALSE)</f>
        <v>Active</v>
      </c>
      <c r="H859" s="43" t="s">
        <v>2343</v>
      </c>
      <c r="I859" s="43" t="s">
        <v>2377</v>
      </c>
      <c r="J859" s="44" t="s">
        <v>2394</v>
      </c>
      <c r="K859" s="44" t="s">
        <v>3162</v>
      </c>
      <c r="L859" s="44" t="s">
        <v>2471</v>
      </c>
      <c r="M859" s="43">
        <v>89</v>
      </c>
      <c r="N859" s="113"/>
      <c r="O859" s="113"/>
      <c r="P859" s="113"/>
      <c r="Q859" s="113" t="s">
        <v>1113</v>
      </c>
      <c r="R859" s="113" t="s">
        <v>1113</v>
      </c>
      <c r="S859" s="113"/>
      <c r="T859" s="113"/>
      <c r="U859" s="113"/>
      <c r="V859" s="113"/>
      <c r="W859" s="113"/>
      <c r="X859" s="113"/>
      <c r="Y859" s="113"/>
      <c r="Z859" s="113"/>
      <c r="AA859" s="113"/>
      <c r="AB859" s="113"/>
      <c r="AC859" s="113"/>
      <c r="AD859" s="113"/>
      <c r="AE859" s="113"/>
      <c r="AF859" s="113"/>
      <c r="AG859" s="113"/>
      <c r="AH859" s="113"/>
      <c r="AI859" s="113"/>
      <c r="AJ859" s="113"/>
      <c r="AK859" s="319" t="s">
        <v>1113</v>
      </c>
      <c r="AL859" s="113"/>
      <c r="AM859" s="113"/>
      <c r="AN859" s="113"/>
      <c r="AO859" s="44" t="s">
        <v>2334</v>
      </c>
      <c r="AP859" s="44"/>
      <c r="AQ859" s="236" t="str">
        <f>VLOOKUP(Table8[[#This Row],[Instrument]],Def_Targets!$D$73:$E$159,2,FALSE)</f>
        <v>A_TDM</v>
      </c>
      <c r="AR859" s="233" t="str">
        <f>VLOOKUP(Table8[[#This Row],[Country Code]],Table29[],3,FALSE)</f>
        <v>Non-Annex I</v>
      </c>
      <c r="AS859" s="233" t="str">
        <f>VLOOKUP(Table8[[#This Row],[Country Code]],Table29[],4,FALSE)</f>
        <v>Oceania</v>
      </c>
      <c r="AT859" s="233" t="str">
        <f>VLOOKUP(Table8[[#This Row],[Country Code]],Table29[],5,FALSE)</f>
        <v>Middle-income</v>
      </c>
      <c r="AU859" s="233" t="str">
        <f>VLOOKUP(Table8[[#This Row],[Country Code]],Table29[],6,FALSE)</f>
        <v>no</v>
      </c>
      <c r="AV859" s="233" t="str">
        <f>VLOOKUP(Table8[[#This Row],[Country Code]],Table29[],7,FALSE)</f>
        <v>no</v>
      </c>
      <c r="AW859" s="233" t="str">
        <f>VLOOKUP(Table8[[#This Row],[Country Code]],Table29[],8,FALSE)</f>
        <v>non-OECD</v>
      </c>
      <c r="AX859" s="233" t="str">
        <f>VLOOKUP(Table8[[#This Row],[Country Code]],Table29[],9,FALSE)</f>
        <v>no</v>
      </c>
      <c r="AY859" s="233" t="str">
        <f>VLOOKUP(Table8[[#This Row],[Country Code]],Table29[],10,FALSE)</f>
        <v>no</v>
      </c>
      <c r="AZ859" s="235">
        <f>VLOOKUP(Table8[[#This Row],[Country Code]],Table29[],23,FALSE)</f>
        <v>3.4009927758626</v>
      </c>
      <c r="BA859" s="235">
        <f>VLOOKUP(Table8[[#This Row],[Country Code]],Table29[],24,FALSE)</f>
        <v>1.126237744382208</v>
      </c>
      <c r="BB859" s="320"/>
      <c r="BC859" s="320"/>
    </row>
    <row r="860" spans="1:55" ht="30" hidden="1" x14ac:dyDescent="0.25">
      <c r="A860" s="373">
        <v>17593</v>
      </c>
      <c r="B860" s="233" t="str">
        <f>VLOOKUP(Table8[[#This Row],[Document ID]],Table1[],2,FALSE)</f>
        <v>FJI</v>
      </c>
      <c r="C860" s="233" t="str">
        <f>VLOOKUP(Table8[[#This Row],[Document ID]],Table1[],3,FALSE)</f>
        <v>Fiji</v>
      </c>
      <c r="D860" s="243" t="str">
        <f>VLOOKUP(Table8[[#This Row],[Document ID]],Table1[],5,FALSE)</f>
        <v>LTS</v>
      </c>
      <c r="E860" s="233" t="str">
        <f>VLOOKUP(Table8[[#This Row],[Document ID]],Table1[],7,FALSE)</f>
        <v>LTS</v>
      </c>
      <c r="F860" s="233" t="str">
        <f>VLOOKUP(Table8[[#This Row],[Document ID]],Table1[],8,FALSE)</f>
        <v>LTS 1.0</v>
      </c>
      <c r="G860" s="233" t="str">
        <f>VLOOKUP(Table8[[#This Row],[Document ID]],Table1[],10,FALSE)</f>
        <v>Active</v>
      </c>
      <c r="H860" s="44" t="s">
        <v>2329</v>
      </c>
      <c r="I860" s="44" t="s">
        <v>2330</v>
      </c>
      <c r="J860" s="44" t="s">
        <v>2381</v>
      </c>
      <c r="K860" s="44" t="s">
        <v>3163</v>
      </c>
      <c r="L860" s="44" t="s">
        <v>2333</v>
      </c>
      <c r="M860" s="43">
        <v>90</v>
      </c>
      <c r="N860" s="113"/>
      <c r="O860" s="113"/>
      <c r="P860" s="113"/>
      <c r="Q860" s="113"/>
      <c r="R860" s="113"/>
      <c r="S860" s="113" t="s">
        <v>1113</v>
      </c>
      <c r="T860" s="113"/>
      <c r="U860" s="113"/>
      <c r="V860" s="113"/>
      <c r="W860" s="113"/>
      <c r="X860" s="113"/>
      <c r="Y860" s="113"/>
      <c r="Z860" s="113"/>
      <c r="AA860" s="113"/>
      <c r="AB860" s="113"/>
      <c r="AC860" s="113"/>
      <c r="AD860" s="113"/>
      <c r="AE860" s="113"/>
      <c r="AF860" s="113"/>
      <c r="AG860" s="113"/>
      <c r="AH860" s="113"/>
      <c r="AI860" s="113"/>
      <c r="AJ860" s="113"/>
      <c r="AK860" s="319" t="s">
        <v>1113</v>
      </c>
      <c r="AL860" s="113"/>
      <c r="AM860" s="113"/>
      <c r="AN860" s="113"/>
      <c r="AO860" s="44" t="s">
        <v>2334</v>
      </c>
      <c r="AP860" s="44"/>
      <c r="AQ860" s="236" t="str">
        <f>VLOOKUP(Table8[[#This Row],[Instrument]],Def_Targets!$D$73:$E$159,2,FALSE)</f>
        <v>I_RE</v>
      </c>
      <c r="AR860" s="233" t="str">
        <f>VLOOKUP(Table8[[#This Row],[Country Code]],Table29[],3,FALSE)</f>
        <v>Non-Annex I</v>
      </c>
      <c r="AS860" s="233" t="str">
        <f>VLOOKUP(Table8[[#This Row],[Country Code]],Table29[],4,FALSE)</f>
        <v>Oceania</v>
      </c>
      <c r="AT860" s="233" t="str">
        <f>VLOOKUP(Table8[[#This Row],[Country Code]],Table29[],5,FALSE)</f>
        <v>Middle-income</v>
      </c>
      <c r="AU860" s="233" t="str">
        <f>VLOOKUP(Table8[[#This Row],[Country Code]],Table29[],6,FALSE)</f>
        <v>no</v>
      </c>
      <c r="AV860" s="233" t="str">
        <f>VLOOKUP(Table8[[#This Row],[Country Code]],Table29[],7,FALSE)</f>
        <v>no</v>
      </c>
      <c r="AW860" s="233" t="str">
        <f>VLOOKUP(Table8[[#This Row],[Country Code]],Table29[],8,FALSE)</f>
        <v>non-OECD</v>
      </c>
      <c r="AX860" s="233" t="str">
        <f>VLOOKUP(Table8[[#This Row],[Country Code]],Table29[],9,FALSE)</f>
        <v>no</v>
      </c>
      <c r="AY860" s="233" t="str">
        <f>VLOOKUP(Table8[[#This Row],[Country Code]],Table29[],10,FALSE)</f>
        <v>no</v>
      </c>
      <c r="AZ860" s="235">
        <f>VLOOKUP(Table8[[#This Row],[Country Code]],Table29[],23,FALSE)</f>
        <v>3.4009927758626</v>
      </c>
      <c r="BA860" s="235">
        <f>VLOOKUP(Table8[[#This Row],[Country Code]],Table29[],24,FALSE)</f>
        <v>1.126237744382208</v>
      </c>
      <c r="BB860" s="320"/>
      <c r="BC860" s="320"/>
    </row>
    <row r="861" spans="1:55" ht="75" hidden="1" x14ac:dyDescent="0.25">
      <c r="A861" s="373">
        <v>17593</v>
      </c>
      <c r="B861" s="233" t="str">
        <f>VLOOKUP(Table8[[#This Row],[Document ID]],Table1[],2,FALSE)</f>
        <v>FJI</v>
      </c>
      <c r="C861" s="233" t="str">
        <f>VLOOKUP(Table8[[#This Row],[Document ID]],Table1[],3,FALSE)</f>
        <v>Fiji</v>
      </c>
      <c r="D861" s="243" t="str">
        <f>VLOOKUP(Table8[[#This Row],[Document ID]],Table1[],5,FALSE)</f>
        <v>LTS</v>
      </c>
      <c r="E861" s="233" t="str">
        <f>VLOOKUP(Table8[[#This Row],[Document ID]],Table1[],7,FALSE)</f>
        <v>LTS</v>
      </c>
      <c r="F861" s="233" t="str">
        <f>VLOOKUP(Table8[[#This Row],[Document ID]],Table1[],8,FALSE)</f>
        <v>LTS 1.0</v>
      </c>
      <c r="G861" s="233" t="str">
        <f>VLOOKUP(Table8[[#This Row],[Document ID]],Table1[],10,FALSE)</f>
        <v>Active</v>
      </c>
      <c r="H861" s="43" t="s">
        <v>2358</v>
      </c>
      <c r="I861" s="43" t="s">
        <v>2359</v>
      </c>
      <c r="J861" s="44" t="s">
        <v>3094</v>
      </c>
      <c r="K861" s="44" t="s">
        <v>3164</v>
      </c>
      <c r="L861" s="44" t="s">
        <v>2333</v>
      </c>
      <c r="M861" s="43">
        <v>90</v>
      </c>
      <c r="N861" s="113" t="s">
        <v>1113</v>
      </c>
      <c r="O861" s="113"/>
      <c r="P861" s="113"/>
      <c r="Q861" s="113"/>
      <c r="R861" s="113"/>
      <c r="S861" s="113"/>
      <c r="T861" s="113"/>
      <c r="U861" s="113"/>
      <c r="V861" s="113"/>
      <c r="W861" s="113"/>
      <c r="X861" s="113"/>
      <c r="Y861" s="113"/>
      <c r="Z861" s="113"/>
      <c r="AA861" s="113"/>
      <c r="AB861" s="113"/>
      <c r="AC861" s="113"/>
      <c r="AD861" s="113"/>
      <c r="AE861" s="113"/>
      <c r="AF861" s="113"/>
      <c r="AG861" s="113"/>
      <c r="AH861" s="113"/>
      <c r="AI861" s="113"/>
      <c r="AJ861" s="113"/>
      <c r="AK861" s="319" t="s">
        <v>1113</v>
      </c>
      <c r="AL861" s="113"/>
      <c r="AM861" s="113"/>
      <c r="AN861" s="113"/>
      <c r="AO861" s="44" t="s">
        <v>2334</v>
      </c>
      <c r="AP861" s="44"/>
      <c r="AQ861" s="236" t="str">
        <f>VLOOKUP(Table8[[#This Row],[Instrument]],Def_Targets!$D$73:$E$159,2,FALSE)</f>
        <v>I_Smartcharging</v>
      </c>
      <c r="AR861" s="233" t="str">
        <f>VLOOKUP(Table8[[#This Row],[Country Code]],Table29[],3,FALSE)</f>
        <v>Non-Annex I</v>
      </c>
      <c r="AS861" s="233" t="str">
        <f>VLOOKUP(Table8[[#This Row],[Country Code]],Table29[],4,FALSE)</f>
        <v>Oceania</v>
      </c>
      <c r="AT861" s="233" t="str">
        <f>VLOOKUP(Table8[[#This Row],[Country Code]],Table29[],5,FALSE)</f>
        <v>Middle-income</v>
      </c>
      <c r="AU861" s="233" t="str">
        <f>VLOOKUP(Table8[[#This Row],[Country Code]],Table29[],6,FALSE)</f>
        <v>no</v>
      </c>
      <c r="AV861" s="233" t="str">
        <f>VLOOKUP(Table8[[#This Row],[Country Code]],Table29[],7,FALSE)</f>
        <v>no</v>
      </c>
      <c r="AW861" s="233" t="str">
        <f>VLOOKUP(Table8[[#This Row],[Country Code]],Table29[],8,FALSE)</f>
        <v>non-OECD</v>
      </c>
      <c r="AX861" s="233" t="str">
        <f>VLOOKUP(Table8[[#This Row],[Country Code]],Table29[],9,FALSE)</f>
        <v>no</v>
      </c>
      <c r="AY861" s="233" t="str">
        <f>VLOOKUP(Table8[[#This Row],[Country Code]],Table29[],10,FALSE)</f>
        <v>no</v>
      </c>
      <c r="AZ861" s="235">
        <f>VLOOKUP(Table8[[#This Row],[Country Code]],Table29[],23,FALSE)</f>
        <v>3.4009927758626</v>
      </c>
      <c r="BA861" s="235">
        <f>VLOOKUP(Table8[[#This Row],[Country Code]],Table29[],24,FALSE)</f>
        <v>1.126237744382208</v>
      </c>
      <c r="BB861" s="320"/>
      <c r="BC861" s="320"/>
    </row>
    <row r="862" spans="1:55" hidden="1" x14ac:dyDescent="0.25">
      <c r="A862" s="373">
        <v>17593</v>
      </c>
      <c r="B862" s="233" t="str">
        <f>VLOOKUP(Table8[[#This Row],[Document ID]],Table1[],2,FALSE)</f>
        <v>FJI</v>
      </c>
      <c r="C862" s="233" t="str">
        <f>VLOOKUP(Table8[[#This Row],[Document ID]],Table1[],3,FALSE)</f>
        <v>Fiji</v>
      </c>
      <c r="D862" s="243" t="str">
        <f>VLOOKUP(Table8[[#This Row],[Document ID]],Table1[],5,FALSE)</f>
        <v>LTS</v>
      </c>
      <c r="E862" s="233" t="str">
        <f>VLOOKUP(Table8[[#This Row],[Document ID]],Table1[],7,FALSE)</f>
        <v>LTS</v>
      </c>
      <c r="F862" s="233" t="str">
        <f>VLOOKUP(Table8[[#This Row],[Document ID]],Table1[],8,FALSE)</f>
        <v>LTS 1.0</v>
      </c>
      <c r="G862" s="233" t="str">
        <f>VLOOKUP(Table8[[#This Row],[Document ID]],Table1[],10,FALSE)</f>
        <v>Active</v>
      </c>
      <c r="H862" s="43" t="s">
        <v>2358</v>
      </c>
      <c r="I862" s="43" t="s">
        <v>2359</v>
      </c>
      <c r="J862" s="44" t="s">
        <v>2360</v>
      </c>
      <c r="K862" s="44" t="s">
        <v>3165</v>
      </c>
      <c r="L862" s="44" t="s">
        <v>2333</v>
      </c>
      <c r="M862" s="43">
        <v>90</v>
      </c>
      <c r="N862" s="113"/>
      <c r="O862" s="113"/>
      <c r="P862" s="113"/>
      <c r="Q862" s="113"/>
      <c r="R862" s="113"/>
      <c r="S862" s="113" t="s">
        <v>1113</v>
      </c>
      <c r="T862" s="113"/>
      <c r="U862" s="113"/>
      <c r="V862" s="113"/>
      <c r="W862" s="113"/>
      <c r="X862" s="113"/>
      <c r="Y862" s="113"/>
      <c r="Z862" s="113"/>
      <c r="AA862" s="113"/>
      <c r="AB862" s="113"/>
      <c r="AC862" s="113"/>
      <c r="AD862" s="113"/>
      <c r="AE862" s="113"/>
      <c r="AF862" s="113"/>
      <c r="AG862" s="113"/>
      <c r="AH862" s="113"/>
      <c r="AI862" s="113"/>
      <c r="AJ862" s="113"/>
      <c r="AK862" s="319" t="s">
        <v>1113</v>
      </c>
      <c r="AL862" s="113"/>
      <c r="AM862" s="113"/>
      <c r="AN862" s="113"/>
      <c r="AO862" s="44" t="s">
        <v>2334</v>
      </c>
      <c r="AP862" s="44"/>
      <c r="AQ862" s="236" t="str">
        <f>VLOOKUP(Table8[[#This Row],[Instrument]],Def_Targets!$D$73:$E$159,2,FALSE)</f>
        <v>I_Emobility</v>
      </c>
      <c r="AR862" s="233" t="str">
        <f>VLOOKUP(Table8[[#This Row],[Country Code]],Table29[],3,FALSE)</f>
        <v>Non-Annex I</v>
      </c>
      <c r="AS862" s="233" t="str">
        <f>VLOOKUP(Table8[[#This Row],[Country Code]],Table29[],4,FALSE)</f>
        <v>Oceania</v>
      </c>
      <c r="AT862" s="233" t="str">
        <f>VLOOKUP(Table8[[#This Row],[Country Code]],Table29[],5,FALSE)</f>
        <v>Middle-income</v>
      </c>
      <c r="AU862" s="233" t="str">
        <f>VLOOKUP(Table8[[#This Row],[Country Code]],Table29[],6,FALSE)</f>
        <v>no</v>
      </c>
      <c r="AV862" s="233" t="str">
        <f>VLOOKUP(Table8[[#This Row],[Country Code]],Table29[],7,FALSE)</f>
        <v>no</v>
      </c>
      <c r="AW862" s="233" t="str">
        <f>VLOOKUP(Table8[[#This Row],[Country Code]],Table29[],8,FALSE)</f>
        <v>non-OECD</v>
      </c>
      <c r="AX862" s="233" t="str">
        <f>VLOOKUP(Table8[[#This Row],[Country Code]],Table29[],9,FALSE)</f>
        <v>no</v>
      </c>
      <c r="AY862" s="233" t="str">
        <f>VLOOKUP(Table8[[#This Row],[Country Code]],Table29[],10,FALSE)</f>
        <v>no</v>
      </c>
      <c r="AZ862" s="235">
        <f>VLOOKUP(Table8[[#This Row],[Country Code]],Table29[],23,FALSE)</f>
        <v>3.4009927758626</v>
      </c>
      <c r="BA862" s="235">
        <f>VLOOKUP(Table8[[#This Row],[Country Code]],Table29[],24,FALSE)</f>
        <v>1.126237744382208</v>
      </c>
      <c r="BB862" s="320"/>
      <c r="BC862" s="320"/>
    </row>
    <row r="863" spans="1:55" ht="45" hidden="1" x14ac:dyDescent="0.25">
      <c r="A863" s="373">
        <v>17593</v>
      </c>
      <c r="B863" s="233" t="str">
        <f>VLOOKUP(Table8[[#This Row],[Document ID]],Table1[],2,FALSE)</f>
        <v>FJI</v>
      </c>
      <c r="C863" s="233" t="str">
        <f>VLOOKUP(Table8[[#This Row],[Document ID]],Table1[],3,FALSE)</f>
        <v>Fiji</v>
      </c>
      <c r="D863" s="243" t="str">
        <f>VLOOKUP(Table8[[#This Row],[Document ID]],Table1[],5,FALSE)</f>
        <v>LTS</v>
      </c>
      <c r="E863" s="233" t="str">
        <f>VLOOKUP(Table8[[#This Row],[Document ID]],Table1[],7,FALSE)</f>
        <v>LTS</v>
      </c>
      <c r="F863" s="233" t="str">
        <f>VLOOKUP(Table8[[#This Row],[Document ID]],Table1[],8,FALSE)</f>
        <v>LTS 1.0</v>
      </c>
      <c r="G863" s="233" t="str">
        <f>VLOOKUP(Table8[[#This Row],[Document ID]],Table1[],10,FALSE)</f>
        <v>Active</v>
      </c>
      <c r="H863" s="43" t="s">
        <v>2343</v>
      </c>
      <c r="I863" s="43" t="s">
        <v>2344</v>
      </c>
      <c r="J863" s="44" t="s">
        <v>2345</v>
      </c>
      <c r="K863" s="44" t="s">
        <v>3166</v>
      </c>
      <c r="L863" s="44" t="s">
        <v>2347</v>
      </c>
      <c r="M863" s="43">
        <v>91</v>
      </c>
      <c r="N863" s="113" t="s">
        <v>1113</v>
      </c>
      <c r="O863" s="113"/>
      <c r="P863" s="113"/>
      <c r="Q863" s="113"/>
      <c r="R863" s="113"/>
      <c r="S863" s="113"/>
      <c r="T863" s="113"/>
      <c r="U863" s="113"/>
      <c r="V863" s="113"/>
      <c r="W863" s="113"/>
      <c r="X863" s="113"/>
      <c r="Y863" s="113"/>
      <c r="Z863" s="113"/>
      <c r="AA863" s="113"/>
      <c r="AB863" s="113"/>
      <c r="AC863" s="113"/>
      <c r="AD863" s="113"/>
      <c r="AE863" s="113"/>
      <c r="AF863" s="113"/>
      <c r="AG863" s="113"/>
      <c r="AH863" s="113"/>
      <c r="AI863" s="113"/>
      <c r="AJ863" s="113"/>
      <c r="AK863" s="319" t="s">
        <v>1113</v>
      </c>
      <c r="AL863" s="113"/>
      <c r="AM863" s="113"/>
      <c r="AN863" s="113"/>
      <c r="AO863" s="43" t="s">
        <v>2348</v>
      </c>
      <c r="AP863" s="43"/>
      <c r="AQ863" s="236" t="str">
        <f>VLOOKUP(Table8[[#This Row],[Instrument]],Def_Targets!$D$73:$E$159,2,FALSE)</f>
        <v>S_PublicTransport</v>
      </c>
      <c r="AR863" s="233" t="str">
        <f>VLOOKUP(Table8[[#This Row],[Country Code]],Table29[],3,FALSE)</f>
        <v>Non-Annex I</v>
      </c>
      <c r="AS863" s="233" t="str">
        <f>VLOOKUP(Table8[[#This Row],[Country Code]],Table29[],4,FALSE)</f>
        <v>Oceania</v>
      </c>
      <c r="AT863" s="233" t="str">
        <f>VLOOKUP(Table8[[#This Row],[Country Code]],Table29[],5,FALSE)</f>
        <v>Middle-income</v>
      </c>
      <c r="AU863" s="233" t="str">
        <f>VLOOKUP(Table8[[#This Row],[Country Code]],Table29[],6,FALSE)</f>
        <v>no</v>
      </c>
      <c r="AV863" s="233" t="str">
        <f>VLOOKUP(Table8[[#This Row],[Country Code]],Table29[],7,FALSE)</f>
        <v>no</v>
      </c>
      <c r="AW863" s="233" t="str">
        <f>VLOOKUP(Table8[[#This Row],[Country Code]],Table29[],8,FALSE)</f>
        <v>non-OECD</v>
      </c>
      <c r="AX863" s="233" t="str">
        <f>VLOOKUP(Table8[[#This Row],[Country Code]],Table29[],9,FALSE)</f>
        <v>no</v>
      </c>
      <c r="AY863" s="233" t="str">
        <f>VLOOKUP(Table8[[#This Row],[Country Code]],Table29[],10,FALSE)</f>
        <v>no</v>
      </c>
      <c r="AZ863" s="235">
        <f>VLOOKUP(Table8[[#This Row],[Country Code]],Table29[],23,FALSE)</f>
        <v>3.4009927758626</v>
      </c>
      <c r="BA863" s="235">
        <f>VLOOKUP(Table8[[#This Row],[Country Code]],Table29[],24,FALSE)</f>
        <v>1.126237744382208</v>
      </c>
      <c r="BB863" s="320"/>
      <c r="BC863" s="320"/>
    </row>
    <row r="864" spans="1:55" ht="45" hidden="1" x14ac:dyDescent="0.25">
      <c r="A864" s="373">
        <v>17593</v>
      </c>
      <c r="B864" s="233" t="str">
        <f>VLOOKUP(Table8[[#This Row],[Document ID]],Table1[],2,FALSE)</f>
        <v>FJI</v>
      </c>
      <c r="C864" s="233" t="str">
        <f>VLOOKUP(Table8[[#This Row],[Document ID]],Table1[],3,FALSE)</f>
        <v>Fiji</v>
      </c>
      <c r="D864" s="243" t="str">
        <f>VLOOKUP(Table8[[#This Row],[Document ID]],Table1[],5,FALSE)</f>
        <v>LTS</v>
      </c>
      <c r="E864" s="233" t="str">
        <f>VLOOKUP(Table8[[#This Row],[Document ID]],Table1[],7,FALSE)</f>
        <v>LTS</v>
      </c>
      <c r="F864" s="233" t="str">
        <f>VLOOKUP(Table8[[#This Row],[Document ID]],Table1[],8,FALSE)</f>
        <v>LTS 1.0</v>
      </c>
      <c r="G864" s="233" t="str">
        <f>VLOOKUP(Table8[[#This Row],[Document ID]],Table1[],10,FALSE)</f>
        <v>Active</v>
      </c>
      <c r="H864" s="43" t="s">
        <v>2343</v>
      </c>
      <c r="I864" s="43" t="s">
        <v>2386</v>
      </c>
      <c r="J864" s="44" t="s">
        <v>2412</v>
      </c>
      <c r="K864" s="44" t="s">
        <v>3166</v>
      </c>
      <c r="L864" s="44" t="s">
        <v>2471</v>
      </c>
      <c r="M864" s="43">
        <v>91</v>
      </c>
      <c r="N864" s="113"/>
      <c r="O864" s="113"/>
      <c r="P864" s="113"/>
      <c r="Q864" s="113"/>
      <c r="R864" s="113"/>
      <c r="S864" s="113"/>
      <c r="T864" s="113"/>
      <c r="U864" s="113"/>
      <c r="V864" s="113"/>
      <c r="W864" s="113"/>
      <c r="X864" s="113"/>
      <c r="Y864" s="113" t="s">
        <v>1113</v>
      </c>
      <c r="Z864" s="113"/>
      <c r="AA864" s="113"/>
      <c r="AB864" s="113"/>
      <c r="AC864" s="113"/>
      <c r="AD864" s="113"/>
      <c r="AE864" s="113"/>
      <c r="AF864" s="113"/>
      <c r="AG864" s="113"/>
      <c r="AH864" s="113"/>
      <c r="AI864" s="113"/>
      <c r="AJ864" s="113"/>
      <c r="AK864" s="319" t="s">
        <v>1113</v>
      </c>
      <c r="AL864" s="113"/>
      <c r="AM864" s="113"/>
      <c r="AN864" s="113"/>
      <c r="AO864" s="43" t="s">
        <v>2348</v>
      </c>
      <c r="AP864" s="43"/>
      <c r="AQ864" s="236" t="str">
        <f>VLOOKUP(Table8[[#This Row],[Instrument]],Def_Targets!$D$73:$E$159,2,FALSE)</f>
        <v>A_Economic</v>
      </c>
      <c r="AR864" s="233" t="str">
        <f>VLOOKUP(Table8[[#This Row],[Country Code]],Table29[],3,FALSE)</f>
        <v>Non-Annex I</v>
      </c>
      <c r="AS864" s="233" t="str">
        <f>VLOOKUP(Table8[[#This Row],[Country Code]],Table29[],4,FALSE)</f>
        <v>Oceania</v>
      </c>
      <c r="AT864" s="233" t="str">
        <f>VLOOKUP(Table8[[#This Row],[Country Code]],Table29[],5,FALSE)</f>
        <v>Middle-income</v>
      </c>
      <c r="AU864" s="233" t="str">
        <f>VLOOKUP(Table8[[#This Row],[Country Code]],Table29[],6,FALSE)</f>
        <v>no</v>
      </c>
      <c r="AV864" s="233" t="str">
        <f>VLOOKUP(Table8[[#This Row],[Country Code]],Table29[],7,FALSE)</f>
        <v>no</v>
      </c>
      <c r="AW864" s="233" t="str">
        <f>VLOOKUP(Table8[[#This Row],[Country Code]],Table29[],8,FALSE)</f>
        <v>non-OECD</v>
      </c>
      <c r="AX864" s="233" t="str">
        <f>VLOOKUP(Table8[[#This Row],[Country Code]],Table29[],9,FALSE)</f>
        <v>no</v>
      </c>
      <c r="AY864" s="233" t="str">
        <f>VLOOKUP(Table8[[#This Row],[Country Code]],Table29[],10,FALSE)</f>
        <v>no</v>
      </c>
      <c r="AZ864" s="235">
        <f>VLOOKUP(Table8[[#This Row],[Country Code]],Table29[],23,FALSE)</f>
        <v>3.4009927758626</v>
      </c>
      <c r="BA864" s="235">
        <f>VLOOKUP(Table8[[#This Row],[Country Code]],Table29[],24,FALSE)</f>
        <v>1.126237744382208</v>
      </c>
      <c r="BB864" s="320"/>
      <c r="BC864" s="320"/>
    </row>
    <row r="865" spans="1:55" ht="30" hidden="1" x14ac:dyDescent="0.25">
      <c r="A865" s="373">
        <v>17599</v>
      </c>
      <c r="B865" s="233" t="str">
        <f>VLOOKUP(Table8[[#This Row],[Document ID]],Table1[],2,FALSE)</f>
        <v>GAB</v>
      </c>
      <c r="C865" s="233" t="str">
        <f>VLOOKUP(Table8[[#This Row],[Document ID]],Table1[],3,FALSE)</f>
        <v>Gabon</v>
      </c>
      <c r="D865" s="243" t="str">
        <f>VLOOKUP(Table8[[#This Row],[Document ID]],Table1[],5,FALSE)</f>
        <v>NDC</v>
      </c>
      <c r="E865" s="233" t="str">
        <f>VLOOKUP(Table8[[#This Row],[Document ID]],Table1[],7,FALSE)</f>
        <v>First NDC</v>
      </c>
      <c r="F865" s="236" t="str">
        <f>VLOOKUP(Table8[[#This Row],[Document ID]],Table1[],8,FALSE)</f>
        <v>NDC 1.0</v>
      </c>
      <c r="G865" s="236" t="str">
        <f>VLOOKUP(Table8[[#This Row],[Document ID]],Table1[],10,FALSE)</f>
        <v>Archived</v>
      </c>
      <c r="H865" s="44" t="s">
        <v>2338</v>
      </c>
      <c r="I865" s="44" t="s">
        <v>2339</v>
      </c>
      <c r="J865" s="44" t="s">
        <v>2410</v>
      </c>
      <c r="K865" s="44" t="s">
        <v>3167</v>
      </c>
      <c r="L865" s="44" t="s">
        <v>2333</v>
      </c>
      <c r="M865" s="43"/>
      <c r="N865" s="113" t="s">
        <v>1113</v>
      </c>
      <c r="O865" s="113"/>
      <c r="P865" s="113"/>
      <c r="Q865" s="319"/>
      <c r="R865" s="319"/>
      <c r="S865" s="319"/>
      <c r="T865" s="319"/>
      <c r="U865" s="319"/>
      <c r="V865" s="319"/>
      <c r="W865" s="319"/>
      <c r="X865" s="319"/>
      <c r="Y865" s="319"/>
      <c r="Z865" s="319"/>
      <c r="AA865" s="319"/>
      <c r="AB865" s="319"/>
      <c r="AC865" s="319"/>
      <c r="AD865" s="319"/>
      <c r="AE865" s="319"/>
      <c r="AF865" s="319"/>
      <c r="AG865" s="319"/>
      <c r="AH865" s="319"/>
      <c r="AI865" s="319"/>
      <c r="AJ865" s="319"/>
      <c r="AK865" s="319" t="s">
        <v>1113</v>
      </c>
      <c r="AL865" s="319"/>
      <c r="AM865" s="319"/>
      <c r="AN865" s="319"/>
      <c r="AO865" s="44" t="s">
        <v>2334</v>
      </c>
      <c r="AP865" s="44"/>
      <c r="AQ865" s="236" t="str">
        <f>VLOOKUP(Table8[[#This Row],[Instrument]],Def_Targets!$D$73:$E$159,2,FALSE)</f>
        <v>I_VehicleRestrictions</v>
      </c>
      <c r="AR865" s="233" t="str">
        <f>VLOOKUP(Table8[[#This Row],[Country Code]],Table29[],3,FALSE)</f>
        <v>Non-Annex I</v>
      </c>
      <c r="AS865" s="233" t="str">
        <f>VLOOKUP(Table8[[#This Row],[Country Code]],Table29[],4,FALSE)</f>
        <v>Africa</v>
      </c>
      <c r="AT865" s="233" t="str">
        <f>VLOOKUP(Table8[[#This Row],[Country Code]],Table29[],5,FALSE)</f>
        <v>Middle-income</v>
      </c>
      <c r="AU865" s="233" t="str">
        <f>VLOOKUP(Table8[[#This Row],[Country Code]],Table29[],6,FALSE)</f>
        <v>no</v>
      </c>
      <c r="AV865" s="233" t="str">
        <f>VLOOKUP(Table8[[#This Row],[Country Code]],Table29[],7,FALSE)</f>
        <v>no</v>
      </c>
      <c r="AW865" s="233" t="str">
        <f>VLOOKUP(Table8[[#This Row],[Country Code]],Table29[],8,FALSE)</f>
        <v>non-OECD</v>
      </c>
      <c r="AX865" s="233" t="str">
        <f>VLOOKUP(Table8[[#This Row],[Country Code]],Table29[],9,FALSE)</f>
        <v>no</v>
      </c>
      <c r="AY865" s="233" t="str">
        <f>VLOOKUP(Table8[[#This Row],[Country Code]],Table29[],10,FALSE)</f>
        <v>no</v>
      </c>
      <c r="AZ865" s="235">
        <f>VLOOKUP(Table8[[#This Row],[Country Code]],Table29[],23,FALSE)</f>
        <v>21.402080428809001</v>
      </c>
      <c r="BA865" s="235">
        <f>VLOOKUP(Table8[[#This Row],[Country Code]],Table29[],24,FALSE)</f>
        <v>0.2169319598307908</v>
      </c>
      <c r="BB865" s="320"/>
      <c r="BC865" s="320"/>
    </row>
    <row r="866" spans="1:55" hidden="1" x14ac:dyDescent="0.25">
      <c r="A866" s="373">
        <v>17599</v>
      </c>
      <c r="B866" s="233" t="str">
        <f>VLOOKUP(Table8[[#This Row],[Document ID]],Table1[],2,FALSE)</f>
        <v>GAB</v>
      </c>
      <c r="C866" s="233" t="str">
        <f>VLOOKUP(Table8[[#This Row],[Document ID]],Table1[],3,FALSE)</f>
        <v>Gabon</v>
      </c>
      <c r="D866" s="243" t="str">
        <f>VLOOKUP(Table8[[#This Row],[Document ID]],Table1[],5,FALSE)</f>
        <v>NDC</v>
      </c>
      <c r="E866" s="233" t="str">
        <f>VLOOKUP(Table8[[#This Row],[Document ID]],Table1[],7,FALSE)</f>
        <v>First NDC</v>
      </c>
      <c r="F866" s="236" t="str">
        <f>VLOOKUP(Table8[[#This Row],[Document ID]],Table1[],8,FALSE)</f>
        <v>NDC 1.0</v>
      </c>
      <c r="G866" s="236" t="str">
        <f>VLOOKUP(Table8[[#This Row],[Document ID]],Table1[],10,FALSE)</f>
        <v>Archived</v>
      </c>
      <c r="H866" s="43" t="s">
        <v>2343</v>
      </c>
      <c r="I866" s="43" t="s">
        <v>2344</v>
      </c>
      <c r="J866" s="44" t="s">
        <v>2345</v>
      </c>
      <c r="K866" s="44" t="s">
        <v>3168</v>
      </c>
      <c r="L866" s="44" t="s">
        <v>2347</v>
      </c>
      <c r="M866" s="43"/>
      <c r="N866" s="113" t="s">
        <v>1113</v>
      </c>
      <c r="O866" s="113"/>
      <c r="P866" s="113"/>
      <c r="Q866" s="319"/>
      <c r="R866" s="319"/>
      <c r="S866" s="319"/>
      <c r="T866" s="319"/>
      <c r="U866" s="319"/>
      <c r="V866" s="319"/>
      <c r="W866" s="319"/>
      <c r="X866" s="319"/>
      <c r="Y866" s="319"/>
      <c r="Z866" s="319"/>
      <c r="AA866" s="319"/>
      <c r="AB866" s="319"/>
      <c r="AC866" s="319"/>
      <c r="AD866" s="319"/>
      <c r="AE866" s="319"/>
      <c r="AF866" s="319"/>
      <c r="AG866" s="319"/>
      <c r="AH866" s="319"/>
      <c r="AI866" s="319"/>
      <c r="AJ866" s="319"/>
      <c r="AK866" s="319"/>
      <c r="AL866" s="113" t="s">
        <v>1113</v>
      </c>
      <c r="AM866" s="319"/>
      <c r="AN866" s="319"/>
      <c r="AO866" s="43" t="s">
        <v>2348</v>
      </c>
      <c r="AP866" s="44"/>
      <c r="AQ866" s="236" t="str">
        <f>VLOOKUP(Table8[[#This Row],[Instrument]],Def_Targets!$D$73:$E$159,2,FALSE)</f>
        <v>S_PublicTransport</v>
      </c>
      <c r="AR866" s="233" t="str">
        <f>VLOOKUP(Table8[[#This Row],[Country Code]],Table29[],3,FALSE)</f>
        <v>Non-Annex I</v>
      </c>
      <c r="AS866" s="233" t="str">
        <f>VLOOKUP(Table8[[#This Row],[Country Code]],Table29[],4,FALSE)</f>
        <v>Africa</v>
      </c>
      <c r="AT866" s="233" t="str">
        <f>VLOOKUP(Table8[[#This Row],[Country Code]],Table29[],5,FALSE)</f>
        <v>Middle-income</v>
      </c>
      <c r="AU866" s="233" t="str">
        <f>VLOOKUP(Table8[[#This Row],[Country Code]],Table29[],6,FALSE)</f>
        <v>no</v>
      </c>
      <c r="AV866" s="233" t="str">
        <f>VLOOKUP(Table8[[#This Row],[Country Code]],Table29[],7,FALSE)</f>
        <v>no</v>
      </c>
      <c r="AW866" s="233" t="str">
        <f>VLOOKUP(Table8[[#This Row],[Country Code]],Table29[],8,FALSE)</f>
        <v>non-OECD</v>
      </c>
      <c r="AX866" s="233" t="str">
        <f>VLOOKUP(Table8[[#This Row],[Country Code]],Table29[],9,FALSE)</f>
        <v>no</v>
      </c>
      <c r="AY866" s="233" t="str">
        <f>VLOOKUP(Table8[[#This Row],[Country Code]],Table29[],10,FALSE)</f>
        <v>no</v>
      </c>
      <c r="AZ866" s="235">
        <f>VLOOKUP(Table8[[#This Row],[Country Code]],Table29[],23,FALSE)</f>
        <v>21.402080428809001</v>
      </c>
      <c r="BA866" s="235">
        <f>VLOOKUP(Table8[[#This Row],[Country Code]],Table29[],24,FALSE)</f>
        <v>0.2169319598307908</v>
      </c>
      <c r="BB866" s="320"/>
      <c r="BC866" s="320"/>
    </row>
    <row r="867" spans="1:55" hidden="1" x14ac:dyDescent="0.25">
      <c r="A867" s="373">
        <v>17599</v>
      </c>
      <c r="B867" s="233" t="str">
        <f>VLOOKUP(Table8[[#This Row],[Document ID]],Table1[],2,FALSE)</f>
        <v>GAB</v>
      </c>
      <c r="C867" s="233" t="str">
        <f>VLOOKUP(Table8[[#This Row],[Document ID]],Table1[],3,FALSE)</f>
        <v>Gabon</v>
      </c>
      <c r="D867" s="243" t="str">
        <f>VLOOKUP(Table8[[#This Row],[Document ID]],Table1[],5,FALSE)</f>
        <v>NDC</v>
      </c>
      <c r="E867" s="233" t="str">
        <f>VLOOKUP(Table8[[#This Row],[Document ID]],Table1[],7,FALSE)</f>
        <v>First NDC</v>
      </c>
      <c r="F867" s="236" t="str">
        <f>VLOOKUP(Table8[[#This Row],[Document ID]],Table1[],8,FALSE)</f>
        <v>NDC 1.0</v>
      </c>
      <c r="G867" s="236" t="str">
        <f>VLOOKUP(Table8[[#This Row],[Document ID]],Table1[],10,FALSE)</f>
        <v>Archived</v>
      </c>
      <c r="H867" s="43" t="s">
        <v>2350</v>
      </c>
      <c r="I867" s="43" t="s">
        <v>2456</v>
      </c>
      <c r="J867" s="44" t="s">
        <v>2457</v>
      </c>
      <c r="K867" s="44" t="s">
        <v>3169</v>
      </c>
      <c r="L867" s="44" t="s">
        <v>2347</v>
      </c>
      <c r="M867" s="43"/>
      <c r="N867" s="113" t="s">
        <v>1113</v>
      </c>
      <c r="O867" s="113"/>
      <c r="P867" s="113"/>
      <c r="Q867" s="319"/>
      <c r="R867" s="319"/>
      <c r="S867" s="319"/>
      <c r="T867" s="319"/>
      <c r="U867" s="319"/>
      <c r="V867" s="319"/>
      <c r="W867" s="319"/>
      <c r="X867" s="319"/>
      <c r="Y867" s="319"/>
      <c r="Z867" s="319"/>
      <c r="AA867" s="319"/>
      <c r="AB867" s="319"/>
      <c r="AC867" s="319"/>
      <c r="AD867" s="319"/>
      <c r="AE867" s="319"/>
      <c r="AF867" s="319"/>
      <c r="AG867" s="319"/>
      <c r="AH867" s="319"/>
      <c r="AI867" s="319"/>
      <c r="AJ867" s="319"/>
      <c r="AK867" s="319" t="s">
        <v>1113</v>
      </c>
      <c r="AL867" s="319"/>
      <c r="AM867" s="319"/>
      <c r="AN867" s="319"/>
      <c r="AO867" s="44" t="s">
        <v>2334</v>
      </c>
      <c r="AP867" s="44"/>
      <c r="AQ867" s="236" t="str">
        <f>VLOOKUP(Table8[[#This Row],[Instrument]],Def_Targets!$D$73:$E$159,2,FALSE)</f>
        <v>S_Infraimprove</v>
      </c>
      <c r="AR867" s="233" t="str">
        <f>VLOOKUP(Table8[[#This Row],[Country Code]],Table29[],3,FALSE)</f>
        <v>Non-Annex I</v>
      </c>
      <c r="AS867" s="233" t="str">
        <f>VLOOKUP(Table8[[#This Row],[Country Code]],Table29[],4,FALSE)</f>
        <v>Africa</v>
      </c>
      <c r="AT867" s="233" t="str">
        <f>VLOOKUP(Table8[[#This Row],[Country Code]],Table29[],5,FALSE)</f>
        <v>Middle-income</v>
      </c>
      <c r="AU867" s="233" t="str">
        <f>VLOOKUP(Table8[[#This Row],[Country Code]],Table29[],6,FALSE)</f>
        <v>no</v>
      </c>
      <c r="AV867" s="233" t="str">
        <f>VLOOKUP(Table8[[#This Row],[Country Code]],Table29[],7,FALSE)</f>
        <v>no</v>
      </c>
      <c r="AW867" s="233" t="str">
        <f>VLOOKUP(Table8[[#This Row],[Country Code]],Table29[],8,FALSE)</f>
        <v>non-OECD</v>
      </c>
      <c r="AX867" s="233" t="str">
        <f>VLOOKUP(Table8[[#This Row],[Country Code]],Table29[],9,FALSE)</f>
        <v>no</v>
      </c>
      <c r="AY867" s="233" t="str">
        <f>VLOOKUP(Table8[[#This Row],[Country Code]],Table29[],10,FALSE)</f>
        <v>no</v>
      </c>
      <c r="AZ867" s="235">
        <f>VLOOKUP(Table8[[#This Row],[Country Code]],Table29[],23,FALSE)</f>
        <v>21.402080428809001</v>
      </c>
      <c r="BA867" s="235">
        <f>VLOOKUP(Table8[[#This Row],[Country Code]],Table29[],24,FALSE)</f>
        <v>0.2169319598307908</v>
      </c>
      <c r="BB867" s="320"/>
      <c r="BC867" s="320"/>
    </row>
    <row r="868" spans="1:55" hidden="1" x14ac:dyDescent="0.25">
      <c r="A868" s="373">
        <v>29229</v>
      </c>
      <c r="B868" s="233" t="str">
        <f>VLOOKUP(Table8[[#This Row],[Document ID]],Table1[],2,FALSE)</f>
        <v>GAB</v>
      </c>
      <c r="C868" s="233" t="str">
        <f>VLOOKUP(Table8[[#This Row],[Document ID]],Table1[],3,FALSE)</f>
        <v>Gabon</v>
      </c>
      <c r="D868" s="243" t="str">
        <f>VLOOKUP(Table8[[#This Row],[Document ID]],Table1[],5,FALSE)</f>
        <v>NDC</v>
      </c>
      <c r="E868" s="233" t="str">
        <f>VLOOKUP(Table8[[#This Row],[Document ID]],Table1[],7,FALSE)</f>
        <v>First NDC updated</v>
      </c>
      <c r="F868" s="233" t="str">
        <f>VLOOKUP(Table8[[#This Row],[Document ID]],Table1[],8,FALSE)</f>
        <v>NDC 1.1</v>
      </c>
      <c r="G868" s="233" t="str">
        <f>VLOOKUP(Table8[[#This Row],[Document ID]],Table1[],10,FALSE)</f>
        <v>Active</v>
      </c>
      <c r="H868" s="44" t="s">
        <v>2338</v>
      </c>
      <c r="I868" s="44" t="s">
        <v>2339</v>
      </c>
      <c r="J868" s="44" t="s">
        <v>2413</v>
      </c>
      <c r="K868" s="44" t="s">
        <v>3170</v>
      </c>
      <c r="L868" s="44" t="s">
        <v>2333</v>
      </c>
      <c r="M868" s="43">
        <v>22</v>
      </c>
      <c r="N868" s="113" t="s">
        <v>1113</v>
      </c>
      <c r="O868" s="113"/>
      <c r="P868" s="113"/>
      <c r="Q868" s="113"/>
      <c r="R868" s="113"/>
      <c r="S868" s="113"/>
      <c r="T868" s="113"/>
      <c r="U868" s="113"/>
      <c r="V868" s="113"/>
      <c r="W868" s="113"/>
      <c r="X868" s="113"/>
      <c r="Y868" s="113"/>
      <c r="Z868" s="113"/>
      <c r="AA868" s="113"/>
      <c r="AB868" s="113"/>
      <c r="AC868" s="113"/>
      <c r="AD868" s="113"/>
      <c r="AE868" s="113"/>
      <c r="AF868" s="113"/>
      <c r="AG868" s="113"/>
      <c r="AH868" s="113"/>
      <c r="AI868" s="113"/>
      <c r="AJ868" s="113"/>
      <c r="AK868" s="113" t="s">
        <v>1113</v>
      </c>
      <c r="AL868" s="113"/>
      <c r="AM868" s="113"/>
      <c r="AN868" s="113"/>
      <c r="AO868" s="44" t="s">
        <v>2334</v>
      </c>
      <c r="AP868" s="43"/>
      <c r="AQ868" s="236" t="str">
        <f>VLOOKUP(Table8[[#This Row],[Instrument]],Def_Targets!$D$73:$E$159,2,FALSE)</f>
        <v>I_Vehicleeff</v>
      </c>
      <c r="AR868" s="233" t="str">
        <f>VLOOKUP(Table8[[#This Row],[Country Code]],Table29[],3,FALSE)</f>
        <v>Non-Annex I</v>
      </c>
      <c r="AS868" s="233" t="str">
        <f>VLOOKUP(Table8[[#This Row],[Country Code]],Table29[],4,FALSE)</f>
        <v>Africa</v>
      </c>
      <c r="AT868" s="233" t="str">
        <f>VLOOKUP(Table8[[#This Row],[Country Code]],Table29[],5,FALSE)</f>
        <v>Middle-income</v>
      </c>
      <c r="AU868" s="233" t="str">
        <f>VLOOKUP(Table8[[#This Row],[Country Code]],Table29[],6,FALSE)</f>
        <v>no</v>
      </c>
      <c r="AV868" s="233" t="str">
        <f>VLOOKUP(Table8[[#This Row],[Country Code]],Table29[],7,FALSE)</f>
        <v>no</v>
      </c>
      <c r="AW868" s="233" t="str">
        <f>VLOOKUP(Table8[[#This Row],[Country Code]],Table29[],8,FALSE)</f>
        <v>non-OECD</v>
      </c>
      <c r="AX868" s="233" t="str">
        <f>VLOOKUP(Table8[[#This Row],[Country Code]],Table29[],9,FALSE)</f>
        <v>no</v>
      </c>
      <c r="AY868" s="233" t="str">
        <f>VLOOKUP(Table8[[#This Row],[Country Code]],Table29[],10,FALSE)</f>
        <v>no</v>
      </c>
      <c r="AZ868" s="235">
        <f>VLOOKUP(Table8[[#This Row],[Country Code]],Table29[],23,FALSE)</f>
        <v>21.402080428809001</v>
      </c>
      <c r="BA868" s="235">
        <f>VLOOKUP(Table8[[#This Row],[Country Code]],Table29[],24,FALSE)</f>
        <v>0.2169319598307908</v>
      </c>
      <c r="BB868" s="320"/>
      <c r="BC868" s="320"/>
    </row>
    <row r="869" spans="1:55" ht="30" hidden="1" x14ac:dyDescent="0.25">
      <c r="A869" s="373">
        <v>29229</v>
      </c>
      <c r="B869" s="233" t="str">
        <f>VLOOKUP(Table8[[#This Row],[Document ID]],Table1[],2,FALSE)</f>
        <v>GAB</v>
      </c>
      <c r="C869" s="233" t="str">
        <f>VLOOKUP(Table8[[#This Row],[Document ID]],Table1[],3,FALSE)</f>
        <v>Gabon</v>
      </c>
      <c r="D869" s="243" t="str">
        <f>VLOOKUP(Table8[[#This Row],[Document ID]],Table1[],5,FALSE)</f>
        <v>NDC</v>
      </c>
      <c r="E869" s="233" t="str">
        <f>VLOOKUP(Table8[[#This Row],[Document ID]],Table1[],7,FALSE)</f>
        <v>First NDC updated</v>
      </c>
      <c r="F869" s="233" t="str">
        <f>VLOOKUP(Table8[[#This Row],[Document ID]],Table1[],8,FALSE)</f>
        <v>NDC 1.1</v>
      </c>
      <c r="G869" s="233" t="str">
        <f>VLOOKUP(Table8[[#This Row],[Document ID]],Table1[],10,FALSE)</f>
        <v>Active</v>
      </c>
      <c r="H869" s="44" t="s">
        <v>2329</v>
      </c>
      <c r="I869" s="44" t="s">
        <v>2330</v>
      </c>
      <c r="J869" s="44" t="s">
        <v>2381</v>
      </c>
      <c r="K869" s="44" t="s">
        <v>3171</v>
      </c>
      <c r="L869" s="44" t="s">
        <v>2333</v>
      </c>
      <c r="M869" s="43">
        <v>22</v>
      </c>
      <c r="N869" s="113" t="s">
        <v>1113</v>
      </c>
      <c r="O869" s="113"/>
      <c r="P869" s="113"/>
      <c r="Q869" s="113"/>
      <c r="R869" s="113"/>
      <c r="S869" s="113"/>
      <c r="T869" s="113"/>
      <c r="U869" s="113"/>
      <c r="V869" s="113"/>
      <c r="W869" s="113"/>
      <c r="X869" s="113"/>
      <c r="Y869" s="113"/>
      <c r="Z869" s="113"/>
      <c r="AA869" s="113"/>
      <c r="AB869" s="113"/>
      <c r="AC869" s="113"/>
      <c r="AD869" s="113"/>
      <c r="AE869" s="113"/>
      <c r="AF869" s="113"/>
      <c r="AG869" s="113"/>
      <c r="AH869" s="113"/>
      <c r="AI869" s="113"/>
      <c r="AJ869" s="113"/>
      <c r="AK869" s="113" t="s">
        <v>1113</v>
      </c>
      <c r="AL869" s="113"/>
      <c r="AM869" s="113"/>
      <c r="AN869" s="113"/>
      <c r="AO869" s="44" t="s">
        <v>2334</v>
      </c>
      <c r="AP869" s="43"/>
      <c r="AQ869" s="236" t="str">
        <f>VLOOKUP(Table8[[#This Row],[Instrument]],Def_Targets!$D$73:$E$159,2,FALSE)</f>
        <v>I_RE</v>
      </c>
      <c r="AR869" s="233" t="str">
        <f>VLOOKUP(Table8[[#This Row],[Country Code]],Table29[],3,FALSE)</f>
        <v>Non-Annex I</v>
      </c>
      <c r="AS869" s="233" t="str">
        <f>VLOOKUP(Table8[[#This Row],[Country Code]],Table29[],4,FALSE)</f>
        <v>Africa</v>
      </c>
      <c r="AT869" s="233" t="str">
        <f>VLOOKUP(Table8[[#This Row],[Country Code]],Table29[],5,FALSE)</f>
        <v>Middle-income</v>
      </c>
      <c r="AU869" s="233" t="str">
        <f>VLOOKUP(Table8[[#This Row],[Country Code]],Table29[],6,FALSE)</f>
        <v>no</v>
      </c>
      <c r="AV869" s="233" t="str">
        <f>VLOOKUP(Table8[[#This Row],[Country Code]],Table29[],7,FALSE)</f>
        <v>no</v>
      </c>
      <c r="AW869" s="233" t="str">
        <f>VLOOKUP(Table8[[#This Row],[Country Code]],Table29[],8,FALSE)</f>
        <v>non-OECD</v>
      </c>
      <c r="AX869" s="233" t="str">
        <f>VLOOKUP(Table8[[#This Row],[Country Code]],Table29[],9,FALSE)</f>
        <v>no</v>
      </c>
      <c r="AY869" s="233" t="str">
        <f>VLOOKUP(Table8[[#This Row],[Country Code]],Table29[],10,FALSE)</f>
        <v>no</v>
      </c>
      <c r="AZ869" s="235">
        <f>VLOOKUP(Table8[[#This Row],[Country Code]],Table29[],23,FALSE)</f>
        <v>21.402080428809001</v>
      </c>
      <c r="BA869" s="235">
        <f>VLOOKUP(Table8[[#This Row],[Country Code]],Table29[],24,FALSE)</f>
        <v>0.2169319598307908</v>
      </c>
      <c r="BB869" s="320"/>
      <c r="BC869" s="320"/>
    </row>
    <row r="870" spans="1:55" s="17" customFormat="1" hidden="1" x14ac:dyDescent="0.25">
      <c r="A870" s="373">
        <v>22162</v>
      </c>
      <c r="B870" s="233" t="str">
        <f>VLOOKUP(Table8[[#This Row],[Document ID]],Table1[],2,FALSE)</f>
        <v>GMB</v>
      </c>
      <c r="C870" s="233" t="str">
        <f>VLOOKUP(Table8[[#This Row],[Document ID]],Table1[],3,FALSE)</f>
        <v>Gambia (Republic of The)</v>
      </c>
      <c r="D870" s="243" t="str">
        <f>VLOOKUP(Table8[[#This Row],[Document ID]],Table1[],5,FALSE)</f>
        <v>LTS</v>
      </c>
      <c r="E870" s="233" t="str">
        <f>VLOOKUP(Table8[[#This Row],[Document ID]],Table1[],7,FALSE)</f>
        <v>LTS</v>
      </c>
      <c r="F870" s="233" t="str">
        <f>VLOOKUP(Table8[[#This Row],[Document ID]],Table1[],8,FALSE)</f>
        <v>LTS 1.0</v>
      </c>
      <c r="G870" s="233" t="str">
        <f>VLOOKUP(Table8[[#This Row],[Document ID]],Table1[],10,FALSE)</f>
        <v>Active</v>
      </c>
      <c r="H870" s="44" t="s">
        <v>2338</v>
      </c>
      <c r="I870" s="44" t="s">
        <v>2339</v>
      </c>
      <c r="J870" s="44" t="s">
        <v>2413</v>
      </c>
      <c r="K870" s="44" t="s">
        <v>3172</v>
      </c>
      <c r="L870" s="44" t="s">
        <v>2333</v>
      </c>
      <c r="M870" s="43">
        <v>16</v>
      </c>
      <c r="N870" s="113" t="s">
        <v>1113</v>
      </c>
      <c r="O870" s="113"/>
      <c r="P870" s="113"/>
      <c r="Q870" s="113"/>
      <c r="R870" s="113"/>
      <c r="S870" s="113"/>
      <c r="T870" s="113"/>
      <c r="U870" s="113"/>
      <c r="V870" s="113"/>
      <c r="W870" s="113"/>
      <c r="X870" s="113"/>
      <c r="Y870" s="113"/>
      <c r="Z870" s="113"/>
      <c r="AA870" s="113"/>
      <c r="AB870" s="113"/>
      <c r="AC870" s="113"/>
      <c r="AD870" s="113"/>
      <c r="AE870" s="113"/>
      <c r="AF870" s="113"/>
      <c r="AG870" s="113"/>
      <c r="AH870" s="113"/>
      <c r="AI870" s="113"/>
      <c r="AJ870" s="113"/>
      <c r="AK870" s="113" t="s">
        <v>1113</v>
      </c>
      <c r="AL870" s="113"/>
      <c r="AM870" s="113"/>
      <c r="AN870" s="113"/>
      <c r="AO870" s="44" t="s">
        <v>2334</v>
      </c>
      <c r="AP870" s="43"/>
      <c r="AQ870" s="236" t="str">
        <f>VLOOKUP(Table8[[#This Row],[Instrument]],Def_Targets!$D$73:$E$159,2,FALSE)</f>
        <v>I_Vehicleeff</v>
      </c>
      <c r="AR870" s="233" t="str">
        <f>VLOOKUP(Table8[[#This Row],[Country Code]],Table29[],3,FALSE)</f>
        <v>Non-Annex I</v>
      </c>
      <c r="AS870" s="233" t="str">
        <f>VLOOKUP(Table8[[#This Row],[Country Code]],Table29[],4,FALSE)</f>
        <v>Africa</v>
      </c>
      <c r="AT870" s="233" t="str">
        <f>VLOOKUP(Table8[[#This Row],[Country Code]],Table29[],5,FALSE)</f>
        <v>Low-income</v>
      </c>
      <c r="AU870" s="233" t="str">
        <f>VLOOKUP(Table8[[#This Row],[Country Code]],Table29[],6,FALSE)</f>
        <v>no</v>
      </c>
      <c r="AV870" s="233" t="str">
        <f>VLOOKUP(Table8[[#This Row],[Country Code]],Table29[],7,FALSE)</f>
        <v>no</v>
      </c>
      <c r="AW870" s="233" t="str">
        <f>VLOOKUP(Table8[[#This Row],[Country Code]],Table29[],8,FALSE)</f>
        <v>non-OECD</v>
      </c>
      <c r="AX870" s="233" t="str">
        <f>VLOOKUP(Table8[[#This Row],[Country Code]],Table29[],9,FALSE)</f>
        <v>no</v>
      </c>
      <c r="AY870" s="233" t="str">
        <f>VLOOKUP(Table8[[#This Row],[Country Code]],Table29[],10,FALSE)</f>
        <v>no</v>
      </c>
      <c r="AZ870" s="235">
        <f>VLOOKUP(Table8[[#This Row],[Country Code]],Table29[],23,FALSE)</f>
        <v>1.8888012914382</v>
      </c>
      <c r="BA870" s="235">
        <f>VLOOKUP(Table8[[#This Row],[Country Code]],Table29[],24,FALSE)</f>
        <v>0.35129125057719468</v>
      </c>
      <c r="BB870" s="320"/>
      <c r="BC870" s="320"/>
    </row>
    <row r="871" spans="1:55" s="17" customFormat="1" hidden="1" x14ac:dyDescent="0.25">
      <c r="A871" s="373">
        <v>22162</v>
      </c>
      <c r="B871" s="233" t="str">
        <f>VLOOKUP(Table8[[#This Row],[Document ID]],Table1[],2,FALSE)</f>
        <v>GMB</v>
      </c>
      <c r="C871" s="233" t="str">
        <f>VLOOKUP(Table8[[#This Row],[Document ID]],Table1[],3,FALSE)</f>
        <v>Gambia (Republic of The)</v>
      </c>
      <c r="D871" s="243" t="str">
        <f>VLOOKUP(Table8[[#This Row],[Document ID]],Table1[],5,FALSE)</f>
        <v>LTS</v>
      </c>
      <c r="E871" s="233" t="str">
        <f>VLOOKUP(Table8[[#This Row],[Document ID]],Table1[],7,FALSE)</f>
        <v>LTS</v>
      </c>
      <c r="F871" s="233" t="str">
        <f>VLOOKUP(Table8[[#This Row],[Document ID]],Table1[],8,FALSE)</f>
        <v>LTS 1.0</v>
      </c>
      <c r="G871" s="233" t="str">
        <f>VLOOKUP(Table8[[#This Row],[Document ID]],Table1[],10,FALSE)</f>
        <v>Active</v>
      </c>
      <c r="H871" s="43" t="s">
        <v>2343</v>
      </c>
      <c r="I871" s="43" t="s">
        <v>2344</v>
      </c>
      <c r="J871" s="44" t="s">
        <v>2345</v>
      </c>
      <c r="K871" s="44" t="s">
        <v>3173</v>
      </c>
      <c r="L871" s="44" t="s">
        <v>2347</v>
      </c>
      <c r="M871" s="43">
        <v>16</v>
      </c>
      <c r="N871" s="113" t="s">
        <v>1113</v>
      </c>
      <c r="O871" s="113"/>
      <c r="P871" s="113"/>
      <c r="Q871" s="113"/>
      <c r="R871" s="113"/>
      <c r="S871" s="113"/>
      <c r="T871" s="113"/>
      <c r="U871" s="113"/>
      <c r="V871" s="113"/>
      <c r="W871" s="113"/>
      <c r="X871" s="113"/>
      <c r="Y871" s="113"/>
      <c r="Z871" s="113"/>
      <c r="AA871" s="113"/>
      <c r="AB871" s="113"/>
      <c r="AC871" s="113"/>
      <c r="AD871" s="113"/>
      <c r="AE871" s="113"/>
      <c r="AF871" s="113"/>
      <c r="AG871" s="113"/>
      <c r="AH871" s="113"/>
      <c r="AI871" s="113"/>
      <c r="AJ871" s="113"/>
      <c r="AK871" s="113" t="s">
        <v>1113</v>
      </c>
      <c r="AL871" s="113"/>
      <c r="AM871" s="113"/>
      <c r="AN871" s="113"/>
      <c r="AO871" s="43" t="s">
        <v>2348</v>
      </c>
      <c r="AP871" s="43"/>
      <c r="AQ871" s="236" t="str">
        <f>VLOOKUP(Table8[[#This Row],[Instrument]],Def_Targets!$D$73:$E$159,2,FALSE)</f>
        <v>S_PublicTransport</v>
      </c>
      <c r="AR871" s="233" t="str">
        <f>VLOOKUP(Table8[[#This Row],[Country Code]],Table29[],3,FALSE)</f>
        <v>Non-Annex I</v>
      </c>
      <c r="AS871" s="233" t="str">
        <f>VLOOKUP(Table8[[#This Row],[Country Code]],Table29[],4,FALSE)</f>
        <v>Africa</v>
      </c>
      <c r="AT871" s="233" t="str">
        <f>VLOOKUP(Table8[[#This Row],[Country Code]],Table29[],5,FALSE)</f>
        <v>Low-income</v>
      </c>
      <c r="AU871" s="233" t="str">
        <f>VLOOKUP(Table8[[#This Row],[Country Code]],Table29[],6,FALSE)</f>
        <v>no</v>
      </c>
      <c r="AV871" s="233" t="str">
        <f>VLOOKUP(Table8[[#This Row],[Country Code]],Table29[],7,FALSE)</f>
        <v>no</v>
      </c>
      <c r="AW871" s="233" t="str">
        <f>VLOOKUP(Table8[[#This Row],[Country Code]],Table29[],8,FALSE)</f>
        <v>non-OECD</v>
      </c>
      <c r="AX871" s="233" t="str">
        <f>VLOOKUP(Table8[[#This Row],[Country Code]],Table29[],9,FALSE)</f>
        <v>no</v>
      </c>
      <c r="AY871" s="233" t="str">
        <f>VLOOKUP(Table8[[#This Row],[Country Code]],Table29[],10,FALSE)</f>
        <v>no</v>
      </c>
      <c r="AZ871" s="235">
        <f>VLOOKUP(Table8[[#This Row],[Country Code]],Table29[],23,FALSE)</f>
        <v>1.8888012914382</v>
      </c>
      <c r="BA871" s="235">
        <f>VLOOKUP(Table8[[#This Row],[Country Code]],Table29[],24,FALSE)</f>
        <v>0.35129125057719468</v>
      </c>
      <c r="BB871" s="320"/>
      <c r="BC871" s="320"/>
    </row>
    <row r="872" spans="1:55" s="17" customFormat="1" hidden="1" x14ac:dyDescent="0.25">
      <c r="A872" s="373">
        <v>22162</v>
      </c>
      <c r="B872" s="233" t="str">
        <f>VLOOKUP(Table8[[#This Row],[Document ID]],Table1[],2,FALSE)</f>
        <v>GMB</v>
      </c>
      <c r="C872" s="233" t="str">
        <f>VLOOKUP(Table8[[#This Row],[Document ID]],Table1[],3,FALSE)</f>
        <v>Gambia (Republic of The)</v>
      </c>
      <c r="D872" s="243" t="str">
        <f>VLOOKUP(Table8[[#This Row],[Document ID]],Table1[],5,FALSE)</f>
        <v>LTS</v>
      </c>
      <c r="E872" s="233" t="str">
        <f>VLOOKUP(Table8[[#This Row],[Document ID]],Table1[],7,FALSE)</f>
        <v>LTS</v>
      </c>
      <c r="F872" s="233" t="str">
        <f>VLOOKUP(Table8[[#This Row],[Document ID]],Table1[],8,FALSE)</f>
        <v>LTS 1.0</v>
      </c>
      <c r="G872" s="233" t="str">
        <f>VLOOKUP(Table8[[#This Row],[Document ID]],Table1[],10,FALSE)</f>
        <v>Active</v>
      </c>
      <c r="H872" s="44" t="s">
        <v>2329</v>
      </c>
      <c r="I872" s="44" t="s">
        <v>2330</v>
      </c>
      <c r="J872" s="44" t="s">
        <v>2357</v>
      </c>
      <c r="K872" s="44" t="s">
        <v>3174</v>
      </c>
      <c r="L872" s="44" t="s">
        <v>2333</v>
      </c>
      <c r="M872" s="43">
        <v>16</v>
      </c>
      <c r="N872" s="113"/>
      <c r="O872" s="113"/>
      <c r="P872" s="113"/>
      <c r="Q872" s="113"/>
      <c r="R872" s="113"/>
      <c r="S872" s="113" t="s">
        <v>1113</v>
      </c>
      <c r="T872" s="113"/>
      <c r="U872" s="113"/>
      <c r="V872" s="113"/>
      <c r="W872" s="113"/>
      <c r="X872" s="113"/>
      <c r="Y872" s="113"/>
      <c r="Z872" s="113"/>
      <c r="AA872" s="113"/>
      <c r="AB872" s="113"/>
      <c r="AC872" s="113"/>
      <c r="AD872" s="113"/>
      <c r="AE872" s="113"/>
      <c r="AF872" s="113"/>
      <c r="AG872" s="113"/>
      <c r="AH872" s="113"/>
      <c r="AI872" s="113"/>
      <c r="AJ872" s="113"/>
      <c r="AK872" s="113" t="s">
        <v>1113</v>
      </c>
      <c r="AL872" s="113"/>
      <c r="AM872" s="113"/>
      <c r="AN872" s="113"/>
      <c r="AO872" s="44" t="s">
        <v>2334</v>
      </c>
      <c r="AP872" s="43"/>
      <c r="AQ872" s="236" t="str">
        <f>VLOOKUP(Table8[[#This Row],[Instrument]],Def_Targets!$D$73:$E$159,2,FALSE)</f>
        <v>I_Biofuel</v>
      </c>
      <c r="AR872" s="233" t="str">
        <f>VLOOKUP(Table8[[#This Row],[Country Code]],Table29[],3,FALSE)</f>
        <v>Non-Annex I</v>
      </c>
      <c r="AS872" s="233" t="str">
        <f>VLOOKUP(Table8[[#This Row],[Country Code]],Table29[],4,FALSE)</f>
        <v>Africa</v>
      </c>
      <c r="AT872" s="233" t="str">
        <f>VLOOKUP(Table8[[#This Row],[Country Code]],Table29[],5,FALSE)</f>
        <v>Low-income</v>
      </c>
      <c r="AU872" s="233" t="str">
        <f>VLOOKUP(Table8[[#This Row],[Country Code]],Table29[],6,FALSE)</f>
        <v>no</v>
      </c>
      <c r="AV872" s="233" t="str">
        <f>VLOOKUP(Table8[[#This Row],[Country Code]],Table29[],7,FALSE)</f>
        <v>no</v>
      </c>
      <c r="AW872" s="233" t="str">
        <f>VLOOKUP(Table8[[#This Row],[Country Code]],Table29[],8,FALSE)</f>
        <v>non-OECD</v>
      </c>
      <c r="AX872" s="233" t="str">
        <f>VLOOKUP(Table8[[#This Row],[Country Code]],Table29[],9,FALSE)</f>
        <v>no</v>
      </c>
      <c r="AY872" s="233" t="str">
        <f>VLOOKUP(Table8[[#This Row],[Country Code]],Table29[],10,FALSE)</f>
        <v>no</v>
      </c>
      <c r="AZ872" s="235">
        <f>VLOOKUP(Table8[[#This Row],[Country Code]],Table29[],23,FALSE)</f>
        <v>1.8888012914382</v>
      </c>
      <c r="BA872" s="235">
        <f>VLOOKUP(Table8[[#This Row],[Country Code]],Table29[],24,FALSE)</f>
        <v>0.35129125057719468</v>
      </c>
      <c r="BB872" s="320"/>
      <c r="BC872" s="320"/>
    </row>
    <row r="873" spans="1:55" hidden="1" x14ac:dyDescent="0.25">
      <c r="A873" s="373">
        <v>17593</v>
      </c>
      <c r="B873" s="233" t="str">
        <f>VLOOKUP(Table8[[#This Row],[Document ID]],Table1[],2,FALSE)</f>
        <v>FJI</v>
      </c>
      <c r="C873" s="233" t="str">
        <f>VLOOKUP(Table8[[#This Row],[Document ID]],Table1[],3,FALSE)</f>
        <v>Fiji</v>
      </c>
      <c r="D873" s="243" t="str">
        <f>VLOOKUP(Table8[[#This Row],[Document ID]],Table1[],5,FALSE)</f>
        <v>LTS</v>
      </c>
      <c r="E873" s="233" t="str">
        <f>VLOOKUP(Table8[[#This Row],[Document ID]],Table1[],7,FALSE)</f>
        <v>LTS</v>
      </c>
      <c r="F873" s="233" t="str">
        <f>VLOOKUP(Table8[[#This Row],[Document ID]],Table1[],8,FALSE)</f>
        <v>LTS 1.0</v>
      </c>
      <c r="G873" s="233" t="str">
        <f>VLOOKUP(Table8[[#This Row],[Document ID]],Table1[],10,FALSE)</f>
        <v>Active</v>
      </c>
      <c r="H873" s="43" t="s">
        <v>2350</v>
      </c>
      <c r="I873" s="43" t="s">
        <v>2351</v>
      </c>
      <c r="J873" s="44" t="s">
        <v>2447</v>
      </c>
      <c r="K873" s="44" t="s">
        <v>3175</v>
      </c>
      <c r="L873" s="44" t="s">
        <v>2333</v>
      </c>
      <c r="M873" s="43">
        <v>91</v>
      </c>
      <c r="N873" s="113"/>
      <c r="O873" s="113"/>
      <c r="P873" s="113"/>
      <c r="Q873" s="113"/>
      <c r="R873" s="113"/>
      <c r="S873" s="113"/>
      <c r="T873" s="113"/>
      <c r="U873" s="113"/>
      <c r="V873" s="113"/>
      <c r="W873" s="113"/>
      <c r="X873" s="113" t="s">
        <v>1113</v>
      </c>
      <c r="Y873" s="113"/>
      <c r="Z873" s="113"/>
      <c r="AA873" s="113"/>
      <c r="AB873" s="113"/>
      <c r="AC873" s="113"/>
      <c r="AD873" s="113"/>
      <c r="AE873" s="113"/>
      <c r="AF873" s="113"/>
      <c r="AG873" s="113"/>
      <c r="AH873" s="113"/>
      <c r="AI873" s="113"/>
      <c r="AJ873" s="113"/>
      <c r="AK873" s="319" t="s">
        <v>1113</v>
      </c>
      <c r="AL873" s="113"/>
      <c r="AM873" s="113"/>
      <c r="AN873" s="113"/>
      <c r="AO873" s="43" t="s">
        <v>2353</v>
      </c>
      <c r="AP873" s="43"/>
      <c r="AQ873" s="236" t="str">
        <f>VLOOKUP(Table8[[#This Row],[Instrument]],Def_Targets!$D$73:$E$159,2,FALSE)</f>
        <v>I_Freighteff</v>
      </c>
      <c r="AR873" s="233" t="str">
        <f>VLOOKUP(Table8[[#This Row],[Country Code]],Table29[],3,FALSE)</f>
        <v>Non-Annex I</v>
      </c>
      <c r="AS873" s="233" t="str">
        <f>VLOOKUP(Table8[[#This Row],[Country Code]],Table29[],4,FALSE)</f>
        <v>Oceania</v>
      </c>
      <c r="AT873" s="233" t="str">
        <f>VLOOKUP(Table8[[#This Row],[Country Code]],Table29[],5,FALSE)</f>
        <v>Middle-income</v>
      </c>
      <c r="AU873" s="233" t="str">
        <f>VLOOKUP(Table8[[#This Row],[Country Code]],Table29[],6,FALSE)</f>
        <v>no</v>
      </c>
      <c r="AV873" s="233" t="str">
        <f>VLOOKUP(Table8[[#This Row],[Country Code]],Table29[],7,FALSE)</f>
        <v>no</v>
      </c>
      <c r="AW873" s="233" t="str">
        <f>VLOOKUP(Table8[[#This Row],[Country Code]],Table29[],8,FALSE)</f>
        <v>non-OECD</v>
      </c>
      <c r="AX873" s="233" t="str">
        <f>VLOOKUP(Table8[[#This Row],[Country Code]],Table29[],9,FALSE)</f>
        <v>no</v>
      </c>
      <c r="AY873" s="233" t="str">
        <f>VLOOKUP(Table8[[#This Row],[Country Code]],Table29[],10,FALSE)</f>
        <v>no</v>
      </c>
      <c r="AZ873" s="235">
        <f>VLOOKUP(Table8[[#This Row],[Country Code]],Table29[],23,FALSE)</f>
        <v>3.4009927758626</v>
      </c>
      <c r="BA873" s="235">
        <f>VLOOKUP(Table8[[#This Row],[Country Code]],Table29[],24,FALSE)</f>
        <v>1.126237744382208</v>
      </c>
      <c r="BB873" s="320"/>
      <c r="BC873" s="320"/>
    </row>
    <row r="874" spans="1:55" hidden="1" x14ac:dyDescent="0.25">
      <c r="A874" s="373">
        <v>17593</v>
      </c>
      <c r="B874" s="233" t="str">
        <f>VLOOKUP(Table8[[#This Row],[Document ID]],Table1[],2,FALSE)</f>
        <v>FJI</v>
      </c>
      <c r="C874" s="233" t="str">
        <f>VLOOKUP(Table8[[#This Row],[Document ID]],Table1[],3,FALSE)</f>
        <v>Fiji</v>
      </c>
      <c r="D874" s="243" t="str">
        <f>VLOOKUP(Table8[[#This Row],[Document ID]],Table1[],5,FALSE)</f>
        <v>LTS</v>
      </c>
      <c r="E874" s="233" t="str">
        <f>VLOOKUP(Table8[[#This Row],[Document ID]],Table1[],7,FALSE)</f>
        <v>LTS</v>
      </c>
      <c r="F874" s="233" t="str">
        <f>VLOOKUP(Table8[[#This Row],[Document ID]],Table1[],8,FALSE)</f>
        <v>LTS 1.0</v>
      </c>
      <c r="G874" s="233" t="str">
        <f>VLOOKUP(Table8[[#This Row],[Document ID]],Table1[],10,FALSE)</f>
        <v>Active</v>
      </c>
      <c r="H874" s="44" t="s">
        <v>2329</v>
      </c>
      <c r="I874" s="44" t="s">
        <v>2330</v>
      </c>
      <c r="J874" s="44" t="s">
        <v>2357</v>
      </c>
      <c r="K874" s="44" t="s">
        <v>3176</v>
      </c>
      <c r="L874" s="44" t="s">
        <v>2333</v>
      </c>
      <c r="M874" s="43">
        <v>91</v>
      </c>
      <c r="N874" s="113" t="s">
        <v>1113</v>
      </c>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319" t="s">
        <v>1113</v>
      </c>
      <c r="AL874" s="113"/>
      <c r="AM874" s="113"/>
      <c r="AN874" s="113"/>
      <c r="AO874" s="44" t="s">
        <v>2334</v>
      </c>
      <c r="AP874" s="44"/>
      <c r="AQ874" s="236" t="str">
        <f>VLOOKUP(Table8[[#This Row],[Instrument]],Def_Targets!$D$73:$E$159,2,FALSE)</f>
        <v>I_Biofuel</v>
      </c>
      <c r="AR874" s="233" t="str">
        <f>VLOOKUP(Table8[[#This Row],[Country Code]],Table29[],3,FALSE)</f>
        <v>Non-Annex I</v>
      </c>
      <c r="AS874" s="233" t="str">
        <f>VLOOKUP(Table8[[#This Row],[Country Code]],Table29[],4,FALSE)</f>
        <v>Oceania</v>
      </c>
      <c r="AT874" s="233" t="str">
        <f>VLOOKUP(Table8[[#This Row],[Country Code]],Table29[],5,FALSE)</f>
        <v>Middle-income</v>
      </c>
      <c r="AU874" s="233" t="str">
        <f>VLOOKUP(Table8[[#This Row],[Country Code]],Table29[],6,FALSE)</f>
        <v>no</v>
      </c>
      <c r="AV874" s="233" t="str">
        <f>VLOOKUP(Table8[[#This Row],[Country Code]],Table29[],7,FALSE)</f>
        <v>no</v>
      </c>
      <c r="AW874" s="233" t="str">
        <f>VLOOKUP(Table8[[#This Row],[Country Code]],Table29[],8,FALSE)</f>
        <v>non-OECD</v>
      </c>
      <c r="AX874" s="233" t="str">
        <f>VLOOKUP(Table8[[#This Row],[Country Code]],Table29[],9,FALSE)</f>
        <v>no</v>
      </c>
      <c r="AY874" s="233" t="str">
        <f>VLOOKUP(Table8[[#This Row],[Country Code]],Table29[],10,FALSE)</f>
        <v>no</v>
      </c>
      <c r="AZ874" s="235">
        <f>VLOOKUP(Table8[[#This Row],[Country Code]],Table29[],23,FALSE)</f>
        <v>3.4009927758626</v>
      </c>
      <c r="BA874" s="235">
        <f>VLOOKUP(Table8[[#This Row],[Country Code]],Table29[],24,FALSE)</f>
        <v>1.126237744382208</v>
      </c>
      <c r="BB874" s="320"/>
      <c r="BC874" s="320"/>
    </row>
    <row r="875" spans="1:55" ht="60" hidden="1" x14ac:dyDescent="0.25">
      <c r="A875" s="373">
        <v>17593</v>
      </c>
      <c r="B875" s="233" t="str">
        <f>VLOOKUP(Table8[[#This Row],[Document ID]],Table1[],2,FALSE)</f>
        <v>FJI</v>
      </c>
      <c r="C875" s="233" t="str">
        <f>VLOOKUP(Table8[[#This Row],[Document ID]],Table1[],3,FALSE)</f>
        <v>Fiji</v>
      </c>
      <c r="D875" s="243" t="str">
        <f>VLOOKUP(Table8[[#This Row],[Document ID]],Table1[],5,FALSE)</f>
        <v>LTS</v>
      </c>
      <c r="E875" s="233" t="str">
        <f>VLOOKUP(Table8[[#This Row],[Document ID]],Table1[],7,FALSE)</f>
        <v>LTS</v>
      </c>
      <c r="F875" s="233" t="str">
        <f>VLOOKUP(Table8[[#This Row],[Document ID]],Table1[],8,FALSE)</f>
        <v>LTS 1.0</v>
      </c>
      <c r="G875" s="233" t="str">
        <f>VLOOKUP(Table8[[#This Row],[Document ID]],Table1[],10,FALSE)</f>
        <v>Active</v>
      </c>
      <c r="H875" s="43" t="s">
        <v>2484</v>
      </c>
      <c r="I875" s="43" t="s">
        <v>2485</v>
      </c>
      <c r="J875" s="44" t="s">
        <v>2486</v>
      </c>
      <c r="K875" s="44" t="s">
        <v>3177</v>
      </c>
      <c r="L875" s="44" t="s">
        <v>2333</v>
      </c>
      <c r="M875" s="43">
        <v>222</v>
      </c>
      <c r="N875" s="113"/>
      <c r="O875" s="113"/>
      <c r="P875" s="113"/>
      <c r="Q875" s="113"/>
      <c r="R875" s="113"/>
      <c r="S875" s="113"/>
      <c r="T875" s="113"/>
      <c r="U875" s="113"/>
      <c r="V875" s="113"/>
      <c r="W875" s="113"/>
      <c r="X875" s="113"/>
      <c r="Y875" s="113"/>
      <c r="Z875" s="113"/>
      <c r="AA875" s="113"/>
      <c r="AB875" s="113"/>
      <c r="AC875" s="113"/>
      <c r="AD875" s="113" t="s">
        <v>1113</v>
      </c>
      <c r="AE875" s="113"/>
      <c r="AF875" s="113"/>
      <c r="AG875" s="113"/>
      <c r="AH875" s="113"/>
      <c r="AI875" s="113"/>
      <c r="AJ875" s="113"/>
      <c r="AK875" s="319" t="s">
        <v>1113</v>
      </c>
      <c r="AL875" s="113"/>
      <c r="AM875" s="113"/>
      <c r="AN875" s="113"/>
      <c r="AO875" s="44" t="s">
        <v>2334</v>
      </c>
      <c r="AP875" s="44"/>
      <c r="AQ875" s="236" t="str">
        <f>VLOOKUP(Table8[[#This Row],[Instrument]],Def_Targets!$D$73:$E$159,2,FALSE)</f>
        <v>I_Shipping</v>
      </c>
      <c r="AR875" s="233" t="str">
        <f>VLOOKUP(Table8[[#This Row],[Country Code]],Table29[],3,FALSE)</f>
        <v>Non-Annex I</v>
      </c>
      <c r="AS875" s="233" t="str">
        <f>VLOOKUP(Table8[[#This Row],[Country Code]],Table29[],4,FALSE)</f>
        <v>Oceania</v>
      </c>
      <c r="AT875" s="233" t="str">
        <f>VLOOKUP(Table8[[#This Row],[Country Code]],Table29[],5,FALSE)</f>
        <v>Middle-income</v>
      </c>
      <c r="AU875" s="233" t="str">
        <f>VLOOKUP(Table8[[#This Row],[Country Code]],Table29[],6,FALSE)</f>
        <v>no</v>
      </c>
      <c r="AV875" s="233" t="str">
        <f>VLOOKUP(Table8[[#This Row],[Country Code]],Table29[],7,FALSE)</f>
        <v>no</v>
      </c>
      <c r="AW875" s="233" t="str">
        <f>VLOOKUP(Table8[[#This Row],[Country Code]],Table29[],8,FALSE)</f>
        <v>non-OECD</v>
      </c>
      <c r="AX875" s="233" t="str">
        <f>VLOOKUP(Table8[[#This Row],[Country Code]],Table29[],9,FALSE)</f>
        <v>no</v>
      </c>
      <c r="AY875" s="233" t="str">
        <f>VLOOKUP(Table8[[#This Row],[Country Code]],Table29[],10,FALSE)</f>
        <v>no</v>
      </c>
      <c r="AZ875" s="235">
        <f>VLOOKUP(Table8[[#This Row],[Country Code]],Table29[],23,FALSE)</f>
        <v>3.4009927758626</v>
      </c>
      <c r="BA875" s="235">
        <f>VLOOKUP(Table8[[#This Row],[Country Code]],Table29[],24,FALSE)</f>
        <v>1.126237744382208</v>
      </c>
      <c r="BB875" s="320"/>
      <c r="BC875" s="320"/>
    </row>
    <row r="876" spans="1:55" ht="30" hidden="1" x14ac:dyDescent="0.25">
      <c r="A876" s="373">
        <v>17593</v>
      </c>
      <c r="B876" s="233" t="str">
        <f>VLOOKUP(Table8[[#This Row],[Document ID]],Table1[],2,FALSE)</f>
        <v>FJI</v>
      </c>
      <c r="C876" s="233" t="str">
        <f>VLOOKUP(Table8[[#This Row],[Document ID]],Table1[],3,FALSE)</f>
        <v>Fiji</v>
      </c>
      <c r="D876" s="243" t="str">
        <f>VLOOKUP(Table8[[#This Row],[Document ID]],Table1[],5,FALSE)</f>
        <v>LTS</v>
      </c>
      <c r="E876" s="233" t="str">
        <f>VLOOKUP(Table8[[#This Row],[Document ID]],Table1[],7,FALSE)</f>
        <v>LTS</v>
      </c>
      <c r="F876" s="233" t="str">
        <f>VLOOKUP(Table8[[#This Row],[Document ID]],Table1[],8,FALSE)</f>
        <v>LTS 1.0</v>
      </c>
      <c r="G876" s="233" t="str">
        <f>VLOOKUP(Table8[[#This Row],[Document ID]],Table1[],10,FALSE)</f>
        <v>Active</v>
      </c>
      <c r="H876" s="43" t="s">
        <v>2343</v>
      </c>
      <c r="I876" s="43" t="s">
        <v>2429</v>
      </c>
      <c r="J876" s="44" t="s">
        <v>2610</v>
      </c>
      <c r="K876" s="44" t="s">
        <v>3178</v>
      </c>
      <c r="L876" s="44" t="s">
        <v>2373</v>
      </c>
      <c r="M876" s="43">
        <v>222</v>
      </c>
      <c r="N876" s="113"/>
      <c r="O876" s="113"/>
      <c r="P876" s="113"/>
      <c r="Q876" s="113"/>
      <c r="R876" s="113"/>
      <c r="S876" s="113"/>
      <c r="T876" s="113"/>
      <c r="U876" s="113"/>
      <c r="V876" s="113"/>
      <c r="W876" s="113"/>
      <c r="X876" s="113"/>
      <c r="Y876" s="113"/>
      <c r="Z876" s="113"/>
      <c r="AA876" s="113"/>
      <c r="AB876" s="113"/>
      <c r="AC876" s="113"/>
      <c r="AD876" s="113" t="s">
        <v>1113</v>
      </c>
      <c r="AE876" s="113"/>
      <c r="AF876" s="113"/>
      <c r="AG876" s="113"/>
      <c r="AH876" s="113"/>
      <c r="AI876" s="113"/>
      <c r="AJ876" s="113"/>
      <c r="AK876" s="319" t="s">
        <v>1113</v>
      </c>
      <c r="AL876" s="113"/>
      <c r="AM876" s="113"/>
      <c r="AN876" s="113"/>
      <c r="AO876" s="44" t="s">
        <v>2334</v>
      </c>
      <c r="AP876" s="44"/>
      <c r="AQ876" s="236" t="e">
        <f>VLOOKUP(Table8[[#This Row],[Instrument]],Def_Targets!$D$73:$E$159,2,FALSE)</f>
        <v>#N/A</v>
      </c>
      <c r="AR876" s="233" t="str">
        <f>VLOOKUP(Table8[[#This Row],[Country Code]],Table29[],3,FALSE)</f>
        <v>Non-Annex I</v>
      </c>
      <c r="AS876" s="233" t="str">
        <f>VLOOKUP(Table8[[#This Row],[Country Code]],Table29[],4,FALSE)</f>
        <v>Oceania</v>
      </c>
      <c r="AT876" s="233" t="str">
        <f>VLOOKUP(Table8[[#This Row],[Country Code]],Table29[],5,FALSE)</f>
        <v>Middle-income</v>
      </c>
      <c r="AU876" s="233" t="str">
        <f>VLOOKUP(Table8[[#This Row],[Country Code]],Table29[],6,FALSE)</f>
        <v>no</v>
      </c>
      <c r="AV876" s="233" t="str">
        <f>VLOOKUP(Table8[[#This Row],[Country Code]],Table29[],7,FALSE)</f>
        <v>no</v>
      </c>
      <c r="AW876" s="233" t="str">
        <f>VLOOKUP(Table8[[#This Row],[Country Code]],Table29[],8,FALSE)</f>
        <v>non-OECD</v>
      </c>
      <c r="AX876" s="233" t="str">
        <f>VLOOKUP(Table8[[#This Row],[Country Code]],Table29[],9,FALSE)</f>
        <v>no</v>
      </c>
      <c r="AY876" s="233" t="str">
        <f>VLOOKUP(Table8[[#This Row],[Country Code]],Table29[],10,FALSE)</f>
        <v>no</v>
      </c>
      <c r="AZ876" s="235">
        <f>VLOOKUP(Table8[[#This Row],[Country Code]],Table29[],23,FALSE)</f>
        <v>3.4009927758626</v>
      </c>
      <c r="BA876" s="235">
        <f>VLOOKUP(Table8[[#This Row],[Country Code]],Table29[],24,FALSE)</f>
        <v>1.126237744382208</v>
      </c>
      <c r="BB876" s="320"/>
      <c r="BC876" s="320"/>
    </row>
    <row r="877" spans="1:55" ht="45" hidden="1" x14ac:dyDescent="0.25">
      <c r="A877" s="373">
        <v>17593</v>
      </c>
      <c r="B877" s="233" t="str">
        <f>VLOOKUP(Table8[[#This Row],[Document ID]],Table1[],2,FALSE)</f>
        <v>FJI</v>
      </c>
      <c r="C877" s="233" t="str">
        <f>VLOOKUP(Table8[[#This Row],[Document ID]],Table1[],3,FALSE)</f>
        <v>Fiji</v>
      </c>
      <c r="D877" s="243" t="str">
        <f>VLOOKUP(Table8[[#This Row],[Document ID]],Table1[],5,FALSE)</f>
        <v>LTS</v>
      </c>
      <c r="E877" s="233" t="str">
        <f>VLOOKUP(Table8[[#This Row],[Document ID]],Table1[],7,FALSE)</f>
        <v>LTS</v>
      </c>
      <c r="F877" s="233" t="str">
        <f>VLOOKUP(Table8[[#This Row],[Document ID]],Table1[],8,FALSE)</f>
        <v>LTS 1.0</v>
      </c>
      <c r="G877" s="233" t="str">
        <f>VLOOKUP(Table8[[#This Row],[Document ID]],Table1[],10,FALSE)</f>
        <v>Active</v>
      </c>
      <c r="H877" s="43" t="s">
        <v>2484</v>
      </c>
      <c r="I877" s="43" t="s">
        <v>2485</v>
      </c>
      <c r="J877" s="44" t="s">
        <v>2669</v>
      </c>
      <c r="K877" s="44" t="s">
        <v>3179</v>
      </c>
      <c r="L877" s="44" t="s">
        <v>2333</v>
      </c>
      <c r="M877" s="43">
        <v>222</v>
      </c>
      <c r="N877" s="113"/>
      <c r="O877" s="113"/>
      <c r="P877" s="113"/>
      <c r="Q877" s="113"/>
      <c r="R877" s="113"/>
      <c r="S877" s="113"/>
      <c r="T877" s="113"/>
      <c r="U877" s="113"/>
      <c r="V877" s="113"/>
      <c r="W877" s="113"/>
      <c r="X877" s="113"/>
      <c r="Y877" s="113"/>
      <c r="Z877" s="113"/>
      <c r="AA877" s="113"/>
      <c r="AB877" s="113"/>
      <c r="AC877" s="113"/>
      <c r="AD877" s="113" t="s">
        <v>1113</v>
      </c>
      <c r="AE877" s="113"/>
      <c r="AF877" s="113"/>
      <c r="AG877" s="113"/>
      <c r="AH877" s="113"/>
      <c r="AI877" s="113"/>
      <c r="AJ877" s="113"/>
      <c r="AK877" s="319" t="s">
        <v>1113</v>
      </c>
      <c r="AL877" s="113"/>
      <c r="AM877" s="113"/>
      <c r="AN877" s="113"/>
      <c r="AO877" s="44" t="s">
        <v>2334</v>
      </c>
      <c r="AP877" s="44"/>
      <c r="AQ877" s="236" t="str">
        <f>VLOOKUP(Table8[[#This Row],[Instrument]],Def_Targets!$D$73:$E$159,2,FALSE)</f>
        <v>I_Shipefficiency</v>
      </c>
      <c r="AR877" s="233" t="str">
        <f>VLOOKUP(Table8[[#This Row],[Country Code]],Table29[],3,FALSE)</f>
        <v>Non-Annex I</v>
      </c>
      <c r="AS877" s="233" t="str">
        <f>VLOOKUP(Table8[[#This Row],[Country Code]],Table29[],4,FALSE)</f>
        <v>Oceania</v>
      </c>
      <c r="AT877" s="233" t="str">
        <f>VLOOKUP(Table8[[#This Row],[Country Code]],Table29[],5,FALSE)</f>
        <v>Middle-income</v>
      </c>
      <c r="AU877" s="233" t="str">
        <f>VLOOKUP(Table8[[#This Row],[Country Code]],Table29[],6,FALSE)</f>
        <v>no</v>
      </c>
      <c r="AV877" s="233" t="str">
        <f>VLOOKUP(Table8[[#This Row],[Country Code]],Table29[],7,FALSE)</f>
        <v>no</v>
      </c>
      <c r="AW877" s="233" t="str">
        <f>VLOOKUP(Table8[[#This Row],[Country Code]],Table29[],8,FALSE)</f>
        <v>non-OECD</v>
      </c>
      <c r="AX877" s="233" t="str">
        <f>VLOOKUP(Table8[[#This Row],[Country Code]],Table29[],9,FALSE)</f>
        <v>no</v>
      </c>
      <c r="AY877" s="233" t="str">
        <f>VLOOKUP(Table8[[#This Row],[Country Code]],Table29[],10,FALSE)</f>
        <v>no</v>
      </c>
      <c r="AZ877" s="235">
        <f>VLOOKUP(Table8[[#This Row],[Country Code]],Table29[],23,FALSE)</f>
        <v>3.4009927758626</v>
      </c>
      <c r="BA877" s="235">
        <f>VLOOKUP(Table8[[#This Row],[Country Code]],Table29[],24,FALSE)</f>
        <v>1.126237744382208</v>
      </c>
      <c r="BB877" s="320"/>
      <c r="BC877" s="320"/>
    </row>
    <row r="878" spans="1:55" ht="45" hidden="1" x14ac:dyDescent="0.25">
      <c r="A878" s="373">
        <v>17593</v>
      </c>
      <c r="B878" s="233" t="str">
        <f>VLOOKUP(Table8[[#This Row],[Document ID]],Table1[],2,FALSE)</f>
        <v>FJI</v>
      </c>
      <c r="C878" s="233" t="str">
        <f>VLOOKUP(Table8[[#This Row],[Document ID]],Table1[],3,FALSE)</f>
        <v>Fiji</v>
      </c>
      <c r="D878" s="243" t="str">
        <f>VLOOKUP(Table8[[#This Row],[Document ID]],Table1[],5,FALSE)</f>
        <v>LTS</v>
      </c>
      <c r="E878" s="233" t="str">
        <f>VLOOKUP(Table8[[#This Row],[Document ID]],Table1[],7,FALSE)</f>
        <v>LTS</v>
      </c>
      <c r="F878" s="233" t="str">
        <f>VLOOKUP(Table8[[#This Row],[Document ID]],Table1[],8,FALSE)</f>
        <v>LTS 1.0</v>
      </c>
      <c r="G878" s="233" t="str">
        <f>VLOOKUP(Table8[[#This Row],[Document ID]],Table1[],10,FALSE)</f>
        <v>Active</v>
      </c>
      <c r="H878" s="43" t="s">
        <v>2350</v>
      </c>
      <c r="I878" s="43" t="s">
        <v>2407</v>
      </c>
      <c r="J878" s="44" t="s">
        <v>2408</v>
      </c>
      <c r="K878" s="44" t="s">
        <v>3180</v>
      </c>
      <c r="L878" s="44" t="s">
        <v>2333</v>
      </c>
      <c r="M878" s="43">
        <v>222</v>
      </c>
      <c r="N878" s="113"/>
      <c r="O878" s="113"/>
      <c r="P878" s="113"/>
      <c r="Q878" s="113"/>
      <c r="R878" s="113"/>
      <c r="S878" s="113"/>
      <c r="T878" s="113"/>
      <c r="U878" s="113"/>
      <c r="V878" s="113"/>
      <c r="W878" s="113"/>
      <c r="X878" s="113"/>
      <c r="Y878" s="113"/>
      <c r="Z878" s="113"/>
      <c r="AA878" s="113"/>
      <c r="AB878" s="113"/>
      <c r="AC878" s="113"/>
      <c r="AD878" s="113" t="s">
        <v>1113</v>
      </c>
      <c r="AE878" s="113"/>
      <c r="AF878" s="113"/>
      <c r="AG878" s="113"/>
      <c r="AH878" s="113"/>
      <c r="AI878" s="113"/>
      <c r="AJ878" s="113"/>
      <c r="AK878" s="319" t="s">
        <v>1113</v>
      </c>
      <c r="AL878" s="113"/>
      <c r="AM878" s="113"/>
      <c r="AN878" s="113"/>
      <c r="AO878" s="44" t="s">
        <v>2334</v>
      </c>
      <c r="AP878" s="44"/>
      <c r="AQ878" s="236" t="str">
        <f>VLOOKUP(Table8[[#This Row],[Instrument]],Def_Targets!$D$73:$E$159,2,FALSE)</f>
        <v>I_Education</v>
      </c>
      <c r="AR878" s="233" t="str">
        <f>VLOOKUP(Table8[[#This Row],[Country Code]],Table29[],3,FALSE)</f>
        <v>Non-Annex I</v>
      </c>
      <c r="AS878" s="233" t="str">
        <f>VLOOKUP(Table8[[#This Row],[Country Code]],Table29[],4,FALSE)</f>
        <v>Oceania</v>
      </c>
      <c r="AT878" s="233" t="str">
        <f>VLOOKUP(Table8[[#This Row],[Country Code]],Table29[],5,FALSE)</f>
        <v>Middle-income</v>
      </c>
      <c r="AU878" s="233" t="str">
        <f>VLOOKUP(Table8[[#This Row],[Country Code]],Table29[],6,FALSE)</f>
        <v>no</v>
      </c>
      <c r="AV878" s="233" t="str">
        <f>VLOOKUP(Table8[[#This Row],[Country Code]],Table29[],7,FALSE)</f>
        <v>no</v>
      </c>
      <c r="AW878" s="233" t="str">
        <f>VLOOKUP(Table8[[#This Row],[Country Code]],Table29[],8,FALSE)</f>
        <v>non-OECD</v>
      </c>
      <c r="AX878" s="233" t="str">
        <f>VLOOKUP(Table8[[#This Row],[Country Code]],Table29[],9,FALSE)</f>
        <v>no</v>
      </c>
      <c r="AY878" s="233" t="str">
        <f>VLOOKUP(Table8[[#This Row],[Country Code]],Table29[],10,FALSE)</f>
        <v>no</v>
      </c>
      <c r="AZ878" s="235">
        <f>VLOOKUP(Table8[[#This Row],[Country Code]],Table29[],23,FALSE)</f>
        <v>3.4009927758626</v>
      </c>
      <c r="BA878" s="235">
        <f>VLOOKUP(Table8[[#This Row],[Country Code]],Table29[],24,FALSE)</f>
        <v>1.126237744382208</v>
      </c>
      <c r="BB878" s="320"/>
      <c r="BC878" s="320"/>
    </row>
    <row r="879" spans="1:55" ht="30" hidden="1" x14ac:dyDescent="0.25">
      <c r="A879" s="373">
        <v>17601</v>
      </c>
      <c r="B879" s="233" t="str">
        <f>VLOOKUP(Table8[[#This Row],[Document ID]],Table1[],2,FALSE)</f>
        <v>GEO</v>
      </c>
      <c r="C879" s="233" t="str">
        <f>VLOOKUP(Table8[[#This Row],[Document ID]],Table1[],3,FALSE)</f>
        <v>Georgia</v>
      </c>
      <c r="D879" s="243" t="str">
        <f>VLOOKUP(Table8[[#This Row],[Document ID]],Table1[],5,FALSE)</f>
        <v>NDC</v>
      </c>
      <c r="E879" s="233" t="str">
        <f>VLOOKUP(Table8[[#This Row],[Document ID]],Table1[],7,FALSE)</f>
        <v>First NDC</v>
      </c>
      <c r="F879" s="236" t="str">
        <f>VLOOKUP(Table8[[#This Row],[Document ID]],Table1[],8,FALSE)</f>
        <v>NDC 1.0</v>
      </c>
      <c r="G879" s="236" t="str">
        <f>VLOOKUP(Table8[[#This Row],[Document ID]],Table1[],10,FALSE)</f>
        <v>Archived</v>
      </c>
      <c r="H879" s="43" t="s">
        <v>2350</v>
      </c>
      <c r="I879" s="43" t="s">
        <v>2370</v>
      </c>
      <c r="J879" s="44" t="s">
        <v>2418</v>
      </c>
      <c r="K879" s="44" t="s">
        <v>3181</v>
      </c>
      <c r="L879" s="44" t="s">
        <v>2373</v>
      </c>
      <c r="M879" s="43"/>
      <c r="N879" s="113" t="s">
        <v>1113</v>
      </c>
      <c r="O879" s="113"/>
      <c r="P879" s="113"/>
      <c r="Q879" s="319"/>
      <c r="R879" s="319"/>
      <c r="S879" s="319"/>
      <c r="T879" s="319"/>
      <c r="U879" s="319"/>
      <c r="V879" s="319"/>
      <c r="W879" s="319"/>
      <c r="X879" s="319"/>
      <c r="Y879" s="319"/>
      <c r="Z879" s="319"/>
      <c r="AA879" s="319"/>
      <c r="AB879" s="319"/>
      <c r="AC879" s="319"/>
      <c r="AD879" s="319"/>
      <c r="AE879" s="319"/>
      <c r="AF879" s="319"/>
      <c r="AG879" s="319"/>
      <c r="AH879" s="319"/>
      <c r="AI879" s="319"/>
      <c r="AJ879" s="319"/>
      <c r="AK879" s="319"/>
      <c r="AL879" s="113" t="s">
        <v>1113</v>
      </c>
      <c r="AM879" s="319"/>
      <c r="AN879" s="319"/>
      <c r="AO879" s="44" t="s">
        <v>2334</v>
      </c>
      <c r="AP879" s="44"/>
      <c r="AQ879" s="236" t="str">
        <f>VLOOKUP(Table8[[#This Row],[Instrument]],Def_Targets!$D$73:$E$159,2,FALSE)</f>
        <v>A_Complan</v>
      </c>
      <c r="AR879" s="233" t="str">
        <f>VLOOKUP(Table8[[#This Row],[Country Code]],Table29[],3,FALSE)</f>
        <v>Non-Annex I</v>
      </c>
      <c r="AS879" s="233" t="str">
        <f>VLOOKUP(Table8[[#This Row],[Country Code]],Table29[],4,FALSE)</f>
        <v>Asia</v>
      </c>
      <c r="AT879" s="233" t="str">
        <f>VLOOKUP(Table8[[#This Row],[Country Code]],Table29[],5,FALSE)</f>
        <v>Middle-income</v>
      </c>
      <c r="AU879" s="233" t="str">
        <f>VLOOKUP(Table8[[#This Row],[Country Code]],Table29[],6,FALSE)</f>
        <v>no</v>
      </c>
      <c r="AV879" s="233" t="str">
        <f>VLOOKUP(Table8[[#This Row],[Country Code]],Table29[],7,FALSE)</f>
        <v>no</v>
      </c>
      <c r="AW879" s="233" t="str">
        <f>VLOOKUP(Table8[[#This Row],[Country Code]],Table29[],8,FALSE)</f>
        <v>non-OECD</v>
      </c>
      <c r="AX879" s="233" t="str">
        <f>VLOOKUP(Table8[[#This Row],[Country Code]],Table29[],9,FALSE)</f>
        <v>no</v>
      </c>
      <c r="AY879" s="233" t="str">
        <f>VLOOKUP(Table8[[#This Row],[Country Code]],Table29[],10,FALSE)</f>
        <v>no</v>
      </c>
      <c r="AZ879" s="235">
        <f>VLOOKUP(Table8[[#This Row],[Country Code]],Table29[],23,FALSE)</f>
        <v>19.049153820466</v>
      </c>
      <c r="BA879" s="235">
        <f>VLOOKUP(Table8[[#This Row],[Country Code]],Table29[],24,FALSE)</f>
        <v>4.506874760733476</v>
      </c>
      <c r="BB879" s="320"/>
      <c r="BC879" s="320"/>
    </row>
    <row r="880" spans="1:55" ht="45" hidden="1" x14ac:dyDescent="0.25">
      <c r="A880" s="373">
        <v>17593</v>
      </c>
      <c r="B880" s="233" t="str">
        <f>VLOOKUP(Table8[[#This Row],[Document ID]],Table1[],2,FALSE)</f>
        <v>FJI</v>
      </c>
      <c r="C880" s="233" t="str">
        <f>VLOOKUP(Table8[[#This Row],[Document ID]],Table1[],3,FALSE)</f>
        <v>Fiji</v>
      </c>
      <c r="D880" s="243" t="str">
        <f>VLOOKUP(Table8[[#This Row],[Document ID]],Table1[],5,FALSE)</f>
        <v>LTS</v>
      </c>
      <c r="E880" s="233" t="str">
        <f>VLOOKUP(Table8[[#This Row],[Document ID]],Table1[],7,FALSE)</f>
        <v>LTS</v>
      </c>
      <c r="F880" s="233" t="str">
        <f>VLOOKUP(Table8[[#This Row],[Document ID]],Table1[],8,FALSE)</f>
        <v>LTS 1.0</v>
      </c>
      <c r="G880" s="233" t="str">
        <f>VLOOKUP(Table8[[#This Row],[Document ID]],Table1[],10,FALSE)</f>
        <v>Active</v>
      </c>
      <c r="H880" s="43" t="s">
        <v>2484</v>
      </c>
      <c r="I880" s="43" t="s">
        <v>2485</v>
      </c>
      <c r="J880" s="44" t="s">
        <v>2486</v>
      </c>
      <c r="K880" s="44" t="s">
        <v>3182</v>
      </c>
      <c r="L880" s="44" t="s">
        <v>2333</v>
      </c>
      <c r="M880" s="43">
        <v>222</v>
      </c>
      <c r="N880" s="113"/>
      <c r="O880" s="113"/>
      <c r="P880" s="113"/>
      <c r="Q880" s="113"/>
      <c r="R880" s="113"/>
      <c r="S880" s="113"/>
      <c r="T880" s="113"/>
      <c r="U880" s="113"/>
      <c r="V880" s="113"/>
      <c r="W880" s="113"/>
      <c r="X880" s="113"/>
      <c r="Y880" s="113"/>
      <c r="Z880" s="113"/>
      <c r="AA880" s="113"/>
      <c r="AB880" s="113"/>
      <c r="AC880" s="113"/>
      <c r="AD880" s="113" t="s">
        <v>1113</v>
      </c>
      <c r="AE880" s="113"/>
      <c r="AF880" s="113"/>
      <c r="AG880" s="113"/>
      <c r="AH880" s="113"/>
      <c r="AI880" s="113"/>
      <c r="AJ880" s="113"/>
      <c r="AK880" s="319" t="s">
        <v>1113</v>
      </c>
      <c r="AL880" s="113"/>
      <c r="AM880" s="113"/>
      <c r="AN880" s="113"/>
      <c r="AO880" s="44" t="s">
        <v>2334</v>
      </c>
      <c r="AP880" s="44"/>
      <c r="AQ880" s="236" t="str">
        <f>VLOOKUP(Table8[[#This Row],[Instrument]],Def_Targets!$D$73:$E$159,2,FALSE)</f>
        <v>I_Shipping</v>
      </c>
      <c r="AR880" s="233" t="str">
        <f>VLOOKUP(Table8[[#This Row],[Country Code]],Table29[],3,FALSE)</f>
        <v>Non-Annex I</v>
      </c>
      <c r="AS880" s="233" t="str">
        <f>VLOOKUP(Table8[[#This Row],[Country Code]],Table29[],4,FALSE)</f>
        <v>Oceania</v>
      </c>
      <c r="AT880" s="233" t="str">
        <f>VLOOKUP(Table8[[#This Row],[Country Code]],Table29[],5,FALSE)</f>
        <v>Middle-income</v>
      </c>
      <c r="AU880" s="233" t="str">
        <f>VLOOKUP(Table8[[#This Row],[Country Code]],Table29[],6,FALSE)</f>
        <v>no</v>
      </c>
      <c r="AV880" s="233" t="str">
        <f>VLOOKUP(Table8[[#This Row],[Country Code]],Table29[],7,FALSE)</f>
        <v>no</v>
      </c>
      <c r="AW880" s="233" t="str">
        <f>VLOOKUP(Table8[[#This Row],[Country Code]],Table29[],8,FALSE)</f>
        <v>non-OECD</v>
      </c>
      <c r="AX880" s="233" t="str">
        <f>VLOOKUP(Table8[[#This Row],[Country Code]],Table29[],9,FALSE)</f>
        <v>no</v>
      </c>
      <c r="AY880" s="233" t="str">
        <f>VLOOKUP(Table8[[#This Row],[Country Code]],Table29[],10,FALSE)</f>
        <v>no</v>
      </c>
      <c r="AZ880" s="235">
        <f>VLOOKUP(Table8[[#This Row],[Country Code]],Table29[],23,FALSE)</f>
        <v>3.4009927758626</v>
      </c>
      <c r="BA880" s="235">
        <f>VLOOKUP(Table8[[#This Row],[Country Code]],Table29[],24,FALSE)</f>
        <v>1.126237744382208</v>
      </c>
      <c r="BB880" s="320"/>
      <c r="BC880" s="320"/>
    </row>
    <row r="881" spans="1:55" ht="90" hidden="1" x14ac:dyDescent="0.25">
      <c r="A881" s="373">
        <v>17593</v>
      </c>
      <c r="B881" s="233" t="str">
        <f>VLOOKUP(Table8[[#This Row],[Document ID]],Table1[],2,FALSE)</f>
        <v>FJI</v>
      </c>
      <c r="C881" s="233" t="str">
        <f>VLOOKUP(Table8[[#This Row],[Document ID]],Table1[],3,FALSE)</f>
        <v>Fiji</v>
      </c>
      <c r="D881" s="243" t="str">
        <f>VLOOKUP(Table8[[#This Row],[Document ID]],Table1[],5,FALSE)</f>
        <v>LTS</v>
      </c>
      <c r="E881" s="233" t="str">
        <f>VLOOKUP(Table8[[#This Row],[Document ID]],Table1[],7,FALSE)</f>
        <v>LTS</v>
      </c>
      <c r="F881" s="233" t="str">
        <f>VLOOKUP(Table8[[#This Row],[Document ID]],Table1[],8,FALSE)</f>
        <v>LTS 1.0</v>
      </c>
      <c r="G881" s="233" t="str">
        <f>VLOOKUP(Table8[[#This Row],[Document ID]],Table1[],10,FALSE)</f>
        <v>Active</v>
      </c>
      <c r="H881" s="43" t="s">
        <v>2484</v>
      </c>
      <c r="I881" s="43" t="s">
        <v>2485</v>
      </c>
      <c r="J881" s="44" t="s">
        <v>2486</v>
      </c>
      <c r="K881" s="44" t="s">
        <v>3183</v>
      </c>
      <c r="L881" s="44" t="s">
        <v>2333</v>
      </c>
      <c r="M881" s="43">
        <v>222</v>
      </c>
      <c r="N881" s="113"/>
      <c r="O881" s="113"/>
      <c r="P881" s="113"/>
      <c r="Q881" s="113"/>
      <c r="R881" s="113"/>
      <c r="S881" s="113"/>
      <c r="T881" s="113"/>
      <c r="U881" s="113"/>
      <c r="V881" s="113"/>
      <c r="W881" s="113"/>
      <c r="X881" s="113"/>
      <c r="Y881" s="113"/>
      <c r="Z881" s="113"/>
      <c r="AA881" s="113"/>
      <c r="AB881" s="113"/>
      <c r="AC881" s="113"/>
      <c r="AD881" s="113" t="s">
        <v>1113</v>
      </c>
      <c r="AE881" s="113"/>
      <c r="AF881" s="113"/>
      <c r="AG881" s="113"/>
      <c r="AH881" s="113"/>
      <c r="AI881" s="113"/>
      <c r="AJ881" s="113"/>
      <c r="AK881" s="319" t="s">
        <v>1113</v>
      </c>
      <c r="AL881" s="113"/>
      <c r="AM881" s="113"/>
      <c r="AN881" s="113"/>
      <c r="AO881" s="44" t="s">
        <v>2334</v>
      </c>
      <c r="AP881" s="44"/>
      <c r="AQ881" s="236" t="str">
        <f>VLOOKUP(Table8[[#This Row],[Instrument]],Def_Targets!$D$73:$E$159,2,FALSE)</f>
        <v>I_Shipping</v>
      </c>
      <c r="AR881" s="233" t="str">
        <f>VLOOKUP(Table8[[#This Row],[Country Code]],Table29[],3,FALSE)</f>
        <v>Non-Annex I</v>
      </c>
      <c r="AS881" s="233" t="str">
        <f>VLOOKUP(Table8[[#This Row],[Country Code]],Table29[],4,FALSE)</f>
        <v>Oceania</v>
      </c>
      <c r="AT881" s="233" t="str">
        <f>VLOOKUP(Table8[[#This Row],[Country Code]],Table29[],5,FALSE)</f>
        <v>Middle-income</v>
      </c>
      <c r="AU881" s="233" t="str">
        <f>VLOOKUP(Table8[[#This Row],[Country Code]],Table29[],6,FALSE)</f>
        <v>no</v>
      </c>
      <c r="AV881" s="233" t="str">
        <f>VLOOKUP(Table8[[#This Row],[Country Code]],Table29[],7,FALSE)</f>
        <v>no</v>
      </c>
      <c r="AW881" s="233" t="str">
        <f>VLOOKUP(Table8[[#This Row],[Country Code]],Table29[],8,FALSE)</f>
        <v>non-OECD</v>
      </c>
      <c r="AX881" s="233" t="str">
        <f>VLOOKUP(Table8[[#This Row],[Country Code]],Table29[],9,FALSE)</f>
        <v>no</v>
      </c>
      <c r="AY881" s="233" t="str">
        <f>VLOOKUP(Table8[[#This Row],[Country Code]],Table29[],10,FALSE)</f>
        <v>no</v>
      </c>
      <c r="AZ881" s="235">
        <f>VLOOKUP(Table8[[#This Row],[Country Code]],Table29[],23,FALSE)</f>
        <v>3.4009927758626</v>
      </c>
      <c r="BA881" s="235">
        <f>VLOOKUP(Table8[[#This Row],[Country Code]],Table29[],24,FALSE)</f>
        <v>1.126237744382208</v>
      </c>
      <c r="BB881" s="320"/>
      <c r="BC881" s="320"/>
    </row>
    <row r="882" spans="1:55" ht="30" hidden="1" x14ac:dyDescent="0.25">
      <c r="A882" s="373">
        <v>17593</v>
      </c>
      <c r="B882" s="233" t="str">
        <f>VLOOKUP(Table8[[#This Row],[Document ID]],Table1[],2,FALSE)</f>
        <v>FJI</v>
      </c>
      <c r="C882" s="233" t="str">
        <f>VLOOKUP(Table8[[#This Row],[Document ID]],Table1[],3,FALSE)</f>
        <v>Fiji</v>
      </c>
      <c r="D882" s="243" t="str">
        <f>VLOOKUP(Table8[[#This Row],[Document ID]],Table1[],5,FALSE)</f>
        <v>LTS</v>
      </c>
      <c r="E882" s="233" t="str">
        <f>VLOOKUP(Table8[[#This Row],[Document ID]],Table1[],7,FALSE)</f>
        <v>LTS</v>
      </c>
      <c r="F882" s="233" t="str">
        <f>VLOOKUP(Table8[[#This Row],[Document ID]],Table1[],8,FALSE)</f>
        <v>LTS 1.0</v>
      </c>
      <c r="G882" s="233" t="str">
        <f>VLOOKUP(Table8[[#This Row],[Document ID]],Table1[],10,FALSE)</f>
        <v>Active</v>
      </c>
      <c r="H882" s="43" t="s">
        <v>2343</v>
      </c>
      <c r="I882" s="43" t="s">
        <v>2386</v>
      </c>
      <c r="J882" s="44" t="s">
        <v>2412</v>
      </c>
      <c r="K882" s="44" t="s">
        <v>3184</v>
      </c>
      <c r="L882" s="44" t="s">
        <v>2333</v>
      </c>
      <c r="M882" s="43">
        <v>222</v>
      </c>
      <c r="N882" s="113"/>
      <c r="O882" s="113"/>
      <c r="P882" s="113"/>
      <c r="Q882" s="113"/>
      <c r="R882" s="113"/>
      <c r="S882" s="113"/>
      <c r="T882" s="113"/>
      <c r="U882" s="113"/>
      <c r="V882" s="113"/>
      <c r="W882" s="113"/>
      <c r="X882" s="113"/>
      <c r="Y882" s="113"/>
      <c r="Z882" s="113"/>
      <c r="AA882" s="113"/>
      <c r="AB882" s="113"/>
      <c r="AC882" s="113"/>
      <c r="AD882" s="113" t="s">
        <v>1113</v>
      </c>
      <c r="AE882" s="113"/>
      <c r="AF882" s="113"/>
      <c r="AG882" s="113"/>
      <c r="AH882" s="113"/>
      <c r="AI882" s="113"/>
      <c r="AJ882" s="113"/>
      <c r="AK882" s="319" t="s">
        <v>1113</v>
      </c>
      <c r="AL882" s="113"/>
      <c r="AM882" s="113"/>
      <c r="AN882" s="113"/>
      <c r="AO882" s="44" t="s">
        <v>2334</v>
      </c>
      <c r="AP882" s="44"/>
      <c r="AQ882" s="236" t="str">
        <f>VLOOKUP(Table8[[#This Row],[Instrument]],Def_Targets!$D$73:$E$159,2,FALSE)</f>
        <v>A_Economic</v>
      </c>
      <c r="AR882" s="233" t="str">
        <f>VLOOKUP(Table8[[#This Row],[Country Code]],Table29[],3,FALSE)</f>
        <v>Non-Annex I</v>
      </c>
      <c r="AS882" s="233" t="str">
        <f>VLOOKUP(Table8[[#This Row],[Country Code]],Table29[],4,FALSE)</f>
        <v>Oceania</v>
      </c>
      <c r="AT882" s="233" t="str">
        <f>VLOOKUP(Table8[[#This Row],[Country Code]],Table29[],5,FALSE)</f>
        <v>Middle-income</v>
      </c>
      <c r="AU882" s="233" t="str">
        <f>VLOOKUP(Table8[[#This Row],[Country Code]],Table29[],6,FALSE)</f>
        <v>no</v>
      </c>
      <c r="AV882" s="233" t="str">
        <f>VLOOKUP(Table8[[#This Row],[Country Code]],Table29[],7,FALSE)</f>
        <v>no</v>
      </c>
      <c r="AW882" s="233" t="str">
        <f>VLOOKUP(Table8[[#This Row],[Country Code]],Table29[],8,FALSE)</f>
        <v>non-OECD</v>
      </c>
      <c r="AX882" s="233" t="str">
        <f>VLOOKUP(Table8[[#This Row],[Country Code]],Table29[],9,FALSE)</f>
        <v>no</v>
      </c>
      <c r="AY882" s="233" t="str">
        <f>VLOOKUP(Table8[[#This Row],[Country Code]],Table29[],10,FALSE)</f>
        <v>no</v>
      </c>
      <c r="AZ882" s="235">
        <f>VLOOKUP(Table8[[#This Row],[Country Code]],Table29[],23,FALSE)</f>
        <v>3.4009927758626</v>
      </c>
      <c r="BA882" s="235">
        <f>VLOOKUP(Table8[[#This Row],[Country Code]],Table29[],24,FALSE)</f>
        <v>1.126237744382208</v>
      </c>
      <c r="BB882" s="320"/>
      <c r="BC882" s="320"/>
    </row>
    <row r="883" spans="1:55" ht="45" hidden="1" x14ac:dyDescent="0.25">
      <c r="A883" s="373">
        <v>17602</v>
      </c>
      <c r="B883" s="233" t="str">
        <f>VLOOKUP(Table8[[#This Row],[Document ID]],Table1[],2,FALSE)</f>
        <v>DEU</v>
      </c>
      <c r="C883" s="233" t="str">
        <f>VLOOKUP(Table8[[#This Row],[Document ID]],Table1[],3,FALSE)</f>
        <v>Germany</v>
      </c>
      <c r="D883" s="243" t="str">
        <f>VLOOKUP(Table8[[#This Row],[Document ID]],Table1[],5,FALSE)</f>
        <v>LTS</v>
      </c>
      <c r="E883" s="233" t="str">
        <f>VLOOKUP(Table8[[#This Row],[Document ID]],Table1[],7,FALSE)</f>
        <v>Archived LTS 1.0</v>
      </c>
      <c r="F883" s="233" t="str">
        <f>VLOOKUP(Table8[[#This Row],[Document ID]],Table1[],8,FALSE)</f>
        <v>LTS 1.0</v>
      </c>
      <c r="G883" s="233" t="str">
        <f>VLOOKUP(Table8[[#This Row],[Document ID]],Table1[],10,FALSE)</f>
        <v>Archived</v>
      </c>
      <c r="H883" s="43" t="s">
        <v>2343</v>
      </c>
      <c r="I883" s="43" t="s">
        <v>2386</v>
      </c>
      <c r="J883" s="44" t="s">
        <v>2397</v>
      </c>
      <c r="K883" s="44" t="s">
        <v>3185</v>
      </c>
      <c r="L883" s="44" t="s">
        <v>2347</v>
      </c>
      <c r="M883" s="43">
        <v>55</v>
      </c>
      <c r="N883" s="113"/>
      <c r="O883" s="113"/>
      <c r="P883" s="113"/>
      <c r="Q883" s="113"/>
      <c r="R883" s="113"/>
      <c r="S883" s="113" t="s">
        <v>1113</v>
      </c>
      <c r="T883" s="113"/>
      <c r="U883" s="113"/>
      <c r="V883" s="113"/>
      <c r="W883" s="113"/>
      <c r="X883" s="113"/>
      <c r="Y883" s="113"/>
      <c r="Z883" s="113" t="s">
        <v>1113</v>
      </c>
      <c r="AA883" s="113"/>
      <c r="AB883" s="113"/>
      <c r="AC883" s="113"/>
      <c r="AD883" s="113" t="s">
        <v>1113</v>
      </c>
      <c r="AE883" s="113"/>
      <c r="AF883" s="113"/>
      <c r="AG883" s="113"/>
      <c r="AH883" s="113"/>
      <c r="AI883" s="113"/>
      <c r="AJ883" s="113"/>
      <c r="AK883" s="319" t="s">
        <v>1113</v>
      </c>
      <c r="AL883" s="113"/>
      <c r="AM883" s="113"/>
      <c r="AN883" s="113"/>
      <c r="AO883" s="44" t="s">
        <v>2334</v>
      </c>
      <c r="AP883" s="43"/>
      <c r="AQ883" s="236" t="str">
        <f>VLOOKUP(Table8[[#This Row],[Instrument]],Def_Targets!$D$73:$E$159,2,FALSE)</f>
        <v>A_Finance</v>
      </c>
      <c r="AR883" s="233" t="str">
        <f>VLOOKUP(Table8[[#This Row],[Country Code]],Table29[],3,FALSE)</f>
        <v>Annex I</v>
      </c>
      <c r="AS883" s="233" t="str">
        <f>VLOOKUP(Table8[[#This Row],[Country Code]],Table29[],4,FALSE)</f>
        <v>Europe</v>
      </c>
      <c r="AT883" s="233" t="str">
        <f>VLOOKUP(Table8[[#This Row],[Country Code]],Table29[],5,FALSE)</f>
        <v>High-income</v>
      </c>
      <c r="AU883" s="233" t="str">
        <f>VLOOKUP(Table8[[#This Row],[Country Code]],Table29[],6,FALSE)</f>
        <v>G20</v>
      </c>
      <c r="AV883" s="233" t="str">
        <f>VLOOKUP(Table8[[#This Row],[Country Code]],Table29[],7,FALSE)</f>
        <v>G7</v>
      </c>
      <c r="AW883" s="233" t="str">
        <f>VLOOKUP(Table8[[#This Row],[Country Code]],Table29[],8,FALSE)</f>
        <v>OECD</v>
      </c>
      <c r="AX883" s="233" t="str">
        <f>VLOOKUP(Table8[[#This Row],[Country Code]],Table29[],9,FALSE)</f>
        <v>EU27</v>
      </c>
      <c r="AY883" s="233" t="str">
        <f>VLOOKUP(Table8[[#This Row],[Country Code]],Table29[],10,FALSE)</f>
        <v>no</v>
      </c>
      <c r="AZ883" s="235">
        <f>VLOOKUP(Table8[[#This Row],[Country Code]],Table29[],23,FALSE)</f>
        <v>681.81032815186995</v>
      </c>
      <c r="BA883" s="235">
        <f>VLOOKUP(Table8[[#This Row],[Country Code]],Table29[],24,FALSE)</f>
        <v>141.2568578412648</v>
      </c>
      <c r="BB883" s="320"/>
      <c r="BC883" s="320"/>
    </row>
    <row r="884" spans="1:55" ht="45" hidden="1" x14ac:dyDescent="0.25">
      <c r="A884" s="373">
        <v>17602</v>
      </c>
      <c r="B884" s="233" t="str">
        <f>VLOOKUP(Table8[[#This Row],[Document ID]],Table1[],2,FALSE)</f>
        <v>DEU</v>
      </c>
      <c r="C884" s="233" t="str">
        <f>VLOOKUP(Table8[[#This Row],[Document ID]],Table1[],3,FALSE)</f>
        <v>Germany</v>
      </c>
      <c r="D884" s="243" t="str">
        <f>VLOOKUP(Table8[[#This Row],[Document ID]],Table1[],5,FALSE)</f>
        <v>LTS</v>
      </c>
      <c r="E884" s="233" t="str">
        <f>VLOOKUP(Table8[[#This Row],[Document ID]],Table1[],7,FALSE)</f>
        <v>Archived LTS 1.0</v>
      </c>
      <c r="F884" s="233" t="str">
        <f>VLOOKUP(Table8[[#This Row],[Document ID]],Table1[],8,FALSE)</f>
        <v>LTS 1.0</v>
      </c>
      <c r="G884" s="233" t="str">
        <f>VLOOKUP(Table8[[#This Row],[Document ID]],Table1[],10,FALSE)</f>
        <v>Archived</v>
      </c>
      <c r="H884" s="43" t="s">
        <v>2350</v>
      </c>
      <c r="I884" s="43" t="s">
        <v>2351</v>
      </c>
      <c r="J884" s="44" t="s">
        <v>2352</v>
      </c>
      <c r="K884" s="44" t="s">
        <v>3185</v>
      </c>
      <c r="L884" s="44" t="s">
        <v>2347</v>
      </c>
      <c r="M884" s="43">
        <v>55</v>
      </c>
      <c r="N884" s="113"/>
      <c r="O884" s="113"/>
      <c r="P884" s="113"/>
      <c r="Q884" s="113"/>
      <c r="R884" s="113"/>
      <c r="S884" s="113" t="s">
        <v>1113</v>
      </c>
      <c r="T884" s="113"/>
      <c r="U884" s="113"/>
      <c r="V884" s="113"/>
      <c r="W884" s="113"/>
      <c r="X884" s="113"/>
      <c r="Y884" s="113"/>
      <c r="Z884" s="113" t="s">
        <v>1113</v>
      </c>
      <c r="AA884" s="113"/>
      <c r="AB884" s="113"/>
      <c r="AC884" s="113"/>
      <c r="AD884" s="113" t="s">
        <v>1113</v>
      </c>
      <c r="AE884" s="113"/>
      <c r="AF884" s="113"/>
      <c r="AG884" s="113"/>
      <c r="AH884" s="113"/>
      <c r="AI884" s="113"/>
      <c r="AJ884" s="113"/>
      <c r="AK884" s="319" t="s">
        <v>1113</v>
      </c>
      <c r="AL884" s="113"/>
      <c r="AM884" s="113"/>
      <c r="AN884" s="113"/>
      <c r="AO884" s="44" t="s">
        <v>2334</v>
      </c>
      <c r="AP884" s="43"/>
      <c r="AQ884" s="236" t="str">
        <f>VLOOKUP(Table8[[#This Row],[Instrument]],Def_Targets!$D$73:$E$159,2,FALSE)</f>
        <v>S_Railfreight</v>
      </c>
      <c r="AR884" s="233" t="str">
        <f>VLOOKUP(Table8[[#This Row],[Country Code]],Table29[],3,FALSE)</f>
        <v>Annex I</v>
      </c>
      <c r="AS884" s="233" t="str">
        <f>VLOOKUP(Table8[[#This Row],[Country Code]],Table29[],4,FALSE)</f>
        <v>Europe</v>
      </c>
      <c r="AT884" s="233" t="str">
        <f>VLOOKUP(Table8[[#This Row],[Country Code]],Table29[],5,FALSE)</f>
        <v>High-income</v>
      </c>
      <c r="AU884" s="233" t="str">
        <f>VLOOKUP(Table8[[#This Row],[Country Code]],Table29[],6,FALSE)</f>
        <v>G20</v>
      </c>
      <c r="AV884" s="233" t="str">
        <f>VLOOKUP(Table8[[#This Row],[Country Code]],Table29[],7,FALSE)</f>
        <v>G7</v>
      </c>
      <c r="AW884" s="233" t="str">
        <f>VLOOKUP(Table8[[#This Row],[Country Code]],Table29[],8,FALSE)</f>
        <v>OECD</v>
      </c>
      <c r="AX884" s="233" t="str">
        <f>VLOOKUP(Table8[[#This Row],[Country Code]],Table29[],9,FALSE)</f>
        <v>EU27</v>
      </c>
      <c r="AY884" s="233" t="str">
        <f>VLOOKUP(Table8[[#This Row],[Country Code]],Table29[],10,FALSE)</f>
        <v>no</v>
      </c>
      <c r="AZ884" s="235">
        <f>VLOOKUP(Table8[[#This Row],[Country Code]],Table29[],23,FALSE)</f>
        <v>681.81032815186995</v>
      </c>
      <c r="BA884" s="235">
        <f>VLOOKUP(Table8[[#This Row],[Country Code]],Table29[],24,FALSE)</f>
        <v>141.2568578412648</v>
      </c>
      <c r="BB884" s="320"/>
      <c r="BC884" s="320"/>
    </row>
    <row r="885" spans="1:55" ht="60" hidden="1" x14ac:dyDescent="0.25">
      <c r="A885" s="373">
        <v>17602</v>
      </c>
      <c r="B885" s="233" t="str">
        <f>VLOOKUP(Table8[[#This Row],[Document ID]],Table1[],2,FALSE)</f>
        <v>DEU</v>
      </c>
      <c r="C885" s="233" t="str">
        <f>VLOOKUP(Table8[[#This Row],[Document ID]],Table1[],3,FALSE)</f>
        <v>Germany</v>
      </c>
      <c r="D885" s="243" t="str">
        <f>VLOOKUP(Table8[[#This Row],[Document ID]],Table1[],5,FALSE)</f>
        <v>LTS</v>
      </c>
      <c r="E885" s="233" t="str">
        <f>VLOOKUP(Table8[[#This Row],[Document ID]],Table1[],7,FALSE)</f>
        <v>Archived LTS 1.0</v>
      </c>
      <c r="F885" s="233" t="str">
        <f>VLOOKUP(Table8[[#This Row],[Document ID]],Table1[],8,FALSE)</f>
        <v>LTS 1.0</v>
      </c>
      <c r="G885" s="233" t="str">
        <f>VLOOKUP(Table8[[#This Row],[Document ID]],Table1[],10,FALSE)</f>
        <v>Archived</v>
      </c>
      <c r="H885" s="43" t="s">
        <v>2343</v>
      </c>
      <c r="I885" s="43" t="s">
        <v>2386</v>
      </c>
      <c r="J885" s="44" t="s">
        <v>2397</v>
      </c>
      <c r="K885" s="44" t="s">
        <v>3186</v>
      </c>
      <c r="L885" s="44" t="s">
        <v>2471</v>
      </c>
      <c r="M885" s="43">
        <v>55</v>
      </c>
      <c r="N885" s="113"/>
      <c r="O885" s="113"/>
      <c r="P885" s="113"/>
      <c r="Q885" s="113"/>
      <c r="R885" s="113"/>
      <c r="S885" s="113"/>
      <c r="T885" s="113"/>
      <c r="U885" s="113"/>
      <c r="V885" s="113"/>
      <c r="W885" s="113"/>
      <c r="X885" s="113"/>
      <c r="Y885" s="113" t="s">
        <v>1113</v>
      </c>
      <c r="Z885" s="113"/>
      <c r="AA885" s="113"/>
      <c r="AB885" s="113"/>
      <c r="AC885" s="113" t="s">
        <v>1113</v>
      </c>
      <c r="AD885" s="113"/>
      <c r="AE885" s="113"/>
      <c r="AF885" s="113"/>
      <c r="AG885" s="113"/>
      <c r="AH885" s="113"/>
      <c r="AI885" s="113"/>
      <c r="AJ885" s="113"/>
      <c r="AK885" s="319" t="s">
        <v>1113</v>
      </c>
      <c r="AL885" s="113"/>
      <c r="AM885" s="113"/>
      <c r="AN885" s="113"/>
      <c r="AO885" s="43" t="s">
        <v>2348</v>
      </c>
      <c r="AP885" s="43"/>
      <c r="AQ885" s="236" t="str">
        <f>VLOOKUP(Table8[[#This Row],[Instrument]],Def_Targets!$D$73:$E$159,2,FALSE)</f>
        <v>A_Finance</v>
      </c>
      <c r="AR885" s="233" t="str">
        <f>VLOOKUP(Table8[[#This Row],[Country Code]],Table29[],3,FALSE)</f>
        <v>Annex I</v>
      </c>
      <c r="AS885" s="233" t="str">
        <f>VLOOKUP(Table8[[#This Row],[Country Code]],Table29[],4,FALSE)</f>
        <v>Europe</v>
      </c>
      <c r="AT885" s="233" t="str">
        <f>VLOOKUP(Table8[[#This Row],[Country Code]],Table29[],5,FALSE)</f>
        <v>High-income</v>
      </c>
      <c r="AU885" s="233" t="str">
        <f>VLOOKUP(Table8[[#This Row],[Country Code]],Table29[],6,FALSE)</f>
        <v>G20</v>
      </c>
      <c r="AV885" s="233" t="str">
        <f>VLOOKUP(Table8[[#This Row],[Country Code]],Table29[],7,FALSE)</f>
        <v>G7</v>
      </c>
      <c r="AW885" s="233" t="str">
        <f>VLOOKUP(Table8[[#This Row],[Country Code]],Table29[],8,FALSE)</f>
        <v>OECD</v>
      </c>
      <c r="AX885" s="233" t="str">
        <f>VLOOKUP(Table8[[#This Row],[Country Code]],Table29[],9,FALSE)</f>
        <v>EU27</v>
      </c>
      <c r="AY885" s="233" t="str">
        <f>VLOOKUP(Table8[[#This Row],[Country Code]],Table29[],10,FALSE)</f>
        <v>no</v>
      </c>
      <c r="AZ885" s="235">
        <f>VLOOKUP(Table8[[#This Row],[Country Code]],Table29[],23,FALSE)</f>
        <v>681.81032815186995</v>
      </c>
      <c r="BA885" s="235">
        <f>VLOOKUP(Table8[[#This Row],[Country Code]],Table29[],24,FALSE)</f>
        <v>141.2568578412648</v>
      </c>
      <c r="BB885" s="320"/>
      <c r="BC885" s="320"/>
    </row>
    <row r="886" spans="1:55" ht="60" hidden="1" x14ac:dyDescent="0.25">
      <c r="A886" s="373">
        <v>17602</v>
      </c>
      <c r="B886" s="233" t="str">
        <f>VLOOKUP(Table8[[#This Row],[Document ID]],Table1[],2,FALSE)</f>
        <v>DEU</v>
      </c>
      <c r="C886" s="233" t="str">
        <f>VLOOKUP(Table8[[#This Row],[Document ID]],Table1[],3,FALSE)</f>
        <v>Germany</v>
      </c>
      <c r="D886" s="243" t="str">
        <f>VLOOKUP(Table8[[#This Row],[Document ID]],Table1[],5,FALSE)</f>
        <v>LTS</v>
      </c>
      <c r="E886" s="233" t="str">
        <f>VLOOKUP(Table8[[#This Row],[Document ID]],Table1[],7,FALSE)</f>
        <v>Archived LTS 1.0</v>
      </c>
      <c r="F886" s="233" t="str">
        <f>VLOOKUP(Table8[[#This Row],[Document ID]],Table1[],8,FALSE)</f>
        <v>LTS 1.0</v>
      </c>
      <c r="G886" s="233" t="str">
        <f>VLOOKUP(Table8[[#This Row],[Document ID]],Table1[],10,FALSE)</f>
        <v>Archived</v>
      </c>
      <c r="H886" s="43" t="s">
        <v>2343</v>
      </c>
      <c r="I886" s="43" t="s">
        <v>2344</v>
      </c>
      <c r="J886" s="44" t="s">
        <v>2345</v>
      </c>
      <c r="K886" s="44" t="s">
        <v>3186</v>
      </c>
      <c r="L886" s="44" t="s">
        <v>2471</v>
      </c>
      <c r="M886" s="43">
        <v>55</v>
      </c>
      <c r="N886" s="113"/>
      <c r="O886" s="113"/>
      <c r="P886" s="113"/>
      <c r="Q886" s="113"/>
      <c r="R886" s="113"/>
      <c r="S886" s="113"/>
      <c r="T886" s="113"/>
      <c r="U886" s="113"/>
      <c r="V886" s="113"/>
      <c r="W886" s="113"/>
      <c r="X886" s="113"/>
      <c r="Y886" s="113" t="s">
        <v>1113</v>
      </c>
      <c r="Z886" s="113"/>
      <c r="AA886" s="113"/>
      <c r="AB886" s="113"/>
      <c r="AC886" s="113" t="s">
        <v>1113</v>
      </c>
      <c r="AD886" s="113"/>
      <c r="AE886" s="113"/>
      <c r="AF886" s="113"/>
      <c r="AG886" s="113"/>
      <c r="AH886" s="113"/>
      <c r="AI886" s="113"/>
      <c r="AJ886" s="113"/>
      <c r="AK886" s="319" t="s">
        <v>1113</v>
      </c>
      <c r="AL886" s="113"/>
      <c r="AM886" s="113"/>
      <c r="AN886" s="113"/>
      <c r="AO886" s="43" t="s">
        <v>2348</v>
      </c>
      <c r="AP886" s="43"/>
      <c r="AQ886" s="236" t="str">
        <f>VLOOKUP(Table8[[#This Row],[Instrument]],Def_Targets!$D$73:$E$159,2,FALSE)</f>
        <v>S_PublicTransport</v>
      </c>
      <c r="AR886" s="233" t="str">
        <f>VLOOKUP(Table8[[#This Row],[Country Code]],Table29[],3,FALSE)</f>
        <v>Annex I</v>
      </c>
      <c r="AS886" s="233" t="str">
        <f>VLOOKUP(Table8[[#This Row],[Country Code]],Table29[],4,FALSE)</f>
        <v>Europe</v>
      </c>
      <c r="AT886" s="233" t="str">
        <f>VLOOKUP(Table8[[#This Row],[Country Code]],Table29[],5,FALSE)</f>
        <v>High-income</v>
      </c>
      <c r="AU886" s="233" t="str">
        <f>VLOOKUP(Table8[[#This Row],[Country Code]],Table29[],6,FALSE)</f>
        <v>G20</v>
      </c>
      <c r="AV886" s="233" t="str">
        <f>VLOOKUP(Table8[[#This Row],[Country Code]],Table29[],7,FALSE)</f>
        <v>G7</v>
      </c>
      <c r="AW886" s="233" t="str">
        <f>VLOOKUP(Table8[[#This Row],[Country Code]],Table29[],8,FALSE)</f>
        <v>OECD</v>
      </c>
      <c r="AX886" s="233" t="str">
        <f>VLOOKUP(Table8[[#This Row],[Country Code]],Table29[],9,FALSE)</f>
        <v>EU27</v>
      </c>
      <c r="AY886" s="233" t="str">
        <f>VLOOKUP(Table8[[#This Row],[Country Code]],Table29[],10,FALSE)</f>
        <v>no</v>
      </c>
      <c r="AZ886" s="235">
        <f>VLOOKUP(Table8[[#This Row],[Country Code]],Table29[],23,FALSE)</f>
        <v>681.81032815186995</v>
      </c>
      <c r="BA886" s="235">
        <f>VLOOKUP(Table8[[#This Row],[Country Code]],Table29[],24,FALSE)</f>
        <v>141.2568578412648</v>
      </c>
      <c r="BB886" s="320"/>
      <c r="BC886" s="320"/>
    </row>
    <row r="887" spans="1:55" ht="60" hidden="1" x14ac:dyDescent="0.25">
      <c r="A887" s="373">
        <v>17602</v>
      </c>
      <c r="B887" s="233" t="str">
        <f>VLOOKUP(Table8[[#This Row],[Document ID]],Table1[],2,FALSE)</f>
        <v>DEU</v>
      </c>
      <c r="C887" s="233" t="str">
        <f>VLOOKUP(Table8[[#This Row],[Document ID]],Table1[],3,FALSE)</f>
        <v>Germany</v>
      </c>
      <c r="D887" s="243" t="str">
        <f>VLOOKUP(Table8[[#This Row],[Document ID]],Table1[],5,FALSE)</f>
        <v>LTS</v>
      </c>
      <c r="E887" s="233" t="str">
        <f>VLOOKUP(Table8[[#This Row],[Document ID]],Table1[],7,FALSE)</f>
        <v>Archived LTS 1.0</v>
      </c>
      <c r="F887" s="233" t="str">
        <f>VLOOKUP(Table8[[#This Row],[Document ID]],Table1[],8,FALSE)</f>
        <v>LTS 1.0</v>
      </c>
      <c r="G887" s="233" t="str">
        <f>VLOOKUP(Table8[[#This Row],[Document ID]],Table1[],10,FALSE)</f>
        <v>Archived</v>
      </c>
      <c r="H887" s="43" t="s">
        <v>2350</v>
      </c>
      <c r="I887" s="43" t="s">
        <v>2351</v>
      </c>
      <c r="J887" s="44" t="s">
        <v>2352</v>
      </c>
      <c r="K887" s="44" t="s">
        <v>3187</v>
      </c>
      <c r="L887" s="44" t="s">
        <v>2347</v>
      </c>
      <c r="M887" s="43">
        <v>55</v>
      </c>
      <c r="N887" s="113"/>
      <c r="O887" s="113"/>
      <c r="P887" s="113"/>
      <c r="Q887" s="113"/>
      <c r="R887" s="113"/>
      <c r="S887" s="113" t="s">
        <v>1113</v>
      </c>
      <c r="T887" s="113"/>
      <c r="U887" s="113"/>
      <c r="V887" s="113"/>
      <c r="W887" s="113"/>
      <c r="X887" s="113"/>
      <c r="Y887" s="113"/>
      <c r="Z887" s="113" t="s">
        <v>1113</v>
      </c>
      <c r="AA887" s="113"/>
      <c r="AB887" s="113"/>
      <c r="AC887" s="113"/>
      <c r="AD887" s="113"/>
      <c r="AE887" s="113"/>
      <c r="AF887" s="113"/>
      <c r="AG887" s="113"/>
      <c r="AH887" s="113"/>
      <c r="AI887" s="113"/>
      <c r="AJ887" s="113"/>
      <c r="AK887" s="319" t="s">
        <v>1113</v>
      </c>
      <c r="AL887" s="113"/>
      <c r="AM887" s="113"/>
      <c r="AN887" s="113"/>
      <c r="AO887" s="43" t="s">
        <v>2348</v>
      </c>
      <c r="AP887" s="43"/>
      <c r="AQ887" s="236" t="str">
        <f>VLOOKUP(Table8[[#This Row],[Instrument]],Def_Targets!$D$73:$E$159,2,FALSE)</f>
        <v>S_Railfreight</v>
      </c>
      <c r="AR887" s="233" t="str">
        <f>VLOOKUP(Table8[[#This Row],[Country Code]],Table29[],3,FALSE)</f>
        <v>Annex I</v>
      </c>
      <c r="AS887" s="233" t="str">
        <f>VLOOKUP(Table8[[#This Row],[Country Code]],Table29[],4,FALSE)</f>
        <v>Europe</v>
      </c>
      <c r="AT887" s="233" t="str">
        <f>VLOOKUP(Table8[[#This Row],[Country Code]],Table29[],5,FALSE)</f>
        <v>High-income</v>
      </c>
      <c r="AU887" s="233" t="str">
        <f>VLOOKUP(Table8[[#This Row],[Country Code]],Table29[],6,FALSE)</f>
        <v>G20</v>
      </c>
      <c r="AV887" s="233" t="str">
        <f>VLOOKUP(Table8[[#This Row],[Country Code]],Table29[],7,FALSE)</f>
        <v>G7</v>
      </c>
      <c r="AW887" s="233" t="str">
        <f>VLOOKUP(Table8[[#This Row],[Country Code]],Table29[],8,FALSE)</f>
        <v>OECD</v>
      </c>
      <c r="AX887" s="233" t="str">
        <f>VLOOKUP(Table8[[#This Row],[Country Code]],Table29[],9,FALSE)</f>
        <v>EU27</v>
      </c>
      <c r="AY887" s="233" t="str">
        <f>VLOOKUP(Table8[[#This Row],[Country Code]],Table29[],10,FALSE)</f>
        <v>no</v>
      </c>
      <c r="AZ887" s="235">
        <f>VLOOKUP(Table8[[#This Row],[Country Code]],Table29[],23,FALSE)</f>
        <v>681.81032815186995</v>
      </c>
      <c r="BA887" s="235">
        <f>VLOOKUP(Table8[[#This Row],[Country Code]],Table29[],24,FALSE)</f>
        <v>141.2568578412648</v>
      </c>
      <c r="BB887" s="320"/>
      <c r="BC887" s="320"/>
    </row>
    <row r="888" spans="1:55" ht="75" hidden="1" x14ac:dyDescent="0.25">
      <c r="A888" s="373">
        <v>17602</v>
      </c>
      <c r="B888" s="233" t="str">
        <f>VLOOKUP(Table8[[#This Row],[Document ID]],Table1[],2,FALSE)</f>
        <v>DEU</v>
      </c>
      <c r="C888" s="233" t="str">
        <f>VLOOKUP(Table8[[#This Row],[Document ID]],Table1[],3,FALSE)</f>
        <v>Germany</v>
      </c>
      <c r="D888" s="243" t="str">
        <f>VLOOKUP(Table8[[#This Row],[Document ID]],Table1[],5,FALSE)</f>
        <v>LTS</v>
      </c>
      <c r="E888" s="233" t="str">
        <f>VLOOKUP(Table8[[#This Row],[Document ID]],Table1[],7,FALSE)</f>
        <v>Archived LTS 1.0</v>
      </c>
      <c r="F888" s="233" t="str">
        <f>VLOOKUP(Table8[[#This Row],[Document ID]],Table1[],8,FALSE)</f>
        <v>LTS 1.0</v>
      </c>
      <c r="G888" s="233" t="str">
        <f>VLOOKUP(Table8[[#This Row],[Document ID]],Table1[],10,FALSE)</f>
        <v>Archived</v>
      </c>
      <c r="H888" s="43" t="s">
        <v>2350</v>
      </c>
      <c r="I888" s="43" t="s">
        <v>2456</v>
      </c>
      <c r="J888" s="44" t="s">
        <v>2457</v>
      </c>
      <c r="K888" s="44" t="s">
        <v>3188</v>
      </c>
      <c r="L888" s="44" t="s">
        <v>2471</v>
      </c>
      <c r="M888" s="43">
        <v>55</v>
      </c>
      <c r="N888" s="113"/>
      <c r="O888" s="113"/>
      <c r="P888" s="113"/>
      <c r="Q888" s="113"/>
      <c r="R888" s="113"/>
      <c r="S888" s="113"/>
      <c r="T888" s="113"/>
      <c r="U888" s="113"/>
      <c r="V888" s="113"/>
      <c r="W888" s="113"/>
      <c r="X888" s="113"/>
      <c r="Y888" s="113"/>
      <c r="Z888" s="113" t="s">
        <v>1113</v>
      </c>
      <c r="AA888" s="113"/>
      <c r="AB888" s="113"/>
      <c r="AC888" s="113"/>
      <c r="AD888" s="113"/>
      <c r="AE888" s="113"/>
      <c r="AF888" s="113"/>
      <c r="AG888" s="113"/>
      <c r="AH888" s="113"/>
      <c r="AI888" s="113"/>
      <c r="AJ888" s="113"/>
      <c r="AK888" s="319" t="s">
        <v>1113</v>
      </c>
      <c r="AL888" s="113"/>
      <c r="AM888" s="113"/>
      <c r="AN888" s="113"/>
      <c r="AO888" s="43" t="s">
        <v>2353</v>
      </c>
      <c r="AP888" s="43"/>
      <c r="AQ888" s="236" t="str">
        <f>VLOOKUP(Table8[[#This Row],[Instrument]],Def_Targets!$D$73:$E$159,2,FALSE)</f>
        <v>S_Infraimprove</v>
      </c>
      <c r="AR888" s="233" t="str">
        <f>VLOOKUP(Table8[[#This Row],[Country Code]],Table29[],3,FALSE)</f>
        <v>Annex I</v>
      </c>
      <c r="AS888" s="233" t="str">
        <f>VLOOKUP(Table8[[#This Row],[Country Code]],Table29[],4,FALSE)</f>
        <v>Europe</v>
      </c>
      <c r="AT888" s="233" t="str">
        <f>VLOOKUP(Table8[[#This Row],[Country Code]],Table29[],5,FALSE)</f>
        <v>High-income</v>
      </c>
      <c r="AU888" s="233" t="str">
        <f>VLOOKUP(Table8[[#This Row],[Country Code]],Table29[],6,FALSE)</f>
        <v>G20</v>
      </c>
      <c r="AV888" s="233" t="str">
        <f>VLOOKUP(Table8[[#This Row],[Country Code]],Table29[],7,FALSE)</f>
        <v>G7</v>
      </c>
      <c r="AW888" s="233" t="str">
        <f>VLOOKUP(Table8[[#This Row],[Country Code]],Table29[],8,FALSE)</f>
        <v>OECD</v>
      </c>
      <c r="AX888" s="233" t="str">
        <f>VLOOKUP(Table8[[#This Row],[Country Code]],Table29[],9,FALSE)</f>
        <v>EU27</v>
      </c>
      <c r="AY888" s="233" t="str">
        <f>VLOOKUP(Table8[[#This Row],[Country Code]],Table29[],10,FALSE)</f>
        <v>no</v>
      </c>
      <c r="AZ888" s="235">
        <f>VLOOKUP(Table8[[#This Row],[Country Code]],Table29[],23,FALSE)</f>
        <v>681.81032815186995</v>
      </c>
      <c r="BA888" s="235">
        <f>VLOOKUP(Table8[[#This Row],[Country Code]],Table29[],24,FALSE)</f>
        <v>141.2568578412648</v>
      </c>
      <c r="BB888" s="320"/>
      <c r="BC888" s="320"/>
    </row>
    <row r="889" spans="1:55" ht="90" hidden="1" x14ac:dyDescent="0.25">
      <c r="A889" s="373">
        <v>17602</v>
      </c>
      <c r="B889" s="233" t="str">
        <f>VLOOKUP(Table8[[#This Row],[Document ID]],Table1[],2,FALSE)</f>
        <v>DEU</v>
      </c>
      <c r="C889" s="233" t="str">
        <f>VLOOKUP(Table8[[#This Row],[Document ID]],Table1[],3,FALSE)</f>
        <v>Germany</v>
      </c>
      <c r="D889" s="243" t="str">
        <f>VLOOKUP(Table8[[#This Row],[Document ID]],Table1[],5,FALSE)</f>
        <v>LTS</v>
      </c>
      <c r="E889" s="233" t="str">
        <f>VLOOKUP(Table8[[#This Row],[Document ID]],Table1[],7,FALSE)</f>
        <v>Archived LTS 1.0</v>
      </c>
      <c r="F889" s="233" t="str">
        <f>VLOOKUP(Table8[[#This Row],[Document ID]],Table1[],8,FALSE)</f>
        <v>LTS 1.0</v>
      </c>
      <c r="G889" s="233" t="str">
        <f>VLOOKUP(Table8[[#This Row],[Document ID]],Table1[],10,FALSE)</f>
        <v>Archived</v>
      </c>
      <c r="H889" s="43" t="s">
        <v>2343</v>
      </c>
      <c r="I889" s="43" t="s">
        <v>2361</v>
      </c>
      <c r="J889" s="44" t="s">
        <v>2362</v>
      </c>
      <c r="K889" s="44" t="s">
        <v>3189</v>
      </c>
      <c r="L889" s="44" t="s">
        <v>2347</v>
      </c>
      <c r="M889" s="43">
        <v>55</v>
      </c>
      <c r="N889" s="113"/>
      <c r="O889" s="113"/>
      <c r="P889" s="113"/>
      <c r="Q889" s="113"/>
      <c r="R889" s="113" t="s">
        <v>1113</v>
      </c>
      <c r="S889" s="113"/>
      <c r="T889" s="113"/>
      <c r="U889" s="113"/>
      <c r="V889" s="113"/>
      <c r="W889" s="113"/>
      <c r="X889" s="113"/>
      <c r="Y889" s="113"/>
      <c r="Z889" s="113"/>
      <c r="AA889" s="113"/>
      <c r="AB889" s="113"/>
      <c r="AC889" s="113"/>
      <c r="AD889" s="113"/>
      <c r="AE889" s="113"/>
      <c r="AF889" s="113"/>
      <c r="AG889" s="113"/>
      <c r="AH889" s="113"/>
      <c r="AI889" s="113"/>
      <c r="AJ889" s="113"/>
      <c r="AK889" s="319" t="s">
        <v>1113</v>
      </c>
      <c r="AL889" s="113"/>
      <c r="AM889" s="113"/>
      <c r="AN889" s="113"/>
      <c r="AO889" s="44" t="s">
        <v>2334</v>
      </c>
      <c r="AP889" s="43"/>
      <c r="AQ889" s="236" t="str">
        <f>VLOOKUP(Table8[[#This Row],[Instrument]],Def_Targets!$D$73:$E$159,2,FALSE)</f>
        <v>S_Cycling</v>
      </c>
      <c r="AR889" s="233" t="str">
        <f>VLOOKUP(Table8[[#This Row],[Country Code]],Table29[],3,FALSE)</f>
        <v>Annex I</v>
      </c>
      <c r="AS889" s="233" t="str">
        <f>VLOOKUP(Table8[[#This Row],[Country Code]],Table29[],4,FALSE)</f>
        <v>Europe</v>
      </c>
      <c r="AT889" s="233" t="str">
        <f>VLOOKUP(Table8[[#This Row],[Country Code]],Table29[],5,FALSE)</f>
        <v>High-income</v>
      </c>
      <c r="AU889" s="233" t="str">
        <f>VLOOKUP(Table8[[#This Row],[Country Code]],Table29[],6,FALSE)</f>
        <v>G20</v>
      </c>
      <c r="AV889" s="233" t="str">
        <f>VLOOKUP(Table8[[#This Row],[Country Code]],Table29[],7,FALSE)</f>
        <v>G7</v>
      </c>
      <c r="AW889" s="233" t="str">
        <f>VLOOKUP(Table8[[#This Row],[Country Code]],Table29[],8,FALSE)</f>
        <v>OECD</v>
      </c>
      <c r="AX889" s="233" t="str">
        <f>VLOOKUP(Table8[[#This Row],[Country Code]],Table29[],9,FALSE)</f>
        <v>EU27</v>
      </c>
      <c r="AY889" s="233" t="str">
        <f>VLOOKUP(Table8[[#This Row],[Country Code]],Table29[],10,FALSE)</f>
        <v>no</v>
      </c>
      <c r="AZ889" s="235">
        <f>VLOOKUP(Table8[[#This Row],[Country Code]],Table29[],23,FALSE)</f>
        <v>681.81032815186995</v>
      </c>
      <c r="BA889" s="235">
        <f>VLOOKUP(Table8[[#This Row],[Country Code]],Table29[],24,FALSE)</f>
        <v>141.2568578412648</v>
      </c>
      <c r="BB889" s="320"/>
      <c r="BC889" s="320"/>
    </row>
    <row r="890" spans="1:55" ht="60" hidden="1" x14ac:dyDescent="0.25">
      <c r="A890" s="373">
        <v>17602</v>
      </c>
      <c r="B890" s="233" t="str">
        <f>VLOOKUP(Table8[[#This Row],[Document ID]],Table1[],2,FALSE)</f>
        <v>DEU</v>
      </c>
      <c r="C890" s="233" t="str">
        <f>VLOOKUP(Table8[[#This Row],[Document ID]],Table1[],3,FALSE)</f>
        <v>Germany</v>
      </c>
      <c r="D890" s="243" t="str">
        <f>VLOOKUP(Table8[[#This Row],[Document ID]],Table1[],5,FALSE)</f>
        <v>LTS</v>
      </c>
      <c r="E890" s="233" t="str">
        <f>VLOOKUP(Table8[[#This Row],[Document ID]],Table1[],7,FALSE)</f>
        <v>Archived LTS 1.0</v>
      </c>
      <c r="F890" s="233" t="str">
        <f>VLOOKUP(Table8[[#This Row],[Document ID]],Table1[],8,FALSE)</f>
        <v>LTS 1.0</v>
      </c>
      <c r="G890" s="233" t="str">
        <f>VLOOKUP(Table8[[#This Row],[Document ID]],Table1[],10,FALSE)</f>
        <v>Archived</v>
      </c>
      <c r="H890" s="43" t="s">
        <v>2343</v>
      </c>
      <c r="I890" s="43" t="s">
        <v>2361</v>
      </c>
      <c r="J890" s="44" t="s">
        <v>2362</v>
      </c>
      <c r="K890" s="44" t="s">
        <v>3190</v>
      </c>
      <c r="L890" s="44" t="s">
        <v>2347</v>
      </c>
      <c r="M890" s="43">
        <v>55</v>
      </c>
      <c r="N890" s="113"/>
      <c r="O890" s="113"/>
      <c r="P890" s="113"/>
      <c r="Q890" s="113"/>
      <c r="R890" s="113" t="s">
        <v>1113</v>
      </c>
      <c r="S890" s="113"/>
      <c r="T890" s="113"/>
      <c r="U890" s="113"/>
      <c r="V890" s="113"/>
      <c r="W890" s="113"/>
      <c r="X890" s="113"/>
      <c r="Y890" s="113"/>
      <c r="Z890" s="113"/>
      <c r="AA890" s="113"/>
      <c r="AB890" s="113"/>
      <c r="AC890" s="113"/>
      <c r="AD890" s="113"/>
      <c r="AE890" s="113"/>
      <c r="AF890" s="113"/>
      <c r="AG890" s="113"/>
      <c r="AH890" s="113"/>
      <c r="AI890" s="113"/>
      <c r="AJ890" s="113"/>
      <c r="AK890" s="319" t="s">
        <v>1113</v>
      </c>
      <c r="AL890" s="113"/>
      <c r="AM890" s="113"/>
      <c r="AN890" s="113"/>
      <c r="AO890" s="44" t="s">
        <v>2334</v>
      </c>
      <c r="AP890" s="43"/>
      <c r="AQ890" s="236" t="str">
        <f>VLOOKUP(Table8[[#This Row],[Instrument]],Def_Targets!$D$73:$E$159,2,FALSE)</f>
        <v>S_Cycling</v>
      </c>
      <c r="AR890" s="233" t="str">
        <f>VLOOKUP(Table8[[#This Row],[Country Code]],Table29[],3,FALSE)</f>
        <v>Annex I</v>
      </c>
      <c r="AS890" s="233" t="str">
        <f>VLOOKUP(Table8[[#This Row],[Country Code]],Table29[],4,FALSE)</f>
        <v>Europe</v>
      </c>
      <c r="AT890" s="233" t="str">
        <f>VLOOKUP(Table8[[#This Row],[Country Code]],Table29[],5,FALSE)</f>
        <v>High-income</v>
      </c>
      <c r="AU890" s="233" t="str">
        <f>VLOOKUP(Table8[[#This Row],[Country Code]],Table29[],6,FALSE)</f>
        <v>G20</v>
      </c>
      <c r="AV890" s="233" t="str">
        <f>VLOOKUP(Table8[[#This Row],[Country Code]],Table29[],7,FALSE)</f>
        <v>G7</v>
      </c>
      <c r="AW890" s="233" t="str">
        <f>VLOOKUP(Table8[[#This Row],[Country Code]],Table29[],8,FALSE)</f>
        <v>OECD</v>
      </c>
      <c r="AX890" s="233" t="str">
        <f>VLOOKUP(Table8[[#This Row],[Country Code]],Table29[],9,FALSE)</f>
        <v>EU27</v>
      </c>
      <c r="AY890" s="233" t="str">
        <f>VLOOKUP(Table8[[#This Row],[Country Code]],Table29[],10,FALSE)</f>
        <v>no</v>
      </c>
      <c r="AZ890" s="235">
        <f>VLOOKUP(Table8[[#This Row],[Country Code]],Table29[],23,FALSE)</f>
        <v>681.81032815186995</v>
      </c>
      <c r="BA890" s="235">
        <f>VLOOKUP(Table8[[#This Row],[Country Code]],Table29[],24,FALSE)</f>
        <v>141.2568578412648</v>
      </c>
      <c r="BB890" s="320"/>
      <c r="BC890" s="320"/>
    </row>
    <row r="891" spans="1:55" ht="90" hidden="1" x14ac:dyDescent="0.25">
      <c r="A891" s="373">
        <v>17602</v>
      </c>
      <c r="B891" s="233" t="str">
        <f>VLOOKUP(Table8[[#This Row],[Document ID]],Table1[],2,FALSE)</f>
        <v>DEU</v>
      </c>
      <c r="C891" s="233" t="str">
        <f>VLOOKUP(Table8[[#This Row],[Document ID]],Table1[],3,FALSE)</f>
        <v>Germany</v>
      </c>
      <c r="D891" s="243" t="str">
        <f>VLOOKUP(Table8[[#This Row],[Document ID]],Table1[],5,FALSE)</f>
        <v>LTS</v>
      </c>
      <c r="E891" s="233" t="str">
        <f>VLOOKUP(Table8[[#This Row],[Document ID]],Table1[],7,FALSE)</f>
        <v>Archived LTS 1.0</v>
      </c>
      <c r="F891" s="233" t="str">
        <f>VLOOKUP(Table8[[#This Row],[Document ID]],Table1[],8,FALSE)</f>
        <v>LTS 1.0</v>
      </c>
      <c r="G891" s="233" t="str">
        <f>VLOOKUP(Table8[[#This Row],[Document ID]],Table1[],10,FALSE)</f>
        <v>Archived</v>
      </c>
      <c r="H891" s="43" t="s">
        <v>2358</v>
      </c>
      <c r="I891" s="43" t="s">
        <v>2359</v>
      </c>
      <c r="J891" s="44" t="s">
        <v>2360</v>
      </c>
      <c r="K891" s="44" t="s">
        <v>3191</v>
      </c>
      <c r="L891" s="44" t="s">
        <v>2333</v>
      </c>
      <c r="M891" s="43">
        <v>56</v>
      </c>
      <c r="N891" s="113"/>
      <c r="O891" s="113"/>
      <c r="P891" s="113"/>
      <c r="Q891" s="113"/>
      <c r="R891" s="113"/>
      <c r="S891" s="113"/>
      <c r="T891" s="113"/>
      <c r="U891" s="113"/>
      <c r="V891" s="113"/>
      <c r="W891" s="113"/>
      <c r="X891" s="113"/>
      <c r="Y891" s="113"/>
      <c r="Z891" s="113"/>
      <c r="AA891" s="113"/>
      <c r="AB891" s="113"/>
      <c r="AC891" s="113"/>
      <c r="AD891" s="113" t="s">
        <v>1113</v>
      </c>
      <c r="AE891" s="113"/>
      <c r="AF891" s="113"/>
      <c r="AG891" s="113"/>
      <c r="AH891" s="113" t="s">
        <v>1113</v>
      </c>
      <c r="AI891" s="113"/>
      <c r="AJ891" s="113"/>
      <c r="AK891" s="319" t="s">
        <v>1113</v>
      </c>
      <c r="AL891" s="113"/>
      <c r="AM891" s="113"/>
      <c r="AN891" s="113"/>
      <c r="AO891" s="44" t="s">
        <v>2334</v>
      </c>
      <c r="AP891" s="43"/>
      <c r="AQ891" s="236" t="str">
        <f>VLOOKUP(Table8[[#This Row],[Instrument]],Def_Targets!$D$73:$E$159,2,FALSE)</f>
        <v>I_Emobility</v>
      </c>
      <c r="AR891" s="233" t="str">
        <f>VLOOKUP(Table8[[#This Row],[Country Code]],Table29[],3,FALSE)</f>
        <v>Annex I</v>
      </c>
      <c r="AS891" s="233" t="str">
        <f>VLOOKUP(Table8[[#This Row],[Country Code]],Table29[],4,FALSE)</f>
        <v>Europe</v>
      </c>
      <c r="AT891" s="233" t="str">
        <f>VLOOKUP(Table8[[#This Row],[Country Code]],Table29[],5,FALSE)</f>
        <v>High-income</v>
      </c>
      <c r="AU891" s="233" t="str">
        <f>VLOOKUP(Table8[[#This Row],[Country Code]],Table29[],6,FALSE)</f>
        <v>G20</v>
      </c>
      <c r="AV891" s="233" t="str">
        <f>VLOOKUP(Table8[[#This Row],[Country Code]],Table29[],7,FALSE)</f>
        <v>G7</v>
      </c>
      <c r="AW891" s="233" t="str">
        <f>VLOOKUP(Table8[[#This Row],[Country Code]],Table29[],8,FALSE)</f>
        <v>OECD</v>
      </c>
      <c r="AX891" s="233" t="str">
        <f>VLOOKUP(Table8[[#This Row],[Country Code]],Table29[],9,FALSE)</f>
        <v>EU27</v>
      </c>
      <c r="AY891" s="233" t="str">
        <f>VLOOKUP(Table8[[#This Row],[Country Code]],Table29[],10,FALSE)</f>
        <v>no</v>
      </c>
      <c r="AZ891" s="235">
        <f>VLOOKUP(Table8[[#This Row],[Country Code]],Table29[],23,FALSE)</f>
        <v>681.81032815186995</v>
      </c>
      <c r="BA891" s="235">
        <f>VLOOKUP(Table8[[#This Row],[Country Code]],Table29[],24,FALSE)</f>
        <v>141.2568578412648</v>
      </c>
      <c r="BB891" s="320"/>
      <c r="BC891" s="320"/>
    </row>
    <row r="892" spans="1:55" ht="30" hidden="1" x14ac:dyDescent="0.25">
      <c r="A892" s="373">
        <v>17602</v>
      </c>
      <c r="B892" s="233" t="str">
        <f>VLOOKUP(Table8[[#This Row],[Document ID]],Table1[],2,FALSE)</f>
        <v>DEU</v>
      </c>
      <c r="C892" s="233" t="str">
        <f>VLOOKUP(Table8[[#This Row],[Document ID]],Table1[],3,FALSE)</f>
        <v>Germany</v>
      </c>
      <c r="D892" s="243" t="str">
        <f>VLOOKUP(Table8[[#This Row],[Document ID]],Table1[],5,FALSE)</f>
        <v>LTS</v>
      </c>
      <c r="E892" s="233" t="str">
        <f>VLOOKUP(Table8[[#This Row],[Document ID]],Table1[],7,FALSE)</f>
        <v>Archived LTS 1.0</v>
      </c>
      <c r="F892" s="233" t="str">
        <f>VLOOKUP(Table8[[#This Row],[Document ID]],Table1[],8,FALSE)</f>
        <v>LTS 1.0</v>
      </c>
      <c r="G892" s="233" t="str">
        <f>VLOOKUP(Table8[[#This Row],[Document ID]],Table1[],10,FALSE)</f>
        <v>Archived</v>
      </c>
      <c r="H892" s="44" t="s">
        <v>2329</v>
      </c>
      <c r="I892" s="44" t="s">
        <v>2330</v>
      </c>
      <c r="J892" s="44" t="s">
        <v>2357</v>
      </c>
      <c r="K892" s="44" t="s">
        <v>3192</v>
      </c>
      <c r="L892" s="44" t="s">
        <v>2333</v>
      </c>
      <c r="M892" s="43">
        <v>56</v>
      </c>
      <c r="N892" s="113"/>
      <c r="O892" s="113"/>
      <c r="P892" s="113"/>
      <c r="Q892" s="113"/>
      <c r="R892" s="113"/>
      <c r="S892" s="113"/>
      <c r="T892" s="113"/>
      <c r="U892" s="113"/>
      <c r="V892" s="113"/>
      <c r="W892" s="113"/>
      <c r="X892" s="113"/>
      <c r="Y892" s="113"/>
      <c r="Z892" s="113"/>
      <c r="AA892" s="113"/>
      <c r="AB892" s="113"/>
      <c r="AC892" s="113"/>
      <c r="AD892" s="113" t="s">
        <v>1113</v>
      </c>
      <c r="AE892" s="113"/>
      <c r="AF892" s="113"/>
      <c r="AG892" s="113"/>
      <c r="AH892" s="113" t="s">
        <v>1113</v>
      </c>
      <c r="AI892" s="113"/>
      <c r="AJ892" s="113"/>
      <c r="AK892" s="319" t="s">
        <v>1113</v>
      </c>
      <c r="AL892" s="113"/>
      <c r="AM892" s="113"/>
      <c r="AN892" s="113"/>
      <c r="AO892" s="44" t="s">
        <v>2334</v>
      </c>
      <c r="AP892" s="43"/>
      <c r="AQ892" s="236" t="str">
        <f>VLOOKUP(Table8[[#This Row],[Instrument]],Def_Targets!$D$73:$E$159,2,FALSE)</f>
        <v>I_Biofuel</v>
      </c>
      <c r="AR892" s="233" t="str">
        <f>VLOOKUP(Table8[[#This Row],[Country Code]],Table29[],3,FALSE)</f>
        <v>Annex I</v>
      </c>
      <c r="AS892" s="233" t="str">
        <f>VLOOKUP(Table8[[#This Row],[Country Code]],Table29[],4,FALSE)</f>
        <v>Europe</v>
      </c>
      <c r="AT892" s="233" t="str">
        <f>VLOOKUP(Table8[[#This Row],[Country Code]],Table29[],5,FALSE)</f>
        <v>High-income</v>
      </c>
      <c r="AU892" s="233" t="str">
        <f>VLOOKUP(Table8[[#This Row],[Country Code]],Table29[],6,FALSE)</f>
        <v>G20</v>
      </c>
      <c r="AV892" s="233" t="str">
        <f>VLOOKUP(Table8[[#This Row],[Country Code]],Table29[],7,FALSE)</f>
        <v>G7</v>
      </c>
      <c r="AW892" s="233" t="str">
        <f>VLOOKUP(Table8[[#This Row],[Country Code]],Table29[],8,FALSE)</f>
        <v>OECD</v>
      </c>
      <c r="AX892" s="233" t="str">
        <f>VLOOKUP(Table8[[#This Row],[Country Code]],Table29[],9,FALSE)</f>
        <v>EU27</v>
      </c>
      <c r="AY892" s="233" t="str">
        <f>VLOOKUP(Table8[[#This Row],[Country Code]],Table29[],10,FALSE)</f>
        <v>no</v>
      </c>
      <c r="AZ892" s="235">
        <f>VLOOKUP(Table8[[#This Row],[Country Code]],Table29[],23,FALSE)</f>
        <v>681.81032815186995</v>
      </c>
      <c r="BA892" s="235">
        <f>VLOOKUP(Table8[[#This Row],[Country Code]],Table29[],24,FALSE)</f>
        <v>141.2568578412648</v>
      </c>
      <c r="BB892" s="320"/>
      <c r="BC892" s="320"/>
    </row>
    <row r="893" spans="1:55" ht="45" hidden="1" x14ac:dyDescent="0.25">
      <c r="A893" s="373">
        <v>17602</v>
      </c>
      <c r="B893" s="233" t="str">
        <f>VLOOKUP(Table8[[#This Row],[Document ID]],Table1[],2,FALSE)</f>
        <v>DEU</v>
      </c>
      <c r="C893" s="233" t="str">
        <f>VLOOKUP(Table8[[#This Row],[Document ID]],Table1[],3,FALSE)</f>
        <v>Germany</v>
      </c>
      <c r="D893" s="243" t="str">
        <f>VLOOKUP(Table8[[#This Row],[Document ID]],Table1[],5,FALSE)</f>
        <v>LTS</v>
      </c>
      <c r="E893" s="233" t="str">
        <f>VLOOKUP(Table8[[#This Row],[Document ID]],Table1[],7,FALSE)</f>
        <v>Archived LTS 1.0</v>
      </c>
      <c r="F893" s="233" t="str">
        <f>VLOOKUP(Table8[[#This Row],[Document ID]],Table1[],8,FALSE)</f>
        <v>LTS 1.0</v>
      </c>
      <c r="G893" s="233" t="str">
        <f>VLOOKUP(Table8[[#This Row],[Document ID]],Table1[],10,FALSE)</f>
        <v>Archived</v>
      </c>
      <c r="H893" s="43" t="s">
        <v>2343</v>
      </c>
      <c r="I893" s="43" t="s">
        <v>2429</v>
      </c>
      <c r="J893" s="44" t="s">
        <v>2430</v>
      </c>
      <c r="K893" s="44" t="s">
        <v>3193</v>
      </c>
      <c r="L893" s="44" t="s">
        <v>2333</v>
      </c>
      <c r="M893" s="43">
        <v>56</v>
      </c>
      <c r="N893" s="113" t="s">
        <v>1113</v>
      </c>
      <c r="O893" s="113"/>
      <c r="P893" s="113"/>
      <c r="Q893" s="113"/>
      <c r="R893" s="113"/>
      <c r="S893" s="113"/>
      <c r="T893" s="113"/>
      <c r="U893" s="113"/>
      <c r="V893" s="113"/>
      <c r="W893" s="113"/>
      <c r="X893" s="113"/>
      <c r="Y893" s="113"/>
      <c r="Z893" s="113"/>
      <c r="AA893" s="113"/>
      <c r="AB893" s="113"/>
      <c r="AC893" s="113"/>
      <c r="AD893" s="113"/>
      <c r="AE893" s="113"/>
      <c r="AF893" s="113"/>
      <c r="AG893" s="113"/>
      <c r="AH893" s="113"/>
      <c r="AI893" s="113"/>
      <c r="AJ893" s="113"/>
      <c r="AK893" s="319" t="s">
        <v>1113</v>
      </c>
      <c r="AL893" s="113"/>
      <c r="AM893" s="113"/>
      <c r="AN893" s="113"/>
      <c r="AO893" s="44" t="s">
        <v>2334</v>
      </c>
      <c r="AP893" s="43"/>
      <c r="AQ893" s="236" t="str">
        <f>VLOOKUP(Table8[[#This Row],[Instrument]],Def_Targets!$D$73:$E$159,2,FALSE)</f>
        <v>I_ITS</v>
      </c>
      <c r="AR893" s="233" t="str">
        <f>VLOOKUP(Table8[[#This Row],[Country Code]],Table29[],3,FALSE)</f>
        <v>Annex I</v>
      </c>
      <c r="AS893" s="233" t="str">
        <f>VLOOKUP(Table8[[#This Row],[Country Code]],Table29[],4,FALSE)</f>
        <v>Europe</v>
      </c>
      <c r="AT893" s="233" t="str">
        <f>VLOOKUP(Table8[[#This Row],[Country Code]],Table29[],5,FALSE)</f>
        <v>High-income</v>
      </c>
      <c r="AU893" s="233" t="str">
        <f>VLOOKUP(Table8[[#This Row],[Country Code]],Table29[],6,FALSE)</f>
        <v>G20</v>
      </c>
      <c r="AV893" s="233" t="str">
        <f>VLOOKUP(Table8[[#This Row],[Country Code]],Table29[],7,FALSE)</f>
        <v>G7</v>
      </c>
      <c r="AW893" s="233" t="str">
        <f>VLOOKUP(Table8[[#This Row],[Country Code]],Table29[],8,FALSE)</f>
        <v>OECD</v>
      </c>
      <c r="AX893" s="233" t="str">
        <f>VLOOKUP(Table8[[#This Row],[Country Code]],Table29[],9,FALSE)</f>
        <v>EU27</v>
      </c>
      <c r="AY893" s="233" t="str">
        <f>VLOOKUP(Table8[[#This Row],[Country Code]],Table29[],10,FALSE)</f>
        <v>no</v>
      </c>
      <c r="AZ893" s="235">
        <f>VLOOKUP(Table8[[#This Row],[Country Code]],Table29[],23,FALSE)</f>
        <v>681.81032815186995</v>
      </c>
      <c r="BA893" s="235">
        <f>VLOOKUP(Table8[[#This Row],[Country Code]],Table29[],24,FALSE)</f>
        <v>141.2568578412648</v>
      </c>
      <c r="BB893" s="320"/>
      <c r="BC893" s="320"/>
    </row>
    <row r="894" spans="1:55" ht="60" hidden="1" x14ac:dyDescent="0.25">
      <c r="A894" s="373">
        <v>17602</v>
      </c>
      <c r="B894" s="233" t="str">
        <f>VLOOKUP(Table8[[#This Row],[Document ID]],Table1[],2,FALSE)</f>
        <v>DEU</v>
      </c>
      <c r="C894" s="233" t="str">
        <f>VLOOKUP(Table8[[#This Row],[Document ID]],Table1[],3,FALSE)</f>
        <v>Germany</v>
      </c>
      <c r="D894" s="243" t="str">
        <f>VLOOKUP(Table8[[#This Row],[Document ID]],Table1[],5,FALSE)</f>
        <v>LTS</v>
      </c>
      <c r="E894" s="233" t="str">
        <f>VLOOKUP(Table8[[#This Row],[Document ID]],Table1[],7,FALSE)</f>
        <v>Archived LTS 1.0</v>
      </c>
      <c r="F894" s="233" t="str">
        <f>VLOOKUP(Table8[[#This Row],[Document ID]],Table1[],8,FALSE)</f>
        <v>LTS 1.0</v>
      </c>
      <c r="G894" s="233" t="str">
        <f>VLOOKUP(Table8[[#This Row],[Document ID]],Table1[],10,FALSE)</f>
        <v>Archived</v>
      </c>
      <c r="H894" s="43" t="s">
        <v>2343</v>
      </c>
      <c r="I894" s="43" t="s">
        <v>2386</v>
      </c>
      <c r="J894" s="44" t="s">
        <v>2515</v>
      </c>
      <c r="K894" s="44" t="s">
        <v>3194</v>
      </c>
      <c r="L894" s="44" t="s">
        <v>2373</v>
      </c>
      <c r="M894" s="43">
        <v>73</v>
      </c>
      <c r="N894" s="113" t="s">
        <v>1113</v>
      </c>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319" t="s">
        <v>1113</v>
      </c>
      <c r="AL894" s="113"/>
      <c r="AM894" s="113"/>
      <c r="AN894" s="113"/>
      <c r="AO894" s="44" t="s">
        <v>2334</v>
      </c>
      <c r="AP894" s="43"/>
      <c r="AQ894" s="236" t="str">
        <f>VLOOKUP(Table8[[#This Row],[Instrument]],Def_Targets!$D$73:$E$159,2,FALSE)</f>
        <v>A_Fossilfuelsubs</v>
      </c>
      <c r="AR894" s="233" t="str">
        <f>VLOOKUP(Table8[[#This Row],[Country Code]],Table29[],3,FALSE)</f>
        <v>Annex I</v>
      </c>
      <c r="AS894" s="233" t="str">
        <f>VLOOKUP(Table8[[#This Row],[Country Code]],Table29[],4,FALSE)</f>
        <v>Europe</v>
      </c>
      <c r="AT894" s="233" t="str">
        <f>VLOOKUP(Table8[[#This Row],[Country Code]],Table29[],5,FALSE)</f>
        <v>High-income</v>
      </c>
      <c r="AU894" s="233" t="str">
        <f>VLOOKUP(Table8[[#This Row],[Country Code]],Table29[],6,FALSE)</f>
        <v>G20</v>
      </c>
      <c r="AV894" s="233" t="str">
        <f>VLOOKUP(Table8[[#This Row],[Country Code]],Table29[],7,FALSE)</f>
        <v>G7</v>
      </c>
      <c r="AW894" s="233" t="str">
        <f>VLOOKUP(Table8[[#This Row],[Country Code]],Table29[],8,FALSE)</f>
        <v>OECD</v>
      </c>
      <c r="AX894" s="233" t="str">
        <f>VLOOKUP(Table8[[#This Row],[Country Code]],Table29[],9,FALSE)</f>
        <v>EU27</v>
      </c>
      <c r="AY894" s="233" t="str">
        <f>VLOOKUP(Table8[[#This Row],[Country Code]],Table29[],10,FALSE)</f>
        <v>no</v>
      </c>
      <c r="AZ894" s="235">
        <f>VLOOKUP(Table8[[#This Row],[Country Code]],Table29[],23,FALSE)</f>
        <v>681.81032815186995</v>
      </c>
      <c r="BA894" s="235">
        <f>VLOOKUP(Table8[[#This Row],[Country Code]],Table29[],24,FALSE)</f>
        <v>141.2568578412648</v>
      </c>
      <c r="BB894" s="320"/>
      <c r="BC894" s="320"/>
    </row>
    <row r="895" spans="1:55" ht="75" hidden="1" x14ac:dyDescent="0.25">
      <c r="A895" s="373">
        <v>17602</v>
      </c>
      <c r="B895" s="233" t="str">
        <f>VLOOKUP(Table8[[#This Row],[Document ID]],Table1[],2,FALSE)</f>
        <v>DEU</v>
      </c>
      <c r="C895" s="233" t="str">
        <f>VLOOKUP(Table8[[#This Row],[Document ID]],Table1[],3,FALSE)</f>
        <v>Germany</v>
      </c>
      <c r="D895" s="243" t="str">
        <f>VLOOKUP(Table8[[#This Row],[Document ID]],Table1[],5,FALSE)</f>
        <v>LTS</v>
      </c>
      <c r="E895" s="233" t="str">
        <f>VLOOKUP(Table8[[#This Row],[Document ID]],Table1[],7,FALSE)</f>
        <v>Archived LTS 1.0</v>
      </c>
      <c r="F895" s="233" t="str">
        <f>VLOOKUP(Table8[[#This Row],[Document ID]],Table1[],8,FALSE)</f>
        <v>LTS 1.0</v>
      </c>
      <c r="G895" s="233" t="str">
        <f>VLOOKUP(Table8[[#This Row],[Document ID]],Table1[],10,FALSE)</f>
        <v>Archived</v>
      </c>
      <c r="H895" s="43" t="s">
        <v>2343</v>
      </c>
      <c r="I895" s="43" t="s">
        <v>2386</v>
      </c>
      <c r="J895" s="44" t="s">
        <v>2515</v>
      </c>
      <c r="K895" s="44" t="s">
        <v>3195</v>
      </c>
      <c r="L895" s="44" t="s">
        <v>2373</v>
      </c>
      <c r="M895" s="43">
        <v>73</v>
      </c>
      <c r="N895" s="113"/>
      <c r="O895" s="113"/>
      <c r="P895" s="113"/>
      <c r="Q895" s="113"/>
      <c r="R895" s="113"/>
      <c r="S895" s="113"/>
      <c r="T895" s="113"/>
      <c r="U895" s="113"/>
      <c r="V895" s="113"/>
      <c r="W895" s="113"/>
      <c r="X895" s="113"/>
      <c r="Y895" s="113"/>
      <c r="Z895" s="113"/>
      <c r="AA895" s="113"/>
      <c r="AB895" s="113"/>
      <c r="AC895" s="113"/>
      <c r="AD895" s="113" t="s">
        <v>1113</v>
      </c>
      <c r="AE895" s="113"/>
      <c r="AF895" s="113"/>
      <c r="AG895" s="113"/>
      <c r="AH895" s="113" t="s">
        <v>1113</v>
      </c>
      <c r="AI895" s="113"/>
      <c r="AJ895" s="113"/>
      <c r="AK895" s="319" t="s">
        <v>1113</v>
      </c>
      <c r="AL895" s="113"/>
      <c r="AM895" s="113"/>
      <c r="AN895" s="113"/>
      <c r="AO895" s="44" t="s">
        <v>2334</v>
      </c>
      <c r="AP895" s="43"/>
      <c r="AQ895" s="236" t="str">
        <f>VLOOKUP(Table8[[#This Row],[Instrument]],Def_Targets!$D$73:$E$159,2,FALSE)</f>
        <v>A_Fossilfuelsubs</v>
      </c>
      <c r="AR895" s="233" t="str">
        <f>VLOOKUP(Table8[[#This Row],[Country Code]],Table29[],3,FALSE)</f>
        <v>Annex I</v>
      </c>
      <c r="AS895" s="233" t="str">
        <f>VLOOKUP(Table8[[#This Row],[Country Code]],Table29[],4,FALSE)</f>
        <v>Europe</v>
      </c>
      <c r="AT895" s="233" t="str">
        <f>VLOOKUP(Table8[[#This Row],[Country Code]],Table29[],5,FALSE)</f>
        <v>High-income</v>
      </c>
      <c r="AU895" s="233" t="str">
        <f>VLOOKUP(Table8[[#This Row],[Country Code]],Table29[],6,FALSE)</f>
        <v>G20</v>
      </c>
      <c r="AV895" s="233" t="str">
        <f>VLOOKUP(Table8[[#This Row],[Country Code]],Table29[],7,FALSE)</f>
        <v>G7</v>
      </c>
      <c r="AW895" s="233" t="str">
        <f>VLOOKUP(Table8[[#This Row],[Country Code]],Table29[],8,FALSE)</f>
        <v>OECD</v>
      </c>
      <c r="AX895" s="233" t="str">
        <f>VLOOKUP(Table8[[#This Row],[Country Code]],Table29[],9,FALSE)</f>
        <v>EU27</v>
      </c>
      <c r="AY895" s="233" t="str">
        <f>VLOOKUP(Table8[[#This Row],[Country Code]],Table29[],10,FALSE)</f>
        <v>no</v>
      </c>
      <c r="AZ895" s="235">
        <f>VLOOKUP(Table8[[#This Row],[Country Code]],Table29[],23,FALSE)</f>
        <v>681.81032815186995</v>
      </c>
      <c r="BA895" s="235">
        <f>VLOOKUP(Table8[[#This Row],[Country Code]],Table29[],24,FALSE)</f>
        <v>141.2568578412648</v>
      </c>
      <c r="BB895" s="320"/>
      <c r="BC895" s="320"/>
    </row>
    <row r="896" spans="1:55" ht="75" hidden="1" x14ac:dyDescent="0.25">
      <c r="A896" s="373">
        <v>17602</v>
      </c>
      <c r="B896" s="233" t="str">
        <f>VLOOKUP(Table8[[#This Row],[Document ID]],Table1[],2,FALSE)</f>
        <v>DEU</v>
      </c>
      <c r="C896" s="233" t="str">
        <f>VLOOKUP(Table8[[#This Row],[Document ID]],Table1[],3,FALSE)</f>
        <v>Germany</v>
      </c>
      <c r="D896" s="243" t="str">
        <f>VLOOKUP(Table8[[#This Row],[Document ID]],Table1[],5,FALSE)</f>
        <v>LTS</v>
      </c>
      <c r="E896" s="233" t="str">
        <f>VLOOKUP(Table8[[#This Row],[Document ID]],Table1[],7,FALSE)</f>
        <v>Archived LTS 1.0</v>
      </c>
      <c r="F896" s="233" t="str">
        <f>VLOOKUP(Table8[[#This Row],[Document ID]],Table1[],8,FALSE)</f>
        <v>LTS 1.0</v>
      </c>
      <c r="G896" s="233" t="str">
        <f>VLOOKUP(Table8[[#This Row],[Document ID]],Table1[],10,FALSE)</f>
        <v>Archived</v>
      </c>
      <c r="H896" s="43" t="s">
        <v>2343</v>
      </c>
      <c r="I896" s="43" t="s">
        <v>2386</v>
      </c>
      <c r="J896" s="44" t="s">
        <v>2498</v>
      </c>
      <c r="K896" s="44" t="s">
        <v>3195</v>
      </c>
      <c r="L896" s="44" t="s">
        <v>2380</v>
      </c>
      <c r="M896" s="43">
        <v>73</v>
      </c>
      <c r="N896" s="113"/>
      <c r="O896" s="113"/>
      <c r="P896" s="113"/>
      <c r="Q896" s="113"/>
      <c r="R896" s="113"/>
      <c r="S896" s="113"/>
      <c r="T896" s="113"/>
      <c r="U896" s="113"/>
      <c r="V896" s="113"/>
      <c r="W896" s="113"/>
      <c r="X896" s="113"/>
      <c r="Y896" s="113"/>
      <c r="Z896" s="113"/>
      <c r="AA896" s="113"/>
      <c r="AB896" s="113"/>
      <c r="AC896" s="113"/>
      <c r="AD896" s="113" t="s">
        <v>1113</v>
      </c>
      <c r="AE896" s="113"/>
      <c r="AF896" s="113"/>
      <c r="AG896" s="113"/>
      <c r="AH896" s="113" t="s">
        <v>1113</v>
      </c>
      <c r="AI896" s="113"/>
      <c r="AJ896" s="113"/>
      <c r="AK896" s="319" t="s">
        <v>1113</v>
      </c>
      <c r="AL896" s="113"/>
      <c r="AM896" s="113"/>
      <c r="AN896" s="113"/>
      <c r="AO896" s="44" t="s">
        <v>2334</v>
      </c>
      <c r="AP896" s="43"/>
      <c r="AQ896" s="236" t="str">
        <f>VLOOKUP(Table8[[#This Row],[Instrument]],Def_Targets!$D$73:$E$159,2,FALSE)</f>
        <v>A_Fueltax</v>
      </c>
      <c r="AR896" s="233" t="str">
        <f>VLOOKUP(Table8[[#This Row],[Country Code]],Table29[],3,FALSE)</f>
        <v>Annex I</v>
      </c>
      <c r="AS896" s="233" t="str">
        <f>VLOOKUP(Table8[[#This Row],[Country Code]],Table29[],4,FALSE)</f>
        <v>Europe</v>
      </c>
      <c r="AT896" s="233" t="str">
        <f>VLOOKUP(Table8[[#This Row],[Country Code]],Table29[],5,FALSE)</f>
        <v>High-income</v>
      </c>
      <c r="AU896" s="233" t="str">
        <f>VLOOKUP(Table8[[#This Row],[Country Code]],Table29[],6,FALSE)</f>
        <v>G20</v>
      </c>
      <c r="AV896" s="233" t="str">
        <f>VLOOKUP(Table8[[#This Row],[Country Code]],Table29[],7,FALSE)</f>
        <v>G7</v>
      </c>
      <c r="AW896" s="233" t="str">
        <f>VLOOKUP(Table8[[#This Row],[Country Code]],Table29[],8,FALSE)</f>
        <v>OECD</v>
      </c>
      <c r="AX896" s="233" t="str">
        <f>VLOOKUP(Table8[[#This Row],[Country Code]],Table29[],9,FALSE)</f>
        <v>EU27</v>
      </c>
      <c r="AY896" s="233" t="str">
        <f>VLOOKUP(Table8[[#This Row],[Country Code]],Table29[],10,FALSE)</f>
        <v>no</v>
      </c>
      <c r="AZ896" s="235">
        <f>VLOOKUP(Table8[[#This Row],[Country Code]],Table29[],23,FALSE)</f>
        <v>681.81032815186995</v>
      </c>
      <c r="BA896" s="235">
        <f>VLOOKUP(Table8[[#This Row],[Country Code]],Table29[],24,FALSE)</f>
        <v>141.2568578412648</v>
      </c>
      <c r="BB896" s="320"/>
      <c r="BC896" s="320"/>
    </row>
    <row r="897" spans="1:55" ht="45" hidden="1" x14ac:dyDescent="0.25">
      <c r="A897" s="373">
        <v>17593</v>
      </c>
      <c r="B897" s="233" t="str">
        <f>VLOOKUP(Table8[[#This Row],[Document ID]],Table1[],2,FALSE)</f>
        <v>FJI</v>
      </c>
      <c r="C897" s="233" t="str">
        <f>VLOOKUP(Table8[[#This Row],[Document ID]],Table1[],3,FALSE)</f>
        <v>Fiji</v>
      </c>
      <c r="D897" s="243" t="str">
        <f>VLOOKUP(Table8[[#This Row],[Document ID]],Table1[],5,FALSE)</f>
        <v>LTS</v>
      </c>
      <c r="E897" s="233" t="str">
        <f>VLOOKUP(Table8[[#This Row],[Document ID]],Table1[],7,FALSE)</f>
        <v>LTS</v>
      </c>
      <c r="F897" s="233" t="str">
        <f>VLOOKUP(Table8[[#This Row],[Document ID]],Table1[],8,FALSE)</f>
        <v>LTS 1.0</v>
      </c>
      <c r="G897" s="233" t="str">
        <f>VLOOKUP(Table8[[#This Row],[Document ID]],Table1[],10,FALSE)</f>
        <v>Active</v>
      </c>
      <c r="H897" s="43" t="s">
        <v>2484</v>
      </c>
      <c r="I897" s="43" t="s">
        <v>2485</v>
      </c>
      <c r="J897" s="44" t="s">
        <v>2669</v>
      </c>
      <c r="K897" s="44" t="s">
        <v>3196</v>
      </c>
      <c r="L897" s="44" t="s">
        <v>2333</v>
      </c>
      <c r="M897" s="43">
        <v>222</v>
      </c>
      <c r="N897" s="113"/>
      <c r="O897" s="113"/>
      <c r="P897" s="113"/>
      <c r="Q897" s="113"/>
      <c r="R897" s="113"/>
      <c r="S897" s="113"/>
      <c r="T897" s="113"/>
      <c r="U897" s="113"/>
      <c r="V897" s="113"/>
      <c r="W897" s="113"/>
      <c r="X897" s="113"/>
      <c r="Y897" s="113"/>
      <c r="Z897" s="113"/>
      <c r="AA897" s="113"/>
      <c r="AB897" s="113"/>
      <c r="AC897" s="113"/>
      <c r="AD897" s="113" t="s">
        <v>1113</v>
      </c>
      <c r="AE897" s="113"/>
      <c r="AF897" s="113"/>
      <c r="AG897" s="113"/>
      <c r="AH897" s="113"/>
      <c r="AI897" s="113"/>
      <c r="AJ897" s="113"/>
      <c r="AK897" s="319" t="s">
        <v>1113</v>
      </c>
      <c r="AL897" s="113"/>
      <c r="AM897" s="113"/>
      <c r="AN897" s="113"/>
      <c r="AO897" s="44" t="s">
        <v>2334</v>
      </c>
      <c r="AP897" s="44"/>
      <c r="AQ897" s="236" t="str">
        <f>VLOOKUP(Table8[[#This Row],[Instrument]],Def_Targets!$D$73:$E$159,2,FALSE)</f>
        <v>I_Shipefficiency</v>
      </c>
      <c r="AR897" s="233" t="str">
        <f>VLOOKUP(Table8[[#This Row],[Country Code]],Table29[],3,FALSE)</f>
        <v>Non-Annex I</v>
      </c>
      <c r="AS897" s="233" t="str">
        <f>VLOOKUP(Table8[[#This Row],[Country Code]],Table29[],4,FALSE)</f>
        <v>Oceania</v>
      </c>
      <c r="AT897" s="233" t="str">
        <f>VLOOKUP(Table8[[#This Row],[Country Code]],Table29[],5,FALSE)</f>
        <v>Middle-income</v>
      </c>
      <c r="AU897" s="233" t="str">
        <f>VLOOKUP(Table8[[#This Row],[Country Code]],Table29[],6,FALSE)</f>
        <v>no</v>
      </c>
      <c r="AV897" s="233" t="str">
        <f>VLOOKUP(Table8[[#This Row],[Country Code]],Table29[],7,FALSE)</f>
        <v>no</v>
      </c>
      <c r="AW897" s="233" t="str">
        <f>VLOOKUP(Table8[[#This Row],[Country Code]],Table29[],8,FALSE)</f>
        <v>non-OECD</v>
      </c>
      <c r="AX897" s="233" t="str">
        <f>VLOOKUP(Table8[[#This Row],[Country Code]],Table29[],9,FALSE)</f>
        <v>no</v>
      </c>
      <c r="AY897" s="233" t="str">
        <f>VLOOKUP(Table8[[#This Row],[Country Code]],Table29[],10,FALSE)</f>
        <v>no</v>
      </c>
      <c r="AZ897" s="235">
        <f>VLOOKUP(Table8[[#This Row],[Country Code]],Table29[],23,FALSE)</f>
        <v>3.4009927758626</v>
      </c>
      <c r="BA897" s="235">
        <f>VLOOKUP(Table8[[#This Row],[Country Code]],Table29[],24,FALSE)</f>
        <v>1.126237744382208</v>
      </c>
      <c r="BB897" s="320"/>
      <c r="BC897" s="320"/>
    </row>
    <row r="898" spans="1:55" ht="45" hidden="1" x14ac:dyDescent="0.25">
      <c r="A898" s="373">
        <v>17593</v>
      </c>
      <c r="B898" s="233" t="str">
        <f>VLOOKUP(Table8[[#This Row],[Document ID]],Table1[],2,FALSE)</f>
        <v>FJI</v>
      </c>
      <c r="C898" s="233" t="str">
        <f>VLOOKUP(Table8[[#This Row],[Document ID]],Table1[],3,FALSE)</f>
        <v>Fiji</v>
      </c>
      <c r="D898" s="243" t="str">
        <f>VLOOKUP(Table8[[#This Row],[Document ID]],Table1[],5,FALSE)</f>
        <v>LTS</v>
      </c>
      <c r="E898" s="233" t="str">
        <f>VLOOKUP(Table8[[#This Row],[Document ID]],Table1[],7,FALSE)</f>
        <v>LTS</v>
      </c>
      <c r="F898" s="233" t="str">
        <f>VLOOKUP(Table8[[#This Row],[Document ID]],Table1[],8,FALSE)</f>
        <v>LTS 1.0</v>
      </c>
      <c r="G898" s="233" t="str">
        <f>VLOOKUP(Table8[[#This Row],[Document ID]],Table1[],10,FALSE)</f>
        <v>Active</v>
      </c>
      <c r="H898" s="43" t="s">
        <v>2343</v>
      </c>
      <c r="I898" s="43" t="s">
        <v>2429</v>
      </c>
      <c r="J898" s="44" t="s">
        <v>2472</v>
      </c>
      <c r="K898" s="44" t="s">
        <v>3197</v>
      </c>
      <c r="L898" s="44" t="s">
        <v>2333</v>
      </c>
      <c r="M898" s="43">
        <v>222</v>
      </c>
      <c r="N898" s="113"/>
      <c r="O898" s="113"/>
      <c r="P898" s="113"/>
      <c r="Q898" s="113"/>
      <c r="R898" s="113"/>
      <c r="S898" s="113"/>
      <c r="T898" s="113"/>
      <c r="U898" s="113"/>
      <c r="V898" s="113"/>
      <c r="W898" s="113"/>
      <c r="X898" s="113"/>
      <c r="Y898" s="113"/>
      <c r="Z898" s="113"/>
      <c r="AA898" s="113"/>
      <c r="AB898" s="113"/>
      <c r="AC898" s="113"/>
      <c r="AD898" s="113" t="s">
        <v>1113</v>
      </c>
      <c r="AE898" s="113"/>
      <c r="AF898" s="113"/>
      <c r="AG898" s="113"/>
      <c r="AH898" s="113"/>
      <c r="AI898" s="113"/>
      <c r="AJ898" s="113"/>
      <c r="AK898" s="319" t="s">
        <v>1113</v>
      </c>
      <c r="AL898" s="113"/>
      <c r="AM898" s="113"/>
      <c r="AN898" s="113"/>
      <c r="AO898" s="44" t="s">
        <v>2334</v>
      </c>
      <c r="AP898" s="44"/>
      <c r="AQ898" s="236" t="str">
        <f>VLOOKUP(Table8[[#This Row],[Instrument]],Def_Targets!$D$73:$E$159,2,FALSE)</f>
        <v>I_Other</v>
      </c>
      <c r="AR898" s="233" t="str">
        <f>VLOOKUP(Table8[[#This Row],[Country Code]],Table29[],3,FALSE)</f>
        <v>Non-Annex I</v>
      </c>
      <c r="AS898" s="233" t="str">
        <f>VLOOKUP(Table8[[#This Row],[Country Code]],Table29[],4,FALSE)</f>
        <v>Oceania</v>
      </c>
      <c r="AT898" s="233" t="str">
        <f>VLOOKUP(Table8[[#This Row],[Country Code]],Table29[],5,FALSE)</f>
        <v>Middle-income</v>
      </c>
      <c r="AU898" s="233" t="str">
        <f>VLOOKUP(Table8[[#This Row],[Country Code]],Table29[],6,FALSE)</f>
        <v>no</v>
      </c>
      <c r="AV898" s="233" t="str">
        <f>VLOOKUP(Table8[[#This Row],[Country Code]],Table29[],7,FALSE)</f>
        <v>no</v>
      </c>
      <c r="AW898" s="233" t="str">
        <f>VLOOKUP(Table8[[#This Row],[Country Code]],Table29[],8,FALSE)</f>
        <v>non-OECD</v>
      </c>
      <c r="AX898" s="233" t="str">
        <f>VLOOKUP(Table8[[#This Row],[Country Code]],Table29[],9,FALSE)</f>
        <v>no</v>
      </c>
      <c r="AY898" s="233" t="str">
        <f>VLOOKUP(Table8[[#This Row],[Country Code]],Table29[],10,FALSE)</f>
        <v>no</v>
      </c>
      <c r="AZ898" s="235">
        <f>VLOOKUP(Table8[[#This Row],[Country Code]],Table29[],23,FALSE)</f>
        <v>3.4009927758626</v>
      </c>
      <c r="BA898" s="235">
        <f>VLOOKUP(Table8[[#This Row],[Country Code]],Table29[],24,FALSE)</f>
        <v>1.126237744382208</v>
      </c>
      <c r="BB898" s="320"/>
      <c r="BC898" s="320"/>
    </row>
    <row r="899" spans="1:55" ht="90" hidden="1" x14ac:dyDescent="0.25">
      <c r="A899" s="373">
        <v>17593</v>
      </c>
      <c r="B899" s="233" t="str">
        <f>VLOOKUP(Table8[[#This Row],[Document ID]],Table1[],2,FALSE)</f>
        <v>FJI</v>
      </c>
      <c r="C899" s="233" t="str">
        <f>VLOOKUP(Table8[[#This Row],[Document ID]],Table1[],3,FALSE)</f>
        <v>Fiji</v>
      </c>
      <c r="D899" s="243" t="str">
        <f>VLOOKUP(Table8[[#This Row],[Document ID]],Table1[],5,FALSE)</f>
        <v>LTS</v>
      </c>
      <c r="E899" s="233" t="str">
        <f>VLOOKUP(Table8[[#This Row],[Document ID]],Table1[],7,FALSE)</f>
        <v>LTS</v>
      </c>
      <c r="F899" s="233" t="str">
        <f>VLOOKUP(Table8[[#This Row],[Document ID]],Table1[],8,FALSE)</f>
        <v>LTS 1.0</v>
      </c>
      <c r="G899" s="233" t="str">
        <f>VLOOKUP(Table8[[#This Row],[Document ID]],Table1[],10,FALSE)</f>
        <v>Active</v>
      </c>
      <c r="H899" s="43" t="s">
        <v>2343</v>
      </c>
      <c r="I899" s="43" t="s">
        <v>2386</v>
      </c>
      <c r="J899" s="44" t="s">
        <v>2397</v>
      </c>
      <c r="K899" s="44" t="s">
        <v>3198</v>
      </c>
      <c r="L899" s="44" t="s">
        <v>2333</v>
      </c>
      <c r="M899" s="43">
        <v>222</v>
      </c>
      <c r="N899" s="113"/>
      <c r="O899" s="113"/>
      <c r="P899" s="113"/>
      <c r="Q899" s="113"/>
      <c r="R899" s="113"/>
      <c r="S899" s="113"/>
      <c r="T899" s="113"/>
      <c r="U899" s="113"/>
      <c r="V899" s="113"/>
      <c r="W899" s="113"/>
      <c r="X899" s="113"/>
      <c r="Y899" s="113"/>
      <c r="Z899" s="113"/>
      <c r="AA899" s="113"/>
      <c r="AB899" s="113"/>
      <c r="AC899" s="113"/>
      <c r="AD899" s="113" t="s">
        <v>1113</v>
      </c>
      <c r="AE899" s="113"/>
      <c r="AF899" s="113"/>
      <c r="AG899" s="113"/>
      <c r="AH899" s="113"/>
      <c r="AI899" s="113"/>
      <c r="AJ899" s="113"/>
      <c r="AK899" s="319" t="s">
        <v>1113</v>
      </c>
      <c r="AL899" s="113"/>
      <c r="AM899" s="113"/>
      <c r="AN899" s="113"/>
      <c r="AO899" s="44" t="s">
        <v>2334</v>
      </c>
      <c r="AP899" s="44"/>
      <c r="AQ899" s="236" t="str">
        <f>VLOOKUP(Table8[[#This Row],[Instrument]],Def_Targets!$D$73:$E$159,2,FALSE)</f>
        <v>A_Finance</v>
      </c>
      <c r="AR899" s="233" t="str">
        <f>VLOOKUP(Table8[[#This Row],[Country Code]],Table29[],3,FALSE)</f>
        <v>Non-Annex I</v>
      </c>
      <c r="AS899" s="233" t="str">
        <f>VLOOKUP(Table8[[#This Row],[Country Code]],Table29[],4,FALSE)</f>
        <v>Oceania</v>
      </c>
      <c r="AT899" s="233" t="str">
        <f>VLOOKUP(Table8[[#This Row],[Country Code]],Table29[],5,FALSE)</f>
        <v>Middle-income</v>
      </c>
      <c r="AU899" s="233" t="str">
        <f>VLOOKUP(Table8[[#This Row],[Country Code]],Table29[],6,FALSE)</f>
        <v>no</v>
      </c>
      <c r="AV899" s="233" t="str">
        <f>VLOOKUP(Table8[[#This Row],[Country Code]],Table29[],7,FALSE)</f>
        <v>no</v>
      </c>
      <c r="AW899" s="233" t="str">
        <f>VLOOKUP(Table8[[#This Row],[Country Code]],Table29[],8,FALSE)</f>
        <v>non-OECD</v>
      </c>
      <c r="AX899" s="233" t="str">
        <f>VLOOKUP(Table8[[#This Row],[Country Code]],Table29[],9,FALSE)</f>
        <v>no</v>
      </c>
      <c r="AY899" s="233" t="str">
        <f>VLOOKUP(Table8[[#This Row],[Country Code]],Table29[],10,FALSE)</f>
        <v>no</v>
      </c>
      <c r="AZ899" s="235">
        <f>VLOOKUP(Table8[[#This Row],[Country Code]],Table29[],23,FALSE)</f>
        <v>3.4009927758626</v>
      </c>
      <c r="BA899" s="235">
        <f>VLOOKUP(Table8[[#This Row],[Country Code]],Table29[],24,FALSE)</f>
        <v>1.126237744382208</v>
      </c>
      <c r="BB899" s="320"/>
      <c r="BC899" s="320"/>
    </row>
    <row r="900" spans="1:55" ht="60" hidden="1" x14ac:dyDescent="0.25">
      <c r="A900" s="373">
        <v>17593</v>
      </c>
      <c r="B900" s="233" t="str">
        <f>VLOOKUP(Table8[[#This Row],[Document ID]],Table1[],2,FALSE)</f>
        <v>FJI</v>
      </c>
      <c r="C900" s="233" t="str">
        <f>VLOOKUP(Table8[[#This Row],[Document ID]],Table1[],3,FALSE)</f>
        <v>Fiji</v>
      </c>
      <c r="D900" s="243" t="str">
        <f>VLOOKUP(Table8[[#This Row],[Document ID]],Table1[],5,FALSE)</f>
        <v>LTS</v>
      </c>
      <c r="E900" s="233" t="str">
        <f>VLOOKUP(Table8[[#This Row],[Document ID]],Table1[],7,FALSE)</f>
        <v>LTS</v>
      </c>
      <c r="F900" s="233" t="str">
        <f>VLOOKUP(Table8[[#This Row],[Document ID]],Table1[],8,FALSE)</f>
        <v>LTS 1.0</v>
      </c>
      <c r="G900" s="233" t="str">
        <f>VLOOKUP(Table8[[#This Row],[Document ID]],Table1[],10,FALSE)</f>
        <v>Active</v>
      </c>
      <c r="H900" s="43" t="s">
        <v>2484</v>
      </c>
      <c r="I900" s="43" t="s">
        <v>2485</v>
      </c>
      <c r="J900" s="44" t="s">
        <v>2669</v>
      </c>
      <c r="K900" s="44" t="s">
        <v>3199</v>
      </c>
      <c r="L900" s="44" t="s">
        <v>2333</v>
      </c>
      <c r="M900" s="43">
        <v>222</v>
      </c>
      <c r="N900" s="113"/>
      <c r="O900" s="113"/>
      <c r="P900" s="113"/>
      <c r="Q900" s="113"/>
      <c r="R900" s="113"/>
      <c r="S900" s="113"/>
      <c r="T900" s="113"/>
      <c r="U900" s="113"/>
      <c r="V900" s="113"/>
      <c r="W900" s="113"/>
      <c r="X900" s="113"/>
      <c r="Y900" s="113"/>
      <c r="Z900" s="113"/>
      <c r="AA900" s="113"/>
      <c r="AB900" s="113"/>
      <c r="AC900" s="113"/>
      <c r="AD900" s="113" t="s">
        <v>1113</v>
      </c>
      <c r="AE900" s="113"/>
      <c r="AF900" s="113"/>
      <c r="AG900" s="113"/>
      <c r="AH900" s="113"/>
      <c r="AI900" s="113"/>
      <c r="AJ900" s="113"/>
      <c r="AK900" s="319" t="s">
        <v>1113</v>
      </c>
      <c r="AL900" s="113"/>
      <c r="AM900" s="113"/>
      <c r="AN900" s="113"/>
      <c r="AO900" s="44" t="s">
        <v>2334</v>
      </c>
      <c r="AP900" s="44"/>
      <c r="AQ900" s="236" t="str">
        <f>VLOOKUP(Table8[[#This Row],[Instrument]],Def_Targets!$D$73:$E$159,2,FALSE)</f>
        <v>I_Shipefficiency</v>
      </c>
      <c r="AR900" s="233" t="str">
        <f>VLOOKUP(Table8[[#This Row],[Country Code]],Table29[],3,FALSE)</f>
        <v>Non-Annex I</v>
      </c>
      <c r="AS900" s="233" t="str">
        <f>VLOOKUP(Table8[[#This Row],[Country Code]],Table29[],4,FALSE)</f>
        <v>Oceania</v>
      </c>
      <c r="AT900" s="233" t="str">
        <f>VLOOKUP(Table8[[#This Row],[Country Code]],Table29[],5,FALSE)</f>
        <v>Middle-income</v>
      </c>
      <c r="AU900" s="233" t="str">
        <f>VLOOKUP(Table8[[#This Row],[Country Code]],Table29[],6,FALSE)</f>
        <v>no</v>
      </c>
      <c r="AV900" s="233" t="str">
        <f>VLOOKUP(Table8[[#This Row],[Country Code]],Table29[],7,FALSE)</f>
        <v>no</v>
      </c>
      <c r="AW900" s="233" t="str">
        <f>VLOOKUP(Table8[[#This Row],[Country Code]],Table29[],8,FALSE)</f>
        <v>non-OECD</v>
      </c>
      <c r="AX900" s="233" t="str">
        <f>VLOOKUP(Table8[[#This Row],[Country Code]],Table29[],9,FALSE)</f>
        <v>no</v>
      </c>
      <c r="AY900" s="233" t="str">
        <f>VLOOKUP(Table8[[#This Row],[Country Code]],Table29[],10,FALSE)</f>
        <v>no</v>
      </c>
      <c r="AZ900" s="235">
        <f>VLOOKUP(Table8[[#This Row],[Country Code]],Table29[],23,FALSE)</f>
        <v>3.4009927758626</v>
      </c>
      <c r="BA900" s="235">
        <f>VLOOKUP(Table8[[#This Row],[Country Code]],Table29[],24,FALSE)</f>
        <v>1.126237744382208</v>
      </c>
      <c r="BB900" s="320"/>
      <c r="BC900" s="320"/>
    </row>
    <row r="901" spans="1:55" ht="45" hidden="1" x14ac:dyDescent="0.25">
      <c r="A901" s="373">
        <v>17604</v>
      </c>
      <c r="B901" s="233" t="str">
        <f>VLOOKUP(Table8[[#This Row],[Document ID]],Table1[],2,FALSE)</f>
        <v>GHA</v>
      </c>
      <c r="C901" s="233" t="str">
        <f>VLOOKUP(Table8[[#This Row],[Document ID]],Table1[],3,FALSE)</f>
        <v>Ghana</v>
      </c>
      <c r="D901" s="243" t="str">
        <f>VLOOKUP(Table8[[#This Row],[Document ID]],Table1[],5,FALSE)</f>
        <v>NDC</v>
      </c>
      <c r="E901" s="233" t="str">
        <f>VLOOKUP(Table8[[#This Row],[Document ID]],Table1[],7,FALSE)</f>
        <v>First NDC</v>
      </c>
      <c r="F901" s="236" t="str">
        <f>VLOOKUP(Table8[[#This Row],[Document ID]],Table1[],8,FALSE)</f>
        <v>NDC 1.0</v>
      </c>
      <c r="G901" s="236" t="str">
        <f>VLOOKUP(Table8[[#This Row],[Document ID]],Table1[],10,FALSE)</f>
        <v>Archived</v>
      </c>
      <c r="H901" s="43" t="s">
        <v>2343</v>
      </c>
      <c r="I901" s="43" t="s">
        <v>2344</v>
      </c>
      <c r="J901" s="44" t="s">
        <v>2405</v>
      </c>
      <c r="K901" s="44" t="s">
        <v>3200</v>
      </c>
      <c r="L901" s="44" t="s">
        <v>2347</v>
      </c>
      <c r="M901" s="43"/>
      <c r="N901" s="113"/>
      <c r="O901" s="113"/>
      <c r="P901" s="113"/>
      <c r="Q901" s="319"/>
      <c r="R901" s="319"/>
      <c r="S901" s="319"/>
      <c r="T901" s="319"/>
      <c r="U901" s="319"/>
      <c r="V901" s="319"/>
      <c r="W901" s="319"/>
      <c r="X901" s="319"/>
      <c r="Y901" s="113" t="s">
        <v>1113</v>
      </c>
      <c r="Z901" s="113" t="s">
        <v>1113</v>
      </c>
      <c r="AA901" s="319"/>
      <c r="AB901" s="319"/>
      <c r="AC901" s="319"/>
      <c r="AD901" s="319"/>
      <c r="AE901" s="319"/>
      <c r="AF901" s="319"/>
      <c r="AG901" s="319"/>
      <c r="AH901" s="319"/>
      <c r="AI901" s="319"/>
      <c r="AJ901" s="319"/>
      <c r="AK901" s="319"/>
      <c r="AL901" s="113" t="s">
        <v>1113</v>
      </c>
      <c r="AM901" s="319"/>
      <c r="AN901" s="319"/>
      <c r="AO901" s="43" t="s">
        <v>2348</v>
      </c>
      <c r="AP901" s="44"/>
      <c r="AQ901" s="236" t="str">
        <f>VLOOKUP(Table8[[#This Row],[Instrument]],Def_Targets!$D$73:$E$159,2,FALSE)</f>
        <v>S_PTIntegration</v>
      </c>
      <c r="AR901" s="233" t="str">
        <f>VLOOKUP(Table8[[#This Row],[Country Code]],Table29[],3,FALSE)</f>
        <v>Non-Annex I</v>
      </c>
      <c r="AS901" s="233" t="str">
        <f>VLOOKUP(Table8[[#This Row],[Country Code]],Table29[],4,FALSE)</f>
        <v>Africa</v>
      </c>
      <c r="AT901" s="233" t="str">
        <f>VLOOKUP(Table8[[#This Row],[Country Code]],Table29[],5,FALSE)</f>
        <v>Middle-income</v>
      </c>
      <c r="AU901" s="233" t="str">
        <f>VLOOKUP(Table8[[#This Row],[Country Code]],Table29[],6,FALSE)</f>
        <v>no</v>
      </c>
      <c r="AV901" s="233" t="str">
        <f>VLOOKUP(Table8[[#This Row],[Country Code]],Table29[],7,FALSE)</f>
        <v>no</v>
      </c>
      <c r="AW901" s="233" t="str">
        <f>VLOOKUP(Table8[[#This Row],[Country Code]],Table29[],8,FALSE)</f>
        <v>non-OECD</v>
      </c>
      <c r="AX901" s="233" t="str">
        <f>VLOOKUP(Table8[[#This Row],[Country Code]],Table29[],9,FALSE)</f>
        <v>no</v>
      </c>
      <c r="AY901" s="233" t="str">
        <f>VLOOKUP(Table8[[#This Row],[Country Code]],Table29[],10,FALSE)</f>
        <v>no</v>
      </c>
      <c r="AZ901" s="235">
        <f>VLOOKUP(Table8[[#This Row],[Country Code]],Table29[],23,FALSE)</f>
        <v>48.265926450338</v>
      </c>
      <c r="BA901" s="235">
        <f>VLOOKUP(Table8[[#This Row],[Country Code]],Table29[],24,FALSE)</f>
        <v>9.2203647608909662</v>
      </c>
      <c r="BB901" s="320"/>
      <c r="BC901" s="320"/>
    </row>
    <row r="902" spans="1:55" ht="30" hidden="1" x14ac:dyDescent="0.25">
      <c r="A902" s="373">
        <v>17604</v>
      </c>
      <c r="B902" s="233" t="str">
        <f>VLOOKUP(Table8[[#This Row],[Document ID]],Table1[],2,FALSE)</f>
        <v>GHA</v>
      </c>
      <c r="C902" s="233" t="str">
        <f>VLOOKUP(Table8[[#This Row],[Document ID]],Table1[],3,FALSE)</f>
        <v>Ghana</v>
      </c>
      <c r="D902" s="243" t="str">
        <f>VLOOKUP(Table8[[#This Row],[Document ID]],Table1[],5,FALSE)</f>
        <v>NDC</v>
      </c>
      <c r="E902" s="233" t="str">
        <f>VLOOKUP(Table8[[#This Row],[Document ID]],Table1[],7,FALSE)</f>
        <v>First NDC</v>
      </c>
      <c r="F902" s="236" t="str">
        <f>VLOOKUP(Table8[[#This Row],[Document ID]],Table1[],8,FALSE)</f>
        <v>NDC 1.0</v>
      </c>
      <c r="G902" s="236" t="str">
        <f>VLOOKUP(Table8[[#This Row],[Document ID]],Table1[],10,FALSE)</f>
        <v>Archived</v>
      </c>
      <c r="H902" s="43" t="s">
        <v>2350</v>
      </c>
      <c r="I902" s="43" t="s">
        <v>2370</v>
      </c>
      <c r="J902" s="44" t="s">
        <v>2418</v>
      </c>
      <c r="K902" s="44" t="s">
        <v>3201</v>
      </c>
      <c r="L902" s="44" t="s">
        <v>2380</v>
      </c>
      <c r="M902" s="43"/>
      <c r="N902" s="113" t="s">
        <v>1113</v>
      </c>
      <c r="O902" s="113"/>
      <c r="P902" s="113"/>
      <c r="Q902" s="319"/>
      <c r="R902" s="319"/>
      <c r="S902" s="319"/>
      <c r="T902" s="319"/>
      <c r="U902" s="319"/>
      <c r="V902" s="319"/>
      <c r="W902" s="319"/>
      <c r="X902" s="319"/>
      <c r="Y902" s="319"/>
      <c r="Z902" s="319"/>
      <c r="AA902" s="319"/>
      <c r="AB902" s="319"/>
      <c r="AC902" s="319"/>
      <c r="AD902" s="319"/>
      <c r="AE902" s="319"/>
      <c r="AF902" s="319"/>
      <c r="AG902" s="319"/>
      <c r="AH902" s="319"/>
      <c r="AI902" s="319"/>
      <c r="AJ902" s="319"/>
      <c r="AK902" s="319"/>
      <c r="AL902" s="113" t="s">
        <v>1113</v>
      </c>
      <c r="AM902" s="319"/>
      <c r="AN902" s="319"/>
      <c r="AO902" s="44" t="s">
        <v>2334</v>
      </c>
      <c r="AP902" s="44"/>
      <c r="AQ902" s="236" t="str">
        <f>VLOOKUP(Table8[[#This Row],[Instrument]],Def_Targets!$D$73:$E$159,2,FALSE)</f>
        <v>A_Complan</v>
      </c>
      <c r="AR902" s="233" t="str">
        <f>VLOOKUP(Table8[[#This Row],[Country Code]],Table29[],3,FALSE)</f>
        <v>Non-Annex I</v>
      </c>
      <c r="AS902" s="233" t="str">
        <f>VLOOKUP(Table8[[#This Row],[Country Code]],Table29[],4,FALSE)</f>
        <v>Africa</v>
      </c>
      <c r="AT902" s="233" t="str">
        <f>VLOOKUP(Table8[[#This Row],[Country Code]],Table29[],5,FALSE)</f>
        <v>Middle-income</v>
      </c>
      <c r="AU902" s="233" t="str">
        <f>VLOOKUP(Table8[[#This Row],[Country Code]],Table29[],6,FALSE)</f>
        <v>no</v>
      </c>
      <c r="AV902" s="233" t="str">
        <f>VLOOKUP(Table8[[#This Row],[Country Code]],Table29[],7,FALSE)</f>
        <v>no</v>
      </c>
      <c r="AW902" s="233" t="str">
        <f>VLOOKUP(Table8[[#This Row],[Country Code]],Table29[],8,FALSE)</f>
        <v>non-OECD</v>
      </c>
      <c r="AX902" s="233" t="str">
        <f>VLOOKUP(Table8[[#This Row],[Country Code]],Table29[],9,FALSE)</f>
        <v>no</v>
      </c>
      <c r="AY902" s="233" t="str">
        <f>VLOOKUP(Table8[[#This Row],[Country Code]],Table29[],10,FALSE)</f>
        <v>no</v>
      </c>
      <c r="AZ902" s="235">
        <f>VLOOKUP(Table8[[#This Row],[Country Code]],Table29[],23,FALSE)</f>
        <v>48.265926450338</v>
      </c>
      <c r="BA902" s="235">
        <f>VLOOKUP(Table8[[#This Row],[Country Code]],Table29[],24,FALSE)</f>
        <v>9.2203647608909662</v>
      </c>
      <c r="BB902" s="320"/>
      <c r="BC902" s="320"/>
    </row>
    <row r="903" spans="1:55" hidden="1" x14ac:dyDescent="0.25">
      <c r="A903" s="373">
        <v>26795</v>
      </c>
      <c r="B903" s="233" t="str">
        <f>VLOOKUP(Table8[[#This Row],[Document ID]],Table1[],2,FALSE)</f>
        <v>GHA</v>
      </c>
      <c r="C903" s="233" t="str">
        <f>VLOOKUP(Table8[[#This Row],[Document ID]],Table1[],3,FALSE)</f>
        <v>Ghana</v>
      </c>
      <c r="D903" s="243" t="str">
        <f>VLOOKUP(Table8[[#This Row],[Document ID]],Table1[],5,FALSE)</f>
        <v>NDC</v>
      </c>
      <c r="E903" s="233" t="str">
        <f>VLOOKUP(Table8[[#This Row],[Document ID]],Table1[],7,FALSE)</f>
        <v>First NDC updated</v>
      </c>
      <c r="F903" s="233" t="str">
        <f>VLOOKUP(Table8[[#This Row],[Document ID]],Table1[],8,FALSE)</f>
        <v>NDC 1.2</v>
      </c>
      <c r="G903" s="233" t="str">
        <f>VLOOKUP(Table8[[#This Row],[Document ID]],Table1[],10,FALSE)</f>
        <v>Active</v>
      </c>
      <c r="H903" s="43" t="s">
        <v>2350</v>
      </c>
      <c r="I903" s="43" t="s">
        <v>2456</v>
      </c>
      <c r="J903" s="44" t="s">
        <v>2466</v>
      </c>
      <c r="K903" s="44" t="s">
        <v>3202</v>
      </c>
      <c r="L903" s="44" t="s">
        <v>2347</v>
      </c>
      <c r="M903" s="43">
        <v>25</v>
      </c>
      <c r="N903" s="113" t="s">
        <v>1113</v>
      </c>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t="s">
        <v>1113</v>
      </c>
      <c r="AM903" s="113"/>
      <c r="AN903" s="113" t="s">
        <v>1113</v>
      </c>
      <c r="AO903" s="44" t="s">
        <v>2334</v>
      </c>
      <c r="AP903" s="43"/>
      <c r="AQ903" s="236" t="str">
        <f>VLOOKUP(Table8[[#This Row],[Instrument]],Def_Targets!$D$73:$E$159,2,FALSE)</f>
        <v>S_Infraexpansion</v>
      </c>
      <c r="AR903" s="233" t="str">
        <f>VLOOKUP(Table8[[#This Row],[Country Code]],Table29[],3,FALSE)</f>
        <v>Non-Annex I</v>
      </c>
      <c r="AS903" s="233" t="str">
        <f>VLOOKUP(Table8[[#This Row],[Country Code]],Table29[],4,FALSE)</f>
        <v>Africa</v>
      </c>
      <c r="AT903" s="233" t="str">
        <f>VLOOKUP(Table8[[#This Row],[Country Code]],Table29[],5,FALSE)</f>
        <v>Middle-income</v>
      </c>
      <c r="AU903" s="233" t="str">
        <f>VLOOKUP(Table8[[#This Row],[Country Code]],Table29[],6,FALSE)</f>
        <v>no</v>
      </c>
      <c r="AV903" s="233" t="str">
        <f>VLOOKUP(Table8[[#This Row],[Country Code]],Table29[],7,FALSE)</f>
        <v>no</v>
      </c>
      <c r="AW903" s="233" t="str">
        <f>VLOOKUP(Table8[[#This Row],[Country Code]],Table29[],8,FALSE)</f>
        <v>non-OECD</v>
      </c>
      <c r="AX903" s="233" t="str">
        <f>VLOOKUP(Table8[[#This Row],[Country Code]],Table29[],9,FALSE)</f>
        <v>no</v>
      </c>
      <c r="AY903" s="233" t="str">
        <f>VLOOKUP(Table8[[#This Row],[Country Code]],Table29[],10,FALSE)</f>
        <v>no</v>
      </c>
      <c r="AZ903" s="235">
        <f>VLOOKUP(Table8[[#This Row],[Country Code]],Table29[],23,FALSE)</f>
        <v>48.265926450338</v>
      </c>
      <c r="BA903" s="235">
        <f>VLOOKUP(Table8[[#This Row],[Country Code]],Table29[],24,FALSE)</f>
        <v>9.2203647608909662</v>
      </c>
      <c r="BB903" s="320"/>
      <c r="BC903" s="320"/>
    </row>
    <row r="904" spans="1:55" hidden="1" x14ac:dyDescent="0.25">
      <c r="A904" s="373">
        <v>17606</v>
      </c>
      <c r="B904" s="233" t="str">
        <f>VLOOKUP(Table8[[#This Row],[Document ID]],Table1[],2,FALSE)</f>
        <v>GRD</v>
      </c>
      <c r="C904" s="233" t="str">
        <f>VLOOKUP(Table8[[#This Row],[Document ID]],Table1[],3,FALSE)</f>
        <v>Grenada</v>
      </c>
      <c r="D904" s="243" t="str">
        <f>VLOOKUP(Table8[[#This Row],[Document ID]],Table1[],5,FALSE)</f>
        <v>NDC</v>
      </c>
      <c r="E904" s="233" t="str">
        <f>VLOOKUP(Table8[[#This Row],[Document ID]],Table1[],7,FALSE)</f>
        <v>First NDC</v>
      </c>
      <c r="F904" s="236" t="str">
        <f>VLOOKUP(Table8[[#This Row],[Document ID]],Table1[],8,FALSE)</f>
        <v>NDC 1.0</v>
      </c>
      <c r="G904" s="236" t="str">
        <f>VLOOKUP(Table8[[#This Row],[Document ID]],Table1[],10,FALSE)</f>
        <v>Archived</v>
      </c>
      <c r="H904" s="44" t="s">
        <v>2338</v>
      </c>
      <c r="I904" s="44" t="s">
        <v>2339</v>
      </c>
      <c r="J904" s="44" t="s">
        <v>2413</v>
      </c>
      <c r="K904" s="44" t="s">
        <v>3203</v>
      </c>
      <c r="L904" s="44" t="s">
        <v>2333</v>
      </c>
      <c r="M904" s="43"/>
      <c r="N904" s="113" t="s">
        <v>1113</v>
      </c>
      <c r="O904" s="113"/>
      <c r="P904" s="113"/>
      <c r="Q904" s="319"/>
      <c r="R904" s="319"/>
      <c r="S904" s="319"/>
      <c r="T904" s="319"/>
      <c r="U904" s="319"/>
      <c r="V904" s="319"/>
      <c r="W904" s="319"/>
      <c r="X904" s="319"/>
      <c r="Y904" s="319"/>
      <c r="Z904" s="319"/>
      <c r="AA904" s="319"/>
      <c r="AB904" s="319"/>
      <c r="AC904" s="319"/>
      <c r="AD904" s="319"/>
      <c r="AE904" s="319"/>
      <c r="AF904" s="319"/>
      <c r="AG904" s="319"/>
      <c r="AH904" s="319"/>
      <c r="AI904" s="319"/>
      <c r="AJ904" s="319"/>
      <c r="AK904" s="319" t="s">
        <v>1113</v>
      </c>
      <c r="AL904" s="319"/>
      <c r="AM904" s="319"/>
      <c r="AN904" s="319"/>
      <c r="AO904" s="44" t="s">
        <v>2334</v>
      </c>
      <c r="AP904" s="44"/>
      <c r="AQ904" s="236" t="str">
        <f>VLOOKUP(Table8[[#This Row],[Instrument]],Def_Targets!$D$73:$E$159,2,FALSE)</f>
        <v>I_Vehicleeff</v>
      </c>
      <c r="AR904" s="233" t="str">
        <f>VLOOKUP(Table8[[#This Row],[Country Code]],Table29[],3,FALSE)</f>
        <v>Non-Annex I</v>
      </c>
      <c r="AS904" s="233" t="str">
        <f>VLOOKUP(Table8[[#This Row],[Country Code]],Table29[],4,FALSE)</f>
        <v>Latin America and the Caribbean</v>
      </c>
      <c r="AT904" s="233" t="str">
        <f>VLOOKUP(Table8[[#This Row],[Country Code]],Table29[],5,FALSE)</f>
        <v>Middle-income</v>
      </c>
      <c r="AU904" s="233" t="str">
        <f>VLOOKUP(Table8[[#This Row],[Country Code]],Table29[],6,FALSE)</f>
        <v>no</v>
      </c>
      <c r="AV904" s="233" t="str">
        <f>VLOOKUP(Table8[[#This Row],[Country Code]],Table29[],7,FALSE)</f>
        <v>no</v>
      </c>
      <c r="AW904" s="233" t="str">
        <f>VLOOKUP(Table8[[#This Row],[Country Code]],Table29[],8,FALSE)</f>
        <v>non-OECD</v>
      </c>
      <c r="AX904" s="233" t="str">
        <f>VLOOKUP(Table8[[#This Row],[Country Code]],Table29[],9,FALSE)</f>
        <v>no</v>
      </c>
      <c r="AY904" s="233" t="str">
        <f>VLOOKUP(Table8[[#This Row],[Country Code]],Table29[],10,FALSE)</f>
        <v>no</v>
      </c>
      <c r="AZ904" s="235">
        <f>VLOOKUP(Table8[[#This Row],[Country Code]],Table29[],23,FALSE)</f>
        <v>0.20040725685748001</v>
      </c>
      <c r="BA904" s="235">
        <f>VLOOKUP(Table8[[#This Row],[Country Code]],Table29[],24,FALSE)</f>
        <v>5.0827063801383333E-2</v>
      </c>
      <c r="BB904" s="320"/>
      <c r="BC904" s="320"/>
    </row>
    <row r="905" spans="1:55" hidden="1" x14ac:dyDescent="0.25">
      <c r="A905" s="373">
        <v>17606</v>
      </c>
      <c r="B905" s="233" t="str">
        <f>VLOOKUP(Table8[[#This Row],[Document ID]],Table1[],2,FALSE)</f>
        <v>GRD</v>
      </c>
      <c r="C905" s="233" t="str">
        <f>VLOOKUP(Table8[[#This Row],[Document ID]],Table1[],3,FALSE)</f>
        <v>Grenada</v>
      </c>
      <c r="D905" s="243" t="str">
        <f>VLOOKUP(Table8[[#This Row],[Document ID]],Table1[],5,FALSE)</f>
        <v>NDC</v>
      </c>
      <c r="E905" s="233" t="str">
        <f>VLOOKUP(Table8[[#This Row],[Document ID]],Table1[],7,FALSE)</f>
        <v>First NDC</v>
      </c>
      <c r="F905" s="236" t="str">
        <f>VLOOKUP(Table8[[#This Row],[Document ID]],Table1[],8,FALSE)</f>
        <v>NDC 1.0</v>
      </c>
      <c r="G905" s="236" t="str">
        <f>VLOOKUP(Table8[[#This Row],[Document ID]],Table1[],10,FALSE)</f>
        <v>Archived</v>
      </c>
      <c r="H905" s="44" t="s">
        <v>2329</v>
      </c>
      <c r="I905" s="44" t="s">
        <v>2330</v>
      </c>
      <c r="J905" s="44" t="s">
        <v>2357</v>
      </c>
      <c r="K905" s="44" t="s">
        <v>3204</v>
      </c>
      <c r="L905" s="44" t="s">
        <v>2333</v>
      </c>
      <c r="M905" s="43"/>
      <c r="N905" s="113" t="s">
        <v>1113</v>
      </c>
      <c r="O905" s="113"/>
      <c r="P905" s="113"/>
      <c r="Q905" s="319"/>
      <c r="R905" s="319"/>
      <c r="S905" s="319"/>
      <c r="T905" s="319"/>
      <c r="U905" s="319"/>
      <c r="V905" s="319"/>
      <c r="W905" s="319"/>
      <c r="X905" s="319"/>
      <c r="Y905" s="319"/>
      <c r="Z905" s="319"/>
      <c r="AA905" s="319"/>
      <c r="AB905" s="319"/>
      <c r="AC905" s="319"/>
      <c r="AD905" s="319"/>
      <c r="AE905" s="319"/>
      <c r="AF905" s="319"/>
      <c r="AG905" s="319"/>
      <c r="AH905" s="319"/>
      <c r="AI905" s="319"/>
      <c r="AJ905" s="319"/>
      <c r="AK905" s="319" t="s">
        <v>1113</v>
      </c>
      <c r="AL905" s="319"/>
      <c r="AM905" s="319"/>
      <c r="AN905" s="319"/>
      <c r="AO905" s="44" t="s">
        <v>2334</v>
      </c>
      <c r="AP905" s="44"/>
      <c r="AQ905" s="236" t="str">
        <f>VLOOKUP(Table8[[#This Row],[Instrument]],Def_Targets!$D$73:$E$159,2,FALSE)</f>
        <v>I_Biofuel</v>
      </c>
      <c r="AR905" s="233" t="str">
        <f>VLOOKUP(Table8[[#This Row],[Country Code]],Table29[],3,FALSE)</f>
        <v>Non-Annex I</v>
      </c>
      <c r="AS905" s="233" t="str">
        <f>VLOOKUP(Table8[[#This Row],[Country Code]],Table29[],4,FALSE)</f>
        <v>Latin America and the Caribbean</v>
      </c>
      <c r="AT905" s="233" t="str">
        <f>VLOOKUP(Table8[[#This Row],[Country Code]],Table29[],5,FALSE)</f>
        <v>Middle-income</v>
      </c>
      <c r="AU905" s="233" t="str">
        <f>VLOOKUP(Table8[[#This Row],[Country Code]],Table29[],6,FALSE)</f>
        <v>no</v>
      </c>
      <c r="AV905" s="233" t="str">
        <f>VLOOKUP(Table8[[#This Row],[Country Code]],Table29[],7,FALSE)</f>
        <v>no</v>
      </c>
      <c r="AW905" s="233" t="str">
        <f>VLOOKUP(Table8[[#This Row],[Country Code]],Table29[],8,FALSE)</f>
        <v>non-OECD</v>
      </c>
      <c r="AX905" s="233" t="str">
        <f>VLOOKUP(Table8[[#This Row],[Country Code]],Table29[],9,FALSE)</f>
        <v>no</v>
      </c>
      <c r="AY905" s="233" t="str">
        <f>VLOOKUP(Table8[[#This Row],[Country Code]],Table29[],10,FALSE)</f>
        <v>no</v>
      </c>
      <c r="AZ905" s="235">
        <f>VLOOKUP(Table8[[#This Row],[Country Code]],Table29[],23,FALSE)</f>
        <v>0.20040725685748001</v>
      </c>
      <c r="BA905" s="235">
        <f>VLOOKUP(Table8[[#This Row],[Country Code]],Table29[],24,FALSE)</f>
        <v>5.0827063801383333E-2</v>
      </c>
      <c r="BB905" s="320"/>
      <c r="BC905" s="320"/>
    </row>
    <row r="906" spans="1:55" ht="30" hidden="1" x14ac:dyDescent="0.25">
      <c r="A906" s="373">
        <v>17606</v>
      </c>
      <c r="B906" s="233" t="str">
        <f>VLOOKUP(Table8[[#This Row],[Document ID]],Table1[],2,FALSE)</f>
        <v>GRD</v>
      </c>
      <c r="C906" s="233" t="str">
        <f>VLOOKUP(Table8[[#This Row],[Document ID]],Table1[],3,FALSE)</f>
        <v>Grenada</v>
      </c>
      <c r="D906" s="243" t="str">
        <f>VLOOKUP(Table8[[#This Row],[Document ID]],Table1[],5,FALSE)</f>
        <v>NDC</v>
      </c>
      <c r="E906" s="233" t="str">
        <f>VLOOKUP(Table8[[#This Row],[Document ID]],Table1[],7,FALSE)</f>
        <v>First NDC</v>
      </c>
      <c r="F906" s="236" t="str">
        <f>VLOOKUP(Table8[[#This Row],[Document ID]],Table1[],8,FALSE)</f>
        <v>NDC 1.0</v>
      </c>
      <c r="G906" s="236" t="str">
        <f>VLOOKUP(Table8[[#This Row],[Document ID]],Table1[],10,FALSE)</f>
        <v>Archived</v>
      </c>
      <c r="H906" s="43" t="s">
        <v>2343</v>
      </c>
      <c r="I906" s="43" t="s">
        <v>2386</v>
      </c>
      <c r="J906" s="44" t="s">
        <v>2498</v>
      </c>
      <c r="K906" s="44" t="s">
        <v>3205</v>
      </c>
      <c r="L906" s="44" t="s">
        <v>2373</v>
      </c>
      <c r="M906" s="43"/>
      <c r="N906" s="113" t="s">
        <v>1113</v>
      </c>
      <c r="O906" s="113"/>
      <c r="P906" s="113"/>
      <c r="Q906" s="319"/>
      <c r="R906" s="319"/>
      <c r="S906" s="319"/>
      <c r="T906" s="319"/>
      <c r="U906" s="319"/>
      <c r="V906" s="319"/>
      <c r="W906" s="319"/>
      <c r="X906" s="319"/>
      <c r="Y906" s="319"/>
      <c r="Z906" s="319"/>
      <c r="AA906" s="319"/>
      <c r="AB906" s="319"/>
      <c r="AC906" s="319"/>
      <c r="AD906" s="319"/>
      <c r="AE906" s="319"/>
      <c r="AF906" s="319"/>
      <c r="AG906" s="319"/>
      <c r="AH906" s="319"/>
      <c r="AI906" s="319"/>
      <c r="AJ906" s="319"/>
      <c r="AK906" s="319" t="s">
        <v>1113</v>
      </c>
      <c r="AL906" s="319"/>
      <c r="AM906" s="319"/>
      <c r="AN906" s="319"/>
      <c r="AO906" s="44" t="s">
        <v>2334</v>
      </c>
      <c r="AP906" s="44"/>
      <c r="AQ906" s="236" t="str">
        <f>VLOOKUP(Table8[[#This Row],[Instrument]],Def_Targets!$D$73:$E$159,2,FALSE)</f>
        <v>A_Fueltax</v>
      </c>
      <c r="AR906" s="233" t="str">
        <f>VLOOKUP(Table8[[#This Row],[Country Code]],Table29[],3,FALSE)</f>
        <v>Non-Annex I</v>
      </c>
      <c r="AS906" s="233" t="str">
        <f>VLOOKUP(Table8[[#This Row],[Country Code]],Table29[],4,FALSE)</f>
        <v>Latin America and the Caribbean</v>
      </c>
      <c r="AT906" s="233" t="str">
        <f>VLOOKUP(Table8[[#This Row],[Country Code]],Table29[],5,FALSE)</f>
        <v>Middle-income</v>
      </c>
      <c r="AU906" s="233" t="str">
        <f>VLOOKUP(Table8[[#This Row],[Country Code]],Table29[],6,FALSE)</f>
        <v>no</v>
      </c>
      <c r="AV906" s="233" t="str">
        <f>VLOOKUP(Table8[[#This Row],[Country Code]],Table29[],7,FALSE)</f>
        <v>no</v>
      </c>
      <c r="AW906" s="233" t="str">
        <f>VLOOKUP(Table8[[#This Row],[Country Code]],Table29[],8,FALSE)</f>
        <v>non-OECD</v>
      </c>
      <c r="AX906" s="233" t="str">
        <f>VLOOKUP(Table8[[#This Row],[Country Code]],Table29[],9,FALSE)</f>
        <v>no</v>
      </c>
      <c r="AY906" s="233" t="str">
        <f>VLOOKUP(Table8[[#This Row],[Country Code]],Table29[],10,FALSE)</f>
        <v>no</v>
      </c>
      <c r="AZ906" s="235">
        <f>VLOOKUP(Table8[[#This Row],[Country Code]],Table29[],23,FALSE)</f>
        <v>0.20040725685748001</v>
      </c>
      <c r="BA906" s="235">
        <f>VLOOKUP(Table8[[#This Row],[Country Code]],Table29[],24,FALSE)</f>
        <v>5.0827063801383333E-2</v>
      </c>
      <c r="BB906" s="320"/>
      <c r="BC906" s="320"/>
    </row>
    <row r="907" spans="1:55" s="17" customFormat="1" ht="30" hidden="1" x14ac:dyDescent="0.25">
      <c r="A907" s="373">
        <v>17593</v>
      </c>
      <c r="B907" s="233" t="str">
        <f>VLOOKUP(Table8[[#This Row],[Document ID]],Table1[],2,FALSE)</f>
        <v>FJI</v>
      </c>
      <c r="C907" s="233" t="str">
        <f>VLOOKUP(Table8[[#This Row],[Document ID]],Table1[],3,FALSE)</f>
        <v>Fiji</v>
      </c>
      <c r="D907" s="243" t="str">
        <f>VLOOKUP(Table8[[#This Row],[Document ID]],Table1[],5,FALSE)</f>
        <v>LTS</v>
      </c>
      <c r="E907" s="233" t="str">
        <f>VLOOKUP(Table8[[#This Row],[Document ID]],Table1[],7,FALSE)</f>
        <v>LTS</v>
      </c>
      <c r="F907" s="233" t="str">
        <f>VLOOKUP(Table8[[#This Row],[Document ID]],Table1[],8,FALSE)</f>
        <v>LTS 1.0</v>
      </c>
      <c r="G907" s="233" t="str">
        <f>VLOOKUP(Table8[[#This Row],[Document ID]],Table1[],10,FALSE)</f>
        <v>Active</v>
      </c>
      <c r="H907" s="43" t="s">
        <v>2484</v>
      </c>
      <c r="I907" s="43" t="s">
        <v>2485</v>
      </c>
      <c r="J907" s="44" t="s">
        <v>2669</v>
      </c>
      <c r="K907" s="44" t="s">
        <v>3206</v>
      </c>
      <c r="L907" s="44" t="s">
        <v>2333</v>
      </c>
      <c r="M907" s="43">
        <v>222</v>
      </c>
      <c r="N907" s="113"/>
      <c r="O907" s="113"/>
      <c r="P907" s="113"/>
      <c r="Q907" s="113"/>
      <c r="R907" s="113"/>
      <c r="S907" s="113"/>
      <c r="T907" s="113"/>
      <c r="U907" s="113"/>
      <c r="V907" s="113"/>
      <c r="W907" s="113"/>
      <c r="X907" s="113"/>
      <c r="Y907" s="113"/>
      <c r="Z907" s="113"/>
      <c r="AA907" s="113"/>
      <c r="AB907" s="113"/>
      <c r="AC907" s="113"/>
      <c r="AD907" s="113" t="s">
        <v>1113</v>
      </c>
      <c r="AE907" s="113"/>
      <c r="AF907" s="113"/>
      <c r="AG907" s="113"/>
      <c r="AH907" s="113"/>
      <c r="AI907" s="113"/>
      <c r="AJ907" s="113"/>
      <c r="AK907" s="319" t="s">
        <v>1113</v>
      </c>
      <c r="AL907" s="113"/>
      <c r="AM907" s="113"/>
      <c r="AN907" s="113"/>
      <c r="AO907" s="44" t="s">
        <v>2334</v>
      </c>
      <c r="AP907" s="44"/>
      <c r="AQ907" s="236" t="str">
        <f>VLOOKUP(Table8[[#This Row],[Instrument]],Def_Targets!$D$73:$E$159,2,FALSE)</f>
        <v>I_Shipefficiency</v>
      </c>
      <c r="AR907" s="233" t="str">
        <f>VLOOKUP(Table8[[#This Row],[Country Code]],Table29[],3,FALSE)</f>
        <v>Non-Annex I</v>
      </c>
      <c r="AS907" s="233" t="str">
        <f>VLOOKUP(Table8[[#This Row],[Country Code]],Table29[],4,FALSE)</f>
        <v>Oceania</v>
      </c>
      <c r="AT907" s="233" t="str">
        <f>VLOOKUP(Table8[[#This Row],[Country Code]],Table29[],5,FALSE)</f>
        <v>Middle-income</v>
      </c>
      <c r="AU907" s="233" t="str">
        <f>VLOOKUP(Table8[[#This Row],[Country Code]],Table29[],6,FALSE)</f>
        <v>no</v>
      </c>
      <c r="AV907" s="233" t="str">
        <f>VLOOKUP(Table8[[#This Row],[Country Code]],Table29[],7,FALSE)</f>
        <v>no</v>
      </c>
      <c r="AW907" s="233" t="str">
        <f>VLOOKUP(Table8[[#This Row],[Country Code]],Table29[],8,FALSE)</f>
        <v>non-OECD</v>
      </c>
      <c r="AX907" s="233" t="str">
        <f>VLOOKUP(Table8[[#This Row],[Country Code]],Table29[],9,FALSE)</f>
        <v>no</v>
      </c>
      <c r="AY907" s="233" t="str">
        <f>VLOOKUP(Table8[[#This Row],[Country Code]],Table29[],10,FALSE)</f>
        <v>no</v>
      </c>
      <c r="AZ907" s="235">
        <f>VLOOKUP(Table8[[#This Row],[Country Code]],Table29[],23,FALSE)</f>
        <v>3.4009927758626</v>
      </c>
      <c r="BA907" s="235">
        <f>VLOOKUP(Table8[[#This Row],[Country Code]],Table29[],24,FALSE)</f>
        <v>1.126237744382208</v>
      </c>
      <c r="BB907" s="320"/>
      <c r="BC907" s="320"/>
    </row>
    <row r="908" spans="1:55" s="17" customFormat="1" ht="60" hidden="1" x14ac:dyDescent="0.25">
      <c r="A908" s="373">
        <v>17593</v>
      </c>
      <c r="B908" s="233" t="str">
        <f>VLOOKUP(Table8[[#This Row],[Document ID]],Table1[],2,FALSE)</f>
        <v>FJI</v>
      </c>
      <c r="C908" s="233" t="str">
        <f>VLOOKUP(Table8[[#This Row],[Document ID]],Table1[],3,FALSE)</f>
        <v>Fiji</v>
      </c>
      <c r="D908" s="243" t="str">
        <f>VLOOKUP(Table8[[#This Row],[Document ID]],Table1[],5,FALSE)</f>
        <v>LTS</v>
      </c>
      <c r="E908" s="233" t="str">
        <f>VLOOKUP(Table8[[#This Row],[Document ID]],Table1[],7,FALSE)</f>
        <v>LTS</v>
      </c>
      <c r="F908" s="233" t="str">
        <f>VLOOKUP(Table8[[#This Row],[Document ID]],Table1[],8,FALSE)</f>
        <v>LTS 1.0</v>
      </c>
      <c r="G908" s="233" t="str">
        <f>VLOOKUP(Table8[[#This Row],[Document ID]],Table1[],10,FALSE)</f>
        <v>Active</v>
      </c>
      <c r="H908" s="43" t="s">
        <v>2484</v>
      </c>
      <c r="I908" s="43" t="s">
        <v>2488</v>
      </c>
      <c r="J908" s="44" t="s">
        <v>3207</v>
      </c>
      <c r="K908" s="44" t="s">
        <v>3208</v>
      </c>
      <c r="L908" s="44" t="s">
        <v>2333</v>
      </c>
      <c r="M908" s="43">
        <v>222</v>
      </c>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t="s">
        <v>1113</v>
      </c>
      <c r="AI908" s="113"/>
      <c r="AJ908" s="113"/>
      <c r="AK908" s="319" t="s">
        <v>1113</v>
      </c>
      <c r="AL908" s="113"/>
      <c r="AM908" s="113"/>
      <c r="AN908" s="113"/>
      <c r="AO908" s="44" t="s">
        <v>2334</v>
      </c>
      <c r="AP908" s="44"/>
      <c r="AQ908" s="236" t="str">
        <f>VLOOKUP(Table8[[#This Row],[Instrument]],Def_Targets!$D$73:$E$159,2,FALSE)</f>
        <v>I_Aircraftfleet</v>
      </c>
      <c r="AR908" s="233" t="str">
        <f>VLOOKUP(Table8[[#This Row],[Country Code]],Table29[],3,FALSE)</f>
        <v>Non-Annex I</v>
      </c>
      <c r="AS908" s="233" t="str">
        <f>VLOOKUP(Table8[[#This Row],[Country Code]],Table29[],4,FALSE)</f>
        <v>Oceania</v>
      </c>
      <c r="AT908" s="233" t="str">
        <f>VLOOKUP(Table8[[#This Row],[Country Code]],Table29[],5,FALSE)</f>
        <v>Middle-income</v>
      </c>
      <c r="AU908" s="233" t="str">
        <f>VLOOKUP(Table8[[#This Row],[Country Code]],Table29[],6,FALSE)</f>
        <v>no</v>
      </c>
      <c r="AV908" s="233" t="str">
        <f>VLOOKUP(Table8[[#This Row],[Country Code]],Table29[],7,FALSE)</f>
        <v>no</v>
      </c>
      <c r="AW908" s="233" t="str">
        <f>VLOOKUP(Table8[[#This Row],[Country Code]],Table29[],8,FALSE)</f>
        <v>non-OECD</v>
      </c>
      <c r="AX908" s="233" t="str">
        <f>VLOOKUP(Table8[[#This Row],[Country Code]],Table29[],9,FALSE)</f>
        <v>no</v>
      </c>
      <c r="AY908" s="233" t="str">
        <f>VLOOKUP(Table8[[#This Row],[Country Code]],Table29[],10,FALSE)</f>
        <v>no</v>
      </c>
      <c r="AZ908" s="235">
        <f>VLOOKUP(Table8[[#This Row],[Country Code]],Table29[],23,FALSE)</f>
        <v>3.4009927758626</v>
      </c>
      <c r="BA908" s="235">
        <f>VLOOKUP(Table8[[#This Row],[Country Code]],Table29[],24,FALSE)</f>
        <v>1.126237744382208</v>
      </c>
      <c r="BB908" s="320"/>
      <c r="BC908" s="320"/>
    </row>
    <row r="909" spans="1:55" ht="30" hidden="1" x14ac:dyDescent="0.25">
      <c r="A909" s="373">
        <v>17593</v>
      </c>
      <c r="B909" s="233" t="str">
        <f>VLOOKUP(Table8[[#This Row],[Document ID]],Table1[],2,FALSE)</f>
        <v>FJI</v>
      </c>
      <c r="C909" s="233" t="str">
        <f>VLOOKUP(Table8[[#This Row],[Document ID]],Table1[],3,FALSE)</f>
        <v>Fiji</v>
      </c>
      <c r="D909" s="243" t="str">
        <f>VLOOKUP(Table8[[#This Row],[Document ID]],Table1[],5,FALSE)</f>
        <v>LTS</v>
      </c>
      <c r="E909" s="233" t="str">
        <f>VLOOKUP(Table8[[#This Row],[Document ID]],Table1[],7,FALSE)</f>
        <v>LTS</v>
      </c>
      <c r="F909" s="233" t="str">
        <f>VLOOKUP(Table8[[#This Row],[Document ID]],Table1[],8,FALSE)</f>
        <v>LTS 1.0</v>
      </c>
      <c r="G909" s="233" t="str">
        <f>VLOOKUP(Table8[[#This Row],[Document ID]],Table1[],10,FALSE)</f>
        <v>Active</v>
      </c>
      <c r="H909" s="44" t="s">
        <v>2329</v>
      </c>
      <c r="I909" s="44" t="s">
        <v>2330</v>
      </c>
      <c r="J909" s="44" t="s">
        <v>2381</v>
      </c>
      <c r="K909" s="44" t="s">
        <v>3209</v>
      </c>
      <c r="L909" s="44" t="s">
        <v>2333</v>
      </c>
      <c r="M909" s="43">
        <v>223</v>
      </c>
      <c r="N909" s="113"/>
      <c r="O909" s="113"/>
      <c r="P909" s="113"/>
      <c r="Q909" s="113"/>
      <c r="R909" s="113"/>
      <c r="S909" s="113"/>
      <c r="T909" s="113"/>
      <c r="U909" s="113"/>
      <c r="V909" s="113"/>
      <c r="W909" s="113"/>
      <c r="X909" s="113"/>
      <c r="Y909" s="113"/>
      <c r="Z909" s="113"/>
      <c r="AA909" s="113"/>
      <c r="AB909" s="113"/>
      <c r="AC909" s="113"/>
      <c r="AD909" s="113"/>
      <c r="AE909" s="113"/>
      <c r="AF909" s="113"/>
      <c r="AG909" s="113"/>
      <c r="AH909" s="113" t="s">
        <v>1113</v>
      </c>
      <c r="AI909" s="113"/>
      <c r="AJ909" s="113"/>
      <c r="AK909" s="319" t="s">
        <v>1113</v>
      </c>
      <c r="AL909" s="113"/>
      <c r="AM909" s="113"/>
      <c r="AN909" s="113"/>
      <c r="AO909" s="44" t="s">
        <v>2334</v>
      </c>
      <c r="AP909" s="44"/>
      <c r="AQ909" s="236" t="str">
        <f>VLOOKUP(Table8[[#This Row],[Instrument]],Def_Targets!$D$73:$E$159,2,FALSE)</f>
        <v>I_RE</v>
      </c>
      <c r="AR909" s="233" t="str">
        <f>VLOOKUP(Table8[[#This Row],[Country Code]],Table29[],3,FALSE)</f>
        <v>Non-Annex I</v>
      </c>
      <c r="AS909" s="233" t="str">
        <f>VLOOKUP(Table8[[#This Row],[Country Code]],Table29[],4,FALSE)</f>
        <v>Oceania</v>
      </c>
      <c r="AT909" s="233" t="str">
        <f>VLOOKUP(Table8[[#This Row],[Country Code]],Table29[],5,FALSE)</f>
        <v>Middle-income</v>
      </c>
      <c r="AU909" s="233" t="str">
        <f>VLOOKUP(Table8[[#This Row],[Country Code]],Table29[],6,FALSE)</f>
        <v>no</v>
      </c>
      <c r="AV909" s="233" t="str">
        <f>VLOOKUP(Table8[[#This Row],[Country Code]],Table29[],7,FALSE)</f>
        <v>no</v>
      </c>
      <c r="AW909" s="233" t="str">
        <f>VLOOKUP(Table8[[#This Row],[Country Code]],Table29[],8,FALSE)</f>
        <v>non-OECD</v>
      </c>
      <c r="AX909" s="233" t="str">
        <f>VLOOKUP(Table8[[#This Row],[Country Code]],Table29[],9,FALSE)</f>
        <v>no</v>
      </c>
      <c r="AY909" s="233" t="str">
        <f>VLOOKUP(Table8[[#This Row],[Country Code]],Table29[],10,FALSE)</f>
        <v>no</v>
      </c>
      <c r="AZ909" s="235">
        <f>VLOOKUP(Table8[[#This Row],[Country Code]],Table29[],23,FALSE)</f>
        <v>3.4009927758626</v>
      </c>
      <c r="BA909" s="235">
        <f>VLOOKUP(Table8[[#This Row],[Country Code]],Table29[],24,FALSE)</f>
        <v>1.126237744382208</v>
      </c>
      <c r="BB909" s="320"/>
      <c r="BC909" s="320"/>
    </row>
    <row r="910" spans="1:55" s="17" customFormat="1" ht="30" hidden="1" x14ac:dyDescent="0.25">
      <c r="A910" s="373">
        <v>17593</v>
      </c>
      <c r="B910" s="233" t="str">
        <f>VLOOKUP(Table8[[#This Row],[Document ID]],Table1[],2,FALSE)</f>
        <v>FJI</v>
      </c>
      <c r="C910" s="233" t="str">
        <f>VLOOKUP(Table8[[#This Row],[Document ID]],Table1[],3,FALSE)</f>
        <v>Fiji</v>
      </c>
      <c r="D910" s="243" t="str">
        <f>VLOOKUP(Table8[[#This Row],[Document ID]],Table1[],5,FALSE)</f>
        <v>LTS</v>
      </c>
      <c r="E910" s="233" t="str">
        <f>VLOOKUP(Table8[[#This Row],[Document ID]],Table1[],7,FALSE)</f>
        <v>LTS</v>
      </c>
      <c r="F910" s="233" t="str">
        <f>VLOOKUP(Table8[[#This Row],[Document ID]],Table1[],8,FALSE)</f>
        <v>LTS 1.0</v>
      </c>
      <c r="G910" s="233" t="str">
        <f>VLOOKUP(Table8[[#This Row],[Document ID]],Table1[],10,FALSE)</f>
        <v>Active</v>
      </c>
      <c r="H910" s="44" t="s">
        <v>2329</v>
      </c>
      <c r="I910" s="44" t="s">
        <v>2330</v>
      </c>
      <c r="J910" s="44" t="s">
        <v>2381</v>
      </c>
      <c r="K910" s="44" t="s">
        <v>3210</v>
      </c>
      <c r="L910" s="44" t="s">
        <v>2333</v>
      </c>
      <c r="M910" s="43">
        <v>223</v>
      </c>
      <c r="N910" s="113"/>
      <c r="O910" s="113"/>
      <c r="P910" s="113"/>
      <c r="Q910" s="113"/>
      <c r="R910" s="113"/>
      <c r="S910" s="113"/>
      <c r="T910" s="113"/>
      <c r="U910" s="113"/>
      <c r="V910" s="113"/>
      <c r="W910" s="113"/>
      <c r="X910" s="113"/>
      <c r="Y910" s="113"/>
      <c r="Z910" s="113"/>
      <c r="AA910" s="113"/>
      <c r="AB910" s="113"/>
      <c r="AC910" s="113"/>
      <c r="AD910" s="113"/>
      <c r="AE910" s="113"/>
      <c r="AF910" s="113"/>
      <c r="AG910" s="113"/>
      <c r="AH910" s="113" t="s">
        <v>1113</v>
      </c>
      <c r="AI910" s="113"/>
      <c r="AJ910" s="113"/>
      <c r="AK910" s="319" t="s">
        <v>1113</v>
      </c>
      <c r="AL910" s="113"/>
      <c r="AM910" s="113"/>
      <c r="AN910" s="113"/>
      <c r="AO910" s="44" t="s">
        <v>2334</v>
      </c>
      <c r="AP910" s="44"/>
      <c r="AQ910" s="236" t="str">
        <f>VLOOKUP(Table8[[#This Row],[Instrument]],Def_Targets!$D$73:$E$159,2,FALSE)</f>
        <v>I_RE</v>
      </c>
      <c r="AR910" s="233" t="str">
        <f>VLOOKUP(Table8[[#This Row],[Country Code]],Table29[],3,FALSE)</f>
        <v>Non-Annex I</v>
      </c>
      <c r="AS910" s="233" t="str">
        <f>VLOOKUP(Table8[[#This Row],[Country Code]],Table29[],4,FALSE)</f>
        <v>Oceania</v>
      </c>
      <c r="AT910" s="233" t="str">
        <f>VLOOKUP(Table8[[#This Row],[Country Code]],Table29[],5,FALSE)</f>
        <v>Middle-income</v>
      </c>
      <c r="AU910" s="233" t="str">
        <f>VLOOKUP(Table8[[#This Row],[Country Code]],Table29[],6,FALSE)</f>
        <v>no</v>
      </c>
      <c r="AV910" s="233" t="str">
        <f>VLOOKUP(Table8[[#This Row],[Country Code]],Table29[],7,FALSE)</f>
        <v>no</v>
      </c>
      <c r="AW910" s="233" t="str">
        <f>VLOOKUP(Table8[[#This Row],[Country Code]],Table29[],8,FALSE)</f>
        <v>non-OECD</v>
      </c>
      <c r="AX910" s="233" t="str">
        <f>VLOOKUP(Table8[[#This Row],[Country Code]],Table29[],9,FALSE)</f>
        <v>no</v>
      </c>
      <c r="AY910" s="233" t="str">
        <f>VLOOKUP(Table8[[#This Row],[Country Code]],Table29[],10,FALSE)</f>
        <v>no</v>
      </c>
      <c r="AZ910" s="235">
        <f>VLOOKUP(Table8[[#This Row],[Country Code]],Table29[],23,FALSE)</f>
        <v>3.4009927758626</v>
      </c>
      <c r="BA910" s="235">
        <f>VLOOKUP(Table8[[#This Row],[Country Code]],Table29[],24,FALSE)</f>
        <v>1.126237744382208</v>
      </c>
      <c r="BB910" s="320"/>
      <c r="BC910" s="320"/>
    </row>
    <row r="911" spans="1:55" s="17" customFormat="1" ht="30" hidden="1" x14ac:dyDescent="0.25">
      <c r="A911" s="373">
        <v>17593</v>
      </c>
      <c r="B911" s="233" t="str">
        <f>VLOOKUP(Table8[[#This Row],[Document ID]],Table1[],2,FALSE)</f>
        <v>FJI</v>
      </c>
      <c r="C911" s="233" t="str">
        <f>VLOOKUP(Table8[[#This Row],[Document ID]],Table1[],3,FALSE)</f>
        <v>Fiji</v>
      </c>
      <c r="D911" s="243" t="str">
        <f>VLOOKUP(Table8[[#This Row],[Document ID]],Table1[],5,FALSE)</f>
        <v>LTS</v>
      </c>
      <c r="E911" s="233" t="str">
        <f>VLOOKUP(Table8[[#This Row],[Document ID]],Table1[],7,FALSE)</f>
        <v>LTS</v>
      </c>
      <c r="F911" s="233" t="str">
        <f>VLOOKUP(Table8[[#This Row],[Document ID]],Table1[],8,FALSE)</f>
        <v>LTS 1.0</v>
      </c>
      <c r="G911" s="233" t="str">
        <f>VLOOKUP(Table8[[#This Row],[Document ID]],Table1[],10,FALSE)</f>
        <v>Active</v>
      </c>
      <c r="H911" s="43" t="s">
        <v>2484</v>
      </c>
      <c r="I911" s="43" t="s">
        <v>2488</v>
      </c>
      <c r="J911" s="44" t="s">
        <v>2684</v>
      </c>
      <c r="K911" s="44" t="s">
        <v>3211</v>
      </c>
      <c r="L911" s="44" t="s">
        <v>2333</v>
      </c>
      <c r="M911" s="43">
        <v>223</v>
      </c>
      <c r="N911" s="113"/>
      <c r="O911" s="113"/>
      <c r="P911" s="113"/>
      <c r="Q911" s="113"/>
      <c r="R911" s="113"/>
      <c r="S911" s="113"/>
      <c r="T911" s="113"/>
      <c r="U911" s="113"/>
      <c r="V911" s="113"/>
      <c r="W911" s="113"/>
      <c r="X911" s="113"/>
      <c r="Y911" s="113"/>
      <c r="Z911" s="113"/>
      <c r="AA911" s="113"/>
      <c r="AB911" s="113"/>
      <c r="AC911" s="113"/>
      <c r="AD911" s="113"/>
      <c r="AE911" s="113"/>
      <c r="AF911" s="113"/>
      <c r="AG911" s="113"/>
      <c r="AH911" s="113" t="s">
        <v>1113</v>
      </c>
      <c r="AI911" s="113"/>
      <c r="AJ911" s="113"/>
      <c r="AK911" s="319" t="s">
        <v>1113</v>
      </c>
      <c r="AL911" s="113"/>
      <c r="AM911" s="113"/>
      <c r="AN911" s="113"/>
      <c r="AO911" s="44" t="s">
        <v>2334</v>
      </c>
      <c r="AP911" s="44"/>
      <c r="AQ911" s="236" t="str">
        <f>VLOOKUP(Table8[[#This Row],[Instrument]],Def_Targets!$D$73:$E$159,2,FALSE)</f>
        <v>I_Jetfuel</v>
      </c>
      <c r="AR911" s="233" t="str">
        <f>VLOOKUP(Table8[[#This Row],[Country Code]],Table29[],3,FALSE)</f>
        <v>Non-Annex I</v>
      </c>
      <c r="AS911" s="233" t="str">
        <f>VLOOKUP(Table8[[#This Row],[Country Code]],Table29[],4,FALSE)</f>
        <v>Oceania</v>
      </c>
      <c r="AT911" s="233" t="str">
        <f>VLOOKUP(Table8[[#This Row],[Country Code]],Table29[],5,FALSE)</f>
        <v>Middle-income</v>
      </c>
      <c r="AU911" s="233" t="str">
        <f>VLOOKUP(Table8[[#This Row],[Country Code]],Table29[],6,FALSE)</f>
        <v>no</v>
      </c>
      <c r="AV911" s="233" t="str">
        <f>VLOOKUP(Table8[[#This Row],[Country Code]],Table29[],7,FALSE)</f>
        <v>no</v>
      </c>
      <c r="AW911" s="233" t="str">
        <f>VLOOKUP(Table8[[#This Row],[Country Code]],Table29[],8,FALSE)</f>
        <v>non-OECD</v>
      </c>
      <c r="AX911" s="233" t="str">
        <f>VLOOKUP(Table8[[#This Row],[Country Code]],Table29[],9,FALSE)</f>
        <v>no</v>
      </c>
      <c r="AY911" s="233" t="str">
        <f>VLOOKUP(Table8[[#This Row],[Country Code]],Table29[],10,FALSE)</f>
        <v>no</v>
      </c>
      <c r="AZ911" s="235">
        <f>VLOOKUP(Table8[[#This Row],[Country Code]],Table29[],23,FALSE)</f>
        <v>3.4009927758626</v>
      </c>
      <c r="BA911" s="235">
        <f>VLOOKUP(Table8[[#This Row],[Country Code]],Table29[],24,FALSE)</f>
        <v>1.126237744382208</v>
      </c>
      <c r="BB911" s="320"/>
      <c r="BC911" s="320"/>
    </row>
    <row r="912" spans="1:55" s="17" customFormat="1" ht="45" hidden="1" x14ac:dyDescent="0.25">
      <c r="A912" s="373">
        <v>17593</v>
      </c>
      <c r="B912" s="233" t="str">
        <f>VLOOKUP(Table8[[#This Row],[Document ID]],Table1[],2,FALSE)</f>
        <v>FJI</v>
      </c>
      <c r="C912" s="233" t="str">
        <f>VLOOKUP(Table8[[#This Row],[Document ID]],Table1[],3,FALSE)</f>
        <v>Fiji</v>
      </c>
      <c r="D912" s="243" t="str">
        <f>VLOOKUP(Table8[[#This Row],[Document ID]],Table1[],5,FALSE)</f>
        <v>LTS</v>
      </c>
      <c r="E912" s="233" t="str">
        <f>VLOOKUP(Table8[[#This Row],[Document ID]],Table1[],7,FALSE)</f>
        <v>LTS</v>
      </c>
      <c r="F912" s="233" t="str">
        <f>VLOOKUP(Table8[[#This Row],[Document ID]],Table1[],8,FALSE)</f>
        <v>LTS 1.0</v>
      </c>
      <c r="G912" s="233" t="str">
        <f>VLOOKUP(Table8[[#This Row],[Document ID]],Table1[],10,FALSE)</f>
        <v>Active</v>
      </c>
      <c r="H912" s="43" t="s">
        <v>2484</v>
      </c>
      <c r="I912" s="43" t="s">
        <v>2488</v>
      </c>
      <c r="J912" s="44" t="s">
        <v>2489</v>
      </c>
      <c r="K912" s="44" t="s">
        <v>3212</v>
      </c>
      <c r="L912" s="44" t="s">
        <v>2333</v>
      </c>
      <c r="M912" s="43">
        <v>223</v>
      </c>
      <c r="N912" s="113"/>
      <c r="O912" s="113"/>
      <c r="P912" s="113"/>
      <c r="Q912" s="113"/>
      <c r="R912" s="113"/>
      <c r="S912" s="113"/>
      <c r="T912" s="113"/>
      <c r="U912" s="113"/>
      <c r="V912" s="113"/>
      <c r="W912" s="113"/>
      <c r="X912" s="113"/>
      <c r="Y912" s="113"/>
      <c r="Z912" s="113"/>
      <c r="AA912" s="113"/>
      <c r="AB912" s="113"/>
      <c r="AC912" s="113"/>
      <c r="AD912" s="113"/>
      <c r="AE912" s="113"/>
      <c r="AF912" s="113"/>
      <c r="AG912" s="113"/>
      <c r="AH912" s="113" t="s">
        <v>1113</v>
      </c>
      <c r="AI912" s="113"/>
      <c r="AJ912" s="113"/>
      <c r="AK912" s="319" t="s">
        <v>1113</v>
      </c>
      <c r="AL912" s="113"/>
      <c r="AM912" s="113"/>
      <c r="AN912" s="113"/>
      <c r="AO912" s="44" t="s">
        <v>2334</v>
      </c>
      <c r="AP912" s="44"/>
      <c r="AQ912" s="236" t="str">
        <f>VLOOKUP(Table8[[#This Row],[Instrument]],Def_Targets!$D$73:$E$159,2,FALSE)</f>
        <v>I_Aviation</v>
      </c>
      <c r="AR912" s="233" t="str">
        <f>VLOOKUP(Table8[[#This Row],[Country Code]],Table29[],3,FALSE)</f>
        <v>Non-Annex I</v>
      </c>
      <c r="AS912" s="233" t="str">
        <f>VLOOKUP(Table8[[#This Row],[Country Code]],Table29[],4,FALSE)</f>
        <v>Oceania</v>
      </c>
      <c r="AT912" s="233" t="str">
        <f>VLOOKUP(Table8[[#This Row],[Country Code]],Table29[],5,FALSE)</f>
        <v>Middle-income</v>
      </c>
      <c r="AU912" s="233" t="str">
        <f>VLOOKUP(Table8[[#This Row],[Country Code]],Table29[],6,FALSE)</f>
        <v>no</v>
      </c>
      <c r="AV912" s="233" t="str">
        <f>VLOOKUP(Table8[[#This Row],[Country Code]],Table29[],7,FALSE)</f>
        <v>no</v>
      </c>
      <c r="AW912" s="233" t="str">
        <f>VLOOKUP(Table8[[#This Row],[Country Code]],Table29[],8,FALSE)</f>
        <v>non-OECD</v>
      </c>
      <c r="AX912" s="233" t="str">
        <f>VLOOKUP(Table8[[#This Row],[Country Code]],Table29[],9,FALSE)</f>
        <v>no</v>
      </c>
      <c r="AY912" s="233" t="str">
        <f>VLOOKUP(Table8[[#This Row],[Country Code]],Table29[],10,FALSE)</f>
        <v>no</v>
      </c>
      <c r="AZ912" s="235">
        <f>VLOOKUP(Table8[[#This Row],[Country Code]],Table29[],23,FALSE)</f>
        <v>3.4009927758626</v>
      </c>
      <c r="BA912" s="235">
        <f>VLOOKUP(Table8[[#This Row],[Country Code]],Table29[],24,FALSE)</f>
        <v>1.126237744382208</v>
      </c>
      <c r="BB912" s="320"/>
      <c r="BC912" s="320"/>
    </row>
    <row r="913" spans="1:55" s="17" customFormat="1" hidden="1" x14ac:dyDescent="0.25">
      <c r="A913" s="373">
        <v>17593</v>
      </c>
      <c r="B913" s="233" t="str">
        <f>VLOOKUP(Table8[[#This Row],[Document ID]],Table1[],2,FALSE)</f>
        <v>FJI</v>
      </c>
      <c r="C913" s="233" t="str">
        <f>VLOOKUP(Table8[[#This Row],[Document ID]],Table1[],3,FALSE)</f>
        <v>Fiji</v>
      </c>
      <c r="D913" s="243" t="str">
        <f>VLOOKUP(Table8[[#This Row],[Document ID]],Table1[],5,FALSE)</f>
        <v>LTS</v>
      </c>
      <c r="E913" s="233" t="str">
        <f>VLOOKUP(Table8[[#This Row],[Document ID]],Table1[],7,FALSE)</f>
        <v>LTS</v>
      </c>
      <c r="F913" s="233" t="str">
        <f>VLOOKUP(Table8[[#This Row],[Document ID]],Table1[],8,FALSE)</f>
        <v>LTS 1.0</v>
      </c>
      <c r="G913" s="233" t="str">
        <f>VLOOKUP(Table8[[#This Row],[Document ID]],Table1[],10,FALSE)</f>
        <v>Active</v>
      </c>
      <c r="H913" s="43" t="s">
        <v>2358</v>
      </c>
      <c r="I913" s="43" t="s">
        <v>2359</v>
      </c>
      <c r="J913" s="44" t="s">
        <v>2360</v>
      </c>
      <c r="K913" s="44" t="s">
        <v>3213</v>
      </c>
      <c r="L913" s="44" t="s">
        <v>2333</v>
      </c>
      <c r="M913" s="43">
        <v>223</v>
      </c>
      <c r="N913" s="113"/>
      <c r="O913" s="113"/>
      <c r="P913" s="113"/>
      <c r="Q913" s="113"/>
      <c r="R913" s="113"/>
      <c r="S913" s="113"/>
      <c r="T913" s="113"/>
      <c r="U913" s="113"/>
      <c r="V913" s="113"/>
      <c r="W913" s="113"/>
      <c r="X913" s="113"/>
      <c r="Y913" s="113"/>
      <c r="Z913" s="113"/>
      <c r="AA913" s="113"/>
      <c r="AB913" s="113"/>
      <c r="AC913" s="113"/>
      <c r="AD913" s="113"/>
      <c r="AE913" s="113"/>
      <c r="AF913" s="113"/>
      <c r="AG913" s="113"/>
      <c r="AH913" s="113" t="s">
        <v>1113</v>
      </c>
      <c r="AI913" s="113"/>
      <c r="AJ913" s="113"/>
      <c r="AK913" s="319" t="s">
        <v>1113</v>
      </c>
      <c r="AL913" s="113"/>
      <c r="AM913" s="113"/>
      <c r="AN913" s="113"/>
      <c r="AO913" s="43" t="s">
        <v>2348</v>
      </c>
      <c r="AP913" s="44"/>
      <c r="AQ913" s="236" t="str">
        <f>VLOOKUP(Table8[[#This Row],[Instrument]],Def_Targets!$D$73:$E$159,2,FALSE)</f>
        <v>I_Emobility</v>
      </c>
      <c r="AR913" s="233" t="str">
        <f>VLOOKUP(Table8[[#This Row],[Country Code]],Table29[],3,FALSE)</f>
        <v>Non-Annex I</v>
      </c>
      <c r="AS913" s="233" t="str">
        <f>VLOOKUP(Table8[[#This Row],[Country Code]],Table29[],4,FALSE)</f>
        <v>Oceania</v>
      </c>
      <c r="AT913" s="233" t="str">
        <f>VLOOKUP(Table8[[#This Row],[Country Code]],Table29[],5,FALSE)</f>
        <v>Middle-income</v>
      </c>
      <c r="AU913" s="233" t="str">
        <f>VLOOKUP(Table8[[#This Row],[Country Code]],Table29[],6,FALSE)</f>
        <v>no</v>
      </c>
      <c r="AV913" s="233" t="str">
        <f>VLOOKUP(Table8[[#This Row],[Country Code]],Table29[],7,FALSE)</f>
        <v>no</v>
      </c>
      <c r="AW913" s="233" t="str">
        <f>VLOOKUP(Table8[[#This Row],[Country Code]],Table29[],8,FALSE)</f>
        <v>non-OECD</v>
      </c>
      <c r="AX913" s="233" t="str">
        <f>VLOOKUP(Table8[[#This Row],[Country Code]],Table29[],9,FALSE)</f>
        <v>no</v>
      </c>
      <c r="AY913" s="233" t="str">
        <f>VLOOKUP(Table8[[#This Row],[Country Code]],Table29[],10,FALSE)</f>
        <v>no</v>
      </c>
      <c r="AZ913" s="235">
        <f>VLOOKUP(Table8[[#This Row],[Country Code]],Table29[],23,FALSE)</f>
        <v>3.4009927758626</v>
      </c>
      <c r="BA913" s="235">
        <f>VLOOKUP(Table8[[#This Row],[Country Code]],Table29[],24,FALSE)</f>
        <v>1.126237744382208</v>
      </c>
      <c r="BB913" s="320"/>
      <c r="BC913" s="320"/>
    </row>
    <row r="914" spans="1:55" s="17" customFormat="1" hidden="1" x14ac:dyDescent="0.25">
      <c r="A914" s="373">
        <v>17593</v>
      </c>
      <c r="B914" s="233" t="str">
        <f>VLOOKUP(Table8[[#This Row],[Document ID]],Table1[],2,FALSE)</f>
        <v>FJI</v>
      </c>
      <c r="C914" s="233" t="str">
        <f>VLOOKUP(Table8[[#This Row],[Document ID]],Table1[],3,FALSE)</f>
        <v>Fiji</v>
      </c>
      <c r="D914" s="243" t="str">
        <f>VLOOKUP(Table8[[#This Row],[Document ID]],Table1[],5,FALSE)</f>
        <v>LTS</v>
      </c>
      <c r="E914" s="233" t="str">
        <f>VLOOKUP(Table8[[#This Row],[Document ID]],Table1[],7,FALSE)</f>
        <v>LTS</v>
      </c>
      <c r="F914" s="233" t="str">
        <f>VLOOKUP(Table8[[#This Row],[Document ID]],Table1[],8,FALSE)</f>
        <v>LTS 1.0</v>
      </c>
      <c r="G914" s="233" t="str">
        <f>VLOOKUP(Table8[[#This Row],[Document ID]],Table1[],10,FALSE)</f>
        <v>Active</v>
      </c>
      <c r="H914" s="44" t="s">
        <v>2338</v>
      </c>
      <c r="I914" s="44" t="s">
        <v>2339</v>
      </c>
      <c r="J914" s="44" t="s">
        <v>2340</v>
      </c>
      <c r="K914" s="44" t="s">
        <v>3214</v>
      </c>
      <c r="L914" s="44" t="s">
        <v>2333</v>
      </c>
      <c r="M914" s="43">
        <v>90</v>
      </c>
      <c r="N914" s="113" t="s">
        <v>1113</v>
      </c>
      <c r="O914" s="113"/>
      <c r="P914" s="113"/>
      <c r="Q914" s="113"/>
      <c r="R914" s="113"/>
      <c r="S914" s="113"/>
      <c r="T914" s="113"/>
      <c r="U914" s="113"/>
      <c r="V914" s="113"/>
      <c r="W914" s="113"/>
      <c r="X914" s="113"/>
      <c r="Y914" s="113"/>
      <c r="Z914" s="113"/>
      <c r="AA914" s="113"/>
      <c r="AB914" s="113"/>
      <c r="AC914" s="113"/>
      <c r="AD914" s="113"/>
      <c r="AE914" s="113"/>
      <c r="AF914" s="113"/>
      <c r="AG914" s="113"/>
      <c r="AH914" s="113"/>
      <c r="AI914" s="113"/>
      <c r="AJ914" s="113"/>
      <c r="AK914" s="319" t="s">
        <v>1113</v>
      </c>
      <c r="AL914" s="113"/>
      <c r="AM914" s="113"/>
      <c r="AN914" s="113"/>
      <c r="AO914" s="44" t="s">
        <v>2334</v>
      </c>
      <c r="AP914" s="44"/>
      <c r="AQ914" s="236" t="str">
        <f>VLOOKUP(Table8[[#This Row],[Instrument]],Def_Targets!$D$73:$E$159,2,FALSE)</f>
        <v>I_Vehicleimprove</v>
      </c>
      <c r="AR914" s="233" t="str">
        <f>VLOOKUP(Table8[[#This Row],[Country Code]],Table29[],3,FALSE)</f>
        <v>Non-Annex I</v>
      </c>
      <c r="AS914" s="233" t="str">
        <f>VLOOKUP(Table8[[#This Row],[Country Code]],Table29[],4,FALSE)</f>
        <v>Oceania</v>
      </c>
      <c r="AT914" s="233" t="str">
        <f>VLOOKUP(Table8[[#This Row],[Country Code]],Table29[],5,FALSE)</f>
        <v>Middle-income</v>
      </c>
      <c r="AU914" s="233" t="str">
        <f>VLOOKUP(Table8[[#This Row],[Country Code]],Table29[],6,FALSE)</f>
        <v>no</v>
      </c>
      <c r="AV914" s="233" t="str">
        <f>VLOOKUP(Table8[[#This Row],[Country Code]],Table29[],7,FALSE)</f>
        <v>no</v>
      </c>
      <c r="AW914" s="233" t="str">
        <f>VLOOKUP(Table8[[#This Row],[Country Code]],Table29[],8,FALSE)</f>
        <v>non-OECD</v>
      </c>
      <c r="AX914" s="233" t="str">
        <f>VLOOKUP(Table8[[#This Row],[Country Code]],Table29[],9,FALSE)</f>
        <v>no</v>
      </c>
      <c r="AY914" s="233" t="str">
        <f>VLOOKUP(Table8[[#This Row],[Country Code]],Table29[],10,FALSE)</f>
        <v>no</v>
      </c>
      <c r="AZ914" s="235">
        <f>VLOOKUP(Table8[[#This Row],[Country Code]],Table29[],23,FALSE)</f>
        <v>3.4009927758626</v>
      </c>
      <c r="BA914" s="235">
        <f>VLOOKUP(Table8[[#This Row],[Country Code]],Table29[],24,FALSE)</f>
        <v>1.126237744382208</v>
      </c>
      <c r="BB914" s="320"/>
      <c r="BC914" s="320"/>
    </row>
    <row r="915" spans="1:55" hidden="1" x14ac:dyDescent="0.25">
      <c r="A915" s="373">
        <v>26801</v>
      </c>
      <c r="B915" s="233" t="str">
        <f>VLOOKUP(Table8[[#This Row],[Document ID]],Table1[],2,FALSE)</f>
        <v>GTM</v>
      </c>
      <c r="C915" s="233" t="str">
        <f>VLOOKUP(Table8[[#This Row],[Document ID]],Table1[],3,FALSE)</f>
        <v>Guatemala</v>
      </c>
      <c r="D915" s="243" t="str">
        <f>VLOOKUP(Table8[[#This Row],[Document ID]],Table1[],5,FALSE)</f>
        <v>NDC</v>
      </c>
      <c r="E915" s="233" t="str">
        <f>VLOOKUP(Table8[[#This Row],[Document ID]],Table1[],7,FALSE)</f>
        <v>First NDC updated</v>
      </c>
      <c r="F915" s="233" t="str">
        <f>VLOOKUP(Table8[[#This Row],[Document ID]],Table1[],8,FALSE)</f>
        <v>NDC 1.1</v>
      </c>
      <c r="G915" s="233" t="str">
        <f>VLOOKUP(Table8[[#This Row],[Document ID]],Table1[],10,FALSE)</f>
        <v>Archived</v>
      </c>
      <c r="H915" s="43" t="s">
        <v>2358</v>
      </c>
      <c r="I915" s="43" t="s">
        <v>2359</v>
      </c>
      <c r="J915" s="44" t="s">
        <v>2360</v>
      </c>
      <c r="K915" s="44" t="s">
        <v>3215</v>
      </c>
      <c r="L915" s="44" t="s">
        <v>2333</v>
      </c>
      <c r="M915" s="43">
        <v>12</v>
      </c>
      <c r="N915" s="113"/>
      <c r="O915" s="113"/>
      <c r="P915" s="113"/>
      <c r="Q915" s="113"/>
      <c r="R915" s="113"/>
      <c r="S915" s="113" t="s">
        <v>1113</v>
      </c>
      <c r="T915" s="113"/>
      <c r="U915" s="113"/>
      <c r="V915" s="113"/>
      <c r="W915" s="113"/>
      <c r="X915" s="113"/>
      <c r="Y915" s="113"/>
      <c r="Z915" s="113"/>
      <c r="AA915" s="113"/>
      <c r="AB915" s="113"/>
      <c r="AC915" s="113"/>
      <c r="AD915" s="113"/>
      <c r="AE915" s="113"/>
      <c r="AF915" s="113"/>
      <c r="AG915" s="113"/>
      <c r="AH915" s="113"/>
      <c r="AI915" s="113"/>
      <c r="AJ915" s="113"/>
      <c r="AK915" s="113" t="s">
        <v>1113</v>
      </c>
      <c r="AL915" s="113"/>
      <c r="AM915" s="113"/>
      <c r="AN915" s="113"/>
      <c r="AO915" s="44" t="s">
        <v>2334</v>
      </c>
      <c r="AP915" s="43"/>
      <c r="AQ915" s="236" t="str">
        <f>VLOOKUP(Table8[[#This Row],[Instrument]],Def_Targets!$D$73:$E$159,2,FALSE)</f>
        <v>I_Emobility</v>
      </c>
      <c r="AR915" s="233" t="str">
        <f>VLOOKUP(Table8[[#This Row],[Country Code]],Table29[],3,FALSE)</f>
        <v>Non-Annex I</v>
      </c>
      <c r="AS915" s="233" t="str">
        <f>VLOOKUP(Table8[[#This Row],[Country Code]],Table29[],4,FALSE)</f>
        <v>Latin America and the Caribbean</v>
      </c>
      <c r="AT915" s="233" t="str">
        <f>VLOOKUP(Table8[[#This Row],[Country Code]],Table29[],5,FALSE)</f>
        <v>Middle-income</v>
      </c>
      <c r="AU915" s="233" t="str">
        <f>VLOOKUP(Table8[[#This Row],[Country Code]],Table29[],6,FALSE)</f>
        <v>no</v>
      </c>
      <c r="AV915" s="233" t="str">
        <f>VLOOKUP(Table8[[#This Row],[Country Code]],Table29[],7,FALSE)</f>
        <v>no</v>
      </c>
      <c r="AW915" s="233" t="str">
        <f>VLOOKUP(Table8[[#This Row],[Country Code]],Table29[],8,FALSE)</f>
        <v>non-OECD</v>
      </c>
      <c r="AX915" s="233" t="str">
        <f>VLOOKUP(Table8[[#This Row],[Country Code]],Table29[],9,FALSE)</f>
        <v>no</v>
      </c>
      <c r="AY915" s="233" t="str">
        <f>VLOOKUP(Table8[[#This Row],[Country Code]],Table29[],10,FALSE)</f>
        <v>no</v>
      </c>
      <c r="AZ915" s="235">
        <f>VLOOKUP(Table8[[#This Row],[Country Code]],Table29[],23,FALSE)</f>
        <v>43.981074467992002</v>
      </c>
      <c r="BA915" s="235">
        <f>VLOOKUP(Table8[[#This Row],[Country Code]],Table29[],24,FALSE)</f>
        <v>11.70609674588653</v>
      </c>
      <c r="BB915" s="320"/>
      <c r="BC915" s="320"/>
    </row>
    <row r="916" spans="1:55" hidden="1" x14ac:dyDescent="0.25">
      <c r="A916" s="373">
        <v>26801</v>
      </c>
      <c r="B916" s="233" t="str">
        <f>VLOOKUP(Table8[[#This Row],[Document ID]],Table1[],2,FALSE)</f>
        <v>GTM</v>
      </c>
      <c r="C916" s="233" t="str">
        <f>VLOOKUP(Table8[[#This Row],[Document ID]],Table1[],3,FALSE)</f>
        <v>Guatemala</v>
      </c>
      <c r="D916" s="243" t="str">
        <f>VLOOKUP(Table8[[#This Row],[Document ID]],Table1[],5,FALSE)</f>
        <v>NDC</v>
      </c>
      <c r="E916" s="233" t="str">
        <f>VLOOKUP(Table8[[#This Row],[Document ID]],Table1[],7,FALSE)</f>
        <v>First NDC updated</v>
      </c>
      <c r="F916" s="233" t="str">
        <f>VLOOKUP(Table8[[#This Row],[Document ID]],Table1[],8,FALSE)</f>
        <v>NDC 1.1</v>
      </c>
      <c r="G916" s="233" t="str">
        <f>VLOOKUP(Table8[[#This Row],[Document ID]],Table1[],10,FALSE)</f>
        <v>Archived</v>
      </c>
      <c r="H916" s="44" t="s">
        <v>2329</v>
      </c>
      <c r="I916" s="44" t="s">
        <v>2330</v>
      </c>
      <c r="J916" s="44" t="s">
        <v>2331</v>
      </c>
      <c r="K916" s="44" t="s">
        <v>3215</v>
      </c>
      <c r="L916" s="44" t="s">
        <v>2333</v>
      </c>
      <c r="M916" s="43">
        <v>12</v>
      </c>
      <c r="N916" s="113"/>
      <c r="O916" s="113"/>
      <c r="P916" s="113"/>
      <c r="Q916" s="113"/>
      <c r="R916" s="113"/>
      <c r="S916" s="113" t="s">
        <v>1113</v>
      </c>
      <c r="T916" s="113"/>
      <c r="U916" s="113"/>
      <c r="V916" s="113"/>
      <c r="W916" s="113"/>
      <c r="X916" s="113"/>
      <c r="Y916" s="113"/>
      <c r="Z916" s="113"/>
      <c r="AA916" s="113"/>
      <c r="AB916" s="113"/>
      <c r="AC916" s="113"/>
      <c r="AD916" s="113"/>
      <c r="AE916" s="113"/>
      <c r="AF916" s="113"/>
      <c r="AG916" s="113"/>
      <c r="AH916" s="113"/>
      <c r="AI916" s="113"/>
      <c r="AJ916" s="113"/>
      <c r="AK916" s="113" t="s">
        <v>1113</v>
      </c>
      <c r="AL916" s="113"/>
      <c r="AM916" s="113"/>
      <c r="AN916" s="113"/>
      <c r="AO916" s="44" t="s">
        <v>2334</v>
      </c>
      <c r="AP916" s="43"/>
      <c r="AQ916" s="236" t="str">
        <f>VLOOKUP(Table8[[#This Row],[Instrument]],Def_Targets!$D$73:$E$159,2,FALSE)</f>
        <v>I_Altfuels</v>
      </c>
      <c r="AR916" s="233" t="str">
        <f>VLOOKUP(Table8[[#This Row],[Country Code]],Table29[],3,FALSE)</f>
        <v>Non-Annex I</v>
      </c>
      <c r="AS916" s="233" t="str">
        <f>VLOOKUP(Table8[[#This Row],[Country Code]],Table29[],4,FALSE)</f>
        <v>Latin America and the Caribbean</v>
      </c>
      <c r="AT916" s="233" t="str">
        <f>VLOOKUP(Table8[[#This Row],[Country Code]],Table29[],5,FALSE)</f>
        <v>Middle-income</v>
      </c>
      <c r="AU916" s="233" t="str">
        <f>VLOOKUP(Table8[[#This Row],[Country Code]],Table29[],6,FALSE)</f>
        <v>no</v>
      </c>
      <c r="AV916" s="233" t="str">
        <f>VLOOKUP(Table8[[#This Row],[Country Code]],Table29[],7,FALSE)</f>
        <v>no</v>
      </c>
      <c r="AW916" s="233" t="str">
        <f>VLOOKUP(Table8[[#This Row],[Country Code]],Table29[],8,FALSE)</f>
        <v>non-OECD</v>
      </c>
      <c r="AX916" s="233" t="str">
        <f>VLOOKUP(Table8[[#This Row],[Country Code]],Table29[],9,FALSE)</f>
        <v>no</v>
      </c>
      <c r="AY916" s="233" t="str">
        <f>VLOOKUP(Table8[[#This Row],[Country Code]],Table29[],10,FALSE)</f>
        <v>no</v>
      </c>
      <c r="AZ916" s="235">
        <f>VLOOKUP(Table8[[#This Row],[Country Code]],Table29[],23,FALSE)</f>
        <v>43.981074467992002</v>
      </c>
      <c r="BA916" s="235">
        <f>VLOOKUP(Table8[[#This Row],[Country Code]],Table29[],24,FALSE)</f>
        <v>11.70609674588653</v>
      </c>
      <c r="BB916" s="320"/>
      <c r="BC916" s="320"/>
    </row>
    <row r="917" spans="1:55" ht="30" hidden="1" x14ac:dyDescent="0.25">
      <c r="A917" s="373">
        <v>26801</v>
      </c>
      <c r="B917" s="233" t="str">
        <f>VLOOKUP(Table8[[#This Row],[Document ID]],Table1[],2,FALSE)</f>
        <v>GTM</v>
      </c>
      <c r="C917" s="233" t="str">
        <f>VLOOKUP(Table8[[#This Row],[Document ID]],Table1[],3,FALSE)</f>
        <v>Guatemala</v>
      </c>
      <c r="D917" s="243" t="str">
        <f>VLOOKUP(Table8[[#This Row],[Document ID]],Table1[],5,FALSE)</f>
        <v>NDC</v>
      </c>
      <c r="E917" s="233" t="str">
        <f>VLOOKUP(Table8[[#This Row],[Document ID]],Table1[],7,FALSE)</f>
        <v>First NDC updated</v>
      </c>
      <c r="F917" s="233" t="str">
        <f>VLOOKUP(Table8[[#This Row],[Document ID]],Table1[],8,FALSE)</f>
        <v>NDC 1.1</v>
      </c>
      <c r="G917" s="233" t="str">
        <f>VLOOKUP(Table8[[#This Row],[Document ID]],Table1[],10,FALSE)</f>
        <v>Archived</v>
      </c>
      <c r="H917" s="44" t="s">
        <v>2338</v>
      </c>
      <c r="I917" s="44" t="s">
        <v>2339</v>
      </c>
      <c r="J917" s="44" t="s">
        <v>2340</v>
      </c>
      <c r="K917" s="44" t="s">
        <v>3216</v>
      </c>
      <c r="L917" s="44" t="s">
        <v>2333</v>
      </c>
      <c r="M917" s="43">
        <v>67</v>
      </c>
      <c r="N917" s="113"/>
      <c r="O917" s="113"/>
      <c r="P917" s="113"/>
      <c r="Q917" s="113"/>
      <c r="R917" s="113"/>
      <c r="S917" s="113" t="s">
        <v>1113</v>
      </c>
      <c r="T917" s="113"/>
      <c r="U917" s="113"/>
      <c r="V917" s="113"/>
      <c r="W917" s="113"/>
      <c r="X917" s="113"/>
      <c r="Y917" s="113"/>
      <c r="Z917" s="113"/>
      <c r="AA917" s="113"/>
      <c r="AB917" s="113"/>
      <c r="AC917" s="113"/>
      <c r="AD917" s="113"/>
      <c r="AE917" s="113"/>
      <c r="AF917" s="113"/>
      <c r="AG917" s="113"/>
      <c r="AH917" s="113"/>
      <c r="AI917" s="113"/>
      <c r="AJ917" s="113"/>
      <c r="AK917" s="113" t="s">
        <v>1113</v>
      </c>
      <c r="AL917" s="113"/>
      <c r="AM917" s="113"/>
      <c r="AN917" s="113"/>
      <c r="AO917" s="44" t="s">
        <v>2334</v>
      </c>
      <c r="AP917" s="43"/>
      <c r="AQ917" s="236" t="str">
        <f>VLOOKUP(Table8[[#This Row],[Instrument]],Def_Targets!$D$73:$E$159,2,FALSE)</f>
        <v>I_Vehicleimprove</v>
      </c>
      <c r="AR917" s="233" t="str">
        <f>VLOOKUP(Table8[[#This Row],[Country Code]],Table29[],3,FALSE)</f>
        <v>Non-Annex I</v>
      </c>
      <c r="AS917" s="233" t="str">
        <f>VLOOKUP(Table8[[#This Row],[Country Code]],Table29[],4,FALSE)</f>
        <v>Latin America and the Caribbean</v>
      </c>
      <c r="AT917" s="233" t="str">
        <f>VLOOKUP(Table8[[#This Row],[Country Code]],Table29[],5,FALSE)</f>
        <v>Middle-income</v>
      </c>
      <c r="AU917" s="233" t="str">
        <f>VLOOKUP(Table8[[#This Row],[Country Code]],Table29[],6,FALSE)</f>
        <v>no</v>
      </c>
      <c r="AV917" s="233" t="str">
        <f>VLOOKUP(Table8[[#This Row],[Country Code]],Table29[],7,FALSE)</f>
        <v>no</v>
      </c>
      <c r="AW917" s="233" t="str">
        <f>VLOOKUP(Table8[[#This Row],[Country Code]],Table29[],8,FALSE)</f>
        <v>non-OECD</v>
      </c>
      <c r="AX917" s="233" t="str">
        <f>VLOOKUP(Table8[[#This Row],[Country Code]],Table29[],9,FALSE)</f>
        <v>no</v>
      </c>
      <c r="AY917" s="233" t="str">
        <f>VLOOKUP(Table8[[#This Row],[Country Code]],Table29[],10,FALSE)</f>
        <v>no</v>
      </c>
      <c r="AZ917" s="235">
        <f>VLOOKUP(Table8[[#This Row],[Country Code]],Table29[],23,FALSE)</f>
        <v>43.981074467992002</v>
      </c>
      <c r="BA917" s="235">
        <f>VLOOKUP(Table8[[#This Row],[Country Code]],Table29[],24,FALSE)</f>
        <v>11.70609674588653</v>
      </c>
      <c r="BB917" s="320"/>
      <c r="BC917" s="320"/>
    </row>
    <row r="918" spans="1:55" ht="45" hidden="1" x14ac:dyDescent="0.25">
      <c r="A918" s="373">
        <v>26801</v>
      </c>
      <c r="B918" s="233" t="str">
        <f>VLOOKUP(Table8[[#This Row],[Document ID]],Table1[],2,FALSE)</f>
        <v>GTM</v>
      </c>
      <c r="C918" s="233" t="str">
        <f>VLOOKUP(Table8[[#This Row],[Document ID]],Table1[],3,FALSE)</f>
        <v>Guatemala</v>
      </c>
      <c r="D918" s="243" t="str">
        <f>VLOOKUP(Table8[[#This Row],[Document ID]],Table1[],5,FALSE)</f>
        <v>NDC</v>
      </c>
      <c r="E918" s="233" t="str">
        <f>VLOOKUP(Table8[[#This Row],[Document ID]],Table1[],7,FALSE)</f>
        <v>First NDC updated</v>
      </c>
      <c r="F918" s="233" t="str">
        <f>VLOOKUP(Table8[[#This Row],[Document ID]],Table1[],8,FALSE)</f>
        <v>NDC 1.1</v>
      </c>
      <c r="G918" s="233" t="str">
        <f>VLOOKUP(Table8[[#This Row],[Document ID]],Table1[],10,FALSE)</f>
        <v>Archived</v>
      </c>
      <c r="H918" s="43" t="s">
        <v>2343</v>
      </c>
      <c r="I918" s="43" t="s">
        <v>2386</v>
      </c>
      <c r="J918" s="44" t="s">
        <v>2412</v>
      </c>
      <c r="K918" s="44" t="s">
        <v>3217</v>
      </c>
      <c r="L918" s="44" t="s">
        <v>2333</v>
      </c>
      <c r="M918" s="43">
        <v>67</v>
      </c>
      <c r="N918" s="113"/>
      <c r="O918" s="113"/>
      <c r="P918" s="113"/>
      <c r="Q918" s="113"/>
      <c r="R918" s="113"/>
      <c r="S918" s="113" t="s">
        <v>1113</v>
      </c>
      <c r="T918" s="113"/>
      <c r="U918" s="113"/>
      <c r="V918" s="113"/>
      <c r="W918" s="113"/>
      <c r="X918" s="113"/>
      <c r="Y918" s="113"/>
      <c r="Z918" s="113"/>
      <c r="AA918" s="113"/>
      <c r="AB918" s="113"/>
      <c r="AC918" s="113"/>
      <c r="AD918" s="113"/>
      <c r="AE918" s="113"/>
      <c r="AF918" s="113"/>
      <c r="AG918" s="113"/>
      <c r="AH918" s="113"/>
      <c r="AI918" s="113"/>
      <c r="AJ918" s="113"/>
      <c r="AK918" s="113" t="s">
        <v>1113</v>
      </c>
      <c r="AL918" s="113"/>
      <c r="AM918" s="113"/>
      <c r="AN918" s="113"/>
      <c r="AO918" s="44" t="s">
        <v>2334</v>
      </c>
      <c r="AP918" s="43"/>
      <c r="AQ918" s="236" t="str">
        <f>VLOOKUP(Table8[[#This Row],[Instrument]],Def_Targets!$D$73:$E$159,2,FALSE)</f>
        <v>A_Economic</v>
      </c>
      <c r="AR918" s="233" t="str">
        <f>VLOOKUP(Table8[[#This Row],[Country Code]],Table29[],3,FALSE)</f>
        <v>Non-Annex I</v>
      </c>
      <c r="AS918" s="233" t="str">
        <f>VLOOKUP(Table8[[#This Row],[Country Code]],Table29[],4,FALSE)</f>
        <v>Latin America and the Caribbean</v>
      </c>
      <c r="AT918" s="233" t="str">
        <f>VLOOKUP(Table8[[#This Row],[Country Code]],Table29[],5,FALSE)</f>
        <v>Middle-income</v>
      </c>
      <c r="AU918" s="233" t="str">
        <f>VLOOKUP(Table8[[#This Row],[Country Code]],Table29[],6,FALSE)</f>
        <v>no</v>
      </c>
      <c r="AV918" s="233" t="str">
        <f>VLOOKUP(Table8[[#This Row],[Country Code]],Table29[],7,FALSE)</f>
        <v>no</v>
      </c>
      <c r="AW918" s="233" t="str">
        <f>VLOOKUP(Table8[[#This Row],[Country Code]],Table29[],8,FALSE)</f>
        <v>non-OECD</v>
      </c>
      <c r="AX918" s="233" t="str">
        <f>VLOOKUP(Table8[[#This Row],[Country Code]],Table29[],9,FALSE)</f>
        <v>no</v>
      </c>
      <c r="AY918" s="233" t="str">
        <f>VLOOKUP(Table8[[#This Row],[Country Code]],Table29[],10,FALSE)</f>
        <v>no</v>
      </c>
      <c r="AZ918" s="235">
        <f>VLOOKUP(Table8[[#This Row],[Country Code]],Table29[],23,FALSE)</f>
        <v>43.981074467992002</v>
      </c>
      <c r="BA918" s="235">
        <f>VLOOKUP(Table8[[#This Row],[Country Code]],Table29[],24,FALSE)</f>
        <v>11.70609674588653</v>
      </c>
      <c r="BB918" s="320"/>
      <c r="BC918" s="320"/>
    </row>
    <row r="919" spans="1:55" ht="30" hidden="1" x14ac:dyDescent="0.25">
      <c r="A919" s="373">
        <v>26801</v>
      </c>
      <c r="B919" s="233" t="str">
        <f>VLOOKUP(Table8[[#This Row],[Document ID]],Table1[],2,FALSE)</f>
        <v>GTM</v>
      </c>
      <c r="C919" s="233" t="str">
        <f>VLOOKUP(Table8[[#This Row],[Document ID]],Table1[],3,FALSE)</f>
        <v>Guatemala</v>
      </c>
      <c r="D919" s="243" t="str">
        <f>VLOOKUP(Table8[[#This Row],[Document ID]],Table1[],5,FALSE)</f>
        <v>NDC</v>
      </c>
      <c r="E919" s="233" t="str">
        <f>VLOOKUP(Table8[[#This Row],[Document ID]],Table1[],7,FALSE)</f>
        <v>First NDC updated</v>
      </c>
      <c r="F919" s="233" t="str">
        <f>VLOOKUP(Table8[[#This Row],[Document ID]],Table1[],8,FALSE)</f>
        <v>NDC 1.1</v>
      </c>
      <c r="G919" s="233" t="str">
        <f>VLOOKUP(Table8[[#This Row],[Document ID]],Table1[],10,FALSE)</f>
        <v>Archived</v>
      </c>
      <c r="H919" s="43" t="s">
        <v>2358</v>
      </c>
      <c r="I919" s="43" t="s">
        <v>2359</v>
      </c>
      <c r="J919" s="44" t="s">
        <v>2383</v>
      </c>
      <c r="K919" s="44" t="s">
        <v>3218</v>
      </c>
      <c r="L919" s="44" t="s">
        <v>2333</v>
      </c>
      <c r="M919" s="43">
        <v>67</v>
      </c>
      <c r="N919" s="113"/>
      <c r="O919" s="113"/>
      <c r="P919" s="113"/>
      <c r="Q919" s="113"/>
      <c r="R919" s="113"/>
      <c r="S919" s="113" t="s">
        <v>1113</v>
      </c>
      <c r="T919" s="113"/>
      <c r="U919" s="113"/>
      <c r="V919" s="113"/>
      <c r="W919" s="113"/>
      <c r="X919" s="113"/>
      <c r="Y919" s="113"/>
      <c r="Z919" s="113"/>
      <c r="AA919" s="113"/>
      <c r="AB919" s="113"/>
      <c r="AC919" s="113"/>
      <c r="AD919" s="113"/>
      <c r="AE919" s="113"/>
      <c r="AF919" s="113"/>
      <c r="AG919" s="113"/>
      <c r="AH919" s="113"/>
      <c r="AI919" s="113"/>
      <c r="AJ919" s="113"/>
      <c r="AK919" s="113" t="s">
        <v>1113</v>
      </c>
      <c r="AL919" s="113"/>
      <c r="AM919" s="113"/>
      <c r="AN919" s="113"/>
      <c r="AO919" s="44" t="s">
        <v>2334</v>
      </c>
      <c r="AP919" s="43"/>
      <c r="AQ919" s="236" t="str">
        <f>VLOOKUP(Table8[[#This Row],[Instrument]],Def_Targets!$D$73:$E$159,2,FALSE)</f>
        <v>I_Emobilitycharging</v>
      </c>
      <c r="AR919" s="233" t="str">
        <f>VLOOKUP(Table8[[#This Row],[Country Code]],Table29[],3,FALSE)</f>
        <v>Non-Annex I</v>
      </c>
      <c r="AS919" s="233" t="str">
        <f>VLOOKUP(Table8[[#This Row],[Country Code]],Table29[],4,FALSE)</f>
        <v>Latin America and the Caribbean</v>
      </c>
      <c r="AT919" s="233" t="str">
        <f>VLOOKUP(Table8[[#This Row],[Country Code]],Table29[],5,FALSE)</f>
        <v>Middle-income</v>
      </c>
      <c r="AU919" s="233" t="str">
        <f>VLOOKUP(Table8[[#This Row],[Country Code]],Table29[],6,FALSE)</f>
        <v>no</v>
      </c>
      <c r="AV919" s="233" t="str">
        <f>VLOOKUP(Table8[[#This Row],[Country Code]],Table29[],7,FALSE)</f>
        <v>no</v>
      </c>
      <c r="AW919" s="233" t="str">
        <f>VLOOKUP(Table8[[#This Row],[Country Code]],Table29[],8,FALSE)</f>
        <v>non-OECD</v>
      </c>
      <c r="AX919" s="233" t="str">
        <f>VLOOKUP(Table8[[#This Row],[Country Code]],Table29[],9,FALSE)</f>
        <v>no</v>
      </c>
      <c r="AY919" s="233" t="str">
        <f>VLOOKUP(Table8[[#This Row],[Country Code]],Table29[],10,FALSE)</f>
        <v>no</v>
      </c>
      <c r="AZ919" s="235">
        <f>VLOOKUP(Table8[[#This Row],[Country Code]],Table29[],23,FALSE)</f>
        <v>43.981074467992002</v>
      </c>
      <c r="BA919" s="235">
        <f>VLOOKUP(Table8[[#This Row],[Country Code]],Table29[],24,FALSE)</f>
        <v>11.70609674588653</v>
      </c>
      <c r="BB919" s="320"/>
      <c r="BC919" s="320"/>
    </row>
    <row r="920" spans="1:55" ht="45" hidden="1" x14ac:dyDescent="0.25">
      <c r="A920" s="373">
        <v>26801</v>
      </c>
      <c r="B920" s="233" t="str">
        <f>VLOOKUP(Table8[[#This Row],[Document ID]],Table1[],2,FALSE)</f>
        <v>GTM</v>
      </c>
      <c r="C920" s="233" t="str">
        <f>VLOOKUP(Table8[[#This Row],[Document ID]],Table1[],3,FALSE)</f>
        <v>Guatemala</v>
      </c>
      <c r="D920" s="243" t="str">
        <f>VLOOKUP(Table8[[#This Row],[Document ID]],Table1[],5,FALSE)</f>
        <v>NDC</v>
      </c>
      <c r="E920" s="233" t="str">
        <f>VLOOKUP(Table8[[#This Row],[Document ID]],Table1[],7,FALSE)</f>
        <v>First NDC updated</v>
      </c>
      <c r="F920" s="233" t="str">
        <f>VLOOKUP(Table8[[#This Row],[Document ID]],Table1[],8,FALSE)</f>
        <v>NDC 1.1</v>
      </c>
      <c r="G920" s="233" t="str">
        <f>VLOOKUP(Table8[[#This Row],[Document ID]],Table1[],10,FALSE)</f>
        <v>Archived</v>
      </c>
      <c r="H920" s="44" t="s">
        <v>2329</v>
      </c>
      <c r="I920" s="43" t="s">
        <v>2330</v>
      </c>
      <c r="J920" s="44" t="s">
        <v>2357</v>
      </c>
      <c r="K920" s="44" t="s">
        <v>3219</v>
      </c>
      <c r="L920" s="44" t="s">
        <v>2333</v>
      </c>
      <c r="M920" s="43">
        <v>67</v>
      </c>
      <c r="N920" s="113"/>
      <c r="O920" s="113"/>
      <c r="P920" s="113"/>
      <c r="Q920" s="113"/>
      <c r="R920" s="113"/>
      <c r="S920" s="113" t="s">
        <v>1113</v>
      </c>
      <c r="T920" s="113"/>
      <c r="U920" s="113"/>
      <c r="V920" s="113"/>
      <c r="W920" s="113"/>
      <c r="X920" s="113"/>
      <c r="Y920" s="113"/>
      <c r="Z920" s="113"/>
      <c r="AA920" s="113"/>
      <c r="AB920" s="113"/>
      <c r="AC920" s="113"/>
      <c r="AD920" s="113"/>
      <c r="AE920" s="113"/>
      <c r="AF920" s="113"/>
      <c r="AG920" s="113"/>
      <c r="AH920" s="113"/>
      <c r="AI920" s="113"/>
      <c r="AJ920" s="113"/>
      <c r="AK920" s="113" t="s">
        <v>1113</v>
      </c>
      <c r="AL920" s="113"/>
      <c r="AM920" s="113"/>
      <c r="AN920" s="113"/>
      <c r="AO920" s="44" t="s">
        <v>2334</v>
      </c>
      <c r="AP920" s="43"/>
      <c r="AQ920" s="236" t="str">
        <f>VLOOKUP(Table8[[#This Row],[Instrument]],Def_Targets!$D$73:$E$159,2,FALSE)</f>
        <v>I_Biofuel</v>
      </c>
      <c r="AR920" s="233" t="str">
        <f>VLOOKUP(Table8[[#This Row],[Country Code]],Table29[],3,FALSE)</f>
        <v>Non-Annex I</v>
      </c>
      <c r="AS920" s="233" t="str">
        <f>VLOOKUP(Table8[[#This Row],[Country Code]],Table29[],4,FALSE)</f>
        <v>Latin America and the Caribbean</v>
      </c>
      <c r="AT920" s="233" t="str">
        <f>VLOOKUP(Table8[[#This Row],[Country Code]],Table29[],5,FALSE)</f>
        <v>Middle-income</v>
      </c>
      <c r="AU920" s="233" t="str">
        <f>VLOOKUP(Table8[[#This Row],[Country Code]],Table29[],6,FALSE)</f>
        <v>no</v>
      </c>
      <c r="AV920" s="233" t="str">
        <f>VLOOKUP(Table8[[#This Row],[Country Code]],Table29[],7,FALSE)</f>
        <v>no</v>
      </c>
      <c r="AW920" s="233" t="str">
        <f>VLOOKUP(Table8[[#This Row],[Country Code]],Table29[],8,FALSE)</f>
        <v>non-OECD</v>
      </c>
      <c r="AX920" s="233" t="str">
        <f>VLOOKUP(Table8[[#This Row],[Country Code]],Table29[],9,FALSE)</f>
        <v>no</v>
      </c>
      <c r="AY920" s="233" t="str">
        <f>VLOOKUP(Table8[[#This Row],[Country Code]],Table29[],10,FALSE)</f>
        <v>no</v>
      </c>
      <c r="AZ920" s="235">
        <f>VLOOKUP(Table8[[#This Row],[Country Code]],Table29[],23,FALSE)</f>
        <v>43.981074467992002</v>
      </c>
      <c r="BA920" s="235">
        <f>VLOOKUP(Table8[[#This Row],[Country Code]],Table29[],24,FALSE)</f>
        <v>11.70609674588653</v>
      </c>
      <c r="BB920" s="320"/>
      <c r="BC920" s="320"/>
    </row>
    <row r="921" spans="1:55" ht="30" hidden="1" x14ac:dyDescent="0.25">
      <c r="A921" s="373">
        <v>26802</v>
      </c>
      <c r="B921" s="233" t="str">
        <f>VLOOKUP(Table8[[#This Row],[Document ID]],Table1[],2,FALSE)</f>
        <v>GTM</v>
      </c>
      <c r="C921" s="233" t="str">
        <f>VLOOKUP(Table8[[#This Row],[Document ID]],Table1[],3,FALSE)</f>
        <v>Guatemala</v>
      </c>
      <c r="D921" s="243" t="str">
        <f>VLOOKUP(Table8[[#This Row],[Document ID]],Table1[],5,FALSE)</f>
        <v>NDC</v>
      </c>
      <c r="E921" s="233" t="str">
        <f>VLOOKUP(Table8[[#This Row],[Document ID]],Table1[],7,FALSE)</f>
        <v>First NDC updated</v>
      </c>
      <c r="F921" s="233" t="str">
        <f>VLOOKUP(Table8[[#This Row],[Document ID]],Table1[],8,FALSE)</f>
        <v>NDC 1.2</v>
      </c>
      <c r="G921" s="233" t="str">
        <f>VLOOKUP(Table8[[#This Row],[Document ID]],Table1[],10,FALSE)</f>
        <v>Active</v>
      </c>
      <c r="H921" s="44" t="s">
        <v>2338</v>
      </c>
      <c r="I921" s="44" t="s">
        <v>2339</v>
      </c>
      <c r="J921" s="44" t="s">
        <v>2340</v>
      </c>
      <c r="K921" s="44" t="s">
        <v>3220</v>
      </c>
      <c r="L921" s="44" t="s">
        <v>2333</v>
      </c>
      <c r="M921" s="43">
        <v>67</v>
      </c>
      <c r="N921" s="113"/>
      <c r="O921" s="113"/>
      <c r="P921" s="113"/>
      <c r="Q921" s="113"/>
      <c r="R921" s="113"/>
      <c r="S921" s="113"/>
      <c r="T921" s="113"/>
      <c r="U921" s="113"/>
      <c r="V921" s="113" t="s">
        <v>1113</v>
      </c>
      <c r="W921" s="113"/>
      <c r="X921" s="113"/>
      <c r="Y921" s="113"/>
      <c r="Z921" s="113"/>
      <c r="AA921" s="113"/>
      <c r="AB921" s="113"/>
      <c r="AC921" s="113"/>
      <c r="AD921" s="113"/>
      <c r="AE921" s="113"/>
      <c r="AF921" s="113"/>
      <c r="AG921" s="113"/>
      <c r="AH921" s="113"/>
      <c r="AI921" s="113"/>
      <c r="AJ921" s="113"/>
      <c r="AK921" s="113" t="s">
        <v>1113</v>
      </c>
      <c r="AL921" s="113"/>
      <c r="AM921" s="113"/>
      <c r="AN921" s="113"/>
      <c r="AO921" s="43" t="s">
        <v>2348</v>
      </c>
      <c r="AP921" s="43"/>
      <c r="AQ921" s="236" t="str">
        <f>VLOOKUP(Table8[[#This Row],[Instrument]],Def_Targets!$D$73:$E$159,2,FALSE)</f>
        <v>I_Vehicleimprove</v>
      </c>
      <c r="AR921" s="233" t="str">
        <f>VLOOKUP(Table8[[#This Row],[Country Code]],Table29[],3,FALSE)</f>
        <v>Non-Annex I</v>
      </c>
      <c r="AS921" s="233" t="str">
        <f>VLOOKUP(Table8[[#This Row],[Country Code]],Table29[],4,FALSE)</f>
        <v>Latin America and the Caribbean</v>
      </c>
      <c r="AT921" s="233" t="str">
        <f>VLOOKUP(Table8[[#This Row],[Country Code]],Table29[],5,FALSE)</f>
        <v>Middle-income</v>
      </c>
      <c r="AU921" s="233" t="str">
        <f>VLOOKUP(Table8[[#This Row],[Country Code]],Table29[],6,FALSE)</f>
        <v>no</v>
      </c>
      <c r="AV921" s="233" t="str">
        <f>VLOOKUP(Table8[[#This Row],[Country Code]],Table29[],7,FALSE)</f>
        <v>no</v>
      </c>
      <c r="AW921" s="233" t="str">
        <f>VLOOKUP(Table8[[#This Row],[Country Code]],Table29[],8,FALSE)</f>
        <v>non-OECD</v>
      </c>
      <c r="AX921" s="233" t="str">
        <f>VLOOKUP(Table8[[#This Row],[Country Code]],Table29[],9,FALSE)</f>
        <v>no</v>
      </c>
      <c r="AY921" s="233" t="str">
        <f>VLOOKUP(Table8[[#This Row],[Country Code]],Table29[],10,FALSE)</f>
        <v>no</v>
      </c>
      <c r="AZ921" s="235">
        <f>VLOOKUP(Table8[[#This Row],[Country Code]],Table29[],23,FALSE)</f>
        <v>43.981074467992002</v>
      </c>
      <c r="BA921" s="235">
        <f>VLOOKUP(Table8[[#This Row],[Country Code]],Table29[],24,FALSE)</f>
        <v>11.70609674588653</v>
      </c>
      <c r="BB921" s="320"/>
      <c r="BC921" s="320"/>
    </row>
    <row r="922" spans="1:55" hidden="1" x14ac:dyDescent="0.25">
      <c r="A922" s="373">
        <v>26802</v>
      </c>
      <c r="B922" s="233" t="str">
        <f>VLOOKUP(Table8[[#This Row],[Document ID]],Table1[],2,FALSE)</f>
        <v>GTM</v>
      </c>
      <c r="C922" s="233" t="str">
        <f>VLOOKUP(Table8[[#This Row],[Document ID]],Table1[],3,FALSE)</f>
        <v>Guatemala</v>
      </c>
      <c r="D922" s="243" t="str">
        <f>VLOOKUP(Table8[[#This Row],[Document ID]],Table1[],5,FALSE)</f>
        <v>NDC</v>
      </c>
      <c r="E922" s="233" t="str">
        <f>VLOOKUP(Table8[[#This Row],[Document ID]],Table1[],7,FALSE)</f>
        <v>First NDC updated</v>
      </c>
      <c r="F922" s="233" t="str">
        <f>VLOOKUP(Table8[[#This Row],[Document ID]],Table1[],8,FALSE)</f>
        <v>NDC 1.2</v>
      </c>
      <c r="G922" s="233" t="str">
        <f>VLOOKUP(Table8[[#This Row],[Document ID]],Table1[],10,FALSE)</f>
        <v>Active</v>
      </c>
      <c r="H922" s="44" t="s">
        <v>2338</v>
      </c>
      <c r="I922" s="44" t="s">
        <v>2339</v>
      </c>
      <c r="J922" s="44" t="s">
        <v>2425</v>
      </c>
      <c r="K922" s="44" t="s">
        <v>3221</v>
      </c>
      <c r="L922" s="44" t="s">
        <v>2333</v>
      </c>
      <c r="M922" s="43">
        <v>67</v>
      </c>
      <c r="N922" s="113" t="s">
        <v>1113</v>
      </c>
      <c r="O922" s="113"/>
      <c r="P922" s="113"/>
      <c r="Q922" s="113"/>
      <c r="R922" s="113"/>
      <c r="S922" s="113"/>
      <c r="T922" s="113"/>
      <c r="U922" s="113"/>
      <c r="V922" s="113"/>
      <c r="W922" s="113"/>
      <c r="X922" s="113"/>
      <c r="Y922" s="113"/>
      <c r="Z922" s="113"/>
      <c r="AA922" s="113"/>
      <c r="AB922" s="113"/>
      <c r="AC922" s="113"/>
      <c r="AD922" s="113"/>
      <c r="AE922" s="113"/>
      <c r="AF922" s="113"/>
      <c r="AG922" s="113"/>
      <c r="AH922" s="113"/>
      <c r="AI922" s="113"/>
      <c r="AJ922" s="113"/>
      <c r="AK922" s="113" t="s">
        <v>1113</v>
      </c>
      <c r="AL922" s="113"/>
      <c r="AM922" s="113"/>
      <c r="AN922" s="113"/>
      <c r="AO922" s="44" t="s">
        <v>2334</v>
      </c>
      <c r="AP922" s="43"/>
      <c r="AQ922" s="236" t="str">
        <f>VLOOKUP(Table8[[#This Row],[Instrument]],Def_Targets!$D$73:$E$159,2,FALSE)</f>
        <v>I_Efficiencystd</v>
      </c>
      <c r="AR922" s="233" t="str">
        <f>VLOOKUP(Table8[[#This Row],[Country Code]],Table29[],3,FALSE)</f>
        <v>Non-Annex I</v>
      </c>
      <c r="AS922" s="233" t="str">
        <f>VLOOKUP(Table8[[#This Row],[Country Code]],Table29[],4,FALSE)</f>
        <v>Latin America and the Caribbean</v>
      </c>
      <c r="AT922" s="233" t="str">
        <f>VLOOKUP(Table8[[#This Row],[Country Code]],Table29[],5,FALSE)</f>
        <v>Middle-income</v>
      </c>
      <c r="AU922" s="233" t="str">
        <f>VLOOKUP(Table8[[#This Row],[Country Code]],Table29[],6,FALSE)</f>
        <v>no</v>
      </c>
      <c r="AV922" s="233" t="str">
        <f>VLOOKUP(Table8[[#This Row],[Country Code]],Table29[],7,FALSE)</f>
        <v>no</v>
      </c>
      <c r="AW922" s="233" t="str">
        <f>VLOOKUP(Table8[[#This Row],[Country Code]],Table29[],8,FALSE)</f>
        <v>non-OECD</v>
      </c>
      <c r="AX922" s="233" t="str">
        <f>VLOOKUP(Table8[[#This Row],[Country Code]],Table29[],9,FALSE)</f>
        <v>no</v>
      </c>
      <c r="AY922" s="233" t="str">
        <f>VLOOKUP(Table8[[#This Row],[Country Code]],Table29[],10,FALSE)</f>
        <v>no</v>
      </c>
      <c r="AZ922" s="235">
        <f>VLOOKUP(Table8[[#This Row],[Country Code]],Table29[],23,FALSE)</f>
        <v>43.981074467992002</v>
      </c>
      <c r="BA922" s="235">
        <f>VLOOKUP(Table8[[#This Row],[Country Code]],Table29[],24,FALSE)</f>
        <v>11.70609674588653</v>
      </c>
      <c r="BB922" s="320"/>
      <c r="BC922" s="320"/>
    </row>
    <row r="923" spans="1:55" hidden="1" x14ac:dyDescent="0.25">
      <c r="A923" s="373">
        <v>26802</v>
      </c>
      <c r="B923" s="233" t="str">
        <f>VLOOKUP(Table8[[#This Row],[Document ID]],Table1[],2,FALSE)</f>
        <v>GTM</v>
      </c>
      <c r="C923" s="233" t="str">
        <f>VLOOKUP(Table8[[#This Row],[Document ID]],Table1[],3,FALSE)</f>
        <v>Guatemala</v>
      </c>
      <c r="D923" s="243" t="str">
        <f>VLOOKUP(Table8[[#This Row],[Document ID]],Table1[],5,FALSE)</f>
        <v>NDC</v>
      </c>
      <c r="E923" s="233" t="str">
        <f>VLOOKUP(Table8[[#This Row],[Document ID]],Table1[],7,FALSE)</f>
        <v>First NDC updated</v>
      </c>
      <c r="F923" s="233" t="str">
        <f>VLOOKUP(Table8[[#This Row],[Document ID]],Table1[],8,FALSE)</f>
        <v>NDC 1.2</v>
      </c>
      <c r="G923" s="233" t="str">
        <f>VLOOKUP(Table8[[#This Row],[Document ID]],Table1[],10,FALSE)</f>
        <v>Active</v>
      </c>
      <c r="H923" s="43" t="s">
        <v>2343</v>
      </c>
      <c r="I923" s="43" t="s">
        <v>2386</v>
      </c>
      <c r="J923" s="44" t="s">
        <v>2412</v>
      </c>
      <c r="K923" s="44" t="s">
        <v>3222</v>
      </c>
      <c r="L923" s="44" t="s">
        <v>2333</v>
      </c>
      <c r="M923" s="43">
        <v>67</v>
      </c>
      <c r="N923" s="113"/>
      <c r="O923" s="113"/>
      <c r="P923" s="113"/>
      <c r="Q923" s="113"/>
      <c r="R923" s="113"/>
      <c r="S923" s="113" t="s">
        <v>1113</v>
      </c>
      <c r="T923" s="113"/>
      <c r="U923" s="113"/>
      <c r="V923" s="113"/>
      <c r="W923" s="113"/>
      <c r="X923" s="113"/>
      <c r="Y923" s="113"/>
      <c r="Z923" s="113"/>
      <c r="AA923" s="113"/>
      <c r="AB923" s="113"/>
      <c r="AC923" s="113"/>
      <c r="AD923" s="113"/>
      <c r="AE923" s="113"/>
      <c r="AF923" s="113"/>
      <c r="AG923" s="113"/>
      <c r="AH923" s="113"/>
      <c r="AI923" s="113"/>
      <c r="AJ923" s="113"/>
      <c r="AK923" s="113" t="s">
        <v>1113</v>
      </c>
      <c r="AL923" s="113"/>
      <c r="AM923" s="113"/>
      <c r="AN923" s="113"/>
      <c r="AO923" s="44" t="s">
        <v>2334</v>
      </c>
      <c r="AP923" s="43"/>
      <c r="AQ923" s="236" t="str">
        <f>VLOOKUP(Table8[[#This Row],[Instrument]],Def_Targets!$D$73:$E$159,2,FALSE)</f>
        <v>A_Economic</v>
      </c>
      <c r="AR923" s="233" t="str">
        <f>VLOOKUP(Table8[[#This Row],[Country Code]],Table29[],3,FALSE)</f>
        <v>Non-Annex I</v>
      </c>
      <c r="AS923" s="233" t="str">
        <f>VLOOKUP(Table8[[#This Row],[Country Code]],Table29[],4,FALSE)</f>
        <v>Latin America and the Caribbean</v>
      </c>
      <c r="AT923" s="233" t="str">
        <f>VLOOKUP(Table8[[#This Row],[Country Code]],Table29[],5,FALSE)</f>
        <v>Middle-income</v>
      </c>
      <c r="AU923" s="233" t="str">
        <f>VLOOKUP(Table8[[#This Row],[Country Code]],Table29[],6,FALSE)</f>
        <v>no</v>
      </c>
      <c r="AV923" s="233" t="str">
        <f>VLOOKUP(Table8[[#This Row],[Country Code]],Table29[],7,FALSE)</f>
        <v>no</v>
      </c>
      <c r="AW923" s="233" t="str">
        <f>VLOOKUP(Table8[[#This Row],[Country Code]],Table29[],8,FALSE)</f>
        <v>non-OECD</v>
      </c>
      <c r="AX923" s="233" t="str">
        <f>VLOOKUP(Table8[[#This Row],[Country Code]],Table29[],9,FALSE)</f>
        <v>no</v>
      </c>
      <c r="AY923" s="233" t="str">
        <f>VLOOKUP(Table8[[#This Row],[Country Code]],Table29[],10,FALSE)</f>
        <v>no</v>
      </c>
      <c r="AZ923" s="235">
        <f>VLOOKUP(Table8[[#This Row],[Country Code]],Table29[],23,FALSE)</f>
        <v>43.981074467992002</v>
      </c>
      <c r="BA923" s="235">
        <f>VLOOKUP(Table8[[#This Row],[Country Code]],Table29[],24,FALSE)</f>
        <v>11.70609674588653</v>
      </c>
      <c r="BB923" s="320"/>
      <c r="BC923" s="320"/>
    </row>
    <row r="924" spans="1:55" ht="30" hidden="1" x14ac:dyDescent="0.25">
      <c r="A924" s="373">
        <v>26802</v>
      </c>
      <c r="B924" s="233" t="str">
        <f>VLOOKUP(Table8[[#This Row],[Document ID]],Table1[],2,FALSE)</f>
        <v>GTM</v>
      </c>
      <c r="C924" s="233" t="str">
        <f>VLOOKUP(Table8[[#This Row],[Document ID]],Table1[],3,FALSE)</f>
        <v>Guatemala</v>
      </c>
      <c r="D924" s="243" t="str">
        <f>VLOOKUP(Table8[[#This Row],[Document ID]],Table1[],5,FALSE)</f>
        <v>NDC</v>
      </c>
      <c r="E924" s="233" t="str">
        <f>VLOOKUP(Table8[[#This Row],[Document ID]],Table1[],7,FALSE)</f>
        <v>First NDC updated</v>
      </c>
      <c r="F924" s="233" t="str">
        <f>VLOOKUP(Table8[[#This Row],[Document ID]],Table1[],8,FALSE)</f>
        <v>NDC 1.2</v>
      </c>
      <c r="G924" s="233" t="str">
        <f>VLOOKUP(Table8[[#This Row],[Document ID]],Table1[],10,FALSE)</f>
        <v>Active</v>
      </c>
      <c r="H924" s="43" t="s">
        <v>2358</v>
      </c>
      <c r="I924" s="43" t="s">
        <v>2359</v>
      </c>
      <c r="J924" s="44" t="s">
        <v>2389</v>
      </c>
      <c r="K924" s="44" t="s">
        <v>3223</v>
      </c>
      <c r="L924" s="44" t="s">
        <v>2333</v>
      </c>
      <c r="M924" s="43">
        <v>67</v>
      </c>
      <c r="N924" s="113"/>
      <c r="O924" s="113"/>
      <c r="P924" s="113"/>
      <c r="Q924" s="113"/>
      <c r="R924" s="113"/>
      <c r="S924" s="113"/>
      <c r="T924" s="113"/>
      <c r="U924" s="113" t="s">
        <v>1113</v>
      </c>
      <c r="V924" s="113"/>
      <c r="W924" s="113"/>
      <c r="X924" s="113"/>
      <c r="Y924" s="113"/>
      <c r="Z924" s="113"/>
      <c r="AA924" s="113"/>
      <c r="AB924" s="113"/>
      <c r="AC924" s="113"/>
      <c r="AD924" s="113"/>
      <c r="AE924" s="113"/>
      <c r="AF924" s="113"/>
      <c r="AG924" s="113"/>
      <c r="AH924" s="113"/>
      <c r="AI924" s="113"/>
      <c r="AJ924" s="113"/>
      <c r="AK924" s="113" t="s">
        <v>1113</v>
      </c>
      <c r="AL924" s="113"/>
      <c r="AM924" s="113"/>
      <c r="AN924" s="113"/>
      <c r="AO924" s="43" t="s">
        <v>2348</v>
      </c>
      <c r="AP924" s="43"/>
      <c r="AQ924" s="236" t="str">
        <f>VLOOKUP(Table8[[#This Row],[Instrument]],Def_Targets!$D$73:$E$159,2,FALSE)</f>
        <v>I_Emobilitypurchase</v>
      </c>
      <c r="AR924" s="233" t="str">
        <f>VLOOKUP(Table8[[#This Row],[Country Code]],Table29[],3,FALSE)</f>
        <v>Non-Annex I</v>
      </c>
      <c r="AS924" s="233" t="str">
        <f>VLOOKUP(Table8[[#This Row],[Country Code]],Table29[],4,FALSE)</f>
        <v>Latin America and the Caribbean</v>
      </c>
      <c r="AT924" s="233" t="str">
        <f>VLOOKUP(Table8[[#This Row],[Country Code]],Table29[],5,FALSE)</f>
        <v>Middle-income</v>
      </c>
      <c r="AU924" s="233" t="str">
        <f>VLOOKUP(Table8[[#This Row],[Country Code]],Table29[],6,FALSE)</f>
        <v>no</v>
      </c>
      <c r="AV924" s="233" t="str">
        <f>VLOOKUP(Table8[[#This Row],[Country Code]],Table29[],7,FALSE)</f>
        <v>no</v>
      </c>
      <c r="AW924" s="233" t="str">
        <f>VLOOKUP(Table8[[#This Row],[Country Code]],Table29[],8,FALSE)</f>
        <v>non-OECD</v>
      </c>
      <c r="AX924" s="233" t="str">
        <f>VLOOKUP(Table8[[#This Row],[Country Code]],Table29[],9,FALSE)</f>
        <v>no</v>
      </c>
      <c r="AY924" s="233" t="str">
        <f>VLOOKUP(Table8[[#This Row],[Country Code]],Table29[],10,FALSE)</f>
        <v>no</v>
      </c>
      <c r="AZ924" s="235">
        <f>VLOOKUP(Table8[[#This Row],[Country Code]],Table29[],23,FALSE)</f>
        <v>43.981074467992002</v>
      </c>
      <c r="BA924" s="235">
        <f>VLOOKUP(Table8[[#This Row],[Country Code]],Table29[],24,FALSE)</f>
        <v>11.70609674588653</v>
      </c>
      <c r="BB924" s="320"/>
      <c r="BC924" s="320"/>
    </row>
    <row r="925" spans="1:55" ht="30" hidden="1" x14ac:dyDescent="0.25">
      <c r="A925" s="373">
        <v>26802</v>
      </c>
      <c r="B925" s="233" t="str">
        <f>VLOOKUP(Table8[[#This Row],[Document ID]],Table1[],2,FALSE)</f>
        <v>GTM</v>
      </c>
      <c r="C925" s="233" t="str">
        <f>VLOOKUP(Table8[[#This Row],[Document ID]],Table1[],3,FALSE)</f>
        <v>Guatemala</v>
      </c>
      <c r="D925" s="243" t="str">
        <f>VLOOKUP(Table8[[#This Row],[Document ID]],Table1[],5,FALSE)</f>
        <v>NDC</v>
      </c>
      <c r="E925" s="233" t="str">
        <f>VLOOKUP(Table8[[#This Row],[Document ID]],Table1[],7,FALSE)</f>
        <v>First NDC updated</v>
      </c>
      <c r="F925" s="233" t="str">
        <f>VLOOKUP(Table8[[#This Row],[Document ID]],Table1[],8,FALSE)</f>
        <v>NDC 1.2</v>
      </c>
      <c r="G925" s="233" t="str">
        <f>VLOOKUP(Table8[[#This Row],[Document ID]],Table1[],10,FALSE)</f>
        <v>Active</v>
      </c>
      <c r="H925" s="43" t="s">
        <v>2358</v>
      </c>
      <c r="I925" s="43" t="s">
        <v>2359</v>
      </c>
      <c r="J925" s="44" t="s">
        <v>2383</v>
      </c>
      <c r="K925" s="44" t="s">
        <v>3224</v>
      </c>
      <c r="L925" s="44" t="s">
        <v>2333</v>
      </c>
      <c r="M925" s="43">
        <v>67</v>
      </c>
      <c r="N925" s="113" t="s">
        <v>1113</v>
      </c>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t="s">
        <v>1113</v>
      </c>
      <c r="AL925" s="113"/>
      <c r="AM925" s="113"/>
      <c r="AN925" s="113"/>
      <c r="AO925" s="43" t="s">
        <v>2348</v>
      </c>
      <c r="AP925" s="43"/>
      <c r="AQ925" s="236" t="str">
        <f>VLOOKUP(Table8[[#This Row],[Instrument]],Def_Targets!$D$73:$E$159,2,FALSE)</f>
        <v>I_Emobilitycharging</v>
      </c>
      <c r="AR925" s="233" t="str">
        <f>VLOOKUP(Table8[[#This Row],[Country Code]],Table29[],3,FALSE)</f>
        <v>Non-Annex I</v>
      </c>
      <c r="AS925" s="233" t="str">
        <f>VLOOKUP(Table8[[#This Row],[Country Code]],Table29[],4,FALSE)</f>
        <v>Latin America and the Caribbean</v>
      </c>
      <c r="AT925" s="233" t="str">
        <f>VLOOKUP(Table8[[#This Row],[Country Code]],Table29[],5,FALSE)</f>
        <v>Middle-income</v>
      </c>
      <c r="AU925" s="233" t="str">
        <f>VLOOKUP(Table8[[#This Row],[Country Code]],Table29[],6,FALSE)</f>
        <v>no</v>
      </c>
      <c r="AV925" s="233" t="str">
        <f>VLOOKUP(Table8[[#This Row],[Country Code]],Table29[],7,FALSE)</f>
        <v>no</v>
      </c>
      <c r="AW925" s="233" t="str">
        <f>VLOOKUP(Table8[[#This Row],[Country Code]],Table29[],8,FALSE)</f>
        <v>non-OECD</v>
      </c>
      <c r="AX925" s="233" t="str">
        <f>VLOOKUP(Table8[[#This Row],[Country Code]],Table29[],9,FALSE)</f>
        <v>no</v>
      </c>
      <c r="AY925" s="233" t="str">
        <f>VLOOKUP(Table8[[#This Row],[Country Code]],Table29[],10,FALSE)</f>
        <v>no</v>
      </c>
      <c r="AZ925" s="235">
        <f>VLOOKUP(Table8[[#This Row],[Country Code]],Table29[],23,FALSE)</f>
        <v>43.981074467992002</v>
      </c>
      <c r="BA925" s="235">
        <f>VLOOKUP(Table8[[#This Row],[Country Code]],Table29[],24,FALSE)</f>
        <v>11.70609674588653</v>
      </c>
      <c r="BB925" s="320"/>
      <c r="BC925" s="320"/>
    </row>
    <row r="926" spans="1:55" ht="30" hidden="1" x14ac:dyDescent="0.25">
      <c r="A926" s="373">
        <v>26802</v>
      </c>
      <c r="B926" s="233" t="str">
        <f>VLOOKUP(Table8[[#This Row],[Document ID]],Table1[],2,FALSE)</f>
        <v>GTM</v>
      </c>
      <c r="C926" s="233" t="str">
        <f>VLOOKUP(Table8[[#This Row],[Document ID]],Table1[],3,FALSE)</f>
        <v>Guatemala</v>
      </c>
      <c r="D926" s="243" t="str">
        <f>VLOOKUP(Table8[[#This Row],[Document ID]],Table1[],5,FALSE)</f>
        <v>NDC</v>
      </c>
      <c r="E926" s="233" t="str">
        <f>VLOOKUP(Table8[[#This Row],[Document ID]],Table1[],7,FALSE)</f>
        <v>First NDC updated</v>
      </c>
      <c r="F926" s="233" t="str">
        <f>VLOOKUP(Table8[[#This Row],[Document ID]],Table1[],8,FALSE)</f>
        <v>NDC 1.2</v>
      </c>
      <c r="G926" s="233" t="str">
        <f>VLOOKUP(Table8[[#This Row],[Document ID]],Table1[],10,FALSE)</f>
        <v>Active</v>
      </c>
      <c r="H926" s="44" t="s">
        <v>2329</v>
      </c>
      <c r="I926" s="43" t="s">
        <v>2330</v>
      </c>
      <c r="J926" s="44" t="s">
        <v>2357</v>
      </c>
      <c r="K926" s="44" t="s">
        <v>3225</v>
      </c>
      <c r="L926" s="44" t="s">
        <v>2333</v>
      </c>
      <c r="M926" s="43">
        <v>67</v>
      </c>
      <c r="N926" s="113"/>
      <c r="O926" s="113"/>
      <c r="P926" s="113"/>
      <c r="Q926" s="113"/>
      <c r="R926" s="113"/>
      <c r="S926" s="113" t="s">
        <v>1113</v>
      </c>
      <c r="T926" s="113"/>
      <c r="U926" s="113"/>
      <c r="V926" s="113"/>
      <c r="W926" s="113"/>
      <c r="X926" s="113"/>
      <c r="Y926" s="113"/>
      <c r="Z926" s="113"/>
      <c r="AA926" s="113"/>
      <c r="AB926" s="113"/>
      <c r="AC926" s="113"/>
      <c r="AD926" s="113"/>
      <c r="AE926" s="113"/>
      <c r="AF926" s="113"/>
      <c r="AG926" s="113"/>
      <c r="AH926" s="113"/>
      <c r="AI926" s="113"/>
      <c r="AJ926" s="113"/>
      <c r="AK926" s="113" t="s">
        <v>1113</v>
      </c>
      <c r="AL926" s="113"/>
      <c r="AM926" s="113"/>
      <c r="AN926" s="113"/>
      <c r="AO926" s="44" t="s">
        <v>2334</v>
      </c>
      <c r="AP926" s="43"/>
      <c r="AQ926" s="236" t="str">
        <f>VLOOKUP(Table8[[#This Row],[Instrument]],Def_Targets!$D$73:$E$159,2,FALSE)</f>
        <v>I_Biofuel</v>
      </c>
      <c r="AR926" s="233" t="str">
        <f>VLOOKUP(Table8[[#This Row],[Country Code]],Table29[],3,FALSE)</f>
        <v>Non-Annex I</v>
      </c>
      <c r="AS926" s="233" t="str">
        <f>VLOOKUP(Table8[[#This Row],[Country Code]],Table29[],4,FALSE)</f>
        <v>Latin America and the Caribbean</v>
      </c>
      <c r="AT926" s="233" t="str">
        <f>VLOOKUP(Table8[[#This Row],[Country Code]],Table29[],5,FALSE)</f>
        <v>Middle-income</v>
      </c>
      <c r="AU926" s="233" t="str">
        <f>VLOOKUP(Table8[[#This Row],[Country Code]],Table29[],6,FALSE)</f>
        <v>no</v>
      </c>
      <c r="AV926" s="233" t="str">
        <f>VLOOKUP(Table8[[#This Row],[Country Code]],Table29[],7,FALSE)</f>
        <v>no</v>
      </c>
      <c r="AW926" s="233" t="str">
        <f>VLOOKUP(Table8[[#This Row],[Country Code]],Table29[],8,FALSE)</f>
        <v>non-OECD</v>
      </c>
      <c r="AX926" s="233" t="str">
        <f>VLOOKUP(Table8[[#This Row],[Country Code]],Table29[],9,FALSE)</f>
        <v>no</v>
      </c>
      <c r="AY926" s="233" t="str">
        <f>VLOOKUP(Table8[[#This Row],[Country Code]],Table29[],10,FALSE)</f>
        <v>no</v>
      </c>
      <c r="AZ926" s="235">
        <f>VLOOKUP(Table8[[#This Row],[Country Code]],Table29[],23,FALSE)</f>
        <v>43.981074467992002</v>
      </c>
      <c r="BA926" s="235">
        <f>VLOOKUP(Table8[[#This Row],[Country Code]],Table29[],24,FALSE)</f>
        <v>11.70609674588653</v>
      </c>
      <c r="BB926" s="320"/>
      <c r="BC926" s="320"/>
    </row>
    <row r="927" spans="1:55" ht="30" hidden="1" x14ac:dyDescent="0.25">
      <c r="A927" s="373">
        <v>26802</v>
      </c>
      <c r="B927" s="233" t="str">
        <f>VLOOKUP(Table8[[#This Row],[Document ID]],Table1[],2,FALSE)</f>
        <v>GTM</v>
      </c>
      <c r="C927" s="233" t="str">
        <f>VLOOKUP(Table8[[#This Row],[Document ID]],Table1[],3,FALSE)</f>
        <v>Guatemala</v>
      </c>
      <c r="D927" s="243" t="str">
        <f>VLOOKUP(Table8[[#This Row],[Document ID]],Table1[],5,FALSE)</f>
        <v>NDC</v>
      </c>
      <c r="E927" s="233" t="str">
        <f>VLOOKUP(Table8[[#This Row],[Document ID]],Table1[],7,FALSE)</f>
        <v>First NDC updated</v>
      </c>
      <c r="F927" s="233" t="str">
        <f>VLOOKUP(Table8[[#This Row],[Document ID]],Table1[],8,FALSE)</f>
        <v>NDC 1.2</v>
      </c>
      <c r="G927" s="233" t="str">
        <f>VLOOKUP(Table8[[#This Row],[Document ID]],Table1[],10,FALSE)</f>
        <v>Active</v>
      </c>
      <c r="H927" s="44" t="s">
        <v>2338</v>
      </c>
      <c r="I927" s="44" t="s">
        <v>2339</v>
      </c>
      <c r="J927" s="44" t="s">
        <v>2425</v>
      </c>
      <c r="K927" s="44" t="s">
        <v>3226</v>
      </c>
      <c r="L927" s="44" t="s">
        <v>2333</v>
      </c>
      <c r="M927" s="43">
        <v>67</v>
      </c>
      <c r="N927" s="113"/>
      <c r="O927" s="113"/>
      <c r="P927" s="113"/>
      <c r="Q927" s="113"/>
      <c r="R927" s="113"/>
      <c r="S927" s="113"/>
      <c r="T927" s="113"/>
      <c r="U927" s="113" t="s">
        <v>1113</v>
      </c>
      <c r="V927" s="113"/>
      <c r="W927" s="113"/>
      <c r="X927" s="113"/>
      <c r="Y927" s="113"/>
      <c r="Z927" s="113"/>
      <c r="AA927" s="113"/>
      <c r="AB927" s="113"/>
      <c r="AC927" s="113"/>
      <c r="AD927" s="113"/>
      <c r="AE927" s="113"/>
      <c r="AF927" s="113"/>
      <c r="AG927" s="113"/>
      <c r="AH927" s="113"/>
      <c r="AI927" s="113"/>
      <c r="AJ927" s="113"/>
      <c r="AK927" s="113" t="s">
        <v>1113</v>
      </c>
      <c r="AL927" s="113"/>
      <c r="AM927" s="113"/>
      <c r="AN927" s="113"/>
      <c r="AO927" s="43" t="s">
        <v>2348</v>
      </c>
      <c r="AP927" s="43"/>
      <c r="AQ927" s="236" t="str">
        <f>VLOOKUP(Table8[[#This Row],[Instrument]],Def_Targets!$D$73:$E$159,2,FALSE)</f>
        <v>I_Efficiencystd</v>
      </c>
      <c r="AR927" s="233" t="str">
        <f>VLOOKUP(Table8[[#This Row],[Country Code]],Table29[],3,FALSE)</f>
        <v>Non-Annex I</v>
      </c>
      <c r="AS927" s="233" t="str">
        <f>VLOOKUP(Table8[[#This Row],[Country Code]],Table29[],4,FALSE)</f>
        <v>Latin America and the Caribbean</v>
      </c>
      <c r="AT927" s="233" t="str">
        <f>VLOOKUP(Table8[[#This Row],[Country Code]],Table29[],5,FALSE)</f>
        <v>Middle-income</v>
      </c>
      <c r="AU927" s="233" t="str">
        <f>VLOOKUP(Table8[[#This Row],[Country Code]],Table29[],6,FALSE)</f>
        <v>no</v>
      </c>
      <c r="AV927" s="233" t="str">
        <f>VLOOKUP(Table8[[#This Row],[Country Code]],Table29[],7,FALSE)</f>
        <v>no</v>
      </c>
      <c r="AW927" s="233" t="str">
        <f>VLOOKUP(Table8[[#This Row],[Country Code]],Table29[],8,FALSE)</f>
        <v>non-OECD</v>
      </c>
      <c r="AX927" s="233" t="str">
        <f>VLOOKUP(Table8[[#This Row],[Country Code]],Table29[],9,FALSE)</f>
        <v>no</v>
      </c>
      <c r="AY927" s="233" t="str">
        <f>VLOOKUP(Table8[[#This Row],[Country Code]],Table29[],10,FALSE)</f>
        <v>no</v>
      </c>
      <c r="AZ927" s="235">
        <f>VLOOKUP(Table8[[#This Row],[Country Code]],Table29[],23,FALSE)</f>
        <v>43.981074467992002</v>
      </c>
      <c r="BA927" s="235">
        <f>VLOOKUP(Table8[[#This Row],[Country Code]],Table29[],24,FALSE)</f>
        <v>11.70609674588653</v>
      </c>
      <c r="BB927" s="320"/>
      <c r="BC927" s="320"/>
    </row>
    <row r="928" spans="1:55" hidden="1" x14ac:dyDescent="0.25">
      <c r="A928" s="373">
        <v>17609</v>
      </c>
      <c r="B928" s="233" t="str">
        <f>VLOOKUP(Table8[[#This Row],[Document ID]],Table1[],2,FALSE)</f>
        <v>GIN</v>
      </c>
      <c r="C928" s="233" t="str">
        <f>VLOOKUP(Table8[[#This Row],[Document ID]],Table1[],3,FALSE)</f>
        <v>Guinea</v>
      </c>
      <c r="D928" s="243" t="str">
        <f>VLOOKUP(Table8[[#This Row],[Document ID]],Table1[],5,FALSE)</f>
        <v>NDC</v>
      </c>
      <c r="E928" s="233" t="str">
        <f>VLOOKUP(Table8[[#This Row],[Document ID]],Table1[],7,FALSE)</f>
        <v>First NDC</v>
      </c>
      <c r="F928" s="236" t="str">
        <f>VLOOKUP(Table8[[#This Row],[Document ID]],Table1[],8,FALSE)</f>
        <v>NDC 1.0</v>
      </c>
      <c r="G928" s="236" t="str">
        <f>VLOOKUP(Table8[[#This Row],[Document ID]],Table1[],10,FALSE)</f>
        <v>Archived</v>
      </c>
      <c r="H928" s="43" t="s">
        <v>2343</v>
      </c>
      <c r="I928" s="43" t="s">
        <v>2344</v>
      </c>
      <c r="J928" s="44" t="s">
        <v>2345</v>
      </c>
      <c r="K928" s="44" t="s">
        <v>3227</v>
      </c>
      <c r="L928" s="44" t="s">
        <v>2347</v>
      </c>
      <c r="M928" s="43"/>
      <c r="N928" s="113" t="s">
        <v>1113</v>
      </c>
      <c r="O928" s="113"/>
      <c r="P928" s="113"/>
      <c r="Q928" s="319"/>
      <c r="R928" s="319"/>
      <c r="S928" s="319"/>
      <c r="T928" s="319"/>
      <c r="U928" s="319"/>
      <c r="V928" s="319"/>
      <c r="W928" s="319"/>
      <c r="X928" s="319"/>
      <c r="Y928" s="319"/>
      <c r="Z928" s="319"/>
      <c r="AA928" s="319"/>
      <c r="AB928" s="319"/>
      <c r="AC928" s="319"/>
      <c r="AD928" s="319"/>
      <c r="AE928" s="319"/>
      <c r="AF928" s="319"/>
      <c r="AG928" s="319"/>
      <c r="AH928" s="319"/>
      <c r="AI928" s="319"/>
      <c r="AJ928" s="319"/>
      <c r="AK928" s="319" t="s">
        <v>1113</v>
      </c>
      <c r="AL928" s="319"/>
      <c r="AM928" s="319"/>
      <c r="AN928" s="319"/>
      <c r="AO928" s="43" t="s">
        <v>2348</v>
      </c>
      <c r="AP928" s="44"/>
      <c r="AQ928" s="236" t="str">
        <f>VLOOKUP(Table8[[#This Row],[Instrument]],Def_Targets!$D$73:$E$159,2,FALSE)</f>
        <v>S_PublicTransport</v>
      </c>
      <c r="AR928" s="233" t="str">
        <f>VLOOKUP(Table8[[#This Row],[Country Code]],Table29[],3,FALSE)</f>
        <v>Non-Annex I</v>
      </c>
      <c r="AS928" s="233" t="str">
        <f>VLOOKUP(Table8[[#This Row],[Country Code]],Table29[],4,FALSE)</f>
        <v>Africa</v>
      </c>
      <c r="AT928" s="233" t="str">
        <f>VLOOKUP(Table8[[#This Row],[Country Code]],Table29[],5,FALSE)</f>
        <v>Low-income</v>
      </c>
      <c r="AU928" s="233" t="str">
        <f>VLOOKUP(Table8[[#This Row],[Country Code]],Table29[],6,FALSE)</f>
        <v>no</v>
      </c>
      <c r="AV928" s="233" t="str">
        <f>VLOOKUP(Table8[[#This Row],[Country Code]],Table29[],7,FALSE)</f>
        <v>no</v>
      </c>
      <c r="AW928" s="233" t="str">
        <f>VLOOKUP(Table8[[#This Row],[Country Code]],Table29[],8,FALSE)</f>
        <v>non-OECD</v>
      </c>
      <c r="AX928" s="233" t="str">
        <f>VLOOKUP(Table8[[#This Row],[Country Code]],Table29[],9,FALSE)</f>
        <v>no</v>
      </c>
      <c r="AY928" s="233" t="str">
        <f>VLOOKUP(Table8[[#This Row],[Country Code]],Table29[],10,FALSE)</f>
        <v>no</v>
      </c>
      <c r="AZ928" s="235">
        <f>VLOOKUP(Table8[[#This Row],[Country Code]],Table29[],23,FALSE)</f>
        <v>28.634657504101</v>
      </c>
      <c r="BA928" s="235">
        <f>VLOOKUP(Table8[[#This Row],[Country Code]],Table29[],24,FALSE)</f>
        <v>1.791571476776437</v>
      </c>
      <c r="BB928" s="320"/>
      <c r="BC928" s="320"/>
    </row>
    <row r="929" spans="1:55" hidden="1" x14ac:dyDescent="0.25">
      <c r="A929" s="373">
        <v>17609</v>
      </c>
      <c r="B929" s="233" t="str">
        <f>VLOOKUP(Table8[[#This Row],[Document ID]],Table1[],2,FALSE)</f>
        <v>GIN</v>
      </c>
      <c r="C929" s="233" t="str">
        <f>VLOOKUP(Table8[[#This Row],[Document ID]],Table1[],3,FALSE)</f>
        <v>Guinea</v>
      </c>
      <c r="D929" s="243" t="str">
        <f>VLOOKUP(Table8[[#This Row],[Document ID]],Table1[],5,FALSE)</f>
        <v>NDC</v>
      </c>
      <c r="E929" s="233" t="str">
        <f>VLOOKUP(Table8[[#This Row],[Document ID]],Table1[],7,FALSE)</f>
        <v>First NDC</v>
      </c>
      <c r="F929" s="236" t="str">
        <f>VLOOKUP(Table8[[#This Row],[Document ID]],Table1[],8,FALSE)</f>
        <v>NDC 1.0</v>
      </c>
      <c r="G929" s="236" t="str">
        <f>VLOOKUP(Table8[[#This Row],[Document ID]],Table1[],10,FALSE)</f>
        <v>Archived</v>
      </c>
      <c r="H929" s="44" t="s">
        <v>2338</v>
      </c>
      <c r="I929" s="44" t="s">
        <v>2339</v>
      </c>
      <c r="J929" s="44" t="s">
        <v>2340</v>
      </c>
      <c r="K929" s="44" t="s">
        <v>3228</v>
      </c>
      <c r="L929" s="44" t="s">
        <v>2333</v>
      </c>
      <c r="M929" s="43"/>
      <c r="N929" s="113" t="s">
        <v>1113</v>
      </c>
      <c r="O929" s="113"/>
      <c r="P929" s="113"/>
      <c r="Q929" s="319"/>
      <c r="R929" s="319"/>
      <c r="S929" s="319"/>
      <c r="T929" s="319"/>
      <c r="U929" s="319"/>
      <c r="V929" s="319"/>
      <c r="W929" s="319"/>
      <c r="X929" s="319"/>
      <c r="Y929" s="319"/>
      <c r="Z929" s="319"/>
      <c r="AA929" s="319"/>
      <c r="AB929" s="319"/>
      <c r="AC929" s="319"/>
      <c r="AD929" s="319"/>
      <c r="AE929" s="319"/>
      <c r="AF929" s="319"/>
      <c r="AG929" s="319"/>
      <c r="AH929" s="319"/>
      <c r="AI929" s="319"/>
      <c r="AJ929" s="319"/>
      <c r="AK929" s="319" t="s">
        <v>1113</v>
      </c>
      <c r="AL929" s="319"/>
      <c r="AM929" s="319"/>
      <c r="AN929" s="319"/>
      <c r="AO929" s="44" t="s">
        <v>2334</v>
      </c>
      <c r="AP929" s="44"/>
      <c r="AQ929" s="236" t="str">
        <f>VLOOKUP(Table8[[#This Row],[Instrument]],Def_Targets!$D$73:$E$159,2,FALSE)</f>
        <v>I_Vehicleimprove</v>
      </c>
      <c r="AR929" s="233" t="str">
        <f>VLOOKUP(Table8[[#This Row],[Country Code]],Table29[],3,FALSE)</f>
        <v>Non-Annex I</v>
      </c>
      <c r="AS929" s="233" t="str">
        <f>VLOOKUP(Table8[[#This Row],[Country Code]],Table29[],4,FALSE)</f>
        <v>Africa</v>
      </c>
      <c r="AT929" s="233" t="str">
        <f>VLOOKUP(Table8[[#This Row],[Country Code]],Table29[],5,FALSE)</f>
        <v>Low-income</v>
      </c>
      <c r="AU929" s="233" t="str">
        <f>VLOOKUP(Table8[[#This Row],[Country Code]],Table29[],6,FALSE)</f>
        <v>no</v>
      </c>
      <c r="AV929" s="233" t="str">
        <f>VLOOKUP(Table8[[#This Row],[Country Code]],Table29[],7,FALSE)</f>
        <v>no</v>
      </c>
      <c r="AW929" s="233" t="str">
        <f>VLOOKUP(Table8[[#This Row],[Country Code]],Table29[],8,FALSE)</f>
        <v>non-OECD</v>
      </c>
      <c r="AX929" s="233" t="str">
        <f>VLOOKUP(Table8[[#This Row],[Country Code]],Table29[],9,FALSE)</f>
        <v>no</v>
      </c>
      <c r="AY929" s="233" t="str">
        <f>VLOOKUP(Table8[[#This Row],[Country Code]],Table29[],10,FALSE)</f>
        <v>no</v>
      </c>
      <c r="AZ929" s="235">
        <f>VLOOKUP(Table8[[#This Row],[Country Code]],Table29[],23,FALSE)</f>
        <v>28.634657504101</v>
      </c>
      <c r="BA929" s="235">
        <f>VLOOKUP(Table8[[#This Row],[Country Code]],Table29[],24,FALSE)</f>
        <v>1.791571476776437</v>
      </c>
      <c r="BB929" s="320"/>
      <c r="BC929" s="320"/>
    </row>
    <row r="930" spans="1:55" ht="45" hidden="1" x14ac:dyDescent="0.25">
      <c r="A930" s="373">
        <v>21964</v>
      </c>
      <c r="B930" s="233" t="str">
        <f>VLOOKUP(Table8[[#This Row],[Document ID]],Table1[],2,FALSE)</f>
        <v>GIN</v>
      </c>
      <c r="C930" s="233" t="str">
        <f>VLOOKUP(Table8[[#This Row],[Document ID]],Table1[],3,FALSE)</f>
        <v>Guinea</v>
      </c>
      <c r="D930" s="243" t="str">
        <f>VLOOKUP(Table8[[#This Row],[Document ID]],Table1[],5,FALSE)</f>
        <v>NDC</v>
      </c>
      <c r="E930" s="233" t="str">
        <f>VLOOKUP(Table8[[#This Row],[Document ID]],Table1[],7,FALSE)</f>
        <v>First NDC updated</v>
      </c>
      <c r="F930" s="233" t="str">
        <f>VLOOKUP(Table8[[#This Row],[Document ID]],Table1[],8,FALSE)</f>
        <v>NDC 1.1</v>
      </c>
      <c r="G930" s="233" t="str">
        <f>VLOOKUP(Table8[[#This Row],[Document ID]],Table1[],10,FALSE)</f>
        <v>Active</v>
      </c>
      <c r="H930" s="44" t="s">
        <v>2338</v>
      </c>
      <c r="I930" s="44" t="s">
        <v>2339</v>
      </c>
      <c r="J930" s="44" t="s">
        <v>2410</v>
      </c>
      <c r="K930" s="44" t="s">
        <v>3229</v>
      </c>
      <c r="L930" s="44" t="s">
        <v>2333</v>
      </c>
      <c r="M930" s="43">
        <v>31</v>
      </c>
      <c r="N930" s="113" t="s">
        <v>1113</v>
      </c>
      <c r="O930" s="113"/>
      <c r="P930" s="113"/>
      <c r="Q930" s="113"/>
      <c r="R930" s="113"/>
      <c r="S930" s="113"/>
      <c r="T930" s="113"/>
      <c r="U930" s="113"/>
      <c r="V930" s="113"/>
      <c r="W930" s="113"/>
      <c r="X930" s="113"/>
      <c r="Y930" s="113"/>
      <c r="Z930" s="113"/>
      <c r="AA930" s="113"/>
      <c r="AB930" s="113"/>
      <c r="AC930" s="113"/>
      <c r="AD930" s="113"/>
      <c r="AE930" s="113"/>
      <c r="AF930" s="113"/>
      <c r="AG930" s="113"/>
      <c r="AH930" s="113"/>
      <c r="AI930" s="113"/>
      <c r="AJ930" s="113"/>
      <c r="AK930" s="113" t="s">
        <v>1113</v>
      </c>
      <c r="AL930" s="113"/>
      <c r="AM930" s="113"/>
      <c r="AN930" s="113"/>
      <c r="AO930" s="44" t="s">
        <v>2334</v>
      </c>
      <c r="AP930" s="43"/>
      <c r="AQ930" s="236" t="str">
        <f>VLOOKUP(Table8[[#This Row],[Instrument]],Def_Targets!$D$73:$E$159,2,FALSE)</f>
        <v>I_VehicleRestrictions</v>
      </c>
      <c r="AR930" s="233" t="str">
        <f>VLOOKUP(Table8[[#This Row],[Country Code]],Table29[],3,FALSE)</f>
        <v>Non-Annex I</v>
      </c>
      <c r="AS930" s="233" t="str">
        <f>VLOOKUP(Table8[[#This Row],[Country Code]],Table29[],4,FALSE)</f>
        <v>Africa</v>
      </c>
      <c r="AT930" s="233" t="str">
        <f>VLOOKUP(Table8[[#This Row],[Country Code]],Table29[],5,FALSE)</f>
        <v>Low-income</v>
      </c>
      <c r="AU930" s="233" t="str">
        <f>VLOOKUP(Table8[[#This Row],[Country Code]],Table29[],6,FALSE)</f>
        <v>no</v>
      </c>
      <c r="AV930" s="233" t="str">
        <f>VLOOKUP(Table8[[#This Row],[Country Code]],Table29[],7,FALSE)</f>
        <v>no</v>
      </c>
      <c r="AW930" s="233" t="str">
        <f>VLOOKUP(Table8[[#This Row],[Country Code]],Table29[],8,FALSE)</f>
        <v>non-OECD</v>
      </c>
      <c r="AX930" s="233" t="str">
        <f>VLOOKUP(Table8[[#This Row],[Country Code]],Table29[],9,FALSE)</f>
        <v>no</v>
      </c>
      <c r="AY930" s="233" t="str">
        <f>VLOOKUP(Table8[[#This Row],[Country Code]],Table29[],10,FALSE)</f>
        <v>no</v>
      </c>
      <c r="AZ930" s="235">
        <f>VLOOKUP(Table8[[#This Row],[Country Code]],Table29[],23,FALSE)</f>
        <v>28.634657504101</v>
      </c>
      <c r="BA930" s="235">
        <f>VLOOKUP(Table8[[#This Row],[Country Code]],Table29[],24,FALSE)</f>
        <v>1.791571476776437</v>
      </c>
      <c r="BB930" s="320"/>
      <c r="BC930" s="320"/>
    </row>
    <row r="931" spans="1:55" hidden="1" x14ac:dyDescent="0.25">
      <c r="A931" s="373">
        <v>21964</v>
      </c>
      <c r="B931" s="233" t="str">
        <f>VLOOKUP(Table8[[#This Row],[Document ID]],Table1[],2,FALSE)</f>
        <v>GIN</v>
      </c>
      <c r="C931" s="233" t="str">
        <f>VLOOKUP(Table8[[#This Row],[Document ID]],Table1[],3,FALSE)</f>
        <v>Guinea</v>
      </c>
      <c r="D931" s="243" t="str">
        <f>VLOOKUP(Table8[[#This Row],[Document ID]],Table1[],5,FALSE)</f>
        <v>NDC</v>
      </c>
      <c r="E931" s="233" t="str">
        <f>VLOOKUP(Table8[[#This Row],[Document ID]],Table1[],7,FALSE)</f>
        <v>First NDC updated</v>
      </c>
      <c r="F931" s="233" t="str">
        <f>VLOOKUP(Table8[[#This Row],[Document ID]],Table1[],8,FALSE)</f>
        <v>NDC 1.1</v>
      </c>
      <c r="G931" s="233" t="str">
        <f>VLOOKUP(Table8[[#This Row],[Document ID]],Table1[],10,FALSE)</f>
        <v>Active</v>
      </c>
      <c r="H931" s="43" t="s">
        <v>2343</v>
      </c>
      <c r="I931" s="43" t="s">
        <v>2344</v>
      </c>
      <c r="J931" s="44" t="s">
        <v>2405</v>
      </c>
      <c r="K931" s="44" t="s">
        <v>3230</v>
      </c>
      <c r="L931" s="44" t="s">
        <v>2347</v>
      </c>
      <c r="M931" s="43">
        <v>31</v>
      </c>
      <c r="N931" s="113"/>
      <c r="O931" s="113"/>
      <c r="P931" s="113"/>
      <c r="Q931" s="113"/>
      <c r="R931" s="113"/>
      <c r="S931" s="113" t="s">
        <v>1113</v>
      </c>
      <c r="T931" s="113"/>
      <c r="U931" s="113"/>
      <c r="V931" s="113"/>
      <c r="W931" s="113"/>
      <c r="X931" s="113"/>
      <c r="Y931" s="113"/>
      <c r="Z931" s="113"/>
      <c r="AA931" s="113"/>
      <c r="AB931" s="113"/>
      <c r="AC931" s="113" t="s">
        <v>1113</v>
      </c>
      <c r="AD931" s="113"/>
      <c r="AE931" s="113"/>
      <c r="AF931" s="113"/>
      <c r="AG931" s="113"/>
      <c r="AH931" s="113"/>
      <c r="AI931" s="113"/>
      <c r="AJ931" s="113"/>
      <c r="AK931" s="113"/>
      <c r="AL931" s="113"/>
      <c r="AM931" s="113"/>
      <c r="AN931" s="113"/>
      <c r="AO931" s="43" t="s">
        <v>2348</v>
      </c>
      <c r="AP931" s="43"/>
      <c r="AQ931" s="236" t="str">
        <f>VLOOKUP(Table8[[#This Row],[Instrument]],Def_Targets!$D$73:$E$159,2,FALSE)</f>
        <v>S_PTIntegration</v>
      </c>
      <c r="AR931" s="233" t="str">
        <f>VLOOKUP(Table8[[#This Row],[Country Code]],Table29[],3,FALSE)</f>
        <v>Non-Annex I</v>
      </c>
      <c r="AS931" s="233" t="str">
        <f>VLOOKUP(Table8[[#This Row],[Country Code]],Table29[],4,FALSE)</f>
        <v>Africa</v>
      </c>
      <c r="AT931" s="233" t="str">
        <f>VLOOKUP(Table8[[#This Row],[Country Code]],Table29[],5,FALSE)</f>
        <v>Low-income</v>
      </c>
      <c r="AU931" s="233" t="str">
        <f>VLOOKUP(Table8[[#This Row],[Country Code]],Table29[],6,FALSE)</f>
        <v>no</v>
      </c>
      <c r="AV931" s="233" t="str">
        <f>VLOOKUP(Table8[[#This Row],[Country Code]],Table29[],7,FALSE)</f>
        <v>no</v>
      </c>
      <c r="AW931" s="233" t="str">
        <f>VLOOKUP(Table8[[#This Row],[Country Code]],Table29[],8,FALSE)</f>
        <v>non-OECD</v>
      </c>
      <c r="AX931" s="233" t="str">
        <f>VLOOKUP(Table8[[#This Row],[Country Code]],Table29[],9,FALSE)</f>
        <v>no</v>
      </c>
      <c r="AY931" s="233" t="str">
        <f>VLOOKUP(Table8[[#This Row],[Country Code]],Table29[],10,FALSE)</f>
        <v>no</v>
      </c>
      <c r="AZ931" s="235">
        <f>VLOOKUP(Table8[[#This Row],[Country Code]],Table29[],23,FALSE)</f>
        <v>28.634657504101</v>
      </c>
      <c r="BA931" s="235">
        <f>VLOOKUP(Table8[[#This Row],[Country Code]],Table29[],24,FALSE)</f>
        <v>1.791571476776437</v>
      </c>
      <c r="BB931" s="320"/>
      <c r="BC931" s="320"/>
    </row>
    <row r="932" spans="1:55" ht="30" hidden="1" x14ac:dyDescent="0.25">
      <c r="A932" s="373">
        <v>21964</v>
      </c>
      <c r="B932" s="233" t="str">
        <f>VLOOKUP(Table8[[#This Row],[Document ID]],Table1[],2,FALSE)</f>
        <v>GIN</v>
      </c>
      <c r="C932" s="233" t="str">
        <f>VLOOKUP(Table8[[#This Row],[Document ID]],Table1[],3,FALSE)</f>
        <v>Guinea</v>
      </c>
      <c r="D932" s="243" t="str">
        <f>VLOOKUP(Table8[[#This Row],[Document ID]],Table1[],5,FALSE)</f>
        <v>NDC</v>
      </c>
      <c r="E932" s="233" t="str">
        <f>VLOOKUP(Table8[[#This Row],[Document ID]],Table1[],7,FALSE)</f>
        <v>First NDC updated</v>
      </c>
      <c r="F932" s="233" t="str">
        <f>VLOOKUP(Table8[[#This Row],[Document ID]],Table1[],8,FALSE)</f>
        <v>NDC 1.1</v>
      </c>
      <c r="G932" s="233" t="str">
        <f>VLOOKUP(Table8[[#This Row],[Document ID]],Table1[],10,FALSE)</f>
        <v>Active</v>
      </c>
      <c r="H932" s="43" t="s">
        <v>2343</v>
      </c>
      <c r="I932" s="43" t="s">
        <v>2429</v>
      </c>
      <c r="J932" s="44" t="s">
        <v>2472</v>
      </c>
      <c r="K932" s="44" t="s">
        <v>3231</v>
      </c>
      <c r="L932" s="44" t="s">
        <v>2373</v>
      </c>
      <c r="M932" s="43">
        <v>31</v>
      </c>
      <c r="N932" s="113" t="s">
        <v>1113</v>
      </c>
      <c r="O932" s="113"/>
      <c r="P932" s="113"/>
      <c r="Q932" s="113"/>
      <c r="R932" s="113"/>
      <c r="S932" s="113"/>
      <c r="T932" s="113"/>
      <c r="U932" s="113"/>
      <c r="V932" s="113"/>
      <c r="W932" s="113"/>
      <c r="X932" s="113"/>
      <c r="Y932" s="113"/>
      <c r="Z932" s="113"/>
      <c r="AA932" s="113"/>
      <c r="AB932" s="113"/>
      <c r="AC932" s="113"/>
      <c r="AD932" s="113"/>
      <c r="AE932" s="113"/>
      <c r="AF932" s="113"/>
      <c r="AG932" s="113"/>
      <c r="AH932" s="113"/>
      <c r="AI932" s="113"/>
      <c r="AJ932" s="113"/>
      <c r="AK932" s="113" t="s">
        <v>1113</v>
      </c>
      <c r="AL932" s="113"/>
      <c r="AM932" s="113"/>
      <c r="AN932" s="113"/>
      <c r="AO932" s="44" t="s">
        <v>2334</v>
      </c>
      <c r="AP932" s="43"/>
      <c r="AQ932" s="236" t="str">
        <f>VLOOKUP(Table8[[#This Row],[Instrument]],Def_Targets!$D$73:$E$159,2,FALSE)</f>
        <v>I_Other</v>
      </c>
      <c r="AR932" s="233" t="str">
        <f>VLOOKUP(Table8[[#This Row],[Country Code]],Table29[],3,FALSE)</f>
        <v>Non-Annex I</v>
      </c>
      <c r="AS932" s="233" t="str">
        <f>VLOOKUP(Table8[[#This Row],[Country Code]],Table29[],4,FALSE)</f>
        <v>Africa</v>
      </c>
      <c r="AT932" s="233" t="str">
        <f>VLOOKUP(Table8[[#This Row],[Country Code]],Table29[],5,FALSE)</f>
        <v>Low-income</v>
      </c>
      <c r="AU932" s="233" t="str">
        <f>VLOOKUP(Table8[[#This Row],[Country Code]],Table29[],6,FALSE)</f>
        <v>no</v>
      </c>
      <c r="AV932" s="233" t="str">
        <f>VLOOKUP(Table8[[#This Row],[Country Code]],Table29[],7,FALSE)</f>
        <v>no</v>
      </c>
      <c r="AW932" s="233" t="str">
        <f>VLOOKUP(Table8[[#This Row],[Country Code]],Table29[],8,FALSE)</f>
        <v>non-OECD</v>
      </c>
      <c r="AX932" s="233" t="str">
        <f>VLOOKUP(Table8[[#This Row],[Country Code]],Table29[],9,FALSE)</f>
        <v>no</v>
      </c>
      <c r="AY932" s="233" t="str">
        <f>VLOOKUP(Table8[[#This Row],[Country Code]],Table29[],10,FALSE)</f>
        <v>no</v>
      </c>
      <c r="AZ932" s="235">
        <f>VLOOKUP(Table8[[#This Row],[Country Code]],Table29[],23,FALSE)</f>
        <v>28.634657504101</v>
      </c>
      <c r="BA932" s="235">
        <f>VLOOKUP(Table8[[#This Row],[Country Code]],Table29[],24,FALSE)</f>
        <v>1.791571476776437</v>
      </c>
      <c r="BB932" s="320"/>
      <c r="BC932" s="320"/>
    </row>
    <row r="933" spans="1:55" hidden="1" x14ac:dyDescent="0.25">
      <c r="A933" s="373">
        <v>21964</v>
      </c>
      <c r="B933" s="233" t="str">
        <f>VLOOKUP(Table8[[#This Row],[Document ID]],Table1[],2,FALSE)</f>
        <v>GIN</v>
      </c>
      <c r="C933" s="233" t="str">
        <f>VLOOKUP(Table8[[#This Row],[Document ID]],Table1[],3,FALSE)</f>
        <v>Guinea</v>
      </c>
      <c r="D933" s="243" t="str">
        <f>VLOOKUP(Table8[[#This Row],[Document ID]],Table1[],5,FALSE)</f>
        <v>NDC</v>
      </c>
      <c r="E933" s="233" t="str">
        <f>VLOOKUP(Table8[[#This Row],[Document ID]],Table1[],7,FALSE)</f>
        <v>First NDC updated</v>
      </c>
      <c r="F933" s="233" t="str">
        <f>VLOOKUP(Table8[[#This Row],[Document ID]],Table1[],8,FALSE)</f>
        <v>NDC 1.1</v>
      </c>
      <c r="G933" s="233" t="str">
        <f>VLOOKUP(Table8[[#This Row],[Document ID]],Table1[],10,FALSE)</f>
        <v>Active</v>
      </c>
      <c r="H933" s="43" t="s">
        <v>2350</v>
      </c>
      <c r="I933" s="43" t="s">
        <v>2456</v>
      </c>
      <c r="J933" s="44" t="s">
        <v>2466</v>
      </c>
      <c r="K933" s="44" t="s">
        <v>3232</v>
      </c>
      <c r="L933" s="44" t="s">
        <v>2347</v>
      </c>
      <c r="M933" s="43">
        <v>31</v>
      </c>
      <c r="N933" s="113"/>
      <c r="O933" s="113"/>
      <c r="P933" s="113"/>
      <c r="Q933" s="113"/>
      <c r="R933" s="113"/>
      <c r="S933" s="113"/>
      <c r="T933" s="113"/>
      <c r="U933" s="113"/>
      <c r="V933" s="113"/>
      <c r="W933" s="113"/>
      <c r="X933" s="113"/>
      <c r="Y933" s="113"/>
      <c r="Z933" s="113" t="s">
        <v>1113</v>
      </c>
      <c r="AA933" s="113"/>
      <c r="AB933" s="113"/>
      <c r="AC933" s="113"/>
      <c r="AD933" s="113"/>
      <c r="AE933" s="113"/>
      <c r="AF933" s="113"/>
      <c r="AG933" s="113"/>
      <c r="AH933" s="113"/>
      <c r="AI933" s="113"/>
      <c r="AJ933" s="113"/>
      <c r="AK933" s="113" t="s">
        <v>1291</v>
      </c>
      <c r="AL933" s="113"/>
      <c r="AM933" s="113"/>
      <c r="AN933" s="113"/>
      <c r="AO933" s="43" t="s">
        <v>2477</v>
      </c>
      <c r="AP933" s="43"/>
      <c r="AQ933" s="236" t="str">
        <f>VLOOKUP(Table8[[#This Row],[Instrument]],Def_Targets!$D$73:$E$159,2,FALSE)</f>
        <v>S_Infraexpansion</v>
      </c>
      <c r="AR933" s="233" t="str">
        <f>VLOOKUP(Table8[[#This Row],[Country Code]],Table29[],3,FALSE)</f>
        <v>Non-Annex I</v>
      </c>
      <c r="AS933" s="233" t="str">
        <f>VLOOKUP(Table8[[#This Row],[Country Code]],Table29[],4,FALSE)</f>
        <v>Africa</v>
      </c>
      <c r="AT933" s="233" t="str">
        <f>VLOOKUP(Table8[[#This Row],[Country Code]],Table29[],5,FALSE)</f>
        <v>Low-income</v>
      </c>
      <c r="AU933" s="233" t="str">
        <f>VLOOKUP(Table8[[#This Row],[Country Code]],Table29[],6,FALSE)</f>
        <v>no</v>
      </c>
      <c r="AV933" s="233" t="str">
        <f>VLOOKUP(Table8[[#This Row],[Country Code]],Table29[],7,FALSE)</f>
        <v>no</v>
      </c>
      <c r="AW933" s="233" t="str">
        <f>VLOOKUP(Table8[[#This Row],[Country Code]],Table29[],8,FALSE)</f>
        <v>non-OECD</v>
      </c>
      <c r="AX933" s="233" t="str">
        <f>VLOOKUP(Table8[[#This Row],[Country Code]],Table29[],9,FALSE)</f>
        <v>no</v>
      </c>
      <c r="AY933" s="233" t="str">
        <f>VLOOKUP(Table8[[#This Row],[Country Code]],Table29[],10,FALSE)</f>
        <v>no</v>
      </c>
      <c r="AZ933" s="235">
        <f>VLOOKUP(Table8[[#This Row],[Country Code]],Table29[],23,FALSE)</f>
        <v>28.634657504101</v>
      </c>
      <c r="BA933" s="235">
        <f>VLOOKUP(Table8[[#This Row],[Country Code]],Table29[],24,FALSE)</f>
        <v>1.791571476776437</v>
      </c>
      <c r="BB933" s="320"/>
      <c r="BC933" s="320"/>
    </row>
    <row r="934" spans="1:55" ht="30" hidden="1" x14ac:dyDescent="0.25">
      <c r="A934" s="373">
        <v>21964</v>
      </c>
      <c r="B934" s="233" t="str">
        <f>VLOOKUP(Table8[[#This Row],[Document ID]],Table1[],2,FALSE)</f>
        <v>GIN</v>
      </c>
      <c r="C934" s="233" t="str">
        <f>VLOOKUP(Table8[[#This Row],[Document ID]],Table1[],3,FALSE)</f>
        <v>Guinea</v>
      </c>
      <c r="D934" s="243" t="str">
        <f>VLOOKUP(Table8[[#This Row],[Document ID]],Table1[],5,FALSE)</f>
        <v>NDC</v>
      </c>
      <c r="E934" s="233" t="str">
        <f>VLOOKUP(Table8[[#This Row],[Document ID]],Table1[],7,FALSE)</f>
        <v>First NDC updated</v>
      </c>
      <c r="F934" s="233" t="str">
        <f>VLOOKUP(Table8[[#This Row],[Document ID]],Table1[],8,FALSE)</f>
        <v>NDC 1.1</v>
      </c>
      <c r="G934" s="233" t="str">
        <f>VLOOKUP(Table8[[#This Row],[Document ID]],Table1[],10,FALSE)</f>
        <v>Active</v>
      </c>
      <c r="H934" s="43" t="s">
        <v>2350</v>
      </c>
      <c r="I934" s="43" t="s">
        <v>2456</v>
      </c>
      <c r="J934" s="44" t="s">
        <v>2466</v>
      </c>
      <c r="K934" s="44" t="s">
        <v>3233</v>
      </c>
      <c r="L934" s="44" t="s">
        <v>2347</v>
      </c>
      <c r="M934" s="43">
        <v>31</v>
      </c>
      <c r="N934" s="113"/>
      <c r="O934" s="113"/>
      <c r="P934" s="113"/>
      <c r="Q934" s="113"/>
      <c r="R934" s="113"/>
      <c r="S934" s="113"/>
      <c r="T934" s="113"/>
      <c r="U934" s="113"/>
      <c r="V934" s="113"/>
      <c r="W934" s="113"/>
      <c r="X934" s="113"/>
      <c r="Y934" s="113"/>
      <c r="Z934" s="113" t="s">
        <v>1113</v>
      </c>
      <c r="AA934" s="113"/>
      <c r="AB934" s="113"/>
      <c r="AC934" s="113"/>
      <c r="AD934" s="113"/>
      <c r="AE934" s="113"/>
      <c r="AF934" s="113"/>
      <c r="AG934" s="113"/>
      <c r="AH934" s="113"/>
      <c r="AI934" s="113"/>
      <c r="AJ934" s="113"/>
      <c r="AK934" s="113" t="s">
        <v>1113</v>
      </c>
      <c r="AL934" s="113"/>
      <c r="AM934" s="113"/>
      <c r="AN934" s="113"/>
      <c r="AO934" s="43" t="s">
        <v>2353</v>
      </c>
      <c r="AP934" s="43"/>
      <c r="AQ934" s="236" t="str">
        <f>VLOOKUP(Table8[[#This Row],[Instrument]],Def_Targets!$D$73:$E$159,2,FALSE)</f>
        <v>S_Infraexpansion</v>
      </c>
      <c r="AR934" s="233" t="str">
        <f>VLOOKUP(Table8[[#This Row],[Country Code]],Table29[],3,FALSE)</f>
        <v>Non-Annex I</v>
      </c>
      <c r="AS934" s="233" t="str">
        <f>VLOOKUP(Table8[[#This Row],[Country Code]],Table29[],4,FALSE)</f>
        <v>Africa</v>
      </c>
      <c r="AT934" s="233" t="str">
        <f>VLOOKUP(Table8[[#This Row],[Country Code]],Table29[],5,FALSE)</f>
        <v>Low-income</v>
      </c>
      <c r="AU934" s="233" t="str">
        <f>VLOOKUP(Table8[[#This Row],[Country Code]],Table29[],6,FALSE)</f>
        <v>no</v>
      </c>
      <c r="AV934" s="233" t="str">
        <f>VLOOKUP(Table8[[#This Row],[Country Code]],Table29[],7,FALSE)</f>
        <v>no</v>
      </c>
      <c r="AW934" s="233" t="str">
        <f>VLOOKUP(Table8[[#This Row],[Country Code]],Table29[],8,FALSE)</f>
        <v>non-OECD</v>
      </c>
      <c r="AX934" s="233" t="str">
        <f>VLOOKUP(Table8[[#This Row],[Country Code]],Table29[],9,FALSE)</f>
        <v>no</v>
      </c>
      <c r="AY934" s="233" t="str">
        <f>VLOOKUP(Table8[[#This Row],[Country Code]],Table29[],10,FALSE)</f>
        <v>no</v>
      </c>
      <c r="AZ934" s="235">
        <f>VLOOKUP(Table8[[#This Row],[Country Code]],Table29[],23,FALSE)</f>
        <v>28.634657504101</v>
      </c>
      <c r="BA934" s="235">
        <f>VLOOKUP(Table8[[#This Row],[Country Code]],Table29[],24,FALSE)</f>
        <v>1.791571476776437</v>
      </c>
      <c r="BB934" s="320"/>
      <c r="BC934" s="320"/>
    </row>
    <row r="935" spans="1:55" ht="60" hidden="1" x14ac:dyDescent="0.25">
      <c r="A935" s="373">
        <v>21964</v>
      </c>
      <c r="B935" s="233" t="str">
        <f>VLOOKUP(Table8[[#This Row],[Document ID]],Table1[],2,FALSE)</f>
        <v>GIN</v>
      </c>
      <c r="C935" s="233" t="str">
        <f>VLOOKUP(Table8[[#This Row],[Document ID]],Table1[],3,FALSE)</f>
        <v>Guinea</v>
      </c>
      <c r="D935" s="243" t="str">
        <f>VLOOKUP(Table8[[#This Row],[Document ID]],Table1[],5,FALSE)</f>
        <v>NDC</v>
      </c>
      <c r="E935" s="233" t="str">
        <f>VLOOKUP(Table8[[#This Row],[Document ID]],Table1[],7,FALSE)</f>
        <v>First NDC updated</v>
      </c>
      <c r="F935" s="233" t="str">
        <f>VLOOKUP(Table8[[#This Row],[Document ID]],Table1[],8,FALSE)</f>
        <v>NDC 1.1</v>
      </c>
      <c r="G935" s="233" t="str">
        <f>VLOOKUP(Table8[[#This Row],[Document ID]],Table1[],10,FALSE)</f>
        <v>Active</v>
      </c>
      <c r="H935" s="43" t="s">
        <v>2350</v>
      </c>
      <c r="I935" s="43" t="s">
        <v>2370</v>
      </c>
      <c r="J935" s="44" t="s">
        <v>2581</v>
      </c>
      <c r="K935" s="44" t="s">
        <v>3234</v>
      </c>
      <c r="L935" s="44" t="s">
        <v>2373</v>
      </c>
      <c r="M935" s="43">
        <v>31</v>
      </c>
      <c r="N935" s="113" t="s">
        <v>1113</v>
      </c>
      <c r="O935" s="113"/>
      <c r="P935" s="113"/>
      <c r="Q935" s="113"/>
      <c r="R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t="s">
        <v>1113</v>
      </c>
      <c r="AM935" s="113"/>
      <c r="AN935" s="113"/>
      <c r="AO935" s="44" t="s">
        <v>2334</v>
      </c>
      <c r="AP935" s="43"/>
      <c r="AQ935" s="236" t="str">
        <f>VLOOKUP(Table8[[#This Row],[Instrument]],Def_Targets!$D$73:$E$159,2,FALSE)</f>
        <v>A_SUMP</v>
      </c>
      <c r="AR935" s="233" t="str">
        <f>VLOOKUP(Table8[[#This Row],[Country Code]],Table29[],3,FALSE)</f>
        <v>Non-Annex I</v>
      </c>
      <c r="AS935" s="233" t="str">
        <f>VLOOKUP(Table8[[#This Row],[Country Code]],Table29[],4,FALSE)</f>
        <v>Africa</v>
      </c>
      <c r="AT935" s="233" t="str">
        <f>VLOOKUP(Table8[[#This Row],[Country Code]],Table29[],5,FALSE)</f>
        <v>Low-income</v>
      </c>
      <c r="AU935" s="233" t="str">
        <f>VLOOKUP(Table8[[#This Row],[Country Code]],Table29[],6,FALSE)</f>
        <v>no</v>
      </c>
      <c r="AV935" s="233" t="str">
        <f>VLOOKUP(Table8[[#This Row],[Country Code]],Table29[],7,FALSE)</f>
        <v>no</v>
      </c>
      <c r="AW935" s="233" t="str">
        <f>VLOOKUP(Table8[[#This Row],[Country Code]],Table29[],8,FALSE)</f>
        <v>non-OECD</v>
      </c>
      <c r="AX935" s="233" t="str">
        <f>VLOOKUP(Table8[[#This Row],[Country Code]],Table29[],9,FALSE)</f>
        <v>no</v>
      </c>
      <c r="AY935" s="233" t="str">
        <f>VLOOKUP(Table8[[#This Row],[Country Code]],Table29[],10,FALSE)</f>
        <v>no</v>
      </c>
      <c r="AZ935" s="235">
        <f>VLOOKUP(Table8[[#This Row],[Country Code]],Table29[],23,FALSE)</f>
        <v>28.634657504101</v>
      </c>
      <c r="BA935" s="235">
        <f>VLOOKUP(Table8[[#This Row],[Country Code]],Table29[],24,FALSE)</f>
        <v>1.791571476776437</v>
      </c>
      <c r="BB935" s="320"/>
      <c r="BC935" s="320"/>
    </row>
    <row r="936" spans="1:55" ht="60" hidden="1" x14ac:dyDescent="0.25">
      <c r="A936" s="373">
        <v>21964</v>
      </c>
      <c r="B936" s="233" t="str">
        <f>VLOOKUP(Table8[[#This Row],[Document ID]],Table1[],2,FALSE)</f>
        <v>GIN</v>
      </c>
      <c r="C936" s="233" t="str">
        <f>VLOOKUP(Table8[[#This Row],[Document ID]],Table1[],3,FALSE)</f>
        <v>Guinea</v>
      </c>
      <c r="D936" s="243" t="str">
        <f>VLOOKUP(Table8[[#This Row],[Document ID]],Table1[],5,FALSE)</f>
        <v>NDC</v>
      </c>
      <c r="E936" s="233" t="str">
        <f>VLOOKUP(Table8[[#This Row],[Document ID]],Table1[],7,FALSE)</f>
        <v>First NDC updated</v>
      </c>
      <c r="F936" s="233" t="str">
        <f>VLOOKUP(Table8[[#This Row],[Document ID]],Table1[],8,FALSE)</f>
        <v>NDC 1.1</v>
      </c>
      <c r="G936" s="233" t="str">
        <f>VLOOKUP(Table8[[#This Row],[Document ID]],Table1[],10,FALSE)</f>
        <v>Active</v>
      </c>
      <c r="H936" s="43" t="s">
        <v>2343</v>
      </c>
      <c r="I936" s="43" t="s">
        <v>2344</v>
      </c>
      <c r="J936" s="44" t="s">
        <v>2549</v>
      </c>
      <c r="K936" s="44" t="s">
        <v>3234</v>
      </c>
      <c r="L936" s="44" t="s">
        <v>2347</v>
      </c>
      <c r="M936" s="43">
        <v>31</v>
      </c>
      <c r="N936" s="113"/>
      <c r="O936" s="113"/>
      <c r="P936" s="113"/>
      <c r="Q936" s="113"/>
      <c r="R936" s="113"/>
      <c r="S936" s="113"/>
      <c r="T936" s="113"/>
      <c r="U936" s="113"/>
      <c r="V936" s="113"/>
      <c r="W936" s="113"/>
      <c r="X936" s="113"/>
      <c r="Y936" s="113" t="s">
        <v>1113</v>
      </c>
      <c r="Z936" s="113"/>
      <c r="AA936" s="113"/>
      <c r="AB936" s="113"/>
      <c r="AC936" s="113"/>
      <c r="AD936" s="113"/>
      <c r="AE936" s="113"/>
      <c r="AF936" s="113"/>
      <c r="AG936" s="113"/>
      <c r="AH936" s="113"/>
      <c r="AI936" s="113"/>
      <c r="AJ936" s="113"/>
      <c r="AK936" s="113"/>
      <c r="AL936" s="113" t="s">
        <v>1113</v>
      </c>
      <c r="AM936" s="113"/>
      <c r="AN936" s="113"/>
      <c r="AO936" s="43" t="s">
        <v>2348</v>
      </c>
      <c r="AP936" s="43"/>
      <c r="AQ936" s="236" t="str">
        <f>VLOOKUP(Table8[[#This Row],[Instrument]],Def_Targets!$D$73:$E$159,2,FALSE)</f>
        <v>S_BRT</v>
      </c>
      <c r="AR936" s="233" t="str">
        <f>VLOOKUP(Table8[[#This Row],[Country Code]],Table29[],3,FALSE)</f>
        <v>Non-Annex I</v>
      </c>
      <c r="AS936" s="233" t="str">
        <f>VLOOKUP(Table8[[#This Row],[Country Code]],Table29[],4,FALSE)</f>
        <v>Africa</v>
      </c>
      <c r="AT936" s="233" t="str">
        <f>VLOOKUP(Table8[[#This Row],[Country Code]],Table29[],5,FALSE)</f>
        <v>Low-income</v>
      </c>
      <c r="AU936" s="233" t="str">
        <f>VLOOKUP(Table8[[#This Row],[Country Code]],Table29[],6,FALSE)</f>
        <v>no</v>
      </c>
      <c r="AV936" s="233" t="str">
        <f>VLOOKUP(Table8[[#This Row],[Country Code]],Table29[],7,FALSE)</f>
        <v>no</v>
      </c>
      <c r="AW936" s="233" t="str">
        <f>VLOOKUP(Table8[[#This Row],[Country Code]],Table29[],8,FALSE)</f>
        <v>non-OECD</v>
      </c>
      <c r="AX936" s="233" t="str">
        <f>VLOOKUP(Table8[[#This Row],[Country Code]],Table29[],9,FALSE)</f>
        <v>no</v>
      </c>
      <c r="AY936" s="233" t="str">
        <f>VLOOKUP(Table8[[#This Row],[Country Code]],Table29[],10,FALSE)</f>
        <v>no</v>
      </c>
      <c r="AZ936" s="235">
        <f>VLOOKUP(Table8[[#This Row],[Country Code]],Table29[],23,FALSE)</f>
        <v>28.634657504101</v>
      </c>
      <c r="BA936" s="235">
        <f>VLOOKUP(Table8[[#This Row],[Country Code]],Table29[],24,FALSE)</f>
        <v>1.791571476776437</v>
      </c>
      <c r="BB936" s="320"/>
      <c r="BC936" s="320"/>
    </row>
    <row r="937" spans="1:55" ht="60" hidden="1" x14ac:dyDescent="0.25">
      <c r="A937" s="373">
        <v>21964</v>
      </c>
      <c r="B937" s="233" t="str">
        <f>VLOOKUP(Table8[[#This Row],[Document ID]],Table1[],2,FALSE)</f>
        <v>GIN</v>
      </c>
      <c r="C937" s="233" t="str">
        <f>VLOOKUP(Table8[[#This Row],[Document ID]],Table1[],3,FALSE)</f>
        <v>Guinea</v>
      </c>
      <c r="D937" s="243" t="str">
        <f>VLOOKUP(Table8[[#This Row],[Document ID]],Table1[],5,FALSE)</f>
        <v>NDC</v>
      </c>
      <c r="E937" s="233" t="str">
        <f>VLOOKUP(Table8[[#This Row],[Document ID]],Table1[],7,FALSE)</f>
        <v>First NDC updated</v>
      </c>
      <c r="F937" s="233" t="str">
        <f>VLOOKUP(Table8[[#This Row],[Document ID]],Table1[],8,FALSE)</f>
        <v>NDC 1.1</v>
      </c>
      <c r="G937" s="233" t="str">
        <f>VLOOKUP(Table8[[#This Row],[Document ID]],Table1[],10,FALSE)</f>
        <v>Active</v>
      </c>
      <c r="H937" s="43" t="s">
        <v>2343</v>
      </c>
      <c r="I937" s="43" t="s">
        <v>2344</v>
      </c>
      <c r="J937" s="44" t="s">
        <v>2405</v>
      </c>
      <c r="K937" s="44" t="s">
        <v>3234</v>
      </c>
      <c r="L937" s="44" t="s">
        <v>2347</v>
      </c>
      <c r="M937" s="43">
        <v>31</v>
      </c>
      <c r="N937" s="113"/>
      <c r="O937" s="113"/>
      <c r="P937" s="113"/>
      <c r="Q937" s="113"/>
      <c r="R937" s="113"/>
      <c r="S937" s="113"/>
      <c r="T937" s="113"/>
      <c r="U937" s="113"/>
      <c r="V937" s="113"/>
      <c r="W937" s="113"/>
      <c r="X937" s="113"/>
      <c r="Y937" s="113"/>
      <c r="Z937" s="113"/>
      <c r="AA937" s="113"/>
      <c r="AB937" s="113"/>
      <c r="AC937" s="113" t="s">
        <v>1113</v>
      </c>
      <c r="AD937" s="113"/>
      <c r="AE937" s="113"/>
      <c r="AF937" s="113"/>
      <c r="AG937" s="113"/>
      <c r="AH937" s="113"/>
      <c r="AI937" s="113"/>
      <c r="AJ937" s="113"/>
      <c r="AK937" s="113"/>
      <c r="AL937" s="113" t="s">
        <v>1113</v>
      </c>
      <c r="AM937" s="113"/>
      <c r="AN937" s="113"/>
      <c r="AO937" s="43" t="s">
        <v>2348</v>
      </c>
      <c r="AP937" s="43"/>
      <c r="AQ937" s="236" t="str">
        <f>VLOOKUP(Table8[[#This Row],[Instrument]],Def_Targets!$D$73:$E$159,2,FALSE)</f>
        <v>S_PTIntegration</v>
      </c>
      <c r="AR937" s="233" t="str">
        <f>VLOOKUP(Table8[[#This Row],[Country Code]],Table29[],3,FALSE)</f>
        <v>Non-Annex I</v>
      </c>
      <c r="AS937" s="233" t="str">
        <f>VLOOKUP(Table8[[#This Row],[Country Code]],Table29[],4,FALSE)</f>
        <v>Africa</v>
      </c>
      <c r="AT937" s="233" t="str">
        <f>VLOOKUP(Table8[[#This Row],[Country Code]],Table29[],5,FALSE)</f>
        <v>Low-income</v>
      </c>
      <c r="AU937" s="233" t="str">
        <f>VLOOKUP(Table8[[#This Row],[Country Code]],Table29[],6,FALSE)</f>
        <v>no</v>
      </c>
      <c r="AV937" s="233" t="str">
        <f>VLOOKUP(Table8[[#This Row],[Country Code]],Table29[],7,FALSE)</f>
        <v>no</v>
      </c>
      <c r="AW937" s="233" t="str">
        <f>VLOOKUP(Table8[[#This Row],[Country Code]],Table29[],8,FALSE)</f>
        <v>non-OECD</v>
      </c>
      <c r="AX937" s="233" t="str">
        <f>VLOOKUP(Table8[[#This Row],[Country Code]],Table29[],9,FALSE)</f>
        <v>no</v>
      </c>
      <c r="AY937" s="233" t="str">
        <f>VLOOKUP(Table8[[#This Row],[Country Code]],Table29[],10,FALSE)</f>
        <v>no</v>
      </c>
      <c r="AZ937" s="235">
        <f>VLOOKUP(Table8[[#This Row],[Country Code]],Table29[],23,FALSE)</f>
        <v>28.634657504101</v>
      </c>
      <c r="BA937" s="235">
        <f>VLOOKUP(Table8[[#This Row],[Country Code]],Table29[],24,FALSE)</f>
        <v>1.791571476776437</v>
      </c>
      <c r="BB937" s="320"/>
      <c r="BC937" s="320"/>
    </row>
    <row r="938" spans="1:55" hidden="1" x14ac:dyDescent="0.25">
      <c r="A938" s="373">
        <v>21964</v>
      </c>
      <c r="B938" s="233" t="str">
        <f>VLOOKUP(Table8[[#This Row],[Document ID]],Table1[],2,FALSE)</f>
        <v>GIN</v>
      </c>
      <c r="C938" s="233" t="str">
        <f>VLOOKUP(Table8[[#This Row],[Document ID]],Table1[],3,FALSE)</f>
        <v>Guinea</v>
      </c>
      <c r="D938" s="243" t="str">
        <f>VLOOKUP(Table8[[#This Row],[Document ID]],Table1[],5,FALSE)</f>
        <v>NDC</v>
      </c>
      <c r="E938" s="233" t="str">
        <f>VLOOKUP(Table8[[#This Row],[Document ID]],Table1[],7,FALSE)</f>
        <v>First NDC updated</v>
      </c>
      <c r="F938" s="233" t="str">
        <f>VLOOKUP(Table8[[#This Row],[Document ID]],Table1[],8,FALSE)</f>
        <v>NDC 1.1</v>
      </c>
      <c r="G938" s="233" t="str">
        <f>VLOOKUP(Table8[[#This Row],[Document ID]],Table1[],10,FALSE)</f>
        <v>Active</v>
      </c>
      <c r="H938" s="43" t="s">
        <v>2350</v>
      </c>
      <c r="I938" s="43" t="s">
        <v>2370</v>
      </c>
      <c r="J938" s="44" t="s">
        <v>2511</v>
      </c>
      <c r="K938" s="44" t="s">
        <v>3235</v>
      </c>
      <c r="L938" s="44" t="s">
        <v>2333</v>
      </c>
      <c r="M938" s="43">
        <v>32</v>
      </c>
      <c r="N938" s="113" t="s">
        <v>1113</v>
      </c>
      <c r="O938" s="113"/>
      <c r="P938" s="113"/>
      <c r="Q938" s="113"/>
      <c r="R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t="s">
        <v>1113</v>
      </c>
      <c r="AM938" s="113"/>
      <c r="AN938" s="113"/>
      <c r="AO938" s="44" t="s">
        <v>2334</v>
      </c>
      <c r="AP938" s="43"/>
      <c r="AQ938" s="236" t="str">
        <f>VLOOKUP(Table8[[#This Row],[Instrument]],Def_Targets!$D$73:$E$159,2,FALSE)</f>
        <v>A_LATM</v>
      </c>
      <c r="AR938" s="233" t="str">
        <f>VLOOKUP(Table8[[#This Row],[Country Code]],Table29[],3,FALSE)</f>
        <v>Non-Annex I</v>
      </c>
      <c r="AS938" s="233" t="str">
        <f>VLOOKUP(Table8[[#This Row],[Country Code]],Table29[],4,FALSE)</f>
        <v>Africa</v>
      </c>
      <c r="AT938" s="233" t="str">
        <f>VLOOKUP(Table8[[#This Row],[Country Code]],Table29[],5,FALSE)</f>
        <v>Low-income</v>
      </c>
      <c r="AU938" s="233" t="str">
        <f>VLOOKUP(Table8[[#This Row],[Country Code]],Table29[],6,FALSE)</f>
        <v>no</v>
      </c>
      <c r="AV938" s="233" t="str">
        <f>VLOOKUP(Table8[[#This Row],[Country Code]],Table29[],7,FALSE)</f>
        <v>no</v>
      </c>
      <c r="AW938" s="233" t="str">
        <f>VLOOKUP(Table8[[#This Row],[Country Code]],Table29[],8,FALSE)</f>
        <v>non-OECD</v>
      </c>
      <c r="AX938" s="233" t="str">
        <f>VLOOKUP(Table8[[#This Row],[Country Code]],Table29[],9,FALSE)</f>
        <v>no</v>
      </c>
      <c r="AY938" s="233" t="str">
        <f>VLOOKUP(Table8[[#This Row],[Country Code]],Table29[],10,FALSE)</f>
        <v>no</v>
      </c>
      <c r="AZ938" s="235">
        <f>VLOOKUP(Table8[[#This Row],[Country Code]],Table29[],23,FALSE)</f>
        <v>28.634657504101</v>
      </c>
      <c r="BA938" s="235">
        <f>VLOOKUP(Table8[[#This Row],[Country Code]],Table29[],24,FALSE)</f>
        <v>1.791571476776437</v>
      </c>
      <c r="BB938" s="320"/>
      <c r="BC938" s="320"/>
    </row>
    <row r="939" spans="1:55" ht="30" hidden="1" x14ac:dyDescent="0.25">
      <c r="A939" s="373">
        <v>21964</v>
      </c>
      <c r="B939" s="233" t="str">
        <f>VLOOKUP(Table8[[#This Row],[Document ID]],Table1[],2,FALSE)</f>
        <v>GIN</v>
      </c>
      <c r="C939" s="233" t="str">
        <f>VLOOKUP(Table8[[#This Row],[Document ID]],Table1[],3,FALSE)</f>
        <v>Guinea</v>
      </c>
      <c r="D939" s="243" t="str">
        <f>VLOOKUP(Table8[[#This Row],[Document ID]],Table1[],5,FALSE)</f>
        <v>NDC</v>
      </c>
      <c r="E939" s="233" t="str">
        <f>VLOOKUP(Table8[[#This Row],[Document ID]],Table1[],7,FALSE)</f>
        <v>First NDC updated</v>
      </c>
      <c r="F939" s="233" t="str">
        <f>VLOOKUP(Table8[[#This Row],[Document ID]],Table1[],8,FALSE)</f>
        <v>NDC 1.1</v>
      </c>
      <c r="G939" s="233" t="str">
        <f>VLOOKUP(Table8[[#This Row],[Document ID]],Table1[],10,FALSE)</f>
        <v>Active</v>
      </c>
      <c r="H939" s="44" t="s">
        <v>2338</v>
      </c>
      <c r="I939" s="44" t="s">
        <v>2339</v>
      </c>
      <c r="J939" s="44" t="s">
        <v>2451</v>
      </c>
      <c r="K939" s="44" t="s">
        <v>3236</v>
      </c>
      <c r="L939" s="44" t="s">
        <v>2333</v>
      </c>
      <c r="M939" s="43">
        <v>32</v>
      </c>
      <c r="N939" s="113" t="s">
        <v>1113</v>
      </c>
      <c r="O939" s="113"/>
      <c r="P939" s="113"/>
      <c r="Q939" s="113"/>
      <c r="R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t="s">
        <v>1113</v>
      </c>
      <c r="AM939" s="113"/>
      <c r="AN939" s="113"/>
      <c r="AO939" s="44" t="s">
        <v>2334</v>
      </c>
      <c r="AP939" s="43"/>
      <c r="AQ939" s="236" t="str">
        <f>VLOOKUP(Table8[[#This Row],[Instrument]],Def_Targets!$D$73:$E$159,2,FALSE)</f>
        <v>I_Inspection</v>
      </c>
      <c r="AR939" s="233" t="str">
        <f>VLOOKUP(Table8[[#This Row],[Country Code]],Table29[],3,FALSE)</f>
        <v>Non-Annex I</v>
      </c>
      <c r="AS939" s="233" t="str">
        <f>VLOOKUP(Table8[[#This Row],[Country Code]],Table29[],4,FALSE)</f>
        <v>Africa</v>
      </c>
      <c r="AT939" s="233" t="str">
        <f>VLOOKUP(Table8[[#This Row],[Country Code]],Table29[],5,FALSE)</f>
        <v>Low-income</v>
      </c>
      <c r="AU939" s="233" t="str">
        <f>VLOOKUP(Table8[[#This Row],[Country Code]],Table29[],6,FALSE)</f>
        <v>no</v>
      </c>
      <c r="AV939" s="233" t="str">
        <f>VLOOKUP(Table8[[#This Row],[Country Code]],Table29[],7,FALSE)</f>
        <v>no</v>
      </c>
      <c r="AW939" s="233" t="str">
        <f>VLOOKUP(Table8[[#This Row],[Country Code]],Table29[],8,FALSE)</f>
        <v>non-OECD</v>
      </c>
      <c r="AX939" s="233" t="str">
        <f>VLOOKUP(Table8[[#This Row],[Country Code]],Table29[],9,FALSE)</f>
        <v>no</v>
      </c>
      <c r="AY939" s="233" t="str">
        <f>VLOOKUP(Table8[[#This Row],[Country Code]],Table29[],10,FALSE)</f>
        <v>no</v>
      </c>
      <c r="AZ939" s="235">
        <f>VLOOKUP(Table8[[#This Row],[Country Code]],Table29[],23,FALSE)</f>
        <v>28.634657504101</v>
      </c>
      <c r="BA939" s="235">
        <f>VLOOKUP(Table8[[#This Row],[Country Code]],Table29[],24,FALSE)</f>
        <v>1.791571476776437</v>
      </c>
      <c r="BB939" s="320"/>
      <c r="BC939" s="320"/>
    </row>
    <row r="940" spans="1:55" hidden="1" x14ac:dyDescent="0.25">
      <c r="A940" s="373">
        <v>21964</v>
      </c>
      <c r="B940" s="233" t="str">
        <f>VLOOKUP(Table8[[#This Row],[Document ID]],Table1[],2,FALSE)</f>
        <v>GIN</v>
      </c>
      <c r="C940" s="233" t="str">
        <f>VLOOKUP(Table8[[#This Row],[Document ID]],Table1[],3,FALSE)</f>
        <v>Guinea</v>
      </c>
      <c r="D940" s="243" t="str">
        <f>VLOOKUP(Table8[[#This Row],[Document ID]],Table1[],5,FALSE)</f>
        <v>NDC</v>
      </c>
      <c r="E940" s="233" t="str">
        <f>VLOOKUP(Table8[[#This Row],[Document ID]],Table1[],7,FALSE)</f>
        <v>First NDC updated</v>
      </c>
      <c r="F940" s="233" t="str">
        <f>VLOOKUP(Table8[[#This Row],[Document ID]],Table1[],8,FALSE)</f>
        <v>NDC 1.1</v>
      </c>
      <c r="G940" s="233" t="str">
        <f>VLOOKUP(Table8[[#This Row],[Document ID]],Table1[],10,FALSE)</f>
        <v>Active</v>
      </c>
      <c r="H940" s="43" t="s">
        <v>2358</v>
      </c>
      <c r="I940" s="43" t="s">
        <v>2359</v>
      </c>
      <c r="J940" s="44" t="s">
        <v>2360</v>
      </c>
      <c r="K940" s="44" t="s">
        <v>3237</v>
      </c>
      <c r="L940" s="44" t="s">
        <v>2333</v>
      </c>
      <c r="M940" s="43">
        <v>32</v>
      </c>
      <c r="N940" s="113" t="s">
        <v>1113</v>
      </c>
      <c r="O940" s="113"/>
      <c r="P940" s="113"/>
      <c r="Q940" s="113"/>
      <c r="R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t="s">
        <v>1113</v>
      </c>
      <c r="AM940" s="113"/>
      <c r="AN940" s="113"/>
      <c r="AO940" s="44" t="s">
        <v>2334</v>
      </c>
      <c r="AP940" s="43"/>
      <c r="AQ940" s="236" t="str">
        <f>VLOOKUP(Table8[[#This Row],[Instrument]],Def_Targets!$D$73:$E$159,2,FALSE)</f>
        <v>I_Emobility</v>
      </c>
      <c r="AR940" s="233" t="str">
        <f>VLOOKUP(Table8[[#This Row],[Country Code]],Table29[],3,FALSE)</f>
        <v>Non-Annex I</v>
      </c>
      <c r="AS940" s="233" t="str">
        <f>VLOOKUP(Table8[[#This Row],[Country Code]],Table29[],4,FALSE)</f>
        <v>Africa</v>
      </c>
      <c r="AT940" s="233" t="str">
        <f>VLOOKUP(Table8[[#This Row],[Country Code]],Table29[],5,FALSE)</f>
        <v>Low-income</v>
      </c>
      <c r="AU940" s="233" t="str">
        <f>VLOOKUP(Table8[[#This Row],[Country Code]],Table29[],6,FALSE)</f>
        <v>no</v>
      </c>
      <c r="AV940" s="233" t="str">
        <f>VLOOKUP(Table8[[#This Row],[Country Code]],Table29[],7,FALSE)</f>
        <v>no</v>
      </c>
      <c r="AW940" s="233" t="str">
        <f>VLOOKUP(Table8[[#This Row],[Country Code]],Table29[],8,FALSE)</f>
        <v>non-OECD</v>
      </c>
      <c r="AX940" s="233" t="str">
        <f>VLOOKUP(Table8[[#This Row],[Country Code]],Table29[],9,FALSE)</f>
        <v>no</v>
      </c>
      <c r="AY940" s="233" t="str">
        <f>VLOOKUP(Table8[[#This Row],[Country Code]],Table29[],10,FALSE)</f>
        <v>no</v>
      </c>
      <c r="AZ940" s="235">
        <f>VLOOKUP(Table8[[#This Row],[Country Code]],Table29[],23,FALSE)</f>
        <v>28.634657504101</v>
      </c>
      <c r="BA940" s="235">
        <f>VLOOKUP(Table8[[#This Row],[Country Code]],Table29[],24,FALSE)</f>
        <v>1.791571476776437</v>
      </c>
      <c r="BB940" s="320"/>
      <c r="BC940" s="320"/>
    </row>
    <row r="941" spans="1:55" hidden="1" x14ac:dyDescent="0.25">
      <c r="A941" s="373">
        <v>21964</v>
      </c>
      <c r="B941" s="233" t="str">
        <f>VLOOKUP(Table8[[#This Row],[Document ID]],Table1[],2,FALSE)</f>
        <v>GIN</v>
      </c>
      <c r="C941" s="233" t="str">
        <f>VLOOKUP(Table8[[#This Row],[Document ID]],Table1[],3,FALSE)</f>
        <v>Guinea</v>
      </c>
      <c r="D941" s="243" t="str">
        <f>VLOOKUP(Table8[[#This Row],[Document ID]],Table1[],5,FALSE)</f>
        <v>NDC</v>
      </c>
      <c r="E941" s="233" t="str">
        <f>VLOOKUP(Table8[[#This Row],[Document ID]],Table1[],7,FALSE)</f>
        <v>First NDC updated</v>
      </c>
      <c r="F941" s="233" t="str">
        <f>VLOOKUP(Table8[[#This Row],[Document ID]],Table1[],8,FALSE)</f>
        <v>NDC 1.1</v>
      </c>
      <c r="G941" s="233" t="str">
        <f>VLOOKUP(Table8[[#This Row],[Document ID]],Table1[],10,FALSE)</f>
        <v>Active</v>
      </c>
      <c r="H941" s="44" t="s">
        <v>2329</v>
      </c>
      <c r="I941" s="44" t="s">
        <v>2330</v>
      </c>
      <c r="J941" s="44" t="s">
        <v>2363</v>
      </c>
      <c r="K941" s="44" t="s">
        <v>3238</v>
      </c>
      <c r="L941" s="44" t="s">
        <v>2333</v>
      </c>
      <c r="M941" s="43">
        <v>32</v>
      </c>
      <c r="N941" s="113" t="s">
        <v>1113</v>
      </c>
      <c r="O941" s="113"/>
      <c r="P941" s="113"/>
      <c r="Q941" s="113"/>
      <c r="R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t="s">
        <v>1113</v>
      </c>
      <c r="AM941" s="113"/>
      <c r="AN941" s="113"/>
      <c r="AO941" s="44" t="s">
        <v>2334</v>
      </c>
      <c r="AP941" s="43"/>
      <c r="AQ941" s="236" t="str">
        <f>VLOOKUP(Table8[[#This Row],[Instrument]],Def_Targets!$D$73:$E$159,2,FALSE)</f>
        <v>I_LPGCNGLNG</v>
      </c>
      <c r="AR941" s="233" t="str">
        <f>VLOOKUP(Table8[[#This Row],[Country Code]],Table29[],3,FALSE)</f>
        <v>Non-Annex I</v>
      </c>
      <c r="AS941" s="233" t="str">
        <f>VLOOKUP(Table8[[#This Row],[Country Code]],Table29[],4,FALSE)</f>
        <v>Africa</v>
      </c>
      <c r="AT941" s="233" t="str">
        <f>VLOOKUP(Table8[[#This Row],[Country Code]],Table29[],5,FALSE)</f>
        <v>Low-income</v>
      </c>
      <c r="AU941" s="233" t="str">
        <f>VLOOKUP(Table8[[#This Row],[Country Code]],Table29[],6,FALSE)</f>
        <v>no</v>
      </c>
      <c r="AV941" s="233" t="str">
        <f>VLOOKUP(Table8[[#This Row],[Country Code]],Table29[],7,FALSE)</f>
        <v>no</v>
      </c>
      <c r="AW941" s="233" t="str">
        <f>VLOOKUP(Table8[[#This Row],[Country Code]],Table29[],8,FALSE)</f>
        <v>non-OECD</v>
      </c>
      <c r="AX941" s="233" t="str">
        <f>VLOOKUP(Table8[[#This Row],[Country Code]],Table29[],9,FALSE)</f>
        <v>no</v>
      </c>
      <c r="AY941" s="233" t="str">
        <f>VLOOKUP(Table8[[#This Row],[Country Code]],Table29[],10,FALSE)</f>
        <v>no</v>
      </c>
      <c r="AZ941" s="235">
        <f>VLOOKUP(Table8[[#This Row],[Country Code]],Table29[],23,FALSE)</f>
        <v>28.634657504101</v>
      </c>
      <c r="BA941" s="235">
        <f>VLOOKUP(Table8[[#This Row],[Country Code]],Table29[],24,FALSE)</f>
        <v>1.791571476776437</v>
      </c>
      <c r="BB941" s="320"/>
      <c r="BC941" s="320"/>
    </row>
    <row r="942" spans="1:55" hidden="1" x14ac:dyDescent="0.25">
      <c r="A942" s="373">
        <v>21964</v>
      </c>
      <c r="B942" s="233" t="str">
        <f>VLOOKUP(Table8[[#This Row],[Document ID]],Table1[],2,FALSE)</f>
        <v>GIN</v>
      </c>
      <c r="C942" s="233" t="str">
        <f>VLOOKUP(Table8[[#This Row],[Document ID]],Table1[],3,FALSE)</f>
        <v>Guinea</v>
      </c>
      <c r="D942" s="243" t="str">
        <f>VLOOKUP(Table8[[#This Row],[Document ID]],Table1[],5,FALSE)</f>
        <v>NDC</v>
      </c>
      <c r="E942" s="233" t="str">
        <f>VLOOKUP(Table8[[#This Row],[Document ID]],Table1[],7,FALSE)</f>
        <v>First NDC updated</v>
      </c>
      <c r="F942" s="233" t="str">
        <f>VLOOKUP(Table8[[#This Row],[Document ID]],Table1[],8,FALSE)</f>
        <v>NDC 1.1</v>
      </c>
      <c r="G942" s="233" t="str">
        <f>VLOOKUP(Table8[[#This Row],[Document ID]],Table1[],10,FALSE)</f>
        <v>Active</v>
      </c>
      <c r="H942" s="44" t="s">
        <v>2329</v>
      </c>
      <c r="I942" s="43" t="s">
        <v>2330</v>
      </c>
      <c r="J942" s="44" t="s">
        <v>2357</v>
      </c>
      <c r="K942" s="44" t="s">
        <v>3239</v>
      </c>
      <c r="L942" s="44" t="s">
        <v>2333</v>
      </c>
      <c r="M942" s="43">
        <v>32</v>
      </c>
      <c r="N942" s="113" t="s">
        <v>1113</v>
      </c>
      <c r="O942" s="113"/>
      <c r="P942" s="113"/>
      <c r="Q942" s="113"/>
      <c r="R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t="s">
        <v>1113</v>
      </c>
      <c r="AM942" s="113"/>
      <c r="AN942" s="113"/>
      <c r="AO942" s="44" t="s">
        <v>2334</v>
      </c>
      <c r="AP942" s="43"/>
      <c r="AQ942" s="236" t="str">
        <f>VLOOKUP(Table8[[#This Row],[Instrument]],Def_Targets!$D$73:$E$159,2,FALSE)</f>
        <v>I_Biofuel</v>
      </c>
      <c r="AR942" s="233" t="str">
        <f>VLOOKUP(Table8[[#This Row],[Country Code]],Table29[],3,FALSE)</f>
        <v>Non-Annex I</v>
      </c>
      <c r="AS942" s="233" t="str">
        <f>VLOOKUP(Table8[[#This Row],[Country Code]],Table29[],4,FALSE)</f>
        <v>Africa</v>
      </c>
      <c r="AT942" s="233" t="str">
        <f>VLOOKUP(Table8[[#This Row],[Country Code]],Table29[],5,FALSE)</f>
        <v>Low-income</v>
      </c>
      <c r="AU942" s="233" t="str">
        <f>VLOOKUP(Table8[[#This Row],[Country Code]],Table29[],6,FALSE)</f>
        <v>no</v>
      </c>
      <c r="AV942" s="233" t="str">
        <f>VLOOKUP(Table8[[#This Row],[Country Code]],Table29[],7,FALSE)</f>
        <v>no</v>
      </c>
      <c r="AW942" s="233" t="str">
        <f>VLOOKUP(Table8[[#This Row],[Country Code]],Table29[],8,FALSE)</f>
        <v>non-OECD</v>
      </c>
      <c r="AX942" s="233" t="str">
        <f>VLOOKUP(Table8[[#This Row],[Country Code]],Table29[],9,FALSE)</f>
        <v>no</v>
      </c>
      <c r="AY942" s="233" t="str">
        <f>VLOOKUP(Table8[[#This Row],[Country Code]],Table29[],10,FALSE)</f>
        <v>no</v>
      </c>
      <c r="AZ942" s="235">
        <f>VLOOKUP(Table8[[#This Row],[Country Code]],Table29[],23,FALSE)</f>
        <v>28.634657504101</v>
      </c>
      <c r="BA942" s="235">
        <f>VLOOKUP(Table8[[#This Row],[Country Code]],Table29[],24,FALSE)</f>
        <v>1.791571476776437</v>
      </c>
      <c r="BB942" s="320"/>
      <c r="BC942" s="320"/>
    </row>
    <row r="943" spans="1:55" ht="30" hidden="1" x14ac:dyDescent="0.25">
      <c r="A943" s="373">
        <v>17612</v>
      </c>
      <c r="B943" s="233" t="str">
        <f>VLOOKUP(Table8[[#This Row],[Document ID]],Table1[],2,FALSE)</f>
        <v>HTI</v>
      </c>
      <c r="C943" s="233" t="str">
        <f>VLOOKUP(Table8[[#This Row],[Document ID]],Table1[],3,FALSE)</f>
        <v>Haiti</v>
      </c>
      <c r="D943" s="243" t="str">
        <f>VLOOKUP(Table8[[#This Row],[Document ID]],Table1[],5,FALSE)</f>
        <v>NDC</v>
      </c>
      <c r="E943" s="233" t="str">
        <f>VLOOKUP(Table8[[#This Row],[Document ID]],Table1[],7,FALSE)</f>
        <v>First NDC</v>
      </c>
      <c r="F943" s="236" t="str">
        <f>VLOOKUP(Table8[[#This Row],[Document ID]],Table1[],8,FALSE)</f>
        <v>NDC 1.0</v>
      </c>
      <c r="G943" s="236" t="str">
        <f>VLOOKUP(Table8[[#This Row],[Document ID]],Table1[],10,FALSE)</f>
        <v>Archived</v>
      </c>
      <c r="H943" s="44" t="s">
        <v>2338</v>
      </c>
      <c r="I943" s="44" t="s">
        <v>2339</v>
      </c>
      <c r="J943" s="44" t="s">
        <v>2410</v>
      </c>
      <c r="K943" s="44" t="s">
        <v>3240</v>
      </c>
      <c r="L943" s="44" t="s">
        <v>2333</v>
      </c>
      <c r="M943" s="43">
        <v>9</v>
      </c>
      <c r="N943" s="113"/>
      <c r="O943" s="113"/>
      <c r="P943" s="113"/>
      <c r="Q943" s="113"/>
      <c r="R943" s="113"/>
      <c r="S943" s="113" t="s">
        <v>1113</v>
      </c>
      <c r="T943" s="113"/>
      <c r="U943" s="113"/>
      <c r="V943" s="113"/>
      <c r="W943" s="113"/>
      <c r="X943" s="113"/>
      <c r="Y943" s="113"/>
      <c r="Z943" s="113"/>
      <c r="AA943" s="113"/>
      <c r="AB943" s="113"/>
      <c r="AC943" s="113"/>
      <c r="AD943" s="113"/>
      <c r="AE943" s="113"/>
      <c r="AF943" s="113"/>
      <c r="AG943" s="113"/>
      <c r="AH943" s="113"/>
      <c r="AI943" s="113"/>
      <c r="AJ943" s="113"/>
      <c r="AK943" s="319" t="s">
        <v>1113</v>
      </c>
      <c r="AL943" s="113"/>
      <c r="AM943" s="113"/>
      <c r="AN943" s="113"/>
      <c r="AO943" s="44" t="s">
        <v>2334</v>
      </c>
      <c r="AP943" s="44"/>
      <c r="AQ943" s="236" t="str">
        <f>VLOOKUP(Table8[[#This Row],[Instrument]],Def_Targets!$D$73:$E$159,2,FALSE)</f>
        <v>I_VehicleRestrictions</v>
      </c>
      <c r="AR943" s="233" t="str">
        <f>VLOOKUP(Table8[[#This Row],[Country Code]],Table29[],3,FALSE)</f>
        <v>Non-Annex I</v>
      </c>
      <c r="AS943" s="233" t="str">
        <f>VLOOKUP(Table8[[#This Row],[Country Code]],Table29[],4,FALSE)</f>
        <v>Latin America and the Caribbean</v>
      </c>
      <c r="AT943" s="233" t="str">
        <f>VLOOKUP(Table8[[#This Row],[Country Code]],Table29[],5,FALSE)</f>
        <v>Middle-income</v>
      </c>
      <c r="AU943" s="233" t="str">
        <f>VLOOKUP(Table8[[#This Row],[Country Code]],Table29[],6,FALSE)</f>
        <v>no</v>
      </c>
      <c r="AV943" s="233" t="str">
        <f>VLOOKUP(Table8[[#This Row],[Country Code]],Table29[],7,FALSE)</f>
        <v>no</v>
      </c>
      <c r="AW943" s="233" t="str">
        <f>VLOOKUP(Table8[[#This Row],[Country Code]],Table29[],8,FALSE)</f>
        <v>non-OECD</v>
      </c>
      <c r="AX943" s="233" t="str">
        <f>VLOOKUP(Table8[[#This Row],[Country Code]],Table29[],9,FALSE)</f>
        <v>no</v>
      </c>
      <c r="AY943" s="233" t="str">
        <f>VLOOKUP(Table8[[#This Row],[Country Code]],Table29[],10,FALSE)</f>
        <v>no</v>
      </c>
      <c r="AZ943" s="235">
        <f>VLOOKUP(Table8[[#This Row],[Country Code]],Table29[],23,FALSE)</f>
        <v>13.656955798463001</v>
      </c>
      <c r="BA943" s="235">
        <f>VLOOKUP(Table8[[#This Row],[Country Code]],Table29[],24,FALSE)</f>
        <v>1.477654993185334</v>
      </c>
      <c r="BB943" s="320"/>
      <c r="BC943" s="320"/>
    </row>
    <row r="944" spans="1:55" ht="30" hidden="1" x14ac:dyDescent="0.25">
      <c r="A944" s="373">
        <v>17612</v>
      </c>
      <c r="B944" s="233" t="str">
        <f>VLOOKUP(Table8[[#This Row],[Document ID]],Table1[],2,FALSE)</f>
        <v>HTI</v>
      </c>
      <c r="C944" s="233" t="str">
        <f>VLOOKUP(Table8[[#This Row],[Document ID]],Table1[],3,FALSE)</f>
        <v>Haiti</v>
      </c>
      <c r="D944" s="243" t="str">
        <f>VLOOKUP(Table8[[#This Row],[Document ID]],Table1[],5,FALSE)</f>
        <v>NDC</v>
      </c>
      <c r="E944" s="233" t="str">
        <f>VLOOKUP(Table8[[#This Row],[Document ID]],Table1[],7,FALSE)</f>
        <v>First NDC</v>
      </c>
      <c r="F944" s="236" t="str">
        <f>VLOOKUP(Table8[[#This Row],[Document ID]],Table1[],8,FALSE)</f>
        <v>NDC 1.0</v>
      </c>
      <c r="G944" s="236" t="str">
        <f>VLOOKUP(Table8[[#This Row],[Document ID]],Table1[],10,FALSE)</f>
        <v>Archived</v>
      </c>
      <c r="H944" s="43" t="s">
        <v>2350</v>
      </c>
      <c r="I944" s="43" t="s">
        <v>2370</v>
      </c>
      <c r="J944" s="44" t="s">
        <v>2418</v>
      </c>
      <c r="K944" s="44" t="s">
        <v>3241</v>
      </c>
      <c r="L944" s="44" t="s">
        <v>2373</v>
      </c>
      <c r="M944" s="43">
        <v>8</v>
      </c>
      <c r="N944" s="113" t="s">
        <v>1113</v>
      </c>
      <c r="O944" s="113"/>
      <c r="P944" s="113"/>
      <c r="Q944" s="319"/>
      <c r="R944" s="319"/>
      <c r="S944" s="319"/>
      <c r="T944" s="319"/>
      <c r="U944" s="319"/>
      <c r="V944" s="319"/>
      <c r="W944" s="319"/>
      <c r="X944" s="319"/>
      <c r="Y944" s="319"/>
      <c r="Z944" s="319"/>
      <c r="AA944" s="319"/>
      <c r="AB944" s="319"/>
      <c r="AC944" s="319"/>
      <c r="AD944" s="319"/>
      <c r="AE944" s="319"/>
      <c r="AF944" s="319"/>
      <c r="AG944" s="319"/>
      <c r="AH944" s="319"/>
      <c r="AI944" s="319"/>
      <c r="AJ944" s="319"/>
      <c r="AK944" s="319" t="s">
        <v>1113</v>
      </c>
      <c r="AL944" s="319"/>
      <c r="AM944" s="319"/>
      <c r="AN944" s="319"/>
      <c r="AO944" s="44" t="s">
        <v>2334</v>
      </c>
      <c r="AP944" s="44"/>
      <c r="AQ944" s="236" t="str">
        <f>VLOOKUP(Table8[[#This Row],[Instrument]],Def_Targets!$D$73:$E$159,2,FALSE)</f>
        <v>A_Complan</v>
      </c>
      <c r="AR944" s="233" t="str">
        <f>VLOOKUP(Table8[[#This Row],[Country Code]],Table29[],3,FALSE)</f>
        <v>Non-Annex I</v>
      </c>
      <c r="AS944" s="233" t="str">
        <f>VLOOKUP(Table8[[#This Row],[Country Code]],Table29[],4,FALSE)</f>
        <v>Latin America and the Caribbean</v>
      </c>
      <c r="AT944" s="233" t="str">
        <f>VLOOKUP(Table8[[#This Row],[Country Code]],Table29[],5,FALSE)</f>
        <v>Middle-income</v>
      </c>
      <c r="AU944" s="233" t="str">
        <f>VLOOKUP(Table8[[#This Row],[Country Code]],Table29[],6,FALSE)</f>
        <v>no</v>
      </c>
      <c r="AV944" s="233" t="str">
        <f>VLOOKUP(Table8[[#This Row],[Country Code]],Table29[],7,FALSE)</f>
        <v>no</v>
      </c>
      <c r="AW944" s="233" t="str">
        <f>VLOOKUP(Table8[[#This Row],[Country Code]],Table29[],8,FALSE)</f>
        <v>non-OECD</v>
      </c>
      <c r="AX944" s="233" t="str">
        <f>VLOOKUP(Table8[[#This Row],[Country Code]],Table29[],9,FALSE)</f>
        <v>no</v>
      </c>
      <c r="AY944" s="233" t="str">
        <f>VLOOKUP(Table8[[#This Row],[Country Code]],Table29[],10,FALSE)</f>
        <v>no</v>
      </c>
      <c r="AZ944" s="235">
        <f>VLOOKUP(Table8[[#This Row],[Country Code]],Table29[],23,FALSE)</f>
        <v>13.656955798463001</v>
      </c>
      <c r="BA944" s="235">
        <f>VLOOKUP(Table8[[#This Row],[Country Code]],Table29[],24,FALSE)</f>
        <v>1.477654993185334</v>
      </c>
      <c r="BB944" s="320"/>
      <c r="BC944" s="320"/>
    </row>
    <row r="945" spans="1:55" hidden="1" x14ac:dyDescent="0.25">
      <c r="A945" s="373">
        <v>26799</v>
      </c>
      <c r="B945" s="233" t="str">
        <f>VLOOKUP(Table8[[#This Row],[Document ID]],Table1[],2,FALSE)</f>
        <v>HTI</v>
      </c>
      <c r="C945" s="233" t="str">
        <f>VLOOKUP(Table8[[#This Row],[Document ID]],Table1[],3,FALSE)</f>
        <v>Haiti</v>
      </c>
      <c r="D945" s="243" t="str">
        <f>VLOOKUP(Table8[[#This Row],[Document ID]],Table1[],5,FALSE)</f>
        <v>NDC</v>
      </c>
      <c r="E945" s="233" t="str">
        <f>VLOOKUP(Table8[[#This Row],[Document ID]],Table1[],7,FALSE)</f>
        <v>First NDC updated</v>
      </c>
      <c r="F945" s="236" t="str">
        <f>VLOOKUP(Table8[[#This Row],[Document ID]],Table1[],8,FALSE)</f>
        <v>NDC 1.1</v>
      </c>
      <c r="G945" s="236" t="str">
        <f>VLOOKUP(Table8[[#This Row],[Document ID]],Table1[],10,FALSE)</f>
        <v>Active</v>
      </c>
      <c r="H945" s="44" t="s">
        <v>2338</v>
      </c>
      <c r="I945" s="44" t="s">
        <v>2339</v>
      </c>
      <c r="J945" s="44" t="s">
        <v>2451</v>
      </c>
      <c r="K945" s="44" t="s">
        <v>1621</v>
      </c>
      <c r="L945" s="44" t="s">
        <v>2333</v>
      </c>
      <c r="M945" s="43">
        <v>30</v>
      </c>
      <c r="N945" s="113"/>
      <c r="O945" s="113"/>
      <c r="P945" s="113"/>
      <c r="Q945" s="113"/>
      <c r="R945" s="113"/>
      <c r="S945" s="113"/>
      <c r="T945" s="113" t="s">
        <v>1113</v>
      </c>
      <c r="U945" s="113"/>
      <c r="V945" s="113"/>
      <c r="W945" s="113"/>
      <c r="X945" s="113"/>
      <c r="Y945" s="113"/>
      <c r="Z945" s="113"/>
      <c r="AA945" s="113"/>
      <c r="AB945" s="113"/>
      <c r="AC945" s="113"/>
      <c r="AD945" s="113"/>
      <c r="AE945" s="113"/>
      <c r="AF945" s="113"/>
      <c r="AG945" s="113"/>
      <c r="AH945" s="113"/>
      <c r="AI945" s="113"/>
      <c r="AJ945" s="113"/>
      <c r="AK945" s="113" t="s">
        <v>1113</v>
      </c>
      <c r="AL945" s="113"/>
      <c r="AM945" s="113"/>
      <c r="AN945" s="113"/>
      <c r="AO945" s="43" t="s">
        <v>2348</v>
      </c>
      <c r="AP945" s="43"/>
      <c r="AQ945" s="236" t="str">
        <f>VLOOKUP(Table8[[#This Row],[Instrument]],Def_Targets!$D$73:$E$159,2,FALSE)</f>
        <v>I_Inspection</v>
      </c>
      <c r="AR945" s="233" t="str">
        <f>VLOOKUP(Table8[[#This Row],[Country Code]],Table29[],3,FALSE)</f>
        <v>Non-Annex I</v>
      </c>
      <c r="AS945" s="233" t="str">
        <f>VLOOKUP(Table8[[#This Row],[Country Code]],Table29[],4,FALSE)</f>
        <v>Latin America and the Caribbean</v>
      </c>
      <c r="AT945" s="233" t="str">
        <f>VLOOKUP(Table8[[#This Row],[Country Code]],Table29[],5,FALSE)</f>
        <v>Middle-income</v>
      </c>
      <c r="AU945" s="233" t="str">
        <f>VLOOKUP(Table8[[#This Row],[Country Code]],Table29[],6,FALSE)</f>
        <v>no</v>
      </c>
      <c r="AV945" s="233" t="str">
        <f>VLOOKUP(Table8[[#This Row],[Country Code]],Table29[],7,FALSE)</f>
        <v>no</v>
      </c>
      <c r="AW945" s="233" t="str">
        <f>VLOOKUP(Table8[[#This Row],[Country Code]],Table29[],8,FALSE)</f>
        <v>non-OECD</v>
      </c>
      <c r="AX945" s="233" t="str">
        <f>VLOOKUP(Table8[[#This Row],[Country Code]],Table29[],9,FALSE)</f>
        <v>no</v>
      </c>
      <c r="AY945" s="233" t="str">
        <f>VLOOKUP(Table8[[#This Row],[Country Code]],Table29[],10,FALSE)</f>
        <v>no</v>
      </c>
      <c r="AZ945" s="235">
        <f>VLOOKUP(Table8[[#This Row],[Country Code]],Table29[],23,FALSE)</f>
        <v>13.656955798463001</v>
      </c>
      <c r="BA945" s="235">
        <f>VLOOKUP(Table8[[#This Row],[Country Code]],Table29[],24,FALSE)</f>
        <v>1.477654993185334</v>
      </c>
      <c r="BB945" s="320"/>
      <c r="BC945" s="320"/>
    </row>
    <row r="946" spans="1:55" ht="30" hidden="1" x14ac:dyDescent="0.25">
      <c r="A946" s="373">
        <v>26799</v>
      </c>
      <c r="B946" s="233" t="str">
        <f>VLOOKUP(Table8[[#This Row],[Document ID]],Table1[],2,FALSE)</f>
        <v>HTI</v>
      </c>
      <c r="C946" s="233" t="str">
        <f>VLOOKUP(Table8[[#This Row],[Document ID]],Table1[],3,FALSE)</f>
        <v>Haiti</v>
      </c>
      <c r="D946" s="243" t="str">
        <f>VLOOKUP(Table8[[#This Row],[Document ID]],Table1[],5,FALSE)</f>
        <v>NDC</v>
      </c>
      <c r="E946" s="233" t="str">
        <f>VLOOKUP(Table8[[#This Row],[Document ID]],Table1[],7,FALSE)</f>
        <v>First NDC updated</v>
      </c>
      <c r="F946" s="236" t="str">
        <f>VLOOKUP(Table8[[#This Row],[Document ID]],Table1[],8,FALSE)</f>
        <v>NDC 1.1</v>
      </c>
      <c r="G946" s="236" t="str">
        <f>VLOOKUP(Table8[[#This Row],[Document ID]],Table1[],10,FALSE)</f>
        <v>Active</v>
      </c>
      <c r="H946" s="44" t="s">
        <v>2338</v>
      </c>
      <c r="I946" s="44" t="s">
        <v>2339</v>
      </c>
      <c r="J946" s="44" t="s">
        <v>2410</v>
      </c>
      <c r="K946" s="44" t="s">
        <v>1640</v>
      </c>
      <c r="L946" s="44" t="s">
        <v>2333</v>
      </c>
      <c r="M946" s="43">
        <v>33</v>
      </c>
      <c r="N946" s="113"/>
      <c r="O946" s="113"/>
      <c r="P946" s="113"/>
      <c r="Q946" s="113"/>
      <c r="R946" s="113"/>
      <c r="S946" s="113"/>
      <c r="T946" s="113"/>
      <c r="U946" s="113" t="s">
        <v>1113</v>
      </c>
      <c r="V946" s="113"/>
      <c r="W946" s="113"/>
      <c r="X946" s="113"/>
      <c r="Y946" s="113"/>
      <c r="Z946" s="113"/>
      <c r="AA946" s="113"/>
      <c r="AB946" s="113"/>
      <c r="AC946" s="113"/>
      <c r="AD946" s="113"/>
      <c r="AE946" s="113"/>
      <c r="AF946" s="113"/>
      <c r="AG946" s="113"/>
      <c r="AH946" s="113"/>
      <c r="AI946" s="113"/>
      <c r="AJ946" s="113"/>
      <c r="AK946" s="113" t="s">
        <v>1113</v>
      </c>
      <c r="AL946" s="113"/>
      <c r="AM946" s="113"/>
      <c r="AN946" s="113"/>
      <c r="AO946" s="43" t="s">
        <v>2348</v>
      </c>
      <c r="AP946" s="43"/>
      <c r="AQ946" s="236" t="str">
        <f>VLOOKUP(Table8[[#This Row],[Instrument]],Def_Targets!$D$73:$E$159,2,FALSE)</f>
        <v>I_VehicleRestrictions</v>
      </c>
      <c r="AR946" s="233" t="str">
        <f>VLOOKUP(Table8[[#This Row],[Country Code]],Table29[],3,FALSE)</f>
        <v>Non-Annex I</v>
      </c>
      <c r="AS946" s="233" t="str">
        <f>VLOOKUP(Table8[[#This Row],[Country Code]],Table29[],4,FALSE)</f>
        <v>Latin America and the Caribbean</v>
      </c>
      <c r="AT946" s="233" t="str">
        <f>VLOOKUP(Table8[[#This Row],[Country Code]],Table29[],5,FALSE)</f>
        <v>Middle-income</v>
      </c>
      <c r="AU946" s="233" t="str">
        <f>VLOOKUP(Table8[[#This Row],[Country Code]],Table29[],6,FALSE)</f>
        <v>no</v>
      </c>
      <c r="AV946" s="233" t="str">
        <f>VLOOKUP(Table8[[#This Row],[Country Code]],Table29[],7,FALSE)</f>
        <v>no</v>
      </c>
      <c r="AW946" s="233" t="str">
        <f>VLOOKUP(Table8[[#This Row],[Country Code]],Table29[],8,FALSE)</f>
        <v>non-OECD</v>
      </c>
      <c r="AX946" s="233" t="str">
        <f>VLOOKUP(Table8[[#This Row],[Country Code]],Table29[],9,FALSE)</f>
        <v>no</v>
      </c>
      <c r="AY946" s="233" t="str">
        <f>VLOOKUP(Table8[[#This Row],[Country Code]],Table29[],10,FALSE)</f>
        <v>no</v>
      </c>
      <c r="AZ946" s="235">
        <f>VLOOKUP(Table8[[#This Row],[Country Code]],Table29[],23,FALSE)</f>
        <v>13.656955798463001</v>
      </c>
      <c r="BA946" s="235">
        <f>VLOOKUP(Table8[[#This Row],[Country Code]],Table29[],24,FALSE)</f>
        <v>1.477654993185334</v>
      </c>
      <c r="BB946" s="320"/>
      <c r="BC946" s="320"/>
    </row>
    <row r="947" spans="1:55" hidden="1" x14ac:dyDescent="0.25">
      <c r="A947" s="373">
        <v>26799</v>
      </c>
      <c r="B947" s="233" t="str">
        <f>VLOOKUP(Table8[[#This Row],[Document ID]],Table1[],2,FALSE)</f>
        <v>HTI</v>
      </c>
      <c r="C947" s="233" t="str">
        <f>VLOOKUP(Table8[[#This Row],[Document ID]],Table1[],3,FALSE)</f>
        <v>Haiti</v>
      </c>
      <c r="D947" s="243" t="str">
        <f>VLOOKUP(Table8[[#This Row],[Document ID]],Table1[],5,FALSE)</f>
        <v>NDC</v>
      </c>
      <c r="E947" s="233" t="str">
        <f>VLOOKUP(Table8[[#This Row],[Document ID]],Table1[],7,FALSE)</f>
        <v>First NDC updated</v>
      </c>
      <c r="F947" s="236" t="str">
        <f>VLOOKUP(Table8[[#This Row],[Document ID]],Table1[],8,FALSE)</f>
        <v>NDC 1.1</v>
      </c>
      <c r="G947" s="236" t="str">
        <f>VLOOKUP(Table8[[#This Row],[Document ID]],Table1[],10,FALSE)</f>
        <v>Active</v>
      </c>
      <c r="H947" s="44" t="s">
        <v>2338</v>
      </c>
      <c r="I947" s="44" t="s">
        <v>2339</v>
      </c>
      <c r="J947" s="44" t="s">
        <v>2451</v>
      </c>
      <c r="K947" s="44" t="s">
        <v>1641</v>
      </c>
      <c r="L947" s="44" t="s">
        <v>2333</v>
      </c>
      <c r="M947" s="43">
        <v>33</v>
      </c>
      <c r="N947" s="113"/>
      <c r="O947" s="113"/>
      <c r="P947" s="113"/>
      <c r="Q947" s="113"/>
      <c r="R947" s="113"/>
      <c r="S947" s="113"/>
      <c r="T947" s="113" t="s">
        <v>1113</v>
      </c>
      <c r="U947" s="113"/>
      <c r="V947" s="113"/>
      <c r="W947" s="113"/>
      <c r="X947" s="113"/>
      <c r="Y947" s="113"/>
      <c r="Z947" s="113"/>
      <c r="AA947" s="113"/>
      <c r="AB947" s="113"/>
      <c r="AC947" s="113"/>
      <c r="AD947" s="113"/>
      <c r="AE947" s="113"/>
      <c r="AF947" s="113"/>
      <c r="AG947" s="113"/>
      <c r="AH947" s="113"/>
      <c r="AI947" s="113"/>
      <c r="AJ947" s="113"/>
      <c r="AK947" s="113" t="s">
        <v>1113</v>
      </c>
      <c r="AL947" s="113"/>
      <c r="AM947" s="113"/>
      <c r="AN947" s="113"/>
      <c r="AO947" s="43" t="s">
        <v>2348</v>
      </c>
      <c r="AP947" s="43"/>
      <c r="AQ947" s="236" t="str">
        <f>VLOOKUP(Table8[[#This Row],[Instrument]],Def_Targets!$D$73:$E$159,2,FALSE)</f>
        <v>I_Inspection</v>
      </c>
      <c r="AR947" s="233" t="str">
        <f>VLOOKUP(Table8[[#This Row],[Country Code]],Table29[],3,FALSE)</f>
        <v>Non-Annex I</v>
      </c>
      <c r="AS947" s="233" t="str">
        <f>VLOOKUP(Table8[[#This Row],[Country Code]],Table29[],4,FALSE)</f>
        <v>Latin America and the Caribbean</v>
      </c>
      <c r="AT947" s="233" t="str">
        <f>VLOOKUP(Table8[[#This Row],[Country Code]],Table29[],5,FALSE)</f>
        <v>Middle-income</v>
      </c>
      <c r="AU947" s="233" t="str">
        <f>VLOOKUP(Table8[[#This Row],[Country Code]],Table29[],6,FALSE)</f>
        <v>no</v>
      </c>
      <c r="AV947" s="233" t="str">
        <f>VLOOKUP(Table8[[#This Row],[Country Code]],Table29[],7,FALSE)</f>
        <v>no</v>
      </c>
      <c r="AW947" s="233" t="str">
        <f>VLOOKUP(Table8[[#This Row],[Country Code]],Table29[],8,FALSE)</f>
        <v>non-OECD</v>
      </c>
      <c r="AX947" s="233" t="str">
        <f>VLOOKUP(Table8[[#This Row],[Country Code]],Table29[],9,FALSE)</f>
        <v>no</v>
      </c>
      <c r="AY947" s="233" t="str">
        <f>VLOOKUP(Table8[[#This Row],[Country Code]],Table29[],10,FALSE)</f>
        <v>no</v>
      </c>
      <c r="AZ947" s="235">
        <f>VLOOKUP(Table8[[#This Row],[Country Code]],Table29[],23,FALSE)</f>
        <v>13.656955798463001</v>
      </c>
      <c r="BA947" s="235">
        <f>VLOOKUP(Table8[[#This Row],[Country Code]],Table29[],24,FALSE)</f>
        <v>1.477654993185334</v>
      </c>
      <c r="BB947" s="320"/>
      <c r="BC947" s="320"/>
    </row>
    <row r="948" spans="1:55" s="17" customFormat="1" ht="150" hidden="1" x14ac:dyDescent="0.25">
      <c r="A948" s="373">
        <v>20477</v>
      </c>
      <c r="B948" s="233" t="str">
        <f>VLOOKUP(Table8[[#This Row],[Document ID]],Table1[],2,FALSE)</f>
        <v>HND</v>
      </c>
      <c r="C948" s="233" t="str">
        <f>VLOOKUP(Table8[[#This Row],[Document ID]],Table1[],3,FALSE)</f>
        <v>Honduras</v>
      </c>
      <c r="D948" s="243" t="str">
        <f>VLOOKUP(Table8[[#This Row],[Document ID]],Table1[],5,FALSE)</f>
        <v>NDC</v>
      </c>
      <c r="E948" s="233" t="str">
        <f>VLOOKUP(Table8[[#This Row],[Document ID]],Table1[],7,FALSE)</f>
        <v>First NDC updated</v>
      </c>
      <c r="F948" s="233" t="str">
        <f>VLOOKUP(Table8[[#This Row],[Document ID]],Table1[],8,FALSE)</f>
        <v>NDC 1.1</v>
      </c>
      <c r="G948" s="233" t="str">
        <f>VLOOKUP(Table8[[#This Row],[Document ID]],Table1[],10,FALSE)</f>
        <v>Active</v>
      </c>
      <c r="H948" s="43" t="s">
        <v>2358</v>
      </c>
      <c r="I948" s="43" t="s">
        <v>2359</v>
      </c>
      <c r="J948" s="44" t="s">
        <v>2360</v>
      </c>
      <c r="K948" s="44" t="s">
        <v>3242</v>
      </c>
      <c r="L948" s="44" t="s">
        <v>2333</v>
      </c>
      <c r="M948" s="43">
        <v>24</v>
      </c>
      <c r="N948" s="113"/>
      <c r="O948" s="113"/>
      <c r="P948" s="113"/>
      <c r="Q948" s="113"/>
      <c r="R948" s="113"/>
      <c r="S948" s="113" t="s">
        <v>1113</v>
      </c>
      <c r="T948" s="113"/>
      <c r="U948" s="113"/>
      <c r="V948" s="113"/>
      <c r="W948" s="113"/>
      <c r="X948" s="113"/>
      <c r="Y948" s="113" t="s">
        <v>1113</v>
      </c>
      <c r="Z948" s="113"/>
      <c r="AA948" s="113"/>
      <c r="AB948" s="113"/>
      <c r="AC948" s="113" t="s">
        <v>1113</v>
      </c>
      <c r="AD948" s="113"/>
      <c r="AE948" s="113"/>
      <c r="AF948" s="113"/>
      <c r="AG948" s="113"/>
      <c r="AH948" s="113"/>
      <c r="AI948" s="113"/>
      <c r="AJ948" s="113"/>
      <c r="AK948" s="319" t="s">
        <v>1113</v>
      </c>
      <c r="AL948" s="113"/>
      <c r="AM948" s="113"/>
      <c r="AN948" s="113"/>
      <c r="AO948" s="44" t="s">
        <v>2334</v>
      </c>
      <c r="AP948" s="43"/>
      <c r="AQ948" s="236" t="str">
        <f>VLOOKUP(Table8[[#This Row],[Instrument]],Def_Targets!$D$73:$E$159,2,FALSE)</f>
        <v>I_Emobility</v>
      </c>
      <c r="AR948" s="233" t="str">
        <f>VLOOKUP(Table8[[#This Row],[Country Code]],Table29[],3,FALSE)</f>
        <v>Non-Annex I</v>
      </c>
      <c r="AS948" s="233" t="str">
        <f>VLOOKUP(Table8[[#This Row],[Country Code]],Table29[],4,FALSE)</f>
        <v>Latin America and the Caribbean</v>
      </c>
      <c r="AT948" s="233" t="str">
        <f>VLOOKUP(Table8[[#This Row],[Country Code]],Table29[],5,FALSE)</f>
        <v>Middle-income</v>
      </c>
      <c r="AU948" s="233" t="str">
        <f>VLOOKUP(Table8[[#This Row],[Country Code]],Table29[],6,FALSE)</f>
        <v>no</v>
      </c>
      <c r="AV948" s="233" t="str">
        <f>VLOOKUP(Table8[[#This Row],[Country Code]],Table29[],7,FALSE)</f>
        <v>no</v>
      </c>
      <c r="AW948" s="233" t="str">
        <f>VLOOKUP(Table8[[#This Row],[Country Code]],Table29[],8,FALSE)</f>
        <v>non-OECD</v>
      </c>
      <c r="AX948" s="233" t="str">
        <f>VLOOKUP(Table8[[#This Row],[Country Code]],Table29[],9,FALSE)</f>
        <v>no</v>
      </c>
      <c r="AY948" s="233" t="str">
        <f>VLOOKUP(Table8[[#This Row],[Country Code]],Table29[],10,FALSE)</f>
        <v>no</v>
      </c>
      <c r="AZ948" s="235">
        <f>VLOOKUP(Table8[[#This Row],[Country Code]],Table29[],23,FALSE)</f>
        <v>22.920141542444</v>
      </c>
      <c r="BA948" s="235">
        <f>VLOOKUP(Table8[[#This Row],[Country Code]],Table29[],24,FALSE)</f>
        <v>5.0392120768310251</v>
      </c>
      <c r="BB948" s="320"/>
      <c r="BC948" s="320"/>
    </row>
    <row r="949" spans="1:55" ht="75" hidden="1" x14ac:dyDescent="0.25">
      <c r="A949" s="360">
        <v>17595</v>
      </c>
      <c r="B949" s="233" t="str">
        <f>VLOOKUP(Table8[[#This Row],[Document ID]],Table1[],2,FALSE)</f>
        <v>FIN</v>
      </c>
      <c r="C949" s="233" t="str">
        <f>VLOOKUP(Table8[[#This Row],[Document ID]],Table1[],3,FALSE)</f>
        <v>Finland</v>
      </c>
      <c r="D949" s="233" t="str">
        <f>VLOOKUP(Table8[[#This Row],[Document ID]],Table1[],5,FALSE)</f>
        <v>LTS</v>
      </c>
      <c r="E949" s="233" t="str">
        <f>VLOOKUP(Table8[[#This Row],[Document ID]],Table1[],7,FALSE)</f>
        <v>LTS</v>
      </c>
      <c r="F949" s="233" t="str">
        <f>VLOOKUP(Table8[[#This Row],[Document ID]],Table1[],8,FALSE)</f>
        <v>LTS 1.0</v>
      </c>
      <c r="G949" s="233" t="str">
        <f>VLOOKUP(Table8[[#This Row],[Document ID]],Table1[],10,FALSE)</f>
        <v>Active</v>
      </c>
      <c r="H949" s="44" t="s">
        <v>2329</v>
      </c>
      <c r="I949" s="44" t="s">
        <v>2330</v>
      </c>
      <c r="J949" s="44" t="s">
        <v>2357</v>
      </c>
      <c r="K949" s="44" t="s">
        <v>3243</v>
      </c>
      <c r="L949" s="44" t="s">
        <v>2333</v>
      </c>
      <c r="M949" s="43">
        <v>22</v>
      </c>
      <c r="N949" s="113" t="s">
        <v>1113</v>
      </c>
      <c r="O949" s="113"/>
      <c r="P949" s="113"/>
      <c r="Q949" s="113"/>
      <c r="R949" s="113"/>
      <c r="S949" s="113"/>
      <c r="T949" s="113"/>
      <c r="U949" s="113"/>
      <c r="V949" s="113"/>
      <c r="W949" s="113"/>
      <c r="X949" s="113"/>
      <c r="Y949" s="113"/>
      <c r="Z949" s="113"/>
      <c r="AA949" s="113"/>
      <c r="AB949" s="113"/>
      <c r="AC949" s="113"/>
      <c r="AD949" s="113"/>
      <c r="AE949" s="113"/>
      <c r="AF949" s="113"/>
      <c r="AG949" s="113"/>
      <c r="AH949" s="113"/>
      <c r="AI949" s="113"/>
      <c r="AJ949" s="113"/>
      <c r="AK949" s="319" t="s">
        <v>1113</v>
      </c>
      <c r="AL949" s="113"/>
      <c r="AM949" s="113"/>
      <c r="AN949" s="113"/>
      <c r="AO949" s="44" t="s">
        <v>2334</v>
      </c>
      <c r="AP949" s="43"/>
      <c r="AQ949" s="236" t="str">
        <f>VLOOKUP(Table8[[#This Row],[Instrument]],Def_Targets!$D$73:$E$159,2,FALSE)</f>
        <v>I_Biofuel</v>
      </c>
      <c r="AR949" s="233" t="str">
        <f>VLOOKUP(Table8[[#This Row],[Country Code]],Table29[],3,FALSE)</f>
        <v>Annex I</v>
      </c>
      <c r="AS949" s="233" t="str">
        <f>VLOOKUP(Table8[[#This Row],[Country Code]],Table29[],4,FALSE)</f>
        <v>Europe</v>
      </c>
      <c r="AT949" s="233" t="str">
        <f>VLOOKUP(Table8[[#This Row],[Country Code]],Table29[],5,FALSE)</f>
        <v>High-income</v>
      </c>
      <c r="AU949" s="233" t="str">
        <f>VLOOKUP(Table8[[#This Row],[Country Code]],Table29[],6,FALSE)</f>
        <v>no</v>
      </c>
      <c r="AV949" s="233" t="str">
        <f>VLOOKUP(Table8[[#This Row],[Country Code]],Table29[],7,FALSE)</f>
        <v>no</v>
      </c>
      <c r="AW949" s="233" t="str">
        <f>VLOOKUP(Table8[[#This Row],[Country Code]],Table29[],8,FALSE)</f>
        <v>OECD</v>
      </c>
      <c r="AX949" s="233" t="str">
        <f>VLOOKUP(Table8[[#This Row],[Country Code]],Table29[],9,FALSE)</f>
        <v>EU27</v>
      </c>
      <c r="AY949" s="233" t="str">
        <f>VLOOKUP(Table8[[#This Row],[Country Code]],Table29[],10,FALSE)</f>
        <v>no</v>
      </c>
      <c r="AZ949" s="235">
        <f>VLOOKUP(Table8[[#This Row],[Country Code]],Table29[],23,FALSE)</f>
        <v>43.453536797250003</v>
      </c>
      <c r="BA949" s="235">
        <f>VLOOKUP(Table8[[#This Row],[Country Code]],Table29[],24,FALSE)</f>
        <v>9.0648298110143131</v>
      </c>
      <c r="BB949" s="320"/>
      <c r="BC949" s="320"/>
    </row>
    <row r="950" spans="1:55" hidden="1" x14ac:dyDescent="0.25">
      <c r="A950" s="360">
        <v>17595</v>
      </c>
      <c r="B950" s="233" t="str">
        <f>VLOOKUP(Table8[[#This Row],[Document ID]],Table1[],2,FALSE)</f>
        <v>FIN</v>
      </c>
      <c r="C950" s="233" t="str">
        <f>VLOOKUP(Table8[[#This Row],[Document ID]],Table1[],3,FALSE)</f>
        <v>Finland</v>
      </c>
      <c r="D950" s="233" t="str">
        <f>VLOOKUP(Table8[[#This Row],[Document ID]],Table1[],5,FALSE)</f>
        <v>LTS</v>
      </c>
      <c r="E950" s="233" t="str">
        <f>VLOOKUP(Table8[[#This Row],[Document ID]],Table1[],7,FALSE)</f>
        <v>LTS</v>
      </c>
      <c r="F950" s="233" t="str">
        <f>VLOOKUP(Table8[[#This Row],[Document ID]],Table1[],8,FALSE)</f>
        <v>LTS 1.0</v>
      </c>
      <c r="G950" s="233" t="str">
        <f>VLOOKUP(Table8[[#This Row],[Document ID]],Table1[],10,FALSE)</f>
        <v>Active</v>
      </c>
      <c r="H950" s="43" t="s">
        <v>2358</v>
      </c>
      <c r="I950" s="43" t="s">
        <v>2359</v>
      </c>
      <c r="J950" s="44" t="s">
        <v>2360</v>
      </c>
      <c r="K950" s="44" t="s">
        <v>3244</v>
      </c>
      <c r="L950" s="44" t="s">
        <v>2333</v>
      </c>
      <c r="M950" s="43">
        <v>22</v>
      </c>
      <c r="N950" s="113"/>
      <c r="O950" s="113"/>
      <c r="P950" s="113"/>
      <c r="Q950" s="113"/>
      <c r="R950" s="113"/>
      <c r="S950" s="113" t="s">
        <v>1113</v>
      </c>
      <c r="T950" s="113"/>
      <c r="U950" s="113"/>
      <c r="V950" s="113"/>
      <c r="W950" s="113"/>
      <c r="X950" s="113"/>
      <c r="Y950" s="113"/>
      <c r="Z950" s="113"/>
      <c r="AA950" s="113"/>
      <c r="AB950" s="113"/>
      <c r="AC950" s="113"/>
      <c r="AD950" s="113"/>
      <c r="AE950" s="113"/>
      <c r="AF950" s="113"/>
      <c r="AG950" s="113"/>
      <c r="AH950" s="113"/>
      <c r="AI950" s="113"/>
      <c r="AJ950" s="113"/>
      <c r="AK950" s="319" t="s">
        <v>1113</v>
      </c>
      <c r="AL950" s="113"/>
      <c r="AM950" s="113"/>
      <c r="AN950" s="113"/>
      <c r="AO950" s="44" t="s">
        <v>2334</v>
      </c>
      <c r="AP950" s="43"/>
      <c r="AQ950" s="236" t="str">
        <f>VLOOKUP(Table8[[#This Row],[Instrument]],Def_Targets!$D$73:$E$159,2,FALSE)</f>
        <v>I_Emobility</v>
      </c>
      <c r="AR950" s="233" t="str">
        <f>VLOOKUP(Table8[[#This Row],[Country Code]],Table29[],3,FALSE)</f>
        <v>Annex I</v>
      </c>
      <c r="AS950" s="233" t="str">
        <f>VLOOKUP(Table8[[#This Row],[Country Code]],Table29[],4,FALSE)</f>
        <v>Europe</v>
      </c>
      <c r="AT950" s="233" t="str">
        <f>VLOOKUP(Table8[[#This Row],[Country Code]],Table29[],5,FALSE)</f>
        <v>High-income</v>
      </c>
      <c r="AU950" s="233" t="str">
        <f>VLOOKUP(Table8[[#This Row],[Country Code]],Table29[],6,FALSE)</f>
        <v>no</v>
      </c>
      <c r="AV950" s="233" t="str">
        <f>VLOOKUP(Table8[[#This Row],[Country Code]],Table29[],7,FALSE)</f>
        <v>no</v>
      </c>
      <c r="AW950" s="233" t="str">
        <f>VLOOKUP(Table8[[#This Row],[Country Code]],Table29[],8,FALSE)</f>
        <v>OECD</v>
      </c>
      <c r="AX950" s="233" t="str">
        <f>VLOOKUP(Table8[[#This Row],[Country Code]],Table29[],9,FALSE)</f>
        <v>EU27</v>
      </c>
      <c r="AY950" s="233" t="str">
        <f>VLOOKUP(Table8[[#This Row],[Country Code]],Table29[],10,FALSE)</f>
        <v>no</v>
      </c>
      <c r="AZ950" s="235">
        <f>VLOOKUP(Table8[[#This Row],[Country Code]],Table29[],23,FALSE)</f>
        <v>43.453536797250003</v>
      </c>
      <c r="BA950" s="235">
        <f>VLOOKUP(Table8[[#This Row],[Country Code]],Table29[],24,FALSE)</f>
        <v>9.0648298110143131</v>
      </c>
      <c r="BB950" s="320"/>
      <c r="BC950" s="320"/>
    </row>
    <row r="951" spans="1:55" hidden="1" x14ac:dyDescent="0.25">
      <c r="A951" s="360">
        <v>17595</v>
      </c>
      <c r="B951" s="233" t="str">
        <f>VLOOKUP(Table8[[#This Row],[Document ID]],Table1[],2,FALSE)</f>
        <v>FIN</v>
      </c>
      <c r="C951" s="233" t="str">
        <f>VLOOKUP(Table8[[#This Row],[Document ID]],Table1[],3,FALSE)</f>
        <v>Finland</v>
      </c>
      <c r="D951" s="233" t="str">
        <f>VLOOKUP(Table8[[#This Row],[Document ID]],Table1[],5,FALSE)</f>
        <v>LTS</v>
      </c>
      <c r="E951" s="233" t="str">
        <f>VLOOKUP(Table8[[#This Row],[Document ID]],Table1[],7,FALSE)</f>
        <v>LTS</v>
      </c>
      <c r="F951" s="233" t="str">
        <f>VLOOKUP(Table8[[#This Row],[Document ID]],Table1[],8,FALSE)</f>
        <v>LTS 1.0</v>
      </c>
      <c r="G951" s="233" t="str">
        <f>VLOOKUP(Table8[[#This Row],[Document ID]],Table1[],10,FALSE)</f>
        <v>Active</v>
      </c>
      <c r="H951" s="44" t="s">
        <v>2329</v>
      </c>
      <c r="I951" s="44" t="s">
        <v>2330</v>
      </c>
      <c r="J951" s="44" t="s">
        <v>2363</v>
      </c>
      <c r="K951" s="44" t="s">
        <v>3244</v>
      </c>
      <c r="L951" s="44" t="s">
        <v>2333</v>
      </c>
      <c r="M951" s="43">
        <v>22</v>
      </c>
      <c r="N951" s="113"/>
      <c r="O951" s="113"/>
      <c r="P951" s="113"/>
      <c r="Q951" s="113"/>
      <c r="R951" s="113"/>
      <c r="S951" s="113" t="s">
        <v>1113</v>
      </c>
      <c r="T951" s="113"/>
      <c r="U951" s="113"/>
      <c r="V951" s="113"/>
      <c r="W951" s="113"/>
      <c r="X951" s="113"/>
      <c r="Y951" s="113"/>
      <c r="Z951" s="113"/>
      <c r="AA951" s="113"/>
      <c r="AB951" s="113"/>
      <c r="AC951" s="113"/>
      <c r="AD951" s="113"/>
      <c r="AE951" s="113"/>
      <c r="AF951" s="113"/>
      <c r="AG951" s="113"/>
      <c r="AH951" s="113"/>
      <c r="AI951" s="113"/>
      <c r="AJ951" s="113"/>
      <c r="AK951" s="319" t="s">
        <v>1113</v>
      </c>
      <c r="AL951" s="113"/>
      <c r="AM951" s="113"/>
      <c r="AN951" s="113"/>
      <c r="AO951" s="44" t="s">
        <v>2334</v>
      </c>
      <c r="AP951" s="43"/>
      <c r="AQ951" s="236" t="str">
        <f>VLOOKUP(Table8[[#This Row],[Instrument]],Def_Targets!$D$73:$E$159,2,FALSE)</f>
        <v>I_LPGCNGLNG</v>
      </c>
      <c r="AR951" s="233" t="str">
        <f>VLOOKUP(Table8[[#This Row],[Country Code]],Table29[],3,FALSE)</f>
        <v>Annex I</v>
      </c>
      <c r="AS951" s="233" t="str">
        <f>VLOOKUP(Table8[[#This Row],[Country Code]],Table29[],4,FALSE)</f>
        <v>Europe</v>
      </c>
      <c r="AT951" s="233" t="str">
        <f>VLOOKUP(Table8[[#This Row],[Country Code]],Table29[],5,FALSE)</f>
        <v>High-income</v>
      </c>
      <c r="AU951" s="233" t="str">
        <f>VLOOKUP(Table8[[#This Row],[Country Code]],Table29[],6,FALSE)</f>
        <v>no</v>
      </c>
      <c r="AV951" s="233" t="str">
        <f>VLOOKUP(Table8[[#This Row],[Country Code]],Table29[],7,FALSE)</f>
        <v>no</v>
      </c>
      <c r="AW951" s="233" t="str">
        <f>VLOOKUP(Table8[[#This Row],[Country Code]],Table29[],8,FALSE)</f>
        <v>OECD</v>
      </c>
      <c r="AX951" s="233" t="str">
        <f>VLOOKUP(Table8[[#This Row],[Country Code]],Table29[],9,FALSE)</f>
        <v>EU27</v>
      </c>
      <c r="AY951" s="233" t="str">
        <f>VLOOKUP(Table8[[#This Row],[Country Code]],Table29[],10,FALSE)</f>
        <v>no</v>
      </c>
      <c r="AZ951" s="235">
        <f>VLOOKUP(Table8[[#This Row],[Country Code]],Table29[],23,FALSE)</f>
        <v>43.453536797250003</v>
      </c>
      <c r="BA951" s="235">
        <f>VLOOKUP(Table8[[#This Row],[Country Code]],Table29[],24,FALSE)</f>
        <v>9.0648298110143131</v>
      </c>
      <c r="BB951" s="320"/>
      <c r="BC951" s="320"/>
    </row>
    <row r="952" spans="1:55" hidden="1" x14ac:dyDescent="0.25">
      <c r="A952" s="360">
        <v>17595</v>
      </c>
      <c r="B952" s="233" t="str">
        <f>VLOOKUP(Table8[[#This Row],[Document ID]],Table1[],2,FALSE)</f>
        <v>FIN</v>
      </c>
      <c r="C952" s="233" t="str">
        <f>VLOOKUP(Table8[[#This Row],[Document ID]],Table1[],3,FALSE)</f>
        <v>Finland</v>
      </c>
      <c r="D952" s="233" t="str">
        <f>VLOOKUP(Table8[[#This Row],[Document ID]],Table1[],5,FALSE)</f>
        <v>LTS</v>
      </c>
      <c r="E952" s="233" t="str">
        <f>VLOOKUP(Table8[[#This Row],[Document ID]],Table1[],7,FALSE)</f>
        <v>LTS</v>
      </c>
      <c r="F952" s="233" t="str">
        <f>VLOOKUP(Table8[[#This Row],[Document ID]],Table1[],8,FALSE)</f>
        <v>LTS 1.0</v>
      </c>
      <c r="G952" s="233" t="str">
        <f>VLOOKUP(Table8[[#This Row],[Document ID]],Table1[],10,FALSE)</f>
        <v>Active</v>
      </c>
      <c r="H952" s="44" t="s">
        <v>2329</v>
      </c>
      <c r="I952" s="44" t="s">
        <v>2330</v>
      </c>
      <c r="J952" s="44" t="s">
        <v>2391</v>
      </c>
      <c r="K952" s="44" t="s">
        <v>3244</v>
      </c>
      <c r="L952" s="44" t="s">
        <v>2333</v>
      </c>
      <c r="M952" s="43">
        <v>22</v>
      </c>
      <c r="N952" s="113"/>
      <c r="O952" s="113"/>
      <c r="P952" s="113"/>
      <c r="Q952" s="113"/>
      <c r="R952" s="113"/>
      <c r="S952" s="113" t="s">
        <v>1113</v>
      </c>
      <c r="T952" s="113"/>
      <c r="U952" s="113"/>
      <c r="V952" s="113"/>
      <c r="W952" s="113"/>
      <c r="X952" s="113"/>
      <c r="Y952" s="113"/>
      <c r="Z952" s="113"/>
      <c r="AA952" s="113"/>
      <c r="AB952" s="113"/>
      <c r="AC952" s="113"/>
      <c r="AD952" s="113"/>
      <c r="AE952" s="113"/>
      <c r="AF952" s="113"/>
      <c r="AG952" s="113"/>
      <c r="AH952" s="113"/>
      <c r="AI952" s="113"/>
      <c r="AJ952" s="113"/>
      <c r="AK952" s="319" t="s">
        <v>1113</v>
      </c>
      <c r="AL952" s="113"/>
      <c r="AM952" s="113"/>
      <c r="AN952" s="113"/>
      <c r="AO952" s="44" t="s">
        <v>2334</v>
      </c>
      <c r="AP952" s="43"/>
      <c r="AQ952" s="236" t="str">
        <f>VLOOKUP(Table8[[#This Row],[Instrument]],Def_Targets!$D$73:$E$159,2,FALSE)</f>
        <v>I_Hydrogen</v>
      </c>
      <c r="AR952" s="233" t="str">
        <f>VLOOKUP(Table8[[#This Row],[Country Code]],Table29[],3,FALSE)</f>
        <v>Annex I</v>
      </c>
      <c r="AS952" s="233" t="str">
        <f>VLOOKUP(Table8[[#This Row],[Country Code]],Table29[],4,FALSE)</f>
        <v>Europe</v>
      </c>
      <c r="AT952" s="233" t="str">
        <f>VLOOKUP(Table8[[#This Row],[Country Code]],Table29[],5,FALSE)</f>
        <v>High-income</v>
      </c>
      <c r="AU952" s="233" t="str">
        <f>VLOOKUP(Table8[[#This Row],[Country Code]],Table29[],6,FALSE)</f>
        <v>no</v>
      </c>
      <c r="AV952" s="233" t="str">
        <f>VLOOKUP(Table8[[#This Row],[Country Code]],Table29[],7,FALSE)</f>
        <v>no</v>
      </c>
      <c r="AW952" s="233" t="str">
        <f>VLOOKUP(Table8[[#This Row],[Country Code]],Table29[],8,FALSE)</f>
        <v>OECD</v>
      </c>
      <c r="AX952" s="233" t="str">
        <f>VLOOKUP(Table8[[#This Row],[Country Code]],Table29[],9,FALSE)</f>
        <v>EU27</v>
      </c>
      <c r="AY952" s="233" t="str">
        <f>VLOOKUP(Table8[[#This Row],[Country Code]],Table29[],10,FALSE)</f>
        <v>no</v>
      </c>
      <c r="AZ952" s="235">
        <f>VLOOKUP(Table8[[#This Row],[Country Code]],Table29[],23,FALSE)</f>
        <v>43.453536797250003</v>
      </c>
      <c r="BA952" s="235">
        <f>VLOOKUP(Table8[[#This Row],[Country Code]],Table29[],24,FALSE)</f>
        <v>9.0648298110143131</v>
      </c>
      <c r="BB952" s="320"/>
      <c r="BC952" s="320"/>
    </row>
    <row r="953" spans="1:55" ht="60" hidden="1" x14ac:dyDescent="0.25">
      <c r="A953" s="360">
        <v>17595</v>
      </c>
      <c r="B953" s="233" t="str">
        <f>VLOOKUP(Table8[[#This Row],[Document ID]],Table1[],2,FALSE)</f>
        <v>FIN</v>
      </c>
      <c r="C953" s="233" t="str">
        <f>VLOOKUP(Table8[[#This Row],[Document ID]],Table1[],3,FALSE)</f>
        <v>Finland</v>
      </c>
      <c r="D953" s="233" t="str">
        <f>VLOOKUP(Table8[[#This Row],[Document ID]],Table1[],5,FALSE)</f>
        <v>LTS</v>
      </c>
      <c r="E953" s="233" t="str">
        <f>VLOOKUP(Table8[[#This Row],[Document ID]],Table1[],7,FALSE)</f>
        <v>LTS</v>
      </c>
      <c r="F953" s="233" t="str">
        <f>VLOOKUP(Table8[[#This Row],[Document ID]],Table1[],8,FALSE)</f>
        <v>LTS 1.0</v>
      </c>
      <c r="G953" s="233" t="str">
        <f>VLOOKUP(Table8[[#This Row],[Document ID]],Table1[],10,FALSE)</f>
        <v>Active</v>
      </c>
      <c r="H953" s="44" t="s">
        <v>2329</v>
      </c>
      <c r="I953" s="44" t="s">
        <v>2330</v>
      </c>
      <c r="J953" s="44" t="s">
        <v>2357</v>
      </c>
      <c r="K953" s="44" t="s">
        <v>3245</v>
      </c>
      <c r="L953" s="44" t="s">
        <v>2333</v>
      </c>
      <c r="M953" s="43">
        <v>22</v>
      </c>
      <c r="N953" s="113" t="s">
        <v>1113</v>
      </c>
      <c r="O953" s="113"/>
      <c r="P953" s="113"/>
      <c r="Q953" s="113"/>
      <c r="R953" s="113"/>
      <c r="S953" s="113"/>
      <c r="T953" s="113"/>
      <c r="U953" s="113"/>
      <c r="V953" s="113"/>
      <c r="W953" s="113"/>
      <c r="X953" s="113"/>
      <c r="Y953" s="113"/>
      <c r="Z953" s="113"/>
      <c r="AA953" s="113"/>
      <c r="AB953" s="113"/>
      <c r="AC953" s="113"/>
      <c r="AD953" s="113"/>
      <c r="AE953" s="113"/>
      <c r="AF953" s="113"/>
      <c r="AG953" s="113"/>
      <c r="AH953" s="113"/>
      <c r="AI953" s="113"/>
      <c r="AJ953" s="113"/>
      <c r="AK953" s="319" t="s">
        <v>1113</v>
      </c>
      <c r="AL953" s="113"/>
      <c r="AM953" s="113"/>
      <c r="AN953" s="113"/>
      <c r="AO953" s="44" t="s">
        <v>2334</v>
      </c>
      <c r="AP953" s="43"/>
      <c r="AQ953" s="236" t="str">
        <f>VLOOKUP(Table8[[#This Row],[Instrument]],Def_Targets!$D$73:$E$159,2,FALSE)</f>
        <v>I_Biofuel</v>
      </c>
      <c r="AR953" s="233" t="str">
        <f>VLOOKUP(Table8[[#This Row],[Country Code]],Table29[],3,FALSE)</f>
        <v>Annex I</v>
      </c>
      <c r="AS953" s="233" t="str">
        <f>VLOOKUP(Table8[[#This Row],[Country Code]],Table29[],4,FALSE)</f>
        <v>Europe</v>
      </c>
      <c r="AT953" s="233" t="str">
        <f>VLOOKUP(Table8[[#This Row],[Country Code]],Table29[],5,FALSE)</f>
        <v>High-income</v>
      </c>
      <c r="AU953" s="233" t="str">
        <f>VLOOKUP(Table8[[#This Row],[Country Code]],Table29[],6,FALSE)</f>
        <v>no</v>
      </c>
      <c r="AV953" s="233" t="str">
        <f>VLOOKUP(Table8[[#This Row],[Country Code]],Table29[],7,FALSE)</f>
        <v>no</v>
      </c>
      <c r="AW953" s="233" t="str">
        <f>VLOOKUP(Table8[[#This Row],[Country Code]],Table29[],8,FALSE)</f>
        <v>OECD</v>
      </c>
      <c r="AX953" s="233" t="str">
        <f>VLOOKUP(Table8[[#This Row],[Country Code]],Table29[],9,FALSE)</f>
        <v>EU27</v>
      </c>
      <c r="AY953" s="233" t="str">
        <f>VLOOKUP(Table8[[#This Row],[Country Code]],Table29[],10,FALSE)</f>
        <v>no</v>
      </c>
      <c r="AZ953" s="235">
        <f>VLOOKUP(Table8[[#This Row],[Country Code]],Table29[],23,FALSE)</f>
        <v>43.453536797250003</v>
      </c>
      <c r="BA953" s="235">
        <f>VLOOKUP(Table8[[#This Row],[Country Code]],Table29[],24,FALSE)</f>
        <v>9.0648298110143131</v>
      </c>
      <c r="BB953" s="320"/>
      <c r="BC953" s="320"/>
    </row>
    <row r="954" spans="1:55" ht="30" hidden="1" x14ac:dyDescent="0.25">
      <c r="A954" s="360">
        <v>17595</v>
      </c>
      <c r="B954" s="233" t="str">
        <f>VLOOKUP(Table8[[#This Row],[Document ID]],Table1[],2,FALSE)</f>
        <v>FIN</v>
      </c>
      <c r="C954" s="233" t="str">
        <f>VLOOKUP(Table8[[#This Row],[Document ID]],Table1[],3,FALSE)</f>
        <v>Finland</v>
      </c>
      <c r="D954" s="233" t="str">
        <f>VLOOKUP(Table8[[#This Row],[Document ID]],Table1[],5,FALSE)</f>
        <v>LTS</v>
      </c>
      <c r="E954" s="233" t="str">
        <f>VLOOKUP(Table8[[#This Row],[Document ID]],Table1[],7,FALSE)</f>
        <v>LTS</v>
      </c>
      <c r="F954" s="233" t="str">
        <f>VLOOKUP(Table8[[#This Row],[Document ID]],Table1[],8,FALSE)</f>
        <v>LTS 1.0</v>
      </c>
      <c r="G954" s="233" t="str">
        <f>VLOOKUP(Table8[[#This Row],[Document ID]],Table1[],10,FALSE)</f>
        <v>Active</v>
      </c>
      <c r="H954" s="43" t="s">
        <v>2484</v>
      </c>
      <c r="I954" s="43" t="s">
        <v>2488</v>
      </c>
      <c r="J954" s="44" t="s">
        <v>2684</v>
      </c>
      <c r="K954" s="44" t="s">
        <v>3246</v>
      </c>
      <c r="L954" s="44" t="s">
        <v>2333</v>
      </c>
      <c r="M954" s="43">
        <v>22</v>
      </c>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t="s">
        <v>1113</v>
      </c>
      <c r="AI954" s="113"/>
      <c r="AJ954" s="113"/>
      <c r="AK954" s="319" t="s">
        <v>1113</v>
      </c>
      <c r="AL954" s="113"/>
      <c r="AM954" s="113"/>
      <c r="AN954" s="113"/>
      <c r="AO954" s="44" t="s">
        <v>2334</v>
      </c>
      <c r="AP954" s="43"/>
      <c r="AQ954" s="236" t="str">
        <f>VLOOKUP(Table8[[#This Row],[Instrument]],Def_Targets!$D$73:$E$159,2,FALSE)</f>
        <v>I_Jetfuel</v>
      </c>
      <c r="AR954" s="233" t="str">
        <f>VLOOKUP(Table8[[#This Row],[Country Code]],Table29[],3,FALSE)</f>
        <v>Annex I</v>
      </c>
      <c r="AS954" s="233" t="str">
        <f>VLOOKUP(Table8[[#This Row],[Country Code]],Table29[],4,FALSE)</f>
        <v>Europe</v>
      </c>
      <c r="AT954" s="233" t="str">
        <f>VLOOKUP(Table8[[#This Row],[Country Code]],Table29[],5,FALSE)</f>
        <v>High-income</v>
      </c>
      <c r="AU954" s="233" t="str">
        <f>VLOOKUP(Table8[[#This Row],[Country Code]],Table29[],6,FALSE)</f>
        <v>no</v>
      </c>
      <c r="AV954" s="233" t="str">
        <f>VLOOKUP(Table8[[#This Row],[Country Code]],Table29[],7,FALSE)</f>
        <v>no</v>
      </c>
      <c r="AW954" s="233" t="str">
        <f>VLOOKUP(Table8[[#This Row],[Country Code]],Table29[],8,FALSE)</f>
        <v>OECD</v>
      </c>
      <c r="AX954" s="233" t="str">
        <f>VLOOKUP(Table8[[#This Row],[Country Code]],Table29[],9,FALSE)</f>
        <v>EU27</v>
      </c>
      <c r="AY954" s="233" t="str">
        <f>VLOOKUP(Table8[[#This Row],[Country Code]],Table29[],10,FALSE)</f>
        <v>no</v>
      </c>
      <c r="AZ954" s="235">
        <f>VLOOKUP(Table8[[#This Row],[Country Code]],Table29[],23,FALSE)</f>
        <v>43.453536797250003</v>
      </c>
      <c r="BA954" s="235">
        <f>VLOOKUP(Table8[[#This Row],[Country Code]],Table29[],24,FALSE)</f>
        <v>9.0648298110143131</v>
      </c>
      <c r="BB954" s="320"/>
      <c r="BC954" s="320"/>
    </row>
    <row r="955" spans="1:55" ht="60" hidden="1" x14ac:dyDescent="0.25">
      <c r="A955" s="360">
        <v>17597</v>
      </c>
      <c r="B955" s="233" t="str">
        <f>VLOOKUP(Table8[[#This Row],[Document ID]],Table1[],2,FALSE)</f>
        <v>FRA</v>
      </c>
      <c r="C955" s="233" t="str">
        <f>VLOOKUP(Table8[[#This Row],[Document ID]],Table1[],3,FALSE)</f>
        <v>France</v>
      </c>
      <c r="D955" s="233" t="str">
        <f>VLOOKUP(Table8[[#This Row],[Document ID]],Table1[],5,FALSE)</f>
        <v>LTS</v>
      </c>
      <c r="E955" s="233" t="str">
        <f>VLOOKUP(Table8[[#This Row],[Document ID]],Table1[],7,FALSE)</f>
        <v>LTS</v>
      </c>
      <c r="F955" s="233" t="str">
        <f>VLOOKUP(Table8[[#This Row],[Document ID]],Table1[],8,FALSE)</f>
        <v>LTS 1.0</v>
      </c>
      <c r="G955" s="233" t="str">
        <f>VLOOKUP(Table8[[#This Row],[Document ID]],Table1[],10,FALSE)</f>
        <v>Active</v>
      </c>
      <c r="H955" s="44" t="s">
        <v>2338</v>
      </c>
      <c r="I955" s="44" t="s">
        <v>2339</v>
      </c>
      <c r="J955" s="44" t="s">
        <v>2413</v>
      </c>
      <c r="K955" s="44" t="s">
        <v>3247</v>
      </c>
      <c r="L955" s="44" t="s">
        <v>2333</v>
      </c>
      <c r="M955" s="43">
        <v>19</v>
      </c>
      <c r="N955" s="113"/>
      <c r="O955" s="113"/>
      <c r="P955" s="113"/>
      <c r="Q955" s="113"/>
      <c r="R955" s="113"/>
      <c r="S955" s="113" t="s">
        <v>1113</v>
      </c>
      <c r="T955" s="113"/>
      <c r="U955" s="113"/>
      <c r="V955" s="113"/>
      <c r="W955" s="113"/>
      <c r="X955" s="113"/>
      <c r="Y955" s="113"/>
      <c r="Z955" s="113"/>
      <c r="AA955" s="113"/>
      <c r="AB955" s="113"/>
      <c r="AC955" s="113"/>
      <c r="AD955" s="113"/>
      <c r="AE955" s="113"/>
      <c r="AF955" s="113"/>
      <c r="AG955" s="113"/>
      <c r="AH955" s="113"/>
      <c r="AI955" s="113"/>
      <c r="AJ955" s="113"/>
      <c r="AK955" s="319" t="s">
        <v>1113</v>
      </c>
      <c r="AL955" s="113"/>
      <c r="AM955" s="113"/>
      <c r="AN955" s="113"/>
      <c r="AO955" s="44" t="s">
        <v>2334</v>
      </c>
      <c r="AP955" s="43"/>
      <c r="AQ955" s="236" t="str">
        <f>VLOOKUP(Table8[[#This Row],[Instrument]],Def_Targets!$D$73:$E$159,2,FALSE)</f>
        <v>I_Vehicleeff</v>
      </c>
      <c r="AR955" s="233" t="str">
        <f>VLOOKUP(Table8[[#This Row],[Country Code]],Table29[],3,FALSE)</f>
        <v>Annex I</v>
      </c>
      <c r="AS955" s="233" t="str">
        <f>VLOOKUP(Table8[[#This Row],[Country Code]],Table29[],4,FALSE)</f>
        <v>Europe</v>
      </c>
      <c r="AT955" s="233" t="str">
        <f>VLOOKUP(Table8[[#This Row],[Country Code]],Table29[],5,FALSE)</f>
        <v>High-income</v>
      </c>
      <c r="AU955" s="233" t="str">
        <f>VLOOKUP(Table8[[#This Row],[Country Code]],Table29[],6,FALSE)</f>
        <v>G20</v>
      </c>
      <c r="AV955" s="233" t="str">
        <f>VLOOKUP(Table8[[#This Row],[Country Code]],Table29[],7,FALSE)</f>
        <v>G7</v>
      </c>
      <c r="AW955" s="233" t="str">
        <f>VLOOKUP(Table8[[#This Row],[Country Code]],Table29[],8,FALSE)</f>
        <v>OECD</v>
      </c>
      <c r="AX955" s="233" t="str">
        <f>VLOOKUP(Table8[[#This Row],[Country Code]],Table29[],9,FALSE)</f>
        <v>EU27</v>
      </c>
      <c r="AY955" s="233" t="str">
        <f>VLOOKUP(Table8[[#This Row],[Country Code]],Table29[],10,FALSE)</f>
        <v>no</v>
      </c>
      <c r="AZ955" s="235">
        <f>VLOOKUP(Table8[[#This Row],[Country Code]],Table29[],23,FALSE)</f>
        <v>385.52011950564003</v>
      </c>
      <c r="BA955" s="235">
        <f>VLOOKUP(Table8[[#This Row],[Country Code]],Table29[],24,FALSE)</f>
        <v>123.5644117217294</v>
      </c>
      <c r="BB955" s="320"/>
      <c r="BC955" s="320"/>
    </row>
    <row r="956" spans="1:55" ht="135" hidden="1" x14ac:dyDescent="0.25">
      <c r="A956" s="373">
        <v>17597</v>
      </c>
      <c r="B956" s="233" t="str">
        <f>VLOOKUP(Table8[[#This Row],[Document ID]],Table1[],2,FALSE)</f>
        <v>FRA</v>
      </c>
      <c r="C956" s="233" t="str">
        <f>VLOOKUP(Table8[[#This Row],[Document ID]],Table1[],3,FALSE)</f>
        <v>France</v>
      </c>
      <c r="D956" s="243" t="str">
        <f>VLOOKUP(Table8[[#This Row],[Document ID]],Table1[],5,FALSE)</f>
        <v>LTS</v>
      </c>
      <c r="E956" s="233" t="str">
        <f>VLOOKUP(Table8[[#This Row],[Document ID]],Table1[],7,FALSE)</f>
        <v>LTS</v>
      </c>
      <c r="F956" s="233" t="str">
        <f>VLOOKUP(Table8[[#This Row],[Document ID]],Table1[],8,FALSE)</f>
        <v>LTS 1.0</v>
      </c>
      <c r="G956" s="233" t="str">
        <f>VLOOKUP(Table8[[#This Row],[Document ID]],Table1[],10,FALSE)</f>
        <v>Active</v>
      </c>
      <c r="H956" s="44" t="s">
        <v>2338</v>
      </c>
      <c r="I956" s="44" t="s">
        <v>2339</v>
      </c>
      <c r="J956" s="44" t="s">
        <v>2413</v>
      </c>
      <c r="K956" s="44" t="s">
        <v>3248</v>
      </c>
      <c r="L956" s="44" t="s">
        <v>2333</v>
      </c>
      <c r="M956" s="43">
        <v>73</v>
      </c>
      <c r="N956" s="113"/>
      <c r="O956" s="113"/>
      <c r="P956" s="113"/>
      <c r="Q956" s="113"/>
      <c r="R956" s="113"/>
      <c r="S956" s="113"/>
      <c r="T956" s="113"/>
      <c r="U956" s="113" t="s">
        <v>1113</v>
      </c>
      <c r="V956" s="113"/>
      <c r="W956" s="113"/>
      <c r="X956" s="113" t="s">
        <v>1113</v>
      </c>
      <c r="Y956" s="113"/>
      <c r="Z956" s="113"/>
      <c r="AA956" s="113"/>
      <c r="AB956" s="113"/>
      <c r="AC956" s="113"/>
      <c r="AD956" s="113"/>
      <c r="AE956" s="113"/>
      <c r="AF956" s="113"/>
      <c r="AG956" s="113"/>
      <c r="AH956" s="113"/>
      <c r="AI956" s="113"/>
      <c r="AJ956" s="113"/>
      <c r="AK956" s="319" t="s">
        <v>1113</v>
      </c>
      <c r="AL956" s="113"/>
      <c r="AM956" s="113"/>
      <c r="AN956" s="113"/>
      <c r="AO956" s="44" t="s">
        <v>2334</v>
      </c>
      <c r="AP956" s="43"/>
      <c r="AQ956" s="236" t="str">
        <f>VLOOKUP(Table8[[#This Row],[Instrument]],Def_Targets!$D$73:$E$159,2,FALSE)</f>
        <v>I_Vehicleeff</v>
      </c>
      <c r="AR956" s="233" t="str">
        <f>VLOOKUP(Table8[[#This Row],[Country Code]],Table29[],3,FALSE)</f>
        <v>Annex I</v>
      </c>
      <c r="AS956" s="233" t="str">
        <f>VLOOKUP(Table8[[#This Row],[Country Code]],Table29[],4,FALSE)</f>
        <v>Europe</v>
      </c>
      <c r="AT956" s="233" t="str">
        <f>VLOOKUP(Table8[[#This Row],[Country Code]],Table29[],5,FALSE)</f>
        <v>High-income</v>
      </c>
      <c r="AU956" s="233" t="str">
        <f>VLOOKUP(Table8[[#This Row],[Country Code]],Table29[],6,FALSE)</f>
        <v>G20</v>
      </c>
      <c r="AV956" s="233" t="str">
        <f>VLOOKUP(Table8[[#This Row],[Country Code]],Table29[],7,FALSE)</f>
        <v>G7</v>
      </c>
      <c r="AW956" s="233" t="str">
        <f>VLOOKUP(Table8[[#This Row],[Country Code]],Table29[],8,FALSE)</f>
        <v>OECD</v>
      </c>
      <c r="AX956" s="233" t="str">
        <f>VLOOKUP(Table8[[#This Row],[Country Code]],Table29[],9,FALSE)</f>
        <v>EU27</v>
      </c>
      <c r="AY956" s="233" t="str">
        <f>VLOOKUP(Table8[[#This Row],[Country Code]],Table29[],10,FALSE)</f>
        <v>no</v>
      </c>
      <c r="AZ956" s="235">
        <f>VLOOKUP(Table8[[#This Row],[Country Code]],Table29[],23,FALSE)</f>
        <v>385.52011950564003</v>
      </c>
      <c r="BA956" s="235">
        <f>VLOOKUP(Table8[[#This Row],[Country Code]],Table29[],24,FALSE)</f>
        <v>123.5644117217294</v>
      </c>
      <c r="BB956" s="320"/>
      <c r="BC956" s="320"/>
    </row>
    <row r="957" spans="1:55" ht="45" hidden="1" x14ac:dyDescent="0.25">
      <c r="A957" s="373">
        <v>17597</v>
      </c>
      <c r="B957" s="233" t="str">
        <f>VLOOKUP(Table8[[#This Row],[Document ID]],Table1[],2,FALSE)</f>
        <v>FRA</v>
      </c>
      <c r="C957" s="233" t="str">
        <f>VLOOKUP(Table8[[#This Row],[Document ID]],Table1[],3,FALSE)</f>
        <v>France</v>
      </c>
      <c r="D957" s="243" t="str">
        <f>VLOOKUP(Table8[[#This Row],[Document ID]],Table1[],5,FALSE)</f>
        <v>LTS</v>
      </c>
      <c r="E957" s="233" t="str">
        <f>VLOOKUP(Table8[[#This Row],[Document ID]],Table1[],7,FALSE)</f>
        <v>LTS</v>
      </c>
      <c r="F957" s="233" t="str">
        <f>VLOOKUP(Table8[[#This Row],[Document ID]],Table1[],8,FALSE)</f>
        <v>LTS 1.0</v>
      </c>
      <c r="G957" s="233" t="str">
        <f>VLOOKUP(Table8[[#This Row],[Document ID]],Table1[],10,FALSE)</f>
        <v>Active</v>
      </c>
      <c r="H957" s="44" t="s">
        <v>2338</v>
      </c>
      <c r="I957" s="44" t="s">
        <v>2339</v>
      </c>
      <c r="J957" s="44" t="s">
        <v>2416</v>
      </c>
      <c r="K957" s="44" t="s">
        <v>3249</v>
      </c>
      <c r="L957" s="44" t="s">
        <v>2333</v>
      </c>
      <c r="M957" s="43">
        <v>73</v>
      </c>
      <c r="N957" s="113" t="s">
        <v>1113</v>
      </c>
      <c r="O957" s="113"/>
      <c r="P957" s="113"/>
      <c r="Q957" s="113"/>
      <c r="R957" s="113"/>
      <c r="S957" s="113"/>
      <c r="T957" s="113"/>
      <c r="U957" s="113"/>
      <c r="V957" s="113"/>
      <c r="W957" s="113"/>
      <c r="X957" s="113"/>
      <c r="Y957" s="113"/>
      <c r="Z957" s="113"/>
      <c r="AA957" s="113"/>
      <c r="AB957" s="113"/>
      <c r="AC957" s="113"/>
      <c r="AD957" s="113"/>
      <c r="AE957" s="113"/>
      <c r="AF957" s="113"/>
      <c r="AG957" s="113"/>
      <c r="AH957" s="113"/>
      <c r="AI957" s="113"/>
      <c r="AJ957" s="113"/>
      <c r="AK957" s="319" t="s">
        <v>1113</v>
      </c>
      <c r="AL957" s="113"/>
      <c r="AM957" s="113"/>
      <c r="AN957" s="113"/>
      <c r="AO957" s="44" t="s">
        <v>2334</v>
      </c>
      <c r="AP957" s="43"/>
      <c r="AQ957" s="236" t="str">
        <f>VLOOKUP(Table8[[#This Row],[Instrument]],Def_Targets!$D$73:$E$159,2,FALSE)</f>
        <v>I_Vehiclescrappage</v>
      </c>
      <c r="AR957" s="233" t="str">
        <f>VLOOKUP(Table8[[#This Row],[Country Code]],Table29[],3,FALSE)</f>
        <v>Annex I</v>
      </c>
      <c r="AS957" s="233" t="str">
        <f>VLOOKUP(Table8[[#This Row],[Country Code]],Table29[],4,FALSE)</f>
        <v>Europe</v>
      </c>
      <c r="AT957" s="233" t="str">
        <f>VLOOKUP(Table8[[#This Row],[Country Code]],Table29[],5,FALSE)</f>
        <v>High-income</v>
      </c>
      <c r="AU957" s="233" t="str">
        <f>VLOOKUP(Table8[[#This Row],[Country Code]],Table29[],6,FALSE)</f>
        <v>G20</v>
      </c>
      <c r="AV957" s="233" t="str">
        <f>VLOOKUP(Table8[[#This Row],[Country Code]],Table29[],7,FALSE)</f>
        <v>G7</v>
      </c>
      <c r="AW957" s="233" t="str">
        <f>VLOOKUP(Table8[[#This Row],[Country Code]],Table29[],8,FALSE)</f>
        <v>OECD</v>
      </c>
      <c r="AX957" s="233" t="str">
        <f>VLOOKUP(Table8[[#This Row],[Country Code]],Table29[],9,FALSE)</f>
        <v>EU27</v>
      </c>
      <c r="AY957" s="233" t="str">
        <f>VLOOKUP(Table8[[#This Row],[Country Code]],Table29[],10,FALSE)</f>
        <v>no</v>
      </c>
      <c r="AZ957" s="235">
        <f>VLOOKUP(Table8[[#This Row],[Country Code]],Table29[],23,FALSE)</f>
        <v>385.52011950564003</v>
      </c>
      <c r="BA957" s="235">
        <f>VLOOKUP(Table8[[#This Row],[Country Code]],Table29[],24,FALSE)</f>
        <v>123.5644117217294</v>
      </c>
      <c r="BB957" s="320"/>
      <c r="BC957" s="320"/>
    </row>
    <row r="958" spans="1:55" s="17" customFormat="1" ht="45" hidden="1" x14ac:dyDescent="0.25">
      <c r="A958" s="373">
        <v>17597</v>
      </c>
      <c r="B958" s="233" t="str">
        <f>VLOOKUP(Table8[[#This Row],[Document ID]],Table1[],2,FALSE)</f>
        <v>FRA</v>
      </c>
      <c r="C958" s="233" t="str">
        <f>VLOOKUP(Table8[[#This Row],[Document ID]],Table1[],3,FALSE)</f>
        <v>France</v>
      </c>
      <c r="D958" s="243" t="str">
        <f>VLOOKUP(Table8[[#This Row],[Document ID]],Table1[],5,FALSE)</f>
        <v>LTS</v>
      </c>
      <c r="E958" s="233" t="str">
        <f>VLOOKUP(Table8[[#This Row],[Document ID]],Table1[],7,FALSE)</f>
        <v>LTS</v>
      </c>
      <c r="F958" s="233" t="str">
        <f>VLOOKUP(Table8[[#This Row],[Document ID]],Table1[],8,FALSE)</f>
        <v>LTS 1.0</v>
      </c>
      <c r="G958" s="233" t="str">
        <f>VLOOKUP(Table8[[#This Row],[Document ID]],Table1[],10,FALSE)</f>
        <v>Active</v>
      </c>
      <c r="H958" s="44" t="s">
        <v>2338</v>
      </c>
      <c r="I958" s="44" t="s">
        <v>2339</v>
      </c>
      <c r="J958" s="44" t="s">
        <v>2340</v>
      </c>
      <c r="K958" s="44" t="s">
        <v>3250</v>
      </c>
      <c r="L958" s="44" t="s">
        <v>2333</v>
      </c>
      <c r="M958" s="43">
        <v>73</v>
      </c>
      <c r="N958" s="113"/>
      <c r="O958" s="113"/>
      <c r="P958" s="113"/>
      <c r="Q958" s="113"/>
      <c r="R958" s="113"/>
      <c r="S958" s="113"/>
      <c r="T958" s="113" t="s">
        <v>1113</v>
      </c>
      <c r="U958" s="113" t="s">
        <v>1113</v>
      </c>
      <c r="V958" s="113"/>
      <c r="W958" s="113"/>
      <c r="X958" s="113"/>
      <c r="Y958" s="113"/>
      <c r="Z958" s="113"/>
      <c r="AA958" s="113"/>
      <c r="AB958" s="113"/>
      <c r="AC958" s="113"/>
      <c r="AD958" s="113"/>
      <c r="AE958" s="113"/>
      <c r="AF958" s="113"/>
      <c r="AG958" s="113"/>
      <c r="AH958" s="113"/>
      <c r="AI958" s="113"/>
      <c r="AJ958" s="113"/>
      <c r="AK958" s="319" t="s">
        <v>1113</v>
      </c>
      <c r="AL958" s="113"/>
      <c r="AM958" s="113"/>
      <c r="AN958" s="113"/>
      <c r="AO958" s="44" t="s">
        <v>2334</v>
      </c>
      <c r="AP958" s="43"/>
      <c r="AQ958" s="236" t="str">
        <f>VLOOKUP(Table8[[#This Row],[Instrument]],Def_Targets!$D$73:$E$159,2,FALSE)</f>
        <v>I_Vehicleimprove</v>
      </c>
      <c r="AR958" s="233" t="str">
        <f>VLOOKUP(Table8[[#This Row],[Country Code]],Table29[],3,FALSE)</f>
        <v>Annex I</v>
      </c>
      <c r="AS958" s="233" t="str">
        <f>VLOOKUP(Table8[[#This Row],[Country Code]],Table29[],4,FALSE)</f>
        <v>Europe</v>
      </c>
      <c r="AT958" s="233" t="str">
        <f>VLOOKUP(Table8[[#This Row],[Country Code]],Table29[],5,FALSE)</f>
        <v>High-income</v>
      </c>
      <c r="AU958" s="233" t="str">
        <f>VLOOKUP(Table8[[#This Row],[Country Code]],Table29[],6,FALSE)</f>
        <v>G20</v>
      </c>
      <c r="AV958" s="233" t="str">
        <f>VLOOKUP(Table8[[#This Row],[Country Code]],Table29[],7,FALSE)</f>
        <v>G7</v>
      </c>
      <c r="AW958" s="233" t="str">
        <f>VLOOKUP(Table8[[#This Row],[Country Code]],Table29[],8,FALSE)</f>
        <v>OECD</v>
      </c>
      <c r="AX958" s="233" t="str">
        <f>VLOOKUP(Table8[[#This Row],[Country Code]],Table29[],9,FALSE)</f>
        <v>EU27</v>
      </c>
      <c r="AY958" s="233" t="str">
        <f>VLOOKUP(Table8[[#This Row],[Country Code]],Table29[],10,FALSE)</f>
        <v>no</v>
      </c>
      <c r="AZ958" s="235">
        <f>VLOOKUP(Table8[[#This Row],[Country Code]],Table29[],23,FALSE)</f>
        <v>385.52011950564003</v>
      </c>
      <c r="BA958" s="235">
        <f>VLOOKUP(Table8[[#This Row],[Country Code]],Table29[],24,FALSE)</f>
        <v>123.5644117217294</v>
      </c>
      <c r="BB958" s="320"/>
      <c r="BC958" s="320"/>
    </row>
    <row r="959" spans="1:55" ht="30" hidden="1" x14ac:dyDescent="0.25">
      <c r="A959" s="360">
        <v>17597</v>
      </c>
      <c r="B959" s="233" t="str">
        <f>VLOOKUP(Table8[[#This Row],[Document ID]],Table1[],2,FALSE)</f>
        <v>FRA</v>
      </c>
      <c r="C959" s="233" t="str">
        <f>VLOOKUP(Table8[[#This Row],[Document ID]],Table1[],3,FALSE)</f>
        <v>France</v>
      </c>
      <c r="D959" s="233" t="str">
        <f>VLOOKUP(Table8[[#This Row],[Document ID]],Table1[],5,FALSE)</f>
        <v>LTS</v>
      </c>
      <c r="E959" s="233" t="str">
        <f>VLOOKUP(Table8[[#This Row],[Document ID]],Table1[],7,FALSE)</f>
        <v>LTS</v>
      </c>
      <c r="F959" s="233" t="str">
        <f>VLOOKUP(Table8[[#This Row],[Document ID]],Table1[],8,FALSE)</f>
        <v>LTS 1.0</v>
      </c>
      <c r="G959" s="233" t="str">
        <f>VLOOKUP(Table8[[#This Row],[Document ID]],Table1[],10,FALSE)</f>
        <v>Active</v>
      </c>
      <c r="H959" s="43" t="s">
        <v>2358</v>
      </c>
      <c r="I959" s="43" t="s">
        <v>2359</v>
      </c>
      <c r="J959" s="44" t="s">
        <v>2360</v>
      </c>
      <c r="K959" s="44" t="s">
        <v>3251</v>
      </c>
      <c r="L959" s="44" t="s">
        <v>2333</v>
      </c>
      <c r="M959" s="43">
        <v>19</v>
      </c>
      <c r="N959" s="113" t="s">
        <v>1113</v>
      </c>
      <c r="O959" s="113"/>
      <c r="P959" s="113"/>
      <c r="Q959" s="113"/>
      <c r="R959" s="113"/>
      <c r="S959" s="113"/>
      <c r="T959" s="113"/>
      <c r="U959" s="113"/>
      <c r="V959" s="113"/>
      <c r="W959" s="113"/>
      <c r="X959" s="113"/>
      <c r="Y959" s="113"/>
      <c r="Z959" s="113"/>
      <c r="AA959" s="113"/>
      <c r="AB959" s="113"/>
      <c r="AC959" s="113"/>
      <c r="AD959" s="113"/>
      <c r="AE959" s="113"/>
      <c r="AF959" s="113"/>
      <c r="AG959" s="113"/>
      <c r="AH959" s="113"/>
      <c r="AI959" s="113"/>
      <c r="AJ959" s="113"/>
      <c r="AK959" s="319" t="s">
        <v>1113</v>
      </c>
      <c r="AL959" s="113"/>
      <c r="AM959" s="113"/>
      <c r="AN959" s="113"/>
      <c r="AO959" s="44" t="s">
        <v>2334</v>
      </c>
      <c r="AP959" s="43"/>
      <c r="AQ959" s="236" t="str">
        <f>VLOOKUP(Table8[[#This Row],[Instrument]],Def_Targets!$D$73:$E$159,2,FALSE)</f>
        <v>I_Emobility</v>
      </c>
      <c r="AR959" s="233" t="str">
        <f>VLOOKUP(Table8[[#This Row],[Country Code]],Table29[],3,FALSE)</f>
        <v>Annex I</v>
      </c>
      <c r="AS959" s="233" t="str">
        <f>VLOOKUP(Table8[[#This Row],[Country Code]],Table29[],4,FALSE)</f>
        <v>Europe</v>
      </c>
      <c r="AT959" s="233" t="str">
        <f>VLOOKUP(Table8[[#This Row],[Country Code]],Table29[],5,FALSE)</f>
        <v>High-income</v>
      </c>
      <c r="AU959" s="233" t="str">
        <f>VLOOKUP(Table8[[#This Row],[Country Code]],Table29[],6,FALSE)</f>
        <v>G20</v>
      </c>
      <c r="AV959" s="233" t="str">
        <f>VLOOKUP(Table8[[#This Row],[Country Code]],Table29[],7,FALSE)</f>
        <v>G7</v>
      </c>
      <c r="AW959" s="233" t="str">
        <f>VLOOKUP(Table8[[#This Row],[Country Code]],Table29[],8,FALSE)</f>
        <v>OECD</v>
      </c>
      <c r="AX959" s="233" t="str">
        <f>VLOOKUP(Table8[[#This Row],[Country Code]],Table29[],9,FALSE)</f>
        <v>EU27</v>
      </c>
      <c r="AY959" s="233" t="str">
        <f>VLOOKUP(Table8[[#This Row],[Country Code]],Table29[],10,FALSE)</f>
        <v>no</v>
      </c>
      <c r="AZ959" s="235">
        <f>VLOOKUP(Table8[[#This Row],[Country Code]],Table29[],23,FALSE)</f>
        <v>385.52011950564003</v>
      </c>
      <c r="BA959" s="235">
        <f>VLOOKUP(Table8[[#This Row],[Country Code]],Table29[],24,FALSE)</f>
        <v>123.5644117217294</v>
      </c>
      <c r="BB959" s="320"/>
      <c r="BC959" s="320"/>
    </row>
    <row r="960" spans="1:55" hidden="1" x14ac:dyDescent="0.25">
      <c r="A960" s="360">
        <v>17597</v>
      </c>
      <c r="B960" s="233" t="str">
        <f>VLOOKUP(Table8[[#This Row],[Document ID]],Table1[],2,FALSE)</f>
        <v>FRA</v>
      </c>
      <c r="C960" s="233" t="str">
        <f>VLOOKUP(Table8[[#This Row],[Document ID]],Table1[],3,FALSE)</f>
        <v>France</v>
      </c>
      <c r="D960" s="233" t="str">
        <f>VLOOKUP(Table8[[#This Row],[Document ID]],Table1[],5,FALSE)</f>
        <v>LTS</v>
      </c>
      <c r="E960" s="233" t="str">
        <f>VLOOKUP(Table8[[#This Row],[Document ID]],Table1[],7,FALSE)</f>
        <v>LTS</v>
      </c>
      <c r="F960" s="233" t="str">
        <f>VLOOKUP(Table8[[#This Row],[Document ID]],Table1[],8,FALSE)</f>
        <v>LTS 1.0</v>
      </c>
      <c r="G960" s="233" t="str">
        <f>VLOOKUP(Table8[[#This Row],[Document ID]],Table1[],10,FALSE)</f>
        <v>Active</v>
      </c>
      <c r="H960" s="44" t="s">
        <v>2329</v>
      </c>
      <c r="I960" s="44" t="s">
        <v>2330</v>
      </c>
      <c r="J960" s="44" t="s">
        <v>2357</v>
      </c>
      <c r="K960" s="44" t="s">
        <v>3252</v>
      </c>
      <c r="L960" s="44" t="s">
        <v>2333</v>
      </c>
      <c r="M960" s="43">
        <v>19</v>
      </c>
      <c r="N960" s="113" t="s">
        <v>1113</v>
      </c>
      <c r="O960" s="113"/>
      <c r="P960" s="113"/>
      <c r="Q960" s="113"/>
      <c r="R960" s="113"/>
      <c r="S960" s="113"/>
      <c r="T960" s="113"/>
      <c r="U960" s="113"/>
      <c r="V960" s="113"/>
      <c r="W960" s="113"/>
      <c r="X960" s="113"/>
      <c r="Y960" s="113"/>
      <c r="Z960" s="113"/>
      <c r="AA960" s="113"/>
      <c r="AB960" s="113"/>
      <c r="AC960" s="113"/>
      <c r="AD960" s="113"/>
      <c r="AE960" s="113"/>
      <c r="AF960" s="113"/>
      <c r="AG960" s="113"/>
      <c r="AH960" s="113"/>
      <c r="AI960" s="113"/>
      <c r="AJ960" s="113"/>
      <c r="AK960" s="319" t="s">
        <v>1113</v>
      </c>
      <c r="AL960" s="113"/>
      <c r="AM960" s="113"/>
      <c r="AN960" s="113"/>
      <c r="AO960" s="44" t="s">
        <v>2334</v>
      </c>
      <c r="AP960" s="43"/>
      <c r="AQ960" s="236" t="str">
        <f>VLOOKUP(Table8[[#This Row],[Instrument]],Def_Targets!$D$73:$E$159,2,FALSE)</f>
        <v>I_Biofuel</v>
      </c>
      <c r="AR960" s="233" t="str">
        <f>VLOOKUP(Table8[[#This Row],[Country Code]],Table29[],3,FALSE)</f>
        <v>Annex I</v>
      </c>
      <c r="AS960" s="233" t="str">
        <f>VLOOKUP(Table8[[#This Row],[Country Code]],Table29[],4,FALSE)</f>
        <v>Europe</v>
      </c>
      <c r="AT960" s="233" t="str">
        <f>VLOOKUP(Table8[[#This Row],[Country Code]],Table29[],5,FALSE)</f>
        <v>High-income</v>
      </c>
      <c r="AU960" s="233" t="str">
        <f>VLOOKUP(Table8[[#This Row],[Country Code]],Table29[],6,FALSE)</f>
        <v>G20</v>
      </c>
      <c r="AV960" s="233" t="str">
        <f>VLOOKUP(Table8[[#This Row],[Country Code]],Table29[],7,FALSE)</f>
        <v>G7</v>
      </c>
      <c r="AW960" s="233" t="str">
        <f>VLOOKUP(Table8[[#This Row],[Country Code]],Table29[],8,FALSE)</f>
        <v>OECD</v>
      </c>
      <c r="AX960" s="233" t="str">
        <f>VLOOKUP(Table8[[#This Row],[Country Code]],Table29[],9,FALSE)</f>
        <v>EU27</v>
      </c>
      <c r="AY960" s="233" t="str">
        <f>VLOOKUP(Table8[[#This Row],[Country Code]],Table29[],10,FALSE)</f>
        <v>no</v>
      </c>
      <c r="AZ960" s="235">
        <f>VLOOKUP(Table8[[#This Row],[Country Code]],Table29[],23,FALSE)</f>
        <v>385.52011950564003</v>
      </c>
      <c r="BA960" s="235">
        <f>VLOOKUP(Table8[[#This Row],[Country Code]],Table29[],24,FALSE)</f>
        <v>123.5644117217294</v>
      </c>
      <c r="BB960" s="320"/>
      <c r="BC960" s="320"/>
    </row>
    <row r="961" spans="1:55" ht="30" hidden="1" x14ac:dyDescent="0.25">
      <c r="A961" s="360">
        <v>17597</v>
      </c>
      <c r="B961" s="233" t="str">
        <f>VLOOKUP(Table8[[#This Row],[Document ID]],Table1[],2,FALSE)</f>
        <v>FRA</v>
      </c>
      <c r="C961" s="233" t="str">
        <f>VLOOKUP(Table8[[#This Row],[Document ID]],Table1[],3,FALSE)</f>
        <v>France</v>
      </c>
      <c r="D961" s="233" t="str">
        <f>VLOOKUP(Table8[[#This Row],[Document ID]],Table1[],5,FALSE)</f>
        <v>LTS</v>
      </c>
      <c r="E961" s="233" t="str">
        <f>VLOOKUP(Table8[[#This Row],[Document ID]],Table1[],7,FALSE)</f>
        <v>LTS</v>
      </c>
      <c r="F961" s="233" t="str">
        <f>VLOOKUP(Table8[[#This Row],[Document ID]],Table1[],8,FALSE)</f>
        <v>LTS 1.0</v>
      </c>
      <c r="G961" s="233" t="str">
        <f>VLOOKUP(Table8[[#This Row],[Document ID]],Table1[],10,FALSE)</f>
        <v>Active</v>
      </c>
      <c r="H961" s="44" t="s">
        <v>2329</v>
      </c>
      <c r="I961" s="44" t="s">
        <v>2330</v>
      </c>
      <c r="J961" s="44" t="s">
        <v>2357</v>
      </c>
      <c r="K961" s="44" t="s">
        <v>3253</v>
      </c>
      <c r="L961" s="44" t="s">
        <v>2333</v>
      </c>
      <c r="M961" s="43">
        <v>19</v>
      </c>
      <c r="N961" s="113" t="s">
        <v>1113</v>
      </c>
      <c r="O961" s="113"/>
      <c r="P961" s="113"/>
      <c r="Q961" s="113"/>
      <c r="R961" s="113"/>
      <c r="S961" s="113"/>
      <c r="T961" s="113"/>
      <c r="U961" s="113"/>
      <c r="V961" s="113"/>
      <c r="W961" s="113"/>
      <c r="X961" s="113"/>
      <c r="Y961" s="113"/>
      <c r="Z961" s="113"/>
      <c r="AA961" s="113"/>
      <c r="AB961" s="113"/>
      <c r="AC961" s="113"/>
      <c r="AD961" s="113"/>
      <c r="AE961" s="113"/>
      <c r="AF961" s="113"/>
      <c r="AG961" s="113"/>
      <c r="AH961" s="113"/>
      <c r="AI961" s="113"/>
      <c r="AJ961" s="113"/>
      <c r="AK961" s="319" t="s">
        <v>1113</v>
      </c>
      <c r="AL961" s="113"/>
      <c r="AM961" s="113"/>
      <c r="AN961" s="113"/>
      <c r="AO961" s="44" t="s">
        <v>2334</v>
      </c>
      <c r="AP961" s="43"/>
      <c r="AQ961" s="236" t="str">
        <f>VLOOKUP(Table8[[#This Row],[Instrument]],Def_Targets!$D$73:$E$159,2,FALSE)</f>
        <v>I_Biofuel</v>
      </c>
      <c r="AR961" s="233" t="str">
        <f>VLOOKUP(Table8[[#This Row],[Country Code]],Table29[],3,FALSE)</f>
        <v>Annex I</v>
      </c>
      <c r="AS961" s="233" t="str">
        <f>VLOOKUP(Table8[[#This Row],[Country Code]],Table29[],4,FALSE)</f>
        <v>Europe</v>
      </c>
      <c r="AT961" s="233" t="str">
        <f>VLOOKUP(Table8[[#This Row],[Country Code]],Table29[],5,FALSE)</f>
        <v>High-income</v>
      </c>
      <c r="AU961" s="233" t="str">
        <f>VLOOKUP(Table8[[#This Row],[Country Code]],Table29[],6,FALSE)</f>
        <v>G20</v>
      </c>
      <c r="AV961" s="233" t="str">
        <f>VLOOKUP(Table8[[#This Row],[Country Code]],Table29[],7,FALSE)</f>
        <v>G7</v>
      </c>
      <c r="AW961" s="233" t="str">
        <f>VLOOKUP(Table8[[#This Row],[Country Code]],Table29[],8,FALSE)</f>
        <v>OECD</v>
      </c>
      <c r="AX961" s="233" t="str">
        <f>VLOOKUP(Table8[[#This Row],[Country Code]],Table29[],9,FALSE)</f>
        <v>EU27</v>
      </c>
      <c r="AY961" s="233" t="str">
        <f>VLOOKUP(Table8[[#This Row],[Country Code]],Table29[],10,FALSE)</f>
        <v>no</v>
      </c>
      <c r="AZ961" s="235">
        <f>VLOOKUP(Table8[[#This Row],[Country Code]],Table29[],23,FALSE)</f>
        <v>385.52011950564003</v>
      </c>
      <c r="BA961" s="235">
        <f>VLOOKUP(Table8[[#This Row],[Country Code]],Table29[],24,FALSE)</f>
        <v>123.5644117217294</v>
      </c>
      <c r="BB961" s="320"/>
      <c r="BC961" s="320"/>
    </row>
    <row r="962" spans="1:55" ht="105" hidden="1" x14ac:dyDescent="0.25">
      <c r="A962" s="360">
        <v>17597</v>
      </c>
      <c r="B962" s="233" t="str">
        <f>VLOOKUP(Table8[[#This Row],[Document ID]],Table1[],2,FALSE)</f>
        <v>FRA</v>
      </c>
      <c r="C962" s="233" t="str">
        <f>VLOOKUP(Table8[[#This Row],[Document ID]],Table1[],3,FALSE)</f>
        <v>France</v>
      </c>
      <c r="D962" s="233" t="str">
        <f>VLOOKUP(Table8[[#This Row],[Document ID]],Table1[],5,FALSE)</f>
        <v>LTS</v>
      </c>
      <c r="E962" s="233" t="str">
        <f>VLOOKUP(Table8[[#This Row],[Document ID]],Table1[],7,FALSE)</f>
        <v>LTS</v>
      </c>
      <c r="F962" s="233" t="str">
        <f>VLOOKUP(Table8[[#This Row],[Document ID]],Table1[],8,FALSE)</f>
        <v>LTS 1.0</v>
      </c>
      <c r="G962" s="233" t="str">
        <f>VLOOKUP(Table8[[#This Row],[Document ID]],Table1[],10,FALSE)</f>
        <v>Active</v>
      </c>
      <c r="H962" s="43" t="s">
        <v>2358</v>
      </c>
      <c r="I962" s="43" t="s">
        <v>2359</v>
      </c>
      <c r="J962" s="44" t="s">
        <v>2360</v>
      </c>
      <c r="K962" s="44" t="s">
        <v>3254</v>
      </c>
      <c r="L962" s="44" t="s">
        <v>2333</v>
      </c>
      <c r="M962" s="43">
        <v>19</v>
      </c>
      <c r="N962" s="113"/>
      <c r="O962" s="113"/>
      <c r="P962" s="113"/>
      <c r="Q962" s="113"/>
      <c r="R962" s="113"/>
      <c r="S962" s="113"/>
      <c r="T962" s="113"/>
      <c r="U962" s="113" t="s">
        <v>1113</v>
      </c>
      <c r="V962" s="113"/>
      <c r="W962" s="113"/>
      <c r="X962" s="113"/>
      <c r="Y962" s="113"/>
      <c r="Z962" s="113"/>
      <c r="AA962" s="113"/>
      <c r="AB962" s="113"/>
      <c r="AC962" s="113"/>
      <c r="AD962" s="113"/>
      <c r="AE962" s="113"/>
      <c r="AF962" s="113"/>
      <c r="AG962" s="113"/>
      <c r="AH962" s="113"/>
      <c r="AI962" s="113"/>
      <c r="AJ962" s="113"/>
      <c r="AK962" s="319" t="s">
        <v>1113</v>
      </c>
      <c r="AL962" s="113"/>
      <c r="AM962" s="113"/>
      <c r="AN962" s="113"/>
      <c r="AO962" s="44" t="s">
        <v>2334</v>
      </c>
      <c r="AP962" s="43"/>
      <c r="AQ962" s="236" t="str">
        <f>VLOOKUP(Table8[[#This Row],[Instrument]],Def_Targets!$D$73:$E$159,2,FALSE)</f>
        <v>I_Emobility</v>
      </c>
      <c r="AR962" s="233" t="str">
        <f>VLOOKUP(Table8[[#This Row],[Country Code]],Table29[],3,FALSE)</f>
        <v>Annex I</v>
      </c>
      <c r="AS962" s="233" t="str">
        <f>VLOOKUP(Table8[[#This Row],[Country Code]],Table29[],4,FALSE)</f>
        <v>Europe</v>
      </c>
      <c r="AT962" s="233" t="str">
        <f>VLOOKUP(Table8[[#This Row],[Country Code]],Table29[],5,FALSE)</f>
        <v>High-income</v>
      </c>
      <c r="AU962" s="233" t="str">
        <f>VLOOKUP(Table8[[#This Row],[Country Code]],Table29[],6,FALSE)</f>
        <v>G20</v>
      </c>
      <c r="AV962" s="233" t="str">
        <f>VLOOKUP(Table8[[#This Row],[Country Code]],Table29[],7,FALSE)</f>
        <v>G7</v>
      </c>
      <c r="AW962" s="233" t="str">
        <f>VLOOKUP(Table8[[#This Row],[Country Code]],Table29[],8,FALSE)</f>
        <v>OECD</v>
      </c>
      <c r="AX962" s="233" t="str">
        <f>VLOOKUP(Table8[[#This Row],[Country Code]],Table29[],9,FALSE)</f>
        <v>EU27</v>
      </c>
      <c r="AY962" s="233" t="str">
        <f>VLOOKUP(Table8[[#This Row],[Country Code]],Table29[],10,FALSE)</f>
        <v>no</v>
      </c>
      <c r="AZ962" s="235">
        <f>VLOOKUP(Table8[[#This Row],[Country Code]],Table29[],23,FALSE)</f>
        <v>385.52011950564003</v>
      </c>
      <c r="BA962" s="235">
        <f>VLOOKUP(Table8[[#This Row],[Country Code]],Table29[],24,FALSE)</f>
        <v>123.5644117217294</v>
      </c>
      <c r="BB962" s="320"/>
      <c r="BC962" s="320"/>
    </row>
    <row r="963" spans="1:55" ht="60" hidden="1" x14ac:dyDescent="0.25">
      <c r="A963" s="360">
        <v>17597</v>
      </c>
      <c r="B963" s="233" t="str">
        <f>VLOOKUP(Table8[[#This Row],[Document ID]],Table1[],2,FALSE)</f>
        <v>FRA</v>
      </c>
      <c r="C963" s="233" t="str">
        <f>VLOOKUP(Table8[[#This Row],[Document ID]],Table1[],3,FALSE)</f>
        <v>France</v>
      </c>
      <c r="D963" s="233" t="str">
        <f>VLOOKUP(Table8[[#This Row],[Document ID]],Table1[],5,FALSE)</f>
        <v>LTS</v>
      </c>
      <c r="E963" s="233" t="str">
        <f>VLOOKUP(Table8[[#This Row],[Document ID]],Table1[],7,FALSE)</f>
        <v>LTS</v>
      </c>
      <c r="F963" s="233" t="str">
        <f>VLOOKUP(Table8[[#This Row],[Document ID]],Table1[],8,FALSE)</f>
        <v>LTS 1.0</v>
      </c>
      <c r="G963" s="233" t="str">
        <f>VLOOKUP(Table8[[#This Row],[Document ID]],Table1[],10,FALSE)</f>
        <v>Active</v>
      </c>
      <c r="H963" s="44" t="s">
        <v>2329</v>
      </c>
      <c r="I963" s="44" t="s">
        <v>2330</v>
      </c>
      <c r="J963" s="44" t="s">
        <v>2331</v>
      </c>
      <c r="K963" s="44" t="s">
        <v>3255</v>
      </c>
      <c r="L963" s="44" t="s">
        <v>2333</v>
      </c>
      <c r="M963" s="43">
        <v>19</v>
      </c>
      <c r="N963" s="113"/>
      <c r="O963" s="113"/>
      <c r="P963" s="113"/>
      <c r="Q963" s="113"/>
      <c r="R963" s="113"/>
      <c r="S963" s="113"/>
      <c r="T963" s="113"/>
      <c r="U963" s="113"/>
      <c r="V963" s="113"/>
      <c r="W963" s="113"/>
      <c r="X963" s="113" t="s">
        <v>1113</v>
      </c>
      <c r="Y963" s="113"/>
      <c r="Z963" s="113"/>
      <c r="AA963" s="113"/>
      <c r="AB963" s="113"/>
      <c r="AC963" s="113"/>
      <c r="AD963" s="113"/>
      <c r="AE963" s="113"/>
      <c r="AF963" s="113"/>
      <c r="AG963" s="113"/>
      <c r="AH963" s="113"/>
      <c r="AI963" s="113"/>
      <c r="AJ963" s="113"/>
      <c r="AK963" s="319" t="s">
        <v>1113</v>
      </c>
      <c r="AL963" s="113"/>
      <c r="AM963" s="113"/>
      <c r="AN963" s="113"/>
      <c r="AO963" s="43" t="s">
        <v>2353</v>
      </c>
      <c r="AP963" s="43"/>
      <c r="AQ963" s="236" t="str">
        <f>VLOOKUP(Table8[[#This Row],[Instrument]],Def_Targets!$D$73:$E$159,2,FALSE)</f>
        <v>I_Altfuels</v>
      </c>
      <c r="AR963" s="233" t="str">
        <f>VLOOKUP(Table8[[#This Row],[Country Code]],Table29[],3,FALSE)</f>
        <v>Annex I</v>
      </c>
      <c r="AS963" s="233" t="str">
        <f>VLOOKUP(Table8[[#This Row],[Country Code]],Table29[],4,FALSE)</f>
        <v>Europe</v>
      </c>
      <c r="AT963" s="233" t="str">
        <f>VLOOKUP(Table8[[#This Row],[Country Code]],Table29[],5,FALSE)</f>
        <v>High-income</v>
      </c>
      <c r="AU963" s="233" t="str">
        <f>VLOOKUP(Table8[[#This Row],[Country Code]],Table29[],6,FALSE)</f>
        <v>G20</v>
      </c>
      <c r="AV963" s="233" t="str">
        <f>VLOOKUP(Table8[[#This Row],[Country Code]],Table29[],7,FALSE)</f>
        <v>G7</v>
      </c>
      <c r="AW963" s="233" t="str">
        <f>VLOOKUP(Table8[[#This Row],[Country Code]],Table29[],8,FALSE)</f>
        <v>OECD</v>
      </c>
      <c r="AX963" s="233" t="str">
        <f>VLOOKUP(Table8[[#This Row],[Country Code]],Table29[],9,FALSE)</f>
        <v>EU27</v>
      </c>
      <c r="AY963" s="233" t="str">
        <f>VLOOKUP(Table8[[#This Row],[Country Code]],Table29[],10,FALSE)</f>
        <v>no</v>
      </c>
      <c r="AZ963" s="235">
        <f>VLOOKUP(Table8[[#This Row],[Country Code]],Table29[],23,FALSE)</f>
        <v>385.52011950564003</v>
      </c>
      <c r="BA963" s="235">
        <f>VLOOKUP(Table8[[#This Row],[Country Code]],Table29[],24,FALSE)</f>
        <v>123.5644117217294</v>
      </c>
      <c r="BB963" s="320"/>
      <c r="BC963" s="320"/>
    </row>
    <row r="964" spans="1:55" hidden="1" x14ac:dyDescent="0.25">
      <c r="A964" s="373">
        <v>17597</v>
      </c>
      <c r="B964" s="233" t="str">
        <f>VLOOKUP(Table8[[#This Row],[Document ID]],Table1[],2,FALSE)</f>
        <v>FRA</v>
      </c>
      <c r="C964" s="233" t="str">
        <f>VLOOKUP(Table8[[#This Row],[Document ID]],Table1[],3,FALSE)</f>
        <v>France</v>
      </c>
      <c r="D964" s="243" t="str">
        <f>VLOOKUP(Table8[[#This Row],[Document ID]],Table1[],5,FALSE)</f>
        <v>LTS</v>
      </c>
      <c r="E964" s="233" t="str">
        <f>VLOOKUP(Table8[[#This Row],[Document ID]],Table1[],7,FALSE)</f>
        <v>LTS</v>
      </c>
      <c r="F964" s="233" t="str">
        <f>VLOOKUP(Table8[[#This Row],[Document ID]],Table1[],8,FALSE)</f>
        <v>LTS 1.0</v>
      </c>
      <c r="G964" s="233" t="str">
        <f>VLOOKUP(Table8[[#This Row],[Document ID]],Table1[],10,FALSE)</f>
        <v>Active</v>
      </c>
      <c r="H964" s="43" t="s">
        <v>2484</v>
      </c>
      <c r="I964" s="43" t="s">
        <v>2488</v>
      </c>
      <c r="J964" s="44" t="s">
        <v>2684</v>
      </c>
      <c r="K964" s="44" t="s">
        <v>3256</v>
      </c>
      <c r="L964" s="44" t="s">
        <v>2333</v>
      </c>
      <c r="M964" s="43" t="s">
        <v>3257</v>
      </c>
      <c r="N964" s="113"/>
      <c r="O964" s="113"/>
      <c r="P964" s="113"/>
      <c r="Q964" s="113"/>
      <c r="R964" s="113"/>
      <c r="S964" s="113"/>
      <c r="T964" s="113"/>
      <c r="U964" s="113"/>
      <c r="V964" s="113"/>
      <c r="W964" s="113"/>
      <c r="X964" s="113"/>
      <c r="Y964" s="113"/>
      <c r="Z964" s="113"/>
      <c r="AA964" s="113"/>
      <c r="AB964" s="113"/>
      <c r="AC964" s="113"/>
      <c r="AD964" s="113"/>
      <c r="AE964" s="113"/>
      <c r="AF964" s="113"/>
      <c r="AG964" s="113"/>
      <c r="AH964" s="113" t="s">
        <v>1113</v>
      </c>
      <c r="AI964" s="113"/>
      <c r="AJ964" s="113"/>
      <c r="AK964" s="319" t="s">
        <v>1113</v>
      </c>
      <c r="AL964" s="113"/>
      <c r="AM964" s="113"/>
      <c r="AN964" s="113"/>
      <c r="AO964" s="44" t="s">
        <v>2334</v>
      </c>
      <c r="AP964" s="43"/>
      <c r="AQ964" s="236" t="str">
        <f>VLOOKUP(Table8[[#This Row],[Instrument]],Def_Targets!$D$73:$E$159,2,FALSE)</f>
        <v>I_Jetfuel</v>
      </c>
      <c r="AR964" s="233" t="str">
        <f>VLOOKUP(Table8[[#This Row],[Country Code]],Table29[],3,FALSE)</f>
        <v>Annex I</v>
      </c>
      <c r="AS964" s="233" t="str">
        <f>VLOOKUP(Table8[[#This Row],[Country Code]],Table29[],4,FALSE)</f>
        <v>Europe</v>
      </c>
      <c r="AT964" s="233" t="str">
        <f>VLOOKUP(Table8[[#This Row],[Country Code]],Table29[],5,FALSE)</f>
        <v>High-income</v>
      </c>
      <c r="AU964" s="233" t="str">
        <f>VLOOKUP(Table8[[#This Row],[Country Code]],Table29[],6,FALSE)</f>
        <v>G20</v>
      </c>
      <c r="AV964" s="233" t="str">
        <f>VLOOKUP(Table8[[#This Row],[Country Code]],Table29[],7,FALSE)</f>
        <v>G7</v>
      </c>
      <c r="AW964" s="233" t="str">
        <f>VLOOKUP(Table8[[#This Row],[Country Code]],Table29[],8,FALSE)</f>
        <v>OECD</v>
      </c>
      <c r="AX964" s="233" t="str">
        <f>VLOOKUP(Table8[[#This Row],[Country Code]],Table29[],9,FALSE)</f>
        <v>EU27</v>
      </c>
      <c r="AY964" s="233" t="str">
        <f>VLOOKUP(Table8[[#This Row],[Country Code]],Table29[],10,FALSE)</f>
        <v>no</v>
      </c>
      <c r="AZ964" s="235">
        <f>VLOOKUP(Table8[[#This Row],[Country Code]],Table29[],23,FALSE)</f>
        <v>385.52011950564003</v>
      </c>
      <c r="BA964" s="235">
        <f>VLOOKUP(Table8[[#This Row],[Country Code]],Table29[],24,FALSE)</f>
        <v>123.5644117217294</v>
      </c>
      <c r="BB964" s="320"/>
      <c r="BC964" s="320"/>
    </row>
    <row r="965" spans="1:55" ht="30" hidden="1" x14ac:dyDescent="0.25">
      <c r="A965" s="373">
        <v>17597</v>
      </c>
      <c r="B965" s="233" t="str">
        <f>VLOOKUP(Table8[[#This Row],[Document ID]],Table1[],2,FALSE)</f>
        <v>FRA</v>
      </c>
      <c r="C965" s="233" t="str">
        <f>VLOOKUP(Table8[[#This Row],[Document ID]],Table1[],3,FALSE)</f>
        <v>France</v>
      </c>
      <c r="D965" s="243" t="str">
        <f>VLOOKUP(Table8[[#This Row],[Document ID]],Table1[],5,FALSE)</f>
        <v>LTS</v>
      </c>
      <c r="E965" s="233" t="str">
        <f>VLOOKUP(Table8[[#This Row],[Document ID]],Table1[],7,FALSE)</f>
        <v>LTS</v>
      </c>
      <c r="F965" s="233" t="str">
        <f>VLOOKUP(Table8[[#This Row],[Document ID]],Table1[],8,FALSE)</f>
        <v>LTS 1.0</v>
      </c>
      <c r="G965" s="233" t="str">
        <f>VLOOKUP(Table8[[#This Row],[Document ID]],Table1[],10,FALSE)</f>
        <v>Active</v>
      </c>
      <c r="H965" s="43" t="s">
        <v>2484</v>
      </c>
      <c r="I965" s="43" t="s">
        <v>2485</v>
      </c>
      <c r="J965" s="44" t="s">
        <v>2486</v>
      </c>
      <c r="K965" s="44" t="s">
        <v>3258</v>
      </c>
      <c r="L965" s="44" t="s">
        <v>2333</v>
      </c>
      <c r="M965" s="43">
        <v>20</v>
      </c>
      <c r="N965" s="113"/>
      <c r="O965" s="113"/>
      <c r="P965" s="113"/>
      <c r="Q965" s="113"/>
      <c r="R965" s="113"/>
      <c r="S965" s="113"/>
      <c r="T965" s="113"/>
      <c r="U965" s="113"/>
      <c r="V965" s="113"/>
      <c r="W965" s="113"/>
      <c r="X965" s="113"/>
      <c r="Y965" s="113"/>
      <c r="Z965" s="113"/>
      <c r="AA965" s="113"/>
      <c r="AB965" s="113"/>
      <c r="AC965" s="113"/>
      <c r="AD965" s="113" t="s">
        <v>1113</v>
      </c>
      <c r="AE965" s="113" t="s">
        <v>1113</v>
      </c>
      <c r="AF965" s="113" t="s">
        <v>1113</v>
      </c>
      <c r="AG965" s="113"/>
      <c r="AH965" s="113"/>
      <c r="AI965" s="113"/>
      <c r="AJ965" s="113"/>
      <c r="AK965" s="319" t="s">
        <v>1113</v>
      </c>
      <c r="AL965" s="113"/>
      <c r="AM965" s="113"/>
      <c r="AN965" s="113"/>
      <c r="AO965" s="44" t="s">
        <v>2334</v>
      </c>
      <c r="AP965" s="43"/>
      <c r="AQ965" s="236" t="str">
        <f>VLOOKUP(Table8[[#This Row],[Instrument]],Def_Targets!$D$73:$E$159,2,FALSE)</f>
        <v>I_Shipping</v>
      </c>
      <c r="AR965" s="233" t="str">
        <f>VLOOKUP(Table8[[#This Row],[Country Code]],Table29[],3,FALSE)</f>
        <v>Annex I</v>
      </c>
      <c r="AS965" s="233" t="str">
        <f>VLOOKUP(Table8[[#This Row],[Country Code]],Table29[],4,FALSE)</f>
        <v>Europe</v>
      </c>
      <c r="AT965" s="233" t="str">
        <f>VLOOKUP(Table8[[#This Row],[Country Code]],Table29[],5,FALSE)</f>
        <v>High-income</v>
      </c>
      <c r="AU965" s="233" t="str">
        <f>VLOOKUP(Table8[[#This Row],[Country Code]],Table29[],6,FALSE)</f>
        <v>G20</v>
      </c>
      <c r="AV965" s="233" t="str">
        <f>VLOOKUP(Table8[[#This Row],[Country Code]],Table29[],7,FALSE)</f>
        <v>G7</v>
      </c>
      <c r="AW965" s="233" t="str">
        <f>VLOOKUP(Table8[[#This Row],[Country Code]],Table29[],8,FALSE)</f>
        <v>OECD</v>
      </c>
      <c r="AX965" s="233" t="str">
        <f>VLOOKUP(Table8[[#This Row],[Country Code]],Table29[],9,FALSE)</f>
        <v>EU27</v>
      </c>
      <c r="AY965" s="233" t="str">
        <f>VLOOKUP(Table8[[#This Row],[Country Code]],Table29[],10,FALSE)</f>
        <v>no</v>
      </c>
      <c r="AZ965" s="235">
        <f>VLOOKUP(Table8[[#This Row],[Country Code]],Table29[],23,FALSE)</f>
        <v>385.52011950564003</v>
      </c>
      <c r="BA965" s="235">
        <f>VLOOKUP(Table8[[#This Row],[Country Code]],Table29[],24,FALSE)</f>
        <v>123.5644117217294</v>
      </c>
      <c r="BB965" s="320"/>
      <c r="BC965" s="320"/>
    </row>
    <row r="966" spans="1:55" hidden="1" x14ac:dyDescent="0.25">
      <c r="A966" s="373">
        <v>17597</v>
      </c>
      <c r="B966" s="233" t="str">
        <f>VLOOKUP(Table8[[#This Row],[Document ID]],Table1[],2,FALSE)</f>
        <v>FRA</v>
      </c>
      <c r="C966" s="233" t="str">
        <f>VLOOKUP(Table8[[#This Row],[Document ID]],Table1[],3,FALSE)</f>
        <v>France</v>
      </c>
      <c r="D966" s="243" t="str">
        <f>VLOOKUP(Table8[[#This Row],[Document ID]],Table1[],5,FALSE)</f>
        <v>LTS</v>
      </c>
      <c r="E966" s="233" t="str">
        <f>VLOOKUP(Table8[[#This Row],[Document ID]],Table1[],7,FALSE)</f>
        <v>LTS</v>
      </c>
      <c r="F966" s="233" t="str">
        <f>VLOOKUP(Table8[[#This Row],[Document ID]],Table1[],8,FALSE)</f>
        <v>LTS 1.0</v>
      </c>
      <c r="G966" s="233" t="str">
        <f>VLOOKUP(Table8[[#This Row],[Document ID]],Table1[],10,FALSE)</f>
        <v>Active</v>
      </c>
      <c r="H966" s="43" t="s">
        <v>2343</v>
      </c>
      <c r="I966" s="43" t="s">
        <v>2377</v>
      </c>
      <c r="J966" s="44" t="s">
        <v>2394</v>
      </c>
      <c r="K966" s="44" t="s">
        <v>3259</v>
      </c>
      <c r="L966" s="44" t="s">
        <v>2380</v>
      </c>
      <c r="M966" s="43">
        <v>20</v>
      </c>
      <c r="N966" s="113" t="s">
        <v>1113</v>
      </c>
      <c r="O966" s="113"/>
      <c r="P966" s="113"/>
      <c r="Q966" s="113"/>
      <c r="R966" s="113"/>
      <c r="S966" s="113"/>
      <c r="T966" s="113"/>
      <c r="U966" s="113"/>
      <c r="V966" s="113"/>
      <c r="W966" s="113"/>
      <c r="X966" s="113"/>
      <c r="Y966" s="113"/>
      <c r="Z966" s="113"/>
      <c r="AA966" s="113"/>
      <c r="AB966" s="113"/>
      <c r="AC966" s="113"/>
      <c r="AD966" s="113"/>
      <c r="AE966" s="113"/>
      <c r="AF966" s="113"/>
      <c r="AG966" s="113"/>
      <c r="AH966" s="113"/>
      <c r="AI966" s="113"/>
      <c r="AJ966" s="113"/>
      <c r="AK966" s="319" t="s">
        <v>1113</v>
      </c>
      <c r="AL966" s="113"/>
      <c r="AM966" s="113"/>
      <c r="AN966" s="113"/>
      <c r="AO966" s="43" t="s">
        <v>2477</v>
      </c>
      <c r="AP966" s="43"/>
      <c r="AQ966" s="236" t="str">
        <f>VLOOKUP(Table8[[#This Row],[Instrument]],Def_Targets!$D$73:$E$159,2,FALSE)</f>
        <v>A_TDM</v>
      </c>
      <c r="AR966" s="233" t="str">
        <f>VLOOKUP(Table8[[#This Row],[Country Code]],Table29[],3,FALSE)</f>
        <v>Annex I</v>
      </c>
      <c r="AS966" s="233" t="str">
        <f>VLOOKUP(Table8[[#This Row],[Country Code]],Table29[],4,FALSE)</f>
        <v>Europe</v>
      </c>
      <c r="AT966" s="233" t="str">
        <f>VLOOKUP(Table8[[#This Row],[Country Code]],Table29[],5,FALSE)</f>
        <v>High-income</v>
      </c>
      <c r="AU966" s="233" t="str">
        <f>VLOOKUP(Table8[[#This Row],[Country Code]],Table29[],6,FALSE)</f>
        <v>G20</v>
      </c>
      <c r="AV966" s="233" t="str">
        <f>VLOOKUP(Table8[[#This Row],[Country Code]],Table29[],7,FALSE)</f>
        <v>G7</v>
      </c>
      <c r="AW966" s="233" t="str">
        <f>VLOOKUP(Table8[[#This Row],[Country Code]],Table29[],8,FALSE)</f>
        <v>OECD</v>
      </c>
      <c r="AX966" s="233" t="str">
        <f>VLOOKUP(Table8[[#This Row],[Country Code]],Table29[],9,FALSE)</f>
        <v>EU27</v>
      </c>
      <c r="AY966" s="233" t="str">
        <f>VLOOKUP(Table8[[#This Row],[Country Code]],Table29[],10,FALSE)</f>
        <v>no</v>
      </c>
      <c r="AZ966" s="235">
        <f>VLOOKUP(Table8[[#This Row],[Country Code]],Table29[],23,FALSE)</f>
        <v>385.52011950564003</v>
      </c>
      <c r="BA966" s="235">
        <f>VLOOKUP(Table8[[#This Row],[Country Code]],Table29[],24,FALSE)</f>
        <v>123.5644117217294</v>
      </c>
      <c r="BB966" s="320"/>
      <c r="BC966" s="320"/>
    </row>
    <row r="967" spans="1:55" hidden="1" x14ac:dyDescent="0.25">
      <c r="A967" s="373">
        <v>17597</v>
      </c>
      <c r="B967" s="233" t="str">
        <f>VLOOKUP(Table8[[#This Row],[Document ID]],Table1[],2,FALSE)</f>
        <v>FRA</v>
      </c>
      <c r="C967" s="233" t="str">
        <f>VLOOKUP(Table8[[#This Row],[Document ID]],Table1[],3,FALSE)</f>
        <v>France</v>
      </c>
      <c r="D967" s="243" t="str">
        <f>VLOOKUP(Table8[[#This Row],[Document ID]],Table1[],5,FALSE)</f>
        <v>LTS</v>
      </c>
      <c r="E967" s="233" t="str">
        <f>VLOOKUP(Table8[[#This Row],[Document ID]],Table1[],7,FALSE)</f>
        <v>LTS</v>
      </c>
      <c r="F967" s="233" t="str">
        <f>VLOOKUP(Table8[[#This Row],[Document ID]],Table1[],8,FALSE)</f>
        <v>LTS 1.0</v>
      </c>
      <c r="G967" s="233" t="str">
        <f>VLOOKUP(Table8[[#This Row],[Document ID]],Table1[],10,FALSE)</f>
        <v>Active</v>
      </c>
      <c r="H967" s="43" t="s">
        <v>2343</v>
      </c>
      <c r="I967" s="43" t="s">
        <v>2361</v>
      </c>
      <c r="J967" s="44" t="s">
        <v>2366</v>
      </c>
      <c r="K967" s="44" t="s">
        <v>3260</v>
      </c>
      <c r="L967" s="44" t="s">
        <v>2347</v>
      </c>
      <c r="M967" s="43">
        <v>20</v>
      </c>
      <c r="N967" s="113"/>
      <c r="O967" s="113"/>
      <c r="P967" s="113" t="s">
        <v>1113</v>
      </c>
      <c r="Q967" s="113"/>
      <c r="R967" s="113"/>
      <c r="S967" s="113"/>
      <c r="T967" s="113"/>
      <c r="U967" s="113"/>
      <c r="V967" s="113"/>
      <c r="W967" s="113"/>
      <c r="X967" s="113"/>
      <c r="Y967" s="113"/>
      <c r="Z967" s="113"/>
      <c r="AA967" s="113"/>
      <c r="AB967" s="113"/>
      <c r="AC967" s="113"/>
      <c r="AD967" s="113"/>
      <c r="AE967" s="113"/>
      <c r="AF967" s="113"/>
      <c r="AG967" s="113"/>
      <c r="AH967" s="113"/>
      <c r="AI967" s="113"/>
      <c r="AJ967" s="113"/>
      <c r="AK967" s="319" t="s">
        <v>1113</v>
      </c>
      <c r="AL967" s="113"/>
      <c r="AM967" s="113"/>
      <c r="AN967" s="113"/>
      <c r="AO967" s="44" t="s">
        <v>2334</v>
      </c>
      <c r="AP967" s="43"/>
      <c r="AQ967" s="236" t="str">
        <f>VLOOKUP(Table8[[#This Row],[Instrument]],Def_Targets!$D$73:$E$159,2,FALSE)</f>
        <v>S_Activemobility</v>
      </c>
      <c r="AR967" s="233" t="str">
        <f>VLOOKUP(Table8[[#This Row],[Country Code]],Table29[],3,FALSE)</f>
        <v>Annex I</v>
      </c>
      <c r="AS967" s="233" t="str">
        <f>VLOOKUP(Table8[[#This Row],[Country Code]],Table29[],4,FALSE)</f>
        <v>Europe</v>
      </c>
      <c r="AT967" s="233" t="str">
        <f>VLOOKUP(Table8[[#This Row],[Country Code]],Table29[],5,FALSE)</f>
        <v>High-income</v>
      </c>
      <c r="AU967" s="233" t="str">
        <f>VLOOKUP(Table8[[#This Row],[Country Code]],Table29[],6,FALSE)</f>
        <v>G20</v>
      </c>
      <c r="AV967" s="233" t="str">
        <f>VLOOKUP(Table8[[#This Row],[Country Code]],Table29[],7,FALSE)</f>
        <v>G7</v>
      </c>
      <c r="AW967" s="233" t="str">
        <f>VLOOKUP(Table8[[#This Row],[Country Code]],Table29[],8,FALSE)</f>
        <v>OECD</v>
      </c>
      <c r="AX967" s="233" t="str">
        <f>VLOOKUP(Table8[[#This Row],[Country Code]],Table29[],9,FALSE)</f>
        <v>EU27</v>
      </c>
      <c r="AY967" s="233" t="str">
        <f>VLOOKUP(Table8[[#This Row],[Country Code]],Table29[],10,FALSE)</f>
        <v>no</v>
      </c>
      <c r="AZ967" s="235">
        <f>VLOOKUP(Table8[[#This Row],[Country Code]],Table29[],23,FALSE)</f>
        <v>385.52011950564003</v>
      </c>
      <c r="BA967" s="235">
        <f>VLOOKUP(Table8[[#This Row],[Country Code]],Table29[],24,FALSE)</f>
        <v>123.5644117217294</v>
      </c>
      <c r="BB967" s="320"/>
      <c r="BC967" s="320"/>
    </row>
    <row r="968" spans="1:55" ht="30" hidden="1" x14ac:dyDescent="0.25">
      <c r="A968" s="373">
        <v>17597</v>
      </c>
      <c r="B968" s="233" t="str">
        <f>VLOOKUP(Table8[[#This Row],[Document ID]],Table1[],2,FALSE)</f>
        <v>FRA</v>
      </c>
      <c r="C968" s="233" t="str">
        <f>VLOOKUP(Table8[[#This Row],[Document ID]],Table1[],3,FALSE)</f>
        <v>France</v>
      </c>
      <c r="D968" s="243" t="str">
        <f>VLOOKUP(Table8[[#This Row],[Document ID]],Table1[],5,FALSE)</f>
        <v>LTS</v>
      </c>
      <c r="E968" s="233" t="str">
        <f>VLOOKUP(Table8[[#This Row],[Document ID]],Table1[],7,FALSE)</f>
        <v>LTS</v>
      </c>
      <c r="F968" s="233" t="str">
        <f>VLOOKUP(Table8[[#This Row],[Document ID]],Table1[],8,FALSE)</f>
        <v>LTS 1.0</v>
      </c>
      <c r="G968" s="233" t="str">
        <f>VLOOKUP(Table8[[#This Row],[Document ID]],Table1[],10,FALSE)</f>
        <v>Active</v>
      </c>
      <c r="H968" s="43" t="s">
        <v>2350</v>
      </c>
      <c r="I968" s="43" t="s">
        <v>2456</v>
      </c>
      <c r="J968" s="44" t="s">
        <v>2457</v>
      </c>
      <c r="K968" s="44" t="s">
        <v>3261</v>
      </c>
      <c r="L968" s="44" t="s">
        <v>2471</v>
      </c>
      <c r="M968" s="43">
        <v>20</v>
      </c>
      <c r="N968" s="113"/>
      <c r="O968" s="113"/>
      <c r="P968" s="113"/>
      <c r="Q968" s="113"/>
      <c r="R968" s="113"/>
      <c r="S968" s="113"/>
      <c r="T968" s="113"/>
      <c r="U968" s="113"/>
      <c r="V968" s="113"/>
      <c r="W968" s="113"/>
      <c r="X968" s="113" t="s">
        <v>1113</v>
      </c>
      <c r="Y968" s="113" t="s">
        <v>1113</v>
      </c>
      <c r="Z968" s="113" t="s">
        <v>1113</v>
      </c>
      <c r="AA968" s="113"/>
      <c r="AB968" s="113"/>
      <c r="AC968" s="113" t="s">
        <v>1113</v>
      </c>
      <c r="AD968" s="113"/>
      <c r="AE968" s="113"/>
      <c r="AF968" s="113"/>
      <c r="AG968" s="113"/>
      <c r="AH968" s="113"/>
      <c r="AI968" s="113"/>
      <c r="AJ968" s="113"/>
      <c r="AK968" s="319" t="s">
        <v>1113</v>
      </c>
      <c r="AL968" s="113"/>
      <c r="AM968" s="113"/>
      <c r="AN968" s="113"/>
      <c r="AO968" s="43" t="s">
        <v>2477</v>
      </c>
      <c r="AP968" s="43"/>
      <c r="AQ968" s="236" t="str">
        <f>VLOOKUP(Table8[[#This Row],[Instrument]],Def_Targets!$D$73:$E$159,2,FALSE)</f>
        <v>S_Infraimprove</v>
      </c>
      <c r="AR968" s="233" t="str">
        <f>VLOOKUP(Table8[[#This Row],[Country Code]],Table29[],3,FALSE)</f>
        <v>Annex I</v>
      </c>
      <c r="AS968" s="233" t="str">
        <f>VLOOKUP(Table8[[#This Row],[Country Code]],Table29[],4,FALSE)</f>
        <v>Europe</v>
      </c>
      <c r="AT968" s="233" t="str">
        <f>VLOOKUP(Table8[[#This Row],[Country Code]],Table29[],5,FALSE)</f>
        <v>High-income</v>
      </c>
      <c r="AU968" s="233" t="str">
        <f>VLOOKUP(Table8[[#This Row],[Country Code]],Table29[],6,FALSE)</f>
        <v>G20</v>
      </c>
      <c r="AV968" s="233" t="str">
        <f>VLOOKUP(Table8[[#This Row],[Country Code]],Table29[],7,FALSE)</f>
        <v>G7</v>
      </c>
      <c r="AW968" s="233" t="str">
        <f>VLOOKUP(Table8[[#This Row],[Country Code]],Table29[],8,FALSE)</f>
        <v>OECD</v>
      </c>
      <c r="AX968" s="233" t="str">
        <f>VLOOKUP(Table8[[#This Row],[Country Code]],Table29[],9,FALSE)</f>
        <v>EU27</v>
      </c>
      <c r="AY968" s="233" t="str">
        <f>VLOOKUP(Table8[[#This Row],[Country Code]],Table29[],10,FALSE)</f>
        <v>no</v>
      </c>
      <c r="AZ968" s="235">
        <f>VLOOKUP(Table8[[#This Row],[Country Code]],Table29[],23,FALSE)</f>
        <v>385.52011950564003</v>
      </c>
      <c r="BA968" s="235">
        <f>VLOOKUP(Table8[[#This Row],[Country Code]],Table29[],24,FALSE)</f>
        <v>123.5644117217294</v>
      </c>
      <c r="BB968" s="320"/>
      <c r="BC968" s="320"/>
    </row>
    <row r="969" spans="1:55" ht="30" hidden="1" x14ac:dyDescent="0.25">
      <c r="A969" s="373">
        <v>17597</v>
      </c>
      <c r="B969" s="233" t="str">
        <f>VLOOKUP(Table8[[#This Row],[Document ID]],Table1[],2,FALSE)</f>
        <v>FRA</v>
      </c>
      <c r="C969" s="233" t="str">
        <f>VLOOKUP(Table8[[#This Row],[Document ID]],Table1[],3,FALSE)</f>
        <v>France</v>
      </c>
      <c r="D969" s="243" t="str">
        <f>VLOOKUP(Table8[[#This Row],[Document ID]],Table1[],5,FALSE)</f>
        <v>LTS</v>
      </c>
      <c r="E969" s="233" t="str">
        <f>VLOOKUP(Table8[[#This Row],[Document ID]],Table1[],7,FALSE)</f>
        <v>LTS</v>
      </c>
      <c r="F969" s="233" t="str">
        <f>VLOOKUP(Table8[[#This Row],[Document ID]],Table1[],8,FALSE)</f>
        <v>LTS 1.0</v>
      </c>
      <c r="G969" s="233" t="str">
        <f>VLOOKUP(Table8[[#This Row],[Document ID]],Table1[],10,FALSE)</f>
        <v>Active</v>
      </c>
      <c r="H969" s="43" t="s">
        <v>2350</v>
      </c>
      <c r="I969" s="43" t="s">
        <v>2370</v>
      </c>
      <c r="J969" s="44" t="s">
        <v>2518</v>
      </c>
      <c r="K969" s="44" t="s">
        <v>3262</v>
      </c>
      <c r="L969" s="44" t="s">
        <v>2380</v>
      </c>
      <c r="M969" s="43">
        <v>64</v>
      </c>
      <c r="N969" s="113" t="s">
        <v>1113</v>
      </c>
      <c r="O969" s="113"/>
      <c r="P969" s="113"/>
      <c r="Q969" s="113"/>
      <c r="R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t="s">
        <v>1113</v>
      </c>
      <c r="AM969" s="113"/>
      <c r="AN969" s="113"/>
      <c r="AO969" s="44" t="s">
        <v>2334</v>
      </c>
      <c r="AP969" s="43"/>
      <c r="AQ969" s="236" t="str">
        <f>VLOOKUP(Table8[[#This Row],[Instrument]],Def_Targets!$D$73:$E$159,2,FALSE)</f>
        <v>A_Mixuse</v>
      </c>
      <c r="AR969" s="233" t="str">
        <f>VLOOKUP(Table8[[#This Row],[Country Code]],Table29[],3,FALSE)</f>
        <v>Annex I</v>
      </c>
      <c r="AS969" s="233" t="str">
        <f>VLOOKUP(Table8[[#This Row],[Country Code]],Table29[],4,FALSE)</f>
        <v>Europe</v>
      </c>
      <c r="AT969" s="233" t="str">
        <f>VLOOKUP(Table8[[#This Row],[Country Code]],Table29[],5,FALSE)</f>
        <v>High-income</v>
      </c>
      <c r="AU969" s="233" t="str">
        <f>VLOOKUP(Table8[[#This Row],[Country Code]],Table29[],6,FALSE)</f>
        <v>G20</v>
      </c>
      <c r="AV969" s="233" t="str">
        <f>VLOOKUP(Table8[[#This Row],[Country Code]],Table29[],7,FALSE)</f>
        <v>G7</v>
      </c>
      <c r="AW969" s="233" t="str">
        <f>VLOOKUP(Table8[[#This Row],[Country Code]],Table29[],8,FALSE)</f>
        <v>OECD</v>
      </c>
      <c r="AX969" s="233" t="str">
        <f>VLOOKUP(Table8[[#This Row],[Country Code]],Table29[],9,FALSE)</f>
        <v>EU27</v>
      </c>
      <c r="AY969" s="233" t="str">
        <f>VLOOKUP(Table8[[#This Row],[Country Code]],Table29[],10,FALSE)</f>
        <v>no</v>
      </c>
      <c r="AZ969" s="235">
        <f>VLOOKUP(Table8[[#This Row],[Country Code]],Table29[],23,FALSE)</f>
        <v>385.52011950564003</v>
      </c>
      <c r="BA969" s="235">
        <f>VLOOKUP(Table8[[#This Row],[Country Code]],Table29[],24,FALSE)</f>
        <v>123.5644117217294</v>
      </c>
      <c r="BB969" s="320"/>
      <c r="BC969" s="320"/>
    </row>
    <row r="970" spans="1:55" ht="30" hidden="1" x14ac:dyDescent="0.25">
      <c r="A970" s="373">
        <v>17597</v>
      </c>
      <c r="B970" s="233" t="str">
        <f>VLOOKUP(Table8[[#This Row],[Document ID]],Table1[],2,FALSE)</f>
        <v>FRA</v>
      </c>
      <c r="C970" s="233" t="str">
        <f>VLOOKUP(Table8[[#This Row],[Document ID]],Table1[],3,FALSE)</f>
        <v>France</v>
      </c>
      <c r="D970" s="243" t="str">
        <f>VLOOKUP(Table8[[#This Row],[Document ID]],Table1[],5,FALSE)</f>
        <v>LTS</v>
      </c>
      <c r="E970" s="233" t="str">
        <f>VLOOKUP(Table8[[#This Row],[Document ID]],Table1[],7,FALSE)</f>
        <v>LTS</v>
      </c>
      <c r="F970" s="233" t="str">
        <f>VLOOKUP(Table8[[#This Row],[Document ID]],Table1[],8,FALSE)</f>
        <v>LTS 1.0</v>
      </c>
      <c r="G970" s="233" t="str">
        <f>VLOOKUP(Table8[[#This Row],[Document ID]],Table1[],10,FALSE)</f>
        <v>Active</v>
      </c>
      <c r="H970" s="43" t="s">
        <v>2350</v>
      </c>
      <c r="I970" s="43" t="s">
        <v>2370</v>
      </c>
      <c r="J970" s="44" t="s">
        <v>2518</v>
      </c>
      <c r="K970" s="44" t="s">
        <v>3262</v>
      </c>
      <c r="L970" s="44" t="s">
        <v>2380</v>
      </c>
      <c r="M970" s="43">
        <v>64</v>
      </c>
      <c r="N970" s="113" t="s">
        <v>1113</v>
      </c>
      <c r="O970" s="113"/>
      <c r="P970" s="113"/>
      <c r="Q970" s="113"/>
      <c r="R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t="s">
        <v>1113</v>
      </c>
      <c r="AM970" s="113"/>
      <c r="AN970" s="113"/>
      <c r="AO970" s="44" t="s">
        <v>2334</v>
      </c>
      <c r="AP970" s="43"/>
      <c r="AQ970" s="236" t="str">
        <f>VLOOKUP(Table8[[#This Row],[Instrument]],Def_Targets!$D$73:$E$159,2,FALSE)</f>
        <v>A_Mixuse</v>
      </c>
      <c r="AR970" s="233" t="str">
        <f>VLOOKUP(Table8[[#This Row],[Country Code]],Table29[],3,FALSE)</f>
        <v>Annex I</v>
      </c>
      <c r="AS970" s="233" t="str">
        <f>VLOOKUP(Table8[[#This Row],[Country Code]],Table29[],4,FALSE)</f>
        <v>Europe</v>
      </c>
      <c r="AT970" s="233" t="str">
        <f>VLOOKUP(Table8[[#This Row],[Country Code]],Table29[],5,FALSE)</f>
        <v>High-income</v>
      </c>
      <c r="AU970" s="233" t="str">
        <f>VLOOKUP(Table8[[#This Row],[Country Code]],Table29[],6,FALSE)</f>
        <v>G20</v>
      </c>
      <c r="AV970" s="233" t="str">
        <f>VLOOKUP(Table8[[#This Row],[Country Code]],Table29[],7,FALSE)</f>
        <v>G7</v>
      </c>
      <c r="AW970" s="233" t="str">
        <f>VLOOKUP(Table8[[#This Row],[Country Code]],Table29[],8,FALSE)</f>
        <v>OECD</v>
      </c>
      <c r="AX970" s="233" t="str">
        <f>VLOOKUP(Table8[[#This Row],[Country Code]],Table29[],9,FALSE)</f>
        <v>EU27</v>
      </c>
      <c r="AY970" s="233" t="str">
        <f>VLOOKUP(Table8[[#This Row],[Country Code]],Table29[],10,FALSE)</f>
        <v>no</v>
      </c>
      <c r="AZ970" s="235">
        <f>VLOOKUP(Table8[[#This Row],[Country Code]],Table29[],23,FALSE)</f>
        <v>385.52011950564003</v>
      </c>
      <c r="BA970" s="235">
        <f>VLOOKUP(Table8[[#This Row],[Country Code]],Table29[],24,FALSE)</f>
        <v>123.5644117217294</v>
      </c>
      <c r="BB970" s="320"/>
      <c r="BC970" s="320"/>
    </row>
    <row r="971" spans="1:55" ht="30" hidden="1" x14ac:dyDescent="0.25">
      <c r="A971" s="373">
        <v>17597</v>
      </c>
      <c r="B971" s="233" t="str">
        <f>VLOOKUP(Table8[[#This Row],[Document ID]],Table1[],2,FALSE)</f>
        <v>FRA</v>
      </c>
      <c r="C971" s="233" t="str">
        <f>VLOOKUP(Table8[[#This Row],[Document ID]],Table1[],3,FALSE)</f>
        <v>France</v>
      </c>
      <c r="D971" s="243" t="str">
        <f>VLOOKUP(Table8[[#This Row],[Document ID]],Table1[],5,FALSE)</f>
        <v>LTS</v>
      </c>
      <c r="E971" s="233" t="str">
        <f>VLOOKUP(Table8[[#This Row],[Document ID]],Table1[],7,FALSE)</f>
        <v>LTS</v>
      </c>
      <c r="F971" s="233" t="str">
        <f>VLOOKUP(Table8[[#This Row],[Document ID]],Table1[],8,FALSE)</f>
        <v>LTS 1.0</v>
      </c>
      <c r="G971" s="233" t="str">
        <f>VLOOKUP(Table8[[#This Row],[Document ID]],Table1[],10,FALSE)</f>
        <v>Active</v>
      </c>
      <c r="H971" s="43" t="s">
        <v>2350</v>
      </c>
      <c r="I971" s="43" t="s">
        <v>2370</v>
      </c>
      <c r="J971" s="44" t="s">
        <v>2418</v>
      </c>
      <c r="K971" s="44" t="s">
        <v>3263</v>
      </c>
      <c r="L971" s="44" t="s">
        <v>2380</v>
      </c>
      <c r="M971" s="43">
        <v>64</v>
      </c>
      <c r="N971" s="113"/>
      <c r="O971" s="113"/>
      <c r="P971" s="113"/>
      <c r="Q971" s="113"/>
      <c r="R971" s="113"/>
      <c r="S971" s="113" t="s">
        <v>1113</v>
      </c>
      <c r="T971" s="113"/>
      <c r="U971" s="113"/>
      <c r="V971" s="113"/>
      <c r="W971" s="113"/>
      <c r="X971" s="113"/>
      <c r="Y971" s="113"/>
      <c r="Z971" s="113" t="s">
        <v>1113</v>
      </c>
      <c r="AA971" s="113"/>
      <c r="AB971" s="113"/>
      <c r="AC971" s="113"/>
      <c r="AD971" s="113" t="s">
        <v>1113</v>
      </c>
      <c r="AE971" s="113"/>
      <c r="AF971" s="113"/>
      <c r="AG971" s="113"/>
      <c r="AH971" s="113" t="s">
        <v>1113</v>
      </c>
      <c r="AI971" s="113"/>
      <c r="AJ971" s="113"/>
      <c r="AK971" s="113"/>
      <c r="AL971" s="113"/>
      <c r="AM971" s="113" t="s">
        <v>1113</v>
      </c>
      <c r="AN971" s="113"/>
      <c r="AO971" s="43" t="s">
        <v>2353</v>
      </c>
      <c r="AP971" s="43"/>
      <c r="AQ971" s="236" t="str">
        <f>VLOOKUP(Table8[[#This Row],[Instrument]],Def_Targets!$D$73:$E$159,2,FALSE)</f>
        <v>A_Complan</v>
      </c>
      <c r="AR971" s="233" t="str">
        <f>VLOOKUP(Table8[[#This Row],[Country Code]],Table29[],3,FALSE)</f>
        <v>Annex I</v>
      </c>
      <c r="AS971" s="233" t="str">
        <f>VLOOKUP(Table8[[#This Row],[Country Code]],Table29[],4,FALSE)</f>
        <v>Europe</v>
      </c>
      <c r="AT971" s="233" t="str">
        <f>VLOOKUP(Table8[[#This Row],[Country Code]],Table29[],5,FALSE)</f>
        <v>High-income</v>
      </c>
      <c r="AU971" s="233" t="str">
        <f>VLOOKUP(Table8[[#This Row],[Country Code]],Table29[],6,FALSE)</f>
        <v>G20</v>
      </c>
      <c r="AV971" s="233" t="str">
        <f>VLOOKUP(Table8[[#This Row],[Country Code]],Table29[],7,FALSE)</f>
        <v>G7</v>
      </c>
      <c r="AW971" s="233" t="str">
        <f>VLOOKUP(Table8[[#This Row],[Country Code]],Table29[],8,FALSE)</f>
        <v>OECD</v>
      </c>
      <c r="AX971" s="233" t="str">
        <f>VLOOKUP(Table8[[#This Row],[Country Code]],Table29[],9,FALSE)</f>
        <v>EU27</v>
      </c>
      <c r="AY971" s="233" t="str">
        <f>VLOOKUP(Table8[[#This Row],[Country Code]],Table29[],10,FALSE)</f>
        <v>no</v>
      </c>
      <c r="AZ971" s="235">
        <f>VLOOKUP(Table8[[#This Row],[Country Code]],Table29[],23,FALSE)</f>
        <v>385.52011950564003</v>
      </c>
      <c r="BA971" s="235">
        <f>VLOOKUP(Table8[[#This Row],[Country Code]],Table29[],24,FALSE)</f>
        <v>123.5644117217294</v>
      </c>
      <c r="BB971" s="320"/>
      <c r="BC971" s="320"/>
    </row>
    <row r="972" spans="1:55" hidden="1" x14ac:dyDescent="0.25">
      <c r="A972" s="373">
        <v>17597</v>
      </c>
      <c r="B972" s="233" t="str">
        <f>VLOOKUP(Table8[[#This Row],[Document ID]],Table1[],2,FALSE)</f>
        <v>FRA</v>
      </c>
      <c r="C972" s="233" t="str">
        <f>VLOOKUP(Table8[[#This Row],[Document ID]],Table1[],3,FALSE)</f>
        <v>France</v>
      </c>
      <c r="D972" s="243" t="str">
        <f>VLOOKUP(Table8[[#This Row],[Document ID]],Table1[],5,FALSE)</f>
        <v>LTS</v>
      </c>
      <c r="E972" s="233" t="str">
        <f>VLOOKUP(Table8[[#This Row],[Document ID]],Table1[],7,FALSE)</f>
        <v>LTS</v>
      </c>
      <c r="F972" s="233" t="str">
        <f>VLOOKUP(Table8[[#This Row],[Document ID]],Table1[],8,FALSE)</f>
        <v>LTS 1.0</v>
      </c>
      <c r="G972" s="233" t="str">
        <f>VLOOKUP(Table8[[#This Row],[Document ID]],Table1[],10,FALSE)</f>
        <v>Active</v>
      </c>
      <c r="H972" s="43" t="s">
        <v>2343</v>
      </c>
      <c r="I972" s="43" t="s">
        <v>2386</v>
      </c>
      <c r="J972" s="44" t="s">
        <v>2397</v>
      </c>
      <c r="K972" s="44" t="s">
        <v>3264</v>
      </c>
      <c r="L972" s="44" t="s">
        <v>2396</v>
      </c>
      <c r="M972" s="43">
        <v>72</v>
      </c>
      <c r="N972" s="113" t="s">
        <v>1113</v>
      </c>
      <c r="O972" s="113"/>
      <c r="P972" s="113"/>
      <c r="Q972" s="113"/>
      <c r="R972" s="113"/>
      <c r="S972" s="113"/>
      <c r="T972" s="113"/>
      <c r="U972" s="113"/>
      <c r="V972" s="113"/>
      <c r="W972" s="113"/>
      <c r="X972" s="113"/>
      <c r="Y972" s="113"/>
      <c r="Z972" s="113"/>
      <c r="AA972" s="113"/>
      <c r="AB972" s="113"/>
      <c r="AC972" s="113"/>
      <c r="AD972" s="113"/>
      <c r="AE972" s="113"/>
      <c r="AF972" s="113"/>
      <c r="AG972" s="113"/>
      <c r="AH972" s="113"/>
      <c r="AI972" s="113"/>
      <c r="AJ972" s="113"/>
      <c r="AK972" s="319" t="s">
        <v>1113</v>
      </c>
      <c r="AL972" s="113"/>
      <c r="AM972" s="113"/>
      <c r="AN972" s="113"/>
      <c r="AO972" s="44" t="s">
        <v>2334</v>
      </c>
      <c r="AP972" s="43"/>
      <c r="AQ972" s="236" t="str">
        <f>VLOOKUP(Table8[[#This Row],[Instrument]],Def_Targets!$D$73:$E$159,2,FALSE)</f>
        <v>A_Finance</v>
      </c>
      <c r="AR972" s="233" t="str">
        <f>VLOOKUP(Table8[[#This Row],[Country Code]],Table29[],3,FALSE)</f>
        <v>Annex I</v>
      </c>
      <c r="AS972" s="233" t="str">
        <f>VLOOKUP(Table8[[#This Row],[Country Code]],Table29[],4,FALSE)</f>
        <v>Europe</v>
      </c>
      <c r="AT972" s="233" t="str">
        <f>VLOOKUP(Table8[[#This Row],[Country Code]],Table29[],5,FALSE)</f>
        <v>High-income</v>
      </c>
      <c r="AU972" s="233" t="str">
        <f>VLOOKUP(Table8[[#This Row],[Country Code]],Table29[],6,FALSE)</f>
        <v>G20</v>
      </c>
      <c r="AV972" s="233" t="str">
        <f>VLOOKUP(Table8[[#This Row],[Country Code]],Table29[],7,FALSE)</f>
        <v>G7</v>
      </c>
      <c r="AW972" s="233" t="str">
        <f>VLOOKUP(Table8[[#This Row],[Country Code]],Table29[],8,FALSE)</f>
        <v>OECD</v>
      </c>
      <c r="AX972" s="233" t="str">
        <f>VLOOKUP(Table8[[#This Row],[Country Code]],Table29[],9,FALSE)</f>
        <v>EU27</v>
      </c>
      <c r="AY972" s="233" t="str">
        <f>VLOOKUP(Table8[[#This Row],[Country Code]],Table29[],10,FALSE)</f>
        <v>no</v>
      </c>
      <c r="AZ972" s="235">
        <f>VLOOKUP(Table8[[#This Row],[Country Code]],Table29[],23,FALSE)</f>
        <v>385.52011950564003</v>
      </c>
      <c r="BA972" s="235">
        <f>VLOOKUP(Table8[[#This Row],[Country Code]],Table29[],24,FALSE)</f>
        <v>123.5644117217294</v>
      </c>
      <c r="BB972" s="320"/>
      <c r="BC972" s="320"/>
    </row>
    <row r="973" spans="1:55" hidden="1" x14ac:dyDescent="0.25">
      <c r="A973" s="373">
        <v>17617</v>
      </c>
      <c r="B973" s="233" t="str">
        <f>VLOOKUP(Table8[[#This Row],[Document ID]],Table1[],2,FALSE)</f>
        <v>IND</v>
      </c>
      <c r="C973" s="233" t="str">
        <f>VLOOKUP(Table8[[#This Row],[Document ID]],Table1[],3,FALSE)</f>
        <v>India</v>
      </c>
      <c r="D973" s="243" t="str">
        <f>VLOOKUP(Table8[[#This Row],[Document ID]],Table1[],5,FALSE)</f>
        <v>NDC</v>
      </c>
      <c r="E973" s="233" t="str">
        <f>VLOOKUP(Table8[[#This Row],[Document ID]],Table1[],7,FALSE)</f>
        <v>First NDC</v>
      </c>
      <c r="F973" s="236" t="str">
        <f>VLOOKUP(Table8[[#This Row],[Document ID]],Table1[],8,FALSE)</f>
        <v>NDC 1.0</v>
      </c>
      <c r="G973" s="236" t="str">
        <f>VLOOKUP(Table8[[#This Row],[Document ID]],Table1[],10,FALSE)</f>
        <v>Archived</v>
      </c>
      <c r="H973" s="44" t="s">
        <v>2338</v>
      </c>
      <c r="I973" s="44" t="s">
        <v>2339</v>
      </c>
      <c r="J973" s="44" t="s">
        <v>2413</v>
      </c>
      <c r="K973" s="44" t="s">
        <v>3265</v>
      </c>
      <c r="L973" s="44" t="s">
        <v>2333</v>
      </c>
      <c r="M973" s="43"/>
      <c r="N973" s="113" t="s">
        <v>1113</v>
      </c>
      <c r="O973" s="113"/>
      <c r="P973" s="113"/>
      <c r="Q973" s="319"/>
      <c r="R973" s="319"/>
      <c r="S973" s="319"/>
      <c r="T973" s="319"/>
      <c r="U973" s="319"/>
      <c r="V973" s="319"/>
      <c r="W973" s="319"/>
      <c r="X973" s="319"/>
      <c r="Y973" s="319"/>
      <c r="Z973" s="319"/>
      <c r="AA973" s="319"/>
      <c r="AB973" s="319"/>
      <c r="AC973" s="319"/>
      <c r="AD973" s="319"/>
      <c r="AE973" s="319"/>
      <c r="AF973" s="319"/>
      <c r="AG973" s="319"/>
      <c r="AH973" s="319"/>
      <c r="AI973" s="319"/>
      <c r="AJ973" s="319"/>
      <c r="AK973" s="319" t="s">
        <v>1113</v>
      </c>
      <c r="AL973" s="319"/>
      <c r="AM973" s="319"/>
      <c r="AN973" s="319"/>
      <c r="AO973" s="43" t="s">
        <v>2348</v>
      </c>
      <c r="AP973" s="44"/>
      <c r="AQ973" s="236" t="str">
        <f>VLOOKUP(Table8[[#This Row],[Instrument]],Def_Targets!$D$73:$E$159,2,FALSE)</f>
        <v>I_Vehicleeff</v>
      </c>
      <c r="AR973" s="233" t="str">
        <f>VLOOKUP(Table8[[#This Row],[Country Code]],Table29[],3,FALSE)</f>
        <v>Non-Annex I</v>
      </c>
      <c r="AS973" s="233" t="str">
        <f>VLOOKUP(Table8[[#This Row],[Country Code]],Table29[],4,FALSE)</f>
        <v>Asia</v>
      </c>
      <c r="AT973" s="233" t="str">
        <f>VLOOKUP(Table8[[#This Row],[Country Code]],Table29[],5,FALSE)</f>
        <v>Middle-income</v>
      </c>
      <c r="AU973" s="233" t="str">
        <f>VLOOKUP(Table8[[#This Row],[Country Code]],Table29[],6,FALSE)</f>
        <v>G20</v>
      </c>
      <c r="AV973" s="233" t="str">
        <f>VLOOKUP(Table8[[#This Row],[Country Code]],Table29[],7,FALSE)</f>
        <v>no</v>
      </c>
      <c r="AW973" s="233" t="str">
        <f>VLOOKUP(Table8[[#This Row],[Country Code]],Table29[],8,FALSE)</f>
        <v>non-OECD</v>
      </c>
      <c r="AX973" s="233" t="str">
        <f>VLOOKUP(Table8[[#This Row],[Country Code]],Table29[],9,FALSE)</f>
        <v>no</v>
      </c>
      <c r="AY973" s="233" t="str">
        <f>VLOOKUP(Table8[[#This Row],[Country Code]],Table29[],10,FALSE)</f>
        <v>no</v>
      </c>
      <c r="AZ973" s="235">
        <f>VLOOKUP(Table8[[#This Row],[Country Code]],Table29[],23,FALSE)</f>
        <v>4133.5543557464998</v>
      </c>
      <c r="BA973" s="235">
        <f>VLOOKUP(Table8[[#This Row],[Country Code]],Table29[],24,FALSE)</f>
        <v>349.27466196453167</v>
      </c>
      <c r="BB973" s="320"/>
      <c r="BC973" s="320"/>
    </row>
    <row r="974" spans="1:55" ht="30" hidden="1" x14ac:dyDescent="0.25">
      <c r="A974" s="373">
        <v>17617</v>
      </c>
      <c r="B974" s="233" t="str">
        <f>VLOOKUP(Table8[[#This Row],[Document ID]],Table1[],2,FALSE)</f>
        <v>IND</v>
      </c>
      <c r="C974" s="233" t="str">
        <f>VLOOKUP(Table8[[#This Row],[Document ID]],Table1[],3,FALSE)</f>
        <v>India</v>
      </c>
      <c r="D974" s="243" t="str">
        <f>VLOOKUP(Table8[[#This Row],[Document ID]],Table1[],5,FALSE)</f>
        <v>NDC</v>
      </c>
      <c r="E974" s="233" t="str">
        <f>VLOOKUP(Table8[[#This Row],[Document ID]],Table1[],7,FALSE)</f>
        <v>First NDC</v>
      </c>
      <c r="F974" s="236" t="str">
        <f>VLOOKUP(Table8[[#This Row],[Document ID]],Table1[],8,FALSE)</f>
        <v>NDC 1.0</v>
      </c>
      <c r="G974" s="236" t="str">
        <f>VLOOKUP(Table8[[#This Row],[Document ID]],Table1[],10,FALSE)</f>
        <v>Archived</v>
      </c>
      <c r="H974" s="43" t="s">
        <v>2350</v>
      </c>
      <c r="I974" s="43" t="s">
        <v>2351</v>
      </c>
      <c r="J974" s="44" t="s">
        <v>2352</v>
      </c>
      <c r="K974" s="44" t="s">
        <v>1642</v>
      </c>
      <c r="L974" s="44" t="s">
        <v>2347</v>
      </c>
      <c r="M974" s="43"/>
      <c r="N974" s="113"/>
      <c r="O974" s="113"/>
      <c r="P974" s="113"/>
      <c r="Q974" s="319"/>
      <c r="R974" s="319"/>
      <c r="S974" s="319"/>
      <c r="T974" s="319"/>
      <c r="U974" s="319"/>
      <c r="V974" s="319"/>
      <c r="W974" s="319"/>
      <c r="X974" s="319"/>
      <c r="Y974" s="319"/>
      <c r="Z974" s="113" t="s">
        <v>1113</v>
      </c>
      <c r="AA974" s="319"/>
      <c r="AB974" s="319"/>
      <c r="AC974" s="319"/>
      <c r="AD974" s="319"/>
      <c r="AE974" s="319"/>
      <c r="AF974" s="319"/>
      <c r="AG974" s="319"/>
      <c r="AH974" s="319"/>
      <c r="AI974" s="319"/>
      <c r="AJ974" s="319"/>
      <c r="AK974" s="319" t="s">
        <v>1113</v>
      </c>
      <c r="AL974" s="319"/>
      <c r="AM974" s="319"/>
      <c r="AN974" s="319"/>
      <c r="AO974" s="44" t="s">
        <v>2334</v>
      </c>
      <c r="AP974" s="44"/>
      <c r="AQ974" s="236" t="str">
        <f>VLOOKUP(Table8[[#This Row],[Instrument]],Def_Targets!$D$73:$E$159,2,FALSE)</f>
        <v>S_Railfreight</v>
      </c>
      <c r="AR974" s="233" t="str">
        <f>VLOOKUP(Table8[[#This Row],[Country Code]],Table29[],3,FALSE)</f>
        <v>Non-Annex I</v>
      </c>
      <c r="AS974" s="233" t="str">
        <f>VLOOKUP(Table8[[#This Row],[Country Code]],Table29[],4,FALSE)</f>
        <v>Asia</v>
      </c>
      <c r="AT974" s="233" t="str">
        <f>VLOOKUP(Table8[[#This Row],[Country Code]],Table29[],5,FALSE)</f>
        <v>Middle-income</v>
      </c>
      <c r="AU974" s="233" t="str">
        <f>VLOOKUP(Table8[[#This Row],[Country Code]],Table29[],6,FALSE)</f>
        <v>G20</v>
      </c>
      <c r="AV974" s="233" t="str">
        <f>VLOOKUP(Table8[[#This Row],[Country Code]],Table29[],7,FALSE)</f>
        <v>no</v>
      </c>
      <c r="AW974" s="233" t="str">
        <f>VLOOKUP(Table8[[#This Row],[Country Code]],Table29[],8,FALSE)</f>
        <v>non-OECD</v>
      </c>
      <c r="AX974" s="233" t="str">
        <f>VLOOKUP(Table8[[#This Row],[Country Code]],Table29[],9,FALSE)</f>
        <v>no</v>
      </c>
      <c r="AY974" s="233" t="str">
        <f>VLOOKUP(Table8[[#This Row],[Country Code]],Table29[],10,FALSE)</f>
        <v>no</v>
      </c>
      <c r="AZ974" s="235">
        <f>VLOOKUP(Table8[[#This Row],[Country Code]],Table29[],23,FALSE)</f>
        <v>4133.5543557464998</v>
      </c>
      <c r="BA974" s="235">
        <f>VLOOKUP(Table8[[#This Row],[Country Code]],Table29[],24,FALSE)</f>
        <v>349.27466196453167</v>
      </c>
      <c r="BB974" s="320"/>
      <c r="BC974" s="320"/>
    </row>
    <row r="975" spans="1:55" hidden="1" x14ac:dyDescent="0.25">
      <c r="A975" s="373">
        <v>17617</v>
      </c>
      <c r="B975" s="233" t="str">
        <f>VLOOKUP(Table8[[#This Row],[Document ID]],Table1[],2,FALSE)</f>
        <v>IND</v>
      </c>
      <c r="C975" s="233" t="str">
        <f>VLOOKUP(Table8[[#This Row],[Document ID]],Table1[],3,FALSE)</f>
        <v>India</v>
      </c>
      <c r="D975" s="243" t="str">
        <f>VLOOKUP(Table8[[#This Row],[Document ID]],Table1[],5,FALSE)</f>
        <v>NDC</v>
      </c>
      <c r="E975" s="233" t="str">
        <f>VLOOKUP(Table8[[#This Row],[Document ID]],Table1[],7,FALSE)</f>
        <v>First NDC</v>
      </c>
      <c r="F975" s="236" t="str">
        <f>VLOOKUP(Table8[[#This Row],[Document ID]],Table1[],8,FALSE)</f>
        <v>NDC 1.0</v>
      </c>
      <c r="G975" s="236" t="str">
        <f>VLOOKUP(Table8[[#This Row],[Document ID]],Table1[],10,FALSE)</f>
        <v>Archived</v>
      </c>
      <c r="H975" s="43" t="s">
        <v>2484</v>
      </c>
      <c r="I975" s="43" t="s">
        <v>2485</v>
      </c>
      <c r="J975" s="44" t="s">
        <v>2486</v>
      </c>
      <c r="K975" s="44" t="s">
        <v>3266</v>
      </c>
      <c r="L975" s="44" t="s">
        <v>2347</v>
      </c>
      <c r="M975" s="43"/>
      <c r="N975" s="113"/>
      <c r="O975" s="113"/>
      <c r="P975" s="113"/>
      <c r="Q975" s="319"/>
      <c r="R975" s="319"/>
      <c r="S975" s="319"/>
      <c r="T975" s="319"/>
      <c r="U975" s="319"/>
      <c r="V975" s="319"/>
      <c r="W975" s="319"/>
      <c r="X975" s="319"/>
      <c r="Y975" s="319"/>
      <c r="Z975" s="319"/>
      <c r="AA975" s="319"/>
      <c r="AB975" s="319"/>
      <c r="AC975" s="319"/>
      <c r="AD975" s="319"/>
      <c r="AE975" s="319" t="s">
        <v>1113</v>
      </c>
      <c r="AF975" s="319" t="s">
        <v>1113</v>
      </c>
      <c r="AG975" s="319"/>
      <c r="AH975" s="319"/>
      <c r="AI975" s="319"/>
      <c r="AJ975" s="319"/>
      <c r="AK975" s="319" t="s">
        <v>1113</v>
      </c>
      <c r="AL975" s="319"/>
      <c r="AM975" s="319"/>
      <c r="AN975" s="319"/>
      <c r="AO975" s="44" t="s">
        <v>2334</v>
      </c>
      <c r="AP975" s="44"/>
      <c r="AQ975" s="236" t="str">
        <f>VLOOKUP(Table8[[#This Row],[Instrument]],Def_Targets!$D$73:$E$159,2,FALSE)</f>
        <v>I_Shipping</v>
      </c>
      <c r="AR975" s="233" t="str">
        <f>VLOOKUP(Table8[[#This Row],[Country Code]],Table29[],3,FALSE)</f>
        <v>Non-Annex I</v>
      </c>
      <c r="AS975" s="233" t="str">
        <f>VLOOKUP(Table8[[#This Row],[Country Code]],Table29[],4,FALSE)</f>
        <v>Asia</v>
      </c>
      <c r="AT975" s="233" t="str">
        <f>VLOOKUP(Table8[[#This Row],[Country Code]],Table29[],5,FALSE)</f>
        <v>Middle-income</v>
      </c>
      <c r="AU975" s="233" t="str">
        <f>VLOOKUP(Table8[[#This Row],[Country Code]],Table29[],6,FALSE)</f>
        <v>G20</v>
      </c>
      <c r="AV975" s="233" t="str">
        <f>VLOOKUP(Table8[[#This Row],[Country Code]],Table29[],7,FALSE)</f>
        <v>no</v>
      </c>
      <c r="AW975" s="233" t="str">
        <f>VLOOKUP(Table8[[#This Row],[Country Code]],Table29[],8,FALSE)</f>
        <v>non-OECD</v>
      </c>
      <c r="AX975" s="233" t="str">
        <f>VLOOKUP(Table8[[#This Row],[Country Code]],Table29[],9,FALSE)</f>
        <v>no</v>
      </c>
      <c r="AY975" s="233" t="str">
        <f>VLOOKUP(Table8[[#This Row],[Country Code]],Table29[],10,FALSE)</f>
        <v>no</v>
      </c>
      <c r="AZ975" s="235">
        <f>VLOOKUP(Table8[[#This Row],[Country Code]],Table29[],23,FALSE)</f>
        <v>4133.5543557464998</v>
      </c>
      <c r="BA975" s="235">
        <f>VLOOKUP(Table8[[#This Row],[Country Code]],Table29[],24,FALSE)</f>
        <v>349.27466196453167</v>
      </c>
      <c r="BB975" s="320"/>
      <c r="BC975" s="320"/>
    </row>
    <row r="976" spans="1:55" hidden="1" x14ac:dyDescent="0.25">
      <c r="A976" s="373">
        <v>17617</v>
      </c>
      <c r="B976" s="233" t="str">
        <f>VLOOKUP(Table8[[#This Row],[Document ID]],Table1[],2,FALSE)</f>
        <v>IND</v>
      </c>
      <c r="C976" s="233" t="str">
        <f>VLOOKUP(Table8[[#This Row],[Document ID]],Table1[],3,FALSE)</f>
        <v>India</v>
      </c>
      <c r="D976" s="243" t="str">
        <f>VLOOKUP(Table8[[#This Row],[Document ID]],Table1[],5,FALSE)</f>
        <v>NDC</v>
      </c>
      <c r="E976" s="233" t="str">
        <f>VLOOKUP(Table8[[#This Row],[Document ID]],Table1[],7,FALSE)</f>
        <v>First NDC</v>
      </c>
      <c r="F976" s="236" t="str">
        <f>VLOOKUP(Table8[[#This Row],[Document ID]],Table1[],8,FALSE)</f>
        <v>NDC 1.0</v>
      </c>
      <c r="G976" s="236" t="str">
        <f>VLOOKUP(Table8[[#This Row],[Document ID]],Table1[],10,FALSE)</f>
        <v>Archived</v>
      </c>
      <c r="H976" s="43" t="s">
        <v>2358</v>
      </c>
      <c r="I976" s="43" t="s">
        <v>2359</v>
      </c>
      <c r="J976" s="44" t="s">
        <v>2360</v>
      </c>
      <c r="K976" s="44" t="s">
        <v>3267</v>
      </c>
      <c r="L976" s="44" t="s">
        <v>2333</v>
      </c>
      <c r="M976" s="43"/>
      <c r="N976" s="113" t="s">
        <v>1113</v>
      </c>
      <c r="O976" s="113"/>
      <c r="P976" s="113"/>
      <c r="Q976" s="319"/>
      <c r="R976" s="319"/>
      <c r="S976" s="319"/>
      <c r="T976" s="319"/>
      <c r="U976" s="319"/>
      <c r="V976" s="319"/>
      <c r="W976" s="319"/>
      <c r="X976" s="319"/>
      <c r="Y976" s="319"/>
      <c r="Z976" s="319"/>
      <c r="AA976" s="319"/>
      <c r="AB976" s="319"/>
      <c r="AC976" s="319"/>
      <c r="AD976" s="319"/>
      <c r="AE976" s="319"/>
      <c r="AF976" s="319"/>
      <c r="AG976" s="319"/>
      <c r="AH976" s="319"/>
      <c r="AI976" s="319"/>
      <c r="AJ976" s="319"/>
      <c r="AK976" s="319" t="s">
        <v>1113</v>
      </c>
      <c r="AL976" s="319"/>
      <c r="AM976" s="319"/>
      <c r="AN976" s="319"/>
      <c r="AO976" s="44" t="s">
        <v>2334</v>
      </c>
      <c r="AP976" s="44"/>
      <c r="AQ976" s="236" t="str">
        <f>VLOOKUP(Table8[[#This Row],[Instrument]],Def_Targets!$D$73:$E$159,2,FALSE)</f>
        <v>I_Emobility</v>
      </c>
      <c r="AR976" s="233" t="str">
        <f>VLOOKUP(Table8[[#This Row],[Country Code]],Table29[],3,FALSE)</f>
        <v>Non-Annex I</v>
      </c>
      <c r="AS976" s="233" t="str">
        <f>VLOOKUP(Table8[[#This Row],[Country Code]],Table29[],4,FALSE)</f>
        <v>Asia</v>
      </c>
      <c r="AT976" s="233" t="str">
        <f>VLOOKUP(Table8[[#This Row],[Country Code]],Table29[],5,FALSE)</f>
        <v>Middle-income</v>
      </c>
      <c r="AU976" s="233" t="str">
        <f>VLOOKUP(Table8[[#This Row],[Country Code]],Table29[],6,FALSE)</f>
        <v>G20</v>
      </c>
      <c r="AV976" s="233" t="str">
        <f>VLOOKUP(Table8[[#This Row],[Country Code]],Table29[],7,FALSE)</f>
        <v>no</v>
      </c>
      <c r="AW976" s="233" t="str">
        <f>VLOOKUP(Table8[[#This Row],[Country Code]],Table29[],8,FALSE)</f>
        <v>non-OECD</v>
      </c>
      <c r="AX976" s="233" t="str">
        <f>VLOOKUP(Table8[[#This Row],[Country Code]],Table29[],9,FALSE)</f>
        <v>no</v>
      </c>
      <c r="AY976" s="233" t="str">
        <f>VLOOKUP(Table8[[#This Row],[Country Code]],Table29[],10,FALSE)</f>
        <v>no</v>
      </c>
      <c r="AZ976" s="235">
        <f>VLOOKUP(Table8[[#This Row],[Country Code]],Table29[],23,FALSE)</f>
        <v>4133.5543557464998</v>
      </c>
      <c r="BA976" s="235">
        <f>VLOOKUP(Table8[[#This Row],[Country Code]],Table29[],24,FALSE)</f>
        <v>349.27466196453167</v>
      </c>
      <c r="BB976" s="320"/>
      <c r="BC976" s="320"/>
    </row>
    <row r="977" spans="1:55" hidden="1" x14ac:dyDescent="0.25">
      <c r="A977" s="373">
        <v>17617</v>
      </c>
      <c r="B977" s="233" t="str">
        <f>VLOOKUP(Table8[[#This Row],[Document ID]],Table1[],2,FALSE)</f>
        <v>IND</v>
      </c>
      <c r="C977" s="233" t="str">
        <f>VLOOKUP(Table8[[#This Row],[Document ID]],Table1[],3,FALSE)</f>
        <v>India</v>
      </c>
      <c r="D977" s="243" t="str">
        <f>VLOOKUP(Table8[[#This Row],[Document ID]],Table1[],5,FALSE)</f>
        <v>NDC</v>
      </c>
      <c r="E977" s="233" t="str">
        <f>VLOOKUP(Table8[[#This Row],[Document ID]],Table1[],7,FALSE)</f>
        <v>First NDC</v>
      </c>
      <c r="F977" s="236" t="str">
        <f>VLOOKUP(Table8[[#This Row],[Document ID]],Table1[],8,FALSE)</f>
        <v>NDC 1.0</v>
      </c>
      <c r="G977" s="236" t="str">
        <f>VLOOKUP(Table8[[#This Row],[Document ID]],Table1[],10,FALSE)</f>
        <v>Archived</v>
      </c>
      <c r="H977" s="44" t="s">
        <v>2329</v>
      </c>
      <c r="I977" s="44" t="s">
        <v>2330</v>
      </c>
      <c r="J977" s="44" t="s">
        <v>2357</v>
      </c>
      <c r="K977" s="44" t="s">
        <v>3268</v>
      </c>
      <c r="L977" s="44" t="s">
        <v>2333</v>
      </c>
      <c r="M977" s="43"/>
      <c r="N977" s="113" t="s">
        <v>1113</v>
      </c>
      <c r="O977" s="113"/>
      <c r="P977" s="113"/>
      <c r="Q977" s="319"/>
      <c r="R977" s="319"/>
      <c r="S977" s="319"/>
      <c r="T977" s="319"/>
      <c r="U977" s="319"/>
      <c r="V977" s="319"/>
      <c r="W977" s="319"/>
      <c r="X977" s="319"/>
      <c r="Y977" s="319"/>
      <c r="Z977" s="319"/>
      <c r="AA977" s="319"/>
      <c r="AB977" s="319"/>
      <c r="AC977" s="319"/>
      <c r="AD977" s="319"/>
      <c r="AE977" s="319"/>
      <c r="AF977" s="319"/>
      <c r="AG977" s="319"/>
      <c r="AH977" s="319"/>
      <c r="AI977" s="319"/>
      <c r="AJ977" s="319"/>
      <c r="AK977" s="319" t="s">
        <v>1113</v>
      </c>
      <c r="AL977" s="319"/>
      <c r="AM977" s="319"/>
      <c r="AN977" s="319"/>
      <c r="AO977" s="44" t="s">
        <v>2334</v>
      </c>
      <c r="AP977" s="44"/>
      <c r="AQ977" s="236" t="str">
        <f>VLOOKUP(Table8[[#This Row],[Instrument]],Def_Targets!$D$73:$E$159,2,FALSE)</f>
        <v>I_Biofuel</v>
      </c>
      <c r="AR977" s="233" t="str">
        <f>VLOOKUP(Table8[[#This Row],[Country Code]],Table29[],3,FALSE)</f>
        <v>Non-Annex I</v>
      </c>
      <c r="AS977" s="233" t="str">
        <f>VLOOKUP(Table8[[#This Row],[Country Code]],Table29[],4,FALSE)</f>
        <v>Asia</v>
      </c>
      <c r="AT977" s="233" t="str">
        <f>VLOOKUP(Table8[[#This Row],[Country Code]],Table29[],5,FALSE)</f>
        <v>Middle-income</v>
      </c>
      <c r="AU977" s="233" t="str">
        <f>VLOOKUP(Table8[[#This Row],[Country Code]],Table29[],6,FALSE)</f>
        <v>G20</v>
      </c>
      <c r="AV977" s="233" t="str">
        <f>VLOOKUP(Table8[[#This Row],[Country Code]],Table29[],7,FALSE)</f>
        <v>no</v>
      </c>
      <c r="AW977" s="233" t="str">
        <f>VLOOKUP(Table8[[#This Row],[Country Code]],Table29[],8,FALSE)</f>
        <v>non-OECD</v>
      </c>
      <c r="AX977" s="233" t="str">
        <f>VLOOKUP(Table8[[#This Row],[Country Code]],Table29[],9,FALSE)</f>
        <v>no</v>
      </c>
      <c r="AY977" s="233" t="str">
        <f>VLOOKUP(Table8[[#This Row],[Country Code]],Table29[],10,FALSE)</f>
        <v>no</v>
      </c>
      <c r="AZ977" s="235">
        <f>VLOOKUP(Table8[[#This Row],[Country Code]],Table29[],23,FALSE)</f>
        <v>4133.5543557464998</v>
      </c>
      <c r="BA977" s="235">
        <f>VLOOKUP(Table8[[#This Row],[Country Code]],Table29[],24,FALSE)</f>
        <v>349.27466196453167</v>
      </c>
      <c r="BB977" s="320"/>
      <c r="BC977" s="320"/>
    </row>
    <row r="978" spans="1:55" ht="30" hidden="1" x14ac:dyDescent="0.25">
      <c r="A978" s="373">
        <v>17617</v>
      </c>
      <c r="B978" s="233" t="str">
        <f>VLOOKUP(Table8[[#This Row],[Document ID]],Table1[],2,FALSE)</f>
        <v>IND</v>
      </c>
      <c r="C978" s="233" t="str">
        <f>VLOOKUP(Table8[[#This Row],[Document ID]],Table1[],3,FALSE)</f>
        <v>India</v>
      </c>
      <c r="D978" s="243" t="str">
        <f>VLOOKUP(Table8[[#This Row],[Document ID]],Table1[],5,FALSE)</f>
        <v>NDC</v>
      </c>
      <c r="E978" s="233" t="str">
        <f>VLOOKUP(Table8[[#This Row],[Document ID]],Table1[],7,FALSE)</f>
        <v>First NDC</v>
      </c>
      <c r="F978" s="236" t="str">
        <f>VLOOKUP(Table8[[#This Row],[Document ID]],Table1[],8,FALSE)</f>
        <v>NDC 1.0</v>
      </c>
      <c r="G978" s="236" t="str">
        <f>VLOOKUP(Table8[[#This Row],[Document ID]],Table1[],10,FALSE)</f>
        <v>Archived</v>
      </c>
      <c r="H978" s="43" t="s">
        <v>2343</v>
      </c>
      <c r="I978" s="43" t="s">
        <v>2386</v>
      </c>
      <c r="J978" s="44" t="s">
        <v>2515</v>
      </c>
      <c r="K978" s="44" t="s">
        <v>3269</v>
      </c>
      <c r="L978" s="44" t="s">
        <v>2373</v>
      </c>
      <c r="M978" s="43"/>
      <c r="N978" s="113" t="s">
        <v>1113</v>
      </c>
      <c r="O978" s="113"/>
      <c r="P978" s="113"/>
      <c r="Q978" s="319"/>
      <c r="R978" s="319"/>
      <c r="S978" s="319"/>
      <c r="T978" s="319"/>
      <c r="U978" s="319"/>
      <c r="V978" s="319"/>
      <c r="W978" s="319"/>
      <c r="X978" s="319"/>
      <c r="Y978" s="319"/>
      <c r="Z978" s="319"/>
      <c r="AA978" s="319"/>
      <c r="AB978" s="319"/>
      <c r="AC978" s="319"/>
      <c r="AD978" s="319"/>
      <c r="AE978" s="319"/>
      <c r="AF978" s="319"/>
      <c r="AG978" s="319"/>
      <c r="AH978" s="319"/>
      <c r="AI978" s="319"/>
      <c r="AJ978" s="319"/>
      <c r="AK978" s="319" t="s">
        <v>1113</v>
      </c>
      <c r="AL978" s="319"/>
      <c r="AM978" s="319"/>
      <c r="AN978" s="319"/>
      <c r="AO978" s="44" t="s">
        <v>2334</v>
      </c>
      <c r="AP978" s="44"/>
      <c r="AQ978" s="236" t="str">
        <f>VLOOKUP(Table8[[#This Row],[Instrument]],Def_Targets!$D$73:$E$159,2,FALSE)</f>
        <v>A_Fossilfuelsubs</v>
      </c>
      <c r="AR978" s="233" t="str">
        <f>VLOOKUP(Table8[[#This Row],[Country Code]],Table29[],3,FALSE)</f>
        <v>Non-Annex I</v>
      </c>
      <c r="AS978" s="233" t="str">
        <f>VLOOKUP(Table8[[#This Row],[Country Code]],Table29[],4,FALSE)</f>
        <v>Asia</v>
      </c>
      <c r="AT978" s="233" t="str">
        <f>VLOOKUP(Table8[[#This Row],[Country Code]],Table29[],5,FALSE)</f>
        <v>Middle-income</v>
      </c>
      <c r="AU978" s="233" t="str">
        <f>VLOOKUP(Table8[[#This Row],[Country Code]],Table29[],6,FALSE)</f>
        <v>G20</v>
      </c>
      <c r="AV978" s="233" t="str">
        <f>VLOOKUP(Table8[[#This Row],[Country Code]],Table29[],7,FALSE)</f>
        <v>no</v>
      </c>
      <c r="AW978" s="233" t="str">
        <f>VLOOKUP(Table8[[#This Row],[Country Code]],Table29[],8,FALSE)</f>
        <v>non-OECD</v>
      </c>
      <c r="AX978" s="233" t="str">
        <f>VLOOKUP(Table8[[#This Row],[Country Code]],Table29[],9,FALSE)</f>
        <v>no</v>
      </c>
      <c r="AY978" s="233" t="str">
        <f>VLOOKUP(Table8[[#This Row],[Country Code]],Table29[],10,FALSE)</f>
        <v>no</v>
      </c>
      <c r="AZ978" s="235">
        <f>VLOOKUP(Table8[[#This Row],[Country Code]],Table29[],23,FALSE)</f>
        <v>4133.5543557464998</v>
      </c>
      <c r="BA978" s="235">
        <f>VLOOKUP(Table8[[#This Row],[Country Code]],Table29[],24,FALSE)</f>
        <v>349.27466196453167</v>
      </c>
      <c r="BB978" s="320"/>
      <c r="BC978" s="320"/>
    </row>
    <row r="979" spans="1:55" hidden="1" x14ac:dyDescent="0.25">
      <c r="A979" s="373">
        <v>17617</v>
      </c>
      <c r="B979" s="233" t="str">
        <f>VLOOKUP(Table8[[#This Row],[Document ID]],Table1[],2,FALSE)</f>
        <v>IND</v>
      </c>
      <c r="C979" s="233" t="str">
        <f>VLOOKUP(Table8[[#This Row],[Document ID]],Table1[],3,FALSE)</f>
        <v>India</v>
      </c>
      <c r="D979" s="243" t="str">
        <f>VLOOKUP(Table8[[#This Row],[Document ID]],Table1[],5,FALSE)</f>
        <v>NDC</v>
      </c>
      <c r="E979" s="233" t="str">
        <f>VLOOKUP(Table8[[#This Row],[Document ID]],Table1[],7,FALSE)</f>
        <v>First NDC</v>
      </c>
      <c r="F979" s="236" t="str">
        <f>VLOOKUP(Table8[[#This Row],[Document ID]],Table1[],8,FALSE)</f>
        <v>NDC 1.0</v>
      </c>
      <c r="G979" s="236" t="str">
        <f>VLOOKUP(Table8[[#This Row],[Document ID]],Table1[],10,FALSE)</f>
        <v>Archived</v>
      </c>
      <c r="H979" s="44" t="s">
        <v>2329</v>
      </c>
      <c r="I979" s="44" t="s">
        <v>2330</v>
      </c>
      <c r="J979" s="44" t="s">
        <v>2381</v>
      </c>
      <c r="K979" s="44" t="s">
        <v>3270</v>
      </c>
      <c r="L979" s="44" t="s">
        <v>2333</v>
      </c>
      <c r="M979" s="43"/>
      <c r="N979" s="113" t="s">
        <v>1113</v>
      </c>
      <c r="O979" s="113"/>
      <c r="P979" s="113"/>
      <c r="Q979" s="319"/>
      <c r="R979" s="319"/>
      <c r="S979" s="319"/>
      <c r="T979" s="319"/>
      <c r="U979" s="319"/>
      <c r="V979" s="319"/>
      <c r="W979" s="319"/>
      <c r="X979" s="319"/>
      <c r="Y979" s="319"/>
      <c r="Z979" s="319"/>
      <c r="AA979" s="319"/>
      <c r="AB979" s="319"/>
      <c r="AC979" s="319"/>
      <c r="AD979" s="319"/>
      <c r="AE979" s="319"/>
      <c r="AF979" s="319"/>
      <c r="AG979" s="319"/>
      <c r="AH979" s="319"/>
      <c r="AI979" s="319"/>
      <c r="AJ979" s="319"/>
      <c r="AK979" s="319" t="s">
        <v>1113</v>
      </c>
      <c r="AL979" s="319"/>
      <c r="AM979" s="319"/>
      <c r="AN979" s="319"/>
      <c r="AO979" s="44" t="s">
        <v>2334</v>
      </c>
      <c r="AP979" s="44"/>
      <c r="AQ979" s="236" t="str">
        <f>VLOOKUP(Table8[[#This Row],[Instrument]],Def_Targets!$D$73:$E$159,2,FALSE)</f>
        <v>I_RE</v>
      </c>
      <c r="AR979" s="233" t="str">
        <f>VLOOKUP(Table8[[#This Row],[Country Code]],Table29[],3,FALSE)</f>
        <v>Non-Annex I</v>
      </c>
      <c r="AS979" s="233" t="str">
        <f>VLOOKUP(Table8[[#This Row],[Country Code]],Table29[],4,FALSE)</f>
        <v>Asia</v>
      </c>
      <c r="AT979" s="233" t="str">
        <f>VLOOKUP(Table8[[#This Row],[Country Code]],Table29[],5,FALSE)</f>
        <v>Middle-income</v>
      </c>
      <c r="AU979" s="233" t="str">
        <f>VLOOKUP(Table8[[#This Row],[Country Code]],Table29[],6,FALSE)</f>
        <v>G20</v>
      </c>
      <c r="AV979" s="233" t="str">
        <f>VLOOKUP(Table8[[#This Row],[Country Code]],Table29[],7,FALSE)</f>
        <v>no</v>
      </c>
      <c r="AW979" s="233" t="str">
        <f>VLOOKUP(Table8[[#This Row],[Country Code]],Table29[],8,FALSE)</f>
        <v>non-OECD</v>
      </c>
      <c r="AX979" s="233" t="str">
        <f>VLOOKUP(Table8[[#This Row],[Country Code]],Table29[],9,FALSE)</f>
        <v>no</v>
      </c>
      <c r="AY979" s="233" t="str">
        <f>VLOOKUP(Table8[[#This Row],[Country Code]],Table29[],10,FALSE)</f>
        <v>no</v>
      </c>
      <c r="AZ979" s="235">
        <f>VLOOKUP(Table8[[#This Row],[Country Code]],Table29[],23,FALSE)</f>
        <v>4133.5543557464998</v>
      </c>
      <c r="BA979" s="235">
        <f>VLOOKUP(Table8[[#This Row],[Country Code]],Table29[],24,FALSE)</f>
        <v>349.27466196453167</v>
      </c>
      <c r="BB979" s="320"/>
      <c r="BC979" s="320"/>
    </row>
    <row r="980" spans="1:55" hidden="1" x14ac:dyDescent="0.25">
      <c r="A980" s="373">
        <v>17617</v>
      </c>
      <c r="B980" s="233" t="str">
        <f>VLOOKUP(Table8[[#This Row],[Document ID]],Table1[],2,FALSE)</f>
        <v>IND</v>
      </c>
      <c r="C980" s="233" t="str">
        <f>VLOOKUP(Table8[[#This Row],[Document ID]],Table1[],3,FALSE)</f>
        <v>India</v>
      </c>
      <c r="D980" s="243" t="str">
        <f>VLOOKUP(Table8[[#This Row],[Document ID]],Table1[],5,FALSE)</f>
        <v>NDC</v>
      </c>
      <c r="E980" s="233" t="str">
        <f>VLOOKUP(Table8[[#This Row],[Document ID]],Table1[],7,FALSE)</f>
        <v>First NDC</v>
      </c>
      <c r="F980" s="236" t="str">
        <f>VLOOKUP(Table8[[#This Row],[Document ID]],Table1[],8,FALSE)</f>
        <v>NDC 1.0</v>
      </c>
      <c r="G980" s="236" t="str">
        <f>VLOOKUP(Table8[[#This Row],[Document ID]],Table1[],10,FALSE)</f>
        <v>Archived</v>
      </c>
      <c r="H980" s="43" t="s">
        <v>2350</v>
      </c>
      <c r="I980" s="43" t="s">
        <v>2456</v>
      </c>
      <c r="J980" s="44" t="s">
        <v>2457</v>
      </c>
      <c r="K980" s="44" t="s">
        <v>3271</v>
      </c>
      <c r="L980" s="44" t="s">
        <v>2333</v>
      </c>
      <c r="M980" s="43"/>
      <c r="N980" s="113"/>
      <c r="O980" s="113"/>
      <c r="P980" s="113"/>
      <c r="Q980" s="319"/>
      <c r="R980" s="319"/>
      <c r="S980" s="113" t="s">
        <v>1113</v>
      </c>
      <c r="T980" s="319"/>
      <c r="U980" s="319"/>
      <c r="V980" s="319"/>
      <c r="W980" s="319"/>
      <c r="X980" s="319"/>
      <c r="Y980" s="319"/>
      <c r="Z980" s="319"/>
      <c r="AA980" s="319"/>
      <c r="AB980" s="319"/>
      <c r="AC980" s="319"/>
      <c r="AD980" s="319"/>
      <c r="AE980" s="319"/>
      <c r="AF980" s="319"/>
      <c r="AG980" s="319"/>
      <c r="AH980" s="319"/>
      <c r="AI980" s="319"/>
      <c r="AJ980" s="319"/>
      <c r="AK980" s="319" t="s">
        <v>1113</v>
      </c>
      <c r="AL980" s="319"/>
      <c r="AM980" s="319"/>
      <c r="AN980" s="319"/>
      <c r="AO980" s="44" t="s">
        <v>2334</v>
      </c>
      <c r="AP980" s="44"/>
      <c r="AQ980" s="236" t="str">
        <f>VLOOKUP(Table8[[#This Row],[Instrument]],Def_Targets!$D$73:$E$159,2,FALSE)</f>
        <v>S_Infraimprove</v>
      </c>
      <c r="AR980" s="233" t="str">
        <f>VLOOKUP(Table8[[#This Row],[Country Code]],Table29[],3,FALSE)</f>
        <v>Non-Annex I</v>
      </c>
      <c r="AS980" s="233" t="str">
        <f>VLOOKUP(Table8[[#This Row],[Country Code]],Table29[],4,FALSE)</f>
        <v>Asia</v>
      </c>
      <c r="AT980" s="233" t="str">
        <f>VLOOKUP(Table8[[#This Row],[Country Code]],Table29[],5,FALSE)</f>
        <v>Middle-income</v>
      </c>
      <c r="AU980" s="233" t="str">
        <f>VLOOKUP(Table8[[#This Row],[Country Code]],Table29[],6,FALSE)</f>
        <v>G20</v>
      </c>
      <c r="AV980" s="233" t="str">
        <f>VLOOKUP(Table8[[#This Row],[Country Code]],Table29[],7,FALSE)</f>
        <v>no</v>
      </c>
      <c r="AW980" s="233" t="str">
        <f>VLOOKUP(Table8[[#This Row],[Country Code]],Table29[],8,FALSE)</f>
        <v>non-OECD</v>
      </c>
      <c r="AX980" s="233" t="str">
        <f>VLOOKUP(Table8[[#This Row],[Country Code]],Table29[],9,FALSE)</f>
        <v>no</v>
      </c>
      <c r="AY980" s="233" t="str">
        <f>VLOOKUP(Table8[[#This Row],[Country Code]],Table29[],10,FALSE)</f>
        <v>no</v>
      </c>
      <c r="AZ980" s="235">
        <f>VLOOKUP(Table8[[#This Row],[Country Code]],Table29[],23,FALSE)</f>
        <v>4133.5543557464998</v>
      </c>
      <c r="BA980" s="235">
        <f>VLOOKUP(Table8[[#This Row],[Country Code]],Table29[],24,FALSE)</f>
        <v>349.27466196453167</v>
      </c>
      <c r="BB980" s="320"/>
      <c r="BC980" s="320"/>
    </row>
    <row r="981" spans="1:55" hidden="1" x14ac:dyDescent="0.25">
      <c r="A981" s="373">
        <v>17617</v>
      </c>
      <c r="B981" s="233" t="str">
        <f>VLOOKUP(Table8[[#This Row],[Document ID]],Table1[],2,FALSE)</f>
        <v>IND</v>
      </c>
      <c r="C981" s="233" t="str">
        <f>VLOOKUP(Table8[[#This Row],[Document ID]],Table1[],3,FALSE)</f>
        <v>India</v>
      </c>
      <c r="D981" s="243" t="str">
        <f>VLOOKUP(Table8[[#This Row],[Document ID]],Table1[],5,FALSE)</f>
        <v>NDC</v>
      </c>
      <c r="E981" s="233" t="str">
        <f>VLOOKUP(Table8[[#This Row],[Document ID]],Table1[],7,FALSE)</f>
        <v>First NDC</v>
      </c>
      <c r="F981" s="236" t="str">
        <f>VLOOKUP(Table8[[#This Row],[Document ID]],Table1[],8,FALSE)</f>
        <v>NDC 1.0</v>
      </c>
      <c r="G981" s="236" t="str">
        <f>VLOOKUP(Table8[[#This Row],[Document ID]],Table1[],10,FALSE)</f>
        <v>Archived</v>
      </c>
      <c r="H981" s="43" t="s">
        <v>2343</v>
      </c>
      <c r="I981" s="43" t="s">
        <v>2344</v>
      </c>
      <c r="J981" s="44" t="s">
        <v>2405</v>
      </c>
      <c r="K981" s="44" t="s">
        <v>3272</v>
      </c>
      <c r="L981" s="44" t="s">
        <v>2347</v>
      </c>
      <c r="M981" s="43"/>
      <c r="N981" s="113"/>
      <c r="O981" s="113"/>
      <c r="P981" s="113"/>
      <c r="Q981" s="319"/>
      <c r="R981" s="319"/>
      <c r="S981" s="319"/>
      <c r="T981" s="319"/>
      <c r="U981" s="319"/>
      <c r="V981" s="319"/>
      <c r="W981" s="319"/>
      <c r="X981" s="319"/>
      <c r="Y981" s="319"/>
      <c r="Z981" s="319" t="s">
        <v>1113</v>
      </c>
      <c r="AA981" s="319"/>
      <c r="AB981" s="319"/>
      <c r="AC981" s="319" t="s">
        <v>1113</v>
      </c>
      <c r="AD981" s="319"/>
      <c r="AE981" s="319"/>
      <c r="AF981" s="319"/>
      <c r="AG981" s="319"/>
      <c r="AH981" s="319"/>
      <c r="AI981" s="319"/>
      <c r="AJ981" s="319"/>
      <c r="AK981" s="319" t="s">
        <v>1113</v>
      </c>
      <c r="AL981" s="319"/>
      <c r="AM981" s="319"/>
      <c r="AN981" s="319"/>
      <c r="AO981" s="43" t="s">
        <v>2348</v>
      </c>
      <c r="AP981" s="44"/>
      <c r="AQ981" s="236" t="str">
        <f>VLOOKUP(Table8[[#This Row],[Instrument]],Def_Targets!$D$73:$E$159,2,FALSE)</f>
        <v>S_PTIntegration</v>
      </c>
      <c r="AR981" s="233" t="str">
        <f>VLOOKUP(Table8[[#This Row],[Country Code]],Table29[],3,FALSE)</f>
        <v>Non-Annex I</v>
      </c>
      <c r="AS981" s="233" t="str">
        <f>VLOOKUP(Table8[[#This Row],[Country Code]],Table29[],4,FALSE)</f>
        <v>Asia</v>
      </c>
      <c r="AT981" s="233" t="str">
        <f>VLOOKUP(Table8[[#This Row],[Country Code]],Table29[],5,FALSE)</f>
        <v>Middle-income</v>
      </c>
      <c r="AU981" s="233" t="str">
        <f>VLOOKUP(Table8[[#This Row],[Country Code]],Table29[],6,FALSE)</f>
        <v>G20</v>
      </c>
      <c r="AV981" s="233" t="str">
        <f>VLOOKUP(Table8[[#This Row],[Country Code]],Table29[],7,FALSE)</f>
        <v>no</v>
      </c>
      <c r="AW981" s="233" t="str">
        <f>VLOOKUP(Table8[[#This Row],[Country Code]],Table29[],8,FALSE)</f>
        <v>non-OECD</v>
      </c>
      <c r="AX981" s="233" t="str">
        <f>VLOOKUP(Table8[[#This Row],[Country Code]],Table29[],9,FALSE)</f>
        <v>no</v>
      </c>
      <c r="AY981" s="233" t="str">
        <f>VLOOKUP(Table8[[#This Row],[Country Code]],Table29[],10,FALSE)</f>
        <v>no</v>
      </c>
      <c r="AZ981" s="235">
        <f>VLOOKUP(Table8[[#This Row],[Country Code]],Table29[],23,FALSE)</f>
        <v>4133.5543557464998</v>
      </c>
      <c r="BA981" s="235">
        <f>VLOOKUP(Table8[[#This Row],[Country Code]],Table29[],24,FALSE)</f>
        <v>349.27466196453167</v>
      </c>
      <c r="BB981" s="320"/>
      <c r="BC981" s="320"/>
    </row>
    <row r="982" spans="1:55" hidden="1" x14ac:dyDescent="0.25">
      <c r="A982" s="373">
        <v>17617</v>
      </c>
      <c r="B982" s="233" t="str">
        <f>VLOOKUP(Table8[[#This Row],[Document ID]],Table1[],2,FALSE)</f>
        <v>IND</v>
      </c>
      <c r="C982" s="233" t="str">
        <f>VLOOKUP(Table8[[#This Row],[Document ID]],Table1[],3,FALSE)</f>
        <v>India</v>
      </c>
      <c r="D982" s="243" t="str">
        <f>VLOOKUP(Table8[[#This Row],[Document ID]],Table1[],5,FALSE)</f>
        <v>NDC</v>
      </c>
      <c r="E982" s="233" t="str">
        <f>VLOOKUP(Table8[[#This Row],[Document ID]],Table1[],7,FALSE)</f>
        <v>First NDC</v>
      </c>
      <c r="F982" s="236" t="str">
        <f>VLOOKUP(Table8[[#This Row],[Document ID]],Table1[],8,FALSE)</f>
        <v>NDC 1.0</v>
      </c>
      <c r="G982" s="236" t="str">
        <f>VLOOKUP(Table8[[#This Row],[Document ID]],Table1[],10,FALSE)</f>
        <v>Archived</v>
      </c>
      <c r="H982" s="43" t="s">
        <v>2343</v>
      </c>
      <c r="I982" s="43" t="s">
        <v>2344</v>
      </c>
      <c r="J982" s="44" t="s">
        <v>2405</v>
      </c>
      <c r="K982" s="44" t="s">
        <v>3273</v>
      </c>
      <c r="L982" s="44" t="s">
        <v>2347</v>
      </c>
      <c r="M982" s="43"/>
      <c r="N982" s="113"/>
      <c r="O982" s="113"/>
      <c r="P982" s="113"/>
      <c r="Q982" s="319"/>
      <c r="R982" s="319"/>
      <c r="S982" s="319"/>
      <c r="T982" s="319"/>
      <c r="U982" s="319"/>
      <c r="V982" s="319"/>
      <c r="W982" s="319"/>
      <c r="X982" s="319"/>
      <c r="Y982" s="113" t="s">
        <v>1113</v>
      </c>
      <c r="Z982" s="113"/>
      <c r="AA982" s="113"/>
      <c r="AB982" s="113"/>
      <c r="AC982" s="113" t="s">
        <v>1113</v>
      </c>
      <c r="AD982" s="319"/>
      <c r="AE982" s="319"/>
      <c r="AF982" s="319"/>
      <c r="AG982" s="319"/>
      <c r="AH982" s="319"/>
      <c r="AI982" s="319"/>
      <c r="AJ982" s="319"/>
      <c r="AK982" s="319"/>
      <c r="AL982" s="113" t="s">
        <v>1113</v>
      </c>
      <c r="AM982" s="319"/>
      <c r="AN982" s="319"/>
      <c r="AO982" s="43" t="s">
        <v>2348</v>
      </c>
      <c r="AP982" s="44"/>
      <c r="AQ982" s="236" t="str">
        <f>VLOOKUP(Table8[[#This Row],[Instrument]],Def_Targets!$D$73:$E$159,2,FALSE)</f>
        <v>S_PTIntegration</v>
      </c>
      <c r="AR982" s="233" t="str">
        <f>VLOOKUP(Table8[[#This Row],[Country Code]],Table29[],3,FALSE)</f>
        <v>Non-Annex I</v>
      </c>
      <c r="AS982" s="233" t="str">
        <f>VLOOKUP(Table8[[#This Row],[Country Code]],Table29[],4,FALSE)</f>
        <v>Asia</v>
      </c>
      <c r="AT982" s="233" t="str">
        <f>VLOOKUP(Table8[[#This Row],[Country Code]],Table29[],5,FALSE)</f>
        <v>Middle-income</v>
      </c>
      <c r="AU982" s="233" t="str">
        <f>VLOOKUP(Table8[[#This Row],[Country Code]],Table29[],6,FALSE)</f>
        <v>G20</v>
      </c>
      <c r="AV982" s="233" t="str">
        <f>VLOOKUP(Table8[[#This Row],[Country Code]],Table29[],7,FALSE)</f>
        <v>no</v>
      </c>
      <c r="AW982" s="233" t="str">
        <f>VLOOKUP(Table8[[#This Row],[Country Code]],Table29[],8,FALSE)</f>
        <v>non-OECD</v>
      </c>
      <c r="AX982" s="233" t="str">
        <f>VLOOKUP(Table8[[#This Row],[Country Code]],Table29[],9,FALSE)</f>
        <v>no</v>
      </c>
      <c r="AY982" s="233" t="str">
        <f>VLOOKUP(Table8[[#This Row],[Country Code]],Table29[],10,FALSE)</f>
        <v>no</v>
      </c>
      <c r="AZ982" s="235">
        <f>VLOOKUP(Table8[[#This Row],[Country Code]],Table29[],23,FALSE)</f>
        <v>4133.5543557464998</v>
      </c>
      <c r="BA982" s="235">
        <f>VLOOKUP(Table8[[#This Row],[Country Code]],Table29[],24,FALSE)</f>
        <v>349.27466196453167</v>
      </c>
      <c r="BB982" s="320"/>
      <c r="BC982" s="320"/>
    </row>
    <row r="983" spans="1:55" hidden="1" x14ac:dyDescent="0.25">
      <c r="A983" s="373">
        <v>17617</v>
      </c>
      <c r="B983" s="233" t="str">
        <f>VLOOKUP(Table8[[#This Row],[Document ID]],Table1[],2,FALSE)</f>
        <v>IND</v>
      </c>
      <c r="C983" s="233" t="str">
        <f>VLOOKUP(Table8[[#This Row],[Document ID]],Table1[],3,FALSE)</f>
        <v>India</v>
      </c>
      <c r="D983" s="243" t="str">
        <f>VLOOKUP(Table8[[#This Row],[Document ID]],Table1[],5,FALSE)</f>
        <v>NDC</v>
      </c>
      <c r="E983" s="233" t="str">
        <f>VLOOKUP(Table8[[#This Row],[Document ID]],Table1[],7,FALSE)</f>
        <v>First NDC</v>
      </c>
      <c r="F983" s="236" t="str">
        <f>VLOOKUP(Table8[[#This Row],[Document ID]],Table1[],8,FALSE)</f>
        <v>NDC 1.0</v>
      </c>
      <c r="G983" s="236" t="str">
        <f>VLOOKUP(Table8[[#This Row],[Document ID]],Table1[],10,FALSE)</f>
        <v>Archived</v>
      </c>
      <c r="H983" s="43" t="s">
        <v>2350</v>
      </c>
      <c r="I983" s="43" t="s">
        <v>2456</v>
      </c>
      <c r="J983" s="44" t="s">
        <v>2466</v>
      </c>
      <c r="K983" s="44" t="s">
        <v>3273</v>
      </c>
      <c r="L983" s="44" t="s">
        <v>2347</v>
      </c>
      <c r="M983" s="43"/>
      <c r="N983" s="113"/>
      <c r="O983" s="113"/>
      <c r="P983" s="113"/>
      <c r="Q983" s="319"/>
      <c r="R983" s="319"/>
      <c r="S983" s="319"/>
      <c r="T983" s="319"/>
      <c r="U983" s="319"/>
      <c r="V983" s="319"/>
      <c r="W983" s="319"/>
      <c r="X983" s="319"/>
      <c r="Y983" s="113" t="s">
        <v>1113</v>
      </c>
      <c r="Z983" s="113"/>
      <c r="AA983" s="113"/>
      <c r="AB983" s="113"/>
      <c r="AC983" s="113" t="s">
        <v>1113</v>
      </c>
      <c r="AD983" s="319"/>
      <c r="AE983" s="319"/>
      <c r="AF983" s="319"/>
      <c r="AG983" s="319"/>
      <c r="AH983" s="319"/>
      <c r="AI983" s="319"/>
      <c r="AJ983" s="319"/>
      <c r="AK983" s="319"/>
      <c r="AL983" s="113" t="s">
        <v>1113</v>
      </c>
      <c r="AM983" s="319"/>
      <c r="AN983" s="319"/>
      <c r="AO983" s="43" t="s">
        <v>2348</v>
      </c>
      <c r="AP983" s="44"/>
      <c r="AQ983" s="236" t="str">
        <f>VLOOKUP(Table8[[#This Row],[Instrument]],Def_Targets!$D$73:$E$159,2,FALSE)</f>
        <v>S_Infraexpansion</v>
      </c>
      <c r="AR983" s="233" t="str">
        <f>VLOOKUP(Table8[[#This Row],[Country Code]],Table29[],3,FALSE)</f>
        <v>Non-Annex I</v>
      </c>
      <c r="AS983" s="233" t="str">
        <f>VLOOKUP(Table8[[#This Row],[Country Code]],Table29[],4,FALSE)</f>
        <v>Asia</v>
      </c>
      <c r="AT983" s="233" t="str">
        <f>VLOOKUP(Table8[[#This Row],[Country Code]],Table29[],5,FALSE)</f>
        <v>Middle-income</v>
      </c>
      <c r="AU983" s="233" t="str">
        <f>VLOOKUP(Table8[[#This Row],[Country Code]],Table29[],6,FALSE)</f>
        <v>G20</v>
      </c>
      <c r="AV983" s="233" t="str">
        <f>VLOOKUP(Table8[[#This Row],[Country Code]],Table29[],7,FALSE)</f>
        <v>no</v>
      </c>
      <c r="AW983" s="233" t="str">
        <f>VLOOKUP(Table8[[#This Row],[Country Code]],Table29[],8,FALSE)</f>
        <v>non-OECD</v>
      </c>
      <c r="AX983" s="233" t="str">
        <f>VLOOKUP(Table8[[#This Row],[Country Code]],Table29[],9,FALSE)</f>
        <v>no</v>
      </c>
      <c r="AY983" s="233" t="str">
        <f>VLOOKUP(Table8[[#This Row],[Country Code]],Table29[],10,FALSE)</f>
        <v>no</v>
      </c>
      <c r="AZ983" s="235">
        <f>VLOOKUP(Table8[[#This Row],[Country Code]],Table29[],23,FALSE)</f>
        <v>4133.5543557464998</v>
      </c>
      <c r="BA983" s="235">
        <f>VLOOKUP(Table8[[#This Row],[Country Code]],Table29[],24,FALSE)</f>
        <v>349.27466196453167</v>
      </c>
      <c r="BB983" s="320"/>
      <c r="BC983" s="320"/>
    </row>
    <row r="984" spans="1:55" ht="30" hidden="1" x14ac:dyDescent="0.25">
      <c r="A984" s="373">
        <v>17617</v>
      </c>
      <c r="B984" s="233" t="str">
        <f>VLOOKUP(Table8[[#This Row],[Document ID]],Table1[],2,FALSE)</f>
        <v>IND</v>
      </c>
      <c r="C984" s="233" t="str">
        <f>VLOOKUP(Table8[[#This Row],[Document ID]],Table1[],3,FALSE)</f>
        <v>India</v>
      </c>
      <c r="D984" s="243" t="str">
        <f>VLOOKUP(Table8[[#This Row],[Document ID]],Table1[],5,FALSE)</f>
        <v>NDC</v>
      </c>
      <c r="E984" s="233" t="str">
        <f>VLOOKUP(Table8[[#This Row],[Document ID]],Table1[],7,FALSE)</f>
        <v>First NDC</v>
      </c>
      <c r="F984" s="236" t="str">
        <f>VLOOKUP(Table8[[#This Row],[Document ID]],Table1[],8,FALSE)</f>
        <v>NDC 1.0</v>
      </c>
      <c r="G984" s="236" t="str">
        <f>VLOOKUP(Table8[[#This Row],[Document ID]],Table1[],10,FALSE)</f>
        <v>Archived</v>
      </c>
      <c r="H984" s="43" t="s">
        <v>2350</v>
      </c>
      <c r="I984" s="43" t="s">
        <v>2456</v>
      </c>
      <c r="J984" s="44" t="s">
        <v>2466</v>
      </c>
      <c r="K984" s="44" t="s">
        <v>3274</v>
      </c>
      <c r="L984" s="44" t="s">
        <v>2347</v>
      </c>
      <c r="M984" s="43"/>
      <c r="N984" s="113"/>
      <c r="O984" s="113"/>
      <c r="P984" s="113"/>
      <c r="Q984" s="319"/>
      <c r="R984" s="319"/>
      <c r="S984" s="113" t="s">
        <v>1113</v>
      </c>
      <c r="T984" s="319"/>
      <c r="U984" s="319"/>
      <c r="V984" s="319"/>
      <c r="W984" s="319"/>
      <c r="X984" s="319"/>
      <c r="Y984" s="319"/>
      <c r="Z984" s="319"/>
      <c r="AA984" s="319"/>
      <c r="AB984" s="319"/>
      <c r="AC984" s="319"/>
      <c r="AD984" s="319"/>
      <c r="AE984" s="319"/>
      <c r="AF984" s="319"/>
      <c r="AG984" s="319"/>
      <c r="AH984" s="319"/>
      <c r="AI984" s="319"/>
      <c r="AJ984" s="319"/>
      <c r="AK984" s="319"/>
      <c r="AL984" s="319"/>
      <c r="AM984" s="319"/>
      <c r="AN984" s="113" t="s">
        <v>1113</v>
      </c>
      <c r="AO984" s="43" t="s">
        <v>2353</v>
      </c>
      <c r="AP984" s="44"/>
      <c r="AQ984" s="236" t="str">
        <f>VLOOKUP(Table8[[#This Row],[Instrument]],Def_Targets!$D$73:$E$159,2,FALSE)</f>
        <v>S_Infraexpansion</v>
      </c>
      <c r="AR984" s="233" t="str">
        <f>VLOOKUP(Table8[[#This Row],[Country Code]],Table29[],3,FALSE)</f>
        <v>Non-Annex I</v>
      </c>
      <c r="AS984" s="233" t="str">
        <f>VLOOKUP(Table8[[#This Row],[Country Code]],Table29[],4,FALSE)</f>
        <v>Asia</v>
      </c>
      <c r="AT984" s="233" t="str">
        <f>VLOOKUP(Table8[[#This Row],[Country Code]],Table29[],5,FALSE)</f>
        <v>Middle-income</v>
      </c>
      <c r="AU984" s="233" t="str">
        <f>VLOOKUP(Table8[[#This Row],[Country Code]],Table29[],6,FALSE)</f>
        <v>G20</v>
      </c>
      <c r="AV984" s="233" t="str">
        <f>VLOOKUP(Table8[[#This Row],[Country Code]],Table29[],7,FALSE)</f>
        <v>no</v>
      </c>
      <c r="AW984" s="233" t="str">
        <f>VLOOKUP(Table8[[#This Row],[Country Code]],Table29[],8,FALSE)</f>
        <v>non-OECD</v>
      </c>
      <c r="AX984" s="233" t="str">
        <f>VLOOKUP(Table8[[#This Row],[Country Code]],Table29[],9,FALSE)</f>
        <v>no</v>
      </c>
      <c r="AY984" s="233" t="str">
        <f>VLOOKUP(Table8[[#This Row],[Country Code]],Table29[],10,FALSE)</f>
        <v>no</v>
      </c>
      <c r="AZ984" s="235">
        <f>VLOOKUP(Table8[[#This Row],[Country Code]],Table29[],23,FALSE)</f>
        <v>4133.5543557464998</v>
      </c>
      <c r="BA984" s="235">
        <f>VLOOKUP(Table8[[#This Row],[Country Code]],Table29[],24,FALSE)</f>
        <v>349.27466196453167</v>
      </c>
      <c r="BB984" s="320"/>
      <c r="BC984" s="320"/>
    </row>
    <row r="985" spans="1:55" hidden="1" x14ac:dyDescent="0.25">
      <c r="A985" s="373">
        <v>17617</v>
      </c>
      <c r="B985" s="233" t="str">
        <f>VLOOKUP(Table8[[#This Row],[Document ID]],Table1[],2,FALSE)</f>
        <v>IND</v>
      </c>
      <c r="C985" s="233" t="str">
        <f>VLOOKUP(Table8[[#This Row],[Document ID]],Table1[],3,FALSE)</f>
        <v>India</v>
      </c>
      <c r="D985" s="243" t="str">
        <f>VLOOKUP(Table8[[#This Row],[Document ID]],Table1[],5,FALSE)</f>
        <v>NDC</v>
      </c>
      <c r="E985" s="233" t="str">
        <f>VLOOKUP(Table8[[#This Row],[Document ID]],Table1[],7,FALSE)</f>
        <v>First NDC</v>
      </c>
      <c r="F985" s="236" t="str">
        <f>VLOOKUP(Table8[[#This Row],[Document ID]],Table1[],8,FALSE)</f>
        <v>NDC 1.0</v>
      </c>
      <c r="G985" s="236" t="str">
        <f>VLOOKUP(Table8[[#This Row],[Document ID]],Table1[],10,FALSE)</f>
        <v>Archived</v>
      </c>
      <c r="H985" s="43" t="s">
        <v>2350</v>
      </c>
      <c r="I985" s="43" t="s">
        <v>2456</v>
      </c>
      <c r="J985" s="44" t="s">
        <v>2466</v>
      </c>
      <c r="K985" s="44" t="s">
        <v>3275</v>
      </c>
      <c r="L985" s="44" t="s">
        <v>2347</v>
      </c>
      <c r="M985" s="43"/>
      <c r="N985" s="113"/>
      <c r="O985" s="113"/>
      <c r="P985" s="113"/>
      <c r="Q985" s="319"/>
      <c r="R985" s="319"/>
      <c r="S985" s="113" t="s">
        <v>1113</v>
      </c>
      <c r="T985" s="319"/>
      <c r="U985" s="319"/>
      <c r="V985" s="319"/>
      <c r="W985" s="319"/>
      <c r="X985" s="319"/>
      <c r="Y985" s="319"/>
      <c r="Z985" s="319"/>
      <c r="AA985" s="319"/>
      <c r="AB985" s="319"/>
      <c r="AC985" s="319"/>
      <c r="AD985" s="319"/>
      <c r="AE985" s="319"/>
      <c r="AF985" s="319"/>
      <c r="AG985" s="319"/>
      <c r="AH985" s="319"/>
      <c r="AI985" s="319"/>
      <c r="AJ985" s="319"/>
      <c r="AK985" s="319" t="s">
        <v>1113</v>
      </c>
      <c r="AL985" s="319"/>
      <c r="AM985" s="319"/>
      <c r="AN985" s="319"/>
      <c r="AO985" s="44" t="s">
        <v>2334</v>
      </c>
      <c r="AP985" s="44"/>
      <c r="AQ985" s="236" t="str">
        <f>VLOOKUP(Table8[[#This Row],[Instrument]],Def_Targets!$D$73:$E$159,2,FALSE)</f>
        <v>S_Infraexpansion</v>
      </c>
      <c r="AR985" s="233" t="str">
        <f>VLOOKUP(Table8[[#This Row],[Country Code]],Table29[],3,FALSE)</f>
        <v>Non-Annex I</v>
      </c>
      <c r="AS985" s="233" t="str">
        <f>VLOOKUP(Table8[[#This Row],[Country Code]],Table29[],4,FALSE)</f>
        <v>Asia</v>
      </c>
      <c r="AT985" s="233" t="str">
        <f>VLOOKUP(Table8[[#This Row],[Country Code]],Table29[],5,FALSE)</f>
        <v>Middle-income</v>
      </c>
      <c r="AU985" s="233" t="str">
        <f>VLOOKUP(Table8[[#This Row],[Country Code]],Table29[],6,FALSE)</f>
        <v>G20</v>
      </c>
      <c r="AV985" s="233" t="str">
        <f>VLOOKUP(Table8[[#This Row],[Country Code]],Table29[],7,FALSE)</f>
        <v>no</v>
      </c>
      <c r="AW985" s="233" t="str">
        <f>VLOOKUP(Table8[[#This Row],[Country Code]],Table29[],8,FALSE)</f>
        <v>non-OECD</v>
      </c>
      <c r="AX985" s="233" t="str">
        <f>VLOOKUP(Table8[[#This Row],[Country Code]],Table29[],9,FALSE)</f>
        <v>no</v>
      </c>
      <c r="AY985" s="233" t="str">
        <f>VLOOKUP(Table8[[#This Row],[Country Code]],Table29[],10,FALSE)</f>
        <v>no</v>
      </c>
      <c r="AZ985" s="235">
        <f>VLOOKUP(Table8[[#This Row],[Country Code]],Table29[],23,FALSE)</f>
        <v>4133.5543557464998</v>
      </c>
      <c r="BA985" s="235">
        <f>VLOOKUP(Table8[[#This Row],[Country Code]],Table29[],24,FALSE)</f>
        <v>349.27466196453167</v>
      </c>
      <c r="BB985" s="320"/>
      <c r="BC985" s="320"/>
    </row>
    <row r="986" spans="1:55" hidden="1" x14ac:dyDescent="0.25">
      <c r="A986" s="373">
        <v>17597</v>
      </c>
      <c r="B986" s="233" t="str">
        <f>VLOOKUP(Table8[[#This Row],[Document ID]],Table1[],2,FALSE)</f>
        <v>FRA</v>
      </c>
      <c r="C986" s="233" t="str">
        <f>VLOOKUP(Table8[[#This Row],[Document ID]],Table1[],3,FALSE)</f>
        <v>France</v>
      </c>
      <c r="D986" s="243" t="str">
        <f>VLOOKUP(Table8[[#This Row],[Document ID]],Table1[],5,FALSE)</f>
        <v>LTS</v>
      </c>
      <c r="E986" s="233" t="str">
        <f>VLOOKUP(Table8[[#This Row],[Document ID]],Table1[],7,FALSE)</f>
        <v>LTS</v>
      </c>
      <c r="F986" s="233" t="str">
        <f>VLOOKUP(Table8[[#This Row],[Document ID]],Table1[],8,FALSE)</f>
        <v>LTS 1.0</v>
      </c>
      <c r="G986" s="233" t="str">
        <f>VLOOKUP(Table8[[#This Row],[Document ID]],Table1[],10,FALSE)</f>
        <v>Active</v>
      </c>
      <c r="H986" s="43" t="s">
        <v>2343</v>
      </c>
      <c r="I986" s="43" t="s">
        <v>2386</v>
      </c>
      <c r="J986" s="44" t="s">
        <v>2498</v>
      </c>
      <c r="K986" s="44" t="s">
        <v>3276</v>
      </c>
      <c r="L986" s="44" t="s">
        <v>2380</v>
      </c>
      <c r="M986" s="43">
        <v>72</v>
      </c>
      <c r="N986" s="113" t="s">
        <v>1113</v>
      </c>
      <c r="O986" s="113"/>
      <c r="P986" s="113"/>
      <c r="Q986" s="113"/>
      <c r="R986" s="113"/>
      <c r="S986" s="113"/>
      <c r="T986" s="113"/>
      <c r="U986" s="113"/>
      <c r="V986" s="113"/>
      <c r="W986" s="113"/>
      <c r="X986" s="113"/>
      <c r="Y986" s="113"/>
      <c r="Z986" s="113"/>
      <c r="AA986" s="113"/>
      <c r="AB986" s="113"/>
      <c r="AC986" s="113"/>
      <c r="AD986" s="113"/>
      <c r="AE986" s="113"/>
      <c r="AF986" s="113"/>
      <c r="AG986" s="113"/>
      <c r="AH986" s="113"/>
      <c r="AI986" s="113"/>
      <c r="AJ986" s="113"/>
      <c r="AK986" s="319" t="s">
        <v>1113</v>
      </c>
      <c r="AL986" s="113"/>
      <c r="AM986" s="113"/>
      <c r="AN986" s="113"/>
      <c r="AO986" s="44" t="s">
        <v>2334</v>
      </c>
      <c r="AP986" s="43"/>
      <c r="AQ986" s="236" t="str">
        <f>VLOOKUP(Table8[[#This Row],[Instrument]],Def_Targets!$D$73:$E$159,2,FALSE)</f>
        <v>A_Fueltax</v>
      </c>
      <c r="AR986" s="233" t="str">
        <f>VLOOKUP(Table8[[#This Row],[Country Code]],Table29[],3,FALSE)</f>
        <v>Annex I</v>
      </c>
      <c r="AS986" s="233" t="str">
        <f>VLOOKUP(Table8[[#This Row],[Country Code]],Table29[],4,FALSE)</f>
        <v>Europe</v>
      </c>
      <c r="AT986" s="233" t="str">
        <f>VLOOKUP(Table8[[#This Row],[Country Code]],Table29[],5,FALSE)</f>
        <v>High-income</v>
      </c>
      <c r="AU986" s="233" t="str">
        <f>VLOOKUP(Table8[[#This Row],[Country Code]],Table29[],6,FALSE)</f>
        <v>G20</v>
      </c>
      <c r="AV986" s="233" t="str">
        <f>VLOOKUP(Table8[[#This Row],[Country Code]],Table29[],7,FALSE)</f>
        <v>G7</v>
      </c>
      <c r="AW986" s="233" t="str">
        <f>VLOOKUP(Table8[[#This Row],[Country Code]],Table29[],8,FALSE)</f>
        <v>OECD</v>
      </c>
      <c r="AX986" s="233" t="str">
        <f>VLOOKUP(Table8[[#This Row],[Country Code]],Table29[],9,FALSE)</f>
        <v>EU27</v>
      </c>
      <c r="AY986" s="233" t="str">
        <f>VLOOKUP(Table8[[#This Row],[Country Code]],Table29[],10,FALSE)</f>
        <v>no</v>
      </c>
      <c r="AZ986" s="235">
        <f>VLOOKUP(Table8[[#This Row],[Country Code]],Table29[],23,FALSE)</f>
        <v>385.52011950564003</v>
      </c>
      <c r="BA986" s="235">
        <f>VLOOKUP(Table8[[#This Row],[Country Code]],Table29[],24,FALSE)</f>
        <v>123.5644117217294</v>
      </c>
      <c r="BB986" s="320"/>
      <c r="BC986" s="320"/>
    </row>
    <row r="987" spans="1:55" ht="30" hidden="1" x14ac:dyDescent="0.25">
      <c r="A987" s="373">
        <v>17597</v>
      </c>
      <c r="B987" s="233" t="str">
        <f>VLOOKUP(Table8[[#This Row],[Document ID]],Table1[],2,FALSE)</f>
        <v>FRA</v>
      </c>
      <c r="C987" s="233" t="str">
        <f>VLOOKUP(Table8[[#This Row],[Document ID]],Table1[],3,FALSE)</f>
        <v>France</v>
      </c>
      <c r="D987" s="243" t="str">
        <f>VLOOKUP(Table8[[#This Row],[Document ID]],Table1[],5,FALSE)</f>
        <v>LTS</v>
      </c>
      <c r="E987" s="233" t="str">
        <f>VLOOKUP(Table8[[#This Row],[Document ID]],Table1[],7,FALSE)</f>
        <v>LTS</v>
      </c>
      <c r="F987" s="233" t="str">
        <f>VLOOKUP(Table8[[#This Row],[Document ID]],Table1[],8,FALSE)</f>
        <v>LTS 1.0</v>
      </c>
      <c r="G987" s="233" t="str">
        <f>VLOOKUP(Table8[[#This Row],[Document ID]],Table1[],10,FALSE)</f>
        <v>Active</v>
      </c>
      <c r="H987" s="43" t="s">
        <v>2343</v>
      </c>
      <c r="I987" s="43" t="s">
        <v>2386</v>
      </c>
      <c r="J987" s="44" t="s">
        <v>2569</v>
      </c>
      <c r="K987" s="44" t="s">
        <v>3277</v>
      </c>
      <c r="L987" s="44" t="s">
        <v>2396</v>
      </c>
      <c r="M987" s="43">
        <v>72</v>
      </c>
      <c r="N987" s="113" t="s">
        <v>1113</v>
      </c>
      <c r="O987" s="113"/>
      <c r="P987" s="113"/>
      <c r="Q987" s="113"/>
      <c r="R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t="s">
        <v>1113</v>
      </c>
      <c r="AM987" s="113" t="s">
        <v>1113</v>
      </c>
      <c r="AN987" s="113"/>
      <c r="AO987" s="44" t="s">
        <v>2334</v>
      </c>
      <c r="AP987" s="43"/>
      <c r="AQ987" s="236" t="str">
        <f>VLOOKUP(Table8[[#This Row],[Instrument]],Def_Targets!$D$73:$E$159,2,FALSE)</f>
        <v>A_Roadcharging</v>
      </c>
      <c r="AR987" s="233" t="str">
        <f>VLOOKUP(Table8[[#This Row],[Country Code]],Table29[],3,FALSE)</f>
        <v>Annex I</v>
      </c>
      <c r="AS987" s="233" t="str">
        <f>VLOOKUP(Table8[[#This Row],[Country Code]],Table29[],4,FALSE)</f>
        <v>Europe</v>
      </c>
      <c r="AT987" s="233" t="str">
        <f>VLOOKUP(Table8[[#This Row],[Country Code]],Table29[],5,FALSE)</f>
        <v>High-income</v>
      </c>
      <c r="AU987" s="233" t="str">
        <f>VLOOKUP(Table8[[#This Row],[Country Code]],Table29[],6,FALSE)</f>
        <v>G20</v>
      </c>
      <c r="AV987" s="233" t="str">
        <f>VLOOKUP(Table8[[#This Row],[Country Code]],Table29[],7,FALSE)</f>
        <v>G7</v>
      </c>
      <c r="AW987" s="233" t="str">
        <f>VLOOKUP(Table8[[#This Row],[Country Code]],Table29[],8,FALSE)</f>
        <v>OECD</v>
      </c>
      <c r="AX987" s="233" t="str">
        <f>VLOOKUP(Table8[[#This Row],[Country Code]],Table29[],9,FALSE)</f>
        <v>EU27</v>
      </c>
      <c r="AY987" s="233" t="str">
        <f>VLOOKUP(Table8[[#This Row],[Country Code]],Table29[],10,FALSE)</f>
        <v>no</v>
      </c>
      <c r="AZ987" s="235">
        <f>VLOOKUP(Table8[[#This Row],[Country Code]],Table29[],23,FALSE)</f>
        <v>385.52011950564003</v>
      </c>
      <c r="BA987" s="235">
        <f>VLOOKUP(Table8[[#This Row],[Country Code]],Table29[],24,FALSE)</f>
        <v>123.5644117217294</v>
      </c>
      <c r="BB987" s="320"/>
      <c r="BC987" s="320"/>
    </row>
    <row r="988" spans="1:55" hidden="1" x14ac:dyDescent="0.25">
      <c r="A988" s="373">
        <v>17597</v>
      </c>
      <c r="B988" s="233" t="str">
        <f>VLOOKUP(Table8[[#This Row],[Document ID]],Table1[],2,FALSE)</f>
        <v>FRA</v>
      </c>
      <c r="C988" s="233" t="str">
        <f>VLOOKUP(Table8[[#This Row],[Document ID]],Table1[],3,FALSE)</f>
        <v>France</v>
      </c>
      <c r="D988" s="243" t="str">
        <f>VLOOKUP(Table8[[#This Row],[Document ID]],Table1[],5,FALSE)</f>
        <v>LTS</v>
      </c>
      <c r="E988" s="233" t="str">
        <f>VLOOKUP(Table8[[#This Row],[Document ID]],Table1[],7,FALSE)</f>
        <v>LTS</v>
      </c>
      <c r="F988" s="233" t="str">
        <f>VLOOKUP(Table8[[#This Row],[Document ID]],Table1[],8,FALSE)</f>
        <v>LTS 1.0</v>
      </c>
      <c r="G988" s="233" t="str">
        <f>VLOOKUP(Table8[[#This Row],[Document ID]],Table1[],10,FALSE)</f>
        <v>Active</v>
      </c>
      <c r="H988" s="43" t="s">
        <v>2484</v>
      </c>
      <c r="I988" s="43" t="s">
        <v>2488</v>
      </c>
      <c r="J988" s="44" t="s">
        <v>2684</v>
      </c>
      <c r="K988" s="44" t="s">
        <v>3278</v>
      </c>
      <c r="L988" s="44" t="s">
        <v>2333</v>
      </c>
      <c r="M988" s="43">
        <v>72</v>
      </c>
      <c r="N988" s="113"/>
      <c r="O988" s="113"/>
      <c r="P988" s="113"/>
      <c r="Q988" s="113"/>
      <c r="R988" s="113"/>
      <c r="S988" s="113"/>
      <c r="T988" s="113"/>
      <c r="U988" s="113"/>
      <c r="V988" s="113"/>
      <c r="W988" s="113"/>
      <c r="X988" s="113"/>
      <c r="Y988" s="113"/>
      <c r="Z988" s="113"/>
      <c r="AA988" s="113"/>
      <c r="AB988" s="113"/>
      <c r="AC988" s="113"/>
      <c r="AD988" s="113"/>
      <c r="AE988" s="113"/>
      <c r="AF988" s="113"/>
      <c r="AG988" s="113"/>
      <c r="AH988" s="113" t="s">
        <v>1113</v>
      </c>
      <c r="AI988" s="113"/>
      <c r="AJ988" s="113"/>
      <c r="AK988" s="319" t="s">
        <v>1113</v>
      </c>
      <c r="AL988" s="113"/>
      <c r="AM988" s="113"/>
      <c r="AN988" s="113"/>
      <c r="AO988" s="44" t="s">
        <v>2334</v>
      </c>
      <c r="AP988" s="43"/>
      <c r="AQ988" s="236" t="str">
        <f>VLOOKUP(Table8[[#This Row],[Instrument]],Def_Targets!$D$73:$E$159,2,FALSE)</f>
        <v>I_Jetfuel</v>
      </c>
      <c r="AR988" s="233" t="str">
        <f>VLOOKUP(Table8[[#This Row],[Country Code]],Table29[],3,FALSE)</f>
        <v>Annex I</v>
      </c>
      <c r="AS988" s="233" t="str">
        <f>VLOOKUP(Table8[[#This Row],[Country Code]],Table29[],4,FALSE)</f>
        <v>Europe</v>
      </c>
      <c r="AT988" s="233" t="str">
        <f>VLOOKUP(Table8[[#This Row],[Country Code]],Table29[],5,FALSE)</f>
        <v>High-income</v>
      </c>
      <c r="AU988" s="233" t="str">
        <f>VLOOKUP(Table8[[#This Row],[Country Code]],Table29[],6,FALSE)</f>
        <v>G20</v>
      </c>
      <c r="AV988" s="233" t="str">
        <f>VLOOKUP(Table8[[#This Row],[Country Code]],Table29[],7,FALSE)</f>
        <v>G7</v>
      </c>
      <c r="AW988" s="233" t="str">
        <f>VLOOKUP(Table8[[#This Row],[Country Code]],Table29[],8,FALSE)</f>
        <v>OECD</v>
      </c>
      <c r="AX988" s="233" t="str">
        <f>VLOOKUP(Table8[[#This Row],[Country Code]],Table29[],9,FALSE)</f>
        <v>EU27</v>
      </c>
      <c r="AY988" s="233" t="str">
        <f>VLOOKUP(Table8[[#This Row],[Country Code]],Table29[],10,FALSE)</f>
        <v>no</v>
      </c>
      <c r="AZ988" s="235">
        <f>VLOOKUP(Table8[[#This Row],[Country Code]],Table29[],23,FALSE)</f>
        <v>385.52011950564003</v>
      </c>
      <c r="BA988" s="235">
        <f>VLOOKUP(Table8[[#This Row],[Country Code]],Table29[],24,FALSE)</f>
        <v>123.5644117217294</v>
      </c>
      <c r="BB988" s="320"/>
      <c r="BC988" s="320"/>
    </row>
    <row r="989" spans="1:55" ht="30" hidden="1" x14ac:dyDescent="0.25">
      <c r="A989" s="373">
        <v>17597</v>
      </c>
      <c r="B989" s="233" t="str">
        <f>VLOOKUP(Table8[[#This Row],[Document ID]],Table1[],2,FALSE)</f>
        <v>FRA</v>
      </c>
      <c r="C989" s="233" t="str">
        <f>VLOOKUP(Table8[[#This Row],[Document ID]],Table1[],3,FALSE)</f>
        <v>France</v>
      </c>
      <c r="D989" s="243" t="str">
        <f>VLOOKUP(Table8[[#This Row],[Document ID]],Table1[],5,FALSE)</f>
        <v>LTS</v>
      </c>
      <c r="E989" s="233" t="str">
        <f>VLOOKUP(Table8[[#This Row],[Document ID]],Table1[],7,FALSE)</f>
        <v>LTS</v>
      </c>
      <c r="F989" s="233" t="str">
        <f>VLOOKUP(Table8[[#This Row],[Document ID]],Table1[],8,FALSE)</f>
        <v>LTS 1.0</v>
      </c>
      <c r="G989" s="233" t="str">
        <f>VLOOKUP(Table8[[#This Row],[Document ID]],Table1[],10,FALSE)</f>
        <v>Active</v>
      </c>
      <c r="H989" s="43" t="s">
        <v>2350</v>
      </c>
      <c r="I989" s="43" t="s">
        <v>2407</v>
      </c>
      <c r="J989" s="44" t="s">
        <v>2592</v>
      </c>
      <c r="K989" s="44" t="s">
        <v>3279</v>
      </c>
      <c r="L989" s="44" t="s">
        <v>2333</v>
      </c>
      <c r="M989" s="43">
        <v>73</v>
      </c>
      <c r="N989" s="113"/>
      <c r="O989" s="113"/>
      <c r="P989" s="113"/>
      <c r="Q989" s="113"/>
      <c r="R989" s="113"/>
      <c r="S989" s="113" t="s">
        <v>1113</v>
      </c>
      <c r="T989" s="113"/>
      <c r="U989" s="113"/>
      <c r="V989" s="113"/>
      <c r="W989" s="113"/>
      <c r="X989" s="113"/>
      <c r="Y989" s="113"/>
      <c r="Z989" s="113"/>
      <c r="AA989" s="113"/>
      <c r="AB989" s="113"/>
      <c r="AC989" s="113"/>
      <c r="AD989" s="113"/>
      <c r="AE989" s="113"/>
      <c r="AF989" s="113"/>
      <c r="AG989" s="113"/>
      <c r="AH989" s="113"/>
      <c r="AI989" s="113"/>
      <c r="AJ989" s="113"/>
      <c r="AK989" s="319" t="s">
        <v>1113</v>
      </c>
      <c r="AL989" s="113"/>
      <c r="AM989" s="113"/>
      <c r="AN989" s="113"/>
      <c r="AO989" s="44" t="s">
        <v>2334</v>
      </c>
      <c r="AP989" s="43"/>
      <c r="AQ989" s="236" t="str">
        <f>VLOOKUP(Table8[[#This Row],[Instrument]],Def_Targets!$D$73:$E$159,2,FALSE)</f>
        <v>I_Ecodriving</v>
      </c>
      <c r="AR989" s="233" t="str">
        <f>VLOOKUP(Table8[[#This Row],[Country Code]],Table29[],3,FALSE)</f>
        <v>Annex I</v>
      </c>
      <c r="AS989" s="233" t="str">
        <f>VLOOKUP(Table8[[#This Row],[Country Code]],Table29[],4,FALSE)</f>
        <v>Europe</v>
      </c>
      <c r="AT989" s="233" t="str">
        <f>VLOOKUP(Table8[[#This Row],[Country Code]],Table29[],5,FALSE)</f>
        <v>High-income</v>
      </c>
      <c r="AU989" s="233" t="str">
        <f>VLOOKUP(Table8[[#This Row],[Country Code]],Table29[],6,FALSE)</f>
        <v>G20</v>
      </c>
      <c r="AV989" s="233" t="str">
        <f>VLOOKUP(Table8[[#This Row],[Country Code]],Table29[],7,FALSE)</f>
        <v>G7</v>
      </c>
      <c r="AW989" s="233" t="str">
        <f>VLOOKUP(Table8[[#This Row],[Country Code]],Table29[],8,FALSE)</f>
        <v>OECD</v>
      </c>
      <c r="AX989" s="233" t="str">
        <f>VLOOKUP(Table8[[#This Row],[Country Code]],Table29[],9,FALSE)</f>
        <v>EU27</v>
      </c>
      <c r="AY989" s="233" t="str">
        <f>VLOOKUP(Table8[[#This Row],[Country Code]],Table29[],10,FALSE)</f>
        <v>no</v>
      </c>
      <c r="AZ989" s="235">
        <f>VLOOKUP(Table8[[#This Row],[Country Code]],Table29[],23,FALSE)</f>
        <v>385.52011950564003</v>
      </c>
      <c r="BA989" s="235">
        <f>VLOOKUP(Table8[[#This Row],[Country Code]],Table29[],24,FALSE)</f>
        <v>123.5644117217294</v>
      </c>
      <c r="BB989" s="320"/>
      <c r="BC989" s="320"/>
    </row>
    <row r="990" spans="1:55" ht="45" hidden="1" x14ac:dyDescent="0.25">
      <c r="A990" s="373">
        <v>17597</v>
      </c>
      <c r="B990" s="233" t="str">
        <f>VLOOKUP(Table8[[#This Row],[Document ID]],Table1[],2,FALSE)</f>
        <v>FRA</v>
      </c>
      <c r="C990" s="233" t="str">
        <f>VLOOKUP(Table8[[#This Row],[Document ID]],Table1[],3,FALSE)</f>
        <v>France</v>
      </c>
      <c r="D990" s="243" t="str">
        <f>VLOOKUP(Table8[[#This Row],[Document ID]],Table1[],5,FALSE)</f>
        <v>LTS</v>
      </c>
      <c r="E990" s="233" t="str">
        <f>VLOOKUP(Table8[[#This Row],[Document ID]],Table1[],7,FALSE)</f>
        <v>LTS</v>
      </c>
      <c r="F990" s="233" t="str">
        <f>VLOOKUP(Table8[[#This Row],[Document ID]],Table1[],8,FALSE)</f>
        <v>LTS 1.0</v>
      </c>
      <c r="G990" s="233" t="str">
        <f>VLOOKUP(Table8[[#This Row],[Document ID]],Table1[],10,FALSE)</f>
        <v>Active</v>
      </c>
      <c r="H990" s="44" t="s">
        <v>2329</v>
      </c>
      <c r="I990" s="44" t="s">
        <v>2330</v>
      </c>
      <c r="J990" s="44" t="s">
        <v>2414</v>
      </c>
      <c r="K990" s="44" t="s">
        <v>3280</v>
      </c>
      <c r="L990" s="44" t="s">
        <v>2333</v>
      </c>
      <c r="M990" s="43">
        <v>73</v>
      </c>
      <c r="N990" s="113"/>
      <c r="O990" s="113"/>
      <c r="P990" s="113"/>
      <c r="Q990" s="113"/>
      <c r="R990" s="113"/>
      <c r="S990" s="113"/>
      <c r="T990" s="113"/>
      <c r="U990" s="113" t="s">
        <v>1113</v>
      </c>
      <c r="V990" s="113"/>
      <c r="W990" s="113"/>
      <c r="X990" s="113"/>
      <c r="Y990" s="113"/>
      <c r="Z990" s="113"/>
      <c r="AA990" s="113"/>
      <c r="AB990" s="113"/>
      <c r="AC990" s="113"/>
      <c r="AD990" s="113"/>
      <c r="AE990" s="113"/>
      <c r="AF990" s="113"/>
      <c r="AG990" s="113"/>
      <c r="AH990" s="113"/>
      <c r="AI990" s="113"/>
      <c r="AJ990" s="113"/>
      <c r="AK990" s="319" t="s">
        <v>1113</v>
      </c>
      <c r="AL990" s="113"/>
      <c r="AM990" s="113"/>
      <c r="AN990" s="113"/>
      <c r="AO990" s="44" t="s">
        <v>2334</v>
      </c>
      <c r="AP990" s="43"/>
      <c r="AQ990" s="236" t="str">
        <f>VLOOKUP(Table8[[#This Row],[Instrument]],Def_Targets!$D$73:$E$159,2,FALSE)</f>
        <v>I_ICEdiesel</v>
      </c>
      <c r="AR990" s="233" t="str">
        <f>VLOOKUP(Table8[[#This Row],[Country Code]],Table29[],3,FALSE)</f>
        <v>Annex I</v>
      </c>
      <c r="AS990" s="233" t="str">
        <f>VLOOKUP(Table8[[#This Row],[Country Code]],Table29[],4,FALSE)</f>
        <v>Europe</v>
      </c>
      <c r="AT990" s="233" t="str">
        <f>VLOOKUP(Table8[[#This Row],[Country Code]],Table29[],5,FALSE)</f>
        <v>High-income</v>
      </c>
      <c r="AU990" s="233" t="str">
        <f>VLOOKUP(Table8[[#This Row],[Country Code]],Table29[],6,FALSE)</f>
        <v>G20</v>
      </c>
      <c r="AV990" s="233" t="str">
        <f>VLOOKUP(Table8[[#This Row],[Country Code]],Table29[],7,FALSE)</f>
        <v>G7</v>
      </c>
      <c r="AW990" s="233" t="str">
        <f>VLOOKUP(Table8[[#This Row],[Country Code]],Table29[],8,FALSE)</f>
        <v>OECD</v>
      </c>
      <c r="AX990" s="233" t="str">
        <f>VLOOKUP(Table8[[#This Row],[Country Code]],Table29[],9,FALSE)</f>
        <v>EU27</v>
      </c>
      <c r="AY990" s="233" t="str">
        <f>VLOOKUP(Table8[[#This Row],[Country Code]],Table29[],10,FALSE)</f>
        <v>no</v>
      </c>
      <c r="AZ990" s="235">
        <f>VLOOKUP(Table8[[#This Row],[Country Code]],Table29[],23,FALSE)</f>
        <v>385.52011950564003</v>
      </c>
      <c r="BA990" s="235">
        <f>VLOOKUP(Table8[[#This Row],[Country Code]],Table29[],24,FALSE)</f>
        <v>123.5644117217294</v>
      </c>
      <c r="BB990" s="320"/>
      <c r="BC990" s="320"/>
    </row>
    <row r="991" spans="1:55" ht="75" hidden="1" x14ac:dyDescent="0.25">
      <c r="A991" s="373">
        <v>17597</v>
      </c>
      <c r="B991" s="233" t="str">
        <f>VLOOKUP(Table8[[#This Row],[Document ID]],Table1[],2,FALSE)</f>
        <v>FRA</v>
      </c>
      <c r="C991" s="233" t="str">
        <f>VLOOKUP(Table8[[#This Row],[Document ID]],Table1[],3,FALSE)</f>
        <v>France</v>
      </c>
      <c r="D991" s="243" t="str">
        <f>VLOOKUP(Table8[[#This Row],[Document ID]],Table1[],5,FALSE)</f>
        <v>LTS</v>
      </c>
      <c r="E991" s="233" t="str">
        <f>VLOOKUP(Table8[[#This Row],[Document ID]],Table1[],7,FALSE)</f>
        <v>LTS</v>
      </c>
      <c r="F991" s="233" t="str">
        <f>VLOOKUP(Table8[[#This Row],[Document ID]],Table1[],8,FALSE)</f>
        <v>LTS 1.0</v>
      </c>
      <c r="G991" s="233" t="str">
        <f>VLOOKUP(Table8[[#This Row],[Document ID]],Table1[],10,FALSE)</f>
        <v>Active</v>
      </c>
      <c r="H991" s="43" t="s">
        <v>2358</v>
      </c>
      <c r="I991" s="43" t="s">
        <v>2359</v>
      </c>
      <c r="J991" s="44" t="s">
        <v>2383</v>
      </c>
      <c r="K991" s="44" t="s">
        <v>3281</v>
      </c>
      <c r="L991" s="44" t="s">
        <v>2333</v>
      </c>
      <c r="M991" s="43">
        <v>73</v>
      </c>
      <c r="N991" s="113" t="s">
        <v>1113</v>
      </c>
      <c r="O991" s="113"/>
      <c r="P991" s="113"/>
      <c r="Q991" s="113"/>
      <c r="R991" s="113"/>
      <c r="S991" s="113"/>
      <c r="T991" s="113"/>
      <c r="U991" s="113"/>
      <c r="V991" s="113"/>
      <c r="W991" s="113"/>
      <c r="X991" s="113"/>
      <c r="Y991" s="113"/>
      <c r="Z991" s="113"/>
      <c r="AA991" s="113"/>
      <c r="AB991" s="113"/>
      <c r="AC991" s="113"/>
      <c r="AD991" s="113"/>
      <c r="AE991" s="113"/>
      <c r="AF991" s="113"/>
      <c r="AG991" s="113"/>
      <c r="AH991" s="113"/>
      <c r="AI991" s="113"/>
      <c r="AJ991" s="113"/>
      <c r="AK991" s="319" t="s">
        <v>1113</v>
      </c>
      <c r="AL991" s="113"/>
      <c r="AM991" s="113"/>
      <c r="AN991" s="113"/>
      <c r="AO991" s="44" t="s">
        <v>2334</v>
      </c>
      <c r="AP991" s="43"/>
      <c r="AQ991" s="236" t="str">
        <f>VLOOKUP(Table8[[#This Row],[Instrument]],Def_Targets!$D$73:$E$159,2,FALSE)</f>
        <v>I_Emobilitycharging</v>
      </c>
      <c r="AR991" s="233" t="str">
        <f>VLOOKUP(Table8[[#This Row],[Country Code]],Table29[],3,FALSE)</f>
        <v>Annex I</v>
      </c>
      <c r="AS991" s="233" t="str">
        <f>VLOOKUP(Table8[[#This Row],[Country Code]],Table29[],4,FALSE)</f>
        <v>Europe</v>
      </c>
      <c r="AT991" s="233" t="str">
        <f>VLOOKUP(Table8[[#This Row],[Country Code]],Table29[],5,FALSE)</f>
        <v>High-income</v>
      </c>
      <c r="AU991" s="233" t="str">
        <f>VLOOKUP(Table8[[#This Row],[Country Code]],Table29[],6,FALSE)</f>
        <v>G20</v>
      </c>
      <c r="AV991" s="233" t="str">
        <f>VLOOKUP(Table8[[#This Row],[Country Code]],Table29[],7,FALSE)</f>
        <v>G7</v>
      </c>
      <c r="AW991" s="233" t="str">
        <f>VLOOKUP(Table8[[#This Row],[Country Code]],Table29[],8,FALSE)</f>
        <v>OECD</v>
      </c>
      <c r="AX991" s="233" t="str">
        <f>VLOOKUP(Table8[[#This Row],[Country Code]],Table29[],9,FALSE)</f>
        <v>EU27</v>
      </c>
      <c r="AY991" s="233" t="str">
        <f>VLOOKUP(Table8[[#This Row],[Country Code]],Table29[],10,FALSE)</f>
        <v>no</v>
      </c>
      <c r="AZ991" s="235">
        <f>VLOOKUP(Table8[[#This Row],[Country Code]],Table29[],23,FALSE)</f>
        <v>385.52011950564003</v>
      </c>
      <c r="BA991" s="235">
        <f>VLOOKUP(Table8[[#This Row],[Country Code]],Table29[],24,FALSE)</f>
        <v>123.5644117217294</v>
      </c>
      <c r="BB991" s="320"/>
      <c r="BC991" s="320"/>
    </row>
    <row r="992" spans="1:55" ht="45" hidden="1" x14ac:dyDescent="0.25">
      <c r="A992" s="373">
        <v>17597</v>
      </c>
      <c r="B992" s="233" t="str">
        <f>VLOOKUP(Table8[[#This Row],[Document ID]],Table1[],2,FALSE)</f>
        <v>FRA</v>
      </c>
      <c r="C992" s="233" t="str">
        <f>VLOOKUP(Table8[[#This Row],[Document ID]],Table1[],3,FALSE)</f>
        <v>France</v>
      </c>
      <c r="D992" s="243" t="str">
        <f>VLOOKUP(Table8[[#This Row],[Document ID]],Table1[],5,FALSE)</f>
        <v>LTS</v>
      </c>
      <c r="E992" s="233" t="str">
        <f>VLOOKUP(Table8[[#This Row],[Document ID]],Table1[],7,FALSE)</f>
        <v>LTS</v>
      </c>
      <c r="F992" s="233" t="str">
        <f>VLOOKUP(Table8[[#This Row],[Document ID]],Table1[],8,FALSE)</f>
        <v>LTS 1.0</v>
      </c>
      <c r="G992" s="233" t="str">
        <f>VLOOKUP(Table8[[#This Row],[Document ID]],Table1[],10,FALSE)</f>
        <v>Active</v>
      </c>
      <c r="H992" s="43" t="s">
        <v>2484</v>
      </c>
      <c r="I992" s="43" t="s">
        <v>2485</v>
      </c>
      <c r="J992" s="44" t="s">
        <v>2486</v>
      </c>
      <c r="K992" s="44" t="s">
        <v>3282</v>
      </c>
      <c r="L992" s="44" t="s">
        <v>2333</v>
      </c>
      <c r="M992" s="43">
        <v>74</v>
      </c>
      <c r="N992" s="113"/>
      <c r="O992" s="113"/>
      <c r="P992" s="113"/>
      <c r="Q992" s="113"/>
      <c r="R992" s="113"/>
      <c r="S992" s="113"/>
      <c r="T992" s="113"/>
      <c r="U992" s="113"/>
      <c r="V992" s="113"/>
      <c r="W992" s="113"/>
      <c r="X992" s="113"/>
      <c r="Y992" s="113"/>
      <c r="Z992" s="113"/>
      <c r="AA992" s="113"/>
      <c r="AB992" s="113"/>
      <c r="AC992" s="113"/>
      <c r="AD992" s="113" t="s">
        <v>1113</v>
      </c>
      <c r="AE992" s="113"/>
      <c r="AF992" s="113"/>
      <c r="AG992" s="113"/>
      <c r="AH992" s="113"/>
      <c r="AI992" s="113"/>
      <c r="AJ992" s="113"/>
      <c r="AK992" s="319" t="s">
        <v>1113</v>
      </c>
      <c r="AL992" s="113"/>
      <c r="AM992" s="113"/>
      <c r="AN992" s="113"/>
      <c r="AO992" s="44" t="s">
        <v>2334</v>
      </c>
      <c r="AP992" s="43"/>
      <c r="AQ992" s="236" t="str">
        <f>VLOOKUP(Table8[[#This Row],[Instrument]],Def_Targets!$D$73:$E$159,2,FALSE)</f>
        <v>I_Shipping</v>
      </c>
      <c r="AR992" s="233" t="str">
        <f>VLOOKUP(Table8[[#This Row],[Country Code]],Table29[],3,FALSE)</f>
        <v>Annex I</v>
      </c>
      <c r="AS992" s="233" t="str">
        <f>VLOOKUP(Table8[[#This Row],[Country Code]],Table29[],4,FALSE)</f>
        <v>Europe</v>
      </c>
      <c r="AT992" s="233" t="str">
        <f>VLOOKUP(Table8[[#This Row],[Country Code]],Table29[],5,FALSE)</f>
        <v>High-income</v>
      </c>
      <c r="AU992" s="233" t="str">
        <f>VLOOKUP(Table8[[#This Row],[Country Code]],Table29[],6,FALSE)</f>
        <v>G20</v>
      </c>
      <c r="AV992" s="233" t="str">
        <f>VLOOKUP(Table8[[#This Row],[Country Code]],Table29[],7,FALSE)</f>
        <v>G7</v>
      </c>
      <c r="AW992" s="233" t="str">
        <f>VLOOKUP(Table8[[#This Row],[Country Code]],Table29[],8,FALSE)</f>
        <v>OECD</v>
      </c>
      <c r="AX992" s="233" t="str">
        <f>VLOOKUP(Table8[[#This Row],[Country Code]],Table29[],9,FALSE)</f>
        <v>EU27</v>
      </c>
      <c r="AY992" s="233" t="str">
        <f>VLOOKUP(Table8[[#This Row],[Country Code]],Table29[],10,FALSE)</f>
        <v>no</v>
      </c>
      <c r="AZ992" s="235">
        <f>VLOOKUP(Table8[[#This Row],[Country Code]],Table29[],23,FALSE)</f>
        <v>385.52011950564003</v>
      </c>
      <c r="BA992" s="235">
        <f>VLOOKUP(Table8[[#This Row],[Country Code]],Table29[],24,FALSE)</f>
        <v>123.5644117217294</v>
      </c>
      <c r="BB992" s="320"/>
      <c r="BC992" s="320"/>
    </row>
    <row r="993" spans="1:55" ht="60" hidden="1" x14ac:dyDescent="0.25">
      <c r="A993" s="373">
        <v>17597</v>
      </c>
      <c r="B993" s="233" t="str">
        <f>VLOOKUP(Table8[[#This Row],[Document ID]],Table1[],2,FALSE)</f>
        <v>FRA</v>
      </c>
      <c r="C993" s="233" t="str">
        <f>VLOOKUP(Table8[[#This Row],[Document ID]],Table1[],3,FALSE)</f>
        <v>France</v>
      </c>
      <c r="D993" s="243" t="str">
        <f>VLOOKUP(Table8[[#This Row],[Document ID]],Table1[],5,FALSE)</f>
        <v>LTS</v>
      </c>
      <c r="E993" s="233" t="str">
        <f>VLOOKUP(Table8[[#This Row],[Document ID]],Table1[],7,FALSE)</f>
        <v>LTS</v>
      </c>
      <c r="F993" s="233" t="str">
        <f>VLOOKUP(Table8[[#This Row],[Document ID]],Table1[],8,FALSE)</f>
        <v>LTS 1.0</v>
      </c>
      <c r="G993" s="233" t="str">
        <f>VLOOKUP(Table8[[#This Row],[Document ID]],Table1[],10,FALSE)</f>
        <v>Active</v>
      </c>
      <c r="H993" s="44" t="s">
        <v>2329</v>
      </c>
      <c r="I993" s="44" t="s">
        <v>2330</v>
      </c>
      <c r="J993" s="44" t="s">
        <v>2331</v>
      </c>
      <c r="K993" s="44" t="s">
        <v>3283</v>
      </c>
      <c r="L993" s="44" t="s">
        <v>2333</v>
      </c>
      <c r="M993" s="43">
        <v>74</v>
      </c>
      <c r="N993" s="113" t="s">
        <v>1113</v>
      </c>
      <c r="O993" s="113"/>
      <c r="P993" s="113"/>
      <c r="Q993" s="113"/>
      <c r="R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t="s">
        <v>1113</v>
      </c>
      <c r="AO993" s="44" t="s">
        <v>2334</v>
      </c>
      <c r="AP993" s="43"/>
      <c r="AQ993" s="236" t="str">
        <f>VLOOKUP(Table8[[#This Row],[Instrument]],Def_Targets!$D$73:$E$159,2,FALSE)</f>
        <v>I_Altfuels</v>
      </c>
      <c r="AR993" s="233" t="str">
        <f>VLOOKUP(Table8[[#This Row],[Country Code]],Table29[],3,FALSE)</f>
        <v>Annex I</v>
      </c>
      <c r="AS993" s="233" t="str">
        <f>VLOOKUP(Table8[[#This Row],[Country Code]],Table29[],4,FALSE)</f>
        <v>Europe</v>
      </c>
      <c r="AT993" s="233" t="str">
        <f>VLOOKUP(Table8[[#This Row],[Country Code]],Table29[],5,FALSE)</f>
        <v>High-income</v>
      </c>
      <c r="AU993" s="233" t="str">
        <f>VLOOKUP(Table8[[#This Row],[Country Code]],Table29[],6,FALSE)</f>
        <v>G20</v>
      </c>
      <c r="AV993" s="233" t="str">
        <f>VLOOKUP(Table8[[#This Row],[Country Code]],Table29[],7,FALSE)</f>
        <v>G7</v>
      </c>
      <c r="AW993" s="233" t="str">
        <f>VLOOKUP(Table8[[#This Row],[Country Code]],Table29[],8,FALSE)</f>
        <v>OECD</v>
      </c>
      <c r="AX993" s="233" t="str">
        <f>VLOOKUP(Table8[[#This Row],[Country Code]],Table29[],9,FALSE)</f>
        <v>EU27</v>
      </c>
      <c r="AY993" s="233" t="str">
        <f>VLOOKUP(Table8[[#This Row],[Country Code]],Table29[],10,FALSE)</f>
        <v>no</v>
      </c>
      <c r="AZ993" s="235">
        <f>VLOOKUP(Table8[[#This Row],[Country Code]],Table29[],23,FALSE)</f>
        <v>385.52011950564003</v>
      </c>
      <c r="BA993" s="235">
        <f>VLOOKUP(Table8[[#This Row],[Country Code]],Table29[],24,FALSE)</f>
        <v>123.5644117217294</v>
      </c>
      <c r="BB993" s="320"/>
      <c r="BC993" s="320"/>
    </row>
    <row r="994" spans="1:55" ht="30" hidden="1" x14ac:dyDescent="0.25">
      <c r="A994" s="373">
        <v>17597</v>
      </c>
      <c r="B994" s="233" t="str">
        <f>VLOOKUP(Table8[[#This Row],[Document ID]],Table1[],2,FALSE)</f>
        <v>FRA</v>
      </c>
      <c r="C994" s="233" t="str">
        <f>VLOOKUP(Table8[[#This Row],[Document ID]],Table1[],3,FALSE)</f>
        <v>France</v>
      </c>
      <c r="D994" s="243" t="str">
        <f>VLOOKUP(Table8[[#This Row],[Document ID]],Table1[],5,FALSE)</f>
        <v>LTS</v>
      </c>
      <c r="E994" s="233" t="str">
        <f>VLOOKUP(Table8[[#This Row],[Document ID]],Table1[],7,FALSE)</f>
        <v>LTS</v>
      </c>
      <c r="F994" s="233" t="str">
        <f>VLOOKUP(Table8[[#This Row],[Document ID]],Table1[],8,FALSE)</f>
        <v>LTS 1.0</v>
      </c>
      <c r="G994" s="233" t="str">
        <f>VLOOKUP(Table8[[#This Row],[Document ID]],Table1[],10,FALSE)</f>
        <v>Active</v>
      </c>
      <c r="H994" s="43" t="s">
        <v>2343</v>
      </c>
      <c r="I994" s="43" t="s">
        <v>2377</v>
      </c>
      <c r="J994" s="44" t="s">
        <v>2521</v>
      </c>
      <c r="K994" s="44" t="s">
        <v>3284</v>
      </c>
      <c r="L994" s="44" t="s">
        <v>2333</v>
      </c>
      <c r="M994" s="43">
        <v>74</v>
      </c>
      <c r="N994" s="113"/>
      <c r="O994" s="113"/>
      <c r="P994" s="113"/>
      <c r="Q994" s="113"/>
      <c r="R994" s="113"/>
      <c r="S994" s="113" t="s">
        <v>1113</v>
      </c>
      <c r="T994" s="113"/>
      <c r="U994" s="113"/>
      <c r="V994" s="113"/>
      <c r="W994" s="113"/>
      <c r="X994" s="113"/>
      <c r="Y994" s="113"/>
      <c r="Z994" s="113"/>
      <c r="AA994" s="113"/>
      <c r="AB994" s="113"/>
      <c r="AC994" s="113"/>
      <c r="AD994" s="113"/>
      <c r="AE994" s="113"/>
      <c r="AF994" s="113"/>
      <c r="AG994" s="113"/>
      <c r="AH994" s="113"/>
      <c r="AI994" s="113"/>
      <c r="AJ994" s="113"/>
      <c r="AK994" s="113"/>
      <c r="AL994" s="113" t="s">
        <v>1113</v>
      </c>
      <c r="AM994" s="113"/>
      <c r="AN994" s="113"/>
      <c r="AO994" s="44" t="s">
        <v>2334</v>
      </c>
      <c r="AP994" s="43"/>
      <c r="AQ994" s="236" t="str">
        <f>VLOOKUP(Table8[[#This Row],[Instrument]],Def_Targets!$D$73:$E$159,2,FALSE)</f>
        <v>A_Caraccess</v>
      </c>
      <c r="AR994" s="233" t="str">
        <f>VLOOKUP(Table8[[#This Row],[Country Code]],Table29[],3,FALSE)</f>
        <v>Annex I</v>
      </c>
      <c r="AS994" s="233" t="str">
        <f>VLOOKUP(Table8[[#This Row],[Country Code]],Table29[],4,FALSE)</f>
        <v>Europe</v>
      </c>
      <c r="AT994" s="233" t="str">
        <f>VLOOKUP(Table8[[#This Row],[Country Code]],Table29[],5,FALSE)</f>
        <v>High-income</v>
      </c>
      <c r="AU994" s="233" t="str">
        <f>VLOOKUP(Table8[[#This Row],[Country Code]],Table29[],6,FALSE)</f>
        <v>G20</v>
      </c>
      <c r="AV994" s="233" t="str">
        <f>VLOOKUP(Table8[[#This Row],[Country Code]],Table29[],7,FALSE)</f>
        <v>G7</v>
      </c>
      <c r="AW994" s="233" t="str">
        <f>VLOOKUP(Table8[[#This Row],[Country Code]],Table29[],8,FALSE)</f>
        <v>OECD</v>
      </c>
      <c r="AX994" s="233" t="str">
        <f>VLOOKUP(Table8[[#This Row],[Country Code]],Table29[],9,FALSE)</f>
        <v>EU27</v>
      </c>
      <c r="AY994" s="233" t="str">
        <f>VLOOKUP(Table8[[#This Row],[Country Code]],Table29[],10,FALSE)</f>
        <v>no</v>
      </c>
      <c r="AZ994" s="235">
        <f>VLOOKUP(Table8[[#This Row],[Country Code]],Table29[],23,FALSE)</f>
        <v>385.52011950564003</v>
      </c>
      <c r="BA994" s="235">
        <f>VLOOKUP(Table8[[#This Row],[Country Code]],Table29[],24,FALSE)</f>
        <v>123.5644117217294</v>
      </c>
      <c r="BB994" s="320"/>
      <c r="BC994" s="320"/>
    </row>
    <row r="995" spans="1:55" ht="30" hidden="1" x14ac:dyDescent="0.25">
      <c r="A995" s="373">
        <v>17597</v>
      </c>
      <c r="B995" s="233" t="str">
        <f>VLOOKUP(Table8[[#This Row],[Document ID]],Table1[],2,FALSE)</f>
        <v>FRA</v>
      </c>
      <c r="C995" s="233" t="str">
        <f>VLOOKUP(Table8[[#This Row],[Document ID]],Table1[],3,FALSE)</f>
        <v>France</v>
      </c>
      <c r="D995" s="243" t="str">
        <f>VLOOKUP(Table8[[#This Row],[Document ID]],Table1[],5,FALSE)</f>
        <v>LTS</v>
      </c>
      <c r="E995" s="233" t="str">
        <f>VLOOKUP(Table8[[#This Row],[Document ID]],Table1[],7,FALSE)</f>
        <v>LTS</v>
      </c>
      <c r="F995" s="233" t="str">
        <f>VLOOKUP(Table8[[#This Row],[Document ID]],Table1[],8,FALSE)</f>
        <v>LTS 1.0</v>
      </c>
      <c r="G995" s="233" t="str">
        <f>VLOOKUP(Table8[[#This Row],[Document ID]],Table1[],10,FALSE)</f>
        <v>Active</v>
      </c>
      <c r="H995" s="43" t="s">
        <v>2350</v>
      </c>
      <c r="I995" s="43" t="s">
        <v>2370</v>
      </c>
      <c r="J995" s="44" t="s">
        <v>2418</v>
      </c>
      <c r="K995" s="44" t="s">
        <v>3285</v>
      </c>
      <c r="L995" s="44" t="s">
        <v>2396</v>
      </c>
      <c r="M995" s="43">
        <v>74</v>
      </c>
      <c r="N995" s="113" t="s">
        <v>1113</v>
      </c>
      <c r="O995" s="113"/>
      <c r="P995" s="113"/>
      <c r="Q995" s="113"/>
      <c r="R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t="s">
        <v>1113</v>
      </c>
      <c r="AM995" s="113"/>
      <c r="AN995" s="113"/>
      <c r="AO995" s="44" t="s">
        <v>2334</v>
      </c>
      <c r="AP995" s="43"/>
      <c r="AQ995" s="236" t="str">
        <f>VLOOKUP(Table8[[#This Row],[Instrument]],Def_Targets!$D$73:$E$159,2,FALSE)</f>
        <v>A_Complan</v>
      </c>
      <c r="AR995" s="233" t="str">
        <f>VLOOKUP(Table8[[#This Row],[Country Code]],Table29[],3,FALSE)</f>
        <v>Annex I</v>
      </c>
      <c r="AS995" s="233" t="str">
        <f>VLOOKUP(Table8[[#This Row],[Country Code]],Table29[],4,FALSE)</f>
        <v>Europe</v>
      </c>
      <c r="AT995" s="233" t="str">
        <f>VLOOKUP(Table8[[#This Row],[Country Code]],Table29[],5,FALSE)</f>
        <v>High-income</v>
      </c>
      <c r="AU995" s="233" t="str">
        <f>VLOOKUP(Table8[[#This Row],[Country Code]],Table29[],6,FALSE)</f>
        <v>G20</v>
      </c>
      <c r="AV995" s="233" t="str">
        <f>VLOOKUP(Table8[[#This Row],[Country Code]],Table29[],7,FALSE)</f>
        <v>G7</v>
      </c>
      <c r="AW995" s="233" t="str">
        <f>VLOOKUP(Table8[[#This Row],[Country Code]],Table29[],8,FALSE)</f>
        <v>OECD</v>
      </c>
      <c r="AX995" s="233" t="str">
        <f>VLOOKUP(Table8[[#This Row],[Country Code]],Table29[],9,FALSE)</f>
        <v>EU27</v>
      </c>
      <c r="AY995" s="233" t="str">
        <f>VLOOKUP(Table8[[#This Row],[Country Code]],Table29[],10,FALSE)</f>
        <v>no</v>
      </c>
      <c r="AZ995" s="235">
        <f>VLOOKUP(Table8[[#This Row],[Country Code]],Table29[],23,FALSE)</f>
        <v>385.52011950564003</v>
      </c>
      <c r="BA995" s="235">
        <f>VLOOKUP(Table8[[#This Row],[Country Code]],Table29[],24,FALSE)</f>
        <v>123.5644117217294</v>
      </c>
      <c r="BB995" s="320"/>
      <c r="BC995" s="320"/>
    </row>
    <row r="996" spans="1:55" ht="45" hidden="1" x14ac:dyDescent="0.25">
      <c r="A996" s="373">
        <v>17597</v>
      </c>
      <c r="B996" s="233" t="str">
        <f>VLOOKUP(Table8[[#This Row],[Document ID]],Table1[],2,FALSE)</f>
        <v>FRA</v>
      </c>
      <c r="C996" s="233" t="str">
        <f>VLOOKUP(Table8[[#This Row],[Document ID]],Table1[],3,FALSE)</f>
        <v>France</v>
      </c>
      <c r="D996" s="243" t="str">
        <f>VLOOKUP(Table8[[#This Row],[Document ID]],Table1[],5,FALSE)</f>
        <v>LTS</v>
      </c>
      <c r="E996" s="233" t="str">
        <f>VLOOKUP(Table8[[#This Row],[Document ID]],Table1[],7,FALSE)</f>
        <v>LTS</v>
      </c>
      <c r="F996" s="233" t="str">
        <f>VLOOKUP(Table8[[#This Row],[Document ID]],Table1[],8,FALSE)</f>
        <v>LTS 1.0</v>
      </c>
      <c r="G996" s="233" t="str">
        <f>VLOOKUP(Table8[[#This Row],[Document ID]],Table1[],10,FALSE)</f>
        <v>Active</v>
      </c>
      <c r="H996" s="43" t="s">
        <v>2343</v>
      </c>
      <c r="I996" s="43" t="s">
        <v>2377</v>
      </c>
      <c r="J996" s="44" t="s">
        <v>2378</v>
      </c>
      <c r="K996" s="44" t="s">
        <v>3286</v>
      </c>
      <c r="L996" s="44" t="s">
        <v>2396</v>
      </c>
      <c r="M996" s="43">
        <v>74</v>
      </c>
      <c r="N996" s="113" t="s">
        <v>1113</v>
      </c>
      <c r="O996" s="113"/>
      <c r="P996" s="113"/>
      <c r="Q996" s="113"/>
      <c r="R996" s="113"/>
      <c r="S996" s="113"/>
      <c r="T996" s="113"/>
      <c r="U996" s="113"/>
      <c r="V996" s="113"/>
      <c r="W996" s="113"/>
      <c r="X996" s="113"/>
      <c r="Y996" s="113"/>
      <c r="Z996" s="113"/>
      <c r="AA996" s="113"/>
      <c r="AB996" s="113"/>
      <c r="AC996" s="113"/>
      <c r="AD996" s="113"/>
      <c r="AE996" s="113"/>
      <c r="AF996" s="113"/>
      <c r="AG996" s="113"/>
      <c r="AH996" s="113"/>
      <c r="AI996" s="113"/>
      <c r="AJ996" s="113"/>
      <c r="AK996" s="319" t="s">
        <v>1113</v>
      </c>
      <c r="AL996" s="113"/>
      <c r="AM996" s="113"/>
      <c r="AN996" s="113"/>
      <c r="AO996" s="44" t="s">
        <v>2334</v>
      </c>
      <c r="AP996" s="43"/>
      <c r="AQ996" s="236" t="str">
        <f>VLOOKUP(Table8[[#This Row],[Instrument]],Def_Targets!$D$73:$E$159,2,FALSE)</f>
        <v>A_Commute</v>
      </c>
      <c r="AR996" s="233" t="str">
        <f>VLOOKUP(Table8[[#This Row],[Country Code]],Table29[],3,FALSE)</f>
        <v>Annex I</v>
      </c>
      <c r="AS996" s="233" t="str">
        <f>VLOOKUP(Table8[[#This Row],[Country Code]],Table29[],4,FALSE)</f>
        <v>Europe</v>
      </c>
      <c r="AT996" s="233" t="str">
        <f>VLOOKUP(Table8[[#This Row],[Country Code]],Table29[],5,FALSE)</f>
        <v>High-income</v>
      </c>
      <c r="AU996" s="233" t="str">
        <f>VLOOKUP(Table8[[#This Row],[Country Code]],Table29[],6,FALSE)</f>
        <v>G20</v>
      </c>
      <c r="AV996" s="233" t="str">
        <f>VLOOKUP(Table8[[#This Row],[Country Code]],Table29[],7,FALSE)</f>
        <v>G7</v>
      </c>
      <c r="AW996" s="233" t="str">
        <f>VLOOKUP(Table8[[#This Row],[Country Code]],Table29[],8,FALSE)</f>
        <v>OECD</v>
      </c>
      <c r="AX996" s="233" t="str">
        <f>VLOOKUP(Table8[[#This Row],[Country Code]],Table29[],9,FALSE)</f>
        <v>EU27</v>
      </c>
      <c r="AY996" s="233" t="str">
        <f>VLOOKUP(Table8[[#This Row],[Country Code]],Table29[],10,FALSE)</f>
        <v>no</v>
      </c>
      <c r="AZ996" s="235">
        <f>VLOOKUP(Table8[[#This Row],[Country Code]],Table29[],23,FALSE)</f>
        <v>385.52011950564003</v>
      </c>
      <c r="BA996" s="235">
        <f>VLOOKUP(Table8[[#This Row],[Country Code]],Table29[],24,FALSE)</f>
        <v>123.5644117217294</v>
      </c>
      <c r="BB996" s="320"/>
      <c r="BC996" s="320"/>
    </row>
    <row r="997" spans="1:55" hidden="1" x14ac:dyDescent="0.25">
      <c r="A997" s="373">
        <v>17597</v>
      </c>
      <c r="B997" s="233" t="str">
        <f>VLOOKUP(Table8[[#This Row],[Document ID]],Table1[],2,FALSE)</f>
        <v>FRA</v>
      </c>
      <c r="C997" s="233" t="str">
        <f>VLOOKUP(Table8[[#This Row],[Document ID]],Table1[],3,FALSE)</f>
        <v>France</v>
      </c>
      <c r="D997" s="243" t="str">
        <f>VLOOKUP(Table8[[#This Row],[Document ID]],Table1[],5,FALSE)</f>
        <v>LTS</v>
      </c>
      <c r="E997" s="233" t="str">
        <f>VLOOKUP(Table8[[#This Row],[Document ID]],Table1[],7,FALSE)</f>
        <v>LTS</v>
      </c>
      <c r="F997" s="233" t="str">
        <f>VLOOKUP(Table8[[#This Row],[Document ID]],Table1[],8,FALSE)</f>
        <v>LTS 1.0</v>
      </c>
      <c r="G997" s="233" t="str">
        <f>VLOOKUP(Table8[[#This Row],[Document ID]],Table1[],10,FALSE)</f>
        <v>Active</v>
      </c>
      <c r="H997" s="43" t="s">
        <v>2343</v>
      </c>
      <c r="I997" s="43" t="s">
        <v>2386</v>
      </c>
      <c r="J997" s="44" t="s">
        <v>2397</v>
      </c>
      <c r="K997" s="44" t="s">
        <v>3287</v>
      </c>
      <c r="L997" s="44" t="s">
        <v>2396</v>
      </c>
      <c r="M997" s="43">
        <v>74</v>
      </c>
      <c r="N997" s="113" t="s">
        <v>1113</v>
      </c>
      <c r="O997" s="113"/>
      <c r="P997" s="113"/>
      <c r="Q997" s="113"/>
      <c r="R997" s="113"/>
      <c r="S997" s="113"/>
      <c r="T997" s="113"/>
      <c r="U997" s="113"/>
      <c r="V997" s="113"/>
      <c r="W997" s="113"/>
      <c r="X997" s="113"/>
      <c r="Y997" s="113"/>
      <c r="Z997" s="113"/>
      <c r="AA997" s="113"/>
      <c r="AB997" s="113"/>
      <c r="AC997" s="113"/>
      <c r="AD997" s="113"/>
      <c r="AE997" s="113"/>
      <c r="AF997" s="113"/>
      <c r="AG997" s="113"/>
      <c r="AH997" s="113"/>
      <c r="AI997" s="113"/>
      <c r="AJ997" s="113"/>
      <c r="AK997" s="319" t="s">
        <v>1113</v>
      </c>
      <c r="AL997" s="113"/>
      <c r="AM997" s="113"/>
      <c r="AN997" s="113"/>
      <c r="AO997" s="44" t="s">
        <v>2334</v>
      </c>
      <c r="AP997" s="43"/>
      <c r="AQ997" s="236" t="str">
        <f>VLOOKUP(Table8[[#This Row],[Instrument]],Def_Targets!$D$73:$E$159,2,FALSE)</f>
        <v>A_Finance</v>
      </c>
      <c r="AR997" s="233" t="str">
        <f>VLOOKUP(Table8[[#This Row],[Country Code]],Table29[],3,FALSE)</f>
        <v>Annex I</v>
      </c>
      <c r="AS997" s="233" t="str">
        <f>VLOOKUP(Table8[[#This Row],[Country Code]],Table29[],4,FALSE)</f>
        <v>Europe</v>
      </c>
      <c r="AT997" s="233" t="str">
        <f>VLOOKUP(Table8[[#This Row],[Country Code]],Table29[],5,FALSE)</f>
        <v>High-income</v>
      </c>
      <c r="AU997" s="233" t="str">
        <f>VLOOKUP(Table8[[#This Row],[Country Code]],Table29[],6,FALSE)</f>
        <v>G20</v>
      </c>
      <c r="AV997" s="233" t="str">
        <f>VLOOKUP(Table8[[#This Row],[Country Code]],Table29[],7,FALSE)</f>
        <v>G7</v>
      </c>
      <c r="AW997" s="233" t="str">
        <f>VLOOKUP(Table8[[#This Row],[Country Code]],Table29[],8,FALSE)</f>
        <v>OECD</v>
      </c>
      <c r="AX997" s="233" t="str">
        <f>VLOOKUP(Table8[[#This Row],[Country Code]],Table29[],9,FALSE)</f>
        <v>EU27</v>
      </c>
      <c r="AY997" s="233" t="str">
        <f>VLOOKUP(Table8[[#This Row],[Country Code]],Table29[],10,FALSE)</f>
        <v>no</v>
      </c>
      <c r="AZ997" s="235">
        <f>VLOOKUP(Table8[[#This Row],[Country Code]],Table29[],23,FALSE)</f>
        <v>385.52011950564003</v>
      </c>
      <c r="BA997" s="235">
        <f>VLOOKUP(Table8[[#This Row],[Country Code]],Table29[],24,FALSE)</f>
        <v>123.5644117217294</v>
      </c>
      <c r="BB997" s="320"/>
      <c r="BC997" s="320"/>
    </row>
    <row r="998" spans="1:55" hidden="1" x14ac:dyDescent="0.25">
      <c r="A998" s="373">
        <v>17597</v>
      </c>
      <c r="B998" s="233" t="str">
        <f>VLOOKUP(Table8[[#This Row],[Document ID]],Table1[],2,FALSE)</f>
        <v>FRA</v>
      </c>
      <c r="C998" s="233" t="str">
        <f>VLOOKUP(Table8[[#This Row],[Document ID]],Table1[],3,FALSE)</f>
        <v>France</v>
      </c>
      <c r="D998" s="243" t="str">
        <f>VLOOKUP(Table8[[#This Row],[Document ID]],Table1[],5,FALSE)</f>
        <v>LTS</v>
      </c>
      <c r="E998" s="233" t="str">
        <f>VLOOKUP(Table8[[#This Row],[Document ID]],Table1[],7,FALSE)</f>
        <v>LTS</v>
      </c>
      <c r="F998" s="233" t="str">
        <f>VLOOKUP(Table8[[#This Row],[Document ID]],Table1[],8,FALSE)</f>
        <v>LTS 1.0</v>
      </c>
      <c r="G998" s="233" t="str">
        <f>VLOOKUP(Table8[[#This Row],[Document ID]],Table1[],10,FALSE)</f>
        <v>Active</v>
      </c>
      <c r="H998" s="43" t="s">
        <v>2343</v>
      </c>
      <c r="I998" s="43" t="s">
        <v>2377</v>
      </c>
      <c r="J998" s="44" t="s">
        <v>2378</v>
      </c>
      <c r="K998" s="44" t="s">
        <v>3287</v>
      </c>
      <c r="L998" s="44" t="s">
        <v>2396</v>
      </c>
      <c r="M998" s="43">
        <v>74</v>
      </c>
      <c r="N998" s="113" t="s">
        <v>1113</v>
      </c>
      <c r="O998" s="113"/>
      <c r="P998" s="113"/>
      <c r="Q998" s="113"/>
      <c r="R998" s="113"/>
      <c r="S998" s="113"/>
      <c r="T998" s="113"/>
      <c r="U998" s="113"/>
      <c r="V998" s="113"/>
      <c r="W998" s="113"/>
      <c r="X998" s="113"/>
      <c r="Y998" s="113"/>
      <c r="Z998" s="113"/>
      <c r="AA998" s="113"/>
      <c r="AB998" s="113"/>
      <c r="AC998" s="113"/>
      <c r="AD998" s="113"/>
      <c r="AE998" s="113"/>
      <c r="AF998" s="113"/>
      <c r="AG998" s="113"/>
      <c r="AH998" s="113"/>
      <c r="AI998" s="113"/>
      <c r="AJ998" s="113"/>
      <c r="AK998" s="319" t="s">
        <v>1113</v>
      </c>
      <c r="AL998" s="113"/>
      <c r="AM998" s="113"/>
      <c r="AN998" s="113"/>
      <c r="AO998" s="44" t="s">
        <v>2334</v>
      </c>
      <c r="AP998" s="43"/>
      <c r="AQ998" s="236" t="str">
        <f>VLOOKUP(Table8[[#This Row],[Instrument]],Def_Targets!$D$73:$E$159,2,FALSE)</f>
        <v>A_Commute</v>
      </c>
      <c r="AR998" s="233" t="str">
        <f>VLOOKUP(Table8[[#This Row],[Country Code]],Table29[],3,FALSE)</f>
        <v>Annex I</v>
      </c>
      <c r="AS998" s="233" t="str">
        <f>VLOOKUP(Table8[[#This Row],[Country Code]],Table29[],4,FALSE)</f>
        <v>Europe</v>
      </c>
      <c r="AT998" s="233" t="str">
        <f>VLOOKUP(Table8[[#This Row],[Country Code]],Table29[],5,FALSE)</f>
        <v>High-income</v>
      </c>
      <c r="AU998" s="233" t="str">
        <f>VLOOKUP(Table8[[#This Row],[Country Code]],Table29[],6,FALSE)</f>
        <v>G20</v>
      </c>
      <c r="AV998" s="233" t="str">
        <f>VLOOKUP(Table8[[#This Row],[Country Code]],Table29[],7,FALSE)</f>
        <v>G7</v>
      </c>
      <c r="AW998" s="233" t="str">
        <f>VLOOKUP(Table8[[#This Row],[Country Code]],Table29[],8,FALSE)</f>
        <v>OECD</v>
      </c>
      <c r="AX998" s="233" t="str">
        <f>VLOOKUP(Table8[[#This Row],[Country Code]],Table29[],9,FALSE)</f>
        <v>EU27</v>
      </c>
      <c r="AY998" s="233" t="str">
        <f>VLOOKUP(Table8[[#This Row],[Country Code]],Table29[],10,FALSE)</f>
        <v>no</v>
      </c>
      <c r="AZ998" s="235">
        <f>VLOOKUP(Table8[[#This Row],[Country Code]],Table29[],23,FALSE)</f>
        <v>385.52011950564003</v>
      </c>
      <c r="BA998" s="235">
        <f>VLOOKUP(Table8[[#This Row],[Country Code]],Table29[],24,FALSE)</f>
        <v>123.5644117217294</v>
      </c>
      <c r="BB998" s="320"/>
      <c r="BC998" s="320"/>
    </row>
    <row r="999" spans="1:55" ht="45" hidden="1" x14ac:dyDescent="0.25">
      <c r="A999" s="373">
        <v>17597</v>
      </c>
      <c r="B999" s="233" t="str">
        <f>VLOOKUP(Table8[[#This Row],[Document ID]],Table1[],2,FALSE)</f>
        <v>FRA</v>
      </c>
      <c r="C999" s="233" t="str">
        <f>VLOOKUP(Table8[[#This Row],[Document ID]],Table1[],3,FALSE)</f>
        <v>France</v>
      </c>
      <c r="D999" s="243" t="str">
        <f>VLOOKUP(Table8[[#This Row],[Document ID]],Table1[],5,FALSE)</f>
        <v>LTS</v>
      </c>
      <c r="E999" s="233" t="str">
        <f>VLOOKUP(Table8[[#This Row],[Document ID]],Table1[],7,FALSE)</f>
        <v>LTS</v>
      </c>
      <c r="F999" s="233" t="str">
        <f>VLOOKUP(Table8[[#This Row],[Document ID]],Table1[],8,FALSE)</f>
        <v>LTS 1.0</v>
      </c>
      <c r="G999" s="233" t="str">
        <f>VLOOKUP(Table8[[#This Row],[Document ID]],Table1[],10,FALSE)</f>
        <v>Active</v>
      </c>
      <c r="H999" s="43" t="s">
        <v>2343</v>
      </c>
      <c r="I999" s="43" t="s">
        <v>2361</v>
      </c>
      <c r="J999" s="44" t="s">
        <v>2362</v>
      </c>
      <c r="K999" s="44" t="s">
        <v>3288</v>
      </c>
      <c r="L999" s="44" t="s">
        <v>2347</v>
      </c>
      <c r="M999" s="43">
        <v>74</v>
      </c>
      <c r="N999" s="113"/>
      <c r="O999" s="113"/>
      <c r="P999" s="113"/>
      <c r="Q999" s="113" t="s">
        <v>1113</v>
      </c>
      <c r="R999" s="113" t="s">
        <v>1113</v>
      </c>
      <c r="S999" s="113"/>
      <c r="T999" s="113"/>
      <c r="U999" s="113"/>
      <c r="V999" s="113"/>
      <c r="W999" s="113"/>
      <c r="X999" s="113"/>
      <c r="Y999" s="113"/>
      <c r="Z999" s="113"/>
      <c r="AA999" s="113"/>
      <c r="AB999" s="113"/>
      <c r="AC999" s="113"/>
      <c r="AD999" s="113"/>
      <c r="AE999" s="113"/>
      <c r="AF999" s="113"/>
      <c r="AG999" s="113"/>
      <c r="AH999" s="113"/>
      <c r="AI999" s="113"/>
      <c r="AJ999" s="113"/>
      <c r="AK999" s="319" t="s">
        <v>1113</v>
      </c>
      <c r="AL999" s="113"/>
      <c r="AM999" s="113"/>
      <c r="AN999" s="113"/>
      <c r="AO999" s="44" t="s">
        <v>2334</v>
      </c>
      <c r="AP999" s="43"/>
      <c r="AQ999" s="236" t="str">
        <f>VLOOKUP(Table8[[#This Row],[Instrument]],Def_Targets!$D$73:$E$159,2,FALSE)</f>
        <v>S_Cycling</v>
      </c>
      <c r="AR999" s="233" t="str">
        <f>VLOOKUP(Table8[[#This Row],[Country Code]],Table29[],3,FALSE)</f>
        <v>Annex I</v>
      </c>
      <c r="AS999" s="233" t="str">
        <f>VLOOKUP(Table8[[#This Row],[Country Code]],Table29[],4,FALSE)</f>
        <v>Europe</v>
      </c>
      <c r="AT999" s="233" t="str">
        <f>VLOOKUP(Table8[[#This Row],[Country Code]],Table29[],5,FALSE)</f>
        <v>High-income</v>
      </c>
      <c r="AU999" s="233" t="str">
        <f>VLOOKUP(Table8[[#This Row],[Country Code]],Table29[],6,FALSE)</f>
        <v>G20</v>
      </c>
      <c r="AV999" s="233" t="str">
        <f>VLOOKUP(Table8[[#This Row],[Country Code]],Table29[],7,FALSE)</f>
        <v>G7</v>
      </c>
      <c r="AW999" s="233" t="str">
        <f>VLOOKUP(Table8[[#This Row],[Country Code]],Table29[],8,FALSE)</f>
        <v>OECD</v>
      </c>
      <c r="AX999" s="233" t="str">
        <f>VLOOKUP(Table8[[#This Row],[Country Code]],Table29[],9,FALSE)</f>
        <v>EU27</v>
      </c>
      <c r="AY999" s="233" t="str">
        <f>VLOOKUP(Table8[[#This Row],[Country Code]],Table29[],10,FALSE)</f>
        <v>no</v>
      </c>
      <c r="AZ999" s="235">
        <f>VLOOKUP(Table8[[#This Row],[Country Code]],Table29[],23,FALSE)</f>
        <v>385.52011950564003</v>
      </c>
      <c r="BA999" s="235">
        <f>VLOOKUP(Table8[[#This Row],[Country Code]],Table29[],24,FALSE)</f>
        <v>123.5644117217294</v>
      </c>
      <c r="BB999" s="320"/>
      <c r="BC999" s="320"/>
    </row>
    <row r="1000" spans="1:55" ht="45" hidden="1" x14ac:dyDescent="0.25">
      <c r="A1000" s="373">
        <v>17597</v>
      </c>
      <c r="B1000" s="233" t="str">
        <f>VLOOKUP(Table8[[#This Row],[Document ID]],Table1[],2,FALSE)</f>
        <v>FRA</v>
      </c>
      <c r="C1000" s="233" t="str">
        <f>VLOOKUP(Table8[[#This Row],[Document ID]],Table1[],3,FALSE)</f>
        <v>France</v>
      </c>
      <c r="D1000" s="243" t="str">
        <f>VLOOKUP(Table8[[#This Row],[Document ID]],Table1[],5,FALSE)</f>
        <v>LTS</v>
      </c>
      <c r="E1000" s="233" t="str">
        <f>VLOOKUP(Table8[[#This Row],[Document ID]],Table1[],7,FALSE)</f>
        <v>LTS</v>
      </c>
      <c r="F1000" s="233" t="str">
        <f>VLOOKUP(Table8[[#This Row],[Document ID]],Table1[],8,FALSE)</f>
        <v>LTS 1.0</v>
      </c>
      <c r="G1000" s="233" t="str">
        <f>VLOOKUP(Table8[[#This Row],[Document ID]],Table1[],10,FALSE)</f>
        <v>Active</v>
      </c>
      <c r="H1000" s="43" t="s">
        <v>2343</v>
      </c>
      <c r="I1000" s="43" t="s">
        <v>2361</v>
      </c>
      <c r="J1000" s="44" t="s">
        <v>2463</v>
      </c>
      <c r="K1000" s="44" t="s">
        <v>3289</v>
      </c>
      <c r="L1000" s="44" t="s">
        <v>2347</v>
      </c>
      <c r="M1000" s="43">
        <v>74</v>
      </c>
      <c r="N1000" s="113"/>
      <c r="O1000" s="113"/>
      <c r="P1000" s="113"/>
      <c r="Q1000" s="113" t="s">
        <v>1291</v>
      </c>
      <c r="R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319" t="s">
        <v>1113</v>
      </c>
      <c r="AL1000" s="113"/>
      <c r="AM1000" s="113"/>
      <c r="AN1000" s="113"/>
      <c r="AO1000" s="44" t="s">
        <v>2334</v>
      </c>
      <c r="AP1000" s="43"/>
      <c r="AQ1000" s="236" t="str">
        <f>VLOOKUP(Table8[[#This Row],[Instrument]],Def_Targets!$D$73:$E$159,2,FALSE)</f>
        <v>S_Walking</v>
      </c>
      <c r="AR1000" s="233" t="str">
        <f>VLOOKUP(Table8[[#This Row],[Country Code]],Table29[],3,FALSE)</f>
        <v>Annex I</v>
      </c>
      <c r="AS1000" s="233" t="str">
        <f>VLOOKUP(Table8[[#This Row],[Country Code]],Table29[],4,FALSE)</f>
        <v>Europe</v>
      </c>
      <c r="AT1000" s="233" t="str">
        <f>VLOOKUP(Table8[[#This Row],[Country Code]],Table29[],5,FALSE)</f>
        <v>High-income</v>
      </c>
      <c r="AU1000" s="233" t="str">
        <f>VLOOKUP(Table8[[#This Row],[Country Code]],Table29[],6,FALSE)</f>
        <v>G20</v>
      </c>
      <c r="AV1000" s="233" t="str">
        <f>VLOOKUP(Table8[[#This Row],[Country Code]],Table29[],7,FALSE)</f>
        <v>G7</v>
      </c>
      <c r="AW1000" s="233" t="str">
        <f>VLOOKUP(Table8[[#This Row],[Country Code]],Table29[],8,FALSE)</f>
        <v>OECD</v>
      </c>
      <c r="AX1000" s="233" t="str">
        <f>VLOOKUP(Table8[[#This Row],[Country Code]],Table29[],9,FALSE)</f>
        <v>EU27</v>
      </c>
      <c r="AY1000" s="233" t="str">
        <f>VLOOKUP(Table8[[#This Row],[Country Code]],Table29[],10,FALSE)</f>
        <v>no</v>
      </c>
      <c r="AZ1000" s="235">
        <f>VLOOKUP(Table8[[#This Row],[Country Code]],Table29[],23,FALSE)</f>
        <v>385.52011950564003</v>
      </c>
      <c r="BA1000" s="235">
        <f>VLOOKUP(Table8[[#This Row],[Country Code]],Table29[],24,FALSE)</f>
        <v>123.5644117217294</v>
      </c>
      <c r="BB1000" s="320"/>
      <c r="BC1000" s="320"/>
    </row>
    <row r="1001" spans="1:55" ht="45" hidden="1" x14ac:dyDescent="0.25">
      <c r="A1001" s="373">
        <v>17597</v>
      </c>
      <c r="B1001" s="233" t="str">
        <f>VLOOKUP(Table8[[#This Row],[Document ID]],Table1[],2,FALSE)</f>
        <v>FRA</v>
      </c>
      <c r="C1001" s="233" t="str">
        <f>VLOOKUP(Table8[[#This Row],[Document ID]],Table1[],3,FALSE)</f>
        <v>France</v>
      </c>
      <c r="D1001" s="243" t="str">
        <f>VLOOKUP(Table8[[#This Row],[Document ID]],Table1[],5,FALSE)</f>
        <v>LTS</v>
      </c>
      <c r="E1001" s="233" t="str">
        <f>VLOOKUP(Table8[[#This Row],[Document ID]],Table1[],7,FALSE)</f>
        <v>LTS</v>
      </c>
      <c r="F1001" s="233" t="str">
        <f>VLOOKUP(Table8[[#This Row],[Document ID]],Table1[],8,FALSE)</f>
        <v>LTS 1.0</v>
      </c>
      <c r="G1001" s="233" t="str">
        <f>VLOOKUP(Table8[[#This Row],[Document ID]],Table1[],10,FALSE)</f>
        <v>Active</v>
      </c>
      <c r="H1001" s="43" t="s">
        <v>2343</v>
      </c>
      <c r="I1001" s="43" t="s">
        <v>2361</v>
      </c>
      <c r="J1001" s="44" t="s">
        <v>2362</v>
      </c>
      <c r="K1001" s="44" t="s">
        <v>3289</v>
      </c>
      <c r="L1001" s="44" t="s">
        <v>2347</v>
      </c>
      <c r="M1001" s="43">
        <v>74</v>
      </c>
      <c r="N1001" s="113"/>
      <c r="O1001" s="113"/>
      <c r="P1001" s="113"/>
      <c r="Q1001" s="113"/>
      <c r="R1001" s="113" t="s">
        <v>1113</v>
      </c>
      <c r="S1001" s="113"/>
      <c r="T1001" s="113"/>
      <c r="U1001" s="113"/>
      <c r="V1001" s="113"/>
      <c r="W1001" s="113"/>
      <c r="X1001" s="113"/>
      <c r="Y1001" s="113"/>
      <c r="Z1001" s="113"/>
      <c r="AA1001" s="113"/>
      <c r="AB1001" s="113"/>
      <c r="AC1001" s="113"/>
      <c r="AD1001" s="113"/>
      <c r="AE1001" s="113"/>
      <c r="AF1001" s="113"/>
      <c r="AG1001" s="113"/>
      <c r="AH1001" s="113"/>
      <c r="AI1001" s="113"/>
      <c r="AJ1001" s="113"/>
      <c r="AK1001" s="319" t="s">
        <v>1113</v>
      </c>
      <c r="AL1001" s="113"/>
      <c r="AM1001" s="113"/>
      <c r="AN1001" s="113"/>
      <c r="AO1001" s="44" t="s">
        <v>2334</v>
      </c>
      <c r="AP1001" s="43"/>
      <c r="AQ1001" s="236" t="str">
        <f>VLOOKUP(Table8[[#This Row],[Instrument]],Def_Targets!$D$73:$E$159,2,FALSE)</f>
        <v>S_Cycling</v>
      </c>
      <c r="AR1001" s="233" t="str">
        <f>VLOOKUP(Table8[[#This Row],[Country Code]],Table29[],3,FALSE)</f>
        <v>Annex I</v>
      </c>
      <c r="AS1001" s="233" t="str">
        <f>VLOOKUP(Table8[[#This Row],[Country Code]],Table29[],4,FALSE)</f>
        <v>Europe</v>
      </c>
      <c r="AT1001" s="233" t="str">
        <f>VLOOKUP(Table8[[#This Row],[Country Code]],Table29[],5,FALSE)</f>
        <v>High-income</v>
      </c>
      <c r="AU1001" s="233" t="str">
        <f>VLOOKUP(Table8[[#This Row],[Country Code]],Table29[],6,FALSE)</f>
        <v>G20</v>
      </c>
      <c r="AV1001" s="233" t="str">
        <f>VLOOKUP(Table8[[#This Row],[Country Code]],Table29[],7,FALSE)</f>
        <v>G7</v>
      </c>
      <c r="AW1001" s="233" t="str">
        <f>VLOOKUP(Table8[[#This Row],[Country Code]],Table29[],8,FALSE)</f>
        <v>OECD</v>
      </c>
      <c r="AX1001" s="233" t="str">
        <f>VLOOKUP(Table8[[#This Row],[Country Code]],Table29[],9,FALSE)</f>
        <v>EU27</v>
      </c>
      <c r="AY1001" s="233" t="str">
        <f>VLOOKUP(Table8[[#This Row],[Country Code]],Table29[],10,FALSE)</f>
        <v>no</v>
      </c>
      <c r="AZ1001" s="235">
        <f>VLOOKUP(Table8[[#This Row],[Country Code]],Table29[],23,FALSE)</f>
        <v>385.52011950564003</v>
      </c>
      <c r="BA1001" s="235">
        <f>VLOOKUP(Table8[[#This Row],[Country Code]],Table29[],24,FALSE)</f>
        <v>123.5644117217294</v>
      </c>
      <c r="BB1001" s="320"/>
      <c r="BC1001" s="320"/>
    </row>
    <row r="1002" spans="1:55" ht="75" hidden="1" x14ac:dyDescent="0.25">
      <c r="A1002" s="373">
        <v>17597</v>
      </c>
      <c r="B1002" s="233" t="str">
        <f>VLOOKUP(Table8[[#This Row],[Document ID]],Table1[],2,FALSE)</f>
        <v>FRA</v>
      </c>
      <c r="C1002" s="233" t="str">
        <f>VLOOKUP(Table8[[#This Row],[Document ID]],Table1[],3,FALSE)</f>
        <v>France</v>
      </c>
      <c r="D1002" s="243" t="str">
        <f>VLOOKUP(Table8[[#This Row],[Document ID]],Table1[],5,FALSE)</f>
        <v>LTS</v>
      </c>
      <c r="E1002" s="233" t="str">
        <f>VLOOKUP(Table8[[#This Row],[Document ID]],Table1[],7,FALSE)</f>
        <v>LTS</v>
      </c>
      <c r="F1002" s="233" t="str">
        <f>VLOOKUP(Table8[[#This Row],[Document ID]],Table1[],8,FALSE)</f>
        <v>LTS 1.0</v>
      </c>
      <c r="G1002" s="233" t="str">
        <f>VLOOKUP(Table8[[#This Row],[Document ID]],Table1[],10,FALSE)</f>
        <v>Active</v>
      </c>
      <c r="H1002" s="43" t="s">
        <v>2343</v>
      </c>
      <c r="I1002" s="43" t="s">
        <v>2344</v>
      </c>
      <c r="J1002" s="44" t="s">
        <v>2345</v>
      </c>
      <c r="K1002" s="44" t="s">
        <v>3290</v>
      </c>
      <c r="L1002" s="44" t="s">
        <v>2347</v>
      </c>
      <c r="M1002" s="43">
        <v>74</v>
      </c>
      <c r="N1002" s="113"/>
      <c r="O1002" s="113"/>
      <c r="P1002" s="113"/>
      <c r="Q1002" s="113"/>
      <c r="R1002" s="113"/>
      <c r="S1002" s="113"/>
      <c r="T1002" s="113"/>
      <c r="U1002" s="113"/>
      <c r="V1002" s="113"/>
      <c r="W1002" s="113"/>
      <c r="X1002" s="113"/>
      <c r="Y1002" s="113" t="s">
        <v>1113</v>
      </c>
      <c r="Z1002" s="113" t="s">
        <v>1113</v>
      </c>
      <c r="AA1002" s="113"/>
      <c r="AB1002" s="113"/>
      <c r="AC1002" s="113" t="s">
        <v>1113</v>
      </c>
      <c r="AD1002" s="113"/>
      <c r="AE1002" s="113"/>
      <c r="AF1002" s="113"/>
      <c r="AG1002" s="113"/>
      <c r="AH1002" s="113"/>
      <c r="AI1002" s="113"/>
      <c r="AJ1002" s="113"/>
      <c r="AK1002" s="113"/>
      <c r="AL1002" s="113" t="s">
        <v>1113</v>
      </c>
      <c r="AM1002" s="113"/>
      <c r="AN1002" s="113" t="s">
        <v>1113</v>
      </c>
      <c r="AO1002" s="43" t="s">
        <v>2348</v>
      </c>
      <c r="AP1002" s="43"/>
      <c r="AQ1002" s="236" t="str">
        <f>VLOOKUP(Table8[[#This Row],[Instrument]],Def_Targets!$D$73:$E$159,2,FALSE)</f>
        <v>S_PublicTransport</v>
      </c>
      <c r="AR1002" s="233" t="str">
        <f>VLOOKUP(Table8[[#This Row],[Country Code]],Table29[],3,FALSE)</f>
        <v>Annex I</v>
      </c>
      <c r="AS1002" s="233" t="str">
        <f>VLOOKUP(Table8[[#This Row],[Country Code]],Table29[],4,FALSE)</f>
        <v>Europe</v>
      </c>
      <c r="AT1002" s="233" t="str">
        <f>VLOOKUP(Table8[[#This Row],[Country Code]],Table29[],5,FALSE)</f>
        <v>High-income</v>
      </c>
      <c r="AU1002" s="233" t="str">
        <f>VLOOKUP(Table8[[#This Row],[Country Code]],Table29[],6,FALSE)</f>
        <v>G20</v>
      </c>
      <c r="AV1002" s="233" t="str">
        <f>VLOOKUP(Table8[[#This Row],[Country Code]],Table29[],7,FALSE)</f>
        <v>G7</v>
      </c>
      <c r="AW1002" s="233" t="str">
        <f>VLOOKUP(Table8[[#This Row],[Country Code]],Table29[],8,FALSE)</f>
        <v>OECD</v>
      </c>
      <c r="AX1002" s="233" t="str">
        <f>VLOOKUP(Table8[[#This Row],[Country Code]],Table29[],9,FALSE)</f>
        <v>EU27</v>
      </c>
      <c r="AY1002" s="233" t="str">
        <f>VLOOKUP(Table8[[#This Row],[Country Code]],Table29[],10,FALSE)</f>
        <v>no</v>
      </c>
      <c r="AZ1002" s="235">
        <f>VLOOKUP(Table8[[#This Row],[Country Code]],Table29[],23,FALSE)</f>
        <v>385.52011950564003</v>
      </c>
      <c r="BA1002" s="235">
        <f>VLOOKUP(Table8[[#This Row],[Country Code]],Table29[],24,FALSE)</f>
        <v>123.5644117217294</v>
      </c>
      <c r="BB1002" s="320"/>
      <c r="BC1002" s="320"/>
    </row>
    <row r="1003" spans="1:55" hidden="1" x14ac:dyDescent="0.25">
      <c r="A1003" s="373">
        <v>17618</v>
      </c>
      <c r="B1003" s="233" t="str">
        <f>VLOOKUP(Table8[[#This Row],[Document ID]],Table1[],2,FALSE)</f>
        <v>IDN</v>
      </c>
      <c r="C1003" s="233" t="str">
        <f>VLOOKUP(Table8[[#This Row],[Document ID]],Table1[],3,FALSE)</f>
        <v>Indonesia</v>
      </c>
      <c r="D1003" s="243" t="str">
        <f>VLOOKUP(Table8[[#This Row],[Document ID]],Table1[],5,FALSE)</f>
        <v>NDC</v>
      </c>
      <c r="E1003" s="233" t="str">
        <f>VLOOKUP(Table8[[#This Row],[Document ID]],Table1[],7,FALSE)</f>
        <v>First NDC</v>
      </c>
      <c r="F1003" s="236" t="str">
        <f>VLOOKUP(Table8[[#This Row],[Document ID]],Table1[],8,FALSE)</f>
        <v>NDC 1.0</v>
      </c>
      <c r="G1003" s="236" t="str">
        <f>VLOOKUP(Table8[[#This Row],[Document ID]],Table1[],10,FALSE)</f>
        <v>Archived</v>
      </c>
      <c r="H1003" s="44" t="s">
        <v>2329</v>
      </c>
      <c r="I1003" s="44" t="s">
        <v>2330</v>
      </c>
      <c r="J1003" s="44" t="s">
        <v>2357</v>
      </c>
      <c r="K1003" s="44" t="s">
        <v>3291</v>
      </c>
      <c r="L1003" s="44" t="s">
        <v>2333</v>
      </c>
      <c r="M1003" s="43"/>
      <c r="N1003" s="113" t="s">
        <v>1113</v>
      </c>
      <c r="O1003" s="113"/>
      <c r="P1003" s="113"/>
      <c r="Q1003" s="319"/>
      <c r="R1003" s="319"/>
      <c r="S1003" s="319"/>
      <c r="T1003" s="319"/>
      <c r="U1003" s="319"/>
      <c r="V1003" s="319"/>
      <c r="W1003" s="319"/>
      <c r="X1003" s="319"/>
      <c r="Y1003" s="319"/>
      <c r="Z1003" s="319"/>
      <c r="AA1003" s="319"/>
      <c r="AB1003" s="319"/>
      <c r="AC1003" s="319"/>
      <c r="AD1003" s="319"/>
      <c r="AE1003" s="319"/>
      <c r="AF1003" s="319"/>
      <c r="AG1003" s="319"/>
      <c r="AH1003" s="319"/>
      <c r="AI1003" s="319"/>
      <c r="AJ1003" s="319"/>
      <c r="AK1003" s="319" t="s">
        <v>1113</v>
      </c>
      <c r="AL1003" s="319"/>
      <c r="AM1003" s="319"/>
      <c r="AN1003" s="319"/>
      <c r="AO1003" s="44" t="s">
        <v>2334</v>
      </c>
      <c r="AP1003" s="44"/>
      <c r="AQ1003" s="236" t="str">
        <f>VLOOKUP(Table8[[#This Row],[Instrument]],Def_Targets!$D$73:$E$159,2,FALSE)</f>
        <v>I_Biofuel</v>
      </c>
      <c r="AR1003" s="233" t="str">
        <f>VLOOKUP(Table8[[#This Row],[Country Code]],Table29[],3,FALSE)</f>
        <v>Non-Annex I</v>
      </c>
      <c r="AS1003" s="233" t="str">
        <f>VLOOKUP(Table8[[#This Row],[Country Code]],Table29[],4,FALSE)</f>
        <v>Asia</v>
      </c>
      <c r="AT1003" s="233" t="str">
        <f>VLOOKUP(Table8[[#This Row],[Country Code]],Table29[],5,FALSE)</f>
        <v>Middle-income</v>
      </c>
      <c r="AU1003" s="233" t="str">
        <f>VLOOKUP(Table8[[#This Row],[Country Code]],Table29[],6,FALSE)</f>
        <v>G20</v>
      </c>
      <c r="AV1003" s="233" t="str">
        <f>VLOOKUP(Table8[[#This Row],[Country Code]],Table29[],7,FALSE)</f>
        <v>no</v>
      </c>
      <c r="AW1003" s="233" t="str">
        <f>VLOOKUP(Table8[[#This Row],[Country Code]],Table29[],8,FALSE)</f>
        <v>non-OECD</v>
      </c>
      <c r="AX1003" s="233" t="str">
        <f>VLOOKUP(Table8[[#This Row],[Country Code]],Table29[],9,FALSE)</f>
        <v>no</v>
      </c>
      <c r="AY1003" s="233" t="str">
        <f>VLOOKUP(Table8[[#This Row],[Country Code]],Table29[],10,FALSE)</f>
        <v>no</v>
      </c>
      <c r="AZ1003" s="235">
        <f>VLOOKUP(Table8[[#This Row],[Country Code]],Table29[],23,FALSE)</f>
        <v>1200.1997867973</v>
      </c>
      <c r="BA1003" s="235">
        <f>VLOOKUP(Table8[[#This Row],[Country Code]],Table29[],24,FALSE)</f>
        <v>152.1133830762208</v>
      </c>
      <c r="BB1003" s="320"/>
      <c r="BC1003" s="320"/>
    </row>
    <row r="1004" spans="1:55" hidden="1" x14ac:dyDescent="0.25">
      <c r="A1004" s="360">
        <v>21226</v>
      </c>
      <c r="B1004" s="233" t="str">
        <f>VLOOKUP(Table8[[#This Row],[Document ID]],Table1[],2,FALSE)</f>
        <v>IDN</v>
      </c>
      <c r="C1004" s="233" t="str">
        <f>VLOOKUP(Table8[[#This Row],[Document ID]],Table1[],3,FALSE)</f>
        <v>Indonesia</v>
      </c>
      <c r="D1004" s="233" t="str">
        <f>VLOOKUP(Table8[[#This Row],[Document ID]],Table1[],5,FALSE)</f>
        <v>NDC</v>
      </c>
      <c r="E1004" s="233" t="str">
        <f>VLOOKUP(Table8[[#This Row],[Document ID]],Table1[],7,FALSE)</f>
        <v>First NDC updated</v>
      </c>
      <c r="F1004" s="233" t="str">
        <f>VLOOKUP(Table8[[#This Row],[Document ID]],Table1[],8,FALSE)</f>
        <v>NDC 1.1</v>
      </c>
      <c r="G1004" s="233" t="str">
        <f>VLOOKUP(Table8[[#This Row],[Document ID]],Table1[],10,FALSE)</f>
        <v>Archived</v>
      </c>
      <c r="H1004" s="44" t="s">
        <v>2329</v>
      </c>
      <c r="I1004" s="44" t="s">
        <v>2330</v>
      </c>
      <c r="J1004" s="44" t="s">
        <v>2357</v>
      </c>
      <c r="K1004" s="44" t="s">
        <v>3291</v>
      </c>
      <c r="L1004" s="44" t="s">
        <v>2333</v>
      </c>
      <c r="M1004" s="43">
        <v>21</v>
      </c>
      <c r="N1004" s="113" t="s">
        <v>1113</v>
      </c>
      <c r="O1004" s="113"/>
      <c r="P1004" s="113"/>
      <c r="Q1004" s="113"/>
      <c r="R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t="s">
        <v>1113</v>
      </c>
      <c r="AL1004" s="113"/>
      <c r="AM1004" s="113"/>
      <c r="AN1004" s="113"/>
      <c r="AO1004" s="44" t="s">
        <v>2334</v>
      </c>
      <c r="AP1004" s="43"/>
      <c r="AQ1004" s="236" t="str">
        <f>VLOOKUP(Table8[[#This Row],[Instrument]],Def_Targets!$D$73:$E$159,2,FALSE)</f>
        <v>I_Biofuel</v>
      </c>
      <c r="AR1004" s="233" t="str">
        <f>VLOOKUP(Table8[[#This Row],[Country Code]],Table29[],3,FALSE)</f>
        <v>Non-Annex I</v>
      </c>
      <c r="AS1004" s="233" t="str">
        <f>VLOOKUP(Table8[[#This Row],[Country Code]],Table29[],4,FALSE)</f>
        <v>Asia</v>
      </c>
      <c r="AT1004" s="233" t="str">
        <f>VLOOKUP(Table8[[#This Row],[Country Code]],Table29[],5,FALSE)</f>
        <v>Middle-income</v>
      </c>
      <c r="AU1004" s="233" t="str">
        <f>VLOOKUP(Table8[[#This Row],[Country Code]],Table29[],6,FALSE)</f>
        <v>G20</v>
      </c>
      <c r="AV1004" s="233" t="str">
        <f>VLOOKUP(Table8[[#This Row],[Country Code]],Table29[],7,FALSE)</f>
        <v>no</v>
      </c>
      <c r="AW1004" s="233" t="str">
        <f>VLOOKUP(Table8[[#This Row],[Country Code]],Table29[],8,FALSE)</f>
        <v>non-OECD</v>
      </c>
      <c r="AX1004" s="233" t="str">
        <f>VLOOKUP(Table8[[#This Row],[Country Code]],Table29[],9,FALSE)</f>
        <v>no</v>
      </c>
      <c r="AY1004" s="233" t="str">
        <f>VLOOKUP(Table8[[#This Row],[Country Code]],Table29[],10,FALSE)</f>
        <v>no</v>
      </c>
      <c r="AZ1004" s="235">
        <f>VLOOKUP(Table8[[#This Row],[Country Code]],Table29[],23,FALSE)</f>
        <v>1200.1997867973</v>
      </c>
      <c r="BA1004" s="235">
        <f>VLOOKUP(Table8[[#This Row],[Country Code]],Table29[],24,FALSE)</f>
        <v>152.1133830762208</v>
      </c>
      <c r="BB1004" s="320"/>
      <c r="BC1004" s="320"/>
    </row>
    <row r="1005" spans="1:55" s="17" customFormat="1" hidden="1" x14ac:dyDescent="0.25">
      <c r="A1005" s="360">
        <v>21226</v>
      </c>
      <c r="B1005" s="233" t="str">
        <f>VLOOKUP(Table8[[#This Row],[Document ID]],Table1[],2,FALSE)</f>
        <v>IDN</v>
      </c>
      <c r="C1005" s="233" t="str">
        <f>VLOOKUP(Table8[[#This Row],[Document ID]],Table1[],3,FALSE)</f>
        <v>Indonesia</v>
      </c>
      <c r="D1005" s="233" t="str">
        <f>VLOOKUP(Table8[[#This Row],[Document ID]],Table1[],5,FALSE)</f>
        <v>NDC</v>
      </c>
      <c r="E1005" s="233" t="str">
        <f>VLOOKUP(Table8[[#This Row],[Document ID]],Table1[],7,FALSE)</f>
        <v>First NDC updated</v>
      </c>
      <c r="F1005" s="233" t="str">
        <f>VLOOKUP(Table8[[#This Row],[Document ID]],Table1[],8,FALSE)</f>
        <v>NDC 1.1</v>
      </c>
      <c r="G1005" s="233" t="str">
        <f>VLOOKUP(Table8[[#This Row],[Document ID]],Table1[],10,FALSE)</f>
        <v>Archived</v>
      </c>
      <c r="H1005" s="44" t="s">
        <v>2329</v>
      </c>
      <c r="I1005" s="44" t="s">
        <v>2330</v>
      </c>
      <c r="J1005" s="44" t="s">
        <v>2363</v>
      </c>
      <c r="K1005" s="44" t="s">
        <v>3292</v>
      </c>
      <c r="L1005" s="44" t="s">
        <v>2333</v>
      </c>
      <c r="M1005" s="43">
        <v>21</v>
      </c>
      <c r="N1005" s="113" t="s">
        <v>1113</v>
      </c>
      <c r="O1005" s="113"/>
      <c r="P1005" s="113"/>
      <c r="Q1005" s="113"/>
      <c r="R1005" s="113"/>
      <c r="S1005" s="113"/>
      <c r="T1005" s="113"/>
      <c r="U1005" s="113"/>
      <c r="V1005" s="113"/>
      <c r="W1005" s="113"/>
      <c r="X1005" s="113"/>
      <c r="Y1005" s="113"/>
      <c r="Z1005" s="113"/>
      <c r="AA1005" s="113"/>
      <c r="AB1005" s="113"/>
      <c r="AC1005" s="113"/>
      <c r="AD1005" s="113"/>
      <c r="AE1005" s="113"/>
      <c r="AF1005" s="113"/>
      <c r="AG1005" s="113"/>
      <c r="AH1005" s="113"/>
      <c r="AI1005" s="113"/>
      <c r="AJ1005" s="113"/>
      <c r="AK1005" s="113" t="s">
        <v>1113</v>
      </c>
      <c r="AL1005" s="113"/>
      <c r="AM1005" s="113"/>
      <c r="AN1005" s="113"/>
      <c r="AO1005" s="44" t="s">
        <v>2334</v>
      </c>
      <c r="AP1005" s="43"/>
      <c r="AQ1005" s="236" t="str">
        <f>VLOOKUP(Table8[[#This Row],[Instrument]],Def_Targets!$D$73:$E$159,2,FALSE)</f>
        <v>I_LPGCNGLNG</v>
      </c>
      <c r="AR1005" s="233" t="str">
        <f>VLOOKUP(Table8[[#This Row],[Country Code]],Table29[],3,FALSE)</f>
        <v>Non-Annex I</v>
      </c>
      <c r="AS1005" s="233" t="str">
        <f>VLOOKUP(Table8[[#This Row],[Country Code]],Table29[],4,FALSE)</f>
        <v>Asia</v>
      </c>
      <c r="AT1005" s="233" t="str">
        <f>VLOOKUP(Table8[[#This Row],[Country Code]],Table29[],5,FALSE)</f>
        <v>Middle-income</v>
      </c>
      <c r="AU1005" s="233" t="str">
        <f>VLOOKUP(Table8[[#This Row],[Country Code]],Table29[],6,FALSE)</f>
        <v>G20</v>
      </c>
      <c r="AV1005" s="233" t="str">
        <f>VLOOKUP(Table8[[#This Row],[Country Code]],Table29[],7,FALSE)</f>
        <v>no</v>
      </c>
      <c r="AW1005" s="233" t="str">
        <f>VLOOKUP(Table8[[#This Row],[Country Code]],Table29[],8,FALSE)</f>
        <v>non-OECD</v>
      </c>
      <c r="AX1005" s="233" t="str">
        <f>VLOOKUP(Table8[[#This Row],[Country Code]],Table29[],9,FALSE)</f>
        <v>no</v>
      </c>
      <c r="AY1005" s="233" t="str">
        <f>VLOOKUP(Table8[[#This Row],[Country Code]],Table29[],10,FALSE)</f>
        <v>no</v>
      </c>
      <c r="AZ1005" s="235">
        <f>VLOOKUP(Table8[[#This Row],[Country Code]],Table29[],23,FALSE)</f>
        <v>1200.1997867973</v>
      </c>
      <c r="BA1005" s="235">
        <f>VLOOKUP(Table8[[#This Row],[Country Code]],Table29[],24,FALSE)</f>
        <v>152.1133830762208</v>
      </c>
      <c r="BB1005" s="320"/>
      <c r="BC1005" s="320"/>
    </row>
    <row r="1006" spans="1:55" s="17" customFormat="1" ht="45" hidden="1" x14ac:dyDescent="0.25">
      <c r="A1006" s="373">
        <v>17597</v>
      </c>
      <c r="B1006" s="233" t="str">
        <f>VLOOKUP(Table8[[#This Row],[Document ID]],Table1[],2,FALSE)</f>
        <v>FRA</v>
      </c>
      <c r="C1006" s="233" t="str">
        <f>VLOOKUP(Table8[[#This Row],[Document ID]],Table1[],3,FALSE)</f>
        <v>France</v>
      </c>
      <c r="D1006" s="243" t="str">
        <f>VLOOKUP(Table8[[#This Row],[Document ID]],Table1[],5,FALSE)</f>
        <v>LTS</v>
      </c>
      <c r="E1006" s="233" t="str">
        <f>VLOOKUP(Table8[[#This Row],[Document ID]],Table1[],7,FALSE)</f>
        <v>LTS</v>
      </c>
      <c r="F1006" s="233" t="str">
        <f>VLOOKUP(Table8[[#This Row],[Document ID]],Table1[],8,FALSE)</f>
        <v>LTS 1.0</v>
      </c>
      <c r="G1006" s="233" t="str">
        <f>VLOOKUP(Table8[[#This Row],[Document ID]],Table1[],10,FALSE)</f>
        <v>Active</v>
      </c>
      <c r="H1006" s="43" t="s">
        <v>2350</v>
      </c>
      <c r="I1006" s="43" t="s">
        <v>2351</v>
      </c>
      <c r="J1006" s="44" t="s">
        <v>2352</v>
      </c>
      <c r="K1006" s="44" t="s">
        <v>3293</v>
      </c>
      <c r="L1006" s="44" t="s">
        <v>2347</v>
      </c>
      <c r="M1006" s="43">
        <v>74</v>
      </c>
      <c r="N1006" s="113"/>
      <c r="O1006" s="113"/>
      <c r="P1006" s="113"/>
      <c r="Q1006" s="113"/>
      <c r="R1006" s="113"/>
      <c r="S1006" s="113" t="s">
        <v>1113</v>
      </c>
      <c r="T1006" s="113"/>
      <c r="U1006" s="113"/>
      <c r="V1006" s="113"/>
      <c r="W1006" s="113"/>
      <c r="X1006" s="113"/>
      <c r="Y1006" s="113"/>
      <c r="Z1006" s="113" t="s">
        <v>1113</v>
      </c>
      <c r="AA1006" s="113"/>
      <c r="AB1006" s="113"/>
      <c r="AC1006" s="113"/>
      <c r="AD1006" s="113"/>
      <c r="AE1006" s="113"/>
      <c r="AF1006" s="113" t="s">
        <v>1113</v>
      </c>
      <c r="AG1006" s="113"/>
      <c r="AH1006" s="113"/>
      <c r="AI1006" s="113"/>
      <c r="AJ1006" s="113"/>
      <c r="AK1006" s="319" t="s">
        <v>1113</v>
      </c>
      <c r="AL1006" s="113"/>
      <c r="AM1006" s="113"/>
      <c r="AN1006" s="113"/>
      <c r="AO1006" s="43" t="s">
        <v>2353</v>
      </c>
      <c r="AP1006" s="43"/>
      <c r="AQ1006" s="236" t="str">
        <f>VLOOKUP(Table8[[#This Row],[Instrument]],Def_Targets!$D$73:$E$159,2,FALSE)</f>
        <v>S_Railfreight</v>
      </c>
      <c r="AR1006" s="233" t="str">
        <f>VLOOKUP(Table8[[#This Row],[Country Code]],Table29[],3,FALSE)</f>
        <v>Annex I</v>
      </c>
      <c r="AS1006" s="233" t="str">
        <f>VLOOKUP(Table8[[#This Row],[Country Code]],Table29[],4,FALSE)</f>
        <v>Europe</v>
      </c>
      <c r="AT1006" s="233" t="str">
        <f>VLOOKUP(Table8[[#This Row],[Country Code]],Table29[],5,FALSE)</f>
        <v>High-income</v>
      </c>
      <c r="AU1006" s="233" t="str">
        <f>VLOOKUP(Table8[[#This Row],[Country Code]],Table29[],6,FALSE)</f>
        <v>G20</v>
      </c>
      <c r="AV1006" s="233" t="str">
        <f>VLOOKUP(Table8[[#This Row],[Country Code]],Table29[],7,FALSE)</f>
        <v>G7</v>
      </c>
      <c r="AW1006" s="233" t="str">
        <f>VLOOKUP(Table8[[#This Row],[Country Code]],Table29[],8,FALSE)</f>
        <v>OECD</v>
      </c>
      <c r="AX1006" s="233" t="str">
        <f>VLOOKUP(Table8[[#This Row],[Country Code]],Table29[],9,FALSE)</f>
        <v>EU27</v>
      </c>
      <c r="AY1006" s="233" t="str">
        <f>VLOOKUP(Table8[[#This Row],[Country Code]],Table29[],10,FALSE)</f>
        <v>no</v>
      </c>
      <c r="AZ1006" s="235">
        <f>VLOOKUP(Table8[[#This Row],[Country Code]],Table29[],23,FALSE)</f>
        <v>385.52011950564003</v>
      </c>
      <c r="BA1006" s="235">
        <f>VLOOKUP(Table8[[#This Row],[Country Code]],Table29[],24,FALSE)</f>
        <v>123.5644117217294</v>
      </c>
      <c r="BB1006" s="320"/>
      <c r="BC1006" s="320"/>
    </row>
    <row r="1007" spans="1:55" s="17" customFormat="1" ht="30" hidden="1" x14ac:dyDescent="0.25">
      <c r="A1007" s="373">
        <v>17597</v>
      </c>
      <c r="B1007" s="233" t="str">
        <f>VLOOKUP(Table8[[#This Row],[Document ID]],Table1[],2,FALSE)</f>
        <v>FRA</v>
      </c>
      <c r="C1007" s="233" t="str">
        <f>VLOOKUP(Table8[[#This Row],[Document ID]],Table1[],3,FALSE)</f>
        <v>France</v>
      </c>
      <c r="D1007" s="243" t="str">
        <f>VLOOKUP(Table8[[#This Row],[Document ID]],Table1[],5,FALSE)</f>
        <v>LTS</v>
      </c>
      <c r="E1007" s="233" t="str">
        <f>VLOOKUP(Table8[[#This Row],[Document ID]],Table1[],7,FALSE)</f>
        <v>LTS</v>
      </c>
      <c r="F1007" s="233" t="str">
        <f>VLOOKUP(Table8[[#This Row],[Document ID]],Table1[],8,FALSE)</f>
        <v>LTS 1.0</v>
      </c>
      <c r="G1007" s="233" t="str">
        <f>VLOOKUP(Table8[[#This Row],[Document ID]],Table1[],10,FALSE)</f>
        <v>Active</v>
      </c>
      <c r="H1007" s="43" t="s">
        <v>2484</v>
      </c>
      <c r="I1007" s="43" t="s">
        <v>2485</v>
      </c>
      <c r="J1007" s="44" t="s">
        <v>2978</v>
      </c>
      <c r="K1007" s="44" t="s">
        <v>3294</v>
      </c>
      <c r="L1007" s="44" t="s">
        <v>2471</v>
      </c>
      <c r="M1007" s="43">
        <v>74</v>
      </c>
      <c r="N1007" s="113"/>
      <c r="O1007" s="113"/>
      <c r="P1007" s="113"/>
      <c r="Q1007" s="113"/>
      <c r="R1007" s="113"/>
      <c r="S1007" s="113"/>
      <c r="T1007" s="113"/>
      <c r="U1007" s="113"/>
      <c r="V1007" s="113"/>
      <c r="W1007" s="113"/>
      <c r="X1007" s="113"/>
      <c r="Y1007" s="113"/>
      <c r="Z1007" s="113"/>
      <c r="AA1007" s="113"/>
      <c r="AB1007" s="113"/>
      <c r="AC1007" s="113"/>
      <c r="AD1007" s="113" t="s">
        <v>1113</v>
      </c>
      <c r="AE1007" s="113"/>
      <c r="AF1007" s="113"/>
      <c r="AG1007" s="113"/>
      <c r="AH1007" s="113"/>
      <c r="AI1007" s="113"/>
      <c r="AJ1007" s="113"/>
      <c r="AK1007" s="319" t="s">
        <v>1113</v>
      </c>
      <c r="AL1007" s="113"/>
      <c r="AM1007" s="113"/>
      <c r="AN1007" s="113"/>
      <c r="AO1007" s="43" t="s">
        <v>2353</v>
      </c>
      <c r="AP1007" s="43"/>
      <c r="AQ1007" s="236" t="str">
        <f>VLOOKUP(Table8[[#This Row],[Instrument]],Def_Targets!$D$73:$E$159,2,FALSE)</f>
        <v>I_PortInfra</v>
      </c>
      <c r="AR1007" s="233" t="str">
        <f>VLOOKUP(Table8[[#This Row],[Country Code]],Table29[],3,FALSE)</f>
        <v>Annex I</v>
      </c>
      <c r="AS1007" s="233" t="str">
        <f>VLOOKUP(Table8[[#This Row],[Country Code]],Table29[],4,FALSE)</f>
        <v>Europe</v>
      </c>
      <c r="AT1007" s="233" t="str">
        <f>VLOOKUP(Table8[[#This Row],[Country Code]],Table29[],5,FALSE)</f>
        <v>High-income</v>
      </c>
      <c r="AU1007" s="233" t="str">
        <f>VLOOKUP(Table8[[#This Row],[Country Code]],Table29[],6,FALSE)</f>
        <v>G20</v>
      </c>
      <c r="AV1007" s="233" t="str">
        <f>VLOOKUP(Table8[[#This Row],[Country Code]],Table29[],7,FALSE)</f>
        <v>G7</v>
      </c>
      <c r="AW1007" s="233" t="str">
        <f>VLOOKUP(Table8[[#This Row],[Country Code]],Table29[],8,FALSE)</f>
        <v>OECD</v>
      </c>
      <c r="AX1007" s="233" t="str">
        <f>VLOOKUP(Table8[[#This Row],[Country Code]],Table29[],9,FALSE)</f>
        <v>EU27</v>
      </c>
      <c r="AY1007" s="233" t="str">
        <f>VLOOKUP(Table8[[#This Row],[Country Code]],Table29[],10,FALSE)</f>
        <v>no</v>
      </c>
      <c r="AZ1007" s="235">
        <f>VLOOKUP(Table8[[#This Row],[Country Code]],Table29[],23,FALSE)</f>
        <v>385.52011950564003</v>
      </c>
      <c r="BA1007" s="235">
        <f>VLOOKUP(Table8[[#This Row],[Country Code]],Table29[],24,FALSE)</f>
        <v>123.5644117217294</v>
      </c>
      <c r="BB1007" s="320"/>
      <c r="BC1007" s="320"/>
    </row>
    <row r="1008" spans="1:55" s="17" customFormat="1" hidden="1" x14ac:dyDescent="0.25">
      <c r="A1008" s="373">
        <v>17597</v>
      </c>
      <c r="B1008" s="233" t="str">
        <f>VLOOKUP(Table8[[#This Row],[Document ID]],Table1[],2,FALSE)</f>
        <v>FRA</v>
      </c>
      <c r="C1008" s="233" t="str">
        <f>VLOOKUP(Table8[[#This Row],[Document ID]],Table1[],3,FALSE)</f>
        <v>France</v>
      </c>
      <c r="D1008" s="243" t="str">
        <f>VLOOKUP(Table8[[#This Row],[Document ID]],Table1[],5,FALSE)</f>
        <v>LTS</v>
      </c>
      <c r="E1008" s="233" t="str">
        <f>VLOOKUP(Table8[[#This Row],[Document ID]],Table1[],7,FALSE)</f>
        <v>LTS</v>
      </c>
      <c r="F1008" s="233" t="str">
        <f>VLOOKUP(Table8[[#This Row],[Document ID]],Table1[],8,FALSE)</f>
        <v>LTS 1.0</v>
      </c>
      <c r="G1008" s="233" t="str">
        <f>VLOOKUP(Table8[[#This Row],[Document ID]],Table1[],10,FALSE)</f>
        <v>Active</v>
      </c>
      <c r="H1008" s="43" t="s">
        <v>2350</v>
      </c>
      <c r="I1008" s="43" t="s">
        <v>2351</v>
      </c>
      <c r="J1008" s="44" t="s">
        <v>2427</v>
      </c>
      <c r="K1008" s="44" t="s">
        <v>3295</v>
      </c>
      <c r="L1008" s="44" t="s">
        <v>2380</v>
      </c>
      <c r="M1008" s="43">
        <v>74</v>
      </c>
      <c r="N1008" s="113" t="s">
        <v>1113</v>
      </c>
      <c r="O1008" s="113"/>
      <c r="P1008" s="113"/>
      <c r="Q1008" s="113"/>
      <c r="R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319" t="s">
        <v>1113</v>
      </c>
      <c r="AL1008" s="113"/>
      <c r="AM1008" s="113"/>
      <c r="AN1008" s="113"/>
      <c r="AO1008" s="43" t="s">
        <v>2353</v>
      </c>
      <c r="AP1008" s="43"/>
      <c r="AQ1008" s="236" t="str">
        <f>VLOOKUP(Table8[[#This Row],[Instrument]],Def_Targets!$D$73:$E$159,2,FALSE)</f>
        <v>I_Load</v>
      </c>
      <c r="AR1008" s="233" t="str">
        <f>VLOOKUP(Table8[[#This Row],[Country Code]],Table29[],3,FALSE)</f>
        <v>Annex I</v>
      </c>
      <c r="AS1008" s="233" t="str">
        <f>VLOOKUP(Table8[[#This Row],[Country Code]],Table29[],4,FALSE)</f>
        <v>Europe</v>
      </c>
      <c r="AT1008" s="233" t="str">
        <f>VLOOKUP(Table8[[#This Row],[Country Code]],Table29[],5,FALSE)</f>
        <v>High-income</v>
      </c>
      <c r="AU1008" s="233" t="str">
        <f>VLOOKUP(Table8[[#This Row],[Country Code]],Table29[],6,FALSE)</f>
        <v>G20</v>
      </c>
      <c r="AV1008" s="233" t="str">
        <f>VLOOKUP(Table8[[#This Row],[Country Code]],Table29[],7,FALSE)</f>
        <v>G7</v>
      </c>
      <c r="AW1008" s="233" t="str">
        <f>VLOOKUP(Table8[[#This Row],[Country Code]],Table29[],8,FALSE)</f>
        <v>OECD</v>
      </c>
      <c r="AX1008" s="233" t="str">
        <f>VLOOKUP(Table8[[#This Row],[Country Code]],Table29[],9,FALSE)</f>
        <v>EU27</v>
      </c>
      <c r="AY1008" s="233" t="str">
        <f>VLOOKUP(Table8[[#This Row],[Country Code]],Table29[],10,FALSE)</f>
        <v>no</v>
      </c>
      <c r="AZ1008" s="235">
        <f>VLOOKUP(Table8[[#This Row],[Country Code]],Table29[],23,FALSE)</f>
        <v>385.52011950564003</v>
      </c>
      <c r="BA1008" s="235">
        <f>VLOOKUP(Table8[[#This Row],[Country Code]],Table29[],24,FALSE)</f>
        <v>123.5644117217294</v>
      </c>
      <c r="BB1008" s="320"/>
      <c r="BC1008" s="320"/>
    </row>
    <row r="1009" spans="1:55" s="17" customFormat="1" hidden="1" x14ac:dyDescent="0.25">
      <c r="A1009" s="373">
        <v>17597</v>
      </c>
      <c r="B1009" s="233" t="str">
        <f>VLOOKUP(Table8[[#This Row],[Document ID]],Table1[],2,FALSE)</f>
        <v>FRA</v>
      </c>
      <c r="C1009" s="233" t="str">
        <f>VLOOKUP(Table8[[#This Row],[Document ID]],Table1[],3,FALSE)</f>
        <v>France</v>
      </c>
      <c r="D1009" s="243" t="str">
        <f>VLOOKUP(Table8[[#This Row],[Document ID]],Table1[],5,FALSE)</f>
        <v>LTS</v>
      </c>
      <c r="E1009" s="233" t="str">
        <f>VLOOKUP(Table8[[#This Row],[Document ID]],Table1[],7,FALSE)</f>
        <v>LTS</v>
      </c>
      <c r="F1009" s="233" t="str">
        <f>VLOOKUP(Table8[[#This Row],[Document ID]],Table1[],8,FALSE)</f>
        <v>LTS 1.0</v>
      </c>
      <c r="G1009" s="233" t="str">
        <f>VLOOKUP(Table8[[#This Row],[Document ID]],Table1[],10,FALSE)</f>
        <v>Active</v>
      </c>
      <c r="H1009" s="43" t="s">
        <v>2343</v>
      </c>
      <c r="I1009" s="43" t="s">
        <v>2429</v>
      </c>
      <c r="J1009" s="44" t="s">
        <v>2472</v>
      </c>
      <c r="K1009" s="44" t="s">
        <v>3296</v>
      </c>
      <c r="L1009" s="44" t="s">
        <v>2333</v>
      </c>
      <c r="M1009" s="43">
        <v>74</v>
      </c>
      <c r="N1009" s="113" t="s">
        <v>1113</v>
      </c>
      <c r="O1009" s="113"/>
      <c r="P1009" s="113"/>
      <c r="Q1009" s="113"/>
      <c r="R1009" s="113"/>
      <c r="S1009" s="113"/>
      <c r="T1009" s="113"/>
      <c r="U1009" s="113"/>
      <c r="V1009" s="113"/>
      <c r="W1009" s="113"/>
      <c r="X1009" s="113"/>
      <c r="Y1009" s="113"/>
      <c r="Z1009" s="113"/>
      <c r="AA1009" s="113"/>
      <c r="AB1009" s="113"/>
      <c r="AC1009" s="113"/>
      <c r="AD1009" s="113"/>
      <c r="AE1009" s="113"/>
      <c r="AF1009" s="113"/>
      <c r="AG1009" s="113"/>
      <c r="AH1009" s="113"/>
      <c r="AI1009" s="113"/>
      <c r="AJ1009" s="113"/>
      <c r="AK1009" s="319" t="s">
        <v>1113</v>
      </c>
      <c r="AL1009" s="113"/>
      <c r="AM1009" s="113"/>
      <c r="AN1009" s="113"/>
      <c r="AO1009" s="43" t="s">
        <v>2353</v>
      </c>
      <c r="AP1009" s="43"/>
      <c r="AQ1009" s="236" t="str">
        <f>VLOOKUP(Table8[[#This Row],[Instrument]],Def_Targets!$D$73:$E$159,2,FALSE)</f>
        <v>I_Other</v>
      </c>
      <c r="AR1009" s="233" t="str">
        <f>VLOOKUP(Table8[[#This Row],[Country Code]],Table29[],3,FALSE)</f>
        <v>Annex I</v>
      </c>
      <c r="AS1009" s="233" t="str">
        <f>VLOOKUP(Table8[[#This Row],[Country Code]],Table29[],4,FALSE)</f>
        <v>Europe</v>
      </c>
      <c r="AT1009" s="233" t="str">
        <f>VLOOKUP(Table8[[#This Row],[Country Code]],Table29[],5,FALSE)</f>
        <v>High-income</v>
      </c>
      <c r="AU1009" s="233" t="str">
        <f>VLOOKUP(Table8[[#This Row],[Country Code]],Table29[],6,FALSE)</f>
        <v>G20</v>
      </c>
      <c r="AV1009" s="233" t="str">
        <f>VLOOKUP(Table8[[#This Row],[Country Code]],Table29[],7,FALSE)</f>
        <v>G7</v>
      </c>
      <c r="AW1009" s="233" t="str">
        <f>VLOOKUP(Table8[[#This Row],[Country Code]],Table29[],8,FALSE)</f>
        <v>OECD</v>
      </c>
      <c r="AX1009" s="233" t="str">
        <f>VLOOKUP(Table8[[#This Row],[Country Code]],Table29[],9,FALSE)</f>
        <v>EU27</v>
      </c>
      <c r="AY1009" s="233" t="str">
        <f>VLOOKUP(Table8[[#This Row],[Country Code]],Table29[],10,FALSE)</f>
        <v>no</v>
      </c>
      <c r="AZ1009" s="235">
        <f>VLOOKUP(Table8[[#This Row],[Country Code]],Table29[],23,FALSE)</f>
        <v>385.52011950564003</v>
      </c>
      <c r="BA1009" s="235">
        <f>VLOOKUP(Table8[[#This Row],[Country Code]],Table29[],24,FALSE)</f>
        <v>123.5644117217294</v>
      </c>
      <c r="BB1009" s="320"/>
      <c r="BC1009" s="320"/>
    </row>
    <row r="1010" spans="1:55" s="17" customFormat="1" ht="45" hidden="1" x14ac:dyDescent="0.25">
      <c r="A1010" s="373">
        <v>17597</v>
      </c>
      <c r="B1010" s="233" t="str">
        <f>VLOOKUP(Table8[[#This Row],[Document ID]],Table1[],2,FALSE)</f>
        <v>FRA</v>
      </c>
      <c r="C1010" s="233" t="str">
        <f>VLOOKUP(Table8[[#This Row],[Document ID]],Table1[],3,FALSE)</f>
        <v>France</v>
      </c>
      <c r="D1010" s="243" t="str">
        <f>VLOOKUP(Table8[[#This Row],[Document ID]],Table1[],5,FALSE)</f>
        <v>LTS</v>
      </c>
      <c r="E1010" s="233" t="str">
        <f>VLOOKUP(Table8[[#This Row],[Document ID]],Table1[],7,FALSE)</f>
        <v>LTS</v>
      </c>
      <c r="F1010" s="233" t="str">
        <f>VLOOKUP(Table8[[#This Row],[Document ID]],Table1[],8,FALSE)</f>
        <v>LTS 1.0</v>
      </c>
      <c r="G1010" s="233" t="str">
        <f>VLOOKUP(Table8[[#This Row],[Document ID]],Table1[],10,FALSE)</f>
        <v>Active</v>
      </c>
      <c r="H1010" s="43" t="s">
        <v>2343</v>
      </c>
      <c r="I1010" s="43" t="s">
        <v>2377</v>
      </c>
      <c r="J1010" s="44" t="s">
        <v>2378</v>
      </c>
      <c r="K1010" s="44" t="s">
        <v>3297</v>
      </c>
      <c r="L1010" s="44" t="s">
        <v>2380</v>
      </c>
      <c r="M1010" s="43">
        <v>75</v>
      </c>
      <c r="N1010" s="113" t="s">
        <v>1113</v>
      </c>
      <c r="O1010" s="113"/>
      <c r="P1010" s="113"/>
      <c r="Q1010" s="113"/>
      <c r="R1010" s="113"/>
      <c r="S1010" s="113"/>
      <c r="T1010" s="113"/>
      <c r="U1010" s="113"/>
      <c r="V1010" s="113"/>
      <c r="W1010" s="113"/>
      <c r="X1010" s="113"/>
      <c r="Y1010" s="113"/>
      <c r="Z1010" s="113"/>
      <c r="AA1010" s="113"/>
      <c r="AB1010" s="113"/>
      <c r="AC1010" s="113"/>
      <c r="AD1010" s="113"/>
      <c r="AE1010" s="113"/>
      <c r="AF1010" s="113"/>
      <c r="AG1010" s="113"/>
      <c r="AH1010" s="113"/>
      <c r="AI1010" s="113"/>
      <c r="AJ1010" s="113"/>
      <c r="AK1010" s="319" t="s">
        <v>1113</v>
      </c>
      <c r="AL1010" s="113"/>
      <c r="AM1010" s="113"/>
      <c r="AN1010" s="113"/>
      <c r="AO1010" s="44" t="s">
        <v>2334</v>
      </c>
      <c r="AP1010" s="43"/>
      <c r="AQ1010" s="236" t="str">
        <f>VLOOKUP(Table8[[#This Row],[Instrument]],Def_Targets!$D$73:$E$159,2,FALSE)</f>
        <v>A_Commute</v>
      </c>
      <c r="AR1010" s="233" t="str">
        <f>VLOOKUP(Table8[[#This Row],[Country Code]],Table29[],3,FALSE)</f>
        <v>Annex I</v>
      </c>
      <c r="AS1010" s="233" t="str">
        <f>VLOOKUP(Table8[[#This Row],[Country Code]],Table29[],4,FALSE)</f>
        <v>Europe</v>
      </c>
      <c r="AT1010" s="233" t="str">
        <f>VLOOKUP(Table8[[#This Row],[Country Code]],Table29[],5,FALSE)</f>
        <v>High-income</v>
      </c>
      <c r="AU1010" s="233" t="str">
        <f>VLOOKUP(Table8[[#This Row],[Country Code]],Table29[],6,FALSE)</f>
        <v>G20</v>
      </c>
      <c r="AV1010" s="233" t="str">
        <f>VLOOKUP(Table8[[#This Row],[Country Code]],Table29[],7,FALSE)</f>
        <v>G7</v>
      </c>
      <c r="AW1010" s="233" t="str">
        <f>VLOOKUP(Table8[[#This Row],[Country Code]],Table29[],8,FALSE)</f>
        <v>OECD</v>
      </c>
      <c r="AX1010" s="233" t="str">
        <f>VLOOKUP(Table8[[#This Row],[Country Code]],Table29[],9,FALSE)</f>
        <v>EU27</v>
      </c>
      <c r="AY1010" s="233" t="str">
        <f>VLOOKUP(Table8[[#This Row],[Country Code]],Table29[],10,FALSE)</f>
        <v>no</v>
      </c>
      <c r="AZ1010" s="235">
        <f>VLOOKUP(Table8[[#This Row],[Country Code]],Table29[],23,FALSE)</f>
        <v>385.52011950564003</v>
      </c>
      <c r="BA1010" s="235">
        <f>VLOOKUP(Table8[[#This Row],[Country Code]],Table29[],24,FALSE)</f>
        <v>123.5644117217294</v>
      </c>
      <c r="BB1010" s="320"/>
      <c r="BC1010" s="320"/>
    </row>
    <row r="1011" spans="1:55" s="17" customFormat="1" ht="30" hidden="1" x14ac:dyDescent="0.25">
      <c r="A1011" s="373">
        <v>17597</v>
      </c>
      <c r="B1011" s="233" t="str">
        <f>VLOOKUP(Table8[[#This Row],[Document ID]],Table1[],2,FALSE)</f>
        <v>FRA</v>
      </c>
      <c r="C1011" s="233" t="str">
        <f>VLOOKUP(Table8[[#This Row],[Document ID]],Table1[],3,FALSE)</f>
        <v>France</v>
      </c>
      <c r="D1011" s="243" t="str">
        <f>VLOOKUP(Table8[[#This Row],[Document ID]],Table1[],5,FALSE)</f>
        <v>LTS</v>
      </c>
      <c r="E1011" s="233" t="str">
        <f>VLOOKUP(Table8[[#This Row],[Document ID]],Table1[],7,FALSE)</f>
        <v>LTS</v>
      </c>
      <c r="F1011" s="233" t="str">
        <f>VLOOKUP(Table8[[#This Row],[Document ID]],Table1[],8,FALSE)</f>
        <v>LTS 1.0</v>
      </c>
      <c r="G1011" s="233" t="str">
        <f>VLOOKUP(Table8[[#This Row],[Document ID]],Table1[],10,FALSE)</f>
        <v>Active</v>
      </c>
      <c r="H1011" s="43" t="s">
        <v>2343</v>
      </c>
      <c r="I1011" s="43" t="s">
        <v>2377</v>
      </c>
      <c r="J1011" s="44" t="s">
        <v>2378</v>
      </c>
      <c r="K1011" s="44" t="s">
        <v>3298</v>
      </c>
      <c r="L1011" s="44" t="s">
        <v>2380</v>
      </c>
      <c r="M1011" s="43">
        <v>75</v>
      </c>
      <c r="N1011" s="113" t="s">
        <v>1113</v>
      </c>
      <c r="O1011" s="113"/>
      <c r="P1011" s="113"/>
      <c r="Q1011" s="113"/>
      <c r="R1011" s="113"/>
      <c r="S1011" s="113"/>
      <c r="T1011" s="113"/>
      <c r="U1011" s="113"/>
      <c r="V1011" s="113"/>
      <c r="W1011" s="113"/>
      <c r="X1011" s="113"/>
      <c r="Y1011" s="113"/>
      <c r="Z1011" s="113"/>
      <c r="AA1011" s="113"/>
      <c r="AB1011" s="113"/>
      <c r="AC1011" s="113"/>
      <c r="AD1011" s="113"/>
      <c r="AE1011" s="113"/>
      <c r="AF1011" s="113"/>
      <c r="AG1011" s="113"/>
      <c r="AH1011" s="113"/>
      <c r="AI1011" s="113"/>
      <c r="AJ1011" s="113"/>
      <c r="AK1011" s="319" t="s">
        <v>1113</v>
      </c>
      <c r="AL1011" s="113"/>
      <c r="AM1011" s="113"/>
      <c r="AN1011" s="113"/>
      <c r="AO1011" s="44" t="s">
        <v>2334</v>
      </c>
      <c r="AP1011" s="43"/>
      <c r="AQ1011" s="236" t="str">
        <f>VLOOKUP(Table8[[#This Row],[Instrument]],Def_Targets!$D$73:$E$159,2,FALSE)</f>
        <v>A_Commute</v>
      </c>
      <c r="AR1011" s="233" t="str">
        <f>VLOOKUP(Table8[[#This Row],[Country Code]],Table29[],3,FALSE)</f>
        <v>Annex I</v>
      </c>
      <c r="AS1011" s="233" t="str">
        <f>VLOOKUP(Table8[[#This Row],[Country Code]],Table29[],4,FALSE)</f>
        <v>Europe</v>
      </c>
      <c r="AT1011" s="233" t="str">
        <f>VLOOKUP(Table8[[#This Row],[Country Code]],Table29[],5,FALSE)</f>
        <v>High-income</v>
      </c>
      <c r="AU1011" s="233" t="str">
        <f>VLOOKUP(Table8[[#This Row],[Country Code]],Table29[],6,FALSE)</f>
        <v>G20</v>
      </c>
      <c r="AV1011" s="233" t="str">
        <f>VLOOKUP(Table8[[#This Row],[Country Code]],Table29[],7,FALSE)</f>
        <v>G7</v>
      </c>
      <c r="AW1011" s="233" t="str">
        <f>VLOOKUP(Table8[[#This Row],[Country Code]],Table29[],8,FALSE)</f>
        <v>OECD</v>
      </c>
      <c r="AX1011" s="233" t="str">
        <f>VLOOKUP(Table8[[#This Row],[Country Code]],Table29[],9,FALSE)</f>
        <v>EU27</v>
      </c>
      <c r="AY1011" s="233" t="str">
        <f>VLOOKUP(Table8[[#This Row],[Country Code]],Table29[],10,FALSE)</f>
        <v>no</v>
      </c>
      <c r="AZ1011" s="235">
        <f>VLOOKUP(Table8[[#This Row],[Country Code]],Table29[],23,FALSE)</f>
        <v>385.52011950564003</v>
      </c>
      <c r="BA1011" s="235">
        <f>VLOOKUP(Table8[[#This Row],[Country Code]],Table29[],24,FALSE)</f>
        <v>123.5644117217294</v>
      </c>
      <c r="BB1011" s="320"/>
      <c r="BC1011" s="320"/>
    </row>
    <row r="1012" spans="1:55" s="17" customFormat="1" hidden="1" x14ac:dyDescent="0.25">
      <c r="A1012" s="373">
        <v>17597</v>
      </c>
      <c r="B1012" s="233" t="str">
        <f>VLOOKUP(Table8[[#This Row],[Document ID]],Table1[],2,FALSE)</f>
        <v>FRA</v>
      </c>
      <c r="C1012" s="233" t="str">
        <f>VLOOKUP(Table8[[#This Row],[Document ID]],Table1[],3,FALSE)</f>
        <v>France</v>
      </c>
      <c r="D1012" s="243" t="str">
        <f>VLOOKUP(Table8[[#This Row],[Document ID]],Table1[],5,FALSE)</f>
        <v>LTS</v>
      </c>
      <c r="E1012" s="233" t="str">
        <f>VLOOKUP(Table8[[#This Row],[Document ID]],Table1[],7,FALSE)</f>
        <v>LTS</v>
      </c>
      <c r="F1012" s="233" t="str">
        <f>VLOOKUP(Table8[[#This Row],[Document ID]],Table1[],8,FALSE)</f>
        <v>LTS 1.0</v>
      </c>
      <c r="G1012" s="233" t="str">
        <f>VLOOKUP(Table8[[#This Row],[Document ID]],Table1[],10,FALSE)</f>
        <v>Active</v>
      </c>
      <c r="H1012" s="43" t="s">
        <v>2343</v>
      </c>
      <c r="I1012" s="43" t="s">
        <v>2429</v>
      </c>
      <c r="J1012" s="44" t="s">
        <v>2513</v>
      </c>
      <c r="K1012" s="44" t="s">
        <v>3299</v>
      </c>
      <c r="L1012" s="44" t="s">
        <v>2347</v>
      </c>
      <c r="M1012" s="43">
        <v>75</v>
      </c>
      <c r="N1012" s="113"/>
      <c r="O1012" s="113"/>
      <c r="P1012" s="113"/>
      <c r="Q1012" s="113"/>
      <c r="R1012" s="113"/>
      <c r="S1012" s="113" t="s">
        <v>1113</v>
      </c>
      <c r="T1012" s="113"/>
      <c r="U1012" s="113"/>
      <c r="V1012" s="113"/>
      <c r="W1012" s="113"/>
      <c r="X1012" s="113"/>
      <c r="Y1012" s="113"/>
      <c r="Z1012" s="113"/>
      <c r="AA1012" s="113"/>
      <c r="AB1012" s="113"/>
      <c r="AC1012" s="113"/>
      <c r="AD1012" s="113"/>
      <c r="AE1012" s="113"/>
      <c r="AF1012" s="113"/>
      <c r="AG1012" s="113"/>
      <c r="AH1012" s="113"/>
      <c r="AI1012" s="113"/>
      <c r="AJ1012" s="113"/>
      <c r="AK1012" s="319" t="s">
        <v>1113</v>
      </c>
      <c r="AL1012" s="113"/>
      <c r="AM1012" s="113"/>
      <c r="AN1012" s="113"/>
      <c r="AO1012" s="44" t="s">
        <v>2334</v>
      </c>
      <c r="AP1012" s="43"/>
      <c r="AQ1012" s="236" t="str">
        <f>VLOOKUP(Table8[[#This Row],[Instrument]],Def_Targets!$D$73:$E$159,2,FALSE)</f>
        <v>S_Sharedmob</v>
      </c>
      <c r="AR1012" s="233" t="str">
        <f>VLOOKUP(Table8[[#This Row],[Country Code]],Table29[],3,FALSE)</f>
        <v>Annex I</v>
      </c>
      <c r="AS1012" s="233" t="str">
        <f>VLOOKUP(Table8[[#This Row],[Country Code]],Table29[],4,FALSE)</f>
        <v>Europe</v>
      </c>
      <c r="AT1012" s="233" t="str">
        <f>VLOOKUP(Table8[[#This Row],[Country Code]],Table29[],5,FALSE)</f>
        <v>High-income</v>
      </c>
      <c r="AU1012" s="233" t="str">
        <f>VLOOKUP(Table8[[#This Row],[Country Code]],Table29[],6,FALSE)</f>
        <v>G20</v>
      </c>
      <c r="AV1012" s="233" t="str">
        <f>VLOOKUP(Table8[[#This Row],[Country Code]],Table29[],7,FALSE)</f>
        <v>G7</v>
      </c>
      <c r="AW1012" s="233" t="str">
        <f>VLOOKUP(Table8[[#This Row],[Country Code]],Table29[],8,FALSE)</f>
        <v>OECD</v>
      </c>
      <c r="AX1012" s="233" t="str">
        <f>VLOOKUP(Table8[[#This Row],[Country Code]],Table29[],9,FALSE)</f>
        <v>EU27</v>
      </c>
      <c r="AY1012" s="233" t="str">
        <f>VLOOKUP(Table8[[#This Row],[Country Code]],Table29[],10,FALSE)</f>
        <v>no</v>
      </c>
      <c r="AZ1012" s="235">
        <f>VLOOKUP(Table8[[#This Row],[Country Code]],Table29[],23,FALSE)</f>
        <v>385.52011950564003</v>
      </c>
      <c r="BA1012" s="235">
        <f>VLOOKUP(Table8[[#This Row],[Country Code]],Table29[],24,FALSE)</f>
        <v>123.5644117217294</v>
      </c>
      <c r="BB1012" s="320"/>
      <c r="BC1012" s="320"/>
    </row>
    <row r="1013" spans="1:55" s="17" customFormat="1" ht="30" hidden="1" x14ac:dyDescent="0.25">
      <c r="A1013" s="373">
        <v>17597</v>
      </c>
      <c r="B1013" s="233" t="str">
        <f>VLOOKUP(Table8[[#This Row],[Document ID]],Table1[],2,FALSE)</f>
        <v>FRA</v>
      </c>
      <c r="C1013" s="233" t="str">
        <f>VLOOKUP(Table8[[#This Row],[Document ID]],Table1[],3,FALSE)</f>
        <v>France</v>
      </c>
      <c r="D1013" s="243" t="str">
        <f>VLOOKUP(Table8[[#This Row],[Document ID]],Table1[],5,FALSE)</f>
        <v>LTS</v>
      </c>
      <c r="E1013" s="233" t="str">
        <f>VLOOKUP(Table8[[#This Row],[Document ID]],Table1[],7,FALSE)</f>
        <v>LTS</v>
      </c>
      <c r="F1013" s="233" t="str">
        <f>VLOOKUP(Table8[[#This Row],[Document ID]],Table1[],8,FALSE)</f>
        <v>LTS 1.0</v>
      </c>
      <c r="G1013" s="233" t="str">
        <f>VLOOKUP(Table8[[#This Row],[Document ID]],Table1[],10,FALSE)</f>
        <v>Active</v>
      </c>
      <c r="H1013" s="43" t="s">
        <v>2350</v>
      </c>
      <c r="I1013" s="43" t="s">
        <v>2351</v>
      </c>
      <c r="J1013" s="44" t="s">
        <v>2447</v>
      </c>
      <c r="K1013" s="44" t="s">
        <v>3300</v>
      </c>
      <c r="L1013" s="44" t="s">
        <v>2380</v>
      </c>
      <c r="M1013" s="43">
        <v>75</v>
      </c>
      <c r="N1013" s="113" t="s">
        <v>1113</v>
      </c>
      <c r="O1013" s="113"/>
      <c r="P1013" s="113"/>
      <c r="Q1013" s="113"/>
      <c r="R1013" s="113"/>
      <c r="S1013" s="113"/>
      <c r="T1013" s="113"/>
      <c r="U1013" s="113"/>
      <c r="V1013" s="113"/>
      <c r="W1013" s="113"/>
      <c r="X1013" s="113"/>
      <c r="Y1013" s="113"/>
      <c r="Z1013" s="113"/>
      <c r="AA1013" s="113"/>
      <c r="AB1013" s="113"/>
      <c r="AC1013" s="113"/>
      <c r="AD1013" s="113"/>
      <c r="AE1013" s="113"/>
      <c r="AF1013" s="113"/>
      <c r="AG1013" s="113"/>
      <c r="AH1013" s="113"/>
      <c r="AI1013" s="113"/>
      <c r="AJ1013" s="113"/>
      <c r="AK1013" s="319" t="s">
        <v>1113</v>
      </c>
      <c r="AL1013" s="113"/>
      <c r="AM1013" s="113"/>
      <c r="AN1013" s="113"/>
      <c r="AO1013" s="43" t="s">
        <v>2353</v>
      </c>
      <c r="AP1013" s="43"/>
      <c r="AQ1013" s="236" t="str">
        <f>VLOOKUP(Table8[[#This Row],[Instrument]],Def_Targets!$D$73:$E$159,2,FALSE)</f>
        <v>I_Freighteff</v>
      </c>
      <c r="AR1013" s="233" t="str">
        <f>VLOOKUP(Table8[[#This Row],[Country Code]],Table29[],3,FALSE)</f>
        <v>Annex I</v>
      </c>
      <c r="AS1013" s="233" t="str">
        <f>VLOOKUP(Table8[[#This Row],[Country Code]],Table29[],4,FALSE)</f>
        <v>Europe</v>
      </c>
      <c r="AT1013" s="233" t="str">
        <f>VLOOKUP(Table8[[#This Row],[Country Code]],Table29[],5,FALSE)</f>
        <v>High-income</v>
      </c>
      <c r="AU1013" s="233" t="str">
        <f>VLOOKUP(Table8[[#This Row],[Country Code]],Table29[],6,FALSE)</f>
        <v>G20</v>
      </c>
      <c r="AV1013" s="233" t="str">
        <f>VLOOKUP(Table8[[#This Row],[Country Code]],Table29[],7,FALSE)</f>
        <v>G7</v>
      </c>
      <c r="AW1013" s="233" t="str">
        <f>VLOOKUP(Table8[[#This Row],[Country Code]],Table29[],8,FALSE)</f>
        <v>OECD</v>
      </c>
      <c r="AX1013" s="233" t="str">
        <f>VLOOKUP(Table8[[#This Row],[Country Code]],Table29[],9,FALSE)</f>
        <v>EU27</v>
      </c>
      <c r="AY1013" s="233" t="str">
        <f>VLOOKUP(Table8[[#This Row],[Country Code]],Table29[],10,FALSE)</f>
        <v>no</v>
      </c>
      <c r="AZ1013" s="235">
        <f>VLOOKUP(Table8[[#This Row],[Country Code]],Table29[],23,FALSE)</f>
        <v>385.52011950564003</v>
      </c>
      <c r="BA1013" s="235">
        <f>VLOOKUP(Table8[[#This Row],[Country Code]],Table29[],24,FALSE)</f>
        <v>123.5644117217294</v>
      </c>
      <c r="BB1013" s="320"/>
      <c r="BC1013" s="320"/>
    </row>
    <row r="1014" spans="1:55" ht="45" hidden="1" x14ac:dyDescent="0.25">
      <c r="A1014" s="373">
        <v>17597</v>
      </c>
      <c r="B1014" s="233" t="str">
        <f>VLOOKUP(Table8[[#This Row],[Document ID]],Table1[],2,FALSE)</f>
        <v>FRA</v>
      </c>
      <c r="C1014" s="233" t="str">
        <f>VLOOKUP(Table8[[#This Row],[Document ID]],Table1[],3,FALSE)</f>
        <v>France</v>
      </c>
      <c r="D1014" s="243" t="str">
        <f>VLOOKUP(Table8[[#This Row],[Document ID]],Table1[],5,FALSE)</f>
        <v>LTS</v>
      </c>
      <c r="E1014" s="233" t="str">
        <f>VLOOKUP(Table8[[#This Row],[Document ID]],Table1[],7,FALSE)</f>
        <v>LTS</v>
      </c>
      <c r="F1014" s="233" t="str">
        <f>VLOOKUP(Table8[[#This Row],[Document ID]],Table1[],8,FALSE)</f>
        <v>LTS 1.0</v>
      </c>
      <c r="G1014" s="233" t="str">
        <f>VLOOKUP(Table8[[#This Row],[Document ID]],Table1[],10,FALSE)</f>
        <v>Active</v>
      </c>
      <c r="H1014" s="43" t="s">
        <v>2350</v>
      </c>
      <c r="I1014" s="43" t="s">
        <v>2370</v>
      </c>
      <c r="J1014" s="44" t="s">
        <v>2418</v>
      </c>
      <c r="K1014" s="44" t="s">
        <v>3301</v>
      </c>
      <c r="L1014" s="44" t="s">
        <v>2333</v>
      </c>
      <c r="M1014" s="43">
        <v>75</v>
      </c>
      <c r="N1014" s="113" t="s">
        <v>1113</v>
      </c>
      <c r="O1014" s="113"/>
      <c r="P1014" s="113"/>
      <c r="Q1014" s="113"/>
      <c r="R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319" t="s">
        <v>1113</v>
      </c>
      <c r="AL1014" s="113"/>
      <c r="AM1014" s="113"/>
      <c r="AN1014" s="113"/>
      <c r="AO1014" s="44" t="s">
        <v>2334</v>
      </c>
      <c r="AP1014" s="43"/>
      <c r="AQ1014" s="236" t="str">
        <f>VLOOKUP(Table8[[#This Row],[Instrument]],Def_Targets!$D$73:$E$159,2,FALSE)</f>
        <v>A_Complan</v>
      </c>
      <c r="AR1014" s="233" t="str">
        <f>VLOOKUP(Table8[[#This Row],[Country Code]],Table29[],3,FALSE)</f>
        <v>Annex I</v>
      </c>
      <c r="AS1014" s="233" t="str">
        <f>VLOOKUP(Table8[[#This Row],[Country Code]],Table29[],4,FALSE)</f>
        <v>Europe</v>
      </c>
      <c r="AT1014" s="233" t="str">
        <f>VLOOKUP(Table8[[#This Row],[Country Code]],Table29[],5,FALSE)</f>
        <v>High-income</v>
      </c>
      <c r="AU1014" s="233" t="str">
        <f>VLOOKUP(Table8[[#This Row],[Country Code]],Table29[],6,FALSE)</f>
        <v>G20</v>
      </c>
      <c r="AV1014" s="233" t="str">
        <f>VLOOKUP(Table8[[#This Row],[Country Code]],Table29[],7,FALSE)</f>
        <v>G7</v>
      </c>
      <c r="AW1014" s="233" t="str">
        <f>VLOOKUP(Table8[[#This Row],[Country Code]],Table29[],8,FALSE)</f>
        <v>OECD</v>
      </c>
      <c r="AX1014" s="233" t="str">
        <f>VLOOKUP(Table8[[#This Row],[Country Code]],Table29[],9,FALSE)</f>
        <v>EU27</v>
      </c>
      <c r="AY1014" s="233" t="str">
        <f>VLOOKUP(Table8[[#This Row],[Country Code]],Table29[],10,FALSE)</f>
        <v>no</v>
      </c>
      <c r="AZ1014" s="235">
        <f>VLOOKUP(Table8[[#This Row],[Country Code]],Table29[],23,FALSE)</f>
        <v>385.52011950564003</v>
      </c>
      <c r="BA1014" s="235">
        <f>VLOOKUP(Table8[[#This Row],[Country Code]],Table29[],24,FALSE)</f>
        <v>123.5644117217294</v>
      </c>
      <c r="BB1014" s="320"/>
      <c r="BC1014" s="320"/>
    </row>
    <row r="1015" spans="1:55" hidden="1" x14ac:dyDescent="0.25">
      <c r="A1015" s="373">
        <v>17597</v>
      </c>
      <c r="B1015" s="233" t="str">
        <f>VLOOKUP(Table8[[#This Row],[Document ID]],Table1[],2,FALSE)</f>
        <v>FRA</v>
      </c>
      <c r="C1015" s="233" t="str">
        <f>VLOOKUP(Table8[[#This Row],[Document ID]],Table1[],3,FALSE)</f>
        <v>France</v>
      </c>
      <c r="D1015" s="243" t="str">
        <f>VLOOKUP(Table8[[#This Row],[Document ID]],Table1[],5,FALSE)</f>
        <v>LTS</v>
      </c>
      <c r="E1015" s="233" t="str">
        <f>VLOOKUP(Table8[[#This Row],[Document ID]],Table1[],7,FALSE)</f>
        <v>LTS</v>
      </c>
      <c r="F1015" s="233" t="str">
        <f>VLOOKUP(Table8[[#This Row],[Document ID]],Table1[],8,FALSE)</f>
        <v>LTS 1.0</v>
      </c>
      <c r="G1015" s="233" t="str">
        <f>VLOOKUP(Table8[[#This Row],[Document ID]],Table1[],10,FALSE)</f>
        <v>Active</v>
      </c>
      <c r="H1015" s="44" t="s">
        <v>2338</v>
      </c>
      <c r="I1015" s="44" t="s">
        <v>2339</v>
      </c>
      <c r="J1015" s="44" t="s">
        <v>2340</v>
      </c>
      <c r="K1015" s="44" t="s">
        <v>3302</v>
      </c>
      <c r="L1015" s="44" t="s">
        <v>2333</v>
      </c>
      <c r="M1015" s="43">
        <v>72</v>
      </c>
      <c r="N1015" s="113" t="s">
        <v>1113</v>
      </c>
      <c r="O1015" s="113"/>
      <c r="P1015" s="113"/>
      <c r="Q1015" s="113"/>
      <c r="R1015" s="113"/>
      <c r="S1015" s="113"/>
      <c r="T1015" s="113"/>
      <c r="U1015" s="113"/>
      <c r="V1015" s="113"/>
      <c r="W1015" s="113"/>
      <c r="X1015" s="113"/>
      <c r="Y1015" s="113"/>
      <c r="Z1015" s="113"/>
      <c r="AA1015" s="113"/>
      <c r="AB1015" s="113"/>
      <c r="AC1015" s="113"/>
      <c r="AD1015" s="113"/>
      <c r="AE1015" s="113"/>
      <c r="AF1015" s="113"/>
      <c r="AG1015" s="113"/>
      <c r="AH1015" s="113"/>
      <c r="AI1015" s="113"/>
      <c r="AJ1015" s="113"/>
      <c r="AK1015" s="319" t="s">
        <v>1113</v>
      </c>
      <c r="AL1015" s="113"/>
      <c r="AM1015" s="113"/>
      <c r="AN1015" s="113"/>
      <c r="AO1015" s="44" t="s">
        <v>2334</v>
      </c>
      <c r="AP1015" s="43"/>
      <c r="AQ1015" s="236" t="str">
        <f>VLOOKUP(Table8[[#This Row],[Instrument]],Def_Targets!$D$73:$E$159,2,FALSE)</f>
        <v>I_Vehicleimprove</v>
      </c>
      <c r="AR1015" s="233" t="str">
        <f>VLOOKUP(Table8[[#This Row],[Country Code]],Table29[],3,FALSE)</f>
        <v>Annex I</v>
      </c>
      <c r="AS1015" s="233" t="str">
        <f>VLOOKUP(Table8[[#This Row],[Country Code]],Table29[],4,FALSE)</f>
        <v>Europe</v>
      </c>
      <c r="AT1015" s="233" t="str">
        <f>VLOOKUP(Table8[[#This Row],[Country Code]],Table29[],5,FALSE)</f>
        <v>High-income</v>
      </c>
      <c r="AU1015" s="233" t="str">
        <f>VLOOKUP(Table8[[#This Row],[Country Code]],Table29[],6,FALSE)</f>
        <v>G20</v>
      </c>
      <c r="AV1015" s="233" t="str">
        <f>VLOOKUP(Table8[[#This Row],[Country Code]],Table29[],7,FALSE)</f>
        <v>G7</v>
      </c>
      <c r="AW1015" s="233" t="str">
        <f>VLOOKUP(Table8[[#This Row],[Country Code]],Table29[],8,FALSE)</f>
        <v>OECD</v>
      </c>
      <c r="AX1015" s="233" t="str">
        <f>VLOOKUP(Table8[[#This Row],[Country Code]],Table29[],9,FALSE)</f>
        <v>EU27</v>
      </c>
      <c r="AY1015" s="233" t="str">
        <f>VLOOKUP(Table8[[#This Row],[Country Code]],Table29[],10,FALSE)</f>
        <v>no</v>
      </c>
      <c r="AZ1015" s="235">
        <f>VLOOKUP(Table8[[#This Row],[Country Code]],Table29[],23,FALSE)</f>
        <v>385.52011950564003</v>
      </c>
      <c r="BA1015" s="235">
        <f>VLOOKUP(Table8[[#This Row],[Country Code]],Table29[],24,FALSE)</f>
        <v>123.5644117217294</v>
      </c>
      <c r="BB1015" s="320"/>
      <c r="BC1015" s="320"/>
    </row>
    <row r="1016" spans="1:55" s="17" customFormat="1" ht="30" hidden="1" x14ac:dyDescent="0.25">
      <c r="A1016" s="373">
        <v>17597</v>
      </c>
      <c r="B1016" s="233" t="str">
        <f>VLOOKUP(Table8[[#This Row],[Document ID]],Table1[],2,FALSE)</f>
        <v>FRA</v>
      </c>
      <c r="C1016" s="233" t="str">
        <f>VLOOKUP(Table8[[#This Row],[Document ID]],Table1[],3,FALSE)</f>
        <v>France</v>
      </c>
      <c r="D1016" s="243" t="str">
        <f>VLOOKUP(Table8[[#This Row],[Document ID]],Table1[],5,FALSE)</f>
        <v>LTS</v>
      </c>
      <c r="E1016" s="233" t="str">
        <f>VLOOKUP(Table8[[#This Row],[Document ID]],Table1[],7,FALSE)</f>
        <v>LTS</v>
      </c>
      <c r="F1016" s="233" t="str">
        <f>VLOOKUP(Table8[[#This Row],[Document ID]],Table1[],8,FALSE)</f>
        <v>LTS 1.0</v>
      </c>
      <c r="G1016" s="233" t="str">
        <f>VLOOKUP(Table8[[#This Row],[Document ID]],Table1[],10,FALSE)</f>
        <v>Active</v>
      </c>
      <c r="H1016" s="44" t="s">
        <v>2338</v>
      </c>
      <c r="I1016" s="44" t="s">
        <v>2339</v>
      </c>
      <c r="J1016" s="44" t="s">
        <v>2340</v>
      </c>
      <c r="K1016" s="44" t="s">
        <v>3303</v>
      </c>
      <c r="L1016" s="44" t="s">
        <v>2333</v>
      </c>
      <c r="M1016" s="43">
        <v>74</v>
      </c>
      <c r="N1016" s="113" t="s">
        <v>1113</v>
      </c>
      <c r="O1016" s="113"/>
      <c r="P1016" s="113"/>
      <c r="Q1016" s="113"/>
      <c r="R1016" s="113"/>
      <c r="S1016" s="113"/>
      <c r="T1016" s="113"/>
      <c r="U1016" s="113"/>
      <c r="V1016" s="113"/>
      <c r="W1016" s="113"/>
      <c r="X1016" s="113"/>
      <c r="Y1016" s="113"/>
      <c r="Z1016" s="113"/>
      <c r="AA1016" s="113"/>
      <c r="AB1016" s="113"/>
      <c r="AC1016" s="113"/>
      <c r="AD1016" s="113"/>
      <c r="AE1016" s="113"/>
      <c r="AF1016" s="113"/>
      <c r="AG1016" s="113"/>
      <c r="AH1016" s="113"/>
      <c r="AI1016" s="113"/>
      <c r="AJ1016" s="113"/>
      <c r="AK1016" s="319" t="s">
        <v>1113</v>
      </c>
      <c r="AL1016" s="113"/>
      <c r="AM1016" s="113"/>
      <c r="AN1016" s="113"/>
      <c r="AO1016" s="44" t="s">
        <v>2334</v>
      </c>
      <c r="AP1016" s="43"/>
      <c r="AQ1016" s="236" t="str">
        <f>VLOOKUP(Table8[[#This Row],[Instrument]],Def_Targets!$D$73:$E$159,2,FALSE)</f>
        <v>I_Vehicleimprove</v>
      </c>
      <c r="AR1016" s="233" t="str">
        <f>VLOOKUP(Table8[[#This Row],[Country Code]],Table29[],3,FALSE)</f>
        <v>Annex I</v>
      </c>
      <c r="AS1016" s="233" t="str">
        <f>VLOOKUP(Table8[[#This Row],[Country Code]],Table29[],4,FALSE)</f>
        <v>Europe</v>
      </c>
      <c r="AT1016" s="233" t="str">
        <f>VLOOKUP(Table8[[#This Row],[Country Code]],Table29[],5,FALSE)</f>
        <v>High-income</v>
      </c>
      <c r="AU1016" s="233" t="str">
        <f>VLOOKUP(Table8[[#This Row],[Country Code]],Table29[],6,FALSE)</f>
        <v>G20</v>
      </c>
      <c r="AV1016" s="233" t="str">
        <f>VLOOKUP(Table8[[#This Row],[Country Code]],Table29[],7,FALSE)</f>
        <v>G7</v>
      </c>
      <c r="AW1016" s="233" t="str">
        <f>VLOOKUP(Table8[[#This Row],[Country Code]],Table29[],8,FALSE)</f>
        <v>OECD</v>
      </c>
      <c r="AX1016" s="233" t="str">
        <f>VLOOKUP(Table8[[#This Row],[Country Code]],Table29[],9,FALSE)</f>
        <v>EU27</v>
      </c>
      <c r="AY1016" s="233" t="str">
        <f>VLOOKUP(Table8[[#This Row],[Country Code]],Table29[],10,FALSE)</f>
        <v>no</v>
      </c>
      <c r="AZ1016" s="235">
        <f>VLOOKUP(Table8[[#This Row],[Country Code]],Table29[],23,FALSE)</f>
        <v>385.52011950564003</v>
      </c>
      <c r="BA1016" s="235">
        <f>VLOOKUP(Table8[[#This Row],[Country Code]],Table29[],24,FALSE)</f>
        <v>123.5644117217294</v>
      </c>
      <c r="BB1016" s="320"/>
      <c r="BC1016" s="320"/>
    </row>
    <row r="1017" spans="1:55" hidden="1" x14ac:dyDescent="0.25">
      <c r="A1017" s="373">
        <v>32503</v>
      </c>
      <c r="B1017" s="233" t="str">
        <f>VLOOKUP(Table8[[#This Row],[Document ID]],Table1[],2,FALSE)</f>
        <v>IDN</v>
      </c>
      <c r="C1017" s="233" t="str">
        <f>VLOOKUP(Table8[[#This Row],[Document ID]],Table1[],3,FALSE)</f>
        <v>Indonesia</v>
      </c>
      <c r="D1017" s="243" t="str">
        <f>VLOOKUP(Table8[[#This Row],[Document ID]],Table1[],5,FALSE)</f>
        <v>NDC</v>
      </c>
      <c r="E1017" s="233" t="str">
        <f>VLOOKUP(Table8[[#This Row],[Document ID]],Table1[],7,FALSE)</f>
        <v>First NDC updated</v>
      </c>
      <c r="F1017" s="233" t="str">
        <f>VLOOKUP(Table8[[#This Row],[Document ID]],Table1[],8,FALSE)</f>
        <v>NDC 1.2</v>
      </c>
      <c r="G1017" s="233" t="str">
        <f>VLOOKUP(Table8[[#This Row],[Document ID]],Table1[],10,FALSE)</f>
        <v>Active</v>
      </c>
      <c r="H1017" s="44" t="s">
        <v>2338</v>
      </c>
      <c r="I1017" s="44" t="s">
        <v>2339</v>
      </c>
      <c r="J1017" s="44" t="s">
        <v>2556</v>
      </c>
      <c r="K1017" s="44" t="s">
        <v>3304</v>
      </c>
      <c r="L1017" s="44" t="s">
        <v>2333</v>
      </c>
      <c r="M1017" s="43">
        <v>24</v>
      </c>
      <c r="N1017" s="113" t="s">
        <v>1113</v>
      </c>
      <c r="O1017" s="113"/>
      <c r="P1017" s="113"/>
      <c r="Q1017" s="113"/>
      <c r="R1017" s="113"/>
      <c r="S1017" s="113"/>
      <c r="T1017" s="113"/>
      <c r="U1017" s="113"/>
      <c r="V1017" s="113"/>
      <c r="W1017" s="113"/>
      <c r="X1017" s="113"/>
      <c r="Y1017" s="113"/>
      <c r="Z1017" s="113"/>
      <c r="AA1017" s="113"/>
      <c r="AB1017" s="113"/>
      <c r="AC1017" s="113"/>
      <c r="AD1017" s="113"/>
      <c r="AE1017" s="113"/>
      <c r="AF1017" s="113"/>
      <c r="AG1017" s="113"/>
      <c r="AH1017" s="113"/>
      <c r="AI1017" s="113"/>
      <c r="AJ1017" s="113"/>
      <c r="AK1017" s="113" t="s">
        <v>1113</v>
      </c>
      <c r="AL1017" s="113"/>
      <c r="AM1017" s="113"/>
      <c r="AN1017" s="113"/>
      <c r="AO1017" s="44" t="s">
        <v>2334</v>
      </c>
      <c r="AP1017" s="43"/>
      <c r="AQ1017" s="236" t="str">
        <f>VLOOKUP(Table8[[#This Row],[Instrument]],Def_Targets!$D$73:$E$159,2,FALSE)</f>
        <v>I_Fuelqualimprove</v>
      </c>
      <c r="AR1017" s="233" t="str">
        <f>VLOOKUP(Table8[[#This Row],[Country Code]],Table29[],3,FALSE)</f>
        <v>Non-Annex I</v>
      </c>
      <c r="AS1017" s="233" t="str">
        <f>VLOOKUP(Table8[[#This Row],[Country Code]],Table29[],4,FALSE)</f>
        <v>Asia</v>
      </c>
      <c r="AT1017" s="233" t="str">
        <f>VLOOKUP(Table8[[#This Row],[Country Code]],Table29[],5,FALSE)</f>
        <v>Middle-income</v>
      </c>
      <c r="AU1017" s="233" t="str">
        <f>VLOOKUP(Table8[[#This Row],[Country Code]],Table29[],6,FALSE)</f>
        <v>G20</v>
      </c>
      <c r="AV1017" s="233" t="str">
        <f>VLOOKUP(Table8[[#This Row],[Country Code]],Table29[],7,FALSE)</f>
        <v>no</v>
      </c>
      <c r="AW1017" s="233" t="str">
        <f>VLOOKUP(Table8[[#This Row],[Country Code]],Table29[],8,FALSE)</f>
        <v>non-OECD</v>
      </c>
      <c r="AX1017" s="233" t="str">
        <f>VLOOKUP(Table8[[#This Row],[Country Code]],Table29[],9,FALSE)</f>
        <v>no</v>
      </c>
      <c r="AY1017" s="233" t="str">
        <f>VLOOKUP(Table8[[#This Row],[Country Code]],Table29[],10,FALSE)</f>
        <v>no</v>
      </c>
      <c r="AZ1017" s="235">
        <f>VLOOKUP(Table8[[#This Row],[Country Code]],Table29[],23,FALSE)</f>
        <v>1200.1997867973</v>
      </c>
      <c r="BA1017" s="235">
        <f>VLOOKUP(Table8[[#This Row],[Country Code]],Table29[],24,FALSE)</f>
        <v>152.1133830762208</v>
      </c>
      <c r="BB1017" s="320"/>
      <c r="BC1017" s="320"/>
    </row>
    <row r="1018" spans="1:55" s="17" customFormat="1" hidden="1" x14ac:dyDescent="0.25">
      <c r="A1018" s="373">
        <v>32503</v>
      </c>
      <c r="B1018" s="233" t="str">
        <f>VLOOKUP(Table8[[#This Row],[Document ID]],Table1[],2,FALSE)</f>
        <v>IDN</v>
      </c>
      <c r="C1018" s="233" t="str">
        <f>VLOOKUP(Table8[[#This Row],[Document ID]],Table1[],3,FALSE)</f>
        <v>Indonesia</v>
      </c>
      <c r="D1018" s="243" t="str">
        <f>VLOOKUP(Table8[[#This Row],[Document ID]],Table1[],5,FALSE)</f>
        <v>NDC</v>
      </c>
      <c r="E1018" s="233" t="str">
        <f>VLOOKUP(Table8[[#This Row],[Document ID]],Table1[],7,FALSE)</f>
        <v>First NDC updated</v>
      </c>
      <c r="F1018" s="233" t="str">
        <f>VLOOKUP(Table8[[#This Row],[Document ID]],Table1[],8,FALSE)</f>
        <v>NDC 1.2</v>
      </c>
      <c r="G1018" s="233" t="str">
        <f>VLOOKUP(Table8[[#This Row],[Document ID]],Table1[],10,FALSE)</f>
        <v>Active</v>
      </c>
      <c r="H1018" s="44" t="s">
        <v>2329</v>
      </c>
      <c r="I1018" s="44" t="s">
        <v>2330</v>
      </c>
      <c r="J1018" s="44" t="s">
        <v>2363</v>
      </c>
      <c r="K1018" s="44" t="s">
        <v>3305</v>
      </c>
      <c r="L1018" s="44" t="s">
        <v>2333</v>
      </c>
      <c r="M1018" s="43">
        <v>24</v>
      </c>
      <c r="N1018" s="113" t="s">
        <v>1113</v>
      </c>
      <c r="O1018" s="113"/>
      <c r="P1018" s="113"/>
      <c r="Q1018" s="113"/>
      <c r="R1018" s="113"/>
      <c r="S1018" s="113"/>
      <c r="T1018" s="113"/>
      <c r="U1018" s="113"/>
      <c r="V1018" s="113"/>
      <c r="W1018" s="113"/>
      <c r="X1018" s="113"/>
      <c r="Y1018" s="113"/>
      <c r="Z1018" s="113"/>
      <c r="AA1018" s="113"/>
      <c r="AB1018" s="113"/>
      <c r="AC1018" s="113"/>
      <c r="AD1018" s="113"/>
      <c r="AE1018" s="113"/>
      <c r="AF1018" s="113"/>
      <c r="AG1018" s="113"/>
      <c r="AH1018" s="113"/>
      <c r="AI1018" s="113"/>
      <c r="AJ1018" s="113"/>
      <c r="AK1018" s="113" t="s">
        <v>1113</v>
      </c>
      <c r="AL1018" s="113"/>
      <c r="AM1018" s="113"/>
      <c r="AN1018" s="113"/>
      <c r="AO1018" s="44" t="s">
        <v>2334</v>
      </c>
      <c r="AP1018" s="43"/>
      <c r="AQ1018" s="236" t="str">
        <f>VLOOKUP(Table8[[#This Row],[Instrument]],Def_Targets!$D$73:$E$159,2,FALSE)</f>
        <v>I_LPGCNGLNG</v>
      </c>
      <c r="AR1018" s="233" t="str">
        <f>VLOOKUP(Table8[[#This Row],[Country Code]],Table29[],3,FALSE)</f>
        <v>Non-Annex I</v>
      </c>
      <c r="AS1018" s="233" t="str">
        <f>VLOOKUP(Table8[[#This Row],[Country Code]],Table29[],4,FALSE)</f>
        <v>Asia</v>
      </c>
      <c r="AT1018" s="233" t="str">
        <f>VLOOKUP(Table8[[#This Row],[Country Code]],Table29[],5,FALSE)</f>
        <v>Middle-income</v>
      </c>
      <c r="AU1018" s="233" t="str">
        <f>VLOOKUP(Table8[[#This Row],[Country Code]],Table29[],6,FALSE)</f>
        <v>G20</v>
      </c>
      <c r="AV1018" s="233" t="str">
        <f>VLOOKUP(Table8[[#This Row],[Country Code]],Table29[],7,FALSE)</f>
        <v>no</v>
      </c>
      <c r="AW1018" s="233" t="str">
        <f>VLOOKUP(Table8[[#This Row],[Country Code]],Table29[],8,FALSE)</f>
        <v>non-OECD</v>
      </c>
      <c r="AX1018" s="233" t="str">
        <f>VLOOKUP(Table8[[#This Row],[Country Code]],Table29[],9,FALSE)</f>
        <v>no</v>
      </c>
      <c r="AY1018" s="233" t="str">
        <f>VLOOKUP(Table8[[#This Row],[Country Code]],Table29[],10,FALSE)</f>
        <v>no</v>
      </c>
      <c r="AZ1018" s="235">
        <f>VLOOKUP(Table8[[#This Row],[Country Code]],Table29[],23,FALSE)</f>
        <v>1200.1997867973</v>
      </c>
      <c r="BA1018" s="235">
        <f>VLOOKUP(Table8[[#This Row],[Country Code]],Table29[],24,FALSE)</f>
        <v>152.1133830762208</v>
      </c>
      <c r="BB1018" s="320"/>
      <c r="BC1018" s="320"/>
    </row>
    <row r="1019" spans="1:55" s="17" customFormat="1" hidden="1" x14ac:dyDescent="0.25">
      <c r="A1019" s="373">
        <v>32503</v>
      </c>
      <c r="B1019" s="233" t="str">
        <f>VLOOKUP(Table8[[#This Row],[Document ID]],Table1[],2,FALSE)</f>
        <v>IDN</v>
      </c>
      <c r="C1019" s="233" t="str">
        <f>VLOOKUP(Table8[[#This Row],[Document ID]],Table1[],3,FALSE)</f>
        <v>Indonesia</v>
      </c>
      <c r="D1019" s="243" t="str">
        <f>VLOOKUP(Table8[[#This Row],[Document ID]],Table1[],5,FALSE)</f>
        <v>NDC</v>
      </c>
      <c r="E1019" s="233" t="str">
        <f>VLOOKUP(Table8[[#This Row],[Document ID]],Table1[],7,FALSE)</f>
        <v>First NDC updated</v>
      </c>
      <c r="F1019" s="233" t="str">
        <f>VLOOKUP(Table8[[#This Row],[Document ID]],Table1[],8,FALSE)</f>
        <v>NDC 1.2</v>
      </c>
      <c r="G1019" s="233" t="str">
        <f>VLOOKUP(Table8[[#This Row],[Document ID]],Table1[],10,FALSE)</f>
        <v>Active</v>
      </c>
      <c r="H1019" s="44" t="s">
        <v>2329</v>
      </c>
      <c r="I1019" s="44" t="s">
        <v>2330</v>
      </c>
      <c r="J1019" s="44" t="s">
        <v>2363</v>
      </c>
      <c r="K1019" s="44" t="s">
        <v>3306</v>
      </c>
      <c r="L1019" s="44" t="s">
        <v>2333</v>
      </c>
      <c r="M1019" s="43">
        <v>24</v>
      </c>
      <c r="N1019" s="113"/>
      <c r="O1019" s="113"/>
      <c r="P1019" s="113"/>
      <c r="Q1019" s="113"/>
      <c r="R1019" s="113"/>
      <c r="S1019" s="113"/>
      <c r="T1019" s="113"/>
      <c r="U1019" s="113"/>
      <c r="V1019" s="113"/>
      <c r="W1019" s="113"/>
      <c r="X1019" s="113"/>
      <c r="Y1019" s="113" t="s">
        <v>1113</v>
      </c>
      <c r="Z1019" s="113"/>
      <c r="AA1019" s="113"/>
      <c r="AB1019" s="113"/>
      <c r="AC1019" s="113" t="s">
        <v>1113</v>
      </c>
      <c r="AD1019" s="113"/>
      <c r="AE1019" s="113"/>
      <c r="AF1019" s="113"/>
      <c r="AG1019" s="113"/>
      <c r="AH1019" s="113"/>
      <c r="AI1019" s="113"/>
      <c r="AJ1019" s="113"/>
      <c r="AK1019" s="113" t="s">
        <v>1113</v>
      </c>
      <c r="AL1019" s="113"/>
      <c r="AM1019" s="113"/>
      <c r="AN1019" s="113"/>
      <c r="AO1019" s="43" t="s">
        <v>2348</v>
      </c>
      <c r="AP1019" s="43"/>
      <c r="AQ1019" s="236" t="str">
        <f>VLOOKUP(Table8[[#This Row],[Instrument]],Def_Targets!$D$73:$E$159,2,FALSE)</f>
        <v>I_LPGCNGLNG</v>
      </c>
      <c r="AR1019" s="233" t="str">
        <f>VLOOKUP(Table8[[#This Row],[Country Code]],Table29[],3,FALSE)</f>
        <v>Non-Annex I</v>
      </c>
      <c r="AS1019" s="233" t="str">
        <f>VLOOKUP(Table8[[#This Row],[Country Code]],Table29[],4,FALSE)</f>
        <v>Asia</v>
      </c>
      <c r="AT1019" s="233" t="str">
        <f>VLOOKUP(Table8[[#This Row],[Country Code]],Table29[],5,FALSE)</f>
        <v>Middle-income</v>
      </c>
      <c r="AU1019" s="233" t="str">
        <f>VLOOKUP(Table8[[#This Row],[Country Code]],Table29[],6,FALSE)</f>
        <v>G20</v>
      </c>
      <c r="AV1019" s="233" t="str">
        <f>VLOOKUP(Table8[[#This Row],[Country Code]],Table29[],7,FALSE)</f>
        <v>no</v>
      </c>
      <c r="AW1019" s="233" t="str">
        <f>VLOOKUP(Table8[[#This Row],[Country Code]],Table29[],8,FALSE)</f>
        <v>non-OECD</v>
      </c>
      <c r="AX1019" s="233" t="str">
        <f>VLOOKUP(Table8[[#This Row],[Country Code]],Table29[],9,FALSE)</f>
        <v>no</v>
      </c>
      <c r="AY1019" s="233" t="str">
        <f>VLOOKUP(Table8[[#This Row],[Country Code]],Table29[],10,FALSE)</f>
        <v>no</v>
      </c>
      <c r="AZ1019" s="235">
        <f>VLOOKUP(Table8[[#This Row],[Country Code]],Table29[],23,FALSE)</f>
        <v>1200.1997867973</v>
      </c>
      <c r="BA1019" s="235">
        <f>VLOOKUP(Table8[[#This Row],[Country Code]],Table29[],24,FALSE)</f>
        <v>152.1133830762208</v>
      </c>
      <c r="BB1019" s="320"/>
      <c r="BC1019" s="320"/>
    </row>
    <row r="1020" spans="1:55" ht="30" hidden="1" x14ac:dyDescent="0.25">
      <c r="A1020" s="373">
        <v>32503</v>
      </c>
      <c r="B1020" s="233" t="str">
        <f>VLOOKUP(Table8[[#This Row],[Document ID]],Table1[],2,FALSE)</f>
        <v>IDN</v>
      </c>
      <c r="C1020" s="233" t="str">
        <f>VLOOKUP(Table8[[#This Row],[Document ID]],Table1[],3,FALSE)</f>
        <v>Indonesia</v>
      </c>
      <c r="D1020" s="243" t="str">
        <f>VLOOKUP(Table8[[#This Row],[Document ID]],Table1[],5,FALSE)</f>
        <v>NDC</v>
      </c>
      <c r="E1020" s="233" t="str">
        <f>VLOOKUP(Table8[[#This Row],[Document ID]],Table1[],7,FALSE)</f>
        <v>First NDC updated</v>
      </c>
      <c r="F1020" s="233" t="str">
        <f>VLOOKUP(Table8[[#This Row],[Document ID]],Table1[],8,FALSE)</f>
        <v>NDC 1.2</v>
      </c>
      <c r="G1020" s="233" t="str">
        <f>VLOOKUP(Table8[[#This Row],[Document ID]],Table1[],10,FALSE)</f>
        <v>Active</v>
      </c>
      <c r="H1020" s="44" t="s">
        <v>2329</v>
      </c>
      <c r="I1020" s="44" t="s">
        <v>2330</v>
      </c>
      <c r="J1020" s="44" t="s">
        <v>2357</v>
      </c>
      <c r="K1020" s="44" t="s">
        <v>3307</v>
      </c>
      <c r="L1020" s="44" t="s">
        <v>2333</v>
      </c>
      <c r="M1020" s="43">
        <v>25</v>
      </c>
      <c r="N1020" s="113" t="s">
        <v>1113</v>
      </c>
      <c r="O1020" s="113"/>
      <c r="P1020" s="113"/>
      <c r="Q1020" s="113"/>
      <c r="R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t="s">
        <v>1113</v>
      </c>
      <c r="AL1020" s="113"/>
      <c r="AM1020" s="113"/>
      <c r="AN1020" s="113"/>
      <c r="AO1020" s="44" t="s">
        <v>2334</v>
      </c>
      <c r="AP1020" s="43"/>
      <c r="AQ1020" s="236" t="str">
        <f>VLOOKUP(Table8[[#This Row],[Instrument]],Def_Targets!$D$73:$E$159,2,FALSE)</f>
        <v>I_Biofuel</v>
      </c>
      <c r="AR1020" s="233" t="str">
        <f>VLOOKUP(Table8[[#This Row],[Country Code]],Table29[],3,FALSE)</f>
        <v>Non-Annex I</v>
      </c>
      <c r="AS1020" s="233" t="str">
        <f>VLOOKUP(Table8[[#This Row],[Country Code]],Table29[],4,FALSE)</f>
        <v>Asia</v>
      </c>
      <c r="AT1020" s="233" t="str">
        <f>VLOOKUP(Table8[[#This Row],[Country Code]],Table29[],5,FALSE)</f>
        <v>Middle-income</v>
      </c>
      <c r="AU1020" s="233" t="str">
        <f>VLOOKUP(Table8[[#This Row],[Country Code]],Table29[],6,FALSE)</f>
        <v>G20</v>
      </c>
      <c r="AV1020" s="233" t="str">
        <f>VLOOKUP(Table8[[#This Row],[Country Code]],Table29[],7,FALSE)</f>
        <v>no</v>
      </c>
      <c r="AW1020" s="233" t="str">
        <f>VLOOKUP(Table8[[#This Row],[Country Code]],Table29[],8,FALSE)</f>
        <v>non-OECD</v>
      </c>
      <c r="AX1020" s="233" t="str">
        <f>VLOOKUP(Table8[[#This Row],[Country Code]],Table29[],9,FALSE)</f>
        <v>no</v>
      </c>
      <c r="AY1020" s="233" t="str">
        <f>VLOOKUP(Table8[[#This Row],[Country Code]],Table29[],10,FALSE)</f>
        <v>no</v>
      </c>
      <c r="AZ1020" s="235">
        <f>VLOOKUP(Table8[[#This Row],[Country Code]],Table29[],23,FALSE)</f>
        <v>1200.1997867973</v>
      </c>
      <c r="BA1020" s="235">
        <f>VLOOKUP(Table8[[#This Row],[Country Code]],Table29[],24,FALSE)</f>
        <v>152.1133830762208</v>
      </c>
      <c r="BB1020" s="320"/>
      <c r="BC1020" s="320"/>
    </row>
    <row r="1021" spans="1:55" ht="30" hidden="1" x14ac:dyDescent="0.25">
      <c r="A1021" s="373">
        <v>23939</v>
      </c>
      <c r="B1021" s="233" t="str">
        <f>VLOOKUP(Table8[[#This Row],[Document ID]],Table1[],2,FALSE)</f>
        <v>IRQ</v>
      </c>
      <c r="C1021" s="233" t="str">
        <f>VLOOKUP(Table8[[#This Row],[Document ID]],Table1[],3,FALSE)</f>
        <v>Iraq</v>
      </c>
      <c r="D1021" s="243" t="str">
        <f>VLOOKUP(Table8[[#This Row],[Document ID]],Table1[],5,FALSE)</f>
        <v>NDC</v>
      </c>
      <c r="E1021" s="233" t="str">
        <f>VLOOKUP(Table8[[#This Row],[Document ID]],Table1[],7,FALSE)</f>
        <v>First NDC</v>
      </c>
      <c r="F1021" s="233" t="str">
        <f>VLOOKUP(Table8[[#This Row],[Document ID]],Table1[],8,FALSE)</f>
        <v>NDC 1.0</v>
      </c>
      <c r="G1021" s="233" t="str">
        <f>VLOOKUP(Table8[[#This Row],[Document ID]],Table1[],10,FALSE)</f>
        <v>Active</v>
      </c>
      <c r="H1021" s="43" t="s">
        <v>2343</v>
      </c>
      <c r="I1021" s="43" t="s">
        <v>2344</v>
      </c>
      <c r="J1021" s="44" t="s">
        <v>2345</v>
      </c>
      <c r="K1021" s="44" t="s">
        <v>3308</v>
      </c>
      <c r="L1021" s="44" t="s">
        <v>2347</v>
      </c>
      <c r="M1021" s="43">
        <v>16</v>
      </c>
      <c r="N1021" s="113"/>
      <c r="O1021" s="113"/>
      <c r="P1021" s="113"/>
      <c r="Q1021" s="113"/>
      <c r="R1021" s="113"/>
      <c r="S1021" s="113"/>
      <c r="T1021" s="113"/>
      <c r="U1021" s="113"/>
      <c r="V1021" s="113"/>
      <c r="W1021" s="113"/>
      <c r="X1021" s="113"/>
      <c r="Y1021" s="113"/>
      <c r="Z1021" s="113" t="s">
        <v>1113</v>
      </c>
      <c r="AA1021" s="113"/>
      <c r="AB1021" s="113"/>
      <c r="AC1021" s="113" t="s">
        <v>1113</v>
      </c>
      <c r="AD1021" s="113"/>
      <c r="AE1021" s="113"/>
      <c r="AF1021" s="113"/>
      <c r="AG1021" s="113"/>
      <c r="AH1021" s="113"/>
      <c r="AI1021" s="113"/>
      <c r="AJ1021" s="113"/>
      <c r="AK1021" s="113" t="s">
        <v>1113</v>
      </c>
      <c r="AL1021" s="113"/>
      <c r="AM1021" s="113"/>
      <c r="AN1021" s="113"/>
      <c r="AO1021" s="43" t="s">
        <v>2348</v>
      </c>
      <c r="AP1021" s="43"/>
      <c r="AQ1021" s="236" t="str">
        <f>VLOOKUP(Table8[[#This Row],[Instrument]],Def_Targets!$D$73:$E$159,2,FALSE)</f>
        <v>S_PublicTransport</v>
      </c>
      <c r="AR1021" s="233" t="str">
        <f>VLOOKUP(Table8[[#This Row],[Country Code]],Table29[],3,FALSE)</f>
        <v>Non-Annex I</v>
      </c>
      <c r="AS1021" s="233" t="str">
        <f>VLOOKUP(Table8[[#This Row],[Country Code]],Table29[],4,FALSE)</f>
        <v>Asia</v>
      </c>
      <c r="AT1021" s="233" t="str">
        <f>VLOOKUP(Table8[[#This Row],[Country Code]],Table29[],5,FALSE)</f>
        <v>Middle-income</v>
      </c>
      <c r="AU1021" s="233" t="str">
        <f>VLOOKUP(Table8[[#This Row],[Country Code]],Table29[],6,FALSE)</f>
        <v>no</v>
      </c>
      <c r="AV1021" s="233" t="str">
        <f>VLOOKUP(Table8[[#This Row],[Country Code]],Table29[],7,FALSE)</f>
        <v>no</v>
      </c>
      <c r="AW1021" s="233" t="str">
        <f>VLOOKUP(Table8[[#This Row],[Country Code]],Table29[],8,FALSE)</f>
        <v>non-OECD</v>
      </c>
      <c r="AX1021" s="233" t="str">
        <f>VLOOKUP(Table8[[#This Row],[Country Code]],Table29[],9,FALSE)</f>
        <v>no</v>
      </c>
      <c r="AY1021" s="233" t="str">
        <f>VLOOKUP(Table8[[#This Row],[Country Code]],Table29[],10,FALSE)</f>
        <v>MENA</v>
      </c>
      <c r="AZ1021" s="235">
        <f>VLOOKUP(Table8[[#This Row],[Country Code]],Table29[],23,FALSE)</f>
        <v>362.78479656291</v>
      </c>
      <c r="BA1021" s="235">
        <f>VLOOKUP(Table8[[#This Row],[Country Code]],Table29[],24,FALSE)</f>
        <v>40.534963091292582</v>
      </c>
      <c r="BB1021" s="320"/>
      <c r="BC1021" s="320"/>
    </row>
    <row r="1022" spans="1:55" hidden="1" x14ac:dyDescent="0.25">
      <c r="A1022" s="373">
        <v>23939</v>
      </c>
      <c r="B1022" s="233" t="str">
        <f>VLOOKUP(Table8[[#This Row],[Document ID]],Table1[],2,FALSE)</f>
        <v>IRQ</v>
      </c>
      <c r="C1022" s="233" t="str">
        <f>VLOOKUP(Table8[[#This Row],[Document ID]],Table1[],3,FALSE)</f>
        <v>Iraq</v>
      </c>
      <c r="D1022" s="243" t="str">
        <f>VLOOKUP(Table8[[#This Row],[Document ID]],Table1[],5,FALSE)</f>
        <v>NDC</v>
      </c>
      <c r="E1022" s="233" t="str">
        <f>VLOOKUP(Table8[[#This Row],[Document ID]],Table1[],7,FALSE)</f>
        <v>First NDC</v>
      </c>
      <c r="F1022" s="233" t="str">
        <f>VLOOKUP(Table8[[#This Row],[Document ID]],Table1[],8,FALSE)</f>
        <v>NDC 1.0</v>
      </c>
      <c r="G1022" s="233" t="str">
        <f>VLOOKUP(Table8[[#This Row],[Document ID]],Table1[],10,FALSE)</f>
        <v>Active</v>
      </c>
      <c r="H1022" s="43" t="s">
        <v>2358</v>
      </c>
      <c r="I1022" s="43" t="s">
        <v>2359</v>
      </c>
      <c r="J1022" s="44" t="s">
        <v>2360</v>
      </c>
      <c r="K1022" s="44" t="s">
        <v>3309</v>
      </c>
      <c r="L1022" s="44" t="s">
        <v>2333</v>
      </c>
      <c r="M1022" s="43">
        <v>16</v>
      </c>
      <c r="N1022" s="113" t="s">
        <v>1113</v>
      </c>
      <c r="O1022" s="113"/>
      <c r="P1022" s="113"/>
      <c r="Q1022" s="113"/>
      <c r="R1022" s="113"/>
      <c r="S1022" s="113"/>
      <c r="T1022" s="113"/>
      <c r="U1022" s="113"/>
      <c r="V1022" s="113"/>
      <c r="W1022" s="113"/>
      <c r="X1022" s="113"/>
      <c r="Y1022" s="113"/>
      <c r="Z1022" s="113"/>
      <c r="AA1022" s="113"/>
      <c r="AB1022" s="113"/>
      <c r="AC1022" s="113"/>
      <c r="AD1022" s="113"/>
      <c r="AE1022" s="113"/>
      <c r="AF1022" s="113"/>
      <c r="AG1022" s="113"/>
      <c r="AH1022" s="113"/>
      <c r="AI1022" s="113"/>
      <c r="AJ1022" s="113"/>
      <c r="AK1022" s="113" t="s">
        <v>1113</v>
      </c>
      <c r="AL1022" s="113"/>
      <c r="AM1022" s="113"/>
      <c r="AN1022" s="113"/>
      <c r="AO1022" s="44" t="s">
        <v>2334</v>
      </c>
      <c r="AP1022" s="43"/>
      <c r="AQ1022" s="236" t="str">
        <f>VLOOKUP(Table8[[#This Row],[Instrument]],Def_Targets!$D$73:$E$159,2,FALSE)</f>
        <v>I_Emobility</v>
      </c>
      <c r="AR1022" s="233" t="str">
        <f>VLOOKUP(Table8[[#This Row],[Country Code]],Table29[],3,FALSE)</f>
        <v>Non-Annex I</v>
      </c>
      <c r="AS1022" s="233" t="str">
        <f>VLOOKUP(Table8[[#This Row],[Country Code]],Table29[],4,FALSE)</f>
        <v>Asia</v>
      </c>
      <c r="AT1022" s="233" t="str">
        <f>VLOOKUP(Table8[[#This Row],[Country Code]],Table29[],5,FALSE)</f>
        <v>Middle-income</v>
      </c>
      <c r="AU1022" s="233" t="str">
        <f>VLOOKUP(Table8[[#This Row],[Country Code]],Table29[],6,FALSE)</f>
        <v>no</v>
      </c>
      <c r="AV1022" s="233" t="str">
        <f>VLOOKUP(Table8[[#This Row],[Country Code]],Table29[],7,FALSE)</f>
        <v>no</v>
      </c>
      <c r="AW1022" s="233" t="str">
        <f>VLOOKUP(Table8[[#This Row],[Country Code]],Table29[],8,FALSE)</f>
        <v>non-OECD</v>
      </c>
      <c r="AX1022" s="233" t="str">
        <f>VLOOKUP(Table8[[#This Row],[Country Code]],Table29[],9,FALSE)</f>
        <v>no</v>
      </c>
      <c r="AY1022" s="233" t="str">
        <f>VLOOKUP(Table8[[#This Row],[Country Code]],Table29[],10,FALSE)</f>
        <v>MENA</v>
      </c>
      <c r="AZ1022" s="235">
        <f>VLOOKUP(Table8[[#This Row],[Country Code]],Table29[],23,FALSE)</f>
        <v>362.78479656291</v>
      </c>
      <c r="BA1022" s="235">
        <f>VLOOKUP(Table8[[#This Row],[Country Code]],Table29[],24,FALSE)</f>
        <v>40.534963091292582</v>
      </c>
      <c r="BB1022" s="320"/>
      <c r="BC1022" s="320"/>
    </row>
    <row r="1023" spans="1:55" hidden="1" x14ac:dyDescent="0.25">
      <c r="A1023" s="373">
        <v>23939</v>
      </c>
      <c r="B1023" s="233" t="str">
        <f>VLOOKUP(Table8[[#This Row],[Document ID]],Table1[],2,FALSE)</f>
        <v>IRQ</v>
      </c>
      <c r="C1023" s="233" t="str">
        <f>VLOOKUP(Table8[[#This Row],[Document ID]],Table1[],3,FALSE)</f>
        <v>Iraq</v>
      </c>
      <c r="D1023" s="243" t="str">
        <f>VLOOKUP(Table8[[#This Row],[Document ID]],Table1[],5,FALSE)</f>
        <v>NDC</v>
      </c>
      <c r="E1023" s="233" t="str">
        <f>VLOOKUP(Table8[[#This Row],[Document ID]],Table1[],7,FALSE)</f>
        <v>First NDC</v>
      </c>
      <c r="F1023" s="233" t="str">
        <f>VLOOKUP(Table8[[#This Row],[Document ID]],Table1[],8,FALSE)</f>
        <v>NDC 1.0</v>
      </c>
      <c r="G1023" s="233" t="str">
        <f>VLOOKUP(Table8[[#This Row],[Document ID]],Table1[],10,FALSE)</f>
        <v>Active</v>
      </c>
      <c r="H1023" s="43" t="s">
        <v>2484</v>
      </c>
      <c r="I1023" s="43" t="s">
        <v>2488</v>
      </c>
      <c r="J1023" s="44" t="s">
        <v>3207</v>
      </c>
      <c r="K1023" s="44" t="s">
        <v>3310</v>
      </c>
      <c r="L1023" s="44" t="s">
        <v>2333</v>
      </c>
      <c r="M1023" s="43">
        <v>16</v>
      </c>
      <c r="N1023" s="113"/>
      <c r="O1023" s="113"/>
      <c r="P1023" s="113"/>
      <c r="Q1023" s="113"/>
      <c r="R1023" s="113"/>
      <c r="S1023" s="113"/>
      <c r="T1023" s="113"/>
      <c r="U1023" s="113"/>
      <c r="V1023" s="113"/>
      <c r="W1023" s="113"/>
      <c r="X1023" s="113"/>
      <c r="Y1023" s="113"/>
      <c r="Z1023" s="113"/>
      <c r="AA1023" s="113"/>
      <c r="AB1023" s="113"/>
      <c r="AC1023" s="113"/>
      <c r="AD1023" s="113"/>
      <c r="AE1023" s="113"/>
      <c r="AF1023" s="113"/>
      <c r="AG1023" s="113"/>
      <c r="AH1023" s="113" t="s">
        <v>1113</v>
      </c>
      <c r="AI1023" s="113"/>
      <c r="AJ1023" s="113"/>
      <c r="AK1023" s="113" t="s">
        <v>1113</v>
      </c>
      <c r="AL1023" s="113"/>
      <c r="AM1023" s="113"/>
      <c r="AN1023" s="113"/>
      <c r="AO1023" s="44" t="s">
        <v>2334</v>
      </c>
      <c r="AP1023" s="43"/>
      <c r="AQ1023" s="236" t="str">
        <f>VLOOKUP(Table8[[#This Row],[Instrument]],Def_Targets!$D$73:$E$159,2,FALSE)</f>
        <v>I_Aircraftfleet</v>
      </c>
      <c r="AR1023" s="233" t="str">
        <f>VLOOKUP(Table8[[#This Row],[Country Code]],Table29[],3,FALSE)</f>
        <v>Non-Annex I</v>
      </c>
      <c r="AS1023" s="233" t="str">
        <f>VLOOKUP(Table8[[#This Row],[Country Code]],Table29[],4,FALSE)</f>
        <v>Asia</v>
      </c>
      <c r="AT1023" s="233" t="str">
        <f>VLOOKUP(Table8[[#This Row],[Country Code]],Table29[],5,FALSE)</f>
        <v>Middle-income</v>
      </c>
      <c r="AU1023" s="233" t="str">
        <f>VLOOKUP(Table8[[#This Row],[Country Code]],Table29[],6,FALSE)</f>
        <v>no</v>
      </c>
      <c r="AV1023" s="233" t="str">
        <f>VLOOKUP(Table8[[#This Row],[Country Code]],Table29[],7,FALSE)</f>
        <v>no</v>
      </c>
      <c r="AW1023" s="233" t="str">
        <f>VLOOKUP(Table8[[#This Row],[Country Code]],Table29[],8,FALSE)</f>
        <v>non-OECD</v>
      </c>
      <c r="AX1023" s="233" t="str">
        <f>VLOOKUP(Table8[[#This Row],[Country Code]],Table29[],9,FALSE)</f>
        <v>no</v>
      </c>
      <c r="AY1023" s="233" t="str">
        <f>VLOOKUP(Table8[[#This Row],[Country Code]],Table29[],10,FALSE)</f>
        <v>MENA</v>
      </c>
      <c r="AZ1023" s="235">
        <f>VLOOKUP(Table8[[#This Row],[Country Code]],Table29[],23,FALSE)</f>
        <v>362.78479656291</v>
      </c>
      <c r="BA1023" s="235">
        <f>VLOOKUP(Table8[[#This Row],[Country Code]],Table29[],24,FALSE)</f>
        <v>40.534963091292582</v>
      </c>
      <c r="BB1023" s="320"/>
      <c r="BC1023" s="320"/>
    </row>
    <row r="1024" spans="1:55" ht="30" hidden="1" x14ac:dyDescent="0.25">
      <c r="A1024" s="373">
        <v>23939</v>
      </c>
      <c r="B1024" s="233" t="str">
        <f>VLOOKUP(Table8[[#This Row],[Document ID]],Table1[],2,FALSE)</f>
        <v>IRQ</v>
      </c>
      <c r="C1024" s="233" t="str">
        <f>VLOOKUP(Table8[[#This Row],[Document ID]],Table1[],3,FALSE)</f>
        <v>Iraq</v>
      </c>
      <c r="D1024" s="243" t="str">
        <f>VLOOKUP(Table8[[#This Row],[Document ID]],Table1[],5,FALSE)</f>
        <v>NDC</v>
      </c>
      <c r="E1024" s="233" t="str">
        <f>VLOOKUP(Table8[[#This Row],[Document ID]],Table1[],7,FALSE)</f>
        <v>First NDC</v>
      </c>
      <c r="F1024" s="233" t="str">
        <f>VLOOKUP(Table8[[#This Row],[Document ID]],Table1[],8,FALSE)</f>
        <v>NDC 1.0</v>
      </c>
      <c r="G1024" s="233" t="str">
        <f>VLOOKUP(Table8[[#This Row],[Document ID]],Table1[],10,FALSE)</f>
        <v>Active</v>
      </c>
      <c r="H1024" s="43" t="s">
        <v>2350</v>
      </c>
      <c r="I1024" s="43" t="s">
        <v>2351</v>
      </c>
      <c r="J1024" s="44" t="s">
        <v>2447</v>
      </c>
      <c r="K1024" s="44" t="s">
        <v>3311</v>
      </c>
      <c r="L1024" s="44" t="s">
        <v>2333</v>
      </c>
      <c r="M1024" s="43">
        <v>16</v>
      </c>
      <c r="N1024" s="113" t="s">
        <v>1113</v>
      </c>
      <c r="O1024" s="113"/>
      <c r="P1024" s="113"/>
      <c r="Q1024" s="113"/>
      <c r="R1024" s="113"/>
      <c r="S1024" s="113"/>
      <c r="T1024" s="113"/>
      <c r="U1024" s="113"/>
      <c r="V1024" s="113"/>
      <c r="W1024" s="113"/>
      <c r="X1024" s="113"/>
      <c r="Y1024" s="113"/>
      <c r="Z1024" s="113"/>
      <c r="AA1024" s="113"/>
      <c r="AB1024" s="113"/>
      <c r="AC1024" s="113"/>
      <c r="AD1024" s="113"/>
      <c r="AE1024" s="113"/>
      <c r="AF1024" s="113"/>
      <c r="AG1024" s="113"/>
      <c r="AH1024" s="113"/>
      <c r="AI1024" s="113"/>
      <c r="AJ1024" s="113"/>
      <c r="AK1024" s="113"/>
      <c r="AL1024" s="113" t="s">
        <v>1113</v>
      </c>
      <c r="AM1024" s="113"/>
      <c r="AN1024" s="113"/>
      <c r="AO1024" s="43" t="s">
        <v>2353</v>
      </c>
      <c r="AP1024" s="43"/>
      <c r="AQ1024" s="236" t="str">
        <f>VLOOKUP(Table8[[#This Row],[Instrument]],Def_Targets!$D$73:$E$159,2,FALSE)</f>
        <v>I_Freighteff</v>
      </c>
      <c r="AR1024" s="233" t="str">
        <f>VLOOKUP(Table8[[#This Row],[Country Code]],Table29[],3,FALSE)</f>
        <v>Non-Annex I</v>
      </c>
      <c r="AS1024" s="233" t="str">
        <f>VLOOKUP(Table8[[#This Row],[Country Code]],Table29[],4,FALSE)</f>
        <v>Asia</v>
      </c>
      <c r="AT1024" s="233" t="str">
        <f>VLOOKUP(Table8[[#This Row],[Country Code]],Table29[],5,FALSE)</f>
        <v>Middle-income</v>
      </c>
      <c r="AU1024" s="233" t="str">
        <f>VLOOKUP(Table8[[#This Row],[Country Code]],Table29[],6,FALSE)</f>
        <v>no</v>
      </c>
      <c r="AV1024" s="233" t="str">
        <f>VLOOKUP(Table8[[#This Row],[Country Code]],Table29[],7,FALSE)</f>
        <v>no</v>
      </c>
      <c r="AW1024" s="233" t="str">
        <f>VLOOKUP(Table8[[#This Row],[Country Code]],Table29[],8,FALSE)</f>
        <v>non-OECD</v>
      </c>
      <c r="AX1024" s="233" t="str">
        <f>VLOOKUP(Table8[[#This Row],[Country Code]],Table29[],9,FALSE)</f>
        <v>no</v>
      </c>
      <c r="AY1024" s="233" t="str">
        <f>VLOOKUP(Table8[[#This Row],[Country Code]],Table29[],10,FALSE)</f>
        <v>MENA</v>
      </c>
      <c r="AZ1024" s="235">
        <f>VLOOKUP(Table8[[#This Row],[Country Code]],Table29[],23,FALSE)</f>
        <v>362.78479656291</v>
      </c>
      <c r="BA1024" s="235">
        <f>VLOOKUP(Table8[[#This Row],[Country Code]],Table29[],24,FALSE)</f>
        <v>40.534963091292582</v>
      </c>
      <c r="BB1024" s="320"/>
      <c r="BC1024" s="320"/>
    </row>
    <row r="1025" spans="1:55" ht="30" hidden="1" x14ac:dyDescent="0.25">
      <c r="A1025" s="373">
        <v>23939</v>
      </c>
      <c r="B1025" s="233" t="str">
        <f>VLOOKUP(Table8[[#This Row],[Document ID]],Table1[],2,FALSE)</f>
        <v>IRQ</v>
      </c>
      <c r="C1025" s="233" t="str">
        <f>VLOOKUP(Table8[[#This Row],[Document ID]],Table1[],3,FALSE)</f>
        <v>Iraq</v>
      </c>
      <c r="D1025" s="243" t="str">
        <f>VLOOKUP(Table8[[#This Row],[Document ID]],Table1[],5,FALSE)</f>
        <v>NDC</v>
      </c>
      <c r="E1025" s="233" t="str">
        <f>VLOOKUP(Table8[[#This Row],[Document ID]],Table1[],7,FALSE)</f>
        <v>First NDC</v>
      </c>
      <c r="F1025" s="233" t="str">
        <f>VLOOKUP(Table8[[#This Row],[Document ID]],Table1[],8,FALSE)</f>
        <v>NDC 1.0</v>
      </c>
      <c r="G1025" s="233" t="str">
        <f>VLOOKUP(Table8[[#This Row],[Document ID]],Table1[],10,FALSE)</f>
        <v>Active</v>
      </c>
      <c r="H1025" s="43" t="s">
        <v>2343</v>
      </c>
      <c r="I1025" s="43" t="s">
        <v>2344</v>
      </c>
      <c r="J1025" s="44" t="s">
        <v>2405</v>
      </c>
      <c r="K1025" s="44" t="s">
        <v>3312</v>
      </c>
      <c r="L1025" s="44" t="s">
        <v>2333</v>
      </c>
      <c r="M1025" s="43">
        <v>16</v>
      </c>
      <c r="N1025" s="113"/>
      <c r="O1025" s="113"/>
      <c r="P1025" s="113"/>
      <c r="Q1025" s="113"/>
      <c r="R1025" s="113"/>
      <c r="S1025" s="113"/>
      <c r="T1025" s="113"/>
      <c r="U1025" s="113"/>
      <c r="V1025" s="113"/>
      <c r="W1025" s="113"/>
      <c r="X1025" s="113"/>
      <c r="Y1025" s="113" t="s">
        <v>1113</v>
      </c>
      <c r="Z1025" s="113"/>
      <c r="AA1025" s="113"/>
      <c r="AB1025" s="113"/>
      <c r="AC1025" s="113" t="s">
        <v>1113</v>
      </c>
      <c r="AD1025" s="113"/>
      <c r="AE1025" s="113"/>
      <c r="AF1025" s="113"/>
      <c r="AG1025" s="113"/>
      <c r="AH1025" s="113"/>
      <c r="AI1025" s="113"/>
      <c r="AJ1025" s="113"/>
      <c r="AK1025" s="113" t="s">
        <v>1113</v>
      </c>
      <c r="AL1025" s="113"/>
      <c r="AM1025" s="113"/>
      <c r="AN1025" s="113"/>
      <c r="AO1025" s="43" t="s">
        <v>2348</v>
      </c>
      <c r="AP1025" s="43"/>
      <c r="AQ1025" s="236" t="str">
        <f>VLOOKUP(Table8[[#This Row],[Instrument]],Def_Targets!$D$73:$E$159,2,FALSE)</f>
        <v>S_PTIntegration</v>
      </c>
      <c r="AR1025" s="233" t="str">
        <f>VLOOKUP(Table8[[#This Row],[Country Code]],Table29[],3,FALSE)</f>
        <v>Non-Annex I</v>
      </c>
      <c r="AS1025" s="233" t="str">
        <f>VLOOKUP(Table8[[#This Row],[Country Code]],Table29[],4,FALSE)</f>
        <v>Asia</v>
      </c>
      <c r="AT1025" s="233" t="str">
        <f>VLOOKUP(Table8[[#This Row],[Country Code]],Table29[],5,FALSE)</f>
        <v>Middle-income</v>
      </c>
      <c r="AU1025" s="233" t="str">
        <f>VLOOKUP(Table8[[#This Row],[Country Code]],Table29[],6,FALSE)</f>
        <v>no</v>
      </c>
      <c r="AV1025" s="233" t="str">
        <f>VLOOKUP(Table8[[#This Row],[Country Code]],Table29[],7,FALSE)</f>
        <v>no</v>
      </c>
      <c r="AW1025" s="233" t="str">
        <f>VLOOKUP(Table8[[#This Row],[Country Code]],Table29[],8,FALSE)</f>
        <v>non-OECD</v>
      </c>
      <c r="AX1025" s="233" t="str">
        <f>VLOOKUP(Table8[[#This Row],[Country Code]],Table29[],9,FALSE)</f>
        <v>no</v>
      </c>
      <c r="AY1025" s="233" t="str">
        <f>VLOOKUP(Table8[[#This Row],[Country Code]],Table29[],10,FALSE)</f>
        <v>MENA</v>
      </c>
      <c r="AZ1025" s="235">
        <f>VLOOKUP(Table8[[#This Row],[Country Code]],Table29[],23,FALSE)</f>
        <v>362.78479656291</v>
      </c>
      <c r="BA1025" s="235">
        <f>VLOOKUP(Table8[[#This Row],[Country Code]],Table29[],24,FALSE)</f>
        <v>40.534963091292582</v>
      </c>
      <c r="BB1025" s="320"/>
      <c r="BC1025" s="320"/>
    </row>
    <row r="1026" spans="1:55" hidden="1" x14ac:dyDescent="0.25">
      <c r="A1026" s="373">
        <v>17622</v>
      </c>
      <c r="B1026" s="233" t="str">
        <f>VLOOKUP(Table8[[#This Row],[Document ID]],Table1[],2,FALSE)</f>
        <v>ISR</v>
      </c>
      <c r="C1026" s="233" t="str">
        <f>VLOOKUP(Table8[[#This Row],[Document ID]],Table1[],3,FALSE)</f>
        <v>Israel</v>
      </c>
      <c r="D1026" s="243" t="str">
        <f>VLOOKUP(Table8[[#This Row],[Document ID]],Table1[],5,FALSE)</f>
        <v>NDC</v>
      </c>
      <c r="E1026" s="233" t="str">
        <f>VLOOKUP(Table8[[#This Row],[Document ID]],Table1[],7,FALSE)</f>
        <v>First NDC</v>
      </c>
      <c r="F1026" s="236" t="str">
        <f>VLOOKUP(Table8[[#This Row],[Document ID]],Table1[],8,FALSE)</f>
        <v>NDC 1.0</v>
      </c>
      <c r="G1026" s="236" t="str">
        <f>VLOOKUP(Table8[[#This Row],[Document ID]],Table1[],10,FALSE)</f>
        <v>Archived</v>
      </c>
      <c r="H1026" s="43" t="s">
        <v>2343</v>
      </c>
      <c r="I1026" s="43" t="s">
        <v>2344</v>
      </c>
      <c r="J1026" s="44" t="s">
        <v>2345</v>
      </c>
      <c r="K1026" s="44" t="s">
        <v>3313</v>
      </c>
      <c r="L1026" s="44" t="s">
        <v>2347</v>
      </c>
      <c r="M1026" s="43"/>
      <c r="N1026" s="113" t="s">
        <v>1113</v>
      </c>
      <c r="O1026" s="113"/>
      <c r="P1026" s="113"/>
      <c r="Q1026" s="113"/>
      <c r="R1026" s="113"/>
      <c r="S1026" s="113"/>
      <c r="T1026" s="113"/>
      <c r="U1026" s="113"/>
      <c r="V1026" s="113"/>
      <c r="W1026" s="113"/>
      <c r="X1026" s="113"/>
      <c r="Y1026" s="113"/>
      <c r="Z1026" s="113"/>
      <c r="AA1026" s="113"/>
      <c r="AB1026" s="113"/>
      <c r="AC1026" s="113"/>
      <c r="AD1026" s="113"/>
      <c r="AE1026" s="113"/>
      <c r="AF1026" s="113"/>
      <c r="AG1026" s="113"/>
      <c r="AH1026" s="113"/>
      <c r="AI1026" s="113"/>
      <c r="AJ1026" s="113"/>
      <c r="AK1026" s="319" t="s">
        <v>1113</v>
      </c>
      <c r="AL1026" s="319"/>
      <c r="AM1026" s="319"/>
      <c r="AN1026" s="319"/>
      <c r="AO1026" s="43" t="s">
        <v>2348</v>
      </c>
      <c r="AP1026" s="44"/>
      <c r="AQ1026" s="236" t="str">
        <f>VLOOKUP(Table8[[#This Row],[Instrument]],Def_Targets!$D$73:$E$159,2,FALSE)</f>
        <v>S_PublicTransport</v>
      </c>
      <c r="AR1026" s="233" t="str">
        <f>VLOOKUP(Table8[[#This Row],[Country Code]],Table29[],3,FALSE)</f>
        <v>Non-Annex I</v>
      </c>
      <c r="AS1026" s="233" t="str">
        <f>VLOOKUP(Table8[[#This Row],[Country Code]],Table29[],4,FALSE)</f>
        <v>Asia</v>
      </c>
      <c r="AT1026" s="233" t="str">
        <f>VLOOKUP(Table8[[#This Row],[Country Code]],Table29[],5,FALSE)</f>
        <v>High-income</v>
      </c>
      <c r="AU1026" s="233" t="str">
        <f>VLOOKUP(Table8[[#This Row],[Country Code]],Table29[],6,FALSE)</f>
        <v>no</v>
      </c>
      <c r="AV1026" s="233" t="str">
        <f>VLOOKUP(Table8[[#This Row],[Country Code]],Table29[],7,FALSE)</f>
        <v>no</v>
      </c>
      <c r="AW1026" s="233" t="str">
        <f>VLOOKUP(Table8[[#This Row],[Country Code]],Table29[],8,FALSE)</f>
        <v>OECD</v>
      </c>
      <c r="AX1026" s="233" t="str">
        <f>VLOOKUP(Table8[[#This Row],[Country Code]],Table29[],9,FALSE)</f>
        <v>no</v>
      </c>
      <c r="AY1026" s="233" t="str">
        <f>VLOOKUP(Table8[[#This Row],[Country Code]],Table29[],10,FALSE)</f>
        <v>MENA</v>
      </c>
      <c r="AZ1026" s="235">
        <f>VLOOKUP(Table8[[#This Row],[Country Code]],Table29[],23,FALSE)</f>
        <v>79.578174881425994</v>
      </c>
      <c r="BA1026" s="235">
        <f>VLOOKUP(Table8[[#This Row],[Country Code]],Table29[],24,FALSE)</f>
        <v>18.692155253646391</v>
      </c>
      <c r="BB1026" s="320"/>
      <c r="BC1026" s="320"/>
    </row>
    <row r="1027" spans="1:55" ht="45" hidden="1" x14ac:dyDescent="0.25">
      <c r="A1027" s="373">
        <v>17622</v>
      </c>
      <c r="B1027" s="233" t="str">
        <f>VLOOKUP(Table8[[#This Row],[Document ID]],Table1[],2,FALSE)</f>
        <v>ISR</v>
      </c>
      <c r="C1027" s="233" t="str">
        <f>VLOOKUP(Table8[[#This Row],[Document ID]],Table1[],3,FALSE)</f>
        <v>Israel</v>
      </c>
      <c r="D1027" s="243" t="str">
        <f>VLOOKUP(Table8[[#This Row],[Document ID]],Table1[],5,FALSE)</f>
        <v>NDC</v>
      </c>
      <c r="E1027" s="233" t="str">
        <f>VLOOKUP(Table8[[#This Row],[Document ID]],Table1[],7,FALSE)</f>
        <v>First NDC</v>
      </c>
      <c r="F1027" s="236" t="str">
        <f>VLOOKUP(Table8[[#This Row],[Document ID]],Table1[],8,FALSE)</f>
        <v>NDC 1.0</v>
      </c>
      <c r="G1027" s="236" t="str">
        <f>VLOOKUP(Table8[[#This Row],[Document ID]],Table1[],10,FALSE)</f>
        <v>Archived</v>
      </c>
      <c r="H1027" s="43" t="s">
        <v>2343</v>
      </c>
      <c r="I1027" s="43" t="s">
        <v>2344</v>
      </c>
      <c r="J1027" s="44" t="s">
        <v>2405</v>
      </c>
      <c r="K1027" s="44" t="s">
        <v>3314</v>
      </c>
      <c r="L1027" s="44" t="s">
        <v>2347</v>
      </c>
      <c r="M1027" s="43"/>
      <c r="N1027" s="113"/>
      <c r="O1027" s="113"/>
      <c r="P1027" s="113"/>
      <c r="Q1027" s="319"/>
      <c r="R1027" s="319"/>
      <c r="S1027" s="319"/>
      <c r="T1027" s="319"/>
      <c r="U1027" s="319"/>
      <c r="V1027" s="319"/>
      <c r="W1027" s="319"/>
      <c r="X1027" s="319"/>
      <c r="Y1027" s="319"/>
      <c r="Z1027" s="113" t="s">
        <v>1113</v>
      </c>
      <c r="AA1027" s="319"/>
      <c r="AB1027" s="319"/>
      <c r="AC1027" s="319"/>
      <c r="AD1027" s="319"/>
      <c r="AE1027" s="319"/>
      <c r="AF1027" s="319"/>
      <c r="AG1027" s="319"/>
      <c r="AH1027" s="319"/>
      <c r="AI1027" s="319"/>
      <c r="AJ1027" s="319"/>
      <c r="AK1027" s="319"/>
      <c r="AL1027" s="113" t="s">
        <v>1113</v>
      </c>
      <c r="AM1027" s="319"/>
      <c r="AN1027" s="319"/>
      <c r="AO1027" s="43" t="s">
        <v>2348</v>
      </c>
      <c r="AP1027" s="44"/>
      <c r="AQ1027" s="236" t="str">
        <f>VLOOKUP(Table8[[#This Row],[Instrument]],Def_Targets!$D$73:$E$159,2,FALSE)</f>
        <v>S_PTIntegration</v>
      </c>
      <c r="AR1027" s="233" t="str">
        <f>VLOOKUP(Table8[[#This Row],[Country Code]],Table29[],3,FALSE)</f>
        <v>Non-Annex I</v>
      </c>
      <c r="AS1027" s="233" t="str">
        <f>VLOOKUP(Table8[[#This Row],[Country Code]],Table29[],4,FALSE)</f>
        <v>Asia</v>
      </c>
      <c r="AT1027" s="233" t="str">
        <f>VLOOKUP(Table8[[#This Row],[Country Code]],Table29[],5,FALSE)</f>
        <v>High-income</v>
      </c>
      <c r="AU1027" s="233" t="str">
        <f>VLOOKUP(Table8[[#This Row],[Country Code]],Table29[],6,FALSE)</f>
        <v>no</v>
      </c>
      <c r="AV1027" s="233" t="str">
        <f>VLOOKUP(Table8[[#This Row],[Country Code]],Table29[],7,FALSE)</f>
        <v>no</v>
      </c>
      <c r="AW1027" s="233" t="str">
        <f>VLOOKUP(Table8[[#This Row],[Country Code]],Table29[],8,FALSE)</f>
        <v>OECD</v>
      </c>
      <c r="AX1027" s="233" t="str">
        <f>VLOOKUP(Table8[[#This Row],[Country Code]],Table29[],9,FALSE)</f>
        <v>no</v>
      </c>
      <c r="AY1027" s="233" t="str">
        <f>VLOOKUP(Table8[[#This Row],[Country Code]],Table29[],10,FALSE)</f>
        <v>MENA</v>
      </c>
      <c r="AZ1027" s="235">
        <f>VLOOKUP(Table8[[#This Row],[Country Code]],Table29[],23,FALSE)</f>
        <v>79.578174881425994</v>
      </c>
      <c r="BA1027" s="235">
        <f>VLOOKUP(Table8[[#This Row],[Country Code]],Table29[],24,FALSE)</f>
        <v>18.692155253646391</v>
      </c>
      <c r="BB1027" s="320"/>
      <c r="BC1027" s="320"/>
    </row>
    <row r="1028" spans="1:55" ht="30" hidden="1" x14ac:dyDescent="0.25">
      <c r="A1028" s="373">
        <v>21254</v>
      </c>
      <c r="B1028" s="233" t="str">
        <f>VLOOKUP(Table8[[#This Row],[Document ID]],Table1[],2,FALSE)</f>
        <v>ISR</v>
      </c>
      <c r="C1028" s="233" t="str">
        <f>VLOOKUP(Table8[[#This Row],[Document ID]],Table1[],3,FALSE)</f>
        <v>Israel</v>
      </c>
      <c r="D1028" s="243" t="str">
        <f>VLOOKUP(Table8[[#This Row],[Document ID]],Table1[],5,FALSE)</f>
        <v>NDC</v>
      </c>
      <c r="E1028" s="233" t="str">
        <f>VLOOKUP(Table8[[#This Row],[Document ID]],Table1[],7,FALSE)</f>
        <v>First NDC updated</v>
      </c>
      <c r="F1028" s="233" t="str">
        <f>VLOOKUP(Table8[[#This Row],[Document ID]],Table1[],8,FALSE)</f>
        <v>NDC 1.1</v>
      </c>
      <c r="G1028" s="233" t="str">
        <f>VLOOKUP(Table8[[#This Row],[Document ID]],Table1[],10,FALSE)</f>
        <v>Active</v>
      </c>
      <c r="H1028" s="43" t="s">
        <v>2358</v>
      </c>
      <c r="I1028" s="43" t="s">
        <v>2359</v>
      </c>
      <c r="J1028" s="44" t="s">
        <v>2360</v>
      </c>
      <c r="K1028" s="44" t="s">
        <v>1666</v>
      </c>
      <c r="L1028" s="44" t="s">
        <v>2333</v>
      </c>
      <c r="M1028" s="43">
        <v>2</v>
      </c>
      <c r="N1028" s="113"/>
      <c r="O1028" s="113"/>
      <c r="P1028" s="113"/>
      <c r="Q1028" s="113"/>
      <c r="R1028" s="113"/>
      <c r="S1028" s="113"/>
      <c r="T1028" s="113"/>
      <c r="U1028" s="113"/>
      <c r="V1028" s="113"/>
      <c r="W1028" s="113"/>
      <c r="X1028" s="113"/>
      <c r="Y1028" s="113" t="s">
        <v>1113</v>
      </c>
      <c r="Z1028" s="113"/>
      <c r="AA1028" s="113"/>
      <c r="AB1028" s="113"/>
      <c r="AC1028" s="113"/>
      <c r="AD1028" s="113"/>
      <c r="AE1028" s="113"/>
      <c r="AF1028" s="113"/>
      <c r="AG1028" s="113"/>
      <c r="AH1028" s="113"/>
      <c r="AI1028" s="113"/>
      <c r="AJ1028" s="113"/>
      <c r="AK1028" s="113"/>
      <c r="AL1028" s="113" t="s">
        <v>1113</v>
      </c>
      <c r="AM1028" s="113"/>
      <c r="AN1028" s="113"/>
      <c r="AO1028" s="43" t="s">
        <v>2348</v>
      </c>
      <c r="AP1028" s="43"/>
      <c r="AQ1028" s="236" t="str">
        <f>VLOOKUP(Table8[[#This Row],[Instrument]],Def_Targets!$D$73:$E$159,2,FALSE)</f>
        <v>I_Emobility</v>
      </c>
      <c r="AR1028" s="233" t="str">
        <f>VLOOKUP(Table8[[#This Row],[Country Code]],Table29[],3,FALSE)</f>
        <v>Non-Annex I</v>
      </c>
      <c r="AS1028" s="233" t="str">
        <f>VLOOKUP(Table8[[#This Row],[Country Code]],Table29[],4,FALSE)</f>
        <v>Asia</v>
      </c>
      <c r="AT1028" s="233" t="str">
        <f>VLOOKUP(Table8[[#This Row],[Country Code]],Table29[],5,FALSE)</f>
        <v>High-income</v>
      </c>
      <c r="AU1028" s="233" t="str">
        <f>VLOOKUP(Table8[[#This Row],[Country Code]],Table29[],6,FALSE)</f>
        <v>no</v>
      </c>
      <c r="AV1028" s="233" t="str">
        <f>VLOOKUP(Table8[[#This Row],[Country Code]],Table29[],7,FALSE)</f>
        <v>no</v>
      </c>
      <c r="AW1028" s="233" t="str">
        <f>VLOOKUP(Table8[[#This Row],[Country Code]],Table29[],8,FALSE)</f>
        <v>OECD</v>
      </c>
      <c r="AX1028" s="233" t="str">
        <f>VLOOKUP(Table8[[#This Row],[Country Code]],Table29[],9,FALSE)</f>
        <v>no</v>
      </c>
      <c r="AY1028" s="233" t="str">
        <f>VLOOKUP(Table8[[#This Row],[Country Code]],Table29[],10,FALSE)</f>
        <v>MENA</v>
      </c>
      <c r="AZ1028" s="235">
        <f>VLOOKUP(Table8[[#This Row],[Country Code]],Table29[],23,FALSE)</f>
        <v>79.578174881425994</v>
      </c>
      <c r="BA1028" s="235">
        <f>VLOOKUP(Table8[[#This Row],[Country Code]],Table29[],24,FALSE)</f>
        <v>18.692155253646391</v>
      </c>
      <c r="BB1028" s="320"/>
      <c r="BC1028" s="320"/>
    </row>
    <row r="1029" spans="1:55" ht="90" hidden="1" x14ac:dyDescent="0.25">
      <c r="A1029" s="373">
        <v>21254</v>
      </c>
      <c r="B1029" s="233" t="str">
        <f>VLOOKUP(Table8[[#This Row],[Document ID]],Table1[],2,FALSE)</f>
        <v>ISR</v>
      </c>
      <c r="C1029" s="233" t="str">
        <f>VLOOKUP(Table8[[#This Row],[Document ID]],Table1[],3,FALSE)</f>
        <v>Israel</v>
      </c>
      <c r="D1029" s="243" t="str">
        <f>VLOOKUP(Table8[[#This Row],[Document ID]],Table1[],5,FALSE)</f>
        <v>NDC</v>
      </c>
      <c r="E1029" s="233" t="str">
        <f>VLOOKUP(Table8[[#This Row],[Document ID]],Table1[],7,FALSE)</f>
        <v>First NDC updated</v>
      </c>
      <c r="F1029" s="233" t="str">
        <f>VLOOKUP(Table8[[#This Row],[Document ID]],Table1[],8,FALSE)</f>
        <v>NDC 1.1</v>
      </c>
      <c r="G1029" s="233" t="str">
        <f>VLOOKUP(Table8[[#This Row],[Document ID]],Table1[],10,FALSE)</f>
        <v>Active</v>
      </c>
      <c r="H1029" s="44" t="s">
        <v>2338</v>
      </c>
      <c r="I1029" s="44" t="s">
        <v>2339</v>
      </c>
      <c r="J1029" s="44" t="s">
        <v>2340</v>
      </c>
      <c r="K1029" s="44" t="s">
        <v>3315</v>
      </c>
      <c r="L1029" s="44" t="s">
        <v>2333</v>
      </c>
      <c r="M1029" s="43">
        <v>2</v>
      </c>
      <c r="N1029" s="113"/>
      <c r="O1029" s="113"/>
      <c r="P1029" s="113"/>
      <c r="Q1029" s="113"/>
      <c r="R1029" s="113"/>
      <c r="S1029" s="113" t="s">
        <v>1113</v>
      </c>
      <c r="T1029" s="113"/>
      <c r="U1029" s="113"/>
      <c r="V1029" s="113"/>
      <c r="W1029" s="113"/>
      <c r="X1029" s="113"/>
      <c r="Y1029" s="113"/>
      <c r="Z1029" s="113"/>
      <c r="AA1029" s="113"/>
      <c r="AB1029" s="113"/>
      <c r="AC1029" s="113"/>
      <c r="AD1029" s="113"/>
      <c r="AE1029" s="113"/>
      <c r="AF1029" s="113"/>
      <c r="AG1029" s="113"/>
      <c r="AH1029" s="113"/>
      <c r="AI1029" s="113"/>
      <c r="AJ1029" s="113"/>
      <c r="AK1029" s="113" t="s">
        <v>1113</v>
      </c>
      <c r="AL1029" s="113"/>
      <c r="AM1029" s="113"/>
      <c r="AN1029" s="113"/>
      <c r="AO1029" s="44" t="s">
        <v>2334</v>
      </c>
      <c r="AP1029" s="43"/>
      <c r="AQ1029" s="236" t="str">
        <f>VLOOKUP(Table8[[#This Row],[Instrument]],Def_Targets!$D$73:$E$159,2,FALSE)</f>
        <v>I_Vehicleimprove</v>
      </c>
      <c r="AR1029" s="233" t="str">
        <f>VLOOKUP(Table8[[#This Row],[Country Code]],Table29[],3,FALSE)</f>
        <v>Non-Annex I</v>
      </c>
      <c r="AS1029" s="233" t="str">
        <f>VLOOKUP(Table8[[#This Row],[Country Code]],Table29[],4,FALSE)</f>
        <v>Asia</v>
      </c>
      <c r="AT1029" s="233" t="str">
        <f>VLOOKUP(Table8[[#This Row],[Country Code]],Table29[],5,FALSE)</f>
        <v>High-income</v>
      </c>
      <c r="AU1029" s="233" t="str">
        <f>VLOOKUP(Table8[[#This Row],[Country Code]],Table29[],6,FALSE)</f>
        <v>no</v>
      </c>
      <c r="AV1029" s="233" t="str">
        <f>VLOOKUP(Table8[[#This Row],[Country Code]],Table29[],7,FALSE)</f>
        <v>no</v>
      </c>
      <c r="AW1029" s="233" t="str">
        <f>VLOOKUP(Table8[[#This Row],[Country Code]],Table29[],8,FALSE)</f>
        <v>OECD</v>
      </c>
      <c r="AX1029" s="233" t="str">
        <f>VLOOKUP(Table8[[#This Row],[Country Code]],Table29[],9,FALSE)</f>
        <v>no</v>
      </c>
      <c r="AY1029" s="233" t="str">
        <f>VLOOKUP(Table8[[#This Row],[Country Code]],Table29[],10,FALSE)</f>
        <v>MENA</v>
      </c>
      <c r="AZ1029" s="235">
        <f>VLOOKUP(Table8[[#This Row],[Country Code]],Table29[],23,FALSE)</f>
        <v>79.578174881425994</v>
      </c>
      <c r="BA1029" s="235">
        <f>VLOOKUP(Table8[[#This Row],[Country Code]],Table29[],24,FALSE)</f>
        <v>18.692155253646391</v>
      </c>
      <c r="BB1029" s="320"/>
      <c r="BC1029" s="320"/>
    </row>
    <row r="1030" spans="1:55" hidden="1" x14ac:dyDescent="0.25">
      <c r="A1030" s="373">
        <v>21254</v>
      </c>
      <c r="B1030" s="233" t="str">
        <f>VLOOKUP(Table8[[#This Row],[Document ID]],Table1[],2,FALSE)</f>
        <v>ISR</v>
      </c>
      <c r="C1030" s="233" t="str">
        <f>VLOOKUP(Table8[[#This Row],[Document ID]],Table1[],3,FALSE)</f>
        <v>Israel</v>
      </c>
      <c r="D1030" s="243" t="str">
        <f>VLOOKUP(Table8[[#This Row],[Document ID]],Table1[],5,FALSE)</f>
        <v>NDC</v>
      </c>
      <c r="E1030" s="233" t="str">
        <f>VLOOKUP(Table8[[#This Row],[Document ID]],Table1[],7,FALSE)</f>
        <v>First NDC updated</v>
      </c>
      <c r="F1030" s="233" t="str">
        <f>VLOOKUP(Table8[[#This Row],[Document ID]],Table1[],8,FALSE)</f>
        <v>NDC 1.1</v>
      </c>
      <c r="G1030" s="233" t="str">
        <f>VLOOKUP(Table8[[#This Row],[Document ID]],Table1[],10,FALSE)</f>
        <v>Active</v>
      </c>
      <c r="H1030" s="43" t="s">
        <v>2358</v>
      </c>
      <c r="I1030" s="43" t="s">
        <v>2359</v>
      </c>
      <c r="J1030" s="44" t="s">
        <v>2383</v>
      </c>
      <c r="K1030" s="44" t="s">
        <v>3316</v>
      </c>
      <c r="L1030" s="44" t="s">
        <v>2333</v>
      </c>
      <c r="M1030" s="43">
        <v>2</v>
      </c>
      <c r="N1030" s="113" t="s">
        <v>1113</v>
      </c>
      <c r="O1030" s="113"/>
      <c r="P1030" s="113"/>
      <c r="Q1030" s="113"/>
      <c r="R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t="s">
        <v>1113</v>
      </c>
      <c r="AL1030" s="113"/>
      <c r="AM1030" s="113"/>
      <c r="AN1030" s="113"/>
      <c r="AO1030" s="44" t="s">
        <v>2334</v>
      </c>
      <c r="AP1030" s="43"/>
      <c r="AQ1030" s="236" t="str">
        <f>VLOOKUP(Table8[[#This Row],[Instrument]],Def_Targets!$D$73:$E$159,2,FALSE)</f>
        <v>I_Emobilitycharging</v>
      </c>
      <c r="AR1030" s="233" t="str">
        <f>VLOOKUP(Table8[[#This Row],[Country Code]],Table29[],3,FALSE)</f>
        <v>Non-Annex I</v>
      </c>
      <c r="AS1030" s="233" t="str">
        <f>VLOOKUP(Table8[[#This Row],[Country Code]],Table29[],4,FALSE)</f>
        <v>Asia</v>
      </c>
      <c r="AT1030" s="233" t="str">
        <f>VLOOKUP(Table8[[#This Row],[Country Code]],Table29[],5,FALSE)</f>
        <v>High-income</v>
      </c>
      <c r="AU1030" s="233" t="str">
        <f>VLOOKUP(Table8[[#This Row],[Country Code]],Table29[],6,FALSE)</f>
        <v>no</v>
      </c>
      <c r="AV1030" s="233" t="str">
        <f>VLOOKUP(Table8[[#This Row],[Country Code]],Table29[],7,FALSE)</f>
        <v>no</v>
      </c>
      <c r="AW1030" s="233" t="str">
        <f>VLOOKUP(Table8[[#This Row],[Country Code]],Table29[],8,FALSE)</f>
        <v>OECD</v>
      </c>
      <c r="AX1030" s="233" t="str">
        <f>VLOOKUP(Table8[[#This Row],[Country Code]],Table29[],9,FALSE)</f>
        <v>no</v>
      </c>
      <c r="AY1030" s="233" t="str">
        <f>VLOOKUP(Table8[[#This Row],[Country Code]],Table29[],10,FALSE)</f>
        <v>MENA</v>
      </c>
      <c r="AZ1030" s="235">
        <f>VLOOKUP(Table8[[#This Row],[Country Code]],Table29[],23,FALSE)</f>
        <v>79.578174881425994</v>
      </c>
      <c r="BA1030" s="235">
        <f>VLOOKUP(Table8[[#This Row],[Country Code]],Table29[],24,FALSE)</f>
        <v>18.692155253646391</v>
      </c>
      <c r="BB1030" s="320"/>
      <c r="BC1030" s="320"/>
    </row>
    <row r="1031" spans="1:55" hidden="1" x14ac:dyDescent="0.25">
      <c r="A1031" s="373">
        <v>17624</v>
      </c>
      <c r="B1031" s="233" t="str">
        <f>VLOOKUP(Table8[[#This Row],[Document ID]],Table1[],2,FALSE)</f>
        <v>JAM</v>
      </c>
      <c r="C1031" s="233" t="str">
        <f>VLOOKUP(Table8[[#This Row],[Document ID]],Table1[],3,FALSE)</f>
        <v>Jamaica</v>
      </c>
      <c r="D1031" s="243" t="str">
        <f>VLOOKUP(Table8[[#This Row],[Document ID]],Table1[],5,FALSE)</f>
        <v>NDC</v>
      </c>
      <c r="E1031" s="233" t="str">
        <f>VLOOKUP(Table8[[#This Row],[Document ID]],Table1[],7,FALSE)</f>
        <v>First NDC</v>
      </c>
      <c r="F1031" s="236" t="str">
        <f>VLOOKUP(Table8[[#This Row],[Document ID]],Table1[],8,FALSE)</f>
        <v>NDC 1.0</v>
      </c>
      <c r="G1031" s="236" t="str">
        <f>VLOOKUP(Table8[[#This Row],[Document ID]],Table1[],10,FALSE)</f>
        <v>Archived</v>
      </c>
      <c r="H1031" s="44" t="s">
        <v>2338</v>
      </c>
      <c r="I1031" s="44" t="s">
        <v>2339</v>
      </c>
      <c r="J1031" s="44" t="s">
        <v>2340</v>
      </c>
      <c r="K1031" s="44" t="s">
        <v>3317</v>
      </c>
      <c r="L1031" s="44" t="s">
        <v>2333</v>
      </c>
      <c r="M1031" s="43"/>
      <c r="N1031" s="113" t="s">
        <v>1113</v>
      </c>
      <c r="O1031" s="113"/>
      <c r="P1031" s="113"/>
      <c r="Q1031" s="319"/>
      <c r="R1031" s="319"/>
      <c r="S1031" s="319"/>
      <c r="T1031" s="319"/>
      <c r="U1031" s="319"/>
      <c r="V1031" s="319"/>
      <c r="W1031" s="319"/>
      <c r="X1031" s="319"/>
      <c r="Y1031" s="319"/>
      <c r="Z1031" s="319"/>
      <c r="AA1031" s="319"/>
      <c r="AB1031" s="319"/>
      <c r="AC1031" s="319"/>
      <c r="AD1031" s="319"/>
      <c r="AE1031" s="319"/>
      <c r="AF1031" s="319"/>
      <c r="AG1031" s="319"/>
      <c r="AH1031" s="319"/>
      <c r="AI1031" s="319"/>
      <c r="AJ1031" s="319"/>
      <c r="AK1031" s="319" t="s">
        <v>1113</v>
      </c>
      <c r="AL1031" s="319"/>
      <c r="AM1031" s="319"/>
      <c r="AN1031" s="319"/>
      <c r="AO1031" s="44" t="s">
        <v>2334</v>
      </c>
      <c r="AP1031" s="44"/>
      <c r="AQ1031" s="236" t="str">
        <f>VLOOKUP(Table8[[#This Row],[Instrument]],Def_Targets!$D$73:$E$159,2,FALSE)</f>
        <v>I_Vehicleimprove</v>
      </c>
      <c r="AR1031" s="233" t="str">
        <f>VLOOKUP(Table8[[#This Row],[Country Code]],Table29[],3,FALSE)</f>
        <v>Non-Annex I</v>
      </c>
      <c r="AS1031" s="233" t="str">
        <f>VLOOKUP(Table8[[#This Row],[Country Code]],Table29[],4,FALSE)</f>
        <v>Latin America and the Caribbean</v>
      </c>
      <c r="AT1031" s="233" t="str">
        <f>VLOOKUP(Table8[[#This Row],[Country Code]],Table29[],5,FALSE)</f>
        <v>Middle-income</v>
      </c>
      <c r="AU1031" s="233" t="str">
        <f>VLOOKUP(Table8[[#This Row],[Country Code]],Table29[],6,FALSE)</f>
        <v>no</v>
      </c>
      <c r="AV1031" s="233" t="str">
        <f>VLOOKUP(Table8[[#This Row],[Country Code]],Table29[],7,FALSE)</f>
        <v>no</v>
      </c>
      <c r="AW1031" s="233" t="str">
        <f>VLOOKUP(Table8[[#This Row],[Country Code]],Table29[],8,FALSE)</f>
        <v>non-OECD</v>
      </c>
      <c r="AX1031" s="233" t="str">
        <f>VLOOKUP(Table8[[#This Row],[Country Code]],Table29[],9,FALSE)</f>
        <v>no</v>
      </c>
      <c r="AY1031" s="233" t="str">
        <f>VLOOKUP(Table8[[#This Row],[Country Code]],Table29[],10,FALSE)</f>
        <v>no</v>
      </c>
      <c r="AZ1031" s="235">
        <f>VLOOKUP(Table8[[#This Row],[Country Code]],Table29[],23,FALSE)</f>
        <v>8.1629239257775001</v>
      </c>
      <c r="BA1031" s="235">
        <f>VLOOKUP(Table8[[#This Row],[Country Code]],Table29[],24,FALSE)</f>
        <v>2.4498640842511992</v>
      </c>
      <c r="BB1031" s="320"/>
      <c r="BC1031" s="320"/>
    </row>
    <row r="1032" spans="1:55" hidden="1" x14ac:dyDescent="0.25">
      <c r="A1032" s="373">
        <v>17626</v>
      </c>
      <c r="B1032" s="233" t="str">
        <f>VLOOKUP(Table8[[#This Row],[Document ID]],Table1[],2,FALSE)</f>
        <v>JPN</v>
      </c>
      <c r="C1032" s="233" t="str">
        <f>VLOOKUP(Table8[[#This Row],[Document ID]],Table1[],3,FALSE)</f>
        <v>Japan</v>
      </c>
      <c r="D1032" s="243" t="str">
        <f>VLOOKUP(Table8[[#This Row],[Document ID]],Table1[],5,FALSE)</f>
        <v>NDC</v>
      </c>
      <c r="E1032" s="233" t="str">
        <f>VLOOKUP(Table8[[#This Row],[Document ID]],Table1[],7,FALSE)</f>
        <v>First NDC</v>
      </c>
      <c r="F1032" s="236" t="str">
        <f>VLOOKUP(Table8[[#This Row],[Document ID]],Table1[],8,FALSE)</f>
        <v>NDC 1.0</v>
      </c>
      <c r="G1032" s="236" t="str">
        <f>VLOOKUP(Table8[[#This Row],[Document ID]],Table1[],10,FALSE)</f>
        <v>Archived</v>
      </c>
      <c r="H1032" s="43" t="s">
        <v>2350</v>
      </c>
      <c r="I1032" s="43" t="s">
        <v>2370</v>
      </c>
      <c r="J1032" s="44" t="s">
        <v>2511</v>
      </c>
      <c r="K1032" s="44" t="s">
        <v>3318</v>
      </c>
      <c r="L1032" s="44" t="s">
        <v>2333</v>
      </c>
      <c r="M1032" s="43"/>
      <c r="N1032" s="113"/>
      <c r="O1032" s="113"/>
      <c r="P1032" s="113"/>
      <c r="Q1032" s="319"/>
      <c r="R1032" s="319"/>
      <c r="S1032" s="319" t="s">
        <v>1113</v>
      </c>
      <c r="T1032" s="319"/>
      <c r="U1032" s="319"/>
      <c r="V1032" s="319"/>
      <c r="W1032" s="319"/>
      <c r="X1032" s="319"/>
      <c r="Y1032" s="319"/>
      <c r="Z1032" s="319"/>
      <c r="AA1032" s="319"/>
      <c r="AB1032" s="319"/>
      <c r="AC1032" s="319"/>
      <c r="AD1032" s="319"/>
      <c r="AE1032" s="319"/>
      <c r="AF1032" s="319"/>
      <c r="AG1032" s="319"/>
      <c r="AH1032" s="319"/>
      <c r="AI1032" s="319"/>
      <c r="AJ1032" s="319"/>
      <c r="AK1032" s="319" t="s">
        <v>1113</v>
      </c>
      <c r="AL1032" s="319"/>
      <c r="AM1032" s="319"/>
      <c r="AN1032" s="319"/>
      <c r="AO1032" s="44" t="s">
        <v>2334</v>
      </c>
      <c r="AP1032" s="44"/>
      <c r="AQ1032" s="236" t="str">
        <f>VLOOKUP(Table8[[#This Row],[Instrument]],Def_Targets!$D$73:$E$159,2,FALSE)</f>
        <v>A_LATM</v>
      </c>
      <c r="AR1032" s="233" t="str">
        <f>VLOOKUP(Table8[[#This Row],[Country Code]],Table29[],3,FALSE)</f>
        <v>Annex I</v>
      </c>
      <c r="AS1032" s="233" t="str">
        <f>VLOOKUP(Table8[[#This Row],[Country Code]],Table29[],4,FALSE)</f>
        <v>Asia</v>
      </c>
      <c r="AT1032" s="233" t="str">
        <f>VLOOKUP(Table8[[#This Row],[Country Code]],Table29[],5,FALSE)</f>
        <v>High-income</v>
      </c>
      <c r="AU1032" s="233" t="str">
        <f>VLOOKUP(Table8[[#This Row],[Country Code]],Table29[],6,FALSE)</f>
        <v>G20</v>
      </c>
      <c r="AV1032" s="233" t="str">
        <f>VLOOKUP(Table8[[#This Row],[Country Code]],Table29[],7,FALSE)</f>
        <v>G7</v>
      </c>
      <c r="AW1032" s="233" t="str">
        <f>VLOOKUP(Table8[[#This Row],[Country Code]],Table29[],8,FALSE)</f>
        <v>OECD</v>
      </c>
      <c r="AX1032" s="233" t="str">
        <f>VLOOKUP(Table8[[#This Row],[Country Code]],Table29[],9,FALSE)</f>
        <v>no</v>
      </c>
      <c r="AY1032" s="233" t="str">
        <f>VLOOKUP(Table8[[#This Row],[Country Code]],Table29[],10,FALSE)</f>
        <v>no</v>
      </c>
      <c r="AZ1032" s="235">
        <f>VLOOKUP(Table8[[#This Row],[Country Code]],Table29[],23,FALSE)</f>
        <v>1041.0128248686999</v>
      </c>
      <c r="BA1032" s="235">
        <f>VLOOKUP(Table8[[#This Row],[Country Code]],Table29[],24,FALSE)</f>
        <v>181.96191357547141</v>
      </c>
      <c r="BB1032" s="320"/>
      <c r="BC1032" s="320"/>
    </row>
    <row r="1033" spans="1:55" hidden="1" x14ac:dyDescent="0.25">
      <c r="A1033" s="373">
        <v>17626</v>
      </c>
      <c r="B1033" s="233" t="str">
        <f>VLOOKUP(Table8[[#This Row],[Document ID]],Table1[],2,FALSE)</f>
        <v>JPN</v>
      </c>
      <c r="C1033" s="233" t="str">
        <f>VLOOKUP(Table8[[#This Row],[Document ID]],Table1[],3,FALSE)</f>
        <v>Japan</v>
      </c>
      <c r="D1033" s="243" t="str">
        <f>VLOOKUP(Table8[[#This Row],[Document ID]],Table1[],5,FALSE)</f>
        <v>NDC</v>
      </c>
      <c r="E1033" s="233" t="str">
        <f>VLOOKUP(Table8[[#This Row],[Document ID]],Table1[],7,FALSE)</f>
        <v>First NDC</v>
      </c>
      <c r="F1033" s="236" t="str">
        <f>VLOOKUP(Table8[[#This Row],[Document ID]],Table1[],8,FALSE)</f>
        <v>NDC 1.0</v>
      </c>
      <c r="G1033" s="236" t="str">
        <f>VLOOKUP(Table8[[#This Row],[Document ID]],Table1[],10,FALSE)</f>
        <v>Archived</v>
      </c>
      <c r="H1033" s="43" t="s">
        <v>2350</v>
      </c>
      <c r="I1033" s="43" t="s">
        <v>2407</v>
      </c>
      <c r="J1033" s="44" t="s">
        <v>2592</v>
      </c>
      <c r="K1033" s="44" t="s">
        <v>3319</v>
      </c>
      <c r="L1033" s="44" t="s">
        <v>2333</v>
      </c>
      <c r="M1033" s="43"/>
      <c r="N1033" s="113" t="s">
        <v>1113</v>
      </c>
      <c r="O1033" s="113"/>
      <c r="P1033" s="113"/>
      <c r="Q1033" s="319"/>
      <c r="R1033" s="319"/>
      <c r="S1033" s="319"/>
      <c r="T1033" s="319"/>
      <c r="U1033" s="319"/>
      <c r="V1033" s="319"/>
      <c r="W1033" s="319"/>
      <c r="X1033" s="319"/>
      <c r="Y1033" s="319"/>
      <c r="Z1033" s="319"/>
      <c r="AA1033" s="319"/>
      <c r="AB1033" s="319"/>
      <c r="AC1033" s="319"/>
      <c r="AD1033" s="319"/>
      <c r="AE1033" s="319"/>
      <c r="AF1033" s="319"/>
      <c r="AG1033" s="319"/>
      <c r="AH1033" s="319"/>
      <c r="AI1033" s="319"/>
      <c r="AJ1033" s="319"/>
      <c r="AK1033" s="319" t="s">
        <v>1113</v>
      </c>
      <c r="AL1033" s="319"/>
      <c r="AM1033" s="319"/>
      <c r="AN1033" s="319"/>
      <c r="AO1033" s="44" t="s">
        <v>2334</v>
      </c>
      <c r="AP1033" s="44"/>
      <c r="AQ1033" s="236" t="str">
        <f>VLOOKUP(Table8[[#This Row],[Instrument]],Def_Targets!$D$73:$E$159,2,FALSE)</f>
        <v>I_Ecodriving</v>
      </c>
      <c r="AR1033" s="233" t="str">
        <f>VLOOKUP(Table8[[#This Row],[Country Code]],Table29[],3,FALSE)</f>
        <v>Annex I</v>
      </c>
      <c r="AS1033" s="233" t="str">
        <f>VLOOKUP(Table8[[#This Row],[Country Code]],Table29[],4,FALSE)</f>
        <v>Asia</v>
      </c>
      <c r="AT1033" s="233" t="str">
        <f>VLOOKUP(Table8[[#This Row],[Country Code]],Table29[],5,FALSE)</f>
        <v>High-income</v>
      </c>
      <c r="AU1033" s="233" t="str">
        <f>VLOOKUP(Table8[[#This Row],[Country Code]],Table29[],6,FALSE)</f>
        <v>G20</v>
      </c>
      <c r="AV1033" s="233" t="str">
        <f>VLOOKUP(Table8[[#This Row],[Country Code]],Table29[],7,FALSE)</f>
        <v>G7</v>
      </c>
      <c r="AW1033" s="233" t="str">
        <f>VLOOKUP(Table8[[#This Row],[Country Code]],Table29[],8,FALSE)</f>
        <v>OECD</v>
      </c>
      <c r="AX1033" s="233" t="str">
        <f>VLOOKUP(Table8[[#This Row],[Country Code]],Table29[],9,FALSE)</f>
        <v>no</v>
      </c>
      <c r="AY1033" s="233" t="str">
        <f>VLOOKUP(Table8[[#This Row],[Country Code]],Table29[],10,FALSE)</f>
        <v>no</v>
      </c>
      <c r="AZ1033" s="235">
        <f>VLOOKUP(Table8[[#This Row],[Country Code]],Table29[],23,FALSE)</f>
        <v>1041.0128248686999</v>
      </c>
      <c r="BA1033" s="235">
        <f>VLOOKUP(Table8[[#This Row],[Country Code]],Table29[],24,FALSE)</f>
        <v>181.96191357547141</v>
      </c>
      <c r="BB1033" s="320"/>
      <c r="BC1033" s="320"/>
    </row>
    <row r="1034" spans="1:55" hidden="1" x14ac:dyDescent="0.25">
      <c r="A1034" s="373">
        <v>17626</v>
      </c>
      <c r="B1034" s="233" t="str">
        <f>VLOOKUP(Table8[[#This Row],[Document ID]],Table1[],2,FALSE)</f>
        <v>JPN</v>
      </c>
      <c r="C1034" s="233" t="str">
        <f>VLOOKUP(Table8[[#This Row],[Document ID]],Table1[],3,FALSE)</f>
        <v>Japan</v>
      </c>
      <c r="D1034" s="243" t="str">
        <f>VLOOKUP(Table8[[#This Row],[Document ID]],Table1[],5,FALSE)</f>
        <v>NDC</v>
      </c>
      <c r="E1034" s="233" t="str">
        <f>VLOOKUP(Table8[[#This Row],[Document ID]],Table1[],7,FALSE)</f>
        <v>First NDC</v>
      </c>
      <c r="F1034" s="236" t="str">
        <f>VLOOKUP(Table8[[#This Row],[Document ID]],Table1[],8,FALSE)</f>
        <v>NDC 1.0</v>
      </c>
      <c r="G1034" s="236" t="str">
        <f>VLOOKUP(Table8[[#This Row],[Document ID]],Table1[],10,FALSE)</f>
        <v>Archived</v>
      </c>
      <c r="H1034" s="43" t="s">
        <v>2343</v>
      </c>
      <c r="I1034" s="43" t="s">
        <v>2429</v>
      </c>
      <c r="J1034" s="44" t="s">
        <v>2501</v>
      </c>
      <c r="K1034" s="44" t="s">
        <v>3319</v>
      </c>
      <c r="L1034" s="44" t="s">
        <v>2333</v>
      </c>
      <c r="M1034" s="43"/>
      <c r="N1034" s="113"/>
      <c r="O1034" s="113"/>
      <c r="P1034" s="113"/>
      <c r="Q1034" s="319"/>
      <c r="R1034" s="319"/>
      <c r="S1034" s="319"/>
      <c r="T1034" s="319"/>
      <c r="U1034" s="113" t="s">
        <v>1113</v>
      </c>
      <c r="V1034" s="319"/>
      <c r="W1034" s="319"/>
      <c r="X1034" s="319"/>
      <c r="Y1034" s="319"/>
      <c r="Z1034" s="319"/>
      <c r="AA1034" s="319"/>
      <c r="AB1034" s="319"/>
      <c r="AC1034" s="319"/>
      <c r="AD1034" s="319"/>
      <c r="AE1034" s="319"/>
      <c r="AF1034" s="319"/>
      <c r="AG1034" s="319"/>
      <c r="AH1034" s="319"/>
      <c r="AI1034" s="319"/>
      <c r="AJ1034" s="319"/>
      <c r="AK1034" s="319" t="s">
        <v>1113</v>
      </c>
      <c r="AL1034" s="319"/>
      <c r="AM1034" s="319"/>
      <c r="AN1034" s="319"/>
      <c r="AO1034" s="43" t="s">
        <v>2348</v>
      </c>
      <c r="AP1034" s="44"/>
      <c r="AQ1034" s="236" t="str">
        <f>VLOOKUP(Table8[[#This Row],[Instrument]],Def_Targets!$D$73:$E$159,2,FALSE)</f>
        <v>I_Autonomous</v>
      </c>
      <c r="AR1034" s="233" t="str">
        <f>VLOOKUP(Table8[[#This Row],[Country Code]],Table29[],3,FALSE)</f>
        <v>Annex I</v>
      </c>
      <c r="AS1034" s="233" t="str">
        <f>VLOOKUP(Table8[[#This Row],[Country Code]],Table29[],4,FALSE)</f>
        <v>Asia</v>
      </c>
      <c r="AT1034" s="233" t="str">
        <f>VLOOKUP(Table8[[#This Row],[Country Code]],Table29[],5,FALSE)</f>
        <v>High-income</v>
      </c>
      <c r="AU1034" s="233" t="str">
        <f>VLOOKUP(Table8[[#This Row],[Country Code]],Table29[],6,FALSE)</f>
        <v>G20</v>
      </c>
      <c r="AV1034" s="233" t="str">
        <f>VLOOKUP(Table8[[#This Row],[Country Code]],Table29[],7,FALSE)</f>
        <v>G7</v>
      </c>
      <c r="AW1034" s="233" t="str">
        <f>VLOOKUP(Table8[[#This Row],[Country Code]],Table29[],8,FALSE)</f>
        <v>OECD</v>
      </c>
      <c r="AX1034" s="233" t="str">
        <f>VLOOKUP(Table8[[#This Row],[Country Code]],Table29[],9,FALSE)</f>
        <v>no</v>
      </c>
      <c r="AY1034" s="233" t="str">
        <f>VLOOKUP(Table8[[#This Row],[Country Code]],Table29[],10,FALSE)</f>
        <v>no</v>
      </c>
      <c r="AZ1034" s="235">
        <f>VLOOKUP(Table8[[#This Row],[Country Code]],Table29[],23,FALSE)</f>
        <v>1041.0128248686999</v>
      </c>
      <c r="BA1034" s="235">
        <f>VLOOKUP(Table8[[#This Row],[Country Code]],Table29[],24,FALSE)</f>
        <v>181.96191357547141</v>
      </c>
      <c r="BB1034" s="320"/>
      <c r="BC1034" s="320"/>
    </row>
    <row r="1035" spans="1:55" hidden="1" x14ac:dyDescent="0.25">
      <c r="A1035" s="373">
        <v>17628</v>
      </c>
      <c r="B1035" s="233" t="str">
        <f>VLOOKUP(Table8[[#This Row],[Document ID]],Table1[],2,FALSE)</f>
        <v>JPN</v>
      </c>
      <c r="C1035" s="233" t="str">
        <f>VLOOKUP(Table8[[#This Row],[Document ID]],Table1[],3,FALSE)</f>
        <v>Japan</v>
      </c>
      <c r="D1035" s="243" t="str">
        <f>VLOOKUP(Table8[[#This Row],[Document ID]],Table1[],5,FALSE)</f>
        <v>NDC</v>
      </c>
      <c r="E1035" s="233" t="str">
        <f>VLOOKUP(Table8[[#This Row],[Document ID]],Table1[],7,FALSE)</f>
        <v>First NDC updated</v>
      </c>
      <c r="F1035" s="233" t="str">
        <f>VLOOKUP(Table8[[#This Row],[Document ID]],Table1[],8,FALSE)</f>
        <v>NDC 1.1</v>
      </c>
      <c r="G1035" s="233" t="str">
        <f>VLOOKUP(Table8[[#This Row],[Document ID]],Table1[],10,FALSE)</f>
        <v>Archived</v>
      </c>
      <c r="H1035" s="44" t="s">
        <v>2338</v>
      </c>
      <c r="I1035" s="44" t="s">
        <v>2339</v>
      </c>
      <c r="J1035" s="44" t="s">
        <v>2413</v>
      </c>
      <c r="K1035" s="44" t="s">
        <v>3320</v>
      </c>
      <c r="L1035" s="44" t="s">
        <v>2333</v>
      </c>
      <c r="M1035" s="43">
        <v>17</v>
      </c>
      <c r="N1035" s="113" t="s">
        <v>1113</v>
      </c>
      <c r="O1035" s="113"/>
      <c r="P1035" s="113"/>
      <c r="Q1035" s="113"/>
      <c r="R1035" s="113"/>
      <c r="S1035" s="113"/>
      <c r="T1035" s="113"/>
      <c r="U1035" s="113"/>
      <c r="V1035" s="113"/>
      <c r="W1035" s="113"/>
      <c r="X1035" s="113"/>
      <c r="Y1035" s="113"/>
      <c r="Z1035" s="113"/>
      <c r="AA1035" s="113"/>
      <c r="AB1035" s="113"/>
      <c r="AC1035" s="113"/>
      <c r="AD1035" s="113"/>
      <c r="AE1035" s="113"/>
      <c r="AF1035" s="113"/>
      <c r="AG1035" s="113"/>
      <c r="AH1035" s="113"/>
      <c r="AI1035" s="113"/>
      <c r="AJ1035" s="113"/>
      <c r="AK1035" s="319" t="s">
        <v>1113</v>
      </c>
      <c r="AL1035" s="113"/>
      <c r="AM1035" s="113"/>
      <c r="AN1035" s="113"/>
      <c r="AO1035" s="44" t="s">
        <v>2334</v>
      </c>
      <c r="AP1035" s="43"/>
      <c r="AQ1035" s="236" t="str">
        <f>VLOOKUP(Table8[[#This Row],[Instrument]],Def_Targets!$D$73:$E$159,2,FALSE)</f>
        <v>I_Vehicleeff</v>
      </c>
      <c r="AR1035" s="233" t="str">
        <f>VLOOKUP(Table8[[#This Row],[Country Code]],Table29[],3,FALSE)</f>
        <v>Annex I</v>
      </c>
      <c r="AS1035" s="233" t="str">
        <f>VLOOKUP(Table8[[#This Row],[Country Code]],Table29[],4,FALSE)</f>
        <v>Asia</v>
      </c>
      <c r="AT1035" s="233" t="str">
        <f>VLOOKUP(Table8[[#This Row],[Country Code]],Table29[],5,FALSE)</f>
        <v>High-income</v>
      </c>
      <c r="AU1035" s="233" t="str">
        <f>VLOOKUP(Table8[[#This Row],[Country Code]],Table29[],6,FALSE)</f>
        <v>G20</v>
      </c>
      <c r="AV1035" s="233" t="str">
        <f>VLOOKUP(Table8[[#This Row],[Country Code]],Table29[],7,FALSE)</f>
        <v>G7</v>
      </c>
      <c r="AW1035" s="233" t="str">
        <f>VLOOKUP(Table8[[#This Row],[Country Code]],Table29[],8,FALSE)</f>
        <v>OECD</v>
      </c>
      <c r="AX1035" s="233" t="str">
        <f>VLOOKUP(Table8[[#This Row],[Country Code]],Table29[],9,FALSE)</f>
        <v>no</v>
      </c>
      <c r="AY1035" s="233" t="str">
        <f>VLOOKUP(Table8[[#This Row],[Country Code]],Table29[],10,FALSE)</f>
        <v>no</v>
      </c>
      <c r="AZ1035" s="235">
        <f>VLOOKUP(Table8[[#This Row],[Country Code]],Table29[],23,FALSE)</f>
        <v>1041.0128248686999</v>
      </c>
      <c r="BA1035" s="235">
        <f>VLOOKUP(Table8[[#This Row],[Country Code]],Table29[],24,FALSE)</f>
        <v>181.96191357547141</v>
      </c>
      <c r="BB1035" s="320"/>
      <c r="BC1035" s="320"/>
    </row>
    <row r="1036" spans="1:55" hidden="1" x14ac:dyDescent="0.25">
      <c r="A1036" s="373">
        <v>17628</v>
      </c>
      <c r="B1036" s="233" t="str">
        <f>VLOOKUP(Table8[[#This Row],[Document ID]],Table1[],2,FALSE)</f>
        <v>JPN</v>
      </c>
      <c r="C1036" s="233" t="str">
        <f>VLOOKUP(Table8[[#This Row],[Document ID]],Table1[],3,FALSE)</f>
        <v>Japan</v>
      </c>
      <c r="D1036" s="243" t="str">
        <f>VLOOKUP(Table8[[#This Row],[Document ID]],Table1[],5,FALSE)</f>
        <v>NDC</v>
      </c>
      <c r="E1036" s="233" t="str">
        <f>VLOOKUP(Table8[[#This Row],[Document ID]],Table1[],7,FALSE)</f>
        <v>First NDC updated</v>
      </c>
      <c r="F1036" s="233" t="str">
        <f>VLOOKUP(Table8[[#This Row],[Document ID]],Table1[],8,FALSE)</f>
        <v>NDC 1.1</v>
      </c>
      <c r="G1036" s="233" t="str">
        <f>VLOOKUP(Table8[[#This Row],[Document ID]],Table1[],10,FALSE)</f>
        <v>Archived</v>
      </c>
      <c r="H1036" s="43" t="s">
        <v>2350</v>
      </c>
      <c r="I1036" s="43" t="s">
        <v>2370</v>
      </c>
      <c r="J1036" s="44" t="s">
        <v>2418</v>
      </c>
      <c r="K1036" s="44" t="s">
        <v>3321</v>
      </c>
      <c r="L1036" s="44" t="s">
        <v>2333</v>
      </c>
      <c r="M1036" s="43">
        <v>18</v>
      </c>
      <c r="N1036" s="113" t="s">
        <v>1113</v>
      </c>
      <c r="O1036" s="113"/>
      <c r="P1036" s="113"/>
      <c r="Q1036" s="113"/>
      <c r="R1036" s="113"/>
      <c r="S1036" s="113"/>
      <c r="T1036" s="113"/>
      <c r="U1036" s="113"/>
      <c r="V1036" s="113"/>
      <c r="W1036" s="113"/>
      <c r="X1036" s="113"/>
      <c r="Y1036" s="113"/>
      <c r="Z1036" s="113"/>
      <c r="AA1036" s="113"/>
      <c r="AB1036" s="113"/>
      <c r="AC1036" s="113"/>
      <c r="AD1036" s="113"/>
      <c r="AE1036" s="113"/>
      <c r="AF1036" s="113"/>
      <c r="AG1036" s="113"/>
      <c r="AH1036" s="113"/>
      <c r="AI1036" s="113"/>
      <c r="AJ1036" s="113"/>
      <c r="AK1036" s="319" t="s">
        <v>1113</v>
      </c>
      <c r="AL1036" s="113"/>
      <c r="AM1036" s="113"/>
      <c r="AN1036" s="113"/>
      <c r="AO1036" s="44" t="s">
        <v>2334</v>
      </c>
      <c r="AP1036" s="43"/>
      <c r="AQ1036" s="236" t="str">
        <f>VLOOKUP(Table8[[#This Row],[Instrument]],Def_Targets!$D$73:$E$159,2,FALSE)</f>
        <v>A_Complan</v>
      </c>
      <c r="AR1036" s="233" t="str">
        <f>VLOOKUP(Table8[[#This Row],[Country Code]],Table29[],3,FALSE)</f>
        <v>Annex I</v>
      </c>
      <c r="AS1036" s="233" t="str">
        <f>VLOOKUP(Table8[[#This Row],[Country Code]],Table29[],4,FALSE)</f>
        <v>Asia</v>
      </c>
      <c r="AT1036" s="233" t="str">
        <f>VLOOKUP(Table8[[#This Row],[Country Code]],Table29[],5,FALSE)</f>
        <v>High-income</v>
      </c>
      <c r="AU1036" s="233" t="str">
        <f>VLOOKUP(Table8[[#This Row],[Country Code]],Table29[],6,FALSE)</f>
        <v>G20</v>
      </c>
      <c r="AV1036" s="233" t="str">
        <f>VLOOKUP(Table8[[#This Row],[Country Code]],Table29[],7,FALSE)</f>
        <v>G7</v>
      </c>
      <c r="AW1036" s="233" t="str">
        <f>VLOOKUP(Table8[[#This Row],[Country Code]],Table29[],8,FALSE)</f>
        <v>OECD</v>
      </c>
      <c r="AX1036" s="233" t="str">
        <f>VLOOKUP(Table8[[#This Row],[Country Code]],Table29[],9,FALSE)</f>
        <v>no</v>
      </c>
      <c r="AY1036" s="233" t="str">
        <f>VLOOKUP(Table8[[#This Row],[Country Code]],Table29[],10,FALSE)</f>
        <v>no</v>
      </c>
      <c r="AZ1036" s="235">
        <f>VLOOKUP(Table8[[#This Row],[Country Code]],Table29[],23,FALSE)</f>
        <v>1041.0128248686999</v>
      </c>
      <c r="BA1036" s="235">
        <f>VLOOKUP(Table8[[#This Row],[Country Code]],Table29[],24,FALSE)</f>
        <v>181.96191357547141</v>
      </c>
      <c r="BB1036" s="320"/>
      <c r="BC1036" s="320"/>
    </row>
    <row r="1037" spans="1:55" ht="30" hidden="1" x14ac:dyDescent="0.25">
      <c r="A1037" s="373">
        <v>17628</v>
      </c>
      <c r="B1037" s="233" t="str">
        <f>VLOOKUP(Table8[[#This Row],[Document ID]],Table1[],2,FALSE)</f>
        <v>JPN</v>
      </c>
      <c r="C1037" s="233" t="str">
        <f>VLOOKUP(Table8[[#This Row],[Document ID]],Table1[],3,FALSE)</f>
        <v>Japan</v>
      </c>
      <c r="D1037" s="243" t="str">
        <f>VLOOKUP(Table8[[#This Row],[Document ID]],Table1[],5,FALSE)</f>
        <v>NDC</v>
      </c>
      <c r="E1037" s="233" t="str">
        <f>VLOOKUP(Table8[[#This Row],[Document ID]],Table1[],7,FALSE)</f>
        <v>First NDC updated</v>
      </c>
      <c r="F1037" s="233" t="str">
        <f>VLOOKUP(Table8[[#This Row],[Document ID]],Table1[],8,FALSE)</f>
        <v>NDC 1.1</v>
      </c>
      <c r="G1037" s="233" t="str">
        <f>VLOOKUP(Table8[[#This Row],[Document ID]],Table1[],10,FALSE)</f>
        <v>Archived</v>
      </c>
      <c r="H1037" s="43" t="s">
        <v>2350</v>
      </c>
      <c r="I1037" s="43" t="s">
        <v>2370</v>
      </c>
      <c r="J1037" s="44" t="s">
        <v>2371</v>
      </c>
      <c r="K1037" s="44" t="s">
        <v>3322</v>
      </c>
      <c r="L1037" s="44" t="s">
        <v>2373</v>
      </c>
      <c r="M1037" s="43">
        <v>18</v>
      </c>
      <c r="N1037" s="113" t="s">
        <v>1113</v>
      </c>
      <c r="O1037" s="113"/>
      <c r="P1037" s="113"/>
      <c r="Q1037" s="113"/>
      <c r="R1037" s="113"/>
      <c r="S1037" s="113"/>
      <c r="T1037" s="113"/>
      <c r="U1037" s="113"/>
      <c r="V1037" s="113"/>
      <c r="W1037" s="113"/>
      <c r="X1037" s="113"/>
      <c r="Y1037" s="113"/>
      <c r="Z1037" s="113"/>
      <c r="AA1037" s="113"/>
      <c r="AB1037" s="113"/>
      <c r="AC1037" s="113"/>
      <c r="AD1037" s="113"/>
      <c r="AE1037" s="113"/>
      <c r="AF1037" s="113"/>
      <c r="AG1037" s="113"/>
      <c r="AH1037" s="113"/>
      <c r="AI1037" s="113"/>
      <c r="AJ1037" s="113"/>
      <c r="AK1037" s="319" t="s">
        <v>1113</v>
      </c>
      <c r="AL1037" s="113"/>
      <c r="AM1037" s="113"/>
      <c r="AN1037" s="113"/>
      <c r="AO1037" s="44" t="s">
        <v>2334</v>
      </c>
      <c r="AP1037" s="43"/>
      <c r="AQ1037" s="236" t="str">
        <f>VLOOKUP(Table8[[#This Row],[Instrument]],Def_Targets!$D$73:$E$159,2,FALSE)</f>
        <v>A_Natmobplan</v>
      </c>
      <c r="AR1037" s="233" t="str">
        <f>VLOOKUP(Table8[[#This Row],[Country Code]],Table29[],3,FALSE)</f>
        <v>Annex I</v>
      </c>
      <c r="AS1037" s="233" t="str">
        <f>VLOOKUP(Table8[[#This Row],[Country Code]],Table29[],4,FALSE)</f>
        <v>Asia</v>
      </c>
      <c r="AT1037" s="233" t="str">
        <f>VLOOKUP(Table8[[#This Row],[Country Code]],Table29[],5,FALSE)</f>
        <v>High-income</v>
      </c>
      <c r="AU1037" s="233" t="str">
        <f>VLOOKUP(Table8[[#This Row],[Country Code]],Table29[],6,FALSE)</f>
        <v>G20</v>
      </c>
      <c r="AV1037" s="233" t="str">
        <f>VLOOKUP(Table8[[#This Row],[Country Code]],Table29[],7,FALSE)</f>
        <v>G7</v>
      </c>
      <c r="AW1037" s="233" t="str">
        <f>VLOOKUP(Table8[[#This Row],[Country Code]],Table29[],8,FALSE)</f>
        <v>OECD</v>
      </c>
      <c r="AX1037" s="233" t="str">
        <f>VLOOKUP(Table8[[#This Row],[Country Code]],Table29[],9,FALSE)</f>
        <v>no</v>
      </c>
      <c r="AY1037" s="233" t="str">
        <f>VLOOKUP(Table8[[#This Row],[Country Code]],Table29[],10,FALSE)</f>
        <v>no</v>
      </c>
      <c r="AZ1037" s="235">
        <f>VLOOKUP(Table8[[#This Row],[Country Code]],Table29[],23,FALSE)</f>
        <v>1041.0128248686999</v>
      </c>
      <c r="BA1037" s="235">
        <f>VLOOKUP(Table8[[#This Row],[Country Code]],Table29[],24,FALSE)</f>
        <v>181.96191357547141</v>
      </c>
      <c r="BB1037" s="320"/>
      <c r="BC1037" s="320"/>
    </row>
    <row r="1038" spans="1:55" hidden="1" x14ac:dyDescent="0.25">
      <c r="A1038" s="373">
        <v>17626</v>
      </c>
      <c r="B1038" s="233" t="str">
        <f>VLOOKUP(Table8[[#This Row],[Document ID]],Table1[],2,FALSE)</f>
        <v>JPN</v>
      </c>
      <c r="C1038" s="233" t="str">
        <f>VLOOKUP(Table8[[#This Row],[Document ID]],Table1[],3,FALSE)</f>
        <v>Japan</v>
      </c>
      <c r="D1038" s="243" t="str">
        <f>VLOOKUP(Table8[[#This Row],[Document ID]],Table1[],5,FALSE)</f>
        <v>NDC</v>
      </c>
      <c r="E1038" s="233" t="str">
        <f>VLOOKUP(Table8[[#This Row],[Document ID]],Table1[],7,FALSE)</f>
        <v>First NDC</v>
      </c>
      <c r="F1038" s="236" t="str">
        <f>VLOOKUP(Table8[[#This Row],[Document ID]],Table1[],8,FALSE)</f>
        <v>NDC 1.0</v>
      </c>
      <c r="G1038" s="236" t="str">
        <f>VLOOKUP(Table8[[#This Row],[Document ID]],Table1[],10,FALSE)</f>
        <v>Archived</v>
      </c>
      <c r="H1038" s="43" t="s">
        <v>2343</v>
      </c>
      <c r="I1038" s="43" t="s">
        <v>2429</v>
      </c>
      <c r="J1038" s="44" t="s">
        <v>2513</v>
      </c>
      <c r="K1038" s="44" t="s">
        <v>3319</v>
      </c>
      <c r="L1038" s="44" t="s">
        <v>2347</v>
      </c>
      <c r="M1038" s="43"/>
      <c r="N1038" s="113"/>
      <c r="O1038" s="113"/>
      <c r="P1038" s="113"/>
      <c r="Q1038" s="319"/>
      <c r="R1038" s="319"/>
      <c r="S1038" s="319"/>
      <c r="T1038" s="319"/>
      <c r="U1038" s="113" t="s">
        <v>1113</v>
      </c>
      <c r="V1038" s="319"/>
      <c r="W1038" s="319"/>
      <c r="X1038" s="319"/>
      <c r="Y1038" s="319"/>
      <c r="Z1038" s="319"/>
      <c r="AA1038" s="319"/>
      <c r="AB1038" s="319"/>
      <c r="AC1038" s="319"/>
      <c r="AD1038" s="319"/>
      <c r="AE1038" s="319"/>
      <c r="AF1038" s="319"/>
      <c r="AG1038" s="319"/>
      <c r="AH1038" s="319"/>
      <c r="AI1038" s="319"/>
      <c r="AJ1038" s="319"/>
      <c r="AK1038" s="319" t="s">
        <v>1113</v>
      </c>
      <c r="AL1038" s="319"/>
      <c r="AM1038" s="319"/>
      <c r="AN1038" s="319"/>
      <c r="AO1038" s="43" t="s">
        <v>2348</v>
      </c>
      <c r="AP1038" s="44"/>
      <c r="AQ1038" s="236" t="str">
        <f>VLOOKUP(Table8[[#This Row],[Instrument]],Def_Targets!$D$73:$E$159,2,FALSE)</f>
        <v>S_Sharedmob</v>
      </c>
      <c r="AR1038" s="233" t="str">
        <f>VLOOKUP(Table8[[#This Row],[Country Code]],Table29[],3,FALSE)</f>
        <v>Annex I</v>
      </c>
      <c r="AS1038" s="233" t="str">
        <f>VLOOKUP(Table8[[#This Row],[Country Code]],Table29[],4,FALSE)</f>
        <v>Asia</v>
      </c>
      <c r="AT1038" s="233" t="str">
        <f>VLOOKUP(Table8[[#This Row],[Country Code]],Table29[],5,FALSE)</f>
        <v>High-income</v>
      </c>
      <c r="AU1038" s="233" t="str">
        <f>VLOOKUP(Table8[[#This Row],[Country Code]],Table29[],6,FALSE)</f>
        <v>G20</v>
      </c>
      <c r="AV1038" s="233" t="str">
        <f>VLOOKUP(Table8[[#This Row],[Country Code]],Table29[],7,FALSE)</f>
        <v>G7</v>
      </c>
      <c r="AW1038" s="233" t="str">
        <f>VLOOKUP(Table8[[#This Row],[Country Code]],Table29[],8,FALSE)</f>
        <v>OECD</v>
      </c>
      <c r="AX1038" s="233" t="str">
        <f>VLOOKUP(Table8[[#This Row],[Country Code]],Table29[],9,FALSE)</f>
        <v>no</v>
      </c>
      <c r="AY1038" s="233" t="str">
        <f>VLOOKUP(Table8[[#This Row],[Country Code]],Table29[],10,FALSE)</f>
        <v>no</v>
      </c>
      <c r="AZ1038" s="235">
        <f>VLOOKUP(Table8[[#This Row],[Country Code]],Table29[],23,FALSE)</f>
        <v>1041.0128248686999</v>
      </c>
      <c r="BA1038" s="235">
        <f>VLOOKUP(Table8[[#This Row],[Country Code]],Table29[],24,FALSE)</f>
        <v>181.96191357547141</v>
      </c>
      <c r="BB1038" s="320"/>
      <c r="BC1038" s="320"/>
    </row>
    <row r="1039" spans="1:55" ht="30" hidden="1" x14ac:dyDescent="0.25">
      <c r="A1039" s="373">
        <v>17626</v>
      </c>
      <c r="B1039" s="233" t="str">
        <f>VLOOKUP(Table8[[#This Row],[Document ID]],Table1[],2,FALSE)</f>
        <v>JPN</v>
      </c>
      <c r="C1039" s="233" t="str">
        <f>VLOOKUP(Table8[[#This Row],[Document ID]],Table1[],3,FALSE)</f>
        <v>Japan</v>
      </c>
      <c r="D1039" s="243" t="str">
        <f>VLOOKUP(Table8[[#This Row],[Document ID]],Table1[],5,FALSE)</f>
        <v>NDC</v>
      </c>
      <c r="E1039" s="233" t="str">
        <f>VLOOKUP(Table8[[#This Row],[Document ID]],Table1[],7,FALSE)</f>
        <v>First NDC</v>
      </c>
      <c r="F1039" s="236" t="str">
        <f>VLOOKUP(Table8[[#This Row],[Document ID]],Table1[],8,FALSE)</f>
        <v>NDC 1.0</v>
      </c>
      <c r="G1039" s="236" t="str">
        <f>VLOOKUP(Table8[[#This Row],[Document ID]],Table1[],10,FALSE)</f>
        <v>Archived</v>
      </c>
      <c r="H1039" s="43" t="s">
        <v>2343</v>
      </c>
      <c r="I1039" s="43" t="s">
        <v>2429</v>
      </c>
      <c r="J1039" s="44" t="s">
        <v>2472</v>
      </c>
      <c r="K1039" s="44" t="s">
        <v>3323</v>
      </c>
      <c r="L1039" s="44" t="s">
        <v>2333</v>
      </c>
      <c r="M1039" s="43"/>
      <c r="N1039" s="113" t="s">
        <v>1113</v>
      </c>
      <c r="O1039" s="113"/>
      <c r="P1039" s="113"/>
      <c r="Q1039" s="319"/>
      <c r="R1039" s="319"/>
      <c r="S1039" s="319"/>
      <c r="T1039" s="319"/>
      <c r="U1039" s="319"/>
      <c r="V1039" s="319"/>
      <c r="W1039" s="319"/>
      <c r="X1039" s="319"/>
      <c r="Y1039" s="319"/>
      <c r="Z1039" s="319"/>
      <c r="AA1039" s="319"/>
      <c r="AB1039" s="319"/>
      <c r="AC1039" s="319"/>
      <c r="AD1039" s="319"/>
      <c r="AE1039" s="319"/>
      <c r="AF1039" s="319"/>
      <c r="AG1039" s="319"/>
      <c r="AH1039" s="319"/>
      <c r="AI1039" s="319"/>
      <c r="AJ1039" s="319"/>
      <c r="AK1039" s="319" t="s">
        <v>1113</v>
      </c>
      <c r="AL1039" s="319"/>
      <c r="AM1039" s="319"/>
      <c r="AN1039" s="319"/>
      <c r="AO1039" s="44" t="s">
        <v>2334</v>
      </c>
      <c r="AP1039" s="44"/>
      <c r="AQ1039" s="236" t="str">
        <f>VLOOKUP(Table8[[#This Row],[Instrument]],Def_Targets!$D$73:$E$159,2,FALSE)</f>
        <v>I_Other</v>
      </c>
      <c r="AR1039" s="233" t="str">
        <f>VLOOKUP(Table8[[#This Row],[Country Code]],Table29[],3,FALSE)</f>
        <v>Annex I</v>
      </c>
      <c r="AS1039" s="233" t="str">
        <f>VLOOKUP(Table8[[#This Row],[Country Code]],Table29[],4,FALSE)</f>
        <v>Asia</v>
      </c>
      <c r="AT1039" s="233" t="str">
        <f>VLOOKUP(Table8[[#This Row],[Country Code]],Table29[],5,FALSE)</f>
        <v>High-income</v>
      </c>
      <c r="AU1039" s="233" t="str">
        <f>VLOOKUP(Table8[[#This Row],[Country Code]],Table29[],6,FALSE)</f>
        <v>G20</v>
      </c>
      <c r="AV1039" s="233" t="str">
        <f>VLOOKUP(Table8[[#This Row],[Country Code]],Table29[],7,FALSE)</f>
        <v>G7</v>
      </c>
      <c r="AW1039" s="233" t="str">
        <f>VLOOKUP(Table8[[#This Row],[Country Code]],Table29[],8,FALSE)</f>
        <v>OECD</v>
      </c>
      <c r="AX1039" s="233" t="str">
        <f>VLOOKUP(Table8[[#This Row],[Country Code]],Table29[],9,FALSE)</f>
        <v>no</v>
      </c>
      <c r="AY1039" s="233" t="str">
        <f>VLOOKUP(Table8[[#This Row],[Country Code]],Table29[],10,FALSE)</f>
        <v>no</v>
      </c>
      <c r="AZ1039" s="235">
        <f>VLOOKUP(Table8[[#This Row],[Country Code]],Table29[],23,FALSE)</f>
        <v>1041.0128248686999</v>
      </c>
      <c r="BA1039" s="235">
        <f>VLOOKUP(Table8[[#This Row],[Country Code]],Table29[],24,FALSE)</f>
        <v>181.96191357547141</v>
      </c>
      <c r="BB1039" s="320"/>
      <c r="BC1039" s="320"/>
    </row>
    <row r="1040" spans="1:55" hidden="1" x14ac:dyDescent="0.25">
      <c r="A1040" s="373">
        <v>17626</v>
      </c>
      <c r="B1040" s="233" t="str">
        <f>VLOOKUP(Table8[[#This Row],[Document ID]],Table1[],2,FALSE)</f>
        <v>JPN</v>
      </c>
      <c r="C1040" s="233" t="str">
        <f>VLOOKUP(Table8[[#This Row],[Document ID]],Table1[],3,FALSE)</f>
        <v>Japan</v>
      </c>
      <c r="D1040" s="243" t="str">
        <f>VLOOKUP(Table8[[#This Row],[Document ID]],Table1[],5,FALSE)</f>
        <v>NDC</v>
      </c>
      <c r="E1040" s="233" t="str">
        <f>VLOOKUP(Table8[[#This Row],[Document ID]],Table1[],7,FALSE)</f>
        <v>First NDC</v>
      </c>
      <c r="F1040" s="236" t="str">
        <f>VLOOKUP(Table8[[#This Row],[Document ID]],Table1[],8,FALSE)</f>
        <v>NDC 1.0</v>
      </c>
      <c r="G1040" s="236" t="str">
        <f>VLOOKUP(Table8[[#This Row],[Document ID]],Table1[],10,FALSE)</f>
        <v>Archived</v>
      </c>
      <c r="H1040" s="43" t="s">
        <v>2343</v>
      </c>
      <c r="I1040" s="43" t="s">
        <v>2429</v>
      </c>
      <c r="J1040" s="44" t="s">
        <v>2430</v>
      </c>
      <c r="K1040" s="44" t="s">
        <v>3324</v>
      </c>
      <c r="L1040" s="44" t="s">
        <v>2333</v>
      </c>
      <c r="M1040" s="43"/>
      <c r="N1040" s="113" t="s">
        <v>1113</v>
      </c>
      <c r="O1040" s="113"/>
      <c r="P1040" s="113"/>
      <c r="Q1040" s="319"/>
      <c r="R1040" s="319"/>
      <c r="S1040" s="319"/>
      <c r="T1040" s="319"/>
      <c r="U1040" s="319"/>
      <c r="V1040" s="319"/>
      <c r="W1040" s="319"/>
      <c r="X1040" s="319"/>
      <c r="Y1040" s="319"/>
      <c r="Z1040" s="319"/>
      <c r="AA1040" s="319"/>
      <c r="AB1040" s="319"/>
      <c r="AC1040" s="319"/>
      <c r="AD1040" s="319"/>
      <c r="AE1040" s="319"/>
      <c r="AF1040" s="319"/>
      <c r="AG1040" s="319"/>
      <c r="AH1040" s="319"/>
      <c r="AI1040" s="319"/>
      <c r="AJ1040" s="319"/>
      <c r="AK1040" s="319" t="s">
        <v>1113</v>
      </c>
      <c r="AL1040" s="319"/>
      <c r="AM1040" s="319"/>
      <c r="AN1040" s="319"/>
      <c r="AO1040" s="44" t="s">
        <v>2334</v>
      </c>
      <c r="AP1040" s="44"/>
      <c r="AQ1040" s="236" t="str">
        <f>VLOOKUP(Table8[[#This Row],[Instrument]],Def_Targets!$D$73:$E$159,2,FALSE)</f>
        <v>I_ITS</v>
      </c>
      <c r="AR1040" s="233" t="str">
        <f>VLOOKUP(Table8[[#This Row],[Country Code]],Table29[],3,FALSE)</f>
        <v>Annex I</v>
      </c>
      <c r="AS1040" s="233" t="str">
        <f>VLOOKUP(Table8[[#This Row],[Country Code]],Table29[],4,FALSE)</f>
        <v>Asia</v>
      </c>
      <c r="AT1040" s="233" t="str">
        <f>VLOOKUP(Table8[[#This Row],[Country Code]],Table29[],5,FALSE)</f>
        <v>High-income</v>
      </c>
      <c r="AU1040" s="233" t="str">
        <f>VLOOKUP(Table8[[#This Row],[Country Code]],Table29[],6,FALSE)</f>
        <v>G20</v>
      </c>
      <c r="AV1040" s="233" t="str">
        <f>VLOOKUP(Table8[[#This Row],[Country Code]],Table29[],7,FALSE)</f>
        <v>G7</v>
      </c>
      <c r="AW1040" s="233" t="str">
        <f>VLOOKUP(Table8[[#This Row],[Country Code]],Table29[],8,FALSE)</f>
        <v>OECD</v>
      </c>
      <c r="AX1040" s="233" t="str">
        <f>VLOOKUP(Table8[[#This Row],[Country Code]],Table29[],9,FALSE)</f>
        <v>no</v>
      </c>
      <c r="AY1040" s="233" t="str">
        <f>VLOOKUP(Table8[[#This Row],[Country Code]],Table29[],10,FALSE)</f>
        <v>no</v>
      </c>
      <c r="AZ1040" s="235">
        <f>VLOOKUP(Table8[[#This Row],[Country Code]],Table29[],23,FALSE)</f>
        <v>1041.0128248686999</v>
      </c>
      <c r="BA1040" s="235">
        <f>VLOOKUP(Table8[[#This Row],[Country Code]],Table29[],24,FALSE)</f>
        <v>181.96191357547141</v>
      </c>
      <c r="BB1040" s="320"/>
      <c r="BC1040" s="320"/>
    </row>
    <row r="1041" spans="1:55" ht="30" hidden="1" x14ac:dyDescent="0.25">
      <c r="A1041" s="373">
        <v>17626</v>
      </c>
      <c r="B1041" s="233" t="str">
        <f>VLOOKUP(Table8[[#This Row],[Document ID]],Table1[],2,FALSE)</f>
        <v>JPN</v>
      </c>
      <c r="C1041" s="233" t="str">
        <f>VLOOKUP(Table8[[#This Row],[Document ID]],Table1[],3,FALSE)</f>
        <v>Japan</v>
      </c>
      <c r="D1041" s="243" t="str">
        <f>VLOOKUP(Table8[[#This Row],[Document ID]],Table1[],5,FALSE)</f>
        <v>NDC</v>
      </c>
      <c r="E1041" s="233" t="str">
        <f>VLOOKUP(Table8[[#This Row],[Document ID]],Table1[],7,FALSE)</f>
        <v>First NDC</v>
      </c>
      <c r="F1041" s="236" t="str">
        <f>VLOOKUP(Table8[[#This Row],[Document ID]],Table1[],8,FALSE)</f>
        <v>NDC 1.0</v>
      </c>
      <c r="G1041" s="236" t="str">
        <f>VLOOKUP(Table8[[#This Row],[Document ID]],Table1[],10,FALSE)</f>
        <v>Archived</v>
      </c>
      <c r="H1041" s="43" t="s">
        <v>2350</v>
      </c>
      <c r="I1041" s="43" t="s">
        <v>2351</v>
      </c>
      <c r="J1041" s="44" t="s">
        <v>2427</v>
      </c>
      <c r="K1041" s="44" t="s">
        <v>3325</v>
      </c>
      <c r="L1041" s="44" t="s">
        <v>2380</v>
      </c>
      <c r="M1041" s="43"/>
      <c r="N1041" s="113" t="s">
        <v>1113</v>
      </c>
      <c r="O1041" s="113"/>
      <c r="P1041" s="113"/>
      <c r="Q1041" s="319"/>
      <c r="R1041" s="319"/>
      <c r="S1041" s="319"/>
      <c r="T1041" s="319"/>
      <c r="U1041" s="319"/>
      <c r="V1041" s="319"/>
      <c r="W1041" s="319"/>
      <c r="X1041" s="319"/>
      <c r="Y1041" s="319"/>
      <c r="Z1041" s="319"/>
      <c r="AA1041" s="319"/>
      <c r="AB1041" s="319"/>
      <c r="AC1041" s="319"/>
      <c r="AD1041" s="319"/>
      <c r="AE1041" s="319"/>
      <c r="AF1041" s="319"/>
      <c r="AG1041" s="319"/>
      <c r="AH1041" s="319"/>
      <c r="AI1041" s="319"/>
      <c r="AJ1041" s="319"/>
      <c r="AK1041" s="319" t="s">
        <v>1113</v>
      </c>
      <c r="AL1041" s="319"/>
      <c r="AM1041" s="319"/>
      <c r="AN1041" s="319"/>
      <c r="AO1041" s="43" t="s">
        <v>2353</v>
      </c>
      <c r="AP1041" s="44"/>
      <c r="AQ1041" s="236" t="str">
        <f>VLOOKUP(Table8[[#This Row],[Instrument]],Def_Targets!$D$73:$E$159,2,FALSE)</f>
        <v>I_Load</v>
      </c>
      <c r="AR1041" s="233" t="str">
        <f>VLOOKUP(Table8[[#This Row],[Country Code]],Table29[],3,FALSE)</f>
        <v>Annex I</v>
      </c>
      <c r="AS1041" s="233" t="str">
        <f>VLOOKUP(Table8[[#This Row],[Country Code]],Table29[],4,FALSE)</f>
        <v>Asia</v>
      </c>
      <c r="AT1041" s="233" t="str">
        <f>VLOOKUP(Table8[[#This Row],[Country Code]],Table29[],5,FALSE)</f>
        <v>High-income</v>
      </c>
      <c r="AU1041" s="233" t="str">
        <f>VLOOKUP(Table8[[#This Row],[Country Code]],Table29[],6,FALSE)</f>
        <v>G20</v>
      </c>
      <c r="AV1041" s="233" t="str">
        <f>VLOOKUP(Table8[[#This Row],[Country Code]],Table29[],7,FALSE)</f>
        <v>G7</v>
      </c>
      <c r="AW1041" s="233" t="str">
        <f>VLOOKUP(Table8[[#This Row],[Country Code]],Table29[],8,FALSE)</f>
        <v>OECD</v>
      </c>
      <c r="AX1041" s="233" t="str">
        <f>VLOOKUP(Table8[[#This Row],[Country Code]],Table29[],9,FALSE)</f>
        <v>no</v>
      </c>
      <c r="AY1041" s="233" t="str">
        <f>VLOOKUP(Table8[[#This Row],[Country Code]],Table29[],10,FALSE)</f>
        <v>no</v>
      </c>
      <c r="AZ1041" s="235">
        <f>VLOOKUP(Table8[[#This Row],[Country Code]],Table29[],23,FALSE)</f>
        <v>1041.0128248686999</v>
      </c>
      <c r="BA1041" s="235">
        <f>VLOOKUP(Table8[[#This Row],[Country Code]],Table29[],24,FALSE)</f>
        <v>181.96191357547141</v>
      </c>
      <c r="BB1041" s="320"/>
      <c r="BC1041" s="320"/>
    </row>
    <row r="1042" spans="1:55" ht="30" hidden="1" x14ac:dyDescent="0.25">
      <c r="A1042" s="373">
        <v>17626</v>
      </c>
      <c r="B1042" s="233" t="str">
        <f>VLOOKUP(Table8[[#This Row],[Document ID]],Table1[],2,FALSE)</f>
        <v>JPN</v>
      </c>
      <c r="C1042" s="233" t="str">
        <f>VLOOKUP(Table8[[#This Row],[Document ID]],Table1[],3,FALSE)</f>
        <v>Japan</v>
      </c>
      <c r="D1042" s="243" t="str">
        <f>VLOOKUP(Table8[[#This Row],[Document ID]],Table1[],5,FALSE)</f>
        <v>NDC</v>
      </c>
      <c r="E1042" s="233" t="str">
        <f>VLOOKUP(Table8[[#This Row],[Document ID]],Table1[],7,FALSE)</f>
        <v>First NDC</v>
      </c>
      <c r="F1042" s="236" t="str">
        <f>VLOOKUP(Table8[[#This Row],[Document ID]],Table1[],8,FALSE)</f>
        <v>NDC 1.0</v>
      </c>
      <c r="G1042" s="236" t="str">
        <f>VLOOKUP(Table8[[#This Row],[Document ID]],Table1[],10,FALSE)</f>
        <v>Archived</v>
      </c>
      <c r="H1042" s="43" t="s">
        <v>2350</v>
      </c>
      <c r="I1042" s="43" t="s">
        <v>2407</v>
      </c>
      <c r="J1042" s="44" t="s">
        <v>2592</v>
      </c>
      <c r="K1042" s="44" t="s">
        <v>3325</v>
      </c>
      <c r="L1042" s="44" t="s">
        <v>2333</v>
      </c>
      <c r="M1042" s="43"/>
      <c r="N1042" s="113" t="s">
        <v>1113</v>
      </c>
      <c r="O1042" s="113"/>
      <c r="P1042" s="113"/>
      <c r="Q1042" s="319"/>
      <c r="R1042" s="319"/>
      <c r="S1042" s="319"/>
      <c r="T1042" s="319"/>
      <c r="U1042" s="319"/>
      <c r="V1042" s="319"/>
      <c r="W1042" s="319"/>
      <c r="X1042" s="319"/>
      <c r="Y1042" s="319"/>
      <c r="Z1042" s="319"/>
      <c r="AA1042" s="319"/>
      <c r="AB1042" s="319"/>
      <c r="AC1042" s="319"/>
      <c r="AD1042" s="319"/>
      <c r="AE1042" s="319"/>
      <c r="AF1042" s="319"/>
      <c r="AG1042" s="319"/>
      <c r="AH1042" s="319"/>
      <c r="AI1042" s="319"/>
      <c r="AJ1042" s="319"/>
      <c r="AK1042" s="319" t="s">
        <v>1113</v>
      </c>
      <c r="AL1042" s="319"/>
      <c r="AM1042" s="319"/>
      <c r="AN1042" s="319"/>
      <c r="AO1042" s="43" t="s">
        <v>2353</v>
      </c>
      <c r="AP1042" s="44"/>
      <c r="AQ1042" s="236" t="str">
        <f>VLOOKUP(Table8[[#This Row],[Instrument]],Def_Targets!$D$73:$E$159,2,FALSE)</f>
        <v>I_Ecodriving</v>
      </c>
      <c r="AR1042" s="233" t="str">
        <f>VLOOKUP(Table8[[#This Row],[Country Code]],Table29[],3,FALSE)</f>
        <v>Annex I</v>
      </c>
      <c r="AS1042" s="233" t="str">
        <f>VLOOKUP(Table8[[#This Row],[Country Code]],Table29[],4,FALSE)</f>
        <v>Asia</v>
      </c>
      <c r="AT1042" s="233" t="str">
        <f>VLOOKUP(Table8[[#This Row],[Country Code]],Table29[],5,FALSE)</f>
        <v>High-income</v>
      </c>
      <c r="AU1042" s="233" t="str">
        <f>VLOOKUP(Table8[[#This Row],[Country Code]],Table29[],6,FALSE)</f>
        <v>G20</v>
      </c>
      <c r="AV1042" s="233" t="str">
        <f>VLOOKUP(Table8[[#This Row],[Country Code]],Table29[],7,FALSE)</f>
        <v>G7</v>
      </c>
      <c r="AW1042" s="233" t="str">
        <f>VLOOKUP(Table8[[#This Row],[Country Code]],Table29[],8,FALSE)</f>
        <v>OECD</v>
      </c>
      <c r="AX1042" s="233" t="str">
        <f>VLOOKUP(Table8[[#This Row],[Country Code]],Table29[],9,FALSE)</f>
        <v>no</v>
      </c>
      <c r="AY1042" s="233" t="str">
        <f>VLOOKUP(Table8[[#This Row],[Country Code]],Table29[],10,FALSE)</f>
        <v>no</v>
      </c>
      <c r="AZ1042" s="235">
        <f>VLOOKUP(Table8[[#This Row],[Country Code]],Table29[],23,FALSE)</f>
        <v>1041.0128248686999</v>
      </c>
      <c r="BA1042" s="235">
        <f>VLOOKUP(Table8[[#This Row],[Country Code]],Table29[],24,FALSE)</f>
        <v>181.96191357547141</v>
      </c>
      <c r="BB1042" s="320"/>
      <c r="BC1042" s="320"/>
    </row>
    <row r="1043" spans="1:55" hidden="1" x14ac:dyDescent="0.25">
      <c r="A1043" s="373">
        <v>17626</v>
      </c>
      <c r="B1043" s="233" t="str">
        <f>VLOOKUP(Table8[[#This Row],[Document ID]],Table1[],2,FALSE)</f>
        <v>JPN</v>
      </c>
      <c r="C1043" s="233" t="str">
        <f>VLOOKUP(Table8[[#This Row],[Document ID]],Table1[],3,FALSE)</f>
        <v>Japan</v>
      </c>
      <c r="D1043" s="243" t="str">
        <f>VLOOKUP(Table8[[#This Row],[Document ID]],Table1[],5,FALSE)</f>
        <v>NDC</v>
      </c>
      <c r="E1043" s="233" t="str">
        <f>VLOOKUP(Table8[[#This Row],[Document ID]],Table1[],7,FALSE)</f>
        <v>First NDC</v>
      </c>
      <c r="F1043" s="236" t="str">
        <f>VLOOKUP(Table8[[#This Row],[Document ID]],Table1[],8,FALSE)</f>
        <v>NDC 1.0</v>
      </c>
      <c r="G1043" s="236" t="str">
        <f>VLOOKUP(Table8[[#This Row],[Document ID]],Table1[],10,FALSE)</f>
        <v>Archived</v>
      </c>
      <c r="H1043" s="43" t="s">
        <v>2350</v>
      </c>
      <c r="I1043" s="43" t="s">
        <v>2351</v>
      </c>
      <c r="J1043" s="44" t="s">
        <v>2447</v>
      </c>
      <c r="K1043" s="44" t="s">
        <v>3326</v>
      </c>
      <c r="L1043" s="44" t="s">
        <v>2333</v>
      </c>
      <c r="M1043" s="43"/>
      <c r="N1043" s="113"/>
      <c r="O1043" s="113"/>
      <c r="P1043" s="113"/>
      <c r="Q1043" s="319"/>
      <c r="R1043" s="319"/>
      <c r="S1043" s="319"/>
      <c r="T1043" s="319"/>
      <c r="U1043" s="319"/>
      <c r="V1043" s="319"/>
      <c r="W1043" s="319"/>
      <c r="X1043" s="113" t="s">
        <v>1113</v>
      </c>
      <c r="Y1043" s="319"/>
      <c r="Z1043" s="319"/>
      <c r="AA1043" s="319"/>
      <c r="AB1043" s="319"/>
      <c r="AC1043" s="319"/>
      <c r="AD1043" s="319"/>
      <c r="AE1043" s="319"/>
      <c r="AF1043" s="319"/>
      <c r="AG1043" s="319"/>
      <c r="AH1043" s="319"/>
      <c r="AI1043" s="319"/>
      <c r="AJ1043" s="319"/>
      <c r="AK1043" s="319" t="s">
        <v>1113</v>
      </c>
      <c r="AL1043" s="319"/>
      <c r="AM1043" s="319"/>
      <c r="AN1043" s="319"/>
      <c r="AO1043" s="43" t="s">
        <v>2353</v>
      </c>
      <c r="AP1043" s="44"/>
      <c r="AQ1043" s="236" t="str">
        <f>VLOOKUP(Table8[[#This Row],[Instrument]],Def_Targets!$D$73:$E$159,2,FALSE)</f>
        <v>I_Freighteff</v>
      </c>
      <c r="AR1043" s="233" t="str">
        <f>VLOOKUP(Table8[[#This Row],[Country Code]],Table29[],3,FALSE)</f>
        <v>Annex I</v>
      </c>
      <c r="AS1043" s="233" t="str">
        <f>VLOOKUP(Table8[[#This Row],[Country Code]],Table29[],4,FALSE)</f>
        <v>Asia</v>
      </c>
      <c r="AT1043" s="233" t="str">
        <f>VLOOKUP(Table8[[#This Row],[Country Code]],Table29[],5,FALSE)</f>
        <v>High-income</v>
      </c>
      <c r="AU1043" s="233" t="str">
        <f>VLOOKUP(Table8[[#This Row],[Country Code]],Table29[],6,FALSE)</f>
        <v>G20</v>
      </c>
      <c r="AV1043" s="233" t="str">
        <f>VLOOKUP(Table8[[#This Row],[Country Code]],Table29[],7,FALSE)</f>
        <v>G7</v>
      </c>
      <c r="AW1043" s="233" t="str">
        <f>VLOOKUP(Table8[[#This Row],[Country Code]],Table29[],8,FALSE)</f>
        <v>OECD</v>
      </c>
      <c r="AX1043" s="233" t="str">
        <f>VLOOKUP(Table8[[#This Row],[Country Code]],Table29[],9,FALSE)</f>
        <v>no</v>
      </c>
      <c r="AY1043" s="233" t="str">
        <f>VLOOKUP(Table8[[#This Row],[Country Code]],Table29[],10,FALSE)</f>
        <v>no</v>
      </c>
      <c r="AZ1043" s="235">
        <f>VLOOKUP(Table8[[#This Row],[Country Code]],Table29[],23,FALSE)</f>
        <v>1041.0128248686999</v>
      </c>
      <c r="BA1043" s="235">
        <f>VLOOKUP(Table8[[#This Row],[Country Code]],Table29[],24,FALSE)</f>
        <v>181.96191357547141</v>
      </c>
      <c r="BB1043" s="320"/>
      <c r="BC1043" s="320"/>
    </row>
    <row r="1044" spans="1:55" hidden="1" x14ac:dyDescent="0.25">
      <c r="A1044" s="373">
        <v>17626</v>
      </c>
      <c r="B1044" s="233" t="str">
        <f>VLOOKUP(Table8[[#This Row],[Document ID]],Table1[],2,FALSE)</f>
        <v>JPN</v>
      </c>
      <c r="C1044" s="233" t="str">
        <f>VLOOKUP(Table8[[#This Row],[Document ID]],Table1[],3,FALSE)</f>
        <v>Japan</v>
      </c>
      <c r="D1044" s="243" t="str">
        <f>VLOOKUP(Table8[[#This Row],[Document ID]],Table1[],5,FALSE)</f>
        <v>NDC</v>
      </c>
      <c r="E1044" s="233" t="str">
        <f>VLOOKUP(Table8[[#This Row],[Document ID]],Table1[],7,FALSE)</f>
        <v>First NDC</v>
      </c>
      <c r="F1044" s="236" t="str">
        <f>VLOOKUP(Table8[[#This Row],[Document ID]],Table1[],8,FALSE)</f>
        <v>NDC 1.0</v>
      </c>
      <c r="G1044" s="236" t="str">
        <f>VLOOKUP(Table8[[#This Row],[Document ID]],Table1[],10,FALSE)</f>
        <v>Archived</v>
      </c>
      <c r="H1044" s="43" t="s">
        <v>2484</v>
      </c>
      <c r="I1044" s="43" t="s">
        <v>2485</v>
      </c>
      <c r="J1044" s="44" t="s">
        <v>2669</v>
      </c>
      <c r="K1044" s="44" t="s">
        <v>3327</v>
      </c>
      <c r="L1044" s="44" t="s">
        <v>2333</v>
      </c>
      <c r="M1044" s="43"/>
      <c r="N1044" s="113"/>
      <c r="O1044" s="113"/>
      <c r="P1044" s="113"/>
      <c r="Q1044" s="319"/>
      <c r="R1044" s="319"/>
      <c r="S1044" s="319"/>
      <c r="T1044" s="319"/>
      <c r="U1044" s="319"/>
      <c r="V1044" s="319"/>
      <c r="W1044" s="319"/>
      <c r="X1044" s="319"/>
      <c r="Y1044" s="319"/>
      <c r="Z1044" s="319"/>
      <c r="AA1044" s="319"/>
      <c r="AB1044" s="319"/>
      <c r="AC1044" s="319"/>
      <c r="AD1044" s="113" t="s">
        <v>1113</v>
      </c>
      <c r="AE1044" s="319"/>
      <c r="AF1044" s="319"/>
      <c r="AG1044" s="319"/>
      <c r="AH1044" s="319"/>
      <c r="AI1044" s="319"/>
      <c r="AJ1044" s="319"/>
      <c r="AK1044" s="319" t="s">
        <v>1113</v>
      </c>
      <c r="AL1044" s="319"/>
      <c r="AM1044" s="319"/>
      <c r="AN1044" s="319"/>
      <c r="AO1044" s="44" t="s">
        <v>2334</v>
      </c>
      <c r="AP1044" s="44"/>
      <c r="AQ1044" s="236" t="str">
        <f>VLOOKUP(Table8[[#This Row],[Instrument]],Def_Targets!$D$73:$E$159,2,FALSE)</f>
        <v>I_Shipefficiency</v>
      </c>
      <c r="AR1044" s="233" t="str">
        <f>VLOOKUP(Table8[[#This Row],[Country Code]],Table29[],3,FALSE)</f>
        <v>Annex I</v>
      </c>
      <c r="AS1044" s="233" t="str">
        <f>VLOOKUP(Table8[[#This Row],[Country Code]],Table29[],4,FALSE)</f>
        <v>Asia</v>
      </c>
      <c r="AT1044" s="233" t="str">
        <f>VLOOKUP(Table8[[#This Row],[Country Code]],Table29[],5,FALSE)</f>
        <v>High-income</v>
      </c>
      <c r="AU1044" s="233" t="str">
        <f>VLOOKUP(Table8[[#This Row],[Country Code]],Table29[],6,FALSE)</f>
        <v>G20</v>
      </c>
      <c r="AV1044" s="233" t="str">
        <f>VLOOKUP(Table8[[#This Row],[Country Code]],Table29[],7,FALSE)</f>
        <v>G7</v>
      </c>
      <c r="AW1044" s="233" t="str">
        <f>VLOOKUP(Table8[[#This Row],[Country Code]],Table29[],8,FALSE)</f>
        <v>OECD</v>
      </c>
      <c r="AX1044" s="233" t="str">
        <f>VLOOKUP(Table8[[#This Row],[Country Code]],Table29[],9,FALSE)</f>
        <v>no</v>
      </c>
      <c r="AY1044" s="233" t="str">
        <f>VLOOKUP(Table8[[#This Row],[Country Code]],Table29[],10,FALSE)</f>
        <v>no</v>
      </c>
      <c r="AZ1044" s="235">
        <f>VLOOKUP(Table8[[#This Row],[Country Code]],Table29[],23,FALSE)</f>
        <v>1041.0128248686999</v>
      </c>
      <c r="BA1044" s="235">
        <f>VLOOKUP(Table8[[#This Row],[Country Code]],Table29[],24,FALSE)</f>
        <v>181.96191357547141</v>
      </c>
      <c r="BB1044" s="320"/>
      <c r="BC1044" s="320"/>
    </row>
    <row r="1045" spans="1:55" hidden="1" x14ac:dyDescent="0.25">
      <c r="A1045" s="373">
        <v>17626</v>
      </c>
      <c r="B1045" s="233" t="str">
        <f>VLOOKUP(Table8[[#This Row],[Document ID]],Table1[],2,FALSE)</f>
        <v>JPN</v>
      </c>
      <c r="C1045" s="233" t="str">
        <f>VLOOKUP(Table8[[#This Row],[Document ID]],Table1[],3,FALSE)</f>
        <v>Japan</v>
      </c>
      <c r="D1045" s="243" t="str">
        <f>VLOOKUP(Table8[[#This Row],[Document ID]],Table1[],5,FALSE)</f>
        <v>NDC</v>
      </c>
      <c r="E1045" s="233" t="str">
        <f>VLOOKUP(Table8[[#This Row],[Document ID]],Table1[],7,FALSE)</f>
        <v>First NDC</v>
      </c>
      <c r="F1045" s="236" t="str">
        <f>VLOOKUP(Table8[[#This Row],[Document ID]],Table1[],8,FALSE)</f>
        <v>NDC 1.0</v>
      </c>
      <c r="G1045" s="236" t="str">
        <f>VLOOKUP(Table8[[#This Row],[Document ID]],Table1[],10,FALSE)</f>
        <v>Archived</v>
      </c>
      <c r="H1045" s="43" t="s">
        <v>2484</v>
      </c>
      <c r="I1045" s="43" t="s">
        <v>2488</v>
      </c>
      <c r="J1045" s="44" t="s">
        <v>2489</v>
      </c>
      <c r="K1045" s="44" t="s">
        <v>3328</v>
      </c>
      <c r="L1045" s="44" t="s">
        <v>2333</v>
      </c>
      <c r="M1045" s="43"/>
      <c r="N1045" s="113"/>
      <c r="O1045" s="113"/>
      <c r="P1045" s="113"/>
      <c r="Q1045" s="319"/>
      <c r="R1045" s="319"/>
      <c r="S1045" s="319"/>
      <c r="T1045" s="319"/>
      <c r="U1045" s="319"/>
      <c r="V1045" s="319"/>
      <c r="W1045" s="319"/>
      <c r="X1045" s="319"/>
      <c r="Y1045" s="319"/>
      <c r="Z1045" s="319"/>
      <c r="AA1045" s="319"/>
      <c r="AB1045" s="319"/>
      <c r="AC1045" s="319"/>
      <c r="AD1045" s="319"/>
      <c r="AE1045" s="319"/>
      <c r="AF1045" s="319"/>
      <c r="AG1045" s="319"/>
      <c r="AH1045" s="113" t="s">
        <v>1113</v>
      </c>
      <c r="AI1045" s="113"/>
      <c r="AJ1045" s="113"/>
      <c r="AK1045" s="319" t="s">
        <v>1113</v>
      </c>
      <c r="AL1045" s="319"/>
      <c r="AM1045" s="319"/>
      <c r="AN1045" s="319"/>
      <c r="AO1045" s="44" t="s">
        <v>2334</v>
      </c>
      <c r="AP1045" s="44"/>
      <c r="AQ1045" s="236" t="str">
        <f>VLOOKUP(Table8[[#This Row],[Instrument]],Def_Targets!$D$73:$E$159,2,FALSE)</f>
        <v>I_Aviation</v>
      </c>
      <c r="AR1045" s="233" t="str">
        <f>VLOOKUP(Table8[[#This Row],[Country Code]],Table29[],3,FALSE)</f>
        <v>Annex I</v>
      </c>
      <c r="AS1045" s="233" t="str">
        <f>VLOOKUP(Table8[[#This Row],[Country Code]],Table29[],4,FALSE)</f>
        <v>Asia</v>
      </c>
      <c r="AT1045" s="233" t="str">
        <f>VLOOKUP(Table8[[#This Row],[Country Code]],Table29[],5,FALSE)</f>
        <v>High-income</v>
      </c>
      <c r="AU1045" s="233" t="str">
        <f>VLOOKUP(Table8[[#This Row],[Country Code]],Table29[],6,FALSE)</f>
        <v>G20</v>
      </c>
      <c r="AV1045" s="233" t="str">
        <f>VLOOKUP(Table8[[#This Row],[Country Code]],Table29[],7,FALSE)</f>
        <v>G7</v>
      </c>
      <c r="AW1045" s="233" t="str">
        <f>VLOOKUP(Table8[[#This Row],[Country Code]],Table29[],8,FALSE)</f>
        <v>OECD</v>
      </c>
      <c r="AX1045" s="233" t="str">
        <f>VLOOKUP(Table8[[#This Row],[Country Code]],Table29[],9,FALSE)</f>
        <v>no</v>
      </c>
      <c r="AY1045" s="233" t="str">
        <f>VLOOKUP(Table8[[#This Row],[Country Code]],Table29[],10,FALSE)</f>
        <v>no</v>
      </c>
      <c r="AZ1045" s="235">
        <f>VLOOKUP(Table8[[#This Row],[Country Code]],Table29[],23,FALSE)</f>
        <v>1041.0128248686999</v>
      </c>
      <c r="BA1045" s="235">
        <f>VLOOKUP(Table8[[#This Row],[Country Code]],Table29[],24,FALSE)</f>
        <v>181.96191357547141</v>
      </c>
      <c r="BB1045" s="320"/>
      <c r="BC1045" s="320"/>
    </row>
    <row r="1046" spans="1:55" s="17" customFormat="1" hidden="1" x14ac:dyDescent="0.25">
      <c r="A1046" s="373">
        <v>17626</v>
      </c>
      <c r="B1046" s="233" t="str">
        <f>VLOOKUP(Table8[[#This Row],[Document ID]],Table1[],2,FALSE)</f>
        <v>JPN</v>
      </c>
      <c r="C1046" s="233" t="str">
        <f>VLOOKUP(Table8[[#This Row],[Document ID]],Table1[],3,FALSE)</f>
        <v>Japan</v>
      </c>
      <c r="D1046" s="243" t="str">
        <f>VLOOKUP(Table8[[#This Row],[Document ID]],Table1[],5,FALSE)</f>
        <v>NDC</v>
      </c>
      <c r="E1046" s="233" t="str">
        <f>VLOOKUP(Table8[[#This Row],[Document ID]],Table1[],7,FALSE)</f>
        <v>First NDC</v>
      </c>
      <c r="F1046" s="236" t="str">
        <f>VLOOKUP(Table8[[#This Row],[Document ID]],Table1[],8,FALSE)</f>
        <v>NDC 1.0</v>
      </c>
      <c r="G1046" s="236" t="str">
        <f>VLOOKUP(Table8[[#This Row],[Document ID]],Table1[],10,FALSE)</f>
        <v>Archived</v>
      </c>
      <c r="H1046" s="43" t="s">
        <v>2343</v>
      </c>
      <c r="I1046" s="43" t="s">
        <v>2377</v>
      </c>
      <c r="J1046" s="44" t="s">
        <v>2394</v>
      </c>
      <c r="K1046" s="44" t="s">
        <v>3329</v>
      </c>
      <c r="L1046" s="44" t="s">
        <v>2380</v>
      </c>
      <c r="M1046" s="43"/>
      <c r="N1046" s="113"/>
      <c r="O1046" s="113"/>
      <c r="P1046" s="113"/>
      <c r="Q1046" s="319"/>
      <c r="R1046" s="319"/>
      <c r="S1046" s="319" t="s">
        <v>1113</v>
      </c>
      <c r="T1046" s="319"/>
      <c r="U1046" s="319"/>
      <c r="V1046" s="319"/>
      <c r="W1046" s="319"/>
      <c r="X1046" s="319"/>
      <c r="Y1046" s="319"/>
      <c r="Z1046" s="319"/>
      <c r="AA1046" s="319"/>
      <c r="AB1046" s="319"/>
      <c r="AC1046" s="319"/>
      <c r="AD1046" s="113"/>
      <c r="AE1046" s="319"/>
      <c r="AF1046" s="319"/>
      <c r="AG1046" s="319"/>
      <c r="AH1046" s="319"/>
      <c r="AI1046" s="319"/>
      <c r="AJ1046" s="319"/>
      <c r="AK1046" s="319" t="s">
        <v>1113</v>
      </c>
      <c r="AL1046" s="319"/>
      <c r="AM1046" s="319"/>
      <c r="AN1046" s="319"/>
      <c r="AO1046" s="43" t="s">
        <v>2353</v>
      </c>
      <c r="AP1046" s="44"/>
      <c r="AQ1046" s="236" t="str">
        <f>VLOOKUP(Table8[[#This Row],[Instrument]],Def_Targets!$D$73:$E$159,2,FALSE)</f>
        <v>A_TDM</v>
      </c>
      <c r="AR1046" s="233" t="str">
        <f>VLOOKUP(Table8[[#This Row],[Country Code]],Table29[],3,FALSE)</f>
        <v>Annex I</v>
      </c>
      <c r="AS1046" s="233" t="str">
        <f>VLOOKUP(Table8[[#This Row],[Country Code]],Table29[],4,FALSE)</f>
        <v>Asia</v>
      </c>
      <c r="AT1046" s="233" t="str">
        <f>VLOOKUP(Table8[[#This Row],[Country Code]],Table29[],5,FALSE)</f>
        <v>High-income</v>
      </c>
      <c r="AU1046" s="233" t="str">
        <f>VLOOKUP(Table8[[#This Row],[Country Code]],Table29[],6,FALSE)</f>
        <v>G20</v>
      </c>
      <c r="AV1046" s="233" t="str">
        <f>VLOOKUP(Table8[[#This Row],[Country Code]],Table29[],7,FALSE)</f>
        <v>G7</v>
      </c>
      <c r="AW1046" s="233" t="str">
        <f>VLOOKUP(Table8[[#This Row],[Country Code]],Table29[],8,FALSE)</f>
        <v>OECD</v>
      </c>
      <c r="AX1046" s="233" t="str">
        <f>VLOOKUP(Table8[[#This Row],[Country Code]],Table29[],9,FALSE)</f>
        <v>no</v>
      </c>
      <c r="AY1046" s="233" t="str">
        <f>VLOOKUP(Table8[[#This Row],[Country Code]],Table29[],10,FALSE)</f>
        <v>no</v>
      </c>
      <c r="AZ1046" s="235">
        <f>VLOOKUP(Table8[[#This Row],[Country Code]],Table29[],23,FALSE)</f>
        <v>1041.0128248686999</v>
      </c>
      <c r="BA1046" s="235">
        <f>VLOOKUP(Table8[[#This Row],[Country Code]],Table29[],24,FALSE)</f>
        <v>181.96191357547141</v>
      </c>
      <c r="BB1046" s="320"/>
      <c r="BC1046" s="320"/>
    </row>
    <row r="1047" spans="1:55" ht="30" hidden="1" x14ac:dyDescent="0.25">
      <c r="A1047" s="373">
        <v>17626</v>
      </c>
      <c r="B1047" s="233" t="str">
        <f>VLOOKUP(Table8[[#This Row],[Document ID]],Table1[],2,FALSE)</f>
        <v>JPN</v>
      </c>
      <c r="C1047" s="233" t="str">
        <f>VLOOKUP(Table8[[#This Row],[Document ID]],Table1[],3,FALSE)</f>
        <v>Japan</v>
      </c>
      <c r="D1047" s="243" t="str">
        <f>VLOOKUP(Table8[[#This Row],[Document ID]],Table1[],5,FALSE)</f>
        <v>NDC</v>
      </c>
      <c r="E1047" s="233" t="str">
        <f>VLOOKUP(Table8[[#This Row],[Document ID]],Table1[],7,FALSE)</f>
        <v>First NDC</v>
      </c>
      <c r="F1047" s="236" t="str">
        <f>VLOOKUP(Table8[[#This Row],[Document ID]],Table1[],8,FALSE)</f>
        <v>NDC 1.0</v>
      </c>
      <c r="G1047" s="236" t="str">
        <f>VLOOKUP(Table8[[#This Row],[Document ID]],Table1[],10,FALSE)</f>
        <v>Archived</v>
      </c>
      <c r="H1047" s="43" t="s">
        <v>2350</v>
      </c>
      <c r="I1047" s="43" t="s">
        <v>2370</v>
      </c>
      <c r="J1047" s="44" t="s">
        <v>2511</v>
      </c>
      <c r="K1047" s="44" t="s">
        <v>3330</v>
      </c>
      <c r="L1047" s="44" t="s">
        <v>2471</v>
      </c>
      <c r="M1047" s="43"/>
      <c r="N1047" s="113"/>
      <c r="O1047" s="113"/>
      <c r="P1047" s="113"/>
      <c r="Q1047" s="319"/>
      <c r="R1047" s="319"/>
      <c r="S1047" s="319" t="s">
        <v>1113</v>
      </c>
      <c r="T1047" s="319"/>
      <c r="U1047" s="319" t="s">
        <v>1113</v>
      </c>
      <c r="V1047" s="319"/>
      <c r="W1047" s="319"/>
      <c r="X1047" s="319"/>
      <c r="Y1047" s="319"/>
      <c r="Z1047" s="319"/>
      <c r="AA1047" s="319"/>
      <c r="AB1047" s="319"/>
      <c r="AC1047" s="319"/>
      <c r="AD1047" s="319"/>
      <c r="AE1047" s="319"/>
      <c r="AF1047" s="319"/>
      <c r="AG1047" s="319"/>
      <c r="AH1047" s="319"/>
      <c r="AI1047" s="319"/>
      <c r="AJ1047" s="319"/>
      <c r="AK1047" s="319" t="s">
        <v>1113</v>
      </c>
      <c r="AL1047" s="319"/>
      <c r="AM1047" s="319"/>
      <c r="AN1047" s="319"/>
      <c r="AO1047" s="44" t="s">
        <v>2334</v>
      </c>
      <c r="AP1047" s="43"/>
      <c r="AQ1047" s="236" t="str">
        <f>VLOOKUP(Table8[[#This Row],[Instrument]],Def_Targets!$D$73:$E$159,2,FALSE)</f>
        <v>A_LATM</v>
      </c>
      <c r="AR1047" s="233" t="str">
        <f>VLOOKUP(Table8[[#This Row],[Country Code]],Table29[],3,FALSE)</f>
        <v>Annex I</v>
      </c>
      <c r="AS1047" s="233" t="str">
        <f>VLOOKUP(Table8[[#This Row],[Country Code]],Table29[],4,FALSE)</f>
        <v>Asia</v>
      </c>
      <c r="AT1047" s="233" t="str">
        <f>VLOOKUP(Table8[[#This Row],[Country Code]],Table29[],5,FALSE)</f>
        <v>High-income</v>
      </c>
      <c r="AU1047" s="233" t="str">
        <f>VLOOKUP(Table8[[#This Row],[Country Code]],Table29[],6,FALSE)</f>
        <v>G20</v>
      </c>
      <c r="AV1047" s="233" t="str">
        <f>VLOOKUP(Table8[[#This Row],[Country Code]],Table29[],7,FALSE)</f>
        <v>G7</v>
      </c>
      <c r="AW1047" s="233" t="str">
        <f>VLOOKUP(Table8[[#This Row],[Country Code]],Table29[],8,FALSE)</f>
        <v>OECD</v>
      </c>
      <c r="AX1047" s="233" t="str">
        <f>VLOOKUP(Table8[[#This Row],[Country Code]],Table29[],9,FALSE)</f>
        <v>no</v>
      </c>
      <c r="AY1047" s="233" t="str">
        <f>VLOOKUP(Table8[[#This Row],[Country Code]],Table29[],10,FALSE)</f>
        <v>no</v>
      </c>
      <c r="AZ1047" s="235">
        <f>VLOOKUP(Table8[[#This Row],[Country Code]],Table29[],23,FALSE)</f>
        <v>1041.0128248686999</v>
      </c>
      <c r="BA1047" s="235">
        <f>VLOOKUP(Table8[[#This Row],[Country Code]],Table29[],24,FALSE)</f>
        <v>181.96191357547141</v>
      </c>
      <c r="BB1047" s="320"/>
      <c r="BC1047" s="320"/>
    </row>
    <row r="1048" spans="1:55" hidden="1" x14ac:dyDescent="0.25">
      <c r="A1048" s="373">
        <v>17626</v>
      </c>
      <c r="B1048" s="233" t="str">
        <f>VLOOKUP(Table8[[#This Row],[Document ID]],Table1[],2,FALSE)</f>
        <v>JPN</v>
      </c>
      <c r="C1048" s="233" t="str">
        <f>VLOOKUP(Table8[[#This Row],[Document ID]],Table1[],3,FALSE)</f>
        <v>Japan</v>
      </c>
      <c r="D1048" s="243" t="str">
        <f>VLOOKUP(Table8[[#This Row],[Document ID]],Table1[],5,FALSE)</f>
        <v>NDC</v>
      </c>
      <c r="E1048" s="233" t="str">
        <f>VLOOKUP(Table8[[#This Row],[Document ID]],Table1[],7,FALSE)</f>
        <v>First NDC</v>
      </c>
      <c r="F1048" s="236" t="str">
        <f>VLOOKUP(Table8[[#This Row],[Document ID]],Table1[],8,FALSE)</f>
        <v>NDC 1.0</v>
      </c>
      <c r="G1048" s="236" t="str">
        <f>VLOOKUP(Table8[[#This Row],[Document ID]],Table1[],10,FALSE)</f>
        <v>Archived</v>
      </c>
      <c r="H1048" s="43" t="s">
        <v>2484</v>
      </c>
      <c r="I1048" s="43" t="s">
        <v>2485</v>
      </c>
      <c r="J1048" s="44" t="s">
        <v>2978</v>
      </c>
      <c r="K1048" s="44" t="s">
        <v>3331</v>
      </c>
      <c r="L1048" s="44" t="s">
        <v>2333</v>
      </c>
      <c r="M1048" s="43"/>
      <c r="N1048" s="113"/>
      <c r="O1048" s="113"/>
      <c r="P1048" s="113"/>
      <c r="Q1048" s="319"/>
      <c r="R1048" s="319"/>
      <c r="S1048" s="319"/>
      <c r="T1048" s="319"/>
      <c r="U1048" s="319"/>
      <c r="V1048" s="319"/>
      <c r="W1048" s="319"/>
      <c r="X1048" s="319"/>
      <c r="Y1048" s="319"/>
      <c r="Z1048" s="319"/>
      <c r="AA1048" s="319"/>
      <c r="AB1048" s="319"/>
      <c r="AC1048" s="319"/>
      <c r="AD1048" s="113" t="s">
        <v>1113</v>
      </c>
      <c r="AE1048" s="319"/>
      <c r="AF1048" s="319"/>
      <c r="AG1048" s="319"/>
      <c r="AH1048" s="319"/>
      <c r="AI1048" s="319"/>
      <c r="AJ1048" s="319"/>
      <c r="AK1048" s="319" t="s">
        <v>1113</v>
      </c>
      <c r="AL1048" s="319"/>
      <c r="AM1048" s="319"/>
      <c r="AN1048" s="319"/>
      <c r="AO1048" s="44" t="s">
        <v>2334</v>
      </c>
      <c r="AP1048" s="44"/>
      <c r="AQ1048" s="236" t="str">
        <f>VLOOKUP(Table8[[#This Row],[Instrument]],Def_Targets!$D$73:$E$159,2,FALSE)</f>
        <v>I_PortInfra</v>
      </c>
      <c r="AR1048" s="233" t="str">
        <f>VLOOKUP(Table8[[#This Row],[Country Code]],Table29[],3,FALSE)</f>
        <v>Annex I</v>
      </c>
      <c r="AS1048" s="233" t="str">
        <f>VLOOKUP(Table8[[#This Row],[Country Code]],Table29[],4,FALSE)</f>
        <v>Asia</v>
      </c>
      <c r="AT1048" s="233" t="str">
        <f>VLOOKUP(Table8[[#This Row],[Country Code]],Table29[],5,FALSE)</f>
        <v>High-income</v>
      </c>
      <c r="AU1048" s="233" t="str">
        <f>VLOOKUP(Table8[[#This Row],[Country Code]],Table29[],6,FALSE)</f>
        <v>G20</v>
      </c>
      <c r="AV1048" s="233" t="str">
        <f>VLOOKUP(Table8[[#This Row],[Country Code]],Table29[],7,FALSE)</f>
        <v>G7</v>
      </c>
      <c r="AW1048" s="233" t="str">
        <f>VLOOKUP(Table8[[#This Row],[Country Code]],Table29[],8,FALSE)</f>
        <v>OECD</v>
      </c>
      <c r="AX1048" s="233" t="str">
        <f>VLOOKUP(Table8[[#This Row],[Country Code]],Table29[],9,FALSE)</f>
        <v>no</v>
      </c>
      <c r="AY1048" s="233" t="str">
        <f>VLOOKUP(Table8[[#This Row],[Country Code]],Table29[],10,FALSE)</f>
        <v>no</v>
      </c>
      <c r="AZ1048" s="235">
        <f>VLOOKUP(Table8[[#This Row],[Country Code]],Table29[],23,FALSE)</f>
        <v>1041.0128248686999</v>
      </c>
      <c r="BA1048" s="235">
        <f>VLOOKUP(Table8[[#This Row],[Country Code]],Table29[],24,FALSE)</f>
        <v>181.96191357547141</v>
      </c>
      <c r="BB1048" s="320"/>
      <c r="BC1048" s="320"/>
    </row>
    <row r="1049" spans="1:55" hidden="1" x14ac:dyDescent="0.25">
      <c r="A1049" s="373">
        <v>17626</v>
      </c>
      <c r="B1049" s="233" t="str">
        <f>VLOOKUP(Table8[[#This Row],[Document ID]],Table1[],2,FALSE)</f>
        <v>JPN</v>
      </c>
      <c r="C1049" s="233" t="str">
        <f>VLOOKUP(Table8[[#This Row],[Document ID]],Table1[],3,FALSE)</f>
        <v>Japan</v>
      </c>
      <c r="D1049" s="243" t="str">
        <f>VLOOKUP(Table8[[#This Row],[Document ID]],Table1[],5,FALSE)</f>
        <v>NDC</v>
      </c>
      <c r="E1049" s="233" t="str">
        <f>VLOOKUP(Table8[[#This Row],[Document ID]],Table1[],7,FALSE)</f>
        <v>First NDC</v>
      </c>
      <c r="F1049" s="236" t="str">
        <f>VLOOKUP(Table8[[#This Row],[Document ID]],Table1[],8,FALSE)</f>
        <v>NDC 1.0</v>
      </c>
      <c r="G1049" s="236" t="str">
        <f>VLOOKUP(Table8[[#This Row],[Document ID]],Table1[],10,FALSE)</f>
        <v>Archived</v>
      </c>
      <c r="H1049" s="43" t="s">
        <v>2343</v>
      </c>
      <c r="I1049" s="43" t="s">
        <v>2344</v>
      </c>
      <c r="J1049" s="44" t="s">
        <v>2345</v>
      </c>
      <c r="K1049" s="44" t="s">
        <v>3332</v>
      </c>
      <c r="L1049" s="44" t="s">
        <v>2347</v>
      </c>
      <c r="M1049" s="43"/>
      <c r="N1049" s="113" t="s">
        <v>1113</v>
      </c>
      <c r="O1049" s="113"/>
      <c r="P1049" s="113"/>
      <c r="Q1049" s="319"/>
      <c r="R1049" s="319"/>
      <c r="S1049" s="319"/>
      <c r="T1049" s="319"/>
      <c r="U1049" s="319"/>
      <c r="V1049" s="319"/>
      <c r="W1049" s="319"/>
      <c r="X1049" s="319"/>
      <c r="Y1049" s="319"/>
      <c r="Z1049" s="319"/>
      <c r="AA1049" s="319"/>
      <c r="AB1049" s="319"/>
      <c r="AC1049" s="319"/>
      <c r="AD1049" s="319"/>
      <c r="AE1049" s="319"/>
      <c r="AF1049" s="319"/>
      <c r="AG1049" s="319"/>
      <c r="AH1049" s="319"/>
      <c r="AI1049" s="319"/>
      <c r="AJ1049" s="319"/>
      <c r="AK1049" s="319" t="s">
        <v>1113</v>
      </c>
      <c r="AL1049" s="319"/>
      <c r="AM1049" s="319"/>
      <c r="AN1049" s="319"/>
      <c r="AO1049" s="43" t="s">
        <v>2348</v>
      </c>
      <c r="AP1049" s="44"/>
      <c r="AQ1049" s="236" t="str">
        <f>VLOOKUP(Table8[[#This Row],[Instrument]],Def_Targets!$D$73:$E$159,2,FALSE)</f>
        <v>S_PublicTransport</v>
      </c>
      <c r="AR1049" s="233" t="str">
        <f>VLOOKUP(Table8[[#This Row],[Country Code]],Table29[],3,FALSE)</f>
        <v>Annex I</v>
      </c>
      <c r="AS1049" s="233" t="str">
        <f>VLOOKUP(Table8[[#This Row],[Country Code]],Table29[],4,FALSE)</f>
        <v>Asia</v>
      </c>
      <c r="AT1049" s="233" t="str">
        <f>VLOOKUP(Table8[[#This Row],[Country Code]],Table29[],5,FALSE)</f>
        <v>High-income</v>
      </c>
      <c r="AU1049" s="233" t="str">
        <f>VLOOKUP(Table8[[#This Row],[Country Code]],Table29[],6,FALSE)</f>
        <v>G20</v>
      </c>
      <c r="AV1049" s="233" t="str">
        <f>VLOOKUP(Table8[[#This Row],[Country Code]],Table29[],7,FALSE)</f>
        <v>G7</v>
      </c>
      <c r="AW1049" s="233" t="str">
        <f>VLOOKUP(Table8[[#This Row],[Country Code]],Table29[],8,FALSE)</f>
        <v>OECD</v>
      </c>
      <c r="AX1049" s="233" t="str">
        <f>VLOOKUP(Table8[[#This Row],[Country Code]],Table29[],9,FALSE)</f>
        <v>no</v>
      </c>
      <c r="AY1049" s="233" t="str">
        <f>VLOOKUP(Table8[[#This Row],[Country Code]],Table29[],10,FALSE)</f>
        <v>no</v>
      </c>
      <c r="AZ1049" s="235">
        <f>VLOOKUP(Table8[[#This Row],[Country Code]],Table29[],23,FALSE)</f>
        <v>1041.0128248686999</v>
      </c>
      <c r="BA1049" s="235">
        <f>VLOOKUP(Table8[[#This Row],[Country Code]],Table29[],24,FALSE)</f>
        <v>181.96191357547141</v>
      </c>
      <c r="BB1049" s="320"/>
      <c r="BC1049" s="320"/>
    </row>
    <row r="1050" spans="1:55" ht="30" hidden="1" x14ac:dyDescent="0.25">
      <c r="A1050" s="373">
        <v>17626</v>
      </c>
      <c r="B1050" s="233" t="str">
        <f>VLOOKUP(Table8[[#This Row],[Document ID]],Table1[],2,FALSE)</f>
        <v>JPN</v>
      </c>
      <c r="C1050" s="233" t="str">
        <f>VLOOKUP(Table8[[#This Row],[Document ID]],Table1[],3,FALSE)</f>
        <v>Japan</v>
      </c>
      <c r="D1050" s="243" t="str">
        <f>VLOOKUP(Table8[[#This Row],[Document ID]],Table1[],5,FALSE)</f>
        <v>NDC</v>
      </c>
      <c r="E1050" s="233" t="str">
        <f>VLOOKUP(Table8[[#This Row],[Document ID]],Table1[],7,FALSE)</f>
        <v>First NDC</v>
      </c>
      <c r="F1050" s="236" t="str">
        <f>VLOOKUP(Table8[[#This Row],[Document ID]],Table1[],8,FALSE)</f>
        <v>NDC 1.0</v>
      </c>
      <c r="G1050" s="236" t="str">
        <f>VLOOKUP(Table8[[#This Row],[Document ID]],Table1[],10,FALSE)</f>
        <v>Archived</v>
      </c>
      <c r="H1050" s="43" t="s">
        <v>2350</v>
      </c>
      <c r="I1050" s="43" t="s">
        <v>2351</v>
      </c>
      <c r="J1050" s="44" t="s">
        <v>2352</v>
      </c>
      <c r="K1050" s="44" t="s">
        <v>3333</v>
      </c>
      <c r="L1050" s="44" t="s">
        <v>2347</v>
      </c>
      <c r="M1050" s="43"/>
      <c r="N1050" s="113"/>
      <c r="O1050" s="113"/>
      <c r="P1050" s="113"/>
      <c r="Q1050" s="319"/>
      <c r="R1050" s="319"/>
      <c r="S1050" s="319"/>
      <c r="T1050" s="319"/>
      <c r="U1050" s="319"/>
      <c r="V1050" s="319"/>
      <c r="W1050" s="319"/>
      <c r="X1050" s="319"/>
      <c r="Y1050" s="319"/>
      <c r="Z1050" s="319" t="s">
        <v>1113</v>
      </c>
      <c r="AA1050" s="319"/>
      <c r="AB1050" s="319"/>
      <c r="AC1050" s="319" t="s">
        <v>1113</v>
      </c>
      <c r="AD1050" s="319"/>
      <c r="AE1050" s="319"/>
      <c r="AF1050" s="319"/>
      <c r="AG1050" s="319"/>
      <c r="AH1050" s="319"/>
      <c r="AI1050" s="319"/>
      <c r="AJ1050" s="319"/>
      <c r="AK1050" s="319" t="s">
        <v>1113</v>
      </c>
      <c r="AL1050" s="319"/>
      <c r="AM1050" s="319"/>
      <c r="AN1050" s="319"/>
      <c r="AO1050" s="44" t="s">
        <v>2334</v>
      </c>
      <c r="AP1050" s="44"/>
      <c r="AQ1050" s="236" t="str">
        <f>VLOOKUP(Table8[[#This Row],[Instrument]],Def_Targets!$D$73:$E$159,2,FALSE)</f>
        <v>S_Railfreight</v>
      </c>
      <c r="AR1050" s="233" t="str">
        <f>VLOOKUP(Table8[[#This Row],[Country Code]],Table29[],3,FALSE)</f>
        <v>Annex I</v>
      </c>
      <c r="AS1050" s="233" t="str">
        <f>VLOOKUP(Table8[[#This Row],[Country Code]],Table29[],4,FALSE)</f>
        <v>Asia</v>
      </c>
      <c r="AT1050" s="233" t="str">
        <f>VLOOKUP(Table8[[#This Row],[Country Code]],Table29[],5,FALSE)</f>
        <v>High-income</v>
      </c>
      <c r="AU1050" s="233" t="str">
        <f>VLOOKUP(Table8[[#This Row],[Country Code]],Table29[],6,FALSE)</f>
        <v>G20</v>
      </c>
      <c r="AV1050" s="233" t="str">
        <f>VLOOKUP(Table8[[#This Row],[Country Code]],Table29[],7,FALSE)</f>
        <v>G7</v>
      </c>
      <c r="AW1050" s="233" t="str">
        <f>VLOOKUP(Table8[[#This Row],[Country Code]],Table29[],8,FALSE)</f>
        <v>OECD</v>
      </c>
      <c r="AX1050" s="233" t="str">
        <f>VLOOKUP(Table8[[#This Row],[Country Code]],Table29[],9,FALSE)</f>
        <v>no</v>
      </c>
      <c r="AY1050" s="233" t="str">
        <f>VLOOKUP(Table8[[#This Row],[Country Code]],Table29[],10,FALSE)</f>
        <v>no</v>
      </c>
      <c r="AZ1050" s="235">
        <f>VLOOKUP(Table8[[#This Row],[Country Code]],Table29[],23,FALSE)</f>
        <v>1041.0128248686999</v>
      </c>
      <c r="BA1050" s="235">
        <f>VLOOKUP(Table8[[#This Row],[Country Code]],Table29[],24,FALSE)</f>
        <v>181.96191357547141</v>
      </c>
      <c r="BB1050" s="320"/>
      <c r="BC1050" s="320"/>
    </row>
    <row r="1051" spans="1:55" hidden="1" x14ac:dyDescent="0.25">
      <c r="A1051" s="373">
        <v>17626</v>
      </c>
      <c r="B1051" s="233" t="str">
        <f>VLOOKUP(Table8[[#This Row],[Document ID]],Table1[],2,FALSE)</f>
        <v>JPN</v>
      </c>
      <c r="C1051" s="233" t="str">
        <f>VLOOKUP(Table8[[#This Row],[Document ID]],Table1[],3,FALSE)</f>
        <v>Japan</v>
      </c>
      <c r="D1051" s="243" t="str">
        <f>VLOOKUP(Table8[[#This Row],[Document ID]],Table1[],5,FALSE)</f>
        <v>NDC</v>
      </c>
      <c r="E1051" s="233" t="str">
        <f>VLOOKUP(Table8[[#This Row],[Document ID]],Table1[],7,FALSE)</f>
        <v>First NDC</v>
      </c>
      <c r="F1051" s="236" t="str">
        <f>VLOOKUP(Table8[[#This Row],[Document ID]],Table1[],8,FALSE)</f>
        <v>NDC 1.0</v>
      </c>
      <c r="G1051" s="236" t="str">
        <f>VLOOKUP(Table8[[#This Row],[Document ID]],Table1[],10,FALSE)</f>
        <v>Archived</v>
      </c>
      <c r="H1051" s="43" t="s">
        <v>2484</v>
      </c>
      <c r="I1051" s="43" t="s">
        <v>2485</v>
      </c>
      <c r="J1051" s="44" t="s">
        <v>2486</v>
      </c>
      <c r="K1051" s="44" t="s">
        <v>3334</v>
      </c>
      <c r="L1051" s="44" t="s">
        <v>2333</v>
      </c>
      <c r="M1051" s="43"/>
      <c r="N1051" s="113"/>
      <c r="O1051" s="113"/>
      <c r="P1051" s="113"/>
      <c r="Q1051" s="319"/>
      <c r="R1051" s="319"/>
      <c r="S1051" s="319"/>
      <c r="T1051" s="319"/>
      <c r="U1051" s="319"/>
      <c r="V1051" s="319"/>
      <c r="W1051" s="319"/>
      <c r="X1051" s="319"/>
      <c r="Y1051" s="319"/>
      <c r="Z1051" s="319"/>
      <c r="AA1051" s="319"/>
      <c r="AB1051" s="319"/>
      <c r="AC1051" s="319"/>
      <c r="AD1051" s="113" t="s">
        <v>1113</v>
      </c>
      <c r="AE1051" s="319"/>
      <c r="AF1051" s="319"/>
      <c r="AG1051" s="319"/>
      <c r="AH1051" s="319"/>
      <c r="AI1051" s="319"/>
      <c r="AJ1051" s="319"/>
      <c r="AK1051" s="319" t="s">
        <v>1113</v>
      </c>
      <c r="AL1051" s="319"/>
      <c r="AM1051" s="319"/>
      <c r="AN1051" s="319"/>
      <c r="AO1051" s="43" t="s">
        <v>2353</v>
      </c>
      <c r="AP1051" s="44"/>
      <c r="AQ1051" s="236" t="str">
        <f>VLOOKUP(Table8[[#This Row],[Instrument]],Def_Targets!$D$73:$E$159,2,FALSE)</f>
        <v>I_Shipping</v>
      </c>
      <c r="AR1051" s="233" t="str">
        <f>VLOOKUP(Table8[[#This Row],[Country Code]],Table29[],3,FALSE)</f>
        <v>Annex I</v>
      </c>
      <c r="AS1051" s="233" t="str">
        <f>VLOOKUP(Table8[[#This Row],[Country Code]],Table29[],4,FALSE)</f>
        <v>Asia</v>
      </c>
      <c r="AT1051" s="233" t="str">
        <f>VLOOKUP(Table8[[#This Row],[Country Code]],Table29[],5,FALSE)</f>
        <v>High-income</v>
      </c>
      <c r="AU1051" s="233" t="str">
        <f>VLOOKUP(Table8[[#This Row],[Country Code]],Table29[],6,FALSE)</f>
        <v>G20</v>
      </c>
      <c r="AV1051" s="233" t="str">
        <f>VLOOKUP(Table8[[#This Row],[Country Code]],Table29[],7,FALSE)</f>
        <v>G7</v>
      </c>
      <c r="AW1051" s="233" t="str">
        <f>VLOOKUP(Table8[[#This Row],[Country Code]],Table29[],8,FALSE)</f>
        <v>OECD</v>
      </c>
      <c r="AX1051" s="233" t="str">
        <f>VLOOKUP(Table8[[#This Row],[Country Code]],Table29[],9,FALSE)</f>
        <v>no</v>
      </c>
      <c r="AY1051" s="233" t="str">
        <f>VLOOKUP(Table8[[#This Row],[Country Code]],Table29[],10,FALSE)</f>
        <v>no</v>
      </c>
      <c r="AZ1051" s="235">
        <f>VLOOKUP(Table8[[#This Row],[Country Code]],Table29[],23,FALSE)</f>
        <v>1041.0128248686999</v>
      </c>
      <c r="BA1051" s="235">
        <f>VLOOKUP(Table8[[#This Row],[Country Code]],Table29[],24,FALSE)</f>
        <v>181.96191357547141</v>
      </c>
      <c r="BB1051" s="320"/>
      <c r="BC1051" s="320"/>
    </row>
    <row r="1052" spans="1:55" ht="30" hidden="1" x14ac:dyDescent="0.25">
      <c r="A1052" s="373">
        <v>17626</v>
      </c>
      <c r="B1052" s="233" t="str">
        <f>VLOOKUP(Table8[[#This Row],[Document ID]],Table1[],2,FALSE)</f>
        <v>JPN</v>
      </c>
      <c r="C1052" s="233" t="str">
        <f>VLOOKUP(Table8[[#This Row],[Document ID]],Table1[],3,FALSE)</f>
        <v>Japan</v>
      </c>
      <c r="D1052" s="243" t="str">
        <f>VLOOKUP(Table8[[#This Row],[Document ID]],Table1[],5,FALSE)</f>
        <v>NDC</v>
      </c>
      <c r="E1052" s="233" t="str">
        <f>VLOOKUP(Table8[[#This Row],[Document ID]],Table1[],7,FALSE)</f>
        <v>First NDC</v>
      </c>
      <c r="F1052" s="236" t="str">
        <f>VLOOKUP(Table8[[#This Row],[Document ID]],Table1[],8,FALSE)</f>
        <v>NDC 1.0</v>
      </c>
      <c r="G1052" s="236" t="str">
        <f>VLOOKUP(Table8[[#This Row],[Document ID]],Table1[],10,FALSE)</f>
        <v>Archived</v>
      </c>
      <c r="H1052" s="44" t="s">
        <v>2338</v>
      </c>
      <c r="I1052" s="44" t="s">
        <v>2339</v>
      </c>
      <c r="J1052" s="44" t="s">
        <v>2340</v>
      </c>
      <c r="K1052" s="44" t="s">
        <v>3335</v>
      </c>
      <c r="L1052" s="44" t="s">
        <v>2333</v>
      </c>
      <c r="M1052" s="43"/>
      <c r="N1052" s="113"/>
      <c r="O1052" s="113"/>
      <c r="P1052" s="113"/>
      <c r="Q1052" s="319"/>
      <c r="R1052" s="319"/>
      <c r="S1052" s="319"/>
      <c r="T1052" s="319"/>
      <c r="U1052" s="113" t="s">
        <v>1113</v>
      </c>
      <c r="V1052" s="319"/>
      <c r="W1052" s="319"/>
      <c r="X1052" s="319"/>
      <c r="Y1052" s="319"/>
      <c r="Z1052" s="319"/>
      <c r="AA1052" s="319"/>
      <c r="AB1052" s="319"/>
      <c r="AC1052" s="319"/>
      <c r="AD1052" s="319"/>
      <c r="AE1052" s="319"/>
      <c r="AF1052" s="319"/>
      <c r="AG1052" s="319"/>
      <c r="AH1052" s="319"/>
      <c r="AI1052" s="319"/>
      <c r="AJ1052" s="319"/>
      <c r="AK1052" s="319" t="s">
        <v>1113</v>
      </c>
      <c r="AL1052" s="319"/>
      <c r="AM1052" s="319"/>
      <c r="AN1052" s="319"/>
      <c r="AO1052" s="43" t="s">
        <v>2348</v>
      </c>
      <c r="AP1052" s="44"/>
      <c r="AQ1052" s="236" t="str">
        <f>VLOOKUP(Table8[[#This Row],[Instrument]],Def_Targets!$D$73:$E$159,2,FALSE)</f>
        <v>I_Vehicleimprove</v>
      </c>
      <c r="AR1052" s="233" t="str">
        <f>VLOOKUP(Table8[[#This Row],[Country Code]],Table29[],3,FALSE)</f>
        <v>Annex I</v>
      </c>
      <c r="AS1052" s="233" t="str">
        <f>VLOOKUP(Table8[[#This Row],[Country Code]],Table29[],4,FALSE)</f>
        <v>Asia</v>
      </c>
      <c r="AT1052" s="233" t="str">
        <f>VLOOKUP(Table8[[#This Row],[Country Code]],Table29[],5,FALSE)</f>
        <v>High-income</v>
      </c>
      <c r="AU1052" s="233" t="str">
        <f>VLOOKUP(Table8[[#This Row],[Country Code]],Table29[],6,FALSE)</f>
        <v>G20</v>
      </c>
      <c r="AV1052" s="233" t="str">
        <f>VLOOKUP(Table8[[#This Row],[Country Code]],Table29[],7,FALSE)</f>
        <v>G7</v>
      </c>
      <c r="AW1052" s="233" t="str">
        <f>VLOOKUP(Table8[[#This Row],[Country Code]],Table29[],8,FALSE)</f>
        <v>OECD</v>
      </c>
      <c r="AX1052" s="233" t="str">
        <f>VLOOKUP(Table8[[#This Row],[Country Code]],Table29[],9,FALSE)</f>
        <v>no</v>
      </c>
      <c r="AY1052" s="233" t="str">
        <f>VLOOKUP(Table8[[#This Row],[Country Code]],Table29[],10,FALSE)</f>
        <v>no</v>
      </c>
      <c r="AZ1052" s="235">
        <f>VLOOKUP(Table8[[#This Row],[Country Code]],Table29[],23,FALSE)</f>
        <v>1041.0128248686999</v>
      </c>
      <c r="BA1052" s="235">
        <f>VLOOKUP(Table8[[#This Row],[Country Code]],Table29[],24,FALSE)</f>
        <v>181.96191357547141</v>
      </c>
      <c r="BB1052" s="320"/>
      <c r="BC1052" s="320"/>
    </row>
    <row r="1053" spans="1:55" ht="60" hidden="1" x14ac:dyDescent="0.25">
      <c r="A1053" s="373">
        <v>17627</v>
      </c>
      <c r="B1053" s="233" t="str">
        <f>VLOOKUP(Table8[[#This Row],[Document ID]],Table1[],2,FALSE)</f>
        <v>JPN</v>
      </c>
      <c r="C1053" s="233" t="str">
        <f>VLOOKUP(Table8[[#This Row],[Document ID]],Table1[],3,FALSE)</f>
        <v>Japan</v>
      </c>
      <c r="D1053" s="243" t="str">
        <f>VLOOKUP(Table8[[#This Row],[Document ID]],Table1[],5,FALSE)</f>
        <v>LTS</v>
      </c>
      <c r="E1053" s="233" t="str">
        <f>VLOOKUP(Table8[[#This Row],[Document ID]],Table1[],7,FALSE)</f>
        <v>Archived LTS 1.0</v>
      </c>
      <c r="F1053" s="233" t="str">
        <f>VLOOKUP(Table8[[#This Row],[Document ID]],Table1[],8,FALSE)</f>
        <v>LTS 1.0</v>
      </c>
      <c r="G1053" s="233" t="str">
        <f>VLOOKUP(Table8[[#This Row],[Document ID]],Table1[],10,FALSE)</f>
        <v>Archived</v>
      </c>
      <c r="H1053" s="44" t="s">
        <v>2338</v>
      </c>
      <c r="I1053" s="44" t="s">
        <v>2339</v>
      </c>
      <c r="J1053" s="44" t="s">
        <v>2340</v>
      </c>
      <c r="K1053" s="44" t="s">
        <v>3336</v>
      </c>
      <c r="L1053" s="44" t="s">
        <v>2333</v>
      </c>
      <c r="M1053" s="43">
        <v>46</v>
      </c>
      <c r="N1053" s="113"/>
      <c r="O1053" s="113"/>
      <c r="P1053" s="113"/>
      <c r="Q1053" s="113"/>
      <c r="R1053" s="113"/>
      <c r="S1053" s="113"/>
      <c r="T1053" s="113"/>
      <c r="U1053" s="113"/>
      <c r="V1053" s="113"/>
      <c r="W1053" s="113"/>
      <c r="X1053" s="113"/>
      <c r="Y1053" s="113"/>
      <c r="Z1053" s="113" t="s">
        <v>1113</v>
      </c>
      <c r="AA1053" s="113"/>
      <c r="AB1053" s="113"/>
      <c r="AC1053" s="113"/>
      <c r="AD1053" s="113" t="s">
        <v>1113</v>
      </c>
      <c r="AE1053" s="113"/>
      <c r="AF1053" s="113"/>
      <c r="AG1053" s="113"/>
      <c r="AH1053" s="113" t="s">
        <v>1113</v>
      </c>
      <c r="AI1053" s="113"/>
      <c r="AJ1053" s="113"/>
      <c r="AK1053" s="319" t="s">
        <v>1113</v>
      </c>
      <c r="AL1053" s="113"/>
      <c r="AM1053" s="113"/>
      <c r="AN1053" s="113"/>
      <c r="AO1053" s="44" t="s">
        <v>2334</v>
      </c>
      <c r="AP1053" s="44"/>
      <c r="AQ1053" s="236" t="str">
        <f>VLOOKUP(Table8[[#This Row],[Instrument]],Def_Targets!$D$73:$E$159,2,FALSE)</f>
        <v>I_Vehicleimprove</v>
      </c>
      <c r="AR1053" s="233" t="str">
        <f>VLOOKUP(Table8[[#This Row],[Country Code]],Table29[],3,FALSE)</f>
        <v>Annex I</v>
      </c>
      <c r="AS1053" s="233" t="str">
        <f>VLOOKUP(Table8[[#This Row],[Country Code]],Table29[],4,FALSE)</f>
        <v>Asia</v>
      </c>
      <c r="AT1053" s="233" t="str">
        <f>VLOOKUP(Table8[[#This Row],[Country Code]],Table29[],5,FALSE)</f>
        <v>High-income</v>
      </c>
      <c r="AU1053" s="233" t="str">
        <f>VLOOKUP(Table8[[#This Row],[Country Code]],Table29[],6,FALSE)</f>
        <v>G20</v>
      </c>
      <c r="AV1053" s="233" t="str">
        <f>VLOOKUP(Table8[[#This Row],[Country Code]],Table29[],7,FALSE)</f>
        <v>G7</v>
      </c>
      <c r="AW1053" s="233" t="str">
        <f>VLOOKUP(Table8[[#This Row],[Country Code]],Table29[],8,FALSE)</f>
        <v>OECD</v>
      </c>
      <c r="AX1053" s="233" t="str">
        <f>VLOOKUP(Table8[[#This Row],[Country Code]],Table29[],9,FALSE)</f>
        <v>no</v>
      </c>
      <c r="AY1053" s="233" t="str">
        <f>VLOOKUP(Table8[[#This Row],[Country Code]],Table29[],10,FALSE)</f>
        <v>no</v>
      </c>
      <c r="AZ1053" s="235">
        <f>VLOOKUP(Table8[[#This Row],[Country Code]],Table29[],23,FALSE)</f>
        <v>1041.0128248686999</v>
      </c>
      <c r="BA1053" s="235">
        <f>VLOOKUP(Table8[[#This Row],[Country Code]],Table29[],24,FALSE)</f>
        <v>181.96191357547141</v>
      </c>
      <c r="BB1053" s="320"/>
      <c r="BC1053" s="320"/>
    </row>
    <row r="1054" spans="1:55" ht="45" hidden="1" x14ac:dyDescent="0.25">
      <c r="A1054" s="360">
        <v>17627</v>
      </c>
      <c r="B1054" s="233" t="str">
        <f>VLOOKUP(Table8[[#This Row],[Document ID]],Table1[],2,FALSE)</f>
        <v>JPN</v>
      </c>
      <c r="C1054" s="233" t="str">
        <f>VLOOKUP(Table8[[#This Row],[Document ID]],Table1[],3,FALSE)</f>
        <v>Japan</v>
      </c>
      <c r="D1054" s="233" t="str">
        <f>VLOOKUP(Table8[[#This Row],[Document ID]],Table1[],5,FALSE)</f>
        <v>LTS</v>
      </c>
      <c r="E1054" s="233" t="str">
        <f>VLOOKUP(Table8[[#This Row],[Document ID]],Table1[],7,FALSE)</f>
        <v>Archived LTS 1.0</v>
      </c>
      <c r="F1054" s="233" t="str">
        <f>VLOOKUP(Table8[[#This Row],[Document ID]],Table1[],8,FALSE)</f>
        <v>LTS 1.0</v>
      </c>
      <c r="G1054" s="233" t="str">
        <f>VLOOKUP(Table8[[#This Row],[Document ID]],Table1[],10,FALSE)</f>
        <v>Archived</v>
      </c>
      <c r="H1054" s="44" t="s">
        <v>2338</v>
      </c>
      <c r="I1054" s="44" t="s">
        <v>2339</v>
      </c>
      <c r="J1054" s="44" t="s">
        <v>2413</v>
      </c>
      <c r="K1054" s="44" t="s">
        <v>3337</v>
      </c>
      <c r="L1054" s="44" t="s">
        <v>2333</v>
      </c>
      <c r="M1054" s="43">
        <v>46</v>
      </c>
      <c r="N1054" s="113"/>
      <c r="O1054" s="113"/>
      <c r="P1054" s="113"/>
      <c r="Q1054" s="113"/>
      <c r="R1054" s="113"/>
      <c r="S1054" s="113" t="s">
        <v>1113</v>
      </c>
      <c r="T1054" s="113"/>
      <c r="U1054" s="113"/>
      <c r="V1054" s="113"/>
      <c r="W1054" s="113"/>
      <c r="X1054" s="113"/>
      <c r="Y1054" s="113"/>
      <c r="Z1054" s="113"/>
      <c r="AA1054" s="113"/>
      <c r="AB1054" s="113"/>
      <c r="AC1054" s="113"/>
      <c r="AD1054" s="113"/>
      <c r="AE1054" s="113"/>
      <c r="AF1054" s="113"/>
      <c r="AG1054" s="113"/>
      <c r="AH1054" s="113"/>
      <c r="AI1054" s="113"/>
      <c r="AJ1054" s="113"/>
      <c r="AK1054" s="319" t="s">
        <v>1113</v>
      </c>
      <c r="AL1054" s="113"/>
      <c r="AM1054" s="113"/>
      <c r="AN1054" s="113"/>
      <c r="AO1054" s="44" t="s">
        <v>2334</v>
      </c>
      <c r="AP1054" s="44"/>
      <c r="AQ1054" s="236" t="str">
        <f>VLOOKUP(Table8[[#This Row],[Instrument]],Def_Targets!$D$73:$E$159,2,FALSE)</f>
        <v>I_Vehicleeff</v>
      </c>
      <c r="AR1054" s="233" t="str">
        <f>VLOOKUP(Table8[[#This Row],[Country Code]],Table29[],3,FALSE)</f>
        <v>Annex I</v>
      </c>
      <c r="AS1054" s="233" t="str">
        <f>VLOOKUP(Table8[[#This Row],[Country Code]],Table29[],4,FALSE)</f>
        <v>Asia</v>
      </c>
      <c r="AT1054" s="233" t="str">
        <f>VLOOKUP(Table8[[#This Row],[Country Code]],Table29[],5,FALSE)</f>
        <v>High-income</v>
      </c>
      <c r="AU1054" s="233" t="str">
        <f>VLOOKUP(Table8[[#This Row],[Country Code]],Table29[],6,FALSE)</f>
        <v>G20</v>
      </c>
      <c r="AV1054" s="233" t="str">
        <f>VLOOKUP(Table8[[#This Row],[Country Code]],Table29[],7,FALSE)</f>
        <v>G7</v>
      </c>
      <c r="AW1054" s="233" t="str">
        <f>VLOOKUP(Table8[[#This Row],[Country Code]],Table29[],8,FALSE)</f>
        <v>OECD</v>
      </c>
      <c r="AX1054" s="233" t="str">
        <f>VLOOKUP(Table8[[#This Row],[Country Code]],Table29[],9,FALSE)</f>
        <v>no</v>
      </c>
      <c r="AY1054" s="233" t="str">
        <f>VLOOKUP(Table8[[#This Row],[Country Code]],Table29[],10,FALSE)</f>
        <v>no</v>
      </c>
      <c r="AZ1054" s="235">
        <f>VLOOKUP(Table8[[#This Row],[Country Code]],Table29[],23,FALSE)</f>
        <v>1041.0128248686999</v>
      </c>
      <c r="BA1054" s="235">
        <f>VLOOKUP(Table8[[#This Row],[Country Code]],Table29[],24,FALSE)</f>
        <v>181.96191357547141</v>
      </c>
      <c r="BB1054" s="320"/>
      <c r="BC1054" s="320"/>
    </row>
    <row r="1055" spans="1:55" ht="75" hidden="1" x14ac:dyDescent="0.25">
      <c r="A1055" s="360">
        <v>17627</v>
      </c>
      <c r="B1055" s="233" t="str">
        <f>VLOOKUP(Table8[[#This Row],[Document ID]],Table1[],2,FALSE)</f>
        <v>JPN</v>
      </c>
      <c r="C1055" s="233" t="str">
        <f>VLOOKUP(Table8[[#This Row],[Document ID]],Table1[],3,FALSE)</f>
        <v>Japan</v>
      </c>
      <c r="D1055" s="233" t="str">
        <f>VLOOKUP(Table8[[#This Row],[Document ID]],Table1[],5,FALSE)</f>
        <v>LTS</v>
      </c>
      <c r="E1055" s="233" t="str">
        <f>VLOOKUP(Table8[[#This Row],[Document ID]],Table1[],7,FALSE)</f>
        <v>Archived LTS 1.0</v>
      </c>
      <c r="F1055" s="233" t="str">
        <f>VLOOKUP(Table8[[#This Row],[Document ID]],Table1[],8,FALSE)</f>
        <v>LTS 1.0</v>
      </c>
      <c r="G1055" s="233" t="str">
        <f>VLOOKUP(Table8[[#This Row],[Document ID]],Table1[],10,FALSE)</f>
        <v>Archived</v>
      </c>
      <c r="H1055" s="43" t="s">
        <v>2358</v>
      </c>
      <c r="I1055" s="43" t="s">
        <v>2359</v>
      </c>
      <c r="J1055" s="44" t="s">
        <v>2360</v>
      </c>
      <c r="K1055" s="44" t="s">
        <v>3338</v>
      </c>
      <c r="L1055" s="44" t="s">
        <v>2333</v>
      </c>
      <c r="M1055" s="43">
        <v>46</v>
      </c>
      <c r="N1055" s="113"/>
      <c r="O1055" s="113"/>
      <c r="P1055" s="113"/>
      <c r="Q1055" s="113"/>
      <c r="R1055" s="113"/>
      <c r="S1055" s="113"/>
      <c r="T1055" s="113"/>
      <c r="U1055" s="113"/>
      <c r="V1055" s="113"/>
      <c r="W1055" s="113"/>
      <c r="X1055" s="113" t="s">
        <v>1113</v>
      </c>
      <c r="Y1055" s="113" t="s">
        <v>1113</v>
      </c>
      <c r="Z1055" s="113"/>
      <c r="AA1055" s="113"/>
      <c r="AB1055" s="113"/>
      <c r="AC1055" s="113"/>
      <c r="AD1055" s="113"/>
      <c r="AE1055" s="113"/>
      <c r="AF1055" s="113"/>
      <c r="AG1055" s="113"/>
      <c r="AH1055" s="113"/>
      <c r="AI1055" s="113"/>
      <c r="AJ1055" s="113"/>
      <c r="AK1055" s="319" t="s">
        <v>1113</v>
      </c>
      <c r="AL1055" s="113"/>
      <c r="AM1055" s="113"/>
      <c r="AN1055" s="113"/>
      <c r="AO1055" s="44" t="s">
        <v>2334</v>
      </c>
      <c r="AP1055" s="44"/>
      <c r="AQ1055" s="236" t="str">
        <f>VLOOKUP(Table8[[#This Row],[Instrument]],Def_Targets!$D$73:$E$159,2,FALSE)</f>
        <v>I_Emobility</v>
      </c>
      <c r="AR1055" s="233" t="str">
        <f>VLOOKUP(Table8[[#This Row],[Country Code]],Table29[],3,FALSE)</f>
        <v>Annex I</v>
      </c>
      <c r="AS1055" s="233" t="str">
        <f>VLOOKUP(Table8[[#This Row],[Country Code]],Table29[],4,FALSE)</f>
        <v>Asia</v>
      </c>
      <c r="AT1055" s="233" t="str">
        <f>VLOOKUP(Table8[[#This Row],[Country Code]],Table29[],5,FALSE)</f>
        <v>High-income</v>
      </c>
      <c r="AU1055" s="233" t="str">
        <f>VLOOKUP(Table8[[#This Row],[Country Code]],Table29[],6,FALSE)</f>
        <v>G20</v>
      </c>
      <c r="AV1055" s="233" t="str">
        <f>VLOOKUP(Table8[[#This Row],[Country Code]],Table29[],7,FALSE)</f>
        <v>G7</v>
      </c>
      <c r="AW1055" s="233" t="str">
        <f>VLOOKUP(Table8[[#This Row],[Country Code]],Table29[],8,FALSE)</f>
        <v>OECD</v>
      </c>
      <c r="AX1055" s="233" t="str">
        <f>VLOOKUP(Table8[[#This Row],[Country Code]],Table29[],9,FALSE)</f>
        <v>no</v>
      </c>
      <c r="AY1055" s="233" t="str">
        <f>VLOOKUP(Table8[[#This Row],[Country Code]],Table29[],10,FALSE)</f>
        <v>no</v>
      </c>
      <c r="AZ1055" s="235">
        <f>VLOOKUP(Table8[[#This Row],[Country Code]],Table29[],23,FALSE)</f>
        <v>1041.0128248686999</v>
      </c>
      <c r="BA1055" s="235">
        <f>VLOOKUP(Table8[[#This Row],[Country Code]],Table29[],24,FALSE)</f>
        <v>181.96191357547141</v>
      </c>
      <c r="BB1055" s="320"/>
      <c r="BC1055" s="320"/>
    </row>
    <row r="1056" spans="1:55" ht="75" hidden="1" x14ac:dyDescent="0.25">
      <c r="A1056" s="360">
        <v>17627</v>
      </c>
      <c r="B1056" s="233" t="str">
        <f>VLOOKUP(Table8[[#This Row],[Document ID]],Table1[],2,FALSE)</f>
        <v>JPN</v>
      </c>
      <c r="C1056" s="233" t="str">
        <f>VLOOKUP(Table8[[#This Row],[Document ID]],Table1[],3,FALSE)</f>
        <v>Japan</v>
      </c>
      <c r="D1056" s="233" t="str">
        <f>VLOOKUP(Table8[[#This Row],[Document ID]],Table1[],5,FALSE)</f>
        <v>LTS</v>
      </c>
      <c r="E1056" s="233" t="str">
        <f>VLOOKUP(Table8[[#This Row],[Document ID]],Table1[],7,FALSE)</f>
        <v>Archived LTS 1.0</v>
      </c>
      <c r="F1056" s="233" t="str">
        <f>VLOOKUP(Table8[[#This Row],[Document ID]],Table1[],8,FALSE)</f>
        <v>LTS 1.0</v>
      </c>
      <c r="G1056" s="233" t="str">
        <f>VLOOKUP(Table8[[#This Row],[Document ID]],Table1[],10,FALSE)</f>
        <v>Archived</v>
      </c>
      <c r="H1056" s="44" t="s">
        <v>2329</v>
      </c>
      <c r="I1056" s="44" t="s">
        <v>2330</v>
      </c>
      <c r="J1056" s="44" t="s">
        <v>2363</v>
      </c>
      <c r="K1056" s="44" t="s">
        <v>3338</v>
      </c>
      <c r="L1056" s="44" t="s">
        <v>2333</v>
      </c>
      <c r="M1056" s="43">
        <v>46</v>
      </c>
      <c r="N1056" s="113"/>
      <c r="O1056" s="113"/>
      <c r="P1056" s="113"/>
      <c r="Q1056" s="113"/>
      <c r="R1056" s="113"/>
      <c r="S1056" s="113"/>
      <c r="T1056" s="113"/>
      <c r="U1056" s="113"/>
      <c r="V1056" s="113"/>
      <c r="W1056" s="113"/>
      <c r="X1056" s="113" t="s">
        <v>1113</v>
      </c>
      <c r="Y1056" s="113" t="s">
        <v>1113</v>
      </c>
      <c r="Z1056" s="113"/>
      <c r="AA1056" s="113"/>
      <c r="AB1056" s="113"/>
      <c r="AC1056" s="113"/>
      <c r="AD1056" s="113"/>
      <c r="AE1056" s="113"/>
      <c r="AF1056" s="113"/>
      <c r="AG1056" s="113"/>
      <c r="AH1056" s="113"/>
      <c r="AI1056" s="113"/>
      <c r="AJ1056" s="113"/>
      <c r="AK1056" s="319" t="s">
        <v>1113</v>
      </c>
      <c r="AL1056" s="113"/>
      <c r="AM1056" s="113"/>
      <c r="AN1056" s="113"/>
      <c r="AO1056" s="44" t="s">
        <v>2334</v>
      </c>
      <c r="AP1056" s="44"/>
      <c r="AQ1056" s="236" t="str">
        <f>VLOOKUP(Table8[[#This Row],[Instrument]],Def_Targets!$D$73:$E$159,2,FALSE)</f>
        <v>I_LPGCNGLNG</v>
      </c>
      <c r="AR1056" s="233" t="str">
        <f>VLOOKUP(Table8[[#This Row],[Country Code]],Table29[],3,FALSE)</f>
        <v>Annex I</v>
      </c>
      <c r="AS1056" s="233" t="str">
        <f>VLOOKUP(Table8[[#This Row],[Country Code]],Table29[],4,FALSE)</f>
        <v>Asia</v>
      </c>
      <c r="AT1056" s="233" t="str">
        <f>VLOOKUP(Table8[[#This Row],[Country Code]],Table29[],5,FALSE)</f>
        <v>High-income</v>
      </c>
      <c r="AU1056" s="233" t="str">
        <f>VLOOKUP(Table8[[#This Row],[Country Code]],Table29[],6,FALSE)</f>
        <v>G20</v>
      </c>
      <c r="AV1056" s="233" t="str">
        <f>VLOOKUP(Table8[[#This Row],[Country Code]],Table29[],7,FALSE)</f>
        <v>G7</v>
      </c>
      <c r="AW1056" s="233" t="str">
        <f>VLOOKUP(Table8[[#This Row],[Country Code]],Table29[],8,FALSE)</f>
        <v>OECD</v>
      </c>
      <c r="AX1056" s="233" t="str">
        <f>VLOOKUP(Table8[[#This Row],[Country Code]],Table29[],9,FALSE)</f>
        <v>no</v>
      </c>
      <c r="AY1056" s="233" t="str">
        <f>VLOOKUP(Table8[[#This Row],[Country Code]],Table29[],10,FALSE)</f>
        <v>no</v>
      </c>
      <c r="AZ1056" s="235">
        <f>VLOOKUP(Table8[[#This Row],[Country Code]],Table29[],23,FALSE)</f>
        <v>1041.0128248686999</v>
      </c>
      <c r="BA1056" s="235">
        <f>VLOOKUP(Table8[[#This Row],[Country Code]],Table29[],24,FALSE)</f>
        <v>181.96191357547141</v>
      </c>
      <c r="BB1056" s="320"/>
      <c r="BC1056" s="320"/>
    </row>
    <row r="1057" spans="1:55" ht="30" hidden="1" x14ac:dyDescent="0.25">
      <c r="A1057" s="360">
        <v>17627</v>
      </c>
      <c r="B1057" s="233" t="str">
        <f>VLOOKUP(Table8[[#This Row],[Document ID]],Table1[],2,FALSE)</f>
        <v>JPN</v>
      </c>
      <c r="C1057" s="233" t="str">
        <f>VLOOKUP(Table8[[#This Row],[Document ID]],Table1[],3,FALSE)</f>
        <v>Japan</v>
      </c>
      <c r="D1057" s="233" t="str">
        <f>VLOOKUP(Table8[[#This Row],[Document ID]],Table1[],5,FALSE)</f>
        <v>LTS</v>
      </c>
      <c r="E1057" s="233" t="str">
        <f>VLOOKUP(Table8[[#This Row],[Document ID]],Table1[],7,FALSE)</f>
        <v>Archived LTS 1.0</v>
      </c>
      <c r="F1057" s="233" t="str">
        <f>VLOOKUP(Table8[[#This Row],[Document ID]],Table1[],8,FALSE)</f>
        <v>LTS 1.0</v>
      </c>
      <c r="G1057" s="233" t="str">
        <f>VLOOKUP(Table8[[#This Row],[Document ID]],Table1[],10,FALSE)</f>
        <v>Archived</v>
      </c>
      <c r="H1057" s="43" t="s">
        <v>2343</v>
      </c>
      <c r="I1057" s="43" t="s">
        <v>2429</v>
      </c>
      <c r="J1057" s="44" t="s">
        <v>2501</v>
      </c>
      <c r="K1057" s="44" t="s">
        <v>3339</v>
      </c>
      <c r="L1057" s="44" t="s">
        <v>2333</v>
      </c>
      <c r="M1057" s="43">
        <v>46</v>
      </c>
      <c r="N1057" s="113" t="s">
        <v>1113</v>
      </c>
      <c r="O1057" s="113"/>
      <c r="P1057" s="113"/>
      <c r="Q1057" s="113"/>
      <c r="R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319" t="s">
        <v>1113</v>
      </c>
      <c r="AL1057" s="113"/>
      <c r="AM1057" s="113"/>
      <c r="AN1057" s="113"/>
      <c r="AO1057" s="44" t="s">
        <v>2334</v>
      </c>
      <c r="AP1057" s="44"/>
      <c r="AQ1057" s="236" t="str">
        <f>VLOOKUP(Table8[[#This Row],[Instrument]],Def_Targets!$D$73:$E$159,2,FALSE)</f>
        <v>I_Autonomous</v>
      </c>
      <c r="AR1057" s="233" t="str">
        <f>VLOOKUP(Table8[[#This Row],[Country Code]],Table29[],3,FALSE)</f>
        <v>Annex I</v>
      </c>
      <c r="AS1057" s="233" t="str">
        <f>VLOOKUP(Table8[[#This Row],[Country Code]],Table29[],4,FALSE)</f>
        <v>Asia</v>
      </c>
      <c r="AT1057" s="233" t="str">
        <f>VLOOKUP(Table8[[#This Row],[Country Code]],Table29[],5,FALSE)</f>
        <v>High-income</v>
      </c>
      <c r="AU1057" s="233" t="str">
        <f>VLOOKUP(Table8[[#This Row],[Country Code]],Table29[],6,FALSE)</f>
        <v>G20</v>
      </c>
      <c r="AV1057" s="233" t="str">
        <f>VLOOKUP(Table8[[#This Row],[Country Code]],Table29[],7,FALSE)</f>
        <v>G7</v>
      </c>
      <c r="AW1057" s="233" t="str">
        <f>VLOOKUP(Table8[[#This Row],[Country Code]],Table29[],8,FALSE)</f>
        <v>OECD</v>
      </c>
      <c r="AX1057" s="233" t="str">
        <f>VLOOKUP(Table8[[#This Row],[Country Code]],Table29[],9,FALSE)</f>
        <v>no</v>
      </c>
      <c r="AY1057" s="233" t="str">
        <f>VLOOKUP(Table8[[#This Row],[Country Code]],Table29[],10,FALSE)</f>
        <v>no</v>
      </c>
      <c r="AZ1057" s="235">
        <f>VLOOKUP(Table8[[#This Row],[Country Code]],Table29[],23,FALSE)</f>
        <v>1041.0128248686999</v>
      </c>
      <c r="BA1057" s="235">
        <f>VLOOKUP(Table8[[#This Row],[Country Code]],Table29[],24,FALSE)</f>
        <v>181.96191357547141</v>
      </c>
      <c r="BB1057" s="320"/>
      <c r="BC1057" s="320"/>
    </row>
    <row r="1058" spans="1:55" ht="30" hidden="1" x14ac:dyDescent="0.25">
      <c r="A1058" s="360">
        <v>17627</v>
      </c>
      <c r="B1058" s="233" t="str">
        <f>VLOOKUP(Table8[[#This Row],[Document ID]],Table1[],2,FALSE)</f>
        <v>JPN</v>
      </c>
      <c r="C1058" s="233" t="str">
        <f>VLOOKUP(Table8[[#This Row],[Document ID]],Table1[],3,FALSE)</f>
        <v>Japan</v>
      </c>
      <c r="D1058" s="233" t="str">
        <f>VLOOKUP(Table8[[#This Row],[Document ID]],Table1[],5,FALSE)</f>
        <v>LTS</v>
      </c>
      <c r="E1058" s="233" t="str">
        <f>VLOOKUP(Table8[[#This Row],[Document ID]],Table1[],7,FALSE)</f>
        <v>Archived LTS 1.0</v>
      </c>
      <c r="F1058" s="233" t="str">
        <f>VLOOKUP(Table8[[#This Row],[Document ID]],Table1[],8,FALSE)</f>
        <v>LTS 1.0</v>
      </c>
      <c r="G1058" s="233" t="str">
        <f>VLOOKUP(Table8[[#This Row],[Document ID]],Table1[],10,FALSE)</f>
        <v>Archived</v>
      </c>
      <c r="H1058" s="43" t="s">
        <v>2343</v>
      </c>
      <c r="I1058" s="43" t="s">
        <v>2429</v>
      </c>
      <c r="J1058" s="44" t="s">
        <v>2472</v>
      </c>
      <c r="K1058" s="44" t="s">
        <v>3339</v>
      </c>
      <c r="L1058" s="44" t="s">
        <v>2333</v>
      </c>
      <c r="M1058" s="43">
        <v>46</v>
      </c>
      <c r="N1058" s="113" t="s">
        <v>1113</v>
      </c>
      <c r="O1058" s="113"/>
      <c r="P1058" s="113"/>
      <c r="Q1058" s="113"/>
      <c r="R1058" s="113"/>
      <c r="S1058" s="113"/>
      <c r="T1058" s="113"/>
      <c r="U1058" s="113"/>
      <c r="V1058" s="113"/>
      <c r="W1058" s="113"/>
      <c r="X1058" s="113"/>
      <c r="Y1058" s="113"/>
      <c r="Z1058" s="113"/>
      <c r="AA1058" s="113"/>
      <c r="AB1058" s="113"/>
      <c r="AC1058" s="113"/>
      <c r="AD1058" s="113"/>
      <c r="AE1058" s="113"/>
      <c r="AF1058" s="113"/>
      <c r="AG1058" s="113"/>
      <c r="AH1058" s="113"/>
      <c r="AI1058" s="113"/>
      <c r="AJ1058" s="113"/>
      <c r="AK1058" s="319" t="s">
        <v>1113</v>
      </c>
      <c r="AL1058" s="113"/>
      <c r="AM1058" s="113"/>
      <c r="AN1058" s="113"/>
      <c r="AO1058" s="44" t="s">
        <v>2334</v>
      </c>
      <c r="AP1058" s="44"/>
      <c r="AQ1058" s="236" t="str">
        <f>VLOOKUP(Table8[[#This Row],[Instrument]],Def_Targets!$D$73:$E$159,2,FALSE)</f>
        <v>I_Other</v>
      </c>
      <c r="AR1058" s="233" t="str">
        <f>VLOOKUP(Table8[[#This Row],[Country Code]],Table29[],3,FALSE)</f>
        <v>Annex I</v>
      </c>
      <c r="AS1058" s="233" t="str">
        <f>VLOOKUP(Table8[[#This Row],[Country Code]],Table29[],4,FALSE)</f>
        <v>Asia</v>
      </c>
      <c r="AT1058" s="233" t="str">
        <f>VLOOKUP(Table8[[#This Row],[Country Code]],Table29[],5,FALSE)</f>
        <v>High-income</v>
      </c>
      <c r="AU1058" s="233" t="str">
        <f>VLOOKUP(Table8[[#This Row],[Country Code]],Table29[],6,FALSE)</f>
        <v>G20</v>
      </c>
      <c r="AV1058" s="233" t="str">
        <f>VLOOKUP(Table8[[#This Row],[Country Code]],Table29[],7,FALSE)</f>
        <v>G7</v>
      </c>
      <c r="AW1058" s="233" t="str">
        <f>VLOOKUP(Table8[[#This Row],[Country Code]],Table29[],8,FALSE)</f>
        <v>OECD</v>
      </c>
      <c r="AX1058" s="233" t="str">
        <f>VLOOKUP(Table8[[#This Row],[Country Code]],Table29[],9,FALSE)</f>
        <v>no</v>
      </c>
      <c r="AY1058" s="233" t="str">
        <f>VLOOKUP(Table8[[#This Row],[Country Code]],Table29[],10,FALSE)</f>
        <v>no</v>
      </c>
      <c r="AZ1058" s="235">
        <f>VLOOKUP(Table8[[#This Row],[Country Code]],Table29[],23,FALSE)</f>
        <v>1041.0128248686999</v>
      </c>
      <c r="BA1058" s="235">
        <f>VLOOKUP(Table8[[#This Row],[Country Code]],Table29[],24,FALSE)</f>
        <v>181.96191357547141</v>
      </c>
      <c r="BB1058" s="320"/>
      <c r="BC1058" s="320"/>
    </row>
    <row r="1059" spans="1:55" ht="60" hidden="1" x14ac:dyDescent="0.25">
      <c r="A1059" s="360">
        <v>17627</v>
      </c>
      <c r="B1059" s="233" t="str">
        <f>VLOOKUP(Table8[[#This Row],[Document ID]],Table1[],2,FALSE)</f>
        <v>JPN</v>
      </c>
      <c r="C1059" s="233" t="str">
        <f>VLOOKUP(Table8[[#This Row],[Document ID]],Table1[],3,FALSE)</f>
        <v>Japan</v>
      </c>
      <c r="D1059" s="233" t="str">
        <f>VLOOKUP(Table8[[#This Row],[Document ID]],Table1[],5,FALSE)</f>
        <v>LTS</v>
      </c>
      <c r="E1059" s="233" t="str">
        <f>VLOOKUP(Table8[[#This Row],[Document ID]],Table1[],7,FALSE)</f>
        <v>Archived LTS 1.0</v>
      </c>
      <c r="F1059" s="233" t="str">
        <f>VLOOKUP(Table8[[#This Row],[Document ID]],Table1[],8,FALSE)</f>
        <v>LTS 1.0</v>
      </c>
      <c r="G1059" s="233" t="str">
        <f>VLOOKUP(Table8[[#This Row],[Document ID]],Table1[],10,FALSE)</f>
        <v>Archived</v>
      </c>
      <c r="H1059" s="43" t="s">
        <v>2343</v>
      </c>
      <c r="I1059" s="43" t="s">
        <v>2429</v>
      </c>
      <c r="J1059" s="44" t="s">
        <v>2610</v>
      </c>
      <c r="K1059" s="44" t="s">
        <v>3340</v>
      </c>
      <c r="L1059" s="44" t="s">
        <v>2333</v>
      </c>
      <c r="M1059" s="43">
        <v>46</v>
      </c>
      <c r="N1059" s="113"/>
      <c r="O1059" s="113"/>
      <c r="P1059" s="113"/>
      <c r="Q1059" s="113"/>
      <c r="R1059" s="113"/>
      <c r="S1059" s="113" t="s">
        <v>1113</v>
      </c>
      <c r="T1059" s="113"/>
      <c r="U1059" s="113"/>
      <c r="V1059" s="113"/>
      <c r="W1059" s="113"/>
      <c r="X1059" s="113"/>
      <c r="Y1059" s="113"/>
      <c r="Z1059" s="113"/>
      <c r="AA1059" s="113"/>
      <c r="AB1059" s="113"/>
      <c r="AC1059" s="113"/>
      <c r="AD1059" s="113"/>
      <c r="AE1059" s="113"/>
      <c r="AF1059" s="113"/>
      <c r="AG1059" s="113"/>
      <c r="AH1059" s="113"/>
      <c r="AI1059" s="113"/>
      <c r="AJ1059" s="113"/>
      <c r="AK1059" s="319" t="s">
        <v>1113</v>
      </c>
      <c r="AL1059" s="113"/>
      <c r="AM1059" s="113"/>
      <c r="AN1059" s="113"/>
      <c r="AO1059" s="44" t="s">
        <v>2334</v>
      </c>
      <c r="AP1059" s="44"/>
      <c r="AQ1059" s="236" t="e">
        <f>VLOOKUP(Table8[[#This Row],[Instrument]],Def_Targets!$D$73:$E$159,2,FALSE)</f>
        <v>#N/A</v>
      </c>
      <c r="AR1059" s="233" t="str">
        <f>VLOOKUP(Table8[[#This Row],[Country Code]],Table29[],3,FALSE)</f>
        <v>Annex I</v>
      </c>
      <c r="AS1059" s="233" t="str">
        <f>VLOOKUP(Table8[[#This Row],[Country Code]],Table29[],4,FALSE)</f>
        <v>Asia</v>
      </c>
      <c r="AT1059" s="233" t="str">
        <f>VLOOKUP(Table8[[#This Row],[Country Code]],Table29[],5,FALSE)</f>
        <v>High-income</v>
      </c>
      <c r="AU1059" s="233" t="str">
        <f>VLOOKUP(Table8[[#This Row],[Country Code]],Table29[],6,FALSE)</f>
        <v>G20</v>
      </c>
      <c r="AV1059" s="233" t="str">
        <f>VLOOKUP(Table8[[#This Row],[Country Code]],Table29[],7,FALSE)</f>
        <v>G7</v>
      </c>
      <c r="AW1059" s="233" t="str">
        <f>VLOOKUP(Table8[[#This Row],[Country Code]],Table29[],8,FALSE)</f>
        <v>OECD</v>
      </c>
      <c r="AX1059" s="233" t="str">
        <f>VLOOKUP(Table8[[#This Row],[Country Code]],Table29[],9,FALSE)</f>
        <v>no</v>
      </c>
      <c r="AY1059" s="233" t="str">
        <f>VLOOKUP(Table8[[#This Row],[Country Code]],Table29[],10,FALSE)</f>
        <v>no</v>
      </c>
      <c r="AZ1059" s="235">
        <f>VLOOKUP(Table8[[#This Row],[Country Code]],Table29[],23,FALSE)</f>
        <v>1041.0128248686999</v>
      </c>
      <c r="BA1059" s="235">
        <f>VLOOKUP(Table8[[#This Row],[Country Code]],Table29[],24,FALSE)</f>
        <v>181.96191357547141</v>
      </c>
      <c r="BB1059" s="320"/>
      <c r="BC1059" s="320"/>
    </row>
    <row r="1060" spans="1:55" ht="60" hidden="1" x14ac:dyDescent="0.25">
      <c r="A1060" s="360">
        <v>17627</v>
      </c>
      <c r="B1060" s="233" t="str">
        <f>VLOOKUP(Table8[[#This Row],[Document ID]],Table1[],2,FALSE)</f>
        <v>JPN</v>
      </c>
      <c r="C1060" s="233" t="str">
        <f>VLOOKUP(Table8[[#This Row],[Document ID]],Table1[],3,FALSE)</f>
        <v>Japan</v>
      </c>
      <c r="D1060" s="233" t="str">
        <f>VLOOKUP(Table8[[#This Row],[Document ID]],Table1[],5,FALSE)</f>
        <v>LTS</v>
      </c>
      <c r="E1060" s="233" t="str">
        <f>VLOOKUP(Table8[[#This Row],[Document ID]],Table1[],7,FALSE)</f>
        <v>Archived LTS 1.0</v>
      </c>
      <c r="F1060" s="233" t="str">
        <f>VLOOKUP(Table8[[#This Row],[Document ID]],Table1[],8,FALSE)</f>
        <v>LTS 1.0</v>
      </c>
      <c r="G1060" s="233" t="str">
        <f>VLOOKUP(Table8[[#This Row],[Document ID]],Table1[],10,FALSE)</f>
        <v>Archived</v>
      </c>
      <c r="H1060" s="43" t="s">
        <v>2350</v>
      </c>
      <c r="I1060" s="43" t="s">
        <v>2456</v>
      </c>
      <c r="J1060" s="44" t="s">
        <v>2457</v>
      </c>
      <c r="K1060" s="44" t="s">
        <v>3340</v>
      </c>
      <c r="L1060" s="44" t="s">
        <v>2333</v>
      </c>
      <c r="M1060" s="43">
        <v>46</v>
      </c>
      <c r="N1060" s="113"/>
      <c r="O1060" s="113"/>
      <c r="P1060" s="113"/>
      <c r="Q1060" s="113"/>
      <c r="R1060" s="113"/>
      <c r="S1060" s="113" t="s">
        <v>1113</v>
      </c>
      <c r="T1060" s="113"/>
      <c r="U1060" s="113"/>
      <c r="V1060" s="113"/>
      <c r="W1060" s="113"/>
      <c r="X1060" s="113"/>
      <c r="Y1060" s="113"/>
      <c r="Z1060" s="113"/>
      <c r="AA1060" s="113"/>
      <c r="AB1060" s="113"/>
      <c r="AC1060" s="113"/>
      <c r="AD1060" s="113"/>
      <c r="AE1060" s="113"/>
      <c r="AF1060" s="113"/>
      <c r="AG1060" s="113"/>
      <c r="AH1060" s="113"/>
      <c r="AI1060" s="113"/>
      <c r="AJ1060" s="113"/>
      <c r="AK1060" s="319" t="s">
        <v>1113</v>
      </c>
      <c r="AL1060" s="113"/>
      <c r="AM1060" s="113"/>
      <c r="AN1060" s="113"/>
      <c r="AO1060" s="44" t="s">
        <v>2334</v>
      </c>
      <c r="AP1060" s="44"/>
      <c r="AQ1060" s="236" t="str">
        <f>VLOOKUP(Table8[[#This Row],[Instrument]],Def_Targets!$D$73:$E$159,2,FALSE)</f>
        <v>S_Infraimprove</v>
      </c>
      <c r="AR1060" s="233" t="str">
        <f>VLOOKUP(Table8[[#This Row],[Country Code]],Table29[],3,FALSE)</f>
        <v>Annex I</v>
      </c>
      <c r="AS1060" s="233" t="str">
        <f>VLOOKUP(Table8[[#This Row],[Country Code]],Table29[],4,FALSE)</f>
        <v>Asia</v>
      </c>
      <c r="AT1060" s="233" t="str">
        <f>VLOOKUP(Table8[[#This Row],[Country Code]],Table29[],5,FALSE)</f>
        <v>High-income</v>
      </c>
      <c r="AU1060" s="233" t="str">
        <f>VLOOKUP(Table8[[#This Row],[Country Code]],Table29[],6,FALSE)</f>
        <v>G20</v>
      </c>
      <c r="AV1060" s="233" t="str">
        <f>VLOOKUP(Table8[[#This Row],[Country Code]],Table29[],7,FALSE)</f>
        <v>G7</v>
      </c>
      <c r="AW1060" s="233" t="str">
        <f>VLOOKUP(Table8[[#This Row],[Country Code]],Table29[],8,FALSE)</f>
        <v>OECD</v>
      </c>
      <c r="AX1060" s="233" t="str">
        <f>VLOOKUP(Table8[[#This Row],[Country Code]],Table29[],9,FALSE)</f>
        <v>no</v>
      </c>
      <c r="AY1060" s="233" t="str">
        <f>VLOOKUP(Table8[[#This Row],[Country Code]],Table29[],10,FALSE)</f>
        <v>no</v>
      </c>
      <c r="AZ1060" s="235">
        <f>VLOOKUP(Table8[[#This Row],[Country Code]],Table29[],23,FALSE)</f>
        <v>1041.0128248686999</v>
      </c>
      <c r="BA1060" s="235">
        <f>VLOOKUP(Table8[[#This Row],[Country Code]],Table29[],24,FALSE)</f>
        <v>181.96191357547141</v>
      </c>
      <c r="BB1060" s="320"/>
      <c r="BC1060" s="320"/>
    </row>
    <row r="1061" spans="1:55" ht="30" hidden="1" x14ac:dyDescent="0.25">
      <c r="A1061" s="373">
        <v>17627</v>
      </c>
      <c r="B1061" s="233" t="str">
        <f>VLOOKUP(Table8[[#This Row],[Document ID]],Table1[],2,FALSE)</f>
        <v>JPN</v>
      </c>
      <c r="C1061" s="233" t="str">
        <f>VLOOKUP(Table8[[#This Row],[Document ID]],Table1[],3,FALSE)</f>
        <v>Japan</v>
      </c>
      <c r="D1061" s="243" t="str">
        <f>VLOOKUP(Table8[[#This Row],[Document ID]],Table1[],5,FALSE)</f>
        <v>LTS</v>
      </c>
      <c r="E1061" s="233" t="str">
        <f>VLOOKUP(Table8[[#This Row],[Document ID]],Table1[],7,FALSE)</f>
        <v>Archived LTS 1.0</v>
      </c>
      <c r="F1061" s="233" t="str">
        <f>VLOOKUP(Table8[[#This Row],[Document ID]],Table1[],8,FALSE)</f>
        <v>LTS 1.0</v>
      </c>
      <c r="G1061" s="233" t="str">
        <f>VLOOKUP(Table8[[#This Row],[Document ID]],Table1[],10,FALSE)</f>
        <v>Archived</v>
      </c>
      <c r="H1061" s="44" t="s">
        <v>2329</v>
      </c>
      <c r="I1061" s="44" t="s">
        <v>2330</v>
      </c>
      <c r="J1061" s="44" t="s">
        <v>2331</v>
      </c>
      <c r="K1061" s="44" t="s">
        <v>3341</v>
      </c>
      <c r="L1061" s="44" t="s">
        <v>2333</v>
      </c>
      <c r="M1061" s="43">
        <v>46</v>
      </c>
      <c r="N1061" s="113"/>
      <c r="O1061" s="113"/>
      <c r="P1061" s="113"/>
      <c r="Q1061" s="113"/>
      <c r="R1061" s="113"/>
      <c r="S1061" s="113"/>
      <c r="T1061" s="113"/>
      <c r="U1061" s="113"/>
      <c r="V1061" s="113"/>
      <c r="W1061" s="113"/>
      <c r="X1061" s="113"/>
      <c r="Y1061" s="113"/>
      <c r="Z1061" s="113"/>
      <c r="AA1061" s="113"/>
      <c r="AB1061" s="113"/>
      <c r="AC1061" s="113"/>
      <c r="AD1061" s="113"/>
      <c r="AE1061" s="113" t="s">
        <v>1113</v>
      </c>
      <c r="AF1061" s="113"/>
      <c r="AG1061" s="113"/>
      <c r="AH1061" s="113"/>
      <c r="AI1061" s="113"/>
      <c r="AJ1061" s="113"/>
      <c r="AK1061" s="319" t="s">
        <v>1113</v>
      </c>
      <c r="AL1061" s="113"/>
      <c r="AM1061" s="113"/>
      <c r="AN1061" s="113"/>
      <c r="AO1061" s="44" t="s">
        <v>2334</v>
      </c>
      <c r="AP1061" s="44"/>
      <c r="AQ1061" s="236" t="str">
        <f>VLOOKUP(Table8[[#This Row],[Instrument]],Def_Targets!$D$73:$E$159,2,FALSE)</f>
        <v>I_Altfuels</v>
      </c>
      <c r="AR1061" s="233" t="str">
        <f>VLOOKUP(Table8[[#This Row],[Country Code]],Table29[],3,FALSE)</f>
        <v>Annex I</v>
      </c>
      <c r="AS1061" s="233" t="str">
        <f>VLOOKUP(Table8[[#This Row],[Country Code]],Table29[],4,FALSE)</f>
        <v>Asia</v>
      </c>
      <c r="AT1061" s="233" t="str">
        <f>VLOOKUP(Table8[[#This Row],[Country Code]],Table29[],5,FALSE)</f>
        <v>High-income</v>
      </c>
      <c r="AU1061" s="233" t="str">
        <f>VLOOKUP(Table8[[#This Row],[Country Code]],Table29[],6,FALSE)</f>
        <v>G20</v>
      </c>
      <c r="AV1061" s="233" t="str">
        <f>VLOOKUP(Table8[[#This Row],[Country Code]],Table29[],7,FALSE)</f>
        <v>G7</v>
      </c>
      <c r="AW1061" s="233" t="str">
        <f>VLOOKUP(Table8[[#This Row],[Country Code]],Table29[],8,FALSE)</f>
        <v>OECD</v>
      </c>
      <c r="AX1061" s="233" t="str">
        <f>VLOOKUP(Table8[[#This Row],[Country Code]],Table29[],9,FALSE)</f>
        <v>no</v>
      </c>
      <c r="AY1061" s="233" t="str">
        <f>VLOOKUP(Table8[[#This Row],[Country Code]],Table29[],10,FALSE)</f>
        <v>no</v>
      </c>
      <c r="AZ1061" s="235">
        <f>VLOOKUP(Table8[[#This Row],[Country Code]],Table29[],23,FALSE)</f>
        <v>1041.0128248686999</v>
      </c>
      <c r="BA1061" s="235">
        <f>VLOOKUP(Table8[[#This Row],[Country Code]],Table29[],24,FALSE)</f>
        <v>181.96191357547141</v>
      </c>
      <c r="BB1061" s="320"/>
      <c r="BC1061" s="320"/>
    </row>
    <row r="1062" spans="1:55" ht="45" hidden="1" x14ac:dyDescent="0.25">
      <c r="A1062" s="373">
        <v>17627</v>
      </c>
      <c r="B1062" s="233" t="str">
        <f>VLOOKUP(Table8[[#This Row],[Document ID]],Table1[],2,FALSE)</f>
        <v>JPN</v>
      </c>
      <c r="C1062" s="233" t="str">
        <f>VLOOKUP(Table8[[#This Row],[Document ID]],Table1[],3,FALSE)</f>
        <v>Japan</v>
      </c>
      <c r="D1062" s="243" t="str">
        <f>VLOOKUP(Table8[[#This Row],[Document ID]],Table1[],5,FALSE)</f>
        <v>LTS</v>
      </c>
      <c r="E1062" s="233" t="str">
        <f>VLOOKUP(Table8[[#This Row],[Document ID]],Table1[],7,FALSE)</f>
        <v>Archived LTS 1.0</v>
      </c>
      <c r="F1062" s="233" t="str">
        <f>VLOOKUP(Table8[[#This Row],[Document ID]],Table1[],8,FALSE)</f>
        <v>LTS 1.0</v>
      </c>
      <c r="G1062" s="233" t="str">
        <f>VLOOKUP(Table8[[#This Row],[Document ID]],Table1[],10,FALSE)</f>
        <v>Archived</v>
      </c>
      <c r="H1062" s="43" t="s">
        <v>2343</v>
      </c>
      <c r="I1062" s="43" t="s">
        <v>2344</v>
      </c>
      <c r="J1062" s="44" t="s">
        <v>2405</v>
      </c>
      <c r="K1062" s="44" t="s">
        <v>3342</v>
      </c>
      <c r="L1062" s="44" t="s">
        <v>2347</v>
      </c>
      <c r="M1062" s="43">
        <v>46</v>
      </c>
      <c r="N1062" s="113"/>
      <c r="O1062" s="113"/>
      <c r="P1062" s="113"/>
      <c r="Q1062" s="113"/>
      <c r="R1062" s="113"/>
      <c r="S1062" s="113"/>
      <c r="T1062" s="113"/>
      <c r="U1062" s="113"/>
      <c r="V1062" s="113"/>
      <c r="W1062" s="113"/>
      <c r="X1062" s="113"/>
      <c r="Y1062" s="113" t="s">
        <v>1113</v>
      </c>
      <c r="Z1062" s="113"/>
      <c r="AA1062" s="113"/>
      <c r="AB1062" s="113"/>
      <c r="AC1062" s="113"/>
      <c r="AD1062" s="113"/>
      <c r="AE1062" s="113"/>
      <c r="AF1062" s="113"/>
      <c r="AG1062" s="113"/>
      <c r="AH1062" s="113"/>
      <c r="AI1062" s="113"/>
      <c r="AJ1062" s="113"/>
      <c r="AK1062" s="319" t="s">
        <v>1113</v>
      </c>
      <c r="AL1062" s="113"/>
      <c r="AM1062" s="113"/>
      <c r="AN1062" s="113"/>
      <c r="AO1062" s="43" t="s">
        <v>2348</v>
      </c>
      <c r="AP1062" s="44"/>
      <c r="AQ1062" s="236" t="str">
        <f>VLOOKUP(Table8[[#This Row],[Instrument]],Def_Targets!$D$73:$E$159,2,FALSE)</f>
        <v>S_PTIntegration</v>
      </c>
      <c r="AR1062" s="233" t="str">
        <f>VLOOKUP(Table8[[#This Row],[Country Code]],Table29[],3,FALSE)</f>
        <v>Annex I</v>
      </c>
      <c r="AS1062" s="233" t="str">
        <f>VLOOKUP(Table8[[#This Row],[Country Code]],Table29[],4,FALSE)</f>
        <v>Asia</v>
      </c>
      <c r="AT1062" s="233" t="str">
        <f>VLOOKUP(Table8[[#This Row],[Country Code]],Table29[],5,FALSE)</f>
        <v>High-income</v>
      </c>
      <c r="AU1062" s="233" t="str">
        <f>VLOOKUP(Table8[[#This Row],[Country Code]],Table29[],6,FALSE)</f>
        <v>G20</v>
      </c>
      <c r="AV1062" s="233" t="str">
        <f>VLOOKUP(Table8[[#This Row],[Country Code]],Table29[],7,FALSE)</f>
        <v>G7</v>
      </c>
      <c r="AW1062" s="233" t="str">
        <f>VLOOKUP(Table8[[#This Row],[Country Code]],Table29[],8,FALSE)</f>
        <v>OECD</v>
      </c>
      <c r="AX1062" s="233" t="str">
        <f>VLOOKUP(Table8[[#This Row],[Country Code]],Table29[],9,FALSE)</f>
        <v>no</v>
      </c>
      <c r="AY1062" s="233" t="str">
        <f>VLOOKUP(Table8[[#This Row],[Country Code]],Table29[],10,FALSE)</f>
        <v>no</v>
      </c>
      <c r="AZ1062" s="235">
        <f>VLOOKUP(Table8[[#This Row],[Country Code]],Table29[],23,FALSE)</f>
        <v>1041.0128248686999</v>
      </c>
      <c r="BA1062" s="235">
        <f>VLOOKUP(Table8[[#This Row],[Country Code]],Table29[],24,FALSE)</f>
        <v>181.96191357547141</v>
      </c>
      <c r="BB1062" s="320"/>
      <c r="BC1062" s="320"/>
    </row>
    <row r="1063" spans="1:55" ht="30" hidden="1" x14ac:dyDescent="0.25">
      <c r="A1063" s="373">
        <v>17627</v>
      </c>
      <c r="B1063" s="233" t="str">
        <f>VLOOKUP(Table8[[#This Row],[Document ID]],Table1[],2,FALSE)</f>
        <v>JPN</v>
      </c>
      <c r="C1063" s="233" t="str">
        <f>VLOOKUP(Table8[[#This Row],[Document ID]],Table1[],3,FALSE)</f>
        <v>Japan</v>
      </c>
      <c r="D1063" s="243" t="str">
        <f>VLOOKUP(Table8[[#This Row],[Document ID]],Table1[],5,FALSE)</f>
        <v>LTS</v>
      </c>
      <c r="E1063" s="233" t="str">
        <f>VLOOKUP(Table8[[#This Row],[Document ID]],Table1[],7,FALSE)</f>
        <v>Archived LTS 1.0</v>
      </c>
      <c r="F1063" s="233" t="str">
        <f>VLOOKUP(Table8[[#This Row],[Document ID]],Table1[],8,FALSE)</f>
        <v>LTS 1.0</v>
      </c>
      <c r="G1063" s="233" t="str">
        <f>VLOOKUP(Table8[[#This Row],[Document ID]],Table1[],10,FALSE)</f>
        <v>Archived</v>
      </c>
      <c r="H1063" s="43" t="s">
        <v>2358</v>
      </c>
      <c r="I1063" s="43" t="s">
        <v>2359</v>
      </c>
      <c r="J1063" s="44" t="s">
        <v>2461</v>
      </c>
      <c r="K1063" s="44" t="s">
        <v>3343</v>
      </c>
      <c r="L1063" s="44" t="s">
        <v>2333</v>
      </c>
      <c r="M1063" s="43">
        <v>46</v>
      </c>
      <c r="N1063" s="113"/>
      <c r="O1063" s="113"/>
      <c r="P1063" s="113" t="s">
        <v>1113</v>
      </c>
      <c r="Q1063" s="113"/>
      <c r="R1063" s="113"/>
      <c r="S1063" s="113"/>
      <c r="T1063" s="113"/>
      <c r="U1063" s="113"/>
      <c r="V1063" s="113"/>
      <c r="W1063" s="113"/>
      <c r="X1063" s="113"/>
      <c r="Y1063" s="113"/>
      <c r="Z1063" s="113"/>
      <c r="AA1063" s="113"/>
      <c r="AB1063" s="113"/>
      <c r="AC1063" s="113"/>
      <c r="AD1063" s="113"/>
      <c r="AE1063" s="113"/>
      <c r="AF1063" s="113"/>
      <c r="AG1063" s="113"/>
      <c r="AH1063" s="113"/>
      <c r="AI1063" s="113"/>
      <c r="AJ1063" s="113"/>
      <c r="AK1063" s="319" t="s">
        <v>1113</v>
      </c>
      <c r="AL1063" s="113"/>
      <c r="AM1063" s="113"/>
      <c r="AN1063" s="113"/>
      <c r="AO1063" s="43" t="s">
        <v>2348</v>
      </c>
      <c r="AP1063" s="43"/>
      <c r="AQ1063" s="236" t="str">
        <f>VLOOKUP(Table8[[#This Row],[Instrument]],Def_Targets!$D$73:$E$159,2,FALSE)</f>
        <v>S_Micromobility</v>
      </c>
      <c r="AR1063" s="233" t="str">
        <f>VLOOKUP(Table8[[#This Row],[Country Code]],Table29[],3,FALSE)</f>
        <v>Annex I</v>
      </c>
      <c r="AS1063" s="233" t="str">
        <f>VLOOKUP(Table8[[#This Row],[Country Code]],Table29[],4,FALSE)</f>
        <v>Asia</v>
      </c>
      <c r="AT1063" s="233" t="str">
        <f>VLOOKUP(Table8[[#This Row],[Country Code]],Table29[],5,FALSE)</f>
        <v>High-income</v>
      </c>
      <c r="AU1063" s="233" t="str">
        <f>VLOOKUP(Table8[[#This Row],[Country Code]],Table29[],6,FALSE)</f>
        <v>G20</v>
      </c>
      <c r="AV1063" s="233" t="str">
        <f>VLOOKUP(Table8[[#This Row],[Country Code]],Table29[],7,FALSE)</f>
        <v>G7</v>
      </c>
      <c r="AW1063" s="233" t="str">
        <f>VLOOKUP(Table8[[#This Row],[Country Code]],Table29[],8,FALSE)</f>
        <v>OECD</v>
      </c>
      <c r="AX1063" s="233" t="str">
        <f>VLOOKUP(Table8[[#This Row],[Country Code]],Table29[],9,FALSE)</f>
        <v>no</v>
      </c>
      <c r="AY1063" s="233" t="str">
        <f>VLOOKUP(Table8[[#This Row],[Country Code]],Table29[],10,FALSE)</f>
        <v>no</v>
      </c>
      <c r="AZ1063" s="235">
        <f>VLOOKUP(Table8[[#This Row],[Country Code]],Table29[],23,FALSE)</f>
        <v>1041.0128248686999</v>
      </c>
      <c r="BA1063" s="235">
        <f>VLOOKUP(Table8[[#This Row],[Country Code]],Table29[],24,FALSE)</f>
        <v>181.96191357547141</v>
      </c>
      <c r="BB1063" s="320"/>
      <c r="BC1063" s="320"/>
    </row>
    <row r="1064" spans="1:55" ht="45" hidden="1" x14ac:dyDescent="0.25">
      <c r="A1064" s="373">
        <v>17627</v>
      </c>
      <c r="B1064" s="233" t="str">
        <f>VLOOKUP(Table8[[#This Row],[Document ID]],Table1[],2,FALSE)</f>
        <v>JPN</v>
      </c>
      <c r="C1064" s="233" t="str">
        <f>VLOOKUP(Table8[[#This Row],[Document ID]],Table1[],3,FALSE)</f>
        <v>Japan</v>
      </c>
      <c r="D1064" s="243" t="str">
        <f>VLOOKUP(Table8[[#This Row],[Document ID]],Table1[],5,FALSE)</f>
        <v>LTS</v>
      </c>
      <c r="E1064" s="233" t="str">
        <f>VLOOKUP(Table8[[#This Row],[Document ID]],Table1[],7,FALSE)</f>
        <v>Archived LTS 1.0</v>
      </c>
      <c r="F1064" s="233" t="str">
        <f>VLOOKUP(Table8[[#This Row],[Document ID]],Table1[],8,FALSE)</f>
        <v>LTS 1.0</v>
      </c>
      <c r="G1064" s="233" t="str">
        <f>VLOOKUP(Table8[[#This Row],[Document ID]],Table1[],10,FALSE)</f>
        <v>Archived</v>
      </c>
      <c r="H1064" s="43" t="s">
        <v>2350</v>
      </c>
      <c r="I1064" s="43" t="s">
        <v>2456</v>
      </c>
      <c r="J1064" s="44" t="s">
        <v>2643</v>
      </c>
      <c r="K1064" s="44" t="s">
        <v>3344</v>
      </c>
      <c r="L1064" s="44" t="s">
        <v>2347</v>
      </c>
      <c r="M1064" s="43">
        <v>47</v>
      </c>
      <c r="N1064" s="113"/>
      <c r="O1064" s="113"/>
      <c r="P1064" s="113"/>
      <c r="Q1064" s="113"/>
      <c r="R1064" s="113"/>
      <c r="S1064" s="113"/>
      <c r="T1064" s="113"/>
      <c r="U1064" s="113"/>
      <c r="V1064" s="113"/>
      <c r="W1064" s="113"/>
      <c r="X1064" s="113"/>
      <c r="Y1064" s="113" t="s">
        <v>1113</v>
      </c>
      <c r="Z1064" s="113"/>
      <c r="AA1064" s="113"/>
      <c r="AB1064" s="113"/>
      <c r="AC1064" s="113" t="s">
        <v>1113</v>
      </c>
      <c r="AD1064" s="113"/>
      <c r="AE1064" s="113"/>
      <c r="AF1064" s="113"/>
      <c r="AG1064" s="113"/>
      <c r="AH1064" s="113"/>
      <c r="AI1064" s="113"/>
      <c r="AJ1064" s="113"/>
      <c r="AK1064" s="319" t="s">
        <v>1113</v>
      </c>
      <c r="AL1064" s="113"/>
      <c r="AM1064" s="113"/>
      <c r="AN1064" s="113"/>
      <c r="AO1064" s="43" t="s">
        <v>2348</v>
      </c>
      <c r="AP1064" s="43"/>
      <c r="AQ1064" s="236" t="str">
        <f>VLOOKUP(Table8[[#This Row],[Instrument]],Def_Targets!$D$73:$E$159,2,FALSE)</f>
        <v>S_Intermodality</v>
      </c>
      <c r="AR1064" s="233" t="str">
        <f>VLOOKUP(Table8[[#This Row],[Country Code]],Table29[],3,FALSE)</f>
        <v>Annex I</v>
      </c>
      <c r="AS1064" s="233" t="str">
        <f>VLOOKUP(Table8[[#This Row],[Country Code]],Table29[],4,FALSE)</f>
        <v>Asia</v>
      </c>
      <c r="AT1064" s="233" t="str">
        <f>VLOOKUP(Table8[[#This Row],[Country Code]],Table29[],5,FALSE)</f>
        <v>High-income</v>
      </c>
      <c r="AU1064" s="233" t="str">
        <f>VLOOKUP(Table8[[#This Row],[Country Code]],Table29[],6,FALSE)</f>
        <v>G20</v>
      </c>
      <c r="AV1064" s="233" t="str">
        <f>VLOOKUP(Table8[[#This Row],[Country Code]],Table29[],7,FALSE)</f>
        <v>G7</v>
      </c>
      <c r="AW1064" s="233" t="str">
        <f>VLOOKUP(Table8[[#This Row],[Country Code]],Table29[],8,FALSE)</f>
        <v>OECD</v>
      </c>
      <c r="AX1064" s="233" t="str">
        <f>VLOOKUP(Table8[[#This Row],[Country Code]],Table29[],9,FALSE)</f>
        <v>no</v>
      </c>
      <c r="AY1064" s="233" t="str">
        <f>VLOOKUP(Table8[[#This Row],[Country Code]],Table29[],10,FALSE)</f>
        <v>no</v>
      </c>
      <c r="AZ1064" s="235">
        <f>VLOOKUP(Table8[[#This Row],[Country Code]],Table29[],23,FALSE)</f>
        <v>1041.0128248686999</v>
      </c>
      <c r="BA1064" s="235">
        <f>VLOOKUP(Table8[[#This Row],[Country Code]],Table29[],24,FALSE)</f>
        <v>181.96191357547141</v>
      </c>
      <c r="BB1064" s="320"/>
      <c r="BC1064" s="320"/>
    </row>
    <row r="1065" spans="1:55" hidden="1" x14ac:dyDescent="0.25">
      <c r="A1065" s="373">
        <v>17627</v>
      </c>
      <c r="B1065" s="233" t="str">
        <f>VLOOKUP(Table8[[#This Row],[Document ID]],Table1[],2,FALSE)</f>
        <v>JPN</v>
      </c>
      <c r="C1065" s="233" t="str">
        <f>VLOOKUP(Table8[[#This Row],[Document ID]],Table1[],3,FALSE)</f>
        <v>Japan</v>
      </c>
      <c r="D1065" s="243" t="str">
        <f>VLOOKUP(Table8[[#This Row],[Document ID]],Table1[],5,FALSE)</f>
        <v>LTS</v>
      </c>
      <c r="E1065" s="233" t="str">
        <f>VLOOKUP(Table8[[#This Row],[Document ID]],Table1[],7,FALSE)</f>
        <v>Archived LTS 1.0</v>
      </c>
      <c r="F1065" s="233" t="str">
        <f>VLOOKUP(Table8[[#This Row],[Document ID]],Table1[],8,FALSE)</f>
        <v>LTS 1.0</v>
      </c>
      <c r="G1065" s="233" t="str">
        <f>VLOOKUP(Table8[[#This Row],[Document ID]],Table1[],10,FALSE)</f>
        <v>Archived</v>
      </c>
      <c r="H1065" s="43" t="s">
        <v>2343</v>
      </c>
      <c r="I1065" s="43" t="s">
        <v>2429</v>
      </c>
      <c r="J1065" s="44" t="s">
        <v>2513</v>
      </c>
      <c r="K1065" s="44" t="s">
        <v>3345</v>
      </c>
      <c r="L1065" s="44" t="s">
        <v>2347</v>
      </c>
      <c r="M1065" s="43">
        <v>47</v>
      </c>
      <c r="N1065" s="113" t="s">
        <v>1113</v>
      </c>
      <c r="O1065" s="113"/>
      <c r="P1065" s="113"/>
      <c r="Q1065" s="113"/>
      <c r="R1065" s="113"/>
      <c r="S1065" s="113"/>
      <c r="T1065" s="113"/>
      <c r="U1065" s="113"/>
      <c r="V1065" s="113"/>
      <c r="W1065" s="113"/>
      <c r="X1065" s="113"/>
      <c r="Y1065" s="113"/>
      <c r="Z1065" s="113"/>
      <c r="AA1065" s="113"/>
      <c r="AB1065" s="113"/>
      <c r="AC1065" s="113"/>
      <c r="AD1065" s="113"/>
      <c r="AE1065" s="113"/>
      <c r="AF1065" s="113"/>
      <c r="AG1065" s="113"/>
      <c r="AH1065" s="113"/>
      <c r="AI1065" s="113"/>
      <c r="AJ1065" s="113"/>
      <c r="AK1065" s="319" t="s">
        <v>1113</v>
      </c>
      <c r="AL1065" s="113"/>
      <c r="AM1065" s="113"/>
      <c r="AN1065" s="113"/>
      <c r="AO1065" s="44" t="s">
        <v>2334</v>
      </c>
      <c r="AP1065" s="43"/>
      <c r="AQ1065" s="236" t="str">
        <f>VLOOKUP(Table8[[#This Row],[Instrument]],Def_Targets!$D$73:$E$159,2,FALSE)</f>
        <v>S_Sharedmob</v>
      </c>
      <c r="AR1065" s="233" t="str">
        <f>VLOOKUP(Table8[[#This Row],[Country Code]],Table29[],3,FALSE)</f>
        <v>Annex I</v>
      </c>
      <c r="AS1065" s="233" t="str">
        <f>VLOOKUP(Table8[[#This Row],[Country Code]],Table29[],4,FALSE)</f>
        <v>Asia</v>
      </c>
      <c r="AT1065" s="233" t="str">
        <f>VLOOKUP(Table8[[#This Row],[Country Code]],Table29[],5,FALSE)</f>
        <v>High-income</v>
      </c>
      <c r="AU1065" s="233" t="str">
        <f>VLOOKUP(Table8[[#This Row],[Country Code]],Table29[],6,FALSE)</f>
        <v>G20</v>
      </c>
      <c r="AV1065" s="233" t="str">
        <f>VLOOKUP(Table8[[#This Row],[Country Code]],Table29[],7,FALSE)</f>
        <v>G7</v>
      </c>
      <c r="AW1065" s="233" t="str">
        <f>VLOOKUP(Table8[[#This Row],[Country Code]],Table29[],8,FALSE)</f>
        <v>OECD</v>
      </c>
      <c r="AX1065" s="233" t="str">
        <f>VLOOKUP(Table8[[#This Row],[Country Code]],Table29[],9,FALSE)</f>
        <v>no</v>
      </c>
      <c r="AY1065" s="233" t="str">
        <f>VLOOKUP(Table8[[#This Row],[Country Code]],Table29[],10,FALSE)</f>
        <v>no</v>
      </c>
      <c r="AZ1065" s="235">
        <f>VLOOKUP(Table8[[#This Row],[Country Code]],Table29[],23,FALSE)</f>
        <v>1041.0128248686999</v>
      </c>
      <c r="BA1065" s="235">
        <f>VLOOKUP(Table8[[#This Row],[Country Code]],Table29[],24,FALSE)</f>
        <v>181.96191357547141</v>
      </c>
      <c r="BB1065" s="320"/>
      <c r="BC1065" s="320"/>
    </row>
    <row r="1066" spans="1:55" ht="30" hidden="1" x14ac:dyDescent="0.25">
      <c r="A1066" s="373">
        <v>17627</v>
      </c>
      <c r="B1066" s="233" t="str">
        <f>VLOOKUP(Table8[[#This Row],[Document ID]],Table1[],2,FALSE)</f>
        <v>JPN</v>
      </c>
      <c r="C1066" s="233" t="str">
        <f>VLOOKUP(Table8[[#This Row],[Document ID]],Table1[],3,FALSE)</f>
        <v>Japan</v>
      </c>
      <c r="D1066" s="243" t="str">
        <f>VLOOKUP(Table8[[#This Row],[Document ID]],Table1[],5,FALSE)</f>
        <v>LTS</v>
      </c>
      <c r="E1066" s="233" t="str">
        <f>VLOOKUP(Table8[[#This Row],[Document ID]],Table1[],7,FALSE)</f>
        <v>Archived LTS 1.0</v>
      </c>
      <c r="F1066" s="233" t="str">
        <f>VLOOKUP(Table8[[#This Row],[Document ID]],Table1[],8,FALSE)</f>
        <v>LTS 1.0</v>
      </c>
      <c r="G1066" s="233" t="str">
        <f>VLOOKUP(Table8[[#This Row],[Document ID]],Table1[],10,FALSE)</f>
        <v>Archived</v>
      </c>
      <c r="H1066" s="43" t="s">
        <v>2350</v>
      </c>
      <c r="I1066" s="43" t="s">
        <v>2351</v>
      </c>
      <c r="J1066" s="44" t="s">
        <v>2352</v>
      </c>
      <c r="K1066" s="44" t="s">
        <v>3346</v>
      </c>
      <c r="L1066" s="44" t="s">
        <v>2347</v>
      </c>
      <c r="M1066" s="43">
        <v>47</v>
      </c>
      <c r="N1066" s="113"/>
      <c r="O1066" s="113"/>
      <c r="P1066" s="113"/>
      <c r="Q1066" s="113"/>
      <c r="R1066" s="113"/>
      <c r="S1066" s="113" t="s">
        <v>1113</v>
      </c>
      <c r="T1066" s="113"/>
      <c r="U1066" s="113"/>
      <c r="V1066" s="113"/>
      <c r="W1066" s="113"/>
      <c r="X1066" s="113"/>
      <c r="Y1066" s="113"/>
      <c r="Z1066" s="113"/>
      <c r="AA1066" s="113"/>
      <c r="AB1066" s="113"/>
      <c r="AC1066" s="113"/>
      <c r="AD1066" s="113"/>
      <c r="AE1066" s="113" t="s">
        <v>1113</v>
      </c>
      <c r="AF1066" s="113"/>
      <c r="AG1066" s="113"/>
      <c r="AH1066" s="113"/>
      <c r="AI1066" s="113"/>
      <c r="AJ1066" s="113"/>
      <c r="AK1066" s="319" t="s">
        <v>1113</v>
      </c>
      <c r="AL1066" s="113"/>
      <c r="AM1066" s="113"/>
      <c r="AN1066" s="113"/>
      <c r="AO1066" s="43" t="s">
        <v>2353</v>
      </c>
      <c r="AP1066" s="43"/>
      <c r="AQ1066" s="236" t="str">
        <f>VLOOKUP(Table8[[#This Row],[Instrument]],Def_Targets!$D$73:$E$159,2,FALSE)</f>
        <v>S_Railfreight</v>
      </c>
      <c r="AR1066" s="233" t="str">
        <f>VLOOKUP(Table8[[#This Row],[Country Code]],Table29[],3,FALSE)</f>
        <v>Annex I</v>
      </c>
      <c r="AS1066" s="233" t="str">
        <f>VLOOKUP(Table8[[#This Row],[Country Code]],Table29[],4,FALSE)</f>
        <v>Asia</v>
      </c>
      <c r="AT1066" s="233" t="str">
        <f>VLOOKUP(Table8[[#This Row],[Country Code]],Table29[],5,FALSE)</f>
        <v>High-income</v>
      </c>
      <c r="AU1066" s="233" t="str">
        <f>VLOOKUP(Table8[[#This Row],[Country Code]],Table29[],6,FALSE)</f>
        <v>G20</v>
      </c>
      <c r="AV1066" s="233" t="str">
        <f>VLOOKUP(Table8[[#This Row],[Country Code]],Table29[],7,FALSE)</f>
        <v>G7</v>
      </c>
      <c r="AW1066" s="233" t="str">
        <f>VLOOKUP(Table8[[#This Row],[Country Code]],Table29[],8,FALSE)</f>
        <v>OECD</v>
      </c>
      <c r="AX1066" s="233" t="str">
        <f>VLOOKUP(Table8[[#This Row],[Country Code]],Table29[],9,FALSE)</f>
        <v>no</v>
      </c>
      <c r="AY1066" s="233" t="str">
        <f>VLOOKUP(Table8[[#This Row],[Country Code]],Table29[],10,FALSE)</f>
        <v>no</v>
      </c>
      <c r="AZ1066" s="235">
        <f>VLOOKUP(Table8[[#This Row],[Country Code]],Table29[],23,FALSE)</f>
        <v>1041.0128248686999</v>
      </c>
      <c r="BA1066" s="235">
        <f>VLOOKUP(Table8[[#This Row],[Country Code]],Table29[],24,FALSE)</f>
        <v>181.96191357547141</v>
      </c>
      <c r="BB1066" s="320"/>
      <c r="BC1066" s="320"/>
    </row>
    <row r="1067" spans="1:55" ht="30" hidden="1" x14ac:dyDescent="0.25">
      <c r="A1067" s="373">
        <v>17627</v>
      </c>
      <c r="B1067" s="233" t="str">
        <f>VLOOKUP(Table8[[#This Row],[Document ID]],Table1[],2,FALSE)</f>
        <v>JPN</v>
      </c>
      <c r="C1067" s="233" t="str">
        <f>VLOOKUP(Table8[[#This Row],[Document ID]],Table1[],3,FALSE)</f>
        <v>Japan</v>
      </c>
      <c r="D1067" s="243" t="str">
        <f>VLOOKUP(Table8[[#This Row],[Document ID]],Table1[],5,FALSE)</f>
        <v>LTS</v>
      </c>
      <c r="E1067" s="233" t="str">
        <f>VLOOKUP(Table8[[#This Row],[Document ID]],Table1[],7,FALSE)</f>
        <v>Archived LTS 1.0</v>
      </c>
      <c r="F1067" s="233" t="str">
        <f>VLOOKUP(Table8[[#This Row],[Document ID]],Table1[],8,FALSE)</f>
        <v>LTS 1.0</v>
      </c>
      <c r="G1067" s="233" t="str">
        <f>VLOOKUP(Table8[[#This Row],[Document ID]],Table1[],10,FALSE)</f>
        <v>Archived</v>
      </c>
      <c r="H1067" s="43" t="s">
        <v>2484</v>
      </c>
      <c r="I1067" s="43" t="s">
        <v>2485</v>
      </c>
      <c r="J1067" s="44" t="s">
        <v>2978</v>
      </c>
      <c r="K1067" s="44" t="s">
        <v>3347</v>
      </c>
      <c r="L1067" s="44" t="s">
        <v>2333</v>
      </c>
      <c r="M1067" s="43">
        <v>47</v>
      </c>
      <c r="N1067" s="113"/>
      <c r="O1067" s="113"/>
      <c r="P1067" s="113"/>
      <c r="Q1067" s="113"/>
      <c r="R1067" s="113"/>
      <c r="S1067" s="113"/>
      <c r="T1067" s="113"/>
      <c r="U1067" s="113"/>
      <c r="V1067" s="113"/>
      <c r="W1067" s="113"/>
      <c r="X1067" s="113"/>
      <c r="Y1067" s="113"/>
      <c r="Z1067" s="113"/>
      <c r="AA1067" s="113"/>
      <c r="AB1067" s="113"/>
      <c r="AC1067" s="113"/>
      <c r="AD1067" s="113" t="s">
        <v>1113</v>
      </c>
      <c r="AE1067" s="113"/>
      <c r="AF1067" s="113"/>
      <c r="AG1067" s="113"/>
      <c r="AH1067" s="113"/>
      <c r="AI1067" s="113"/>
      <c r="AJ1067" s="113"/>
      <c r="AK1067" s="319" t="s">
        <v>1113</v>
      </c>
      <c r="AL1067" s="113"/>
      <c r="AM1067" s="113"/>
      <c r="AN1067" s="113"/>
      <c r="AO1067" s="43" t="s">
        <v>2353</v>
      </c>
      <c r="AP1067" s="43"/>
      <c r="AQ1067" s="236" t="str">
        <f>VLOOKUP(Table8[[#This Row],[Instrument]],Def_Targets!$D$73:$E$159,2,FALSE)</f>
        <v>I_PortInfra</v>
      </c>
      <c r="AR1067" s="233" t="str">
        <f>VLOOKUP(Table8[[#This Row],[Country Code]],Table29[],3,FALSE)</f>
        <v>Annex I</v>
      </c>
      <c r="AS1067" s="233" t="str">
        <f>VLOOKUP(Table8[[#This Row],[Country Code]],Table29[],4,FALSE)</f>
        <v>Asia</v>
      </c>
      <c r="AT1067" s="233" t="str">
        <f>VLOOKUP(Table8[[#This Row],[Country Code]],Table29[],5,FALSE)</f>
        <v>High-income</v>
      </c>
      <c r="AU1067" s="233" t="str">
        <f>VLOOKUP(Table8[[#This Row],[Country Code]],Table29[],6,FALSE)</f>
        <v>G20</v>
      </c>
      <c r="AV1067" s="233" t="str">
        <f>VLOOKUP(Table8[[#This Row],[Country Code]],Table29[],7,FALSE)</f>
        <v>G7</v>
      </c>
      <c r="AW1067" s="233" t="str">
        <f>VLOOKUP(Table8[[#This Row],[Country Code]],Table29[],8,FALSE)</f>
        <v>OECD</v>
      </c>
      <c r="AX1067" s="233" t="str">
        <f>VLOOKUP(Table8[[#This Row],[Country Code]],Table29[],9,FALSE)</f>
        <v>no</v>
      </c>
      <c r="AY1067" s="233" t="str">
        <f>VLOOKUP(Table8[[#This Row],[Country Code]],Table29[],10,FALSE)</f>
        <v>no</v>
      </c>
      <c r="AZ1067" s="235">
        <f>VLOOKUP(Table8[[#This Row],[Country Code]],Table29[],23,FALSE)</f>
        <v>1041.0128248686999</v>
      </c>
      <c r="BA1067" s="235">
        <f>VLOOKUP(Table8[[#This Row],[Country Code]],Table29[],24,FALSE)</f>
        <v>181.96191357547141</v>
      </c>
      <c r="BB1067" s="320"/>
      <c r="BC1067" s="320"/>
    </row>
    <row r="1068" spans="1:55" ht="45" hidden="1" x14ac:dyDescent="0.25">
      <c r="A1068" s="373">
        <v>17627</v>
      </c>
      <c r="B1068" s="233" t="str">
        <f>VLOOKUP(Table8[[#This Row],[Document ID]],Table1[],2,FALSE)</f>
        <v>JPN</v>
      </c>
      <c r="C1068" s="233" t="str">
        <f>VLOOKUP(Table8[[#This Row],[Document ID]],Table1[],3,FALSE)</f>
        <v>Japan</v>
      </c>
      <c r="D1068" s="243" t="str">
        <f>VLOOKUP(Table8[[#This Row],[Document ID]],Table1[],5,FALSE)</f>
        <v>LTS</v>
      </c>
      <c r="E1068" s="233" t="str">
        <f>VLOOKUP(Table8[[#This Row],[Document ID]],Table1[],7,FALSE)</f>
        <v>Archived LTS 1.0</v>
      </c>
      <c r="F1068" s="233" t="str">
        <f>VLOOKUP(Table8[[#This Row],[Document ID]],Table1[],8,FALSE)</f>
        <v>LTS 1.0</v>
      </c>
      <c r="G1068" s="233" t="str">
        <f>VLOOKUP(Table8[[#This Row],[Document ID]],Table1[],10,FALSE)</f>
        <v>Archived</v>
      </c>
      <c r="H1068" s="43" t="s">
        <v>2350</v>
      </c>
      <c r="I1068" s="43" t="s">
        <v>2351</v>
      </c>
      <c r="J1068" s="44" t="s">
        <v>2447</v>
      </c>
      <c r="K1068" s="44" t="s">
        <v>3348</v>
      </c>
      <c r="L1068" s="44" t="s">
        <v>2373</v>
      </c>
      <c r="M1068" s="43">
        <v>47</v>
      </c>
      <c r="N1068" s="113" t="s">
        <v>1113</v>
      </c>
      <c r="O1068" s="113"/>
      <c r="P1068" s="113"/>
      <c r="Q1068" s="113"/>
      <c r="R1068" s="113"/>
      <c r="S1068" s="113"/>
      <c r="T1068" s="113"/>
      <c r="U1068" s="113"/>
      <c r="V1068" s="113"/>
      <c r="W1068" s="113"/>
      <c r="X1068" s="113"/>
      <c r="Y1068" s="113"/>
      <c r="Z1068" s="113"/>
      <c r="AA1068" s="113"/>
      <c r="AB1068" s="113"/>
      <c r="AC1068" s="113"/>
      <c r="AD1068" s="113"/>
      <c r="AE1068" s="113"/>
      <c r="AF1068" s="113"/>
      <c r="AG1068" s="113"/>
      <c r="AH1068" s="113"/>
      <c r="AI1068" s="113"/>
      <c r="AJ1068" s="113"/>
      <c r="AK1068" s="319" t="s">
        <v>1113</v>
      </c>
      <c r="AL1068" s="113"/>
      <c r="AM1068" s="113"/>
      <c r="AN1068" s="113"/>
      <c r="AO1068" s="43" t="s">
        <v>2353</v>
      </c>
      <c r="AP1068" s="43"/>
      <c r="AQ1068" s="236" t="str">
        <f>VLOOKUP(Table8[[#This Row],[Instrument]],Def_Targets!$D$73:$E$159,2,FALSE)</f>
        <v>I_Freighteff</v>
      </c>
      <c r="AR1068" s="233" t="str">
        <f>VLOOKUP(Table8[[#This Row],[Country Code]],Table29[],3,FALSE)</f>
        <v>Annex I</v>
      </c>
      <c r="AS1068" s="233" t="str">
        <f>VLOOKUP(Table8[[#This Row],[Country Code]],Table29[],4,FALSE)</f>
        <v>Asia</v>
      </c>
      <c r="AT1068" s="233" t="str">
        <f>VLOOKUP(Table8[[#This Row],[Country Code]],Table29[],5,FALSE)</f>
        <v>High-income</v>
      </c>
      <c r="AU1068" s="233" t="str">
        <f>VLOOKUP(Table8[[#This Row],[Country Code]],Table29[],6,FALSE)</f>
        <v>G20</v>
      </c>
      <c r="AV1068" s="233" t="str">
        <f>VLOOKUP(Table8[[#This Row],[Country Code]],Table29[],7,FALSE)</f>
        <v>G7</v>
      </c>
      <c r="AW1068" s="233" t="str">
        <f>VLOOKUP(Table8[[#This Row],[Country Code]],Table29[],8,FALSE)</f>
        <v>OECD</v>
      </c>
      <c r="AX1068" s="233" t="str">
        <f>VLOOKUP(Table8[[#This Row],[Country Code]],Table29[],9,FALSE)</f>
        <v>no</v>
      </c>
      <c r="AY1068" s="233" t="str">
        <f>VLOOKUP(Table8[[#This Row],[Country Code]],Table29[],10,FALSE)</f>
        <v>no</v>
      </c>
      <c r="AZ1068" s="235">
        <f>VLOOKUP(Table8[[#This Row],[Country Code]],Table29[],23,FALSE)</f>
        <v>1041.0128248686999</v>
      </c>
      <c r="BA1068" s="235">
        <f>VLOOKUP(Table8[[#This Row],[Country Code]],Table29[],24,FALSE)</f>
        <v>181.96191357547141</v>
      </c>
      <c r="BB1068" s="320"/>
      <c r="BC1068" s="320"/>
    </row>
    <row r="1069" spans="1:55" ht="45" hidden="1" x14ac:dyDescent="0.25">
      <c r="A1069" s="373">
        <v>17627</v>
      </c>
      <c r="B1069" s="233" t="str">
        <f>VLOOKUP(Table8[[#This Row],[Document ID]],Table1[],2,FALSE)</f>
        <v>JPN</v>
      </c>
      <c r="C1069" s="233" t="str">
        <f>VLOOKUP(Table8[[#This Row],[Document ID]],Table1[],3,FALSE)</f>
        <v>Japan</v>
      </c>
      <c r="D1069" s="243" t="str">
        <f>VLOOKUP(Table8[[#This Row],[Document ID]],Table1[],5,FALSE)</f>
        <v>LTS</v>
      </c>
      <c r="E1069" s="233" t="str">
        <f>VLOOKUP(Table8[[#This Row],[Document ID]],Table1[],7,FALSE)</f>
        <v>Archived LTS 1.0</v>
      </c>
      <c r="F1069" s="233" t="str">
        <f>VLOOKUP(Table8[[#This Row],[Document ID]],Table1[],8,FALSE)</f>
        <v>LTS 1.0</v>
      </c>
      <c r="G1069" s="233" t="str">
        <f>VLOOKUP(Table8[[#This Row],[Document ID]],Table1[],10,FALSE)</f>
        <v>Archived</v>
      </c>
      <c r="H1069" s="43" t="s">
        <v>2350</v>
      </c>
      <c r="I1069" s="43" t="s">
        <v>2351</v>
      </c>
      <c r="J1069" s="44" t="s">
        <v>2427</v>
      </c>
      <c r="K1069" s="44" t="s">
        <v>3349</v>
      </c>
      <c r="L1069" s="44" t="s">
        <v>2380</v>
      </c>
      <c r="M1069" s="43">
        <v>47</v>
      </c>
      <c r="N1069" s="113"/>
      <c r="O1069" s="113"/>
      <c r="P1069" s="113"/>
      <c r="Q1069" s="113"/>
      <c r="R1069" s="113"/>
      <c r="S1069" s="113"/>
      <c r="T1069" s="113"/>
      <c r="U1069" s="113"/>
      <c r="V1069" s="113"/>
      <c r="W1069" s="113"/>
      <c r="X1069" s="113"/>
      <c r="Y1069" s="113"/>
      <c r="Z1069" s="113"/>
      <c r="AA1069" s="113"/>
      <c r="AB1069" s="113"/>
      <c r="AC1069" s="113"/>
      <c r="AD1069" s="113" t="s">
        <v>1113</v>
      </c>
      <c r="AE1069" s="113"/>
      <c r="AF1069" s="113"/>
      <c r="AG1069" s="113"/>
      <c r="AH1069" s="113"/>
      <c r="AI1069" s="113"/>
      <c r="AJ1069" s="113"/>
      <c r="AK1069" s="319" t="s">
        <v>1113</v>
      </c>
      <c r="AL1069" s="113"/>
      <c r="AM1069" s="113"/>
      <c r="AN1069" s="113"/>
      <c r="AO1069" s="43" t="s">
        <v>2353</v>
      </c>
      <c r="AP1069" s="43"/>
      <c r="AQ1069" s="236" t="str">
        <f>VLOOKUP(Table8[[#This Row],[Instrument]],Def_Targets!$D$73:$E$159,2,FALSE)</f>
        <v>I_Load</v>
      </c>
      <c r="AR1069" s="233" t="str">
        <f>VLOOKUP(Table8[[#This Row],[Country Code]],Table29[],3,FALSE)</f>
        <v>Annex I</v>
      </c>
      <c r="AS1069" s="233" t="str">
        <f>VLOOKUP(Table8[[#This Row],[Country Code]],Table29[],4,FALSE)</f>
        <v>Asia</v>
      </c>
      <c r="AT1069" s="233" t="str">
        <f>VLOOKUP(Table8[[#This Row],[Country Code]],Table29[],5,FALSE)</f>
        <v>High-income</v>
      </c>
      <c r="AU1069" s="233" t="str">
        <f>VLOOKUP(Table8[[#This Row],[Country Code]],Table29[],6,FALSE)</f>
        <v>G20</v>
      </c>
      <c r="AV1069" s="233" t="str">
        <f>VLOOKUP(Table8[[#This Row],[Country Code]],Table29[],7,FALSE)</f>
        <v>G7</v>
      </c>
      <c r="AW1069" s="233" t="str">
        <f>VLOOKUP(Table8[[#This Row],[Country Code]],Table29[],8,FALSE)</f>
        <v>OECD</v>
      </c>
      <c r="AX1069" s="233" t="str">
        <f>VLOOKUP(Table8[[#This Row],[Country Code]],Table29[],9,FALSE)</f>
        <v>no</v>
      </c>
      <c r="AY1069" s="233" t="str">
        <f>VLOOKUP(Table8[[#This Row],[Country Code]],Table29[],10,FALSE)</f>
        <v>no</v>
      </c>
      <c r="AZ1069" s="235">
        <f>VLOOKUP(Table8[[#This Row],[Country Code]],Table29[],23,FALSE)</f>
        <v>1041.0128248686999</v>
      </c>
      <c r="BA1069" s="235">
        <f>VLOOKUP(Table8[[#This Row],[Country Code]],Table29[],24,FALSE)</f>
        <v>181.96191357547141</v>
      </c>
      <c r="BB1069" s="320"/>
      <c r="BC1069" s="320"/>
    </row>
    <row r="1070" spans="1:55" ht="30" hidden="1" x14ac:dyDescent="0.25">
      <c r="A1070" s="373">
        <v>17627</v>
      </c>
      <c r="B1070" s="233" t="str">
        <f>VLOOKUP(Table8[[#This Row],[Document ID]],Table1[],2,FALSE)</f>
        <v>JPN</v>
      </c>
      <c r="C1070" s="233" t="str">
        <f>VLOOKUP(Table8[[#This Row],[Document ID]],Table1[],3,FALSE)</f>
        <v>Japan</v>
      </c>
      <c r="D1070" s="243" t="str">
        <f>VLOOKUP(Table8[[#This Row],[Document ID]],Table1[],5,FALSE)</f>
        <v>LTS</v>
      </c>
      <c r="E1070" s="233" t="str">
        <f>VLOOKUP(Table8[[#This Row],[Document ID]],Table1[],7,FALSE)</f>
        <v>Archived LTS 1.0</v>
      </c>
      <c r="F1070" s="233" t="str">
        <f>VLOOKUP(Table8[[#This Row],[Document ID]],Table1[],8,FALSE)</f>
        <v>LTS 1.0</v>
      </c>
      <c r="G1070" s="233" t="str">
        <f>VLOOKUP(Table8[[#This Row],[Document ID]],Table1[],10,FALSE)</f>
        <v>Archived</v>
      </c>
      <c r="H1070" s="43" t="s">
        <v>2350</v>
      </c>
      <c r="I1070" s="43" t="s">
        <v>2351</v>
      </c>
      <c r="J1070" s="44" t="s">
        <v>2427</v>
      </c>
      <c r="K1070" s="44" t="s">
        <v>3350</v>
      </c>
      <c r="L1070" s="44" t="s">
        <v>2572</v>
      </c>
      <c r="M1070" s="43">
        <v>47</v>
      </c>
      <c r="N1070" s="113"/>
      <c r="O1070" s="113"/>
      <c r="P1070" s="113"/>
      <c r="Q1070" s="113"/>
      <c r="R1070" s="113"/>
      <c r="S1070" s="113"/>
      <c r="T1070" s="113"/>
      <c r="U1070" s="113"/>
      <c r="V1070" s="113"/>
      <c r="W1070" s="113"/>
      <c r="X1070" s="113" t="s">
        <v>1113</v>
      </c>
      <c r="Y1070" s="113"/>
      <c r="Z1070" s="113"/>
      <c r="AA1070" s="113"/>
      <c r="AB1070" s="113"/>
      <c r="AC1070" s="113"/>
      <c r="AD1070" s="113"/>
      <c r="AE1070" s="113"/>
      <c r="AF1070" s="113"/>
      <c r="AG1070" s="113"/>
      <c r="AH1070" s="113"/>
      <c r="AI1070" s="113"/>
      <c r="AJ1070" s="113"/>
      <c r="AK1070" s="319" t="s">
        <v>1113</v>
      </c>
      <c r="AL1070" s="113"/>
      <c r="AM1070" s="113"/>
      <c r="AN1070" s="113"/>
      <c r="AO1070" s="43" t="s">
        <v>2353</v>
      </c>
      <c r="AP1070" s="43"/>
      <c r="AQ1070" s="236" t="str">
        <f>VLOOKUP(Table8[[#This Row],[Instrument]],Def_Targets!$D$73:$E$159,2,FALSE)</f>
        <v>I_Load</v>
      </c>
      <c r="AR1070" s="233" t="str">
        <f>VLOOKUP(Table8[[#This Row],[Country Code]],Table29[],3,FALSE)</f>
        <v>Annex I</v>
      </c>
      <c r="AS1070" s="233" t="str">
        <f>VLOOKUP(Table8[[#This Row],[Country Code]],Table29[],4,FALSE)</f>
        <v>Asia</v>
      </c>
      <c r="AT1070" s="233" t="str">
        <f>VLOOKUP(Table8[[#This Row],[Country Code]],Table29[],5,FALSE)</f>
        <v>High-income</v>
      </c>
      <c r="AU1070" s="233" t="str">
        <f>VLOOKUP(Table8[[#This Row],[Country Code]],Table29[],6,FALSE)</f>
        <v>G20</v>
      </c>
      <c r="AV1070" s="233" t="str">
        <f>VLOOKUP(Table8[[#This Row],[Country Code]],Table29[],7,FALSE)</f>
        <v>G7</v>
      </c>
      <c r="AW1070" s="233" t="str">
        <f>VLOOKUP(Table8[[#This Row],[Country Code]],Table29[],8,FALSE)</f>
        <v>OECD</v>
      </c>
      <c r="AX1070" s="233" t="str">
        <f>VLOOKUP(Table8[[#This Row],[Country Code]],Table29[],9,FALSE)</f>
        <v>no</v>
      </c>
      <c r="AY1070" s="233" t="str">
        <f>VLOOKUP(Table8[[#This Row],[Country Code]],Table29[],10,FALSE)</f>
        <v>no</v>
      </c>
      <c r="AZ1070" s="235">
        <f>VLOOKUP(Table8[[#This Row],[Country Code]],Table29[],23,FALSE)</f>
        <v>1041.0128248686999</v>
      </c>
      <c r="BA1070" s="235">
        <f>VLOOKUP(Table8[[#This Row],[Country Code]],Table29[],24,FALSE)</f>
        <v>181.96191357547141</v>
      </c>
      <c r="BB1070" s="320"/>
      <c r="BC1070" s="320"/>
    </row>
    <row r="1071" spans="1:55" ht="45" hidden="1" x14ac:dyDescent="0.25">
      <c r="A1071" s="373">
        <v>17627</v>
      </c>
      <c r="B1071" s="233" t="str">
        <f>VLOOKUP(Table8[[#This Row],[Document ID]],Table1[],2,FALSE)</f>
        <v>JPN</v>
      </c>
      <c r="C1071" s="233" t="str">
        <f>VLOOKUP(Table8[[#This Row],[Document ID]],Table1[],3,FALSE)</f>
        <v>Japan</v>
      </c>
      <c r="D1071" s="243" t="str">
        <f>VLOOKUP(Table8[[#This Row],[Document ID]],Table1[],5,FALSE)</f>
        <v>LTS</v>
      </c>
      <c r="E1071" s="233" t="str">
        <f>VLOOKUP(Table8[[#This Row],[Document ID]],Table1[],7,FALSE)</f>
        <v>Archived LTS 1.0</v>
      </c>
      <c r="F1071" s="233" t="str">
        <f>VLOOKUP(Table8[[#This Row],[Document ID]],Table1[],8,FALSE)</f>
        <v>LTS 1.0</v>
      </c>
      <c r="G1071" s="233" t="str">
        <f>VLOOKUP(Table8[[#This Row],[Document ID]],Table1[],10,FALSE)</f>
        <v>Archived</v>
      </c>
      <c r="H1071" s="43" t="s">
        <v>2350</v>
      </c>
      <c r="I1071" s="43" t="s">
        <v>2351</v>
      </c>
      <c r="J1071" s="44" t="s">
        <v>2447</v>
      </c>
      <c r="K1071" s="44" t="s">
        <v>3351</v>
      </c>
      <c r="L1071" s="44" t="s">
        <v>2333</v>
      </c>
      <c r="M1071" s="43">
        <v>47</v>
      </c>
      <c r="N1071" s="113"/>
      <c r="O1071" s="113"/>
      <c r="P1071" s="113"/>
      <c r="Q1071" s="113"/>
      <c r="R1071" s="113"/>
      <c r="S1071" s="113"/>
      <c r="T1071" s="113"/>
      <c r="U1071" s="113"/>
      <c r="V1071" s="113"/>
      <c r="W1071" s="113"/>
      <c r="X1071" s="113" t="s">
        <v>1113</v>
      </c>
      <c r="Y1071" s="113"/>
      <c r="Z1071" s="113"/>
      <c r="AA1071" s="113"/>
      <c r="AB1071" s="113"/>
      <c r="AC1071" s="113"/>
      <c r="AD1071" s="113"/>
      <c r="AE1071" s="113"/>
      <c r="AF1071" s="113"/>
      <c r="AG1071" s="113"/>
      <c r="AH1071" s="113"/>
      <c r="AI1071" s="113"/>
      <c r="AJ1071" s="113"/>
      <c r="AK1071" s="319" t="s">
        <v>1113</v>
      </c>
      <c r="AL1071" s="113"/>
      <c r="AM1071" s="113"/>
      <c r="AN1071" s="113"/>
      <c r="AO1071" s="43" t="s">
        <v>2353</v>
      </c>
      <c r="AP1071" s="43"/>
      <c r="AQ1071" s="236" t="str">
        <f>VLOOKUP(Table8[[#This Row],[Instrument]],Def_Targets!$D$73:$E$159,2,FALSE)</f>
        <v>I_Freighteff</v>
      </c>
      <c r="AR1071" s="233" t="str">
        <f>VLOOKUP(Table8[[#This Row],[Country Code]],Table29[],3,FALSE)</f>
        <v>Annex I</v>
      </c>
      <c r="AS1071" s="233" t="str">
        <f>VLOOKUP(Table8[[#This Row],[Country Code]],Table29[],4,FALSE)</f>
        <v>Asia</v>
      </c>
      <c r="AT1071" s="233" t="str">
        <f>VLOOKUP(Table8[[#This Row],[Country Code]],Table29[],5,FALSE)</f>
        <v>High-income</v>
      </c>
      <c r="AU1071" s="233" t="str">
        <f>VLOOKUP(Table8[[#This Row],[Country Code]],Table29[],6,FALSE)</f>
        <v>G20</v>
      </c>
      <c r="AV1071" s="233" t="str">
        <f>VLOOKUP(Table8[[#This Row],[Country Code]],Table29[],7,FALSE)</f>
        <v>G7</v>
      </c>
      <c r="AW1071" s="233" t="str">
        <f>VLOOKUP(Table8[[#This Row],[Country Code]],Table29[],8,FALSE)</f>
        <v>OECD</v>
      </c>
      <c r="AX1071" s="233" t="str">
        <f>VLOOKUP(Table8[[#This Row],[Country Code]],Table29[],9,FALSE)</f>
        <v>no</v>
      </c>
      <c r="AY1071" s="233" t="str">
        <f>VLOOKUP(Table8[[#This Row],[Country Code]],Table29[],10,FALSE)</f>
        <v>no</v>
      </c>
      <c r="AZ1071" s="235">
        <f>VLOOKUP(Table8[[#This Row],[Country Code]],Table29[],23,FALSE)</f>
        <v>1041.0128248686999</v>
      </c>
      <c r="BA1071" s="235">
        <f>VLOOKUP(Table8[[#This Row],[Country Code]],Table29[],24,FALSE)</f>
        <v>181.96191357547141</v>
      </c>
      <c r="BB1071" s="320"/>
      <c r="BC1071" s="320"/>
    </row>
    <row r="1072" spans="1:55" ht="30" hidden="1" x14ac:dyDescent="0.25">
      <c r="A1072" s="373">
        <v>17627</v>
      </c>
      <c r="B1072" s="233" t="str">
        <f>VLOOKUP(Table8[[#This Row],[Document ID]],Table1[],2,FALSE)</f>
        <v>JPN</v>
      </c>
      <c r="C1072" s="233" t="str">
        <f>VLOOKUP(Table8[[#This Row],[Document ID]],Table1[],3,FALSE)</f>
        <v>Japan</v>
      </c>
      <c r="D1072" s="243" t="str">
        <f>VLOOKUP(Table8[[#This Row],[Document ID]],Table1[],5,FALSE)</f>
        <v>LTS</v>
      </c>
      <c r="E1072" s="233" t="str">
        <f>VLOOKUP(Table8[[#This Row],[Document ID]],Table1[],7,FALSE)</f>
        <v>Archived LTS 1.0</v>
      </c>
      <c r="F1072" s="233" t="str">
        <f>VLOOKUP(Table8[[#This Row],[Document ID]],Table1[],8,FALSE)</f>
        <v>LTS 1.0</v>
      </c>
      <c r="G1072" s="233" t="str">
        <f>VLOOKUP(Table8[[#This Row],[Document ID]],Table1[],10,FALSE)</f>
        <v>Archived</v>
      </c>
      <c r="H1072" s="44" t="s">
        <v>2338</v>
      </c>
      <c r="I1072" s="44" t="s">
        <v>2339</v>
      </c>
      <c r="J1072" s="44" t="s">
        <v>2340</v>
      </c>
      <c r="K1072" s="44" t="s">
        <v>3352</v>
      </c>
      <c r="L1072" s="44" t="s">
        <v>2333</v>
      </c>
      <c r="M1072" s="43">
        <v>46</v>
      </c>
      <c r="N1072" s="113"/>
      <c r="O1072" s="113"/>
      <c r="P1072" s="113"/>
      <c r="Q1072" s="113"/>
      <c r="R1072" s="113"/>
      <c r="S1072" s="113"/>
      <c r="T1072" s="113"/>
      <c r="U1072" s="113"/>
      <c r="V1072" s="113"/>
      <c r="W1072" s="113"/>
      <c r="X1072" s="113"/>
      <c r="Y1072" s="113" t="s">
        <v>1113</v>
      </c>
      <c r="Z1072" s="113"/>
      <c r="AA1072" s="113"/>
      <c r="AB1072" s="113"/>
      <c r="AC1072" s="113"/>
      <c r="AD1072" s="113"/>
      <c r="AE1072" s="113"/>
      <c r="AF1072" s="113"/>
      <c r="AG1072" s="113"/>
      <c r="AH1072" s="113"/>
      <c r="AI1072" s="113"/>
      <c r="AJ1072" s="113"/>
      <c r="AK1072" s="319" t="s">
        <v>1113</v>
      </c>
      <c r="AL1072" s="113"/>
      <c r="AM1072" s="113"/>
      <c r="AN1072" s="113"/>
      <c r="AO1072" s="43" t="s">
        <v>2348</v>
      </c>
      <c r="AP1072" s="44"/>
      <c r="AQ1072" s="236" t="str">
        <f>VLOOKUP(Table8[[#This Row],[Instrument]],Def_Targets!$D$73:$E$159,2,FALSE)</f>
        <v>I_Vehicleimprove</v>
      </c>
      <c r="AR1072" s="233" t="str">
        <f>VLOOKUP(Table8[[#This Row],[Country Code]],Table29[],3,FALSE)</f>
        <v>Annex I</v>
      </c>
      <c r="AS1072" s="233" t="str">
        <f>VLOOKUP(Table8[[#This Row],[Country Code]],Table29[],4,FALSE)</f>
        <v>Asia</v>
      </c>
      <c r="AT1072" s="233" t="str">
        <f>VLOOKUP(Table8[[#This Row],[Country Code]],Table29[],5,FALSE)</f>
        <v>High-income</v>
      </c>
      <c r="AU1072" s="233" t="str">
        <f>VLOOKUP(Table8[[#This Row],[Country Code]],Table29[],6,FALSE)</f>
        <v>G20</v>
      </c>
      <c r="AV1072" s="233" t="str">
        <f>VLOOKUP(Table8[[#This Row],[Country Code]],Table29[],7,FALSE)</f>
        <v>G7</v>
      </c>
      <c r="AW1072" s="233" t="str">
        <f>VLOOKUP(Table8[[#This Row],[Country Code]],Table29[],8,FALSE)</f>
        <v>OECD</v>
      </c>
      <c r="AX1072" s="233" t="str">
        <f>VLOOKUP(Table8[[#This Row],[Country Code]],Table29[],9,FALSE)</f>
        <v>no</v>
      </c>
      <c r="AY1072" s="233" t="str">
        <f>VLOOKUP(Table8[[#This Row],[Country Code]],Table29[],10,FALSE)</f>
        <v>no</v>
      </c>
      <c r="AZ1072" s="235">
        <f>VLOOKUP(Table8[[#This Row],[Country Code]],Table29[],23,FALSE)</f>
        <v>1041.0128248686999</v>
      </c>
      <c r="BA1072" s="235">
        <f>VLOOKUP(Table8[[#This Row],[Country Code]],Table29[],24,FALSE)</f>
        <v>181.96191357547141</v>
      </c>
      <c r="BB1072" s="320"/>
      <c r="BC1072" s="320"/>
    </row>
    <row r="1073" spans="1:55" s="17" customFormat="1" ht="30" hidden="1" x14ac:dyDescent="0.25">
      <c r="A1073" s="368">
        <v>22162</v>
      </c>
      <c r="B1073" s="233" t="str">
        <f>VLOOKUP(Table8[[#This Row],[Document ID]],Table1[],2,FALSE)</f>
        <v>GMB</v>
      </c>
      <c r="C1073" s="233" t="str">
        <f>VLOOKUP(Table8[[#This Row],[Document ID]],Table1[],3,FALSE)</f>
        <v>Gambia (Republic of The)</v>
      </c>
      <c r="D1073" s="241" t="str">
        <f>VLOOKUP(Table8[[#This Row],[Document ID]],Table1[],5,FALSE)</f>
        <v>LTS</v>
      </c>
      <c r="E1073" s="233" t="str">
        <f>VLOOKUP(Table8[[#This Row],[Document ID]],Table1[],7,FALSE)</f>
        <v>LTS</v>
      </c>
      <c r="F1073" s="241" t="str">
        <f>VLOOKUP(Table8[[#This Row],[Document ID]],Table1[],8,FALSE)</f>
        <v>LTS 1.0</v>
      </c>
      <c r="G1073" s="241" t="str">
        <f>VLOOKUP(Table8[[#This Row],[Document ID]],Table1[],10,FALSE)</f>
        <v>Active</v>
      </c>
      <c r="H1073" s="44" t="s">
        <v>2338</v>
      </c>
      <c r="I1073" s="44" t="s">
        <v>2339</v>
      </c>
      <c r="J1073" s="44" t="s">
        <v>2413</v>
      </c>
      <c r="K1073" s="45" t="s">
        <v>3353</v>
      </c>
      <c r="L1073" s="44" t="s">
        <v>2333</v>
      </c>
      <c r="M1073" s="43">
        <v>76</v>
      </c>
      <c r="N1073" s="113"/>
      <c r="O1073" s="113"/>
      <c r="P1073" s="113"/>
      <c r="Q1073" s="113"/>
      <c r="R1073" s="113"/>
      <c r="S1073" s="113" t="s">
        <v>1113</v>
      </c>
      <c r="T1073" s="113"/>
      <c r="U1073" s="113"/>
      <c r="V1073" s="113"/>
      <c r="W1073" s="113"/>
      <c r="X1073" s="113"/>
      <c r="Y1073" s="113"/>
      <c r="Z1073" s="113"/>
      <c r="AA1073" s="113"/>
      <c r="AB1073" s="113"/>
      <c r="AC1073" s="113"/>
      <c r="AD1073" s="113"/>
      <c r="AE1073" s="113"/>
      <c r="AF1073" s="113"/>
      <c r="AG1073" s="113"/>
      <c r="AH1073" s="113"/>
      <c r="AI1073" s="113"/>
      <c r="AJ1073" s="113"/>
      <c r="AK1073" s="113" t="s">
        <v>1113</v>
      </c>
      <c r="AL1073" s="113"/>
      <c r="AM1073" s="113"/>
      <c r="AN1073" s="113"/>
      <c r="AO1073" s="44" t="s">
        <v>2334</v>
      </c>
      <c r="AP1073" s="43"/>
      <c r="AQ1073" s="236" t="str">
        <f>VLOOKUP(Table8[[#This Row],[Instrument]],Def_Targets!$D$73:$E$159,2,FALSE)</f>
        <v>I_Vehicleeff</v>
      </c>
      <c r="AR1073" s="233" t="str">
        <f>VLOOKUP(Table8[[#This Row],[Country Code]],Table29[],3,FALSE)</f>
        <v>Non-Annex I</v>
      </c>
      <c r="AS1073" s="233" t="str">
        <f>VLOOKUP(Table8[[#This Row],[Country Code]],Table29[],4,FALSE)</f>
        <v>Africa</v>
      </c>
      <c r="AT1073" s="233" t="str">
        <f>VLOOKUP(Table8[[#This Row],[Country Code]],Table29[],5,FALSE)</f>
        <v>Low-income</v>
      </c>
      <c r="AU1073" s="233" t="str">
        <f>VLOOKUP(Table8[[#This Row],[Country Code]],Table29[],6,FALSE)</f>
        <v>no</v>
      </c>
      <c r="AV1073" s="233" t="str">
        <f>VLOOKUP(Table8[[#This Row],[Country Code]],Table29[],7,FALSE)</f>
        <v>no</v>
      </c>
      <c r="AW1073" s="233" t="str">
        <f>VLOOKUP(Table8[[#This Row],[Country Code]],Table29[],8,FALSE)</f>
        <v>non-OECD</v>
      </c>
      <c r="AX1073" s="233" t="str">
        <f>VLOOKUP(Table8[[#This Row],[Country Code]],Table29[],9,FALSE)</f>
        <v>no</v>
      </c>
      <c r="AY1073" s="233" t="str">
        <f>VLOOKUP(Table8[[#This Row],[Country Code]],Table29[],10,FALSE)</f>
        <v>no</v>
      </c>
      <c r="AZ1073" s="235">
        <f>VLOOKUP(Table8[[#This Row],[Country Code]],Table29[],23,FALSE)</f>
        <v>1.8888012914382</v>
      </c>
      <c r="BA1073" s="235">
        <f>VLOOKUP(Table8[[#This Row],[Country Code]],Table29[],24,FALSE)</f>
        <v>0.35129125057719468</v>
      </c>
      <c r="BB1073" s="320"/>
      <c r="BC1073" s="320"/>
    </row>
    <row r="1074" spans="1:55" ht="30" hidden="1" x14ac:dyDescent="0.25">
      <c r="A1074" s="368">
        <v>22162</v>
      </c>
      <c r="B1074" s="233" t="str">
        <f>VLOOKUP(Table8[[#This Row],[Document ID]],Table1[],2,FALSE)</f>
        <v>GMB</v>
      </c>
      <c r="C1074" s="233" t="str">
        <f>VLOOKUP(Table8[[#This Row],[Document ID]],Table1[],3,FALSE)</f>
        <v>Gambia (Republic of The)</v>
      </c>
      <c r="D1074" s="241" t="str">
        <f>VLOOKUP(Table8[[#This Row],[Document ID]],Table1[],5,FALSE)</f>
        <v>LTS</v>
      </c>
      <c r="E1074" s="233" t="str">
        <f>VLOOKUP(Table8[[#This Row],[Document ID]],Table1[],7,FALSE)</f>
        <v>LTS</v>
      </c>
      <c r="F1074" s="241" t="str">
        <f>VLOOKUP(Table8[[#This Row],[Document ID]],Table1[],8,FALSE)</f>
        <v>LTS 1.0</v>
      </c>
      <c r="G1074" s="241" t="str">
        <f>VLOOKUP(Table8[[#This Row],[Document ID]],Table1[],10,FALSE)</f>
        <v>Active</v>
      </c>
      <c r="H1074" s="43" t="s">
        <v>2350</v>
      </c>
      <c r="I1074" s="43" t="s">
        <v>2407</v>
      </c>
      <c r="J1074" s="44" t="s">
        <v>2592</v>
      </c>
      <c r="K1074" s="45" t="s">
        <v>3353</v>
      </c>
      <c r="L1074" s="44" t="s">
        <v>2333</v>
      </c>
      <c r="M1074" s="43">
        <v>76</v>
      </c>
      <c r="N1074" s="113"/>
      <c r="O1074" s="113"/>
      <c r="P1074" s="113"/>
      <c r="Q1074" s="113"/>
      <c r="R1074" s="113"/>
      <c r="S1074" s="113" t="s">
        <v>1113</v>
      </c>
      <c r="T1074" s="113"/>
      <c r="U1074" s="113"/>
      <c r="V1074" s="113"/>
      <c r="W1074" s="113"/>
      <c r="X1074" s="113"/>
      <c r="Y1074" s="113"/>
      <c r="Z1074" s="113"/>
      <c r="AA1074" s="113"/>
      <c r="AB1074" s="113"/>
      <c r="AC1074" s="113"/>
      <c r="AD1074" s="113"/>
      <c r="AE1074" s="113"/>
      <c r="AF1074" s="113"/>
      <c r="AG1074" s="113"/>
      <c r="AH1074" s="113"/>
      <c r="AI1074" s="113"/>
      <c r="AJ1074" s="113"/>
      <c r="AK1074" s="113" t="s">
        <v>1113</v>
      </c>
      <c r="AL1074" s="113"/>
      <c r="AM1074" s="113"/>
      <c r="AN1074" s="113"/>
      <c r="AO1074" s="44" t="s">
        <v>2334</v>
      </c>
      <c r="AP1074" s="43"/>
      <c r="AQ1074" s="236" t="str">
        <f>VLOOKUP(Table8[[#This Row],[Instrument]],Def_Targets!$D$73:$E$159,2,FALSE)</f>
        <v>I_Ecodriving</v>
      </c>
      <c r="AR1074" s="233" t="str">
        <f>VLOOKUP(Table8[[#This Row],[Country Code]],Table29[],3,FALSE)</f>
        <v>Non-Annex I</v>
      </c>
      <c r="AS1074" s="233" t="str">
        <f>VLOOKUP(Table8[[#This Row],[Country Code]],Table29[],4,FALSE)</f>
        <v>Africa</v>
      </c>
      <c r="AT1074" s="233" t="str">
        <f>VLOOKUP(Table8[[#This Row],[Country Code]],Table29[],5,FALSE)</f>
        <v>Low-income</v>
      </c>
      <c r="AU1074" s="233" t="str">
        <f>VLOOKUP(Table8[[#This Row],[Country Code]],Table29[],6,FALSE)</f>
        <v>no</v>
      </c>
      <c r="AV1074" s="233" t="str">
        <f>VLOOKUP(Table8[[#This Row],[Country Code]],Table29[],7,FALSE)</f>
        <v>no</v>
      </c>
      <c r="AW1074" s="233" t="str">
        <f>VLOOKUP(Table8[[#This Row],[Country Code]],Table29[],8,FALSE)</f>
        <v>non-OECD</v>
      </c>
      <c r="AX1074" s="233" t="str">
        <f>VLOOKUP(Table8[[#This Row],[Country Code]],Table29[],9,FALSE)</f>
        <v>no</v>
      </c>
      <c r="AY1074" s="233" t="str">
        <f>VLOOKUP(Table8[[#This Row],[Country Code]],Table29[],10,FALSE)</f>
        <v>no</v>
      </c>
      <c r="AZ1074" s="235">
        <f>VLOOKUP(Table8[[#This Row],[Country Code]],Table29[],23,FALSE)</f>
        <v>1.8888012914382</v>
      </c>
      <c r="BA1074" s="235">
        <f>VLOOKUP(Table8[[#This Row],[Country Code]],Table29[],24,FALSE)</f>
        <v>0.35129125057719468</v>
      </c>
      <c r="BB1074" s="320"/>
      <c r="BC1074" s="320"/>
    </row>
    <row r="1075" spans="1:55" ht="30" hidden="1" x14ac:dyDescent="0.25">
      <c r="A1075" s="368">
        <v>22162</v>
      </c>
      <c r="B1075" s="233" t="str">
        <f>VLOOKUP(Table8[[#This Row],[Document ID]],Table1[],2,FALSE)</f>
        <v>GMB</v>
      </c>
      <c r="C1075" s="233" t="str">
        <f>VLOOKUP(Table8[[#This Row],[Document ID]],Table1[],3,FALSE)</f>
        <v>Gambia (Republic of The)</v>
      </c>
      <c r="D1075" s="241" t="str">
        <f>VLOOKUP(Table8[[#This Row],[Document ID]],Table1[],5,FALSE)</f>
        <v>LTS</v>
      </c>
      <c r="E1075" s="233" t="str">
        <f>VLOOKUP(Table8[[#This Row],[Document ID]],Table1[],7,FALSE)</f>
        <v>LTS</v>
      </c>
      <c r="F1075" s="241" t="str">
        <f>VLOOKUP(Table8[[#This Row],[Document ID]],Table1[],8,FALSE)</f>
        <v>LTS 1.0</v>
      </c>
      <c r="G1075" s="241" t="str">
        <f>VLOOKUP(Table8[[#This Row],[Document ID]],Table1[],10,FALSE)</f>
        <v>Active</v>
      </c>
      <c r="H1075" s="44" t="s">
        <v>2338</v>
      </c>
      <c r="I1075" s="44" t="s">
        <v>2339</v>
      </c>
      <c r="J1075" s="44" t="s">
        <v>2340</v>
      </c>
      <c r="K1075" s="45" t="s">
        <v>3354</v>
      </c>
      <c r="L1075" s="44" t="s">
        <v>2333</v>
      </c>
      <c r="M1075" s="43">
        <v>76</v>
      </c>
      <c r="N1075" s="113"/>
      <c r="O1075" s="113"/>
      <c r="P1075" s="113"/>
      <c r="Q1075" s="113"/>
      <c r="R1075" s="113"/>
      <c r="S1075" s="113" t="s">
        <v>1113</v>
      </c>
      <c r="T1075" s="113"/>
      <c r="U1075" s="113"/>
      <c r="V1075" s="113"/>
      <c r="W1075" s="113"/>
      <c r="X1075" s="113"/>
      <c r="Y1075" s="113"/>
      <c r="Z1075" s="113"/>
      <c r="AA1075" s="113"/>
      <c r="AB1075" s="113"/>
      <c r="AC1075" s="113"/>
      <c r="AD1075" s="113"/>
      <c r="AE1075" s="113"/>
      <c r="AF1075" s="113"/>
      <c r="AG1075" s="113"/>
      <c r="AH1075" s="113"/>
      <c r="AI1075" s="113"/>
      <c r="AJ1075" s="113"/>
      <c r="AK1075" s="113" t="s">
        <v>1113</v>
      </c>
      <c r="AL1075" s="113"/>
      <c r="AM1075" s="113"/>
      <c r="AN1075" s="113"/>
      <c r="AO1075" s="44" t="s">
        <v>2334</v>
      </c>
      <c r="AP1075" s="43"/>
      <c r="AQ1075" s="236" t="str">
        <f>VLOOKUP(Table8[[#This Row],[Instrument]],Def_Targets!$D$73:$E$159,2,FALSE)</f>
        <v>I_Vehicleimprove</v>
      </c>
      <c r="AR1075" s="233" t="str">
        <f>VLOOKUP(Table8[[#This Row],[Country Code]],Table29[],3,FALSE)</f>
        <v>Non-Annex I</v>
      </c>
      <c r="AS1075" s="233" t="str">
        <f>VLOOKUP(Table8[[#This Row],[Country Code]],Table29[],4,FALSE)</f>
        <v>Africa</v>
      </c>
      <c r="AT1075" s="233" t="str">
        <f>VLOOKUP(Table8[[#This Row],[Country Code]],Table29[],5,FALSE)</f>
        <v>Low-income</v>
      </c>
      <c r="AU1075" s="233" t="str">
        <f>VLOOKUP(Table8[[#This Row],[Country Code]],Table29[],6,FALSE)</f>
        <v>no</v>
      </c>
      <c r="AV1075" s="233" t="str">
        <f>VLOOKUP(Table8[[#This Row],[Country Code]],Table29[],7,FALSE)</f>
        <v>no</v>
      </c>
      <c r="AW1075" s="233" t="str">
        <f>VLOOKUP(Table8[[#This Row],[Country Code]],Table29[],8,FALSE)</f>
        <v>non-OECD</v>
      </c>
      <c r="AX1075" s="233" t="str">
        <f>VLOOKUP(Table8[[#This Row],[Country Code]],Table29[],9,FALSE)</f>
        <v>no</v>
      </c>
      <c r="AY1075" s="233" t="str">
        <f>VLOOKUP(Table8[[#This Row],[Country Code]],Table29[],10,FALSE)</f>
        <v>no</v>
      </c>
      <c r="AZ1075" s="235">
        <f>VLOOKUP(Table8[[#This Row],[Country Code]],Table29[],23,FALSE)</f>
        <v>1.8888012914382</v>
      </c>
      <c r="BA1075" s="235">
        <f>VLOOKUP(Table8[[#This Row],[Country Code]],Table29[],24,FALSE)</f>
        <v>0.35129125057719468</v>
      </c>
      <c r="BB1075" s="320"/>
      <c r="BC1075" s="320"/>
    </row>
    <row r="1076" spans="1:55" ht="30" hidden="1" x14ac:dyDescent="0.25">
      <c r="A1076" s="368">
        <v>22162</v>
      </c>
      <c r="B1076" s="233" t="str">
        <f>VLOOKUP(Table8[[#This Row],[Document ID]],Table1[],2,FALSE)</f>
        <v>GMB</v>
      </c>
      <c r="C1076" s="233" t="str">
        <f>VLOOKUP(Table8[[#This Row],[Document ID]],Table1[],3,FALSE)</f>
        <v>Gambia (Republic of The)</v>
      </c>
      <c r="D1076" s="241" t="str">
        <f>VLOOKUP(Table8[[#This Row],[Document ID]],Table1[],5,FALSE)</f>
        <v>LTS</v>
      </c>
      <c r="E1076" s="233" t="str">
        <f>VLOOKUP(Table8[[#This Row],[Document ID]],Table1[],7,FALSE)</f>
        <v>LTS</v>
      </c>
      <c r="F1076" s="241" t="str">
        <f>VLOOKUP(Table8[[#This Row],[Document ID]],Table1[],8,FALSE)</f>
        <v>LTS 1.0</v>
      </c>
      <c r="G1076" s="241" t="str">
        <f>VLOOKUP(Table8[[#This Row],[Document ID]],Table1[],10,FALSE)</f>
        <v>Active</v>
      </c>
      <c r="H1076" s="43" t="s">
        <v>2343</v>
      </c>
      <c r="I1076" s="43" t="s">
        <v>2344</v>
      </c>
      <c r="J1076" s="44" t="s">
        <v>2345</v>
      </c>
      <c r="K1076" s="45" t="s">
        <v>3355</v>
      </c>
      <c r="L1076" s="44" t="s">
        <v>2347</v>
      </c>
      <c r="M1076" s="43">
        <v>76</v>
      </c>
      <c r="N1076" s="113" t="s">
        <v>1113</v>
      </c>
      <c r="O1076" s="113"/>
      <c r="P1076" s="113"/>
      <c r="Q1076" s="113"/>
      <c r="R1076" s="113"/>
      <c r="S1076" s="113"/>
      <c r="T1076" s="113"/>
      <c r="U1076" s="113"/>
      <c r="V1076" s="113"/>
      <c r="W1076" s="113"/>
      <c r="X1076" s="113"/>
      <c r="Y1076" s="113"/>
      <c r="Z1076" s="113"/>
      <c r="AA1076" s="113"/>
      <c r="AB1076" s="113"/>
      <c r="AC1076" s="113"/>
      <c r="AD1076" s="113"/>
      <c r="AE1076" s="113"/>
      <c r="AF1076" s="113"/>
      <c r="AG1076" s="113"/>
      <c r="AH1076" s="113"/>
      <c r="AI1076" s="113"/>
      <c r="AJ1076" s="113"/>
      <c r="AK1076" s="113" t="s">
        <v>1113</v>
      </c>
      <c r="AL1076" s="113"/>
      <c r="AM1076" s="113"/>
      <c r="AN1076" s="113"/>
      <c r="AO1076" s="43" t="s">
        <v>2348</v>
      </c>
      <c r="AP1076" s="43"/>
      <c r="AQ1076" s="236" t="str">
        <f>VLOOKUP(Table8[[#This Row],[Instrument]],Def_Targets!$D$73:$E$159,2,FALSE)</f>
        <v>S_PublicTransport</v>
      </c>
      <c r="AR1076" s="233" t="str">
        <f>VLOOKUP(Table8[[#This Row],[Country Code]],Table29[],3,FALSE)</f>
        <v>Non-Annex I</v>
      </c>
      <c r="AS1076" s="233" t="str">
        <f>VLOOKUP(Table8[[#This Row],[Country Code]],Table29[],4,FALSE)</f>
        <v>Africa</v>
      </c>
      <c r="AT1076" s="233" t="str">
        <f>VLOOKUP(Table8[[#This Row],[Country Code]],Table29[],5,FALSE)</f>
        <v>Low-income</v>
      </c>
      <c r="AU1076" s="233" t="str">
        <f>VLOOKUP(Table8[[#This Row],[Country Code]],Table29[],6,FALSE)</f>
        <v>no</v>
      </c>
      <c r="AV1076" s="233" t="str">
        <f>VLOOKUP(Table8[[#This Row],[Country Code]],Table29[],7,FALSE)</f>
        <v>no</v>
      </c>
      <c r="AW1076" s="233" t="str">
        <f>VLOOKUP(Table8[[#This Row],[Country Code]],Table29[],8,FALSE)</f>
        <v>non-OECD</v>
      </c>
      <c r="AX1076" s="233" t="str">
        <f>VLOOKUP(Table8[[#This Row],[Country Code]],Table29[],9,FALSE)</f>
        <v>no</v>
      </c>
      <c r="AY1076" s="233" t="str">
        <f>VLOOKUP(Table8[[#This Row],[Country Code]],Table29[],10,FALSE)</f>
        <v>no</v>
      </c>
      <c r="AZ1076" s="235">
        <f>VLOOKUP(Table8[[#This Row],[Country Code]],Table29[],23,FALSE)</f>
        <v>1.8888012914382</v>
      </c>
      <c r="BA1076" s="235">
        <f>VLOOKUP(Table8[[#This Row],[Country Code]],Table29[],24,FALSE)</f>
        <v>0.35129125057719468</v>
      </c>
      <c r="BB1076" s="320"/>
      <c r="BC1076" s="320"/>
    </row>
    <row r="1077" spans="1:55" ht="30" hidden="1" x14ac:dyDescent="0.25">
      <c r="A1077" s="368">
        <v>22162</v>
      </c>
      <c r="B1077" s="233" t="str">
        <f>VLOOKUP(Table8[[#This Row],[Document ID]],Table1[],2,FALSE)</f>
        <v>GMB</v>
      </c>
      <c r="C1077" s="233" t="str">
        <f>VLOOKUP(Table8[[#This Row],[Document ID]],Table1[],3,FALSE)</f>
        <v>Gambia (Republic of The)</v>
      </c>
      <c r="D1077" s="241" t="str">
        <f>VLOOKUP(Table8[[#This Row],[Document ID]],Table1[],5,FALSE)</f>
        <v>LTS</v>
      </c>
      <c r="E1077" s="233" t="str">
        <f>VLOOKUP(Table8[[#This Row],[Document ID]],Table1[],7,FALSE)</f>
        <v>LTS</v>
      </c>
      <c r="F1077" s="241" t="str">
        <f>VLOOKUP(Table8[[#This Row],[Document ID]],Table1[],8,FALSE)</f>
        <v>LTS 1.0</v>
      </c>
      <c r="G1077" s="241" t="str">
        <f>VLOOKUP(Table8[[#This Row],[Document ID]],Table1[],10,FALSE)</f>
        <v>Active</v>
      </c>
      <c r="H1077" s="43" t="s">
        <v>2350</v>
      </c>
      <c r="I1077" s="43" t="s">
        <v>2456</v>
      </c>
      <c r="J1077" s="44" t="s">
        <v>2457</v>
      </c>
      <c r="K1077" s="45" t="s">
        <v>3356</v>
      </c>
      <c r="L1077" s="44" t="s">
        <v>2347</v>
      </c>
      <c r="M1077" s="43">
        <v>76</v>
      </c>
      <c r="N1077" s="113"/>
      <c r="O1077" s="113"/>
      <c r="P1077" s="113"/>
      <c r="Q1077" s="113" t="s">
        <v>1113</v>
      </c>
      <c r="R1077" s="113" t="s">
        <v>1113</v>
      </c>
      <c r="S1077" s="113" t="s">
        <v>1113</v>
      </c>
      <c r="T1077" s="113"/>
      <c r="U1077" s="113"/>
      <c r="V1077" s="113"/>
      <c r="W1077" s="113"/>
      <c r="X1077" s="113"/>
      <c r="Y1077" s="113"/>
      <c r="Z1077" s="113"/>
      <c r="AA1077" s="113"/>
      <c r="AB1077" s="113"/>
      <c r="AC1077" s="113"/>
      <c r="AD1077" s="113"/>
      <c r="AE1077" s="113"/>
      <c r="AF1077" s="113"/>
      <c r="AG1077" s="113"/>
      <c r="AH1077" s="113"/>
      <c r="AI1077" s="113"/>
      <c r="AJ1077" s="113"/>
      <c r="AK1077" s="113" t="s">
        <v>1113</v>
      </c>
      <c r="AL1077" s="113"/>
      <c r="AM1077" s="113"/>
      <c r="AN1077" s="113"/>
      <c r="AO1077" s="44" t="s">
        <v>2334</v>
      </c>
      <c r="AP1077" s="43"/>
      <c r="AQ1077" s="236" t="str">
        <f>VLOOKUP(Table8[[#This Row],[Instrument]],Def_Targets!$D$73:$E$159,2,FALSE)</f>
        <v>S_Infraimprove</v>
      </c>
      <c r="AR1077" s="233" t="str">
        <f>VLOOKUP(Table8[[#This Row],[Country Code]],Table29[],3,FALSE)</f>
        <v>Non-Annex I</v>
      </c>
      <c r="AS1077" s="233" t="str">
        <f>VLOOKUP(Table8[[#This Row],[Country Code]],Table29[],4,FALSE)</f>
        <v>Africa</v>
      </c>
      <c r="AT1077" s="233" t="str">
        <f>VLOOKUP(Table8[[#This Row],[Country Code]],Table29[],5,FALSE)</f>
        <v>Low-income</v>
      </c>
      <c r="AU1077" s="233" t="str">
        <f>VLOOKUP(Table8[[#This Row],[Country Code]],Table29[],6,FALSE)</f>
        <v>no</v>
      </c>
      <c r="AV1077" s="233" t="str">
        <f>VLOOKUP(Table8[[#This Row],[Country Code]],Table29[],7,FALSE)</f>
        <v>no</v>
      </c>
      <c r="AW1077" s="233" t="str">
        <f>VLOOKUP(Table8[[#This Row],[Country Code]],Table29[],8,FALSE)</f>
        <v>non-OECD</v>
      </c>
      <c r="AX1077" s="233" t="str">
        <f>VLOOKUP(Table8[[#This Row],[Country Code]],Table29[],9,FALSE)</f>
        <v>no</v>
      </c>
      <c r="AY1077" s="233" t="str">
        <f>VLOOKUP(Table8[[#This Row],[Country Code]],Table29[],10,FALSE)</f>
        <v>no</v>
      </c>
      <c r="AZ1077" s="235">
        <f>VLOOKUP(Table8[[#This Row],[Country Code]],Table29[],23,FALSE)</f>
        <v>1.8888012914382</v>
      </c>
      <c r="BA1077" s="235">
        <f>VLOOKUP(Table8[[#This Row],[Country Code]],Table29[],24,FALSE)</f>
        <v>0.35129125057719468</v>
      </c>
      <c r="BB1077" s="320"/>
      <c r="BC1077" s="320"/>
    </row>
    <row r="1078" spans="1:55" ht="30" hidden="1" x14ac:dyDescent="0.25">
      <c r="A1078" s="368">
        <v>22162</v>
      </c>
      <c r="B1078" s="233" t="str">
        <f>VLOOKUP(Table8[[#This Row],[Document ID]],Table1[],2,FALSE)</f>
        <v>GMB</v>
      </c>
      <c r="C1078" s="233" t="str">
        <f>VLOOKUP(Table8[[#This Row],[Document ID]],Table1[],3,FALSE)</f>
        <v>Gambia (Republic of The)</v>
      </c>
      <c r="D1078" s="241" t="str">
        <f>VLOOKUP(Table8[[#This Row],[Document ID]],Table1[],5,FALSE)</f>
        <v>LTS</v>
      </c>
      <c r="E1078" s="233" t="str">
        <f>VLOOKUP(Table8[[#This Row],[Document ID]],Table1[],7,FALSE)</f>
        <v>LTS</v>
      </c>
      <c r="F1078" s="241" t="str">
        <f>VLOOKUP(Table8[[#This Row],[Document ID]],Table1[],8,FALSE)</f>
        <v>LTS 1.0</v>
      </c>
      <c r="G1078" s="241" t="str">
        <f>VLOOKUP(Table8[[#This Row],[Document ID]],Table1[],10,FALSE)</f>
        <v>Active</v>
      </c>
      <c r="H1078" s="44" t="s">
        <v>2338</v>
      </c>
      <c r="I1078" s="44" t="s">
        <v>2339</v>
      </c>
      <c r="J1078" s="44" t="s">
        <v>2410</v>
      </c>
      <c r="K1078" s="45" t="s">
        <v>3357</v>
      </c>
      <c r="L1078" s="44" t="s">
        <v>2380</v>
      </c>
      <c r="M1078" s="43">
        <v>76</v>
      </c>
      <c r="N1078" s="113"/>
      <c r="O1078" s="113"/>
      <c r="P1078" s="113"/>
      <c r="Q1078" s="113"/>
      <c r="R1078" s="113"/>
      <c r="S1078" s="113" t="s">
        <v>1113</v>
      </c>
      <c r="T1078" s="113"/>
      <c r="U1078" s="113"/>
      <c r="V1078" s="113"/>
      <c r="W1078" s="113"/>
      <c r="X1078" s="113"/>
      <c r="Y1078" s="113"/>
      <c r="Z1078" s="113"/>
      <c r="AA1078" s="113"/>
      <c r="AB1078" s="113"/>
      <c r="AC1078" s="113"/>
      <c r="AD1078" s="113"/>
      <c r="AE1078" s="113"/>
      <c r="AF1078" s="113"/>
      <c r="AG1078" s="113"/>
      <c r="AH1078" s="113"/>
      <c r="AI1078" s="113"/>
      <c r="AJ1078" s="113"/>
      <c r="AK1078" s="113" t="s">
        <v>1113</v>
      </c>
      <c r="AL1078" s="113"/>
      <c r="AM1078" s="113"/>
      <c r="AN1078" s="113"/>
      <c r="AO1078" s="44" t="s">
        <v>2334</v>
      </c>
      <c r="AP1078" s="43"/>
      <c r="AQ1078" s="236" t="str">
        <f>VLOOKUP(Table8[[#This Row],[Instrument]],Def_Targets!$D$73:$E$159,2,FALSE)</f>
        <v>I_VehicleRestrictions</v>
      </c>
      <c r="AR1078" s="233" t="str">
        <f>VLOOKUP(Table8[[#This Row],[Country Code]],Table29[],3,FALSE)</f>
        <v>Non-Annex I</v>
      </c>
      <c r="AS1078" s="233" t="str">
        <f>VLOOKUP(Table8[[#This Row],[Country Code]],Table29[],4,FALSE)</f>
        <v>Africa</v>
      </c>
      <c r="AT1078" s="233" t="str">
        <f>VLOOKUP(Table8[[#This Row],[Country Code]],Table29[],5,FALSE)</f>
        <v>Low-income</v>
      </c>
      <c r="AU1078" s="233" t="str">
        <f>VLOOKUP(Table8[[#This Row],[Country Code]],Table29[],6,FALSE)</f>
        <v>no</v>
      </c>
      <c r="AV1078" s="233" t="str">
        <f>VLOOKUP(Table8[[#This Row],[Country Code]],Table29[],7,FALSE)</f>
        <v>no</v>
      </c>
      <c r="AW1078" s="233" t="str">
        <f>VLOOKUP(Table8[[#This Row],[Country Code]],Table29[],8,FALSE)</f>
        <v>non-OECD</v>
      </c>
      <c r="AX1078" s="233" t="str">
        <f>VLOOKUP(Table8[[#This Row],[Country Code]],Table29[],9,FALSE)</f>
        <v>no</v>
      </c>
      <c r="AY1078" s="233" t="str">
        <f>VLOOKUP(Table8[[#This Row],[Country Code]],Table29[],10,FALSE)</f>
        <v>no</v>
      </c>
      <c r="AZ1078" s="235">
        <f>VLOOKUP(Table8[[#This Row],[Country Code]],Table29[],23,FALSE)</f>
        <v>1.8888012914382</v>
      </c>
      <c r="BA1078" s="235">
        <f>VLOOKUP(Table8[[#This Row],[Country Code]],Table29[],24,FALSE)</f>
        <v>0.35129125057719468</v>
      </c>
      <c r="BB1078" s="320"/>
      <c r="BC1078" s="320"/>
    </row>
    <row r="1079" spans="1:55" hidden="1" x14ac:dyDescent="0.25">
      <c r="A1079" s="360">
        <v>39444</v>
      </c>
      <c r="B1079" s="233" t="str">
        <f>VLOOKUP(Table8[[#This Row],[Document ID]],Table1[],2,FALSE)</f>
        <v>GEO</v>
      </c>
      <c r="C1079" s="233" t="str">
        <f>VLOOKUP(Table8[[#This Row],[Document ID]],Table1[],3,FALSE)</f>
        <v>Georgia</v>
      </c>
      <c r="D1079" s="233" t="str">
        <f>VLOOKUP(Table8[[#This Row],[Document ID]],Table1[],5,FALSE)</f>
        <v>LTS</v>
      </c>
      <c r="E1079" s="233" t="str">
        <f>VLOOKUP(Table8[[#This Row],[Document ID]],Table1[],7,FALSE)</f>
        <v>LTS</v>
      </c>
      <c r="F1079" s="233" t="str">
        <f>VLOOKUP(Table8[[#This Row],[Document ID]],Table1[],8,FALSE)</f>
        <v>LTS 1.0</v>
      </c>
      <c r="G1079" s="233" t="str">
        <f>VLOOKUP(Table8[[#This Row],[Document ID]],Table1[],10,FALSE)</f>
        <v>Active</v>
      </c>
      <c r="H1079" s="43" t="s">
        <v>2343</v>
      </c>
      <c r="I1079" s="43" t="s">
        <v>2344</v>
      </c>
      <c r="J1079" s="44" t="s">
        <v>2345</v>
      </c>
      <c r="K1079" s="44" t="s">
        <v>3358</v>
      </c>
      <c r="L1079" s="44" t="s">
        <v>2347</v>
      </c>
      <c r="M1079" s="43">
        <v>76</v>
      </c>
      <c r="N1079" s="113"/>
      <c r="O1079" s="113"/>
      <c r="P1079" s="113"/>
      <c r="Q1079" s="113"/>
      <c r="R1079" s="113"/>
      <c r="S1079" s="113"/>
      <c r="T1079" s="113"/>
      <c r="U1079" s="113"/>
      <c r="V1079" s="113"/>
      <c r="W1079" s="113"/>
      <c r="X1079" s="113"/>
      <c r="Y1079" s="113"/>
      <c r="Z1079" s="113"/>
      <c r="AA1079" s="113"/>
      <c r="AB1079" s="113"/>
      <c r="AC1079" s="113" t="s">
        <v>1113</v>
      </c>
      <c r="AD1079" s="113"/>
      <c r="AE1079" s="113"/>
      <c r="AF1079" s="113"/>
      <c r="AG1079" s="113"/>
      <c r="AH1079" s="113"/>
      <c r="AI1079" s="113"/>
      <c r="AJ1079" s="113"/>
      <c r="AK1079" s="113" t="s">
        <v>1113</v>
      </c>
      <c r="AL1079" s="113"/>
      <c r="AM1079" s="113"/>
      <c r="AN1079" s="113"/>
      <c r="AO1079" s="43" t="s">
        <v>2348</v>
      </c>
      <c r="AP1079" s="43"/>
      <c r="AQ1079" s="236" t="str">
        <f>VLOOKUP(Table8[[#This Row],[Instrument]],Def_Targets!$D$73:$E$159,2,FALSE)</f>
        <v>S_PublicTransport</v>
      </c>
      <c r="AR1079" s="233" t="str">
        <f>VLOOKUP(Table8[[#This Row],[Country Code]],Table29[],3,FALSE)</f>
        <v>Non-Annex I</v>
      </c>
      <c r="AS1079" s="233" t="str">
        <f>VLOOKUP(Table8[[#This Row],[Country Code]],Table29[],4,FALSE)</f>
        <v>Asia</v>
      </c>
      <c r="AT1079" s="233" t="str">
        <f>VLOOKUP(Table8[[#This Row],[Country Code]],Table29[],5,FALSE)</f>
        <v>Middle-income</v>
      </c>
      <c r="AU1079" s="233" t="str">
        <f>VLOOKUP(Table8[[#This Row],[Country Code]],Table29[],6,FALSE)</f>
        <v>no</v>
      </c>
      <c r="AV1079" s="233" t="str">
        <f>VLOOKUP(Table8[[#This Row],[Country Code]],Table29[],7,FALSE)</f>
        <v>no</v>
      </c>
      <c r="AW1079" s="233" t="str">
        <f>VLOOKUP(Table8[[#This Row],[Country Code]],Table29[],8,FALSE)</f>
        <v>non-OECD</v>
      </c>
      <c r="AX1079" s="233" t="str">
        <f>VLOOKUP(Table8[[#This Row],[Country Code]],Table29[],9,FALSE)</f>
        <v>no</v>
      </c>
      <c r="AY1079" s="233" t="str">
        <f>VLOOKUP(Table8[[#This Row],[Country Code]],Table29[],10,FALSE)</f>
        <v>no</v>
      </c>
      <c r="AZ1079" s="235">
        <f>VLOOKUP(Table8[[#This Row],[Country Code]],Table29[],23,FALSE)</f>
        <v>19.049153820466</v>
      </c>
      <c r="BA1079" s="235">
        <f>VLOOKUP(Table8[[#This Row],[Country Code]],Table29[],24,FALSE)</f>
        <v>4.506874760733476</v>
      </c>
      <c r="BB1079" s="320" t="s">
        <v>3133</v>
      </c>
      <c r="BC1079" s="320"/>
    </row>
    <row r="1080" spans="1:55" hidden="1" x14ac:dyDescent="0.25">
      <c r="A1080" s="360">
        <v>39444</v>
      </c>
      <c r="B1080" s="233" t="str">
        <f>VLOOKUP(Table8[[#This Row],[Document ID]],Table1[],2,FALSE)</f>
        <v>GEO</v>
      </c>
      <c r="C1080" s="233" t="str">
        <f>VLOOKUP(Table8[[#This Row],[Document ID]],Table1[],3,FALSE)</f>
        <v>Georgia</v>
      </c>
      <c r="D1080" s="233" t="str">
        <f>VLOOKUP(Table8[[#This Row],[Document ID]],Table1[],5,FALSE)</f>
        <v>LTS</v>
      </c>
      <c r="E1080" s="233" t="str">
        <f>VLOOKUP(Table8[[#This Row],[Document ID]],Table1[],7,FALSE)</f>
        <v>LTS</v>
      </c>
      <c r="F1080" s="233" t="str">
        <f>VLOOKUP(Table8[[#This Row],[Document ID]],Table1[],8,FALSE)</f>
        <v>LTS 1.0</v>
      </c>
      <c r="G1080" s="233" t="str">
        <f>VLOOKUP(Table8[[#This Row],[Document ID]],Table1[],10,FALSE)</f>
        <v>Active</v>
      </c>
      <c r="H1080" s="43" t="s">
        <v>2350</v>
      </c>
      <c r="I1080" s="43" t="s">
        <v>2456</v>
      </c>
      <c r="J1080" s="44" t="s">
        <v>2457</v>
      </c>
      <c r="K1080" s="44" t="s">
        <v>3359</v>
      </c>
      <c r="L1080" s="44" t="s">
        <v>2347</v>
      </c>
      <c r="M1080" s="43">
        <v>76</v>
      </c>
      <c r="N1080" s="113" t="s">
        <v>1113</v>
      </c>
      <c r="O1080" s="113"/>
      <c r="P1080" s="113"/>
      <c r="Q1080" s="113"/>
      <c r="R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t="s">
        <v>1113</v>
      </c>
      <c r="AL1080" s="113"/>
      <c r="AM1080" s="113"/>
      <c r="AN1080" s="113"/>
      <c r="AO1080" s="43" t="s">
        <v>2353</v>
      </c>
      <c r="AP1080" s="43"/>
      <c r="AQ1080" s="236" t="str">
        <f>VLOOKUP(Table8[[#This Row],[Instrument]],Def_Targets!$D$73:$E$159,2,FALSE)</f>
        <v>S_Infraimprove</v>
      </c>
      <c r="AR1080" s="233" t="str">
        <f>VLOOKUP(Table8[[#This Row],[Country Code]],Table29[],3,FALSE)</f>
        <v>Non-Annex I</v>
      </c>
      <c r="AS1080" s="233" t="str">
        <f>VLOOKUP(Table8[[#This Row],[Country Code]],Table29[],4,FALSE)</f>
        <v>Asia</v>
      </c>
      <c r="AT1080" s="233" t="str">
        <f>VLOOKUP(Table8[[#This Row],[Country Code]],Table29[],5,FALSE)</f>
        <v>Middle-income</v>
      </c>
      <c r="AU1080" s="233" t="str">
        <f>VLOOKUP(Table8[[#This Row],[Country Code]],Table29[],6,FALSE)</f>
        <v>no</v>
      </c>
      <c r="AV1080" s="233" t="str">
        <f>VLOOKUP(Table8[[#This Row],[Country Code]],Table29[],7,FALSE)</f>
        <v>no</v>
      </c>
      <c r="AW1080" s="233" t="str">
        <f>VLOOKUP(Table8[[#This Row],[Country Code]],Table29[],8,FALSE)</f>
        <v>non-OECD</v>
      </c>
      <c r="AX1080" s="233" t="str">
        <f>VLOOKUP(Table8[[#This Row],[Country Code]],Table29[],9,FALSE)</f>
        <v>no</v>
      </c>
      <c r="AY1080" s="233" t="str">
        <f>VLOOKUP(Table8[[#This Row],[Country Code]],Table29[],10,FALSE)</f>
        <v>no</v>
      </c>
      <c r="AZ1080" s="235">
        <f>VLOOKUP(Table8[[#This Row],[Country Code]],Table29[],23,FALSE)</f>
        <v>19.049153820466</v>
      </c>
      <c r="BA1080" s="235">
        <f>VLOOKUP(Table8[[#This Row],[Country Code]],Table29[],24,FALSE)</f>
        <v>4.506874760733476</v>
      </c>
      <c r="BB1080" s="320" t="s">
        <v>3133</v>
      </c>
      <c r="BC1080" s="320"/>
    </row>
    <row r="1081" spans="1:55" hidden="1" x14ac:dyDescent="0.25">
      <c r="A1081" s="360">
        <v>39444</v>
      </c>
      <c r="B1081" s="233" t="str">
        <f>VLOOKUP(Table8[[#This Row],[Document ID]],Table1[],2,FALSE)</f>
        <v>GEO</v>
      </c>
      <c r="C1081" s="233" t="str">
        <f>VLOOKUP(Table8[[#This Row],[Document ID]],Table1[],3,FALSE)</f>
        <v>Georgia</v>
      </c>
      <c r="D1081" s="233" t="str">
        <f>VLOOKUP(Table8[[#This Row],[Document ID]],Table1[],5,FALSE)</f>
        <v>LTS</v>
      </c>
      <c r="E1081" s="233" t="str">
        <f>VLOOKUP(Table8[[#This Row],[Document ID]],Table1[],7,FALSE)</f>
        <v>LTS</v>
      </c>
      <c r="F1081" s="233" t="str">
        <f>VLOOKUP(Table8[[#This Row],[Document ID]],Table1[],8,FALSE)</f>
        <v>LTS 1.0</v>
      </c>
      <c r="G1081" s="233" t="str">
        <f>VLOOKUP(Table8[[#This Row],[Document ID]],Table1[],10,FALSE)</f>
        <v>Active</v>
      </c>
      <c r="H1081" s="43" t="s">
        <v>2343</v>
      </c>
      <c r="I1081" s="43" t="s">
        <v>2344</v>
      </c>
      <c r="J1081" s="44" t="s">
        <v>2345</v>
      </c>
      <c r="K1081" s="44" t="s">
        <v>3360</v>
      </c>
      <c r="L1081" s="44" t="s">
        <v>2347</v>
      </c>
      <c r="M1081" s="43">
        <v>76</v>
      </c>
      <c r="N1081" s="113" t="s">
        <v>1113</v>
      </c>
      <c r="O1081" s="113"/>
      <c r="P1081" s="113"/>
      <c r="Q1081" s="113"/>
      <c r="R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t="s">
        <v>1113</v>
      </c>
      <c r="AL1081" s="113"/>
      <c r="AM1081" s="113"/>
      <c r="AN1081" s="113"/>
      <c r="AO1081" s="43" t="s">
        <v>2348</v>
      </c>
      <c r="AP1081" s="43"/>
      <c r="AQ1081" s="236" t="str">
        <f>VLOOKUP(Table8[[#This Row],[Instrument]],Def_Targets!$D$73:$E$159,2,FALSE)</f>
        <v>S_PublicTransport</v>
      </c>
      <c r="AR1081" s="233" t="str">
        <f>VLOOKUP(Table8[[#This Row],[Country Code]],Table29[],3,FALSE)</f>
        <v>Non-Annex I</v>
      </c>
      <c r="AS1081" s="233" t="str">
        <f>VLOOKUP(Table8[[#This Row],[Country Code]],Table29[],4,FALSE)</f>
        <v>Asia</v>
      </c>
      <c r="AT1081" s="233" t="str">
        <f>VLOOKUP(Table8[[#This Row],[Country Code]],Table29[],5,FALSE)</f>
        <v>Middle-income</v>
      </c>
      <c r="AU1081" s="233" t="str">
        <f>VLOOKUP(Table8[[#This Row],[Country Code]],Table29[],6,FALSE)</f>
        <v>no</v>
      </c>
      <c r="AV1081" s="233" t="str">
        <f>VLOOKUP(Table8[[#This Row],[Country Code]],Table29[],7,FALSE)</f>
        <v>no</v>
      </c>
      <c r="AW1081" s="233" t="str">
        <f>VLOOKUP(Table8[[#This Row],[Country Code]],Table29[],8,FALSE)</f>
        <v>non-OECD</v>
      </c>
      <c r="AX1081" s="233" t="str">
        <f>VLOOKUP(Table8[[#This Row],[Country Code]],Table29[],9,FALSE)</f>
        <v>no</v>
      </c>
      <c r="AY1081" s="233" t="str">
        <f>VLOOKUP(Table8[[#This Row],[Country Code]],Table29[],10,FALSE)</f>
        <v>no</v>
      </c>
      <c r="AZ1081" s="235">
        <f>VLOOKUP(Table8[[#This Row],[Country Code]],Table29[],23,FALSE)</f>
        <v>19.049153820466</v>
      </c>
      <c r="BA1081" s="235">
        <f>VLOOKUP(Table8[[#This Row],[Country Code]],Table29[],24,FALSE)</f>
        <v>4.506874760733476</v>
      </c>
      <c r="BB1081" s="320" t="s">
        <v>3133</v>
      </c>
      <c r="BC1081" s="320"/>
    </row>
    <row r="1082" spans="1:55" hidden="1" x14ac:dyDescent="0.25">
      <c r="A1082" s="360">
        <v>39444</v>
      </c>
      <c r="B1082" s="233" t="str">
        <f>VLOOKUP(Table8[[#This Row],[Document ID]],Table1[],2,FALSE)</f>
        <v>GEO</v>
      </c>
      <c r="C1082" s="233" t="str">
        <f>VLOOKUP(Table8[[#This Row],[Document ID]],Table1[],3,FALSE)</f>
        <v>Georgia</v>
      </c>
      <c r="D1082" s="233" t="str">
        <f>VLOOKUP(Table8[[#This Row],[Document ID]],Table1[],5,FALSE)</f>
        <v>LTS</v>
      </c>
      <c r="E1082" s="233" t="str">
        <f>VLOOKUP(Table8[[#This Row],[Document ID]],Table1[],7,FALSE)</f>
        <v>LTS</v>
      </c>
      <c r="F1082" s="233" t="str">
        <f>VLOOKUP(Table8[[#This Row],[Document ID]],Table1[],8,FALSE)</f>
        <v>LTS 1.0</v>
      </c>
      <c r="G1082" s="233" t="str">
        <f>VLOOKUP(Table8[[#This Row],[Document ID]],Table1[],10,FALSE)</f>
        <v>Active</v>
      </c>
      <c r="H1082" s="43" t="s">
        <v>2343</v>
      </c>
      <c r="I1082" s="43" t="s">
        <v>2361</v>
      </c>
      <c r="J1082" s="44" t="s">
        <v>2366</v>
      </c>
      <c r="K1082" s="44" t="s">
        <v>3361</v>
      </c>
      <c r="L1082" s="44" t="s">
        <v>2347</v>
      </c>
      <c r="M1082" s="43">
        <v>76</v>
      </c>
      <c r="N1082" s="113"/>
      <c r="O1082" s="113"/>
      <c r="P1082" s="113"/>
      <c r="Q1082" s="113" t="s">
        <v>1113</v>
      </c>
      <c r="R1082" s="113" t="s">
        <v>1113</v>
      </c>
      <c r="S1082" s="113"/>
      <c r="T1082" s="113"/>
      <c r="U1082" s="113"/>
      <c r="V1082" s="113"/>
      <c r="W1082" s="113"/>
      <c r="X1082" s="113"/>
      <c r="Y1082" s="113"/>
      <c r="Z1082" s="113"/>
      <c r="AA1082" s="113"/>
      <c r="AB1082" s="113"/>
      <c r="AC1082" s="113"/>
      <c r="AD1082" s="113"/>
      <c r="AE1082" s="113"/>
      <c r="AF1082" s="113"/>
      <c r="AG1082" s="113"/>
      <c r="AH1082" s="113"/>
      <c r="AI1082" s="113"/>
      <c r="AJ1082" s="113"/>
      <c r="AK1082" s="113" t="s">
        <v>1113</v>
      </c>
      <c r="AL1082" s="113"/>
      <c r="AM1082" s="113"/>
      <c r="AN1082" s="113"/>
      <c r="AO1082" s="44" t="s">
        <v>2334</v>
      </c>
      <c r="AP1082" s="43"/>
      <c r="AQ1082" s="236" t="str">
        <f>VLOOKUP(Table8[[#This Row],[Instrument]],Def_Targets!$D$73:$E$159,2,FALSE)</f>
        <v>S_Activemobility</v>
      </c>
      <c r="AR1082" s="233" t="str">
        <f>VLOOKUP(Table8[[#This Row],[Country Code]],Table29[],3,FALSE)</f>
        <v>Non-Annex I</v>
      </c>
      <c r="AS1082" s="233" t="str">
        <f>VLOOKUP(Table8[[#This Row],[Country Code]],Table29[],4,FALSE)</f>
        <v>Asia</v>
      </c>
      <c r="AT1082" s="233" t="str">
        <f>VLOOKUP(Table8[[#This Row],[Country Code]],Table29[],5,FALSE)</f>
        <v>Middle-income</v>
      </c>
      <c r="AU1082" s="233" t="str">
        <f>VLOOKUP(Table8[[#This Row],[Country Code]],Table29[],6,FALSE)</f>
        <v>no</v>
      </c>
      <c r="AV1082" s="233" t="str">
        <f>VLOOKUP(Table8[[#This Row],[Country Code]],Table29[],7,FALSE)</f>
        <v>no</v>
      </c>
      <c r="AW1082" s="233" t="str">
        <f>VLOOKUP(Table8[[#This Row],[Country Code]],Table29[],8,FALSE)</f>
        <v>non-OECD</v>
      </c>
      <c r="AX1082" s="233" t="str">
        <f>VLOOKUP(Table8[[#This Row],[Country Code]],Table29[],9,FALSE)</f>
        <v>no</v>
      </c>
      <c r="AY1082" s="233" t="str">
        <f>VLOOKUP(Table8[[#This Row],[Country Code]],Table29[],10,FALSE)</f>
        <v>no</v>
      </c>
      <c r="AZ1082" s="235">
        <f>VLOOKUP(Table8[[#This Row],[Country Code]],Table29[],23,FALSE)</f>
        <v>19.049153820466</v>
      </c>
      <c r="BA1082" s="235">
        <f>VLOOKUP(Table8[[#This Row],[Country Code]],Table29[],24,FALSE)</f>
        <v>4.506874760733476</v>
      </c>
      <c r="BB1082" s="320" t="s">
        <v>3133</v>
      </c>
      <c r="BC1082" s="320"/>
    </row>
    <row r="1083" spans="1:55" hidden="1" x14ac:dyDescent="0.25">
      <c r="A1083" s="360">
        <v>39444</v>
      </c>
      <c r="B1083" s="233" t="str">
        <f>VLOOKUP(Table8[[#This Row],[Document ID]],Table1[],2,FALSE)</f>
        <v>GEO</v>
      </c>
      <c r="C1083" s="233" t="str">
        <f>VLOOKUP(Table8[[#This Row],[Document ID]],Table1[],3,FALSE)</f>
        <v>Georgia</v>
      </c>
      <c r="D1083" s="233" t="str">
        <f>VLOOKUP(Table8[[#This Row],[Document ID]],Table1[],5,FALSE)</f>
        <v>LTS</v>
      </c>
      <c r="E1083" s="233" t="str">
        <f>VLOOKUP(Table8[[#This Row],[Document ID]],Table1[],7,FALSE)</f>
        <v>LTS</v>
      </c>
      <c r="F1083" s="233" t="str">
        <f>VLOOKUP(Table8[[#This Row],[Document ID]],Table1[],8,FALSE)</f>
        <v>LTS 1.0</v>
      </c>
      <c r="G1083" s="233" t="str">
        <f>VLOOKUP(Table8[[#This Row],[Document ID]],Table1[],10,FALSE)</f>
        <v>Active</v>
      </c>
      <c r="H1083" s="43" t="s">
        <v>2343</v>
      </c>
      <c r="I1083" s="43" t="s">
        <v>2344</v>
      </c>
      <c r="J1083" s="44" t="s">
        <v>2345</v>
      </c>
      <c r="K1083" s="44" t="s">
        <v>3362</v>
      </c>
      <c r="L1083" s="44" t="s">
        <v>2347</v>
      </c>
      <c r="M1083" s="43">
        <v>76</v>
      </c>
      <c r="N1083" s="113"/>
      <c r="O1083" s="113"/>
      <c r="P1083" s="113"/>
      <c r="Q1083" s="113"/>
      <c r="R1083" s="113"/>
      <c r="S1083" s="113"/>
      <c r="T1083" s="113"/>
      <c r="U1083" s="113"/>
      <c r="V1083" s="113"/>
      <c r="W1083" s="113"/>
      <c r="X1083" s="113"/>
      <c r="Y1083" s="113"/>
      <c r="Z1083" s="113" t="s">
        <v>1113</v>
      </c>
      <c r="AA1083" s="113"/>
      <c r="AB1083" s="113"/>
      <c r="AC1083" s="113"/>
      <c r="AD1083" s="113"/>
      <c r="AE1083" s="113"/>
      <c r="AF1083" s="113"/>
      <c r="AG1083" s="113"/>
      <c r="AH1083" s="113"/>
      <c r="AI1083" s="113"/>
      <c r="AJ1083" s="113"/>
      <c r="AK1083" s="113" t="s">
        <v>1113</v>
      </c>
      <c r="AL1083" s="113"/>
      <c r="AM1083" s="113"/>
      <c r="AN1083" s="113"/>
      <c r="AO1083" s="43" t="s">
        <v>2348</v>
      </c>
      <c r="AP1083" s="43"/>
      <c r="AQ1083" s="236" t="str">
        <f>VLOOKUP(Table8[[#This Row],[Instrument]],Def_Targets!$D$73:$E$159,2,FALSE)</f>
        <v>S_PublicTransport</v>
      </c>
      <c r="AR1083" s="233" t="str">
        <f>VLOOKUP(Table8[[#This Row],[Country Code]],Table29[],3,FALSE)</f>
        <v>Non-Annex I</v>
      </c>
      <c r="AS1083" s="233" t="str">
        <f>VLOOKUP(Table8[[#This Row],[Country Code]],Table29[],4,FALSE)</f>
        <v>Asia</v>
      </c>
      <c r="AT1083" s="233" t="str">
        <f>VLOOKUP(Table8[[#This Row],[Country Code]],Table29[],5,FALSE)</f>
        <v>Middle-income</v>
      </c>
      <c r="AU1083" s="233" t="str">
        <f>VLOOKUP(Table8[[#This Row],[Country Code]],Table29[],6,FALSE)</f>
        <v>no</v>
      </c>
      <c r="AV1083" s="233" t="str">
        <f>VLOOKUP(Table8[[#This Row],[Country Code]],Table29[],7,FALSE)</f>
        <v>no</v>
      </c>
      <c r="AW1083" s="233" t="str">
        <f>VLOOKUP(Table8[[#This Row],[Country Code]],Table29[],8,FALSE)</f>
        <v>non-OECD</v>
      </c>
      <c r="AX1083" s="233" t="str">
        <f>VLOOKUP(Table8[[#This Row],[Country Code]],Table29[],9,FALSE)</f>
        <v>no</v>
      </c>
      <c r="AY1083" s="233" t="str">
        <f>VLOOKUP(Table8[[#This Row],[Country Code]],Table29[],10,FALSE)</f>
        <v>no</v>
      </c>
      <c r="AZ1083" s="235">
        <f>VLOOKUP(Table8[[#This Row],[Country Code]],Table29[],23,FALSE)</f>
        <v>19.049153820466</v>
      </c>
      <c r="BA1083" s="235">
        <f>VLOOKUP(Table8[[#This Row],[Country Code]],Table29[],24,FALSE)</f>
        <v>4.506874760733476</v>
      </c>
      <c r="BB1083" s="320" t="s">
        <v>3133</v>
      </c>
      <c r="BC1083" s="320"/>
    </row>
    <row r="1084" spans="1:55" hidden="1" x14ac:dyDescent="0.25">
      <c r="A1084" s="360">
        <v>39444</v>
      </c>
      <c r="B1084" s="233" t="str">
        <f>VLOOKUP(Table8[[#This Row],[Document ID]],Table1[],2,FALSE)</f>
        <v>GEO</v>
      </c>
      <c r="C1084" s="233" t="str">
        <f>VLOOKUP(Table8[[#This Row],[Document ID]],Table1[],3,FALSE)</f>
        <v>Georgia</v>
      </c>
      <c r="D1084" s="233" t="str">
        <f>VLOOKUP(Table8[[#This Row],[Document ID]],Table1[],5,FALSE)</f>
        <v>LTS</v>
      </c>
      <c r="E1084" s="233" t="str">
        <f>VLOOKUP(Table8[[#This Row],[Document ID]],Table1[],7,FALSE)</f>
        <v>LTS</v>
      </c>
      <c r="F1084" s="233" t="str">
        <f>VLOOKUP(Table8[[#This Row],[Document ID]],Table1[],8,FALSE)</f>
        <v>LTS 1.0</v>
      </c>
      <c r="G1084" s="233" t="str">
        <f>VLOOKUP(Table8[[#This Row],[Document ID]],Table1[],10,FALSE)</f>
        <v>Active</v>
      </c>
      <c r="H1084" s="44" t="s">
        <v>2329</v>
      </c>
      <c r="I1084" s="44" t="s">
        <v>2330</v>
      </c>
      <c r="J1084" s="44" t="s">
        <v>2357</v>
      </c>
      <c r="K1084" s="44" t="s">
        <v>3363</v>
      </c>
      <c r="L1084" s="44" t="s">
        <v>2333</v>
      </c>
      <c r="M1084" s="43">
        <v>76</v>
      </c>
      <c r="N1084" s="113" t="s">
        <v>1113</v>
      </c>
      <c r="O1084" s="113"/>
      <c r="P1084" s="113"/>
      <c r="Q1084" s="113"/>
      <c r="R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t="s">
        <v>1113</v>
      </c>
      <c r="AL1084" s="113"/>
      <c r="AM1084" s="113"/>
      <c r="AN1084" s="113"/>
      <c r="AO1084" s="44" t="s">
        <v>2334</v>
      </c>
      <c r="AP1084" s="43"/>
      <c r="AQ1084" s="236" t="str">
        <f>VLOOKUP(Table8[[#This Row],[Instrument]],Def_Targets!$D$73:$E$159,2,FALSE)</f>
        <v>I_Biofuel</v>
      </c>
      <c r="AR1084" s="233" t="str">
        <f>VLOOKUP(Table8[[#This Row],[Country Code]],Table29[],3,FALSE)</f>
        <v>Non-Annex I</v>
      </c>
      <c r="AS1084" s="233" t="str">
        <f>VLOOKUP(Table8[[#This Row],[Country Code]],Table29[],4,FALSE)</f>
        <v>Asia</v>
      </c>
      <c r="AT1084" s="233" t="str">
        <f>VLOOKUP(Table8[[#This Row],[Country Code]],Table29[],5,FALSE)</f>
        <v>Middle-income</v>
      </c>
      <c r="AU1084" s="233" t="str">
        <f>VLOOKUP(Table8[[#This Row],[Country Code]],Table29[],6,FALSE)</f>
        <v>no</v>
      </c>
      <c r="AV1084" s="233" t="str">
        <f>VLOOKUP(Table8[[#This Row],[Country Code]],Table29[],7,FALSE)</f>
        <v>no</v>
      </c>
      <c r="AW1084" s="233" t="str">
        <f>VLOOKUP(Table8[[#This Row],[Country Code]],Table29[],8,FALSE)</f>
        <v>non-OECD</v>
      </c>
      <c r="AX1084" s="233" t="str">
        <f>VLOOKUP(Table8[[#This Row],[Country Code]],Table29[],9,FALSE)</f>
        <v>no</v>
      </c>
      <c r="AY1084" s="233" t="str">
        <f>VLOOKUP(Table8[[#This Row],[Country Code]],Table29[],10,FALSE)</f>
        <v>no</v>
      </c>
      <c r="AZ1084" s="235">
        <f>VLOOKUP(Table8[[#This Row],[Country Code]],Table29[],23,FALSE)</f>
        <v>19.049153820466</v>
      </c>
      <c r="BA1084" s="235">
        <f>VLOOKUP(Table8[[#This Row],[Country Code]],Table29[],24,FALSE)</f>
        <v>4.506874760733476</v>
      </c>
      <c r="BB1084" s="320" t="s">
        <v>3133</v>
      </c>
      <c r="BC1084" s="320"/>
    </row>
    <row r="1085" spans="1:55" ht="60" hidden="1" x14ac:dyDescent="0.25">
      <c r="A1085" s="373">
        <v>32501</v>
      </c>
      <c r="B1085" s="233" t="str">
        <f>VLOOKUP(Table8[[#This Row],[Document ID]],Table1[],2,FALSE)</f>
        <v>DEU</v>
      </c>
      <c r="C1085" s="233" t="str">
        <f>VLOOKUP(Table8[[#This Row],[Document ID]],Table1[],3,FALSE)</f>
        <v>Germany</v>
      </c>
      <c r="D1085" s="243" t="str">
        <f>VLOOKUP(Table8[[#This Row],[Document ID]],Table1[],5,FALSE)</f>
        <v>LTS</v>
      </c>
      <c r="E1085" s="233" t="str">
        <f>VLOOKUP(Table8[[#This Row],[Document ID]],Table1[],7,FALSE)</f>
        <v>LTS</v>
      </c>
      <c r="F1085" s="233" t="str">
        <f>VLOOKUP(Table8[[#This Row],[Document ID]],Table1[],8,FALSE)</f>
        <v>LTS 1.1</v>
      </c>
      <c r="G1085" s="233" t="str">
        <f>VLOOKUP(Table8[[#This Row],[Document ID]],Table1[],10,FALSE)</f>
        <v>Active</v>
      </c>
      <c r="H1085" s="43" t="s">
        <v>2358</v>
      </c>
      <c r="I1085" s="43" t="s">
        <v>2359</v>
      </c>
      <c r="J1085" s="44" t="s">
        <v>2360</v>
      </c>
      <c r="K1085" s="44" t="s">
        <v>3364</v>
      </c>
      <c r="L1085" s="44" t="s">
        <v>2333</v>
      </c>
      <c r="M1085" s="43">
        <v>55</v>
      </c>
      <c r="N1085" s="113"/>
      <c r="O1085" s="113"/>
      <c r="P1085" s="113"/>
      <c r="Q1085" s="113"/>
      <c r="R1085" s="113"/>
      <c r="S1085" s="113" t="s">
        <v>1113</v>
      </c>
      <c r="T1085" s="113"/>
      <c r="U1085" s="113"/>
      <c r="V1085" s="113"/>
      <c r="W1085" s="113"/>
      <c r="X1085" s="113"/>
      <c r="Y1085" s="113"/>
      <c r="Z1085" s="113"/>
      <c r="AA1085" s="113"/>
      <c r="AB1085" s="113"/>
      <c r="AC1085" s="113"/>
      <c r="AD1085" s="113"/>
      <c r="AE1085" s="113"/>
      <c r="AF1085" s="113"/>
      <c r="AG1085" s="113"/>
      <c r="AH1085" s="113"/>
      <c r="AI1085" s="113"/>
      <c r="AJ1085" s="113"/>
      <c r="AK1085" s="319" t="s">
        <v>1113</v>
      </c>
      <c r="AL1085" s="113"/>
      <c r="AM1085" s="113"/>
      <c r="AN1085" s="113"/>
      <c r="AO1085" s="44" t="s">
        <v>2334</v>
      </c>
      <c r="AP1085" s="43"/>
      <c r="AQ1085" s="236" t="str">
        <f>VLOOKUP(Table8[[#This Row],[Instrument]],Def_Targets!$D$73:$E$159,2,FALSE)</f>
        <v>I_Emobility</v>
      </c>
      <c r="AR1085" s="233" t="str">
        <f>VLOOKUP(Table8[[#This Row],[Country Code]],Table29[],3,FALSE)</f>
        <v>Annex I</v>
      </c>
      <c r="AS1085" s="233" t="str">
        <f>VLOOKUP(Table8[[#This Row],[Country Code]],Table29[],4,FALSE)</f>
        <v>Europe</v>
      </c>
      <c r="AT1085" s="233" t="str">
        <f>VLOOKUP(Table8[[#This Row],[Country Code]],Table29[],5,FALSE)</f>
        <v>High-income</v>
      </c>
      <c r="AU1085" s="233" t="str">
        <f>VLOOKUP(Table8[[#This Row],[Country Code]],Table29[],6,FALSE)</f>
        <v>G20</v>
      </c>
      <c r="AV1085" s="233" t="str">
        <f>VLOOKUP(Table8[[#This Row],[Country Code]],Table29[],7,FALSE)</f>
        <v>G7</v>
      </c>
      <c r="AW1085" s="233" t="str">
        <f>VLOOKUP(Table8[[#This Row],[Country Code]],Table29[],8,FALSE)</f>
        <v>OECD</v>
      </c>
      <c r="AX1085" s="233" t="str">
        <f>VLOOKUP(Table8[[#This Row],[Country Code]],Table29[],9,FALSE)</f>
        <v>EU27</v>
      </c>
      <c r="AY1085" s="233" t="str">
        <f>VLOOKUP(Table8[[#This Row],[Country Code]],Table29[],10,FALSE)</f>
        <v>no</v>
      </c>
      <c r="AZ1085" s="235">
        <f>VLOOKUP(Table8[[#This Row],[Country Code]],Table29[],23,FALSE)</f>
        <v>681.81032815186995</v>
      </c>
      <c r="BA1085" s="235">
        <f>VLOOKUP(Table8[[#This Row],[Country Code]],Table29[],24,FALSE)</f>
        <v>141.2568578412648</v>
      </c>
      <c r="BB1085" s="320"/>
      <c r="BC1085" s="320"/>
    </row>
    <row r="1086" spans="1:55" ht="60" hidden="1" x14ac:dyDescent="0.25">
      <c r="A1086" s="373">
        <v>32501</v>
      </c>
      <c r="B1086" s="233" t="str">
        <f>VLOOKUP(Table8[[#This Row],[Document ID]],Table1[],2,FALSE)</f>
        <v>DEU</v>
      </c>
      <c r="C1086" s="233" t="str">
        <f>VLOOKUP(Table8[[#This Row],[Document ID]],Table1[],3,FALSE)</f>
        <v>Germany</v>
      </c>
      <c r="D1086" s="243" t="str">
        <f>VLOOKUP(Table8[[#This Row],[Document ID]],Table1[],5,FALSE)</f>
        <v>LTS</v>
      </c>
      <c r="E1086" s="233" t="str">
        <f>VLOOKUP(Table8[[#This Row],[Document ID]],Table1[],7,FALSE)</f>
        <v>LTS</v>
      </c>
      <c r="F1086" s="233" t="str">
        <f>VLOOKUP(Table8[[#This Row],[Document ID]],Table1[],8,FALSE)</f>
        <v>LTS 1.1</v>
      </c>
      <c r="G1086" s="233" t="str">
        <f>VLOOKUP(Table8[[#This Row],[Document ID]],Table1[],10,FALSE)</f>
        <v>Active</v>
      </c>
      <c r="H1086" s="43" t="s">
        <v>2343</v>
      </c>
      <c r="I1086" s="43" t="s">
        <v>2386</v>
      </c>
      <c r="J1086" s="44" t="s">
        <v>2397</v>
      </c>
      <c r="K1086" s="44" t="s">
        <v>3365</v>
      </c>
      <c r="L1086" s="44" t="s">
        <v>2373</v>
      </c>
      <c r="M1086" s="43">
        <v>55</v>
      </c>
      <c r="N1086" s="113" t="s">
        <v>1113</v>
      </c>
      <c r="O1086" s="113"/>
      <c r="P1086" s="113"/>
      <c r="Q1086" s="113"/>
      <c r="R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319" t="s">
        <v>1113</v>
      </c>
      <c r="AL1086" s="113"/>
      <c r="AM1086" s="113"/>
      <c r="AN1086" s="113"/>
      <c r="AO1086" s="44" t="s">
        <v>2334</v>
      </c>
      <c r="AP1086" s="43"/>
      <c r="AQ1086" s="236" t="str">
        <f>VLOOKUP(Table8[[#This Row],[Instrument]],Def_Targets!$D$73:$E$159,2,FALSE)</f>
        <v>A_Finance</v>
      </c>
      <c r="AR1086" s="233" t="str">
        <f>VLOOKUP(Table8[[#This Row],[Country Code]],Table29[],3,FALSE)</f>
        <v>Annex I</v>
      </c>
      <c r="AS1086" s="233" t="str">
        <f>VLOOKUP(Table8[[#This Row],[Country Code]],Table29[],4,FALSE)</f>
        <v>Europe</v>
      </c>
      <c r="AT1086" s="233" t="str">
        <f>VLOOKUP(Table8[[#This Row],[Country Code]],Table29[],5,FALSE)</f>
        <v>High-income</v>
      </c>
      <c r="AU1086" s="233" t="str">
        <f>VLOOKUP(Table8[[#This Row],[Country Code]],Table29[],6,FALSE)</f>
        <v>G20</v>
      </c>
      <c r="AV1086" s="233" t="str">
        <f>VLOOKUP(Table8[[#This Row],[Country Code]],Table29[],7,FALSE)</f>
        <v>G7</v>
      </c>
      <c r="AW1086" s="233" t="str">
        <f>VLOOKUP(Table8[[#This Row],[Country Code]],Table29[],8,FALSE)</f>
        <v>OECD</v>
      </c>
      <c r="AX1086" s="233" t="str">
        <f>VLOOKUP(Table8[[#This Row],[Country Code]],Table29[],9,FALSE)</f>
        <v>EU27</v>
      </c>
      <c r="AY1086" s="233" t="str">
        <f>VLOOKUP(Table8[[#This Row],[Country Code]],Table29[],10,FALSE)</f>
        <v>no</v>
      </c>
      <c r="AZ1086" s="235">
        <f>VLOOKUP(Table8[[#This Row],[Country Code]],Table29[],23,FALSE)</f>
        <v>681.81032815186995</v>
      </c>
      <c r="BA1086" s="235">
        <f>VLOOKUP(Table8[[#This Row],[Country Code]],Table29[],24,FALSE)</f>
        <v>141.2568578412648</v>
      </c>
      <c r="BB1086" s="320"/>
      <c r="BC1086" s="320"/>
    </row>
    <row r="1087" spans="1:55" hidden="1" x14ac:dyDescent="0.25">
      <c r="A1087" s="373">
        <v>32501</v>
      </c>
      <c r="B1087" s="233" t="str">
        <f>VLOOKUP(Table8[[#This Row],[Document ID]],Table1[],2,FALSE)</f>
        <v>DEU</v>
      </c>
      <c r="C1087" s="233" t="str">
        <f>VLOOKUP(Table8[[#This Row],[Document ID]],Table1[],3,FALSE)</f>
        <v>Germany</v>
      </c>
      <c r="D1087" s="243" t="str">
        <f>VLOOKUP(Table8[[#This Row],[Document ID]],Table1[],5,FALSE)</f>
        <v>LTS</v>
      </c>
      <c r="E1087" s="233" t="str">
        <f>VLOOKUP(Table8[[#This Row],[Document ID]],Table1[],7,FALSE)</f>
        <v>LTS</v>
      </c>
      <c r="F1087" s="233" t="str">
        <f>VLOOKUP(Table8[[#This Row],[Document ID]],Table1[],8,FALSE)</f>
        <v>LTS 1.1</v>
      </c>
      <c r="G1087" s="233" t="str">
        <f>VLOOKUP(Table8[[#This Row],[Document ID]],Table1[],10,FALSE)</f>
        <v>Active</v>
      </c>
      <c r="H1087" s="44" t="s">
        <v>2329</v>
      </c>
      <c r="I1087" s="44" t="s">
        <v>2330</v>
      </c>
      <c r="J1087" s="44" t="s">
        <v>2381</v>
      </c>
      <c r="K1087" s="44" t="s">
        <v>3366</v>
      </c>
      <c r="L1087" s="44" t="s">
        <v>2333</v>
      </c>
      <c r="M1087" s="43">
        <v>55</v>
      </c>
      <c r="N1087" s="113" t="s">
        <v>1113</v>
      </c>
      <c r="O1087" s="113"/>
      <c r="P1087" s="113"/>
      <c r="Q1087" s="113"/>
      <c r="R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319" t="s">
        <v>1113</v>
      </c>
      <c r="AL1087" s="113"/>
      <c r="AM1087" s="113"/>
      <c r="AN1087" s="113"/>
      <c r="AO1087" s="44" t="s">
        <v>2334</v>
      </c>
      <c r="AP1087" s="43"/>
      <c r="AQ1087" s="236" t="str">
        <f>VLOOKUP(Table8[[#This Row],[Instrument]],Def_Targets!$D$73:$E$159,2,FALSE)</f>
        <v>I_RE</v>
      </c>
      <c r="AR1087" s="233" t="str">
        <f>VLOOKUP(Table8[[#This Row],[Country Code]],Table29[],3,FALSE)</f>
        <v>Annex I</v>
      </c>
      <c r="AS1087" s="233" t="str">
        <f>VLOOKUP(Table8[[#This Row],[Country Code]],Table29[],4,FALSE)</f>
        <v>Europe</v>
      </c>
      <c r="AT1087" s="233" t="str">
        <f>VLOOKUP(Table8[[#This Row],[Country Code]],Table29[],5,FALSE)</f>
        <v>High-income</v>
      </c>
      <c r="AU1087" s="233" t="str">
        <f>VLOOKUP(Table8[[#This Row],[Country Code]],Table29[],6,FALSE)</f>
        <v>G20</v>
      </c>
      <c r="AV1087" s="233" t="str">
        <f>VLOOKUP(Table8[[#This Row],[Country Code]],Table29[],7,FALSE)</f>
        <v>G7</v>
      </c>
      <c r="AW1087" s="233" t="str">
        <f>VLOOKUP(Table8[[#This Row],[Country Code]],Table29[],8,FALSE)</f>
        <v>OECD</v>
      </c>
      <c r="AX1087" s="233" t="str">
        <f>VLOOKUP(Table8[[#This Row],[Country Code]],Table29[],9,FALSE)</f>
        <v>EU27</v>
      </c>
      <c r="AY1087" s="233" t="str">
        <f>VLOOKUP(Table8[[#This Row],[Country Code]],Table29[],10,FALSE)</f>
        <v>no</v>
      </c>
      <c r="AZ1087" s="235">
        <f>VLOOKUP(Table8[[#This Row],[Country Code]],Table29[],23,FALSE)</f>
        <v>681.81032815186995</v>
      </c>
      <c r="BA1087" s="235">
        <f>VLOOKUP(Table8[[#This Row],[Country Code]],Table29[],24,FALSE)</f>
        <v>141.2568578412648</v>
      </c>
      <c r="BB1087" s="320"/>
      <c r="BC1087" s="320"/>
    </row>
    <row r="1088" spans="1:55" ht="45" hidden="1" x14ac:dyDescent="0.25">
      <c r="A1088" s="373">
        <v>32501</v>
      </c>
      <c r="B1088" s="233" t="str">
        <f>VLOOKUP(Table8[[#This Row],[Document ID]],Table1[],2,FALSE)</f>
        <v>DEU</v>
      </c>
      <c r="C1088" s="233" t="str">
        <f>VLOOKUP(Table8[[#This Row],[Document ID]],Table1[],3,FALSE)</f>
        <v>Germany</v>
      </c>
      <c r="D1088" s="243" t="str">
        <f>VLOOKUP(Table8[[#This Row],[Document ID]],Table1[],5,FALSE)</f>
        <v>LTS</v>
      </c>
      <c r="E1088" s="233" t="str">
        <f>VLOOKUP(Table8[[#This Row],[Document ID]],Table1[],7,FALSE)</f>
        <v>LTS</v>
      </c>
      <c r="F1088" s="233" t="str">
        <f>VLOOKUP(Table8[[#This Row],[Document ID]],Table1[],8,FALSE)</f>
        <v>LTS 1.1</v>
      </c>
      <c r="G1088" s="233" t="str">
        <f>VLOOKUP(Table8[[#This Row],[Document ID]],Table1[],10,FALSE)</f>
        <v>Active</v>
      </c>
      <c r="H1088" s="43" t="s">
        <v>2343</v>
      </c>
      <c r="I1088" s="43" t="s">
        <v>2386</v>
      </c>
      <c r="J1088" s="44" t="s">
        <v>3055</v>
      </c>
      <c r="K1088" s="44" t="s">
        <v>3367</v>
      </c>
      <c r="L1088" s="44" t="s">
        <v>2373</v>
      </c>
      <c r="M1088" s="43">
        <v>7</v>
      </c>
      <c r="N1088" s="113" t="s">
        <v>1113</v>
      </c>
      <c r="O1088" s="113"/>
      <c r="P1088" s="113"/>
      <c r="Q1088" s="113"/>
      <c r="R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t="s">
        <v>1113</v>
      </c>
      <c r="AL1088" s="113"/>
      <c r="AM1088" s="113"/>
      <c r="AN1088" s="113"/>
      <c r="AO1088" s="44" t="s">
        <v>2334</v>
      </c>
      <c r="AP1088" s="43"/>
      <c r="AQ1088" s="236" t="str">
        <f>VLOOKUP(Table8[[#This Row],[Instrument]],Def_Targets!$D$73:$E$159,2,FALSE)</f>
        <v>A_Emistrad</v>
      </c>
      <c r="AR1088" s="233" t="str">
        <f>VLOOKUP(Table8[[#This Row],[Country Code]],Table29[],3,FALSE)</f>
        <v>Annex I</v>
      </c>
      <c r="AS1088" s="233" t="str">
        <f>VLOOKUP(Table8[[#This Row],[Country Code]],Table29[],4,FALSE)</f>
        <v>Europe</v>
      </c>
      <c r="AT1088" s="233" t="str">
        <f>VLOOKUP(Table8[[#This Row],[Country Code]],Table29[],5,FALSE)</f>
        <v>High-income</v>
      </c>
      <c r="AU1088" s="233" t="str">
        <f>VLOOKUP(Table8[[#This Row],[Country Code]],Table29[],6,FALSE)</f>
        <v>G20</v>
      </c>
      <c r="AV1088" s="233" t="str">
        <f>VLOOKUP(Table8[[#This Row],[Country Code]],Table29[],7,FALSE)</f>
        <v>G7</v>
      </c>
      <c r="AW1088" s="233" t="str">
        <f>VLOOKUP(Table8[[#This Row],[Country Code]],Table29[],8,FALSE)</f>
        <v>OECD</v>
      </c>
      <c r="AX1088" s="233" t="str">
        <f>VLOOKUP(Table8[[#This Row],[Country Code]],Table29[],9,FALSE)</f>
        <v>EU27</v>
      </c>
      <c r="AY1088" s="233" t="str">
        <f>VLOOKUP(Table8[[#This Row],[Country Code]],Table29[],10,FALSE)</f>
        <v>no</v>
      </c>
      <c r="AZ1088" s="235">
        <f>VLOOKUP(Table8[[#This Row],[Country Code]],Table29[],23,FALSE)</f>
        <v>681.81032815186995</v>
      </c>
      <c r="BA1088" s="235">
        <f>VLOOKUP(Table8[[#This Row],[Country Code]],Table29[],24,FALSE)</f>
        <v>141.2568578412648</v>
      </c>
      <c r="BB1088" s="320"/>
      <c r="BC1088" s="320"/>
    </row>
    <row r="1089" spans="1:55" ht="60" hidden="1" x14ac:dyDescent="0.25">
      <c r="A1089" s="373">
        <v>32501</v>
      </c>
      <c r="B1089" s="233" t="str">
        <f>VLOOKUP(Table8[[#This Row],[Document ID]],Table1[],2,FALSE)</f>
        <v>DEU</v>
      </c>
      <c r="C1089" s="233" t="str">
        <f>VLOOKUP(Table8[[#This Row],[Document ID]],Table1[],3,FALSE)</f>
        <v>Germany</v>
      </c>
      <c r="D1089" s="243" t="str">
        <f>VLOOKUP(Table8[[#This Row],[Document ID]],Table1[],5,FALSE)</f>
        <v>LTS</v>
      </c>
      <c r="E1089" s="233" t="str">
        <f>VLOOKUP(Table8[[#This Row],[Document ID]],Table1[],7,FALSE)</f>
        <v>LTS</v>
      </c>
      <c r="F1089" s="233" t="str">
        <f>VLOOKUP(Table8[[#This Row],[Document ID]],Table1[],8,FALSE)</f>
        <v>LTS 1.1</v>
      </c>
      <c r="G1089" s="233" t="str">
        <f>VLOOKUP(Table8[[#This Row],[Document ID]],Table1[],10,FALSE)</f>
        <v>Active</v>
      </c>
      <c r="H1089" s="43" t="s">
        <v>2343</v>
      </c>
      <c r="I1089" s="43" t="s">
        <v>2386</v>
      </c>
      <c r="J1089" s="44" t="s">
        <v>2530</v>
      </c>
      <c r="K1089" s="44" t="s">
        <v>3368</v>
      </c>
      <c r="L1089" s="44" t="s">
        <v>2471</v>
      </c>
      <c r="M1089" s="43">
        <v>9</v>
      </c>
      <c r="N1089" s="113"/>
      <c r="O1089" s="113"/>
      <c r="P1089" s="113"/>
      <c r="Q1089" s="113"/>
      <c r="R1089" s="113"/>
      <c r="S1089" s="113" t="s">
        <v>1113</v>
      </c>
      <c r="T1089" s="113"/>
      <c r="U1089" s="113"/>
      <c r="V1089" s="113"/>
      <c r="W1089" s="113"/>
      <c r="X1089" s="113"/>
      <c r="Y1089" s="113"/>
      <c r="Z1089" s="113"/>
      <c r="AA1089" s="113"/>
      <c r="AB1089" s="113"/>
      <c r="AC1089" s="113"/>
      <c r="AD1089" s="113"/>
      <c r="AE1089" s="113"/>
      <c r="AF1089" s="113"/>
      <c r="AG1089" s="113"/>
      <c r="AH1089" s="113"/>
      <c r="AI1089" s="113"/>
      <c r="AJ1089" s="113"/>
      <c r="AK1089" s="113" t="s">
        <v>1113</v>
      </c>
      <c r="AL1089" s="113"/>
      <c r="AM1089" s="113"/>
      <c r="AN1089" s="113"/>
      <c r="AO1089" s="44" t="s">
        <v>2334</v>
      </c>
      <c r="AP1089" s="43"/>
      <c r="AQ1089" s="236" t="str">
        <f>VLOOKUP(Table8[[#This Row],[Instrument]],Def_Targets!$D$73:$E$159,2,FALSE)</f>
        <v>A_Vehicletax</v>
      </c>
      <c r="AR1089" s="233" t="str">
        <f>VLOOKUP(Table8[[#This Row],[Country Code]],Table29[],3,FALSE)</f>
        <v>Annex I</v>
      </c>
      <c r="AS1089" s="233" t="str">
        <f>VLOOKUP(Table8[[#This Row],[Country Code]],Table29[],4,FALSE)</f>
        <v>Europe</v>
      </c>
      <c r="AT1089" s="233" t="str">
        <f>VLOOKUP(Table8[[#This Row],[Country Code]],Table29[],5,FALSE)</f>
        <v>High-income</v>
      </c>
      <c r="AU1089" s="233" t="str">
        <f>VLOOKUP(Table8[[#This Row],[Country Code]],Table29[],6,FALSE)</f>
        <v>G20</v>
      </c>
      <c r="AV1089" s="233" t="str">
        <f>VLOOKUP(Table8[[#This Row],[Country Code]],Table29[],7,FALSE)</f>
        <v>G7</v>
      </c>
      <c r="AW1089" s="233" t="str">
        <f>VLOOKUP(Table8[[#This Row],[Country Code]],Table29[],8,FALSE)</f>
        <v>OECD</v>
      </c>
      <c r="AX1089" s="233" t="str">
        <f>VLOOKUP(Table8[[#This Row],[Country Code]],Table29[],9,FALSE)</f>
        <v>EU27</v>
      </c>
      <c r="AY1089" s="233" t="str">
        <f>VLOOKUP(Table8[[#This Row],[Country Code]],Table29[],10,FALSE)</f>
        <v>no</v>
      </c>
      <c r="AZ1089" s="235">
        <f>VLOOKUP(Table8[[#This Row],[Country Code]],Table29[],23,FALSE)</f>
        <v>681.81032815186995</v>
      </c>
      <c r="BA1089" s="235">
        <f>VLOOKUP(Table8[[#This Row],[Country Code]],Table29[],24,FALSE)</f>
        <v>141.2568578412648</v>
      </c>
      <c r="BB1089" s="320"/>
      <c r="BC1089" s="320"/>
    </row>
    <row r="1090" spans="1:55" ht="60" hidden="1" x14ac:dyDescent="0.25">
      <c r="A1090" s="373">
        <v>32501</v>
      </c>
      <c r="B1090" s="233" t="str">
        <f>VLOOKUP(Table8[[#This Row],[Document ID]],Table1[],2,FALSE)</f>
        <v>DEU</v>
      </c>
      <c r="C1090" s="233" t="str">
        <f>VLOOKUP(Table8[[#This Row],[Document ID]],Table1[],3,FALSE)</f>
        <v>Germany</v>
      </c>
      <c r="D1090" s="243" t="str">
        <f>VLOOKUP(Table8[[#This Row],[Document ID]],Table1[],5,FALSE)</f>
        <v>LTS</v>
      </c>
      <c r="E1090" s="233" t="str">
        <f>VLOOKUP(Table8[[#This Row],[Document ID]],Table1[],7,FALSE)</f>
        <v>LTS</v>
      </c>
      <c r="F1090" s="233" t="str">
        <f>VLOOKUP(Table8[[#This Row],[Document ID]],Table1[],8,FALSE)</f>
        <v>LTS 1.1</v>
      </c>
      <c r="G1090" s="233" t="str">
        <f>VLOOKUP(Table8[[#This Row],[Document ID]],Table1[],10,FALSE)</f>
        <v>Active</v>
      </c>
      <c r="H1090" s="43" t="s">
        <v>2358</v>
      </c>
      <c r="I1090" s="43" t="s">
        <v>2359</v>
      </c>
      <c r="J1090" s="44" t="s">
        <v>2383</v>
      </c>
      <c r="K1090" s="44" t="s">
        <v>3369</v>
      </c>
      <c r="L1090" s="44" t="s">
        <v>2471</v>
      </c>
      <c r="M1090" s="43">
        <v>9</v>
      </c>
      <c r="N1090" s="113"/>
      <c r="O1090" s="113"/>
      <c r="P1090" s="113"/>
      <c r="Q1090" s="113"/>
      <c r="R1090" s="113"/>
      <c r="S1090" s="113" t="s">
        <v>1113</v>
      </c>
      <c r="T1090" s="113"/>
      <c r="U1090" s="113"/>
      <c r="V1090" s="113"/>
      <c r="W1090" s="113"/>
      <c r="X1090" s="113"/>
      <c r="Y1090" s="113"/>
      <c r="Z1090" s="113"/>
      <c r="AA1090" s="113"/>
      <c r="AB1090" s="113"/>
      <c r="AC1090" s="113"/>
      <c r="AD1090" s="113"/>
      <c r="AE1090" s="113"/>
      <c r="AF1090" s="113"/>
      <c r="AG1090" s="113"/>
      <c r="AH1090" s="113"/>
      <c r="AI1090" s="113"/>
      <c r="AJ1090" s="113"/>
      <c r="AK1090" s="113" t="s">
        <v>1113</v>
      </c>
      <c r="AL1090" s="113"/>
      <c r="AM1090" s="113"/>
      <c r="AN1090" s="113"/>
      <c r="AO1090" s="44" t="s">
        <v>2334</v>
      </c>
      <c r="AP1090" s="43"/>
      <c r="AQ1090" s="236" t="str">
        <f>VLOOKUP(Table8[[#This Row],[Instrument]],Def_Targets!$D$73:$E$159,2,FALSE)</f>
        <v>I_Emobilitycharging</v>
      </c>
      <c r="AR1090" s="233" t="str">
        <f>VLOOKUP(Table8[[#This Row],[Country Code]],Table29[],3,FALSE)</f>
        <v>Annex I</v>
      </c>
      <c r="AS1090" s="233" t="str">
        <f>VLOOKUP(Table8[[#This Row],[Country Code]],Table29[],4,FALSE)</f>
        <v>Europe</v>
      </c>
      <c r="AT1090" s="233" t="str">
        <f>VLOOKUP(Table8[[#This Row],[Country Code]],Table29[],5,FALSE)</f>
        <v>High-income</v>
      </c>
      <c r="AU1090" s="233" t="str">
        <f>VLOOKUP(Table8[[#This Row],[Country Code]],Table29[],6,FALSE)</f>
        <v>G20</v>
      </c>
      <c r="AV1090" s="233" t="str">
        <f>VLOOKUP(Table8[[#This Row],[Country Code]],Table29[],7,FALSE)</f>
        <v>G7</v>
      </c>
      <c r="AW1090" s="233" t="str">
        <f>VLOOKUP(Table8[[#This Row],[Country Code]],Table29[],8,FALSE)</f>
        <v>OECD</v>
      </c>
      <c r="AX1090" s="233" t="str">
        <f>VLOOKUP(Table8[[#This Row],[Country Code]],Table29[],9,FALSE)</f>
        <v>EU27</v>
      </c>
      <c r="AY1090" s="233" t="str">
        <f>VLOOKUP(Table8[[#This Row],[Country Code]],Table29[],10,FALSE)</f>
        <v>no</v>
      </c>
      <c r="AZ1090" s="235">
        <f>VLOOKUP(Table8[[#This Row],[Country Code]],Table29[],23,FALSE)</f>
        <v>681.81032815186995</v>
      </c>
      <c r="BA1090" s="235">
        <f>VLOOKUP(Table8[[#This Row],[Country Code]],Table29[],24,FALSE)</f>
        <v>141.2568578412648</v>
      </c>
      <c r="BB1090" s="320"/>
      <c r="BC1090" s="320"/>
    </row>
    <row r="1091" spans="1:55" ht="60" hidden="1" x14ac:dyDescent="0.25">
      <c r="A1091" s="373">
        <v>32501</v>
      </c>
      <c r="B1091" s="233" t="str">
        <f>VLOOKUP(Table8[[#This Row],[Document ID]],Table1[],2,FALSE)</f>
        <v>DEU</v>
      </c>
      <c r="C1091" s="233" t="str">
        <f>VLOOKUP(Table8[[#This Row],[Document ID]],Table1[],3,FALSE)</f>
        <v>Germany</v>
      </c>
      <c r="D1091" s="243" t="str">
        <f>VLOOKUP(Table8[[#This Row],[Document ID]],Table1[],5,FALSE)</f>
        <v>LTS</v>
      </c>
      <c r="E1091" s="233" t="str">
        <f>VLOOKUP(Table8[[#This Row],[Document ID]],Table1[],7,FALSE)</f>
        <v>LTS</v>
      </c>
      <c r="F1091" s="233" t="str">
        <f>VLOOKUP(Table8[[#This Row],[Document ID]],Table1[],8,FALSE)</f>
        <v>LTS 1.1</v>
      </c>
      <c r="G1091" s="233" t="str">
        <f>VLOOKUP(Table8[[#This Row],[Document ID]],Table1[],10,FALSE)</f>
        <v>Active</v>
      </c>
      <c r="H1091" s="44" t="s">
        <v>2329</v>
      </c>
      <c r="I1091" s="44" t="s">
        <v>2330</v>
      </c>
      <c r="J1091" s="44" t="s">
        <v>2331</v>
      </c>
      <c r="K1091" s="44" t="s">
        <v>3370</v>
      </c>
      <c r="L1091" s="44" t="s">
        <v>2333</v>
      </c>
      <c r="M1091" s="43">
        <v>9</v>
      </c>
      <c r="N1091" s="113"/>
      <c r="O1091" s="113"/>
      <c r="P1091" s="113"/>
      <c r="Q1091" s="113"/>
      <c r="R1091" s="113"/>
      <c r="S1091" s="113" t="s">
        <v>1113</v>
      </c>
      <c r="T1091" s="113"/>
      <c r="U1091" s="113"/>
      <c r="V1091" s="113"/>
      <c r="W1091" s="113"/>
      <c r="X1091" s="113"/>
      <c r="Y1091" s="113"/>
      <c r="Z1091" s="113"/>
      <c r="AA1091" s="113"/>
      <c r="AB1091" s="113"/>
      <c r="AC1091" s="113"/>
      <c r="AD1091" s="113"/>
      <c r="AE1091" s="113"/>
      <c r="AF1091" s="113"/>
      <c r="AG1091" s="113"/>
      <c r="AH1091" s="113"/>
      <c r="AI1091" s="113"/>
      <c r="AJ1091" s="113"/>
      <c r="AK1091" s="113" t="s">
        <v>1113</v>
      </c>
      <c r="AL1091" s="113"/>
      <c r="AM1091" s="113"/>
      <c r="AN1091" s="113"/>
      <c r="AO1091" s="43" t="s">
        <v>2353</v>
      </c>
      <c r="AP1091" s="43"/>
      <c r="AQ1091" s="236" t="str">
        <f>VLOOKUP(Table8[[#This Row],[Instrument]],Def_Targets!$D$73:$E$159,2,FALSE)</f>
        <v>I_Altfuels</v>
      </c>
      <c r="AR1091" s="233" t="str">
        <f>VLOOKUP(Table8[[#This Row],[Country Code]],Table29[],3,FALSE)</f>
        <v>Annex I</v>
      </c>
      <c r="AS1091" s="233" t="str">
        <f>VLOOKUP(Table8[[#This Row],[Country Code]],Table29[],4,FALSE)</f>
        <v>Europe</v>
      </c>
      <c r="AT1091" s="233" t="str">
        <f>VLOOKUP(Table8[[#This Row],[Country Code]],Table29[],5,FALSE)</f>
        <v>High-income</v>
      </c>
      <c r="AU1091" s="233" t="str">
        <f>VLOOKUP(Table8[[#This Row],[Country Code]],Table29[],6,FALSE)</f>
        <v>G20</v>
      </c>
      <c r="AV1091" s="233" t="str">
        <f>VLOOKUP(Table8[[#This Row],[Country Code]],Table29[],7,FALSE)</f>
        <v>G7</v>
      </c>
      <c r="AW1091" s="233" t="str">
        <f>VLOOKUP(Table8[[#This Row],[Country Code]],Table29[],8,FALSE)</f>
        <v>OECD</v>
      </c>
      <c r="AX1091" s="233" t="str">
        <f>VLOOKUP(Table8[[#This Row],[Country Code]],Table29[],9,FALSE)</f>
        <v>EU27</v>
      </c>
      <c r="AY1091" s="233" t="str">
        <f>VLOOKUP(Table8[[#This Row],[Country Code]],Table29[],10,FALSE)</f>
        <v>no</v>
      </c>
      <c r="AZ1091" s="235">
        <f>VLOOKUP(Table8[[#This Row],[Country Code]],Table29[],23,FALSE)</f>
        <v>681.81032815186995</v>
      </c>
      <c r="BA1091" s="235">
        <f>VLOOKUP(Table8[[#This Row],[Country Code]],Table29[],24,FALSE)</f>
        <v>141.2568578412648</v>
      </c>
      <c r="BB1091" s="320"/>
      <c r="BC1091" s="320"/>
    </row>
    <row r="1092" spans="1:55" ht="30" hidden="1" x14ac:dyDescent="0.25">
      <c r="A1092" s="373">
        <v>21097</v>
      </c>
      <c r="B1092" s="233" t="str">
        <f>VLOOKUP(Table8[[#This Row],[Document ID]],Table1[],2,FALSE)</f>
        <v>GTM</v>
      </c>
      <c r="C1092" s="233" t="str">
        <f>VLOOKUP(Table8[[#This Row],[Document ID]],Table1[],3,FALSE)</f>
        <v>Guatemala</v>
      </c>
      <c r="D1092" s="243" t="str">
        <f>VLOOKUP(Table8[[#This Row],[Document ID]],Table1[],5,FALSE)</f>
        <v>LTS</v>
      </c>
      <c r="E1092" s="233" t="str">
        <f>VLOOKUP(Table8[[#This Row],[Document ID]],Table1[],7,FALSE)</f>
        <v>LTS</v>
      </c>
      <c r="F1092" s="233" t="str">
        <f>VLOOKUP(Table8[[#This Row],[Document ID]],Table1[],8,FALSE)</f>
        <v>LTS 1.0</v>
      </c>
      <c r="G1092" s="233" t="str">
        <f>VLOOKUP(Table8[[#This Row],[Document ID]],Table1[],10,FALSE)</f>
        <v>Active</v>
      </c>
      <c r="H1092" s="43" t="s">
        <v>2343</v>
      </c>
      <c r="I1092" s="43" t="s">
        <v>2344</v>
      </c>
      <c r="J1092" s="44" t="s">
        <v>2405</v>
      </c>
      <c r="K1092" s="44" t="s">
        <v>3371</v>
      </c>
      <c r="L1092" s="44" t="s">
        <v>2347</v>
      </c>
      <c r="M1092" s="43">
        <v>31</v>
      </c>
      <c r="N1092" s="113"/>
      <c r="O1092" s="113"/>
      <c r="P1092" s="113"/>
      <c r="Q1092" s="113"/>
      <c r="R1092" s="113"/>
      <c r="S1092" s="113"/>
      <c r="T1092" s="113"/>
      <c r="U1092" s="113"/>
      <c r="V1092" s="113"/>
      <c r="W1092" s="113"/>
      <c r="X1092" s="113"/>
      <c r="Y1092" s="113"/>
      <c r="Z1092" s="113"/>
      <c r="AA1092" s="113"/>
      <c r="AB1092" s="113"/>
      <c r="AC1092" s="319" t="s">
        <v>1113</v>
      </c>
      <c r="AD1092" s="319"/>
      <c r="AE1092" s="113"/>
      <c r="AF1092" s="113"/>
      <c r="AG1092" s="113"/>
      <c r="AH1092" s="113"/>
      <c r="AI1092" s="113"/>
      <c r="AJ1092" s="113"/>
      <c r="AK1092" s="113"/>
      <c r="AL1092" s="113" t="s">
        <v>1113</v>
      </c>
      <c r="AM1092" s="113"/>
      <c r="AN1092" s="113"/>
      <c r="AO1092" s="43" t="s">
        <v>2348</v>
      </c>
      <c r="AP1092" s="43"/>
      <c r="AQ1092" s="236" t="str">
        <f>VLOOKUP(Table8[[#This Row],[Instrument]],Def_Targets!$D$73:$E$159,2,FALSE)</f>
        <v>S_PTIntegration</v>
      </c>
      <c r="AR1092" s="233" t="str">
        <f>VLOOKUP(Table8[[#This Row],[Country Code]],Table29[],3,FALSE)</f>
        <v>Non-Annex I</v>
      </c>
      <c r="AS1092" s="233" t="str">
        <f>VLOOKUP(Table8[[#This Row],[Country Code]],Table29[],4,FALSE)</f>
        <v>Latin America and the Caribbean</v>
      </c>
      <c r="AT1092" s="233" t="str">
        <f>VLOOKUP(Table8[[#This Row],[Country Code]],Table29[],5,FALSE)</f>
        <v>Middle-income</v>
      </c>
      <c r="AU1092" s="233" t="str">
        <f>VLOOKUP(Table8[[#This Row],[Country Code]],Table29[],6,FALSE)</f>
        <v>no</v>
      </c>
      <c r="AV1092" s="233" t="str">
        <f>VLOOKUP(Table8[[#This Row],[Country Code]],Table29[],7,FALSE)</f>
        <v>no</v>
      </c>
      <c r="AW1092" s="233" t="str">
        <f>VLOOKUP(Table8[[#This Row],[Country Code]],Table29[],8,FALSE)</f>
        <v>non-OECD</v>
      </c>
      <c r="AX1092" s="233" t="str">
        <f>VLOOKUP(Table8[[#This Row],[Country Code]],Table29[],9,FALSE)</f>
        <v>no</v>
      </c>
      <c r="AY1092" s="233" t="str">
        <f>VLOOKUP(Table8[[#This Row],[Country Code]],Table29[],10,FALSE)</f>
        <v>no</v>
      </c>
      <c r="AZ1092" s="235">
        <f>VLOOKUP(Table8[[#This Row],[Country Code]],Table29[],23,FALSE)</f>
        <v>43.981074467992002</v>
      </c>
      <c r="BA1092" s="235">
        <f>VLOOKUP(Table8[[#This Row],[Country Code]],Table29[],24,FALSE)</f>
        <v>11.70609674588653</v>
      </c>
      <c r="BB1092" s="320"/>
      <c r="BC1092" s="320"/>
    </row>
    <row r="1093" spans="1:55" hidden="1" x14ac:dyDescent="0.25">
      <c r="A1093" s="373">
        <v>21097</v>
      </c>
      <c r="B1093" s="233" t="str">
        <f>VLOOKUP(Table8[[#This Row],[Document ID]],Table1[],2,FALSE)</f>
        <v>GTM</v>
      </c>
      <c r="C1093" s="233" t="str">
        <f>VLOOKUP(Table8[[#This Row],[Document ID]],Table1[],3,FALSE)</f>
        <v>Guatemala</v>
      </c>
      <c r="D1093" s="243" t="str">
        <f>VLOOKUP(Table8[[#This Row],[Document ID]],Table1[],5,FALSE)</f>
        <v>LTS</v>
      </c>
      <c r="E1093" s="233" t="str">
        <f>VLOOKUP(Table8[[#This Row],[Document ID]],Table1[],7,FALSE)</f>
        <v>LTS</v>
      </c>
      <c r="F1093" s="233" t="str">
        <f>VLOOKUP(Table8[[#This Row],[Document ID]],Table1[],8,FALSE)</f>
        <v>LTS 1.0</v>
      </c>
      <c r="G1093" s="233" t="str">
        <f>VLOOKUP(Table8[[#This Row],[Document ID]],Table1[],10,FALSE)</f>
        <v>Active</v>
      </c>
      <c r="H1093" s="43" t="s">
        <v>2343</v>
      </c>
      <c r="I1093" s="43" t="s">
        <v>2344</v>
      </c>
      <c r="J1093" s="44" t="s">
        <v>2345</v>
      </c>
      <c r="K1093" s="44" t="s">
        <v>3372</v>
      </c>
      <c r="L1093" s="44" t="s">
        <v>2333</v>
      </c>
      <c r="M1093" s="43">
        <v>31</v>
      </c>
      <c r="N1093" s="113" t="s">
        <v>1113</v>
      </c>
      <c r="O1093" s="113"/>
      <c r="P1093" s="113"/>
      <c r="Q1093" s="113"/>
      <c r="R1093" s="113"/>
      <c r="S1093" s="113"/>
      <c r="T1093" s="113"/>
      <c r="U1093" s="113"/>
      <c r="V1093" s="113"/>
      <c r="W1093" s="113"/>
      <c r="X1093" s="113"/>
      <c r="Y1093" s="113"/>
      <c r="Z1093" s="113"/>
      <c r="AA1093" s="113"/>
      <c r="AB1093" s="113"/>
      <c r="AC1093" s="113"/>
      <c r="AD1093" s="113"/>
      <c r="AE1093" s="113"/>
      <c r="AF1093" s="113"/>
      <c r="AG1093" s="113"/>
      <c r="AH1093" s="113"/>
      <c r="AI1093" s="113"/>
      <c r="AJ1093" s="113"/>
      <c r="AK1093" s="113"/>
      <c r="AL1093" s="113"/>
      <c r="AM1093" s="113" t="s">
        <v>1113</v>
      </c>
      <c r="AN1093" s="113"/>
      <c r="AO1093" s="43" t="s">
        <v>2348</v>
      </c>
      <c r="AP1093" s="43"/>
      <c r="AQ1093" s="236" t="str">
        <f>VLOOKUP(Table8[[#This Row],[Instrument]],Def_Targets!$D$73:$E$159,2,FALSE)</f>
        <v>S_PublicTransport</v>
      </c>
      <c r="AR1093" s="233" t="str">
        <f>VLOOKUP(Table8[[#This Row],[Country Code]],Table29[],3,FALSE)</f>
        <v>Non-Annex I</v>
      </c>
      <c r="AS1093" s="233" t="str">
        <f>VLOOKUP(Table8[[#This Row],[Country Code]],Table29[],4,FALSE)</f>
        <v>Latin America and the Caribbean</v>
      </c>
      <c r="AT1093" s="233" t="str">
        <f>VLOOKUP(Table8[[#This Row],[Country Code]],Table29[],5,FALSE)</f>
        <v>Middle-income</v>
      </c>
      <c r="AU1093" s="233" t="str">
        <f>VLOOKUP(Table8[[#This Row],[Country Code]],Table29[],6,FALSE)</f>
        <v>no</v>
      </c>
      <c r="AV1093" s="233" t="str">
        <f>VLOOKUP(Table8[[#This Row],[Country Code]],Table29[],7,FALSE)</f>
        <v>no</v>
      </c>
      <c r="AW1093" s="233" t="str">
        <f>VLOOKUP(Table8[[#This Row],[Country Code]],Table29[],8,FALSE)</f>
        <v>non-OECD</v>
      </c>
      <c r="AX1093" s="233" t="str">
        <f>VLOOKUP(Table8[[#This Row],[Country Code]],Table29[],9,FALSE)</f>
        <v>no</v>
      </c>
      <c r="AY1093" s="233" t="str">
        <f>VLOOKUP(Table8[[#This Row],[Country Code]],Table29[],10,FALSE)</f>
        <v>no</v>
      </c>
      <c r="AZ1093" s="235">
        <f>VLOOKUP(Table8[[#This Row],[Country Code]],Table29[],23,FALSE)</f>
        <v>43.981074467992002</v>
      </c>
      <c r="BA1093" s="235">
        <f>VLOOKUP(Table8[[#This Row],[Country Code]],Table29[],24,FALSE)</f>
        <v>11.70609674588653</v>
      </c>
      <c r="BB1093" s="320"/>
      <c r="BC1093" s="320"/>
    </row>
    <row r="1094" spans="1:55" ht="30" hidden="1" x14ac:dyDescent="0.25">
      <c r="A1094" s="373">
        <v>21097</v>
      </c>
      <c r="B1094" s="233" t="str">
        <f>VLOOKUP(Table8[[#This Row],[Document ID]],Table1[],2,FALSE)</f>
        <v>GTM</v>
      </c>
      <c r="C1094" s="233" t="str">
        <f>VLOOKUP(Table8[[#This Row],[Document ID]],Table1[],3,FALSE)</f>
        <v>Guatemala</v>
      </c>
      <c r="D1094" s="243" t="str">
        <f>VLOOKUP(Table8[[#This Row],[Document ID]],Table1[],5,FALSE)</f>
        <v>LTS</v>
      </c>
      <c r="E1094" s="233" t="str">
        <f>VLOOKUP(Table8[[#This Row],[Document ID]],Table1[],7,FALSE)</f>
        <v>LTS</v>
      </c>
      <c r="F1094" s="233" t="str">
        <f>VLOOKUP(Table8[[#This Row],[Document ID]],Table1[],8,FALSE)</f>
        <v>LTS 1.0</v>
      </c>
      <c r="G1094" s="233" t="str">
        <f>VLOOKUP(Table8[[#This Row],[Document ID]],Table1[],10,FALSE)</f>
        <v>Active</v>
      </c>
      <c r="H1094" s="43" t="s">
        <v>2343</v>
      </c>
      <c r="I1094" s="43" t="s">
        <v>2344</v>
      </c>
      <c r="J1094" s="44" t="s">
        <v>2549</v>
      </c>
      <c r="K1094" s="44" t="s">
        <v>3373</v>
      </c>
      <c r="L1094" s="44" t="s">
        <v>2471</v>
      </c>
      <c r="M1094" s="43">
        <v>62</v>
      </c>
      <c r="N1094" s="113"/>
      <c r="O1094" s="113"/>
      <c r="P1094" s="113"/>
      <c r="Q1094" s="113"/>
      <c r="R1094" s="113"/>
      <c r="S1094" s="113"/>
      <c r="T1094" s="113"/>
      <c r="U1094" s="113"/>
      <c r="V1094" s="113"/>
      <c r="W1094" s="113"/>
      <c r="X1094" s="113"/>
      <c r="Y1094" s="113" t="s">
        <v>1113</v>
      </c>
      <c r="Z1094" s="113"/>
      <c r="AA1094" s="113"/>
      <c r="AB1094" s="113"/>
      <c r="AC1094" s="113"/>
      <c r="AD1094" s="113"/>
      <c r="AE1094" s="113"/>
      <c r="AF1094" s="113"/>
      <c r="AG1094" s="113"/>
      <c r="AH1094" s="113"/>
      <c r="AI1094" s="113"/>
      <c r="AJ1094" s="113"/>
      <c r="AK1094" s="113"/>
      <c r="AL1094" s="113" t="s">
        <v>1113</v>
      </c>
      <c r="AM1094" s="113"/>
      <c r="AN1094" s="113"/>
      <c r="AO1094" s="43" t="s">
        <v>2348</v>
      </c>
      <c r="AP1094" s="43"/>
      <c r="AQ1094" s="236" t="str">
        <f>VLOOKUP(Table8[[#This Row],[Instrument]],Def_Targets!$D$73:$E$159,2,FALSE)</f>
        <v>S_BRT</v>
      </c>
      <c r="AR1094" s="233" t="str">
        <f>VLOOKUP(Table8[[#This Row],[Country Code]],Table29[],3,FALSE)</f>
        <v>Non-Annex I</v>
      </c>
      <c r="AS1094" s="233" t="str">
        <f>VLOOKUP(Table8[[#This Row],[Country Code]],Table29[],4,FALSE)</f>
        <v>Latin America and the Caribbean</v>
      </c>
      <c r="AT1094" s="233" t="str">
        <f>VLOOKUP(Table8[[#This Row],[Country Code]],Table29[],5,FALSE)</f>
        <v>Middle-income</v>
      </c>
      <c r="AU1094" s="233" t="str">
        <f>VLOOKUP(Table8[[#This Row],[Country Code]],Table29[],6,FALSE)</f>
        <v>no</v>
      </c>
      <c r="AV1094" s="233" t="str">
        <f>VLOOKUP(Table8[[#This Row],[Country Code]],Table29[],7,FALSE)</f>
        <v>no</v>
      </c>
      <c r="AW1094" s="233" t="str">
        <f>VLOOKUP(Table8[[#This Row],[Country Code]],Table29[],8,FALSE)</f>
        <v>non-OECD</v>
      </c>
      <c r="AX1094" s="233" t="str">
        <f>VLOOKUP(Table8[[#This Row],[Country Code]],Table29[],9,FALSE)</f>
        <v>no</v>
      </c>
      <c r="AY1094" s="233" t="str">
        <f>VLOOKUP(Table8[[#This Row],[Country Code]],Table29[],10,FALSE)</f>
        <v>no</v>
      </c>
      <c r="AZ1094" s="235">
        <f>VLOOKUP(Table8[[#This Row],[Country Code]],Table29[],23,FALSE)</f>
        <v>43.981074467992002</v>
      </c>
      <c r="BA1094" s="235">
        <f>VLOOKUP(Table8[[#This Row],[Country Code]],Table29[],24,FALSE)</f>
        <v>11.70609674588653</v>
      </c>
      <c r="BB1094" s="320"/>
      <c r="BC1094" s="320"/>
    </row>
    <row r="1095" spans="1:55" hidden="1" x14ac:dyDescent="0.25">
      <c r="A1095" s="373">
        <v>21097</v>
      </c>
      <c r="B1095" s="233" t="str">
        <f>VLOOKUP(Table8[[#This Row],[Document ID]],Table1[],2,FALSE)</f>
        <v>GTM</v>
      </c>
      <c r="C1095" s="233" t="str">
        <f>VLOOKUP(Table8[[#This Row],[Document ID]],Table1[],3,FALSE)</f>
        <v>Guatemala</v>
      </c>
      <c r="D1095" s="243" t="str">
        <f>VLOOKUP(Table8[[#This Row],[Document ID]],Table1[],5,FALSE)</f>
        <v>LTS</v>
      </c>
      <c r="E1095" s="233" t="str">
        <f>VLOOKUP(Table8[[#This Row],[Document ID]],Table1[],7,FALSE)</f>
        <v>LTS</v>
      </c>
      <c r="F1095" s="233" t="str">
        <f>VLOOKUP(Table8[[#This Row],[Document ID]],Table1[],8,FALSE)</f>
        <v>LTS 1.0</v>
      </c>
      <c r="G1095" s="233" t="str">
        <f>VLOOKUP(Table8[[#This Row],[Document ID]],Table1[],10,FALSE)</f>
        <v>Active</v>
      </c>
      <c r="H1095" s="43" t="s">
        <v>2350</v>
      </c>
      <c r="I1095" s="43" t="s">
        <v>2456</v>
      </c>
      <c r="J1095" s="44" t="s">
        <v>2466</v>
      </c>
      <c r="K1095" s="44" t="s">
        <v>3374</v>
      </c>
      <c r="L1095" s="44" t="s">
        <v>2333</v>
      </c>
      <c r="M1095" s="43">
        <v>31</v>
      </c>
      <c r="N1095" s="113"/>
      <c r="O1095" s="113"/>
      <c r="P1095" s="113"/>
      <c r="Q1095" s="113"/>
      <c r="R1095" s="113"/>
      <c r="S1095" s="113" t="s">
        <v>1113</v>
      </c>
      <c r="T1095" s="113"/>
      <c r="U1095" s="113"/>
      <c r="V1095" s="113"/>
      <c r="W1095" s="113"/>
      <c r="X1095" s="113"/>
      <c r="Y1095" s="113"/>
      <c r="Z1095" s="113"/>
      <c r="AA1095" s="113"/>
      <c r="AB1095" s="113"/>
      <c r="AC1095" s="113"/>
      <c r="AD1095" s="113"/>
      <c r="AE1095" s="113"/>
      <c r="AF1095" s="113"/>
      <c r="AG1095" s="113"/>
      <c r="AH1095" s="113"/>
      <c r="AI1095" s="113"/>
      <c r="AJ1095" s="113"/>
      <c r="AK1095" s="319" t="s">
        <v>1113</v>
      </c>
      <c r="AL1095" s="113"/>
      <c r="AM1095" s="113"/>
      <c r="AN1095" s="113"/>
      <c r="AO1095" s="44" t="s">
        <v>2334</v>
      </c>
      <c r="AP1095" s="43"/>
      <c r="AQ1095" s="236" t="str">
        <f>VLOOKUP(Table8[[#This Row],[Instrument]],Def_Targets!$D$73:$E$159,2,FALSE)</f>
        <v>S_Infraexpansion</v>
      </c>
      <c r="AR1095" s="233" t="str">
        <f>VLOOKUP(Table8[[#This Row],[Country Code]],Table29[],3,FALSE)</f>
        <v>Non-Annex I</v>
      </c>
      <c r="AS1095" s="233" t="str">
        <f>VLOOKUP(Table8[[#This Row],[Country Code]],Table29[],4,FALSE)</f>
        <v>Latin America and the Caribbean</v>
      </c>
      <c r="AT1095" s="233" t="str">
        <f>VLOOKUP(Table8[[#This Row],[Country Code]],Table29[],5,FALSE)</f>
        <v>Middle-income</v>
      </c>
      <c r="AU1095" s="233" t="str">
        <f>VLOOKUP(Table8[[#This Row],[Country Code]],Table29[],6,FALSE)</f>
        <v>no</v>
      </c>
      <c r="AV1095" s="233" t="str">
        <f>VLOOKUP(Table8[[#This Row],[Country Code]],Table29[],7,FALSE)</f>
        <v>no</v>
      </c>
      <c r="AW1095" s="233" t="str">
        <f>VLOOKUP(Table8[[#This Row],[Country Code]],Table29[],8,FALSE)</f>
        <v>non-OECD</v>
      </c>
      <c r="AX1095" s="233" t="str">
        <f>VLOOKUP(Table8[[#This Row],[Country Code]],Table29[],9,FALSE)</f>
        <v>no</v>
      </c>
      <c r="AY1095" s="233" t="str">
        <f>VLOOKUP(Table8[[#This Row],[Country Code]],Table29[],10,FALSE)</f>
        <v>no</v>
      </c>
      <c r="AZ1095" s="235">
        <f>VLOOKUP(Table8[[#This Row],[Country Code]],Table29[],23,FALSE)</f>
        <v>43.981074467992002</v>
      </c>
      <c r="BA1095" s="235">
        <f>VLOOKUP(Table8[[#This Row],[Country Code]],Table29[],24,FALSE)</f>
        <v>11.70609674588653</v>
      </c>
      <c r="BB1095" s="320"/>
      <c r="BC1095" s="320"/>
    </row>
    <row r="1096" spans="1:55" hidden="1" x14ac:dyDescent="0.25">
      <c r="A1096" s="373">
        <v>21097</v>
      </c>
      <c r="B1096" s="233" t="str">
        <f>VLOOKUP(Table8[[#This Row],[Document ID]],Table1[],2,FALSE)</f>
        <v>GTM</v>
      </c>
      <c r="C1096" s="233" t="str">
        <f>VLOOKUP(Table8[[#This Row],[Document ID]],Table1[],3,FALSE)</f>
        <v>Guatemala</v>
      </c>
      <c r="D1096" s="243" t="str">
        <f>VLOOKUP(Table8[[#This Row],[Document ID]],Table1[],5,FALSE)</f>
        <v>LTS</v>
      </c>
      <c r="E1096" s="233" t="str">
        <f>VLOOKUP(Table8[[#This Row],[Document ID]],Table1[],7,FALSE)</f>
        <v>LTS</v>
      </c>
      <c r="F1096" s="233" t="str">
        <f>VLOOKUP(Table8[[#This Row],[Document ID]],Table1[],8,FALSE)</f>
        <v>LTS 1.0</v>
      </c>
      <c r="G1096" s="233" t="str">
        <f>VLOOKUP(Table8[[#This Row],[Document ID]],Table1[],10,FALSE)</f>
        <v>Active</v>
      </c>
      <c r="H1096" s="43" t="s">
        <v>2358</v>
      </c>
      <c r="I1096" s="43" t="s">
        <v>2359</v>
      </c>
      <c r="J1096" s="44" t="s">
        <v>2360</v>
      </c>
      <c r="K1096" s="44" t="s">
        <v>3375</v>
      </c>
      <c r="L1096" s="44" t="s">
        <v>2333</v>
      </c>
      <c r="M1096" s="43">
        <v>31</v>
      </c>
      <c r="N1096" s="113"/>
      <c r="O1096" s="113"/>
      <c r="P1096" s="113"/>
      <c r="Q1096" s="113"/>
      <c r="R1096" s="113"/>
      <c r="S1096" s="113"/>
      <c r="T1096" s="113"/>
      <c r="U1096" s="113" t="s">
        <v>1113</v>
      </c>
      <c r="V1096" s="113"/>
      <c r="W1096" s="113"/>
      <c r="X1096" s="113"/>
      <c r="Y1096" s="113"/>
      <c r="Z1096" s="113"/>
      <c r="AA1096" s="113"/>
      <c r="AB1096" s="113"/>
      <c r="AC1096" s="113"/>
      <c r="AD1096" s="113"/>
      <c r="AE1096" s="113"/>
      <c r="AF1096" s="113"/>
      <c r="AG1096" s="113"/>
      <c r="AH1096" s="113"/>
      <c r="AI1096" s="113"/>
      <c r="AJ1096" s="113"/>
      <c r="AK1096" s="319" t="s">
        <v>1113</v>
      </c>
      <c r="AL1096" s="113"/>
      <c r="AM1096" s="113"/>
      <c r="AN1096" s="113"/>
      <c r="AO1096" s="44" t="s">
        <v>2334</v>
      </c>
      <c r="AP1096" s="43"/>
      <c r="AQ1096" s="236" t="str">
        <f>VLOOKUP(Table8[[#This Row],[Instrument]],Def_Targets!$D$73:$E$159,2,FALSE)</f>
        <v>I_Emobility</v>
      </c>
      <c r="AR1096" s="233" t="str">
        <f>VLOOKUP(Table8[[#This Row],[Country Code]],Table29[],3,FALSE)</f>
        <v>Non-Annex I</v>
      </c>
      <c r="AS1096" s="233" t="str">
        <f>VLOOKUP(Table8[[#This Row],[Country Code]],Table29[],4,FALSE)</f>
        <v>Latin America and the Caribbean</v>
      </c>
      <c r="AT1096" s="233" t="str">
        <f>VLOOKUP(Table8[[#This Row],[Country Code]],Table29[],5,FALSE)</f>
        <v>Middle-income</v>
      </c>
      <c r="AU1096" s="233" t="str">
        <f>VLOOKUP(Table8[[#This Row],[Country Code]],Table29[],6,FALSE)</f>
        <v>no</v>
      </c>
      <c r="AV1096" s="233" t="str">
        <f>VLOOKUP(Table8[[#This Row],[Country Code]],Table29[],7,FALSE)</f>
        <v>no</v>
      </c>
      <c r="AW1096" s="233" t="str">
        <f>VLOOKUP(Table8[[#This Row],[Country Code]],Table29[],8,FALSE)</f>
        <v>non-OECD</v>
      </c>
      <c r="AX1096" s="233" t="str">
        <f>VLOOKUP(Table8[[#This Row],[Country Code]],Table29[],9,FALSE)</f>
        <v>no</v>
      </c>
      <c r="AY1096" s="233" t="str">
        <f>VLOOKUP(Table8[[#This Row],[Country Code]],Table29[],10,FALSE)</f>
        <v>no</v>
      </c>
      <c r="AZ1096" s="235">
        <f>VLOOKUP(Table8[[#This Row],[Country Code]],Table29[],23,FALSE)</f>
        <v>43.981074467992002</v>
      </c>
      <c r="BA1096" s="235">
        <f>VLOOKUP(Table8[[#This Row],[Country Code]],Table29[],24,FALSE)</f>
        <v>11.70609674588653</v>
      </c>
      <c r="BB1096" s="320"/>
      <c r="BC1096" s="320"/>
    </row>
    <row r="1097" spans="1:55" hidden="1" x14ac:dyDescent="0.25">
      <c r="A1097" s="373">
        <v>21097</v>
      </c>
      <c r="B1097" s="233" t="str">
        <f>VLOOKUP(Table8[[#This Row],[Document ID]],Table1[],2,FALSE)</f>
        <v>GTM</v>
      </c>
      <c r="C1097" s="233" t="str">
        <f>VLOOKUP(Table8[[#This Row],[Document ID]],Table1[],3,FALSE)</f>
        <v>Guatemala</v>
      </c>
      <c r="D1097" s="243" t="str">
        <f>VLOOKUP(Table8[[#This Row],[Document ID]],Table1[],5,FALSE)</f>
        <v>LTS</v>
      </c>
      <c r="E1097" s="233" t="str">
        <f>VLOOKUP(Table8[[#This Row],[Document ID]],Table1[],7,FALSE)</f>
        <v>LTS</v>
      </c>
      <c r="F1097" s="233" t="str">
        <f>VLOOKUP(Table8[[#This Row],[Document ID]],Table1[],8,FALSE)</f>
        <v>LTS 1.0</v>
      </c>
      <c r="G1097" s="233" t="str">
        <f>VLOOKUP(Table8[[#This Row],[Document ID]],Table1[],10,FALSE)</f>
        <v>Active</v>
      </c>
      <c r="H1097" s="44" t="s">
        <v>2329</v>
      </c>
      <c r="I1097" s="44" t="s">
        <v>2330</v>
      </c>
      <c r="J1097" s="44" t="s">
        <v>2357</v>
      </c>
      <c r="K1097" s="44" t="s">
        <v>3376</v>
      </c>
      <c r="L1097" s="44" t="s">
        <v>2333</v>
      </c>
      <c r="M1097" s="43">
        <v>31</v>
      </c>
      <c r="N1097" s="113" t="s">
        <v>1113</v>
      </c>
      <c r="O1097" s="113"/>
      <c r="P1097" s="113"/>
      <c r="Q1097" s="113"/>
      <c r="R1097" s="113"/>
      <c r="S1097" s="113"/>
      <c r="T1097" s="113"/>
      <c r="U1097" s="113"/>
      <c r="V1097" s="113"/>
      <c r="W1097" s="113"/>
      <c r="X1097" s="113"/>
      <c r="Y1097" s="113"/>
      <c r="Z1097" s="113"/>
      <c r="AA1097" s="113"/>
      <c r="AB1097" s="113"/>
      <c r="AC1097" s="113"/>
      <c r="AD1097" s="113"/>
      <c r="AE1097" s="113"/>
      <c r="AF1097" s="113"/>
      <c r="AG1097" s="113"/>
      <c r="AH1097" s="113"/>
      <c r="AI1097" s="113"/>
      <c r="AJ1097" s="113"/>
      <c r="AK1097" s="319" t="s">
        <v>1113</v>
      </c>
      <c r="AL1097" s="113"/>
      <c r="AM1097" s="113"/>
      <c r="AN1097" s="113"/>
      <c r="AO1097" s="44" t="s">
        <v>2334</v>
      </c>
      <c r="AP1097" s="43"/>
      <c r="AQ1097" s="236" t="str">
        <f>VLOOKUP(Table8[[#This Row],[Instrument]],Def_Targets!$D$73:$E$159,2,FALSE)</f>
        <v>I_Biofuel</v>
      </c>
      <c r="AR1097" s="233" t="str">
        <f>VLOOKUP(Table8[[#This Row],[Country Code]],Table29[],3,FALSE)</f>
        <v>Non-Annex I</v>
      </c>
      <c r="AS1097" s="233" t="str">
        <f>VLOOKUP(Table8[[#This Row],[Country Code]],Table29[],4,FALSE)</f>
        <v>Latin America and the Caribbean</v>
      </c>
      <c r="AT1097" s="233" t="str">
        <f>VLOOKUP(Table8[[#This Row],[Country Code]],Table29[],5,FALSE)</f>
        <v>Middle-income</v>
      </c>
      <c r="AU1097" s="233" t="str">
        <f>VLOOKUP(Table8[[#This Row],[Country Code]],Table29[],6,FALSE)</f>
        <v>no</v>
      </c>
      <c r="AV1097" s="233" t="str">
        <f>VLOOKUP(Table8[[#This Row],[Country Code]],Table29[],7,FALSE)</f>
        <v>no</v>
      </c>
      <c r="AW1097" s="233" t="str">
        <f>VLOOKUP(Table8[[#This Row],[Country Code]],Table29[],8,FALSE)</f>
        <v>non-OECD</v>
      </c>
      <c r="AX1097" s="233" t="str">
        <f>VLOOKUP(Table8[[#This Row],[Country Code]],Table29[],9,FALSE)</f>
        <v>no</v>
      </c>
      <c r="AY1097" s="233" t="str">
        <f>VLOOKUP(Table8[[#This Row],[Country Code]],Table29[],10,FALSE)</f>
        <v>no</v>
      </c>
      <c r="AZ1097" s="235">
        <f>VLOOKUP(Table8[[#This Row],[Country Code]],Table29[],23,FALSE)</f>
        <v>43.981074467992002</v>
      </c>
      <c r="BA1097" s="235">
        <f>VLOOKUP(Table8[[#This Row],[Country Code]],Table29[],24,FALSE)</f>
        <v>11.70609674588653</v>
      </c>
      <c r="BB1097" s="320"/>
      <c r="BC1097" s="320"/>
    </row>
    <row r="1098" spans="1:55" ht="30" hidden="1" x14ac:dyDescent="0.25">
      <c r="A1098" s="373">
        <v>21097</v>
      </c>
      <c r="B1098" s="233" t="str">
        <f>VLOOKUP(Table8[[#This Row],[Document ID]],Table1[],2,FALSE)</f>
        <v>GTM</v>
      </c>
      <c r="C1098" s="233" t="str">
        <f>VLOOKUP(Table8[[#This Row],[Document ID]],Table1[],3,FALSE)</f>
        <v>Guatemala</v>
      </c>
      <c r="D1098" s="243" t="str">
        <f>VLOOKUP(Table8[[#This Row],[Document ID]],Table1[],5,FALSE)</f>
        <v>LTS</v>
      </c>
      <c r="E1098" s="233" t="str">
        <f>VLOOKUP(Table8[[#This Row],[Document ID]],Table1[],7,FALSE)</f>
        <v>LTS</v>
      </c>
      <c r="F1098" s="233" t="str">
        <f>VLOOKUP(Table8[[#This Row],[Document ID]],Table1[],8,FALSE)</f>
        <v>LTS 1.0</v>
      </c>
      <c r="G1098" s="233" t="str">
        <f>VLOOKUP(Table8[[#This Row],[Document ID]],Table1[],10,FALSE)</f>
        <v>Active</v>
      </c>
      <c r="H1098" s="43" t="s">
        <v>2350</v>
      </c>
      <c r="I1098" s="43" t="s">
        <v>2370</v>
      </c>
      <c r="J1098" s="44" t="s">
        <v>2418</v>
      </c>
      <c r="K1098" s="44" t="s">
        <v>3377</v>
      </c>
      <c r="L1098" s="44" t="s">
        <v>2373</v>
      </c>
      <c r="M1098" s="43">
        <v>31</v>
      </c>
      <c r="N1098" s="113" t="s">
        <v>1113</v>
      </c>
      <c r="O1098" s="113"/>
      <c r="P1098" s="113"/>
      <c r="Q1098" s="113"/>
      <c r="R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113" t="s">
        <v>1113</v>
      </c>
      <c r="AM1098" s="113"/>
      <c r="AN1098" s="113"/>
      <c r="AO1098" s="44" t="s">
        <v>2334</v>
      </c>
      <c r="AP1098" s="43"/>
      <c r="AQ1098" s="236" t="str">
        <f>VLOOKUP(Table8[[#This Row],[Instrument]],Def_Targets!$D$73:$E$159,2,FALSE)</f>
        <v>A_Complan</v>
      </c>
      <c r="AR1098" s="233" t="str">
        <f>VLOOKUP(Table8[[#This Row],[Country Code]],Table29[],3,FALSE)</f>
        <v>Non-Annex I</v>
      </c>
      <c r="AS1098" s="233" t="str">
        <f>VLOOKUP(Table8[[#This Row],[Country Code]],Table29[],4,FALSE)</f>
        <v>Latin America and the Caribbean</v>
      </c>
      <c r="AT1098" s="233" t="str">
        <f>VLOOKUP(Table8[[#This Row],[Country Code]],Table29[],5,FALSE)</f>
        <v>Middle-income</v>
      </c>
      <c r="AU1098" s="233" t="str">
        <f>VLOOKUP(Table8[[#This Row],[Country Code]],Table29[],6,FALSE)</f>
        <v>no</v>
      </c>
      <c r="AV1098" s="233" t="str">
        <f>VLOOKUP(Table8[[#This Row],[Country Code]],Table29[],7,FALSE)</f>
        <v>no</v>
      </c>
      <c r="AW1098" s="233" t="str">
        <f>VLOOKUP(Table8[[#This Row],[Country Code]],Table29[],8,FALSE)</f>
        <v>non-OECD</v>
      </c>
      <c r="AX1098" s="233" t="str">
        <f>VLOOKUP(Table8[[#This Row],[Country Code]],Table29[],9,FALSE)</f>
        <v>no</v>
      </c>
      <c r="AY1098" s="233" t="str">
        <f>VLOOKUP(Table8[[#This Row],[Country Code]],Table29[],10,FALSE)</f>
        <v>no</v>
      </c>
      <c r="AZ1098" s="235">
        <f>VLOOKUP(Table8[[#This Row],[Country Code]],Table29[],23,FALSE)</f>
        <v>43.981074467992002</v>
      </c>
      <c r="BA1098" s="235">
        <f>VLOOKUP(Table8[[#This Row],[Country Code]],Table29[],24,FALSE)</f>
        <v>11.70609674588653</v>
      </c>
      <c r="BB1098" s="320"/>
      <c r="BC1098" s="320"/>
    </row>
    <row r="1099" spans="1:55" ht="30" hidden="1" x14ac:dyDescent="0.25">
      <c r="A1099" s="373">
        <v>21097</v>
      </c>
      <c r="B1099" s="233" t="str">
        <f>VLOOKUP(Table8[[#This Row],[Document ID]],Table1[],2,FALSE)</f>
        <v>GTM</v>
      </c>
      <c r="C1099" s="233" t="str">
        <f>VLOOKUP(Table8[[#This Row],[Document ID]],Table1[],3,FALSE)</f>
        <v>Guatemala</v>
      </c>
      <c r="D1099" s="243" t="str">
        <f>VLOOKUP(Table8[[#This Row],[Document ID]],Table1[],5,FALSE)</f>
        <v>LTS</v>
      </c>
      <c r="E1099" s="233" t="str">
        <f>VLOOKUP(Table8[[#This Row],[Document ID]],Table1[],7,FALSE)</f>
        <v>LTS</v>
      </c>
      <c r="F1099" s="233" t="str">
        <f>VLOOKUP(Table8[[#This Row],[Document ID]],Table1[],8,FALSE)</f>
        <v>LTS 1.0</v>
      </c>
      <c r="G1099" s="233" t="str">
        <f>VLOOKUP(Table8[[#This Row],[Document ID]],Table1[],10,FALSE)</f>
        <v>Active</v>
      </c>
      <c r="H1099" s="43" t="s">
        <v>2350</v>
      </c>
      <c r="I1099" s="43" t="s">
        <v>2370</v>
      </c>
      <c r="J1099" s="44" t="s">
        <v>2581</v>
      </c>
      <c r="K1099" s="44" t="s">
        <v>3378</v>
      </c>
      <c r="L1099" s="44" t="s">
        <v>2373</v>
      </c>
      <c r="M1099" s="43">
        <v>31</v>
      </c>
      <c r="N1099" s="113" t="s">
        <v>1113</v>
      </c>
      <c r="O1099" s="113"/>
      <c r="P1099" s="113"/>
      <c r="Q1099" s="113"/>
      <c r="R1099" s="113"/>
      <c r="S1099" s="113"/>
      <c r="T1099" s="113"/>
      <c r="U1099" s="113"/>
      <c r="V1099" s="113"/>
      <c r="W1099" s="113"/>
      <c r="X1099" s="113"/>
      <c r="Y1099" s="113"/>
      <c r="Z1099" s="113"/>
      <c r="AA1099" s="113"/>
      <c r="AB1099" s="113"/>
      <c r="AC1099" s="113"/>
      <c r="AD1099" s="113"/>
      <c r="AE1099" s="113"/>
      <c r="AF1099" s="113"/>
      <c r="AG1099" s="113"/>
      <c r="AH1099" s="113"/>
      <c r="AI1099" s="113"/>
      <c r="AJ1099" s="113"/>
      <c r="AK1099" s="113"/>
      <c r="AL1099" s="113" t="s">
        <v>1113</v>
      </c>
      <c r="AM1099" s="113"/>
      <c r="AN1099" s="113"/>
      <c r="AO1099" s="44" t="s">
        <v>2334</v>
      </c>
      <c r="AP1099" s="43"/>
      <c r="AQ1099" s="236" t="str">
        <f>VLOOKUP(Table8[[#This Row],[Instrument]],Def_Targets!$D$73:$E$159,2,FALSE)</f>
        <v>A_SUMP</v>
      </c>
      <c r="AR1099" s="233" t="str">
        <f>VLOOKUP(Table8[[#This Row],[Country Code]],Table29[],3,FALSE)</f>
        <v>Non-Annex I</v>
      </c>
      <c r="AS1099" s="233" t="str">
        <f>VLOOKUP(Table8[[#This Row],[Country Code]],Table29[],4,FALSE)</f>
        <v>Latin America and the Caribbean</v>
      </c>
      <c r="AT1099" s="233" t="str">
        <f>VLOOKUP(Table8[[#This Row],[Country Code]],Table29[],5,FALSE)</f>
        <v>Middle-income</v>
      </c>
      <c r="AU1099" s="233" t="str">
        <f>VLOOKUP(Table8[[#This Row],[Country Code]],Table29[],6,FALSE)</f>
        <v>no</v>
      </c>
      <c r="AV1099" s="233" t="str">
        <f>VLOOKUP(Table8[[#This Row],[Country Code]],Table29[],7,FALSE)</f>
        <v>no</v>
      </c>
      <c r="AW1099" s="233" t="str">
        <f>VLOOKUP(Table8[[#This Row],[Country Code]],Table29[],8,FALSE)</f>
        <v>non-OECD</v>
      </c>
      <c r="AX1099" s="233" t="str">
        <f>VLOOKUP(Table8[[#This Row],[Country Code]],Table29[],9,FALSE)</f>
        <v>no</v>
      </c>
      <c r="AY1099" s="233" t="str">
        <f>VLOOKUP(Table8[[#This Row],[Country Code]],Table29[],10,FALSE)</f>
        <v>no</v>
      </c>
      <c r="AZ1099" s="235">
        <f>VLOOKUP(Table8[[#This Row],[Country Code]],Table29[],23,FALSE)</f>
        <v>43.981074467992002</v>
      </c>
      <c r="BA1099" s="235">
        <f>VLOOKUP(Table8[[#This Row],[Country Code]],Table29[],24,FALSE)</f>
        <v>11.70609674588653</v>
      </c>
      <c r="BB1099" s="320"/>
      <c r="BC1099" s="320"/>
    </row>
    <row r="1100" spans="1:55" hidden="1" x14ac:dyDescent="0.25">
      <c r="A1100" s="360">
        <v>22328</v>
      </c>
      <c r="B1100" s="233" t="str">
        <f>VLOOKUP(Table8[[#This Row],[Document ID]],Table1[],2,FALSE)</f>
        <v>HUN</v>
      </c>
      <c r="C1100" s="233" t="str">
        <f>VLOOKUP(Table8[[#This Row],[Document ID]],Table1[],3,FALSE)</f>
        <v>Hungary</v>
      </c>
      <c r="D1100" s="233" t="str">
        <f>VLOOKUP(Table8[[#This Row],[Document ID]],Table1[],5,FALSE)</f>
        <v>LTS</v>
      </c>
      <c r="E1100" s="233" t="str">
        <f>VLOOKUP(Table8[[#This Row],[Document ID]],Table1[],7,FALSE)</f>
        <v>LTS</v>
      </c>
      <c r="F1100" s="233" t="str">
        <f>VLOOKUP(Table8[[#This Row],[Document ID]],Table1[],8,FALSE)</f>
        <v>LTS 1.0</v>
      </c>
      <c r="G1100" s="233" t="str">
        <f>VLOOKUP(Table8[[#This Row],[Document ID]],Table1[],10,FALSE)</f>
        <v>Active</v>
      </c>
      <c r="H1100" s="43" t="s">
        <v>2358</v>
      </c>
      <c r="I1100" s="43" t="s">
        <v>2359</v>
      </c>
      <c r="J1100" s="44" t="s">
        <v>2360</v>
      </c>
      <c r="K1100" s="44" t="s">
        <v>3379</v>
      </c>
      <c r="L1100" s="44" t="s">
        <v>2333</v>
      </c>
      <c r="M1100" s="43">
        <v>114</v>
      </c>
      <c r="N1100" s="113" t="s">
        <v>1113</v>
      </c>
      <c r="O1100" s="113"/>
      <c r="P1100" s="113"/>
      <c r="Q1100" s="113"/>
      <c r="R1100" s="113"/>
      <c r="S1100" s="113"/>
      <c r="T1100" s="113"/>
      <c r="U1100" s="113"/>
      <c r="V1100" s="113"/>
      <c r="W1100" s="113"/>
      <c r="X1100" s="113"/>
      <c r="Y1100" s="113"/>
      <c r="Z1100" s="113"/>
      <c r="AA1100" s="113"/>
      <c r="AB1100" s="113"/>
      <c r="AC1100" s="113"/>
      <c r="AD1100" s="113"/>
      <c r="AE1100" s="113"/>
      <c r="AF1100" s="113"/>
      <c r="AG1100" s="113"/>
      <c r="AH1100" s="113"/>
      <c r="AI1100" s="113"/>
      <c r="AJ1100" s="113"/>
      <c r="AK1100" s="113" t="s">
        <v>1113</v>
      </c>
      <c r="AL1100" s="113"/>
      <c r="AM1100" s="113"/>
      <c r="AN1100" s="113"/>
      <c r="AO1100" s="44" t="s">
        <v>2334</v>
      </c>
      <c r="AP1100" s="43"/>
      <c r="AQ1100" s="236" t="str">
        <f>VLOOKUP(Table8[[#This Row],[Instrument]],Def_Targets!$D$73:$E$159,2,FALSE)</f>
        <v>I_Emobility</v>
      </c>
      <c r="AR1100" s="233" t="str">
        <f>VLOOKUP(Table8[[#This Row],[Country Code]],Table29[],3,FALSE)</f>
        <v>Annex I</v>
      </c>
      <c r="AS1100" s="233" t="str">
        <f>VLOOKUP(Table8[[#This Row],[Country Code]],Table29[],4,FALSE)</f>
        <v>Europe</v>
      </c>
      <c r="AT1100" s="233" t="str">
        <f>VLOOKUP(Table8[[#This Row],[Country Code]],Table29[],5,FALSE)</f>
        <v>High-income</v>
      </c>
      <c r="AU1100" s="233" t="str">
        <f>VLOOKUP(Table8[[#This Row],[Country Code]],Table29[],6,FALSE)</f>
        <v>no</v>
      </c>
      <c r="AV1100" s="233" t="str">
        <f>VLOOKUP(Table8[[#This Row],[Country Code]],Table29[],7,FALSE)</f>
        <v>no</v>
      </c>
      <c r="AW1100" s="233" t="str">
        <f>VLOOKUP(Table8[[#This Row],[Country Code]],Table29[],8,FALSE)</f>
        <v>OECD</v>
      </c>
      <c r="AX1100" s="233" t="str">
        <f>VLOOKUP(Table8[[#This Row],[Country Code]],Table29[],9,FALSE)</f>
        <v>EU27</v>
      </c>
      <c r="AY1100" s="233" t="str">
        <f>VLOOKUP(Table8[[#This Row],[Country Code]],Table29[],10,FALSE)</f>
        <v>no</v>
      </c>
      <c r="AZ1100" s="235">
        <f>VLOOKUP(Table8[[#This Row],[Country Code]],Table29[],23,FALSE)</f>
        <v>60.926771856729999</v>
      </c>
      <c r="BA1100" s="235">
        <f>VLOOKUP(Table8[[#This Row],[Country Code]],Table29[],24,FALSE)</f>
        <v>14.39810129879295</v>
      </c>
      <c r="BB1100" s="320"/>
      <c r="BC1100" s="320"/>
    </row>
    <row r="1101" spans="1:55" hidden="1" x14ac:dyDescent="0.25">
      <c r="A1101" s="360">
        <v>22328</v>
      </c>
      <c r="B1101" s="233" t="str">
        <f>VLOOKUP(Table8[[#This Row],[Document ID]],Table1[],2,FALSE)</f>
        <v>HUN</v>
      </c>
      <c r="C1101" s="233" t="str">
        <f>VLOOKUP(Table8[[#This Row],[Document ID]],Table1[],3,FALSE)</f>
        <v>Hungary</v>
      </c>
      <c r="D1101" s="233" t="str">
        <f>VLOOKUP(Table8[[#This Row],[Document ID]],Table1[],5,FALSE)</f>
        <v>LTS</v>
      </c>
      <c r="E1101" s="233" t="str">
        <f>VLOOKUP(Table8[[#This Row],[Document ID]],Table1[],7,FALSE)</f>
        <v>LTS</v>
      </c>
      <c r="F1101" s="233" t="str">
        <f>VLOOKUP(Table8[[#This Row],[Document ID]],Table1[],8,FALSE)</f>
        <v>LTS 1.0</v>
      </c>
      <c r="G1101" s="233" t="str">
        <f>VLOOKUP(Table8[[#This Row],[Document ID]],Table1[],10,FALSE)</f>
        <v>Active</v>
      </c>
      <c r="H1101" s="43" t="s">
        <v>2358</v>
      </c>
      <c r="I1101" s="43" t="s">
        <v>2359</v>
      </c>
      <c r="J1101" s="44" t="s">
        <v>2383</v>
      </c>
      <c r="K1101" s="44" t="s">
        <v>3379</v>
      </c>
      <c r="L1101" s="44" t="s">
        <v>2333</v>
      </c>
      <c r="M1101" s="43">
        <v>114</v>
      </c>
      <c r="N1101" s="113" t="s">
        <v>1113</v>
      </c>
      <c r="O1101" s="113"/>
      <c r="P1101" s="113"/>
      <c r="Q1101" s="113"/>
      <c r="R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t="s">
        <v>1113</v>
      </c>
      <c r="AL1101" s="113"/>
      <c r="AM1101" s="113"/>
      <c r="AN1101" s="113"/>
      <c r="AO1101" s="44" t="s">
        <v>2334</v>
      </c>
      <c r="AP1101" s="43"/>
      <c r="AQ1101" s="236" t="str">
        <f>VLOOKUP(Table8[[#This Row],[Instrument]],Def_Targets!$D$73:$E$159,2,FALSE)</f>
        <v>I_Emobilitycharging</v>
      </c>
      <c r="AR1101" s="233" t="str">
        <f>VLOOKUP(Table8[[#This Row],[Country Code]],Table29[],3,FALSE)</f>
        <v>Annex I</v>
      </c>
      <c r="AS1101" s="233" t="str">
        <f>VLOOKUP(Table8[[#This Row],[Country Code]],Table29[],4,FALSE)</f>
        <v>Europe</v>
      </c>
      <c r="AT1101" s="233" t="str">
        <f>VLOOKUP(Table8[[#This Row],[Country Code]],Table29[],5,FALSE)</f>
        <v>High-income</v>
      </c>
      <c r="AU1101" s="233" t="str">
        <f>VLOOKUP(Table8[[#This Row],[Country Code]],Table29[],6,FALSE)</f>
        <v>no</v>
      </c>
      <c r="AV1101" s="233" t="str">
        <f>VLOOKUP(Table8[[#This Row],[Country Code]],Table29[],7,FALSE)</f>
        <v>no</v>
      </c>
      <c r="AW1101" s="233" t="str">
        <f>VLOOKUP(Table8[[#This Row],[Country Code]],Table29[],8,FALSE)</f>
        <v>OECD</v>
      </c>
      <c r="AX1101" s="233" t="str">
        <f>VLOOKUP(Table8[[#This Row],[Country Code]],Table29[],9,FALSE)</f>
        <v>EU27</v>
      </c>
      <c r="AY1101" s="233" t="str">
        <f>VLOOKUP(Table8[[#This Row],[Country Code]],Table29[],10,FALSE)</f>
        <v>no</v>
      </c>
      <c r="AZ1101" s="235">
        <f>VLOOKUP(Table8[[#This Row],[Country Code]],Table29[],23,FALSE)</f>
        <v>60.926771856729999</v>
      </c>
      <c r="BA1101" s="235">
        <f>VLOOKUP(Table8[[#This Row],[Country Code]],Table29[],24,FALSE)</f>
        <v>14.39810129879295</v>
      </c>
      <c r="BB1101" s="320"/>
      <c r="BC1101" s="320"/>
    </row>
    <row r="1102" spans="1:55" hidden="1" x14ac:dyDescent="0.25">
      <c r="A1102" s="360">
        <v>22328</v>
      </c>
      <c r="B1102" s="233" t="str">
        <f>VLOOKUP(Table8[[#This Row],[Document ID]],Table1[],2,FALSE)</f>
        <v>HUN</v>
      </c>
      <c r="C1102" s="233" t="str">
        <f>VLOOKUP(Table8[[#This Row],[Document ID]],Table1[],3,FALSE)</f>
        <v>Hungary</v>
      </c>
      <c r="D1102" s="233" t="str">
        <f>VLOOKUP(Table8[[#This Row],[Document ID]],Table1[],5,FALSE)</f>
        <v>LTS</v>
      </c>
      <c r="E1102" s="233" t="str">
        <f>VLOOKUP(Table8[[#This Row],[Document ID]],Table1[],7,FALSE)</f>
        <v>LTS</v>
      </c>
      <c r="F1102" s="233" t="str">
        <f>VLOOKUP(Table8[[#This Row],[Document ID]],Table1[],8,FALSE)</f>
        <v>LTS 1.0</v>
      </c>
      <c r="G1102" s="233" t="str">
        <f>VLOOKUP(Table8[[#This Row],[Document ID]],Table1[],10,FALSE)</f>
        <v>Active</v>
      </c>
      <c r="H1102" s="43" t="s">
        <v>2358</v>
      </c>
      <c r="I1102" s="43" t="s">
        <v>2359</v>
      </c>
      <c r="J1102" s="44" t="s">
        <v>3094</v>
      </c>
      <c r="K1102" s="44" t="s">
        <v>3379</v>
      </c>
      <c r="L1102" s="44" t="s">
        <v>2333</v>
      </c>
      <c r="M1102" s="43">
        <v>114</v>
      </c>
      <c r="N1102" s="113" t="s">
        <v>1113</v>
      </c>
      <c r="O1102" s="113"/>
      <c r="P1102" s="113"/>
      <c r="Q1102" s="113"/>
      <c r="R1102" s="113"/>
      <c r="S1102" s="113"/>
      <c r="T1102" s="113"/>
      <c r="U1102" s="113"/>
      <c r="V1102" s="113"/>
      <c r="W1102" s="113"/>
      <c r="X1102" s="113"/>
      <c r="Y1102" s="113"/>
      <c r="Z1102" s="113"/>
      <c r="AA1102" s="113"/>
      <c r="AB1102" s="113"/>
      <c r="AC1102" s="113"/>
      <c r="AD1102" s="113"/>
      <c r="AE1102" s="113"/>
      <c r="AF1102" s="113"/>
      <c r="AG1102" s="113"/>
      <c r="AH1102" s="113"/>
      <c r="AI1102" s="113"/>
      <c r="AJ1102" s="113"/>
      <c r="AK1102" s="113" t="s">
        <v>1113</v>
      </c>
      <c r="AL1102" s="113"/>
      <c r="AM1102" s="113"/>
      <c r="AN1102" s="113"/>
      <c r="AO1102" s="44" t="s">
        <v>2334</v>
      </c>
      <c r="AP1102" s="43"/>
      <c r="AQ1102" s="236" t="str">
        <f>VLOOKUP(Table8[[#This Row],[Instrument]],Def_Targets!$D$73:$E$159,2,FALSE)</f>
        <v>I_Smartcharging</v>
      </c>
      <c r="AR1102" s="233" t="str">
        <f>VLOOKUP(Table8[[#This Row],[Country Code]],Table29[],3,FALSE)</f>
        <v>Annex I</v>
      </c>
      <c r="AS1102" s="233" t="str">
        <f>VLOOKUP(Table8[[#This Row],[Country Code]],Table29[],4,FALSE)</f>
        <v>Europe</v>
      </c>
      <c r="AT1102" s="233" t="str">
        <f>VLOOKUP(Table8[[#This Row],[Country Code]],Table29[],5,FALSE)</f>
        <v>High-income</v>
      </c>
      <c r="AU1102" s="233" t="str">
        <f>VLOOKUP(Table8[[#This Row],[Country Code]],Table29[],6,FALSE)</f>
        <v>no</v>
      </c>
      <c r="AV1102" s="233" t="str">
        <f>VLOOKUP(Table8[[#This Row],[Country Code]],Table29[],7,FALSE)</f>
        <v>no</v>
      </c>
      <c r="AW1102" s="233" t="str">
        <f>VLOOKUP(Table8[[#This Row],[Country Code]],Table29[],8,FALSE)</f>
        <v>OECD</v>
      </c>
      <c r="AX1102" s="233" t="str">
        <f>VLOOKUP(Table8[[#This Row],[Country Code]],Table29[],9,FALSE)</f>
        <v>EU27</v>
      </c>
      <c r="AY1102" s="233" t="str">
        <f>VLOOKUP(Table8[[#This Row],[Country Code]],Table29[],10,FALSE)</f>
        <v>no</v>
      </c>
      <c r="AZ1102" s="235">
        <f>VLOOKUP(Table8[[#This Row],[Country Code]],Table29[],23,FALSE)</f>
        <v>60.926771856729999</v>
      </c>
      <c r="BA1102" s="235">
        <f>VLOOKUP(Table8[[#This Row],[Country Code]],Table29[],24,FALSE)</f>
        <v>14.39810129879295</v>
      </c>
      <c r="BB1102" s="320"/>
      <c r="BC1102" s="320"/>
    </row>
    <row r="1103" spans="1:55" hidden="1" x14ac:dyDescent="0.25">
      <c r="A1103" s="360">
        <v>22328</v>
      </c>
      <c r="B1103" s="233" t="str">
        <f>VLOOKUP(Table8[[#This Row],[Document ID]],Table1[],2,FALSE)</f>
        <v>HUN</v>
      </c>
      <c r="C1103" s="233" t="str">
        <f>VLOOKUP(Table8[[#This Row],[Document ID]],Table1[],3,FALSE)</f>
        <v>Hungary</v>
      </c>
      <c r="D1103" s="233" t="str">
        <f>VLOOKUP(Table8[[#This Row],[Document ID]],Table1[],5,FALSE)</f>
        <v>LTS</v>
      </c>
      <c r="E1103" s="233" t="str">
        <f>VLOOKUP(Table8[[#This Row],[Document ID]],Table1[],7,FALSE)</f>
        <v>LTS</v>
      </c>
      <c r="F1103" s="233" t="str">
        <f>VLOOKUP(Table8[[#This Row],[Document ID]],Table1[],8,FALSE)</f>
        <v>LTS 1.0</v>
      </c>
      <c r="G1103" s="233" t="str">
        <f>VLOOKUP(Table8[[#This Row],[Document ID]],Table1[],10,FALSE)</f>
        <v>Active</v>
      </c>
      <c r="H1103" s="44" t="s">
        <v>2329</v>
      </c>
      <c r="I1103" s="44" t="s">
        <v>2330</v>
      </c>
      <c r="J1103" s="44" t="s">
        <v>2391</v>
      </c>
      <c r="K1103" s="44" t="s">
        <v>3380</v>
      </c>
      <c r="L1103" s="44" t="s">
        <v>2333</v>
      </c>
      <c r="M1103" s="43">
        <v>114</v>
      </c>
      <c r="N1103" s="113" t="s">
        <v>1113</v>
      </c>
      <c r="O1103" s="113"/>
      <c r="P1103" s="113"/>
      <c r="Q1103" s="113"/>
      <c r="R1103" s="113"/>
      <c r="S1103" s="113"/>
      <c r="T1103" s="113"/>
      <c r="U1103" s="113"/>
      <c r="V1103" s="113"/>
      <c r="W1103" s="113"/>
      <c r="X1103" s="113"/>
      <c r="Y1103" s="113"/>
      <c r="Z1103" s="113"/>
      <c r="AA1103" s="113"/>
      <c r="AB1103" s="113"/>
      <c r="AC1103" s="113"/>
      <c r="AD1103" s="113"/>
      <c r="AE1103" s="113"/>
      <c r="AF1103" s="113"/>
      <c r="AG1103" s="113"/>
      <c r="AH1103" s="113"/>
      <c r="AI1103" s="113"/>
      <c r="AJ1103" s="113"/>
      <c r="AK1103" s="113" t="s">
        <v>1113</v>
      </c>
      <c r="AL1103" s="113"/>
      <c r="AM1103" s="113"/>
      <c r="AN1103" s="113"/>
      <c r="AO1103" s="44" t="s">
        <v>2334</v>
      </c>
      <c r="AP1103" s="43"/>
      <c r="AQ1103" s="236" t="str">
        <f>VLOOKUP(Table8[[#This Row],[Instrument]],Def_Targets!$D$73:$E$159,2,FALSE)</f>
        <v>I_Hydrogen</v>
      </c>
      <c r="AR1103" s="233" t="str">
        <f>VLOOKUP(Table8[[#This Row],[Country Code]],Table29[],3,FALSE)</f>
        <v>Annex I</v>
      </c>
      <c r="AS1103" s="233" t="str">
        <f>VLOOKUP(Table8[[#This Row],[Country Code]],Table29[],4,FALSE)</f>
        <v>Europe</v>
      </c>
      <c r="AT1103" s="233" t="str">
        <f>VLOOKUP(Table8[[#This Row],[Country Code]],Table29[],5,FALSE)</f>
        <v>High-income</v>
      </c>
      <c r="AU1103" s="233" t="str">
        <f>VLOOKUP(Table8[[#This Row],[Country Code]],Table29[],6,FALSE)</f>
        <v>no</v>
      </c>
      <c r="AV1103" s="233" t="str">
        <f>VLOOKUP(Table8[[#This Row],[Country Code]],Table29[],7,FALSE)</f>
        <v>no</v>
      </c>
      <c r="AW1103" s="233" t="str">
        <f>VLOOKUP(Table8[[#This Row],[Country Code]],Table29[],8,FALSE)</f>
        <v>OECD</v>
      </c>
      <c r="AX1103" s="233" t="str">
        <f>VLOOKUP(Table8[[#This Row],[Country Code]],Table29[],9,FALSE)</f>
        <v>EU27</v>
      </c>
      <c r="AY1103" s="233" t="str">
        <f>VLOOKUP(Table8[[#This Row],[Country Code]],Table29[],10,FALSE)</f>
        <v>no</v>
      </c>
      <c r="AZ1103" s="235">
        <f>VLOOKUP(Table8[[#This Row],[Country Code]],Table29[],23,FALSE)</f>
        <v>60.926771856729999</v>
      </c>
      <c r="BA1103" s="235">
        <f>VLOOKUP(Table8[[#This Row],[Country Code]],Table29[],24,FALSE)</f>
        <v>14.39810129879295</v>
      </c>
      <c r="BB1103" s="320"/>
      <c r="BC1103" s="320"/>
    </row>
    <row r="1104" spans="1:55" hidden="1" x14ac:dyDescent="0.25">
      <c r="A1104" s="360">
        <v>22328</v>
      </c>
      <c r="B1104" s="233" t="str">
        <f>VLOOKUP(Table8[[#This Row],[Document ID]],Table1[],2,FALSE)</f>
        <v>HUN</v>
      </c>
      <c r="C1104" s="233" t="str">
        <f>VLOOKUP(Table8[[#This Row],[Document ID]],Table1[],3,FALSE)</f>
        <v>Hungary</v>
      </c>
      <c r="D1104" s="233" t="str">
        <f>VLOOKUP(Table8[[#This Row],[Document ID]],Table1[],5,FALSE)</f>
        <v>LTS</v>
      </c>
      <c r="E1104" s="233" t="str">
        <f>VLOOKUP(Table8[[#This Row],[Document ID]],Table1[],7,FALSE)</f>
        <v>LTS</v>
      </c>
      <c r="F1104" s="233" t="str">
        <f>VLOOKUP(Table8[[#This Row],[Document ID]],Table1[],8,FALSE)</f>
        <v>LTS 1.0</v>
      </c>
      <c r="G1104" s="233" t="str">
        <f>VLOOKUP(Table8[[#This Row],[Document ID]],Table1[],10,FALSE)</f>
        <v>Active</v>
      </c>
      <c r="H1104" s="44" t="s">
        <v>2329</v>
      </c>
      <c r="I1104" s="44" t="s">
        <v>2330</v>
      </c>
      <c r="J1104" s="44" t="s">
        <v>2381</v>
      </c>
      <c r="K1104" s="44" t="s">
        <v>3381</v>
      </c>
      <c r="L1104" s="44" t="s">
        <v>2333</v>
      </c>
      <c r="M1104" s="43">
        <v>34</v>
      </c>
      <c r="N1104" s="113" t="s">
        <v>1113</v>
      </c>
      <c r="O1104" s="113"/>
      <c r="P1104" s="113"/>
      <c r="Q1104" s="113"/>
      <c r="R1104" s="113"/>
      <c r="S1104" s="113"/>
      <c r="T1104" s="113"/>
      <c r="U1104" s="113"/>
      <c r="V1104" s="113"/>
      <c r="W1104" s="113"/>
      <c r="X1104" s="113"/>
      <c r="Y1104" s="113"/>
      <c r="Z1104" s="113"/>
      <c r="AA1104" s="113"/>
      <c r="AB1104" s="113"/>
      <c r="AC1104" s="113"/>
      <c r="AD1104" s="113"/>
      <c r="AE1104" s="113"/>
      <c r="AF1104" s="113"/>
      <c r="AG1104" s="113"/>
      <c r="AH1104" s="113"/>
      <c r="AI1104" s="113"/>
      <c r="AJ1104" s="113"/>
      <c r="AK1104" s="113" t="s">
        <v>1113</v>
      </c>
      <c r="AL1104" s="113"/>
      <c r="AM1104" s="113"/>
      <c r="AN1104" s="113"/>
      <c r="AO1104" s="44" t="s">
        <v>2334</v>
      </c>
      <c r="AP1104" s="43"/>
      <c r="AQ1104" s="236" t="str">
        <f>VLOOKUP(Table8[[#This Row],[Instrument]],Def_Targets!$D$73:$E$159,2,FALSE)</f>
        <v>I_RE</v>
      </c>
      <c r="AR1104" s="233" t="str">
        <f>VLOOKUP(Table8[[#This Row],[Country Code]],Table29[],3,FALSE)</f>
        <v>Annex I</v>
      </c>
      <c r="AS1104" s="233" t="str">
        <f>VLOOKUP(Table8[[#This Row],[Country Code]],Table29[],4,FALSE)</f>
        <v>Europe</v>
      </c>
      <c r="AT1104" s="233" t="str">
        <f>VLOOKUP(Table8[[#This Row],[Country Code]],Table29[],5,FALSE)</f>
        <v>High-income</v>
      </c>
      <c r="AU1104" s="233" t="str">
        <f>VLOOKUP(Table8[[#This Row],[Country Code]],Table29[],6,FALSE)</f>
        <v>no</v>
      </c>
      <c r="AV1104" s="233" t="str">
        <f>VLOOKUP(Table8[[#This Row],[Country Code]],Table29[],7,FALSE)</f>
        <v>no</v>
      </c>
      <c r="AW1104" s="233" t="str">
        <f>VLOOKUP(Table8[[#This Row],[Country Code]],Table29[],8,FALSE)</f>
        <v>OECD</v>
      </c>
      <c r="AX1104" s="233" t="str">
        <f>VLOOKUP(Table8[[#This Row],[Country Code]],Table29[],9,FALSE)</f>
        <v>EU27</v>
      </c>
      <c r="AY1104" s="233" t="str">
        <f>VLOOKUP(Table8[[#This Row],[Country Code]],Table29[],10,FALSE)</f>
        <v>no</v>
      </c>
      <c r="AZ1104" s="235">
        <f>VLOOKUP(Table8[[#This Row],[Country Code]],Table29[],23,FALSE)</f>
        <v>60.926771856729999</v>
      </c>
      <c r="BA1104" s="235">
        <f>VLOOKUP(Table8[[#This Row],[Country Code]],Table29[],24,FALSE)</f>
        <v>14.39810129879295</v>
      </c>
      <c r="BB1104" s="320"/>
      <c r="BC1104" s="320"/>
    </row>
    <row r="1105" spans="1:55" hidden="1" x14ac:dyDescent="0.25">
      <c r="A1105" s="360">
        <v>22328</v>
      </c>
      <c r="B1105" s="233" t="str">
        <f>VLOOKUP(Table8[[#This Row],[Document ID]],Table1[],2,FALSE)</f>
        <v>HUN</v>
      </c>
      <c r="C1105" s="233" t="str">
        <f>VLOOKUP(Table8[[#This Row],[Document ID]],Table1[],3,FALSE)</f>
        <v>Hungary</v>
      </c>
      <c r="D1105" s="233" t="str">
        <f>VLOOKUP(Table8[[#This Row],[Document ID]],Table1[],5,FALSE)</f>
        <v>LTS</v>
      </c>
      <c r="E1105" s="233" t="str">
        <f>VLOOKUP(Table8[[#This Row],[Document ID]],Table1[],7,FALSE)</f>
        <v>LTS</v>
      </c>
      <c r="F1105" s="233" t="str">
        <f>VLOOKUP(Table8[[#This Row],[Document ID]],Table1[],8,FALSE)</f>
        <v>LTS 1.0</v>
      </c>
      <c r="G1105" s="233" t="str">
        <f>VLOOKUP(Table8[[#This Row],[Document ID]],Table1[],10,FALSE)</f>
        <v>Active</v>
      </c>
      <c r="H1105" s="44" t="s">
        <v>2329</v>
      </c>
      <c r="I1105" s="44" t="s">
        <v>2330</v>
      </c>
      <c r="J1105" s="44" t="s">
        <v>2357</v>
      </c>
      <c r="K1105" s="44" t="s">
        <v>3382</v>
      </c>
      <c r="L1105" s="44" t="s">
        <v>2333</v>
      </c>
      <c r="M1105" s="43">
        <v>114</v>
      </c>
      <c r="N1105" s="113" t="s">
        <v>1113</v>
      </c>
      <c r="O1105" s="113"/>
      <c r="P1105" s="113"/>
      <c r="Q1105" s="113"/>
      <c r="R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t="s">
        <v>1113</v>
      </c>
      <c r="AL1105" s="113"/>
      <c r="AM1105" s="113"/>
      <c r="AN1105" s="113"/>
      <c r="AO1105" s="44" t="s">
        <v>2334</v>
      </c>
      <c r="AP1105" s="43"/>
      <c r="AQ1105" s="236" t="str">
        <f>VLOOKUP(Table8[[#This Row],[Instrument]],Def_Targets!$D$73:$E$159,2,FALSE)</f>
        <v>I_Biofuel</v>
      </c>
      <c r="AR1105" s="233" t="str">
        <f>VLOOKUP(Table8[[#This Row],[Country Code]],Table29[],3,FALSE)</f>
        <v>Annex I</v>
      </c>
      <c r="AS1105" s="233" t="str">
        <f>VLOOKUP(Table8[[#This Row],[Country Code]],Table29[],4,FALSE)</f>
        <v>Europe</v>
      </c>
      <c r="AT1105" s="233" t="str">
        <f>VLOOKUP(Table8[[#This Row],[Country Code]],Table29[],5,FALSE)</f>
        <v>High-income</v>
      </c>
      <c r="AU1105" s="233" t="str">
        <f>VLOOKUP(Table8[[#This Row],[Country Code]],Table29[],6,FALSE)</f>
        <v>no</v>
      </c>
      <c r="AV1105" s="233" t="str">
        <f>VLOOKUP(Table8[[#This Row],[Country Code]],Table29[],7,FALSE)</f>
        <v>no</v>
      </c>
      <c r="AW1105" s="233" t="str">
        <f>VLOOKUP(Table8[[#This Row],[Country Code]],Table29[],8,FALSE)</f>
        <v>OECD</v>
      </c>
      <c r="AX1105" s="233" t="str">
        <f>VLOOKUP(Table8[[#This Row],[Country Code]],Table29[],9,FALSE)</f>
        <v>EU27</v>
      </c>
      <c r="AY1105" s="233" t="str">
        <f>VLOOKUP(Table8[[#This Row],[Country Code]],Table29[],10,FALSE)</f>
        <v>no</v>
      </c>
      <c r="AZ1105" s="235">
        <f>VLOOKUP(Table8[[#This Row],[Country Code]],Table29[],23,FALSE)</f>
        <v>60.926771856729999</v>
      </c>
      <c r="BA1105" s="235">
        <f>VLOOKUP(Table8[[#This Row],[Country Code]],Table29[],24,FALSE)</f>
        <v>14.39810129879295</v>
      </c>
      <c r="BB1105" s="320"/>
      <c r="BC1105" s="320"/>
    </row>
    <row r="1106" spans="1:55" hidden="1" x14ac:dyDescent="0.25">
      <c r="A1106" s="360">
        <v>22328</v>
      </c>
      <c r="B1106" s="233" t="str">
        <f>VLOOKUP(Table8[[#This Row],[Document ID]],Table1[],2,FALSE)</f>
        <v>HUN</v>
      </c>
      <c r="C1106" s="233" t="str">
        <f>VLOOKUP(Table8[[#This Row],[Document ID]],Table1[],3,FALSE)</f>
        <v>Hungary</v>
      </c>
      <c r="D1106" s="233" t="str">
        <f>VLOOKUP(Table8[[#This Row],[Document ID]],Table1[],5,FALSE)</f>
        <v>LTS</v>
      </c>
      <c r="E1106" s="233" t="str">
        <f>VLOOKUP(Table8[[#This Row],[Document ID]],Table1[],7,FALSE)</f>
        <v>LTS</v>
      </c>
      <c r="F1106" s="233" t="str">
        <f>VLOOKUP(Table8[[#This Row],[Document ID]],Table1[],8,FALSE)</f>
        <v>LTS 1.0</v>
      </c>
      <c r="G1106" s="233" t="str">
        <f>VLOOKUP(Table8[[#This Row],[Document ID]],Table1[],10,FALSE)</f>
        <v>Active</v>
      </c>
      <c r="H1106" s="44" t="s">
        <v>2338</v>
      </c>
      <c r="I1106" s="44" t="s">
        <v>2339</v>
      </c>
      <c r="J1106" s="44" t="s">
        <v>2556</v>
      </c>
      <c r="K1106" s="44" t="s">
        <v>3383</v>
      </c>
      <c r="L1106" s="44" t="s">
        <v>2333</v>
      </c>
      <c r="M1106" s="43">
        <v>115</v>
      </c>
      <c r="N1106" s="113" t="s">
        <v>1113</v>
      </c>
      <c r="O1106" s="113"/>
      <c r="P1106" s="113"/>
      <c r="Q1106" s="113"/>
      <c r="R1106" s="113"/>
      <c r="S1106" s="113"/>
      <c r="T1106" s="113"/>
      <c r="U1106" s="113"/>
      <c r="V1106" s="113"/>
      <c r="W1106" s="113"/>
      <c r="X1106" s="113"/>
      <c r="Y1106" s="113"/>
      <c r="Z1106" s="113"/>
      <c r="AA1106" s="113"/>
      <c r="AB1106" s="113"/>
      <c r="AC1106" s="113"/>
      <c r="AD1106" s="113"/>
      <c r="AE1106" s="113"/>
      <c r="AF1106" s="113"/>
      <c r="AG1106" s="113"/>
      <c r="AH1106" s="113"/>
      <c r="AI1106" s="113"/>
      <c r="AJ1106" s="113"/>
      <c r="AK1106" s="113" t="s">
        <v>1113</v>
      </c>
      <c r="AL1106" s="113"/>
      <c r="AM1106" s="113"/>
      <c r="AN1106" s="113"/>
      <c r="AO1106" s="44" t="s">
        <v>2334</v>
      </c>
      <c r="AP1106" s="43"/>
      <c r="AQ1106" s="236" t="str">
        <f>VLOOKUP(Table8[[#This Row],[Instrument]],Def_Targets!$D$73:$E$159,2,FALSE)</f>
        <v>I_Fuelqualimprove</v>
      </c>
      <c r="AR1106" s="233" t="str">
        <f>VLOOKUP(Table8[[#This Row],[Country Code]],Table29[],3,FALSE)</f>
        <v>Annex I</v>
      </c>
      <c r="AS1106" s="233" t="str">
        <f>VLOOKUP(Table8[[#This Row],[Country Code]],Table29[],4,FALSE)</f>
        <v>Europe</v>
      </c>
      <c r="AT1106" s="233" t="str">
        <f>VLOOKUP(Table8[[#This Row],[Country Code]],Table29[],5,FALSE)</f>
        <v>High-income</v>
      </c>
      <c r="AU1106" s="233" t="str">
        <f>VLOOKUP(Table8[[#This Row],[Country Code]],Table29[],6,FALSE)</f>
        <v>no</v>
      </c>
      <c r="AV1106" s="233" t="str">
        <f>VLOOKUP(Table8[[#This Row],[Country Code]],Table29[],7,FALSE)</f>
        <v>no</v>
      </c>
      <c r="AW1106" s="233" t="str">
        <f>VLOOKUP(Table8[[#This Row],[Country Code]],Table29[],8,FALSE)</f>
        <v>OECD</v>
      </c>
      <c r="AX1106" s="233" t="str">
        <f>VLOOKUP(Table8[[#This Row],[Country Code]],Table29[],9,FALSE)</f>
        <v>EU27</v>
      </c>
      <c r="AY1106" s="233" t="str">
        <f>VLOOKUP(Table8[[#This Row],[Country Code]],Table29[],10,FALSE)</f>
        <v>no</v>
      </c>
      <c r="AZ1106" s="235">
        <f>VLOOKUP(Table8[[#This Row],[Country Code]],Table29[],23,FALSE)</f>
        <v>60.926771856729999</v>
      </c>
      <c r="BA1106" s="235">
        <f>VLOOKUP(Table8[[#This Row],[Country Code]],Table29[],24,FALSE)</f>
        <v>14.39810129879295</v>
      </c>
      <c r="BB1106" s="320"/>
      <c r="BC1106" s="320"/>
    </row>
    <row r="1107" spans="1:55" hidden="1" x14ac:dyDescent="0.25">
      <c r="A1107" s="360">
        <v>22328</v>
      </c>
      <c r="B1107" s="233" t="str">
        <f>VLOOKUP(Table8[[#This Row],[Document ID]],Table1[],2,FALSE)</f>
        <v>HUN</v>
      </c>
      <c r="C1107" s="233" t="str">
        <f>VLOOKUP(Table8[[#This Row],[Document ID]],Table1[],3,FALSE)</f>
        <v>Hungary</v>
      </c>
      <c r="D1107" s="233" t="str">
        <f>VLOOKUP(Table8[[#This Row],[Document ID]],Table1[],5,FALSE)</f>
        <v>LTS</v>
      </c>
      <c r="E1107" s="233" t="str">
        <f>VLOOKUP(Table8[[#This Row],[Document ID]],Table1[],7,FALSE)</f>
        <v>LTS</v>
      </c>
      <c r="F1107" s="233" t="str">
        <f>VLOOKUP(Table8[[#This Row],[Document ID]],Table1[],8,FALSE)</f>
        <v>LTS 1.0</v>
      </c>
      <c r="G1107" s="233" t="str">
        <f>VLOOKUP(Table8[[#This Row],[Document ID]],Table1[],10,FALSE)</f>
        <v>Active</v>
      </c>
      <c r="H1107" s="44" t="s">
        <v>2338</v>
      </c>
      <c r="I1107" s="44" t="s">
        <v>2339</v>
      </c>
      <c r="J1107" s="44" t="s">
        <v>2340</v>
      </c>
      <c r="K1107" s="44" t="s">
        <v>3384</v>
      </c>
      <c r="L1107" s="44" t="s">
        <v>2333</v>
      </c>
      <c r="M1107" s="43">
        <v>115</v>
      </c>
      <c r="N1107" s="113"/>
      <c r="O1107" s="113"/>
      <c r="P1107" s="113"/>
      <c r="Q1107" s="113"/>
      <c r="R1107" s="113"/>
      <c r="S1107" s="113"/>
      <c r="T1107" s="113"/>
      <c r="U1107" s="113"/>
      <c r="V1107" s="113"/>
      <c r="W1107" s="113"/>
      <c r="X1107" s="113"/>
      <c r="Y1107" s="113" t="s">
        <v>1113</v>
      </c>
      <c r="Z1107" s="113"/>
      <c r="AA1107" s="113"/>
      <c r="AB1107" s="113"/>
      <c r="AC1107" s="113" t="s">
        <v>1113</v>
      </c>
      <c r="AD1107" s="113"/>
      <c r="AE1107" s="113"/>
      <c r="AF1107" s="113"/>
      <c r="AG1107" s="113"/>
      <c r="AH1107" s="113"/>
      <c r="AI1107" s="113"/>
      <c r="AJ1107" s="113"/>
      <c r="AK1107" s="113" t="s">
        <v>1113</v>
      </c>
      <c r="AL1107" s="113"/>
      <c r="AM1107" s="113"/>
      <c r="AN1107" s="113"/>
      <c r="AO1107" s="44" t="s">
        <v>2334</v>
      </c>
      <c r="AP1107" s="43"/>
      <c r="AQ1107" s="236" t="str">
        <f>VLOOKUP(Table8[[#This Row],[Instrument]],Def_Targets!$D$73:$E$159,2,FALSE)</f>
        <v>I_Vehicleimprove</v>
      </c>
      <c r="AR1107" s="233" t="str">
        <f>VLOOKUP(Table8[[#This Row],[Country Code]],Table29[],3,FALSE)</f>
        <v>Annex I</v>
      </c>
      <c r="AS1107" s="233" t="str">
        <f>VLOOKUP(Table8[[#This Row],[Country Code]],Table29[],4,FALSE)</f>
        <v>Europe</v>
      </c>
      <c r="AT1107" s="233" t="str">
        <f>VLOOKUP(Table8[[#This Row],[Country Code]],Table29[],5,FALSE)</f>
        <v>High-income</v>
      </c>
      <c r="AU1107" s="233" t="str">
        <f>VLOOKUP(Table8[[#This Row],[Country Code]],Table29[],6,FALSE)</f>
        <v>no</v>
      </c>
      <c r="AV1107" s="233" t="str">
        <f>VLOOKUP(Table8[[#This Row],[Country Code]],Table29[],7,FALSE)</f>
        <v>no</v>
      </c>
      <c r="AW1107" s="233" t="str">
        <f>VLOOKUP(Table8[[#This Row],[Country Code]],Table29[],8,FALSE)</f>
        <v>OECD</v>
      </c>
      <c r="AX1107" s="233" t="str">
        <f>VLOOKUP(Table8[[#This Row],[Country Code]],Table29[],9,FALSE)</f>
        <v>EU27</v>
      </c>
      <c r="AY1107" s="233" t="str">
        <f>VLOOKUP(Table8[[#This Row],[Country Code]],Table29[],10,FALSE)</f>
        <v>no</v>
      </c>
      <c r="AZ1107" s="235">
        <f>VLOOKUP(Table8[[#This Row],[Country Code]],Table29[],23,FALSE)</f>
        <v>60.926771856729999</v>
      </c>
      <c r="BA1107" s="235">
        <f>VLOOKUP(Table8[[#This Row],[Country Code]],Table29[],24,FALSE)</f>
        <v>14.39810129879295</v>
      </c>
      <c r="BB1107" s="320"/>
      <c r="BC1107" s="320"/>
    </row>
    <row r="1108" spans="1:55" hidden="1" x14ac:dyDescent="0.25">
      <c r="A1108" s="360">
        <v>22328</v>
      </c>
      <c r="B1108" s="233" t="str">
        <f>VLOOKUP(Table8[[#This Row],[Document ID]],Table1[],2,FALSE)</f>
        <v>HUN</v>
      </c>
      <c r="C1108" s="233" t="str">
        <f>VLOOKUP(Table8[[#This Row],[Document ID]],Table1[],3,FALSE)</f>
        <v>Hungary</v>
      </c>
      <c r="D1108" s="233" t="str">
        <f>VLOOKUP(Table8[[#This Row],[Document ID]],Table1[],5,FALSE)</f>
        <v>LTS</v>
      </c>
      <c r="E1108" s="233" t="str">
        <f>VLOOKUP(Table8[[#This Row],[Document ID]],Table1[],7,FALSE)</f>
        <v>LTS</v>
      </c>
      <c r="F1108" s="233" t="str">
        <f>VLOOKUP(Table8[[#This Row],[Document ID]],Table1[],8,FALSE)</f>
        <v>LTS 1.0</v>
      </c>
      <c r="G1108" s="233" t="str">
        <f>VLOOKUP(Table8[[#This Row],[Document ID]],Table1[],10,FALSE)</f>
        <v>Active</v>
      </c>
      <c r="H1108" s="44" t="s">
        <v>2338</v>
      </c>
      <c r="I1108" s="44" t="s">
        <v>2339</v>
      </c>
      <c r="J1108" s="44" t="s">
        <v>2340</v>
      </c>
      <c r="K1108" s="44" t="s">
        <v>3385</v>
      </c>
      <c r="L1108" s="44" t="s">
        <v>2333</v>
      </c>
      <c r="M1108" s="43">
        <v>115</v>
      </c>
      <c r="N1108" s="113" t="s">
        <v>1113</v>
      </c>
      <c r="O1108" s="113"/>
      <c r="P1108" s="113"/>
      <c r="Q1108" s="113"/>
      <c r="R1108" s="113"/>
      <c r="S1108" s="113"/>
      <c r="T1108" s="113"/>
      <c r="U1108" s="113"/>
      <c r="V1108" s="113"/>
      <c r="W1108" s="113"/>
      <c r="X1108" s="113"/>
      <c r="Y1108" s="113"/>
      <c r="Z1108" s="113"/>
      <c r="AA1108" s="113"/>
      <c r="AB1108" s="113"/>
      <c r="AC1108" s="113"/>
      <c r="AD1108" s="113"/>
      <c r="AE1108" s="113"/>
      <c r="AF1108" s="113"/>
      <c r="AG1108" s="113"/>
      <c r="AH1108" s="113"/>
      <c r="AI1108" s="113"/>
      <c r="AJ1108" s="113"/>
      <c r="AK1108" s="113" t="s">
        <v>1113</v>
      </c>
      <c r="AL1108" s="113"/>
      <c r="AM1108" s="113"/>
      <c r="AN1108" s="113"/>
      <c r="AO1108" s="44" t="s">
        <v>2334</v>
      </c>
      <c r="AP1108" s="43"/>
      <c r="AQ1108" s="236" t="str">
        <f>VLOOKUP(Table8[[#This Row],[Instrument]],Def_Targets!$D$73:$E$159,2,FALSE)</f>
        <v>I_Vehicleimprove</v>
      </c>
      <c r="AR1108" s="233" t="str">
        <f>VLOOKUP(Table8[[#This Row],[Country Code]],Table29[],3,FALSE)</f>
        <v>Annex I</v>
      </c>
      <c r="AS1108" s="233" t="str">
        <f>VLOOKUP(Table8[[#This Row],[Country Code]],Table29[],4,FALSE)</f>
        <v>Europe</v>
      </c>
      <c r="AT1108" s="233" t="str">
        <f>VLOOKUP(Table8[[#This Row],[Country Code]],Table29[],5,FALSE)</f>
        <v>High-income</v>
      </c>
      <c r="AU1108" s="233" t="str">
        <f>VLOOKUP(Table8[[#This Row],[Country Code]],Table29[],6,FALSE)</f>
        <v>no</v>
      </c>
      <c r="AV1108" s="233" t="str">
        <f>VLOOKUP(Table8[[#This Row],[Country Code]],Table29[],7,FALSE)</f>
        <v>no</v>
      </c>
      <c r="AW1108" s="233" t="str">
        <f>VLOOKUP(Table8[[#This Row],[Country Code]],Table29[],8,FALSE)</f>
        <v>OECD</v>
      </c>
      <c r="AX1108" s="233" t="str">
        <f>VLOOKUP(Table8[[#This Row],[Country Code]],Table29[],9,FALSE)</f>
        <v>EU27</v>
      </c>
      <c r="AY1108" s="233" t="str">
        <f>VLOOKUP(Table8[[#This Row],[Country Code]],Table29[],10,FALSE)</f>
        <v>no</v>
      </c>
      <c r="AZ1108" s="235">
        <f>VLOOKUP(Table8[[#This Row],[Country Code]],Table29[],23,FALSE)</f>
        <v>60.926771856729999</v>
      </c>
      <c r="BA1108" s="235">
        <f>VLOOKUP(Table8[[#This Row],[Country Code]],Table29[],24,FALSE)</f>
        <v>14.39810129879295</v>
      </c>
      <c r="BB1108" s="320"/>
      <c r="BC1108" s="320"/>
    </row>
    <row r="1109" spans="1:55" hidden="1" x14ac:dyDescent="0.25">
      <c r="A1109" s="360">
        <v>22328</v>
      </c>
      <c r="B1109" s="233" t="str">
        <f>VLOOKUP(Table8[[#This Row],[Document ID]],Table1[],2,FALSE)</f>
        <v>HUN</v>
      </c>
      <c r="C1109" s="233" t="str">
        <f>VLOOKUP(Table8[[#This Row],[Document ID]],Table1[],3,FALSE)</f>
        <v>Hungary</v>
      </c>
      <c r="D1109" s="233" t="str">
        <f>VLOOKUP(Table8[[#This Row],[Document ID]],Table1[],5,FALSE)</f>
        <v>LTS</v>
      </c>
      <c r="E1109" s="233" t="str">
        <f>VLOOKUP(Table8[[#This Row],[Document ID]],Table1[],7,FALSE)</f>
        <v>LTS</v>
      </c>
      <c r="F1109" s="233" t="str">
        <f>VLOOKUP(Table8[[#This Row],[Document ID]],Table1[],8,FALSE)</f>
        <v>LTS 1.0</v>
      </c>
      <c r="G1109" s="233" t="str">
        <f>VLOOKUP(Table8[[#This Row],[Document ID]],Table1[],10,FALSE)</f>
        <v>Active</v>
      </c>
      <c r="H1109" s="43" t="s">
        <v>2350</v>
      </c>
      <c r="I1109" s="43" t="s">
        <v>2456</v>
      </c>
      <c r="J1109" s="44" t="s">
        <v>2457</v>
      </c>
      <c r="K1109" s="44" t="s">
        <v>3386</v>
      </c>
      <c r="L1109" s="44" t="s">
        <v>2333</v>
      </c>
      <c r="M1109" s="43">
        <v>115</v>
      </c>
      <c r="N1109" s="113" t="s">
        <v>1113</v>
      </c>
      <c r="O1109" s="113"/>
      <c r="P1109" s="113"/>
      <c r="Q1109" s="113"/>
      <c r="R1109" s="113"/>
      <c r="S1109" s="113"/>
      <c r="T1109" s="113"/>
      <c r="U1109" s="113"/>
      <c r="V1109" s="113"/>
      <c r="W1109" s="113"/>
      <c r="X1109" s="113"/>
      <c r="Y1109" s="113"/>
      <c r="Z1109" s="113"/>
      <c r="AA1109" s="113"/>
      <c r="AB1109" s="113"/>
      <c r="AC1109" s="113"/>
      <c r="AD1109" s="113"/>
      <c r="AE1109" s="113"/>
      <c r="AF1109" s="113"/>
      <c r="AG1109" s="113"/>
      <c r="AH1109" s="113"/>
      <c r="AI1109" s="113"/>
      <c r="AJ1109" s="113"/>
      <c r="AK1109" s="113" t="s">
        <v>1113</v>
      </c>
      <c r="AL1109" s="113"/>
      <c r="AM1109" s="113"/>
      <c r="AN1109" s="113"/>
      <c r="AO1109" s="44" t="s">
        <v>2334</v>
      </c>
      <c r="AP1109" s="43"/>
      <c r="AQ1109" s="236" t="str">
        <f>VLOOKUP(Table8[[#This Row],[Instrument]],Def_Targets!$D$73:$E$159,2,FALSE)</f>
        <v>S_Infraimprove</v>
      </c>
      <c r="AR1109" s="233" t="str">
        <f>VLOOKUP(Table8[[#This Row],[Country Code]],Table29[],3,FALSE)</f>
        <v>Annex I</v>
      </c>
      <c r="AS1109" s="233" t="str">
        <f>VLOOKUP(Table8[[#This Row],[Country Code]],Table29[],4,FALSE)</f>
        <v>Europe</v>
      </c>
      <c r="AT1109" s="233" t="str">
        <f>VLOOKUP(Table8[[#This Row],[Country Code]],Table29[],5,FALSE)</f>
        <v>High-income</v>
      </c>
      <c r="AU1109" s="233" t="str">
        <f>VLOOKUP(Table8[[#This Row],[Country Code]],Table29[],6,FALSE)</f>
        <v>no</v>
      </c>
      <c r="AV1109" s="233" t="str">
        <f>VLOOKUP(Table8[[#This Row],[Country Code]],Table29[],7,FALSE)</f>
        <v>no</v>
      </c>
      <c r="AW1109" s="233" t="str">
        <f>VLOOKUP(Table8[[#This Row],[Country Code]],Table29[],8,FALSE)</f>
        <v>OECD</v>
      </c>
      <c r="AX1109" s="233" t="str">
        <f>VLOOKUP(Table8[[#This Row],[Country Code]],Table29[],9,FALSE)</f>
        <v>EU27</v>
      </c>
      <c r="AY1109" s="233" t="str">
        <f>VLOOKUP(Table8[[#This Row],[Country Code]],Table29[],10,FALSE)</f>
        <v>no</v>
      </c>
      <c r="AZ1109" s="235">
        <f>VLOOKUP(Table8[[#This Row],[Country Code]],Table29[],23,FALSE)</f>
        <v>60.926771856729999</v>
      </c>
      <c r="BA1109" s="235">
        <f>VLOOKUP(Table8[[#This Row],[Country Code]],Table29[],24,FALSE)</f>
        <v>14.39810129879295</v>
      </c>
      <c r="BB1109" s="320"/>
      <c r="BC1109" s="320"/>
    </row>
    <row r="1110" spans="1:55" hidden="1" x14ac:dyDescent="0.25">
      <c r="A1110" s="360">
        <v>26780</v>
      </c>
      <c r="B1110" s="233" t="str">
        <f>VLOOKUP(Table8[[#This Row],[Document ID]],Table1[],2,FALSE)</f>
        <v>ISL</v>
      </c>
      <c r="C1110" s="233" t="str">
        <f>VLOOKUP(Table8[[#This Row],[Document ID]],Table1[],3,FALSE)</f>
        <v>Iceland</v>
      </c>
      <c r="D1110" s="233" t="str">
        <f>VLOOKUP(Table8[[#This Row],[Document ID]],Table1[],5,FALSE)</f>
        <v>LTS</v>
      </c>
      <c r="E1110" s="233" t="str">
        <f>VLOOKUP(Table8[[#This Row],[Document ID]],Table1[],7,FALSE)</f>
        <v>LTS</v>
      </c>
      <c r="F1110" s="233" t="str">
        <f>VLOOKUP(Table8[[#This Row],[Document ID]],Table1[],8,FALSE)</f>
        <v>LTS 1.0</v>
      </c>
      <c r="G1110" s="233" t="str">
        <f>VLOOKUP(Table8[[#This Row],[Document ID]],Table1[],10,FALSE)</f>
        <v>Active</v>
      </c>
      <c r="H1110" s="43" t="s">
        <v>2343</v>
      </c>
      <c r="I1110" s="43" t="s">
        <v>2361</v>
      </c>
      <c r="J1110" s="44" t="s">
        <v>2366</v>
      </c>
      <c r="K1110" s="44" t="s">
        <v>3387</v>
      </c>
      <c r="L1110" s="44" t="s">
        <v>2347</v>
      </c>
      <c r="M1110" s="43">
        <v>32</v>
      </c>
      <c r="N1110" s="113"/>
      <c r="O1110" s="113"/>
      <c r="P1110" s="113" t="s">
        <v>1113</v>
      </c>
      <c r="Q1110" s="113"/>
      <c r="R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t="s">
        <v>1113</v>
      </c>
      <c r="AL1110" s="113"/>
      <c r="AM1110" s="113"/>
      <c r="AN1110" s="113"/>
      <c r="AO1110" s="44" t="s">
        <v>2334</v>
      </c>
      <c r="AP1110" s="43"/>
      <c r="AQ1110" s="236" t="str">
        <f>VLOOKUP(Table8[[#This Row],[Instrument]],Def_Targets!$D$73:$E$159,2,FALSE)</f>
        <v>S_Activemobility</v>
      </c>
      <c r="AR1110" s="233" t="str">
        <f>VLOOKUP(Table8[[#This Row],[Country Code]],Table29[],3,FALSE)</f>
        <v>Annex I</v>
      </c>
      <c r="AS1110" s="233" t="str">
        <f>VLOOKUP(Table8[[#This Row],[Country Code]],Table29[],4,FALSE)</f>
        <v>Europe</v>
      </c>
      <c r="AT1110" s="233" t="str">
        <f>VLOOKUP(Table8[[#This Row],[Country Code]],Table29[],5,FALSE)</f>
        <v>High-income</v>
      </c>
      <c r="AU1110" s="233" t="str">
        <f>VLOOKUP(Table8[[#This Row],[Country Code]],Table29[],6,FALSE)</f>
        <v>no</v>
      </c>
      <c r="AV1110" s="233" t="str">
        <f>VLOOKUP(Table8[[#This Row],[Country Code]],Table29[],7,FALSE)</f>
        <v>no</v>
      </c>
      <c r="AW1110" s="233" t="str">
        <f>VLOOKUP(Table8[[#This Row],[Country Code]],Table29[],8,FALSE)</f>
        <v>OECD</v>
      </c>
      <c r="AX1110" s="233" t="str">
        <f>VLOOKUP(Table8[[#This Row],[Country Code]],Table29[],9,FALSE)</f>
        <v>no</v>
      </c>
      <c r="AY1110" s="233" t="str">
        <f>VLOOKUP(Table8[[#This Row],[Country Code]],Table29[],10,FALSE)</f>
        <v>no</v>
      </c>
      <c r="AZ1110" s="235">
        <f>VLOOKUP(Table8[[#This Row],[Country Code]],Table29[],23,FALSE)</f>
        <v>4.171936013462</v>
      </c>
      <c r="BA1110" s="235">
        <f>VLOOKUP(Table8[[#This Row],[Country Code]],Table29[],24,FALSE)</f>
        <v>0.90770990400120422</v>
      </c>
      <c r="BB1110" s="320"/>
      <c r="BC1110" s="320"/>
    </row>
    <row r="1111" spans="1:55" hidden="1" x14ac:dyDescent="0.25">
      <c r="A1111" s="360">
        <v>26780</v>
      </c>
      <c r="B1111" s="233" t="str">
        <f>VLOOKUP(Table8[[#This Row],[Document ID]],Table1[],2,FALSE)</f>
        <v>ISL</v>
      </c>
      <c r="C1111" s="233" t="str">
        <f>VLOOKUP(Table8[[#This Row],[Document ID]],Table1[],3,FALSE)</f>
        <v>Iceland</v>
      </c>
      <c r="D1111" s="233" t="str">
        <f>VLOOKUP(Table8[[#This Row],[Document ID]],Table1[],5,FALSE)</f>
        <v>LTS</v>
      </c>
      <c r="E1111" s="233" t="str">
        <f>VLOOKUP(Table8[[#This Row],[Document ID]],Table1[],7,FALSE)</f>
        <v>LTS</v>
      </c>
      <c r="F1111" s="233" t="str">
        <f>VLOOKUP(Table8[[#This Row],[Document ID]],Table1[],8,FALSE)</f>
        <v>LTS 1.0</v>
      </c>
      <c r="G1111" s="233" t="str">
        <f>VLOOKUP(Table8[[#This Row],[Document ID]],Table1[],10,FALSE)</f>
        <v>Active</v>
      </c>
      <c r="H1111" s="43" t="s">
        <v>2343</v>
      </c>
      <c r="I1111" s="43" t="s">
        <v>2386</v>
      </c>
      <c r="J1111" s="44" t="s">
        <v>2397</v>
      </c>
      <c r="K1111" s="44" t="s">
        <v>3388</v>
      </c>
      <c r="L1111" s="44" t="s">
        <v>2347</v>
      </c>
      <c r="M1111" s="43">
        <v>32</v>
      </c>
      <c r="N1111" s="113"/>
      <c r="O1111" s="113"/>
      <c r="P1111" s="113" t="s">
        <v>1113</v>
      </c>
      <c r="Q1111" s="113"/>
      <c r="R1111" s="113"/>
      <c r="S1111" s="113"/>
      <c r="T1111" s="113"/>
      <c r="U1111" s="113"/>
      <c r="V1111" s="113"/>
      <c r="W1111" s="113"/>
      <c r="X1111" s="113"/>
      <c r="Y1111" s="113"/>
      <c r="Z1111" s="113"/>
      <c r="AA1111" s="113"/>
      <c r="AB1111" s="113"/>
      <c r="AC1111" s="113"/>
      <c r="AD1111" s="113"/>
      <c r="AE1111" s="113"/>
      <c r="AF1111" s="113"/>
      <c r="AG1111" s="113"/>
      <c r="AH1111" s="113"/>
      <c r="AI1111" s="113"/>
      <c r="AJ1111" s="113"/>
      <c r="AK1111" s="113" t="s">
        <v>1113</v>
      </c>
      <c r="AL1111" s="113"/>
      <c r="AM1111" s="113"/>
      <c r="AN1111" s="113"/>
      <c r="AO1111" s="44" t="s">
        <v>2334</v>
      </c>
      <c r="AP1111" s="43"/>
      <c r="AQ1111" s="236" t="str">
        <f>VLOOKUP(Table8[[#This Row],[Instrument]],Def_Targets!$D$73:$E$159,2,FALSE)</f>
        <v>A_Finance</v>
      </c>
      <c r="AR1111" s="233" t="str">
        <f>VLOOKUP(Table8[[#This Row],[Country Code]],Table29[],3,FALSE)</f>
        <v>Annex I</v>
      </c>
      <c r="AS1111" s="233" t="str">
        <f>VLOOKUP(Table8[[#This Row],[Country Code]],Table29[],4,FALSE)</f>
        <v>Europe</v>
      </c>
      <c r="AT1111" s="233" t="str">
        <f>VLOOKUP(Table8[[#This Row],[Country Code]],Table29[],5,FALSE)</f>
        <v>High-income</v>
      </c>
      <c r="AU1111" s="233" t="str">
        <f>VLOOKUP(Table8[[#This Row],[Country Code]],Table29[],6,FALSE)</f>
        <v>no</v>
      </c>
      <c r="AV1111" s="233" t="str">
        <f>VLOOKUP(Table8[[#This Row],[Country Code]],Table29[],7,FALSE)</f>
        <v>no</v>
      </c>
      <c r="AW1111" s="233" t="str">
        <f>VLOOKUP(Table8[[#This Row],[Country Code]],Table29[],8,FALSE)</f>
        <v>OECD</v>
      </c>
      <c r="AX1111" s="233" t="str">
        <f>VLOOKUP(Table8[[#This Row],[Country Code]],Table29[],9,FALSE)</f>
        <v>no</v>
      </c>
      <c r="AY1111" s="233" t="str">
        <f>VLOOKUP(Table8[[#This Row],[Country Code]],Table29[],10,FALSE)</f>
        <v>no</v>
      </c>
      <c r="AZ1111" s="235">
        <f>VLOOKUP(Table8[[#This Row],[Country Code]],Table29[],23,FALSE)</f>
        <v>4.171936013462</v>
      </c>
      <c r="BA1111" s="235">
        <f>VLOOKUP(Table8[[#This Row],[Country Code]],Table29[],24,FALSE)</f>
        <v>0.90770990400120422</v>
      </c>
      <c r="BB1111" s="320"/>
      <c r="BC1111" s="320"/>
    </row>
    <row r="1112" spans="1:55" hidden="1" x14ac:dyDescent="0.25">
      <c r="A1112" s="373">
        <v>26780</v>
      </c>
      <c r="B1112" s="233" t="str">
        <f>VLOOKUP(Table8[[#This Row],[Document ID]],Table1[],2,FALSE)</f>
        <v>ISL</v>
      </c>
      <c r="C1112" s="233" t="str">
        <f>VLOOKUP(Table8[[#This Row],[Document ID]],Table1[],3,FALSE)</f>
        <v>Iceland</v>
      </c>
      <c r="D1112" s="243" t="str">
        <f>VLOOKUP(Table8[[#This Row],[Document ID]],Table1[],5,FALSE)</f>
        <v>LTS</v>
      </c>
      <c r="E1112" s="233" t="str">
        <f>VLOOKUP(Table8[[#This Row],[Document ID]],Table1[],7,FALSE)</f>
        <v>LTS</v>
      </c>
      <c r="F1112" s="233" t="str">
        <f>VLOOKUP(Table8[[#This Row],[Document ID]],Table1[],8,FALSE)</f>
        <v>LTS 1.0</v>
      </c>
      <c r="G1112" s="233" t="str">
        <f>VLOOKUP(Table8[[#This Row],[Document ID]],Table1[],10,FALSE)</f>
        <v>Active</v>
      </c>
      <c r="H1112" s="43" t="s">
        <v>2343</v>
      </c>
      <c r="I1112" s="43" t="s">
        <v>2344</v>
      </c>
      <c r="J1112" s="44" t="s">
        <v>2345</v>
      </c>
      <c r="K1112" s="44" t="s">
        <v>3389</v>
      </c>
      <c r="L1112" s="44" t="s">
        <v>2347</v>
      </c>
      <c r="M1112" s="43">
        <v>32</v>
      </c>
      <c r="N1112" s="113" t="s">
        <v>1113</v>
      </c>
      <c r="O1112" s="113"/>
      <c r="P1112" s="113"/>
      <c r="Q1112" s="113"/>
      <c r="R1112" s="113"/>
      <c r="S1112" s="113"/>
      <c r="T1112" s="113"/>
      <c r="U1112" s="113"/>
      <c r="V1112" s="113"/>
      <c r="W1112" s="113"/>
      <c r="X1112" s="113"/>
      <c r="Y1112" s="113"/>
      <c r="Z1112" s="113"/>
      <c r="AA1112" s="113"/>
      <c r="AB1112" s="113"/>
      <c r="AC1112" s="113"/>
      <c r="AD1112" s="113"/>
      <c r="AE1112" s="113"/>
      <c r="AF1112" s="113"/>
      <c r="AG1112" s="113"/>
      <c r="AH1112" s="113"/>
      <c r="AI1112" s="113"/>
      <c r="AJ1112" s="113"/>
      <c r="AK1112" s="113" t="s">
        <v>1113</v>
      </c>
      <c r="AL1112" s="113"/>
      <c r="AM1112" s="113"/>
      <c r="AN1112" s="113"/>
      <c r="AO1112" s="43" t="s">
        <v>2348</v>
      </c>
      <c r="AP1112" s="43"/>
      <c r="AQ1112" s="236" t="str">
        <f>VLOOKUP(Table8[[#This Row],[Instrument]],Def_Targets!$D$73:$E$159,2,FALSE)</f>
        <v>S_PublicTransport</v>
      </c>
      <c r="AR1112" s="233" t="str">
        <f>VLOOKUP(Table8[[#This Row],[Country Code]],Table29[],3,FALSE)</f>
        <v>Annex I</v>
      </c>
      <c r="AS1112" s="233" t="str">
        <f>VLOOKUP(Table8[[#This Row],[Country Code]],Table29[],4,FALSE)</f>
        <v>Europe</v>
      </c>
      <c r="AT1112" s="233" t="str">
        <f>VLOOKUP(Table8[[#This Row],[Country Code]],Table29[],5,FALSE)</f>
        <v>High-income</v>
      </c>
      <c r="AU1112" s="233" t="str">
        <f>VLOOKUP(Table8[[#This Row],[Country Code]],Table29[],6,FALSE)</f>
        <v>no</v>
      </c>
      <c r="AV1112" s="233" t="str">
        <f>VLOOKUP(Table8[[#This Row],[Country Code]],Table29[],7,FALSE)</f>
        <v>no</v>
      </c>
      <c r="AW1112" s="233" t="str">
        <f>VLOOKUP(Table8[[#This Row],[Country Code]],Table29[],8,FALSE)</f>
        <v>OECD</v>
      </c>
      <c r="AX1112" s="233" t="str">
        <f>VLOOKUP(Table8[[#This Row],[Country Code]],Table29[],9,FALSE)</f>
        <v>no</v>
      </c>
      <c r="AY1112" s="233" t="str">
        <f>VLOOKUP(Table8[[#This Row],[Country Code]],Table29[],10,FALSE)</f>
        <v>no</v>
      </c>
      <c r="AZ1112" s="235">
        <f>VLOOKUP(Table8[[#This Row],[Country Code]],Table29[],23,FALSE)</f>
        <v>4.171936013462</v>
      </c>
      <c r="BA1112" s="235">
        <f>VLOOKUP(Table8[[#This Row],[Country Code]],Table29[],24,FALSE)</f>
        <v>0.90770990400120422</v>
      </c>
      <c r="BB1112" s="320"/>
      <c r="BC1112" s="320"/>
    </row>
    <row r="1113" spans="1:55" hidden="1" x14ac:dyDescent="0.25">
      <c r="A1113" s="373">
        <v>26780</v>
      </c>
      <c r="B1113" s="233" t="str">
        <f>VLOOKUP(Table8[[#This Row],[Document ID]],Table1[],2,FALSE)</f>
        <v>ISL</v>
      </c>
      <c r="C1113" s="233" t="str">
        <f>VLOOKUP(Table8[[#This Row],[Document ID]],Table1[],3,FALSE)</f>
        <v>Iceland</v>
      </c>
      <c r="D1113" s="243" t="str">
        <f>VLOOKUP(Table8[[#This Row],[Document ID]],Table1[],5,FALSE)</f>
        <v>LTS</v>
      </c>
      <c r="E1113" s="233" t="str">
        <f>VLOOKUP(Table8[[#This Row],[Document ID]],Table1[],7,FALSE)</f>
        <v>LTS</v>
      </c>
      <c r="F1113" s="233" t="str">
        <f>VLOOKUP(Table8[[#This Row],[Document ID]],Table1[],8,FALSE)</f>
        <v>LTS 1.0</v>
      </c>
      <c r="G1113" s="233" t="str">
        <f>VLOOKUP(Table8[[#This Row],[Document ID]],Table1[],10,FALSE)</f>
        <v>Active</v>
      </c>
      <c r="H1113" s="43" t="s">
        <v>2358</v>
      </c>
      <c r="I1113" s="43" t="s">
        <v>2359</v>
      </c>
      <c r="J1113" s="44" t="s">
        <v>2389</v>
      </c>
      <c r="K1113" s="44" t="s">
        <v>3390</v>
      </c>
      <c r="L1113" s="44" t="s">
        <v>2333</v>
      </c>
      <c r="M1113" s="43">
        <v>32</v>
      </c>
      <c r="N1113" s="113" t="s">
        <v>1113</v>
      </c>
      <c r="O1113" s="113"/>
      <c r="P1113" s="113"/>
      <c r="Q1113" s="113"/>
      <c r="R1113" s="113"/>
      <c r="S1113" s="113"/>
      <c r="T1113" s="113"/>
      <c r="U1113" s="113"/>
      <c r="V1113" s="113"/>
      <c r="W1113" s="113"/>
      <c r="X1113" s="113"/>
      <c r="Y1113" s="113"/>
      <c r="Z1113" s="113"/>
      <c r="AA1113" s="113"/>
      <c r="AB1113" s="113"/>
      <c r="AC1113" s="113"/>
      <c r="AD1113" s="113"/>
      <c r="AE1113" s="113"/>
      <c r="AF1113" s="113"/>
      <c r="AG1113" s="113"/>
      <c r="AH1113" s="113"/>
      <c r="AI1113" s="113"/>
      <c r="AJ1113" s="113"/>
      <c r="AK1113" s="113" t="s">
        <v>1113</v>
      </c>
      <c r="AL1113" s="113"/>
      <c r="AM1113" s="113"/>
      <c r="AN1113" s="113"/>
      <c r="AO1113" s="44" t="s">
        <v>2334</v>
      </c>
      <c r="AP1113" s="43"/>
      <c r="AQ1113" s="236" t="str">
        <f>VLOOKUP(Table8[[#This Row],[Instrument]],Def_Targets!$D$73:$E$159,2,FALSE)</f>
        <v>I_Emobilitypurchase</v>
      </c>
      <c r="AR1113" s="233" t="str">
        <f>VLOOKUP(Table8[[#This Row],[Country Code]],Table29[],3,FALSE)</f>
        <v>Annex I</v>
      </c>
      <c r="AS1113" s="233" t="str">
        <f>VLOOKUP(Table8[[#This Row],[Country Code]],Table29[],4,FALSE)</f>
        <v>Europe</v>
      </c>
      <c r="AT1113" s="233" t="str">
        <f>VLOOKUP(Table8[[#This Row],[Country Code]],Table29[],5,FALSE)</f>
        <v>High-income</v>
      </c>
      <c r="AU1113" s="233" t="str">
        <f>VLOOKUP(Table8[[#This Row],[Country Code]],Table29[],6,FALSE)</f>
        <v>no</v>
      </c>
      <c r="AV1113" s="233" t="str">
        <f>VLOOKUP(Table8[[#This Row],[Country Code]],Table29[],7,FALSE)</f>
        <v>no</v>
      </c>
      <c r="AW1113" s="233" t="str">
        <f>VLOOKUP(Table8[[#This Row],[Country Code]],Table29[],8,FALSE)</f>
        <v>OECD</v>
      </c>
      <c r="AX1113" s="233" t="str">
        <f>VLOOKUP(Table8[[#This Row],[Country Code]],Table29[],9,FALSE)</f>
        <v>no</v>
      </c>
      <c r="AY1113" s="233" t="str">
        <f>VLOOKUP(Table8[[#This Row],[Country Code]],Table29[],10,FALSE)</f>
        <v>no</v>
      </c>
      <c r="AZ1113" s="235">
        <f>VLOOKUP(Table8[[#This Row],[Country Code]],Table29[],23,FALSE)</f>
        <v>4.171936013462</v>
      </c>
      <c r="BA1113" s="235">
        <f>VLOOKUP(Table8[[#This Row],[Country Code]],Table29[],24,FALSE)</f>
        <v>0.90770990400120422</v>
      </c>
      <c r="BB1113" s="320"/>
      <c r="BC1113" s="320"/>
    </row>
    <row r="1114" spans="1:55" hidden="1" x14ac:dyDescent="0.25">
      <c r="A1114" s="373">
        <v>26780</v>
      </c>
      <c r="B1114" s="233" t="str">
        <f>VLOOKUP(Table8[[#This Row],[Document ID]],Table1[],2,FALSE)</f>
        <v>ISL</v>
      </c>
      <c r="C1114" s="233" t="str">
        <f>VLOOKUP(Table8[[#This Row],[Document ID]],Table1[],3,FALSE)</f>
        <v>Iceland</v>
      </c>
      <c r="D1114" s="243" t="str">
        <f>VLOOKUP(Table8[[#This Row],[Document ID]],Table1[],5,FALSE)</f>
        <v>LTS</v>
      </c>
      <c r="E1114" s="233" t="str">
        <f>VLOOKUP(Table8[[#This Row],[Document ID]],Table1[],7,FALSE)</f>
        <v>LTS</v>
      </c>
      <c r="F1114" s="233" t="str">
        <f>VLOOKUP(Table8[[#This Row],[Document ID]],Table1[],8,FALSE)</f>
        <v>LTS 1.0</v>
      </c>
      <c r="G1114" s="233" t="str">
        <f>VLOOKUP(Table8[[#This Row],[Document ID]],Table1[],10,FALSE)</f>
        <v>Active</v>
      </c>
      <c r="H1114" s="43" t="s">
        <v>2358</v>
      </c>
      <c r="I1114" s="43" t="s">
        <v>2359</v>
      </c>
      <c r="J1114" s="44" t="s">
        <v>2383</v>
      </c>
      <c r="K1114" s="44" t="s">
        <v>3391</v>
      </c>
      <c r="L1114" s="44" t="s">
        <v>2333</v>
      </c>
      <c r="M1114" s="43">
        <v>32</v>
      </c>
      <c r="N1114" s="113" t="s">
        <v>1113</v>
      </c>
      <c r="O1114" s="113"/>
      <c r="P1114" s="113"/>
      <c r="Q1114" s="113"/>
      <c r="R1114" s="113"/>
      <c r="S1114" s="113"/>
      <c r="T1114" s="113"/>
      <c r="U1114" s="113"/>
      <c r="V1114" s="113"/>
      <c r="W1114" s="113"/>
      <c r="X1114" s="113"/>
      <c r="Y1114" s="113"/>
      <c r="Z1114" s="113"/>
      <c r="AA1114" s="113"/>
      <c r="AB1114" s="113"/>
      <c r="AC1114" s="113"/>
      <c r="AD1114" s="113"/>
      <c r="AE1114" s="113"/>
      <c r="AF1114" s="113"/>
      <c r="AG1114" s="113"/>
      <c r="AH1114" s="113"/>
      <c r="AI1114" s="113"/>
      <c r="AJ1114" s="113"/>
      <c r="AK1114" s="113" t="s">
        <v>1113</v>
      </c>
      <c r="AL1114" s="113"/>
      <c r="AM1114" s="113"/>
      <c r="AN1114" s="113"/>
      <c r="AO1114" s="44" t="s">
        <v>2334</v>
      </c>
      <c r="AP1114" s="43"/>
      <c r="AQ1114" s="236" t="str">
        <f>VLOOKUP(Table8[[#This Row],[Instrument]],Def_Targets!$D$73:$E$159,2,FALSE)</f>
        <v>I_Emobilitycharging</v>
      </c>
      <c r="AR1114" s="233" t="str">
        <f>VLOOKUP(Table8[[#This Row],[Country Code]],Table29[],3,FALSE)</f>
        <v>Annex I</v>
      </c>
      <c r="AS1114" s="233" t="str">
        <f>VLOOKUP(Table8[[#This Row],[Country Code]],Table29[],4,FALSE)</f>
        <v>Europe</v>
      </c>
      <c r="AT1114" s="233" t="str">
        <f>VLOOKUP(Table8[[#This Row],[Country Code]],Table29[],5,FALSE)</f>
        <v>High-income</v>
      </c>
      <c r="AU1114" s="233" t="str">
        <f>VLOOKUP(Table8[[#This Row],[Country Code]],Table29[],6,FALSE)</f>
        <v>no</v>
      </c>
      <c r="AV1114" s="233" t="str">
        <f>VLOOKUP(Table8[[#This Row],[Country Code]],Table29[],7,FALSE)</f>
        <v>no</v>
      </c>
      <c r="AW1114" s="233" t="str">
        <f>VLOOKUP(Table8[[#This Row],[Country Code]],Table29[],8,FALSE)</f>
        <v>OECD</v>
      </c>
      <c r="AX1114" s="233" t="str">
        <f>VLOOKUP(Table8[[#This Row],[Country Code]],Table29[],9,FALSE)</f>
        <v>no</v>
      </c>
      <c r="AY1114" s="233" t="str">
        <f>VLOOKUP(Table8[[#This Row],[Country Code]],Table29[],10,FALSE)</f>
        <v>no</v>
      </c>
      <c r="AZ1114" s="235">
        <f>VLOOKUP(Table8[[#This Row],[Country Code]],Table29[],23,FALSE)</f>
        <v>4.171936013462</v>
      </c>
      <c r="BA1114" s="235">
        <f>VLOOKUP(Table8[[#This Row],[Country Code]],Table29[],24,FALSE)</f>
        <v>0.90770990400120422</v>
      </c>
      <c r="BB1114" s="320"/>
      <c r="BC1114" s="320"/>
    </row>
    <row r="1115" spans="1:55" hidden="1" x14ac:dyDescent="0.25">
      <c r="A1115" s="373">
        <v>26780</v>
      </c>
      <c r="B1115" s="233" t="str">
        <f>VLOOKUP(Table8[[#This Row],[Document ID]],Table1[],2,FALSE)</f>
        <v>ISL</v>
      </c>
      <c r="C1115" s="233" t="str">
        <f>VLOOKUP(Table8[[#This Row],[Document ID]],Table1[],3,FALSE)</f>
        <v>Iceland</v>
      </c>
      <c r="D1115" s="243" t="str">
        <f>VLOOKUP(Table8[[#This Row],[Document ID]],Table1[],5,FALSE)</f>
        <v>LTS</v>
      </c>
      <c r="E1115" s="233" t="str">
        <f>VLOOKUP(Table8[[#This Row],[Document ID]],Table1[],7,FALSE)</f>
        <v>LTS</v>
      </c>
      <c r="F1115" s="233" t="str">
        <f>VLOOKUP(Table8[[#This Row],[Document ID]],Table1[],8,FALSE)</f>
        <v>LTS 1.0</v>
      </c>
      <c r="G1115" s="233" t="str">
        <f>VLOOKUP(Table8[[#This Row],[Document ID]],Table1[],10,FALSE)</f>
        <v>Active</v>
      </c>
      <c r="H1115" s="44" t="s">
        <v>2329</v>
      </c>
      <c r="I1115" s="44" t="s">
        <v>2330</v>
      </c>
      <c r="J1115" s="44" t="s">
        <v>2331</v>
      </c>
      <c r="K1115" s="44" t="s">
        <v>3392</v>
      </c>
      <c r="L1115" s="44" t="s">
        <v>2333</v>
      </c>
      <c r="M1115" s="43">
        <v>32</v>
      </c>
      <c r="N1115" s="113" t="s">
        <v>1113</v>
      </c>
      <c r="O1115" s="113"/>
      <c r="P1115" s="113"/>
      <c r="Q1115" s="113"/>
      <c r="R1115" s="113"/>
      <c r="S1115" s="113"/>
      <c r="T1115" s="113"/>
      <c r="U1115" s="113"/>
      <c r="V1115" s="113"/>
      <c r="W1115" s="113"/>
      <c r="X1115" s="113"/>
      <c r="Y1115" s="113"/>
      <c r="Z1115" s="113"/>
      <c r="AA1115" s="113"/>
      <c r="AB1115" s="113"/>
      <c r="AC1115" s="113"/>
      <c r="AD1115" s="113"/>
      <c r="AE1115" s="113"/>
      <c r="AF1115" s="113"/>
      <c r="AG1115" s="113"/>
      <c r="AH1115" s="113"/>
      <c r="AI1115" s="113"/>
      <c r="AJ1115" s="113"/>
      <c r="AK1115" s="113" t="s">
        <v>1113</v>
      </c>
      <c r="AL1115" s="113"/>
      <c r="AM1115" s="113"/>
      <c r="AN1115" s="113"/>
      <c r="AO1115" s="44" t="s">
        <v>2334</v>
      </c>
      <c r="AP1115" s="43"/>
      <c r="AQ1115" s="236" t="str">
        <f>VLOOKUP(Table8[[#This Row],[Instrument]],Def_Targets!$D$73:$E$159,2,FALSE)</f>
        <v>I_Altfuels</v>
      </c>
      <c r="AR1115" s="233" t="str">
        <f>VLOOKUP(Table8[[#This Row],[Country Code]],Table29[],3,FALSE)</f>
        <v>Annex I</v>
      </c>
      <c r="AS1115" s="233" t="str">
        <f>VLOOKUP(Table8[[#This Row],[Country Code]],Table29[],4,FALSE)</f>
        <v>Europe</v>
      </c>
      <c r="AT1115" s="233" t="str">
        <f>VLOOKUP(Table8[[#This Row],[Country Code]],Table29[],5,FALSE)</f>
        <v>High-income</v>
      </c>
      <c r="AU1115" s="233" t="str">
        <f>VLOOKUP(Table8[[#This Row],[Country Code]],Table29[],6,FALSE)</f>
        <v>no</v>
      </c>
      <c r="AV1115" s="233" t="str">
        <f>VLOOKUP(Table8[[#This Row],[Country Code]],Table29[],7,FALSE)</f>
        <v>no</v>
      </c>
      <c r="AW1115" s="233" t="str">
        <f>VLOOKUP(Table8[[#This Row],[Country Code]],Table29[],8,FALSE)</f>
        <v>OECD</v>
      </c>
      <c r="AX1115" s="233" t="str">
        <f>VLOOKUP(Table8[[#This Row],[Country Code]],Table29[],9,FALSE)</f>
        <v>no</v>
      </c>
      <c r="AY1115" s="233" t="str">
        <f>VLOOKUP(Table8[[#This Row],[Country Code]],Table29[],10,FALSE)</f>
        <v>no</v>
      </c>
      <c r="AZ1115" s="235">
        <f>VLOOKUP(Table8[[#This Row],[Country Code]],Table29[],23,FALSE)</f>
        <v>4.171936013462</v>
      </c>
      <c r="BA1115" s="235">
        <f>VLOOKUP(Table8[[#This Row],[Country Code]],Table29[],24,FALSE)</f>
        <v>0.90770990400120422</v>
      </c>
      <c r="BB1115" s="320"/>
      <c r="BC1115" s="320"/>
    </row>
    <row r="1116" spans="1:55" hidden="1" x14ac:dyDescent="0.25">
      <c r="A1116" s="373">
        <v>26780</v>
      </c>
      <c r="B1116" s="233" t="str">
        <f>VLOOKUP(Table8[[#This Row],[Document ID]],Table1[],2,FALSE)</f>
        <v>ISL</v>
      </c>
      <c r="C1116" s="233" t="str">
        <f>VLOOKUP(Table8[[#This Row],[Document ID]],Table1[],3,FALSE)</f>
        <v>Iceland</v>
      </c>
      <c r="D1116" s="243" t="str">
        <f>VLOOKUP(Table8[[#This Row],[Document ID]],Table1[],5,FALSE)</f>
        <v>LTS</v>
      </c>
      <c r="E1116" s="233" t="str">
        <f>VLOOKUP(Table8[[#This Row],[Document ID]],Table1[],7,FALSE)</f>
        <v>LTS</v>
      </c>
      <c r="F1116" s="233" t="str">
        <f>VLOOKUP(Table8[[#This Row],[Document ID]],Table1[],8,FALSE)</f>
        <v>LTS 1.0</v>
      </c>
      <c r="G1116" s="233" t="str">
        <f>VLOOKUP(Table8[[#This Row],[Document ID]],Table1[],10,FALSE)</f>
        <v>Active</v>
      </c>
      <c r="H1116" s="44" t="s">
        <v>2329</v>
      </c>
      <c r="I1116" s="44" t="s">
        <v>2330</v>
      </c>
      <c r="J1116" s="44" t="s">
        <v>2414</v>
      </c>
      <c r="K1116" s="44" t="s">
        <v>1656</v>
      </c>
      <c r="L1116" s="44" t="s">
        <v>2380</v>
      </c>
      <c r="M1116" s="43">
        <v>32</v>
      </c>
      <c r="N1116" s="113" t="s">
        <v>1113</v>
      </c>
      <c r="O1116" s="113"/>
      <c r="P1116" s="113"/>
      <c r="Q1116" s="113"/>
      <c r="R1116" s="113"/>
      <c r="S1116" s="113"/>
      <c r="T1116" s="113"/>
      <c r="U1116" s="113"/>
      <c r="V1116" s="113"/>
      <c r="W1116" s="113"/>
      <c r="X1116" s="113"/>
      <c r="Y1116" s="113"/>
      <c r="Z1116" s="113"/>
      <c r="AA1116" s="113"/>
      <c r="AB1116" s="113"/>
      <c r="AC1116" s="113"/>
      <c r="AD1116" s="113"/>
      <c r="AE1116" s="113"/>
      <c r="AF1116" s="113"/>
      <c r="AG1116" s="113"/>
      <c r="AH1116" s="113"/>
      <c r="AI1116" s="113"/>
      <c r="AJ1116" s="113"/>
      <c r="AK1116" s="113" t="s">
        <v>1113</v>
      </c>
      <c r="AL1116" s="113"/>
      <c r="AM1116" s="113"/>
      <c r="AN1116" s="113"/>
      <c r="AO1116" s="44" t="s">
        <v>2334</v>
      </c>
      <c r="AP1116" s="43"/>
      <c r="AQ1116" s="236" t="str">
        <f>VLOOKUP(Table8[[#This Row],[Instrument]],Def_Targets!$D$73:$E$159,2,FALSE)</f>
        <v>I_ICEdiesel</v>
      </c>
      <c r="AR1116" s="233" t="str">
        <f>VLOOKUP(Table8[[#This Row],[Country Code]],Table29[],3,FALSE)</f>
        <v>Annex I</v>
      </c>
      <c r="AS1116" s="233" t="str">
        <f>VLOOKUP(Table8[[#This Row],[Country Code]],Table29[],4,FALSE)</f>
        <v>Europe</v>
      </c>
      <c r="AT1116" s="233" t="str">
        <f>VLOOKUP(Table8[[#This Row],[Country Code]],Table29[],5,FALSE)</f>
        <v>High-income</v>
      </c>
      <c r="AU1116" s="233" t="str">
        <f>VLOOKUP(Table8[[#This Row],[Country Code]],Table29[],6,FALSE)</f>
        <v>no</v>
      </c>
      <c r="AV1116" s="233" t="str">
        <f>VLOOKUP(Table8[[#This Row],[Country Code]],Table29[],7,FALSE)</f>
        <v>no</v>
      </c>
      <c r="AW1116" s="233" t="str">
        <f>VLOOKUP(Table8[[#This Row],[Country Code]],Table29[],8,FALSE)</f>
        <v>OECD</v>
      </c>
      <c r="AX1116" s="233" t="str">
        <f>VLOOKUP(Table8[[#This Row],[Country Code]],Table29[],9,FALSE)</f>
        <v>no</v>
      </c>
      <c r="AY1116" s="233" t="str">
        <f>VLOOKUP(Table8[[#This Row],[Country Code]],Table29[],10,FALSE)</f>
        <v>no</v>
      </c>
      <c r="AZ1116" s="235">
        <f>VLOOKUP(Table8[[#This Row],[Country Code]],Table29[],23,FALSE)</f>
        <v>4.171936013462</v>
      </c>
      <c r="BA1116" s="235">
        <f>VLOOKUP(Table8[[#This Row],[Country Code]],Table29[],24,FALSE)</f>
        <v>0.90770990400120422</v>
      </c>
      <c r="BB1116" s="320"/>
      <c r="BC1116" s="320"/>
    </row>
    <row r="1117" spans="1:55" hidden="1" x14ac:dyDescent="0.25">
      <c r="A1117" s="373">
        <v>26780</v>
      </c>
      <c r="B1117" s="233" t="str">
        <f>VLOOKUP(Table8[[#This Row],[Document ID]],Table1[],2,FALSE)</f>
        <v>ISL</v>
      </c>
      <c r="C1117" s="233" t="str">
        <f>VLOOKUP(Table8[[#This Row],[Document ID]],Table1[],3,FALSE)</f>
        <v>Iceland</v>
      </c>
      <c r="D1117" s="243" t="str">
        <f>VLOOKUP(Table8[[#This Row],[Document ID]],Table1[],5,FALSE)</f>
        <v>LTS</v>
      </c>
      <c r="E1117" s="233" t="str">
        <f>VLOOKUP(Table8[[#This Row],[Document ID]],Table1[],7,FALSE)</f>
        <v>LTS</v>
      </c>
      <c r="F1117" s="233" t="str">
        <f>VLOOKUP(Table8[[#This Row],[Document ID]],Table1[],8,FALSE)</f>
        <v>LTS 1.0</v>
      </c>
      <c r="G1117" s="233" t="str">
        <f>VLOOKUP(Table8[[#This Row],[Document ID]],Table1[],10,FALSE)</f>
        <v>Active</v>
      </c>
      <c r="H1117" s="43" t="s">
        <v>2350</v>
      </c>
      <c r="I1117" s="43" t="s">
        <v>2351</v>
      </c>
      <c r="J1117" s="44" t="s">
        <v>2447</v>
      </c>
      <c r="K1117" s="44" t="s">
        <v>3393</v>
      </c>
      <c r="L1117" s="44" t="s">
        <v>2333</v>
      </c>
      <c r="M1117" s="43">
        <v>32</v>
      </c>
      <c r="N1117" s="113" t="s">
        <v>1113</v>
      </c>
      <c r="O1117" s="113"/>
      <c r="P1117" s="113"/>
      <c r="Q1117" s="113"/>
      <c r="R1117" s="113"/>
      <c r="S1117" s="113"/>
      <c r="T1117" s="113"/>
      <c r="U1117" s="113"/>
      <c r="V1117" s="113"/>
      <c r="W1117" s="113"/>
      <c r="X1117" s="113" t="s">
        <v>1113</v>
      </c>
      <c r="Y1117" s="113"/>
      <c r="Z1117" s="113"/>
      <c r="AA1117" s="113"/>
      <c r="AB1117" s="113"/>
      <c r="AC1117" s="113"/>
      <c r="AD1117" s="113"/>
      <c r="AE1117" s="113"/>
      <c r="AF1117" s="113"/>
      <c r="AG1117" s="113"/>
      <c r="AH1117" s="113"/>
      <c r="AI1117" s="113"/>
      <c r="AJ1117" s="113"/>
      <c r="AK1117" s="113" t="s">
        <v>1113</v>
      </c>
      <c r="AL1117" s="113"/>
      <c r="AM1117" s="113"/>
      <c r="AN1117" s="113"/>
      <c r="AO1117" s="43" t="s">
        <v>2353</v>
      </c>
      <c r="AP1117" s="43"/>
      <c r="AQ1117" s="236" t="str">
        <f>VLOOKUP(Table8[[#This Row],[Instrument]],Def_Targets!$D$73:$E$159,2,FALSE)</f>
        <v>I_Freighteff</v>
      </c>
      <c r="AR1117" s="233" t="str">
        <f>VLOOKUP(Table8[[#This Row],[Country Code]],Table29[],3,FALSE)</f>
        <v>Annex I</v>
      </c>
      <c r="AS1117" s="233" t="str">
        <f>VLOOKUP(Table8[[#This Row],[Country Code]],Table29[],4,FALSE)</f>
        <v>Europe</v>
      </c>
      <c r="AT1117" s="233" t="str">
        <f>VLOOKUP(Table8[[#This Row],[Country Code]],Table29[],5,FALSE)</f>
        <v>High-income</v>
      </c>
      <c r="AU1117" s="233" t="str">
        <f>VLOOKUP(Table8[[#This Row],[Country Code]],Table29[],6,FALSE)</f>
        <v>no</v>
      </c>
      <c r="AV1117" s="233" t="str">
        <f>VLOOKUP(Table8[[#This Row],[Country Code]],Table29[],7,FALSE)</f>
        <v>no</v>
      </c>
      <c r="AW1117" s="233" t="str">
        <f>VLOOKUP(Table8[[#This Row],[Country Code]],Table29[],8,FALSE)</f>
        <v>OECD</v>
      </c>
      <c r="AX1117" s="233" t="str">
        <f>VLOOKUP(Table8[[#This Row],[Country Code]],Table29[],9,FALSE)</f>
        <v>no</v>
      </c>
      <c r="AY1117" s="233" t="str">
        <f>VLOOKUP(Table8[[#This Row],[Country Code]],Table29[],10,FALSE)</f>
        <v>no</v>
      </c>
      <c r="AZ1117" s="235">
        <f>VLOOKUP(Table8[[#This Row],[Country Code]],Table29[],23,FALSE)</f>
        <v>4.171936013462</v>
      </c>
      <c r="BA1117" s="235">
        <f>VLOOKUP(Table8[[#This Row],[Country Code]],Table29[],24,FALSE)</f>
        <v>0.90770990400120422</v>
      </c>
      <c r="BB1117" s="320"/>
      <c r="BC1117" s="320"/>
    </row>
    <row r="1118" spans="1:55" hidden="1" x14ac:dyDescent="0.25">
      <c r="A1118" s="373">
        <v>26780</v>
      </c>
      <c r="B1118" s="233" t="str">
        <f>VLOOKUP(Table8[[#This Row],[Document ID]],Table1[],2,FALSE)</f>
        <v>ISL</v>
      </c>
      <c r="C1118" s="233" t="str">
        <f>VLOOKUP(Table8[[#This Row],[Document ID]],Table1[],3,FALSE)</f>
        <v>Iceland</v>
      </c>
      <c r="D1118" s="243" t="str">
        <f>VLOOKUP(Table8[[#This Row],[Document ID]],Table1[],5,FALSE)</f>
        <v>LTS</v>
      </c>
      <c r="E1118" s="233" t="str">
        <f>VLOOKUP(Table8[[#This Row],[Document ID]],Table1[],7,FALSE)</f>
        <v>LTS</v>
      </c>
      <c r="F1118" s="233" t="str">
        <f>VLOOKUP(Table8[[#This Row],[Document ID]],Table1[],8,FALSE)</f>
        <v>LTS 1.0</v>
      </c>
      <c r="G1118" s="233" t="str">
        <f>VLOOKUP(Table8[[#This Row],[Document ID]],Table1[],10,FALSE)</f>
        <v>Active</v>
      </c>
      <c r="H1118" s="44" t="s">
        <v>2338</v>
      </c>
      <c r="I1118" s="44" t="s">
        <v>2339</v>
      </c>
      <c r="J1118" s="44" t="s">
        <v>2340</v>
      </c>
      <c r="K1118" s="44" t="s">
        <v>3394</v>
      </c>
      <c r="L1118" s="44" t="s">
        <v>2333</v>
      </c>
      <c r="M1118" s="43">
        <v>32</v>
      </c>
      <c r="N1118" s="113"/>
      <c r="O1118" s="113"/>
      <c r="P1118" s="113"/>
      <c r="Q1118" s="113"/>
      <c r="R1118" s="113"/>
      <c r="S1118" s="113"/>
      <c r="T1118" s="113"/>
      <c r="U1118" s="113" t="s">
        <v>1113</v>
      </c>
      <c r="V1118" s="113"/>
      <c r="W1118" s="113"/>
      <c r="X1118" s="113"/>
      <c r="Y1118" s="113"/>
      <c r="Z1118" s="113"/>
      <c r="AA1118" s="113"/>
      <c r="AB1118" s="113"/>
      <c r="AC1118" s="113"/>
      <c r="AD1118" s="113"/>
      <c r="AE1118" s="113"/>
      <c r="AF1118" s="113"/>
      <c r="AG1118" s="113"/>
      <c r="AH1118" s="113"/>
      <c r="AI1118" s="113"/>
      <c r="AJ1118" s="113"/>
      <c r="AK1118" s="113" t="s">
        <v>1113</v>
      </c>
      <c r="AL1118" s="113"/>
      <c r="AM1118" s="113"/>
      <c r="AN1118" s="113"/>
      <c r="AO1118" s="44" t="s">
        <v>2334</v>
      </c>
      <c r="AP1118" s="43"/>
      <c r="AQ1118" s="236" t="str">
        <f>VLOOKUP(Table8[[#This Row],[Instrument]],Def_Targets!$D$73:$E$159,2,FALSE)</f>
        <v>I_Vehicleimprove</v>
      </c>
      <c r="AR1118" s="233" t="str">
        <f>VLOOKUP(Table8[[#This Row],[Country Code]],Table29[],3,FALSE)</f>
        <v>Annex I</v>
      </c>
      <c r="AS1118" s="233" t="str">
        <f>VLOOKUP(Table8[[#This Row],[Country Code]],Table29[],4,FALSE)</f>
        <v>Europe</v>
      </c>
      <c r="AT1118" s="233" t="str">
        <f>VLOOKUP(Table8[[#This Row],[Country Code]],Table29[],5,FALSE)</f>
        <v>High-income</v>
      </c>
      <c r="AU1118" s="233" t="str">
        <f>VLOOKUP(Table8[[#This Row],[Country Code]],Table29[],6,FALSE)</f>
        <v>no</v>
      </c>
      <c r="AV1118" s="233" t="str">
        <f>VLOOKUP(Table8[[#This Row],[Country Code]],Table29[],7,FALSE)</f>
        <v>no</v>
      </c>
      <c r="AW1118" s="233" t="str">
        <f>VLOOKUP(Table8[[#This Row],[Country Code]],Table29[],8,FALSE)</f>
        <v>OECD</v>
      </c>
      <c r="AX1118" s="233" t="str">
        <f>VLOOKUP(Table8[[#This Row],[Country Code]],Table29[],9,FALSE)</f>
        <v>no</v>
      </c>
      <c r="AY1118" s="233" t="str">
        <f>VLOOKUP(Table8[[#This Row],[Country Code]],Table29[],10,FALSE)</f>
        <v>no</v>
      </c>
      <c r="AZ1118" s="235">
        <f>VLOOKUP(Table8[[#This Row],[Country Code]],Table29[],23,FALSE)</f>
        <v>4.171936013462</v>
      </c>
      <c r="BA1118" s="235">
        <f>VLOOKUP(Table8[[#This Row],[Country Code]],Table29[],24,FALSE)</f>
        <v>0.90770990400120422</v>
      </c>
      <c r="BB1118" s="320"/>
      <c r="BC1118" s="320"/>
    </row>
    <row r="1119" spans="1:55" hidden="1" x14ac:dyDescent="0.25">
      <c r="A1119" s="373">
        <v>26780</v>
      </c>
      <c r="B1119" s="233" t="str">
        <f>VLOOKUP(Table8[[#This Row],[Document ID]],Table1[],2,FALSE)</f>
        <v>ISL</v>
      </c>
      <c r="C1119" s="233" t="str">
        <f>VLOOKUP(Table8[[#This Row],[Document ID]],Table1[],3,FALSE)</f>
        <v>Iceland</v>
      </c>
      <c r="D1119" s="243" t="str">
        <f>VLOOKUP(Table8[[#This Row],[Document ID]],Table1[],5,FALSE)</f>
        <v>LTS</v>
      </c>
      <c r="E1119" s="233" t="str">
        <f>VLOOKUP(Table8[[#This Row],[Document ID]],Table1[],7,FALSE)</f>
        <v>LTS</v>
      </c>
      <c r="F1119" s="233" t="str">
        <f>VLOOKUP(Table8[[#This Row],[Document ID]],Table1[],8,FALSE)</f>
        <v>LTS 1.0</v>
      </c>
      <c r="G1119" s="233" t="str">
        <f>VLOOKUP(Table8[[#This Row],[Document ID]],Table1[],10,FALSE)</f>
        <v>Active</v>
      </c>
      <c r="H1119" s="44" t="s">
        <v>2338</v>
      </c>
      <c r="I1119" s="44" t="s">
        <v>2339</v>
      </c>
      <c r="J1119" s="44" t="s">
        <v>2340</v>
      </c>
      <c r="K1119" s="44" t="s">
        <v>3395</v>
      </c>
      <c r="L1119" s="44" t="s">
        <v>2333</v>
      </c>
      <c r="M1119" s="43">
        <v>32</v>
      </c>
      <c r="N1119" s="113" t="s">
        <v>1113</v>
      </c>
      <c r="O1119" s="113"/>
      <c r="P1119" s="113"/>
      <c r="Q1119" s="113"/>
      <c r="R1119" s="113"/>
      <c r="S1119" s="113"/>
      <c r="T1119" s="113"/>
      <c r="U1119" s="113"/>
      <c r="V1119" s="113"/>
      <c r="W1119" s="113"/>
      <c r="X1119" s="113"/>
      <c r="Y1119" s="113"/>
      <c r="Z1119" s="113"/>
      <c r="AA1119" s="113"/>
      <c r="AB1119" s="113"/>
      <c r="AC1119" s="113"/>
      <c r="AD1119" s="113"/>
      <c r="AE1119" s="113"/>
      <c r="AF1119" s="113"/>
      <c r="AG1119" s="113"/>
      <c r="AH1119" s="113"/>
      <c r="AI1119" s="113"/>
      <c r="AJ1119" s="113"/>
      <c r="AK1119" s="113" t="s">
        <v>1113</v>
      </c>
      <c r="AL1119" s="113"/>
      <c r="AM1119" s="113"/>
      <c r="AN1119" s="113"/>
      <c r="AO1119" s="44" t="s">
        <v>2334</v>
      </c>
      <c r="AP1119" s="43"/>
      <c r="AQ1119" s="236" t="str">
        <f>VLOOKUP(Table8[[#This Row],[Instrument]],Def_Targets!$D$73:$E$159,2,FALSE)</f>
        <v>I_Vehicleimprove</v>
      </c>
      <c r="AR1119" s="233" t="str">
        <f>VLOOKUP(Table8[[#This Row],[Country Code]],Table29[],3,FALSE)</f>
        <v>Annex I</v>
      </c>
      <c r="AS1119" s="233" t="str">
        <f>VLOOKUP(Table8[[#This Row],[Country Code]],Table29[],4,FALSE)</f>
        <v>Europe</v>
      </c>
      <c r="AT1119" s="233" t="str">
        <f>VLOOKUP(Table8[[#This Row],[Country Code]],Table29[],5,FALSE)</f>
        <v>High-income</v>
      </c>
      <c r="AU1119" s="233" t="str">
        <f>VLOOKUP(Table8[[#This Row],[Country Code]],Table29[],6,FALSE)</f>
        <v>no</v>
      </c>
      <c r="AV1119" s="233" t="str">
        <f>VLOOKUP(Table8[[#This Row],[Country Code]],Table29[],7,FALSE)</f>
        <v>no</v>
      </c>
      <c r="AW1119" s="233" t="str">
        <f>VLOOKUP(Table8[[#This Row],[Country Code]],Table29[],8,FALSE)</f>
        <v>OECD</v>
      </c>
      <c r="AX1119" s="233" t="str">
        <f>VLOOKUP(Table8[[#This Row],[Country Code]],Table29[],9,FALSE)</f>
        <v>no</v>
      </c>
      <c r="AY1119" s="233" t="str">
        <f>VLOOKUP(Table8[[#This Row],[Country Code]],Table29[],10,FALSE)</f>
        <v>no</v>
      </c>
      <c r="AZ1119" s="235">
        <f>VLOOKUP(Table8[[#This Row],[Country Code]],Table29[],23,FALSE)</f>
        <v>4.171936013462</v>
      </c>
      <c r="BA1119" s="235">
        <f>VLOOKUP(Table8[[#This Row],[Country Code]],Table29[],24,FALSE)</f>
        <v>0.90770990400120422</v>
      </c>
      <c r="BB1119" s="320"/>
      <c r="BC1119" s="320"/>
    </row>
    <row r="1120" spans="1:55" ht="30" hidden="1" x14ac:dyDescent="0.25">
      <c r="A1120" s="373">
        <v>26780</v>
      </c>
      <c r="B1120" s="233" t="str">
        <f>VLOOKUP(Table8[[#This Row],[Document ID]],Table1[],2,FALSE)</f>
        <v>ISL</v>
      </c>
      <c r="C1120" s="233" t="str">
        <f>VLOOKUP(Table8[[#This Row],[Document ID]],Table1[],3,FALSE)</f>
        <v>Iceland</v>
      </c>
      <c r="D1120" s="243" t="str">
        <f>VLOOKUP(Table8[[#This Row],[Document ID]],Table1[],5,FALSE)</f>
        <v>LTS</v>
      </c>
      <c r="E1120" s="233" t="str">
        <f>VLOOKUP(Table8[[#This Row],[Document ID]],Table1[],7,FALSE)</f>
        <v>LTS</v>
      </c>
      <c r="F1120" s="233" t="str">
        <f>VLOOKUP(Table8[[#This Row],[Document ID]],Table1[],8,FALSE)</f>
        <v>LTS 1.0</v>
      </c>
      <c r="G1120" s="233" t="str">
        <f>VLOOKUP(Table8[[#This Row],[Document ID]],Table1[],10,FALSE)</f>
        <v>Active</v>
      </c>
      <c r="H1120" s="43" t="s">
        <v>2484</v>
      </c>
      <c r="I1120" s="43" t="s">
        <v>2485</v>
      </c>
      <c r="J1120" s="44" t="s">
        <v>2775</v>
      </c>
      <c r="K1120" s="44" t="s">
        <v>3396</v>
      </c>
      <c r="L1120" s="44" t="s">
        <v>2333</v>
      </c>
      <c r="M1120" s="43">
        <v>32</v>
      </c>
      <c r="N1120" s="113"/>
      <c r="O1120" s="113"/>
      <c r="P1120" s="113"/>
      <c r="Q1120" s="113"/>
      <c r="R1120" s="113"/>
      <c r="S1120" s="113"/>
      <c r="T1120" s="113"/>
      <c r="U1120" s="113"/>
      <c r="V1120" s="113"/>
      <c r="W1120" s="113"/>
      <c r="X1120" s="113"/>
      <c r="Y1120" s="113"/>
      <c r="Z1120" s="113"/>
      <c r="AA1120" s="113"/>
      <c r="AB1120" s="113"/>
      <c r="AC1120" s="113"/>
      <c r="AD1120" s="113" t="s">
        <v>1113</v>
      </c>
      <c r="AE1120" s="113"/>
      <c r="AF1120" s="113"/>
      <c r="AG1120" s="113"/>
      <c r="AH1120" s="113"/>
      <c r="AI1120" s="113"/>
      <c r="AJ1120" s="113"/>
      <c r="AK1120" s="113" t="s">
        <v>1113</v>
      </c>
      <c r="AL1120" s="113"/>
      <c r="AM1120" s="113"/>
      <c r="AN1120" s="113"/>
      <c r="AO1120" s="44" t="s">
        <v>2334</v>
      </c>
      <c r="AP1120" s="43"/>
      <c r="AQ1120" s="236" t="str">
        <f>VLOOKUP(Table8[[#This Row],[Instrument]],Def_Targets!$D$73:$E$159,2,FALSE)</f>
        <v>I_Onshorepower</v>
      </c>
      <c r="AR1120" s="233" t="str">
        <f>VLOOKUP(Table8[[#This Row],[Country Code]],Table29[],3,FALSE)</f>
        <v>Annex I</v>
      </c>
      <c r="AS1120" s="233" t="str">
        <f>VLOOKUP(Table8[[#This Row],[Country Code]],Table29[],4,FALSE)</f>
        <v>Europe</v>
      </c>
      <c r="AT1120" s="233" t="str">
        <f>VLOOKUP(Table8[[#This Row],[Country Code]],Table29[],5,FALSE)</f>
        <v>High-income</v>
      </c>
      <c r="AU1120" s="233" t="str">
        <f>VLOOKUP(Table8[[#This Row],[Country Code]],Table29[],6,FALSE)</f>
        <v>no</v>
      </c>
      <c r="AV1120" s="233" t="str">
        <f>VLOOKUP(Table8[[#This Row],[Country Code]],Table29[],7,FALSE)</f>
        <v>no</v>
      </c>
      <c r="AW1120" s="233" t="str">
        <f>VLOOKUP(Table8[[#This Row],[Country Code]],Table29[],8,FALSE)</f>
        <v>OECD</v>
      </c>
      <c r="AX1120" s="233" t="str">
        <f>VLOOKUP(Table8[[#This Row],[Country Code]],Table29[],9,FALSE)</f>
        <v>no</v>
      </c>
      <c r="AY1120" s="233" t="str">
        <f>VLOOKUP(Table8[[#This Row],[Country Code]],Table29[],10,FALSE)</f>
        <v>no</v>
      </c>
      <c r="AZ1120" s="235">
        <f>VLOOKUP(Table8[[#This Row],[Country Code]],Table29[],23,FALSE)</f>
        <v>4.171936013462</v>
      </c>
      <c r="BA1120" s="235">
        <f>VLOOKUP(Table8[[#This Row],[Country Code]],Table29[],24,FALSE)</f>
        <v>0.90770990400120422</v>
      </c>
      <c r="BB1120" s="320"/>
      <c r="BC1120" s="320"/>
    </row>
    <row r="1121" spans="1:55" hidden="1" x14ac:dyDescent="0.25">
      <c r="A1121" s="373">
        <v>26780</v>
      </c>
      <c r="B1121" s="233" t="str">
        <f>VLOOKUP(Table8[[#This Row],[Document ID]],Table1[],2,FALSE)</f>
        <v>ISL</v>
      </c>
      <c r="C1121" s="233" t="str">
        <f>VLOOKUP(Table8[[#This Row],[Document ID]],Table1[],3,FALSE)</f>
        <v>Iceland</v>
      </c>
      <c r="D1121" s="243" t="str">
        <f>VLOOKUP(Table8[[#This Row],[Document ID]],Table1[],5,FALSE)</f>
        <v>LTS</v>
      </c>
      <c r="E1121" s="233" t="str">
        <f>VLOOKUP(Table8[[#This Row],[Document ID]],Table1[],7,FALSE)</f>
        <v>LTS</v>
      </c>
      <c r="F1121" s="233" t="str">
        <f>VLOOKUP(Table8[[#This Row],[Document ID]],Table1[],8,FALSE)</f>
        <v>LTS 1.0</v>
      </c>
      <c r="G1121" s="233" t="str">
        <f>VLOOKUP(Table8[[#This Row],[Document ID]],Table1[],10,FALSE)</f>
        <v>Active</v>
      </c>
      <c r="H1121" s="43" t="s">
        <v>2484</v>
      </c>
      <c r="I1121" s="43" t="s">
        <v>2485</v>
      </c>
      <c r="J1121" s="44" t="s">
        <v>2669</v>
      </c>
      <c r="K1121" s="44" t="s">
        <v>3397</v>
      </c>
      <c r="L1121" s="44" t="s">
        <v>2333</v>
      </c>
      <c r="M1121" s="43">
        <v>32</v>
      </c>
      <c r="N1121" s="113"/>
      <c r="O1121" s="113"/>
      <c r="P1121" s="113"/>
      <c r="Q1121" s="113"/>
      <c r="R1121" s="113"/>
      <c r="S1121" s="113"/>
      <c r="T1121" s="113"/>
      <c r="U1121" s="113"/>
      <c r="V1121" s="113"/>
      <c r="W1121" s="113"/>
      <c r="X1121" s="113"/>
      <c r="Y1121" s="113"/>
      <c r="Z1121" s="113"/>
      <c r="AA1121" s="113"/>
      <c r="AB1121" s="113"/>
      <c r="AC1121" s="113"/>
      <c r="AD1121" s="113" t="s">
        <v>1113</v>
      </c>
      <c r="AE1121" s="113"/>
      <c r="AF1121" s="113"/>
      <c r="AG1121" s="113"/>
      <c r="AH1121" s="113"/>
      <c r="AI1121" s="113"/>
      <c r="AJ1121" s="113"/>
      <c r="AK1121" s="113" t="s">
        <v>1113</v>
      </c>
      <c r="AL1121" s="113"/>
      <c r="AM1121" s="113"/>
      <c r="AN1121" s="113"/>
      <c r="AO1121" s="44" t="s">
        <v>2334</v>
      </c>
      <c r="AP1121" s="43"/>
      <c r="AQ1121" s="236" t="str">
        <f>VLOOKUP(Table8[[#This Row],[Instrument]],Def_Targets!$D$73:$E$159,2,FALSE)</f>
        <v>I_Shipefficiency</v>
      </c>
      <c r="AR1121" s="233" t="str">
        <f>VLOOKUP(Table8[[#This Row],[Country Code]],Table29[],3,FALSE)</f>
        <v>Annex I</v>
      </c>
      <c r="AS1121" s="233" t="str">
        <f>VLOOKUP(Table8[[#This Row],[Country Code]],Table29[],4,FALSE)</f>
        <v>Europe</v>
      </c>
      <c r="AT1121" s="233" t="str">
        <f>VLOOKUP(Table8[[#This Row],[Country Code]],Table29[],5,FALSE)</f>
        <v>High-income</v>
      </c>
      <c r="AU1121" s="233" t="str">
        <f>VLOOKUP(Table8[[#This Row],[Country Code]],Table29[],6,FALSE)</f>
        <v>no</v>
      </c>
      <c r="AV1121" s="233" t="str">
        <f>VLOOKUP(Table8[[#This Row],[Country Code]],Table29[],7,FALSE)</f>
        <v>no</v>
      </c>
      <c r="AW1121" s="233" t="str">
        <f>VLOOKUP(Table8[[#This Row],[Country Code]],Table29[],8,FALSE)</f>
        <v>OECD</v>
      </c>
      <c r="AX1121" s="233" t="str">
        <f>VLOOKUP(Table8[[#This Row],[Country Code]],Table29[],9,FALSE)</f>
        <v>no</v>
      </c>
      <c r="AY1121" s="233" t="str">
        <f>VLOOKUP(Table8[[#This Row],[Country Code]],Table29[],10,FALSE)</f>
        <v>no</v>
      </c>
      <c r="AZ1121" s="235">
        <f>VLOOKUP(Table8[[#This Row],[Country Code]],Table29[],23,FALSE)</f>
        <v>4.171936013462</v>
      </c>
      <c r="BA1121" s="235">
        <f>VLOOKUP(Table8[[#This Row],[Country Code]],Table29[],24,FALSE)</f>
        <v>0.90770990400120422</v>
      </c>
      <c r="BB1121" s="320"/>
      <c r="BC1121" s="320"/>
    </row>
    <row r="1122" spans="1:55" hidden="1" x14ac:dyDescent="0.25">
      <c r="A1122" s="373">
        <v>26780</v>
      </c>
      <c r="B1122" s="233" t="str">
        <f>VLOOKUP(Table8[[#This Row],[Document ID]],Table1[],2,FALSE)</f>
        <v>ISL</v>
      </c>
      <c r="C1122" s="233" t="str">
        <f>VLOOKUP(Table8[[#This Row],[Document ID]],Table1[],3,FALSE)</f>
        <v>Iceland</v>
      </c>
      <c r="D1122" s="243" t="str">
        <f>VLOOKUP(Table8[[#This Row],[Document ID]],Table1[],5,FALSE)</f>
        <v>LTS</v>
      </c>
      <c r="E1122" s="233" t="str">
        <f>VLOOKUP(Table8[[#This Row],[Document ID]],Table1[],7,FALSE)</f>
        <v>LTS</v>
      </c>
      <c r="F1122" s="233" t="str">
        <f>VLOOKUP(Table8[[#This Row],[Document ID]],Table1[],8,FALSE)</f>
        <v>LTS 1.0</v>
      </c>
      <c r="G1122" s="233" t="str">
        <f>VLOOKUP(Table8[[#This Row],[Document ID]],Table1[],10,FALSE)</f>
        <v>Active</v>
      </c>
      <c r="H1122" s="43" t="s">
        <v>2484</v>
      </c>
      <c r="I1122" s="43" t="s">
        <v>2485</v>
      </c>
      <c r="J1122" s="44" t="s">
        <v>2486</v>
      </c>
      <c r="K1122" s="44" t="s">
        <v>3398</v>
      </c>
      <c r="L1122" s="44" t="s">
        <v>2333</v>
      </c>
      <c r="M1122" s="43">
        <v>32</v>
      </c>
      <c r="N1122" s="113"/>
      <c r="O1122" s="113"/>
      <c r="P1122" s="113"/>
      <c r="Q1122" s="113"/>
      <c r="R1122" s="113"/>
      <c r="S1122" s="113"/>
      <c r="T1122" s="113"/>
      <c r="U1122" s="113"/>
      <c r="V1122" s="113"/>
      <c r="W1122" s="113"/>
      <c r="X1122" s="113"/>
      <c r="Y1122" s="113"/>
      <c r="Z1122" s="113"/>
      <c r="AA1122" s="113"/>
      <c r="AB1122" s="113"/>
      <c r="AC1122" s="113"/>
      <c r="AD1122" s="113" t="s">
        <v>1113</v>
      </c>
      <c r="AE1122" s="113"/>
      <c r="AF1122" s="113"/>
      <c r="AG1122" s="113"/>
      <c r="AH1122" s="113"/>
      <c r="AI1122" s="113"/>
      <c r="AJ1122" s="113"/>
      <c r="AK1122" s="113" t="s">
        <v>1113</v>
      </c>
      <c r="AL1122" s="113"/>
      <c r="AM1122" s="113"/>
      <c r="AN1122" s="113"/>
      <c r="AO1122" s="44" t="s">
        <v>2334</v>
      </c>
      <c r="AP1122" s="43"/>
      <c r="AQ1122" s="236" t="str">
        <f>VLOOKUP(Table8[[#This Row],[Instrument]],Def_Targets!$D$73:$E$159,2,FALSE)</f>
        <v>I_Shipping</v>
      </c>
      <c r="AR1122" s="233" t="str">
        <f>VLOOKUP(Table8[[#This Row],[Country Code]],Table29[],3,FALSE)</f>
        <v>Annex I</v>
      </c>
      <c r="AS1122" s="233" t="str">
        <f>VLOOKUP(Table8[[#This Row],[Country Code]],Table29[],4,FALSE)</f>
        <v>Europe</v>
      </c>
      <c r="AT1122" s="233" t="str">
        <f>VLOOKUP(Table8[[#This Row],[Country Code]],Table29[],5,FALSE)</f>
        <v>High-income</v>
      </c>
      <c r="AU1122" s="233" t="str">
        <f>VLOOKUP(Table8[[#This Row],[Country Code]],Table29[],6,FALSE)</f>
        <v>no</v>
      </c>
      <c r="AV1122" s="233" t="str">
        <f>VLOOKUP(Table8[[#This Row],[Country Code]],Table29[],7,FALSE)</f>
        <v>no</v>
      </c>
      <c r="AW1122" s="233" t="str">
        <f>VLOOKUP(Table8[[#This Row],[Country Code]],Table29[],8,FALSE)</f>
        <v>OECD</v>
      </c>
      <c r="AX1122" s="233" t="str">
        <f>VLOOKUP(Table8[[#This Row],[Country Code]],Table29[],9,FALSE)</f>
        <v>no</v>
      </c>
      <c r="AY1122" s="233" t="str">
        <f>VLOOKUP(Table8[[#This Row],[Country Code]],Table29[],10,FALSE)</f>
        <v>no</v>
      </c>
      <c r="AZ1122" s="235">
        <f>VLOOKUP(Table8[[#This Row],[Country Code]],Table29[],23,FALSE)</f>
        <v>4.171936013462</v>
      </c>
      <c r="BA1122" s="235">
        <f>VLOOKUP(Table8[[#This Row],[Country Code]],Table29[],24,FALSE)</f>
        <v>0.90770990400120422</v>
      </c>
      <c r="BB1122" s="320"/>
      <c r="BC1122" s="320"/>
    </row>
    <row r="1123" spans="1:55" hidden="1" x14ac:dyDescent="0.25">
      <c r="A1123" s="373">
        <v>26780</v>
      </c>
      <c r="B1123" s="233" t="str">
        <f>VLOOKUP(Table8[[#This Row],[Document ID]],Table1[],2,FALSE)</f>
        <v>ISL</v>
      </c>
      <c r="C1123" s="233" t="str">
        <f>VLOOKUP(Table8[[#This Row],[Document ID]],Table1[],3,FALSE)</f>
        <v>Iceland</v>
      </c>
      <c r="D1123" s="243" t="str">
        <f>VLOOKUP(Table8[[#This Row],[Document ID]],Table1[],5,FALSE)</f>
        <v>LTS</v>
      </c>
      <c r="E1123" s="233" t="str">
        <f>VLOOKUP(Table8[[#This Row],[Document ID]],Table1[],7,FALSE)</f>
        <v>LTS</v>
      </c>
      <c r="F1123" s="233" t="str">
        <f>VLOOKUP(Table8[[#This Row],[Document ID]],Table1[],8,FALSE)</f>
        <v>LTS 1.0</v>
      </c>
      <c r="G1123" s="233" t="str">
        <f>VLOOKUP(Table8[[#This Row],[Document ID]],Table1[],10,FALSE)</f>
        <v>Active</v>
      </c>
      <c r="H1123" s="43" t="s">
        <v>2343</v>
      </c>
      <c r="I1123" s="43" t="s">
        <v>2386</v>
      </c>
      <c r="J1123" s="44" t="s">
        <v>3055</v>
      </c>
      <c r="K1123" s="44" t="s">
        <v>3399</v>
      </c>
      <c r="L1123" s="44" t="s">
        <v>2333</v>
      </c>
      <c r="M1123" s="43">
        <v>32</v>
      </c>
      <c r="N1123" s="113"/>
      <c r="O1123" s="113"/>
      <c r="P1123" s="113"/>
      <c r="Q1123" s="113"/>
      <c r="R1123" s="113"/>
      <c r="S1123" s="113"/>
      <c r="T1123" s="113"/>
      <c r="U1123" s="113"/>
      <c r="V1123" s="113"/>
      <c r="W1123" s="113"/>
      <c r="X1123" s="113"/>
      <c r="Y1123" s="113"/>
      <c r="Z1123" s="113"/>
      <c r="AA1123" s="113"/>
      <c r="AB1123" s="113"/>
      <c r="AC1123" s="113"/>
      <c r="AD1123" s="113"/>
      <c r="AE1123" s="113"/>
      <c r="AF1123" s="113"/>
      <c r="AG1123" s="113"/>
      <c r="AH1123" s="113" t="s">
        <v>1113</v>
      </c>
      <c r="AI1123" s="113"/>
      <c r="AJ1123" s="113"/>
      <c r="AK1123" s="113" t="s">
        <v>1113</v>
      </c>
      <c r="AL1123" s="113"/>
      <c r="AM1123" s="113"/>
      <c r="AN1123" s="113"/>
      <c r="AO1123" s="44" t="s">
        <v>2334</v>
      </c>
      <c r="AP1123" s="43"/>
      <c r="AQ1123" s="236" t="str">
        <f>VLOOKUP(Table8[[#This Row],[Instrument]],Def_Targets!$D$73:$E$159,2,FALSE)</f>
        <v>A_Emistrad</v>
      </c>
      <c r="AR1123" s="233" t="str">
        <f>VLOOKUP(Table8[[#This Row],[Country Code]],Table29[],3,FALSE)</f>
        <v>Annex I</v>
      </c>
      <c r="AS1123" s="233" t="str">
        <f>VLOOKUP(Table8[[#This Row],[Country Code]],Table29[],4,FALSE)</f>
        <v>Europe</v>
      </c>
      <c r="AT1123" s="233" t="str">
        <f>VLOOKUP(Table8[[#This Row],[Country Code]],Table29[],5,FALSE)</f>
        <v>High-income</v>
      </c>
      <c r="AU1123" s="233" t="str">
        <f>VLOOKUP(Table8[[#This Row],[Country Code]],Table29[],6,FALSE)</f>
        <v>no</v>
      </c>
      <c r="AV1123" s="233" t="str">
        <f>VLOOKUP(Table8[[#This Row],[Country Code]],Table29[],7,FALSE)</f>
        <v>no</v>
      </c>
      <c r="AW1123" s="233" t="str">
        <f>VLOOKUP(Table8[[#This Row],[Country Code]],Table29[],8,FALSE)</f>
        <v>OECD</v>
      </c>
      <c r="AX1123" s="233" t="str">
        <f>VLOOKUP(Table8[[#This Row],[Country Code]],Table29[],9,FALSE)</f>
        <v>no</v>
      </c>
      <c r="AY1123" s="233" t="str">
        <f>VLOOKUP(Table8[[#This Row],[Country Code]],Table29[],10,FALSE)</f>
        <v>no</v>
      </c>
      <c r="AZ1123" s="235">
        <f>VLOOKUP(Table8[[#This Row],[Country Code]],Table29[],23,FALSE)</f>
        <v>4.171936013462</v>
      </c>
      <c r="BA1123" s="235">
        <f>VLOOKUP(Table8[[#This Row],[Country Code]],Table29[],24,FALSE)</f>
        <v>0.90770990400120422</v>
      </c>
      <c r="BB1123" s="320"/>
      <c r="BC1123" s="320"/>
    </row>
    <row r="1124" spans="1:55" ht="105" hidden="1" x14ac:dyDescent="0.25">
      <c r="A1124" s="373">
        <v>32502</v>
      </c>
      <c r="B1124" s="233" t="str">
        <f>VLOOKUP(Table8[[#This Row],[Document ID]],Table1[],2,FALSE)</f>
        <v>IND</v>
      </c>
      <c r="C1124" s="233" t="str">
        <f>VLOOKUP(Table8[[#This Row],[Document ID]],Table1[],3,FALSE)</f>
        <v>India</v>
      </c>
      <c r="D1124" s="243" t="str">
        <f>VLOOKUP(Table8[[#This Row],[Document ID]],Table1[],5,FALSE)</f>
        <v>LTS</v>
      </c>
      <c r="E1124" s="233" t="str">
        <f>VLOOKUP(Table8[[#This Row],[Document ID]],Table1[],7,FALSE)</f>
        <v>LTS</v>
      </c>
      <c r="F1124" s="233" t="str">
        <f>VLOOKUP(Table8[[#This Row],[Document ID]],Table1[],8,FALSE)</f>
        <v>LTS 1.0</v>
      </c>
      <c r="G1124" s="233" t="str">
        <f>VLOOKUP(Table8[[#This Row],[Document ID]],Table1[],10,FALSE)</f>
        <v>Active</v>
      </c>
      <c r="H1124" s="44" t="s">
        <v>2338</v>
      </c>
      <c r="I1124" s="44" t="s">
        <v>2339</v>
      </c>
      <c r="J1124" s="44" t="s">
        <v>2413</v>
      </c>
      <c r="K1124" s="44" t="s">
        <v>3400</v>
      </c>
      <c r="L1124" s="44" t="s">
        <v>2333</v>
      </c>
      <c r="M1124" s="43">
        <v>35</v>
      </c>
      <c r="N1124" s="113" t="s">
        <v>1113</v>
      </c>
      <c r="O1124" s="113"/>
      <c r="P1124" s="113"/>
      <c r="Q1124" s="113"/>
      <c r="R1124" s="113"/>
      <c r="S1124" s="113"/>
      <c r="T1124" s="113"/>
      <c r="U1124" s="113"/>
      <c r="V1124" s="113"/>
      <c r="W1124" s="113"/>
      <c r="X1124" s="113"/>
      <c r="Y1124" s="113"/>
      <c r="Z1124" s="113"/>
      <c r="AA1124" s="113"/>
      <c r="AB1124" s="113"/>
      <c r="AC1124" s="113"/>
      <c r="AD1124" s="113"/>
      <c r="AE1124" s="113"/>
      <c r="AF1124" s="113"/>
      <c r="AG1124" s="113"/>
      <c r="AH1124" s="113"/>
      <c r="AI1124" s="113"/>
      <c r="AJ1124" s="113"/>
      <c r="AK1124" s="319" t="s">
        <v>1113</v>
      </c>
      <c r="AL1124" s="319"/>
      <c r="AM1124" s="319"/>
      <c r="AN1124" s="319"/>
      <c r="AO1124" s="44" t="s">
        <v>2334</v>
      </c>
      <c r="AP1124" s="44"/>
      <c r="AQ1124" s="236" t="str">
        <f>VLOOKUP(Table8[[#This Row],[Instrument]],Def_Targets!$D$73:$E$159,2,FALSE)</f>
        <v>I_Vehicleeff</v>
      </c>
      <c r="AR1124" s="233" t="str">
        <f>VLOOKUP(Table8[[#This Row],[Country Code]],Table29[],3,FALSE)</f>
        <v>Non-Annex I</v>
      </c>
      <c r="AS1124" s="233" t="str">
        <f>VLOOKUP(Table8[[#This Row],[Country Code]],Table29[],4,FALSE)</f>
        <v>Asia</v>
      </c>
      <c r="AT1124" s="233" t="str">
        <f>VLOOKUP(Table8[[#This Row],[Country Code]],Table29[],5,FALSE)</f>
        <v>Middle-income</v>
      </c>
      <c r="AU1124" s="233" t="str">
        <f>VLOOKUP(Table8[[#This Row],[Country Code]],Table29[],6,FALSE)</f>
        <v>G20</v>
      </c>
      <c r="AV1124" s="233" t="str">
        <f>VLOOKUP(Table8[[#This Row],[Country Code]],Table29[],7,FALSE)</f>
        <v>no</v>
      </c>
      <c r="AW1124" s="233" t="str">
        <f>VLOOKUP(Table8[[#This Row],[Country Code]],Table29[],8,FALSE)</f>
        <v>non-OECD</v>
      </c>
      <c r="AX1124" s="233" t="str">
        <f>VLOOKUP(Table8[[#This Row],[Country Code]],Table29[],9,FALSE)</f>
        <v>no</v>
      </c>
      <c r="AY1124" s="233" t="str">
        <f>VLOOKUP(Table8[[#This Row],[Country Code]],Table29[],10,FALSE)</f>
        <v>no</v>
      </c>
      <c r="AZ1124" s="235">
        <f>VLOOKUP(Table8[[#This Row],[Country Code]],Table29[],23,FALSE)</f>
        <v>4133.5543557464998</v>
      </c>
      <c r="BA1124" s="235">
        <f>VLOOKUP(Table8[[#This Row],[Country Code]],Table29[],24,FALSE)</f>
        <v>349.27466196453167</v>
      </c>
      <c r="BB1124" s="320"/>
      <c r="BC1124" s="320"/>
    </row>
    <row r="1125" spans="1:55" ht="37.5" hidden="1" customHeight="1" x14ac:dyDescent="0.25">
      <c r="A1125" s="373">
        <v>32502</v>
      </c>
      <c r="B1125" s="233" t="str">
        <f>VLOOKUP(Table8[[#This Row],[Document ID]],Table1[],2,FALSE)</f>
        <v>IND</v>
      </c>
      <c r="C1125" s="233" t="str">
        <f>VLOOKUP(Table8[[#This Row],[Document ID]],Table1[],3,FALSE)</f>
        <v>India</v>
      </c>
      <c r="D1125" s="243" t="str">
        <f>VLOOKUP(Table8[[#This Row],[Document ID]],Table1[],5,FALSE)</f>
        <v>LTS</v>
      </c>
      <c r="E1125" s="233" t="str">
        <f>VLOOKUP(Table8[[#This Row],[Document ID]],Table1[],7,FALSE)</f>
        <v>LTS</v>
      </c>
      <c r="F1125" s="233" t="str">
        <f>VLOOKUP(Table8[[#This Row],[Document ID]],Table1[],8,FALSE)</f>
        <v>LTS 1.0</v>
      </c>
      <c r="G1125" s="233" t="str">
        <f>VLOOKUP(Table8[[#This Row],[Document ID]],Table1[],10,FALSE)</f>
        <v>Active</v>
      </c>
      <c r="H1125" s="44" t="s">
        <v>2329</v>
      </c>
      <c r="I1125" s="44" t="s">
        <v>2330</v>
      </c>
      <c r="J1125" s="44" t="s">
        <v>2357</v>
      </c>
      <c r="K1125" s="44" t="s">
        <v>3401</v>
      </c>
      <c r="L1125" s="44" t="s">
        <v>2333</v>
      </c>
      <c r="M1125" s="43">
        <v>35</v>
      </c>
      <c r="N1125" s="113" t="s">
        <v>1113</v>
      </c>
      <c r="O1125" s="113"/>
      <c r="P1125" s="113"/>
      <c r="Q1125" s="113"/>
      <c r="R1125" s="113"/>
      <c r="S1125" s="113"/>
      <c r="T1125" s="113"/>
      <c r="U1125" s="113"/>
      <c r="V1125" s="113"/>
      <c r="W1125" s="113"/>
      <c r="X1125" s="113"/>
      <c r="Y1125" s="113"/>
      <c r="Z1125" s="113"/>
      <c r="AA1125" s="113"/>
      <c r="AB1125" s="113"/>
      <c r="AC1125" s="113"/>
      <c r="AD1125" s="113"/>
      <c r="AE1125" s="113"/>
      <c r="AF1125" s="113"/>
      <c r="AG1125" s="113"/>
      <c r="AH1125" s="113"/>
      <c r="AI1125" s="113"/>
      <c r="AJ1125" s="113"/>
      <c r="AK1125" s="319" t="s">
        <v>1113</v>
      </c>
      <c r="AL1125" s="319"/>
      <c r="AM1125" s="319"/>
      <c r="AN1125" s="319"/>
      <c r="AO1125" s="44" t="s">
        <v>2334</v>
      </c>
      <c r="AP1125" s="44"/>
      <c r="AQ1125" s="236" t="str">
        <f>VLOOKUP(Table8[[#This Row],[Instrument]],Def_Targets!$D$73:$E$159,2,FALSE)</f>
        <v>I_Biofuel</v>
      </c>
      <c r="AR1125" s="233" t="str">
        <f>VLOOKUP(Table8[[#This Row],[Country Code]],Table29[],3,FALSE)</f>
        <v>Non-Annex I</v>
      </c>
      <c r="AS1125" s="233" t="str">
        <f>VLOOKUP(Table8[[#This Row],[Country Code]],Table29[],4,FALSE)</f>
        <v>Asia</v>
      </c>
      <c r="AT1125" s="233" t="str">
        <f>VLOOKUP(Table8[[#This Row],[Country Code]],Table29[],5,FALSE)</f>
        <v>Middle-income</v>
      </c>
      <c r="AU1125" s="233" t="str">
        <f>VLOOKUP(Table8[[#This Row],[Country Code]],Table29[],6,FALSE)</f>
        <v>G20</v>
      </c>
      <c r="AV1125" s="233" t="str">
        <f>VLOOKUP(Table8[[#This Row],[Country Code]],Table29[],7,FALSE)</f>
        <v>no</v>
      </c>
      <c r="AW1125" s="233" t="str">
        <f>VLOOKUP(Table8[[#This Row],[Country Code]],Table29[],8,FALSE)</f>
        <v>non-OECD</v>
      </c>
      <c r="AX1125" s="233" t="str">
        <f>VLOOKUP(Table8[[#This Row],[Country Code]],Table29[],9,FALSE)</f>
        <v>no</v>
      </c>
      <c r="AY1125" s="233" t="str">
        <f>VLOOKUP(Table8[[#This Row],[Country Code]],Table29[],10,FALSE)</f>
        <v>no</v>
      </c>
      <c r="AZ1125" s="235">
        <f>VLOOKUP(Table8[[#This Row],[Country Code]],Table29[],23,FALSE)</f>
        <v>4133.5543557464998</v>
      </c>
      <c r="BA1125" s="235">
        <f>VLOOKUP(Table8[[#This Row],[Country Code]],Table29[],24,FALSE)</f>
        <v>349.27466196453167</v>
      </c>
      <c r="BB1125" s="320"/>
      <c r="BC1125" s="320"/>
    </row>
    <row r="1126" spans="1:55" ht="75" hidden="1" x14ac:dyDescent="0.25">
      <c r="A1126" s="373">
        <v>32502</v>
      </c>
      <c r="B1126" s="233" t="str">
        <f>VLOOKUP(Table8[[#This Row],[Document ID]],Table1[],2,FALSE)</f>
        <v>IND</v>
      </c>
      <c r="C1126" s="233" t="str">
        <f>VLOOKUP(Table8[[#This Row],[Document ID]],Table1[],3,FALSE)</f>
        <v>India</v>
      </c>
      <c r="D1126" s="243" t="str">
        <f>VLOOKUP(Table8[[#This Row],[Document ID]],Table1[],5,FALSE)</f>
        <v>LTS</v>
      </c>
      <c r="E1126" s="233" t="str">
        <f>VLOOKUP(Table8[[#This Row],[Document ID]],Table1[],7,FALSE)</f>
        <v>LTS</v>
      </c>
      <c r="F1126" s="233" t="str">
        <f>VLOOKUP(Table8[[#This Row],[Document ID]],Table1[],8,FALSE)</f>
        <v>LTS 1.0</v>
      </c>
      <c r="G1126" s="233" t="str">
        <f>VLOOKUP(Table8[[#This Row],[Document ID]],Table1[],10,FALSE)</f>
        <v>Active</v>
      </c>
      <c r="H1126" s="44" t="s">
        <v>2329</v>
      </c>
      <c r="I1126" s="44" t="s">
        <v>2330</v>
      </c>
      <c r="J1126" s="44" t="s">
        <v>2363</v>
      </c>
      <c r="K1126" s="44" t="s">
        <v>3401</v>
      </c>
      <c r="L1126" s="44" t="s">
        <v>2333</v>
      </c>
      <c r="M1126" s="43">
        <v>35</v>
      </c>
      <c r="N1126" s="113" t="s">
        <v>1113</v>
      </c>
      <c r="O1126" s="113"/>
      <c r="P1126" s="113"/>
      <c r="Q1126" s="113"/>
      <c r="R1126" s="113"/>
      <c r="S1126" s="113"/>
      <c r="T1126" s="113"/>
      <c r="U1126" s="113"/>
      <c r="V1126" s="113"/>
      <c r="W1126" s="113"/>
      <c r="X1126" s="113"/>
      <c r="Y1126" s="113"/>
      <c r="Z1126" s="113"/>
      <c r="AA1126" s="113"/>
      <c r="AB1126" s="113"/>
      <c r="AC1126" s="113"/>
      <c r="AD1126" s="113"/>
      <c r="AE1126" s="113"/>
      <c r="AF1126" s="113"/>
      <c r="AG1126" s="113"/>
      <c r="AH1126" s="113"/>
      <c r="AI1126" s="113"/>
      <c r="AJ1126" s="113"/>
      <c r="AK1126" s="319" t="s">
        <v>1113</v>
      </c>
      <c r="AL1126" s="319"/>
      <c r="AM1126" s="319"/>
      <c r="AN1126" s="319"/>
      <c r="AO1126" s="44" t="s">
        <v>2334</v>
      </c>
      <c r="AP1126" s="44"/>
      <c r="AQ1126" s="236" t="str">
        <f>VLOOKUP(Table8[[#This Row],[Instrument]],Def_Targets!$D$73:$E$159,2,FALSE)</f>
        <v>I_LPGCNGLNG</v>
      </c>
      <c r="AR1126" s="233" t="str">
        <f>VLOOKUP(Table8[[#This Row],[Country Code]],Table29[],3,FALSE)</f>
        <v>Non-Annex I</v>
      </c>
      <c r="AS1126" s="233" t="str">
        <f>VLOOKUP(Table8[[#This Row],[Country Code]],Table29[],4,FALSE)</f>
        <v>Asia</v>
      </c>
      <c r="AT1126" s="233" t="str">
        <f>VLOOKUP(Table8[[#This Row],[Country Code]],Table29[],5,FALSE)</f>
        <v>Middle-income</v>
      </c>
      <c r="AU1126" s="233" t="str">
        <f>VLOOKUP(Table8[[#This Row],[Country Code]],Table29[],6,FALSE)</f>
        <v>G20</v>
      </c>
      <c r="AV1126" s="233" t="str">
        <f>VLOOKUP(Table8[[#This Row],[Country Code]],Table29[],7,FALSE)</f>
        <v>no</v>
      </c>
      <c r="AW1126" s="233" t="str">
        <f>VLOOKUP(Table8[[#This Row],[Country Code]],Table29[],8,FALSE)</f>
        <v>non-OECD</v>
      </c>
      <c r="AX1126" s="233" t="str">
        <f>VLOOKUP(Table8[[#This Row],[Country Code]],Table29[],9,FALSE)</f>
        <v>no</v>
      </c>
      <c r="AY1126" s="233" t="str">
        <f>VLOOKUP(Table8[[#This Row],[Country Code]],Table29[],10,FALSE)</f>
        <v>no</v>
      </c>
      <c r="AZ1126" s="235">
        <f>VLOOKUP(Table8[[#This Row],[Country Code]],Table29[],23,FALSE)</f>
        <v>4133.5543557464998</v>
      </c>
      <c r="BA1126" s="235">
        <f>VLOOKUP(Table8[[#This Row],[Country Code]],Table29[],24,FALSE)</f>
        <v>349.27466196453167</v>
      </c>
      <c r="BB1126" s="320"/>
      <c r="BC1126" s="320"/>
    </row>
    <row r="1127" spans="1:55" ht="75" hidden="1" x14ac:dyDescent="0.25">
      <c r="A1127" s="373">
        <v>32502</v>
      </c>
      <c r="B1127" s="233" t="str">
        <f>VLOOKUP(Table8[[#This Row],[Document ID]],Table1[],2,FALSE)</f>
        <v>IND</v>
      </c>
      <c r="C1127" s="233" t="str">
        <f>VLOOKUP(Table8[[#This Row],[Document ID]],Table1[],3,FALSE)</f>
        <v>India</v>
      </c>
      <c r="D1127" s="243" t="str">
        <f>VLOOKUP(Table8[[#This Row],[Document ID]],Table1[],5,FALSE)</f>
        <v>LTS</v>
      </c>
      <c r="E1127" s="233" t="str">
        <f>VLOOKUP(Table8[[#This Row],[Document ID]],Table1[],7,FALSE)</f>
        <v>LTS</v>
      </c>
      <c r="F1127" s="233" t="str">
        <f>VLOOKUP(Table8[[#This Row],[Document ID]],Table1[],8,FALSE)</f>
        <v>LTS 1.0</v>
      </c>
      <c r="G1127" s="233" t="str">
        <f>VLOOKUP(Table8[[#This Row],[Document ID]],Table1[],10,FALSE)</f>
        <v>Active</v>
      </c>
      <c r="H1127" s="43" t="s">
        <v>2343</v>
      </c>
      <c r="I1127" s="43" t="s">
        <v>2344</v>
      </c>
      <c r="J1127" s="44" t="s">
        <v>2345</v>
      </c>
      <c r="K1127" s="44" t="s">
        <v>3402</v>
      </c>
      <c r="L1127" s="44" t="s">
        <v>2347</v>
      </c>
      <c r="M1127" s="43">
        <v>35</v>
      </c>
      <c r="N1127" s="113" t="s">
        <v>1113</v>
      </c>
      <c r="O1127" s="113"/>
      <c r="P1127" s="113"/>
      <c r="Q1127" s="113"/>
      <c r="R1127" s="113"/>
      <c r="S1127" s="113"/>
      <c r="T1127" s="113"/>
      <c r="U1127" s="113"/>
      <c r="V1127" s="113"/>
      <c r="W1127" s="113"/>
      <c r="X1127" s="113"/>
      <c r="Y1127" s="113"/>
      <c r="Z1127" s="113"/>
      <c r="AA1127" s="113"/>
      <c r="AB1127" s="113"/>
      <c r="AC1127" s="113"/>
      <c r="AD1127" s="113"/>
      <c r="AE1127" s="113"/>
      <c r="AF1127" s="113"/>
      <c r="AG1127" s="113"/>
      <c r="AH1127" s="113"/>
      <c r="AI1127" s="113"/>
      <c r="AJ1127" s="113"/>
      <c r="AK1127" s="319" t="s">
        <v>1113</v>
      </c>
      <c r="AL1127" s="319"/>
      <c r="AM1127" s="319"/>
      <c r="AN1127" s="319"/>
      <c r="AO1127" s="43" t="s">
        <v>2477</v>
      </c>
      <c r="AP1127" s="44"/>
      <c r="AQ1127" s="236" t="str">
        <f>VLOOKUP(Table8[[#This Row],[Instrument]],Def_Targets!$D$73:$E$159,2,FALSE)</f>
        <v>S_PublicTransport</v>
      </c>
      <c r="AR1127" s="233" t="str">
        <f>VLOOKUP(Table8[[#This Row],[Country Code]],Table29[],3,FALSE)</f>
        <v>Non-Annex I</v>
      </c>
      <c r="AS1127" s="233" t="str">
        <f>VLOOKUP(Table8[[#This Row],[Country Code]],Table29[],4,FALSE)</f>
        <v>Asia</v>
      </c>
      <c r="AT1127" s="233" t="str">
        <f>VLOOKUP(Table8[[#This Row],[Country Code]],Table29[],5,FALSE)</f>
        <v>Middle-income</v>
      </c>
      <c r="AU1127" s="233" t="str">
        <f>VLOOKUP(Table8[[#This Row],[Country Code]],Table29[],6,FALSE)</f>
        <v>G20</v>
      </c>
      <c r="AV1127" s="233" t="str">
        <f>VLOOKUP(Table8[[#This Row],[Country Code]],Table29[],7,FALSE)</f>
        <v>no</v>
      </c>
      <c r="AW1127" s="233" t="str">
        <f>VLOOKUP(Table8[[#This Row],[Country Code]],Table29[],8,FALSE)</f>
        <v>non-OECD</v>
      </c>
      <c r="AX1127" s="233" t="str">
        <f>VLOOKUP(Table8[[#This Row],[Country Code]],Table29[],9,FALSE)</f>
        <v>no</v>
      </c>
      <c r="AY1127" s="233" t="str">
        <f>VLOOKUP(Table8[[#This Row],[Country Code]],Table29[],10,FALSE)</f>
        <v>no</v>
      </c>
      <c r="AZ1127" s="235">
        <f>VLOOKUP(Table8[[#This Row],[Country Code]],Table29[],23,FALSE)</f>
        <v>4133.5543557464998</v>
      </c>
      <c r="BA1127" s="235">
        <f>VLOOKUP(Table8[[#This Row],[Country Code]],Table29[],24,FALSE)</f>
        <v>349.27466196453167</v>
      </c>
      <c r="BB1127" s="320"/>
      <c r="BC1127" s="320"/>
    </row>
    <row r="1128" spans="1:55" ht="90" hidden="1" x14ac:dyDescent="0.25">
      <c r="A1128" s="373">
        <v>32502</v>
      </c>
      <c r="B1128" s="233" t="str">
        <f>VLOOKUP(Table8[[#This Row],[Document ID]],Table1[],2,FALSE)</f>
        <v>IND</v>
      </c>
      <c r="C1128" s="233" t="str">
        <f>VLOOKUP(Table8[[#This Row],[Document ID]],Table1[],3,FALSE)</f>
        <v>India</v>
      </c>
      <c r="D1128" s="243" t="str">
        <f>VLOOKUP(Table8[[#This Row],[Document ID]],Table1[],5,FALSE)</f>
        <v>LTS</v>
      </c>
      <c r="E1128" s="233" t="str">
        <f>VLOOKUP(Table8[[#This Row],[Document ID]],Table1[],7,FALSE)</f>
        <v>LTS</v>
      </c>
      <c r="F1128" s="233" t="str">
        <f>VLOOKUP(Table8[[#This Row],[Document ID]],Table1[],8,FALSE)</f>
        <v>LTS 1.0</v>
      </c>
      <c r="G1128" s="233" t="str">
        <f>VLOOKUP(Table8[[#This Row],[Document ID]],Table1[],10,FALSE)</f>
        <v>Active</v>
      </c>
      <c r="H1128" s="43" t="s">
        <v>2358</v>
      </c>
      <c r="I1128" s="43" t="s">
        <v>2359</v>
      </c>
      <c r="J1128" s="44" t="s">
        <v>2360</v>
      </c>
      <c r="K1128" s="44" t="s">
        <v>3403</v>
      </c>
      <c r="L1128" s="44" t="s">
        <v>2471</v>
      </c>
      <c r="M1128" s="43">
        <v>4</v>
      </c>
      <c r="N1128" s="113"/>
      <c r="O1128" s="113"/>
      <c r="P1128" s="113"/>
      <c r="Q1128" s="113"/>
      <c r="R1128" s="113"/>
      <c r="S1128" s="113" t="s">
        <v>1113</v>
      </c>
      <c r="T1128" s="113"/>
      <c r="U1128" s="113"/>
      <c r="V1128" s="113"/>
      <c r="W1128" s="113"/>
      <c r="X1128" s="113"/>
      <c r="Y1128" s="113"/>
      <c r="Z1128" s="113" t="s">
        <v>1113</v>
      </c>
      <c r="AA1128" s="113"/>
      <c r="AB1128" s="113"/>
      <c r="AC1128" s="113"/>
      <c r="AD1128" s="113"/>
      <c r="AE1128" s="113"/>
      <c r="AF1128" s="113"/>
      <c r="AG1128" s="113"/>
      <c r="AH1128" s="113"/>
      <c r="AI1128" s="113"/>
      <c r="AJ1128" s="113"/>
      <c r="AK1128" s="319" t="s">
        <v>1113</v>
      </c>
      <c r="AL1128" s="319"/>
      <c r="AM1128" s="319"/>
      <c r="AN1128" s="319"/>
      <c r="AO1128" s="44" t="s">
        <v>2334</v>
      </c>
      <c r="AP1128" s="44"/>
      <c r="AQ1128" s="236" t="str">
        <f>VLOOKUP(Table8[[#This Row],[Instrument]],Def_Targets!$D$73:$E$159,2,FALSE)</f>
        <v>I_Emobility</v>
      </c>
      <c r="AR1128" s="233" t="str">
        <f>VLOOKUP(Table8[[#This Row],[Country Code]],Table29[],3,FALSE)</f>
        <v>Non-Annex I</v>
      </c>
      <c r="AS1128" s="233" t="str">
        <f>VLOOKUP(Table8[[#This Row],[Country Code]],Table29[],4,FALSE)</f>
        <v>Asia</v>
      </c>
      <c r="AT1128" s="233" t="str">
        <f>VLOOKUP(Table8[[#This Row],[Country Code]],Table29[],5,FALSE)</f>
        <v>Middle-income</v>
      </c>
      <c r="AU1128" s="233" t="str">
        <f>VLOOKUP(Table8[[#This Row],[Country Code]],Table29[],6,FALSE)</f>
        <v>G20</v>
      </c>
      <c r="AV1128" s="233" t="str">
        <f>VLOOKUP(Table8[[#This Row],[Country Code]],Table29[],7,FALSE)</f>
        <v>no</v>
      </c>
      <c r="AW1128" s="233" t="str">
        <f>VLOOKUP(Table8[[#This Row],[Country Code]],Table29[],8,FALSE)</f>
        <v>non-OECD</v>
      </c>
      <c r="AX1128" s="233" t="str">
        <f>VLOOKUP(Table8[[#This Row],[Country Code]],Table29[],9,FALSE)</f>
        <v>no</v>
      </c>
      <c r="AY1128" s="233" t="str">
        <f>VLOOKUP(Table8[[#This Row],[Country Code]],Table29[],10,FALSE)</f>
        <v>no</v>
      </c>
      <c r="AZ1128" s="235">
        <f>VLOOKUP(Table8[[#This Row],[Country Code]],Table29[],23,FALSE)</f>
        <v>4133.5543557464998</v>
      </c>
      <c r="BA1128" s="235">
        <f>VLOOKUP(Table8[[#This Row],[Country Code]],Table29[],24,FALSE)</f>
        <v>349.27466196453167</v>
      </c>
      <c r="BB1128" s="320"/>
      <c r="BC1128" s="320"/>
    </row>
    <row r="1129" spans="1:55" hidden="1" x14ac:dyDescent="0.25">
      <c r="A1129" s="373">
        <v>32502</v>
      </c>
      <c r="B1129" s="233" t="str">
        <f>VLOOKUP(Table8[[#This Row],[Document ID]],Table1[],2,FALSE)</f>
        <v>IND</v>
      </c>
      <c r="C1129" s="233" t="str">
        <f>VLOOKUP(Table8[[#This Row],[Document ID]],Table1[],3,FALSE)</f>
        <v>India</v>
      </c>
      <c r="D1129" s="243" t="str">
        <f>VLOOKUP(Table8[[#This Row],[Document ID]],Table1[],5,FALSE)</f>
        <v>LTS</v>
      </c>
      <c r="E1129" s="233" t="str">
        <f>VLOOKUP(Table8[[#This Row],[Document ID]],Table1[],7,FALSE)</f>
        <v>LTS</v>
      </c>
      <c r="F1129" s="233" t="str">
        <f>VLOOKUP(Table8[[#This Row],[Document ID]],Table1[],8,FALSE)</f>
        <v>LTS 1.0</v>
      </c>
      <c r="G1129" s="233" t="str">
        <f>VLOOKUP(Table8[[#This Row],[Document ID]],Table1[],10,FALSE)</f>
        <v>Active</v>
      </c>
      <c r="H1129" s="43" t="s">
        <v>2350</v>
      </c>
      <c r="I1129" s="43" t="s">
        <v>2370</v>
      </c>
      <c r="J1129" s="44" t="s">
        <v>2511</v>
      </c>
      <c r="K1129" s="44" t="s">
        <v>3404</v>
      </c>
      <c r="L1129" s="44" t="s">
        <v>2380</v>
      </c>
      <c r="M1129" s="43">
        <v>4</v>
      </c>
      <c r="N1129" s="113" t="s">
        <v>1113</v>
      </c>
      <c r="O1129" s="113"/>
      <c r="P1129" s="113"/>
      <c r="Q1129" s="113"/>
      <c r="R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319" t="s">
        <v>1113</v>
      </c>
      <c r="AL1129" s="319"/>
      <c r="AM1129" s="319"/>
      <c r="AN1129" s="319"/>
      <c r="AO1129" s="44" t="s">
        <v>2334</v>
      </c>
      <c r="AP1129" s="44"/>
      <c r="AQ1129" s="236" t="str">
        <f>VLOOKUP(Table8[[#This Row],[Instrument]],Def_Targets!$D$73:$E$159,2,FALSE)</f>
        <v>A_LATM</v>
      </c>
      <c r="AR1129" s="233" t="str">
        <f>VLOOKUP(Table8[[#This Row],[Country Code]],Table29[],3,FALSE)</f>
        <v>Non-Annex I</v>
      </c>
      <c r="AS1129" s="233" t="str">
        <f>VLOOKUP(Table8[[#This Row],[Country Code]],Table29[],4,FALSE)</f>
        <v>Asia</v>
      </c>
      <c r="AT1129" s="233" t="str">
        <f>VLOOKUP(Table8[[#This Row],[Country Code]],Table29[],5,FALSE)</f>
        <v>Middle-income</v>
      </c>
      <c r="AU1129" s="233" t="str">
        <f>VLOOKUP(Table8[[#This Row],[Country Code]],Table29[],6,FALSE)</f>
        <v>G20</v>
      </c>
      <c r="AV1129" s="233" t="str">
        <f>VLOOKUP(Table8[[#This Row],[Country Code]],Table29[],7,FALSE)</f>
        <v>no</v>
      </c>
      <c r="AW1129" s="233" t="str">
        <f>VLOOKUP(Table8[[#This Row],[Country Code]],Table29[],8,FALSE)</f>
        <v>non-OECD</v>
      </c>
      <c r="AX1129" s="233" t="str">
        <f>VLOOKUP(Table8[[#This Row],[Country Code]],Table29[],9,FALSE)</f>
        <v>no</v>
      </c>
      <c r="AY1129" s="233" t="str">
        <f>VLOOKUP(Table8[[#This Row],[Country Code]],Table29[],10,FALSE)</f>
        <v>no</v>
      </c>
      <c r="AZ1129" s="235">
        <f>VLOOKUP(Table8[[#This Row],[Country Code]],Table29[],23,FALSE)</f>
        <v>4133.5543557464998</v>
      </c>
      <c r="BA1129" s="235">
        <f>VLOOKUP(Table8[[#This Row],[Country Code]],Table29[],24,FALSE)</f>
        <v>349.27466196453167</v>
      </c>
      <c r="BB1129" s="320"/>
      <c r="BC1129" s="320"/>
    </row>
    <row r="1130" spans="1:55" ht="30" hidden="1" x14ac:dyDescent="0.25">
      <c r="A1130" s="373">
        <v>32502</v>
      </c>
      <c r="B1130" s="233" t="str">
        <f>VLOOKUP(Table8[[#This Row],[Document ID]],Table1[],2,FALSE)</f>
        <v>IND</v>
      </c>
      <c r="C1130" s="233" t="str">
        <f>VLOOKUP(Table8[[#This Row],[Document ID]],Table1[],3,FALSE)</f>
        <v>India</v>
      </c>
      <c r="D1130" s="243" t="str">
        <f>VLOOKUP(Table8[[#This Row],[Document ID]],Table1[],5,FALSE)</f>
        <v>LTS</v>
      </c>
      <c r="E1130" s="233" t="str">
        <f>VLOOKUP(Table8[[#This Row],[Document ID]],Table1[],7,FALSE)</f>
        <v>LTS</v>
      </c>
      <c r="F1130" s="233" t="str">
        <f>VLOOKUP(Table8[[#This Row],[Document ID]],Table1[],8,FALSE)</f>
        <v>LTS 1.0</v>
      </c>
      <c r="G1130" s="233" t="str">
        <f>VLOOKUP(Table8[[#This Row],[Document ID]],Table1[],10,FALSE)</f>
        <v>Active</v>
      </c>
      <c r="H1130" s="43" t="s">
        <v>2343</v>
      </c>
      <c r="I1130" s="43" t="s">
        <v>2429</v>
      </c>
      <c r="J1130" s="44" t="s">
        <v>2430</v>
      </c>
      <c r="K1130" s="44" t="s">
        <v>3405</v>
      </c>
      <c r="L1130" s="44" t="s">
        <v>2572</v>
      </c>
      <c r="M1130" s="43">
        <v>4</v>
      </c>
      <c r="N1130" s="113" t="s">
        <v>1113</v>
      </c>
      <c r="O1130" s="113"/>
      <c r="P1130" s="113"/>
      <c r="Q1130" s="113"/>
      <c r="R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319" t="s">
        <v>1113</v>
      </c>
      <c r="AL1130" s="319"/>
      <c r="AM1130" s="319"/>
      <c r="AN1130" s="319"/>
      <c r="AO1130" s="44" t="s">
        <v>2334</v>
      </c>
      <c r="AP1130" s="44"/>
      <c r="AQ1130" s="236" t="str">
        <f>VLOOKUP(Table8[[#This Row],[Instrument]],Def_Targets!$D$73:$E$159,2,FALSE)</f>
        <v>I_ITS</v>
      </c>
      <c r="AR1130" s="233" t="str">
        <f>VLOOKUP(Table8[[#This Row],[Country Code]],Table29[],3,FALSE)</f>
        <v>Non-Annex I</v>
      </c>
      <c r="AS1130" s="233" t="str">
        <f>VLOOKUP(Table8[[#This Row],[Country Code]],Table29[],4,FALSE)</f>
        <v>Asia</v>
      </c>
      <c r="AT1130" s="233" t="str">
        <f>VLOOKUP(Table8[[#This Row],[Country Code]],Table29[],5,FALSE)</f>
        <v>Middle-income</v>
      </c>
      <c r="AU1130" s="233" t="str">
        <f>VLOOKUP(Table8[[#This Row],[Country Code]],Table29[],6,FALSE)</f>
        <v>G20</v>
      </c>
      <c r="AV1130" s="233" t="str">
        <f>VLOOKUP(Table8[[#This Row],[Country Code]],Table29[],7,FALSE)</f>
        <v>no</v>
      </c>
      <c r="AW1130" s="233" t="str">
        <f>VLOOKUP(Table8[[#This Row],[Country Code]],Table29[],8,FALSE)</f>
        <v>non-OECD</v>
      </c>
      <c r="AX1130" s="233" t="str">
        <f>VLOOKUP(Table8[[#This Row],[Country Code]],Table29[],9,FALSE)</f>
        <v>no</v>
      </c>
      <c r="AY1130" s="233" t="str">
        <f>VLOOKUP(Table8[[#This Row],[Country Code]],Table29[],10,FALSE)</f>
        <v>no</v>
      </c>
      <c r="AZ1130" s="235">
        <f>VLOOKUP(Table8[[#This Row],[Country Code]],Table29[],23,FALSE)</f>
        <v>4133.5543557464998</v>
      </c>
      <c r="BA1130" s="235">
        <f>VLOOKUP(Table8[[#This Row],[Country Code]],Table29[],24,FALSE)</f>
        <v>349.27466196453167</v>
      </c>
      <c r="BB1130" s="320"/>
      <c r="BC1130" s="320"/>
    </row>
    <row r="1131" spans="1:55" ht="30" hidden="1" x14ac:dyDescent="0.25">
      <c r="A1131" s="373">
        <v>32502</v>
      </c>
      <c r="B1131" s="233" t="str">
        <f>VLOOKUP(Table8[[#This Row],[Document ID]],Table1[],2,FALSE)</f>
        <v>IND</v>
      </c>
      <c r="C1131" s="233" t="str">
        <f>VLOOKUP(Table8[[#This Row],[Document ID]],Table1[],3,FALSE)</f>
        <v>India</v>
      </c>
      <c r="D1131" s="243" t="str">
        <f>VLOOKUP(Table8[[#This Row],[Document ID]],Table1[],5,FALSE)</f>
        <v>LTS</v>
      </c>
      <c r="E1131" s="233" t="str">
        <f>VLOOKUP(Table8[[#This Row],[Document ID]],Table1[],7,FALSE)</f>
        <v>LTS</v>
      </c>
      <c r="F1131" s="233" t="str">
        <f>VLOOKUP(Table8[[#This Row],[Document ID]],Table1[],8,FALSE)</f>
        <v>LTS 1.0</v>
      </c>
      <c r="G1131" s="233" t="str">
        <f>VLOOKUP(Table8[[#This Row],[Document ID]],Table1[],10,FALSE)</f>
        <v>Active</v>
      </c>
      <c r="H1131" s="44" t="s">
        <v>2338</v>
      </c>
      <c r="I1131" s="44" t="s">
        <v>2339</v>
      </c>
      <c r="J1131" s="44" t="s">
        <v>2340</v>
      </c>
      <c r="K1131" s="44" t="s">
        <v>3406</v>
      </c>
      <c r="L1131" s="44" t="s">
        <v>2333</v>
      </c>
      <c r="M1131" s="43">
        <v>8</v>
      </c>
      <c r="N1131" s="113" t="s">
        <v>1113</v>
      </c>
      <c r="O1131" s="113"/>
      <c r="P1131" s="113"/>
      <c r="Q1131" s="113"/>
      <c r="R1131" s="113"/>
      <c r="S1131" s="113"/>
      <c r="T1131" s="113"/>
      <c r="U1131" s="113"/>
      <c r="V1131" s="113"/>
      <c r="W1131" s="113"/>
      <c r="X1131" s="113"/>
      <c r="Y1131" s="113"/>
      <c r="Z1131" s="113"/>
      <c r="AA1131" s="113"/>
      <c r="AB1131" s="113"/>
      <c r="AC1131" s="113"/>
      <c r="AD1131" s="113"/>
      <c r="AE1131" s="113"/>
      <c r="AF1131" s="113"/>
      <c r="AG1131" s="113"/>
      <c r="AH1131" s="113"/>
      <c r="AI1131" s="113"/>
      <c r="AJ1131" s="113"/>
      <c r="AK1131" s="319" t="s">
        <v>1113</v>
      </c>
      <c r="AL1131" s="319"/>
      <c r="AM1131" s="319"/>
      <c r="AN1131" s="319"/>
      <c r="AO1131" s="44" t="s">
        <v>2334</v>
      </c>
      <c r="AP1131" s="44"/>
      <c r="AQ1131" s="236" t="str">
        <f>VLOOKUP(Table8[[#This Row],[Instrument]],Def_Targets!$D$73:$E$159,2,FALSE)</f>
        <v>I_Vehicleimprove</v>
      </c>
      <c r="AR1131" s="233" t="str">
        <f>VLOOKUP(Table8[[#This Row],[Country Code]],Table29[],3,FALSE)</f>
        <v>Non-Annex I</v>
      </c>
      <c r="AS1131" s="233" t="str">
        <f>VLOOKUP(Table8[[#This Row],[Country Code]],Table29[],4,FALSE)</f>
        <v>Asia</v>
      </c>
      <c r="AT1131" s="233" t="str">
        <f>VLOOKUP(Table8[[#This Row],[Country Code]],Table29[],5,FALSE)</f>
        <v>Middle-income</v>
      </c>
      <c r="AU1131" s="233" t="str">
        <f>VLOOKUP(Table8[[#This Row],[Country Code]],Table29[],6,FALSE)</f>
        <v>G20</v>
      </c>
      <c r="AV1131" s="233" t="str">
        <f>VLOOKUP(Table8[[#This Row],[Country Code]],Table29[],7,FALSE)</f>
        <v>no</v>
      </c>
      <c r="AW1131" s="233" t="str">
        <f>VLOOKUP(Table8[[#This Row],[Country Code]],Table29[],8,FALSE)</f>
        <v>non-OECD</v>
      </c>
      <c r="AX1131" s="233" t="str">
        <f>VLOOKUP(Table8[[#This Row],[Country Code]],Table29[],9,FALSE)</f>
        <v>no</v>
      </c>
      <c r="AY1131" s="233" t="str">
        <f>VLOOKUP(Table8[[#This Row],[Country Code]],Table29[],10,FALSE)</f>
        <v>no</v>
      </c>
      <c r="AZ1131" s="235">
        <f>VLOOKUP(Table8[[#This Row],[Country Code]],Table29[],23,FALSE)</f>
        <v>4133.5543557464998</v>
      </c>
      <c r="BA1131" s="235">
        <f>VLOOKUP(Table8[[#This Row],[Country Code]],Table29[],24,FALSE)</f>
        <v>349.27466196453167</v>
      </c>
      <c r="BB1131" s="320"/>
      <c r="BC1131" s="320"/>
    </row>
    <row r="1132" spans="1:55" hidden="1" x14ac:dyDescent="0.25">
      <c r="A1132" s="373">
        <v>17626</v>
      </c>
      <c r="B1132" s="233" t="str">
        <f>VLOOKUP(Table8[[#This Row],[Document ID]],Table1[],2,FALSE)</f>
        <v>JPN</v>
      </c>
      <c r="C1132" s="233" t="str">
        <f>VLOOKUP(Table8[[#This Row],[Document ID]],Table1[],3,FALSE)</f>
        <v>Japan</v>
      </c>
      <c r="D1132" s="243" t="str">
        <f>VLOOKUP(Table8[[#This Row],[Document ID]],Table1[],5,FALSE)</f>
        <v>NDC</v>
      </c>
      <c r="E1132" s="233" t="str">
        <f>VLOOKUP(Table8[[#This Row],[Document ID]],Table1[],7,FALSE)</f>
        <v>First NDC</v>
      </c>
      <c r="F1132" s="233" t="str">
        <f>VLOOKUP(Table8[[#This Row],[Document ID]],Table1[],8,FALSE)</f>
        <v>NDC 1.0</v>
      </c>
      <c r="G1132" s="233" t="str">
        <f>VLOOKUP(Table8[[#This Row],[Document ID]],Table1[],10,FALSE)</f>
        <v>Archived</v>
      </c>
      <c r="H1132" s="43" t="s">
        <v>2343</v>
      </c>
      <c r="I1132" s="43" t="s">
        <v>2377</v>
      </c>
      <c r="J1132" s="44" t="s">
        <v>2521</v>
      </c>
      <c r="K1132" s="44" t="s">
        <v>3407</v>
      </c>
      <c r="L1132" s="44" t="s">
        <v>2396</v>
      </c>
      <c r="M1132" s="43"/>
      <c r="N1132" s="113" t="s">
        <v>1113</v>
      </c>
      <c r="O1132" s="113"/>
      <c r="P1132" s="113"/>
      <c r="Q1132" s="113"/>
      <c r="R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t="s">
        <v>1113</v>
      </c>
      <c r="AL1132" s="113"/>
      <c r="AM1132" s="113"/>
      <c r="AN1132" s="113"/>
      <c r="AO1132" s="44" t="s">
        <v>2334</v>
      </c>
      <c r="AP1132" s="43"/>
      <c r="AQ1132" s="236" t="str">
        <f>VLOOKUP(Table8[[#This Row],[Instrument]],Def_Targets!$D$73:$E$159,2,FALSE)</f>
        <v>A_Caraccess</v>
      </c>
      <c r="AR1132" s="233" t="str">
        <f>VLOOKUP(Table8[[#This Row],[Country Code]],Table29[],3,FALSE)</f>
        <v>Annex I</v>
      </c>
      <c r="AS1132" s="233" t="str">
        <f>VLOOKUP(Table8[[#This Row],[Country Code]],Table29[],4,FALSE)</f>
        <v>Asia</v>
      </c>
      <c r="AT1132" s="233" t="str">
        <f>VLOOKUP(Table8[[#This Row],[Country Code]],Table29[],5,FALSE)</f>
        <v>High-income</v>
      </c>
      <c r="AU1132" s="233" t="str">
        <f>VLOOKUP(Table8[[#This Row],[Country Code]],Table29[],6,FALSE)</f>
        <v>G20</v>
      </c>
      <c r="AV1132" s="233" t="str">
        <f>VLOOKUP(Table8[[#This Row],[Country Code]],Table29[],7,FALSE)</f>
        <v>G7</v>
      </c>
      <c r="AW1132" s="233" t="str">
        <f>VLOOKUP(Table8[[#This Row],[Country Code]],Table29[],8,FALSE)</f>
        <v>OECD</v>
      </c>
      <c r="AX1132" s="233" t="str">
        <f>VLOOKUP(Table8[[#This Row],[Country Code]],Table29[],9,FALSE)</f>
        <v>no</v>
      </c>
      <c r="AY1132" s="233" t="str">
        <f>VLOOKUP(Table8[[#This Row],[Country Code]],Table29[],10,FALSE)</f>
        <v>no</v>
      </c>
      <c r="AZ1132" s="235">
        <f>VLOOKUP(Table8[[#This Row],[Country Code]],Table29[],23,FALSE)</f>
        <v>1041.0128248686999</v>
      </c>
      <c r="BA1132" s="235">
        <f>VLOOKUP(Table8[[#This Row],[Country Code]],Table29[],24,FALSE)</f>
        <v>181.96191357547141</v>
      </c>
      <c r="BB1132" s="320"/>
      <c r="BC1132" s="320"/>
    </row>
    <row r="1133" spans="1:55" ht="30" hidden="1" x14ac:dyDescent="0.25">
      <c r="A1133" s="373">
        <v>17629</v>
      </c>
      <c r="B1133" s="233" t="str">
        <f>VLOOKUP(Table8[[#This Row],[Document ID]],Table1[],2,FALSE)</f>
        <v>JOR</v>
      </c>
      <c r="C1133" s="233" t="str">
        <f>VLOOKUP(Table8[[#This Row],[Document ID]],Table1[],3,FALSE)</f>
        <v>Jordan</v>
      </c>
      <c r="D1133" s="243" t="str">
        <f>VLOOKUP(Table8[[#This Row],[Document ID]],Table1[],5,FALSE)</f>
        <v>NDC</v>
      </c>
      <c r="E1133" s="233" t="str">
        <f>VLOOKUP(Table8[[#This Row],[Document ID]],Table1[],7,FALSE)</f>
        <v>First NDC</v>
      </c>
      <c r="F1133" s="236" t="str">
        <f>VLOOKUP(Table8[[#This Row],[Document ID]],Table1[],8,FALSE)</f>
        <v>NDC 1.0</v>
      </c>
      <c r="G1133" s="236" t="str">
        <f>VLOOKUP(Table8[[#This Row],[Document ID]],Table1[],10,FALSE)</f>
        <v>Archived</v>
      </c>
      <c r="H1133" s="43" t="s">
        <v>2350</v>
      </c>
      <c r="I1133" s="43" t="s">
        <v>2370</v>
      </c>
      <c r="J1133" s="44" t="s">
        <v>2371</v>
      </c>
      <c r="K1133" s="44" t="s">
        <v>3408</v>
      </c>
      <c r="L1133" s="44" t="s">
        <v>2373</v>
      </c>
      <c r="M1133" s="43"/>
      <c r="N1133" s="113" t="s">
        <v>1113</v>
      </c>
      <c r="O1133" s="113"/>
      <c r="P1133" s="113"/>
      <c r="Q1133" s="319"/>
      <c r="R1133" s="319"/>
      <c r="S1133" s="319"/>
      <c r="T1133" s="319"/>
      <c r="U1133" s="319"/>
      <c r="V1133" s="319"/>
      <c r="W1133" s="319"/>
      <c r="X1133" s="319"/>
      <c r="Y1133" s="319"/>
      <c r="Z1133" s="319"/>
      <c r="AA1133" s="319"/>
      <c r="AB1133" s="319"/>
      <c r="AC1133" s="319"/>
      <c r="AD1133" s="319"/>
      <c r="AE1133" s="319"/>
      <c r="AF1133" s="319"/>
      <c r="AG1133" s="319"/>
      <c r="AH1133" s="319"/>
      <c r="AI1133" s="319"/>
      <c r="AJ1133" s="319"/>
      <c r="AK1133" s="319" t="s">
        <v>1113</v>
      </c>
      <c r="AL1133" s="319"/>
      <c r="AM1133" s="319"/>
      <c r="AN1133" s="319"/>
      <c r="AO1133" s="44" t="s">
        <v>2334</v>
      </c>
      <c r="AP1133" s="44"/>
      <c r="AQ1133" s="236" t="str">
        <f>VLOOKUP(Table8[[#This Row],[Instrument]],Def_Targets!$D$73:$E$159,2,FALSE)</f>
        <v>A_Natmobplan</v>
      </c>
      <c r="AR1133" s="233" t="str">
        <f>VLOOKUP(Table8[[#This Row],[Country Code]],Table29[],3,FALSE)</f>
        <v>Non-Annex I</v>
      </c>
      <c r="AS1133" s="233" t="str">
        <f>VLOOKUP(Table8[[#This Row],[Country Code]],Table29[],4,FALSE)</f>
        <v>Asia</v>
      </c>
      <c r="AT1133" s="233" t="str">
        <f>VLOOKUP(Table8[[#This Row],[Country Code]],Table29[],5,FALSE)</f>
        <v>Middle-income</v>
      </c>
      <c r="AU1133" s="233" t="str">
        <f>VLOOKUP(Table8[[#This Row],[Country Code]],Table29[],6,FALSE)</f>
        <v>no</v>
      </c>
      <c r="AV1133" s="233" t="str">
        <f>VLOOKUP(Table8[[#This Row],[Country Code]],Table29[],7,FALSE)</f>
        <v>no</v>
      </c>
      <c r="AW1133" s="233" t="str">
        <f>VLOOKUP(Table8[[#This Row],[Country Code]],Table29[],8,FALSE)</f>
        <v>non-OECD</v>
      </c>
      <c r="AX1133" s="233" t="str">
        <f>VLOOKUP(Table8[[#This Row],[Country Code]],Table29[],9,FALSE)</f>
        <v>no</v>
      </c>
      <c r="AY1133" s="233" t="str">
        <f>VLOOKUP(Table8[[#This Row],[Country Code]],Table29[],10,FALSE)</f>
        <v>MENA</v>
      </c>
      <c r="AZ1133" s="235">
        <f>VLOOKUP(Table8[[#This Row],[Country Code]],Table29[],23,FALSE)</f>
        <v>33.407709056244002</v>
      </c>
      <c r="BA1133" s="235">
        <f>VLOOKUP(Table8[[#This Row],[Country Code]],Table29[],24,FALSE)</f>
        <v>7.9780713824704446</v>
      </c>
      <c r="BB1133" s="320"/>
      <c r="BC1133" s="320"/>
    </row>
    <row r="1134" spans="1:55" ht="30" hidden="1" x14ac:dyDescent="0.25">
      <c r="A1134" s="373">
        <v>17629</v>
      </c>
      <c r="B1134" s="233" t="str">
        <f>VLOOKUP(Table8[[#This Row],[Document ID]],Table1[],2,FALSE)</f>
        <v>JOR</v>
      </c>
      <c r="C1134" s="233" t="str">
        <f>VLOOKUP(Table8[[#This Row],[Document ID]],Table1[],3,FALSE)</f>
        <v>Jordan</v>
      </c>
      <c r="D1134" s="243" t="str">
        <f>VLOOKUP(Table8[[#This Row],[Document ID]],Table1[],5,FALSE)</f>
        <v>NDC</v>
      </c>
      <c r="E1134" s="233" t="str">
        <f>VLOOKUP(Table8[[#This Row],[Document ID]],Table1[],7,FALSE)</f>
        <v>First NDC</v>
      </c>
      <c r="F1134" s="236" t="str">
        <f>VLOOKUP(Table8[[#This Row],[Document ID]],Table1[],8,FALSE)</f>
        <v>NDC 1.0</v>
      </c>
      <c r="G1134" s="236" t="str">
        <f>VLOOKUP(Table8[[#This Row],[Document ID]],Table1[],10,FALSE)</f>
        <v>Archived</v>
      </c>
      <c r="H1134" s="43" t="s">
        <v>2350</v>
      </c>
      <c r="I1134" s="43" t="s">
        <v>2456</v>
      </c>
      <c r="J1134" s="44" t="s">
        <v>2466</v>
      </c>
      <c r="K1134" s="44" t="s">
        <v>3409</v>
      </c>
      <c r="L1134" s="44" t="s">
        <v>2347</v>
      </c>
      <c r="M1134" s="43"/>
      <c r="N1134" s="113"/>
      <c r="O1134" s="113"/>
      <c r="P1134" s="113"/>
      <c r="Q1134" s="319"/>
      <c r="R1134" s="319"/>
      <c r="S1134" s="319"/>
      <c r="T1134" s="319"/>
      <c r="U1134" s="319"/>
      <c r="V1134" s="319"/>
      <c r="W1134" s="319"/>
      <c r="X1134" s="319"/>
      <c r="Y1134" s="319"/>
      <c r="Z1134" s="113" t="s">
        <v>1113</v>
      </c>
      <c r="AA1134" s="319"/>
      <c r="AB1134" s="319"/>
      <c r="AC1134" s="319"/>
      <c r="AD1134" s="319"/>
      <c r="AE1134" s="319"/>
      <c r="AF1134" s="319"/>
      <c r="AG1134" s="319"/>
      <c r="AH1134" s="319"/>
      <c r="AI1134" s="319"/>
      <c r="AJ1134" s="319"/>
      <c r="AK1134" s="319" t="s">
        <v>1113</v>
      </c>
      <c r="AL1134" s="319"/>
      <c r="AM1134" s="319"/>
      <c r="AN1134" s="319"/>
      <c r="AO1134" s="43" t="s">
        <v>2353</v>
      </c>
      <c r="AP1134" s="44"/>
      <c r="AQ1134" s="236" t="str">
        <f>VLOOKUP(Table8[[#This Row],[Instrument]],Def_Targets!$D$73:$E$159,2,FALSE)</f>
        <v>S_Infraexpansion</v>
      </c>
      <c r="AR1134" s="233" t="str">
        <f>VLOOKUP(Table8[[#This Row],[Country Code]],Table29[],3,FALSE)</f>
        <v>Non-Annex I</v>
      </c>
      <c r="AS1134" s="233" t="str">
        <f>VLOOKUP(Table8[[#This Row],[Country Code]],Table29[],4,FALSE)</f>
        <v>Asia</v>
      </c>
      <c r="AT1134" s="233" t="str">
        <f>VLOOKUP(Table8[[#This Row],[Country Code]],Table29[],5,FALSE)</f>
        <v>Middle-income</v>
      </c>
      <c r="AU1134" s="233" t="str">
        <f>VLOOKUP(Table8[[#This Row],[Country Code]],Table29[],6,FALSE)</f>
        <v>no</v>
      </c>
      <c r="AV1134" s="233" t="str">
        <f>VLOOKUP(Table8[[#This Row],[Country Code]],Table29[],7,FALSE)</f>
        <v>no</v>
      </c>
      <c r="AW1134" s="233" t="str">
        <f>VLOOKUP(Table8[[#This Row],[Country Code]],Table29[],8,FALSE)</f>
        <v>non-OECD</v>
      </c>
      <c r="AX1134" s="233" t="str">
        <f>VLOOKUP(Table8[[#This Row],[Country Code]],Table29[],9,FALSE)</f>
        <v>no</v>
      </c>
      <c r="AY1134" s="233" t="str">
        <f>VLOOKUP(Table8[[#This Row],[Country Code]],Table29[],10,FALSE)</f>
        <v>MENA</v>
      </c>
      <c r="AZ1134" s="235">
        <f>VLOOKUP(Table8[[#This Row],[Country Code]],Table29[],23,FALSE)</f>
        <v>33.407709056244002</v>
      </c>
      <c r="BA1134" s="235">
        <f>VLOOKUP(Table8[[#This Row],[Country Code]],Table29[],24,FALSE)</f>
        <v>7.9780713824704446</v>
      </c>
      <c r="BB1134" s="320"/>
      <c r="BC1134" s="320"/>
    </row>
    <row r="1135" spans="1:55" hidden="1" x14ac:dyDescent="0.25">
      <c r="A1135" s="373">
        <v>17629</v>
      </c>
      <c r="B1135" s="233" t="str">
        <f>VLOOKUP(Table8[[#This Row],[Document ID]],Table1[],2,FALSE)</f>
        <v>JOR</v>
      </c>
      <c r="C1135" s="233" t="str">
        <f>VLOOKUP(Table8[[#This Row],[Document ID]],Table1[],3,FALSE)</f>
        <v>Jordan</v>
      </c>
      <c r="D1135" s="243" t="str">
        <f>VLOOKUP(Table8[[#This Row],[Document ID]],Table1[],5,FALSE)</f>
        <v>NDC</v>
      </c>
      <c r="E1135" s="233" t="str">
        <f>VLOOKUP(Table8[[#This Row],[Document ID]],Table1[],7,FALSE)</f>
        <v>First NDC</v>
      </c>
      <c r="F1135" s="236" t="str">
        <f>VLOOKUP(Table8[[#This Row],[Document ID]],Table1[],8,FALSE)</f>
        <v>NDC 1.0</v>
      </c>
      <c r="G1135" s="236" t="str">
        <f>VLOOKUP(Table8[[#This Row],[Document ID]],Table1[],10,FALSE)</f>
        <v>Archived</v>
      </c>
      <c r="H1135" s="43" t="s">
        <v>2343</v>
      </c>
      <c r="I1135" s="43" t="s">
        <v>2344</v>
      </c>
      <c r="J1135" s="44" t="s">
        <v>2549</v>
      </c>
      <c r="K1135" s="44" t="s">
        <v>3410</v>
      </c>
      <c r="L1135" s="44" t="s">
        <v>2347</v>
      </c>
      <c r="M1135" s="43"/>
      <c r="N1135" s="113"/>
      <c r="O1135" s="113"/>
      <c r="P1135" s="113"/>
      <c r="Q1135" s="319"/>
      <c r="R1135" s="319"/>
      <c r="S1135" s="319"/>
      <c r="T1135" s="319"/>
      <c r="U1135" s="319"/>
      <c r="V1135" s="319"/>
      <c r="W1135" s="319"/>
      <c r="X1135" s="319"/>
      <c r="Y1135" s="113" t="s">
        <v>1113</v>
      </c>
      <c r="Z1135" s="113"/>
      <c r="AA1135" s="319"/>
      <c r="AB1135" s="319"/>
      <c r="AC1135" s="319"/>
      <c r="AD1135" s="319"/>
      <c r="AE1135" s="319"/>
      <c r="AF1135" s="319"/>
      <c r="AG1135" s="319"/>
      <c r="AH1135" s="319"/>
      <c r="AI1135" s="319"/>
      <c r="AJ1135" s="319"/>
      <c r="AK1135" s="319"/>
      <c r="AL1135" s="113" t="s">
        <v>1113</v>
      </c>
      <c r="AM1135" s="319"/>
      <c r="AN1135" s="319"/>
      <c r="AO1135" s="43" t="s">
        <v>2348</v>
      </c>
      <c r="AP1135" s="44"/>
      <c r="AQ1135" s="236" t="str">
        <f>VLOOKUP(Table8[[#This Row],[Instrument]],Def_Targets!$D$73:$E$159,2,FALSE)</f>
        <v>S_BRT</v>
      </c>
      <c r="AR1135" s="233" t="str">
        <f>VLOOKUP(Table8[[#This Row],[Country Code]],Table29[],3,FALSE)</f>
        <v>Non-Annex I</v>
      </c>
      <c r="AS1135" s="233" t="str">
        <f>VLOOKUP(Table8[[#This Row],[Country Code]],Table29[],4,FALSE)</f>
        <v>Asia</v>
      </c>
      <c r="AT1135" s="233" t="str">
        <f>VLOOKUP(Table8[[#This Row],[Country Code]],Table29[],5,FALSE)</f>
        <v>Middle-income</v>
      </c>
      <c r="AU1135" s="233" t="str">
        <f>VLOOKUP(Table8[[#This Row],[Country Code]],Table29[],6,FALSE)</f>
        <v>no</v>
      </c>
      <c r="AV1135" s="233" t="str">
        <f>VLOOKUP(Table8[[#This Row],[Country Code]],Table29[],7,FALSE)</f>
        <v>no</v>
      </c>
      <c r="AW1135" s="233" t="str">
        <f>VLOOKUP(Table8[[#This Row],[Country Code]],Table29[],8,FALSE)</f>
        <v>non-OECD</v>
      </c>
      <c r="AX1135" s="233" t="str">
        <f>VLOOKUP(Table8[[#This Row],[Country Code]],Table29[],9,FALSE)</f>
        <v>no</v>
      </c>
      <c r="AY1135" s="233" t="str">
        <f>VLOOKUP(Table8[[#This Row],[Country Code]],Table29[],10,FALSE)</f>
        <v>MENA</v>
      </c>
      <c r="AZ1135" s="235">
        <f>VLOOKUP(Table8[[#This Row],[Country Code]],Table29[],23,FALSE)</f>
        <v>33.407709056244002</v>
      </c>
      <c r="BA1135" s="235">
        <f>VLOOKUP(Table8[[#This Row],[Country Code]],Table29[],24,FALSE)</f>
        <v>7.9780713824704446</v>
      </c>
      <c r="BB1135" s="320"/>
      <c r="BC1135" s="320"/>
    </row>
    <row r="1136" spans="1:55" ht="30" hidden="1" x14ac:dyDescent="0.25">
      <c r="A1136" s="373">
        <v>17629</v>
      </c>
      <c r="B1136" s="233" t="str">
        <f>VLOOKUP(Table8[[#This Row],[Document ID]],Table1[],2,FALSE)</f>
        <v>JOR</v>
      </c>
      <c r="C1136" s="233" t="str">
        <f>VLOOKUP(Table8[[#This Row],[Document ID]],Table1[],3,FALSE)</f>
        <v>Jordan</v>
      </c>
      <c r="D1136" s="243" t="str">
        <f>VLOOKUP(Table8[[#This Row],[Document ID]],Table1[],5,FALSE)</f>
        <v>NDC</v>
      </c>
      <c r="E1136" s="233" t="str">
        <f>VLOOKUP(Table8[[#This Row],[Document ID]],Table1[],7,FALSE)</f>
        <v>First NDC</v>
      </c>
      <c r="F1136" s="236" t="str">
        <f>VLOOKUP(Table8[[#This Row],[Document ID]],Table1[],8,FALSE)</f>
        <v>NDC 1.0</v>
      </c>
      <c r="G1136" s="236" t="str">
        <f>VLOOKUP(Table8[[#This Row],[Document ID]],Table1[],10,FALSE)</f>
        <v>Archived</v>
      </c>
      <c r="H1136" s="43" t="s">
        <v>2343</v>
      </c>
      <c r="I1136" s="43" t="s">
        <v>2377</v>
      </c>
      <c r="J1136" s="44" t="s">
        <v>2394</v>
      </c>
      <c r="K1136" s="44" t="s">
        <v>3411</v>
      </c>
      <c r="L1136" s="44" t="s">
        <v>2380</v>
      </c>
      <c r="M1136" s="43"/>
      <c r="N1136" s="113" t="s">
        <v>1113</v>
      </c>
      <c r="O1136" s="113"/>
      <c r="P1136" s="113"/>
      <c r="Q1136" s="319"/>
      <c r="R1136" s="319"/>
      <c r="S1136" s="319"/>
      <c r="T1136" s="319"/>
      <c r="U1136" s="319"/>
      <c r="V1136" s="319"/>
      <c r="W1136" s="319"/>
      <c r="X1136" s="319"/>
      <c r="Y1136" s="319"/>
      <c r="Z1136" s="319"/>
      <c r="AA1136" s="319"/>
      <c r="AB1136" s="319"/>
      <c r="AC1136" s="319"/>
      <c r="AD1136" s="319"/>
      <c r="AE1136" s="319"/>
      <c r="AF1136" s="319"/>
      <c r="AG1136" s="319"/>
      <c r="AH1136" s="319"/>
      <c r="AI1136" s="319"/>
      <c r="AJ1136" s="319"/>
      <c r="AK1136" s="319"/>
      <c r="AL1136" s="113" t="s">
        <v>1113</v>
      </c>
      <c r="AM1136" s="319"/>
      <c r="AN1136" s="319"/>
      <c r="AO1136" s="44" t="s">
        <v>2334</v>
      </c>
      <c r="AP1136" s="44"/>
      <c r="AQ1136" s="236" t="str">
        <f>VLOOKUP(Table8[[#This Row],[Instrument]],Def_Targets!$D$73:$E$159,2,FALSE)</f>
        <v>A_TDM</v>
      </c>
      <c r="AR1136" s="233" t="str">
        <f>VLOOKUP(Table8[[#This Row],[Country Code]],Table29[],3,FALSE)</f>
        <v>Non-Annex I</v>
      </c>
      <c r="AS1136" s="233" t="str">
        <f>VLOOKUP(Table8[[#This Row],[Country Code]],Table29[],4,FALSE)</f>
        <v>Asia</v>
      </c>
      <c r="AT1136" s="233" t="str">
        <f>VLOOKUP(Table8[[#This Row],[Country Code]],Table29[],5,FALSE)</f>
        <v>Middle-income</v>
      </c>
      <c r="AU1136" s="233" t="str">
        <f>VLOOKUP(Table8[[#This Row],[Country Code]],Table29[],6,FALSE)</f>
        <v>no</v>
      </c>
      <c r="AV1136" s="233" t="str">
        <f>VLOOKUP(Table8[[#This Row],[Country Code]],Table29[],7,FALSE)</f>
        <v>no</v>
      </c>
      <c r="AW1136" s="233" t="str">
        <f>VLOOKUP(Table8[[#This Row],[Country Code]],Table29[],8,FALSE)</f>
        <v>non-OECD</v>
      </c>
      <c r="AX1136" s="233" t="str">
        <f>VLOOKUP(Table8[[#This Row],[Country Code]],Table29[],9,FALSE)</f>
        <v>no</v>
      </c>
      <c r="AY1136" s="233" t="str">
        <f>VLOOKUP(Table8[[#This Row],[Country Code]],Table29[],10,FALSE)</f>
        <v>MENA</v>
      </c>
      <c r="AZ1136" s="235">
        <f>VLOOKUP(Table8[[#This Row],[Country Code]],Table29[],23,FALSE)</f>
        <v>33.407709056244002</v>
      </c>
      <c r="BA1136" s="235">
        <f>VLOOKUP(Table8[[#This Row],[Country Code]],Table29[],24,FALSE)</f>
        <v>7.9780713824704446</v>
      </c>
      <c r="BB1136" s="320"/>
      <c r="BC1136" s="320"/>
    </row>
    <row r="1137" spans="1:55" ht="30" hidden="1" x14ac:dyDescent="0.25">
      <c r="A1137" s="373">
        <v>17629</v>
      </c>
      <c r="B1137" s="233" t="str">
        <f>VLOOKUP(Table8[[#This Row],[Document ID]],Table1[],2,FALSE)</f>
        <v>JOR</v>
      </c>
      <c r="C1137" s="233" t="str">
        <f>VLOOKUP(Table8[[#This Row],[Document ID]],Table1[],3,FALSE)</f>
        <v>Jordan</v>
      </c>
      <c r="D1137" s="243" t="str">
        <f>VLOOKUP(Table8[[#This Row],[Document ID]],Table1[],5,FALSE)</f>
        <v>NDC</v>
      </c>
      <c r="E1137" s="233" t="str">
        <f>VLOOKUP(Table8[[#This Row],[Document ID]],Table1[],7,FALSE)</f>
        <v>First NDC</v>
      </c>
      <c r="F1137" s="236" t="str">
        <f>VLOOKUP(Table8[[#This Row],[Document ID]],Table1[],8,FALSE)</f>
        <v>NDC 1.0</v>
      </c>
      <c r="G1137" s="236" t="str">
        <f>VLOOKUP(Table8[[#This Row],[Document ID]],Table1[],10,FALSE)</f>
        <v>Archived</v>
      </c>
      <c r="H1137" s="43" t="s">
        <v>2350</v>
      </c>
      <c r="I1137" s="43" t="s">
        <v>2370</v>
      </c>
      <c r="J1137" s="44" t="s">
        <v>2371</v>
      </c>
      <c r="K1137" s="44" t="s">
        <v>3412</v>
      </c>
      <c r="L1137" s="44" t="s">
        <v>2373</v>
      </c>
      <c r="M1137" s="43"/>
      <c r="N1137" s="113" t="s">
        <v>1113</v>
      </c>
      <c r="O1137" s="113"/>
      <c r="P1137" s="113"/>
      <c r="Q1137" s="319"/>
      <c r="R1137" s="319"/>
      <c r="S1137" s="319"/>
      <c r="T1137" s="319"/>
      <c r="U1137" s="319"/>
      <c r="V1137" s="319"/>
      <c r="W1137" s="319"/>
      <c r="X1137" s="319"/>
      <c r="Y1137" s="319"/>
      <c r="Z1137" s="319"/>
      <c r="AA1137" s="319"/>
      <c r="AB1137" s="319"/>
      <c r="AC1137" s="319"/>
      <c r="AD1137" s="319"/>
      <c r="AE1137" s="319"/>
      <c r="AF1137" s="319"/>
      <c r="AG1137" s="319"/>
      <c r="AH1137" s="319"/>
      <c r="AI1137" s="319"/>
      <c r="AJ1137" s="319"/>
      <c r="AK1137" s="319" t="s">
        <v>1113</v>
      </c>
      <c r="AL1137" s="319"/>
      <c r="AM1137" s="319"/>
      <c r="AN1137" s="319"/>
      <c r="AO1137" s="44" t="s">
        <v>2334</v>
      </c>
      <c r="AP1137" s="44"/>
      <c r="AQ1137" s="236" t="str">
        <f>VLOOKUP(Table8[[#This Row],[Instrument]],Def_Targets!$D$73:$E$159,2,FALSE)</f>
        <v>A_Natmobplan</v>
      </c>
      <c r="AR1137" s="233" t="str">
        <f>VLOOKUP(Table8[[#This Row],[Country Code]],Table29[],3,FALSE)</f>
        <v>Non-Annex I</v>
      </c>
      <c r="AS1137" s="233" t="str">
        <f>VLOOKUP(Table8[[#This Row],[Country Code]],Table29[],4,FALSE)</f>
        <v>Asia</v>
      </c>
      <c r="AT1137" s="233" t="str">
        <f>VLOOKUP(Table8[[#This Row],[Country Code]],Table29[],5,FALSE)</f>
        <v>Middle-income</v>
      </c>
      <c r="AU1137" s="233" t="str">
        <f>VLOOKUP(Table8[[#This Row],[Country Code]],Table29[],6,FALSE)</f>
        <v>no</v>
      </c>
      <c r="AV1137" s="233" t="str">
        <f>VLOOKUP(Table8[[#This Row],[Country Code]],Table29[],7,FALSE)</f>
        <v>no</v>
      </c>
      <c r="AW1137" s="233" t="str">
        <f>VLOOKUP(Table8[[#This Row],[Country Code]],Table29[],8,FALSE)</f>
        <v>non-OECD</v>
      </c>
      <c r="AX1137" s="233" t="str">
        <f>VLOOKUP(Table8[[#This Row],[Country Code]],Table29[],9,FALSE)</f>
        <v>no</v>
      </c>
      <c r="AY1137" s="233" t="str">
        <f>VLOOKUP(Table8[[#This Row],[Country Code]],Table29[],10,FALSE)</f>
        <v>MENA</v>
      </c>
      <c r="AZ1137" s="235">
        <f>VLOOKUP(Table8[[#This Row],[Country Code]],Table29[],23,FALSE)</f>
        <v>33.407709056244002</v>
      </c>
      <c r="BA1137" s="235">
        <f>VLOOKUP(Table8[[#This Row],[Country Code]],Table29[],24,FALSE)</f>
        <v>7.9780713824704446</v>
      </c>
      <c r="BB1137" s="320"/>
      <c r="BC1137" s="320"/>
    </row>
    <row r="1138" spans="1:55" ht="30" hidden="1" x14ac:dyDescent="0.25">
      <c r="A1138" s="373">
        <v>17629</v>
      </c>
      <c r="B1138" s="233" t="str">
        <f>VLOOKUP(Table8[[#This Row],[Document ID]],Table1[],2,FALSE)</f>
        <v>JOR</v>
      </c>
      <c r="C1138" s="233" t="str">
        <f>VLOOKUP(Table8[[#This Row],[Document ID]],Table1[],3,FALSE)</f>
        <v>Jordan</v>
      </c>
      <c r="D1138" s="243" t="str">
        <f>VLOOKUP(Table8[[#This Row],[Document ID]],Table1[],5,FALSE)</f>
        <v>NDC</v>
      </c>
      <c r="E1138" s="233" t="str">
        <f>VLOOKUP(Table8[[#This Row],[Document ID]],Table1[],7,FALSE)</f>
        <v>First NDC</v>
      </c>
      <c r="F1138" s="236" t="str">
        <f>VLOOKUP(Table8[[#This Row],[Document ID]],Table1[],8,FALSE)</f>
        <v>NDC 1.0</v>
      </c>
      <c r="G1138" s="236" t="str">
        <f>VLOOKUP(Table8[[#This Row],[Document ID]],Table1[],10,FALSE)</f>
        <v>Archived</v>
      </c>
      <c r="H1138" s="43" t="s">
        <v>2343</v>
      </c>
      <c r="I1138" s="43" t="s">
        <v>2344</v>
      </c>
      <c r="J1138" s="44" t="s">
        <v>2345</v>
      </c>
      <c r="K1138" s="44" t="s">
        <v>3413</v>
      </c>
      <c r="L1138" s="44" t="s">
        <v>2347</v>
      </c>
      <c r="M1138" s="43"/>
      <c r="N1138" s="113" t="s">
        <v>1113</v>
      </c>
      <c r="O1138" s="113"/>
      <c r="P1138" s="113"/>
      <c r="Q1138" s="319"/>
      <c r="R1138" s="319"/>
      <c r="S1138" s="319"/>
      <c r="T1138" s="319"/>
      <c r="U1138" s="319"/>
      <c r="V1138" s="319"/>
      <c r="W1138" s="319"/>
      <c r="X1138" s="319"/>
      <c r="Y1138" s="319"/>
      <c r="Z1138" s="319"/>
      <c r="AA1138" s="319"/>
      <c r="AB1138" s="319"/>
      <c r="AC1138" s="319"/>
      <c r="AD1138" s="319"/>
      <c r="AE1138" s="319"/>
      <c r="AF1138" s="319"/>
      <c r="AG1138" s="319"/>
      <c r="AH1138" s="319"/>
      <c r="AI1138" s="319"/>
      <c r="AJ1138" s="319"/>
      <c r="AK1138" s="319" t="s">
        <v>1113</v>
      </c>
      <c r="AL1138" s="319"/>
      <c r="AM1138" s="319"/>
      <c r="AN1138" s="319"/>
      <c r="AO1138" s="43" t="s">
        <v>2348</v>
      </c>
      <c r="AP1138" s="44"/>
      <c r="AQ1138" s="236" t="str">
        <f>VLOOKUP(Table8[[#This Row],[Instrument]],Def_Targets!$D$73:$E$159,2,FALSE)</f>
        <v>S_PublicTransport</v>
      </c>
      <c r="AR1138" s="233" t="str">
        <f>VLOOKUP(Table8[[#This Row],[Country Code]],Table29[],3,FALSE)</f>
        <v>Non-Annex I</v>
      </c>
      <c r="AS1138" s="233" t="str">
        <f>VLOOKUP(Table8[[#This Row],[Country Code]],Table29[],4,FALSE)</f>
        <v>Asia</v>
      </c>
      <c r="AT1138" s="233" t="str">
        <f>VLOOKUP(Table8[[#This Row],[Country Code]],Table29[],5,FALSE)</f>
        <v>Middle-income</v>
      </c>
      <c r="AU1138" s="233" t="str">
        <f>VLOOKUP(Table8[[#This Row],[Country Code]],Table29[],6,FALSE)</f>
        <v>no</v>
      </c>
      <c r="AV1138" s="233" t="str">
        <f>VLOOKUP(Table8[[#This Row],[Country Code]],Table29[],7,FALSE)</f>
        <v>no</v>
      </c>
      <c r="AW1138" s="233" t="str">
        <f>VLOOKUP(Table8[[#This Row],[Country Code]],Table29[],8,FALSE)</f>
        <v>non-OECD</v>
      </c>
      <c r="AX1138" s="233" t="str">
        <f>VLOOKUP(Table8[[#This Row],[Country Code]],Table29[],9,FALSE)</f>
        <v>no</v>
      </c>
      <c r="AY1138" s="233" t="str">
        <f>VLOOKUP(Table8[[#This Row],[Country Code]],Table29[],10,FALSE)</f>
        <v>MENA</v>
      </c>
      <c r="AZ1138" s="235">
        <f>VLOOKUP(Table8[[#This Row],[Country Code]],Table29[],23,FALSE)</f>
        <v>33.407709056244002</v>
      </c>
      <c r="BA1138" s="235">
        <f>VLOOKUP(Table8[[#This Row],[Country Code]],Table29[],24,FALSE)</f>
        <v>7.9780713824704446</v>
      </c>
      <c r="BB1138" s="320"/>
      <c r="BC1138" s="320"/>
    </row>
    <row r="1139" spans="1:55" ht="30" hidden="1" x14ac:dyDescent="0.25">
      <c r="A1139" s="373">
        <v>17629</v>
      </c>
      <c r="B1139" s="233" t="str">
        <f>VLOOKUP(Table8[[#This Row],[Document ID]],Table1[],2,FALSE)</f>
        <v>JOR</v>
      </c>
      <c r="C1139" s="233" t="str">
        <f>VLOOKUP(Table8[[#This Row],[Document ID]],Table1[],3,FALSE)</f>
        <v>Jordan</v>
      </c>
      <c r="D1139" s="243" t="str">
        <f>VLOOKUP(Table8[[#This Row],[Document ID]],Table1[],5,FALSE)</f>
        <v>NDC</v>
      </c>
      <c r="E1139" s="233" t="str">
        <f>VLOOKUP(Table8[[#This Row],[Document ID]],Table1[],7,FALSE)</f>
        <v>First NDC</v>
      </c>
      <c r="F1139" s="236" t="str">
        <f>VLOOKUP(Table8[[#This Row],[Document ID]],Table1[],8,FALSE)</f>
        <v>NDC 1.0</v>
      </c>
      <c r="G1139" s="236" t="str">
        <f>VLOOKUP(Table8[[#This Row],[Document ID]],Table1[],10,FALSE)</f>
        <v>Archived</v>
      </c>
      <c r="H1139" s="44" t="s">
        <v>2338</v>
      </c>
      <c r="I1139" s="44" t="s">
        <v>2339</v>
      </c>
      <c r="J1139" s="44" t="s">
        <v>2340</v>
      </c>
      <c r="K1139" s="44" t="s">
        <v>3414</v>
      </c>
      <c r="L1139" s="44" t="s">
        <v>2333</v>
      </c>
      <c r="M1139" s="43"/>
      <c r="N1139" s="113" t="s">
        <v>1113</v>
      </c>
      <c r="O1139" s="113"/>
      <c r="P1139" s="113"/>
      <c r="Q1139" s="319"/>
      <c r="R1139" s="319"/>
      <c r="S1139" s="319"/>
      <c r="T1139" s="319"/>
      <c r="U1139" s="319"/>
      <c r="V1139" s="319"/>
      <c r="W1139" s="319"/>
      <c r="X1139" s="319"/>
      <c r="Y1139" s="319"/>
      <c r="Z1139" s="319"/>
      <c r="AA1139" s="319"/>
      <c r="AB1139" s="319"/>
      <c r="AC1139" s="319"/>
      <c r="AD1139" s="319"/>
      <c r="AE1139" s="319"/>
      <c r="AF1139" s="319"/>
      <c r="AG1139" s="319"/>
      <c r="AH1139" s="319"/>
      <c r="AI1139" s="319"/>
      <c r="AJ1139" s="319"/>
      <c r="AK1139" s="319" t="s">
        <v>1113</v>
      </c>
      <c r="AL1139" s="319"/>
      <c r="AM1139" s="319"/>
      <c r="AN1139" s="319"/>
      <c r="AO1139" s="44" t="s">
        <v>2334</v>
      </c>
      <c r="AP1139" s="44"/>
      <c r="AQ1139" s="236" t="str">
        <f>VLOOKUP(Table8[[#This Row],[Instrument]],Def_Targets!$D$73:$E$159,2,FALSE)</f>
        <v>I_Vehicleimprove</v>
      </c>
      <c r="AR1139" s="233" t="str">
        <f>VLOOKUP(Table8[[#This Row],[Country Code]],Table29[],3,FALSE)</f>
        <v>Non-Annex I</v>
      </c>
      <c r="AS1139" s="233" t="str">
        <f>VLOOKUP(Table8[[#This Row],[Country Code]],Table29[],4,FALSE)</f>
        <v>Asia</v>
      </c>
      <c r="AT1139" s="233" t="str">
        <f>VLOOKUP(Table8[[#This Row],[Country Code]],Table29[],5,FALSE)</f>
        <v>Middle-income</v>
      </c>
      <c r="AU1139" s="233" t="str">
        <f>VLOOKUP(Table8[[#This Row],[Country Code]],Table29[],6,FALSE)</f>
        <v>no</v>
      </c>
      <c r="AV1139" s="233" t="str">
        <f>VLOOKUP(Table8[[#This Row],[Country Code]],Table29[],7,FALSE)</f>
        <v>no</v>
      </c>
      <c r="AW1139" s="233" t="str">
        <f>VLOOKUP(Table8[[#This Row],[Country Code]],Table29[],8,FALSE)</f>
        <v>non-OECD</v>
      </c>
      <c r="AX1139" s="233" t="str">
        <f>VLOOKUP(Table8[[#This Row],[Country Code]],Table29[],9,FALSE)</f>
        <v>no</v>
      </c>
      <c r="AY1139" s="233" t="str">
        <f>VLOOKUP(Table8[[#This Row],[Country Code]],Table29[],10,FALSE)</f>
        <v>MENA</v>
      </c>
      <c r="AZ1139" s="235">
        <f>VLOOKUP(Table8[[#This Row],[Country Code]],Table29[],23,FALSE)</f>
        <v>33.407709056244002</v>
      </c>
      <c r="BA1139" s="235">
        <f>VLOOKUP(Table8[[#This Row],[Country Code]],Table29[],24,FALSE)</f>
        <v>7.9780713824704446</v>
      </c>
      <c r="BB1139" s="320"/>
      <c r="BC1139" s="320"/>
    </row>
    <row r="1140" spans="1:55" ht="30" hidden="1" x14ac:dyDescent="0.25">
      <c r="A1140" s="373">
        <v>23378</v>
      </c>
      <c r="B1140" s="233" t="str">
        <f>VLOOKUP(Table8[[#This Row],[Document ID]],Table1[],2,FALSE)</f>
        <v>JOR</v>
      </c>
      <c r="C1140" s="233" t="str">
        <f>VLOOKUP(Table8[[#This Row],[Document ID]],Table1[],3,FALSE)</f>
        <v>Jordan</v>
      </c>
      <c r="D1140" s="243" t="str">
        <f>VLOOKUP(Table8[[#This Row],[Document ID]],Table1[],5,FALSE)</f>
        <v>NDC</v>
      </c>
      <c r="E1140" s="233" t="str">
        <f>VLOOKUP(Table8[[#This Row],[Document ID]],Table1[],7,FALSE)</f>
        <v>First NDC updated</v>
      </c>
      <c r="F1140" s="233" t="str">
        <f>VLOOKUP(Table8[[#This Row],[Document ID]],Table1[],8,FALSE)</f>
        <v>NDC 1.1</v>
      </c>
      <c r="G1140" s="233" t="str">
        <f>VLOOKUP(Table8[[#This Row],[Document ID]],Table1[],10,FALSE)</f>
        <v>Active</v>
      </c>
      <c r="H1140" s="43" t="s">
        <v>2343</v>
      </c>
      <c r="I1140" s="43" t="s">
        <v>2344</v>
      </c>
      <c r="J1140" s="44" t="s">
        <v>2549</v>
      </c>
      <c r="K1140" s="44" t="s">
        <v>3415</v>
      </c>
      <c r="L1140" s="44" t="s">
        <v>2347</v>
      </c>
      <c r="M1140" s="43">
        <v>28</v>
      </c>
      <c r="N1140" s="113"/>
      <c r="O1140" s="113"/>
      <c r="P1140" s="113"/>
      <c r="Q1140" s="113"/>
      <c r="R1140" s="113"/>
      <c r="S1140" s="113"/>
      <c r="T1140" s="113"/>
      <c r="U1140" s="113"/>
      <c r="V1140" s="113"/>
      <c r="W1140" s="113"/>
      <c r="X1140" s="113"/>
      <c r="Y1140" s="113" t="s">
        <v>1113</v>
      </c>
      <c r="Z1140" s="113"/>
      <c r="AA1140" s="113"/>
      <c r="AB1140" s="113"/>
      <c r="AC1140" s="113"/>
      <c r="AD1140" s="113"/>
      <c r="AE1140" s="113"/>
      <c r="AF1140" s="113"/>
      <c r="AG1140" s="113"/>
      <c r="AH1140" s="113"/>
      <c r="AI1140" s="113"/>
      <c r="AJ1140" s="113"/>
      <c r="AK1140" s="113"/>
      <c r="AL1140" s="113" t="s">
        <v>1113</v>
      </c>
      <c r="AM1140" s="113"/>
      <c r="AN1140" s="113"/>
      <c r="AO1140" s="43" t="s">
        <v>2348</v>
      </c>
      <c r="AP1140" s="43"/>
      <c r="AQ1140" s="236" t="str">
        <f>VLOOKUP(Table8[[#This Row],[Instrument]],Def_Targets!$D$73:$E$159,2,FALSE)</f>
        <v>S_BRT</v>
      </c>
      <c r="AR1140" s="233" t="str">
        <f>VLOOKUP(Table8[[#This Row],[Country Code]],Table29[],3,FALSE)</f>
        <v>Non-Annex I</v>
      </c>
      <c r="AS1140" s="233" t="str">
        <f>VLOOKUP(Table8[[#This Row],[Country Code]],Table29[],4,FALSE)</f>
        <v>Asia</v>
      </c>
      <c r="AT1140" s="233" t="str">
        <f>VLOOKUP(Table8[[#This Row],[Country Code]],Table29[],5,FALSE)</f>
        <v>Middle-income</v>
      </c>
      <c r="AU1140" s="233" t="str">
        <f>VLOOKUP(Table8[[#This Row],[Country Code]],Table29[],6,FALSE)</f>
        <v>no</v>
      </c>
      <c r="AV1140" s="233" t="str">
        <f>VLOOKUP(Table8[[#This Row],[Country Code]],Table29[],7,FALSE)</f>
        <v>no</v>
      </c>
      <c r="AW1140" s="233" t="str">
        <f>VLOOKUP(Table8[[#This Row],[Country Code]],Table29[],8,FALSE)</f>
        <v>non-OECD</v>
      </c>
      <c r="AX1140" s="233" t="str">
        <f>VLOOKUP(Table8[[#This Row],[Country Code]],Table29[],9,FALSE)</f>
        <v>no</v>
      </c>
      <c r="AY1140" s="233" t="str">
        <f>VLOOKUP(Table8[[#This Row],[Country Code]],Table29[],10,FALSE)</f>
        <v>MENA</v>
      </c>
      <c r="AZ1140" s="235">
        <f>VLOOKUP(Table8[[#This Row],[Country Code]],Table29[],23,FALSE)</f>
        <v>33.407709056244002</v>
      </c>
      <c r="BA1140" s="235">
        <f>VLOOKUP(Table8[[#This Row],[Country Code]],Table29[],24,FALSE)</f>
        <v>7.9780713824704446</v>
      </c>
      <c r="BB1140" s="320"/>
      <c r="BC1140" s="320"/>
    </row>
    <row r="1141" spans="1:55" ht="105" hidden="1" x14ac:dyDescent="0.25">
      <c r="A1141" s="373">
        <v>23378</v>
      </c>
      <c r="B1141" s="233" t="str">
        <f>VLOOKUP(Table8[[#This Row],[Document ID]],Table1[],2,FALSE)</f>
        <v>JOR</v>
      </c>
      <c r="C1141" s="233" t="str">
        <f>VLOOKUP(Table8[[#This Row],[Document ID]],Table1[],3,FALSE)</f>
        <v>Jordan</v>
      </c>
      <c r="D1141" s="243" t="str">
        <f>VLOOKUP(Table8[[#This Row],[Document ID]],Table1[],5,FALSE)</f>
        <v>NDC</v>
      </c>
      <c r="E1141" s="233" t="str">
        <f>VLOOKUP(Table8[[#This Row],[Document ID]],Table1[],7,FALSE)</f>
        <v>First NDC updated</v>
      </c>
      <c r="F1141" s="233" t="str">
        <f>VLOOKUP(Table8[[#This Row],[Document ID]],Table1[],8,FALSE)</f>
        <v>NDC 1.1</v>
      </c>
      <c r="G1141" s="233" t="str">
        <f>VLOOKUP(Table8[[#This Row],[Document ID]],Table1[],10,FALSE)</f>
        <v>Active</v>
      </c>
      <c r="H1141" s="43" t="s">
        <v>2343</v>
      </c>
      <c r="I1141" s="43" t="s">
        <v>2344</v>
      </c>
      <c r="J1141" s="44" t="s">
        <v>2345</v>
      </c>
      <c r="K1141" s="44" t="s">
        <v>3416</v>
      </c>
      <c r="L1141" s="44" t="s">
        <v>2347</v>
      </c>
      <c r="M1141" s="43">
        <v>29</v>
      </c>
      <c r="N1141" s="113"/>
      <c r="O1141" s="113"/>
      <c r="P1141" s="113"/>
      <c r="Q1141" s="113"/>
      <c r="R1141" s="113"/>
      <c r="S1141" s="113"/>
      <c r="T1141" s="113"/>
      <c r="U1141" s="113"/>
      <c r="V1141" s="113"/>
      <c r="W1141" s="113"/>
      <c r="X1141" s="113"/>
      <c r="Y1141" s="113" t="s">
        <v>1113</v>
      </c>
      <c r="Z1141" s="113"/>
      <c r="AA1141" s="113"/>
      <c r="AB1141" s="113"/>
      <c r="AC1141" s="113"/>
      <c r="AD1141" s="113"/>
      <c r="AE1141" s="113"/>
      <c r="AF1141" s="113"/>
      <c r="AG1141" s="113"/>
      <c r="AH1141" s="113"/>
      <c r="AI1141" s="113"/>
      <c r="AJ1141" s="113"/>
      <c r="AK1141" s="113"/>
      <c r="AL1141" s="113" t="s">
        <v>1113</v>
      </c>
      <c r="AM1141" s="113"/>
      <c r="AN1141" s="113"/>
      <c r="AO1141" s="43" t="s">
        <v>2348</v>
      </c>
      <c r="AP1141" s="43"/>
      <c r="AQ1141" s="236" t="str">
        <f>VLOOKUP(Table8[[#This Row],[Instrument]],Def_Targets!$D$73:$E$159,2,FALSE)</f>
        <v>S_PublicTransport</v>
      </c>
      <c r="AR1141" s="233" t="str">
        <f>VLOOKUP(Table8[[#This Row],[Country Code]],Table29[],3,FALSE)</f>
        <v>Non-Annex I</v>
      </c>
      <c r="AS1141" s="233" t="str">
        <f>VLOOKUP(Table8[[#This Row],[Country Code]],Table29[],4,FALSE)</f>
        <v>Asia</v>
      </c>
      <c r="AT1141" s="233" t="str">
        <f>VLOOKUP(Table8[[#This Row],[Country Code]],Table29[],5,FALSE)</f>
        <v>Middle-income</v>
      </c>
      <c r="AU1141" s="233" t="str">
        <f>VLOOKUP(Table8[[#This Row],[Country Code]],Table29[],6,FALSE)</f>
        <v>no</v>
      </c>
      <c r="AV1141" s="233" t="str">
        <f>VLOOKUP(Table8[[#This Row],[Country Code]],Table29[],7,FALSE)</f>
        <v>no</v>
      </c>
      <c r="AW1141" s="233" t="str">
        <f>VLOOKUP(Table8[[#This Row],[Country Code]],Table29[],8,FALSE)</f>
        <v>non-OECD</v>
      </c>
      <c r="AX1141" s="233" t="str">
        <f>VLOOKUP(Table8[[#This Row],[Country Code]],Table29[],9,FALSE)</f>
        <v>no</v>
      </c>
      <c r="AY1141" s="233" t="str">
        <f>VLOOKUP(Table8[[#This Row],[Country Code]],Table29[],10,FALSE)</f>
        <v>MENA</v>
      </c>
      <c r="AZ1141" s="235">
        <f>VLOOKUP(Table8[[#This Row],[Country Code]],Table29[],23,FALSE)</f>
        <v>33.407709056244002</v>
      </c>
      <c r="BA1141" s="235">
        <f>VLOOKUP(Table8[[#This Row],[Country Code]],Table29[],24,FALSE)</f>
        <v>7.9780713824704446</v>
      </c>
      <c r="BB1141" s="320"/>
      <c r="BC1141" s="320"/>
    </row>
    <row r="1142" spans="1:55" ht="105" hidden="1" x14ac:dyDescent="0.25">
      <c r="A1142" s="373">
        <v>23378</v>
      </c>
      <c r="B1142" s="233" t="str">
        <f>VLOOKUP(Table8[[#This Row],[Document ID]],Table1[],2,FALSE)</f>
        <v>JOR</v>
      </c>
      <c r="C1142" s="233" t="str">
        <f>VLOOKUP(Table8[[#This Row],[Document ID]],Table1[],3,FALSE)</f>
        <v>Jordan</v>
      </c>
      <c r="D1142" s="243" t="str">
        <f>VLOOKUP(Table8[[#This Row],[Document ID]],Table1[],5,FALSE)</f>
        <v>NDC</v>
      </c>
      <c r="E1142" s="233" t="str">
        <f>VLOOKUP(Table8[[#This Row],[Document ID]],Table1[],7,FALSE)</f>
        <v>First NDC updated</v>
      </c>
      <c r="F1142" s="233" t="str">
        <f>VLOOKUP(Table8[[#This Row],[Document ID]],Table1[],8,FALSE)</f>
        <v>NDC 1.1</v>
      </c>
      <c r="G1142" s="233" t="str">
        <f>VLOOKUP(Table8[[#This Row],[Document ID]],Table1[],10,FALSE)</f>
        <v>Active</v>
      </c>
      <c r="H1142" s="43" t="s">
        <v>2358</v>
      </c>
      <c r="I1142" s="43" t="s">
        <v>2359</v>
      </c>
      <c r="J1142" s="44" t="s">
        <v>2360</v>
      </c>
      <c r="K1142" s="44" t="s">
        <v>3416</v>
      </c>
      <c r="L1142" s="44" t="s">
        <v>2471</v>
      </c>
      <c r="M1142" s="43">
        <v>29</v>
      </c>
      <c r="N1142" s="113"/>
      <c r="O1142" s="113"/>
      <c r="P1142" s="113"/>
      <c r="Q1142" s="113"/>
      <c r="R1142" s="113"/>
      <c r="S1142" s="113"/>
      <c r="T1142" s="113"/>
      <c r="U1142" s="113"/>
      <c r="V1142" s="113"/>
      <c r="W1142" s="113"/>
      <c r="X1142" s="113"/>
      <c r="Y1142" s="113" t="s">
        <v>1113</v>
      </c>
      <c r="Z1142" s="113"/>
      <c r="AA1142" s="113"/>
      <c r="AB1142" s="113"/>
      <c r="AC1142" s="113"/>
      <c r="AD1142" s="113"/>
      <c r="AE1142" s="113"/>
      <c r="AF1142" s="113"/>
      <c r="AG1142" s="113"/>
      <c r="AH1142" s="113"/>
      <c r="AI1142" s="113"/>
      <c r="AJ1142" s="113"/>
      <c r="AK1142" s="113"/>
      <c r="AL1142" s="113" t="s">
        <v>1113</v>
      </c>
      <c r="AM1142" s="113"/>
      <c r="AN1142" s="113"/>
      <c r="AO1142" s="43" t="s">
        <v>2348</v>
      </c>
      <c r="AP1142" s="43"/>
      <c r="AQ1142" s="236" t="str">
        <f>VLOOKUP(Table8[[#This Row],[Instrument]],Def_Targets!$D$73:$E$159,2,FALSE)</f>
        <v>I_Emobility</v>
      </c>
      <c r="AR1142" s="233" t="str">
        <f>VLOOKUP(Table8[[#This Row],[Country Code]],Table29[],3,FALSE)</f>
        <v>Non-Annex I</v>
      </c>
      <c r="AS1142" s="233" t="str">
        <f>VLOOKUP(Table8[[#This Row],[Country Code]],Table29[],4,FALSE)</f>
        <v>Asia</v>
      </c>
      <c r="AT1142" s="233" t="str">
        <f>VLOOKUP(Table8[[#This Row],[Country Code]],Table29[],5,FALSE)</f>
        <v>Middle-income</v>
      </c>
      <c r="AU1142" s="233" t="str">
        <f>VLOOKUP(Table8[[#This Row],[Country Code]],Table29[],6,FALSE)</f>
        <v>no</v>
      </c>
      <c r="AV1142" s="233" t="str">
        <f>VLOOKUP(Table8[[#This Row],[Country Code]],Table29[],7,FALSE)</f>
        <v>no</v>
      </c>
      <c r="AW1142" s="233" t="str">
        <f>VLOOKUP(Table8[[#This Row],[Country Code]],Table29[],8,FALSE)</f>
        <v>non-OECD</v>
      </c>
      <c r="AX1142" s="233" t="str">
        <f>VLOOKUP(Table8[[#This Row],[Country Code]],Table29[],9,FALSE)</f>
        <v>no</v>
      </c>
      <c r="AY1142" s="233" t="str">
        <f>VLOOKUP(Table8[[#This Row],[Country Code]],Table29[],10,FALSE)</f>
        <v>MENA</v>
      </c>
      <c r="AZ1142" s="235">
        <f>VLOOKUP(Table8[[#This Row],[Country Code]],Table29[],23,FALSE)</f>
        <v>33.407709056244002</v>
      </c>
      <c r="BA1142" s="235">
        <f>VLOOKUP(Table8[[#This Row],[Country Code]],Table29[],24,FALSE)</f>
        <v>7.9780713824704446</v>
      </c>
      <c r="BB1142" s="320"/>
      <c r="BC1142" s="320"/>
    </row>
    <row r="1143" spans="1:55" hidden="1" x14ac:dyDescent="0.25">
      <c r="A1143" s="373">
        <v>23378</v>
      </c>
      <c r="B1143" s="233" t="str">
        <f>VLOOKUP(Table8[[#This Row],[Document ID]],Table1[],2,FALSE)</f>
        <v>JOR</v>
      </c>
      <c r="C1143" s="233" t="str">
        <f>VLOOKUP(Table8[[#This Row],[Document ID]],Table1[],3,FALSE)</f>
        <v>Jordan</v>
      </c>
      <c r="D1143" s="243" t="str">
        <f>VLOOKUP(Table8[[#This Row],[Document ID]],Table1[],5,FALSE)</f>
        <v>NDC</v>
      </c>
      <c r="E1143" s="233" t="str">
        <f>VLOOKUP(Table8[[#This Row],[Document ID]],Table1[],7,FALSE)</f>
        <v>First NDC updated</v>
      </c>
      <c r="F1143" s="233" t="str">
        <f>VLOOKUP(Table8[[#This Row],[Document ID]],Table1[],8,FALSE)</f>
        <v>NDC 1.1</v>
      </c>
      <c r="G1143" s="233" t="str">
        <f>VLOOKUP(Table8[[#This Row],[Document ID]],Table1[],10,FALSE)</f>
        <v>Active</v>
      </c>
      <c r="H1143" s="43" t="s">
        <v>2343</v>
      </c>
      <c r="I1143" s="43" t="s">
        <v>2429</v>
      </c>
      <c r="J1143" s="44" t="s">
        <v>2430</v>
      </c>
      <c r="K1143" s="44" t="s">
        <v>3417</v>
      </c>
      <c r="L1143" s="44" t="s">
        <v>2333</v>
      </c>
      <c r="M1143" s="43">
        <v>29</v>
      </c>
      <c r="N1143" s="113" t="s">
        <v>1113</v>
      </c>
      <c r="O1143" s="113"/>
      <c r="P1143" s="113"/>
      <c r="Q1143" s="113"/>
      <c r="R1143" s="113"/>
      <c r="S1143" s="113"/>
      <c r="T1143" s="113"/>
      <c r="U1143" s="113"/>
      <c r="V1143" s="113"/>
      <c r="W1143" s="113"/>
      <c r="X1143" s="113"/>
      <c r="Y1143" s="113"/>
      <c r="Z1143" s="113"/>
      <c r="AA1143" s="113"/>
      <c r="AB1143" s="113"/>
      <c r="AC1143" s="113"/>
      <c r="AD1143" s="113"/>
      <c r="AE1143" s="113"/>
      <c r="AF1143" s="113"/>
      <c r="AG1143" s="113"/>
      <c r="AH1143" s="113"/>
      <c r="AI1143" s="113"/>
      <c r="AJ1143" s="113"/>
      <c r="AK1143" s="113" t="s">
        <v>1113</v>
      </c>
      <c r="AL1143" s="113"/>
      <c r="AM1143" s="113"/>
      <c r="AN1143" s="113"/>
      <c r="AO1143" s="44" t="s">
        <v>2334</v>
      </c>
      <c r="AP1143" s="43"/>
      <c r="AQ1143" s="236" t="str">
        <f>VLOOKUP(Table8[[#This Row],[Instrument]],Def_Targets!$D$73:$E$159,2,FALSE)</f>
        <v>I_ITS</v>
      </c>
      <c r="AR1143" s="233" t="str">
        <f>VLOOKUP(Table8[[#This Row],[Country Code]],Table29[],3,FALSE)</f>
        <v>Non-Annex I</v>
      </c>
      <c r="AS1143" s="233" t="str">
        <f>VLOOKUP(Table8[[#This Row],[Country Code]],Table29[],4,FALSE)</f>
        <v>Asia</v>
      </c>
      <c r="AT1143" s="233" t="str">
        <f>VLOOKUP(Table8[[#This Row],[Country Code]],Table29[],5,FALSE)</f>
        <v>Middle-income</v>
      </c>
      <c r="AU1143" s="233" t="str">
        <f>VLOOKUP(Table8[[#This Row],[Country Code]],Table29[],6,FALSE)</f>
        <v>no</v>
      </c>
      <c r="AV1143" s="233" t="str">
        <f>VLOOKUP(Table8[[#This Row],[Country Code]],Table29[],7,FALSE)</f>
        <v>no</v>
      </c>
      <c r="AW1143" s="233" t="str">
        <f>VLOOKUP(Table8[[#This Row],[Country Code]],Table29[],8,FALSE)</f>
        <v>non-OECD</v>
      </c>
      <c r="AX1143" s="233" t="str">
        <f>VLOOKUP(Table8[[#This Row],[Country Code]],Table29[],9,FALSE)</f>
        <v>no</v>
      </c>
      <c r="AY1143" s="233" t="str">
        <f>VLOOKUP(Table8[[#This Row],[Country Code]],Table29[],10,FALSE)</f>
        <v>MENA</v>
      </c>
      <c r="AZ1143" s="235">
        <f>VLOOKUP(Table8[[#This Row],[Country Code]],Table29[],23,FALSE)</f>
        <v>33.407709056244002</v>
      </c>
      <c r="BA1143" s="235">
        <f>VLOOKUP(Table8[[#This Row],[Country Code]],Table29[],24,FALSE)</f>
        <v>7.9780713824704446</v>
      </c>
      <c r="BB1143" s="320"/>
      <c r="BC1143" s="320"/>
    </row>
    <row r="1144" spans="1:55" ht="30" hidden="1" x14ac:dyDescent="0.25">
      <c r="A1144" s="373">
        <v>23378</v>
      </c>
      <c r="B1144" s="233" t="str">
        <f>VLOOKUP(Table8[[#This Row],[Document ID]],Table1[],2,FALSE)</f>
        <v>JOR</v>
      </c>
      <c r="C1144" s="233" t="str">
        <f>VLOOKUP(Table8[[#This Row],[Document ID]],Table1[],3,FALSE)</f>
        <v>Jordan</v>
      </c>
      <c r="D1144" s="243" t="str">
        <f>VLOOKUP(Table8[[#This Row],[Document ID]],Table1[],5,FALSE)</f>
        <v>NDC</v>
      </c>
      <c r="E1144" s="233" t="str">
        <f>VLOOKUP(Table8[[#This Row],[Document ID]],Table1[],7,FALSE)</f>
        <v>First NDC updated</v>
      </c>
      <c r="F1144" s="233" t="str">
        <f>VLOOKUP(Table8[[#This Row],[Document ID]],Table1[],8,FALSE)</f>
        <v>NDC 1.1</v>
      </c>
      <c r="G1144" s="233" t="str">
        <f>VLOOKUP(Table8[[#This Row],[Document ID]],Table1[],10,FALSE)</f>
        <v>Active</v>
      </c>
      <c r="H1144" s="43" t="s">
        <v>2358</v>
      </c>
      <c r="I1144" s="43" t="s">
        <v>2359</v>
      </c>
      <c r="J1144" s="44" t="s">
        <v>2360</v>
      </c>
      <c r="K1144" s="44" t="s">
        <v>1669</v>
      </c>
      <c r="L1144" s="44" t="s">
        <v>2333</v>
      </c>
      <c r="M1144" s="43">
        <v>29</v>
      </c>
      <c r="N1144" s="113"/>
      <c r="O1144" s="113"/>
      <c r="P1144" s="113"/>
      <c r="Q1144" s="113"/>
      <c r="R1144" s="113"/>
      <c r="S1144" s="113"/>
      <c r="T1144" s="113"/>
      <c r="U1144" s="113" t="s">
        <v>1113</v>
      </c>
      <c r="V1144" s="113"/>
      <c r="W1144" s="113"/>
      <c r="X1144" s="113"/>
      <c r="Y1144" s="113"/>
      <c r="Z1144" s="113"/>
      <c r="AA1144" s="113"/>
      <c r="AB1144" s="113"/>
      <c r="AC1144" s="113"/>
      <c r="AD1144" s="113"/>
      <c r="AE1144" s="113"/>
      <c r="AF1144" s="113"/>
      <c r="AG1144" s="113"/>
      <c r="AH1144" s="113"/>
      <c r="AI1144" s="113"/>
      <c r="AJ1144" s="113"/>
      <c r="AK1144" s="113" t="s">
        <v>1113</v>
      </c>
      <c r="AL1144" s="113"/>
      <c r="AM1144" s="113"/>
      <c r="AN1144" s="113"/>
      <c r="AO1144" s="44" t="s">
        <v>2334</v>
      </c>
      <c r="AP1144" s="43"/>
      <c r="AQ1144" s="236" t="str">
        <f>VLOOKUP(Table8[[#This Row],[Instrument]],Def_Targets!$D$73:$E$159,2,FALSE)</f>
        <v>I_Emobility</v>
      </c>
      <c r="AR1144" s="233" t="str">
        <f>VLOOKUP(Table8[[#This Row],[Country Code]],Table29[],3,FALSE)</f>
        <v>Non-Annex I</v>
      </c>
      <c r="AS1144" s="233" t="str">
        <f>VLOOKUP(Table8[[#This Row],[Country Code]],Table29[],4,FALSE)</f>
        <v>Asia</v>
      </c>
      <c r="AT1144" s="233" t="str">
        <f>VLOOKUP(Table8[[#This Row],[Country Code]],Table29[],5,FALSE)</f>
        <v>Middle-income</v>
      </c>
      <c r="AU1144" s="233" t="str">
        <f>VLOOKUP(Table8[[#This Row],[Country Code]],Table29[],6,FALSE)</f>
        <v>no</v>
      </c>
      <c r="AV1144" s="233" t="str">
        <f>VLOOKUP(Table8[[#This Row],[Country Code]],Table29[],7,FALSE)</f>
        <v>no</v>
      </c>
      <c r="AW1144" s="233" t="str">
        <f>VLOOKUP(Table8[[#This Row],[Country Code]],Table29[],8,FALSE)</f>
        <v>non-OECD</v>
      </c>
      <c r="AX1144" s="233" t="str">
        <f>VLOOKUP(Table8[[#This Row],[Country Code]],Table29[],9,FALSE)</f>
        <v>no</v>
      </c>
      <c r="AY1144" s="233" t="str">
        <f>VLOOKUP(Table8[[#This Row],[Country Code]],Table29[],10,FALSE)</f>
        <v>MENA</v>
      </c>
      <c r="AZ1144" s="235">
        <f>VLOOKUP(Table8[[#This Row],[Country Code]],Table29[],23,FALSE)</f>
        <v>33.407709056244002</v>
      </c>
      <c r="BA1144" s="235">
        <f>VLOOKUP(Table8[[#This Row],[Country Code]],Table29[],24,FALSE)</f>
        <v>7.9780713824704446</v>
      </c>
      <c r="BB1144" s="320"/>
      <c r="BC1144" s="320"/>
    </row>
    <row r="1145" spans="1:55" ht="75" hidden="1" x14ac:dyDescent="0.25">
      <c r="A1145" s="373">
        <v>23378</v>
      </c>
      <c r="B1145" s="233" t="str">
        <f>VLOOKUP(Table8[[#This Row],[Document ID]],Table1[],2,FALSE)</f>
        <v>JOR</v>
      </c>
      <c r="C1145" s="233" t="str">
        <f>VLOOKUP(Table8[[#This Row],[Document ID]],Table1[],3,FALSE)</f>
        <v>Jordan</v>
      </c>
      <c r="D1145" s="243" t="str">
        <f>VLOOKUP(Table8[[#This Row],[Document ID]],Table1[],5,FALSE)</f>
        <v>NDC</v>
      </c>
      <c r="E1145" s="233" t="str">
        <f>VLOOKUP(Table8[[#This Row],[Document ID]],Table1[],7,FALSE)</f>
        <v>First NDC updated</v>
      </c>
      <c r="F1145" s="233" t="str">
        <f>VLOOKUP(Table8[[#This Row],[Document ID]],Table1[],8,FALSE)</f>
        <v>NDC 1.1</v>
      </c>
      <c r="G1145" s="233" t="str">
        <f>VLOOKUP(Table8[[#This Row],[Document ID]],Table1[],10,FALSE)</f>
        <v>Active</v>
      </c>
      <c r="H1145" s="43" t="s">
        <v>2350</v>
      </c>
      <c r="I1145" s="43" t="s">
        <v>2351</v>
      </c>
      <c r="J1145" s="44" t="s">
        <v>2447</v>
      </c>
      <c r="K1145" s="44" t="s">
        <v>3418</v>
      </c>
      <c r="L1145" s="44" t="s">
        <v>2333</v>
      </c>
      <c r="M1145" s="43">
        <v>32</v>
      </c>
      <c r="N1145" s="113"/>
      <c r="O1145" s="113"/>
      <c r="P1145" s="113"/>
      <c r="Q1145" s="113"/>
      <c r="R1145" s="113"/>
      <c r="S1145" s="113"/>
      <c r="T1145" s="113"/>
      <c r="U1145" s="113"/>
      <c r="V1145" s="113"/>
      <c r="W1145" s="113"/>
      <c r="X1145" s="113" t="s">
        <v>1113</v>
      </c>
      <c r="Y1145" s="113"/>
      <c r="Z1145" s="113"/>
      <c r="AA1145" s="113"/>
      <c r="AB1145" s="113"/>
      <c r="AC1145" s="113"/>
      <c r="AD1145" s="113"/>
      <c r="AE1145" s="113"/>
      <c r="AF1145" s="113"/>
      <c r="AG1145" s="113"/>
      <c r="AH1145" s="113"/>
      <c r="AI1145" s="113"/>
      <c r="AJ1145" s="113"/>
      <c r="AK1145" s="113" t="s">
        <v>1113</v>
      </c>
      <c r="AL1145" s="113"/>
      <c r="AM1145" s="113"/>
      <c r="AN1145" s="113"/>
      <c r="AO1145" s="43" t="s">
        <v>2353</v>
      </c>
      <c r="AP1145" s="43"/>
      <c r="AQ1145" s="236" t="str">
        <f>VLOOKUP(Table8[[#This Row],[Instrument]],Def_Targets!$D$73:$E$159,2,FALSE)</f>
        <v>I_Freighteff</v>
      </c>
      <c r="AR1145" s="233" t="str">
        <f>VLOOKUP(Table8[[#This Row],[Country Code]],Table29[],3,FALSE)</f>
        <v>Non-Annex I</v>
      </c>
      <c r="AS1145" s="233" t="str">
        <f>VLOOKUP(Table8[[#This Row],[Country Code]],Table29[],4,FALSE)</f>
        <v>Asia</v>
      </c>
      <c r="AT1145" s="233" t="str">
        <f>VLOOKUP(Table8[[#This Row],[Country Code]],Table29[],5,FALSE)</f>
        <v>Middle-income</v>
      </c>
      <c r="AU1145" s="233" t="str">
        <f>VLOOKUP(Table8[[#This Row],[Country Code]],Table29[],6,FALSE)</f>
        <v>no</v>
      </c>
      <c r="AV1145" s="233" t="str">
        <f>VLOOKUP(Table8[[#This Row],[Country Code]],Table29[],7,FALSE)</f>
        <v>no</v>
      </c>
      <c r="AW1145" s="233" t="str">
        <f>VLOOKUP(Table8[[#This Row],[Country Code]],Table29[],8,FALSE)</f>
        <v>non-OECD</v>
      </c>
      <c r="AX1145" s="233" t="str">
        <f>VLOOKUP(Table8[[#This Row],[Country Code]],Table29[],9,FALSE)</f>
        <v>no</v>
      </c>
      <c r="AY1145" s="233" t="str">
        <f>VLOOKUP(Table8[[#This Row],[Country Code]],Table29[],10,FALSE)</f>
        <v>MENA</v>
      </c>
      <c r="AZ1145" s="235">
        <f>VLOOKUP(Table8[[#This Row],[Country Code]],Table29[],23,FALSE)</f>
        <v>33.407709056244002</v>
      </c>
      <c r="BA1145" s="235">
        <f>VLOOKUP(Table8[[#This Row],[Country Code]],Table29[],24,FALSE)</f>
        <v>7.9780713824704446</v>
      </c>
      <c r="BB1145" s="320"/>
      <c r="BC1145" s="320"/>
    </row>
    <row r="1146" spans="1:55" ht="30" hidden="1" x14ac:dyDescent="0.25">
      <c r="A1146" s="373">
        <v>23378</v>
      </c>
      <c r="B1146" s="233" t="str">
        <f>VLOOKUP(Table8[[#This Row],[Document ID]],Table1[],2,FALSE)</f>
        <v>JOR</v>
      </c>
      <c r="C1146" s="233" t="str">
        <f>VLOOKUP(Table8[[#This Row],[Document ID]],Table1[],3,FALSE)</f>
        <v>Jordan</v>
      </c>
      <c r="D1146" s="243" t="str">
        <f>VLOOKUP(Table8[[#This Row],[Document ID]],Table1[],5,FALSE)</f>
        <v>NDC</v>
      </c>
      <c r="E1146" s="233" t="str">
        <f>VLOOKUP(Table8[[#This Row],[Document ID]],Table1[],7,FALSE)</f>
        <v>First NDC updated</v>
      </c>
      <c r="F1146" s="233" t="str">
        <f>VLOOKUP(Table8[[#This Row],[Document ID]],Table1[],8,FALSE)</f>
        <v>NDC 1.1</v>
      </c>
      <c r="G1146" s="233" t="str">
        <f>VLOOKUP(Table8[[#This Row],[Document ID]],Table1[],10,FALSE)</f>
        <v>Active</v>
      </c>
      <c r="H1146" s="44" t="s">
        <v>2329</v>
      </c>
      <c r="I1146" s="44" t="s">
        <v>2330</v>
      </c>
      <c r="J1146" s="44" t="s">
        <v>2391</v>
      </c>
      <c r="K1146" s="44" t="s">
        <v>3419</v>
      </c>
      <c r="L1146" s="44" t="s">
        <v>2333</v>
      </c>
      <c r="M1146" s="43">
        <v>31</v>
      </c>
      <c r="N1146" s="113"/>
      <c r="O1146" s="113"/>
      <c r="P1146" s="113"/>
      <c r="Q1146" s="113"/>
      <c r="R1146" s="113"/>
      <c r="S1146" s="113"/>
      <c r="T1146" s="113"/>
      <c r="U1146" s="113"/>
      <c r="V1146" s="113"/>
      <c r="W1146" s="113"/>
      <c r="X1146" s="113" t="s">
        <v>1113</v>
      </c>
      <c r="Y1146" s="113"/>
      <c r="Z1146" s="113"/>
      <c r="AA1146" s="113"/>
      <c r="AB1146" s="113"/>
      <c r="AC1146" s="113"/>
      <c r="AD1146" s="113" t="s">
        <v>1113</v>
      </c>
      <c r="AE1146" s="113"/>
      <c r="AF1146" s="113"/>
      <c r="AG1146" s="113"/>
      <c r="AH1146" s="113" t="s">
        <v>1113</v>
      </c>
      <c r="AI1146" s="113"/>
      <c r="AJ1146" s="113"/>
      <c r="AK1146" s="113" t="s">
        <v>1113</v>
      </c>
      <c r="AL1146" s="113"/>
      <c r="AM1146" s="113"/>
      <c r="AN1146" s="113"/>
      <c r="AO1146" s="44" t="s">
        <v>2334</v>
      </c>
      <c r="AP1146" s="43"/>
      <c r="AQ1146" s="236" t="str">
        <f>VLOOKUP(Table8[[#This Row],[Instrument]],Def_Targets!$D$73:$E$159,2,FALSE)</f>
        <v>I_Hydrogen</v>
      </c>
      <c r="AR1146" s="233" t="str">
        <f>VLOOKUP(Table8[[#This Row],[Country Code]],Table29[],3,FALSE)</f>
        <v>Non-Annex I</v>
      </c>
      <c r="AS1146" s="233" t="str">
        <f>VLOOKUP(Table8[[#This Row],[Country Code]],Table29[],4,FALSE)</f>
        <v>Asia</v>
      </c>
      <c r="AT1146" s="233" t="str">
        <f>VLOOKUP(Table8[[#This Row],[Country Code]],Table29[],5,FALSE)</f>
        <v>Middle-income</v>
      </c>
      <c r="AU1146" s="233" t="str">
        <f>VLOOKUP(Table8[[#This Row],[Country Code]],Table29[],6,FALSE)</f>
        <v>no</v>
      </c>
      <c r="AV1146" s="233" t="str">
        <f>VLOOKUP(Table8[[#This Row],[Country Code]],Table29[],7,FALSE)</f>
        <v>no</v>
      </c>
      <c r="AW1146" s="233" t="str">
        <f>VLOOKUP(Table8[[#This Row],[Country Code]],Table29[],8,FALSE)</f>
        <v>non-OECD</v>
      </c>
      <c r="AX1146" s="233" t="str">
        <f>VLOOKUP(Table8[[#This Row],[Country Code]],Table29[],9,FALSE)</f>
        <v>no</v>
      </c>
      <c r="AY1146" s="233" t="str">
        <f>VLOOKUP(Table8[[#This Row],[Country Code]],Table29[],10,FALSE)</f>
        <v>MENA</v>
      </c>
      <c r="AZ1146" s="235">
        <f>VLOOKUP(Table8[[#This Row],[Country Code]],Table29[],23,FALSE)</f>
        <v>33.407709056244002</v>
      </c>
      <c r="BA1146" s="235">
        <f>VLOOKUP(Table8[[#This Row],[Country Code]],Table29[],24,FALSE)</f>
        <v>7.9780713824704446</v>
      </c>
      <c r="BB1146" s="320"/>
      <c r="BC1146" s="320"/>
    </row>
    <row r="1147" spans="1:55" ht="75" hidden="1" x14ac:dyDescent="0.25">
      <c r="A1147" s="373">
        <v>23378</v>
      </c>
      <c r="B1147" s="233" t="str">
        <f>VLOOKUP(Table8[[#This Row],[Document ID]],Table1[],2,FALSE)</f>
        <v>JOR</v>
      </c>
      <c r="C1147" s="233" t="str">
        <f>VLOOKUP(Table8[[#This Row],[Document ID]],Table1[],3,FALSE)</f>
        <v>Jordan</v>
      </c>
      <c r="D1147" s="243" t="str">
        <f>VLOOKUP(Table8[[#This Row],[Document ID]],Table1[],5,FALSE)</f>
        <v>NDC</v>
      </c>
      <c r="E1147" s="233" t="str">
        <f>VLOOKUP(Table8[[#This Row],[Document ID]],Table1[],7,FALSE)</f>
        <v>First NDC updated</v>
      </c>
      <c r="F1147" s="233" t="str">
        <f>VLOOKUP(Table8[[#This Row],[Document ID]],Table1[],8,FALSE)</f>
        <v>NDC 1.1</v>
      </c>
      <c r="G1147" s="233" t="str">
        <f>VLOOKUP(Table8[[#This Row],[Document ID]],Table1[],10,FALSE)</f>
        <v>Active</v>
      </c>
      <c r="H1147" s="43" t="s">
        <v>2350</v>
      </c>
      <c r="I1147" s="43" t="s">
        <v>2370</v>
      </c>
      <c r="J1147" s="44" t="s">
        <v>2418</v>
      </c>
      <c r="K1147" s="44" t="s">
        <v>3420</v>
      </c>
      <c r="L1147" s="44" t="s">
        <v>2380</v>
      </c>
      <c r="M1147" s="43">
        <v>32</v>
      </c>
      <c r="N1147" s="113" t="s">
        <v>1113</v>
      </c>
      <c r="O1147" s="113"/>
      <c r="P1147" s="113"/>
      <c r="Q1147" s="113"/>
      <c r="R1147" s="113"/>
      <c r="S1147" s="113"/>
      <c r="T1147" s="113"/>
      <c r="U1147" s="113"/>
      <c r="V1147" s="113"/>
      <c r="W1147" s="113"/>
      <c r="X1147" s="113"/>
      <c r="Y1147" s="113"/>
      <c r="Z1147" s="113"/>
      <c r="AA1147" s="113"/>
      <c r="AB1147" s="113"/>
      <c r="AC1147" s="113"/>
      <c r="AD1147" s="113"/>
      <c r="AE1147" s="113"/>
      <c r="AF1147" s="113"/>
      <c r="AG1147" s="113"/>
      <c r="AH1147" s="113"/>
      <c r="AI1147" s="113"/>
      <c r="AJ1147" s="113"/>
      <c r="AK1147" s="113"/>
      <c r="AL1147" s="113" t="s">
        <v>1113</v>
      </c>
      <c r="AM1147" s="113"/>
      <c r="AN1147" s="113"/>
      <c r="AO1147" s="44" t="s">
        <v>2334</v>
      </c>
      <c r="AP1147" s="43"/>
      <c r="AQ1147" s="236" t="str">
        <f>VLOOKUP(Table8[[#This Row],[Instrument]],Def_Targets!$D$73:$E$159,2,FALSE)</f>
        <v>A_Complan</v>
      </c>
      <c r="AR1147" s="233" t="str">
        <f>VLOOKUP(Table8[[#This Row],[Country Code]],Table29[],3,FALSE)</f>
        <v>Non-Annex I</v>
      </c>
      <c r="AS1147" s="233" t="str">
        <f>VLOOKUP(Table8[[#This Row],[Country Code]],Table29[],4,FALSE)</f>
        <v>Asia</v>
      </c>
      <c r="AT1147" s="233" t="str">
        <f>VLOOKUP(Table8[[#This Row],[Country Code]],Table29[],5,FALSE)</f>
        <v>Middle-income</v>
      </c>
      <c r="AU1147" s="233" t="str">
        <f>VLOOKUP(Table8[[#This Row],[Country Code]],Table29[],6,FALSE)</f>
        <v>no</v>
      </c>
      <c r="AV1147" s="233" t="str">
        <f>VLOOKUP(Table8[[#This Row],[Country Code]],Table29[],7,FALSE)</f>
        <v>no</v>
      </c>
      <c r="AW1147" s="233" t="str">
        <f>VLOOKUP(Table8[[#This Row],[Country Code]],Table29[],8,FALSE)</f>
        <v>non-OECD</v>
      </c>
      <c r="AX1147" s="233" t="str">
        <f>VLOOKUP(Table8[[#This Row],[Country Code]],Table29[],9,FALSE)</f>
        <v>no</v>
      </c>
      <c r="AY1147" s="233" t="str">
        <f>VLOOKUP(Table8[[#This Row],[Country Code]],Table29[],10,FALSE)</f>
        <v>MENA</v>
      </c>
      <c r="AZ1147" s="235">
        <f>VLOOKUP(Table8[[#This Row],[Country Code]],Table29[],23,FALSE)</f>
        <v>33.407709056244002</v>
      </c>
      <c r="BA1147" s="235">
        <f>VLOOKUP(Table8[[#This Row],[Country Code]],Table29[],24,FALSE)</f>
        <v>7.9780713824704446</v>
      </c>
      <c r="BB1147" s="320"/>
      <c r="BC1147" s="320"/>
    </row>
    <row r="1148" spans="1:55" ht="75" hidden="1" x14ac:dyDescent="0.25">
      <c r="A1148" s="373">
        <v>23378</v>
      </c>
      <c r="B1148" s="233" t="str">
        <f>VLOOKUP(Table8[[#This Row],[Document ID]],Table1[],2,FALSE)</f>
        <v>JOR</v>
      </c>
      <c r="C1148" s="233" t="str">
        <f>VLOOKUP(Table8[[#This Row],[Document ID]],Table1[],3,FALSE)</f>
        <v>Jordan</v>
      </c>
      <c r="D1148" s="243" t="str">
        <f>VLOOKUP(Table8[[#This Row],[Document ID]],Table1[],5,FALSE)</f>
        <v>NDC</v>
      </c>
      <c r="E1148" s="233" t="str">
        <f>VLOOKUP(Table8[[#This Row],[Document ID]],Table1[],7,FALSE)</f>
        <v>First NDC updated</v>
      </c>
      <c r="F1148" s="233" t="str">
        <f>VLOOKUP(Table8[[#This Row],[Document ID]],Table1[],8,FALSE)</f>
        <v>NDC 1.1</v>
      </c>
      <c r="G1148" s="233" t="str">
        <f>VLOOKUP(Table8[[#This Row],[Document ID]],Table1[],10,FALSE)</f>
        <v>Active</v>
      </c>
      <c r="H1148" s="43" t="s">
        <v>2343</v>
      </c>
      <c r="I1148" s="43" t="s">
        <v>2361</v>
      </c>
      <c r="J1148" s="44" t="s">
        <v>2366</v>
      </c>
      <c r="K1148" s="44" t="s">
        <v>3421</v>
      </c>
      <c r="L1148" s="44" t="s">
        <v>2347</v>
      </c>
      <c r="M1148" s="43">
        <v>32</v>
      </c>
      <c r="N1148" s="113"/>
      <c r="O1148" s="113"/>
      <c r="P1148" s="113" t="s">
        <v>1113</v>
      </c>
      <c r="Q1148" s="113" t="s">
        <v>1113</v>
      </c>
      <c r="R1148" s="113"/>
      <c r="S1148" s="113"/>
      <c r="T1148" s="113"/>
      <c r="U1148" s="113"/>
      <c r="V1148" s="113"/>
      <c r="W1148" s="113"/>
      <c r="X1148" s="113"/>
      <c r="Y1148" s="113"/>
      <c r="Z1148" s="113"/>
      <c r="AA1148" s="113"/>
      <c r="AB1148" s="113"/>
      <c r="AC1148" s="113"/>
      <c r="AD1148" s="113"/>
      <c r="AE1148" s="113"/>
      <c r="AF1148" s="113"/>
      <c r="AG1148" s="113"/>
      <c r="AH1148" s="113"/>
      <c r="AI1148" s="113"/>
      <c r="AJ1148" s="113"/>
      <c r="AK1148" s="113"/>
      <c r="AL1148" s="113" t="s">
        <v>1113</v>
      </c>
      <c r="AM1148" s="113"/>
      <c r="AN1148" s="113"/>
      <c r="AO1148" s="44" t="s">
        <v>2334</v>
      </c>
      <c r="AP1148" s="43"/>
      <c r="AQ1148" s="236" t="str">
        <f>VLOOKUP(Table8[[#This Row],[Instrument]],Def_Targets!$D$73:$E$159,2,FALSE)</f>
        <v>S_Activemobility</v>
      </c>
      <c r="AR1148" s="233" t="str">
        <f>VLOOKUP(Table8[[#This Row],[Country Code]],Table29[],3,FALSE)</f>
        <v>Non-Annex I</v>
      </c>
      <c r="AS1148" s="233" t="str">
        <f>VLOOKUP(Table8[[#This Row],[Country Code]],Table29[],4,FALSE)</f>
        <v>Asia</v>
      </c>
      <c r="AT1148" s="233" t="str">
        <f>VLOOKUP(Table8[[#This Row],[Country Code]],Table29[],5,FALSE)</f>
        <v>Middle-income</v>
      </c>
      <c r="AU1148" s="233" t="str">
        <f>VLOOKUP(Table8[[#This Row],[Country Code]],Table29[],6,FALSE)</f>
        <v>no</v>
      </c>
      <c r="AV1148" s="233" t="str">
        <f>VLOOKUP(Table8[[#This Row],[Country Code]],Table29[],7,FALSE)</f>
        <v>no</v>
      </c>
      <c r="AW1148" s="233" t="str">
        <f>VLOOKUP(Table8[[#This Row],[Country Code]],Table29[],8,FALSE)</f>
        <v>non-OECD</v>
      </c>
      <c r="AX1148" s="233" t="str">
        <f>VLOOKUP(Table8[[#This Row],[Country Code]],Table29[],9,FALSE)</f>
        <v>no</v>
      </c>
      <c r="AY1148" s="233" t="str">
        <f>VLOOKUP(Table8[[#This Row],[Country Code]],Table29[],10,FALSE)</f>
        <v>MENA</v>
      </c>
      <c r="AZ1148" s="235">
        <f>VLOOKUP(Table8[[#This Row],[Country Code]],Table29[],23,FALSE)</f>
        <v>33.407709056244002</v>
      </c>
      <c r="BA1148" s="235">
        <f>VLOOKUP(Table8[[#This Row],[Country Code]],Table29[],24,FALSE)</f>
        <v>7.9780713824704446</v>
      </c>
      <c r="BB1148" s="320"/>
      <c r="BC1148" s="320"/>
    </row>
    <row r="1149" spans="1:55" ht="30" hidden="1" x14ac:dyDescent="0.25">
      <c r="A1149" s="373">
        <v>39446</v>
      </c>
      <c r="B1149" s="233" t="str">
        <f>VLOOKUP(Table8[[#This Row],[Document ID]],Table1[],2,FALSE)</f>
        <v>KAZ</v>
      </c>
      <c r="C1149" s="233" t="str">
        <f>VLOOKUP(Table8[[#This Row],[Document ID]],Table1[],3,FALSE)</f>
        <v>Kazakhstan</v>
      </c>
      <c r="D1149" s="243" t="str">
        <f>VLOOKUP(Table8[[#This Row],[Document ID]],Table1[],5,FALSE)</f>
        <v>NDC</v>
      </c>
      <c r="E1149" s="233" t="str">
        <f>VLOOKUP(Table8[[#This Row],[Document ID]],Table1[],7,FALSE)</f>
        <v>First NDC updated</v>
      </c>
      <c r="F1149" s="233" t="str">
        <f>VLOOKUP(Table8[[#This Row],[Document ID]],Table1[],8,FALSE)</f>
        <v>NDC 1.1</v>
      </c>
      <c r="G1149" s="233" t="str">
        <f>VLOOKUP(Table8[[#This Row],[Document ID]],Table1[],10,FALSE)</f>
        <v>Active</v>
      </c>
      <c r="H1149" s="43" t="s">
        <v>2350</v>
      </c>
      <c r="I1149" s="43" t="s">
        <v>2370</v>
      </c>
      <c r="J1149" s="44" t="s">
        <v>2418</v>
      </c>
      <c r="K1149" s="44" t="s">
        <v>3422</v>
      </c>
      <c r="L1149" s="44" t="s">
        <v>2373</v>
      </c>
      <c r="M1149" s="43">
        <v>5</v>
      </c>
      <c r="N1149" s="113" t="s">
        <v>1113</v>
      </c>
      <c r="O1149" s="113"/>
      <c r="P1149" s="113"/>
      <c r="Q1149" s="113"/>
      <c r="R1149" s="113"/>
      <c r="S1149" s="113"/>
      <c r="T1149" s="113"/>
      <c r="U1149" s="113"/>
      <c r="V1149" s="113"/>
      <c r="W1149" s="113"/>
      <c r="X1149" s="113"/>
      <c r="Y1149" s="113"/>
      <c r="Z1149" s="113"/>
      <c r="AA1149" s="113"/>
      <c r="AB1149" s="113"/>
      <c r="AC1149" s="113"/>
      <c r="AD1149" s="113"/>
      <c r="AE1149" s="113"/>
      <c r="AF1149" s="113"/>
      <c r="AG1149" s="113"/>
      <c r="AH1149" s="113"/>
      <c r="AI1149" s="113"/>
      <c r="AJ1149" s="113"/>
      <c r="AK1149" s="113" t="s">
        <v>1113</v>
      </c>
      <c r="AL1149" s="113"/>
      <c r="AM1149" s="113"/>
      <c r="AN1149" s="113"/>
      <c r="AO1149" s="44" t="s">
        <v>2334</v>
      </c>
      <c r="AP1149" s="43"/>
      <c r="AQ1149" s="236" t="str">
        <f>VLOOKUP(Table8[[#This Row],[Instrument]],Def_Targets!$D$73:$E$159,2,FALSE)</f>
        <v>A_Complan</v>
      </c>
      <c r="AR1149" s="233" t="str">
        <f>VLOOKUP(Table8[[#This Row],[Country Code]],Table29[],3,FALSE)</f>
        <v>Non-Annex I</v>
      </c>
      <c r="AS1149" s="233" t="str">
        <f>VLOOKUP(Table8[[#This Row],[Country Code]],Table29[],4,FALSE)</f>
        <v>Asia</v>
      </c>
      <c r="AT1149" s="233" t="str">
        <f>VLOOKUP(Table8[[#This Row],[Country Code]],Table29[],5,FALSE)</f>
        <v>Middle-income</v>
      </c>
      <c r="AU1149" s="233" t="str">
        <f>VLOOKUP(Table8[[#This Row],[Country Code]],Table29[],6,FALSE)</f>
        <v>no</v>
      </c>
      <c r="AV1149" s="233" t="str">
        <f>VLOOKUP(Table8[[#This Row],[Country Code]],Table29[],7,FALSE)</f>
        <v>no</v>
      </c>
      <c r="AW1149" s="233" t="str">
        <f>VLOOKUP(Table8[[#This Row],[Country Code]],Table29[],8,FALSE)</f>
        <v>non-OECD</v>
      </c>
      <c r="AX1149" s="233" t="str">
        <f>VLOOKUP(Table8[[#This Row],[Country Code]],Table29[],9,FALSE)</f>
        <v>no</v>
      </c>
      <c r="AY1149" s="233" t="str">
        <f>VLOOKUP(Table8[[#This Row],[Country Code]],Table29[],10,FALSE)</f>
        <v>no</v>
      </c>
      <c r="AZ1149" s="235">
        <f>VLOOKUP(Table8[[#This Row],[Country Code]],Table29[],23,FALSE)</f>
        <v>320.34998496393001</v>
      </c>
      <c r="BA1149" s="235">
        <f>VLOOKUP(Table8[[#This Row],[Country Code]],Table29[],24,FALSE)</f>
        <v>24.00450259503398</v>
      </c>
      <c r="BB1149" s="320"/>
      <c r="BC1149" s="320"/>
    </row>
    <row r="1150" spans="1:55" hidden="1" x14ac:dyDescent="0.25">
      <c r="A1150" s="373">
        <v>39446</v>
      </c>
      <c r="B1150" s="233" t="str">
        <f>VLOOKUP(Table8[[#This Row],[Document ID]],Table1[],2,FALSE)</f>
        <v>KAZ</v>
      </c>
      <c r="C1150" s="233" t="str">
        <f>VLOOKUP(Table8[[#This Row],[Document ID]],Table1[],3,FALSE)</f>
        <v>Kazakhstan</v>
      </c>
      <c r="D1150" s="243" t="str">
        <f>VLOOKUP(Table8[[#This Row],[Document ID]],Table1[],5,FALSE)</f>
        <v>NDC</v>
      </c>
      <c r="E1150" s="233" t="str">
        <f>VLOOKUP(Table8[[#This Row],[Document ID]],Table1[],7,FALSE)</f>
        <v>First NDC updated</v>
      </c>
      <c r="F1150" s="233" t="str">
        <f>VLOOKUP(Table8[[#This Row],[Document ID]],Table1[],8,FALSE)</f>
        <v>NDC 1.1</v>
      </c>
      <c r="G1150" s="233" t="str">
        <f>VLOOKUP(Table8[[#This Row],[Document ID]],Table1[],10,FALSE)</f>
        <v>Active</v>
      </c>
      <c r="H1150" s="43" t="s">
        <v>2358</v>
      </c>
      <c r="I1150" s="43" t="s">
        <v>2359</v>
      </c>
      <c r="J1150" s="44" t="s">
        <v>2360</v>
      </c>
      <c r="K1150" s="44" t="s">
        <v>3423</v>
      </c>
      <c r="L1150" s="44" t="s">
        <v>2333</v>
      </c>
      <c r="M1150" s="43">
        <v>5</v>
      </c>
      <c r="N1150" s="113" t="s">
        <v>1113</v>
      </c>
      <c r="O1150" s="113"/>
      <c r="P1150" s="113"/>
      <c r="Q1150" s="113"/>
      <c r="R1150" s="113"/>
      <c r="S1150" s="113"/>
      <c r="T1150" s="113"/>
      <c r="U1150" s="113"/>
      <c r="V1150" s="113"/>
      <c r="W1150" s="113"/>
      <c r="X1150" s="113"/>
      <c r="Y1150" s="113"/>
      <c r="Z1150" s="113"/>
      <c r="AA1150" s="113"/>
      <c r="AB1150" s="113"/>
      <c r="AC1150" s="113"/>
      <c r="AD1150" s="113"/>
      <c r="AE1150" s="113"/>
      <c r="AF1150" s="113"/>
      <c r="AG1150" s="113"/>
      <c r="AH1150" s="113"/>
      <c r="AI1150" s="113"/>
      <c r="AJ1150" s="113"/>
      <c r="AK1150" s="113" t="s">
        <v>1113</v>
      </c>
      <c r="AL1150" s="113"/>
      <c r="AM1150" s="113"/>
      <c r="AN1150" s="113"/>
      <c r="AO1150" s="44" t="s">
        <v>2334</v>
      </c>
      <c r="AP1150" s="43"/>
      <c r="AQ1150" s="236" t="str">
        <f>VLOOKUP(Table8[[#This Row],[Instrument]],Def_Targets!$D$73:$E$159,2,FALSE)</f>
        <v>I_Emobility</v>
      </c>
      <c r="AR1150" s="233" t="str">
        <f>VLOOKUP(Table8[[#This Row],[Country Code]],Table29[],3,FALSE)</f>
        <v>Non-Annex I</v>
      </c>
      <c r="AS1150" s="233" t="str">
        <f>VLOOKUP(Table8[[#This Row],[Country Code]],Table29[],4,FALSE)</f>
        <v>Asia</v>
      </c>
      <c r="AT1150" s="233" t="str">
        <f>VLOOKUP(Table8[[#This Row],[Country Code]],Table29[],5,FALSE)</f>
        <v>Middle-income</v>
      </c>
      <c r="AU1150" s="233" t="str">
        <f>VLOOKUP(Table8[[#This Row],[Country Code]],Table29[],6,FALSE)</f>
        <v>no</v>
      </c>
      <c r="AV1150" s="233" t="str">
        <f>VLOOKUP(Table8[[#This Row],[Country Code]],Table29[],7,FALSE)</f>
        <v>no</v>
      </c>
      <c r="AW1150" s="233" t="str">
        <f>VLOOKUP(Table8[[#This Row],[Country Code]],Table29[],8,FALSE)</f>
        <v>non-OECD</v>
      </c>
      <c r="AX1150" s="233" t="str">
        <f>VLOOKUP(Table8[[#This Row],[Country Code]],Table29[],9,FALSE)</f>
        <v>no</v>
      </c>
      <c r="AY1150" s="233" t="str">
        <f>VLOOKUP(Table8[[#This Row],[Country Code]],Table29[],10,FALSE)</f>
        <v>no</v>
      </c>
      <c r="AZ1150" s="235">
        <f>VLOOKUP(Table8[[#This Row],[Country Code]],Table29[],23,FALSE)</f>
        <v>320.34998496393001</v>
      </c>
      <c r="BA1150" s="235">
        <f>VLOOKUP(Table8[[#This Row],[Country Code]],Table29[],24,FALSE)</f>
        <v>24.00450259503398</v>
      </c>
      <c r="BB1150" s="320"/>
      <c r="BC1150" s="320"/>
    </row>
    <row r="1151" spans="1:55" hidden="1" x14ac:dyDescent="0.25">
      <c r="A1151" s="373">
        <v>39446</v>
      </c>
      <c r="B1151" s="233" t="str">
        <f>VLOOKUP(Table8[[#This Row],[Document ID]],Table1[],2,FALSE)</f>
        <v>KAZ</v>
      </c>
      <c r="C1151" s="233" t="str">
        <f>VLOOKUP(Table8[[#This Row],[Document ID]],Table1[],3,FALSE)</f>
        <v>Kazakhstan</v>
      </c>
      <c r="D1151" s="243" t="str">
        <f>VLOOKUP(Table8[[#This Row],[Document ID]],Table1[],5,FALSE)</f>
        <v>NDC</v>
      </c>
      <c r="E1151" s="233" t="str">
        <f>VLOOKUP(Table8[[#This Row],[Document ID]],Table1[],7,FALSE)</f>
        <v>First NDC updated</v>
      </c>
      <c r="F1151" s="233" t="str">
        <f>VLOOKUP(Table8[[#This Row],[Document ID]],Table1[],8,FALSE)</f>
        <v>NDC 1.1</v>
      </c>
      <c r="G1151" s="233" t="str">
        <f>VLOOKUP(Table8[[#This Row],[Document ID]],Table1[],10,FALSE)</f>
        <v>Active</v>
      </c>
      <c r="H1151" s="44" t="s">
        <v>2329</v>
      </c>
      <c r="I1151" s="44" t="s">
        <v>2330</v>
      </c>
      <c r="J1151" s="44" t="s">
        <v>2363</v>
      </c>
      <c r="K1151" s="44" t="s">
        <v>3423</v>
      </c>
      <c r="L1151" s="44" t="s">
        <v>2333</v>
      </c>
      <c r="M1151" s="43">
        <v>5</v>
      </c>
      <c r="N1151" s="113" t="s">
        <v>1113</v>
      </c>
      <c r="O1151" s="113"/>
      <c r="P1151" s="113"/>
      <c r="Q1151" s="113"/>
      <c r="R1151" s="113"/>
      <c r="S1151" s="113"/>
      <c r="T1151" s="113"/>
      <c r="U1151" s="113"/>
      <c r="V1151" s="113"/>
      <c r="W1151" s="113"/>
      <c r="X1151" s="113"/>
      <c r="Y1151" s="113"/>
      <c r="Z1151" s="113"/>
      <c r="AA1151" s="113"/>
      <c r="AB1151" s="113"/>
      <c r="AC1151" s="113"/>
      <c r="AD1151" s="113"/>
      <c r="AE1151" s="113"/>
      <c r="AF1151" s="113"/>
      <c r="AG1151" s="113"/>
      <c r="AH1151" s="113"/>
      <c r="AI1151" s="113"/>
      <c r="AJ1151" s="113"/>
      <c r="AK1151" s="113" t="s">
        <v>1113</v>
      </c>
      <c r="AL1151" s="113"/>
      <c r="AM1151" s="113"/>
      <c r="AN1151" s="113"/>
      <c r="AO1151" s="44" t="s">
        <v>2334</v>
      </c>
      <c r="AP1151" s="43"/>
      <c r="AQ1151" s="236" t="str">
        <f>VLOOKUP(Table8[[#This Row],[Instrument]],Def_Targets!$D$73:$E$159,2,FALSE)</f>
        <v>I_LPGCNGLNG</v>
      </c>
      <c r="AR1151" s="233" t="str">
        <f>VLOOKUP(Table8[[#This Row],[Country Code]],Table29[],3,FALSE)</f>
        <v>Non-Annex I</v>
      </c>
      <c r="AS1151" s="233" t="str">
        <f>VLOOKUP(Table8[[#This Row],[Country Code]],Table29[],4,FALSE)</f>
        <v>Asia</v>
      </c>
      <c r="AT1151" s="233" t="str">
        <f>VLOOKUP(Table8[[#This Row],[Country Code]],Table29[],5,FALSE)</f>
        <v>Middle-income</v>
      </c>
      <c r="AU1151" s="233" t="str">
        <f>VLOOKUP(Table8[[#This Row],[Country Code]],Table29[],6,FALSE)</f>
        <v>no</v>
      </c>
      <c r="AV1151" s="233" t="str">
        <f>VLOOKUP(Table8[[#This Row],[Country Code]],Table29[],7,FALSE)</f>
        <v>no</v>
      </c>
      <c r="AW1151" s="233" t="str">
        <f>VLOOKUP(Table8[[#This Row],[Country Code]],Table29[],8,FALSE)</f>
        <v>non-OECD</v>
      </c>
      <c r="AX1151" s="233" t="str">
        <f>VLOOKUP(Table8[[#This Row],[Country Code]],Table29[],9,FALSE)</f>
        <v>no</v>
      </c>
      <c r="AY1151" s="233" t="str">
        <f>VLOOKUP(Table8[[#This Row],[Country Code]],Table29[],10,FALSE)</f>
        <v>no</v>
      </c>
      <c r="AZ1151" s="235">
        <f>VLOOKUP(Table8[[#This Row],[Country Code]],Table29[],23,FALSE)</f>
        <v>320.34998496393001</v>
      </c>
      <c r="BA1151" s="235">
        <f>VLOOKUP(Table8[[#This Row],[Country Code]],Table29[],24,FALSE)</f>
        <v>24.00450259503398</v>
      </c>
      <c r="BB1151" s="320"/>
      <c r="BC1151" s="320"/>
    </row>
    <row r="1152" spans="1:55" hidden="1" x14ac:dyDescent="0.25">
      <c r="A1152" s="373">
        <v>39446</v>
      </c>
      <c r="B1152" s="233" t="str">
        <f>VLOOKUP(Table8[[#This Row],[Document ID]],Table1[],2,FALSE)</f>
        <v>KAZ</v>
      </c>
      <c r="C1152" s="233" t="str">
        <f>VLOOKUP(Table8[[#This Row],[Document ID]],Table1[],3,FALSE)</f>
        <v>Kazakhstan</v>
      </c>
      <c r="D1152" s="243" t="str">
        <f>VLOOKUP(Table8[[#This Row],[Document ID]],Table1[],5,FALSE)</f>
        <v>NDC</v>
      </c>
      <c r="E1152" s="233" t="str">
        <f>VLOOKUP(Table8[[#This Row],[Document ID]],Table1[],7,FALSE)</f>
        <v>First NDC updated</v>
      </c>
      <c r="F1152" s="233" t="str">
        <f>VLOOKUP(Table8[[#This Row],[Document ID]],Table1[],8,FALSE)</f>
        <v>NDC 1.1</v>
      </c>
      <c r="G1152" s="233" t="str">
        <f>VLOOKUP(Table8[[#This Row],[Document ID]],Table1[],10,FALSE)</f>
        <v>Active</v>
      </c>
      <c r="H1152" s="43" t="s">
        <v>2350</v>
      </c>
      <c r="I1152" s="43" t="s">
        <v>2370</v>
      </c>
      <c r="J1152" s="44" t="s">
        <v>2511</v>
      </c>
      <c r="K1152" s="44" t="s">
        <v>3424</v>
      </c>
      <c r="L1152" s="44" t="s">
        <v>2396</v>
      </c>
      <c r="M1152" s="43">
        <v>5</v>
      </c>
      <c r="N1152" s="113" t="s">
        <v>1113</v>
      </c>
      <c r="O1152" s="113"/>
      <c r="P1152" s="113"/>
      <c r="Q1152" s="113"/>
      <c r="R1152" s="113"/>
      <c r="S1152" s="113"/>
      <c r="T1152" s="113"/>
      <c r="U1152" s="113"/>
      <c r="V1152" s="113"/>
      <c r="W1152" s="113"/>
      <c r="X1152" s="113"/>
      <c r="Y1152" s="113"/>
      <c r="Z1152" s="113"/>
      <c r="AA1152" s="113"/>
      <c r="AB1152" s="113"/>
      <c r="AC1152" s="113"/>
      <c r="AD1152" s="113"/>
      <c r="AE1152" s="113"/>
      <c r="AF1152" s="113"/>
      <c r="AG1152" s="113"/>
      <c r="AH1152" s="113"/>
      <c r="AI1152" s="113"/>
      <c r="AJ1152" s="113"/>
      <c r="AK1152" s="113" t="s">
        <v>1113</v>
      </c>
      <c r="AL1152" s="113"/>
      <c r="AM1152" s="113"/>
      <c r="AN1152" s="113"/>
      <c r="AO1152" s="44" t="s">
        <v>2334</v>
      </c>
      <c r="AP1152" s="43"/>
      <c r="AQ1152" s="236" t="str">
        <f>VLOOKUP(Table8[[#This Row],[Instrument]],Def_Targets!$D$73:$E$159,2,FALSE)</f>
        <v>A_LATM</v>
      </c>
      <c r="AR1152" s="233" t="str">
        <f>VLOOKUP(Table8[[#This Row],[Country Code]],Table29[],3,FALSE)</f>
        <v>Non-Annex I</v>
      </c>
      <c r="AS1152" s="233" t="str">
        <f>VLOOKUP(Table8[[#This Row],[Country Code]],Table29[],4,FALSE)</f>
        <v>Asia</v>
      </c>
      <c r="AT1152" s="233" t="str">
        <f>VLOOKUP(Table8[[#This Row],[Country Code]],Table29[],5,FALSE)</f>
        <v>Middle-income</v>
      </c>
      <c r="AU1152" s="233" t="str">
        <f>VLOOKUP(Table8[[#This Row],[Country Code]],Table29[],6,FALSE)</f>
        <v>no</v>
      </c>
      <c r="AV1152" s="233" t="str">
        <f>VLOOKUP(Table8[[#This Row],[Country Code]],Table29[],7,FALSE)</f>
        <v>no</v>
      </c>
      <c r="AW1152" s="233" t="str">
        <f>VLOOKUP(Table8[[#This Row],[Country Code]],Table29[],8,FALSE)</f>
        <v>non-OECD</v>
      </c>
      <c r="AX1152" s="233" t="str">
        <f>VLOOKUP(Table8[[#This Row],[Country Code]],Table29[],9,FALSE)</f>
        <v>no</v>
      </c>
      <c r="AY1152" s="233" t="str">
        <f>VLOOKUP(Table8[[#This Row],[Country Code]],Table29[],10,FALSE)</f>
        <v>no</v>
      </c>
      <c r="AZ1152" s="235">
        <f>VLOOKUP(Table8[[#This Row],[Country Code]],Table29[],23,FALSE)</f>
        <v>320.34998496393001</v>
      </c>
      <c r="BA1152" s="235">
        <f>VLOOKUP(Table8[[#This Row],[Country Code]],Table29[],24,FALSE)</f>
        <v>24.00450259503398</v>
      </c>
      <c r="BB1152" s="320"/>
      <c r="BC1152" s="320"/>
    </row>
    <row r="1153" spans="1:55" hidden="1" x14ac:dyDescent="0.25">
      <c r="A1153" s="373">
        <v>17632</v>
      </c>
      <c r="B1153" s="233" t="str">
        <f>VLOOKUP(Table8[[#This Row],[Document ID]],Table1[],2,FALSE)</f>
        <v>KEN</v>
      </c>
      <c r="C1153" s="233" t="str">
        <f>VLOOKUP(Table8[[#This Row],[Document ID]],Table1[],3,FALSE)</f>
        <v>Kenya</v>
      </c>
      <c r="D1153" s="243" t="str">
        <f>VLOOKUP(Table8[[#This Row],[Document ID]],Table1[],5,FALSE)</f>
        <v>NDC</v>
      </c>
      <c r="E1153" s="233" t="str">
        <f>VLOOKUP(Table8[[#This Row],[Document ID]],Table1[],7,FALSE)</f>
        <v>First NDC updated</v>
      </c>
      <c r="F1153" s="233" t="str">
        <f>VLOOKUP(Table8[[#This Row],[Document ID]],Table1[],8,FALSE)</f>
        <v>NDC 1.1</v>
      </c>
      <c r="G1153" s="233" t="str">
        <f>VLOOKUP(Table8[[#This Row],[Document ID]],Table1[],10,FALSE)</f>
        <v>Active</v>
      </c>
      <c r="H1153" s="43" t="s">
        <v>2350</v>
      </c>
      <c r="I1153" s="43" t="s">
        <v>2370</v>
      </c>
      <c r="J1153" s="44" t="s">
        <v>2418</v>
      </c>
      <c r="K1153" s="44" t="s">
        <v>3425</v>
      </c>
      <c r="L1153" s="44" t="s">
        <v>2333</v>
      </c>
      <c r="M1153" s="43">
        <v>8</v>
      </c>
      <c r="N1153" s="113" t="s">
        <v>1113</v>
      </c>
      <c r="O1153" s="113"/>
      <c r="P1153" s="113"/>
      <c r="Q1153" s="113"/>
      <c r="R1153" s="113"/>
      <c r="S1153" s="113"/>
      <c r="T1153" s="113"/>
      <c r="U1153" s="113"/>
      <c r="V1153" s="113"/>
      <c r="W1153" s="113"/>
      <c r="X1153" s="113"/>
      <c r="Y1153" s="113"/>
      <c r="Z1153" s="113"/>
      <c r="AA1153" s="113"/>
      <c r="AB1153" s="113"/>
      <c r="AC1153" s="113"/>
      <c r="AD1153" s="113"/>
      <c r="AE1153" s="113"/>
      <c r="AF1153" s="113"/>
      <c r="AG1153" s="113"/>
      <c r="AH1153" s="113"/>
      <c r="AI1153" s="113"/>
      <c r="AJ1153" s="113"/>
      <c r="AK1153" s="319" t="s">
        <v>1113</v>
      </c>
      <c r="AL1153" s="113"/>
      <c r="AM1153" s="113"/>
      <c r="AN1153" s="113"/>
      <c r="AO1153" s="44" t="s">
        <v>2334</v>
      </c>
      <c r="AP1153" s="43"/>
      <c r="AQ1153" s="236" t="str">
        <f>VLOOKUP(Table8[[#This Row],[Instrument]],Def_Targets!$D$73:$E$159,2,FALSE)</f>
        <v>A_Complan</v>
      </c>
      <c r="AR1153" s="233" t="str">
        <f>VLOOKUP(Table8[[#This Row],[Country Code]],Table29[],3,FALSE)</f>
        <v>Non-Annex I</v>
      </c>
      <c r="AS1153" s="233" t="str">
        <f>VLOOKUP(Table8[[#This Row],[Country Code]],Table29[],4,FALSE)</f>
        <v>Africa</v>
      </c>
      <c r="AT1153" s="233" t="str">
        <f>VLOOKUP(Table8[[#This Row],[Country Code]],Table29[],5,FALSE)</f>
        <v>Middle-income</v>
      </c>
      <c r="AU1153" s="233" t="str">
        <f>VLOOKUP(Table8[[#This Row],[Country Code]],Table29[],6,FALSE)</f>
        <v>no</v>
      </c>
      <c r="AV1153" s="233" t="str">
        <f>VLOOKUP(Table8[[#This Row],[Country Code]],Table29[],7,FALSE)</f>
        <v>no</v>
      </c>
      <c r="AW1153" s="233" t="str">
        <f>VLOOKUP(Table8[[#This Row],[Country Code]],Table29[],8,FALSE)</f>
        <v>non-OECD</v>
      </c>
      <c r="AX1153" s="233" t="str">
        <f>VLOOKUP(Table8[[#This Row],[Country Code]],Table29[],9,FALSE)</f>
        <v>no</v>
      </c>
      <c r="AY1153" s="233" t="str">
        <f>VLOOKUP(Table8[[#This Row],[Country Code]],Table29[],10,FALSE)</f>
        <v>no</v>
      </c>
      <c r="AZ1153" s="235">
        <f>VLOOKUP(Table8[[#This Row],[Country Code]],Table29[],23,FALSE)</f>
        <v>107.97690921511</v>
      </c>
      <c r="BA1153" s="235">
        <f>VLOOKUP(Table8[[#This Row],[Country Code]],Table29[],24,FALSE)</f>
        <v>10.8093492744944</v>
      </c>
      <c r="BB1153" s="320"/>
      <c r="BC1153" s="320"/>
    </row>
    <row r="1154" spans="1:55" ht="30" hidden="1" x14ac:dyDescent="0.25">
      <c r="A1154" s="373">
        <v>17631</v>
      </c>
      <c r="B1154" s="233" t="str">
        <f>VLOOKUP(Table8[[#This Row],[Document ID]],Table1[],2,FALSE)</f>
        <v>KEN</v>
      </c>
      <c r="C1154" s="233" t="str">
        <f>VLOOKUP(Table8[[#This Row],[Document ID]],Table1[],3,FALSE)</f>
        <v>Kenya</v>
      </c>
      <c r="D1154" s="243" t="str">
        <f>VLOOKUP(Table8[[#This Row],[Document ID]],Table1[],5,FALSE)</f>
        <v>NDC</v>
      </c>
      <c r="E1154" s="233" t="str">
        <f>VLOOKUP(Table8[[#This Row],[Document ID]],Table1[],7,FALSE)</f>
        <v>First NDC</v>
      </c>
      <c r="F1154" s="236" t="str">
        <f>VLOOKUP(Table8[[#This Row],[Document ID]],Table1[],8,FALSE)</f>
        <v>NDC 1.0</v>
      </c>
      <c r="G1154" s="236" t="str">
        <f>VLOOKUP(Table8[[#This Row],[Document ID]],Table1[],10,FALSE)</f>
        <v>Archived</v>
      </c>
      <c r="H1154" s="43" t="s">
        <v>2350</v>
      </c>
      <c r="I1154" s="43" t="s">
        <v>2456</v>
      </c>
      <c r="J1154" s="44" t="s">
        <v>2457</v>
      </c>
      <c r="K1154" s="44" t="s">
        <v>3426</v>
      </c>
      <c r="L1154" s="44" t="s">
        <v>2471</v>
      </c>
      <c r="M1154" s="43"/>
      <c r="N1154" s="113" t="s">
        <v>1113</v>
      </c>
      <c r="O1154" s="113"/>
      <c r="P1154" s="113"/>
      <c r="Q1154" s="319"/>
      <c r="R1154" s="319"/>
      <c r="S1154" s="319"/>
      <c r="T1154" s="319"/>
      <c r="U1154" s="319"/>
      <c r="V1154" s="319"/>
      <c r="W1154" s="319"/>
      <c r="X1154" s="319"/>
      <c r="Y1154" s="319"/>
      <c r="Z1154" s="319"/>
      <c r="AA1154" s="319"/>
      <c r="AB1154" s="319"/>
      <c r="AC1154" s="319"/>
      <c r="AD1154" s="319"/>
      <c r="AE1154" s="319"/>
      <c r="AF1154" s="319"/>
      <c r="AG1154" s="319"/>
      <c r="AH1154" s="319"/>
      <c r="AI1154" s="319"/>
      <c r="AJ1154" s="319"/>
      <c r="AK1154" s="319" t="s">
        <v>1113</v>
      </c>
      <c r="AL1154" s="319"/>
      <c r="AM1154" s="319"/>
      <c r="AN1154" s="319"/>
      <c r="AO1154" s="44" t="s">
        <v>2334</v>
      </c>
      <c r="AP1154" s="44"/>
      <c r="AQ1154" s="236" t="str">
        <f>VLOOKUP(Table8[[#This Row],[Instrument]],Def_Targets!$D$73:$E$159,2,FALSE)</f>
        <v>S_Infraimprove</v>
      </c>
      <c r="AR1154" s="233" t="str">
        <f>VLOOKUP(Table8[[#This Row],[Country Code]],Table29[],3,FALSE)</f>
        <v>Non-Annex I</v>
      </c>
      <c r="AS1154" s="233" t="str">
        <f>VLOOKUP(Table8[[#This Row],[Country Code]],Table29[],4,FALSE)</f>
        <v>Africa</v>
      </c>
      <c r="AT1154" s="233" t="str">
        <f>VLOOKUP(Table8[[#This Row],[Country Code]],Table29[],5,FALSE)</f>
        <v>Middle-income</v>
      </c>
      <c r="AU1154" s="233" t="str">
        <f>VLOOKUP(Table8[[#This Row],[Country Code]],Table29[],6,FALSE)</f>
        <v>no</v>
      </c>
      <c r="AV1154" s="233" t="str">
        <f>VLOOKUP(Table8[[#This Row],[Country Code]],Table29[],7,FALSE)</f>
        <v>no</v>
      </c>
      <c r="AW1154" s="233" t="str">
        <f>VLOOKUP(Table8[[#This Row],[Country Code]],Table29[],8,FALSE)</f>
        <v>non-OECD</v>
      </c>
      <c r="AX1154" s="233" t="str">
        <f>VLOOKUP(Table8[[#This Row],[Country Code]],Table29[],9,FALSE)</f>
        <v>no</v>
      </c>
      <c r="AY1154" s="233" t="str">
        <f>VLOOKUP(Table8[[#This Row],[Country Code]],Table29[],10,FALSE)</f>
        <v>no</v>
      </c>
      <c r="AZ1154" s="235">
        <f>VLOOKUP(Table8[[#This Row],[Country Code]],Table29[],23,FALSE)</f>
        <v>107.97690921511</v>
      </c>
      <c r="BA1154" s="235">
        <f>VLOOKUP(Table8[[#This Row],[Country Code]],Table29[],24,FALSE)</f>
        <v>10.8093492744944</v>
      </c>
      <c r="BB1154" s="320"/>
      <c r="BC1154" s="320"/>
    </row>
    <row r="1155" spans="1:55" hidden="1" x14ac:dyDescent="0.25">
      <c r="A1155" s="373">
        <v>17633</v>
      </c>
      <c r="B1155" s="233" t="str">
        <f>VLOOKUP(Table8[[#This Row],[Document ID]],Table1[],2,FALSE)</f>
        <v>KIR</v>
      </c>
      <c r="C1155" s="233" t="str">
        <f>VLOOKUP(Table8[[#This Row],[Document ID]],Table1[],3,FALSE)</f>
        <v>Kiribati</v>
      </c>
      <c r="D1155" s="243" t="str">
        <f>VLOOKUP(Table8[[#This Row],[Document ID]],Table1[],5,FALSE)</f>
        <v>NDC</v>
      </c>
      <c r="E1155" s="233" t="str">
        <f>VLOOKUP(Table8[[#This Row],[Document ID]],Table1[],7,FALSE)</f>
        <v>First NDC</v>
      </c>
      <c r="F1155" s="236" t="str">
        <f>VLOOKUP(Table8[[#This Row],[Document ID]],Table1[],8,FALSE)</f>
        <v>NDC 1.0</v>
      </c>
      <c r="G1155" s="236" t="str">
        <f>VLOOKUP(Table8[[#This Row],[Document ID]],Table1[],10,FALSE)</f>
        <v>Archived</v>
      </c>
      <c r="H1155" s="44" t="s">
        <v>2329</v>
      </c>
      <c r="I1155" s="44" t="s">
        <v>2330</v>
      </c>
      <c r="J1155" s="44" t="s">
        <v>2357</v>
      </c>
      <c r="K1155" s="44" t="s">
        <v>3427</v>
      </c>
      <c r="L1155" s="44" t="s">
        <v>2333</v>
      </c>
      <c r="M1155" s="43"/>
      <c r="N1155" s="113" t="s">
        <v>1113</v>
      </c>
      <c r="O1155" s="113"/>
      <c r="P1155" s="113"/>
      <c r="Q1155" s="319"/>
      <c r="R1155" s="319"/>
      <c r="S1155" s="319"/>
      <c r="T1155" s="319"/>
      <c r="U1155" s="319"/>
      <c r="V1155" s="319"/>
      <c r="W1155" s="319"/>
      <c r="X1155" s="319"/>
      <c r="Y1155" s="113"/>
      <c r="Z1155" s="113"/>
      <c r="AA1155" s="319"/>
      <c r="AB1155" s="319"/>
      <c r="AC1155" s="319"/>
      <c r="AD1155" s="319"/>
      <c r="AE1155" s="319"/>
      <c r="AF1155" s="319"/>
      <c r="AG1155" s="319"/>
      <c r="AH1155" s="319"/>
      <c r="AI1155" s="319"/>
      <c r="AJ1155" s="319"/>
      <c r="AK1155" s="319" t="s">
        <v>1113</v>
      </c>
      <c r="AL1155" s="319"/>
      <c r="AM1155" s="319"/>
      <c r="AN1155" s="319"/>
      <c r="AO1155" s="44" t="s">
        <v>2334</v>
      </c>
      <c r="AP1155" s="44"/>
      <c r="AQ1155" s="236" t="str">
        <f>VLOOKUP(Table8[[#This Row],[Instrument]],Def_Targets!$D$73:$E$159,2,FALSE)</f>
        <v>I_Biofuel</v>
      </c>
      <c r="AR1155" s="233" t="str">
        <f>VLOOKUP(Table8[[#This Row],[Country Code]],Table29[],3,FALSE)</f>
        <v>Non-Annex I</v>
      </c>
      <c r="AS1155" s="233" t="str">
        <f>VLOOKUP(Table8[[#This Row],[Country Code]],Table29[],4,FALSE)</f>
        <v>Oceania</v>
      </c>
      <c r="AT1155" s="233" t="str">
        <f>VLOOKUP(Table8[[#This Row],[Country Code]],Table29[],5,FALSE)</f>
        <v>Middle-income</v>
      </c>
      <c r="AU1155" s="233" t="str">
        <f>VLOOKUP(Table8[[#This Row],[Country Code]],Table29[],6,FALSE)</f>
        <v>no</v>
      </c>
      <c r="AV1155" s="233" t="str">
        <f>VLOOKUP(Table8[[#This Row],[Country Code]],Table29[],7,FALSE)</f>
        <v>no</v>
      </c>
      <c r="AW1155" s="233" t="str">
        <f>VLOOKUP(Table8[[#This Row],[Country Code]],Table29[],8,FALSE)</f>
        <v>non-OECD</v>
      </c>
      <c r="AX1155" s="233" t="str">
        <f>VLOOKUP(Table8[[#This Row],[Country Code]],Table29[],9,FALSE)</f>
        <v>no</v>
      </c>
      <c r="AY1155" s="233" t="str">
        <f>VLOOKUP(Table8[[#This Row],[Country Code]],Table29[],10,FALSE)</f>
        <v>no</v>
      </c>
      <c r="AZ1155" s="235">
        <f>VLOOKUP(Table8[[#This Row],[Country Code]],Table29[],23,FALSE)</f>
        <v>0.13017626101136001</v>
      </c>
      <c r="BA1155" s="235">
        <f>VLOOKUP(Table8[[#This Row],[Country Code]],Table29[],24,FALSE)</f>
        <v>5.0508932626793582E-2</v>
      </c>
      <c r="BB1155" s="320"/>
      <c r="BC1155" s="320"/>
    </row>
    <row r="1156" spans="1:55" s="17" customFormat="1" hidden="1" x14ac:dyDescent="0.25">
      <c r="A1156" s="368">
        <v>32504</v>
      </c>
      <c r="B1156" s="233" t="str">
        <f>VLOOKUP(Table8[[#This Row],[Document ID]],Table1[],2,FALSE)</f>
        <v>KIR</v>
      </c>
      <c r="C1156" s="233" t="str">
        <f>VLOOKUP(Table8[[#This Row],[Document ID]],Table1[],3,FALSE)</f>
        <v>Kiribati</v>
      </c>
      <c r="D1156" s="241" t="str">
        <f>VLOOKUP(Table8[[#This Row],[Document ID]],Table1[],5,FALSE)</f>
        <v>NDC</v>
      </c>
      <c r="E1156" s="233" t="str">
        <f>VLOOKUP(Table8[[#This Row],[Document ID]],Table1[],7,FALSE)</f>
        <v>First NDC updated</v>
      </c>
      <c r="F1156" s="233" t="str">
        <f>VLOOKUP(Table8[[#This Row],[Document ID]],Table1[],8,FALSE)</f>
        <v>NDC 1.1</v>
      </c>
      <c r="G1156" s="233" t="str">
        <f>VLOOKUP(Table8[[#This Row],[Document ID]],Table1[],10,FALSE)</f>
        <v>Active</v>
      </c>
      <c r="H1156" s="43" t="s">
        <v>2484</v>
      </c>
      <c r="I1156" s="43" t="s">
        <v>2485</v>
      </c>
      <c r="J1156" s="44" t="s">
        <v>2486</v>
      </c>
      <c r="K1156" s="44" t="s">
        <v>3428</v>
      </c>
      <c r="L1156" s="44" t="s">
        <v>2333</v>
      </c>
      <c r="M1156" s="43">
        <v>36</v>
      </c>
      <c r="N1156" s="113"/>
      <c r="O1156" s="113"/>
      <c r="P1156" s="113"/>
      <c r="Q1156" s="113"/>
      <c r="R1156" s="113"/>
      <c r="S1156" s="113"/>
      <c r="T1156" s="113"/>
      <c r="U1156" s="113"/>
      <c r="V1156" s="113"/>
      <c r="W1156" s="113"/>
      <c r="X1156" s="113"/>
      <c r="Y1156" s="113"/>
      <c r="Z1156" s="113"/>
      <c r="AA1156" s="113"/>
      <c r="AB1156" s="113"/>
      <c r="AC1156" s="113"/>
      <c r="AD1156" s="113" t="s">
        <v>1113</v>
      </c>
      <c r="AE1156" s="113"/>
      <c r="AF1156" s="113"/>
      <c r="AG1156" s="113"/>
      <c r="AH1156" s="113"/>
      <c r="AI1156" s="113"/>
      <c r="AJ1156" s="113"/>
      <c r="AK1156" s="113"/>
      <c r="AL1156" s="113"/>
      <c r="AM1156" s="113"/>
      <c r="AN1156" s="113"/>
      <c r="AO1156" s="44" t="s">
        <v>2334</v>
      </c>
      <c r="AP1156" s="43"/>
      <c r="AQ1156" s="236" t="str">
        <f>VLOOKUP(Table8[[#This Row],[Instrument]],Def_Targets!$D$73:$E$159,2,FALSE)</f>
        <v>I_Shipping</v>
      </c>
      <c r="AR1156" s="233" t="str">
        <f>VLOOKUP(Table8[[#This Row],[Country Code]],Table29[],3,FALSE)</f>
        <v>Non-Annex I</v>
      </c>
      <c r="AS1156" s="233" t="str">
        <f>VLOOKUP(Table8[[#This Row],[Country Code]],Table29[],4,FALSE)</f>
        <v>Oceania</v>
      </c>
      <c r="AT1156" s="233" t="str">
        <f>VLOOKUP(Table8[[#This Row],[Country Code]],Table29[],5,FALSE)</f>
        <v>Middle-income</v>
      </c>
      <c r="AU1156" s="233" t="str">
        <f>VLOOKUP(Table8[[#This Row],[Country Code]],Table29[],6,FALSE)</f>
        <v>no</v>
      </c>
      <c r="AV1156" s="233" t="str">
        <f>VLOOKUP(Table8[[#This Row],[Country Code]],Table29[],7,FALSE)</f>
        <v>no</v>
      </c>
      <c r="AW1156" s="233" t="str">
        <f>VLOOKUP(Table8[[#This Row],[Country Code]],Table29[],8,FALSE)</f>
        <v>non-OECD</v>
      </c>
      <c r="AX1156" s="233" t="str">
        <f>VLOOKUP(Table8[[#This Row],[Country Code]],Table29[],9,FALSE)</f>
        <v>no</v>
      </c>
      <c r="AY1156" s="233" t="str">
        <f>VLOOKUP(Table8[[#This Row],[Country Code]],Table29[],10,FALSE)</f>
        <v>no</v>
      </c>
      <c r="AZ1156" s="235">
        <f>VLOOKUP(Table8[[#This Row],[Country Code]],Table29[],23,FALSE)</f>
        <v>0.13017626101136001</v>
      </c>
      <c r="BA1156" s="235">
        <f>VLOOKUP(Table8[[#This Row],[Country Code]],Table29[],24,FALSE)</f>
        <v>5.0508932626793582E-2</v>
      </c>
      <c r="BB1156" s="320"/>
      <c r="BC1156" s="320"/>
    </row>
    <row r="1157" spans="1:55" hidden="1" x14ac:dyDescent="0.25">
      <c r="A1157" s="373">
        <v>32504</v>
      </c>
      <c r="B1157" s="233" t="str">
        <f>VLOOKUP(Table8[[#This Row],[Document ID]],Table1[],2,FALSE)</f>
        <v>KIR</v>
      </c>
      <c r="C1157" s="233" t="str">
        <f>VLOOKUP(Table8[[#This Row],[Document ID]],Table1[],3,FALSE)</f>
        <v>Kiribati</v>
      </c>
      <c r="D1157" s="243" t="str">
        <f>VLOOKUP(Table8[[#This Row],[Document ID]],Table1[],5,FALSE)</f>
        <v>NDC</v>
      </c>
      <c r="E1157" s="233" t="str">
        <f>VLOOKUP(Table8[[#This Row],[Document ID]],Table1[],7,FALSE)</f>
        <v>First NDC updated</v>
      </c>
      <c r="F1157" s="233" t="str">
        <f>VLOOKUP(Table8[[#This Row],[Document ID]],Table1[],8,FALSE)</f>
        <v>NDC 1.1</v>
      </c>
      <c r="G1157" s="233" t="str">
        <f>VLOOKUP(Table8[[#This Row],[Document ID]],Table1[],10,FALSE)</f>
        <v>Active</v>
      </c>
      <c r="H1157" s="43" t="s">
        <v>2343</v>
      </c>
      <c r="I1157" s="43" t="s">
        <v>2361</v>
      </c>
      <c r="J1157" s="44" t="s">
        <v>2362</v>
      </c>
      <c r="K1157" s="44" t="s">
        <v>3429</v>
      </c>
      <c r="L1157" s="44" t="s">
        <v>2347</v>
      </c>
      <c r="M1157" s="43">
        <v>36</v>
      </c>
      <c r="N1157" s="113"/>
      <c r="O1157" s="113"/>
      <c r="P1157" s="113"/>
      <c r="Q1157" s="113"/>
      <c r="R1157" s="113" t="s">
        <v>1113</v>
      </c>
      <c r="S1157" s="113"/>
      <c r="T1157" s="113"/>
      <c r="U1157" s="113"/>
      <c r="V1157" s="113"/>
      <c r="W1157" s="113"/>
      <c r="X1157" s="113"/>
      <c r="Y1157" s="113"/>
      <c r="Z1157" s="113"/>
      <c r="AA1157" s="113"/>
      <c r="AB1157" s="113"/>
      <c r="AC1157" s="113"/>
      <c r="AD1157" s="113"/>
      <c r="AE1157" s="113"/>
      <c r="AF1157" s="113"/>
      <c r="AG1157" s="113"/>
      <c r="AH1157" s="113"/>
      <c r="AI1157" s="113"/>
      <c r="AJ1157" s="113"/>
      <c r="AK1157" s="113"/>
      <c r="AL1157" s="113"/>
      <c r="AM1157" s="113"/>
      <c r="AN1157" s="113"/>
      <c r="AO1157" s="44" t="s">
        <v>2334</v>
      </c>
      <c r="AP1157" s="43"/>
      <c r="AQ1157" s="236" t="str">
        <f>VLOOKUP(Table8[[#This Row],[Instrument]],Def_Targets!$D$73:$E$159,2,FALSE)</f>
        <v>S_Cycling</v>
      </c>
      <c r="AR1157" s="233" t="str">
        <f>VLOOKUP(Table8[[#This Row],[Country Code]],Table29[],3,FALSE)</f>
        <v>Non-Annex I</v>
      </c>
      <c r="AS1157" s="233" t="str">
        <f>VLOOKUP(Table8[[#This Row],[Country Code]],Table29[],4,FALSE)</f>
        <v>Oceania</v>
      </c>
      <c r="AT1157" s="233" t="str">
        <f>VLOOKUP(Table8[[#This Row],[Country Code]],Table29[],5,FALSE)</f>
        <v>Middle-income</v>
      </c>
      <c r="AU1157" s="233" t="str">
        <f>VLOOKUP(Table8[[#This Row],[Country Code]],Table29[],6,FALSE)</f>
        <v>no</v>
      </c>
      <c r="AV1157" s="233" t="str">
        <f>VLOOKUP(Table8[[#This Row],[Country Code]],Table29[],7,FALSE)</f>
        <v>no</v>
      </c>
      <c r="AW1157" s="233" t="str">
        <f>VLOOKUP(Table8[[#This Row],[Country Code]],Table29[],8,FALSE)</f>
        <v>non-OECD</v>
      </c>
      <c r="AX1157" s="233" t="str">
        <f>VLOOKUP(Table8[[#This Row],[Country Code]],Table29[],9,FALSE)</f>
        <v>no</v>
      </c>
      <c r="AY1157" s="233" t="str">
        <f>VLOOKUP(Table8[[#This Row],[Country Code]],Table29[],10,FALSE)</f>
        <v>no</v>
      </c>
      <c r="AZ1157" s="235">
        <f>VLOOKUP(Table8[[#This Row],[Country Code]],Table29[],23,FALSE)</f>
        <v>0.13017626101136001</v>
      </c>
      <c r="BA1157" s="235">
        <f>VLOOKUP(Table8[[#This Row],[Country Code]],Table29[],24,FALSE)</f>
        <v>5.0508932626793582E-2</v>
      </c>
      <c r="BB1157" s="320"/>
      <c r="BC1157" s="320"/>
    </row>
    <row r="1158" spans="1:55" hidden="1" x14ac:dyDescent="0.25">
      <c r="A1158" s="373">
        <v>32504</v>
      </c>
      <c r="B1158" s="233" t="str">
        <f>VLOOKUP(Table8[[#This Row],[Document ID]],Table1[],2,FALSE)</f>
        <v>KIR</v>
      </c>
      <c r="C1158" s="233" t="str">
        <f>VLOOKUP(Table8[[#This Row],[Document ID]],Table1[],3,FALSE)</f>
        <v>Kiribati</v>
      </c>
      <c r="D1158" s="243" t="str">
        <f>VLOOKUP(Table8[[#This Row],[Document ID]],Table1[],5,FALSE)</f>
        <v>NDC</v>
      </c>
      <c r="E1158" s="233" t="str">
        <f>VLOOKUP(Table8[[#This Row],[Document ID]],Table1[],7,FALSE)</f>
        <v>First NDC updated</v>
      </c>
      <c r="F1158" s="233" t="str">
        <f>VLOOKUP(Table8[[#This Row],[Document ID]],Table1[],8,FALSE)</f>
        <v>NDC 1.1</v>
      </c>
      <c r="G1158" s="233" t="str">
        <f>VLOOKUP(Table8[[#This Row],[Document ID]],Table1[],10,FALSE)</f>
        <v>Active</v>
      </c>
      <c r="H1158" s="43" t="s">
        <v>2484</v>
      </c>
      <c r="I1158" s="43" t="s">
        <v>2488</v>
      </c>
      <c r="J1158" s="44" t="s">
        <v>2489</v>
      </c>
      <c r="K1158" s="44" t="s">
        <v>3430</v>
      </c>
      <c r="L1158" s="44" t="s">
        <v>2333</v>
      </c>
      <c r="M1158" s="43">
        <v>36</v>
      </c>
      <c r="N1158" s="113"/>
      <c r="O1158" s="113"/>
      <c r="P1158" s="113"/>
      <c r="Q1158" s="113"/>
      <c r="R1158" s="113"/>
      <c r="S1158" s="113"/>
      <c r="T1158" s="113"/>
      <c r="U1158" s="113"/>
      <c r="V1158" s="113"/>
      <c r="W1158" s="113"/>
      <c r="X1158" s="113"/>
      <c r="Y1158" s="113"/>
      <c r="Z1158" s="113"/>
      <c r="AA1158" s="113"/>
      <c r="AB1158" s="113"/>
      <c r="AC1158" s="113"/>
      <c r="AD1158" s="113"/>
      <c r="AE1158" s="113"/>
      <c r="AF1158" s="113"/>
      <c r="AG1158" s="113"/>
      <c r="AH1158" s="113" t="s">
        <v>1113</v>
      </c>
      <c r="AI1158" s="113"/>
      <c r="AJ1158" s="113"/>
      <c r="AK1158" s="113"/>
      <c r="AL1158" s="113"/>
      <c r="AM1158" s="113"/>
      <c r="AN1158" s="113"/>
      <c r="AO1158" s="44" t="s">
        <v>2334</v>
      </c>
      <c r="AP1158" s="43"/>
      <c r="AQ1158" s="236" t="str">
        <f>VLOOKUP(Table8[[#This Row],[Instrument]],Def_Targets!$D$73:$E$159,2,FALSE)</f>
        <v>I_Aviation</v>
      </c>
      <c r="AR1158" s="233" t="str">
        <f>VLOOKUP(Table8[[#This Row],[Country Code]],Table29[],3,FALSE)</f>
        <v>Non-Annex I</v>
      </c>
      <c r="AS1158" s="233" t="str">
        <f>VLOOKUP(Table8[[#This Row],[Country Code]],Table29[],4,FALSE)</f>
        <v>Oceania</v>
      </c>
      <c r="AT1158" s="233" t="str">
        <f>VLOOKUP(Table8[[#This Row],[Country Code]],Table29[],5,FALSE)</f>
        <v>Middle-income</v>
      </c>
      <c r="AU1158" s="233" t="str">
        <f>VLOOKUP(Table8[[#This Row],[Country Code]],Table29[],6,FALSE)</f>
        <v>no</v>
      </c>
      <c r="AV1158" s="233" t="str">
        <f>VLOOKUP(Table8[[#This Row],[Country Code]],Table29[],7,FALSE)</f>
        <v>no</v>
      </c>
      <c r="AW1158" s="233" t="str">
        <f>VLOOKUP(Table8[[#This Row],[Country Code]],Table29[],8,FALSE)</f>
        <v>non-OECD</v>
      </c>
      <c r="AX1158" s="233" t="str">
        <f>VLOOKUP(Table8[[#This Row],[Country Code]],Table29[],9,FALSE)</f>
        <v>no</v>
      </c>
      <c r="AY1158" s="233" t="str">
        <f>VLOOKUP(Table8[[#This Row],[Country Code]],Table29[],10,FALSE)</f>
        <v>no</v>
      </c>
      <c r="AZ1158" s="235">
        <f>VLOOKUP(Table8[[#This Row],[Country Code]],Table29[],23,FALSE)</f>
        <v>0.13017626101136001</v>
      </c>
      <c r="BA1158" s="235">
        <f>VLOOKUP(Table8[[#This Row],[Country Code]],Table29[],24,FALSE)</f>
        <v>5.0508932626793582E-2</v>
      </c>
      <c r="BB1158" s="320"/>
      <c r="BC1158" s="320"/>
    </row>
    <row r="1159" spans="1:55" ht="30" hidden="1" x14ac:dyDescent="0.25">
      <c r="A1159" s="373">
        <v>32504</v>
      </c>
      <c r="B1159" s="233" t="str">
        <f>VLOOKUP(Table8[[#This Row],[Document ID]],Table1[],2,FALSE)</f>
        <v>KIR</v>
      </c>
      <c r="C1159" s="233" t="str">
        <f>VLOOKUP(Table8[[#This Row],[Document ID]],Table1[],3,FALSE)</f>
        <v>Kiribati</v>
      </c>
      <c r="D1159" s="243" t="str">
        <f>VLOOKUP(Table8[[#This Row],[Document ID]],Table1[],5,FALSE)</f>
        <v>NDC</v>
      </c>
      <c r="E1159" s="233" t="str">
        <f>VLOOKUP(Table8[[#This Row],[Document ID]],Table1[],7,FALSE)</f>
        <v>First NDC updated</v>
      </c>
      <c r="F1159" s="233" t="str">
        <f>VLOOKUP(Table8[[#This Row],[Document ID]],Table1[],8,FALSE)</f>
        <v>NDC 1.1</v>
      </c>
      <c r="G1159" s="233" t="str">
        <f>VLOOKUP(Table8[[#This Row],[Document ID]],Table1[],10,FALSE)</f>
        <v>Active</v>
      </c>
      <c r="H1159" s="43" t="s">
        <v>2350</v>
      </c>
      <c r="I1159" s="43" t="s">
        <v>2370</v>
      </c>
      <c r="J1159" s="44" t="s">
        <v>2371</v>
      </c>
      <c r="K1159" s="44" t="s">
        <v>3431</v>
      </c>
      <c r="L1159" s="44" t="s">
        <v>2373</v>
      </c>
      <c r="M1159" s="43">
        <v>36</v>
      </c>
      <c r="N1159" s="113"/>
      <c r="O1159" s="113"/>
      <c r="P1159" s="113"/>
      <c r="Q1159" s="113"/>
      <c r="R1159" s="113"/>
      <c r="S1159" s="113"/>
      <c r="T1159" s="113"/>
      <c r="U1159" s="113"/>
      <c r="V1159" s="113"/>
      <c r="W1159" s="113"/>
      <c r="X1159" s="113"/>
      <c r="Y1159" s="113"/>
      <c r="Z1159" s="113"/>
      <c r="AA1159" s="113"/>
      <c r="AB1159" s="113"/>
      <c r="AC1159" s="113"/>
      <c r="AD1159" s="113" t="s">
        <v>1113</v>
      </c>
      <c r="AE1159" s="113"/>
      <c r="AF1159" s="113"/>
      <c r="AG1159" s="113"/>
      <c r="AH1159" s="113"/>
      <c r="AI1159" s="113"/>
      <c r="AJ1159" s="113"/>
      <c r="AK1159" s="113"/>
      <c r="AL1159" s="113"/>
      <c r="AM1159" s="113"/>
      <c r="AN1159" s="113"/>
      <c r="AO1159" s="44" t="s">
        <v>2334</v>
      </c>
      <c r="AP1159" s="43"/>
      <c r="AQ1159" s="236" t="str">
        <f>VLOOKUP(Table8[[#This Row],[Instrument]],Def_Targets!$D$73:$E$159,2,FALSE)</f>
        <v>A_Natmobplan</v>
      </c>
      <c r="AR1159" s="233" t="str">
        <f>VLOOKUP(Table8[[#This Row],[Country Code]],Table29[],3,FALSE)</f>
        <v>Non-Annex I</v>
      </c>
      <c r="AS1159" s="233" t="str">
        <f>VLOOKUP(Table8[[#This Row],[Country Code]],Table29[],4,FALSE)</f>
        <v>Oceania</v>
      </c>
      <c r="AT1159" s="233" t="str">
        <f>VLOOKUP(Table8[[#This Row],[Country Code]],Table29[],5,FALSE)</f>
        <v>Middle-income</v>
      </c>
      <c r="AU1159" s="233" t="str">
        <f>VLOOKUP(Table8[[#This Row],[Country Code]],Table29[],6,FALSE)</f>
        <v>no</v>
      </c>
      <c r="AV1159" s="233" t="str">
        <f>VLOOKUP(Table8[[#This Row],[Country Code]],Table29[],7,FALSE)</f>
        <v>no</v>
      </c>
      <c r="AW1159" s="233" t="str">
        <f>VLOOKUP(Table8[[#This Row],[Country Code]],Table29[],8,FALSE)</f>
        <v>non-OECD</v>
      </c>
      <c r="AX1159" s="233" t="str">
        <f>VLOOKUP(Table8[[#This Row],[Country Code]],Table29[],9,FALSE)</f>
        <v>no</v>
      </c>
      <c r="AY1159" s="233" t="str">
        <f>VLOOKUP(Table8[[#This Row],[Country Code]],Table29[],10,FALSE)</f>
        <v>no</v>
      </c>
      <c r="AZ1159" s="235">
        <f>VLOOKUP(Table8[[#This Row],[Country Code]],Table29[],23,FALSE)</f>
        <v>0.13017626101136001</v>
      </c>
      <c r="BA1159" s="235">
        <f>VLOOKUP(Table8[[#This Row],[Country Code]],Table29[],24,FALSE)</f>
        <v>5.0508932626793582E-2</v>
      </c>
      <c r="BB1159" s="320"/>
      <c r="BC1159" s="320"/>
    </row>
    <row r="1160" spans="1:55" hidden="1" x14ac:dyDescent="0.25">
      <c r="A1160" s="373">
        <v>32504</v>
      </c>
      <c r="B1160" s="233" t="str">
        <f>VLOOKUP(Table8[[#This Row],[Document ID]],Table1[],2,FALSE)</f>
        <v>KIR</v>
      </c>
      <c r="C1160" s="233" t="str">
        <f>VLOOKUP(Table8[[#This Row],[Document ID]],Table1[],3,FALSE)</f>
        <v>Kiribati</v>
      </c>
      <c r="D1160" s="243" t="str">
        <f>VLOOKUP(Table8[[#This Row],[Document ID]],Table1[],5,FALSE)</f>
        <v>NDC</v>
      </c>
      <c r="E1160" s="233" t="str">
        <f>VLOOKUP(Table8[[#This Row],[Document ID]],Table1[],7,FALSE)</f>
        <v>First NDC updated</v>
      </c>
      <c r="F1160" s="233" t="str">
        <f>VLOOKUP(Table8[[#This Row],[Document ID]],Table1[],8,FALSE)</f>
        <v>NDC 1.1</v>
      </c>
      <c r="G1160" s="233" t="str">
        <f>VLOOKUP(Table8[[#This Row],[Document ID]],Table1[],10,FALSE)</f>
        <v>Active</v>
      </c>
      <c r="H1160" s="43" t="s">
        <v>2484</v>
      </c>
      <c r="I1160" s="43" t="s">
        <v>2485</v>
      </c>
      <c r="J1160" s="44" t="s">
        <v>2486</v>
      </c>
      <c r="K1160" s="44" t="s">
        <v>3432</v>
      </c>
      <c r="L1160" s="44" t="s">
        <v>2333</v>
      </c>
      <c r="M1160" s="43">
        <v>36</v>
      </c>
      <c r="N1160" s="113"/>
      <c r="O1160" s="113"/>
      <c r="P1160" s="113"/>
      <c r="Q1160" s="113"/>
      <c r="R1160" s="113"/>
      <c r="S1160" s="113"/>
      <c r="T1160" s="113"/>
      <c r="U1160" s="113"/>
      <c r="V1160" s="113"/>
      <c r="W1160" s="113"/>
      <c r="X1160" s="113"/>
      <c r="Y1160" s="113"/>
      <c r="Z1160" s="113"/>
      <c r="AA1160" s="113"/>
      <c r="AB1160" s="113"/>
      <c r="AC1160" s="113"/>
      <c r="AD1160" s="113" t="s">
        <v>1113</v>
      </c>
      <c r="AE1160" s="113"/>
      <c r="AF1160" s="113"/>
      <c r="AG1160" s="113"/>
      <c r="AH1160" s="113"/>
      <c r="AI1160" s="113"/>
      <c r="AJ1160" s="113"/>
      <c r="AK1160" s="113"/>
      <c r="AL1160" s="113"/>
      <c r="AM1160" s="113"/>
      <c r="AN1160" s="113"/>
      <c r="AO1160" s="43" t="s">
        <v>2353</v>
      </c>
      <c r="AP1160" s="43"/>
      <c r="AQ1160" s="236" t="str">
        <f>VLOOKUP(Table8[[#This Row],[Instrument]],Def_Targets!$D$73:$E$159,2,FALSE)</f>
        <v>I_Shipping</v>
      </c>
      <c r="AR1160" s="233" t="str">
        <f>VLOOKUP(Table8[[#This Row],[Country Code]],Table29[],3,FALSE)</f>
        <v>Non-Annex I</v>
      </c>
      <c r="AS1160" s="233" t="str">
        <f>VLOOKUP(Table8[[#This Row],[Country Code]],Table29[],4,FALSE)</f>
        <v>Oceania</v>
      </c>
      <c r="AT1160" s="233" t="str">
        <f>VLOOKUP(Table8[[#This Row],[Country Code]],Table29[],5,FALSE)</f>
        <v>Middle-income</v>
      </c>
      <c r="AU1160" s="233" t="str">
        <f>VLOOKUP(Table8[[#This Row],[Country Code]],Table29[],6,FALSE)</f>
        <v>no</v>
      </c>
      <c r="AV1160" s="233" t="str">
        <f>VLOOKUP(Table8[[#This Row],[Country Code]],Table29[],7,FALSE)</f>
        <v>no</v>
      </c>
      <c r="AW1160" s="233" t="str">
        <f>VLOOKUP(Table8[[#This Row],[Country Code]],Table29[],8,FALSE)</f>
        <v>non-OECD</v>
      </c>
      <c r="AX1160" s="233" t="str">
        <f>VLOOKUP(Table8[[#This Row],[Country Code]],Table29[],9,FALSE)</f>
        <v>no</v>
      </c>
      <c r="AY1160" s="233" t="str">
        <f>VLOOKUP(Table8[[#This Row],[Country Code]],Table29[],10,FALSE)</f>
        <v>no</v>
      </c>
      <c r="AZ1160" s="235">
        <f>VLOOKUP(Table8[[#This Row],[Country Code]],Table29[],23,FALSE)</f>
        <v>0.13017626101136001</v>
      </c>
      <c r="BA1160" s="235">
        <f>VLOOKUP(Table8[[#This Row],[Country Code]],Table29[],24,FALSE)</f>
        <v>5.0508932626793582E-2</v>
      </c>
      <c r="BB1160" s="320"/>
      <c r="BC1160" s="320"/>
    </row>
    <row r="1161" spans="1:55" hidden="1" x14ac:dyDescent="0.25">
      <c r="A1161" s="373">
        <v>32504</v>
      </c>
      <c r="B1161" s="233" t="str">
        <f>VLOOKUP(Table8[[#This Row],[Document ID]],Table1[],2,FALSE)</f>
        <v>KIR</v>
      </c>
      <c r="C1161" s="233" t="str">
        <f>VLOOKUP(Table8[[#This Row],[Document ID]],Table1[],3,FALSE)</f>
        <v>Kiribati</v>
      </c>
      <c r="D1161" s="243" t="str">
        <f>VLOOKUP(Table8[[#This Row],[Document ID]],Table1[],5,FALSE)</f>
        <v>NDC</v>
      </c>
      <c r="E1161" s="233" t="str">
        <f>VLOOKUP(Table8[[#This Row],[Document ID]],Table1[],7,FALSE)</f>
        <v>First NDC updated</v>
      </c>
      <c r="F1161" s="233" t="str">
        <f>VLOOKUP(Table8[[#This Row],[Document ID]],Table1[],8,FALSE)</f>
        <v>NDC 1.1</v>
      </c>
      <c r="G1161" s="233" t="str">
        <f>VLOOKUP(Table8[[#This Row],[Document ID]],Table1[],10,FALSE)</f>
        <v>Active</v>
      </c>
      <c r="H1161" s="43" t="s">
        <v>2484</v>
      </c>
      <c r="I1161" s="43" t="s">
        <v>2485</v>
      </c>
      <c r="J1161" s="44" t="s">
        <v>2486</v>
      </c>
      <c r="K1161" s="44" t="s">
        <v>3433</v>
      </c>
      <c r="L1161" s="44" t="s">
        <v>2333</v>
      </c>
      <c r="M1161" s="43">
        <v>36</v>
      </c>
      <c r="N1161" s="113"/>
      <c r="O1161" s="113"/>
      <c r="P1161" s="113"/>
      <c r="Q1161" s="113"/>
      <c r="R1161" s="113"/>
      <c r="S1161" s="113"/>
      <c r="T1161" s="113"/>
      <c r="U1161" s="113"/>
      <c r="V1161" s="113"/>
      <c r="W1161" s="113"/>
      <c r="X1161" s="113"/>
      <c r="Y1161" s="113"/>
      <c r="Z1161" s="113"/>
      <c r="AA1161" s="113"/>
      <c r="AB1161" s="113"/>
      <c r="AC1161" s="113"/>
      <c r="AD1161" s="113" t="s">
        <v>1113</v>
      </c>
      <c r="AE1161" s="113"/>
      <c r="AF1161" s="113"/>
      <c r="AG1161" s="113"/>
      <c r="AH1161" s="113"/>
      <c r="AI1161" s="113"/>
      <c r="AJ1161" s="113"/>
      <c r="AK1161" s="113"/>
      <c r="AL1161" s="113"/>
      <c r="AM1161" s="113"/>
      <c r="AN1161" s="113"/>
      <c r="AO1161" s="43" t="s">
        <v>2477</v>
      </c>
      <c r="AP1161" s="43"/>
      <c r="AQ1161" s="236" t="str">
        <f>VLOOKUP(Table8[[#This Row],[Instrument]],Def_Targets!$D$73:$E$159,2,FALSE)</f>
        <v>I_Shipping</v>
      </c>
      <c r="AR1161" s="233" t="str">
        <f>VLOOKUP(Table8[[#This Row],[Country Code]],Table29[],3,FALSE)</f>
        <v>Non-Annex I</v>
      </c>
      <c r="AS1161" s="233" t="str">
        <f>VLOOKUP(Table8[[#This Row],[Country Code]],Table29[],4,FALSE)</f>
        <v>Oceania</v>
      </c>
      <c r="AT1161" s="233" t="str">
        <f>VLOOKUP(Table8[[#This Row],[Country Code]],Table29[],5,FALSE)</f>
        <v>Middle-income</v>
      </c>
      <c r="AU1161" s="233" t="str">
        <f>VLOOKUP(Table8[[#This Row],[Country Code]],Table29[],6,FALSE)</f>
        <v>no</v>
      </c>
      <c r="AV1161" s="233" t="str">
        <f>VLOOKUP(Table8[[#This Row],[Country Code]],Table29[],7,FALSE)</f>
        <v>no</v>
      </c>
      <c r="AW1161" s="233" t="str">
        <f>VLOOKUP(Table8[[#This Row],[Country Code]],Table29[],8,FALSE)</f>
        <v>non-OECD</v>
      </c>
      <c r="AX1161" s="233" t="str">
        <f>VLOOKUP(Table8[[#This Row],[Country Code]],Table29[],9,FALSE)</f>
        <v>no</v>
      </c>
      <c r="AY1161" s="233" t="str">
        <f>VLOOKUP(Table8[[#This Row],[Country Code]],Table29[],10,FALSE)</f>
        <v>no</v>
      </c>
      <c r="AZ1161" s="235">
        <f>VLOOKUP(Table8[[#This Row],[Country Code]],Table29[],23,FALSE)</f>
        <v>0.13017626101136001</v>
      </c>
      <c r="BA1161" s="235">
        <f>VLOOKUP(Table8[[#This Row],[Country Code]],Table29[],24,FALSE)</f>
        <v>5.0508932626793582E-2</v>
      </c>
      <c r="BB1161" s="320"/>
      <c r="BC1161" s="320"/>
    </row>
    <row r="1162" spans="1:55" hidden="1" x14ac:dyDescent="0.25">
      <c r="A1162" s="373">
        <v>32504</v>
      </c>
      <c r="B1162" s="233" t="str">
        <f>VLOOKUP(Table8[[#This Row],[Document ID]],Table1[],2,FALSE)</f>
        <v>KIR</v>
      </c>
      <c r="C1162" s="233" t="str">
        <f>VLOOKUP(Table8[[#This Row],[Document ID]],Table1[],3,FALSE)</f>
        <v>Kiribati</v>
      </c>
      <c r="D1162" s="243" t="str">
        <f>VLOOKUP(Table8[[#This Row],[Document ID]],Table1[],5,FALSE)</f>
        <v>NDC</v>
      </c>
      <c r="E1162" s="233" t="str">
        <f>VLOOKUP(Table8[[#This Row],[Document ID]],Table1[],7,FALSE)</f>
        <v>First NDC updated</v>
      </c>
      <c r="F1162" s="233" t="str">
        <f>VLOOKUP(Table8[[#This Row],[Document ID]],Table1[],8,FALSE)</f>
        <v>NDC 1.1</v>
      </c>
      <c r="G1162" s="233" t="str">
        <f>VLOOKUP(Table8[[#This Row],[Document ID]],Table1[],10,FALSE)</f>
        <v>Active</v>
      </c>
      <c r="H1162" s="44" t="s">
        <v>2329</v>
      </c>
      <c r="I1162" s="44" t="s">
        <v>2330</v>
      </c>
      <c r="J1162" s="44" t="s">
        <v>2357</v>
      </c>
      <c r="K1162" s="44" t="s">
        <v>3434</v>
      </c>
      <c r="L1162" s="44" t="s">
        <v>2333</v>
      </c>
      <c r="M1162" s="43">
        <v>36</v>
      </c>
      <c r="N1162" s="113"/>
      <c r="O1162" s="113"/>
      <c r="P1162" s="113"/>
      <c r="Q1162" s="113"/>
      <c r="R1162" s="113"/>
      <c r="S1162" s="113" t="s">
        <v>1113</v>
      </c>
      <c r="T1162" s="113"/>
      <c r="U1162" s="113"/>
      <c r="V1162" s="113"/>
      <c r="W1162" s="113"/>
      <c r="X1162" s="113"/>
      <c r="Y1162" s="113"/>
      <c r="Z1162" s="113"/>
      <c r="AA1162" s="113"/>
      <c r="AB1162" s="113"/>
      <c r="AC1162" s="113"/>
      <c r="AD1162" s="113" t="s">
        <v>1113</v>
      </c>
      <c r="AE1162" s="113"/>
      <c r="AF1162" s="113"/>
      <c r="AG1162" s="113"/>
      <c r="AH1162" s="113"/>
      <c r="AI1162" s="113"/>
      <c r="AJ1162" s="113"/>
      <c r="AK1162" s="113"/>
      <c r="AL1162" s="113"/>
      <c r="AM1162" s="113"/>
      <c r="AN1162" s="113"/>
      <c r="AO1162" s="44" t="s">
        <v>2334</v>
      </c>
      <c r="AP1162" s="43"/>
      <c r="AQ1162" s="236" t="str">
        <f>VLOOKUP(Table8[[#This Row],[Instrument]],Def_Targets!$D$73:$E$159,2,FALSE)</f>
        <v>I_Biofuel</v>
      </c>
      <c r="AR1162" s="233" t="str">
        <f>VLOOKUP(Table8[[#This Row],[Country Code]],Table29[],3,FALSE)</f>
        <v>Non-Annex I</v>
      </c>
      <c r="AS1162" s="233" t="str">
        <f>VLOOKUP(Table8[[#This Row],[Country Code]],Table29[],4,FALSE)</f>
        <v>Oceania</v>
      </c>
      <c r="AT1162" s="233" t="str">
        <f>VLOOKUP(Table8[[#This Row],[Country Code]],Table29[],5,FALSE)</f>
        <v>Middle-income</v>
      </c>
      <c r="AU1162" s="233" t="str">
        <f>VLOOKUP(Table8[[#This Row],[Country Code]],Table29[],6,FALSE)</f>
        <v>no</v>
      </c>
      <c r="AV1162" s="233" t="str">
        <f>VLOOKUP(Table8[[#This Row],[Country Code]],Table29[],7,FALSE)</f>
        <v>no</v>
      </c>
      <c r="AW1162" s="233" t="str">
        <f>VLOOKUP(Table8[[#This Row],[Country Code]],Table29[],8,FALSE)</f>
        <v>non-OECD</v>
      </c>
      <c r="AX1162" s="233" t="str">
        <f>VLOOKUP(Table8[[#This Row],[Country Code]],Table29[],9,FALSE)</f>
        <v>no</v>
      </c>
      <c r="AY1162" s="233" t="str">
        <f>VLOOKUP(Table8[[#This Row],[Country Code]],Table29[],10,FALSE)</f>
        <v>no</v>
      </c>
      <c r="AZ1162" s="235">
        <f>VLOOKUP(Table8[[#This Row],[Country Code]],Table29[],23,FALSE)</f>
        <v>0.13017626101136001</v>
      </c>
      <c r="BA1162" s="235">
        <f>VLOOKUP(Table8[[#This Row],[Country Code]],Table29[],24,FALSE)</f>
        <v>5.0508932626793582E-2</v>
      </c>
      <c r="BB1162" s="320"/>
      <c r="BC1162" s="320"/>
    </row>
    <row r="1163" spans="1:55" hidden="1" x14ac:dyDescent="0.25">
      <c r="A1163" s="373">
        <v>32504</v>
      </c>
      <c r="B1163" s="233" t="str">
        <f>VLOOKUP(Table8[[#This Row],[Document ID]],Table1[],2,FALSE)</f>
        <v>KIR</v>
      </c>
      <c r="C1163" s="233" t="str">
        <f>VLOOKUP(Table8[[#This Row],[Document ID]],Table1[],3,FALSE)</f>
        <v>Kiribati</v>
      </c>
      <c r="D1163" s="243" t="str">
        <f>VLOOKUP(Table8[[#This Row],[Document ID]],Table1[],5,FALSE)</f>
        <v>NDC</v>
      </c>
      <c r="E1163" s="233" t="str">
        <f>VLOOKUP(Table8[[#This Row],[Document ID]],Table1[],7,FALSE)</f>
        <v>First NDC updated</v>
      </c>
      <c r="F1163" s="233" t="str">
        <f>VLOOKUP(Table8[[#This Row],[Document ID]],Table1[],8,FALSE)</f>
        <v>NDC 1.1</v>
      </c>
      <c r="G1163" s="233" t="str">
        <f>VLOOKUP(Table8[[#This Row],[Document ID]],Table1[],10,FALSE)</f>
        <v>Active</v>
      </c>
      <c r="H1163" s="43" t="s">
        <v>2343</v>
      </c>
      <c r="I1163" s="43" t="s">
        <v>2344</v>
      </c>
      <c r="J1163" s="44" t="s">
        <v>2345</v>
      </c>
      <c r="K1163" s="44" t="s">
        <v>3435</v>
      </c>
      <c r="L1163" s="44" t="s">
        <v>2333</v>
      </c>
      <c r="M1163" s="43">
        <v>36</v>
      </c>
      <c r="N1163" s="113" t="s">
        <v>1113</v>
      </c>
      <c r="O1163" s="113"/>
      <c r="P1163" s="113"/>
      <c r="Q1163" s="113"/>
      <c r="R1163" s="113"/>
      <c r="S1163" s="113"/>
      <c r="T1163" s="113"/>
      <c r="U1163" s="113"/>
      <c r="V1163" s="113"/>
      <c r="W1163" s="113"/>
      <c r="X1163" s="113"/>
      <c r="Y1163" s="113"/>
      <c r="Z1163" s="113"/>
      <c r="AA1163" s="113"/>
      <c r="AB1163" s="113"/>
      <c r="AC1163" s="113"/>
      <c r="AD1163" s="113"/>
      <c r="AE1163" s="113"/>
      <c r="AF1163" s="113"/>
      <c r="AG1163" s="113"/>
      <c r="AH1163" s="113"/>
      <c r="AI1163" s="113"/>
      <c r="AJ1163" s="113"/>
      <c r="AK1163" s="113"/>
      <c r="AL1163" s="113"/>
      <c r="AM1163" s="113"/>
      <c r="AN1163" s="113"/>
      <c r="AO1163" s="43" t="s">
        <v>2348</v>
      </c>
      <c r="AP1163" s="43"/>
      <c r="AQ1163" s="236" t="str">
        <f>VLOOKUP(Table8[[#This Row],[Instrument]],Def_Targets!$D$73:$E$159,2,FALSE)</f>
        <v>S_PublicTransport</v>
      </c>
      <c r="AR1163" s="233" t="str">
        <f>VLOOKUP(Table8[[#This Row],[Country Code]],Table29[],3,FALSE)</f>
        <v>Non-Annex I</v>
      </c>
      <c r="AS1163" s="233" t="str">
        <f>VLOOKUP(Table8[[#This Row],[Country Code]],Table29[],4,FALSE)</f>
        <v>Oceania</v>
      </c>
      <c r="AT1163" s="233" t="str">
        <f>VLOOKUP(Table8[[#This Row],[Country Code]],Table29[],5,FALSE)</f>
        <v>Middle-income</v>
      </c>
      <c r="AU1163" s="233" t="str">
        <f>VLOOKUP(Table8[[#This Row],[Country Code]],Table29[],6,FALSE)</f>
        <v>no</v>
      </c>
      <c r="AV1163" s="233" t="str">
        <f>VLOOKUP(Table8[[#This Row],[Country Code]],Table29[],7,FALSE)</f>
        <v>no</v>
      </c>
      <c r="AW1163" s="233" t="str">
        <f>VLOOKUP(Table8[[#This Row],[Country Code]],Table29[],8,FALSE)</f>
        <v>non-OECD</v>
      </c>
      <c r="AX1163" s="233" t="str">
        <f>VLOOKUP(Table8[[#This Row],[Country Code]],Table29[],9,FALSE)</f>
        <v>no</v>
      </c>
      <c r="AY1163" s="233" t="str">
        <f>VLOOKUP(Table8[[#This Row],[Country Code]],Table29[],10,FALSE)</f>
        <v>no</v>
      </c>
      <c r="AZ1163" s="235">
        <f>VLOOKUP(Table8[[#This Row],[Country Code]],Table29[],23,FALSE)</f>
        <v>0.13017626101136001</v>
      </c>
      <c r="BA1163" s="235">
        <f>VLOOKUP(Table8[[#This Row],[Country Code]],Table29[],24,FALSE)</f>
        <v>5.0508932626793582E-2</v>
      </c>
      <c r="BB1163" s="320"/>
      <c r="BC1163" s="320"/>
    </row>
    <row r="1164" spans="1:55" hidden="1" x14ac:dyDescent="0.25">
      <c r="A1164" s="373">
        <v>32504</v>
      </c>
      <c r="B1164" s="233" t="str">
        <f>VLOOKUP(Table8[[#This Row],[Document ID]],Table1[],2,FALSE)</f>
        <v>KIR</v>
      </c>
      <c r="C1164" s="233" t="str">
        <f>VLOOKUP(Table8[[#This Row],[Document ID]],Table1[],3,FALSE)</f>
        <v>Kiribati</v>
      </c>
      <c r="D1164" s="243" t="str">
        <f>VLOOKUP(Table8[[#This Row],[Document ID]],Table1[],5,FALSE)</f>
        <v>NDC</v>
      </c>
      <c r="E1164" s="233" t="str">
        <f>VLOOKUP(Table8[[#This Row],[Document ID]],Table1[],7,FALSE)</f>
        <v>First NDC updated</v>
      </c>
      <c r="F1164" s="233" t="str">
        <f>VLOOKUP(Table8[[#This Row],[Document ID]],Table1[],8,FALSE)</f>
        <v>NDC 1.1</v>
      </c>
      <c r="G1164" s="233" t="str">
        <f>VLOOKUP(Table8[[#This Row],[Document ID]],Table1[],10,FALSE)</f>
        <v>Active</v>
      </c>
      <c r="H1164" s="43" t="s">
        <v>2484</v>
      </c>
      <c r="I1164" s="43" t="s">
        <v>2485</v>
      </c>
      <c r="J1164" s="44" t="s">
        <v>2486</v>
      </c>
      <c r="K1164" s="44" t="s">
        <v>3436</v>
      </c>
      <c r="L1164" s="44" t="s">
        <v>2333</v>
      </c>
      <c r="M1164" s="43">
        <v>36</v>
      </c>
      <c r="N1164" s="113"/>
      <c r="O1164" s="113"/>
      <c r="P1164" s="113"/>
      <c r="Q1164" s="113"/>
      <c r="R1164" s="113"/>
      <c r="S1164" s="113"/>
      <c r="T1164" s="113"/>
      <c r="U1164" s="113"/>
      <c r="V1164" s="113"/>
      <c r="W1164" s="113"/>
      <c r="X1164" s="113"/>
      <c r="Y1164" s="113"/>
      <c r="Z1164" s="113"/>
      <c r="AA1164" s="113"/>
      <c r="AB1164" s="113"/>
      <c r="AC1164" s="113"/>
      <c r="AD1164" s="113" t="s">
        <v>1113</v>
      </c>
      <c r="AE1164" s="113"/>
      <c r="AF1164" s="113"/>
      <c r="AG1164" s="113"/>
      <c r="AH1164" s="113"/>
      <c r="AI1164" s="113"/>
      <c r="AJ1164" s="113"/>
      <c r="AK1164" s="113"/>
      <c r="AL1164" s="113"/>
      <c r="AM1164" s="113"/>
      <c r="AN1164" s="113"/>
      <c r="AO1164" s="43" t="s">
        <v>2348</v>
      </c>
      <c r="AP1164" s="43"/>
      <c r="AQ1164" s="236" t="str">
        <f>VLOOKUP(Table8[[#This Row],[Instrument]],Def_Targets!$D$73:$E$159,2,FALSE)</f>
        <v>I_Shipping</v>
      </c>
      <c r="AR1164" s="233" t="str">
        <f>VLOOKUP(Table8[[#This Row],[Country Code]],Table29[],3,FALSE)</f>
        <v>Non-Annex I</v>
      </c>
      <c r="AS1164" s="233" t="str">
        <f>VLOOKUP(Table8[[#This Row],[Country Code]],Table29[],4,FALSE)</f>
        <v>Oceania</v>
      </c>
      <c r="AT1164" s="233" t="str">
        <f>VLOOKUP(Table8[[#This Row],[Country Code]],Table29[],5,FALSE)</f>
        <v>Middle-income</v>
      </c>
      <c r="AU1164" s="233" t="str">
        <f>VLOOKUP(Table8[[#This Row],[Country Code]],Table29[],6,FALSE)</f>
        <v>no</v>
      </c>
      <c r="AV1164" s="233" t="str">
        <f>VLOOKUP(Table8[[#This Row],[Country Code]],Table29[],7,FALSE)</f>
        <v>no</v>
      </c>
      <c r="AW1164" s="233" t="str">
        <f>VLOOKUP(Table8[[#This Row],[Country Code]],Table29[],8,FALSE)</f>
        <v>non-OECD</v>
      </c>
      <c r="AX1164" s="233" t="str">
        <f>VLOOKUP(Table8[[#This Row],[Country Code]],Table29[],9,FALSE)</f>
        <v>no</v>
      </c>
      <c r="AY1164" s="233" t="str">
        <f>VLOOKUP(Table8[[#This Row],[Country Code]],Table29[],10,FALSE)</f>
        <v>no</v>
      </c>
      <c r="AZ1164" s="235">
        <f>VLOOKUP(Table8[[#This Row],[Country Code]],Table29[],23,FALSE)</f>
        <v>0.13017626101136001</v>
      </c>
      <c r="BA1164" s="235">
        <f>VLOOKUP(Table8[[#This Row],[Country Code]],Table29[],24,FALSE)</f>
        <v>5.0508932626793582E-2</v>
      </c>
      <c r="BB1164" s="320"/>
      <c r="BC1164" s="320"/>
    </row>
    <row r="1165" spans="1:55" ht="60" hidden="1" x14ac:dyDescent="0.25">
      <c r="A1165" s="373">
        <v>17635</v>
      </c>
      <c r="B1165" s="233" t="str">
        <f>VLOOKUP(Table8[[#This Row],[Document ID]],Table1[],2,FALSE)</f>
        <v>KWT</v>
      </c>
      <c r="C1165" s="233" t="str">
        <f>VLOOKUP(Table8[[#This Row],[Document ID]],Table1[],3,FALSE)</f>
        <v>Kuwait</v>
      </c>
      <c r="D1165" s="243" t="str">
        <f>VLOOKUP(Table8[[#This Row],[Document ID]],Table1[],5,FALSE)</f>
        <v>NDC</v>
      </c>
      <c r="E1165" s="233" t="str">
        <f>VLOOKUP(Table8[[#This Row],[Document ID]],Table1[],7,FALSE)</f>
        <v>First NDC</v>
      </c>
      <c r="F1165" s="236" t="str">
        <f>VLOOKUP(Table8[[#This Row],[Document ID]],Table1[],8,FALSE)</f>
        <v>NDC 1.0</v>
      </c>
      <c r="G1165" s="236" t="str">
        <f>VLOOKUP(Table8[[#This Row],[Document ID]],Table1[],10,FALSE)</f>
        <v>Archived</v>
      </c>
      <c r="H1165" s="43" t="s">
        <v>2343</v>
      </c>
      <c r="I1165" s="43" t="s">
        <v>2344</v>
      </c>
      <c r="J1165" s="44" t="s">
        <v>2405</v>
      </c>
      <c r="K1165" s="44" t="s">
        <v>3437</v>
      </c>
      <c r="L1165" s="44" t="s">
        <v>2347</v>
      </c>
      <c r="M1165" s="43"/>
      <c r="N1165" s="113"/>
      <c r="O1165" s="113"/>
      <c r="P1165" s="113"/>
      <c r="Q1165" s="319"/>
      <c r="R1165" s="319"/>
      <c r="S1165" s="319"/>
      <c r="T1165" s="319"/>
      <c r="U1165" s="319"/>
      <c r="V1165" s="319"/>
      <c r="W1165" s="319"/>
      <c r="X1165" s="319"/>
      <c r="Y1165" s="319"/>
      <c r="Z1165" s="319" t="s">
        <v>1113</v>
      </c>
      <c r="AA1165" s="319"/>
      <c r="AB1165" s="319"/>
      <c r="AC1165" s="319" t="s">
        <v>1113</v>
      </c>
      <c r="AD1165" s="319"/>
      <c r="AE1165" s="319"/>
      <c r="AF1165" s="319"/>
      <c r="AG1165" s="319"/>
      <c r="AH1165" s="319"/>
      <c r="AI1165" s="319"/>
      <c r="AJ1165" s="319"/>
      <c r="AK1165" s="319" t="s">
        <v>1113</v>
      </c>
      <c r="AL1165" s="319"/>
      <c r="AM1165" s="319"/>
      <c r="AN1165" s="319"/>
      <c r="AO1165" s="43" t="s">
        <v>2477</v>
      </c>
      <c r="AP1165" s="44"/>
      <c r="AQ1165" s="236" t="str">
        <f>VLOOKUP(Table8[[#This Row],[Instrument]],Def_Targets!$D$73:$E$159,2,FALSE)</f>
        <v>S_PTIntegration</v>
      </c>
      <c r="AR1165" s="233" t="str">
        <f>VLOOKUP(Table8[[#This Row],[Country Code]],Table29[],3,FALSE)</f>
        <v>Non-Annex I</v>
      </c>
      <c r="AS1165" s="233" t="str">
        <f>VLOOKUP(Table8[[#This Row],[Country Code]],Table29[],4,FALSE)</f>
        <v>Asia</v>
      </c>
      <c r="AT1165" s="233" t="str">
        <f>VLOOKUP(Table8[[#This Row],[Country Code]],Table29[],5,FALSE)</f>
        <v>High-income</v>
      </c>
      <c r="AU1165" s="233" t="str">
        <f>VLOOKUP(Table8[[#This Row],[Country Code]],Table29[],6,FALSE)</f>
        <v>no</v>
      </c>
      <c r="AV1165" s="233" t="str">
        <f>VLOOKUP(Table8[[#This Row],[Country Code]],Table29[],7,FALSE)</f>
        <v>no</v>
      </c>
      <c r="AW1165" s="233" t="str">
        <f>VLOOKUP(Table8[[#This Row],[Country Code]],Table29[],8,FALSE)</f>
        <v>non-OECD</v>
      </c>
      <c r="AX1165" s="233" t="str">
        <f>VLOOKUP(Table8[[#This Row],[Country Code]],Table29[],9,FALSE)</f>
        <v>no</v>
      </c>
      <c r="AY1165" s="233" t="str">
        <f>VLOOKUP(Table8[[#This Row],[Country Code]],Table29[],10,FALSE)</f>
        <v>MENA</v>
      </c>
      <c r="AZ1165" s="235">
        <f>VLOOKUP(Table8[[#This Row],[Country Code]],Table29[],23,FALSE)</f>
        <v>167.91576883104</v>
      </c>
      <c r="BA1165" s="235">
        <f>VLOOKUP(Table8[[#This Row],[Country Code]],Table29[],24,FALSE)</f>
        <v>15.277707011973771</v>
      </c>
      <c r="BB1165" s="320"/>
      <c r="BC1165" s="320"/>
    </row>
    <row r="1166" spans="1:55" hidden="1" x14ac:dyDescent="0.25">
      <c r="A1166" s="373">
        <v>23384</v>
      </c>
      <c r="B1166" s="233" t="str">
        <f>VLOOKUP(Table8[[#This Row],[Document ID]],Table1[],2,FALSE)</f>
        <v>KGZ</v>
      </c>
      <c r="C1166" s="233" t="str">
        <f>VLOOKUP(Table8[[#This Row],[Document ID]],Table1[],3,FALSE)</f>
        <v>Kyrgyzstan</v>
      </c>
      <c r="D1166" s="243" t="str">
        <f>VLOOKUP(Table8[[#This Row],[Document ID]],Table1[],5,FALSE)</f>
        <v>NDC</v>
      </c>
      <c r="E1166" s="233" t="str">
        <f>VLOOKUP(Table8[[#This Row],[Document ID]],Table1[],7,FALSE)</f>
        <v>First NDC updated</v>
      </c>
      <c r="F1166" s="233" t="str">
        <f>VLOOKUP(Table8[[#This Row],[Document ID]],Table1[],8,FALSE)</f>
        <v>NDC 1.1</v>
      </c>
      <c r="G1166" s="233" t="str">
        <f>VLOOKUP(Table8[[#This Row],[Document ID]],Table1[],10,FALSE)</f>
        <v>Active</v>
      </c>
      <c r="H1166" s="43" t="s">
        <v>2358</v>
      </c>
      <c r="I1166" s="43" t="s">
        <v>2359</v>
      </c>
      <c r="J1166" s="44" t="s">
        <v>2360</v>
      </c>
      <c r="K1166" s="44" t="s">
        <v>3438</v>
      </c>
      <c r="L1166" s="44" t="s">
        <v>2333</v>
      </c>
      <c r="M1166" s="43">
        <v>20</v>
      </c>
      <c r="N1166" s="113" t="s">
        <v>1113</v>
      </c>
      <c r="O1166" s="113"/>
      <c r="P1166" s="113"/>
      <c r="Q1166" s="113"/>
      <c r="R1166" s="113"/>
      <c r="S1166" s="113"/>
      <c r="T1166" s="113"/>
      <c r="U1166" s="113"/>
      <c r="V1166" s="113"/>
      <c r="W1166" s="113"/>
      <c r="X1166" s="113"/>
      <c r="Y1166" s="113"/>
      <c r="Z1166" s="113"/>
      <c r="AA1166" s="113"/>
      <c r="AB1166" s="113"/>
      <c r="AC1166" s="113"/>
      <c r="AD1166" s="113"/>
      <c r="AE1166" s="113"/>
      <c r="AF1166" s="113"/>
      <c r="AG1166" s="113"/>
      <c r="AH1166" s="113"/>
      <c r="AI1166" s="113"/>
      <c r="AJ1166" s="113"/>
      <c r="AK1166" s="113" t="s">
        <v>1113</v>
      </c>
      <c r="AL1166" s="113"/>
      <c r="AM1166" s="113"/>
      <c r="AN1166" s="113"/>
      <c r="AO1166" s="44" t="s">
        <v>2334</v>
      </c>
      <c r="AP1166" s="43"/>
      <c r="AQ1166" s="236" t="str">
        <f>VLOOKUP(Table8[[#This Row],[Instrument]],Def_Targets!$D$73:$E$159,2,FALSE)</f>
        <v>I_Emobility</v>
      </c>
      <c r="AR1166" s="233" t="str">
        <f>VLOOKUP(Table8[[#This Row],[Country Code]],Table29[],3,FALSE)</f>
        <v>Non-Annex I</v>
      </c>
      <c r="AS1166" s="233" t="str">
        <f>VLOOKUP(Table8[[#This Row],[Country Code]],Table29[],4,FALSE)</f>
        <v>Asia</v>
      </c>
      <c r="AT1166" s="233" t="str">
        <f>VLOOKUP(Table8[[#This Row],[Country Code]],Table29[],5,FALSE)</f>
        <v>Middle-income</v>
      </c>
      <c r="AU1166" s="233" t="str">
        <f>VLOOKUP(Table8[[#This Row],[Country Code]],Table29[],6,FALSE)</f>
        <v>no</v>
      </c>
      <c r="AV1166" s="233" t="str">
        <f>VLOOKUP(Table8[[#This Row],[Country Code]],Table29[],7,FALSE)</f>
        <v>no</v>
      </c>
      <c r="AW1166" s="233" t="str">
        <f>VLOOKUP(Table8[[#This Row],[Country Code]],Table29[],8,FALSE)</f>
        <v>non-OECD</v>
      </c>
      <c r="AX1166" s="233" t="str">
        <f>VLOOKUP(Table8[[#This Row],[Country Code]],Table29[],9,FALSE)</f>
        <v>no</v>
      </c>
      <c r="AY1166" s="233" t="str">
        <f>VLOOKUP(Table8[[#This Row],[Country Code]],Table29[],10,FALSE)</f>
        <v>no</v>
      </c>
      <c r="AZ1166" s="235">
        <f>VLOOKUP(Table8[[#This Row],[Country Code]],Table29[],23,FALSE)</f>
        <v>21.698229839443002</v>
      </c>
      <c r="BA1166" s="235">
        <f>VLOOKUP(Table8[[#This Row],[Country Code]],Table29[],24,FALSE)</f>
        <v>1.744567668774214</v>
      </c>
      <c r="BB1166" s="320"/>
      <c r="BC1166" s="320"/>
    </row>
    <row r="1167" spans="1:55" hidden="1" x14ac:dyDescent="0.25">
      <c r="A1167" s="373">
        <v>23384</v>
      </c>
      <c r="B1167" s="233" t="str">
        <f>VLOOKUP(Table8[[#This Row],[Document ID]],Table1[],2,FALSE)</f>
        <v>KGZ</v>
      </c>
      <c r="C1167" s="233" t="str">
        <f>VLOOKUP(Table8[[#This Row],[Document ID]],Table1[],3,FALSE)</f>
        <v>Kyrgyzstan</v>
      </c>
      <c r="D1167" s="243" t="str">
        <f>VLOOKUP(Table8[[#This Row],[Document ID]],Table1[],5,FALSE)</f>
        <v>NDC</v>
      </c>
      <c r="E1167" s="233" t="str">
        <f>VLOOKUP(Table8[[#This Row],[Document ID]],Table1[],7,FALSE)</f>
        <v>First NDC updated</v>
      </c>
      <c r="F1167" s="233" t="str">
        <f>VLOOKUP(Table8[[#This Row],[Document ID]],Table1[],8,FALSE)</f>
        <v>NDC 1.1</v>
      </c>
      <c r="G1167" s="233" t="str">
        <f>VLOOKUP(Table8[[#This Row],[Document ID]],Table1[],10,FALSE)</f>
        <v>Active</v>
      </c>
      <c r="H1167" s="43" t="s">
        <v>2343</v>
      </c>
      <c r="I1167" s="43" t="s">
        <v>2377</v>
      </c>
      <c r="J1167" s="44" t="s">
        <v>2394</v>
      </c>
      <c r="K1167" s="44" t="s">
        <v>3439</v>
      </c>
      <c r="L1167" s="44" t="s">
        <v>2333</v>
      </c>
      <c r="M1167" s="43">
        <v>20</v>
      </c>
      <c r="N1167" s="113" t="s">
        <v>1113</v>
      </c>
      <c r="O1167" s="113"/>
      <c r="P1167" s="113"/>
      <c r="Q1167" s="113"/>
      <c r="R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t="s">
        <v>1113</v>
      </c>
      <c r="AL1167" s="113"/>
      <c r="AM1167" s="113"/>
      <c r="AN1167" s="113"/>
      <c r="AO1167" s="44" t="s">
        <v>2334</v>
      </c>
      <c r="AP1167" s="43"/>
      <c r="AQ1167" s="236" t="str">
        <f>VLOOKUP(Table8[[#This Row],[Instrument]],Def_Targets!$D$73:$E$159,2,FALSE)</f>
        <v>A_TDM</v>
      </c>
      <c r="AR1167" s="233" t="str">
        <f>VLOOKUP(Table8[[#This Row],[Country Code]],Table29[],3,FALSE)</f>
        <v>Non-Annex I</v>
      </c>
      <c r="AS1167" s="233" t="str">
        <f>VLOOKUP(Table8[[#This Row],[Country Code]],Table29[],4,FALSE)</f>
        <v>Asia</v>
      </c>
      <c r="AT1167" s="233" t="str">
        <f>VLOOKUP(Table8[[#This Row],[Country Code]],Table29[],5,FALSE)</f>
        <v>Middle-income</v>
      </c>
      <c r="AU1167" s="233" t="str">
        <f>VLOOKUP(Table8[[#This Row],[Country Code]],Table29[],6,FALSE)</f>
        <v>no</v>
      </c>
      <c r="AV1167" s="233" t="str">
        <f>VLOOKUP(Table8[[#This Row],[Country Code]],Table29[],7,FALSE)</f>
        <v>no</v>
      </c>
      <c r="AW1167" s="233" t="str">
        <f>VLOOKUP(Table8[[#This Row],[Country Code]],Table29[],8,FALSE)</f>
        <v>non-OECD</v>
      </c>
      <c r="AX1167" s="233" t="str">
        <f>VLOOKUP(Table8[[#This Row],[Country Code]],Table29[],9,FALSE)</f>
        <v>no</v>
      </c>
      <c r="AY1167" s="233" t="str">
        <f>VLOOKUP(Table8[[#This Row],[Country Code]],Table29[],10,FALSE)</f>
        <v>no</v>
      </c>
      <c r="AZ1167" s="235">
        <f>VLOOKUP(Table8[[#This Row],[Country Code]],Table29[],23,FALSE)</f>
        <v>21.698229839443002</v>
      </c>
      <c r="BA1167" s="235">
        <f>VLOOKUP(Table8[[#This Row],[Country Code]],Table29[],24,FALSE)</f>
        <v>1.744567668774214</v>
      </c>
      <c r="BB1167" s="320"/>
      <c r="BC1167" s="320"/>
    </row>
    <row r="1168" spans="1:55" hidden="1" x14ac:dyDescent="0.25">
      <c r="A1168" s="373">
        <v>23384</v>
      </c>
      <c r="B1168" s="233" t="str">
        <f>VLOOKUP(Table8[[#This Row],[Document ID]],Table1[],2,FALSE)</f>
        <v>KGZ</v>
      </c>
      <c r="C1168" s="233" t="str">
        <f>VLOOKUP(Table8[[#This Row],[Document ID]],Table1[],3,FALSE)</f>
        <v>Kyrgyzstan</v>
      </c>
      <c r="D1168" s="243" t="str">
        <f>VLOOKUP(Table8[[#This Row],[Document ID]],Table1[],5,FALSE)</f>
        <v>NDC</v>
      </c>
      <c r="E1168" s="233" t="str">
        <f>VLOOKUP(Table8[[#This Row],[Document ID]],Table1[],7,FALSE)</f>
        <v>First NDC updated</v>
      </c>
      <c r="F1168" s="233" t="str">
        <f>VLOOKUP(Table8[[#This Row],[Document ID]],Table1[],8,FALSE)</f>
        <v>NDC 1.1</v>
      </c>
      <c r="G1168" s="233" t="str">
        <f>VLOOKUP(Table8[[#This Row],[Document ID]],Table1[],10,FALSE)</f>
        <v>Active</v>
      </c>
      <c r="H1168" s="43" t="s">
        <v>2343</v>
      </c>
      <c r="I1168" s="43" t="s">
        <v>2361</v>
      </c>
      <c r="J1168" s="44" t="s">
        <v>2362</v>
      </c>
      <c r="K1168" s="44" t="s">
        <v>3439</v>
      </c>
      <c r="L1168" s="44" t="s">
        <v>2333</v>
      </c>
      <c r="M1168" s="43">
        <v>20</v>
      </c>
      <c r="N1168" s="113"/>
      <c r="O1168" s="113"/>
      <c r="P1168" s="113"/>
      <c r="Q1168" s="113"/>
      <c r="R1168" s="113" t="s">
        <v>1113</v>
      </c>
      <c r="S1168" s="113"/>
      <c r="T1168" s="113"/>
      <c r="U1168" s="113"/>
      <c r="V1168" s="113"/>
      <c r="W1168" s="113"/>
      <c r="X1168" s="113"/>
      <c r="Y1168" s="113"/>
      <c r="Z1168" s="113"/>
      <c r="AA1168" s="113"/>
      <c r="AB1168" s="113"/>
      <c r="AC1168" s="113"/>
      <c r="AD1168" s="113"/>
      <c r="AE1168" s="113"/>
      <c r="AF1168" s="113"/>
      <c r="AG1168" s="113"/>
      <c r="AH1168" s="113"/>
      <c r="AI1168" s="113"/>
      <c r="AJ1168" s="113"/>
      <c r="AK1168" s="113" t="s">
        <v>1113</v>
      </c>
      <c r="AL1168" s="113"/>
      <c r="AM1168" s="113"/>
      <c r="AN1168" s="113"/>
      <c r="AO1168" s="44" t="s">
        <v>2334</v>
      </c>
      <c r="AP1168" s="43"/>
      <c r="AQ1168" s="236" t="str">
        <f>VLOOKUP(Table8[[#This Row],[Instrument]],Def_Targets!$D$73:$E$159,2,FALSE)</f>
        <v>S_Cycling</v>
      </c>
      <c r="AR1168" s="233" t="str">
        <f>VLOOKUP(Table8[[#This Row],[Country Code]],Table29[],3,FALSE)</f>
        <v>Non-Annex I</v>
      </c>
      <c r="AS1168" s="233" t="str">
        <f>VLOOKUP(Table8[[#This Row],[Country Code]],Table29[],4,FALSE)</f>
        <v>Asia</v>
      </c>
      <c r="AT1168" s="233" t="str">
        <f>VLOOKUP(Table8[[#This Row],[Country Code]],Table29[],5,FALSE)</f>
        <v>Middle-income</v>
      </c>
      <c r="AU1168" s="233" t="str">
        <f>VLOOKUP(Table8[[#This Row],[Country Code]],Table29[],6,FALSE)</f>
        <v>no</v>
      </c>
      <c r="AV1168" s="233" t="str">
        <f>VLOOKUP(Table8[[#This Row],[Country Code]],Table29[],7,FALSE)</f>
        <v>no</v>
      </c>
      <c r="AW1168" s="233" t="str">
        <f>VLOOKUP(Table8[[#This Row],[Country Code]],Table29[],8,FALSE)</f>
        <v>non-OECD</v>
      </c>
      <c r="AX1168" s="233" t="str">
        <f>VLOOKUP(Table8[[#This Row],[Country Code]],Table29[],9,FALSE)</f>
        <v>no</v>
      </c>
      <c r="AY1168" s="233" t="str">
        <f>VLOOKUP(Table8[[#This Row],[Country Code]],Table29[],10,FALSE)</f>
        <v>no</v>
      </c>
      <c r="AZ1168" s="235">
        <f>VLOOKUP(Table8[[#This Row],[Country Code]],Table29[],23,FALSE)</f>
        <v>21.698229839443002</v>
      </c>
      <c r="BA1168" s="235">
        <f>VLOOKUP(Table8[[#This Row],[Country Code]],Table29[],24,FALSE)</f>
        <v>1.744567668774214</v>
      </c>
      <c r="BB1168" s="320"/>
      <c r="BC1168" s="320"/>
    </row>
    <row r="1169" spans="1:55" ht="30" hidden="1" x14ac:dyDescent="0.25">
      <c r="A1169" s="373">
        <v>23384</v>
      </c>
      <c r="B1169" s="233" t="str">
        <f>VLOOKUP(Table8[[#This Row],[Document ID]],Table1[],2,FALSE)</f>
        <v>KGZ</v>
      </c>
      <c r="C1169" s="233" t="str">
        <f>VLOOKUP(Table8[[#This Row],[Document ID]],Table1[],3,FALSE)</f>
        <v>Kyrgyzstan</v>
      </c>
      <c r="D1169" s="243" t="str">
        <f>VLOOKUP(Table8[[#This Row],[Document ID]],Table1[],5,FALSE)</f>
        <v>NDC</v>
      </c>
      <c r="E1169" s="233" t="str">
        <f>VLOOKUP(Table8[[#This Row],[Document ID]],Table1[],7,FALSE)</f>
        <v>First NDC updated</v>
      </c>
      <c r="F1169" s="233" t="str">
        <f>VLOOKUP(Table8[[#This Row],[Document ID]],Table1[],8,FALSE)</f>
        <v>NDC 1.1</v>
      </c>
      <c r="G1169" s="233" t="str">
        <f>VLOOKUP(Table8[[#This Row],[Document ID]],Table1[],10,FALSE)</f>
        <v>Active</v>
      </c>
      <c r="H1169" s="43" t="s">
        <v>2343</v>
      </c>
      <c r="I1169" s="43" t="s">
        <v>2344</v>
      </c>
      <c r="J1169" s="44" t="s">
        <v>2345</v>
      </c>
      <c r="K1169" s="44" t="s">
        <v>3440</v>
      </c>
      <c r="L1169" s="44" t="s">
        <v>2471</v>
      </c>
      <c r="M1169" s="43">
        <v>20</v>
      </c>
      <c r="N1169" s="113"/>
      <c r="O1169" s="113"/>
      <c r="P1169" s="113"/>
      <c r="Q1169" s="113"/>
      <c r="R1169" s="113"/>
      <c r="S1169" s="113"/>
      <c r="T1169" s="113"/>
      <c r="U1169" s="113"/>
      <c r="V1169" s="113"/>
      <c r="W1169" s="113"/>
      <c r="X1169" s="113"/>
      <c r="Y1169" s="113" t="s">
        <v>1113</v>
      </c>
      <c r="Z1169" s="113"/>
      <c r="AA1169" s="113"/>
      <c r="AB1169" s="113"/>
      <c r="AC1169" s="113"/>
      <c r="AD1169" s="113"/>
      <c r="AE1169" s="113"/>
      <c r="AF1169" s="113"/>
      <c r="AG1169" s="113"/>
      <c r="AH1169" s="113"/>
      <c r="AI1169" s="113"/>
      <c r="AJ1169" s="113"/>
      <c r="AK1169" s="113"/>
      <c r="AL1169" s="113" t="s">
        <v>1113</v>
      </c>
      <c r="AM1169" s="113" t="s">
        <v>1113</v>
      </c>
      <c r="AN1169" s="113"/>
      <c r="AO1169" s="43" t="s">
        <v>2348</v>
      </c>
      <c r="AP1169" s="43"/>
      <c r="AQ1169" s="236" t="str">
        <f>VLOOKUP(Table8[[#This Row],[Instrument]],Def_Targets!$D$73:$E$159,2,FALSE)</f>
        <v>S_PublicTransport</v>
      </c>
      <c r="AR1169" s="233" t="str">
        <f>VLOOKUP(Table8[[#This Row],[Country Code]],Table29[],3,FALSE)</f>
        <v>Non-Annex I</v>
      </c>
      <c r="AS1169" s="233" t="str">
        <f>VLOOKUP(Table8[[#This Row],[Country Code]],Table29[],4,FALSE)</f>
        <v>Asia</v>
      </c>
      <c r="AT1169" s="233" t="str">
        <f>VLOOKUP(Table8[[#This Row],[Country Code]],Table29[],5,FALSE)</f>
        <v>Middle-income</v>
      </c>
      <c r="AU1169" s="233" t="str">
        <f>VLOOKUP(Table8[[#This Row],[Country Code]],Table29[],6,FALSE)</f>
        <v>no</v>
      </c>
      <c r="AV1169" s="233" t="str">
        <f>VLOOKUP(Table8[[#This Row],[Country Code]],Table29[],7,FALSE)</f>
        <v>no</v>
      </c>
      <c r="AW1169" s="233" t="str">
        <f>VLOOKUP(Table8[[#This Row],[Country Code]],Table29[],8,FALSE)</f>
        <v>non-OECD</v>
      </c>
      <c r="AX1169" s="233" t="str">
        <f>VLOOKUP(Table8[[#This Row],[Country Code]],Table29[],9,FALSE)</f>
        <v>no</v>
      </c>
      <c r="AY1169" s="233" t="str">
        <f>VLOOKUP(Table8[[#This Row],[Country Code]],Table29[],10,FALSE)</f>
        <v>no</v>
      </c>
      <c r="AZ1169" s="235">
        <f>VLOOKUP(Table8[[#This Row],[Country Code]],Table29[],23,FALSE)</f>
        <v>21.698229839443002</v>
      </c>
      <c r="BA1169" s="235">
        <f>VLOOKUP(Table8[[#This Row],[Country Code]],Table29[],24,FALSE)</f>
        <v>1.744567668774214</v>
      </c>
      <c r="BB1169" s="320"/>
      <c r="BC1169" s="320"/>
    </row>
    <row r="1170" spans="1:55" hidden="1" x14ac:dyDescent="0.25">
      <c r="A1170" s="373">
        <v>23384</v>
      </c>
      <c r="B1170" s="233" t="str">
        <f>VLOOKUP(Table8[[#This Row],[Document ID]],Table1[],2,FALSE)</f>
        <v>KGZ</v>
      </c>
      <c r="C1170" s="233" t="str">
        <f>VLOOKUP(Table8[[#This Row],[Document ID]],Table1[],3,FALSE)</f>
        <v>Kyrgyzstan</v>
      </c>
      <c r="D1170" s="243" t="str">
        <f>VLOOKUP(Table8[[#This Row],[Document ID]],Table1[],5,FALSE)</f>
        <v>NDC</v>
      </c>
      <c r="E1170" s="233" t="str">
        <f>VLOOKUP(Table8[[#This Row],[Document ID]],Table1[],7,FALSE)</f>
        <v>First NDC updated</v>
      </c>
      <c r="F1170" s="233" t="str">
        <f>VLOOKUP(Table8[[#This Row],[Document ID]],Table1[],8,FALSE)</f>
        <v>NDC 1.1</v>
      </c>
      <c r="G1170" s="233" t="str">
        <f>VLOOKUP(Table8[[#This Row],[Document ID]],Table1[],10,FALSE)</f>
        <v>Active</v>
      </c>
      <c r="H1170" s="43" t="s">
        <v>2358</v>
      </c>
      <c r="I1170" s="43" t="s">
        <v>2359</v>
      </c>
      <c r="J1170" s="44" t="s">
        <v>2360</v>
      </c>
      <c r="K1170" s="44" t="s">
        <v>3441</v>
      </c>
      <c r="L1170" s="44" t="s">
        <v>2333</v>
      </c>
      <c r="M1170" s="43">
        <v>20</v>
      </c>
      <c r="N1170" s="113"/>
      <c r="O1170" s="113"/>
      <c r="P1170" s="113"/>
      <c r="Q1170" s="113"/>
      <c r="R1170" s="113"/>
      <c r="S1170" s="113"/>
      <c r="T1170" s="113"/>
      <c r="U1170" s="113"/>
      <c r="V1170" s="113"/>
      <c r="W1170" s="113"/>
      <c r="X1170" s="113"/>
      <c r="Y1170" s="113" t="s">
        <v>1113</v>
      </c>
      <c r="Z1170" s="113"/>
      <c r="AA1170" s="113"/>
      <c r="AB1170" s="113"/>
      <c r="AC1170" s="113"/>
      <c r="AD1170" s="113"/>
      <c r="AE1170" s="113"/>
      <c r="AF1170" s="113"/>
      <c r="AG1170" s="113"/>
      <c r="AH1170" s="113"/>
      <c r="AI1170" s="113"/>
      <c r="AJ1170" s="113"/>
      <c r="AK1170" s="113"/>
      <c r="AL1170" s="113" t="s">
        <v>1113</v>
      </c>
      <c r="AM1170" s="113"/>
      <c r="AN1170" s="113"/>
      <c r="AO1170" s="43" t="s">
        <v>2348</v>
      </c>
      <c r="AP1170" s="43"/>
      <c r="AQ1170" s="236" t="str">
        <f>VLOOKUP(Table8[[#This Row],[Instrument]],Def_Targets!$D$73:$E$159,2,FALSE)</f>
        <v>I_Emobility</v>
      </c>
      <c r="AR1170" s="233" t="str">
        <f>VLOOKUP(Table8[[#This Row],[Country Code]],Table29[],3,FALSE)</f>
        <v>Non-Annex I</v>
      </c>
      <c r="AS1170" s="233" t="str">
        <f>VLOOKUP(Table8[[#This Row],[Country Code]],Table29[],4,FALSE)</f>
        <v>Asia</v>
      </c>
      <c r="AT1170" s="233" t="str">
        <f>VLOOKUP(Table8[[#This Row],[Country Code]],Table29[],5,FALSE)</f>
        <v>Middle-income</v>
      </c>
      <c r="AU1170" s="233" t="str">
        <f>VLOOKUP(Table8[[#This Row],[Country Code]],Table29[],6,FALSE)</f>
        <v>no</v>
      </c>
      <c r="AV1170" s="233" t="str">
        <f>VLOOKUP(Table8[[#This Row],[Country Code]],Table29[],7,FALSE)</f>
        <v>no</v>
      </c>
      <c r="AW1170" s="233" t="str">
        <f>VLOOKUP(Table8[[#This Row],[Country Code]],Table29[],8,FALSE)</f>
        <v>non-OECD</v>
      </c>
      <c r="AX1170" s="233" t="str">
        <f>VLOOKUP(Table8[[#This Row],[Country Code]],Table29[],9,FALSE)</f>
        <v>no</v>
      </c>
      <c r="AY1170" s="233" t="str">
        <f>VLOOKUP(Table8[[#This Row],[Country Code]],Table29[],10,FALSE)</f>
        <v>no</v>
      </c>
      <c r="AZ1170" s="235">
        <f>VLOOKUP(Table8[[#This Row],[Country Code]],Table29[],23,FALSE)</f>
        <v>21.698229839443002</v>
      </c>
      <c r="BA1170" s="235">
        <f>VLOOKUP(Table8[[#This Row],[Country Code]],Table29[],24,FALSE)</f>
        <v>1.744567668774214</v>
      </c>
      <c r="BB1170" s="320"/>
      <c r="BC1170" s="320"/>
    </row>
    <row r="1171" spans="1:55" hidden="1" x14ac:dyDescent="0.25">
      <c r="A1171" s="373">
        <v>17637</v>
      </c>
      <c r="B1171" s="233" t="str">
        <f>VLOOKUP(Table8[[#This Row],[Document ID]],Table1[],2,FALSE)</f>
        <v>LAO</v>
      </c>
      <c r="C1171" s="233" t="str">
        <f>VLOOKUP(Table8[[#This Row],[Document ID]],Table1[],3,FALSE)</f>
        <v>Lao People’s Democratic Republic</v>
      </c>
      <c r="D1171" s="243" t="str">
        <f>VLOOKUP(Table8[[#This Row],[Document ID]],Table1[],5,FALSE)</f>
        <v>NDC</v>
      </c>
      <c r="E1171" s="233" t="str">
        <f>VLOOKUP(Table8[[#This Row],[Document ID]],Table1[],7,FALSE)</f>
        <v>First NDC</v>
      </c>
      <c r="F1171" s="236" t="str">
        <f>VLOOKUP(Table8[[#This Row],[Document ID]],Table1[],8,FALSE)</f>
        <v>NDC 1.0</v>
      </c>
      <c r="G1171" s="236" t="str">
        <f>VLOOKUP(Table8[[#This Row],[Document ID]],Table1[],10,FALSE)</f>
        <v>Archived</v>
      </c>
      <c r="H1171" s="44" t="s">
        <v>2329</v>
      </c>
      <c r="I1171" s="44" t="s">
        <v>2330</v>
      </c>
      <c r="J1171" s="44" t="s">
        <v>2357</v>
      </c>
      <c r="K1171" s="44" t="s">
        <v>3442</v>
      </c>
      <c r="L1171" s="44" t="s">
        <v>2333</v>
      </c>
      <c r="M1171" s="43"/>
      <c r="N1171" s="113" t="s">
        <v>1113</v>
      </c>
      <c r="O1171" s="113"/>
      <c r="P1171" s="113"/>
      <c r="Q1171" s="319"/>
      <c r="R1171" s="319"/>
      <c r="S1171" s="319"/>
      <c r="T1171" s="319"/>
      <c r="U1171" s="319"/>
      <c r="V1171" s="319"/>
      <c r="W1171" s="319"/>
      <c r="X1171" s="319"/>
      <c r="Y1171" s="319"/>
      <c r="Z1171" s="319"/>
      <c r="AA1171" s="319"/>
      <c r="AB1171" s="319"/>
      <c r="AC1171" s="319"/>
      <c r="AD1171" s="319"/>
      <c r="AE1171" s="319"/>
      <c r="AF1171" s="319"/>
      <c r="AG1171" s="319"/>
      <c r="AH1171" s="319"/>
      <c r="AI1171" s="319"/>
      <c r="AJ1171" s="319"/>
      <c r="AK1171" s="319" t="s">
        <v>1113</v>
      </c>
      <c r="AL1171" s="319"/>
      <c r="AM1171" s="319"/>
      <c r="AN1171" s="319"/>
      <c r="AO1171" s="44" t="s">
        <v>2334</v>
      </c>
      <c r="AP1171" s="44"/>
      <c r="AQ1171" s="236" t="str">
        <f>VLOOKUP(Table8[[#This Row],[Instrument]],Def_Targets!$D$73:$E$159,2,FALSE)</f>
        <v>I_Biofuel</v>
      </c>
      <c r="AR1171" s="233" t="str">
        <f>VLOOKUP(Table8[[#This Row],[Country Code]],Table29[],3,FALSE)</f>
        <v>Non-Annex I</v>
      </c>
      <c r="AS1171" s="233" t="str">
        <f>VLOOKUP(Table8[[#This Row],[Country Code]],Table29[],4,FALSE)</f>
        <v>Asia</v>
      </c>
      <c r="AT1171" s="233" t="str">
        <f>VLOOKUP(Table8[[#This Row],[Country Code]],Table29[],5,FALSE)</f>
        <v>Middle-income</v>
      </c>
      <c r="AU1171" s="233" t="str">
        <f>VLOOKUP(Table8[[#This Row],[Country Code]],Table29[],6,FALSE)</f>
        <v>no</v>
      </c>
      <c r="AV1171" s="233" t="str">
        <f>VLOOKUP(Table8[[#This Row],[Country Code]],Table29[],7,FALSE)</f>
        <v>no</v>
      </c>
      <c r="AW1171" s="233" t="str">
        <f>VLOOKUP(Table8[[#This Row],[Country Code]],Table29[],8,FALSE)</f>
        <v>non-OECD</v>
      </c>
      <c r="AX1171" s="233" t="str">
        <f>VLOOKUP(Table8[[#This Row],[Country Code]],Table29[],9,FALSE)</f>
        <v>no</v>
      </c>
      <c r="AY1171" s="233" t="str">
        <f>VLOOKUP(Table8[[#This Row],[Country Code]],Table29[],10,FALSE)</f>
        <v>no</v>
      </c>
      <c r="AZ1171" s="235">
        <f>VLOOKUP(Table8[[#This Row],[Country Code]],Table29[],23,FALSE)</f>
        <v>42.056212706049003</v>
      </c>
      <c r="BA1171" s="235">
        <f>VLOOKUP(Table8[[#This Row],[Country Code]],Table29[],24,FALSE)</f>
        <v>2.7307302074001272</v>
      </c>
      <c r="BB1171" s="320"/>
      <c r="BC1171" s="320"/>
    </row>
    <row r="1172" spans="1:55" ht="30" hidden="1" x14ac:dyDescent="0.25">
      <c r="A1172" s="373">
        <v>17637</v>
      </c>
      <c r="B1172" s="233" t="str">
        <f>VLOOKUP(Table8[[#This Row],[Document ID]],Table1[],2,FALSE)</f>
        <v>LAO</v>
      </c>
      <c r="C1172" s="233" t="str">
        <f>VLOOKUP(Table8[[#This Row],[Document ID]],Table1[],3,FALSE)</f>
        <v>Lao People’s Democratic Republic</v>
      </c>
      <c r="D1172" s="243" t="str">
        <f>VLOOKUP(Table8[[#This Row],[Document ID]],Table1[],5,FALSE)</f>
        <v>NDC</v>
      </c>
      <c r="E1172" s="233" t="str">
        <f>VLOOKUP(Table8[[#This Row],[Document ID]],Table1[],7,FALSE)</f>
        <v>First NDC</v>
      </c>
      <c r="F1172" s="236" t="str">
        <f>VLOOKUP(Table8[[#This Row],[Document ID]],Table1[],8,FALSE)</f>
        <v>NDC 1.0</v>
      </c>
      <c r="G1172" s="236" t="str">
        <f>VLOOKUP(Table8[[#This Row],[Document ID]],Table1[],10,FALSE)</f>
        <v>Archived</v>
      </c>
      <c r="H1172" s="43" t="s">
        <v>2350</v>
      </c>
      <c r="I1172" s="43" t="s">
        <v>2456</v>
      </c>
      <c r="J1172" s="44" t="s">
        <v>2466</v>
      </c>
      <c r="K1172" s="44" t="s">
        <v>3443</v>
      </c>
      <c r="L1172" s="44" t="s">
        <v>2347</v>
      </c>
      <c r="M1172" s="43"/>
      <c r="N1172" s="113"/>
      <c r="O1172" s="113"/>
      <c r="P1172" s="113"/>
      <c r="Q1172" s="319"/>
      <c r="R1172" s="319"/>
      <c r="S1172" s="319" t="s">
        <v>1113</v>
      </c>
      <c r="T1172" s="319"/>
      <c r="U1172" s="319"/>
      <c r="V1172" s="319"/>
      <c r="W1172" s="319"/>
      <c r="X1172" s="319"/>
      <c r="Y1172" s="319"/>
      <c r="Z1172" s="319"/>
      <c r="AA1172" s="319"/>
      <c r="AB1172" s="319"/>
      <c r="AC1172" s="319"/>
      <c r="AD1172" s="319"/>
      <c r="AE1172" s="319"/>
      <c r="AF1172" s="319"/>
      <c r="AG1172" s="319"/>
      <c r="AH1172" s="319"/>
      <c r="AI1172" s="319"/>
      <c r="AJ1172" s="319"/>
      <c r="AK1172" s="319" t="s">
        <v>1113</v>
      </c>
      <c r="AL1172" s="319"/>
      <c r="AM1172" s="319"/>
      <c r="AN1172" s="319"/>
      <c r="AO1172" s="44" t="s">
        <v>2334</v>
      </c>
      <c r="AP1172" s="44"/>
      <c r="AQ1172" s="236" t="str">
        <f>VLOOKUP(Table8[[#This Row],[Instrument]],Def_Targets!$D$73:$E$159,2,FALSE)</f>
        <v>S_Infraexpansion</v>
      </c>
      <c r="AR1172" s="233" t="str">
        <f>VLOOKUP(Table8[[#This Row],[Country Code]],Table29[],3,FALSE)</f>
        <v>Non-Annex I</v>
      </c>
      <c r="AS1172" s="233" t="str">
        <f>VLOOKUP(Table8[[#This Row],[Country Code]],Table29[],4,FALSE)</f>
        <v>Asia</v>
      </c>
      <c r="AT1172" s="233" t="str">
        <f>VLOOKUP(Table8[[#This Row],[Country Code]],Table29[],5,FALSE)</f>
        <v>Middle-income</v>
      </c>
      <c r="AU1172" s="233" t="str">
        <f>VLOOKUP(Table8[[#This Row],[Country Code]],Table29[],6,FALSE)</f>
        <v>no</v>
      </c>
      <c r="AV1172" s="233" t="str">
        <f>VLOOKUP(Table8[[#This Row],[Country Code]],Table29[],7,FALSE)</f>
        <v>no</v>
      </c>
      <c r="AW1172" s="233" t="str">
        <f>VLOOKUP(Table8[[#This Row],[Country Code]],Table29[],8,FALSE)</f>
        <v>non-OECD</v>
      </c>
      <c r="AX1172" s="233" t="str">
        <f>VLOOKUP(Table8[[#This Row],[Country Code]],Table29[],9,FALSE)</f>
        <v>no</v>
      </c>
      <c r="AY1172" s="233" t="str">
        <f>VLOOKUP(Table8[[#This Row],[Country Code]],Table29[],10,FALSE)</f>
        <v>no</v>
      </c>
      <c r="AZ1172" s="235">
        <f>VLOOKUP(Table8[[#This Row],[Country Code]],Table29[],23,FALSE)</f>
        <v>42.056212706049003</v>
      </c>
      <c r="BA1172" s="235">
        <f>VLOOKUP(Table8[[#This Row],[Country Code]],Table29[],24,FALSE)</f>
        <v>2.7307302074001272</v>
      </c>
      <c r="BB1172" s="320"/>
      <c r="BC1172" s="320"/>
    </row>
    <row r="1173" spans="1:55" hidden="1" x14ac:dyDescent="0.25">
      <c r="A1173" s="373">
        <v>17637</v>
      </c>
      <c r="B1173" s="233" t="str">
        <f>VLOOKUP(Table8[[#This Row],[Document ID]],Table1[],2,FALSE)</f>
        <v>LAO</v>
      </c>
      <c r="C1173" s="233" t="str">
        <f>VLOOKUP(Table8[[#This Row],[Document ID]],Table1[],3,FALSE)</f>
        <v>Lao People’s Democratic Republic</v>
      </c>
      <c r="D1173" s="243" t="str">
        <f>VLOOKUP(Table8[[#This Row],[Document ID]],Table1[],5,FALSE)</f>
        <v>NDC</v>
      </c>
      <c r="E1173" s="233" t="str">
        <f>VLOOKUP(Table8[[#This Row],[Document ID]],Table1[],7,FALSE)</f>
        <v>First NDC</v>
      </c>
      <c r="F1173" s="236" t="str">
        <f>VLOOKUP(Table8[[#This Row],[Document ID]],Table1[],8,FALSE)</f>
        <v>NDC 1.0</v>
      </c>
      <c r="G1173" s="236" t="str">
        <f>VLOOKUP(Table8[[#This Row],[Document ID]],Table1[],10,FALSE)</f>
        <v>Archived</v>
      </c>
      <c r="H1173" s="43" t="s">
        <v>2343</v>
      </c>
      <c r="I1173" s="43" t="s">
        <v>2344</v>
      </c>
      <c r="J1173" s="44" t="s">
        <v>2405</v>
      </c>
      <c r="K1173" s="44" t="s">
        <v>3444</v>
      </c>
      <c r="L1173" s="44" t="s">
        <v>2347</v>
      </c>
      <c r="M1173" s="43"/>
      <c r="N1173" s="113" t="s">
        <v>1113</v>
      </c>
      <c r="O1173" s="113"/>
      <c r="P1173" s="113"/>
      <c r="Q1173" s="319"/>
      <c r="R1173" s="319"/>
      <c r="S1173" s="319"/>
      <c r="T1173" s="319"/>
      <c r="U1173" s="319"/>
      <c r="V1173" s="319"/>
      <c r="W1173" s="319"/>
      <c r="X1173" s="319"/>
      <c r="Y1173" s="319"/>
      <c r="Z1173" s="319"/>
      <c r="AA1173" s="319"/>
      <c r="AB1173" s="319"/>
      <c r="AC1173" s="319"/>
      <c r="AD1173" s="319"/>
      <c r="AE1173" s="319"/>
      <c r="AF1173" s="319"/>
      <c r="AG1173" s="319"/>
      <c r="AH1173" s="319"/>
      <c r="AI1173" s="319"/>
      <c r="AJ1173" s="319"/>
      <c r="AK1173" s="319" t="s">
        <v>1113</v>
      </c>
      <c r="AL1173" s="319"/>
      <c r="AM1173" s="319"/>
      <c r="AN1173" s="319"/>
      <c r="AO1173" s="43" t="s">
        <v>2348</v>
      </c>
      <c r="AP1173" s="44"/>
      <c r="AQ1173" s="236" t="str">
        <f>VLOOKUP(Table8[[#This Row],[Instrument]],Def_Targets!$D$73:$E$159,2,FALSE)</f>
        <v>S_PTIntegration</v>
      </c>
      <c r="AR1173" s="233" t="str">
        <f>VLOOKUP(Table8[[#This Row],[Country Code]],Table29[],3,FALSE)</f>
        <v>Non-Annex I</v>
      </c>
      <c r="AS1173" s="233" t="str">
        <f>VLOOKUP(Table8[[#This Row],[Country Code]],Table29[],4,FALSE)</f>
        <v>Asia</v>
      </c>
      <c r="AT1173" s="233" t="str">
        <f>VLOOKUP(Table8[[#This Row],[Country Code]],Table29[],5,FALSE)</f>
        <v>Middle-income</v>
      </c>
      <c r="AU1173" s="233" t="str">
        <f>VLOOKUP(Table8[[#This Row],[Country Code]],Table29[],6,FALSE)</f>
        <v>no</v>
      </c>
      <c r="AV1173" s="233" t="str">
        <f>VLOOKUP(Table8[[#This Row],[Country Code]],Table29[],7,FALSE)</f>
        <v>no</v>
      </c>
      <c r="AW1173" s="233" t="str">
        <f>VLOOKUP(Table8[[#This Row],[Country Code]],Table29[],8,FALSE)</f>
        <v>non-OECD</v>
      </c>
      <c r="AX1173" s="233" t="str">
        <f>VLOOKUP(Table8[[#This Row],[Country Code]],Table29[],9,FALSE)</f>
        <v>no</v>
      </c>
      <c r="AY1173" s="233" t="str">
        <f>VLOOKUP(Table8[[#This Row],[Country Code]],Table29[],10,FALSE)</f>
        <v>no</v>
      </c>
      <c r="AZ1173" s="235">
        <f>VLOOKUP(Table8[[#This Row],[Country Code]],Table29[],23,FALSE)</f>
        <v>42.056212706049003</v>
      </c>
      <c r="BA1173" s="235">
        <f>VLOOKUP(Table8[[#This Row],[Country Code]],Table29[],24,FALSE)</f>
        <v>2.7307302074001272</v>
      </c>
      <c r="BB1173" s="320"/>
      <c r="BC1173" s="320"/>
    </row>
    <row r="1174" spans="1:55" hidden="1" x14ac:dyDescent="0.25">
      <c r="A1174" s="360">
        <v>20343</v>
      </c>
      <c r="B1174" s="233" t="str">
        <f>VLOOKUP(Table8[[#This Row],[Document ID]],Table1[],2,FALSE)</f>
        <v>LAO</v>
      </c>
      <c r="C1174" s="233" t="str">
        <f>VLOOKUP(Table8[[#This Row],[Document ID]],Table1[],3,FALSE)</f>
        <v>Lao People’s Democratic Republic</v>
      </c>
      <c r="D1174" s="233" t="str">
        <f>VLOOKUP(Table8[[#This Row],[Document ID]],Table1[],5,FALSE)</f>
        <v>NDC</v>
      </c>
      <c r="E1174" s="233" t="str">
        <f>VLOOKUP(Table8[[#This Row],[Document ID]],Table1[],7,FALSE)</f>
        <v>First NDC updated</v>
      </c>
      <c r="F1174" s="233" t="str">
        <f>VLOOKUP(Table8[[#This Row],[Document ID]],Table1[],8,FALSE)</f>
        <v>NDC 1.1</v>
      </c>
      <c r="G1174" s="233" t="str">
        <f>VLOOKUP(Table8[[#This Row],[Document ID]],Table1[],10,FALSE)</f>
        <v>Active</v>
      </c>
      <c r="H1174" s="43" t="s">
        <v>2343</v>
      </c>
      <c r="I1174" s="43" t="s">
        <v>2344</v>
      </c>
      <c r="J1174" s="44" t="s">
        <v>2549</v>
      </c>
      <c r="K1174" s="44" t="s">
        <v>3445</v>
      </c>
      <c r="L1174" s="44" t="s">
        <v>2347</v>
      </c>
      <c r="M1174" s="43">
        <v>5</v>
      </c>
      <c r="N1174" s="113"/>
      <c r="O1174" s="113"/>
      <c r="P1174" s="113"/>
      <c r="Q1174" s="113"/>
      <c r="R1174" s="113"/>
      <c r="S1174" s="113"/>
      <c r="T1174" s="113"/>
      <c r="U1174" s="113"/>
      <c r="V1174" s="113"/>
      <c r="W1174" s="113"/>
      <c r="X1174" s="113"/>
      <c r="Y1174" s="113" t="s">
        <v>1113</v>
      </c>
      <c r="Z1174" s="113"/>
      <c r="AA1174" s="113"/>
      <c r="AB1174" s="113"/>
      <c r="AC1174" s="113"/>
      <c r="AD1174" s="113"/>
      <c r="AE1174" s="113"/>
      <c r="AF1174" s="113"/>
      <c r="AG1174" s="113"/>
      <c r="AH1174" s="113"/>
      <c r="AI1174" s="113"/>
      <c r="AJ1174" s="113"/>
      <c r="AK1174" s="113"/>
      <c r="AL1174" s="113" t="s">
        <v>1113</v>
      </c>
      <c r="AM1174" s="113"/>
      <c r="AN1174" s="113"/>
      <c r="AO1174" s="43" t="s">
        <v>2348</v>
      </c>
      <c r="AP1174" s="43"/>
      <c r="AQ1174" s="236" t="str">
        <f>VLOOKUP(Table8[[#This Row],[Instrument]],Def_Targets!$D$73:$E$159,2,FALSE)</f>
        <v>S_BRT</v>
      </c>
      <c r="AR1174" s="233" t="str">
        <f>VLOOKUP(Table8[[#This Row],[Country Code]],Table29[],3,FALSE)</f>
        <v>Non-Annex I</v>
      </c>
      <c r="AS1174" s="233" t="str">
        <f>VLOOKUP(Table8[[#This Row],[Country Code]],Table29[],4,FALSE)</f>
        <v>Asia</v>
      </c>
      <c r="AT1174" s="233" t="str">
        <f>VLOOKUP(Table8[[#This Row],[Country Code]],Table29[],5,FALSE)</f>
        <v>Middle-income</v>
      </c>
      <c r="AU1174" s="233" t="str">
        <f>VLOOKUP(Table8[[#This Row],[Country Code]],Table29[],6,FALSE)</f>
        <v>no</v>
      </c>
      <c r="AV1174" s="233" t="str">
        <f>VLOOKUP(Table8[[#This Row],[Country Code]],Table29[],7,FALSE)</f>
        <v>no</v>
      </c>
      <c r="AW1174" s="233" t="str">
        <f>VLOOKUP(Table8[[#This Row],[Country Code]],Table29[],8,FALSE)</f>
        <v>non-OECD</v>
      </c>
      <c r="AX1174" s="233" t="str">
        <f>VLOOKUP(Table8[[#This Row],[Country Code]],Table29[],9,FALSE)</f>
        <v>no</v>
      </c>
      <c r="AY1174" s="233" t="str">
        <f>VLOOKUP(Table8[[#This Row],[Country Code]],Table29[],10,FALSE)</f>
        <v>no</v>
      </c>
      <c r="AZ1174" s="235">
        <f>VLOOKUP(Table8[[#This Row],[Country Code]],Table29[],23,FALSE)</f>
        <v>42.056212706049003</v>
      </c>
      <c r="BA1174" s="235">
        <f>VLOOKUP(Table8[[#This Row],[Country Code]],Table29[],24,FALSE)</f>
        <v>2.7307302074001272</v>
      </c>
      <c r="BB1174" s="320"/>
      <c r="BC1174" s="320"/>
    </row>
    <row r="1175" spans="1:55" hidden="1" x14ac:dyDescent="0.25">
      <c r="A1175" s="373">
        <v>20343</v>
      </c>
      <c r="B1175" s="233" t="str">
        <f>VLOOKUP(Table8[[#This Row],[Document ID]],Table1[],2,FALSE)</f>
        <v>LAO</v>
      </c>
      <c r="C1175" s="233" t="str">
        <f>VLOOKUP(Table8[[#This Row],[Document ID]],Table1[],3,FALSE)</f>
        <v>Lao People’s Democratic Republic</v>
      </c>
      <c r="D1175" s="242" t="str">
        <f>VLOOKUP(Table8[[#This Row],[Document ID]],Table1[],5,FALSE)</f>
        <v>NDC</v>
      </c>
      <c r="E1175" s="233" t="str">
        <f>VLOOKUP(Table8[[#This Row],[Document ID]],Table1[],7,FALSE)</f>
        <v>First NDC updated</v>
      </c>
      <c r="F1175" s="233" t="str">
        <f>VLOOKUP(Table8[[#This Row],[Document ID]],Table1[],8,FALSE)</f>
        <v>NDC 1.1</v>
      </c>
      <c r="G1175" s="233" t="str">
        <f>VLOOKUP(Table8[[#This Row],[Document ID]],Table1[],10,FALSE)</f>
        <v>Active</v>
      </c>
      <c r="H1175" s="43" t="s">
        <v>2343</v>
      </c>
      <c r="I1175" s="43" t="s">
        <v>2361</v>
      </c>
      <c r="J1175" s="44" t="s">
        <v>2366</v>
      </c>
      <c r="K1175" s="44" t="s">
        <v>3446</v>
      </c>
      <c r="L1175" s="44" t="s">
        <v>2347</v>
      </c>
      <c r="M1175" s="43">
        <v>5</v>
      </c>
      <c r="N1175" s="113"/>
      <c r="O1175" s="113"/>
      <c r="P1175" s="113" t="s">
        <v>1113</v>
      </c>
      <c r="Q1175" s="113" t="s">
        <v>1113</v>
      </c>
      <c r="R1175" s="113" t="s">
        <v>1113</v>
      </c>
      <c r="S1175" s="113"/>
      <c r="T1175" s="113"/>
      <c r="U1175" s="113"/>
      <c r="V1175" s="113"/>
      <c r="W1175" s="113"/>
      <c r="X1175" s="113"/>
      <c r="Y1175" s="113"/>
      <c r="Z1175" s="113"/>
      <c r="AA1175" s="113"/>
      <c r="AB1175" s="113"/>
      <c r="AC1175" s="113"/>
      <c r="AD1175" s="113"/>
      <c r="AE1175" s="113"/>
      <c r="AF1175" s="113"/>
      <c r="AG1175" s="113"/>
      <c r="AH1175" s="113"/>
      <c r="AI1175" s="113"/>
      <c r="AJ1175" s="113"/>
      <c r="AK1175" s="319" t="s">
        <v>1113</v>
      </c>
      <c r="AL1175" s="113"/>
      <c r="AM1175" s="113"/>
      <c r="AN1175" s="113"/>
      <c r="AO1175" s="44" t="s">
        <v>2334</v>
      </c>
      <c r="AP1175" s="43"/>
      <c r="AQ1175" s="236" t="str">
        <f>VLOOKUP(Table8[[#This Row],[Instrument]],Def_Targets!$D$73:$E$159,2,FALSE)</f>
        <v>S_Activemobility</v>
      </c>
      <c r="AR1175" s="233" t="str">
        <f>VLOOKUP(Table8[[#This Row],[Country Code]],Table29[],3,FALSE)</f>
        <v>Non-Annex I</v>
      </c>
      <c r="AS1175" s="233" t="str">
        <f>VLOOKUP(Table8[[#This Row],[Country Code]],Table29[],4,FALSE)</f>
        <v>Asia</v>
      </c>
      <c r="AT1175" s="233" t="str">
        <f>VLOOKUP(Table8[[#This Row],[Country Code]],Table29[],5,FALSE)</f>
        <v>Middle-income</v>
      </c>
      <c r="AU1175" s="233" t="str">
        <f>VLOOKUP(Table8[[#This Row],[Country Code]],Table29[],6,FALSE)</f>
        <v>no</v>
      </c>
      <c r="AV1175" s="233" t="str">
        <f>VLOOKUP(Table8[[#This Row],[Country Code]],Table29[],7,FALSE)</f>
        <v>no</v>
      </c>
      <c r="AW1175" s="233" t="str">
        <f>VLOOKUP(Table8[[#This Row],[Country Code]],Table29[],8,FALSE)</f>
        <v>non-OECD</v>
      </c>
      <c r="AX1175" s="233" t="str">
        <f>VLOOKUP(Table8[[#This Row],[Country Code]],Table29[],9,FALSE)</f>
        <v>no</v>
      </c>
      <c r="AY1175" s="233" t="str">
        <f>VLOOKUP(Table8[[#This Row],[Country Code]],Table29[],10,FALSE)</f>
        <v>no</v>
      </c>
      <c r="AZ1175" s="235">
        <f>VLOOKUP(Table8[[#This Row],[Country Code]],Table29[],23,FALSE)</f>
        <v>42.056212706049003</v>
      </c>
      <c r="BA1175" s="235">
        <f>VLOOKUP(Table8[[#This Row],[Country Code]],Table29[],24,FALSE)</f>
        <v>2.7307302074001272</v>
      </c>
      <c r="BB1175" s="320"/>
      <c r="BC1175" s="320"/>
    </row>
    <row r="1176" spans="1:55" ht="30" hidden="1" x14ac:dyDescent="0.25">
      <c r="A1176" s="373">
        <v>20343</v>
      </c>
      <c r="B1176" s="233" t="str">
        <f>VLOOKUP(Table8[[#This Row],[Document ID]],Table1[],2,FALSE)</f>
        <v>LAO</v>
      </c>
      <c r="C1176" s="233" t="str">
        <f>VLOOKUP(Table8[[#This Row],[Document ID]],Table1[],3,FALSE)</f>
        <v>Lao People’s Democratic Republic</v>
      </c>
      <c r="D1176" s="242" t="str">
        <f>VLOOKUP(Table8[[#This Row],[Document ID]],Table1[],5,FALSE)</f>
        <v>NDC</v>
      </c>
      <c r="E1176" s="233" t="str">
        <f>VLOOKUP(Table8[[#This Row],[Document ID]],Table1[],7,FALSE)</f>
        <v>First NDC updated</v>
      </c>
      <c r="F1176" s="233" t="str">
        <f>VLOOKUP(Table8[[#This Row],[Document ID]],Table1[],8,FALSE)</f>
        <v>NDC 1.1</v>
      </c>
      <c r="G1176" s="233" t="str">
        <f>VLOOKUP(Table8[[#This Row],[Document ID]],Table1[],10,FALSE)</f>
        <v>Active</v>
      </c>
      <c r="H1176" s="43" t="s">
        <v>2350</v>
      </c>
      <c r="I1176" s="43" t="s">
        <v>2456</v>
      </c>
      <c r="J1176" s="44" t="s">
        <v>2466</v>
      </c>
      <c r="K1176" s="44" t="s">
        <v>3447</v>
      </c>
      <c r="L1176" s="44" t="s">
        <v>2347</v>
      </c>
      <c r="M1176" s="43">
        <v>5</v>
      </c>
      <c r="N1176" s="113"/>
      <c r="O1176" s="113"/>
      <c r="P1176" s="113"/>
      <c r="Q1176" s="113"/>
      <c r="R1176" s="113"/>
      <c r="S1176" s="113"/>
      <c r="T1176" s="113"/>
      <c r="U1176" s="113"/>
      <c r="V1176" s="113"/>
      <c r="W1176" s="113"/>
      <c r="X1176" s="113"/>
      <c r="Y1176" s="113"/>
      <c r="Z1176" s="113" t="s">
        <v>1113</v>
      </c>
      <c r="AA1176" s="113"/>
      <c r="AB1176" s="113"/>
      <c r="AC1176" s="113"/>
      <c r="AD1176" s="113"/>
      <c r="AE1176" s="113"/>
      <c r="AF1176" s="113"/>
      <c r="AG1176" s="113"/>
      <c r="AH1176" s="113"/>
      <c r="AI1176" s="113"/>
      <c r="AJ1176" s="113"/>
      <c r="AK1176" s="319" t="s">
        <v>1113</v>
      </c>
      <c r="AL1176" s="113"/>
      <c r="AM1176" s="113"/>
      <c r="AN1176" s="113"/>
      <c r="AO1176" s="44" t="s">
        <v>2334</v>
      </c>
      <c r="AP1176" s="43"/>
      <c r="AQ1176" s="236" t="str">
        <f>VLOOKUP(Table8[[#This Row],[Instrument]],Def_Targets!$D$73:$E$159,2,FALSE)</f>
        <v>S_Infraexpansion</v>
      </c>
      <c r="AR1176" s="233" t="str">
        <f>VLOOKUP(Table8[[#This Row],[Country Code]],Table29[],3,FALSE)</f>
        <v>Non-Annex I</v>
      </c>
      <c r="AS1176" s="233" t="str">
        <f>VLOOKUP(Table8[[#This Row],[Country Code]],Table29[],4,FALSE)</f>
        <v>Asia</v>
      </c>
      <c r="AT1176" s="233" t="str">
        <f>VLOOKUP(Table8[[#This Row],[Country Code]],Table29[],5,FALSE)</f>
        <v>Middle-income</v>
      </c>
      <c r="AU1176" s="233" t="str">
        <f>VLOOKUP(Table8[[#This Row],[Country Code]],Table29[],6,FALSE)</f>
        <v>no</v>
      </c>
      <c r="AV1176" s="233" t="str">
        <f>VLOOKUP(Table8[[#This Row],[Country Code]],Table29[],7,FALSE)</f>
        <v>no</v>
      </c>
      <c r="AW1176" s="233" t="str">
        <f>VLOOKUP(Table8[[#This Row],[Country Code]],Table29[],8,FALSE)</f>
        <v>non-OECD</v>
      </c>
      <c r="AX1176" s="233" t="str">
        <f>VLOOKUP(Table8[[#This Row],[Country Code]],Table29[],9,FALSE)</f>
        <v>no</v>
      </c>
      <c r="AY1176" s="233" t="str">
        <f>VLOOKUP(Table8[[#This Row],[Country Code]],Table29[],10,FALSE)</f>
        <v>no</v>
      </c>
      <c r="AZ1176" s="235">
        <f>VLOOKUP(Table8[[#This Row],[Country Code]],Table29[],23,FALSE)</f>
        <v>42.056212706049003</v>
      </c>
      <c r="BA1176" s="235">
        <f>VLOOKUP(Table8[[#This Row],[Country Code]],Table29[],24,FALSE)</f>
        <v>2.7307302074001272</v>
      </c>
      <c r="BB1176" s="320"/>
      <c r="BC1176" s="320"/>
    </row>
    <row r="1177" spans="1:55" hidden="1" x14ac:dyDescent="0.25">
      <c r="A1177" s="373">
        <v>20343</v>
      </c>
      <c r="B1177" s="233" t="str">
        <f>VLOOKUP(Table8[[#This Row],[Document ID]],Table1[],2,FALSE)</f>
        <v>LAO</v>
      </c>
      <c r="C1177" s="233" t="str">
        <f>VLOOKUP(Table8[[#This Row],[Document ID]],Table1[],3,FALSE)</f>
        <v>Lao People’s Democratic Republic</v>
      </c>
      <c r="D1177" s="242" t="str">
        <f>VLOOKUP(Table8[[#This Row],[Document ID]],Table1[],5,FALSE)</f>
        <v>NDC</v>
      </c>
      <c r="E1177" s="233" t="str">
        <f>VLOOKUP(Table8[[#This Row],[Document ID]],Table1[],7,FALSE)</f>
        <v>First NDC updated</v>
      </c>
      <c r="F1177" s="233" t="str">
        <f>VLOOKUP(Table8[[#This Row],[Document ID]],Table1[],8,FALSE)</f>
        <v>NDC 1.1</v>
      </c>
      <c r="G1177" s="233" t="str">
        <f>VLOOKUP(Table8[[#This Row],[Document ID]],Table1[],10,FALSE)</f>
        <v>Active</v>
      </c>
      <c r="H1177" s="43" t="s">
        <v>2358</v>
      </c>
      <c r="I1177" s="43" t="s">
        <v>2359</v>
      </c>
      <c r="J1177" s="44" t="s">
        <v>2360</v>
      </c>
      <c r="K1177" s="44" t="s">
        <v>1721</v>
      </c>
      <c r="L1177" s="44" t="s">
        <v>2333</v>
      </c>
      <c r="M1177" s="43">
        <v>7</v>
      </c>
      <c r="N1177" s="113"/>
      <c r="O1177" s="113"/>
      <c r="P1177" s="113"/>
      <c r="Q1177" s="113"/>
      <c r="R1177" s="113"/>
      <c r="S1177" s="113" t="s">
        <v>1113</v>
      </c>
      <c r="T1177" s="113" t="s">
        <v>1113</v>
      </c>
      <c r="U1177" s="113" t="s">
        <v>1113</v>
      </c>
      <c r="V1177" s="113"/>
      <c r="W1177" s="113"/>
      <c r="X1177" s="113"/>
      <c r="Y1177" s="113"/>
      <c r="Z1177" s="113"/>
      <c r="AA1177" s="113"/>
      <c r="AB1177" s="113"/>
      <c r="AC1177" s="113"/>
      <c r="AD1177" s="113"/>
      <c r="AE1177" s="113"/>
      <c r="AF1177" s="113"/>
      <c r="AG1177" s="113"/>
      <c r="AH1177" s="113"/>
      <c r="AI1177" s="113"/>
      <c r="AJ1177" s="113"/>
      <c r="AK1177" s="319" t="s">
        <v>1113</v>
      </c>
      <c r="AL1177" s="113"/>
      <c r="AM1177" s="113"/>
      <c r="AN1177" s="113"/>
      <c r="AO1177" s="43" t="s">
        <v>2348</v>
      </c>
      <c r="AP1177" s="43"/>
      <c r="AQ1177" s="236" t="str">
        <f>VLOOKUP(Table8[[#This Row],[Instrument]],Def_Targets!$D$73:$E$159,2,FALSE)</f>
        <v>I_Emobility</v>
      </c>
      <c r="AR1177" s="233" t="str">
        <f>VLOOKUP(Table8[[#This Row],[Country Code]],Table29[],3,FALSE)</f>
        <v>Non-Annex I</v>
      </c>
      <c r="AS1177" s="233" t="str">
        <f>VLOOKUP(Table8[[#This Row],[Country Code]],Table29[],4,FALSE)</f>
        <v>Asia</v>
      </c>
      <c r="AT1177" s="233" t="str">
        <f>VLOOKUP(Table8[[#This Row],[Country Code]],Table29[],5,FALSE)</f>
        <v>Middle-income</v>
      </c>
      <c r="AU1177" s="233" t="str">
        <f>VLOOKUP(Table8[[#This Row],[Country Code]],Table29[],6,FALSE)</f>
        <v>no</v>
      </c>
      <c r="AV1177" s="233" t="str">
        <f>VLOOKUP(Table8[[#This Row],[Country Code]],Table29[],7,FALSE)</f>
        <v>no</v>
      </c>
      <c r="AW1177" s="233" t="str">
        <f>VLOOKUP(Table8[[#This Row],[Country Code]],Table29[],8,FALSE)</f>
        <v>non-OECD</v>
      </c>
      <c r="AX1177" s="233" t="str">
        <f>VLOOKUP(Table8[[#This Row],[Country Code]],Table29[],9,FALSE)</f>
        <v>no</v>
      </c>
      <c r="AY1177" s="233" t="str">
        <f>VLOOKUP(Table8[[#This Row],[Country Code]],Table29[],10,FALSE)</f>
        <v>no</v>
      </c>
      <c r="AZ1177" s="235">
        <f>VLOOKUP(Table8[[#This Row],[Country Code]],Table29[],23,FALSE)</f>
        <v>42.056212706049003</v>
      </c>
      <c r="BA1177" s="235">
        <f>VLOOKUP(Table8[[#This Row],[Country Code]],Table29[],24,FALSE)</f>
        <v>2.7307302074001272</v>
      </c>
      <c r="BB1177" s="320"/>
      <c r="BC1177" s="320"/>
    </row>
    <row r="1178" spans="1:55" hidden="1" x14ac:dyDescent="0.25">
      <c r="A1178" s="373">
        <v>20343</v>
      </c>
      <c r="B1178" s="233" t="str">
        <f>VLOOKUP(Table8[[#This Row],[Document ID]],Table1[],2,FALSE)</f>
        <v>LAO</v>
      </c>
      <c r="C1178" s="233" t="str">
        <f>VLOOKUP(Table8[[#This Row],[Document ID]],Table1[],3,FALSE)</f>
        <v>Lao People’s Democratic Republic</v>
      </c>
      <c r="D1178" s="242" t="str">
        <f>VLOOKUP(Table8[[#This Row],[Document ID]],Table1[],5,FALSE)</f>
        <v>NDC</v>
      </c>
      <c r="E1178" s="233" t="str">
        <f>VLOOKUP(Table8[[#This Row],[Document ID]],Table1[],7,FALSE)</f>
        <v>First NDC updated</v>
      </c>
      <c r="F1178" s="233" t="str">
        <f>VLOOKUP(Table8[[#This Row],[Document ID]],Table1[],8,FALSE)</f>
        <v>NDC 1.1</v>
      </c>
      <c r="G1178" s="233" t="str">
        <f>VLOOKUP(Table8[[#This Row],[Document ID]],Table1[],10,FALSE)</f>
        <v>Active</v>
      </c>
      <c r="H1178" s="44" t="s">
        <v>2329</v>
      </c>
      <c r="I1178" s="44" t="s">
        <v>2330</v>
      </c>
      <c r="J1178" s="44" t="s">
        <v>2357</v>
      </c>
      <c r="K1178" s="44" t="s">
        <v>3448</v>
      </c>
      <c r="L1178" s="44" t="s">
        <v>2333</v>
      </c>
      <c r="M1178" s="43">
        <v>7</v>
      </c>
      <c r="N1178" s="113" t="s">
        <v>1113</v>
      </c>
      <c r="O1178" s="113"/>
      <c r="P1178" s="113"/>
      <c r="Q1178" s="113"/>
      <c r="R1178" s="113"/>
      <c r="S1178" s="113"/>
      <c r="T1178" s="113"/>
      <c r="U1178" s="113"/>
      <c r="V1178" s="113"/>
      <c r="W1178" s="113"/>
      <c r="X1178" s="113"/>
      <c r="Y1178" s="113"/>
      <c r="Z1178" s="113"/>
      <c r="AA1178" s="113"/>
      <c r="AB1178" s="113"/>
      <c r="AC1178" s="113"/>
      <c r="AD1178" s="113"/>
      <c r="AE1178" s="113"/>
      <c r="AF1178" s="113"/>
      <c r="AG1178" s="113"/>
      <c r="AH1178" s="113"/>
      <c r="AI1178" s="113"/>
      <c r="AJ1178" s="113"/>
      <c r="AK1178" s="319" t="s">
        <v>1113</v>
      </c>
      <c r="AL1178" s="113"/>
      <c r="AM1178" s="113"/>
      <c r="AN1178" s="113"/>
      <c r="AO1178" s="44" t="s">
        <v>2334</v>
      </c>
      <c r="AP1178" s="43"/>
      <c r="AQ1178" s="236" t="str">
        <f>VLOOKUP(Table8[[#This Row],[Instrument]],Def_Targets!$D$73:$E$159,2,FALSE)</f>
        <v>I_Biofuel</v>
      </c>
      <c r="AR1178" s="233" t="str">
        <f>VLOOKUP(Table8[[#This Row],[Country Code]],Table29[],3,FALSE)</f>
        <v>Non-Annex I</v>
      </c>
      <c r="AS1178" s="233" t="str">
        <f>VLOOKUP(Table8[[#This Row],[Country Code]],Table29[],4,FALSE)</f>
        <v>Asia</v>
      </c>
      <c r="AT1178" s="233" t="str">
        <f>VLOOKUP(Table8[[#This Row],[Country Code]],Table29[],5,FALSE)</f>
        <v>Middle-income</v>
      </c>
      <c r="AU1178" s="233" t="str">
        <f>VLOOKUP(Table8[[#This Row],[Country Code]],Table29[],6,FALSE)</f>
        <v>no</v>
      </c>
      <c r="AV1178" s="233" t="str">
        <f>VLOOKUP(Table8[[#This Row],[Country Code]],Table29[],7,FALSE)</f>
        <v>no</v>
      </c>
      <c r="AW1178" s="233" t="str">
        <f>VLOOKUP(Table8[[#This Row],[Country Code]],Table29[],8,FALSE)</f>
        <v>non-OECD</v>
      </c>
      <c r="AX1178" s="233" t="str">
        <f>VLOOKUP(Table8[[#This Row],[Country Code]],Table29[],9,FALSE)</f>
        <v>no</v>
      </c>
      <c r="AY1178" s="233" t="str">
        <f>VLOOKUP(Table8[[#This Row],[Country Code]],Table29[],10,FALSE)</f>
        <v>no</v>
      </c>
      <c r="AZ1178" s="235">
        <f>VLOOKUP(Table8[[#This Row],[Country Code]],Table29[],23,FALSE)</f>
        <v>42.056212706049003</v>
      </c>
      <c r="BA1178" s="235">
        <f>VLOOKUP(Table8[[#This Row],[Country Code]],Table29[],24,FALSE)</f>
        <v>2.7307302074001272</v>
      </c>
      <c r="BB1178" s="320"/>
      <c r="BC1178" s="320"/>
    </row>
    <row r="1179" spans="1:55" ht="30" hidden="1" x14ac:dyDescent="0.25">
      <c r="A1179" s="373">
        <v>17637</v>
      </c>
      <c r="B1179" s="233" t="str">
        <f>VLOOKUP(Table8[[#This Row],[Document ID]],Table1[],2,FALSE)</f>
        <v>LAO</v>
      </c>
      <c r="C1179" s="233" t="str">
        <f>VLOOKUP(Table8[[#This Row],[Document ID]],Table1[],3,FALSE)</f>
        <v>Lao People’s Democratic Republic</v>
      </c>
      <c r="D1179" s="243" t="str">
        <f>VLOOKUP(Table8[[#This Row],[Document ID]],Table1[],5,FALSE)</f>
        <v>NDC</v>
      </c>
      <c r="E1179" s="233" t="str">
        <f>VLOOKUP(Table8[[#This Row],[Document ID]],Table1[],7,FALSE)</f>
        <v>First NDC</v>
      </c>
      <c r="F1179" s="233" t="str">
        <f>VLOOKUP(Table8[[#This Row],[Document ID]],Table1[],8,FALSE)</f>
        <v>NDC 1.0</v>
      </c>
      <c r="G1179" s="233" t="str">
        <f>VLOOKUP(Table8[[#This Row],[Document ID]],Table1[],10,FALSE)</f>
        <v>Archived</v>
      </c>
      <c r="H1179" s="43" t="s">
        <v>2350</v>
      </c>
      <c r="I1179" s="43" t="s">
        <v>2456</v>
      </c>
      <c r="J1179" s="44" t="s">
        <v>2466</v>
      </c>
      <c r="K1179" s="44" t="s">
        <v>3443</v>
      </c>
      <c r="L1179" s="44" t="s">
        <v>2347</v>
      </c>
      <c r="M1179" s="43"/>
      <c r="N1179" s="113"/>
      <c r="O1179" s="113"/>
      <c r="P1179" s="113"/>
      <c r="Q1179" s="113"/>
      <c r="R1179" s="113"/>
      <c r="S1179" s="113" t="s">
        <v>1113</v>
      </c>
      <c r="T1179" s="113"/>
      <c r="U1179" s="113"/>
      <c r="V1179" s="113"/>
      <c r="W1179" s="113"/>
      <c r="X1179" s="113"/>
      <c r="Y1179" s="113"/>
      <c r="Z1179" s="113"/>
      <c r="AA1179" s="113"/>
      <c r="AB1179" s="113"/>
      <c r="AC1179" s="113"/>
      <c r="AD1179" s="113"/>
      <c r="AE1179" s="113"/>
      <c r="AF1179" s="113"/>
      <c r="AG1179" s="113"/>
      <c r="AH1179" s="113"/>
      <c r="AI1179" s="113"/>
      <c r="AJ1179" s="113"/>
      <c r="AK1179" s="113" t="s">
        <v>1113</v>
      </c>
      <c r="AL1179" s="113"/>
      <c r="AM1179" s="113"/>
      <c r="AN1179" s="113"/>
      <c r="AO1179" s="44" t="s">
        <v>2334</v>
      </c>
      <c r="AP1179" s="43"/>
      <c r="AQ1179" s="236" t="str">
        <f>VLOOKUP(Table8[[#This Row],[Instrument]],Def_Targets!$D$73:$E$159,2,FALSE)</f>
        <v>S_Infraexpansion</v>
      </c>
      <c r="AR1179" s="233" t="str">
        <f>VLOOKUP(Table8[[#This Row],[Country Code]],Table29[],3,FALSE)</f>
        <v>Non-Annex I</v>
      </c>
      <c r="AS1179" s="233" t="str">
        <f>VLOOKUP(Table8[[#This Row],[Country Code]],Table29[],4,FALSE)</f>
        <v>Asia</v>
      </c>
      <c r="AT1179" s="233" t="str">
        <f>VLOOKUP(Table8[[#This Row],[Country Code]],Table29[],5,FALSE)</f>
        <v>Middle-income</v>
      </c>
      <c r="AU1179" s="233" t="str">
        <f>VLOOKUP(Table8[[#This Row],[Country Code]],Table29[],6,FALSE)</f>
        <v>no</v>
      </c>
      <c r="AV1179" s="233" t="str">
        <f>VLOOKUP(Table8[[#This Row],[Country Code]],Table29[],7,FALSE)</f>
        <v>no</v>
      </c>
      <c r="AW1179" s="233" t="str">
        <f>VLOOKUP(Table8[[#This Row],[Country Code]],Table29[],8,FALSE)</f>
        <v>non-OECD</v>
      </c>
      <c r="AX1179" s="233" t="str">
        <f>VLOOKUP(Table8[[#This Row],[Country Code]],Table29[],9,FALSE)</f>
        <v>no</v>
      </c>
      <c r="AY1179" s="233" t="str">
        <f>VLOOKUP(Table8[[#This Row],[Country Code]],Table29[],10,FALSE)</f>
        <v>no</v>
      </c>
      <c r="AZ1179" s="235">
        <f>VLOOKUP(Table8[[#This Row],[Country Code]],Table29[],23,FALSE)</f>
        <v>42.056212706049003</v>
      </c>
      <c r="BA1179" s="235">
        <f>VLOOKUP(Table8[[#This Row],[Country Code]],Table29[],24,FALSE)</f>
        <v>2.7307302074001272</v>
      </c>
      <c r="BB1179" s="320"/>
      <c r="BC1179" s="320"/>
    </row>
    <row r="1180" spans="1:55" ht="45" hidden="1" x14ac:dyDescent="0.25">
      <c r="A1180" s="373">
        <v>32502</v>
      </c>
      <c r="B1180" s="233" t="str">
        <f>VLOOKUP(Table8[[#This Row],[Document ID]],Table1[],2,FALSE)</f>
        <v>IND</v>
      </c>
      <c r="C1180" s="233" t="str">
        <f>VLOOKUP(Table8[[#This Row],[Document ID]],Table1[],3,FALSE)</f>
        <v>India</v>
      </c>
      <c r="D1180" s="243" t="str">
        <f>VLOOKUP(Table8[[#This Row],[Document ID]],Table1[],5,FALSE)</f>
        <v>LTS</v>
      </c>
      <c r="E1180" s="233" t="str">
        <f>VLOOKUP(Table8[[#This Row],[Document ID]],Table1[],7,FALSE)</f>
        <v>LTS</v>
      </c>
      <c r="F1180" s="233" t="str">
        <f>VLOOKUP(Table8[[#This Row],[Document ID]],Table1[],8,FALSE)</f>
        <v>LTS 1.0</v>
      </c>
      <c r="G1180" s="233" t="str">
        <f>VLOOKUP(Table8[[#This Row],[Document ID]],Table1[],10,FALSE)</f>
        <v>Active</v>
      </c>
      <c r="H1180" s="44" t="s">
        <v>2338</v>
      </c>
      <c r="I1180" s="44" t="s">
        <v>2339</v>
      </c>
      <c r="J1180" s="44" t="s">
        <v>2556</v>
      </c>
      <c r="K1180" s="44" t="s">
        <v>3449</v>
      </c>
      <c r="L1180" s="44" t="s">
        <v>2333</v>
      </c>
      <c r="M1180" s="43">
        <v>8</v>
      </c>
      <c r="N1180" s="113" t="s">
        <v>1113</v>
      </c>
      <c r="O1180" s="113"/>
      <c r="P1180" s="113"/>
      <c r="Q1180" s="113"/>
      <c r="R1180" s="113"/>
      <c r="S1180" s="113"/>
      <c r="T1180" s="113"/>
      <c r="U1180" s="113"/>
      <c r="V1180" s="113"/>
      <c r="W1180" s="113"/>
      <c r="X1180" s="113"/>
      <c r="Y1180" s="113"/>
      <c r="Z1180" s="113"/>
      <c r="AA1180" s="113"/>
      <c r="AB1180" s="113"/>
      <c r="AC1180" s="113"/>
      <c r="AD1180" s="113"/>
      <c r="AE1180" s="113"/>
      <c r="AF1180" s="113"/>
      <c r="AG1180" s="113"/>
      <c r="AH1180" s="113"/>
      <c r="AI1180" s="113"/>
      <c r="AJ1180" s="113"/>
      <c r="AK1180" s="319" t="s">
        <v>1113</v>
      </c>
      <c r="AL1180" s="319"/>
      <c r="AM1180" s="319"/>
      <c r="AN1180" s="319"/>
      <c r="AO1180" s="44" t="s">
        <v>2334</v>
      </c>
      <c r="AP1180" s="44"/>
      <c r="AQ1180" s="236" t="str">
        <f>VLOOKUP(Table8[[#This Row],[Instrument]],Def_Targets!$D$73:$E$159,2,FALSE)</f>
        <v>I_Fuelqualimprove</v>
      </c>
      <c r="AR1180" s="233" t="str">
        <f>VLOOKUP(Table8[[#This Row],[Country Code]],Table29[],3,FALSE)</f>
        <v>Non-Annex I</v>
      </c>
      <c r="AS1180" s="233" t="str">
        <f>VLOOKUP(Table8[[#This Row],[Country Code]],Table29[],4,FALSE)</f>
        <v>Asia</v>
      </c>
      <c r="AT1180" s="233" t="str">
        <f>VLOOKUP(Table8[[#This Row],[Country Code]],Table29[],5,FALSE)</f>
        <v>Middle-income</v>
      </c>
      <c r="AU1180" s="233" t="str">
        <f>VLOOKUP(Table8[[#This Row],[Country Code]],Table29[],6,FALSE)</f>
        <v>G20</v>
      </c>
      <c r="AV1180" s="233" t="str">
        <f>VLOOKUP(Table8[[#This Row],[Country Code]],Table29[],7,FALSE)</f>
        <v>no</v>
      </c>
      <c r="AW1180" s="233" t="str">
        <f>VLOOKUP(Table8[[#This Row],[Country Code]],Table29[],8,FALSE)</f>
        <v>non-OECD</v>
      </c>
      <c r="AX1180" s="233" t="str">
        <f>VLOOKUP(Table8[[#This Row],[Country Code]],Table29[],9,FALSE)</f>
        <v>no</v>
      </c>
      <c r="AY1180" s="233" t="str">
        <f>VLOOKUP(Table8[[#This Row],[Country Code]],Table29[],10,FALSE)</f>
        <v>no</v>
      </c>
      <c r="AZ1180" s="235">
        <f>VLOOKUP(Table8[[#This Row],[Country Code]],Table29[],23,FALSE)</f>
        <v>4133.5543557464998</v>
      </c>
      <c r="BA1180" s="235">
        <f>VLOOKUP(Table8[[#This Row],[Country Code]],Table29[],24,FALSE)</f>
        <v>349.27466196453167</v>
      </c>
      <c r="BB1180" s="320"/>
      <c r="BC1180" s="320"/>
    </row>
    <row r="1181" spans="1:55" ht="30" hidden="1" x14ac:dyDescent="0.25">
      <c r="A1181" s="373">
        <v>32502</v>
      </c>
      <c r="B1181" s="233" t="str">
        <f>VLOOKUP(Table8[[#This Row],[Document ID]],Table1[],2,FALSE)</f>
        <v>IND</v>
      </c>
      <c r="C1181" s="233" t="str">
        <f>VLOOKUP(Table8[[#This Row],[Document ID]],Table1[],3,FALSE)</f>
        <v>India</v>
      </c>
      <c r="D1181" s="243" t="str">
        <f>VLOOKUP(Table8[[#This Row],[Document ID]],Table1[],5,FALSE)</f>
        <v>LTS</v>
      </c>
      <c r="E1181" s="233" t="str">
        <f>VLOOKUP(Table8[[#This Row],[Document ID]],Table1[],7,FALSE)</f>
        <v>LTS</v>
      </c>
      <c r="F1181" s="233" t="str">
        <f>VLOOKUP(Table8[[#This Row],[Document ID]],Table1[],8,FALSE)</f>
        <v>LTS 1.0</v>
      </c>
      <c r="G1181" s="233" t="str">
        <f>VLOOKUP(Table8[[#This Row],[Document ID]],Table1[],10,FALSE)</f>
        <v>Active</v>
      </c>
      <c r="H1181" s="43" t="s">
        <v>2350</v>
      </c>
      <c r="I1181" s="43" t="s">
        <v>2370</v>
      </c>
      <c r="J1181" s="44" t="s">
        <v>2418</v>
      </c>
      <c r="K1181" s="44" t="s">
        <v>3450</v>
      </c>
      <c r="L1181" s="44" t="s">
        <v>2347</v>
      </c>
      <c r="M1181" s="43">
        <v>8</v>
      </c>
      <c r="N1181" s="113" t="s">
        <v>1113</v>
      </c>
      <c r="O1181" s="113"/>
      <c r="P1181" s="113"/>
      <c r="Q1181" s="113"/>
      <c r="R1181" s="113"/>
      <c r="S1181" s="113"/>
      <c r="T1181" s="113"/>
      <c r="U1181" s="113"/>
      <c r="V1181" s="113"/>
      <c r="W1181" s="113"/>
      <c r="X1181" s="113"/>
      <c r="Y1181" s="113"/>
      <c r="Z1181" s="113"/>
      <c r="AA1181" s="113"/>
      <c r="AB1181" s="113"/>
      <c r="AC1181" s="113"/>
      <c r="AD1181" s="113"/>
      <c r="AE1181" s="113"/>
      <c r="AF1181" s="113"/>
      <c r="AG1181" s="113"/>
      <c r="AH1181" s="113"/>
      <c r="AI1181" s="113"/>
      <c r="AJ1181" s="113"/>
      <c r="AK1181" s="319" t="s">
        <v>1113</v>
      </c>
      <c r="AL1181" s="319"/>
      <c r="AM1181" s="319"/>
      <c r="AN1181" s="319"/>
      <c r="AO1181" s="44" t="s">
        <v>2334</v>
      </c>
      <c r="AP1181" s="44"/>
      <c r="AQ1181" s="236" t="str">
        <f>VLOOKUP(Table8[[#This Row],[Instrument]],Def_Targets!$D$73:$E$159,2,FALSE)</f>
        <v>A_Complan</v>
      </c>
      <c r="AR1181" s="233" t="str">
        <f>VLOOKUP(Table8[[#This Row],[Country Code]],Table29[],3,FALSE)</f>
        <v>Non-Annex I</v>
      </c>
      <c r="AS1181" s="233" t="str">
        <f>VLOOKUP(Table8[[#This Row],[Country Code]],Table29[],4,FALSE)</f>
        <v>Asia</v>
      </c>
      <c r="AT1181" s="233" t="str">
        <f>VLOOKUP(Table8[[#This Row],[Country Code]],Table29[],5,FALSE)</f>
        <v>Middle-income</v>
      </c>
      <c r="AU1181" s="233" t="str">
        <f>VLOOKUP(Table8[[#This Row],[Country Code]],Table29[],6,FALSE)</f>
        <v>G20</v>
      </c>
      <c r="AV1181" s="233" t="str">
        <f>VLOOKUP(Table8[[#This Row],[Country Code]],Table29[],7,FALSE)</f>
        <v>no</v>
      </c>
      <c r="AW1181" s="233" t="str">
        <f>VLOOKUP(Table8[[#This Row],[Country Code]],Table29[],8,FALSE)</f>
        <v>non-OECD</v>
      </c>
      <c r="AX1181" s="233" t="str">
        <f>VLOOKUP(Table8[[#This Row],[Country Code]],Table29[],9,FALSE)</f>
        <v>no</v>
      </c>
      <c r="AY1181" s="233" t="str">
        <f>VLOOKUP(Table8[[#This Row],[Country Code]],Table29[],10,FALSE)</f>
        <v>no</v>
      </c>
      <c r="AZ1181" s="235">
        <f>VLOOKUP(Table8[[#This Row],[Country Code]],Table29[],23,FALSE)</f>
        <v>4133.5543557464998</v>
      </c>
      <c r="BA1181" s="235">
        <f>VLOOKUP(Table8[[#This Row],[Country Code]],Table29[],24,FALSE)</f>
        <v>349.27466196453167</v>
      </c>
      <c r="BB1181" s="320"/>
      <c r="BC1181" s="320"/>
    </row>
    <row r="1182" spans="1:55" ht="45" hidden="1" x14ac:dyDescent="0.25">
      <c r="A1182" s="373">
        <v>32502</v>
      </c>
      <c r="B1182" s="233" t="str">
        <f>VLOOKUP(Table8[[#This Row],[Document ID]],Table1[],2,FALSE)</f>
        <v>IND</v>
      </c>
      <c r="C1182" s="233" t="str">
        <f>VLOOKUP(Table8[[#This Row],[Document ID]],Table1[],3,FALSE)</f>
        <v>India</v>
      </c>
      <c r="D1182" s="243" t="str">
        <f>VLOOKUP(Table8[[#This Row],[Document ID]],Table1[],5,FALSE)</f>
        <v>LTS</v>
      </c>
      <c r="E1182" s="233" t="str">
        <f>VLOOKUP(Table8[[#This Row],[Document ID]],Table1[],7,FALSE)</f>
        <v>LTS</v>
      </c>
      <c r="F1182" s="233" t="str">
        <f>VLOOKUP(Table8[[#This Row],[Document ID]],Table1[],8,FALSE)</f>
        <v>LTS 1.0</v>
      </c>
      <c r="G1182" s="233" t="str">
        <f>VLOOKUP(Table8[[#This Row],[Document ID]],Table1[],10,FALSE)</f>
        <v>Active</v>
      </c>
      <c r="H1182" s="43" t="s">
        <v>2358</v>
      </c>
      <c r="I1182" s="43" t="s">
        <v>2359</v>
      </c>
      <c r="J1182" s="44" t="s">
        <v>2360</v>
      </c>
      <c r="K1182" s="44" t="s">
        <v>3451</v>
      </c>
      <c r="L1182" s="44" t="s">
        <v>2333</v>
      </c>
      <c r="M1182" s="43">
        <v>8</v>
      </c>
      <c r="N1182" s="113"/>
      <c r="O1182" s="113"/>
      <c r="P1182" s="113"/>
      <c r="Q1182" s="113"/>
      <c r="R1182" s="113"/>
      <c r="S1182" s="113" t="s">
        <v>1113</v>
      </c>
      <c r="T1182" s="113"/>
      <c r="U1182" s="113"/>
      <c r="V1182" s="113"/>
      <c r="W1182" s="113"/>
      <c r="X1182" s="113"/>
      <c r="Y1182" s="113"/>
      <c r="Z1182" s="113" t="s">
        <v>1113</v>
      </c>
      <c r="AA1182" s="113"/>
      <c r="AB1182" s="113"/>
      <c r="AC1182" s="113"/>
      <c r="AD1182" s="113"/>
      <c r="AE1182" s="113"/>
      <c r="AF1182" s="113"/>
      <c r="AG1182" s="113"/>
      <c r="AH1182" s="113"/>
      <c r="AI1182" s="113"/>
      <c r="AJ1182" s="113"/>
      <c r="AK1182" s="319" t="s">
        <v>1113</v>
      </c>
      <c r="AL1182" s="319"/>
      <c r="AM1182" s="319"/>
      <c r="AN1182" s="319"/>
      <c r="AO1182" s="44" t="s">
        <v>2334</v>
      </c>
      <c r="AP1182" s="44"/>
      <c r="AQ1182" s="236" t="str">
        <f>VLOOKUP(Table8[[#This Row],[Instrument]],Def_Targets!$D$73:$E$159,2,FALSE)</f>
        <v>I_Emobility</v>
      </c>
      <c r="AR1182" s="233" t="str">
        <f>VLOOKUP(Table8[[#This Row],[Country Code]],Table29[],3,FALSE)</f>
        <v>Non-Annex I</v>
      </c>
      <c r="AS1182" s="233" t="str">
        <f>VLOOKUP(Table8[[#This Row],[Country Code]],Table29[],4,FALSE)</f>
        <v>Asia</v>
      </c>
      <c r="AT1182" s="233" t="str">
        <f>VLOOKUP(Table8[[#This Row],[Country Code]],Table29[],5,FALSE)</f>
        <v>Middle-income</v>
      </c>
      <c r="AU1182" s="233" t="str">
        <f>VLOOKUP(Table8[[#This Row],[Country Code]],Table29[],6,FALSE)</f>
        <v>G20</v>
      </c>
      <c r="AV1182" s="233" t="str">
        <f>VLOOKUP(Table8[[#This Row],[Country Code]],Table29[],7,FALSE)</f>
        <v>no</v>
      </c>
      <c r="AW1182" s="233" t="str">
        <f>VLOOKUP(Table8[[#This Row],[Country Code]],Table29[],8,FALSE)</f>
        <v>non-OECD</v>
      </c>
      <c r="AX1182" s="233" t="str">
        <f>VLOOKUP(Table8[[#This Row],[Country Code]],Table29[],9,FALSE)</f>
        <v>no</v>
      </c>
      <c r="AY1182" s="233" t="str">
        <f>VLOOKUP(Table8[[#This Row],[Country Code]],Table29[],10,FALSE)</f>
        <v>no</v>
      </c>
      <c r="AZ1182" s="235">
        <f>VLOOKUP(Table8[[#This Row],[Country Code]],Table29[],23,FALSE)</f>
        <v>4133.5543557464998</v>
      </c>
      <c r="BA1182" s="235">
        <f>VLOOKUP(Table8[[#This Row],[Country Code]],Table29[],24,FALSE)</f>
        <v>349.27466196453167</v>
      </c>
      <c r="BB1182" s="320"/>
      <c r="BC1182" s="320"/>
    </row>
    <row r="1183" spans="1:55" ht="60" hidden="1" x14ac:dyDescent="0.25">
      <c r="A1183" s="373">
        <v>32502</v>
      </c>
      <c r="B1183" s="233" t="str">
        <f>VLOOKUP(Table8[[#This Row],[Document ID]],Table1[],2,FALSE)</f>
        <v>IND</v>
      </c>
      <c r="C1183" s="233" t="str">
        <f>VLOOKUP(Table8[[#This Row],[Document ID]],Table1[],3,FALSE)</f>
        <v>India</v>
      </c>
      <c r="D1183" s="243" t="str">
        <f>VLOOKUP(Table8[[#This Row],[Document ID]],Table1[],5,FALSE)</f>
        <v>LTS</v>
      </c>
      <c r="E1183" s="233" t="str">
        <f>VLOOKUP(Table8[[#This Row],[Document ID]],Table1[],7,FALSE)</f>
        <v>LTS</v>
      </c>
      <c r="F1183" s="233" t="str">
        <f>VLOOKUP(Table8[[#This Row],[Document ID]],Table1[],8,FALSE)</f>
        <v>LTS 1.0</v>
      </c>
      <c r="G1183" s="233" t="str">
        <f>VLOOKUP(Table8[[#This Row],[Document ID]],Table1[],10,FALSE)</f>
        <v>Active</v>
      </c>
      <c r="H1183" s="44" t="s">
        <v>2329</v>
      </c>
      <c r="I1183" s="44" t="s">
        <v>2330</v>
      </c>
      <c r="J1183" s="44" t="s">
        <v>2391</v>
      </c>
      <c r="K1183" s="44" t="s">
        <v>3452</v>
      </c>
      <c r="L1183" s="44" t="s">
        <v>2333</v>
      </c>
      <c r="M1183" s="43">
        <v>35</v>
      </c>
      <c r="N1183" s="113" t="s">
        <v>1113</v>
      </c>
      <c r="O1183" s="113"/>
      <c r="P1183" s="113"/>
      <c r="Q1183" s="113"/>
      <c r="R1183" s="113"/>
      <c r="S1183" s="113"/>
      <c r="T1183" s="113"/>
      <c r="U1183" s="113"/>
      <c r="V1183" s="113"/>
      <c r="W1183" s="113"/>
      <c r="X1183" s="113"/>
      <c r="Y1183" s="113"/>
      <c r="Z1183" s="113"/>
      <c r="AA1183" s="113"/>
      <c r="AB1183" s="113"/>
      <c r="AC1183" s="113"/>
      <c r="AD1183" s="113" t="s">
        <v>1113</v>
      </c>
      <c r="AE1183" s="113"/>
      <c r="AF1183" s="113"/>
      <c r="AG1183" s="113"/>
      <c r="AH1183" s="113"/>
      <c r="AI1183" s="113"/>
      <c r="AJ1183" s="113"/>
      <c r="AK1183" s="319" t="s">
        <v>1113</v>
      </c>
      <c r="AL1183" s="319"/>
      <c r="AM1183" s="319"/>
      <c r="AN1183" s="319"/>
      <c r="AO1183" s="44" t="s">
        <v>2334</v>
      </c>
      <c r="AP1183" s="44"/>
      <c r="AQ1183" s="236" t="str">
        <f>VLOOKUP(Table8[[#This Row],[Instrument]],Def_Targets!$D$73:$E$159,2,FALSE)</f>
        <v>I_Hydrogen</v>
      </c>
      <c r="AR1183" s="233" t="str">
        <f>VLOOKUP(Table8[[#This Row],[Country Code]],Table29[],3,FALSE)</f>
        <v>Non-Annex I</v>
      </c>
      <c r="AS1183" s="233" t="str">
        <f>VLOOKUP(Table8[[#This Row],[Country Code]],Table29[],4,FALSE)</f>
        <v>Asia</v>
      </c>
      <c r="AT1183" s="233" t="str">
        <f>VLOOKUP(Table8[[#This Row],[Country Code]],Table29[],5,FALSE)</f>
        <v>Middle-income</v>
      </c>
      <c r="AU1183" s="233" t="str">
        <f>VLOOKUP(Table8[[#This Row],[Country Code]],Table29[],6,FALSE)</f>
        <v>G20</v>
      </c>
      <c r="AV1183" s="233" t="str">
        <f>VLOOKUP(Table8[[#This Row],[Country Code]],Table29[],7,FALSE)</f>
        <v>no</v>
      </c>
      <c r="AW1183" s="233" t="str">
        <f>VLOOKUP(Table8[[#This Row],[Country Code]],Table29[],8,FALSE)</f>
        <v>non-OECD</v>
      </c>
      <c r="AX1183" s="233" t="str">
        <f>VLOOKUP(Table8[[#This Row],[Country Code]],Table29[],9,FALSE)</f>
        <v>no</v>
      </c>
      <c r="AY1183" s="233" t="str">
        <f>VLOOKUP(Table8[[#This Row],[Country Code]],Table29[],10,FALSE)</f>
        <v>no</v>
      </c>
      <c r="AZ1183" s="235">
        <f>VLOOKUP(Table8[[#This Row],[Country Code]],Table29[],23,FALSE)</f>
        <v>4133.5543557464998</v>
      </c>
      <c r="BA1183" s="235">
        <f>VLOOKUP(Table8[[#This Row],[Country Code]],Table29[],24,FALSE)</f>
        <v>349.27466196453167</v>
      </c>
      <c r="BB1183" s="320"/>
      <c r="BC1183" s="320"/>
    </row>
    <row r="1184" spans="1:55" ht="150" hidden="1" x14ac:dyDescent="0.25">
      <c r="A1184" s="373">
        <v>32502</v>
      </c>
      <c r="B1184" s="233" t="str">
        <f>VLOOKUP(Table8[[#This Row],[Document ID]],Table1[],2,FALSE)</f>
        <v>IND</v>
      </c>
      <c r="C1184" s="233" t="str">
        <f>VLOOKUP(Table8[[#This Row],[Document ID]],Table1[],3,FALSE)</f>
        <v>India</v>
      </c>
      <c r="D1184" s="243" t="str">
        <f>VLOOKUP(Table8[[#This Row],[Document ID]],Table1[],5,FALSE)</f>
        <v>LTS</v>
      </c>
      <c r="E1184" s="233" t="str">
        <f>VLOOKUP(Table8[[#This Row],[Document ID]],Table1[],7,FALSE)</f>
        <v>LTS</v>
      </c>
      <c r="F1184" s="233" t="str">
        <f>VLOOKUP(Table8[[#This Row],[Document ID]],Table1[],8,FALSE)</f>
        <v>LTS 1.0</v>
      </c>
      <c r="G1184" s="233" t="str">
        <f>VLOOKUP(Table8[[#This Row],[Document ID]],Table1[],10,FALSE)</f>
        <v>Active</v>
      </c>
      <c r="H1184" s="43" t="s">
        <v>2358</v>
      </c>
      <c r="I1184" s="43" t="s">
        <v>2359</v>
      </c>
      <c r="J1184" s="44" t="s">
        <v>2360</v>
      </c>
      <c r="K1184" s="44" t="s">
        <v>3453</v>
      </c>
      <c r="L1184" s="44" t="s">
        <v>2333</v>
      </c>
      <c r="M1184" s="43">
        <v>36</v>
      </c>
      <c r="N1184" s="113" t="s">
        <v>1113</v>
      </c>
      <c r="O1184" s="113"/>
      <c r="P1184" s="113"/>
      <c r="Q1184" s="113"/>
      <c r="R1184" s="113"/>
      <c r="S1184" s="113"/>
      <c r="T1184" s="113"/>
      <c r="U1184" s="113"/>
      <c r="V1184" s="113"/>
      <c r="W1184" s="113"/>
      <c r="X1184" s="113"/>
      <c r="Y1184" s="113"/>
      <c r="Z1184" s="113"/>
      <c r="AA1184" s="113"/>
      <c r="AB1184" s="113"/>
      <c r="AC1184" s="113"/>
      <c r="AD1184" s="113"/>
      <c r="AE1184" s="113"/>
      <c r="AF1184" s="113"/>
      <c r="AG1184" s="113"/>
      <c r="AH1184" s="113"/>
      <c r="AI1184" s="113"/>
      <c r="AJ1184" s="113"/>
      <c r="AK1184" s="319" t="s">
        <v>1113</v>
      </c>
      <c r="AL1184" s="319"/>
      <c r="AM1184" s="319"/>
      <c r="AN1184" s="319"/>
      <c r="AO1184" s="44" t="s">
        <v>2334</v>
      </c>
      <c r="AP1184" s="44"/>
      <c r="AQ1184" s="236" t="str">
        <f>VLOOKUP(Table8[[#This Row],[Instrument]],Def_Targets!$D$73:$E$159,2,FALSE)</f>
        <v>I_Emobility</v>
      </c>
      <c r="AR1184" s="233" t="str">
        <f>VLOOKUP(Table8[[#This Row],[Country Code]],Table29[],3,FALSE)</f>
        <v>Non-Annex I</v>
      </c>
      <c r="AS1184" s="233" t="str">
        <f>VLOOKUP(Table8[[#This Row],[Country Code]],Table29[],4,FALSE)</f>
        <v>Asia</v>
      </c>
      <c r="AT1184" s="233" t="str">
        <f>VLOOKUP(Table8[[#This Row],[Country Code]],Table29[],5,FALSE)</f>
        <v>Middle-income</v>
      </c>
      <c r="AU1184" s="233" t="str">
        <f>VLOOKUP(Table8[[#This Row],[Country Code]],Table29[],6,FALSE)</f>
        <v>G20</v>
      </c>
      <c r="AV1184" s="233" t="str">
        <f>VLOOKUP(Table8[[#This Row],[Country Code]],Table29[],7,FALSE)</f>
        <v>no</v>
      </c>
      <c r="AW1184" s="233" t="str">
        <f>VLOOKUP(Table8[[#This Row],[Country Code]],Table29[],8,FALSE)</f>
        <v>non-OECD</v>
      </c>
      <c r="AX1184" s="233" t="str">
        <f>VLOOKUP(Table8[[#This Row],[Country Code]],Table29[],9,FALSE)</f>
        <v>no</v>
      </c>
      <c r="AY1184" s="233" t="str">
        <f>VLOOKUP(Table8[[#This Row],[Country Code]],Table29[],10,FALSE)</f>
        <v>no</v>
      </c>
      <c r="AZ1184" s="235">
        <f>VLOOKUP(Table8[[#This Row],[Country Code]],Table29[],23,FALSE)</f>
        <v>4133.5543557464998</v>
      </c>
      <c r="BA1184" s="235">
        <f>VLOOKUP(Table8[[#This Row],[Country Code]],Table29[],24,FALSE)</f>
        <v>349.27466196453167</v>
      </c>
      <c r="BB1184" s="320"/>
      <c r="BC1184" s="320"/>
    </row>
    <row r="1185" spans="1:55" ht="30" hidden="1" x14ac:dyDescent="0.25">
      <c r="A1185" s="373">
        <v>32502</v>
      </c>
      <c r="B1185" s="233" t="str">
        <f>VLOOKUP(Table8[[#This Row],[Document ID]],Table1[],2,FALSE)</f>
        <v>IND</v>
      </c>
      <c r="C1185" s="233" t="str">
        <f>VLOOKUP(Table8[[#This Row],[Document ID]],Table1[],3,FALSE)</f>
        <v>India</v>
      </c>
      <c r="D1185" s="243" t="str">
        <f>VLOOKUP(Table8[[#This Row],[Document ID]],Table1[],5,FALSE)</f>
        <v>LTS</v>
      </c>
      <c r="E1185" s="233" t="str">
        <f>VLOOKUP(Table8[[#This Row],[Document ID]],Table1[],7,FALSE)</f>
        <v>LTS</v>
      </c>
      <c r="F1185" s="233" t="str">
        <f>VLOOKUP(Table8[[#This Row],[Document ID]],Table1[],8,FALSE)</f>
        <v>LTS 1.0</v>
      </c>
      <c r="G1185" s="233" t="str">
        <f>VLOOKUP(Table8[[#This Row],[Document ID]],Table1[],10,FALSE)</f>
        <v>Active</v>
      </c>
      <c r="H1185" s="43" t="s">
        <v>2484</v>
      </c>
      <c r="I1185" s="43" t="s">
        <v>2488</v>
      </c>
      <c r="J1185" s="44" t="s">
        <v>3207</v>
      </c>
      <c r="K1185" s="44" t="s">
        <v>3454</v>
      </c>
      <c r="L1185" s="44" t="s">
        <v>2333</v>
      </c>
      <c r="M1185" s="43">
        <v>68</v>
      </c>
      <c r="N1185" s="113"/>
      <c r="O1185" s="113"/>
      <c r="P1185" s="113"/>
      <c r="Q1185" s="113"/>
      <c r="R1185" s="113"/>
      <c r="S1185" s="113"/>
      <c r="T1185" s="113"/>
      <c r="U1185" s="113"/>
      <c r="V1185" s="113"/>
      <c r="W1185" s="113"/>
      <c r="X1185" s="113"/>
      <c r="Y1185" s="113"/>
      <c r="Z1185" s="113"/>
      <c r="AA1185" s="113"/>
      <c r="AB1185" s="113"/>
      <c r="AC1185" s="113"/>
      <c r="AD1185" s="113"/>
      <c r="AE1185" s="113"/>
      <c r="AF1185" s="113"/>
      <c r="AG1185" s="113"/>
      <c r="AH1185" s="113" t="s">
        <v>1113</v>
      </c>
      <c r="AI1185" s="113"/>
      <c r="AJ1185" s="113"/>
      <c r="AK1185" s="113" t="s">
        <v>1113</v>
      </c>
      <c r="AL1185" s="113"/>
      <c r="AM1185" s="113"/>
      <c r="AN1185" s="113"/>
      <c r="AO1185" s="44" t="s">
        <v>2334</v>
      </c>
      <c r="AP1185" s="44"/>
      <c r="AQ1185" s="236" t="str">
        <f>VLOOKUP(Table8[[#This Row],[Instrument]],Def_Targets!$D$73:$E$159,2,FALSE)</f>
        <v>I_Aircraftfleet</v>
      </c>
      <c r="AR1185" s="233" t="str">
        <f>VLOOKUP(Table8[[#This Row],[Country Code]],Table29[],3,FALSE)</f>
        <v>Non-Annex I</v>
      </c>
      <c r="AS1185" s="233" t="str">
        <f>VLOOKUP(Table8[[#This Row],[Country Code]],Table29[],4,FALSE)</f>
        <v>Asia</v>
      </c>
      <c r="AT1185" s="233" t="str">
        <f>VLOOKUP(Table8[[#This Row],[Country Code]],Table29[],5,FALSE)</f>
        <v>Middle-income</v>
      </c>
      <c r="AU1185" s="233" t="str">
        <f>VLOOKUP(Table8[[#This Row],[Country Code]],Table29[],6,FALSE)</f>
        <v>G20</v>
      </c>
      <c r="AV1185" s="233" t="str">
        <f>VLOOKUP(Table8[[#This Row],[Country Code]],Table29[],7,FALSE)</f>
        <v>no</v>
      </c>
      <c r="AW1185" s="233" t="str">
        <f>VLOOKUP(Table8[[#This Row],[Country Code]],Table29[],8,FALSE)</f>
        <v>non-OECD</v>
      </c>
      <c r="AX1185" s="233" t="str">
        <f>VLOOKUP(Table8[[#This Row],[Country Code]],Table29[],9,FALSE)</f>
        <v>no</v>
      </c>
      <c r="AY1185" s="233" t="str">
        <f>VLOOKUP(Table8[[#This Row],[Country Code]],Table29[],10,FALSE)</f>
        <v>no</v>
      </c>
      <c r="AZ1185" s="235">
        <f>VLOOKUP(Table8[[#This Row],[Country Code]],Table29[],23,FALSE)</f>
        <v>4133.5543557464998</v>
      </c>
      <c r="BA1185" s="235">
        <f>VLOOKUP(Table8[[#This Row],[Country Code]],Table29[],24,FALSE)</f>
        <v>349.27466196453167</v>
      </c>
      <c r="BB1185" s="320"/>
      <c r="BC1185" s="320"/>
    </row>
    <row r="1186" spans="1:55" ht="30" hidden="1" x14ac:dyDescent="0.25">
      <c r="A1186" s="373">
        <v>32502</v>
      </c>
      <c r="B1186" s="233" t="str">
        <f>VLOOKUP(Table8[[#This Row],[Document ID]],Table1[],2,FALSE)</f>
        <v>IND</v>
      </c>
      <c r="C1186" s="233" t="str">
        <f>VLOOKUP(Table8[[#This Row],[Document ID]],Table1[],3,FALSE)</f>
        <v>India</v>
      </c>
      <c r="D1186" s="243" t="str">
        <f>VLOOKUP(Table8[[#This Row],[Document ID]],Table1[],5,FALSE)</f>
        <v>LTS</v>
      </c>
      <c r="E1186" s="233" t="str">
        <f>VLOOKUP(Table8[[#This Row],[Document ID]],Table1[],7,FALSE)</f>
        <v>LTS</v>
      </c>
      <c r="F1186" s="233" t="str">
        <f>VLOOKUP(Table8[[#This Row],[Document ID]],Table1[],8,FALSE)</f>
        <v>LTS 1.0</v>
      </c>
      <c r="G1186" s="233" t="str">
        <f>VLOOKUP(Table8[[#This Row],[Document ID]],Table1[],10,FALSE)</f>
        <v>Active</v>
      </c>
      <c r="H1186" s="43" t="s">
        <v>2484</v>
      </c>
      <c r="I1186" s="43" t="s">
        <v>2488</v>
      </c>
      <c r="J1186" s="44" t="s">
        <v>2684</v>
      </c>
      <c r="K1186" s="44" t="s">
        <v>3455</v>
      </c>
      <c r="L1186" s="44" t="s">
        <v>2333</v>
      </c>
      <c r="M1186" s="43">
        <v>68</v>
      </c>
      <c r="N1186" s="113"/>
      <c r="O1186" s="113"/>
      <c r="P1186" s="113"/>
      <c r="Q1186" s="113"/>
      <c r="R1186" s="113"/>
      <c r="S1186" s="113"/>
      <c r="T1186" s="113"/>
      <c r="U1186" s="113"/>
      <c r="V1186" s="113"/>
      <c r="W1186" s="113"/>
      <c r="X1186" s="113"/>
      <c r="Y1186" s="113"/>
      <c r="Z1186" s="113"/>
      <c r="AA1186" s="113"/>
      <c r="AB1186" s="113"/>
      <c r="AC1186" s="113"/>
      <c r="AD1186" s="113"/>
      <c r="AE1186" s="113"/>
      <c r="AF1186" s="113"/>
      <c r="AG1186" s="113"/>
      <c r="AH1186" s="113" t="s">
        <v>1113</v>
      </c>
      <c r="AI1186" s="113"/>
      <c r="AJ1186" s="113"/>
      <c r="AK1186" s="113" t="s">
        <v>1113</v>
      </c>
      <c r="AL1186" s="113"/>
      <c r="AM1186" s="113"/>
      <c r="AN1186" s="113"/>
      <c r="AO1186" s="44" t="s">
        <v>2334</v>
      </c>
      <c r="AP1186" s="44"/>
      <c r="AQ1186" s="236" t="str">
        <f>VLOOKUP(Table8[[#This Row],[Instrument]],Def_Targets!$D$73:$E$159,2,FALSE)</f>
        <v>I_Jetfuel</v>
      </c>
      <c r="AR1186" s="233" t="str">
        <f>VLOOKUP(Table8[[#This Row],[Country Code]],Table29[],3,FALSE)</f>
        <v>Non-Annex I</v>
      </c>
      <c r="AS1186" s="233" t="str">
        <f>VLOOKUP(Table8[[#This Row],[Country Code]],Table29[],4,FALSE)</f>
        <v>Asia</v>
      </c>
      <c r="AT1186" s="233" t="str">
        <f>VLOOKUP(Table8[[#This Row],[Country Code]],Table29[],5,FALSE)</f>
        <v>Middle-income</v>
      </c>
      <c r="AU1186" s="233" t="str">
        <f>VLOOKUP(Table8[[#This Row],[Country Code]],Table29[],6,FALSE)</f>
        <v>G20</v>
      </c>
      <c r="AV1186" s="233" t="str">
        <f>VLOOKUP(Table8[[#This Row],[Country Code]],Table29[],7,FALSE)</f>
        <v>no</v>
      </c>
      <c r="AW1186" s="233" t="str">
        <f>VLOOKUP(Table8[[#This Row],[Country Code]],Table29[],8,FALSE)</f>
        <v>non-OECD</v>
      </c>
      <c r="AX1186" s="233" t="str">
        <f>VLOOKUP(Table8[[#This Row],[Country Code]],Table29[],9,FALSE)</f>
        <v>no</v>
      </c>
      <c r="AY1186" s="233" t="str">
        <f>VLOOKUP(Table8[[#This Row],[Country Code]],Table29[],10,FALSE)</f>
        <v>no</v>
      </c>
      <c r="AZ1186" s="235">
        <f>VLOOKUP(Table8[[#This Row],[Country Code]],Table29[],23,FALSE)</f>
        <v>4133.5543557464998</v>
      </c>
      <c r="BA1186" s="235">
        <f>VLOOKUP(Table8[[#This Row],[Country Code]],Table29[],24,FALSE)</f>
        <v>349.27466196453167</v>
      </c>
      <c r="BB1186" s="320"/>
      <c r="BC1186" s="320"/>
    </row>
    <row r="1187" spans="1:55" hidden="1" x14ac:dyDescent="0.25">
      <c r="A1187" s="373">
        <v>32502</v>
      </c>
      <c r="B1187" s="233" t="str">
        <f>VLOOKUP(Table8[[#This Row],[Document ID]],Table1[],2,FALSE)</f>
        <v>IND</v>
      </c>
      <c r="C1187" s="233" t="str">
        <f>VLOOKUP(Table8[[#This Row],[Document ID]],Table1[],3,FALSE)</f>
        <v>India</v>
      </c>
      <c r="D1187" s="243" t="str">
        <f>VLOOKUP(Table8[[#This Row],[Document ID]],Table1[],5,FALSE)</f>
        <v>LTS</v>
      </c>
      <c r="E1187" s="233" t="str">
        <f>VLOOKUP(Table8[[#This Row],[Document ID]],Table1[],7,FALSE)</f>
        <v>LTS</v>
      </c>
      <c r="F1187" s="233" t="str">
        <f>VLOOKUP(Table8[[#This Row],[Document ID]],Table1[],8,FALSE)</f>
        <v>LTS 1.0</v>
      </c>
      <c r="G1187" s="233" t="str">
        <f>VLOOKUP(Table8[[#This Row],[Document ID]],Table1[],10,FALSE)</f>
        <v>Active</v>
      </c>
      <c r="H1187" s="43" t="s">
        <v>2484</v>
      </c>
      <c r="I1187" s="43" t="s">
        <v>2488</v>
      </c>
      <c r="J1187" s="44" t="s">
        <v>3207</v>
      </c>
      <c r="K1187" s="44" t="s">
        <v>3456</v>
      </c>
      <c r="L1187" s="44" t="s">
        <v>2333</v>
      </c>
      <c r="M1187" s="43">
        <v>68</v>
      </c>
      <c r="N1187" s="113"/>
      <c r="O1187" s="113"/>
      <c r="P1187" s="113"/>
      <c r="Q1187" s="113"/>
      <c r="R1187" s="113"/>
      <c r="S1187" s="113"/>
      <c r="T1187" s="113"/>
      <c r="U1187" s="113"/>
      <c r="V1187" s="113"/>
      <c r="W1187" s="113"/>
      <c r="X1187" s="113"/>
      <c r="Y1187" s="113"/>
      <c r="Z1187" s="113"/>
      <c r="AA1187" s="113"/>
      <c r="AB1187" s="113"/>
      <c r="AC1187" s="113"/>
      <c r="AD1187" s="113"/>
      <c r="AE1187" s="113"/>
      <c r="AF1187" s="113"/>
      <c r="AG1187" s="113"/>
      <c r="AH1187" s="113" t="s">
        <v>1113</v>
      </c>
      <c r="AI1187" s="113"/>
      <c r="AJ1187" s="113"/>
      <c r="AK1187" s="113" t="s">
        <v>1113</v>
      </c>
      <c r="AL1187" s="113"/>
      <c r="AM1187" s="113"/>
      <c r="AN1187" s="113"/>
      <c r="AO1187" s="44" t="s">
        <v>2334</v>
      </c>
      <c r="AP1187" s="44"/>
      <c r="AQ1187" s="236" t="str">
        <f>VLOOKUP(Table8[[#This Row],[Instrument]],Def_Targets!$D$73:$E$159,2,FALSE)</f>
        <v>I_Aircraftfleet</v>
      </c>
      <c r="AR1187" s="233" t="str">
        <f>VLOOKUP(Table8[[#This Row],[Country Code]],Table29[],3,FALSE)</f>
        <v>Non-Annex I</v>
      </c>
      <c r="AS1187" s="233" t="str">
        <f>VLOOKUP(Table8[[#This Row],[Country Code]],Table29[],4,FALSE)</f>
        <v>Asia</v>
      </c>
      <c r="AT1187" s="233" t="str">
        <f>VLOOKUP(Table8[[#This Row],[Country Code]],Table29[],5,FALSE)</f>
        <v>Middle-income</v>
      </c>
      <c r="AU1187" s="233" t="str">
        <f>VLOOKUP(Table8[[#This Row],[Country Code]],Table29[],6,FALSE)</f>
        <v>G20</v>
      </c>
      <c r="AV1187" s="233" t="str">
        <f>VLOOKUP(Table8[[#This Row],[Country Code]],Table29[],7,FALSE)</f>
        <v>no</v>
      </c>
      <c r="AW1187" s="233" t="str">
        <f>VLOOKUP(Table8[[#This Row],[Country Code]],Table29[],8,FALSE)</f>
        <v>non-OECD</v>
      </c>
      <c r="AX1187" s="233" t="str">
        <f>VLOOKUP(Table8[[#This Row],[Country Code]],Table29[],9,FALSE)</f>
        <v>no</v>
      </c>
      <c r="AY1187" s="233" t="str">
        <f>VLOOKUP(Table8[[#This Row],[Country Code]],Table29[],10,FALSE)</f>
        <v>no</v>
      </c>
      <c r="AZ1187" s="235">
        <f>VLOOKUP(Table8[[#This Row],[Country Code]],Table29[],23,FALSE)</f>
        <v>4133.5543557464998</v>
      </c>
      <c r="BA1187" s="235">
        <f>VLOOKUP(Table8[[#This Row],[Country Code]],Table29[],24,FALSE)</f>
        <v>349.27466196453167</v>
      </c>
      <c r="BB1187" s="320"/>
      <c r="BC1187" s="320"/>
    </row>
    <row r="1188" spans="1:55" ht="30" hidden="1" x14ac:dyDescent="0.25">
      <c r="A1188" s="373">
        <v>32502</v>
      </c>
      <c r="B1188" s="233" t="str">
        <f>VLOOKUP(Table8[[#This Row],[Document ID]],Table1[],2,FALSE)</f>
        <v>IND</v>
      </c>
      <c r="C1188" s="233" t="str">
        <f>VLOOKUP(Table8[[#This Row],[Document ID]],Table1[],3,FALSE)</f>
        <v>India</v>
      </c>
      <c r="D1188" s="243" t="str">
        <f>VLOOKUP(Table8[[#This Row],[Document ID]],Table1[],5,FALSE)</f>
        <v>LTS</v>
      </c>
      <c r="E1188" s="233" t="str">
        <f>VLOOKUP(Table8[[#This Row],[Document ID]],Table1[],7,FALSE)</f>
        <v>LTS</v>
      </c>
      <c r="F1188" s="233" t="str">
        <f>VLOOKUP(Table8[[#This Row],[Document ID]],Table1[],8,FALSE)</f>
        <v>LTS 1.0</v>
      </c>
      <c r="G1188" s="233" t="str">
        <f>VLOOKUP(Table8[[#This Row],[Document ID]],Table1[],10,FALSE)</f>
        <v>Active</v>
      </c>
      <c r="H1188" s="44" t="s">
        <v>2329</v>
      </c>
      <c r="I1188" s="44" t="s">
        <v>2330</v>
      </c>
      <c r="J1188" s="44" t="s">
        <v>2391</v>
      </c>
      <c r="K1188" s="44" t="s">
        <v>3457</v>
      </c>
      <c r="L1188" s="44" t="s">
        <v>2333</v>
      </c>
      <c r="M1188" s="43">
        <v>68</v>
      </c>
      <c r="N1188" s="113"/>
      <c r="O1188" s="113"/>
      <c r="P1188" s="113"/>
      <c r="Q1188" s="113"/>
      <c r="R1188" s="113"/>
      <c r="S1188" s="113"/>
      <c r="T1188" s="113"/>
      <c r="U1188" s="113"/>
      <c r="V1188" s="113"/>
      <c r="W1188" s="113"/>
      <c r="X1188" s="113"/>
      <c r="Y1188" s="113"/>
      <c r="Z1188" s="113"/>
      <c r="AA1188" s="113"/>
      <c r="AB1188" s="113"/>
      <c r="AC1188" s="113"/>
      <c r="AD1188" s="113"/>
      <c r="AE1188" s="113"/>
      <c r="AF1188" s="113"/>
      <c r="AG1188" s="113"/>
      <c r="AH1188" s="113" t="s">
        <v>1113</v>
      </c>
      <c r="AI1188" s="113"/>
      <c r="AJ1188" s="113"/>
      <c r="AK1188" s="113" t="s">
        <v>1113</v>
      </c>
      <c r="AL1188" s="113"/>
      <c r="AM1188" s="113"/>
      <c r="AN1188" s="113"/>
      <c r="AO1188" s="44" t="s">
        <v>2334</v>
      </c>
      <c r="AP1188" s="44"/>
      <c r="AQ1188" s="236" t="str">
        <f>VLOOKUP(Table8[[#This Row],[Instrument]],Def_Targets!$D$73:$E$159,2,FALSE)</f>
        <v>I_Hydrogen</v>
      </c>
      <c r="AR1188" s="233" t="str">
        <f>VLOOKUP(Table8[[#This Row],[Country Code]],Table29[],3,FALSE)</f>
        <v>Non-Annex I</v>
      </c>
      <c r="AS1188" s="233" t="str">
        <f>VLOOKUP(Table8[[#This Row],[Country Code]],Table29[],4,FALSE)</f>
        <v>Asia</v>
      </c>
      <c r="AT1188" s="233" t="str">
        <f>VLOOKUP(Table8[[#This Row],[Country Code]],Table29[],5,FALSE)</f>
        <v>Middle-income</v>
      </c>
      <c r="AU1188" s="233" t="str">
        <f>VLOOKUP(Table8[[#This Row],[Country Code]],Table29[],6,FALSE)</f>
        <v>G20</v>
      </c>
      <c r="AV1188" s="233" t="str">
        <f>VLOOKUP(Table8[[#This Row],[Country Code]],Table29[],7,FALSE)</f>
        <v>no</v>
      </c>
      <c r="AW1188" s="233" t="str">
        <f>VLOOKUP(Table8[[#This Row],[Country Code]],Table29[],8,FALSE)</f>
        <v>non-OECD</v>
      </c>
      <c r="AX1188" s="233" t="str">
        <f>VLOOKUP(Table8[[#This Row],[Country Code]],Table29[],9,FALSE)</f>
        <v>no</v>
      </c>
      <c r="AY1188" s="233" t="str">
        <f>VLOOKUP(Table8[[#This Row],[Country Code]],Table29[],10,FALSE)</f>
        <v>no</v>
      </c>
      <c r="AZ1188" s="235">
        <f>VLOOKUP(Table8[[#This Row],[Country Code]],Table29[],23,FALSE)</f>
        <v>4133.5543557464998</v>
      </c>
      <c r="BA1188" s="235">
        <f>VLOOKUP(Table8[[#This Row],[Country Code]],Table29[],24,FALSE)</f>
        <v>349.27466196453167</v>
      </c>
      <c r="BB1188" s="320"/>
      <c r="BC1188" s="320"/>
    </row>
    <row r="1189" spans="1:55" ht="45" hidden="1" x14ac:dyDescent="0.25">
      <c r="A1189" s="373">
        <v>22315</v>
      </c>
      <c r="B1189" s="233" t="str">
        <f>VLOOKUP(Table8[[#This Row],[Document ID]],Table1[],2,FALSE)</f>
        <v>IDN</v>
      </c>
      <c r="C1189" s="233" t="str">
        <f>VLOOKUP(Table8[[#This Row],[Document ID]],Table1[],3,FALSE)</f>
        <v>Indonesia</v>
      </c>
      <c r="D1189" s="243" t="str">
        <f>VLOOKUP(Table8[[#This Row],[Document ID]],Table1[],5,FALSE)</f>
        <v>LTS</v>
      </c>
      <c r="E1189" s="233" t="str">
        <f>VLOOKUP(Table8[[#This Row],[Document ID]],Table1[],7,FALSE)</f>
        <v>LTS</v>
      </c>
      <c r="F1189" s="233" t="str">
        <f>VLOOKUP(Table8[[#This Row],[Document ID]],Table1[],8,FALSE)</f>
        <v>LTS 1.0</v>
      </c>
      <c r="G1189" s="233" t="str">
        <f>VLOOKUP(Table8[[#This Row],[Document ID]],Table1[],10,FALSE)</f>
        <v>Active</v>
      </c>
      <c r="H1189" s="43" t="s">
        <v>2343</v>
      </c>
      <c r="I1189" s="43" t="s">
        <v>2377</v>
      </c>
      <c r="J1189" s="44" t="s">
        <v>2378</v>
      </c>
      <c r="K1189" s="44" t="s">
        <v>3458</v>
      </c>
      <c r="L1189" s="44" t="s">
        <v>2380</v>
      </c>
      <c r="M1189" s="43">
        <v>59</v>
      </c>
      <c r="N1189" s="113" t="s">
        <v>1113</v>
      </c>
      <c r="O1189" s="113"/>
      <c r="P1189" s="113"/>
      <c r="Q1189" s="113"/>
      <c r="R1189" s="113"/>
      <c r="S1189" s="113"/>
      <c r="T1189" s="113"/>
      <c r="U1189" s="113"/>
      <c r="V1189" s="113"/>
      <c r="W1189" s="113"/>
      <c r="X1189" s="113"/>
      <c r="Y1189" s="113"/>
      <c r="Z1189" s="113"/>
      <c r="AA1189" s="113"/>
      <c r="AB1189" s="113"/>
      <c r="AC1189" s="113"/>
      <c r="AD1189" s="113"/>
      <c r="AE1189" s="113"/>
      <c r="AF1189" s="113"/>
      <c r="AG1189" s="113"/>
      <c r="AH1189" s="113"/>
      <c r="AI1189" s="113"/>
      <c r="AJ1189" s="113"/>
      <c r="AK1189" s="113"/>
      <c r="AL1189" s="113" t="s">
        <v>1113</v>
      </c>
      <c r="AM1189" s="113"/>
      <c r="AN1189" s="113"/>
      <c r="AO1189" s="43" t="s">
        <v>2348</v>
      </c>
      <c r="AP1189" s="43"/>
      <c r="AQ1189" s="236" t="str">
        <f>VLOOKUP(Table8[[#This Row],[Instrument]],Def_Targets!$D$73:$E$159,2,FALSE)</f>
        <v>A_Commute</v>
      </c>
      <c r="AR1189" s="233" t="str">
        <f>VLOOKUP(Table8[[#This Row],[Country Code]],Table29[],3,FALSE)</f>
        <v>Non-Annex I</v>
      </c>
      <c r="AS1189" s="233" t="str">
        <f>VLOOKUP(Table8[[#This Row],[Country Code]],Table29[],4,FALSE)</f>
        <v>Asia</v>
      </c>
      <c r="AT1189" s="233" t="str">
        <f>VLOOKUP(Table8[[#This Row],[Country Code]],Table29[],5,FALSE)</f>
        <v>Middle-income</v>
      </c>
      <c r="AU1189" s="233" t="str">
        <f>VLOOKUP(Table8[[#This Row],[Country Code]],Table29[],6,FALSE)</f>
        <v>G20</v>
      </c>
      <c r="AV1189" s="233" t="str">
        <f>VLOOKUP(Table8[[#This Row],[Country Code]],Table29[],7,FALSE)</f>
        <v>no</v>
      </c>
      <c r="AW1189" s="233" t="str">
        <f>VLOOKUP(Table8[[#This Row],[Country Code]],Table29[],8,FALSE)</f>
        <v>non-OECD</v>
      </c>
      <c r="AX1189" s="233" t="str">
        <f>VLOOKUP(Table8[[#This Row],[Country Code]],Table29[],9,FALSE)</f>
        <v>no</v>
      </c>
      <c r="AY1189" s="233" t="str">
        <f>VLOOKUP(Table8[[#This Row],[Country Code]],Table29[],10,FALSE)</f>
        <v>no</v>
      </c>
      <c r="AZ1189" s="235">
        <f>VLOOKUP(Table8[[#This Row],[Country Code]],Table29[],23,FALSE)</f>
        <v>1200.1997867973</v>
      </c>
      <c r="BA1189" s="235">
        <f>VLOOKUP(Table8[[#This Row],[Country Code]],Table29[],24,FALSE)</f>
        <v>152.1133830762208</v>
      </c>
      <c r="BB1189" s="320"/>
      <c r="BC1189" s="320"/>
    </row>
    <row r="1190" spans="1:55" ht="30" hidden="1" x14ac:dyDescent="0.25">
      <c r="A1190" s="373">
        <v>22315</v>
      </c>
      <c r="B1190" s="233" t="str">
        <f>VLOOKUP(Table8[[#This Row],[Document ID]],Table1[],2,FALSE)</f>
        <v>IDN</v>
      </c>
      <c r="C1190" s="233" t="str">
        <f>VLOOKUP(Table8[[#This Row],[Document ID]],Table1[],3,FALSE)</f>
        <v>Indonesia</v>
      </c>
      <c r="D1190" s="243" t="str">
        <f>VLOOKUP(Table8[[#This Row],[Document ID]],Table1[],5,FALSE)</f>
        <v>LTS</v>
      </c>
      <c r="E1190" s="233" t="str">
        <f>VLOOKUP(Table8[[#This Row],[Document ID]],Table1[],7,FALSE)</f>
        <v>LTS</v>
      </c>
      <c r="F1190" s="233" t="str">
        <f>VLOOKUP(Table8[[#This Row],[Document ID]],Table1[],8,FALSE)</f>
        <v>LTS 1.0</v>
      </c>
      <c r="G1190" s="233" t="str">
        <f>VLOOKUP(Table8[[#This Row],[Document ID]],Table1[],10,FALSE)</f>
        <v>Active</v>
      </c>
      <c r="H1190" s="43" t="s">
        <v>2343</v>
      </c>
      <c r="I1190" s="43" t="s">
        <v>2377</v>
      </c>
      <c r="J1190" s="44" t="s">
        <v>2378</v>
      </c>
      <c r="K1190" s="44" t="s">
        <v>3459</v>
      </c>
      <c r="L1190" s="44" t="s">
        <v>2380</v>
      </c>
      <c r="M1190" s="43">
        <v>59</v>
      </c>
      <c r="N1190" s="113" t="s">
        <v>1113</v>
      </c>
      <c r="O1190" s="113"/>
      <c r="P1190" s="113"/>
      <c r="Q1190" s="113"/>
      <c r="R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t="s">
        <v>1113</v>
      </c>
      <c r="AL1190" s="113"/>
      <c r="AM1190" s="113"/>
      <c r="AN1190" s="113"/>
      <c r="AO1190" s="44" t="s">
        <v>2334</v>
      </c>
      <c r="AP1190" s="43"/>
      <c r="AQ1190" s="236" t="str">
        <f>VLOOKUP(Table8[[#This Row],[Instrument]],Def_Targets!$D$73:$E$159,2,FALSE)</f>
        <v>A_Commute</v>
      </c>
      <c r="AR1190" s="233" t="str">
        <f>VLOOKUP(Table8[[#This Row],[Country Code]],Table29[],3,FALSE)</f>
        <v>Non-Annex I</v>
      </c>
      <c r="AS1190" s="233" t="str">
        <f>VLOOKUP(Table8[[#This Row],[Country Code]],Table29[],4,FALSE)</f>
        <v>Asia</v>
      </c>
      <c r="AT1190" s="233" t="str">
        <f>VLOOKUP(Table8[[#This Row],[Country Code]],Table29[],5,FALSE)</f>
        <v>Middle-income</v>
      </c>
      <c r="AU1190" s="233" t="str">
        <f>VLOOKUP(Table8[[#This Row],[Country Code]],Table29[],6,FALSE)</f>
        <v>G20</v>
      </c>
      <c r="AV1190" s="233" t="str">
        <f>VLOOKUP(Table8[[#This Row],[Country Code]],Table29[],7,FALSE)</f>
        <v>no</v>
      </c>
      <c r="AW1190" s="233" t="str">
        <f>VLOOKUP(Table8[[#This Row],[Country Code]],Table29[],8,FALSE)</f>
        <v>non-OECD</v>
      </c>
      <c r="AX1190" s="233" t="str">
        <f>VLOOKUP(Table8[[#This Row],[Country Code]],Table29[],9,FALSE)</f>
        <v>no</v>
      </c>
      <c r="AY1190" s="233" t="str">
        <f>VLOOKUP(Table8[[#This Row],[Country Code]],Table29[],10,FALSE)</f>
        <v>no</v>
      </c>
      <c r="AZ1190" s="235">
        <f>VLOOKUP(Table8[[#This Row],[Country Code]],Table29[],23,FALSE)</f>
        <v>1200.1997867973</v>
      </c>
      <c r="BA1190" s="235">
        <f>VLOOKUP(Table8[[#This Row],[Country Code]],Table29[],24,FALSE)</f>
        <v>152.1133830762208</v>
      </c>
      <c r="BB1190" s="320"/>
      <c r="BC1190" s="320"/>
    </row>
    <row r="1191" spans="1:55" ht="60" hidden="1" x14ac:dyDescent="0.25">
      <c r="A1191" s="373">
        <v>22315</v>
      </c>
      <c r="B1191" s="233" t="str">
        <f>VLOOKUP(Table8[[#This Row],[Document ID]],Table1[],2,FALSE)</f>
        <v>IDN</v>
      </c>
      <c r="C1191" s="233" t="str">
        <f>VLOOKUP(Table8[[#This Row],[Document ID]],Table1[],3,FALSE)</f>
        <v>Indonesia</v>
      </c>
      <c r="D1191" s="243" t="str">
        <f>VLOOKUP(Table8[[#This Row],[Document ID]],Table1[],5,FALSE)</f>
        <v>LTS</v>
      </c>
      <c r="E1191" s="233" t="str">
        <f>VLOOKUP(Table8[[#This Row],[Document ID]],Table1[],7,FALSE)</f>
        <v>LTS</v>
      </c>
      <c r="F1191" s="233" t="str">
        <f>VLOOKUP(Table8[[#This Row],[Document ID]],Table1[],8,FALSE)</f>
        <v>LTS 1.0</v>
      </c>
      <c r="G1191" s="233" t="str">
        <f>VLOOKUP(Table8[[#This Row],[Document ID]],Table1[],10,FALSE)</f>
        <v>Active</v>
      </c>
      <c r="H1191" s="44" t="s">
        <v>2329</v>
      </c>
      <c r="I1191" s="44" t="s">
        <v>2330</v>
      </c>
      <c r="J1191" s="44" t="s">
        <v>2357</v>
      </c>
      <c r="K1191" s="44" t="s">
        <v>3460</v>
      </c>
      <c r="L1191" s="44" t="s">
        <v>2333</v>
      </c>
      <c r="M1191" s="43">
        <v>59</v>
      </c>
      <c r="N1191" s="113" t="s">
        <v>1113</v>
      </c>
      <c r="O1191" s="113"/>
      <c r="P1191" s="113"/>
      <c r="Q1191" s="113"/>
      <c r="R1191" s="113"/>
      <c r="S1191" s="113"/>
      <c r="T1191" s="113"/>
      <c r="U1191" s="113"/>
      <c r="V1191" s="113"/>
      <c r="W1191" s="113"/>
      <c r="X1191" s="113"/>
      <c r="Y1191" s="113"/>
      <c r="Z1191" s="113"/>
      <c r="AA1191" s="113"/>
      <c r="AB1191" s="113"/>
      <c r="AC1191" s="113"/>
      <c r="AD1191" s="113"/>
      <c r="AE1191" s="113"/>
      <c r="AF1191" s="113"/>
      <c r="AG1191" s="113"/>
      <c r="AH1191" s="113"/>
      <c r="AI1191" s="113"/>
      <c r="AJ1191" s="113"/>
      <c r="AK1191" s="113" t="s">
        <v>1113</v>
      </c>
      <c r="AL1191" s="113"/>
      <c r="AM1191" s="113"/>
      <c r="AN1191" s="113"/>
      <c r="AO1191" s="44" t="s">
        <v>2334</v>
      </c>
      <c r="AP1191" s="43"/>
      <c r="AQ1191" s="236" t="str">
        <f>VLOOKUP(Table8[[#This Row],[Instrument]],Def_Targets!$D$73:$E$159,2,FALSE)</f>
        <v>I_Biofuel</v>
      </c>
      <c r="AR1191" s="233" t="str">
        <f>VLOOKUP(Table8[[#This Row],[Country Code]],Table29[],3,FALSE)</f>
        <v>Non-Annex I</v>
      </c>
      <c r="AS1191" s="233" t="str">
        <f>VLOOKUP(Table8[[#This Row],[Country Code]],Table29[],4,FALSE)</f>
        <v>Asia</v>
      </c>
      <c r="AT1191" s="233" t="str">
        <f>VLOOKUP(Table8[[#This Row],[Country Code]],Table29[],5,FALSE)</f>
        <v>Middle-income</v>
      </c>
      <c r="AU1191" s="233" t="str">
        <f>VLOOKUP(Table8[[#This Row],[Country Code]],Table29[],6,FALSE)</f>
        <v>G20</v>
      </c>
      <c r="AV1191" s="233" t="str">
        <f>VLOOKUP(Table8[[#This Row],[Country Code]],Table29[],7,FALSE)</f>
        <v>no</v>
      </c>
      <c r="AW1191" s="233" t="str">
        <f>VLOOKUP(Table8[[#This Row],[Country Code]],Table29[],8,FALSE)</f>
        <v>non-OECD</v>
      </c>
      <c r="AX1191" s="233" t="str">
        <f>VLOOKUP(Table8[[#This Row],[Country Code]],Table29[],9,FALSE)</f>
        <v>no</v>
      </c>
      <c r="AY1191" s="233" t="str">
        <f>VLOOKUP(Table8[[#This Row],[Country Code]],Table29[],10,FALSE)</f>
        <v>no</v>
      </c>
      <c r="AZ1191" s="235">
        <f>VLOOKUP(Table8[[#This Row],[Country Code]],Table29[],23,FALSE)</f>
        <v>1200.1997867973</v>
      </c>
      <c r="BA1191" s="235">
        <f>VLOOKUP(Table8[[#This Row],[Country Code]],Table29[],24,FALSE)</f>
        <v>152.1133830762208</v>
      </c>
      <c r="BB1191" s="320"/>
      <c r="BC1191" s="320"/>
    </row>
    <row r="1192" spans="1:55" ht="60" hidden="1" x14ac:dyDescent="0.25">
      <c r="A1192" s="373">
        <v>22315</v>
      </c>
      <c r="B1192" s="233" t="str">
        <f>VLOOKUP(Table8[[#This Row],[Document ID]],Table1[],2,FALSE)</f>
        <v>IDN</v>
      </c>
      <c r="C1192" s="233" t="str">
        <f>VLOOKUP(Table8[[#This Row],[Document ID]],Table1[],3,FALSE)</f>
        <v>Indonesia</v>
      </c>
      <c r="D1192" s="243" t="str">
        <f>VLOOKUP(Table8[[#This Row],[Document ID]],Table1[],5,FALSE)</f>
        <v>LTS</v>
      </c>
      <c r="E1192" s="233" t="str">
        <f>VLOOKUP(Table8[[#This Row],[Document ID]],Table1[],7,FALSE)</f>
        <v>LTS</v>
      </c>
      <c r="F1192" s="233" t="str">
        <f>VLOOKUP(Table8[[#This Row],[Document ID]],Table1[],8,FALSE)</f>
        <v>LTS 1.0</v>
      </c>
      <c r="G1192" s="233" t="str">
        <f>VLOOKUP(Table8[[#This Row],[Document ID]],Table1[],10,FALSE)</f>
        <v>Active</v>
      </c>
      <c r="H1192" s="44" t="s">
        <v>2329</v>
      </c>
      <c r="I1192" s="44" t="s">
        <v>2330</v>
      </c>
      <c r="J1192" s="44" t="s">
        <v>2363</v>
      </c>
      <c r="K1192" s="44" t="s">
        <v>3460</v>
      </c>
      <c r="L1192" s="44" t="s">
        <v>2333</v>
      </c>
      <c r="M1192" s="43">
        <v>59</v>
      </c>
      <c r="N1192" s="113" t="s">
        <v>1113</v>
      </c>
      <c r="O1192" s="113"/>
      <c r="P1192" s="113"/>
      <c r="Q1192" s="113"/>
      <c r="R1192" s="113"/>
      <c r="S1192" s="113"/>
      <c r="T1192" s="113"/>
      <c r="U1192" s="113"/>
      <c r="V1192" s="113"/>
      <c r="W1192" s="113"/>
      <c r="X1192" s="113"/>
      <c r="Y1192" s="113"/>
      <c r="Z1192" s="113"/>
      <c r="AA1192" s="113"/>
      <c r="AB1192" s="113"/>
      <c r="AC1192" s="113"/>
      <c r="AD1192" s="113"/>
      <c r="AE1192" s="113"/>
      <c r="AF1192" s="113"/>
      <c r="AG1192" s="113"/>
      <c r="AH1192" s="113"/>
      <c r="AI1192" s="113"/>
      <c r="AJ1192" s="113"/>
      <c r="AK1192" s="113" t="s">
        <v>1113</v>
      </c>
      <c r="AL1192" s="113"/>
      <c r="AM1192" s="113"/>
      <c r="AN1192" s="113"/>
      <c r="AO1192" s="44" t="s">
        <v>2334</v>
      </c>
      <c r="AP1192" s="43"/>
      <c r="AQ1192" s="236" t="str">
        <f>VLOOKUP(Table8[[#This Row],[Instrument]],Def_Targets!$D$73:$E$159,2,FALSE)</f>
        <v>I_LPGCNGLNG</v>
      </c>
      <c r="AR1192" s="233" t="str">
        <f>VLOOKUP(Table8[[#This Row],[Country Code]],Table29[],3,FALSE)</f>
        <v>Non-Annex I</v>
      </c>
      <c r="AS1192" s="233" t="str">
        <f>VLOOKUP(Table8[[#This Row],[Country Code]],Table29[],4,FALSE)</f>
        <v>Asia</v>
      </c>
      <c r="AT1192" s="233" t="str">
        <f>VLOOKUP(Table8[[#This Row],[Country Code]],Table29[],5,FALSE)</f>
        <v>Middle-income</v>
      </c>
      <c r="AU1192" s="233" t="str">
        <f>VLOOKUP(Table8[[#This Row],[Country Code]],Table29[],6,FALSE)</f>
        <v>G20</v>
      </c>
      <c r="AV1192" s="233" t="str">
        <f>VLOOKUP(Table8[[#This Row],[Country Code]],Table29[],7,FALSE)</f>
        <v>no</v>
      </c>
      <c r="AW1192" s="233" t="str">
        <f>VLOOKUP(Table8[[#This Row],[Country Code]],Table29[],8,FALSE)</f>
        <v>non-OECD</v>
      </c>
      <c r="AX1192" s="233" t="str">
        <f>VLOOKUP(Table8[[#This Row],[Country Code]],Table29[],9,FALSE)</f>
        <v>no</v>
      </c>
      <c r="AY1192" s="233" t="str">
        <f>VLOOKUP(Table8[[#This Row],[Country Code]],Table29[],10,FALSE)</f>
        <v>no</v>
      </c>
      <c r="AZ1192" s="235">
        <f>VLOOKUP(Table8[[#This Row],[Country Code]],Table29[],23,FALSE)</f>
        <v>1200.1997867973</v>
      </c>
      <c r="BA1192" s="235">
        <f>VLOOKUP(Table8[[#This Row],[Country Code]],Table29[],24,FALSE)</f>
        <v>152.1133830762208</v>
      </c>
      <c r="BB1192" s="320"/>
      <c r="BC1192" s="320"/>
    </row>
    <row r="1193" spans="1:55" hidden="1" x14ac:dyDescent="0.25">
      <c r="A1193" s="373">
        <v>22315</v>
      </c>
      <c r="B1193" s="233" t="str">
        <f>VLOOKUP(Table8[[#This Row],[Document ID]],Table1[],2,FALSE)</f>
        <v>IDN</v>
      </c>
      <c r="C1193" s="233" t="str">
        <f>VLOOKUP(Table8[[#This Row],[Document ID]],Table1[],3,FALSE)</f>
        <v>Indonesia</v>
      </c>
      <c r="D1193" s="243" t="str">
        <f>VLOOKUP(Table8[[#This Row],[Document ID]],Table1[],5,FALSE)</f>
        <v>LTS</v>
      </c>
      <c r="E1193" s="233" t="str">
        <f>VLOOKUP(Table8[[#This Row],[Document ID]],Table1[],7,FALSE)</f>
        <v>LTS</v>
      </c>
      <c r="F1193" s="233" t="str">
        <f>VLOOKUP(Table8[[#This Row],[Document ID]],Table1[],8,FALSE)</f>
        <v>LTS 1.0</v>
      </c>
      <c r="G1193" s="233" t="str">
        <f>VLOOKUP(Table8[[#This Row],[Document ID]],Table1[],10,FALSE)</f>
        <v>Active</v>
      </c>
      <c r="H1193" s="43" t="s">
        <v>2343</v>
      </c>
      <c r="I1193" s="43" t="s">
        <v>2429</v>
      </c>
      <c r="J1193" s="44" t="s">
        <v>2513</v>
      </c>
      <c r="K1193" s="44" t="s">
        <v>3461</v>
      </c>
      <c r="L1193" s="44" t="s">
        <v>2347</v>
      </c>
      <c r="M1193" s="43">
        <v>59</v>
      </c>
      <c r="N1193" s="113" t="s">
        <v>1113</v>
      </c>
      <c r="O1193" s="113"/>
      <c r="P1193" s="113"/>
      <c r="Q1193" s="113"/>
      <c r="R1193" s="113"/>
      <c r="S1193" s="113"/>
      <c r="T1193" s="113"/>
      <c r="U1193" s="113"/>
      <c r="V1193" s="113"/>
      <c r="W1193" s="113"/>
      <c r="X1193" s="113"/>
      <c r="Y1193" s="113"/>
      <c r="Z1193" s="113"/>
      <c r="AA1193" s="113"/>
      <c r="AB1193" s="113"/>
      <c r="AC1193" s="113"/>
      <c r="AD1193" s="113"/>
      <c r="AE1193" s="113"/>
      <c r="AF1193" s="113"/>
      <c r="AG1193" s="113"/>
      <c r="AH1193" s="113"/>
      <c r="AI1193" s="113"/>
      <c r="AJ1193" s="113"/>
      <c r="AK1193" s="113" t="s">
        <v>1113</v>
      </c>
      <c r="AL1193" s="113"/>
      <c r="AM1193" s="113"/>
      <c r="AN1193" s="113"/>
      <c r="AO1193" s="44" t="s">
        <v>2334</v>
      </c>
      <c r="AP1193" s="43"/>
      <c r="AQ1193" s="236" t="str">
        <f>VLOOKUP(Table8[[#This Row],[Instrument]],Def_Targets!$D$73:$E$159,2,FALSE)</f>
        <v>S_Sharedmob</v>
      </c>
      <c r="AR1193" s="233" t="str">
        <f>VLOOKUP(Table8[[#This Row],[Country Code]],Table29[],3,FALSE)</f>
        <v>Non-Annex I</v>
      </c>
      <c r="AS1193" s="233" t="str">
        <f>VLOOKUP(Table8[[#This Row],[Country Code]],Table29[],4,FALSE)</f>
        <v>Asia</v>
      </c>
      <c r="AT1193" s="233" t="str">
        <f>VLOOKUP(Table8[[#This Row],[Country Code]],Table29[],5,FALSE)</f>
        <v>Middle-income</v>
      </c>
      <c r="AU1193" s="233" t="str">
        <f>VLOOKUP(Table8[[#This Row],[Country Code]],Table29[],6,FALSE)</f>
        <v>G20</v>
      </c>
      <c r="AV1193" s="233" t="str">
        <f>VLOOKUP(Table8[[#This Row],[Country Code]],Table29[],7,FALSE)</f>
        <v>no</v>
      </c>
      <c r="AW1193" s="233" t="str">
        <f>VLOOKUP(Table8[[#This Row],[Country Code]],Table29[],8,FALSE)</f>
        <v>non-OECD</v>
      </c>
      <c r="AX1193" s="233" t="str">
        <f>VLOOKUP(Table8[[#This Row],[Country Code]],Table29[],9,FALSE)</f>
        <v>no</v>
      </c>
      <c r="AY1193" s="233" t="str">
        <f>VLOOKUP(Table8[[#This Row],[Country Code]],Table29[],10,FALSE)</f>
        <v>no</v>
      </c>
      <c r="AZ1193" s="235">
        <f>VLOOKUP(Table8[[#This Row],[Country Code]],Table29[],23,FALSE)</f>
        <v>1200.1997867973</v>
      </c>
      <c r="BA1193" s="235">
        <f>VLOOKUP(Table8[[#This Row],[Country Code]],Table29[],24,FALSE)</f>
        <v>152.1133830762208</v>
      </c>
      <c r="BB1193" s="320"/>
      <c r="BC1193" s="320"/>
    </row>
    <row r="1194" spans="1:55" ht="30" hidden="1" x14ac:dyDescent="0.25">
      <c r="A1194" s="373">
        <v>22315</v>
      </c>
      <c r="B1194" s="233" t="str">
        <f>VLOOKUP(Table8[[#This Row],[Document ID]],Table1[],2,FALSE)</f>
        <v>IDN</v>
      </c>
      <c r="C1194" s="233" t="str">
        <f>VLOOKUP(Table8[[#This Row],[Document ID]],Table1[],3,FALSE)</f>
        <v>Indonesia</v>
      </c>
      <c r="D1194" s="243" t="str">
        <f>VLOOKUP(Table8[[#This Row],[Document ID]],Table1[],5,FALSE)</f>
        <v>LTS</v>
      </c>
      <c r="E1194" s="233" t="str">
        <f>VLOOKUP(Table8[[#This Row],[Document ID]],Table1[],7,FALSE)</f>
        <v>LTS</v>
      </c>
      <c r="F1194" s="233" t="str">
        <f>VLOOKUP(Table8[[#This Row],[Document ID]],Table1[],8,FALSE)</f>
        <v>LTS 1.0</v>
      </c>
      <c r="G1194" s="233" t="str">
        <f>VLOOKUP(Table8[[#This Row],[Document ID]],Table1[],10,FALSE)</f>
        <v>Active</v>
      </c>
      <c r="H1194" s="43" t="s">
        <v>2343</v>
      </c>
      <c r="I1194" s="43" t="s">
        <v>2386</v>
      </c>
      <c r="J1194" s="44" t="s">
        <v>2412</v>
      </c>
      <c r="K1194" s="44" t="s">
        <v>3462</v>
      </c>
      <c r="L1194" s="44" t="s">
        <v>2373</v>
      </c>
      <c r="M1194" s="43">
        <v>59</v>
      </c>
      <c r="N1194" s="113" t="s">
        <v>1113</v>
      </c>
      <c r="O1194" s="113"/>
      <c r="P1194" s="113"/>
      <c r="Q1194" s="113"/>
      <c r="R1194" s="113"/>
      <c r="S1194" s="113"/>
      <c r="T1194" s="113"/>
      <c r="U1194" s="113"/>
      <c r="V1194" s="113"/>
      <c r="W1194" s="113"/>
      <c r="X1194" s="113"/>
      <c r="Y1194" s="113"/>
      <c r="Z1194" s="113"/>
      <c r="AA1194" s="113"/>
      <c r="AB1194" s="113"/>
      <c r="AC1194" s="113"/>
      <c r="AD1194" s="113"/>
      <c r="AE1194" s="113"/>
      <c r="AF1194" s="113"/>
      <c r="AG1194" s="113"/>
      <c r="AH1194" s="113"/>
      <c r="AI1194" s="113"/>
      <c r="AJ1194" s="113"/>
      <c r="AK1194" s="113" t="s">
        <v>1113</v>
      </c>
      <c r="AL1194" s="113"/>
      <c r="AM1194" s="113"/>
      <c r="AN1194" s="113"/>
      <c r="AO1194" s="44" t="s">
        <v>2334</v>
      </c>
      <c r="AP1194" s="43"/>
      <c r="AQ1194" s="236" t="str">
        <f>VLOOKUP(Table8[[#This Row],[Instrument]],Def_Targets!$D$73:$E$159,2,FALSE)</f>
        <v>A_Economic</v>
      </c>
      <c r="AR1194" s="233" t="str">
        <f>VLOOKUP(Table8[[#This Row],[Country Code]],Table29[],3,FALSE)</f>
        <v>Non-Annex I</v>
      </c>
      <c r="AS1194" s="233" t="str">
        <f>VLOOKUP(Table8[[#This Row],[Country Code]],Table29[],4,FALSE)</f>
        <v>Asia</v>
      </c>
      <c r="AT1194" s="233" t="str">
        <f>VLOOKUP(Table8[[#This Row],[Country Code]],Table29[],5,FALSE)</f>
        <v>Middle-income</v>
      </c>
      <c r="AU1194" s="233" t="str">
        <f>VLOOKUP(Table8[[#This Row],[Country Code]],Table29[],6,FALSE)</f>
        <v>G20</v>
      </c>
      <c r="AV1194" s="233" t="str">
        <f>VLOOKUP(Table8[[#This Row],[Country Code]],Table29[],7,FALSE)</f>
        <v>no</v>
      </c>
      <c r="AW1194" s="233" t="str">
        <f>VLOOKUP(Table8[[#This Row],[Country Code]],Table29[],8,FALSE)</f>
        <v>non-OECD</v>
      </c>
      <c r="AX1194" s="233" t="str">
        <f>VLOOKUP(Table8[[#This Row],[Country Code]],Table29[],9,FALSE)</f>
        <v>no</v>
      </c>
      <c r="AY1194" s="233" t="str">
        <f>VLOOKUP(Table8[[#This Row],[Country Code]],Table29[],10,FALSE)</f>
        <v>no</v>
      </c>
      <c r="AZ1194" s="235">
        <f>VLOOKUP(Table8[[#This Row],[Country Code]],Table29[],23,FALSE)</f>
        <v>1200.1997867973</v>
      </c>
      <c r="BA1194" s="235">
        <f>VLOOKUP(Table8[[#This Row],[Country Code]],Table29[],24,FALSE)</f>
        <v>152.1133830762208</v>
      </c>
      <c r="BB1194" s="320"/>
      <c r="BC1194" s="320"/>
    </row>
    <row r="1195" spans="1:55" hidden="1" x14ac:dyDescent="0.25">
      <c r="A1195" s="373">
        <v>22315</v>
      </c>
      <c r="B1195" s="233" t="str">
        <f>VLOOKUP(Table8[[#This Row],[Document ID]],Table1[],2,FALSE)</f>
        <v>IDN</v>
      </c>
      <c r="C1195" s="233" t="str">
        <f>VLOOKUP(Table8[[#This Row],[Document ID]],Table1[],3,FALSE)</f>
        <v>Indonesia</v>
      </c>
      <c r="D1195" s="243" t="str">
        <f>VLOOKUP(Table8[[#This Row],[Document ID]],Table1[],5,FALSE)</f>
        <v>LTS</v>
      </c>
      <c r="E1195" s="233" t="str">
        <f>VLOOKUP(Table8[[#This Row],[Document ID]],Table1[],7,FALSE)</f>
        <v>LTS</v>
      </c>
      <c r="F1195" s="233" t="str">
        <f>VLOOKUP(Table8[[#This Row],[Document ID]],Table1[],8,FALSE)</f>
        <v>LTS 1.0</v>
      </c>
      <c r="G1195" s="233" t="str">
        <f>VLOOKUP(Table8[[#This Row],[Document ID]],Table1[],10,FALSE)</f>
        <v>Active</v>
      </c>
      <c r="H1195" s="43" t="s">
        <v>2343</v>
      </c>
      <c r="I1195" s="43" t="s">
        <v>2377</v>
      </c>
      <c r="J1195" s="44" t="s">
        <v>2394</v>
      </c>
      <c r="K1195" s="44" t="s">
        <v>3463</v>
      </c>
      <c r="L1195" s="44" t="s">
        <v>2396</v>
      </c>
      <c r="M1195" s="43">
        <v>59</v>
      </c>
      <c r="N1195" s="113" t="s">
        <v>1113</v>
      </c>
      <c r="O1195" s="113"/>
      <c r="P1195" s="113"/>
      <c r="Q1195" s="113"/>
      <c r="R1195" s="113"/>
      <c r="S1195" s="113"/>
      <c r="T1195" s="113"/>
      <c r="U1195" s="113"/>
      <c r="V1195" s="113"/>
      <c r="W1195" s="113"/>
      <c r="X1195" s="113"/>
      <c r="Y1195" s="113"/>
      <c r="Z1195" s="113"/>
      <c r="AA1195" s="113"/>
      <c r="AB1195" s="113"/>
      <c r="AC1195" s="113"/>
      <c r="AD1195" s="113"/>
      <c r="AE1195" s="113"/>
      <c r="AF1195" s="113"/>
      <c r="AG1195" s="113"/>
      <c r="AH1195" s="113"/>
      <c r="AI1195" s="113"/>
      <c r="AJ1195" s="113"/>
      <c r="AK1195" s="113" t="s">
        <v>1113</v>
      </c>
      <c r="AL1195" s="113"/>
      <c r="AM1195" s="113"/>
      <c r="AN1195" s="113"/>
      <c r="AO1195" s="44" t="s">
        <v>2334</v>
      </c>
      <c r="AP1195" s="43"/>
      <c r="AQ1195" s="236" t="str">
        <f>VLOOKUP(Table8[[#This Row],[Instrument]],Def_Targets!$D$73:$E$159,2,FALSE)</f>
        <v>A_TDM</v>
      </c>
      <c r="AR1195" s="233" t="str">
        <f>VLOOKUP(Table8[[#This Row],[Country Code]],Table29[],3,FALSE)</f>
        <v>Non-Annex I</v>
      </c>
      <c r="AS1195" s="233" t="str">
        <f>VLOOKUP(Table8[[#This Row],[Country Code]],Table29[],4,FALSE)</f>
        <v>Asia</v>
      </c>
      <c r="AT1195" s="233" t="str">
        <f>VLOOKUP(Table8[[#This Row],[Country Code]],Table29[],5,FALSE)</f>
        <v>Middle-income</v>
      </c>
      <c r="AU1195" s="233" t="str">
        <f>VLOOKUP(Table8[[#This Row],[Country Code]],Table29[],6,FALSE)</f>
        <v>G20</v>
      </c>
      <c r="AV1195" s="233" t="str">
        <f>VLOOKUP(Table8[[#This Row],[Country Code]],Table29[],7,FALSE)</f>
        <v>no</v>
      </c>
      <c r="AW1195" s="233" t="str">
        <f>VLOOKUP(Table8[[#This Row],[Country Code]],Table29[],8,FALSE)</f>
        <v>non-OECD</v>
      </c>
      <c r="AX1195" s="233" t="str">
        <f>VLOOKUP(Table8[[#This Row],[Country Code]],Table29[],9,FALSE)</f>
        <v>no</v>
      </c>
      <c r="AY1195" s="233" t="str">
        <f>VLOOKUP(Table8[[#This Row],[Country Code]],Table29[],10,FALSE)</f>
        <v>no</v>
      </c>
      <c r="AZ1195" s="235">
        <f>VLOOKUP(Table8[[#This Row],[Country Code]],Table29[],23,FALSE)</f>
        <v>1200.1997867973</v>
      </c>
      <c r="BA1195" s="235">
        <f>VLOOKUP(Table8[[#This Row],[Country Code]],Table29[],24,FALSE)</f>
        <v>152.1133830762208</v>
      </c>
      <c r="BB1195" s="320"/>
      <c r="BC1195" s="320"/>
    </row>
    <row r="1196" spans="1:55" ht="30" hidden="1" x14ac:dyDescent="0.25">
      <c r="A1196" s="373">
        <v>22315</v>
      </c>
      <c r="B1196" s="233" t="str">
        <f>VLOOKUP(Table8[[#This Row],[Document ID]],Table1[],2,FALSE)</f>
        <v>IDN</v>
      </c>
      <c r="C1196" s="233" t="str">
        <f>VLOOKUP(Table8[[#This Row],[Document ID]],Table1[],3,FALSE)</f>
        <v>Indonesia</v>
      </c>
      <c r="D1196" s="243" t="str">
        <f>VLOOKUP(Table8[[#This Row],[Document ID]],Table1[],5,FALSE)</f>
        <v>LTS</v>
      </c>
      <c r="E1196" s="233" t="str">
        <f>VLOOKUP(Table8[[#This Row],[Document ID]],Table1[],7,FALSE)</f>
        <v>LTS</v>
      </c>
      <c r="F1196" s="233" t="str">
        <f>VLOOKUP(Table8[[#This Row],[Document ID]],Table1[],8,FALSE)</f>
        <v>LTS 1.0</v>
      </c>
      <c r="G1196" s="233" t="str">
        <f>VLOOKUP(Table8[[#This Row],[Document ID]],Table1[],10,FALSE)</f>
        <v>Active</v>
      </c>
      <c r="H1196" s="43" t="s">
        <v>2350</v>
      </c>
      <c r="I1196" s="43" t="s">
        <v>2456</v>
      </c>
      <c r="J1196" s="44" t="s">
        <v>2466</v>
      </c>
      <c r="K1196" s="44" t="s">
        <v>3464</v>
      </c>
      <c r="L1196" s="44" t="s">
        <v>2347</v>
      </c>
      <c r="M1196" s="43">
        <v>59</v>
      </c>
      <c r="N1196" s="113"/>
      <c r="O1196" s="113"/>
      <c r="P1196" s="113"/>
      <c r="Q1196" s="113"/>
      <c r="R1196" s="113"/>
      <c r="S1196" s="113"/>
      <c r="T1196" s="113"/>
      <c r="U1196" s="113"/>
      <c r="V1196" s="113"/>
      <c r="W1196" s="113"/>
      <c r="X1196" s="113"/>
      <c r="Y1196" s="113"/>
      <c r="Z1196" s="113" t="s">
        <v>1113</v>
      </c>
      <c r="AA1196" s="113"/>
      <c r="AB1196" s="113"/>
      <c r="AC1196" s="113"/>
      <c r="AD1196" s="113"/>
      <c r="AE1196" s="113"/>
      <c r="AF1196" s="113"/>
      <c r="AG1196" s="113"/>
      <c r="AH1196" s="113"/>
      <c r="AI1196" s="113"/>
      <c r="AJ1196" s="113"/>
      <c r="AK1196" s="113"/>
      <c r="AL1196" s="113"/>
      <c r="AM1196" s="113"/>
      <c r="AN1196" s="113" t="s">
        <v>1113</v>
      </c>
      <c r="AO1196" s="44" t="s">
        <v>2334</v>
      </c>
      <c r="AP1196" s="43"/>
      <c r="AQ1196" s="236" t="str">
        <f>VLOOKUP(Table8[[#This Row],[Instrument]],Def_Targets!$D$73:$E$159,2,FALSE)</f>
        <v>S_Infraexpansion</v>
      </c>
      <c r="AR1196" s="233" t="str">
        <f>VLOOKUP(Table8[[#This Row],[Country Code]],Table29[],3,FALSE)</f>
        <v>Non-Annex I</v>
      </c>
      <c r="AS1196" s="233" t="str">
        <f>VLOOKUP(Table8[[#This Row],[Country Code]],Table29[],4,FALSE)</f>
        <v>Asia</v>
      </c>
      <c r="AT1196" s="233" t="str">
        <f>VLOOKUP(Table8[[#This Row],[Country Code]],Table29[],5,FALSE)</f>
        <v>Middle-income</v>
      </c>
      <c r="AU1196" s="233" t="str">
        <f>VLOOKUP(Table8[[#This Row],[Country Code]],Table29[],6,FALSE)</f>
        <v>G20</v>
      </c>
      <c r="AV1196" s="233" t="str">
        <f>VLOOKUP(Table8[[#This Row],[Country Code]],Table29[],7,FALSE)</f>
        <v>no</v>
      </c>
      <c r="AW1196" s="233" t="str">
        <f>VLOOKUP(Table8[[#This Row],[Country Code]],Table29[],8,FALSE)</f>
        <v>non-OECD</v>
      </c>
      <c r="AX1196" s="233" t="str">
        <f>VLOOKUP(Table8[[#This Row],[Country Code]],Table29[],9,FALSE)</f>
        <v>no</v>
      </c>
      <c r="AY1196" s="233" t="str">
        <f>VLOOKUP(Table8[[#This Row],[Country Code]],Table29[],10,FALSE)</f>
        <v>no</v>
      </c>
      <c r="AZ1196" s="235">
        <f>VLOOKUP(Table8[[#This Row],[Country Code]],Table29[],23,FALSE)</f>
        <v>1200.1997867973</v>
      </c>
      <c r="BA1196" s="235">
        <f>VLOOKUP(Table8[[#This Row],[Country Code]],Table29[],24,FALSE)</f>
        <v>152.1133830762208</v>
      </c>
      <c r="BB1196" s="320"/>
      <c r="BC1196" s="320"/>
    </row>
    <row r="1197" spans="1:55" ht="30" hidden="1" x14ac:dyDescent="0.25">
      <c r="A1197" s="373">
        <v>22315</v>
      </c>
      <c r="B1197" s="233" t="str">
        <f>VLOOKUP(Table8[[#This Row],[Document ID]],Table1[],2,FALSE)</f>
        <v>IDN</v>
      </c>
      <c r="C1197" s="233" t="str">
        <f>VLOOKUP(Table8[[#This Row],[Document ID]],Table1[],3,FALSE)</f>
        <v>Indonesia</v>
      </c>
      <c r="D1197" s="243" t="str">
        <f>VLOOKUP(Table8[[#This Row],[Document ID]],Table1[],5,FALSE)</f>
        <v>LTS</v>
      </c>
      <c r="E1197" s="233" t="str">
        <f>VLOOKUP(Table8[[#This Row],[Document ID]],Table1[],7,FALSE)</f>
        <v>LTS</v>
      </c>
      <c r="F1197" s="233" t="str">
        <f>VLOOKUP(Table8[[#This Row],[Document ID]],Table1[],8,FALSE)</f>
        <v>LTS 1.0</v>
      </c>
      <c r="G1197" s="233" t="str">
        <f>VLOOKUP(Table8[[#This Row],[Document ID]],Table1[],10,FALSE)</f>
        <v>Active</v>
      </c>
      <c r="H1197" s="43" t="s">
        <v>2343</v>
      </c>
      <c r="I1197" s="43" t="s">
        <v>2344</v>
      </c>
      <c r="J1197" s="44" t="s">
        <v>2345</v>
      </c>
      <c r="K1197" s="44" t="s">
        <v>3465</v>
      </c>
      <c r="L1197" s="44" t="s">
        <v>2471</v>
      </c>
      <c r="M1197" s="43">
        <v>65</v>
      </c>
      <c r="N1197" s="113" t="s">
        <v>1113</v>
      </c>
      <c r="O1197" s="113"/>
      <c r="P1197" s="113"/>
      <c r="Q1197" s="113"/>
      <c r="R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t="s">
        <v>1113</v>
      </c>
      <c r="AL1197" s="113"/>
      <c r="AM1197" s="113"/>
      <c r="AN1197" s="113"/>
      <c r="AO1197" s="43" t="s">
        <v>2348</v>
      </c>
      <c r="AP1197" s="43"/>
      <c r="AQ1197" s="236" t="str">
        <f>VLOOKUP(Table8[[#This Row],[Instrument]],Def_Targets!$D$73:$E$159,2,FALSE)</f>
        <v>S_PublicTransport</v>
      </c>
      <c r="AR1197" s="233" t="str">
        <f>VLOOKUP(Table8[[#This Row],[Country Code]],Table29[],3,FALSE)</f>
        <v>Non-Annex I</v>
      </c>
      <c r="AS1197" s="233" t="str">
        <f>VLOOKUP(Table8[[#This Row],[Country Code]],Table29[],4,FALSE)</f>
        <v>Asia</v>
      </c>
      <c r="AT1197" s="233" t="str">
        <f>VLOOKUP(Table8[[#This Row],[Country Code]],Table29[],5,FALSE)</f>
        <v>Middle-income</v>
      </c>
      <c r="AU1197" s="233" t="str">
        <f>VLOOKUP(Table8[[#This Row],[Country Code]],Table29[],6,FALSE)</f>
        <v>G20</v>
      </c>
      <c r="AV1197" s="233" t="str">
        <f>VLOOKUP(Table8[[#This Row],[Country Code]],Table29[],7,FALSE)</f>
        <v>no</v>
      </c>
      <c r="AW1197" s="233" t="str">
        <f>VLOOKUP(Table8[[#This Row],[Country Code]],Table29[],8,FALSE)</f>
        <v>non-OECD</v>
      </c>
      <c r="AX1197" s="233" t="str">
        <f>VLOOKUP(Table8[[#This Row],[Country Code]],Table29[],9,FALSE)</f>
        <v>no</v>
      </c>
      <c r="AY1197" s="233" t="str">
        <f>VLOOKUP(Table8[[#This Row],[Country Code]],Table29[],10,FALSE)</f>
        <v>no</v>
      </c>
      <c r="AZ1197" s="235">
        <f>VLOOKUP(Table8[[#This Row],[Country Code]],Table29[],23,FALSE)</f>
        <v>1200.1997867973</v>
      </c>
      <c r="BA1197" s="235">
        <f>VLOOKUP(Table8[[#This Row],[Country Code]],Table29[],24,FALSE)</f>
        <v>152.1133830762208</v>
      </c>
      <c r="BB1197" s="320"/>
      <c r="BC1197" s="320"/>
    </row>
    <row r="1198" spans="1:55" ht="30" hidden="1" x14ac:dyDescent="0.25">
      <c r="A1198" s="373">
        <v>22315</v>
      </c>
      <c r="B1198" s="233" t="str">
        <f>VLOOKUP(Table8[[#This Row],[Document ID]],Table1[],2,FALSE)</f>
        <v>IDN</v>
      </c>
      <c r="C1198" s="233" t="str">
        <f>VLOOKUP(Table8[[#This Row],[Document ID]],Table1[],3,FALSE)</f>
        <v>Indonesia</v>
      </c>
      <c r="D1198" s="243" t="str">
        <f>VLOOKUP(Table8[[#This Row],[Document ID]],Table1[],5,FALSE)</f>
        <v>LTS</v>
      </c>
      <c r="E1198" s="233" t="str">
        <f>VLOOKUP(Table8[[#This Row],[Document ID]],Table1[],7,FALSE)</f>
        <v>LTS</v>
      </c>
      <c r="F1198" s="233" t="str">
        <f>VLOOKUP(Table8[[#This Row],[Document ID]],Table1[],8,FALSE)</f>
        <v>LTS 1.0</v>
      </c>
      <c r="G1198" s="233" t="str">
        <f>VLOOKUP(Table8[[#This Row],[Document ID]],Table1[],10,FALSE)</f>
        <v>Active</v>
      </c>
      <c r="H1198" s="43" t="s">
        <v>2358</v>
      </c>
      <c r="I1198" s="43" t="s">
        <v>2359</v>
      </c>
      <c r="J1198" s="44" t="s">
        <v>2360</v>
      </c>
      <c r="K1198" s="44" t="s">
        <v>3465</v>
      </c>
      <c r="L1198" s="44" t="s">
        <v>2333</v>
      </c>
      <c r="M1198" s="43">
        <v>65</v>
      </c>
      <c r="N1198" s="113" t="s">
        <v>1113</v>
      </c>
      <c r="O1198" s="113"/>
      <c r="P1198" s="113"/>
      <c r="Q1198" s="113"/>
      <c r="R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t="s">
        <v>1113</v>
      </c>
      <c r="AL1198" s="113"/>
      <c r="AM1198" s="113"/>
      <c r="AN1198" s="113"/>
      <c r="AO1198" s="44" t="s">
        <v>2334</v>
      </c>
      <c r="AP1198" s="43"/>
      <c r="AQ1198" s="236" t="str">
        <f>VLOOKUP(Table8[[#This Row],[Instrument]],Def_Targets!$D$73:$E$159,2,FALSE)</f>
        <v>I_Emobility</v>
      </c>
      <c r="AR1198" s="233" t="str">
        <f>VLOOKUP(Table8[[#This Row],[Country Code]],Table29[],3,FALSE)</f>
        <v>Non-Annex I</v>
      </c>
      <c r="AS1198" s="233" t="str">
        <f>VLOOKUP(Table8[[#This Row],[Country Code]],Table29[],4,FALSE)</f>
        <v>Asia</v>
      </c>
      <c r="AT1198" s="233" t="str">
        <f>VLOOKUP(Table8[[#This Row],[Country Code]],Table29[],5,FALSE)</f>
        <v>Middle-income</v>
      </c>
      <c r="AU1198" s="233" t="str">
        <f>VLOOKUP(Table8[[#This Row],[Country Code]],Table29[],6,FALSE)</f>
        <v>G20</v>
      </c>
      <c r="AV1198" s="233" t="str">
        <f>VLOOKUP(Table8[[#This Row],[Country Code]],Table29[],7,FALSE)</f>
        <v>no</v>
      </c>
      <c r="AW1198" s="233" t="str">
        <f>VLOOKUP(Table8[[#This Row],[Country Code]],Table29[],8,FALSE)</f>
        <v>non-OECD</v>
      </c>
      <c r="AX1198" s="233" t="str">
        <f>VLOOKUP(Table8[[#This Row],[Country Code]],Table29[],9,FALSE)</f>
        <v>no</v>
      </c>
      <c r="AY1198" s="233" t="str">
        <f>VLOOKUP(Table8[[#This Row],[Country Code]],Table29[],10,FALSE)</f>
        <v>no</v>
      </c>
      <c r="AZ1198" s="235">
        <f>VLOOKUP(Table8[[#This Row],[Country Code]],Table29[],23,FALSE)</f>
        <v>1200.1997867973</v>
      </c>
      <c r="BA1198" s="235">
        <f>VLOOKUP(Table8[[#This Row],[Country Code]],Table29[],24,FALSE)</f>
        <v>152.1133830762208</v>
      </c>
      <c r="BB1198" s="320"/>
      <c r="BC1198" s="320"/>
    </row>
    <row r="1199" spans="1:55" ht="45" hidden="1" x14ac:dyDescent="0.25">
      <c r="A1199" s="373">
        <v>22315</v>
      </c>
      <c r="B1199" s="233" t="str">
        <f>VLOOKUP(Table8[[#This Row],[Document ID]],Table1[],2,FALSE)</f>
        <v>IDN</v>
      </c>
      <c r="C1199" s="233" t="str">
        <f>VLOOKUP(Table8[[#This Row],[Document ID]],Table1[],3,FALSE)</f>
        <v>Indonesia</v>
      </c>
      <c r="D1199" s="243" t="str">
        <f>VLOOKUP(Table8[[#This Row],[Document ID]],Table1[],5,FALSE)</f>
        <v>LTS</v>
      </c>
      <c r="E1199" s="233" t="str">
        <f>VLOOKUP(Table8[[#This Row],[Document ID]],Table1[],7,FALSE)</f>
        <v>LTS</v>
      </c>
      <c r="F1199" s="233" t="str">
        <f>VLOOKUP(Table8[[#This Row],[Document ID]],Table1[],8,FALSE)</f>
        <v>LTS 1.0</v>
      </c>
      <c r="G1199" s="233" t="str">
        <f>VLOOKUP(Table8[[#This Row],[Document ID]],Table1[],10,FALSE)</f>
        <v>Active</v>
      </c>
      <c r="H1199" s="44" t="s">
        <v>2329</v>
      </c>
      <c r="I1199" s="44" t="s">
        <v>2330</v>
      </c>
      <c r="J1199" s="44" t="s">
        <v>2381</v>
      </c>
      <c r="K1199" s="44" t="s">
        <v>3466</v>
      </c>
      <c r="L1199" s="44" t="s">
        <v>2333</v>
      </c>
      <c r="M1199" s="43">
        <v>66</v>
      </c>
      <c r="N1199" s="113" t="s">
        <v>1113</v>
      </c>
      <c r="O1199" s="113"/>
      <c r="P1199" s="113"/>
      <c r="Q1199" s="113"/>
      <c r="R1199" s="113"/>
      <c r="S1199" s="113"/>
      <c r="T1199" s="113"/>
      <c r="U1199" s="113"/>
      <c r="V1199" s="113"/>
      <c r="W1199" s="113"/>
      <c r="X1199" s="113"/>
      <c r="Y1199" s="113"/>
      <c r="Z1199" s="113"/>
      <c r="AA1199" s="113"/>
      <c r="AB1199" s="113"/>
      <c r="AC1199" s="113"/>
      <c r="AD1199" s="113"/>
      <c r="AE1199" s="113"/>
      <c r="AF1199" s="113"/>
      <c r="AG1199" s="113"/>
      <c r="AH1199" s="113"/>
      <c r="AI1199" s="113"/>
      <c r="AJ1199" s="113"/>
      <c r="AK1199" s="113" t="s">
        <v>1113</v>
      </c>
      <c r="AL1199" s="113"/>
      <c r="AM1199" s="113"/>
      <c r="AN1199" s="113"/>
      <c r="AO1199" s="44" t="s">
        <v>2334</v>
      </c>
      <c r="AP1199" s="43"/>
      <c r="AQ1199" s="236" t="str">
        <f>VLOOKUP(Table8[[#This Row],[Instrument]],Def_Targets!$D$73:$E$159,2,FALSE)</f>
        <v>I_RE</v>
      </c>
      <c r="AR1199" s="233" t="str">
        <f>VLOOKUP(Table8[[#This Row],[Country Code]],Table29[],3,FALSE)</f>
        <v>Non-Annex I</v>
      </c>
      <c r="AS1199" s="233" t="str">
        <f>VLOOKUP(Table8[[#This Row],[Country Code]],Table29[],4,FALSE)</f>
        <v>Asia</v>
      </c>
      <c r="AT1199" s="233" t="str">
        <f>VLOOKUP(Table8[[#This Row],[Country Code]],Table29[],5,FALSE)</f>
        <v>Middle-income</v>
      </c>
      <c r="AU1199" s="233" t="str">
        <f>VLOOKUP(Table8[[#This Row],[Country Code]],Table29[],6,FALSE)</f>
        <v>G20</v>
      </c>
      <c r="AV1199" s="233" t="str">
        <f>VLOOKUP(Table8[[#This Row],[Country Code]],Table29[],7,FALSE)</f>
        <v>no</v>
      </c>
      <c r="AW1199" s="233" t="str">
        <f>VLOOKUP(Table8[[#This Row],[Country Code]],Table29[],8,FALSE)</f>
        <v>non-OECD</v>
      </c>
      <c r="AX1199" s="233" t="str">
        <f>VLOOKUP(Table8[[#This Row],[Country Code]],Table29[],9,FALSE)</f>
        <v>no</v>
      </c>
      <c r="AY1199" s="233" t="str">
        <f>VLOOKUP(Table8[[#This Row],[Country Code]],Table29[],10,FALSE)</f>
        <v>no</v>
      </c>
      <c r="AZ1199" s="235">
        <f>VLOOKUP(Table8[[#This Row],[Country Code]],Table29[],23,FALSE)</f>
        <v>1200.1997867973</v>
      </c>
      <c r="BA1199" s="235">
        <f>VLOOKUP(Table8[[#This Row],[Country Code]],Table29[],24,FALSE)</f>
        <v>152.1133830762208</v>
      </c>
      <c r="BB1199" s="320"/>
      <c r="BC1199" s="320"/>
    </row>
    <row r="1200" spans="1:55" ht="30" hidden="1" x14ac:dyDescent="0.25">
      <c r="A1200" s="360">
        <v>39445</v>
      </c>
      <c r="B1200" s="233" t="str">
        <f>VLOOKUP(Table8[[#This Row],[Document ID]],Table1[],2,FALSE)</f>
        <v>IRL</v>
      </c>
      <c r="C1200" s="233" t="str">
        <f>VLOOKUP(Table8[[#This Row],[Document ID]],Table1[],3,FALSE)</f>
        <v>Ireland</v>
      </c>
      <c r="D1200" s="233" t="str">
        <f>VLOOKUP(Table8[[#This Row],[Document ID]],Table1[],5,FALSE)</f>
        <v>LTS</v>
      </c>
      <c r="E1200" s="233" t="str">
        <f>VLOOKUP(Table8[[#This Row],[Document ID]],Table1[],7,FALSE)</f>
        <v>EU-LTS</v>
      </c>
      <c r="F1200" s="233" t="str">
        <f>VLOOKUP(Table8[[#This Row],[Document ID]],Table1[],8,FALSE)</f>
        <v>LTS 1.0</v>
      </c>
      <c r="G1200" s="233" t="str">
        <f>VLOOKUP(Table8[[#This Row],[Document ID]],Table1[],10,FALSE)</f>
        <v>Archived</v>
      </c>
      <c r="H1200" s="43" t="s">
        <v>2358</v>
      </c>
      <c r="I1200" s="43" t="s">
        <v>2359</v>
      </c>
      <c r="J1200" s="44" t="s">
        <v>2360</v>
      </c>
      <c r="K1200" s="44" t="s">
        <v>3467</v>
      </c>
      <c r="L1200" s="44" t="s">
        <v>2333</v>
      </c>
      <c r="M1200" s="43">
        <v>63</v>
      </c>
      <c r="N1200" s="113"/>
      <c r="O1200" s="113"/>
      <c r="P1200" s="113"/>
      <c r="Q1200" s="113"/>
      <c r="R1200" s="113"/>
      <c r="S1200" s="113"/>
      <c r="T1200" s="113"/>
      <c r="U1200" s="113" t="s">
        <v>1113</v>
      </c>
      <c r="V1200" s="113"/>
      <c r="W1200" s="113"/>
      <c r="X1200" s="113" t="s">
        <v>1113</v>
      </c>
      <c r="Y1200" s="113" t="s">
        <v>1113</v>
      </c>
      <c r="Z1200" s="113"/>
      <c r="AA1200" s="113"/>
      <c r="AB1200" s="113"/>
      <c r="AC1200" s="113"/>
      <c r="AD1200" s="113"/>
      <c r="AE1200" s="113"/>
      <c r="AF1200" s="113"/>
      <c r="AG1200" s="113"/>
      <c r="AH1200" s="113"/>
      <c r="AI1200" s="113"/>
      <c r="AJ1200" s="113"/>
      <c r="AK1200" s="113" t="s">
        <v>1113</v>
      </c>
      <c r="AL1200" s="113"/>
      <c r="AM1200" s="113"/>
      <c r="AN1200" s="113"/>
      <c r="AO1200" s="43" t="s">
        <v>2477</v>
      </c>
      <c r="AP1200" s="43"/>
      <c r="AQ1200" s="236" t="str">
        <f>VLOOKUP(Table8[[#This Row],[Instrument]],Def_Targets!$D$73:$E$159,2,FALSE)</f>
        <v>I_Emobility</v>
      </c>
      <c r="AR1200" s="233" t="str">
        <f>VLOOKUP(Table8[[#This Row],[Country Code]],Table29[],3,FALSE)</f>
        <v>Annex I</v>
      </c>
      <c r="AS1200" s="233" t="str">
        <f>VLOOKUP(Table8[[#This Row],[Country Code]],Table29[],4,FALSE)</f>
        <v>Europe</v>
      </c>
      <c r="AT1200" s="233" t="str">
        <f>VLOOKUP(Table8[[#This Row],[Country Code]],Table29[],5,FALSE)</f>
        <v>High-income</v>
      </c>
      <c r="AU1200" s="233" t="str">
        <f>VLOOKUP(Table8[[#This Row],[Country Code]],Table29[],6,FALSE)</f>
        <v>no</v>
      </c>
      <c r="AV1200" s="233" t="str">
        <f>VLOOKUP(Table8[[#This Row],[Country Code]],Table29[],7,FALSE)</f>
        <v>no</v>
      </c>
      <c r="AW1200" s="233" t="str">
        <f>VLOOKUP(Table8[[#This Row],[Country Code]],Table29[],8,FALSE)</f>
        <v>OECD</v>
      </c>
      <c r="AX1200" s="233" t="str">
        <f>VLOOKUP(Table8[[#This Row],[Country Code]],Table29[],9,FALSE)</f>
        <v>EU27</v>
      </c>
      <c r="AY1200" s="233" t="str">
        <f>VLOOKUP(Table8[[#This Row],[Country Code]],Table29[],10,FALSE)</f>
        <v>no</v>
      </c>
      <c r="AZ1200" s="235">
        <f>VLOOKUP(Table8[[#This Row],[Country Code]],Table29[],23,FALSE)</f>
        <v>57.853266947361</v>
      </c>
      <c r="BA1200" s="235">
        <f>VLOOKUP(Table8[[#This Row],[Country Code]],Table29[],24,FALSE)</f>
        <v>11.23875075000765</v>
      </c>
      <c r="BB1200" s="320" t="s">
        <v>3133</v>
      </c>
      <c r="BC1200" s="320"/>
    </row>
    <row r="1201" spans="1:55" ht="30" hidden="1" x14ac:dyDescent="0.25">
      <c r="A1201" s="360">
        <v>39445</v>
      </c>
      <c r="B1201" s="233" t="str">
        <f>VLOOKUP(Table8[[#This Row],[Document ID]],Table1[],2,FALSE)</f>
        <v>IRL</v>
      </c>
      <c r="C1201" s="233" t="str">
        <f>VLOOKUP(Table8[[#This Row],[Document ID]],Table1[],3,FALSE)</f>
        <v>Ireland</v>
      </c>
      <c r="D1201" s="233" t="str">
        <f>VLOOKUP(Table8[[#This Row],[Document ID]],Table1[],5,FALSE)</f>
        <v>LTS</v>
      </c>
      <c r="E1201" s="233" t="str">
        <f>VLOOKUP(Table8[[#This Row],[Document ID]],Table1[],7,FALSE)</f>
        <v>EU-LTS</v>
      </c>
      <c r="F1201" s="233" t="str">
        <f>VLOOKUP(Table8[[#This Row],[Document ID]],Table1[],8,FALSE)</f>
        <v>LTS 1.0</v>
      </c>
      <c r="G1201" s="233" t="str">
        <f>VLOOKUP(Table8[[#This Row],[Document ID]],Table1[],10,FALSE)</f>
        <v>Archived</v>
      </c>
      <c r="H1201" s="44" t="s">
        <v>2329</v>
      </c>
      <c r="I1201" s="44" t="s">
        <v>2330</v>
      </c>
      <c r="J1201" s="44" t="s">
        <v>2331</v>
      </c>
      <c r="K1201" s="44" t="s">
        <v>3468</v>
      </c>
      <c r="L1201" s="44" t="s">
        <v>2333</v>
      </c>
      <c r="M1201" s="43">
        <v>64</v>
      </c>
      <c r="N1201" s="113"/>
      <c r="O1201" s="113"/>
      <c r="P1201" s="113"/>
      <c r="Q1201" s="113"/>
      <c r="R1201" s="113"/>
      <c r="S1201" s="113"/>
      <c r="T1201" s="113"/>
      <c r="U1201" s="113"/>
      <c r="V1201" s="113"/>
      <c r="W1201" s="113"/>
      <c r="X1201" s="113" t="s">
        <v>1113</v>
      </c>
      <c r="Y1201" s="113"/>
      <c r="Z1201" s="113"/>
      <c r="AA1201" s="113"/>
      <c r="AB1201" s="113"/>
      <c r="AC1201" s="113"/>
      <c r="AD1201" s="113"/>
      <c r="AE1201" s="113"/>
      <c r="AF1201" s="113"/>
      <c r="AG1201" s="113"/>
      <c r="AH1201" s="113"/>
      <c r="AI1201" s="113"/>
      <c r="AJ1201" s="113"/>
      <c r="AK1201" s="113" t="s">
        <v>1113</v>
      </c>
      <c r="AL1201" s="113"/>
      <c r="AM1201" s="113"/>
      <c r="AN1201" s="113"/>
      <c r="AO1201" s="43" t="s">
        <v>2353</v>
      </c>
      <c r="AP1201" s="43"/>
      <c r="AQ1201" s="236" t="str">
        <f>VLOOKUP(Table8[[#This Row],[Instrument]],Def_Targets!$D$73:$E$159,2,FALSE)</f>
        <v>I_Altfuels</v>
      </c>
      <c r="AR1201" s="233" t="str">
        <f>VLOOKUP(Table8[[#This Row],[Country Code]],Table29[],3,FALSE)</f>
        <v>Annex I</v>
      </c>
      <c r="AS1201" s="233" t="str">
        <f>VLOOKUP(Table8[[#This Row],[Country Code]],Table29[],4,FALSE)</f>
        <v>Europe</v>
      </c>
      <c r="AT1201" s="233" t="str">
        <f>VLOOKUP(Table8[[#This Row],[Country Code]],Table29[],5,FALSE)</f>
        <v>High-income</v>
      </c>
      <c r="AU1201" s="233" t="str">
        <f>VLOOKUP(Table8[[#This Row],[Country Code]],Table29[],6,FALSE)</f>
        <v>no</v>
      </c>
      <c r="AV1201" s="233" t="str">
        <f>VLOOKUP(Table8[[#This Row],[Country Code]],Table29[],7,FALSE)</f>
        <v>no</v>
      </c>
      <c r="AW1201" s="233" t="str">
        <f>VLOOKUP(Table8[[#This Row],[Country Code]],Table29[],8,FALSE)</f>
        <v>OECD</v>
      </c>
      <c r="AX1201" s="233" t="str">
        <f>VLOOKUP(Table8[[#This Row],[Country Code]],Table29[],9,FALSE)</f>
        <v>EU27</v>
      </c>
      <c r="AY1201" s="233" t="str">
        <f>VLOOKUP(Table8[[#This Row],[Country Code]],Table29[],10,FALSE)</f>
        <v>no</v>
      </c>
      <c r="AZ1201" s="235">
        <f>VLOOKUP(Table8[[#This Row],[Country Code]],Table29[],23,FALSE)</f>
        <v>57.853266947361</v>
      </c>
      <c r="BA1201" s="235">
        <f>VLOOKUP(Table8[[#This Row],[Country Code]],Table29[],24,FALSE)</f>
        <v>11.23875075000765</v>
      </c>
      <c r="BB1201" s="320" t="s">
        <v>3133</v>
      </c>
      <c r="BC1201" s="320"/>
    </row>
    <row r="1202" spans="1:55" ht="30" hidden="1" x14ac:dyDescent="0.25">
      <c r="A1202" s="360">
        <v>39445</v>
      </c>
      <c r="B1202" s="233" t="str">
        <f>VLOOKUP(Table8[[#This Row],[Document ID]],Table1[],2,FALSE)</f>
        <v>IRL</v>
      </c>
      <c r="C1202" s="233" t="str">
        <f>VLOOKUP(Table8[[#This Row],[Document ID]],Table1[],3,FALSE)</f>
        <v>Ireland</v>
      </c>
      <c r="D1202" s="233" t="str">
        <f>VLOOKUP(Table8[[#This Row],[Document ID]],Table1[],5,FALSE)</f>
        <v>LTS</v>
      </c>
      <c r="E1202" s="233" t="str">
        <f>VLOOKUP(Table8[[#This Row],[Document ID]],Table1[],7,FALSE)</f>
        <v>EU-LTS</v>
      </c>
      <c r="F1202" s="233" t="str">
        <f>VLOOKUP(Table8[[#This Row],[Document ID]],Table1[],8,FALSE)</f>
        <v>LTS 1.0</v>
      </c>
      <c r="G1202" s="233" t="str">
        <f>VLOOKUP(Table8[[#This Row],[Document ID]],Table1[],10,FALSE)</f>
        <v>Archived</v>
      </c>
      <c r="H1202" s="44" t="s">
        <v>2329</v>
      </c>
      <c r="I1202" s="44" t="s">
        <v>2330</v>
      </c>
      <c r="J1202" s="44" t="s">
        <v>2331</v>
      </c>
      <c r="K1202" s="44" t="s">
        <v>3469</v>
      </c>
      <c r="L1202" s="44" t="s">
        <v>2333</v>
      </c>
      <c r="M1202" s="43">
        <v>64</v>
      </c>
      <c r="N1202" s="113"/>
      <c r="O1202" s="113"/>
      <c r="P1202" s="113"/>
      <c r="Q1202" s="113"/>
      <c r="R1202" s="113"/>
      <c r="S1202" s="113"/>
      <c r="T1202" s="113"/>
      <c r="U1202" s="113"/>
      <c r="V1202" s="113"/>
      <c r="W1202" s="113"/>
      <c r="X1202" s="113"/>
      <c r="Y1202" s="113"/>
      <c r="Z1202" s="113" t="s">
        <v>1113</v>
      </c>
      <c r="AA1202" s="113"/>
      <c r="AB1202" s="113"/>
      <c r="AC1202" s="113"/>
      <c r="AD1202" s="113" t="s">
        <v>1113</v>
      </c>
      <c r="AE1202" s="113"/>
      <c r="AF1202" s="113"/>
      <c r="AG1202" s="113"/>
      <c r="AH1202" s="113" t="s">
        <v>1113</v>
      </c>
      <c r="AI1202" s="113"/>
      <c r="AJ1202" s="113"/>
      <c r="AK1202" s="113" t="s">
        <v>1113</v>
      </c>
      <c r="AL1202" s="113"/>
      <c r="AM1202" s="113"/>
      <c r="AN1202" s="113"/>
      <c r="AO1202" s="44" t="s">
        <v>2334</v>
      </c>
      <c r="AP1202" s="43"/>
      <c r="AQ1202" s="236" t="str">
        <f>VLOOKUP(Table8[[#This Row],[Instrument]],Def_Targets!$D$73:$E$159,2,FALSE)</f>
        <v>I_Altfuels</v>
      </c>
      <c r="AR1202" s="233" t="str">
        <f>VLOOKUP(Table8[[#This Row],[Country Code]],Table29[],3,FALSE)</f>
        <v>Annex I</v>
      </c>
      <c r="AS1202" s="233" t="str">
        <f>VLOOKUP(Table8[[#This Row],[Country Code]],Table29[],4,FALSE)</f>
        <v>Europe</v>
      </c>
      <c r="AT1202" s="233" t="str">
        <f>VLOOKUP(Table8[[#This Row],[Country Code]],Table29[],5,FALSE)</f>
        <v>High-income</v>
      </c>
      <c r="AU1202" s="233" t="str">
        <f>VLOOKUP(Table8[[#This Row],[Country Code]],Table29[],6,FALSE)</f>
        <v>no</v>
      </c>
      <c r="AV1202" s="233" t="str">
        <f>VLOOKUP(Table8[[#This Row],[Country Code]],Table29[],7,FALSE)</f>
        <v>no</v>
      </c>
      <c r="AW1202" s="233" t="str">
        <f>VLOOKUP(Table8[[#This Row],[Country Code]],Table29[],8,FALSE)</f>
        <v>OECD</v>
      </c>
      <c r="AX1202" s="233" t="str">
        <f>VLOOKUP(Table8[[#This Row],[Country Code]],Table29[],9,FALSE)</f>
        <v>EU27</v>
      </c>
      <c r="AY1202" s="233" t="str">
        <f>VLOOKUP(Table8[[#This Row],[Country Code]],Table29[],10,FALSE)</f>
        <v>no</v>
      </c>
      <c r="AZ1202" s="235">
        <f>VLOOKUP(Table8[[#This Row],[Country Code]],Table29[],23,FALSE)</f>
        <v>57.853266947361</v>
      </c>
      <c r="BA1202" s="235">
        <f>VLOOKUP(Table8[[#This Row],[Country Code]],Table29[],24,FALSE)</f>
        <v>11.23875075000765</v>
      </c>
      <c r="BB1202" s="320" t="s">
        <v>3133</v>
      </c>
      <c r="BC1202" s="320"/>
    </row>
    <row r="1203" spans="1:55" ht="30" hidden="1" x14ac:dyDescent="0.25">
      <c r="A1203" s="360">
        <v>39445</v>
      </c>
      <c r="B1203" s="233" t="str">
        <f>VLOOKUP(Table8[[#This Row],[Document ID]],Table1[],2,FALSE)</f>
        <v>IRL</v>
      </c>
      <c r="C1203" s="233" t="str">
        <f>VLOOKUP(Table8[[#This Row],[Document ID]],Table1[],3,FALSE)</f>
        <v>Ireland</v>
      </c>
      <c r="D1203" s="233" t="str">
        <f>VLOOKUP(Table8[[#This Row],[Document ID]],Table1[],5,FALSE)</f>
        <v>LTS</v>
      </c>
      <c r="E1203" s="233" t="str">
        <f>VLOOKUP(Table8[[#This Row],[Document ID]],Table1[],7,FALSE)</f>
        <v>EU-LTS</v>
      </c>
      <c r="F1203" s="233" t="str">
        <f>VLOOKUP(Table8[[#This Row],[Document ID]],Table1[],8,FALSE)</f>
        <v>LTS 1.0</v>
      </c>
      <c r="G1203" s="233" t="str">
        <f>VLOOKUP(Table8[[#This Row],[Document ID]],Table1[],10,FALSE)</f>
        <v>Archived</v>
      </c>
      <c r="H1203" s="44" t="s">
        <v>2329</v>
      </c>
      <c r="I1203" s="44" t="s">
        <v>2330</v>
      </c>
      <c r="J1203" s="44" t="s">
        <v>2357</v>
      </c>
      <c r="K1203" s="44" t="s">
        <v>3470</v>
      </c>
      <c r="L1203" s="44" t="s">
        <v>2333</v>
      </c>
      <c r="M1203" s="43">
        <v>64</v>
      </c>
      <c r="N1203" s="113" t="s">
        <v>1113</v>
      </c>
      <c r="O1203" s="113"/>
      <c r="P1203" s="113"/>
      <c r="Q1203" s="113"/>
      <c r="R1203" s="113"/>
      <c r="S1203" s="113"/>
      <c r="T1203" s="113"/>
      <c r="U1203" s="113"/>
      <c r="V1203" s="113"/>
      <c r="W1203" s="113"/>
      <c r="X1203" s="113"/>
      <c r="Y1203" s="113"/>
      <c r="Z1203" s="113"/>
      <c r="AA1203" s="113"/>
      <c r="AB1203" s="113"/>
      <c r="AC1203" s="113"/>
      <c r="AD1203" s="113"/>
      <c r="AE1203" s="113"/>
      <c r="AF1203" s="113"/>
      <c r="AG1203" s="113"/>
      <c r="AH1203" s="113"/>
      <c r="AI1203" s="113"/>
      <c r="AJ1203" s="113"/>
      <c r="AK1203" s="113" t="s">
        <v>1113</v>
      </c>
      <c r="AL1203" s="113"/>
      <c r="AM1203" s="113"/>
      <c r="AN1203" s="113"/>
      <c r="AO1203" s="44" t="s">
        <v>2334</v>
      </c>
      <c r="AP1203" s="43"/>
      <c r="AQ1203" s="236" t="str">
        <f>VLOOKUP(Table8[[#This Row],[Instrument]],Def_Targets!$D$73:$E$159,2,FALSE)</f>
        <v>I_Biofuel</v>
      </c>
      <c r="AR1203" s="233" t="str">
        <f>VLOOKUP(Table8[[#This Row],[Country Code]],Table29[],3,FALSE)</f>
        <v>Annex I</v>
      </c>
      <c r="AS1203" s="233" t="str">
        <f>VLOOKUP(Table8[[#This Row],[Country Code]],Table29[],4,FALSE)</f>
        <v>Europe</v>
      </c>
      <c r="AT1203" s="233" t="str">
        <f>VLOOKUP(Table8[[#This Row],[Country Code]],Table29[],5,FALSE)</f>
        <v>High-income</v>
      </c>
      <c r="AU1203" s="233" t="str">
        <f>VLOOKUP(Table8[[#This Row],[Country Code]],Table29[],6,FALSE)</f>
        <v>no</v>
      </c>
      <c r="AV1203" s="233" t="str">
        <f>VLOOKUP(Table8[[#This Row],[Country Code]],Table29[],7,FALSE)</f>
        <v>no</v>
      </c>
      <c r="AW1203" s="233" t="str">
        <f>VLOOKUP(Table8[[#This Row],[Country Code]],Table29[],8,FALSE)</f>
        <v>OECD</v>
      </c>
      <c r="AX1203" s="233" t="str">
        <f>VLOOKUP(Table8[[#This Row],[Country Code]],Table29[],9,FALSE)</f>
        <v>EU27</v>
      </c>
      <c r="AY1203" s="233" t="str">
        <f>VLOOKUP(Table8[[#This Row],[Country Code]],Table29[],10,FALSE)</f>
        <v>no</v>
      </c>
      <c r="AZ1203" s="235">
        <f>VLOOKUP(Table8[[#This Row],[Country Code]],Table29[],23,FALSE)</f>
        <v>57.853266947361</v>
      </c>
      <c r="BA1203" s="235">
        <f>VLOOKUP(Table8[[#This Row],[Country Code]],Table29[],24,FALSE)</f>
        <v>11.23875075000765</v>
      </c>
      <c r="BB1203" s="320" t="s">
        <v>3133</v>
      </c>
      <c r="BC1203" s="320"/>
    </row>
    <row r="1204" spans="1:55" ht="45" hidden="1" x14ac:dyDescent="0.25">
      <c r="A1204" s="360">
        <v>39445</v>
      </c>
      <c r="B1204" s="233" t="str">
        <f>VLOOKUP(Table8[[#This Row],[Document ID]],Table1[],2,FALSE)</f>
        <v>IRL</v>
      </c>
      <c r="C1204" s="233" t="str">
        <f>VLOOKUP(Table8[[#This Row],[Document ID]],Table1[],3,FALSE)</f>
        <v>Ireland</v>
      </c>
      <c r="D1204" s="233" t="str">
        <f>VLOOKUP(Table8[[#This Row],[Document ID]],Table1[],5,FALSE)</f>
        <v>LTS</v>
      </c>
      <c r="E1204" s="233" t="str">
        <f>VLOOKUP(Table8[[#This Row],[Document ID]],Table1[],7,FALSE)</f>
        <v>EU-LTS</v>
      </c>
      <c r="F1204" s="233" t="str">
        <f>VLOOKUP(Table8[[#This Row],[Document ID]],Table1[],8,FALSE)</f>
        <v>LTS 1.0</v>
      </c>
      <c r="G1204" s="233" t="str">
        <f>VLOOKUP(Table8[[#This Row],[Document ID]],Table1[],10,FALSE)</f>
        <v>Archived</v>
      </c>
      <c r="H1204" s="43" t="s">
        <v>2343</v>
      </c>
      <c r="I1204" s="43" t="s">
        <v>2377</v>
      </c>
      <c r="J1204" s="44" t="s">
        <v>2394</v>
      </c>
      <c r="K1204" s="44" t="s">
        <v>3471</v>
      </c>
      <c r="L1204" s="44" t="s">
        <v>2380</v>
      </c>
      <c r="M1204" s="43">
        <v>64</v>
      </c>
      <c r="N1204" s="113" t="s">
        <v>1113</v>
      </c>
      <c r="O1204" s="113"/>
      <c r="P1204" s="113"/>
      <c r="Q1204" s="113"/>
      <c r="R1204" s="113"/>
      <c r="S1204" s="113"/>
      <c r="T1204" s="113"/>
      <c r="U1204" s="113"/>
      <c r="V1204" s="113"/>
      <c r="W1204" s="113"/>
      <c r="X1204" s="113"/>
      <c r="Y1204" s="113"/>
      <c r="Z1204" s="113"/>
      <c r="AA1204" s="113"/>
      <c r="AB1204" s="113"/>
      <c r="AC1204" s="113"/>
      <c r="AD1204" s="113"/>
      <c r="AE1204" s="113"/>
      <c r="AF1204" s="113"/>
      <c r="AG1204" s="113"/>
      <c r="AH1204" s="113"/>
      <c r="AI1204" s="113"/>
      <c r="AJ1204" s="113"/>
      <c r="AK1204" s="113"/>
      <c r="AL1204" s="113" t="s">
        <v>1113</v>
      </c>
      <c r="AM1204" s="113"/>
      <c r="AN1204" s="113"/>
      <c r="AO1204" s="43" t="s">
        <v>2348</v>
      </c>
      <c r="AP1204" s="43"/>
      <c r="AQ1204" s="236" t="str">
        <f>VLOOKUP(Table8[[#This Row],[Instrument]],Def_Targets!$D$73:$E$159,2,FALSE)</f>
        <v>A_TDM</v>
      </c>
      <c r="AR1204" s="233" t="str">
        <f>VLOOKUP(Table8[[#This Row],[Country Code]],Table29[],3,FALSE)</f>
        <v>Annex I</v>
      </c>
      <c r="AS1204" s="233" t="str">
        <f>VLOOKUP(Table8[[#This Row],[Country Code]],Table29[],4,FALSE)</f>
        <v>Europe</v>
      </c>
      <c r="AT1204" s="233" t="str">
        <f>VLOOKUP(Table8[[#This Row],[Country Code]],Table29[],5,FALSE)</f>
        <v>High-income</v>
      </c>
      <c r="AU1204" s="233" t="str">
        <f>VLOOKUP(Table8[[#This Row],[Country Code]],Table29[],6,FALSE)</f>
        <v>no</v>
      </c>
      <c r="AV1204" s="233" t="str">
        <f>VLOOKUP(Table8[[#This Row],[Country Code]],Table29[],7,FALSE)</f>
        <v>no</v>
      </c>
      <c r="AW1204" s="233" t="str">
        <f>VLOOKUP(Table8[[#This Row],[Country Code]],Table29[],8,FALSE)</f>
        <v>OECD</v>
      </c>
      <c r="AX1204" s="233" t="str">
        <f>VLOOKUP(Table8[[#This Row],[Country Code]],Table29[],9,FALSE)</f>
        <v>EU27</v>
      </c>
      <c r="AY1204" s="233" t="str">
        <f>VLOOKUP(Table8[[#This Row],[Country Code]],Table29[],10,FALSE)</f>
        <v>no</v>
      </c>
      <c r="AZ1204" s="235">
        <f>VLOOKUP(Table8[[#This Row],[Country Code]],Table29[],23,FALSE)</f>
        <v>57.853266947361</v>
      </c>
      <c r="BA1204" s="235">
        <f>VLOOKUP(Table8[[#This Row],[Country Code]],Table29[],24,FALSE)</f>
        <v>11.23875075000765</v>
      </c>
      <c r="BB1204" s="320" t="s">
        <v>3133</v>
      </c>
      <c r="BC1204" s="320"/>
    </row>
    <row r="1205" spans="1:55" hidden="1" x14ac:dyDescent="0.25">
      <c r="A1205" s="360">
        <v>39445</v>
      </c>
      <c r="B1205" s="233" t="str">
        <f>VLOOKUP(Table8[[#This Row],[Document ID]],Table1[],2,FALSE)</f>
        <v>IRL</v>
      </c>
      <c r="C1205" s="233" t="str">
        <f>VLOOKUP(Table8[[#This Row],[Document ID]],Table1[],3,FALSE)</f>
        <v>Ireland</v>
      </c>
      <c r="D1205" s="233" t="str">
        <f>VLOOKUP(Table8[[#This Row],[Document ID]],Table1[],5,FALSE)</f>
        <v>LTS</v>
      </c>
      <c r="E1205" s="233" t="str">
        <f>VLOOKUP(Table8[[#This Row],[Document ID]],Table1[],7,FALSE)</f>
        <v>EU-LTS</v>
      </c>
      <c r="F1205" s="233" t="str">
        <f>VLOOKUP(Table8[[#This Row],[Document ID]],Table1[],8,FALSE)</f>
        <v>LTS 1.0</v>
      </c>
      <c r="G1205" s="233" t="str">
        <f>VLOOKUP(Table8[[#This Row],[Document ID]],Table1[],10,FALSE)</f>
        <v>Archived</v>
      </c>
      <c r="H1205" s="43" t="s">
        <v>2343</v>
      </c>
      <c r="I1205" s="43" t="s">
        <v>2361</v>
      </c>
      <c r="J1205" s="44" t="s">
        <v>2366</v>
      </c>
      <c r="K1205" s="44" t="s">
        <v>3472</v>
      </c>
      <c r="L1205" s="44" t="s">
        <v>2347</v>
      </c>
      <c r="M1205" s="43">
        <v>64</v>
      </c>
      <c r="N1205" s="113"/>
      <c r="O1205" s="113"/>
      <c r="P1205" s="113" t="s">
        <v>1113</v>
      </c>
      <c r="Q1205" s="113"/>
      <c r="R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t="s">
        <v>1113</v>
      </c>
      <c r="AL1205" s="113"/>
      <c r="AM1205" s="113"/>
      <c r="AN1205" s="113"/>
      <c r="AO1205" s="44" t="s">
        <v>2334</v>
      </c>
      <c r="AP1205" s="43"/>
      <c r="AQ1205" s="236" t="str">
        <f>VLOOKUP(Table8[[#This Row],[Instrument]],Def_Targets!$D$73:$E$159,2,FALSE)</f>
        <v>S_Activemobility</v>
      </c>
      <c r="AR1205" s="233" t="str">
        <f>VLOOKUP(Table8[[#This Row],[Country Code]],Table29[],3,FALSE)</f>
        <v>Annex I</v>
      </c>
      <c r="AS1205" s="233" t="str">
        <f>VLOOKUP(Table8[[#This Row],[Country Code]],Table29[],4,FALSE)</f>
        <v>Europe</v>
      </c>
      <c r="AT1205" s="233" t="str">
        <f>VLOOKUP(Table8[[#This Row],[Country Code]],Table29[],5,FALSE)</f>
        <v>High-income</v>
      </c>
      <c r="AU1205" s="233" t="str">
        <f>VLOOKUP(Table8[[#This Row],[Country Code]],Table29[],6,FALSE)</f>
        <v>no</v>
      </c>
      <c r="AV1205" s="233" t="str">
        <f>VLOOKUP(Table8[[#This Row],[Country Code]],Table29[],7,FALSE)</f>
        <v>no</v>
      </c>
      <c r="AW1205" s="233" t="str">
        <f>VLOOKUP(Table8[[#This Row],[Country Code]],Table29[],8,FALSE)</f>
        <v>OECD</v>
      </c>
      <c r="AX1205" s="233" t="str">
        <f>VLOOKUP(Table8[[#This Row],[Country Code]],Table29[],9,FALSE)</f>
        <v>EU27</v>
      </c>
      <c r="AY1205" s="233" t="str">
        <f>VLOOKUP(Table8[[#This Row],[Country Code]],Table29[],10,FALSE)</f>
        <v>no</v>
      </c>
      <c r="AZ1205" s="235">
        <f>VLOOKUP(Table8[[#This Row],[Country Code]],Table29[],23,FALSE)</f>
        <v>57.853266947361</v>
      </c>
      <c r="BA1205" s="235">
        <f>VLOOKUP(Table8[[#This Row],[Country Code]],Table29[],24,FALSE)</f>
        <v>11.23875075000765</v>
      </c>
      <c r="BB1205" s="320"/>
      <c r="BC1205" s="320"/>
    </row>
    <row r="1206" spans="1:55" ht="45" hidden="1" x14ac:dyDescent="0.25">
      <c r="A1206" s="360">
        <v>39445</v>
      </c>
      <c r="B1206" s="233" t="str">
        <f>VLOOKUP(Table8[[#This Row],[Document ID]],Table1[],2,FALSE)</f>
        <v>IRL</v>
      </c>
      <c r="C1206" s="233" t="str">
        <f>VLOOKUP(Table8[[#This Row],[Document ID]],Table1[],3,FALSE)</f>
        <v>Ireland</v>
      </c>
      <c r="D1206" s="233" t="str">
        <f>VLOOKUP(Table8[[#This Row],[Document ID]],Table1[],5,FALSE)</f>
        <v>LTS</v>
      </c>
      <c r="E1206" s="233" t="str">
        <f>VLOOKUP(Table8[[#This Row],[Document ID]],Table1[],7,FALSE)</f>
        <v>EU-LTS</v>
      </c>
      <c r="F1206" s="233" t="str">
        <f>VLOOKUP(Table8[[#This Row],[Document ID]],Table1[],8,FALSE)</f>
        <v>LTS 1.0</v>
      </c>
      <c r="G1206" s="233" t="str">
        <f>VLOOKUP(Table8[[#This Row],[Document ID]],Table1[],10,FALSE)</f>
        <v>Archived</v>
      </c>
      <c r="H1206" s="43" t="s">
        <v>2343</v>
      </c>
      <c r="I1206" s="43" t="s">
        <v>2344</v>
      </c>
      <c r="J1206" s="44" t="s">
        <v>2345</v>
      </c>
      <c r="K1206" s="44" t="s">
        <v>3473</v>
      </c>
      <c r="L1206" s="44" t="s">
        <v>2347</v>
      </c>
      <c r="M1206" s="43">
        <v>64</v>
      </c>
      <c r="N1206" s="113" t="s">
        <v>1113</v>
      </c>
      <c r="O1206" s="113"/>
      <c r="P1206" s="113"/>
      <c r="Q1206" s="113"/>
      <c r="R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t="s">
        <v>1113</v>
      </c>
      <c r="AM1206" s="113"/>
      <c r="AN1206" s="113"/>
      <c r="AO1206" s="43" t="s">
        <v>2348</v>
      </c>
      <c r="AP1206" s="43"/>
      <c r="AQ1206" s="236" t="str">
        <f>VLOOKUP(Table8[[#This Row],[Instrument]],Def_Targets!$D$73:$E$159,2,FALSE)</f>
        <v>S_PublicTransport</v>
      </c>
      <c r="AR1206" s="233" t="str">
        <f>VLOOKUP(Table8[[#This Row],[Country Code]],Table29[],3,FALSE)</f>
        <v>Annex I</v>
      </c>
      <c r="AS1206" s="233" t="str">
        <f>VLOOKUP(Table8[[#This Row],[Country Code]],Table29[],4,FALSE)</f>
        <v>Europe</v>
      </c>
      <c r="AT1206" s="233" t="str">
        <f>VLOOKUP(Table8[[#This Row],[Country Code]],Table29[],5,FALSE)</f>
        <v>High-income</v>
      </c>
      <c r="AU1206" s="233" t="str">
        <f>VLOOKUP(Table8[[#This Row],[Country Code]],Table29[],6,FALSE)</f>
        <v>no</v>
      </c>
      <c r="AV1206" s="233" t="str">
        <f>VLOOKUP(Table8[[#This Row],[Country Code]],Table29[],7,FALSE)</f>
        <v>no</v>
      </c>
      <c r="AW1206" s="233" t="str">
        <f>VLOOKUP(Table8[[#This Row],[Country Code]],Table29[],8,FALSE)</f>
        <v>OECD</v>
      </c>
      <c r="AX1206" s="233" t="str">
        <f>VLOOKUP(Table8[[#This Row],[Country Code]],Table29[],9,FALSE)</f>
        <v>EU27</v>
      </c>
      <c r="AY1206" s="233" t="str">
        <f>VLOOKUP(Table8[[#This Row],[Country Code]],Table29[],10,FALSE)</f>
        <v>no</v>
      </c>
      <c r="AZ1206" s="235">
        <f>VLOOKUP(Table8[[#This Row],[Country Code]],Table29[],23,FALSE)</f>
        <v>57.853266947361</v>
      </c>
      <c r="BA1206" s="235">
        <f>VLOOKUP(Table8[[#This Row],[Country Code]],Table29[],24,FALSE)</f>
        <v>11.23875075000765</v>
      </c>
      <c r="BB1206" s="320"/>
      <c r="BC1206" s="320"/>
    </row>
    <row r="1207" spans="1:55" ht="45" hidden="1" x14ac:dyDescent="0.25">
      <c r="A1207" s="360">
        <v>39445</v>
      </c>
      <c r="B1207" s="233" t="str">
        <f>VLOOKUP(Table8[[#This Row],[Document ID]],Table1[],2,FALSE)</f>
        <v>IRL</v>
      </c>
      <c r="C1207" s="233" t="str">
        <f>VLOOKUP(Table8[[#This Row],[Document ID]],Table1[],3,FALSE)</f>
        <v>Ireland</v>
      </c>
      <c r="D1207" s="233" t="str">
        <f>VLOOKUP(Table8[[#This Row],[Document ID]],Table1[],5,FALSE)</f>
        <v>LTS</v>
      </c>
      <c r="E1207" s="233" t="str">
        <f>VLOOKUP(Table8[[#This Row],[Document ID]],Table1[],7,FALSE)</f>
        <v>EU-LTS</v>
      </c>
      <c r="F1207" s="233" t="str">
        <f>VLOOKUP(Table8[[#This Row],[Document ID]],Table1[],8,FALSE)</f>
        <v>LTS 1.0</v>
      </c>
      <c r="G1207" s="233" t="str">
        <f>VLOOKUP(Table8[[#This Row],[Document ID]],Table1[],10,FALSE)</f>
        <v>Archived</v>
      </c>
      <c r="H1207" s="43" t="s">
        <v>2343</v>
      </c>
      <c r="I1207" s="43" t="s">
        <v>2377</v>
      </c>
      <c r="J1207" s="44" t="s">
        <v>2394</v>
      </c>
      <c r="K1207" s="44" t="s">
        <v>3474</v>
      </c>
      <c r="L1207" s="44" t="s">
        <v>2380</v>
      </c>
      <c r="M1207" s="43">
        <v>64</v>
      </c>
      <c r="N1207" s="113" t="s">
        <v>1113</v>
      </c>
      <c r="O1207" s="113"/>
      <c r="P1207" s="113"/>
      <c r="Q1207" s="113"/>
      <c r="R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t="s">
        <v>1113</v>
      </c>
      <c r="AN1207" s="113"/>
      <c r="AO1207" s="43" t="s">
        <v>2348</v>
      </c>
      <c r="AP1207" s="43"/>
      <c r="AQ1207" s="236" t="str">
        <f>VLOOKUP(Table8[[#This Row],[Instrument]],Def_Targets!$D$73:$E$159,2,FALSE)</f>
        <v>A_TDM</v>
      </c>
      <c r="AR1207" s="233" t="str">
        <f>VLOOKUP(Table8[[#This Row],[Country Code]],Table29[],3,FALSE)</f>
        <v>Annex I</v>
      </c>
      <c r="AS1207" s="233" t="str">
        <f>VLOOKUP(Table8[[#This Row],[Country Code]],Table29[],4,FALSE)</f>
        <v>Europe</v>
      </c>
      <c r="AT1207" s="233" t="str">
        <f>VLOOKUP(Table8[[#This Row],[Country Code]],Table29[],5,FALSE)</f>
        <v>High-income</v>
      </c>
      <c r="AU1207" s="233" t="str">
        <f>VLOOKUP(Table8[[#This Row],[Country Code]],Table29[],6,FALSE)</f>
        <v>no</v>
      </c>
      <c r="AV1207" s="233" t="str">
        <f>VLOOKUP(Table8[[#This Row],[Country Code]],Table29[],7,FALSE)</f>
        <v>no</v>
      </c>
      <c r="AW1207" s="233" t="str">
        <f>VLOOKUP(Table8[[#This Row],[Country Code]],Table29[],8,FALSE)</f>
        <v>OECD</v>
      </c>
      <c r="AX1207" s="233" t="str">
        <f>VLOOKUP(Table8[[#This Row],[Country Code]],Table29[],9,FALSE)</f>
        <v>EU27</v>
      </c>
      <c r="AY1207" s="233" t="str">
        <f>VLOOKUP(Table8[[#This Row],[Country Code]],Table29[],10,FALSE)</f>
        <v>no</v>
      </c>
      <c r="AZ1207" s="235">
        <f>VLOOKUP(Table8[[#This Row],[Country Code]],Table29[],23,FALSE)</f>
        <v>57.853266947361</v>
      </c>
      <c r="BA1207" s="235">
        <f>VLOOKUP(Table8[[#This Row],[Country Code]],Table29[],24,FALSE)</f>
        <v>11.23875075000765</v>
      </c>
      <c r="BB1207" s="320"/>
      <c r="BC1207" s="320"/>
    </row>
    <row r="1208" spans="1:55" ht="30" hidden="1" x14ac:dyDescent="0.25">
      <c r="A1208" s="360">
        <v>39445</v>
      </c>
      <c r="B1208" s="233" t="str">
        <f>VLOOKUP(Table8[[#This Row],[Document ID]],Table1[],2,FALSE)</f>
        <v>IRL</v>
      </c>
      <c r="C1208" s="233" t="str">
        <f>VLOOKUP(Table8[[#This Row],[Document ID]],Table1[],3,FALSE)</f>
        <v>Ireland</v>
      </c>
      <c r="D1208" s="233" t="str">
        <f>VLOOKUP(Table8[[#This Row],[Document ID]],Table1[],5,FALSE)</f>
        <v>LTS</v>
      </c>
      <c r="E1208" s="233" t="str">
        <f>VLOOKUP(Table8[[#This Row],[Document ID]],Table1[],7,FALSE)</f>
        <v>EU-LTS</v>
      </c>
      <c r="F1208" s="233" t="str">
        <f>VLOOKUP(Table8[[#This Row],[Document ID]],Table1[],8,FALSE)</f>
        <v>LTS 1.0</v>
      </c>
      <c r="G1208" s="233" t="str">
        <f>VLOOKUP(Table8[[#This Row],[Document ID]],Table1[],10,FALSE)</f>
        <v>Archived</v>
      </c>
      <c r="H1208" s="43" t="s">
        <v>2358</v>
      </c>
      <c r="I1208" s="43" t="s">
        <v>2359</v>
      </c>
      <c r="J1208" s="44" t="s">
        <v>2383</v>
      </c>
      <c r="K1208" s="44" t="s">
        <v>3475</v>
      </c>
      <c r="L1208" s="44" t="s">
        <v>2333</v>
      </c>
      <c r="M1208" s="43">
        <v>64</v>
      </c>
      <c r="N1208" s="113" t="s">
        <v>1113</v>
      </c>
      <c r="O1208" s="113"/>
      <c r="P1208" s="113"/>
      <c r="Q1208" s="113"/>
      <c r="R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t="s">
        <v>1113</v>
      </c>
      <c r="AL1208" s="113"/>
      <c r="AM1208" s="113"/>
      <c r="AN1208" s="113"/>
      <c r="AO1208" s="44" t="s">
        <v>2334</v>
      </c>
      <c r="AP1208" s="43"/>
      <c r="AQ1208" s="236" t="str">
        <f>VLOOKUP(Table8[[#This Row],[Instrument]],Def_Targets!$D$73:$E$159,2,FALSE)</f>
        <v>I_Emobilitycharging</v>
      </c>
      <c r="AR1208" s="233" t="str">
        <f>VLOOKUP(Table8[[#This Row],[Country Code]],Table29[],3,FALSE)</f>
        <v>Annex I</v>
      </c>
      <c r="AS1208" s="233" t="str">
        <f>VLOOKUP(Table8[[#This Row],[Country Code]],Table29[],4,FALSE)</f>
        <v>Europe</v>
      </c>
      <c r="AT1208" s="233" t="str">
        <f>VLOOKUP(Table8[[#This Row],[Country Code]],Table29[],5,FALSE)</f>
        <v>High-income</v>
      </c>
      <c r="AU1208" s="233" t="str">
        <f>VLOOKUP(Table8[[#This Row],[Country Code]],Table29[],6,FALSE)</f>
        <v>no</v>
      </c>
      <c r="AV1208" s="233" t="str">
        <f>VLOOKUP(Table8[[#This Row],[Country Code]],Table29[],7,FALSE)</f>
        <v>no</v>
      </c>
      <c r="AW1208" s="233" t="str">
        <f>VLOOKUP(Table8[[#This Row],[Country Code]],Table29[],8,FALSE)</f>
        <v>OECD</v>
      </c>
      <c r="AX1208" s="233" t="str">
        <f>VLOOKUP(Table8[[#This Row],[Country Code]],Table29[],9,FALSE)</f>
        <v>EU27</v>
      </c>
      <c r="AY1208" s="233" t="str">
        <f>VLOOKUP(Table8[[#This Row],[Country Code]],Table29[],10,FALSE)</f>
        <v>no</v>
      </c>
      <c r="AZ1208" s="235">
        <f>VLOOKUP(Table8[[#This Row],[Country Code]],Table29[],23,FALSE)</f>
        <v>57.853266947361</v>
      </c>
      <c r="BA1208" s="235">
        <f>VLOOKUP(Table8[[#This Row],[Country Code]],Table29[],24,FALSE)</f>
        <v>11.23875075000765</v>
      </c>
      <c r="BB1208" s="320"/>
      <c r="BC1208" s="320"/>
    </row>
    <row r="1209" spans="1:55" ht="60" hidden="1" x14ac:dyDescent="0.25">
      <c r="A1209" s="360">
        <v>39445</v>
      </c>
      <c r="B1209" s="233" t="str">
        <f>VLOOKUP(Table8[[#This Row],[Document ID]],Table1[],2,FALSE)</f>
        <v>IRL</v>
      </c>
      <c r="C1209" s="233" t="str">
        <f>VLOOKUP(Table8[[#This Row],[Document ID]],Table1[],3,FALSE)</f>
        <v>Ireland</v>
      </c>
      <c r="D1209" s="233" t="str">
        <f>VLOOKUP(Table8[[#This Row],[Document ID]],Table1[],5,FALSE)</f>
        <v>LTS</v>
      </c>
      <c r="E1209" s="233" t="str">
        <f>VLOOKUP(Table8[[#This Row],[Document ID]],Table1[],7,FALSE)</f>
        <v>EU-LTS</v>
      </c>
      <c r="F1209" s="233" t="str">
        <f>VLOOKUP(Table8[[#This Row],[Document ID]],Table1[],8,FALSE)</f>
        <v>LTS 1.0</v>
      </c>
      <c r="G1209" s="233" t="str">
        <f>VLOOKUP(Table8[[#This Row],[Document ID]],Table1[],10,FALSE)</f>
        <v>Archived</v>
      </c>
      <c r="H1209" s="43" t="s">
        <v>2484</v>
      </c>
      <c r="I1209" s="43" t="s">
        <v>2488</v>
      </c>
      <c r="J1209" s="44" t="s">
        <v>2489</v>
      </c>
      <c r="K1209" s="44" t="s">
        <v>3476</v>
      </c>
      <c r="L1209" s="44" t="s">
        <v>2333</v>
      </c>
      <c r="M1209" s="43">
        <v>65</v>
      </c>
      <c r="N1209" s="113"/>
      <c r="O1209" s="113"/>
      <c r="P1209" s="113"/>
      <c r="Q1209" s="113"/>
      <c r="R1209" s="113"/>
      <c r="S1209" s="113"/>
      <c r="T1209" s="113"/>
      <c r="U1209" s="113"/>
      <c r="V1209" s="113"/>
      <c r="W1209" s="113"/>
      <c r="X1209" s="113"/>
      <c r="Y1209" s="113"/>
      <c r="Z1209" s="113"/>
      <c r="AA1209" s="113"/>
      <c r="AB1209" s="113"/>
      <c r="AC1209" s="113"/>
      <c r="AD1209" s="113"/>
      <c r="AE1209" s="113"/>
      <c r="AF1209" s="113"/>
      <c r="AG1209" s="113"/>
      <c r="AH1209" s="113" t="s">
        <v>1113</v>
      </c>
      <c r="AI1209" s="113"/>
      <c r="AJ1209" s="113"/>
      <c r="AK1209" s="113" t="s">
        <v>1113</v>
      </c>
      <c r="AL1209" s="113"/>
      <c r="AM1209" s="113"/>
      <c r="AN1209" s="113"/>
      <c r="AO1209" s="44" t="s">
        <v>2334</v>
      </c>
      <c r="AP1209" s="43"/>
      <c r="AQ1209" s="236" t="str">
        <f>VLOOKUP(Table8[[#This Row],[Instrument]],Def_Targets!$D$73:$E$159,2,FALSE)</f>
        <v>I_Aviation</v>
      </c>
      <c r="AR1209" s="233" t="str">
        <f>VLOOKUP(Table8[[#This Row],[Country Code]],Table29[],3,FALSE)</f>
        <v>Annex I</v>
      </c>
      <c r="AS1209" s="233" t="str">
        <f>VLOOKUP(Table8[[#This Row],[Country Code]],Table29[],4,FALSE)</f>
        <v>Europe</v>
      </c>
      <c r="AT1209" s="233" t="str">
        <f>VLOOKUP(Table8[[#This Row],[Country Code]],Table29[],5,FALSE)</f>
        <v>High-income</v>
      </c>
      <c r="AU1209" s="233" t="str">
        <f>VLOOKUP(Table8[[#This Row],[Country Code]],Table29[],6,FALSE)</f>
        <v>no</v>
      </c>
      <c r="AV1209" s="233" t="str">
        <f>VLOOKUP(Table8[[#This Row],[Country Code]],Table29[],7,FALSE)</f>
        <v>no</v>
      </c>
      <c r="AW1209" s="233" t="str">
        <f>VLOOKUP(Table8[[#This Row],[Country Code]],Table29[],8,FALSE)</f>
        <v>OECD</v>
      </c>
      <c r="AX1209" s="233" t="str">
        <f>VLOOKUP(Table8[[#This Row],[Country Code]],Table29[],9,FALSE)</f>
        <v>EU27</v>
      </c>
      <c r="AY1209" s="233" t="str">
        <f>VLOOKUP(Table8[[#This Row],[Country Code]],Table29[],10,FALSE)</f>
        <v>no</v>
      </c>
      <c r="AZ1209" s="235">
        <f>VLOOKUP(Table8[[#This Row],[Country Code]],Table29[],23,FALSE)</f>
        <v>57.853266947361</v>
      </c>
      <c r="BA1209" s="235">
        <f>VLOOKUP(Table8[[#This Row],[Country Code]],Table29[],24,FALSE)</f>
        <v>11.23875075000765</v>
      </c>
      <c r="BB1209" s="320"/>
      <c r="BC1209" s="320"/>
    </row>
    <row r="1210" spans="1:55" ht="30" hidden="1" x14ac:dyDescent="0.25">
      <c r="A1210" s="373">
        <v>17640</v>
      </c>
      <c r="B1210" s="233" t="str">
        <f>VLOOKUP(Table8[[#This Row],[Document ID]],Table1[],2,FALSE)</f>
        <v>LBN</v>
      </c>
      <c r="C1210" s="233" t="str">
        <f>VLOOKUP(Table8[[#This Row],[Document ID]],Table1[],3,FALSE)</f>
        <v>Lebanon</v>
      </c>
      <c r="D1210" s="243" t="str">
        <f>VLOOKUP(Table8[[#This Row],[Document ID]],Table1[],5,FALSE)</f>
        <v>NDC</v>
      </c>
      <c r="E1210" s="233" t="str">
        <f>VLOOKUP(Table8[[#This Row],[Document ID]],Table1[],7,FALSE)</f>
        <v>First NDC</v>
      </c>
      <c r="F1210" s="236" t="str">
        <f>VLOOKUP(Table8[[#This Row],[Document ID]],Table1[],8,FALSE)</f>
        <v>NDC 1.0</v>
      </c>
      <c r="G1210" s="236" t="str">
        <f>VLOOKUP(Table8[[#This Row],[Document ID]],Table1[],10,FALSE)</f>
        <v>Archived</v>
      </c>
      <c r="H1210" s="43" t="s">
        <v>2343</v>
      </c>
      <c r="I1210" s="43" t="s">
        <v>2344</v>
      </c>
      <c r="J1210" s="44" t="s">
        <v>2345</v>
      </c>
      <c r="K1210" s="44" t="s">
        <v>3477</v>
      </c>
      <c r="L1210" s="44" t="s">
        <v>2347</v>
      </c>
      <c r="M1210" s="43"/>
      <c r="N1210" s="113" t="s">
        <v>1113</v>
      </c>
      <c r="O1210" s="113"/>
      <c r="P1210" s="113"/>
      <c r="Q1210" s="319"/>
      <c r="R1210" s="319"/>
      <c r="S1210" s="319"/>
      <c r="T1210" s="319"/>
      <c r="U1210" s="319"/>
      <c r="V1210" s="319"/>
      <c r="W1210" s="319"/>
      <c r="X1210" s="319"/>
      <c r="Y1210" s="319"/>
      <c r="Z1210" s="319"/>
      <c r="AA1210" s="319"/>
      <c r="AB1210" s="319"/>
      <c r="AC1210" s="319"/>
      <c r="AD1210" s="319"/>
      <c r="AE1210" s="319"/>
      <c r="AF1210" s="319"/>
      <c r="AG1210" s="319"/>
      <c r="AH1210" s="319"/>
      <c r="AI1210" s="319"/>
      <c r="AJ1210" s="319"/>
      <c r="AK1210" s="319" t="s">
        <v>1113</v>
      </c>
      <c r="AL1210" s="319"/>
      <c r="AM1210" s="319"/>
      <c r="AN1210" s="319"/>
      <c r="AO1210" s="43" t="s">
        <v>2348</v>
      </c>
      <c r="AP1210" s="44"/>
      <c r="AQ1210" s="236" t="str">
        <f>VLOOKUP(Table8[[#This Row],[Instrument]],Def_Targets!$D$73:$E$159,2,FALSE)</f>
        <v>S_PublicTransport</v>
      </c>
      <c r="AR1210" s="233" t="str">
        <f>VLOOKUP(Table8[[#This Row],[Country Code]],Table29[],3,FALSE)</f>
        <v>Non-Annex I</v>
      </c>
      <c r="AS1210" s="233" t="str">
        <f>VLOOKUP(Table8[[#This Row],[Country Code]],Table29[],4,FALSE)</f>
        <v>Asia</v>
      </c>
      <c r="AT1210" s="233" t="str">
        <f>VLOOKUP(Table8[[#This Row],[Country Code]],Table29[],5,FALSE)</f>
        <v>Middle-income</v>
      </c>
      <c r="AU1210" s="233" t="str">
        <f>VLOOKUP(Table8[[#This Row],[Country Code]],Table29[],6,FALSE)</f>
        <v>no</v>
      </c>
      <c r="AV1210" s="233" t="str">
        <f>VLOOKUP(Table8[[#This Row],[Country Code]],Table29[],7,FALSE)</f>
        <v>no</v>
      </c>
      <c r="AW1210" s="233" t="str">
        <f>VLOOKUP(Table8[[#This Row],[Country Code]],Table29[],8,FALSE)</f>
        <v>non-OECD</v>
      </c>
      <c r="AX1210" s="233" t="str">
        <f>VLOOKUP(Table8[[#This Row],[Country Code]],Table29[],9,FALSE)</f>
        <v>no</v>
      </c>
      <c r="AY1210" s="233" t="str">
        <f>VLOOKUP(Table8[[#This Row],[Country Code]],Table29[],10,FALSE)</f>
        <v>MENA</v>
      </c>
      <c r="AZ1210" s="235">
        <f>VLOOKUP(Table8[[#This Row],[Country Code]],Table29[],23,FALSE)</f>
        <v>24.672324496902</v>
      </c>
      <c r="BA1210" s="235">
        <f>VLOOKUP(Table8[[#This Row],[Country Code]],Table29[],24,FALSE)</f>
        <v>7.1354134198886934</v>
      </c>
      <c r="BB1210" s="320"/>
      <c r="BC1210" s="320"/>
    </row>
    <row r="1211" spans="1:55" hidden="1" x14ac:dyDescent="0.25">
      <c r="A1211" s="373">
        <v>17640</v>
      </c>
      <c r="B1211" s="233" t="str">
        <f>VLOOKUP(Table8[[#This Row],[Document ID]],Table1[],2,FALSE)</f>
        <v>LBN</v>
      </c>
      <c r="C1211" s="233" t="str">
        <f>VLOOKUP(Table8[[#This Row],[Document ID]],Table1[],3,FALSE)</f>
        <v>Lebanon</v>
      </c>
      <c r="D1211" s="243" t="str">
        <f>VLOOKUP(Table8[[#This Row],[Document ID]],Table1[],5,FALSE)</f>
        <v>NDC</v>
      </c>
      <c r="E1211" s="233" t="str">
        <f>VLOOKUP(Table8[[#This Row],[Document ID]],Table1[],7,FALSE)</f>
        <v>First NDC</v>
      </c>
      <c r="F1211" s="236" t="str">
        <f>VLOOKUP(Table8[[#This Row],[Document ID]],Table1[],8,FALSE)</f>
        <v>NDC 1.0</v>
      </c>
      <c r="G1211" s="236" t="str">
        <f>VLOOKUP(Table8[[#This Row],[Document ID]],Table1[],10,FALSE)</f>
        <v>Archived</v>
      </c>
      <c r="H1211" s="44" t="s">
        <v>2338</v>
      </c>
      <c r="I1211" s="44" t="s">
        <v>2339</v>
      </c>
      <c r="J1211" s="44" t="s">
        <v>2340</v>
      </c>
      <c r="K1211" s="44" t="s">
        <v>3478</v>
      </c>
      <c r="L1211" s="44" t="s">
        <v>2333</v>
      </c>
      <c r="M1211" s="43"/>
      <c r="N1211" s="113" t="s">
        <v>1113</v>
      </c>
      <c r="O1211" s="113"/>
      <c r="P1211" s="113"/>
      <c r="Q1211" s="319"/>
      <c r="R1211" s="319"/>
      <c r="S1211" s="319"/>
      <c r="T1211" s="319"/>
      <c r="U1211" s="319"/>
      <c r="V1211" s="319"/>
      <c r="W1211" s="319"/>
      <c r="X1211" s="319"/>
      <c r="Y1211" s="319"/>
      <c r="Z1211" s="319"/>
      <c r="AA1211" s="319"/>
      <c r="AB1211" s="319"/>
      <c r="AC1211" s="319"/>
      <c r="AD1211" s="319"/>
      <c r="AE1211" s="319"/>
      <c r="AF1211" s="319"/>
      <c r="AG1211" s="319"/>
      <c r="AH1211" s="319"/>
      <c r="AI1211" s="319"/>
      <c r="AJ1211" s="319"/>
      <c r="AK1211" s="319" t="s">
        <v>1113</v>
      </c>
      <c r="AL1211" s="319"/>
      <c r="AM1211" s="319"/>
      <c r="AN1211" s="319"/>
      <c r="AO1211" s="44" t="s">
        <v>2334</v>
      </c>
      <c r="AP1211" s="44"/>
      <c r="AQ1211" s="236" t="str">
        <f>VLOOKUP(Table8[[#This Row],[Instrument]],Def_Targets!$D$73:$E$159,2,FALSE)</f>
        <v>I_Vehicleimprove</v>
      </c>
      <c r="AR1211" s="233" t="str">
        <f>VLOOKUP(Table8[[#This Row],[Country Code]],Table29[],3,FALSE)</f>
        <v>Non-Annex I</v>
      </c>
      <c r="AS1211" s="233" t="str">
        <f>VLOOKUP(Table8[[#This Row],[Country Code]],Table29[],4,FALSE)</f>
        <v>Asia</v>
      </c>
      <c r="AT1211" s="233" t="str">
        <f>VLOOKUP(Table8[[#This Row],[Country Code]],Table29[],5,FALSE)</f>
        <v>Middle-income</v>
      </c>
      <c r="AU1211" s="233" t="str">
        <f>VLOOKUP(Table8[[#This Row],[Country Code]],Table29[],6,FALSE)</f>
        <v>no</v>
      </c>
      <c r="AV1211" s="233" t="str">
        <f>VLOOKUP(Table8[[#This Row],[Country Code]],Table29[],7,FALSE)</f>
        <v>no</v>
      </c>
      <c r="AW1211" s="233" t="str">
        <f>VLOOKUP(Table8[[#This Row],[Country Code]],Table29[],8,FALSE)</f>
        <v>non-OECD</v>
      </c>
      <c r="AX1211" s="233" t="str">
        <f>VLOOKUP(Table8[[#This Row],[Country Code]],Table29[],9,FALSE)</f>
        <v>no</v>
      </c>
      <c r="AY1211" s="233" t="str">
        <f>VLOOKUP(Table8[[#This Row],[Country Code]],Table29[],10,FALSE)</f>
        <v>MENA</v>
      </c>
      <c r="AZ1211" s="235">
        <f>VLOOKUP(Table8[[#This Row],[Country Code]],Table29[],23,FALSE)</f>
        <v>24.672324496902</v>
      </c>
      <c r="BA1211" s="235">
        <f>VLOOKUP(Table8[[#This Row],[Country Code]],Table29[],24,FALSE)</f>
        <v>7.1354134198886934</v>
      </c>
      <c r="BB1211" s="320"/>
      <c r="BC1211" s="320"/>
    </row>
    <row r="1212" spans="1:55" ht="30" hidden="1" x14ac:dyDescent="0.25">
      <c r="A1212" s="373">
        <v>17641</v>
      </c>
      <c r="B1212" s="233" t="str">
        <f>VLOOKUP(Table8[[#This Row],[Document ID]],Table1[],2,FALSE)</f>
        <v>LBN</v>
      </c>
      <c r="C1212" s="233" t="str">
        <f>VLOOKUP(Table8[[#This Row],[Document ID]],Table1[],3,FALSE)</f>
        <v>Lebanon</v>
      </c>
      <c r="D1212" s="243" t="str">
        <f>VLOOKUP(Table8[[#This Row],[Document ID]],Table1[],5,FALSE)</f>
        <v>NDC</v>
      </c>
      <c r="E1212" s="233" t="str">
        <f>VLOOKUP(Table8[[#This Row],[Document ID]],Table1[],7,FALSE)</f>
        <v>First NDC updated</v>
      </c>
      <c r="F1212" s="233" t="str">
        <f>VLOOKUP(Table8[[#This Row],[Document ID]],Table1[],8,FALSE)</f>
        <v>NDC 1.1</v>
      </c>
      <c r="G1212" s="233" t="str">
        <f>VLOOKUP(Table8[[#This Row],[Document ID]],Table1[],10,FALSE)</f>
        <v>Active</v>
      </c>
      <c r="H1212" s="44" t="s">
        <v>2338</v>
      </c>
      <c r="I1212" s="44" t="s">
        <v>2339</v>
      </c>
      <c r="J1212" s="44" t="s">
        <v>2340</v>
      </c>
      <c r="K1212" s="44" t="s">
        <v>3479</v>
      </c>
      <c r="L1212" s="44" t="s">
        <v>2333</v>
      </c>
      <c r="M1212" s="43" t="s">
        <v>3480</v>
      </c>
      <c r="N1212" s="113" t="s">
        <v>1113</v>
      </c>
      <c r="O1212" s="113"/>
      <c r="P1212" s="113"/>
      <c r="Q1212" s="113"/>
      <c r="R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319" t="s">
        <v>1113</v>
      </c>
      <c r="AL1212" s="113"/>
      <c r="AM1212" s="113"/>
      <c r="AN1212" s="113"/>
      <c r="AO1212" s="44" t="s">
        <v>2334</v>
      </c>
      <c r="AP1212" s="43"/>
      <c r="AQ1212" s="236" t="str">
        <f>VLOOKUP(Table8[[#This Row],[Instrument]],Def_Targets!$D$73:$E$159,2,FALSE)</f>
        <v>I_Vehicleimprove</v>
      </c>
      <c r="AR1212" s="233" t="str">
        <f>VLOOKUP(Table8[[#This Row],[Country Code]],Table29[],3,FALSE)</f>
        <v>Non-Annex I</v>
      </c>
      <c r="AS1212" s="233" t="str">
        <f>VLOOKUP(Table8[[#This Row],[Country Code]],Table29[],4,FALSE)</f>
        <v>Asia</v>
      </c>
      <c r="AT1212" s="233" t="str">
        <f>VLOOKUP(Table8[[#This Row],[Country Code]],Table29[],5,FALSE)</f>
        <v>Middle-income</v>
      </c>
      <c r="AU1212" s="233" t="str">
        <f>VLOOKUP(Table8[[#This Row],[Country Code]],Table29[],6,FALSE)</f>
        <v>no</v>
      </c>
      <c r="AV1212" s="233" t="str">
        <f>VLOOKUP(Table8[[#This Row],[Country Code]],Table29[],7,FALSE)</f>
        <v>no</v>
      </c>
      <c r="AW1212" s="233" t="str">
        <f>VLOOKUP(Table8[[#This Row],[Country Code]],Table29[],8,FALSE)</f>
        <v>non-OECD</v>
      </c>
      <c r="AX1212" s="233" t="str">
        <f>VLOOKUP(Table8[[#This Row],[Country Code]],Table29[],9,FALSE)</f>
        <v>no</v>
      </c>
      <c r="AY1212" s="233" t="str">
        <f>VLOOKUP(Table8[[#This Row],[Country Code]],Table29[],10,FALSE)</f>
        <v>MENA</v>
      </c>
      <c r="AZ1212" s="235">
        <f>VLOOKUP(Table8[[#This Row],[Country Code]],Table29[],23,FALSE)</f>
        <v>24.672324496902</v>
      </c>
      <c r="BA1212" s="235">
        <f>VLOOKUP(Table8[[#This Row],[Country Code]],Table29[],24,FALSE)</f>
        <v>7.1354134198886934</v>
      </c>
      <c r="BB1212" s="320"/>
      <c r="BC1212" s="320"/>
    </row>
    <row r="1213" spans="1:55" ht="30" hidden="1" x14ac:dyDescent="0.25">
      <c r="A1213" s="360">
        <v>17641</v>
      </c>
      <c r="B1213" s="233" t="str">
        <f>VLOOKUP(Table8[[#This Row],[Document ID]],Table1[],2,FALSE)</f>
        <v>LBN</v>
      </c>
      <c r="C1213" s="233" t="str">
        <f>VLOOKUP(Table8[[#This Row],[Document ID]],Table1[],3,FALSE)</f>
        <v>Lebanon</v>
      </c>
      <c r="D1213" s="233" t="str">
        <f>VLOOKUP(Table8[[#This Row],[Document ID]],Table1[],5,FALSE)</f>
        <v>NDC</v>
      </c>
      <c r="E1213" s="233" t="str">
        <f>VLOOKUP(Table8[[#This Row],[Document ID]],Table1[],7,FALSE)</f>
        <v>First NDC updated</v>
      </c>
      <c r="F1213" s="233" t="str">
        <f>VLOOKUP(Table8[[#This Row],[Document ID]],Table1[],8,FALSE)</f>
        <v>NDC 1.1</v>
      </c>
      <c r="G1213" s="233" t="str">
        <f>VLOOKUP(Table8[[#This Row],[Document ID]],Table1[],10,FALSE)</f>
        <v>Active</v>
      </c>
      <c r="H1213" s="43" t="s">
        <v>2358</v>
      </c>
      <c r="I1213" s="43" t="s">
        <v>2359</v>
      </c>
      <c r="J1213" s="44" t="s">
        <v>2389</v>
      </c>
      <c r="K1213" s="44" t="s">
        <v>3481</v>
      </c>
      <c r="L1213" s="44" t="s">
        <v>2333</v>
      </c>
      <c r="M1213" s="43">
        <v>3</v>
      </c>
      <c r="N1213" s="113"/>
      <c r="O1213" s="113"/>
      <c r="P1213" s="113"/>
      <c r="Q1213" s="113"/>
      <c r="R1213" s="113"/>
      <c r="S1213" s="113" t="s">
        <v>1113</v>
      </c>
      <c r="T1213" s="113"/>
      <c r="U1213" s="113"/>
      <c r="V1213" s="113"/>
      <c r="W1213" s="113"/>
      <c r="X1213" s="113"/>
      <c r="Y1213" s="113"/>
      <c r="Z1213" s="113"/>
      <c r="AA1213" s="113"/>
      <c r="AB1213" s="113"/>
      <c r="AC1213" s="113"/>
      <c r="AD1213" s="113"/>
      <c r="AE1213" s="113"/>
      <c r="AF1213" s="113"/>
      <c r="AG1213" s="113"/>
      <c r="AH1213" s="113"/>
      <c r="AI1213" s="113"/>
      <c r="AJ1213" s="113"/>
      <c r="AK1213" s="319" t="s">
        <v>1113</v>
      </c>
      <c r="AL1213" s="113"/>
      <c r="AM1213" s="113"/>
      <c r="AN1213" s="113"/>
      <c r="AO1213" s="44" t="s">
        <v>2334</v>
      </c>
      <c r="AP1213" s="43"/>
      <c r="AQ1213" s="236" t="str">
        <f>VLOOKUP(Table8[[#This Row],[Instrument]],Def_Targets!$D$73:$E$159,2,FALSE)</f>
        <v>I_Emobilitypurchase</v>
      </c>
      <c r="AR1213" s="233" t="str">
        <f>VLOOKUP(Table8[[#This Row],[Country Code]],Table29[],3,FALSE)</f>
        <v>Non-Annex I</v>
      </c>
      <c r="AS1213" s="233" t="str">
        <f>VLOOKUP(Table8[[#This Row],[Country Code]],Table29[],4,FALSE)</f>
        <v>Asia</v>
      </c>
      <c r="AT1213" s="233" t="str">
        <f>VLOOKUP(Table8[[#This Row],[Country Code]],Table29[],5,FALSE)</f>
        <v>Middle-income</v>
      </c>
      <c r="AU1213" s="233" t="str">
        <f>VLOOKUP(Table8[[#This Row],[Country Code]],Table29[],6,FALSE)</f>
        <v>no</v>
      </c>
      <c r="AV1213" s="233" t="str">
        <f>VLOOKUP(Table8[[#This Row],[Country Code]],Table29[],7,FALSE)</f>
        <v>no</v>
      </c>
      <c r="AW1213" s="233" t="str">
        <f>VLOOKUP(Table8[[#This Row],[Country Code]],Table29[],8,FALSE)</f>
        <v>non-OECD</v>
      </c>
      <c r="AX1213" s="233" t="str">
        <f>VLOOKUP(Table8[[#This Row],[Country Code]],Table29[],9,FALSE)</f>
        <v>no</v>
      </c>
      <c r="AY1213" s="233" t="str">
        <f>VLOOKUP(Table8[[#This Row],[Country Code]],Table29[],10,FALSE)</f>
        <v>MENA</v>
      </c>
      <c r="AZ1213" s="235">
        <f>VLOOKUP(Table8[[#This Row],[Country Code]],Table29[],23,FALSE)</f>
        <v>24.672324496902</v>
      </c>
      <c r="BA1213" s="235">
        <f>VLOOKUP(Table8[[#This Row],[Country Code]],Table29[],24,FALSE)</f>
        <v>7.1354134198886934</v>
      </c>
      <c r="BB1213" s="320"/>
      <c r="BC1213" s="320"/>
    </row>
    <row r="1214" spans="1:55" hidden="1" x14ac:dyDescent="0.25">
      <c r="A1214" s="373">
        <v>17642</v>
      </c>
      <c r="B1214" s="233" t="str">
        <f>VLOOKUP(Table8[[#This Row],[Document ID]],Table1[],2,FALSE)</f>
        <v>LSO</v>
      </c>
      <c r="C1214" s="233" t="str">
        <f>VLOOKUP(Table8[[#This Row],[Document ID]],Table1[],3,FALSE)</f>
        <v>Lesotho</v>
      </c>
      <c r="D1214" s="243" t="str">
        <f>VLOOKUP(Table8[[#This Row],[Document ID]],Table1[],5,FALSE)</f>
        <v>NDC</v>
      </c>
      <c r="E1214" s="233" t="str">
        <f>VLOOKUP(Table8[[#This Row],[Document ID]],Table1[],7,FALSE)</f>
        <v>First NDC</v>
      </c>
      <c r="F1214" s="236" t="str">
        <f>VLOOKUP(Table8[[#This Row],[Document ID]],Table1[],8,FALSE)</f>
        <v>NDC 1.0</v>
      </c>
      <c r="G1214" s="236" t="str">
        <f>VLOOKUP(Table8[[#This Row],[Document ID]],Table1[],10,FALSE)</f>
        <v>Archived</v>
      </c>
      <c r="H1214" s="43" t="s">
        <v>2343</v>
      </c>
      <c r="I1214" s="43" t="s">
        <v>2344</v>
      </c>
      <c r="J1214" s="44" t="s">
        <v>2345</v>
      </c>
      <c r="K1214" s="44" t="s">
        <v>3482</v>
      </c>
      <c r="L1214" s="44" t="s">
        <v>2347</v>
      </c>
      <c r="M1214" s="43"/>
      <c r="N1214" s="113" t="s">
        <v>1113</v>
      </c>
      <c r="O1214" s="113"/>
      <c r="P1214" s="113"/>
      <c r="Q1214" s="319"/>
      <c r="R1214" s="319"/>
      <c r="S1214" s="319"/>
      <c r="T1214" s="319"/>
      <c r="U1214" s="319"/>
      <c r="V1214" s="319"/>
      <c r="W1214" s="319"/>
      <c r="X1214" s="319"/>
      <c r="Y1214" s="319"/>
      <c r="Z1214" s="319"/>
      <c r="AA1214" s="319"/>
      <c r="AB1214" s="319"/>
      <c r="AC1214" s="319"/>
      <c r="AD1214" s="319"/>
      <c r="AE1214" s="319"/>
      <c r="AF1214" s="319"/>
      <c r="AG1214" s="319"/>
      <c r="AH1214" s="319"/>
      <c r="AI1214" s="319"/>
      <c r="AJ1214" s="319"/>
      <c r="AK1214" s="319" t="s">
        <v>1113</v>
      </c>
      <c r="AL1214" s="319"/>
      <c r="AM1214" s="319"/>
      <c r="AN1214" s="319"/>
      <c r="AO1214" s="43" t="s">
        <v>2348</v>
      </c>
      <c r="AP1214" s="44"/>
      <c r="AQ1214" s="236" t="str">
        <f>VLOOKUP(Table8[[#This Row],[Instrument]],Def_Targets!$D$73:$E$159,2,FALSE)</f>
        <v>S_PublicTransport</v>
      </c>
      <c r="AR1214" s="233" t="str">
        <f>VLOOKUP(Table8[[#This Row],[Country Code]],Table29[],3,FALSE)</f>
        <v>Non-Annex I</v>
      </c>
      <c r="AS1214" s="233" t="str">
        <f>VLOOKUP(Table8[[#This Row],[Country Code]],Table29[],4,FALSE)</f>
        <v>Africa</v>
      </c>
      <c r="AT1214" s="233" t="str">
        <f>VLOOKUP(Table8[[#This Row],[Country Code]],Table29[],5,FALSE)</f>
        <v>Middle-income</v>
      </c>
      <c r="AU1214" s="233" t="str">
        <f>VLOOKUP(Table8[[#This Row],[Country Code]],Table29[],6,FALSE)</f>
        <v>no</v>
      </c>
      <c r="AV1214" s="233" t="str">
        <f>VLOOKUP(Table8[[#This Row],[Country Code]],Table29[],7,FALSE)</f>
        <v>no</v>
      </c>
      <c r="AW1214" s="233" t="str">
        <f>VLOOKUP(Table8[[#This Row],[Country Code]],Table29[],8,FALSE)</f>
        <v>non-OECD</v>
      </c>
      <c r="AX1214" s="233" t="str">
        <f>VLOOKUP(Table8[[#This Row],[Country Code]],Table29[],9,FALSE)</f>
        <v>no</v>
      </c>
      <c r="AY1214" s="233" t="str">
        <f>VLOOKUP(Table8[[#This Row],[Country Code]],Table29[],10,FALSE)</f>
        <v>no</v>
      </c>
      <c r="AZ1214" s="235">
        <f>VLOOKUP(Table8[[#This Row],[Country Code]],Table29[],23,FALSE)</f>
        <v>2.6019212840000998</v>
      </c>
      <c r="BA1214" s="235">
        <f>VLOOKUP(Table8[[#This Row],[Country Code]],Table29[],24,FALSE)</f>
        <v>0.50992867306348366</v>
      </c>
      <c r="BB1214" s="320"/>
      <c r="BC1214" s="320"/>
    </row>
    <row r="1215" spans="1:55" ht="30" hidden="1" x14ac:dyDescent="0.25">
      <c r="A1215" s="373">
        <v>17642</v>
      </c>
      <c r="B1215" s="233" t="str">
        <f>VLOOKUP(Table8[[#This Row],[Document ID]],Table1[],2,FALSE)</f>
        <v>LSO</v>
      </c>
      <c r="C1215" s="233" t="str">
        <f>VLOOKUP(Table8[[#This Row],[Document ID]],Table1[],3,FALSE)</f>
        <v>Lesotho</v>
      </c>
      <c r="D1215" s="243" t="str">
        <f>VLOOKUP(Table8[[#This Row],[Document ID]],Table1[],5,FALSE)</f>
        <v>NDC</v>
      </c>
      <c r="E1215" s="233" t="str">
        <f>VLOOKUP(Table8[[#This Row],[Document ID]],Table1[],7,FALSE)</f>
        <v>First NDC</v>
      </c>
      <c r="F1215" s="236" t="str">
        <f>VLOOKUP(Table8[[#This Row],[Document ID]],Table1[],8,FALSE)</f>
        <v>NDC 1.0</v>
      </c>
      <c r="G1215" s="236" t="str">
        <f>VLOOKUP(Table8[[#This Row],[Document ID]],Table1[],10,FALSE)</f>
        <v>Archived</v>
      </c>
      <c r="H1215" s="44" t="s">
        <v>2338</v>
      </c>
      <c r="I1215" s="44" t="s">
        <v>2339</v>
      </c>
      <c r="J1215" s="44" t="s">
        <v>2340</v>
      </c>
      <c r="K1215" s="44" t="s">
        <v>3483</v>
      </c>
      <c r="L1215" s="44" t="s">
        <v>2333</v>
      </c>
      <c r="M1215" s="43"/>
      <c r="N1215" s="113" t="s">
        <v>1113</v>
      </c>
      <c r="O1215" s="113"/>
      <c r="P1215" s="113"/>
      <c r="Q1215" s="319"/>
      <c r="R1215" s="319"/>
      <c r="S1215" s="319"/>
      <c r="T1215" s="319"/>
      <c r="U1215" s="319"/>
      <c r="V1215" s="319"/>
      <c r="W1215" s="319"/>
      <c r="X1215" s="319"/>
      <c r="Y1215" s="319"/>
      <c r="Z1215" s="319"/>
      <c r="AA1215" s="319"/>
      <c r="AB1215" s="319"/>
      <c r="AC1215" s="319"/>
      <c r="AD1215" s="319"/>
      <c r="AE1215" s="319"/>
      <c r="AF1215" s="319"/>
      <c r="AG1215" s="319"/>
      <c r="AH1215" s="319"/>
      <c r="AI1215" s="319"/>
      <c r="AJ1215" s="319"/>
      <c r="AK1215" s="319" t="s">
        <v>1113</v>
      </c>
      <c r="AL1215" s="319"/>
      <c r="AM1215" s="319"/>
      <c r="AN1215" s="319"/>
      <c r="AO1215" s="44" t="s">
        <v>2334</v>
      </c>
      <c r="AP1215" s="44"/>
      <c r="AQ1215" s="236" t="str">
        <f>VLOOKUP(Table8[[#This Row],[Instrument]],Def_Targets!$D$73:$E$159,2,FALSE)</f>
        <v>I_Vehicleimprove</v>
      </c>
      <c r="AR1215" s="233" t="str">
        <f>VLOOKUP(Table8[[#This Row],[Country Code]],Table29[],3,FALSE)</f>
        <v>Non-Annex I</v>
      </c>
      <c r="AS1215" s="233" t="str">
        <f>VLOOKUP(Table8[[#This Row],[Country Code]],Table29[],4,FALSE)</f>
        <v>Africa</v>
      </c>
      <c r="AT1215" s="233" t="str">
        <f>VLOOKUP(Table8[[#This Row],[Country Code]],Table29[],5,FALSE)</f>
        <v>Middle-income</v>
      </c>
      <c r="AU1215" s="233" t="str">
        <f>VLOOKUP(Table8[[#This Row],[Country Code]],Table29[],6,FALSE)</f>
        <v>no</v>
      </c>
      <c r="AV1215" s="233" t="str">
        <f>VLOOKUP(Table8[[#This Row],[Country Code]],Table29[],7,FALSE)</f>
        <v>no</v>
      </c>
      <c r="AW1215" s="233" t="str">
        <f>VLOOKUP(Table8[[#This Row],[Country Code]],Table29[],8,FALSE)</f>
        <v>non-OECD</v>
      </c>
      <c r="AX1215" s="233" t="str">
        <f>VLOOKUP(Table8[[#This Row],[Country Code]],Table29[],9,FALSE)</f>
        <v>no</v>
      </c>
      <c r="AY1215" s="233" t="str">
        <f>VLOOKUP(Table8[[#This Row],[Country Code]],Table29[],10,FALSE)</f>
        <v>no</v>
      </c>
      <c r="AZ1215" s="235">
        <f>VLOOKUP(Table8[[#This Row],[Country Code]],Table29[],23,FALSE)</f>
        <v>2.6019212840000998</v>
      </c>
      <c r="BA1215" s="235">
        <f>VLOOKUP(Table8[[#This Row],[Country Code]],Table29[],24,FALSE)</f>
        <v>0.50992867306348366</v>
      </c>
      <c r="BB1215" s="320"/>
      <c r="BC1215" s="320"/>
    </row>
    <row r="1216" spans="1:55" hidden="1" x14ac:dyDescent="0.25">
      <c r="A1216" s="373">
        <v>17643</v>
      </c>
      <c r="B1216" s="233" t="str">
        <f>VLOOKUP(Table8[[#This Row],[Document ID]],Table1[],2,FALSE)</f>
        <v>LBR</v>
      </c>
      <c r="C1216" s="233" t="str">
        <f>VLOOKUP(Table8[[#This Row],[Document ID]],Table1[],3,FALSE)</f>
        <v>Liberia</v>
      </c>
      <c r="D1216" s="243" t="str">
        <f>VLOOKUP(Table8[[#This Row],[Document ID]],Table1[],5,FALSE)</f>
        <v>NDC</v>
      </c>
      <c r="E1216" s="233" t="str">
        <f>VLOOKUP(Table8[[#This Row],[Document ID]],Table1[],7,FALSE)</f>
        <v>First NDC</v>
      </c>
      <c r="F1216" s="236" t="str">
        <f>VLOOKUP(Table8[[#This Row],[Document ID]],Table1[],8,FALSE)</f>
        <v>NDC 1.0</v>
      </c>
      <c r="G1216" s="236" t="str">
        <f>VLOOKUP(Table8[[#This Row],[Document ID]],Table1[],10,FALSE)</f>
        <v>Archived</v>
      </c>
      <c r="H1216" s="44" t="s">
        <v>2329</v>
      </c>
      <c r="I1216" s="44" t="s">
        <v>2330</v>
      </c>
      <c r="J1216" s="44" t="s">
        <v>2357</v>
      </c>
      <c r="K1216" s="44" t="s">
        <v>3484</v>
      </c>
      <c r="L1216" s="44" t="s">
        <v>2333</v>
      </c>
      <c r="M1216" s="43"/>
      <c r="N1216" s="113" t="s">
        <v>1113</v>
      </c>
      <c r="O1216" s="113"/>
      <c r="P1216" s="113"/>
      <c r="Q1216" s="319"/>
      <c r="R1216" s="319"/>
      <c r="S1216" s="319"/>
      <c r="T1216" s="319"/>
      <c r="U1216" s="319"/>
      <c r="V1216" s="319"/>
      <c r="W1216" s="319"/>
      <c r="X1216" s="319"/>
      <c r="Y1216" s="319"/>
      <c r="Z1216" s="319"/>
      <c r="AA1216" s="319"/>
      <c r="AB1216" s="319"/>
      <c r="AC1216" s="319"/>
      <c r="AD1216" s="319"/>
      <c r="AE1216" s="319"/>
      <c r="AF1216" s="319"/>
      <c r="AG1216" s="319"/>
      <c r="AH1216" s="319"/>
      <c r="AI1216" s="319"/>
      <c r="AJ1216" s="319"/>
      <c r="AK1216" s="319" t="s">
        <v>1113</v>
      </c>
      <c r="AL1216" s="319"/>
      <c r="AM1216" s="319"/>
      <c r="AN1216" s="319"/>
      <c r="AO1216" s="44" t="s">
        <v>2334</v>
      </c>
      <c r="AP1216" s="44"/>
      <c r="AQ1216" s="236" t="str">
        <f>VLOOKUP(Table8[[#This Row],[Instrument]],Def_Targets!$D$73:$E$159,2,FALSE)</f>
        <v>I_Biofuel</v>
      </c>
      <c r="AR1216" s="233" t="str">
        <f>VLOOKUP(Table8[[#This Row],[Country Code]],Table29[],3,FALSE)</f>
        <v>Non-Annex I</v>
      </c>
      <c r="AS1216" s="233" t="str">
        <f>VLOOKUP(Table8[[#This Row],[Country Code]],Table29[],4,FALSE)</f>
        <v>Africa</v>
      </c>
      <c r="AT1216" s="233" t="str">
        <f>VLOOKUP(Table8[[#This Row],[Country Code]],Table29[],5,FALSE)</f>
        <v>Low-income</v>
      </c>
      <c r="AU1216" s="233" t="str">
        <f>VLOOKUP(Table8[[#This Row],[Country Code]],Table29[],6,FALSE)</f>
        <v>no</v>
      </c>
      <c r="AV1216" s="233" t="str">
        <f>VLOOKUP(Table8[[#This Row],[Country Code]],Table29[],7,FALSE)</f>
        <v>no</v>
      </c>
      <c r="AW1216" s="233" t="str">
        <f>VLOOKUP(Table8[[#This Row],[Country Code]],Table29[],8,FALSE)</f>
        <v>non-OECD</v>
      </c>
      <c r="AX1216" s="233" t="str">
        <f>VLOOKUP(Table8[[#This Row],[Country Code]],Table29[],9,FALSE)</f>
        <v>no</v>
      </c>
      <c r="AY1216" s="233" t="str">
        <f>VLOOKUP(Table8[[#This Row],[Country Code]],Table29[],10,FALSE)</f>
        <v>no</v>
      </c>
      <c r="AZ1216" s="235">
        <f>VLOOKUP(Table8[[#This Row],[Country Code]],Table29[],23,FALSE)</f>
        <v>4.5323879353986003</v>
      </c>
      <c r="BA1216" s="235">
        <f>VLOOKUP(Table8[[#This Row],[Country Code]],Table29[],24,FALSE)</f>
        <v>0.82749853268205653</v>
      </c>
      <c r="BB1216" s="320"/>
      <c r="BC1216" s="320"/>
    </row>
    <row r="1217" spans="1:55" hidden="1" x14ac:dyDescent="0.25">
      <c r="A1217" s="373">
        <v>17643</v>
      </c>
      <c r="B1217" s="233" t="str">
        <f>VLOOKUP(Table8[[#This Row],[Document ID]],Table1[],2,FALSE)</f>
        <v>LBR</v>
      </c>
      <c r="C1217" s="233" t="str">
        <f>VLOOKUP(Table8[[#This Row],[Document ID]],Table1[],3,FALSE)</f>
        <v>Liberia</v>
      </c>
      <c r="D1217" s="243" t="str">
        <f>VLOOKUP(Table8[[#This Row],[Document ID]],Table1[],5,FALSE)</f>
        <v>NDC</v>
      </c>
      <c r="E1217" s="233" t="str">
        <f>VLOOKUP(Table8[[#This Row],[Document ID]],Table1[],7,FALSE)</f>
        <v>First NDC</v>
      </c>
      <c r="F1217" s="236" t="str">
        <f>VLOOKUP(Table8[[#This Row],[Document ID]],Table1[],8,FALSE)</f>
        <v>NDC 1.0</v>
      </c>
      <c r="G1217" s="236" t="str">
        <f>VLOOKUP(Table8[[#This Row],[Document ID]],Table1[],10,FALSE)</f>
        <v>Archived</v>
      </c>
      <c r="H1217" s="43" t="s">
        <v>2343</v>
      </c>
      <c r="I1217" s="43" t="s">
        <v>2429</v>
      </c>
      <c r="J1217" s="44" t="s">
        <v>2610</v>
      </c>
      <c r="K1217" s="44" t="s">
        <v>3485</v>
      </c>
      <c r="L1217" s="44" t="s">
        <v>2333</v>
      </c>
      <c r="M1217" s="43"/>
      <c r="N1217" s="113" t="s">
        <v>1113</v>
      </c>
      <c r="O1217" s="113"/>
      <c r="P1217" s="113"/>
      <c r="Q1217" s="319"/>
      <c r="R1217" s="319"/>
      <c r="S1217" s="319"/>
      <c r="T1217" s="319"/>
      <c r="U1217" s="319"/>
      <c r="V1217" s="319"/>
      <c r="W1217" s="319"/>
      <c r="X1217" s="319"/>
      <c r="Y1217" s="319"/>
      <c r="Z1217" s="319"/>
      <c r="AA1217" s="319"/>
      <c r="AB1217" s="319"/>
      <c r="AC1217" s="319"/>
      <c r="AD1217" s="319"/>
      <c r="AE1217" s="319"/>
      <c r="AF1217" s="319"/>
      <c r="AG1217" s="319"/>
      <c r="AH1217" s="319"/>
      <c r="AI1217" s="319"/>
      <c r="AJ1217" s="319"/>
      <c r="AK1217" s="319" t="s">
        <v>1113</v>
      </c>
      <c r="AL1217" s="319"/>
      <c r="AM1217" s="319"/>
      <c r="AN1217" s="319"/>
      <c r="AO1217" s="44" t="s">
        <v>2334</v>
      </c>
      <c r="AP1217" s="44"/>
      <c r="AQ1217" s="236" t="e">
        <f>VLOOKUP(Table8[[#This Row],[Instrument]],Def_Targets!$D$73:$E$159,2,FALSE)</f>
        <v>#N/A</v>
      </c>
      <c r="AR1217" s="233" t="str">
        <f>VLOOKUP(Table8[[#This Row],[Country Code]],Table29[],3,FALSE)</f>
        <v>Non-Annex I</v>
      </c>
      <c r="AS1217" s="233" t="str">
        <f>VLOOKUP(Table8[[#This Row],[Country Code]],Table29[],4,FALSE)</f>
        <v>Africa</v>
      </c>
      <c r="AT1217" s="233" t="str">
        <f>VLOOKUP(Table8[[#This Row],[Country Code]],Table29[],5,FALSE)</f>
        <v>Low-income</v>
      </c>
      <c r="AU1217" s="233" t="str">
        <f>VLOOKUP(Table8[[#This Row],[Country Code]],Table29[],6,FALSE)</f>
        <v>no</v>
      </c>
      <c r="AV1217" s="233" t="str">
        <f>VLOOKUP(Table8[[#This Row],[Country Code]],Table29[],7,FALSE)</f>
        <v>no</v>
      </c>
      <c r="AW1217" s="233" t="str">
        <f>VLOOKUP(Table8[[#This Row],[Country Code]],Table29[],8,FALSE)</f>
        <v>non-OECD</v>
      </c>
      <c r="AX1217" s="233" t="str">
        <f>VLOOKUP(Table8[[#This Row],[Country Code]],Table29[],9,FALSE)</f>
        <v>no</v>
      </c>
      <c r="AY1217" s="233" t="str">
        <f>VLOOKUP(Table8[[#This Row],[Country Code]],Table29[],10,FALSE)</f>
        <v>no</v>
      </c>
      <c r="AZ1217" s="235">
        <f>VLOOKUP(Table8[[#This Row],[Country Code]],Table29[],23,FALSE)</f>
        <v>4.5323879353986003</v>
      </c>
      <c r="BA1217" s="235">
        <f>VLOOKUP(Table8[[#This Row],[Country Code]],Table29[],24,FALSE)</f>
        <v>0.82749853268205653</v>
      </c>
      <c r="BB1217" s="320"/>
      <c r="BC1217" s="320"/>
    </row>
    <row r="1218" spans="1:55" hidden="1" x14ac:dyDescent="0.25">
      <c r="A1218" s="373">
        <v>17643</v>
      </c>
      <c r="B1218" s="233" t="str">
        <f>VLOOKUP(Table8[[#This Row],[Document ID]],Table1[],2,FALSE)</f>
        <v>LBR</v>
      </c>
      <c r="C1218" s="233" t="str">
        <f>VLOOKUP(Table8[[#This Row],[Document ID]],Table1[],3,FALSE)</f>
        <v>Liberia</v>
      </c>
      <c r="D1218" s="243" t="str">
        <f>VLOOKUP(Table8[[#This Row],[Document ID]],Table1[],5,FALSE)</f>
        <v>NDC</v>
      </c>
      <c r="E1218" s="233" t="str">
        <f>VLOOKUP(Table8[[#This Row],[Document ID]],Table1[],7,FALSE)</f>
        <v>First NDC</v>
      </c>
      <c r="F1218" s="236" t="str">
        <f>VLOOKUP(Table8[[#This Row],[Document ID]],Table1[],8,FALSE)</f>
        <v>NDC 1.0</v>
      </c>
      <c r="G1218" s="236" t="str">
        <f>VLOOKUP(Table8[[#This Row],[Document ID]],Table1[],10,FALSE)</f>
        <v>Archived</v>
      </c>
      <c r="H1218" s="43" t="s">
        <v>2350</v>
      </c>
      <c r="I1218" s="43" t="s">
        <v>2456</v>
      </c>
      <c r="J1218" s="44" t="s">
        <v>2457</v>
      </c>
      <c r="K1218" s="44" t="s">
        <v>3486</v>
      </c>
      <c r="L1218" s="44" t="s">
        <v>2347</v>
      </c>
      <c r="M1218" s="43"/>
      <c r="N1218" s="113" t="s">
        <v>1113</v>
      </c>
      <c r="O1218" s="113"/>
      <c r="P1218" s="113"/>
      <c r="Q1218" s="319"/>
      <c r="R1218" s="319"/>
      <c r="S1218" s="319"/>
      <c r="T1218" s="319"/>
      <c r="U1218" s="319"/>
      <c r="V1218" s="319"/>
      <c r="W1218" s="319"/>
      <c r="X1218" s="319"/>
      <c r="Y1218" s="319"/>
      <c r="Z1218" s="319"/>
      <c r="AA1218" s="319"/>
      <c r="AB1218" s="319"/>
      <c r="AC1218" s="319"/>
      <c r="AD1218" s="319"/>
      <c r="AE1218" s="319"/>
      <c r="AF1218" s="319"/>
      <c r="AG1218" s="319"/>
      <c r="AH1218" s="319"/>
      <c r="AI1218" s="319"/>
      <c r="AJ1218" s="319"/>
      <c r="AK1218" s="319" t="s">
        <v>1113</v>
      </c>
      <c r="AL1218" s="319"/>
      <c r="AM1218" s="319"/>
      <c r="AN1218" s="319"/>
      <c r="AO1218" s="44" t="s">
        <v>2334</v>
      </c>
      <c r="AP1218" s="44"/>
      <c r="AQ1218" s="236" t="str">
        <f>VLOOKUP(Table8[[#This Row],[Instrument]],Def_Targets!$D$73:$E$159,2,FALSE)</f>
        <v>S_Infraimprove</v>
      </c>
      <c r="AR1218" s="233" t="str">
        <f>VLOOKUP(Table8[[#This Row],[Country Code]],Table29[],3,FALSE)</f>
        <v>Non-Annex I</v>
      </c>
      <c r="AS1218" s="233" t="str">
        <f>VLOOKUP(Table8[[#This Row],[Country Code]],Table29[],4,FALSE)</f>
        <v>Africa</v>
      </c>
      <c r="AT1218" s="233" t="str">
        <f>VLOOKUP(Table8[[#This Row],[Country Code]],Table29[],5,FALSE)</f>
        <v>Low-income</v>
      </c>
      <c r="AU1218" s="233" t="str">
        <f>VLOOKUP(Table8[[#This Row],[Country Code]],Table29[],6,FALSE)</f>
        <v>no</v>
      </c>
      <c r="AV1218" s="233" t="str">
        <f>VLOOKUP(Table8[[#This Row],[Country Code]],Table29[],7,FALSE)</f>
        <v>no</v>
      </c>
      <c r="AW1218" s="233" t="str">
        <f>VLOOKUP(Table8[[#This Row],[Country Code]],Table29[],8,FALSE)</f>
        <v>non-OECD</v>
      </c>
      <c r="AX1218" s="233" t="str">
        <f>VLOOKUP(Table8[[#This Row],[Country Code]],Table29[],9,FALSE)</f>
        <v>no</v>
      </c>
      <c r="AY1218" s="233" t="str">
        <f>VLOOKUP(Table8[[#This Row],[Country Code]],Table29[],10,FALSE)</f>
        <v>no</v>
      </c>
      <c r="AZ1218" s="235">
        <f>VLOOKUP(Table8[[#This Row],[Country Code]],Table29[],23,FALSE)</f>
        <v>4.5323879353986003</v>
      </c>
      <c r="BA1218" s="235">
        <f>VLOOKUP(Table8[[#This Row],[Country Code]],Table29[],24,FALSE)</f>
        <v>0.82749853268205653</v>
      </c>
      <c r="BB1218" s="320"/>
      <c r="BC1218" s="320"/>
    </row>
    <row r="1219" spans="1:55" hidden="1" x14ac:dyDescent="0.25">
      <c r="A1219" s="373">
        <v>17643</v>
      </c>
      <c r="B1219" s="233" t="str">
        <f>VLOOKUP(Table8[[#This Row],[Document ID]],Table1[],2,FALSE)</f>
        <v>LBR</v>
      </c>
      <c r="C1219" s="233" t="str">
        <f>VLOOKUP(Table8[[#This Row],[Document ID]],Table1[],3,FALSE)</f>
        <v>Liberia</v>
      </c>
      <c r="D1219" s="243" t="str">
        <f>VLOOKUP(Table8[[#This Row],[Document ID]],Table1[],5,FALSE)</f>
        <v>NDC</v>
      </c>
      <c r="E1219" s="233" t="str">
        <f>VLOOKUP(Table8[[#This Row],[Document ID]],Table1[],7,FALSE)</f>
        <v>First NDC</v>
      </c>
      <c r="F1219" s="236" t="str">
        <f>VLOOKUP(Table8[[#This Row],[Document ID]],Table1[],8,FALSE)</f>
        <v>NDC 1.0</v>
      </c>
      <c r="G1219" s="236" t="str">
        <f>VLOOKUP(Table8[[#This Row],[Document ID]],Table1[],10,FALSE)</f>
        <v>Archived</v>
      </c>
      <c r="H1219" s="44" t="s">
        <v>2338</v>
      </c>
      <c r="I1219" s="44" t="s">
        <v>2339</v>
      </c>
      <c r="J1219" s="44" t="s">
        <v>2340</v>
      </c>
      <c r="K1219" s="44" t="s">
        <v>3487</v>
      </c>
      <c r="L1219" s="44" t="s">
        <v>2333</v>
      </c>
      <c r="M1219" s="43"/>
      <c r="N1219" s="113" t="s">
        <v>1113</v>
      </c>
      <c r="O1219" s="113"/>
      <c r="P1219" s="113"/>
      <c r="Q1219" s="319"/>
      <c r="R1219" s="319"/>
      <c r="S1219" s="319"/>
      <c r="T1219" s="319"/>
      <c r="U1219" s="319"/>
      <c r="V1219" s="319"/>
      <c r="W1219" s="319"/>
      <c r="X1219" s="319"/>
      <c r="Y1219" s="319"/>
      <c r="Z1219" s="319"/>
      <c r="AA1219" s="319"/>
      <c r="AB1219" s="319"/>
      <c r="AC1219" s="319"/>
      <c r="AD1219" s="319"/>
      <c r="AE1219" s="319"/>
      <c r="AF1219" s="319"/>
      <c r="AG1219" s="319"/>
      <c r="AH1219" s="319"/>
      <c r="AI1219" s="319"/>
      <c r="AJ1219" s="319"/>
      <c r="AK1219" s="319" t="s">
        <v>1113</v>
      </c>
      <c r="AL1219" s="319"/>
      <c r="AM1219" s="319"/>
      <c r="AN1219" s="319"/>
      <c r="AO1219" s="44" t="s">
        <v>2334</v>
      </c>
      <c r="AP1219" s="44"/>
      <c r="AQ1219" s="236" t="str">
        <f>VLOOKUP(Table8[[#This Row],[Instrument]],Def_Targets!$D$73:$E$159,2,FALSE)</f>
        <v>I_Vehicleimprove</v>
      </c>
      <c r="AR1219" s="233" t="str">
        <f>VLOOKUP(Table8[[#This Row],[Country Code]],Table29[],3,FALSE)</f>
        <v>Non-Annex I</v>
      </c>
      <c r="AS1219" s="233" t="str">
        <f>VLOOKUP(Table8[[#This Row],[Country Code]],Table29[],4,FALSE)</f>
        <v>Africa</v>
      </c>
      <c r="AT1219" s="233" t="str">
        <f>VLOOKUP(Table8[[#This Row],[Country Code]],Table29[],5,FALSE)</f>
        <v>Low-income</v>
      </c>
      <c r="AU1219" s="233" t="str">
        <f>VLOOKUP(Table8[[#This Row],[Country Code]],Table29[],6,FALSE)</f>
        <v>no</v>
      </c>
      <c r="AV1219" s="233" t="str">
        <f>VLOOKUP(Table8[[#This Row],[Country Code]],Table29[],7,FALSE)</f>
        <v>no</v>
      </c>
      <c r="AW1219" s="233" t="str">
        <f>VLOOKUP(Table8[[#This Row],[Country Code]],Table29[],8,FALSE)</f>
        <v>non-OECD</v>
      </c>
      <c r="AX1219" s="233" t="str">
        <f>VLOOKUP(Table8[[#This Row],[Country Code]],Table29[],9,FALSE)</f>
        <v>no</v>
      </c>
      <c r="AY1219" s="233" t="str">
        <f>VLOOKUP(Table8[[#This Row],[Country Code]],Table29[],10,FALSE)</f>
        <v>no</v>
      </c>
      <c r="AZ1219" s="235">
        <f>VLOOKUP(Table8[[#This Row],[Country Code]],Table29[],23,FALSE)</f>
        <v>4.5323879353986003</v>
      </c>
      <c r="BA1219" s="235">
        <f>VLOOKUP(Table8[[#This Row],[Country Code]],Table29[],24,FALSE)</f>
        <v>0.82749853268205653</v>
      </c>
      <c r="BB1219" s="320"/>
      <c r="BC1219" s="320"/>
    </row>
    <row r="1220" spans="1:55" ht="30" hidden="1" x14ac:dyDescent="0.25">
      <c r="A1220" s="373">
        <v>17643</v>
      </c>
      <c r="B1220" s="233" t="str">
        <f>VLOOKUP(Table8[[#This Row],[Document ID]],Table1[],2,FALSE)</f>
        <v>LBR</v>
      </c>
      <c r="C1220" s="233" t="str">
        <f>VLOOKUP(Table8[[#This Row],[Document ID]],Table1[],3,FALSE)</f>
        <v>Liberia</v>
      </c>
      <c r="D1220" s="243" t="str">
        <f>VLOOKUP(Table8[[#This Row],[Document ID]],Table1[],5,FALSE)</f>
        <v>NDC</v>
      </c>
      <c r="E1220" s="233" t="str">
        <f>VLOOKUP(Table8[[#This Row],[Document ID]],Table1[],7,FALSE)</f>
        <v>First NDC</v>
      </c>
      <c r="F1220" s="236" t="str">
        <f>VLOOKUP(Table8[[#This Row],[Document ID]],Table1[],8,FALSE)</f>
        <v>NDC 1.0</v>
      </c>
      <c r="G1220" s="236" t="str">
        <f>VLOOKUP(Table8[[#This Row],[Document ID]],Table1[],10,FALSE)</f>
        <v>Archived</v>
      </c>
      <c r="H1220" s="43" t="s">
        <v>2350</v>
      </c>
      <c r="I1220" s="43" t="s">
        <v>2407</v>
      </c>
      <c r="J1220" s="44" t="s">
        <v>2408</v>
      </c>
      <c r="K1220" s="44" t="s">
        <v>3488</v>
      </c>
      <c r="L1220" s="44" t="s">
        <v>2373</v>
      </c>
      <c r="M1220" s="43"/>
      <c r="N1220" s="113" t="s">
        <v>1113</v>
      </c>
      <c r="O1220" s="113"/>
      <c r="P1220" s="113"/>
      <c r="Q1220" s="319"/>
      <c r="R1220" s="319"/>
      <c r="S1220" s="319"/>
      <c r="T1220" s="319"/>
      <c r="U1220" s="319"/>
      <c r="V1220" s="319"/>
      <c r="W1220" s="319"/>
      <c r="X1220" s="319"/>
      <c r="Y1220" s="319"/>
      <c r="Z1220" s="319"/>
      <c r="AA1220" s="319"/>
      <c r="AB1220" s="319"/>
      <c r="AC1220" s="319"/>
      <c r="AD1220" s="319"/>
      <c r="AE1220" s="319"/>
      <c r="AF1220" s="319"/>
      <c r="AG1220" s="319"/>
      <c r="AH1220" s="319"/>
      <c r="AI1220" s="319"/>
      <c r="AJ1220" s="319"/>
      <c r="AK1220" s="319" t="s">
        <v>1113</v>
      </c>
      <c r="AL1220" s="319"/>
      <c r="AM1220" s="319"/>
      <c r="AN1220" s="319"/>
      <c r="AO1220" s="44" t="s">
        <v>2334</v>
      </c>
      <c r="AP1220" s="44"/>
      <c r="AQ1220" s="236" t="str">
        <f>VLOOKUP(Table8[[#This Row],[Instrument]],Def_Targets!$D$73:$E$159,2,FALSE)</f>
        <v>I_Education</v>
      </c>
      <c r="AR1220" s="233" t="str">
        <f>VLOOKUP(Table8[[#This Row],[Country Code]],Table29[],3,FALSE)</f>
        <v>Non-Annex I</v>
      </c>
      <c r="AS1220" s="233" t="str">
        <f>VLOOKUP(Table8[[#This Row],[Country Code]],Table29[],4,FALSE)</f>
        <v>Africa</v>
      </c>
      <c r="AT1220" s="233" t="str">
        <f>VLOOKUP(Table8[[#This Row],[Country Code]],Table29[],5,FALSE)</f>
        <v>Low-income</v>
      </c>
      <c r="AU1220" s="233" t="str">
        <f>VLOOKUP(Table8[[#This Row],[Country Code]],Table29[],6,FALSE)</f>
        <v>no</v>
      </c>
      <c r="AV1220" s="233" t="str">
        <f>VLOOKUP(Table8[[#This Row],[Country Code]],Table29[],7,FALSE)</f>
        <v>no</v>
      </c>
      <c r="AW1220" s="233" t="str">
        <f>VLOOKUP(Table8[[#This Row],[Country Code]],Table29[],8,FALSE)</f>
        <v>non-OECD</v>
      </c>
      <c r="AX1220" s="233" t="str">
        <f>VLOOKUP(Table8[[#This Row],[Country Code]],Table29[],9,FALSE)</f>
        <v>no</v>
      </c>
      <c r="AY1220" s="233" t="str">
        <f>VLOOKUP(Table8[[#This Row],[Country Code]],Table29[],10,FALSE)</f>
        <v>no</v>
      </c>
      <c r="AZ1220" s="235">
        <f>VLOOKUP(Table8[[#This Row],[Country Code]],Table29[],23,FALSE)</f>
        <v>4.5323879353986003</v>
      </c>
      <c r="BA1220" s="235">
        <f>VLOOKUP(Table8[[#This Row],[Country Code]],Table29[],24,FALSE)</f>
        <v>0.82749853268205653</v>
      </c>
      <c r="BB1220" s="320"/>
      <c r="BC1220" s="320"/>
    </row>
    <row r="1221" spans="1:55" hidden="1" x14ac:dyDescent="0.25">
      <c r="A1221" s="373">
        <v>17643</v>
      </c>
      <c r="B1221" s="233" t="str">
        <f>VLOOKUP(Table8[[#This Row],[Document ID]],Table1[],2,FALSE)</f>
        <v>LBR</v>
      </c>
      <c r="C1221" s="233" t="str">
        <f>VLOOKUP(Table8[[#This Row],[Document ID]],Table1[],3,FALSE)</f>
        <v>Liberia</v>
      </c>
      <c r="D1221" s="243" t="str">
        <f>VLOOKUP(Table8[[#This Row],[Document ID]],Table1[],5,FALSE)</f>
        <v>NDC</v>
      </c>
      <c r="E1221" s="233" t="str">
        <f>VLOOKUP(Table8[[#This Row],[Document ID]],Table1[],7,FALSE)</f>
        <v>First NDC</v>
      </c>
      <c r="F1221" s="233" t="str">
        <f>VLOOKUP(Table8[[#This Row],[Document ID]],Table1[],8,FALSE)</f>
        <v>NDC 1.0</v>
      </c>
      <c r="G1221" s="233" t="str">
        <f>VLOOKUP(Table8[[#This Row],[Document ID]],Table1[],10,FALSE)</f>
        <v>Archived</v>
      </c>
      <c r="H1221" s="43" t="s">
        <v>2350</v>
      </c>
      <c r="I1221" s="43" t="s">
        <v>2370</v>
      </c>
      <c r="J1221" s="44" t="s">
        <v>2581</v>
      </c>
      <c r="K1221" s="44" t="s">
        <v>3489</v>
      </c>
      <c r="L1221" s="44" t="s">
        <v>2380</v>
      </c>
      <c r="M1221" s="43"/>
      <c r="N1221" s="113" t="s">
        <v>1113</v>
      </c>
      <c r="O1221" s="113"/>
      <c r="P1221" s="113"/>
      <c r="Q1221" s="113"/>
      <c r="R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319" t="s">
        <v>1113</v>
      </c>
      <c r="AL1221" s="113"/>
      <c r="AM1221" s="113"/>
      <c r="AN1221" s="113"/>
      <c r="AO1221" s="44" t="s">
        <v>2334</v>
      </c>
      <c r="AP1221" s="43"/>
      <c r="AQ1221" s="236" t="str">
        <f>VLOOKUP(Table8[[#This Row],[Instrument]],Def_Targets!$D$73:$E$159,2,FALSE)</f>
        <v>A_SUMP</v>
      </c>
      <c r="AR1221" s="233" t="str">
        <f>VLOOKUP(Table8[[#This Row],[Country Code]],Table29[],3,FALSE)</f>
        <v>Non-Annex I</v>
      </c>
      <c r="AS1221" s="233" t="str">
        <f>VLOOKUP(Table8[[#This Row],[Country Code]],Table29[],4,FALSE)</f>
        <v>Africa</v>
      </c>
      <c r="AT1221" s="233" t="str">
        <f>VLOOKUP(Table8[[#This Row],[Country Code]],Table29[],5,FALSE)</f>
        <v>Low-income</v>
      </c>
      <c r="AU1221" s="233" t="str">
        <f>VLOOKUP(Table8[[#This Row],[Country Code]],Table29[],6,FALSE)</f>
        <v>no</v>
      </c>
      <c r="AV1221" s="233" t="str">
        <f>VLOOKUP(Table8[[#This Row],[Country Code]],Table29[],7,FALSE)</f>
        <v>no</v>
      </c>
      <c r="AW1221" s="233" t="str">
        <f>VLOOKUP(Table8[[#This Row],[Country Code]],Table29[],8,FALSE)</f>
        <v>non-OECD</v>
      </c>
      <c r="AX1221" s="233" t="str">
        <f>VLOOKUP(Table8[[#This Row],[Country Code]],Table29[],9,FALSE)</f>
        <v>no</v>
      </c>
      <c r="AY1221" s="233" t="str">
        <f>VLOOKUP(Table8[[#This Row],[Country Code]],Table29[],10,FALSE)</f>
        <v>no</v>
      </c>
      <c r="AZ1221" s="235">
        <f>VLOOKUP(Table8[[#This Row],[Country Code]],Table29[],23,FALSE)</f>
        <v>4.5323879353986003</v>
      </c>
      <c r="BA1221" s="235">
        <f>VLOOKUP(Table8[[#This Row],[Country Code]],Table29[],24,FALSE)</f>
        <v>0.82749853268205653</v>
      </c>
      <c r="BB1221" s="320"/>
      <c r="BC1221" s="320"/>
    </row>
    <row r="1222" spans="1:55" hidden="1" x14ac:dyDescent="0.25">
      <c r="A1222" s="373">
        <v>17643</v>
      </c>
      <c r="B1222" s="233" t="str">
        <f>VLOOKUP(Table8[[#This Row],[Document ID]],Table1[],2,FALSE)</f>
        <v>LBR</v>
      </c>
      <c r="C1222" s="233" t="str">
        <f>VLOOKUP(Table8[[#This Row],[Document ID]],Table1[],3,FALSE)</f>
        <v>Liberia</v>
      </c>
      <c r="D1222" s="243" t="str">
        <f>VLOOKUP(Table8[[#This Row],[Document ID]],Table1[],5,FALSE)</f>
        <v>NDC</v>
      </c>
      <c r="E1222" s="233" t="str">
        <f>VLOOKUP(Table8[[#This Row],[Document ID]],Table1[],7,FALSE)</f>
        <v>First NDC</v>
      </c>
      <c r="F1222" s="236" t="str">
        <f>VLOOKUP(Table8[[#This Row],[Document ID]],Table1[],8,FALSE)</f>
        <v>NDC 1.0</v>
      </c>
      <c r="G1222" s="236" t="str">
        <f>VLOOKUP(Table8[[#This Row],[Document ID]],Table1[],10,FALSE)</f>
        <v>Archived</v>
      </c>
      <c r="H1222" s="44" t="s">
        <v>2338</v>
      </c>
      <c r="I1222" s="44" t="s">
        <v>2339</v>
      </c>
      <c r="J1222" s="44" t="s">
        <v>2340</v>
      </c>
      <c r="K1222" s="44" t="s">
        <v>3490</v>
      </c>
      <c r="L1222" s="44" t="s">
        <v>2333</v>
      </c>
      <c r="M1222" s="43"/>
      <c r="N1222" s="113" t="s">
        <v>1113</v>
      </c>
      <c r="O1222" s="113"/>
      <c r="P1222" s="113"/>
      <c r="Q1222" s="319"/>
      <c r="R1222" s="319"/>
      <c r="S1222" s="319"/>
      <c r="T1222" s="319"/>
      <c r="U1222" s="319"/>
      <c r="V1222" s="319"/>
      <c r="W1222" s="319"/>
      <c r="X1222" s="319"/>
      <c r="Y1222" s="319"/>
      <c r="Z1222" s="319"/>
      <c r="AA1222" s="319"/>
      <c r="AB1222" s="319"/>
      <c r="AC1222" s="319"/>
      <c r="AD1222" s="319"/>
      <c r="AE1222" s="319"/>
      <c r="AF1222" s="319"/>
      <c r="AG1222" s="319"/>
      <c r="AH1222" s="319"/>
      <c r="AI1222" s="319"/>
      <c r="AJ1222" s="319"/>
      <c r="AK1222" s="319" t="s">
        <v>1113</v>
      </c>
      <c r="AL1222" s="319"/>
      <c r="AM1222" s="319"/>
      <c r="AN1222" s="319"/>
      <c r="AO1222" s="44" t="s">
        <v>2334</v>
      </c>
      <c r="AP1222" s="44"/>
      <c r="AQ1222" s="236" t="str">
        <f>VLOOKUP(Table8[[#This Row],[Instrument]],Def_Targets!$D$73:$E$159,2,FALSE)</f>
        <v>I_Vehicleimprove</v>
      </c>
      <c r="AR1222" s="233" t="str">
        <f>VLOOKUP(Table8[[#This Row],[Country Code]],Table29[],3,FALSE)</f>
        <v>Non-Annex I</v>
      </c>
      <c r="AS1222" s="233" t="str">
        <f>VLOOKUP(Table8[[#This Row],[Country Code]],Table29[],4,FALSE)</f>
        <v>Africa</v>
      </c>
      <c r="AT1222" s="233" t="str">
        <f>VLOOKUP(Table8[[#This Row],[Country Code]],Table29[],5,FALSE)</f>
        <v>Low-income</v>
      </c>
      <c r="AU1222" s="233" t="str">
        <f>VLOOKUP(Table8[[#This Row],[Country Code]],Table29[],6,FALSE)</f>
        <v>no</v>
      </c>
      <c r="AV1222" s="233" t="str">
        <f>VLOOKUP(Table8[[#This Row],[Country Code]],Table29[],7,FALSE)</f>
        <v>no</v>
      </c>
      <c r="AW1222" s="233" t="str">
        <f>VLOOKUP(Table8[[#This Row],[Country Code]],Table29[],8,FALSE)</f>
        <v>non-OECD</v>
      </c>
      <c r="AX1222" s="233" t="str">
        <f>VLOOKUP(Table8[[#This Row],[Country Code]],Table29[],9,FALSE)</f>
        <v>no</v>
      </c>
      <c r="AY1222" s="233" t="str">
        <f>VLOOKUP(Table8[[#This Row],[Country Code]],Table29[],10,FALSE)</f>
        <v>no</v>
      </c>
      <c r="AZ1222" s="235">
        <f>VLOOKUP(Table8[[#This Row],[Country Code]],Table29[],23,FALSE)</f>
        <v>4.5323879353986003</v>
      </c>
      <c r="BA1222" s="235">
        <f>VLOOKUP(Table8[[#This Row],[Country Code]],Table29[],24,FALSE)</f>
        <v>0.82749853268205653</v>
      </c>
      <c r="BB1222" s="320"/>
      <c r="BC1222" s="320"/>
    </row>
    <row r="1223" spans="1:55" ht="30" hidden="1" x14ac:dyDescent="0.25">
      <c r="A1223" s="360">
        <v>21432</v>
      </c>
      <c r="B1223" s="233" t="str">
        <f>VLOOKUP(Table8[[#This Row],[Document ID]],Table1[],2,FALSE)</f>
        <v>LBR</v>
      </c>
      <c r="C1223" s="233" t="str">
        <f>VLOOKUP(Table8[[#This Row],[Document ID]],Table1[],3,FALSE)</f>
        <v>Liberia</v>
      </c>
      <c r="D1223" s="233" t="str">
        <f>VLOOKUP(Table8[[#This Row],[Document ID]],Table1[],5,FALSE)</f>
        <v>NDC</v>
      </c>
      <c r="E1223" s="233" t="str">
        <f>VLOOKUP(Table8[[#This Row],[Document ID]],Table1[],7,FALSE)</f>
        <v>First NDC updated</v>
      </c>
      <c r="F1223" s="233" t="str">
        <f>VLOOKUP(Table8[[#This Row],[Document ID]],Table1[],8,FALSE)</f>
        <v>NDC 1.1</v>
      </c>
      <c r="G1223" s="233" t="str">
        <f>VLOOKUP(Table8[[#This Row],[Document ID]],Table1[],10,FALSE)</f>
        <v>Active</v>
      </c>
      <c r="H1223" s="44" t="s">
        <v>2338</v>
      </c>
      <c r="I1223" s="44" t="s">
        <v>2339</v>
      </c>
      <c r="J1223" s="44" t="s">
        <v>2355</v>
      </c>
      <c r="K1223" s="44" t="s">
        <v>3491</v>
      </c>
      <c r="L1223" s="44" t="s">
        <v>2333</v>
      </c>
      <c r="M1223" s="43">
        <v>12</v>
      </c>
      <c r="N1223" s="113"/>
      <c r="O1223" s="113"/>
      <c r="P1223" s="113"/>
      <c r="Q1223" s="113"/>
      <c r="R1223" s="113"/>
      <c r="S1223" s="113" t="s">
        <v>1113</v>
      </c>
      <c r="T1223" s="113"/>
      <c r="U1223" s="113"/>
      <c r="V1223" s="113"/>
      <c r="W1223" s="113"/>
      <c r="X1223" s="113"/>
      <c r="Y1223" s="113"/>
      <c r="Z1223" s="113"/>
      <c r="AA1223" s="113"/>
      <c r="AB1223" s="113"/>
      <c r="AC1223" s="113"/>
      <c r="AD1223" s="113"/>
      <c r="AE1223" s="113"/>
      <c r="AF1223" s="113"/>
      <c r="AG1223" s="113"/>
      <c r="AH1223" s="113"/>
      <c r="AI1223" s="113"/>
      <c r="AJ1223" s="113"/>
      <c r="AK1223" s="113" t="s">
        <v>1113</v>
      </c>
      <c r="AL1223" s="113"/>
      <c r="AM1223" s="113"/>
      <c r="AN1223" s="113"/>
      <c r="AO1223" s="44" t="s">
        <v>2334</v>
      </c>
      <c r="AP1223" s="43"/>
      <c r="AQ1223" s="236" t="str">
        <f>VLOOKUP(Table8[[#This Row],[Instrument]],Def_Targets!$D$73:$E$159,2,FALSE)</f>
        <v>I_Vehiclelabel</v>
      </c>
      <c r="AR1223" s="233" t="str">
        <f>VLOOKUP(Table8[[#This Row],[Country Code]],Table29[],3,FALSE)</f>
        <v>Non-Annex I</v>
      </c>
      <c r="AS1223" s="233" t="str">
        <f>VLOOKUP(Table8[[#This Row],[Country Code]],Table29[],4,FALSE)</f>
        <v>Africa</v>
      </c>
      <c r="AT1223" s="233" t="str">
        <f>VLOOKUP(Table8[[#This Row],[Country Code]],Table29[],5,FALSE)</f>
        <v>Low-income</v>
      </c>
      <c r="AU1223" s="233" t="str">
        <f>VLOOKUP(Table8[[#This Row],[Country Code]],Table29[],6,FALSE)</f>
        <v>no</v>
      </c>
      <c r="AV1223" s="233" t="str">
        <f>VLOOKUP(Table8[[#This Row],[Country Code]],Table29[],7,FALSE)</f>
        <v>no</v>
      </c>
      <c r="AW1223" s="233" t="str">
        <f>VLOOKUP(Table8[[#This Row],[Country Code]],Table29[],8,FALSE)</f>
        <v>non-OECD</v>
      </c>
      <c r="AX1223" s="233" t="str">
        <f>VLOOKUP(Table8[[#This Row],[Country Code]],Table29[],9,FALSE)</f>
        <v>no</v>
      </c>
      <c r="AY1223" s="233" t="str">
        <f>VLOOKUP(Table8[[#This Row],[Country Code]],Table29[],10,FALSE)</f>
        <v>no</v>
      </c>
      <c r="AZ1223" s="235">
        <f>VLOOKUP(Table8[[#This Row],[Country Code]],Table29[],23,FALSE)</f>
        <v>4.5323879353986003</v>
      </c>
      <c r="BA1223" s="235">
        <f>VLOOKUP(Table8[[#This Row],[Country Code]],Table29[],24,FALSE)</f>
        <v>0.82749853268205653</v>
      </c>
      <c r="BB1223" s="320"/>
      <c r="BC1223" s="320"/>
    </row>
    <row r="1224" spans="1:55" ht="75" hidden="1" x14ac:dyDescent="0.25">
      <c r="A1224" s="360">
        <v>21432</v>
      </c>
      <c r="B1224" s="233" t="str">
        <f>VLOOKUP(Table8[[#This Row],[Document ID]],Table1[],2,FALSE)</f>
        <v>LBR</v>
      </c>
      <c r="C1224" s="233" t="str">
        <f>VLOOKUP(Table8[[#This Row],[Document ID]],Table1[],3,FALSE)</f>
        <v>Liberia</v>
      </c>
      <c r="D1224" s="233" t="str">
        <f>VLOOKUP(Table8[[#This Row],[Document ID]],Table1[],5,FALSE)</f>
        <v>NDC</v>
      </c>
      <c r="E1224" s="233" t="str">
        <f>VLOOKUP(Table8[[#This Row],[Document ID]],Table1[],7,FALSE)</f>
        <v>First NDC updated</v>
      </c>
      <c r="F1224" s="233" t="str">
        <f>VLOOKUP(Table8[[#This Row],[Document ID]],Table1[],8,FALSE)</f>
        <v>NDC 1.1</v>
      </c>
      <c r="G1224" s="233" t="str">
        <f>VLOOKUP(Table8[[#This Row],[Document ID]],Table1[],10,FALSE)</f>
        <v>Active</v>
      </c>
      <c r="H1224" s="43" t="s">
        <v>2343</v>
      </c>
      <c r="I1224" s="43" t="s">
        <v>2386</v>
      </c>
      <c r="J1224" s="44" t="s">
        <v>2530</v>
      </c>
      <c r="K1224" s="44" t="s">
        <v>3492</v>
      </c>
      <c r="L1224" s="44" t="s">
        <v>2333</v>
      </c>
      <c r="M1224" s="43">
        <v>12</v>
      </c>
      <c r="N1224" s="113"/>
      <c r="O1224" s="113"/>
      <c r="P1224" s="113"/>
      <c r="Q1224" s="113"/>
      <c r="R1224" s="113"/>
      <c r="S1224" s="113" t="s">
        <v>1113</v>
      </c>
      <c r="T1224" s="113"/>
      <c r="U1224" s="113"/>
      <c r="V1224" s="113"/>
      <c r="W1224" s="113"/>
      <c r="X1224" s="113"/>
      <c r="Y1224" s="113"/>
      <c r="Z1224" s="113"/>
      <c r="AA1224" s="113"/>
      <c r="AB1224" s="113"/>
      <c r="AC1224" s="113"/>
      <c r="AD1224" s="113"/>
      <c r="AE1224" s="113"/>
      <c r="AF1224" s="113"/>
      <c r="AG1224" s="113"/>
      <c r="AH1224" s="113"/>
      <c r="AI1224" s="113"/>
      <c r="AJ1224" s="113"/>
      <c r="AK1224" s="113" t="s">
        <v>1113</v>
      </c>
      <c r="AL1224" s="113"/>
      <c r="AM1224" s="113"/>
      <c r="AN1224" s="113"/>
      <c r="AO1224" s="44" t="s">
        <v>2334</v>
      </c>
      <c r="AP1224" s="43"/>
      <c r="AQ1224" s="236" t="str">
        <f>VLOOKUP(Table8[[#This Row],[Instrument]],Def_Targets!$D$73:$E$159,2,FALSE)</f>
        <v>A_Vehicletax</v>
      </c>
      <c r="AR1224" s="233" t="str">
        <f>VLOOKUP(Table8[[#This Row],[Country Code]],Table29[],3,FALSE)</f>
        <v>Non-Annex I</v>
      </c>
      <c r="AS1224" s="233" t="str">
        <f>VLOOKUP(Table8[[#This Row],[Country Code]],Table29[],4,FALSE)</f>
        <v>Africa</v>
      </c>
      <c r="AT1224" s="233" t="str">
        <f>VLOOKUP(Table8[[#This Row],[Country Code]],Table29[],5,FALSE)</f>
        <v>Low-income</v>
      </c>
      <c r="AU1224" s="233" t="str">
        <f>VLOOKUP(Table8[[#This Row],[Country Code]],Table29[],6,FALSE)</f>
        <v>no</v>
      </c>
      <c r="AV1224" s="233" t="str">
        <f>VLOOKUP(Table8[[#This Row],[Country Code]],Table29[],7,FALSE)</f>
        <v>no</v>
      </c>
      <c r="AW1224" s="233" t="str">
        <f>VLOOKUP(Table8[[#This Row],[Country Code]],Table29[],8,FALSE)</f>
        <v>non-OECD</v>
      </c>
      <c r="AX1224" s="233" t="str">
        <f>VLOOKUP(Table8[[#This Row],[Country Code]],Table29[],9,FALSE)</f>
        <v>no</v>
      </c>
      <c r="AY1224" s="233" t="str">
        <f>VLOOKUP(Table8[[#This Row],[Country Code]],Table29[],10,FALSE)</f>
        <v>no</v>
      </c>
      <c r="AZ1224" s="235">
        <f>VLOOKUP(Table8[[#This Row],[Country Code]],Table29[],23,FALSE)</f>
        <v>4.5323879353986003</v>
      </c>
      <c r="BA1224" s="235">
        <f>VLOOKUP(Table8[[#This Row],[Country Code]],Table29[],24,FALSE)</f>
        <v>0.82749853268205653</v>
      </c>
      <c r="BB1224" s="320"/>
      <c r="BC1224" s="320"/>
    </row>
    <row r="1225" spans="1:55" s="17" customFormat="1" ht="60" hidden="1" x14ac:dyDescent="0.25">
      <c r="A1225" s="373">
        <v>21432</v>
      </c>
      <c r="B1225" s="233" t="str">
        <f>VLOOKUP(Table8[[#This Row],[Document ID]],Table1[],2,FALSE)</f>
        <v>LBR</v>
      </c>
      <c r="C1225" s="233" t="str">
        <f>VLOOKUP(Table8[[#This Row],[Document ID]],Table1[],3,FALSE)</f>
        <v>Liberia</v>
      </c>
      <c r="D1225" s="243" t="str">
        <f>VLOOKUP(Table8[[#This Row],[Document ID]],Table1[],5,FALSE)</f>
        <v>NDC</v>
      </c>
      <c r="E1225" s="233" t="str">
        <f>VLOOKUP(Table8[[#This Row],[Document ID]],Table1[],7,FALSE)</f>
        <v>First NDC updated</v>
      </c>
      <c r="F1225" s="233" t="str">
        <f>VLOOKUP(Table8[[#This Row],[Document ID]],Table1[],8,FALSE)</f>
        <v>NDC 1.1</v>
      </c>
      <c r="G1225" s="233" t="str">
        <f>VLOOKUP(Table8[[#This Row],[Document ID]],Table1[],10,FALSE)</f>
        <v>Active</v>
      </c>
      <c r="H1225" s="43" t="s">
        <v>2350</v>
      </c>
      <c r="I1225" s="43" t="s">
        <v>2407</v>
      </c>
      <c r="J1225" s="44" t="s">
        <v>2592</v>
      </c>
      <c r="K1225" s="44" t="s">
        <v>3493</v>
      </c>
      <c r="L1225" s="44" t="s">
        <v>2333</v>
      </c>
      <c r="M1225" s="43">
        <v>12</v>
      </c>
      <c r="N1225" s="113"/>
      <c r="O1225" s="113"/>
      <c r="P1225" s="113"/>
      <c r="Q1225" s="113"/>
      <c r="R1225" s="113"/>
      <c r="S1225" s="113"/>
      <c r="T1225" s="113"/>
      <c r="U1225" s="113" t="s">
        <v>1113</v>
      </c>
      <c r="V1225" s="113"/>
      <c r="W1225" s="113"/>
      <c r="X1225" s="113"/>
      <c r="Y1225" s="113"/>
      <c r="Z1225" s="113"/>
      <c r="AA1225" s="113"/>
      <c r="AB1225" s="113"/>
      <c r="AC1225" s="113"/>
      <c r="AD1225" s="113"/>
      <c r="AE1225" s="113"/>
      <c r="AF1225" s="113"/>
      <c r="AG1225" s="113"/>
      <c r="AH1225" s="113"/>
      <c r="AI1225" s="113"/>
      <c r="AJ1225" s="113"/>
      <c r="AK1225" s="113" t="s">
        <v>1113</v>
      </c>
      <c r="AL1225" s="113"/>
      <c r="AM1225" s="113"/>
      <c r="AN1225" s="113"/>
      <c r="AO1225" s="44" t="s">
        <v>2334</v>
      </c>
      <c r="AP1225" s="43"/>
      <c r="AQ1225" s="236" t="str">
        <f>VLOOKUP(Table8[[#This Row],[Instrument]],Def_Targets!$D$73:$E$159,2,FALSE)</f>
        <v>I_Ecodriving</v>
      </c>
      <c r="AR1225" s="233" t="str">
        <f>VLOOKUP(Table8[[#This Row],[Country Code]],Table29[],3,FALSE)</f>
        <v>Non-Annex I</v>
      </c>
      <c r="AS1225" s="233" t="str">
        <f>VLOOKUP(Table8[[#This Row],[Country Code]],Table29[],4,FALSE)</f>
        <v>Africa</v>
      </c>
      <c r="AT1225" s="233" t="str">
        <f>VLOOKUP(Table8[[#This Row],[Country Code]],Table29[],5,FALSE)</f>
        <v>Low-income</v>
      </c>
      <c r="AU1225" s="233" t="str">
        <f>VLOOKUP(Table8[[#This Row],[Country Code]],Table29[],6,FALSE)</f>
        <v>no</v>
      </c>
      <c r="AV1225" s="233" t="str">
        <f>VLOOKUP(Table8[[#This Row],[Country Code]],Table29[],7,FALSE)</f>
        <v>no</v>
      </c>
      <c r="AW1225" s="233" t="str">
        <f>VLOOKUP(Table8[[#This Row],[Country Code]],Table29[],8,FALSE)</f>
        <v>non-OECD</v>
      </c>
      <c r="AX1225" s="233" t="str">
        <f>VLOOKUP(Table8[[#This Row],[Country Code]],Table29[],9,FALSE)</f>
        <v>no</v>
      </c>
      <c r="AY1225" s="233" t="str">
        <f>VLOOKUP(Table8[[#This Row],[Country Code]],Table29[],10,FALSE)</f>
        <v>no</v>
      </c>
      <c r="AZ1225" s="235">
        <f>VLOOKUP(Table8[[#This Row],[Country Code]],Table29[],23,FALSE)</f>
        <v>4.5323879353986003</v>
      </c>
      <c r="BA1225" s="235">
        <f>VLOOKUP(Table8[[#This Row],[Country Code]],Table29[],24,FALSE)</f>
        <v>0.82749853268205653</v>
      </c>
      <c r="BB1225" s="320"/>
      <c r="BC1225" s="320"/>
    </row>
    <row r="1226" spans="1:55" s="17" customFormat="1" ht="60" hidden="1" x14ac:dyDescent="0.25">
      <c r="A1226" s="373">
        <v>21432</v>
      </c>
      <c r="B1226" s="233" t="str">
        <f>VLOOKUP(Table8[[#This Row],[Document ID]],Table1[],2,FALSE)</f>
        <v>LBR</v>
      </c>
      <c r="C1226" s="233" t="str">
        <f>VLOOKUP(Table8[[#This Row],[Document ID]],Table1[],3,FALSE)</f>
        <v>Liberia</v>
      </c>
      <c r="D1226" s="243" t="str">
        <f>VLOOKUP(Table8[[#This Row],[Document ID]],Table1[],5,FALSE)</f>
        <v>NDC</v>
      </c>
      <c r="E1226" s="233" t="str">
        <f>VLOOKUP(Table8[[#This Row],[Document ID]],Table1[],7,FALSE)</f>
        <v>First NDC updated</v>
      </c>
      <c r="F1226" s="233" t="str">
        <f>VLOOKUP(Table8[[#This Row],[Document ID]],Table1[],8,FALSE)</f>
        <v>NDC 1.1</v>
      </c>
      <c r="G1226" s="233" t="str">
        <f>VLOOKUP(Table8[[#This Row],[Document ID]],Table1[],10,FALSE)</f>
        <v>Active</v>
      </c>
      <c r="H1226" s="43" t="s">
        <v>2350</v>
      </c>
      <c r="I1226" s="43" t="s">
        <v>2407</v>
      </c>
      <c r="J1226" s="44" t="s">
        <v>2408</v>
      </c>
      <c r="K1226" s="44" t="s">
        <v>3493</v>
      </c>
      <c r="L1226" s="44" t="s">
        <v>2373</v>
      </c>
      <c r="M1226" s="43">
        <v>12</v>
      </c>
      <c r="N1226" s="113"/>
      <c r="O1226" s="113"/>
      <c r="P1226" s="113"/>
      <c r="Q1226" s="113"/>
      <c r="R1226" s="113"/>
      <c r="S1226" s="113"/>
      <c r="T1226" s="113"/>
      <c r="U1226" s="113" t="s">
        <v>1113</v>
      </c>
      <c r="V1226" s="113"/>
      <c r="W1226" s="113"/>
      <c r="X1226" s="113"/>
      <c r="Y1226" s="113"/>
      <c r="Z1226" s="113"/>
      <c r="AA1226" s="113"/>
      <c r="AB1226" s="113"/>
      <c r="AC1226" s="113"/>
      <c r="AD1226" s="113"/>
      <c r="AE1226" s="113"/>
      <c r="AF1226" s="113"/>
      <c r="AG1226" s="113"/>
      <c r="AH1226" s="113"/>
      <c r="AI1226" s="113"/>
      <c r="AJ1226" s="113"/>
      <c r="AK1226" s="113" t="s">
        <v>1113</v>
      </c>
      <c r="AL1226" s="113"/>
      <c r="AM1226" s="113"/>
      <c r="AN1226" s="113"/>
      <c r="AO1226" s="44" t="s">
        <v>2334</v>
      </c>
      <c r="AP1226" s="43"/>
      <c r="AQ1226" s="236" t="str">
        <f>VLOOKUP(Table8[[#This Row],[Instrument]],Def_Targets!$D$73:$E$159,2,FALSE)</f>
        <v>I_Education</v>
      </c>
      <c r="AR1226" s="233" t="str">
        <f>VLOOKUP(Table8[[#This Row],[Country Code]],Table29[],3,FALSE)</f>
        <v>Non-Annex I</v>
      </c>
      <c r="AS1226" s="233" t="str">
        <f>VLOOKUP(Table8[[#This Row],[Country Code]],Table29[],4,FALSE)</f>
        <v>Africa</v>
      </c>
      <c r="AT1226" s="233" t="str">
        <f>VLOOKUP(Table8[[#This Row],[Country Code]],Table29[],5,FALSE)</f>
        <v>Low-income</v>
      </c>
      <c r="AU1226" s="233" t="str">
        <f>VLOOKUP(Table8[[#This Row],[Country Code]],Table29[],6,FALSE)</f>
        <v>no</v>
      </c>
      <c r="AV1226" s="233" t="str">
        <f>VLOOKUP(Table8[[#This Row],[Country Code]],Table29[],7,FALSE)</f>
        <v>no</v>
      </c>
      <c r="AW1226" s="233" t="str">
        <f>VLOOKUP(Table8[[#This Row],[Country Code]],Table29[],8,FALSE)</f>
        <v>non-OECD</v>
      </c>
      <c r="AX1226" s="233" t="str">
        <f>VLOOKUP(Table8[[#This Row],[Country Code]],Table29[],9,FALSE)</f>
        <v>no</v>
      </c>
      <c r="AY1226" s="233" t="str">
        <f>VLOOKUP(Table8[[#This Row],[Country Code]],Table29[],10,FALSE)</f>
        <v>no</v>
      </c>
      <c r="AZ1226" s="235">
        <f>VLOOKUP(Table8[[#This Row],[Country Code]],Table29[],23,FALSE)</f>
        <v>4.5323879353986003</v>
      </c>
      <c r="BA1226" s="235">
        <f>VLOOKUP(Table8[[#This Row],[Country Code]],Table29[],24,FALSE)</f>
        <v>0.82749853268205653</v>
      </c>
      <c r="BB1226" s="320"/>
      <c r="BC1226" s="320"/>
    </row>
    <row r="1227" spans="1:55" s="17" customFormat="1" hidden="1" x14ac:dyDescent="0.25">
      <c r="A1227" s="373">
        <v>21432</v>
      </c>
      <c r="B1227" s="233" t="str">
        <f>VLOOKUP(Table8[[#This Row],[Document ID]],Table1[],2,FALSE)</f>
        <v>LBR</v>
      </c>
      <c r="C1227" s="233" t="str">
        <f>VLOOKUP(Table8[[#This Row],[Document ID]],Table1[],3,FALSE)</f>
        <v>Liberia</v>
      </c>
      <c r="D1227" s="243" t="str">
        <f>VLOOKUP(Table8[[#This Row],[Document ID]],Table1[],5,FALSE)</f>
        <v>NDC</v>
      </c>
      <c r="E1227" s="233" t="str">
        <f>VLOOKUP(Table8[[#This Row],[Document ID]],Table1[],7,FALSE)</f>
        <v>First NDC updated</v>
      </c>
      <c r="F1227" s="233" t="str">
        <f>VLOOKUP(Table8[[#This Row],[Document ID]],Table1[],8,FALSE)</f>
        <v>NDC 1.1</v>
      </c>
      <c r="G1227" s="233" t="str">
        <f>VLOOKUP(Table8[[#This Row],[Document ID]],Table1[],10,FALSE)</f>
        <v>Active</v>
      </c>
      <c r="H1227" s="44" t="s">
        <v>2338</v>
      </c>
      <c r="I1227" s="44" t="s">
        <v>2339</v>
      </c>
      <c r="J1227" s="44" t="s">
        <v>2340</v>
      </c>
      <c r="K1227" s="44" t="s">
        <v>3494</v>
      </c>
      <c r="L1227" s="44" t="s">
        <v>2333</v>
      </c>
      <c r="M1227" s="43">
        <v>12</v>
      </c>
      <c r="N1227" s="113" t="s">
        <v>1113</v>
      </c>
      <c r="O1227" s="113"/>
      <c r="P1227" s="113"/>
      <c r="Q1227" s="113"/>
      <c r="R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t="s">
        <v>1113</v>
      </c>
      <c r="AL1227" s="113"/>
      <c r="AM1227" s="113"/>
      <c r="AN1227" s="113"/>
      <c r="AO1227" s="44" t="s">
        <v>2334</v>
      </c>
      <c r="AP1227" s="43"/>
      <c r="AQ1227" s="236" t="str">
        <f>VLOOKUP(Table8[[#This Row],[Instrument]],Def_Targets!$D$73:$E$159,2,FALSE)</f>
        <v>I_Vehicleimprove</v>
      </c>
      <c r="AR1227" s="233" t="str">
        <f>VLOOKUP(Table8[[#This Row],[Country Code]],Table29[],3,FALSE)</f>
        <v>Non-Annex I</v>
      </c>
      <c r="AS1227" s="233" t="str">
        <f>VLOOKUP(Table8[[#This Row],[Country Code]],Table29[],4,FALSE)</f>
        <v>Africa</v>
      </c>
      <c r="AT1227" s="233" t="str">
        <f>VLOOKUP(Table8[[#This Row],[Country Code]],Table29[],5,FALSE)</f>
        <v>Low-income</v>
      </c>
      <c r="AU1227" s="233" t="str">
        <f>VLOOKUP(Table8[[#This Row],[Country Code]],Table29[],6,FALSE)</f>
        <v>no</v>
      </c>
      <c r="AV1227" s="233" t="str">
        <f>VLOOKUP(Table8[[#This Row],[Country Code]],Table29[],7,FALSE)</f>
        <v>no</v>
      </c>
      <c r="AW1227" s="233" t="str">
        <f>VLOOKUP(Table8[[#This Row],[Country Code]],Table29[],8,FALSE)</f>
        <v>non-OECD</v>
      </c>
      <c r="AX1227" s="233" t="str">
        <f>VLOOKUP(Table8[[#This Row],[Country Code]],Table29[],9,FALSE)</f>
        <v>no</v>
      </c>
      <c r="AY1227" s="233" t="str">
        <f>VLOOKUP(Table8[[#This Row],[Country Code]],Table29[],10,FALSE)</f>
        <v>no</v>
      </c>
      <c r="AZ1227" s="235">
        <f>VLOOKUP(Table8[[#This Row],[Country Code]],Table29[],23,FALSE)</f>
        <v>4.5323879353986003</v>
      </c>
      <c r="BA1227" s="235">
        <f>VLOOKUP(Table8[[#This Row],[Country Code]],Table29[],24,FALSE)</f>
        <v>0.82749853268205653</v>
      </c>
      <c r="BB1227" s="320"/>
      <c r="BC1227" s="320"/>
    </row>
    <row r="1228" spans="1:55" s="17" customFormat="1" hidden="1" x14ac:dyDescent="0.25">
      <c r="A1228" s="373">
        <v>21432</v>
      </c>
      <c r="B1228" s="233" t="str">
        <f>VLOOKUP(Table8[[#This Row],[Document ID]],Table1[],2,FALSE)</f>
        <v>LBR</v>
      </c>
      <c r="C1228" s="233" t="str">
        <f>VLOOKUP(Table8[[#This Row],[Document ID]],Table1[],3,FALSE)</f>
        <v>Liberia</v>
      </c>
      <c r="D1228" s="243" t="str">
        <f>VLOOKUP(Table8[[#This Row],[Document ID]],Table1[],5,FALSE)</f>
        <v>NDC</v>
      </c>
      <c r="E1228" s="233" t="str">
        <f>VLOOKUP(Table8[[#This Row],[Document ID]],Table1[],7,FALSE)</f>
        <v>First NDC updated</v>
      </c>
      <c r="F1228" s="233" t="str">
        <f>VLOOKUP(Table8[[#This Row],[Document ID]],Table1[],8,FALSE)</f>
        <v>NDC 1.1</v>
      </c>
      <c r="G1228" s="233" t="str">
        <f>VLOOKUP(Table8[[#This Row],[Document ID]],Table1[],10,FALSE)</f>
        <v>Active</v>
      </c>
      <c r="H1228" s="43" t="s">
        <v>2350</v>
      </c>
      <c r="I1228" s="43" t="s">
        <v>2456</v>
      </c>
      <c r="J1228" s="44" t="s">
        <v>2466</v>
      </c>
      <c r="K1228" s="44" t="s">
        <v>3495</v>
      </c>
      <c r="L1228" s="44" t="s">
        <v>2333</v>
      </c>
      <c r="M1228" s="43">
        <v>12</v>
      </c>
      <c r="N1228" s="113"/>
      <c r="O1228" s="113"/>
      <c r="P1228" s="113"/>
      <c r="Q1228" s="113"/>
      <c r="R1228" s="113"/>
      <c r="S1228" s="113" t="s">
        <v>1113</v>
      </c>
      <c r="T1228" s="113"/>
      <c r="U1228" s="113"/>
      <c r="V1228" s="113"/>
      <c r="W1228" s="113"/>
      <c r="X1228" s="113"/>
      <c r="Y1228" s="113"/>
      <c r="Z1228" s="113"/>
      <c r="AA1228" s="113"/>
      <c r="AB1228" s="113"/>
      <c r="AC1228" s="113"/>
      <c r="AD1228" s="113"/>
      <c r="AE1228" s="113"/>
      <c r="AF1228" s="113"/>
      <c r="AG1228" s="113"/>
      <c r="AH1228" s="113"/>
      <c r="AI1228" s="113"/>
      <c r="AJ1228" s="113"/>
      <c r="AK1228" s="113" t="s">
        <v>1113</v>
      </c>
      <c r="AL1228" s="113"/>
      <c r="AM1228" s="113"/>
      <c r="AN1228" s="113"/>
      <c r="AO1228" s="44" t="s">
        <v>2334</v>
      </c>
      <c r="AP1228" s="43"/>
      <c r="AQ1228" s="236" t="str">
        <f>VLOOKUP(Table8[[#This Row],[Instrument]],Def_Targets!$D$73:$E$159,2,FALSE)</f>
        <v>S_Infraexpansion</v>
      </c>
      <c r="AR1228" s="233" t="str">
        <f>VLOOKUP(Table8[[#This Row],[Country Code]],Table29[],3,FALSE)</f>
        <v>Non-Annex I</v>
      </c>
      <c r="AS1228" s="233" t="str">
        <f>VLOOKUP(Table8[[#This Row],[Country Code]],Table29[],4,FALSE)</f>
        <v>Africa</v>
      </c>
      <c r="AT1228" s="233" t="str">
        <f>VLOOKUP(Table8[[#This Row],[Country Code]],Table29[],5,FALSE)</f>
        <v>Low-income</v>
      </c>
      <c r="AU1228" s="233" t="str">
        <f>VLOOKUP(Table8[[#This Row],[Country Code]],Table29[],6,FALSE)</f>
        <v>no</v>
      </c>
      <c r="AV1228" s="233" t="str">
        <f>VLOOKUP(Table8[[#This Row],[Country Code]],Table29[],7,FALSE)</f>
        <v>no</v>
      </c>
      <c r="AW1228" s="233" t="str">
        <f>VLOOKUP(Table8[[#This Row],[Country Code]],Table29[],8,FALSE)</f>
        <v>non-OECD</v>
      </c>
      <c r="AX1228" s="233" t="str">
        <f>VLOOKUP(Table8[[#This Row],[Country Code]],Table29[],9,FALSE)</f>
        <v>no</v>
      </c>
      <c r="AY1228" s="233" t="str">
        <f>VLOOKUP(Table8[[#This Row],[Country Code]],Table29[],10,FALSE)</f>
        <v>no</v>
      </c>
      <c r="AZ1228" s="235">
        <f>VLOOKUP(Table8[[#This Row],[Country Code]],Table29[],23,FALSE)</f>
        <v>4.5323879353986003</v>
      </c>
      <c r="BA1228" s="235">
        <f>VLOOKUP(Table8[[#This Row],[Country Code]],Table29[],24,FALSE)</f>
        <v>0.82749853268205653</v>
      </c>
      <c r="BB1228" s="320"/>
      <c r="BC1228" s="320"/>
    </row>
    <row r="1229" spans="1:55" s="17" customFormat="1" ht="30" hidden="1" x14ac:dyDescent="0.25">
      <c r="A1229" s="373">
        <v>21432</v>
      </c>
      <c r="B1229" s="233" t="str">
        <f>VLOOKUP(Table8[[#This Row],[Document ID]],Table1[],2,FALSE)</f>
        <v>LBR</v>
      </c>
      <c r="C1229" s="233" t="str">
        <f>VLOOKUP(Table8[[#This Row],[Document ID]],Table1[],3,FALSE)</f>
        <v>Liberia</v>
      </c>
      <c r="D1229" s="243" t="str">
        <f>VLOOKUP(Table8[[#This Row],[Document ID]],Table1[],5,FALSE)</f>
        <v>NDC</v>
      </c>
      <c r="E1229" s="233" t="str">
        <f>VLOOKUP(Table8[[#This Row],[Document ID]],Table1[],7,FALSE)</f>
        <v>First NDC updated</v>
      </c>
      <c r="F1229" s="233" t="str">
        <f>VLOOKUP(Table8[[#This Row],[Document ID]],Table1[],8,FALSE)</f>
        <v>NDC 1.1</v>
      </c>
      <c r="G1229" s="233" t="str">
        <f>VLOOKUP(Table8[[#This Row],[Document ID]],Table1[],10,FALSE)</f>
        <v>Active</v>
      </c>
      <c r="H1229" s="43" t="s">
        <v>2343</v>
      </c>
      <c r="I1229" s="43" t="s">
        <v>2344</v>
      </c>
      <c r="J1229" s="44" t="s">
        <v>2405</v>
      </c>
      <c r="K1229" s="44" t="s">
        <v>3496</v>
      </c>
      <c r="L1229" s="44" t="s">
        <v>2347</v>
      </c>
      <c r="M1229" s="43">
        <v>12</v>
      </c>
      <c r="N1229" s="113"/>
      <c r="O1229" s="113"/>
      <c r="P1229" s="113"/>
      <c r="Q1229" s="113"/>
      <c r="R1229" s="113"/>
      <c r="S1229" s="113"/>
      <c r="T1229" s="113"/>
      <c r="U1229" s="113"/>
      <c r="V1229" s="113"/>
      <c r="W1229" s="113"/>
      <c r="X1229" s="113"/>
      <c r="Y1229" s="113" t="s">
        <v>1113</v>
      </c>
      <c r="Z1229" s="113"/>
      <c r="AA1229" s="113"/>
      <c r="AB1229" s="113"/>
      <c r="AC1229" s="113"/>
      <c r="AD1229" s="113"/>
      <c r="AE1229" s="113"/>
      <c r="AF1229" s="113"/>
      <c r="AG1229" s="113"/>
      <c r="AH1229" s="113"/>
      <c r="AI1229" s="113"/>
      <c r="AJ1229" s="113"/>
      <c r="AK1229" s="113"/>
      <c r="AL1229" s="113" t="s">
        <v>1113</v>
      </c>
      <c r="AM1229" s="113"/>
      <c r="AN1229" s="113"/>
      <c r="AO1229" s="43" t="s">
        <v>2348</v>
      </c>
      <c r="AP1229" s="43"/>
      <c r="AQ1229" s="236" t="str">
        <f>VLOOKUP(Table8[[#This Row],[Instrument]],Def_Targets!$D$73:$E$159,2,FALSE)</f>
        <v>S_PTIntegration</v>
      </c>
      <c r="AR1229" s="233" t="str">
        <f>VLOOKUP(Table8[[#This Row],[Country Code]],Table29[],3,FALSE)</f>
        <v>Non-Annex I</v>
      </c>
      <c r="AS1229" s="233" t="str">
        <f>VLOOKUP(Table8[[#This Row],[Country Code]],Table29[],4,FALSE)</f>
        <v>Africa</v>
      </c>
      <c r="AT1229" s="233" t="str">
        <f>VLOOKUP(Table8[[#This Row],[Country Code]],Table29[],5,FALSE)</f>
        <v>Low-income</v>
      </c>
      <c r="AU1229" s="233" t="str">
        <f>VLOOKUP(Table8[[#This Row],[Country Code]],Table29[],6,FALSE)</f>
        <v>no</v>
      </c>
      <c r="AV1229" s="233" t="str">
        <f>VLOOKUP(Table8[[#This Row],[Country Code]],Table29[],7,FALSE)</f>
        <v>no</v>
      </c>
      <c r="AW1229" s="233" t="str">
        <f>VLOOKUP(Table8[[#This Row],[Country Code]],Table29[],8,FALSE)</f>
        <v>non-OECD</v>
      </c>
      <c r="AX1229" s="233" t="str">
        <f>VLOOKUP(Table8[[#This Row],[Country Code]],Table29[],9,FALSE)</f>
        <v>no</v>
      </c>
      <c r="AY1229" s="233" t="str">
        <f>VLOOKUP(Table8[[#This Row],[Country Code]],Table29[],10,FALSE)</f>
        <v>no</v>
      </c>
      <c r="AZ1229" s="235">
        <f>VLOOKUP(Table8[[#This Row],[Country Code]],Table29[],23,FALSE)</f>
        <v>4.5323879353986003</v>
      </c>
      <c r="BA1229" s="235">
        <f>VLOOKUP(Table8[[#This Row],[Country Code]],Table29[],24,FALSE)</f>
        <v>0.82749853268205653</v>
      </c>
      <c r="BB1229" s="320"/>
      <c r="BC1229" s="320"/>
    </row>
    <row r="1230" spans="1:55" s="17" customFormat="1" ht="30" hidden="1" x14ac:dyDescent="0.25">
      <c r="A1230" s="373">
        <v>21432</v>
      </c>
      <c r="B1230" s="233" t="str">
        <f>VLOOKUP(Table8[[#This Row],[Document ID]],Table1[],2,FALSE)</f>
        <v>LBR</v>
      </c>
      <c r="C1230" s="233" t="str">
        <f>VLOOKUP(Table8[[#This Row],[Document ID]],Table1[],3,FALSE)</f>
        <v>Liberia</v>
      </c>
      <c r="D1230" s="243" t="str">
        <f>VLOOKUP(Table8[[#This Row],[Document ID]],Table1[],5,FALSE)</f>
        <v>NDC</v>
      </c>
      <c r="E1230" s="233" t="str">
        <f>VLOOKUP(Table8[[#This Row],[Document ID]],Table1[],7,FALSE)</f>
        <v>First NDC updated</v>
      </c>
      <c r="F1230" s="233" t="str">
        <f>VLOOKUP(Table8[[#This Row],[Document ID]],Table1[],8,FALSE)</f>
        <v>NDC 1.1</v>
      </c>
      <c r="G1230" s="233" t="str">
        <f>VLOOKUP(Table8[[#This Row],[Document ID]],Table1[],10,FALSE)</f>
        <v>Active</v>
      </c>
      <c r="H1230" s="43" t="s">
        <v>2350</v>
      </c>
      <c r="I1230" s="43" t="s">
        <v>2456</v>
      </c>
      <c r="J1230" s="44" t="s">
        <v>2643</v>
      </c>
      <c r="K1230" s="44" t="s">
        <v>3497</v>
      </c>
      <c r="L1230" s="44" t="s">
        <v>2471</v>
      </c>
      <c r="M1230" s="43">
        <v>12</v>
      </c>
      <c r="N1230" s="113" t="s">
        <v>1113</v>
      </c>
      <c r="O1230" s="113"/>
      <c r="P1230" s="113"/>
      <c r="Q1230" s="113"/>
      <c r="R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t="s">
        <v>1113</v>
      </c>
      <c r="AL1230" s="113"/>
      <c r="AM1230" s="113"/>
      <c r="AN1230" s="113"/>
      <c r="AO1230" s="44" t="s">
        <v>2334</v>
      </c>
      <c r="AP1230" s="43"/>
      <c r="AQ1230" s="236" t="str">
        <f>VLOOKUP(Table8[[#This Row],[Instrument]],Def_Targets!$D$73:$E$159,2,FALSE)</f>
        <v>S_Intermodality</v>
      </c>
      <c r="AR1230" s="233" t="str">
        <f>VLOOKUP(Table8[[#This Row],[Country Code]],Table29[],3,FALSE)</f>
        <v>Non-Annex I</v>
      </c>
      <c r="AS1230" s="233" t="str">
        <f>VLOOKUP(Table8[[#This Row],[Country Code]],Table29[],4,FALSE)</f>
        <v>Africa</v>
      </c>
      <c r="AT1230" s="233" t="str">
        <f>VLOOKUP(Table8[[#This Row],[Country Code]],Table29[],5,FALSE)</f>
        <v>Low-income</v>
      </c>
      <c r="AU1230" s="233" t="str">
        <f>VLOOKUP(Table8[[#This Row],[Country Code]],Table29[],6,FALSE)</f>
        <v>no</v>
      </c>
      <c r="AV1230" s="233" t="str">
        <f>VLOOKUP(Table8[[#This Row],[Country Code]],Table29[],7,FALSE)</f>
        <v>no</v>
      </c>
      <c r="AW1230" s="233" t="str">
        <f>VLOOKUP(Table8[[#This Row],[Country Code]],Table29[],8,FALSE)</f>
        <v>non-OECD</v>
      </c>
      <c r="AX1230" s="233" t="str">
        <f>VLOOKUP(Table8[[#This Row],[Country Code]],Table29[],9,FALSE)</f>
        <v>no</v>
      </c>
      <c r="AY1230" s="233" t="str">
        <f>VLOOKUP(Table8[[#This Row],[Country Code]],Table29[],10,FALSE)</f>
        <v>no</v>
      </c>
      <c r="AZ1230" s="235">
        <f>VLOOKUP(Table8[[#This Row],[Country Code]],Table29[],23,FALSE)</f>
        <v>4.5323879353986003</v>
      </c>
      <c r="BA1230" s="235">
        <f>VLOOKUP(Table8[[#This Row],[Country Code]],Table29[],24,FALSE)</f>
        <v>0.82749853268205653</v>
      </c>
      <c r="BB1230" s="320"/>
      <c r="BC1230" s="320"/>
    </row>
    <row r="1231" spans="1:55" s="17" customFormat="1" ht="30" hidden="1" x14ac:dyDescent="0.25">
      <c r="A1231" s="373">
        <v>21432</v>
      </c>
      <c r="B1231" s="233" t="str">
        <f>VLOOKUP(Table8[[#This Row],[Document ID]],Table1[],2,FALSE)</f>
        <v>LBR</v>
      </c>
      <c r="C1231" s="233" t="str">
        <f>VLOOKUP(Table8[[#This Row],[Document ID]],Table1[],3,FALSE)</f>
        <v>Liberia</v>
      </c>
      <c r="D1231" s="243" t="str">
        <f>VLOOKUP(Table8[[#This Row],[Document ID]],Table1[],5,FALSE)</f>
        <v>NDC</v>
      </c>
      <c r="E1231" s="233" t="str">
        <f>VLOOKUP(Table8[[#This Row],[Document ID]],Table1[],7,FALSE)</f>
        <v>First NDC updated</v>
      </c>
      <c r="F1231" s="233" t="str">
        <f>VLOOKUP(Table8[[#This Row],[Document ID]],Table1[],8,FALSE)</f>
        <v>NDC 1.1</v>
      </c>
      <c r="G1231" s="233" t="str">
        <f>VLOOKUP(Table8[[#This Row],[Document ID]],Table1[],10,FALSE)</f>
        <v>Active</v>
      </c>
      <c r="H1231" s="43" t="s">
        <v>2350</v>
      </c>
      <c r="I1231" s="43" t="s">
        <v>2370</v>
      </c>
      <c r="J1231" s="44" t="s">
        <v>2371</v>
      </c>
      <c r="K1231" s="44" t="s">
        <v>3498</v>
      </c>
      <c r="L1231" s="44" t="s">
        <v>2373</v>
      </c>
      <c r="M1231" s="43">
        <v>13</v>
      </c>
      <c r="N1231" s="113" t="s">
        <v>1113</v>
      </c>
      <c r="O1231" s="113"/>
      <c r="P1231" s="113"/>
      <c r="Q1231" s="113"/>
      <c r="R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t="s">
        <v>1113</v>
      </c>
      <c r="AL1231" s="113"/>
      <c r="AM1231" s="113"/>
      <c r="AN1231" s="113"/>
      <c r="AO1231" s="44" t="s">
        <v>2334</v>
      </c>
      <c r="AP1231" s="43"/>
      <c r="AQ1231" s="236" t="str">
        <f>VLOOKUP(Table8[[#This Row],[Instrument]],Def_Targets!$D$73:$E$159,2,FALSE)</f>
        <v>A_Natmobplan</v>
      </c>
      <c r="AR1231" s="233" t="str">
        <f>VLOOKUP(Table8[[#This Row],[Country Code]],Table29[],3,FALSE)</f>
        <v>Non-Annex I</v>
      </c>
      <c r="AS1231" s="233" t="str">
        <f>VLOOKUP(Table8[[#This Row],[Country Code]],Table29[],4,FALSE)</f>
        <v>Africa</v>
      </c>
      <c r="AT1231" s="233" t="str">
        <f>VLOOKUP(Table8[[#This Row],[Country Code]],Table29[],5,FALSE)</f>
        <v>Low-income</v>
      </c>
      <c r="AU1231" s="233" t="str">
        <f>VLOOKUP(Table8[[#This Row],[Country Code]],Table29[],6,FALSE)</f>
        <v>no</v>
      </c>
      <c r="AV1231" s="233" t="str">
        <f>VLOOKUP(Table8[[#This Row],[Country Code]],Table29[],7,FALSE)</f>
        <v>no</v>
      </c>
      <c r="AW1231" s="233" t="str">
        <f>VLOOKUP(Table8[[#This Row],[Country Code]],Table29[],8,FALSE)</f>
        <v>non-OECD</v>
      </c>
      <c r="AX1231" s="233" t="str">
        <f>VLOOKUP(Table8[[#This Row],[Country Code]],Table29[],9,FALSE)</f>
        <v>no</v>
      </c>
      <c r="AY1231" s="233" t="str">
        <f>VLOOKUP(Table8[[#This Row],[Country Code]],Table29[],10,FALSE)</f>
        <v>no</v>
      </c>
      <c r="AZ1231" s="235">
        <f>VLOOKUP(Table8[[#This Row],[Country Code]],Table29[],23,FALSE)</f>
        <v>4.5323879353986003</v>
      </c>
      <c r="BA1231" s="235">
        <f>VLOOKUP(Table8[[#This Row],[Country Code]],Table29[],24,FALSE)</f>
        <v>0.82749853268205653</v>
      </c>
      <c r="BB1231" s="320"/>
      <c r="BC1231" s="320"/>
    </row>
    <row r="1232" spans="1:55" hidden="1" x14ac:dyDescent="0.25">
      <c r="A1232" s="373">
        <v>17643</v>
      </c>
      <c r="B1232" s="233" t="str">
        <f>VLOOKUP(Table8[[#This Row],[Document ID]],Table1[],2,FALSE)</f>
        <v>LBR</v>
      </c>
      <c r="C1232" s="233" t="str">
        <f>VLOOKUP(Table8[[#This Row],[Document ID]],Table1[],3,FALSE)</f>
        <v>Liberia</v>
      </c>
      <c r="D1232" s="243" t="str">
        <f>VLOOKUP(Table8[[#This Row],[Document ID]],Table1[],5,FALSE)</f>
        <v>NDC</v>
      </c>
      <c r="E1232" s="233" t="str">
        <f>VLOOKUP(Table8[[#This Row],[Document ID]],Table1[],7,FALSE)</f>
        <v>First NDC</v>
      </c>
      <c r="F1232" s="233" t="str">
        <f>VLOOKUP(Table8[[#This Row],[Document ID]],Table1[],8,FALSE)</f>
        <v>NDC 1.0</v>
      </c>
      <c r="G1232" s="233" t="str">
        <f>VLOOKUP(Table8[[#This Row],[Document ID]],Table1[],10,FALSE)</f>
        <v>Archived</v>
      </c>
      <c r="H1232" s="43" t="s">
        <v>2350</v>
      </c>
      <c r="I1232" s="43" t="s">
        <v>2370</v>
      </c>
      <c r="J1232" s="44" t="s">
        <v>2581</v>
      </c>
      <c r="K1232" s="44" t="s">
        <v>3489</v>
      </c>
      <c r="L1232" s="44" t="s">
        <v>2380</v>
      </c>
      <c r="M1232" s="43"/>
      <c r="N1232" s="113" t="s">
        <v>1113</v>
      </c>
      <c r="O1232" s="113"/>
      <c r="P1232" s="113"/>
      <c r="Q1232" s="113"/>
      <c r="R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t="s">
        <v>1113</v>
      </c>
      <c r="AL1232" s="113"/>
      <c r="AM1232" s="113"/>
      <c r="AN1232" s="113"/>
      <c r="AO1232" s="44" t="s">
        <v>2334</v>
      </c>
      <c r="AP1232" s="43"/>
      <c r="AQ1232" s="236" t="str">
        <f>VLOOKUP(Table8[[#This Row],[Instrument]],Def_Targets!$D$73:$E$159,2,FALSE)</f>
        <v>A_SUMP</v>
      </c>
      <c r="AR1232" s="233" t="str">
        <f>VLOOKUP(Table8[[#This Row],[Country Code]],Table29[],3,FALSE)</f>
        <v>Non-Annex I</v>
      </c>
      <c r="AS1232" s="233" t="str">
        <f>VLOOKUP(Table8[[#This Row],[Country Code]],Table29[],4,FALSE)</f>
        <v>Africa</v>
      </c>
      <c r="AT1232" s="233" t="str">
        <f>VLOOKUP(Table8[[#This Row],[Country Code]],Table29[],5,FALSE)</f>
        <v>Low-income</v>
      </c>
      <c r="AU1232" s="233" t="str">
        <f>VLOOKUP(Table8[[#This Row],[Country Code]],Table29[],6,FALSE)</f>
        <v>no</v>
      </c>
      <c r="AV1232" s="233" t="str">
        <f>VLOOKUP(Table8[[#This Row],[Country Code]],Table29[],7,FALSE)</f>
        <v>no</v>
      </c>
      <c r="AW1232" s="233" t="str">
        <f>VLOOKUP(Table8[[#This Row],[Country Code]],Table29[],8,FALSE)</f>
        <v>non-OECD</v>
      </c>
      <c r="AX1232" s="233" t="str">
        <f>VLOOKUP(Table8[[#This Row],[Country Code]],Table29[],9,FALSE)</f>
        <v>no</v>
      </c>
      <c r="AY1232" s="233" t="str">
        <f>VLOOKUP(Table8[[#This Row],[Country Code]],Table29[],10,FALSE)</f>
        <v>no</v>
      </c>
      <c r="AZ1232" s="235">
        <f>VLOOKUP(Table8[[#This Row],[Country Code]],Table29[],23,FALSE)</f>
        <v>4.5323879353986003</v>
      </c>
      <c r="BA1232" s="235">
        <f>VLOOKUP(Table8[[#This Row],[Country Code]],Table29[],24,FALSE)</f>
        <v>0.82749853268205653</v>
      </c>
      <c r="BB1232" s="320"/>
      <c r="BC1232" s="320"/>
    </row>
    <row r="1233" spans="1:55" ht="30" hidden="1" x14ac:dyDescent="0.25">
      <c r="A1233" s="360">
        <v>39445</v>
      </c>
      <c r="B1233" s="233" t="str">
        <f>VLOOKUP(Table8[[#This Row],[Document ID]],Table1[],2,FALSE)</f>
        <v>IRL</v>
      </c>
      <c r="C1233" s="233" t="str">
        <f>VLOOKUP(Table8[[#This Row],[Document ID]],Table1[],3,FALSE)</f>
        <v>Ireland</v>
      </c>
      <c r="D1233" s="233" t="str">
        <f>VLOOKUP(Table8[[#This Row],[Document ID]],Table1[],5,FALSE)</f>
        <v>LTS</v>
      </c>
      <c r="E1233" s="233" t="str">
        <f>VLOOKUP(Table8[[#This Row],[Document ID]],Table1[],7,FALSE)</f>
        <v>EU-LTS</v>
      </c>
      <c r="F1233" s="233" t="str">
        <f>VLOOKUP(Table8[[#This Row],[Document ID]],Table1[],8,FALSE)</f>
        <v>LTS 1.0</v>
      </c>
      <c r="G1233" s="233" t="str">
        <f>VLOOKUP(Table8[[#This Row],[Document ID]],Table1[],10,FALSE)</f>
        <v>Archived</v>
      </c>
      <c r="H1233" s="43" t="s">
        <v>2358</v>
      </c>
      <c r="I1233" s="43" t="s">
        <v>2359</v>
      </c>
      <c r="J1233" s="44" t="s">
        <v>3094</v>
      </c>
      <c r="K1233" s="44" t="s">
        <v>3499</v>
      </c>
      <c r="L1233" s="44" t="s">
        <v>2333</v>
      </c>
      <c r="M1233" s="43">
        <v>65</v>
      </c>
      <c r="N1233" s="113" t="s">
        <v>1113</v>
      </c>
      <c r="O1233" s="113"/>
      <c r="P1233" s="113"/>
      <c r="Q1233" s="113"/>
      <c r="R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t="s">
        <v>1113</v>
      </c>
      <c r="AL1233" s="113"/>
      <c r="AM1233" s="113"/>
      <c r="AN1233" s="113"/>
      <c r="AO1233" s="44" t="s">
        <v>2334</v>
      </c>
      <c r="AP1233" s="43"/>
      <c r="AQ1233" s="236" t="str">
        <f>VLOOKUP(Table8[[#This Row],[Instrument]],Def_Targets!$D$73:$E$159,2,FALSE)</f>
        <v>I_Smartcharging</v>
      </c>
      <c r="AR1233" s="233" t="str">
        <f>VLOOKUP(Table8[[#This Row],[Country Code]],Table29[],3,FALSE)</f>
        <v>Annex I</v>
      </c>
      <c r="AS1233" s="233" t="str">
        <f>VLOOKUP(Table8[[#This Row],[Country Code]],Table29[],4,FALSE)</f>
        <v>Europe</v>
      </c>
      <c r="AT1233" s="233" t="str">
        <f>VLOOKUP(Table8[[#This Row],[Country Code]],Table29[],5,FALSE)</f>
        <v>High-income</v>
      </c>
      <c r="AU1233" s="233" t="str">
        <f>VLOOKUP(Table8[[#This Row],[Country Code]],Table29[],6,FALSE)</f>
        <v>no</v>
      </c>
      <c r="AV1233" s="233" t="str">
        <f>VLOOKUP(Table8[[#This Row],[Country Code]],Table29[],7,FALSE)</f>
        <v>no</v>
      </c>
      <c r="AW1233" s="233" t="str">
        <f>VLOOKUP(Table8[[#This Row],[Country Code]],Table29[],8,FALSE)</f>
        <v>OECD</v>
      </c>
      <c r="AX1233" s="233" t="str">
        <f>VLOOKUP(Table8[[#This Row],[Country Code]],Table29[],9,FALSE)</f>
        <v>EU27</v>
      </c>
      <c r="AY1233" s="233" t="str">
        <f>VLOOKUP(Table8[[#This Row],[Country Code]],Table29[],10,FALSE)</f>
        <v>no</v>
      </c>
      <c r="AZ1233" s="235">
        <f>VLOOKUP(Table8[[#This Row],[Country Code]],Table29[],23,FALSE)</f>
        <v>57.853266947361</v>
      </c>
      <c r="BA1233" s="235">
        <f>VLOOKUP(Table8[[#This Row],[Country Code]],Table29[],24,FALSE)</f>
        <v>11.23875075000765</v>
      </c>
      <c r="BB1233" s="320"/>
      <c r="BC1233" s="320"/>
    </row>
    <row r="1234" spans="1:55" ht="45" hidden="1" x14ac:dyDescent="0.25">
      <c r="A1234" s="373">
        <v>26796</v>
      </c>
      <c r="B1234" s="233" t="str">
        <f>VLOOKUP(Table8[[#This Row],[Document ID]],Table1[],2,FALSE)</f>
        <v>JPN</v>
      </c>
      <c r="C1234" s="233" t="str">
        <f>VLOOKUP(Table8[[#This Row],[Document ID]],Table1[],3,FALSE)</f>
        <v>Japan</v>
      </c>
      <c r="D1234" s="243" t="str">
        <f>VLOOKUP(Table8[[#This Row],[Document ID]],Table1[],5,FALSE)</f>
        <v>LTS</v>
      </c>
      <c r="E1234" s="233" t="str">
        <f>VLOOKUP(Table8[[#This Row],[Document ID]],Table1[],7,FALSE)</f>
        <v>LTS</v>
      </c>
      <c r="F1234" s="233" t="str">
        <f>VLOOKUP(Table8[[#This Row],[Document ID]],Table1[],8,FALSE)</f>
        <v>LTS 1.1</v>
      </c>
      <c r="G1234" s="233" t="str">
        <f>VLOOKUP(Table8[[#This Row],[Document ID]],Table1[],10,FALSE)</f>
        <v>Active</v>
      </c>
      <c r="H1234" s="43" t="s">
        <v>2358</v>
      </c>
      <c r="I1234" s="43" t="s">
        <v>2359</v>
      </c>
      <c r="J1234" s="44" t="s">
        <v>2360</v>
      </c>
      <c r="K1234" s="44" t="s">
        <v>3500</v>
      </c>
      <c r="L1234" s="44" t="s">
        <v>2333</v>
      </c>
      <c r="M1234" s="43">
        <v>6</v>
      </c>
      <c r="N1234" s="113" t="s">
        <v>1291</v>
      </c>
      <c r="O1234" s="113"/>
      <c r="P1234" s="113"/>
      <c r="Q1234" s="113"/>
      <c r="R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t="s">
        <v>1291</v>
      </c>
      <c r="AL1234" s="113"/>
      <c r="AM1234" s="113"/>
      <c r="AN1234" s="113"/>
      <c r="AO1234" s="44" t="s">
        <v>2334</v>
      </c>
      <c r="AP1234" s="43"/>
      <c r="AQ1234" s="236" t="str">
        <f>VLOOKUP(Table8[[#This Row],[Instrument]],Def_Targets!$D$73:$E$159,2,FALSE)</f>
        <v>I_Emobility</v>
      </c>
      <c r="AR1234" s="233" t="str">
        <f>VLOOKUP(Table8[[#This Row],[Country Code]],Table29[],3,FALSE)</f>
        <v>Annex I</v>
      </c>
      <c r="AS1234" s="233" t="str">
        <f>VLOOKUP(Table8[[#This Row],[Country Code]],Table29[],4,FALSE)</f>
        <v>Asia</v>
      </c>
      <c r="AT1234" s="233" t="str">
        <f>VLOOKUP(Table8[[#This Row],[Country Code]],Table29[],5,FALSE)</f>
        <v>High-income</v>
      </c>
      <c r="AU1234" s="233" t="str">
        <f>VLOOKUP(Table8[[#This Row],[Country Code]],Table29[],6,FALSE)</f>
        <v>G20</v>
      </c>
      <c r="AV1234" s="233" t="str">
        <f>VLOOKUP(Table8[[#This Row],[Country Code]],Table29[],7,FALSE)</f>
        <v>G7</v>
      </c>
      <c r="AW1234" s="233" t="str">
        <f>VLOOKUP(Table8[[#This Row],[Country Code]],Table29[],8,FALSE)</f>
        <v>OECD</v>
      </c>
      <c r="AX1234" s="233" t="str">
        <f>VLOOKUP(Table8[[#This Row],[Country Code]],Table29[],9,FALSE)</f>
        <v>no</v>
      </c>
      <c r="AY1234" s="233" t="str">
        <f>VLOOKUP(Table8[[#This Row],[Country Code]],Table29[],10,FALSE)</f>
        <v>no</v>
      </c>
      <c r="AZ1234" s="235">
        <f>VLOOKUP(Table8[[#This Row],[Country Code]],Table29[],23,FALSE)</f>
        <v>1041.0128248686999</v>
      </c>
      <c r="BA1234" s="235">
        <f>VLOOKUP(Table8[[#This Row],[Country Code]],Table29[],24,FALSE)</f>
        <v>181.96191357547141</v>
      </c>
      <c r="BB1234" s="320"/>
      <c r="BC1234" s="320"/>
    </row>
    <row r="1235" spans="1:55" ht="30" hidden="1" x14ac:dyDescent="0.25">
      <c r="A1235" s="373">
        <v>26796</v>
      </c>
      <c r="B1235" s="233" t="str">
        <f>VLOOKUP(Table8[[#This Row],[Document ID]],Table1[],2,FALSE)</f>
        <v>JPN</v>
      </c>
      <c r="C1235" s="233" t="str">
        <f>VLOOKUP(Table8[[#This Row],[Document ID]],Table1[],3,FALSE)</f>
        <v>Japan</v>
      </c>
      <c r="D1235" s="243" t="str">
        <f>VLOOKUP(Table8[[#This Row],[Document ID]],Table1[],5,FALSE)</f>
        <v>LTS</v>
      </c>
      <c r="E1235" s="233" t="str">
        <f>VLOOKUP(Table8[[#This Row],[Document ID]],Table1[],7,FALSE)</f>
        <v>LTS</v>
      </c>
      <c r="F1235" s="233" t="str">
        <f>VLOOKUP(Table8[[#This Row],[Document ID]],Table1[],8,FALSE)</f>
        <v>LTS 1.1</v>
      </c>
      <c r="G1235" s="233" t="str">
        <f>VLOOKUP(Table8[[#This Row],[Document ID]],Table1[],10,FALSE)</f>
        <v>Active</v>
      </c>
      <c r="H1235" s="43" t="s">
        <v>2358</v>
      </c>
      <c r="I1235" s="43" t="s">
        <v>2359</v>
      </c>
      <c r="J1235" s="44" t="s">
        <v>2360</v>
      </c>
      <c r="K1235" s="44" t="s">
        <v>3501</v>
      </c>
      <c r="L1235" s="44" t="s">
        <v>2333</v>
      </c>
      <c r="M1235" s="43">
        <v>15</v>
      </c>
      <c r="N1235" s="113" t="s">
        <v>1113</v>
      </c>
      <c r="O1235" s="113"/>
      <c r="P1235" s="113"/>
      <c r="Q1235" s="113"/>
      <c r="R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t="s">
        <v>1113</v>
      </c>
      <c r="AL1235" s="113"/>
      <c r="AM1235" s="113"/>
      <c r="AN1235" s="113"/>
      <c r="AO1235" s="44" t="s">
        <v>2334</v>
      </c>
      <c r="AP1235" s="43"/>
      <c r="AQ1235" s="236" t="str">
        <f>VLOOKUP(Table8[[#This Row],[Instrument]],Def_Targets!$D$73:$E$159,2,FALSE)</f>
        <v>I_Emobility</v>
      </c>
      <c r="AR1235" s="233" t="str">
        <f>VLOOKUP(Table8[[#This Row],[Country Code]],Table29[],3,FALSE)</f>
        <v>Annex I</v>
      </c>
      <c r="AS1235" s="233" t="str">
        <f>VLOOKUP(Table8[[#This Row],[Country Code]],Table29[],4,FALSE)</f>
        <v>Asia</v>
      </c>
      <c r="AT1235" s="233" t="str">
        <f>VLOOKUP(Table8[[#This Row],[Country Code]],Table29[],5,FALSE)</f>
        <v>High-income</v>
      </c>
      <c r="AU1235" s="233" t="str">
        <f>VLOOKUP(Table8[[#This Row],[Country Code]],Table29[],6,FALSE)</f>
        <v>G20</v>
      </c>
      <c r="AV1235" s="233" t="str">
        <f>VLOOKUP(Table8[[#This Row],[Country Code]],Table29[],7,FALSE)</f>
        <v>G7</v>
      </c>
      <c r="AW1235" s="233" t="str">
        <f>VLOOKUP(Table8[[#This Row],[Country Code]],Table29[],8,FALSE)</f>
        <v>OECD</v>
      </c>
      <c r="AX1235" s="233" t="str">
        <f>VLOOKUP(Table8[[#This Row],[Country Code]],Table29[],9,FALSE)</f>
        <v>no</v>
      </c>
      <c r="AY1235" s="233" t="str">
        <f>VLOOKUP(Table8[[#This Row],[Country Code]],Table29[],10,FALSE)</f>
        <v>no</v>
      </c>
      <c r="AZ1235" s="235">
        <f>VLOOKUP(Table8[[#This Row],[Country Code]],Table29[],23,FALSE)</f>
        <v>1041.0128248686999</v>
      </c>
      <c r="BA1235" s="235">
        <f>VLOOKUP(Table8[[#This Row],[Country Code]],Table29[],24,FALSE)</f>
        <v>181.96191357547141</v>
      </c>
      <c r="BB1235" s="320"/>
      <c r="BC1235" s="320"/>
    </row>
    <row r="1236" spans="1:55" ht="30" hidden="1" x14ac:dyDescent="0.25">
      <c r="A1236" s="373">
        <v>26796</v>
      </c>
      <c r="B1236" s="233" t="str">
        <f>VLOOKUP(Table8[[#This Row],[Document ID]],Table1[],2,FALSE)</f>
        <v>JPN</v>
      </c>
      <c r="C1236" s="233" t="str">
        <f>VLOOKUP(Table8[[#This Row],[Document ID]],Table1[],3,FALSE)</f>
        <v>Japan</v>
      </c>
      <c r="D1236" s="243" t="str">
        <f>VLOOKUP(Table8[[#This Row],[Document ID]],Table1[],5,FALSE)</f>
        <v>LTS</v>
      </c>
      <c r="E1236" s="233" t="str">
        <f>VLOOKUP(Table8[[#This Row],[Document ID]],Table1[],7,FALSE)</f>
        <v>LTS</v>
      </c>
      <c r="F1236" s="233" t="str">
        <f>VLOOKUP(Table8[[#This Row],[Document ID]],Table1[],8,FALSE)</f>
        <v>LTS 1.1</v>
      </c>
      <c r="G1236" s="233" t="str">
        <f>VLOOKUP(Table8[[#This Row],[Document ID]],Table1[],10,FALSE)</f>
        <v>Active</v>
      </c>
      <c r="H1236" s="44" t="s">
        <v>2329</v>
      </c>
      <c r="I1236" s="44" t="s">
        <v>2330</v>
      </c>
      <c r="J1236" s="44" t="s">
        <v>2391</v>
      </c>
      <c r="K1236" s="44" t="s">
        <v>3501</v>
      </c>
      <c r="L1236" s="44" t="s">
        <v>2333</v>
      </c>
      <c r="M1236" s="43">
        <v>15</v>
      </c>
      <c r="N1236" s="113" t="s">
        <v>1113</v>
      </c>
      <c r="O1236" s="113"/>
      <c r="P1236" s="113"/>
      <c r="Q1236" s="113"/>
      <c r="R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t="s">
        <v>1113</v>
      </c>
      <c r="AL1236" s="113"/>
      <c r="AM1236" s="113"/>
      <c r="AN1236" s="113"/>
      <c r="AO1236" s="44" t="s">
        <v>2334</v>
      </c>
      <c r="AP1236" s="43"/>
      <c r="AQ1236" s="236" t="str">
        <f>VLOOKUP(Table8[[#This Row],[Instrument]],Def_Targets!$D$73:$E$159,2,FALSE)</f>
        <v>I_Hydrogen</v>
      </c>
      <c r="AR1236" s="233" t="str">
        <f>VLOOKUP(Table8[[#This Row],[Country Code]],Table29[],3,FALSE)</f>
        <v>Annex I</v>
      </c>
      <c r="AS1236" s="233" t="str">
        <f>VLOOKUP(Table8[[#This Row],[Country Code]],Table29[],4,FALSE)</f>
        <v>Asia</v>
      </c>
      <c r="AT1236" s="233" t="str">
        <f>VLOOKUP(Table8[[#This Row],[Country Code]],Table29[],5,FALSE)</f>
        <v>High-income</v>
      </c>
      <c r="AU1236" s="233" t="str">
        <f>VLOOKUP(Table8[[#This Row],[Country Code]],Table29[],6,FALSE)</f>
        <v>G20</v>
      </c>
      <c r="AV1236" s="233" t="str">
        <f>VLOOKUP(Table8[[#This Row],[Country Code]],Table29[],7,FALSE)</f>
        <v>G7</v>
      </c>
      <c r="AW1236" s="233" t="str">
        <f>VLOOKUP(Table8[[#This Row],[Country Code]],Table29[],8,FALSE)</f>
        <v>OECD</v>
      </c>
      <c r="AX1236" s="233" t="str">
        <f>VLOOKUP(Table8[[#This Row],[Country Code]],Table29[],9,FALSE)</f>
        <v>no</v>
      </c>
      <c r="AY1236" s="233" t="str">
        <f>VLOOKUP(Table8[[#This Row],[Country Code]],Table29[],10,FALSE)</f>
        <v>no</v>
      </c>
      <c r="AZ1236" s="235">
        <f>VLOOKUP(Table8[[#This Row],[Country Code]],Table29[],23,FALSE)</f>
        <v>1041.0128248686999</v>
      </c>
      <c r="BA1236" s="235">
        <f>VLOOKUP(Table8[[#This Row],[Country Code]],Table29[],24,FALSE)</f>
        <v>181.96191357547141</v>
      </c>
      <c r="BB1236" s="320"/>
      <c r="BC1236" s="320"/>
    </row>
    <row r="1237" spans="1:55" ht="30" hidden="1" x14ac:dyDescent="0.25">
      <c r="A1237" s="373">
        <v>26796</v>
      </c>
      <c r="B1237" s="233" t="str">
        <f>VLOOKUP(Table8[[#This Row],[Document ID]],Table1[],2,FALSE)</f>
        <v>JPN</v>
      </c>
      <c r="C1237" s="233" t="str">
        <f>VLOOKUP(Table8[[#This Row],[Document ID]],Table1[],3,FALSE)</f>
        <v>Japan</v>
      </c>
      <c r="D1237" s="243" t="str">
        <f>VLOOKUP(Table8[[#This Row],[Document ID]],Table1[],5,FALSE)</f>
        <v>LTS</v>
      </c>
      <c r="E1237" s="233" t="str">
        <f>VLOOKUP(Table8[[#This Row],[Document ID]],Table1[],7,FALSE)</f>
        <v>LTS</v>
      </c>
      <c r="F1237" s="233" t="str">
        <f>VLOOKUP(Table8[[#This Row],[Document ID]],Table1[],8,FALSE)</f>
        <v>LTS 1.1</v>
      </c>
      <c r="G1237" s="233" t="str">
        <f>VLOOKUP(Table8[[#This Row],[Document ID]],Table1[],10,FALSE)</f>
        <v>Active</v>
      </c>
      <c r="H1237" s="44" t="s">
        <v>2329</v>
      </c>
      <c r="I1237" s="44" t="s">
        <v>2330</v>
      </c>
      <c r="J1237" s="44" t="s">
        <v>2331</v>
      </c>
      <c r="K1237" s="44" t="s">
        <v>3501</v>
      </c>
      <c r="L1237" s="44" t="s">
        <v>2333</v>
      </c>
      <c r="M1237" s="43">
        <v>15</v>
      </c>
      <c r="N1237" s="113" t="s">
        <v>1113</v>
      </c>
      <c r="O1237" s="113"/>
      <c r="P1237" s="113"/>
      <c r="Q1237" s="113"/>
      <c r="R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t="s">
        <v>1113</v>
      </c>
      <c r="AL1237" s="113"/>
      <c r="AM1237" s="113"/>
      <c r="AN1237" s="113"/>
      <c r="AO1237" s="44" t="s">
        <v>2334</v>
      </c>
      <c r="AP1237" s="43"/>
      <c r="AQ1237" s="236" t="str">
        <f>VLOOKUP(Table8[[#This Row],[Instrument]],Def_Targets!$D$73:$E$159,2,FALSE)</f>
        <v>I_Altfuels</v>
      </c>
      <c r="AR1237" s="233" t="str">
        <f>VLOOKUP(Table8[[#This Row],[Country Code]],Table29[],3,FALSE)</f>
        <v>Annex I</v>
      </c>
      <c r="AS1237" s="233" t="str">
        <f>VLOOKUP(Table8[[#This Row],[Country Code]],Table29[],4,FALSE)</f>
        <v>Asia</v>
      </c>
      <c r="AT1237" s="233" t="str">
        <f>VLOOKUP(Table8[[#This Row],[Country Code]],Table29[],5,FALSE)</f>
        <v>High-income</v>
      </c>
      <c r="AU1237" s="233" t="str">
        <f>VLOOKUP(Table8[[#This Row],[Country Code]],Table29[],6,FALSE)</f>
        <v>G20</v>
      </c>
      <c r="AV1237" s="233" t="str">
        <f>VLOOKUP(Table8[[#This Row],[Country Code]],Table29[],7,FALSE)</f>
        <v>G7</v>
      </c>
      <c r="AW1237" s="233" t="str">
        <f>VLOOKUP(Table8[[#This Row],[Country Code]],Table29[],8,FALSE)</f>
        <v>OECD</v>
      </c>
      <c r="AX1237" s="233" t="str">
        <f>VLOOKUP(Table8[[#This Row],[Country Code]],Table29[],9,FALSE)</f>
        <v>no</v>
      </c>
      <c r="AY1237" s="233" t="str">
        <f>VLOOKUP(Table8[[#This Row],[Country Code]],Table29[],10,FALSE)</f>
        <v>no</v>
      </c>
      <c r="AZ1237" s="235">
        <f>VLOOKUP(Table8[[#This Row],[Country Code]],Table29[],23,FALSE)</f>
        <v>1041.0128248686999</v>
      </c>
      <c r="BA1237" s="235">
        <f>VLOOKUP(Table8[[#This Row],[Country Code]],Table29[],24,FALSE)</f>
        <v>181.96191357547141</v>
      </c>
      <c r="BB1237" s="320"/>
      <c r="BC1237" s="320"/>
    </row>
    <row r="1238" spans="1:55" ht="45" hidden="1" x14ac:dyDescent="0.25">
      <c r="A1238" s="373">
        <v>26796</v>
      </c>
      <c r="B1238" s="233" t="str">
        <f>VLOOKUP(Table8[[#This Row],[Document ID]],Table1[],2,FALSE)</f>
        <v>JPN</v>
      </c>
      <c r="C1238" s="233" t="str">
        <f>VLOOKUP(Table8[[#This Row],[Document ID]],Table1[],3,FALSE)</f>
        <v>Japan</v>
      </c>
      <c r="D1238" s="243" t="str">
        <f>VLOOKUP(Table8[[#This Row],[Document ID]],Table1[],5,FALSE)</f>
        <v>LTS</v>
      </c>
      <c r="E1238" s="233" t="str">
        <f>VLOOKUP(Table8[[#This Row],[Document ID]],Table1[],7,FALSE)</f>
        <v>LTS</v>
      </c>
      <c r="F1238" s="233" t="str">
        <f>VLOOKUP(Table8[[#This Row],[Document ID]],Table1[],8,FALSE)</f>
        <v>LTS 1.1</v>
      </c>
      <c r="G1238" s="233" t="str">
        <f>VLOOKUP(Table8[[#This Row],[Document ID]],Table1[],10,FALSE)</f>
        <v>Active</v>
      </c>
      <c r="H1238" s="43" t="s">
        <v>2358</v>
      </c>
      <c r="I1238" s="43" t="s">
        <v>2359</v>
      </c>
      <c r="J1238" s="44" t="s">
        <v>2360</v>
      </c>
      <c r="K1238" s="44" t="s">
        <v>3502</v>
      </c>
      <c r="L1238" s="44" t="s">
        <v>2333</v>
      </c>
      <c r="M1238" s="43">
        <v>23</v>
      </c>
      <c r="N1238" s="113" t="s">
        <v>1113</v>
      </c>
      <c r="O1238" s="113"/>
      <c r="P1238" s="113"/>
      <c r="Q1238" s="113"/>
      <c r="R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t="s">
        <v>1113</v>
      </c>
      <c r="AL1238" s="113"/>
      <c r="AM1238" s="113"/>
      <c r="AN1238" s="113"/>
      <c r="AO1238" s="44" t="s">
        <v>2334</v>
      </c>
      <c r="AP1238" s="43"/>
      <c r="AQ1238" s="236" t="str">
        <f>VLOOKUP(Table8[[#This Row],[Instrument]],Def_Targets!$D$73:$E$159,2,FALSE)</f>
        <v>I_Emobility</v>
      </c>
      <c r="AR1238" s="233" t="str">
        <f>VLOOKUP(Table8[[#This Row],[Country Code]],Table29[],3,FALSE)</f>
        <v>Annex I</v>
      </c>
      <c r="AS1238" s="233" t="str">
        <f>VLOOKUP(Table8[[#This Row],[Country Code]],Table29[],4,FALSE)</f>
        <v>Asia</v>
      </c>
      <c r="AT1238" s="233" t="str">
        <f>VLOOKUP(Table8[[#This Row],[Country Code]],Table29[],5,FALSE)</f>
        <v>High-income</v>
      </c>
      <c r="AU1238" s="233" t="str">
        <f>VLOOKUP(Table8[[#This Row],[Country Code]],Table29[],6,FALSE)</f>
        <v>G20</v>
      </c>
      <c r="AV1238" s="233" t="str">
        <f>VLOOKUP(Table8[[#This Row],[Country Code]],Table29[],7,FALSE)</f>
        <v>G7</v>
      </c>
      <c r="AW1238" s="233" t="str">
        <f>VLOOKUP(Table8[[#This Row],[Country Code]],Table29[],8,FALSE)</f>
        <v>OECD</v>
      </c>
      <c r="AX1238" s="233" t="str">
        <f>VLOOKUP(Table8[[#This Row],[Country Code]],Table29[],9,FALSE)</f>
        <v>no</v>
      </c>
      <c r="AY1238" s="233" t="str">
        <f>VLOOKUP(Table8[[#This Row],[Country Code]],Table29[],10,FALSE)</f>
        <v>no</v>
      </c>
      <c r="AZ1238" s="235">
        <f>VLOOKUP(Table8[[#This Row],[Country Code]],Table29[],23,FALSE)</f>
        <v>1041.0128248686999</v>
      </c>
      <c r="BA1238" s="235">
        <f>VLOOKUP(Table8[[#This Row],[Country Code]],Table29[],24,FALSE)</f>
        <v>181.96191357547141</v>
      </c>
      <c r="BB1238" s="320"/>
      <c r="BC1238" s="320"/>
    </row>
    <row r="1239" spans="1:55" ht="75" hidden="1" x14ac:dyDescent="0.25">
      <c r="A1239" s="373">
        <v>26796</v>
      </c>
      <c r="B1239" s="233" t="str">
        <f>VLOOKUP(Table8[[#This Row],[Document ID]],Table1[],2,FALSE)</f>
        <v>JPN</v>
      </c>
      <c r="C1239" s="233" t="str">
        <f>VLOOKUP(Table8[[#This Row],[Document ID]],Table1[],3,FALSE)</f>
        <v>Japan</v>
      </c>
      <c r="D1239" s="243" t="str">
        <f>VLOOKUP(Table8[[#This Row],[Document ID]],Table1[],5,FALSE)</f>
        <v>LTS</v>
      </c>
      <c r="E1239" s="233" t="str">
        <f>VLOOKUP(Table8[[#This Row],[Document ID]],Table1[],7,FALSE)</f>
        <v>LTS</v>
      </c>
      <c r="F1239" s="236" t="str">
        <f>VLOOKUP(Table8[[#This Row],[Document ID]],Table1[],8,FALSE)</f>
        <v>LTS 1.1</v>
      </c>
      <c r="G1239" s="236" t="str">
        <f>VLOOKUP(Table8[[#This Row],[Document ID]],Table1[],10,FALSE)</f>
        <v>Active</v>
      </c>
      <c r="H1239" s="44" t="s">
        <v>2329</v>
      </c>
      <c r="I1239" s="44" t="s">
        <v>2330</v>
      </c>
      <c r="J1239" s="44" t="s">
        <v>2391</v>
      </c>
      <c r="K1239" s="44" t="s">
        <v>3503</v>
      </c>
      <c r="L1239" s="44" t="s">
        <v>2333</v>
      </c>
      <c r="M1239" s="43">
        <v>24</v>
      </c>
      <c r="N1239" s="113" t="s">
        <v>1113</v>
      </c>
      <c r="O1239" s="113"/>
      <c r="P1239" s="113"/>
      <c r="Q1239" s="113"/>
      <c r="R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t="s">
        <v>1113</v>
      </c>
      <c r="AL1239" s="113"/>
      <c r="AM1239" s="113"/>
      <c r="AN1239" s="113"/>
      <c r="AO1239" s="44" t="s">
        <v>2334</v>
      </c>
      <c r="AP1239" s="43"/>
      <c r="AQ1239" s="236" t="str">
        <f>VLOOKUP(Table8[[#This Row],[Instrument]],Def_Targets!$D$73:$E$159,2,FALSE)</f>
        <v>I_Hydrogen</v>
      </c>
      <c r="AR1239" s="233" t="str">
        <f>VLOOKUP(Table8[[#This Row],[Country Code]],Table29[],3,FALSE)</f>
        <v>Annex I</v>
      </c>
      <c r="AS1239" s="233" t="str">
        <f>VLOOKUP(Table8[[#This Row],[Country Code]],Table29[],4,FALSE)</f>
        <v>Asia</v>
      </c>
      <c r="AT1239" s="233" t="str">
        <f>VLOOKUP(Table8[[#This Row],[Country Code]],Table29[],5,FALSE)</f>
        <v>High-income</v>
      </c>
      <c r="AU1239" s="233" t="str">
        <f>VLOOKUP(Table8[[#This Row],[Country Code]],Table29[],6,FALSE)</f>
        <v>G20</v>
      </c>
      <c r="AV1239" s="233" t="str">
        <f>VLOOKUP(Table8[[#This Row],[Country Code]],Table29[],7,FALSE)</f>
        <v>G7</v>
      </c>
      <c r="AW1239" s="233" t="str">
        <f>VLOOKUP(Table8[[#This Row],[Country Code]],Table29[],8,FALSE)</f>
        <v>OECD</v>
      </c>
      <c r="AX1239" s="233" t="str">
        <f>VLOOKUP(Table8[[#This Row],[Country Code]],Table29[],9,FALSE)</f>
        <v>no</v>
      </c>
      <c r="AY1239" s="233" t="str">
        <f>VLOOKUP(Table8[[#This Row],[Country Code]],Table29[],10,FALSE)</f>
        <v>no</v>
      </c>
      <c r="AZ1239" s="235">
        <f>VLOOKUP(Table8[[#This Row],[Country Code]],Table29[],23,FALSE)</f>
        <v>1041.0128248686999</v>
      </c>
      <c r="BA1239" s="235">
        <f>VLOOKUP(Table8[[#This Row],[Country Code]],Table29[],24,FALSE)</f>
        <v>181.96191357547141</v>
      </c>
      <c r="BB1239" s="320"/>
      <c r="BC1239" s="320"/>
    </row>
    <row r="1240" spans="1:55" hidden="1" x14ac:dyDescent="0.25">
      <c r="A1240" s="373">
        <v>26796</v>
      </c>
      <c r="B1240" s="233" t="str">
        <f>VLOOKUP(Table8[[#This Row],[Document ID]],Table1[],2,FALSE)</f>
        <v>JPN</v>
      </c>
      <c r="C1240" s="233" t="str">
        <f>VLOOKUP(Table8[[#This Row],[Document ID]],Table1[],3,FALSE)</f>
        <v>Japan</v>
      </c>
      <c r="D1240" s="243" t="str">
        <f>VLOOKUP(Table8[[#This Row],[Document ID]],Table1[],5,FALSE)</f>
        <v>LTS</v>
      </c>
      <c r="E1240" s="233" t="str">
        <f>VLOOKUP(Table8[[#This Row],[Document ID]],Table1[],7,FALSE)</f>
        <v>LTS</v>
      </c>
      <c r="F1240" s="236" t="str">
        <f>VLOOKUP(Table8[[#This Row],[Document ID]],Table1[],8,FALSE)</f>
        <v>LTS 1.1</v>
      </c>
      <c r="G1240" s="236" t="str">
        <f>VLOOKUP(Table8[[#This Row],[Document ID]],Table1[],10,FALSE)</f>
        <v>Active</v>
      </c>
      <c r="H1240" s="43" t="s">
        <v>2484</v>
      </c>
      <c r="I1240" s="43" t="s">
        <v>2485</v>
      </c>
      <c r="J1240" s="44" t="s">
        <v>2669</v>
      </c>
      <c r="K1240" s="44" t="s">
        <v>3504</v>
      </c>
      <c r="L1240" s="44" t="s">
        <v>2333</v>
      </c>
      <c r="M1240" s="43">
        <v>32</v>
      </c>
      <c r="N1240" s="113"/>
      <c r="O1240" s="113"/>
      <c r="P1240" s="113"/>
      <c r="Q1240" s="113"/>
      <c r="R1240" s="113"/>
      <c r="S1240" s="113"/>
      <c r="T1240" s="113"/>
      <c r="U1240" s="113"/>
      <c r="V1240" s="113"/>
      <c r="W1240" s="113"/>
      <c r="X1240" s="113"/>
      <c r="Y1240" s="113"/>
      <c r="Z1240" s="113"/>
      <c r="AA1240" s="113"/>
      <c r="AB1240" s="113"/>
      <c r="AC1240" s="113"/>
      <c r="AD1240" s="113" t="s">
        <v>1113</v>
      </c>
      <c r="AE1240" s="113"/>
      <c r="AF1240" s="113"/>
      <c r="AG1240" s="113"/>
      <c r="AH1240" s="113"/>
      <c r="AI1240" s="113"/>
      <c r="AJ1240" s="113"/>
      <c r="AK1240" s="113" t="s">
        <v>1113</v>
      </c>
      <c r="AL1240" s="113"/>
      <c r="AM1240" s="113"/>
      <c r="AN1240" s="113"/>
      <c r="AO1240" s="44" t="s">
        <v>2334</v>
      </c>
      <c r="AP1240" s="43"/>
      <c r="AQ1240" s="236" t="str">
        <f>VLOOKUP(Table8[[#This Row],[Instrument]],Def_Targets!$D$73:$E$159,2,FALSE)</f>
        <v>I_Shipefficiency</v>
      </c>
      <c r="AR1240" s="233" t="str">
        <f>VLOOKUP(Table8[[#This Row],[Country Code]],Table29[],3,FALSE)</f>
        <v>Annex I</v>
      </c>
      <c r="AS1240" s="233" t="str">
        <f>VLOOKUP(Table8[[#This Row],[Country Code]],Table29[],4,FALSE)</f>
        <v>Asia</v>
      </c>
      <c r="AT1240" s="233" t="str">
        <f>VLOOKUP(Table8[[#This Row],[Country Code]],Table29[],5,FALSE)</f>
        <v>High-income</v>
      </c>
      <c r="AU1240" s="233" t="str">
        <f>VLOOKUP(Table8[[#This Row],[Country Code]],Table29[],6,FALSE)</f>
        <v>G20</v>
      </c>
      <c r="AV1240" s="233" t="str">
        <f>VLOOKUP(Table8[[#This Row],[Country Code]],Table29[],7,FALSE)</f>
        <v>G7</v>
      </c>
      <c r="AW1240" s="233" t="str">
        <f>VLOOKUP(Table8[[#This Row],[Country Code]],Table29[],8,FALSE)</f>
        <v>OECD</v>
      </c>
      <c r="AX1240" s="233" t="str">
        <f>VLOOKUP(Table8[[#This Row],[Country Code]],Table29[],9,FALSE)</f>
        <v>no</v>
      </c>
      <c r="AY1240" s="233" t="str">
        <f>VLOOKUP(Table8[[#This Row],[Country Code]],Table29[],10,FALSE)</f>
        <v>no</v>
      </c>
      <c r="AZ1240" s="235">
        <f>VLOOKUP(Table8[[#This Row],[Country Code]],Table29[],23,FALSE)</f>
        <v>1041.0128248686999</v>
      </c>
      <c r="BA1240" s="235">
        <f>VLOOKUP(Table8[[#This Row],[Country Code]],Table29[],24,FALSE)</f>
        <v>181.96191357547141</v>
      </c>
      <c r="BB1240" s="320"/>
      <c r="BC1240" s="320"/>
    </row>
    <row r="1241" spans="1:55" hidden="1" x14ac:dyDescent="0.25">
      <c r="A1241" s="373">
        <v>26796</v>
      </c>
      <c r="B1241" s="233" t="str">
        <f>VLOOKUP(Table8[[#This Row],[Document ID]],Table1[],2,FALSE)</f>
        <v>JPN</v>
      </c>
      <c r="C1241" s="233" t="str">
        <f>VLOOKUP(Table8[[#This Row],[Document ID]],Table1[],3,FALSE)</f>
        <v>Japan</v>
      </c>
      <c r="D1241" s="243" t="str">
        <f>VLOOKUP(Table8[[#This Row],[Document ID]],Table1[],5,FALSE)</f>
        <v>LTS</v>
      </c>
      <c r="E1241" s="233" t="str">
        <f>VLOOKUP(Table8[[#This Row],[Document ID]],Table1[],7,FALSE)</f>
        <v>LTS</v>
      </c>
      <c r="F1241" s="236" t="str">
        <f>VLOOKUP(Table8[[#This Row],[Document ID]],Table1[],8,FALSE)</f>
        <v>LTS 1.1</v>
      </c>
      <c r="G1241" s="236" t="str">
        <f>VLOOKUP(Table8[[#This Row],[Document ID]],Table1[],10,FALSE)</f>
        <v>Active</v>
      </c>
      <c r="H1241" s="43" t="s">
        <v>2343</v>
      </c>
      <c r="I1241" s="43" t="s">
        <v>2429</v>
      </c>
      <c r="J1241" s="44" t="s">
        <v>2501</v>
      </c>
      <c r="K1241" s="44" t="s">
        <v>3505</v>
      </c>
      <c r="L1241" s="44" t="s">
        <v>2333</v>
      </c>
      <c r="M1241" s="43">
        <v>36</v>
      </c>
      <c r="N1241" s="113" t="s">
        <v>1113</v>
      </c>
      <c r="O1241" s="113"/>
      <c r="P1241" s="113"/>
      <c r="Q1241" s="113"/>
      <c r="R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t="s">
        <v>1113</v>
      </c>
      <c r="AL1241" s="113"/>
      <c r="AM1241" s="113"/>
      <c r="AN1241" s="113"/>
      <c r="AO1241" s="44" t="s">
        <v>2334</v>
      </c>
      <c r="AP1241" s="43"/>
      <c r="AQ1241" s="236" t="str">
        <f>VLOOKUP(Table8[[#This Row],[Instrument]],Def_Targets!$D$73:$E$159,2,FALSE)</f>
        <v>I_Autonomous</v>
      </c>
      <c r="AR1241" s="233" t="str">
        <f>VLOOKUP(Table8[[#This Row],[Country Code]],Table29[],3,FALSE)</f>
        <v>Annex I</v>
      </c>
      <c r="AS1241" s="233" t="str">
        <f>VLOOKUP(Table8[[#This Row],[Country Code]],Table29[],4,FALSE)</f>
        <v>Asia</v>
      </c>
      <c r="AT1241" s="233" t="str">
        <f>VLOOKUP(Table8[[#This Row],[Country Code]],Table29[],5,FALSE)</f>
        <v>High-income</v>
      </c>
      <c r="AU1241" s="233" t="str">
        <f>VLOOKUP(Table8[[#This Row],[Country Code]],Table29[],6,FALSE)</f>
        <v>G20</v>
      </c>
      <c r="AV1241" s="233" t="str">
        <f>VLOOKUP(Table8[[#This Row],[Country Code]],Table29[],7,FALSE)</f>
        <v>G7</v>
      </c>
      <c r="AW1241" s="233" t="str">
        <f>VLOOKUP(Table8[[#This Row],[Country Code]],Table29[],8,FALSE)</f>
        <v>OECD</v>
      </c>
      <c r="AX1241" s="233" t="str">
        <f>VLOOKUP(Table8[[#This Row],[Country Code]],Table29[],9,FALSE)</f>
        <v>no</v>
      </c>
      <c r="AY1241" s="233" t="str">
        <f>VLOOKUP(Table8[[#This Row],[Country Code]],Table29[],10,FALSE)</f>
        <v>no</v>
      </c>
      <c r="AZ1241" s="235">
        <f>VLOOKUP(Table8[[#This Row],[Country Code]],Table29[],23,FALSE)</f>
        <v>1041.0128248686999</v>
      </c>
      <c r="BA1241" s="235">
        <f>VLOOKUP(Table8[[#This Row],[Country Code]],Table29[],24,FALSE)</f>
        <v>181.96191357547141</v>
      </c>
      <c r="BB1241" s="320"/>
      <c r="BC1241" s="320"/>
    </row>
    <row r="1242" spans="1:55" hidden="1" x14ac:dyDescent="0.25">
      <c r="A1242" s="373">
        <v>26796</v>
      </c>
      <c r="B1242" s="233" t="str">
        <f>VLOOKUP(Table8[[#This Row],[Document ID]],Table1[],2,FALSE)</f>
        <v>JPN</v>
      </c>
      <c r="C1242" s="233" t="str">
        <f>VLOOKUP(Table8[[#This Row],[Document ID]],Table1[],3,FALSE)</f>
        <v>Japan</v>
      </c>
      <c r="D1242" s="243" t="str">
        <f>VLOOKUP(Table8[[#This Row],[Document ID]],Table1[],5,FALSE)</f>
        <v>LTS</v>
      </c>
      <c r="E1242" s="233" t="str">
        <f>VLOOKUP(Table8[[#This Row],[Document ID]],Table1[],7,FALSE)</f>
        <v>LTS</v>
      </c>
      <c r="F1242" s="236" t="str">
        <f>VLOOKUP(Table8[[#This Row],[Document ID]],Table1[],8,FALSE)</f>
        <v>LTS 1.1</v>
      </c>
      <c r="G1242" s="236" t="str">
        <f>VLOOKUP(Table8[[#This Row],[Document ID]],Table1[],10,FALSE)</f>
        <v>Active</v>
      </c>
      <c r="H1242" s="43" t="s">
        <v>2343</v>
      </c>
      <c r="I1242" s="43" t="s">
        <v>2429</v>
      </c>
      <c r="J1242" s="44" t="s">
        <v>2472</v>
      </c>
      <c r="K1242" s="44" t="s">
        <v>3505</v>
      </c>
      <c r="L1242" s="44" t="s">
        <v>2333</v>
      </c>
      <c r="M1242" s="43">
        <v>36</v>
      </c>
      <c r="N1242" s="113" t="s">
        <v>1113</v>
      </c>
      <c r="O1242" s="113"/>
      <c r="P1242" s="113"/>
      <c r="Q1242" s="113"/>
      <c r="R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t="s">
        <v>1113</v>
      </c>
      <c r="AL1242" s="113"/>
      <c r="AM1242" s="113"/>
      <c r="AN1242" s="113"/>
      <c r="AO1242" s="44" t="s">
        <v>2334</v>
      </c>
      <c r="AP1242" s="43"/>
      <c r="AQ1242" s="236" t="str">
        <f>VLOOKUP(Table8[[#This Row],[Instrument]],Def_Targets!$D$73:$E$159,2,FALSE)</f>
        <v>I_Other</v>
      </c>
      <c r="AR1242" s="233" t="str">
        <f>VLOOKUP(Table8[[#This Row],[Country Code]],Table29[],3,FALSE)</f>
        <v>Annex I</v>
      </c>
      <c r="AS1242" s="233" t="str">
        <f>VLOOKUP(Table8[[#This Row],[Country Code]],Table29[],4,FALSE)</f>
        <v>Asia</v>
      </c>
      <c r="AT1242" s="233" t="str">
        <f>VLOOKUP(Table8[[#This Row],[Country Code]],Table29[],5,FALSE)</f>
        <v>High-income</v>
      </c>
      <c r="AU1242" s="233" t="str">
        <f>VLOOKUP(Table8[[#This Row],[Country Code]],Table29[],6,FALSE)</f>
        <v>G20</v>
      </c>
      <c r="AV1242" s="233" t="str">
        <f>VLOOKUP(Table8[[#This Row],[Country Code]],Table29[],7,FALSE)</f>
        <v>G7</v>
      </c>
      <c r="AW1242" s="233" t="str">
        <f>VLOOKUP(Table8[[#This Row],[Country Code]],Table29[],8,FALSE)</f>
        <v>OECD</v>
      </c>
      <c r="AX1242" s="233" t="str">
        <f>VLOOKUP(Table8[[#This Row],[Country Code]],Table29[],9,FALSE)</f>
        <v>no</v>
      </c>
      <c r="AY1242" s="233" t="str">
        <f>VLOOKUP(Table8[[#This Row],[Country Code]],Table29[],10,FALSE)</f>
        <v>no</v>
      </c>
      <c r="AZ1242" s="235">
        <f>VLOOKUP(Table8[[#This Row],[Country Code]],Table29[],23,FALSE)</f>
        <v>1041.0128248686999</v>
      </c>
      <c r="BA1242" s="235">
        <f>VLOOKUP(Table8[[#This Row],[Country Code]],Table29[],24,FALSE)</f>
        <v>181.96191357547141</v>
      </c>
      <c r="BB1242" s="320"/>
      <c r="BC1242" s="320"/>
    </row>
    <row r="1243" spans="1:55" hidden="1" x14ac:dyDescent="0.25">
      <c r="A1243" s="373">
        <v>26796</v>
      </c>
      <c r="B1243" s="233" t="str">
        <f>VLOOKUP(Table8[[#This Row],[Document ID]],Table1[],2,FALSE)</f>
        <v>JPN</v>
      </c>
      <c r="C1243" s="233" t="str">
        <f>VLOOKUP(Table8[[#This Row],[Document ID]],Table1[],3,FALSE)</f>
        <v>Japan</v>
      </c>
      <c r="D1243" s="243" t="str">
        <f>VLOOKUP(Table8[[#This Row],[Document ID]],Table1[],5,FALSE)</f>
        <v>LTS</v>
      </c>
      <c r="E1243" s="233" t="str">
        <f>VLOOKUP(Table8[[#This Row],[Document ID]],Table1[],7,FALSE)</f>
        <v>LTS</v>
      </c>
      <c r="F1243" s="236" t="str">
        <f>VLOOKUP(Table8[[#This Row],[Document ID]],Table1[],8,FALSE)</f>
        <v>LTS 1.1</v>
      </c>
      <c r="G1243" s="236" t="str">
        <f>VLOOKUP(Table8[[#This Row],[Document ID]],Table1[],10,FALSE)</f>
        <v>Active</v>
      </c>
      <c r="H1243" s="43" t="s">
        <v>2350</v>
      </c>
      <c r="I1243" s="43" t="s">
        <v>2407</v>
      </c>
      <c r="J1243" s="44" t="s">
        <v>2592</v>
      </c>
      <c r="K1243" s="44" t="s">
        <v>3506</v>
      </c>
      <c r="L1243" s="44" t="s">
        <v>2333</v>
      </c>
      <c r="M1243" s="43">
        <v>36</v>
      </c>
      <c r="N1243" s="113" t="s">
        <v>1113</v>
      </c>
      <c r="O1243" s="113"/>
      <c r="P1243" s="113"/>
      <c r="Q1243" s="113"/>
      <c r="R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t="s">
        <v>1113</v>
      </c>
      <c r="AL1243" s="113"/>
      <c r="AM1243" s="113"/>
      <c r="AN1243" s="113"/>
      <c r="AO1243" s="44" t="s">
        <v>2334</v>
      </c>
      <c r="AP1243" s="43"/>
      <c r="AQ1243" s="236" t="str">
        <f>VLOOKUP(Table8[[#This Row],[Instrument]],Def_Targets!$D$73:$E$159,2,FALSE)</f>
        <v>I_Ecodriving</v>
      </c>
      <c r="AR1243" s="233" t="str">
        <f>VLOOKUP(Table8[[#This Row],[Country Code]],Table29[],3,FALSE)</f>
        <v>Annex I</v>
      </c>
      <c r="AS1243" s="233" t="str">
        <f>VLOOKUP(Table8[[#This Row],[Country Code]],Table29[],4,FALSE)</f>
        <v>Asia</v>
      </c>
      <c r="AT1243" s="233" t="str">
        <f>VLOOKUP(Table8[[#This Row],[Country Code]],Table29[],5,FALSE)</f>
        <v>High-income</v>
      </c>
      <c r="AU1243" s="233" t="str">
        <f>VLOOKUP(Table8[[#This Row],[Country Code]],Table29[],6,FALSE)</f>
        <v>G20</v>
      </c>
      <c r="AV1243" s="233" t="str">
        <f>VLOOKUP(Table8[[#This Row],[Country Code]],Table29[],7,FALSE)</f>
        <v>G7</v>
      </c>
      <c r="AW1243" s="233" t="str">
        <f>VLOOKUP(Table8[[#This Row],[Country Code]],Table29[],8,FALSE)</f>
        <v>OECD</v>
      </c>
      <c r="AX1243" s="233" t="str">
        <f>VLOOKUP(Table8[[#This Row],[Country Code]],Table29[],9,FALSE)</f>
        <v>no</v>
      </c>
      <c r="AY1243" s="233" t="str">
        <f>VLOOKUP(Table8[[#This Row],[Country Code]],Table29[],10,FALSE)</f>
        <v>no</v>
      </c>
      <c r="AZ1243" s="235">
        <f>VLOOKUP(Table8[[#This Row],[Country Code]],Table29[],23,FALSE)</f>
        <v>1041.0128248686999</v>
      </c>
      <c r="BA1243" s="235">
        <f>VLOOKUP(Table8[[#This Row],[Country Code]],Table29[],24,FALSE)</f>
        <v>181.96191357547141</v>
      </c>
      <c r="BB1243" s="320"/>
      <c r="BC1243" s="320"/>
    </row>
    <row r="1244" spans="1:55" hidden="1" x14ac:dyDescent="0.25">
      <c r="A1244" s="373">
        <v>26796</v>
      </c>
      <c r="B1244" s="233" t="str">
        <f>VLOOKUP(Table8[[#This Row],[Document ID]],Table1[],2,FALSE)</f>
        <v>JPN</v>
      </c>
      <c r="C1244" s="233" t="str">
        <f>VLOOKUP(Table8[[#This Row],[Document ID]],Table1[],3,FALSE)</f>
        <v>Japan</v>
      </c>
      <c r="D1244" s="243" t="str">
        <f>VLOOKUP(Table8[[#This Row],[Document ID]],Table1[],5,FALSE)</f>
        <v>LTS</v>
      </c>
      <c r="E1244" s="233" t="str">
        <f>VLOOKUP(Table8[[#This Row],[Document ID]],Table1[],7,FALSE)</f>
        <v>LTS</v>
      </c>
      <c r="F1244" s="236" t="str">
        <f>VLOOKUP(Table8[[#This Row],[Document ID]],Table1[],8,FALSE)</f>
        <v>LTS 1.1</v>
      </c>
      <c r="G1244" s="236" t="str">
        <f>VLOOKUP(Table8[[#This Row],[Document ID]],Table1[],10,FALSE)</f>
        <v>Active</v>
      </c>
      <c r="H1244" s="44" t="s">
        <v>2338</v>
      </c>
      <c r="I1244" s="44" t="s">
        <v>2339</v>
      </c>
      <c r="J1244" s="44" t="s">
        <v>2340</v>
      </c>
      <c r="K1244" s="44" t="s">
        <v>3507</v>
      </c>
      <c r="L1244" s="44" t="s">
        <v>2333</v>
      </c>
      <c r="M1244" s="43">
        <v>36</v>
      </c>
      <c r="N1244" s="113" t="s">
        <v>1113</v>
      </c>
      <c r="O1244" s="113"/>
      <c r="P1244" s="113"/>
      <c r="Q1244" s="113"/>
      <c r="R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t="s">
        <v>1113</v>
      </c>
      <c r="AL1244" s="113"/>
      <c r="AM1244" s="113"/>
      <c r="AN1244" s="113"/>
      <c r="AO1244" s="44" t="s">
        <v>2334</v>
      </c>
      <c r="AP1244" s="43"/>
      <c r="AQ1244" s="236" t="str">
        <f>VLOOKUP(Table8[[#This Row],[Instrument]],Def_Targets!$D$73:$E$159,2,FALSE)</f>
        <v>I_Vehicleimprove</v>
      </c>
      <c r="AR1244" s="233" t="str">
        <f>VLOOKUP(Table8[[#This Row],[Country Code]],Table29[],3,FALSE)</f>
        <v>Annex I</v>
      </c>
      <c r="AS1244" s="233" t="str">
        <f>VLOOKUP(Table8[[#This Row],[Country Code]],Table29[],4,FALSE)</f>
        <v>Asia</v>
      </c>
      <c r="AT1244" s="233" t="str">
        <f>VLOOKUP(Table8[[#This Row],[Country Code]],Table29[],5,FALSE)</f>
        <v>High-income</v>
      </c>
      <c r="AU1244" s="233" t="str">
        <f>VLOOKUP(Table8[[#This Row],[Country Code]],Table29[],6,FALSE)</f>
        <v>G20</v>
      </c>
      <c r="AV1244" s="233" t="str">
        <f>VLOOKUP(Table8[[#This Row],[Country Code]],Table29[],7,FALSE)</f>
        <v>G7</v>
      </c>
      <c r="AW1244" s="233" t="str">
        <f>VLOOKUP(Table8[[#This Row],[Country Code]],Table29[],8,FALSE)</f>
        <v>OECD</v>
      </c>
      <c r="AX1244" s="233" t="str">
        <f>VLOOKUP(Table8[[#This Row],[Country Code]],Table29[],9,FALSE)</f>
        <v>no</v>
      </c>
      <c r="AY1244" s="233" t="str">
        <f>VLOOKUP(Table8[[#This Row],[Country Code]],Table29[],10,FALSE)</f>
        <v>no</v>
      </c>
      <c r="AZ1244" s="235">
        <f>VLOOKUP(Table8[[#This Row],[Country Code]],Table29[],23,FALSE)</f>
        <v>1041.0128248686999</v>
      </c>
      <c r="BA1244" s="235">
        <f>VLOOKUP(Table8[[#This Row],[Country Code]],Table29[],24,FALSE)</f>
        <v>181.96191357547141</v>
      </c>
      <c r="BB1244" s="320"/>
      <c r="BC1244" s="320"/>
    </row>
    <row r="1245" spans="1:55" hidden="1" x14ac:dyDescent="0.25">
      <c r="A1245" s="373">
        <v>26796</v>
      </c>
      <c r="B1245" s="233" t="str">
        <f>VLOOKUP(Table8[[#This Row],[Document ID]],Table1[],2,FALSE)</f>
        <v>JPN</v>
      </c>
      <c r="C1245" s="233" t="str">
        <f>VLOOKUP(Table8[[#This Row],[Document ID]],Table1[],3,FALSE)</f>
        <v>Japan</v>
      </c>
      <c r="D1245" s="243" t="str">
        <f>VLOOKUP(Table8[[#This Row],[Document ID]],Table1[],5,FALSE)</f>
        <v>LTS</v>
      </c>
      <c r="E1245" s="233" t="str">
        <f>VLOOKUP(Table8[[#This Row],[Document ID]],Table1[],7,FALSE)</f>
        <v>LTS</v>
      </c>
      <c r="F1245" s="236" t="str">
        <f>VLOOKUP(Table8[[#This Row],[Document ID]],Table1[],8,FALSE)</f>
        <v>LTS 1.1</v>
      </c>
      <c r="G1245" s="236" t="str">
        <f>VLOOKUP(Table8[[#This Row],[Document ID]],Table1[],10,FALSE)</f>
        <v>Active</v>
      </c>
      <c r="H1245" s="43" t="s">
        <v>2350</v>
      </c>
      <c r="I1245" s="43" t="s">
        <v>2370</v>
      </c>
      <c r="J1245" s="44" t="s">
        <v>2511</v>
      </c>
      <c r="K1245" s="44" t="s">
        <v>3507</v>
      </c>
      <c r="L1245" s="44" t="s">
        <v>2380</v>
      </c>
      <c r="M1245" s="43">
        <v>36</v>
      </c>
      <c r="N1245" s="113" t="s">
        <v>1113</v>
      </c>
      <c r="O1245" s="113"/>
      <c r="P1245" s="113"/>
      <c r="Q1245" s="113"/>
      <c r="R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t="s">
        <v>1113</v>
      </c>
      <c r="AL1245" s="113"/>
      <c r="AM1245" s="113"/>
      <c r="AN1245" s="113"/>
      <c r="AO1245" s="44" t="s">
        <v>2334</v>
      </c>
      <c r="AP1245" s="43"/>
      <c r="AQ1245" s="236" t="str">
        <f>VLOOKUP(Table8[[#This Row],[Instrument]],Def_Targets!$D$73:$E$159,2,FALSE)</f>
        <v>A_LATM</v>
      </c>
      <c r="AR1245" s="233" t="str">
        <f>VLOOKUP(Table8[[#This Row],[Country Code]],Table29[],3,FALSE)</f>
        <v>Annex I</v>
      </c>
      <c r="AS1245" s="233" t="str">
        <f>VLOOKUP(Table8[[#This Row],[Country Code]],Table29[],4,FALSE)</f>
        <v>Asia</v>
      </c>
      <c r="AT1245" s="233" t="str">
        <f>VLOOKUP(Table8[[#This Row],[Country Code]],Table29[],5,FALSE)</f>
        <v>High-income</v>
      </c>
      <c r="AU1245" s="233" t="str">
        <f>VLOOKUP(Table8[[#This Row],[Country Code]],Table29[],6,FALSE)</f>
        <v>G20</v>
      </c>
      <c r="AV1245" s="233" t="str">
        <f>VLOOKUP(Table8[[#This Row],[Country Code]],Table29[],7,FALSE)</f>
        <v>G7</v>
      </c>
      <c r="AW1245" s="233" t="str">
        <f>VLOOKUP(Table8[[#This Row],[Country Code]],Table29[],8,FALSE)</f>
        <v>OECD</v>
      </c>
      <c r="AX1245" s="233" t="str">
        <f>VLOOKUP(Table8[[#This Row],[Country Code]],Table29[],9,FALSE)</f>
        <v>no</v>
      </c>
      <c r="AY1245" s="233" t="str">
        <f>VLOOKUP(Table8[[#This Row],[Country Code]],Table29[],10,FALSE)</f>
        <v>no</v>
      </c>
      <c r="AZ1245" s="235">
        <f>VLOOKUP(Table8[[#This Row],[Country Code]],Table29[],23,FALSE)</f>
        <v>1041.0128248686999</v>
      </c>
      <c r="BA1245" s="235">
        <f>VLOOKUP(Table8[[#This Row],[Country Code]],Table29[],24,FALSE)</f>
        <v>181.96191357547141</v>
      </c>
      <c r="BB1245" s="320"/>
      <c r="BC1245" s="320"/>
    </row>
    <row r="1246" spans="1:55" ht="30" hidden="1" x14ac:dyDescent="0.25">
      <c r="A1246" s="373">
        <v>26796</v>
      </c>
      <c r="B1246" s="233" t="str">
        <f>VLOOKUP(Table8[[#This Row],[Document ID]],Table1[],2,FALSE)</f>
        <v>JPN</v>
      </c>
      <c r="C1246" s="233" t="str">
        <f>VLOOKUP(Table8[[#This Row],[Document ID]],Table1[],3,FALSE)</f>
        <v>Japan</v>
      </c>
      <c r="D1246" s="243" t="str">
        <f>VLOOKUP(Table8[[#This Row],[Document ID]],Table1[],5,FALSE)</f>
        <v>LTS</v>
      </c>
      <c r="E1246" s="233" t="str">
        <f>VLOOKUP(Table8[[#This Row],[Document ID]],Table1[],7,FALSE)</f>
        <v>LTS</v>
      </c>
      <c r="F1246" s="236" t="str">
        <f>VLOOKUP(Table8[[#This Row],[Document ID]],Table1[],8,FALSE)</f>
        <v>LTS 1.1</v>
      </c>
      <c r="G1246" s="236" t="str">
        <f>VLOOKUP(Table8[[#This Row],[Document ID]],Table1[],10,FALSE)</f>
        <v>Active</v>
      </c>
      <c r="H1246" s="43" t="s">
        <v>2358</v>
      </c>
      <c r="I1246" s="43" t="s">
        <v>2359</v>
      </c>
      <c r="J1246" s="44" t="s">
        <v>3094</v>
      </c>
      <c r="K1246" s="44" t="s">
        <v>3508</v>
      </c>
      <c r="L1246" s="44" t="s">
        <v>2333</v>
      </c>
      <c r="M1246" s="43">
        <v>36</v>
      </c>
      <c r="N1246" s="113" t="s">
        <v>1113</v>
      </c>
      <c r="O1246" s="113"/>
      <c r="P1246" s="113"/>
      <c r="Q1246" s="113"/>
      <c r="R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t="s">
        <v>1113</v>
      </c>
      <c r="AL1246" s="113"/>
      <c r="AM1246" s="113"/>
      <c r="AN1246" s="113"/>
      <c r="AO1246" s="44" t="s">
        <v>2334</v>
      </c>
      <c r="AP1246" s="43"/>
      <c r="AQ1246" s="236" t="str">
        <f>VLOOKUP(Table8[[#This Row],[Instrument]],Def_Targets!$D$73:$E$159,2,FALSE)</f>
        <v>I_Smartcharging</v>
      </c>
      <c r="AR1246" s="233" t="str">
        <f>VLOOKUP(Table8[[#This Row],[Country Code]],Table29[],3,FALSE)</f>
        <v>Annex I</v>
      </c>
      <c r="AS1246" s="233" t="str">
        <f>VLOOKUP(Table8[[#This Row],[Country Code]],Table29[],4,FALSE)</f>
        <v>Asia</v>
      </c>
      <c r="AT1246" s="233" t="str">
        <f>VLOOKUP(Table8[[#This Row],[Country Code]],Table29[],5,FALSE)</f>
        <v>High-income</v>
      </c>
      <c r="AU1246" s="233" t="str">
        <f>VLOOKUP(Table8[[#This Row],[Country Code]],Table29[],6,FALSE)</f>
        <v>G20</v>
      </c>
      <c r="AV1246" s="233" t="str">
        <f>VLOOKUP(Table8[[#This Row],[Country Code]],Table29[],7,FALSE)</f>
        <v>G7</v>
      </c>
      <c r="AW1246" s="233" t="str">
        <f>VLOOKUP(Table8[[#This Row],[Country Code]],Table29[],8,FALSE)</f>
        <v>OECD</v>
      </c>
      <c r="AX1246" s="233" t="str">
        <f>VLOOKUP(Table8[[#This Row],[Country Code]],Table29[],9,FALSE)</f>
        <v>no</v>
      </c>
      <c r="AY1246" s="233" t="str">
        <f>VLOOKUP(Table8[[#This Row],[Country Code]],Table29[],10,FALSE)</f>
        <v>no</v>
      </c>
      <c r="AZ1246" s="235">
        <f>VLOOKUP(Table8[[#This Row],[Country Code]],Table29[],23,FALSE)</f>
        <v>1041.0128248686999</v>
      </c>
      <c r="BA1246" s="235">
        <f>VLOOKUP(Table8[[#This Row],[Country Code]],Table29[],24,FALSE)</f>
        <v>181.96191357547141</v>
      </c>
      <c r="BB1246" s="320"/>
      <c r="BC1246" s="320"/>
    </row>
    <row r="1247" spans="1:55" ht="30" hidden="1" x14ac:dyDescent="0.25">
      <c r="A1247" s="373">
        <v>26796</v>
      </c>
      <c r="B1247" s="233" t="str">
        <f>VLOOKUP(Table8[[#This Row],[Document ID]],Table1[],2,FALSE)</f>
        <v>JPN</v>
      </c>
      <c r="C1247" s="233" t="str">
        <f>VLOOKUP(Table8[[#This Row],[Document ID]],Table1[],3,FALSE)</f>
        <v>Japan</v>
      </c>
      <c r="D1247" s="243" t="str">
        <f>VLOOKUP(Table8[[#This Row],[Document ID]],Table1[],5,FALSE)</f>
        <v>LTS</v>
      </c>
      <c r="E1247" s="233" t="str">
        <f>VLOOKUP(Table8[[#This Row],[Document ID]],Table1[],7,FALSE)</f>
        <v>LTS</v>
      </c>
      <c r="F1247" s="236" t="str">
        <f>VLOOKUP(Table8[[#This Row],[Document ID]],Table1[],8,FALSE)</f>
        <v>LTS 1.1</v>
      </c>
      <c r="G1247" s="236" t="str">
        <f>VLOOKUP(Table8[[#This Row],[Document ID]],Table1[],10,FALSE)</f>
        <v>Active</v>
      </c>
      <c r="H1247" s="43" t="s">
        <v>2343</v>
      </c>
      <c r="I1247" s="43" t="s">
        <v>2429</v>
      </c>
      <c r="J1247" s="44" t="s">
        <v>2430</v>
      </c>
      <c r="K1247" s="44" t="s">
        <v>3509</v>
      </c>
      <c r="L1247" s="44" t="s">
        <v>2380</v>
      </c>
      <c r="M1247" s="43">
        <v>36</v>
      </c>
      <c r="N1247" s="113" t="s">
        <v>1113</v>
      </c>
      <c r="O1247" s="113"/>
      <c r="P1247" s="113"/>
      <c r="Q1247" s="113"/>
      <c r="R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t="s">
        <v>1113</v>
      </c>
      <c r="AL1247" s="113"/>
      <c r="AM1247" s="113"/>
      <c r="AN1247" s="113"/>
      <c r="AO1247" s="44" t="s">
        <v>2334</v>
      </c>
      <c r="AP1247" s="43"/>
      <c r="AQ1247" s="236" t="str">
        <f>VLOOKUP(Table8[[#This Row],[Instrument]],Def_Targets!$D$73:$E$159,2,FALSE)</f>
        <v>I_ITS</v>
      </c>
      <c r="AR1247" s="233" t="str">
        <f>VLOOKUP(Table8[[#This Row],[Country Code]],Table29[],3,FALSE)</f>
        <v>Annex I</v>
      </c>
      <c r="AS1247" s="233" t="str">
        <f>VLOOKUP(Table8[[#This Row],[Country Code]],Table29[],4,FALSE)</f>
        <v>Asia</v>
      </c>
      <c r="AT1247" s="233" t="str">
        <f>VLOOKUP(Table8[[#This Row],[Country Code]],Table29[],5,FALSE)</f>
        <v>High-income</v>
      </c>
      <c r="AU1247" s="233" t="str">
        <f>VLOOKUP(Table8[[#This Row],[Country Code]],Table29[],6,FALSE)</f>
        <v>G20</v>
      </c>
      <c r="AV1247" s="233" t="str">
        <f>VLOOKUP(Table8[[#This Row],[Country Code]],Table29[],7,FALSE)</f>
        <v>G7</v>
      </c>
      <c r="AW1247" s="233" t="str">
        <f>VLOOKUP(Table8[[#This Row],[Country Code]],Table29[],8,FALSE)</f>
        <v>OECD</v>
      </c>
      <c r="AX1247" s="233" t="str">
        <f>VLOOKUP(Table8[[#This Row],[Country Code]],Table29[],9,FALSE)</f>
        <v>no</v>
      </c>
      <c r="AY1247" s="233" t="str">
        <f>VLOOKUP(Table8[[#This Row],[Country Code]],Table29[],10,FALSE)</f>
        <v>no</v>
      </c>
      <c r="AZ1247" s="235">
        <f>VLOOKUP(Table8[[#This Row],[Country Code]],Table29[],23,FALSE)</f>
        <v>1041.0128248686999</v>
      </c>
      <c r="BA1247" s="235">
        <f>VLOOKUP(Table8[[#This Row],[Country Code]],Table29[],24,FALSE)</f>
        <v>181.96191357547141</v>
      </c>
      <c r="BB1247" s="320"/>
      <c r="BC1247" s="320"/>
    </row>
    <row r="1248" spans="1:55" ht="30" hidden="1" x14ac:dyDescent="0.25">
      <c r="A1248" s="373">
        <v>26796</v>
      </c>
      <c r="B1248" s="233" t="str">
        <f>VLOOKUP(Table8[[#This Row],[Document ID]],Table1[],2,FALSE)</f>
        <v>JPN</v>
      </c>
      <c r="C1248" s="233" t="str">
        <f>VLOOKUP(Table8[[#This Row],[Document ID]],Table1[],3,FALSE)</f>
        <v>Japan</v>
      </c>
      <c r="D1248" s="243" t="str">
        <f>VLOOKUP(Table8[[#This Row],[Document ID]],Table1[],5,FALSE)</f>
        <v>LTS</v>
      </c>
      <c r="E1248" s="233" t="str">
        <f>VLOOKUP(Table8[[#This Row],[Document ID]],Table1[],7,FALSE)</f>
        <v>LTS</v>
      </c>
      <c r="F1248" s="236" t="str">
        <f>VLOOKUP(Table8[[#This Row],[Document ID]],Table1[],8,FALSE)</f>
        <v>LTS 1.1</v>
      </c>
      <c r="G1248" s="236" t="str">
        <f>VLOOKUP(Table8[[#This Row],[Document ID]],Table1[],10,FALSE)</f>
        <v>Active</v>
      </c>
      <c r="H1248" s="43" t="s">
        <v>2343</v>
      </c>
      <c r="I1248" s="43" t="s">
        <v>2377</v>
      </c>
      <c r="J1248" s="44" t="s">
        <v>2394</v>
      </c>
      <c r="K1248" s="44" t="s">
        <v>3509</v>
      </c>
      <c r="L1248" s="44" t="s">
        <v>2380</v>
      </c>
      <c r="M1248" s="43">
        <v>36</v>
      </c>
      <c r="N1248" s="113" t="s">
        <v>1113</v>
      </c>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t="s">
        <v>1113</v>
      </c>
      <c r="AL1248" s="113"/>
      <c r="AM1248" s="113"/>
      <c r="AN1248" s="113"/>
      <c r="AO1248" s="44" t="s">
        <v>2334</v>
      </c>
      <c r="AP1248" s="43"/>
      <c r="AQ1248" s="236" t="str">
        <f>VLOOKUP(Table8[[#This Row],[Instrument]],Def_Targets!$D$73:$E$159,2,FALSE)</f>
        <v>A_TDM</v>
      </c>
      <c r="AR1248" s="233" t="str">
        <f>VLOOKUP(Table8[[#This Row],[Country Code]],Table29[],3,FALSE)</f>
        <v>Annex I</v>
      </c>
      <c r="AS1248" s="233" t="str">
        <f>VLOOKUP(Table8[[#This Row],[Country Code]],Table29[],4,FALSE)</f>
        <v>Asia</v>
      </c>
      <c r="AT1248" s="233" t="str">
        <f>VLOOKUP(Table8[[#This Row],[Country Code]],Table29[],5,FALSE)</f>
        <v>High-income</v>
      </c>
      <c r="AU1248" s="233" t="str">
        <f>VLOOKUP(Table8[[#This Row],[Country Code]],Table29[],6,FALSE)</f>
        <v>G20</v>
      </c>
      <c r="AV1248" s="233" t="str">
        <f>VLOOKUP(Table8[[#This Row],[Country Code]],Table29[],7,FALSE)</f>
        <v>G7</v>
      </c>
      <c r="AW1248" s="233" t="str">
        <f>VLOOKUP(Table8[[#This Row],[Country Code]],Table29[],8,FALSE)</f>
        <v>OECD</v>
      </c>
      <c r="AX1248" s="233" t="str">
        <f>VLOOKUP(Table8[[#This Row],[Country Code]],Table29[],9,FALSE)</f>
        <v>no</v>
      </c>
      <c r="AY1248" s="233" t="str">
        <f>VLOOKUP(Table8[[#This Row],[Country Code]],Table29[],10,FALSE)</f>
        <v>no</v>
      </c>
      <c r="AZ1248" s="235">
        <f>VLOOKUP(Table8[[#This Row],[Country Code]],Table29[],23,FALSE)</f>
        <v>1041.0128248686999</v>
      </c>
      <c r="BA1248" s="235">
        <f>VLOOKUP(Table8[[#This Row],[Country Code]],Table29[],24,FALSE)</f>
        <v>181.96191357547141</v>
      </c>
      <c r="BB1248" s="320"/>
      <c r="BC1248" s="320"/>
    </row>
    <row r="1249" spans="1:55" hidden="1" x14ac:dyDescent="0.25">
      <c r="A1249" s="373">
        <v>26796</v>
      </c>
      <c r="B1249" s="233" t="str">
        <f>VLOOKUP(Table8[[#This Row],[Document ID]],Table1[],2,FALSE)</f>
        <v>JPN</v>
      </c>
      <c r="C1249" s="233" t="str">
        <f>VLOOKUP(Table8[[#This Row],[Document ID]],Table1[],3,FALSE)</f>
        <v>Japan</v>
      </c>
      <c r="D1249" s="243" t="str">
        <f>VLOOKUP(Table8[[#This Row],[Document ID]],Table1[],5,FALSE)</f>
        <v>LTS</v>
      </c>
      <c r="E1249" s="233" t="str">
        <f>VLOOKUP(Table8[[#This Row],[Document ID]],Table1[],7,FALSE)</f>
        <v>LTS</v>
      </c>
      <c r="F1249" s="236" t="str">
        <f>VLOOKUP(Table8[[#This Row],[Document ID]],Table1[],8,FALSE)</f>
        <v>LTS 1.1</v>
      </c>
      <c r="G1249" s="236" t="str">
        <f>VLOOKUP(Table8[[#This Row],[Document ID]],Table1[],10,FALSE)</f>
        <v>Active</v>
      </c>
      <c r="H1249" s="43" t="s">
        <v>2350</v>
      </c>
      <c r="I1249" s="43" t="s">
        <v>2370</v>
      </c>
      <c r="J1249" s="44" t="s">
        <v>2511</v>
      </c>
      <c r="K1249" s="44" t="s">
        <v>3510</v>
      </c>
      <c r="L1249" s="44" t="s">
        <v>2333</v>
      </c>
      <c r="M1249" s="43" t="s">
        <v>3511</v>
      </c>
      <c r="N1249" s="113" t="s">
        <v>1113</v>
      </c>
      <c r="O1249" s="113"/>
      <c r="P1249" s="113"/>
      <c r="Q1249" s="113"/>
      <c r="R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t="s">
        <v>1113</v>
      </c>
      <c r="AL1249" s="113"/>
      <c r="AM1249" s="113"/>
      <c r="AN1249" s="113"/>
      <c r="AO1249" s="44" t="s">
        <v>2334</v>
      </c>
      <c r="AP1249" s="43"/>
      <c r="AQ1249" s="236" t="str">
        <f>VLOOKUP(Table8[[#This Row],[Instrument]],Def_Targets!$D$73:$E$159,2,FALSE)</f>
        <v>A_LATM</v>
      </c>
      <c r="AR1249" s="233" t="str">
        <f>VLOOKUP(Table8[[#This Row],[Country Code]],Table29[],3,FALSE)</f>
        <v>Annex I</v>
      </c>
      <c r="AS1249" s="233" t="str">
        <f>VLOOKUP(Table8[[#This Row],[Country Code]],Table29[],4,FALSE)</f>
        <v>Asia</v>
      </c>
      <c r="AT1249" s="233" t="str">
        <f>VLOOKUP(Table8[[#This Row],[Country Code]],Table29[],5,FALSE)</f>
        <v>High-income</v>
      </c>
      <c r="AU1249" s="233" t="str">
        <f>VLOOKUP(Table8[[#This Row],[Country Code]],Table29[],6,FALSE)</f>
        <v>G20</v>
      </c>
      <c r="AV1249" s="233" t="str">
        <f>VLOOKUP(Table8[[#This Row],[Country Code]],Table29[],7,FALSE)</f>
        <v>G7</v>
      </c>
      <c r="AW1249" s="233" t="str">
        <f>VLOOKUP(Table8[[#This Row],[Country Code]],Table29[],8,FALSE)</f>
        <v>OECD</v>
      </c>
      <c r="AX1249" s="233" t="str">
        <f>VLOOKUP(Table8[[#This Row],[Country Code]],Table29[],9,FALSE)</f>
        <v>no</v>
      </c>
      <c r="AY1249" s="233" t="str">
        <f>VLOOKUP(Table8[[#This Row],[Country Code]],Table29[],10,FALSE)</f>
        <v>no</v>
      </c>
      <c r="AZ1249" s="235">
        <f>VLOOKUP(Table8[[#This Row],[Country Code]],Table29[],23,FALSE)</f>
        <v>1041.0128248686999</v>
      </c>
      <c r="BA1249" s="235">
        <f>VLOOKUP(Table8[[#This Row],[Country Code]],Table29[],24,FALSE)</f>
        <v>181.96191357547141</v>
      </c>
      <c r="BB1249" s="320"/>
      <c r="BC1249" s="320"/>
    </row>
    <row r="1250" spans="1:55" hidden="1" x14ac:dyDescent="0.25">
      <c r="A1250" s="373">
        <v>26796</v>
      </c>
      <c r="B1250" s="233" t="str">
        <f>VLOOKUP(Table8[[#This Row],[Document ID]],Table1[],2,FALSE)</f>
        <v>JPN</v>
      </c>
      <c r="C1250" s="233" t="str">
        <f>VLOOKUP(Table8[[#This Row],[Document ID]],Table1[],3,FALSE)</f>
        <v>Japan</v>
      </c>
      <c r="D1250" s="243" t="str">
        <f>VLOOKUP(Table8[[#This Row],[Document ID]],Table1[],5,FALSE)</f>
        <v>LTS</v>
      </c>
      <c r="E1250" s="233" t="str">
        <f>VLOOKUP(Table8[[#This Row],[Document ID]],Table1[],7,FALSE)</f>
        <v>LTS</v>
      </c>
      <c r="F1250" s="236" t="str">
        <f>VLOOKUP(Table8[[#This Row],[Document ID]],Table1[],8,FALSE)</f>
        <v>LTS 1.1</v>
      </c>
      <c r="G1250" s="236" t="str">
        <f>VLOOKUP(Table8[[#This Row],[Document ID]],Table1[],10,FALSE)</f>
        <v>Active</v>
      </c>
      <c r="H1250" s="43" t="s">
        <v>2343</v>
      </c>
      <c r="I1250" s="43" t="s">
        <v>2344</v>
      </c>
      <c r="J1250" s="44" t="s">
        <v>2345</v>
      </c>
      <c r="K1250" s="44" t="s">
        <v>3512</v>
      </c>
      <c r="L1250" s="44" t="s">
        <v>2347</v>
      </c>
      <c r="M1250" s="43">
        <v>37</v>
      </c>
      <c r="N1250" s="113" t="s">
        <v>1113</v>
      </c>
      <c r="O1250" s="113"/>
      <c r="P1250" s="113"/>
      <c r="Q1250" s="113"/>
      <c r="R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t="s">
        <v>1113</v>
      </c>
      <c r="AL1250" s="113"/>
      <c r="AM1250" s="113"/>
      <c r="AN1250" s="113"/>
      <c r="AO1250" s="43" t="s">
        <v>2348</v>
      </c>
      <c r="AP1250" s="43"/>
      <c r="AQ1250" s="236" t="str">
        <f>VLOOKUP(Table8[[#This Row],[Instrument]],Def_Targets!$D$73:$E$159,2,FALSE)</f>
        <v>S_PublicTransport</v>
      </c>
      <c r="AR1250" s="233" t="str">
        <f>VLOOKUP(Table8[[#This Row],[Country Code]],Table29[],3,FALSE)</f>
        <v>Annex I</v>
      </c>
      <c r="AS1250" s="233" t="str">
        <f>VLOOKUP(Table8[[#This Row],[Country Code]],Table29[],4,FALSE)</f>
        <v>Asia</v>
      </c>
      <c r="AT1250" s="233" t="str">
        <f>VLOOKUP(Table8[[#This Row],[Country Code]],Table29[],5,FALSE)</f>
        <v>High-income</v>
      </c>
      <c r="AU1250" s="233" t="str">
        <f>VLOOKUP(Table8[[#This Row],[Country Code]],Table29[],6,FALSE)</f>
        <v>G20</v>
      </c>
      <c r="AV1250" s="233" t="str">
        <f>VLOOKUP(Table8[[#This Row],[Country Code]],Table29[],7,FALSE)</f>
        <v>G7</v>
      </c>
      <c r="AW1250" s="233" t="str">
        <f>VLOOKUP(Table8[[#This Row],[Country Code]],Table29[],8,FALSE)</f>
        <v>OECD</v>
      </c>
      <c r="AX1250" s="233" t="str">
        <f>VLOOKUP(Table8[[#This Row],[Country Code]],Table29[],9,FALSE)</f>
        <v>no</v>
      </c>
      <c r="AY1250" s="233" t="str">
        <f>VLOOKUP(Table8[[#This Row],[Country Code]],Table29[],10,FALSE)</f>
        <v>no</v>
      </c>
      <c r="AZ1250" s="235">
        <f>VLOOKUP(Table8[[#This Row],[Country Code]],Table29[],23,FALSE)</f>
        <v>1041.0128248686999</v>
      </c>
      <c r="BA1250" s="235">
        <f>VLOOKUP(Table8[[#This Row],[Country Code]],Table29[],24,FALSE)</f>
        <v>181.96191357547141</v>
      </c>
      <c r="BB1250" s="320"/>
      <c r="BC1250" s="320"/>
    </row>
    <row r="1251" spans="1:55" ht="45" hidden="1" x14ac:dyDescent="0.25">
      <c r="A1251" s="373">
        <v>26796</v>
      </c>
      <c r="B1251" s="233" t="str">
        <f>VLOOKUP(Table8[[#This Row],[Document ID]],Table1[],2,FALSE)</f>
        <v>JPN</v>
      </c>
      <c r="C1251" s="233" t="str">
        <f>VLOOKUP(Table8[[#This Row],[Document ID]],Table1[],3,FALSE)</f>
        <v>Japan</v>
      </c>
      <c r="D1251" s="243" t="str">
        <f>VLOOKUP(Table8[[#This Row],[Document ID]],Table1[],5,FALSE)</f>
        <v>LTS</v>
      </c>
      <c r="E1251" s="233" t="str">
        <f>VLOOKUP(Table8[[#This Row],[Document ID]],Table1[],7,FALSE)</f>
        <v>LTS</v>
      </c>
      <c r="F1251" s="236" t="str">
        <f>VLOOKUP(Table8[[#This Row],[Document ID]],Table1[],8,FALSE)</f>
        <v>LTS 1.1</v>
      </c>
      <c r="G1251" s="236" t="str">
        <f>VLOOKUP(Table8[[#This Row],[Document ID]],Table1[],10,FALSE)</f>
        <v>Active</v>
      </c>
      <c r="H1251" s="43" t="s">
        <v>2350</v>
      </c>
      <c r="I1251" s="43" t="s">
        <v>2370</v>
      </c>
      <c r="J1251" s="44" t="s">
        <v>2418</v>
      </c>
      <c r="K1251" s="44" t="s">
        <v>3513</v>
      </c>
      <c r="L1251" s="44" t="s">
        <v>2373</v>
      </c>
      <c r="M1251" s="43">
        <v>37</v>
      </c>
      <c r="N1251" s="113" t="s">
        <v>1113</v>
      </c>
      <c r="O1251" s="113"/>
      <c r="P1251" s="113"/>
      <c r="Q1251" s="113"/>
      <c r="R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t="s">
        <v>1113</v>
      </c>
      <c r="AL1251" s="113"/>
      <c r="AM1251" s="113"/>
      <c r="AN1251" s="113"/>
      <c r="AO1251" s="43" t="s">
        <v>2348</v>
      </c>
      <c r="AP1251" s="43"/>
      <c r="AQ1251" s="236" t="str">
        <f>VLOOKUP(Table8[[#This Row],[Instrument]],Def_Targets!$D$73:$E$159,2,FALSE)</f>
        <v>A_Complan</v>
      </c>
      <c r="AR1251" s="233" t="str">
        <f>VLOOKUP(Table8[[#This Row],[Country Code]],Table29[],3,FALSE)</f>
        <v>Annex I</v>
      </c>
      <c r="AS1251" s="233" t="str">
        <f>VLOOKUP(Table8[[#This Row],[Country Code]],Table29[],4,FALSE)</f>
        <v>Asia</v>
      </c>
      <c r="AT1251" s="233" t="str">
        <f>VLOOKUP(Table8[[#This Row],[Country Code]],Table29[],5,FALSE)</f>
        <v>High-income</v>
      </c>
      <c r="AU1251" s="233" t="str">
        <f>VLOOKUP(Table8[[#This Row],[Country Code]],Table29[],6,FALSE)</f>
        <v>G20</v>
      </c>
      <c r="AV1251" s="233" t="str">
        <f>VLOOKUP(Table8[[#This Row],[Country Code]],Table29[],7,FALSE)</f>
        <v>G7</v>
      </c>
      <c r="AW1251" s="233" t="str">
        <f>VLOOKUP(Table8[[#This Row],[Country Code]],Table29[],8,FALSE)</f>
        <v>OECD</v>
      </c>
      <c r="AX1251" s="233" t="str">
        <f>VLOOKUP(Table8[[#This Row],[Country Code]],Table29[],9,FALSE)</f>
        <v>no</v>
      </c>
      <c r="AY1251" s="233" t="str">
        <f>VLOOKUP(Table8[[#This Row],[Country Code]],Table29[],10,FALSE)</f>
        <v>no</v>
      </c>
      <c r="AZ1251" s="235">
        <f>VLOOKUP(Table8[[#This Row],[Country Code]],Table29[],23,FALSE)</f>
        <v>1041.0128248686999</v>
      </c>
      <c r="BA1251" s="235">
        <f>VLOOKUP(Table8[[#This Row],[Country Code]],Table29[],24,FALSE)</f>
        <v>181.96191357547141</v>
      </c>
      <c r="BB1251" s="320"/>
      <c r="BC1251" s="320"/>
    </row>
    <row r="1252" spans="1:55" ht="45" hidden="1" x14ac:dyDescent="0.25">
      <c r="A1252" s="373">
        <v>26796</v>
      </c>
      <c r="B1252" s="233" t="str">
        <f>VLOOKUP(Table8[[#This Row],[Document ID]],Table1[],2,FALSE)</f>
        <v>JPN</v>
      </c>
      <c r="C1252" s="233" t="str">
        <f>VLOOKUP(Table8[[#This Row],[Document ID]],Table1[],3,FALSE)</f>
        <v>Japan</v>
      </c>
      <c r="D1252" s="243" t="str">
        <f>VLOOKUP(Table8[[#This Row],[Document ID]],Table1[],5,FALSE)</f>
        <v>LTS</v>
      </c>
      <c r="E1252" s="233" t="str">
        <f>VLOOKUP(Table8[[#This Row],[Document ID]],Table1[],7,FALSE)</f>
        <v>LTS</v>
      </c>
      <c r="F1252" s="236" t="str">
        <f>VLOOKUP(Table8[[#This Row],[Document ID]],Table1[],8,FALSE)</f>
        <v>LTS 1.1</v>
      </c>
      <c r="G1252" s="236" t="str">
        <f>VLOOKUP(Table8[[#This Row],[Document ID]],Table1[],10,FALSE)</f>
        <v>Active</v>
      </c>
      <c r="H1252" s="43" t="s">
        <v>2350</v>
      </c>
      <c r="I1252" s="43" t="s">
        <v>2370</v>
      </c>
      <c r="J1252" s="44" t="s">
        <v>2418</v>
      </c>
      <c r="K1252" s="44" t="s">
        <v>3513</v>
      </c>
      <c r="L1252" s="44" t="s">
        <v>2373</v>
      </c>
      <c r="M1252" s="43">
        <v>37</v>
      </c>
      <c r="N1252" s="113" t="s">
        <v>1113</v>
      </c>
      <c r="O1252" s="113"/>
      <c r="P1252" s="113"/>
      <c r="Q1252" s="113"/>
      <c r="R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t="s">
        <v>1113</v>
      </c>
      <c r="AL1252" s="113"/>
      <c r="AM1252" s="113"/>
      <c r="AN1252" s="113"/>
      <c r="AO1252" s="43" t="s">
        <v>2348</v>
      </c>
      <c r="AP1252" s="43"/>
      <c r="AQ1252" s="236" t="str">
        <f>VLOOKUP(Table8[[#This Row],[Instrument]],Def_Targets!$D$73:$E$159,2,FALSE)</f>
        <v>A_Complan</v>
      </c>
      <c r="AR1252" s="233" t="str">
        <f>VLOOKUP(Table8[[#This Row],[Country Code]],Table29[],3,FALSE)</f>
        <v>Annex I</v>
      </c>
      <c r="AS1252" s="233" t="str">
        <f>VLOOKUP(Table8[[#This Row],[Country Code]],Table29[],4,FALSE)</f>
        <v>Asia</v>
      </c>
      <c r="AT1252" s="233" t="str">
        <f>VLOOKUP(Table8[[#This Row],[Country Code]],Table29[],5,FALSE)</f>
        <v>High-income</v>
      </c>
      <c r="AU1252" s="233" t="str">
        <f>VLOOKUP(Table8[[#This Row],[Country Code]],Table29[],6,FALSE)</f>
        <v>G20</v>
      </c>
      <c r="AV1252" s="233" t="str">
        <f>VLOOKUP(Table8[[#This Row],[Country Code]],Table29[],7,FALSE)</f>
        <v>G7</v>
      </c>
      <c r="AW1252" s="233" t="str">
        <f>VLOOKUP(Table8[[#This Row],[Country Code]],Table29[],8,FALSE)</f>
        <v>OECD</v>
      </c>
      <c r="AX1252" s="233" t="str">
        <f>VLOOKUP(Table8[[#This Row],[Country Code]],Table29[],9,FALSE)</f>
        <v>no</v>
      </c>
      <c r="AY1252" s="233" t="str">
        <f>VLOOKUP(Table8[[#This Row],[Country Code]],Table29[],10,FALSE)</f>
        <v>no</v>
      </c>
      <c r="AZ1252" s="235">
        <f>VLOOKUP(Table8[[#This Row],[Country Code]],Table29[],23,FALSE)</f>
        <v>1041.0128248686999</v>
      </c>
      <c r="BA1252" s="235">
        <f>VLOOKUP(Table8[[#This Row],[Country Code]],Table29[],24,FALSE)</f>
        <v>181.96191357547141</v>
      </c>
      <c r="BB1252" s="320"/>
      <c r="BC1252" s="320"/>
    </row>
    <row r="1253" spans="1:55" ht="30" hidden="1" x14ac:dyDescent="0.25">
      <c r="A1253" s="373">
        <v>26796</v>
      </c>
      <c r="B1253" s="233" t="str">
        <f>VLOOKUP(Table8[[#This Row],[Document ID]],Table1[],2,FALSE)</f>
        <v>JPN</v>
      </c>
      <c r="C1253" s="233" t="str">
        <f>VLOOKUP(Table8[[#This Row],[Document ID]],Table1[],3,FALSE)</f>
        <v>Japan</v>
      </c>
      <c r="D1253" s="243" t="str">
        <f>VLOOKUP(Table8[[#This Row],[Document ID]],Table1[],5,FALSE)</f>
        <v>LTS</v>
      </c>
      <c r="E1253" s="233" t="str">
        <f>VLOOKUP(Table8[[#This Row],[Document ID]],Table1[],7,FALSE)</f>
        <v>LTS</v>
      </c>
      <c r="F1253" s="236" t="str">
        <f>VLOOKUP(Table8[[#This Row],[Document ID]],Table1[],8,FALSE)</f>
        <v>LTS 1.1</v>
      </c>
      <c r="G1253" s="236" t="str">
        <f>VLOOKUP(Table8[[#This Row],[Document ID]],Table1[],10,FALSE)</f>
        <v>Active</v>
      </c>
      <c r="H1253" s="43" t="s">
        <v>2343</v>
      </c>
      <c r="I1253" s="43" t="s">
        <v>2344</v>
      </c>
      <c r="J1253" s="44" t="s">
        <v>2345</v>
      </c>
      <c r="K1253" s="44" t="s">
        <v>3514</v>
      </c>
      <c r="L1253" s="44" t="s">
        <v>2347</v>
      </c>
      <c r="M1253" s="43">
        <v>37</v>
      </c>
      <c r="N1253" s="113"/>
      <c r="O1253" s="113"/>
      <c r="P1253" s="113"/>
      <c r="Q1253" s="113"/>
      <c r="R1253" s="113"/>
      <c r="S1253" s="113"/>
      <c r="T1253" s="113"/>
      <c r="U1253" s="113"/>
      <c r="V1253" s="113"/>
      <c r="W1253" s="113"/>
      <c r="X1253" s="113"/>
      <c r="Y1253" s="113"/>
      <c r="Z1253" s="113"/>
      <c r="AA1253" s="113"/>
      <c r="AB1253" s="113"/>
      <c r="AC1253" s="113" t="s">
        <v>1113</v>
      </c>
      <c r="AD1253" s="113"/>
      <c r="AE1253" s="113"/>
      <c r="AF1253" s="113"/>
      <c r="AG1253" s="113"/>
      <c r="AH1253" s="113"/>
      <c r="AI1253" s="113"/>
      <c r="AJ1253" s="113"/>
      <c r="AK1253" s="113"/>
      <c r="AL1253" s="113" t="s">
        <v>1113</v>
      </c>
      <c r="AM1253" s="113"/>
      <c r="AN1253" s="113"/>
      <c r="AO1253" s="43" t="s">
        <v>2348</v>
      </c>
      <c r="AP1253" s="43"/>
      <c r="AQ1253" s="236" t="str">
        <f>VLOOKUP(Table8[[#This Row],[Instrument]],Def_Targets!$D$73:$E$159,2,FALSE)</f>
        <v>S_PublicTransport</v>
      </c>
      <c r="AR1253" s="233" t="str">
        <f>VLOOKUP(Table8[[#This Row],[Country Code]],Table29[],3,FALSE)</f>
        <v>Annex I</v>
      </c>
      <c r="AS1253" s="233" t="str">
        <f>VLOOKUP(Table8[[#This Row],[Country Code]],Table29[],4,FALSE)</f>
        <v>Asia</v>
      </c>
      <c r="AT1253" s="233" t="str">
        <f>VLOOKUP(Table8[[#This Row],[Country Code]],Table29[],5,FALSE)</f>
        <v>High-income</v>
      </c>
      <c r="AU1253" s="233" t="str">
        <f>VLOOKUP(Table8[[#This Row],[Country Code]],Table29[],6,FALSE)</f>
        <v>G20</v>
      </c>
      <c r="AV1253" s="233" t="str">
        <f>VLOOKUP(Table8[[#This Row],[Country Code]],Table29[],7,FALSE)</f>
        <v>G7</v>
      </c>
      <c r="AW1253" s="233" t="str">
        <f>VLOOKUP(Table8[[#This Row],[Country Code]],Table29[],8,FALSE)</f>
        <v>OECD</v>
      </c>
      <c r="AX1253" s="233" t="str">
        <f>VLOOKUP(Table8[[#This Row],[Country Code]],Table29[],9,FALSE)</f>
        <v>no</v>
      </c>
      <c r="AY1253" s="233" t="str">
        <f>VLOOKUP(Table8[[#This Row],[Country Code]],Table29[],10,FALSE)</f>
        <v>no</v>
      </c>
      <c r="AZ1253" s="235">
        <f>VLOOKUP(Table8[[#This Row],[Country Code]],Table29[],23,FALSE)</f>
        <v>1041.0128248686999</v>
      </c>
      <c r="BA1253" s="235">
        <f>VLOOKUP(Table8[[#This Row],[Country Code]],Table29[],24,FALSE)</f>
        <v>181.96191357547141</v>
      </c>
      <c r="BB1253" s="320"/>
      <c r="BC1253" s="320"/>
    </row>
    <row r="1254" spans="1:55" ht="30" hidden="1" x14ac:dyDescent="0.25">
      <c r="A1254" s="373">
        <v>26796</v>
      </c>
      <c r="B1254" s="233" t="str">
        <f>VLOOKUP(Table8[[#This Row],[Document ID]],Table1[],2,FALSE)</f>
        <v>JPN</v>
      </c>
      <c r="C1254" s="233" t="str">
        <f>VLOOKUP(Table8[[#This Row],[Document ID]],Table1[],3,FALSE)</f>
        <v>Japan</v>
      </c>
      <c r="D1254" s="243" t="str">
        <f>VLOOKUP(Table8[[#This Row],[Document ID]],Table1[],5,FALSE)</f>
        <v>LTS</v>
      </c>
      <c r="E1254" s="233" t="str">
        <f>VLOOKUP(Table8[[#This Row],[Document ID]],Table1[],7,FALSE)</f>
        <v>LTS</v>
      </c>
      <c r="F1254" s="236" t="str">
        <f>VLOOKUP(Table8[[#This Row],[Document ID]],Table1[],8,FALSE)</f>
        <v>LTS 1.1</v>
      </c>
      <c r="G1254" s="236" t="str">
        <f>VLOOKUP(Table8[[#This Row],[Document ID]],Table1[],10,FALSE)</f>
        <v>Active</v>
      </c>
      <c r="H1254" s="43" t="s">
        <v>2343</v>
      </c>
      <c r="I1254" s="43" t="s">
        <v>2344</v>
      </c>
      <c r="J1254" s="44" t="s">
        <v>2549</v>
      </c>
      <c r="K1254" s="44" t="s">
        <v>3514</v>
      </c>
      <c r="L1254" s="44" t="s">
        <v>2347</v>
      </c>
      <c r="M1254" s="43">
        <v>37</v>
      </c>
      <c r="N1254" s="113"/>
      <c r="O1254" s="113"/>
      <c r="P1254" s="113"/>
      <c r="Q1254" s="113"/>
      <c r="R1254" s="113"/>
      <c r="S1254" s="113"/>
      <c r="T1254" s="113"/>
      <c r="U1254" s="113"/>
      <c r="V1254" s="113"/>
      <c r="W1254" s="113"/>
      <c r="X1254" s="113"/>
      <c r="Y1254" s="113" t="s">
        <v>1113</v>
      </c>
      <c r="Z1254" s="113"/>
      <c r="AA1254" s="113"/>
      <c r="AB1254" s="113"/>
      <c r="AC1254" s="113"/>
      <c r="AD1254" s="113"/>
      <c r="AE1254" s="113"/>
      <c r="AF1254" s="113"/>
      <c r="AG1254" s="113"/>
      <c r="AH1254" s="113"/>
      <c r="AI1254" s="113"/>
      <c r="AJ1254" s="113"/>
      <c r="AK1254" s="113"/>
      <c r="AL1254" s="113" t="s">
        <v>1291</v>
      </c>
      <c r="AM1254" s="113"/>
      <c r="AN1254" s="113"/>
      <c r="AO1254" s="43" t="s">
        <v>2348</v>
      </c>
      <c r="AP1254" s="43"/>
      <c r="AQ1254" s="236" t="str">
        <f>VLOOKUP(Table8[[#This Row],[Instrument]],Def_Targets!$D$73:$E$159,2,FALSE)</f>
        <v>S_BRT</v>
      </c>
      <c r="AR1254" s="233" t="str">
        <f>VLOOKUP(Table8[[#This Row],[Country Code]],Table29[],3,FALSE)</f>
        <v>Annex I</v>
      </c>
      <c r="AS1254" s="233" t="str">
        <f>VLOOKUP(Table8[[#This Row],[Country Code]],Table29[],4,FALSE)</f>
        <v>Asia</v>
      </c>
      <c r="AT1254" s="233" t="str">
        <f>VLOOKUP(Table8[[#This Row],[Country Code]],Table29[],5,FALSE)</f>
        <v>High-income</v>
      </c>
      <c r="AU1254" s="233" t="str">
        <f>VLOOKUP(Table8[[#This Row],[Country Code]],Table29[],6,FALSE)</f>
        <v>G20</v>
      </c>
      <c r="AV1254" s="233" t="str">
        <f>VLOOKUP(Table8[[#This Row],[Country Code]],Table29[],7,FALSE)</f>
        <v>G7</v>
      </c>
      <c r="AW1254" s="233" t="str">
        <f>VLOOKUP(Table8[[#This Row],[Country Code]],Table29[],8,FALSE)</f>
        <v>OECD</v>
      </c>
      <c r="AX1254" s="233" t="str">
        <f>VLOOKUP(Table8[[#This Row],[Country Code]],Table29[],9,FALSE)</f>
        <v>no</v>
      </c>
      <c r="AY1254" s="233" t="str">
        <f>VLOOKUP(Table8[[#This Row],[Country Code]],Table29[],10,FALSE)</f>
        <v>no</v>
      </c>
      <c r="AZ1254" s="235">
        <f>VLOOKUP(Table8[[#This Row],[Country Code]],Table29[],23,FALSE)</f>
        <v>1041.0128248686999</v>
      </c>
      <c r="BA1254" s="235">
        <f>VLOOKUP(Table8[[#This Row],[Country Code]],Table29[],24,FALSE)</f>
        <v>181.96191357547141</v>
      </c>
      <c r="BB1254" s="320"/>
      <c r="BC1254" s="320"/>
    </row>
    <row r="1255" spans="1:55" ht="30" hidden="1" x14ac:dyDescent="0.25">
      <c r="A1255" s="373">
        <v>26796</v>
      </c>
      <c r="B1255" s="233" t="str">
        <f>VLOOKUP(Table8[[#This Row],[Document ID]],Table1[],2,FALSE)</f>
        <v>JPN</v>
      </c>
      <c r="C1255" s="233" t="str">
        <f>VLOOKUP(Table8[[#This Row],[Document ID]],Table1[],3,FALSE)</f>
        <v>Japan</v>
      </c>
      <c r="D1255" s="243" t="str">
        <f>VLOOKUP(Table8[[#This Row],[Document ID]],Table1[],5,FALSE)</f>
        <v>LTS</v>
      </c>
      <c r="E1255" s="233" t="str">
        <f>VLOOKUP(Table8[[#This Row],[Document ID]],Table1[],7,FALSE)</f>
        <v>LTS</v>
      </c>
      <c r="F1255" s="236" t="str">
        <f>VLOOKUP(Table8[[#This Row],[Document ID]],Table1[],8,FALSE)</f>
        <v>LTS 1.1</v>
      </c>
      <c r="G1255" s="236" t="str">
        <f>VLOOKUP(Table8[[#This Row],[Document ID]],Table1[],10,FALSE)</f>
        <v>Active</v>
      </c>
      <c r="H1255" s="43" t="s">
        <v>2358</v>
      </c>
      <c r="I1255" s="43" t="s">
        <v>2359</v>
      </c>
      <c r="J1255" s="44" t="s">
        <v>2360</v>
      </c>
      <c r="K1255" s="44" t="s">
        <v>3514</v>
      </c>
      <c r="L1255" s="44" t="s">
        <v>2347</v>
      </c>
      <c r="M1255" s="43">
        <v>37</v>
      </c>
      <c r="N1255" s="113" t="s">
        <v>1113</v>
      </c>
      <c r="O1255" s="113"/>
      <c r="P1255" s="113"/>
      <c r="Q1255" s="113"/>
      <c r="R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t="s">
        <v>1291</v>
      </c>
      <c r="AM1255" s="113"/>
      <c r="AN1255" s="113"/>
      <c r="AO1255" s="43" t="s">
        <v>2348</v>
      </c>
      <c r="AP1255" s="43"/>
      <c r="AQ1255" s="236" t="str">
        <f>VLOOKUP(Table8[[#This Row],[Instrument]],Def_Targets!$D$73:$E$159,2,FALSE)</f>
        <v>I_Emobility</v>
      </c>
      <c r="AR1255" s="233" t="str">
        <f>VLOOKUP(Table8[[#This Row],[Country Code]],Table29[],3,FALSE)</f>
        <v>Annex I</v>
      </c>
      <c r="AS1255" s="233" t="str">
        <f>VLOOKUP(Table8[[#This Row],[Country Code]],Table29[],4,FALSE)</f>
        <v>Asia</v>
      </c>
      <c r="AT1255" s="233" t="str">
        <f>VLOOKUP(Table8[[#This Row],[Country Code]],Table29[],5,FALSE)</f>
        <v>High-income</v>
      </c>
      <c r="AU1255" s="233" t="str">
        <f>VLOOKUP(Table8[[#This Row],[Country Code]],Table29[],6,FALSE)</f>
        <v>G20</v>
      </c>
      <c r="AV1255" s="233" t="str">
        <f>VLOOKUP(Table8[[#This Row],[Country Code]],Table29[],7,FALSE)</f>
        <v>G7</v>
      </c>
      <c r="AW1255" s="233" t="str">
        <f>VLOOKUP(Table8[[#This Row],[Country Code]],Table29[],8,FALSE)</f>
        <v>OECD</v>
      </c>
      <c r="AX1255" s="233" t="str">
        <f>VLOOKUP(Table8[[#This Row],[Country Code]],Table29[],9,FALSE)</f>
        <v>no</v>
      </c>
      <c r="AY1255" s="233" t="str">
        <f>VLOOKUP(Table8[[#This Row],[Country Code]],Table29[],10,FALSE)</f>
        <v>no</v>
      </c>
      <c r="AZ1255" s="235">
        <f>VLOOKUP(Table8[[#This Row],[Country Code]],Table29[],23,FALSE)</f>
        <v>1041.0128248686999</v>
      </c>
      <c r="BA1255" s="235">
        <f>VLOOKUP(Table8[[#This Row],[Country Code]],Table29[],24,FALSE)</f>
        <v>181.96191357547141</v>
      </c>
      <c r="BB1255" s="320"/>
      <c r="BC1255" s="320"/>
    </row>
    <row r="1256" spans="1:55" ht="30" hidden="1" x14ac:dyDescent="0.25">
      <c r="A1256" s="373">
        <v>26796</v>
      </c>
      <c r="B1256" s="233" t="str">
        <f>VLOOKUP(Table8[[#This Row],[Document ID]],Table1[],2,FALSE)</f>
        <v>JPN</v>
      </c>
      <c r="C1256" s="233" t="str">
        <f>VLOOKUP(Table8[[#This Row],[Document ID]],Table1[],3,FALSE)</f>
        <v>Japan</v>
      </c>
      <c r="D1256" s="243" t="str">
        <f>VLOOKUP(Table8[[#This Row],[Document ID]],Table1[],5,FALSE)</f>
        <v>LTS</v>
      </c>
      <c r="E1256" s="233" t="str">
        <f>VLOOKUP(Table8[[#This Row],[Document ID]],Table1[],7,FALSE)</f>
        <v>LTS</v>
      </c>
      <c r="F1256" s="236" t="str">
        <f>VLOOKUP(Table8[[#This Row],[Document ID]],Table1[],8,FALSE)</f>
        <v>LTS 1.1</v>
      </c>
      <c r="G1256" s="236" t="str">
        <f>VLOOKUP(Table8[[#This Row],[Document ID]],Table1[],10,FALSE)</f>
        <v>Active</v>
      </c>
      <c r="H1256" s="44" t="s">
        <v>2329</v>
      </c>
      <c r="I1256" s="44" t="s">
        <v>2330</v>
      </c>
      <c r="J1256" s="44" t="s">
        <v>2391</v>
      </c>
      <c r="K1256" s="44" t="s">
        <v>3514</v>
      </c>
      <c r="L1256" s="44" t="s">
        <v>2347</v>
      </c>
      <c r="M1256" s="43">
        <v>37</v>
      </c>
      <c r="N1256" s="113" t="s">
        <v>1113</v>
      </c>
      <c r="O1256" s="113"/>
      <c r="P1256" s="113"/>
      <c r="Q1256" s="113"/>
      <c r="R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t="s">
        <v>1291</v>
      </c>
      <c r="AM1256" s="113"/>
      <c r="AN1256" s="113"/>
      <c r="AO1256" s="43" t="s">
        <v>2348</v>
      </c>
      <c r="AP1256" s="43"/>
      <c r="AQ1256" s="236" t="str">
        <f>VLOOKUP(Table8[[#This Row],[Instrument]],Def_Targets!$D$73:$E$159,2,FALSE)</f>
        <v>I_Hydrogen</v>
      </c>
      <c r="AR1256" s="233" t="str">
        <f>VLOOKUP(Table8[[#This Row],[Country Code]],Table29[],3,FALSE)</f>
        <v>Annex I</v>
      </c>
      <c r="AS1256" s="233" t="str">
        <f>VLOOKUP(Table8[[#This Row],[Country Code]],Table29[],4,FALSE)</f>
        <v>Asia</v>
      </c>
      <c r="AT1256" s="233" t="str">
        <f>VLOOKUP(Table8[[#This Row],[Country Code]],Table29[],5,FALSE)</f>
        <v>High-income</v>
      </c>
      <c r="AU1256" s="233" t="str">
        <f>VLOOKUP(Table8[[#This Row],[Country Code]],Table29[],6,FALSE)</f>
        <v>G20</v>
      </c>
      <c r="AV1256" s="233" t="str">
        <f>VLOOKUP(Table8[[#This Row],[Country Code]],Table29[],7,FALSE)</f>
        <v>G7</v>
      </c>
      <c r="AW1256" s="233" t="str">
        <f>VLOOKUP(Table8[[#This Row],[Country Code]],Table29[],8,FALSE)</f>
        <v>OECD</v>
      </c>
      <c r="AX1256" s="233" t="str">
        <f>VLOOKUP(Table8[[#This Row],[Country Code]],Table29[],9,FALSE)</f>
        <v>no</v>
      </c>
      <c r="AY1256" s="233" t="str">
        <f>VLOOKUP(Table8[[#This Row],[Country Code]],Table29[],10,FALSE)</f>
        <v>no</v>
      </c>
      <c r="AZ1256" s="235">
        <f>VLOOKUP(Table8[[#This Row],[Country Code]],Table29[],23,FALSE)</f>
        <v>1041.0128248686999</v>
      </c>
      <c r="BA1256" s="235">
        <f>VLOOKUP(Table8[[#This Row],[Country Code]],Table29[],24,FALSE)</f>
        <v>181.96191357547141</v>
      </c>
      <c r="BB1256" s="320"/>
      <c r="BC1256" s="320"/>
    </row>
    <row r="1257" spans="1:55" ht="30" hidden="1" x14ac:dyDescent="0.25">
      <c r="A1257" s="373">
        <v>26796</v>
      </c>
      <c r="B1257" s="233" t="str">
        <f>VLOOKUP(Table8[[#This Row],[Document ID]],Table1[],2,FALSE)</f>
        <v>JPN</v>
      </c>
      <c r="C1257" s="233" t="str">
        <f>VLOOKUP(Table8[[#This Row],[Document ID]],Table1[],3,FALSE)</f>
        <v>Japan</v>
      </c>
      <c r="D1257" s="243" t="str">
        <f>VLOOKUP(Table8[[#This Row],[Document ID]],Table1[],5,FALSE)</f>
        <v>LTS</v>
      </c>
      <c r="E1257" s="233" t="str">
        <f>VLOOKUP(Table8[[#This Row],[Document ID]],Table1[],7,FALSE)</f>
        <v>LTS</v>
      </c>
      <c r="F1257" s="236" t="str">
        <f>VLOOKUP(Table8[[#This Row],[Document ID]],Table1[],8,FALSE)</f>
        <v>LTS 1.1</v>
      </c>
      <c r="G1257" s="236" t="str">
        <f>VLOOKUP(Table8[[#This Row],[Document ID]],Table1[],10,FALSE)</f>
        <v>Active</v>
      </c>
      <c r="H1257" s="43" t="s">
        <v>2343</v>
      </c>
      <c r="I1257" s="43" t="s">
        <v>2429</v>
      </c>
      <c r="J1257" s="44" t="s">
        <v>2513</v>
      </c>
      <c r="K1257" s="44" t="s">
        <v>3515</v>
      </c>
      <c r="L1257" s="44" t="s">
        <v>2347</v>
      </c>
      <c r="M1257" s="43">
        <v>37</v>
      </c>
      <c r="N1257" s="113" t="s">
        <v>1113</v>
      </c>
      <c r="O1257" s="113"/>
      <c r="P1257" s="113"/>
      <c r="Q1257" s="113"/>
      <c r="R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t="s">
        <v>1113</v>
      </c>
      <c r="AL1257" s="113"/>
      <c r="AM1257" s="113"/>
      <c r="AN1257" s="113"/>
      <c r="AO1257" s="43" t="s">
        <v>2348</v>
      </c>
      <c r="AP1257" s="43"/>
      <c r="AQ1257" s="236" t="str">
        <f>VLOOKUP(Table8[[#This Row],[Instrument]],Def_Targets!$D$73:$E$159,2,FALSE)</f>
        <v>S_Sharedmob</v>
      </c>
      <c r="AR1257" s="233" t="str">
        <f>VLOOKUP(Table8[[#This Row],[Country Code]],Table29[],3,FALSE)</f>
        <v>Annex I</v>
      </c>
      <c r="AS1257" s="233" t="str">
        <f>VLOOKUP(Table8[[#This Row],[Country Code]],Table29[],4,FALSE)</f>
        <v>Asia</v>
      </c>
      <c r="AT1257" s="233" t="str">
        <f>VLOOKUP(Table8[[#This Row],[Country Code]],Table29[],5,FALSE)</f>
        <v>High-income</v>
      </c>
      <c r="AU1257" s="233" t="str">
        <f>VLOOKUP(Table8[[#This Row],[Country Code]],Table29[],6,FALSE)</f>
        <v>G20</v>
      </c>
      <c r="AV1257" s="233" t="str">
        <f>VLOOKUP(Table8[[#This Row],[Country Code]],Table29[],7,FALSE)</f>
        <v>G7</v>
      </c>
      <c r="AW1257" s="233" t="str">
        <f>VLOOKUP(Table8[[#This Row],[Country Code]],Table29[],8,FALSE)</f>
        <v>OECD</v>
      </c>
      <c r="AX1257" s="233" t="str">
        <f>VLOOKUP(Table8[[#This Row],[Country Code]],Table29[],9,FALSE)</f>
        <v>no</v>
      </c>
      <c r="AY1257" s="233" t="str">
        <f>VLOOKUP(Table8[[#This Row],[Country Code]],Table29[],10,FALSE)</f>
        <v>no</v>
      </c>
      <c r="AZ1257" s="235">
        <f>VLOOKUP(Table8[[#This Row],[Country Code]],Table29[],23,FALSE)</f>
        <v>1041.0128248686999</v>
      </c>
      <c r="BA1257" s="235">
        <f>VLOOKUP(Table8[[#This Row],[Country Code]],Table29[],24,FALSE)</f>
        <v>181.96191357547141</v>
      </c>
      <c r="BB1257" s="320"/>
      <c r="BC1257" s="320"/>
    </row>
    <row r="1258" spans="1:55" ht="30" hidden="1" x14ac:dyDescent="0.25">
      <c r="A1258" s="373">
        <v>26796</v>
      </c>
      <c r="B1258" s="233" t="str">
        <f>VLOOKUP(Table8[[#This Row],[Document ID]],Table1[],2,FALSE)</f>
        <v>JPN</v>
      </c>
      <c r="C1258" s="233" t="str">
        <f>VLOOKUP(Table8[[#This Row],[Document ID]],Table1[],3,FALSE)</f>
        <v>Japan</v>
      </c>
      <c r="D1258" s="243" t="str">
        <f>VLOOKUP(Table8[[#This Row],[Document ID]],Table1[],5,FALSE)</f>
        <v>LTS</v>
      </c>
      <c r="E1258" s="233" t="str">
        <f>VLOOKUP(Table8[[#This Row],[Document ID]],Table1[],7,FALSE)</f>
        <v>LTS</v>
      </c>
      <c r="F1258" s="236" t="str">
        <f>VLOOKUP(Table8[[#This Row],[Document ID]],Table1[],8,FALSE)</f>
        <v>LTS 1.1</v>
      </c>
      <c r="G1258" s="236" t="str">
        <f>VLOOKUP(Table8[[#This Row],[Document ID]],Table1[],10,FALSE)</f>
        <v>Active</v>
      </c>
      <c r="H1258" s="43" t="s">
        <v>2343</v>
      </c>
      <c r="I1258" s="43" t="s">
        <v>2429</v>
      </c>
      <c r="J1258" s="44" t="s">
        <v>2610</v>
      </c>
      <c r="K1258" s="44" t="s">
        <v>3516</v>
      </c>
      <c r="L1258" s="44" t="s">
        <v>2347</v>
      </c>
      <c r="M1258" s="43">
        <v>37</v>
      </c>
      <c r="N1258" s="113" t="s">
        <v>1113</v>
      </c>
      <c r="O1258" s="113"/>
      <c r="P1258" s="113"/>
      <c r="Q1258" s="113"/>
      <c r="R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t="s">
        <v>1113</v>
      </c>
      <c r="AL1258" s="113"/>
      <c r="AM1258" s="113"/>
      <c r="AN1258" s="113"/>
      <c r="AO1258" s="43" t="s">
        <v>2348</v>
      </c>
      <c r="AP1258" s="43"/>
      <c r="AQ1258" s="236" t="e">
        <f>VLOOKUP(Table8[[#This Row],[Instrument]],Def_Targets!$D$73:$E$159,2,FALSE)</f>
        <v>#N/A</v>
      </c>
      <c r="AR1258" s="233" t="str">
        <f>VLOOKUP(Table8[[#This Row],[Country Code]],Table29[],3,FALSE)</f>
        <v>Annex I</v>
      </c>
      <c r="AS1258" s="233" t="str">
        <f>VLOOKUP(Table8[[#This Row],[Country Code]],Table29[],4,FALSE)</f>
        <v>Asia</v>
      </c>
      <c r="AT1258" s="233" t="str">
        <f>VLOOKUP(Table8[[#This Row],[Country Code]],Table29[],5,FALSE)</f>
        <v>High-income</v>
      </c>
      <c r="AU1258" s="233" t="str">
        <f>VLOOKUP(Table8[[#This Row],[Country Code]],Table29[],6,FALSE)</f>
        <v>G20</v>
      </c>
      <c r="AV1258" s="233" t="str">
        <f>VLOOKUP(Table8[[#This Row],[Country Code]],Table29[],7,FALSE)</f>
        <v>G7</v>
      </c>
      <c r="AW1258" s="233" t="str">
        <f>VLOOKUP(Table8[[#This Row],[Country Code]],Table29[],8,FALSE)</f>
        <v>OECD</v>
      </c>
      <c r="AX1258" s="233" t="str">
        <f>VLOOKUP(Table8[[#This Row],[Country Code]],Table29[],9,FALSE)</f>
        <v>no</v>
      </c>
      <c r="AY1258" s="233" t="str">
        <f>VLOOKUP(Table8[[#This Row],[Country Code]],Table29[],10,FALSE)</f>
        <v>no</v>
      </c>
      <c r="AZ1258" s="235">
        <f>VLOOKUP(Table8[[#This Row],[Country Code]],Table29[],23,FALSE)</f>
        <v>1041.0128248686999</v>
      </c>
      <c r="BA1258" s="235">
        <f>VLOOKUP(Table8[[#This Row],[Country Code]],Table29[],24,FALSE)</f>
        <v>181.96191357547141</v>
      </c>
      <c r="BB1258" s="320"/>
      <c r="BC1258" s="320"/>
    </row>
    <row r="1259" spans="1:55" ht="60" hidden="1" x14ac:dyDescent="0.25">
      <c r="A1259" s="373">
        <v>26796</v>
      </c>
      <c r="B1259" s="233" t="str">
        <f>VLOOKUP(Table8[[#This Row],[Document ID]],Table1[],2,FALSE)</f>
        <v>JPN</v>
      </c>
      <c r="C1259" s="233" t="str">
        <f>VLOOKUP(Table8[[#This Row],[Document ID]],Table1[],3,FALSE)</f>
        <v>Japan</v>
      </c>
      <c r="D1259" s="243" t="str">
        <f>VLOOKUP(Table8[[#This Row],[Document ID]],Table1[],5,FALSE)</f>
        <v>LTS</v>
      </c>
      <c r="E1259" s="233" t="str">
        <f>VLOOKUP(Table8[[#This Row],[Document ID]],Table1[],7,FALSE)</f>
        <v>LTS</v>
      </c>
      <c r="F1259" s="236" t="str">
        <f>VLOOKUP(Table8[[#This Row],[Document ID]],Table1[],8,FALSE)</f>
        <v>LTS 1.1</v>
      </c>
      <c r="G1259" s="236" t="str">
        <f>VLOOKUP(Table8[[#This Row],[Document ID]],Table1[],10,FALSE)</f>
        <v>Active</v>
      </c>
      <c r="H1259" s="43" t="s">
        <v>2350</v>
      </c>
      <c r="I1259" s="43" t="s">
        <v>2456</v>
      </c>
      <c r="J1259" s="44" t="s">
        <v>2643</v>
      </c>
      <c r="K1259" s="44" t="s">
        <v>3517</v>
      </c>
      <c r="L1259" s="44" t="s">
        <v>2396</v>
      </c>
      <c r="M1259" s="43">
        <v>37</v>
      </c>
      <c r="N1259" s="113" t="s">
        <v>1113</v>
      </c>
      <c r="O1259" s="113"/>
      <c r="P1259" s="113"/>
      <c r="Q1259" s="113"/>
      <c r="R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t="s">
        <v>1113</v>
      </c>
      <c r="AL1259" s="113"/>
      <c r="AM1259" s="113"/>
      <c r="AN1259" s="113"/>
      <c r="AO1259" s="43" t="s">
        <v>2348</v>
      </c>
      <c r="AP1259" s="43"/>
      <c r="AQ1259" s="236" t="str">
        <f>VLOOKUP(Table8[[#This Row],[Instrument]],Def_Targets!$D$73:$E$159,2,FALSE)</f>
        <v>S_Intermodality</v>
      </c>
      <c r="AR1259" s="233" t="str">
        <f>VLOOKUP(Table8[[#This Row],[Country Code]],Table29[],3,FALSE)</f>
        <v>Annex I</v>
      </c>
      <c r="AS1259" s="233" t="str">
        <f>VLOOKUP(Table8[[#This Row],[Country Code]],Table29[],4,FALSE)</f>
        <v>Asia</v>
      </c>
      <c r="AT1259" s="233" t="str">
        <f>VLOOKUP(Table8[[#This Row],[Country Code]],Table29[],5,FALSE)</f>
        <v>High-income</v>
      </c>
      <c r="AU1259" s="233" t="str">
        <f>VLOOKUP(Table8[[#This Row],[Country Code]],Table29[],6,FALSE)</f>
        <v>G20</v>
      </c>
      <c r="AV1259" s="233" t="str">
        <f>VLOOKUP(Table8[[#This Row],[Country Code]],Table29[],7,FALSE)</f>
        <v>G7</v>
      </c>
      <c r="AW1259" s="233" t="str">
        <f>VLOOKUP(Table8[[#This Row],[Country Code]],Table29[],8,FALSE)</f>
        <v>OECD</v>
      </c>
      <c r="AX1259" s="233" t="str">
        <f>VLOOKUP(Table8[[#This Row],[Country Code]],Table29[],9,FALSE)</f>
        <v>no</v>
      </c>
      <c r="AY1259" s="233" t="str">
        <f>VLOOKUP(Table8[[#This Row],[Country Code]],Table29[],10,FALSE)</f>
        <v>no</v>
      </c>
      <c r="AZ1259" s="235">
        <f>VLOOKUP(Table8[[#This Row],[Country Code]],Table29[],23,FALSE)</f>
        <v>1041.0128248686999</v>
      </c>
      <c r="BA1259" s="235">
        <f>VLOOKUP(Table8[[#This Row],[Country Code]],Table29[],24,FALSE)</f>
        <v>181.96191357547141</v>
      </c>
      <c r="BB1259" s="320"/>
      <c r="BC1259" s="320"/>
    </row>
    <row r="1260" spans="1:55" ht="45" hidden="1" x14ac:dyDescent="0.25">
      <c r="A1260" s="373">
        <v>26796</v>
      </c>
      <c r="B1260" s="233" t="str">
        <f>VLOOKUP(Table8[[#This Row],[Document ID]],Table1[],2,FALSE)</f>
        <v>JPN</v>
      </c>
      <c r="C1260" s="233" t="str">
        <f>VLOOKUP(Table8[[#This Row],[Document ID]],Table1[],3,FALSE)</f>
        <v>Japan</v>
      </c>
      <c r="D1260" s="243" t="str">
        <f>VLOOKUP(Table8[[#This Row],[Document ID]],Table1[],5,FALSE)</f>
        <v>LTS</v>
      </c>
      <c r="E1260" s="233" t="str">
        <f>VLOOKUP(Table8[[#This Row],[Document ID]],Table1[],7,FALSE)</f>
        <v>LTS</v>
      </c>
      <c r="F1260" s="236" t="str">
        <f>VLOOKUP(Table8[[#This Row],[Document ID]],Table1[],8,FALSE)</f>
        <v>LTS 1.1</v>
      </c>
      <c r="G1260" s="236" t="str">
        <f>VLOOKUP(Table8[[#This Row],[Document ID]],Table1[],10,FALSE)</f>
        <v>Active</v>
      </c>
      <c r="H1260" s="43" t="s">
        <v>2343</v>
      </c>
      <c r="I1260" s="43" t="s">
        <v>2429</v>
      </c>
      <c r="J1260" s="44" t="s">
        <v>2513</v>
      </c>
      <c r="K1260" s="44" t="s">
        <v>3518</v>
      </c>
      <c r="L1260" s="44" t="s">
        <v>2396</v>
      </c>
      <c r="M1260" s="43">
        <v>37</v>
      </c>
      <c r="N1260" s="113"/>
      <c r="O1260" s="113"/>
      <c r="P1260" s="113"/>
      <c r="Q1260" s="113"/>
      <c r="R1260" s="113" t="s">
        <v>1113</v>
      </c>
      <c r="S1260" s="113"/>
      <c r="T1260" s="113"/>
      <c r="U1260" s="113"/>
      <c r="V1260" s="113"/>
      <c r="W1260" s="113"/>
      <c r="X1260" s="113"/>
      <c r="Y1260" s="113"/>
      <c r="Z1260" s="113"/>
      <c r="AA1260" s="113"/>
      <c r="AB1260" s="113"/>
      <c r="AC1260" s="113"/>
      <c r="AD1260" s="113"/>
      <c r="AE1260" s="113"/>
      <c r="AF1260" s="113"/>
      <c r="AG1260" s="113"/>
      <c r="AH1260" s="113"/>
      <c r="AI1260" s="113"/>
      <c r="AJ1260" s="113"/>
      <c r="AK1260" s="113" t="s">
        <v>1113</v>
      </c>
      <c r="AL1260" s="113"/>
      <c r="AM1260" s="113"/>
      <c r="AN1260" s="113"/>
      <c r="AO1260" s="44" t="s">
        <v>2334</v>
      </c>
      <c r="AP1260" s="43"/>
      <c r="AQ1260" s="236" t="str">
        <f>VLOOKUP(Table8[[#This Row],[Instrument]],Def_Targets!$D$73:$E$159,2,FALSE)</f>
        <v>S_Sharedmob</v>
      </c>
      <c r="AR1260" s="233" t="str">
        <f>VLOOKUP(Table8[[#This Row],[Country Code]],Table29[],3,FALSE)</f>
        <v>Annex I</v>
      </c>
      <c r="AS1260" s="233" t="str">
        <f>VLOOKUP(Table8[[#This Row],[Country Code]],Table29[],4,FALSE)</f>
        <v>Asia</v>
      </c>
      <c r="AT1260" s="233" t="str">
        <f>VLOOKUP(Table8[[#This Row],[Country Code]],Table29[],5,FALSE)</f>
        <v>High-income</v>
      </c>
      <c r="AU1260" s="233" t="str">
        <f>VLOOKUP(Table8[[#This Row],[Country Code]],Table29[],6,FALSE)</f>
        <v>G20</v>
      </c>
      <c r="AV1260" s="233" t="str">
        <f>VLOOKUP(Table8[[#This Row],[Country Code]],Table29[],7,FALSE)</f>
        <v>G7</v>
      </c>
      <c r="AW1260" s="233" t="str">
        <f>VLOOKUP(Table8[[#This Row],[Country Code]],Table29[],8,FALSE)</f>
        <v>OECD</v>
      </c>
      <c r="AX1260" s="233" t="str">
        <f>VLOOKUP(Table8[[#This Row],[Country Code]],Table29[],9,FALSE)</f>
        <v>no</v>
      </c>
      <c r="AY1260" s="233" t="str">
        <f>VLOOKUP(Table8[[#This Row],[Country Code]],Table29[],10,FALSE)</f>
        <v>no</v>
      </c>
      <c r="AZ1260" s="235">
        <f>VLOOKUP(Table8[[#This Row],[Country Code]],Table29[],23,FALSE)</f>
        <v>1041.0128248686999</v>
      </c>
      <c r="BA1260" s="235">
        <f>VLOOKUP(Table8[[#This Row],[Country Code]],Table29[],24,FALSE)</f>
        <v>181.96191357547141</v>
      </c>
      <c r="BB1260" s="320"/>
      <c r="BC1260" s="320"/>
    </row>
    <row r="1261" spans="1:55" ht="30" hidden="1" x14ac:dyDescent="0.25">
      <c r="A1261" s="373">
        <v>26796</v>
      </c>
      <c r="B1261" s="233" t="str">
        <f>VLOOKUP(Table8[[#This Row],[Document ID]],Table1[],2,FALSE)</f>
        <v>JPN</v>
      </c>
      <c r="C1261" s="233" t="str">
        <f>VLOOKUP(Table8[[#This Row],[Document ID]],Table1[],3,FALSE)</f>
        <v>Japan</v>
      </c>
      <c r="D1261" s="243" t="str">
        <f>VLOOKUP(Table8[[#This Row],[Document ID]],Table1[],5,FALSE)</f>
        <v>LTS</v>
      </c>
      <c r="E1261" s="233" t="str">
        <f>VLOOKUP(Table8[[#This Row],[Document ID]],Table1[],7,FALSE)</f>
        <v>LTS</v>
      </c>
      <c r="F1261" s="236" t="str">
        <f>VLOOKUP(Table8[[#This Row],[Document ID]],Table1[],8,FALSE)</f>
        <v>LTS 1.1</v>
      </c>
      <c r="G1261" s="236" t="str">
        <f>VLOOKUP(Table8[[#This Row],[Document ID]],Table1[],10,FALSE)</f>
        <v>Active</v>
      </c>
      <c r="H1261" s="43" t="s">
        <v>2350</v>
      </c>
      <c r="I1261" s="43" t="s">
        <v>2351</v>
      </c>
      <c r="J1261" s="44" t="s">
        <v>2447</v>
      </c>
      <c r="K1261" s="44" t="s">
        <v>3519</v>
      </c>
      <c r="L1261" s="44" t="s">
        <v>2380</v>
      </c>
      <c r="M1261" s="43">
        <v>37</v>
      </c>
      <c r="N1261" s="113" t="s">
        <v>1113</v>
      </c>
      <c r="O1261" s="113"/>
      <c r="P1261" s="113"/>
      <c r="Q1261" s="113"/>
      <c r="R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t="s">
        <v>1113</v>
      </c>
      <c r="AL1261" s="113"/>
      <c r="AM1261" s="113"/>
      <c r="AN1261" s="113"/>
      <c r="AO1261" s="43" t="s">
        <v>2353</v>
      </c>
      <c r="AP1261" s="43"/>
      <c r="AQ1261" s="236" t="str">
        <f>VLOOKUP(Table8[[#This Row],[Instrument]],Def_Targets!$D$73:$E$159,2,FALSE)</f>
        <v>I_Freighteff</v>
      </c>
      <c r="AR1261" s="233" t="str">
        <f>VLOOKUP(Table8[[#This Row],[Country Code]],Table29[],3,FALSE)</f>
        <v>Annex I</v>
      </c>
      <c r="AS1261" s="233" t="str">
        <f>VLOOKUP(Table8[[#This Row],[Country Code]],Table29[],4,FALSE)</f>
        <v>Asia</v>
      </c>
      <c r="AT1261" s="233" t="str">
        <f>VLOOKUP(Table8[[#This Row],[Country Code]],Table29[],5,FALSE)</f>
        <v>High-income</v>
      </c>
      <c r="AU1261" s="233" t="str">
        <f>VLOOKUP(Table8[[#This Row],[Country Code]],Table29[],6,FALSE)</f>
        <v>G20</v>
      </c>
      <c r="AV1261" s="233" t="str">
        <f>VLOOKUP(Table8[[#This Row],[Country Code]],Table29[],7,FALSE)</f>
        <v>G7</v>
      </c>
      <c r="AW1261" s="233" t="str">
        <f>VLOOKUP(Table8[[#This Row],[Country Code]],Table29[],8,FALSE)</f>
        <v>OECD</v>
      </c>
      <c r="AX1261" s="233" t="str">
        <f>VLOOKUP(Table8[[#This Row],[Country Code]],Table29[],9,FALSE)</f>
        <v>no</v>
      </c>
      <c r="AY1261" s="233" t="str">
        <f>VLOOKUP(Table8[[#This Row],[Country Code]],Table29[],10,FALSE)</f>
        <v>no</v>
      </c>
      <c r="AZ1261" s="235">
        <f>VLOOKUP(Table8[[#This Row],[Country Code]],Table29[],23,FALSE)</f>
        <v>1041.0128248686999</v>
      </c>
      <c r="BA1261" s="235">
        <f>VLOOKUP(Table8[[#This Row],[Country Code]],Table29[],24,FALSE)</f>
        <v>181.96191357547141</v>
      </c>
      <c r="BB1261" s="320"/>
      <c r="BC1261" s="320"/>
    </row>
    <row r="1262" spans="1:55" ht="45" hidden="1" x14ac:dyDescent="0.25">
      <c r="A1262" s="373">
        <v>26796</v>
      </c>
      <c r="B1262" s="233" t="str">
        <f>VLOOKUP(Table8[[#This Row],[Document ID]],Table1[],2,FALSE)</f>
        <v>JPN</v>
      </c>
      <c r="C1262" s="233" t="str">
        <f>VLOOKUP(Table8[[#This Row],[Document ID]],Table1[],3,FALSE)</f>
        <v>Japan</v>
      </c>
      <c r="D1262" s="243" t="str">
        <f>VLOOKUP(Table8[[#This Row],[Document ID]],Table1[],5,FALSE)</f>
        <v>LTS</v>
      </c>
      <c r="E1262" s="233" t="str">
        <f>VLOOKUP(Table8[[#This Row],[Document ID]],Table1[],7,FALSE)</f>
        <v>LTS</v>
      </c>
      <c r="F1262" s="236" t="str">
        <f>VLOOKUP(Table8[[#This Row],[Document ID]],Table1[],8,FALSE)</f>
        <v>LTS 1.1</v>
      </c>
      <c r="G1262" s="236" t="str">
        <f>VLOOKUP(Table8[[#This Row],[Document ID]],Table1[],10,FALSE)</f>
        <v>Active</v>
      </c>
      <c r="H1262" s="44" t="s">
        <v>2329</v>
      </c>
      <c r="I1262" s="44" t="s">
        <v>2330</v>
      </c>
      <c r="J1262" s="44" t="s">
        <v>2331</v>
      </c>
      <c r="K1262" s="44" t="s">
        <v>3520</v>
      </c>
      <c r="L1262" s="44" t="s">
        <v>2333</v>
      </c>
      <c r="M1262" s="43">
        <v>37</v>
      </c>
      <c r="N1262" s="113"/>
      <c r="O1262" s="113"/>
      <c r="P1262" s="113"/>
      <c r="Q1262" s="113"/>
      <c r="R1262" s="113"/>
      <c r="S1262" s="113"/>
      <c r="T1262" s="113"/>
      <c r="U1262" s="113"/>
      <c r="V1262" s="113"/>
      <c r="W1262" s="113"/>
      <c r="X1262" s="113"/>
      <c r="Y1262" s="113"/>
      <c r="Z1262" s="113" t="s">
        <v>1113</v>
      </c>
      <c r="AA1262" s="113"/>
      <c r="AB1262" s="113"/>
      <c r="AC1262" s="113"/>
      <c r="AD1262" s="113" t="s">
        <v>1113</v>
      </c>
      <c r="AE1262" s="113"/>
      <c r="AF1262" s="113"/>
      <c r="AG1262" s="113"/>
      <c r="AH1262" s="113" t="s">
        <v>1113</v>
      </c>
      <c r="AI1262" s="113"/>
      <c r="AJ1262" s="113"/>
      <c r="AK1262" s="113" t="s">
        <v>1113</v>
      </c>
      <c r="AL1262" s="113"/>
      <c r="AM1262" s="113"/>
      <c r="AN1262" s="113"/>
      <c r="AO1262" s="43" t="s">
        <v>2353</v>
      </c>
      <c r="AP1262" s="43"/>
      <c r="AQ1262" s="236" t="str">
        <f>VLOOKUP(Table8[[#This Row],[Instrument]],Def_Targets!$D$73:$E$159,2,FALSE)</f>
        <v>I_Altfuels</v>
      </c>
      <c r="AR1262" s="233" t="str">
        <f>VLOOKUP(Table8[[#This Row],[Country Code]],Table29[],3,FALSE)</f>
        <v>Annex I</v>
      </c>
      <c r="AS1262" s="233" t="str">
        <f>VLOOKUP(Table8[[#This Row],[Country Code]],Table29[],4,FALSE)</f>
        <v>Asia</v>
      </c>
      <c r="AT1262" s="233" t="str">
        <f>VLOOKUP(Table8[[#This Row],[Country Code]],Table29[],5,FALSE)</f>
        <v>High-income</v>
      </c>
      <c r="AU1262" s="233" t="str">
        <f>VLOOKUP(Table8[[#This Row],[Country Code]],Table29[],6,FALSE)</f>
        <v>G20</v>
      </c>
      <c r="AV1262" s="233" t="str">
        <f>VLOOKUP(Table8[[#This Row],[Country Code]],Table29[],7,FALSE)</f>
        <v>G7</v>
      </c>
      <c r="AW1262" s="233" t="str">
        <f>VLOOKUP(Table8[[#This Row],[Country Code]],Table29[],8,FALSE)</f>
        <v>OECD</v>
      </c>
      <c r="AX1262" s="233" t="str">
        <f>VLOOKUP(Table8[[#This Row],[Country Code]],Table29[],9,FALSE)</f>
        <v>no</v>
      </c>
      <c r="AY1262" s="233" t="str">
        <f>VLOOKUP(Table8[[#This Row],[Country Code]],Table29[],10,FALSE)</f>
        <v>no</v>
      </c>
      <c r="AZ1262" s="235">
        <f>VLOOKUP(Table8[[#This Row],[Country Code]],Table29[],23,FALSE)</f>
        <v>1041.0128248686999</v>
      </c>
      <c r="BA1262" s="235">
        <f>VLOOKUP(Table8[[#This Row],[Country Code]],Table29[],24,FALSE)</f>
        <v>181.96191357547141</v>
      </c>
      <c r="BB1262" s="320"/>
      <c r="BC1262" s="320"/>
    </row>
    <row r="1263" spans="1:55" ht="60" hidden="1" x14ac:dyDescent="0.25">
      <c r="A1263" s="373">
        <v>26796</v>
      </c>
      <c r="B1263" s="233" t="str">
        <f>VLOOKUP(Table8[[#This Row],[Document ID]],Table1[],2,FALSE)</f>
        <v>JPN</v>
      </c>
      <c r="C1263" s="233" t="str">
        <f>VLOOKUP(Table8[[#This Row],[Document ID]],Table1[],3,FALSE)</f>
        <v>Japan</v>
      </c>
      <c r="D1263" s="243" t="str">
        <f>VLOOKUP(Table8[[#This Row],[Document ID]],Table1[],5,FALSE)</f>
        <v>LTS</v>
      </c>
      <c r="E1263" s="233" t="str">
        <f>VLOOKUP(Table8[[#This Row],[Document ID]],Table1[],7,FALSE)</f>
        <v>LTS</v>
      </c>
      <c r="F1263" s="236" t="str">
        <f>VLOOKUP(Table8[[#This Row],[Document ID]],Table1[],8,FALSE)</f>
        <v>LTS 1.1</v>
      </c>
      <c r="G1263" s="236" t="str">
        <f>VLOOKUP(Table8[[#This Row],[Document ID]],Table1[],10,FALSE)</f>
        <v>Active</v>
      </c>
      <c r="H1263" s="43" t="s">
        <v>2350</v>
      </c>
      <c r="I1263" s="43" t="s">
        <v>2370</v>
      </c>
      <c r="J1263" s="44" t="s">
        <v>2418</v>
      </c>
      <c r="K1263" s="44" t="s">
        <v>3521</v>
      </c>
      <c r="L1263" s="44" t="s">
        <v>2333</v>
      </c>
      <c r="M1263" s="43">
        <v>37</v>
      </c>
      <c r="N1263" s="113"/>
      <c r="O1263" s="113"/>
      <c r="P1263" s="113"/>
      <c r="Q1263" s="113"/>
      <c r="R1263" s="113"/>
      <c r="S1263" s="113"/>
      <c r="T1263" s="113"/>
      <c r="U1263" s="113"/>
      <c r="V1263" s="113"/>
      <c r="W1263" s="113"/>
      <c r="X1263" s="113"/>
      <c r="Y1263" s="113"/>
      <c r="Z1263" s="113" t="s">
        <v>1113</v>
      </c>
      <c r="AA1263" s="113"/>
      <c r="AB1263" s="113"/>
      <c r="AC1263" s="113"/>
      <c r="AD1263" s="113" t="s">
        <v>1113</v>
      </c>
      <c r="AE1263" s="113"/>
      <c r="AF1263" s="113"/>
      <c r="AG1263" s="113"/>
      <c r="AH1263" s="113" t="s">
        <v>1113</v>
      </c>
      <c r="AI1263" s="113"/>
      <c r="AJ1263" s="113"/>
      <c r="AK1263" s="113" t="s">
        <v>1113</v>
      </c>
      <c r="AL1263" s="113"/>
      <c r="AM1263" s="113"/>
      <c r="AN1263" s="113"/>
      <c r="AO1263" s="43" t="s">
        <v>2353</v>
      </c>
      <c r="AP1263" s="43"/>
      <c r="AQ1263" s="236" t="str">
        <f>VLOOKUP(Table8[[#This Row],[Instrument]],Def_Targets!$D$73:$E$159,2,FALSE)</f>
        <v>A_Complan</v>
      </c>
      <c r="AR1263" s="233" t="str">
        <f>VLOOKUP(Table8[[#This Row],[Country Code]],Table29[],3,FALSE)</f>
        <v>Annex I</v>
      </c>
      <c r="AS1263" s="233" t="str">
        <f>VLOOKUP(Table8[[#This Row],[Country Code]],Table29[],4,FALSE)</f>
        <v>Asia</v>
      </c>
      <c r="AT1263" s="233" t="str">
        <f>VLOOKUP(Table8[[#This Row],[Country Code]],Table29[],5,FALSE)</f>
        <v>High-income</v>
      </c>
      <c r="AU1263" s="233" t="str">
        <f>VLOOKUP(Table8[[#This Row],[Country Code]],Table29[],6,FALSE)</f>
        <v>G20</v>
      </c>
      <c r="AV1263" s="233" t="str">
        <f>VLOOKUP(Table8[[#This Row],[Country Code]],Table29[],7,FALSE)</f>
        <v>G7</v>
      </c>
      <c r="AW1263" s="233" t="str">
        <f>VLOOKUP(Table8[[#This Row],[Country Code]],Table29[],8,FALSE)</f>
        <v>OECD</v>
      </c>
      <c r="AX1263" s="233" t="str">
        <f>VLOOKUP(Table8[[#This Row],[Country Code]],Table29[],9,FALSE)</f>
        <v>no</v>
      </c>
      <c r="AY1263" s="233" t="str">
        <f>VLOOKUP(Table8[[#This Row],[Country Code]],Table29[],10,FALSE)</f>
        <v>no</v>
      </c>
      <c r="AZ1263" s="235">
        <f>VLOOKUP(Table8[[#This Row],[Country Code]],Table29[],23,FALSE)</f>
        <v>1041.0128248686999</v>
      </c>
      <c r="BA1263" s="235">
        <f>VLOOKUP(Table8[[#This Row],[Country Code]],Table29[],24,FALSE)</f>
        <v>181.96191357547141</v>
      </c>
      <c r="BB1263" s="320"/>
      <c r="BC1263" s="320"/>
    </row>
    <row r="1264" spans="1:55" hidden="1" x14ac:dyDescent="0.25">
      <c r="A1264" s="373">
        <v>26796</v>
      </c>
      <c r="B1264" s="233" t="str">
        <f>VLOOKUP(Table8[[#This Row],[Document ID]],Table1[],2,FALSE)</f>
        <v>JPN</v>
      </c>
      <c r="C1264" s="233" t="str">
        <f>VLOOKUP(Table8[[#This Row],[Document ID]],Table1[],3,FALSE)</f>
        <v>Japan</v>
      </c>
      <c r="D1264" s="243" t="str">
        <f>VLOOKUP(Table8[[#This Row],[Document ID]],Table1[],5,FALSE)</f>
        <v>LTS</v>
      </c>
      <c r="E1264" s="233" t="str">
        <f>VLOOKUP(Table8[[#This Row],[Document ID]],Table1[],7,FALSE)</f>
        <v>LTS</v>
      </c>
      <c r="F1264" s="236" t="str">
        <f>VLOOKUP(Table8[[#This Row],[Document ID]],Table1[],8,FALSE)</f>
        <v>LTS 1.1</v>
      </c>
      <c r="G1264" s="236" t="str">
        <f>VLOOKUP(Table8[[#This Row],[Document ID]],Table1[],10,FALSE)</f>
        <v>Active</v>
      </c>
      <c r="H1264" s="43" t="s">
        <v>2484</v>
      </c>
      <c r="I1264" s="43" t="s">
        <v>2485</v>
      </c>
      <c r="J1264" s="44" t="s">
        <v>2978</v>
      </c>
      <c r="K1264" s="44" t="s">
        <v>3522</v>
      </c>
      <c r="L1264" s="44" t="s">
        <v>2333</v>
      </c>
      <c r="M1264" s="43">
        <v>38</v>
      </c>
      <c r="N1264" s="113"/>
      <c r="O1264" s="113"/>
      <c r="P1264" s="113"/>
      <c r="Q1264" s="113"/>
      <c r="R1264" s="113"/>
      <c r="S1264" s="113"/>
      <c r="T1264" s="113"/>
      <c r="U1264" s="113"/>
      <c r="V1264" s="113"/>
      <c r="W1264" s="113"/>
      <c r="X1264" s="113"/>
      <c r="Y1264" s="113"/>
      <c r="Z1264" s="113"/>
      <c r="AA1264" s="113"/>
      <c r="AB1264" s="113"/>
      <c r="AC1264" s="113"/>
      <c r="AD1264" s="113" t="s">
        <v>1113</v>
      </c>
      <c r="AE1264" s="113"/>
      <c r="AF1264" s="113"/>
      <c r="AG1264" s="113"/>
      <c r="AH1264" s="113"/>
      <c r="AI1264" s="113"/>
      <c r="AJ1264" s="113"/>
      <c r="AK1264" s="113" t="s">
        <v>1113</v>
      </c>
      <c r="AL1264" s="113"/>
      <c r="AM1264" s="113"/>
      <c r="AN1264" s="113"/>
      <c r="AO1264" s="44" t="s">
        <v>2334</v>
      </c>
      <c r="AP1264" s="43"/>
      <c r="AQ1264" s="236" t="str">
        <f>VLOOKUP(Table8[[#This Row],[Instrument]],Def_Targets!$D$73:$E$159,2,FALSE)</f>
        <v>I_PortInfra</v>
      </c>
      <c r="AR1264" s="233" t="str">
        <f>VLOOKUP(Table8[[#This Row],[Country Code]],Table29[],3,FALSE)</f>
        <v>Annex I</v>
      </c>
      <c r="AS1264" s="233" t="str">
        <f>VLOOKUP(Table8[[#This Row],[Country Code]],Table29[],4,FALSE)</f>
        <v>Asia</v>
      </c>
      <c r="AT1264" s="233" t="str">
        <f>VLOOKUP(Table8[[#This Row],[Country Code]],Table29[],5,FALSE)</f>
        <v>High-income</v>
      </c>
      <c r="AU1264" s="233" t="str">
        <f>VLOOKUP(Table8[[#This Row],[Country Code]],Table29[],6,FALSE)</f>
        <v>G20</v>
      </c>
      <c r="AV1264" s="233" t="str">
        <f>VLOOKUP(Table8[[#This Row],[Country Code]],Table29[],7,FALSE)</f>
        <v>G7</v>
      </c>
      <c r="AW1264" s="233" t="str">
        <f>VLOOKUP(Table8[[#This Row],[Country Code]],Table29[],8,FALSE)</f>
        <v>OECD</v>
      </c>
      <c r="AX1264" s="233" t="str">
        <f>VLOOKUP(Table8[[#This Row],[Country Code]],Table29[],9,FALSE)</f>
        <v>no</v>
      </c>
      <c r="AY1264" s="233" t="str">
        <f>VLOOKUP(Table8[[#This Row],[Country Code]],Table29[],10,FALSE)</f>
        <v>no</v>
      </c>
      <c r="AZ1264" s="235">
        <f>VLOOKUP(Table8[[#This Row],[Country Code]],Table29[],23,FALSE)</f>
        <v>1041.0128248686999</v>
      </c>
      <c r="BA1264" s="235">
        <f>VLOOKUP(Table8[[#This Row],[Country Code]],Table29[],24,FALSE)</f>
        <v>181.96191357547141</v>
      </c>
      <c r="BB1264" s="320"/>
      <c r="BC1264" s="320"/>
    </row>
    <row r="1265" spans="1:55" hidden="1" x14ac:dyDescent="0.25">
      <c r="A1265" s="373">
        <v>26796</v>
      </c>
      <c r="B1265" s="233" t="str">
        <f>VLOOKUP(Table8[[#This Row],[Document ID]],Table1[],2,FALSE)</f>
        <v>JPN</v>
      </c>
      <c r="C1265" s="233" t="str">
        <f>VLOOKUP(Table8[[#This Row],[Document ID]],Table1[],3,FALSE)</f>
        <v>Japan</v>
      </c>
      <c r="D1265" s="243" t="str">
        <f>VLOOKUP(Table8[[#This Row],[Document ID]],Table1[],5,FALSE)</f>
        <v>LTS</v>
      </c>
      <c r="E1265" s="233" t="str">
        <f>VLOOKUP(Table8[[#This Row],[Document ID]],Table1[],7,FALSE)</f>
        <v>LTS</v>
      </c>
      <c r="F1265" s="236" t="str">
        <f>VLOOKUP(Table8[[#This Row],[Document ID]],Table1[],8,FALSE)</f>
        <v>LTS 1.1</v>
      </c>
      <c r="G1265" s="236" t="str">
        <f>VLOOKUP(Table8[[#This Row],[Document ID]],Table1[],10,FALSE)</f>
        <v>Active</v>
      </c>
      <c r="H1265" s="44" t="s">
        <v>2329</v>
      </c>
      <c r="I1265" s="44" t="s">
        <v>2330</v>
      </c>
      <c r="J1265" s="44" t="s">
        <v>2391</v>
      </c>
      <c r="K1265" s="44" t="s">
        <v>3522</v>
      </c>
      <c r="L1265" s="44" t="s">
        <v>2333</v>
      </c>
      <c r="M1265" s="43">
        <v>38</v>
      </c>
      <c r="N1265" s="113"/>
      <c r="O1265" s="113"/>
      <c r="P1265" s="113"/>
      <c r="Q1265" s="113"/>
      <c r="R1265" s="113"/>
      <c r="S1265" s="113"/>
      <c r="T1265" s="113"/>
      <c r="U1265" s="113"/>
      <c r="V1265" s="113"/>
      <c r="W1265" s="113"/>
      <c r="X1265" s="113"/>
      <c r="Y1265" s="113"/>
      <c r="Z1265" s="113"/>
      <c r="AA1265" s="113"/>
      <c r="AB1265" s="113"/>
      <c r="AC1265" s="113"/>
      <c r="AD1265" s="113" t="s">
        <v>1113</v>
      </c>
      <c r="AE1265" s="113"/>
      <c r="AF1265" s="113"/>
      <c r="AG1265" s="113"/>
      <c r="AH1265" s="113"/>
      <c r="AI1265" s="113"/>
      <c r="AJ1265" s="113"/>
      <c r="AK1265" s="113" t="s">
        <v>1113</v>
      </c>
      <c r="AL1265" s="113"/>
      <c r="AM1265" s="113"/>
      <c r="AN1265" s="113"/>
      <c r="AO1265" s="44" t="s">
        <v>2334</v>
      </c>
      <c r="AP1265" s="43"/>
      <c r="AQ1265" s="236" t="str">
        <f>VLOOKUP(Table8[[#This Row],[Instrument]],Def_Targets!$D$73:$E$159,2,FALSE)</f>
        <v>I_Hydrogen</v>
      </c>
      <c r="AR1265" s="233" t="str">
        <f>VLOOKUP(Table8[[#This Row],[Country Code]],Table29[],3,FALSE)</f>
        <v>Annex I</v>
      </c>
      <c r="AS1265" s="233" t="str">
        <f>VLOOKUP(Table8[[#This Row],[Country Code]],Table29[],4,FALSE)</f>
        <v>Asia</v>
      </c>
      <c r="AT1265" s="233" t="str">
        <f>VLOOKUP(Table8[[#This Row],[Country Code]],Table29[],5,FALSE)</f>
        <v>High-income</v>
      </c>
      <c r="AU1265" s="233" t="str">
        <f>VLOOKUP(Table8[[#This Row],[Country Code]],Table29[],6,FALSE)</f>
        <v>G20</v>
      </c>
      <c r="AV1265" s="233" t="str">
        <f>VLOOKUP(Table8[[#This Row],[Country Code]],Table29[],7,FALSE)</f>
        <v>G7</v>
      </c>
      <c r="AW1265" s="233" t="str">
        <f>VLOOKUP(Table8[[#This Row],[Country Code]],Table29[],8,FALSE)</f>
        <v>OECD</v>
      </c>
      <c r="AX1265" s="233" t="str">
        <f>VLOOKUP(Table8[[#This Row],[Country Code]],Table29[],9,FALSE)</f>
        <v>no</v>
      </c>
      <c r="AY1265" s="233" t="str">
        <f>VLOOKUP(Table8[[#This Row],[Country Code]],Table29[],10,FALSE)</f>
        <v>no</v>
      </c>
      <c r="AZ1265" s="235">
        <f>VLOOKUP(Table8[[#This Row],[Country Code]],Table29[],23,FALSE)</f>
        <v>1041.0128248686999</v>
      </c>
      <c r="BA1265" s="235">
        <f>VLOOKUP(Table8[[#This Row],[Country Code]],Table29[],24,FALSE)</f>
        <v>181.96191357547141</v>
      </c>
      <c r="BB1265" s="320"/>
      <c r="BC1265" s="320"/>
    </row>
    <row r="1266" spans="1:55" ht="30" hidden="1" x14ac:dyDescent="0.25">
      <c r="A1266" s="373">
        <v>26796</v>
      </c>
      <c r="B1266" s="233" t="str">
        <f>VLOOKUP(Table8[[#This Row],[Document ID]],Table1[],2,FALSE)</f>
        <v>JPN</v>
      </c>
      <c r="C1266" s="233" t="str">
        <f>VLOOKUP(Table8[[#This Row],[Document ID]],Table1[],3,FALSE)</f>
        <v>Japan</v>
      </c>
      <c r="D1266" s="243" t="str">
        <f>VLOOKUP(Table8[[#This Row],[Document ID]],Table1[],5,FALSE)</f>
        <v>LTS</v>
      </c>
      <c r="E1266" s="233" t="str">
        <f>VLOOKUP(Table8[[#This Row],[Document ID]],Table1[],7,FALSE)</f>
        <v>LTS</v>
      </c>
      <c r="F1266" s="236" t="str">
        <f>VLOOKUP(Table8[[#This Row],[Document ID]],Table1[],8,FALSE)</f>
        <v>LTS 1.1</v>
      </c>
      <c r="G1266" s="236" t="str">
        <f>VLOOKUP(Table8[[#This Row],[Document ID]],Table1[],10,FALSE)</f>
        <v>Active</v>
      </c>
      <c r="H1266" s="43" t="s">
        <v>2350</v>
      </c>
      <c r="I1266" s="43" t="s">
        <v>2351</v>
      </c>
      <c r="J1266" s="44" t="s">
        <v>2447</v>
      </c>
      <c r="K1266" s="44" t="s">
        <v>3523</v>
      </c>
      <c r="L1266" s="44" t="s">
        <v>2373</v>
      </c>
      <c r="M1266" s="43">
        <v>39</v>
      </c>
      <c r="N1266" s="113" t="s">
        <v>1113</v>
      </c>
      <c r="O1266" s="113"/>
      <c r="P1266" s="113"/>
      <c r="Q1266" s="113"/>
      <c r="R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t="s">
        <v>1113</v>
      </c>
      <c r="AL1266" s="113"/>
      <c r="AM1266" s="113"/>
      <c r="AN1266" s="113"/>
      <c r="AO1266" s="43" t="s">
        <v>2353</v>
      </c>
      <c r="AP1266" s="43"/>
      <c r="AQ1266" s="236" t="str">
        <f>VLOOKUP(Table8[[#This Row],[Instrument]],Def_Targets!$D$73:$E$159,2,FALSE)</f>
        <v>I_Freighteff</v>
      </c>
      <c r="AR1266" s="233" t="str">
        <f>VLOOKUP(Table8[[#This Row],[Country Code]],Table29[],3,FALSE)</f>
        <v>Annex I</v>
      </c>
      <c r="AS1266" s="233" t="str">
        <f>VLOOKUP(Table8[[#This Row],[Country Code]],Table29[],4,FALSE)</f>
        <v>Asia</v>
      </c>
      <c r="AT1266" s="233" t="str">
        <f>VLOOKUP(Table8[[#This Row],[Country Code]],Table29[],5,FALSE)</f>
        <v>High-income</v>
      </c>
      <c r="AU1266" s="233" t="str">
        <f>VLOOKUP(Table8[[#This Row],[Country Code]],Table29[],6,FALSE)</f>
        <v>G20</v>
      </c>
      <c r="AV1266" s="233" t="str">
        <f>VLOOKUP(Table8[[#This Row],[Country Code]],Table29[],7,FALSE)</f>
        <v>G7</v>
      </c>
      <c r="AW1266" s="233" t="str">
        <f>VLOOKUP(Table8[[#This Row],[Country Code]],Table29[],8,FALSE)</f>
        <v>OECD</v>
      </c>
      <c r="AX1266" s="233" t="str">
        <f>VLOOKUP(Table8[[#This Row],[Country Code]],Table29[],9,FALSE)</f>
        <v>no</v>
      </c>
      <c r="AY1266" s="233" t="str">
        <f>VLOOKUP(Table8[[#This Row],[Country Code]],Table29[],10,FALSE)</f>
        <v>no</v>
      </c>
      <c r="AZ1266" s="235">
        <f>VLOOKUP(Table8[[#This Row],[Country Code]],Table29[],23,FALSE)</f>
        <v>1041.0128248686999</v>
      </c>
      <c r="BA1266" s="235">
        <f>VLOOKUP(Table8[[#This Row],[Country Code]],Table29[],24,FALSE)</f>
        <v>181.96191357547141</v>
      </c>
      <c r="BB1266" s="320"/>
      <c r="BC1266" s="320"/>
    </row>
    <row r="1267" spans="1:55" ht="30" hidden="1" x14ac:dyDescent="0.25">
      <c r="A1267" s="373">
        <v>26796</v>
      </c>
      <c r="B1267" s="233" t="str">
        <f>VLOOKUP(Table8[[#This Row],[Document ID]],Table1[],2,FALSE)</f>
        <v>JPN</v>
      </c>
      <c r="C1267" s="233" t="str">
        <f>VLOOKUP(Table8[[#This Row],[Document ID]],Table1[],3,FALSE)</f>
        <v>Japan</v>
      </c>
      <c r="D1267" s="243" t="str">
        <f>VLOOKUP(Table8[[#This Row],[Document ID]],Table1[],5,FALSE)</f>
        <v>LTS</v>
      </c>
      <c r="E1267" s="233" t="str">
        <f>VLOOKUP(Table8[[#This Row],[Document ID]],Table1[],7,FALSE)</f>
        <v>LTS</v>
      </c>
      <c r="F1267" s="236" t="str">
        <f>VLOOKUP(Table8[[#This Row],[Document ID]],Table1[],8,FALSE)</f>
        <v>LTS 1.1</v>
      </c>
      <c r="G1267" s="236" t="str">
        <f>VLOOKUP(Table8[[#This Row],[Document ID]],Table1[],10,FALSE)</f>
        <v>Active</v>
      </c>
      <c r="H1267" s="43" t="s">
        <v>2343</v>
      </c>
      <c r="I1267" s="43" t="s">
        <v>2429</v>
      </c>
      <c r="J1267" s="44" t="s">
        <v>2472</v>
      </c>
      <c r="K1267" s="44" t="s">
        <v>3524</v>
      </c>
      <c r="L1267" s="44" t="s">
        <v>2373</v>
      </c>
      <c r="M1267" s="43">
        <v>39</v>
      </c>
      <c r="N1267" s="113" t="s">
        <v>1113</v>
      </c>
      <c r="O1267" s="113"/>
      <c r="P1267" s="113"/>
      <c r="Q1267" s="113"/>
      <c r="R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t="s">
        <v>1113</v>
      </c>
      <c r="AL1267" s="113"/>
      <c r="AM1267" s="113"/>
      <c r="AN1267" s="113"/>
      <c r="AO1267" s="43" t="s">
        <v>2353</v>
      </c>
      <c r="AP1267" s="43"/>
      <c r="AQ1267" s="236" t="str">
        <f>VLOOKUP(Table8[[#This Row],[Instrument]],Def_Targets!$D$73:$E$159,2,FALSE)</f>
        <v>I_Other</v>
      </c>
      <c r="AR1267" s="233" t="str">
        <f>VLOOKUP(Table8[[#This Row],[Country Code]],Table29[],3,FALSE)</f>
        <v>Annex I</v>
      </c>
      <c r="AS1267" s="233" t="str">
        <f>VLOOKUP(Table8[[#This Row],[Country Code]],Table29[],4,FALSE)</f>
        <v>Asia</v>
      </c>
      <c r="AT1267" s="233" t="str">
        <f>VLOOKUP(Table8[[#This Row],[Country Code]],Table29[],5,FALSE)</f>
        <v>High-income</v>
      </c>
      <c r="AU1267" s="233" t="str">
        <f>VLOOKUP(Table8[[#This Row],[Country Code]],Table29[],6,FALSE)</f>
        <v>G20</v>
      </c>
      <c r="AV1267" s="233" t="str">
        <f>VLOOKUP(Table8[[#This Row],[Country Code]],Table29[],7,FALSE)</f>
        <v>G7</v>
      </c>
      <c r="AW1267" s="233" t="str">
        <f>VLOOKUP(Table8[[#This Row],[Country Code]],Table29[],8,FALSE)</f>
        <v>OECD</v>
      </c>
      <c r="AX1267" s="233" t="str">
        <f>VLOOKUP(Table8[[#This Row],[Country Code]],Table29[],9,FALSE)</f>
        <v>no</v>
      </c>
      <c r="AY1267" s="233" t="str">
        <f>VLOOKUP(Table8[[#This Row],[Country Code]],Table29[],10,FALSE)</f>
        <v>no</v>
      </c>
      <c r="AZ1267" s="235">
        <f>VLOOKUP(Table8[[#This Row],[Country Code]],Table29[],23,FALSE)</f>
        <v>1041.0128248686999</v>
      </c>
      <c r="BA1267" s="235">
        <f>VLOOKUP(Table8[[#This Row],[Country Code]],Table29[],24,FALSE)</f>
        <v>181.96191357547141</v>
      </c>
      <c r="BB1267" s="320"/>
      <c r="BC1267" s="320"/>
    </row>
    <row r="1268" spans="1:55" hidden="1" x14ac:dyDescent="0.25">
      <c r="A1268" s="373">
        <v>26796</v>
      </c>
      <c r="B1268" s="233" t="str">
        <f>VLOOKUP(Table8[[#This Row],[Document ID]],Table1[],2,FALSE)</f>
        <v>JPN</v>
      </c>
      <c r="C1268" s="233" t="str">
        <f>VLOOKUP(Table8[[#This Row],[Document ID]],Table1[],3,FALSE)</f>
        <v>Japan</v>
      </c>
      <c r="D1268" s="243" t="str">
        <f>VLOOKUP(Table8[[#This Row],[Document ID]],Table1[],5,FALSE)</f>
        <v>LTS</v>
      </c>
      <c r="E1268" s="233" t="str">
        <f>VLOOKUP(Table8[[#This Row],[Document ID]],Table1[],7,FALSE)</f>
        <v>LTS</v>
      </c>
      <c r="F1268" s="236" t="str">
        <f>VLOOKUP(Table8[[#This Row],[Document ID]],Table1[],8,FALSE)</f>
        <v>LTS 1.1</v>
      </c>
      <c r="G1268" s="236" t="str">
        <f>VLOOKUP(Table8[[#This Row],[Document ID]],Table1[],10,FALSE)</f>
        <v>Active</v>
      </c>
      <c r="H1268" s="43" t="s">
        <v>2343</v>
      </c>
      <c r="I1268" s="43" t="s">
        <v>2429</v>
      </c>
      <c r="J1268" s="44" t="s">
        <v>2501</v>
      </c>
      <c r="K1268" s="44" t="s">
        <v>3525</v>
      </c>
      <c r="L1268" s="44" t="s">
        <v>2333</v>
      </c>
      <c r="M1268" s="43">
        <v>39</v>
      </c>
      <c r="N1268" s="113" t="s">
        <v>1113</v>
      </c>
      <c r="O1268" s="113"/>
      <c r="P1268" s="113"/>
      <c r="Q1268" s="113"/>
      <c r="R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t="s">
        <v>1113</v>
      </c>
      <c r="AL1268" s="113"/>
      <c r="AM1268" s="113"/>
      <c r="AN1268" s="113"/>
      <c r="AO1268" s="43" t="s">
        <v>2353</v>
      </c>
      <c r="AP1268" s="43"/>
      <c r="AQ1268" s="236" t="str">
        <f>VLOOKUP(Table8[[#This Row],[Instrument]],Def_Targets!$D$73:$E$159,2,FALSE)</f>
        <v>I_Autonomous</v>
      </c>
      <c r="AR1268" s="233" t="str">
        <f>VLOOKUP(Table8[[#This Row],[Country Code]],Table29[],3,FALSE)</f>
        <v>Annex I</v>
      </c>
      <c r="AS1268" s="233" t="str">
        <f>VLOOKUP(Table8[[#This Row],[Country Code]],Table29[],4,FALSE)</f>
        <v>Asia</v>
      </c>
      <c r="AT1268" s="233" t="str">
        <f>VLOOKUP(Table8[[#This Row],[Country Code]],Table29[],5,FALSE)</f>
        <v>High-income</v>
      </c>
      <c r="AU1268" s="233" t="str">
        <f>VLOOKUP(Table8[[#This Row],[Country Code]],Table29[],6,FALSE)</f>
        <v>G20</v>
      </c>
      <c r="AV1268" s="233" t="str">
        <f>VLOOKUP(Table8[[#This Row],[Country Code]],Table29[],7,FALSE)</f>
        <v>G7</v>
      </c>
      <c r="AW1268" s="233" t="str">
        <f>VLOOKUP(Table8[[#This Row],[Country Code]],Table29[],8,FALSE)</f>
        <v>OECD</v>
      </c>
      <c r="AX1268" s="233" t="str">
        <f>VLOOKUP(Table8[[#This Row],[Country Code]],Table29[],9,FALSE)</f>
        <v>no</v>
      </c>
      <c r="AY1268" s="233" t="str">
        <f>VLOOKUP(Table8[[#This Row],[Country Code]],Table29[],10,FALSE)</f>
        <v>no</v>
      </c>
      <c r="AZ1268" s="235">
        <f>VLOOKUP(Table8[[#This Row],[Country Code]],Table29[],23,FALSE)</f>
        <v>1041.0128248686999</v>
      </c>
      <c r="BA1268" s="235">
        <f>VLOOKUP(Table8[[#This Row],[Country Code]],Table29[],24,FALSE)</f>
        <v>181.96191357547141</v>
      </c>
      <c r="BB1268" s="320"/>
      <c r="BC1268" s="320"/>
    </row>
    <row r="1269" spans="1:55" ht="30" hidden="1" x14ac:dyDescent="0.25">
      <c r="A1269" s="373">
        <v>26796</v>
      </c>
      <c r="B1269" s="233" t="str">
        <f>VLOOKUP(Table8[[#This Row],[Document ID]],Table1[],2,FALSE)</f>
        <v>JPN</v>
      </c>
      <c r="C1269" s="233" t="str">
        <f>VLOOKUP(Table8[[#This Row],[Document ID]],Table1[],3,FALSE)</f>
        <v>Japan</v>
      </c>
      <c r="D1269" s="243" t="str">
        <f>VLOOKUP(Table8[[#This Row],[Document ID]],Table1[],5,FALSE)</f>
        <v>LTS</v>
      </c>
      <c r="E1269" s="233" t="str">
        <f>VLOOKUP(Table8[[#This Row],[Document ID]],Table1[],7,FALSE)</f>
        <v>LTS</v>
      </c>
      <c r="F1269" s="236" t="str">
        <f>VLOOKUP(Table8[[#This Row],[Document ID]],Table1[],8,FALSE)</f>
        <v>LTS 1.1</v>
      </c>
      <c r="G1269" s="236" t="str">
        <f>VLOOKUP(Table8[[#This Row],[Document ID]],Table1[],10,FALSE)</f>
        <v>Active</v>
      </c>
      <c r="H1269" s="43" t="s">
        <v>2343</v>
      </c>
      <c r="I1269" s="43" t="s">
        <v>2429</v>
      </c>
      <c r="J1269" s="44" t="s">
        <v>2513</v>
      </c>
      <c r="K1269" s="44" t="s">
        <v>3526</v>
      </c>
      <c r="L1269" s="44" t="s">
        <v>2380</v>
      </c>
      <c r="M1269" s="43">
        <v>39</v>
      </c>
      <c r="N1269" s="113" t="s">
        <v>1113</v>
      </c>
      <c r="O1269" s="113"/>
      <c r="P1269" s="113"/>
      <c r="Q1269" s="113"/>
      <c r="R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t="s">
        <v>1113</v>
      </c>
      <c r="AL1269" s="113"/>
      <c r="AM1269" s="113"/>
      <c r="AN1269" s="113"/>
      <c r="AO1269" s="43" t="s">
        <v>2353</v>
      </c>
      <c r="AP1269" s="43"/>
      <c r="AQ1269" s="236" t="str">
        <f>VLOOKUP(Table8[[#This Row],[Instrument]],Def_Targets!$D$73:$E$159,2,FALSE)</f>
        <v>S_Sharedmob</v>
      </c>
      <c r="AR1269" s="233" t="str">
        <f>VLOOKUP(Table8[[#This Row],[Country Code]],Table29[],3,FALSE)</f>
        <v>Annex I</v>
      </c>
      <c r="AS1269" s="233" t="str">
        <f>VLOOKUP(Table8[[#This Row],[Country Code]],Table29[],4,FALSE)</f>
        <v>Asia</v>
      </c>
      <c r="AT1269" s="233" t="str">
        <f>VLOOKUP(Table8[[#This Row],[Country Code]],Table29[],5,FALSE)</f>
        <v>High-income</v>
      </c>
      <c r="AU1269" s="233" t="str">
        <f>VLOOKUP(Table8[[#This Row],[Country Code]],Table29[],6,FALSE)</f>
        <v>G20</v>
      </c>
      <c r="AV1269" s="233" t="str">
        <f>VLOOKUP(Table8[[#This Row],[Country Code]],Table29[],7,FALSE)</f>
        <v>G7</v>
      </c>
      <c r="AW1269" s="233" t="str">
        <f>VLOOKUP(Table8[[#This Row],[Country Code]],Table29[],8,FALSE)</f>
        <v>OECD</v>
      </c>
      <c r="AX1269" s="233" t="str">
        <f>VLOOKUP(Table8[[#This Row],[Country Code]],Table29[],9,FALSE)</f>
        <v>no</v>
      </c>
      <c r="AY1269" s="233" t="str">
        <f>VLOOKUP(Table8[[#This Row],[Country Code]],Table29[],10,FALSE)</f>
        <v>no</v>
      </c>
      <c r="AZ1269" s="235">
        <f>VLOOKUP(Table8[[#This Row],[Country Code]],Table29[],23,FALSE)</f>
        <v>1041.0128248686999</v>
      </c>
      <c r="BA1269" s="235">
        <f>VLOOKUP(Table8[[#This Row],[Country Code]],Table29[],24,FALSE)</f>
        <v>181.96191357547141</v>
      </c>
      <c r="BB1269" s="320"/>
      <c r="BC1269" s="320"/>
    </row>
    <row r="1270" spans="1:55" ht="30" hidden="1" x14ac:dyDescent="0.25">
      <c r="A1270" s="373">
        <v>26796</v>
      </c>
      <c r="B1270" s="233" t="str">
        <f>VLOOKUP(Table8[[#This Row],[Document ID]],Table1[],2,FALSE)</f>
        <v>JPN</v>
      </c>
      <c r="C1270" s="233" t="str">
        <f>VLOOKUP(Table8[[#This Row],[Document ID]],Table1[],3,FALSE)</f>
        <v>Japan</v>
      </c>
      <c r="D1270" s="243" t="str">
        <f>VLOOKUP(Table8[[#This Row],[Document ID]],Table1[],5,FALSE)</f>
        <v>LTS</v>
      </c>
      <c r="E1270" s="233" t="str">
        <f>VLOOKUP(Table8[[#This Row],[Document ID]],Table1[],7,FALSE)</f>
        <v>LTS</v>
      </c>
      <c r="F1270" s="236" t="str">
        <f>VLOOKUP(Table8[[#This Row],[Document ID]],Table1[],8,FALSE)</f>
        <v>LTS 1.1</v>
      </c>
      <c r="G1270" s="236" t="str">
        <f>VLOOKUP(Table8[[#This Row],[Document ID]],Table1[],10,FALSE)</f>
        <v>Active</v>
      </c>
      <c r="H1270" s="43" t="s">
        <v>2350</v>
      </c>
      <c r="I1270" s="43" t="s">
        <v>2351</v>
      </c>
      <c r="J1270" s="44" t="s">
        <v>2352</v>
      </c>
      <c r="K1270" s="44" t="s">
        <v>3527</v>
      </c>
      <c r="L1270" s="44" t="s">
        <v>2347</v>
      </c>
      <c r="M1270" s="43">
        <v>39</v>
      </c>
      <c r="N1270" s="113" t="s">
        <v>1113</v>
      </c>
      <c r="O1270" s="113"/>
      <c r="P1270" s="113"/>
      <c r="Q1270" s="113"/>
      <c r="R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t="s">
        <v>1113</v>
      </c>
      <c r="AL1270" s="113"/>
      <c r="AM1270" s="113"/>
      <c r="AN1270" s="113"/>
      <c r="AO1270" s="43" t="s">
        <v>2353</v>
      </c>
      <c r="AP1270" s="43"/>
      <c r="AQ1270" s="236" t="str">
        <f>VLOOKUP(Table8[[#This Row],[Instrument]],Def_Targets!$D$73:$E$159,2,FALSE)</f>
        <v>S_Railfreight</v>
      </c>
      <c r="AR1270" s="233" t="str">
        <f>VLOOKUP(Table8[[#This Row],[Country Code]],Table29[],3,FALSE)</f>
        <v>Annex I</v>
      </c>
      <c r="AS1270" s="233" t="str">
        <f>VLOOKUP(Table8[[#This Row],[Country Code]],Table29[],4,FALSE)</f>
        <v>Asia</v>
      </c>
      <c r="AT1270" s="233" t="str">
        <f>VLOOKUP(Table8[[#This Row],[Country Code]],Table29[],5,FALSE)</f>
        <v>High-income</v>
      </c>
      <c r="AU1270" s="233" t="str">
        <f>VLOOKUP(Table8[[#This Row],[Country Code]],Table29[],6,FALSE)</f>
        <v>G20</v>
      </c>
      <c r="AV1270" s="233" t="str">
        <f>VLOOKUP(Table8[[#This Row],[Country Code]],Table29[],7,FALSE)</f>
        <v>G7</v>
      </c>
      <c r="AW1270" s="233" t="str">
        <f>VLOOKUP(Table8[[#This Row],[Country Code]],Table29[],8,FALSE)</f>
        <v>OECD</v>
      </c>
      <c r="AX1270" s="233" t="str">
        <f>VLOOKUP(Table8[[#This Row],[Country Code]],Table29[],9,FALSE)</f>
        <v>no</v>
      </c>
      <c r="AY1270" s="233" t="str">
        <f>VLOOKUP(Table8[[#This Row],[Country Code]],Table29[],10,FALSE)</f>
        <v>no</v>
      </c>
      <c r="AZ1270" s="235">
        <f>VLOOKUP(Table8[[#This Row],[Country Code]],Table29[],23,FALSE)</f>
        <v>1041.0128248686999</v>
      </c>
      <c r="BA1270" s="235">
        <f>VLOOKUP(Table8[[#This Row],[Country Code]],Table29[],24,FALSE)</f>
        <v>181.96191357547141</v>
      </c>
      <c r="BB1270" s="320"/>
      <c r="BC1270" s="320"/>
    </row>
    <row r="1271" spans="1:55" ht="60" hidden="1" x14ac:dyDescent="0.25">
      <c r="A1271" s="373">
        <v>26796</v>
      </c>
      <c r="B1271" s="233" t="str">
        <f>VLOOKUP(Table8[[#This Row],[Document ID]],Table1[],2,FALSE)</f>
        <v>JPN</v>
      </c>
      <c r="C1271" s="233" t="str">
        <f>VLOOKUP(Table8[[#This Row],[Document ID]],Table1[],3,FALSE)</f>
        <v>Japan</v>
      </c>
      <c r="D1271" s="243" t="str">
        <f>VLOOKUP(Table8[[#This Row],[Document ID]],Table1[],5,FALSE)</f>
        <v>LTS</v>
      </c>
      <c r="E1271" s="233" t="str">
        <f>VLOOKUP(Table8[[#This Row],[Document ID]],Table1[],7,FALSE)</f>
        <v>LTS</v>
      </c>
      <c r="F1271" s="236" t="str">
        <f>VLOOKUP(Table8[[#This Row],[Document ID]],Table1[],8,FALSE)</f>
        <v>LTS 1.1</v>
      </c>
      <c r="G1271" s="236" t="str">
        <f>VLOOKUP(Table8[[#This Row],[Document ID]],Table1[],10,FALSE)</f>
        <v>Active</v>
      </c>
      <c r="H1271" s="44" t="s">
        <v>2329</v>
      </c>
      <c r="I1271" s="44" t="s">
        <v>2330</v>
      </c>
      <c r="J1271" s="44" t="s">
        <v>2331</v>
      </c>
      <c r="K1271" s="44" t="s">
        <v>3528</v>
      </c>
      <c r="L1271" s="44" t="s">
        <v>2333</v>
      </c>
      <c r="M1271" s="43">
        <v>39</v>
      </c>
      <c r="N1271" s="113"/>
      <c r="O1271" s="113"/>
      <c r="P1271" s="113"/>
      <c r="Q1271" s="113"/>
      <c r="R1271" s="113"/>
      <c r="S1271" s="113"/>
      <c r="T1271" s="113"/>
      <c r="U1271" s="113"/>
      <c r="V1271" s="113"/>
      <c r="W1271" s="113"/>
      <c r="X1271" s="113"/>
      <c r="Y1271" s="113"/>
      <c r="Z1271" s="113"/>
      <c r="AA1271" s="113"/>
      <c r="AB1271" s="113"/>
      <c r="AC1271" s="113"/>
      <c r="AD1271" s="113" t="s">
        <v>1113</v>
      </c>
      <c r="AE1271" s="113"/>
      <c r="AF1271" s="113"/>
      <c r="AG1271" s="113"/>
      <c r="AH1271" s="113"/>
      <c r="AI1271" s="113"/>
      <c r="AJ1271" s="113"/>
      <c r="AK1271" s="113" t="s">
        <v>1113</v>
      </c>
      <c r="AL1271" s="113"/>
      <c r="AM1271" s="113"/>
      <c r="AN1271" s="113"/>
      <c r="AO1271" s="44" t="s">
        <v>2334</v>
      </c>
      <c r="AP1271" s="43"/>
      <c r="AQ1271" s="236" t="str">
        <f>VLOOKUP(Table8[[#This Row],[Instrument]],Def_Targets!$D$73:$E$159,2,FALSE)</f>
        <v>I_Altfuels</v>
      </c>
      <c r="AR1271" s="233" t="str">
        <f>VLOOKUP(Table8[[#This Row],[Country Code]],Table29[],3,FALSE)</f>
        <v>Annex I</v>
      </c>
      <c r="AS1271" s="233" t="str">
        <f>VLOOKUP(Table8[[#This Row],[Country Code]],Table29[],4,FALSE)</f>
        <v>Asia</v>
      </c>
      <c r="AT1271" s="233" t="str">
        <f>VLOOKUP(Table8[[#This Row],[Country Code]],Table29[],5,FALSE)</f>
        <v>High-income</v>
      </c>
      <c r="AU1271" s="233" t="str">
        <f>VLOOKUP(Table8[[#This Row],[Country Code]],Table29[],6,FALSE)</f>
        <v>G20</v>
      </c>
      <c r="AV1271" s="233" t="str">
        <f>VLOOKUP(Table8[[#This Row],[Country Code]],Table29[],7,FALSE)</f>
        <v>G7</v>
      </c>
      <c r="AW1271" s="233" t="str">
        <f>VLOOKUP(Table8[[#This Row],[Country Code]],Table29[],8,FALSE)</f>
        <v>OECD</v>
      </c>
      <c r="AX1271" s="233" t="str">
        <f>VLOOKUP(Table8[[#This Row],[Country Code]],Table29[],9,FALSE)</f>
        <v>no</v>
      </c>
      <c r="AY1271" s="233" t="str">
        <f>VLOOKUP(Table8[[#This Row],[Country Code]],Table29[],10,FALSE)</f>
        <v>no</v>
      </c>
      <c r="AZ1271" s="235">
        <f>VLOOKUP(Table8[[#This Row],[Country Code]],Table29[],23,FALSE)</f>
        <v>1041.0128248686999</v>
      </c>
      <c r="BA1271" s="235">
        <f>VLOOKUP(Table8[[#This Row],[Country Code]],Table29[],24,FALSE)</f>
        <v>181.96191357547141</v>
      </c>
      <c r="BB1271" s="320"/>
      <c r="BC1271" s="320"/>
    </row>
    <row r="1272" spans="1:55" ht="30" hidden="1" x14ac:dyDescent="0.25">
      <c r="A1272" s="373">
        <v>26796</v>
      </c>
      <c r="B1272" s="233" t="str">
        <f>VLOOKUP(Table8[[#This Row],[Document ID]],Table1[],2,FALSE)</f>
        <v>JPN</v>
      </c>
      <c r="C1272" s="233" t="str">
        <f>VLOOKUP(Table8[[#This Row],[Document ID]],Table1[],3,FALSE)</f>
        <v>Japan</v>
      </c>
      <c r="D1272" s="243" t="str">
        <f>VLOOKUP(Table8[[#This Row],[Document ID]],Table1[],5,FALSE)</f>
        <v>LTS</v>
      </c>
      <c r="E1272" s="233" t="str">
        <f>VLOOKUP(Table8[[#This Row],[Document ID]],Table1[],7,FALSE)</f>
        <v>LTS</v>
      </c>
      <c r="F1272" s="236" t="str">
        <f>VLOOKUP(Table8[[#This Row],[Document ID]],Table1[],8,FALSE)</f>
        <v>LTS 1.1</v>
      </c>
      <c r="G1272" s="236" t="str">
        <f>VLOOKUP(Table8[[#This Row],[Document ID]],Table1[],10,FALSE)</f>
        <v>Active</v>
      </c>
      <c r="H1272" s="44" t="s">
        <v>2338</v>
      </c>
      <c r="I1272" s="44" t="s">
        <v>2339</v>
      </c>
      <c r="J1272" s="44" t="s">
        <v>2413</v>
      </c>
      <c r="K1272" s="44" t="s">
        <v>3529</v>
      </c>
      <c r="L1272" s="44" t="s">
        <v>2333</v>
      </c>
      <c r="M1272" s="43">
        <v>40</v>
      </c>
      <c r="N1272" s="113"/>
      <c r="O1272" s="113"/>
      <c r="P1272" s="113"/>
      <c r="Q1272" s="113"/>
      <c r="R1272" s="113"/>
      <c r="S1272" s="113" t="s">
        <v>1113</v>
      </c>
      <c r="T1272" s="113"/>
      <c r="U1272" s="113"/>
      <c r="V1272" s="113"/>
      <c r="W1272" s="113"/>
      <c r="X1272" s="113"/>
      <c r="Y1272" s="113"/>
      <c r="Z1272" s="113"/>
      <c r="AA1272" s="113"/>
      <c r="AB1272" s="113"/>
      <c r="AC1272" s="113"/>
      <c r="AD1272" s="113"/>
      <c r="AE1272" s="113"/>
      <c r="AF1272" s="113"/>
      <c r="AG1272" s="113"/>
      <c r="AH1272" s="113"/>
      <c r="AI1272" s="113"/>
      <c r="AJ1272" s="113"/>
      <c r="AK1272" s="113" t="s">
        <v>1113</v>
      </c>
      <c r="AL1272" s="113"/>
      <c r="AM1272" s="113"/>
      <c r="AN1272" s="113"/>
      <c r="AO1272" s="44" t="s">
        <v>2334</v>
      </c>
      <c r="AP1272" s="43"/>
      <c r="AQ1272" s="236" t="str">
        <f>VLOOKUP(Table8[[#This Row],[Instrument]],Def_Targets!$D$73:$E$159,2,FALSE)</f>
        <v>I_Vehicleeff</v>
      </c>
      <c r="AR1272" s="233" t="str">
        <f>VLOOKUP(Table8[[#This Row],[Country Code]],Table29[],3,FALSE)</f>
        <v>Annex I</v>
      </c>
      <c r="AS1272" s="233" t="str">
        <f>VLOOKUP(Table8[[#This Row],[Country Code]],Table29[],4,FALSE)</f>
        <v>Asia</v>
      </c>
      <c r="AT1272" s="233" t="str">
        <f>VLOOKUP(Table8[[#This Row],[Country Code]],Table29[],5,FALSE)</f>
        <v>High-income</v>
      </c>
      <c r="AU1272" s="233" t="str">
        <f>VLOOKUP(Table8[[#This Row],[Country Code]],Table29[],6,FALSE)</f>
        <v>G20</v>
      </c>
      <c r="AV1272" s="233" t="str">
        <f>VLOOKUP(Table8[[#This Row],[Country Code]],Table29[],7,FALSE)</f>
        <v>G7</v>
      </c>
      <c r="AW1272" s="233" t="str">
        <f>VLOOKUP(Table8[[#This Row],[Country Code]],Table29[],8,FALSE)</f>
        <v>OECD</v>
      </c>
      <c r="AX1272" s="233" t="str">
        <f>VLOOKUP(Table8[[#This Row],[Country Code]],Table29[],9,FALSE)</f>
        <v>no</v>
      </c>
      <c r="AY1272" s="233" t="str">
        <f>VLOOKUP(Table8[[#This Row],[Country Code]],Table29[],10,FALSE)</f>
        <v>no</v>
      </c>
      <c r="AZ1272" s="235">
        <f>VLOOKUP(Table8[[#This Row],[Country Code]],Table29[],23,FALSE)</f>
        <v>1041.0128248686999</v>
      </c>
      <c r="BA1272" s="235">
        <f>VLOOKUP(Table8[[#This Row],[Country Code]],Table29[],24,FALSE)</f>
        <v>181.96191357547141</v>
      </c>
      <c r="BB1272" s="320"/>
      <c r="BC1272" s="320"/>
    </row>
    <row r="1273" spans="1:55" hidden="1" x14ac:dyDescent="0.25">
      <c r="A1273" s="373">
        <v>26796</v>
      </c>
      <c r="B1273" s="233" t="str">
        <f>VLOOKUP(Table8[[#This Row],[Document ID]],Table1[],2,FALSE)</f>
        <v>JPN</v>
      </c>
      <c r="C1273" s="233" t="str">
        <f>VLOOKUP(Table8[[#This Row],[Document ID]],Table1[],3,FALSE)</f>
        <v>Japan</v>
      </c>
      <c r="D1273" s="243" t="str">
        <f>VLOOKUP(Table8[[#This Row],[Document ID]],Table1[],5,FALSE)</f>
        <v>LTS</v>
      </c>
      <c r="E1273" s="233" t="str">
        <f>VLOOKUP(Table8[[#This Row],[Document ID]],Table1[],7,FALSE)</f>
        <v>LTS</v>
      </c>
      <c r="F1273" s="236" t="str">
        <f>VLOOKUP(Table8[[#This Row],[Document ID]],Table1[],8,FALSE)</f>
        <v>LTS 1.1</v>
      </c>
      <c r="G1273" s="236" t="str">
        <f>VLOOKUP(Table8[[#This Row],[Document ID]],Table1[],10,FALSE)</f>
        <v>Active</v>
      </c>
      <c r="H1273" s="43" t="s">
        <v>2358</v>
      </c>
      <c r="I1273" s="43" t="s">
        <v>2359</v>
      </c>
      <c r="J1273" s="44" t="s">
        <v>2360</v>
      </c>
      <c r="K1273" s="44" t="s">
        <v>3530</v>
      </c>
      <c r="L1273" s="44" t="s">
        <v>2333</v>
      </c>
      <c r="M1273" s="43">
        <v>40</v>
      </c>
      <c r="N1273" s="113" t="s">
        <v>1113</v>
      </c>
      <c r="O1273" s="113"/>
      <c r="P1273" s="113"/>
      <c r="Q1273" s="113"/>
      <c r="R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t="s">
        <v>1113</v>
      </c>
      <c r="AO1273" s="44" t="s">
        <v>2334</v>
      </c>
      <c r="AP1273" s="43"/>
      <c r="AQ1273" s="236" t="str">
        <f>VLOOKUP(Table8[[#This Row],[Instrument]],Def_Targets!$D$73:$E$159,2,FALSE)</f>
        <v>I_Emobility</v>
      </c>
      <c r="AR1273" s="233" t="str">
        <f>VLOOKUP(Table8[[#This Row],[Country Code]],Table29[],3,FALSE)</f>
        <v>Annex I</v>
      </c>
      <c r="AS1273" s="233" t="str">
        <f>VLOOKUP(Table8[[#This Row],[Country Code]],Table29[],4,FALSE)</f>
        <v>Asia</v>
      </c>
      <c r="AT1273" s="233" t="str">
        <f>VLOOKUP(Table8[[#This Row],[Country Code]],Table29[],5,FALSE)</f>
        <v>High-income</v>
      </c>
      <c r="AU1273" s="233" t="str">
        <f>VLOOKUP(Table8[[#This Row],[Country Code]],Table29[],6,FALSE)</f>
        <v>G20</v>
      </c>
      <c r="AV1273" s="233" t="str">
        <f>VLOOKUP(Table8[[#This Row],[Country Code]],Table29[],7,FALSE)</f>
        <v>G7</v>
      </c>
      <c r="AW1273" s="233" t="str">
        <f>VLOOKUP(Table8[[#This Row],[Country Code]],Table29[],8,FALSE)</f>
        <v>OECD</v>
      </c>
      <c r="AX1273" s="233" t="str">
        <f>VLOOKUP(Table8[[#This Row],[Country Code]],Table29[],9,FALSE)</f>
        <v>no</v>
      </c>
      <c r="AY1273" s="233" t="str">
        <f>VLOOKUP(Table8[[#This Row],[Country Code]],Table29[],10,FALSE)</f>
        <v>no</v>
      </c>
      <c r="AZ1273" s="235">
        <f>VLOOKUP(Table8[[#This Row],[Country Code]],Table29[],23,FALSE)</f>
        <v>1041.0128248686999</v>
      </c>
      <c r="BA1273" s="235">
        <f>VLOOKUP(Table8[[#This Row],[Country Code]],Table29[],24,FALSE)</f>
        <v>181.96191357547141</v>
      </c>
      <c r="BB1273" s="320"/>
      <c r="BC1273" s="320"/>
    </row>
    <row r="1274" spans="1:55" ht="30" hidden="1" x14ac:dyDescent="0.25">
      <c r="A1274" s="373">
        <v>17648</v>
      </c>
      <c r="B1274" s="233" t="str">
        <f>VLOOKUP(Table8[[#This Row],[Document ID]],Table1[],2,FALSE)</f>
        <v>MDG</v>
      </c>
      <c r="C1274" s="233" t="str">
        <f>VLOOKUP(Table8[[#This Row],[Document ID]],Table1[],3,FALSE)</f>
        <v>Madagascar</v>
      </c>
      <c r="D1274" s="243" t="str">
        <f>VLOOKUP(Table8[[#This Row],[Document ID]],Table1[],5,FALSE)</f>
        <v>NDC</v>
      </c>
      <c r="E1274" s="233" t="str">
        <f>VLOOKUP(Table8[[#This Row],[Document ID]],Table1[],7,FALSE)</f>
        <v>First NDC</v>
      </c>
      <c r="F1274" s="236" t="str">
        <f>VLOOKUP(Table8[[#This Row],[Document ID]],Table1[],8,FALSE)</f>
        <v>NDC 1.0</v>
      </c>
      <c r="G1274" s="236" t="str">
        <f>VLOOKUP(Table8[[#This Row],[Document ID]],Table1[],10,FALSE)</f>
        <v>Archived</v>
      </c>
      <c r="H1274" s="44" t="s">
        <v>2329</v>
      </c>
      <c r="I1274" s="44" t="s">
        <v>2330</v>
      </c>
      <c r="J1274" s="44" t="s">
        <v>2357</v>
      </c>
      <c r="K1274" s="44" t="s">
        <v>3531</v>
      </c>
      <c r="L1274" s="44" t="s">
        <v>2333</v>
      </c>
      <c r="M1274" s="43"/>
      <c r="N1274" s="113" t="s">
        <v>1113</v>
      </c>
      <c r="O1274" s="113"/>
      <c r="P1274" s="113"/>
      <c r="Q1274" s="319"/>
      <c r="R1274" s="319"/>
      <c r="S1274" s="319"/>
      <c r="T1274" s="319"/>
      <c r="U1274" s="319"/>
      <c r="V1274" s="319"/>
      <c r="W1274" s="319"/>
      <c r="X1274" s="319"/>
      <c r="Y1274" s="319"/>
      <c r="Z1274" s="319"/>
      <c r="AA1274" s="319"/>
      <c r="AB1274" s="319"/>
      <c r="AC1274" s="319"/>
      <c r="AD1274" s="319"/>
      <c r="AE1274" s="319"/>
      <c r="AF1274" s="319"/>
      <c r="AG1274" s="319"/>
      <c r="AH1274" s="319"/>
      <c r="AI1274" s="319"/>
      <c r="AJ1274" s="319"/>
      <c r="AK1274" s="319" t="s">
        <v>1113</v>
      </c>
      <c r="AL1274" s="319"/>
      <c r="AM1274" s="319"/>
      <c r="AN1274" s="319"/>
      <c r="AO1274" s="44" t="s">
        <v>2334</v>
      </c>
      <c r="AP1274" s="44"/>
      <c r="AQ1274" s="236" t="str">
        <f>VLOOKUP(Table8[[#This Row],[Instrument]],Def_Targets!$D$73:$E$159,2,FALSE)</f>
        <v>I_Biofuel</v>
      </c>
      <c r="AR1274" s="233" t="str">
        <f>VLOOKUP(Table8[[#This Row],[Country Code]],Table29[],3,FALSE)</f>
        <v>Non-Annex I</v>
      </c>
      <c r="AS1274" s="233" t="str">
        <f>VLOOKUP(Table8[[#This Row],[Country Code]],Table29[],4,FALSE)</f>
        <v>Africa</v>
      </c>
      <c r="AT1274" s="233" t="str">
        <f>VLOOKUP(Table8[[#This Row],[Country Code]],Table29[],5,FALSE)</f>
        <v>Low-income</v>
      </c>
      <c r="AU1274" s="233" t="str">
        <f>VLOOKUP(Table8[[#This Row],[Country Code]],Table29[],6,FALSE)</f>
        <v>no</v>
      </c>
      <c r="AV1274" s="233" t="str">
        <f>VLOOKUP(Table8[[#This Row],[Country Code]],Table29[],7,FALSE)</f>
        <v>no</v>
      </c>
      <c r="AW1274" s="233" t="str">
        <f>VLOOKUP(Table8[[#This Row],[Country Code]],Table29[],8,FALSE)</f>
        <v>non-OECD</v>
      </c>
      <c r="AX1274" s="233" t="str">
        <f>VLOOKUP(Table8[[#This Row],[Country Code]],Table29[],9,FALSE)</f>
        <v>no</v>
      </c>
      <c r="AY1274" s="233" t="str">
        <f>VLOOKUP(Table8[[#This Row],[Country Code]],Table29[],10,FALSE)</f>
        <v>no</v>
      </c>
      <c r="AZ1274" s="235">
        <f>VLOOKUP(Table8[[#This Row],[Country Code]],Table29[],23,FALSE)</f>
        <v>33.150776404127001</v>
      </c>
      <c r="BA1274" s="235">
        <f>VLOOKUP(Table8[[#This Row],[Country Code]],Table29[],24,FALSE)</f>
        <v>1.378876889046607</v>
      </c>
      <c r="BB1274" s="320"/>
      <c r="BC1274" s="320"/>
    </row>
    <row r="1275" spans="1:55" ht="30" hidden="1" x14ac:dyDescent="0.25">
      <c r="A1275" s="373">
        <v>17648</v>
      </c>
      <c r="B1275" s="233" t="str">
        <f>VLOOKUP(Table8[[#This Row],[Document ID]],Table1[],2,FALSE)</f>
        <v>MDG</v>
      </c>
      <c r="C1275" s="233" t="str">
        <f>VLOOKUP(Table8[[#This Row],[Document ID]],Table1[],3,FALSE)</f>
        <v>Madagascar</v>
      </c>
      <c r="D1275" s="243" t="str">
        <f>VLOOKUP(Table8[[#This Row],[Document ID]],Table1[],5,FALSE)</f>
        <v>NDC</v>
      </c>
      <c r="E1275" s="233" t="str">
        <f>VLOOKUP(Table8[[#This Row],[Document ID]],Table1[],7,FALSE)</f>
        <v>First NDC</v>
      </c>
      <c r="F1275" s="236" t="str">
        <f>VLOOKUP(Table8[[#This Row],[Document ID]],Table1[],8,FALSE)</f>
        <v>NDC 1.0</v>
      </c>
      <c r="G1275" s="236" t="str">
        <f>VLOOKUP(Table8[[#This Row],[Document ID]],Table1[],10,FALSE)</f>
        <v>Archived</v>
      </c>
      <c r="H1275" s="44" t="s">
        <v>2329</v>
      </c>
      <c r="I1275" s="44" t="s">
        <v>2330</v>
      </c>
      <c r="J1275" s="44" t="s">
        <v>2357</v>
      </c>
      <c r="K1275" s="44" t="s">
        <v>3532</v>
      </c>
      <c r="L1275" s="44" t="s">
        <v>2333</v>
      </c>
      <c r="M1275" s="43"/>
      <c r="N1275" s="113" t="s">
        <v>1113</v>
      </c>
      <c r="O1275" s="113"/>
      <c r="P1275" s="113"/>
      <c r="Q1275" s="319"/>
      <c r="R1275" s="319"/>
      <c r="S1275" s="319"/>
      <c r="T1275" s="319"/>
      <c r="U1275" s="319"/>
      <c r="V1275" s="319"/>
      <c r="W1275" s="319"/>
      <c r="X1275" s="319"/>
      <c r="Y1275" s="319"/>
      <c r="Z1275" s="319"/>
      <c r="AA1275" s="319"/>
      <c r="AB1275" s="319"/>
      <c r="AC1275" s="319"/>
      <c r="AD1275" s="319"/>
      <c r="AE1275" s="319"/>
      <c r="AF1275" s="319"/>
      <c r="AG1275" s="319"/>
      <c r="AH1275" s="319"/>
      <c r="AI1275" s="319"/>
      <c r="AJ1275" s="319"/>
      <c r="AK1275" s="319" t="s">
        <v>1113</v>
      </c>
      <c r="AL1275" s="319"/>
      <c r="AM1275" s="319"/>
      <c r="AN1275" s="319"/>
      <c r="AO1275" s="44" t="s">
        <v>2334</v>
      </c>
      <c r="AP1275" s="44"/>
      <c r="AQ1275" s="236" t="str">
        <f>VLOOKUP(Table8[[#This Row],[Instrument]],Def_Targets!$D$73:$E$159,2,FALSE)</f>
        <v>I_Biofuel</v>
      </c>
      <c r="AR1275" s="233" t="str">
        <f>VLOOKUP(Table8[[#This Row],[Country Code]],Table29[],3,FALSE)</f>
        <v>Non-Annex I</v>
      </c>
      <c r="AS1275" s="233" t="str">
        <f>VLOOKUP(Table8[[#This Row],[Country Code]],Table29[],4,FALSE)</f>
        <v>Africa</v>
      </c>
      <c r="AT1275" s="233" t="str">
        <f>VLOOKUP(Table8[[#This Row],[Country Code]],Table29[],5,FALSE)</f>
        <v>Low-income</v>
      </c>
      <c r="AU1275" s="233" t="str">
        <f>VLOOKUP(Table8[[#This Row],[Country Code]],Table29[],6,FALSE)</f>
        <v>no</v>
      </c>
      <c r="AV1275" s="233" t="str">
        <f>VLOOKUP(Table8[[#This Row],[Country Code]],Table29[],7,FALSE)</f>
        <v>no</v>
      </c>
      <c r="AW1275" s="233" t="str">
        <f>VLOOKUP(Table8[[#This Row],[Country Code]],Table29[],8,FALSE)</f>
        <v>non-OECD</v>
      </c>
      <c r="AX1275" s="233" t="str">
        <f>VLOOKUP(Table8[[#This Row],[Country Code]],Table29[],9,FALSE)</f>
        <v>no</v>
      </c>
      <c r="AY1275" s="233" t="str">
        <f>VLOOKUP(Table8[[#This Row],[Country Code]],Table29[],10,FALSE)</f>
        <v>no</v>
      </c>
      <c r="AZ1275" s="235">
        <f>VLOOKUP(Table8[[#This Row],[Country Code]],Table29[],23,FALSE)</f>
        <v>33.150776404127001</v>
      </c>
      <c r="BA1275" s="235">
        <f>VLOOKUP(Table8[[#This Row],[Country Code]],Table29[],24,FALSE)</f>
        <v>1.378876889046607</v>
      </c>
      <c r="BB1275" s="320"/>
      <c r="BC1275" s="320"/>
    </row>
    <row r="1276" spans="1:55" hidden="1" x14ac:dyDescent="0.25">
      <c r="A1276" s="373">
        <v>17648</v>
      </c>
      <c r="B1276" s="233" t="str">
        <f>VLOOKUP(Table8[[#This Row],[Document ID]],Table1[],2,FALSE)</f>
        <v>MDG</v>
      </c>
      <c r="C1276" s="233" t="str">
        <f>VLOOKUP(Table8[[#This Row],[Document ID]],Table1[],3,FALSE)</f>
        <v>Madagascar</v>
      </c>
      <c r="D1276" s="243" t="str">
        <f>VLOOKUP(Table8[[#This Row],[Document ID]],Table1[],5,FALSE)</f>
        <v>NDC</v>
      </c>
      <c r="E1276" s="233" t="str">
        <f>VLOOKUP(Table8[[#This Row],[Document ID]],Table1[],7,FALSE)</f>
        <v>First NDC</v>
      </c>
      <c r="F1276" s="236" t="str">
        <f>VLOOKUP(Table8[[#This Row],[Document ID]],Table1[],8,FALSE)</f>
        <v>NDC 1.0</v>
      </c>
      <c r="G1276" s="236" t="str">
        <f>VLOOKUP(Table8[[#This Row],[Document ID]],Table1[],10,FALSE)</f>
        <v>Archived</v>
      </c>
      <c r="H1276" s="43" t="s">
        <v>2343</v>
      </c>
      <c r="I1276" s="43" t="s">
        <v>2344</v>
      </c>
      <c r="J1276" s="44" t="s">
        <v>2345</v>
      </c>
      <c r="K1276" s="44" t="s">
        <v>3533</v>
      </c>
      <c r="L1276" s="44" t="s">
        <v>2347</v>
      </c>
      <c r="M1276" s="43"/>
      <c r="N1276" s="113" t="s">
        <v>1113</v>
      </c>
      <c r="O1276" s="113"/>
      <c r="P1276" s="113"/>
      <c r="Q1276" s="113"/>
      <c r="R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319" t="s">
        <v>1113</v>
      </c>
      <c r="AL1276" s="319"/>
      <c r="AM1276" s="319"/>
      <c r="AN1276" s="319"/>
      <c r="AO1276" s="43" t="s">
        <v>2348</v>
      </c>
      <c r="AP1276" s="44"/>
      <c r="AQ1276" s="236" t="str">
        <f>VLOOKUP(Table8[[#This Row],[Instrument]],Def_Targets!$D$73:$E$159,2,FALSE)</f>
        <v>S_PublicTransport</v>
      </c>
      <c r="AR1276" s="233" t="str">
        <f>VLOOKUP(Table8[[#This Row],[Country Code]],Table29[],3,FALSE)</f>
        <v>Non-Annex I</v>
      </c>
      <c r="AS1276" s="233" t="str">
        <f>VLOOKUP(Table8[[#This Row],[Country Code]],Table29[],4,FALSE)</f>
        <v>Africa</v>
      </c>
      <c r="AT1276" s="233" t="str">
        <f>VLOOKUP(Table8[[#This Row],[Country Code]],Table29[],5,FALSE)</f>
        <v>Low-income</v>
      </c>
      <c r="AU1276" s="233" t="str">
        <f>VLOOKUP(Table8[[#This Row],[Country Code]],Table29[],6,FALSE)</f>
        <v>no</v>
      </c>
      <c r="AV1276" s="233" t="str">
        <f>VLOOKUP(Table8[[#This Row],[Country Code]],Table29[],7,FALSE)</f>
        <v>no</v>
      </c>
      <c r="AW1276" s="233" t="str">
        <f>VLOOKUP(Table8[[#This Row],[Country Code]],Table29[],8,FALSE)</f>
        <v>non-OECD</v>
      </c>
      <c r="AX1276" s="233" t="str">
        <f>VLOOKUP(Table8[[#This Row],[Country Code]],Table29[],9,FALSE)</f>
        <v>no</v>
      </c>
      <c r="AY1276" s="233" t="str">
        <f>VLOOKUP(Table8[[#This Row],[Country Code]],Table29[],10,FALSE)</f>
        <v>no</v>
      </c>
      <c r="AZ1276" s="235">
        <f>VLOOKUP(Table8[[#This Row],[Country Code]],Table29[],23,FALSE)</f>
        <v>33.150776404127001</v>
      </c>
      <c r="BA1276" s="235">
        <f>VLOOKUP(Table8[[#This Row],[Country Code]],Table29[],24,FALSE)</f>
        <v>1.378876889046607</v>
      </c>
      <c r="BB1276" s="320"/>
      <c r="BC1276" s="320"/>
    </row>
    <row r="1277" spans="1:55" ht="45" hidden="1" x14ac:dyDescent="0.25">
      <c r="A1277" s="373">
        <v>17649</v>
      </c>
      <c r="B1277" s="233" t="str">
        <f>VLOOKUP(Table8[[#This Row],[Document ID]],Table1[],2,FALSE)</f>
        <v>MWI</v>
      </c>
      <c r="C1277" s="233" t="str">
        <f>VLOOKUP(Table8[[#This Row],[Document ID]],Table1[],3,FALSE)</f>
        <v>Malawi</v>
      </c>
      <c r="D1277" s="243" t="str">
        <f>VLOOKUP(Table8[[#This Row],[Document ID]],Table1[],5,FALSE)</f>
        <v>NDC</v>
      </c>
      <c r="E1277" s="233" t="str">
        <f>VLOOKUP(Table8[[#This Row],[Document ID]],Table1[],7,FALSE)</f>
        <v>First NDC</v>
      </c>
      <c r="F1277" s="236" t="str">
        <f>VLOOKUP(Table8[[#This Row],[Document ID]],Table1[],8,FALSE)</f>
        <v>NDC 1.0</v>
      </c>
      <c r="G1277" s="236" t="str">
        <f>VLOOKUP(Table8[[#This Row],[Document ID]],Table1[],10,FALSE)</f>
        <v>Archived</v>
      </c>
      <c r="H1277" s="43" t="s">
        <v>2343</v>
      </c>
      <c r="I1277" s="43" t="s">
        <v>2344</v>
      </c>
      <c r="J1277" s="44" t="s">
        <v>2345</v>
      </c>
      <c r="K1277" s="44" t="s">
        <v>3534</v>
      </c>
      <c r="L1277" s="44" t="s">
        <v>2347</v>
      </c>
      <c r="M1277" s="43"/>
      <c r="N1277" s="113" t="s">
        <v>1113</v>
      </c>
      <c r="O1277" s="113"/>
      <c r="P1277" s="113"/>
      <c r="Q1277" s="113"/>
      <c r="R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319" t="s">
        <v>1113</v>
      </c>
      <c r="AL1277" s="319"/>
      <c r="AM1277" s="319"/>
      <c r="AN1277" s="319"/>
      <c r="AO1277" s="43" t="s">
        <v>2348</v>
      </c>
      <c r="AP1277" s="44"/>
      <c r="AQ1277" s="236" t="str">
        <f>VLOOKUP(Table8[[#This Row],[Instrument]],Def_Targets!$D$73:$E$159,2,FALSE)</f>
        <v>S_PublicTransport</v>
      </c>
      <c r="AR1277" s="233" t="str">
        <f>VLOOKUP(Table8[[#This Row],[Country Code]],Table29[],3,FALSE)</f>
        <v>Non-Annex I</v>
      </c>
      <c r="AS1277" s="233" t="str">
        <f>VLOOKUP(Table8[[#This Row],[Country Code]],Table29[],4,FALSE)</f>
        <v>Africa</v>
      </c>
      <c r="AT1277" s="233" t="str">
        <f>VLOOKUP(Table8[[#This Row],[Country Code]],Table29[],5,FALSE)</f>
        <v>Low-income</v>
      </c>
      <c r="AU1277" s="233" t="str">
        <f>VLOOKUP(Table8[[#This Row],[Country Code]],Table29[],6,FALSE)</f>
        <v>no</v>
      </c>
      <c r="AV1277" s="233" t="str">
        <f>VLOOKUP(Table8[[#This Row],[Country Code]],Table29[],7,FALSE)</f>
        <v>no</v>
      </c>
      <c r="AW1277" s="233" t="str">
        <f>VLOOKUP(Table8[[#This Row],[Country Code]],Table29[],8,FALSE)</f>
        <v>non-OECD</v>
      </c>
      <c r="AX1277" s="233" t="str">
        <f>VLOOKUP(Table8[[#This Row],[Country Code]],Table29[],9,FALSE)</f>
        <v>no</v>
      </c>
      <c r="AY1277" s="233" t="str">
        <f>VLOOKUP(Table8[[#This Row],[Country Code]],Table29[],10,FALSE)</f>
        <v>no</v>
      </c>
      <c r="AZ1277" s="235">
        <f>VLOOKUP(Table8[[#This Row],[Country Code]],Table29[],23,FALSE)</f>
        <v>19.714051394182</v>
      </c>
      <c r="BA1277" s="235">
        <f>VLOOKUP(Table8[[#This Row],[Country Code]],Table29[],24,FALSE)</f>
        <v>0.78331093542905961</v>
      </c>
      <c r="BB1277" s="320"/>
      <c r="BC1277" s="320"/>
    </row>
    <row r="1278" spans="1:55" ht="30" hidden="1" x14ac:dyDescent="0.25">
      <c r="A1278" s="373">
        <v>21299</v>
      </c>
      <c r="B1278" s="233" t="str">
        <f>VLOOKUP(Table8[[#This Row],[Document ID]],Table1[],2,FALSE)</f>
        <v>MWI</v>
      </c>
      <c r="C1278" s="233" t="str">
        <f>VLOOKUP(Table8[[#This Row],[Document ID]],Table1[],3,FALSE)</f>
        <v>Malawi</v>
      </c>
      <c r="D1278" s="243" t="str">
        <f>VLOOKUP(Table8[[#This Row],[Document ID]],Table1[],5,FALSE)</f>
        <v>NDC</v>
      </c>
      <c r="E1278" s="233" t="str">
        <f>VLOOKUP(Table8[[#This Row],[Document ID]],Table1[],7,FALSE)</f>
        <v>First NDC updated</v>
      </c>
      <c r="F1278" s="233" t="str">
        <f>VLOOKUP(Table8[[#This Row],[Document ID]],Table1[],8,FALSE)</f>
        <v>NDC 1.1</v>
      </c>
      <c r="G1278" s="233" t="str">
        <f>VLOOKUP(Table8[[#This Row],[Document ID]],Table1[],10,FALSE)</f>
        <v>Active</v>
      </c>
      <c r="H1278" s="43" t="s">
        <v>2343</v>
      </c>
      <c r="I1278" s="43" t="s">
        <v>2344</v>
      </c>
      <c r="J1278" s="44" t="s">
        <v>2345</v>
      </c>
      <c r="K1278" s="44" t="s">
        <v>3535</v>
      </c>
      <c r="L1278" s="44" t="s">
        <v>2347</v>
      </c>
      <c r="M1278" s="43">
        <v>35</v>
      </c>
      <c r="N1278" s="113" t="s">
        <v>1113</v>
      </c>
      <c r="O1278" s="113"/>
      <c r="P1278" s="113"/>
      <c r="Q1278" s="113"/>
      <c r="R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t="s">
        <v>1113</v>
      </c>
      <c r="AL1278" s="113"/>
      <c r="AM1278" s="113"/>
      <c r="AN1278" s="113"/>
      <c r="AO1278" s="43" t="s">
        <v>2348</v>
      </c>
      <c r="AP1278" s="43"/>
      <c r="AQ1278" s="236" t="str">
        <f>VLOOKUP(Table8[[#This Row],[Instrument]],Def_Targets!$D$73:$E$159,2,FALSE)</f>
        <v>S_PublicTransport</v>
      </c>
      <c r="AR1278" s="233" t="str">
        <f>VLOOKUP(Table8[[#This Row],[Country Code]],Table29[],3,FALSE)</f>
        <v>Non-Annex I</v>
      </c>
      <c r="AS1278" s="233" t="str">
        <f>VLOOKUP(Table8[[#This Row],[Country Code]],Table29[],4,FALSE)</f>
        <v>Africa</v>
      </c>
      <c r="AT1278" s="233" t="str">
        <f>VLOOKUP(Table8[[#This Row],[Country Code]],Table29[],5,FALSE)</f>
        <v>Low-income</v>
      </c>
      <c r="AU1278" s="233" t="str">
        <f>VLOOKUP(Table8[[#This Row],[Country Code]],Table29[],6,FALSE)</f>
        <v>no</v>
      </c>
      <c r="AV1278" s="233" t="str">
        <f>VLOOKUP(Table8[[#This Row],[Country Code]],Table29[],7,FALSE)</f>
        <v>no</v>
      </c>
      <c r="AW1278" s="233" t="str">
        <f>VLOOKUP(Table8[[#This Row],[Country Code]],Table29[],8,FALSE)</f>
        <v>non-OECD</v>
      </c>
      <c r="AX1278" s="233" t="str">
        <f>VLOOKUP(Table8[[#This Row],[Country Code]],Table29[],9,FALSE)</f>
        <v>no</v>
      </c>
      <c r="AY1278" s="233" t="str">
        <f>VLOOKUP(Table8[[#This Row],[Country Code]],Table29[],10,FALSE)</f>
        <v>no</v>
      </c>
      <c r="AZ1278" s="235">
        <f>VLOOKUP(Table8[[#This Row],[Country Code]],Table29[],23,FALSE)</f>
        <v>19.714051394182</v>
      </c>
      <c r="BA1278" s="235">
        <f>VLOOKUP(Table8[[#This Row],[Country Code]],Table29[],24,FALSE)</f>
        <v>0.78331093542905961</v>
      </c>
      <c r="BB1278" s="320"/>
      <c r="BC1278" s="320"/>
    </row>
    <row r="1279" spans="1:55" ht="30" hidden="1" x14ac:dyDescent="0.25">
      <c r="A1279" s="373">
        <v>21299</v>
      </c>
      <c r="B1279" s="233" t="str">
        <f>VLOOKUP(Table8[[#This Row],[Document ID]],Table1[],2,FALSE)</f>
        <v>MWI</v>
      </c>
      <c r="C1279" s="233" t="str">
        <f>VLOOKUP(Table8[[#This Row],[Document ID]],Table1[],3,FALSE)</f>
        <v>Malawi</v>
      </c>
      <c r="D1279" s="243" t="str">
        <f>VLOOKUP(Table8[[#This Row],[Document ID]],Table1[],5,FALSE)</f>
        <v>NDC</v>
      </c>
      <c r="E1279" s="233" t="str">
        <f>VLOOKUP(Table8[[#This Row],[Document ID]],Table1[],7,FALSE)</f>
        <v>First NDC updated</v>
      </c>
      <c r="F1279" s="233" t="str">
        <f>VLOOKUP(Table8[[#This Row],[Document ID]],Table1[],8,FALSE)</f>
        <v>NDC 1.1</v>
      </c>
      <c r="G1279" s="233" t="str">
        <f>VLOOKUP(Table8[[#This Row],[Document ID]],Table1[],10,FALSE)</f>
        <v>Active</v>
      </c>
      <c r="H1279" s="43" t="s">
        <v>2350</v>
      </c>
      <c r="I1279" s="43" t="s">
        <v>2351</v>
      </c>
      <c r="J1279" s="44" t="s">
        <v>2352</v>
      </c>
      <c r="K1279" s="44" t="s">
        <v>3536</v>
      </c>
      <c r="L1279" s="44" t="s">
        <v>2347</v>
      </c>
      <c r="M1279" s="43">
        <v>35</v>
      </c>
      <c r="N1279" s="113"/>
      <c r="O1279" s="113"/>
      <c r="P1279" s="113"/>
      <c r="Q1279" s="113"/>
      <c r="R1279" s="113"/>
      <c r="S1279" s="113" t="s">
        <v>1113</v>
      </c>
      <c r="T1279" s="113"/>
      <c r="U1279" s="113"/>
      <c r="V1279" s="113"/>
      <c r="W1279" s="113"/>
      <c r="X1279" s="113"/>
      <c r="Y1279" s="113"/>
      <c r="Z1279" s="113" t="s">
        <v>1113</v>
      </c>
      <c r="AA1279" s="113"/>
      <c r="AB1279" s="113"/>
      <c r="AC1279" s="113"/>
      <c r="AD1279" s="113"/>
      <c r="AE1279" s="113"/>
      <c r="AF1279" s="113"/>
      <c r="AG1279" s="113"/>
      <c r="AH1279" s="113"/>
      <c r="AI1279" s="113"/>
      <c r="AJ1279" s="113"/>
      <c r="AK1279" s="113" t="s">
        <v>1113</v>
      </c>
      <c r="AL1279" s="113"/>
      <c r="AM1279" s="113"/>
      <c r="AN1279" s="113"/>
      <c r="AO1279" s="43" t="s">
        <v>2353</v>
      </c>
      <c r="AP1279" s="43"/>
      <c r="AQ1279" s="236" t="str">
        <f>VLOOKUP(Table8[[#This Row],[Instrument]],Def_Targets!$D$73:$E$159,2,FALSE)</f>
        <v>S_Railfreight</v>
      </c>
      <c r="AR1279" s="233" t="str">
        <f>VLOOKUP(Table8[[#This Row],[Country Code]],Table29[],3,FALSE)</f>
        <v>Non-Annex I</v>
      </c>
      <c r="AS1279" s="233" t="str">
        <f>VLOOKUP(Table8[[#This Row],[Country Code]],Table29[],4,FALSE)</f>
        <v>Africa</v>
      </c>
      <c r="AT1279" s="233" t="str">
        <f>VLOOKUP(Table8[[#This Row],[Country Code]],Table29[],5,FALSE)</f>
        <v>Low-income</v>
      </c>
      <c r="AU1279" s="233" t="str">
        <f>VLOOKUP(Table8[[#This Row],[Country Code]],Table29[],6,FALSE)</f>
        <v>no</v>
      </c>
      <c r="AV1279" s="233" t="str">
        <f>VLOOKUP(Table8[[#This Row],[Country Code]],Table29[],7,FALSE)</f>
        <v>no</v>
      </c>
      <c r="AW1279" s="233" t="str">
        <f>VLOOKUP(Table8[[#This Row],[Country Code]],Table29[],8,FALSE)</f>
        <v>non-OECD</v>
      </c>
      <c r="AX1279" s="233" t="str">
        <f>VLOOKUP(Table8[[#This Row],[Country Code]],Table29[],9,FALSE)</f>
        <v>no</v>
      </c>
      <c r="AY1279" s="233" t="str">
        <f>VLOOKUP(Table8[[#This Row],[Country Code]],Table29[],10,FALSE)</f>
        <v>no</v>
      </c>
      <c r="AZ1279" s="235">
        <f>VLOOKUP(Table8[[#This Row],[Country Code]],Table29[],23,FALSE)</f>
        <v>19.714051394182</v>
      </c>
      <c r="BA1279" s="235">
        <f>VLOOKUP(Table8[[#This Row],[Country Code]],Table29[],24,FALSE)</f>
        <v>0.78331093542905961</v>
      </c>
      <c r="BB1279" s="320"/>
      <c r="BC1279" s="320"/>
    </row>
    <row r="1280" spans="1:55" ht="30" hidden="1" x14ac:dyDescent="0.25">
      <c r="A1280" s="373">
        <v>21299</v>
      </c>
      <c r="B1280" s="233" t="str">
        <f>VLOOKUP(Table8[[#This Row],[Document ID]],Table1[],2,FALSE)</f>
        <v>MWI</v>
      </c>
      <c r="C1280" s="233" t="str">
        <f>VLOOKUP(Table8[[#This Row],[Document ID]],Table1[],3,FALSE)</f>
        <v>Malawi</v>
      </c>
      <c r="D1280" s="243" t="str">
        <f>VLOOKUP(Table8[[#This Row],[Document ID]],Table1[],5,FALSE)</f>
        <v>NDC</v>
      </c>
      <c r="E1280" s="233" t="str">
        <f>VLOOKUP(Table8[[#This Row],[Document ID]],Table1[],7,FALSE)</f>
        <v>First NDC updated</v>
      </c>
      <c r="F1280" s="233" t="str">
        <f>VLOOKUP(Table8[[#This Row],[Document ID]],Table1[],8,FALSE)</f>
        <v>NDC 1.1</v>
      </c>
      <c r="G1280" s="233" t="str">
        <f>VLOOKUP(Table8[[#This Row],[Document ID]],Table1[],10,FALSE)</f>
        <v>Active</v>
      </c>
      <c r="H1280" s="44" t="s">
        <v>2329</v>
      </c>
      <c r="I1280" s="44" t="s">
        <v>2330</v>
      </c>
      <c r="J1280" s="44" t="s">
        <v>2357</v>
      </c>
      <c r="K1280" s="44" t="s">
        <v>3537</v>
      </c>
      <c r="L1280" s="44" t="s">
        <v>2333</v>
      </c>
      <c r="M1280" s="43">
        <v>35</v>
      </c>
      <c r="N1280" s="113" t="s">
        <v>1113</v>
      </c>
      <c r="O1280" s="113"/>
      <c r="P1280" s="113"/>
      <c r="Q1280" s="113"/>
      <c r="R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t="s">
        <v>1113</v>
      </c>
      <c r="AL1280" s="113"/>
      <c r="AM1280" s="113"/>
      <c r="AN1280" s="113"/>
      <c r="AO1280" s="44" t="s">
        <v>2334</v>
      </c>
      <c r="AP1280" s="43"/>
      <c r="AQ1280" s="236" t="str">
        <f>VLOOKUP(Table8[[#This Row],[Instrument]],Def_Targets!$D$73:$E$159,2,FALSE)</f>
        <v>I_Biofuel</v>
      </c>
      <c r="AR1280" s="233" t="str">
        <f>VLOOKUP(Table8[[#This Row],[Country Code]],Table29[],3,FALSE)</f>
        <v>Non-Annex I</v>
      </c>
      <c r="AS1280" s="233" t="str">
        <f>VLOOKUP(Table8[[#This Row],[Country Code]],Table29[],4,FALSE)</f>
        <v>Africa</v>
      </c>
      <c r="AT1280" s="233" t="str">
        <f>VLOOKUP(Table8[[#This Row],[Country Code]],Table29[],5,FALSE)</f>
        <v>Low-income</v>
      </c>
      <c r="AU1280" s="233" t="str">
        <f>VLOOKUP(Table8[[#This Row],[Country Code]],Table29[],6,FALSE)</f>
        <v>no</v>
      </c>
      <c r="AV1280" s="233" t="str">
        <f>VLOOKUP(Table8[[#This Row],[Country Code]],Table29[],7,FALSE)</f>
        <v>no</v>
      </c>
      <c r="AW1280" s="233" t="str">
        <f>VLOOKUP(Table8[[#This Row],[Country Code]],Table29[],8,FALSE)</f>
        <v>non-OECD</v>
      </c>
      <c r="AX1280" s="233" t="str">
        <f>VLOOKUP(Table8[[#This Row],[Country Code]],Table29[],9,FALSE)</f>
        <v>no</v>
      </c>
      <c r="AY1280" s="233" t="str">
        <f>VLOOKUP(Table8[[#This Row],[Country Code]],Table29[],10,FALSE)</f>
        <v>no</v>
      </c>
      <c r="AZ1280" s="235">
        <f>VLOOKUP(Table8[[#This Row],[Country Code]],Table29[],23,FALSE)</f>
        <v>19.714051394182</v>
      </c>
      <c r="BA1280" s="235">
        <f>VLOOKUP(Table8[[#This Row],[Country Code]],Table29[],24,FALSE)</f>
        <v>0.78331093542905961</v>
      </c>
      <c r="BB1280" s="320"/>
      <c r="BC1280" s="320"/>
    </row>
    <row r="1281" spans="1:55" ht="45" hidden="1" x14ac:dyDescent="0.25">
      <c r="A1281" s="373">
        <v>21299</v>
      </c>
      <c r="B1281" s="233" t="str">
        <f>VLOOKUP(Table8[[#This Row],[Document ID]],Table1[],2,FALSE)</f>
        <v>MWI</v>
      </c>
      <c r="C1281" s="233" t="str">
        <f>VLOOKUP(Table8[[#This Row],[Document ID]],Table1[],3,FALSE)</f>
        <v>Malawi</v>
      </c>
      <c r="D1281" s="243" t="str">
        <f>VLOOKUP(Table8[[#This Row],[Document ID]],Table1[],5,FALSE)</f>
        <v>NDC</v>
      </c>
      <c r="E1281" s="233" t="str">
        <f>VLOOKUP(Table8[[#This Row],[Document ID]],Table1[],7,FALSE)</f>
        <v>First NDC updated</v>
      </c>
      <c r="F1281" s="233" t="str">
        <f>VLOOKUP(Table8[[#This Row],[Document ID]],Table1[],8,FALSE)</f>
        <v>NDC 1.1</v>
      </c>
      <c r="G1281" s="233" t="str">
        <f>VLOOKUP(Table8[[#This Row],[Document ID]],Table1[],10,FALSE)</f>
        <v>Active</v>
      </c>
      <c r="H1281" s="44" t="s">
        <v>2329</v>
      </c>
      <c r="I1281" s="44" t="s">
        <v>2330</v>
      </c>
      <c r="J1281" s="44" t="s">
        <v>2357</v>
      </c>
      <c r="K1281" s="44" t="s">
        <v>3538</v>
      </c>
      <c r="L1281" s="44" t="s">
        <v>2333</v>
      </c>
      <c r="M1281" s="43">
        <v>35</v>
      </c>
      <c r="N1281" s="113" t="s">
        <v>1113</v>
      </c>
      <c r="O1281" s="113"/>
      <c r="P1281" s="113"/>
      <c r="Q1281" s="113"/>
      <c r="R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t="s">
        <v>1113</v>
      </c>
      <c r="AL1281" s="113"/>
      <c r="AM1281" s="113"/>
      <c r="AN1281" s="113"/>
      <c r="AO1281" s="44" t="s">
        <v>2334</v>
      </c>
      <c r="AP1281" s="43"/>
      <c r="AQ1281" s="236" t="str">
        <f>VLOOKUP(Table8[[#This Row],[Instrument]],Def_Targets!$D$73:$E$159,2,FALSE)</f>
        <v>I_Biofuel</v>
      </c>
      <c r="AR1281" s="233" t="str">
        <f>VLOOKUP(Table8[[#This Row],[Country Code]],Table29[],3,FALSE)</f>
        <v>Non-Annex I</v>
      </c>
      <c r="AS1281" s="233" t="str">
        <f>VLOOKUP(Table8[[#This Row],[Country Code]],Table29[],4,FALSE)</f>
        <v>Africa</v>
      </c>
      <c r="AT1281" s="233" t="str">
        <f>VLOOKUP(Table8[[#This Row],[Country Code]],Table29[],5,FALSE)</f>
        <v>Low-income</v>
      </c>
      <c r="AU1281" s="233" t="str">
        <f>VLOOKUP(Table8[[#This Row],[Country Code]],Table29[],6,FALSE)</f>
        <v>no</v>
      </c>
      <c r="AV1281" s="233" t="str">
        <f>VLOOKUP(Table8[[#This Row],[Country Code]],Table29[],7,FALSE)</f>
        <v>no</v>
      </c>
      <c r="AW1281" s="233" t="str">
        <f>VLOOKUP(Table8[[#This Row],[Country Code]],Table29[],8,FALSE)</f>
        <v>non-OECD</v>
      </c>
      <c r="AX1281" s="233" t="str">
        <f>VLOOKUP(Table8[[#This Row],[Country Code]],Table29[],9,FALSE)</f>
        <v>no</v>
      </c>
      <c r="AY1281" s="233" t="str">
        <f>VLOOKUP(Table8[[#This Row],[Country Code]],Table29[],10,FALSE)</f>
        <v>no</v>
      </c>
      <c r="AZ1281" s="235">
        <f>VLOOKUP(Table8[[#This Row],[Country Code]],Table29[],23,FALSE)</f>
        <v>19.714051394182</v>
      </c>
      <c r="BA1281" s="235">
        <f>VLOOKUP(Table8[[#This Row],[Country Code]],Table29[],24,FALSE)</f>
        <v>0.78331093542905961</v>
      </c>
      <c r="BB1281" s="320"/>
      <c r="BC1281" s="320"/>
    </row>
    <row r="1282" spans="1:55" ht="30" hidden="1" x14ac:dyDescent="0.25">
      <c r="A1282" s="360">
        <v>17652</v>
      </c>
      <c r="B1282" s="233" t="str">
        <f>VLOOKUP(Table8[[#This Row],[Document ID]],Table1[],2,FALSE)</f>
        <v>MDV</v>
      </c>
      <c r="C1282" s="233" t="str">
        <f>VLOOKUP(Table8[[#This Row],[Document ID]],Table1[],3,FALSE)</f>
        <v>Maldives</v>
      </c>
      <c r="D1282" s="233" t="str">
        <f>VLOOKUP(Table8[[#This Row],[Document ID]],Table1[],5,FALSE)</f>
        <v>NDC</v>
      </c>
      <c r="E1282" s="233" t="str">
        <f>VLOOKUP(Table8[[#This Row],[Document ID]],Table1[],7,FALSE)</f>
        <v>First NDC updated</v>
      </c>
      <c r="F1282" s="233" t="str">
        <f>VLOOKUP(Table8[[#This Row],[Document ID]],Table1[],8,FALSE)</f>
        <v>NDC 1.1</v>
      </c>
      <c r="G1282" s="233" t="str">
        <f>VLOOKUP(Table8[[#This Row],[Document ID]],Table1[],10,FALSE)</f>
        <v>Archived</v>
      </c>
      <c r="H1282" s="43" t="s">
        <v>2484</v>
      </c>
      <c r="I1282" s="43" t="s">
        <v>2485</v>
      </c>
      <c r="J1282" s="44" t="s">
        <v>2669</v>
      </c>
      <c r="K1282" s="44" t="s">
        <v>3539</v>
      </c>
      <c r="L1282" s="44" t="s">
        <v>2333</v>
      </c>
      <c r="M1282" s="43">
        <v>18</v>
      </c>
      <c r="N1282" s="113"/>
      <c r="O1282" s="113"/>
      <c r="P1282" s="113"/>
      <c r="Q1282" s="113"/>
      <c r="R1282" s="113"/>
      <c r="S1282" s="113"/>
      <c r="T1282" s="113"/>
      <c r="U1282" s="113"/>
      <c r="V1282" s="113"/>
      <c r="W1282" s="113"/>
      <c r="X1282" s="113"/>
      <c r="Y1282" s="113"/>
      <c r="Z1282" s="113"/>
      <c r="AA1282" s="113"/>
      <c r="AB1282" s="113"/>
      <c r="AC1282" s="113"/>
      <c r="AD1282" s="113" t="s">
        <v>1113</v>
      </c>
      <c r="AE1282" s="113"/>
      <c r="AF1282" s="113"/>
      <c r="AG1282" s="113"/>
      <c r="AH1282" s="113"/>
      <c r="AI1282" s="113"/>
      <c r="AJ1282" s="113"/>
      <c r="AK1282" s="319" t="s">
        <v>1113</v>
      </c>
      <c r="AL1282" s="113"/>
      <c r="AM1282" s="113"/>
      <c r="AN1282" s="113"/>
      <c r="AO1282" s="44" t="s">
        <v>2334</v>
      </c>
      <c r="AP1282" s="43"/>
      <c r="AQ1282" s="236" t="str">
        <f>VLOOKUP(Table8[[#This Row],[Instrument]],Def_Targets!$D$73:$E$159,2,FALSE)</f>
        <v>I_Shipefficiency</v>
      </c>
      <c r="AR1282" s="233" t="str">
        <f>VLOOKUP(Table8[[#This Row],[Country Code]],Table29[],3,FALSE)</f>
        <v>Non-Annex I</v>
      </c>
      <c r="AS1282" s="233" t="str">
        <f>VLOOKUP(Table8[[#This Row],[Country Code]],Table29[],4,FALSE)</f>
        <v>Asia</v>
      </c>
      <c r="AT1282" s="233" t="str">
        <f>VLOOKUP(Table8[[#This Row],[Country Code]],Table29[],5,FALSE)</f>
        <v>Middle-income</v>
      </c>
      <c r="AU1282" s="233" t="str">
        <f>VLOOKUP(Table8[[#This Row],[Country Code]],Table29[],6,FALSE)</f>
        <v>no</v>
      </c>
      <c r="AV1282" s="233" t="str">
        <f>VLOOKUP(Table8[[#This Row],[Country Code]],Table29[],7,FALSE)</f>
        <v>no</v>
      </c>
      <c r="AW1282" s="233" t="str">
        <f>VLOOKUP(Table8[[#This Row],[Country Code]],Table29[],8,FALSE)</f>
        <v>non-OECD</v>
      </c>
      <c r="AX1282" s="233" t="str">
        <f>VLOOKUP(Table8[[#This Row],[Country Code]],Table29[],9,FALSE)</f>
        <v>no</v>
      </c>
      <c r="AY1282" s="233" t="str">
        <f>VLOOKUP(Table8[[#This Row],[Country Code]],Table29[],10,FALSE)</f>
        <v>no</v>
      </c>
      <c r="AZ1282" s="235">
        <f>VLOOKUP(Table8[[#This Row],[Country Code]],Table29[],23,FALSE)</f>
        <v>3.0879519663505</v>
      </c>
      <c r="BA1282" s="235">
        <f>VLOOKUP(Table8[[#This Row],[Country Code]],Table29[],24,FALSE)</f>
        <v>1.4972669707005819</v>
      </c>
      <c r="BB1282" s="320"/>
      <c r="BC1282" s="320"/>
    </row>
    <row r="1283" spans="1:55" hidden="1" x14ac:dyDescent="0.25">
      <c r="A1283" s="360">
        <v>17652</v>
      </c>
      <c r="B1283" s="233" t="str">
        <f>VLOOKUP(Table8[[#This Row],[Document ID]],Table1[],2,FALSE)</f>
        <v>MDV</v>
      </c>
      <c r="C1283" s="233" t="str">
        <f>VLOOKUP(Table8[[#This Row],[Document ID]],Table1[],3,FALSE)</f>
        <v>Maldives</v>
      </c>
      <c r="D1283" s="233" t="str">
        <f>VLOOKUP(Table8[[#This Row],[Document ID]],Table1[],5,FALSE)</f>
        <v>NDC</v>
      </c>
      <c r="E1283" s="233" t="str">
        <f>VLOOKUP(Table8[[#This Row],[Document ID]],Table1[],7,FALSE)</f>
        <v>First NDC updated</v>
      </c>
      <c r="F1283" s="233" t="str">
        <f>VLOOKUP(Table8[[#This Row],[Document ID]],Table1[],8,FALSE)</f>
        <v>NDC 1.1</v>
      </c>
      <c r="G1283" s="233" t="str">
        <f>VLOOKUP(Table8[[#This Row],[Document ID]],Table1[],10,FALSE)</f>
        <v>Archived</v>
      </c>
      <c r="H1283" s="44" t="s">
        <v>2338</v>
      </c>
      <c r="I1283" s="44" t="s">
        <v>2339</v>
      </c>
      <c r="J1283" s="44" t="s">
        <v>2425</v>
      </c>
      <c r="K1283" s="44" t="s">
        <v>3540</v>
      </c>
      <c r="L1283" s="44" t="s">
        <v>2333</v>
      </c>
      <c r="M1283" s="43">
        <v>2</v>
      </c>
      <c r="N1283" s="113"/>
      <c r="O1283" s="113"/>
      <c r="P1283" s="113"/>
      <c r="Q1283" s="113"/>
      <c r="R1283" s="113"/>
      <c r="S1283" s="113"/>
      <c r="T1283" s="113"/>
      <c r="U1283" s="113"/>
      <c r="V1283" s="113"/>
      <c r="W1283" s="113"/>
      <c r="X1283" s="113"/>
      <c r="Y1283" s="113"/>
      <c r="Z1283" s="113"/>
      <c r="AA1283" s="113"/>
      <c r="AB1283" s="113"/>
      <c r="AC1283" s="113"/>
      <c r="AD1283" s="113" t="s">
        <v>1113</v>
      </c>
      <c r="AE1283" s="113"/>
      <c r="AF1283" s="113"/>
      <c r="AG1283" s="113"/>
      <c r="AH1283" s="113"/>
      <c r="AI1283" s="113"/>
      <c r="AJ1283" s="113"/>
      <c r="AK1283" s="319" t="s">
        <v>1113</v>
      </c>
      <c r="AL1283" s="113"/>
      <c r="AM1283" s="113"/>
      <c r="AN1283" s="113"/>
      <c r="AO1283" s="44" t="s">
        <v>2334</v>
      </c>
      <c r="AP1283" s="43"/>
      <c r="AQ1283" s="236" t="str">
        <f>VLOOKUP(Table8[[#This Row],[Instrument]],Def_Targets!$D$73:$E$159,2,FALSE)</f>
        <v>I_Efficiencystd</v>
      </c>
      <c r="AR1283" s="233" t="str">
        <f>VLOOKUP(Table8[[#This Row],[Country Code]],Table29[],3,FALSE)</f>
        <v>Non-Annex I</v>
      </c>
      <c r="AS1283" s="233" t="str">
        <f>VLOOKUP(Table8[[#This Row],[Country Code]],Table29[],4,FALSE)</f>
        <v>Asia</v>
      </c>
      <c r="AT1283" s="233" t="str">
        <f>VLOOKUP(Table8[[#This Row],[Country Code]],Table29[],5,FALSE)</f>
        <v>Middle-income</v>
      </c>
      <c r="AU1283" s="233" t="str">
        <f>VLOOKUP(Table8[[#This Row],[Country Code]],Table29[],6,FALSE)</f>
        <v>no</v>
      </c>
      <c r="AV1283" s="233" t="str">
        <f>VLOOKUP(Table8[[#This Row],[Country Code]],Table29[],7,FALSE)</f>
        <v>no</v>
      </c>
      <c r="AW1283" s="233" t="str">
        <f>VLOOKUP(Table8[[#This Row],[Country Code]],Table29[],8,FALSE)</f>
        <v>non-OECD</v>
      </c>
      <c r="AX1283" s="233" t="str">
        <f>VLOOKUP(Table8[[#This Row],[Country Code]],Table29[],9,FALSE)</f>
        <v>no</v>
      </c>
      <c r="AY1283" s="233" t="str">
        <f>VLOOKUP(Table8[[#This Row],[Country Code]],Table29[],10,FALSE)</f>
        <v>no</v>
      </c>
      <c r="AZ1283" s="235">
        <f>VLOOKUP(Table8[[#This Row],[Country Code]],Table29[],23,FALSE)</f>
        <v>3.0879519663505</v>
      </c>
      <c r="BA1283" s="235">
        <f>VLOOKUP(Table8[[#This Row],[Country Code]],Table29[],24,FALSE)</f>
        <v>1.4972669707005819</v>
      </c>
      <c r="BB1283" s="320"/>
      <c r="BC1283" s="320"/>
    </row>
    <row r="1284" spans="1:55" hidden="1" x14ac:dyDescent="0.25">
      <c r="A1284" s="360">
        <v>17652</v>
      </c>
      <c r="B1284" s="233" t="str">
        <f>VLOOKUP(Table8[[#This Row],[Document ID]],Table1[],2,FALSE)</f>
        <v>MDV</v>
      </c>
      <c r="C1284" s="233" t="str">
        <f>VLOOKUP(Table8[[#This Row],[Document ID]],Table1[],3,FALSE)</f>
        <v>Maldives</v>
      </c>
      <c r="D1284" s="233" t="str">
        <f>VLOOKUP(Table8[[#This Row],[Document ID]],Table1[],5,FALSE)</f>
        <v>NDC</v>
      </c>
      <c r="E1284" s="233" t="str">
        <f>VLOOKUP(Table8[[#This Row],[Document ID]],Table1[],7,FALSE)</f>
        <v>First NDC updated</v>
      </c>
      <c r="F1284" s="233" t="str">
        <f>VLOOKUP(Table8[[#This Row],[Document ID]],Table1[],8,FALSE)</f>
        <v>NDC 1.1</v>
      </c>
      <c r="G1284" s="233" t="str">
        <f>VLOOKUP(Table8[[#This Row],[Document ID]],Table1[],10,FALSE)</f>
        <v>Archived</v>
      </c>
      <c r="H1284" s="43" t="s">
        <v>2484</v>
      </c>
      <c r="I1284" s="43" t="s">
        <v>2485</v>
      </c>
      <c r="J1284" s="44" t="s">
        <v>2669</v>
      </c>
      <c r="K1284" s="44" t="s">
        <v>3540</v>
      </c>
      <c r="L1284" s="44" t="s">
        <v>2333</v>
      </c>
      <c r="M1284" s="43">
        <v>2</v>
      </c>
      <c r="N1284" s="113"/>
      <c r="O1284" s="113"/>
      <c r="P1284" s="113"/>
      <c r="Q1284" s="113"/>
      <c r="R1284" s="113"/>
      <c r="S1284" s="113"/>
      <c r="T1284" s="113"/>
      <c r="U1284" s="113"/>
      <c r="V1284" s="113"/>
      <c r="W1284" s="113"/>
      <c r="X1284" s="113"/>
      <c r="Y1284" s="113"/>
      <c r="Z1284" s="113"/>
      <c r="AA1284" s="113"/>
      <c r="AB1284" s="113"/>
      <c r="AC1284" s="113"/>
      <c r="AD1284" s="113" t="s">
        <v>1113</v>
      </c>
      <c r="AE1284" s="113"/>
      <c r="AF1284" s="113"/>
      <c r="AG1284" s="113"/>
      <c r="AH1284" s="113"/>
      <c r="AI1284" s="113"/>
      <c r="AJ1284" s="113"/>
      <c r="AK1284" s="319" t="s">
        <v>1113</v>
      </c>
      <c r="AL1284" s="113"/>
      <c r="AM1284" s="113"/>
      <c r="AN1284" s="113"/>
      <c r="AO1284" s="44" t="s">
        <v>2334</v>
      </c>
      <c r="AP1284" s="43"/>
      <c r="AQ1284" s="236" t="str">
        <f>VLOOKUP(Table8[[#This Row],[Instrument]],Def_Targets!$D$73:$E$159,2,FALSE)</f>
        <v>I_Shipefficiency</v>
      </c>
      <c r="AR1284" s="233" t="str">
        <f>VLOOKUP(Table8[[#This Row],[Country Code]],Table29[],3,FALSE)</f>
        <v>Non-Annex I</v>
      </c>
      <c r="AS1284" s="233" t="str">
        <f>VLOOKUP(Table8[[#This Row],[Country Code]],Table29[],4,FALSE)</f>
        <v>Asia</v>
      </c>
      <c r="AT1284" s="233" t="str">
        <f>VLOOKUP(Table8[[#This Row],[Country Code]],Table29[],5,FALSE)</f>
        <v>Middle-income</v>
      </c>
      <c r="AU1284" s="233" t="str">
        <f>VLOOKUP(Table8[[#This Row],[Country Code]],Table29[],6,FALSE)</f>
        <v>no</v>
      </c>
      <c r="AV1284" s="233" t="str">
        <f>VLOOKUP(Table8[[#This Row],[Country Code]],Table29[],7,FALSE)</f>
        <v>no</v>
      </c>
      <c r="AW1284" s="233" t="str">
        <f>VLOOKUP(Table8[[#This Row],[Country Code]],Table29[],8,FALSE)</f>
        <v>non-OECD</v>
      </c>
      <c r="AX1284" s="233" t="str">
        <f>VLOOKUP(Table8[[#This Row],[Country Code]],Table29[],9,FALSE)</f>
        <v>no</v>
      </c>
      <c r="AY1284" s="233" t="str">
        <f>VLOOKUP(Table8[[#This Row],[Country Code]],Table29[],10,FALSE)</f>
        <v>no</v>
      </c>
      <c r="AZ1284" s="235">
        <f>VLOOKUP(Table8[[#This Row],[Country Code]],Table29[],23,FALSE)</f>
        <v>3.0879519663505</v>
      </c>
      <c r="BA1284" s="235">
        <f>VLOOKUP(Table8[[#This Row],[Country Code]],Table29[],24,FALSE)</f>
        <v>1.4972669707005819</v>
      </c>
      <c r="BB1284" s="320"/>
      <c r="BC1284" s="320"/>
    </row>
    <row r="1285" spans="1:55" hidden="1" x14ac:dyDescent="0.25">
      <c r="A1285" s="373">
        <v>17652</v>
      </c>
      <c r="B1285" s="233" t="str">
        <f>VLOOKUP(Table8[[#This Row],[Document ID]],Table1[],2,FALSE)</f>
        <v>MDV</v>
      </c>
      <c r="C1285" s="233" t="str">
        <f>VLOOKUP(Table8[[#This Row],[Document ID]],Table1[],3,FALSE)</f>
        <v>Maldives</v>
      </c>
      <c r="D1285" s="243" t="str">
        <f>VLOOKUP(Table8[[#This Row],[Document ID]],Table1[],5,FALSE)</f>
        <v>NDC</v>
      </c>
      <c r="E1285" s="233" t="str">
        <f>VLOOKUP(Table8[[#This Row],[Document ID]],Table1[],7,FALSE)</f>
        <v>First NDC updated</v>
      </c>
      <c r="F1285" s="233" t="str">
        <f>VLOOKUP(Table8[[#This Row],[Document ID]],Table1[],8,FALSE)</f>
        <v>NDC 1.1</v>
      </c>
      <c r="G1285" s="233" t="str">
        <f>VLOOKUP(Table8[[#This Row],[Document ID]],Table1[],10,FALSE)</f>
        <v>Archived</v>
      </c>
      <c r="H1285" s="43" t="s">
        <v>2350</v>
      </c>
      <c r="I1285" s="43" t="s">
        <v>2370</v>
      </c>
      <c r="J1285" s="44" t="s">
        <v>2511</v>
      </c>
      <c r="K1285" s="44" t="s">
        <v>3541</v>
      </c>
      <c r="L1285" s="44" t="s">
        <v>2333</v>
      </c>
      <c r="M1285" s="43">
        <v>2</v>
      </c>
      <c r="N1285" s="113" t="s">
        <v>1113</v>
      </c>
      <c r="O1285" s="113"/>
      <c r="P1285" s="113"/>
      <c r="Q1285" s="113"/>
      <c r="R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319" t="s">
        <v>1113</v>
      </c>
      <c r="AL1285" s="113"/>
      <c r="AM1285" s="113"/>
      <c r="AN1285" s="113"/>
      <c r="AO1285" s="44" t="s">
        <v>2334</v>
      </c>
      <c r="AP1285" s="43"/>
      <c r="AQ1285" s="236" t="str">
        <f>VLOOKUP(Table8[[#This Row],[Instrument]],Def_Targets!$D$73:$E$159,2,FALSE)</f>
        <v>A_LATM</v>
      </c>
      <c r="AR1285" s="233" t="str">
        <f>VLOOKUP(Table8[[#This Row],[Country Code]],Table29[],3,FALSE)</f>
        <v>Non-Annex I</v>
      </c>
      <c r="AS1285" s="233" t="str">
        <f>VLOOKUP(Table8[[#This Row],[Country Code]],Table29[],4,FALSE)</f>
        <v>Asia</v>
      </c>
      <c r="AT1285" s="233" t="str">
        <f>VLOOKUP(Table8[[#This Row],[Country Code]],Table29[],5,FALSE)</f>
        <v>Middle-income</v>
      </c>
      <c r="AU1285" s="233" t="str">
        <f>VLOOKUP(Table8[[#This Row],[Country Code]],Table29[],6,FALSE)</f>
        <v>no</v>
      </c>
      <c r="AV1285" s="233" t="str">
        <f>VLOOKUP(Table8[[#This Row],[Country Code]],Table29[],7,FALSE)</f>
        <v>no</v>
      </c>
      <c r="AW1285" s="233" t="str">
        <f>VLOOKUP(Table8[[#This Row],[Country Code]],Table29[],8,FALSE)</f>
        <v>non-OECD</v>
      </c>
      <c r="AX1285" s="233" t="str">
        <f>VLOOKUP(Table8[[#This Row],[Country Code]],Table29[],9,FALSE)</f>
        <v>no</v>
      </c>
      <c r="AY1285" s="233" t="str">
        <f>VLOOKUP(Table8[[#This Row],[Country Code]],Table29[],10,FALSE)</f>
        <v>no</v>
      </c>
      <c r="AZ1285" s="235">
        <f>VLOOKUP(Table8[[#This Row],[Country Code]],Table29[],23,FALSE)</f>
        <v>3.0879519663505</v>
      </c>
      <c r="BA1285" s="235">
        <f>VLOOKUP(Table8[[#This Row],[Country Code]],Table29[],24,FALSE)</f>
        <v>1.4972669707005819</v>
      </c>
      <c r="BB1285" s="320"/>
      <c r="BC1285" s="320"/>
    </row>
    <row r="1286" spans="1:55" hidden="1" x14ac:dyDescent="0.25">
      <c r="A1286" s="373">
        <v>17652</v>
      </c>
      <c r="B1286" s="233" t="str">
        <f>VLOOKUP(Table8[[#This Row],[Document ID]],Table1[],2,FALSE)</f>
        <v>MDV</v>
      </c>
      <c r="C1286" s="233" t="str">
        <f>VLOOKUP(Table8[[#This Row],[Document ID]],Table1[],3,FALSE)</f>
        <v>Maldives</v>
      </c>
      <c r="D1286" s="243" t="str">
        <f>VLOOKUP(Table8[[#This Row],[Document ID]],Table1[],5,FALSE)</f>
        <v>NDC</v>
      </c>
      <c r="E1286" s="233" t="str">
        <f>VLOOKUP(Table8[[#This Row],[Document ID]],Table1[],7,FALSE)</f>
        <v>First NDC updated</v>
      </c>
      <c r="F1286" s="233" t="str">
        <f>VLOOKUP(Table8[[#This Row],[Document ID]],Table1[],8,FALSE)</f>
        <v>NDC 1.1</v>
      </c>
      <c r="G1286" s="233" t="str">
        <f>VLOOKUP(Table8[[#This Row],[Document ID]],Table1[],10,FALSE)</f>
        <v>Archived</v>
      </c>
      <c r="H1286" s="43" t="s">
        <v>2358</v>
      </c>
      <c r="I1286" s="43" t="s">
        <v>2359</v>
      </c>
      <c r="J1286" s="44" t="s">
        <v>2360</v>
      </c>
      <c r="K1286" s="44" t="s">
        <v>3542</v>
      </c>
      <c r="L1286" s="44" t="s">
        <v>2333</v>
      </c>
      <c r="M1286" s="43">
        <v>2</v>
      </c>
      <c r="N1286" s="113" t="s">
        <v>1113</v>
      </c>
      <c r="O1286" s="113"/>
      <c r="P1286" s="113"/>
      <c r="Q1286" s="113"/>
      <c r="R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319" t="s">
        <v>1113</v>
      </c>
      <c r="AL1286" s="113"/>
      <c r="AM1286" s="113"/>
      <c r="AN1286" s="113"/>
      <c r="AO1286" s="44" t="s">
        <v>2334</v>
      </c>
      <c r="AP1286" s="43"/>
      <c r="AQ1286" s="236" t="str">
        <f>VLOOKUP(Table8[[#This Row],[Instrument]],Def_Targets!$D$73:$E$159,2,FALSE)</f>
        <v>I_Emobility</v>
      </c>
      <c r="AR1286" s="233" t="str">
        <f>VLOOKUP(Table8[[#This Row],[Country Code]],Table29[],3,FALSE)</f>
        <v>Non-Annex I</v>
      </c>
      <c r="AS1286" s="233" t="str">
        <f>VLOOKUP(Table8[[#This Row],[Country Code]],Table29[],4,FALSE)</f>
        <v>Asia</v>
      </c>
      <c r="AT1286" s="233" t="str">
        <f>VLOOKUP(Table8[[#This Row],[Country Code]],Table29[],5,FALSE)</f>
        <v>Middle-income</v>
      </c>
      <c r="AU1286" s="233" t="str">
        <f>VLOOKUP(Table8[[#This Row],[Country Code]],Table29[],6,FALSE)</f>
        <v>no</v>
      </c>
      <c r="AV1286" s="233" t="str">
        <f>VLOOKUP(Table8[[#This Row],[Country Code]],Table29[],7,FALSE)</f>
        <v>no</v>
      </c>
      <c r="AW1286" s="233" t="str">
        <f>VLOOKUP(Table8[[#This Row],[Country Code]],Table29[],8,FALSE)</f>
        <v>non-OECD</v>
      </c>
      <c r="AX1286" s="233" t="str">
        <f>VLOOKUP(Table8[[#This Row],[Country Code]],Table29[],9,FALSE)</f>
        <v>no</v>
      </c>
      <c r="AY1286" s="233" t="str">
        <f>VLOOKUP(Table8[[#This Row],[Country Code]],Table29[],10,FALSE)</f>
        <v>no</v>
      </c>
      <c r="AZ1286" s="235">
        <f>VLOOKUP(Table8[[#This Row],[Country Code]],Table29[],23,FALSE)</f>
        <v>3.0879519663505</v>
      </c>
      <c r="BA1286" s="235">
        <f>VLOOKUP(Table8[[#This Row],[Country Code]],Table29[],24,FALSE)</f>
        <v>1.4972669707005819</v>
      </c>
      <c r="BB1286" s="320"/>
      <c r="BC1286" s="320"/>
    </row>
    <row r="1287" spans="1:55" hidden="1" x14ac:dyDescent="0.25">
      <c r="A1287" s="373">
        <v>17653</v>
      </c>
      <c r="B1287" s="233" t="str">
        <f>VLOOKUP(Table8[[#This Row],[Document ID]],Table1[],2,FALSE)</f>
        <v>MLI</v>
      </c>
      <c r="C1287" s="233" t="str">
        <f>VLOOKUP(Table8[[#This Row],[Document ID]],Table1[],3,FALSE)</f>
        <v>Mali</v>
      </c>
      <c r="D1287" s="243" t="str">
        <f>VLOOKUP(Table8[[#This Row],[Document ID]],Table1[],5,FALSE)</f>
        <v>NDC</v>
      </c>
      <c r="E1287" s="233" t="str">
        <f>VLOOKUP(Table8[[#This Row],[Document ID]],Table1[],7,FALSE)</f>
        <v>First NDC</v>
      </c>
      <c r="F1287" s="236" t="str">
        <f>VLOOKUP(Table8[[#This Row],[Document ID]],Table1[],8,FALSE)</f>
        <v>NDC 1.0</v>
      </c>
      <c r="G1287" s="236" t="str">
        <f>VLOOKUP(Table8[[#This Row],[Document ID]],Table1[],10,FALSE)</f>
        <v>Archived</v>
      </c>
      <c r="H1287" s="44" t="s">
        <v>2329</v>
      </c>
      <c r="I1287" s="44" t="s">
        <v>2330</v>
      </c>
      <c r="J1287" s="44" t="s">
        <v>2381</v>
      </c>
      <c r="K1287" s="44" t="s">
        <v>3543</v>
      </c>
      <c r="L1287" s="44" t="s">
        <v>2333</v>
      </c>
      <c r="M1287" s="43"/>
      <c r="N1287" s="113" t="s">
        <v>1113</v>
      </c>
      <c r="O1287" s="113"/>
      <c r="P1287" s="113"/>
      <c r="Q1287" s="319"/>
      <c r="R1287" s="319"/>
      <c r="S1287" s="319"/>
      <c r="T1287" s="319"/>
      <c r="U1287" s="319"/>
      <c r="V1287" s="319"/>
      <c r="W1287" s="319"/>
      <c r="X1287" s="319"/>
      <c r="Y1287" s="319"/>
      <c r="Z1287" s="319"/>
      <c r="AA1287" s="319"/>
      <c r="AB1287" s="319"/>
      <c r="AC1287" s="319"/>
      <c r="AD1287" s="319"/>
      <c r="AE1287" s="319"/>
      <c r="AF1287" s="319"/>
      <c r="AG1287" s="319"/>
      <c r="AH1287" s="319"/>
      <c r="AI1287" s="319"/>
      <c r="AJ1287" s="319"/>
      <c r="AK1287" s="319" t="s">
        <v>1113</v>
      </c>
      <c r="AL1287" s="319"/>
      <c r="AM1287" s="319"/>
      <c r="AN1287" s="319"/>
      <c r="AO1287" s="44" t="s">
        <v>2334</v>
      </c>
      <c r="AP1287" s="44"/>
      <c r="AQ1287" s="236" t="str">
        <f>VLOOKUP(Table8[[#This Row],[Instrument]],Def_Targets!$D$73:$E$159,2,FALSE)</f>
        <v>I_RE</v>
      </c>
      <c r="AR1287" s="233" t="str">
        <f>VLOOKUP(Table8[[#This Row],[Country Code]],Table29[],3,FALSE)</f>
        <v>Non-Annex I</v>
      </c>
      <c r="AS1287" s="233" t="str">
        <f>VLOOKUP(Table8[[#This Row],[Country Code]],Table29[],4,FALSE)</f>
        <v>Africa</v>
      </c>
      <c r="AT1287" s="233" t="str">
        <f>VLOOKUP(Table8[[#This Row],[Country Code]],Table29[],5,FALSE)</f>
        <v>Low-income</v>
      </c>
      <c r="AU1287" s="233" t="str">
        <f>VLOOKUP(Table8[[#This Row],[Country Code]],Table29[],6,FALSE)</f>
        <v>no</v>
      </c>
      <c r="AV1287" s="233" t="str">
        <f>VLOOKUP(Table8[[#This Row],[Country Code]],Table29[],7,FALSE)</f>
        <v>no</v>
      </c>
      <c r="AW1287" s="233" t="str">
        <f>VLOOKUP(Table8[[#This Row],[Country Code]],Table29[],8,FALSE)</f>
        <v>non-OECD</v>
      </c>
      <c r="AX1287" s="233" t="str">
        <f>VLOOKUP(Table8[[#This Row],[Country Code]],Table29[],9,FALSE)</f>
        <v>no</v>
      </c>
      <c r="AY1287" s="233" t="str">
        <f>VLOOKUP(Table8[[#This Row],[Country Code]],Table29[],10,FALSE)</f>
        <v>no</v>
      </c>
      <c r="AZ1287" s="235">
        <f>VLOOKUP(Table8[[#This Row],[Country Code]],Table29[],23,FALSE)</f>
        <v>45.463097500300002</v>
      </c>
      <c r="BA1287" s="235">
        <f>VLOOKUP(Table8[[#This Row],[Country Code]],Table29[],24,FALSE)</f>
        <v>3.3931668151860381</v>
      </c>
      <c r="BB1287" s="320"/>
      <c r="BC1287" s="320"/>
    </row>
    <row r="1288" spans="1:55" s="17" customFormat="1" ht="30" hidden="1" x14ac:dyDescent="0.25">
      <c r="A1288" s="373">
        <v>23372</v>
      </c>
      <c r="B1288" s="233" t="str">
        <f>VLOOKUP(Table8[[#This Row],[Document ID]],Table1[],2,FALSE)</f>
        <v>MLI</v>
      </c>
      <c r="C1288" s="233" t="str">
        <f>VLOOKUP(Table8[[#This Row],[Document ID]],Table1[],3,FALSE)</f>
        <v>Mali</v>
      </c>
      <c r="D1288" s="243" t="str">
        <f>VLOOKUP(Table8[[#This Row],[Document ID]],Table1[],5,FALSE)</f>
        <v>NDC</v>
      </c>
      <c r="E1288" s="233" t="str">
        <f>VLOOKUP(Table8[[#This Row],[Document ID]],Table1[],7,FALSE)</f>
        <v>First NDC updated</v>
      </c>
      <c r="F1288" s="233" t="str">
        <f>VLOOKUP(Table8[[#This Row],[Document ID]],Table1[],8,FALSE)</f>
        <v>NDC 1.1</v>
      </c>
      <c r="G1288" s="233" t="str">
        <f>VLOOKUP(Table8[[#This Row],[Document ID]],Table1[],10,FALSE)</f>
        <v>Active</v>
      </c>
      <c r="H1288" s="44" t="s">
        <v>2329</v>
      </c>
      <c r="I1288" s="44" t="s">
        <v>2330</v>
      </c>
      <c r="J1288" s="44" t="s">
        <v>2357</v>
      </c>
      <c r="K1288" s="44" t="s">
        <v>3544</v>
      </c>
      <c r="L1288" s="44" t="s">
        <v>2333</v>
      </c>
      <c r="M1288" s="43">
        <v>57</v>
      </c>
      <c r="N1288" s="113" t="s">
        <v>1113</v>
      </c>
      <c r="O1288" s="113"/>
      <c r="P1288" s="113"/>
      <c r="Q1288" s="113"/>
      <c r="R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t="s">
        <v>1113</v>
      </c>
      <c r="AL1288" s="113"/>
      <c r="AM1288" s="113"/>
      <c r="AN1288" s="113"/>
      <c r="AO1288" s="44" t="s">
        <v>2334</v>
      </c>
      <c r="AP1288" s="43"/>
      <c r="AQ1288" s="236" t="str">
        <f>VLOOKUP(Table8[[#This Row],[Instrument]],Def_Targets!$D$73:$E$159,2,FALSE)</f>
        <v>I_Biofuel</v>
      </c>
      <c r="AR1288" s="233" t="str">
        <f>VLOOKUP(Table8[[#This Row],[Country Code]],Table29[],3,FALSE)</f>
        <v>Non-Annex I</v>
      </c>
      <c r="AS1288" s="233" t="str">
        <f>VLOOKUP(Table8[[#This Row],[Country Code]],Table29[],4,FALSE)</f>
        <v>Africa</v>
      </c>
      <c r="AT1288" s="233" t="str">
        <f>VLOOKUP(Table8[[#This Row],[Country Code]],Table29[],5,FALSE)</f>
        <v>Low-income</v>
      </c>
      <c r="AU1288" s="233" t="str">
        <f>VLOOKUP(Table8[[#This Row],[Country Code]],Table29[],6,FALSE)</f>
        <v>no</v>
      </c>
      <c r="AV1288" s="233" t="str">
        <f>VLOOKUP(Table8[[#This Row],[Country Code]],Table29[],7,FALSE)</f>
        <v>no</v>
      </c>
      <c r="AW1288" s="233" t="str">
        <f>VLOOKUP(Table8[[#This Row],[Country Code]],Table29[],8,FALSE)</f>
        <v>non-OECD</v>
      </c>
      <c r="AX1288" s="233" t="str">
        <f>VLOOKUP(Table8[[#This Row],[Country Code]],Table29[],9,FALSE)</f>
        <v>no</v>
      </c>
      <c r="AY1288" s="233" t="str">
        <f>VLOOKUP(Table8[[#This Row],[Country Code]],Table29[],10,FALSE)</f>
        <v>no</v>
      </c>
      <c r="AZ1288" s="235">
        <f>VLOOKUP(Table8[[#This Row],[Country Code]],Table29[],23,FALSE)</f>
        <v>45.463097500300002</v>
      </c>
      <c r="BA1288" s="235">
        <f>VLOOKUP(Table8[[#This Row],[Country Code]],Table29[],24,FALSE)</f>
        <v>3.3931668151860381</v>
      </c>
      <c r="BB1288" s="320"/>
      <c r="BC1288" s="320"/>
    </row>
    <row r="1289" spans="1:55" hidden="1" x14ac:dyDescent="0.25">
      <c r="A1289" s="373">
        <v>26796</v>
      </c>
      <c r="B1289" s="233" t="str">
        <f>VLOOKUP(Table8[[#This Row],[Document ID]],Table1[],2,FALSE)</f>
        <v>JPN</v>
      </c>
      <c r="C1289" s="233" t="str">
        <f>VLOOKUP(Table8[[#This Row],[Document ID]],Table1[],3,FALSE)</f>
        <v>Japan</v>
      </c>
      <c r="D1289" s="243" t="str">
        <f>VLOOKUP(Table8[[#This Row],[Document ID]],Table1[],5,FALSE)</f>
        <v>LTS</v>
      </c>
      <c r="E1289" s="233" t="str">
        <f>VLOOKUP(Table8[[#This Row],[Document ID]],Table1[],7,FALSE)</f>
        <v>LTS</v>
      </c>
      <c r="F1289" s="236" t="str">
        <f>VLOOKUP(Table8[[#This Row],[Document ID]],Table1[],8,FALSE)</f>
        <v>LTS 1.1</v>
      </c>
      <c r="G1289" s="236" t="str">
        <f>VLOOKUP(Table8[[#This Row],[Document ID]],Table1[],10,FALSE)</f>
        <v>Active</v>
      </c>
      <c r="H1289" s="44" t="s">
        <v>2329</v>
      </c>
      <c r="I1289" s="44" t="s">
        <v>2330</v>
      </c>
      <c r="J1289" s="44" t="s">
        <v>2391</v>
      </c>
      <c r="K1289" s="44" t="s">
        <v>3545</v>
      </c>
      <c r="L1289" s="44" t="s">
        <v>2333</v>
      </c>
      <c r="M1289" s="43">
        <v>40</v>
      </c>
      <c r="N1289" s="113"/>
      <c r="O1289" s="113"/>
      <c r="P1289" s="113"/>
      <c r="Q1289" s="113"/>
      <c r="R1289" s="113"/>
      <c r="S1289" s="113"/>
      <c r="T1289" s="113"/>
      <c r="U1289" s="113"/>
      <c r="V1289" s="113"/>
      <c r="W1289" s="113"/>
      <c r="X1289" s="113" t="s">
        <v>1113</v>
      </c>
      <c r="Y1289" s="113"/>
      <c r="Z1289" s="113"/>
      <c r="AA1289" s="113"/>
      <c r="AB1289" s="113"/>
      <c r="AC1289" s="113"/>
      <c r="AD1289" s="113"/>
      <c r="AE1289" s="113"/>
      <c r="AF1289" s="113"/>
      <c r="AG1289" s="113"/>
      <c r="AH1289" s="113"/>
      <c r="AI1289" s="113"/>
      <c r="AJ1289" s="113"/>
      <c r="AK1289" s="113"/>
      <c r="AL1289" s="113"/>
      <c r="AM1289" s="113"/>
      <c r="AN1289" s="113" t="s">
        <v>1113</v>
      </c>
      <c r="AO1289" s="43" t="s">
        <v>2353</v>
      </c>
      <c r="AP1289" s="43"/>
      <c r="AQ1289" s="236" t="str">
        <f>VLOOKUP(Table8[[#This Row],[Instrument]],Def_Targets!$D$73:$E$159,2,FALSE)</f>
        <v>I_Hydrogen</v>
      </c>
      <c r="AR1289" s="233" t="str">
        <f>VLOOKUP(Table8[[#This Row],[Country Code]],Table29[],3,FALSE)</f>
        <v>Annex I</v>
      </c>
      <c r="AS1289" s="233" t="str">
        <f>VLOOKUP(Table8[[#This Row],[Country Code]],Table29[],4,FALSE)</f>
        <v>Asia</v>
      </c>
      <c r="AT1289" s="233" t="str">
        <f>VLOOKUP(Table8[[#This Row],[Country Code]],Table29[],5,FALSE)</f>
        <v>High-income</v>
      </c>
      <c r="AU1289" s="233" t="str">
        <f>VLOOKUP(Table8[[#This Row],[Country Code]],Table29[],6,FALSE)</f>
        <v>G20</v>
      </c>
      <c r="AV1289" s="233" t="str">
        <f>VLOOKUP(Table8[[#This Row],[Country Code]],Table29[],7,FALSE)</f>
        <v>G7</v>
      </c>
      <c r="AW1289" s="233" t="str">
        <f>VLOOKUP(Table8[[#This Row],[Country Code]],Table29[],8,FALSE)</f>
        <v>OECD</v>
      </c>
      <c r="AX1289" s="233" t="str">
        <f>VLOOKUP(Table8[[#This Row],[Country Code]],Table29[],9,FALSE)</f>
        <v>no</v>
      </c>
      <c r="AY1289" s="233" t="str">
        <f>VLOOKUP(Table8[[#This Row],[Country Code]],Table29[],10,FALSE)</f>
        <v>no</v>
      </c>
      <c r="AZ1289" s="235">
        <f>VLOOKUP(Table8[[#This Row],[Country Code]],Table29[],23,FALSE)</f>
        <v>1041.0128248686999</v>
      </c>
      <c r="BA1289" s="235">
        <f>VLOOKUP(Table8[[#This Row],[Country Code]],Table29[],24,FALSE)</f>
        <v>181.96191357547141</v>
      </c>
      <c r="BB1289" s="320"/>
      <c r="BC1289" s="320"/>
    </row>
    <row r="1290" spans="1:55" ht="30" hidden="1" x14ac:dyDescent="0.25">
      <c r="A1290" s="373">
        <v>26796</v>
      </c>
      <c r="B1290" s="233" t="str">
        <f>VLOOKUP(Table8[[#This Row],[Document ID]],Table1[],2,FALSE)</f>
        <v>JPN</v>
      </c>
      <c r="C1290" s="233" t="str">
        <f>VLOOKUP(Table8[[#This Row],[Document ID]],Table1[],3,FALSE)</f>
        <v>Japan</v>
      </c>
      <c r="D1290" s="243" t="str">
        <f>VLOOKUP(Table8[[#This Row],[Document ID]],Table1[],5,FALSE)</f>
        <v>LTS</v>
      </c>
      <c r="E1290" s="233" t="str">
        <f>VLOOKUP(Table8[[#This Row],[Document ID]],Table1[],7,FALSE)</f>
        <v>LTS</v>
      </c>
      <c r="F1290" s="236" t="str">
        <f>VLOOKUP(Table8[[#This Row],[Document ID]],Table1[],8,FALSE)</f>
        <v>LTS 1.1</v>
      </c>
      <c r="G1290" s="236" t="str">
        <f>VLOOKUP(Table8[[#This Row],[Document ID]],Table1[],10,FALSE)</f>
        <v>Active</v>
      </c>
      <c r="H1290" s="43" t="s">
        <v>2343</v>
      </c>
      <c r="I1290" s="43" t="s">
        <v>2429</v>
      </c>
      <c r="J1290" s="44" t="s">
        <v>2472</v>
      </c>
      <c r="K1290" s="44" t="s">
        <v>3546</v>
      </c>
      <c r="L1290" s="44" t="s">
        <v>2333</v>
      </c>
      <c r="M1290" s="43">
        <v>40</v>
      </c>
      <c r="N1290" s="113"/>
      <c r="O1290" s="113"/>
      <c r="P1290" s="113"/>
      <c r="Q1290" s="113"/>
      <c r="R1290" s="113"/>
      <c r="S1290" s="113"/>
      <c r="T1290" s="113"/>
      <c r="U1290" s="113" t="s">
        <v>1113</v>
      </c>
      <c r="V1290" s="113"/>
      <c r="W1290" s="113"/>
      <c r="X1290" s="113"/>
      <c r="Y1290" s="113"/>
      <c r="Z1290" s="113"/>
      <c r="AA1290" s="113"/>
      <c r="AB1290" s="113"/>
      <c r="AC1290" s="113"/>
      <c r="AD1290" s="113"/>
      <c r="AE1290" s="113"/>
      <c r="AF1290" s="113"/>
      <c r="AG1290" s="113"/>
      <c r="AH1290" s="113"/>
      <c r="AI1290" s="113"/>
      <c r="AJ1290" s="113"/>
      <c r="AK1290" s="113"/>
      <c r="AL1290" s="113" t="s">
        <v>1113</v>
      </c>
      <c r="AM1290" s="113"/>
      <c r="AN1290" s="113"/>
      <c r="AO1290" s="43" t="s">
        <v>2348</v>
      </c>
      <c r="AP1290" s="43"/>
      <c r="AQ1290" s="236" t="str">
        <f>VLOOKUP(Table8[[#This Row],[Instrument]],Def_Targets!$D$73:$E$159,2,FALSE)</f>
        <v>I_Other</v>
      </c>
      <c r="AR1290" s="233" t="str">
        <f>VLOOKUP(Table8[[#This Row],[Country Code]],Table29[],3,FALSE)</f>
        <v>Annex I</v>
      </c>
      <c r="AS1290" s="233" t="str">
        <f>VLOOKUP(Table8[[#This Row],[Country Code]],Table29[],4,FALSE)</f>
        <v>Asia</v>
      </c>
      <c r="AT1290" s="233" t="str">
        <f>VLOOKUP(Table8[[#This Row],[Country Code]],Table29[],5,FALSE)</f>
        <v>High-income</v>
      </c>
      <c r="AU1290" s="233" t="str">
        <f>VLOOKUP(Table8[[#This Row],[Country Code]],Table29[],6,FALSE)</f>
        <v>G20</v>
      </c>
      <c r="AV1290" s="233" t="str">
        <f>VLOOKUP(Table8[[#This Row],[Country Code]],Table29[],7,FALSE)</f>
        <v>G7</v>
      </c>
      <c r="AW1290" s="233" t="str">
        <f>VLOOKUP(Table8[[#This Row],[Country Code]],Table29[],8,FALSE)</f>
        <v>OECD</v>
      </c>
      <c r="AX1290" s="233" t="str">
        <f>VLOOKUP(Table8[[#This Row],[Country Code]],Table29[],9,FALSE)</f>
        <v>no</v>
      </c>
      <c r="AY1290" s="233" t="str">
        <f>VLOOKUP(Table8[[#This Row],[Country Code]],Table29[],10,FALSE)</f>
        <v>no</v>
      </c>
      <c r="AZ1290" s="235">
        <f>VLOOKUP(Table8[[#This Row],[Country Code]],Table29[],23,FALSE)</f>
        <v>1041.0128248686999</v>
      </c>
      <c r="BA1290" s="235">
        <f>VLOOKUP(Table8[[#This Row],[Country Code]],Table29[],24,FALSE)</f>
        <v>181.96191357547141</v>
      </c>
      <c r="BB1290" s="320"/>
      <c r="BC1290" s="320"/>
    </row>
    <row r="1291" spans="1:55" ht="60" hidden="1" x14ac:dyDescent="0.25">
      <c r="A1291" s="373">
        <v>26796</v>
      </c>
      <c r="B1291" s="233" t="str">
        <f>VLOOKUP(Table8[[#This Row],[Document ID]],Table1[],2,FALSE)</f>
        <v>JPN</v>
      </c>
      <c r="C1291" s="233" t="str">
        <f>VLOOKUP(Table8[[#This Row],[Document ID]],Table1[],3,FALSE)</f>
        <v>Japan</v>
      </c>
      <c r="D1291" s="243" t="str">
        <f>VLOOKUP(Table8[[#This Row],[Document ID]],Table1[],5,FALSE)</f>
        <v>LTS</v>
      </c>
      <c r="E1291" s="233" t="str">
        <f>VLOOKUP(Table8[[#This Row],[Document ID]],Table1[],7,FALSE)</f>
        <v>LTS</v>
      </c>
      <c r="F1291" s="236" t="str">
        <f>VLOOKUP(Table8[[#This Row],[Document ID]],Table1[],8,FALSE)</f>
        <v>LTS 1.1</v>
      </c>
      <c r="G1291" s="236" t="str">
        <f>VLOOKUP(Table8[[#This Row],[Document ID]],Table1[],10,FALSE)</f>
        <v>Active</v>
      </c>
      <c r="H1291" s="43" t="s">
        <v>2358</v>
      </c>
      <c r="I1291" s="43" t="s">
        <v>2359</v>
      </c>
      <c r="J1291" s="44" t="s">
        <v>2383</v>
      </c>
      <c r="K1291" s="44" t="s">
        <v>3547</v>
      </c>
      <c r="L1291" s="44" t="s">
        <v>2333</v>
      </c>
      <c r="M1291" s="43">
        <v>40</v>
      </c>
      <c r="N1291" s="113" t="s">
        <v>1113</v>
      </c>
      <c r="O1291" s="113"/>
      <c r="P1291" s="113"/>
      <c r="Q1291" s="113"/>
      <c r="R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t="s">
        <v>1113</v>
      </c>
      <c r="AL1291" s="113"/>
      <c r="AM1291" s="113"/>
      <c r="AN1291" s="113"/>
      <c r="AO1291" s="44" t="s">
        <v>2334</v>
      </c>
      <c r="AP1291" s="43"/>
      <c r="AQ1291" s="236" t="str">
        <f>VLOOKUP(Table8[[#This Row],[Instrument]],Def_Targets!$D$73:$E$159,2,FALSE)</f>
        <v>I_Emobilitycharging</v>
      </c>
      <c r="AR1291" s="233" t="str">
        <f>VLOOKUP(Table8[[#This Row],[Country Code]],Table29[],3,FALSE)</f>
        <v>Annex I</v>
      </c>
      <c r="AS1291" s="233" t="str">
        <f>VLOOKUP(Table8[[#This Row],[Country Code]],Table29[],4,FALSE)</f>
        <v>Asia</v>
      </c>
      <c r="AT1291" s="233" t="str">
        <f>VLOOKUP(Table8[[#This Row],[Country Code]],Table29[],5,FALSE)</f>
        <v>High-income</v>
      </c>
      <c r="AU1291" s="233" t="str">
        <f>VLOOKUP(Table8[[#This Row],[Country Code]],Table29[],6,FALSE)</f>
        <v>G20</v>
      </c>
      <c r="AV1291" s="233" t="str">
        <f>VLOOKUP(Table8[[#This Row],[Country Code]],Table29[],7,FALSE)</f>
        <v>G7</v>
      </c>
      <c r="AW1291" s="233" t="str">
        <f>VLOOKUP(Table8[[#This Row],[Country Code]],Table29[],8,FALSE)</f>
        <v>OECD</v>
      </c>
      <c r="AX1291" s="233" t="str">
        <f>VLOOKUP(Table8[[#This Row],[Country Code]],Table29[],9,FALSE)</f>
        <v>no</v>
      </c>
      <c r="AY1291" s="233" t="str">
        <f>VLOOKUP(Table8[[#This Row],[Country Code]],Table29[],10,FALSE)</f>
        <v>no</v>
      </c>
      <c r="AZ1291" s="235">
        <f>VLOOKUP(Table8[[#This Row],[Country Code]],Table29[],23,FALSE)</f>
        <v>1041.0128248686999</v>
      </c>
      <c r="BA1291" s="235">
        <f>VLOOKUP(Table8[[#This Row],[Country Code]],Table29[],24,FALSE)</f>
        <v>181.96191357547141</v>
      </c>
      <c r="BB1291" s="320"/>
      <c r="BC1291" s="320"/>
    </row>
    <row r="1292" spans="1:55" ht="30" hidden="1" x14ac:dyDescent="0.25">
      <c r="A1292" s="373">
        <v>26796</v>
      </c>
      <c r="B1292" s="233" t="str">
        <f>VLOOKUP(Table8[[#This Row],[Document ID]],Table1[],2,FALSE)</f>
        <v>JPN</v>
      </c>
      <c r="C1292" s="233" t="str">
        <f>VLOOKUP(Table8[[#This Row],[Document ID]],Table1[],3,FALSE)</f>
        <v>Japan</v>
      </c>
      <c r="D1292" s="243" t="str">
        <f>VLOOKUP(Table8[[#This Row],[Document ID]],Table1[],5,FALSE)</f>
        <v>LTS</v>
      </c>
      <c r="E1292" s="233" t="str">
        <f>VLOOKUP(Table8[[#This Row],[Document ID]],Table1[],7,FALSE)</f>
        <v>LTS</v>
      </c>
      <c r="F1292" s="236" t="str">
        <f>VLOOKUP(Table8[[#This Row],[Document ID]],Table1[],8,FALSE)</f>
        <v>LTS 1.1</v>
      </c>
      <c r="G1292" s="236" t="str">
        <f>VLOOKUP(Table8[[#This Row],[Document ID]],Table1[],10,FALSE)</f>
        <v>Active</v>
      </c>
      <c r="H1292" s="43" t="s">
        <v>2343</v>
      </c>
      <c r="I1292" s="43" t="s">
        <v>2429</v>
      </c>
      <c r="J1292" s="44" t="s">
        <v>2430</v>
      </c>
      <c r="K1292" s="44" t="s">
        <v>3548</v>
      </c>
      <c r="L1292" s="44" t="s">
        <v>2333</v>
      </c>
      <c r="M1292" s="43">
        <v>41</v>
      </c>
      <c r="N1292" s="113" t="s">
        <v>1113</v>
      </c>
      <c r="O1292" s="113"/>
      <c r="P1292" s="113"/>
      <c r="Q1292" s="113"/>
      <c r="R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t="s">
        <v>1113</v>
      </c>
      <c r="AL1292" s="113"/>
      <c r="AM1292" s="113"/>
      <c r="AN1292" s="113"/>
      <c r="AO1292" s="44" t="s">
        <v>2334</v>
      </c>
      <c r="AP1292" s="43"/>
      <c r="AQ1292" s="236" t="str">
        <f>VLOOKUP(Table8[[#This Row],[Instrument]],Def_Targets!$D$73:$E$159,2,FALSE)</f>
        <v>I_ITS</v>
      </c>
      <c r="AR1292" s="233" t="str">
        <f>VLOOKUP(Table8[[#This Row],[Country Code]],Table29[],3,FALSE)</f>
        <v>Annex I</v>
      </c>
      <c r="AS1292" s="233" t="str">
        <f>VLOOKUP(Table8[[#This Row],[Country Code]],Table29[],4,FALSE)</f>
        <v>Asia</v>
      </c>
      <c r="AT1292" s="233" t="str">
        <f>VLOOKUP(Table8[[#This Row],[Country Code]],Table29[],5,FALSE)</f>
        <v>High-income</v>
      </c>
      <c r="AU1292" s="233" t="str">
        <f>VLOOKUP(Table8[[#This Row],[Country Code]],Table29[],6,FALSE)</f>
        <v>G20</v>
      </c>
      <c r="AV1292" s="233" t="str">
        <f>VLOOKUP(Table8[[#This Row],[Country Code]],Table29[],7,FALSE)</f>
        <v>G7</v>
      </c>
      <c r="AW1292" s="233" t="str">
        <f>VLOOKUP(Table8[[#This Row],[Country Code]],Table29[],8,FALSE)</f>
        <v>OECD</v>
      </c>
      <c r="AX1292" s="233" t="str">
        <f>VLOOKUP(Table8[[#This Row],[Country Code]],Table29[],9,FALSE)</f>
        <v>no</v>
      </c>
      <c r="AY1292" s="233" t="str">
        <f>VLOOKUP(Table8[[#This Row],[Country Code]],Table29[],10,FALSE)</f>
        <v>no</v>
      </c>
      <c r="AZ1292" s="235">
        <f>VLOOKUP(Table8[[#This Row],[Country Code]],Table29[],23,FALSE)</f>
        <v>1041.0128248686999</v>
      </c>
      <c r="BA1292" s="235">
        <f>VLOOKUP(Table8[[#This Row],[Country Code]],Table29[],24,FALSE)</f>
        <v>181.96191357547141</v>
      </c>
      <c r="BB1292" s="320"/>
      <c r="BC1292" s="320"/>
    </row>
    <row r="1293" spans="1:55" ht="45" hidden="1" x14ac:dyDescent="0.25">
      <c r="A1293" s="373">
        <v>26796</v>
      </c>
      <c r="B1293" s="233" t="str">
        <f>VLOOKUP(Table8[[#This Row],[Document ID]],Table1[],2,FALSE)</f>
        <v>JPN</v>
      </c>
      <c r="C1293" s="233" t="str">
        <f>VLOOKUP(Table8[[#This Row],[Document ID]],Table1[],3,FALSE)</f>
        <v>Japan</v>
      </c>
      <c r="D1293" s="243" t="str">
        <f>VLOOKUP(Table8[[#This Row],[Document ID]],Table1[],5,FALSE)</f>
        <v>LTS</v>
      </c>
      <c r="E1293" s="233" t="str">
        <f>VLOOKUP(Table8[[#This Row],[Document ID]],Table1[],7,FALSE)</f>
        <v>LTS</v>
      </c>
      <c r="F1293" s="236" t="str">
        <f>VLOOKUP(Table8[[#This Row],[Document ID]],Table1[],8,FALSE)</f>
        <v>LTS 1.1</v>
      </c>
      <c r="G1293" s="236" t="str">
        <f>VLOOKUP(Table8[[#This Row],[Document ID]],Table1[],10,FALSE)</f>
        <v>Active</v>
      </c>
      <c r="H1293" s="43" t="s">
        <v>2350</v>
      </c>
      <c r="I1293" s="43" t="s">
        <v>2370</v>
      </c>
      <c r="J1293" s="44" t="s">
        <v>2418</v>
      </c>
      <c r="K1293" s="44" t="s">
        <v>3549</v>
      </c>
      <c r="L1293" s="44" t="s">
        <v>2380</v>
      </c>
      <c r="M1293" s="43">
        <v>41</v>
      </c>
      <c r="N1293" s="113" t="s">
        <v>1113</v>
      </c>
      <c r="O1293" s="113"/>
      <c r="P1293" s="113"/>
      <c r="Q1293" s="113"/>
      <c r="R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t="s">
        <v>1113</v>
      </c>
      <c r="AL1293" s="113"/>
      <c r="AM1293" s="113"/>
      <c r="AN1293" s="113"/>
      <c r="AO1293" s="44" t="s">
        <v>2334</v>
      </c>
      <c r="AP1293" s="43"/>
      <c r="AQ1293" s="236" t="str">
        <f>VLOOKUP(Table8[[#This Row],[Instrument]],Def_Targets!$D$73:$E$159,2,FALSE)</f>
        <v>A_Complan</v>
      </c>
      <c r="AR1293" s="233" t="str">
        <f>VLOOKUP(Table8[[#This Row],[Country Code]],Table29[],3,FALSE)</f>
        <v>Annex I</v>
      </c>
      <c r="AS1293" s="233" t="str">
        <f>VLOOKUP(Table8[[#This Row],[Country Code]],Table29[],4,FALSE)</f>
        <v>Asia</v>
      </c>
      <c r="AT1293" s="233" t="str">
        <f>VLOOKUP(Table8[[#This Row],[Country Code]],Table29[],5,FALSE)</f>
        <v>High-income</v>
      </c>
      <c r="AU1293" s="233" t="str">
        <f>VLOOKUP(Table8[[#This Row],[Country Code]],Table29[],6,FALSE)</f>
        <v>G20</v>
      </c>
      <c r="AV1293" s="233" t="str">
        <f>VLOOKUP(Table8[[#This Row],[Country Code]],Table29[],7,FALSE)</f>
        <v>G7</v>
      </c>
      <c r="AW1293" s="233" t="str">
        <f>VLOOKUP(Table8[[#This Row],[Country Code]],Table29[],8,FALSE)</f>
        <v>OECD</v>
      </c>
      <c r="AX1293" s="233" t="str">
        <f>VLOOKUP(Table8[[#This Row],[Country Code]],Table29[],9,FALSE)</f>
        <v>no</v>
      </c>
      <c r="AY1293" s="233" t="str">
        <f>VLOOKUP(Table8[[#This Row],[Country Code]],Table29[],10,FALSE)</f>
        <v>no</v>
      </c>
      <c r="AZ1293" s="235">
        <f>VLOOKUP(Table8[[#This Row],[Country Code]],Table29[],23,FALSE)</f>
        <v>1041.0128248686999</v>
      </c>
      <c r="BA1293" s="235">
        <f>VLOOKUP(Table8[[#This Row],[Country Code]],Table29[],24,FALSE)</f>
        <v>181.96191357547141</v>
      </c>
      <c r="BB1293" s="320"/>
      <c r="BC1293" s="320"/>
    </row>
    <row r="1294" spans="1:55" ht="30" hidden="1" x14ac:dyDescent="0.25">
      <c r="A1294" s="373">
        <v>26796</v>
      </c>
      <c r="B1294" s="233" t="str">
        <f>VLOOKUP(Table8[[#This Row],[Document ID]],Table1[],2,FALSE)</f>
        <v>JPN</v>
      </c>
      <c r="C1294" s="233" t="str">
        <f>VLOOKUP(Table8[[#This Row],[Document ID]],Table1[],3,FALSE)</f>
        <v>Japan</v>
      </c>
      <c r="D1294" s="243" t="str">
        <f>VLOOKUP(Table8[[#This Row],[Document ID]],Table1[],5,FALSE)</f>
        <v>LTS</v>
      </c>
      <c r="E1294" s="233" t="str">
        <f>VLOOKUP(Table8[[#This Row],[Document ID]],Table1[],7,FALSE)</f>
        <v>LTS</v>
      </c>
      <c r="F1294" s="236" t="str">
        <f>VLOOKUP(Table8[[#This Row],[Document ID]],Table1[],8,FALSE)</f>
        <v>LTS 1.1</v>
      </c>
      <c r="G1294" s="236" t="str">
        <f>VLOOKUP(Table8[[#This Row],[Document ID]],Table1[],10,FALSE)</f>
        <v>Active</v>
      </c>
      <c r="H1294" s="44" t="s">
        <v>2329</v>
      </c>
      <c r="I1294" s="44" t="s">
        <v>2330</v>
      </c>
      <c r="J1294" s="44" t="s">
        <v>2391</v>
      </c>
      <c r="K1294" s="44" t="s">
        <v>3550</v>
      </c>
      <c r="L1294" s="44" t="s">
        <v>2333</v>
      </c>
      <c r="M1294" s="43">
        <v>42</v>
      </c>
      <c r="N1294" s="113"/>
      <c r="O1294" s="113"/>
      <c r="P1294" s="113"/>
      <c r="Q1294" s="113"/>
      <c r="R1294" s="113"/>
      <c r="S1294" s="113"/>
      <c r="T1294" s="113"/>
      <c r="U1294" s="113"/>
      <c r="V1294" s="113"/>
      <c r="W1294" s="113"/>
      <c r="X1294" s="113"/>
      <c r="Y1294" s="113"/>
      <c r="Z1294" s="113" t="s">
        <v>1113</v>
      </c>
      <c r="AA1294" s="113"/>
      <c r="AB1294" s="113"/>
      <c r="AC1294" s="113"/>
      <c r="AD1294" s="113"/>
      <c r="AE1294" s="113"/>
      <c r="AF1294" s="113"/>
      <c r="AG1294" s="113"/>
      <c r="AH1294" s="113"/>
      <c r="AI1294" s="113"/>
      <c r="AJ1294" s="113"/>
      <c r="AK1294" s="113" t="s">
        <v>1113</v>
      </c>
      <c r="AL1294" s="113"/>
      <c r="AM1294" s="113"/>
      <c r="AN1294" s="113"/>
      <c r="AO1294" s="44" t="s">
        <v>2334</v>
      </c>
      <c r="AP1294" s="43"/>
      <c r="AQ1294" s="236" t="str">
        <f>VLOOKUP(Table8[[#This Row],[Instrument]],Def_Targets!$D$73:$E$159,2,FALSE)</f>
        <v>I_Hydrogen</v>
      </c>
      <c r="AR1294" s="233" t="str">
        <f>VLOOKUP(Table8[[#This Row],[Country Code]],Table29[],3,FALSE)</f>
        <v>Annex I</v>
      </c>
      <c r="AS1294" s="233" t="str">
        <f>VLOOKUP(Table8[[#This Row],[Country Code]],Table29[],4,FALSE)</f>
        <v>Asia</v>
      </c>
      <c r="AT1294" s="233" t="str">
        <f>VLOOKUP(Table8[[#This Row],[Country Code]],Table29[],5,FALSE)</f>
        <v>High-income</v>
      </c>
      <c r="AU1294" s="233" t="str">
        <f>VLOOKUP(Table8[[#This Row],[Country Code]],Table29[],6,FALSE)</f>
        <v>G20</v>
      </c>
      <c r="AV1294" s="233" t="str">
        <f>VLOOKUP(Table8[[#This Row],[Country Code]],Table29[],7,FALSE)</f>
        <v>G7</v>
      </c>
      <c r="AW1294" s="233" t="str">
        <f>VLOOKUP(Table8[[#This Row],[Country Code]],Table29[],8,FALSE)</f>
        <v>OECD</v>
      </c>
      <c r="AX1294" s="233" t="str">
        <f>VLOOKUP(Table8[[#This Row],[Country Code]],Table29[],9,FALSE)</f>
        <v>no</v>
      </c>
      <c r="AY1294" s="233" t="str">
        <f>VLOOKUP(Table8[[#This Row],[Country Code]],Table29[],10,FALSE)</f>
        <v>no</v>
      </c>
      <c r="AZ1294" s="235">
        <f>VLOOKUP(Table8[[#This Row],[Country Code]],Table29[],23,FALSE)</f>
        <v>1041.0128248686999</v>
      </c>
      <c r="BA1294" s="235">
        <f>VLOOKUP(Table8[[#This Row],[Country Code]],Table29[],24,FALSE)</f>
        <v>181.96191357547141</v>
      </c>
      <c r="BB1294" s="320"/>
      <c r="BC1294" s="320"/>
    </row>
    <row r="1295" spans="1:55" hidden="1" x14ac:dyDescent="0.25">
      <c r="A1295" s="373">
        <v>26796</v>
      </c>
      <c r="B1295" s="233" t="str">
        <f>VLOOKUP(Table8[[#This Row],[Document ID]],Table1[],2,FALSE)</f>
        <v>JPN</v>
      </c>
      <c r="C1295" s="233" t="str">
        <f>VLOOKUP(Table8[[#This Row],[Document ID]],Table1[],3,FALSE)</f>
        <v>Japan</v>
      </c>
      <c r="D1295" s="243" t="str">
        <f>VLOOKUP(Table8[[#This Row],[Document ID]],Table1[],5,FALSE)</f>
        <v>LTS</v>
      </c>
      <c r="E1295" s="233" t="str">
        <f>VLOOKUP(Table8[[#This Row],[Document ID]],Table1[],7,FALSE)</f>
        <v>LTS</v>
      </c>
      <c r="F1295" s="236" t="str">
        <f>VLOOKUP(Table8[[#This Row],[Document ID]],Table1[],8,FALSE)</f>
        <v>LTS 1.1</v>
      </c>
      <c r="G1295" s="236" t="str">
        <f>VLOOKUP(Table8[[#This Row],[Document ID]],Table1[],10,FALSE)</f>
        <v>Active</v>
      </c>
      <c r="H1295" s="44" t="s">
        <v>2329</v>
      </c>
      <c r="I1295" s="44" t="s">
        <v>2330</v>
      </c>
      <c r="J1295" s="44" t="s">
        <v>2381</v>
      </c>
      <c r="K1295" s="44" t="s">
        <v>3551</v>
      </c>
      <c r="L1295" s="44" t="s">
        <v>2333</v>
      </c>
      <c r="M1295" s="43">
        <v>42</v>
      </c>
      <c r="N1295" s="113"/>
      <c r="O1295" s="113"/>
      <c r="P1295" s="113"/>
      <c r="Q1295" s="113"/>
      <c r="R1295" s="113"/>
      <c r="S1295" s="113"/>
      <c r="T1295" s="113"/>
      <c r="U1295" s="113"/>
      <c r="V1295" s="113"/>
      <c r="W1295" s="113"/>
      <c r="X1295" s="113"/>
      <c r="Y1295" s="113"/>
      <c r="Z1295" s="113" t="s">
        <v>1113</v>
      </c>
      <c r="AA1295" s="113"/>
      <c r="AB1295" s="113"/>
      <c r="AC1295" s="113"/>
      <c r="AD1295" s="113"/>
      <c r="AE1295" s="113"/>
      <c r="AF1295" s="113"/>
      <c r="AG1295" s="113"/>
      <c r="AH1295" s="113"/>
      <c r="AI1295" s="113"/>
      <c r="AJ1295" s="113"/>
      <c r="AK1295" s="113" t="s">
        <v>1113</v>
      </c>
      <c r="AL1295" s="113"/>
      <c r="AM1295" s="113"/>
      <c r="AN1295" s="113"/>
      <c r="AO1295" s="44" t="s">
        <v>2334</v>
      </c>
      <c r="AP1295" s="43"/>
      <c r="AQ1295" s="236" t="str">
        <f>VLOOKUP(Table8[[#This Row],[Instrument]],Def_Targets!$D$73:$E$159,2,FALSE)</f>
        <v>I_RE</v>
      </c>
      <c r="AR1295" s="233" t="str">
        <f>VLOOKUP(Table8[[#This Row],[Country Code]],Table29[],3,FALSE)</f>
        <v>Annex I</v>
      </c>
      <c r="AS1295" s="233" t="str">
        <f>VLOOKUP(Table8[[#This Row],[Country Code]],Table29[],4,FALSE)</f>
        <v>Asia</v>
      </c>
      <c r="AT1295" s="233" t="str">
        <f>VLOOKUP(Table8[[#This Row],[Country Code]],Table29[],5,FALSE)</f>
        <v>High-income</v>
      </c>
      <c r="AU1295" s="233" t="str">
        <f>VLOOKUP(Table8[[#This Row],[Country Code]],Table29[],6,FALSE)</f>
        <v>G20</v>
      </c>
      <c r="AV1295" s="233" t="str">
        <f>VLOOKUP(Table8[[#This Row],[Country Code]],Table29[],7,FALSE)</f>
        <v>G7</v>
      </c>
      <c r="AW1295" s="233" t="str">
        <f>VLOOKUP(Table8[[#This Row],[Country Code]],Table29[],8,FALSE)</f>
        <v>OECD</v>
      </c>
      <c r="AX1295" s="233" t="str">
        <f>VLOOKUP(Table8[[#This Row],[Country Code]],Table29[],9,FALSE)</f>
        <v>no</v>
      </c>
      <c r="AY1295" s="233" t="str">
        <f>VLOOKUP(Table8[[#This Row],[Country Code]],Table29[],10,FALSE)</f>
        <v>no</v>
      </c>
      <c r="AZ1295" s="235">
        <f>VLOOKUP(Table8[[#This Row],[Country Code]],Table29[],23,FALSE)</f>
        <v>1041.0128248686999</v>
      </c>
      <c r="BA1295" s="235">
        <f>VLOOKUP(Table8[[#This Row],[Country Code]],Table29[],24,FALSE)</f>
        <v>181.96191357547141</v>
      </c>
      <c r="BB1295" s="320"/>
      <c r="BC1295" s="320"/>
    </row>
    <row r="1296" spans="1:55" ht="30" hidden="1" x14ac:dyDescent="0.25">
      <c r="A1296" s="373">
        <v>26796</v>
      </c>
      <c r="B1296" s="233" t="str">
        <f>VLOOKUP(Table8[[#This Row],[Document ID]],Table1[],2,FALSE)</f>
        <v>JPN</v>
      </c>
      <c r="C1296" s="233" t="str">
        <f>VLOOKUP(Table8[[#This Row],[Document ID]],Table1[],3,FALSE)</f>
        <v>Japan</v>
      </c>
      <c r="D1296" s="243" t="str">
        <f>VLOOKUP(Table8[[#This Row],[Document ID]],Table1[],5,FALSE)</f>
        <v>LTS</v>
      </c>
      <c r="E1296" s="233" t="str">
        <f>VLOOKUP(Table8[[#This Row],[Document ID]],Table1[],7,FALSE)</f>
        <v>LTS</v>
      </c>
      <c r="F1296" s="236" t="str">
        <f>VLOOKUP(Table8[[#This Row],[Document ID]],Table1[],8,FALSE)</f>
        <v>LTS 1.1</v>
      </c>
      <c r="G1296" s="236" t="str">
        <f>VLOOKUP(Table8[[#This Row],[Document ID]],Table1[],10,FALSE)</f>
        <v>Active</v>
      </c>
      <c r="H1296" s="43" t="s">
        <v>2484</v>
      </c>
      <c r="I1296" s="43" t="s">
        <v>2485</v>
      </c>
      <c r="J1296" s="44" t="s">
        <v>2669</v>
      </c>
      <c r="K1296" s="44" t="s">
        <v>3552</v>
      </c>
      <c r="L1296" s="44" t="s">
        <v>2333</v>
      </c>
      <c r="M1296" s="43">
        <v>43</v>
      </c>
      <c r="N1296" s="113"/>
      <c r="O1296" s="113"/>
      <c r="P1296" s="113"/>
      <c r="Q1296" s="113"/>
      <c r="R1296" s="113"/>
      <c r="S1296" s="113"/>
      <c r="T1296" s="113"/>
      <c r="U1296" s="113"/>
      <c r="V1296" s="113"/>
      <c r="W1296" s="113"/>
      <c r="X1296" s="113"/>
      <c r="Y1296" s="113"/>
      <c r="Z1296" s="113"/>
      <c r="AA1296" s="113"/>
      <c r="AB1296" s="113"/>
      <c r="AC1296" s="113"/>
      <c r="AD1296" s="113"/>
      <c r="AE1296" s="113" t="s">
        <v>1113</v>
      </c>
      <c r="AF1296" s="113"/>
      <c r="AG1296" s="113"/>
      <c r="AH1296" s="113"/>
      <c r="AI1296" s="113"/>
      <c r="AJ1296" s="113"/>
      <c r="AK1296" s="113" t="s">
        <v>1113</v>
      </c>
      <c r="AL1296" s="113"/>
      <c r="AM1296" s="113"/>
      <c r="AN1296" s="113"/>
      <c r="AO1296" s="44" t="s">
        <v>2334</v>
      </c>
      <c r="AP1296" s="43"/>
      <c r="AQ1296" s="236" t="str">
        <f>VLOOKUP(Table8[[#This Row],[Instrument]],Def_Targets!$D$73:$E$159,2,FALSE)</f>
        <v>I_Shipefficiency</v>
      </c>
      <c r="AR1296" s="233" t="str">
        <f>VLOOKUP(Table8[[#This Row],[Country Code]],Table29[],3,FALSE)</f>
        <v>Annex I</v>
      </c>
      <c r="AS1296" s="233" t="str">
        <f>VLOOKUP(Table8[[#This Row],[Country Code]],Table29[],4,FALSE)</f>
        <v>Asia</v>
      </c>
      <c r="AT1296" s="233" t="str">
        <f>VLOOKUP(Table8[[#This Row],[Country Code]],Table29[],5,FALSE)</f>
        <v>High-income</v>
      </c>
      <c r="AU1296" s="233" t="str">
        <f>VLOOKUP(Table8[[#This Row],[Country Code]],Table29[],6,FALSE)</f>
        <v>G20</v>
      </c>
      <c r="AV1296" s="233" t="str">
        <f>VLOOKUP(Table8[[#This Row],[Country Code]],Table29[],7,FALSE)</f>
        <v>G7</v>
      </c>
      <c r="AW1296" s="233" t="str">
        <f>VLOOKUP(Table8[[#This Row],[Country Code]],Table29[],8,FALSE)</f>
        <v>OECD</v>
      </c>
      <c r="AX1296" s="233" t="str">
        <f>VLOOKUP(Table8[[#This Row],[Country Code]],Table29[],9,FALSE)</f>
        <v>no</v>
      </c>
      <c r="AY1296" s="233" t="str">
        <f>VLOOKUP(Table8[[#This Row],[Country Code]],Table29[],10,FALSE)</f>
        <v>no</v>
      </c>
      <c r="AZ1296" s="235">
        <f>VLOOKUP(Table8[[#This Row],[Country Code]],Table29[],23,FALSE)</f>
        <v>1041.0128248686999</v>
      </c>
      <c r="BA1296" s="235">
        <f>VLOOKUP(Table8[[#This Row],[Country Code]],Table29[],24,FALSE)</f>
        <v>181.96191357547141</v>
      </c>
      <c r="BB1296" s="320"/>
      <c r="BC1296" s="320"/>
    </row>
    <row r="1297" spans="1:55" hidden="1" x14ac:dyDescent="0.25">
      <c r="A1297" s="373">
        <v>17655</v>
      </c>
      <c r="B1297" s="233" t="str">
        <f>VLOOKUP(Table8[[#This Row],[Document ID]],Table1[],2,FALSE)</f>
        <v>MHL</v>
      </c>
      <c r="C1297" s="233" t="str">
        <f>VLOOKUP(Table8[[#This Row],[Document ID]],Table1[],3,FALSE)</f>
        <v>Marshall Islands</v>
      </c>
      <c r="D1297" s="243" t="str">
        <f>VLOOKUP(Table8[[#This Row],[Document ID]],Table1[],5,FALSE)</f>
        <v>NDC</v>
      </c>
      <c r="E1297" s="233" t="str">
        <f>VLOOKUP(Table8[[#This Row],[Document ID]],Table1[],7,FALSE)</f>
        <v>First NDC</v>
      </c>
      <c r="F1297" s="236" t="str">
        <f>VLOOKUP(Table8[[#This Row],[Document ID]],Table1[],8,FALSE)</f>
        <v>NDC 1.0</v>
      </c>
      <c r="G1297" s="236" t="str">
        <f>VLOOKUP(Table8[[#This Row],[Document ID]],Table1[],10,FALSE)</f>
        <v>Archived</v>
      </c>
      <c r="H1297" s="44" t="s">
        <v>2338</v>
      </c>
      <c r="I1297" s="44" t="s">
        <v>2339</v>
      </c>
      <c r="J1297" s="44" t="s">
        <v>2425</v>
      </c>
      <c r="K1297" s="44" t="s">
        <v>3553</v>
      </c>
      <c r="L1297" s="44" t="s">
        <v>2333</v>
      </c>
      <c r="M1297" s="43"/>
      <c r="N1297" s="113" t="s">
        <v>1113</v>
      </c>
      <c r="O1297" s="113"/>
      <c r="P1297" s="113"/>
      <c r="Q1297" s="319"/>
      <c r="R1297" s="319"/>
      <c r="S1297" s="319"/>
      <c r="T1297" s="319"/>
      <c r="U1297" s="319"/>
      <c r="V1297" s="319"/>
      <c r="W1297" s="319"/>
      <c r="X1297" s="319"/>
      <c r="Y1297" s="319"/>
      <c r="Z1297" s="319"/>
      <c r="AA1297" s="319"/>
      <c r="AB1297" s="319"/>
      <c r="AC1297" s="319"/>
      <c r="AD1297" s="319"/>
      <c r="AE1297" s="319"/>
      <c r="AF1297" s="319"/>
      <c r="AG1297" s="319"/>
      <c r="AH1297" s="319"/>
      <c r="AI1297" s="319"/>
      <c r="AJ1297" s="319"/>
      <c r="AK1297" s="319" t="s">
        <v>1113</v>
      </c>
      <c r="AL1297" s="319"/>
      <c r="AM1297" s="319"/>
      <c r="AN1297" s="319"/>
      <c r="AO1297" s="44" t="s">
        <v>2334</v>
      </c>
      <c r="AP1297" s="44"/>
      <c r="AQ1297" s="236" t="str">
        <f>VLOOKUP(Table8[[#This Row],[Instrument]],Def_Targets!$D$73:$E$159,2,FALSE)</f>
        <v>I_Efficiencystd</v>
      </c>
      <c r="AR1297" s="233" t="str">
        <f>VLOOKUP(Table8[[#This Row],[Country Code]],Table29[],3,FALSE)</f>
        <v>Non-Annex I</v>
      </c>
      <c r="AS1297" s="233" t="str">
        <f>VLOOKUP(Table8[[#This Row],[Country Code]],Table29[],4,FALSE)</f>
        <v>Oceania</v>
      </c>
      <c r="AT1297" s="233" t="str">
        <f>VLOOKUP(Table8[[#This Row],[Country Code]],Table29[],5,FALSE)</f>
        <v>Middle-income</v>
      </c>
      <c r="AU1297" s="233" t="str">
        <f>VLOOKUP(Table8[[#This Row],[Country Code]],Table29[],6,FALSE)</f>
        <v>no</v>
      </c>
      <c r="AV1297" s="233" t="str">
        <f>VLOOKUP(Table8[[#This Row],[Country Code]],Table29[],7,FALSE)</f>
        <v>no</v>
      </c>
      <c r="AW1297" s="233" t="str">
        <f>VLOOKUP(Table8[[#This Row],[Country Code]],Table29[],8,FALSE)</f>
        <v>non-OECD</v>
      </c>
      <c r="AX1297" s="233" t="str">
        <f>VLOOKUP(Table8[[#This Row],[Country Code]],Table29[],9,FALSE)</f>
        <v>no</v>
      </c>
      <c r="AY1297" s="233" t="str">
        <f>VLOOKUP(Table8[[#This Row],[Country Code]],Table29[],10,FALSE)</f>
        <v>no</v>
      </c>
      <c r="AZ1297" s="235">
        <f>VLOOKUP(Table8[[#This Row],[Country Code]],Table29[],23,FALSE)</f>
        <v>0</v>
      </c>
      <c r="BA1297" s="235">
        <f>VLOOKUP(Table8[[#This Row],[Country Code]],Table29[],24,FALSE)</f>
        <v>0</v>
      </c>
      <c r="BB1297" s="320"/>
      <c r="BC1297" s="320"/>
    </row>
    <row r="1298" spans="1:55" ht="30" hidden="1" x14ac:dyDescent="0.25">
      <c r="A1298" s="373">
        <v>17655</v>
      </c>
      <c r="B1298" s="233" t="str">
        <f>VLOOKUP(Table8[[#This Row],[Document ID]],Table1[],2,FALSE)</f>
        <v>MHL</v>
      </c>
      <c r="C1298" s="233" t="str">
        <f>VLOOKUP(Table8[[#This Row],[Document ID]],Table1[],3,FALSE)</f>
        <v>Marshall Islands</v>
      </c>
      <c r="D1298" s="243" t="str">
        <f>VLOOKUP(Table8[[#This Row],[Document ID]],Table1[],5,FALSE)</f>
        <v>NDC</v>
      </c>
      <c r="E1298" s="233" t="str">
        <f>VLOOKUP(Table8[[#This Row],[Document ID]],Table1[],7,FALSE)</f>
        <v>First NDC</v>
      </c>
      <c r="F1298" s="236" t="str">
        <f>VLOOKUP(Table8[[#This Row],[Document ID]],Table1[],8,FALSE)</f>
        <v>NDC 1.0</v>
      </c>
      <c r="G1298" s="236" t="str">
        <f>VLOOKUP(Table8[[#This Row],[Document ID]],Table1[],10,FALSE)</f>
        <v>Archived</v>
      </c>
      <c r="H1298" s="44" t="s">
        <v>2329</v>
      </c>
      <c r="I1298" s="44" t="s">
        <v>2330</v>
      </c>
      <c r="J1298" s="44" t="s">
        <v>2357</v>
      </c>
      <c r="K1298" s="44" t="s">
        <v>3554</v>
      </c>
      <c r="L1298" s="44" t="s">
        <v>2333</v>
      </c>
      <c r="M1298" s="43"/>
      <c r="N1298" s="113" t="s">
        <v>1113</v>
      </c>
      <c r="O1298" s="113"/>
      <c r="P1298" s="113"/>
      <c r="Q1298" s="319"/>
      <c r="R1298" s="319"/>
      <c r="S1298" s="319"/>
      <c r="T1298" s="319"/>
      <c r="U1298" s="319"/>
      <c r="V1298" s="319"/>
      <c r="W1298" s="319"/>
      <c r="X1298" s="319"/>
      <c r="Y1298" s="319"/>
      <c r="Z1298" s="319"/>
      <c r="AA1298" s="319"/>
      <c r="AB1298" s="319"/>
      <c r="AC1298" s="319"/>
      <c r="AD1298" s="319"/>
      <c r="AE1298" s="319"/>
      <c r="AF1298" s="319"/>
      <c r="AG1298" s="319"/>
      <c r="AH1298" s="319"/>
      <c r="AI1298" s="319"/>
      <c r="AJ1298" s="319"/>
      <c r="AK1298" s="319" t="s">
        <v>1113</v>
      </c>
      <c r="AL1298" s="319"/>
      <c r="AM1298" s="319"/>
      <c r="AN1298" s="319"/>
      <c r="AO1298" s="44" t="s">
        <v>2334</v>
      </c>
      <c r="AP1298" s="44"/>
      <c r="AQ1298" s="236" t="str">
        <f>VLOOKUP(Table8[[#This Row],[Instrument]],Def_Targets!$D$73:$E$159,2,FALSE)</f>
        <v>I_Biofuel</v>
      </c>
      <c r="AR1298" s="233" t="str">
        <f>VLOOKUP(Table8[[#This Row],[Country Code]],Table29[],3,FALSE)</f>
        <v>Non-Annex I</v>
      </c>
      <c r="AS1298" s="233" t="str">
        <f>VLOOKUP(Table8[[#This Row],[Country Code]],Table29[],4,FALSE)</f>
        <v>Oceania</v>
      </c>
      <c r="AT1298" s="233" t="str">
        <f>VLOOKUP(Table8[[#This Row],[Country Code]],Table29[],5,FALSE)</f>
        <v>Middle-income</v>
      </c>
      <c r="AU1298" s="233" t="str">
        <f>VLOOKUP(Table8[[#This Row],[Country Code]],Table29[],6,FALSE)</f>
        <v>no</v>
      </c>
      <c r="AV1298" s="233" t="str">
        <f>VLOOKUP(Table8[[#This Row],[Country Code]],Table29[],7,FALSE)</f>
        <v>no</v>
      </c>
      <c r="AW1298" s="233" t="str">
        <f>VLOOKUP(Table8[[#This Row],[Country Code]],Table29[],8,FALSE)</f>
        <v>non-OECD</v>
      </c>
      <c r="AX1298" s="233" t="str">
        <f>VLOOKUP(Table8[[#This Row],[Country Code]],Table29[],9,FALSE)</f>
        <v>no</v>
      </c>
      <c r="AY1298" s="233" t="str">
        <f>VLOOKUP(Table8[[#This Row],[Country Code]],Table29[],10,FALSE)</f>
        <v>no</v>
      </c>
      <c r="AZ1298" s="235">
        <f>VLOOKUP(Table8[[#This Row],[Country Code]],Table29[],23,FALSE)</f>
        <v>0</v>
      </c>
      <c r="BA1298" s="235">
        <f>VLOOKUP(Table8[[#This Row],[Country Code]],Table29[],24,FALSE)</f>
        <v>0</v>
      </c>
      <c r="BB1298" s="320"/>
      <c r="BC1298" s="320"/>
    </row>
    <row r="1299" spans="1:55" hidden="1" x14ac:dyDescent="0.25">
      <c r="A1299" s="373">
        <v>17655</v>
      </c>
      <c r="B1299" s="233" t="str">
        <f>VLOOKUP(Table8[[#This Row],[Document ID]],Table1[],2,FALSE)</f>
        <v>MHL</v>
      </c>
      <c r="C1299" s="233" t="str">
        <f>VLOOKUP(Table8[[#This Row],[Document ID]],Table1[],3,FALSE)</f>
        <v>Marshall Islands</v>
      </c>
      <c r="D1299" s="243" t="str">
        <f>VLOOKUP(Table8[[#This Row],[Document ID]],Table1[],5,FALSE)</f>
        <v>NDC</v>
      </c>
      <c r="E1299" s="233" t="str">
        <f>VLOOKUP(Table8[[#This Row],[Document ID]],Table1[],7,FALSE)</f>
        <v>First NDC</v>
      </c>
      <c r="F1299" s="236" t="str">
        <f>VLOOKUP(Table8[[#This Row],[Document ID]],Table1[],8,FALSE)</f>
        <v>NDC 1.0</v>
      </c>
      <c r="G1299" s="236" t="str">
        <f>VLOOKUP(Table8[[#This Row],[Document ID]],Table1[],10,FALSE)</f>
        <v>Archived</v>
      </c>
      <c r="H1299" s="44" t="s">
        <v>2329</v>
      </c>
      <c r="I1299" s="44" t="s">
        <v>2330</v>
      </c>
      <c r="J1299" s="44" t="s">
        <v>2381</v>
      </c>
      <c r="K1299" s="44" t="s">
        <v>3555</v>
      </c>
      <c r="L1299" s="44" t="s">
        <v>2333</v>
      </c>
      <c r="M1299" s="43"/>
      <c r="N1299" s="113"/>
      <c r="O1299" s="113"/>
      <c r="P1299" s="113"/>
      <c r="Q1299" s="319"/>
      <c r="R1299" s="319"/>
      <c r="S1299" s="319"/>
      <c r="T1299" s="319"/>
      <c r="U1299" s="319"/>
      <c r="V1299" s="319"/>
      <c r="W1299" s="319"/>
      <c r="X1299" s="319"/>
      <c r="Y1299" s="319"/>
      <c r="Z1299" s="319"/>
      <c r="AA1299" s="319"/>
      <c r="AB1299" s="319"/>
      <c r="AC1299" s="319"/>
      <c r="AD1299" s="113" t="s">
        <v>1113</v>
      </c>
      <c r="AE1299" s="319"/>
      <c r="AF1299" s="319"/>
      <c r="AG1299" s="319"/>
      <c r="AH1299" s="319"/>
      <c r="AI1299" s="319"/>
      <c r="AJ1299" s="319"/>
      <c r="AK1299" s="319" t="s">
        <v>1113</v>
      </c>
      <c r="AL1299" s="319"/>
      <c r="AM1299" s="319"/>
      <c r="AN1299" s="319"/>
      <c r="AO1299" s="44" t="s">
        <v>2334</v>
      </c>
      <c r="AP1299" s="44"/>
      <c r="AQ1299" s="236" t="str">
        <f>VLOOKUP(Table8[[#This Row],[Instrument]],Def_Targets!$D$73:$E$159,2,FALSE)</f>
        <v>I_RE</v>
      </c>
      <c r="AR1299" s="233" t="str">
        <f>VLOOKUP(Table8[[#This Row],[Country Code]],Table29[],3,FALSE)</f>
        <v>Non-Annex I</v>
      </c>
      <c r="AS1299" s="233" t="str">
        <f>VLOOKUP(Table8[[#This Row],[Country Code]],Table29[],4,FALSE)</f>
        <v>Oceania</v>
      </c>
      <c r="AT1299" s="233" t="str">
        <f>VLOOKUP(Table8[[#This Row],[Country Code]],Table29[],5,FALSE)</f>
        <v>Middle-income</v>
      </c>
      <c r="AU1299" s="233" t="str">
        <f>VLOOKUP(Table8[[#This Row],[Country Code]],Table29[],6,FALSE)</f>
        <v>no</v>
      </c>
      <c r="AV1299" s="233" t="str">
        <f>VLOOKUP(Table8[[#This Row],[Country Code]],Table29[],7,FALSE)</f>
        <v>no</v>
      </c>
      <c r="AW1299" s="233" t="str">
        <f>VLOOKUP(Table8[[#This Row],[Country Code]],Table29[],8,FALSE)</f>
        <v>non-OECD</v>
      </c>
      <c r="AX1299" s="233" t="str">
        <f>VLOOKUP(Table8[[#This Row],[Country Code]],Table29[],9,FALSE)</f>
        <v>no</v>
      </c>
      <c r="AY1299" s="233" t="str">
        <f>VLOOKUP(Table8[[#This Row],[Country Code]],Table29[],10,FALSE)</f>
        <v>no</v>
      </c>
      <c r="AZ1299" s="235">
        <f>VLOOKUP(Table8[[#This Row],[Country Code]],Table29[],23,FALSE)</f>
        <v>0</v>
      </c>
      <c r="BA1299" s="235">
        <f>VLOOKUP(Table8[[#This Row],[Country Code]],Table29[],24,FALSE)</f>
        <v>0</v>
      </c>
      <c r="BB1299" s="320"/>
      <c r="BC1299" s="320"/>
    </row>
    <row r="1300" spans="1:55" hidden="1" x14ac:dyDescent="0.25">
      <c r="A1300" s="373">
        <v>17655</v>
      </c>
      <c r="B1300" s="233" t="str">
        <f>VLOOKUP(Table8[[#This Row],[Document ID]],Table1[],2,FALSE)</f>
        <v>MHL</v>
      </c>
      <c r="C1300" s="233" t="str">
        <f>VLOOKUP(Table8[[#This Row],[Document ID]],Table1[],3,FALSE)</f>
        <v>Marshall Islands</v>
      </c>
      <c r="D1300" s="243" t="str">
        <f>VLOOKUP(Table8[[#This Row],[Document ID]],Table1[],5,FALSE)</f>
        <v>NDC</v>
      </c>
      <c r="E1300" s="233" t="str">
        <f>VLOOKUP(Table8[[#This Row],[Document ID]],Table1[],7,FALSE)</f>
        <v>First NDC</v>
      </c>
      <c r="F1300" s="236" t="str">
        <f>VLOOKUP(Table8[[#This Row],[Document ID]],Table1[],8,FALSE)</f>
        <v>NDC 1.0</v>
      </c>
      <c r="G1300" s="236" t="str">
        <f>VLOOKUP(Table8[[#This Row],[Document ID]],Table1[],10,FALSE)</f>
        <v>Archived</v>
      </c>
      <c r="H1300" s="43" t="s">
        <v>2358</v>
      </c>
      <c r="I1300" s="43" t="s">
        <v>2359</v>
      </c>
      <c r="J1300" s="44" t="s">
        <v>2360</v>
      </c>
      <c r="K1300" s="44" t="s">
        <v>3555</v>
      </c>
      <c r="L1300" s="44" t="s">
        <v>2333</v>
      </c>
      <c r="M1300" s="43"/>
      <c r="N1300" s="113"/>
      <c r="O1300" s="113"/>
      <c r="P1300" s="113"/>
      <c r="Q1300" s="319"/>
      <c r="R1300" s="319"/>
      <c r="S1300" s="319"/>
      <c r="T1300" s="319"/>
      <c r="U1300" s="319"/>
      <c r="V1300" s="319"/>
      <c r="W1300" s="319"/>
      <c r="X1300" s="319"/>
      <c r="Y1300" s="319"/>
      <c r="Z1300" s="319"/>
      <c r="AA1300" s="319"/>
      <c r="AB1300" s="319"/>
      <c r="AC1300" s="319"/>
      <c r="AD1300" s="113" t="s">
        <v>1113</v>
      </c>
      <c r="AE1300" s="319"/>
      <c r="AF1300" s="319"/>
      <c r="AG1300" s="319"/>
      <c r="AH1300" s="319"/>
      <c r="AI1300" s="319"/>
      <c r="AJ1300" s="319"/>
      <c r="AK1300" s="319" t="s">
        <v>1113</v>
      </c>
      <c r="AL1300" s="319"/>
      <c r="AM1300" s="319"/>
      <c r="AN1300" s="319"/>
      <c r="AO1300" s="44" t="s">
        <v>2334</v>
      </c>
      <c r="AP1300" s="44"/>
      <c r="AQ1300" s="236" t="str">
        <f>VLOOKUP(Table8[[#This Row],[Instrument]],Def_Targets!$D$73:$E$159,2,FALSE)</f>
        <v>I_Emobility</v>
      </c>
      <c r="AR1300" s="233" t="str">
        <f>VLOOKUP(Table8[[#This Row],[Country Code]],Table29[],3,FALSE)</f>
        <v>Non-Annex I</v>
      </c>
      <c r="AS1300" s="233" t="str">
        <f>VLOOKUP(Table8[[#This Row],[Country Code]],Table29[],4,FALSE)</f>
        <v>Oceania</v>
      </c>
      <c r="AT1300" s="233" t="str">
        <f>VLOOKUP(Table8[[#This Row],[Country Code]],Table29[],5,FALSE)</f>
        <v>Middle-income</v>
      </c>
      <c r="AU1300" s="233" t="str">
        <f>VLOOKUP(Table8[[#This Row],[Country Code]],Table29[],6,FALSE)</f>
        <v>no</v>
      </c>
      <c r="AV1300" s="233" t="str">
        <f>VLOOKUP(Table8[[#This Row],[Country Code]],Table29[],7,FALSE)</f>
        <v>no</v>
      </c>
      <c r="AW1300" s="233" t="str">
        <f>VLOOKUP(Table8[[#This Row],[Country Code]],Table29[],8,FALSE)</f>
        <v>non-OECD</v>
      </c>
      <c r="AX1300" s="233" t="str">
        <f>VLOOKUP(Table8[[#This Row],[Country Code]],Table29[],9,FALSE)</f>
        <v>no</v>
      </c>
      <c r="AY1300" s="233" t="str">
        <f>VLOOKUP(Table8[[#This Row],[Country Code]],Table29[],10,FALSE)</f>
        <v>no</v>
      </c>
      <c r="AZ1300" s="235">
        <f>VLOOKUP(Table8[[#This Row],[Country Code]],Table29[],23,FALSE)</f>
        <v>0</v>
      </c>
      <c r="BA1300" s="235">
        <f>VLOOKUP(Table8[[#This Row],[Country Code]],Table29[],24,FALSE)</f>
        <v>0</v>
      </c>
      <c r="BB1300" s="320"/>
      <c r="BC1300" s="320"/>
    </row>
    <row r="1301" spans="1:55" hidden="1" x14ac:dyDescent="0.25">
      <c r="A1301" s="373">
        <v>17655</v>
      </c>
      <c r="B1301" s="233" t="str">
        <f>VLOOKUP(Table8[[#This Row],[Document ID]],Table1[],2,FALSE)</f>
        <v>MHL</v>
      </c>
      <c r="C1301" s="233" t="str">
        <f>VLOOKUP(Table8[[#This Row],[Document ID]],Table1[],3,FALSE)</f>
        <v>Marshall Islands</v>
      </c>
      <c r="D1301" s="243" t="str">
        <f>VLOOKUP(Table8[[#This Row],[Document ID]],Table1[],5,FALSE)</f>
        <v>NDC</v>
      </c>
      <c r="E1301" s="233" t="str">
        <f>VLOOKUP(Table8[[#This Row],[Document ID]],Table1[],7,FALSE)</f>
        <v>First NDC</v>
      </c>
      <c r="F1301" s="236" t="str">
        <f>VLOOKUP(Table8[[#This Row],[Document ID]],Table1[],8,FALSE)</f>
        <v>NDC 1.0</v>
      </c>
      <c r="G1301" s="236" t="str">
        <f>VLOOKUP(Table8[[#This Row],[Document ID]],Table1[],10,FALSE)</f>
        <v>Archived</v>
      </c>
      <c r="H1301" s="43" t="s">
        <v>2358</v>
      </c>
      <c r="I1301" s="43" t="s">
        <v>2359</v>
      </c>
      <c r="J1301" s="44" t="s">
        <v>2360</v>
      </c>
      <c r="K1301" s="44" t="s">
        <v>3556</v>
      </c>
      <c r="L1301" s="44" t="s">
        <v>2333</v>
      </c>
      <c r="M1301" s="43"/>
      <c r="N1301" s="113" t="s">
        <v>1113</v>
      </c>
      <c r="O1301" s="113"/>
      <c r="P1301" s="113"/>
      <c r="Q1301" s="319"/>
      <c r="R1301" s="319"/>
      <c r="S1301" s="319"/>
      <c r="T1301" s="319"/>
      <c r="U1301" s="319"/>
      <c r="V1301" s="319"/>
      <c r="W1301" s="319"/>
      <c r="X1301" s="319"/>
      <c r="Y1301" s="319"/>
      <c r="Z1301" s="319"/>
      <c r="AA1301" s="319"/>
      <c r="AB1301" s="319"/>
      <c r="AC1301" s="319"/>
      <c r="AD1301" s="319"/>
      <c r="AE1301" s="319"/>
      <c r="AF1301" s="319"/>
      <c r="AG1301" s="319"/>
      <c r="AH1301" s="319"/>
      <c r="AI1301" s="319"/>
      <c r="AJ1301" s="319"/>
      <c r="AK1301" s="319" t="s">
        <v>1113</v>
      </c>
      <c r="AL1301" s="319"/>
      <c r="AM1301" s="319"/>
      <c r="AN1301" s="319"/>
      <c r="AO1301" s="44" t="s">
        <v>2334</v>
      </c>
      <c r="AP1301" s="44"/>
      <c r="AQ1301" s="236" t="str">
        <f>VLOOKUP(Table8[[#This Row],[Instrument]],Def_Targets!$D$73:$E$159,2,FALSE)</f>
        <v>I_Emobility</v>
      </c>
      <c r="AR1301" s="233" t="str">
        <f>VLOOKUP(Table8[[#This Row],[Country Code]],Table29[],3,FALSE)</f>
        <v>Non-Annex I</v>
      </c>
      <c r="AS1301" s="233" t="str">
        <f>VLOOKUP(Table8[[#This Row],[Country Code]],Table29[],4,FALSE)</f>
        <v>Oceania</v>
      </c>
      <c r="AT1301" s="233" t="str">
        <f>VLOOKUP(Table8[[#This Row],[Country Code]],Table29[],5,FALSE)</f>
        <v>Middle-income</v>
      </c>
      <c r="AU1301" s="233" t="str">
        <f>VLOOKUP(Table8[[#This Row],[Country Code]],Table29[],6,FALSE)</f>
        <v>no</v>
      </c>
      <c r="AV1301" s="233" t="str">
        <f>VLOOKUP(Table8[[#This Row],[Country Code]],Table29[],7,FALSE)</f>
        <v>no</v>
      </c>
      <c r="AW1301" s="233" t="str">
        <f>VLOOKUP(Table8[[#This Row],[Country Code]],Table29[],8,FALSE)</f>
        <v>non-OECD</v>
      </c>
      <c r="AX1301" s="233" t="str">
        <f>VLOOKUP(Table8[[#This Row],[Country Code]],Table29[],9,FALSE)</f>
        <v>no</v>
      </c>
      <c r="AY1301" s="233" t="str">
        <f>VLOOKUP(Table8[[#This Row],[Country Code]],Table29[],10,FALSE)</f>
        <v>no</v>
      </c>
      <c r="AZ1301" s="235">
        <f>VLOOKUP(Table8[[#This Row],[Country Code]],Table29[],23,FALSE)</f>
        <v>0</v>
      </c>
      <c r="BA1301" s="235">
        <f>VLOOKUP(Table8[[#This Row],[Country Code]],Table29[],24,FALSE)</f>
        <v>0</v>
      </c>
      <c r="BB1301" s="320"/>
      <c r="BC1301" s="320"/>
    </row>
    <row r="1302" spans="1:55" hidden="1" x14ac:dyDescent="0.25">
      <c r="A1302" s="373">
        <v>17655</v>
      </c>
      <c r="B1302" s="233" t="str">
        <f>VLOOKUP(Table8[[#This Row],[Document ID]],Table1[],2,FALSE)</f>
        <v>MHL</v>
      </c>
      <c r="C1302" s="233" t="str">
        <f>VLOOKUP(Table8[[#This Row],[Document ID]],Table1[],3,FALSE)</f>
        <v>Marshall Islands</v>
      </c>
      <c r="D1302" s="243" t="str">
        <f>VLOOKUP(Table8[[#This Row],[Document ID]],Table1[],5,FALSE)</f>
        <v>NDC</v>
      </c>
      <c r="E1302" s="233" t="str">
        <f>VLOOKUP(Table8[[#This Row],[Document ID]],Table1[],7,FALSE)</f>
        <v>First NDC</v>
      </c>
      <c r="F1302" s="236" t="str">
        <f>VLOOKUP(Table8[[#This Row],[Document ID]],Table1[],8,FALSE)</f>
        <v>NDC 1.0</v>
      </c>
      <c r="G1302" s="236" t="str">
        <f>VLOOKUP(Table8[[#This Row],[Document ID]],Table1[],10,FALSE)</f>
        <v>Archived</v>
      </c>
      <c r="H1302" s="44" t="s">
        <v>2338</v>
      </c>
      <c r="I1302" s="44" t="s">
        <v>2339</v>
      </c>
      <c r="J1302" s="44" t="s">
        <v>2451</v>
      </c>
      <c r="K1302" s="44" t="s">
        <v>3557</v>
      </c>
      <c r="L1302" s="44" t="s">
        <v>2333</v>
      </c>
      <c r="M1302" s="43"/>
      <c r="N1302" s="113" t="s">
        <v>1113</v>
      </c>
      <c r="O1302" s="113"/>
      <c r="P1302" s="113"/>
      <c r="Q1302" s="319"/>
      <c r="R1302" s="319"/>
      <c r="S1302" s="319"/>
      <c r="T1302" s="319"/>
      <c r="U1302" s="319"/>
      <c r="V1302" s="319"/>
      <c r="W1302" s="319"/>
      <c r="X1302" s="319"/>
      <c r="Y1302" s="319"/>
      <c r="Z1302" s="319"/>
      <c r="AA1302" s="319"/>
      <c r="AB1302" s="319"/>
      <c r="AC1302" s="319"/>
      <c r="AD1302" s="319"/>
      <c r="AE1302" s="319"/>
      <c r="AF1302" s="319"/>
      <c r="AG1302" s="319"/>
      <c r="AH1302" s="319"/>
      <c r="AI1302" s="319"/>
      <c r="AJ1302" s="319"/>
      <c r="AK1302" s="319" t="s">
        <v>1113</v>
      </c>
      <c r="AL1302" s="319"/>
      <c r="AM1302" s="319"/>
      <c r="AN1302" s="319"/>
      <c r="AO1302" s="44" t="s">
        <v>2334</v>
      </c>
      <c r="AP1302" s="44"/>
      <c r="AQ1302" s="236" t="str">
        <f>VLOOKUP(Table8[[#This Row],[Instrument]],Def_Targets!$D$73:$E$159,2,FALSE)</f>
        <v>I_Inspection</v>
      </c>
      <c r="AR1302" s="233" t="str">
        <f>VLOOKUP(Table8[[#This Row],[Country Code]],Table29[],3,FALSE)</f>
        <v>Non-Annex I</v>
      </c>
      <c r="AS1302" s="233" t="str">
        <f>VLOOKUP(Table8[[#This Row],[Country Code]],Table29[],4,FALSE)</f>
        <v>Oceania</v>
      </c>
      <c r="AT1302" s="233" t="str">
        <f>VLOOKUP(Table8[[#This Row],[Country Code]],Table29[],5,FALSE)</f>
        <v>Middle-income</v>
      </c>
      <c r="AU1302" s="233" t="str">
        <f>VLOOKUP(Table8[[#This Row],[Country Code]],Table29[],6,FALSE)</f>
        <v>no</v>
      </c>
      <c r="AV1302" s="233" t="str">
        <f>VLOOKUP(Table8[[#This Row],[Country Code]],Table29[],7,FALSE)</f>
        <v>no</v>
      </c>
      <c r="AW1302" s="233" t="str">
        <f>VLOOKUP(Table8[[#This Row],[Country Code]],Table29[],8,FALSE)</f>
        <v>non-OECD</v>
      </c>
      <c r="AX1302" s="233" t="str">
        <f>VLOOKUP(Table8[[#This Row],[Country Code]],Table29[],9,FALSE)</f>
        <v>no</v>
      </c>
      <c r="AY1302" s="233" t="str">
        <f>VLOOKUP(Table8[[#This Row],[Country Code]],Table29[],10,FALSE)</f>
        <v>no</v>
      </c>
      <c r="AZ1302" s="235">
        <f>VLOOKUP(Table8[[#This Row],[Country Code]],Table29[],23,FALSE)</f>
        <v>0</v>
      </c>
      <c r="BA1302" s="235">
        <f>VLOOKUP(Table8[[#This Row],[Country Code]],Table29[],24,FALSE)</f>
        <v>0</v>
      </c>
      <c r="BB1302" s="320"/>
      <c r="BC1302" s="320"/>
    </row>
    <row r="1303" spans="1:55" ht="45" hidden="1" x14ac:dyDescent="0.25">
      <c r="A1303" s="373">
        <v>26796</v>
      </c>
      <c r="B1303" s="233" t="str">
        <f>VLOOKUP(Table8[[#This Row],[Document ID]],Table1[],2,FALSE)</f>
        <v>JPN</v>
      </c>
      <c r="C1303" s="233" t="str">
        <f>VLOOKUP(Table8[[#This Row],[Document ID]],Table1[],3,FALSE)</f>
        <v>Japan</v>
      </c>
      <c r="D1303" s="243" t="str">
        <f>VLOOKUP(Table8[[#This Row],[Document ID]],Table1[],5,FALSE)</f>
        <v>LTS</v>
      </c>
      <c r="E1303" s="233" t="str">
        <f>VLOOKUP(Table8[[#This Row],[Document ID]],Table1[],7,FALSE)</f>
        <v>LTS</v>
      </c>
      <c r="F1303" s="236" t="str">
        <f>VLOOKUP(Table8[[#This Row],[Document ID]],Table1[],8,FALSE)</f>
        <v>LTS 1.1</v>
      </c>
      <c r="G1303" s="236" t="str">
        <f>VLOOKUP(Table8[[#This Row],[Document ID]],Table1[],10,FALSE)</f>
        <v>Active</v>
      </c>
      <c r="H1303" s="44" t="s">
        <v>2329</v>
      </c>
      <c r="I1303" s="44" t="s">
        <v>2330</v>
      </c>
      <c r="J1303" s="44" t="s">
        <v>2363</v>
      </c>
      <c r="K1303" s="44" t="s">
        <v>3558</v>
      </c>
      <c r="L1303" s="44" t="s">
        <v>2333</v>
      </c>
      <c r="M1303" s="43">
        <v>43</v>
      </c>
      <c r="N1303" s="113"/>
      <c r="O1303" s="113"/>
      <c r="P1303" s="113"/>
      <c r="Q1303" s="113"/>
      <c r="R1303" s="113"/>
      <c r="S1303" s="113"/>
      <c r="T1303" s="113"/>
      <c r="U1303" s="113"/>
      <c r="V1303" s="113"/>
      <c r="W1303" s="113"/>
      <c r="X1303" s="113"/>
      <c r="Y1303" s="113"/>
      <c r="Z1303" s="113"/>
      <c r="AA1303" s="113"/>
      <c r="AB1303" s="113"/>
      <c r="AC1303" s="113"/>
      <c r="AD1303" s="113" t="s">
        <v>1291</v>
      </c>
      <c r="AE1303" s="113"/>
      <c r="AF1303" s="113"/>
      <c r="AG1303" s="113"/>
      <c r="AH1303" s="113"/>
      <c r="AI1303" s="113"/>
      <c r="AJ1303" s="113"/>
      <c r="AK1303" s="113" t="s">
        <v>1291</v>
      </c>
      <c r="AL1303" s="113"/>
      <c r="AM1303" s="113"/>
      <c r="AN1303" s="113"/>
      <c r="AO1303" s="44" t="s">
        <v>2334</v>
      </c>
      <c r="AP1303" s="43"/>
      <c r="AQ1303" s="236" t="str">
        <f>VLOOKUP(Table8[[#This Row],[Instrument]],Def_Targets!$D$73:$E$159,2,FALSE)</f>
        <v>I_LPGCNGLNG</v>
      </c>
      <c r="AR1303" s="233" t="str">
        <f>VLOOKUP(Table8[[#This Row],[Country Code]],Table29[],3,FALSE)</f>
        <v>Annex I</v>
      </c>
      <c r="AS1303" s="233" t="str">
        <f>VLOOKUP(Table8[[#This Row],[Country Code]],Table29[],4,FALSE)</f>
        <v>Asia</v>
      </c>
      <c r="AT1303" s="233" t="str">
        <f>VLOOKUP(Table8[[#This Row],[Country Code]],Table29[],5,FALSE)</f>
        <v>High-income</v>
      </c>
      <c r="AU1303" s="233" t="str">
        <f>VLOOKUP(Table8[[#This Row],[Country Code]],Table29[],6,FALSE)</f>
        <v>G20</v>
      </c>
      <c r="AV1303" s="233" t="str">
        <f>VLOOKUP(Table8[[#This Row],[Country Code]],Table29[],7,FALSE)</f>
        <v>G7</v>
      </c>
      <c r="AW1303" s="233" t="str">
        <f>VLOOKUP(Table8[[#This Row],[Country Code]],Table29[],8,FALSE)</f>
        <v>OECD</v>
      </c>
      <c r="AX1303" s="233" t="str">
        <f>VLOOKUP(Table8[[#This Row],[Country Code]],Table29[],9,FALSE)</f>
        <v>no</v>
      </c>
      <c r="AY1303" s="233" t="str">
        <f>VLOOKUP(Table8[[#This Row],[Country Code]],Table29[],10,FALSE)</f>
        <v>no</v>
      </c>
      <c r="AZ1303" s="235">
        <f>VLOOKUP(Table8[[#This Row],[Country Code]],Table29[],23,FALSE)</f>
        <v>1041.0128248686999</v>
      </c>
      <c r="BA1303" s="235">
        <f>VLOOKUP(Table8[[#This Row],[Country Code]],Table29[],24,FALSE)</f>
        <v>181.96191357547141</v>
      </c>
      <c r="BB1303" s="320"/>
      <c r="BC1303" s="320"/>
    </row>
    <row r="1304" spans="1:55" ht="30" hidden="1" x14ac:dyDescent="0.25">
      <c r="A1304" s="373">
        <v>26796</v>
      </c>
      <c r="B1304" s="233" t="str">
        <f>VLOOKUP(Table8[[#This Row],[Document ID]],Table1[],2,FALSE)</f>
        <v>JPN</v>
      </c>
      <c r="C1304" s="233" t="str">
        <f>VLOOKUP(Table8[[#This Row],[Document ID]],Table1[],3,FALSE)</f>
        <v>Japan</v>
      </c>
      <c r="D1304" s="243" t="str">
        <f>VLOOKUP(Table8[[#This Row],[Document ID]],Table1[],5,FALSE)</f>
        <v>LTS</v>
      </c>
      <c r="E1304" s="233" t="str">
        <f>VLOOKUP(Table8[[#This Row],[Document ID]],Table1[],7,FALSE)</f>
        <v>LTS</v>
      </c>
      <c r="F1304" s="236" t="str">
        <f>VLOOKUP(Table8[[#This Row],[Document ID]],Table1[],8,FALSE)</f>
        <v>LTS 1.1</v>
      </c>
      <c r="G1304" s="236" t="str">
        <f>VLOOKUP(Table8[[#This Row],[Document ID]],Table1[],10,FALSE)</f>
        <v>Active</v>
      </c>
      <c r="H1304" s="43" t="s">
        <v>2343</v>
      </c>
      <c r="I1304" s="43" t="s">
        <v>2429</v>
      </c>
      <c r="J1304" s="44" t="s">
        <v>2472</v>
      </c>
      <c r="K1304" s="44" t="s">
        <v>3559</v>
      </c>
      <c r="L1304" s="44" t="s">
        <v>2373</v>
      </c>
      <c r="M1304" s="43">
        <v>44</v>
      </c>
      <c r="N1304" s="113"/>
      <c r="O1304" s="113"/>
      <c r="P1304" s="113"/>
      <c r="Q1304" s="113"/>
      <c r="R1304" s="113"/>
      <c r="S1304" s="113"/>
      <c r="T1304" s="113"/>
      <c r="U1304" s="113"/>
      <c r="V1304" s="113"/>
      <c r="W1304" s="113"/>
      <c r="X1304" s="113"/>
      <c r="Y1304" s="113"/>
      <c r="Z1304" s="113"/>
      <c r="AA1304" s="113"/>
      <c r="AB1304" s="113"/>
      <c r="AC1304" s="113"/>
      <c r="AD1304" s="113"/>
      <c r="AE1304" s="113"/>
      <c r="AF1304" s="113"/>
      <c r="AG1304" s="113"/>
      <c r="AH1304" s="113" t="s">
        <v>1113</v>
      </c>
      <c r="AI1304" s="113"/>
      <c r="AJ1304" s="113"/>
      <c r="AK1304" s="113" t="s">
        <v>1113</v>
      </c>
      <c r="AL1304" s="113"/>
      <c r="AM1304" s="113"/>
      <c r="AN1304" s="113"/>
      <c r="AO1304" s="44" t="s">
        <v>2334</v>
      </c>
      <c r="AP1304" s="43"/>
      <c r="AQ1304" s="236" t="str">
        <f>VLOOKUP(Table8[[#This Row],[Instrument]],Def_Targets!$D$73:$E$159,2,FALSE)</f>
        <v>I_Other</v>
      </c>
      <c r="AR1304" s="233" t="str">
        <f>VLOOKUP(Table8[[#This Row],[Country Code]],Table29[],3,FALSE)</f>
        <v>Annex I</v>
      </c>
      <c r="AS1304" s="233" t="str">
        <f>VLOOKUP(Table8[[#This Row],[Country Code]],Table29[],4,FALSE)</f>
        <v>Asia</v>
      </c>
      <c r="AT1304" s="233" t="str">
        <f>VLOOKUP(Table8[[#This Row],[Country Code]],Table29[],5,FALSE)</f>
        <v>High-income</v>
      </c>
      <c r="AU1304" s="233" t="str">
        <f>VLOOKUP(Table8[[#This Row],[Country Code]],Table29[],6,FALSE)</f>
        <v>G20</v>
      </c>
      <c r="AV1304" s="233" t="str">
        <f>VLOOKUP(Table8[[#This Row],[Country Code]],Table29[],7,FALSE)</f>
        <v>G7</v>
      </c>
      <c r="AW1304" s="233" t="str">
        <f>VLOOKUP(Table8[[#This Row],[Country Code]],Table29[],8,FALSE)</f>
        <v>OECD</v>
      </c>
      <c r="AX1304" s="233" t="str">
        <f>VLOOKUP(Table8[[#This Row],[Country Code]],Table29[],9,FALSE)</f>
        <v>no</v>
      </c>
      <c r="AY1304" s="233" t="str">
        <f>VLOOKUP(Table8[[#This Row],[Country Code]],Table29[],10,FALSE)</f>
        <v>no</v>
      </c>
      <c r="AZ1304" s="235">
        <f>VLOOKUP(Table8[[#This Row],[Country Code]],Table29[],23,FALSE)</f>
        <v>1041.0128248686999</v>
      </c>
      <c r="BA1304" s="235">
        <f>VLOOKUP(Table8[[#This Row],[Country Code]],Table29[],24,FALSE)</f>
        <v>181.96191357547141</v>
      </c>
      <c r="BB1304" s="320"/>
      <c r="BC1304" s="320"/>
    </row>
    <row r="1305" spans="1:55" hidden="1" x14ac:dyDescent="0.25">
      <c r="A1305" s="373">
        <v>26796</v>
      </c>
      <c r="B1305" s="233" t="str">
        <f>VLOOKUP(Table8[[#This Row],[Document ID]],Table1[],2,FALSE)</f>
        <v>JPN</v>
      </c>
      <c r="C1305" s="233" t="str">
        <f>VLOOKUP(Table8[[#This Row],[Document ID]],Table1[],3,FALSE)</f>
        <v>Japan</v>
      </c>
      <c r="D1305" s="243" t="str">
        <f>VLOOKUP(Table8[[#This Row],[Document ID]],Table1[],5,FALSE)</f>
        <v>LTS</v>
      </c>
      <c r="E1305" s="233" t="str">
        <f>VLOOKUP(Table8[[#This Row],[Document ID]],Table1[],7,FALSE)</f>
        <v>LTS</v>
      </c>
      <c r="F1305" s="236" t="str">
        <f>VLOOKUP(Table8[[#This Row],[Document ID]],Table1[],8,FALSE)</f>
        <v>LTS 1.1</v>
      </c>
      <c r="G1305" s="236" t="str">
        <f>VLOOKUP(Table8[[#This Row],[Document ID]],Table1[],10,FALSE)</f>
        <v>Active</v>
      </c>
      <c r="H1305" s="43" t="s">
        <v>2484</v>
      </c>
      <c r="I1305" s="43" t="s">
        <v>2488</v>
      </c>
      <c r="J1305" s="44" t="s">
        <v>2712</v>
      </c>
      <c r="K1305" s="44" t="s">
        <v>3560</v>
      </c>
      <c r="L1305" s="44" t="s">
        <v>2333</v>
      </c>
      <c r="M1305" s="43">
        <v>44</v>
      </c>
      <c r="N1305" s="113"/>
      <c r="O1305" s="113"/>
      <c r="P1305" s="113"/>
      <c r="Q1305" s="113"/>
      <c r="R1305" s="113"/>
      <c r="S1305" s="113"/>
      <c r="T1305" s="113"/>
      <c r="U1305" s="113"/>
      <c r="V1305" s="113"/>
      <c r="W1305" s="113"/>
      <c r="X1305" s="113"/>
      <c r="Y1305" s="113"/>
      <c r="Z1305" s="113"/>
      <c r="AA1305" s="113"/>
      <c r="AB1305" s="113"/>
      <c r="AC1305" s="113"/>
      <c r="AD1305" s="113"/>
      <c r="AE1305" s="113"/>
      <c r="AF1305" s="113"/>
      <c r="AG1305" s="113"/>
      <c r="AH1305" s="113" t="s">
        <v>1113</v>
      </c>
      <c r="AI1305" s="113"/>
      <c r="AJ1305" s="113"/>
      <c r="AK1305" s="113" t="s">
        <v>1113</v>
      </c>
      <c r="AL1305" s="113"/>
      <c r="AM1305" s="113"/>
      <c r="AN1305" s="113"/>
      <c r="AO1305" s="44" t="s">
        <v>2334</v>
      </c>
      <c r="AP1305" s="43"/>
      <c r="AQ1305" s="236" t="str">
        <f>VLOOKUP(Table8[[#This Row],[Instrument]],Def_Targets!$D$73:$E$159,2,FALSE)</f>
        <v>I_Airtraffic</v>
      </c>
      <c r="AR1305" s="233" t="str">
        <f>VLOOKUP(Table8[[#This Row],[Country Code]],Table29[],3,FALSE)</f>
        <v>Annex I</v>
      </c>
      <c r="AS1305" s="233" t="str">
        <f>VLOOKUP(Table8[[#This Row],[Country Code]],Table29[],4,FALSE)</f>
        <v>Asia</v>
      </c>
      <c r="AT1305" s="233" t="str">
        <f>VLOOKUP(Table8[[#This Row],[Country Code]],Table29[],5,FALSE)</f>
        <v>High-income</v>
      </c>
      <c r="AU1305" s="233" t="str">
        <f>VLOOKUP(Table8[[#This Row],[Country Code]],Table29[],6,FALSE)</f>
        <v>G20</v>
      </c>
      <c r="AV1305" s="233" t="str">
        <f>VLOOKUP(Table8[[#This Row],[Country Code]],Table29[],7,FALSE)</f>
        <v>G7</v>
      </c>
      <c r="AW1305" s="233" t="str">
        <f>VLOOKUP(Table8[[#This Row],[Country Code]],Table29[],8,FALSE)</f>
        <v>OECD</v>
      </c>
      <c r="AX1305" s="233" t="str">
        <f>VLOOKUP(Table8[[#This Row],[Country Code]],Table29[],9,FALSE)</f>
        <v>no</v>
      </c>
      <c r="AY1305" s="233" t="str">
        <f>VLOOKUP(Table8[[#This Row],[Country Code]],Table29[],10,FALSE)</f>
        <v>no</v>
      </c>
      <c r="AZ1305" s="235">
        <f>VLOOKUP(Table8[[#This Row],[Country Code]],Table29[],23,FALSE)</f>
        <v>1041.0128248686999</v>
      </c>
      <c r="BA1305" s="235">
        <f>VLOOKUP(Table8[[#This Row],[Country Code]],Table29[],24,FALSE)</f>
        <v>181.96191357547141</v>
      </c>
      <c r="BB1305" s="320"/>
      <c r="BC1305" s="320"/>
    </row>
    <row r="1306" spans="1:55" hidden="1" x14ac:dyDescent="0.25">
      <c r="A1306" s="373">
        <v>26796</v>
      </c>
      <c r="B1306" s="233" t="str">
        <f>VLOOKUP(Table8[[#This Row],[Document ID]],Table1[],2,FALSE)</f>
        <v>JPN</v>
      </c>
      <c r="C1306" s="233" t="str">
        <f>VLOOKUP(Table8[[#This Row],[Document ID]],Table1[],3,FALSE)</f>
        <v>Japan</v>
      </c>
      <c r="D1306" s="243" t="str">
        <f>VLOOKUP(Table8[[#This Row],[Document ID]],Table1[],5,FALSE)</f>
        <v>LTS</v>
      </c>
      <c r="E1306" s="233" t="str">
        <f>VLOOKUP(Table8[[#This Row],[Document ID]],Table1[],7,FALSE)</f>
        <v>LTS</v>
      </c>
      <c r="F1306" s="236" t="str">
        <f>VLOOKUP(Table8[[#This Row],[Document ID]],Table1[],8,FALSE)</f>
        <v>LTS 1.1</v>
      </c>
      <c r="G1306" s="236" t="str">
        <f>VLOOKUP(Table8[[#This Row],[Document ID]],Table1[],10,FALSE)</f>
        <v>Active</v>
      </c>
      <c r="H1306" s="44" t="s">
        <v>2329</v>
      </c>
      <c r="I1306" s="44" t="s">
        <v>2330</v>
      </c>
      <c r="J1306" s="44" t="s">
        <v>2331</v>
      </c>
      <c r="K1306" s="44" t="s">
        <v>3561</v>
      </c>
      <c r="L1306" s="44" t="s">
        <v>2333</v>
      </c>
      <c r="M1306" s="43">
        <v>44</v>
      </c>
      <c r="N1306" s="113"/>
      <c r="O1306" s="113"/>
      <c r="P1306" s="113"/>
      <c r="Q1306" s="113"/>
      <c r="R1306" s="113"/>
      <c r="S1306" s="113"/>
      <c r="T1306" s="113"/>
      <c r="U1306" s="113"/>
      <c r="V1306" s="113"/>
      <c r="W1306" s="113"/>
      <c r="X1306" s="113"/>
      <c r="Y1306" s="113"/>
      <c r="Z1306" s="113"/>
      <c r="AA1306" s="113"/>
      <c r="AB1306" s="113"/>
      <c r="AC1306" s="113"/>
      <c r="AD1306" s="113"/>
      <c r="AE1306" s="113"/>
      <c r="AF1306" s="113"/>
      <c r="AG1306" s="113"/>
      <c r="AH1306" s="113" t="s">
        <v>1113</v>
      </c>
      <c r="AI1306" s="113"/>
      <c r="AJ1306" s="113"/>
      <c r="AK1306" s="113" t="s">
        <v>1113</v>
      </c>
      <c r="AL1306" s="113"/>
      <c r="AM1306" s="113"/>
      <c r="AN1306" s="113"/>
      <c r="AO1306" s="44" t="s">
        <v>2334</v>
      </c>
      <c r="AP1306" s="43"/>
      <c r="AQ1306" s="236" t="str">
        <f>VLOOKUP(Table8[[#This Row],[Instrument]],Def_Targets!$D$73:$E$159,2,FALSE)</f>
        <v>I_Altfuels</v>
      </c>
      <c r="AR1306" s="233" t="str">
        <f>VLOOKUP(Table8[[#This Row],[Country Code]],Table29[],3,FALSE)</f>
        <v>Annex I</v>
      </c>
      <c r="AS1306" s="233" t="str">
        <f>VLOOKUP(Table8[[#This Row],[Country Code]],Table29[],4,FALSE)</f>
        <v>Asia</v>
      </c>
      <c r="AT1306" s="233" t="str">
        <f>VLOOKUP(Table8[[#This Row],[Country Code]],Table29[],5,FALSE)</f>
        <v>High-income</v>
      </c>
      <c r="AU1306" s="233" t="str">
        <f>VLOOKUP(Table8[[#This Row],[Country Code]],Table29[],6,FALSE)</f>
        <v>G20</v>
      </c>
      <c r="AV1306" s="233" t="str">
        <f>VLOOKUP(Table8[[#This Row],[Country Code]],Table29[],7,FALSE)</f>
        <v>G7</v>
      </c>
      <c r="AW1306" s="233" t="str">
        <f>VLOOKUP(Table8[[#This Row],[Country Code]],Table29[],8,FALSE)</f>
        <v>OECD</v>
      </c>
      <c r="AX1306" s="233" t="str">
        <f>VLOOKUP(Table8[[#This Row],[Country Code]],Table29[],9,FALSE)</f>
        <v>no</v>
      </c>
      <c r="AY1306" s="233" t="str">
        <f>VLOOKUP(Table8[[#This Row],[Country Code]],Table29[],10,FALSE)</f>
        <v>no</v>
      </c>
      <c r="AZ1306" s="235">
        <f>VLOOKUP(Table8[[#This Row],[Country Code]],Table29[],23,FALSE)</f>
        <v>1041.0128248686999</v>
      </c>
      <c r="BA1306" s="235">
        <f>VLOOKUP(Table8[[#This Row],[Country Code]],Table29[],24,FALSE)</f>
        <v>181.96191357547141</v>
      </c>
      <c r="BB1306" s="320"/>
      <c r="BC1306" s="320"/>
    </row>
    <row r="1307" spans="1:55" ht="45" hidden="1" x14ac:dyDescent="0.25">
      <c r="A1307" s="373">
        <v>26796</v>
      </c>
      <c r="B1307" s="233" t="str">
        <f>VLOOKUP(Table8[[#This Row],[Document ID]],Table1[],2,FALSE)</f>
        <v>JPN</v>
      </c>
      <c r="C1307" s="233" t="str">
        <f>VLOOKUP(Table8[[#This Row],[Document ID]],Table1[],3,FALSE)</f>
        <v>Japan</v>
      </c>
      <c r="D1307" s="243" t="str">
        <f>VLOOKUP(Table8[[#This Row],[Document ID]],Table1[],5,FALSE)</f>
        <v>LTS</v>
      </c>
      <c r="E1307" s="233" t="str">
        <f>VLOOKUP(Table8[[#This Row],[Document ID]],Table1[],7,FALSE)</f>
        <v>LTS</v>
      </c>
      <c r="F1307" s="236" t="str">
        <f>VLOOKUP(Table8[[#This Row],[Document ID]],Table1[],8,FALSE)</f>
        <v>LTS 1.1</v>
      </c>
      <c r="G1307" s="236" t="str">
        <f>VLOOKUP(Table8[[#This Row],[Document ID]],Table1[],10,FALSE)</f>
        <v>Active</v>
      </c>
      <c r="H1307" s="43" t="s">
        <v>2484</v>
      </c>
      <c r="I1307" s="43" t="s">
        <v>2488</v>
      </c>
      <c r="J1307" s="44" t="s">
        <v>2489</v>
      </c>
      <c r="K1307" s="44" t="s">
        <v>3562</v>
      </c>
      <c r="L1307" s="44" t="s">
        <v>2333</v>
      </c>
      <c r="M1307" s="43">
        <v>44</v>
      </c>
      <c r="N1307" s="113"/>
      <c r="O1307" s="113"/>
      <c r="P1307" s="113"/>
      <c r="Q1307" s="113"/>
      <c r="R1307" s="113"/>
      <c r="S1307" s="113"/>
      <c r="T1307" s="113"/>
      <c r="U1307" s="113"/>
      <c r="V1307" s="113"/>
      <c r="W1307" s="113"/>
      <c r="X1307" s="113"/>
      <c r="Y1307" s="113"/>
      <c r="Z1307" s="113"/>
      <c r="AA1307" s="113"/>
      <c r="AB1307" s="113"/>
      <c r="AC1307" s="113"/>
      <c r="AD1307" s="113"/>
      <c r="AE1307" s="113"/>
      <c r="AF1307" s="113"/>
      <c r="AG1307" s="113"/>
      <c r="AH1307" s="113" t="s">
        <v>1113</v>
      </c>
      <c r="AI1307" s="113"/>
      <c r="AJ1307" s="113"/>
      <c r="AK1307" s="113" t="s">
        <v>1113</v>
      </c>
      <c r="AL1307" s="113"/>
      <c r="AM1307" s="113"/>
      <c r="AN1307" s="113"/>
      <c r="AO1307" s="44" t="s">
        <v>2334</v>
      </c>
      <c r="AP1307" s="43"/>
      <c r="AQ1307" s="236" t="str">
        <f>VLOOKUP(Table8[[#This Row],[Instrument]],Def_Targets!$D$73:$E$159,2,FALSE)</f>
        <v>I_Aviation</v>
      </c>
      <c r="AR1307" s="233" t="str">
        <f>VLOOKUP(Table8[[#This Row],[Country Code]],Table29[],3,FALSE)</f>
        <v>Annex I</v>
      </c>
      <c r="AS1307" s="233" t="str">
        <f>VLOOKUP(Table8[[#This Row],[Country Code]],Table29[],4,FALSE)</f>
        <v>Asia</v>
      </c>
      <c r="AT1307" s="233" t="str">
        <f>VLOOKUP(Table8[[#This Row],[Country Code]],Table29[],5,FALSE)</f>
        <v>High-income</v>
      </c>
      <c r="AU1307" s="233" t="str">
        <f>VLOOKUP(Table8[[#This Row],[Country Code]],Table29[],6,FALSE)</f>
        <v>G20</v>
      </c>
      <c r="AV1307" s="233" t="str">
        <f>VLOOKUP(Table8[[#This Row],[Country Code]],Table29[],7,FALSE)</f>
        <v>G7</v>
      </c>
      <c r="AW1307" s="233" t="str">
        <f>VLOOKUP(Table8[[#This Row],[Country Code]],Table29[],8,FALSE)</f>
        <v>OECD</v>
      </c>
      <c r="AX1307" s="233" t="str">
        <f>VLOOKUP(Table8[[#This Row],[Country Code]],Table29[],9,FALSE)</f>
        <v>no</v>
      </c>
      <c r="AY1307" s="233" t="str">
        <f>VLOOKUP(Table8[[#This Row],[Country Code]],Table29[],10,FALSE)</f>
        <v>no</v>
      </c>
      <c r="AZ1307" s="235">
        <f>VLOOKUP(Table8[[#This Row],[Country Code]],Table29[],23,FALSE)</f>
        <v>1041.0128248686999</v>
      </c>
      <c r="BA1307" s="235">
        <f>VLOOKUP(Table8[[#This Row],[Country Code]],Table29[],24,FALSE)</f>
        <v>181.96191357547141</v>
      </c>
      <c r="BB1307" s="320"/>
      <c r="BC1307" s="320"/>
    </row>
    <row r="1308" spans="1:55" ht="75" hidden="1" x14ac:dyDescent="0.25">
      <c r="A1308" s="373">
        <v>26796</v>
      </c>
      <c r="B1308" s="233" t="str">
        <f>VLOOKUP(Table8[[#This Row],[Document ID]],Table1[],2,FALSE)</f>
        <v>JPN</v>
      </c>
      <c r="C1308" s="233" t="str">
        <f>VLOOKUP(Table8[[#This Row],[Document ID]],Table1[],3,FALSE)</f>
        <v>Japan</v>
      </c>
      <c r="D1308" s="243" t="str">
        <f>VLOOKUP(Table8[[#This Row],[Document ID]],Table1[],5,FALSE)</f>
        <v>LTS</v>
      </c>
      <c r="E1308" s="233" t="str">
        <f>VLOOKUP(Table8[[#This Row],[Document ID]],Table1[],7,FALSE)</f>
        <v>LTS</v>
      </c>
      <c r="F1308" s="236" t="str">
        <f>VLOOKUP(Table8[[#This Row],[Document ID]],Table1[],8,FALSE)</f>
        <v>LTS 1.1</v>
      </c>
      <c r="G1308" s="236" t="str">
        <f>VLOOKUP(Table8[[#This Row],[Document ID]],Table1[],10,FALSE)</f>
        <v>Active</v>
      </c>
      <c r="H1308" s="43" t="s">
        <v>2484</v>
      </c>
      <c r="I1308" s="43" t="s">
        <v>2485</v>
      </c>
      <c r="J1308" s="44" t="s">
        <v>2978</v>
      </c>
      <c r="K1308" s="44" t="s">
        <v>3563</v>
      </c>
      <c r="L1308" s="44" t="s">
        <v>2333</v>
      </c>
      <c r="M1308" s="43" t="s">
        <v>3564</v>
      </c>
      <c r="N1308" s="113"/>
      <c r="O1308" s="113"/>
      <c r="P1308" s="113"/>
      <c r="Q1308" s="113"/>
      <c r="R1308" s="113"/>
      <c r="S1308" s="113"/>
      <c r="T1308" s="113"/>
      <c r="U1308" s="113"/>
      <c r="V1308" s="113"/>
      <c r="W1308" s="113"/>
      <c r="X1308" s="113"/>
      <c r="Y1308" s="113"/>
      <c r="Z1308" s="113"/>
      <c r="AA1308" s="113"/>
      <c r="AB1308" s="113"/>
      <c r="AC1308" s="113"/>
      <c r="AD1308" s="113"/>
      <c r="AE1308" s="113" t="s">
        <v>1113</v>
      </c>
      <c r="AF1308" s="113"/>
      <c r="AG1308" s="113"/>
      <c r="AH1308" s="113"/>
      <c r="AI1308" s="113"/>
      <c r="AJ1308" s="113"/>
      <c r="AK1308" s="113" t="s">
        <v>1113</v>
      </c>
      <c r="AL1308" s="113"/>
      <c r="AM1308" s="113"/>
      <c r="AN1308" s="113"/>
      <c r="AO1308" s="44" t="s">
        <v>2334</v>
      </c>
      <c r="AP1308" s="43"/>
      <c r="AQ1308" s="236" t="str">
        <f>VLOOKUP(Table8[[#This Row],[Instrument]],Def_Targets!$D$73:$E$159,2,FALSE)</f>
        <v>I_PortInfra</v>
      </c>
      <c r="AR1308" s="233" t="str">
        <f>VLOOKUP(Table8[[#This Row],[Country Code]],Table29[],3,FALSE)</f>
        <v>Annex I</v>
      </c>
      <c r="AS1308" s="233" t="str">
        <f>VLOOKUP(Table8[[#This Row],[Country Code]],Table29[],4,FALSE)</f>
        <v>Asia</v>
      </c>
      <c r="AT1308" s="233" t="str">
        <f>VLOOKUP(Table8[[#This Row],[Country Code]],Table29[],5,FALSE)</f>
        <v>High-income</v>
      </c>
      <c r="AU1308" s="233" t="str">
        <f>VLOOKUP(Table8[[#This Row],[Country Code]],Table29[],6,FALSE)</f>
        <v>G20</v>
      </c>
      <c r="AV1308" s="233" t="str">
        <f>VLOOKUP(Table8[[#This Row],[Country Code]],Table29[],7,FALSE)</f>
        <v>G7</v>
      </c>
      <c r="AW1308" s="233" t="str">
        <f>VLOOKUP(Table8[[#This Row],[Country Code]],Table29[],8,FALSE)</f>
        <v>OECD</v>
      </c>
      <c r="AX1308" s="233" t="str">
        <f>VLOOKUP(Table8[[#This Row],[Country Code]],Table29[],9,FALSE)</f>
        <v>no</v>
      </c>
      <c r="AY1308" s="233" t="str">
        <f>VLOOKUP(Table8[[#This Row],[Country Code]],Table29[],10,FALSE)</f>
        <v>no</v>
      </c>
      <c r="AZ1308" s="235">
        <f>VLOOKUP(Table8[[#This Row],[Country Code]],Table29[],23,FALSE)</f>
        <v>1041.0128248686999</v>
      </c>
      <c r="BA1308" s="235">
        <f>VLOOKUP(Table8[[#This Row],[Country Code]],Table29[],24,FALSE)</f>
        <v>181.96191357547141</v>
      </c>
      <c r="BB1308" s="320"/>
      <c r="BC1308" s="320"/>
    </row>
    <row r="1309" spans="1:55" ht="45" hidden="1" x14ac:dyDescent="0.25">
      <c r="A1309" s="373">
        <v>26796</v>
      </c>
      <c r="B1309" s="233" t="str">
        <f>VLOOKUP(Table8[[#This Row],[Document ID]],Table1[],2,FALSE)</f>
        <v>JPN</v>
      </c>
      <c r="C1309" s="233" t="str">
        <f>VLOOKUP(Table8[[#This Row],[Document ID]],Table1[],3,FALSE)</f>
        <v>Japan</v>
      </c>
      <c r="D1309" s="243" t="str">
        <f>VLOOKUP(Table8[[#This Row],[Document ID]],Table1[],5,FALSE)</f>
        <v>LTS</v>
      </c>
      <c r="E1309" s="233" t="str">
        <f>VLOOKUP(Table8[[#This Row],[Document ID]],Table1[],7,FALSE)</f>
        <v>LTS</v>
      </c>
      <c r="F1309" s="236" t="str">
        <f>VLOOKUP(Table8[[#This Row],[Document ID]],Table1[],8,FALSE)</f>
        <v>LTS 1.1</v>
      </c>
      <c r="G1309" s="236" t="str">
        <f>VLOOKUP(Table8[[#This Row],[Document ID]],Table1[],10,FALSE)</f>
        <v>Active</v>
      </c>
      <c r="H1309" s="43" t="s">
        <v>2350</v>
      </c>
      <c r="I1309" s="43" t="s">
        <v>2407</v>
      </c>
      <c r="J1309" s="44" t="s">
        <v>2408</v>
      </c>
      <c r="K1309" s="44" t="s">
        <v>3565</v>
      </c>
      <c r="L1309" s="44" t="s">
        <v>2373</v>
      </c>
      <c r="M1309" s="43">
        <v>54</v>
      </c>
      <c r="N1309" s="113"/>
      <c r="O1309" s="113"/>
      <c r="P1309" s="113"/>
      <c r="Q1309" s="113"/>
      <c r="R1309" s="113" t="s">
        <v>1113</v>
      </c>
      <c r="S1309" s="113"/>
      <c r="T1309" s="113"/>
      <c r="U1309" s="113"/>
      <c r="V1309" s="113"/>
      <c r="W1309" s="113"/>
      <c r="X1309" s="113"/>
      <c r="Y1309" s="113" t="s">
        <v>1113</v>
      </c>
      <c r="Z1309" s="113" t="s">
        <v>1113</v>
      </c>
      <c r="AA1309" s="113"/>
      <c r="AB1309" s="113"/>
      <c r="AC1309" s="113"/>
      <c r="AD1309" s="113"/>
      <c r="AE1309" s="113"/>
      <c r="AF1309" s="113"/>
      <c r="AG1309" s="113"/>
      <c r="AH1309" s="113"/>
      <c r="AI1309" s="113"/>
      <c r="AJ1309" s="113"/>
      <c r="AK1309" s="113" t="s">
        <v>1113</v>
      </c>
      <c r="AL1309" s="113"/>
      <c r="AM1309" s="113"/>
      <c r="AN1309" s="113"/>
      <c r="AO1309" s="44" t="s">
        <v>2334</v>
      </c>
      <c r="AP1309" s="43"/>
      <c r="AQ1309" s="236" t="str">
        <f>VLOOKUP(Table8[[#This Row],[Instrument]],Def_Targets!$D$73:$E$159,2,FALSE)</f>
        <v>I_Education</v>
      </c>
      <c r="AR1309" s="233" t="str">
        <f>VLOOKUP(Table8[[#This Row],[Country Code]],Table29[],3,FALSE)</f>
        <v>Annex I</v>
      </c>
      <c r="AS1309" s="233" t="str">
        <f>VLOOKUP(Table8[[#This Row],[Country Code]],Table29[],4,FALSE)</f>
        <v>Asia</v>
      </c>
      <c r="AT1309" s="233" t="str">
        <f>VLOOKUP(Table8[[#This Row],[Country Code]],Table29[],5,FALSE)</f>
        <v>High-income</v>
      </c>
      <c r="AU1309" s="233" t="str">
        <f>VLOOKUP(Table8[[#This Row],[Country Code]],Table29[],6,FALSE)</f>
        <v>G20</v>
      </c>
      <c r="AV1309" s="233" t="str">
        <f>VLOOKUP(Table8[[#This Row],[Country Code]],Table29[],7,FALSE)</f>
        <v>G7</v>
      </c>
      <c r="AW1309" s="233" t="str">
        <f>VLOOKUP(Table8[[#This Row],[Country Code]],Table29[],8,FALSE)</f>
        <v>OECD</v>
      </c>
      <c r="AX1309" s="233" t="str">
        <f>VLOOKUP(Table8[[#This Row],[Country Code]],Table29[],9,FALSE)</f>
        <v>no</v>
      </c>
      <c r="AY1309" s="233" t="str">
        <f>VLOOKUP(Table8[[#This Row],[Country Code]],Table29[],10,FALSE)</f>
        <v>no</v>
      </c>
      <c r="AZ1309" s="235">
        <f>VLOOKUP(Table8[[#This Row],[Country Code]],Table29[],23,FALSE)</f>
        <v>1041.0128248686999</v>
      </c>
      <c r="BA1309" s="235">
        <f>VLOOKUP(Table8[[#This Row],[Country Code]],Table29[],24,FALSE)</f>
        <v>181.96191357547141</v>
      </c>
      <c r="BB1309" s="320"/>
      <c r="BC1309" s="320"/>
    </row>
    <row r="1310" spans="1:55" ht="30" hidden="1" x14ac:dyDescent="0.25">
      <c r="A1310" s="373">
        <v>26796</v>
      </c>
      <c r="B1310" s="233" t="str">
        <f>VLOOKUP(Table8[[#This Row],[Document ID]],Table1[],2,FALSE)</f>
        <v>JPN</v>
      </c>
      <c r="C1310" s="233" t="str">
        <f>VLOOKUP(Table8[[#This Row],[Document ID]],Table1[],3,FALSE)</f>
        <v>Japan</v>
      </c>
      <c r="D1310" s="243" t="str">
        <f>VLOOKUP(Table8[[#This Row],[Document ID]],Table1[],5,FALSE)</f>
        <v>LTS</v>
      </c>
      <c r="E1310" s="233" t="str">
        <f>VLOOKUP(Table8[[#This Row],[Document ID]],Table1[],7,FALSE)</f>
        <v>LTS</v>
      </c>
      <c r="F1310" s="236" t="str">
        <f>VLOOKUP(Table8[[#This Row],[Document ID]],Table1[],8,FALSE)</f>
        <v>LTS 1.1</v>
      </c>
      <c r="G1310" s="236" t="str">
        <f>VLOOKUP(Table8[[#This Row],[Document ID]],Table1[],10,FALSE)</f>
        <v>Active</v>
      </c>
      <c r="H1310" s="43" t="s">
        <v>2350</v>
      </c>
      <c r="I1310" s="43" t="s">
        <v>2370</v>
      </c>
      <c r="J1310" s="44" t="s">
        <v>2518</v>
      </c>
      <c r="K1310" s="44" t="s">
        <v>3566</v>
      </c>
      <c r="L1310" s="44" t="s">
        <v>2380</v>
      </c>
      <c r="M1310" s="43">
        <v>57</v>
      </c>
      <c r="N1310" s="113" t="s">
        <v>1113</v>
      </c>
      <c r="O1310" s="113"/>
      <c r="P1310" s="113"/>
      <c r="Q1310" s="113"/>
      <c r="R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t="s">
        <v>1113</v>
      </c>
      <c r="AM1310" s="113"/>
      <c r="AN1310" s="113"/>
      <c r="AO1310" s="44" t="s">
        <v>2334</v>
      </c>
      <c r="AP1310" s="43"/>
      <c r="AQ1310" s="236" t="str">
        <f>VLOOKUP(Table8[[#This Row],[Instrument]],Def_Targets!$D$73:$E$159,2,FALSE)</f>
        <v>A_Mixuse</v>
      </c>
      <c r="AR1310" s="233" t="str">
        <f>VLOOKUP(Table8[[#This Row],[Country Code]],Table29[],3,FALSE)</f>
        <v>Annex I</v>
      </c>
      <c r="AS1310" s="233" t="str">
        <f>VLOOKUP(Table8[[#This Row],[Country Code]],Table29[],4,FALSE)</f>
        <v>Asia</v>
      </c>
      <c r="AT1310" s="233" t="str">
        <f>VLOOKUP(Table8[[#This Row],[Country Code]],Table29[],5,FALSE)</f>
        <v>High-income</v>
      </c>
      <c r="AU1310" s="233" t="str">
        <f>VLOOKUP(Table8[[#This Row],[Country Code]],Table29[],6,FALSE)</f>
        <v>G20</v>
      </c>
      <c r="AV1310" s="233" t="str">
        <f>VLOOKUP(Table8[[#This Row],[Country Code]],Table29[],7,FALSE)</f>
        <v>G7</v>
      </c>
      <c r="AW1310" s="233" t="str">
        <f>VLOOKUP(Table8[[#This Row],[Country Code]],Table29[],8,FALSE)</f>
        <v>OECD</v>
      </c>
      <c r="AX1310" s="233" t="str">
        <f>VLOOKUP(Table8[[#This Row],[Country Code]],Table29[],9,FALSE)</f>
        <v>no</v>
      </c>
      <c r="AY1310" s="233" t="str">
        <f>VLOOKUP(Table8[[#This Row],[Country Code]],Table29[],10,FALSE)</f>
        <v>no</v>
      </c>
      <c r="AZ1310" s="235">
        <f>VLOOKUP(Table8[[#This Row],[Country Code]],Table29[],23,FALSE)</f>
        <v>1041.0128248686999</v>
      </c>
      <c r="BA1310" s="235">
        <f>VLOOKUP(Table8[[#This Row],[Country Code]],Table29[],24,FALSE)</f>
        <v>181.96191357547141</v>
      </c>
      <c r="BB1310" s="320"/>
      <c r="BC1310" s="320"/>
    </row>
    <row r="1311" spans="1:55" ht="45" hidden="1" x14ac:dyDescent="0.25">
      <c r="A1311" s="373">
        <v>26796</v>
      </c>
      <c r="B1311" s="233" t="str">
        <f>VLOOKUP(Table8[[#This Row],[Document ID]],Table1[],2,FALSE)</f>
        <v>JPN</v>
      </c>
      <c r="C1311" s="233" t="str">
        <f>VLOOKUP(Table8[[#This Row],[Document ID]],Table1[],3,FALSE)</f>
        <v>Japan</v>
      </c>
      <c r="D1311" s="243" t="str">
        <f>VLOOKUP(Table8[[#This Row],[Document ID]],Table1[],5,FALSE)</f>
        <v>LTS</v>
      </c>
      <c r="E1311" s="233" t="str">
        <f>VLOOKUP(Table8[[#This Row],[Document ID]],Table1[],7,FALSE)</f>
        <v>LTS</v>
      </c>
      <c r="F1311" s="236" t="str">
        <f>VLOOKUP(Table8[[#This Row],[Document ID]],Table1[],8,FALSE)</f>
        <v>LTS 1.1</v>
      </c>
      <c r="G1311" s="236" t="str">
        <f>VLOOKUP(Table8[[#This Row],[Document ID]],Table1[],10,FALSE)</f>
        <v>Active</v>
      </c>
      <c r="H1311" s="43" t="s">
        <v>2343</v>
      </c>
      <c r="I1311" s="43" t="s">
        <v>2361</v>
      </c>
      <c r="J1311" s="44" t="s">
        <v>2463</v>
      </c>
      <c r="K1311" s="44" t="s">
        <v>3567</v>
      </c>
      <c r="L1311" s="44" t="s">
        <v>2380</v>
      </c>
      <c r="M1311" s="43">
        <v>57</v>
      </c>
      <c r="N1311" s="113"/>
      <c r="O1311" s="113"/>
      <c r="P1311" s="113"/>
      <c r="Q1311" s="113" t="s">
        <v>1291</v>
      </c>
      <c r="R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t="s">
        <v>1113</v>
      </c>
      <c r="AM1311" s="113"/>
      <c r="AN1311" s="113"/>
      <c r="AO1311" s="44" t="s">
        <v>2334</v>
      </c>
      <c r="AP1311" s="43"/>
      <c r="AQ1311" s="236" t="str">
        <f>VLOOKUP(Table8[[#This Row],[Instrument]],Def_Targets!$D$73:$E$159,2,FALSE)</f>
        <v>S_Walking</v>
      </c>
      <c r="AR1311" s="233" t="str">
        <f>VLOOKUP(Table8[[#This Row],[Country Code]],Table29[],3,FALSE)</f>
        <v>Annex I</v>
      </c>
      <c r="AS1311" s="233" t="str">
        <f>VLOOKUP(Table8[[#This Row],[Country Code]],Table29[],4,FALSE)</f>
        <v>Asia</v>
      </c>
      <c r="AT1311" s="233" t="str">
        <f>VLOOKUP(Table8[[#This Row],[Country Code]],Table29[],5,FALSE)</f>
        <v>High-income</v>
      </c>
      <c r="AU1311" s="233" t="str">
        <f>VLOOKUP(Table8[[#This Row],[Country Code]],Table29[],6,FALSE)</f>
        <v>G20</v>
      </c>
      <c r="AV1311" s="233" t="str">
        <f>VLOOKUP(Table8[[#This Row],[Country Code]],Table29[],7,FALSE)</f>
        <v>G7</v>
      </c>
      <c r="AW1311" s="233" t="str">
        <f>VLOOKUP(Table8[[#This Row],[Country Code]],Table29[],8,FALSE)</f>
        <v>OECD</v>
      </c>
      <c r="AX1311" s="233" t="str">
        <f>VLOOKUP(Table8[[#This Row],[Country Code]],Table29[],9,FALSE)</f>
        <v>no</v>
      </c>
      <c r="AY1311" s="233" t="str">
        <f>VLOOKUP(Table8[[#This Row],[Country Code]],Table29[],10,FALSE)</f>
        <v>no</v>
      </c>
      <c r="AZ1311" s="235">
        <f>VLOOKUP(Table8[[#This Row],[Country Code]],Table29[],23,FALSE)</f>
        <v>1041.0128248686999</v>
      </c>
      <c r="BA1311" s="235">
        <f>VLOOKUP(Table8[[#This Row],[Country Code]],Table29[],24,FALSE)</f>
        <v>181.96191357547141</v>
      </c>
      <c r="BB1311" s="320"/>
      <c r="BC1311" s="320"/>
    </row>
    <row r="1312" spans="1:55" ht="45" hidden="1" x14ac:dyDescent="0.25">
      <c r="A1312" s="373">
        <v>26796</v>
      </c>
      <c r="B1312" s="233" t="str">
        <f>VLOOKUP(Table8[[#This Row],[Document ID]],Table1[],2,FALSE)</f>
        <v>JPN</v>
      </c>
      <c r="C1312" s="233" t="str">
        <f>VLOOKUP(Table8[[#This Row],[Document ID]],Table1[],3,FALSE)</f>
        <v>Japan</v>
      </c>
      <c r="D1312" s="243" t="str">
        <f>VLOOKUP(Table8[[#This Row],[Document ID]],Table1[],5,FALSE)</f>
        <v>LTS</v>
      </c>
      <c r="E1312" s="233" t="str">
        <f>VLOOKUP(Table8[[#This Row],[Document ID]],Table1[],7,FALSE)</f>
        <v>LTS</v>
      </c>
      <c r="F1312" s="236" t="str">
        <f>VLOOKUP(Table8[[#This Row],[Document ID]],Table1[],8,FALSE)</f>
        <v>LTS 1.1</v>
      </c>
      <c r="G1312" s="236" t="str">
        <f>VLOOKUP(Table8[[#This Row],[Document ID]],Table1[],10,FALSE)</f>
        <v>Active</v>
      </c>
      <c r="H1312" s="43" t="s">
        <v>2343</v>
      </c>
      <c r="I1312" s="43" t="s">
        <v>2361</v>
      </c>
      <c r="J1312" s="44" t="s">
        <v>2366</v>
      </c>
      <c r="K1312" s="44" t="s">
        <v>3568</v>
      </c>
      <c r="L1312" s="44" t="s">
        <v>2347</v>
      </c>
      <c r="M1312" s="43">
        <v>58</v>
      </c>
      <c r="N1312" s="113"/>
      <c r="O1312" s="113"/>
      <c r="P1312" s="113"/>
      <c r="Q1312" s="113" t="s">
        <v>1291</v>
      </c>
      <c r="R1312" s="113" t="s">
        <v>1291</v>
      </c>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t="s">
        <v>1113</v>
      </c>
      <c r="AM1312" s="113"/>
      <c r="AN1312" s="113"/>
      <c r="AO1312" s="44" t="s">
        <v>2334</v>
      </c>
      <c r="AP1312" s="43"/>
      <c r="AQ1312" s="236" t="str">
        <f>VLOOKUP(Table8[[#This Row],[Instrument]],Def_Targets!$D$73:$E$159,2,FALSE)</f>
        <v>S_Activemobility</v>
      </c>
      <c r="AR1312" s="233" t="str">
        <f>VLOOKUP(Table8[[#This Row],[Country Code]],Table29[],3,FALSE)</f>
        <v>Annex I</v>
      </c>
      <c r="AS1312" s="233" t="str">
        <f>VLOOKUP(Table8[[#This Row],[Country Code]],Table29[],4,FALSE)</f>
        <v>Asia</v>
      </c>
      <c r="AT1312" s="233" t="str">
        <f>VLOOKUP(Table8[[#This Row],[Country Code]],Table29[],5,FALSE)</f>
        <v>High-income</v>
      </c>
      <c r="AU1312" s="233" t="str">
        <f>VLOOKUP(Table8[[#This Row],[Country Code]],Table29[],6,FALSE)</f>
        <v>G20</v>
      </c>
      <c r="AV1312" s="233" t="str">
        <f>VLOOKUP(Table8[[#This Row],[Country Code]],Table29[],7,FALSE)</f>
        <v>G7</v>
      </c>
      <c r="AW1312" s="233" t="str">
        <f>VLOOKUP(Table8[[#This Row],[Country Code]],Table29[],8,FALSE)</f>
        <v>OECD</v>
      </c>
      <c r="AX1312" s="233" t="str">
        <f>VLOOKUP(Table8[[#This Row],[Country Code]],Table29[],9,FALSE)</f>
        <v>no</v>
      </c>
      <c r="AY1312" s="233" t="str">
        <f>VLOOKUP(Table8[[#This Row],[Country Code]],Table29[],10,FALSE)</f>
        <v>no</v>
      </c>
      <c r="AZ1312" s="235">
        <f>VLOOKUP(Table8[[#This Row],[Country Code]],Table29[],23,FALSE)</f>
        <v>1041.0128248686999</v>
      </c>
      <c r="BA1312" s="235">
        <f>VLOOKUP(Table8[[#This Row],[Country Code]],Table29[],24,FALSE)</f>
        <v>181.96191357547141</v>
      </c>
      <c r="BB1312" s="320"/>
      <c r="BC1312" s="320"/>
    </row>
    <row r="1313" spans="1:55" ht="60" hidden="1" x14ac:dyDescent="0.25">
      <c r="A1313" s="373">
        <v>26796</v>
      </c>
      <c r="B1313" s="233" t="str">
        <f>VLOOKUP(Table8[[#This Row],[Document ID]],Table1[],2,FALSE)</f>
        <v>JPN</v>
      </c>
      <c r="C1313" s="233" t="str">
        <f>VLOOKUP(Table8[[#This Row],[Document ID]],Table1[],3,FALSE)</f>
        <v>Japan</v>
      </c>
      <c r="D1313" s="243" t="str">
        <f>VLOOKUP(Table8[[#This Row],[Document ID]],Table1[],5,FALSE)</f>
        <v>LTS</v>
      </c>
      <c r="E1313" s="233" t="str">
        <f>VLOOKUP(Table8[[#This Row],[Document ID]],Table1[],7,FALSE)</f>
        <v>LTS</v>
      </c>
      <c r="F1313" s="236" t="str">
        <f>VLOOKUP(Table8[[#This Row],[Document ID]],Table1[],8,FALSE)</f>
        <v>LTS 1.1</v>
      </c>
      <c r="G1313" s="236" t="str">
        <f>VLOOKUP(Table8[[#This Row],[Document ID]],Table1[],10,FALSE)</f>
        <v>Active</v>
      </c>
      <c r="H1313" s="43" t="s">
        <v>2343</v>
      </c>
      <c r="I1313" s="43" t="s">
        <v>2361</v>
      </c>
      <c r="J1313" s="44" t="s">
        <v>2362</v>
      </c>
      <c r="K1313" s="44" t="s">
        <v>3569</v>
      </c>
      <c r="L1313" s="44" t="s">
        <v>2347</v>
      </c>
      <c r="M1313" s="43">
        <v>58</v>
      </c>
      <c r="N1313" s="113"/>
      <c r="O1313" s="113"/>
      <c r="P1313" s="113"/>
      <c r="Q1313" s="113"/>
      <c r="R1313" s="113" t="s">
        <v>1113</v>
      </c>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t="s">
        <v>1113</v>
      </c>
      <c r="AM1313" s="113"/>
      <c r="AN1313" s="113"/>
      <c r="AO1313" s="44" t="s">
        <v>2334</v>
      </c>
      <c r="AP1313" s="43"/>
      <c r="AQ1313" s="236" t="str">
        <f>VLOOKUP(Table8[[#This Row],[Instrument]],Def_Targets!$D$73:$E$159,2,FALSE)</f>
        <v>S_Cycling</v>
      </c>
      <c r="AR1313" s="233" t="str">
        <f>VLOOKUP(Table8[[#This Row],[Country Code]],Table29[],3,FALSE)</f>
        <v>Annex I</v>
      </c>
      <c r="AS1313" s="233" t="str">
        <f>VLOOKUP(Table8[[#This Row],[Country Code]],Table29[],4,FALSE)</f>
        <v>Asia</v>
      </c>
      <c r="AT1313" s="233" t="str">
        <f>VLOOKUP(Table8[[#This Row],[Country Code]],Table29[],5,FALSE)</f>
        <v>High-income</v>
      </c>
      <c r="AU1313" s="233" t="str">
        <f>VLOOKUP(Table8[[#This Row],[Country Code]],Table29[],6,FALSE)</f>
        <v>G20</v>
      </c>
      <c r="AV1313" s="233" t="str">
        <f>VLOOKUP(Table8[[#This Row],[Country Code]],Table29[],7,FALSE)</f>
        <v>G7</v>
      </c>
      <c r="AW1313" s="233" t="str">
        <f>VLOOKUP(Table8[[#This Row],[Country Code]],Table29[],8,FALSE)</f>
        <v>OECD</v>
      </c>
      <c r="AX1313" s="233" t="str">
        <f>VLOOKUP(Table8[[#This Row],[Country Code]],Table29[],9,FALSE)</f>
        <v>no</v>
      </c>
      <c r="AY1313" s="233" t="str">
        <f>VLOOKUP(Table8[[#This Row],[Country Code]],Table29[],10,FALSE)</f>
        <v>no</v>
      </c>
      <c r="AZ1313" s="235">
        <f>VLOOKUP(Table8[[#This Row],[Country Code]],Table29[],23,FALSE)</f>
        <v>1041.0128248686999</v>
      </c>
      <c r="BA1313" s="235">
        <f>VLOOKUP(Table8[[#This Row],[Country Code]],Table29[],24,FALSE)</f>
        <v>181.96191357547141</v>
      </c>
      <c r="BB1313" s="320"/>
      <c r="BC1313" s="320"/>
    </row>
    <row r="1314" spans="1:55" ht="30" hidden="1" x14ac:dyDescent="0.25">
      <c r="A1314" s="373">
        <v>17638</v>
      </c>
      <c r="B1314" s="233" t="str">
        <f>VLOOKUP(Table8[[#This Row],[Document ID]],Table1[],2,FALSE)</f>
        <v>LVA</v>
      </c>
      <c r="C1314" s="233" t="str">
        <f>VLOOKUP(Table8[[#This Row],[Document ID]],Table1[],3,FALSE)</f>
        <v>Latvia</v>
      </c>
      <c r="D1314" s="243" t="str">
        <f>VLOOKUP(Table8[[#This Row],[Document ID]],Table1[],5,FALSE)</f>
        <v>LTS</v>
      </c>
      <c r="E1314" s="233" t="str">
        <f>VLOOKUP(Table8[[#This Row],[Document ID]],Table1[],7,FALSE)</f>
        <v>LTS</v>
      </c>
      <c r="F1314" s="233" t="str">
        <f>VLOOKUP(Table8[[#This Row],[Document ID]],Table1[],8,FALSE)</f>
        <v>LTS 1.0</v>
      </c>
      <c r="G1314" s="233" t="str">
        <f>VLOOKUP(Table8[[#This Row],[Document ID]],Table1[],10,FALSE)</f>
        <v>Active</v>
      </c>
      <c r="H1314" s="43" t="s">
        <v>2350</v>
      </c>
      <c r="I1314" s="43" t="s">
        <v>2407</v>
      </c>
      <c r="J1314" s="44" t="s">
        <v>2408</v>
      </c>
      <c r="K1314" s="44" t="s">
        <v>3570</v>
      </c>
      <c r="L1314" s="44" t="s">
        <v>2471</v>
      </c>
      <c r="M1314" s="43">
        <v>12</v>
      </c>
      <c r="N1314" s="113" t="s">
        <v>1113</v>
      </c>
      <c r="O1314" s="113"/>
      <c r="P1314" s="113"/>
      <c r="Q1314" s="113"/>
      <c r="R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319" t="s">
        <v>1113</v>
      </c>
      <c r="AL1314" s="113"/>
      <c r="AM1314" s="113"/>
      <c r="AN1314" s="113"/>
      <c r="AO1314" s="44" t="s">
        <v>2334</v>
      </c>
      <c r="AP1314" s="43"/>
      <c r="AQ1314" s="236" t="str">
        <f>VLOOKUP(Table8[[#This Row],[Instrument]],Def_Targets!$D$73:$E$159,2,FALSE)</f>
        <v>I_Education</v>
      </c>
      <c r="AR1314" s="233" t="str">
        <f>VLOOKUP(Table8[[#This Row],[Country Code]],Table29[],3,FALSE)</f>
        <v>Annex I</v>
      </c>
      <c r="AS1314" s="233" t="str">
        <f>VLOOKUP(Table8[[#This Row],[Country Code]],Table29[],4,FALSE)</f>
        <v>Europe</v>
      </c>
      <c r="AT1314" s="233" t="str">
        <f>VLOOKUP(Table8[[#This Row],[Country Code]],Table29[],5,FALSE)</f>
        <v>High-income</v>
      </c>
      <c r="AU1314" s="233" t="str">
        <f>VLOOKUP(Table8[[#This Row],[Country Code]],Table29[],6,FALSE)</f>
        <v>no</v>
      </c>
      <c r="AV1314" s="233" t="str">
        <f>VLOOKUP(Table8[[#This Row],[Country Code]],Table29[],7,FALSE)</f>
        <v>no</v>
      </c>
      <c r="AW1314" s="233" t="str">
        <f>VLOOKUP(Table8[[#This Row],[Country Code]],Table29[],8,FALSE)</f>
        <v>OECD</v>
      </c>
      <c r="AX1314" s="233" t="str">
        <f>VLOOKUP(Table8[[#This Row],[Country Code]],Table29[],9,FALSE)</f>
        <v>EU27</v>
      </c>
      <c r="AY1314" s="233" t="str">
        <f>VLOOKUP(Table8[[#This Row],[Country Code]],Table29[],10,FALSE)</f>
        <v>no</v>
      </c>
      <c r="AZ1314" s="235">
        <f>VLOOKUP(Table8[[#This Row],[Country Code]],Table29[],23,FALSE)</f>
        <v>10.957491923456001</v>
      </c>
      <c r="BA1314" s="235">
        <f>VLOOKUP(Table8[[#This Row],[Country Code]],Table29[],24,FALSE)</f>
        <v>3.102706195463615</v>
      </c>
      <c r="BB1314" s="320"/>
      <c r="BC1314" s="320"/>
    </row>
    <row r="1315" spans="1:55" ht="45" hidden="1" x14ac:dyDescent="0.25">
      <c r="A1315" s="373">
        <v>17638</v>
      </c>
      <c r="B1315" s="233" t="str">
        <f>VLOOKUP(Table8[[#This Row],[Document ID]],Table1[],2,FALSE)</f>
        <v>LVA</v>
      </c>
      <c r="C1315" s="233" t="str">
        <f>VLOOKUP(Table8[[#This Row],[Document ID]],Table1[],3,FALSE)</f>
        <v>Latvia</v>
      </c>
      <c r="D1315" s="243" t="str">
        <f>VLOOKUP(Table8[[#This Row],[Document ID]],Table1[],5,FALSE)</f>
        <v>LTS</v>
      </c>
      <c r="E1315" s="233" t="str">
        <f>VLOOKUP(Table8[[#This Row],[Document ID]],Table1[],7,FALSE)</f>
        <v>LTS</v>
      </c>
      <c r="F1315" s="233" t="str">
        <f>VLOOKUP(Table8[[#This Row],[Document ID]],Table1[],8,FALSE)</f>
        <v>LTS 1.0</v>
      </c>
      <c r="G1315" s="233" t="str">
        <f>VLOOKUP(Table8[[#This Row],[Document ID]],Table1[],10,FALSE)</f>
        <v>Active</v>
      </c>
      <c r="H1315" s="44" t="s">
        <v>2329</v>
      </c>
      <c r="I1315" s="44" t="s">
        <v>2330</v>
      </c>
      <c r="J1315" s="44" t="s">
        <v>2381</v>
      </c>
      <c r="K1315" s="44" t="s">
        <v>3571</v>
      </c>
      <c r="L1315" s="44" t="s">
        <v>2333</v>
      </c>
      <c r="M1315" s="43">
        <v>16</v>
      </c>
      <c r="N1315" s="113" t="s">
        <v>1113</v>
      </c>
      <c r="O1315" s="113"/>
      <c r="P1315" s="113"/>
      <c r="Q1315" s="113"/>
      <c r="R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319" t="s">
        <v>1113</v>
      </c>
      <c r="AL1315" s="113"/>
      <c r="AM1315" s="113"/>
      <c r="AN1315" s="113"/>
      <c r="AO1315" s="44" t="s">
        <v>2334</v>
      </c>
      <c r="AP1315" s="43"/>
      <c r="AQ1315" s="236" t="str">
        <f>VLOOKUP(Table8[[#This Row],[Instrument]],Def_Targets!$D$73:$E$159,2,FALSE)</f>
        <v>I_RE</v>
      </c>
      <c r="AR1315" s="233" t="str">
        <f>VLOOKUP(Table8[[#This Row],[Country Code]],Table29[],3,FALSE)</f>
        <v>Annex I</v>
      </c>
      <c r="AS1315" s="233" t="str">
        <f>VLOOKUP(Table8[[#This Row],[Country Code]],Table29[],4,FALSE)</f>
        <v>Europe</v>
      </c>
      <c r="AT1315" s="233" t="str">
        <f>VLOOKUP(Table8[[#This Row],[Country Code]],Table29[],5,FALSE)</f>
        <v>High-income</v>
      </c>
      <c r="AU1315" s="233" t="str">
        <f>VLOOKUP(Table8[[#This Row],[Country Code]],Table29[],6,FALSE)</f>
        <v>no</v>
      </c>
      <c r="AV1315" s="233" t="str">
        <f>VLOOKUP(Table8[[#This Row],[Country Code]],Table29[],7,FALSE)</f>
        <v>no</v>
      </c>
      <c r="AW1315" s="233" t="str">
        <f>VLOOKUP(Table8[[#This Row],[Country Code]],Table29[],8,FALSE)</f>
        <v>OECD</v>
      </c>
      <c r="AX1315" s="233" t="str">
        <f>VLOOKUP(Table8[[#This Row],[Country Code]],Table29[],9,FALSE)</f>
        <v>EU27</v>
      </c>
      <c r="AY1315" s="233" t="str">
        <f>VLOOKUP(Table8[[#This Row],[Country Code]],Table29[],10,FALSE)</f>
        <v>no</v>
      </c>
      <c r="AZ1315" s="235">
        <f>VLOOKUP(Table8[[#This Row],[Country Code]],Table29[],23,FALSE)</f>
        <v>10.957491923456001</v>
      </c>
      <c r="BA1315" s="235">
        <f>VLOOKUP(Table8[[#This Row],[Country Code]],Table29[],24,FALSE)</f>
        <v>3.102706195463615</v>
      </c>
      <c r="BB1315" s="320"/>
      <c r="BC1315" s="320"/>
    </row>
    <row r="1316" spans="1:55" s="17" customFormat="1" hidden="1" x14ac:dyDescent="0.25">
      <c r="A1316" s="360">
        <v>23385</v>
      </c>
      <c r="B1316" s="233" t="str">
        <f>VLOOKUP(Table8[[#This Row],[Document ID]],Table1[],2,FALSE)</f>
        <v>MRT</v>
      </c>
      <c r="C1316" s="233" t="str">
        <f>VLOOKUP(Table8[[#This Row],[Document ID]],Table1[],3,FALSE)</f>
        <v>Mauritania</v>
      </c>
      <c r="D1316" s="233" t="str">
        <f>VLOOKUP(Table8[[#This Row],[Document ID]],Table1[],5,FALSE)</f>
        <v>NDC</v>
      </c>
      <c r="E1316" s="233" t="str">
        <f>VLOOKUP(Table8[[#This Row],[Document ID]],Table1[],7,FALSE)</f>
        <v>First NDC updated</v>
      </c>
      <c r="F1316" s="233" t="str">
        <f>VLOOKUP(Table8[[#This Row],[Document ID]],Table1[],8,FALSE)</f>
        <v>NDC 1.1</v>
      </c>
      <c r="G1316" s="233" t="str">
        <f>VLOOKUP(Table8[[#This Row],[Document ID]],Table1[],10,FALSE)</f>
        <v>Active</v>
      </c>
      <c r="H1316" s="43" t="s">
        <v>2343</v>
      </c>
      <c r="I1316" s="43" t="s">
        <v>2344</v>
      </c>
      <c r="J1316" s="44" t="s">
        <v>2405</v>
      </c>
      <c r="K1316" s="44" t="s">
        <v>3572</v>
      </c>
      <c r="L1316" s="44" t="s">
        <v>2347</v>
      </c>
      <c r="M1316" s="43">
        <v>15</v>
      </c>
      <c r="N1316" s="113"/>
      <c r="O1316" s="113"/>
      <c r="P1316" s="113"/>
      <c r="Q1316" s="113"/>
      <c r="R1316" s="113"/>
      <c r="S1316" s="113"/>
      <c r="T1316" s="113"/>
      <c r="U1316" s="113"/>
      <c r="V1316" s="113"/>
      <c r="W1316" s="113"/>
      <c r="X1316" s="113"/>
      <c r="Y1316" s="113"/>
      <c r="Z1316" s="113"/>
      <c r="AA1316" s="113"/>
      <c r="AB1316" s="113"/>
      <c r="AC1316" s="113" t="s">
        <v>1113</v>
      </c>
      <c r="AD1316" s="113"/>
      <c r="AE1316" s="113"/>
      <c r="AF1316" s="113"/>
      <c r="AG1316" s="113"/>
      <c r="AH1316" s="113"/>
      <c r="AI1316" s="113"/>
      <c r="AJ1316" s="113"/>
      <c r="AK1316" s="113"/>
      <c r="AL1316" s="113" t="s">
        <v>1113</v>
      </c>
      <c r="AM1316" s="113"/>
      <c r="AN1316" s="113"/>
      <c r="AO1316" s="43" t="s">
        <v>2348</v>
      </c>
      <c r="AP1316" s="43"/>
      <c r="AQ1316" s="236" t="str">
        <f>VLOOKUP(Table8[[#This Row],[Instrument]],Def_Targets!$D$73:$E$159,2,FALSE)</f>
        <v>S_PTIntegration</v>
      </c>
      <c r="AR1316" s="233" t="str">
        <f>VLOOKUP(Table8[[#This Row],[Country Code]],Table29[],3,FALSE)</f>
        <v>Non-Annex I</v>
      </c>
      <c r="AS1316" s="233" t="str">
        <f>VLOOKUP(Table8[[#This Row],[Country Code]],Table29[],4,FALSE)</f>
        <v>Africa</v>
      </c>
      <c r="AT1316" s="233" t="str">
        <f>VLOOKUP(Table8[[#This Row],[Country Code]],Table29[],5,FALSE)</f>
        <v>Middle-income</v>
      </c>
      <c r="AU1316" s="233" t="str">
        <f>VLOOKUP(Table8[[#This Row],[Country Code]],Table29[],6,FALSE)</f>
        <v>no</v>
      </c>
      <c r="AV1316" s="233" t="str">
        <f>VLOOKUP(Table8[[#This Row],[Country Code]],Table29[],7,FALSE)</f>
        <v>no</v>
      </c>
      <c r="AW1316" s="233" t="str">
        <f>VLOOKUP(Table8[[#This Row],[Country Code]],Table29[],8,FALSE)</f>
        <v>non-OECD</v>
      </c>
      <c r="AX1316" s="233" t="str">
        <f>VLOOKUP(Table8[[#This Row],[Country Code]],Table29[],9,FALSE)</f>
        <v>no</v>
      </c>
      <c r="AY1316" s="233" t="str">
        <f>VLOOKUP(Table8[[#This Row],[Country Code]],Table29[],10,FALSE)</f>
        <v>no</v>
      </c>
      <c r="AZ1316" s="235">
        <f>VLOOKUP(Table8[[#This Row],[Country Code]],Table29[],23,FALSE)</f>
        <v>16.509274363264002</v>
      </c>
      <c r="BA1316" s="235">
        <f>VLOOKUP(Table8[[#This Row],[Country Code]],Table29[],24,FALSE)</f>
        <v>2.480994947533218</v>
      </c>
      <c r="BB1316" s="320"/>
      <c r="BC1316" s="320"/>
    </row>
    <row r="1317" spans="1:55" ht="60" hidden="1" x14ac:dyDescent="0.25">
      <c r="A1317" s="360">
        <v>23385</v>
      </c>
      <c r="B1317" s="233" t="str">
        <f>VLOOKUP(Table8[[#This Row],[Document ID]],Table1[],2,FALSE)</f>
        <v>MRT</v>
      </c>
      <c r="C1317" s="233" t="str">
        <f>VLOOKUP(Table8[[#This Row],[Document ID]],Table1[],3,FALSE)</f>
        <v>Mauritania</v>
      </c>
      <c r="D1317" s="233" t="str">
        <f>VLOOKUP(Table8[[#This Row],[Document ID]],Table1[],5,FALSE)</f>
        <v>NDC</v>
      </c>
      <c r="E1317" s="233" t="str">
        <f>VLOOKUP(Table8[[#This Row],[Document ID]],Table1[],7,FALSE)</f>
        <v>First NDC updated</v>
      </c>
      <c r="F1317" s="233" t="str">
        <f>VLOOKUP(Table8[[#This Row],[Document ID]],Table1[],8,FALSE)</f>
        <v>NDC 1.1</v>
      </c>
      <c r="G1317" s="233" t="str">
        <f>VLOOKUP(Table8[[#This Row],[Document ID]],Table1[],10,FALSE)</f>
        <v>Active</v>
      </c>
      <c r="H1317" s="44" t="s">
        <v>2338</v>
      </c>
      <c r="I1317" s="44" t="s">
        <v>2339</v>
      </c>
      <c r="J1317" s="44" t="s">
        <v>2410</v>
      </c>
      <c r="K1317" s="44" t="s">
        <v>3573</v>
      </c>
      <c r="L1317" s="44" t="s">
        <v>2333</v>
      </c>
      <c r="M1317" s="43">
        <v>55</v>
      </c>
      <c r="N1317" s="113" t="s">
        <v>1113</v>
      </c>
      <c r="O1317" s="113"/>
      <c r="P1317" s="113"/>
      <c r="Q1317" s="113"/>
      <c r="R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t="s">
        <v>1113</v>
      </c>
      <c r="AL1317" s="113"/>
      <c r="AM1317" s="113"/>
      <c r="AN1317" s="113"/>
      <c r="AO1317" s="44" t="s">
        <v>2334</v>
      </c>
      <c r="AP1317" s="43"/>
      <c r="AQ1317" s="236" t="str">
        <f>VLOOKUP(Table8[[#This Row],[Instrument]],Def_Targets!$D$73:$E$159,2,FALSE)</f>
        <v>I_VehicleRestrictions</v>
      </c>
      <c r="AR1317" s="233" t="str">
        <f>VLOOKUP(Table8[[#This Row],[Country Code]],Table29[],3,FALSE)</f>
        <v>Non-Annex I</v>
      </c>
      <c r="AS1317" s="233" t="str">
        <f>VLOOKUP(Table8[[#This Row],[Country Code]],Table29[],4,FALSE)</f>
        <v>Africa</v>
      </c>
      <c r="AT1317" s="233" t="str">
        <f>VLOOKUP(Table8[[#This Row],[Country Code]],Table29[],5,FALSE)</f>
        <v>Middle-income</v>
      </c>
      <c r="AU1317" s="233" t="str">
        <f>VLOOKUP(Table8[[#This Row],[Country Code]],Table29[],6,FALSE)</f>
        <v>no</v>
      </c>
      <c r="AV1317" s="233" t="str">
        <f>VLOOKUP(Table8[[#This Row],[Country Code]],Table29[],7,FALSE)</f>
        <v>no</v>
      </c>
      <c r="AW1317" s="233" t="str">
        <f>VLOOKUP(Table8[[#This Row],[Country Code]],Table29[],8,FALSE)</f>
        <v>non-OECD</v>
      </c>
      <c r="AX1317" s="233" t="str">
        <f>VLOOKUP(Table8[[#This Row],[Country Code]],Table29[],9,FALSE)</f>
        <v>no</v>
      </c>
      <c r="AY1317" s="233" t="str">
        <f>VLOOKUP(Table8[[#This Row],[Country Code]],Table29[],10,FALSE)</f>
        <v>no</v>
      </c>
      <c r="AZ1317" s="235">
        <f>VLOOKUP(Table8[[#This Row],[Country Code]],Table29[],23,FALSE)</f>
        <v>16.509274363264002</v>
      </c>
      <c r="BA1317" s="235">
        <f>VLOOKUP(Table8[[#This Row],[Country Code]],Table29[],24,FALSE)</f>
        <v>2.480994947533218</v>
      </c>
      <c r="BB1317" s="320"/>
      <c r="BC1317" s="320"/>
    </row>
    <row r="1318" spans="1:55" hidden="1" x14ac:dyDescent="0.25">
      <c r="A1318" s="360">
        <v>23385</v>
      </c>
      <c r="B1318" s="233" t="str">
        <f>VLOOKUP(Table8[[#This Row],[Document ID]],Table1[],2,FALSE)</f>
        <v>MRT</v>
      </c>
      <c r="C1318" s="233" t="str">
        <f>VLOOKUP(Table8[[#This Row],[Document ID]],Table1[],3,FALSE)</f>
        <v>Mauritania</v>
      </c>
      <c r="D1318" s="233" t="str">
        <f>VLOOKUP(Table8[[#This Row],[Document ID]],Table1[],5,FALSE)</f>
        <v>NDC</v>
      </c>
      <c r="E1318" s="233" t="str">
        <f>VLOOKUP(Table8[[#This Row],[Document ID]],Table1[],7,FALSE)</f>
        <v>First NDC updated</v>
      </c>
      <c r="F1318" s="233" t="str">
        <f>VLOOKUP(Table8[[#This Row],[Document ID]],Table1[],8,FALSE)</f>
        <v>NDC 1.1</v>
      </c>
      <c r="G1318" s="233" t="str">
        <f>VLOOKUP(Table8[[#This Row],[Document ID]],Table1[],10,FALSE)</f>
        <v>Active</v>
      </c>
      <c r="H1318" s="44" t="s">
        <v>2338</v>
      </c>
      <c r="I1318" s="44" t="s">
        <v>2339</v>
      </c>
      <c r="J1318" s="44" t="s">
        <v>2340</v>
      </c>
      <c r="K1318" s="44" t="s">
        <v>3574</v>
      </c>
      <c r="L1318" s="44" t="s">
        <v>2333</v>
      </c>
      <c r="M1318" s="43">
        <v>55</v>
      </c>
      <c r="N1318" s="113" t="s">
        <v>1113</v>
      </c>
      <c r="O1318" s="113"/>
      <c r="P1318" s="113"/>
      <c r="Q1318" s="113"/>
      <c r="R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t="s">
        <v>1113</v>
      </c>
      <c r="AL1318" s="113"/>
      <c r="AM1318" s="113"/>
      <c r="AN1318" s="113"/>
      <c r="AO1318" s="44" t="s">
        <v>2334</v>
      </c>
      <c r="AP1318" s="43"/>
      <c r="AQ1318" s="236" t="str">
        <f>VLOOKUP(Table8[[#This Row],[Instrument]],Def_Targets!$D$73:$E$159,2,FALSE)</f>
        <v>I_Vehicleimprove</v>
      </c>
      <c r="AR1318" s="233" t="str">
        <f>VLOOKUP(Table8[[#This Row],[Country Code]],Table29[],3,FALSE)</f>
        <v>Non-Annex I</v>
      </c>
      <c r="AS1318" s="233" t="str">
        <f>VLOOKUP(Table8[[#This Row],[Country Code]],Table29[],4,FALSE)</f>
        <v>Africa</v>
      </c>
      <c r="AT1318" s="233" t="str">
        <f>VLOOKUP(Table8[[#This Row],[Country Code]],Table29[],5,FALSE)</f>
        <v>Middle-income</v>
      </c>
      <c r="AU1318" s="233" t="str">
        <f>VLOOKUP(Table8[[#This Row],[Country Code]],Table29[],6,FALSE)</f>
        <v>no</v>
      </c>
      <c r="AV1318" s="233" t="str">
        <f>VLOOKUP(Table8[[#This Row],[Country Code]],Table29[],7,FALSE)</f>
        <v>no</v>
      </c>
      <c r="AW1318" s="233" t="str">
        <f>VLOOKUP(Table8[[#This Row],[Country Code]],Table29[],8,FALSE)</f>
        <v>non-OECD</v>
      </c>
      <c r="AX1318" s="233" t="str">
        <f>VLOOKUP(Table8[[#This Row],[Country Code]],Table29[],9,FALSE)</f>
        <v>no</v>
      </c>
      <c r="AY1318" s="233" t="str">
        <f>VLOOKUP(Table8[[#This Row],[Country Code]],Table29[],10,FALSE)</f>
        <v>no</v>
      </c>
      <c r="AZ1318" s="235">
        <f>VLOOKUP(Table8[[#This Row],[Country Code]],Table29[],23,FALSE)</f>
        <v>16.509274363264002</v>
      </c>
      <c r="BA1318" s="235">
        <f>VLOOKUP(Table8[[#This Row],[Country Code]],Table29[],24,FALSE)</f>
        <v>2.480994947533218</v>
      </c>
      <c r="BB1318" s="320"/>
      <c r="BC1318" s="320"/>
    </row>
    <row r="1319" spans="1:55" hidden="1" x14ac:dyDescent="0.25">
      <c r="A1319" s="360">
        <v>23385</v>
      </c>
      <c r="B1319" s="233" t="str">
        <f>VLOOKUP(Table8[[#This Row],[Document ID]],Table1[],2,FALSE)</f>
        <v>MRT</v>
      </c>
      <c r="C1319" s="233" t="str">
        <f>VLOOKUP(Table8[[#This Row],[Document ID]],Table1[],3,FALSE)</f>
        <v>Mauritania</v>
      </c>
      <c r="D1319" s="233" t="str">
        <f>VLOOKUP(Table8[[#This Row],[Document ID]],Table1[],5,FALSE)</f>
        <v>NDC</v>
      </c>
      <c r="E1319" s="233" t="str">
        <f>VLOOKUP(Table8[[#This Row],[Document ID]],Table1[],7,FALSE)</f>
        <v>First NDC updated</v>
      </c>
      <c r="F1319" s="233" t="str">
        <f>VLOOKUP(Table8[[#This Row],[Document ID]],Table1[],8,FALSE)</f>
        <v>NDC 1.1</v>
      </c>
      <c r="G1319" s="233" t="str">
        <f>VLOOKUP(Table8[[#This Row],[Document ID]],Table1[],10,FALSE)</f>
        <v>Active</v>
      </c>
      <c r="H1319" s="44" t="s">
        <v>2329</v>
      </c>
      <c r="I1319" s="44" t="s">
        <v>2330</v>
      </c>
      <c r="J1319" s="44" t="s">
        <v>2363</v>
      </c>
      <c r="K1319" s="44" t="s">
        <v>3575</v>
      </c>
      <c r="L1319" s="44" t="s">
        <v>2333</v>
      </c>
      <c r="M1319" s="43">
        <v>56</v>
      </c>
      <c r="N1319" s="113" t="s">
        <v>1113</v>
      </c>
      <c r="O1319" s="113"/>
      <c r="P1319" s="113"/>
      <c r="Q1319" s="113"/>
      <c r="R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t="s">
        <v>1113</v>
      </c>
      <c r="AL1319" s="113"/>
      <c r="AM1319" s="113"/>
      <c r="AN1319" s="113"/>
      <c r="AO1319" s="44" t="s">
        <v>2334</v>
      </c>
      <c r="AP1319" s="43"/>
      <c r="AQ1319" s="236" t="str">
        <f>VLOOKUP(Table8[[#This Row],[Instrument]],Def_Targets!$D$73:$E$159,2,FALSE)</f>
        <v>I_LPGCNGLNG</v>
      </c>
      <c r="AR1319" s="233" t="str">
        <f>VLOOKUP(Table8[[#This Row],[Country Code]],Table29[],3,FALSE)</f>
        <v>Non-Annex I</v>
      </c>
      <c r="AS1319" s="233" t="str">
        <f>VLOOKUP(Table8[[#This Row],[Country Code]],Table29[],4,FALSE)</f>
        <v>Africa</v>
      </c>
      <c r="AT1319" s="233" t="str">
        <f>VLOOKUP(Table8[[#This Row],[Country Code]],Table29[],5,FALSE)</f>
        <v>Middle-income</v>
      </c>
      <c r="AU1319" s="233" t="str">
        <f>VLOOKUP(Table8[[#This Row],[Country Code]],Table29[],6,FALSE)</f>
        <v>no</v>
      </c>
      <c r="AV1319" s="233" t="str">
        <f>VLOOKUP(Table8[[#This Row],[Country Code]],Table29[],7,FALSE)</f>
        <v>no</v>
      </c>
      <c r="AW1319" s="233" t="str">
        <f>VLOOKUP(Table8[[#This Row],[Country Code]],Table29[],8,FALSE)</f>
        <v>non-OECD</v>
      </c>
      <c r="AX1319" s="233" t="str">
        <f>VLOOKUP(Table8[[#This Row],[Country Code]],Table29[],9,FALSE)</f>
        <v>no</v>
      </c>
      <c r="AY1319" s="233" t="str">
        <f>VLOOKUP(Table8[[#This Row],[Country Code]],Table29[],10,FALSE)</f>
        <v>no</v>
      </c>
      <c r="AZ1319" s="235">
        <f>VLOOKUP(Table8[[#This Row],[Country Code]],Table29[],23,FALSE)</f>
        <v>16.509274363264002</v>
      </c>
      <c r="BA1319" s="235">
        <f>VLOOKUP(Table8[[#This Row],[Country Code]],Table29[],24,FALSE)</f>
        <v>2.480994947533218</v>
      </c>
      <c r="BB1319" s="320"/>
      <c r="BC1319" s="320"/>
    </row>
    <row r="1320" spans="1:55" hidden="1" x14ac:dyDescent="0.25">
      <c r="A1320" s="360">
        <v>23385</v>
      </c>
      <c r="B1320" s="233" t="str">
        <f>VLOOKUP(Table8[[#This Row],[Document ID]],Table1[],2,FALSE)</f>
        <v>MRT</v>
      </c>
      <c r="C1320" s="233" t="str">
        <f>VLOOKUP(Table8[[#This Row],[Document ID]],Table1[],3,FALSE)</f>
        <v>Mauritania</v>
      </c>
      <c r="D1320" s="233" t="str">
        <f>VLOOKUP(Table8[[#This Row],[Document ID]],Table1[],5,FALSE)</f>
        <v>NDC</v>
      </c>
      <c r="E1320" s="233" t="str">
        <f>VLOOKUP(Table8[[#This Row],[Document ID]],Table1[],7,FALSE)</f>
        <v>First NDC updated</v>
      </c>
      <c r="F1320" s="233" t="str">
        <f>VLOOKUP(Table8[[#This Row],[Document ID]],Table1[],8,FALSE)</f>
        <v>NDC 1.1</v>
      </c>
      <c r="G1320" s="233" t="str">
        <f>VLOOKUP(Table8[[#This Row],[Document ID]],Table1[],10,FALSE)</f>
        <v>Active</v>
      </c>
      <c r="H1320" s="43" t="s">
        <v>2358</v>
      </c>
      <c r="I1320" s="43" t="s">
        <v>2359</v>
      </c>
      <c r="J1320" s="44" t="s">
        <v>2360</v>
      </c>
      <c r="K1320" s="44" t="s">
        <v>3576</v>
      </c>
      <c r="L1320" s="44" t="s">
        <v>2333</v>
      </c>
      <c r="M1320" s="43">
        <v>56</v>
      </c>
      <c r="N1320" s="113" t="s">
        <v>1113</v>
      </c>
      <c r="O1320" s="113"/>
      <c r="P1320" s="113"/>
      <c r="Q1320" s="113"/>
      <c r="R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t="s">
        <v>1113</v>
      </c>
      <c r="AL1320" s="113"/>
      <c r="AM1320" s="113"/>
      <c r="AN1320" s="113"/>
      <c r="AO1320" s="44" t="s">
        <v>2334</v>
      </c>
      <c r="AP1320" s="43"/>
      <c r="AQ1320" s="236" t="str">
        <f>VLOOKUP(Table8[[#This Row],[Instrument]],Def_Targets!$D$73:$E$159,2,FALSE)</f>
        <v>I_Emobility</v>
      </c>
      <c r="AR1320" s="233" t="str">
        <f>VLOOKUP(Table8[[#This Row],[Country Code]],Table29[],3,FALSE)</f>
        <v>Non-Annex I</v>
      </c>
      <c r="AS1320" s="233" t="str">
        <f>VLOOKUP(Table8[[#This Row],[Country Code]],Table29[],4,FALSE)</f>
        <v>Africa</v>
      </c>
      <c r="AT1320" s="233" t="str">
        <f>VLOOKUP(Table8[[#This Row],[Country Code]],Table29[],5,FALSE)</f>
        <v>Middle-income</v>
      </c>
      <c r="AU1320" s="233" t="str">
        <f>VLOOKUP(Table8[[#This Row],[Country Code]],Table29[],6,FALSE)</f>
        <v>no</v>
      </c>
      <c r="AV1320" s="233" t="str">
        <f>VLOOKUP(Table8[[#This Row],[Country Code]],Table29[],7,FALSE)</f>
        <v>no</v>
      </c>
      <c r="AW1320" s="233" t="str">
        <f>VLOOKUP(Table8[[#This Row],[Country Code]],Table29[],8,FALSE)</f>
        <v>non-OECD</v>
      </c>
      <c r="AX1320" s="233" t="str">
        <f>VLOOKUP(Table8[[#This Row],[Country Code]],Table29[],9,FALSE)</f>
        <v>no</v>
      </c>
      <c r="AY1320" s="233" t="str">
        <f>VLOOKUP(Table8[[#This Row],[Country Code]],Table29[],10,FALSE)</f>
        <v>no</v>
      </c>
      <c r="AZ1320" s="235">
        <f>VLOOKUP(Table8[[#This Row],[Country Code]],Table29[],23,FALSE)</f>
        <v>16.509274363264002</v>
      </c>
      <c r="BA1320" s="235">
        <f>VLOOKUP(Table8[[#This Row],[Country Code]],Table29[],24,FALSE)</f>
        <v>2.480994947533218</v>
      </c>
      <c r="BB1320" s="320"/>
      <c r="BC1320" s="320"/>
    </row>
    <row r="1321" spans="1:55" ht="30" hidden="1" x14ac:dyDescent="0.25">
      <c r="A1321" s="360">
        <v>23385</v>
      </c>
      <c r="B1321" s="233" t="str">
        <f>VLOOKUP(Table8[[#This Row],[Document ID]],Table1[],2,FALSE)</f>
        <v>MRT</v>
      </c>
      <c r="C1321" s="233" t="str">
        <f>VLOOKUP(Table8[[#This Row],[Document ID]],Table1[],3,FALSE)</f>
        <v>Mauritania</v>
      </c>
      <c r="D1321" s="233" t="str">
        <f>VLOOKUP(Table8[[#This Row],[Document ID]],Table1[],5,FALSE)</f>
        <v>NDC</v>
      </c>
      <c r="E1321" s="233" t="str">
        <f>VLOOKUP(Table8[[#This Row],[Document ID]],Table1[],7,FALSE)</f>
        <v>First NDC updated</v>
      </c>
      <c r="F1321" s="233" t="str">
        <f>VLOOKUP(Table8[[#This Row],[Document ID]],Table1[],8,FALSE)</f>
        <v>NDC 1.1</v>
      </c>
      <c r="G1321" s="233" t="str">
        <f>VLOOKUP(Table8[[#This Row],[Document ID]],Table1[],10,FALSE)</f>
        <v>Active</v>
      </c>
      <c r="H1321" s="43" t="s">
        <v>2350</v>
      </c>
      <c r="I1321" s="43" t="s">
        <v>2456</v>
      </c>
      <c r="J1321" s="44" t="s">
        <v>2466</v>
      </c>
      <c r="K1321" s="44" t="s">
        <v>3577</v>
      </c>
      <c r="L1321" s="44" t="s">
        <v>2347</v>
      </c>
      <c r="M1321" s="43">
        <v>56</v>
      </c>
      <c r="N1321" s="113"/>
      <c r="O1321" s="113"/>
      <c r="P1321" s="113"/>
      <c r="Q1321" s="113"/>
      <c r="R1321" s="113"/>
      <c r="S1321" s="113"/>
      <c r="T1321" s="113"/>
      <c r="U1321" s="113"/>
      <c r="V1321" s="113"/>
      <c r="W1321" s="113"/>
      <c r="X1321" s="113"/>
      <c r="Y1321" s="113"/>
      <c r="Z1321" s="113" t="s">
        <v>1113</v>
      </c>
      <c r="AA1321" s="113"/>
      <c r="AB1321" s="113"/>
      <c r="AC1321" s="113"/>
      <c r="AD1321" s="113"/>
      <c r="AE1321" s="113"/>
      <c r="AF1321" s="113"/>
      <c r="AG1321" s="113"/>
      <c r="AH1321" s="113"/>
      <c r="AI1321" s="113"/>
      <c r="AJ1321" s="113"/>
      <c r="AK1321" s="113"/>
      <c r="AL1321" s="113"/>
      <c r="AM1321" s="113"/>
      <c r="AN1321" s="113" t="s">
        <v>1113</v>
      </c>
      <c r="AO1321" s="43" t="s">
        <v>2477</v>
      </c>
      <c r="AP1321" s="43"/>
      <c r="AQ1321" s="236" t="str">
        <f>VLOOKUP(Table8[[#This Row],[Instrument]],Def_Targets!$D$73:$E$159,2,FALSE)</f>
        <v>S_Infraexpansion</v>
      </c>
      <c r="AR1321" s="233" t="str">
        <f>VLOOKUP(Table8[[#This Row],[Country Code]],Table29[],3,FALSE)</f>
        <v>Non-Annex I</v>
      </c>
      <c r="AS1321" s="233" t="str">
        <f>VLOOKUP(Table8[[#This Row],[Country Code]],Table29[],4,FALSE)</f>
        <v>Africa</v>
      </c>
      <c r="AT1321" s="233" t="str">
        <f>VLOOKUP(Table8[[#This Row],[Country Code]],Table29[],5,FALSE)</f>
        <v>Middle-income</v>
      </c>
      <c r="AU1321" s="233" t="str">
        <f>VLOOKUP(Table8[[#This Row],[Country Code]],Table29[],6,FALSE)</f>
        <v>no</v>
      </c>
      <c r="AV1321" s="233" t="str">
        <f>VLOOKUP(Table8[[#This Row],[Country Code]],Table29[],7,FALSE)</f>
        <v>no</v>
      </c>
      <c r="AW1321" s="233" t="str">
        <f>VLOOKUP(Table8[[#This Row],[Country Code]],Table29[],8,FALSE)</f>
        <v>non-OECD</v>
      </c>
      <c r="AX1321" s="233" t="str">
        <f>VLOOKUP(Table8[[#This Row],[Country Code]],Table29[],9,FALSE)</f>
        <v>no</v>
      </c>
      <c r="AY1321" s="233" t="str">
        <f>VLOOKUP(Table8[[#This Row],[Country Code]],Table29[],10,FALSE)</f>
        <v>no</v>
      </c>
      <c r="AZ1321" s="235">
        <f>VLOOKUP(Table8[[#This Row],[Country Code]],Table29[],23,FALSE)</f>
        <v>16.509274363264002</v>
      </c>
      <c r="BA1321" s="235">
        <f>VLOOKUP(Table8[[#This Row],[Country Code]],Table29[],24,FALSE)</f>
        <v>2.480994947533218</v>
      </c>
      <c r="BB1321" s="320"/>
      <c r="BC1321" s="320"/>
    </row>
    <row r="1322" spans="1:55" ht="30" hidden="1" x14ac:dyDescent="0.25">
      <c r="A1322" s="373">
        <v>17659</v>
      </c>
      <c r="B1322" s="233" t="str">
        <f>VLOOKUP(Table8[[#This Row],[Document ID]],Table1[],2,FALSE)</f>
        <v>MUS</v>
      </c>
      <c r="C1322" s="233" t="str">
        <f>VLOOKUP(Table8[[#This Row],[Document ID]],Table1[],3,FALSE)</f>
        <v>Mauritius</v>
      </c>
      <c r="D1322" s="243" t="str">
        <f>VLOOKUP(Table8[[#This Row],[Document ID]],Table1[],5,FALSE)</f>
        <v>NDC</v>
      </c>
      <c r="E1322" s="233" t="str">
        <f>VLOOKUP(Table8[[#This Row],[Document ID]],Table1[],7,FALSE)</f>
        <v>First NDC</v>
      </c>
      <c r="F1322" s="236" t="str">
        <f>VLOOKUP(Table8[[#This Row],[Document ID]],Table1[],8,FALSE)</f>
        <v>NDC 1.0</v>
      </c>
      <c r="G1322" s="236" t="str">
        <f>VLOOKUP(Table8[[#This Row],[Document ID]],Table1[],10,FALSE)</f>
        <v>Archived</v>
      </c>
      <c r="H1322" s="44" t="s">
        <v>2338</v>
      </c>
      <c r="I1322" s="44" t="s">
        <v>2339</v>
      </c>
      <c r="J1322" s="44" t="s">
        <v>2340</v>
      </c>
      <c r="K1322" s="44" t="s">
        <v>3578</v>
      </c>
      <c r="L1322" s="44" t="s">
        <v>2333</v>
      </c>
      <c r="M1322" s="43"/>
      <c r="N1322" s="113" t="s">
        <v>1113</v>
      </c>
      <c r="O1322" s="113"/>
      <c r="P1322" s="113"/>
      <c r="Q1322" s="319"/>
      <c r="R1322" s="319"/>
      <c r="S1322" s="319"/>
      <c r="T1322" s="319"/>
      <c r="U1322" s="319"/>
      <c r="V1322" s="319"/>
      <c r="W1322" s="319"/>
      <c r="X1322" s="319"/>
      <c r="Y1322" s="319"/>
      <c r="Z1322" s="319"/>
      <c r="AA1322" s="319"/>
      <c r="AB1322" s="319"/>
      <c r="AC1322" s="319"/>
      <c r="AD1322" s="319"/>
      <c r="AE1322" s="319"/>
      <c r="AF1322" s="319"/>
      <c r="AG1322" s="319"/>
      <c r="AH1322" s="319"/>
      <c r="AI1322" s="319"/>
      <c r="AJ1322" s="319"/>
      <c r="AK1322" s="319" t="s">
        <v>1113</v>
      </c>
      <c r="AL1322" s="319"/>
      <c r="AM1322" s="319"/>
      <c r="AN1322" s="319"/>
      <c r="AO1322" s="43" t="s">
        <v>2348</v>
      </c>
      <c r="AP1322" s="44"/>
      <c r="AQ1322" s="236" t="str">
        <f>VLOOKUP(Table8[[#This Row],[Instrument]],Def_Targets!$D$73:$E$159,2,FALSE)</f>
        <v>I_Vehicleimprove</v>
      </c>
      <c r="AR1322" s="233" t="str">
        <f>VLOOKUP(Table8[[#This Row],[Country Code]],Table29[],3,FALSE)</f>
        <v>Non-Annex I</v>
      </c>
      <c r="AS1322" s="233" t="str">
        <f>VLOOKUP(Table8[[#This Row],[Country Code]],Table29[],4,FALSE)</f>
        <v>Africa</v>
      </c>
      <c r="AT1322" s="233" t="str">
        <f>VLOOKUP(Table8[[#This Row],[Country Code]],Table29[],5,FALSE)</f>
        <v>Middle-income</v>
      </c>
      <c r="AU1322" s="233" t="str">
        <f>VLOOKUP(Table8[[#This Row],[Country Code]],Table29[],6,FALSE)</f>
        <v>no</v>
      </c>
      <c r="AV1322" s="233" t="str">
        <f>VLOOKUP(Table8[[#This Row],[Country Code]],Table29[],7,FALSE)</f>
        <v>no</v>
      </c>
      <c r="AW1322" s="233" t="str">
        <f>VLOOKUP(Table8[[#This Row],[Country Code]],Table29[],8,FALSE)</f>
        <v>non-OECD</v>
      </c>
      <c r="AX1322" s="233" t="str">
        <f>VLOOKUP(Table8[[#This Row],[Country Code]],Table29[],9,FALSE)</f>
        <v>no</v>
      </c>
      <c r="AY1322" s="233" t="str">
        <f>VLOOKUP(Table8[[#This Row],[Country Code]],Table29[],10,FALSE)</f>
        <v>no</v>
      </c>
      <c r="AZ1322" s="235">
        <f>VLOOKUP(Table8[[#This Row],[Country Code]],Table29[],23,FALSE)</f>
        <v>6.1987377637868999</v>
      </c>
      <c r="BA1322" s="235">
        <f>VLOOKUP(Table8[[#This Row],[Country Code]],Table29[],24,FALSE)</f>
        <v>1.164355346283908</v>
      </c>
      <c r="BB1322" s="320"/>
      <c r="BC1322" s="320"/>
    </row>
    <row r="1323" spans="1:55" ht="60" hidden="1" x14ac:dyDescent="0.25">
      <c r="A1323" s="373">
        <v>17659</v>
      </c>
      <c r="B1323" s="233" t="str">
        <f>VLOOKUP(Table8[[#This Row],[Document ID]],Table1[],2,FALSE)</f>
        <v>MUS</v>
      </c>
      <c r="C1323" s="233" t="str">
        <f>VLOOKUP(Table8[[#This Row],[Document ID]],Table1[],3,FALSE)</f>
        <v>Mauritius</v>
      </c>
      <c r="D1323" s="243" t="str">
        <f>VLOOKUP(Table8[[#This Row],[Document ID]],Table1[],5,FALSE)</f>
        <v>NDC</v>
      </c>
      <c r="E1323" s="233" t="str">
        <f>VLOOKUP(Table8[[#This Row],[Document ID]],Table1[],7,FALSE)</f>
        <v>First NDC</v>
      </c>
      <c r="F1323" s="236" t="str">
        <f>VLOOKUP(Table8[[#This Row],[Document ID]],Table1[],8,FALSE)</f>
        <v>NDC 1.0</v>
      </c>
      <c r="G1323" s="236" t="str">
        <f>VLOOKUP(Table8[[#This Row],[Document ID]],Table1[],10,FALSE)</f>
        <v>Archived</v>
      </c>
      <c r="H1323" s="43" t="s">
        <v>2358</v>
      </c>
      <c r="I1323" s="43" t="s">
        <v>2359</v>
      </c>
      <c r="J1323" s="44" t="s">
        <v>2360</v>
      </c>
      <c r="K1323" s="44" t="s">
        <v>3579</v>
      </c>
      <c r="L1323" s="44" t="s">
        <v>2333</v>
      </c>
      <c r="M1323" s="43"/>
      <c r="N1323" s="113" t="s">
        <v>1113</v>
      </c>
      <c r="O1323" s="113"/>
      <c r="P1323" s="113"/>
      <c r="Q1323" s="319"/>
      <c r="R1323" s="319"/>
      <c r="S1323" s="319"/>
      <c r="T1323" s="319"/>
      <c r="U1323" s="319"/>
      <c r="V1323" s="319"/>
      <c r="W1323" s="319"/>
      <c r="X1323" s="319"/>
      <c r="Y1323" s="319"/>
      <c r="Z1323" s="319"/>
      <c r="AA1323" s="319"/>
      <c r="AB1323" s="319"/>
      <c r="AC1323" s="319"/>
      <c r="AD1323" s="319"/>
      <c r="AE1323" s="319"/>
      <c r="AF1323" s="319"/>
      <c r="AG1323" s="319"/>
      <c r="AH1323" s="319"/>
      <c r="AI1323" s="319"/>
      <c r="AJ1323" s="319"/>
      <c r="AK1323" s="319" t="s">
        <v>1113</v>
      </c>
      <c r="AL1323" s="319"/>
      <c r="AM1323" s="319"/>
      <c r="AN1323" s="319"/>
      <c r="AO1323" s="43" t="s">
        <v>2348</v>
      </c>
      <c r="AP1323" s="44"/>
      <c r="AQ1323" s="236" t="str">
        <f>VLOOKUP(Table8[[#This Row],[Instrument]],Def_Targets!$D$73:$E$159,2,FALSE)</f>
        <v>I_Emobility</v>
      </c>
      <c r="AR1323" s="233" t="str">
        <f>VLOOKUP(Table8[[#This Row],[Country Code]],Table29[],3,FALSE)</f>
        <v>Non-Annex I</v>
      </c>
      <c r="AS1323" s="233" t="str">
        <f>VLOOKUP(Table8[[#This Row],[Country Code]],Table29[],4,FALSE)</f>
        <v>Africa</v>
      </c>
      <c r="AT1323" s="233" t="str">
        <f>VLOOKUP(Table8[[#This Row],[Country Code]],Table29[],5,FALSE)</f>
        <v>Middle-income</v>
      </c>
      <c r="AU1323" s="233" t="str">
        <f>VLOOKUP(Table8[[#This Row],[Country Code]],Table29[],6,FALSE)</f>
        <v>no</v>
      </c>
      <c r="AV1323" s="233" t="str">
        <f>VLOOKUP(Table8[[#This Row],[Country Code]],Table29[],7,FALSE)</f>
        <v>no</v>
      </c>
      <c r="AW1323" s="233" t="str">
        <f>VLOOKUP(Table8[[#This Row],[Country Code]],Table29[],8,FALSE)</f>
        <v>non-OECD</v>
      </c>
      <c r="AX1323" s="233" t="str">
        <f>VLOOKUP(Table8[[#This Row],[Country Code]],Table29[],9,FALSE)</f>
        <v>no</v>
      </c>
      <c r="AY1323" s="233" t="str">
        <f>VLOOKUP(Table8[[#This Row],[Country Code]],Table29[],10,FALSE)</f>
        <v>no</v>
      </c>
      <c r="AZ1323" s="235">
        <f>VLOOKUP(Table8[[#This Row],[Country Code]],Table29[],23,FALSE)</f>
        <v>6.1987377637868999</v>
      </c>
      <c r="BA1323" s="235">
        <f>VLOOKUP(Table8[[#This Row],[Country Code]],Table29[],24,FALSE)</f>
        <v>1.164355346283908</v>
      </c>
      <c r="BB1323" s="320"/>
      <c r="BC1323" s="320"/>
    </row>
    <row r="1324" spans="1:55" ht="30" hidden="1" x14ac:dyDescent="0.25">
      <c r="A1324" s="360">
        <v>23367</v>
      </c>
      <c r="B1324" s="233" t="str">
        <f>VLOOKUP(Table8[[#This Row],[Document ID]],Table1[],2,FALSE)</f>
        <v>MUS</v>
      </c>
      <c r="C1324" s="233" t="str">
        <f>VLOOKUP(Table8[[#This Row],[Document ID]],Table1[],3,FALSE)</f>
        <v>Mauritius</v>
      </c>
      <c r="D1324" s="233" t="str">
        <f>VLOOKUP(Table8[[#This Row],[Document ID]],Table1[],5,FALSE)</f>
        <v>NDC</v>
      </c>
      <c r="E1324" s="233" t="str">
        <f>VLOOKUP(Table8[[#This Row],[Document ID]],Table1[],7,FALSE)</f>
        <v>First NDC updated</v>
      </c>
      <c r="F1324" s="233" t="str">
        <f>VLOOKUP(Table8[[#This Row],[Document ID]],Table1[],8,FALSE)</f>
        <v>NDC 1.1</v>
      </c>
      <c r="G1324" s="233" t="str">
        <f>VLOOKUP(Table8[[#This Row],[Document ID]],Table1[],10,FALSE)</f>
        <v>Active</v>
      </c>
      <c r="H1324" s="43" t="s">
        <v>2343</v>
      </c>
      <c r="I1324" s="43" t="s">
        <v>2344</v>
      </c>
      <c r="J1324" s="44" t="s">
        <v>2405</v>
      </c>
      <c r="K1324" s="44" t="s">
        <v>3580</v>
      </c>
      <c r="L1324" s="44" t="s">
        <v>2347</v>
      </c>
      <c r="M1324" s="43">
        <v>6</v>
      </c>
      <c r="N1324" s="113"/>
      <c r="O1324" s="113"/>
      <c r="P1324" s="113"/>
      <c r="Q1324" s="113"/>
      <c r="R1324" s="113"/>
      <c r="S1324" s="113"/>
      <c r="T1324" s="113"/>
      <c r="U1324" s="113"/>
      <c r="V1324" s="113"/>
      <c r="W1324" s="113"/>
      <c r="X1324" s="113"/>
      <c r="Y1324" s="113"/>
      <c r="Z1324" s="113"/>
      <c r="AA1324" s="113"/>
      <c r="AB1324" s="113"/>
      <c r="AC1324" s="113" t="s">
        <v>1113</v>
      </c>
      <c r="AD1324" s="113"/>
      <c r="AE1324" s="113"/>
      <c r="AF1324" s="113"/>
      <c r="AG1324" s="113"/>
      <c r="AH1324" s="113"/>
      <c r="AI1324" s="113"/>
      <c r="AJ1324" s="113"/>
      <c r="AK1324" s="113" t="s">
        <v>1113</v>
      </c>
      <c r="AL1324" s="113"/>
      <c r="AM1324" s="113"/>
      <c r="AN1324" s="113"/>
      <c r="AO1324" s="43" t="s">
        <v>2348</v>
      </c>
      <c r="AP1324" s="43"/>
      <c r="AQ1324" s="236" t="str">
        <f>VLOOKUP(Table8[[#This Row],[Instrument]],Def_Targets!$D$73:$E$159,2,FALSE)</f>
        <v>S_PTIntegration</v>
      </c>
      <c r="AR1324" s="233" t="str">
        <f>VLOOKUP(Table8[[#This Row],[Country Code]],Table29[],3,FALSE)</f>
        <v>Non-Annex I</v>
      </c>
      <c r="AS1324" s="233" t="str">
        <f>VLOOKUP(Table8[[#This Row],[Country Code]],Table29[],4,FALSE)</f>
        <v>Africa</v>
      </c>
      <c r="AT1324" s="233" t="str">
        <f>VLOOKUP(Table8[[#This Row],[Country Code]],Table29[],5,FALSE)</f>
        <v>Middle-income</v>
      </c>
      <c r="AU1324" s="233" t="str">
        <f>VLOOKUP(Table8[[#This Row],[Country Code]],Table29[],6,FALSE)</f>
        <v>no</v>
      </c>
      <c r="AV1324" s="233" t="str">
        <f>VLOOKUP(Table8[[#This Row],[Country Code]],Table29[],7,FALSE)</f>
        <v>no</v>
      </c>
      <c r="AW1324" s="233" t="str">
        <f>VLOOKUP(Table8[[#This Row],[Country Code]],Table29[],8,FALSE)</f>
        <v>non-OECD</v>
      </c>
      <c r="AX1324" s="233" t="str">
        <f>VLOOKUP(Table8[[#This Row],[Country Code]],Table29[],9,FALSE)</f>
        <v>no</v>
      </c>
      <c r="AY1324" s="233" t="str">
        <f>VLOOKUP(Table8[[#This Row],[Country Code]],Table29[],10,FALSE)</f>
        <v>no</v>
      </c>
      <c r="AZ1324" s="235">
        <f>VLOOKUP(Table8[[#This Row],[Country Code]],Table29[],23,FALSE)</f>
        <v>6.1987377637868999</v>
      </c>
      <c r="BA1324" s="235">
        <f>VLOOKUP(Table8[[#This Row],[Country Code]],Table29[],24,FALSE)</f>
        <v>1.164355346283908</v>
      </c>
      <c r="BB1324" s="320"/>
      <c r="BC1324" s="320"/>
    </row>
    <row r="1325" spans="1:55" hidden="1" x14ac:dyDescent="0.25">
      <c r="A1325" s="360">
        <v>23367</v>
      </c>
      <c r="B1325" s="233" t="str">
        <f>VLOOKUP(Table8[[#This Row],[Document ID]],Table1[],2,FALSE)</f>
        <v>MUS</v>
      </c>
      <c r="C1325" s="233" t="str">
        <f>VLOOKUP(Table8[[#This Row],[Document ID]],Table1[],3,FALSE)</f>
        <v>Mauritius</v>
      </c>
      <c r="D1325" s="233" t="str">
        <f>VLOOKUP(Table8[[#This Row],[Document ID]],Table1[],5,FALSE)</f>
        <v>NDC</v>
      </c>
      <c r="E1325" s="233" t="str">
        <f>VLOOKUP(Table8[[#This Row],[Document ID]],Table1[],7,FALSE)</f>
        <v>First NDC updated</v>
      </c>
      <c r="F1325" s="233" t="str">
        <f>VLOOKUP(Table8[[#This Row],[Document ID]],Table1[],8,FALSE)</f>
        <v>NDC 1.1</v>
      </c>
      <c r="G1325" s="233" t="str">
        <f>VLOOKUP(Table8[[#This Row],[Document ID]],Table1[],10,FALSE)</f>
        <v>Active</v>
      </c>
      <c r="H1325" s="43" t="s">
        <v>2343</v>
      </c>
      <c r="I1325" s="43" t="s">
        <v>2386</v>
      </c>
      <c r="J1325" s="44" t="s">
        <v>2397</v>
      </c>
      <c r="K1325" s="44" t="s">
        <v>3581</v>
      </c>
      <c r="L1325" s="44" t="s">
        <v>2380</v>
      </c>
      <c r="M1325" s="43">
        <v>6</v>
      </c>
      <c r="N1325" s="113"/>
      <c r="O1325" s="113"/>
      <c r="P1325" s="113"/>
      <c r="Q1325" s="113"/>
      <c r="R1325" s="113"/>
      <c r="S1325" s="113"/>
      <c r="T1325" s="113"/>
      <c r="U1325" s="113"/>
      <c r="V1325" s="113"/>
      <c r="W1325" s="113"/>
      <c r="X1325" s="113"/>
      <c r="Y1325" s="113" t="s">
        <v>1113</v>
      </c>
      <c r="Z1325" s="113"/>
      <c r="AA1325" s="113"/>
      <c r="AB1325" s="113"/>
      <c r="AC1325" s="113"/>
      <c r="AD1325" s="113"/>
      <c r="AE1325" s="113"/>
      <c r="AF1325" s="113"/>
      <c r="AG1325" s="113"/>
      <c r="AH1325" s="113"/>
      <c r="AI1325" s="113"/>
      <c r="AJ1325" s="113"/>
      <c r="AK1325" s="113" t="s">
        <v>1113</v>
      </c>
      <c r="AL1325" s="113"/>
      <c r="AM1325" s="113"/>
      <c r="AN1325" s="113"/>
      <c r="AO1325" s="43" t="s">
        <v>2348</v>
      </c>
      <c r="AP1325" s="43"/>
      <c r="AQ1325" s="236" t="str">
        <f>VLOOKUP(Table8[[#This Row],[Instrument]],Def_Targets!$D$73:$E$159,2,FALSE)</f>
        <v>A_Finance</v>
      </c>
      <c r="AR1325" s="233" t="str">
        <f>VLOOKUP(Table8[[#This Row],[Country Code]],Table29[],3,FALSE)</f>
        <v>Non-Annex I</v>
      </c>
      <c r="AS1325" s="233" t="str">
        <f>VLOOKUP(Table8[[#This Row],[Country Code]],Table29[],4,FALSE)</f>
        <v>Africa</v>
      </c>
      <c r="AT1325" s="233" t="str">
        <f>VLOOKUP(Table8[[#This Row],[Country Code]],Table29[],5,FALSE)</f>
        <v>Middle-income</v>
      </c>
      <c r="AU1325" s="233" t="str">
        <f>VLOOKUP(Table8[[#This Row],[Country Code]],Table29[],6,FALSE)</f>
        <v>no</v>
      </c>
      <c r="AV1325" s="233" t="str">
        <f>VLOOKUP(Table8[[#This Row],[Country Code]],Table29[],7,FALSE)</f>
        <v>no</v>
      </c>
      <c r="AW1325" s="233" t="str">
        <f>VLOOKUP(Table8[[#This Row],[Country Code]],Table29[],8,FALSE)</f>
        <v>non-OECD</v>
      </c>
      <c r="AX1325" s="233" t="str">
        <f>VLOOKUP(Table8[[#This Row],[Country Code]],Table29[],9,FALSE)</f>
        <v>no</v>
      </c>
      <c r="AY1325" s="233" t="str">
        <f>VLOOKUP(Table8[[#This Row],[Country Code]],Table29[],10,FALSE)</f>
        <v>no</v>
      </c>
      <c r="AZ1325" s="235">
        <f>VLOOKUP(Table8[[#This Row],[Country Code]],Table29[],23,FALSE)</f>
        <v>6.1987377637868999</v>
      </c>
      <c r="BA1325" s="235">
        <f>VLOOKUP(Table8[[#This Row],[Country Code]],Table29[],24,FALSE)</f>
        <v>1.164355346283908</v>
      </c>
      <c r="BB1325" s="320"/>
      <c r="BC1325" s="320"/>
    </row>
    <row r="1326" spans="1:55" hidden="1" x14ac:dyDescent="0.25">
      <c r="A1326" s="360">
        <v>23367</v>
      </c>
      <c r="B1326" s="233" t="str">
        <f>VLOOKUP(Table8[[#This Row],[Document ID]],Table1[],2,FALSE)</f>
        <v>MUS</v>
      </c>
      <c r="C1326" s="233" t="str">
        <f>VLOOKUP(Table8[[#This Row],[Document ID]],Table1[],3,FALSE)</f>
        <v>Mauritius</v>
      </c>
      <c r="D1326" s="233" t="str">
        <f>VLOOKUP(Table8[[#This Row],[Document ID]],Table1[],5,FALSE)</f>
        <v>NDC</v>
      </c>
      <c r="E1326" s="233" t="str">
        <f>VLOOKUP(Table8[[#This Row],[Document ID]],Table1[],7,FALSE)</f>
        <v>First NDC updated</v>
      </c>
      <c r="F1326" s="233" t="str">
        <f>VLOOKUP(Table8[[#This Row],[Document ID]],Table1[],8,FALSE)</f>
        <v>NDC 1.1</v>
      </c>
      <c r="G1326" s="233" t="str">
        <f>VLOOKUP(Table8[[#This Row],[Document ID]],Table1[],10,FALSE)</f>
        <v>Active</v>
      </c>
      <c r="H1326" s="43" t="s">
        <v>2358</v>
      </c>
      <c r="I1326" s="43" t="s">
        <v>2359</v>
      </c>
      <c r="J1326" s="44" t="s">
        <v>2389</v>
      </c>
      <c r="K1326" s="44" t="s">
        <v>3582</v>
      </c>
      <c r="L1326" s="44" t="s">
        <v>2333</v>
      </c>
      <c r="M1326" s="43">
        <v>6</v>
      </c>
      <c r="N1326" s="113" t="s">
        <v>1113</v>
      </c>
      <c r="O1326" s="113"/>
      <c r="P1326" s="113"/>
      <c r="Q1326" s="113"/>
      <c r="R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t="s">
        <v>1113</v>
      </c>
      <c r="AL1326" s="113"/>
      <c r="AM1326" s="113"/>
      <c r="AN1326" s="113"/>
      <c r="AO1326" s="44" t="s">
        <v>2334</v>
      </c>
      <c r="AP1326" s="43"/>
      <c r="AQ1326" s="236" t="str">
        <f>VLOOKUP(Table8[[#This Row],[Instrument]],Def_Targets!$D$73:$E$159,2,FALSE)</f>
        <v>I_Emobilitypurchase</v>
      </c>
      <c r="AR1326" s="233" t="str">
        <f>VLOOKUP(Table8[[#This Row],[Country Code]],Table29[],3,FALSE)</f>
        <v>Non-Annex I</v>
      </c>
      <c r="AS1326" s="233" t="str">
        <f>VLOOKUP(Table8[[#This Row],[Country Code]],Table29[],4,FALSE)</f>
        <v>Africa</v>
      </c>
      <c r="AT1326" s="233" t="str">
        <f>VLOOKUP(Table8[[#This Row],[Country Code]],Table29[],5,FALSE)</f>
        <v>Middle-income</v>
      </c>
      <c r="AU1326" s="233" t="str">
        <f>VLOOKUP(Table8[[#This Row],[Country Code]],Table29[],6,FALSE)</f>
        <v>no</v>
      </c>
      <c r="AV1326" s="233" t="str">
        <f>VLOOKUP(Table8[[#This Row],[Country Code]],Table29[],7,FALSE)</f>
        <v>no</v>
      </c>
      <c r="AW1326" s="233" t="str">
        <f>VLOOKUP(Table8[[#This Row],[Country Code]],Table29[],8,FALSE)</f>
        <v>non-OECD</v>
      </c>
      <c r="AX1326" s="233" t="str">
        <f>VLOOKUP(Table8[[#This Row],[Country Code]],Table29[],9,FALSE)</f>
        <v>no</v>
      </c>
      <c r="AY1326" s="233" t="str">
        <f>VLOOKUP(Table8[[#This Row],[Country Code]],Table29[],10,FALSE)</f>
        <v>no</v>
      </c>
      <c r="AZ1326" s="235">
        <f>VLOOKUP(Table8[[#This Row],[Country Code]],Table29[],23,FALSE)</f>
        <v>6.1987377637868999</v>
      </c>
      <c r="BA1326" s="235">
        <f>VLOOKUP(Table8[[#This Row],[Country Code]],Table29[],24,FALSE)</f>
        <v>1.164355346283908</v>
      </c>
      <c r="BB1326" s="320"/>
      <c r="BC1326" s="320"/>
    </row>
    <row r="1327" spans="1:55" hidden="1" x14ac:dyDescent="0.25">
      <c r="A1327" s="360">
        <v>23367</v>
      </c>
      <c r="B1327" s="233" t="str">
        <f>VLOOKUP(Table8[[#This Row],[Document ID]],Table1[],2,FALSE)</f>
        <v>MUS</v>
      </c>
      <c r="C1327" s="233" t="str">
        <f>VLOOKUP(Table8[[#This Row],[Document ID]],Table1[],3,FALSE)</f>
        <v>Mauritius</v>
      </c>
      <c r="D1327" s="233" t="str">
        <f>VLOOKUP(Table8[[#This Row],[Document ID]],Table1[],5,FALSE)</f>
        <v>NDC</v>
      </c>
      <c r="E1327" s="233" t="str">
        <f>VLOOKUP(Table8[[#This Row],[Document ID]],Table1[],7,FALSE)</f>
        <v>First NDC updated</v>
      </c>
      <c r="F1327" s="233" t="str">
        <f>VLOOKUP(Table8[[#This Row],[Document ID]],Table1[],8,FALSE)</f>
        <v>NDC 1.1</v>
      </c>
      <c r="G1327" s="233" t="str">
        <f>VLOOKUP(Table8[[#This Row],[Document ID]],Table1[],10,FALSE)</f>
        <v>Active</v>
      </c>
      <c r="H1327" s="43" t="s">
        <v>2358</v>
      </c>
      <c r="I1327" s="43" t="s">
        <v>2359</v>
      </c>
      <c r="J1327" s="44" t="s">
        <v>2360</v>
      </c>
      <c r="K1327" s="44" t="s">
        <v>3583</v>
      </c>
      <c r="L1327" s="44" t="s">
        <v>2333</v>
      </c>
      <c r="M1327" s="43">
        <v>6</v>
      </c>
      <c r="N1327" s="113" t="s">
        <v>1113</v>
      </c>
      <c r="O1327" s="113"/>
      <c r="P1327" s="113"/>
      <c r="Q1327" s="113"/>
      <c r="R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t="s">
        <v>1113</v>
      </c>
      <c r="AL1327" s="113"/>
      <c r="AM1327" s="113"/>
      <c r="AN1327" s="113"/>
      <c r="AO1327" s="44" t="s">
        <v>2334</v>
      </c>
      <c r="AP1327" s="43"/>
      <c r="AQ1327" s="236" t="str">
        <f>VLOOKUP(Table8[[#This Row],[Instrument]],Def_Targets!$D$73:$E$159,2,FALSE)</f>
        <v>I_Emobility</v>
      </c>
      <c r="AR1327" s="233" t="str">
        <f>VLOOKUP(Table8[[#This Row],[Country Code]],Table29[],3,FALSE)</f>
        <v>Non-Annex I</v>
      </c>
      <c r="AS1327" s="233" t="str">
        <f>VLOOKUP(Table8[[#This Row],[Country Code]],Table29[],4,FALSE)</f>
        <v>Africa</v>
      </c>
      <c r="AT1327" s="233" t="str">
        <f>VLOOKUP(Table8[[#This Row],[Country Code]],Table29[],5,FALSE)</f>
        <v>Middle-income</v>
      </c>
      <c r="AU1327" s="233" t="str">
        <f>VLOOKUP(Table8[[#This Row],[Country Code]],Table29[],6,FALSE)</f>
        <v>no</v>
      </c>
      <c r="AV1327" s="233" t="str">
        <f>VLOOKUP(Table8[[#This Row],[Country Code]],Table29[],7,FALSE)</f>
        <v>no</v>
      </c>
      <c r="AW1327" s="233" t="str">
        <f>VLOOKUP(Table8[[#This Row],[Country Code]],Table29[],8,FALSE)</f>
        <v>non-OECD</v>
      </c>
      <c r="AX1327" s="233" t="str">
        <f>VLOOKUP(Table8[[#This Row],[Country Code]],Table29[],9,FALSE)</f>
        <v>no</v>
      </c>
      <c r="AY1327" s="233" t="str">
        <f>VLOOKUP(Table8[[#This Row],[Country Code]],Table29[],10,FALSE)</f>
        <v>no</v>
      </c>
      <c r="AZ1327" s="235">
        <f>VLOOKUP(Table8[[#This Row],[Country Code]],Table29[],23,FALSE)</f>
        <v>6.1987377637868999</v>
      </c>
      <c r="BA1327" s="235">
        <f>VLOOKUP(Table8[[#This Row],[Country Code]],Table29[],24,FALSE)</f>
        <v>1.164355346283908</v>
      </c>
      <c r="BB1327" s="320"/>
      <c r="BC1327" s="320"/>
    </row>
    <row r="1328" spans="1:55" ht="30" hidden="1" x14ac:dyDescent="0.25">
      <c r="A1328" s="373">
        <v>17660</v>
      </c>
      <c r="B1328" s="233" t="str">
        <f>VLOOKUP(Table8[[#This Row],[Document ID]],Table1[],2,FALSE)</f>
        <v>MEX</v>
      </c>
      <c r="C1328" s="233" t="str">
        <f>VLOOKUP(Table8[[#This Row],[Document ID]],Table1[],3,FALSE)</f>
        <v>Mexico</v>
      </c>
      <c r="D1328" s="243" t="str">
        <f>VLOOKUP(Table8[[#This Row],[Document ID]],Table1[],5,FALSE)</f>
        <v>NDC</v>
      </c>
      <c r="E1328" s="233" t="str">
        <f>VLOOKUP(Table8[[#This Row],[Document ID]],Table1[],7,FALSE)</f>
        <v>First NDC</v>
      </c>
      <c r="F1328" s="236" t="str">
        <f>VLOOKUP(Table8[[#This Row],[Document ID]],Table1[],8,FALSE)</f>
        <v>NDC 1.0</v>
      </c>
      <c r="G1328" s="236" t="str">
        <f>VLOOKUP(Table8[[#This Row],[Document ID]],Table1[],10,FALSE)</f>
        <v>Archived</v>
      </c>
      <c r="H1328" s="43" t="s">
        <v>2343</v>
      </c>
      <c r="I1328" s="43" t="s">
        <v>2344</v>
      </c>
      <c r="J1328" s="44" t="s">
        <v>2345</v>
      </c>
      <c r="K1328" s="44" t="s">
        <v>3584</v>
      </c>
      <c r="L1328" s="44" t="s">
        <v>2471</v>
      </c>
      <c r="M1328" s="43"/>
      <c r="N1328" s="113" t="s">
        <v>1113</v>
      </c>
      <c r="O1328" s="113"/>
      <c r="P1328" s="113"/>
      <c r="Q1328" s="319"/>
      <c r="R1328" s="319"/>
      <c r="S1328" s="319"/>
      <c r="T1328" s="319"/>
      <c r="U1328" s="319"/>
      <c r="V1328" s="319"/>
      <c r="W1328" s="319"/>
      <c r="X1328" s="319"/>
      <c r="Y1328" s="319"/>
      <c r="Z1328" s="319"/>
      <c r="AA1328" s="319"/>
      <c r="AB1328" s="319"/>
      <c r="AC1328" s="319"/>
      <c r="AD1328" s="319"/>
      <c r="AE1328" s="319"/>
      <c r="AF1328" s="319"/>
      <c r="AG1328" s="319"/>
      <c r="AH1328" s="319"/>
      <c r="AI1328" s="319"/>
      <c r="AJ1328" s="319"/>
      <c r="AK1328" s="319" t="s">
        <v>1113</v>
      </c>
      <c r="AL1328" s="319"/>
      <c r="AM1328" s="319"/>
      <c r="AN1328" s="319"/>
      <c r="AO1328" s="43" t="s">
        <v>2348</v>
      </c>
      <c r="AP1328" s="44"/>
      <c r="AQ1328" s="236" t="str">
        <f>VLOOKUP(Table8[[#This Row],[Instrument]],Def_Targets!$D$73:$E$159,2,FALSE)</f>
        <v>S_PublicTransport</v>
      </c>
      <c r="AR1328" s="233" t="str">
        <f>VLOOKUP(Table8[[#This Row],[Country Code]],Table29[],3,FALSE)</f>
        <v>Non-Annex I</v>
      </c>
      <c r="AS1328" s="233" t="str">
        <f>VLOOKUP(Table8[[#This Row],[Country Code]],Table29[],4,FALSE)</f>
        <v>Latin America and the Caribbean</v>
      </c>
      <c r="AT1328" s="233" t="str">
        <f>VLOOKUP(Table8[[#This Row],[Country Code]],Table29[],5,FALSE)</f>
        <v>Middle-income</v>
      </c>
      <c r="AU1328" s="233" t="str">
        <f>VLOOKUP(Table8[[#This Row],[Country Code]],Table29[],6,FALSE)</f>
        <v>G20</v>
      </c>
      <c r="AV1328" s="233" t="str">
        <f>VLOOKUP(Table8[[#This Row],[Country Code]],Table29[],7,FALSE)</f>
        <v>no</v>
      </c>
      <c r="AW1328" s="233" t="str">
        <f>VLOOKUP(Table8[[#This Row],[Country Code]],Table29[],8,FALSE)</f>
        <v>OECD</v>
      </c>
      <c r="AX1328" s="233" t="str">
        <f>VLOOKUP(Table8[[#This Row],[Country Code]],Table29[],9,FALSE)</f>
        <v>no</v>
      </c>
      <c r="AY1328" s="233" t="str">
        <f>VLOOKUP(Table8[[#This Row],[Country Code]],Table29[],10,FALSE)</f>
        <v>no</v>
      </c>
      <c r="AZ1328" s="235">
        <f>VLOOKUP(Table8[[#This Row],[Country Code]],Table29[],23,FALSE)</f>
        <v>712.10209803987004</v>
      </c>
      <c r="BA1328" s="235">
        <f>VLOOKUP(Table8[[#This Row],[Country Code]],Table29[],24,FALSE)</f>
        <v>132.220611733639</v>
      </c>
      <c r="BB1328" s="320"/>
      <c r="BC1328" s="320"/>
    </row>
    <row r="1329" spans="1:55" hidden="1" x14ac:dyDescent="0.25">
      <c r="A1329" s="373">
        <v>17660</v>
      </c>
      <c r="B1329" s="233" t="str">
        <f>VLOOKUP(Table8[[#This Row],[Document ID]],Table1[],2,FALSE)</f>
        <v>MEX</v>
      </c>
      <c r="C1329" s="233" t="str">
        <f>VLOOKUP(Table8[[#This Row],[Document ID]],Table1[],3,FALSE)</f>
        <v>Mexico</v>
      </c>
      <c r="D1329" s="243" t="str">
        <f>VLOOKUP(Table8[[#This Row],[Document ID]],Table1[],5,FALSE)</f>
        <v>NDC</v>
      </c>
      <c r="E1329" s="233" t="str">
        <f>VLOOKUP(Table8[[#This Row],[Document ID]],Table1[],7,FALSE)</f>
        <v>First NDC</v>
      </c>
      <c r="F1329" s="236" t="str">
        <f>VLOOKUP(Table8[[#This Row],[Document ID]],Table1[],8,FALSE)</f>
        <v>NDC 1.0</v>
      </c>
      <c r="G1329" s="236" t="str">
        <f>VLOOKUP(Table8[[#This Row],[Document ID]],Table1[],10,FALSE)</f>
        <v>Archived</v>
      </c>
      <c r="H1329" s="43" t="s">
        <v>2358</v>
      </c>
      <c r="I1329" s="43" t="s">
        <v>2359</v>
      </c>
      <c r="J1329" s="44" t="s">
        <v>2360</v>
      </c>
      <c r="K1329" s="44" t="s">
        <v>3585</v>
      </c>
      <c r="L1329" s="44" t="s">
        <v>2333</v>
      </c>
      <c r="M1329" s="43"/>
      <c r="N1329" s="113" t="s">
        <v>1113</v>
      </c>
      <c r="O1329" s="113"/>
      <c r="P1329" s="113"/>
      <c r="Q1329" s="319"/>
      <c r="R1329" s="319"/>
      <c r="S1329" s="319"/>
      <c r="T1329" s="319"/>
      <c r="U1329" s="319"/>
      <c r="V1329" s="319"/>
      <c r="W1329" s="319"/>
      <c r="X1329" s="319"/>
      <c r="Y1329" s="319"/>
      <c r="Z1329" s="319"/>
      <c r="AA1329" s="319"/>
      <c r="AB1329" s="319"/>
      <c r="AC1329" s="319"/>
      <c r="AD1329" s="319"/>
      <c r="AE1329" s="319"/>
      <c r="AF1329" s="319"/>
      <c r="AG1329" s="319"/>
      <c r="AH1329" s="319"/>
      <c r="AI1329" s="319"/>
      <c r="AJ1329" s="319"/>
      <c r="AK1329" s="319" t="s">
        <v>1113</v>
      </c>
      <c r="AL1329" s="319"/>
      <c r="AM1329" s="319"/>
      <c r="AN1329" s="319"/>
      <c r="AO1329" s="44" t="s">
        <v>2334</v>
      </c>
      <c r="AP1329" s="44"/>
      <c r="AQ1329" s="236" t="str">
        <f>VLOOKUP(Table8[[#This Row],[Instrument]],Def_Targets!$D$73:$E$159,2,FALSE)</f>
        <v>I_Emobility</v>
      </c>
      <c r="AR1329" s="233" t="str">
        <f>VLOOKUP(Table8[[#This Row],[Country Code]],Table29[],3,FALSE)</f>
        <v>Non-Annex I</v>
      </c>
      <c r="AS1329" s="233" t="str">
        <f>VLOOKUP(Table8[[#This Row],[Country Code]],Table29[],4,FALSE)</f>
        <v>Latin America and the Caribbean</v>
      </c>
      <c r="AT1329" s="233" t="str">
        <f>VLOOKUP(Table8[[#This Row],[Country Code]],Table29[],5,FALSE)</f>
        <v>Middle-income</v>
      </c>
      <c r="AU1329" s="233" t="str">
        <f>VLOOKUP(Table8[[#This Row],[Country Code]],Table29[],6,FALSE)</f>
        <v>G20</v>
      </c>
      <c r="AV1329" s="233" t="str">
        <f>VLOOKUP(Table8[[#This Row],[Country Code]],Table29[],7,FALSE)</f>
        <v>no</v>
      </c>
      <c r="AW1329" s="233" t="str">
        <f>VLOOKUP(Table8[[#This Row],[Country Code]],Table29[],8,FALSE)</f>
        <v>OECD</v>
      </c>
      <c r="AX1329" s="233" t="str">
        <f>VLOOKUP(Table8[[#This Row],[Country Code]],Table29[],9,FALSE)</f>
        <v>no</v>
      </c>
      <c r="AY1329" s="233" t="str">
        <f>VLOOKUP(Table8[[#This Row],[Country Code]],Table29[],10,FALSE)</f>
        <v>no</v>
      </c>
      <c r="AZ1329" s="235">
        <f>VLOOKUP(Table8[[#This Row],[Country Code]],Table29[],23,FALSE)</f>
        <v>712.10209803987004</v>
      </c>
      <c r="BA1329" s="235">
        <f>VLOOKUP(Table8[[#This Row],[Country Code]],Table29[],24,FALSE)</f>
        <v>132.220611733639</v>
      </c>
      <c r="BB1329" s="320"/>
      <c r="BC1329" s="320"/>
    </row>
    <row r="1330" spans="1:55" hidden="1" x14ac:dyDescent="0.25">
      <c r="A1330" s="398">
        <v>17660</v>
      </c>
      <c r="B1330" s="233" t="str">
        <f>VLOOKUP(Table8[[#This Row],[Document ID]],Table1[],2,FALSE)</f>
        <v>MEX</v>
      </c>
      <c r="C1330" s="233" t="str">
        <f>VLOOKUP(Table8[[#This Row],[Document ID]],Table1[],3,FALSE)</f>
        <v>Mexico</v>
      </c>
      <c r="D1330" s="243" t="str">
        <f>VLOOKUP(Table8[[#This Row],[Document ID]],Table1[],5,FALSE)</f>
        <v>NDC</v>
      </c>
      <c r="E1330" s="233" t="str">
        <f>VLOOKUP(Table8[[#This Row],[Document ID]],Table1[],7,FALSE)</f>
        <v>First NDC</v>
      </c>
      <c r="F1330" s="236" t="str">
        <f>VLOOKUP(Table8[[#This Row],[Document ID]],Table1[],8,FALSE)</f>
        <v>NDC 1.0</v>
      </c>
      <c r="G1330" s="236" t="str">
        <f>VLOOKUP(Table8[[#This Row],[Document ID]],Table1[],10,FALSE)</f>
        <v>Archived</v>
      </c>
      <c r="H1330" s="43" t="s">
        <v>2343</v>
      </c>
      <c r="I1330" s="43" t="s">
        <v>2361</v>
      </c>
      <c r="J1330" s="44" t="s">
        <v>2362</v>
      </c>
      <c r="K1330" s="44" t="s">
        <v>3586</v>
      </c>
      <c r="L1330" s="44" t="s">
        <v>2347</v>
      </c>
      <c r="M1330" s="43"/>
      <c r="N1330" s="113"/>
      <c r="O1330" s="113"/>
      <c r="P1330" s="113"/>
      <c r="Q1330" s="319"/>
      <c r="R1330" s="113" t="s">
        <v>1113</v>
      </c>
      <c r="S1330" s="319"/>
      <c r="T1330" s="319"/>
      <c r="U1330" s="319"/>
      <c r="V1330" s="319"/>
      <c r="W1330" s="319"/>
      <c r="X1330" s="319"/>
      <c r="Y1330" s="319"/>
      <c r="Z1330" s="319"/>
      <c r="AA1330" s="319"/>
      <c r="AB1330" s="319"/>
      <c r="AC1330" s="319"/>
      <c r="AD1330" s="319"/>
      <c r="AE1330" s="319"/>
      <c r="AF1330" s="319"/>
      <c r="AG1330" s="319"/>
      <c r="AH1330" s="319"/>
      <c r="AI1330" s="319"/>
      <c r="AJ1330" s="319"/>
      <c r="AK1330" s="319" t="s">
        <v>1113</v>
      </c>
      <c r="AL1330" s="319"/>
      <c r="AM1330" s="319"/>
      <c r="AN1330" s="319"/>
      <c r="AO1330" s="44" t="s">
        <v>2334</v>
      </c>
      <c r="AP1330" s="43"/>
      <c r="AQ1330" s="236" t="str">
        <f>VLOOKUP(Table8[[#This Row],[Instrument]],Def_Targets!$D$73:$E$159,2,FALSE)</f>
        <v>S_Cycling</v>
      </c>
      <c r="AR1330" s="233" t="str">
        <f>VLOOKUP(Table8[[#This Row],[Country Code]],Table29[],3,FALSE)</f>
        <v>Non-Annex I</v>
      </c>
      <c r="AS1330" s="233" t="str">
        <f>VLOOKUP(Table8[[#This Row],[Country Code]],Table29[],4,FALSE)</f>
        <v>Latin America and the Caribbean</v>
      </c>
      <c r="AT1330" s="233" t="str">
        <f>VLOOKUP(Table8[[#This Row],[Country Code]],Table29[],5,FALSE)</f>
        <v>Middle-income</v>
      </c>
      <c r="AU1330" s="233" t="str">
        <f>VLOOKUP(Table8[[#This Row],[Country Code]],Table29[],6,FALSE)</f>
        <v>G20</v>
      </c>
      <c r="AV1330" s="233" t="str">
        <f>VLOOKUP(Table8[[#This Row],[Country Code]],Table29[],7,FALSE)</f>
        <v>no</v>
      </c>
      <c r="AW1330" s="233" t="str">
        <f>VLOOKUP(Table8[[#This Row],[Country Code]],Table29[],8,FALSE)</f>
        <v>OECD</v>
      </c>
      <c r="AX1330" s="233" t="str">
        <f>VLOOKUP(Table8[[#This Row],[Country Code]],Table29[],9,FALSE)</f>
        <v>no</v>
      </c>
      <c r="AY1330" s="233" t="str">
        <f>VLOOKUP(Table8[[#This Row],[Country Code]],Table29[],10,FALSE)</f>
        <v>no</v>
      </c>
      <c r="AZ1330" s="235">
        <f>VLOOKUP(Table8[[#This Row],[Country Code]],Table29[],23,FALSE)</f>
        <v>712.10209803987004</v>
      </c>
      <c r="BA1330" s="235">
        <f>VLOOKUP(Table8[[#This Row],[Country Code]],Table29[],24,FALSE)</f>
        <v>132.220611733639</v>
      </c>
      <c r="BB1330" s="320"/>
      <c r="BC1330" s="320"/>
    </row>
    <row r="1331" spans="1:55" hidden="1" x14ac:dyDescent="0.25">
      <c r="A1331" s="373">
        <v>17660</v>
      </c>
      <c r="B1331" s="233" t="str">
        <f>VLOOKUP(Table8[[#This Row],[Document ID]],Table1[],2,FALSE)</f>
        <v>MEX</v>
      </c>
      <c r="C1331" s="233" t="str">
        <f>VLOOKUP(Table8[[#This Row],[Document ID]],Table1[],3,FALSE)</f>
        <v>Mexico</v>
      </c>
      <c r="D1331" s="243" t="str">
        <f>VLOOKUP(Table8[[#This Row],[Document ID]],Table1[],5,FALSE)</f>
        <v>NDC</v>
      </c>
      <c r="E1331" s="233" t="str">
        <f>VLOOKUP(Table8[[#This Row],[Document ID]],Table1[],7,FALSE)</f>
        <v>First NDC</v>
      </c>
      <c r="F1331" s="236" t="str">
        <f>VLOOKUP(Table8[[#This Row],[Document ID]],Table1[],8,FALSE)</f>
        <v>NDC 1.0</v>
      </c>
      <c r="G1331" s="236" t="str">
        <f>VLOOKUP(Table8[[#This Row],[Document ID]],Table1[],10,FALSE)</f>
        <v>Archived</v>
      </c>
      <c r="H1331" s="43" t="s">
        <v>2343</v>
      </c>
      <c r="I1331" s="43" t="s">
        <v>2361</v>
      </c>
      <c r="J1331" s="44" t="s">
        <v>2463</v>
      </c>
      <c r="K1331" s="44" t="s">
        <v>3586</v>
      </c>
      <c r="L1331" s="44" t="s">
        <v>2347</v>
      </c>
      <c r="M1331" s="43"/>
      <c r="N1331" s="113"/>
      <c r="O1331" s="113"/>
      <c r="P1331" s="113"/>
      <c r="Q1331" s="113" t="s">
        <v>1113</v>
      </c>
      <c r="R1331" s="319"/>
      <c r="S1331" s="319"/>
      <c r="T1331" s="319"/>
      <c r="U1331" s="319"/>
      <c r="V1331" s="319"/>
      <c r="W1331" s="319"/>
      <c r="X1331" s="319"/>
      <c r="Y1331" s="319"/>
      <c r="Z1331" s="319"/>
      <c r="AA1331" s="319"/>
      <c r="AB1331" s="319"/>
      <c r="AC1331" s="319"/>
      <c r="AD1331" s="319"/>
      <c r="AE1331" s="319"/>
      <c r="AF1331" s="319"/>
      <c r="AG1331" s="319"/>
      <c r="AH1331" s="319"/>
      <c r="AI1331" s="319"/>
      <c r="AJ1331" s="319"/>
      <c r="AK1331" s="319" t="s">
        <v>1113</v>
      </c>
      <c r="AL1331" s="319"/>
      <c r="AM1331" s="319"/>
      <c r="AN1331" s="319"/>
      <c r="AO1331" s="44" t="s">
        <v>2334</v>
      </c>
      <c r="AP1331" s="43"/>
      <c r="AQ1331" s="236" t="str">
        <f>VLOOKUP(Table8[[#This Row],[Instrument]],Def_Targets!$D$73:$E$159,2,FALSE)</f>
        <v>S_Walking</v>
      </c>
      <c r="AR1331" s="233" t="str">
        <f>VLOOKUP(Table8[[#This Row],[Country Code]],Table29[],3,FALSE)</f>
        <v>Non-Annex I</v>
      </c>
      <c r="AS1331" s="233" t="str">
        <f>VLOOKUP(Table8[[#This Row],[Country Code]],Table29[],4,FALSE)</f>
        <v>Latin America and the Caribbean</v>
      </c>
      <c r="AT1331" s="233" t="str">
        <f>VLOOKUP(Table8[[#This Row],[Country Code]],Table29[],5,FALSE)</f>
        <v>Middle-income</v>
      </c>
      <c r="AU1331" s="233" t="str">
        <f>VLOOKUP(Table8[[#This Row],[Country Code]],Table29[],6,FALSE)</f>
        <v>G20</v>
      </c>
      <c r="AV1331" s="233" t="str">
        <f>VLOOKUP(Table8[[#This Row],[Country Code]],Table29[],7,FALSE)</f>
        <v>no</v>
      </c>
      <c r="AW1331" s="233" t="str">
        <f>VLOOKUP(Table8[[#This Row],[Country Code]],Table29[],8,FALSE)</f>
        <v>OECD</v>
      </c>
      <c r="AX1331" s="233" t="str">
        <f>VLOOKUP(Table8[[#This Row],[Country Code]],Table29[],9,FALSE)</f>
        <v>no</v>
      </c>
      <c r="AY1331" s="233" t="str">
        <f>VLOOKUP(Table8[[#This Row],[Country Code]],Table29[],10,FALSE)</f>
        <v>no</v>
      </c>
      <c r="AZ1331" s="235">
        <f>VLOOKUP(Table8[[#This Row],[Country Code]],Table29[],23,FALSE)</f>
        <v>712.10209803987004</v>
      </c>
      <c r="BA1331" s="235">
        <f>VLOOKUP(Table8[[#This Row],[Country Code]],Table29[],24,FALSE)</f>
        <v>132.220611733639</v>
      </c>
      <c r="BB1331" s="320"/>
      <c r="BC1331" s="320"/>
    </row>
    <row r="1332" spans="1:55" hidden="1" x14ac:dyDescent="0.25">
      <c r="A1332" s="360">
        <v>17662</v>
      </c>
      <c r="B1332" s="233" t="str">
        <f>VLOOKUP(Table8[[#This Row],[Document ID]],Table1[],2,FALSE)</f>
        <v>MEX</v>
      </c>
      <c r="C1332" s="233" t="str">
        <f>VLOOKUP(Table8[[#This Row],[Document ID]],Table1[],3,FALSE)</f>
        <v>Mexico</v>
      </c>
      <c r="D1332" s="233" t="str">
        <f>VLOOKUP(Table8[[#This Row],[Document ID]],Table1[],5,FALSE)</f>
        <v>NDC</v>
      </c>
      <c r="E1332" s="233" t="str">
        <f>VLOOKUP(Table8[[#This Row],[Document ID]],Table1[],7,FALSE)</f>
        <v>First NDC updated</v>
      </c>
      <c r="F1332" s="233" t="str">
        <f>VLOOKUP(Table8[[#This Row],[Document ID]],Table1[],8,FALSE)</f>
        <v>NDC 1.1</v>
      </c>
      <c r="G1332" s="233" t="str">
        <f>VLOOKUP(Table8[[#This Row],[Document ID]],Table1[],10,FALSE)</f>
        <v>Archived</v>
      </c>
      <c r="H1332" s="43" t="s">
        <v>2343</v>
      </c>
      <c r="I1332" s="43" t="s">
        <v>2344</v>
      </c>
      <c r="J1332" s="44" t="s">
        <v>2345</v>
      </c>
      <c r="K1332" s="44" t="s">
        <v>3587</v>
      </c>
      <c r="L1332" s="44" t="s">
        <v>2347</v>
      </c>
      <c r="M1332" s="43">
        <v>26</v>
      </c>
      <c r="N1332" s="113" t="s">
        <v>1113</v>
      </c>
      <c r="O1332" s="113"/>
      <c r="P1332" s="113"/>
      <c r="Q1332" s="113"/>
      <c r="R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319" t="s">
        <v>1113</v>
      </c>
      <c r="AL1332" s="113"/>
      <c r="AM1332" s="113"/>
      <c r="AN1332" s="113"/>
      <c r="AO1332" s="44" t="s">
        <v>2334</v>
      </c>
      <c r="AP1332" s="43"/>
      <c r="AQ1332" s="236" t="str">
        <f>VLOOKUP(Table8[[#This Row],[Instrument]],Def_Targets!$D$73:$E$159,2,FALSE)</f>
        <v>S_PublicTransport</v>
      </c>
      <c r="AR1332" s="233" t="str">
        <f>VLOOKUP(Table8[[#This Row],[Country Code]],Table29[],3,FALSE)</f>
        <v>Non-Annex I</v>
      </c>
      <c r="AS1332" s="233" t="str">
        <f>VLOOKUP(Table8[[#This Row],[Country Code]],Table29[],4,FALSE)</f>
        <v>Latin America and the Caribbean</v>
      </c>
      <c r="AT1332" s="233" t="str">
        <f>VLOOKUP(Table8[[#This Row],[Country Code]],Table29[],5,FALSE)</f>
        <v>Middle-income</v>
      </c>
      <c r="AU1332" s="233" t="str">
        <f>VLOOKUP(Table8[[#This Row],[Country Code]],Table29[],6,FALSE)</f>
        <v>G20</v>
      </c>
      <c r="AV1332" s="233" t="str">
        <f>VLOOKUP(Table8[[#This Row],[Country Code]],Table29[],7,FALSE)</f>
        <v>no</v>
      </c>
      <c r="AW1332" s="233" t="str">
        <f>VLOOKUP(Table8[[#This Row],[Country Code]],Table29[],8,FALSE)</f>
        <v>OECD</v>
      </c>
      <c r="AX1332" s="233" t="str">
        <f>VLOOKUP(Table8[[#This Row],[Country Code]],Table29[],9,FALSE)</f>
        <v>no</v>
      </c>
      <c r="AY1332" s="233" t="str">
        <f>VLOOKUP(Table8[[#This Row],[Country Code]],Table29[],10,FALSE)</f>
        <v>no</v>
      </c>
      <c r="AZ1332" s="235">
        <f>VLOOKUP(Table8[[#This Row],[Country Code]],Table29[],23,FALSE)</f>
        <v>712.10209803987004</v>
      </c>
      <c r="BA1332" s="235">
        <f>VLOOKUP(Table8[[#This Row],[Country Code]],Table29[],24,FALSE)</f>
        <v>132.220611733639</v>
      </c>
      <c r="BB1332" s="320"/>
      <c r="BC1332" s="320"/>
    </row>
    <row r="1333" spans="1:55" ht="30" hidden="1" x14ac:dyDescent="0.25">
      <c r="A1333" s="360">
        <v>17662</v>
      </c>
      <c r="B1333" s="233" t="str">
        <f>VLOOKUP(Table8[[#This Row],[Document ID]],Table1[],2,FALSE)</f>
        <v>MEX</v>
      </c>
      <c r="C1333" s="233" t="str">
        <f>VLOOKUP(Table8[[#This Row],[Document ID]],Table1[],3,FALSE)</f>
        <v>Mexico</v>
      </c>
      <c r="D1333" s="233" t="str">
        <f>VLOOKUP(Table8[[#This Row],[Document ID]],Table1[],5,FALSE)</f>
        <v>NDC</v>
      </c>
      <c r="E1333" s="233" t="str">
        <f>VLOOKUP(Table8[[#This Row],[Document ID]],Table1[],7,FALSE)</f>
        <v>First NDC updated</v>
      </c>
      <c r="F1333" s="233" t="str">
        <f>VLOOKUP(Table8[[#This Row],[Document ID]],Table1[],8,FALSE)</f>
        <v>NDC 1.1</v>
      </c>
      <c r="G1333" s="233" t="str">
        <f>VLOOKUP(Table8[[#This Row],[Document ID]],Table1[],10,FALSE)</f>
        <v>Archived</v>
      </c>
      <c r="H1333" s="43" t="s">
        <v>2350</v>
      </c>
      <c r="I1333" s="43" t="s">
        <v>2370</v>
      </c>
      <c r="J1333" s="44" t="s">
        <v>2418</v>
      </c>
      <c r="K1333" s="44" t="s">
        <v>3588</v>
      </c>
      <c r="L1333" s="44" t="s">
        <v>2471</v>
      </c>
      <c r="M1333" s="43">
        <v>26</v>
      </c>
      <c r="N1333" s="113" t="s">
        <v>1113</v>
      </c>
      <c r="O1333" s="113"/>
      <c r="P1333" s="113"/>
      <c r="Q1333" s="113"/>
      <c r="R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319" t="s">
        <v>1113</v>
      </c>
      <c r="AL1333" s="113"/>
      <c r="AM1333" s="113"/>
      <c r="AN1333" s="113"/>
      <c r="AO1333" s="44" t="s">
        <v>2334</v>
      </c>
      <c r="AP1333" s="43"/>
      <c r="AQ1333" s="236" t="str">
        <f>VLOOKUP(Table8[[#This Row],[Instrument]],Def_Targets!$D$73:$E$159,2,FALSE)</f>
        <v>A_Complan</v>
      </c>
      <c r="AR1333" s="233" t="str">
        <f>VLOOKUP(Table8[[#This Row],[Country Code]],Table29[],3,FALSE)</f>
        <v>Non-Annex I</v>
      </c>
      <c r="AS1333" s="233" t="str">
        <f>VLOOKUP(Table8[[#This Row],[Country Code]],Table29[],4,FALSE)</f>
        <v>Latin America and the Caribbean</v>
      </c>
      <c r="AT1333" s="233" t="str">
        <f>VLOOKUP(Table8[[#This Row],[Country Code]],Table29[],5,FALSE)</f>
        <v>Middle-income</v>
      </c>
      <c r="AU1333" s="233" t="str">
        <f>VLOOKUP(Table8[[#This Row],[Country Code]],Table29[],6,FALSE)</f>
        <v>G20</v>
      </c>
      <c r="AV1333" s="233" t="str">
        <f>VLOOKUP(Table8[[#This Row],[Country Code]],Table29[],7,FALSE)</f>
        <v>no</v>
      </c>
      <c r="AW1333" s="233" t="str">
        <f>VLOOKUP(Table8[[#This Row],[Country Code]],Table29[],8,FALSE)</f>
        <v>OECD</v>
      </c>
      <c r="AX1333" s="233" t="str">
        <f>VLOOKUP(Table8[[#This Row],[Country Code]],Table29[],9,FALSE)</f>
        <v>no</v>
      </c>
      <c r="AY1333" s="233" t="str">
        <f>VLOOKUP(Table8[[#This Row],[Country Code]],Table29[],10,FALSE)</f>
        <v>no</v>
      </c>
      <c r="AZ1333" s="235">
        <f>VLOOKUP(Table8[[#This Row],[Country Code]],Table29[],23,FALSE)</f>
        <v>712.10209803987004</v>
      </c>
      <c r="BA1333" s="235">
        <f>VLOOKUP(Table8[[#This Row],[Country Code]],Table29[],24,FALSE)</f>
        <v>132.220611733639</v>
      </c>
      <c r="BB1333" s="320"/>
      <c r="BC1333" s="320"/>
    </row>
    <row r="1334" spans="1:55" hidden="1" x14ac:dyDescent="0.25">
      <c r="A1334" s="360">
        <v>17662</v>
      </c>
      <c r="B1334" s="233" t="str">
        <f>VLOOKUP(Table8[[#This Row],[Document ID]],Table1[],2,FALSE)</f>
        <v>MEX</v>
      </c>
      <c r="C1334" s="233" t="str">
        <f>VLOOKUP(Table8[[#This Row],[Document ID]],Table1[],3,FALSE)</f>
        <v>Mexico</v>
      </c>
      <c r="D1334" s="233" t="str">
        <f>VLOOKUP(Table8[[#This Row],[Document ID]],Table1[],5,FALSE)</f>
        <v>NDC</v>
      </c>
      <c r="E1334" s="233" t="str">
        <f>VLOOKUP(Table8[[#This Row],[Document ID]],Table1[],7,FALSE)</f>
        <v>First NDC updated</v>
      </c>
      <c r="F1334" s="233" t="str">
        <f>VLOOKUP(Table8[[#This Row],[Document ID]],Table1[],8,FALSE)</f>
        <v>NDC 1.1</v>
      </c>
      <c r="G1334" s="233" t="str">
        <f>VLOOKUP(Table8[[#This Row],[Document ID]],Table1[],10,FALSE)</f>
        <v>Archived</v>
      </c>
      <c r="H1334" s="43" t="s">
        <v>2358</v>
      </c>
      <c r="I1334" s="43" t="s">
        <v>2359</v>
      </c>
      <c r="J1334" s="44" t="s">
        <v>2360</v>
      </c>
      <c r="K1334" s="44" t="s">
        <v>3589</v>
      </c>
      <c r="L1334" s="44" t="s">
        <v>2333</v>
      </c>
      <c r="M1334" s="43">
        <v>26</v>
      </c>
      <c r="N1334" s="113" t="s">
        <v>1113</v>
      </c>
      <c r="O1334" s="113"/>
      <c r="P1334" s="113"/>
      <c r="Q1334" s="113"/>
      <c r="R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319" t="s">
        <v>1113</v>
      </c>
      <c r="AL1334" s="113"/>
      <c r="AM1334" s="113"/>
      <c r="AN1334" s="113"/>
      <c r="AO1334" s="44" t="s">
        <v>2334</v>
      </c>
      <c r="AP1334" s="43"/>
      <c r="AQ1334" s="236" t="str">
        <f>VLOOKUP(Table8[[#This Row],[Instrument]],Def_Targets!$D$73:$E$159,2,FALSE)</f>
        <v>I_Emobility</v>
      </c>
      <c r="AR1334" s="233" t="str">
        <f>VLOOKUP(Table8[[#This Row],[Country Code]],Table29[],3,FALSE)</f>
        <v>Non-Annex I</v>
      </c>
      <c r="AS1334" s="233" t="str">
        <f>VLOOKUP(Table8[[#This Row],[Country Code]],Table29[],4,FALSE)</f>
        <v>Latin America and the Caribbean</v>
      </c>
      <c r="AT1334" s="233" t="str">
        <f>VLOOKUP(Table8[[#This Row],[Country Code]],Table29[],5,FALSE)</f>
        <v>Middle-income</v>
      </c>
      <c r="AU1334" s="233" t="str">
        <f>VLOOKUP(Table8[[#This Row],[Country Code]],Table29[],6,FALSE)</f>
        <v>G20</v>
      </c>
      <c r="AV1334" s="233" t="str">
        <f>VLOOKUP(Table8[[#This Row],[Country Code]],Table29[],7,FALSE)</f>
        <v>no</v>
      </c>
      <c r="AW1334" s="233" t="str">
        <f>VLOOKUP(Table8[[#This Row],[Country Code]],Table29[],8,FALSE)</f>
        <v>OECD</v>
      </c>
      <c r="AX1334" s="233" t="str">
        <f>VLOOKUP(Table8[[#This Row],[Country Code]],Table29[],9,FALSE)</f>
        <v>no</v>
      </c>
      <c r="AY1334" s="233" t="str">
        <f>VLOOKUP(Table8[[#This Row],[Country Code]],Table29[],10,FALSE)</f>
        <v>no</v>
      </c>
      <c r="AZ1334" s="235">
        <f>VLOOKUP(Table8[[#This Row],[Country Code]],Table29[],23,FALSE)</f>
        <v>712.10209803987004</v>
      </c>
      <c r="BA1334" s="235">
        <f>VLOOKUP(Table8[[#This Row],[Country Code]],Table29[],24,FALSE)</f>
        <v>132.220611733639</v>
      </c>
      <c r="BB1334" s="320"/>
      <c r="BC1334" s="320"/>
    </row>
    <row r="1335" spans="1:55" hidden="1" x14ac:dyDescent="0.25">
      <c r="A1335" s="360">
        <v>17662</v>
      </c>
      <c r="B1335" s="233" t="str">
        <f>VLOOKUP(Table8[[#This Row],[Document ID]],Table1[],2,FALSE)</f>
        <v>MEX</v>
      </c>
      <c r="C1335" s="233" t="str">
        <f>VLOOKUP(Table8[[#This Row],[Document ID]],Table1[],3,FALSE)</f>
        <v>Mexico</v>
      </c>
      <c r="D1335" s="233" t="str">
        <f>VLOOKUP(Table8[[#This Row],[Document ID]],Table1[],5,FALSE)</f>
        <v>NDC</v>
      </c>
      <c r="E1335" s="233" t="str">
        <f>VLOOKUP(Table8[[#This Row],[Document ID]],Table1[],7,FALSE)</f>
        <v>First NDC updated</v>
      </c>
      <c r="F1335" s="233" t="str">
        <f>VLOOKUP(Table8[[#This Row],[Document ID]],Table1[],8,FALSE)</f>
        <v>NDC 1.1</v>
      </c>
      <c r="G1335" s="233" t="str">
        <f>VLOOKUP(Table8[[#This Row],[Document ID]],Table1[],10,FALSE)</f>
        <v>Archived</v>
      </c>
      <c r="H1335" s="43" t="s">
        <v>2343</v>
      </c>
      <c r="I1335" s="43" t="s">
        <v>2344</v>
      </c>
      <c r="J1335" s="44" t="s">
        <v>2345</v>
      </c>
      <c r="K1335" s="44" t="s">
        <v>3590</v>
      </c>
      <c r="L1335" s="44" t="s">
        <v>2396</v>
      </c>
      <c r="M1335" s="43">
        <v>26</v>
      </c>
      <c r="N1335" s="113" t="s">
        <v>1113</v>
      </c>
      <c r="O1335" s="113"/>
      <c r="P1335" s="113"/>
      <c r="Q1335" s="113"/>
      <c r="R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t="s">
        <v>1113</v>
      </c>
      <c r="AM1335" s="113"/>
      <c r="AN1335" s="113"/>
      <c r="AO1335" s="43" t="s">
        <v>2348</v>
      </c>
      <c r="AP1335" s="43"/>
      <c r="AQ1335" s="236" t="str">
        <f>VLOOKUP(Table8[[#This Row],[Instrument]],Def_Targets!$D$73:$E$159,2,FALSE)</f>
        <v>S_PublicTransport</v>
      </c>
      <c r="AR1335" s="233" t="str">
        <f>VLOOKUP(Table8[[#This Row],[Country Code]],Table29[],3,FALSE)</f>
        <v>Non-Annex I</v>
      </c>
      <c r="AS1335" s="233" t="str">
        <f>VLOOKUP(Table8[[#This Row],[Country Code]],Table29[],4,FALSE)</f>
        <v>Latin America and the Caribbean</v>
      </c>
      <c r="AT1335" s="233" t="str">
        <f>VLOOKUP(Table8[[#This Row],[Country Code]],Table29[],5,FALSE)</f>
        <v>Middle-income</v>
      </c>
      <c r="AU1335" s="233" t="str">
        <f>VLOOKUP(Table8[[#This Row],[Country Code]],Table29[],6,FALSE)</f>
        <v>G20</v>
      </c>
      <c r="AV1335" s="233" t="str">
        <f>VLOOKUP(Table8[[#This Row],[Country Code]],Table29[],7,FALSE)</f>
        <v>no</v>
      </c>
      <c r="AW1335" s="233" t="str">
        <f>VLOOKUP(Table8[[#This Row],[Country Code]],Table29[],8,FALSE)</f>
        <v>OECD</v>
      </c>
      <c r="AX1335" s="233" t="str">
        <f>VLOOKUP(Table8[[#This Row],[Country Code]],Table29[],9,FALSE)</f>
        <v>no</v>
      </c>
      <c r="AY1335" s="233" t="str">
        <f>VLOOKUP(Table8[[#This Row],[Country Code]],Table29[],10,FALSE)</f>
        <v>no</v>
      </c>
      <c r="AZ1335" s="235">
        <f>VLOOKUP(Table8[[#This Row],[Country Code]],Table29[],23,FALSE)</f>
        <v>712.10209803987004</v>
      </c>
      <c r="BA1335" s="235">
        <f>VLOOKUP(Table8[[#This Row],[Country Code]],Table29[],24,FALSE)</f>
        <v>132.220611733639</v>
      </c>
      <c r="BB1335" s="320"/>
      <c r="BC1335" s="320"/>
    </row>
    <row r="1336" spans="1:55" ht="45" hidden="1" x14ac:dyDescent="0.25">
      <c r="A1336" s="373">
        <v>17638</v>
      </c>
      <c r="B1336" s="233" t="str">
        <f>VLOOKUP(Table8[[#This Row],[Document ID]],Table1[],2,FALSE)</f>
        <v>LVA</v>
      </c>
      <c r="C1336" s="233" t="str">
        <f>VLOOKUP(Table8[[#This Row],[Document ID]],Table1[],3,FALSE)</f>
        <v>Latvia</v>
      </c>
      <c r="D1336" s="243" t="str">
        <f>VLOOKUP(Table8[[#This Row],[Document ID]],Table1[],5,FALSE)</f>
        <v>LTS</v>
      </c>
      <c r="E1336" s="233" t="str">
        <f>VLOOKUP(Table8[[#This Row],[Document ID]],Table1[],7,FALSE)</f>
        <v>LTS</v>
      </c>
      <c r="F1336" s="233" t="str">
        <f>VLOOKUP(Table8[[#This Row],[Document ID]],Table1[],8,FALSE)</f>
        <v>LTS 1.0</v>
      </c>
      <c r="G1336" s="233" t="str">
        <f>VLOOKUP(Table8[[#This Row],[Document ID]],Table1[],10,FALSE)</f>
        <v>Active</v>
      </c>
      <c r="H1336" s="44" t="s">
        <v>2329</v>
      </c>
      <c r="I1336" s="44" t="s">
        <v>2330</v>
      </c>
      <c r="J1336" s="44" t="s">
        <v>2357</v>
      </c>
      <c r="K1336" s="44" t="s">
        <v>3571</v>
      </c>
      <c r="L1336" s="44" t="s">
        <v>2333</v>
      </c>
      <c r="M1336" s="43">
        <v>16</v>
      </c>
      <c r="N1336" s="113" t="s">
        <v>1113</v>
      </c>
      <c r="O1336" s="113"/>
      <c r="P1336" s="113"/>
      <c r="Q1336" s="113"/>
      <c r="R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319" t="s">
        <v>1113</v>
      </c>
      <c r="AL1336" s="113"/>
      <c r="AM1336" s="113"/>
      <c r="AN1336" s="113"/>
      <c r="AO1336" s="44" t="s">
        <v>2334</v>
      </c>
      <c r="AP1336" s="43"/>
      <c r="AQ1336" s="236" t="str">
        <f>VLOOKUP(Table8[[#This Row],[Instrument]],Def_Targets!$D$73:$E$159,2,FALSE)</f>
        <v>I_Biofuel</v>
      </c>
      <c r="AR1336" s="233" t="str">
        <f>VLOOKUP(Table8[[#This Row],[Country Code]],Table29[],3,FALSE)</f>
        <v>Annex I</v>
      </c>
      <c r="AS1336" s="233" t="str">
        <f>VLOOKUP(Table8[[#This Row],[Country Code]],Table29[],4,FALSE)</f>
        <v>Europe</v>
      </c>
      <c r="AT1336" s="233" t="str">
        <f>VLOOKUP(Table8[[#This Row],[Country Code]],Table29[],5,FALSE)</f>
        <v>High-income</v>
      </c>
      <c r="AU1336" s="233" t="str">
        <f>VLOOKUP(Table8[[#This Row],[Country Code]],Table29[],6,FALSE)</f>
        <v>no</v>
      </c>
      <c r="AV1336" s="233" t="str">
        <f>VLOOKUP(Table8[[#This Row],[Country Code]],Table29[],7,FALSE)</f>
        <v>no</v>
      </c>
      <c r="AW1336" s="233" t="str">
        <f>VLOOKUP(Table8[[#This Row],[Country Code]],Table29[],8,FALSE)</f>
        <v>OECD</v>
      </c>
      <c r="AX1336" s="233" t="str">
        <f>VLOOKUP(Table8[[#This Row],[Country Code]],Table29[],9,FALSE)</f>
        <v>EU27</v>
      </c>
      <c r="AY1336" s="233" t="str">
        <f>VLOOKUP(Table8[[#This Row],[Country Code]],Table29[],10,FALSE)</f>
        <v>no</v>
      </c>
      <c r="AZ1336" s="235">
        <f>VLOOKUP(Table8[[#This Row],[Country Code]],Table29[],23,FALSE)</f>
        <v>10.957491923456001</v>
      </c>
      <c r="BA1336" s="235">
        <f>VLOOKUP(Table8[[#This Row],[Country Code]],Table29[],24,FALSE)</f>
        <v>3.102706195463615</v>
      </c>
      <c r="BB1336" s="320"/>
      <c r="BC1336" s="320"/>
    </row>
    <row r="1337" spans="1:55" ht="45" hidden="1" x14ac:dyDescent="0.25">
      <c r="A1337" s="373">
        <v>17638</v>
      </c>
      <c r="B1337" s="233" t="str">
        <f>VLOOKUP(Table8[[#This Row],[Document ID]],Table1[],2,FALSE)</f>
        <v>LVA</v>
      </c>
      <c r="C1337" s="233" t="str">
        <f>VLOOKUP(Table8[[#This Row],[Document ID]],Table1[],3,FALSE)</f>
        <v>Latvia</v>
      </c>
      <c r="D1337" s="243" t="str">
        <f>VLOOKUP(Table8[[#This Row],[Document ID]],Table1[],5,FALSE)</f>
        <v>LTS</v>
      </c>
      <c r="E1337" s="233" t="str">
        <f>VLOOKUP(Table8[[#This Row],[Document ID]],Table1[],7,FALSE)</f>
        <v>LTS</v>
      </c>
      <c r="F1337" s="233" t="str">
        <f>VLOOKUP(Table8[[#This Row],[Document ID]],Table1[],8,FALSE)</f>
        <v>LTS 1.0</v>
      </c>
      <c r="G1337" s="233" t="str">
        <f>VLOOKUP(Table8[[#This Row],[Document ID]],Table1[],10,FALSE)</f>
        <v>Active</v>
      </c>
      <c r="H1337" s="43" t="s">
        <v>2358</v>
      </c>
      <c r="I1337" s="43" t="s">
        <v>2359</v>
      </c>
      <c r="J1337" s="44" t="s">
        <v>2360</v>
      </c>
      <c r="K1337" s="44" t="s">
        <v>3571</v>
      </c>
      <c r="L1337" s="44" t="s">
        <v>2333</v>
      </c>
      <c r="M1337" s="43">
        <v>16</v>
      </c>
      <c r="N1337" s="113"/>
      <c r="O1337" s="113"/>
      <c r="P1337" s="113"/>
      <c r="Q1337" s="113"/>
      <c r="R1337" s="113"/>
      <c r="S1337" s="113"/>
      <c r="T1337" s="113"/>
      <c r="U1337" s="113" t="s">
        <v>1113</v>
      </c>
      <c r="V1337" s="113"/>
      <c r="W1337" s="113"/>
      <c r="X1337" s="113"/>
      <c r="Y1337" s="113"/>
      <c r="Z1337" s="113"/>
      <c r="AA1337" s="113"/>
      <c r="AB1337" s="113"/>
      <c r="AC1337" s="113"/>
      <c r="AD1337" s="113"/>
      <c r="AE1337" s="113"/>
      <c r="AF1337" s="113"/>
      <c r="AG1337" s="113"/>
      <c r="AH1337" s="113"/>
      <c r="AI1337" s="113"/>
      <c r="AJ1337" s="113"/>
      <c r="AK1337" s="319" t="s">
        <v>1113</v>
      </c>
      <c r="AL1337" s="113"/>
      <c r="AM1337" s="113"/>
      <c r="AN1337" s="113"/>
      <c r="AO1337" s="43" t="s">
        <v>2348</v>
      </c>
      <c r="AP1337" s="43"/>
      <c r="AQ1337" s="236" t="str">
        <f>VLOOKUP(Table8[[#This Row],[Instrument]],Def_Targets!$D$73:$E$159,2,FALSE)</f>
        <v>I_Emobility</v>
      </c>
      <c r="AR1337" s="233" t="str">
        <f>VLOOKUP(Table8[[#This Row],[Country Code]],Table29[],3,FALSE)</f>
        <v>Annex I</v>
      </c>
      <c r="AS1337" s="233" t="str">
        <f>VLOOKUP(Table8[[#This Row],[Country Code]],Table29[],4,FALSE)</f>
        <v>Europe</v>
      </c>
      <c r="AT1337" s="233" t="str">
        <f>VLOOKUP(Table8[[#This Row],[Country Code]],Table29[],5,FALSE)</f>
        <v>High-income</v>
      </c>
      <c r="AU1337" s="233" t="str">
        <f>VLOOKUP(Table8[[#This Row],[Country Code]],Table29[],6,FALSE)</f>
        <v>no</v>
      </c>
      <c r="AV1337" s="233" t="str">
        <f>VLOOKUP(Table8[[#This Row],[Country Code]],Table29[],7,FALSE)</f>
        <v>no</v>
      </c>
      <c r="AW1337" s="233" t="str">
        <f>VLOOKUP(Table8[[#This Row],[Country Code]],Table29[],8,FALSE)</f>
        <v>OECD</v>
      </c>
      <c r="AX1337" s="233" t="str">
        <f>VLOOKUP(Table8[[#This Row],[Country Code]],Table29[],9,FALSE)</f>
        <v>EU27</v>
      </c>
      <c r="AY1337" s="233" t="str">
        <f>VLOOKUP(Table8[[#This Row],[Country Code]],Table29[],10,FALSE)</f>
        <v>no</v>
      </c>
      <c r="AZ1337" s="235">
        <f>VLOOKUP(Table8[[#This Row],[Country Code]],Table29[],23,FALSE)</f>
        <v>10.957491923456001</v>
      </c>
      <c r="BA1337" s="235">
        <f>VLOOKUP(Table8[[#This Row],[Country Code]],Table29[],24,FALSE)</f>
        <v>3.102706195463615</v>
      </c>
      <c r="BB1337" s="320"/>
      <c r="BC1337" s="320"/>
    </row>
    <row r="1338" spans="1:55" hidden="1" x14ac:dyDescent="0.25">
      <c r="A1338" s="373">
        <v>17638</v>
      </c>
      <c r="B1338" s="233" t="str">
        <f>VLOOKUP(Table8[[#This Row],[Document ID]],Table1[],2,FALSE)</f>
        <v>LVA</v>
      </c>
      <c r="C1338" s="233" t="str">
        <f>VLOOKUP(Table8[[#This Row],[Document ID]],Table1[],3,FALSE)</f>
        <v>Latvia</v>
      </c>
      <c r="D1338" s="243" t="str">
        <f>VLOOKUP(Table8[[#This Row],[Document ID]],Table1[],5,FALSE)</f>
        <v>LTS</v>
      </c>
      <c r="E1338" s="233" t="str">
        <f>VLOOKUP(Table8[[#This Row],[Document ID]],Table1[],7,FALSE)</f>
        <v>LTS</v>
      </c>
      <c r="F1338" s="233" t="str">
        <f>VLOOKUP(Table8[[#This Row],[Document ID]],Table1[],8,FALSE)</f>
        <v>LTS 1.0</v>
      </c>
      <c r="G1338" s="233" t="str">
        <f>VLOOKUP(Table8[[#This Row],[Document ID]],Table1[],10,FALSE)</f>
        <v>Active</v>
      </c>
      <c r="H1338" s="43" t="s">
        <v>2358</v>
      </c>
      <c r="I1338" s="43" t="s">
        <v>2359</v>
      </c>
      <c r="J1338" s="44" t="s">
        <v>2360</v>
      </c>
      <c r="K1338" s="44" t="s">
        <v>3591</v>
      </c>
      <c r="L1338" s="44" t="s">
        <v>2333</v>
      </c>
      <c r="M1338" s="43">
        <v>41</v>
      </c>
      <c r="N1338" s="113"/>
      <c r="O1338" s="113"/>
      <c r="P1338" s="113"/>
      <c r="Q1338" s="113"/>
      <c r="R1338" s="113"/>
      <c r="S1338" s="113" t="s">
        <v>1113</v>
      </c>
      <c r="T1338" s="113"/>
      <c r="U1338" s="113"/>
      <c r="V1338" s="113"/>
      <c r="W1338" s="113"/>
      <c r="X1338" s="113"/>
      <c r="Y1338" s="113"/>
      <c r="Z1338" s="113"/>
      <c r="AA1338" s="113"/>
      <c r="AB1338" s="113"/>
      <c r="AC1338" s="113"/>
      <c r="AD1338" s="113"/>
      <c r="AE1338" s="113"/>
      <c r="AF1338" s="113"/>
      <c r="AG1338" s="113"/>
      <c r="AH1338" s="113"/>
      <c r="AI1338" s="113"/>
      <c r="AJ1338" s="113"/>
      <c r="AK1338" s="319" t="s">
        <v>1113</v>
      </c>
      <c r="AL1338" s="113"/>
      <c r="AM1338" s="113"/>
      <c r="AN1338" s="113"/>
      <c r="AO1338" s="44" t="s">
        <v>2334</v>
      </c>
      <c r="AP1338" s="43"/>
      <c r="AQ1338" s="236" t="str">
        <f>VLOOKUP(Table8[[#This Row],[Instrument]],Def_Targets!$D$73:$E$159,2,FALSE)</f>
        <v>I_Emobility</v>
      </c>
      <c r="AR1338" s="233" t="str">
        <f>VLOOKUP(Table8[[#This Row],[Country Code]],Table29[],3,FALSE)</f>
        <v>Annex I</v>
      </c>
      <c r="AS1338" s="233" t="str">
        <f>VLOOKUP(Table8[[#This Row],[Country Code]],Table29[],4,FALSE)</f>
        <v>Europe</v>
      </c>
      <c r="AT1338" s="233" t="str">
        <f>VLOOKUP(Table8[[#This Row],[Country Code]],Table29[],5,FALSE)</f>
        <v>High-income</v>
      </c>
      <c r="AU1338" s="233" t="str">
        <f>VLOOKUP(Table8[[#This Row],[Country Code]],Table29[],6,FALSE)</f>
        <v>no</v>
      </c>
      <c r="AV1338" s="233" t="str">
        <f>VLOOKUP(Table8[[#This Row],[Country Code]],Table29[],7,FALSE)</f>
        <v>no</v>
      </c>
      <c r="AW1338" s="233" t="str">
        <f>VLOOKUP(Table8[[#This Row],[Country Code]],Table29[],8,FALSE)</f>
        <v>OECD</v>
      </c>
      <c r="AX1338" s="233" t="str">
        <f>VLOOKUP(Table8[[#This Row],[Country Code]],Table29[],9,FALSE)</f>
        <v>EU27</v>
      </c>
      <c r="AY1338" s="233" t="str">
        <f>VLOOKUP(Table8[[#This Row],[Country Code]],Table29[],10,FALSE)</f>
        <v>no</v>
      </c>
      <c r="AZ1338" s="235">
        <f>VLOOKUP(Table8[[#This Row],[Country Code]],Table29[],23,FALSE)</f>
        <v>10.957491923456001</v>
      </c>
      <c r="BA1338" s="235">
        <f>VLOOKUP(Table8[[#This Row],[Country Code]],Table29[],24,FALSE)</f>
        <v>3.102706195463615</v>
      </c>
      <c r="BB1338" s="320"/>
      <c r="BC1338" s="320"/>
    </row>
    <row r="1339" spans="1:55" hidden="1" x14ac:dyDescent="0.25">
      <c r="A1339" s="373">
        <v>17638</v>
      </c>
      <c r="B1339" s="233" t="str">
        <f>VLOOKUP(Table8[[#This Row],[Document ID]],Table1[],2,FALSE)</f>
        <v>LVA</v>
      </c>
      <c r="C1339" s="233" t="str">
        <f>VLOOKUP(Table8[[#This Row],[Document ID]],Table1[],3,FALSE)</f>
        <v>Latvia</v>
      </c>
      <c r="D1339" s="243" t="str">
        <f>VLOOKUP(Table8[[#This Row],[Document ID]],Table1[],5,FALSE)</f>
        <v>LTS</v>
      </c>
      <c r="E1339" s="233" t="str">
        <f>VLOOKUP(Table8[[#This Row],[Document ID]],Table1[],7,FALSE)</f>
        <v>LTS</v>
      </c>
      <c r="F1339" s="233" t="str">
        <f>VLOOKUP(Table8[[#This Row],[Document ID]],Table1[],8,FALSE)</f>
        <v>LTS 1.0</v>
      </c>
      <c r="G1339" s="233" t="str">
        <f>VLOOKUP(Table8[[#This Row],[Document ID]],Table1[],10,FALSE)</f>
        <v>Active</v>
      </c>
      <c r="H1339" s="43" t="s">
        <v>2358</v>
      </c>
      <c r="I1339" s="43" t="s">
        <v>2359</v>
      </c>
      <c r="J1339" s="44" t="s">
        <v>2383</v>
      </c>
      <c r="K1339" s="44" t="s">
        <v>3592</v>
      </c>
      <c r="L1339" s="44" t="s">
        <v>2333</v>
      </c>
      <c r="M1339" s="43">
        <v>41</v>
      </c>
      <c r="N1339" s="113"/>
      <c r="O1339" s="113"/>
      <c r="P1339" s="113"/>
      <c r="Q1339" s="113"/>
      <c r="R1339" s="113"/>
      <c r="S1339" s="113" t="s">
        <v>1113</v>
      </c>
      <c r="T1339" s="113"/>
      <c r="U1339" s="113"/>
      <c r="V1339" s="113"/>
      <c r="W1339" s="113"/>
      <c r="X1339" s="113"/>
      <c r="Y1339" s="113"/>
      <c r="Z1339" s="113"/>
      <c r="AA1339" s="113"/>
      <c r="AB1339" s="113"/>
      <c r="AC1339" s="113"/>
      <c r="AD1339" s="113"/>
      <c r="AE1339" s="113"/>
      <c r="AF1339" s="113"/>
      <c r="AG1339" s="113"/>
      <c r="AH1339" s="113"/>
      <c r="AI1339" s="113"/>
      <c r="AJ1339" s="113"/>
      <c r="AK1339" s="319" t="s">
        <v>1113</v>
      </c>
      <c r="AL1339" s="113"/>
      <c r="AM1339" s="113"/>
      <c r="AN1339" s="113"/>
      <c r="AO1339" s="44" t="s">
        <v>2334</v>
      </c>
      <c r="AP1339" s="43"/>
      <c r="AQ1339" s="236" t="str">
        <f>VLOOKUP(Table8[[#This Row],[Instrument]],Def_Targets!$D$73:$E$159,2,FALSE)</f>
        <v>I_Emobilitycharging</v>
      </c>
      <c r="AR1339" s="233" t="str">
        <f>VLOOKUP(Table8[[#This Row],[Country Code]],Table29[],3,FALSE)</f>
        <v>Annex I</v>
      </c>
      <c r="AS1339" s="233" t="str">
        <f>VLOOKUP(Table8[[#This Row],[Country Code]],Table29[],4,FALSE)</f>
        <v>Europe</v>
      </c>
      <c r="AT1339" s="233" t="str">
        <f>VLOOKUP(Table8[[#This Row],[Country Code]],Table29[],5,FALSE)</f>
        <v>High-income</v>
      </c>
      <c r="AU1339" s="233" t="str">
        <f>VLOOKUP(Table8[[#This Row],[Country Code]],Table29[],6,FALSE)</f>
        <v>no</v>
      </c>
      <c r="AV1339" s="233" t="str">
        <f>VLOOKUP(Table8[[#This Row],[Country Code]],Table29[],7,FALSE)</f>
        <v>no</v>
      </c>
      <c r="AW1339" s="233" t="str">
        <f>VLOOKUP(Table8[[#This Row],[Country Code]],Table29[],8,FALSE)</f>
        <v>OECD</v>
      </c>
      <c r="AX1339" s="233" t="str">
        <f>VLOOKUP(Table8[[#This Row],[Country Code]],Table29[],9,FALSE)</f>
        <v>EU27</v>
      </c>
      <c r="AY1339" s="233" t="str">
        <f>VLOOKUP(Table8[[#This Row],[Country Code]],Table29[],10,FALSE)</f>
        <v>no</v>
      </c>
      <c r="AZ1339" s="235">
        <f>VLOOKUP(Table8[[#This Row],[Country Code]],Table29[],23,FALSE)</f>
        <v>10.957491923456001</v>
      </c>
      <c r="BA1339" s="235">
        <f>VLOOKUP(Table8[[#This Row],[Country Code]],Table29[],24,FALSE)</f>
        <v>3.102706195463615</v>
      </c>
      <c r="BB1339" s="320"/>
      <c r="BC1339" s="320"/>
    </row>
    <row r="1340" spans="1:55" ht="30" hidden="1" x14ac:dyDescent="0.25">
      <c r="A1340" s="373">
        <v>17638</v>
      </c>
      <c r="B1340" s="233" t="str">
        <f>VLOOKUP(Table8[[#This Row],[Document ID]],Table1[],2,FALSE)</f>
        <v>LVA</v>
      </c>
      <c r="C1340" s="233" t="str">
        <f>VLOOKUP(Table8[[#This Row],[Document ID]],Table1[],3,FALSE)</f>
        <v>Latvia</v>
      </c>
      <c r="D1340" s="243" t="str">
        <f>VLOOKUP(Table8[[#This Row],[Document ID]],Table1[],5,FALSE)</f>
        <v>LTS</v>
      </c>
      <c r="E1340" s="233" t="str">
        <f>VLOOKUP(Table8[[#This Row],[Document ID]],Table1[],7,FALSE)</f>
        <v>LTS</v>
      </c>
      <c r="F1340" s="233" t="str">
        <f>VLOOKUP(Table8[[#This Row],[Document ID]],Table1[],8,FALSE)</f>
        <v>LTS 1.0</v>
      </c>
      <c r="G1340" s="233" t="str">
        <f>VLOOKUP(Table8[[#This Row],[Document ID]],Table1[],10,FALSE)</f>
        <v>Active</v>
      </c>
      <c r="H1340" s="43" t="s">
        <v>2484</v>
      </c>
      <c r="I1340" s="43" t="s">
        <v>2488</v>
      </c>
      <c r="J1340" s="44" t="s">
        <v>2684</v>
      </c>
      <c r="K1340" s="44" t="s">
        <v>3593</v>
      </c>
      <c r="L1340" s="44" t="s">
        <v>2333</v>
      </c>
      <c r="M1340" s="43">
        <v>42</v>
      </c>
      <c r="N1340" s="113"/>
      <c r="O1340" s="113"/>
      <c r="P1340" s="113"/>
      <c r="Q1340" s="113"/>
      <c r="R1340" s="113"/>
      <c r="S1340" s="113"/>
      <c r="T1340" s="113"/>
      <c r="U1340" s="113"/>
      <c r="V1340" s="113"/>
      <c r="W1340" s="113"/>
      <c r="X1340" s="113"/>
      <c r="Y1340" s="113"/>
      <c r="Z1340" s="113"/>
      <c r="AA1340" s="113"/>
      <c r="AB1340" s="113"/>
      <c r="AC1340" s="113"/>
      <c r="AD1340" s="113"/>
      <c r="AE1340" s="113"/>
      <c r="AF1340" s="113"/>
      <c r="AG1340" s="113"/>
      <c r="AH1340" s="113" t="s">
        <v>1113</v>
      </c>
      <c r="AI1340" s="113"/>
      <c r="AJ1340" s="113"/>
      <c r="AK1340" s="319" t="s">
        <v>1113</v>
      </c>
      <c r="AL1340" s="113"/>
      <c r="AM1340" s="113"/>
      <c r="AN1340" s="113"/>
      <c r="AO1340" s="44" t="s">
        <v>2334</v>
      </c>
      <c r="AP1340" s="43"/>
      <c r="AQ1340" s="236" t="str">
        <f>VLOOKUP(Table8[[#This Row],[Instrument]],Def_Targets!$D$73:$E$159,2,FALSE)</f>
        <v>I_Jetfuel</v>
      </c>
      <c r="AR1340" s="233" t="str">
        <f>VLOOKUP(Table8[[#This Row],[Country Code]],Table29[],3,FALSE)</f>
        <v>Annex I</v>
      </c>
      <c r="AS1340" s="233" t="str">
        <f>VLOOKUP(Table8[[#This Row],[Country Code]],Table29[],4,FALSE)</f>
        <v>Europe</v>
      </c>
      <c r="AT1340" s="233" t="str">
        <f>VLOOKUP(Table8[[#This Row],[Country Code]],Table29[],5,FALSE)</f>
        <v>High-income</v>
      </c>
      <c r="AU1340" s="233" t="str">
        <f>VLOOKUP(Table8[[#This Row],[Country Code]],Table29[],6,FALSE)</f>
        <v>no</v>
      </c>
      <c r="AV1340" s="233" t="str">
        <f>VLOOKUP(Table8[[#This Row],[Country Code]],Table29[],7,FALSE)</f>
        <v>no</v>
      </c>
      <c r="AW1340" s="233" t="str">
        <f>VLOOKUP(Table8[[#This Row],[Country Code]],Table29[],8,FALSE)</f>
        <v>OECD</v>
      </c>
      <c r="AX1340" s="233" t="str">
        <f>VLOOKUP(Table8[[#This Row],[Country Code]],Table29[],9,FALSE)</f>
        <v>EU27</v>
      </c>
      <c r="AY1340" s="233" t="str">
        <f>VLOOKUP(Table8[[#This Row],[Country Code]],Table29[],10,FALSE)</f>
        <v>no</v>
      </c>
      <c r="AZ1340" s="235">
        <f>VLOOKUP(Table8[[#This Row],[Country Code]],Table29[],23,FALSE)</f>
        <v>10.957491923456001</v>
      </c>
      <c r="BA1340" s="235">
        <f>VLOOKUP(Table8[[#This Row],[Country Code]],Table29[],24,FALSE)</f>
        <v>3.102706195463615</v>
      </c>
      <c r="BB1340" s="320"/>
      <c r="BC1340" s="320"/>
    </row>
    <row r="1341" spans="1:55" ht="30" hidden="1" x14ac:dyDescent="0.25">
      <c r="A1341" s="373">
        <v>17638</v>
      </c>
      <c r="B1341" s="233" t="str">
        <f>VLOOKUP(Table8[[#This Row],[Document ID]],Table1[],2,FALSE)</f>
        <v>LVA</v>
      </c>
      <c r="C1341" s="233" t="str">
        <f>VLOOKUP(Table8[[#This Row],[Document ID]],Table1[],3,FALSE)</f>
        <v>Latvia</v>
      </c>
      <c r="D1341" s="243" t="str">
        <f>VLOOKUP(Table8[[#This Row],[Document ID]],Table1[],5,FALSE)</f>
        <v>LTS</v>
      </c>
      <c r="E1341" s="233" t="str">
        <f>VLOOKUP(Table8[[#This Row],[Document ID]],Table1[],7,FALSE)</f>
        <v>LTS</v>
      </c>
      <c r="F1341" s="233" t="str">
        <f>VLOOKUP(Table8[[#This Row],[Document ID]],Table1[],8,FALSE)</f>
        <v>LTS 1.0</v>
      </c>
      <c r="G1341" s="233" t="str">
        <f>VLOOKUP(Table8[[#This Row],[Document ID]],Table1[],10,FALSE)</f>
        <v>Active</v>
      </c>
      <c r="H1341" s="43" t="s">
        <v>2358</v>
      </c>
      <c r="I1341" s="43" t="s">
        <v>2359</v>
      </c>
      <c r="J1341" s="44" t="s">
        <v>2360</v>
      </c>
      <c r="K1341" s="44" t="s">
        <v>3594</v>
      </c>
      <c r="L1341" s="44" t="s">
        <v>2333</v>
      </c>
      <c r="M1341" s="43">
        <v>42</v>
      </c>
      <c r="N1341" s="113"/>
      <c r="O1341" s="113"/>
      <c r="P1341" s="113"/>
      <c r="Q1341" s="113"/>
      <c r="R1341" s="113"/>
      <c r="S1341" s="113"/>
      <c r="T1341" s="113"/>
      <c r="U1341" s="113"/>
      <c r="V1341" s="113"/>
      <c r="W1341" s="113"/>
      <c r="X1341" s="113"/>
      <c r="Y1341" s="113"/>
      <c r="Z1341" s="113" t="s">
        <v>1113</v>
      </c>
      <c r="AA1341" s="113"/>
      <c r="AB1341" s="113"/>
      <c r="AC1341" s="113"/>
      <c r="AD1341" s="113"/>
      <c r="AE1341" s="113"/>
      <c r="AF1341" s="113"/>
      <c r="AG1341" s="113"/>
      <c r="AH1341" s="113"/>
      <c r="AI1341" s="113"/>
      <c r="AJ1341" s="113"/>
      <c r="AK1341" s="319" t="s">
        <v>1113</v>
      </c>
      <c r="AL1341" s="113"/>
      <c r="AM1341" s="113"/>
      <c r="AN1341" s="113"/>
      <c r="AO1341" s="44" t="s">
        <v>2334</v>
      </c>
      <c r="AP1341" s="43"/>
      <c r="AQ1341" s="236" t="str">
        <f>VLOOKUP(Table8[[#This Row],[Instrument]],Def_Targets!$D$73:$E$159,2,FALSE)</f>
        <v>I_Emobility</v>
      </c>
      <c r="AR1341" s="233" t="str">
        <f>VLOOKUP(Table8[[#This Row],[Country Code]],Table29[],3,FALSE)</f>
        <v>Annex I</v>
      </c>
      <c r="AS1341" s="233" t="str">
        <f>VLOOKUP(Table8[[#This Row],[Country Code]],Table29[],4,FALSE)</f>
        <v>Europe</v>
      </c>
      <c r="AT1341" s="233" t="str">
        <f>VLOOKUP(Table8[[#This Row],[Country Code]],Table29[],5,FALSE)</f>
        <v>High-income</v>
      </c>
      <c r="AU1341" s="233" t="str">
        <f>VLOOKUP(Table8[[#This Row],[Country Code]],Table29[],6,FALSE)</f>
        <v>no</v>
      </c>
      <c r="AV1341" s="233" t="str">
        <f>VLOOKUP(Table8[[#This Row],[Country Code]],Table29[],7,FALSE)</f>
        <v>no</v>
      </c>
      <c r="AW1341" s="233" t="str">
        <f>VLOOKUP(Table8[[#This Row],[Country Code]],Table29[],8,FALSE)</f>
        <v>OECD</v>
      </c>
      <c r="AX1341" s="233" t="str">
        <f>VLOOKUP(Table8[[#This Row],[Country Code]],Table29[],9,FALSE)</f>
        <v>EU27</v>
      </c>
      <c r="AY1341" s="233" t="str">
        <f>VLOOKUP(Table8[[#This Row],[Country Code]],Table29[],10,FALSE)</f>
        <v>no</v>
      </c>
      <c r="AZ1341" s="235">
        <f>VLOOKUP(Table8[[#This Row],[Country Code]],Table29[],23,FALSE)</f>
        <v>10.957491923456001</v>
      </c>
      <c r="BA1341" s="235">
        <f>VLOOKUP(Table8[[#This Row],[Country Code]],Table29[],24,FALSE)</f>
        <v>3.102706195463615</v>
      </c>
      <c r="BB1341" s="320"/>
      <c r="BC1341" s="320"/>
    </row>
    <row r="1342" spans="1:55" ht="30" hidden="1" x14ac:dyDescent="0.25">
      <c r="A1342" s="373">
        <v>17638</v>
      </c>
      <c r="B1342" s="233" t="str">
        <f>VLOOKUP(Table8[[#This Row],[Document ID]],Table1[],2,FALSE)</f>
        <v>LVA</v>
      </c>
      <c r="C1342" s="233" t="str">
        <f>VLOOKUP(Table8[[#This Row],[Document ID]],Table1[],3,FALSE)</f>
        <v>Latvia</v>
      </c>
      <c r="D1342" s="243" t="str">
        <f>VLOOKUP(Table8[[#This Row],[Document ID]],Table1[],5,FALSE)</f>
        <v>LTS</v>
      </c>
      <c r="E1342" s="233" t="str">
        <f>VLOOKUP(Table8[[#This Row],[Document ID]],Table1[],7,FALSE)</f>
        <v>LTS</v>
      </c>
      <c r="F1342" s="233" t="str">
        <f>VLOOKUP(Table8[[#This Row],[Document ID]],Table1[],8,FALSE)</f>
        <v>LTS 1.0</v>
      </c>
      <c r="G1342" s="233" t="str">
        <f>VLOOKUP(Table8[[#This Row],[Document ID]],Table1[],10,FALSE)</f>
        <v>Active</v>
      </c>
      <c r="H1342" s="43" t="s">
        <v>2350</v>
      </c>
      <c r="I1342" s="43" t="s">
        <v>2456</v>
      </c>
      <c r="J1342" s="44" t="s">
        <v>2466</v>
      </c>
      <c r="K1342" s="44" t="s">
        <v>3595</v>
      </c>
      <c r="L1342" s="44" t="s">
        <v>2471</v>
      </c>
      <c r="M1342" s="43">
        <v>42</v>
      </c>
      <c r="N1342" s="113"/>
      <c r="O1342" s="113"/>
      <c r="P1342" s="113"/>
      <c r="Q1342" s="113"/>
      <c r="R1342" s="113"/>
      <c r="S1342" s="113"/>
      <c r="T1342" s="113"/>
      <c r="U1342" s="113"/>
      <c r="V1342" s="113"/>
      <c r="W1342" s="113"/>
      <c r="X1342" s="113"/>
      <c r="Y1342" s="113"/>
      <c r="Z1342" s="113"/>
      <c r="AA1342" s="113"/>
      <c r="AB1342" s="113" t="s">
        <v>1113</v>
      </c>
      <c r="AC1342" s="113"/>
      <c r="AD1342" s="113"/>
      <c r="AE1342" s="113"/>
      <c r="AF1342" s="113"/>
      <c r="AG1342" s="113"/>
      <c r="AH1342" s="113"/>
      <c r="AI1342" s="113"/>
      <c r="AJ1342" s="113"/>
      <c r="AK1342" s="319" t="s">
        <v>1113</v>
      </c>
      <c r="AL1342" s="113"/>
      <c r="AM1342" s="113"/>
      <c r="AN1342" s="113"/>
      <c r="AO1342" s="44" t="s">
        <v>2334</v>
      </c>
      <c r="AP1342" s="43"/>
      <c r="AQ1342" s="236" t="str">
        <f>VLOOKUP(Table8[[#This Row],[Instrument]],Def_Targets!$D$73:$E$159,2,FALSE)</f>
        <v>S_Infraexpansion</v>
      </c>
      <c r="AR1342" s="233" t="str">
        <f>VLOOKUP(Table8[[#This Row],[Country Code]],Table29[],3,FALSE)</f>
        <v>Annex I</v>
      </c>
      <c r="AS1342" s="233" t="str">
        <f>VLOOKUP(Table8[[#This Row],[Country Code]],Table29[],4,FALSE)</f>
        <v>Europe</v>
      </c>
      <c r="AT1342" s="233" t="str">
        <f>VLOOKUP(Table8[[#This Row],[Country Code]],Table29[],5,FALSE)</f>
        <v>High-income</v>
      </c>
      <c r="AU1342" s="233" t="str">
        <f>VLOOKUP(Table8[[#This Row],[Country Code]],Table29[],6,FALSE)</f>
        <v>no</v>
      </c>
      <c r="AV1342" s="233" t="str">
        <f>VLOOKUP(Table8[[#This Row],[Country Code]],Table29[],7,FALSE)</f>
        <v>no</v>
      </c>
      <c r="AW1342" s="233" t="str">
        <f>VLOOKUP(Table8[[#This Row],[Country Code]],Table29[],8,FALSE)</f>
        <v>OECD</v>
      </c>
      <c r="AX1342" s="233" t="str">
        <f>VLOOKUP(Table8[[#This Row],[Country Code]],Table29[],9,FALSE)</f>
        <v>EU27</v>
      </c>
      <c r="AY1342" s="233" t="str">
        <f>VLOOKUP(Table8[[#This Row],[Country Code]],Table29[],10,FALSE)</f>
        <v>no</v>
      </c>
      <c r="AZ1342" s="235">
        <f>VLOOKUP(Table8[[#This Row],[Country Code]],Table29[],23,FALSE)</f>
        <v>10.957491923456001</v>
      </c>
      <c r="BA1342" s="235">
        <f>VLOOKUP(Table8[[#This Row],[Country Code]],Table29[],24,FALSE)</f>
        <v>3.102706195463615</v>
      </c>
      <c r="BB1342" s="320"/>
      <c r="BC1342" s="320"/>
    </row>
    <row r="1343" spans="1:55" ht="30" hidden="1" x14ac:dyDescent="0.25">
      <c r="A1343" s="373">
        <v>17638</v>
      </c>
      <c r="B1343" s="233" t="str">
        <f>VLOOKUP(Table8[[#This Row],[Document ID]],Table1[],2,FALSE)</f>
        <v>LVA</v>
      </c>
      <c r="C1343" s="233" t="str">
        <f>VLOOKUP(Table8[[#This Row],[Document ID]],Table1[],3,FALSE)</f>
        <v>Latvia</v>
      </c>
      <c r="D1343" s="243" t="str">
        <f>VLOOKUP(Table8[[#This Row],[Document ID]],Table1[],5,FALSE)</f>
        <v>LTS</v>
      </c>
      <c r="E1343" s="233" t="str">
        <f>VLOOKUP(Table8[[#This Row],[Document ID]],Table1[],7,FALSE)</f>
        <v>LTS</v>
      </c>
      <c r="F1343" s="233" t="str">
        <f>VLOOKUP(Table8[[#This Row],[Document ID]],Table1[],8,FALSE)</f>
        <v>LTS 1.0</v>
      </c>
      <c r="G1343" s="233" t="str">
        <f>VLOOKUP(Table8[[#This Row],[Document ID]],Table1[],10,FALSE)</f>
        <v>Active</v>
      </c>
      <c r="H1343" s="44" t="s">
        <v>2329</v>
      </c>
      <c r="I1343" s="44" t="s">
        <v>2330</v>
      </c>
      <c r="J1343" s="44" t="s">
        <v>2331</v>
      </c>
      <c r="K1343" s="44" t="s">
        <v>3596</v>
      </c>
      <c r="L1343" s="44" t="s">
        <v>2333</v>
      </c>
      <c r="M1343" s="43">
        <v>42</v>
      </c>
      <c r="N1343" s="113" t="s">
        <v>1113</v>
      </c>
      <c r="O1343" s="113"/>
      <c r="P1343" s="113"/>
      <c r="Q1343" s="113"/>
      <c r="R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319" t="s">
        <v>1113</v>
      </c>
      <c r="AL1343" s="113"/>
      <c r="AM1343" s="113"/>
      <c r="AN1343" s="113"/>
      <c r="AO1343" s="44" t="s">
        <v>2334</v>
      </c>
      <c r="AP1343" s="43"/>
      <c r="AQ1343" s="236" t="str">
        <f>VLOOKUP(Table8[[#This Row],[Instrument]],Def_Targets!$D$73:$E$159,2,FALSE)</f>
        <v>I_Altfuels</v>
      </c>
      <c r="AR1343" s="233" t="str">
        <f>VLOOKUP(Table8[[#This Row],[Country Code]],Table29[],3,FALSE)</f>
        <v>Annex I</v>
      </c>
      <c r="AS1343" s="233" t="str">
        <f>VLOOKUP(Table8[[#This Row],[Country Code]],Table29[],4,FALSE)</f>
        <v>Europe</v>
      </c>
      <c r="AT1343" s="233" t="str">
        <f>VLOOKUP(Table8[[#This Row],[Country Code]],Table29[],5,FALSE)</f>
        <v>High-income</v>
      </c>
      <c r="AU1343" s="233" t="str">
        <f>VLOOKUP(Table8[[#This Row],[Country Code]],Table29[],6,FALSE)</f>
        <v>no</v>
      </c>
      <c r="AV1343" s="233" t="str">
        <f>VLOOKUP(Table8[[#This Row],[Country Code]],Table29[],7,FALSE)</f>
        <v>no</v>
      </c>
      <c r="AW1343" s="233" t="str">
        <f>VLOOKUP(Table8[[#This Row],[Country Code]],Table29[],8,FALSE)</f>
        <v>OECD</v>
      </c>
      <c r="AX1343" s="233" t="str">
        <f>VLOOKUP(Table8[[#This Row],[Country Code]],Table29[],9,FALSE)</f>
        <v>EU27</v>
      </c>
      <c r="AY1343" s="233" t="str">
        <f>VLOOKUP(Table8[[#This Row],[Country Code]],Table29[],10,FALSE)</f>
        <v>no</v>
      </c>
      <c r="AZ1343" s="235">
        <f>VLOOKUP(Table8[[#This Row],[Country Code]],Table29[],23,FALSE)</f>
        <v>10.957491923456001</v>
      </c>
      <c r="BA1343" s="235">
        <f>VLOOKUP(Table8[[#This Row],[Country Code]],Table29[],24,FALSE)</f>
        <v>3.102706195463615</v>
      </c>
      <c r="BB1343" s="320"/>
      <c r="BC1343" s="320"/>
    </row>
    <row r="1344" spans="1:55" ht="30" hidden="1" x14ac:dyDescent="0.25">
      <c r="A1344" s="373">
        <v>17638</v>
      </c>
      <c r="B1344" s="233" t="str">
        <f>VLOOKUP(Table8[[#This Row],[Document ID]],Table1[],2,FALSE)</f>
        <v>LVA</v>
      </c>
      <c r="C1344" s="233" t="str">
        <f>VLOOKUP(Table8[[#This Row],[Document ID]],Table1[],3,FALSE)</f>
        <v>Latvia</v>
      </c>
      <c r="D1344" s="243" t="str">
        <f>VLOOKUP(Table8[[#This Row],[Document ID]],Table1[],5,FALSE)</f>
        <v>LTS</v>
      </c>
      <c r="E1344" s="233" t="str">
        <f>VLOOKUP(Table8[[#This Row],[Document ID]],Table1[],7,FALSE)</f>
        <v>LTS</v>
      </c>
      <c r="F1344" s="233" t="str">
        <f>VLOOKUP(Table8[[#This Row],[Document ID]],Table1[],8,FALSE)</f>
        <v>LTS 1.0</v>
      </c>
      <c r="G1344" s="233" t="str">
        <f>VLOOKUP(Table8[[#This Row],[Document ID]],Table1[],10,FALSE)</f>
        <v>Active</v>
      </c>
      <c r="H1344" s="43" t="s">
        <v>2343</v>
      </c>
      <c r="I1344" s="43" t="s">
        <v>2344</v>
      </c>
      <c r="J1344" s="44" t="s">
        <v>2345</v>
      </c>
      <c r="K1344" s="44" t="s">
        <v>3597</v>
      </c>
      <c r="L1344" s="44" t="s">
        <v>2471</v>
      </c>
      <c r="M1344" s="43">
        <v>42</v>
      </c>
      <c r="N1344" s="113" t="s">
        <v>1113</v>
      </c>
      <c r="O1344" s="113"/>
      <c r="P1344" s="113"/>
      <c r="Q1344" s="113"/>
      <c r="R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319" t="s">
        <v>1113</v>
      </c>
      <c r="AL1344" s="113"/>
      <c r="AM1344" s="113"/>
      <c r="AN1344" s="113"/>
      <c r="AO1344" s="43" t="s">
        <v>2348</v>
      </c>
      <c r="AP1344" s="43"/>
      <c r="AQ1344" s="236" t="str">
        <f>VLOOKUP(Table8[[#This Row],[Instrument]],Def_Targets!$D$73:$E$159,2,FALSE)</f>
        <v>S_PublicTransport</v>
      </c>
      <c r="AR1344" s="233" t="str">
        <f>VLOOKUP(Table8[[#This Row],[Country Code]],Table29[],3,FALSE)</f>
        <v>Annex I</v>
      </c>
      <c r="AS1344" s="233" t="str">
        <f>VLOOKUP(Table8[[#This Row],[Country Code]],Table29[],4,FALSE)</f>
        <v>Europe</v>
      </c>
      <c r="AT1344" s="233" t="str">
        <f>VLOOKUP(Table8[[#This Row],[Country Code]],Table29[],5,FALSE)</f>
        <v>High-income</v>
      </c>
      <c r="AU1344" s="233" t="str">
        <f>VLOOKUP(Table8[[#This Row],[Country Code]],Table29[],6,FALSE)</f>
        <v>no</v>
      </c>
      <c r="AV1344" s="233" t="str">
        <f>VLOOKUP(Table8[[#This Row],[Country Code]],Table29[],7,FALSE)</f>
        <v>no</v>
      </c>
      <c r="AW1344" s="233" t="str">
        <f>VLOOKUP(Table8[[#This Row],[Country Code]],Table29[],8,FALSE)</f>
        <v>OECD</v>
      </c>
      <c r="AX1344" s="233" t="str">
        <f>VLOOKUP(Table8[[#This Row],[Country Code]],Table29[],9,FALSE)</f>
        <v>EU27</v>
      </c>
      <c r="AY1344" s="233" t="str">
        <f>VLOOKUP(Table8[[#This Row],[Country Code]],Table29[],10,FALSE)</f>
        <v>no</v>
      </c>
      <c r="AZ1344" s="235">
        <f>VLOOKUP(Table8[[#This Row],[Country Code]],Table29[],23,FALSE)</f>
        <v>10.957491923456001</v>
      </c>
      <c r="BA1344" s="235">
        <f>VLOOKUP(Table8[[#This Row],[Country Code]],Table29[],24,FALSE)</f>
        <v>3.102706195463615</v>
      </c>
      <c r="BB1344" s="320"/>
      <c r="BC1344" s="320"/>
    </row>
    <row r="1345" spans="1:55" ht="45" hidden="1" x14ac:dyDescent="0.25">
      <c r="A1345" s="373">
        <v>17638</v>
      </c>
      <c r="B1345" s="233" t="str">
        <f>VLOOKUP(Table8[[#This Row],[Document ID]],Table1[],2,FALSE)</f>
        <v>LVA</v>
      </c>
      <c r="C1345" s="233" t="str">
        <f>VLOOKUP(Table8[[#This Row],[Document ID]],Table1[],3,FALSE)</f>
        <v>Latvia</v>
      </c>
      <c r="D1345" s="243" t="str">
        <f>VLOOKUP(Table8[[#This Row],[Document ID]],Table1[],5,FALSE)</f>
        <v>LTS</v>
      </c>
      <c r="E1345" s="233" t="str">
        <f>VLOOKUP(Table8[[#This Row],[Document ID]],Table1[],7,FALSE)</f>
        <v>LTS</v>
      </c>
      <c r="F1345" s="233" t="str">
        <f>VLOOKUP(Table8[[#This Row],[Document ID]],Table1[],8,FALSE)</f>
        <v>LTS 1.0</v>
      </c>
      <c r="G1345" s="233" t="str">
        <f>VLOOKUP(Table8[[#This Row],[Document ID]],Table1[],10,FALSE)</f>
        <v>Active</v>
      </c>
      <c r="H1345" s="43" t="s">
        <v>2343</v>
      </c>
      <c r="I1345" s="43" t="s">
        <v>2377</v>
      </c>
      <c r="J1345" s="44" t="s">
        <v>2535</v>
      </c>
      <c r="K1345" s="44" t="s">
        <v>3598</v>
      </c>
      <c r="L1345" s="44" t="s">
        <v>2347</v>
      </c>
      <c r="M1345" s="43">
        <v>42</v>
      </c>
      <c r="N1345" s="113"/>
      <c r="O1345" s="113"/>
      <c r="P1345" s="113"/>
      <c r="Q1345" s="113" t="s">
        <v>1113</v>
      </c>
      <c r="R1345" s="113" t="s">
        <v>1113</v>
      </c>
      <c r="S1345" s="113"/>
      <c r="T1345" s="113"/>
      <c r="U1345" s="113" t="s">
        <v>1113</v>
      </c>
      <c r="V1345" s="113"/>
      <c r="W1345" s="113"/>
      <c r="X1345" s="113"/>
      <c r="Y1345" s="113"/>
      <c r="Z1345" s="113"/>
      <c r="AA1345" s="113"/>
      <c r="AB1345" s="113"/>
      <c r="AC1345" s="113"/>
      <c r="AD1345" s="113"/>
      <c r="AE1345" s="113"/>
      <c r="AF1345" s="113"/>
      <c r="AG1345" s="113"/>
      <c r="AH1345" s="113"/>
      <c r="AI1345" s="113"/>
      <c r="AJ1345" s="113"/>
      <c r="AK1345" s="319" t="s">
        <v>1113</v>
      </c>
      <c r="AL1345" s="113"/>
      <c r="AM1345" s="113"/>
      <c r="AN1345" s="113"/>
      <c r="AO1345" s="44" t="s">
        <v>2334</v>
      </c>
      <c r="AP1345" s="43"/>
      <c r="AQ1345" s="236" t="str">
        <f>VLOOKUP(Table8[[#This Row],[Instrument]],Def_Targets!$D$73:$E$159,2,FALSE)</f>
        <v>S_Parking</v>
      </c>
      <c r="AR1345" s="233" t="str">
        <f>VLOOKUP(Table8[[#This Row],[Country Code]],Table29[],3,FALSE)</f>
        <v>Annex I</v>
      </c>
      <c r="AS1345" s="233" t="str">
        <f>VLOOKUP(Table8[[#This Row],[Country Code]],Table29[],4,FALSE)</f>
        <v>Europe</v>
      </c>
      <c r="AT1345" s="233" t="str">
        <f>VLOOKUP(Table8[[#This Row],[Country Code]],Table29[],5,FALSE)</f>
        <v>High-income</v>
      </c>
      <c r="AU1345" s="233" t="str">
        <f>VLOOKUP(Table8[[#This Row],[Country Code]],Table29[],6,FALSE)</f>
        <v>no</v>
      </c>
      <c r="AV1345" s="233" t="str">
        <f>VLOOKUP(Table8[[#This Row],[Country Code]],Table29[],7,FALSE)</f>
        <v>no</v>
      </c>
      <c r="AW1345" s="233" t="str">
        <f>VLOOKUP(Table8[[#This Row],[Country Code]],Table29[],8,FALSE)</f>
        <v>OECD</v>
      </c>
      <c r="AX1345" s="233" t="str">
        <f>VLOOKUP(Table8[[#This Row],[Country Code]],Table29[],9,FALSE)</f>
        <v>EU27</v>
      </c>
      <c r="AY1345" s="233" t="str">
        <f>VLOOKUP(Table8[[#This Row],[Country Code]],Table29[],10,FALSE)</f>
        <v>no</v>
      </c>
      <c r="AZ1345" s="235">
        <f>VLOOKUP(Table8[[#This Row],[Country Code]],Table29[],23,FALSE)</f>
        <v>10.957491923456001</v>
      </c>
      <c r="BA1345" s="235">
        <f>VLOOKUP(Table8[[#This Row],[Country Code]],Table29[],24,FALSE)</f>
        <v>3.102706195463615</v>
      </c>
      <c r="BB1345" s="320"/>
      <c r="BC1345" s="320"/>
    </row>
    <row r="1346" spans="1:55" ht="30" hidden="1" x14ac:dyDescent="0.25">
      <c r="A1346" s="373">
        <v>17638</v>
      </c>
      <c r="B1346" s="233" t="str">
        <f>VLOOKUP(Table8[[#This Row],[Document ID]],Table1[],2,FALSE)</f>
        <v>LVA</v>
      </c>
      <c r="C1346" s="233" t="str">
        <f>VLOOKUP(Table8[[#This Row],[Document ID]],Table1[],3,FALSE)</f>
        <v>Latvia</v>
      </c>
      <c r="D1346" s="243" t="str">
        <f>VLOOKUP(Table8[[#This Row],[Document ID]],Table1[],5,FALSE)</f>
        <v>LTS</v>
      </c>
      <c r="E1346" s="233" t="str">
        <f>VLOOKUP(Table8[[#This Row],[Document ID]],Table1[],7,FALSE)</f>
        <v>LTS</v>
      </c>
      <c r="F1346" s="233" t="str">
        <f>VLOOKUP(Table8[[#This Row],[Document ID]],Table1[],8,FALSE)</f>
        <v>LTS 1.0</v>
      </c>
      <c r="G1346" s="233" t="str">
        <f>VLOOKUP(Table8[[#This Row],[Document ID]],Table1[],10,FALSE)</f>
        <v>Active</v>
      </c>
      <c r="H1346" s="43" t="s">
        <v>2350</v>
      </c>
      <c r="I1346" s="43" t="s">
        <v>2456</v>
      </c>
      <c r="J1346" s="44" t="s">
        <v>2457</v>
      </c>
      <c r="K1346" s="44" t="s">
        <v>3599</v>
      </c>
      <c r="L1346" s="44" t="s">
        <v>2347</v>
      </c>
      <c r="M1346" s="43">
        <v>43</v>
      </c>
      <c r="N1346" s="113"/>
      <c r="O1346" s="113"/>
      <c r="P1346" s="113"/>
      <c r="Q1346" s="113"/>
      <c r="R1346" s="113"/>
      <c r="S1346" s="113"/>
      <c r="T1346" s="113"/>
      <c r="U1346" s="113"/>
      <c r="V1346" s="113"/>
      <c r="W1346" s="113"/>
      <c r="X1346" s="113"/>
      <c r="Y1346" s="113"/>
      <c r="Z1346" s="113" t="s">
        <v>1113</v>
      </c>
      <c r="AA1346" s="113"/>
      <c r="AB1346" s="113"/>
      <c r="AC1346" s="113"/>
      <c r="AD1346" s="113"/>
      <c r="AE1346" s="113"/>
      <c r="AF1346" s="113"/>
      <c r="AG1346" s="113"/>
      <c r="AH1346" s="113"/>
      <c r="AI1346" s="113"/>
      <c r="AJ1346" s="113"/>
      <c r="AK1346" s="113"/>
      <c r="AL1346" s="113"/>
      <c r="AM1346" s="113"/>
      <c r="AN1346" s="113" t="s">
        <v>1113</v>
      </c>
      <c r="AO1346" s="43" t="s">
        <v>2348</v>
      </c>
      <c r="AP1346" s="43"/>
      <c r="AQ1346" s="236" t="str">
        <f>VLOOKUP(Table8[[#This Row],[Instrument]],Def_Targets!$D$73:$E$159,2,FALSE)</f>
        <v>S_Infraimprove</v>
      </c>
      <c r="AR1346" s="233" t="str">
        <f>VLOOKUP(Table8[[#This Row],[Country Code]],Table29[],3,FALSE)</f>
        <v>Annex I</v>
      </c>
      <c r="AS1346" s="233" t="str">
        <f>VLOOKUP(Table8[[#This Row],[Country Code]],Table29[],4,FALSE)</f>
        <v>Europe</v>
      </c>
      <c r="AT1346" s="233" t="str">
        <f>VLOOKUP(Table8[[#This Row],[Country Code]],Table29[],5,FALSE)</f>
        <v>High-income</v>
      </c>
      <c r="AU1346" s="233" t="str">
        <f>VLOOKUP(Table8[[#This Row],[Country Code]],Table29[],6,FALSE)</f>
        <v>no</v>
      </c>
      <c r="AV1346" s="233" t="str">
        <f>VLOOKUP(Table8[[#This Row],[Country Code]],Table29[],7,FALSE)</f>
        <v>no</v>
      </c>
      <c r="AW1346" s="233" t="str">
        <f>VLOOKUP(Table8[[#This Row],[Country Code]],Table29[],8,FALSE)</f>
        <v>OECD</v>
      </c>
      <c r="AX1346" s="233" t="str">
        <f>VLOOKUP(Table8[[#This Row],[Country Code]],Table29[],9,FALSE)</f>
        <v>EU27</v>
      </c>
      <c r="AY1346" s="233" t="str">
        <f>VLOOKUP(Table8[[#This Row],[Country Code]],Table29[],10,FALSE)</f>
        <v>no</v>
      </c>
      <c r="AZ1346" s="235">
        <f>VLOOKUP(Table8[[#This Row],[Country Code]],Table29[],23,FALSE)</f>
        <v>10.957491923456001</v>
      </c>
      <c r="BA1346" s="235">
        <f>VLOOKUP(Table8[[#This Row],[Country Code]],Table29[],24,FALSE)</f>
        <v>3.102706195463615</v>
      </c>
      <c r="BB1346" s="320"/>
      <c r="BC1346" s="320"/>
    </row>
    <row r="1347" spans="1:55" ht="30" hidden="1" x14ac:dyDescent="0.25">
      <c r="A1347" s="373">
        <v>17638</v>
      </c>
      <c r="B1347" s="233" t="str">
        <f>VLOOKUP(Table8[[#This Row],[Document ID]],Table1[],2,FALSE)</f>
        <v>LVA</v>
      </c>
      <c r="C1347" s="233" t="str">
        <f>VLOOKUP(Table8[[#This Row],[Document ID]],Table1[],3,FALSE)</f>
        <v>Latvia</v>
      </c>
      <c r="D1347" s="243" t="str">
        <f>VLOOKUP(Table8[[#This Row],[Document ID]],Table1[],5,FALSE)</f>
        <v>LTS</v>
      </c>
      <c r="E1347" s="233" t="str">
        <f>VLOOKUP(Table8[[#This Row],[Document ID]],Table1[],7,FALSE)</f>
        <v>LTS</v>
      </c>
      <c r="F1347" s="233" t="str">
        <f>VLOOKUP(Table8[[#This Row],[Document ID]],Table1[],8,FALSE)</f>
        <v>LTS 1.0</v>
      </c>
      <c r="G1347" s="233" t="str">
        <f>VLOOKUP(Table8[[#This Row],[Document ID]],Table1[],10,FALSE)</f>
        <v>Active</v>
      </c>
      <c r="H1347" s="43" t="s">
        <v>2350</v>
      </c>
      <c r="I1347" s="43" t="s">
        <v>2456</v>
      </c>
      <c r="J1347" s="44" t="s">
        <v>2643</v>
      </c>
      <c r="K1347" s="44" t="s">
        <v>3600</v>
      </c>
      <c r="L1347" s="44" t="s">
        <v>2347</v>
      </c>
      <c r="M1347" s="43">
        <v>43</v>
      </c>
      <c r="N1347" s="113"/>
      <c r="O1347" s="113"/>
      <c r="P1347" s="113"/>
      <c r="Q1347" s="113"/>
      <c r="R1347" s="113"/>
      <c r="S1347" s="113"/>
      <c r="T1347" s="113"/>
      <c r="U1347" s="113"/>
      <c r="V1347" s="113"/>
      <c r="W1347" s="113"/>
      <c r="X1347" s="113"/>
      <c r="Y1347" s="113" t="s">
        <v>1113</v>
      </c>
      <c r="Z1347" s="113"/>
      <c r="AA1347" s="113"/>
      <c r="AB1347" s="113"/>
      <c r="AC1347" s="113" t="s">
        <v>1113</v>
      </c>
      <c r="AD1347" s="113" t="s">
        <v>1113</v>
      </c>
      <c r="AE1347" s="113"/>
      <c r="AF1347" s="113"/>
      <c r="AG1347" s="113"/>
      <c r="AH1347" s="113" t="s">
        <v>1113</v>
      </c>
      <c r="AI1347" s="113"/>
      <c r="AJ1347" s="113"/>
      <c r="AK1347" s="319" t="s">
        <v>1113</v>
      </c>
      <c r="AL1347" s="113"/>
      <c r="AM1347" s="113"/>
      <c r="AN1347" s="113"/>
      <c r="AO1347" s="43" t="s">
        <v>2348</v>
      </c>
      <c r="AP1347" s="43"/>
      <c r="AQ1347" s="236" t="str">
        <f>VLOOKUP(Table8[[#This Row],[Instrument]],Def_Targets!$D$73:$E$159,2,FALSE)</f>
        <v>S_Intermodality</v>
      </c>
      <c r="AR1347" s="233" t="str">
        <f>VLOOKUP(Table8[[#This Row],[Country Code]],Table29[],3,FALSE)</f>
        <v>Annex I</v>
      </c>
      <c r="AS1347" s="233" t="str">
        <f>VLOOKUP(Table8[[#This Row],[Country Code]],Table29[],4,FALSE)</f>
        <v>Europe</v>
      </c>
      <c r="AT1347" s="233" t="str">
        <f>VLOOKUP(Table8[[#This Row],[Country Code]],Table29[],5,FALSE)</f>
        <v>High-income</v>
      </c>
      <c r="AU1347" s="233" t="str">
        <f>VLOOKUP(Table8[[#This Row],[Country Code]],Table29[],6,FALSE)</f>
        <v>no</v>
      </c>
      <c r="AV1347" s="233" t="str">
        <f>VLOOKUP(Table8[[#This Row],[Country Code]],Table29[],7,FALSE)</f>
        <v>no</v>
      </c>
      <c r="AW1347" s="233" t="str">
        <f>VLOOKUP(Table8[[#This Row],[Country Code]],Table29[],8,FALSE)</f>
        <v>OECD</v>
      </c>
      <c r="AX1347" s="233" t="str">
        <f>VLOOKUP(Table8[[#This Row],[Country Code]],Table29[],9,FALSE)</f>
        <v>EU27</v>
      </c>
      <c r="AY1347" s="233" t="str">
        <f>VLOOKUP(Table8[[#This Row],[Country Code]],Table29[],10,FALSE)</f>
        <v>no</v>
      </c>
      <c r="AZ1347" s="235">
        <f>VLOOKUP(Table8[[#This Row],[Country Code]],Table29[],23,FALSE)</f>
        <v>10.957491923456001</v>
      </c>
      <c r="BA1347" s="235">
        <f>VLOOKUP(Table8[[#This Row],[Country Code]],Table29[],24,FALSE)</f>
        <v>3.102706195463615</v>
      </c>
      <c r="BB1347" s="320"/>
      <c r="BC1347" s="320"/>
    </row>
    <row r="1348" spans="1:55" ht="30" hidden="1" x14ac:dyDescent="0.25">
      <c r="A1348" s="373">
        <v>17638</v>
      </c>
      <c r="B1348" s="233" t="str">
        <f>VLOOKUP(Table8[[#This Row],[Document ID]],Table1[],2,FALSE)</f>
        <v>LVA</v>
      </c>
      <c r="C1348" s="233" t="str">
        <f>VLOOKUP(Table8[[#This Row],[Document ID]],Table1[],3,FALSE)</f>
        <v>Latvia</v>
      </c>
      <c r="D1348" s="243" t="str">
        <f>VLOOKUP(Table8[[#This Row],[Document ID]],Table1[],5,FALSE)</f>
        <v>LTS</v>
      </c>
      <c r="E1348" s="233" t="str">
        <f>VLOOKUP(Table8[[#This Row],[Document ID]],Table1[],7,FALSE)</f>
        <v>LTS</v>
      </c>
      <c r="F1348" s="233" t="str">
        <f>VLOOKUP(Table8[[#This Row],[Document ID]],Table1[],8,FALSE)</f>
        <v>LTS 1.0</v>
      </c>
      <c r="G1348" s="233" t="str">
        <f>VLOOKUP(Table8[[#This Row],[Document ID]],Table1[],10,FALSE)</f>
        <v>Active</v>
      </c>
      <c r="H1348" s="43" t="s">
        <v>2343</v>
      </c>
      <c r="I1348" s="43" t="s">
        <v>2429</v>
      </c>
      <c r="J1348" s="44" t="s">
        <v>2513</v>
      </c>
      <c r="K1348" s="44" t="s">
        <v>3601</v>
      </c>
      <c r="L1348" s="44" t="s">
        <v>2347</v>
      </c>
      <c r="M1348" s="43">
        <v>43</v>
      </c>
      <c r="N1348" s="113" t="s">
        <v>1113</v>
      </c>
      <c r="O1348" s="113"/>
      <c r="P1348" s="113"/>
      <c r="Q1348" s="113"/>
      <c r="R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319" t="s">
        <v>1113</v>
      </c>
      <c r="AL1348" s="113"/>
      <c r="AM1348" s="113"/>
      <c r="AN1348" s="113"/>
      <c r="AO1348" s="44" t="s">
        <v>2334</v>
      </c>
      <c r="AP1348" s="43"/>
      <c r="AQ1348" s="236" t="str">
        <f>VLOOKUP(Table8[[#This Row],[Instrument]],Def_Targets!$D$73:$E$159,2,FALSE)</f>
        <v>S_Sharedmob</v>
      </c>
      <c r="AR1348" s="233" t="str">
        <f>VLOOKUP(Table8[[#This Row],[Country Code]],Table29[],3,FALSE)</f>
        <v>Annex I</v>
      </c>
      <c r="AS1348" s="233" t="str">
        <f>VLOOKUP(Table8[[#This Row],[Country Code]],Table29[],4,FALSE)</f>
        <v>Europe</v>
      </c>
      <c r="AT1348" s="233" t="str">
        <f>VLOOKUP(Table8[[#This Row],[Country Code]],Table29[],5,FALSE)</f>
        <v>High-income</v>
      </c>
      <c r="AU1348" s="233" t="str">
        <f>VLOOKUP(Table8[[#This Row],[Country Code]],Table29[],6,FALSE)</f>
        <v>no</v>
      </c>
      <c r="AV1348" s="233" t="str">
        <f>VLOOKUP(Table8[[#This Row],[Country Code]],Table29[],7,FALSE)</f>
        <v>no</v>
      </c>
      <c r="AW1348" s="233" t="str">
        <f>VLOOKUP(Table8[[#This Row],[Country Code]],Table29[],8,FALSE)</f>
        <v>OECD</v>
      </c>
      <c r="AX1348" s="233" t="str">
        <f>VLOOKUP(Table8[[#This Row],[Country Code]],Table29[],9,FALSE)</f>
        <v>EU27</v>
      </c>
      <c r="AY1348" s="233" t="str">
        <f>VLOOKUP(Table8[[#This Row],[Country Code]],Table29[],10,FALSE)</f>
        <v>no</v>
      </c>
      <c r="AZ1348" s="235">
        <f>VLOOKUP(Table8[[#This Row],[Country Code]],Table29[],23,FALSE)</f>
        <v>10.957491923456001</v>
      </c>
      <c r="BA1348" s="235">
        <f>VLOOKUP(Table8[[#This Row],[Country Code]],Table29[],24,FALSE)</f>
        <v>3.102706195463615</v>
      </c>
      <c r="BB1348" s="320"/>
      <c r="BC1348" s="320"/>
    </row>
    <row r="1349" spans="1:55" ht="30" hidden="1" x14ac:dyDescent="0.25">
      <c r="A1349" s="373">
        <v>17638</v>
      </c>
      <c r="B1349" s="233" t="str">
        <f>VLOOKUP(Table8[[#This Row],[Document ID]],Table1[],2,FALSE)</f>
        <v>LVA</v>
      </c>
      <c r="C1349" s="233" t="str">
        <f>VLOOKUP(Table8[[#This Row],[Document ID]],Table1[],3,FALSE)</f>
        <v>Latvia</v>
      </c>
      <c r="D1349" s="243" t="str">
        <f>VLOOKUP(Table8[[#This Row],[Document ID]],Table1[],5,FALSE)</f>
        <v>LTS</v>
      </c>
      <c r="E1349" s="233" t="str">
        <f>VLOOKUP(Table8[[#This Row],[Document ID]],Table1[],7,FALSE)</f>
        <v>LTS</v>
      </c>
      <c r="F1349" s="233" t="str">
        <f>VLOOKUP(Table8[[#This Row],[Document ID]],Table1[],8,FALSE)</f>
        <v>LTS 1.0</v>
      </c>
      <c r="G1349" s="233" t="str">
        <f>VLOOKUP(Table8[[#This Row],[Document ID]],Table1[],10,FALSE)</f>
        <v>Active</v>
      </c>
      <c r="H1349" s="43" t="s">
        <v>2350</v>
      </c>
      <c r="I1349" s="43" t="s">
        <v>2456</v>
      </c>
      <c r="J1349" s="44" t="s">
        <v>2643</v>
      </c>
      <c r="K1349" s="44" t="s">
        <v>3602</v>
      </c>
      <c r="L1349" s="44" t="s">
        <v>2347</v>
      </c>
      <c r="M1349" s="43">
        <v>43</v>
      </c>
      <c r="N1349" s="113" t="s">
        <v>1113</v>
      </c>
      <c r="O1349" s="113"/>
      <c r="P1349" s="113"/>
      <c r="Q1349" s="113"/>
      <c r="R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319" t="s">
        <v>1113</v>
      </c>
      <c r="AL1349" s="113"/>
      <c r="AM1349" s="113"/>
      <c r="AN1349" s="113"/>
      <c r="AO1349" s="43" t="s">
        <v>2353</v>
      </c>
      <c r="AP1349" s="43"/>
      <c r="AQ1349" s="236" t="str">
        <f>VLOOKUP(Table8[[#This Row],[Instrument]],Def_Targets!$D$73:$E$159,2,FALSE)</f>
        <v>S_Intermodality</v>
      </c>
      <c r="AR1349" s="233" t="str">
        <f>VLOOKUP(Table8[[#This Row],[Country Code]],Table29[],3,FALSE)</f>
        <v>Annex I</v>
      </c>
      <c r="AS1349" s="233" t="str">
        <f>VLOOKUP(Table8[[#This Row],[Country Code]],Table29[],4,FALSE)</f>
        <v>Europe</v>
      </c>
      <c r="AT1349" s="233" t="str">
        <f>VLOOKUP(Table8[[#This Row],[Country Code]],Table29[],5,FALSE)</f>
        <v>High-income</v>
      </c>
      <c r="AU1349" s="233" t="str">
        <f>VLOOKUP(Table8[[#This Row],[Country Code]],Table29[],6,FALSE)</f>
        <v>no</v>
      </c>
      <c r="AV1349" s="233" t="str">
        <f>VLOOKUP(Table8[[#This Row],[Country Code]],Table29[],7,FALSE)</f>
        <v>no</v>
      </c>
      <c r="AW1349" s="233" t="str">
        <f>VLOOKUP(Table8[[#This Row],[Country Code]],Table29[],8,FALSE)</f>
        <v>OECD</v>
      </c>
      <c r="AX1349" s="233" t="str">
        <f>VLOOKUP(Table8[[#This Row],[Country Code]],Table29[],9,FALSE)</f>
        <v>EU27</v>
      </c>
      <c r="AY1349" s="233" t="str">
        <f>VLOOKUP(Table8[[#This Row],[Country Code]],Table29[],10,FALSE)</f>
        <v>no</v>
      </c>
      <c r="AZ1349" s="235">
        <f>VLOOKUP(Table8[[#This Row],[Country Code]],Table29[],23,FALSE)</f>
        <v>10.957491923456001</v>
      </c>
      <c r="BA1349" s="235">
        <f>VLOOKUP(Table8[[#This Row],[Country Code]],Table29[],24,FALSE)</f>
        <v>3.102706195463615</v>
      </c>
      <c r="BB1349" s="320"/>
      <c r="BC1349" s="320"/>
    </row>
    <row r="1350" spans="1:55" hidden="1" x14ac:dyDescent="0.25">
      <c r="A1350" s="373">
        <v>17638</v>
      </c>
      <c r="B1350" s="233" t="str">
        <f>VLOOKUP(Table8[[#This Row],[Document ID]],Table1[],2,FALSE)</f>
        <v>LVA</v>
      </c>
      <c r="C1350" s="233" t="str">
        <f>VLOOKUP(Table8[[#This Row],[Document ID]],Table1[],3,FALSE)</f>
        <v>Latvia</v>
      </c>
      <c r="D1350" s="243" t="str">
        <f>VLOOKUP(Table8[[#This Row],[Document ID]],Table1[],5,FALSE)</f>
        <v>LTS</v>
      </c>
      <c r="E1350" s="233" t="str">
        <f>VLOOKUP(Table8[[#This Row],[Document ID]],Table1[],7,FALSE)</f>
        <v>LTS</v>
      </c>
      <c r="F1350" s="233" t="str">
        <f>VLOOKUP(Table8[[#This Row],[Document ID]],Table1[],8,FALSE)</f>
        <v>LTS 1.0</v>
      </c>
      <c r="G1350" s="233" t="str">
        <f>VLOOKUP(Table8[[#This Row],[Document ID]],Table1[],10,FALSE)</f>
        <v>Active</v>
      </c>
      <c r="H1350" s="43" t="s">
        <v>2484</v>
      </c>
      <c r="I1350" s="43" t="s">
        <v>2485</v>
      </c>
      <c r="J1350" s="44" t="s">
        <v>2978</v>
      </c>
      <c r="K1350" s="44" t="s">
        <v>3603</v>
      </c>
      <c r="L1350" s="44" t="s">
        <v>2333</v>
      </c>
      <c r="M1350" s="43">
        <v>43</v>
      </c>
      <c r="N1350" s="113"/>
      <c r="O1350" s="113"/>
      <c r="P1350" s="113"/>
      <c r="Q1350" s="113"/>
      <c r="R1350" s="113"/>
      <c r="S1350" s="113"/>
      <c r="T1350" s="113"/>
      <c r="U1350" s="113"/>
      <c r="V1350" s="113"/>
      <c r="W1350" s="113"/>
      <c r="X1350" s="113"/>
      <c r="Y1350" s="113"/>
      <c r="Z1350" s="113"/>
      <c r="AA1350" s="113"/>
      <c r="AB1350" s="113"/>
      <c r="AC1350" s="113"/>
      <c r="AD1350" s="113" t="s">
        <v>1113</v>
      </c>
      <c r="AE1350" s="113"/>
      <c r="AF1350" s="113"/>
      <c r="AG1350" s="113"/>
      <c r="AH1350" s="113"/>
      <c r="AI1350" s="113"/>
      <c r="AJ1350" s="113"/>
      <c r="AK1350" s="319" t="s">
        <v>1113</v>
      </c>
      <c r="AL1350" s="113"/>
      <c r="AM1350" s="113"/>
      <c r="AN1350" s="113"/>
      <c r="AO1350" s="43" t="s">
        <v>2353</v>
      </c>
      <c r="AP1350" s="43"/>
      <c r="AQ1350" s="236" t="str">
        <f>VLOOKUP(Table8[[#This Row],[Instrument]],Def_Targets!$D$73:$E$159,2,FALSE)</f>
        <v>I_PortInfra</v>
      </c>
      <c r="AR1350" s="233" t="str">
        <f>VLOOKUP(Table8[[#This Row],[Country Code]],Table29[],3,FALSE)</f>
        <v>Annex I</v>
      </c>
      <c r="AS1350" s="233" t="str">
        <f>VLOOKUP(Table8[[#This Row],[Country Code]],Table29[],4,FALSE)</f>
        <v>Europe</v>
      </c>
      <c r="AT1350" s="233" t="str">
        <f>VLOOKUP(Table8[[#This Row],[Country Code]],Table29[],5,FALSE)</f>
        <v>High-income</v>
      </c>
      <c r="AU1350" s="233" t="str">
        <f>VLOOKUP(Table8[[#This Row],[Country Code]],Table29[],6,FALSE)</f>
        <v>no</v>
      </c>
      <c r="AV1350" s="233" t="str">
        <f>VLOOKUP(Table8[[#This Row],[Country Code]],Table29[],7,FALSE)</f>
        <v>no</v>
      </c>
      <c r="AW1350" s="233" t="str">
        <f>VLOOKUP(Table8[[#This Row],[Country Code]],Table29[],8,FALSE)</f>
        <v>OECD</v>
      </c>
      <c r="AX1350" s="233" t="str">
        <f>VLOOKUP(Table8[[#This Row],[Country Code]],Table29[],9,FALSE)</f>
        <v>EU27</v>
      </c>
      <c r="AY1350" s="233" t="str">
        <f>VLOOKUP(Table8[[#This Row],[Country Code]],Table29[],10,FALSE)</f>
        <v>no</v>
      </c>
      <c r="AZ1350" s="235">
        <f>VLOOKUP(Table8[[#This Row],[Country Code]],Table29[],23,FALSE)</f>
        <v>10.957491923456001</v>
      </c>
      <c r="BA1350" s="235">
        <f>VLOOKUP(Table8[[#This Row],[Country Code]],Table29[],24,FALSE)</f>
        <v>3.102706195463615</v>
      </c>
      <c r="BB1350" s="320"/>
      <c r="BC1350" s="320"/>
    </row>
    <row r="1351" spans="1:55" ht="30" hidden="1" x14ac:dyDescent="0.25">
      <c r="A1351" s="373">
        <v>17638</v>
      </c>
      <c r="B1351" s="233" t="str">
        <f>VLOOKUP(Table8[[#This Row],[Document ID]],Table1[],2,FALSE)</f>
        <v>LVA</v>
      </c>
      <c r="C1351" s="233" t="str">
        <f>VLOOKUP(Table8[[#This Row],[Document ID]],Table1[],3,FALSE)</f>
        <v>Latvia</v>
      </c>
      <c r="D1351" s="243" t="str">
        <f>VLOOKUP(Table8[[#This Row],[Document ID]],Table1[],5,FALSE)</f>
        <v>LTS</v>
      </c>
      <c r="E1351" s="233" t="str">
        <f>VLOOKUP(Table8[[#This Row],[Document ID]],Table1[],7,FALSE)</f>
        <v>LTS</v>
      </c>
      <c r="F1351" s="233" t="str">
        <f>VLOOKUP(Table8[[#This Row],[Document ID]],Table1[],8,FALSE)</f>
        <v>LTS 1.0</v>
      </c>
      <c r="G1351" s="233" t="str">
        <f>VLOOKUP(Table8[[#This Row],[Document ID]],Table1[],10,FALSE)</f>
        <v>Active</v>
      </c>
      <c r="H1351" s="43" t="s">
        <v>2350</v>
      </c>
      <c r="I1351" s="43" t="s">
        <v>2351</v>
      </c>
      <c r="J1351" s="44" t="s">
        <v>2447</v>
      </c>
      <c r="K1351" s="44" t="s">
        <v>3604</v>
      </c>
      <c r="L1351" s="44" t="s">
        <v>2333</v>
      </c>
      <c r="M1351" s="43">
        <v>43</v>
      </c>
      <c r="N1351" s="113" t="s">
        <v>1113</v>
      </c>
      <c r="O1351" s="113"/>
      <c r="P1351" s="113"/>
      <c r="Q1351" s="113"/>
      <c r="R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319" t="s">
        <v>1113</v>
      </c>
      <c r="AL1351" s="113"/>
      <c r="AM1351" s="113"/>
      <c r="AN1351" s="113"/>
      <c r="AO1351" s="43" t="s">
        <v>2353</v>
      </c>
      <c r="AP1351" s="43"/>
      <c r="AQ1351" s="236" t="str">
        <f>VLOOKUP(Table8[[#This Row],[Instrument]],Def_Targets!$D$73:$E$159,2,FALSE)</f>
        <v>I_Freighteff</v>
      </c>
      <c r="AR1351" s="233" t="str">
        <f>VLOOKUP(Table8[[#This Row],[Country Code]],Table29[],3,FALSE)</f>
        <v>Annex I</v>
      </c>
      <c r="AS1351" s="233" t="str">
        <f>VLOOKUP(Table8[[#This Row],[Country Code]],Table29[],4,FALSE)</f>
        <v>Europe</v>
      </c>
      <c r="AT1351" s="233" t="str">
        <f>VLOOKUP(Table8[[#This Row],[Country Code]],Table29[],5,FALSE)</f>
        <v>High-income</v>
      </c>
      <c r="AU1351" s="233" t="str">
        <f>VLOOKUP(Table8[[#This Row],[Country Code]],Table29[],6,FALSE)</f>
        <v>no</v>
      </c>
      <c r="AV1351" s="233" t="str">
        <f>VLOOKUP(Table8[[#This Row],[Country Code]],Table29[],7,FALSE)</f>
        <v>no</v>
      </c>
      <c r="AW1351" s="233" t="str">
        <f>VLOOKUP(Table8[[#This Row],[Country Code]],Table29[],8,FALSE)</f>
        <v>OECD</v>
      </c>
      <c r="AX1351" s="233" t="str">
        <f>VLOOKUP(Table8[[#This Row],[Country Code]],Table29[],9,FALSE)</f>
        <v>EU27</v>
      </c>
      <c r="AY1351" s="233" t="str">
        <f>VLOOKUP(Table8[[#This Row],[Country Code]],Table29[],10,FALSE)</f>
        <v>no</v>
      </c>
      <c r="AZ1351" s="235">
        <f>VLOOKUP(Table8[[#This Row],[Country Code]],Table29[],23,FALSE)</f>
        <v>10.957491923456001</v>
      </c>
      <c r="BA1351" s="235">
        <f>VLOOKUP(Table8[[#This Row],[Country Code]],Table29[],24,FALSE)</f>
        <v>3.102706195463615</v>
      </c>
      <c r="BB1351" s="320"/>
      <c r="BC1351" s="320"/>
    </row>
    <row r="1352" spans="1:55" ht="30" hidden="1" x14ac:dyDescent="0.25">
      <c r="A1352" s="373">
        <v>17638</v>
      </c>
      <c r="B1352" s="233" t="str">
        <f>VLOOKUP(Table8[[#This Row],[Document ID]],Table1[],2,FALSE)</f>
        <v>LVA</v>
      </c>
      <c r="C1352" s="233" t="str">
        <f>VLOOKUP(Table8[[#This Row],[Document ID]],Table1[],3,FALSE)</f>
        <v>Latvia</v>
      </c>
      <c r="D1352" s="243" t="str">
        <f>VLOOKUP(Table8[[#This Row],[Document ID]],Table1[],5,FALSE)</f>
        <v>LTS</v>
      </c>
      <c r="E1352" s="233" t="str">
        <f>VLOOKUP(Table8[[#This Row],[Document ID]],Table1[],7,FALSE)</f>
        <v>LTS</v>
      </c>
      <c r="F1352" s="233" t="str">
        <f>VLOOKUP(Table8[[#This Row],[Document ID]],Table1[],8,FALSE)</f>
        <v>LTS 1.0</v>
      </c>
      <c r="G1352" s="233" t="str">
        <f>VLOOKUP(Table8[[#This Row],[Document ID]],Table1[],10,FALSE)</f>
        <v>Active</v>
      </c>
      <c r="H1352" s="43" t="s">
        <v>2350</v>
      </c>
      <c r="I1352" s="43" t="s">
        <v>2456</v>
      </c>
      <c r="J1352" s="44" t="s">
        <v>2457</v>
      </c>
      <c r="K1352" s="44" t="s">
        <v>3605</v>
      </c>
      <c r="L1352" s="44" t="s">
        <v>2333</v>
      </c>
      <c r="M1352" s="43">
        <v>43</v>
      </c>
      <c r="N1352" s="113"/>
      <c r="O1352" s="113"/>
      <c r="P1352" s="113"/>
      <c r="Q1352" s="113"/>
      <c r="R1352" s="113"/>
      <c r="S1352" s="113" t="s">
        <v>1113</v>
      </c>
      <c r="T1352" s="113"/>
      <c r="U1352" s="113"/>
      <c r="V1352" s="113"/>
      <c r="W1352" s="113"/>
      <c r="X1352" s="113"/>
      <c r="Y1352" s="113"/>
      <c r="Z1352" s="113"/>
      <c r="AA1352" s="113"/>
      <c r="AB1352" s="113"/>
      <c r="AC1352" s="113"/>
      <c r="AD1352" s="113"/>
      <c r="AE1352" s="113"/>
      <c r="AF1352" s="113"/>
      <c r="AG1352" s="113"/>
      <c r="AH1352" s="113"/>
      <c r="AI1352" s="113"/>
      <c r="AJ1352" s="113"/>
      <c r="AK1352" s="319" t="s">
        <v>1113</v>
      </c>
      <c r="AL1352" s="113"/>
      <c r="AM1352" s="113"/>
      <c r="AN1352" s="113"/>
      <c r="AO1352" s="44" t="s">
        <v>2334</v>
      </c>
      <c r="AP1352" s="43"/>
      <c r="AQ1352" s="236" t="str">
        <f>VLOOKUP(Table8[[#This Row],[Instrument]],Def_Targets!$D$73:$E$159,2,FALSE)</f>
        <v>S_Infraimprove</v>
      </c>
      <c r="AR1352" s="233" t="str">
        <f>VLOOKUP(Table8[[#This Row],[Country Code]],Table29[],3,FALSE)</f>
        <v>Annex I</v>
      </c>
      <c r="AS1352" s="233" t="str">
        <f>VLOOKUP(Table8[[#This Row],[Country Code]],Table29[],4,FALSE)</f>
        <v>Europe</v>
      </c>
      <c r="AT1352" s="233" t="str">
        <f>VLOOKUP(Table8[[#This Row],[Country Code]],Table29[],5,FALSE)</f>
        <v>High-income</v>
      </c>
      <c r="AU1352" s="233" t="str">
        <f>VLOOKUP(Table8[[#This Row],[Country Code]],Table29[],6,FALSE)</f>
        <v>no</v>
      </c>
      <c r="AV1352" s="233" t="str">
        <f>VLOOKUP(Table8[[#This Row],[Country Code]],Table29[],7,FALSE)</f>
        <v>no</v>
      </c>
      <c r="AW1352" s="233" t="str">
        <f>VLOOKUP(Table8[[#This Row],[Country Code]],Table29[],8,FALSE)</f>
        <v>OECD</v>
      </c>
      <c r="AX1352" s="233" t="str">
        <f>VLOOKUP(Table8[[#This Row],[Country Code]],Table29[],9,FALSE)</f>
        <v>EU27</v>
      </c>
      <c r="AY1352" s="233" t="str">
        <f>VLOOKUP(Table8[[#This Row],[Country Code]],Table29[],10,FALSE)</f>
        <v>no</v>
      </c>
      <c r="AZ1352" s="235">
        <f>VLOOKUP(Table8[[#This Row],[Country Code]],Table29[],23,FALSE)</f>
        <v>10.957491923456001</v>
      </c>
      <c r="BA1352" s="235">
        <f>VLOOKUP(Table8[[#This Row],[Country Code]],Table29[],24,FALSE)</f>
        <v>3.102706195463615</v>
      </c>
      <c r="BB1352" s="320"/>
      <c r="BC1352" s="320"/>
    </row>
    <row r="1353" spans="1:55" ht="30" hidden="1" x14ac:dyDescent="0.25">
      <c r="A1353" s="373">
        <v>17638</v>
      </c>
      <c r="B1353" s="233" t="str">
        <f>VLOOKUP(Table8[[#This Row],[Document ID]],Table1[],2,FALSE)</f>
        <v>LVA</v>
      </c>
      <c r="C1353" s="233" t="str">
        <f>VLOOKUP(Table8[[#This Row],[Document ID]],Table1[],3,FALSE)</f>
        <v>Latvia</v>
      </c>
      <c r="D1353" s="243" t="str">
        <f>VLOOKUP(Table8[[#This Row],[Document ID]],Table1[],5,FALSE)</f>
        <v>LTS</v>
      </c>
      <c r="E1353" s="233" t="str">
        <f>VLOOKUP(Table8[[#This Row],[Document ID]],Table1[],7,FALSE)</f>
        <v>LTS</v>
      </c>
      <c r="F1353" s="233" t="str">
        <f>VLOOKUP(Table8[[#This Row],[Document ID]],Table1[],8,FALSE)</f>
        <v>LTS 1.0</v>
      </c>
      <c r="G1353" s="233" t="str">
        <f>VLOOKUP(Table8[[#This Row],[Document ID]],Table1[],10,FALSE)</f>
        <v>Active</v>
      </c>
      <c r="H1353" s="43" t="s">
        <v>2358</v>
      </c>
      <c r="I1353" s="43" t="s">
        <v>2359</v>
      </c>
      <c r="J1353" s="44" t="s">
        <v>2383</v>
      </c>
      <c r="K1353" s="44" t="s">
        <v>3606</v>
      </c>
      <c r="L1353" s="44" t="s">
        <v>2333</v>
      </c>
      <c r="M1353" s="43">
        <v>43</v>
      </c>
      <c r="N1353" s="113"/>
      <c r="O1353" s="113"/>
      <c r="P1353" s="113"/>
      <c r="Q1353" s="113"/>
      <c r="R1353" s="113"/>
      <c r="S1353" s="113" t="s">
        <v>1113</v>
      </c>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t="s">
        <v>1113</v>
      </c>
      <c r="AO1353" s="44" t="s">
        <v>2334</v>
      </c>
      <c r="AP1353" s="43"/>
      <c r="AQ1353" s="236" t="str">
        <f>VLOOKUP(Table8[[#This Row],[Instrument]],Def_Targets!$D$73:$E$159,2,FALSE)</f>
        <v>I_Emobilitycharging</v>
      </c>
      <c r="AR1353" s="233" t="str">
        <f>VLOOKUP(Table8[[#This Row],[Country Code]],Table29[],3,FALSE)</f>
        <v>Annex I</v>
      </c>
      <c r="AS1353" s="233" t="str">
        <f>VLOOKUP(Table8[[#This Row],[Country Code]],Table29[],4,FALSE)</f>
        <v>Europe</v>
      </c>
      <c r="AT1353" s="233" t="str">
        <f>VLOOKUP(Table8[[#This Row],[Country Code]],Table29[],5,FALSE)</f>
        <v>High-income</v>
      </c>
      <c r="AU1353" s="233" t="str">
        <f>VLOOKUP(Table8[[#This Row],[Country Code]],Table29[],6,FALSE)</f>
        <v>no</v>
      </c>
      <c r="AV1353" s="233" t="str">
        <f>VLOOKUP(Table8[[#This Row],[Country Code]],Table29[],7,FALSE)</f>
        <v>no</v>
      </c>
      <c r="AW1353" s="233" t="str">
        <f>VLOOKUP(Table8[[#This Row],[Country Code]],Table29[],8,FALSE)</f>
        <v>OECD</v>
      </c>
      <c r="AX1353" s="233" t="str">
        <f>VLOOKUP(Table8[[#This Row],[Country Code]],Table29[],9,FALSE)</f>
        <v>EU27</v>
      </c>
      <c r="AY1353" s="233" t="str">
        <f>VLOOKUP(Table8[[#This Row],[Country Code]],Table29[],10,FALSE)</f>
        <v>no</v>
      </c>
      <c r="AZ1353" s="235">
        <f>VLOOKUP(Table8[[#This Row],[Country Code]],Table29[],23,FALSE)</f>
        <v>10.957491923456001</v>
      </c>
      <c r="BA1353" s="235">
        <f>VLOOKUP(Table8[[#This Row],[Country Code]],Table29[],24,FALSE)</f>
        <v>3.102706195463615</v>
      </c>
      <c r="BB1353" s="320"/>
      <c r="BC1353" s="320"/>
    </row>
    <row r="1354" spans="1:55" ht="60" hidden="1" x14ac:dyDescent="0.25">
      <c r="A1354" s="373">
        <v>17638</v>
      </c>
      <c r="B1354" s="233" t="str">
        <f>VLOOKUP(Table8[[#This Row],[Document ID]],Table1[],2,FALSE)</f>
        <v>LVA</v>
      </c>
      <c r="C1354" s="233" t="str">
        <f>VLOOKUP(Table8[[#This Row],[Document ID]],Table1[],3,FALSE)</f>
        <v>Latvia</v>
      </c>
      <c r="D1354" s="243" t="str">
        <f>VLOOKUP(Table8[[#This Row],[Document ID]],Table1[],5,FALSE)</f>
        <v>LTS</v>
      </c>
      <c r="E1354" s="233" t="str">
        <f>VLOOKUP(Table8[[#This Row],[Document ID]],Table1[],7,FALSE)</f>
        <v>LTS</v>
      </c>
      <c r="F1354" s="233" t="str">
        <f>VLOOKUP(Table8[[#This Row],[Document ID]],Table1[],8,FALSE)</f>
        <v>LTS 1.0</v>
      </c>
      <c r="G1354" s="233" t="str">
        <f>VLOOKUP(Table8[[#This Row],[Document ID]],Table1[],10,FALSE)</f>
        <v>Active</v>
      </c>
      <c r="H1354" s="43" t="s">
        <v>2343</v>
      </c>
      <c r="I1354" s="43" t="s">
        <v>2429</v>
      </c>
      <c r="J1354" s="44" t="s">
        <v>2430</v>
      </c>
      <c r="K1354" s="44" t="s">
        <v>3607</v>
      </c>
      <c r="L1354" s="44" t="s">
        <v>2333</v>
      </c>
      <c r="M1354" s="43">
        <v>43</v>
      </c>
      <c r="N1354" s="113" t="s">
        <v>1113</v>
      </c>
      <c r="O1354" s="113"/>
      <c r="P1354" s="113"/>
      <c r="Q1354" s="113"/>
      <c r="R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319" t="s">
        <v>1113</v>
      </c>
      <c r="AL1354" s="113"/>
      <c r="AM1354" s="113"/>
      <c r="AN1354" s="113"/>
      <c r="AO1354" s="44" t="s">
        <v>2334</v>
      </c>
      <c r="AP1354" s="43"/>
      <c r="AQ1354" s="236" t="str">
        <f>VLOOKUP(Table8[[#This Row],[Instrument]],Def_Targets!$D$73:$E$159,2,FALSE)</f>
        <v>I_ITS</v>
      </c>
      <c r="AR1354" s="233" t="str">
        <f>VLOOKUP(Table8[[#This Row],[Country Code]],Table29[],3,FALSE)</f>
        <v>Annex I</v>
      </c>
      <c r="AS1354" s="233" t="str">
        <f>VLOOKUP(Table8[[#This Row],[Country Code]],Table29[],4,FALSE)</f>
        <v>Europe</v>
      </c>
      <c r="AT1354" s="233" t="str">
        <f>VLOOKUP(Table8[[#This Row],[Country Code]],Table29[],5,FALSE)</f>
        <v>High-income</v>
      </c>
      <c r="AU1354" s="233" t="str">
        <f>VLOOKUP(Table8[[#This Row],[Country Code]],Table29[],6,FALSE)</f>
        <v>no</v>
      </c>
      <c r="AV1354" s="233" t="str">
        <f>VLOOKUP(Table8[[#This Row],[Country Code]],Table29[],7,FALSE)</f>
        <v>no</v>
      </c>
      <c r="AW1354" s="233" t="str">
        <f>VLOOKUP(Table8[[#This Row],[Country Code]],Table29[],8,FALSE)</f>
        <v>OECD</v>
      </c>
      <c r="AX1354" s="233" t="str">
        <f>VLOOKUP(Table8[[#This Row],[Country Code]],Table29[],9,FALSE)</f>
        <v>EU27</v>
      </c>
      <c r="AY1354" s="233" t="str">
        <f>VLOOKUP(Table8[[#This Row],[Country Code]],Table29[],10,FALSE)</f>
        <v>no</v>
      </c>
      <c r="AZ1354" s="235">
        <f>VLOOKUP(Table8[[#This Row],[Country Code]],Table29[],23,FALSE)</f>
        <v>10.957491923456001</v>
      </c>
      <c r="BA1354" s="235">
        <f>VLOOKUP(Table8[[#This Row],[Country Code]],Table29[],24,FALSE)</f>
        <v>3.102706195463615</v>
      </c>
      <c r="BB1354" s="320"/>
      <c r="BC1354" s="320"/>
    </row>
    <row r="1355" spans="1:55" ht="60" hidden="1" x14ac:dyDescent="0.25">
      <c r="A1355" s="373">
        <v>17638</v>
      </c>
      <c r="B1355" s="233" t="str">
        <f>VLOOKUP(Table8[[#This Row],[Document ID]],Table1[],2,FALSE)</f>
        <v>LVA</v>
      </c>
      <c r="C1355" s="233" t="str">
        <f>VLOOKUP(Table8[[#This Row],[Document ID]],Table1[],3,FALSE)</f>
        <v>Latvia</v>
      </c>
      <c r="D1355" s="243" t="str">
        <f>VLOOKUP(Table8[[#This Row],[Document ID]],Table1[],5,FALSE)</f>
        <v>LTS</v>
      </c>
      <c r="E1355" s="233" t="str">
        <f>VLOOKUP(Table8[[#This Row],[Document ID]],Table1[],7,FALSE)</f>
        <v>LTS</v>
      </c>
      <c r="F1355" s="233" t="str">
        <f>VLOOKUP(Table8[[#This Row],[Document ID]],Table1[],8,FALSE)</f>
        <v>LTS 1.0</v>
      </c>
      <c r="G1355" s="233" t="str">
        <f>VLOOKUP(Table8[[#This Row],[Document ID]],Table1[],10,FALSE)</f>
        <v>Active</v>
      </c>
      <c r="H1355" s="43" t="s">
        <v>2350</v>
      </c>
      <c r="I1355" s="43" t="s">
        <v>2456</v>
      </c>
      <c r="J1355" s="44" t="s">
        <v>2457</v>
      </c>
      <c r="K1355" s="44" t="s">
        <v>3608</v>
      </c>
      <c r="L1355" s="44" t="s">
        <v>2333</v>
      </c>
      <c r="M1355" s="43">
        <v>43</v>
      </c>
      <c r="N1355" s="113"/>
      <c r="O1355" s="113"/>
      <c r="P1355" s="113"/>
      <c r="Q1355" s="113" t="s">
        <v>1113</v>
      </c>
      <c r="R1355" s="113" t="s">
        <v>1113</v>
      </c>
      <c r="S1355" s="113" t="s">
        <v>1113</v>
      </c>
      <c r="T1355" s="113"/>
      <c r="U1355" s="113"/>
      <c r="V1355" s="113"/>
      <c r="W1355" s="113"/>
      <c r="X1355" s="113"/>
      <c r="Y1355" s="113" t="s">
        <v>1113</v>
      </c>
      <c r="Z1355" s="113"/>
      <c r="AA1355" s="113"/>
      <c r="AB1355" s="113"/>
      <c r="AC1355" s="113" t="s">
        <v>1113</v>
      </c>
      <c r="AD1355" s="113"/>
      <c r="AE1355" s="113"/>
      <c r="AF1355" s="113"/>
      <c r="AG1355" s="113"/>
      <c r="AH1355" s="113"/>
      <c r="AI1355" s="113"/>
      <c r="AJ1355" s="113"/>
      <c r="AK1355" s="319" t="s">
        <v>1113</v>
      </c>
      <c r="AL1355" s="113"/>
      <c r="AM1355" s="113"/>
      <c r="AN1355" s="113"/>
      <c r="AO1355" s="44" t="s">
        <v>2334</v>
      </c>
      <c r="AP1355" s="43"/>
      <c r="AQ1355" s="236" t="str">
        <f>VLOOKUP(Table8[[#This Row],[Instrument]],Def_Targets!$D$73:$E$159,2,FALSE)</f>
        <v>S_Infraimprove</v>
      </c>
      <c r="AR1355" s="233" t="str">
        <f>VLOOKUP(Table8[[#This Row],[Country Code]],Table29[],3,FALSE)</f>
        <v>Annex I</v>
      </c>
      <c r="AS1355" s="233" t="str">
        <f>VLOOKUP(Table8[[#This Row],[Country Code]],Table29[],4,FALSE)</f>
        <v>Europe</v>
      </c>
      <c r="AT1355" s="233" t="str">
        <f>VLOOKUP(Table8[[#This Row],[Country Code]],Table29[],5,FALSE)</f>
        <v>High-income</v>
      </c>
      <c r="AU1355" s="233" t="str">
        <f>VLOOKUP(Table8[[#This Row],[Country Code]],Table29[],6,FALSE)</f>
        <v>no</v>
      </c>
      <c r="AV1355" s="233" t="str">
        <f>VLOOKUP(Table8[[#This Row],[Country Code]],Table29[],7,FALSE)</f>
        <v>no</v>
      </c>
      <c r="AW1355" s="233" t="str">
        <f>VLOOKUP(Table8[[#This Row],[Country Code]],Table29[],8,FALSE)</f>
        <v>OECD</v>
      </c>
      <c r="AX1355" s="233" t="str">
        <f>VLOOKUP(Table8[[#This Row],[Country Code]],Table29[],9,FALSE)</f>
        <v>EU27</v>
      </c>
      <c r="AY1355" s="233" t="str">
        <f>VLOOKUP(Table8[[#This Row],[Country Code]],Table29[],10,FALSE)</f>
        <v>no</v>
      </c>
      <c r="AZ1355" s="235">
        <f>VLOOKUP(Table8[[#This Row],[Country Code]],Table29[],23,FALSE)</f>
        <v>10.957491923456001</v>
      </c>
      <c r="BA1355" s="235">
        <f>VLOOKUP(Table8[[#This Row],[Country Code]],Table29[],24,FALSE)</f>
        <v>3.102706195463615</v>
      </c>
      <c r="BB1355" s="320"/>
      <c r="BC1355" s="320"/>
    </row>
    <row r="1356" spans="1:55" ht="60" hidden="1" x14ac:dyDescent="0.25">
      <c r="A1356" s="373">
        <v>17638</v>
      </c>
      <c r="B1356" s="233" t="str">
        <f>VLOOKUP(Table8[[#This Row],[Document ID]],Table1[],2,FALSE)</f>
        <v>LVA</v>
      </c>
      <c r="C1356" s="233" t="str">
        <f>VLOOKUP(Table8[[#This Row],[Document ID]],Table1[],3,FALSE)</f>
        <v>Latvia</v>
      </c>
      <c r="D1356" s="243" t="str">
        <f>VLOOKUP(Table8[[#This Row],[Document ID]],Table1[],5,FALSE)</f>
        <v>LTS</v>
      </c>
      <c r="E1356" s="233" t="str">
        <f>VLOOKUP(Table8[[#This Row],[Document ID]],Table1[],7,FALSE)</f>
        <v>LTS</v>
      </c>
      <c r="F1356" s="233" t="str">
        <f>VLOOKUP(Table8[[#This Row],[Document ID]],Table1[],8,FALSE)</f>
        <v>LTS 1.0</v>
      </c>
      <c r="G1356" s="233" t="str">
        <f>VLOOKUP(Table8[[#This Row],[Document ID]],Table1[],10,FALSE)</f>
        <v>Active</v>
      </c>
      <c r="H1356" s="43" t="s">
        <v>2343</v>
      </c>
      <c r="I1356" s="43" t="s">
        <v>2429</v>
      </c>
      <c r="J1356" s="44" t="s">
        <v>2472</v>
      </c>
      <c r="K1356" s="44" t="s">
        <v>3609</v>
      </c>
      <c r="L1356" s="44" t="s">
        <v>2396</v>
      </c>
      <c r="M1356" s="43">
        <v>43</v>
      </c>
      <c r="N1356" s="113" t="s">
        <v>1113</v>
      </c>
      <c r="O1356" s="113"/>
      <c r="P1356" s="113"/>
      <c r="Q1356" s="113"/>
      <c r="R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319" t="s">
        <v>1113</v>
      </c>
      <c r="AL1356" s="113"/>
      <c r="AM1356" s="113"/>
      <c r="AN1356" s="113"/>
      <c r="AO1356" s="44" t="s">
        <v>2334</v>
      </c>
      <c r="AP1356" s="43"/>
      <c r="AQ1356" s="236" t="str">
        <f>VLOOKUP(Table8[[#This Row],[Instrument]],Def_Targets!$D$73:$E$159,2,FALSE)</f>
        <v>I_Other</v>
      </c>
      <c r="AR1356" s="233" t="str">
        <f>VLOOKUP(Table8[[#This Row],[Country Code]],Table29[],3,FALSE)</f>
        <v>Annex I</v>
      </c>
      <c r="AS1356" s="233" t="str">
        <f>VLOOKUP(Table8[[#This Row],[Country Code]],Table29[],4,FALSE)</f>
        <v>Europe</v>
      </c>
      <c r="AT1356" s="233" t="str">
        <f>VLOOKUP(Table8[[#This Row],[Country Code]],Table29[],5,FALSE)</f>
        <v>High-income</v>
      </c>
      <c r="AU1356" s="233" t="str">
        <f>VLOOKUP(Table8[[#This Row],[Country Code]],Table29[],6,FALSE)</f>
        <v>no</v>
      </c>
      <c r="AV1356" s="233" t="str">
        <f>VLOOKUP(Table8[[#This Row],[Country Code]],Table29[],7,FALSE)</f>
        <v>no</v>
      </c>
      <c r="AW1356" s="233" t="str">
        <f>VLOOKUP(Table8[[#This Row],[Country Code]],Table29[],8,FALSE)</f>
        <v>OECD</v>
      </c>
      <c r="AX1356" s="233" t="str">
        <f>VLOOKUP(Table8[[#This Row],[Country Code]],Table29[],9,FALSE)</f>
        <v>EU27</v>
      </c>
      <c r="AY1356" s="233" t="str">
        <f>VLOOKUP(Table8[[#This Row],[Country Code]],Table29[],10,FALSE)</f>
        <v>no</v>
      </c>
      <c r="AZ1356" s="235">
        <f>VLOOKUP(Table8[[#This Row],[Country Code]],Table29[],23,FALSE)</f>
        <v>10.957491923456001</v>
      </c>
      <c r="BA1356" s="235">
        <f>VLOOKUP(Table8[[#This Row],[Country Code]],Table29[],24,FALSE)</f>
        <v>3.102706195463615</v>
      </c>
      <c r="BB1356" s="320"/>
      <c r="BC1356" s="320"/>
    </row>
    <row r="1357" spans="1:55" ht="75" hidden="1" x14ac:dyDescent="0.25">
      <c r="A1357" s="373">
        <v>17638</v>
      </c>
      <c r="B1357" s="233" t="str">
        <f>VLOOKUP(Table8[[#This Row],[Document ID]],Table1[],2,FALSE)</f>
        <v>LVA</v>
      </c>
      <c r="C1357" s="233" t="str">
        <f>VLOOKUP(Table8[[#This Row],[Document ID]],Table1[],3,FALSE)</f>
        <v>Latvia</v>
      </c>
      <c r="D1357" s="243" t="str">
        <f>VLOOKUP(Table8[[#This Row],[Document ID]],Table1[],5,FALSE)</f>
        <v>LTS</v>
      </c>
      <c r="E1357" s="233" t="str">
        <f>VLOOKUP(Table8[[#This Row],[Document ID]],Table1[],7,FALSE)</f>
        <v>LTS</v>
      </c>
      <c r="F1357" s="233" t="str">
        <f>VLOOKUP(Table8[[#This Row],[Document ID]],Table1[],8,FALSE)</f>
        <v>LTS 1.0</v>
      </c>
      <c r="G1357" s="233" t="str">
        <f>VLOOKUP(Table8[[#This Row],[Document ID]],Table1[],10,FALSE)</f>
        <v>Active</v>
      </c>
      <c r="H1357" s="43" t="s">
        <v>2343</v>
      </c>
      <c r="I1357" s="43" t="s">
        <v>2377</v>
      </c>
      <c r="J1357" s="44" t="s">
        <v>2378</v>
      </c>
      <c r="K1357" s="44" t="s">
        <v>3610</v>
      </c>
      <c r="L1357" s="44" t="s">
        <v>2380</v>
      </c>
      <c r="M1357" s="43">
        <v>44</v>
      </c>
      <c r="N1357" s="113" t="s">
        <v>1113</v>
      </c>
      <c r="O1357" s="113"/>
      <c r="P1357" s="113"/>
      <c r="Q1357" s="113"/>
      <c r="R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319" t="s">
        <v>1113</v>
      </c>
      <c r="AL1357" s="113"/>
      <c r="AM1357" s="113"/>
      <c r="AN1357" s="113"/>
      <c r="AO1357" s="44" t="s">
        <v>2334</v>
      </c>
      <c r="AP1357" s="43"/>
      <c r="AQ1357" s="236" t="str">
        <f>VLOOKUP(Table8[[#This Row],[Instrument]],Def_Targets!$D$73:$E$159,2,FALSE)</f>
        <v>A_Commute</v>
      </c>
      <c r="AR1357" s="233" t="str">
        <f>VLOOKUP(Table8[[#This Row],[Country Code]],Table29[],3,FALSE)</f>
        <v>Annex I</v>
      </c>
      <c r="AS1357" s="233" t="str">
        <f>VLOOKUP(Table8[[#This Row],[Country Code]],Table29[],4,FALSE)</f>
        <v>Europe</v>
      </c>
      <c r="AT1357" s="233" t="str">
        <f>VLOOKUP(Table8[[#This Row],[Country Code]],Table29[],5,FALSE)</f>
        <v>High-income</v>
      </c>
      <c r="AU1357" s="233" t="str">
        <f>VLOOKUP(Table8[[#This Row],[Country Code]],Table29[],6,FALSE)</f>
        <v>no</v>
      </c>
      <c r="AV1357" s="233" t="str">
        <f>VLOOKUP(Table8[[#This Row],[Country Code]],Table29[],7,FALSE)</f>
        <v>no</v>
      </c>
      <c r="AW1357" s="233" t="str">
        <f>VLOOKUP(Table8[[#This Row],[Country Code]],Table29[],8,FALSE)</f>
        <v>OECD</v>
      </c>
      <c r="AX1357" s="233" t="str">
        <f>VLOOKUP(Table8[[#This Row],[Country Code]],Table29[],9,FALSE)</f>
        <v>EU27</v>
      </c>
      <c r="AY1357" s="233" t="str">
        <f>VLOOKUP(Table8[[#This Row],[Country Code]],Table29[],10,FALSE)</f>
        <v>no</v>
      </c>
      <c r="AZ1357" s="235">
        <f>VLOOKUP(Table8[[#This Row],[Country Code]],Table29[],23,FALSE)</f>
        <v>10.957491923456001</v>
      </c>
      <c r="BA1357" s="235">
        <f>VLOOKUP(Table8[[#This Row],[Country Code]],Table29[],24,FALSE)</f>
        <v>3.102706195463615</v>
      </c>
      <c r="BB1357" s="320"/>
      <c r="BC1357" s="320"/>
    </row>
    <row r="1358" spans="1:55" hidden="1" x14ac:dyDescent="0.25">
      <c r="A1358" s="360">
        <v>17662</v>
      </c>
      <c r="B1358" s="233" t="str">
        <f>VLOOKUP(Table8[[#This Row],[Document ID]],Table1[],2,FALSE)</f>
        <v>MEX</v>
      </c>
      <c r="C1358" s="233" t="str">
        <f>VLOOKUP(Table8[[#This Row],[Document ID]],Table1[],3,FALSE)</f>
        <v>Mexico</v>
      </c>
      <c r="D1358" s="233" t="str">
        <f>VLOOKUP(Table8[[#This Row],[Document ID]],Table1[],5,FALSE)</f>
        <v>NDC</v>
      </c>
      <c r="E1358" s="233" t="str">
        <f>VLOOKUP(Table8[[#This Row],[Document ID]],Table1[],7,FALSE)</f>
        <v>First NDC updated</v>
      </c>
      <c r="F1358" s="233" t="str">
        <f>VLOOKUP(Table8[[#This Row],[Document ID]],Table1[],8,FALSE)</f>
        <v>NDC 1.1</v>
      </c>
      <c r="G1358" s="233" t="str">
        <f>VLOOKUP(Table8[[#This Row],[Document ID]],Table1[],10,FALSE)</f>
        <v>Archived</v>
      </c>
      <c r="H1358" s="44" t="s">
        <v>2338</v>
      </c>
      <c r="I1358" s="44" t="s">
        <v>2339</v>
      </c>
      <c r="J1358" s="44" t="s">
        <v>2340</v>
      </c>
      <c r="K1358" s="44" t="s">
        <v>3611</v>
      </c>
      <c r="L1358" s="44" t="s">
        <v>2333</v>
      </c>
      <c r="M1358" s="43">
        <v>26</v>
      </c>
      <c r="N1358" s="113"/>
      <c r="O1358" s="113"/>
      <c r="P1358" s="113"/>
      <c r="Q1358" s="113"/>
      <c r="R1358" s="113"/>
      <c r="S1358" s="113" t="s">
        <v>1113</v>
      </c>
      <c r="T1358" s="113"/>
      <c r="U1358" s="113"/>
      <c r="V1358" s="113"/>
      <c r="W1358" s="113"/>
      <c r="X1358" s="113"/>
      <c r="Y1358" s="113"/>
      <c r="Z1358" s="113"/>
      <c r="AA1358" s="113"/>
      <c r="AB1358" s="113"/>
      <c r="AC1358" s="113"/>
      <c r="AD1358" s="113"/>
      <c r="AE1358" s="113"/>
      <c r="AF1358" s="113"/>
      <c r="AG1358" s="113"/>
      <c r="AH1358" s="113"/>
      <c r="AI1358" s="113"/>
      <c r="AJ1358" s="113"/>
      <c r="AK1358" s="319" t="s">
        <v>1113</v>
      </c>
      <c r="AL1358" s="113"/>
      <c r="AM1358" s="113"/>
      <c r="AN1358" s="113"/>
      <c r="AO1358" s="44" t="s">
        <v>2334</v>
      </c>
      <c r="AP1358" s="43"/>
      <c r="AQ1358" s="236" t="str">
        <f>VLOOKUP(Table8[[#This Row],[Instrument]],Def_Targets!$D$73:$E$159,2,FALSE)</f>
        <v>I_Vehicleimprove</v>
      </c>
      <c r="AR1358" s="233" t="str">
        <f>VLOOKUP(Table8[[#This Row],[Country Code]],Table29[],3,FALSE)</f>
        <v>Non-Annex I</v>
      </c>
      <c r="AS1358" s="233" t="str">
        <f>VLOOKUP(Table8[[#This Row],[Country Code]],Table29[],4,FALSE)</f>
        <v>Latin America and the Caribbean</v>
      </c>
      <c r="AT1358" s="233" t="str">
        <f>VLOOKUP(Table8[[#This Row],[Country Code]],Table29[],5,FALSE)</f>
        <v>Middle-income</v>
      </c>
      <c r="AU1358" s="233" t="str">
        <f>VLOOKUP(Table8[[#This Row],[Country Code]],Table29[],6,FALSE)</f>
        <v>G20</v>
      </c>
      <c r="AV1358" s="233" t="str">
        <f>VLOOKUP(Table8[[#This Row],[Country Code]],Table29[],7,FALSE)</f>
        <v>no</v>
      </c>
      <c r="AW1358" s="233" t="str">
        <f>VLOOKUP(Table8[[#This Row],[Country Code]],Table29[],8,FALSE)</f>
        <v>OECD</v>
      </c>
      <c r="AX1358" s="233" t="str">
        <f>VLOOKUP(Table8[[#This Row],[Country Code]],Table29[],9,FALSE)</f>
        <v>no</v>
      </c>
      <c r="AY1358" s="233" t="str">
        <f>VLOOKUP(Table8[[#This Row],[Country Code]],Table29[],10,FALSE)</f>
        <v>no</v>
      </c>
      <c r="AZ1358" s="235">
        <f>VLOOKUP(Table8[[#This Row],[Country Code]],Table29[],23,FALSE)</f>
        <v>712.10209803987004</v>
      </c>
      <c r="BA1358" s="235">
        <f>VLOOKUP(Table8[[#This Row],[Country Code]],Table29[],24,FALSE)</f>
        <v>132.220611733639</v>
      </c>
      <c r="BB1358" s="320"/>
      <c r="BC1358" s="320"/>
    </row>
    <row r="1359" spans="1:55" hidden="1" x14ac:dyDescent="0.25">
      <c r="A1359" s="360">
        <v>32507</v>
      </c>
      <c r="B1359" s="233" t="str">
        <f>VLOOKUP(Table8[[#This Row],[Document ID]],Table1[],2,FALSE)</f>
        <v>MEX</v>
      </c>
      <c r="C1359" s="233" t="str">
        <f>VLOOKUP(Table8[[#This Row],[Document ID]],Table1[],3,FALSE)</f>
        <v>Mexico</v>
      </c>
      <c r="D1359" s="233" t="str">
        <f>VLOOKUP(Table8[[#This Row],[Document ID]],Table1[],5,FALSE)</f>
        <v>NDC</v>
      </c>
      <c r="E1359" s="233" t="str">
        <f>VLOOKUP(Table8[[#This Row],[Document ID]],Table1[],7,FALSE)</f>
        <v>First NDC updated</v>
      </c>
      <c r="F1359" s="233" t="str">
        <f>VLOOKUP(Table8[[#This Row],[Document ID]],Table1[],8,FALSE)</f>
        <v>NDC 1.2</v>
      </c>
      <c r="G1359" s="233" t="str">
        <f>VLOOKUP(Table8[[#This Row],[Document ID]],Table1[],10,FALSE)</f>
        <v>Active</v>
      </c>
      <c r="H1359" s="43" t="s">
        <v>2358</v>
      </c>
      <c r="I1359" s="43" t="s">
        <v>2359</v>
      </c>
      <c r="J1359" s="44" t="s">
        <v>2360</v>
      </c>
      <c r="K1359" s="44" t="s">
        <v>3612</v>
      </c>
      <c r="L1359" s="44" t="s">
        <v>2333</v>
      </c>
      <c r="M1359" s="43">
        <v>11</v>
      </c>
      <c r="N1359" s="113" t="s">
        <v>1113</v>
      </c>
      <c r="O1359" s="113"/>
      <c r="P1359" s="113"/>
      <c r="Q1359" s="113"/>
      <c r="R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t="s">
        <v>1113</v>
      </c>
      <c r="AL1359" s="113"/>
      <c r="AM1359" s="113"/>
      <c r="AN1359" s="113"/>
      <c r="AO1359" s="44" t="s">
        <v>2334</v>
      </c>
      <c r="AP1359" s="43"/>
      <c r="AQ1359" s="236" t="str">
        <f>VLOOKUP(Table8[[#This Row],[Instrument]],Def_Targets!$D$73:$E$159,2,FALSE)</f>
        <v>I_Emobility</v>
      </c>
      <c r="AR1359" s="233" t="str">
        <f>VLOOKUP(Table8[[#This Row],[Country Code]],Table29[],3,FALSE)</f>
        <v>Non-Annex I</v>
      </c>
      <c r="AS1359" s="233" t="str">
        <f>VLOOKUP(Table8[[#This Row],[Country Code]],Table29[],4,FALSE)</f>
        <v>Latin America and the Caribbean</v>
      </c>
      <c r="AT1359" s="233" t="str">
        <f>VLOOKUP(Table8[[#This Row],[Country Code]],Table29[],5,FALSE)</f>
        <v>Middle-income</v>
      </c>
      <c r="AU1359" s="233" t="str">
        <f>VLOOKUP(Table8[[#This Row],[Country Code]],Table29[],6,FALSE)</f>
        <v>G20</v>
      </c>
      <c r="AV1359" s="233" t="str">
        <f>VLOOKUP(Table8[[#This Row],[Country Code]],Table29[],7,FALSE)</f>
        <v>no</v>
      </c>
      <c r="AW1359" s="233" t="str">
        <f>VLOOKUP(Table8[[#This Row],[Country Code]],Table29[],8,FALSE)</f>
        <v>OECD</v>
      </c>
      <c r="AX1359" s="233" t="str">
        <f>VLOOKUP(Table8[[#This Row],[Country Code]],Table29[],9,FALSE)</f>
        <v>no</v>
      </c>
      <c r="AY1359" s="233" t="str">
        <f>VLOOKUP(Table8[[#This Row],[Country Code]],Table29[],10,FALSE)</f>
        <v>no</v>
      </c>
      <c r="AZ1359" s="235">
        <f>VLOOKUP(Table8[[#This Row],[Country Code]],Table29[],23,FALSE)</f>
        <v>712.10209803987004</v>
      </c>
      <c r="BA1359" s="235">
        <f>VLOOKUP(Table8[[#This Row],[Country Code]],Table29[],24,FALSE)</f>
        <v>132.220611733639</v>
      </c>
      <c r="BB1359" s="320"/>
      <c r="BC1359" s="320"/>
    </row>
    <row r="1360" spans="1:55" hidden="1" x14ac:dyDescent="0.25">
      <c r="A1360" s="360">
        <v>32507</v>
      </c>
      <c r="B1360" s="233" t="str">
        <f>VLOOKUP(Table8[[#This Row],[Document ID]],Table1[],2,FALSE)</f>
        <v>MEX</v>
      </c>
      <c r="C1360" s="233" t="str">
        <f>VLOOKUP(Table8[[#This Row],[Document ID]],Table1[],3,FALSE)</f>
        <v>Mexico</v>
      </c>
      <c r="D1360" s="233" t="str">
        <f>VLOOKUP(Table8[[#This Row],[Document ID]],Table1[],5,FALSE)</f>
        <v>NDC</v>
      </c>
      <c r="E1360" s="233" t="str">
        <f>VLOOKUP(Table8[[#This Row],[Document ID]],Table1[],7,FALSE)</f>
        <v>First NDC updated</v>
      </c>
      <c r="F1360" s="233" t="str">
        <f>VLOOKUP(Table8[[#This Row],[Document ID]],Table1[],8,FALSE)</f>
        <v>NDC 1.2</v>
      </c>
      <c r="G1360" s="233" t="str">
        <f>VLOOKUP(Table8[[#This Row],[Document ID]],Table1[],10,FALSE)</f>
        <v>Active</v>
      </c>
      <c r="H1360" s="43" t="s">
        <v>2343</v>
      </c>
      <c r="I1360" s="43" t="s">
        <v>2344</v>
      </c>
      <c r="J1360" s="44" t="s">
        <v>2345</v>
      </c>
      <c r="K1360" s="44" t="s">
        <v>3613</v>
      </c>
      <c r="L1360" s="44" t="s">
        <v>2347</v>
      </c>
      <c r="M1360" s="43">
        <v>11</v>
      </c>
      <c r="N1360" s="113" t="s">
        <v>1113</v>
      </c>
      <c r="O1360" s="113"/>
      <c r="P1360" s="113"/>
      <c r="Q1360" s="113"/>
      <c r="R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t="s">
        <v>1113</v>
      </c>
      <c r="AL1360" s="113"/>
      <c r="AM1360" s="113"/>
      <c r="AN1360" s="113"/>
      <c r="AO1360" s="44" t="s">
        <v>2334</v>
      </c>
      <c r="AP1360" s="43"/>
      <c r="AQ1360" s="236" t="str">
        <f>VLOOKUP(Table8[[#This Row],[Instrument]],Def_Targets!$D$73:$E$159,2,FALSE)</f>
        <v>S_PublicTransport</v>
      </c>
      <c r="AR1360" s="233" t="str">
        <f>VLOOKUP(Table8[[#This Row],[Country Code]],Table29[],3,FALSE)</f>
        <v>Non-Annex I</v>
      </c>
      <c r="AS1360" s="233" t="str">
        <f>VLOOKUP(Table8[[#This Row],[Country Code]],Table29[],4,FALSE)</f>
        <v>Latin America and the Caribbean</v>
      </c>
      <c r="AT1360" s="233" t="str">
        <f>VLOOKUP(Table8[[#This Row],[Country Code]],Table29[],5,FALSE)</f>
        <v>Middle-income</v>
      </c>
      <c r="AU1360" s="233" t="str">
        <f>VLOOKUP(Table8[[#This Row],[Country Code]],Table29[],6,FALSE)</f>
        <v>G20</v>
      </c>
      <c r="AV1360" s="233" t="str">
        <f>VLOOKUP(Table8[[#This Row],[Country Code]],Table29[],7,FALSE)</f>
        <v>no</v>
      </c>
      <c r="AW1360" s="233" t="str">
        <f>VLOOKUP(Table8[[#This Row],[Country Code]],Table29[],8,FALSE)</f>
        <v>OECD</v>
      </c>
      <c r="AX1360" s="233" t="str">
        <f>VLOOKUP(Table8[[#This Row],[Country Code]],Table29[],9,FALSE)</f>
        <v>no</v>
      </c>
      <c r="AY1360" s="233" t="str">
        <f>VLOOKUP(Table8[[#This Row],[Country Code]],Table29[],10,FALSE)</f>
        <v>no</v>
      </c>
      <c r="AZ1360" s="235">
        <f>VLOOKUP(Table8[[#This Row],[Country Code]],Table29[],23,FALSE)</f>
        <v>712.10209803987004</v>
      </c>
      <c r="BA1360" s="235">
        <f>VLOOKUP(Table8[[#This Row],[Country Code]],Table29[],24,FALSE)</f>
        <v>132.220611733639</v>
      </c>
      <c r="BB1360" s="320"/>
      <c r="BC1360" s="320"/>
    </row>
    <row r="1361" spans="1:55" ht="30" hidden="1" x14ac:dyDescent="0.25">
      <c r="A1361" s="360">
        <v>32507</v>
      </c>
      <c r="B1361" s="233" t="str">
        <f>VLOOKUP(Table8[[#This Row],[Document ID]],Table1[],2,FALSE)</f>
        <v>MEX</v>
      </c>
      <c r="C1361" s="233" t="str">
        <f>VLOOKUP(Table8[[#This Row],[Document ID]],Table1[],3,FALSE)</f>
        <v>Mexico</v>
      </c>
      <c r="D1361" s="233" t="str">
        <f>VLOOKUP(Table8[[#This Row],[Document ID]],Table1[],5,FALSE)</f>
        <v>NDC</v>
      </c>
      <c r="E1361" s="233" t="str">
        <f>VLOOKUP(Table8[[#This Row],[Document ID]],Table1[],7,FALSE)</f>
        <v>First NDC updated</v>
      </c>
      <c r="F1361" s="233" t="str">
        <f>VLOOKUP(Table8[[#This Row],[Document ID]],Table1[],8,FALSE)</f>
        <v>NDC 1.2</v>
      </c>
      <c r="G1361" s="233" t="str">
        <f>VLOOKUP(Table8[[#This Row],[Document ID]],Table1[],10,FALSE)</f>
        <v>Active</v>
      </c>
      <c r="H1361" s="44" t="s">
        <v>2338</v>
      </c>
      <c r="I1361" s="44" t="s">
        <v>2339</v>
      </c>
      <c r="J1361" s="44" t="s">
        <v>2340</v>
      </c>
      <c r="K1361" s="44" t="s">
        <v>3614</v>
      </c>
      <c r="L1361" s="44" t="s">
        <v>2333</v>
      </c>
      <c r="M1361" s="43">
        <v>11</v>
      </c>
      <c r="N1361" s="113"/>
      <c r="O1361" s="113"/>
      <c r="P1361" s="113"/>
      <c r="Q1361" s="113"/>
      <c r="R1361" s="113"/>
      <c r="S1361" s="113" t="s">
        <v>1113</v>
      </c>
      <c r="T1361" s="113"/>
      <c r="U1361" s="113" t="s">
        <v>1113</v>
      </c>
      <c r="V1361" s="113"/>
      <c r="W1361" s="113"/>
      <c r="X1361" s="113" t="s">
        <v>1113</v>
      </c>
      <c r="Y1361" s="113" t="s">
        <v>1113</v>
      </c>
      <c r="Z1361" s="113"/>
      <c r="AA1361" s="113"/>
      <c r="AB1361" s="113"/>
      <c r="AC1361" s="113"/>
      <c r="AD1361" s="113"/>
      <c r="AE1361" s="113"/>
      <c r="AF1361" s="113"/>
      <c r="AG1361" s="113"/>
      <c r="AH1361" s="113"/>
      <c r="AI1361" s="113"/>
      <c r="AJ1361" s="113"/>
      <c r="AK1361" s="113" t="s">
        <v>1113</v>
      </c>
      <c r="AL1361" s="113"/>
      <c r="AM1361" s="113"/>
      <c r="AN1361" s="113"/>
      <c r="AO1361" s="43" t="s">
        <v>2477</v>
      </c>
      <c r="AP1361" s="43"/>
      <c r="AQ1361" s="236" t="str">
        <f>VLOOKUP(Table8[[#This Row],[Instrument]],Def_Targets!$D$73:$E$159,2,FALSE)</f>
        <v>I_Vehicleimprove</v>
      </c>
      <c r="AR1361" s="233" t="str">
        <f>VLOOKUP(Table8[[#This Row],[Country Code]],Table29[],3,FALSE)</f>
        <v>Non-Annex I</v>
      </c>
      <c r="AS1361" s="233" t="str">
        <f>VLOOKUP(Table8[[#This Row],[Country Code]],Table29[],4,FALSE)</f>
        <v>Latin America and the Caribbean</v>
      </c>
      <c r="AT1361" s="233" t="str">
        <f>VLOOKUP(Table8[[#This Row],[Country Code]],Table29[],5,FALSE)</f>
        <v>Middle-income</v>
      </c>
      <c r="AU1361" s="233" t="str">
        <f>VLOOKUP(Table8[[#This Row],[Country Code]],Table29[],6,FALSE)</f>
        <v>G20</v>
      </c>
      <c r="AV1361" s="233" t="str">
        <f>VLOOKUP(Table8[[#This Row],[Country Code]],Table29[],7,FALSE)</f>
        <v>no</v>
      </c>
      <c r="AW1361" s="233" t="str">
        <f>VLOOKUP(Table8[[#This Row],[Country Code]],Table29[],8,FALSE)</f>
        <v>OECD</v>
      </c>
      <c r="AX1361" s="233" t="str">
        <f>VLOOKUP(Table8[[#This Row],[Country Code]],Table29[],9,FALSE)</f>
        <v>no</v>
      </c>
      <c r="AY1361" s="233" t="str">
        <f>VLOOKUP(Table8[[#This Row],[Country Code]],Table29[],10,FALSE)</f>
        <v>no</v>
      </c>
      <c r="AZ1361" s="235">
        <f>VLOOKUP(Table8[[#This Row],[Country Code]],Table29[],23,FALSE)</f>
        <v>712.10209803987004</v>
      </c>
      <c r="BA1361" s="235">
        <f>VLOOKUP(Table8[[#This Row],[Country Code]],Table29[],24,FALSE)</f>
        <v>132.220611733639</v>
      </c>
      <c r="BB1361" s="320"/>
      <c r="BC1361" s="320"/>
    </row>
    <row r="1362" spans="1:55" hidden="1" x14ac:dyDescent="0.25">
      <c r="A1362" s="360">
        <v>32507</v>
      </c>
      <c r="B1362" s="233" t="str">
        <f>VLOOKUP(Table8[[#This Row],[Document ID]],Table1[],2,FALSE)</f>
        <v>MEX</v>
      </c>
      <c r="C1362" s="233" t="str">
        <f>VLOOKUP(Table8[[#This Row],[Document ID]],Table1[],3,FALSE)</f>
        <v>Mexico</v>
      </c>
      <c r="D1362" s="233" t="str">
        <f>VLOOKUP(Table8[[#This Row],[Document ID]],Table1[],5,FALSE)</f>
        <v>NDC</v>
      </c>
      <c r="E1362" s="233" t="str">
        <f>VLOOKUP(Table8[[#This Row],[Document ID]],Table1[],7,FALSE)</f>
        <v>First NDC updated</v>
      </c>
      <c r="F1362" s="233" t="str">
        <f>VLOOKUP(Table8[[#This Row],[Document ID]],Table1[],8,FALSE)</f>
        <v>NDC 1.2</v>
      </c>
      <c r="G1362" s="233" t="str">
        <f>VLOOKUP(Table8[[#This Row],[Document ID]],Table1[],10,FALSE)</f>
        <v>Active</v>
      </c>
      <c r="H1362" s="44" t="s">
        <v>2329</v>
      </c>
      <c r="I1362" s="44" t="s">
        <v>2330</v>
      </c>
      <c r="J1362" s="44" t="s">
        <v>2331</v>
      </c>
      <c r="K1362" s="44" t="s">
        <v>3615</v>
      </c>
      <c r="L1362" s="44" t="s">
        <v>2333</v>
      </c>
      <c r="M1362" s="43">
        <v>11</v>
      </c>
      <c r="N1362" s="113"/>
      <c r="O1362" s="113"/>
      <c r="P1362" s="113"/>
      <c r="Q1362" s="113"/>
      <c r="R1362" s="113"/>
      <c r="S1362" s="113" t="s">
        <v>1113</v>
      </c>
      <c r="T1362" s="113"/>
      <c r="U1362" s="113"/>
      <c r="V1362" s="113"/>
      <c r="W1362" s="113"/>
      <c r="X1362" s="113"/>
      <c r="Y1362" s="113"/>
      <c r="Z1362" s="113"/>
      <c r="AA1362" s="113"/>
      <c r="AB1362" s="113"/>
      <c r="AC1362" s="113"/>
      <c r="AD1362" s="113"/>
      <c r="AE1362" s="113"/>
      <c r="AF1362" s="113"/>
      <c r="AG1362" s="113"/>
      <c r="AH1362" s="113"/>
      <c r="AI1362" s="113"/>
      <c r="AJ1362" s="113"/>
      <c r="AK1362" s="113" t="s">
        <v>1113</v>
      </c>
      <c r="AL1362" s="113"/>
      <c r="AM1362" s="113"/>
      <c r="AN1362" s="113"/>
      <c r="AO1362" s="44" t="s">
        <v>2334</v>
      </c>
      <c r="AP1362" s="43"/>
      <c r="AQ1362" s="236" t="str">
        <f>VLOOKUP(Table8[[#This Row],[Instrument]],Def_Targets!$D$73:$E$159,2,FALSE)</f>
        <v>I_Altfuels</v>
      </c>
      <c r="AR1362" s="233" t="str">
        <f>VLOOKUP(Table8[[#This Row],[Country Code]],Table29[],3,FALSE)</f>
        <v>Non-Annex I</v>
      </c>
      <c r="AS1362" s="233" t="str">
        <f>VLOOKUP(Table8[[#This Row],[Country Code]],Table29[],4,FALSE)</f>
        <v>Latin America and the Caribbean</v>
      </c>
      <c r="AT1362" s="233" t="str">
        <f>VLOOKUP(Table8[[#This Row],[Country Code]],Table29[],5,FALSE)</f>
        <v>Middle-income</v>
      </c>
      <c r="AU1362" s="233" t="str">
        <f>VLOOKUP(Table8[[#This Row],[Country Code]],Table29[],6,FALSE)</f>
        <v>G20</v>
      </c>
      <c r="AV1362" s="233" t="str">
        <f>VLOOKUP(Table8[[#This Row],[Country Code]],Table29[],7,FALSE)</f>
        <v>no</v>
      </c>
      <c r="AW1362" s="233" t="str">
        <f>VLOOKUP(Table8[[#This Row],[Country Code]],Table29[],8,FALSE)</f>
        <v>OECD</v>
      </c>
      <c r="AX1362" s="233" t="str">
        <f>VLOOKUP(Table8[[#This Row],[Country Code]],Table29[],9,FALSE)</f>
        <v>no</v>
      </c>
      <c r="AY1362" s="233" t="str">
        <f>VLOOKUP(Table8[[#This Row],[Country Code]],Table29[],10,FALSE)</f>
        <v>no</v>
      </c>
      <c r="AZ1362" s="235">
        <f>VLOOKUP(Table8[[#This Row],[Country Code]],Table29[],23,FALSE)</f>
        <v>712.10209803987004</v>
      </c>
      <c r="BA1362" s="235">
        <f>VLOOKUP(Table8[[#This Row],[Country Code]],Table29[],24,FALSE)</f>
        <v>132.220611733639</v>
      </c>
      <c r="BB1362" s="320"/>
      <c r="BC1362" s="320"/>
    </row>
    <row r="1363" spans="1:55" hidden="1" x14ac:dyDescent="0.25">
      <c r="A1363" s="360">
        <v>32507</v>
      </c>
      <c r="B1363" s="233" t="str">
        <f>VLOOKUP(Table8[[#This Row],[Document ID]],Table1[],2,FALSE)</f>
        <v>MEX</v>
      </c>
      <c r="C1363" s="233" t="str">
        <f>VLOOKUP(Table8[[#This Row],[Document ID]],Table1[],3,FALSE)</f>
        <v>Mexico</v>
      </c>
      <c r="D1363" s="233" t="str">
        <f>VLOOKUP(Table8[[#This Row],[Document ID]],Table1[],5,FALSE)</f>
        <v>NDC</v>
      </c>
      <c r="E1363" s="233" t="str">
        <f>VLOOKUP(Table8[[#This Row],[Document ID]],Table1[],7,FALSE)</f>
        <v>First NDC updated</v>
      </c>
      <c r="F1363" s="233" t="str">
        <f>VLOOKUP(Table8[[#This Row],[Document ID]],Table1[],8,FALSE)</f>
        <v>NDC 1.2</v>
      </c>
      <c r="G1363" s="233" t="str">
        <f>VLOOKUP(Table8[[#This Row],[Document ID]],Table1[],10,FALSE)</f>
        <v>Active</v>
      </c>
      <c r="H1363" s="43" t="s">
        <v>2350</v>
      </c>
      <c r="I1363" s="43" t="s">
        <v>2456</v>
      </c>
      <c r="J1363" s="44" t="s">
        <v>2466</v>
      </c>
      <c r="K1363" s="44" t="s">
        <v>3616</v>
      </c>
      <c r="L1363" s="44" t="s">
        <v>2347</v>
      </c>
      <c r="M1363" s="43">
        <v>11</v>
      </c>
      <c r="N1363" s="113"/>
      <c r="O1363" s="113"/>
      <c r="P1363" s="113"/>
      <c r="Q1363" s="113"/>
      <c r="R1363" s="113"/>
      <c r="S1363" s="113"/>
      <c r="T1363" s="113"/>
      <c r="U1363" s="113"/>
      <c r="V1363" s="113"/>
      <c r="W1363" s="113"/>
      <c r="X1363" s="113"/>
      <c r="Y1363" s="113"/>
      <c r="Z1363" s="113" t="s">
        <v>1113</v>
      </c>
      <c r="AA1363" s="113"/>
      <c r="AB1363" s="113"/>
      <c r="AC1363" s="113"/>
      <c r="AD1363" s="113"/>
      <c r="AE1363" s="113"/>
      <c r="AF1363" s="113"/>
      <c r="AG1363" s="113"/>
      <c r="AH1363" s="113"/>
      <c r="AI1363" s="113"/>
      <c r="AJ1363" s="113"/>
      <c r="AK1363" s="113" t="s">
        <v>1113</v>
      </c>
      <c r="AL1363" s="113"/>
      <c r="AM1363" s="113"/>
      <c r="AN1363" s="113"/>
      <c r="AO1363" s="43" t="s">
        <v>2477</v>
      </c>
      <c r="AP1363" s="43"/>
      <c r="AQ1363" s="236" t="str">
        <f>VLOOKUP(Table8[[#This Row],[Instrument]],Def_Targets!$D$73:$E$159,2,FALSE)</f>
        <v>S_Infraexpansion</v>
      </c>
      <c r="AR1363" s="233" t="str">
        <f>VLOOKUP(Table8[[#This Row],[Country Code]],Table29[],3,FALSE)</f>
        <v>Non-Annex I</v>
      </c>
      <c r="AS1363" s="233" t="str">
        <f>VLOOKUP(Table8[[#This Row],[Country Code]],Table29[],4,FALSE)</f>
        <v>Latin America and the Caribbean</v>
      </c>
      <c r="AT1363" s="233" t="str">
        <f>VLOOKUP(Table8[[#This Row],[Country Code]],Table29[],5,FALSE)</f>
        <v>Middle-income</v>
      </c>
      <c r="AU1363" s="233" t="str">
        <f>VLOOKUP(Table8[[#This Row],[Country Code]],Table29[],6,FALSE)</f>
        <v>G20</v>
      </c>
      <c r="AV1363" s="233" t="str">
        <f>VLOOKUP(Table8[[#This Row],[Country Code]],Table29[],7,FALSE)</f>
        <v>no</v>
      </c>
      <c r="AW1363" s="233" t="str">
        <f>VLOOKUP(Table8[[#This Row],[Country Code]],Table29[],8,FALSE)</f>
        <v>OECD</v>
      </c>
      <c r="AX1363" s="233" t="str">
        <f>VLOOKUP(Table8[[#This Row],[Country Code]],Table29[],9,FALSE)</f>
        <v>no</v>
      </c>
      <c r="AY1363" s="233" t="str">
        <f>VLOOKUP(Table8[[#This Row],[Country Code]],Table29[],10,FALSE)</f>
        <v>no</v>
      </c>
      <c r="AZ1363" s="235">
        <f>VLOOKUP(Table8[[#This Row],[Country Code]],Table29[],23,FALSE)</f>
        <v>712.10209803987004</v>
      </c>
      <c r="BA1363" s="235">
        <f>VLOOKUP(Table8[[#This Row],[Country Code]],Table29[],24,FALSE)</f>
        <v>132.220611733639</v>
      </c>
      <c r="BB1363" s="320"/>
      <c r="BC1363" s="320"/>
    </row>
    <row r="1364" spans="1:55" ht="30" hidden="1" x14ac:dyDescent="0.25">
      <c r="A1364" s="360">
        <v>32507</v>
      </c>
      <c r="B1364" s="233" t="str">
        <f>VLOOKUP(Table8[[#This Row],[Document ID]],Table1[],2,FALSE)</f>
        <v>MEX</v>
      </c>
      <c r="C1364" s="233" t="str">
        <f>VLOOKUP(Table8[[#This Row],[Document ID]],Table1[],3,FALSE)</f>
        <v>Mexico</v>
      </c>
      <c r="D1364" s="233" t="str">
        <f>VLOOKUP(Table8[[#This Row],[Document ID]],Table1[],5,FALSE)</f>
        <v>NDC</v>
      </c>
      <c r="E1364" s="233" t="str">
        <f>VLOOKUP(Table8[[#This Row],[Document ID]],Table1[],7,FALSE)</f>
        <v>First NDC updated</v>
      </c>
      <c r="F1364" s="233" t="str">
        <f>VLOOKUP(Table8[[#This Row],[Document ID]],Table1[],8,FALSE)</f>
        <v>NDC 1.2</v>
      </c>
      <c r="G1364" s="233" t="str">
        <f>VLOOKUP(Table8[[#This Row],[Document ID]],Table1[],10,FALSE)</f>
        <v>Active</v>
      </c>
      <c r="H1364" s="43" t="s">
        <v>2343</v>
      </c>
      <c r="I1364" s="43" t="s">
        <v>2377</v>
      </c>
      <c r="J1364" s="44" t="s">
        <v>2378</v>
      </c>
      <c r="K1364" s="44" t="s">
        <v>3617</v>
      </c>
      <c r="L1364" s="44" t="s">
        <v>2380</v>
      </c>
      <c r="M1364" s="43">
        <v>11</v>
      </c>
      <c r="N1364" s="113" t="s">
        <v>1113</v>
      </c>
      <c r="O1364" s="113"/>
      <c r="P1364" s="113"/>
      <c r="Q1364" s="113"/>
      <c r="R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t="s">
        <v>1113</v>
      </c>
      <c r="AL1364" s="113"/>
      <c r="AM1364" s="113"/>
      <c r="AN1364" s="113"/>
      <c r="AO1364" s="44" t="s">
        <v>2334</v>
      </c>
      <c r="AP1364" s="43"/>
      <c r="AQ1364" s="236" t="str">
        <f>VLOOKUP(Table8[[#This Row],[Instrument]],Def_Targets!$D$73:$E$159,2,FALSE)</f>
        <v>A_Commute</v>
      </c>
      <c r="AR1364" s="233" t="str">
        <f>VLOOKUP(Table8[[#This Row],[Country Code]],Table29[],3,FALSE)</f>
        <v>Non-Annex I</v>
      </c>
      <c r="AS1364" s="233" t="str">
        <f>VLOOKUP(Table8[[#This Row],[Country Code]],Table29[],4,FALSE)</f>
        <v>Latin America and the Caribbean</v>
      </c>
      <c r="AT1364" s="233" t="str">
        <f>VLOOKUP(Table8[[#This Row],[Country Code]],Table29[],5,FALSE)</f>
        <v>Middle-income</v>
      </c>
      <c r="AU1364" s="233" t="str">
        <f>VLOOKUP(Table8[[#This Row],[Country Code]],Table29[],6,FALSE)</f>
        <v>G20</v>
      </c>
      <c r="AV1364" s="233" t="str">
        <f>VLOOKUP(Table8[[#This Row],[Country Code]],Table29[],7,FALSE)</f>
        <v>no</v>
      </c>
      <c r="AW1364" s="233" t="str">
        <f>VLOOKUP(Table8[[#This Row],[Country Code]],Table29[],8,FALSE)</f>
        <v>OECD</v>
      </c>
      <c r="AX1364" s="233" t="str">
        <f>VLOOKUP(Table8[[#This Row],[Country Code]],Table29[],9,FALSE)</f>
        <v>no</v>
      </c>
      <c r="AY1364" s="233" t="str">
        <f>VLOOKUP(Table8[[#This Row],[Country Code]],Table29[],10,FALSE)</f>
        <v>no</v>
      </c>
      <c r="AZ1364" s="235">
        <f>VLOOKUP(Table8[[#This Row],[Country Code]],Table29[],23,FALSE)</f>
        <v>712.10209803987004</v>
      </c>
      <c r="BA1364" s="235">
        <f>VLOOKUP(Table8[[#This Row],[Country Code]],Table29[],24,FALSE)</f>
        <v>132.220611733639</v>
      </c>
      <c r="BB1364" s="320"/>
      <c r="BC1364" s="320"/>
    </row>
    <row r="1365" spans="1:55" ht="30" hidden="1" x14ac:dyDescent="0.25">
      <c r="A1365" s="360">
        <v>32507</v>
      </c>
      <c r="B1365" s="233" t="str">
        <f>VLOOKUP(Table8[[#This Row],[Document ID]],Table1[],2,FALSE)</f>
        <v>MEX</v>
      </c>
      <c r="C1365" s="233" t="str">
        <f>VLOOKUP(Table8[[#This Row],[Document ID]],Table1[],3,FALSE)</f>
        <v>Mexico</v>
      </c>
      <c r="D1365" s="233" t="str">
        <f>VLOOKUP(Table8[[#This Row],[Document ID]],Table1[],5,FALSE)</f>
        <v>NDC</v>
      </c>
      <c r="E1365" s="233" t="str">
        <f>VLOOKUP(Table8[[#This Row],[Document ID]],Table1[],7,FALSE)</f>
        <v>First NDC updated</v>
      </c>
      <c r="F1365" s="233" t="str">
        <f>VLOOKUP(Table8[[#This Row],[Document ID]],Table1[],8,FALSE)</f>
        <v>NDC 1.2</v>
      </c>
      <c r="G1365" s="233" t="str">
        <f>VLOOKUP(Table8[[#This Row],[Document ID]],Table1[],10,FALSE)</f>
        <v>Active</v>
      </c>
      <c r="H1365" s="43" t="s">
        <v>2350</v>
      </c>
      <c r="I1365" s="43" t="s">
        <v>2370</v>
      </c>
      <c r="J1365" s="44" t="s">
        <v>2581</v>
      </c>
      <c r="K1365" s="44" t="s">
        <v>3618</v>
      </c>
      <c r="L1365" s="44" t="s">
        <v>2373</v>
      </c>
      <c r="M1365" s="43">
        <v>12</v>
      </c>
      <c r="N1365" s="113" t="s">
        <v>1113</v>
      </c>
      <c r="O1365" s="113"/>
      <c r="P1365" s="113"/>
      <c r="Q1365" s="113"/>
      <c r="R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t="s">
        <v>1113</v>
      </c>
      <c r="AM1365" s="113"/>
      <c r="AN1365" s="113"/>
      <c r="AO1365" s="44" t="s">
        <v>2334</v>
      </c>
      <c r="AP1365" s="43"/>
      <c r="AQ1365" s="236" t="str">
        <f>VLOOKUP(Table8[[#This Row],[Instrument]],Def_Targets!$D$73:$E$159,2,FALSE)</f>
        <v>A_SUMP</v>
      </c>
      <c r="AR1365" s="233" t="str">
        <f>VLOOKUP(Table8[[#This Row],[Country Code]],Table29[],3,FALSE)</f>
        <v>Non-Annex I</v>
      </c>
      <c r="AS1365" s="233" t="str">
        <f>VLOOKUP(Table8[[#This Row],[Country Code]],Table29[],4,FALSE)</f>
        <v>Latin America and the Caribbean</v>
      </c>
      <c r="AT1365" s="233" t="str">
        <f>VLOOKUP(Table8[[#This Row],[Country Code]],Table29[],5,FALSE)</f>
        <v>Middle-income</v>
      </c>
      <c r="AU1365" s="233" t="str">
        <f>VLOOKUP(Table8[[#This Row],[Country Code]],Table29[],6,FALSE)</f>
        <v>G20</v>
      </c>
      <c r="AV1365" s="233" t="str">
        <f>VLOOKUP(Table8[[#This Row],[Country Code]],Table29[],7,FALSE)</f>
        <v>no</v>
      </c>
      <c r="AW1365" s="233" t="str">
        <f>VLOOKUP(Table8[[#This Row],[Country Code]],Table29[],8,FALSE)</f>
        <v>OECD</v>
      </c>
      <c r="AX1365" s="233" t="str">
        <f>VLOOKUP(Table8[[#This Row],[Country Code]],Table29[],9,FALSE)</f>
        <v>no</v>
      </c>
      <c r="AY1365" s="233" t="str">
        <f>VLOOKUP(Table8[[#This Row],[Country Code]],Table29[],10,FALSE)</f>
        <v>no</v>
      </c>
      <c r="AZ1365" s="235">
        <f>VLOOKUP(Table8[[#This Row],[Country Code]],Table29[],23,FALSE)</f>
        <v>712.10209803987004</v>
      </c>
      <c r="BA1365" s="235">
        <f>VLOOKUP(Table8[[#This Row],[Country Code]],Table29[],24,FALSE)</f>
        <v>132.220611733639</v>
      </c>
      <c r="BB1365" s="320"/>
      <c r="BC1365" s="320"/>
    </row>
    <row r="1366" spans="1:55" ht="30" hidden="1" x14ac:dyDescent="0.25">
      <c r="A1366" s="373">
        <v>32508</v>
      </c>
      <c r="B1366" s="233" t="str">
        <f>VLOOKUP(Table8[[#This Row],[Document ID]],Table1[],2,FALSE)</f>
        <v>FSM</v>
      </c>
      <c r="C1366" s="233" t="str">
        <f>VLOOKUP(Table8[[#This Row],[Document ID]],Table1[],3,FALSE)</f>
        <v>Micronesia (Federated States of)</v>
      </c>
      <c r="D1366" s="243" t="str">
        <f>VLOOKUP(Table8[[#This Row],[Document ID]],Table1[],5,FALSE)</f>
        <v>NDC</v>
      </c>
      <c r="E1366" s="233" t="str">
        <f>VLOOKUP(Table8[[#This Row],[Document ID]],Table1[],7,FALSE)</f>
        <v>First NDC updated</v>
      </c>
      <c r="F1366" s="233" t="str">
        <f>VLOOKUP(Table8[[#This Row],[Document ID]],Table1[],8,FALSE)</f>
        <v>NDC 1.1</v>
      </c>
      <c r="G1366" s="233" t="str">
        <f>VLOOKUP(Table8[[#This Row],[Document ID]],Table1[],10,FALSE)</f>
        <v>Active</v>
      </c>
      <c r="H1366" s="43" t="s">
        <v>2484</v>
      </c>
      <c r="I1366" s="43" t="s">
        <v>2485</v>
      </c>
      <c r="J1366" s="44" t="s">
        <v>2486</v>
      </c>
      <c r="K1366" s="44" t="s">
        <v>3619</v>
      </c>
      <c r="L1366" s="44" t="s">
        <v>2333</v>
      </c>
      <c r="M1366" s="43">
        <v>6</v>
      </c>
      <c r="N1366" s="113"/>
      <c r="O1366" s="113"/>
      <c r="P1366" s="113"/>
      <c r="Q1366" s="113"/>
      <c r="R1366" s="113"/>
      <c r="S1366" s="113"/>
      <c r="T1366" s="113"/>
      <c r="U1366" s="113"/>
      <c r="V1366" s="113"/>
      <c r="W1366" s="113"/>
      <c r="X1366" s="113"/>
      <c r="Y1366" s="113"/>
      <c r="Z1366" s="113"/>
      <c r="AA1366" s="113"/>
      <c r="AB1366" s="113"/>
      <c r="AC1366" s="113"/>
      <c r="AD1366" s="113" t="s">
        <v>1113</v>
      </c>
      <c r="AE1366" s="113"/>
      <c r="AF1366" s="113"/>
      <c r="AG1366" s="113"/>
      <c r="AH1366" s="113"/>
      <c r="AI1366" s="113"/>
      <c r="AJ1366" s="113"/>
      <c r="AK1366" s="113" t="s">
        <v>1113</v>
      </c>
      <c r="AL1366" s="113"/>
      <c r="AM1366" s="113"/>
      <c r="AN1366" s="113"/>
      <c r="AO1366" s="44" t="s">
        <v>2334</v>
      </c>
      <c r="AP1366" s="43"/>
      <c r="AQ1366" s="236" t="str">
        <f>VLOOKUP(Table8[[#This Row],[Instrument]],Def_Targets!$D$73:$E$159,2,FALSE)</f>
        <v>I_Shipping</v>
      </c>
      <c r="AR1366" s="233" t="str">
        <f>VLOOKUP(Table8[[#This Row],[Country Code]],Table29[],3,FALSE)</f>
        <v>Non-Annex I</v>
      </c>
      <c r="AS1366" s="233" t="str">
        <f>VLOOKUP(Table8[[#This Row],[Country Code]],Table29[],4,FALSE)</f>
        <v>Oceania</v>
      </c>
      <c r="AT1366" s="233" t="str">
        <f>VLOOKUP(Table8[[#This Row],[Country Code]],Table29[],5,FALSE)</f>
        <v>Middle-income</v>
      </c>
      <c r="AU1366" s="233" t="str">
        <f>VLOOKUP(Table8[[#This Row],[Country Code]],Table29[],6,FALSE)</f>
        <v>no</v>
      </c>
      <c r="AV1366" s="233" t="str">
        <f>VLOOKUP(Table8[[#This Row],[Country Code]],Table29[],7,FALSE)</f>
        <v>no</v>
      </c>
      <c r="AW1366" s="233" t="str">
        <f>VLOOKUP(Table8[[#This Row],[Country Code]],Table29[],8,FALSE)</f>
        <v>non-OECD</v>
      </c>
      <c r="AX1366" s="233" t="str">
        <f>VLOOKUP(Table8[[#This Row],[Country Code]],Table29[],9,FALSE)</f>
        <v>no</v>
      </c>
      <c r="AY1366" s="233" t="str">
        <f>VLOOKUP(Table8[[#This Row],[Country Code]],Table29[],10,FALSE)</f>
        <v>no</v>
      </c>
      <c r="AZ1366" s="235">
        <f>VLOOKUP(Table8[[#This Row],[Country Code]],Table29[],23,FALSE)</f>
        <v>0</v>
      </c>
      <c r="BA1366" s="235">
        <f>VLOOKUP(Table8[[#This Row],[Country Code]],Table29[],24,FALSE)</f>
        <v>0</v>
      </c>
      <c r="BB1366" s="320"/>
      <c r="BC1366" s="320"/>
    </row>
    <row r="1367" spans="1:55" ht="30" hidden="1" x14ac:dyDescent="0.25">
      <c r="A1367" s="373">
        <v>32508</v>
      </c>
      <c r="B1367" s="233" t="str">
        <f>VLOOKUP(Table8[[#This Row],[Document ID]],Table1[],2,FALSE)</f>
        <v>FSM</v>
      </c>
      <c r="C1367" s="233" t="str">
        <f>VLOOKUP(Table8[[#This Row],[Document ID]],Table1[],3,FALSE)</f>
        <v>Micronesia (Federated States of)</v>
      </c>
      <c r="D1367" s="243" t="str">
        <f>VLOOKUP(Table8[[#This Row],[Document ID]],Table1[],5,FALSE)</f>
        <v>NDC</v>
      </c>
      <c r="E1367" s="233" t="str">
        <f>VLOOKUP(Table8[[#This Row],[Document ID]],Table1[],7,FALSE)</f>
        <v>First NDC updated</v>
      </c>
      <c r="F1367" s="233" t="str">
        <f>VLOOKUP(Table8[[#This Row],[Document ID]],Table1[],8,FALSE)</f>
        <v>NDC 1.1</v>
      </c>
      <c r="G1367" s="233" t="str">
        <f>VLOOKUP(Table8[[#This Row],[Document ID]],Table1[],10,FALSE)</f>
        <v>Active</v>
      </c>
      <c r="H1367" s="43" t="s">
        <v>2358</v>
      </c>
      <c r="I1367" s="43" t="s">
        <v>2359</v>
      </c>
      <c r="J1367" s="44" t="s">
        <v>2360</v>
      </c>
      <c r="K1367" s="44" t="s">
        <v>3620</v>
      </c>
      <c r="L1367" s="44" t="s">
        <v>2333</v>
      </c>
      <c r="M1367" s="43">
        <v>31</v>
      </c>
      <c r="N1367" s="113" t="s">
        <v>1113</v>
      </c>
      <c r="O1367" s="113"/>
      <c r="P1367" s="113"/>
      <c r="Q1367" s="113"/>
      <c r="R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t="s">
        <v>1113</v>
      </c>
      <c r="AL1367" s="113"/>
      <c r="AM1367" s="113"/>
      <c r="AN1367" s="113"/>
      <c r="AO1367" s="44" t="s">
        <v>2334</v>
      </c>
      <c r="AP1367" s="43"/>
      <c r="AQ1367" s="236" t="str">
        <f>VLOOKUP(Table8[[#This Row],[Instrument]],Def_Targets!$D$73:$E$159,2,FALSE)</f>
        <v>I_Emobility</v>
      </c>
      <c r="AR1367" s="233" t="str">
        <f>VLOOKUP(Table8[[#This Row],[Country Code]],Table29[],3,FALSE)</f>
        <v>Non-Annex I</v>
      </c>
      <c r="AS1367" s="233" t="str">
        <f>VLOOKUP(Table8[[#This Row],[Country Code]],Table29[],4,FALSE)</f>
        <v>Oceania</v>
      </c>
      <c r="AT1367" s="233" t="str">
        <f>VLOOKUP(Table8[[#This Row],[Country Code]],Table29[],5,FALSE)</f>
        <v>Middle-income</v>
      </c>
      <c r="AU1367" s="233" t="str">
        <f>VLOOKUP(Table8[[#This Row],[Country Code]],Table29[],6,FALSE)</f>
        <v>no</v>
      </c>
      <c r="AV1367" s="233" t="str">
        <f>VLOOKUP(Table8[[#This Row],[Country Code]],Table29[],7,FALSE)</f>
        <v>no</v>
      </c>
      <c r="AW1367" s="233" t="str">
        <f>VLOOKUP(Table8[[#This Row],[Country Code]],Table29[],8,FALSE)</f>
        <v>non-OECD</v>
      </c>
      <c r="AX1367" s="233" t="str">
        <f>VLOOKUP(Table8[[#This Row],[Country Code]],Table29[],9,FALSE)</f>
        <v>no</v>
      </c>
      <c r="AY1367" s="233" t="str">
        <f>VLOOKUP(Table8[[#This Row],[Country Code]],Table29[],10,FALSE)</f>
        <v>no</v>
      </c>
      <c r="AZ1367" s="235">
        <f>VLOOKUP(Table8[[#This Row],[Country Code]],Table29[],23,FALSE)</f>
        <v>0</v>
      </c>
      <c r="BA1367" s="235">
        <f>VLOOKUP(Table8[[#This Row],[Country Code]],Table29[],24,FALSE)</f>
        <v>0</v>
      </c>
      <c r="BB1367" s="320"/>
      <c r="BC1367" s="320"/>
    </row>
    <row r="1368" spans="1:55" hidden="1" x14ac:dyDescent="0.25">
      <c r="A1368" s="373">
        <v>32508</v>
      </c>
      <c r="B1368" s="233" t="str">
        <f>VLOOKUP(Table8[[#This Row],[Document ID]],Table1[],2,FALSE)</f>
        <v>FSM</v>
      </c>
      <c r="C1368" s="233" t="str">
        <f>VLOOKUP(Table8[[#This Row],[Document ID]],Table1[],3,FALSE)</f>
        <v>Micronesia (Federated States of)</v>
      </c>
      <c r="D1368" s="243" t="str">
        <f>VLOOKUP(Table8[[#This Row],[Document ID]],Table1[],5,FALSE)</f>
        <v>NDC</v>
      </c>
      <c r="E1368" s="233" t="str">
        <f>VLOOKUP(Table8[[#This Row],[Document ID]],Table1[],7,FALSE)</f>
        <v>First NDC updated</v>
      </c>
      <c r="F1368" s="233" t="str">
        <f>VLOOKUP(Table8[[#This Row],[Document ID]],Table1[],8,FALSE)</f>
        <v>NDC 1.1</v>
      </c>
      <c r="G1368" s="233" t="str">
        <f>VLOOKUP(Table8[[#This Row],[Document ID]],Table1[],10,FALSE)</f>
        <v>Active</v>
      </c>
      <c r="H1368" s="44" t="s">
        <v>2329</v>
      </c>
      <c r="I1368" s="44" t="s">
        <v>2330</v>
      </c>
      <c r="J1368" s="44" t="s">
        <v>2381</v>
      </c>
      <c r="K1368" s="44" t="s">
        <v>3621</v>
      </c>
      <c r="L1368" s="44" t="s">
        <v>2333</v>
      </c>
      <c r="M1368" s="43">
        <v>32</v>
      </c>
      <c r="N1368" s="113"/>
      <c r="O1368" s="113"/>
      <c r="P1368" s="113"/>
      <c r="Q1368" s="113"/>
      <c r="R1368" s="113"/>
      <c r="S1368" s="113"/>
      <c r="T1368" s="113"/>
      <c r="U1368" s="113"/>
      <c r="V1368" s="113"/>
      <c r="W1368" s="113"/>
      <c r="X1368" s="113"/>
      <c r="Y1368" s="113"/>
      <c r="Z1368" s="113"/>
      <c r="AA1368" s="113"/>
      <c r="AB1368" s="113"/>
      <c r="AC1368" s="113"/>
      <c r="AD1368" s="113" t="s">
        <v>1113</v>
      </c>
      <c r="AE1368" s="113"/>
      <c r="AF1368" s="113"/>
      <c r="AG1368" s="113"/>
      <c r="AH1368" s="113"/>
      <c r="AI1368" s="113"/>
      <c r="AJ1368" s="113"/>
      <c r="AK1368" s="113" t="s">
        <v>1113</v>
      </c>
      <c r="AL1368" s="113"/>
      <c r="AM1368" s="113"/>
      <c r="AN1368" s="113"/>
      <c r="AO1368" s="44" t="s">
        <v>2334</v>
      </c>
      <c r="AP1368" s="43"/>
      <c r="AQ1368" s="236" t="str">
        <f>VLOOKUP(Table8[[#This Row],[Instrument]],Def_Targets!$D$73:$E$159,2,FALSE)</f>
        <v>I_RE</v>
      </c>
      <c r="AR1368" s="233" t="str">
        <f>VLOOKUP(Table8[[#This Row],[Country Code]],Table29[],3,FALSE)</f>
        <v>Non-Annex I</v>
      </c>
      <c r="AS1368" s="233" t="str">
        <f>VLOOKUP(Table8[[#This Row],[Country Code]],Table29[],4,FALSE)</f>
        <v>Oceania</v>
      </c>
      <c r="AT1368" s="233" t="str">
        <f>VLOOKUP(Table8[[#This Row],[Country Code]],Table29[],5,FALSE)</f>
        <v>Middle-income</v>
      </c>
      <c r="AU1368" s="233" t="str">
        <f>VLOOKUP(Table8[[#This Row],[Country Code]],Table29[],6,FALSE)</f>
        <v>no</v>
      </c>
      <c r="AV1368" s="233" t="str">
        <f>VLOOKUP(Table8[[#This Row],[Country Code]],Table29[],7,FALSE)</f>
        <v>no</v>
      </c>
      <c r="AW1368" s="233" t="str">
        <f>VLOOKUP(Table8[[#This Row],[Country Code]],Table29[],8,FALSE)</f>
        <v>non-OECD</v>
      </c>
      <c r="AX1368" s="233" t="str">
        <f>VLOOKUP(Table8[[#This Row],[Country Code]],Table29[],9,FALSE)</f>
        <v>no</v>
      </c>
      <c r="AY1368" s="233" t="str">
        <f>VLOOKUP(Table8[[#This Row],[Country Code]],Table29[],10,FALSE)</f>
        <v>no</v>
      </c>
      <c r="AZ1368" s="235">
        <f>VLOOKUP(Table8[[#This Row],[Country Code]],Table29[],23,FALSE)</f>
        <v>0</v>
      </c>
      <c r="BA1368" s="235">
        <f>VLOOKUP(Table8[[#This Row],[Country Code]],Table29[],24,FALSE)</f>
        <v>0</v>
      </c>
      <c r="BB1368" s="320"/>
      <c r="BC1368" s="320"/>
    </row>
    <row r="1369" spans="1:55" ht="30" hidden="1" x14ac:dyDescent="0.25">
      <c r="A1369" s="373">
        <v>32508</v>
      </c>
      <c r="B1369" s="233" t="str">
        <f>VLOOKUP(Table8[[#This Row],[Document ID]],Table1[],2,FALSE)</f>
        <v>FSM</v>
      </c>
      <c r="C1369" s="233" t="str">
        <f>VLOOKUP(Table8[[#This Row],[Document ID]],Table1[],3,FALSE)</f>
        <v>Micronesia (Federated States of)</v>
      </c>
      <c r="D1369" s="243" t="str">
        <f>VLOOKUP(Table8[[#This Row],[Document ID]],Table1[],5,FALSE)</f>
        <v>NDC</v>
      </c>
      <c r="E1369" s="233" t="str">
        <f>VLOOKUP(Table8[[#This Row],[Document ID]],Table1[],7,FALSE)</f>
        <v>First NDC updated</v>
      </c>
      <c r="F1369" s="233" t="str">
        <f>VLOOKUP(Table8[[#This Row],[Document ID]],Table1[],8,FALSE)</f>
        <v>NDC 1.1</v>
      </c>
      <c r="G1369" s="233" t="str">
        <f>VLOOKUP(Table8[[#This Row],[Document ID]],Table1[],10,FALSE)</f>
        <v>Active</v>
      </c>
      <c r="H1369" s="43" t="s">
        <v>2484</v>
      </c>
      <c r="I1369" s="43" t="s">
        <v>2485</v>
      </c>
      <c r="J1369" s="44" t="s">
        <v>2775</v>
      </c>
      <c r="K1369" s="44" t="s">
        <v>3622</v>
      </c>
      <c r="L1369" s="44" t="s">
        <v>2333</v>
      </c>
      <c r="M1369" s="43">
        <v>32</v>
      </c>
      <c r="N1369" s="113"/>
      <c r="O1369" s="113"/>
      <c r="P1369" s="113"/>
      <c r="Q1369" s="113"/>
      <c r="R1369" s="113"/>
      <c r="S1369" s="113"/>
      <c r="T1369" s="113"/>
      <c r="U1369" s="113"/>
      <c r="V1369" s="113"/>
      <c r="W1369" s="113"/>
      <c r="X1369" s="113"/>
      <c r="Y1369" s="113"/>
      <c r="Z1369" s="113"/>
      <c r="AA1369" s="113"/>
      <c r="AB1369" s="113"/>
      <c r="AC1369" s="113"/>
      <c r="AD1369" s="113" t="s">
        <v>1113</v>
      </c>
      <c r="AE1369" s="113"/>
      <c r="AF1369" s="113"/>
      <c r="AG1369" s="113"/>
      <c r="AH1369" s="113"/>
      <c r="AI1369" s="113"/>
      <c r="AJ1369" s="113"/>
      <c r="AK1369" s="113" t="s">
        <v>1113</v>
      </c>
      <c r="AL1369" s="113"/>
      <c r="AM1369" s="113"/>
      <c r="AN1369" s="113"/>
      <c r="AO1369" s="44" t="s">
        <v>2334</v>
      </c>
      <c r="AP1369" s="43"/>
      <c r="AQ1369" s="236" t="str">
        <f>VLOOKUP(Table8[[#This Row],[Instrument]],Def_Targets!$D$73:$E$159,2,FALSE)</f>
        <v>I_Onshorepower</v>
      </c>
      <c r="AR1369" s="233" t="str">
        <f>VLOOKUP(Table8[[#This Row],[Country Code]],Table29[],3,FALSE)</f>
        <v>Non-Annex I</v>
      </c>
      <c r="AS1369" s="233" t="str">
        <f>VLOOKUP(Table8[[#This Row],[Country Code]],Table29[],4,FALSE)</f>
        <v>Oceania</v>
      </c>
      <c r="AT1369" s="233" t="str">
        <f>VLOOKUP(Table8[[#This Row],[Country Code]],Table29[],5,FALSE)</f>
        <v>Middle-income</v>
      </c>
      <c r="AU1369" s="233" t="str">
        <f>VLOOKUP(Table8[[#This Row],[Country Code]],Table29[],6,FALSE)</f>
        <v>no</v>
      </c>
      <c r="AV1369" s="233" t="str">
        <f>VLOOKUP(Table8[[#This Row],[Country Code]],Table29[],7,FALSE)</f>
        <v>no</v>
      </c>
      <c r="AW1369" s="233" t="str">
        <f>VLOOKUP(Table8[[#This Row],[Country Code]],Table29[],8,FALSE)</f>
        <v>non-OECD</v>
      </c>
      <c r="AX1369" s="233" t="str">
        <f>VLOOKUP(Table8[[#This Row],[Country Code]],Table29[],9,FALSE)</f>
        <v>no</v>
      </c>
      <c r="AY1369" s="233" t="str">
        <f>VLOOKUP(Table8[[#This Row],[Country Code]],Table29[],10,FALSE)</f>
        <v>no</v>
      </c>
      <c r="AZ1369" s="235">
        <f>VLOOKUP(Table8[[#This Row],[Country Code]],Table29[],23,FALSE)</f>
        <v>0</v>
      </c>
      <c r="BA1369" s="235">
        <f>VLOOKUP(Table8[[#This Row],[Country Code]],Table29[],24,FALSE)</f>
        <v>0</v>
      </c>
      <c r="BB1369" s="320"/>
      <c r="BC1369" s="320"/>
    </row>
    <row r="1370" spans="1:55" ht="30" hidden="1" x14ac:dyDescent="0.25">
      <c r="A1370" s="373">
        <v>17665</v>
      </c>
      <c r="B1370" s="233" t="str">
        <f>VLOOKUP(Table8[[#This Row],[Document ID]],Table1[],2,FALSE)</f>
        <v>MCO</v>
      </c>
      <c r="C1370" s="233" t="str">
        <f>VLOOKUP(Table8[[#This Row],[Document ID]],Table1[],3,FALSE)</f>
        <v>Monaco</v>
      </c>
      <c r="D1370" s="243" t="str">
        <f>VLOOKUP(Table8[[#This Row],[Document ID]],Table1[],5,FALSE)</f>
        <v>NDC</v>
      </c>
      <c r="E1370" s="233" t="str">
        <f>VLOOKUP(Table8[[#This Row],[Document ID]],Table1[],7,FALSE)</f>
        <v>First NDC updated</v>
      </c>
      <c r="F1370" s="233" t="str">
        <f>VLOOKUP(Table8[[#This Row],[Document ID]],Table1[],8,FALSE)</f>
        <v>NDC 1.1</v>
      </c>
      <c r="G1370" s="233" t="str">
        <f>VLOOKUP(Table8[[#This Row],[Document ID]],Table1[],10,FALSE)</f>
        <v>Active</v>
      </c>
      <c r="H1370" s="43" t="s">
        <v>2343</v>
      </c>
      <c r="I1370" s="43" t="s">
        <v>2377</v>
      </c>
      <c r="J1370" s="44" t="s">
        <v>2394</v>
      </c>
      <c r="K1370" s="44" t="s">
        <v>3623</v>
      </c>
      <c r="L1370" s="44" t="s">
        <v>2396</v>
      </c>
      <c r="M1370" s="43">
        <v>27</v>
      </c>
      <c r="N1370" s="113"/>
      <c r="O1370" s="113"/>
      <c r="P1370" s="113" t="s">
        <v>1113</v>
      </c>
      <c r="Q1370" s="113"/>
      <c r="R1370" s="113"/>
      <c r="S1370" s="113"/>
      <c r="T1370" s="113"/>
      <c r="U1370" s="113"/>
      <c r="V1370" s="113"/>
      <c r="W1370" s="113"/>
      <c r="X1370" s="113"/>
      <c r="Y1370" s="113" t="s">
        <v>1113</v>
      </c>
      <c r="Z1370" s="113"/>
      <c r="AA1370" s="113"/>
      <c r="AB1370" s="113"/>
      <c r="AC1370" s="113" t="s">
        <v>1113</v>
      </c>
      <c r="AD1370" s="113"/>
      <c r="AE1370" s="113"/>
      <c r="AF1370" s="113"/>
      <c r="AG1370" s="113"/>
      <c r="AH1370" s="113"/>
      <c r="AI1370" s="113"/>
      <c r="AJ1370" s="113"/>
      <c r="AK1370" s="113"/>
      <c r="AL1370" s="113" t="s">
        <v>1113</v>
      </c>
      <c r="AM1370" s="113"/>
      <c r="AN1370" s="113"/>
      <c r="AO1370" s="43" t="s">
        <v>2348</v>
      </c>
      <c r="AP1370" s="43"/>
      <c r="AQ1370" s="236" t="str">
        <f>VLOOKUP(Table8[[#This Row],[Instrument]],Def_Targets!$D$73:$E$159,2,FALSE)</f>
        <v>A_TDM</v>
      </c>
      <c r="AR1370" s="233" t="str">
        <f>VLOOKUP(Table8[[#This Row],[Country Code]],Table29[],3,FALSE)</f>
        <v>Annex I</v>
      </c>
      <c r="AS1370" s="233" t="str">
        <f>VLOOKUP(Table8[[#This Row],[Country Code]],Table29[],4,FALSE)</f>
        <v>Europe</v>
      </c>
      <c r="AT1370" s="233" t="str">
        <f>VLOOKUP(Table8[[#This Row],[Country Code]],Table29[],5,FALSE)</f>
        <v>High-income</v>
      </c>
      <c r="AU1370" s="233" t="str">
        <f>VLOOKUP(Table8[[#This Row],[Country Code]],Table29[],6,FALSE)</f>
        <v>no</v>
      </c>
      <c r="AV1370" s="233" t="str">
        <f>VLOOKUP(Table8[[#This Row],[Country Code]],Table29[],7,FALSE)</f>
        <v>no</v>
      </c>
      <c r="AW1370" s="233" t="str">
        <f>VLOOKUP(Table8[[#This Row],[Country Code]],Table29[],8,FALSE)</f>
        <v>non-OECD</v>
      </c>
      <c r="AX1370" s="233" t="str">
        <f>VLOOKUP(Table8[[#This Row],[Country Code]],Table29[],9,FALSE)</f>
        <v>no</v>
      </c>
      <c r="AY1370" s="233" t="str">
        <f>VLOOKUP(Table8[[#This Row],[Country Code]],Table29[],10,FALSE)</f>
        <v>no</v>
      </c>
      <c r="AZ1370" s="235">
        <f>VLOOKUP(Table8[[#This Row],[Country Code]],Table29[],23,FALSE)</f>
        <v>0</v>
      </c>
      <c r="BA1370" s="235">
        <f>VLOOKUP(Table8[[#This Row],[Country Code]],Table29[],24,FALSE)</f>
        <v>0</v>
      </c>
      <c r="BB1370" s="320"/>
      <c r="BC1370" s="320"/>
    </row>
    <row r="1371" spans="1:55" hidden="1" x14ac:dyDescent="0.25">
      <c r="A1371" s="373">
        <v>17665</v>
      </c>
      <c r="B1371" s="233" t="str">
        <f>VLOOKUP(Table8[[#This Row],[Document ID]],Table1[],2,FALSE)</f>
        <v>MCO</v>
      </c>
      <c r="C1371" s="233" t="str">
        <f>VLOOKUP(Table8[[#This Row],[Document ID]],Table1[],3,FALSE)</f>
        <v>Monaco</v>
      </c>
      <c r="D1371" s="243" t="str">
        <f>VLOOKUP(Table8[[#This Row],[Document ID]],Table1[],5,FALSE)</f>
        <v>NDC</v>
      </c>
      <c r="E1371" s="233" t="str">
        <f>VLOOKUP(Table8[[#This Row],[Document ID]],Table1[],7,FALSE)</f>
        <v>First NDC updated</v>
      </c>
      <c r="F1371" s="233" t="str">
        <f>VLOOKUP(Table8[[#This Row],[Document ID]],Table1[],8,FALSE)</f>
        <v>NDC 1.1</v>
      </c>
      <c r="G1371" s="233" t="str">
        <f>VLOOKUP(Table8[[#This Row],[Document ID]],Table1[],10,FALSE)</f>
        <v>Active</v>
      </c>
      <c r="H1371" s="43" t="s">
        <v>2343</v>
      </c>
      <c r="I1371" s="43" t="s">
        <v>2377</v>
      </c>
      <c r="J1371" s="44" t="s">
        <v>2535</v>
      </c>
      <c r="K1371" s="44" t="s">
        <v>3624</v>
      </c>
      <c r="L1371" s="44" t="s">
        <v>2396</v>
      </c>
      <c r="M1371" s="43">
        <v>27</v>
      </c>
      <c r="N1371" s="113"/>
      <c r="O1371" s="113"/>
      <c r="P1371" s="113"/>
      <c r="Q1371" s="113"/>
      <c r="R1371" s="113"/>
      <c r="S1371" s="113" t="s">
        <v>1113</v>
      </c>
      <c r="T1371" s="113"/>
      <c r="U1371" s="113"/>
      <c r="V1371" s="113"/>
      <c r="W1371" s="113"/>
      <c r="X1371" s="113"/>
      <c r="Y1371" s="113"/>
      <c r="Z1371" s="113"/>
      <c r="AA1371" s="113"/>
      <c r="AB1371" s="113"/>
      <c r="AC1371" s="113"/>
      <c r="AD1371" s="113"/>
      <c r="AE1371" s="113"/>
      <c r="AF1371" s="113"/>
      <c r="AG1371" s="113"/>
      <c r="AH1371" s="113"/>
      <c r="AI1371" s="113"/>
      <c r="AJ1371" s="113"/>
      <c r="AK1371" s="113"/>
      <c r="AL1371" s="113" t="s">
        <v>1113</v>
      </c>
      <c r="AM1371" s="113"/>
      <c r="AN1371" s="113"/>
      <c r="AO1371" s="43" t="s">
        <v>2348</v>
      </c>
      <c r="AP1371" s="43"/>
      <c r="AQ1371" s="236" t="str">
        <f>VLOOKUP(Table8[[#This Row],[Instrument]],Def_Targets!$D$73:$E$159,2,FALSE)</f>
        <v>S_Parking</v>
      </c>
      <c r="AR1371" s="233" t="str">
        <f>VLOOKUP(Table8[[#This Row],[Country Code]],Table29[],3,FALSE)</f>
        <v>Annex I</v>
      </c>
      <c r="AS1371" s="233" t="str">
        <f>VLOOKUP(Table8[[#This Row],[Country Code]],Table29[],4,FALSE)</f>
        <v>Europe</v>
      </c>
      <c r="AT1371" s="233" t="str">
        <f>VLOOKUP(Table8[[#This Row],[Country Code]],Table29[],5,FALSE)</f>
        <v>High-income</v>
      </c>
      <c r="AU1371" s="233" t="str">
        <f>VLOOKUP(Table8[[#This Row],[Country Code]],Table29[],6,FALSE)</f>
        <v>no</v>
      </c>
      <c r="AV1371" s="233" t="str">
        <f>VLOOKUP(Table8[[#This Row],[Country Code]],Table29[],7,FALSE)</f>
        <v>no</v>
      </c>
      <c r="AW1371" s="233" t="str">
        <f>VLOOKUP(Table8[[#This Row],[Country Code]],Table29[],8,FALSE)</f>
        <v>non-OECD</v>
      </c>
      <c r="AX1371" s="233" t="str">
        <f>VLOOKUP(Table8[[#This Row],[Country Code]],Table29[],9,FALSE)</f>
        <v>no</v>
      </c>
      <c r="AY1371" s="233" t="str">
        <f>VLOOKUP(Table8[[#This Row],[Country Code]],Table29[],10,FALSE)</f>
        <v>no</v>
      </c>
      <c r="AZ1371" s="235">
        <f>VLOOKUP(Table8[[#This Row],[Country Code]],Table29[],23,FALSE)</f>
        <v>0</v>
      </c>
      <c r="BA1371" s="235">
        <f>VLOOKUP(Table8[[#This Row],[Country Code]],Table29[],24,FALSE)</f>
        <v>0</v>
      </c>
      <c r="BB1371" s="320"/>
      <c r="BC1371" s="320"/>
    </row>
    <row r="1372" spans="1:55" ht="30" hidden="1" x14ac:dyDescent="0.25">
      <c r="A1372" s="373">
        <v>17665</v>
      </c>
      <c r="B1372" s="233" t="str">
        <f>VLOOKUP(Table8[[#This Row],[Document ID]],Table1[],2,FALSE)</f>
        <v>MCO</v>
      </c>
      <c r="C1372" s="233" t="str">
        <f>VLOOKUP(Table8[[#This Row],[Document ID]],Table1[],3,FALSE)</f>
        <v>Monaco</v>
      </c>
      <c r="D1372" s="243" t="str">
        <f>VLOOKUP(Table8[[#This Row],[Document ID]],Table1[],5,FALSE)</f>
        <v>NDC</v>
      </c>
      <c r="E1372" s="233" t="str">
        <f>VLOOKUP(Table8[[#This Row],[Document ID]],Table1[],7,FALSE)</f>
        <v>First NDC updated</v>
      </c>
      <c r="F1372" s="233" t="str">
        <f>VLOOKUP(Table8[[#This Row],[Document ID]],Table1[],8,FALSE)</f>
        <v>NDC 1.1</v>
      </c>
      <c r="G1372" s="233" t="str">
        <f>VLOOKUP(Table8[[#This Row],[Document ID]],Table1[],10,FALSE)</f>
        <v>Active</v>
      </c>
      <c r="H1372" s="43" t="s">
        <v>2343</v>
      </c>
      <c r="I1372" s="43" t="s">
        <v>2361</v>
      </c>
      <c r="J1372" s="44" t="s">
        <v>2362</v>
      </c>
      <c r="K1372" s="44" t="s">
        <v>3625</v>
      </c>
      <c r="L1372" s="44" t="s">
        <v>2347</v>
      </c>
      <c r="M1372" s="43">
        <v>27</v>
      </c>
      <c r="N1372" s="113"/>
      <c r="O1372" s="113"/>
      <c r="P1372" s="113"/>
      <c r="Q1372" s="113"/>
      <c r="R1372" s="113" t="s">
        <v>1113</v>
      </c>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t="s">
        <v>1113</v>
      </c>
      <c r="AM1372" s="113"/>
      <c r="AN1372" s="113"/>
      <c r="AO1372" s="44" t="s">
        <v>2334</v>
      </c>
      <c r="AP1372" s="43"/>
      <c r="AQ1372" s="236" t="str">
        <f>VLOOKUP(Table8[[#This Row],[Instrument]],Def_Targets!$D$73:$E$159,2,FALSE)</f>
        <v>S_Cycling</v>
      </c>
      <c r="AR1372" s="233" t="str">
        <f>VLOOKUP(Table8[[#This Row],[Country Code]],Table29[],3,FALSE)</f>
        <v>Annex I</v>
      </c>
      <c r="AS1372" s="233" t="str">
        <f>VLOOKUP(Table8[[#This Row],[Country Code]],Table29[],4,FALSE)</f>
        <v>Europe</v>
      </c>
      <c r="AT1372" s="233" t="str">
        <f>VLOOKUP(Table8[[#This Row],[Country Code]],Table29[],5,FALSE)</f>
        <v>High-income</v>
      </c>
      <c r="AU1372" s="233" t="str">
        <f>VLOOKUP(Table8[[#This Row],[Country Code]],Table29[],6,FALSE)</f>
        <v>no</v>
      </c>
      <c r="AV1372" s="233" t="str">
        <f>VLOOKUP(Table8[[#This Row],[Country Code]],Table29[],7,FALSE)</f>
        <v>no</v>
      </c>
      <c r="AW1372" s="233" t="str">
        <f>VLOOKUP(Table8[[#This Row],[Country Code]],Table29[],8,FALSE)</f>
        <v>non-OECD</v>
      </c>
      <c r="AX1372" s="233" t="str">
        <f>VLOOKUP(Table8[[#This Row],[Country Code]],Table29[],9,FALSE)</f>
        <v>no</v>
      </c>
      <c r="AY1372" s="233" t="str">
        <f>VLOOKUP(Table8[[#This Row],[Country Code]],Table29[],10,FALSE)</f>
        <v>no</v>
      </c>
      <c r="AZ1372" s="235">
        <f>VLOOKUP(Table8[[#This Row],[Country Code]],Table29[],23,FALSE)</f>
        <v>0</v>
      </c>
      <c r="BA1372" s="235">
        <f>VLOOKUP(Table8[[#This Row],[Country Code]],Table29[],24,FALSE)</f>
        <v>0</v>
      </c>
      <c r="BB1372" s="320"/>
      <c r="BC1372" s="320"/>
    </row>
    <row r="1373" spans="1:55" ht="30" hidden="1" x14ac:dyDescent="0.25">
      <c r="A1373" s="373">
        <v>17665</v>
      </c>
      <c r="B1373" s="233" t="str">
        <f>VLOOKUP(Table8[[#This Row],[Document ID]],Table1[],2,FALSE)</f>
        <v>MCO</v>
      </c>
      <c r="C1373" s="233" t="str">
        <f>VLOOKUP(Table8[[#This Row],[Document ID]],Table1[],3,FALSE)</f>
        <v>Monaco</v>
      </c>
      <c r="D1373" s="243" t="str">
        <f>VLOOKUP(Table8[[#This Row],[Document ID]],Table1[],5,FALSE)</f>
        <v>NDC</v>
      </c>
      <c r="E1373" s="233" t="str">
        <f>VLOOKUP(Table8[[#This Row],[Document ID]],Table1[],7,FALSE)</f>
        <v>First NDC updated</v>
      </c>
      <c r="F1373" s="233" t="str">
        <f>VLOOKUP(Table8[[#This Row],[Document ID]],Table1[],8,FALSE)</f>
        <v>NDC 1.1</v>
      </c>
      <c r="G1373" s="233" t="str">
        <f>VLOOKUP(Table8[[#This Row],[Document ID]],Table1[],10,FALSE)</f>
        <v>Active</v>
      </c>
      <c r="H1373" s="43" t="s">
        <v>2343</v>
      </c>
      <c r="I1373" s="43" t="s">
        <v>2361</v>
      </c>
      <c r="J1373" s="44" t="s">
        <v>2463</v>
      </c>
      <c r="K1373" s="44" t="s">
        <v>3625</v>
      </c>
      <c r="L1373" s="44" t="s">
        <v>2347</v>
      </c>
      <c r="M1373" s="43">
        <v>27</v>
      </c>
      <c r="N1373" s="113"/>
      <c r="O1373" s="113"/>
      <c r="P1373" s="113"/>
      <c r="Q1373" s="113" t="s">
        <v>1113</v>
      </c>
      <c r="R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t="s">
        <v>1113</v>
      </c>
      <c r="AM1373" s="113"/>
      <c r="AN1373" s="113"/>
      <c r="AO1373" s="44" t="s">
        <v>2334</v>
      </c>
      <c r="AP1373" s="43"/>
      <c r="AQ1373" s="236" t="str">
        <f>VLOOKUP(Table8[[#This Row],[Instrument]],Def_Targets!$D$73:$E$159,2,FALSE)</f>
        <v>S_Walking</v>
      </c>
      <c r="AR1373" s="233" t="str">
        <f>VLOOKUP(Table8[[#This Row],[Country Code]],Table29[],3,FALSE)</f>
        <v>Annex I</v>
      </c>
      <c r="AS1373" s="233" t="str">
        <f>VLOOKUP(Table8[[#This Row],[Country Code]],Table29[],4,FALSE)</f>
        <v>Europe</v>
      </c>
      <c r="AT1373" s="233" t="str">
        <f>VLOOKUP(Table8[[#This Row],[Country Code]],Table29[],5,FALSE)</f>
        <v>High-income</v>
      </c>
      <c r="AU1373" s="233" t="str">
        <f>VLOOKUP(Table8[[#This Row],[Country Code]],Table29[],6,FALSE)</f>
        <v>no</v>
      </c>
      <c r="AV1373" s="233" t="str">
        <f>VLOOKUP(Table8[[#This Row],[Country Code]],Table29[],7,FALSE)</f>
        <v>no</v>
      </c>
      <c r="AW1373" s="233" t="str">
        <f>VLOOKUP(Table8[[#This Row],[Country Code]],Table29[],8,FALSE)</f>
        <v>non-OECD</v>
      </c>
      <c r="AX1373" s="233" t="str">
        <f>VLOOKUP(Table8[[#This Row],[Country Code]],Table29[],9,FALSE)</f>
        <v>no</v>
      </c>
      <c r="AY1373" s="233" t="str">
        <f>VLOOKUP(Table8[[#This Row],[Country Code]],Table29[],10,FALSE)</f>
        <v>no</v>
      </c>
      <c r="AZ1373" s="235">
        <f>VLOOKUP(Table8[[#This Row],[Country Code]],Table29[],23,FALSE)</f>
        <v>0</v>
      </c>
      <c r="BA1373" s="235">
        <f>VLOOKUP(Table8[[#This Row],[Country Code]],Table29[],24,FALSE)</f>
        <v>0</v>
      </c>
      <c r="BB1373" s="320"/>
      <c r="BC1373" s="320"/>
    </row>
    <row r="1374" spans="1:55" ht="45" hidden="1" x14ac:dyDescent="0.25">
      <c r="A1374" s="373">
        <v>17665</v>
      </c>
      <c r="B1374" s="233" t="str">
        <f>VLOOKUP(Table8[[#This Row],[Document ID]],Table1[],2,FALSE)</f>
        <v>MCO</v>
      </c>
      <c r="C1374" s="233" t="str">
        <f>VLOOKUP(Table8[[#This Row],[Document ID]],Table1[],3,FALSE)</f>
        <v>Monaco</v>
      </c>
      <c r="D1374" s="243" t="str">
        <f>VLOOKUP(Table8[[#This Row],[Document ID]],Table1[],5,FALSE)</f>
        <v>NDC</v>
      </c>
      <c r="E1374" s="233" t="str">
        <f>VLOOKUP(Table8[[#This Row],[Document ID]],Table1[],7,FALSE)</f>
        <v>First NDC updated</v>
      </c>
      <c r="F1374" s="233" t="str">
        <f>VLOOKUP(Table8[[#This Row],[Document ID]],Table1[],8,FALSE)</f>
        <v>NDC 1.1</v>
      </c>
      <c r="G1374" s="233" t="str">
        <f>VLOOKUP(Table8[[#This Row],[Document ID]],Table1[],10,FALSE)</f>
        <v>Active</v>
      </c>
      <c r="H1374" s="43" t="s">
        <v>2343</v>
      </c>
      <c r="I1374" s="43" t="s">
        <v>2361</v>
      </c>
      <c r="J1374" s="44" t="s">
        <v>2463</v>
      </c>
      <c r="K1374" s="44" t="s">
        <v>3626</v>
      </c>
      <c r="L1374" s="44" t="s">
        <v>2347</v>
      </c>
      <c r="M1374" s="43">
        <v>27</v>
      </c>
      <c r="N1374" s="113"/>
      <c r="O1374" s="113"/>
      <c r="P1374" s="113"/>
      <c r="Q1374" s="113" t="s">
        <v>1113</v>
      </c>
      <c r="R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t="s">
        <v>1113</v>
      </c>
      <c r="AM1374" s="113"/>
      <c r="AN1374" s="113"/>
      <c r="AO1374" s="44" t="s">
        <v>2334</v>
      </c>
      <c r="AP1374" s="43"/>
      <c r="AQ1374" s="236" t="str">
        <f>VLOOKUP(Table8[[#This Row],[Instrument]],Def_Targets!$D$73:$E$159,2,FALSE)</f>
        <v>S_Walking</v>
      </c>
      <c r="AR1374" s="233" t="str">
        <f>VLOOKUP(Table8[[#This Row],[Country Code]],Table29[],3,FALSE)</f>
        <v>Annex I</v>
      </c>
      <c r="AS1374" s="233" t="str">
        <f>VLOOKUP(Table8[[#This Row],[Country Code]],Table29[],4,FALSE)</f>
        <v>Europe</v>
      </c>
      <c r="AT1374" s="233" t="str">
        <f>VLOOKUP(Table8[[#This Row],[Country Code]],Table29[],5,FALSE)</f>
        <v>High-income</v>
      </c>
      <c r="AU1374" s="233" t="str">
        <f>VLOOKUP(Table8[[#This Row],[Country Code]],Table29[],6,FALSE)</f>
        <v>no</v>
      </c>
      <c r="AV1374" s="233" t="str">
        <f>VLOOKUP(Table8[[#This Row],[Country Code]],Table29[],7,FALSE)</f>
        <v>no</v>
      </c>
      <c r="AW1374" s="233" t="str">
        <f>VLOOKUP(Table8[[#This Row],[Country Code]],Table29[],8,FALSE)</f>
        <v>non-OECD</v>
      </c>
      <c r="AX1374" s="233" t="str">
        <f>VLOOKUP(Table8[[#This Row],[Country Code]],Table29[],9,FALSE)</f>
        <v>no</v>
      </c>
      <c r="AY1374" s="233" t="str">
        <f>VLOOKUP(Table8[[#This Row],[Country Code]],Table29[],10,FALSE)</f>
        <v>no</v>
      </c>
      <c r="AZ1374" s="235">
        <f>VLOOKUP(Table8[[#This Row],[Country Code]],Table29[],23,FALSE)</f>
        <v>0</v>
      </c>
      <c r="BA1374" s="235">
        <f>VLOOKUP(Table8[[#This Row],[Country Code]],Table29[],24,FALSE)</f>
        <v>0</v>
      </c>
      <c r="BB1374" s="320"/>
      <c r="BC1374" s="320"/>
    </row>
    <row r="1375" spans="1:55" ht="45" hidden="1" x14ac:dyDescent="0.25">
      <c r="A1375" s="373">
        <v>17665</v>
      </c>
      <c r="B1375" s="233" t="str">
        <f>VLOOKUP(Table8[[#This Row],[Document ID]],Table1[],2,FALSE)</f>
        <v>MCO</v>
      </c>
      <c r="C1375" s="233" t="str">
        <f>VLOOKUP(Table8[[#This Row],[Document ID]],Table1[],3,FALSE)</f>
        <v>Monaco</v>
      </c>
      <c r="D1375" s="243" t="str">
        <f>VLOOKUP(Table8[[#This Row],[Document ID]],Table1[],5,FALSE)</f>
        <v>NDC</v>
      </c>
      <c r="E1375" s="233" t="str">
        <f>VLOOKUP(Table8[[#This Row],[Document ID]],Table1[],7,FALSE)</f>
        <v>First NDC updated</v>
      </c>
      <c r="F1375" s="233" t="str">
        <f>VLOOKUP(Table8[[#This Row],[Document ID]],Table1[],8,FALSE)</f>
        <v>NDC 1.1</v>
      </c>
      <c r="G1375" s="233" t="str">
        <f>VLOOKUP(Table8[[#This Row],[Document ID]],Table1[],10,FALSE)</f>
        <v>Active</v>
      </c>
      <c r="H1375" s="43" t="s">
        <v>2343</v>
      </c>
      <c r="I1375" s="43" t="s">
        <v>2361</v>
      </c>
      <c r="J1375" s="44" t="s">
        <v>2362</v>
      </c>
      <c r="K1375" s="44" t="s">
        <v>3626</v>
      </c>
      <c r="L1375" s="44" t="s">
        <v>2347</v>
      </c>
      <c r="M1375" s="43">
        <v>27</v>
      </c>
      <c r="N1375" s="113"/>
      <c r="O1375" s="113"/>
      <c r="P1375" s="113"/>
      <c r="Q1375" s="113"/>
      <c r="R1375" s="113" t="s">
        <v>1113</v>
      </c>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t="s">
        <v>1113</v>
      </c>
      <c r="AM1375" s="113"/>
      <c r="AN1375" s="113"/>
      <c r="AO1375" s="44" t="s">
        <v>2334</v>
      </c>
      <c r="AP1375" s="43"/>
      <c r="AQ1375" s="236" t="str">
        <f>VLOOKUP(Table8[[#This Row],[Instrument]],Def_Targets!$D$73:$E$159,2,FALSE)</f>
        <v>S_Cycling</v>
      </c>
      <c r="AR1375" s="233" t="str">
        <f>VLOOKUP(Table8[[#This Row],[Country Code]],Table29[],3,FALSE)</f>
        <v>Annex I</v>
      </c>
      <c r="AS1375" s="233" t="str">
        <f>VLOOKUP(Table8[[#This Row],[Country Code]],Table29[],4,FALSE)</f>
        <v>Europe</v>
      </c>
      <c r="AT1375" s="233" t="str">
        <f>VLOOKUP(Table8[[#This Row],[Country Code]],Table29[],5,FALSE)</f>
        <v>High-income</v>
      </c>
      <c r="AU1375" s="233" t="str">
        <f>VLOOKUP(Table8[[#This Row],[Country Code]],Table29[],6,FALSE)</f>
        <v>no</v>
      </c>
      <c r="AV1375" s="233" t="str">
        <f>VLOOKUP(Table8[[#This Row],[Country Code]],Table29[],7,FALSE)</f>
        <v>no</v>
      </c>
      <c r="AW1375" s="233" t="str">
        <f>VLOOKUP(Table8[[#This Row],[Country Code]],Table29[],8,FALSE)</f>
        <v>non-OECD</v>
      </c>
      <c r="AX1375" s="233" t="str">
        <f>VLOOKUP(Table8[[#This Row],[Country Code]],Table29[],9,FALSE)</f>
        <v>no</v>
      </c>
      <c r="AY1375" s="233" t="str">
        <f>VLOOKUP(Table8[[#This Row],[Country Code]],Table29[],10,FALSE)</f>
        <v>no</v>
      </c>
      <c r="AZ1375" s="235">
        <f>VLOOKUP(Table8[[#This Row],[Country Code]],Table29[],23,FALSE)</f>
        <v>0</v>
      </c>
      <c r="BA1375" s="235">
        <f>VLOOKUP(Table8[[#This Row],[Country Code]],Table29[],24,FALSE)</f>
        <v>0</v>
      </c>
      <c r="BB1375" s="320"/>
      <c r="BC1375" s="320"/>
    </row>
    <row r="1376" spans="1:55" ht="90" hidden="1" x14ac:dyDescent="0.25">
      <c r="A1376" s="373">
        <v>17665</v>
      </c>
      <c r="B1376" s="233" t="str">
        <f>VLOOKUP(Table8[[#This Row],[Document ID]],Table1[],2,FALSE)</f>
        <v>MCO</v>
      </c>
      <c r="C1376" s="233" t="str">
        <f>VLOOKUP(Table8[[#This Row],[Document ID]],Table1[],3,FALSE)</f>
        <v>Monaco</v>
      </c>
      <c r="D1376" s="243" t="str">
        <f>VLOOKUP(Table8[[#This Row],[Document ID]],Table1[],5,FALSE)</f>
        <v>NDC</v>
      </c>
      <c r="E1376" s="233" t="str">
        <f>VLOOKUP(Table8[[#This Row],[Document ID]],Table1[],7,FALSE)</f>
        <v>First NDC updated</v>
      </c>
      <c r="F1376" s="233" t="str">
        <f>VLOOKUP(Table8[[#This Row],[Document ID]],Table1[],8,FALSE)</f>
        <v>NDC 1.1</v>
      </c>
      <c r="G1376" s="233" t="str">
        <f>VLOOKUP(Table8[[#This Row],[Document ID]],Table1[],10,FALSE)</f>
        <v>Active</v>
      </c>
      <c r="H1376" s="43" t="s">
        <v>2358</v>
      </c>
      <c r="I1376" s="43" t="s">
        <v>2359</v>
      </c>
      <c r="J1376" s="44" t="s">
        <v>2360</v>
      </c>
      <c r="K1376" s="44" t="s">
        <v>3627</v>
      </c>
      <c r="L1376" s="44" t="s">
        <v>2333</v>
      </c>
      <c r="M1376" s="43">
        <v>27</v>
      </c>
      <c r="N1376" s="113"/>
      <c r="O1376" s="113"/>
      <c r="P1376" s="113"/>
      <c r="Q1376" s="113"/>
      <c r="R1376" s="113"/>
      <c r="S1376" s="113" t="s">
        <v>1113</v>
      </c>
      <c r="T1376" s="113"/>
      <c r="U1376" s="113"/>
      <c r="V1376" s="113"/>
      <c r="W1376" s="113"/>
      <c r="X1376" s="113"/>
      <c r="Y1376" s="113"/>
      <c r="Z1376" s="113"/>
      <c r="AA1376" s="113"/>
      <c r="AB1376" s="113"/>
      <c r="AC1376" s="113"/>
      <c r="AD1376" s="113"/>
      <c r="AE1376" s="113"/>
      <c r="AF1376" s="113"/>
      <c r="AG1376" s="113"/>
      <c r="AH1376" s="113"/>
      <c r="AI1376" s="113"/>
      <c r="AJ1376" s="113"/>
      <c r="AK1376" s="113"/>
      <c r="AL1376" s="113" t="s">
        <v>1113</v>
      </c>
      <c r="AM1376" s="113"/>
      <c r="AN1376" s="113"/>
      <c r="AO1376" s="44" t="s">
        <v>2334</v>
      </c>
      <c r="AP1376" s="43"/>
      <c r="AQ1376" s="236" t="str">
        <f>VLOOKUP(Table8[[#This Row],[Instrument]],Def_Targets!$D$73:$E$159,2,FALSE)</f>
        <v>I_Emobility</v>
      </c>
      <c r="AR1376" s="233" t="str">
        <f>VLOOKUP(Table8[[#This Row],[Country Code]],Table29[],3,FALSE)</f>
        <v>Annex I</v>
      </c>
      <c r="AS1376" s="233" t="str">
        <f>VLOOKUP(Table8[[#This Row],[Country Code]],Table29[],4,FALSE)</f>
        <v>Europe</v>
      </c>
      <c r="AT1376" s="233" t="str">
        <f>VLOOKUP(Table8[[#This Row],[Country Code]],Table29[],5,FALSE)</f>
        <v>High-income</v>
      </c>
      <c r="AU1376" s="233" t="str">
        <f>VLOOKUP(Table8[[#This Row],[Country Code]],Table29[],6,FALSE)</f>
        <v>no</v>
      </c>
      <c r="AV1376" s="233" t="str">
        <f>VLOOKUP(Table8[[#This Row],[Country Code]],Table29[],7,FALSE)</f>
        <v>no</v>
      </c>
      <c r="AW1376" s="233" t="str">
        <f>VLOOKUP(Table8[[#This Row],[Country Code]],Table29[],8,FALSE)</f>
        <v>non-OECD</v>
      </c>
      <c r="AX1376" s="233" t="str">
        <f>VLOOKUP(Table8[[#This Row],[Country Code]],Table29[],9,FALSE)</f>
        <v>no</v>
      </c>
      <c r="AY1376" s="233" t="str">
        <f>VLOOKUP(Table8[[#This Row],[Country Code]],Table29[],10,FALSE)</f>
        <v>no</v>
      </c>
      <c r="AZ1376" s="235">
        <f>VLOOKUP(Table8[[#This Row],[Country Code]],Table29[],23,FALSE)</f>
        <v>0</v>
      </c>
      <c r="BA1376" s="235">
        <f>VLOOKUP(Table8[[#This Row],[Country Code]],Table29[],24,FALSE)</f>
        <v>0</v>
      </c>
      <c r="BB1376" s="320"/>
      <c r="BC1376" s="320"/>
    </row>
    <row r="1377" spans="1:55" ht="45" hidden="1" x14ac:dyDescent="0.25">
      <c r="A1377" s="373">
        <v>17665</v>
      </c>
      <c r="B1377" s="233" t="str">
        <f>VLOOKUP(Table8[[#This Row],[Document ID]],Table1[],2,FALSE)</f>
        <v>MCO</v>
      </c>
      <c r="C1377" s="233" t="str">
        <f>VLOOKUP(Table8[[#This Row],[Document ID]],Table1[],3,FALSE)</f>
        <v>Monaco</v>
      </c>
      <c r="D1377" s="243" t="str">
        <f>VLOOKUP(Table8[[#This Row],[Document ID]],Table1[],5,FALSE)</f>
        <v>NDC</v>
      </c>
      <c r="E1377" s="233" t="str">
        <f>VLOOKUP(Table8[[#This Row],[Document ID]],Table1[],7,FALSE)</f>
        <v>First NDC updated</v>
      </c>
      <c r="F1377" s="233" t="str">
        <f>VLOOKUP(Table8[[#This Row],[Document ID]],Table1[],8,FALSE)</f>
        <v>NDC 1.1</v>
      </c>
      <c r="G1377" s="233" t="str">
        <f>VLOOKUP(Table8[[#This Row],[Document ID]],Table1[],10,FALSE)</f>
        <v>Active</v>
      </c>
      <c r="H1377" s="43" t="s">
        <v>2484</v>
      </c>
      <c r="I1377" s="43" t="s">
        <v>2488</v>
      </c>
      <c r="J1377" s="44" t="s">
        <v>2976</v>
      </c>
      <c r="K1377" s="44" t="s">
        <v>3628</v>
      </c>
      <c r="L1377" s="44" t="s">
        <v>2333</v>
      </c>
      <c r="M1377" s="43">
        <v>27</v>
      </c>
      <c r="N1377" s="113"/>
      <c r="O1377" s="113"/>
      <c r="P1377" s="113"/>
      <c r="Q1377" s="113"/>
      <c r="R1377" s="113"/>
      <c r="S1377" s="113"/>
      <c r="T1377" s="113"/>
      <c r="U1377" s="113"/>
      <c r="V1377" s="113"/>
      <c r="W1377" s="113"/>
      <c r="X1377" s="113"/>
      <c r="Y1377" s="113"/>
      <c r="Z1377" s="113"/>
      <c r="AA1377" s="113"/>
      <c r="AB1377" s="113"/>
      <c r="AC1377" s="113"/>
      <c r="AD1377" s="113"/>
      <c r="AE1377" s="113"/>
      <c r="AF1377" s="113"/>
      <c r="AG1377" s="113"/>
      <c r="AH1377" s="113" t="s">
        <v>1113</v>
      </c>
      <c r="AI1377" s="113"/>
      <c r="AJ1377" s="113"/>
      <c r="AK1377" s="319" t="s">
        <v>1113</v>
      </c>
      <c r="AL1377" s="113"/>
      <c r="AM1377" s="113"/>
      <c r="AN1377" s="113"/>
      <c r="AO1377" s="44" t="s">
        <v>2334</v>
      </c>
      <c r="AP1377" s="43"/>
      <c r="AQ1377" s="236" t="str">
        <f>VLOOKUP(Table8[[#This Row],[Instrument]],Def_Targets!$D$73:$E$159,2,FALSE)</f>
        <v>I_CO2certificate</v>
      </c>
      <c r="AR1377" s="233" t="str">
        <f>VLOOKUP(Table8[[#This Row],[Country Code]],Table29[],3,FALSE)</f>
        <v>Annex I</v>
      </c>
      <c r="AS1377" s="233" t="str">
        <f>VLOOKUP(Table8[[#This Row],[Country Code]],Table29[],4,FALSE)</f>
        <v>Europe</v>
      </c>
      <c r="AT1377" s="233" t="str">
        <f>VLOOKUP(Table8[[#This Row],[Country Code]],Table29[],5,FALSE)</f>
        <v>High-income</v>
      </c>
      <c r="AU1377" s="233" t="str">
        <f>VLOOKUP(Table8[[#This Row],[Country Code]],Table29[],6,FALSE)</f>
        <v>no</v>
      </c>
      <c r="AV1377" s="233" t="str">
        <f>VLOOKUP(Table8[[#This Row],[Country Code]],Table29[],7,FALSE)</f>
        <v>no</v>
      </c>
      <c r="AW1377" s="233" t="str">
        <f>VLOOKUP(Table8[[#This Row],[Country Code]],Table29[],8,FALSE)</f>
        <v>non-OECD</v>
      </c>
      <c r="AX1377" s="233" t="str">
        <f>VLOOKUP(Table8[[#This Row],[Country Code]],Table29[],9,FALSE)</f>
        <v>no</v>
      </c>
      <c r="AY1377" s="233" t="str">
        <f>VLOOKUP(Table8[[#This Row],[Country Code]],Table29[],10,FALSE)</f>
        <v>no</v>
      </c>
      <c r="AZ1377" s="235">
        <f>VLOOKUP(Table8[[#This Row],[Country Code]],Table29[],23,FALSE)</f>
        <v>0</v>
      </c>
      <c r="BA1377" s="235">
        <f>VLOOKUP(Table8[[#This Row],[Country Code]],Table29[],24,FALSE)</f>
        <v>0</v>
      </c>
      <c r="BB1377" s="320"/>
      <c r="BC1377" s="320"/>
    </row>
    <row r="1378" spans="1:55" ht="30" hidden="1" x14ac:dyDescent="0.25">
      <c r="A1378" s="373">
        <v>17665</v>
      </c>
      <c r="B1378" s="233" t="str">
        <f>VLOOKUP(Table8[[#This Row],[Document ID]],Table1[],2,FALSE)</f>
        <v>MCO</v>
      </c>
      <c r="C1378" s="233" t="str">
        <f>VLOOKUP(Table8[[#This Row],[Document ID]],Table1[],3,FALSE)</f>
        <v>Monaco</v>
      </c>
      <c r="D1378" s="243" t="str">
        <f>VLOOKUP(Table8[[#This Row],[Document ID]],Table1[],5,FALSE)</f>
        <v>NDC</v>
      </c>
      <c r="E1378" s="233" t="str">
        <f>VLOOKUP(Table8[[#This Row],[Document ID]],Table1[],7,FALSE)</f>
        <v>First NDC updated</v>
      </c>
      <c r="F1378" s="233" t="str">
        <f>VLOOKUP(Table8[[#This Row],[Document ID]],Table1[],8,FALSE)</f>
        <v>NDC 1.1</v>
      </c>
      <c r="G1378" s="233" t="str">
        <f>VLOOKUP(Table8[[#This Row],[Document ID]],Table1[],10,FALSE)</f>
        <v>Active</v>
      </c>
      <c r="H1378" s="43" t="s">
        <v>2358</v>
      </c>
      <c r="I1378" s="43" t="s">
        <v>2359</v>
      </c>
      <c r="J1378" s="44" t="s">
        <v>2360</v>
      </c>
      <c r="K1378" s="44" t="s">
        <v>3629</v>
      </c>
      <c r="L1378" s="44" t="s">
        <v>2333</v>
      </c>
      <c r="M1378" s="43">
        <v>27</v>
      </c>
      <c r="N1378" s="113"/>
      <c r="O1378" s="113"/>
      <c r="P1378" s="113"/>
      <c r="Q1378" s="113"/>
      <c r="R1378" s="113"/>
      <c r="S1378" s="113"/>
      <c r="T1378" s="113"/>
      <c r="U1378" s="113"/>
      <c r="V1378" s="113"/>
      <c r="W1378" s="113"/>
      <c r="X1378" s="113"/>
      <c r="Y1378" s="113"/>
      <c r="Z1378" s="113"/>
      <c r="AA1378" s="113"/>
      <c r="AB1378" s="113"/>
      <c r="AC1378" s="113"/>
      <c r="AD1378" s="113"/>
      <c r="AE1378" s="113"/>
      <c r="AF1378" s="113"/>
      <c r="AG1378" s="113"/>
      <c r="AH1378" s="113" t="s">
        <v>1113</v>
      </c>
      <c r="AI1378" s="113"/>
      <c r="AJ1378" s="113"/>
      <c r="AK1378" s="319" t="s">
        <v>1113</v>
      </c>
      <c r="AL1378" s="113"/>
      <c r="AM1378" s="113"/>
      <c r="AN1378" s="113"/>
      <c r="AO1378" s="44" t="s">
        <v>2334</v>
      </c>
      <c r="AP1378" s="43"/>
      <c r="AQ1378" s="236" t="str">
        <f>VLOOKUP(Table8[[#This Row],[Instrument]],Def_Targets!$D$73:$E$159,2,FALSE)</f>
        <v>I_Emobility</v>
      </c>
      <c r="AR1378" s="233" t="str">
        <f>VLOOKUP(Table8[[#This Row],[Country Code]],Table29[],3,FALSE)</f>
        <v>Annex I</v>
      </c>
      <c r="AS1378" s="233" t="str">
        <f>VLOOKUP(Table8[[#This Row],[Country Code]],Table29[],4,FALSE)</f>
        <v>Europe</v>
      </c>
      <c r="AT1378" s="233" t="str">
        <f>VLOOKUP(Table8[[#This Row],[Country Code]],Table29[],5,FALSE)</f>
        <v>High-income</v>
      </c>
      <c r="AU1378" s="233" t="str">
        <f>VLOOKUP(Table8[[#This Row],[Country Code]],Table29[],6,FALSE)</f>
        <v>no</v>
      </c>
      <c r="AV1378" s="233" t="str">
        <f>VLOOKUP(Table8[[#This Row],[Country Code]],Table29[],7,FALSE)</f>
        <v>no</v>
      </c>
      <c r="AW1378" s="233" t="str">
        <f>VLOOKUP(Table8[[#This Row],[Country Code]],Table29[],8,FALSE)</f>
        <v>non-OECD</v>
      </c>
      <c r="AX1378" s="233" t="str">
        <f>VLOOKUP(Table8[[#This Row],[Country Code]],Table29[],9,FALSE)</f>
        <v>no</v>
      </c>
      <c r="AY1378" s="233" t="str">
        <f>VLOOKUP(Table8[[#This Row],[Country Code]],Table29[],10,FALSE)</f>
        <v>no</v>
      </c>
      <c r="AZ1378" s="235">
        <f>VLOOKUP(Table8[[#This Row],[Country Code]],Table29[],23,FALSE)</f>
        <v>0</v>
      </c>
      <c r="BA1378" s="235">
        <f>VLOOKUP(Table8[[#This Row],[Country Code]],Table29[],24,FALSE)</f>
        <v>0</v>
      </c>
      <c r="BB1378" s="320"/>
      <c r="BC1378" s="320"/>
    </row>
    <row r="1379" spans="1:55" ht="30" hidden="1" x14ac:dyDescent="0.25">
      <c r="A1379" s="373">
        <v>17665</v>
      </c>
      <c r="B1379" s="233" t="str">
        <f>VLOOKUP(Table8[[#This Row],[Document ID]],Table1[],2,FALSE)</f>
        <v>MCO</v>
      </c>
      <c r="C1379" s="233" t="str">
        <f>VLOOKUP(Table8[[#This Row],[Document ID]],Table1[],3,FALSE)</f>
        <v>Monaco</v>
      </c>
      <c r="D1379" s="243" t="str">
        <f>VLOOKUP(Table8[[#This Row],[Document ID]],Table1[],5,FALSE)</f>
        <v>NDC</v>
      </c>
      <c r="E1379" s="233" t="str">
        <f>VLOOKUP(Table8[[#This Row],[Document ID]],Table1[],7,FALSE)</f>
        <v>First NDC updated</v>
      </c>
      <c r="F1379" s="233" t="str">
        <f>VLOOKUP(Table8[[#This Row],[Document ID]],Table1[],8,FALSE)</f>
        <v>NDC 1.1</v>
      </c>
      <c r="G1379" s="233" t="str">
        <f>VLOOKUP(Table8[[#This Row],[Document ID]],Table1[],10,FALSE)</f>
        <v>Active</v>
      </c>
      <c r="H1379" s="43" t="s">
        <v>2484</v>
      </c>
      <c r="I1379" s="43" t="s">
        <v>2485</v>
      </c>
      <c r="J1379" s="44" t="s">
        <v>2486</v>
      </c>
      <c r="K1379" s="44" t="s">
        <v>3630</v>
      </c>
      <c r="L1379" s="44" t="s">
        <v>2333</v>
      </c>
      <c r="M1379" s="43">
        <v>27</v>
      </c>
      <c r="N1379" s="113"/>
      <c r="O1379" s="113"/>
      <c r="P1379" s="113"/>
      <c r="Q1379" s="113"/>
      <c r="R1379" s="113"/>
      <c r="S1379" s="113"/>
      <c r="T1379" s="113"/>
      <c r="U1379" s="113"/>
      <c r="V1379" s="113"/>
      <c r="W1379" s="113"/>
      <c r="X1379" s="113"/>
      <c r="Y1379" s="113"/>
      <c r="Z1379" s="113"/>
      <c r="AA1379" s="113"/>
      <c r="AB1379" s="113"/>
      <c r="AC1379" s="113"/>
      <c r="AD1379" s="113" t="s">
        <v>1113</v>
      </c>
      <c r="AE1379" s="113"/>
      <c r="AF1379" s="113"/>
      <c r="AG1379" s="113"/>
      <c r="AH1379" s="113"/>
      <c r="AI1379" s="113"/>
      <c r="AJ1379" s="113"/>
      <c r="AK1379" s="319" t="s">
        <v>1113</v>
      </c>
      <c r="AL1379" s="113"/>
      <c r="AM1379" s="113"/>
      <c r="AN1379" s="113"/>
      <c r="AO1379" s="44" t="s">
        <v>2334</v>
      </c>
      <c r="AP1379" s="43"/>
      <c r="AQ1379" s="236" t="str">
        <f>VLOOKUP(Table8[[#This Row],[Instrument]],Def_Targets!$D$73:$E$159,2,FALSE)</f>
        <v>I_Shipping</v>
      </c>
      <c r="AR1379" s="233" t="str">
        <f>VLOOKUP(Table8[[#This Row],[Country Code]],Table29[],3,FALSE)</f>
        <v>Annex I</v>
      </c>
      <c r="AS1379" s="233" t="str">
        <f>VLOOKUP(Table8[[#This Row],[Country Code]],Table29[],4,FALSE)</f>
        <v>Europe</v>
      </c>
      <c r="AT1379" s="233" t="str">
        <f>VLOOKUP(Table8[[#This Row],[Country Code]],Table29[],5,FALSE)</f>
        <v>High-income</v>
      </c>
      <c r="AU1379" s="233" t="str">
        <f>VLOOKUP(Table8[[#This Row],[Country Code]],Table29[],6,FALSE)</f>
        <v>no</v>
      </c>
      <c r="AV1379" s="233" t="str">
        <f>VLOOKUP(Table8[[#This Row],[Country Code]],Table29[],7,FALSE)</f>
        <v>no</v>
      </c>
      <c r="AW1379" s="233" t="str">
        <f>VLOOKUP(Table8[[#This Row],[Country Code]],Table29[],8,FALSE)</f>
        <v>non-OECD</v>
      </c>
      <c r="AX1379" s="233" t="str">
        <f>VLOOKUP(Table8[[#This Row],[Country Code]],Table29[],9,FALSE)</f>
        <v>no</v>
      </c>
      <c r="AY1379" s="233" t="str">
        <f>VLOOKUP(Table8[[#This Row],[Country Code]],Table29[],10,FALSE)</f>
        <v>no</v>
      </c>
      <c r="AZ1379" s="235">
        <f>VLOOKUP(Table8[[#This Row],[Country Code]],Table29[],23,FALSE)</f>
        <v>0</v>
      </c>
      <c r="BA1379" s="235">
        <f>VLOOKUP(Table8[[#This Row],[Country Code]],Table29[],24,FALSE)</f>
        <v>0</v>
      </c>
      <c r="BB1379" s="320"/>
      <c r="BC1379" s="320"/>
    </row>
    <row r="1380" spans="1:55" ht="30" hidden="1" x14ac:dyDescent="0.25">
      <c r="A1380" s="373">
        <v>17665</v>
      </c>
      <c r="B1380" s="233" t="str">
        <f>VLOOKUP(Table8[[#This Row],[Document ID]],Table1[],2,FALSE)</f>
        <v>MCO</v>
      </c>
      <c r="C1380" s="233" t="str">
        <f>VLOOKUP(Table8[[#This Row],[Document ID]],Table1[],3,FALSE)</f>
        <v>Monaco</v>
      </c>
      <c r="D1380" s="243" t="str">
        <f>VLOOKUP(Table8[[#This Row],[Document ID]],Table1[],5,FALSE)</f>
        <v>NDC</v>
      </c>
      <c r="E1380" s="233" t="str">
        <f>VLOOKUP(Table8[[#This Row],[Document ID]],Table1[],7,FALSE)</f>
        <v>First NDC updated</v>
      </c>
      <c r="F1380" s="233" t="str">
        <f>VLOOKUP(Table8[[#This Row],[Document ID]],Table1[],8,FALSE)</f>
        <v>NDC 1.1</v>
      </c>
      <c r="G1380" s="233" t="str">
        <f>VLOOKUP(Table8[[#This Row],[Document ID]],Table1[],10,FALSE)</f>
        <v>Active</v>
      </c>
      <c r="H1380" s="43" t="s">
        <v>2484</v>
      </c>
      <c r="I1380" s="43" t="s">
        <v>2485</v>
      </c>
      <c r="J1380" s="44" t="s">
        <v>2775</v>
      </c>
      <c r="K1380" s="44" t="s">
        <v>3631</v>
      </c>
      <c r="L1380" s="44" t="s">
        <v>2333</v>
      </c>
      <c r="M1380" s="43">
        <v>27</v>
      </c>
      <c r="N1380" s="113"/>
      <c r="O1380" s="113"/>
      <c r="P1380" s="113"/>
      <c r="Q1380" s="113"/>
      <c r="R1380" s="113"/>
      <c r="S1380" s="113"/>
      <c r="T1380" s="113"/>
      <c r="U1380" s="113"/>
      <c r="V1380" s="113"/>
      <c r="W1380" s="113"/>
      <c r="X1380" s="113"/>
      <c r="Y1380" s="113"/>
      <c r="Z1380" s="113"/>
      <c r="AA1380" s="113"/>
      <c r="AB1380" s="113"/>
      <c r="AC1380" s="113"/>
      <c r="AD1380" s="113" t="s">
        <v>1113</v>
      </c>
      <c r="AE1380" s="113"/>
      <c r="AF1380" s="113"/>
      <c r="AG1380" s="113"/>
      <c r="AH1380" s="113"/>
      <c r="AI1380" s="113"/>
      <c r="AJ1380" s="113"/>
      <c r="AK1380" s="319" t="s">
        <v>1113</v>
      </c>
      <c r="AL1380" s="113"/>
      <c r="AM1380" s="113"/>
      <c r="AN1380" s="113"/>
      <c r="AO1380" s="44" t="s">
        <v>2334</v>
      </c>
      <c r="AP1380" s="43"/>
      <c r="AQ1380" s="236" t="str">
        <f>VLOOKUP(Table8[[#This Row],[Instrument]],Def_Targets!$D$73:$E$159,2,FALSE)</f>
        <v>I_Onshorepower</v>
      </c>
      <c r="AR1380" s="233" t="str">
        <f>VLOOKUP(Table8[[#This Row],[Country Code]],Table29[],3,FALSE)</f>
        <v>Annex I</v>
      </c>
      <c r="AS1380" s="233" t="str">
        <f>VLOOKUP(Table8[[#This Row],[Country Code]],Table29[],4,FALSE)</f>
        <v>Europe</v>
      </c>
      <c r="AT1380" s="233" t="str">
        <f>VLOOKUP(Table8[[#This Row],[Country Code]],Table29[],5,FALSE)</f>
        <v>High-income</v>
      </c>
      <c r="AU1380" s="233" t="str">
        <f>VLOOKUP(Table8[[#This Row],[Country Code]],Table29[],6,FALSE)</f>
        <v>no</v>
      </c>
      <c r="AV1380" s="233" t="str">
        <f>VLOOKUP(Table8[[#This Row],[Country Code]],Table29[],7,FALSE)</f>
        <v>no</v>
      </c>
      <c r="AW1380" s="233" t="str">
        <f>VLOOKUP(Table8[[#This Row],[Country Code]],Table29[],8,FALSE)</f>
        <v>non-OECD</v>
      </c>
      <c r="AX1380" s="233" t="str">
        <f>VLOOKUP(Table8[[#This Row],[Country Code]],Table29[],9,FALSE)</f>
        <v>no</v>
      </c>
      <c r="AY1380" s="233" t="str">
        <f>VLOOKUP(Table8[[#This Row],[Country Code]],Table29[],10,FALSE)</f>
        <v>no</v>
      </c>
      <c r="AZ1380" s="235">
        <f>VLOOKUP(Table8[[#This Row],[Country Code]],Table29[],23,FALSE)</f>
        <v>0</v>
      </c>
      <c r="BA1380" s="235">
        <f>VLOOKUP(Table8[[#This Row],[Country Code]],Table29[],24,FALSE)</f>
        <v>0</v>
      </c>
      <c r="BB1380" s="320"/>
      <c r="BC1380" s="320"/>
    </row>
    <row r="1381" spans="1:55" ht="45" hidden="1" x14ac:dyDescent="0.25">
      <c r="A1381" s="373">
        <v>17665</v>
      </c>
      <c r="B1381" s="233" t="str">
        <f>VLOOKUP(Table8[[#This Row],[Document ID]],Table1[],2,FALSE)</f>
        <v>MCO</v>
      </c>
      <c r="C1381" s="233" t="str">
        <f>VLOOKUP(Table8[[#This Row],[Document ID]],Table1[],3,FALSE)</f>
        <v>Monaco</v>
      </c>
      <c r="D1381" s="243" t="str">
        <f>VLOOKUP(Table8[[#This Row],[Document ID]],Table1[],5,FALSE)</f>
        <v>NDC</v>
      </c>
      <c r="E1381" s="233" t="str">
        <f>VLOOKUP(Table8[[#This Row],[Document ID]],Table1[],7,FALSE)</f>
        <v>First NDC updated</v>
      </c>
      <c r="F1381" s="233" t="str">
        <f>VLOOKUP(Table8[[#This Row],[Document ID]],Table1[],8,FALSE)</f>
        <v>NDC 1.1</v>
      </c>
      <c r="G1381" s="233" t="str">
        <f>VLOOKUP(Table8[[#This Row],[Document ID]],Table1[],10,FALSE)</f>
        <v>Active</v>
      </c>
      <c r="H1381" s="44" t="s">
        <v>2329</v>
      </c>
      <c r="I1381" s="44" t="s">
        <v>2330</v>
      </c>
      <c r="J1381" s="44" t="s">
        <v>2391</v>
      </c>
      <c r="K1381" s="44" t="s">
        <v>3632</v>
      </c>
      <c r="L1381" s="44" t="s">
        <v>2333</v>
      </c>
      <c r="M1381" s="43">
        <v>27</v>
      </c>
      <c r="N1381" s="113"/>
      <c r="O1381" s="113"/>
      <c r="P1381" s="113"/>
      <c r="Q1381" s="113"/>
      <c r="R1381" s="113"/>
      <c r="S1381" s="113"/>
      <c r="T1381" s="113"/>
      <c r="U1381" s="113"/>
      <c r="V1381" s="113"/>
      <c r="W1381" s="113"/>
      <c r="X1381" s="113"/>
      <c r="Y1381" s="113"/>
      <c r="Z1381" s="113"/>
      <c r="AA1381" s="113"/>
      <c r="AB1381" s="113"/>
      <c r="AC1381" s="113"/>
      <c r="AD1381" s="113" t="s">
        <v>1113</v>
      </c>
      <c r="AE1381" s="113"/>
      <c r="AF1381" s="113"/>
      <c r="AG1381" s="113"/>
      <c r="AH1381" s="113"/>
      <c r="AI1381" s="113"/>
      <c r="AJ1381" s="113"/>
      <c r="AK1381" s="319" t="s">
        <v>1113</v>
      </c>
      <c r="AL1381" s="113"/>
      <c r="AM1381" s="113"/>
      <c r="AN1381" s="113"/>
      <c r="AO1381" s="44" t="s">
        <v>2334</v>
      </c>
      <c r="AP1381" s="43"/>
      <c r="AQ1381" s="236" t="str">
        <f>VLOOKUP(Table8[[#This Row],[Instrument]],Def_Targets!$D$73:$E$159,2,FALSE)</f>
        <v>I_Hydrogen</v>
      </c>
      <c r="AR1381" s="233" t="str">
        <f>VLOOKUP(Table8[[#This Row],[Country Code]],Table29[],3,FALSE)</f>
        <v>Annex I</v>
      </c>
      <c r="AS1381" s="233" t="str">
        <f>VLOOKUP(Table8[[#This Row],[Country Code]],Table29[],4,FALSE)</f>
        <v>Europe</v>
      </c>
      <c r="AT1381" s="233" t="str">
        <f>VLOOKUP(Table8[[#This Row],[Country Code]],Table29[],5,FALSE)</f>
        <v>High-income</v>
      </c>
      <c r="AU1381" s="233" t="str">
        <f>VLOOKUP(Table8[[#This Row],[Country Code]],Table29[],6,FALSE)</f>
        <v>no</v>
      </c>
      <c r="AV1381" s="233" t="str">
        <f>VLOOKUP(Table8[[#This Row],[Country Code]],Table29[],7,FALSE)</f>
        <v>no</v>
      </c>
      <c r="AW1381" s="233" t="str">
        <f>VLOOKUP(Table8[[#This Row],[Country Code]],Table29[],8,FALSE)</f>
        <v>non-OECD</v>
      </c>
      <c r="AX1381" s="233" t="str">
        <f>VLOOKUP(Table8[[#This Row],[Country Code]],Table29[],9,FALSE)</f>
        <v>no</v>
      </c>
      <c r="AY1381" s="233" t="str">
        <f>VLOOKUP(Table8[[#This Row],[Country Code]],Table29[],10,FALSE)</f>
        <v>no</v>
      </c>
      <c r="AZ1381" s="235">
        <f>VLOOKUP(Table8[[#This Row],[Country Code]],Table29[],23,FALSE)</f>
        <v>0</v>
      </c>
      <c r="BA1381" s="235">
        <f>VLOOKUP(Table8[[#This Row],[Country Code]],Table29[],24,FALSE)</f>
        <v>0</v>
      </c>
      <c r="BB1381" s="320"/>
      <c r="BC1381" s="320"/>
    </row>
    <row r="1382" spans="1:55" hidden="1" x14ac:dyDescent="0.25">
      <c r="A1382" s="373">
        <v>17666</v>
      </c>
      <c r="B1382" s="233" t="str">
        <f>VLOOKUP(Table8[[#This Row],[Document ID]],Table1[],2,FALSE)</f>
        <v>MNG</v>
      </c>
      <c r="C1382" s="233" t="str">
        <f>VLOOKUP(Table8[[#This Row],[Document ID]],Table1[],3,FALSE)</f>
        <v>Mongolia</v>
      </c>
      <c r="D1382" s="243" t="str">
        <f>VLOOKUP(Table8[[#This Row],[Document ID]],Table1[],5,FALSE)</f>
        <v>NDC</v>
      </c>
      <c r="E1382" s="233" t="str">
        <f>VLOOKUP(Table8[[#This Row],[Document ID]],Table1[],7,FALSE)</f>
        <v>First NDC</v>
      </c>
      <c r="F1382" s="236" t="str">
        <f>VLOOKUP(Table8[[#This Row],[Document ID]],Table1[],8,FALSE)</f>
        <v>NDC 1.0</v>
      </c>
      <c r="G1382" s="236" t="str">
        <f>VLOOKUP(Table8[[#This Row],[Document ID]],Table1[],10,FALSE)</f>
        <v>Archived</v>
      </c>
      <c r="H1382" s="43" t="s">
        <v>2350</v>
      </c>
      <c r="I1382" s="43" t="s">
        <v>2456</v>
      </c>
      <c r="J1382" s="44" t="s">
        <v>2466</v>
      </c>
      <c r="K1382" s="44" t="s">
        <v>3633</v>
      </c>
      <c r="L1382" s="44" t="s">
        <v>2333</v>
      </c>
      <c r="M1382" s="43"/>
      <c r="N1382" s="113"/>
      <c r="O1382" s="113"/>
      <c r="P1382" s="113"/>
      <c r="Q1382" s="319"/>
      <c r="R1382" s="319"/>
      <c r="S1382" s="113" t="s">
        <v>1113</v>
      </c>
      <c r="T1382" s="319"/>
      <c r="U1382" s="319"/>
      <c r="V1382" s="319"/>
      <c r="W1382" s="319"/>
      <c r="X1382" s="319"/>
      <c r="Y1382" s="319"/>
      <c r="Z1382" s="319"/>
      <c r="AA1382" s="319"/>
      <c r="AB1382" s="319"/>
      <c r="AC1382" s="319"/>
      <c r="AD1382" s="319"/>
      <c r="AE1382" s="319"/>
      <c r="AF1382" s="319"/>
      <c r="AG1382" s="319"/>
      <c r="AH1382" s="319"/>
      <c r="AI1382" s="319"/>
      <c r="AJ1382" s="319"/>
      <c r="AK1382" s="319" t="s">
        <v>1113</v>
      </c>
      <c r="AL1382" s="319"/>
      <c r="AM1382" s="319"/>
      <c r="AN1382" s="319"/>
      <c r="AO1382" s="44" t="s">
        <v>2334</v>
      </c>
      <c r="AP1382" s="44"/>
      <c r="AQ1382" s="236" t="str">
        <f>VLOOKUP(Table8[[#This Row],[Instrument]],Def_Targets!$D$73:$E$159,2,FALSE)</f>
        <v>S_Infraexpansion</v>
      </c>
      <c r="AR1382" s="233" t="str">
        <f>VLOOKUP(Table8[[#This Row],[Country Code]],Table29[],3,FALSE)</f>
        <v>Non-Annex I</v>
      </c>
      <c r="AS1382" s="233" t="str">
        <f>VLOOKUP(Table8[[#This Row],[Country Code]],Table29[],4,FALSE)</f>
        <v>Asia</v>
      </c>
      <c r="AT1382" s="233" t="str">
        <f>VLOOKUP(Table8[[#This Row],[Country Code]],Table29[],5,FALSE)</f>
        <v>Middle-income</v>
      </c>
      <c r="AU1382" s="233" t="str">
        <f>VLOOKUP(Table8[[#This Row],[Country Code]],Table29[],6,FALSE)</f>
        <v>no</v>
      </c>
      <c r="AV1382" s="233" t="str">
        <f>VLOOKUP(Table8[[#This Row],[Country Code]],Table29[],7,FALSE)</f>
        <v>no</v>
      </c>
      <c r="AW1382" s="233" t="str">
        <f>VLOOKUP(Table8[[#This Row],[Country Code]],Table29[],8,FALSE)</f>
        <v>non-OECD</v>
      </c>
      <c r="AX1382" s="233" t="str">
        <f>VLOOKUP(Table8[[#This Row],[Country Code]],Table29[],9,FALSE)</f>
        <v>no</v>
      </c>
      <c r="AY1382" s="233" t="str">
        <f>VLOOKUP(Table8[[#This Row],[Country Code]],Table29[],10,FALSE)</f>
        <v>no</v>
      </c>
      <c r="AZ1382" s="235">
        <f>VLOOKUP(Table8[[#This Row],[Country Code]],Table29[],23,FALSE)</f>
        <v>83.704559899686998</v>
      </c>
      <c r="BA1382" s="235">
        <f>VLOOKUP(Table8[[#This Row],[Country Code]],Table29[],24,FALSE)</f>
        <v>3.0053836949054058</v>
      </c>
      <c r="BB1382" s="320"/>
      <c r="BC1382" s="320"/>
    </row>
    <row r="1383" spans="1:55" ht="30" hidden="1" x14ac:dyDescent="0.25">
      <c r="A1383" s="373">
        <v>17666</v>
      </c>
      <c r="B1383" s="233" t="str">
        <f>VLOOKUP(Table8[[#This Row],[Document ID]],Table1[],2,FALSE)</f>
        <v>MNG</v>
      </c>
      <c r="C1383" s="233" t="str">
        <f>VLOOKUP(Table8[[#This Row],[Document ID]],Table1[],3,FALSE)</f>
        <v>Mongolia</v>
      </c>
      <c r="D1383" s="243" t="str">
        <f>VLOOKUP(Table8[[#This Row],[Document ID]],Table1[],5,FALSE)</f>
        <v>NDC</v>
      </c>
      <c r="E1383" s="233" t="str">
        <f>VLOOKUP(Table8[[#This Row],[Document ID]],Table1[],7,FALSE)</f>
        <v>First NDC</v>
      </c>
      <c r="F1383" s="236" t="str">
        <f>VLOOKUP(Table8[[#This Row],[Document ID]],Table1[],8,FALSE)</f>
        <v>NDC 1.0</v>
      </c>
      <c r="G1383" s="236" t="str">
        <f>VLOOKUP(Table8[[#This Row],[Document ID]],Table1[],10,FALSE)</f>
        <v>Archived</v>
      </c>
      <c r="H1383" s="43" t="s">
        <v>2343</v>
      </c>
      <c r="I1383" s="43" t="s">
        <v>2386</v>
      </c>
      <c r="J1383" s="44" t="s">
        <v>2498</v>
      </c>
      <c r="K1383" s="44" t="s">
        <v>3634</v>
      </c>
      <c r="L1383" s="44" t="s">
        <v>2333</v>
      </c>
      <c r="M1383" s="43"/>
      <c r="N1383" s="113" t="s">
        <v>1113</v>
      </c>
      <c r="O1383" s="113"/>
      <c r="P1383" s="113"/>
      <c r="Q1383" s="319"/>
      <c r="R1383" s="319"/>
      <c r="S1383" s="319"/>
      <c r="T1383" s="319"/>
      <c r="U1383" s="319"/>
      <c r="V1383" s="319"/>
      <c r="W1383" s="319"/>
      <c r="X1383" s="319"/>
      <c r="Y1383" s="319"/>
      <c r="Z1383" s="319"/>
      <c r="AA1383" s="319"/>
      <c r="AB1383" s="319"/>
      <c r="AC1383" s="319"/>
      <c r="AD1383" s="319"/>
      <c r="AE1383" s="319"/>
      <c r="AF1383" s="319"/>
      <c r="AG1383" s="319"/>
      <c r="AH1383" s="319"/>
      <c r="AI1383" s="319"/>
      <c r="AJ1383" s="319"/>
      <c r="AK1383" s="319"/>
      <c r="AL1383" s="113" t="s">
        <v>1113</v>
      </c>
      <c r="AM1383" s="319"/>
      <c r="AN1383" s="319"/>
      <c r="AO1383" s="44" t="s">
        <v>2334</v>
      </c>
      <c r="AP1383" s="44"/>
      <c r="AQ1383" s="236" t="str">
        <f>VLOOKUP(Table8[[#This Row],[Instrument]],Def_Targets!$D$73:$E$159,2,FALSE)</f>
        <v>A_Fueltax</v>
      </c>
      <c r="AR1383" s="233" t="str">
        <f>VLOOKUP(Table8[[#This Row],[Country Code]],Table29[],3,FALSE)</f>
        <v>Non-Annex I</v>
      </c>
      <c r="AS1383" s="233" t="str">
        <f>VLOOKUP(Table8[[#This Row],[Country Code]],Table29[],4,FALSE)</f>
        <v>Asia</v>
      </c>
      <c r="AT1383" s="233" t="str">
        <f>VLOOKUP(Table8[[#This Row],[Country Code]],Table29[],5,FALSE)</f>
        <v>Middle-income</v>
      </c>
      <c r="AU1383" s="233" t="str">
        <f>VLOOKUP(Table8[[#This Row],[Country Code]],Table29[],6,FALSE)</f>
        <v>no</v>
      </c>
      <c r="AV1383" s="233" t="str">
        <f>VLOOKUP(Table8[[#This Row],[Country Code]],Table29[],7,FALSE)</f>
        <v>no</v>
      </c>
      <c r="AW1383" s="233" t="str">
        <f>VLOOKUP(Table8[[#This Row],[Country Code]],Table29[],8,FALSE)</f>
        <v>non-OECD</v>
      </c>
      <c r="AX1383" s="233" t="str">
        <f>VLOOKUP(Table8[[#This Row],[Country Code]],Table29[],9,FALSE)</f>
        <v>no</v>
      </c>
      <c r="AY1383" s="233" t="str">
        <f>VLOOKUP(Table8[[#This Row],[Country Code]],Table29[],10,FALSE)</f>
        <v>no</v>
      </c>
      <c r="AZ1383" s="235">
        <f>VLOOKUP(Table8[[#This Row],[Country Code]],Table29[],23,FALSE)</f>
        <v>83.704559899686998</v>
      </c>
      <c r="BA1383" s="235">
        <f>VLOOKUP(Table8[[#This Row],[Country Code]],Table29[],24,FALSE)</f>
        <v>3.0053836949054058</v>
      </c>
      <c r="BB1383" s="320"/>
      <c r="BC1383" s="320"/>
    </row>
    <row r="1384" spans="1:55" ht="30" hidden="1" x14ac:dyDescent="0.25">
      <c r="A1384" s="373">
        <v>17666</v>
      </c>
      <c r="B1384" s="233" t="str">
        <f>VLOOKUP(Table8[[#This Row],[Document ID]],Table1[],2,FALSE)</f>
        <v>MNG</v>
      </c>
      <c r="C1384" s="233" t="str">
        <f>VLOOKUP(Table8[[#This Row],[Document ID]],Table1[],3,FALSE)</f>
        <v>Mongolia</v>
      </c>
      <c r="D1384" s="243" t="str">
        <f>VLOOKUP(Table8[[#This Row],[Document ID]],Table1[],5,FALSE)</f>
        <v>NDC</v>
      </c>
      <c r="E1384" s="233" t="str">
        <f>VLOOKUP(Table8[[#This Row],[Document ID]],Table1[],7,FALSE)</f>
        <v>First NDC</v>
      </c>
      <c r="F1384" s="236" t="str">
        <f>VLOOKUP(Table8[[#This Row],[Document ID]],Table1[],8,FALSE)</f>
        <v>NDC 1.0</v>
      </c>
      <c r="G1384" s="236" t="str">
        <f>VLOOKUP(Table8[[#This Row],[Document ID]],Table1[],10,FALSE)</f>
        <v>Archived</v>
      </c>
      <c r="H1384" s="43" t="s">
        <v>2358</v>
      </c>
      <c r="I1384" s="43" t="s">
        <v>2359</v>
      </c>
      <c r="J1384" s="44" t="s">
        <v>2360</v>
      </c>
      <c r="K1384" s="44" t="s">
        <v>1877</v>
      </c>
      <c r="L1384" s="44" t="s">
        <v>2333</v>
      </c>
      <c r="M1384" s="43"/>
      <c r="N1384" s="113"/>
      <c r="O1384" s="113"/>
      <c r="P1384" s="113"/>
      <c r="Q1384" s="319"/>
      <c r="R1384" s="319"/>
      <c r="S1384" s="113" t="s">
        <v>1113</v>
      </c>
      <c r="T1384" s="319"/>
      <c r="U1384" s="319"/>
      <c r="V1384" s="319"/>
      <c r="W1384" s="319"/>
      <c r="X1384" s="319"/>
      <c r="Y1384" s="319"/>
      <c r="Z1384" s="319"/>
      <c r="AA1384" s="319"/>
      <c r="AB1384" s="319"/>
      <c r="AC1384" s="319"/>
      <c r="AD1384" s="319"/>
      <c r="AE1384" s="319"/>
      <c r="AF1384" s="319"/>
      <c r="AG1384" s="319"/>
      <c r="AH1384" s="319"/>
      <c r="AI1384" s="319"/>
      <c r="AJ1384" s="319"/>
      <c r="AK1384" s="319" t="s">
        <v>1113</v>
      </c>
      <c r="AL1384" s="319"/>
      <c r="AM1384" s="319"/>
      <c r="AN1384" s="319"/>
      <c r="AO1384" s="43" t="s">
        <v>2348</v>
      </c>
      <c r="AP1384" s="44"/>
      <c r="AQ1384" s="236" t="str">
        <f>VLOOKUP(Table8[[#This Row],[Instrument]],Def_Targets!$D$73:$E$159,2,FALSE)</f>
        <v>I_Emobility</v>
      </c>
      <c r="AR1384" s="233" t="str">
        <f>VLOOKUP(Table8[[#This Row],[Country Code]],Table29[],3,FALSE)</f>
        <v>Non-Annex I</v>
      </c>
      <c r="AS1384" s="233" t="str">
        <f>VLOOKUP(Table8[[#This Row],[Country Code]],Table29[],4,FALSE)</f>
        <v>Asia</v>
      </c>
      <c r="AT1384" s="233" t="str">
        <f>VLOOKUP(Table8[[#This Row],[Country Code]],Table29[],5,FALSE)</f>
        <v>Middle-income</v>
      </c>
      <c r="AU1384" s="233" t="str">
        <f>VLOOKUP(Table8[[#This Row],[Country Code]],Table29[],6,FALSE)</f>
        <v>no</v>
      </c>
      <c r="AV1384" s="233" t="str">
        <f>VLOOKUP(Table8[[#This Row],[Country Code]],Table29[],7,FALSE)</f>
        <v>no</v>
      </c>
      <c r="AW1384" s="233" t="str">
        <f>VLOOKUP(Table8[[#This Row],[Country Code]],Table29[],8,FALSE)</f>
        <v>non-OECD</v>
      </c>
      <c r="AX1384" s="233" t="str">
        <f>VLOOKUP(Table8[[#This Row],[Country Code]],Table29[],9,FALSE)</f>
        <v>no</v>
      </c>
      <c r="AY1384" s="233" t="str">
        <f>VLOOKUP(Table8[[#This Row],[Country Code]],Table29[],10,FALSE)</f>
        <v>no</v>
      </c>
      <c r="AZ1384" s="235">
        <f>VLOOKUP(Table8[[#This Row],[Country Code]],Table29[],23,FALSE)</f>
        <v>83.704559899686998</v>
      </c>
      <c r="BA1384" s="235">
        <f>VLOOKUP(Table8[[#This Row],[Country Code]],Table29[],24,FALSE)</f>
        <v>3.0053836949054058</v>
      </c>
      <c r="BB1384" s="320"/>
      <c r="BC1384" s="320"/>
    </row>
    <row r="1385" spans="1:55" hidden="1" x14ac:dyDescent="0.25">
      <c r="A1385" s="373">
        <v>17666</v>
      </c>
      <c r="B1385" s="233" t="str">
        <f>VLOOKUP(Table8[[#This Row],[Document ID]],Table1[],2,FALSE)</f>
        <v>MNG</v>
      </c>
      <c r="C1385" s="233" t="str">
        <f>VLOOKUP(Table8[[#This Row],[Document ID]],Table1[],3,FALSE)</f>
        <v>Mongolia</v>
      </c>
      <c r="D1385" s="243" t="str">
        <f>VLOOKUP(Table8[[#This Row],[Document ID]],Table1[],5,FALSE)</f>
        <v>NDC</v>
      </c>
      <c r="E1385" s="233" t="str">
        <f>VLOOKUP(Table8[[#This Row],[Document ID]],Table1[],7,FALSE)</f>
        <v>First NDC</v>
      </c>
      <c r="F1385" s="236" t="str">
        <f>VLOOKUP(Table8[[#This Row],[Document ID]],Table1[],8,FALSE)</f>
        <v>NDC 1.0</v>
      </c>
      <c r="G1385" s="236" t="str">
        <f>VLOOKUP(Table8[[#This Row],[Document ID]],Table1[],10,FALSE)</f>
        <v>Archived</v>
      </c>
      <c r="H1385" s="43" t="s">
        <v>2350</v>
      </c>
      <c r="I1385" s="43" t="s">
        <v>2456</v>
      </c>
      <c r="J1385" s="44" t="s">
        <v>2457</v>
      </c>
      <c r="K1385" s="44" t="s">
        <v>1876</v>
      </c>
      <c r="L1385" s="44" t="s">
        <v>2380</v>
      </c>
      <c r="M1385" s="43"/>
      <c r="N1385" s="113"/>
      <c r="O1385" s="113"/>
      <c r="P1385" s="113"/>
      <c r="Q1385" s="319"/>
      <c r="R1385" s="319"/>
      <c r="S1385" s="113" t="s">
        <v>1113</v>
      </c>
      <c r="T1385" s="319"/>
      <c r="U1385" s="319"/>
      <c r="V1385" s="319"/>
      <c r="W1385" s="319"/>
      <c r="X1385" s="319"/>
      <c r="Y1385" s="319"/>
      <c r="Z1385" s="319"/>
      <c r="AA1385" s="319"/>
      <c r="AB1385" s="319"/>
      <c r="AC1385" s="319"/>
      <c r="AD1385" s="319"/>
      <c r="AE1385" s="319"/>
      <c r="AF1385" s="319"/>
      <c r="AG1385" s="319"/>
      <c r="AH1385" s="319"/>
      <c r="AI1385" s="319"/>
      <c r="AJ1385" s="319"/>
      <c r="AK1385" s="319"/>
      <c r="AL1385" s="113" t="s">
        <v>1113</v>
      </c>
      <c r="AM1385" s="319"/>
      <c r="AN1385" s="319"/>
      <c r="AO1385" s="44" t="s">
        <v>2334</v>
      </c>
      <c r="AP1385" s="44"/>
      <c r="AQ1385" s="236" t="str">
        <f>VLOOKUP(Table8[[#This Row],[Instrument]],Def_Targets!$D$73:$E$159,2,FALSE)</f>
        <v>S_Infraimprove</v>
      </c>
      <c r="AR1385" s="233" t="str">
        <f>VLOOKUP(Table8[[#This Row],[Country Code]],Table29[],3,FALSE)</f>
        <v>Non-Annex I</v>
      </c>
      <c r="AS1385" s="233" t="str">
        <f>VLOOKUP(Table8[[#This Row],[Country Code]],Table29[],4,FALSE)</f>
        <v>Asia</v>
      </c>
      <c r="AT1385" s="233" t="str">
        <f>VLOOKUP(Table8[[#This Row],[Country Code]],Table29[],5,FALSE)</f>
        <v>Middle-income</v>
      </c>
      <c r="AU1385" s="233" t="str">
        <f>VLOOKUP(Table8[[#This Row],[Country Code]],Table29[],6,FALSE)</f>
        <v>no</v>
      </c>
      <c r="AV1385" s="233" t="str">
        <f>VLOOKUP(Table8[[#This Row],[Country Code]],Table29[],7,FALSE)</f>
        <v>no</v>
      </c>
      <c r="AW1385" s="233" t="str">
        <f>VLOOKUP(Table8[[#This Row],[Country Code]],Table29[],8,FALSE)</f>
        <v>non-OECD</v>
      </c>
      <c r="AX1385" s="233" t="str">
        <f>VLOOKUP(Table8[[#This Row],[Country Code]],Table29[],9,FALSE)</f>
        <v>no</v>
      </c>
      <c r="AY1385" s="233" t="str">
        <f>VLOOKUP(Table8[[#This Row],[Country Code]],Table29[],10,FALSE)</f>
        <v>no</v>
      </c>
      <c r="AZ1385" s="235">
        <f>VLOOKUP(Table8[[#This Row],[Country Code]],Table29[],23,FALSE)</f>
        <v>83.704559899686998</v>
      </c>
      <c r="BA1385" s="235">
        <f>VLOOKUP(Table8[[#This Row],[Country Code]],Table29[],24,FALSE)</f>
        <v>3.0053836949054058</v>
      </c>
      <c r="BB1385" s="320"/>
      <c r="BC1385" s="320"/>
    </row>
    <row r="1386" spans="1:55" hidden="1" x14ac:dyDescent="0.25">
      <c r="A1386" s="373">
        <v>17666</v>
      </c>
      <c r="B1386" s="233" t="str">
        <f>VLOOKUP(Table8[[#This Row],[Document ID]],Table1[],2,FALSE)</f>
        <v>MNG</v>
      </c>
      <c r="C1386" s="233" t="str">
        <f>VLOOKUP(Table8[[#This Row],[Document ID]],Table1[],3,FALSE)</f>
        <v>Mongolia</v>
      </c>
      <c r="D1386" s="243" t="str">
        <f>VLOOKUP(Table8[[#This Row],[Document ID]],Table1[],5,FALSE)</f>
        <v>NDC</v>
      </c>
      <c r="E1386" s="233" t="str">
        <f>VLOOKUP(Table8[[#This Row],[Document ID]],Table1[],7,FALSE)</f>
        <v>First NDC</v>
      </c>
      <c r="F1386" s="236" t="str">
        <f>VLOOKUP(Table8[[#This Row],[Document ID]],Table1[],8,FALSE)</f>
        <v>NDC 1.0</v>
      </c>
      <c r="G1386" s="236" t="str">
        <f>VLOOKUP(Table8[[#This Row],[Document ID]],Table1[],10,FALSE)</f>
        <v>Archived</v>
      </c>
      <c r="H1386" s="43" t="s">
        <v>2343</v>
      </c>
      <c r="I1386" s="43" t="s">
        <v>2344</v>
      </c>
      <c r="J1386" s="44" t="s">
        <v>2549</v>
      </c>
      <c r="K1386" s="44" t="s">
        <v>3635</v>
      </c>
      <c r="L1386" s="44" t="s">
        <v>2347</v>
      </c>
      <c r="M1386" s="43"/>
      <c r="N1386" s="113"/>
      <c r="O1386" s="113"/>
      <c r="P1386" s="113"/>
      <c r="Q1386" s="319"/>
      <c r="R1386" s="319"/>
      <c r="S1386" s="319"/>
      <c r="T1386" s="319"/>
      <c r="U1386" s="319"/>
      <c r="V1386" s="319"/>
      <c r="W1386" s="319"/>
      <c r="X1386" s="319"/>
      <c r="Y1386" s="113" t="s">
        <v>1113</v>
      </c>
      <c r="Z1386" s="113"/>
      <c r="AA1386" s="319"/>
      <c r="AB1386" s="319"/>
      <c r="AC1386" s="319"/>
      <c r="AD1386" s="319"/>
      <c r="AE1386" s="319"/>
      <c r="AF1386" s="319"/>
      <c r="AG1386" s="319"/>
      <c r="AH1386" s="319"/>
      <c r="AI1386" s="319"/>
      <c r="AJ1386" s="319"/>
      <c r="AK1386" s="319"/>
      <c r="AL1386" s="113" t="s">
        <v>1113</v>
      </c>
      <c r="AM1386" s="319"/>
      <c r="AN1386" s="319"/>
      <c r="AO1386" s="43" t="s">
        <v>2348</v>
      </c>
      <c r="AP1386" s="44"/>
      <c r="AQ1386" s="236" t="str">
        <f>VLOOKUP(Table8[[#This Row],[Instrument]],Def_Targets!$D$73:$E$159,2,FALSE)</f>
        <v>S_BRT</v>
      </c>
      <c r="AR1386" s="233" t="str">
        <f>VLOOKUP(Table8[[#This Row],[Country Code]],Table29[],3,FALSE)</f>
        <v>Non-Annex I</v>
      </c>
      <c r="AS1386" s="233" t="str">
        <f>VLOOKUP(Table8[[#This Row],[Country Code]],Table29[],4,FALSE)</f>
        <v>Asia</v>
      </c>
      <c r="AT1386" s="233" t="str">
        <f>VLOOKUP(Table8[[#This Row],[Country Code]],Table29[],5,FALSE)</f>
        <v>Middle-income</v>
      </c>
      <c r="AU1386" s="233" t="str">
        <f>VLOOKUP(Table8[[#This Row],[Country Code]],Table29[],6,FALSE)</f>
        <v>no</v>
      </c>
      <c r="AV1386" s="233" t="str">
        <f>VLOOKUP(Table8[[#This Row],[Country Code]],Table29[],7,FALSE)</f>
        <v>no</v>
      </c>
      <c r="AW1386" s="233" t="str">
        <f>VLOOKUP(Table8[[#This Row],[Country Code]],Table29[],8,FALSE)</f>
        <v>non-OECD</v>
      </c>
      <c r="AX1386" s="233" t="str">
        <f>VLOOKUP(Table8[[#This Row],[Country Code]],Table29[],9,FALSE)</f>
        <v>no</v>
      </c>
      <c r="AY1386" s="233" t="str">
        <f>VLOOKUP(Table8[[#This Row],[Country Code]],Table29[],10,FALSE)</f>
        <v>no</v>
      </c>
      <c r="AZ1386" s="235">
        <f>VLOOKUP(Table8[[#This Row],[Country Code]],Table29[],23,FALSE)</f>
        <v>83.704559899686998</v>
      </c>
      <c r="BA1386" s="235">
        <f>VLOOKUP(Table8[[#This Row],[Country Code]],Table29[],24,FALSE)</f>
        <v>3.0053836949054058</v>
      </c>
      <c r="BB1386" s="320"/>
      <c r="BC1386" s="320"/>
    </row>
    <row r="1387" spans="1:55" hidden="1" x14ac:dyDescent="0.25">
      <c r="A1387" s="373">
        <v>17666</v>
      </c>
      <c r="B1387" s="233" t="str">
        <f>VLOOKUP(Table8[[#This Row],[Document ID]],Table1[],2,FALSE)</f>
        <v>MNG</v>
      </c>
      <c r="C1387" s="233" t="str">
        <f>VLOOKUP(Table8[[#This Row],[Document ID]],Table1[],3,FALSE)</f>
        <v>Mongolia</v>
      </c>
      <c r="D1387" s="243" t="str">
        <f>VLOOKUP(Table8[[#This Row],[Document ID]],Table1[],5,FALSE)</f>
        <v>NDC</v>
      </c>
      <c r="E1387" s="233" t="str">
        <f>VLOOKUP(Table8[[#This Row],[Document ID]],Table1[],7,FALSE)</f>
        <v>First NDC</v>
      </c>
      <c r="F1387" s="236" t="str">
        <f>VLOOKUP(Table8[[#This Row],[Document ID]],Table1[],8,FALSE)</f>
        <v>NDC 1.0</v>
      </c>
      <c r="G1387" s="236" t="str">
        <f>VLOOKUP(Table8[[#This Row],[Document ID]],Table1[],10,FALSE)</f>
        <v>Archived</v>
      </c>
      <c r="H1387" s="43" t="s">
        <v>2343</v>
      </c>
      <c r="I1387" s="43" t="s">
        <v>2344</v>
      </c>
      <c r="J1387" s="44" t="s">
        <v>2345</v>
      </c>
      <c r="K1387" s="44" t="s">
        <v>3636</v>
      </c>
      <c r="L1387" s="44" t="s">
        <v>2347</v>
      </c>
      <c r="M1387" s="43"/>
      <c r="N1387" s="113" t="s">
        <v>1113</v>
      </c>
      <c r="O1387" s="113"/>
      <c r="P1387" s="113"/>
      <c r="Q1387" s="319"/>
      <c r="R1387" s="319"/>
      <c r="S1387" s="319"/>
      <c r="T1387" s="319"/>
      <c r="U1387" s="319"/>
      <c r="V1387" s="319"/>
      <c r="W1387" s="319"/>
      <c r="X1387" s="319"/>
      <c r="Y1387" s="319"/>
      <c r="Z1387" s="319"/>
      <c r="AA1387" s="319"/>
      <c r="AB1387" s="319"/>
      <c r="AC1387" s="319"/>
      <c r="AD1387" s="319"/>
      <c r="AE1387" s="319"/>
      <c r="AF1387" s="319"/>
      <c r="AG1387" s="319"/>
      <c r="AH1387" s="319"/>
      <c r="AI1387" s="319"/>
      <c r="AJ1387" s="319"/>
      <c r="AK1387" s="319"/>
      <c r="AL1387" s="113" t="s">
        <v>1113</v>
      </c>
      <c r="AM1387" s="319"/>
      <c r="AN1387" s="319"/>
      <c r="AO1387" s="43" t="s">
        <v>2348</v>
      </c>
      <c r="AP1387" s="44"/>
      <c r="AQ1387" s="236" t="str">
        <f>VLOOKUP(Table8[[#This Row],[Instrument]],Def_Targets!$D$73:$E$159,2,FALSE)</f>
        <v>S_PublicTransport</v>
      </c>
      <c r="AR1387" s="233" t="str">
        <f>VLOOKUP(Table8[[#This Row],[Country Code]],Table29[],3,FALSE)</f>
        <v>Non-Annex I</v>
      </c>
      <c r="AS1387" s="233" t="str">
        <f>VLOOKUP(Table8[[#This Row],[Country Code]],Table29[],4,FALSE)</f>
        <v>Asia</v>
      </c>
      <c r="AT1387" s="233" t="str">
        <f>VLOOKUP(Table8[[#This Row],[Country Code]],Table29[],5,FALSE)</f>
        <v>Middle-income</v>
      </c>
      <c r="AU1387" s="233" t="str">
        <f>VLOOKUP(Table8[[#This Row],[Country Code]],Table29[],6,FALSE)</f>
        <v>no</v>
      </c>
      <c r="AV1387" s="233" t="str">
        <f>VLOOKUP(Table8[[#This Row],[Country Code]],Table29[],7,FALSE)</f>
        <v>no</v>
      </c>
      <c r="AW1387" s="233" t="str">
        <f>VLOOKUP(Table8[[#This Row],[Country Code]],Table29[],8,FALSE)</f>
        <v>non-OECD</v>
      </c>
      <c r="AX1387" s="233" t="str">
        <f>VLOOKUP(Table8[[#This Row],[Country Code]],Table29[],9,FALSE)</f>
        <v>no</v>
      </c>
      <c r="AY1387" s="233" t="str">
        <f>VLOOKUP(Table8[[#This Row],[Country Code]],Table29[],10,FALSE)</f>
        <v>no</v>
      </c>
      <c r="AZ1387" s="235">
        <f>VLOOKUP(Table8[[#This Row],[Country Code]],Table29[],23,FALSE)</f>
        <v>83.704559899686998</v>
      </c>
      <c r="BA1387" s="235">
        <f>VLOOKUP(Table8[[#This Row],[Country Code]],Table29[],24,FALSE)</f>
        <v>3.0053836949054058</v>
      </c>
      <c r="BB1387" s="320"/>
      <c r="BC1387" s="320"/>
    </row>
    <row r="1388" spans="1:55" hidden="1" x14ac:dyDescent="0.25">
      <c r="A1388" s="373">
        <v>17666</v>
      </c>
      <c r="B1388" s="233" t="str">
        <f>VLOOKUP(Table8[[#This Row],[Document ID]],Table1[],2,FALSE)</f>
        <v>MNG</v>
      </c>
      <c r="C1388" s="233" t="str">
        <f>VLOOKUP(Table8[[#This Row],[Document ID]],Table1[],3,FALSE)</f>
        <v>Mongolia</v>
      </c>
      <c r="D1388" s="243" t="str">
        <f>VLOOKUP(Table8[[#This Row],[Document ID]],Table1[],5,FALSE)</f>
        <v>NDC</v>
      </c>
      <c r="E1388" s="233" t="str">
        <f>VLOOKUP(Table8[[#This Row],[Document ID]],Table1[],7,FALSE)</f>
        <v>First NDC</v>
      </c>
      <c r="F1388" s="236" t="str">
        <f>VLOOKUP(Table8[[#This Row],[Document ID]],Table1[],8,FALSE)</f>
        <v>NDC 1.0</v>
      </c>
      <c r="G1388" s="236" t="str">
        <f>VLOOKUP(Table8[[#This Row],[Document ID]],Table1[],10,FALSE)</f>
        <v>Archived</v>
      </c>
      <c r="H1388" s="44" t="s">
        <v>2338</v>
      </c>
      <c r="I1388" s="44" t="s">
        <v>2339</v>
      </c>
      <c r="J1388" s="44" t="s">
        <v>2340</v>
      </c>
      <c r="K1388" s="44" t="s">
        <v>3637</v>
      </c>
      <c r="L1388" s="44" t="s">
        <v>2333</v>
      </c>
      <c r="M1388" s="43"/>
      <c r="N1388" s="113" t="s">
        <v>1113</v>
      </c>
      <c r="O1388" s="113"/>
      <c r="P1388" s="113"/>
      <c r="Q1388" s="319"/>
      <c r="R1388" s="319"/>
      <c r="S1388" s="319"/>
      <c r="T1388" s="319"/>
      <c r="U1388" s="319"/>
      <c r="V1388" s="319"/>
      <c r="W1388" s="319"/>
      <c r="X1388" s="319"/>
      <c r="Y1388" s="319"/>
      <c r="Z1388" s="319"/>
      <c r="AA1388" s="319"/>
      <c r="AB1388" s="319"/>
      <c r="AC1388" s="319"/>
      <c r="AD1388" s="319"/>
      <c r="AE1388" s="319"/>
      <c r="AF1388" s="319"/>
      <c r="AG1388" s="319"/>
      <c r="AH1388" s="319"/>
      <c r="AI1388" s="319"/>
      <c r="AJ1388" s="319"/>
      <c r="AK1388" s="319" t="s">
        <v>1113</v>
      </c>
      <c r="AL1388" s="319"/>
      <c r="AM1388" s="319"/>
      <c r="AN1388" s="319"/>
      <c r="AO1388" s="44" t="s">
        <v>2334</v>
      </c>
      <c r="AP1388" s="44"/>
      <c r="AQ1388" s="236" t="str">
        <f>VLOOKUP(Table8[[#This Row],[Instrument]],Def_Targets!$D$73:$E$159,2,FALSE)</f>
        <v>I_Vehicleimprove</v>
      </c>
      <c r="AR1388" s="233" t="str">
        <f>VLOOKUP(Table8[[#This Row],[Country Code]],Table29[],3,FALSE)</f>
        <v>Non-Annex I</v>
      </c>
      <c r="AS1388" s="233" t="str">
        <f>VLOOKUP(Table8[[#This Row],[Country Code]],Table29[],4,FALSE)</f>
        <v>Asia</v>
      </c>
      <c r="AT1388" s="233" t="str">
        <f>VLOOKUP(Table8[[#This Row],[Country Code]],Table29[],5,FALSE)</f>
        <v>Middle-income</v>
      </c>
      <c r="AU1388" s="233" t="str">
        <f>VLOOKUP(Table8[[#This Row],[Country Code]],Table29[],6,FALSE)</f>
        <v>no</v>
      </c>
      <c r="AV1388" s="233" t="str">
        <f>VLOOKUP(Table8[[#This Row],[Country Code]],Table29[],7,FALSE)</f>
        <v>no</v>
      </c>
      <c r="AW1388" s="233" t="str">
        <f>VLOOKUP(Table8[[#This Row],[Country Code]],Table29[],8,FALSE)</f>
        <v>non-OECD</v>
      </c>
      <c r="AX1388" s="233" t="str">
        <f>VLOOKUP(Table8[[#This Row],[Country Code]],Table29[],9,FALSE)</f>
        <v>no</v>
      </c>
      <c r="AY1388" s="233" t="str">
        <f>VLOOKUP(Table8[[#This Row],[Country Code]],Table29[],10,FALSE)</f>
        <v>no</v>
      </c>
      <c r="AZ1388" s="235">
        <f>VLOOKUP(Table8[[#This Row],[Country Code]],Table29[],23,FALSE)</f>
        <v>83.704559899686998</v>
      </c>
      <c r="BA1388" s="235">
        <f>VLOOKUP(Table8[[#This Row],[Country Code]],Table29[],24,FALSE)</f>
        <v>3.0053836949054058</v>
      </c>
      <c r="BB1388" s="320"/>
      <c r="BC1388" s="320"/>
    </row>
    <row r="1389" spans="1:55" ht="30" hidden="1" x14ac:dyDescent="0.25">
      <c r="A1389" s="373">
        <v>17667</v>
      </c>
      <c r="B1389" s="233" t="str">
        <f>VLOOKUP(Table8[[#This Row],[Document ID]],Table1[],2,FALSE)</f>
        <v>MNG</v>
      </c>
      <c r="C1389" s="233" t="str">
        <f>VLOOKUP(Table8[[#This Row],[Document ID]],Table1[],3,FALSE)</f>
        <v>Mongolia</v>
      </c>
      <c r="D1389" s="243" t="str">
        <f>VLOOKUP(Table8[[#This Row],[Document ID]],Table1[],5,FALSE)</f>
        <v>NDC</v>
      </c>
      <c r="E1389" s="233" t="str">
        <f>VLOOKUP(Table8[[#This Row],[Document ID]],Table1[],7,FALSE)</f>
        <v>First NDC updated</v>
      </c>
      <c r="F1389" s="233" t="str">
        <f>VLOOKUP(Table8[[#This Row],[Document ID]],Table1[],8,FALSE)</f>
        <v>NDC 1.1</v>
      </c>
      <c r="G1389" s="233" t="str">
        <f>VLOOKUP(Table8[[#This Row],[Document ID]],Table1[],10,FALSE)</f>
        <v>Active</v>
      </c>
      <c r="H1389" s="43" t="s">
        <v>2350</v>
      </c>
      <c r="I1389" s="43" t="s">
        <v>2351</v>
      </c>
      <c r="J1389" s="44" t="s">
        <v>2352</v>
      </c>
      <c r="K1389" s="44" t="s">
        <v>3638</v>
      </c>
      <c r="L1389" s="44" t="s">
        <v>2347</v>
      </c>
      <c r="M1389" s="43">
        <v>5</v>
      </c>
      <c r="N1389" s="113"/>
      <c r="O1389" s="113"/>
      <c r="P1389" s="113"/>
      <c r="Q1389" s="113"/>
      <c r="R1389" s="113"/>
      <c r="S1389" s="113"/>
      <c r="T1389" s="113"/>
      <c r="U1389" s="113"/>
      <c r="V1389" s="113"/>
      <c r="W1389" s="113"/>
      <c r="X1389" s="113"/>
      <c r="Y1389" s="113"/>
      <c r="Z1389" s="113" t="s">
        <v>1113</v>
      </c>
      <c r="AA1389" s="113"/>
      <c r="AB1389" s="113"/>
      <c r="AC1389" s="113"/>
      <c r="AD1389" s="113"/>
      <c r="AE1389" s="113"/>
      <c r="AF1389" s="113"/>
      <c r="AG1389" s="113"/>
      <c r="AH1389" s="113"/>
      <c r="AI1389" s="113"/>
      <c r="AJ1389" s="113"/>
      <c r="AK1389" s="113"/>
      <c r="AL1389" s="113"/>
      <c r="AM1389" s="113"/>
      <c r="AN1389" s="113" t="s">
        <v>1113</v>
      </c>
      <c r="AO1389" s="43" t="s">
        <v>2353</v>
      </c>
      <c r="AP1389" s="43"/>
      <c r="AQ1389" s="236" t="str">
        <f>VLOOKUP(Table8[[#This Row],[Instrument]],Def_Targets!$D$73:$E$159,2,FALSE)</f>
        <v>S_Railfreight</v>
      </c>
      <c r="AR1389" s="233" t="str">
        <f>VLOOKUP(Table8[[#This Row],[Country Code]],Table29[],3,FALSE)</f>
        <v>Non-Annex I</v>
      </c>
      <c r="AS1389" s="233" t="str">
        <f>VLOOKUP(Table8[[#This Row],[Country Code]],Table29[],4,FALSE)</f>
        <v>Asia</v>
      </c>
      <c r="AT1389" s="233" t="str">
        <f>VLOOKUP(Table8[[#This Row],[Country Code]],Table29[],5,FALSE)</f>
        <v>Middle-income</v>
      </c>
      <c r="AU1389" s="233" t="str">
        <f>VLOOKUP(Table8[[#This Row],[Country Code]],Table29[],6,FALSE)</f>
        <v>no</v>
      </c>
      <c r="AV1389" s="233" t="str">
        <f>VLOOKUP(Table8[[#This Row],[Country Code]],Table29[],7,FALSE)</f>
        <v>no</v>
      </c>
      <c r="AW1389" s="233" t="str">
        <f>VLOOKUP(Table8[[#This Row],[Country Code]],Table29[],8,FALSE)</f>
        <v>non-OECD</v>
      </c>
      <c r="AX1389" s="233" t="str">
        <f>VLOOKUP(Table8[[#This Row],[Country Code]],Table29[],9,FALSE)</f>
        <v>no</v>
      </c>
      <c r="AY1389" s="233" t="str">
        <f>VLOOKUP(Table8[[#This Row],[Country Code]],Table29[],10,FALSE)</f>
        <v>no</v>
      </c>
      <c r="AZ1389" s="235">
        <f>VLOOKUP(Table8[[#This Row],[Country Code]],Table29[],23,FALSE)</f>
        <v>83.704559899686998</v>
      </c>
      <c r="BA1389" s="235">
        <f>VLOOKUP(Table8[[#This Row],[Country Code]],Table29[],24,FALSE)</f>
        <v>3.0053836949054058</v>
      </c>
      <c r="BB1389" s="320"/>
      <c r="BC1389" s="320"/>
    </row>
    <row r="1390" spans="1:55" hidden="1" x14ac:dyDescent="0.25">
      <c r="A1390" s="373">
        <v>17667</v>
      </c>
      <c r="B1390" s="233" t="str">
        <f>VLOOKUP(Table8[[#This Row],[Document ID]],Table1[],2,FALSE)</f>
        <v>MNG</v>
      </c>
      <c r="C1390" s="233" t="str">
        <f>VLOOKUP(Table8[[#This Row],[Document ID]],Table1[],3,FALSE)</f>
        <v>Mongolia</v>
      </c>
      <c r="D1390" s="243" t="str">
        <f>VLOOKUP(Table8[[#This Row],[Document ID]],Table1[],5,FALSE)</f>
        <v>NDC</v>
      </c>
      <c r="E1390" s="233" t="str">
        <f>VLOOKUP(Table8[[#This Row],[Document ID]],Table1[],7,FALSE)</f>
        <v>First NDC updated</v>
      </c>
      <c r="F1390" s="233" t="str">
        <f>VLOOKUP(Table8[[#This Row],[Document ID]],Table1[],8,FALSE)</f>
        <v>NDC 1.1</v>
      </c>
      <c r="G1390" s="233" t="str">
        <f>VLOOKUP(Table8[[#This Row],[Document ID]],Table1[],10,FALSE)</f>
        <v>Active</v>
      </c>
      <c r="H1390" s="43" t="s">
        <v>2343</v>
      </c>
      <c r="I1390" s="43" t="s">
        <v>2429</v>
      </c>
      <c r="J1390" s="44" t="s">
        <v>2472</v>
      </c>
      <c r="K1390" s="44" t="s">
        <v>3639</v>
      </c>
      <c r="L1390" s="44" t="s">
        <v>2333</v>
      </c>
      <c r="M1390" s="43">
        <v>5</v>
      </c>
      <c r="N1390" s="113"/>
      <c r="O1390" s="113"/>
      <c r="P1390" s="113"/>
      <c r="Q1390" s="113"/>
      <c r="R1390" s="113"/>
      <c r="S1390" s="113"/>
      <c r="T1390" s="113"/>
      <c r="U1390" s="113"/>
      <c r="V1390" s="113"/>
      <c r="W1390" s="113"/>
      <c r="X1390" s="113"/>
      <c r="Y1390" s="113"/>
      <c r="Z1390" s="113" t="s">
        <v>1113</v>
      </c>
      <c r="AA1390" s="113"/>
      <c r="AB1390" s="113"/>
      <c r="AC1390" s="113"/>
      <c r="AD1390" s="113"/>
      <c r="AE1390" s="113"/>
      <c r="AF1390" s="113"/>
      <c r="AG1390" s="113"/>
      <c r="AH1390" s="113"/>
      <c r="AI1390" s="113"/>
      <c r="AJ1390" s="113"/>
      <c r="AK1390" s="113"/>
      <c r="AL1390" s="113"/>
      <c r="AM1390" s="113"/>
      <c r="AN1390" s="113" t="s">
        <v>1113</v>
      </c>
      <c r="AO1390" s="43" t="s">
        <v>2348</v>
      </c>
      <c r="AP1390" s="43"/>
      <c r="AQ1390" s="236" t="str">
        <f>VLOOKUP(Table8[[#This Row],[Instrument]],Def_Targets!$D$73:$E$159,2,FALSE)</f>
        <v>I_Other</v>
      </c>
      <c r="AR1390" s="233" t="str">
        <f>VLOOKUP(Table8[[#This Row],[Country Code]],Table29[],3,FALSE)</f>
        <v>Non-Annex I</v>
      </c>
      <c r="AS1390" s="233" t="str">
        <f>VLOOKUP(Table8[[#This Row],[Country Code]],Table29[],4,FALSE)</f>
        <v>Asia</v>
      </c>
      <c r="AT1390" s="233" t="str">
        <f>VLOOKUP(Table8[[#This Row],[Country Code]],Table29[],5,FALSE)</f>
        <v>Middle-income</v>
      </c>
      <c r="AU1390" s="233" t="str">
        <f>VLOOKUP(Table8[[#This Row],[Country Code]],Table29[],6,FALSE)</f>
        <v>no</v>
      </c>
      <c r="AV1390" s="233" t="str">
        <f>VLOOKUP(Table8[[#This Row],[Country Code]],Table29[],7,FALSE)</f>
        <v>no</v>
      </c>
      <c r="AW1390" s="233" t="str">
        <f>VLOOKUP(Table8[[#This Row],[Country Code]],Table29[],8,FALSE)</f>
        <v>non-OECD</v>
      </c>
      <c r="AX1390" s="233" t="str">
        <f>VLOOKUP(Table8[[#This Row],[Country Code]],Table29[],9,FALSE)</f>
        <v>no</v>
      </c>
      <c r="AY1390" s="233" t="str">
        <f>VLOOKUP(Table8[[#This Row],[Country Code]],Table29[],10,FALSE)</f>
        <v>no</v>
      </c>
      <c r="AZ1390" s="235">
        <f>VLOOKUP(Table8[[#This Row],[Country Code]],Table29[],23,FALSE)</f>
        <v>83.704559899686998</v>
      </c>
      <c r="BA1390" s="235">
        <f>VLOOKUP(Table8[[#This Row],[Country Code]],Table29[],24,FALSE)</f>
        <v>3.0053836949054058</v>
      </c>
      <c r="BB1390" s="320"/>
      <c r="BC1390" s="320"/>
    </row>
    <row r="1391" spans="1:55" hidden="1" x14ac:dyDescent="0.25">
      <c r="A1391" s="373">
        <v>17667</v>
      </c>
      <c r="B1391" s="233" t="str">
        <f>VLOOKUP(Table8[[#This Row],[Document ID]],Table1[],2,FALSE)</f>
        <v>MNG</v>
      </c>
      <c r="C1391" s="233" t="str">
        <f>VLOOKUP(Table8[[#This Row],[Document ID]],Table1[],3,FALSE)</f>
        <v>Mongolia</v>
      </c>
      <c r="D1391" s="243" t="str">
        <f>VLOOKUP(Table8[[#This Row],[Document ID]],Table1[],5,FALSE)</f>
        <v>NDC</v>
      </c>
      <c r="E1391" s="233" t="str">
        <f>VLOOKUP(Table8[[#This Row],[Document ID]],Table1[],7,FALSE)</f>
        <v>First NDC updated</v>
      </c>
      <c r="F1391" s="233" t="str">
        <f>VLOOKUP(Table8[[#This Row],[Document ID]],Table1[],8,FALSE)</f>
        <v>NDC 1.1</v>
      </c>
      <c r="G1391" s="233" t="str">
        <f>VLOOKUP(Table8[[#This Row],[Document ID]],Table1[],10,FALSE)</f>
        <v>Active</v>
      </c>
      <c r="H1391" s="44" t="s">
        <v>2338</v>
      </c>
      <c r="I1391" s="44" t="s">
        <v>2339</v>
      </c>
      <c r="J1391" s="44" t="s">
        <v>2425</v>
      </c>
      <c r="K1391" s="44" t="s">
        <v>3640</v>
      </c>
      <c r="L1391" s="44" t="s">
        <v>2333</v>
      </c>
      <c r="M1391" s="43">
        <v>5</v>
      </c>
      <c r="N1391" s="113"/>
      <c r="O1391" s="113"/>
      <c r="P1391" s="113"/>
      <c r="Q1391" s="113"/>
      <c r="R1391" s="113"/>
      <c r="S1391" s="113"/>
      <c r="T1391" s="113"/>
      <c r="U1391" s="113" t="s">
        <v>1113</v>
      </c>
      <c r="V1391" s="113"/>
      <c r="W1391" s="113"/>
      <c r="X1391" s="113"/>
      <c r="Y1391" s="113"/>
      <c r="Z1391" s="113"/>
      <c r="AA1391" s="113"/>
      <c r="AB1391" s="113"/>
      <c r="AC1391" s="113"/>
      <c r="AD1391" s="113"/>
      <c r="AE1391" s="113"/>
      <c r="AF1391" s="113"/>
      <c r="AG1391" s="113"/>
      <c r="AH1391" s="113"/>
      <c r="AI1391" s="113"/>
      <c r="AJ1391" s="113"/>
      <c r="AK1391" s="319" t="s">
        <v>1113</v>
      </c>
      <c r="AL1391" s="113"/>
      <c r="AM1391" s="113"/>
      <c r="AN1391" s="113"/>
      <c r="AO1391" s="43" t="s">
        <v>2348</v>
      </c>
      <c r="AP1391" s="43"/>
      <c r="AQ1391" s="236" t="str">
        <f>VLOOKUP(Table8[[#This Row],[Instrument]],Def_Targets!$D$73:$E$159,2,FALSE)</f>
        <v>I_Efficiencystd</v>
      </c>
      <c r="AR1391" s="233" t="str">
        <f>VLOOKUP(Table8[[#This Row],[Country Code]],Table29[],3,FALSE)</f>
        <v>Non-Annex I</v>
      </c>
      <c r="AS1391" s="233" t="str">
        <f>VLOOKUP(Table8[[#This Row],[Country Code]],Table29[],4,FALSE)</f>
        <v>Asia</v>
      </c>
      <c r="AT1391" s="233" t="str">
        <f>VLOOKUP(Table8[[#This Row],[Country Code]],Table29[],5,FALSE)</f>
        <v>Middle-income</v>
      </c>
      <c r="AU1391" s="233" t="str">
        <f>VLOOKUP(Table8[[#This Row],[Country Code]],Table29[],6,FALSE)</f>
        <v>no</v>
      </c>
      <c r="AV1391" s="233" t="str">
        <f>VLOOKUP(Table8[[#This Row],[Country Code]],Table29[],7,FALSE)</f>
        <v>no</v>
      </c>
      <c r="AW1391" s="233" t="str">
        <f>VLOOKUP(Table8[[#This Row],[Country Code]],Table29[],8,FALSE)</f>
        <v>non-OECD</v>
      </c>
      <c r="AX1391" s="233" t="str">
        <f>VLOOKUP(Table8[[#This Row],[Country Code]],Table29[],9,FALSE)</f>
        <v>no</v>
      </c>
      <c r="AY1391" s="233" t="str">
        <f>VLOOKUP(Table8[[#This Row],[Country Code]],Table29[],10,FALSE)</f>
        <v>no</v>
      </c>
      <c r="AZ1391" s="235">
        <f>VLOOKUP(Table8[[#This Row],[Country Code]],Table29[],23,FALSE)</f>
        <v>83.704559899686998</v>
      </c>
      <c r="BA1391" s="235">
        <f>VLOOKUP(Table8[[#This Row],[Country Code]],Table29[],24,FALSE)</f>
        <v>3.0053836949054058</v>
      </c>
      <c r="BB1391" s="320"/>
      <c r="BC1391" s="320"/>
    </row>
    <row r="1392" spans="1:55" ht="45" hidden="1" x14ac:dyDescent="0.25">
      <c r="A1392" s="373">
        <v>20838</v>
      </c>
      <c r="B1392" s="233" t="str">
        <f>VLOOKUP(Table8[[#This Row],[Document ID]],Table1[],2,FALSE)</f>
        <v>MNE</v>
      </c>
      <c r="C1392" s="233" t="str">
        <f>VLOOKUP(Table8[[#This Row],[Document ID]],Table1[],3,FALSE)</f>
        <v>Montenegro</v>
      </c>
      <c r="D1392" s="243" t="str">
        <f>VLOOKUP(Table8[[#This Row],[Document ID]],Table1[],5,FALSE)</f>
        <v>NDC</v>
      </c>
      <c r="E1392" s="233" t="str">
        <f>VLOOKUP(Table8[[#This Row],[Document ID]],Table1[],7,FALSE)</f>
        <v>First NDC updated</v>
      </c>
      <c r="F1392" s="233" t="str">
        <f>VLOOKUP(Table8[[#This Row],[Document ID]],Table1[],8,FALSE)</f>
        <v>NDC 1.1</v>
      </c>
      <c r="G1392" s="233" t="str">
        <f>VLOOKUP(Table8[[#This Row],[Document ID]],Table1[],10,FALSE)</f>
        <v>Archived</v>
      </c>
      <c r="H1392" s="43" t="s">
        <v>2358</v>
      </c>
      <c r="I1392" s="43" t="s">
        <v>2359</v>
      </c>
      <c r="J1392" s="44" t="s">
        <v>2360</v>
      </c>
      <c r="K1392" s="44" t="s">
        <v>3641</v>
      </c>
      <c r="L1392" s="44" t="s">
        <v>2333</v>
      </c>
      <c r="M1392" s="43">
        <v>23</v>
      </c>
      <c r="N1392" s="113" t="s">
        <v>1113</v>
      </c>
      <c r="O1392" s="113"/>
      <c r="P1392" s="113"/>
      <c r="Q1392" s="113"/>
      <c r="R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319" t="s">
        <v>1113</v>
      </c>
      <c r="AL1392" s="113"/>
      <c r="AM1392" s="113"/>
      <c r="AN1392" s="113"/>
      <c r="AO1392" s="44" t="s">
        <v>2334</v>
      </c>
      <c r="AP1392" s="43"/>
      <c r="AQ1392" s="236" t="str">
        <f>VLOOKUP(Table8[[#This Row],[Instrument]],Def_Targets!$D$73:$E$159,2,FALSE)</f>
        <v>I_Emobility</v>
      </c>
      <c r="AR1392" s="233" t="str">
        <f>VLOOKUP(Table8[[#This Row],[Country Code]],Table29[],3,FALSE)</f>
        <v>Non-Annex I</v>
      </c>
      <c r="AS1392" s="233" t="str">
        <f>VLOOKUP(Table8[[#This Row],[Country Code]],Table29[],4,FALSE)</f>
        <v>Europe</v>
      </c>
      <c r="AT1392" s="233" t="str">
        <f>VLOOKUP(Table8[[#This Row],[Country Code]],Table29[],5,FALSE)</f>
        <v>Middle-income</v>
      </c>
      <c r="AU1392" s="233" t="str">
        <f>VLOOKUP(Table8[[#This Row],[Country Code]],Table29[],6,FALSE)</f>
        <v>no</v>
      </c>
      <c r="AV1392" s="233" t="str">
        <f>VLOOKUP(Table8[[#This Row],[Country Code]],Table29[],7,FALSE)</f>
        <v>no</v>
      </c>
      <c r="AW1392" s="233" t="str">
        <f>VLOOKUP(Table8[[#This Row],[Country Code]],Table29[],8,FALSE)</f>
        <v>non-OECD</v>
      </c>
      <c r="AX1392" s="233" t="str">
        <f>VLOOKUP(Table8[[#This Row],[Country Code]],Table29[],9,FALSE)</f>
        <v>no</v>
      </c>
      <c r="AY1392" s="233" t="str">
        <f>VLOOKUP(Table8[[#This Row],[Country Code]],Table29[],10,FALSE)</f>
        <v>no</v>
      </c>
      <c r="AZ1392" s="235">
        <f>VLOOKUP(Table8[[#This Row],[Country Code]],Table29[],23,FALSE)</f>
        <v>0</v>
      </c>
      <c r="BA1392" s="235">
        <f>VLOOKUP(Table8[[#This Row],[Country Code]],Table29[],24,FALSE)</f>
        <v>0</v>
      </c>
      <c r="BB1392" s="320"/>
      <c r="BC1392" s="320"/>
    </row>
    <row r="1393" spans="1:55" hidden="1" x14ac:dyDescent="0.25">
      <c r="A1393" s="373">
        <v>20838</v>
      </c>
      <c r="B1393" s="233" t="str">
        <f>VLOOKUP(Table8[[#This Row],[Document ID]],Table1[],2,FALSE)</f>
        <v>MNE</v>
      </c>
      <c r="C1393" s="233" t="str">
        <f>VLOOKUP(Table8[[#This Row],[Document ID]],Table1[],3,FALSE)</f>
        <v>Montenegro</v>
      </c>
      <c r="D1393" s="243" t="str">
        <f>VLOOKUP(Table8[[#This Row],[Document ID]],Table1[],5,FALSE)</f>
        <v>NDC</v>
      </c>
      <c r="E1393" s="233" t="str">
        <f>VLOOKUP(Table8[[#This Row],[Document ID]],Table1[],7,FALSE)</f>
        <v>First NDC updated</v>
      </c>
      <c r="F1393" s="233" t="str">
        <f>VLOOKUP(Table8[[#This Row],[Document ID]],Table1[],8,FALSE)</f>
        <v>NDC 1.1</v>
      </c>
      <c r="G1393" s="233" t="str">
        <f>VLOOKUP(Table8[[#This Row],[Document ID]],Table1[],10,FALSE)</f>
        <v>Archived</v>
      </c>
      <c r="H1393" s="43" t="s">
        <v>2358</v>
      </c>
      <c r="I1393" s="43" t="s">
        <v>2359</v>
      </c>
      <c r="J1393" s="44" t="s">
        <v>2383</v>
      </c>
      <c r="K1393" s="44" t="s">
        <v>3642</v>
      </c>
      <c r="L1393" s="44" t="s">
        <v>2333</v>
      </c>
      <c r="M1393" s="43">
        <v>23</v>
      </c>
      <c r="N1393" s="113" t="s">
        <v>1113</v>
      </c>
      <c r="O1393" s="113"/>
      <c r="P1393" s="113"/>
      <c r="Q1393" s="113"/>
      <c r="R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319" t="s">
        <v>1113</v>
      </c>
      <c r="AL1393" s="113"/>
      <c r="AM1393" s="113"/>
      <c r="AN1393" s="113"/>
      <c r="AO1393" s="44" t="s">
        <v>2334</v>
      </c>
      <c r="AP1393" s="43"/>
      <c r="AQ1393" s="236" t="str">
        <f>VLOOKUP(Table8[[#This Row],[Instrument]],Def_Targets!$D$73:$E$159,2,FALSE)</f>
        <v>I_Emobilitycharging</v>
      </c>
      <c r="AR1393" s="233" t="str">
        <f>VLOOKUP(Table8[[#This Row],[Country Code]],Table29[],3,FALSE)</f>
        <v>Non-Annex I</v>
      </c>
      <c r="AS1393" s="233" t="str">
        <f>VLOOKUP(Table8[[#This Row],[Country Code]],Table29[],4,FALSE)</f>
        <v>Europe</v>
      </c>
      <c r="AT1393" s="233" t="str">
        <f>VLOOKUP(Table8[[#This Row],[Country Code]],Table29[],5,FALSE)</f>
        <v>Middle-income</v>
      </c>
      <c r="AU1393" s="233" t="str">
        <f>VLOOKUP(Table8[[#This Row],[Country Code]],Table29[],6,FALSE)</f>
        <v>no</v>
      </c>
      <c r="AV1393" s="233" t="str">
        <f>VLOOKUP(Table8[[#This Row],[Country Code]],Table29[],7,FALSE)</f>
        <v>no</v>
      </c>
      <c r="AW1393" s="233" t="str">
        <f>VLOOKUP(Table8[[#This Row],[Country Code]],Table29[],8,FALSE)</f>
        <v>non-OECD</v>
      </c>
      <c r="AX1393" s="233" t="str">
        <f>VLOOKUP(Table8[[#This Row],[Country Code]],Table29[],9,FALSE)</f>
        <v>no</v>
      </c>
      <c r="AY1393" s="233" t="str">
        <f>VLOOKUP(Table8[[#This Row],[Country Code]],Table29[],10,FALSE)</f>
        <v>no</v>
      </c>
      <c r="AZ1393" s="235">
        <f>VLOOKUP(Table8[[#This Row],[Country Code]],Table29[],23,FALSE)</f>
        <v>0</v>
      </c>
      <c r="BA1393" s="235">
        <f>VLOOKUP(Table8[[#This Row],[Country Code]],Table29[],24,FALSE)</f>
        <v>0</v>
      </c>
      <c r="BB1393" s="320"/>
      <c r="BC1393" s="320"/>
    </row>
    <row r="1394" spans="1:55" ht="30" hidden="1" x14ac:dyDescent="0.25">
      <c r="A1394" s="373">
        <v>20838</v>
      </c>
      <c r="B1394" s="233" t="str">
        <f>VLOOKUP(Table8[[#This Row],[Document ID]],Table1[],2,FALSE)</f>
        <v>MNE</v>
      </c>
      <c r="C1394" s="233" t="str">
        <f>VLOOKUP(Table8[[#This Row],[Document ID]],Table1[],3,FALSE)</f>
        <v>Montenegro</v>
      </c>
      <c r="D1394" s="243" t="str">
        <f>VLOOKUP(Table8[[#This Row],[Document ID]],Table1[],5,FALSE)</f>
        <v>NDC</v>
      </c>
      <c r="E1394" s="233" t="str">
        <f>VLOOKUP(Table8[[#This Row],[Document ID]],Table1[],7,FALSE)</f>
        <v>First NDC updated</v>
      </c>
      <c r="F1394" s="233" t="str">
        <f>VLOOKUP(Table8[[#This Row],[Document ID]],Table1[],8,FALSE)</f>
        <v>NDC 1.1</v>
      </c>
      <c r="G1394" s="233" t="str">
        <f>VLOOKUP(Table8[[#This Row],[Document ID]],Table1[],10,FALSE)</f>
        <v>Archived</v>
      </c>
      <c r="H1394" s="43" t="s">
        <v>2358</v>
      </c>
      <c r="I1394" s="43" t="s">
        <v>2359</v>
      </c>
      <c r="J1394" s="44" t="s">
        <v>2389</v>
      </c>
      <c r="K1394" s="44" t="s">
        <v>3643</v>
      </c>
      <c r="L1394" s="44" t="s">
        <v>2333</v>
      </c>
      <c r="M1394" s="43">
        <v>23</v>
      </c>
      <c r="N1394" s="113" t="s">
        <v>1113</v>
      </c>
      <c r="O1394" s="113"/>
      <c r="P1394" s="113"/>
      <c r="Q1394" s="113"/>
      <c r="R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319" t="s">
        <v>1113</v>
      </c>
      <c r="AL1394" s="113"/>
      <c r="AM1394" s="113"/>
      <c r="AN1394" s="113"/>
      <c r="AO1394" s="44" t="s">
        <v>2334</v>
      </c>
      <c r="AP1394" s="43"/>
      <c r="AQ1394" s="236" t="str">
        <f>VLOOKUP(Table8[[#This Row],[Instrument]],Def_Targets!$D$73:$E$159,2,FALSE)</f>
        <v>I_Emobilitypurchase</v>
      </c>
      <c r="AR1394" s="233" t="str">
        <f>VLOOKUP(Table8[[#This Row],[Country Code]],Table29[],3,FALSE)</f>
        <v>Non-Annex I</v>
      </c>
      <c r="AS1394" s="233" t="str">
        <f>VLOOKUP(Table8[[#This Row],[Country Code]],Table29[],4,FALSE)</f>
        <v>Europe</v>
      </c>
      <c r="AT1394" s="233" t="str">
        <f>VLOOKUP(Table8[[#This Row],[Country Code]],Table29[],5,FALSE)</f>
        <v>Middle-income</v>
      </c>
      <c r="AU1394" s="233" t="str">
        <f>VLOOKUP(Table8[[#This Row],[Country Code]],Table29[],6,FALSE)</f>
        <v>no</v>
      </c>
      <c r="AV1394" s="233" t="str">
        <f>VLOOKUP(Table8[[#This Row],[Country Code]],Table29[],7,FALSE)</f>
        <v>no</v>
      </c>
      <c r="AW1394" s="233" t="str">
        <f>VLOOKUP(Table8[[#This Row],[Country Code]],Table29[],8,FALSE)</f>
        <v>non-OECD</v>
      </c>
      <c r="AX1394" s="233" t="str">
        <f>VLOOKUP(Table8[[#This Row],[Country Code]],Table29[],9,FALSE)</f>
        <v>no</v>
      </c>
      <c r="AY1394" s="233" t="str">
        <f>VLOOKUP(Table8[[#This Row],[Country Code]],Table29[],10,FALSE)</f>
        <v>no</v>
      </c>
      <c r="AZ1394" s="235">
        <f>VLOOKUP(Table8[[#This Row],[Country Code]],Table29[],23,FALSE)</f>
        <v>0</v>
      </c>
      <c r="BA1394" s="235">
        <f>VLOOKUP(Table8[[#This Row],[Country Code]],Table29[],24,FALSE)</f>
        <v>0</v>
      </c>
      <c r="BB1394" s="320"/>
      <c r="BC1394" s="320"/>
    </row>
    <row r="1395" spans="1:55" hidden="1" x14ac:dyDescent="0.25">
      <c r="A1395" s="373">
        <v>17669</v>
      </c>
      <c r="B1395" s="233" t="str">
        <f>VLOOKUP(Table8[[#This Row],[Document ID]],Table1[],2,FALSE)</f>
        <v>MAR</v>
      </c>
      <c r="C1395" s="233" t="str">
        <f>VLOOKUP(Table8[[#This Row],[Document ID]],Table1[],3,FALSE)</f>
        <v>Morocco</v>
      </c>
      <c r="D1395" s="243" t="str">
        <f>VLOOKUP(Table8[[#This Row],[Document ID]],Table1[],5,FALSE)</f>
        <v>NDC</v>
      </c>
      <c r="E1395" s="233" t="str">
        <f>VLOOKUP(Table8[[#This Row],[Document ID]],Table1[],7,FALSE)</f>
        <v>First NDC</v>
      </c>
      <c r="F1395" s="233" t="str">
        <f>VLOOKUP(Table8[[#This Row],[Document ID]],Table1[],8,FALSE)</f>
        <v>NDC 1.0</v>
      </c>
      <c r="G1395" s="233" t="str">
        <f>VLOOKUP(Table8[[#This Row],[Document ID]],Table1[],10,FALSE)</f>
        <v>Archived</v>
      </c>
      <c r="H1395" s="44" t="s">
        <v>2338</v>
      </c>
      <c r="I1395" s="44" t="s">
        <v>2339</v>
      </c>
      <c r="J1395" s="44" t="s">
        <v>2340</v>
      </c>
      <c r="K1395" s="44" t="s">
        <v>3644</v>
      </c>
      <c r="L1395" s="44" t="s">
        <v>2333</v>
      </c>
      <c r="M1395" s="43"/>
      <c r="N1395" s="113"/>
      <c r="O1395" s="113"/>
      <c r="P1395" s="113"/>
      <c r="Q1395" s="113"/>
      <c r="R1395" s="113"/>
      <c r="S1395" s="113"/>
      <c r="T1395" s="113"/>
      <c r="U1395" s="113"/>
      <c r="V1395" s="113"/>
      <c r="W1395" s="113" t="s">
        <v>1113</v>
      </c>
      <c r="X1395" s="113"/>
      <c r="Y1395" s="113"/>
      <c r="Z1395" s="113"/>
      <c r="AA1395" s="113"/>
      <c r="AB1395" s="113"/>
      <c r="AC1395" s="113"/>
      <c r="AD1395" s="113"/>
      <c r="AE1395" s="113"/>
      <c r="AF1395" s="113"/>
      <c r="AG1395" s="113"/>
      <c r="AH1395" s="113"/>
      <c r="AI1395" s="113"/>
      <c r="AJ1395" s="113"/>
      <c r="AK1395" s="319" t="s">
        <v>1113</v>
      </c>
      <c r="AL1395" s="113"/>
      <c r="AM1395" s="113"/>
      <c r="AN1395" s="113"/>
      <c r="AO1395" s="43" t="s">
        <v>2348</v>
      </c>
      <c r="AP1395" s="43"/>
      <c r="AQ1395" s="236" t="str">
        <f>VLOOKUP(Table8[[#This Row],[Instrument]],Def_Targets!$D$73:$E$159,2,FALSE)</f>
        <v>I_Vehicleimprove</v>
      </c>
      <c r="AR1395" s="233" t="str">
        <f>VLOOKUP(Table8[[#This Row],[Country Code]],Table29[],3,FALSE)</f>
        <v>Non-Annex I</v>
      </c>
      <c r="AS1395" s="233" t="str">
        <f>VLOOKUP(Table8[[#This Row],[Country Code]],Table29[],4,FALSE)</f>
        <v>Africa</v>
      </c>
      <c r="AT1395" s="233" t="str">
        <f>VLOOKUP(Table8[[#This Row],[Country Code]],Table29[],5,FALSE)</f>
        <v>Middle-income</v>
      </c>
      <c r="AU1395" s="233" t="str">
        <f>VLOOKUP(Table8[[#This Row],[Country Code]],Table29[],6,FALSE)</f>
        <v>no</v>
      </c>
      <c r="AV1395" s="233" t="str">
        <f>VLOOKUP(Table8[[#This Row],[Country Code]],Table29[],7,FALSE)</f>
        <v>no</v>
      </c>
      <c r="AW1395" s="233" t="str">
        <f>VLOOKUP(Table8[[#This Row],[Country Code]],Table29[],8,FALSE)</f>
        <v>non-OECD</v>
      </c>
      <c r="AX1395" s="233" t="str">
        <f>VLOOKUP(Table8[[#This Row],[Country Code]],Table29[],9,FALSE)</f>
        <v>no</v>
      </c>
      <c r="AY1395" s="233" t="str">
        <f>VLOOKUP(Table8[[#This Row],[Country Code]],Table29[],10,FALSE)</f>
        <v>MENA</v>
      </c>
      <c r="AZ1395" s="235">
        <f>VLOOKUP(Table8[[#This Row],[Country Code]],Table29[],23,FALSE)</f>
        <v>106.60223103187001</v>
      </c>
      <c r="BA1395" s="235">
        <f>VLOOKUP(Table8[[#This Row],[Country Code]],Table29[],24,FALSE)</f>
        <v>17.689478774478111</v>
      </c>
      <c r="BB1395" s="320"/>
      <c r="BC1395" s="320"/>
    </row>
    <row r="1396" spans="1:55" ht="30" hidden="1" x14ac:dyDescent="0.25">
      <c r="A1396" s="373">
        <v>17669</v>
      </c>
      <c r="B1396" s="233" t="str">
        <f>VLOOKUP(Table8[[#This Row],[Document ID]],Table1[],2,FALSE)</f>
        <v>MAR</v>
      </c>
      <c r="C1396" s="233" t="str">
        <f>VLOOKUP(Table8[[#This Row],[Document ID]],Table1[],3,FALSE)</f>
        <v>Morocco</v>
      </c>
      <c r="D1396" s="243" t="str">
        <f>VLOOKUP(Table8[[#This Row],[Document ID]],Table1[],5,FALSE)</f>
        <v>NDC</v>
      </c>
      <c r="E1396" s="233" t="str">
        <f>VLOOKUP(Table8[[#This Row],[Document ID]],Table1[],7,FALSE)</f>
        <v>First NDC</v>
      </c>
      <c r="F1396" s="233" t="str">
        <f>VLOOKUP(Table8[[#This Row],[Document ID]],Table1[],8,FALSE)</f>
        <v>NDC 1.0</v>
      </c>
      <c r="G1396" s="233" t="str">
        <f>VLOOKUP(Table8[[#This Row],[Document ID]],Table1[],10,FALSE)</f>
        <v>Archived</v>
      </c>
      <c r="H1396" s="43" t="s">
        <v>2350</v>
      </c>
      <c r="I1396" s="43" t="s">
        <v>2370</v>
      </c>
      <c r="J1396" s="44" t="s">
        <v>2418</v>
      </c>
      <c r="K1396" s="44" t="s">
        <v>3645</v>
      </c>
      <c r="L1396" s="44" t="s">
        <v>2373</v>
      </c>
      <c r="M1396" s="43"/>
      <c r="N1396" s="113" t="s">
        <v>1113</v>
      </c>
      <c r="O1396" s="113"/>
      <c r="P1396" s="113"/>
      <c r="Q1396" s="113"/>
      <c r="R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t="s">
        <v>1113</v>
      </c>
      <c r="AM1396" s="113"/>
      <c r="AN1396" s="113"/>
      <c r="AO1396" s="44" t="s">
        <v>2334</v>
      </c>
      <c r="AP1396" s="43"/>
      <c r="AQ1396" s="236" t="str">
        <f>VLOOKUP(Table8[[#This Row],[Instrument]],Def_Targets!$D$73:$E$159,2,FALSE)</f>
        <v>A_Complan</v>
      </c>
      <c r="AR1396" s="233" t="str">
        <f>VLOOKUP(Table8[[#This Row],[Country Code]],Table29[],3,FALSE)</f>
        <v>Non-Annex I</v>
      </c>
      <c r="AS1396" s="233" t="str">
        <f>VLOOKUP(Table8[[#This Row],[Country Code]],Table29[],4,FALSE)</f>
        <v>Africa</v>
      </c>
      <c r="AT1396" s="233" t="str">
        <f>VLOOKUP(Table8[[#This Row],[Country Code]],Table29[],5,FALSE)</f>
        <v>Middle-income</v>
      </c>
      <c r="AU1396" s="233" t="str">
        <f>VLOOKUP(Table8[[#This Row],[Country Code]],Table29[],6,FALSE)</f>
        <v>no</v>
      </c>
      <c r="AV1396" s="233" t="str">
        <f>VLOOKUP(Table8[[#This Row],[Country Code]],Table29[],7,FALSE)</f>
        <v>no</v>
      </c>
      <c r="AW1396" s="233" t="str">
        <f>VLOOKUP(Table8[[#This Row],[Country Code]],Table29[],8,FALSE)</f>
        <v>non-OECD</v>
      </c>
      <c r="AX1396" s="233" t="str">
        <f>VLOOKUP(Table8[[#This Row],[Country Code]],Table29[],9,FALSE)</f>
        <v>no</v>
      </c>
      <c r="AY1396" s="233" t="str">
        <f>VLOOKUP(Table8[[#This Row],[Country Code]],Table29[],10,FALSE)</f>
        <v>MENA</v>
      </c>
      <c r="AZ1396" s="235">
        <f>VLOOKUP(Table8[[#This Row],[Country Code]],Table29[],23,FALSE)</f>
        <v>106.60223103187001</v>
      </c>
      <c r="BA1396" s="235">
        <f>VLOOKUP(Table8[[#This Row],[Country Code]],Table29[],24,FALSE)</f>
        <v>17.689478774478111</v>
      </c>
      <c r="BB1396" s="320"/>
      <c r="BC1396" s="320"/>
    </row>
    <row r="1397" spans="1:55" ht="30" hidden="1" x14ac:dyDescent="0.25">
      <c r="A1397" s="373">
        <v>17669</v>
      </c>
      <c r="B1397" s="233" t="str">
        <f>VLOOKUP(Table8[[#This Row],[Document ID]],Table1[],2,FALSE)</f>
        <v>MAR</v>
      </c>
      <c r="C1397" s="233" t="str">
        <f>VLOOKUP(Table8[[#This Row],[Document ID]],Table1[],3,FALSE)</f>
        <v>Morocco</v>
      </c>
      <c r="D1397" s="243" t="str">
        <f>VLOOKUP(Table8[[#This Row],[Document ID]],Table1[],5,FALSE)</f>
        <v>NDC</v>
      </c>
      <c r="E1397" s="233" t="str">
        <f>VLOOKUP(Table8[[#This Row],[Document ID]],Table1[],7,FALSE)</f>
        <v>First NDC</v>
      </c>
      <c r="F1397" s="233" t="str">
        <f>VLOOKUP(Table8[[#This Row],[Document ID]],Table1[],8,FALSE)</f>
        <v>NDC 1.0</v>
      </c>
      <c r="G1397" s="233" t="str">
        <f>VLOOKUP(Table8[[#This Row],[Document ID]],Table1[],10,FALSE)</f>
        <v>Archived</v>
      </c>
      <c r="H1397" s="43" t="s">
        <v>2350</v>
      </c>
      <c r="I1397" s="43" t="s">
        <v>2351</v>
      </c>
      <c r="J1397" s="44" t="s">
        <v>2352</v>
      </c>
      <c r="K1397" s="44" t="s">
        <v>3646</v>
      </c>
      <c r="L1397" s="44" t="s">
        <v>2347</v>
      </c>
      <c r="M1397" s="43"/>
      <c r="N1397" s="113"/>
      <c r="O1397" s="113"/>
      <c r="P1397" s="113"/>
      <c r="Q1397" s="113"/>
      <c r="R1397" s="113"/>
      <c r="S1397" s="113" t="s">
        <v>1113</v>
      </c>
      <c r="T1397" s="113"/>
      <c r="U1397" s="113"/>
      <c r="V1397" s="113"/>
      <c r="W1397" s="113"/>
      <c r="X1397" s="113"/>
      <c r="Y1397" s="113"/>
      <c r="Z1397" s="113" t="s">
        <v>1113</v>
      </c>
      <c r="AA1397" s="113"/>
      <c r="AB1397" s="113"/>
      <c r="AC1397" s="113"/>
      <c r="AD1397" s="113"/>
      <c r="AE1397" s="113"/>
      <c r="AF1397" s="113"/>
      <c r="AG1397" s="113"/>
      <c r="AH1397" s="113"/>
      <c r="AI1397" s="113"/>
      <c r="AJ1397" s="113"/>
      <c r="AK1397" s="319" t="s">
        <v>1113</v>
      </c>
      <c r="AL1397" s="113"/>
      <c r="AM1397" s="113"/>
      <c r="AN1397" s="113"/>
      <c r="AO1397" s="43" t="s">
        <v>2353</v>
      </c>
      <c r="AP1397" s="43"/>
      <c r="AQ1397" s="236" t="str">
        <f>VLOOKUP(Table8[[#This Row],[Instrument]],Def_Targets!$D$73:$E$159,2,FALSE)</f>
        <v>S_Railfreight</v>
      </c>
      <c r="AR1397" s="233" t="str">
        <f>VLOOKUP(Table8[[#This Row],[Country Code]],Table29[],3,FALSE)</f>
        <v>Non-Annex I</v>
      </c>
      <c r="AS1397" s="233" t="str">
        <f>VLOOKUP(Table8[[#This Row],[Country Code]],Table29[],4,FALSE)</f>
        <v>Africa</v>
      </c>
      <c r="AT1397" s="233" t="str">
        <f>VLOOKUP(Table8[[#This Row],[Country Code]],Table29[],5,FALSE)</f>
        <v>Middle-income</v>
      </c>
      <c r="AU1397" s="233" t="str">
        <f>VLOOKUP(Table8[[#This Row],[Country Code]],Table29[],6,FALSE)</f>
        <v>no</v>
      </c>
      <c r="AV1397" s="233" t="str">
        <f>VLOOKUP(Table8[[#This Row],[Country Code]],Table29[],7,FALSE)</f>
        <v>no</v>
      </c>
      <c r="AW1397" s="233" t="str">
        <f>VLOOKUP(Table8[[#This Row],[Country Code]],Table29[],8,FALSE)</f>
        <v>non-OECD</v>
      </c>
      <c r="AX1397" s="233" t="str">
        <f>VLOOKUP(Table8[[#This Row],[Country Code]],Table29[],9,FALSE)</f>
        <v>no</v>
      </c>
      <c r="AY1397" s="233" t="str">
        <f>VLOOKUP(Table8[[#This Row],[Country Code]],Table29[],10,FALSE)</f>
        <v>MENA</v>
      </c>
      <c r="AZ1397" s="235">
        <f>VLOOKUP(Table8[[#This Row],[Country Code]],Table29[],23,FALSE)</f>
        <v>106.60223103187001</v>
      </c>
      <c r="BA1397" s="235">
        <f>VLOOKUP(Table8[[#This Row],[Country Code]],Table29[],24,FALSE)</f>
        <v>17.689478774478111</v>
      </c>
      <c r="BB1397" s="320"/>
      <c r="BC1397" s="320"/>
    </row>
    <row r="1398" spans="1:55" hidden="1" x14ac:dyDescent="0.25">
      <c r="A1398" s="373">
        <v>17669</v>
      </c>
      <c r="B1398" s="233" t="str">
        <f>VLOOKUP(Table8[[#This Row],[Document ID]],Table1[],2,FALSE)</f>
        <v>MAR</v>
      </c>
      <c r="C1398" s="233" t="str">
        <f>VLOOKUP(Table8[[#This Row],[Document ID]],Table1[],3,FALSE)</f>
        <v>Morocco</v>
      </c>
      <c r="D1398" s="243" t="str">
        <f>VLOOKUP(Table8[[#This Row],[Document ID]],Table1[],5,FALSE)</f>
        <v>NDC</v>
      </c>
      <c r="E1398" s="233" t="str">
        <f>VLOOKUP(Table8[[#This Row],[Document ID]],Table1[],7,FALSE)</f>
        <v>First NDC</v>
      </c>
      <c r="F1398" s="233" t="str">
        <f>VLOOKUP(Table8[[#This Row],[Document ID]],Table1[],8,FALSE)</f>
        <v>NDC 1.0</v>
      </c>
      <c r="G1398" s="233" t="str">
        <f>VLOOKUP(Table8[[#This Row],[Document ID]],Table1[],10,FALSE)</f>
        <v>Archived</v>
      </c>
      <c r="H1398" s="44" t="s">
        <v>2338</v>
      </c>
      <c r="I1398" s="44" t="s">
        <v>2339</v>
      </c>
      <c r="J1398" s="44" t="s">
        <v>2451</v>
      </c>
      <c r="K1398" s="44" t="s">
        <v>3647</v>
      </c>
      <c r="L1398" s="44" t="s">
        <v>2333</v>
      </c>
      <c r="M1398" s="43"/>
      <c r="N1398" s="113"/>
      <c r="O1398" s="113"/>
      <c r="P1398" s="113"/>
      <c r="Q1398" s="113"/>
      <c r="R1398" s="113"/>
      <c r="S1398" s="113"/>
      <c r="T1398" s="113"/>
      <c r="U1398" s="113"/>
      <c r="V1398" s="113"/>
      <c r="W1398" s="113"/>
      <c r="X1398" s="113" t="s">
        <v>1113</v>
      </c>
      <c r="Y1398" s="113"/>
      <c r="Z1398" s="113"/>
      <c r="AA1398" s="113"/>
      <c r="AB1398" s="113"/>
      <c r="AC1398" s="113"/>
      <c r="AD1398" s="113"/>
      <c r="AE1398" s="113"/>
      <c r="AF1398" s="113"/>
      <c r="AG1398" s="113"/>
      <c r="AH1398" s="113"/>
      <c r="AI1398" s="113"/>
      <c r="AJ1398" s="113"/>
      <c r="AK1398" s="319" t="s">
        <v>1113</v>
      </c>
      <c r="AL1398" s="113"/>
      <c r="AM1398" s="113"/>
      <c r="AN1398" s="113"/>
      <c r="AO1398" s="43" t="s">
        <v>2353</v>
      </c>
      <c r="AP1398" s="43"/>
      <c r="AQ1398" s="236" t="str">
        <f>VLOOKUP(Table8[[#This Row],[Instrument]],Def_Targets!$D$73:$E$159,2,FALSE)</f>
        <v>I_Inspection</v>
      </c>
      <c r="AR1398" s="233" t="str">
        <f>VLOOKUP(Table8[[#This Row],[Country Code]],Table29[],3,FALSE)</f>
        <v>Non-Annex I</v>
      </c>
      <c r="AS1398" s="233" t="str">
        <f>VLOOKUP(Table8[[#This Row],[Country Code]],Table29[],4,FALSE)</f>
        <v>Africa</v>
      </c>
      <c r="AT1398" s="233" t="str">
        <f>VLOOKUP(Table8[[#This Row],[Country Code]],Table29[],5,FALSE)</f>
        <v>Middle-income</v>
      </c>
      <c r="AU1398" s="233" t="str">
        <f>VLOOKUP(Table8[[#This Row],[Country Code]],Table29[],6,FALSE)</f>
        <v>no</v>
      </c>
      <c r="AV1398" s="233" t="str">
        <f>VLOOKUP(Table8[[#This Row],[Country Code]],Table29[],7,FALSE)</f>
        <v>no</v>
      </c>
      <c r="AW1398" s="233" t="str">
        <f>VLOOKUP(Table8[[#This Row],[Country Code]],Table29[],8,FALSE)</f>
        <v>non-OECD</v>
      </c>
      <c r="AX1398" s="233" t="str">
        <f>VLOOKUP(Table8[[#This Row],[Country Code]],Table29[],9,FALSE)</f>
        <v>no</v>
      </c>
      <c r="AY1398" s="233" t="str">
        <f>VLOOKUP(Table8[[#This Row],[Country Code]],Table29[],10,FALSE)</f>
        <v>MENA</v>
      </c>
      <c r="AZ1398" s="235">
        <f>VLOOKUP(Table8[[#This Row],[Country Code]],Table29[],23,FALSE)</f>
        <v>106.60223103187001</v>
      </c>
      <c r="BA1398" s="235">
        <f>VLOOKUP(Table8[[#This Row],[Country Code]],Table29[],24,FALSE)</f>
        <v>17.689478774478111</v>
      </c>
      <c r="BB1398" s="320"/>
      <c r="BC1398" s="320"/>
    </row>
    <row r="1399" spans="1:55" hidden="1" x14ac:dyDescent="0.25">
      <c r="A1399" s="373">
        <v>17669</v>
      </c>
      <c r="B1399" s="233" t="str">
        <f>VLOOKUP(Table8[[#This Row],[Document ID]],Table1[],2,FALSE)</f>
        <v>MAR</v>
      </c>
      <c r="C1399" s="233" t="str">
        <f>VLOOKUP(Table8[[#This Row],[Document ID]],Table1[],3,FALSE)</f>
        <v>Morocco</v>
      </c>
      <c r="D1399" s="243" t="str">
        <f>VLOOKUP(Table8[[#This Row],[Document ID]],Table1[],5,FALSE)</f>
        <v>NDC</v>
      </c>
      <c r="E1399" s="233" t="str">
        <f>VLOOKUP(Table8[[#This Row],[Document ID]],Table1[],7,FALSE)</f>
        <v>First NDC</v>
      </c>
      <c r="F1399" s="233" t="str">
        <f>VLOOKUP(Table8[[#This Row],[Document ID]],Table1[],8,FALSE)</f>
        <v>NDC 1.0</v>
      </c>
      <c r="G1399" s="233" t="str">
        <f>VLOOKUP(Table8[[#This Row],[Document ID]],Table1[],10,FALSE)</f>
        <v>Archived</v>
      </c>
      <c r="H1399" s="43" t="s">
        <v>2350</v>
      </c>
      <c r="I1399" s="43" t="s">
        <v>2407</v>
      </c>
      <c r="J1399" s="44" t="s">
        <v>2592</v>
      </c>
      <c r="K1399" s="44" t="s">
        <v>3648</v>
      </c>
      <c r="L1399" s="44" t="s">
        <v>2333</v>
      </c>
      <c r="M1399" s="43"/>
      <c r="N1399" s="113"/>
      <c r="O1399" s="113"/>
      <c r="P1399" s="113"/>
      <c r="Q1399" s="113"/>
      <c r="R1399" s="113"/>
      <c r="S1399" s="113"/>
      <c r="T1399" s="113"/>
      <c r="U1399" s="113"/>
      <c r="V1399" s="113"/>
      <c r="W1399" s="113"/>
      <c r="X1399" s="113" t="s">
        <v>1113</v>
      </c>
      <c r="Y1399" s="113"/>
      <c r="Z1399" s="113"/>
      <c r="AA1399" s="113"/>
      <c r="AB1399" s="113"/>
      <c r="AC1399" s="113"/>
      <c r="AD1399" s="113"/>
      <c r="AE1399" s="113"/>
      <c r="AF1399" s="113"/>
      <c r="AG1399" s="113"/>
      <c r="AH1399" s="113"/>
      <c r="AI1399" s="113"/>
      <c r="AJ1399" s="113"/>
      <c r="AK1399" s="319" t="s">
        <v>1113</v>
      </c>
      <c r="AL1399" s="113"/>
      <c r="AM1399" s="113"/>
      <c r="AN1399" s="113"/>
      <c r="AO1399" s="43" t="s">
        <v>2353</v>
      </c>
      <c r="AP1399" s="43"/>
      <c r="AQ1399" s="236" t="str">
        <f>VLOOKUP(Table8[[#This Row],[Instrument]],Def_Targets!$D$73:$E$159,2,FALSE)</f>
        <v>I_Ecodriving</v>
      </c>
      <c r="AR1399" s="233" t="str">
        <f>VLOOKUP(Table8[[#This Row],[Country Code]],Table29[],3,FALSE)</f>
        <v>Non-Annex I</v>
      </c>
      <c r="AS1399" s="233" t="str">
        <f>VLOOKUP(Table8[[#This Row],[Country Code]],Table29[],4,FALSE)</f>
        <v>Africa</v>
      </c>
      <c r="AT1399" s="233" t="str">
        <f>VLOOKUP(Table8[[#This Row],[Country Code]],Table29[],5,FALSE)</f>
        <v>Middle-income</v>
      </c>
      <c r="AU1399" s="233" t="str">
        <f>VLOOKUP(Table8[[#This Row],[Country Code]],Table29[],6,FALSE)</f>
        <v>no</v>
      </c>
      <c r="AV1399" s="233" t="str">
        <f>VLOOKUP(Table8[[#This Row],[Country Code]],Table29[],7,FALSE)</f>
        <v>no</v>
      </c>
      <c r="AW1399" s="233" t="str">
        <f>VLOOKUP(Table8[[#This Row],[Country Code]],Table29[],8,FALSE)</f>
        <v>non-OECD</v>
      </c>
      <c r="AX1399" s="233" t="str">
        <f>VLOOKUP(Table8[[#This Row],[Country Code]],Table29[],9,FALSE)</f>
        <v>no</v>
      </c>
      <c r="AY1399" s="233" t="str">
        <f>VLOOKUP(Table8[[#This Row],[Country Code]],Table29[],10,FALSE)</f>
        <v>MENA</v>
      </c>
      <c r="AZ1399" s="235">
        <f>VLOOKUP(Table8[[#This Row],[Country Code]],Table29[],23,FALSE)</f>
        <v>106.60223103187001</v>
      </c>
      <c r="BA1399" s="235">
        <f>VLOOKUP(Table8[[#This Row],[Country Code]],Table29[],24,FALSE)</f>
        <v>17.689478774478111</v>
      </c>
      <c r="BB1399" s="320"/>
      <c r="BC1399" s="320"/>
    </row>
    <row r="1400" spans="1:55" ht="30" hidden="1" x14ac:dyDescent="0.25">
      <c r="A1400" s="373">
        <v>17669</v>
      </c>
      <c r="B1400" s="233" t="str">
        <f>VLOOKUP(Table8[[#This Row],[Document ID]],Table1[],2,FALSE)</f>
        <v>MAR</v>
      </c>
      <c r="C1400" s="233" t="str">
        <f>VLOOKUP(Table8[[#This Row],[Document ID]],Table1[],3,FALSE)</f>
        <v>Morocco</v>
      </c>
      <c r="D1400" s="243" t="str">
        <f>VLOOKUP(Table8[[#This Row],[Document ID]],Table1[],5,FALSE)</f>
        <v>NDC</v>
      </c>
      <c r="E1400" s="233" t="str">
        <f>VLOOKUP(Table8[[#This Row],[Document ID]],Table1[],7,FALSE)</f>
        <v>First NDC</v>
      </c>
      <c r="F1400" s="233" t="str">
        <f>VLOOKUP(Table8[[#This Row],[Document ID]],Table1[],8,FALSE)</f>
        <v>NDC 1.0</v>
      </c>
      <c r="G1400" s="233" t="str">
        <f>VLOOKUP(Table8[[#This Row],[Document ID]],Table1[],10,FALSE)</f>
        <v>Archived</v>
      </c>
      <c r="H1400" s="44" t="s">
        <v>2338</v>
      </c>
      <c r="I1400" s="44" t="s">
        <v>2339</v>
      </c>
      <c r="J1400" s="44" t="s">
        <v>2410</v>
      </c>
      <c r="K1400" s="44" t="s">
        <v>3649</v>
      </c>
      <c r="L1400" s="44" t="s">
        <v>2333</v>
      </c>
      <c r="M1400" s="43"/>
      <c r="N1400" s="113" t="s">
        <v>1113</v>
      </c>
      <c r="O1400" s="113"/>
      <c r="P1400" s="113"/>
      <c r="Q1400" s="113"/>
      <c r="R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319" t="s">
        <v>1113</v>
      </c>
      <c r="AL1400" s="113"/>
      <c r="AM1400" s="113"/>
      <c r="AN1400" s="113"/>
      <c r="AO1400" s="43" t="s">
        <v>2353</v>
      </c>
      <c r="AP1400" s="43"/>
      <c r="AQ1400" s="236" t="str">
        <f>VLOOKUP(Table8[[#This Row],[Instrument]],Def_Targets!$D$73:$E$159,2,FALSE)</f>
        <v>I_VehicleRestrictions</v>
      </c>
      <c r="AR1400" s="233" t="str">
        <f>VLOOKUP(Table8[[#This Row],[Country Code]],Table29[],3,FALSE)</f>
        <v>Non-Annex I</v>
      </c>
      <c r="AS1400" s="233" t="str">
        <f>VLOOKUP(Table8[[#This Row],[Country Code]],Table29[],4,FALSE)</f>
        <v>Africa</v>
      </c>
      <c r="AT1400" s="233" t="str">
        <f>VLOOKUP(Table8[[#This Row],[Country Code]],Table29[],5,FALSE)</f>
        <v>Middle-income</v>
      </c>
      <c r="AU1400" s="233" t="str">
        <f>VLOOKUP(Table8[[#This Row],[Country Code]],Table29[],6,FALSE)</f>
        <v>no</v>
      </c>
      <c r="AV1400" s="233" t="str">
        <f>VLOOKUP(Table8[[#This Row],[Country Code]],Table29[],7,FALSE)</f>
        <v>no</v>
      </c>
      <c r="AW1400" s="233" t="str">
        <f>VLOOKUP(Table8[[#This Row],[Country Code]],Table29[],8,FALSE)</f>
        <v>non-OECD</v>
      </c>
      <c r="AX1400" s="233" t="str">
        <f>VLOOKUP(Table8[[#This Row],[Country Code]],Table29[],9,FALSE)</f>
        <v>no</v>
      </c>
      <c r="AY1400" s="233" t="str">
        <f>VLOOKUP(Table8[[#This Row],[Country Code]],Table29[],10,FALSE)</f>
        <v>MENA</v>
      </c>
      <c r="AZ1400" s="235">
        <f>VLOOKUP(Table8[[#This Row],[Country Code]],Table29[],23,FALSE)</f>
        <v>106.60223103187001</v>
      </c>
      <c r="BA1400" s="235">
        <f>VLOOKUP(Table8[[#This Row],[Country Code]],Table29[],24,FALSE)</f>
        <v>17.689478774478111</v>
      </c>
      <c r="BB1400" s="320"/>
      <c r="BC1400" s="320"/>
    </row>
    <row r="1401" spans="1:55" ht="30" hidden="1" x14ac:dyDescent="0.25">
      <c r="A1401" s="373">
        <v>17669</v>
      </c>
      <c r="B1401" s="233" t="str">
        <f>VLOOKUP(Table8[[#This Row],[Document ID]],Table1[],2,FALSE)</f>
        <v>MAR</v>
      </c>
      <c r="C1401" s="233" t="str">
        <f>VLOOKUP(Table8[[#This Row],[Document ID]],Table1[],3,FALSE)</f>
        <v>Morocco</v>
      </c>
      <c r="D1401" s="243" t="str">
        <f>VLOOKUP(Table8[[#This Row],[Document ID]],Table1[],5,FALSE)</f>
        <v>NDC</v>
      </c>
      <c r="E1401" s="233" t="str">
        <f>VLOOKUP(Table8[[#This Row],[Document ID]],Table1[],7,FALSE)</f>
        <v>First NDC</v>
      </c>
      <c r="F1401" s="233" t="str">
        <f>VLOOKUP(Table8[[#This Row],[Document ID]],Table1[],8,FALSE)</f>
        <v>NDC 1.0</v>
      </c>
      <c r="G1401" s="233" t="str">
        <f>VLOOKUP(Table8[[#This Row],[Document ID]],Table1[],10,FALSE)</f>
        <v>Archived</v>
      </c>
      <c r="H1401" s="44" t="s">
        <v>2329</v>
      </c>
      <c r="I1401" s="44" t="s">
        <v>2330</v>
      </c>
      <c r="J1401" s="44" t="s">
        <v>2381</v>
      </c>
      <c r="K1401" s="44" t="s">
        <v>3650</v>
      </c>
      <c r="L1401" s="44" t="s">
        <v>2471</v>
      </c>
      <c r="M1401" s="43"/>
      <c r="N1401" s="113"/>
      <c r="O1401" s="113"/>
      <c r="P1401" s="113"/>
      <c r="Q1401" s="113"/>
      <c r="R1401" s="113"/>
      <c r="S1401" s="113"/>
      <c r="T1401" s="113"/>
      <c r="U1401" s="113"/>
      <c r="V1401" s="113"/>
      <c r="W1401" s="113"/>
      <c r="X1401" s="113"/>
      <c r="Y1401" s="113" t="s">
        <v>1113</v>
      </c>
      <c r="Z1401" s="113"/>
      <c r="AA1401" s="113"/>
      <c r="AB1401" s="113"/>
      <c r="AC1401" s="113" t="s">
        <v>1113</v>
      </c>
      <c r="AD1401" s="113"/>
      <c r="AE1401" s="113"/>
      <c r="AF1401" s="113"/>
      <c r="AG1401" s="113"/>
      <c r="AH1401" s="113"/>
      <c r="AI1401" s="113"/>
      <c r="AJ1401" s="113"/>
      <c r="AK1401" s="113"/>
      <c r="AL1401" s="113" t="s">
        <v>1113</v>
      </c>
      <c r="AM1401" s="113"/>
      <c r="AN1401" s="113"/>
      <c r="AO1401" s="43" t="s">
        <v>2348</v>
      </c>
      <c r="AP1401" s="43"/>
      <c r="AQ1401" s="236" t="str">
        <f>VLOOKUP(Table8[[#This Row],[Instrument]],Def_Targets!$D$73:$E$159,2,FALSE)</f>
        <v>I_RE</v>
      </c>
      <c r="AR1401" s="233" t="str">
        <f>VLOOKUP(Table8[[#This Row],[Country Code]],Table29[],3,FALSE)</f>
        <v>Non-Annex I</v>
      </c>
      <c r="AS1401" s="233" t="str">
        <f>VLOOKUP(Table8[[#This Row],[Country Code]],Table29[],4,FALSE)</f>
        <v>Africa</v>
      </c>
      <c r="AT1401" s="233" t="str">
        <f>VLOOKUP(Table8[[#This Row],[Country Code]],Table29[],5,FALSE)</f>
        <v>Middle-income</v>
      </c>
      <c r="AU1401" s="233" t="str">
        <f>VLOOKUP(Table8[[#This Row],[Country Code]],Table29[],6,FALSE)</f>
        <v>no</v>
      </c>
      <c r="AV1401" s="233" t="str">
        <f>VLOOKUP(Table8[[#This Row],[Country Code]],Table29[],7,FALSE)</f>
        <v>no</v>
      </c>
      <c r="AW1401" s="233" t="str">
        <f>VLOOKUP(Table8[[#This Row],[Country Code]],Table29[],8,FALSE)</f>
        <v>non-OECD</v>
      </c>
      <c r="AX1401" s="233" t="str">
        <f>VLOOKUP(Table8[[#This Row],[Country Code]],Table29[],9,FALSE)</f>
        <v>no</v>
      </c>
      <c r="AY1401" s="233" t="str">
        <f>VLOOKUP(Table8[[#This Row],[Country Code]],Table29[],10,FALSE)</f>
        <v>MENA</v>
      </c>
      <c r="AZ1401" s="235">
        <f>VLOOKUP(Table8[[#This Row],[Country Code]],Table29[],23,FALSE)</f>
        <v>106.60223103187001</v>
      </c>
      <c r="BA1401" s="235">
        <f>VLOOKUP(Table8[[#This Row],[Country Code]],Table29[],24,FALSE)</f>
        <v>17.689478774478111</v>
      </c>
      <c r="BB1401" s="320"/>
      <c r="BC1401" s="320"/>
    </row>
    <row r="1402" spans="1:55" ht="30" hidden="1" x14ac:dyDescent="0.25">
      <c r="A1402" s="373">
        <v>17669</v>
      </c>
      <c r="B1402" s="233" t="str">
        <f>VLOOKUP(Table8[[#This Row],[Document ID]],Table1[],2,FALSE)</f>
        <v>MAR</v>
      </c>
      <c r="C1402" s="233" t="str">
        <f>VLOOKUP(Table8[[#This Row],[Document ID]],Table1[],3,FALSE)</f>
        <v>Morocco</v>
      </c>
      <c r="D1402" s="243" t="str">
        <f>VLOOKUP(Table8[[#This Row],[Document ID]],Table1[],5,FALSE)</f>
        <v>NDC</v>
      </c>
      <c r="E1402" s="233" t="str">
        <f>VLOOKUP(Table8[[#This Row],[Document ID]],Table1[],7,FALSE)</f>
        <v>First NDC</v>
      </c>
      <c r="F1402" s="233" t="str">
        <f>VLOOKUP(Table8[[#This Row],[Document ID]],Table1[],8,FALSE)</f>
        <v>NDC 1.0</v>
      </c>
      <c r="G1402" s="233" t="str">
        <f>VLOOKUP(Table8[[#This Row],[Document ID]],Table1[],10,FALSE)</f>
        <v>Archived</v>
      </c>
      <c r="H1402" s="43" t="s">
        <v>2343</v>
      </c>
      <c r="I1402" s="43" t="s">
        <v>2344</v>
      </c>
      <c r="J1402" s="44" t="s">
        <v>2345</v>
      </c>
      <c r="K1402" s="44" t="s">
        <v>3650</v>
      </c>
      <c r="L1402" s="44" t="s">
        <v>2471</v>
      </c>
      <c r="M1402" s="43"/>
      <c r="N1402" s="113" t="s">
        <v>1113</v>
      </c>
      <c r="O1402" s="113"/>
      <c r="P1402" s="113"/>
      <c r="Q1402" s="113"/>
      <c r="R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t="s">
        <v>1113</v>
      </c>
      <c r="AM1402" s="113"/>
      <c r="AN1402" s="113"/>
      <c r="AO1402" s="43" t="s">
        <v>2348</v>
      </c>
      <c r="AP1402" s="43"/>
      <c r="AQ1402" s="236" t="str">
        <f>VLOOKUP(Table8[[#This Row],[Instrument]],Def_Targets!$D$73:$E$159,2,FALSE)</f>
        <v>S_PublicTransport</v>
      </c>
      <c r="AR1402" s="233" t="str">
        <f>VLOOKUP(Table8[[#This Row],[Country Code]],Table29[],3,FALSE)</f>
        <v>Non-Annex I</v>
      </c>
      <c r="AS1402" s="233" t="str">
        <f>VLOOKUP(Table8[[#This Row],[Country Code]],Table29[],4,FALSE)</f>
        <v>Africa</v>
      </c>
      <c r="AT1402" s="233" t="str">
        <f>VLOOKUP(Table8[[#This Row],[Country Code]],Table29[],5,FALSE)</f>
        <v>Middle-income</v>
      </c>
      <c r="AU1402" s="233" t="str">
        <f>VLOOKUP(Table8[[#This Row],[Country Code]],Table29[],6,FALSE)</f>
        <v>no</v>
      </c>
      <c r="AV1402" s="233" t="str">
        <f>VLOOKUP(Table8[[#This Row],[Country Code]],Table29[],7,FALSE)</f>
        <v>no</v>
      </c>
      <c r="AW1402" s="233" t="str">
        <f>VLOOKUP(Table8[[#This Row],[Country Code]],Table29[],8,FALSE)</f>
        <v>non-OECD</v>
      </c>
      <c r="AX1402" s="233" t="str">
        <f>VLOOKUP(Table8[[#This Row],[Country Code]],Table29[],9,FALSE)</f>
        <v>no</v>
      </c>
      <c r="AY1402" s="233" t="str">
        <f>VLOOKUP(Table8[[#This Row],[Country Code]],Table29[],10,FALSE)</f>
        <v>MENA</v>
      </c>
      <c r="AZ1402" s="235">
        <f>VLOOKUP(Table8[[#This Row],[Country Code]],Table29[],23,FALSE)</f>
        <v>106.60223103187001</v>
      </c>
      <c r="BA1402" s="235">
        <f>VLOOKUP(Table8[[#This Row],[Country Code]],Table29[],24,FALSE)</f>
        <v>17.689478774478111</v>
      </c>
      <c r="BB1402" s="320"/>
      <c r="BC1402" s="320"/>
    </row>
    <row r="1403" spans="1:55" ht="30" hidden="1" x14ac:dyDescent="0.25">
      <c r="A1403" s="373">
        <v>17669</v>
      </c>
      <c r="B1403" s="233" t="str">
        <f>VLOOKUP(Table8[[#This Row],[Document ID]],Table1[],2,FALSE)</f>
        <v>MAR</v>
      </c>
      <c r="C1403" s="233" t="str">
        <f>VLOOKUP(Table8[[#This Row],[Document ID]],Table1[],3,FALSE)</f>
        <v>Morocco</v>
      </c>
      <c r="D1403" s="243" t="str">
        <f>VLOOKUP(Table8[[#This Row],[Document ID]],Table1[],5,FALSE)</f>
        <v>NDC</v>
      </c>
      <c r="E1403" s="233" t="str">
        <f>VLOOKUP(Table8[[#This Row],[Document ID]],Table1[],7,FALSE)</f>
        <v>First NDC</v>
      </c>
      <c r="F1403" s="233" t="str">
        <f>VLOOKUP(Table8[[#This Row],[Document ID]],Table1[],8,FALSE)</f>
        <v>NDC 1.0</v>
      </c>
      <c r="G1403" s="233" t="str">
        <f>VLOOKUP(Table8[[#This Row],[Document ID]],Table1[],10,FALSE)</f>
        <v>Archived</v>
      </c>
      <c r="H1403" s="43" t="s">
        <v>2343</v>
      </c>
      <c r="I1403" s="43" t="s">
        <v>2386</v>
      </c>
      <c r="J1403" s="44" t="s">
        <v>2397</v>
      </c>
      <c r="K1403" s="44" t="s">
        <v>1835</v>
      </c>
      <c r="L1403" s="44" t="s">
        <v>2471</v>
      </c>
      <c r="M1403" s="43"/>
      <c r="N1403" s="113"/>
      <c r="O1403" s="113"/>
      <c r="P1403" s="113"/>
      <c r="Q1403" s="113"/>
      <c r="R1403" s="113"/>
      <c r="S1403" s="113" t="s">
        <v>1113</v>
      </c>
      <c r="T1403" s="113"/>
      <c r="U1403" s="113"/>
      <c r="V1403" s="113"/>
      <c r="W1403" s="113"/>
      <c r="X1403" s="113"/>
      <c r="Y1403" s="113"/>
      <c r="Z1403" s="113"/>
      <c r="AA1403" s="113"/>
      <c r="AB1403" s="113"/>
      <c r="AC1403" s="113"/>
      <c r="AD1403" s="113"/>
      <c r="AE1403" s="113"/>
      <c r="AF1403" s="113"/>
      <c r="AG1403" s="113"/>
      <c r="AH1403" s="113"/>
      <c r="AI1403" s="113"/>
      <c r="AJ1403" s="113"/>
      <c r="AK1403" s="113"/>
      <c r="AL1403" s="113" t="s">
        <v>1113</v>
      </c>
      <c r="AM1403" s="113"/>
      <c r="AN1403" s="113"/>
      <c r="AO1403" s="44" t="s">
        <v>2334</v>
      </c>
      <c r="AP1403" s="43"/>
      <c r="AQ1403" s="236" t="str">
        <f>VLOOKUP(Table8[[#This Row],[Instrument]],Def_Targets!$D$73:$E$159,2,FALSE)</f>
        <v>A_Finance</v>
      </c>
      <c r="AR1403" s="233" t="str">
        <f>VLOOKUP(Table8[[#This Row],[Country Code]],Table29[],3,FALSE)</f>
        <v>Non-Annex I</v>
      </c>
      <c r="AS1403" s="233" t="str">
        <f>VLOOKUP(Table8[[#This Row],[Country Code]],Table29[],4,FALSE)</f>
        <v>Africa</v>
      </c>
      <c r="AT1403" s="233" t="str">
        <f>VLOOKUP(Table8[[#This Row],[Country Code]],Table29[],5,FALSE)</f>
        <v>Middle-income</v>
      </c>
      <c r="AU1403" s="233" t="str">
        <f>VLOOKUP(Table8[[#This Row],[Country Code]],Table29[],6,FALSE)</f>
        <v>no</v>
      </c>
      <c r="AV1403" s="233" t="str">
        <f>VLOOKUP(Table8[[#This Row],[Country Code]],Table29[],7,FALSE)</f>
        <v>no</v>
      </c>
      <c r="AW1403" s="233" t="str">
        <f>VLOOKUP(Table8[[#This Row],[Country Code]],Table29[],8,FALSE)</f>
        <v>non-OECD</v>
      </c>
      <c r="AX1403" s="233" t="str">
        <f>VLOOKUP(Table8[[#This Row],[Country Code]],Table29[],9,FALSE)</f>
        <v>no</v>
      </c>
      <c r="AY1403" s="233" t="str">
        <f>VLOOKUP(Table8[[#This Row],[Country Code]],Table29[],10,FALSE)</f>
        <v>MENA</v>
      </c>
      <c r="AZ1403" s="235">
        <f>VLOOKUP(Table8[[#This Row],[Country Code]],Table29[],23,FALSE)</f>
        <v>106.60223103187001</v>
      </c>
      <c r="BA1403" s="235">
        <f>VLOOKUP(Table8[[#This Row],[Country Code]],Table29[],24,FALSE)</f>
        <v>17.689478774478111</v>
      </c>
      <c r="BB1403" s="320"/>
      <c r="BC1403" s="320"/>
    </row>
    <row r="1404" spans="1:55" ht="90" hidden="1" x14ac:dyDescent="0.25">
      <c r="A1404" s="373">
        <v>20864</v>
      </c>
      <c r="B1404" s="233" t="str">
        <f>VLOOKUP(Table8[[#This Row],[Document ID]],Table1[],2,FALSE)</f>
        <v>MAR</v>
      </c>
      <c r="C1404" s="233" t="str">
        <f>VLOOKUP(Table8[[#This Row],[Document ID]],Table1[],3,FALSE)</f>
        <v>Morocco</v>
      </c>
      <c r="D1404" s="243" t="str">
        <f>VLOOKUP(Table8[[#This Row],[Document ID]],Table1[],5,FALSE)</f>
        <v>NDC</v>
      </c>
      <c r="E1404" s="233" t="str">
        <f>VLOOKUP(Table8[[#This Row],[Document ID]],Table1[],7,FALSE)</f>
        <v>First NDC updated</v>
      </c>
      <c r="F1404" s="233" t="str">
        <f>VLOOKUP(Table8[[#This Row],[Document ID]],Table1[],8,FALSE)</f>
        <v>NDC 1.1</v>
      </c>
      <c r="G1404" s="233" t="str">
        <f>VLOOKUP(Table8[[#This Row],[Document ID]],Table1[],10,FALSE)</f>
        <v>Active</v>
      </c>
      <c r="H1404" s="43" t="s">
        <v>2350</v>
      </c>
      <c r="I1404" s="43" t="s">
        <v>2351</v>
      </c>
      <c r="J1404" s="44" t="s">
        <v>2447</v>
      </c>
      <c r="K1404" s="44" t="s">
        <v>3651</v>
      </c>
      <c r="L1404" s="44" t="s">
        <v>2333</v>
      </c>
      <c r="M1404" s="43">
        <v>18</v>
      </c>
      <c r="N1404" s="113" t="s">
        <v>1113</v>
      </c>
      <c r="O1404" s="113"/>
      <c r="P1404" s="113"/>
      <c r="Q1404" s="113"/>
      <c r="R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319" t="s">
        <v>1113</v>
      </c>
      <c r="AL1404" s="113"/>
      <c r="AM1404" s="113"/>
      <c r="AN1404" s="113"/>
      <c r="AO1404" s="43" t="s">
        <v>2353</v>
      </c>
      <c r="AP1404" s="43"/>
      <c r="AQ1404" s="236" t="str">
        <f>VLOOKUP(Table8[[#This Row],[Instrument]],Def_Targets!$D$73:$E$159,2,FALSE)</f>
        <v>I_Freighteff</v>
      </c>
      <c r="AR1404" s="233" t="str">
        <f>VLOOKUP(Table8[[#This Row],[Country Code]],Table29[],3,FALSE)</f>
        <v>Non-Annex I</v>
      </c>
      <c r="AS1404" s="233" t="str">
        <f>VLOOKUP(Table8[[#This Row],[Country Code]],Table29[],4,FALSE)</f>
        <v>Africa</v>
      </c>
      <c r="AT1404" s="233" t="str">
        <f>VLOOKUP(Table8[[#This Row],[Country Code]],Table29[],5,FALSE)</f>
        <v>Middle-income</v>
      </c>
      <c r="AU1404" s="233" t="str">
        <f>VLOOKUP(Table8[[#This Row],[Country Code]],Table29[],6,FALSE)</f>
        <v>no</v>
      </c>
      <c r="AV1404" s="233" t="str">
        <f>VLOOKUP(Table8[[#This Row],[Country Code]],Table29[],7,FALSE)</f>
        <v>no</v>
      </c>
      <c r="AW1404" s="233" t="str">
        <f>VLOOKUP(Table8[[#This Row],[Country Code]],Table29[],8,FALSE)</f>
        <v>non-OECD</v>
      </c>
      <c r="AX1404" s="233" t="str">
        <f>VLOOKUP(Table8[[#This Row],[Country Code]],Table29[],9,FALSE)</f>
        <v>no</v>
      </c>
      <c r="AY1404" s="233" t="str">
        <f>VLOOKUP(Table8[[#This Row],[Country Code]],Table29[],10,FALSE)</f>
        <v>MENA</v>
      </c>
      <c r="AZ1404" s="235">
        <f>VLOOKUP(Table8[[#This Row],[Country Code]],Table29[],23,FALSE)</f>
        <v>106.60223103187001</v>
      </c>
      <c r="BA1404" s="235">
        <f>VLOOKUP(Table8[[#This Row],[Country Code]],Table29[],24,FALSE)</f>
        <v>17.689478774478111</v>
      </c>
      <c r="BB1404" s="320"/>
      <c r="BC1404" s="320"/>
    </row>
    <row r="1405" spans="1:55" ht="30" hidden="1" x14ac:dyDescent="0.25">
      <c r="A1405" s="373">
        <v>20864</v>
      </c>
      <c r="B1405" s="233" t="str">
        <f>VLOOKUP(Table8[[#This Row],[Document ID]],Table1[],2,FALSE)</f>
        <v>MAR</v>
      </c>
      <c r="C1405" s="233" t="str">
        <f>VLOOKUP(Table8[[#This Row],[Document ID]],Table1[],3,FALSE)</f>
        <v>Morocco</v>
      </c>
      <c r="D1405" s="243" t="str">
        <f>VLOOKUP(Table8[[#This Row],[Document ID]],Table1[],5,FALSE)</f>
        <v>NDC</v>
      </c>
      <c r="E1405" s="233" t="str">
        <f>VLOOKUP(Table8[[#This Row],[Document ID]],Table1[],7,FALSE)</f>
        <v>First NDC updated</v>
      </c>
      <c r="F1405" s="233" t="str">
        <f>VLOOKUP(Table8[[#This Row],[Document ID]],Table1[],8,FALSE)</f>
        <v>NDC 1.1</v>
      </c>
      <c r="G1405" s="233" t="str">
        <f>VLOOKUP(Table8[[#This Row],[Document ID]],Table1[],10,FALSE)</f>
        <v>Active</v>
      </c>
      <c r="H1405" s="43" t="s">
        <v>2343</v>
      </c>
      <c r="I1405" s="43" t="s">
        <v>2344</v>
      </c>
      <c r="J1405" s="44" t="s">
        <v>2405</v>
      </c>
      <c r="K1405" s="44" t="s">
        <v>3652</v>
      </c>
      <c r="L1405" s="44" t="s">
        <v>2347</v>
      </c>
      <c r="M1405" s="43">
        <v>19</v>
      </c>
      <c r="N1405" s="113"/>
      <c r="O1405" s="113"/>
      <c r="P1405" s="113"/>
      <c r="Q1405" s="113"/>
      <c r="R1405" s="113"/>
      <c r="S1405" s="113"/>
      <c r="T1405" s="113"/>
      <c r="U1405" s="113"/>
      <c r="V1405" s="113"/>
      <c r="W1405" s="113"/>
      <c r="X1405" s="113"/>
      <c r="Y1405" s="113" t="s">
        <v>1113</v>
      </c>
      <c r="Z1405" s="113"/>
      <c r="AA1405" s="113"/>
      <c r="AB1405" s="113"/>
      <c r="AC1405" s="113" t="s">
        <v>1113</v>
      </c>
      <c r="AD1405" s="113"/>
      <c r="AE1405" s="113"/>
      <c r="AF1405" s="113"/>
      <c r="AG1405" s="113"/>
      <c r="AH1405" s="113"/>
      <c r="AI1405" s="113"/>
      <c r="AJ1405" s="113"/>
      <c r="AK1405" s="113"/>
      <c r="AL1405" s="113" t="s">
        <v>1113</v>
      </c>
      <c r="AM1405" s="113"/>
      <c r="AN1405" s="113"/>
      <c r="AO1405" s="43" t="s">
        <v>2348</v>
      </c>
      <c r="AP1405" s="43"/>
      <c r="AQ1405" s="236" t="str">
        <f>VLOOKUP(Table8[[#This Row],[Instrument]],Def_Targets!$D$73:$E$159,2,FALSE)</f>
        <v>S_PTIntegration</v>
      </c>
      <c r="AR1405" s="233" t="str">
        <f>VLOOKUP(Table8[[#This Row],[Country Code]],Table29[],3,FALSE)</f>
        <v>Non-Annex I</v>
      </c>
      <c r="AS1405" s="233" t="str">
        <f>VLOOKUP(Table8[[#This Row],[Country Code]],Table29[],4,FALSE)</f>
        <v>Africa</v>
      </c>
      <c r="AT1405" s="233" t="str">
        <f>VLOOKUP(Table8[[#This Row],[Country Code]],Table29[],5,FALSE)</f>
        <v>Middle-income</v>
      </c>
      <c r="AU1405" s="233" t="str">
        <f>VLOOKUP(Table8[[#This Row],[Country Code]],Table29[],6,FALSE)</f>
        <v>no</v>
      </c>
      <c r="AV1405" s="233" t="str">
        <f>VLOOKUP(Table8[[#This Row],[Country Code]],Table29[],7,FALSE)</f>
        <v>no</v>
      </c>
      <c r="AW1405" s="233" t="str">
        <f>VLOOKUP(Table8[[#This Row],[Country Code]],Table29[],8,FALSE)</f>
        <v>non-OECD</v>
      </c>
      <c r="AX1405" s="233" t="str">
        <f>VLOOKUP(Table8[[#This Row],[Country Code]],Table29[],9,FALSE)</f>
        <v>no</v>
      </c>
      <c r="AY1405" s="233" t="str">
        <f>VLOOKUP(Table8[[#This Row],[Country Code]],Table29[],10,FALSE)</f>
        <v>MENA</v>
      </c>
      <c r="AZ1405" s="235">
        <f>VLOOKUP(Table8[[#This Row],[Country Code]],Table29[],23,FALSE)</f>
        <v>106.60223103187001</v>
      </c>
      <c r="BA1405" s="235">
        <f>VLOOKUP(Table8[[#This Row],[Country Code]],Table29[],24,FALSE)</f>
        <v>17.689478774478111</v>
      </c>
      <c r="BB1405" s="320"/>
      <c r="BC1405" s="320"/>
    </row>
    <row r="1406" spans="1:55" ht="30" hidden="1" x14ac:dyDescent="0.25">
      <c r="A1406" s="373">
        <v>20864</v>
      </c>
      <c r="B1406" s="233" t="str">
        <f>VLOOKUP(Table8[[#This Row],[Document ID]],Table1[],2,FALSE)</f>
        <v>MAR</v>
      </c>
      <c r="C1406" s="233" t="str">
        <f>VLOOKUP(Table8[[#This Row],[Document ID]],Table1[],3,FALSE)</f>
        <v>Morocco</v>
      </c>
      <c r="D1406" s="243" t="str">
        <f>VLOOKUP(Table8[[#This Row],[Document ID]],Table1[],5,FALSE)</f>
        <v>NDC</v>
      </c>
      <c r="E1406" s="233" t="str">
        <f>VLOOKUP(Table8[[#This Row],[Document ID]],Table1[],7,FALSE)</f>
        <v>First NDC updated</v>
      </c>
      <c r="F1406" s="233" t="str">
        <f>VLOOKUP(Table8[[#This Row],[Document ID]],Table1[],8,FALSE)</f>
        <v>NDC 1.1</v>
      </c>
      <c r="G1406" s="233" t="str">
        <f>VLOOKUP(Table8[[#This Row],[Document ID]],Table1[],10,FALSE)</f>
        <v>Active</v>
      </c>
      <c r="H1406" s="44" t="s">
        <v>2329</v>
      </c>
      <c r="I1406" s="44" t="s">
        <v>2330</v>
      </c>
      <c r="J1406" s="44" t="s">
        <v>2381</v>
      </c>
      <c r="K1406" s="44" t="s">
        <v>3652</v>
      </c>
      <c r="L1406" s="44" t="s">
        <v>2471</v>
      </c>
      <c r="M1406" s="43">
        <v>19</v>
      </c>
      <c r="N1406" s="113"/>
      <c r="O1406" s="113"/>
      <c r="P1406" s="113"/>
      <c r="Q1406" s="113"/>
      <c r="R1406" s="113"/>
      <c r="S1406" s="113"/>
      <c r="T1406" s="113"/>
      <c r="U1406" s="113"/>
      <c r="V1406" s="113"/>
      <c r="W1406" s="113"/>
      <c r="X1406" s="113"/>
      <c r="Y1406" s="113" t="s">
        <v>1113</v>
      </c>
      <c r="Z1406" s="113"/>
      <c r="AA1406" s="113"/>
      <c r="AB1406" s="113"/>
      <c r="AC1406" s="113" t="s">
        <v>1113</v>
      </c>
      <c r="AD1406" s="113"/>
      <c r="AE1406" s="113"/>
      <c r="AF1406" s="113"/>
      <c r="AG1406" s="113"/>
      <c r="AH1406" s="113"/>
      <c r="AI1406" s="113"/>
      <c r="AJ1406" s="113"/>
      <c r="AK1406" s="113"/>
      <c r="AL1406" s="113" t="s">
        <v>1113</v>
      </c>
      <c r="AM1406" s="113"/>
      <c r="AN1406" s="113"/>
      <c r="AO1406" s="43" t="s">
        <v>2348</v>
      </c>
      <c r="AP1406" s="43"/>
      <c r="AQ1406" s="236" t="str">
        <f>VLOOKUP(Table8[[#This Row],[Instrument]],Def_Targets!$D$73:$E$159,2,FALSE)</f>
        <v>I_RE</v>
      </c>
      <c r="AR1406" s="233" t="str">
        <f>VLOOKUP(Table8[[#This Row],[Country Code]],Table29[],3,FALSE)</f>
        <v>Non-Annex I</v>
      </c>
      <c r="AS1406" s="233" t="str">
        <f>VLOOKUP(Table8[[#This Row],[Country Code]],Table29[],4,FALSE)</f>
        <v>Africa</v>
      </c>
      <c r="AT1406" s="233" t="str">
        <f>VLOOKUP(Table8[[#This Row],[Country Code]],Table29[],5,FALSE)</f>
        <v>Middle-income</v>
      </c>
      <c r="AU1406" s="233" t="str">
        <f>VLOOKUP(Table8[[#This Row],[Country Code]],Table29[],6,FALSE)</f>
        <v>no</v>
      </c>
      <c r="AV1406" s="233" t="str">
        <f>VLOOKUP(Table8[[#This Row],[Country Code]],Table29[],7,FALSE)</f>
        <v>no</v>
      </c>
      <c r="AW1406" s="233" t="str">
        <f>VLOOKUP(Table8[[#This Row],[Country Code]],Table29[],8,FALSE)</f>
        <v>non-OECD</v>
      </c>
      <c r="AX1406" s="233" t="str">
        <f>VLOOKUP(Table8[[#This Row],[Country Code]],Table29[],9,FALSE)</f>
        <v>no</v>
      </c>
      <c r="AY1406" s="233" t="str">
        <f>VLOOKUP(Table8[[#This Row],[Country Code]],Table29[],10,FALSE)</f>
        <v>MENA</v>
      </c>
      <c r="AZ1406" s="235">
        <f>VLOOKUP(Table8[[#This Row],[Country Code]],Table29[],23,FALSE)</f>
        <v>106.60223103187001</v>
      </c>
      <c r="BA1406" s="235">
        <f>VLOOKUP(Table8[[#This Row],[Country Code]],Table29[],24,FALSE)</f>
        <v>17.689478774478111</v>
      </c>
      <c r="BB1406" s="320"/>
      <c r="BC1406" s="320"/>
    </row>
    <row r="1407" spans="1:55" hidden="1" x14ac:dyDescent="0.25">
      <c r="A1407" s="373">
        <v>20864</v>
      </c>
      <c r="B1407" s="233" t="str">
        <f>VLOOKUP(Table8[[#This Row],[Document ID]],Table1[],2,FALSE)</f>
        <v>MAR</v>
      </c>
      <c r="C1407" s="233" t="str">
        <f>VLOOKUP(Table8[[#This Row],[Document ID]],Table1[],3,FALSE)</f>
        <v>Morocco</v>
      </c>
      <c r="D1407" s="243" t="str">
        <f>VLOOKUP(Table8[[#This Row],[Document ID]],Table1[],5,FALSE)</f>
        <v>NDC</v>
      </c>
      <c r="E1407" s="233" t="str">
        <f>VLOOKUP(Table8[[#This Row],[Document ID]],Table1[],7,FALSE)</f>
        <v>First NDC updated</v>
      </c>
      <c r="F1407" s="233" t="str">
        <f>VLOOKUP(Table8[[#This Row],[Document ID]],Table1[],8,FALSE)</f>
        <v>NDC 1.1</v>
      </c>
      <c r="G1407" s="233" t="str">
        <f>VLOOKUP(Table8[[#This Row],[Document ID]],Table1[],10,FALSE)</f>
        <v>Active</v>
      </c>
      <c r="H1407" s="44" t="s">
        <v>2338</v>
      </c>
      <c r="I1407" s="44" t="s">
        <v>2339</v>
      </c>
      <c r="J1407" s="44" t="s">
        <v>2416</v>
      </c>
      <c r="K1407" s="44" t="s">
        <v>3653</v>
      </c>
      <c r="L1407" s="44" t="s">
        <v>2333</v>
      </c>
      <c r="M1407" s="43">
        <v>19</v>
      </c>
      <c r="N1407" s="113"/>
      <c r="O1407" s="113"/>
      <c r="P1407" s="113"/>
      <c r="Q1407" s="113"/>
      <c r="R1407" s="113"/>
      <c r="S1407" s="113"/>
      <c r="T1407" s="113"/>
      <c r="U1407" s="113"/>
      <c r="V1407" s="113"/>
      <c r="W1407" s="113" t="s">
        <v>1113</v>
      </c>
      <c r="X1407" s="113"/>
      <c r="Y1407" s="113"/>
      <c r="Z1407" s="113"/>
      <c r="AA1407" s="113"/>
      <c r="AB1407" s="113"/>
      <c r="AC1407" s="113"/>
      <c r="AD1407" s="113"/>
      <c r="AE1407" s="113"/>
      <c r="AF1407" s="113"/>
      <c r="AG1407" s="113"/>
      <c r="AH1407" s="113"/>
      <c r="AI1407" s="113"/>
      <c r="AJ1407" s="113"/>
      <c r="AK1407" s="113"/>
      <c r="AL1407" s="113" t="s">
        <v>1113</v>
      </c>
      <c r="AM1407" s="113"/>
      <c r="AN1407" s="113"/>
      <c r="AO1407" s="43" t="s">
        <v>2348</v>
      </c>
      <c r="AP1407" s="43"/>
      <c r="AQ1407" s="236" t="str">
        <f>VLOOKUP(Table8[[#This Row],[Instrument]],Def_Targets!$D$73:$E$159,2,FALSE)</f>
        <v>I_Vehiclescrappage</v>
      </c>
      <c r="AR1407" s="233" t="str">
        <f>VLOOKUP(Table8[[#This Row],[Country Code]],Table29[],3,FALSE)</f>
        <v>Non-Annex I</v>
      </c>
      <c r="AS1407" s="233" t="str">
        <f>VLOOKUP(Table8[[#This Row],[Country Code]],Table29[],4,FALSE)</f>
        <v>Africa</v>
      </c>
      <c r="AT1407" s="233" t="str">
        <f>VLOOKUP(Table8[[#This Row],[Country Code]],Table29[],5,FALSE)</f>
        <v>Middle-income</v>
      </c>
      <c r="AU1407" s="233" t="str">
        <f>VLOOKUP(Table8[[#This Row],[Country Code]],Table29[],6,FALSE)</f>
        <v>no</v>
      </c>
      <c r="AV1407" s="233" t="str">
        <f>VLOOKUP(Table8[[#This Row],[Country Code]],Table29[],7,FALSE)</f>
        <v>no</v>
      </c>
      <c r="AW1407" s="233" t="str">
        <f>VLOOKUP(Table8[[#This Row],[Country Code]],Table29[],8,FALSE)</f>
        <v>non-OECD</v>
      </c>
      <c r="AX1407" s="233" t="str">
        <f>VLOOKUP(Table8[[#This Row],[Country Code]],Table29[],9,FALSE)</f>
        <v>no</v>
      </c>
      <c r="AY1407" s="233" t="str">
        <f>VLOOKUP(Table8[[#This Row],[Country Code]],Table29[],10,FALSE)</f>
        <v>MENA</v>
      </c>
      <c r="AZ1407" s="235">
        <f>VLOOKUP(Table8[[#This Row],[Country Code]],Table29[],23,FALSE)</f>
        <v>106.60223103187001</v>
      </c>
      <c r="BA1407" s="235">
        <f>VLOOKUP(Table8[[#This Row],[Country Code]],Table29[],24,FALSE)</f>
        <v>17.689478774478111</v>
      </c>
      <c r="BB1407" s="320"/>
      <c r="BC1407" s="320"/>
    </row>
    <row r="1408" spans="1:55" ht="30" hidden="1" x14ac:dyDescent="0.25">
      <c r="A1408" s="373">
        <v>20864</v>
      </c>
      <c r="B1408" s="233" t="str">
        <f>VLOOKUP(Table8[[#This Row],[Document ID]],Table1[],2,FALSE)</f>
        <v>MAR</v>
      </c>
      <c r="C1408" s="233" t="str">
        <f>VLOOKUP(Table8[[#This Row],[Document ID]],Table1[],3,FALSE)</f>
        <v>Morocco</v>
      </c>
      <c r="D1408" s="243" t="str">
        <f>VLOOKUP(Table8[[#This Row],[Document ID]],Table1[],5,FALSE)</f>
        <v>NDC</v>
      </c>
      <c r="E1408" s="233" t="str">
        <f>VLOOKUP(Table8[[#This Row],[Document ID]],Table1[],7,FALSE)</f>
        <v>First NDC updated</v>
      </c>
      <c r="F1408" s="233" t="str">
        <f>VLOOKUP(Table8[[#This Row],[Document ID]],Table1[],8,FALSE)</f>
        <v>NDC 1.1</v>
      </c>
      <c r="G1408" s="233" t="str">
        <f>VLOOKUP(Table8[[#This Row],[Document ID]],Table1[],10,FALSE)</f>
        <v>Active</v>
      </c>
      <c r="H1408" s="43" t="s">
        <v>2343</v>
      </c>
      <c r="I1408" s="43" t="s">
        <v>2386</v>
      </c>
      <c r="J1408" s="44" t="s">
        <v>2412</v>
      </c>
      <c r="K1408" s="44" t="s">
        <v>3654</v>
      </c>
      <c r="L1408" s="44" t="s">
        <v>2373</v>
      </c>
      <c r="M1408" s="43">
        <v>19</v>
      </c>
      <c r="N1408" s="113" t="s">
        <v>1113</v>
      </c>
      <c r="O1408" s="113"/>
      <c r="P1408" s="113"/>
      <c r="Q1408" s="113"/>
      <c r="R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t="s">
        <v>1113</v>
      </c>
      <c r="AM1408" s="113"/>
      <c r="AN1408" s="113"/>
      <c r="AO1408" s="44" t="s">
        <v>2334</v>
      </c>
      <c r="AP1408" s="43"/>
      <c r="AQ1408" s="236" t="str">
        <f>VLOOKUP(Table8[[#This Row],[Instrument]],Def_Targets!$D$73:$E$159,2,FALSE)</f>
        <v>A_Economic</v>
      </c>
      <c r="AR1408" s="233" t="str">
        <f>VLOOKUP(Table8[[#This Row],[Country Code]],Table29[],3,FALSE)</f>
        <v>Non-Annex I</v>
      </c>
      <c r="AS1408" s="233" t="str">
        <f>VLOOKUP(Table8[[#This Row],[Country Code]],Table29[],4,FALSE)</f>
        <v>Africa</v>
      </c>
      <c r="AT1408" s="233" t="str">
        <f>VLOOKUP(Table8[[#This Row],[Country Code]],Table29[],5,FALSE)</f>
        <v>Middle-income</v>
      </c>
      <c r="AU1408" s="233" t="str">
        <f>VLOOKUP(Table8[[#This Row],[Country Code]],Table29[],6,FALSE)</f>
        <v>no</v>
      </c>
      <c r="AV1408" s="233" t="str">
        <f>VLOOKUP(Table8[[#This Row],[Country Code]],Table29[],7,FALSE)</f>
        <v>no</v>
      </c>
      <c r="AW1408" s="233" t="str">
        <f>VLOOKUP(Table8[[#This Row],[Country Code]],Table29[],8,FALSE)</f>
        <v>non-OECD</v>
      </c>
      <c r="AX1408" s="233" t="str">
        <f>VLOOKUP(Table8[[#This Row],[Country Code]],Table29[],9,FALSE)</f>
        <v>no</v>
      </c>
      <c r="AY1408" s="233" t="str">
        <f>VLOOKUP(Table8[[#This Row],[Country Code]],Table29[],10,FALSE)</f>
        <v>MENA</v>
      </c>
      <c r="AZ1408" s="235">
        <f>VLOOKUP(Table8[[#This Row],[Country Code]],Table29[],23,FALSE)</f>
        <v>106.60223103187001</v>
      </c>
      <c r="BA1408" s="235">
        <f>VLOOKUP(Table8[[#This Row],[Country Code]],Table29[],24,FALSE)</f>
        <v>17.689478774478111</v>
      </c>
      <c r="BB1408" s="320"/>
      <c r="BC1408" s="320"/>
    </row>
    <row r="1409" spans="1:55" ht="30" hidden="1" x14ac:dyDescent="0.25">
      <c r="A1409" s="373">
        <v>20864</v>
      </c>
      <c r="B1409" s="233" t="str">
        <f>VLOOKUP(Table8[[#This Row],[Document ID]],Table1[],2,FALSE)</f>
        <v>MAR</v>
      </c>
      <c r="C1409" s="233" t="str">
        <f>VLOOKUP(Table8[[#This Row],[Document ID]],Table1[],3,FALSE)</f>
        <v>Morocco</v>
      </c>
      <c r="D1409" s="243" t="str">
        <f>VLOOKUP(Table8[[#This Row],[Document ID]],Table1[],5,FALSE)</f>
        <v>NDC</v>
      </c>
      <c r="E1409" s="233" t="str">
        <f>VLOOKUP(Table8[[#This Row],[Document ID]],Table1[],7,FALSE)</f>
        <v>First NDC updated</v>
      </c>
      <c r="F1409" s="233" t="str">
        <f>VLOOKUP(Table8[[#This Row],[Document ID]],Table1[],8,FALSE)</f>
        <v>NDC 1.1</v>
      </c>
      <c r="G1409" s="233" t="str">
        <f>VLOOKUP(Table8[[#This Row],[Document ID]],Table1[],10,FALSE)</f>
        <v>Active</v>
      </c>
      <c r="H1409" s="43" t="s">
        <v>2350</v>
      </c>
      <c r="I1409" s="43" t="s">
        <v>2351</v>
      </c>
      <c r="J1409" s="44" t="s">
        <v>2352</v>
      </c>
      <c r="K1409" s="44" t="s">
        <v>3655</v>
      </c>
      <c r="L1409" s="44" t="s">
        <v>2380</v>
      </c>
      <c r="M1409" s="43">
        <v>29</v>
      </c>
      <c r="N1409" s="113" t="s">
        <v>1113</v>
      </c>
      <c r="O1409" s="113"/>
      <c r="P1409" s="113"/>
      <c r="Q1409" s="113"/>
      <c r="R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319" t="s">
        <v>1113</v>
      </c>
      <c r="AL1409" s="113"/>
      <c r="AM1409" s="113"/>
      <c r="AN1409" s="113"/>
      <c r="AO1409" s="43" t="s">
        <v>2353</v>
      </c>
      <c r="AP1409" s="43"/>
      <c r="AQ1409" s="236" t="str">
        <f>VLOOKUP(Table8[[#This Row],[Instrument]],Def_Targets!$D$73:$E$159,2,FALSE)</f>
        <v>S_Railfreight</v>
      </c>
      <c r="AR1409" s="233" t="str">
        <f>VLOOKUP(Table8[[#This Row],[Country Code]],Table29[],3,FALSE)</f>
        <v>Non-Annex I</v>
      </c>
      <c r="AS1409" s="233" t="str">
        <f>VLOOKUP(Table8[[#This Row],[Country Code]],Table29[],4,FALSE)</f>
        <v>Africa</v>
      </c>
      <c r="AT1409" s="233" t="str">
        <f>VLOOKUP(Table8[[#This Row],[Country Code]],Table29[],5,FALSE)</f>
        <v>Middle-income</v>
      </c>
      <c r="AU1409" s="233" t="str">
        <f>VLOOKUP(Table8[[#This Row],[Country Code]],Table29[],6,FALSE)</f>
        <v>no</v>
      </c>
      <c r="AV1409" s="233" t="str">
        <f>VLOOKUP(Table8[[#This Row],[Country Code]],Table29[],7,FALSE)</f>
        <v>no</v>
      </c>
      <c r="AW1409" s="233" t="str">
        <f>VLOOKUP(Table8[[#This Row],[Country Code]],Table29[],8,FALSE)</f>
        <v>non-OECD</v>
      </c>
      <c r="AX1409" s="233" t="str">
        <f>VLOOKUP(Table8[[#This Row],[Country Code]],Table29[],9,FALSE)</f>
        <v>no</v>
      </c>
      <c r="AY1409" s="233" t="str">
        <f>VLOOKUP(Table8[[#This Row],[Country Code]],Table29[],10,FALSE)</f>
        <v>MENA</v>
      </c>
      <c r="AZ1409" s="235">
        <f>VLOOKUP(Table8[[#This Row],[Country Code]],Table29[],23,FALSE)</f>
        <v>106.60223103187001</v>
      </c>
      <c r="BA1409" s="235">
        <f>VLOOKUP(Table8[[#This Row],[Country Code]],Table29[],24,FALSE)</f>
        <v>17.689478774478111</v>
      </c>
      <c r="BB1409" s="320"/>
      <c r="BC1409" s="320"/>
    </row>
    <row r="1410" spans="1:55" hidden="1" x14ac:dyDescent="0.25">
      <c r="A1410" s="373">
        <v>20864</v>
      </c>
      <c r="B1410" s="233" t="str">
        <f>VLOOKUP(Table8[[#This Row],[Document ID]],Table1[],2,FALSE)</f>
        <v>MAR</v>
      </c>
      <c r="C1410" s="233" t="str">
        <f>VLOOKUP(Table8[[#This Row],[Document ID]],Table1[],3,FALSE)</f>
        <v>Morocco</v>
      </c>
      <c r="D1410" s="243" t="str">
        <f>VLOOKUP(Table8[[#This Row],[Document ID]],Table1[],5,FALSE)</f>
        <v>NDC</v>
      </c>
      <c r="E1410" s="233" t="str">
        <f>VLOOKUP(Table8[[#This Row],[Document ID]],Table1[],7,FALSE)</f>
        <v>First NDC updated</v>
      </c>
      <c r="F1410" s="233" t="str">
        <f>VLOOKUP(Table8[[#This Row],[Document ID]],Table1[],8,FALSE)</f>
        <v>NDC 1.1</v>
      </c>
      <c r="G1410" s="233" t="str">
        <f>VLOOKUP(Table8[[#This Row],[Document ID]],Table1[],10,FALSE)</f>
        <v>Active</v>
      </c>
      <c r="H1410" s="43" t="s">
        <v>2343</v>
      </c>
      <c r="I1410" s="43" t="s">
        <v>2344</v>
      </c>
      <c r="J1410" s="44" t="s">
        <v>2405</v>
      </c>
      <c r="K1410" s="44" t="s">
        <v>3656</v>
      </c>
      <c r="L1410" s="44" t="s">
        <v>2347</v>
      </c>
      <c r="M1410" s="43">
        <v>29</v>
      </c>
      <c r="N1410" s="113"/>
      <c r="O1410" s="113"/>
      <c r="P1410" s="113"/>
      <c r="Q1410" s="113"/>
      <c r="R1410" s="113"/>
      <c r="S1410" s="113"/>
      <c r="T1410" s="113"/>
      <c r="U1410" s="113"/>
      <c r="V1410" s="113"/>
      <c r="W1410" s="113"/>
      <c r="X1410" s="113"/>
      <c r="Y1410" s="113"/>
      <c r="Z1410" s="113"/>
      <c r="AA1410" s="113"/>
      <c r="AB1410" s="113"/>
      <c r="AC1410" s="319" t="s">
        <v>1113</v>
      </c>
      <c r="AD1410" s="319"/>
      <c r="AE1410" s="113"/>
      <c r="AF1410" s="113"/>
      <c r="AG1410" s="113"/>
      <c r="AH1410" s="113"/>
      <c r="AI1410" s="113"/>
      <c r="AJ1410" s="113"/>
      <c r="AK1410" s="113"/>
      <c r="AL1410" s="113" t="s">
        <v>1113</v>
      </c>
      <c r="AM1410" s="113"/>
      <c r="AN1410" s="113"/>
      <c r="AO1410" s="43" t="s">
        <v>2348</v>
      </c>
      <c r="AP1410" s="43"/>
      <c r="AQ1410" s="236" t="str">
        <f>VLOOKUP(Table8[[#This Row],[Instrument]],Def_Targets!$D$73:$E$159,2,FALSE)</f>
        <v>S_PTIntegration</v>
      </c>
      <c r="AR1410" s="233" t="str">
        <f>VLOOKUP(Table8[[#This Row],[Country Code]],Table29[],3,FALSE)</f>
        <v>Non-Annex I</v>
      </c>
      <c r="AS1410" s="233" t="str">
        <f>VLOOKUP(Table8[[#This Row],[Country Code]],Table29[],4,FALSE)</f>
        <v>Africa</v>
      </c>
      <c r="AT1410" s="233" t="str">
        <f>VLOOKUP(Table8[[#This Row],[Country Code]],Table29[],5,FALSE)</f>
        <v>Middle-income</v>
      </c>
      <c r="AU1410" s="233" t="str">
        <f>VLOOKUP(Table8[[#This Row],[Country Code]],Table29[],6,FALSE)</f>
        <v>no</v>
      </c>
      <c r="AV1410" s="233" t="str">
        <f>VLOOKUP(Table8[[#This Row],[Country Code]],Table29[],7,FALSE)</f>
        <v>no</v>
      </c>
      <c r="AW1410" s="233" t="str">
        <f>VLOOKUP(Table8[[#This Row],[Country Code]],Table29[],8,FALSE)</f>
        <v>non-OECD</v>
      </c>
      <c r="AX1410" s="233" t="str">
        <f>VLOOKUP(Table8[[#This Row],[Country Code]],Table29[],9,FALSE)</f>
        <v>no</v>
      </c>
      <c r="AY1410" s="233" t="str">
        <f>VLOOKUP(Table8[[#This Row],[Country Code]],Table29[],10,FALSE)</f>
        <v>MENA</v>
      </c>
      <c r="AZ1410" s="235">
        <f>VLOOKUP(Table8[[#This Row],[Country Code]],Table29[],23,FALSE)</f>
        <v>106.60223103187001</v>
      </c>
      <c r="BA1410" s="235">
        <f>VLOOKUP(Table8[[#This Row],[Country Code]],Table29[],24,FALSE)</f>
        <v>17.689478774478111</v>
      </c>
      <c r="BB1410" s="320"/>
      <c r="BC1410" s="320"/>
    </row>
    <row r="1411" spans="1:55" ht="60" hidden="1" x14ac:dyDescent="0.25">
      <c r="A1411" s="373">
        <v>20864</v>
      </c>
      <c r="B1411" s="233" t="str">
        <f>VLOOKUP(Table8[[#This Row],[Document ID]],Table1[],2,FALSE)</f>
        <v>MAR</v>
      </c>
      <c r="C1411" s="233" t="str">
        <f>VLOOKUP(Table8[[#This Row],[Document ID]],Table1[],3,FALSE)</f>
        <v>Morocco</v>
      </c>
      <c r="D1411" s="243" t="str">
        <f>VLOOKUP(Table8[[#This Row],[Document ID]],Table1[],5,FALSE)</f>
        <v>NDC</v>
      </c>
      <c r="E1411" s="233" t="str">
        <f>VLOOKUP(Table8[[#This Row],[Document ID]],Table1[],7,FALSE)</f>
        <v>First NDC updated</v>
      </c>
      <c r="F1411" s="233" t="str">
        <f>VLOOKUP(Table8[[#This Row],[Document ID]],Table1[],8,FALSE)</f>
        <v>NDC 1.1</v>
      </c>
      <c r="G1411" s="233" t="str">
        <f>VLOOKUP(Table8[[#This Row],[Document ID]],Table1[],10,FALSE)</f>
        <v>Active</v>
      </c>
      <c r="H1411" s="44" t="s">
        <v>2338</v>
      </c>
      <c r="I1411" s="44" t="s">
        <v>2339</v>
      </c>
      <c r="J1411" s="44" t="s">
        <v>2340</v>
      </c>
      <c r="K1411" s="44" t="s">
        <v>3657</v>
      </c>
      <c r="L1411" s="44" t="s">
        <v>2333</v>
      </c>
      <c r="M1411" s="43">
        <v>29</v>
      </c>
      <c r="N1411" s="113"/>
      <c r="O1411" s="113"/>
      <c r="P1411" s="113"/>
      <c r="Q1411" s="113"/>
      <c r="R1411" s="113"/>
      <c r="S1411" s="113" t="s">
        <v>1113</v>
      </c>
      <c r="T1411" s="113"/>
      <c r="U1411" s="113"/>
      <c r="V1411" s="113"/>
      <c r="W1411" s="113"/>
      <c r="X1411" s="113"/>
      <c r="Y1411" s="113"/>
      <c r="Z1411" s="113"/>
      <c r="AA1411" s="113"/>
      <c r="AB1411" s="113"/>
      <c r="AC1411" s="113"/>
      <c r="AD1411" s="113"/>
      <c r="AE1411" s="113"/>
      <c r="AF1411" s="113"/>
      <c r="AG1411" s="113"/>
      <c r="AH1411" s="113"/>
      <c r="AI1411" s="113"/>
      <c r="AJ1411" s="113"/>
      <c r="AK1411" s="319" t="s">
        <v>1113</v>
      </c>
      <c r="AL1411" s="113"/>
      <c r="AM1411" s="113"/>
      <c r="AN1411" s="113"/>
      <c r="AO1411" s="44" t="s">
        <v>2334</v>
      </c>
      <c r="AP1411" s="43"/>
      <c r="AQ1411" s="236" t="str">
        <f>VLOOKUP(Table8[[#This Row],[Instrument]],Def_Targets!$D$73:$E$159,2,FALSE)</f>
        <v>I_Vehicleimprove</v>
      </c>
      <c r="AR1411" s="233" t="str">
        <f>VLOOKUP(Table8[[#This Row],[Country Code]],Table29[],3,FALSE)</f>
        <v>Non-Annex I</v>
      </c>
      <c r="AS1411" s="233" t="str">
        <f>VLOOKUP(Table8[[#This Row],[Country Code]],Table29[],4,FALSE)</f>
        <v>Africa</v>
      </c>
      <c r="AT1411" s="233" t="str">
        <f>VLOOKUP(Table8[[#This Row],[Country Code]],Table29[],5,FALSE)</f>
        <v>Middle-income</v>
      </c>
      <c r="AU1411" s="233" t="str">
        <f>VLOOKUP(Table8[[#This Row],[Country Code]],Table29[],6,FALSE)</f>
        <v>no</v>
      </c>
      <c r="AV1411" s="233" t="str">
        <f>VLOOKUP(Table8[[#This Row],[Country Code]],Table29[],7,FALSE)</f>
        <v>no</v>
      </c>
      <c r="AW1411" s="233" t="str">
        <f>VLOOKUP(Table8[[#This Row],[Country Code]],Table29[],8,FALSE)</f>
        <v>non-OECD</v>
      </c>
      <c r="AX1411" s="233" t="str">
        <f>VLOOKUP(Table8[[#This Row],[Country Code]],Table29[],9,FALSE)</f>
        <v>no</v>
      </c>
      <c r="AY1411" s="233" t="str">
        <f>VLOOKUP(Table8[[#This Row],[Country Code]],Table29[],10,FALSE)</f>
        <v>MENA</v>
      </c>
      <c r="AZ1411" s="235">
        <f>VLOOKUP(Table8[[#This Row],[Country Code]],Table29[],23,FALSE)</f>
        <v>106.60223103187001</v>
      </c>
      <c r="BA1411" s="235">
        <f>VLOOKUP(Table8[[#This Row],[Country Code]],Table29[],24,FALSE)</f>
        <v>17.689478774478111</v>
      </c>
      <c r="BB1411" s="320"/>
      <c r="BC1411" s="320"/>
    </row>
    <row r="1412" spans="1:55" ht="30" hidden="1" x14ac:dyDescent="0.25">
      <c r="A1412" s="373">
        <v>20864</v>
      </c>
      <c r="B1412" s="233" t="str">
        <f>VLOOKUP(Table8[[#This Row],[Document ID]],Table1[],2,FALSE)</f>
        <v>MAR</v>
      </c>
      <c r="C1412" s="233" t="str">
        <f>VLOOKUP(Table8[[#This Row],[Document ID]],Table1[],3,FALSE)</f>
        <v>Morocco</v>
      </c>
      <c r="D1412" s="243" t="str">
        <f>VLOOKUP(Table8[[#This Row],[Document ID]],Table1[],5,FALSE)</f>
        <v>NDC</v>
      </c>
      <c r="E1412" s="233" t="str">
        <f>VLOOKUP(Table8[[#This Row],[Document ID]],Table1[],7,FALSE)</f>
        <v>First NDC updated</v>
      </c>
      <c r="F1412" s="233" t="str">
        <f>VLOOKUP(Table8[[#This Row],[Document ID]],Table1[],8,FALSE)</f>
        <v>NDC 1.1</v>
      </c>
      <c r="G1412" s="233" t="str">
        <f>VLOOKUP(Table8[[#This Row],[Document ID]],Table1[],10,FALSE)</f>
        <v>Active</v>
      </c>
      <c r="H1412" s="44" t="s">
        <v>2338</v>
      </c>
      <c r="I1412" s="44" t="s">
        <v>2339</v>
      </c>
      <c r="J1412" s="44" t="s">
        <v>2425</v>
      </c>
      <c r="K1412" s="44" t="s">
        <v>3658</v>
      </c>
      <c r="L1412" s="44" t="s">
        <v>2333</v>
      </c>
      <c r="M1412" s="43">
        <v>29</v>
      </c>
      <c r="N1412" s="113"/>
      <c r="O1412" s="113"/>
      <c r="P1412" s="113"/>
      <c r="Q1412" s="113"/>
      <c r="R1412" s="113"/>
      <c r="S1412" s="113" t="s">
        <v>1113</v>
      </c>
      <c r="T1412" s="113"/>
      <c r="U1412" s="113"/>
      <c r="V1412" s="113"/>
      <c r="W1412" s="113"/>
      <c r="X1412" s="113"/>
      <c r="Y1412" s="113"/>
      <c r="Z1412" s="113"/>
      <c r="AA1412" s="113"/>
      <c r="AB1412" s="113"/>
      <c r="AC1412" s="113"/>
      <c r="AD1412" s="113"/>
      <c r="AE1412" s="113"/>
      <c r="AF1412" s="113"/>
      <c r="AG1412" s="113"/>
      <c r="AH1412" s="113"/>
      <c r="AI1412" s="113"/>
      <c r="AJ1412" s="113"/>
      <c r="AK1412" s="319" t="s">
        <v>1113</v>
      </c>
      <c r="AL1412" s="113"/>
      <c r="AM1412" s="113"/>
      <c r="AN1412" s="113"/>
      <c r="AO1412" s="44" t="s">
        <v>2334</v>
      </c>
      <c r="AP1412" s="43"/>
      <c r="AQ1412" s="236" t="str">
        <f>VLOOKUP(Table8[[#This Row],[Instrument]],Def_Targets!$D$73:$E$159,2,FALSE)</f>
        <v>I_Efficiencystd</v>
      </c>
      <c r="AR1412" s="233" t="str">
        <f>VLOOKUP(Table8[[#This Row],[Country Code]],Table29[],3,FALSE)</f>
        <v>Non-Annex I</v>
      </c>
      <c r="AS1412" s="233" t="str">
        <f>VLOOKUP(Table8[[#This Row],[Country Code]],Table29[],4,FALSE)</f>
        <v>Africa</v>
      </c>
      <c r="AT1412" s="233" t="str">
        <f>VLOOKUP(Table8[[#This Row],[Country Code]],Table29[],5,FALSE)</f>
        <v>Middle-income</v>
      </c>
      <c r="AU1412" s="233" t="str">
        <f>VLOOKUP(Table8[[#This Row],[Country Code]],Table29[],6,FALSE)</f>
        <v>no</v>
      </c>
      <c r="AV1412" s="233" t="str">
        <f>VLOOKUP(Table8[[#This Row],[Country Code]],Table29[],7,FALSE)</f>
        <v>no</v>
      </c>
      <c r="AW1412" s="233" t="str">
        <f>VLOOKUP(Table8[[#This Row],[Country Code]],Table29[],8,FALSE)</f>
        <v>non-OECD</v>
      </c>
      <c r="AX1412" s="233" t="str">
        <f>VLOOKUP(Table8[[#This Row],[Country Code]],Table29[],9,FALSE)</f>
        <v>no</v>
      </c>
      <c r="AY1412" s="233" t="str">
        <f>VLOOKUP(Table8[[#This Row],[Country Code]],Table29[],10,FALSE)</f>
        <v>MENA</v>
      </c>
      <c r="AZ1412" s="235">
        <f>VLOOKUP(Table8[[#This Row],[Country Code]],Table29[],23,FALSE)</f>
        <v>106.60223103187001</v>
      </c>
      <c r="BA1412" s="235">
        <f>VLOOKUP(Table8[[#This Row],[Country Code]],Table29[],24,FALSE)</f>
        <v>17.689478774478111</v>
      </c>
      <c r="BB1412" s="320"/>
      <c r="BC1412" s="320"/>
    </row>
    <row r="1413" spans="1:55" ht="30" hidden="1" x14ac:dyDescent="0.25">
      <c r="A1413" s="373">
        <v>20864</v>
      </c>
      <c r="B1413" s="233" t="str">
        <f>VLOOKUP(Table8[[#This Row],[Document ID]],Table1[],2,FALSE)</f>
        <v>MAR</v>
      </c>
      <c r="C1413" s="233" t="str">
        <f>VLOOKUP(Table8[[#This Row],[Document ID]],Table1[],3,FALSE)</f>
        <v>Morocco</v>
      </c>
      <c r="D1413" s="243" t="str">
        <f>VLOOKUP(Table8[[#This Row],[Document ID]],Table1[],5,FALSE)</f>
        <v>NDC</v>
      </c>
      <c r="E1413" s="233" t="str">
        <f>VLOOKUP(Table8[[#This Row],[Document ID]],Table1[],7,FALSE)</f>
        <v>First NDC updated</v>
      </c>
      <c r="F1413" s="233" t="str">
        <f>VLOOKUP(Table8[[#This Row],[Document ID]],Table1[],8,FALSE)</f>
        <v>NDC 1.1</v>
      </c>
      <c r="G1413" s="233" t="str">
        <f>VLOOKUP(Table8[[#This Row],[Document ID]],Table1[],10,FALSE)</f>
        <v>Active</v>
      </c>
      <c r="H1413" s="43" t="s">
        <v>2343</v>
      </c>
      <c r="I1413" s="43" t="s">
        <v>2386</v>
      </c>
      <c r="J1413" s="44" t="s">
        <v>2530</v>
      </c>
      <c r="K1413" s="44" t="s">
        <v>3659</v>
      </c>
      <c r="L1413" s="44" t="s">
        <v>2333</v>
      </c>
      <c r="M1413" s="43">
        <v>29</v>
      </c>
      <c r="N1413" s="113"/>
      <c r="O1413" s="113"/>
      <c r="P1413" s="113"/>
      <c r="Q1413" s="113"/>
      <c r="R1413" s="113"/>
      <c r="S1413" s="113" t="s">
        <v>1113</v>
      </c>
      <c r="T1413" s="113"/>
      <c r="U1413" s="113"/>
      <c r="V1413" s="113"/>
      <c r="W1413" s="113"/>
      <c r="X1413" s="113"/>
      <c r="Y1413" s="113"/>
      <c r="Z1413" s="113"/>
      <c r="AA1413" s="113"/>
      <c r="AB1413" s="113"/>
      <c r="AC1413" s="113"/>
      <c r="AD1413" s="113"/>
      <c r="AE1413" s="113"/>
      <c r="AF1413" s="113"/>
      <c r="AG1413" s="113"/>
      <c r="AH1413" s="113"/>
      <c r="AI1413" s="113"/>
      <c r="AJ1413" s="113"/>
      <c r="AK1413" s="319" t="s">
        <v>1113</v>
      </c>
      <c r="AL1413" s="113"/>
      <c r="AM1413" s="113"/>
      <c r="AN1413" s="113"/>
      <c r="AO1413" s="44" t="s">
        <v>2334</v>
      </c>
      <c r="AP1413" s="43"/>
      <c r="AQ1413" s="236" t="str">
        <f>VLOOKUP(Table8[[#This Row],[Instrument]],Def_Targets!$D$73:$E$159,2,FALSE)</f>
        <v>A_Vehicletax</v>
      </c>
      <c r="AR1413" s="233" t="str">
        <f>VLOOKUP(Table8[[#This Row],[Country Code]],Table29[],3,FALSE)</f>
        <v>Non-Annex I</v>
      </c>
      <c r="AS1413" s="233" t="str">
        <f>VLOOKUP(Table8[[#This Row],[Country Code]],Table29[],4,FALSE)</f>
        <v>Africa</v>
      </c>
      <c r="AT1413" s="233" t="str">
        <f>VLOOKUP(Table8[[#This Row],[Country Code]],Table29[],5,FALSE)</f>
        <v>Middle-income</v>
      </c>
      <c r="AU1413" s="233" t="str">
        <f>VLOOKUP(Table8[[#This Row],[Country Code]],Table29[],6,FALSE)</f>
        <v>no</v>
      </c>
      <c r="AV1413" s="233" t="str">
        <f>VLOOKUP(Table8[[#This Row],[Country Code]],Table29[],7,FALSE)</f>
        <v>no</v>
      </c>
      <c r="AW1413" s="233" t="str">
        <f>VLOOKUP(Table8[[#This Row],[Country Code]],Table29[],8,FALSE)</f>
        <v>non-OECD</v>
      </c>
      <c r="AX1413" s="233" t="str">
        <f>VLOOKUP(Table8[[#This Row],[Country Code]],Table29[],9,FALSE)</f>
        <v>no</v>
      </c>
      <c r="AY1413" s="233" t="str">
        <f>VLOOKUP(Table8[[#This Row],[Country Code]],Table29[],10,FALSE)</f>
        <v>MENA</v>
      </c>
      <c r="AZ1413" s="235">
        <f>VLOOKUP(Table8[[#This Row],[Country Code]],Table29[],23,FALSE)</f>
        <v>106.60223103187001</v>
      </c>
      <c r="BA1413" s="235">
        <f>VLOOKUP(Table8[[#This Row],[Country Code]],Table29[],24,FALSE)</f>
        <v>17.689478774478111</v>
      </c>
      <c r="BB1413" s="320"/>
      <c r="BC1413" s="320"/>
    </row>
    <row r="1414" spans="1:55" ht="45" hidden="1" x14ac:dyDescent="0.25">
      <c r="A1414" s="373">
        <v>20864</v>
      </c>
      <c r="B1414" s="233" t="str">
        <f>VLOOKUP(Table8[[#This Row],[Document ID]],Table1[],2,FALSE)</f>
        <v>MAR</v>
      </c>
      <c r="C1414" s="233" t="str">
        <f>VLOOKUP(Table8[[#This Row],[Document ID]],Table1[],3,FALSE)</f>
        <v>Morocco</v>
      </c>
      <c r="D1414" s="243" t="str">
        <f>VLOOKUP(Table8[[#This Row],[Document ID]],Table1[],5,FALSE)</f>
        <v>NDC</v>
      </c>
      <c r="E1414" s="233" t="str">
        <f>VLOOKUP(Table8[[#This Row],[Document ID]],Table1[],7,FALSE)</f>
        <v>First NDC updated</v>
      </c>
      <c r="F1414" s="233" t="str">
        <f>VLOOKUP(Table8[[#This Row],[Document ID]],Table1[],8,FALSE)</f>
        <v>NDC 1.1</v>
      </c>
      <c r="G1414" s="233" t="str">
        <f>VLOOKUP(Table8[[#This Row],[Document ID]],Table1[],10,FALSE)</f>
        <v>Active</v>
      </c>
      <c r="H1414" s="44" t="s">
        <v>2338</v>
      </c>
      <c r="I1414" s="44" t="s">
        <v>2339</v>
      </c>
      <c r="J1414" s="44" t="s">
        <v>2416</v>
      </c>
      <c r="K1414" s="44" t="s">
        <v>3660</v>
      </c>
      <c r="L1414" s="44" t="s">
        <v>2333</v>
      </c>
      <c r="M1414" s="43">
        <v>29</v>
      </c>
      <c r="N1414" s="113" t="s">
        <v>1113</v>
      </c>
      <c r="O1414" s="113"/>
      <c r="P1414" s="113"/>
      <c r="Q1414" s="113"/>
      <c r="R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319" t="s">
        <v>1113</v>
      </c>
      <c r="AL1414" s="113"/>
      <c r="AM1414" s="113"/>
      <c r="AN1414" s="113"/>
      <c r="AO1414" s="44" t="s">
        <v>2334</v>
      </c>
      <c r="AP1414" s="43"/>
      <c r="AQ1414" s="236" t="str">
        <f>VLOOKUP(Table8[[#This Row],[Instrument]],Def_Targets!$D$73:$E$159,2,FALSE)</f>
        <v>I_Vehiclescrappage</v>
      </c>
      <c r="AR1414" s="233" t="str">
        <f>VLOOKUP(Table8[[#This Row],[Country Code]],Table29[],3,FALSE)</f>
        <v>Non-Annex I</v>
      </c>
      <c r="AS1414" s="233" t="str">
        <f>VLOOKUP(Table8[[#This Row],[Country Code]],Table29[],4,FALSE)</f>
        <v>Africa</v>
      </c>
      <c r="AT1414" s="233" t="str">
        <f>VLOOKUP(Table8[[#This Row],[Country Code]],Table29[],5,FALSE)</f>
        <v>Middle-income</v>
      </c>
      <c r="AU1414" s="233" t="str">
        <f>VLOOKUP(Table8[[#This Row],[Country Code]],Table29[],6,FALSE)</f>
        <v>no</v>
      </c>
      <c r="AV1414" s="233" t="str">
        <f>VLOOKUP(Table8[[#This Row],[Country Code]],Table29[],7,FALSE)</f>
        <v>no</v>
      </c>
      <c r="AW1414" s="233" t="str">
        <f>VLOOKUP(Table8[[#This Row],[Country Code]],Table29[],8,FALSE)</f>
        <v>non-OECD</v>
      </c>
      <c r="AX1414" s="233" t="str">
        <f>VLOOKUP(Table8[[#This Row],[Country Code]],Table29[],9,FALSE)</f>
        <v>no</v>
      </c>
      <c r="AY1414" s="233" t="str">
        <f>VLOOKUP(Table8[[#This Row],[Country Code]],Table29[],10,FALSE)</f>
        <v>MENA</v>
      </c>
      <c r="AZ1414" s="235">
        <f>VLOOKUP(Table8[[#This Row],[Country Code]],Table29[],23,FALSE)</f>
        <v>106.60223103187001</v>
      </c>
      <c r="BA1414" s="235">
        <f>VLOOKUP(Table8[[#This Row],[Country Code]],Table29[],24,FALSE)</f>
        <v>17.689478774478111</v>
      </c>
      <c r="BB1414" s="320"/>
      <c r="BC1414" s="320"/>
    </row>
    <row r="1415" spans="1:55" ht="45" hidden="1" x14ac:dyDescent="0.25">
      <c r="A1415" s="373">
        <v>20864</v>
      </c>
      <c r="B1415" s="233" t="str">
        <f>VLOOKUP(Table8[[#This Row],[Document ID]],Table1[],2,FALSE)</f>
        <v>MAR</v>
      </c>
      <c r="C1415" s="233" t="str">
        <f>VLOOKUP(Table8[[#This Row],[Document ID]],Table1[],3,FALSE)</f>
        <v>Morocco</v>
      </c>
      <c r="D1415" s="243" t="str">
        <f>VLOOKUP(Table8[[#This Row],[Document ID]],Table1[],5,FALSE)</f>
        <v>NDC</v>
      </c>
      <c r="E1415" s="233" t="str">
        <f>VLOOKUP(Table8[[#This Row],[Document ID]],Table1[],7,FALSE)</f>
        <v>First NDC updated</v>
      </c>
      <c r="F1415" s="233" t="str">
        <f>VLOOKUP(Table8[[#This Row],[Document ID]],Table1[],8,FALSE)</f>
        <v>NDC 1.1</v>
      </c>
      <c r="G1415" s="233" t="str">
        <f>VLOOKUP(Table8[[#This Row],[Document ID]],Table1[],10,FALSE)</f>
        <v>Active</v>
      </c>
      <c r="H1415" s="43" t="s">
        <v>2350</v>
      </c>
      <c r="I1415" s="43" t="s">
        <v>2407</v>
      </c>
      <c r="J1415" s="44" t="s">
        <v>2592</v>
      </c>
      <c r="K1415" s="44" t="s">
        <v>3661</v>
      </c>
      <c r="L1415" s="44" t="s">
        <v>2333</v>
      </c>
      <c r="M1415" s="43">
        <v>29</v>
      </c>
      <c r="N1415" s="113" t="s">
        <v>1113</v>
      </c>
      <c r="O1415" s="113"/>
      <c r="P1415" s="113"/>
      <c r="Q1415" s="113"/>
      <c r="R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319" t="s">
        <v>1113</v>
      </c>
      <c r="AL1415" s="113"/>
      <c r="AM1415" s="113"/>
      <c r="AN1415" s="113"/>
      <c r="AO1415" s="44" t="s">
        <v>2334</v>
      </c>
      <c r="AP1415" s="43"/>
      <c r="AQ1415" s="236" t="str">
        <f>VLOOKUP(Table8[[#This Row],[Instrument]],Def_Targets!$D$73:$E$159,2,FALSE)</f>
        <v>I_Ecodriving</v>
      </c>
      <c r="AR1415" s="233" t="str">
        <f>VLOOKUP(Table8[[#This Row],[Country Code]],Table29[],3,FALSE)</f>
        <v>Non-Annex I</v>
      </c>
      <c r="AS1415" s="233" t="str">
        <f>VLOOKUP(Table8[[#This Row],[Country Code]],Table29[],4,FALSE)</f>
        <v>Africa</v>
      </c>
      <c r="AT1415" s="233" t="str">
        <f>VLOOKUP(Table8[[#This Row],[Country Code]],Table29[],5,FALSE)</f>
        <v>Middle-income</v>
      </c>
      <c r="AU1415" s="233" t="str">
        <f>VLOOKUP(Table8[[#This Row],[Country Code]],Table29[],6,FALSE)</f>
        <v>no</v>
      </c>
      <c r="AV1415" s="233" t="str">
        <f>VLOOKUP(Table8[[#This Row],[Country Code]],Table29[],7,FALSE)</f>
        <v>no</v>
      </c>
      <c r="AW1415" s="233" t="str">
        <f>VLOOKUP(Table8[[#This Row],[Country Code]],Table29[],8,FALSE)</f>
        <v>non-OECD</v>
      </c>
      <c r="AX1415" s="233" t="str">
        <f>VLOOKUP(Table8[[#This Row],[Country Code]],Table29[],9,FALSE)</f>
        <v>no</v>
      </c>
      <c r="AY1415" s="233" t="str">
        <f>VLOOKUP(Table8[[#This Row],[Country Code]],Table29[],10,FALSE)</f>
        <v>MENA</v>
      </c>
      <c r="AZ1415" s="235">
        <f>VLOOKUP(Table8[[#This Row],[Country Code]],Table29[],23,FALSE)</f>
        <v>106.60223103187001</v>
      </c>
      <c r="BA1415" s="235">
        <f>VLOOKUP(Table8[[#This Row],[Country Code]],Table29[],24,FALSE)</f>
        <v>17.689478774478111</v>
      </c>
      <c r="BB1415" s="320"/>
      <c r="BC1415" s="320"/>
    </row>
    <row r="1416" spans="1:55" ht="90" hidden="1" x14ac:dyDescent="0.25">
      <c r="A1416" s="373">
        <v>20864</v>
      </c>
      <c r="B1416" s="233" t="str">
        <f>VLOOKUP(Table8[[#This Row],[Document ID]],Table1[],2,FALSE)</f>
        <v>MAR</v>
      </c>
      <c r="C1416" s="233" t="str">
        <f>VLOOKUP(Table8[[#This Row],[Document ID]],Table1[],3,FALSE)</f>
        <v>Morocco</v>
      </c>
      <c r="D1416" s="243" t="str">
        <f>VLOOKUP(Table8[[#This Row],[Document ID]],Table1[],5,FALSE)</f>
        <v>NDC</v>
      </c>
      <c r="E1416" s="233" t="str">
        <f>VLOOKUP(Table8[[#This Row],[Document ID]],Table1[],7,FALSE)</f>
        <v>First NDC updated</v>
      </c>
      <c r="F1416" s="233" t="str">
        <f>VLOOKUP(Table8[[#This Row],[Document ID]],Table1[],8,FALSE)</f>
        <v>NDC 1.1</v>
      </c>
      <c r="G1416" s="233" t="str">
        <f>VLOOKUP(Table8[[#This Row],[Document ID]],Table1[],10,FALSE)</f>
        <v>Active</v>
      </c>
      <c r="H1416" s="44" t="s">
        <v>2338</v>
      </c>
      <c r="I1416" s="44" t="s">
        <v>2339</v>
      </c>
      <c r="J1416" s="44" t="s">
        <v>2413</v>
      </c>
      <c r="K1416" s="44" t="s">
        <v>3662</v>
      </c>
      <c r="L1416" s="44" t="s">
        <v>2333</v>
      </c>
      <c r="M1416" s="43">
        <v>29</v>
      </c>
      <c r="N1416" s="113"/>
      <c r="O1416" s="113"/>
      <c r="P1416" s="113"/>
      <c r="Q1416" s="113"/>
      <c r="R1416" s="113"/>
      <c r="S1416" s="113" t="s">
        <v>1113</v>
      </c>
      <c r="T1416" s="113"/>
      <c r="U1416" s="113"/>
      <c r="V1416" s="113"/>
      <c r="W1416" s="113"/>
      <c r="X1416" s="113"/>
      <c r="Y1416" s="113"/>
      <c r="Z1416" s="113"/>
      <c r="AA1416" s="113"/>
      <c r="AB1416" s="113"/>
      <c r="AC1416" s="113"/>
      <c r="AD1416" s="113"/>
      <c r="AE1416" s="113"/>
      <c r="AF1416" s="113"/>
      <c r="AG1416" s="113"/>
      <c r="AH1416" s="113"/>
      <c r="AI1416" s="113"/>
      <c r="AJ1416" s="113"/>
      <c r="AK1416" s="319" t="s">
        <v>1113</v>
      </c>
      <c r="AL1416" s="113"/>
      <c r="AM1416" s="113"/>
      <c r="AN1416" s="113"/>
      <c r="AO1416" s="44" t="s">
        <v>2334</v>
      </c>
      <c r="AP1416" s="43"/>
      <c r="AQ1416" s="236" t="str">
        <f>VLOOKUP(Table8[[#This Row],[Instrument]],Def_Targets!$D$73:$E$159,2,FALSE)</f>
        <v>I_Vehicleeff</v>
      </c>
      <c r="AR1416" s="233" t="str">
        <f>VLOOKUP(Table8[[#This Row],[Country Code]],Table29[],3,FALSE)</f>
        <v>Non-Annex I</v>
      </c>
      <c r="AS1416" s="233" t="str">
        <f>VLOOKUP(Table8[[#This Row],[Country Code]],Table29[],4,FALSE)</f>
        <v>Africa</v>
      </c>
      <c r="AT1416" s="233" t="str">
        <f>VLOOKUP(Table8[[#This Row],[Country Code]],Table29[],5,FALSE)</f>
        <v>Middle-income</v>
      </c>
      <c r="AU1416" s="233" t="str">
        <f>VLOOKUP(Table8[[#This Row],[Country Code]],Table29[],6,FALSE)</f>
        <v>no</v>
      </c>
      <c r="AV1416" s="233" t="str">
        <f>VLOOKUP(Table8[[#This Row],[Country Code]],Table29[],7,FALSE)</f>
        <v>no</v>
      </c>
      <c r="AW1416" s="233" t="str">
        <f>VLOOKUP(Table8[[#This Row],[Country Code]],Table29[],8,FALSE)</f>
        <v>non-OECD</v>
      </c>
      <c r="AX1416" s="233" t="str">
        <f>VLOOKUP(Table8[[#This Row],[Country Code]],Table29[],9,FALSE)</f>
        <v>no</v>
      </c>
      <c r="AY1416" s="233" t="str">
        <f>VLOOKUP(Table8[[#This Row],[Country Code]],Table29[],10,FALSE)</f>
        <v>MENA</v>
      </c>
      <c r="AZ1416" s="235">
        <f>VLOOKUP(Table8[[#This Row],[Country Code]],Table29[],23,FALSE)</f>
        <v>106.60223103187001</v>
      </c>
      <c r="BA1416" s="235">
        <f>VLOOKUP(Table8[[#This Row],[Country Code]],Table29[],24,FALSE)</f>
        <v>17.689478774478111</v>
      </c>
      <c r="BB1416" s="320"/>
      <c r="BC1416" s="320"/>
    </row>
    <row r="1417" spans="1:55" hidden="1" x14ac:dyDescent="0.25">
      <c r="A1417" s="373">
        <v>17638</v>
      </c>
      <c r="B1417" s="233" t="str">
        <f>VLOOKUP(Table8[[#This Row],[Document ID]],Table1[],2,FALSE)</f>
        <v>LVA</v>
      </c>
      <c r="C1417" s="233" t="str">
        <f>VLOOKUP(Table8[[#This Row],[Document ID]],Table1[],3,FALSE)</f>
        <v>Latvia</v>
      </c>
      <c r="D1417" s="243" t="str">
        <f>VLOOKUP(Table8[[#This Row],[Document ID]],Table1[],5,FALSE)</f>
        <v>LTS</v>
      </c>
      <c r="E1417" s="233" t="str">
        <f>VLOOKUP(Table8[[#This Row],[Document ID]],Table1[],7,FALSE)</f>
        <v>LTS</v>
      </c>
      <c r="F1417" s="233" t="str">
        <f>VLOOKUP(Table8[[#This Row],[Document ID]],Table1[],8,FALSE)</f>
        <v>LTS 1.0</v>
      </c>
      <c r="G1417" s="233" t="str">
        <f>VLOOKUP(Table8[[#This Row],[Document ID]],Table1[],10,FALSE)</f>
        <v>Active</v>
      </c>
      <c r="H1417" s="43" t="s">
        <v>2350</v>
      </c>
      <c r="I1417" s="43" t="s">
        <v>2456</v>
      </c>
      <c r="J1417" s="44" t="s">
        <v>2457</v>
      </c>
      <c r="K1417" s="44" t="s">
        <v>3663</v>
      </c>
      <c r="L1417" s="44" t="s">
        <v>2333</v>
      </c>
      <c r="M1417" s="43">
        <v>48</v>
      </c>
      <c r="N1417" s="113" t="s">
        <v>1113</v>
      </c>
      <c r="O1417" s="113"/>
      <c r="P1417" s="113"/>
      <c r="Q1417" s="113"/>
      <c r="R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t="s">
        <v>1113</v>
      </c>
      <c r="AM1417" s="113"/>
      <c r="AN1417" s="113"/>
      <c r="AO1417" s="44" t="s">
        <v>2334</v>
      </c>
      <c r="AP1417" s="43"/>
      <c r="AQ1417" s="236" t="str">
        <f>VLOOKUP(Table8[[#This Row],[Instrument]],Def_Targets!$D$73:$E$159,2,FALSE)</f>
        <v>S_Infraimprove</v>
      </c>
      <c r="AR1417" s="233" t="str">
        <f>VLOOKUP(Table8[[#This Row],[Country Code]],Table29[],3,FALSE)</f>
        <v>Annex I</v>
      </c>
      <c r="AS1417" s="233" t="str">
        <f>VLOOKUP(Table8[[#This Row],[Country Code]],Table29[],4,FALSE)</f>
        <v>Europe</v>
      </c>
      <c r="AT1417" s="233" t="str">
        <f>VLOOKUP(Table8[[#This Row],[Country Code]],Table29[],5,FALSE)</f>
        <v>High-income</v>
      </c>
      <c r="AU1417" s="233" t="str">
        <f>VLOOKUP(Table8[[#This Row],[Country Code]],Table29[],6,FALSE)</f>
        <v>no</v>
      </c>
      <c r="AV1417" s="233" t="str">
        <f>VLOOKUP(Table8[[#This Row],[Country Code]],Table29[],7,FALSE)</f>
        <v>no</v>
      </c>
      <c r="AW1417" s="233" t="str">
        <f>VLOOKUP(Table8[[#This Row],[Country Code]],Table29[],8,FALSE)</f>
        <v>OECD</v>
      </c>
      <c r="AX1417" s="233" t="str">
        <f>VLOOKUP(Table8[[#This Row],[Country Code]],Table29[],9,FALSE)</f>
        <v>EU27</v>
      </c>
      <c r="AY1417" s="233" t="str">
        <f>VLOOKUP(Table8[[#This Row],[Country Code]],Table29[],10,FALSE)</f>
        <v>no</v>
      </c>
      <c r="AZ1417" s="235">
        <f>VLOOKUP(Table8[[#This Row],[Country Code]],Table29[],23,FALSE)</f>
        <v>10.957491923456001</v>
      </c>
      <c r="BA1417" s="235">
        <f>VLOOKUP(Table8[[#This Row],[Country Code]],Table29[],24,FALSE)</f>
        <v>3.102706195463615</v>
      </c>
      <c r="BB1417" s="320"/>
      <c r="BC1417" s="320"/>
    </row>
    <row r="1418" spans="1:55" ht="60" hidden="1" x14ac:dyDescent="0.25">
      <c r="A1418" s="373">
        <v>17638</v>
      </c>
      <c r="B1418" s="233" t="str">
        <f>VLOOKUP(Table8[[#This Row],[Document ID]],Table1[],2,FALSE)</f>
        <v>LVA</v>
      </c>
      <c r="C1418" s="233" t="str">
        <f>VLOOKUP(Table8[[#This Row],[Document ID]],Table1[],3,FALSE)</f>
        <v>Latvia</v>
      </c>
      <c r="D1418" s="243" t="str">
        <f>VLOOKUP(Table8[[#This Row],[Document ID]],Table1[],5,FALSE)</f>
        <v>LTS</v>
      </c>
      <c r="E1418" s="233" t="str">
        <f>VLOOKUP(Table8[[#This Row],[Document ID]],Table1[],7,FALSE)</f>
        <v>LTS</v>
      </c>
      <c r="F1418" s="233" t="str">
        <f>VLOOKUP(Table8[[#This Row],[Document ID]],Table1[],8,FALSE)</f>
        <v>LTS 1.0</v>
      </c>
      <c r="G1418" s="233" t="str">
        <f>VLOOKUP(Table8[[#This Row],[Document ID]],Table1[],10,FALSE)</f>
        <v>Active</v>
      </c>
      <c r="H1418" s="43" t="s">
        <v>2343</v>
      </c>
      <c r="I1418" s="43" t="s">
        <v>2377</v>
      </c>
      <c r="J1418" s="44" t="s">
        <v>2535</v>
      </c>
      <c r="K1418" s="44" t="s">
        <v>3664</v>
      </c>
      <c r="L1418" s="44" t="s">
        <v>2347</v>
      </c>
      <c r="M1418" s="43">
        <v>48</v>
      </c>
      <c r="N1418" s="113" t="s">
        <v>1113</v>
      </c>
      <c r="O1418" s="113"/>
      <c r="P1418" s="113"/>
      <c r="Q1418" s="113"/>
      <c r="R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319" t="s">
        <v>1113</v>
      </c>
      <c r="AL1418" s="113"/>
      <c r="AM1418" s="113"/>
      <c r="AN1418" s="113"/>
      <c r="AO1418" s="44" t="s">
        <v>2334</v>
      </c>
      <c r="AP1418" s="43"/>
      <c r="AQ1418" s="236" t="str">
        <f>VLOOKUP(Table8[[#This Row],[Instrument]],Def_Targets!$D$73:$E$159,2,FALSE)</f>
        <v>S_Parking</v>
      </c>
      <c r="AR1418" s="233" t="str">
        <f>VLOOKUP(Table8[[#This Row],[Country Code]],Table29[],3,FALSE)</f>
        <v>Annex I</v>
      </c>
      <c r="AS1418" s="233" t="str">
        <f>VLOOKUP(Table8[[#This Row],[Country Code]],Table29[],4,FALSE)</f>
        <v>Europe</v>
      </c>
      <c r="AT1418" s="233" t="str">
        <f>VLOOKUP(Table8[[#This Row],[Country Code]],Table29[],5,FALSE)</f>
        <v>High-income</v>
      </c>
      <c r="AU1418" s="233" t="str">
        <f>VLOOKUP(Table8[[#This Row],[Country Code]],Table29[],6,FALSE)</f>
        <v>no</v>
      </c>
      <c r="AV1418" s="233" t="str">
        <f>VLOOKUP(Table8[[#This Row],[Country Code]],Table29[],7,FALSE)</f>
        <v>no</v>
      </c>
      <c r="AW1418" s="233" t="str">
        <f>VLOOKUP(Table8[[#This Row],[Country Code]],Table29[],8,FALSE)</f>
        <v>OECD</v>
      </c>
      <c r="AX1418" s="233" t="str">
        <f>VLOOKUP(Table8[[#This Row],[Country Code]],Table29[],9,FALSE)</f>
        <v>EU27</v>
      </c>
      <c r="AY1418" s="233" t="str">
        <f>VLOOKUP(Table8[[#This Row],[Country Code]],Table29[],10,FALSE)</f>
        <v>no</v>
      </c>
      <c r="AZ1418" s="235">
        <f>VLOOKUP(Table8[[#This Row],[Country Code]],Table29[],23,FALSE)</f>
        <v>10.957491923456001</v>
      </c>
      <c r="BA1418" s="235">
        <f>VLOOKUP(Table8[[#This Row],[Country Code]],Table29[],24,FALSE)</f>
        <v>3.102706195463615</v>
      </c>
      <c r="BB1418" s="320"/>
      <c r="BC1418" s="320"/>
    </row>
    <row r="1419" spans="1:55" ht="60" hidden="1" x14ac:dyDescent="0.25">
      <c r="A1419" s="373">
        <v>17638</v>
      </c>
      <c r="B1419" s="233" t="str">
        <f>VLOOKUP(Table8[[#This Row],[Document ID]],Table1[],2,FALSE)</f>
        <v>LVA</v>
      </c>
      <c r="C1419" s="233" t="str">
        <f>VLOOKUP(Table8[[#This Row],[Document ID]],Table1[],3,FALSE)</f>
        <v>Latvia</v>
      </c>
      <c r="D1419" s="243" t="str">
        <f>VLOOKUP(Table8[[#This Row],[Document ID]],Table1[],5,FALSE)</f>
        <v>LTS</v>
      </c>
      <c r="E1419" s="233" t="str">
        <f>VLOOKUP(Table8[[#This Row],[Document ID]],Table1[],7,FALSE)</f>
        <v>LTS</v>
      </c>
      <c r="F1419" s="233" t="str">
        <f>VLOOKUP(Table8[[#This Row],[Document ID]],Table1[],8,FALSE)</f>
        <v>LTS 1.0</v>
      </c>
      <c r="G1419" s="233" t="str">
        <f>VLOOKUP(Table8[[#This Row],[Document ID]],Table1[],10,FALSE)</f>
        <v>Active</v>
      </c>
      <c r="H1419" s="43" t="s">
        <v>2350</v>
      </c>
      <c r="I1419" s="43" t="s">
        <v>2456</v>
      </c>
      <c r="J1419" s="44" t="s">
        <v>2643</v>
      </c>
      <c r="K1419" s="44" t="s">
        <v>3664</v>
      </c>
      <c r="L1419" s="44" t="s">
        <v>2347</v>
      </c>
      <c r="M1419" s="43">
        <v>48</v>
      </c>
      <c r="N1419" s="113" t="s">
        <v>1113</v>
      </c>
      <c r="O1419" s="113"/>
      <c r="P1419" s="113"/>
      <c r="Q1419" s="113"/>
      <c r="R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319" t="s">
        <v>1113</v>
      </c>
      <c r="AL1419" s="113"/>
      <c r="AM1419" s="113"/>
      <c r="AN1419" s="113"/>
      <c r="AO1419" s="44" t="s">
        <v>2334</v>
      </c>
      <c r="AP1419" s="43"/>
      <c r="AQ1419" s="236" t="str">
        <f>VLOOKUP(Table8[[#This Row],[Instrument]],Def_Targets!$D$73:$E$159,2,FALSE)</f>
        <v>S_Intermodality</v>
      </c>
      <c r="AR1419" s="233" t="str">
        <f>VLOOKUP(Table8[[#This Row],[Country Code]],Table29[],3,FALSE)</f>
        <v>Annex I</v>
      </c>
      <c r="AS1419" s="233" t="str">
        <f>VLOOKUP(Table8[[#This Row],[Country Code]],Table29[],4,FALSE)</f>
        <v>Europe</v>
      </c>
      <c r="AT1419" s="233" t="str">
        <f>VLOOKUP(Table8[[#This Row],[Country Code]],Table29[],5,FALSE)</f>
        <v>High-income</v>
      </c>
      <c r="AU1419" s="233" t="str">
        <f>VLOOKUP(Table8[[#This Row],[Country Code]],Table29[],6,FALSE)</f>
        <v>no</v>
      </c>
      <c r="AV1419" s="233" t="str">
        <f>VLOOKUP(Table8[[#This Row],[Country Code]],Table29[],7,FALSE)</f>
        <v>no</v>
      </c>
      <c r="AW1419" s="233" t="str">
        <f>VLOOKUP(Table8[[#This Row],[Country Code]],Table29[],8,FALSE)</f>
        <v>OECD</v>
      </c>
      <c r="AX1419" s="233" t="str">
        <f>VLOOKUP(Table8[[#This Row],[Country Code]],Table29[],9,FALSE)</f>
        <v>EU27</v>
      </c>
      <c r="AY1419" s="233" t="str">
        <f>VLOOKUP(Table8[[#This Row],[Country Code]],Table29[],10,FALSE)</f>
        <v>no</v>
      </c>
      <c r="AZ1419" s="235">
        <f>VLOOKUP(Table8[[#This Row],[Country Code]],Table29[],23,FALSE)</f>
        <v>10.957491923456001</v>
      </c>
      <c r="BA1419" s="235">
        <f>VLOOKUP(Table8[[#This Row],[Country Code]],Table29[],24,FALSE)</f>
        <v>3.102706195463615</v>
      </c>
      <c r="BB1419" s="320"/>
      <c r="BC1419" s="320"/>
    </row>
    <row r="1420" spans="1:55" ht="60" hidden="1" x14ac:dyDescent="0.25">
      <c r="A1420" s="373">
        <v>17638</v>
      </c>
      <c r="B1420" s="233" t="str">
        <f>VLOOKUP(Table8[[#This Row],[Document ID]],Table1[],2,FALSE)</f>
        <v>LVA</v>
      </c>
      <c r="C1420" s="233" t="str">
        <f>VLOOKUP(Table8[[#This Row],[Document ID]],Table1[],3,FALSE)</f>
        <v>Latvia</v>
      </c>
      <c r="D1420" s="243" t="str">
        <f>VLOOKUP(Table8[[#This Row],[Document ID]],Table1[],5,FALSE)</f>
        <v>LTS</v>
      </c>
      <c r="E1420" s="233" t="str">
        <f>VLOOKUP(Table8[[#This Row],[Document ID]],Table1[],7,FALSE)</f>
        <v>LTS</v>
      </c>
      <c r="F1420" s="233" t="str">
        <f>VLOOKUP(Table8[[#This Row],[Document ID]],Table1[],8,FALSE)</f>
        <v>LTS 1.0</v>
      </c>
      <c r="G1420" s="233" t="str">
        <f>VLOOKUP(Table8[[#This Row],[Document ID]],Table1[],10,FALSE)</f>
        <v>Active</v>
      </c>
      <c r="H1420" s="43" t="s">
        <v>2343</v>
      </c>
      <c r="I1420" s="43" t="s">
        <v>2344</v>
      </c>
      <c r="J1420" s="44" t="s">
        <v>2345</v>
      </c>
      <c r="K1420" s="44" t="s">
        <v>3664</v>
      </c>
      <c r="L1420" s="44" t="s">
        <v>2347</v>
      </c>
      <c r="M1420" s="43">
        <v>48</v>
      </c>
      <c r="N1420" s="113" t="s">
        <v>1113</v>
      </c>
      <c r="O1420" s="113"/>
      <c r="P1420" s="113"/>
      <c r="Q1420" s="113"/>
      <c r="R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319" t="s">
        <v>1113</v>
      </c>
      <c r="AL1420" s="113"/>
      <c r="AM1420" s="113"/>
      <c r="AN1420" s="113"/>
      <c r="AO1420" s="43" t="s">
        <v>2348</v>
      </c>
      <c r="AP1420" s="43"/>
      <c r="AQ1420" s="236" t="str">
        <f>VLOOKUP(Table8[[#This Row],[Instrument]],Def_Targets!$D$73:$E$159,2,FALSE)</f>
        <v>S_PublicTransport</v>
      </c>
      <c r="AR1420" s="233" t="str">
        <f>VLOOKUP(Table8[[#This Row],[Country Code]],Table29[],3,FALSE)</f>
        <v>Annex I</v>
      </c>
      <c r="AS1420" s="233" t="str">
        <f>VLOOKUP(Table8[[#This Row],[Country Code]],Table29[],4,FALSE)</f>
        <v>Europe</v>
      </c>
      <c r="AT1420" s="233" t="str">
        <f>VLOOKUP(Table8[[#This Row],[Country Code]],Table29[],5,FALSE)</f>
        <v>High-income</v>
      </c>
      <c r="AU1420" s="233" t="str">
        <f>VLOOKUP(Table8[[#This Row],[Country Code]],Table29[],6,FALSE)</f>
        <v>no</v>
      </c>
      <c r="AV1420" s="233" t="str">
        <f>VLOOKUP(Table8[[#This Row],[Country Code]],Table29[],7,FALSE)</f>
        <v>no</v>
      </c>
      <c r="AW1420" s="233" t="str">
        <f>VLOOKUP(Table8[[#This Row],[Country Code]],Table29[],8,FALSE)</f>
        <v>OECD</v>
      </c>
      <c r="AX1420" s="233" t="str">
        <f>VLOOKUP(Table8[[#This Row],[Country Code]],Table29[],9,FALSE)</f>
        <v>EU27</v>
      </c>
      <c r="AY1420" s="233" t="str">
        <f>VLOOKUP(Table8[[#This Row],[Country Code]],Table29[],10,FALSE)</f>
        <v>no</v>
      </c>
      <c r="AZ1420" s="235">
        <f>VLOOKUP(Table8[[#This Row],[Country Code]],Table29[],23,FALSE)</f>
        <v>10.957491923456001</v>
      </c>
      <c r="BA1420" s="235">
        <f>VLOOKUP(Table8[[#This Row],[Country Code]],Table29[],24,FALSE)</f>
        <v>3.102706195463615</v>
      </c>
      <c r="BB1420" s="320"/>
      <c r="BC1420" s="320"/>
    </row>
    <row r="1421" spans="1:55" ht="45" hidden="1" x14ac:dyDescent="0.25">
      <c r="A1421" s="373">
        <v>17638</v>
      </c>
      <c r="B1421" s="233" t="str">
        <f>VLOOKUP(Table8[[#This Row],[Document ID]],Table1[],2,FALSE)</f>
        <v>LVA</v>
      </c>
      <c r="C1421" s="233" t="str">
        <f>VLOOKUP(Table8[[#This Row],[Document ID]],Table1[],3,FALSE)</f>
        <v>Latvia</v>
      </c>
      <c r="D1421" s="243" t="str">
        <f>VLOOKUP(Table8[[#This Row],[Document ID]],Table1[],5,FALSE)</f>
        <v>LTS</v>
      </c>
      <c r="E1421" s="233" t="str">
        <f>VLOOKUP(Table8[[#This Row],[Document ID]],Table1[],7,FALSE)</f>
        <v>LTS</v>
      </c>
      <c r="F1421" s="233" t="str">
        <f>VLOOKUP(Table8[[#This Row],[Document ID]],Table1[],8,FALSE)</f>
        <v>LTS 1.0</v>
      </c>
      <c r="G1421" s="233" t="str">
        <f>VLOOKUP(Table8[[#This Row],[Document ID]],Table1[],10,FALSE)</f>
        <v>Active</v>
      </c>
      <c r="H1421" s="43" t="s">
        <v>2350</v>
      </c>
      <c r="I1421" s="43" t="s">
        <v>2370</v>
      </c>
      <c r="J1421" s="44" t="s">
        <v>2418</v>
      </c>
      <c r="K1421" s="44" t="s">
        <v>3665</v>
      </c>
      <c r="L1421" s="44" t="s">
        <v>2396</v>
      </c>
      <c r="M1421" s="43">
        <v>48</v>
      </c>
      <c r="N1421" s="113"/>
      <c r="O1421" s="113"/>
      <c r="P1421" s="113"/>
      <c r="Q1421" s="113" t="s">
        <v>1113</v>
      </c>
      <c r="R1421" s="113" t="s">
        <v>1113</v>
      </c>
      <c r="S1421" s="113"/>
      <c r="T1421" s="113"/>
      <c r="U1421" s="113" t="s">
        <v>1113</v>
      </c>
      <c r="V1421" s="113"/>
      <c r="W1421" s="113"/>
      <c r="X1421" s="113"/>
      <c r="Y1421" s="113" t="s">
        <v>1113</v>
      </c>
      <c r="Z1421" s="113"/>
      <c r="AA1421" s="113"/>
      <c r="AB1421" s="113"/>
      <c r="AC1421" s="113" t="s">
        <v>1113</v>
      </c>
      <c r="AD1421" s="113"/>
      <c r="AE1421" s="113"/>
      <c r="AF1421" s="113"/>
      <c r="AG1421" s="113"/>
      <c r="AH1421" s="113"/>
      <c r="AI1421" s="113"/>
      <c r="AJ1421" s="113"/>
      <c r="AK1421" s="319" t="s">
        <v>1113</v>
      </c>
      <c r="AL1421" s="113"/>
      <c r="AM1421" s="113"/>
      <c r="AN1421" s="113"/>
      <c r="AO1421" s="44" t="s">
        <v>2334</v>
      </c>
      <c r="AP1421" s="43"/>
      <c r="AQ1421" s="236" t="str">
        <f>VLOOKUP(Table8[[#This Row],[Instrument]],Def_Targets!$D$73:$E$159,2,FALSE)</f>
        <v>A_Complan</v>
      </c>
      <c r="AR1421" s="233" t="str">
        <f>VLOOKUP(Table8[[#This Row],[Country Code]],Table29[],3,FALSE)</f>
        <v>Annex I</v>
      </c>
      <c r="AS1421" s="233" t="str">
        <f>VLOOKUP(Table8[[#This Row],[Country Code]],Table29[],4,FALSE)</f>
        <v>Europe</v>
      </c>
      <c r="AT1421" s="233" t="str">
        <f>VLOOKUP(Table8[[#This Row],[Country Code]],Table29[],5,FALSE)</f>
        <v>High-income</v>
      </c>
      <c r="AU1421" s="233" t="str">
        <f>VLOOKUP(Table8[[#This Row],[Country Code]],Table29[],6,FALSE)</f>
        <v>no</v>
      </c>
      <c r="AV1421" s="233" t="str">
        <f>VLOOKUP(Table8[[#This Row],[Country Code]],Table29[],7,FALSE)</f>
        <v>no</v>
      </c>
      <c r="AW1421" s="233" t="str">
        <f>VLOOKUP(Table8[[#This Row],[Country Code]],Table29[],8,FALSE)</f>
        <v>OECD</v>
      </c>
      <c r="AX1421" s="233" t="str">
        <f>VLOOKUP(Table8[[#This Row],[Country Code]],Table29[],9,FALSE)</f>
        <v>EU27</v>
      </c>
      <c r="AY1421" s="233" t="str">
        <f>VLOOKUP(Table8[[#This Row],[Country Code]],Table29[],10,FALSE)</f>
        <v>no</v>
      </c>
      <c r="AZ1421" s="235">
        <f>VLOOKUP(Table8[[#This Row],[Country Code]],Table29[],23,FALSE)</f>
        <v>10.957491923456001</v>
      </c>
      <c r="BA1421" s="235">
        <f>VLOOKUP(Table8[[#This Row],[Country Code]],Table29[],24,FALSE)</f>
        <v>3.102706195463615</v>
      </c>
      <c r="BB1421" s="320"/>
      <c r="BC1421" s="320"/>
    </row>
    <row r="1422" spans="1:55" ht="30" hidden="1" x14ac:dyDescent="0.25">
      <c r="A1422" s="373">
        <v>17638</v>
      </c>
      <c r="B1422" s="233" t="str">
        <f>VLOOKUP(Table8[[#This Row],[Document ID]],Table1[],2,FALSE)</f>
        <v>LVA</v>
      </c>
      <c r="C1422" s="233" t="str">
        <f>VLOOKUP(Table8[[#This Row],[Document ID]],Table1[],3,FALSE)</f>
        <v>Latvia</v>
      </c>
      <c r="D1422" s="243" t="str">
        <f>VLOOKUP(Table8[[#This Row],[Document ID]],Table1[],5,FALSE)</f>
        <v>LTS</v>
      </c>
      <c r="E1422" s="233" t="str">
        <f>VLOOKUP(Table8[[#This Row],[Document ID]],Table1[],7,FALSE)</f>
        <v>LTS</v>
      </c>
      <c r="F1422" s="233" t="str">
        <f>VLOOKUP(Table8[[#This Row],[Document ID]],Table1[],8,FALSE)</f>
        <v>LTS 1.0</v>
      </c>
      <c r="G1422" s="233" t="str">
        <f>VLOOKUP(Table8[[#This Row],[Document ID]],Table1[],10,FALSE)</f>
        <v>Active</v>
      </c>
      <c r="H1422" s="43" t="s">
        <v>2343</v>
      </c>
      <c r="I1422" s="43" t="s">
        <v>2377</v>
      </c>
      <c r="J1422" s="44" t="s">
        <v>2521</v>
      </c>
      <c r="K1422" s="44" t="s">
        <v>3666</v>
      </c>
      <c r="L1422" s="44" t="s">
        <v>2347</v>
      </c>
      <c r="M1422" s="43">
        <v>49</v>
      </c>
      <c r="N1422" s="113"/>
      <c r="O1422" s="113"/>
      <c r="P1422" s="113"/>
      <c r="Q1422" s="113" t="s">
        <v>1113</v>
      </c>
      <c r="R1422" s="113" t="s">
        <v>1113</v>
      </c>
      <c r="S1422" s="113"/>
      <c r="T1422" s="113"/>
      <c r="U1422" s="113"/>
      <c r="V1422" s="113"/>
      <c r="W1422" s="113"/>
      <c r="X1422" s="113"/>
      <c r="Y1422" s="113"/>
      <c r="Z1422" s="113"/>
      <c r="AA1422" s="113"/>
      <c r="AB1422" s="113"/>
      <c r="AC1422" s="113"/>
      <c r="AD1422" s="113"/>
      <c r="AE1422" s="113"/>
      <c r="AF1422" s="113"/>
      <c r="AG1422" s="113"/>
      <c r="AH1422" s="113"/>
      <c r="AI1422" s="113"/>
      <c r="AJ1422" s="113"/>
      <c r="AK1422" s="319" t="s">
        <v>1113</v>
      </c>
      <c r="AL1422" s="113"/>
      <c r="AM1422" s="113"/>
      <c r="AN1422" s="113"/>
      <c r="AO1422" s="44" t="s">
        <v>2334</v>
      </c>
      <c r="AP1422" s="43"/>
      <c r="AQ1422" s="236" t="str">
        <f>VLOOKUP(Table8[[#This Row],[Instrument]],Def_Targets!$D$73:$E$159,2,FALSE)</f>
        <v>A_Caraccess</v>
      </c>
      <c r="AR1422" s="233" t="str">
        <f>VLOOKUP(Table8[[#This Row],[Country Code]],Table29[],3,FALSE)</f>
        <v>Annex I</v>
      </c>
      <c r="AS1422" s="233" t="str">
        <f>VLOOKUP(Table8[[#This Row],[Country Code]],Table29[],4,FALSE)</f>
        <v>Europe</v>
      </c>
      <c r="AT1422" s="233" t="str">
        <f>VLOOKUP(Table8[[#This Row],[Country Code]],Table29[],5,FALSE)</f>
        <v>High-income</v>
      </c>
      <c r="AU1422" s="233" t="str">
        <f>VLOOKUP(Table8[[#This Row],[Country Code]],Table29[],6,FALSE)</f>
        <v>no</v>
      </c>
      <c r="AV1422" s="233" t="str">
        <f>VLOOKUP(Table8[[#This Row],[Country Code]],Table29[],7,FALSE)</f>
        <v>no</v>
      </c>
      <c r="AW1422" s="233" t="str">
        <f>VLOOKUP(Table8[[#This Row],[Country Code]],Table29[],8,FALSE)</f>
        <v>OECD</v>
      </c>
      <c r="AX1422" s="233" t="str">
        <f>VLOOKUP(Table8[[#This Row],[Country Code]],Table29[],9,FALSE)</f>
        <v>EU27</v>
      </c>
      <c r="AY1422" s="233" t="str">
        <f>VLOOKUP(Table8[[#This Row],[Country Code]],Table29[],10,FALSE)</f>
        <v>no</v>
      </c>
      <c r="AZ1422" s="235">
        <f>VLOOKUP(Table8[[#This Row],[Country Code]],Table29[],23,FALSE)</f>
        <v>10.957491923456001</v>
      </c>
      <c r="BA1422" s="235">
        <f>VLOOKUP(Table8[[#This Row],[Country Code]],Table29[],24,FALSE)</f>
        <v>3.102706195463615</v>
      </c>
      <c r="BB1422" s="320"/>
      <c r="BC1422" s="320"/>
    </row>
    <row r="1423" spans="1:55" ht="45" hidden="1" x14ac:dyDescent="0.25">
      <c r="A1423" s="368">
        <v>32505</v>
      </c>
      <c r="B1423" s="233" t="str">
        <f>VLOOKUP(Table8[[#This Row],[Document ID]],Table1[],2,FALSE)</f>
        <v>LTU</v>
      </c>
      <c r="C1423" s="233" t="str">
        <f>VLOOKUP(Table8[[#This Row],[Document ID]],Table1[],3,FALSE)</f>
        <v>Lithuania</v>
      </c>
      <c r="D1423" s="241" t="str">
        <f>VLOOKUP(Table8[[#This Row],[Document ID]],Table1[],5,FALSE)</f>
        <v>LTS</v>
      </c>
      <c r="E1423" s="233" t="str">
        <f>VLOOKUP(Table8[[#This Row],[Document ID]],Table1[],7,FALSE)</f>
        <v>EU-LTS</v>
      </c>
      <c r="F1423" s="241" t="str">
        <f>VLOOKUP(Table8[[#This Row],[Document ID]],Table1[],8,FALSE)</f>
        <v>LTS 1.0</v>
      </c>
      <c r="G1423" s="241" t="str">
        <f>VLOOKUP(Table8[[#This Row],[Document ID]],Table1[],10,FALSE)</f>
        <v>Active</v>
      </c>
      <c r="H1423" s="43" t="s">
        <v>2343</v>
      </c>
      <c r="I1423" s="43" t="s">
        <v>2386</v>
      </c>
      <c r="J1423" s="44" t="s">
        <v>2387</v>
      </c>
      <c r="K1423" s="44" t="s">
        <v>3667</v>
      </c>
      <c r="L1423" s="44" t="s">
        <v>2380</v>
      </c>
      <c r="M1423" s="43">
        <v>35</v>
      </c>
      <c r="N1423" s="113" t="s">
        <v>1113</v>
      </c>
      <c r="O1423" s="113"/>
      <c r="P1423" s="113"/>
      <c r="Q1423" s="113"/>
      <c r="R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t="s">
        <v>1113</v>
      </c>
      <c r="AL1423" s="113"/>
      <c r="AM1423" s="113"/>
      <c r="AN1423" s="113"/>
      <c r="AO1423" s="44" t="s">
        <v>2334</v>
      </c>
      <c r="AP1423" s="43"/>
      <c r="AQ1423" s="236" t="str">
        <f>VLOOKUP(Table8[[#This Row],[Instrument]],Def_Targets!$D$73:$E$159,2,FALSE)</f>
        <v>A_Procurement</v>
      </c>
      <c r="AR1423" s="233" t="str">
        <f>VLOOKUP(Table8[[#This Row],[Country Code]],Table29[],3,FALSE)</f>
        <v>Annex I</v>
      </c>
      <c r="AS1423" s="233" t="str">
        <f>VLOOKUP(Table8[[#This Row],[Country Code]],Table29[],4,FALSE)</f>
        <v>Europe</v>
      </c>
      <c r="AT1423" s="233" t="str">
        <f>VLOOKUP(Table8[[#This Row],[Country Code]],Table29[],5,FALSE)</f>
        <v>High-income</v>
      </c>
      <c r="AU1423" s="233" t="str">
        <f>VLOOKUP(Table8[[#This Row],[Country Code]],Table29[],6,FALSE)</f>
        <v>no</v>
      </c>
      <c r="AV1423" s="233" t="str">
        <f>VLOOKUP(Table8[[#This Row],[Country Code]],Table29[],7,FALSE)</f>
        <v>no</v>
      </c>
      <c r="AW1423" s="233" t="str">
        <f>VLOOKUP(Table8[[#This Row],[Country Code]],Table29[],8,FALSE)</f>
        <v>OECD</v>
      </c>
      <c r="AX1423" s="233" t="str">
        <f>VLOOKUP(Table8[[#This Row],[Country Code]],Table29[],9,FALSE)</f>
        <v>EU27</v>
      </c>
      <c r="AY1423" s="233" t="str">
        <f>VLOOKUP(Table8[[#This Row],[Country Code]],Table29[],10,FALSE)</f>
        <v>no</v>
      </c>
      <c r="AZ1423" s="235">
        <f>VLOOKUP(Table8[[#This Row],[Country Code]],Table29[],23,FALSE)</f>
        <v>20.683656998446001</v>
      </c>
      <c r="BA1423" s="235">
        <f>VLOOKUP(Table8[[#This Row],[Country Code]],Table29[],24,FALSE)</f>
        <v>6.2808070704944967</v>
      </c>
      <c r="BB1423" s="320"/>
      <c r="BC1423" s="320"/>
    </row>
    <row r="1424" spans="1:55" ht="30" hidden="1" x14ac:dyDescent="0.25">
      <c r="A1424" s="368">
        <v>32505</v>
      </c>
      <c r="B1424" s="233" t="str">
        <f>VLOOKUP(Table8[[#This Row],[Document ID]],Table1[],2,FALSE)</f>
        <v>LTU</v>
      </c>
      <c r="C1424" s="233" t="str">
        <f>VLOOKUP(Table8[[#This Row],[Document ID]],Table1[],3,FALSE)</f>
        <v>Lithuania</v>
      </c>
      <c r="D1424" s="241" t="str">
        <f>VLOOKUP(Table8[[#This Row],[Document ID]],Table1[],5,FALSE)</f>
        <v>LTS</v>
      </c>
      <c r="E1424" s="233" t="str">
        <f>VLOOKUP(Table8[[#This Row],[Document ID]],Table1[],7,FALSE)</f>
        <v>EU-LTS</v>
      </c>
      <c r="F1424" s="241" t="str">
        <f>VLOOKUP(Table8[[#This Row],[Document ID]],Table1[],8,FALSE)</f>
        <v>LTS 1.0</v>
      </c>
      <c r="G1424" s="241" t="str">
        <f>VLOOKUP(Table8[[#This Row],[Document ID]],Table1[],10,FALSE)</f>
        <v>Active</v>
      </c>
      <c r="H1424" s="43" t="s">
        <v>2343</v>
      </c>
      <c r="I1424" s="43" t="s">
        <v>2429</v>
      </c>
      <c r="J1424" s="44" t="s">
        <v>2472</v>
      </c>
      <c r="K1424" s="44" t="s">
        <v>3668</v>
      </c>
      <c r="L1424" s="44" t="s">
        <v>2333</v>
      </c>
      <c r="M1424" s="43">
        <v>37</v>
      </c>
      <c r="N1424" s="113" t="s">
        <v>1113</v>
      </c>
      <c r="O1424" s="113"/>
      <c r="P1424" s="113"/>
      <c r="Q1424" s="113"/>
      <c r="R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t="s">
        <v>1113</v>
      </c>
      <c r="AL1424" s="113"/>
      <c r="AM1424" s="113"/>
      <c r="AN1424" s="113"/>
      <c r="AO1424" s="44" t="s">
        <v>2334</v>
      </c>
      <c r="AP1424" s="43"/>
      <c r="AQ1424" s="236" t="str">
        <f>VLOOKUP(Table8[[#This Row],[Instrument]],Def_Targets!$D$73:$E$159,2,FALSE)</f>
        <v>I_Other</v>
      </c>
      <c r="AR1424" s="233" t="str">
        <f>VLOOKUP(Table8[[#This Row],[Country Code]],Table29[],3,FALSE)</f>
        <v>Annex I</v>
      </c>
      <c r="AS1424" s="233" t="str">
        <f>VLOOKUP(Table8[[#This Row],[Country Code]],Table29[],4,FALSE)</f>
        <v>Europe</v>
      </c>
      <c r="AT1424" s="233" t="str">
        <f>VLOOKUP(Table8[[#This Row],[Country Code]],Table29[],5,FALSE)</f>
        <v>High-income</v>
      </c>
      <c r="AU1424" s="233" t="str">
        <f>VLOOKUP(Table8[[#This Row],[Country Code]],Table29[],6,FALSE)</f>
        <v>no</v>
      </c>
      <c r="AV1424" s="233" t="str">
        <f>VLOOKUP(Table8[[#This Row],[Country Code]],Table29[],7,FALSE)</f>
        <v>no</v>
      </c>
      <c r="AW1424" s="233" t="str">
        <f>VLOOKUP(Table8[[#This Row],[Country Code]],Table29[],8,FALSE)</f>
        <v>OECD</v>
      </c>
      <c r="AX1424" s="233" t="str">
        <f>VLOOKUP(Table8[[#This Row],[Country Code]],Table29[],9,FALSE)</f>
        <v>EU27</v>
      </c>
      <c r="AY1424" s="233" t="str">
        <f>VLOOKUP(Table8[[#This Row],[Country Code]],Table29[],10,FALSE)</f>
        <v>no</v>
      </c>
      <c r="AZ1424" s="235">
        <f>VLOOKUP(Table8[[#This Row],[Country Code]],Table29[],23,FALSE)</f>
        <v>20.683656998446001</v>
      </c>
      <c r="BA1424" s="235">
        <f>VLOOKUP(Table8[[#This Row],[Country Code]],Table29[],24,FALSE)</f>
        <v>6.2808070704944967</v>
      </c>
      <c r="BB1424" s="320"/>
      <c r="BC1424" s="320"/>
    </row>
    <row r="1425" spans="1:55" ht="30" hidden="1" x14ac:dyDescent="0.25">
      <c r="A1425" s="373">
        <v>26781</v>
      </c>
      <c r="B1425" s="233" t="str">
        <f>VLOOKUP(Table8[[#This Row],[Document ID]],Table1[],2,FALSE)</f>
        <v>LUX</v>
      </c>
      <c r="C1425" s="233" t="str">
        <f>VLOOKUP(Table8[[#This Row],[Document ID]],Table1[],3,FALSE)</f>
        <v>Luxembourg</v>
      </c>
      <c r="D1425" s="243" t="str">
        <f>VLOOKUP(Table8[[#This Row],[Document ID]],Table1[],5,FALSE)</f>
        <v>LTS</v>
      </c>
      <c r="E1425" s="233" t="str">
        <f>VLOOKUP(Table8[[#This Row],[Document ID]],Table1[],7,FALSE)</f>
        <v>LTS</v>
      </c>
      <c r="F1425" s="233" t="str">
        <f>VLOOKUP(Table8[[#This Row],[Document ID]],Table1[],8,FALSE)</f>
        <v>LTS 1.0</v>
      </c>
      <c r="G1425" s="233" t="str">
        <f>VLOOKUP(Table8[[#This Row],[Document ID]],Table1[],10,FALSE)</f>
        <v>Active</v>
      </c>
      <c r="H1425" s="43" t="s">
        <v>2343</v>
      </c>
      <c r="I1425" s="43" t="s">
        <v>2386</v>
      </c>
      <c r="J1425" s="44" t="s">
        <v>2530</v>
      </c>
      <c r="K1425" s="44" t="s">
        <v>3669</v>
      </c>
      <c r="L1425" s="44" t="s">
        <v>2333</v>
      </c>
      <c r="M1425" s="43">
        <v>68</v>
      </c>
      <c r="N1425" s="113"/>
      <c r="O1425" s="113"/>
      <c r="P1425" s="113"/>
      <c r="Q1425" s="113"/>
      <c r="R1425" s="113"/>
      <c r="S1425" s="113"/>
      <c r="T1425" s="113"/>
      <c r="U1425" s="113"/>
      <c r="V1425" s="113"/>
      <c r="W1425" s="113"/>
      <c r="X1425" s="113"/>
      <c r="Y1425" s="113"/>
      <c r="Z1425" s="113"/>
      <c r="AA1425" s="113"/>
      <c r="AB1425" s="113"/>
      <c r="AC1425" s="113"/>
      <c r="AD1425" s="113" t="s">
        <v>1113</v>
      </c>
      <c r="AE1425" s="113"/>
      <c r="AF1425" s="113"/>
      <c r="AG1425" s="113"/>
      <c r="AH1425" s="113"/>
      <c r="AI1425" s="113"/>
      <c r="AJ1425" s="113"/>
      <c r="AK1425" s="113" t="s">
        <v>1113</v>
      </c>
      <c r="AL1425" s="113"/>
      <c r="AM1425" s="113"/>
      <c r="AN1425" s="113"/>
      <c r="AO1425" s="44" t="s">
        <v>2334</v>
      </c>
      <c r="AP1425" s="43"/>
      <c r="AQ1425" s="236" t="str">
        <f>VLOOKUP(Table8[[#This Row],[Instrument]],Def_Targets!$D$73:$E$159,2,FALSE)</f>
        <v>A_Vehicletax</v>
      </c>
      <c r="AR1425" s="233" t="str">
        <f>VLOOKUP(Table8[[#This Row],[Country Code]],Table29[],3,FALSE)</f>
        <v>Annex I</v>
      </c>
      <c r="AS1425" s="233" t="str">
        <f>VLOOKUP(Table8[[#This Row],[Country Code]],Table29[],4,FALSE)</f>
        <v>Europe</v>
      </c>
      <c r="AT1425" s="233" t="str">
        <f>VLOOKUP(Table8[[#This Row],[Country Code]],Table29[],5,FALSE)</f>
        <v>High-income</v>
      </c>
      <c r="AU1425" s="233" t="str">
        <f>VLOOKUP(Table8[[#This Row],[Country Code]],Table29[],6,FALSE)</f>
        <v>no</v>
      </c>
      <c r="AV1425" s="233" t="str">
        <f>VLOOKUP(Table8[[#This Row],[Country Code]],Table29[],7,FALSE)</f>
        <v>no</v>
      </c>
      <c r="AW1425" s="233" t="str">
        <f>VLOOKUP(Table8[[#This Row],[Country Code]],Table29[],8,FALSE)</f>
        <v>OECD</v>
      </c>
      <c r="AX1425" s="233" t="str">
        <f>VLOOKUP(Table8[[#This Row],[Country Code]],Table29[],9,FALSE)</f>
        <v>EU27</v>
      </c>
      <c r="AY1425" s="233" t="str">
        <f>VLOOKUP(Table8[[#This Row],[Country Code]],Table29[],10,FALSE)</f>
        <v>no</v>
      </c>
      <c r="AZ1425" s="235">
        <f>VLOOKUP(Table8[[#This Row],[Country Code]],Table29[],23,FALSE)</f>
        <v>7.8609330392057002</v>
      </c>
      <c r="BA1425" s="235">
        <f>VLOOKUP(Table8[[#This Row],[Country Code]],Table29[],24,FALSE)</f>
        <v>4.2423658408849461</v>
      </c>
      <c r="BB1425" s="320"/>
      <c r="BC1425" s="320"/>
    </row>
    <row r="1426" spans="1:55" ht="30" hidden="1" x14ac:dyDescent="0.25">
      <c r="A1426" s="373">
        <v>26781</v>
      </c>
      <c r="B1426" s="233" t="str">
        <f>VLOOKUP(Table8[[#This Row],[Document ID]],Table1[],2,FALSE)</f>
        <v>LUX</v>
      </c>
      <c r="C1426" s="233" t="str">
        <f>VLOOKUP(Table8[[#This Row],[Document ID]],Table1[],3,FALSE)</f>
        <v>Luxembourg</v>
      </c>
      <c r="D1426" s="243" t="str">
        <f>VLOOKUP(Table8[[#This Row],[Document ID]],Table1[],5,FALSE)</f>
        <v>LTS</v>
      </c>
      <c r="E1426" s="233" t="str">
        <f>VLOOKUP(Table8[[#This Row],[Document ID]],Table1[],7,FALSE)</f>
        <v>LTS</v>
      </c>
      <c r="F1426" s="233" t="str">
        <f>VLOOKUP(Table8[[#This Row],[Document ID]],Table1[],8,FALSE)</f>
        <v>LTS 1.0</v>
      </c>
      <c r="G1426" s="233" t="str">
        <f>VLOOKUP(Table8[[#This Row],[Document ID]],Table1[],10,FALSE)</f>
        <v>Active</v>
      </c>
      <c r="H1426" s="43" t="s">
        <v>2358</v>
      </c>
      <c r="I1426" s="43" t="s">
        <v>2359</v>
      </c>
      <c r="J1426" s="44" t="s">
        <v>2360</v>
      </c>
      <c r="K1426" s="44" t="s">
        <v>3670</v>
      </c>
      <c r="L1426" s="44" t="s">
        <v>2333</v>
      </c>
      <c r="M1426" s="43">
        <v>67</v>
      </c>
      <c r="N1426" s="113"/>
      <c r="O1426" s="113"/>
      <c r="P1426" s="113"/>
      <c r="Q1426" s="113"/>
      <c r="R1426" s="113" t="s">
        <v>1113</v>
      </c>
      <c r="S1426" s="113"/>
      <c r="T1426" s="113" t="s">
        <v>1113</v>
      </c>
      <c r="U1426" s="113" t="s">
        <v>1113</v>
      </c>
      <c r="V1426" s="113"/>
      <c r="W1426" s="113"/>
      <c r="X1426" s="113" t="s">
        <v>1113</v>
      </c>
      <c r="Y1426" s="113"/>
      <c r="Z1426" s="113"/>
      <c r="AA1426" s="113"/>
      <c r="AB1426" s="113"/>
      <c r="AC1426" s="113"/>
      <c r="AD1426" s="113"/>
      <c r="AE1426" s="113"/>
      <c r="AF1426" s="113"/>
      <c r="AG1426" s="113"/>
      <c r="AH1426" s="113"/>
      <c r="AI1426" s="113"/>
      <c r="AJ1426" s="113"/>
      <c r="AK1426" s="113" t="s">
        <v>1113</v>
      </c>
      <c r="AL1426" s="113"/>
      <c r="AM1426" s="113"/>
      <c r="AN1426" s="113"/>
      <c r="AO1426" s="43" t="s">
        <v>2353</v>
      </c>
      <c r="AP1426" s="43"/>
      <c r="AQ1426" s="236" t="str">
        <f>VLOOKUP(Table8[[#This Row],[Instrument]],Def_Targets!$D$73:$E$159,2,FALSE)</f>
        <v>I_Emobility</v>
      </c>
      <c r="AR1426" s="233" t="str">
        <f>VLOOKUP(Table8[[#This Row],[Country Code]],Table29[],3,FALSE)</f>
        <v>Annex I</v>
      </c>
      <c r="AS1426" s="233" t="str">
        <f>VLOOKUP(Table8[[#This Row],[Country Code]],Table29[],4,FALSE)</f>
        <v>Europe</v>
      </c>
      <c r="AT1426" s="233" t="str">
        <f>VLOOKUP(Table8[[#This Row],[Country Code]],Table29[],5,FALSE)</f>
        <v>High-income</v>
      </c>
      <c r="AU1426" s="233" t="str">
        <f>VLOOKUP(Table8[[#This Row],[Country Code]],Table29[],6,FALSE)</f>
        <v>no</v>
      </c>
      <c r="AV1426" s="233" t="str">
        <f>VLOOKUP(Table8[[#This Row],[Country Code]],Table29[],7,FALSE)</f>
        <v>no</v>
      </c>
      <c r="AW1426" s="233" t="str">
        <f>VLOOKUP(Table8[[#This Row],[Country Code]],Table29[],8,FALSE)</f>
        <v>OECD</v>
      </c>
      <c r="AX1426" s="233" t="str">
        <f>VLOOKUP(Table8[[#This Row],[Country Code]],Table29[],9,FALSE)</f>
        <v>EU27</v>
      </c>
      <c r="AY1426" s="233" t="str">
        <f>VLOOKUP(Table8[[#This Row],[Country Code]],Table29[],10,FALSE)</f>
        <v>no</v>
      </c>
      <c r="AZ1426" s="235">
        <f>VLOOKUP(Table8[[#This Row],[Country Code]],Table29[],23,FALSE)</f>
        <v>7.8609330392057002</v>
      </c>
      <c r="BA1426" s="235">
        <f>VLOOKUP(Table8[[#This Row],[Country Code]],Table29[],24,FALSE)</f>
        <v>4.2423658408849461</v>
      </c>
      <c r="BB1426" s="320"/>
      <c r="BC1426" s="320"/>
    </row>
    <row r="1427" spans="1:55" ht="30" hidden="1" x14ac:dyDescent="0.25">
      <c r="A1427" s="373">
        <v>26781</v>
      </c>
      <c r="B1427" s="233" t="str">
        <f>VLOOKUP(Table8[[#This Row],[Document ID]],Table1[],2,FALSE)</f>
        <v>LUX</v>
      </c>
      <c r="C1427" s="233" t="str">
        <f>VLOOKUP(Table8[[#This Row],[Document ID]],Table1[],3,FALSE)</f>
        <v>Luxembourg</v>
      </c>
      <c r="D1427" s="243" t="str">
        <f>VLOOKUP(Table8[[#This Row],[Document ID]],Table1[],5,FALSE)</f>
        <v>LTS</v>
      </c>
      <c r="E1427" s="233" t="str">
        <f>VLOOKUP(Table8[[#This Row],[Document ID]],Table1[],7,FALSE)</f>
        <v>LTS</v>
      </c>
      <c r="F1427" s="233" t="str">
        <f>VLOOKUP(Table8[[#This Row],[Document ID]],Table1[],8,FALSE)</f>
        <v>LTS 1.0</v>
      </c>
      <c r="G1427" s="233" t="str">
        <f>VLOOKUP(Table8[[#This Row],[Document ID]],Table1[],10,FALSE)</f>
        <v>Active</v>
      </c>
      <c r="H1427" s="43" t="s">
        <v>2343</v>
      </c>
      <c r="I1427" s="43" t="s">
        <v>2377</v>
      </c>
      <c r="J1427" s="44" t="s">
        <v>2521</v>
      </c>
      <c r="K1427" s="44" t="s">
        <v>3671</v>
      </c>
      <c r="L1427" s="44" t="s">
        <v>2373</v>
      </c>
      <c r="M1427" s="43">
        <v>67</v>
      </c>
      <c r="N1427" s="113" t="s">
        <v>1113</v>
      </c>
      <c r="O1427" s="113"/>
      <c r="P1427" s="113"/>
      <c r="Q1427" s="113"/>
      <c r="R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t="s">
        <v>1113</v>
      </c>
      <c r="AL1427" s="113"/>
      <c r="AM1427" s="113"/>
      <c r="AN1427" s="113"/>
      <c r="AO1427" s="43" t="s">
        <v>2353</v>
      </c>
      <c r="AP1427" s="43"/>
      <c r="AQ1427" s="236" t="str">
        <f>VLOOKUP(Table8[[#This Row],[Instrument]],Def_Targets!$D$73:$E$159,2,FALSE)</f>
        <v>A_Caraccess</v>
      </c>
      <c r="AR1427" s="233" t="str">
        <f>VLOOKUP(Table8[[#This Row],[Country Code]],Table29[],3,FALSE)</f>
        <v>Annex I</v>
      </c>
      <c r="AS1427" s="233" t="str">
        <f>VLOOKUP(Table8[[#This Row],[Country Code]],Table29[],4,FALSE)</f>
        <v>Europe</v>
      </c>
      <c r="AT1427" s="233" t="str">
        <f>VLOOKUP(Table8[[#This Row],[Country Code]],Table29[],5,FALSE)</f>
        <v>High-income</v>
      </c>
      <c r="AU1427" s="233" t="str">
        <f>VLOOKUP(Table8[[#This Row],[Country Code]],Table29[],6,FALSE)</f>
        <v>no</v>
      </c>
      <c r="AV1427" s="233" t="str">
        <f>VLOOKUP(Table8[[#This Row],[Country Code]],Table29[],7,FALSE)</f>
        <v>no</v>
      </c>
      <c r="AW1427" s="233" t="str">
        <f>VLOOKUP(Table8[[#This Row],[Country Code]],Table29[],8,FALSE)</f>
        <v>OECD</v>
      </c>
      <c r="AX1427" s="233" t="str">
        <f>VLOOKUP(Table8[[#This Row],[Country Code]],Table29[],9,FALSE)</f>
        <v>EU27</v>
      </c>
      <c r="AY1427" s="233" t="str">
        <f>VLOOKUP(Table8[[#This Row],[Country Code]],Table29[],10,FALSE)</f>
        <v>no</v>
      </c>
      <c r="AZ1427" s="235">
        <f>VLOOKUP(Table8[[#This Row],[Country Code]],Table29[],23,FALSE)</f>
        <v>7.8609330392057002</v>
      </c>
      <c r="BA1427" s="235">
        <f>VLOOKUP(Table8[[#This Row],[Country Code]],Table29[],24,FALSE)</f>
        <v>4.2423658408849461</v>
      </c>
      <c r="BB1427" s="320"/>
      <c r="BC1427" s="320"/>
    </row>
    <row r="1428" spans="1:55" ht="60" hidden="1" x14ac:dyDescent="0.25">
      <c r="A1428" s="373">
        <v>26781</v>
      </c>
      <c r="B1428" s="233" t="str">
        <f>VLOOKUP(Table8[[#This Row],[Document ID]],Table1[],2,FALSE)</f>
        <v>LUX</v>
      </c>
      <c r="C1428" s="233" t="str">
        <f>VLOOKUP(Table8[[#This Row],[Document ID]],Table1[],3,FALSE)</f>
        <v>Luxembourg</v>
      </c>
      <c r="D1428" s="243" t="str">
        <f>VLOOKUP(Table8[[#This Row],[Document ID]],Table1[],5,FALSE)</f>
        <v>LTS</v>
      </c>
      <c r="E1428" s="233" t="str">
        <f>VLOOKUP(Table8[[#This Row],[Document ID]],Table1[],7,FALSE)</f>
        <v>LTS</v>
      </c>
      <c r="F1428" s="233" t="str">
        <f>VLOOKUP(Table8[[#This Row],[Document ID]],Table1[],8,FALSE)</f>
        <v>LTS 1.0</v>
      </c>
      <c r="G1428" s="233" t="str">
        <f>VLOOKUP(Table8[[#This Row],[Document ID]],Table1[],10,FALSE)</f>
        <v>Active</v>
      </c>
      <c r="H1428" s="43" t="s">
        <v>2350</v>
      </c>
      <c r="I1428" s="43" t="s">
        <v>2370</v>
      </c>
      <c r="J1428" s="44" t="s">
        <v>2371</v>
      </c>
      <c r="K1428" s="44" t="s">
        <v>3672</v>
      </c>
      <c r="L1428" s="44" t="s">
        <v>2373</v>
      </c>
      <c r="M1428" s="43">
        <v>63</v>
      </c>
      <c r="N1428" s="113" t="s">
        <v>1113</v>
      </c>
      <c r="O1428" s="113"/>
      <c r="P1428" s="113"/>
      <c r="Q1428" s="113"/>
      <c r="R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t="s">
        <v>1113</v>
      </c>
      <c r="AL1428" s="113"/>
      <c r="AM1428" s="113"/>
      <c r="AN1428" s="113"/>
      <c r="AO1428" s="44" t="s">
        <v>2334</v>
      </c>
      <c r="AP1428" s="43"/>
      <c r="AQ1428" s="236" t="str">
        <f>VLOOKUP(Table8[[#This Row],[Instrument]],Def_Targets!$D$73:$E$159,2,FALSE)</f>
        <v>A_Natmobplan</v>
      </c>
      <c r="AR1428" s="233" t="str">
        <f>VLOOKUP(Table8[[#This Row],[Country Code]],Table29[],3,FALSE)</f>
        <v>Annex I</v>
      </c>
      <c r="AS1428" s="233" t="str">
        <f>VLOOKUP(Table8[[#This Row],[Country Code]],Table29[],4,FALSE)</f>
        <v>Europe</v>
      </c>
      <c r="AT1428" s="233" t="str">
        <f>VLOOKUP(Table8[[#This Row],[Country Code]],Table29[],5,FALSE)</f>
        <v>High-income</v>
      </c>
      <c r="AU1428" s="233" t="str">
        <f>VLOOKUP(Table8[[#This Row],[Country Code]],Table29[],6,FALSE)</f>
        <v>no</v>
      </c>
      <c r="AV1428" s="233" t="str">
        <f>VLOOKUP(Table8[[#This Row],[Country Code]],Table29[],7,FALSE)</f>
        <v>no</v>
      </c>
      <c r="AW1428" s="233" t="str">
        <f>VLOOKUP(Table8[[#This Row],[Country Code]],Table29[],8,FALSE)</f>
        <v>OECD</v>
      </c>
      <c r="AX1428" s="233" t="str">
        <f>VLOOKUP(Table8[[#This Row],[Country Code]],Table29[],9,FALSE)</f>
        <v>EU27</v>
      </c>
      <c r="AY1428" s="233" t="str">
        <f>VLOOKUP(Table8[[#This Row],[Country Code]],Table29[],10,FALSE)</f>
        <v>no</v>
      </c>
      <c r="AZ1428" s="235">
        <f>VLOOKUP(Table8[[#This Row],[Country Code]],Table29[],23,FALSE)</f>
        <v>7.8609330392057002</v>
      </c>
      <c r="BA1428" s="235">
        <f>VLOOKUP(Table8[[#This Row],[Country Code]],Table29[],24,FALSE)</f>
        <v>4.2423658408849461</v>
      </c>
      <c r="BB1428" s="320"/>
      <c r="BC1428" s="320"/>
    </row>
    <row r="1429" spans="1:55" ht="30" hidden="1" x14ac:dyDescent="0.25">
      <c r="A1429" s="373">
        <v>26781</v>
      </c>
      <c r="B1429" s="233" t="str">
        <f>VLOOKUP(Table8[[#This Row],[Document ID]],Table1[],2,FALSE)</f>
        <v>LUX</v>
      </c>
      <c r="C1429" s="233" t="str">
        <f>VLOOKUP(Table8[[#This Row],[Document ID]],Table1[],3,FALSE)</f>
        <v>Luxembourg</v>
      </c>
      <c r="D1429" s="243" t="str">
        <f>VLOOKUP(Table8[[#This Row],[Document ID]],Table1[],5,FALSE)</f>
        <v>LTS</v>
      </c>
      <c r="E1429" s="233" t="str">
        <f>VLOOKUP(Table8[[#This Row],[Document ID]],Table1[],7,FALSE)</f>
        <v>LTS</v>
      </c>
      <c r="F1429" s="233" t="str">
        <f>VLOOKUP(Table8[[#This Row],[Document ID]],Table1[],8,FALSE)</f>
        <v>LTS 1.0</v>
      </c>
      <c r="G1429" s="233" t="str">
        <f>VLOOKUP(Table8[[#This Row],[Document ID]],Table1[],10,FALSE)</f>
        <v>Active</v>
      </c>
      <c r="H1429" s="43" t="s">
        <v>2350</v>
      </c>
      <c r="I1429" s="43" t="s">
        <v>2351</v>
      </c>
      <c r="J1429" s="44" t="s">
        <v>2427</v>
      </c>
      <c r="K1429" s="44" t="s">
        <v>3673</v>
      </c>
      <c r="L1429" s="44" t="s">
        <v>2333</v>
      </c>
      <c r="M1429" s="43">
        <v>67</v>
      </c>
      <c r="N1429" s="113" t="s">
        <v>1113</v>
      </c>
      <c r="O1429" s="113"/>
      <c r="P1429" s="113"/>
      <c r="Q1429" s="113"/>
      <c r="R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t="s">
        <v>1113</v>
      </c>
      <c r="AL1429" s="113"/>
      <c r="AM1429" s="113"/>
      <c r="AN1429" s="113"/>
      <c r="AO1429" s="43" t="s">
        <v>2353</v>
      </c>
      <c r="AP1429" s="43"/>
      <c r="AQ1429" s="236" t="str">
        <f>VLOOKUP(Table8[[#This Row],[Instrument]],Def_Targets!$D$73:$E$159,2,FALSE)</f>
        <v>I_Load</v>
      </c>
      <c r="AR1429" s="233" t="str">
        <f>VLOOKUP(Table8[[#This Row],[Country Code]],Table29[],3,FALSE)</f>
        <v>Annex I</v>
      </c>
      <c r="AS1429" s="233" t="str">
        <f>VLOOKUP(Table8[[#This Row],[Country Code]],Table29[],4,FALSE)</f>
        <v>Europe</v>
      </c>
      <c r="AT1429" s="233" t="str">
        <f>VLOOKUP(Table8[[#This Row],[Country Code]],Table29[],5,FALSE)</f>
        <v>High-income</v>
      </c>
      <c r="AU1429" s="233" t="str">
        <f>VLOOKUP(Table8[[#This Row],[Country Code]],Table29[],6,FALSE)</f>
        <v>no</v>
      </c>
      <c r="AV1429" s="233" t="str">
        <f>VLOOKUP(Table8[[#This Row],[Country Code]],Table29[],7,FALSE)</f>
        <v>no</v>
      </c>
      <c r="AW1429" s="233" t="str">
        <f>VLOOKUP(Table8[[#This Row],[Country Code]],Table29[],8,FALSE)</f>
        <v>OECD</v>
      </c>
      <c r="AX1429" s="233" t="str">
        <f>VLOOKUP(Table8[[#This Row],[Country Code]],Table29[],9,FALSE)</f>
        <v>EU27</v>
      </c>
      <c r="AY1429" s="233" t="str">
        <f>VLOOKUP(Table8[[#This Row],[Country Code]],Table29[],10,FALSE)</f>
        <v>no</v>
      </c>
      <c r="AZ1429" s="235">
        <f>VLOOKUP(Table8[[#This Row],[Country Code]],Table29[],23,FALSE)</f>
        <v>7.8609330392057002</v>
      </c>
      <c r="BA1429" s="235">
        <f>VLOOKUP(Table8[[#This Row],[Country Code]],Table29[],24,FALSE)</f>
        <v>4.2423658408849461</v>
      </c>
      <c r="BB1429" s="320"/>
      <c r="BC1429" s="320"/>
    </row>
    <row r="1430" spans="1:55" ht="105" hidden="1" x14ac:dyDescent="0.25">
      <c r="A1430" s="373">
        <v>26781</v>
      </c>
      <c r="B1430" s="233" t="str">
        <f>VLOOKUP(Table8[[#This Row],[Document ID]],Table1[],2,FALSE)</f>
        <v>LUX</v>
      </c>
      <c r="C1430" s="233" t="str">
        <f>VLOOKUP(Table8[[#This Row],[Document ID]],Table1[],3,FALSE)</f>
        <v>Luxembourg</v>
      </c>
      <c r="D1430" s="243" t="str">
        <f>VLOOKUP(Table8[[#This Row],[Document ID]],Table1[],5,FALSE)</f>
        <v>LTS</v>
      </c>
      <c r="E1430" s="233" t="str">
        <f>VLOOKUP(Table8[[#This Row],[Document ID]],Table1[],7,FALSE)</f>
        <v>LTS</v>
      </c>
      <c r="F1430" s="233" t="str">
        <f>VLOOKUP(Table8[[#This Row],[Document ID]],Table1[],8,FALSE)</f>
        <v>LTS 1.0</v>
      </c>
      <c r="G1430" s="233" t="str">
        <f>VLOOKUP(Table8[[#This Row],[Document ID]],Table1[],10,FALSE)</f>
        <v>Active</v>
      </c>
      <c r="H1430" s="43" t="s">
        <v>2343</v>
      </c>
      <c r="I1430" s="43" t="s">
        <v>2361</v>
      </c>
      <c r="J1430" s="44" t="s">
        <v>2362</v>
      </c>
      <c r="K1430" s="44" t="s">
        <v>3674</v>
      </c>
      <c r="L1430" s="44" t="s">
        <v>2347</v>
      </c>
      <c r="M1430" s="43">
        <v>63</v>
      </c>
      <c r="N1430" s="113"/>
      <c r="O1430" s="113"/>
      <c r="P1430" s="113"/>
      <c r="Q1430" s="113"/>
      <c r="R1430" s="113" t="s">
        <v>1113</v>
      </c>
      <c r="S1430" s="113"/>
      <c r="T1430" s="113"/>
      <c r="U1430" s="113"/>
      <c r="V1430" s="113"/>
      <c r="W1430" s="113"/>
      <c r="X1430" s="113"/>
      <c r="Y1430" s="113"/>
      <c r="Z1430" s="113"/>
      <c r="AA1430" s="113"/>
      <c r="AB1430" s="113"/>
      <c r="AC1430" s="113"/>
      <c r="AD1430" s="113"/>
      <c r="AE1430" s="113"/>
      <c r="AF1430" s="113"/>
      <c r="AG1430" s="113"/>
      <c r="AH1430" s="113"/>
      <c r="AI1430" s="113"/>
      <c r="AJ1430" s="113"/>
      <c r="AK1430" s="113" t="s">
        <v>1113</v>
      </c>
      <c r="AL1430" s="113"/>
      <c r="AM1430" s="113"/>
      <c r="AN1430" s="113"/>
      <c r="AO1430" s="44" t="s">
        <v>2334</v>
      </c>
      <c r="AP1430" s="43"/>
      <c r="AQ1430" s="236" t="str">
        <f>VLOOKUP(Table8[[#This Row],[Instrument]],Def_Targets!$D$73:$E$159,2,FALSE)</f>
        <v>S_Cycling</v>
      </c>
      <c r="AR1430" s="233" t="str">
        <f>VLOOKUP(Table8[[#This Row],[Country Code]],Table29[],3,FALSE)</f>
        <v>Annex I</v>
      </c>
      <c r="AS1430" s="233" t="str">
        <f>VLOOKUP(Table8[[#This Row],[Country Code]],Table29[],4,FALSE)</f>
        <v>Europe</v>
      </c>
      <c r="AT1430" s="233" t="str">
        <f>VLOOKUP(Table8[[#This Row],[Country Code]],Table29[],5,FALSE)</f>
        <v>High-income</v>
      </c>
      <c r="AU1430" s="233" t="str">
        <f>VLOOKUP(Table8[[#This Row],[Country Code]],Table29[],6,FALSE)</f>
        <v>no</v>
      </c>
      <c r="AV1430" s="233" t="str">
        <f>VLOOKUP(Table8[[#This Row],[Country Code]],Table29[],7,FALSE)</f>
        <v>no</v>
      </c>
      <c r="AW1430" s="233" t="str">
        <f>VLOOKUP(Table8[[#This Row],[Country Code]],Table29[],8,FALSE)</f>
        <v>OECD</v>
      </c>
      <c r="AX1430" s="233" t="str">
        <f>VLOOKUP(Table8[[#This Row],[Country Code]],Table29[],9,FALSE)</f>
        <v>EU27</v>
      </c>
      <c r="AY1430" s="233" t="str">
        <f>VLOOKUP(Table8[[#This Row],[Country Code]],Table29[],10,FALSE)</f>
        <v>no</v>
      </c>
      <c r="AZ1430" s="235">
        <f>VLOOKUP(Table8[[#This Row],[Country Code]],Table29[],23,FALSE)</f>
        <v>7.8609330392057002</v>
      </c>
      <c r="BA1430" s="235">
        <f>VLOOKUP(Table8[[#This Row],[Country Code]],Table29[],24,FALSE)</f>
        <v>4.2423658408849461</v>
      </c>
      <c r="BB1430" s="320"/>
      <c r="BC1430" s="320"/>
    </row>
    <row r="1431" spans="1:55" ht="45" hidden="1" x14ac:dyDescent="0.25">
      <c r="A1431" s="373">
        <v>26781</v>
      </c>
      <c r="B1431" s="233" t="str">
        <f>VLOOKUP(Table8[[#This Row],[Document ID]],Table1[],2,FALSE)</f>
        <v>LUX</v>
      </c>
      <c r="C1431" s="233" t="str">
        <f>VLOOKUP(Table8[[#This Row],[Document ID]],Table1[],3,FALSE)</f>
        <v>Luxembourg</v>
      </c>
      <c r="D1431" s="243" t="str">
        <f>VLOOKUP(Table8[[#This Row],[Document ID]],Table1[],5,FALSE)</f>
        <v>LTS</v>
      </c>
      <c r="E1431" s="233" t="str">
        <f>VLOOKUP(Table8[[#This Row],[Document ID]],Table1[],7,FALSE)</f>
        <v>LTS</v>
      </c>
      <c r="F1431" s="233" t="str">
        <f>VLOOKUP(Table8[[#This Row],[Document ID]],Table1[],8,FALSE)</f>
        <v>LTS 1.0</v>
      </c>
      <c r="G1431" s="233" t="str">
        <f>VLOOKUP(Table8[[#This Row],[Document ID]],Table1[],10,FALSE)</f>
        <v>Active</v>
      </c>
      <c r="H1431" s="43" t="s">
        <v>2350</v>
      </c>
      <c r="I1431" s="43" t="s">
        <v>2351</v>
      </c>
      <c r="J1431" s="44" t="s">
        <v>2352</v>
      </c>
      <c r="K1431" s="44" t="s">
        <v>3675</v>
      </c>
      <c r="L1431" s="44" t="s">
        <v>2347</v>
      </c>
      <c r="M1431" s="43" t="s">
        <v>3676</v>
      </c>
      <c r="N1431" s="113" t="s">
        <v>1113</v>
      </c>
      <c r="O1431" s="113"/>
      <c r="P1431" s="113"/>
      <c r="Q1431" s="113"/>
      <c r="R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t="s">
        <v>1113</v>
      </c>
      <c r="AO1431" s="43" t="s">
        <v>2353</v>
      </c>
      <c r="AP1431" s="43"/>
      <c r="AQ1431" s="236" t="str">
        <f>VLOOKUP(Table8[[#This Row],[Instrument]],Def_Targets!$D$73:$E$159,2,FALSE)</f>
        <v>S_Railfreight</v>
      </c>
      <c r="AR1431" s="233" t="str">
        <f>VLOOKUP(Table8[[#This Row],[Country Code]],Table29[],3,FALSE)</f>
        <v>Annex I</v>
      </c>
      <c r="AS1431" s="233" t="str">
        <f>VLOOKUP(Table8[[#This Row],[Country Code]],Table29[],4,FALSE)</f>
        <v>Europe</v>
      </c>
      <c r="AT1431" s="233" t="str">
        <f>VLOOKUP(Table8[[#This Row],[Country Code]],Table29[],5,FALSE)</f>
        <v>High-income</v>
      </c>
      <c r="AU1431" s="233" t="str">
        <f>VLOOKUP(Table8[[#This Row],[Country Code]],Table29[],6,FALSE)</f>
        <v>no</v>
      </c>
      <c r="AV1431" s="233" t="str">
        <f>VLOOKUP(Table8[[#This Row],[Country Code]],Table29[],7,FALSE)</f>
        <v>no</v>
      </c>
      <c r="AW1431" s="233" t="str">
        <f>VLOOKUP(Table8[[#This Row],[Country Code]],Table29[],8,FALSE)</f>
        <v>OECD</v>
      </c>
      <c r="AX1431" s="233" t="str">
        <f>VLOOKUP(Table8[[#This Row],[Country Code]],Table29[],9,FALSE)</f>
        <v>EU27</v>
      </c>
      <c r="AY1431" s="233" t="str">
        <f>VLOOKUP(Table8[[#This Row],[Country Code]],Table29[],10,FALSE)</f>
        <v>no</v>
      </c>
      <c r="AZ1431" s="235">
        <f>VLOOKUP(Table8[[#This Row],[Country Code]],Table29[],23,FALSE)</f>
        <v>7.8609330392057002</v>
      </c>
      <c r="BA1431" s="235">
        <f>VLOOKUP(Table8[[#This Row],[Country Code]],Table29[],24,FALSE)</f>
        <v>4.2423658408849461</v>
      </c>
      <c r="BB1431" s="320"/>
      <c r="BC1431" s="320"/>
    </row>
    <row r="1432" spans="1:55" ht="60" hidden="1" x14ac:dyDescent="0.25">
      <c r="A1432" s="373">
        <v>26781</v>
      </c>
      <c r="B1432" s="233" t="str">
        <f>VLOOKUP(Table8[[#This Row],[Document ID]],Table1[],2,FALSE)</f>
        <v>LUX</v>
      </c>
      <c r="C1432" s="233" t="str">
        <f>VLOOKUP(Table8[[#This Row],[Document ID]],Table1[],3,FALSE)</f>
        <v>Luxembourg</v>
      </c>
      <c r="D1432" s="243" t="str">
        <f>VLOOKUP(Table8[[#This Row],[Document ID]],Table1[],5,FALSE)</f>
        <v>LTS</v>
      </c>
      <c r="E1432" s="233" t="str">
        <f>VLOOKUP(Table8[[#This Row],[Document ID]],Table1[],7,FALSE)</f>
        <v>LTS</v>
      </c>
      <c r="F1432" s="233" t="str">
        <f>VLOOKUP(Table8[[#This Row],[Document ID]],Table1[],8,FALSE)</f>
        <v>LTS 1.0</v>
      </c>
      <c r="G1432" s="233" t="str">
        <f>VLOOKUP(Table8[[#This Row],[Document ID]],Table1[],10,FALSE)</f>
        <v>Active</v>
      </c>
      <c r="H1432" s="43" t="s">
        <v>2350</v>
      </c>
      <c r="I1432" s="43" t="s">
        <v>2456</v>
      </c>
      <c r="J1432" s="44" t="s">
        <v>2643</v>
      </c>
      <c r="K1432" s="44" t="s">
        <v>3677</v>
      </c>
      <c r="L1432" s="44" t="s">
        <v>2347</v>
      </c>
      <c r="M1432" s="43" t="s">
        <v>3676</v>
      </c>
      <c r="N1432" s="113" t="s">
        <v>1113</v>
      </c>
      <c r="O1432" s="113"/>
      <c r="P1432" s="113"/>
      <c r="Q1432" s="113"/>
      <c r="R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t="s">
        <v>1113</v>
      </c>
      <c r="AO1432" s="43" t="s">
        <v>2353</v>
      </c>
      <c r="AP1432" s="43"/>
      <c r="AQ1432" s="236" t="str">
        <f>VLOOKUP(Table8[[#This Row],[Instrument]],Def_Targets!$D$73:$E$159,2,FALSE)</f>
        <v>S_Intermodality</v>
      </c>
      <c r="AR1432" s="233" t="str">
        <f>VLOOKUP(Table8[[#This Row],[Country Code]],Table29[],3,FALSE)</f>
        <v>Annex I</v>
      </c>
      <c r="AS1432" s="233" t="str">
        <f>VLOOKUP(Table8[[#This Row],[Country Code]],Table29[],4,FALSE)</f>
        <v>Europe</v>
      </c>
      <c r="AT1432" s="233" t="str">
        <f>VLOOKUP(Table8[[#This Row],[Country Code]],Table29[],5,FALSE)</f>
        <v>High-income</v>
      </c>
      <c r="AU1432" s="233" t="str">
        <f>VLOOKUP(Table8[[#This Row],[Country Code]],Table29[],6,FALSE)</f>
        <v>no</v>
      </c>
      <c r="AV1432" s="233" t="str">
        <f>VLOOKUP(Table8[[#This Row],[Country Code]],Table29[],7,FALSE)</f>
        <v>no</v>
      </c>
      <c r="AW1432" s="233" t="str">
        <f>VLOOKUP(Table8[[#This Row],[Country Code]],Table29[],8,FALSE)</f>
        <v>OECD</v>
      </c>
      <c r="AX1432" s="233" t="str">
        <f>VLOOKUP(Table8[[#This Row],[Country Code]],Table29[],9,FALSE)</f>
        <v>EU27</v>
      </c>
      <c r="AY1432" s="233" t="str">
        <f>VLOOKUP(Table8[[#This Row],[Country Code]],Table29[],10,FALSE)</f>
        <v>no</v>
      </c>
      <c r="AZ1432" s="235">
        <f>VLOOKUP(Table8[[#This Row],[Country Code]],Table29[],23,FALSE)</f>
        <v>7.8609330392057002</v>
      </c>
      <c r="BA1432" s="235">
        <f>VLOOKUP(Table8[[#This Row],[Country Code]],Table29[],24,FALSE)</f>
        <v>4.2423658408849461</v>
      </c>
      <c r="BB1432" s="320"/>
      <c r="BC1432" s="320"/>
    </row>
    <row r="1433" spans="1:55" ht="60" hidden="1" x14ac:dyDescent="0.25">
      <c r="A1433" s="373">
        <v>26781</v>
      </c>
      <c r="B1433" s="233" t="str">
        <f>VLOOKUP(Table8[[#This Row],[Document ID]],Table1[],2,FALSE)</f>
        <v>LUX</v>
      </c>
      <c r="C1433" s="233" t="str">
        <f>VLOOKUP(Table8[[#This Row],[Document ID]],Table1[],3,FALSE)</f>
        <v>Luxembourg</v>
      </c>
      <c r="D1433" s="243" t="str">
        <f>VLOOKUP(Table8[[#This Row],[Document ID]],Table1[],5,FALSE)</f>
        <v>LTS</v>
      </c>
      <c r="E1433" s="233" t="str">
        <f>VLOOKUP(Table8[[#This Row],[Document ID]],Table1[],7,FALSE)</f>
        <v>LTS</v>
      </c>
      <c r="F1433" s="233" t="str">
        <f>VLOOKUP(Table8[[#This Row],[Document ID]],Table1[],8,FALSE)</f>
        <v>LTS 1.0</v>
      </c>
      <c r="G1433" s="233" t="str">
        <f>VLOOKUP(Table8[[#This Row],[Document ID]],Table1[],10,FALSE)</f>
        <v>Active</v>
      </c>
      <c r="H1433" s="43" t="s">
        <v>2343</v>
      </c>
      <c r="I1433" s="43" t="s">
        <v>2377</v>
      </c>
      <c r="J1433" s="44" t="s">
        <v>2378</v>
      </c>
      <c r="K1433" s="44" t="s">
        <v>3678</v>
      </c>
      <c r="L1433" s="44" t="s">
        <v>2380</v>
      </c>
      <c r="M1433" s="43">
        <v>62</v>
      </c>
      <c r="N1433" s="113" t="s">
        <v>1113</v>
      </c>
      <c r="O1433" s="113"/>
      <c r="P1433" s="113"/>
      <c r="Q1433" s="113"/>
      <c r="R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t="s">
        <v>1113</v>
      </c>
      <c r="AL1433" s="113"/>
      <c r="AM1433" s="113"/>
      <c r="AN1433" s="113"/>
      <c r="AO1433" s="43" t="s">
        <v>2348</v>
      </c>
      <c r="AP1433" s="43"/>
      <c r="AQ1433" s="236" t="str">
        <f>VLOOKUP(Table8[[#This Row],[Instrument]],Def_Targets!$D$73:$E$159,2,FALSE)</f>
        <v>A_Commute</v>
      </c>
      <c r="AR1433" s="233" t="str">
        <f>VLOOKUP(Table8[[#This Row],[Country Code]],Table29[],3,FALSE)</f>
        <v>Annex I</v>
      </c>
      <c r="AS1433" s="233" t="str">
        <f>VLOOKUP(Table8[[#This Row],[Country Code]],Table29[],4,FALSE)</f>
        <v>Europe</v>
      </c>
      <c r="AT1433" s="233" t="str">
        <f>VLOOKUP(Table8[[#This Row],[Country Code]],Table29[],5,FALSE)</f>
        <v>High-income</v>
      </c>
      <c r="AU1433" s="233" t="str">
        <f>VLOOKUP(Table8[[#This Row],[Country Code]],Table29[],6,FALSE)</f>
        <v>no</v>
      </c>
      <c r="AV1433" s="233" t="str">
        <f>VLOOKUP(Table8[[#This Row],[Country Code]],Table29[],7,FALSE)</f>
        <v>no</v>
      </c>
      <c r="AW1433" s="233" t="str">
        <f>VLOOKUP(Table8[[#This Row],[Country Code]],Table29[],8,FALSE)</f>
        <v>OECD</v>
      </c>
      <c r="AX1433" s="233" t="str">
        <f>VLOOKUP(Table8[[#This Row],[Country Code]],Table29[],9,FALSE)</f>
        <v>EU27</v>
      </c>
      <c r="AY1433" s="233" t="str">
        <f>VLOOKUP(Table8[[#This Row],[Country Code]],Table29[],10,FALSE)</f>
        <v>no</v>
      </c>
      <c r="AZ1433" s="235">
        <f>VLOOKUP(Table8[[#This Row],[Country Code]],Table29[],23,FALSE)</f>
        <v>7.8609330392057002</v>
      </c>
      <c r="BA1433" s="235">
        <f>VLOOKUP(Table8[[#This Row],[Country Code]],Table29[],24,FALSE)</f>
        <v>4.2423658408849461</v>
      </c>
      <c r="BB1433" s="320"/>
      <c r="BC1433" s="320"/>
    </row>
    <row r="1434" spans="1:55" ht="30" hidden="1" x14ac:dyDescent="0.25">
      <c r="A1434" s="373">
        <v>26781</v>
      </c>
      <c r="B1434" s="233" t="str">
        <f>VLOOKUP(Table8[[#This Row],[Document ID]],Table1[],2,FALSE)</f>
        <v>LUX</v>
      </c>
      <c r="C1434" s="233" t="str">
        <f>VLOOKUP(Table8[[#This Row],[Document ID]],Table1[],3,FALSE)</f>
        <v>Luxembourg</v>
      </c>
      <c r="D1434" s="243" t="str">
        <f>VLOOKUP(Table8[[#This Row],[Document ID]],Table1[],5,FALSE)</f>
        <v>LTS</v>
      </c>
      <c r="E1434" s="233" t="str">
        <f>VLOOKUP(Table8[[#This Row],[Document ID]],Table1[],7,FALSE)</f>
        <v>LTS</v>
      </c>
      <c r="F1434" s="233" t="str">
        <f>VLOOKUP(Table8[[#This Row],[Document ID]],Table1[],8,FALSE)</f>
        <v>LTS 1.0</v>
      </c>
      <c r="G1434" s="233" t="str">
        <f>VLOOKUP(Table8[[#This Row],[Document ID]],Table1[],10,FALSE)</f>
        <v>Active</v>
      </c>
      <c r="H1434" s="43" t="s">
        <v>2358</v>
      </c>
      <c r="I1434" s="43" t="s">
        <v>2359</v>
      </c>
      <c r="J1434" s="44" t="s">
        <v>2383</v>
      </c>
      <c r="K1434" s="44" t="s">
        <v>3679</v>
      </c>
      <c r="L1434" s="44" t="s">
        <v>2333</v>
      </c>
      <c r="M1434" s="43">
        <v>68</v>
      </c>
      <c r="N1434" s="113"/>
      <c r="O1434" s="113"/>
      <c r="P1434" s="113"/>
      <c r="Q1434" s="113"/>
      <c r="R1434" s="113"/>
      <c r="S1434" s="113"/>
      <c r="T1434" s="113"/>
      <c r="U1434" s="113"/>
      <c r="V1434" s="113"/>
      <c r="W1434" s="113"/>
      <c r="X1434" s="113" t="s">
        <v>1113</v>
      </c>
      <c r="Y1434" s="113"/>
      <c r="Z1434" s="113"/>
      <c r="AA1434" s="113"/>
      <c r="AB1434" s="113"/>
      <c r="AC1434" s="113"/>
      <c r="AD1434" s="113"/>
      <c r="AE1434" s="113"/>
      <c r="AF1434" s="113"/>
      <c r="AG1434" s="113"/>
      <c r="AH1434" s="113"/>
      <c r="AI1434" s="113"/>
      <c r="AJ1434" s="113"/>
      <c r="AK1434" s="113" t="s">
        <v>1113</v>
      </c>
      <c r="AL1434" s="113"/>
      <c r="AM1434" s="113"/>
      <c r="AN1434" s="113"/>
      <c r="AO1434" s="43" t="s">
        <v>2353</v>
      </c>
      <c r="AP1434" s="43"/>
      <c r="AQ1434" s="236" t="str">
        <f>VLOOKUP(Table8[[#This Row],[Instrument]],Def_Targets!$D$73:$E$159,2,FALSE)</f>
        <v>I_Emobilitycharging</v>
      </c>
      <c r="AR1434" s="233" t="str">
        <f>VLOOKUP(Table8[[#This Row],[Country Code]],Table29[],3,FALSE)</f>
        <v>Annex I</v>
      </c>
      <c r="AS1434" s="233" t="str">
        <f>VLOOKUP(Table8[[#This Row],[Country Code]],Table29[],4,FALSE)</f>
        <v>Europe</v>
      </c>
      <c r="AT1434" s="233" t="str">
        <f>VLOOKUP(Table8[[#This Row],[Country Code]],Table29[],5,FALSE)</f>
        <v>High-income</v>
      </c>
      <c r="AU1434" s="233" t="str">
        <f>VLOOKUP(Table8[[#This Row],[Country Code]],Table29[],6,FALSE)</f>
        <v>no</v>
      </c>
      <c r="AV1434" s="233" t="str">
        <f>VLOOKUP(Table8[[#This Row],[Country Code]],Table29[],7,FALSE)</f>
        <v>no</v>
      </c>
      <c r="AW1434" s="233" t="str">
        <f>VLOOKUP(Table8[[#This Row],[Country Code]],Table29[],8,FALSE)</f>
        <v>OECD</v>
      </c>
      <c r="AX1434" s="233" t="str">
        <f>VLOOKUP(Table8[[#This Row],[Country Code]],Table29[],9,FALSE)</f>
        <v>EU27</v>
      </c>
      <c r="AY1434" s="233" t="str">
        <f>VLOOKUP(Table8[[#This Row],[Country Code]],Table29[],10,FALSE)</f>
        <v>no</v>
      </c>
      <c r="AZ1434" s="235">
        <f>VLOOKUP(Table8[[#This Row],[Country Code]],Table29[],23,FALSE)</f>
        <v>7.8609330392057002</v>
      </c>
      <c r="BA1434" s="235">
        <f>VLOOKUP(Table8[[#This Row],[Country Code]],Table29[],24,FALSE)</f>
        <v>4.2423658408849461</v>
      </c>
      <c r="BB1434" s="320"/>
      <c r="BC1434" s="320"/>
    </row>
    <row r="1435" spans="1:55" ht="30" hidden="1" x14ac:dyDescent="0.25">
      <c r="A1435" s="373">
        <v>26781</v>
      </c>
      <c r="B1435" s="233" t="str">
        <f>VLOOKUP(Table8[[#This Row],[Document ID]],Table1[],2,FALSE)</f>
        <v>LUX</v>
      </c>
      <c r="C1435" s="233" t="str">
        <f>VLOOKUP(Table8[[#This Row],[Document ID]],Table1[],3,FALSE)</f>
        <v>Luxembourg</v>
      </c>
      <c r="D1435" s="243" t="str">
        <f>VLOOKUP(Table8[[#This Row],[Document ID]],Table1[],5,FALSE)</f>
        <v>LTS</v>
      </c>
      <c r="E1435" s="233" t="str">
        <f>VLOOKUP(Table8[[#This Row],[Document ID]],Table1[],7,FALSE)</f>
        <v>LTS</v>
      </c>
      <c r="F1435" s="233" t="str">
        <f>VLOOKUP(Table8[[#This Row],[Document ID]],Table1[],8,FALSE)</f>
        <v>LTS 1.0</v>
      </c>
      <c r="G1435" s="233" t="str">
        <f>VLOOKUP(Table8[[#This Row],[Document ID]],Table1[],10,FALSE)</f>
        <v>Active</v>
      </c>
      <c r="H1435" s="44" t="s">
        <v>2329</v>
      </c>
      <c r="I1435" s="44" t="s">
        <v>2330</v>
      </c>
      <c r="J1435" s="44" t="s">
        <v>2391</v>
      </c>
      <c r="K1435" s="44" t="s">
        <v>3679</v>
      </c>
      <c r="L1435" s="44" t="s">
        <v>2333</v>
      </c>
      <c r="M1435" s="43">
        <v>68</v>
      </c>
      <c r="N1435" s="113"/>
      <c r="O1435" s="113"/>
      <c r="P1435" s="113"/>
      <c r="Q1435" s="113"/>
      <c r="R1435" s="113"/>
      <c r="S1435" s="113"/>
      <c r="T1435" s="113"/>
      <c r="U1435" s="113"/>
      <c r="V1435" s="113"/>
      <c r="W1435" s="113"/>
      <c r="X1435" s="113" t="s">
        <v>1113</v>
      </c>
      <c r="Y1435" s="113"/>
      <c r="Z1435" s="113"/>
      <c r="AA1435" s="113"/>
      <c r="AB1435" s="113"/>
      <c r="AC1435" s="113"/>
      <c r="AD1435" s="113"/>
      <c r="AE1435" s="113"/>
      <c r="AF1435" s="113"/>
      <c r="AG1435" s="113"/>
      <c r="AH1435" s="113"/>
      <c r="AI1435" s="113"/>
      <c r="AJ1435" s="113"/>
      <c r="AK1435" s="113" t="s">
        <v>1113</v>
      </c>
      <c r="AL1435" s="113"/>
      <c r="AM1435" s="113"/>
      <c r="AN1435" s="113"/>
      <c r="AO1435" s="43" t="s">
        <v>2353</v>
      </c>
      <c r="AP1435" s="43"/>
      <c r="AQ1435" s="236" t="str">
        <f>VLOOKUP(Table8[[#This Row],[Instrument]],Def_Targets!$D$73:$E$159,2,FALSE)</f>
        <v>I_Hydrogen</v>
      </c>
      <c r="AR1435" s="233" t="str">
        <f>VLOOKUP(Table8[[#This Row],[Country Code]],Table29[],3,FALSE)</f>
        <v>Annex I</v>
      </c>
      <c r="AS1435" s="233" t="str">
        <f>VLOOKUP(Table8[[#This Row],[Country Code]],Table29[],4,FALSE)</f>
        <v>Europe</v>
      </c>
      <c r="AT1435" s="233" t="str">
        <f>VLOOKUP(Table8[[#This Row],[Country Code]],Table29[],5,FALSE)</f>
        <v>High-income</v>
      </c>
      <c r="AU1435" s="233" t="str">
        <f>VLOOKUP(Table8[[#This Row],[Country Code]],Table29[],6,FALSE)</f>
        <v>no</v>
      </c>
      <c r="AV1435" s="233" t="str">
        <f>VLOOKUP(Table8[[#This Row],[Country Code]],Table29[],7,FALSE)</f>
        <v>no</v>
      </c>
      <c r="AW1435" s="233" t="str">
        <f>VLOOKUP(Table8[[#This Row],[Country Code]],Table29[],8,FALSE)</f>
        <v>OECD</v>
      </c>
      <c r="AX1435" s="233" t="str">
        <f>VLOOKUP(Table8[[#This Row],[Country Code]],Table29[],9,FALSE)</f>
        <v>EU27</v>
      </c>
      <c r="AY1435" s="233" t="str">
        <f>VLOOKUP(Table8[[#This Row],[Country Code]],Table29[],10,FALSE)</f>
        <v>no</v>
      </c>
      <c r="AZ1435" s="235">
        <f>VLOOKUP(Table8[[#This Row],[Country Code]],Table29[],23,FALSE)</f>
        <v>7.8609330392057002</v>
      </c>
      <c r="BA1435" s="235">
        <f>VLOOKUP(Table8[[#This Row],[Country Code]],Table29[],24,FALSE)</f>
        <v>4.2423658408849461</v>
      </c>
      <c r="BB1435" s="320"/>
      <c r="BC1435" s="320"/>
    </row>
    <row r="1436" spans="1:55" ht="30" hidden="1" x14ac:dyDescent="0.25">
      <c r="A1436" s="373">
        <v>26781</v>
      </c>
      <c r="B1436" s="233" t="str">
        <f>VLOOKUP(Table8[[#This Row],[Document ID]],Table1[],2,FALSE)</f>
        <v>LUX</v>
      </c>
      <c r="C1436" s="233" t="str">
        <f>VLOOKUP(Table8[[#This Row],[Document ID]],Table1[],3,FALSE)</f>
        <v>Luxembourg</v>
      </c>
      <c r="D1436" s="243" t="str">
        <f>VLOOKUP(Table8[[#This Row],[Document ID]],Table1[],5,FALSE)</f>
        <v>LTS</v>
      </c>
      <c r="E1436" s="233" t="str">
        <f>VLOOKUP(Table8[[#This Row],[Document ID]],Table1[],7,FALSE)</f>
        <v>LTS</v>
      </c>
      <c r="F1436" s="233" t="str">
        <f>VLOOKUP(Table8[[#This Row],[Document ID]],Table1[],8,FALSE)</f>
        <v>LTS 1.0</v>
      </c>
      <c r="G1436" s="233" t="str">
        <f>VLOOKUP(Table8[[#This Row],[Document ID]],Table1[],10,FALSE)</f>
        <v>Active</v>
      </c>
      <c r="H1436" s="44" t="s">
        <v>2329</v>
      </c>
      <c r="I1436" s="44" t="s">
        <v>2330</v>
      </c>
      <c r="J1436" s="44" t="s">
        <v>2331</v>
      </c>
      <c r="K1436" s="44" t="s">
        <v>3679</v>
      </c>
      <c r="L1436" s="44" t="s">
        <v>2333</v>
      </c>
      <c r="M1436" s="43">
        <v>68</v>
      </c>
      <c r="N1436" s="113"/>
      <c r="O1436" s="113"/>
      <c r="P1436" s="113"/>
      <c r="Q1436" s="113"/>
      <c r="R1436" s="113"/>
      <c r="S1436" s="113"/>
      <c r="T1436" s="113"/>
      <c r="U1436" s="113"/>
      <c r="V1436" s="113"/>
      <c r="W1436" s="113"/>
      <c r="X1436" s="113" t="s">
        <v>1113</v>
      </c>
      <c r="Y1436" s="113"/>
      <c r="Z1436" s="113"/>
      <c r="AA1436" s="113"/>
      <c r="AB1436" s="113"/>
      <c r="AC1436" s="113"/>
      <c r="AD1436" s="113"/>
      <c r="AE1436" s="113"/>
      <c r="AF1436" s="113"/>
      <c r="AG1436" s="113"/>
      <c r="AH1436" s="113"/>
      <c r="AI1436" s="113"/>
      <c r="AJ1436" s="113"/>
      <c r="AK1436" s="113" t="s">
        <v>1113</v>
      </c>
      <c r="AL1436" s="113"/>
      <c r="AM1436" s="113"/>
      <c r="AN1436" s="113"/>
      <c r="AO1436" s="43" t="s">
        <v>2353</v>
      </c>
      <c r="AP1436" s="43"/>
      <c r="AQ1436" s="236" t="str">
        <f>VLOOKUP(Table8[[#This Row],[Instrument]],Def_Targets!$D$73:$E$159,2,FALSE)</f>
        <v>I_Altfuels</v>
      </c>
      <c r="AR1436" s="233" t="str">
        <f>VLOOKUP(Table8[[#This Row],[Country Code]],Table29[],3,FALSE)</f>
        <v>Annex I</v>
      </c>
      <c r="AS1436" s="233" t="str">
        <f>VLOOKUP(Table8[[#This Row],[Country Code]],Table29[],4,FALSE)</f>
        <v>Europe</v>
      </c>
      <c r="AT1436" s="233" t="str">
        <f>VLOOKUP(Table8[[#This Row],[Country Code]],Table29[],5,FALSE)</f>
        <v>High-income</v>
      </c>
      <c r="AU1436" s="233" t="str">
        <f>VLOOKUP(Table8[[#This Row],[Country Code]],Table29[],6,FALSE)</f>
        <v>no</v>
      </c>
      <c r="AV1436" s="233" t="str">
        <f>VLOOKUP(Table8[[#This Row],[Country Code]],Table29[],7,FALSE)</f>
        <v>no</v>
      </c>
      <c r="AW1436" s="233" t="str">
        <f>VLOOKUP(Table8[[#This Row],[Country Code]],Table29[],8,FALSE)</f>
        <v>OECD</v>
      </c>
      <c r="AX1436" s="233" t="str">
        <f>VLOOKUP(Table8[[#This Row],[Country Code]],Table29[],9,FALSE)</f>
        <v>EU27</v>
      </c>
      <c r="AY1436" s="233" t="str">
        <f>VLOOKUP(Table8[[#This Row],[Country Code]],Table29[],10,FALSE)</f>
        <v>no</v>
      </c>
      <c r="AZ1436" s="235">
        <f>VLOOKUP(Table8[[#This Row],[Country Code]],Table29[],23,FALSE)</f>
        <v>7.8609330392057002</v>
      </c>
      <c r="BA1436" s="235">
        <f>VLOOKUP(Table8[[#This Row],[Country Code]],Table29[],24,FALSE)</f>
        <v>4.2423658408849461</v>
      </c>
      <c r="BB1436" s="320"/>
      <c r="BC1436" s="320"/>
    </row>
    <row r="1437" spans="1:55" ht="30" hidden="1" x14ac:dyDescent="0.25">
      <c r="A1437" s="373">
        <v>26781</v>
      </c>
      <c r="B1437" s="233" t="str">
        <f>VLOOKUP(Table8[[#This Row],[Document ID]],Table1[],2,FALSE)</f>
        <v>LUX</v>
      </c>
      <c r="C1437" s="233" t="str">
        <f>VLOOKUP(Table8[[#This Row],[Document ID]],Table1[],3,FALSE)</f>
        <v>Luxembourg</v>
      </c>
      <c r="D1437" s="243" t="str">
        <f>VLOOKUP(Table8[[#This Row],[Document ID]],Table1[],5,FALSE)</f>
        <v>LTS</v>
      </c>
      <c r="E1437" s="233" t="str">
        <f>VLOOKUP(Table8[[#This Row],[Document ID]],Table1[],7,FALSE)</f>
        <v>LTS</v>
      </c>
      <c r="F1437" s="233" t="str">
        <f>VLOOKUP(Table8[[#This Row],[Document ID]],Table1[],8,FALSE)</f>
        <v>LTS 1.0</v>
      </c>
      <c r="G1437" s="233" t="str">
        <f>VLOOKUP(Table8[[#This Row],[Document ID]],Table1[],10,FALSE)</f>
        <v>Active</v>
      </c>
      <c r="H1437" s="43" t="s">
        <v>2343</v>
      </c>
      <c r="I1437" s="43" t="s">
        <v>2429</v>
      </c>
      <c r="J1437" s="44" t="s">
        <v>2430</v>
      </c>
      <c r="K1437" s="44" t="s">
        <v>3680</v>
      </c>
      <c r="L1437" s="44" t="s">
        <v>2333</v>
      </c>
      <c r="M1437" s="43">
        <v>68</v>
      </c>
      <c r="N1437" s="113" t="s">
        <v>1113</v>
      </c>
      <c r="O1437" s="113"/>
      <c r="P1437" s="113"/>
      <c r="Q1437" s="113"/>
      <c r="R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t="s">
        <v>1113</v>
      </c>
      <c r="AL1437" s="113"/>
      <c r="AM1437" s="113"/>
      <c r="AN1437" s="113"/>
      <c r="AO1437" s="43" t="s">
        <v>2353</v>
      </c>
      <c r="AP1437" s="43"/>
      <c r="AQ1437" s="236" t="str">
        <f>VLOOKUP(Table8[[#This Row],[Instrument]],Def_Targets!$D$73:$E$159,2,FALSE)</f>
        <v>I_ITS</v>
      </c>
      <c r="AR1437" s="233" t="str">
        <f>VLOOKUP(Table8[[#This Row],[Country Code]],Table29[],3,FALSE)</f>
        <v>Annex I</v>
      </c>
      <c r="AS1437" s="233" t="str">
        <f>VLOOKUP(Table8[[#This Row],[Country Code]],Table29[],4,FALSE)</f>
        <v>Europe</v>
      </c>
      <c r="AT1437" s="233" t="str">
        <f>VLOOKUP(Table8[[#This Row],[Country Code]],Table29[],5,FALSE)</f>
        <v>High-income</v>
      </c>
      <c r="AU1437" s="233" t="str">
        <f>VLOOKUP(Table8[[#This Row],[Country Code]],Table29[],6,FALSE)</f>
        <v>no</v>
      </c>
      <c r="AV1437" s="233" t="str">
        <f>VLOOKUP(Table8[[#This Row],[Country Code]],Table29[],7,FALSE)</f>
        <v>no</v>
      </c>
      <c r="AW1437" s="233" t="str">
        <f>VLOOKUP(Table8[[#This Row],[Country Code]],Table29[],8,FALSE)</f>
        <v>OECD</v>
      </c>
      <c r="AX1437" s="233" t="str">
        <f>VLOOKUP(Table8[[#This Row],[Country Code]],Table29[],9,FALSE)</f>
        <v>EU27</v>
      </c>
      <c r="AY1437" s="233" t="str">
        <f>VLOOKUP(Table8[[#This Row],[Country Code]],Table29[],10,FALSE)</f>
        <v>no</v>
      </c>
      <c r="AZ1437" s="235">
        <f>VLOOKUP(Table8[[#This Row],[Country Code]],Table29[],23,FALSE)</f>
        <v>7.8609330392057002</v>
      </c>
      <c r="BA1437" s="235">
        <f>VLOOKUP(Table8[[#This Row],[Country Code]],Table29[],24,FALSE)</f>
        <v>4.2423658408849461</v>
      </c>
      <c r="BB1437" s="320"/>
      <c r="BC1437" s="320"/>
    </row>
    <row r="1438" spans="1:55" ht="30" hidden="1" x14ac:dyDescent="0.25">
      <c r="A1438" s="373">
        <v>26781</v>
      </c>
      <c r="B1438" s="233" t="str">
        <f>VLOOKUP(Table8[[#This Row],[Document ID]],Table1[],2,FALSE)</f>
        <v>LUX</v>
      </c>
      <c r="C1438" s="233" t="str">
        <f>VLOOKUP(Table8[[#This Row],[Document ID]],Table1[],3,FALSE)</f>
        <v>Luxembourg</v>
      </c>
      <c r="D1438" s="243" t="str">
        <f>VLOOKUP(Table8[[#This Row],[Document ID]],Table1[],5,FALSE)</f>
        <v>LTS</v>
      </c>
      <c r="E1438" s="233" t="str">
        <f>VLOOKUP(Table8[[#This Row],[Document ID]],Table1[],7,FALSE)</f>
        <v>LTS</v>
      </c>
      <c r="F1438" s="233" t="str">
        <f>VLOOKUP(Table8[[#This Row],[Document ID]],Table1[],8,FALSE)</f>
        <v>LTS 1.0</v>
      </c>
      <c r="G1438" s="233" t="str">
        <f>VLOOKUP(Table8[[#This Row],[Document ID]],Table1[],10,FALSE)</f>
        <v>Active</v>
      </c>
      <c r="H1438" s="43" t="s">
        <v>2350</v>
      </c>
      <c r="I1438" s="43" t="s">
        <v>2351</v>
      </c>
      <c r="J1438" s="44" t="s">
        <v>2447</v>
      </c>
      <c r="K1438" s="44" t="s">
        <v>3681</v>
      </c>
      <c r="L1438" s="44" t="s">
        <v>2373</v>
      </c>
      <c r="M1438" s="43">
        <v>68</v>
      </c>
      <c r="N1438" s="113" t="s">
        <v>1291</v>
      </c>
      <c r="O1438" s="113"/>
      <c r="P1438" s="113"/>
      <c r="Q1438" s="113"/>
      <c r="R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t="s">
        <v>1291</v>
      </c>
      <c r="AL1438" s="113"/>
      <c r="AM1438" s="113"/>
      <c r="AN1438" s="113"/>
      <c r="AO1438" s="43" t="s">
        <v>2353</v>
      </c>
      <c r="AP1438" s="43"/>
      <c r="AQ1438" s="236" t="str">
        <f>VLOOKUP(Table8[[#This Row],[Instrument]],Def_Targets!$D$73:$E$159,2,FALSE)</f>
        <v>I_Freighteff</v>
      </c>
      <c r="AR1438" s="233" t="str">
        <f>VLOOKUP(Table8[[#This Row],[Country Code]],Table29[],3,FALSE)</f>
        <v>Annex I</v>
      </c>
      <c r="AS1438" s="233" t="str">
        <f>VLOOKUP(Table8[[#This Row],[Country Code]],Table29[],4,FALSE)</f>
        <v>Europe</v>
      </c>
      <c r="AT1438" s="233" t="str">
        <f>VLOOKUP(Table8[[#This Row],[Country Code]],Table29[],5,FALSE)</f>
        <v>High-income</v>
      </c>
      <c r="AU1438" s="233" t="str">
        <f>VLOOKUP(Table8[[#This Row],[Country Code]],Table29[],6,FALSE)</f>
        <v>no</v>
      </c>
      <c r="AV1438" s="233" t="str">
        <f>VLOOKUP(Table8[[#This Row],[Country Code]],Table29[],7,FALSE)</f>
        <v>no</v>
      </c>
      <c r="AW1438" s="233" t="str">
        <f>VLOOKUP(Table8[[#This Row],[Country Code]],Table29[],8,FALSE)</f>
        <v>OECD</v>
      </c>
      <c r="AX1438" s="233" t="str">
        <f>VLOOKUP(Table8[[#This Row],[Country Code]],Table29[],9,FALSE)</f>
        <v>EU27</v>
      </c>
      <c r="AY1438" s="233" t="str">
        <f>VLOOKUP(Table8[[#This Row],[Country Code]],Table29[],10,FALSE)</f>
        <v>no</v>
      </c>
      <c r="AZ1438" s="235">
        <f>VLOOKUP(Table8[[#This Row],[Country Code]],Table29[],23,FALSE)</f>
        <v>7.8609330392057002</v>
      </c>
      <c r="BA1438" s="235">
        <f>VLOOKUP(Table8[[#This Row],[Country Code]],Table29[],24,FALSE)</f>
        <v>4.2423658408849461</v>
      </c>
      <c r="BB1438" s="320"/>
      <c r="BC1438" s="320"/>
    </row>
    <row r="1439" spans="1:55" ht="45" hidden="1" x14ac:dyDescent="0.25">
      <c r="A1439" s="373">
        <v>26781</v>
      </c>
      <c r="B1439" s="233" t="str">
        <f>VLOOKUP(Table8[[#This Row],[Document ID]],Table1[],2,FALSE)</f>
        <v>LUX</v>
      </c>
      <c r="C1439" s="233" t="str">
        <f>VLOOKUP(Table8[[#This Row],[Document ID]],Table1[],3,FALSE)</f>
        <v>Luxembourg</v>
      </c>
      <c r="D1439" s="243" t="str">
        <f>VLOOKUP(Table8[[#This Row],[Document ID]],Table1[],5,FALSE)</f>
        <v>LTS</v>
      </c>
      <c r="E1439" s="233" t="str">
        <f>VLOOKUP(Table8[[#This Row],[Document ID]],Table1[],7,FALSE)</f>
        <v>LTS</v>
      </c>
      <c r="F1439" s="233" t="str">
        <f>VLOOKUP(Table8[[#This Row],[Document ID]],Table1[],8,FALSE)</f>
        <v>LTS 1.0</v>
      </c>
      <c r="G1439" s="233" t="str">
        <f>VLOOKUP(Table8[[#This Row],[Document ID]],Table1[],10,FALSE)</f>
        <v>Active</v>
      </c>
      <c r="H1439" s="43" t="s">
        <v>2350</v>
      </c>
      <c r="I1439" s="43" t="s">
        <v>2456</v>
      </c>
      <c r="J1439" s="44" t="s">
        <v>2457</v>
      </c>
      <c r="K1439" s="44" t="s">
        <v>3682</v>
      </c>
      <c r="L1439" s="44" t="s">
        <v>2347</v>
      </c>
      <c r="M1439" s="43">
        <v>63</v>
      </c>
      <c r="N1439" s="113"/>
      <c r="O1439" s="113"/>
      <c r="P1439" s="113"/>
      <c r="Q1439" s="113"/>
      <c r="R1439" s="113"/>
      <c r="S1439" s="113"/>
      <c r="T1439" s="113"/>
      <c r="U1439" s="113"/>
      <c r="V1439" s="113"/>
      <c r="W1439" s="113"/>
      <c r="X1439" s="113"/>
      <c r="Y1439" s="113"/>
      <c r="Z1439" s="113" t="s">
        <v>1291</v>
      </c>
      <c r="AA1439" s="113"/>
      <c r="AB1439" s="113"/>
      <c r="AC1439" s="113"/>
      <c r="AD1439" s="113"/>
      <c r="AE1439" s="113"/>
      <c r="AF1439" s="113"/>
      <c r="AG1439" s="113"/>
      <c r="AH1439" s="113"/>
      <c r="AI1439" s="113"/>
      <c r="AJ1439" s="113"/>
      <c r="AK1439" s="113" t="s">
        <v>1113</v>
      </c>
      <c r="AL1439" s="113"/>
      <c r="AM1439" s="113"/>
      <c r="AN1439" s="113"/>
      <c r="AO1439" s="44" t="s">
        <v>2334</v>
      </c>
      <c r="AP1439" s="43"/>
      <c r="AQ1439" s="236" t="str">
        <f>VLOOKUP(Table8[[#This Row],[Instrument]],Def_Targets!$D$73:$E$159,2,FALSE)</f>
        <v>S_Infraimprove</v>
      </c>
      <c r="AR1439" s="233" t="str">
        <f>VLOOKUP(Table8[[#This Row],[Country Code]],Table29[],3,FALSE)</f>
        <v>Annex I</v>
      </c>
      <c r="AS1439" s="233" t="str">
        <f>VLOOKUP(Table8[[#This Row],[Country Code]],Table29[],4,FALSE)</f>
        <v>Europe</v>
      </c>
      <c r="AT1439" s="233" t="str">
        <f>VLOOKUP(Table8[[#This Row],[Country Code]],Table29[],5,FALSE)</f>
        <v>High-income</v>
      </c>
      <c r="AU1439" s="233" t="str">
        <f>VLOOKUP(Table8[[#This Row],[Country Code]],Table29[],6,FALSE)</f>
        <v>no</v>
      </c>
      <c r="AV1439" s="233" t="str">
        <f>VLOOKUP(Table8[[#This Row],[Country Code]],Table29[],7,FALSE)</f>
        <v>no</v>
      </c>
      <c r="AW1439" s="233" t="str">
        <f>VLOOKUP(Table8[[#This Row],[Country Code]],Table29[],8,FALSE)</f>
        <v>OECD</v>
      </c>
      <c r="AX1439" s="233" t="str">
        <f>VLOOKUP(Table8[[#This Row],[Country Code]],Table29[],9,FALSE)</f>
        <v>EU27</v>
      </c>
      <c r="AY1439" s="233" t="str">
        <f>VLOOKUP(Table8[[#This Row],[Country Code]],Table29[],10,FALSE)</f>
        <v>no</v>
      </c>
      <c r="AZ1439" s="235">
        <f>VLOOKUP(Table8[[#This Row],[Country Code]],Table29[],23,FALSE)</f>
        <v>7.8609330392057002</v>
      </c>
      <c r="BA1439" s="235">
        <f>VLOOKUP(Table8[[#This Row],[Country Code]],Table29[],24,FALSE)</f>
        <v>4.2423658408849461</v>
      </c>
      <c r="BB1439" s="320"/>
      <c r="BC1439" s="320"/>
    </row>
    <row r="1440" spans="1:55" ht="45" hidden="1" x14ac:dyDescent="0.25">
      <c r="A1440" s="373">
        <v>26781</v>
      </c>
      <c r="B1440" s="233" t="str">
        <f>VLOOKUP(Table8[[#This Row],[Document ID]],Table1[],2,FALSE)</f>
        <v>LUX</v>
      </c>
      <c r="C1440" s="233" t="str">
        <f>VLOOKUP(Table8[[#This Row],[Document ID]],Table1[],3,FALSE)</f>
        <v>Luxembourg</v>
      </c>
      <c r="D1440" s="243" t="str">
        <f>VLOOKUP(Table8[[#This Row],[Document ID]],Table1[],5,FALSE)</f>
        <v>LTS</v>
      </c>
      <c r="E1440" s="233" t="str">
        <f>VLOOKUP(Table8[[#This Row],[Document ID]],Table1[],7,FALSE)</f>
        <v>LTS</v>
      </c>
      <c r="F1440" s="233" t="str">
        <f>VLOOKUP(Table8[[#This Row],[Document ID]],Table1[],8,FALSE)</f>
        <v>LTS 1.0</v>
      </c>
      <c r="G1440" s="233" t="str">
        <f>VLOOKUP(Table8[[#This Row],[Document ID]],Table1[],10,FALSE)</f>
        <v>Active</v>
      </c>
      <c r="H1440" s="43" t="s">
        <v>2343</v>
      </c>
      <c r="I1440" s="43" t="s">
        <v>2344</v>
      </c>
      <c r="J1440" s="44" t="s">
        <v>2405</v>
      </c>
      <c r="K1440" s="44" t="s">
        <v>3683</v>
      </c>
      <c r="L1440" s="44" t="s">
        <v>2347</v>
      </c>
      <c r="M1440" s="43" t="s">
        <v>3684</v>
      </c>
      <c r="N1440" s="113"/>
      <c r="O1440" s="113"/>
      <c r="P1440" s="113"/>
      <c r="Q1440" s="113"/>
      <c r="R1440" s="113"/>
      <c r="S1440" s="113"/>
      <c r="T1440" s="113"/>
      <c r="U1440" s="113"/>
      <c r="V1440" s="113"/>
      <c r="W1440" s="113"/>
      <c r="X1440" s="113"/>
      <c r="Y1440" s="113"/>
      <c r="Z1440" s="113" t="s">
        <v>1113</v>
      </c>
      <c r="AA1440" s="113"/>
      <c r="AB1440" s="113"/>
      <c r="AC1440" s="113"/>
      <c r="AD1440" s="113"/>
      <c r="AE1440" s="113"/>
      <c r="AF1440" s="113"/>
      <c r="AG1440" s="113"/>
      <c r="AH1440" s="113"/>
      <c r="AI1440" s="113"/>
      <c r="AJ1440" s="113"/>
      <c r="AK1440" s="113"/>
      <c r="AL1440" s="113" t="s">
        <v>1113</v>
      </c>
      <c r="AM1440" s="113"/>
      <c r="AN1440" s="113"/>
      <c r="AO1440" s="43" t="s">
        <v>2348</v>
      </c>
      <c r="AP1440" s="43"/>
      <c r="AQ1440" s="236" t="str">
        <f>VLOOKUP(Table8[[#This Row],[Instrument]],Def_Targets!$D$73:$E$159,2,FALSE)</f>
        <v>S_PTIntegration</v>
      </c>
      <c r="AR1440" s="233" t="str">
        <f>VLOOKUP(Table8[[#This Row],[Country Code]],Table29[],3,FALSE)</f>
        <v>Annex I</v>
      </c>
      <c r="AS1440" s="233" t="str">
        <f>VLOOKUP(Table8[[#This Row],[Country Code]],Table29[],4,FALSE)</f>
        <v>Europe</v>
      </c>
      <c r="AT1440" s="233" t="str">
        <f>VLOOKUP(Table8[[#This Row],[Country Code]],Table29[],5,FALSE)</f>
        <v>High-income</v>
      </c>
      <c r="AU1440" s="233" t="str">
        <f>VLOOKUP(Table8[[#This Row],[Country Code]],Table29[],6,FALSE)</f>
        <v>no</v>
      </c>
      <c r="AV1440" s="233" t="str">
        <f>VLOOKUP(Table8[[#This Row],[Country Code]],Table29[],7,FALSE)</f>
        <v>no</v>
      </c>
      <c r="AW1440" s="233" t="str">
        <f>VLOOKUP(Table8[[#This Row],[Country Code]],Table29[],8,FALSE)</f>
        <v>OECD</v>
      </c>
      <c r="AX1440" s="233" t="str">
        <f>VLOOKUP(Table8[[#This Row],[Country Code]],Table29[],9,FALSE)</f>
        <v>EU27</v>
      </c>
      <c r="AY1440" s="233" t="str">
        <f>VLOOKUP(Table8[[#This Row],[Country Code]],Table29[],10,FALSE)</f>
        <v>no</v>
      </c>
      <c r="AZ1440" s="235">
        <f>VLOOKUP(Table8[[#This Row],[Country Code]],Table29[],23,FALSE)</f>
        <v>7.8609330392057002</v>
      </c>
      <c r="BA1440" s="235">
        <f>VLOOKUP(Table8[[#This Row],[Country Code]],Table29[],24,FALSE)</f>
        <v>4.2423658408849461</v>
      </c>
      <c r="BB1440" s="320"/>
      <c r="BC1440" s="320"/>
    </row>
    <row r="1441" spans="1:55" ht="45" hidden="1" x14ac:dyDescent="0.25">
      <c r="A1441" s="373">
        <v>26781</v>
      </c>
      <c r="B1441" s="233" t="str">
        <f>VLOOKUP(Table8[[#This Row],[Document ID]],Table1[],2,FALSE)</f>
        <v>LUX</v>
      </c>
      <c r="C1441" s="233" t="str">
        <f>VLOOKUP(Table8[[#This Row],[Document ID]],Table1[],3,FALSE)</f>
        <v>Luxembourg</v>
      </c>
      <c r="D1441" s="243" t="str">
        <f>VLOOKUP(Table8[[#This Row],[Document ID]],Table1[],5,FALSE)</f>
        <v>LTS</v>
      </c>
      <c r="E1441" s="233" t="str">
        <f>VLOOKUP(Table8[[#This Row],[Document ID]],Table1[],7,FALSE)</f>
        <v>LTS</v>
      </c>
      <c r="F1441" s="233" t="str">
        <f>VLOOKUP(Table8[[#This Row],[Document ID]],Table1[],8,FALSE)</f>
        <v>LTS 1.0</v>
      </c>
      <c r="G1441" s="233" t="str">
        <f>VLOOKUP(Table8[[#This Row],[Document ID]],Table1[],10,FALSE)</f>
        <v>Active</v>
      </c>
      <c r="H1441" s="43" t="s">
        <v>2343</v>
      </c>
      <c r="I1441" s="43" t="s">
        <v>2386</v>
      </c>
      <c r="J1441" s="44" t="s">
        <v>2397</v>
      </c>
      <c r="K1441" s="44" t="s">
        <v>3685</v>
      </c>
      <c r="L1441" s="44" t="s">
        <v>2373</v>
      </c>
      <c r="M1441" s="43">
        <v>68</v>
      </c>
      <c r="N1441" s="113" t="s">
        <v>1291</v>
      </c>
      <c r="O1441" s="113"/>
      <c r="P1441" s="113"/>
      <c r="Q1441" s="113"/>
      <c r="R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t="s">
        <v>1113</v>
      </c>
      <c r="AL1441" s="113"/>
      <c r="AM1441" s="113"/>
      <c r="AN1441" s="113"/>
      <c r="AO1441" s="43" t="s">
        <v>2353</v>
      </c>
      <c r="AP1441" s="43"/>
      <c r="AQ1441" s="236" t="str">
        <f>VLOOKUP(Table8[[#This Row],[Instrument]],Def_Targets!$D$73:$E$159,2,FALSE)</f>
        <v>A_Finance</v>
      </c>
      <c r="AR1441" s="233" t="str">
        <f>VLOOKUP(Table8[[#This Row],[Country Code]],Table29[],3,FALSE)</f>
        <v>Annex I</v>
      </c>
      <c r="AS1441" s="233" t="str">
        <f>VLOOKUP(Table8[[#This Row],[Country Code]],Table29[],4,FALSE)</f>
        <v>Europe</v>
      </c>
      <c r="AT1441" s="233" t="str">
        <f>VLOOKUP(Table8[[#This Row],[Country Code]],Table29[],5,FALSE)</f>
        <v>High-income</v>
      </c>
      <c r="AU1441" s="233" t="str">
        <f>VLOOKUP(Table8[[#This Row],[Country Code]],Table29[],6,FALSE)</f>
        <v>no</v>
      </c>
      <c r="AV1441" s="233" t="str">
        <f>VLOOKUP(Table8[[#This Row],[Country Code]],Table29[],7,FALSE)</f>
        <v>no</v>
      </c>
      <c r="AW1441" s="233" t="str">
        <f>VLOOKUP(Table8[[#This Row],[Country Code]],Table29[],8,FALSE)</f>
        <v>OECD</v>
      </c>
      <c r="AX1441" s="233" t="str">
        <f>VLOOKUP(Table8[[#This Row],[Country Code]],Table29[],9,FALSE)</f>
        <v>EU27</v>
      </c>
      <c r="AY1441" s="233" t="str">
        <f>VLOOKUP(Table8[[#This Row],[Country Code]],Table29[],10,FALSE)</f>
        <v>no</v>
      </c>
      <c r="AZ1441" s="235">
        <f>VLOOKUP(Table8[[#This Row],[Country Code]],Table29[],23,FALSE)</f>
        <v>7.8609330392057002</v>
      </c>
      <c r="BA1441" s="235">
        <f>VLOOKUP(Table8[[#This Row],[Country Code]],Table29[],24,FALSE)</f>
        <v>4.2423658408849461</v>
      </c>
      <c r="BB1441" s="320"/>
      <c r="BC1441" s="320"/>
    </row>
    <row r="1442" spans="1:55" ht="90" hidden="1" x14ac:dyDescent="0.25">
      <c r="A1442" s="373">
        <v>26781</v>
      </c>
      <c r="B1442" s="233" t="str">
        <f>VLOOKUP(Table8[[#This Row],[Document ID]],Table1[],2,FALSE)</f>
        <v>LUX</v>
      </c>
      <c r="C1442" s="233" t="str">
        <f>VLOOKUP(Table8[[#This Row],[Document ID]],Table1[],3,FALSE)</f>
        <v>Luxembourg</v>
      </c>
      <c r="D1442" s="243" t="str">
        <f>VLOOKUP(Table8[[#This Row],[Document ID]],Table1[],5,FALSE)</f>
        <v>LTS</v>
      </c>
      <c r="E1442" s="233" t="str">
        <f>VLOOKUP(Table8[[#This Row],[Document ID]],Table1[],7,FALSE)</f>
        <v>LTS</v>
      </c>
      <c r="F1442" s="233" t="str">
        <f>VLOOKUP(Table8[[#This Row],[Document ID]],Table1[],8,FALSE)</f>
        <v>LTS 1.0</v>
      </c>
      <c r="G1442" s="233" t="str">
        <f>VLOOKUP(Table8[[#This Row],[Document ID]],Table1[],10,FALSE)</f>
        <v>Active</v>
      </c>
      <c r="H1442" s="43" t="s">
        <v>2343</v>
      </c>
      <c r="I1442" s="43" t="s">
        <v>2344</v>
      </c>
      <c r="J1442" s="44" t="s">
        <v>2405</v>
      </c>
      <c r="K1442" s="44" t="s">
        <v>3686</v>
      </c>
      <c r="L1442" s="44" t="s">
        <v>2347</v>
      </c>
      <c r="M1442" s="43">
        <v>64</v>
      </c>
      <c r="N1442" s="113"/>
      <c r="O1442" s="113"/>
      <c r="P1442" s="113"/>
      <c r="Q1442" s="113"/>
      <c r="R1442" s="113"/>
      <c r="S1442" s="113"/>
      <c r="T1442" s="113"/>
      <c r="U1442" s="113"/>
      <c r="V1442" s="113"/>
      <c r="W1442" s="113"/>
      <c r="X1442" s="113"/>
      <c r="Y1442" s="113" t="s">
        <v>1113</v>
      </c>
      <c r="Z1442" s="113"/>
      <c r="AA1442" s="113"/>
      <c r="AB1442" s="113"/>
      <c r="AC1442" s="113"/>
      <c r="AD1442" s="113"/>
      <c r="AE1442" s="113"/>
      <c r="AF1442" s="113"/>
      <c r="AG1442" s="113"/>
      <c r="AH1442" s="113"/>
      <c r="AI1442" s="113"/>
      <c r="AJ1442" s="113"/>
      <c r="AK1442" s="113"/>
      <c r="AL1442" s="113" t="s">
        <v>1113</v>
      </c>
      <c r="AM1442" s="113"/>
      <c r="AN1442" s="113"/>
      <c r="AO1442" s="43" t="s">
        <v>2348</v>
      </c>
      <c r="AP1442" s="43"/>
      <c r="AQ1442" s="236" t="str">
        <f>VLOOKUP(Table8[[#This Row],[Instrument]],Def_Targets!$D$73:$E$159,2,FALSE)</f>
        <v>S_PTIntegration</v>
      </c>
      <c r="AR1442" s="233" t="str">
        <f>VLOOKUP(Table8[[#This Row],[Country Code]],Table29[],3,FALSE)</f>
        <v>Annex I</v>
      </c>
      <c r="AS1442" s="233" t="str">
        <f>VLOOKUP(Table8[[#This Row],[Country Code]],Table29[],4,FALSE)</f>
        <v>Europe</v>
      </c>
      <c r="AT1442" s="233" t="str">
        <f>VLOOKUP(Table8[[#This Row],[Country Code]],Table29[],5,FALSE)</f>
        <v>High-income</v>
      </c>
      <c r="AU1442" s="233" t="str">
        <f>VLOOKUP(Table8[[#This Row],[Country Code]],Table29[],6,FALSE)</f>
        <v>no</v>
      </c>
      <c r="AV1442" s="233" t="str">
        <f>VLOOKUP(Table8[[#This Row],[Country Code]],Table29[],7,FALSE)</f>
        <v>no</v>
      </c>
      <c r="AW1442" s="233" t="str">
        <f>VLOOKUP(Table8[[#This Row],[Country Code]],Table29[],8,FALSE)</f>
        <v>OECD</v>
      </c>
      <c r="AX1442" s="233" t="str">
        <f>VLOOKUP(Table8[[#This Row],[Country Code]],Table29[],9,FALSE)</f>
        <v>EU27</v>
      </c>
      <c r="AY1442" s="233" t="str">
        <f>VLOOKUP(Table8[[#This Row],[Country Code]],Table29[],10,FALSE)</f>
        <v>no</v>
      </c>
      <c r="AZ1442" s="235">
        <f>VLOOKUP(Table8[[#This Row],[Country Code]],Table29[],23,FALSE)</f>
        <v>7.8609330392057002</v>
      </c>
      <c r="BA1442" s="235">
        <f>VLOOKUP(Table8[[#This Row],[Country Code]],Table29[],24,FALSE)</f>
        <v>4.2423658408849461</v>
      </c>
      <c r="BB1442" s="320"/>
      <c r="BC1442" s="320"/>
    </row>
    <row r="1443" spans="1:55" ht="45" hidden="1" x14ac:dyDescent="0.25">
      <c r="A1443" s="373">
        <v>17670</v>
      </c>
      <c r="B1443" s="233" t="str">
        <f>VLOOKUP(Table8[[#This Row],[Document ID]],Table1[],2,FALSE)</f>
        <v>MOZ</v>
      </c>
      <c r="C1443" s="233" t="str">
        <f>VLOOKUP(Table8[[#This Row],[Document ID]],Table1[],3,FALSE)</f>
        <v>Mozambique</v>
      </c>
      <c r="D1443" s="243" t="str">
        <f>VLOOKUP(Table8[[#This Row],[Document ID]],Table1[],5,FALSE)</f>
        <v>NDC</v>
      </c>
      <c r="E1443" s="233" t="str">
        <f>VLOOKUP(Table8[[#This Row],[Document ID]],Table1[],7,FALSE)</f>
        <v>First NDC</v>
      </c>
      <c r="F1443" s="236" t="str">
        <f>VLOOKUP(Table8[[#This Row],[Document ID]],Table1[],8,FALSE)</f>
        <v>NDC 1.0</v>
      </c>
      <c r="G1443" s="236" t="str">
        <f>VLOOKUP(Table8[[#This Row],[Document ID]],Table1[],10,FALSE)</f>
        <v>Archived</v>
      </c>
      <c r="H1443" s="43" t="s">
        <v>2343</v>
      </c>
      <c r="I1443" s="43" t="s">
        <v>2344</v>
      </c>
      <c r="J1443" s="44" t="s">
        <v>2549</v>
      </c>
      <c r="K1443" s="44" t="s">
        <v>3687</v>
      </c>
      <c r="L1443" s="44" t="s">
        <v>2347</v>
      </c>
      <c r="M1443" s="43"/>
      <c r="N1443" s="113"/>
      <c r="O1443" s="113"/>
      <c r="P1443" s="113"/>
      <c r="Q1443" s="319"/>
      <c r="R1443" s="319"/>
      <c r="S1443" s="319"/>
      <c r="T1443" s="319"/>
      <c r="U1443" s="319"/>
      <c r="V1443" s="319"/>
      <c r="W1443" s="319"/>
      <c r="X1443" s="319"/>
      <c r="Y1443" s="113" t="s">
        <v>1113</v>
      </c>
      <c r="Z1443" s="113"/>
      <c r="AA1443" s="319"/>
      <c r="AB1443" s="319"/>
      <c r="AC1443" s="319"/>
      <c r="AD1443" s="319"/>
      <c r="AE1443" s="319"/>
      <c r="AF1443" s="319"/>
      <c r="AG1443" s="319"/>
      <c r="AH1443" s="319"/>
      <c r="AI1443" s="319"/>
      <c r="AJ1443" s="319"/>
      <c r="AK1443" s="319"/>
      <c r="AL1443" s="113" t="s">
        <v>1113</v>
      </c>
      <c r="AM1443" s="319"/>
      <c r="AN1443" s="319"/>
      <c r="AO1443" s="43" t="s">
        <v>2348</v>
      </c>
      <c r="AP1443" s="44"/>
      <c r="AQ1443" s="236" t="str">
        <f>VLOOKUP(Table8[[#This Row],[Instrument]],Def_Targets!$D$73:$E$159,2,FALSE)</f>
        <v>S_BRT</v>
      </c>
      <c r="AR1443" s="233" t="str">
        <f>VLOOKUP(Table8[[#This Row],[Country Code]],Table29[],3,FALSE)</f>
        <v>Non-Annex I</v>
      </c>
      <c r="AS1443" s="233" t="str">
        <f>VLOOKUP(Table8[[#This Row],[Country Code]],Table29[],4,FALSE)</f>
        <v>Africa</v>
      </c>
      <c r="AT1443" s="233" t="str">
        <f>VLOOKUP(Table8[[#This Row],[Country Code]],Table29[],5,FALSE)</f>
        <v>Low-income</v>
      </c>
      <c r="AU1443" s="233" t="str">
        <f>VLOOKUP(Table8[[#This Row],[Country Code]],Table29[],6,FALSE)</f>
        <v>no</v>
      </c>
      <c r="AV1443" s="233" t="str">
        <f>VLOOKUP(Table8[[#This Row],[Country Code]],Table29[],7,FALSE)</f>
        <v>no</v>
      </c>
      <c r="AW1443" s="233" t="str">
        <f>VLOOKUP(Table8[[#This Row],[Country Code]],Table29[],8,FALSE)</f>
        <v>non-OECD</v>
      </c>
      <c r="AX1443" s="233" t="str">
        <f>VLOOKUP(Table8[[#This Row],[Country Code]],Table29[],9,FALSE)</f>
        <v>no</v>
      </c>
      <c r="AY1443" s="233" t="str">
        <f>VLOOKUP(Table8[[#This Row],[Country Code]],Table29[],10,FALSE)</f>
        <v>no</v>
      </c>
      <c r="AZ1443" s="235">
        <f>VLOOKUP(Table8[[#This Row],[Country Code]],Table29[],23,FALSE)</f>
        <v>33.953984042408003</v>
      </c>
      <c r="BA1443" s="235">
        <f>VLOOKUP(Table8[[#This Row],[Country Code]],Table29[],24,FALSE)</f>
        <v>3.9936406306970689</v>
      </c>
      <c r="BB1443" s="320"/>
      <c r="BC1443" s="320"/>
    </row>
    <row r="1444" spans="1:55" ht="60" hidden="1" x14ac:dyDescent="0.25">
      <c r="A1444" s="373">
        <v>24791</v>
      </c>
      <c r="B1444" s="233" t="str">
        <f>VLOOKUP(Table8[[#This Row],[Document ID]],Table1[],2,FALSE)</f>
        <v>MOZ</v>
      </c>
      <c r="C1444" s="233" t="str">
        <f>VLOOKUP(Table8[[#This Row],[Document ID]],Table1[],3,FALSE)</f>
        <v>Mozambique</v>
      </c>
      <c r="D1444" s="243" t="str">
        <f>VLOOKUP(Table8[[#This Row],[Document ID]],Table1[],5,FALSE)</f>
        <v>NDC</v>
      </c>
      <c r="E1444" s="233" t="str">
        <f>VLOOKUP(Table8[[#This Row],[Document ID]],Table1[],7,FALSE)</f>
        <v>First NDC updated</v>
      </c>
      <c r="F1444" s="233" t="str">
        <f>VLOOKUP(Table8[[#This Row],[Document ID]],Table1[],8,FALSE)</f>
        <v>NDC 1.1</v>
      </c>
      <c r="G1444" s="233" t="str">
        <f>VLOOKUP(Table8[[#This Row],[Document ID]],Table1[],10,FALSE)</f>
        <v>Active</v>
      </c>
      <c r="H1444" s="44" t="s">
        <v>2329</v>
      </c>
      <c r="I1444" s="44" t="s">
        <v>2330</v>
      </c>
      <c r="J1444" s="44" t="s">
        <v>2363</v>
      </c>
      <c r="K1444" s="44" t="s">
        <v>1878</v>
      </c>
      <c r="L1444" s="44" t="s">
        <v>2333</v>
      </c>
      <c r="M1444" s="43">
        <v>77</v>
      </c>
      <c r="N1444" s="113"/>
      <c r="O1444" s="113"/>
      <c r="P1444" s="113"/>
      <c r="Q1444" s="113"/>
      <c r="R1444" s="113"/>
      <c r="S1444" s="113"/>
      <c r="T1444" s="113"/>
      <c r="U1444" s="113" t="s">
        <v>1113</v>
      </c>
      <c r="V1444" s="113"/>
      <c r="W1444" s="113"/>
      <c r="X1444" s="113"/>
      <c r="Y1444" s="113" t="s">
        <v>1113</v>
      </c>
      <c r="Z1444" s="113"/>
      <c r="AA1444" s="113"/>
      <c r="AB1444" s="113"/>
      <c r="AC1444" s="113"/>
      <c r="AD1444" s="113"/>
      <c r="AE1444" s="113"/>
      <c r="AF1444" s="113"/>
      <c r="AG1444" s="113"/>
      <c r="AH1444" s="113"/>
      <c r="AI1444" s="113"/>
      <c r="AJ1444" s="113"/>
      <c r="AK1444" s="113" t="s">
        <v>1113</v>
      </c>
      <c r="AL1444" s="113"/>
      <c r="AM1444" s="113"/>
      <c r="AN1444" s="113"/>
      <c r="AO1444" s="44" t="s">
        <v>2334</v>
      </c>
      <c r="AP1444" s="43"/>
      <c r="AQ1444" s="236" t="str">
        <f>VLOOKUP(Table8[[#This Row],[Instrument]],Def_Targets!$D$73:$E$159,2,FALSE)</f>
        <v>I_LPGCNGLNG</v>
      </c>
      <c r="AR1444" s="233" t="str">
        <f>VLOOKUP(Table8[[#This Row],[Country Code]],Table29[],3,FALSE)</f>
        <v>Non-Annex I</v>
      </c>
      <c r="AS1444" s="233" t="str">
        <f>VLOOKUP(Table8[[#This Row],[Country Code]],Table29[],4,FALSE)</f>
        <v>Africa</v>
      </c>
      <c r="AT1444" s="233" t="str">
        <f>VLOOKUP(Table8[[#This Row],[Country Code]],Table29[],5,FALSE)</f>
        <v>Low-income</v>
      </c>
      <c r="AU1444" s="233" t="str">
        <f>VLOOKUP(Table8[[#This Row],[Country Code]],Table29[],6,FALSE)</f>
        <v>no</v>
      </c>
      <c r="AV1444" s="233" t="str">
        <f>VLOOKUP(Table8[[#This Row],[Country Code]],Table29[],7,FALSE)</f>
        <v>no</v>
      </c>
      <c r="AW1444" s="233" t="str">
        <f>VLOOKUP(Table8[[#This Row],[Country Code]],Table29[],8,FALSE)</f>
        <v>non-OECD</v>
      </c>
      <c r="AX1444" s="233" t="str">
        <f>VLOOKUP(Table8[[#This Row],[Country Code]],Table29[],9,FALSE)</f>
        <v>no</v>
      </c>
      <c r="AY1444" s="233" t="str">
        <f>VLOOKUP(Table8[[#This Row],[Country Code]],Table29[],10,FALSE)</f>
        <v>no</v>
      </c>
      <c r="AZ1444" s="235">
        <f>VLOOKUP(Table8[[#This Row],[Country Code]],Table29[],23,FALSE)</f>
        <v>33.953984042408003</v>
      </c>
      <c r="BA1444" s="235">
        <f>VLOOKUP(Table8[[#This Row],[Country Code]],Table29[],24,FALSE)</f>
        <v>3.9936406306970689</v>
      </c>
      <c r="BB1444" s="320"/>
      <c r="BC1444" s="320"/>
    </row>
    <row r="1445" spans="1:55" hidden="1" x14ac:dyDescent="0.25">
      <c r="A1445" s="373">
        <v>24791</v>
      </c>
      <c r="B1445" s="233" t="str">
        <f>VLOOKUP(Table8[[#This Row],[Document ID]],Table1[],2,FALSE)</f>
        <v>MOZ</v>
      </c>
      <c r="C1445" s="233" t="str">
        <f>VLOOKUP(Table8[[#This Row],[Document ID]],Table1[],3,FALSE)</f>
        <v>Mozambique</v>
      </c>
      <c r="D1445" s="243" t="str">
        <f>VLOOKUP(Table8[[#This Row],[Document ID]],Table1[],5,FALSE)</f>
        <v>NDC</v>
      </c>
      <c r="E1445" s="233" t="str">
        <f>VLOOKUP(Table8[[#This Row],[Document ID]],Table1[],7,FALSE)</f>
        <v>First NDC updated</v>
      </c>
      <c r="F1445" s="233" t="str">
        <f>VLOOKUP(Table8[[#This Row],[Document ID]],Table1[],8,FALSE)</f>
        <v>NDC 1.1</v>
      </c>
      <c r="G1445" s="233" t="str">
        <f>VLOOKUP(Table8[[#This Row],[Document ID]],Table1[],10,FALSE)</f>
        <v>Active</v>
      </c>
      <c r="H1445" s="44" t="s">
        <v>2338</v>
      </c>
      <c r="I1445" s="44" t="s">
        <v>2339</v>
      </c>
      <c r="J1445" s="44" t="s">
        <v>2451</v>
      </c>
      <c r="K1445" s="44" t="s">
        <v>3688</v>
      </c>
      <c r="L1445" s="44" t="s">
        <v>2333</v>
      </c>
      <c r="M1445" s="43">
        <v>77</v>
      </c>
      <c r="N1445" s="113"/>
      <c r="O1445" s="113"/>
      <c r="P1445" s="113"/>
      <c r="Q1445" s="113"/>
      <c r="R1445" s="113"/>
      <c r="S1445" s="113"/>
      <c r="T1445" s="113"/>
      <c r="U1445" s="113"/>
      <c r="V1445" s="113"/>
      <c r="W1445" s="113"/>
      <c r="X1445" s="113"/>
      <c r="Y1445" s="113" t="s">
        <v>1113</v>
      </c>
      <c r="Z1445" s="113"/>
      <c r="AA1445" s="113"/>
      <c r="AB1445" s="113"/>
      <c r="AC1445" s="113"/>
      <c r="AD1445" s="113"/>
      <c r="AE1445" s="113"/>
      <c r="AF1445" s="113"/>
      <c r="AG1445" s="113"/>
      <c r="AH1445" s="113"/>
      <c r="AI1445" s="113"/>
      <c r="AJ1445" s="113"/>
      <c r="AK1445" s="113"/>
      <c r="AL1445" s="113" t="s">
        <v>1113</v>
      </c>
      <c r="AM1445" s="113"/>
      <c r="AN1445" s="113"/>
      <c r="AO1445" s="43" t="s">
        <v>2348</v>
      </c>
      <c r="AP1445" s="43"/>
      <c r="AQ1445" s="236" t="str">
        <f>VLOOKUP(Table8[[#This Row],[Instrument]],Def_Targets!$D$73:$E$159,2,FALSE)</f>
        <v>I_Inspection</v>
      </c>
      <c r="AR1445" s="233" t="str">
        <f>VLOOKUP(Table8[[#This Row],[Country Code]],Table29[],3,FALSE)</f>
        <v>Non-Annex I</v>
      </c>
      <c r="AS1445" s="233" t="str">
        <f>VLOOKUP(Table8[[#This Row],[Country Code]],Table29[],4,FALSE)</f>
        <v>Africa</v>
      </c>
      <c r="AT1445" s="233" t="str">
        <f>VLOOKUP(Table8[[#This Row],[Country Code]],Table29[],5,FALSE)</f>
        <v>Low-income</v>
      </c>
      <c r="AU1445" s="233" t="str">
        <f>VLOOKUP(Table8[[#This Row],[Country Code]],Table29[],6,FALSE)</f>
        <v>no</v>
      </c>
      <c r="AV1445" s="233" t="str">
        <f>VLOOKUP(Table8[[#This Row],[Country Code]],Table29[],7,FALSE)</f>
        <v>no</v>
      </c>
      <c r="AW1445" s="233" t="str">
        <f>VLOOKUP(Table8[[#This Row],[Country Code]],Table29[],8,FALSE)</f>
        <v>non-OECD</v>
      </c>
      <c r="AX1445" s="233" t="str">
        <f>VLOOKUP(Table8[[#This Row],[Country Code]],Table29[],9,FALSE)</f>
        <v>no</v>
      </c>
      <c r="AY1445" s="233" t="str">
        <f>VLOOKUP(Table8[[#This Row],[Country Code]],Table29[],10,FALSE)</f>
        <v>no</v>
      </c>
      <c r="AZ1445" s="235">
        <f>VLOOKUP(Table8[[#This Row],[Country Code]],Table29[],23,FALSE)</f>
        <v>33.953984042408003</v>
      </c>
      <c r="BA1445" s="235">
        <f>VLOOKUP(Table8[[#This Row],[Country Code]],Table29[],24,FALSE)</f>
        <v>3.9936406306970689</v>
      </c>
      <c r="BB1445" s="320"/>
      <c r="BC1445" s="320"/>
    </row>
    <row r="1446" spans="1:55" hidden="1" x14ac:dyDescent="0.25">
      <c r="A1446" s="373">
        <v>24791</v>
      </c>
      <c r="B1446" s="233" t="str">
        <f>VLOOKUP(Table8[[#This Row],[Document ID]],Table1[],2,FALSE)</f>
        <v>MOZ</v>
      </c>
      <c r="C1446" s="233" t="str">
        <f>VLOOKUP(Table8[[#This Row],[Document ID]],Table1[],3,FALSE)</f>
        <v>Mozambique</v>
      </c>
      <c r="D1446" s="243" t="str">
        <f>VLOOKUP(Table8[[#This Row],[Document ID]],Table1[],5,FALSE)</f>
        <v>NDC</v>
      </c>
      <c r="E1446" s="233" t="str">
        <f>VLOOKUP(Table8[[#This Row],[Document ID]],Table1[],7,FALSE)</f>
        <v>First NDC updated</v>
      </c>
      <c r="F1446" s="233" t="str">
        <f>VLOOKUP(Table8[[#This Row],[Document ID]],Table1[],8,FALSE)</f>
        <v>NDC 1.1</v>
      </c>
      <c r="G1446" s="233" t="str">
        <f>VLOOKUP(Table8[[#This Row],[Document ID]],Table1[],10,FALSE)</f>
        <v>Active</v>
      </c>
      <c r="H1446" s="43" t="s">
        <v>2343</v>
      </c>
      <c r="I1446" s="43" t="s">
        <v>2344</v>
      </c>
      <c r="J1446" s="44" t="s">
        <v>2345</v>
      </c>
      <c r="K1446" s="44" t="s">
        <v>3689</v>
      </c>
      <c r="L1446" s="44" t="s">
        <v>2347</v>
      </c>
      <c r="M1446" s="43">
        <v>77</v>
      </c>
      <c r="N1446" s="113"/>
      <c r="O1446" s="113"/>
      <c r="P1446" s="113"/>
      <c r="Q1446" s="113"/>
      <c r="R1446" s="113"/>
      <c r="S1446" s="113"/>
      <c r="T1446" s="113"/>
      <c r="U1446" s="113"/>
      <c r="V1446" s="113"/>
      <c r="W1446" s="113"/>
      <c r="X1446" s="113"/>
      <c r="Y1446" s="113" t="s">
        <v>1113</v>
      </c>
      <c r="Z1446" s="113"/>
      <c r="AA1446" s="113"/>
      <c r="AB1446" s="113"/>
      <c r="AC1446" s="113"/>
      <c r="AD1446" s="113"/>
      <c r="AE1446" s="113"/>
      <c r="AF1446" s="113"/>
      <c r="AG1446" s="113"/>
      <c r="AH1446" s="113"/>
      <c r="AI1446" s="113"/>
      <c r="AJ1446" s="113"/>
      <c r="AK1446" s="113"/>
      <c r="AL1446" s="113" t="s">
        <v>1113</v>
      </c>
      <c r="AM1446" s="113"/>
      <c r="AN1446" s="113"/>
      <c r="AO1446" s="43" t="s">
        <v>2348</v>
      </c>
      <c r="AP1446" s="43"/>
      <c r="AQ1446" s="236" t="str">
        <f>VLOOKUP(Table8[[#This Row],[Instrument]],Def_Targets!$D$73:$E$159,2,FALSE)</f>
        <v>S_PublicTransport</v>
      </c>
      <c r="AR1446" s="233" t="str">
        <f>VLOOKUP(Table8[[#This Row],[Country Code]],Table29[],3,FALSE)</f>
        <v>Non-Annex I</v>
      </c>
      <c r="AS1446" s="233" t="str">
        <f>VLOOKUP(Table8[[#This Row],[Country Code]],Table29[],4,FALSE)</f>
        <v>Africa</v>
      </c>
      <c r="AT1446" s="233" t="str">
        <f>VLOOKUP(Table8[[#This Row],[Country Code]],Table29[],5,FALSE)</f>
        <v>Low-income</v>
      </c>
      <c r="AU1446" s="233" t="str">
        <f>VLOOKUP(Table8[[#This Row],[Country Code]],Table29[],6,FALSE)</f>
        <v>no</v>
      </c>
      <c r="AV1446" s="233" t="str">
        <f>VLOOKUP(Table8[[#This Row],[Country Code]],Table29[],7,FALSE)</f>
        <v>no</v>
      </c>
      <c r="AW1446" s="233" t="str">
        <f>VLOOKUP(Table8[[#This Row],[Country Code]],Table29[],8,FALSE)</f>
        <v>non-OECD</v>
      </c>
      <c r="AX1446" s="233" t="str">
        <f>VLOOKUP(Table8[[#This Row],[Country Code]],Table29[],9,FALSE)</f>
        <v>no</v>
      </c>
      <c r="AY1446" s="233" t="str">
        <f>VLOOKUP(Table8[[#This Row],[Country Code]],Table29[],10,FALSE)</f>
        <v>no</v>
      </c>
      <c r="AZ1446" s="235">
        <f>VLOOKUP(Table8[[#This Row],[Country Code]],Table29[],23,FALSE)</f>
        <v>33.953984042408003</v>
      </c>
      <c r="BA1446" s="235">
        <f>VLOOKUP(Table8[[#This Row],[Country Code]],Table29[],24,FALSE)</f>
        <v>3.9936406306970689</v>
      </c>
      <c r="BB1446" s="320"/>
      <c r="BC1446" s="320"/>
    </row>
    <row r="1447" spans="1:55" ht="30" hidden="1" x14ac:dyDescent="0.25">
      <c r="A1447" s="373">
        <v>17671</v>
      </c>
      <c r="B1447" s="233" t="str">
        <f>VLOOKUP(Table8[[#This Row],[Document ID]],Table1[],2,FALSE)</f>
        <v>MMR</v>
      </c>
      <c r="C1447" s="233" t="str">
        <f>VLOOKUP(Table8[[#This Row],[Document ID]],Table1[],3,FALSE)</f>
        <v>Myanmar</v>
      </c>
      <c r="D1447" s="243" t="str">
        <f>VLOOKUP(Table8[[#This Row],[Document ID]],Table1[],5,FALSE)</f>
        <v>NDC</v>
      </c>
      <c r="E1447" s="233" t="str">
        <f>VLOOKUP(Table8[[#This Row],[Document ID]],Table1[],7,FALSE)</f>
        <v>First NDC</v>
      </c>
      <c r="F1447" s="236" t="str">
        <f>VLOOKUP(Table8[[#This Row],[Document ID]],Table1[],8,FALSE)</f>
        <v>NDC 1.0</v>
      </c>
      <c r="G1447" s="236" t="str">
        <f>VLOOKUP(Table8[[#This Row],[Document ID]],Table1[],10,FALSE)</f>
        <v>Archived</v>
      </c>
      <c r="H1447" s="43" t="s">
        <v>2350</v>
      </c>
      <c r="I1447" s="43" t="s">
        <v>2370</v>
      </c>
      <c r="J1447" s="44" t="s">
        <v>2581</v>
      </c>
      <c r="K1447" s="44" t="s">
        <v>3690</v>
      </c>
      <c r="L1447" s="44" t="s">
        <v>2373</v>
      </c>
      <c r="M1447" s="43"/>
      <c r="N1447" s="113" t="s">
        <v>1113</v>
      </c>
      <c r="O1447" s="113"/>
      <c r="P1447" s="113"/>
      <c r="Q1447" s="319"/>
      <c r="R1447" s="319"/>
      <c r="S1447" s="319"/>
      <c r="T1447" s="319"/>
      <c r="U1447" s="113"/>
      <c r="V1447" s="319"/>
      <c r="W1447" s="319"/>
      <c r="X1447" s="319"/>
      <c r="Y1447" s="113"/>
      <c r="Z1447" s="113"/>
      <c r="AA1447" s="319"/>
      <c r="AB1447" s="319"/>
      <c r="AC1447" s="319"/>
      <c r="AD1447" s="113"/>
      <c r="AE1447" s="319"/>
      <c r="AF1447" s="319"/>
      <c r="AG1447" s="319"/>
      <c r="AH1447" s="319"/>
      <c r="AI1447" s="319"/>
      <c r="AJ1447" s="319"/>
      <c r="AK1447" s="319"/>
      <c r="AL1447" s="113" t="s">
        <v>1113</v>
      </c>
      <c r="AM1447" s="319"/>
      <c r="AN1447" s="319"/>
      <c r="AO1447" s="44" t="s">
        <v>2334</v>
      </c>
      <c r="AP1447" s="44"/>
      <c r="AQ1447" s="236" t="str">
        <f>VLOOKUP(Table8[[#This Row],[Instrument]],Def_Targets!$D$73:$E$159,2,FALSE)</f>
        <v>A_SUMP</v>
      </c>
      <c r="AR1447" s="233" t="str">
        <f>VLOOKUP(Table8[[#This Row],[Country Code]],Table29[],3,FALSE)</f>
        <v>Non-Annex I</v>
      </c>
      <c r="AS1447" s="233" t="str">
        <f>VLOOKUP(Table8[[#This Row],[Country Code]],Table29[],4,FALSE)</f>
        <v>Asia</v>
      </c>
      <c r="AT1447" s="233" t="str">
        <f>VLOOKUP(Table8[[#This Row],[Country Code]],Table29[],5,FALSE)</f>
        <v>Middle-income</v>
      </c>
      <c r="AU1447" s="233" t="str">
        <f>VLOOKUP(Table8[[#This Row],[Country Code]],Table29[],6,FALSE)</f>
        <v>no</v>
      </c>
      <c r="AV1447" s="233" t="str">
        <f>VLOOKUP(Table8[[#This Row],[Country Code]],Table29[],7,FALSE)</f>
        <v>no</v>
      </c>
      <c r="AW1447" s="233" t="str">
        <f>VLOOKUP(Table8[[#This Row],[Country Code]],Table29[],8,FALSE)</f>
        <v>non-OECD</v>
      </c>
      <c r="AX1447" s="233" t="str">
        <f>VLOOKUP(Table8[[#This Row],[Country Code]],Table29[],9,FALSE)</f>
        <v>no</v>
      </c>
      <c r="AY1447" s="233" t="str">
        <f>VLOOKUP(Table8[[#This Row],[Country Code]],Table29[],10,FALSE)</f>
        <v>no</v>
      </c>
      <c r="AZ1447" s="235">
        <f>VLOOKUP(Table8[[#This Row],[Country Code]],Table29[],23,FALSE)</f>
        <v>115.07725289766</v>
      </c>
      <c r="BA1447" s="235">
        <f>VLOOKUP(Table8[[#This Row],[Country Code]],Table29[],24,FALSE)</f>
        <v>5.5409798384290738</v>
      </c>
      <c r="BB1447" s="320"/>
      <c r="BC1447" s="320"/>
    </row>
    <row r="1448" spans="1:55" ht="45" hidden="1" x14ac:dyDescent="0.25">
      <c r="A1448" s="373">
        <v>28253</v>
      </c>
      <c r="B1448" s="233" t="str">
        <f>VLOOKUP(Table8[[#This Row],[Document ID]],Table1[],2,FALSE)</f>
        <v>MMR</v>
      </c>
      <c r="C1448" s="233" t="str">
        <f>VLOOKUP(Table8[[#This Row],[Document ID]],Table1[],3,FALSE)</f>
        <v>Myanmar</v>
      </c>
      <c r="D1448" s="243" t="str">
        <f>VLOOKUP(Table8[[#This Row],[Document ID]],Table1[],5,FALSE)</f>
        <v>NDC</v>
      </c>
      <c r="E1448" s="233" t="str">
        <f>VLOOKUP(Table8[[#This Row],[Document ID]],Table1[],7,FALSE)</f>
        <v>First NDC updated</v>
      </c>
      <c r="F1448" s="233" t="str">
        <f>VLOOKUP(Table8[[#This Row],[Document ID]],Table1[],8,FALSE)</f>
        <v>NDC 1.1</v>
      </c>
      <c r="G1448" s="233" t="str">
        <f>VLOOKUP(Table8[[#This Row],[Document ID]],Table1[],10,FALSE)</f>
        <v>Active</v>
      </c>
      <c r="H1448" s="43" t="s">
        <v>2343</v>
      </c>
      <c r="I1448" s="43" t="s">
        <v>2429</v>
      </c>
      <c r="J1448" s="44" t="s">
        <v>2610</v>
      </c>
      <c r="K1448" s="44" t="s">
        <v>3691</v>
      </c>
      <c r="L1448" s="44" t="s">
        <v>2373</v>
      </c>
      <c r="M1448" s="43">
        <v>31</v>
      </c>
      <c r="N1448" s="113" t="s">
        <v>1113</v>
      </c>
      <c r="O1448" s="113"/>
      <c r="P1448" s="113"/>
      <c r="Q1448" s="113"/>
      <c r="R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t="s">
        <v>1113</v>
      </c>
      <c r="AL1448" s="113"/>
      <c r="AM1448" s="113"/>
      <c r="AN1448" s="113"/>
      <c r="AO1448" s="44" t="s">
        <v>2334</v>
      </c>
      <c r="AP1448" s="43"/>
      <c r="AQ1448" s="236" t="e">
        <f>VLOOKUP(Table8[[#This Row],[Instrument]],Def_Targets!$D$73:$E$159,2,FALSE)</f>
        <v>#N/A</v>
      </c>
      <c r="AR1448" s="233" t="str">
        <f>VLOOKUP(Table8[[#This Row],[Country Code]],Table29[],3,FALSE)</f>
        <v>Non-Annex I</v>
      </c>
      <c r="AS1448" s="233" t="str">
        <f>VLOOKUP(Table8[[#This Row],[Country Code]],Table29[],4,FALSE)</f>
        <v>Asia</v>
      </c>
      <c r="AT1448" s="233" t="str">
        <f>VLOOKUP(Table8[[#This Row],[Country Code]],Table29[],5,FALSE)</f>
        <v>Middle-income</v>
      </c>
      <c r="AU1448" s="233" t="str">
        <f>VLOOKUP(Table8[[#This Row],[Country Code]],Table29[],6,FALSE)</f>
        <v>no</v>
      </c>
      <c r="AV1448" s="233" t="str">
        <f>VLOOKUP(Table8[[#This Row],[Country Code]],Table29[],7,FALSE)</f>
        <v>no</v>
      </c>
      <c r="AW1448" s="233" t="str">
        <f>VLOOKUP(Table8[[#This Row],[Country Code]],Table29[],8,FALSE)</f>
        <v>non-OECD</v>
      </c>
      <c r="AX1448" s="233" t="str">
        <f>VLOOKUP(Table8[[#This Row],[Country Code]],Table29[],9,FALSE)</f>
        <v>no</v>
      </c>
      <c r="AY1448" s="233" t="str">
        <f>VLOOKUP(Table8[[#This Row],[Country Code]],Table29[],10,FALSE)</f>
        <v>no</v>
      </c>
      <c r="AZ1448" s="235">
        <f>VLOOKUP(Table8[[#This Row],[Country Code]],Table29[],23,FALSE)</f>
        <v>115.07725289766</v>
      </c>
      <c r="BA1448" s="235">
        <f>VLOOKUP(Table8[[#This Row],[Country Code]],Table29[],24,FALSE)</f>
        <v>5.5409798384290738</v>
      </c>
      <c r="BB1448" s="320"/>
      <c r="BC1448" s="320"/>
    </row>
    <row r="1449" spans="1:55" ht="60" hidden="1" x14ac:dyDescent="0.25">
      <c r="A1449" s="360">
        <v>28253</v>
      </c>
      <c r="B1449" s="233" t="str">
        <f>VLOOKUP(Table8[[#This Row],[Document ID]],Table1[],2,FALSE)</f>
        <v>MMR</v>
      </c>
      <c r="C1449" s="233" t="str">
        <f>VLOOKUP(Table8[[#This Row],[Document ID]],Table1[],3,FALSE)</f>
        <v>Myanmar</v>
      </c>
      <c r="D1449" s="233" t="str">
        <f>VLOOKUP(Table8[[#This Row],[Document ID]],Table1[],5,FALSE)</f>
        <v>NDC</v>
      </c>
      <c r="E1449" s="233" t="str">
        <f>VLOOKUP(Table8[[#This Row],[Document ID]],Table1[],7,FALSE)</f>
        <v>First NDC updated</v>
      </c>
      <c r="F1449" s="233" t="str">
        <f>VLOOKUP(Table8[[#This Row],[Document ID]],Table1[],8,FALSE)</f>
        <v>NDC 1.1</v>
      </c>
      <c r="G1449" s="233" t="str">
        <f>VLOOKUP(Table8[[#This Row],[Document ID]],Table1[],10,FALSE)</f>
        <v>Active</v>
      </c>
      <c r="H1449" s="43" t="s">
        <v>2350</v>
      </c>
      <c r="I1449" s="43" t="s">
        <v>2370</v>
      </c>
      <c r="J1449" s="44" t="s">
        <v>2371</v>
      </c>
      <c r="K1449" s="44" t="s">
        <v>3692</v>
      </c>
      <c r="L1449" s="44" t="s">
        <v>2373</v>
      </c>
      <c r="M1449" s="43">
        <v>31</v>
      </c>
      <c r="N1449" s="113" t="s">
        <v>1113</v>
      </c>
      <c r="O1449" s="113"/>
      <c r="P1449" s="113"/>
      <c r="Q1449" s="113"/>
      <c r="R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t="s">
        <v>1113</v>
      </c>
      <c r="AO1449" s="44" t="s">
        <v>2334</v>
      </c>
      <c r="AP1449" s="43"/>
      <c r="AQ1449" s="236" t="str">
        <f>VLOOKUP(Table8[[#This Row],[Instrument]],Def_Targets!$D$73:$E$159,2,FALSE)</f>
        <v>A_Natmobplan</v>
      </c>
      <c r="AR1449" s="233" t="str">
        <f>VLOOKUP(Table8[[#This Row],[Country Code]],Table29[],3,FALSE)</f>
        <v>Non-Annex I</v>
      </c>
      <c r="AS1449" s="233" t="str">
        <f>VLOOKUP(Table8[[#This Row],[Country Code]],Table29[],4,FALSE)</f>
        <v>Asia</v>
      </c>
      <c r="AT1449" s="233" t="str">
        <f>VLOOKUP(Table8[[#This Row],[Country Code]],Table29[],5,FALSE)</f>
        <v>Middle-income</v>
      </c>
      <c r="AU1449" s="233" t="str">
        <f>VLOOKUP(Table8[[#This Row],[Country Code]],Table29[],6,FALSE)</f>
        <v>no</v>
      </c>
      <c r="AV1449" s="233" t="str">
        <f>VLOOKUP(Table8[[#This Row],[Country Code]],Table29[],7,FALSE)</f>
        <v>no</v>
      </c>
      <c r="AW1449" s="233" t="str">
        <f>VLOOKUP(Table8[[#This Row],[Country Code]],Table29[],8,FALSE)</f>
        <v>non-OECD</v>
      </c>
      <c r="AX1449" s="233" t="str">
        <f>VLOOKUP(Table8[[#This Row],[Country Code]],Table29[],9,FALSE)</f>
        <v>no</v>
      </c>
      <c r="AY1449" s="233" t="str">
        <f>VLOOKUP(Table8[[#This Row],[Country Code]],Table29[],10,FALSE)</f>
        <v>no</v>
      </c>
      <c r="AZ1449" s="235">
        <f>VLOOKUP(Table8[[#This Row],[Country Code]],Table29[],23,FALSE)</f>
        <v>115.07725289766</v>
      </c>
      <c r="BA1449" s="235">
        <f>VLOOKUP(Table8[[#This Row],[Country Code]],Table29[],24,FALSE)</f>
        <v>5.5409798384290738</v>
      </c>
      <c r="BB1449" s="320"/>
      <c r="BC1449" s="320"/>
    </row>
    <row r="1450" spans="1:55" ht="45" hidden="1" x14ac:dyDescent="0.25">
      <c r="A1450" s="373">
        <v>28253</v>
      </c>
      <c r="B1450" s="233" t="str">
        <f>VLOOKUP(Table8[[#This Row],[Document ID]],Table1[],2,FALSE)</f>
        <v>MMR</v>
      </c>
      <c r="C1450" s="233" t="str">
        <f>VLOOKUP(Table8[[#This Row],[Document ID]],Table1[],3,FALSE)</f>
        <v>Myanmar</v>
      </c>
      <c r="D1450" s="243" t="str">
        <f>VLOOKUP(Table8[[#This Row],[Document ID]],Table1[],5,FALSE)</f>
        <v>NDC</v>
      </c>
      <c r="E1450" s="233" t="str">
        <f>VLOOKUP(Table8[[#This Row],[Document ID]],Table1[],7,FALSE)</f>
        <v>First NDC updated</v>
      </c>
      <c r="F1450" s="233" t="str">
        <f>VLOOKUP(Table8[[#This Row],[Document ID]],Table1[],8,FALSE)</f>
        <v>NDC 1.1</v>
      </c>
      <c r="G1450" s="233" t="str">
        <f>VLOOKUP(Table8[[#This Row],[Document ID]],Table1[],10,FALSE)</f>
        <v>Active</v>
      </c>
      <c r="H1450" s="43" t="s">
        <v>2343</v>
      </c>
      <c r="I1450" s="43" t="s">
        <v>2344</v>
      </c>
      <c r="J1450" s="44" t="s">
        <v>2405</v>
      </c>
      <c r="K1450" s="44" t="s">
        <v>3693</v>
      </c>
      <c r="L1450" s="44" t="s">
        <v>2347</v>
      </c>
      <c r="M1450" s="43">
        <v>31</v>
      </c>
      <c r="N1450" s="113"/>
      <c r="O1450" s="113"/>
      <c r="P1450" s="113"/>
      <c r="Q1450" s="113"/>
      <c r="R1450" s="113"/>
      <c r="S1450" s="113"/>
      <c r="T1450" s="113"/>
      <c r="U1450" s="113"/>
      <c r="V1450" s="113"/>
      <c r="W1450" s="113"/>
      <c r="X1450" s="113"/>
      <c r="Y1450" s="113" t="s">
        <v>1113</v>
      </c>
      <c r="Z1450" s="113"/>
      <c r="AA1450" s="113"/>
      <c r="AB1450" s="113"/>
      <c r="AC1450" s="113" t="s">
        <v>1113</v>
      </c>
      <c r="AD1450" s="113"/>
      <c r="AE1450" s="113"/>
      <c r="AF1450" s="113"/>
      <c r="AG1450" s="113"/>
      <c r="AH1450" s="113"/>
      <c r="AI1450" s="113"/>
      <c r="AJ1450" s="113"/>
      <c r="AK1450" s="113" t="s">
        <v>1113</v>
      </c>
      <c r="AL1450" s="113"/>
      <c r="AM1450" s="113"/>
      <c r="AN1450" s="113"/>
      <c r="AO1450" s="43" t="s">
        <v>2348</v>
      </c>
      <c r="AP1450" s="43"/>
      <c r="AQ1450" s="236" t="str">
        <f>VLOOKUP(Table8[[#This Row],[Instrument]],Def_Targets!$D$73:$E$159,2,FALSE)</f>
        <v>S_PTIntegration</v>
      </c>
      <c r="AR1450" s="233" t="str">
        <f>VLOOKUP(Table8[[#This Row],[Country Code]],Table29[],3,FALSE)</f>
        <v>Non-Annex I</v>
      </c>
      <c r="AS1450" s="233" t="str">
        <f>VLOOKUP(Table8[[#This Row],[Country Code]],Table29[],4,FALSE)</f>
        <v>Asia</v>
      </c>
      <c r="AT1450" s="233" t="str">
        <f>VLOOKUP(Table8[[#This Row],[Country Code]],Table29[],5,FALSE)</f>
        <v>Middle-income</v>
      </c>
      <c r="AU1450" s="233" t="str">
        <f>VLOOKUP(Table8[[#This Row],[Country Code]],Table29[],6,FALSE)</f>
        <v>no</v>
      </c>
      <c r="AV1450" s="233" t="str">
        <f>VLOOKUP(Table8[[#This Row],[Country Code]],Table29[],7,FALSE)</f>
        <v>no</v>
      </c>
      <c r="AW1450" s="233" t="str">
        <f>VLOOKUP(Table8[[#This Row],[Country Code]],Table29[],8,FALSE)</f>
        <v>non-OECD</v>
      </c>
      <c r="AX1450" s="233" t="str">
        <f>VLOOKUP(Table8[[#This Row],[Country Code]],Table29[],9,FALSE)</f>
        <v>no</v>
      </c>
      <c r="AY1450" s="233" t="str">
        <f>VLOOKUP(Table8[[#This Row],[Country Code]],Table29[],10,FALSE)</f>
        <v>no</v>
      </c>
      <c r="AZ1450" s="235">
        <f>VLOOKUP(Table8[[#This Row],[Country Code]],Table29[],23,FALSE)</f>
        <v>115.07725289766</v>
      </c>
      <c r="BA1450" s="235">
        <f>VLOOKUP(Table8[[#This Row],[Country Code]],Table29[],24,FALSE)</f>
        <v>5.5409798384290738</v>
      </c>
      <c r="BB1450" s="320"/>
      <c r="BC1450" s="320"/>
    </row>
    <row r="1451" spans="1:55" ht="45" hidden="1" x14ac:dyDescent="0.25">
      <c r="A1451" s="373">
        <v>28253</v>
      </c>
      <c r="B1451" s="233" t="str">
        <f>VLOOKUP(Table8[[#This Row],[Document ID]],Table1[],2,FALSE)</f>
        <v>MMR</v>
      </c>
      <c r="C1451" s="233" t="str">
        <f>VLOOKUP(Table8[[#This Row],[Document ID]],Table1[],3,FALSE)</f>
        <v>Myanmar</v>
      </c>
      <c r="D1451" s="243" t="str">
        <f>VLOOKUP(Table8[[#This Row],[Document ID]],Table1[],5,FALSE)</f>
        <v>NDC</v>
      </c>
      <c r="E1451" s="233" t="str">
        <f>VLOOKUP(Table8[[#This Row],[Document ID]],Table1[],7,FALSE)</f>
        <v>First NDC updated</v>
      </c>
      <c r="F1451" s="233" t="str">
        <f>VLOOKUP(Table8[[#This Row],[Document ID]],Table1[],8,FALSE)</f>
        <v>NDC 1.1</v>
      </c>
      <c r="G1451" s="233" t="str">
        <f>VLOOKUP(Table8[[#This Row],[Document ID]],Table1[],10,FALSE)</f>
        <v>Active</v>
      </c>
      <c r="H1451" s="43" t="s">
        <v>2343</v>
      </c>
      <c r="I1451" s="43" t="s">
        <v>2344</v>
      </c>
      <c r="J1451" s="44" t="s">
        <v>2549</v>
      </c>
      <c r="K1451" s="44" t="s">
        <v>3693</v>
      </c>
      <c r="L1451" s="44" t="s">
        <v>2347</v>
      </c>
      <c r="M1451" s="43">
        <v>31</v>
      </c>
      <c r="N1451" s="113"/>
      <c r="O1451" s="113"/>
      <c r="P1451" s="113"/>
      <c r="Q1451" s="113"/>
      <c r="R1451" s="113"/>
      <c r="S1451" s="113"/>
      <c r="T1451" s="113"/>
      <c r="U1451" s="113"/>
      <c r="V1451" s="113"/>
      <c r="W1451" s="113"/>
      <c r="X1451" s="113"/>
      <c r="Y1451" s="113" t="s">
        <v>1113</v>
      </c>
      <c r="Z1451" s="113"/>
      <c r="AA1451" s="113"/>
      <c r="AB1451" s="113"/>
      <c r="AC1451" s="113"/>
      <c r="AD1451" s="113"/>
      <c r="AE1451" s="113"/>
      <c r="AF1451" s="113"/>
      <c r="AG1451" s="113"/>
      <c r="AH1451" s="113"/>
      <c r="AI1451" s="113"/>
      <c r="AJ1451" s="113"/>
      <c r="AK1451" s="113" t="s">
        <v>1113</v>
      </c>
      <c r="AL1451" s="113"/>
      <c r="AM1451" s="113"/>
      <c r="AN1451" s="113"/>
      <c r="AO1451" s="43" t="s">
        <v>2348</v>
      </c>
      <c r="AP1451" s="43"/>
      <c r="AQ1451" s="236" t="str">
        <f>VLOOKUP(Table8[[#This Row],[Instrument]],Def_Targets!$D$73:$E$159,2,FALSE)</f>
        <v>S_BRT</v>
      </c>
      <c r="AR1451" s="233" t="str">
        <f>VLOOKUP(Table8[[#This Row],[Country Code]],Table29[],3,FALSE)</f>
        <v>Non-Annex I</v>
      </c>
      <c r="AS1451" s="233" t="str">
        <f>VLOOKUP(Table8[[#This Row],[Country Code]],Table29[],4,FALSE)</f>
        <v>Asia</v>
      </c>
      <c r="AT1451" s="233" t="str">
        <f>VLOOKUP(Table8[[#This Row],[Country Code]],Table29[],5,FALSE)</f>
        <v>Middle-income</v>
      </c>
      <c r="AU1451" s="233" t="str">
        <f>VLOOKUP(Table8[[#This Row],[Country Code]],Table29[],6,FALSE)</f>
        <v>no</v>
      </c>
      <c r="AV1451" s="233" t="str">
        <f>VLOOKUP(Table8[[#This Row],[Country Code]],Table29[],7,FALSE)</f>
        <v>no</v>
      </c>
      <c r="AW1451" s="233" t="str">
        <f>VLOOKUP(Table8[[#This Row],[Country Code]],Table29[],8,FALSE)</f>
        <v>non-OECD</v>
      </c>
      <c r="AX1451" s="233" t="str">
        <f>VLOOKUP(Table8[[#This Row],[Country Code]],Table29[],9,FALSE)</f>
        <v>no</v>
      </c>
      <c r="AY1451" s="233" t="str">
        <f>VLOOKUP(Table8[[#This Row],[Country Code]],Table29[],10,FALSE)</f>
        <v>no</v>
      </c>
      <c r="AZ1451" s="235">
        <f>VLOOKUP(Table8[[#This Row],[Country Code]],Table29[],23,FALSE)</f>
        <v>115.07725289766</v>
      </c>
      <c r="BA1451" s="235">
        <f>VLOOKUP(Table8[[#This Row],[Country Code]],Table29[],24,FALSE)</f>
        <v>5.5409798384290738</v>
      </c>
      <c r="BB1451" s="320"/>
      <c r="BC1451" s="320"/>
    </row>
    <row r="1452" spans="1:55" ht="75" hidden="1" x14ac:dyDescent="0.25">
      <c r="A1452" s="373">
        <v>28253</v>
      </c>
      <c r="B1452" s="233" t="str">
        <f>VLOOKUP(Table8[[#This Row],[Document ID]],Table1[],2,FALSE)</f>
        <v>MMR</v>
      </c>
      <c r="C1452" s="233" t="str">
        <f>VLOOKUP(Table8[[#This Row],[Document ID]],Table1[],3,FALSE)</f>
        <v>Myanmar</v>
      </c>
      <c r="D1452" s="243" t="str">
        <f>VLOOKUP(Table8[[#This Row],[Document ID]],Table1[],5,FALSE)</f>
        <v>NDC</v>
      </c>
      <c r="E1452" s="233" t="str">
        <f>VLOOKUP(Table8[[#This Row],[Document ID]],Table1[],7,FALSE)</f>
        <v>First NDC updated</v>
      </c>
      <c r="F1452" s="233" t="str">
        <f>VLOOKUP(Table8[[#This Row],[Document ID]],Table1[],8,FALSE)</f>
        <v>NDC 1.1</v>
      </c>
      <c r="G1452" s="233" t="str">
        <f>VLOOKUP(Table8[[#This Row],[Document ID]],Table1[],10,FALSE)</f>
        <v>Active</v>
      </c>
      <c r="H1452" s="43" t="s">
        <v>2343</v>
      </c>
      <c r="I1452" s="43" t="s">
        <v>2361</v>
      </c>
      <c r="J1452" s="44" t="s">
        <v>2463</v>
      </c>
      <c r="K1452" s="44" t="s">
        <v>3694</v>
      </c>
      <c r="L1452" s="44" t="s">
        <v>2396</v>
      </c>
      <c r="M1452" s="43">
        <v>31</v>
      </c>
      <c r="N1452" s="113"/>
      <c r="O1452" s="113"/>
      <c r="P1452" s="113"/>
      <c r="Q1452" s="113" t="s">
        <v>1113</v>
      </c>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t="s">
        <v>1113</v>
      </c>
      <c r="AM1452" s="113"/>
      <c r="AN1452" s="113"/>
      <c r="AO1452" s="44" t="s">
        <v>2334</v>
      </c>
      <c r="AP1452" s="43"/>
      <c r="AQ1452" s="236" t="str">
        <f>VLOOKUP(Table8[[#This Row],[Instrument]],Def_Targets!$D$73:$E$159,2,FALSE)</f>
        <v>S_Walking</v>
      </c>
      <c r="AR1452" s="233" t="str">
        <f>VLOOKUP(Table8[[#This Row],[Country Code]],Table29[],3,FALSE)</f>
        <v>Non-Annex I</v>
      </c>
      <c r="AS1452" s="233" t="str">
        <f>VLOOKUP(Table8[[#This Row],[Country Code]],Table29[],4,FALSE)</f>
        <v>Asia</v>
      </c>
      <c r="AT1452" s="233" t="str">
        <f>VLOOKUP(Table8[[#This Row],[Country Code]],Table29[],5,FALSE)</f>
        <v>Middle-income</v>
      </c>
      <c r="AU1452" s="233" t="str">
        <f>VLOOKUP(Table8[[#This Row],[Country Code]],Table29[],6,FALSE)</f>
        <v>no</v>
      </c>
      <c r="AV1452" s="233" t="str">
        <f>VLOOKUP(Table8[[#This Row],[Country Code]],Table29[],7,FALSE)</f>
        <v>no</v>
      </c>
      <c r="AW1452" s="233" t="str">
        <f>VLOOKUP(Table8[[#This Row],[Country Code]],Table29[],8,FALSE)</f>
        <v>non-OECD</v>
      </c>
      <c r="AX1452" s="233" t="str">
        <f>VLOOKUP(Table8[[#This Row],[Country Code]],Table29[],9,FALSE)</f>
        <v>no</v>
      </c>
      <c r="AY1452" s="233" t="str">
        <f>VLOOKUP(Table8[[#This Row],[Country Code]],Table29[],10,FALSE)</f>
        <v>no</v>
      </c>
      <c r="AZ1452" s="235">
        <f>VLOOKUP(Table8[[#This Row],[Country Code]],Table29[],23,FALSE)</f>
        <v>115.07725289766</v>
      </c>
      <c r="BA1452" s="235">
        <f>VLOOKUP(Table8[[#This Row],[Country Code]],Table29[],24,FALSE)</f>
        <v>5.5409798384290738</v>
      </c>
      <c r="BB1452" s="320"/>
      <c r="BC1452" s="320"/>
    </row>
    <row r="1453" spans="1:55" ht="75" hidden="1" x14ac:dyDescent="0.25">
      <c r="A1453" s="373">
        <v>28253</v>
      </c>
      <c r="B1453" s="233" t="str">
        <f>VLOOKUP(Table8[[#This Row],[Document ID]],Table1[],2,FALSE)</f>
        <v>MMR</v>
      </c>
      <c r="C1453" s="233" t="str">
        <f>VLOOKUP(Table8[[#This Row],[Document ID]],Table1[],3,FALSE)</f>
        <v>Myanmar</v>
      </c>
      <c r="D1453" s="243" t="str">
        <f>VLOOKUP(Table8[[#This Row],[Document ID]],Table1[],5,FALSE)</f>
        <v>NDC</v>
      </c>
      <c r="E1453" s="233" t="str">
        <f>VLOOKUP(Table8[[#This Row],[Document ID]],Table1[],7,FALSE)</f>
        <v>First NDC updated</v>
      </c>
      <c r="F1453" s="233" t="str">
        <f>VLOOKUP(Table8[[#This Row],[Document ID]],Table1[],8,FALSE)</f>
        <v>NDC 1.1</v>
      </c>
      <c r="G1453" s="233" t="str">
        <f>VLOOKUP(Table8[[#This Row],[Document ID]],Table1[],10,FALSE)</f>
        <v>Active</v>
      </c>
      <c r="H1453" s="43" t="s">
        <v>2343</v>
      </c>
      <c r="I1453" s="43" t="s">
        <v>2361</v>
      </c>
      <c r="J1453" s="44" t="s">
        <v>2362</v>
      </c>
      <c r="K1453" s="44" t="s">
        <v>3694</v>
      </c>
      <c r="L1453" s="44" t="s">
        <v>2396</v>
      </c>
      <c r="M1453" s="43">
        <v>31</v>
      </c>
      <c r="N1453" s="113"/>
      <c r="O1453" s="113"/>
      <c r="P1453" s="113"/>
      <c r="Q1453" s="113"/>
      <c r="R1453" s="113" t="s">
        <v>1113</v>
      </c>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t="s">
        <v>1113</v>
      </c>
      <c r="AM1453" s="113"/>
      <c r="AN1453" s="113"/>
      <c r="AO1453" s="44" t="s">
        <v>2334</v>
      </c>
      <c r="AP1453" s="43"/>
      <c r="AQ1453" s="236" t="str">
        <f>VLOOKUP(Table8[[#This Row],[Instrument]],Def_Targets!$D$73:$E$159,2,FALSE)</f>
        <v>S_Cycling</v>
      </c>
      <c r="AR1453" s="233" t="str">
        <f>VLOOKUP(Table8[[#This Row],[Country Code]],Table29[],3,FALSE)</f>
        <v>Non-Annex I</v>
      </c>
      <c r="AS1453" s="233" t="str">
        <f>VLOOKUP(Table8[[#This Row],[Country Code]],Table29[],4,FALSE)</f>
        <v>Asia</v>
      </c>
      <c r="AT1453" s="233" t="str">
        <f>VLOOKUP(Table8[[#This Row],[Country Code]],Table29[],5,FALSE)</f>
        <v>Middle-income</v>
      </c>
      <c r="AU1453" s="233" t="str">
        <f>VLOOKUP(Table8[[#This Row],[Country Code]],Table29[],6,FALSE)</f>
        <v>no</v>
      </c>
      <c r="AV1453" s="233" t="str">
        <f>VLOOKUP(Table8[[#This Row],[Country Code]],Table29[],7,FALSE)</f>
        <v>no</v>
      </c>
      <c r="AW1453" s="233" t="str">
        <f>VLOOKUP(Table8[[#This Row],[Country Code]],Table29[],8,FALSE)</f>
        <v>non-OECD</v>
      </c>
      <c r="AX1453" s="233" t="str">
        <f>VLOOKUP(Table8[[#This Row],[Country Code]],Table29[],9,FALSE)</f>
        <v>no</v>
      </c>
      <c r="AY1453" s="233" t="str">
        <f>VLOOKUP(Table8[[#This Row],[Country Code]],Table29[],10,FALSE)</f>
        <v>no</v>
      </c>
      <c r="AZ1453" s="235">
        <f>VLOOKUP(Table8[[#This Row],[Country Code]],Table29[],23,FALSE)</f>
        <v>115.07725289766</v>
      </c>
      <c r="BA1453" s="235">
        <f>VLOOKUP(Table8[[#This Row],[Country Code]],Table29[],24,FALSE)</f>
        <v>5.5409798384290738</v>
      </c>
      <c r="BB1453" s="320"/>
      <c r="BC1453" s="320"/>
    </row>
    <row r="1454" spans="1:55" ht="45" hidden="1" x14ac:dyDescent="0.25">
      <c r="A1454" s="373">
        <v>28253</v>
      </c>
      <c r="B1454" s="233" t="str">
        <f>VLOOKUP(Table8[[#This Row],[Document ID]],Table1[],2,FALSE)</f>
        <v>MMR</v>
      </c>
      <c r="C1454" s="233" t="str">
        <f>VLOOKUP(Table8[[#This Row],[Document ID]],Table1[],3,FALSE)</f>
        <v>Myanmar</v>
      </c>
      <c r="D1454" s="243" t="str">
        <f>VLOOKUP(Table8[[#This Row],[Document ID]],Table1[],5,FALSE)</f>
        <v>NDC</v>
      </c>
      <c r="E1454" s="233" t="str">
        <f>VLOOKUP(Table8[[#This Row],[Document ID]],Table1[],7,FALSE)</f>
        <v>First NDC updated</v>
      </c>
      <c r="F1454" s="233" t="str">
        <f>VLOOKUP(Table8[[#This Row],[Document ID]],Table1[],8,FALSE)</f>
        <v>NDC 1.1</v>
      </c>
      <c r="G1454" s="233" t="str">
        <f>VLOOKUP(Table8[[#This Row],[Document ID]],Table1[],10,FALSE)</f>
        <v>Active</v>
      </c>
      <c r="H1454" s="43" t="s">
        <v>2350</v>
      </c>
      <c r="I1454" s="43" t="s">
        <v>2370</v>
      </c>
      <c r="J1454" s="44" t="s">
        <v>2418</v>
      </c>
      <c r="K1454" s="44" t="s">
        <v>3695</v>
      </c>
      <c r="L1454" s="44" t="s">
        <v>2396</v>
      </c>
      <c r="M1454" s="43">
        <v>31</v>
      </c>
      <c r="N1454" s="113"/>
      <c r="O1454" s="113"/>
      <c r="P1454" s="113"/>
      <c r="Q1454" s="113" t="s">
        <v>1113</v>
      </c>
      <c r="R1454" s="113" t="s">
        <v>1113</v>
      </c>
      <c r="S1454" s="113"/>
      <c r="T1454" s="113"/>
      <c r="U1454" s="113"/>
      <c r="V1454" s="113"/>
      <c r="W1454" s="113"/>
      <c r="X1454" s="113"/>
      <c r="Y1454" s="113" t="s">
        <v>1113</v>
      </c>
      <c r="Z1454" s="113"/>
      <c r="AA1454" s="113"/>
      <c r="AB1454" s="113"/>
      <c r="AC1454" s="113"/>
      <c r="AD1454" s="113"/>
      <c r="AE1454" s="113"/>
      <c r="AF1454" s="113"/>
      <c r="AG1454" s="113"/>
      <c r="AH1454" s="113"/>
      <c r="AI1454" s="113"/>
      <c r="AJ1454" s="113"/>
      <c r="AK1454" s="113"/>
      <c r="AL1454" s="113" t="s">
        <v>1113</v>
      </c>
      <c r="AM1454" s="113"/>
      <c r="AN1454" s="113"/>
      <c r="AO1454" s="44" t="s">
        <v>2334</v>
      </c>
      <c r="AP1454" s="43"/>
      <c r="AQ1454" s="236" t="str">
        <f>VLOOKUP(Table8[[#This Row],[Instrument]],Def_Targets!$D$73:$E$159,2,FALSE)</f>
        <v>A_Complan</v>
      </c>
      <c r="AR1454" s="233" t="str">
        <f>VLOOKUP(Table8[[#This Row],[Country Code]],Table29[],3,FALSE)</f>
        <v>Non-Annex I</v>
      </c>
      <c r="AS1454" s="233" t="str">
        <f>VLOOKUP(Table8[[#This Row],[Country Code]],Table29[],4,FALSE)</f>
        <v>Asia</v>
      </c>
      <c r="AT1454" s="233" t="str">
        <f>VLOOKUP(Table8[[#This Row],[Country Code]],Table29[],5,FALSE)</f>
        <v>Middle-income</v>
      </c>
      <c r="AU1454" s="233" t="str">
        <f>VLOOKUP(Table8[[#This Row],[Country Code]],Table29[],6,FALSE)</f>
        <v>no</v>
      </c>
      <c r="AV1454" s="233" t="str">
        <f>VLOOKUP(Table8[[#This Row],[Country Code]],Table29[],7,FALSE)</f>
        <v>no</v>
      </c>
      <c r="AW1454" s="233" t="str">
        <f>VLOOKUP(Table8[[#This Row],[Country Code]],Table29[],8,FALSE)</f>
        <v>non-OECD</v>
      </c>
      <c r="AX1454" s="233" t="str">
        <f>VLOOKUP(Table8[[#This Row],[Country Code]],Table29[],9,FALSE)</f>
        <v>no</v>
      </c>
      <c r="AY1454" s="233" t="str">
        <f>VLOOKUP(Table8[[#This Row],[Country Code]],Table29[],10,FALSE)</f>
        <v>no</v>
      </c>
      <c r="AZ1454" s="235">
        <f>VLOOKUP(Table8[[#This Row],[Country Code]],Table29[],23,FALSE)</f>
        <v>115.07725289766</v>
      </c>
      <c r="BA1454" s="235">
        <f>VLOOKUP(Table8[[#This Row],[Country Code]],Table29[],24,FALSE)</f>
        <v>5.5409798384290738</v>
      </c>
      <c r="BB1454" s="320"/>
      <c r="BC1454" s="320"/>
    </row>
    <row r="1455" spans="1:55" ht="30" hidden="1" x14ac:dyDescent="0.25">
      <c r="A1455" s="373">
        <v>28253</v>
      </c>
      <c r="B1455" s="233" t="str">
        <f>VLOOKUP(Table8[[#This Row],[Document ID]],Table1[],2,FALSE)</f>
        <v>MMR</v>
      </c>
      <c r="C1455" s="233" t="str">
        <f>VLOOKUP(Table8[[#This Row],[Document ID]],Table1[],3,FALSE)</f>
        <v>Myanmar</v>
      </c>
      <c r="D1455" s="243" t="str">
        <f>VLOOKUP(Table8[[#This Row],[Document ID]],Table1[],5,FALSE)</f>
        <v>NDC</v>
      </c>
      <c r="E1455" s="233" t="str">
        <f>VLOOKUP(Table8[[#This Row],[Document ID]],Table1[],7,FALSE)</f>
        <v>First NDC updated</v>
      </c>
      <c r="F1455" s="233" t="str">
        <f>VLOOKUP(Table8[[#This Row],[Document ID]],Table1[],8,FALSE)</f>
        <v>NDC 1.1</v>
      </c>
      <c r="G1455" s="233" t="str">
        <f>VLOOKUP(Table8[[#This Row],[Document ID]],Table1[],10,FALSE)</f>
        <v>Active</v>
      </c>
      <c r="H1455" s="43" t="s">
        <v>2358</v>
      </c>
      <c r="I1455" s="43" t="s">
        <v>2359</v>
      </c>
      <c r="J1455" s="44" t="s">
        <v>2360</v>
      </c>
      <c r="K1455" s="44" t="s">
        <v>3696</v>
      </c>
      <c r="L1455" s="44" t="s">
        <v>2333</v>
      </c>
      <c r="M1455" s="43">
        <v>31</v>
      </c>
      <c r="N1455" s="113"/>
      <c r="O1455" s="113"/>
      <c r="P1455" s="113"/>
      <c r="Q1455" s="113"/>
      <c r="R1455" s="113"/>
      <c r="S1455" s="113" t="s">
        <v>1113</v>
      </c>
      <c r="T1455" s="113"/>
      <c r="U1455" s="113"/>
      <c r="V1455" s="113"/>
      <c r="W1455" s="113"/>
      <c r="X1455" s="113"/>
      <c r="Y1455" s="113"/>
      <c r="Z1455" s="113"/>
      <c r="AA1455" s="113"/>
      <c r="AB1455" s="113"/>
      <c r="AC1455" s="113" t="s">
        <v>1113</v>
      </c>
      <c r="AD1455" s="113"/>
      <c r="AE1455" s="113"/>
      <c r="AF1455" s="113"/>
      <c r="AG1455" s="113"/>
      <c r="AH1455" s="113"/>
      <c r="AI1455" s="113"/>
      <c r="AJ1455" s="113"/>
      <c r="AK1455" s="113" t="s">
        <v>1113</v>
      </c>
      <c r="AL1455" s="113"/>
      <c r="AM1455" s="113"/>
      <c r="AN1455" s="113"/>
      <c r="AO1455" s="43" t="s">
        <v>2348</v>
      </c>
      <c r="AP1455" s="43"/>
      <c r="AQ1455" s="236" t="str">
        <f>VLOOKUP(Table8[[#This Row],[Instrument]],Def_Targets!$D$73:$E$159,2,FALSE)</f>
        <v>I_Emobility</v>
      </c>
      <c r="AR1455" s="233" t="str">
        <f>VLOOKUP(Table8[[#This Row],[Country Code]],Table29[],3,FALSE)</f>
        <v>Non-Annex I</v>
      </c>
      <c r="AS1455" s="233" t="str">
        <f>VLOOKUP(Table8[[#This Row],[Country Code]],Table29[],4,FALSE)</f>
        <v>Asia</v>
      </c>
      <c r="AT1455" s="233" t="str">
        <f>VLOOKUP(Table8[[#This Row],[Country Code]],Table29[],5,FALSE)</f>
        <v>Middle-income</v>
      </c>
      <c r="AU1455" s="233" t="str">
        <f>VLOOKUP(Table8[[#This Row],[Country Code]],Table29[],6,FALSE)</f>
        <v>no</v>
      </c>
      <c r="AV1455" s="233" t="str">
        <f>VLOOKUP(Table8[[#This Row],[Country Code]],Table29[],7,FALSE)</f>
        <v>no</v>
      </c>
      <c r="AW1455" s="233" t="str">
        <f>VLOOKUP(Table8[[#This Row],[Country Code]],Table29[],8,FALSE)</f>
        <v>non-OECD</v>
      </c>
      <c r="AX1455" s="233" t="str">
        <f>VLOOKUP(Table8[[#This Row],[Country Code]],Table29[],9,FALSE)</f>
        <v>no</v>
      </c>
      <c r="AY1455" s="233" t="str">
        <f>VLOOKUP(Table8[[#This Row],[Country Code]],Table29[],10,FALSE)</f>
        <v>no</v>
      </c>
      <c r="AZ1455" s="235">
        <f>VLOOKUP(Table8[[#This Row],[Country Code]],Table29[],23,FALSE)</f>
        <v>115.07725289766</v>
      </c>
      <c r="BA1455" s="235">
        <f>VLOOKUP(Table8[[#This Row],[Country Code]],Table29[],24,FALSE)</f>
        <v>5.5409798384290738</v>
      </c>
      <c r="BB1455" s="320"/>
      <c r="BC1455" s="320"/>
    </row>
    <row r="1456" spans="1:55" hidden="1" x14ac:dyDescent="0.25">
      <c r="A1456" s="373">
        <v>28253</v>
      </c>
      <c r="B1456" s="233" t="str">
        <f>VLOOKUP(Table8[[#This Row],[Document ID]],Table1[],2,FALSE)</f>
        <v>MMR</v>
      </c>
      <c r="C1456" s="233" t="str">
        <f>VLOOKUP(Table8[[#This Row],[Document ID]],Table1[],3,FALSE)</f>
        <v>Myanmar</v>
      </c>
      <c r="D1456" s="243" t="str">
        <f>VLOOKUP(Table8[[#This Row],[Document ID]],Table1[],5,FALSE)</f>
        <v>NDC</v>
      </c>
      <c r="E1456" s="233" t="str">
        <f>VLOOKUP(Table8[[#This Row],[Document ID]],Table1[],7,FALSE)</f>
        <v>First NDC updated</v>
      </c>
      <c r="F1456" s="233" t="str">
        <f>VLOOKUP(Table8[[#This Row],[Document ID]],Table1[],8,FALSE)</f>
        <v>NDC 1.1</v>
      </c>
      <c r="G1456" s="233" t="str">
        <f>VLOOKUP(Table8[[#This Row],[Document ID]],Table1[],10,FALSE)</f>
        <v>Active</v>
      </c>
      <c r="H1456" s="43" t="s">
        <v>2358</v>
      </c>
      <c r="I1456" s="43" t="s">
        <v>2359</v>
      </c>
      <c r="J1456" s="44" t="s">
        <v>2389</v>
      </c>
      <c r="K1456" s="44" t="s">
        <v>3697</v>
      </c>
      <c r="L1456" s="44" t="s">
        <v>2333</v>
      </c>
      <c r="M1456" s="43">
        <v>31</v>
      </c>
      <c r="N1456" s="113" t="s">
        <v>1113</v>
      </c>
      <c r="O1456" s="113"/>
      <c r="P1456" s="113"/>
      <c r="Q1456" s="113"/>
      <c r="R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t="s">
        <v>1113</v>
      </c>
      <c r="AL1456" s="113"/>
      <c r="AM1456" s="113"/>
      <c r="AN1456" s="113"/>
      <c r="AO1456" s="44" t="s">
        <v>2334</v>
      </c>
      <c r="AP1456" s="43"/>
      <c r="AQ1456" s="236" t="str">
        <f>VLOOKUP(Table8[[#This Row],[Instrument]],Def_Targets!$D$73:$E$159,2,FALSE)</f>
        <v>I_Emobilitypurchase</v>
      </c>
      <c r="AR1456" s="233" t="str">
        <f>VLOOKUP(Table8[[#This Row],[Country Code]],Table29[],3,FALSE)</f>
        <v>Non-Annex I</v>
      </c>
      <c r="AS1456" s="233" t="str">
        <f>VLOOKUP(Table8[[#This Row],[Country Code]],Table29[],4,FALSE)</f>
        <v>Asia</v>
      </c>
      <c r="AT1456" s="233" t="str">
        <f>VLOOKUP(Table8[[#This Row],[Country Code]],Table29[],5,FALSE)</f>
        <v>Middle-income</v>
      </c>
      <c r="AU1456" s="233" t="str">
        <f>VLOOKUP(Table8[[#This Row],[Country Code]],Table29[],6,FALSE)</f>
        <v>no</v>
      </c>
      <c r="AV1456" s="233" t="str">
        <f>VLOOKUP(Table8[[#This Row],[Country Code]],Table29[],7,FALSE)</f>
        <v>no</v>
      </c>
      <c r="AW1456" s="233" t="str">
        <f>VLOOKUP(Table8[[#This Row],[Country Code]],Table29[],8,FALSE)</f>
        <v>non-OECD</v>
      </c>
      <c r="AX1456" s="233" t="str">
        <f>VLOOKUP(Table8[[#This Row],[Country Code]],Table29[],9,FALSE)</f>
        <v>no</v>
      </c>
      <c r="AY1456" s="233" t="str">
        <f>VLOOKUP(Table8[[#This Row],[Country Code]],Table29[],10,FALSE)</f>
        <v>no</v>
      </c>
      <c r="AZ1456" s="235">
        <f>VLOOKUP(Table8[[#This Row],[Country Code]],Table29[],23,FALSE)</f>
        <v>115.07725289766</v>
      </c>
      <c r="BA1456" s="235">
        <f>VLOOKUP(Table8[[#This Row],[Country Code]],Table29[],24,FALSE)</f>
        <v>5.5409798384290738</v>
      </c>
      <c r="BB1456" s="320"/>
      <c r="BC1456" s="320"/>
    </row>
    <row r="1457" spans="1:55" ht="75" hidden="1" x14ac:dyDescent="0.25">
      <c r="A1457" s="373">
        <v>28253</v>
      </c>
      <c r="B1457" s="233" t="str">
        <f>VLOOKUP(Table8[[#This Row],[Document ID]],Table1[],2,FALSE)</f>
        <v>MMR</v>
      </c>
      <c r="C1457" s="233" t="str">
        <f>VLOOKUP(Table8[[#This Row],[Document ID]],Table1[],3,FALSE)</f>
        <v>Myanmar</v>
      </c>
      <c r="D1457" s="243" t="str">
        <f>VLOOKUP(Table8[[#This Row],[Document ID]],Table1[],5,FALSE)</f>
        <v>NDC</v>
      </c>
      <c r="E1457" s="233" t="str">
        <f>VLOOKUP(Table8[[#This Row],[Document ID]],Table1[],7,FALSE)</f>
        <v>First NDC updated</v>
      </c>
      <c r="F1457" s="233" t="str">
        <f>VLOOKUP(Table8[[#This Row],[Document ID]],Table1[],8,FALSE)</f>
        <v>NDC 1.1</v>
      </c>
      <c r="G1457" s="233" t="str">
        <f>VLOOKUP(Table8[[#This Row],[Document ID]],Table1[],10,FALSE)</f>
        <v>Active</v>
      </c>
      <c r="H1457" s="44" t="s">
        <v>2338</v>
      </c>
      <c r="I1457" s="44" t="s">
        <v>2339</v>
      </c>
      <c r="J1457" s="44" t="s">
        <v>2425</v>
      </c>
      <c r="K1457" s="44" t="s">
        <v>3698</v>
      </c>
      <c r="L1457" s="44" t="s">
        <v>2333</v>
      </c>
      <c r="M1457" s="43">
        <v>31</v>
      </c>
      <c r="N1457" s="113"/>
      <c r="O1457" s="113"/>
      <c r="P1457" s="113"/>
      <c r="Q1457" s="113"/>
      <c r="R1457" s="113"/>
      <c r="S1457" s="113"/>
      <c r="T1457" s="113"/>
      <c r="U1457" s="113"/>
      <c r="V1457" s="113" t="s">
        <v>1113</v>
      </c>
      <c r="W1457" s="113"/>
      <c r="X1457" s="113"/>
      <c r="Y1457" s="113"/>
      <c r="Z1457" s="113"/>
      <c r="AA1457" s="113"/>
      <c r="AB1457" s="113"/>
      <c r="AC1457" s="113"/>
      <c r="AD1457" s="113"/>
      <c r="AE1457" s="113"/>
      <c r="AF1457" s="113"/>
      <c r="AG1457" s="113"/>
      <c r="AH1457" s="113"/>
      <c r="AI1457" s="113"/>
      <c r="AJ1457" s="113"/>
      <c r="AK1457" s="113" t="s">
        <v>1113</v>
      </c>
      <c r="AL1457" s="113"/>
      <c r="AM1457" s="113"/>
      <c r="AN1457" s="113"/>
      <c r="AO1457" s="43" t="s">
        <v>2477</v>
      </c>
      <c r="AP1457" s="43"/>
      <c r="AQ1457" s="236" t="str">
        <f>VLOOKUP(Table8[[#This Row],[Instrument]],Def_Targets!$D$73:$E$159,2,FALSE)</f>
        <v>I_Efficiencystd</v>
      </c>
      <c r="AR1457" s="233" t="str">
        <f>VLOOKUP(Table8[[#This Row],[Country Code]],Table29[],3,FALSE)</f>
        <v>Non-Annex I</v>
      </c>
      <c r="AS1457" s="233" t="str">
        <f>VLOOKUP(Table8[[#This Row],[Country Code]],Table29[],4,FALSE)</f>
        <v>Asia</v>
      </c>
      <c r="AT1457" s="233" t="str">
        <f>VLOOKUP(Table8[[#This Row],[Country Code]],Table29[],5,FALSE)</f>
        <v>Middle-income</v>
      </c>
      <c r="AU1457" s="233" t="str">
        <f>VLOOKUP(Table8[[#This Row],[Country Code]],Table29[],6,FALSE)</f>
        <v>no</v>
      </c>
      <c r="AV1457" s="233" t="str">
        <f>VLOOKUP(Table8[[#This Row],[Country Code]],Table29[],7,FALSE)</f>
        <v>no</v>
      </c>
      <c r="AW1457" s="233" t="str">
        <f>VLOOKUP(Table8[[#This Row],[Country Code]],Table29[],8,FALSE)</f>
        <v>non-OECD</v>
      </c>
      <c r="AX1457" s="233" t="str">
        <f>VLOOKUP(Table8[[#This Row],[Country Code]],Table29[],9,FALSE)</f>
        <v>no</v>
      </c>
      <c r="AY1457" s="233" t="str">
        <f>VLOOKUP(Table8[[#This Row],[Country Code]],Table29[],10,FALSE)</f>
        <v>no</v>
      </c>
      <c r="AZ1457" s="235">
        <f>VLOOKUP(Table8[[#This Row],[Country Code]],Table29[],23,FALSE)</f>
        <v>115.07725289766</v>
      </c>
      <c r="BA1457" s="235">
        <f>VLOOKUP(Table8[[#This Row],[Country Code]],Table29[],24,FALSE)</f>
        <v>5.5409798384290738</v>
      </c>
      <c r="BB1457" s="320"/>
      <c r="BC1457" s="320"/>
    </row>
    <row r="1458" spans="1:55" ht="30" hidden="1" x14ac:dyDescent="0.25">
      <c r="A1458" s="373">
        <v>28253</v>
      </c>
      <c r="B1458" s="233" t="str">
        <f>VLOOKUP(Table8[[#This Row],[Document ID]],Table1[],2,FALSE)</f>
        <v>MMR</v>
      </c>
      <c r="C1458" s="233" t="str">
        <f>VLOOKUP(Table8[[#This Row],[Document ID]],Table1[],3,FALSE)</f>
        <v>Myanmar</v>
      </c>
      <c r="D1458" s="243" t="str">
        <f>VLOOKUP(Table8[[#This Row],[Document ID]],Table1[],5,FALSE)</f>
        <v>NDC</v>
      </c>
      <c r="E1458" s="233" t="str">
        <f>VLOOKUP(Table8[[#This Row],[Document ID]],Table1[],7,FALSE)</f>
        <v>First NDC updated</v>
      </c>
      <c r="F1458" s="233" t="str">
        <f>VLOOKUP(Table8[[#This Row],[Document ID]],Table1[],8,FALSE)</f>
        <v>NDC 1.1</v>
      </c>
      <c r="G1458" s="233" t="str">
        <f>VLOOKUP(Table8[[#This Row],[Document ID]],Table1[],10,FALSE)</f>
        <v>Active</v>
      </c>
      <c r="H1458" s="43" t="s">
        <v>2358</v>
      </c>
      <c r="I1458" s="43" t="s">
        <v>2359</v>
      </c>
      <c r="J1458" s="44" t="s">
        <v>2383</v>
      </c>
      <c r="K1458" s="44" t="s">
        <v>3699</v>
      </c>
      <c r="L1458" s="44" t="s">
        <v>2333</v>
      </c>
      <c r="M1458" s="43">
        <v>32</v>
      </c>
      <c r="N1458" s="113" t="s">
        <v>1113</v>
      </c>
      <c r="O1458" s="113"/>
      <c r="P1458" s="113"/>
      <c r="Q1458" s="113"/>
      <c r="R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t="s">
        <v>1113</v>
      </c>
      <c r="AL1458" s="113"/>
      <c r="AM1458" s="113"/>
      <c r="AN1458" s="113"/>
      <c r="AO1458" s="44" t="s">
        <v>2334</v>
      </c>
      <c r="AP1458" s="43"/>
      <c r="AQ1458" s="236" t="str">
        <f>VLOOKUP(Table8[[#This Row],[Instrument]],Def_Targets!$D$73:$E$159,2,FALSE)</f>
        <v>I_Emobilitycharging</v>
      </c>
      <c r="AR1458" s="233" t="str">
        <f>VLOOKUP(Table8[[#This Row],[Country Code]],Table29[],3,FALSE)</f>
        <v>Non-Annex I</v>
      </c>
      <c r="AS1458" s="233" t="str">
        <f>VLOOKUP(Table8[[#This Row],[Country Code]],Table29[],4,FALSE)</f>
        <v>Asia</v>
      </c>
      <c r="AT1458" s="233" t="str">
        <f>VLOOKUP(Table8[[#This Row],[Country Code]],Table29[],5,FALSE)</f>
        <v>Middle-income</v>
      </c>
      <c r="AU1458" s="233" t="str">
        <f>VLOOKUP(Table8[[#This Row],[Country Code]],Table29[],6,FALSE)</f>
        <v>no</v>
      </c>
      <c r="AV1458" s="233" t="str">
        <f>VLOOKUP(Table8[[#This Row],[Country Code]],Table29[],7,FALSE)</f>
        <v>no</v>
      </c>
      <c r="AW1458" s="233" t="str">
        <f>VLOOKUP(Table8[[#This Row],[Country Code]],Table29[],8,FALSE)</f>
        <v>non-OECD</v>
      </c>
      <c r="AX1458" s="233" t="str">
        <f>VLOOKUP(Table8[[#This Row],[Country Code]],Table29[],9,FALSE)</f>
        <v>no</v>
      </c>
      <c r="AY1458" s="233" t="str">
        <f>VLOOKUP(Table8[[#This Row],[Country Code]],Table29[],10,FALSE)</f>
        <v>no</v>
      </c>
      <c r="AZ1458" s="235">
        <f>VLOOKUP(Table8[[#This Row],[Country Code]],Table29[],23,FALSE)</f>
        <v>115.07725289766</v>
      </c>
      <c r="BA1458" s="235">
        <f>VLOOKUP(Table8[[#This Row],[Country Code]],Table29[],24,FALSE)</f>
        <v>5.5409798384290738</v>
      </c>
      <c r="BB1458" s="320"/>
      <c r="BC1458" s="320"/>
    </row>
    <row r="1459" spans="1:55" ht="30" hidden="1" x14ac:dyDescent="0.25">
      <c r="A1459" s="373">
        <v>28253</v>
      </c>
      <c r="B1459" s="233" t="str">
        <f>VLOOKUP(Table8[[#This Row],[Document ID]],Table1[],2,FALSE)</f>
        <v>MMR</v>
      </c>
      <c r="C1459" s="233" t="str">
        <f>VLOOKUP(Table8[[#This Row],[Document ID]],Table1[],3,FALSE)</f>
        <v>Myanmar</v>
      </c>
      <c r="D1459" s="243" t="str">
        <f>VLOOKUP(Table8[[#This Row],[Document ID]],Table1[],5,FALSE)</f>
        <v>NDC</v>
      </c>
      <c r="E1459" s="233" t="str">
        <f>VLOOKUP(Table8[[#This Row],[Document ID]],Table1[],7,FALSE)</f>
        <v>First NDC updated</v>
      </c>
      <c r="F1459" s="233" t="str">
        <f>VLOOKUP(Table8[[#This Row],[Document ID]],Table1[],8,FALSE)</f>
        <v>NDC 1.1</v>
      </c>
      <c r="G1459" s="233" t="str">
        <f>VLOOKUP(Table8[[#This Row],[Document ID]],Table1[],10,FALSE)</f>
        <v>Active</v>
      </c>
      <c r="H1459" s="43" t="s">
        <v>2343</v>
      </c>
      <c r="I1459" s="43" t="s">
        <v>2344</v>
      </c>
      <c r="J1459" s="44" t="s">
        <v>2345</v>
      </c>
      <c r="K1459" s="44" t="s">
        <v>3700</v>
      </c>
      <c r="L1459" s="44" t="s">
        <v>2347</v>
      </c>
      <c r="M1459" s="43">
        <v>32</v>
      </c>
      <c r="N1459" s="113"/>
      <c r="O1459" s="113"/>
      <c r="P1459" s="113"/>
      <c r="Q1459" s="113"/>
      <c r="R1459" s="113"/>
      <c r="S1459" s="113"/>
      <c r="T1459" s="113"/>
      <c r="U1459" s="113"/>
      <c r="V1459" s="113"/>
      <c r="W1459" s="113"/>
      <c r="X1459" s="113"/>
      <c r="Y1459" s="113"/>
      <c r="Z1459" s="113"/>
      <c r="AA1459" s="113"/>
      <c r="AB1459" s="113"/>
      <c r="AC1459" s="113" t="s">
        <v>1113</v>
      </c>
      <c r="AD1459" s="113"/>
      <c r="AE1459" s="113"/>
      <c r="AF1459" s="113"/>
      <c r="AG1459" s="113"/>
      <c r="AH1459" s="113"/>
      <c r="AI1459" s="113"/>
      <c r="AJ1459" s="113"/>
      <c r="AK1459" s="113" t="s">
        <v>1113</v>
      </c>
      <c r="AL1459" s="113"/>
      <c r="AM1459" s="113"/>
      <c r="AN1459" s="113"/>
      <c r="AO1459" s="43" t="s">
        <v>2348</v>
      </c>
      <c r="AP1459" s="43"/>
      <c r="AQ1459" s="236" t="str">
        <f>VLOOKUP(Table8[[#This Row],[Instrument]],Def_Targets!$D$73:$E$159,2,FALSE)</f>
        <v>S_PublicTransport</v>
      </c>
      <c r="AR1459" s="233" t="str">
        <f>VLOOKUP(Table8[[#This Row],[Country Code]],Table29[],3,FALSE)</f>
        <v>Non-Annex I</v>
      </c>
      <c r="AS1459" s="233" t="str">
        <f>VLOOKUP(Table8[[#This Row],[Country Code]],Table29[],4,FALSE)</f>
        <v>Asia</v>
      </c>
      <c r="AT1459" s="233" t="str">
        <f>VLOOKUP(Table8[[#This Row],[Country Code]],Table29[],5,FALSE)</f>
        <v>Middle-income</v>
      </c>
      <c r="AU1459" s="233" t="str">
        <f>VLOOKUP(Table8[[#This Row],[Country Code]],Table29[],6,FALSE)</f>
        <v>no</v>
      </c>
      <c r="AV1459" s="233" t="str">
        <f>VLOOKUP(Table8[[#This Row],[Country Code]],Table29[],7,FALSE)</f>
        <v>no</v>
      </c>
      <c r="AW1459" s="233" t="str">
        <f>VLOOKUP(Table8[[#This Row],[Country Code]],Table29[],8,FALSE)</f>
        <v>non-OECD</v>
      </c>
      <c r="AX1459" s="233" t="str">
        <f>VLOOKUP(Table8[[#This Row],[Country Code]],Table29[],9,FALSE)</f>
        <v>no</v>
      </c>
      <c r="AY1459" s="233" t="str">
        <f>VLOOKUP(Table8[[#This Row],[Country Code]],Table29[],10,FALSE)</f>
        <v>no</v>
      </c>
      <c r="AZ1459" s="235">
        <f>VLOOKUP(Table8[[#This Row],[Country Code]],Table29[],23,FALSE)</f>
        <v>115.07725289766</v>
      </c>
      <c r="BA1459" s="235">
        <f>VLOOKUP(Table8[[#This Row],[Country Code]],Table29[],24,FALSE)</f>
        <v>5.5409798384290738</v>
      </c>
      <c r="BB1459" s="320"/>
      <c r="BC1459" s="320"/>
    </row>
    <row r="1460" spans="1:55" ht="30" hidden="1" x14ac:dyDescent="0.25">
      <c r="A1460" s="373">
        <v>28253</v>
      </c>
      <c r="B1460" s="233" t="str">
        <f>VLOOKUP(Table8[[#This Row],[Document ID]],Table1[],2,FALSE)</f>
        <v>MMR</v>
      </c>
      <c r="C1460" s="233" t="str">
        <f>VLOOKUP(Table8[[#This Row],[Document ID]],Table1[],3,FALSE)</f>
        <v>Myanmar</v>
      </c>
      <c r="D1460" s="243" t="str">
        <f>VLOOKUP(Table8[[#This Row],[Document ID]],Table1[],5,FALSE)</f>
        <v>NDC</v>
      </c>
      <c r="E1460" s="233" t="str">
        <f>VLOOKUP(Table8[[#This Row],[Document ID]],Table1[],7,FALSE)</f>
        <v>First NDC updated</v>
      </c>
      <c r="F1460" s="233" t="str">
        <f>VLOOKUP(Table8[[#This Row],[Document ID]],Table1[],8,FALSE)</f>
        <v>NDC 1.1</v>
      </c>
      <c r="G1460" s="233" t="str">
        <f>VLOOKUP(Table8[[#This Row],[Document ID]],Table1[],10,FALSE)</f>
        <v>Active</v>
      </c>
      <c r="H1460" s="44" t="s">
        <v>2338</v>
      </c>
      <c r="I1460" s="44" t="s">
        <v>2339</v>
      </c>
      <c r="J1460" s="44" t="s">
        <v>2416</v>
      </c>
      <c r="K1460" s="44" t="s">
        <v>3701</v>
      </c>
      <c r="L1460" s="44" t="s">
        <v>2333</v>
      </c>
      <c r="M1460" s="43">
        <v>32</v>
      </c>
      <c r="N1460" s="113" t="s">
        <v>1113</v>
      </c>
      <c r="O1460" s="113"/>
      <c r="P1460" s="113"/>
      <c r="Q1460" s="113"/>
      <c r="R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t="s">
        <v>1113</v>
      </c>
      <c r="AL1460" s="113"/>
      <c r="AM1460" s="113"/>
      <c r="AN1460" s="113"/>
      <c r="AO1460" s="44" t="s">
        <v>2334</v>
      </c>
      <c r="AP1460" s="43"/>
      <c r="AQ1460" s="236" t="str">
        <f>VLOOKUP(Table8[[#This Row],[Instrument]],Def_Targets!$D$73:$E$159,2,FALSE)</f>
        <v>I_Vehiclescrappage</v>
      </c>
      <c r="AR1460" s="233" t="str">
        <f>VLOOKUP(Table8[[#This Row],[Country Code]],Table29[],3,FALSE)</f>
        <v>Non-Annex I</v>
      </c>
      <c r="AS1460" s="233" t="str">
        <f>VLOOKUP(Table8[[#This Row],[Country Code]],Table29[],4,FALSE)</f>
        <v>Asia</v>
      </c>
      <c r="AT1460" s="233" t="str">
        <f>VLOOKUP(Table8[[#This Row],[Country Code]],Table29[],5,FALSE)</f>
        <v>Middle-income</v>
      </c>
      <c r="AU1460" s="233" t="str">
        <f>VLOOKUP(Table8[[#This Row],[Country Code]],Table29[],6,FALSE)</f>
        <v>no</v>
      </c>
      <c r="AV1460" s="233" t="str">
        <f>VLOOKUP(Table8[[#This Row],[Country Code]],Table29[],7,FALSE)</f>
        <v>no</v>
      </c>
      <c r="AW1460" s="233" t="str">
        <f>VLOOKUP(Table8[[#This Row],[Country Code]],Table29[],8,FALSE)</f>
        <v>non-OECD</v>
      </c>
      <c r="AX1460" s="233" t="str">
        <f>VLOOKUP(Table8[[#This Row],[Country Code]],Table29[],9,FALSE)</f>
        <v>no</v>
      </c>
      <c r="AY1460" s="233" t="str">
        <f>VLOOKUP(Table8[[#This Row],[Country Code]],Table29[],10,FALSE)</f>
        <v>no</v>
      </c>
      <c r="AZ1460" s="235">
        <f>VLOOKUP(Table8[[#This Row],[Country Code]],Table29[],23,FALSE)</f>
        <v>115.07725289766</v>
      </c>
      <c r="BA1460" s="235">
        <f>VLOOKUP(Table8[[#This Row],[Country Code]],Table29[],24,FALSE)</f>
        <v>5.5409798384290738</v>
      </c>
      <c r="BB1460" s="320"/>
      <c r="BC1460" s="320"/>
    </row>
    <row r="1461" spans="1:55" ht="45" hidden="1" x14ac:dyDescent="0.25">
      <c r="A1461" s="373">
        <v>28253</v>
      </c>
      <c r="B1461" s="233" t="str">
        <f>VLOOKUP(Table8[[#This Row],[Document ID]],Table1[],2,FALSE)</f>
        <v>MMR</v>
      </c>
      <c r="C1461" s="233" t="str">
        <f>VLOOKUP(Table8[[#This Row],[Document ID]],Table1[],3,FALSE)</f>
        <v>Myanmar</v>
      </c>
      <c r="D1461" s="243" t="str">
        <f>VLOOKUP(Table8[[#This Row],[Document ID]],Table1[],5,FALSE)</f>
        <v>NDC</v>
      </c>
      <c r="E1461" s="233" t="str">
        <f>VLOOKUP(Table8[[#This Row],[Document ID]],Table1[],7,FALSE)</f>
        <v>First NDC updated</v>
      </c>
      <c r="F1461" s="233" t="str">
        <f>VLOOKUP(Table8[[#This Row],[Document ID]],Table1[],8,FALSE)</f>
        <v>NDC 1.1</v>
      </c>
      <c r="G1461" s="233" t="str">
        <f>VLOOKUP(Table8[[#This Row],[Document ID]],Table1[],10,FALSE)</f>
        <v>Active</v>
      </c>
      <c r="H1461" s="44" t="s">
        <v>2338</v>
      </c>
      <c r="I1461" s="44" t="s">
        <v>2339</v>
      </c>
      <c r="J1461" s="44" t="s">
        <v>2451</v>
      </c>
      <c r="K1461" s="44" t="s">
        <v>3702</v>
      </c>
      <c r="L1461" s="44" t="s">
        <v>2333</v>
      </c>
      <c r="M1461" s="43">
        <v>32</v>
      </c>
      <c r="N1461" s="113"/>
      <c r="O1461" s="113"/>
      <c r="P1461" s="113"/>
      <c r="Q1461" s="113"/>
      <c r="R1461" s="113"/>
      <c r="S1461" s="113" t="s">
        <v>1113</v>
      </c>
      <c r="T1461" s="113"/>
      <c r="U1461" s="113"/>
      <c r="V1461" s="113"/>
      <c r="W1461" s="113"/>
      <c r="X1461" s="113"/>
      <c r="Y1461" s="113"/>
      <c r="Z1461" s="113"/>
      <c r="AA1461" s="113"/>
      <c r="AB1461" s="113"/>
      <c r="AC1461" s="113"/>
      <c r="AD1461" s="113"/>
      <c r="AE1461" s="113"/>
      <c r="AF1461" s="113"/>
      <c r="AG1461" s="113"/>
      <c r="AH1461" s="113"/>
      <c r="AI1461" s="113"/>
      <c r="AJ1461" s="113"/>
      <c r="AK1461" s="113" t="s">
        <v>1113</v>
      </c>
      <c r="AL1461" s="113"/>
      <c r="AM1461" s="113"/>
      <c r="AN1461" s="113"/>
      <c r="AO1461" s="44" t="s">
        <v>2334</v>
      </c>
      <c r="AP1461" s="43"/>
      <c r="AQ1461" s="236" t="str">
        <f>VLOOKUP(Table8[[#This Row],[Instrument]],Def_Targets!$D$73:$E$159,2,FALSE)</f>
        <v>I_Inspection</v>
      </c>
      <c r="AR1461" s="233" t="str">
        <f>VLOOKUP(Table8[[#This Row],[Country Code]],Table29[],3,FALSE)</f>
        <v>Non-Annex I</v>
      </c>
      <c r="AS1461" s="233" t="str">
        <f>VLOOKUP(Table8[[#This Row],[Country Code]],Table29[],4,FALSE)</f>
        <v>Asia</v>
      </c>
      <c r="AT1461" s="233" t="str">
        <f>VLOOKUP(Table8[[#This Row],[Country Code]],Table29[],5,FALSE)</f>
        <v>Middle-income</v>
      </c>
      <c r="AU1461" s="233" t="str">
        <f>VLOOKUP(Table8[[#This Row],[Country Code]],Table29[],6,FALSE)</f>
        <v>no</v>
      </c>
      <c r="AV1461" s="233" t="str">
        <f>VLOOKUP(Table8[[#This Row],[Country Code]],Table29[],7,FALSE)</f>
        <v>no</v>
      </c>
      <c r="AW1461" s="233" t="str">
        <f>VLOOKUP(Table8[[#This Row],[Country Code]],Table29[],8,FALSE)</f>
        <v>non-OECD</v>
      </c>
      <c r="AX1461" s="233" t="str">
        <f>VLOOKUP(Table8[[#This Row],[Country Code]],Table29[],9,FALSE)</f>
        <v>no</v>
      </c>
      <c r="AY1461" s="233" t="str">
        <f>VLOOKUP(Table8[[#This Row],[Country Code]],Table29[],10,FALSE)</f>
        <v>no</v>
      </c>
      <c r="AZ1461" s="235">
        <f>VLOOKUP(Table8[[#This Row],[Country Code]],Table29[],23,FALSE)</f>
        <v>115.07725289766</v>
      </c>
      <c r="BA1461" s="235">
        <f>VLOOKUP(Table8[[#This Row],[Country Code]],Table29[],24,FALSE)</f>
        <v>5.5409798384290738</v>
      </c>
      <c r="BB1461" s="320"/>
      <c r="BC1461" s="320"/>
    </row>
    <row r="1462" spans="1:55" ht="30" hidden="1" x14ac:dyDescent="0.25">
      <c r="A1462" s="373">
        <v>28253</v>
      </c>
      <c r="B1462" s="233" t="str">
        <f>VLOOKUP(Table8[[#This Row],[Document ID]],Table1[],2,FALSE)</f>
        <v>MMR</v>
      </c>
      <c r="C1462" s="233" t="str">
        <f>VLOOKUP(Table8[[#This Row],[Document ID]],Table1[],3,FALSE)</f>
        <v>Myanmar</v>
      </c>
      <c r="D1462" s="243" t="str">
        <f>VLOOKUP(Table8[[#This Row],[Document ID]],Table1[],5,FALSE)</f>
        <v>NDC</v>
      </c>
      <c r="E1462" s="233" t="str">
        <f>VLOOKUP(Table8[[#This Row],[Document ID]],Table1[],7,FALSE)</f>
        <v>First NDC updated</v>
      </c>
      <c r="F1462" s="233" t="str">
        <f>VLOOKUP(Table8[[#This Row],[Document ID]],Table1[],8,FALSE)</f>
        <v>NDC 1.1</v>
      </c>
      <c r="G1462" s="233" t="str">
        <f>VLOOKUP(Table8[[#This Row],[Document ID]],Table1[],10,FALSE)</f>
        <v>Active</v>
      </c>
      <c r="H1462" s="43" t="s">
        <v>2350</v>
      </c>
      <c r="I1462" s="43" t="s">
        <v>2456</v>
      </c>
      <c r="J1462" s="44" t="s">
        <v>2466</v>
      </c>
      <c r="K1462" s="44" t="s">
        <v>3703</v>
      </c>
      <c r="L1462" s="44" t="s">
        <v>2471</v>
      </c>
      <c r="M1462" s="43">
        <v>32</v>
      </c>
      <c r="N1462" s="113"/>
      <c r="O1462" s="113"/>
      <c r="P1462" s="113"/>
      <c r="Q1462" s="113"/>
      <c r="R1462" s="113"/>
      <c r="S1462" s="113"/>
      <c r="T1462" s="113"/>
      <c r="U1462" s="113"/>
      <c r="V1462" s="113"/>
      <c r="W1462" s="113"/>
      <c r="X1462" s="113"/>
      <c r="Y1462" s="113"/>
      <c r="Z1462" s="113" t="s">
        <v>1113</v>
      </c>
      <c r="AA1462" s="113"/>
      <c r="AB1462" s="113"/>
      <c r="AC1462" s="113"/>
      <c r="AD1462" s="113"/>
      <c r="AE1462" s="113"/>
      <c r="AF1462" s="113"/>
      <c r="AG1462" s="113"/>
      <c r="AH1462" s="113"/>
      <c r="AI1462" s="113"/>
      <c r="AJ1462" s="113"/>
      <c r="AK1462" s="113"/>
      <c r="AL1462" s="113"/>
      <c r="AM1462" s="113" t="s">
        <v>1113</v>
      </c>
      <c r="AN1462" s="113"/>
      <c r="AO1462" s="44" t="s">
        <v>2334</v>
      </c>
      <c r="AP1462" s="43"/>
      <c r="AQ1462" s="236" t="str">
        <f>VLOOKUP(Table8[[#This Row],[Instrument]],Def_Targets!$D$73:$E$159,2,FALSE)</f>
        <v>S_Infraexpansion</v>
      </c>
      <c r="AR1462" s="233" t="str">
        <f>VLOOKUP(Table8[[#This Row],[Country Code]],Table29[],3,FALSE)</f>
        <v>Non-Annex I</v>
      </c>
      <c r="AS1462" s="233" t="str">
        <f>VLOOKUP(Table8[[#This Row],[Country Code]],Table29[],4,FALSE)</f>
        <v>Asia</v>
      </c>
      <c r="AT1462" s="233" t="str">
        <f>VLOOKUP(Table8[[#This Row],[Country Code]],Table29[],5,FALSE)</f>
        <v>Middle-income</v>
      </c>
      <c r="AU1462" s="233" t="str">
        <f>VLOOKUP(Table8[[#This Row],[Country Code]],Table29[],6,FALSE)</f>
        <v>no</v>
      </c>
      <c r="AV1462" s="233" t="str">
        <f>VLOOKUP(Table8[[#This Row],[Country Code]],Table29[],7,FALSE)</f>
        <v>no</v>
      </c>
      <c r="AW1462" s="233" t="str">
        <f>VLOOKUP(Table8[[#This Row],[Country Code]],Table29[],8,FALSE)</f>
        <v>non-OECD</v>
      </c>
      <c r="AX1462" s="233" t="str">
        <f>VLOOKUP(Table8[[#This Row],[Country Code]],Table29[],9,FALSE)</f>
        <v>no</v>
      </c>
      <c r="AY1462" s="233" t="str">
        <f>VLOOKUP(Table8[[#This Row],[Country Code]],Table29[],10,FALSE)</f>
        <v>no</v>
      </c>
      <c r="AZ1462" s="235">
        <f>VLOOKUP(Table8[[#This Row],[Country Code]],Table29[],23,FALSE)</f>
        <v>115.07725289766</v>
      </c>
      <c r="BA1462" s="235">
        <f>VLOOKUP(Table8[[#This Row],[Country Code]],Table29[],24,FALSE)</f>
        <v>5.5409798384290738</v>
      </c>
      <c r="BB1462" s="320"/>
      <c r="BC1462" s="320"/>
    </row>
    <row r="1463" spans="1:55" ht="30" hidden="1" x14ac:dyDescent="0.25">
      <c r="A1463" s="373">
        <v>28253</v>
      </c>
      <c r="B1463" s="233" t="str">
        <f>VLOOKUP(Table8[[#This Row],[Document ID]],Table1[],2,FALSE)</f>
        <v>MMR</v>
      </c>
      <c r="C1463" s="233" t="str">
        <f>VLOOKUP(Table8[[#This Row],[Document ID]],Table1[],3,FALSE)</f>
        <v>Myanmar</v>
      </c>
      <c r="D1463" s="243" t="str">
        <f>VLOOKUP(Table8[[#This Row],[Document ID]],Table1[],5,FALSE)</f>
        <v>NDC</v>
      </c>
      <c r="E1463" s="233" t="str">
        <f>VLOOKUP(Table8[[#This Row],[Document ID]],Table1[],7,FALSE)</f>
        <v>First NDC updated</v>
      </c>
      <c r="F1463" s="233" t="str">
        <f>VLOOKUP(Table8[[#This Row],[Document ID]],Table1[],8,FALSE)</f>
        <v>NDC 1.1</v>
      </c>
      <c r="G1463" s="233" t="str">
        <f>VLOOKUP(Table8[[#This Row],[Document ID]],Table1[],10,FALSE)</f>
        <v>Active</v>
      </c>
      <c r="H1463" s="43" t="s">
        <v>2358</v>
      </c>
      <c r="I1463" s="43" t="s">
        <v>2359</v>
      </c>
      <c r="J1463" s="44" t="s">
        <v>2360</v>
      </c>
      <c r="K1463" s="44" t="s">
        <v>3704</v>
      </c>
      <c r="L1463" s="44" t="s">
        <v>2333</v>
      </c>
      <c r="M1463" s="43">
        <v>32</v>
      </c>
      <c r="N1463" s="113"/>
      <c r="O1463" s="113"/>
      <c r="P1463" s="113"/>
      <c r="Q1463" s="113"/>
      <c r="R1463" s="113"/>
      <c r="S1463" s="113"/>
      <c r="T1463" s="113"/>
      <c r="U1463" s="113"/>
      <c r="V1463" s="113"/>
      <c r="W1463" s="113"/>
      <c r="X1463" s="113"/>
      <c r="Y1463" s="113"/>
      <c r="Z1463" s="113" t="s">
        <v>1113</v>
      </c>
      <c r="AA1463" s="113"/>
      <c r="AB1463" s="113"/>
      <c r="AC1463" s="113"/>
      <c r="AD1463" s="113"/>
      <c r="AE1463" s="113"/>
      <c r="AF1463" s="113"/>
      <c r="AG1463" s="113"/>
      <c r="AH1463" s="113"/>
      <c r="AI1463" s="113"/>
      <c r="AJ1463" s="113"/>
      <c r="AK1463" s="113" t="s">
        <v>1113</v>
      </c>
      <c r="AL1463" s="113"/>
      <c r="AM1463" s="113"/>
      <c r="AN1463" s="113"/>
      <c r="AO1463" s="44" t="s">
        <v>2334</v>
      </c>
      <c r="AP1463" s="43"/>
      <c r="AQ1463" s="236" t="str">
        <f>VLOOKUP(Table8[[#This Row],[Instrument]],Def_Targets!$D$73:$E$159,2,FALSE)</f>
        <v>I_Emobility</v>
      </c>
      <c r="AR1463" s="233" t="str">
        <f>VLOOKUP(Table8[[#This Row],[Country Code]],Table29[],3,FALSE)</f>
        <v>Non-Annex I</v>
      </c>
      <c r="AS1463" s="233" t="str">
        <f>VLOOKUP(Table8[[#This Row],[Country Code]],Table29[],4,FALSE)</f>
        <v>Asia</v>
      </c>
      <c r="AT1463" s="233" t="str">
        <f>VLOOKUP(Table8[[#This Row],[Country Code]],Table29[],5,FALSE)</f>
        <v>Middle-income</v>
      </c>
      <c r="AU1463" s="233" t="str">
        <f>VLOOKUP(Table8[[#This Row],[Country Code]],Table29[],6,FALSE)</f>
        <v>no</v>
      </c>
      <c r="AV1463" s="233" t="str">
        <f>VLOOKUP(Table8[[#This Row],[Country Code]],Table29[],7,FALSE)</f>
        <v>no</v>
      </c>
      <c r="AW1463" s="233" t="str">
        <f>VLOOKUP(Table8[[#This Row],[Country Code]],Table29[],8,FALSE)</f>
        <v>non-OECD</v>
      </c>
      <c r="AX1463" s="233" t="str">
        <f>VLOOKUP(Table8[[#This Row],[Country Code]],Table29[],9,FALSE)</f>
        <v>no</v>
      </c>
      <c r="AY1463" s="233" t="str">
        <f>VLOOKUP(Table8[[#This Row],[Country Code]],Table29[],10,FALSE)</f>
        <v>no</v>
      </c>
      <c r="AZ1463" s="235">
        <f>VLOOKUP(Table8[[#This Row],[Country Code]],Table29[],23,FALSE)</f>
        <v>115.07725289766</v>
      </c>
      <c r="BA1463" s="235">
        <f>VLOOKUP(Table8[[#This Row],[Country Code]],Table29[],24,FALSE)</f>
        <v>5.5409798384290738</v>
      </c>
      <c r="BB1463" s="320"/>
      <c r="BC1463" s="320"/>
    </row>
    <row r="1464" spans="1:55" hidden="1" x14ac:dyDescent="0.25">
      <c r="A1464" s="373">
        <v>28253</v>
      </c>
      <c r="B1464" s="233" t="str">
        <f>VLOOKUP(Table8[[#This Row],[Document ID]],Table1[],2,FALSE)</f>
        <v>MMR</v>
      </c>
      <c r="C1464" s="233" t="str">
        <f>VLOOKUP(Table8[[#This Row],[Document ID]],Table1[],3,FALSE)</f>
        <v>Myanmar</v>
      </c>
      <c r="D1464" s="243" t="str">
        <f>VLOOKUP(Table8[[#This Row],[Document ID]],Table1[],5,FALSE)</f>
        <v>NDC</v>
      </c>
      <c r="E1464" s="233" t="str">
        <f>VLOOKUP(Table8[[#This Row],[Document ID]],Table1[],7,FALSE)</f>
        <v>First NDC updated</v>
      </c>
      <c r="F1464" s="233" t="str">
        <f>VLOOKUP(Table8[[#This Row],[Document ID]],Table1[],8,FALSE)</f>
        <v>NDC 1.1</v>
      </c>
      <c r="G1464" s="233" t="str">
        <f>VLOOKUP(Table8[[#This Row],[Document ID]],Table1[],10,FALSE)</f>
        <v>Active</v>
      </c>
      <c r="H1464" s="43" t="s">
        <v>2343</v>
      </c>
      <c r="I1464" s="43" t="s">
        <v>2344</v>
      </c>
      <c r="J1464" s="44" t="s">
        <v>2564</v>
      </c>
      <c r="K1464" s="44" t="s">
        <v>3705</v>
      </c>
      <c r="L1464" s="44" t="s">
        <v>2347</v>
      </c>
      <c r="M1464" s="43">
        <v>32</v>
      </c>
      <c r="N1464" s="113"/>
      <c r="O1464" s="113"/>
      <c r="P1464" s="113"/>
      <c r="Q1464" s="113"/>
      <c r="R1464" s="113"/>
      <c r="S1464" s="113"/>
      <c r="T1464" s="113"/>
      <c r="U1464" s="113"/>
      <c r="V1464" s="113"/>
      <c r="W1464" s="113"/>
      <c r="X1464" s="113"/>
      <c r="Y1464" s="113"/>
      <c r="Z1464" s="113" t="s">
        <v>1113</v>
      </c>
      <c r="AA1464" s="113"/>
      <c r="AB1464" s="113"/>
      <c r="AC1464" s="113"/>
      <c r="AD1464" s="113"/>
      <c r="AE1464" s="113"/>
      <c r="AF1464" s="113"/>
      <c r="AG1464" s="113"/>
      <c r="AH1464" s="113"/>
      <c r="AI1464" s="113"/>
      <c r="AJ1464" s="113"/>
      <c r="AK1464" s="113"/>
      <c r="AL1464" s="113" t="s">
        <v>1113</v>
      </c>
      <c r="AM1464" s="113"/>
      <c r="AN1464" s="113"/>
      <c r="AO1464" s="44" t="s">
        <v>2334</v>
      </c>
      <c r="AP1464" s="43"/>
      <c r="AQ1464" s="236" t="str">
        <f>VLOOKUP(Table8[[#This Row],[Instrument]],Def_Targets!$D$73:$E$159,2,FALSE)</f>
        <v>S_PTPriority</v>
      </c>
      <c r="AR1464" s="233" t="str">
        <f>VLOOKUP(Table8[[#This Row],[Country Code]],Table29[],3,FALSE)</f>
        <v>Non-Annex I</v>
      </c>
      <c r="AS1464" s="233" t="str">
        <f>VLOOKUP(Table8[[#This Row],[Country Code]],Table29[],4,FALSE)</f>
        <v>Asia</v>
      </c>
      <c r="AT1464" s="233" t="str">
        <f>VLOOKUP(Table8[[#This Row],[Country Code]],Table29[],5,FALSE)</f>
        <v>Middle-income</v>
      </c>
      <c r="AU1464" s="233" t="str">
        <f>VLOOKUP(Table8[[#This Row],[Country Code]],Table29[],6,FALSE)</f>
        <v>no</v>
      </c>
      <c r="AV1464" s="233" t="str">
        <f>VLOOKUP(Table8[[#This Row],[Country Code]],Table29[],7,FALSE)</f>
        <v>no</v>
      </c>
      <c r="AW1464" s="233" t="str">
        <f>VLOOKUP(Table8[[#This Row],[Country Code]],Table29[],8,FALSE)</f>
        <v>non-OECD</v>
      </c>
      <c r="AX1464" s="233" t="str">
        <f>VLOOKUP(Table8[[#This Row],[Country Code]],Table29[],9,FALSE)</f>
        <v>no</v>
      </c>
      <c r="AY1464" s="233" t="str">
        <f>VLOOKUP(Table8[[#This Row],[Country Code]],Table29[],10,FALSE)</f>
        <v>no</v>
      </c>
      <c r="AZ1464" s="235">
        <f>VLOOKUP(Table8[[#This Row],[Country Code]],Table29[],23,FALSE)</f>
        <v>115.07725289766</v>
      </c>
      <c r="BA1464" s="235">
        <f>VLOOKUP(Table8[[#This Row],[Country Code]],Table29[],24,FALSE)</f>
        <v>5.5409798384290738</v>
      </c>
      <c r="BB1464" s="320"/>
      <c r="BC1464" s="320"/>
    </row>
    <row r="1465" spans="1:55" s="17" customFormat="1" ht="30" hidden="1" x14ac:dyDescent="0.25">
      <c r="A1465" s="373">
        <v>28253</v>
      </c>
      <c r="B1465" s="233" t="str">
        <f>VLOOKUP(Table8[[#This Row],[Document ID]],Table1[],2,FALSE)</f>
        <v>MMR</v>
      </c>
      <c r="C1465" s="233" t="str">
        <f>VLOOKUP(Table8[[#This Row],[Document ID]],Table1[],3,FALSE)</f>
        <v>Myanmar</v>
      </c>
      <c r="D1465" s="243" t="str">
        <f>VLOOKUP(Table8[[#This Row],[Document ID]],Table1[],5,FALSE)</f>
        <v>NDC</v>
      </c>
      <c r="E1465" s="233" t="str">
        <f>VLOOKUP(Table8[[#This Row],[Document ID]],Table1[],7,FALSE)</f>
        <v>First NDC updated</v>
      </c>
      <c r="F1465" s="233" t="str">
        <f>VLOOKUP(Table8[[#This Row],[Document ID]],Table1[],8,FALSE)</f>
        <v>NDC 1.1</v>
      </c>
      <c r="G1465" s="233" t="str">
        <f>VLOOKUP(Table8[[#This Row],[Document ID]],Table1[],10,FALSE)</f>
        <v>Active</v>
      </c>
      <c r="H1465" s="43" t="s">
        <v>2350</v>
      </c>
      <c r="I1465" s="43" t="s">
        <v>2456</v>
      </c>
      <c r="J1465" s="44" t="s">
        <v>2457</v>
      </c>
      <c r="K1465" s="44" t="s">
        <v>3706</v>
      </c>
      <c r="L1465" s="44" t="s">
        <v>2347</v>
      </c>
      <c r="M1465" s="43">
        <v>32</v>
      </c>
      <c r="N1465" s="113"/>
      <c r="O1465" s="113"/>
      <c r="P1465" s="113"/>
      <c r="Q1465" s="113"/>
      <c r="R1465" s="113"/>
      <c r="S1465" s="113"/>
      <c r="T1465" s="113"/>
      <c r="U1465" s="113"/>
      <c r="V1465" s="113"/>
      <c r="W1465" s="113"/>
      <c r="X1465" s="113"/>
      <c r="Y1465" s="113"/>
      <c r="Z1465" s="113"/>
      <c r="AA1465" s="113"/>
      <c r="AB1465" s="113" t="s">
        <v>1113</v>
      </c>
      <c r="AC1465" s="113"/>
      <c r="AD1465" s="113"/>
      <c r="AE1465" s="113"/>
      <c r="AF1465" s="113"/>
      <c r="AG1465" s="113"/>
      <c r="AH1465" s="113"/>
      <c r="AI1465" s="113"/>
      <c r="AJ1465" s="113"/>
      <c r="AK1465" s="113"/>
      <c r="AL1465" s="113"/>
      <c r="AM1465" s="113"/>
      <c r="AN1465" s="113" t="s">
        <v>1113</v>
      </c>
      <c r="AO1465" s="44" t="s">
        <v>2334</v>
      </c>
      <c r="AP1465" s="43"/>
      <c r="AQ1465" s="236" t="str">
        <f>VLOOKUP(Table8[[#This Row],[Instrument]],Def_Targets!$D$73:$E$159,2,FALSE)</f>
        <v>S_Infraimprove</v>
      </c>
      <c r="AR1465" s="233" t="str">
        <f>VLOOKUP(Table8[[#This Row],[Country Code]],Table29[],3,FALSE)</f>
        <v>Non-Annex I</v>
      </c>
      <c r="AS1465" s="233" t="str">
        <f>VLOOKUP(Table8[[#This Row],[Country Code]],Table29[],4,FALSE)</f>
        <v>Asia</v>
      </c>
      <c r="AT1465" s="233" t="str">
        <f>VLOOKUP(Table8[[#This Row],[Country Code]],Table29[],5,FALSE)</f>
        <v>Middle-income</v>
      </c>
      <c r="AU1465" s="233" t="str">
        <f>VLOOKUP(Table8[[#This Row],[Country Code]],Table29[],6,FALSE)</f>
        <v>no</v>
      </c>
      <c r="AV1465" s="233" t="str">
        <f>VLOOKUP(Table8[[#This Row],[Country Code]],Table29[],7,FALSE)</f>
        <v>no</v>
      </c>
      <c r="AW1465" s="233" t="str">
        <f>VLOOKUP(Table8[[#This Row],[Country Code]],Table29[],8,FALSE)</f>
        <v>non-OECD</v>
      </c>
      <c r="AX1465" s="233" t="str">
        <f>VLOOKUP(Table8[[#This Row],[Country Code]],Table29[],9,FALSE)</f>
        <v>no</v>
      </c>
      <c r="AY1465" s="233" t="str">
        <f>VLOOKUP(Table8[[#This Row],[Country Code]],Table29[],10,FALSE)</f>
        <v>no</v>
      </c>
      <c r="AZ1465" s="235">
        <f>VLOOKUP(Table8[[#This Row],[Country Code]],Table29[],23,FALSE)</f>
        <v>115.07725289766</v>
      </c>
      <c r="BA1465" s="235">
        <f>VLOOKUP(Table8[[#This Row],[Country Code]],Table29[],24,FALSE)</f>
        <v>5.5409798384290738</v>
      </c>
      <c r="BB1465" s="320"/>
      <c r="BC1465" s="320"/>
    </row>
    <row r="1466" spans="1:55" s="17" customFormat="1" ht="60" hidden="1" x14ac:dyDescent="0.25">
      <c r="A1466" s="373">
        <v>28253</v>
      </c>
      <c r="B1466" s="233" t="str">
        <f>VLOOKUP(Table8[[#This Row],[Document ID]],Table1[],2,FALSE)</f>
        <v>MMR</v>
      </c>
      <c r="C1466" s="233" t="str">
        <f>VLOOKUP(Table8[[#This Row],[Document ID]],Table1[],3,FALSE)</f>
        <v>Myanmar</v>
      </c>
      <c r="D1466" s="243" t="str">
        <f>VLOOKUP(Table8[[#This Row],[Document ID]],Table1[],5,FALSE)</f>
        <v>NDC</v>
      </c>
      <c r="E1466" s="233" t="str">
        <f>VLOOKUP(Table8[[#This Row],[Document ID]],Table1[],7,FALSE)</f>
        <v>First NDC updated</v>
      </c>
      <c r="F1466" s="233" t="str">
        <f>VLOOKUP(Table8[[#This Row],[Document ID]],Table1[],8,FALSE)</f>
        <v>NDC 1.1</v>
      </c>
      <c r="G1466" s="233" t="str">
        <f>VLOOKUP(Table8[[#This Row],[Document ID]],Table1[],10,FALSE)</f>
        <v>Active</v>
      </c>
      <c r="H1466" s="43" t="s">
        <v>2484</v>
      </c>
      <c r="I1466" s="43" t="s">
        <v>2485</v>
      </c>
      <c r="J1466" s="44" t="s">
        <v>2486</v>
      </c>
      <c r="K1466" s="44" t="s">
        <v>3707</v>
      </c>
      <c r="L1466" s="44" t="s">
        <v>2333</v>
      </c>
      <c r="M1466" s="43">
        <v>32</v>
      </c>
      <c r="N1466" s="113"/>
      <c r="O1466" s="113"/>
      <c r="P1466" s="113"/>
      <c r="Q1466" s="113"/>
      <c r="R1466" s="113"/>
      <c r="S1466" s="113"/>
      <c r="T1466" s="113"/>
      <c r="U1466" s="113"/>
      <c r="V1466" s="113"/>
      <c r="W1466" s="113"/>
      <c r="X1466" s="113"/>
      <c r="Y1466" s="113"/>
      <c r="Z1466" s="113"/>
      <c r="AA1466" s="113"/>
      <c r="AB1466" s="113"/>
      <c r="AC1466" s="113"/>
      <c r="AD1466" s="113" t="s">
        <v>1113</v>
      </c>
      <c r="AE1466" s="113"/>
      <c r="AF1466" s="113"/>
      <c r="AG1466" s="113"/>
      <c r="AH1466" s="113"/>
      <c r="AI1466" s="113"/>
      <c r="AJ1466" s="113"/>
      <c r="AK1466" s="113" t="s">
        <v>1113</v>
      </c>
      <c r="AL1466" s="113"/>
      <c r="AM1466" s="113"/>
      <c r="AN1466" s="113"/>
      <c r="AO1466" s="44" t="s">
        <v>2334</v>
      </c>
      <c r="AP1466" s="43"/>
      <c r="AQ1466" s="236" t="str">
        <f>VLOOKUP(Table8[[#This Row],[Instrument]],Def_Targets!$D$73:$E$159,2,FALSE)</f>
        <v>I_Shipping</v>
      </c>
      <c r="AR1466" s="233" t="str">
        <f>VLOOKUP(Table8[[#This Row],[Country Code]],Table29[],3,FALSE)</f>
        <v>Non-Annex I</v>
      </c>
      <c r="AS1466" s="233" t="str">
        <f>VLOOKUP(Table8[[#This Row],[Country Code]],Table29[],4,FALSE)</f>
        <v>Asia</v>
      </c>
      <c r="AT1466" s="233" t="str">
        <f>VLOOKUP(Table8[[#This Row],[Country Code]],Table29[],5,FALSE)</f>
        <v>Middle-income</v>
      </c>
      <c r="AU1466" s="233" t="str">
        <f>VLOOKUP(Table8[[#This Row],[Country Code]],Table29[],6,FALSE)</f>
        <v>no</v>
      </c>
      <c r="AV1466" s="233" t="str">
        <f>VLOOKUP(Table8[[#This Row],[Country Code]],Table29[],7,FALSE)</f>
        <v>no</v>
      </c>
      <c r="AW1466" s="233" t="str">
        <f>VLOOKUP(Table8[[#This Row],[Country Code]],Table29[],8,FALSE)</f>
        <v>non-OECD</v>
      </c>
      <c r="AX1466" s="233" t="str">
        <f>VLOOKUP(Table8[[#This Row],[Country Code]],Table29[],9,FALSE)</f>
        <v>no</v>
      </c>
      <c r="AY1466" s="233" t="str">
        <f>VLOOKUP(Table8[[#This Row],[Country Code]],Table29[],10,FALSE)</f>
        <v>no</v>
      </c>
      <c r="AZ1466" s="235">
        <f>VLOOKUP(Table8[[#This Row],[Country Code]],Table29[],23,FALSE)</f>
        <v>115.07725289766</v>
      </c>
      <c r="BA1466" s="235">
        <f>VLOOKUP(Table8[[#This Row],[Country Code]],Table29[],24,FALSE)</f>
        <v>5.5409798384290738</v>
      </c>
      <c r="BB1466" s="320"/>
      <c r="BC1466" s="320"/>
    </row>
    <row r="1467" spans="1:55" s="17" customFormat="1" ht="45" hidden="1" x14ac:dyDescent="0.25">
      <c r="A1467" s="373">
        <v>28253</v>
      </c>
      <c r="B1467" s="233" t="str">
        <f>VLOOKUP(Table8[[#This Row],[Document ID]],Table1[],2,FALSE)</f>
        <v>MMR</v>
      </c>
      <c r="C1467" s="233" t="str">
        <f>VLOOKUP(Table8[[#This Row],[Document ID]],Table1[],3,FALSE)</f>
        <v>Myanmar</v>
      </c>
      <c r="D1467" s="243" t="str">
        <f>VLOOKUP(Table8[[#This Row],[Document ID]],Table1[],5,FALSE)</f>
        <v>NDC</v>
      </c>
      <c r="E1467" s="233" t="str">
        <f>VLOOKUP(Table8[[#This Row],[Document ID]],Table1[],7,FALSE)</f>
        <v>First NDC updated</v>
      </c>
      <c r="F1467" s="233" t="str">
        <f>VLOOKUP(Table8[[#This Row],[Document ID]],Table1[],8,FALSE)</f>
        <v>NDC 1.1</v>
      </c>
      <c r="G1467" s="233" t="str">
        <f>VLOOKUP(Table8[[#This Row],[Document ID]],Table1[],10,FALSE)</f>
        <v>Active</v>
      </c>
      <c r="H1467" s="43" t="s">
        <v>2484</v>
      </c>
      <c r="I1467" s="43" t="s">
        <v>2488</v>
      </c>
      <c r="J1467" s="44" t="s">
        <v>2489</v>
      </c>
      <c r="K1467" s="44" t="s">
        <v>3708</v>
      </c>
      <c r="L1467" s="44" t="s">
        <v>2333</v>
      </c>
      <c r="M1467" s="43">
        <v>33</v>
      </c>
      <c r="N1467" s="113"/>
      <c r="O1467" s="113"/>
      <c r="P1467" s="113"/>
      <c r="Q1467" s="113"/>
      <c r="R1467" s="113"/>
      <c r="S1467" s="113"/>
      <c r="T1467" s="113"/>
      <c r="U1467" s="113"/>
      <c r="V1467" s="113"/>
      <c r="W1467" s="113"/>
      <c r="X1467" s="113"/>
      <c r="Y1467" s="113"/>
      <c r="Z1467" s="113"/>
      <c r="AA1467" s="113"/>
      <c r="AB1467" s="113"/>
      <c r="AC1467" s="113"/>
      <c r="AD1467" s="113"/>
      <c r="AE1467" s="113"/>
      <c r="AF1467" s="113"/>
      <c r="AG1467" s="113"/>
      <c r="AH1467" s="113" t="s">
        <v>1113</v>
      </c>
      <c r="AI1467" s="113"/>
      <c r="AJ1467" s="113"/>
      <c r="AK1467" s="113" t="s">
        <v>1113</v>
      </c>
      <c r="AL1467" s="113"/>
      <c r="AM1467" s="113"/>
      <c r="AN1467" s="113"/>
      <c r="AO1467" s="44" t="s">
        <v>2334</v>
      </c>
      <c r="AP1467" s="43"/>
      <c r="AQ1467" s="236" t="str">
        <f>VLOOKUP(Table8[[#This Row],[Instrument]],Def_Targets!$D$73:$E$159,2,FALSE)</f>
        <v>I_Aviation</v>
      </c>
      <c r="AR1467" s="233" t="str">
        <f>VLOOKUP(Table8[[#This Row],[Country Code]],Table29[],3,FALSE)</f>
        <v>Non-Annex I</v>
      </c>
      <c r="AS1467" s="233" t="str">
        <f>VLOOKUP(Table8[[#This Row],[Country Code]],Table29[],4,FALSE)</f>
        <v>Asia</v>
      </c>
      <c r="AT1467" s="233" t="str">
        <f>VLOOKUP(Table8[[#This Row],[Country Code]],Table29[],5,FALSE)</f>
        <v>Middle-income</v>
      </c>
      <c r="AU1467" s="233" t="str">
        <f>VLOOKUP(Table8[[#This Row],[Country Code]],Table29[],6,FALSE)</f>
        <v>no</v>
      </c>
      <c r="AV1467" s="233" t="str">
        <f>VLOOKUP(Table8[[#This Row],[Country Code]],Table29[],7,FALSE)</f>
        <v>no</v>
      </c>
      <c r="AW1467" s="233" t="str">
        <f>VLOOKUP(Table8[[#This Row],[Country Code]],Table29[],8,FALSE)</f>
        <v>non-OECD</v>
      </c>
      <c r="AX1467" s="233" t="str">
        <f>VLOOKUP(Table8[[#This Row],[Country Code]],Table29[],9,FALSE)</f>
        <v>no</v>
      </c>
      <c r="AY1467" s="233" t="str">
        <f>VLOOKUP(Table8[[#This Row],[Country Code]],Table29[],10,FALSE)</f>
        <v>no</v>
      </c>
      <c r="AZ1467" s="235">
        <f>VLOOKUP(Table8[[#This Row],[Country Code]],Table29[],23,FALSE)</f>
        <v>115.07725289766</v>
      </c>
      <c r="BA1467" s="235">
        <f>VLOOKUP(Table8[[#This Row],[Country Code]],Table29[],24,FALSE)</f>
        <v>5.5409798384290738</v>
      </c>
      <c r="BB1467" s="320"/>
      <c r="BC1467" s="320"/>
    </row>
    <row r="1468" spans="1:55" s="17" customFormat="1" ht="45" hidden="1" x14ac:dyDescent="0.25">
      <c r="A1468" s="373">
        <v>28253</v>
      </c>
      <c r="B1468" s="233" t="str">
        <f>VLOOKUP(Table8[[#This Row],[Document ID]],Table1[],2,FALSE)</f>
        <v>MMR</v>
      </c>
      <c r="C1468" s="233" t="str">
        <f>VLOOKUP(Table8[[#This Row],[Document ID]],Table1[],3,FALSE)</f>
        <v>Myanmar</v>
      </c>
      <c r="D1468" s="243" t="str">
        <f>VLOOKUP(Table8[[#This Row],[Document ID]],Table1[],5,FALSE)</f>
        <v>NDC</v>
      </c>
      <c r="E1468" s="233" t="str">
        <f>VLOOKUP(Table8[[#This Row],[Document ID]],Table1[],7,FALSE)</f>
        <v>First NDC updated</v>
      </c>
      <c r="F1468" s="233" t="str">
        <f>VLOOKUP(Table8[[#This Row],[Document ID]],Table1[],8,FALSE)</f>
        <v>NDC 1.1</v>
      </c>
      <c r="G1468" s="233" t="str">
        <f>VLOOKUP(Table8[[#This Row],[Document ID]],Table1[],10,FALSE)</f>
        <v>Active</v>
      </c>
      <c r="H1468" s="43" t="s">
        <v>2350</v>
      </c>
      <c r="I1468" s="43" t="s">
        <v>2370</v>
      </c>
      <c r="J1468" s="44" t="s">
        <v>2418</v>
      </c>
      <c r="K1468" s="44" t="s">
        <v>3709</v>
      </c>
      <c r="L1468" s="44" t="s">
        <v>2380</v>
      </c>
      <c r="M1468" s="43">
        <v>33</v>
      </c>
      <c r="N1468" s="113" t="s">
        <v>1113</v>
      </c>
      <c r="O1468" s="113"/>
      <c r="P1468" s="113"/>
      <c r="Q1468" s="113"/>
      <c r="R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t="s">
        <v>1113</v>
      </c>
      <c r="AM1468" s="113"/>
      <c r="AN1468" s="113"/>
      <c r="AO1468" s="44" t="s">
        <v>2334</v>
      </c>
      <c r="AP1468" s="43"/>
      <c r="AQ1468" s="236" t="str">
        <f>VLOOKUP(Table8[[#This Row],[Instrument]],Def_Targets!$D$73:$E$159,2,FALSE)</f>
        <v>A_Complan</v>
      </c>
      <c r="AR1468" s="233" t="str">
        <f>VLOOKUP(Table8[[#This Row],[Country Code]],Table29[],3,FALSE)</f>
        <v>Non-Annex I</v>
      </c>
      <c r="AS1468" s="233" t="str">
        <f>VLOOKUP(Table8[[#This Row],[Country Code]],Table29[],4,FALSE)</f>
        <v>Asia</v>
      </c>
      <c r="AT1468" s="233" t="str">
        <f>VLOOKUP(Table8[[#This Row],[Country Code]],Table29[],5,FALSE)</f>
        <v>Middle-income</v>
      </c>
      <c r="AU1468" s="233" t="str">
        <f>VLOOKUP(Table8[[#This Row],[Country Code]],Table29[],6,FALSE)</f>
        <v>no</v>
      </c>
      <c r="AV1468" s="233" t="str">
        <f>VLOOKUP(Table8[[#This Row],[Country Code]],Table29[],7,FALSE)</f>
        <v>no</v>
      </c>
      <c r="AW1468" s="233" t="str">
        <f>VLOOKUP(Table8[[#This Row],[Country Code]],Table29[],8,FALSE)</f>
        <v>non-OECD</v>
      </c>
      <c r="AX1468" s="233" t="str">
        <f>VLOOKUP(Table8[[#This Row],[Country Code]],Table29[],9,FALSE)</f>
        <v>no</v>
      </c>
      <c r="AY1468" s="233" t="str">
        <f>VLOOKUP(Table8[[#This Row],[Country Code]],Table29[],10,FALSE)</f>
        <v>no</v>
      </c>
      <c r="AZ1468" s="235">
        <f>VLOOKUP(Table8[[#This Row],[Country Code]],Table29[],23,FALSE)</f>
        <v>115.07725289766</v>
      </c>
      <c r="BA1468" s="235">
        <f>VLOOKUP(Table8[[#This Row],[Country Code]],Table29[],24,FALSE)</f>
        <v>5.5409798384290738</v>
      </c>
      <c r="BB1468" s="320"/>
      <c r="BC1468" s="320"/>
    </row>
    <row r="1469" spans="1:55" hidden="1" x14ac:dyDescent="0.25">
      <c r="A1469" s="373">
        <v>17672</v>
      </c>
      <c r="B1469" s="233" t="str">
        <f>VLOOKUP(Table8[[#This Row],[Document ID]],Table1[],2,FALSE)</f>
        <v>NAM</v>
      </c>
      <c r="C1469" s="233" t="str">
        <f>VLOOKUP(Table8[[#This Row],[Document ID]],Table1[],3,FALSE)</f>
        <v>Namibia</v>
      </c>
      <c r="D1469" s="243" t="str">
        <f>VLOOKUP(Table8[[#This Row],[Document ID]],Table1[],5,FALSE)</f>
        <v>NDC</v>
      </c>
      <c r="E1469" s="233" t="str">
        <f>VLOOKUP(Table8[[#This Row],[Document ID]],Table1[],7,FALSE)</f>
        <v>First NDC</v>
      </c>
      <c r="F1469" s="236" t="str">
        <f>VLOOKUP(Table8[[#This Row],[Document ID]],Table1[],8,FALSE)</f>
        <v>NDC 1.0</v>
      </c>
      <c r="G1469" s="236" t="str">
        <f>VLOOKUP(Table8[[#This Row],[Document ID]],Table1[],10,FALSE)</f>
        <v>Archived</v>
      </c>
      <c r="H1469" s="43" t="s">
        <v>2350</v>
      </c>
      <c r="I1469" s="43" t="s">
        <v>2351</v>
      </c>
      <c r="J1469" s="44" t="s">
        <v>2427</v>
      </c>
      <c r="K1469" s="44" t="s">
        <v>3710</v>
      </c>
      <c r="L1469" s="44" t="s">
        <v>2380</v>
      </c>
      <c r="M1469" s="43"/>
      <c r="N1469" s="113" t="s">
        <v>1113</v>
      </c>
      <c r="O1469" s="113"/>
      <c r="P1469" s="113"/>
      <c r="Q1469" s="319"/>
      <c r="R1469" s="319"/>
      <c r="S1469" s="319"/>
      <c r="T1469" s="319"/>
      <c r="U1469" s="319"/>
      <c r="V1469" s="319"/>
      <c r="W1469" s="319"/>
      <c r="X1469" s="319"/>
      <c r="Y1469" s="319"/>
      <c r="Z1469" s="319"/>
      <c r="AA1469" s="319"/>
      <c r="AB1469" s="319"/>
      <c r="AC1469" s="319"/>
      <c r="AD1469" s="319"/>
      <c r="AE1469" s="319"/>
      <c r="AF1469" s="319"/>
      <c r="AG1469" s="319"/>
      <c r="AH1469" s="319"/>
      <c r="AI1469" s="319"/>
      <c r="AJ1469" s="319"/>
      <c r="AK1469" s="319" t="s">
        <v>1113</v>
      </c>
      <c r="AL1469" s="319"/>
      <c r="AM1469" s="319"/>
      <c r="AN1469" s="319"/>
      <c r="AO1469" s="43" t="s">
        <v>2353</v>
      </c>
      <c r="AP1469" s="44"/>
      <c r="AQ1469" s="236" t="str">
        <f>VLOOKUP(Table8[[#This Row],[Instrument]],Def_Targets!$D$73:$E$159,2,FALSE)</f>
        <v>I_Load</v>
      </c>
      <c r="AR1469" s="233" t="str">
        <f>VLOOKUP(Table8[[#This Row],[Country Code]],Table29[],3,FALSE)</f>
        <v>Non-Annex I</v>
      </c>
      <c r="AS1469" s="233" t="str">
        <f>VLOOKUP(Table8[[#This Row],[Country Code]],Table29[],4,FALSE)</f>
        <v>Africa</v>
      </c>
      <c r="AT1469" s="233" t="str">
        <f>VLOOKUP(Table8[[#This Row],[Country Code]],Table29[],5,FALSE)</f>
        <v>Middle-income</v>
      </c>
      <c r="AU1469" s="233" t="str">
        <f>VLOOKUP(Table8[[#This Row],[Country Code]],Table29[],6,FALSE)</f>
        <v>no</v>
      </c>
      <c r="AV1469" s="233" t="str">
        <f>VLOOKUP(Table8[[#This Row],[Country Code]],Table29[],7,FALSE)</f>
        <v>no</v>
      </c>
      <c r="AW1469" s="233" t="str">
        <f>VLOOKUP(Table8[[#This Row],[Country Code]],Table29[],8,FALSE)</f>
        <v>non-OECD</v>
      </c>
      <c r="AX1469" s="233" t="str">
        <f>VLOOKUP(Table8[[#This Row],[Country Code]],Table29[],9,FALSE)</f>
        <v>no</v>
      </c>
      <c r="AY1469" s="233" t="str">
        <f>VLOOKUP(Table8[[#This Row],[Country Code]],Table29[],10,FALSE)</f>
        <v>no</v>
      </c>
      <c r="AZ1469" s="235">
        <f>VLOOKUP(Table8[[#This Row],[Country Code]],Table29[],23,FALSE)</f>
        <v>12.885675050293001</v>
      </c>
      <c r="BA1469" s="235">
        <f>VLOOKUP(Table8[[#This Row],[Country Code]],Table29[],24,FALSE)</f>
        <v>2.1850282301150679</v>
      </c>
      <c r="BB1469" s="320"/>
      <c r="BC1469" s="320"/>
    </row>
    <row r="1470" spans="1:55" hidden="1" x14ac:dyDescent="0.25">
      <c r="A1470" s="373">
        <v>17672</v>
      </c>
      <c r="B1470" s="233" t="str">
        <f>VLOOKUP(Table8[[#This Row],[Document ID]],Table1[],2,FALSE)</f>
        <v>NAM</v>
      </c>
      <c r="C1470" s="233" t="str">
        <f>VLOOKUP(Table8[[#This Row],[Document ID]],Table1[],3,FALSE)</f>
        <v>Namibia</v>
      </c>
      <c r="D1470" s="243" t="str">
        <f>VLOOKUP(Table8[[#This Row],[Document ID]],Table1[],5,FALSE)</f>
        <v>NDC</v>
      </c>
      <c r="E1470" s="233" t="str">
        <f>VLOOKUP(Table8[[#This Row],[Document ID]],Table1[],7,FALSE)</f>
        <v>First NDC</v>
      </c>
      <c r="F1470" s="236" t="str">
        <f>VLOOKUP(Table8[[#This Row],[Document ID]],Table1[],8,FALSE)</f>
        <v>NDC 1.0</v>
      </c>
      <c r="G1470" s="236" t="str">
        <f>VLOOKUP(Table8[[#This Row],[Document ID]],Table1[],10,FALSE)</f>
        <v>Archived</v>
      </c>
      <c r="H1470" s="43" t="s">
        <v>2350</v>
      </c>
      <c r="I1470" s="43" t="s">
        <v>2351</v>
      </c>
      <c r="J1470" s="44" t="s">
        <v>2447</v>
      </c>
      <c r="K1470" s="44" t="s">
        <v>3710</v>
      </c>
      <c r="L1470" s="44" t="s">
        <v>2333</v>
      </c>
      <c r="M1470" s="43"/>
      <c r="N1470" s="113" t="s">
        <v>1113</v>
      </c>
      <c r="O1470" s="113"/>
      <c r="P1470" s="113"/>
      <c r="Q1470" s="319"/>
      <c r="R1470" s="319"/>
      <c r="S1470" s="319"/>
      <c r="T1470" s="319"/>
      <c r="U1470" s="319"/>
      <c r="V1470" s="319"/>
      <c r="W1470" s="319"/>
      <c r="X1470" s="319"/>
      <c r="Y1470" s="319"/>
      <c r="Z1470" s="319"/>
      <c r="AA1470" s="319"/>
      <c r="AB1470" s="319"/>
      <c r="AC1470" s="319"/>
      <c r="AD1470" s="319"/>
      <c r="AE1470" s="319"/>
      <c r="AF1470" s="319"/>
      <c r="AG1470" s="319"/>
      <c r="AH1470" s="319"/>
      <c r="AI1470" s="319"/>
      <c r="AJ1470" s="319"/>
      <c r="AK1470" s="319" t="s">
        <v>1113</v>
      </c>
      <c r="AL1470" s="319"/>
      <c r="AM1470" s="319"/>
      <c r="AN1470" s="319"/>
      <c r="AO1470" s="43" t="s">
        <v>2353</v>
      </c>
      <c r="AP1470" s="44"/>
      <c r="AQ1470" s="236" t="str">
        <f>VLOOKUP(Table8[[#This Row],[Instrument]],Def_Targets!$D$73:$E$159,2,FALSE)</f>
        <v>I_Freighteff</v>
      </c>
      <c r="AR1470" s="233" t="str">
        <f>VLOOKUP(Table8[[#This Row],[Country Code]],Table29[],3,FALSE)</f>
        <v>Non-Annex I</v>
      </c>
      <c r="AS1470" s="233" t="str">
        <f>VLOOKUP(Table8[[#This Row],[Country Code]],Table29[],4,FALSE)</f>
        <v>Africa</v>
      </c>
      <c r="AT1470" s="233" t="str">
        <f>VLOOKUP(Table8[[#This Row],[Country Code]],Table29[],5,FALSE)</f>
        <v>Middle-income</v>
      </c>
      <c r="AU1470" s="233" t="str">
        <f>VLOOKUP(Table8[[#This Row],[Country Code]],Table29[],6,FALSE)</f>
        <v>no</v>
      </c>
      <c r="AV1470" s="233" t="str">
        <f>VLOOKUP(Table8[[#This Row],[Country Code]],Table29[],7,FALSE)</f>
        <v>no</v>
      </c>
      <c r="AW1470" s="233" t="str">
        <f>VLOOKUP(Table8[[#This Row],[Country Code]],Table29[],8,FALSE)</f>
        <v>non-OECD</v>
      </c>
      <c r="AX1470" s="233" t="str">
        <f>VLOOKUP(Table8[[#This Row],[Country Code]],Table29[],9,FALSE)</f>
        <v>no</v>
      </c>
      <c r="AY1470" s="233" t="str">
        <f>VLOOKUP(Table8[[#This Row],[Country Code]],Table29[],10,FALSE)</f>
        <v>no</v>
      </c>
      <c r="AZ1470" s="235">
        <f>VLOOKUP(Table8[[#This Row],[Country Code]],Table29[],23,FALSE)</f>
        <v>12.885675050293001</v>
      </c>
      <c r="BA1470" s="235">
        <f>VLOOKUP(Table8[[#This Row],[Country Code]],Table29[],24,FALSE)</f>
        <v>2.1850282301150679</v>
      </c>
      <c r="BB1470" s="320"/>
      <c r="BC1470" s="320"/>
    </row>
    <row r="1471" spans="1:55" hidden="1" x14ac:dyDescent="0.25">
      <c r="A1471" s="373">
        <v>17672</v>
      </c>
      <c r="B1471" s="233" t="str">
        <f>VLOOKUP(Table8[[#This Row],[Document ID]],Table1[],2,FALSE)</f>
        <v>NAM</v>
      </c>
      <c r="C1471" s="233" t="str">
        <f>VLOOKUP(Table8[[#This Row],[Document ID]],Table1[],3,FALSE)</f>
        <v>Namibia</v>
      </c>
      <c r="D1471" s="243" t="str">
        <f>VLOOKUP(Table8[[#This Row],[Document ID]],Table1[],5,FALSE)</f>
        <v>NDC</v>
      </c>
      <c r="E1471" s="233" t="str">
        <f>VLOOKUP(Table8[[#This Row],[Document ID]],Table1[],7,FALSE)</f>
        <v>First NDC</v>
      </c>
      <c r="F1471" s="236" t="str">
        <f>VLOOKUP(Table8[[#This Row],[Document ID]],Table1[],8,FALSE)</f>
        <v>NDC 1.0</v>
      </c>
      <c r="G1471" s="236" t="str">
        <f>VLOOKUP(Table8[[#This Row],[Document ID]],Table1[],10,FALSE)</f>
        <v>Archived</v>
      </c>
      <c r="H1471" s="43" t="s">
        <v>2343</v>
      </c>
      <c r="I1471" s="43" t="s">
        <v>2429</v>
      </c>
      <c r="J1471" s="44" t="s">
        <v>2513</v>
      </c>
      <c r="K1471" s="44" t="s">
        <v>3711</v>
      </c>
      <c r="L1471" s="44" t="s">
        <v>2347</v>
      </c>
      <c r="M1471" s="43"/>
      <c r="N1471" s="113"/>
      <c r="O1471" s="113"/>
      <c r="P1471" s="113"/>
      <c r="Q1471" s="319"/>
      <c r="R1471" s="319"/>
      <c r="S1471" s="319"/>
      <c r="T1471" s="319"/>
      <c r="U1471" s="113" t="s">
        <v>1113</v>
      </c>
      <c r="V1471" s="319"/>
      <c r="W1471" s="319"/>
      <c r="X1471" s="319"/>
      <c r="Y1471" s="319"/>
      <c r="Z1471" s="319"/>
      <c r="AA1471" s="319"/>
      <c r="AB1471" s="319"/>
      <c r="AC1471" s="319"/>
      <c r="AD1471" s="319"/>
      <c r="AE1471" s="319"/>
      <c r="AF1471" s="319"/>
      <c r="AG1471" s="319"/>
      <c r="AH1471" s="319"/>
      <c r="AI1471" s="319"/>
      <c r="AJ1471" s="319"/>
      <c r="AK1471" s="319" t="s">
        <v>1113</v>
      </c>
      <c r="AL1471" s="319"/>
      <c r="AM1471" s="319"/>
      <c r="AN1471" s="319"/>
      <c r="AO1471" s="43" t="s">
        <v>2348</v>
      </c>
      <c r="AP1471" s="44"/>
      <c r="AQ1471" s="236" t="str">
        <f>VLOOKUP(Table8[[#This Row],[Instrument]],Def_Targets!$D$73:$E$159,2,FALSE)</f>
        <v>S_Sharedmob</v>
      </c>
      <c r="AR1471" s="233" t="str">
        <f>VLOOKUP(Table8[[#This Row],[Country Code]],Table29[],3,FALSE)</f>
        <v>Non-Annex I</v>
      </c>
      <c r="AS1471" s="233" t="str">
        <f>VLOOKUP(Table8[[#This Row],[Country Code]],Table29[],4,FALSE)</f>
        <v>Africa</v>
      </c>
      <c r="AT1471" s="233" t="str">
        <f>VLOOKUP(Table8[[#This Row],[Country Code]],Table29[],5,FALSE)</f>
        <v>Middle-income</v>
      </c>
      <c r="AU1471" s="233" t="str">
        <f>VLOOKUP(Table8[[#This Row],[Country Code]],Table29[],6,FALSE)</f>
        <v>no</v>
      </c>
      <c r="AV1471" s="233" t="str">
        <f>VLOOKUP(Table8[[#This Row],[Country Code]],Table29[],7,FALSE)</f>
        <v>no</v>
      </c>
      <c r="AW1471" s="233" t="str">
        <f>VLOOKUP(Table8[[#This Row],[Country Code]],Table29[],8,FALSE)</f>
        <v>non-OECD</v>
      </c>
      <c r="AX1471" s="233" t="str">
        <f>VLOOKUP(Table8[[#This Row],[Country Code]],Table29[],9,FALSE)</f>
        <v>no</v>
      </c>
      <c r="AY1471" s="233" t="str">
        <f>VLOOKUP(Table8[[#This Row],[Country Code]],Table29[],10,FALSE)</f>
        <v>no</v>
      </c>
      <c r="AZ1471" s="235">
        <f>VLOOKUP(Table8[[#This Row],[Country Code]],Table29[],23,FALSE)</f>
        <v>12.885675050293001</v>
      </c>
      <c r="BA1471" s="235">
        <f>VLOOKUP(Table8[[#This Row],[Country Code]],Table29[],24,FALSE)</f>
        <v>2.1850282301150679</v>
      </c>
      <c r="BB1471" s="320"/>
      <c r="BC1471" s="320"/>
    </row>
    <row r="1472" spans="1:55" ht="30" hidden="1" x14ac:dyDescent="0.25">
      <c r="A1472" s="373">
        <v>17672</v>
      </c>
      <c r="B1472" s="233" t="str">
        <f>VLOOKUP(Table8[[#This Row],[Document ID]],Table1[],2,FALSE)</f>
        <v>NAM</v>
      </c>
      <c r="C1472" s="233" t="str">
        <f>VLOOKUP(Table8[[#This Row],[Document ID]],Table1[],3,FALSE)</f>
        <v>Namibia</v>
      </c>
      <c r="D1472" s="243" t="str">
        <f>VLOOKUP(Table8[[#This Row],[Document ID]],Table1[],5,FALSE)</f>
        <v>NDC</v>
      </c>
      <c r="E1472" s="233" t="str">
        <f>VLOOKUP(Table8[[#This Row],[Document ID]],Table1[],7,FALSE)</f>
        <v>First NDC</v>
      </c>
      <c r="F1472" s="236" t="str">
        <f>VLOOKUP(Table8[[#This Row],[Document ID]],Table1[],8,FALSE)</f>
        <v>NDC 1.0</v>
      </c>
      <c r="G1472" s="236" t="str">
        <f>VLOOKUP(Table8[[#This Row],[Document ID]],Table1[],10,FALSE)</f>
        <v>Archived</v>
      </c>
      <c r="H1472" s="43" t="s">
        <v>2343</v>
      </c>
      <c r="I1472" s="43" t="s">
        <v>2344</v>
      </c>
      <c r="J1472" s="44" t="s">
        <v>2405</v>
      </c>
      <c r="K1472" s="44" t="s">
        <v>3712</v>
      </c>
      <c r="L1472" s="44" t="s">
        <v>2347</v>
      </c>
      <c r="M1472" s="43"/>
      <c r="N1472" s="113"/>
      <c r="O1472" s="113"/>
      <c r="P1472" s="113"/>
      <c r="Q1472" s="319"/>
      <c r="R1472" s="319"/>
      <c r="S1472" s="319"/>
      <c r="T1472" s="319"/>
      <c r="U1472" s="319"/>
      <c r="V1472" s="319"/>
      <c r="W1472" s="113" t="s">
        <v>1113</v>
      </c>
      <c r="X1472" s="113"/>
      <c r="Y1472" s="113" t="s">
        <v>1113</v>
      </c>
      <c r="Z1472" s="113"/>
      <c r="AA1472" s="113"/>
      <c r="AB1472" s="113"/>
      <c r="AC1472" s="113" t="s">
        <v>1113</v>
      </c>
      <c r="AD1472" s="319"/>
      <c r="AE1472" s="319"/>
      <c r="AF1472" s="319"/>
      <c r="AG1472" s="319"/>
      <c r="AH1472" s="319"/>
      <c r="AI1472" s="319"/>
      <c r="AJ1472" s="319"/>
      <c r="AK1472" s="319"/>
      <c r="AL1472" s="113" t="s">
        <v>1113</v>
      </c>
      <c r="AM1472" s="319"/>
      <c r="AN1472" s="319"/>
      <c r="AO1472" s="43" t="s">
        <v>2348</v>
      </c>
      <c r="AP1472" s="44"/>
      <c r="AQ1472" s="236" t="str">
        <f>VLOOKUP(Table8[[#This Row],[Instrument]],Def_Targets!$D$73:$E$159,2,FALSE)</f>
        <v>S_PTIntegration</v>
      </c>
      <c r="AR1472" s="233" t="str">
        <f>VLOOKUP(Table8[[#This Row],[Country Code]],Table29[],3,FALSE)</f>
        <v>Non-Annex I</v>
      </c>
      <c r="AS1472" s="233" t="str">
        <f>VLOOKUP(Table8[[#This Row],[Country Code]],Table29[],4,FALSE)</f>
        <v>Africa</v>
      </c>
      <c r="AT1472" s="233" t="str">
        <f>VLOOKUP(Table8[[#This Row],[Country Code]],Table29[],5,FALSE)</f>
        <v>Middle-income</v>
      </c>
      <c r="AU1472" s="233" t="str">
        <f>VLOOKUP(Table8[[#This Row],[Country Code]],Table29[],6,FALSE)</f>
        <v>no</v>
      </c>
      <c r="AV1472" s="233" t="str">
        <f>VLOOKUP(Table8[[#This Row],[Country Code]],Table29[],7,FALSE)</f>
        <v>no</v>
      </c>
      <c r="AW1472" s="233" t="str">
        <f>VLOOKUP(Table8[[#This Row],[Country Code]],Table29[],8,FALSE)</f>
        <v>non-OECD</v>
      </c>
      <c r="AX1472" s="233" t="str">
        <f>VLOOKUP(Table8[[#This Row],[Country Code]],Table29[],9,FALSE)</f>
        <v>no</v>
      </c>
      <c r="AY1472" s="233" t="str">
        <f>VLOOKUP(Table8[[#This Row],[Country Code]],Table29[],10,FALSE)</f>
        <v>no</v>
      </c>
      <c r="AZ1472" s="235">
        <f>VLOOKUP(Table8[[#This Row],[Country Code]],Table29[],23,FALSE)</f>
        <v>12.885675050293001</v>
      </c>
      <c r="BA1472" s="235">
        <f>VLOOKUP(Table8[[#This Row],[Country Code]],Table29[],24,FALSE)</f>
        <v>2.1850282301150679</v>
      </c>
      <c r="BB1472" s="320"/>
      <c r="BC1472" s="320"/>
    </row>
    <row r="1473" spans="1:55" ht="45" hidden="1" x14ac:dyDescent="0.25">
      <c r="A1473" s="373">
        <v>21982</v>
      </c>
      <c r="B1473" s="233" t="str">
        <f>VLOOKUP(Table8[[#This Row],[Document ID]],Table1[],2,FALSE)</f>
        <v>NAM</v>
      </c>
      <c r="C1473" s="233" t="str">
        <f>VLOOKUP(Table8[[#This Row],[Document ID]],Table1[],3,FALSE)</f>
        <v>Namibia</v>
      </c>
      <c r="D1473" s="243" t="str">
        <f>VLOOKUP(Table8[[#This Row],[Document ID]],Table1[],5,FALSE)</f>
        <v>NDC</v>
      </c>
      <c r="E1473" s="233" t="str">
        <f>VLOOKUP(Table8[[#This Row],[Document ID]],Table1[],7,FALSE)</f>
        <v>First NDC updated</v>
      </c>
      <c r="F1473" s="233" t="str">
        <f>VLOOKUP(Table8[[#This Row],[Document ID]],Table1[],8,FALSE)</f>
        <v>NDC 1.1</v>
      </c>
      <c r="G1473" s="233" t="str">
        <f>VLOOKUP(Table8[[#This Row],[Document ID]],Table1[],10,FALSE)</f>
        <v>Archived</v>
      </c>
      <c r="H1473" s="44" t="s">
        <v>2338</v>
      </c>
      <c r="I1473" s="44" t="s">
        <v>2339</v>
      </c>
      <c r="J1473" s="44" t="s">
        <v>2413</v>
      </c>
      <c r="K1473" s="44" t="s">
        <v>3713</v>
      </c>
      <c r="L1473" s="44" t="s">
        <v>2333</v>
      </c>
      <c r="M1473" s="43">
        <v>15</v>
      </c>
      <c r="N1473" s="113"/>
      <c r="O1473" s="113"/>
      <c r="P1473" s="113"/>
      <c r="Q1473" s="113"/>
      <c r="R1473" s="113"/>
      <c r="S1473" s="113"/>
      <c r="T1473" s="113"/>
      <c r="U1473" s="113" t="s">
        <v>1113</v>
      </c>
      <c r="V1473" s="113"/>
      <c r="W1473" s="113"/>
      <c r="X1473" s="113"/>
      <c r="Y1473" s="113"/>
      <c r="Z1473" s="113"/>
      <c r="AA1473" s="113"/>
      <c r="AB1473" s="113"/>
      <c r="AC1473" s="113"/>
      <c r="AD1473" s="113"/>
      <c r="AE1473" s="113"/>
      <c r="AF1473" s="113"/>
      <c r="AG1473" s="113"/>
      <c r="AH1473" s="113"/>
      <c r="AI1473" s="113"/>
      <c r="AJ1473" s="113"/>
      <c r="AK1473" s="113" t="s">
        <v>1113</v>
      </c>
      <c r="AL1473" s="113"/>
      <c r="AM1473" s="113"/>
      <c r="AN1473" s="113"/>
      <c r="AO1473" s="43" t="s">
        <v>2353</v>
      </c>
      <c r="AP1473" s="43"/>
      <c r="AQ1473" s="236" t="str">
        <f>VLOOKUP(Table8[[#This Row],[Instrument]],Def_Targets!$D$73:$E$159,2,FALSE)</f>
        <v>I_Vehicleeff</v>
      </c>
      <c r="AR1473" s="233" t="str">
        <f>VLOOKUP(Table8[[#This Row],[Country Code]],Table29[],3,FALSE)</f>
        <v>Non-Annex I</v>
      </c>
      <c r="AS1473" s="233" t="str">
        <f>VLOOKUP(Table8[[#This Row],[Country Code]],Table29[],4,FALSE)</f>
        <v>Africa</v>
      </c>
      <c r="AT1473" s="233" t="str">
        <f>VLOOKUP(Table8[[#This Row],[Country Code]],Table29[],5,FALSE)</f>
        <v>Middle-income</v>
      </c>
      <c r="AU1473" s="233" t="str">
        <f>VLOOKUP(Table8[[#This Row],[Country Code]],Table29[],6,FALSE)</f>
        <v>no</v>
      </c>
      <c r="AV1473" s="233" t="str">
        <f>VLOOKUP(Table8[[#This Row],[Country Code]],Table29[],7,FALSE)</f>
        <v>no</v>
      </c>
      <c r="AW1473" s="233" t="str">
        <f>VLOOKUP(Table8[[#This Row],[Country Code]],Table29[],8,FALSE)</f>
        <v>non-OECD</v>
      </c>
      <c r="AX1473" s="233" t="str">
        <f>VLOOKUP(Table8[[#This Row],[Country Code]],Table29[],9,FALSE)</f>
        <v>no</v>
      </c>
      <c r="AY1473" s="233" t="str">
        <f>VLOOKUP(Table8[[#This Row],[Country Code]],Table29[],10,FALSE)</f>
        <v>no</v>
      </c>
      <c r="AZ1473" s="235">
        <f>VLOOKUP(Table8[[#This Row],[Country Code]],Table29[],23,FALSE)</f>
        <v>12.885675050293001</v>
      </c>
      <c r="BA1473" s="235">
        <f>VLOOKUP(Table8[[#This Row],[Country Code]],Table29[],24,FALSE)</f>
        <v>2.1850282301150679</v>
      </c>
      <c r="BB1473" s="320"/>
      <c r="BC1473" s="320"/>
    </row>
    <row r="1474" spans="1:55" ht="45" hidden="1" x14ac:dyDescent="0.25">
      <c r="A1474" s="373">
        <v>21982</v>
      </c>
      <c r="B1474" s="233" t="str">
        <f>VLOOKUP(Table8[[#This Row],[Document ID]],Table1[],2,FALSE)</f>
        <v>NAM</v>
      </c>
      <c r="C1474" s="233" t="str">
        <f>VLOOKUP(Table8[[#This Row],[Document ID]],Table1[],3,FALSE)</f>
        <v>Namibia</v>
      </c>
      <c r="D1474" s="243" t="str">
        <f>VLOOKUP(Table8[[#This Row],[Document ID]],Table1[],5,FALSE)</f>
        <v>NDC</v>
      </c>
      <c r="E1474" s="233" t="str">
        <f>VLOOKUP(Table8[[#This Row],[Document ID]],Table1[],7,FALSE)</f>
        <v>First NDC updated</v>
      </c>
      <c r="F1474" s="233" t="str">
        <f>VLOOKUP(Table8[[#This Row],[Document ID]],Table1[],8,FALSE)</f>
        <v>NDC 1.1</v>
      </c>
      <c r="G1474" s="233" t="str">
        <f>VLOOKUP(Table8[[#This Row],[Document ID]],Table1[],10,FALSE)</f>
        <v>Archived</v>
      </c>
      <c r="H1474" s="44" t="s">
        <v>2338</v>
      </c>
      <c r="I1474" s="44" t="s">
        <v>2339</v>
      </c>
      <c r="J1474" s="44" t="s">
        <v>2413</v>
      </c>
      <c r="K1474" s="44" t="s">
        <v>3713</v>
      </c>
      <c r="L1474" s="44" t="s">
        <v>2333</v>
      </c>
      <c r="M1474" s="43">
        <v>15</v>
      </c>
      <c r="N1474" s="113"/>
      <c r="O1474" s="113"/>
      <c r="P1474" s="113"/>
      <c r="Q1474" s="113"/>
      <c r="R1474" s="113"/>
      <c r="S1474" s="113"/>
      <c r="T1474" s="113"/>
      <c r="U1474" s="113" t="s">
        <v>1113</v>
      </c>
      <c r="V1474" s="113"/>
      <c r="W1474" s="113"/>
      <c r="X1474" s="113"/>
      <c r="Y1474" s="113"/>
      <c r="Z1474" s="113"/>
      <c r="AA1474" s="113"/>
      <c r="AB1474" s="113"/>
      <c r="AC1474" s="113"/>
      <c r="AD1474" s="113"/>
      <c r="AE1474" s="113"/>
      <c r="AF1474" s="113"/>
      <c r="AG1474" s="113"/>
      <c r="AH1474" s="113"/>
      <c r="AI1474" s="113"/>
      <c r="AJ1474" s="113"/>
      <c r="AK1474" s="113" t="s">
        <v>1113</v>
      </c>
      <c r="AL1474" s="113"/>
      <c r="AM1474" s="113"/>
      <c r="AN1474" s="113"/>
      <c r="AO1474" s="43" t="s">
        <v>2353</v>
      </c>
      <c r="AP1474" s="43"/>
      <c r="AQ1474" s="236" t="str">
        <f>VLOOKUP(Table8[[#This Row],[Instrument]],Def_Targets!$D$73:$E$159,2,FALSE)</f>
        <v>I_Vehicleeff</v>
      </c>
      <c r="AR1474" s="233" t="str">
        <f>VLOOKUP(Table8[[#This Row],[Country Code]],Table29[],3,FALSE)</f>
        <v>Non-Annex I</v>
      </c>
      <c r="AS1474" s="233" t="str">
        <f>VLOOKUP(Table8[[#This Row],[Country Code]],Table29[],4,FALSE)</f>
        <v>Africa</v>
      </c>
      <c r="AT1474" s="233" t="str">
        <f>VLOOKUP(Table8[[#This Row],[Country Code]],Table29[],5,FALSE)</f>
        <v>Middle-income</v>
      </c>
      <c r="AU1474" s="233" t="str">
        <f>VLOOKUP(Table8[[#This Row],[Country Code]],Table29[],6,FALSE)</f>
        <v>no</v>
      </c>
      <c r="AV1474" s="233" t="str">
        <f>VLOOKUP(Table8[[#This Row],[Country Code]],Table29[],7,FALSE)</f>
        <v>no</v>
      </c>
      <c r="AW1474" s="233" t="str">
        <f>VLOOKUP(Table8[[#This Row],[Country Code]],Table29[],8,FALSE)</f>
        <v>non-OECD</v>
      </c>
      <c r="AX1474" s="233" t="str">
        <f>VLOOKUP(Table8[[#This Row],[Country Code]],Table29[],9,FALSE)</f>
        <v>no</v>
      </c>
      <c r="AY1474" s="233" t="str">
        <f>VLOOKUP(Table8[[#This Row],[Country Code]],Table29[],10,FALSE)</f>
        <v>no</v>
      </c>
      <c r="AZ1474" s="235">
        <f>VLOOKUP(Table8[[#This Row],[Country Code]],Table29[],23,FALSE)</f>
        <v>12.885675050293001</v>
      </c>
      <c r="BA1474" s="235">
        <f>VLOOKUP(Table8[[#This Row],[Country Code]],Table29[],24,FALSE)</f>
        <v>2.1850282301150679</v>
      </c>
      <c r="BB1474" s="320"/>
      <c r="BC1474" s="320"/>
    </row>
    <row r="1475" spans="1:55" ht="45" hidden="1" x14ac:dyDescent="0.25">
      <c r="A1475" s="373">
        <v>21982</v>
      </c>
      <c r="B1475" s="233" t="str">
        <f>VLOOKUP(Table8[[#This Row],[Document ID]],Table1[],2,FALSE)</f>
        <v>NAM</v>
      </c>
      <c r="C1475" s="233" t="str">
        <f>VLOOKUP(Table8[[#This Row],[Document ID]],Table1[],3,FALSE)</f>
        <v>Namibia</v>
      </c>
      <c r="D1475" s="243" t="str">
        <f>VLOOKUP(Table8[[#This Row],[Document ID]],Table1[],5,FALSE)</f>
        <v>NDC</v>
      </c>
      <c r="E1475" s="233" t="str">
        <f>VLOOKUP(Table8[[#This Row],[Document ID]],Table1[],7,FALSE)</f>
        <v>First NDC updated</v>
      </c>
      <c r="F1475" s="233" t="str">
        <f>VLOOKUP(Table8[[#This Row],[Document ID]],Table1[],8,FALSE)</f>
        <v>NDC 1.1</v>
      </c>
      <c r="G1475" s="233" t="str">
        <f>VLOOKUP(Table8[[#This Row],[Document ID]],Table1[],10,FALSE)</f>
        <v>Archived</v>
      </c>
      <c r="H1475" s="44" t="s">
        <v>2329</v>
      </c>
      <c r="I1475" s="44" t="s">
        <v>2330</v>
      </c>
      <c r="J1475" s="44" t="s">
        <v>2391</v>
      </c>
      <c r="K1475" s="44" t="s">
        <v>3714</v>
      </c>
      <c r="L1475" s="44" t="s">
        <v>2333</v>
      </c>
      <c r="M1475" s="43" t="s">
        <v>3715</v>
      </c>
      <c r="N1475" s="113" t="s">
        <v>1113</v>
      </c>
      <c r="O1475" s="113"/>
      <c r="P1475" s="113"/>
      <c r="Q1475" s="113"/>
      <c r="R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t="s">
        <v>1113</v>
      </c>
      <c r="AL1475" s="113"/>
      <c r="AM1475" s="113"/>
      <c r="AN1475" s="113"/>
      <c r="AO1475" s="44" t="s">
        <v>2334</v>
      </c>
      <c r="AP1475" s="43"/>
      <c r="AQ1475" s="236" t="str">
        <f>VLOOKUP(Table8[[#This Row],[Instrument]],Def_Targets!$D$73:$E$159,2,FALSE)</f>
        <v>I_Hydrogen</v>
      </c>
      <c r="AR1475" s="233" t="str">
        <f>VLOOKUP(Table8[[#This Row],[Country Code]],Table29[],3,FALSE)</f>
        <v>Non-Annex I</v>
      </c>
      <c r="AS1475" s="233" t="str">
        <f>VLOOKUP(Table8[[#This Row],[Country Code]],Table29[],4,FALSE)</f>
        <v>Africa</v>
      </c>
      <c r="AT1475" s="233" t="str">
        <f>VLOOKUP(Table8[[#This Row],[Country Code]],Table29[],5,FALSE)</f>
        <v>Middle-income</v>
      </c>
      <c r="AU1475" s="233" t="str">
        <f>VLOOKUP(Table8[[#This Row],[Country Code]],Table29[],6,FALSE)</f>
        <v>no</v>
      </c>
      <c r="AV1475" s="233" t="str">
        <f>VLOOKUP(Table8[[#This Row],[Country Code]],Table29[],7,FALSE)</f>
        <v>no</v>
      </c>
      <c r="AW1475" s="233" t="str">
        <f>VLOOKUP(Table8[[#This Row],[Country Code]],Table29[],8,FALSE)</f>
        <v>non-OECD</v>
      </c>
      <c r="AX1475" s="233" t="str">
        <f>VLOOKUP(Table8[[#This Row],[Country Code]],Table29[],9,FALSE)</f>
        <v>no</v>
      </c>
      <c r="AY1475" s="233" t="str">
        <f>VLOOKUP(Table8[[#This Row],[Country Code]],Table29[],10,FALSE)</f>
        <v>no</v>
      </c>
      <c r="AZ1475" s="235">
        <f>VLOOKUP(Table8[[#This Row],[Country Code]],Table29[],23,FALSE)</f>
        <v>12.885675050293001</v>
      </c>
      <c r="BA1475" s="235">
        <f>VLOOKUP(Table8[[#This Row],[Country Code]],Table29[],24,FALSE)</f>
        <v>2.1850282301150679</v>
      </c>
      <c r="BB1475" s="320"/>
      <c r="BC1475" s="320"/>
    </row>
    <row r="1476" spans="1:55" s="17" customFormat="1" hidden="1" x14ac:dyDescent="0.25">
      <c r="A1476" s="373">
        <v>21982</v>
      </c>
      <c r="B1476" s="233" t="str">
        <f>VLOOKUP(Table8[[#This Row],[Document ID]],Table1[],2,FALSE)</f>
        <v>NAM</v>
      </c>
      <c r="C1476" s="233" t="str">
        <f>VLOOKUP(Table8[[#This Row],[Document ID]],Table1[],3,FALSE)</f>
        <v>Namibia</v>
      </c>
      <c r="D1476" s="243" t="str">
        <f>VLOOKUP(Table8[[#This Row],[Document ID]],Table1[],5,FALSE)</f>
        <v>NDC</v>
      </c>
      <c r="E1476" s="233" t="str">
        <f>VLOOKUP(Table8[[#This Row],[Document ID]],Table1[],7,FALSE)</f>
        <v>First NDC updated</v>
      </c>
      <c r="F1476" s="233" t="str">
        <f>VLOOKUP(Table8[[#This Row],[Document ID]],Table1[],8,FALSE)</f>
        <v>NDC 1.1</v>
      </c>
      <c r="G1476" s="233" t="str">
        <f>VLOOKUP(Table8[[#This Row],[Document ID]],Table1[],10,FALSE)</f>
        <v>Archived</v>
      </c>
      <c r="H1476" s="43" t="s">
        <v>2358</v>
      </c>
      <c r="I1476" s="43" t="s">
        <v>2359</v>
      </c>
      <c r="J1476" s="44" t="s">
        <v>2360</v>
      </c>
      <c r="K1476" s="44" t="s">
        <v>1906</v>
      </c>
      <c r="L1476" s="44" t="s">
        <v>2333</v>
      </c>
      <c r="M1476" s="43">
        <v>16</v>
      </c>
      <c r="N1476" s="113" t="s">
        <v>1113</v>
      </c>
      <c r="O1476" s="113"/>
      <c r="P1476" s="113"/>
      <c r="Q1476" s="113"/>
      <c r="R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t="s">
        <v>1113</v>
      </c>
      <c r="AL1476" s="113"/>
      <c r="AM1476" s="113"/>
      <c r="AN1476" s="113"/>
      <c r="AO1476" s="44" t="s">
        <v>2334</v>
      </c>
      <c r="AP1476" s="43"/>
      <c r="AQ1476" s="236" t="str">
        <f>VLOOKUP(Table8[[#This Row],[Instrument]],Def_Targets!$D$73:$E$159,2,FALSE)</f>
        <v>I_Emobility</v>
      </c>
      <c r="AR1476" s="233" t="str">
        <f>VLOOKUP(Table8[[#This Row],[Country Code]],Table29[],3,FALSE)</f>
        <v>Non-Annex I</v>
      </c>
      <c r="AS1476" s="233" t="str">
        <f>VLOOKUP(Table8[[#This Row],[Country Code]],Table29[],4,FALSE)</f>
        <v>Africa</v>
      </c>
      <c r="AT1476" s="233" t="str">
        <f>VLOOKUP(Table8[[#This Row],[Country Code]],Table29[],5,FALSE)</f>
        <v>Middle-income</v>
      </c>
      <c r="AU1476" s="233" t="str">
        <f>VLOOKUP(Table8[[#This Row],[Country Code]],Table29[],6,FALSE)</f>
        <v>no</v>
      </c>
      <c r="AV1476" s="233" t="str">
        <f>VLOOKUP(Table8[[#This Row],[Country Code]],Table29[],7,FALSE)</f>
        <v>no</v>
      </c>
      <c r="AW1476" s="233" t="str">
        <f>VLOOKUP(Table8[[#This Row],[Country Code]],Table29[],8,FALSE)</f>
        <v>non-OECD</v>
      </c>
      <c r="AX1476" s="233" t="str">
        <f>VLOOKUP(Table8[[#This Row],[Country Code]],Table29[],9,FALSE)</f>
        <v>no</v>
      </c>
      <c r="AY1476" s="233" t="str">
        <f>VLOOKUP(Table8[[#This Row],[Country Code]],Table29[],10,FALSE)</f>
        <v>no</v>
      </c>
      <c r="AZ1476" s="235">
        <f>VLOOKUP(Table8[[#This Row],[Country Code]],Table29[],23,FALSE)</f>
        <v>12.885675050293001</v>
      </c>
      <c r="BA1476" s="235">
        <f>VLOOKUP(Table8[[#This Row],[Country Code]],Table29[],24,FALSE)</f>
        <v>2.1850282301150679</v>
      </c>
      <c r="BB1476" s="320"/>
      <c r="BC1476" s="320"/>
    </row>
    <row r="1477" spans="1:55" s="17" customFormat="1" hidden="1" x14ac:dyDescent="0.25">
      <c r="A1477" s="373">
        <v>21982</v>
      </c>
      <c r="B1477" s="233" t="str">
        <f>VLOOKUP(Table8[[#This Row],[Document ID]],Table1[],2,FALSE)</f>
        <v>NAM</v>
      </c>
      <c r="C1477" s="233" t="str">
        <f>VLOOKUP(Table8[[#This Row],[Document ID]],Table1[],3,FALSE)</f>
        <v>Namibia</v>
      </c>
      <c r="D1477" s="243" t="str">
        <f>VLOOKUP(Table8[[#This Row],[Document ID]],Table1[],5,FALSE)</f>
        <v>NDC</v>
      </c>
      <c r="E1477" s="233" t="str">
        <f>VLOOKUP(Table8[[#This Row],[Document ID]],Table1[],7,FALSE)</f>
        <v>First NDC updated</v>
      </c>
      <c r="F1477" s="233" t="str">
        <f>VLOOKUP(Table8[[#This Row],[Document ID]],Table1[],8,FALSE)</f>
        <v>NDC 1.1</v>
      </c>
      <c r="G1477" s="233" t="str">
        <f>VLOOKUP(Table8[[#This Row],[Document ID]],Table1[],10,FALSE)</f>
        <v>Archived</v>
      </c>
      <c r="H1477" s="44" t="s">
        <v>2338</v>
      </c>
      <c r="I1477" s="44" t="s">
        <v>2339</v>
      </c>
      <c r="J1477" s="44" t="s">
        <v>2413</v>
      </c>
      <c r="K1477" s="44" t="s">
        <v>1907</v>
      </c>
      <c r="L1477" s="44" t="s">
        <v>2333</v>
      </c>
      <c r="M1477" s="43">
        <v>16</v>
      </c>
      <c r="N1477" s="113" t="s">
        <v>1113</v>
      </c>
      <c r="O1477" s="113"/>
      <c r="P1477" s="113"/>
      <c r="Q1477" s="113"/>
      <c r="R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t="s">
        <v>1113</v>
      </c>
      <c r="AL1477" s="113"/>
      <c r="AM1477" s="113"/>
      <c r="AN1477" s="113"/>
      <c r="AO1477" s="43" t="s">
        <v>2348</v>
      </c>
      <c r="AP1477" s="43"/>
      <c r="AQ1477" s="236" t="str">
        <f>VLOOKUP(Table8[[#This Row],[Instrument]],Def_Targets!$D$73:$E$159,2,FALSE)</f>
        <v>I_Vehicleeff</v>
      </c>
      <c r="AR1477" s="233" t="str">
        <f>VLOOKUP(Table8[[#This Row],[Country Code]],Table29[],3,FALSE)</f>
        <v>Non-Annex I</v>
      </c>
      <c r="AS1477" s="233" t="str">
        <f>VLOOKUP(Table8[[#This Row],[Country Code]],Table29[],4,FALSE)</f>
        <v>Africa</v>
      </c>
      <c r="AT1477" s="233" t="str">
        <f>VLOOKUP(Table8[[#This Row],[Country Code]],Table29[],5,FALSE)</f>
        <v>Middle-income</v>
      </c>
      <c r="AU1477" s="233" t="str">
        <f>VLOOKUP(Table8[[#This Row],[Country Code]],Table29[],6,FALSE)</f>
        <v>no</v>
      </c>
      <c r="AV1477" s="233" t="str">
        <f>VLOOKUP(Table8[[#This Row],[Country Code]],Table29[],7,FALSE)</f>
        <v>no</v>
      </c>
      <c r="AW1477" s="233" t="str">
        <f>VLOOKUP(Table8[[#This Row],[Country Code]],Table29[],8,FALSE)</f>
        <v>non-OECD</v>
      </c>
      <c r="AX1477" s="233" t="str">
        <f>VLOOKUP(Table8[[#This Row],[Country Code]],Table29[],9,FALSE)</f>
        <v>no</v>
      </c>
      <c r="AY1477" s="233" t="str">
        <f>VLOOKUP(Table8[[#This Row],[Country Code]],Table29[],10,FALSE)</f>
        <v>no</v>
      </c>
      <c r="AZ1477" s="235">
        <f>VLOOKUP(Table8[[#This Row],[Country Code]],Table29[],23,FALSE)</f>
        <v>12.885675050293001</v>
      </c>
      <c r="BA1477" s="235">
        <f>VLOOKUP(Table8[[#This Row],[Country Code]],Table29[],24,FALSE)</f>
        <v>2.1850282301150679</v>
      </c>
      <c r="BB1477" s="320"/>
      <c r="BC1477" s="320"/>
    </row>
    <row r="1478" spans="1:55" ht="90" hidden="1" x14ac:dyDescent="0.25">
      <c r="A1478" s="373">
        <v>21982</v>
      </c>
      <c r="B1478" s="233" t="str">
        <f>VLOOKUP(Table8[[#This Row],[Document ID]],Table1[],2,FALSE)</f>
        <v>NAM</v>
      </c>
      <c r="C1478" s="233" t="str">
        <f>VLOOKUP(Table8[[#This Row],[Document ID]],Table1[],3,FALSE)</f>
        <v>Namibia</v>
      </c>
      <c r="D1478" s="243" t="str">
        <f>VLOOKUP(Table8[[#This Row],[Document ID]],Table1[],5,FALSE)</f>
        <v>NDC</v>
      </c>
      <c r="E1478" s="233" t="str">
        <f>VLOOKUP(Table8[[#This Row],[Document ID]],Table1[],7,FALSE)</f>
        <v>First NDC updated</v>
      </c>
      <c r="F1478" s="233" t="str">
        <f>VLOOKUP(Table8[[#This Row],[Document ID]],Table1[],8,FALSE)</f>
        <v>NDC 1.1</v>
      </c>
      <c r="G1478" s="233" t="str">
        <f>VLOOKUP(Table8[[#This Row],[Document ID]],Table1[],10,FALSE)</f>
        <v>Archived</v>
      </c>
      <c r="H1478" s="44" t="s">
        <v>2329</v>
      </c>
      <c r="I1478" s="44" t="s">
        <v>2330</v>
      </c>
      <c r="J1478" s="44" t="s">
        <v>2381</v>
      </c>
      <c r="K1478" s="44" t="s">
        <v>3716</v>
      </c>
      <c r="L1478" s="44" t="s">
        <v>2333</v>
      </c>
      <c r="M1478" s="43">
        <v>19</v>
      </c>
      <c r="N1478" s="113" t="s">
        <v>1113</v>
      </c>
      <c r="O1478" s="113"/>
      <c r="P1478" s="113"/>
      <c r="Q1478" s="113"/>
      <c r="R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t="s">
        <v>1113</v>
      </c>
      <c r="AL1478" s="113"/>
      <c r="AM1478" s="113"/>
      <c r="AN1478" s="113"/>
      <c r="AO1478" s="44" t="s">
        <v>2334</v>
      </c>
      <c r="AP1478" s="43"/>
      <c r="AQ1478" s="236" t="str">
        <f>VLOOKUP(Table8[[#This Row],[Instrument]],Def_Targets!$D$73:$E$159,2,FALSE)</f>
        <v>I_RE</v>
      </c>
      <c r="AR1478" s="233" t="str">
        <f>VLOOKUP(Table8[[#This Row],[Country Code]],Table29[],3,FALSE)</f>
        <v>Non-Annex I</v>
      </c>
      <c r="AS1478" s="233" t="str">
        <f>VLOOKUP(Table8[[#This Row],[Country Code]],Table29[],4,FALSE)</f>
        <v>Africa</v>
      </c>
      <c r="AT1478" s="233" t="str">
        <f>VLOOKUP(Table8[[#This Row],[Country Code]],Table29[],5,FALSE)</f>
        <v>Middle-income</v>
      </c>
      <c r="AU1478" s="233" t="str">
        <f>VLOOKUP(Table8[[#This Row],[Country Code]],Table29[],6,FALSE)</f>
        <v>no</v>
      </c>
      <c r="AV1478" s="233" t="str">
        <f>VLOOKUP(Table8[[#This Row],[Country Code]],Table29[],7,FALSE)</f>
        <v>no</v>
      </c>
      <c r="AW1478" s="233" t="str">
        <f>VLOOKUP(Table8[[#This Row],[Country Code]],Table29[],8,FALSE)</f>
        <v>non-OECD</v>
      </c>
      <c r="AX1478" s="233" t="str">
        <f>VLOOKUP(Table8[[#This Row],[Country Code]],Table29[],9,FALSE)</f>
        <v>no</v>
      </c>
      <c r="AY1478" s="233" t="str">
        <f>VLOOKUP(Table8[[#This Row],[Country Code]],Table29[],10,FALSE)</f>
        <v>no</v>
      </c>
      <c r="AZ1478" s="235">
        <f>VLOOKUP(Table8[[#This Row],[Country Code]],Table29[],23,FALSE)</f>
        <v>12.885675050293001</v>
      </c>
      <c r="BA1478" s="235">
        <f>VLOOKUP(Table8[[#This Row],[Country Code]],Table29[],24,FALSE)</f>
        <v>2.1850282301150679</v>
      </c>
      <c r="BB1478" s="320"/>
      <c r="BC1478" s="320"/>
    </row>
    <row r="1479" spans="1:55" ht="30" hidden="1" x14ac:dyDescent="0.25">
      <c r="A1479" s="373">
        <v>23760</v>
      </c>
      <c r="B1479" s="233" t="str">
        <f>VLOOKUP(Table8[[#This Row],[Document ID]],Table1[],2,FALSE)</f>
        <v>NRU</v>
      </c>
      <c r="C1479" s="233" t="str">
        <f>VLOOKUP(Table8[[#This Row],[Document ID]],Table1[],3,FALSE)</f>
        <v>Nauru</v>
      </c>
      <c r="D1479" s="243" t="str">
        <f>VLOOKUP(Table8[[#This Row],[Document ID]],Table1[],5,FALSE)</f>
        <v>NDC</v>
      </c>
      <c r="E1479" s="233" t="str">
        <f>VLOOKUP(Table8[[#This Row],[Document ID]],Table1[],7,FALSE)</f>
        <v>First NDC updated</v>
      </c>
      <c r="F1479" s="233" t="str">
        <f>VLOOKUP(Table8[[#This Row],[Document ID]],Table1[],8,FALSE)</f>
        <v>NDC 1.1</v>
      </c>
      <c r="G1479" s="233" t="str">
        <f>VLOOKUP(Table8[[#This Row],[Document ID]],Table1[],10,FALSE)</f>
        <v>Active</v>
      </c>
      <c r="H1479" s="43" t="s">
        <v>2350</v>
      </c>
      <c r="I1479" s="43" t="s">
        <v>2370</v>
      </c>
      <c r="J1479" s="44" t="s">
        <v>2418</v>
      </c>
      <c r="K1479" s="44" t="s">
        <v>3717</v>
      </c>
      <c r="L1479" s="44" t="s">
        <v>2380</v>
      </c>
      <c r="M1479" s="43">
        <v>17</v>
      </c>
      <c r="N1479" s="113"/>
      <c r="O1479" s="113"/>
      <c r="P1479" s="113"/>
      <c r="Q1479" s="113"/>
      <c r="R1479" s="113"/>
      <c r="S1479" s="113"/>
      <c r="T1479" s="113"/>
      <c r="U1479" s="113" t="s">
        <v>1113</v>
      </c>
      <c r="V1479" s="113"/>
      <c r="W1479" s="113"/>
      <c r="X1479" s="113"/>
      <c r="Y1479" s="113"/>
      <c r="Z1479" s="113"/>
      <c r="AA1479" s="113"/>
      <c r="AB1479" s="113"/>
      <c r="AC1479" s="113"/>
      <c r="AD1479" s="113"/>
      <c r="AE1479" s="113"/>
      <c r="AF1479" s="113"/>
      <c r="AG1479" s="113"/>
      <c r="AH1479" s="113"/>
      <c r="AI1479" s="113"/>
      <c r="AJ1479" s="113"/>
      <c r="AK1479" s="113" t="s">
        <v>1113</v>
      </c>
      <c r="AL1479" s="113"/>
      <c r="AM1479" s="113"/>
      <c r="AN1479" s="113"/>
      <c r="AO1479" s="44" t="s">
        <v>2334</v>
      </c>
      <c r="AP1479" s="43"/>
      <c r="AQ1479" s="236" t="str">
        <f>VLOOKUP(Table8[[#This Row],[Instrument]],Def_Targets!$D$73:$E$159,2,FALSE)</f>
        <v>A_Complan</v>
      </c>
      <c r="AR1479" s="233" t="str">
        <f>VLOOKUP(Table8[[#This Row],[Country Code]],Table29[],3,FALSE)</f>
        <v>Non-Annex I</v>
      </c>
      <c r="AS1479" s="233" t="str">
        <f>VLOOKUP(Table8[[#This Row],[Country Code]],Table29[],4,FALSE)</f>
        <v>Oceania</v>
      </c>
      <c r="AT1479" s="233" t="str">
        <f>VLOOKUP(Table8[[#This Row],[Country Code]],Table29[],5,FALSE)</f>
        <v>High-income</v>
      </c>
      <c r="AU1479" s="233" t="str">
        <f>VLOOKUP(Table8[[#This Row],[Country Code]],Table29[],6,FALSE)</f>
        <v>no</v>
      </c>
      <c r="AV1479" s="233" t="str">
        <f>VLOOKUP(Table8[[#This Row],[Country Code]],Table29[],7,FALSE)</f>
        <v>no</v>
      </c>
      <c r="AW1479" s="233" t="str">
        <f>VLOOKUP(Table8[[#This Row],[Country Code]],Table29[],8,FALSE)</f>
        <v>non-OECD</v>
      </c>
      <c r="AX1479" s="233" t="str">
        <f>VLOOKUP(Table8[[#This Row],[Country Code]],Table29[],9,FALSE)</f>
        <v>no</v>
      </c>
      <c r="AY1479" s="233" t="str">
        <f>VLOOKUP(Table8[[#This Row],[Country Code]],Table29[],10,FALSE)</f>
        <v>no</v>
      </c>
      <c r="AZ1479" s="235">
        <f>VLOOKUP(Table8[[#This Row],[Country Code]],Table29[],23,FALSE)</f>
        <v>0</v>
      </c>
      <c r="BA1479" s="235">
        <f>VLOOKUP(Table8[[#This Row],[Country Code]],Table29[],24,FALSE)</f>
        <v>0</v>
      </c>
      <c r="BB1479" s="320"/>
      <c r="BC1479" s="320"/>
    </row>
    <row r="1480" spans="1:55" hidden="1" x14ac:dyDescent="0.25">
      <c r="A1480" s="373">
        <v>23760</v>
      </c>
      <c r="B1480" s="233" t="str">
        <f>VLOOKUP(Table8[[#This Row],[Document ID]],Table1[],2,FALSE)</f>
        <v>NRU</v>
      </c>
      <c r="C1480" s="233" t="str">
        <f>VLOOKUP(Table8[[#This Row],[Document ID]],Table1[],3,FALSE)</f>
        <v>Nauru</v>
      </c>
      <c r="D1480" s="243" t="str">
        <f>VLOOKUP(Table8[[#This Row],[Document ID]],Table1[],5,FALSE)</f>
        <v>NDC</v>
      </c>
      <c r="E1480" s="233" t="str">
        <f>VLOOKUP(Table8[[#This Row],[Document ID]],Table1[],7,FALSE)</f>
        <v>First NDC updated</v>
      </c>
      <c r="F1480" s="233" t="str">
        <f>VLOOKUP(Table8[[#This Row],[Document ID]],Table1[],8,FALSE)</f>
        <v>NDC 1.1</v>
      </c>
      <c r="G1480" s="233" t="str">
        <f>VLOOKUP(Table8[[#This Row],[Document ID]],Table1[],10,FALSE)</f>
        <v>Active</v>
      </c>
      <c r="H1480" s="43" t="s">
        <v>2343</v>
      </c>
      <c r="I1480" s="43" t="s">
        <v>2429</v>
      </c>
      <c r="J1480" s="44" t="s">
        <v>2610</v>
      </c>
      <c r="K1480" s="44" t="s">
        <v>3718</v>
      </c>
      <c r="L1480" s="44" t="s">
        <v>2333</v>
      </c>
      <c r="M1480" s="43">
        <v>33</v>
      </c>
      <c r="N1480" s="113" t="s">
        <v>1113</v>
      </c>
      <c r="O1480" s="113"/>
      <c r="P1480" s="113"/>
      <c r="Q1480" s="113"/>
      <c r="R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t="s">
        <v>1113</v>
      </c>
      <c r="AL1480" s="113"/>
      <c r="AM1480" s="113"/>
      <c r="AN1480" s="113"/>
      <c r="AO1480" s="44" t="s">
        <v>2334</v>
      </c>
      <c r="AP1480" s="43"/>
      <c r="AQ1480" s="236" t="e">
        <f>VLOOKUP(Table8[[#This Row],[Instrument]],Def_Targets!$D$73:$E$159,2,FALSE)</f>
        <v>#N/A</v>
      </c>
      <c r="AR1480" s="233" t="str">
        <f>VLOOKUP(Table8[[#This Row],[Country Code]],Table29[],3,FALSE)</f>
        <v>Non-Annex I</v>
      </c>
      <c r="AS1480" s="233" t="str">
        <f>VLOOKUP(Table8[[#This Row],[Country Code]],Table29[],4,FALSE)</f>
        <v>Oceania</v>
      </c>
      <c r="AT1480" s="233" t="str">
        <f>VLOOKUP(Table8[[#This Row],[Country Code]],Table29[],5,FALSE)</f>
        <v>High-income</v>
      </c>
      <c r="AU1480" s="233" t="str">
        <f>VLOOKUP(Table8[[#This Row],[Country Code]],Table29[],6,FALSE)</f>
        <v>no</v>
      </c>
      <c r="AV1480" s="233" t="str">
        <f>VLOOKUP(Table8[[#This Row],[Country Code]],Table29[],7,FALSE)</f>
        <v>no</v>
      </c>
      <c r="AW1480" s="233" t="str">
        <f>VLOOKUP(Table8[[#This Row],[Country Code]],Table29[],8,FALSE)</f>
        <v>non-OECD</v>
      </c>
      <c r="AX1480" s="233" t="str">
        <f>VLOOKUP(Table8[[#This Row],[Country Code]],Table29[],9,FALSE)</f>
        <v>no</v>
      </c>
      <c r="AY1480" s="233" t="str">
        <f>VLOOKUP(Table8[[#This Row],[Country Code]],Table29[],10,FALSE)</f>
        <v>no</v>
      </c>
      <c r="AZ1480" s="235">
        <f>VLOOKUP(Table8[[#This Row],[Country Code]],Table29[],23,FALSE)</f>
        <v>0</v>
      </c>
      <c r="BA1480" s="235">
        <f>VLOOKUP(Table8[[#This Row],[Country Code]],Table29[],24,FALSE)</f>
        <v>0</v>
      </c>
      <c r="BB1480" s="320"/>
      <c r="BC1480" s="320"/>
    </row>
    <row r="1481" spans="1:55" ht="30" hidden="1" x14ac:dyDescent="0.25">
      <c r="A1481" s="373">
        <v>23760</v>
      </c>
      <c r="B1481" s="233" t="str">
        <f>VLOOKUP(Table8[[#This Row],[Document ID]],Table1[],2,FALSE)</f>
        <v>NRU</v>
      </c>
      <c r="C1481" s="233" t="str">
        <f>VLOOKUP(Table8[[#This Row],[Document ID]],Table1[],3,FALSE)</f>
        <v>Nauru</v>
      </c>
      <c r="D1481" s="243" t="str">
        <f>VLOOKUP(Table8[[#This Row],[Document ID]],Table1[],5,FALSE)</f>
        <v>NDC</v>
      </c>
      <c r="E1481" s="233" t="str">
        <f>VLOOKUP(Table8[[#This Row],[Document ID]],Table1[],7,FALSE)</f>
        <v>First NDC updated</v>
      </c>
      <c r="F1481" s="233" t="str">
        <f>VLOOKUP(Table8[[#This Row],[Document ID]],Table1[],8,FALSE)</f>
        <v>NDC 1.1</v>
      </c>
      <c r="G1481" s="233" t="str">
        <f>VLOOKUP(Table8[[#This Row],[Document ID]],Table1[],10,FALSE)</f>
        <v>Active</v>
      </c>
      <c r="H1481" s="43" t="s">
        <v>2350</v>
      </c>
      <c r="I1481" s="43" t="s">
        <v>2407</v>
      </c>
      <c r="J1481" s="44" t="s">
        <v>2408</v>
      </c>
      <c r="K1481" s="44" t="s">
        <v>3719</v>
      </c>
      <c r="L1481" s="44" t="s">
        <v>2333</v>
      </c>
      <c r="M1481" s="43">
        <v>33</v>
      </c>
      <c r="N1481" s="113" t="s">
        <v>1113</v>
      </c>
      <c r="O1481" s="113"/>
      <c r="P1481" s="113"/>
      <c r="Q1481" s="113"/>
      <c r="R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t="s">
        <v>1113</v>
      </c>
      <c r="AL1481" s="113"/>
      <c r="AM1481" s="113"/>
      <c r="AN1481" s="113"/>
      <c r="AO1481" s="44" t="s">
        <v>2334</v>
      </c>
      <c r="AP1481" s="43"/>
      <c r="AQ1481" s="236" t="str">
        <f>VLOOKUP(Table8[[#This Row],[Instrument]],Def_Targets!$D$73:$E$159,2,FALSE)</f>
        <v>I_Education</v>
      </c>
      <c r="AR1481" s="233" t="str">
        <f>VLOOKUP(Table8[[#This Row],[Country Code]],Table29[],3,FALSE)</f>
        <v>Non-Annex I</v>
      </c>
      <c r="AS1481" s="233" t="str">
        <f>VLOOKUP(Table8[[#This Row],[Country Code]],Table29[],4,FALSE)</f>
        <v>Oceania</v>
      </c>
      <c r="AT1481" s="233" t="str">
        <f>VLOOKUP(Table8[[#This Row],[Country Code]],Table29[],5,FALSE)</f>
        <v>High-income</v>
      </c>
      <c r="AU1481" s="233" t="str">
        <f>VLOOKUP(Table8[[#This Row],[Country Code]],Table29[],6,FALSE)</f>
        <v>no</v>
      </c>
      <c r="AV1481" s="233" t="str">
        <f>VLOOKUP(Table8[[#This Row],[Country Code]],Table29[],7,FALSE)</f>
        <v>no</v>
      </c>
      <c r="AW1481" s="233" t="str">
        <f>VLOOKUP(Table8[[#This Row],[Country Code]],Table29[],8,FALSE)</f>
        <v>non-OECD</v>
      </c>
      <c r="AX1481" s="233" t="str">
        <f>VLOOKUP(Table8[[#This Row],[Country Code]],Table29[],9,FALSE)</f>
        <v>no</v>
      </c>
      <c r="AY1481" s="233" t="str">
        <f>VLOOKUP(Table8[[#This Row],[Country Code]],Table29[],10,FALSE)</f>
        <v>no</v>
      </c>
      <c r="AZ1481" s="235">
        <f>VLOOKUP(Table8[[#This Row],[Country Code]],Table29[],23,FALSE)</f>
        <v>0</v>
      </c>
      <c r="BA1481" s="235">
        <f>VLOOKUP(Table8[[#This Row],[Country Code]],Table29[],24,FALSE)</f>
        <v>0</v>
      </c>
      <c r="BB1481" s="320"/>
      <c r="BC1481" s="320"/>
    </row>
    <row r="1482" spans="1:55" ht="105" hidden="1" x14ac:dyDescent="0.25">
      <c r="A1482" s="373">
        <v>23760</v>
      </c>
      <c r="B1482" s="233" t="str">
        <f>VLOOKUP(Table8[[#This Row],[Document ID]],Table1[],2,FALSE)</f>
        <v>NRU</v>
      </c>
      <c r="C1482" s="233" t="str">
        <f>VLOOKUP(Table8[[#This Row],[Document ID]],Table1[],3,FALSE)</f>
        <v>Nauru</v>
      </c>
      <c r="D1482" s="243" t="str">
        <f>VLOOKUP(Table8[[#This Row],[Document ID]],Table1[],5,FALSE)</f>
        <v>NDC</v>
      </c>
      <c r="E1482" s="233" t="str">
        <f>VLOOKUP(Table8[[#This Row],[Document ID]],Table1[],7,FALSE)</f>
        <v>First NDC updated</v>
      </c>
      <c r="F1482" s="233" t="str">
        <f>VLOOKUP(Table8[[#This Row],[Document ID]],Table1[],8,FALSE)</f>
        <v>NDC 1.1</v>
      </c>
      <c r="G1482" s="233" t="str">
        <f>VLOOKUP(Table8[[#This Row],[Document ID]],Table1[],10,FALSE)</f>
        <v>Active</v>
      </c>
      <c r="H1482" s="43" t="s">
        <v>2484</v>
      </c>
      <c r="I1482" s="43" t="s">
        <v>2485</v>
      </c>
      <c r="J1482" s="44" t="s">
        <v>2978</v>
      </c>
      <c r="K1482" s="44" t="s">
        <v>3720</v>
      </c>
      <c r="L1482" s="44" t="s">
        <v>2333</v>
      </c>
      <c r="M1482" s="43">
        <v>19</v>
      </c>
      <c r="N1482" s="113"/>
      <c r="O1482" s="113"/>
      <c r="P1482" s="113"/>
      <c r="Q1482" s="113"/>
      <c r="R1482" s="113"/>
      <c r="S1482" s="113"/>
      <c r="T1482" s="113"/>
      <c r="U1482" s="113"/>
      <c r="V1482" s="113"/>
      <c r="W1482" s="113"/>
      <c r="X1482" s="113"/>
      <c r="Y1482" s="113"/>
      <c r="Z1482" s="113"/>
      <c r="AA1482" s="113"/>
      <c r="AB1482" s="113"/>
      <c r="AC1482" s="113"/>
      <c r="AD1482" s="113" t="s">
        <v>1113</v>
      </c>
      <c r="AE1482" s="113"/>
      <c r="AF1482" s="113"/>
      <c r="AG1482" s="113"/>
      <c r="AH1482" s="113"/>
      <c r="AI1482" s="113"/>
      <c r="AJ1482" s="113"/>
      <c r="AK1482" s="113" t="s">
        <v>1113</v>
      </c>
      <c r="AL1482" s="113"/>
      <c r="AM1482" s="113"/>
      <c r="AN1482" s="113"/>
      <c r="AO1482" s="43" t="s">
        <v>2353</v>
      </c>
      <c r="AP1482" s="43"/>
      <c r="AQ1482" s="236" t="str">
        <f>VLOOKUP(Table8[[#This Row],[Instrument]],Def_Targets!$D$73:$E$159,2,FALSE)</f>
        <v>I_PortInfra</v>
      </c>
      <c r="AR1482" s="233" t="str">
        <f>VLOOKUP(Table8[[#This Row],[Country Code]],Table29[],3,FALSE)</f>
        <v>Non-Annex I</v>
      </c>
      <c r="AS1482" s="233" t="str">
        <f>VLOOKUP(Table8[[#This Row],[Country Code]],Table29[],4,FALSE)</f>
        <v>Oceania</v>
      </c>
      <c r="AT1482" s="233" t="str">
        <f>VLOOKUP(Table8[[#This Row],[Country Code]],Table29[],5,FALSE)</f>
        <v>High-income</v>
      </c>
      <c r="AU1482" s="233" t="str">
        <f>VLOOKUP(Table8[[#This Row],[Country Code]],Table29[],6,FALSE)</f>
        <v>no</v>
      </c>
      <c r="AV1482" s="233" t="str">
        <f>VLOOKUP(Table8[[#This Row],[Country Code]],Table29[],7,FALSE)</f>
        <v>no</v>
      </c>
      <c r="AW1482" s="233" t="str">
        <f>VLOOKUP(Table8[[#This Row],[Country Code]],Table29[],8,FALSE)</f>
        <v>non-OECD</v>
      </c>
      <c r="AX1482" s="233" t="str">
        <f>VLOOKUP(Table8[[#This Row],[Country Code]],Table29[],9,FALSE)</f>
        <v>no</v>
      </c>
      <c r="AY1482" s="233" t="str">
        <f>VLOOKUP(Table8[[#This Row],[Country Code]],Table29[],10,FALSE)</f>
        <v>no</v>
      </c>
      <c r="AZ1482" s="235">
        <f>VLOOKUP(Table8[[#This Row],[Country Code]],Table29[],23,FALSE)</f>
        <v>0</v>
      </c>
      <c r="BA1482" s="235">
        <f>VLOOKUP(Table8[[#This Row],[Country Code]],Table29[],24,FALSE)</f>
        <v>0</v>
      </c>
      <c r="BB1482" s="320"/>
      <c r="BC1482" s="320"/>
    </row>
    <row r="1483" spans="1:55" hidden="1" x14ac:dyDescent="0.25">
      <c r="A1483" s="373">
        <v>17674</v>
      </c>
      <c r="B1483" s="233" t="str">
        <f>VLOOKUP(Table8[[#This Row],[Document ID]],Table1[],2,FALSE)</f>
        <v>NPL</v>
      </c>
      <c r="C1483" s="233" t="str">
        <f>VLOOKUP(Table8[[#This Row],[Document ID]],Table1[],3,FALSE)</f>
        <v>Nepal</v>
      </c>
      <c r="D1483" s="243" t="str">
        <f>VLOOKUP(Table8[[#This Row],[Document ID]],Table1[],5,FALSE)</f>
        <v>NDC</v>
      </c>
      <c r="E1483" s="233" t="str">
        <f>VLOOKUP(Table8[[#This Row],[Document ID]],Table1[],7,FALSE)</f>
        <v>First NDC</v>
      </c>
      <c r="F1483" s="236" t="str">
        <f>VLOOKUP(Table8[[#This Row],[Document ID]],Table1[],8,FALSE)</f>
        <v>NDC 1.0</v>
      </c>
      <c r="G1483" s="236" t="str">
        <f>VLOOKUP(Table8[[#This Row],[Document ID]],Table1[],10,FALSE)</f>
        <v>Archived</v>
      </c>
      <c r="H1483" s="43" t="s">
        <v>2358</v>
      </c>
      <c r="I1483" s="43" t="s">
        <v>2359</v>
      </c>
      <c r="J1483" s="44" t="s">
        <v>2360</v>
      </c>
      <c r="K1483" s="44" t="s">
        <v>1963</v>
      </c>
      <c r="L1483" s="44" t="s">
        <v>2333</v>
      </c>
      <c r="M1483" s="43"/>
      <c r="N1483" s="113" t="s">
        <v>1113</v>
      </c>
      <c r="O1483" s="113"/>
      <c r="P1483" s="113"/>
      <c r="Q1483" s="319"/>
      <c r="R1483" s="319"/>
      <c r="S1483" s="319"/>
      <c r="T1483" s="319"/>
      <c r="U1483" s="319"/>
      <c r="V1483" s="319"/>
      <c r="W1483" s="319"/>
      <c r="X1483" s="319"/>
      <c r="Y1483" s="319"/>
      <c r="Z1483" s="319"/>
      <c r="AA1483" s="319"/>
      <c r="AB1483" s="319"/>
      <c r="AC1483" s="319"/>
      <c r="AD1483" s="319"/>
      <c r="AE1483" s="319"/>
      <c r="AF1483" s="319"/>
      <c r="AG1483" s="319"/>
      <c r="AH1483" s="319"/>
      <c r="AI1483" s="319"/>
      <c r="AJ1483" s="319"/>
      <c r="AK1483" s="319" t="s">
        <v>1113</v>
      </c>
      <c r="AL1483" s="319"/>
      <c r="AM1483" s="319"/>
      <c r="AN1483" s="319"/>
      <c r="AO1483" s="44" t="s">
        <v>2334</v>
      </c>
      <c r="AP1483" s="44"/>
      <c r="AQ1483" s="236" t="str">
        <f>VLOOKUP(Table8[[#This Row],[Instrument]],Def_Targets!$D$73:$E$159,2,FALSE)</f>
        <v>I_Emobility</v>
      </c>
      <c r="AR1483" s="233" t="str">
        <f>VLOOKUP(Table8[[#This Row],[Country Code]],Table29[],3,FALSE)</f>
        <v>Non-Annex I</v>
      </c>
      <c r="AS1483" s="233" t="str">
        <f>VLOOKUP(Table8[[#This Row],[Country Code]],Table29[],4,FALSE)</f>
        <v>Asia</v>
      </c>
      <c r="AT1483" s="233" t="str">
        <f>VLOOKUP(Table8[[#This Row],[Country Code]],Table29[],5,FALSE)</f>
        <v>Middle-income</v>
      </c>
      <c r="AU1483" s="233" t="str">
        <f>VLOOKUP(Table8[[#This Row],[Country Code]],Table29[],6,FALSE)</f>
        <v>no</v>
      </c>
      <c r="AV1483" s="233" t="str">
        <f>VLOOKUP(Table8[[#This Row],[Country Code]],Table29[],7,FALSE)</f>
        <v>no</v>
      </c>
      <c r="AW1483" s="233" t="str">
        <f>VLOOKUP(Table8[[#This Row],[Country Code]],Table29[],8,FALSE)</f>
        <v>non-OECD</v>
      </c>
      <c r="AX1483" s="233" t="str">
        <f>VLOOKUP(Table8[[#This Row],[Country Code]],Table29[],9,FALSE)</f>
        <v>no</v>
      </c>
      <c r="AY1483" s="233" t="str">
        <f>VLOOKUP(Table8[[#This Row],[Country Code]],Table29[],10,FALSE)</f>
        <v>no</v>
      </c>
      <c r="AZ1483" s="235">
        <f>VLOOKUP(Table8[[#This Row],[Country Code]],Table29[],23,FALSE)</f>
        <v>56.830982733611002</v>
      </c>
      <c r="BA1483" s="235">
        <f>VLOOKUP(Table8[[#This Row],[Country Code]],Table29[],24,FALSE)</f>
        <v>4.8627503945089332</v>
      </c>
      <c r="BB1483" s="320"/>
      <c r="BC1483" s="320"/>
    </row>
    <row r="1484" spans="1:55" hidden="1" x14ac:dyDescent="0.25">
      <c r="A1484" s="373">
        <v>17674</v>
      </c>
      <c r="B1484" s="233" t="str">
        <f>VLOOKUP(Table8[[#This Row],[Document ID]],Table1[],2,FALSE)</f>
        <v>NPL</v>
      </c>
      <c r="C1484" s="233" t="str">
        <f>VLOOKUP(Table8[[#This Row],[Document ID]],Table1[],3,FALSE)</f>
        <v>Nepal</v>
      </c>
      <c r="D1484" s="243" t="str">
        <f>VLOOKUP(Table8[[#This Row],[Document ID]],Table1[],5,FALSE)</f>
        <v>NDC</v>
      </c>
      <c r="E1484" s="233" t="str">
        <f>VLOOKUP(Table8[[#This Row],[Document ID]],Table1[],7,FALSE)</f>
        <v>First NDC</v>
      </c>
      <c r="F1484" s="236" t="str">
        <f>VLOOKUP(Table8[[#This Row],[Document ID]],Table1[],8,FALSE)</f>
        <v>NDC 1.0</v>
      </c>
      <c r="G1484" s="236" t="str">
        <f>VLOOKUP(Table8[[#This Row],[Document ID]],Table1[],10,FALSE)</f>
        <v>Archived</v>
      </c>
      <c r="H1484" s="43" t="s">
        <v>2358</v>
      </c>
      <c r="I1484" s="43" t="s">
        <v>2359</v>
      </c>
      <c r="J1484" s="44" t="s">
        <v>2360</v>
      </c>
      <c r="K1484" s="44" t="s">
        <v>3721</v>
      </c>
      <c r="L1484" s="44" t="s">
        <v>2333</v>
      </c>
      <c r="M1484" s="43"/>
      <c r="N1484" s="113" t="s">
        <v>1113</v>
      </c>
      <c r="O1484" s="113"/>
      <c r="P1484" s="113"/>
      <c r="Q1484" s="319"/>
      <c r="R1484" s="319"/>
      <c r="S1484" s="319"/>
      <c r="T1484" s="319"/>
      <c r="U1484" s="319"/>
      <c r="V1484" s="319"/>
      <c r="W1484" s="319"/>
      <c r="X1484" s="319"/>
      <c r="Y1484" s="319"/>
      <c r="Z1484" s="319"/>
      <c r="AA1484" s="319"/>
      <c r="AB1484" s="319"/>
      <c r="AC1484" s="319"/>
      <c r="AD1484" s="319"/>
      <c r="AE1484" s="319"/>
      <c r="AF1484" s="319"/>
      <c r="AG1484" s="319"/>
      <c r="AH1484" s="319"/>
      <c r="AI1484" s="319"/>
      <c r="AJ1484" s="319"/>
      <c r="AK1484" s="319" t="s">
        <v>1113</v>
      </c>
      <c r="AL1484" s="319"/>
      <c r="AM1484" s="319"/>
      <c r="AN1484" s="319"/>
      <c r="AO1484" s="44" t="s">
        <v>2334</v>
      </c>
      <c r="AP1484" s="44"/>
      <c r="AQ1484" s="236" t="str">
        <f>VLOOKUP(Table8[[#This Row],[Instrument]],Def_Targets!$D$73:$E$159,2,FALSE)</f>
        <v>I_Emobility</v>
      </c>
      <c r="AR1484" s="233" t="str">
        <f>VLOOKUP(Table8[[#This Row],[Country Code]],Table29[],3,FALSE)</f>
        <v>Non-Annex I</v>
      </c>
      <c r="AS1484" s="233" t="str">
        <f>VLOOKUP(Table8[[#This Row],[Country Code]],Table29[],4,FALSE)</f>
        <v>Asia</v>
      </c>
      <c r="AT1484" s="233" t="str">
        <f>VLOOKUP(Table8[[#This Row],[Country Code]],Table29[],5,FALSE)</f>
        <v>Middle-income</v>
      </c>
      <c r="AU1484" s="233" t="str">
        <f>VLOOKUP(Table8[[#This Row],[Country Code]],Table29[],6,FALSE)</f>
        <v>no</v>
      </c>
      <c r="AV1484" s="233" t="str">
        <f>VLOOKUP(Table8[[#This Row],[Country Code]],Table29[],7,FALSE)</f>
        <v>no</v>
      </c>
      <c r="AW1484" s="233" t="str">
        <f>VLOOKUP(Table8[[#This Row],[Country Code]],Table29[],8,FALSE)</f>
        <v>non-OECD</v>
      </c>
      <c r="AX1484" s="233" t="str">
        <f>VLOOKUP(Table8[[#This Row],[Country Code]],Table29[],9,FALSE)</f>
        <v>no</v>
      </c>
      <c r="AY1484" s="233" t="str">
        <f>VLOOKUP(Table8[[#This Row],[Country Code]],Table29[],10,FALSE)</f>
        <v>no</v>
      </c>
      <c r="AZ1484" s="235">
        <f>VLOOKUP(Table8[[#This Row],[Country Code]],Table29[],23,FALSE)</f>
        <v>56.830982733611002</v>
      </c>
      <c r="BA1484" s="235">
        <f>VLOOKUP(Table8[[#This Row],[Country Code]],Table29[],24,FALSE)</f>
        <v>4.8627503945089332</v>
      </c>
      <c r="BB1484" s="320"/>
      <c r="BC1484" s="320"/>
    </row>
    <row r="1485" spans="1:55" hidden="1" x14ac:dyDescent="0.25">
      <c r="A1485" s="373">
        <v>17674</v>
      </c>
      <c r="B1485" s="233" t="str">
        <f>VLOOKUP(Table8[[#This Row],[Document ID]],Table1[],2,FALSE)</f>
        <v>NPL</v>
      </c>
      <c r="C1485" s="233" t="str">
        <f>VLOOKUP(Table8[[#This Row],[Document ID]],Table1[],3,FALSE)</f>
        <v>Nepal</v>
      </c>
      <c r="D1485" s="243" t="str">
        <f>VLOOKUP(Table8[[#This Row],[Document ID]],Table1[],5,FALSE)</f>
        <v>NDC</v>
      </c>
      <c r="E1485" s="233" t="str">
        <f>VLOOKUP(Table8[[#This Row],[Document ID]],Table1[],7,FALSE)</f>
        <v>First NDC</v>
      </c>
      <c r="F1485" s="236" t="str">
        <f>VLOOKUP(Table8[[#This Row],[Document ID]],Table1[],8,FALSE)</f>
        <v>NDC 1.0</v>
      </c>
      <c r="G1485" s="236" t="str">
        <f>VLOOKUP(Table8[[#This Row],[Document ID]],Table1[],10,FALSE)</f>
        <v>Archived</v>
      </c>
      <c r="H1485" s="43" t="s">
        <v>2358</v>
      </c>
      <c r="I1485" s="43" t="s">
        <v>2359</v>
      </c>
      <c r="J1485" s="44" t="s">
        <v>2360</v>
      </c>
      <c r="K1485" s="44" t="s">
        <v>3722</v>
      </c>
      <c r="L1485" s="44" t="s">
        <v>2333</v>
      </c>
      <c r="M1485" s="43"/>
      <c r="N1485" s="113" t="s">
        <v>1113</v>
      </c>
      <c r="O1485" s="113"/>
      <c r="P1485" s="113"/>
      <c r="Q1485" s="319"/>
      <c r="R1485" s="319"/>
      <c r="S1485" s="319"/>
      <c r="T1485" s="319"/>
      <c r="U1485" s="113"/>
      <c r="V1485" s="319"/>
      <c r="W1485" s="319"/>
      <c r="X1485" s="319"/>
      <c r="Y1485" s="319"/>
      <c r="Z1485" s="113"/>
      <c r="AA1485" s="319"/>
      <c r="AB1485" s="319"/>
      <c r="AC1485" s="319"/>
      <c r="AD1485" s="113"/>
      <c r="AE1485" s="319"/>
      <c r="AF1485" s="319"/>
      <c r="AG1485" s="319"/>
      <c r="AH1485" s="319"/>
      <c r="AI1485" s="319"/>
      <c r="AJ1485" s="319"/>
      <c r="AK1485" s="319" t="s">
        <v>1113</v>
      </c>
      <c r="AL1485" s="319"/>
      <c r="AM1485" s="319"/>
      <c r="AN1485" s="319"/>
      <c r="AO1485" s="44" t="s">
        <v>2334</v>
      </c>
      <c r="AP1485" s="44"/>
      <c r="AQ1485" s="236" t="str">
        <f>VLOOKUP(Table8[[#This Row],[Instrument]],Def_Targets!$D$73:$E$159,2,FALSE)</f>
        <v>I_Emobility</v>
      </c>
      <c r="AR1485" s="233" t="str">
        <f>VLOOKUP(Table8[[#This Row],[Country Code]],Table29[],3,FALSE)</f>
        <v>Non-Annex I</v>
      </c>
      <c r="AS1485" s="233" t="str">
        <f>VLOOKUP(Table8[[#This Row],[Country Code]],Table29[],4,FALSE)</f>
        <v>Asia</v>
      </c>
      <c r="AT1485" s="233" t="str">
        <f>VLOOKUP(Table8[[#This Row],[Country Code]],Table29[],5,FALSE)</f>
        <v>Middle-income</v>
      </c>
      <c r="AU1485" s="233" t="str">
        <f>VLOOKUP(Table8[[#This Row],[Country Code]],Table29[],6,FALSE)</f>
        <v>no</v>
      </c>
      <c r="AV1485" s="233" t="str">
        <f>VLOOKUP(Table8[[#This Row],[Country Code]],Table29[],7,FALSE)</f>
        <v>no</v>
      </c>
      <c r="AW1485" s="233" t="str">
        <f>VLOOKUP(Table8[[#This Row],[Country Code]],Table29[],8,FALSE)</f>
        <v>non-OECD</v>
      </c>
      <c r="AX1485" s="233" t="str">
        <f>VLOOKUP(Table8[[#This Row],[Country Code]],Table29[],9,FALSE)</f>
        <v>no</v>
      </c>
      <c r="AY1485" s="233" t="str">
        <f>VLOOKUP(Table8[[#This Row],[Country Code]],Table29[],10,FALSE)</f>
        <v>no</v>
      </c>
      <c r="AZ1485" s="235">
        <f>VLOOKUP(Table8[[#This Row],[Country Code]],Table29[],23,FALSE)</f>
        <v>56.830982733611002</v>
      </c>
      <c r="BA1485" s="235">
        <f>VLOOKUP(Table8[[#This Row],[Country Code]],Table29[],24,FALSE)</f>
        <v>4.8627503945089332</v>
      </c>
      <c r="BB1485" s="320"/>
      <c r="BC1485" s="320"/>
    </row>
    <row r="1486" spans="1:55" hidden="1" x14ac:dyDescent="0.25">
      <c r="A1486" s="373">
        <v>17674</v>
      </c>
      <c r="B1486" s="233" t="str">
        <f>VLOOKUP(Table8[[#This Row],[Document ID]],Table1[],2,FALSE)</f>
        <v>NPL</v>
      </c>
      <c r="C1486" s="233" t="str">
        <f>VLOOKUP(Table8[[#This Row],[Document ID]],Table1[],3,FALSE)</f>
        <v>Nepal</v>
      </c>
      <c r="D1486" s="243" t="str">
        <f>VLOOKUP(Table8[[#This Row],[Document ID]],Table1[],5,FALSE)</f>
        <v>NDC</v>
      </c>
      <c r="E1486" s="233" t="str">
        <f>VLOOKUP(Table8[[#This Row],[Document ID]],Table1[],7,FALSE)</f>
        <v>First NDC</v>
      </c>
      <c r="F1486" s="236" t="str">
        <f>VLOOKUP(Table8[[#This Row],[Document ID]],Table1[],8,FALSE)</f>
        <v>NDC 1.0</v>
      </c>
      <c r="G1486" s="236" t="str">
        <f>VLOOKUP(Table8[[#This Row],[Document ID]],Table1[],10,FALSE)</f>
        <v>Archived</v>
      </c>
      <c r="H1486" s="43" t="s">
        <v>2358</v>
      </c>
      <c r="I1486" s="43" t="s">
        <v>2359</v>
      </c>
      <c r="J1486" s="44" t="s">
        <v>2389</v>
      </c>
      <c r="K1486" s="44" t="s">
        <v>3722</v>
      </c>
      <c r="L1486" s="44" t="s">
        <v>2333</v>
      </c>
      <c r="M1486" s="43"/>
      <c r="N1486" s="113" t="s">
        <v>1113</v>
      </c>
      <c r="O1486" s="113"/>
      <c r="P1486" s="113"/>
      <c r="Q1486" s="319"/>
      <c r="R1486" s="319"/>
      <c r="S1486" s="319"/>
      <c r="T1486" s="319"/>
      <c r="U1486" s="319"/>
      <c r="V1486" s="319"/>
      <c r="W1486" s="319"/>
      <c r="X1486" s="319"/>
      <c r="Y1486" s="319"/>
      <c r="Z1486" s="319"/>
      <c r="AA1486" s="319"/>
      <c r="AB1486" s="319"/>
      <c r="AC1486" s="319"/>
      <c r="AD1486" s="319"/>
      <c r="AE1486" s="319"/>
      <c r="AF1486" s="319"/>
      <c r="AG1486" s="319"/>
      <c r="AH1486" s="319"/>
      <c r="AI1486" s="319"/>
      <c r="AJ1486" s="319"/>
      <c r="AK1486" s="319" t="s">
        <v>1113</v>
      </c>
      <c r="AL1486" s="319"/>
      <c r="AM1486" s="319"/>
      <c r="AN1486" s="319"/>
      <c r="AO1486" s="44" t="s">
        <v>2334</v>
      </c>
      <c r="AP1486" s="44"/>
      <c r="AQ1486" s="236" t="str">
        <f>VLOOKUP(Table8[[#This Row],[Instrument]],Def_Targets!$D$73:$E$159,2,FALSE)</f>
        <v>I_Emobilitypurchase</v>
      </c>
      <c r="AR1486" s="233" t="str">
        <f>VLOOKUP(Table8[[#This Row],[Country Code]],Table29[],3,FALSE)</f>
        <v>Non-Annex I</v>
      </c>
      <c r="AS1486" s="233" t="str">
        <f>VLOOKUP(Table8[[#This Row],[Country Code]],Table29[],4,FALSE)</f>
        <v>Asia</v>
      </c>
      <c r="AT1486" s="233" t="str">
        <f>VLOOKUP(Table8[[#This Row],[Country Code]],Table29[],5,FALSE)</f>
        <v>Middle-income</v>
      </c>
      <c r="AU1486" s="233" t="str">
        <f>VLOOKUP(Table8[[#This Row],[Country Code]],Table29[],6,FALSE)</f>
        <v>no</v>
      </c>
      <c r="AV1486" s="233" t="str">
        <f>VLOOKUP(Table8[[#This Row],[Country Code]],Table29[],7,FALSE)</f>
        <v>no</v>
      </c>
      <c r="AW1486" s="233" t="str">
        <f>VLOOKUP(Table8[[#This Row],[Country Code]],Table29[],8,FALSE)</f>
        <v>non-OECD</v>
      </c>
      <c r="AX1486" s="233" t="str">
        <f>VLOOKUP(Table8[[#This Row],[Country Code]],Table29[],9,FALSE)</f>
        <v>no</v>
      </c>
      <c r="AY1486" s="233" t="str">
        <f>VLOOKUP(Table8[[#This Row],[Country Code]],Table29[],10,FALSE)</f>
        <v>no</v>
      </c>
      <c r="AZ1486" s="235">
        <f>VLOOKUP(Table8[[#This Row],[Country Code]],Table29[],23,FALSE)</f>
        <v>56.830982733611002</v>
      </c>
      <c r="BA1486" s="235">
        <f>VLOOKUP(Table8[[#This Row],[Country Code]],Table29[],24,FALSE)</f>
        <v>4.8627503945089332</v>
      </c>
      <c r="BB1486" s="320"/>
      <c r="BC1486" s="320"/>
    </row>
    <row r="1487" spans="1:55" ht="45" hidden="1" x14ac:dyDescent="0.25">
      <c r="A1487" s="373">
        <v>17674</v>
      </c>
      <c r="B1487" s="233" t="str">
        <f>VLOOKUP(Table8[[#This Row],[Document ID]],Table1[],2,FALSE)</f>
        <v>NPL</v>
      </c>
      <c r="C1487" s="233" t="str">
        <f>VLOOKUP(Table8[[#This Row],[Document ID]],Table1[],3,FALSE)</f>
        <v>Nepal</v>
      </c>
      <c r="D1487" s="243" t="str">
        <f>VLOOKUP(Table8[[#This Row],[Document ID]],Table1[],5,FALSE)</f>
        <v>NDC</v>
      </c>
      <c r="E1487" s="233" t="str">
        <f>VLOOKUP(Table8[[#This Row],[Document ID]],Table1[],7,FALSE)</f>
        <v>First NDC</v>
      </c>
      <c r="F1487" s="233" t="str">
        <f>VLOOKUP(Table8[[#This Row],[Document ID]],Table1[],8,FALSE)</f>
        <v>NDC 1.0</v>
      </c>
      <c r="G1487" s="233" t="str">
        <f>VLOOKUP(Table8[[#This Row],[Document ID]],Table1[],10,FALSE)</f>
        <v>Archived</v>
      </c>
      <c r="H1487" s="43" t="s">
        <v>2343</v>
      </c>
      <c r="I1487" s="43" t="s">
        <v>2361</v>
      </c>
      <c r="J1487" s="44" t="s">
        <v>2366</v>
      </c>
      <c r="K1487" s="44" t="s">
        <v>3723</v>
      </c>
      <c r="L1487" s="44" t="s">
        <v>2347</v>
      </c>
      <c r="M1487" s="43"/>
      <c r="N1487" s="113"/>
      <c r="O1487" s="113"/>
      <c r="P1487" s="113" t="s">
        <v>1113</v>
      </c>
      <c r="Q1487" s="319"/>
      <c r="R1487" s="113"/>
      <c r="S1487" s="319"/>
      <c r="T1487" s="319"/>
      <c r="U1487" s="319"/>
      <c r="V1487" s="319"/>
      <c r="W1487" s="319"/>
      <c r="X1487" s="319"/>
      <c r="Y1487" s="319"/>
      <c r="Z1487" s="319"/>
      <c r="AA1487" s="319"/>
      <c r="AB1487" s="319"/>
      <c r="AC1487" s="319"/>
      <c r="AD1487" s="319"/>
      <c r="AE1487" s="319"/>
      <c r="AF1487" s="319"/>
      <c r="AG1487" s="319"/>
      <c r="AH1487" s="319"/>
      <c r="AI1487" s="319"/>
      <c r="AJ1487" s="319"/>
      <c r="AK1487" s="113"/>
      <c r="AL1487" s="113" t="s">
        <v>1113</v>
      </c>
      <c r="AM1487" s="113"/>
      <c r="AN1487" s="113"/>
      <c r="AO1487" s="44" t="s">
        <v>2334</v>
      </c>
      <c r="AP1487" s="43"/>
      <c r="AQ1487" s="236" t="str">
        <f>VLOOKUP(Table8[[#This Row],[Instrument]],Def_Targets!$D$73:$E$159,2,FALSE)</f>
        <v>S_Activemobility</v>
      </c>
      <c r="AR1487" s="233" t="str">
        <f>VLOOKUP(Table8[[#This Row],[Country Code]],Table29[],3,FALSE)</f>
        <v>Non-Annex I</v>
      </c>
      <c r="AS1487" s="233" t="str">
        <f>VLOOKUP(Table8[[#This Row],[Country Code]],Table29[],4,FALSE)</f>
        <v>Asia</v>
      </c>
      <c r="AT1487" s="233" t="str">
        <f>VLOOKUP(Table8[[#This Row],[Country Code]],Table29[],5,FALSE)</f>
        <v>Middle-income</v>
      </c>
      <c r="AU1487" s="233" t="str">
        <f>VLOOKUP(Table8[[#This Row],[Country Code]],Table29[],6,FALSE)</f>
        <v>no</v>
      </c>
      <c r="AV1487" s="233" t="str">
        <f>VLOOKUP(Table8[[#This Row],[Country Code]],Table29[],7,FALSE)</f>
        <v>no</v>
      </c>
      <c r="AW1487" s="233" t="str">
        <f>VLOOKUP(Table8[[#This Row],[Country Code]],Table29[],8,FALSE)</f>
        <v>non-OECD</v>
      </c>
      <c r="AX1487" s="233" t="str">
        <f>VLOOKUP(Table8[[#This Row],[Country Code]],Table29[],9,FALSE)</f>
        <v>no</v>
      </c>
      <c r="AY1487" s="233" t="str">
        <f>VLOOKUP(Table8[[#This Row],[Country Code]],Table29[],10,FALSE)</f>
        <v>no</v>
      </c>
      <c r="AZ1487" s="235">
        <f>VLOOKUP(Table8[[#This Row],[Country Code]],Table29[],23,FALSE)</f>
        <v>56.830982733611002</v>
      </c>
      <c r="BA1487" s="235">
        <f>VLOOKUP(Table8[[#This Row],[Country Code]],Table29[],24,FALSE)</f>
        <v>4.8627503945089332</v>
      </c>
      <c r="BB1487" s="320"/>
      <c r="BC1487" s="320"/>
    </row>
    <row r="1488" spans="1:55" hidden="1" x14ac:dyDescent="0.25">
      <c r="A1488" s="373">
        <v>17674</v>
      </c>
      <c r="B1488" s="233" t="str">
        <f>VLOOKUP(Table8[[#This Row],[Document ID]],Table1[],2,FALSE)</f>
        <v>NPL</v>
      </c>
      <c r="C1488" s="233" t="str">
        <f>VLOOKUP(Table8[[#This Row],[Document ID]],Table1[],3,FALSE)</f>
        <v>Nepal</v>
      </c>
      <c r="D1488" s="243" t="str">
        <f>VLOOKUP(Table8[[#This Row],[Document ID]],Table1[],5,FALSE)</f>
        <v>NDC</v>
      </c>
      <c r="E1488" s="233" t="str">
        <f>VLOOKUP(Table8[[#This Row],[Document ID]],Table1[],7,FALSE)</f>
        <v>First NDC</v>
      </c>
      <c r="F1488" s="233" t="str">
        <f>VLOOKUP(Table8[[#This Row],[Document ID]],Table1[],8,FALSE)</f>
        <v>NDC 1.0</v>
      </c>
      <c r="G1488" s="233" t="str">
        <f>VLOOKUP(Table8[[#This Row],[Document ID]],Table1[],10,FALSE)</f>
        <v>Archived</v>
      </c>
      <c r="H1488" s="43" t="s">
        <v>2343</v>
      </c>
      <c r="I1488" s="43" t="s">
        <v>2377</v>
      </c>
      <c r="J1488" s="44" t="s">
        <v>2394</v>
      </c>
      <c r="K1488" s="44" t="s">
        <v>3724</v>
      </c>
      <c r="L1488" s="44" t="s">
        <v>2380</v>
      </c>
      <c r="M1488" s="43"/>
      <c r="N1488" s="113" t="s">
        <v>1113</v>
      </c>
      <c r="O1488" s="113"/>
      <c r="P1488" s="113"/>
      <c r="Q1488" s="113"/>
      <c r="R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t="s">
        <v>1113</v>
      </c>
      <c r="AL1488" s="113"/>
      <c r="AM1488" s="113"/>
      <c r="AN1488" s="113"/>
      <c r="AO1488" s="44" t="s">
        <v>2334</v>
      </c>
      <c r="AP1488" s="43"/>
      <c r="AQ1488" s="236" t="str">
        <f>VLOOKUP(Table8[[#This Row],[Instrument]],Def_Targets!$D$73:$E$159,2,FALSE)</f>
        <v>A_TDM</v>
      </c>
      <c r="AR1488" s="233" t="str">
        <f>VLOOKUP(Table8[[#This Row],[Country Code]],Table29[],3,FALSE)</f>
        <v>Non-Annex I</v>
      </c>
      <c r="AS1488" s="233" t="str">
        <f>VLOOKUP(Table8[[#This Row],[Country Code]],Table29[],4,FALSE)</f>
        <v>Asia</v>
      </c>
      <c r="AT1488" s="233" t="str">
        <f>VLOOKUP(Table8[[#This Row],[Country Code]],Table29[],5,FALSE)</f>
        <v>Middle-income</v>
      </c>
      <c r="AU1488" s="233" t="str">
        <f>VLOOKUP(Table8[[#This Row],[Country Code]],Table29[],6,FALSE)</f>
        <v>no</v>
      </c>
      <c r="AV1488" s="233" t="str">
        <f>VLOOKUP(Table8[[#This Row],[Country Code]],Table29[],7,FALSE)</f>
        <v>no</v>
      </c>
      <c r="AW1488" s="233" t="str">
        <f>VLOOKUP(Table8[[#This Row],[Country Code]],Table29[],8,FALSE)</f>
        <v>non-OECD</v>
      </c>
      <c r="AX1488" s="233" t="str">
        <f>VLOOKUP(Table8[[#This Row],[Country Code]],Table29[],9,FALSE)</f>
        <v>no</v>
      </c>
      <c r="AY1488" s="233" t="str">
        <f>VLOOKUP(Table8[[#This Row],[Country Code]],Table29[],10,FALSE)</f>
        <v>no</v>
      </c>
      <c r="AZ1488" s="235">
        <f>VLOOKUP(Table8[[#This Row],[Country Code]],Table29[],23,FALSE)</f>
        <v>56.830982733611002</v>
      </c>
      <c r="BA1488" s="235">
        <f>VLOOKUP(Table8[[#This Row],[Country Code]],Table29[],24,FALSE)</f>
        <v>4.8627503945089332</v>
      </c>
      <c r="BB1488" s="320"/>
      <c r="BC1488" s="320"/>
    </row>
    <row r="1489" spans="1:55" hidden="1" x14ac:dyDescent="0.25">
      <c r="A1489" s="373">
        <v>17674</v>
      </c>
      <c r="B1489" s="233" t="str">
        <f>VLOOKUP(Table8[[#This Row],[Document ID]],Table1[],2,FALSE)</f>
        <v>NPL</v>
      </c>
      <c r="C1489" s="233" t="str">
        <f>VLOOKUP(Table8[[#This Row],[Document ID]],Table1[],3,FALSE)</f>
        <v>Nepal</v>
      </c>
      <c r="D1489" s="243" t="str">
        <f>VLOOKUP(Table8[[#This Row],[Document ID]],Table1[],5,FALSE)</f>
        <v>NDC</v>
      </c>
      <c r="E1489" s="233" t="str">
        <f>VLOOKUP(Table8[[#This Row],[Document ID]],Table1[],7,FALSE)</f>
        <v>First NDC</v>
      </c>
      <c r="F1489" s="236" t="str">
        <f>VLOOKUP(Table8[[#This Row],[Document ID]],Table1[],8,FALSE)</f>
        <v>NDC 1.0</v>
      </c>
      <c r="G1489" s="236" t="str">
        <f>VLOOKUP(Table8[[#This Row],[Document ID]],Table1[],10,FALSE)</f>
        <v>Archived</v>
      </c>
      <c r="H1489" s="44" t="s">
        <v>2329</v>
      </c>
      <c r="I1489" s="44" t="s">
        <v>2330</v>
      </c>
      <c r="J1489" s="44" t="s">
        <v>2363</v>
      </c>
      <c r="K1489" s="44" t="s">
        <v>3725</v>
      </c>
      <c r="L1489" s="44" t="s">
        <v>2333</v>
      </c>
      <c r="M1489" s="43"/>
      <c r="N1489" s="113" t="s">
        <v>1113</v>
      </c>
      <c r="O1489" s="113"/>
      <c r="P1489" s="113"/>
      <c r="Q1489" s="319"/>
      <c r="R1489" s="319"/>
      <c r="S1489" s="319"/>
      <c r="T1489" s="319"/>
      <c r="U1489" s="319"/>
      <c r="V1489" s="319"/>
      <c r="W1489" s="319"/>
      <c r="X1489" s="319"/>
      <c r="Y1489" s="319"/>
      <c r="Z1489" s="319"/>
      <c r="AA1489" s="319"/>
      <c r="AB1489" s="319"/>
      <c r="AC1489" s="319"/>
      <c r="AD1489" s="319"/>
      <c r="AE1489" s="319"/>
      <c r="AF1489" s="319"/>
      <c r="AG1489" s="319"/>
      <c r="AH1489" s="319"/>
      <c r="AI1489" s="319"/>
      <c r="AJ1489" s="319"/>
      <c r="AK1489" s="319" t="s">
        <v>1113</v>
      </c>
      <c r="AL1489" s="319"/>
      <c r="AM1489" s="319"/>
      <c r="AN1489" s="319"/>
      <c r="AO1489" s="44" t="s">
        <v>2334</v>
      </c>
      <c r="AP1489" s="44"/>
      <c r="AQ1489" s="236" t="str">
        <f>VLOOKUP(Table8[[#This Row],[Instrument]],Def_Targets!$D$73:$E$159,2,FALSE)</f>
        <v>I_LPGCNGLNG</v>
      </c>
      <c r="AR1489" s="233" t="str">
        <f>VLOOKUP(Table8[[#This Row],[Country Code]],Table29[],3,FALSE)</f>
        <v>Non-Annex I</v>
      </c>
      <c r="AS1489" s="233" t="str">
        <f>VLOOKUP(Table8[[#This Row],[Country Code]],Table29[],4,FALSE)</f>
        <v>Asia</v>
      </c>
      <c r="AT1489" s="233" t="str">
        <f>VLOOKUP(Table8[[#This Row],[Country Code]],Table29[],5,FALSE)</f>
        <v>Middle-income</v>
      </c>
      <c r="AU1489" s="233" t="str">
        <f>VLOOKUP(Table8[[#This Row],[Country Code]],Table29[],6,FALSE)</f>
        <v>no</v>
      </c>
      <c r="AV1489" s="233" t="str">
        <f>VLOOKUP(Table8[[#This Row],[Country Code]],Table29[],7,FALSE)</f>
        <v>no</v>
      </c>
      <c r="AW1489" s="233" t="str">
        <f>VLOOKUP(Table8[[#This Row],[Country Code]],Table29[],8,FALSE)</f>
        <v>non-OECD</v>
      </c>
      <c r="AX1489" s="233" t="str">
        <f>VLOOKUP(Table8[[#This Row],[Country Code]],Table29[],9,FALSE)</f>
        <v>no</v>
      </c>
      <c r="AY1489" s="233" t="str">
        <f>VLOOKUP(Table8[[#This Row],[Country Code]],Table29[],10,FALSE)</f>
        <v>no</v>
      </c>
      <c r="AZ1489" s="235">
        <f>VLOOKUP(Table8[[#This Row],[Country Code]],Table29[],23,FALSE)</f>
        <v>56.830982733611002</v>
      </c>
      <c r="BA1489" s="235">
        <f>VLOOKUP(Table8[[#This Row],[Country Code]],Table29[],24,FALSE)</f>
        <v>4.8627503945089332</v>
      </c>
      <c r="BB1489" s="320"/>
      <c r="BC1489" s="320"/>
    </row>
    <row r="1490" spans="1:55" hidden="1" x14ac:dyDescent="0.25">
      <c r="A1490" s="373">
        <v>17674</v>
      </c>
      <c r="B1490" s="233" t="str">
        <f>VLOOKUP(Table8[[#This Row],[Document ID]],Table1[],2,FALSE)</f>
        <v>NPL</v>
      </c>
      <c r="C1490" s="233" t="str">
        <f>VLOOKUP(Table8[[#This Row],[Document ID]],Table1[],3,FALSE)</f>
        <v>Nepal</v>
      </c>
      <c r="D1490" s="243" t="str">
        <f>VLOOKUP(Table8[[#This Row],[Document ID]],Table1[],5,FALSE)</f>
        <v>NDC</v>
      </c>
      <c r="E1490" s="233" t="str">
        <f>VLOOKUP(Table8[[#This Row],[Document ID]],Table1[],7,FALSE)</f>
        <v>First NDC</v>
      </c>
      <c r="F1490" s="233" t="str">
        <f>VLOOKUP(Table8[[#This Row],[Document ID]],Table1[],8,FALSE)</f>
        <v>NDC 1.0</v>
      </c>
      <c r="G1490" s="233" t="str">
        <f>VLOOKUP(Table8[[#This Row],[Document ID]],Table1[],10,FALSE)</f>
        <v>Archived</v>
      </c>
      <c r="H1490" s="44" t="s">
        <v>2338</v>
      </c>
      <c r="I1490" s="44" t="s">
        <v>2339</v>
      </c>
      <c r="J1490" s="44" t="s">
        <v>2556</v>
      </c>
      <c r="K1490" s="44" t="s">
        <v>3726</v>
      </c>
      <c r="L1490" s="44" t="s">
        <v>2333</v>
      </c>
      <c r="M1490" s="43"/>
      <c r="N1490" s="113" t="s">
        <v>1113</v>
      </c>
      <c r="O1490" s="113"/>
      <c r="P1490" s="113"/>
      <c r="Q1490" s="319"/>
      <c r="R1490" s="113"/>
      <c r="S1490" s="319"/>
      <c r="T1490" s="319"/>
      <c r="U1490" s="319"/>
      <c r="V1490" s="319"/>
      <c r="W1490" s="319"/>
      <c r="X1490" s="319"/>
      <c r="Y1490" s="319"/>
      <c r="Z1490" s="319"/>
      <c r="AA1490" s="319"/>
      <c r="AB1490" s="319"/>
      <c r="AC1490" s="319"/>
      <c r="AD1490" s="319"/>
      <c r="AE1490" s="319"/>
      <c r="AF1490" s="319"/>
      <c r="AG1490" s="319"/>
      <c r="AH1490" s="319"/>
      <c r="AI1490" s="319"/>
      <c r="AJ1490" s="319"/>
      <c r="AK1490" s="113" t="s">
        <v>1113</v>
      </c>
      <c r="AL1490" s="113"/>
      <c r="AM1490" s="113"/>
      <c r="AN1490" s="113"/>
      <c r="AO1490" s="44" t="s">
        <v>2334</v>
      </c>
      <c r="AP1490" s="43"/>
      <c r="AQ1490" s="236" t="str">
        <f>VLOOKUP(Table8[[#This Row],[Instrument]],Def_Targets!$D$73:$E$159,2,FALSE)</f>
        <v>I_Fuelqualimprove</v>
      </c>
      <c r="AR1490" s="233" t="str">
        <f>VLOOKUP(Table8[[#This Row],[Country Code]],Table29[],3,FALSE)</f>
        <v>Non-Annex I</v>
      </c>
      <c r="AS1490" s="233" t="str">
        <f>VLOOKUP(Table8[[#This Row],[Country Code]],Table29[],4,FALSE)</f>
        <v>Asia</v>
      </c>
      <c r="AT1490" s="233" t="str">
        <f>VLOOKUP(Table8[[#This Row],[Country Code]],Table29[],5,FALSE)</f>
        <v>Middle-income</v>
      </c>
      <c r="AU1490" s="233" t="str">
        <f>VLOOKUP(Table8[[#This Row],[Country Code]],Table29[],6,FALSE)</f>
        <v>no</v>
      </c>
      <c r="AV1490" s="233" t="str">
        <f>VLOOKUP(Table8[[#This Row],[Country Code]],Table29[],7,FALSE)</f>
        <v>no</v>
      </c>
      <c r="AW1490" s="233" t="str">
        <f>VLOOKUP(Table8[[#This Row],[Country Code]],Table29[],8,FALSE)</f>
        <v>non-OECD</v>
      </c>
      <c r="AX1490" s="233" t="str">
        <f>VLOOKUP(Table8[[#This Row],[Country Code]],Table29[],9,FALSE)</f>
        <v>no</v>
      </c>
      <c r="AY1490" s="233" t="str">
        <f>VLOOKUP(Table8[[#This Row],[Country Code]],Table29[],10,FALSE)</f>
        <v>no</v>
      </c>
      <c r="AZ1490" s="235">
        <f>VLOOKUP(Table8[[#This Row],[Country Code]],Table29[],23,FALSE)</f>
        <v>56.830982733611002</v>
      </c>
      <c r="BA1490" s="235">
        <f>VLOOKUP(Table8[[#This Row],[Country Code]],Table29[],24,FALSE)</f>
        <v>4.8627503945089332</v>
      </c>
      <c r="BB1490" s="320"/>
      <c r="BC1490" s="320"/>
    </row>
    <row r="1491" spans="1:55" ht="60" hidden="1" x14ac:dyDescent="0.25">
      <c r="A1491" s="373">
        <v>17674</v>
      </c>
      <c r="B1491" s="233" t="str">
        <f>VLOOKUP(Table8[[#This Row],[Document ID]],Table1[],2,FALSE)</f>
        <v>NPL</v>
      </c>
      <c r="C1491" s="233" t="str">
        <f>VLOOKUP(Table8[[#This Row],[Document ID]],Table1[],3,FALSE)</f>
        <v>Nepal</v>
      </c>
      <c r="D1491" s="243" t="str">
        <f>VLOOKUP(Table8[[#This Row],[Document ID]],Table1[],5,FALSE)</f>
        <v>NDC</v>
      </c>
      <c r="E1491" s="233" t="str">
        <f>VLOOKUP(Table8[[#This Row],[Document ID]],Table1[],7,FALSE)</f>
        <v>First NDC</v>
      </c>
      <c r="F1491" s="233" t="str">
        <f>VLOOKUP(Table8[[#This Row],[Document ID]],Table1[],8,FALSE)</f>
        <v>NDC 1.0</v>
      </c>
      <c r="G1491" s="233" t="str">
        <f>VLOOKUP(Table8[[#This Row],[Document ID]],Table1[],10,FALSE)</f>
        <v>Archived</v>
      </c>
      <c r="H1491" s="43" t="s">
        <v>2343</v>
      </c>
      <c r="I1491" s="43" t="s">
        <v>2344</v>
      </c>
      <c r="J1491" s="44" t="s">
        <v>2345</v>
      </c>
      <c r="K1491" s="44" t="s">
        <v>3727</v>
      </c>
      <c r="L1491" s="44" t="s">
        <v>2471</v>
      </c>
      <c r="M1491" s="43"/>
      <c r="N1491" s="113"/>
      <c r="O1491" s="113"/>
      <c r="P1491" s="113"/>
      <c r="Q1491" s="113"/>
      <c r="R1491" s="113"/>
      <c r="S1491" s="113"/>
      <c r="T1491" s="113"/>
      <c r="U1491" s="113"/>
      <c r="V1491" s="113"/>
      <c r="W1491" s="113"/>
      <c r="X1491" s="113"/>
      <c r="Y1491" s="113"/>
      <c r="Z1491" s="113"/>
      <c r="AA1491" s="113"/>
      <c r="AB1491" s="113"/>
      <c r="AC1491" s="113" t="s">
        <v>1113</v>
      </c>
      <c r="AD1491" s="113"/>
      <c r="AE1491" s="113"/>
      <c r="AF1491" s="113"/>
      <c r="AG1491" s="113"/>
      <c r="AH1491" s="113"/>
      <c r="AI1491" s="113"/>
      <c r="AJ1491" s="113"/>
      <c r="AK1491" s="113" t="s">
        <v>1113</v>
      </c>
      <c r="AL1491" s="113"/>
      <c r="AM1491" s="113"/>
      <c r="AN1491" s="113"/>
      <c r="AO1491" s="43" t="s">
        <v>2348</v>
      </c>
      <c r="AP1491" s="43"/>
      <c r="AQ1491" s="236" t="str">
        <f>VLOOKUP(Table8[[#This Row],[Instrument]],Def_Targets!$D$73:$E$159,2,FALSE)</f>
        <v>S_PublicTransport</v>
      </c>
      <c r="AR1491" s="233" t="str">
        <f>VLOOKUP(Table8[[#This Row],[Country Code]],Table29[],3,FALSE)</f>
        <v>Non-Annex I</v>
      </c>
      <c r="AS1491" s="233" t="str">
        <f>VLOOKUP(Table8[[#This Row],[Country Code]],Table29[],4,FALSE)</f>
        <v>Asia</v>
      </c>
      <c r="AT1491" s="233" t="str">
        <f>VLOOKUP(Table8[[#This Row],[Country Code]],Table29[],5,FALSE)</f>
        <v>Middle-income</v>
      </c>
      <c r="AU1491" s="233" t="str">
        <f>VLOOKUP(Table8[[#This Row],[Country Code]],Table29[],6,FALSE)</f>
        <v>no</v>
      </c>
      <c r="AV1491" s="233" t="str">
        <f>VLOOKUP(Table8[[#This Row],[Country Code]],Table29[],7,FALSE)</f>
        <v>no</v>
      </c>
      <c r="AW1491" s="233" t="str">
        <f>VLOOKUP(Table8[[#This Row],[Country Code]],Table29[],8,FALSE)</f>
        <v>non-OECD</v>
      </c>
      <c r="AX1491" s="233" t="str">
        <f>VLOOKUP(Table8[[#This Row],[Country Code]],Table29[],9,FALSE)</f>
        <v>no</v>
      </c>
      <c r="AY1491" s="233" t="str">
        <f>VLOOKUP(Table8[[#This Row],[Country Code]],Table29[],10,FALSE)</f>
        <v>no</v>
      </c>
      <c r="AZ1491" s="235">
        <f>VLOOKUP(Table8[[#This Row],[Country Code]],Table29[],23,FALSE)</f>
        <v>56.830982733611002</v>
      </c>
      <c r="BA1491" s="235">
        <f>VLOOKUP(Table8[[#This Row],[Country Code]],Table29[],24,FALSE)</f>
        <v>4.8627503945089332</v>
      </c>
      <c r="BB1491" s="320"/>
      <c r="BC1491" s="320"/>
    </row>
    <row r="1492" spans="1:55" ht="30" hidden="1" x14ac:dyDescent="0.25">
      <c r="A1492" s="373">
        <v>17674</v>
      </c>
      <c r="B1492" s="233" t="str">
        <f>VLOOKUP(Table8[[#This Row],[Document ID]],Table1[],2,FALSE)</f>
        <v>NPL</v>
      </c>
      <c r="C1492" s="233" t="str">
        <f>VLOOKUP(Table8[[#This Row],[Document ID]],Table1[],3,FALSE)</f>
        <v>Nepal</v>
      </c>
      <c r="D1492" s="243" t="str">
        <f>VLOOKUP(Table8[[#This Row],[Document ID]],Table1[],5,FALSE)</f>
        <v>NDC</v>
      </c>
      <c r="E1492" s="233" t="str">
        <f>VLOOKUP(Table8[[#This Row],[Document ID]],Table1[],7,FALSE)</f>
        <v>First NDC</v>
      </c>
      <c r="F1492" s="233" t="str">
        <f>VLOOKUP(Table8[[#This Row],[Document ID]],Table1[],8,FALSE)</f>
        <v>NDC 1.0</v>
      </c>
      <c r="G1492" s="233" t="str">
        <f>VLOOKUP(Table8[[#This Row],[Document ID]],Table1[],10,FALSE)</f>
        <v>Archived</v>
      </c>
      <c r="H1492" s="43" t="s">
        <v>2350</v>
      </c>
      <c r="I1492" s="43" t="s">
        <v>2351</v>
      </c>
      <c r="J1492" s="44" t="s">
        <v>2447</v>
      </c>
      <c r="K1492" s="44" t="s">
        <v>3728</v>
      </c>
      <c r="L1492" s="44" t="s">
        <v>2333</v>
      </c>
      <c r="M1492" s="43"/>
      <c r="N1492" s="113"/>
      <c r="O1492" s="113"/>
      <c r="P1492" s="113"/>
      <c r="Q1492" s="113"/>
      <c r="R1492" s="113"/>
      <c r="S1492" s="113"/>
      <c r="T1492" s="113"/>
      <c r="U1492" s="113"/>
      <c r="V1492" s="113"/>
      <c r="W1492" s="113"/>
      <c r="X1492" s="113"/>
      <c r="Y1492" s="113"/>
      <c r="Z1492" s="113" t="s">
        <v>1113</v>
      </c>
      <c r="AA1492" s="113"/>
      <c r="AB1492" s="113"/>
      <c r="AC1492" s="113"/>
      <c r="AD1492" s="113"/>
      <c r="AE1492" s="113"/>
      <c r="AF1492" s="113"/>
      <c r="AG1492" s="113"/>
      <c r="AH1492" s="113"/>
      <c r="AI1492" s="113"/>
      <c r="AJ1492" s="113"/>
      <c r="AK1492" s="113" t="s">
        <v>1113</v>
      </c>
      <c r="AL1492" s="113"/>
      <c r="AM1492" s="113"/>
      <c r="AN1492" s="113"/>
      <c r="AO1492" s="43" t="s">
        <v>2353</v>
      </c>
      <c r="AP1492" s="43"/>
      <c r="AQ1492" s="236" t="str">
        <f>VLOOKUP(Table8[[#This Row],[Instrument]],Def_Targets!$D$73:$E$159,2,FALSE)</f>
        <v>I_Freighteff</v>
      </c>
      <c r="AR1492" s="233" t="str">
        <f>VLOOKUP(Table8[[#This Row],[Country Code]],Table29[],3,FALSE)</f>
        <v>Non-Annex I</v>
      </c>
      <c r="AS1492" s="233" t="str">
        <f>VLOOKUP(Table8[[#This Row],[Country Code]],Table29[],4,FALSE)</f>
        <v>Asia</v>
      </c>
      <c r="AT1492" s="233" t="str">
        <f>VLOOKUP(Table8[[#This Row],[Country Code]],Table29[],5,FALSE)</f>
        <v>Middle-income</v>
      </c>
      <c r="AU1492" s="233" t="str">
        <f>VLOOKUP(Table8[[#This Row],[Country Code]],Table29[],6,FALSE)</f>
        <v>no</v>
      </c>
      <c r="AV1492" s="233" t="str">
        <f>VLOOKUP(Table8[[#This Row],[Country Code]],Table29[],7,FALSE)</f>
        <v>no</v>
      </c>
      <c r="AW1492" s="233" t="str">
        <f>VLOOKUP(Table8[[#This Row],[Country Code]],Table29[],8,FALSE)</f>
        <v>non-OECD</v>
      </c>
      <c r="AX1492" s="233" t="str">
        <f>VLOOKUP(Table8[[#This Row],[Country Code]],Table29[],9,FALSE)</f>
        <v>no</v>
      </c>
      <c r="AY1492" s="233" t="str">
        <f>VLOOKUP(Table8[[#This Row],[Country Code]],Table29[],10,FALSE)</f>
        <v>no</v>
      </c>
      <c r="AZ1492" s="235">
        <f>VLOOKUP(Table8[[#This Row],[Country Code]],Table29[],23,FALSE)</f>
        <v>56.830982733611002</v>
      </c>
      <c r="BA1492" s="235">
        <f>VLOOKUP(Table8[[#This Row],[Country Code]],Table29[],24,FALSE)</f>
        <v>4.8627503945089332</v>
      </c>
      <c r="BB1492" s="320"/>
      <c r="BC1492" s="320"/>
    </row>
    <row r="1493" spans="1:55" ht="30" hidden="1" x14ac:dyDescent="0.25">
      <c r="A1493" s="373">
        <v>17674</v>
      </c>
      <c r="B1493" s="233" t="str">
        <f>VLOOKUP(Table8[[#This Row],[Document ID]],Table1[],2,FALSE)</f>
        <v>NPL</v>
      </c>
      <c r="C1493" s="233" t="str">
        <f>VLOOKUP(Table8[[#This Row],[Document ID]],Table1[],3,FALSE)</f>
        <v>Nepal</v>
      </c>
      <c r="D1493" s="243" t="str">
        <f>VLOOKUP(Table8[[#This Row],[Document ID]],Table1[],5,FALSE)</f>
        <v>NDC</v>
      </c>
      <c r="E1493" s="233" t="str">
        <f>VLOOKUP(Table8[[#This Row],[Document ID]],Table1[],7,FALSE)</f>
        <v>First NDC</v>
      </c>
      <c r="F1493" s="236" t="str">
        <f>VLOOKUP(Table8[[#This Row],[Document ID]],Table1[],8,FALSE)</f>
        <v>NDC 1.0</v>
      </c>
      <c r="G1493" s="236" t="str">
        <f>VLOOKUP(Table8[[#This Row],[Document ID]],Table1[],10,FALSE)</f>
        <v>Archived</v>
      </c>
      <c r="H1493" s="43" t="s">
        <v>2358</v>
      </c>
      <c r="I1493" s="43" t="s">
        <v>2359</v>
      </c>
      <c r="J1493" s="44" t="s">
        <v>2360</v>
      </c>
      <c r="K1493" s="44" t="s">
        <v>3728</v>
      </c>
      <c r="L1493" s="44" t="s">
        <v>2333</v>
      </c>
      <c r="M1493" s="43"/>
      <c r="N1493" s="113"/>
      <c r="O1493" s="113"/>
      <c r="P1493" s="113"/>
      <c r="Q1493" s="319"/>
      <c r="R1493" s="319"/>
      <c r="S1493" s="319"/>
      <c r="T1493" s="319"/>
      <c r="U1493" s="319"/>
      <c r="V1493" s="319"/>
      <c r="W1493" s="319"/>
      <c r="X1493" s="319"/>
      <c r="Y1493" s="319"/>
      <c r="Z1493" s="319" t="s">
        <v>1113</v>
      </c>
      <c r="AA1493" s="319"/>
      <c r="AB1493" s="319"/>
      <c r="AC1493" s="319"/>
      <c r="AD1493" s="319"/>
      <c r="AE1493" s="319"/>
      <c r="AF1493" s="319"/>
      <c r="AG1493" s="319"/>
      <c r="AH1493" s="319"/>
      <c r="AI1493" s="319"/>
      <c r="AJ1493" s="319"/>
      <c r="AK1493" s="319" t="s">
        <v>1113</v>
      </c>
      <c r="AL1493" s="319"/>
      <c r="AM1493" s="319"/>
      <c r="AN1493" s="319"/>
      <c r="AO1493" s="43" t="s">
        <v>2477</v>
      </c>
      <c r="AP1493" s="44"/>
      <c r="AQ1493" s="236" t="str">
        <f>VLOOKUP(Table8[[#This Row],[Instrument]],Def_Targets!$D$73:$E$159,2,FALSE)</f>
        <v>I_Emobility</v>
      </c>
      <c r="AR1493" s="233" t="str">
        <f>VLOOKUP(Table8[[#This Row],[Country Code]],Table29[],3,FALSE)</f>
        <v>Non-Annex I</v>
      </c>
      <c r="AS1493" s="233" t="str">
        <f>VLOOKUP(Table8[[#This Row],[Country Code]],Table29[],4,FALSE)</f>
        <v>Asia</v>
      </c>
      <c r="AT1493" s="233" t="str">
        <f>VLOOKUP(Table8[[#This Row],[Country Code]],Table29[],5,FALSE)</f>
        <v>Middle-income</v>
      </c>
      <c r="AU1493" s="233" t="str">
        <f>VLOOKUP(Table8[[#This Row],[Country Code]],Table29[],6,FALSE)</f>
        <v>no</v>
      </c>
      <c r="AV1493" s="233" t="str">
        <f>VLOOKUP(Table8[[#This Row],[Country Code]],Table29[],7,FALSE)</f>
        <v>no</v>
      </c>
      <c r="AW1493" s="233" t="str">
        <f>VLOOKUP(Table8[[#This Row],[Country Code]],Table29[],8,FALSE)</f>
        <v>non-OECD</v>
      </c>
      <c r="AX1493" s="233" t="str">
        <f>VLOOKUP(Table8[[#This Row],[Country Code]],Table29[],9,FALSE)</f>
        <v>no</v>
      </c>
      <c r="AY1493" s="233" t="str">
        <f>VLOOKUP(Table8[[#This Row],[Country Code]],Table29[],10,FALSE)</f>
        <v>no</v>
      </c>
      <c r="AZ1493" s="235">
        <f>VLOOKUP(Table8[[#This Row],[Country Code]],Table29[],23,FALSE)</f>
        <v>56.830982733611002</v>
      </c>
      <c r="BA1493" s="235">
        <f>VLOOKUP(Table8[[#This Row],[Country Code]],Table29[],24,FALSE)</f>
        <v>4.8627503945089332</v>
      </c>
      <c r="BB1493" s="320"/>
      <c r="BC1493" s="320"/>
    </row>
    <row r="1494" spans="1:55" hidden="1" x14ac:dyDescent="0.25">
      <c r="A1494" s="373">
        <v>17674</v>
      </c>
      <c r="B1494" s="233" t="str">
        <f>VLOOKUP(Table8[[#This Row],[Document ID]],Table1[],2,FALSE)</f>
        <v>NPL</v>
      </c>
      <c r="C1494" s="233" t="str">
        <f>VLOOKUP(Table8[[#This Row],[Document ID]],Table1[],3,FALSE)</f>
        <v>Nepal</v>
      </c>
      <c r="D1494" s="243" t="str">
        <f>VLOOKUP(Table8[[#This Row],[Document ID]],Table1[],5,FALSE)</f>
        <v>NDC</v>
      </c>
      <c r="E1494" s="233" t="str">
        <f>VLOOKUP(Table8[[#This Row],[Document ID]],Table1[],7,FALSE)</f>
        <v>First NDC</v>
      </c>
      <c r="F1494" s="233" t="str">
        <f>VLOOKUP(Table8[[#This Row],[Document ID]],Table1[],8,FALSE)</f>
        <v>NDC 1.0</v>
      </c>
      <c r="G1494" s="233" t="str">
        <f>VLOOKUP(Table8[[#This Row],[Document ID]],Table1[],10,FALSE)</f>
        <v>Archived</v>
      </c>
      <c r="H1494" s="43" t="s">
        <v>2343</v>
      </c>
      <c r="I1494" s="43" t="s">
        <v>2361</v>
      </c>
      <c r="J1494" s="44" t="s">
        <v>2362</v>
      </c>
      <c r="K1494" s="44" t="s">
        <v>3729</v>
      </c>
      <c r="L1494" s="44" t="s">
        <v>2347</v>
      </c>
      <c r="M1494" s="43"/>
      <c r="N1494" s="113"/>
      <c r="O1494" s="113"/>
      <c r="P1494" s="113"/>
      <c r="Q1494" s="319"/>
      <c r="R1494" s="113" t="s">
        <v>1113</v>
      </c>
      <c r="S1494" s="319"/>
      <c r="T1494" s="319"/>
      <c r="U1494" s="319"/>
      <c r="V1494" s="319"/>
      <c r="W1494" s="319"/>
      <c r="X1494" s="319"/>
      <c r="Y1494" s="319"/>
      <c r="Z1494" s="319"/>
      <c r="AA1494" s="319"/>
      <c r="AB1494" s="319"/>
      <c r="AC1494" s="319"/>
      <c r="AD1494" s="319"/>
      <c r="AE1494" s="319"/>
      <c r="AF1494" s="319"/>
      <c r="AG1494" s="319"/>
      <c r="AH1494" s="319"/>
      <c r="AI1494" s="319"/>
      <c r="AJ1494" s="319"/>
      <c r="AK1494" s="113" t="s">
        <v>1113</v>
      </c>
      <c r="AL1494" s="113"/>
      <c r="AM1494" s="113"/>
      <c r="AN1494" s="113"/>
      <c r="AO1494" s="44" t="s">
        <v>2334</v>
      </c>
      <c r="AP1494" s="43"/>
      <c r="AQ1494" s="236" t="str">
        <f>VLOOKUP(Table8[[#This Row],[Instrument]],Def_Targets!$D$73:$E$159,2,FALSE)</f>
        <v>S_Cycling</v>
      </c>
      <c r="AR1494" s="233" t="str">
        <f>VLOOKUP(Table8[[#This Row],[Country Code]],Table29[],3,FALSE)</f>
        <v>Non-Annex I</v>
      </c>
      <c r="AS1494" s="233" t="str">
        <f>VLOOKUP(Table8[[#This Row],[Country Code]],Table29[],4,FALSE)</f>
        <v>Asia</v>
      </c>
      <c r="AT1494" s="233" t="str">
        <f>VLOOKUP(Table8[[#This Row],[Country Code]],Table29[],5,FALSE)</f>
        <v>Middle-income</v>
      </c>
      <c r="AU1494" s="233" t="str">
        <f>VLOOKUP(Table8[[#This Row],[Country Code]],Table29[],6,FALSE)</f>
        <v>no</v>
      </c>
      <c r="AV1494" s="233" t="str">
        <f>VLOOKUP(Table8[[#This Row],[Country Code]],Table29[],7,FALSE)</f>
        <v>no</v>
      </c>
      <c r="AW1494" s="233" t="str">
        <f>VLOOKUP(Table8[[#This Row],[Country Code]],Table29[],8,FALSE)</f>
        <v>non-OECD</v>
      </c>
      <c r="AX1494" s="233" t="str">
        <f>VLOOKUP(Table8[[#This Row],[Country Code]],Table29[],9,FALSE)</f>
        <v>no</v>
      </c>
      <c r="AY1494" s="233" t="str">
        <f>VLOOKUP(Table8[[#This Row],[Country Code]],Table29[],10,FALSE)</f>
        <v>no</v>
      </c>
      <c r="AZ1494" s="235">
        <f>VLOOKUP(Table8[[#This Row],[Country Code]],Table29[],23,FALSE)</f>
        <v>56.830982733611002</v>
      </c>
      <c r="BA1494" s="235">
        <f>VLOOKUP(Table8[[#This Row],[Country Code]],Table29[],24,FALSE)</f>
        <v>4.8627503945089332</v>
      </c>
      <c r="BB1494" s="320"/>
      <c r="BC1494" s="320"/>
    </row>
    <row r="1495" spans="1:55" ht="30" hidden="1" x14ac:dyDescent="0.25">
      <c r="A1495" s="373">
        <v>17674</v>
      </c>
      <c r="B1495" s="233" t="str">
        <f>VLOOKUP(Table8[[#This Row],[Document ID]],Table1[],2,FALSE)</f>
        <v>NPL</v>
      </c>
      <c r="C1495" s="233" t="str">
        <f>VLOOKUP(Table8[[#This Row],[Document ID]],Table1[],3,FALSE)</f>
        <v>Nepal</v>
      </c>
      <c r="D1495" s="243" t="str">
        <f>VLOOKUP(Table8[[#This Row],[Document ID]],Table1[],5,FALSE)</f>
        <v>NDC</v>
      </c>
      <c r="E1495" s="233" t="str">
        <f>VLOOKUP(Table8[[#This Row],[Document ID]],Table1[],7,FALSE)</f>
        <v>First NDC</v>
      </c>
      <c r="F1495" s="233" t="str">
        <f>VLOOKUP(Table8[[#This Row],[Document ID]],Table1[],8,FALSE)</f>
        <v>NDC 1.0</v>
      </c>
      <c r="G1495" s="233" t="str">
        <f>VLOOKUP(Table8[[#This Row],[Document ID]],Table1[],10,FALSE)</f>
        <v>Archived</v>
      </c>
      <c r="H1495" s="43" t="s">
        <v>2343</v>
      </c>
      <c r="I1495" s="43" t="s">
        <v>2386</v>
      </c>
      <c r="J1495" s="44" t="s">
        <v>2498</v>
      </c>
      <c r="K1495" s="44" t="s">
        <v>3730</v>
      </c>
      <c r="L1495" s="44" t="s">
        <v>2373</v>
      </c>
      <c r="M1495" s="43"/>
      <c r="N1495" s="113" t="s">
        <v>1113</v>
      </c>
      <c r="O1495" s="113"/>
      <c r="P1495" s="113"/>
      <c r="Q1495" s="113"/>
      <c r="R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t="s">
        <v>1113</v>
      </c>
      <c r="AL1495" s="113"/>
      <c r="AM1495" s="113"/>
      <c r="AN1495" s="113"/>
      <c r="AO1495" s="44" t="s">
        <v>2334</v>
      </c>
      <c r="AP1495" s="43"/>
      <c r="AQ1495" s="236" t="str">
        <f>VLOOKUP(Table8[[#This Row],[Instrument]],Def_Targets!$D$73:$E$159,2,FALSE)</f>
        <v>A_Fueltax</v>
      </c>
      <c r="AR1495" s="233" t="str">
        <f>VLOOKUP(Table8[[#This Row],[Country Code]],Table29[],3,FALSE)</f>
        <v>Non-Annex I</v>
      </c>
      <c r="AS1495" s="233" t="str">
        <f>VLOOKUP(Table8[[#This Row],[Country Code]],Table29[],4,FALSE)</f>
        <v>Asia</v>
      </c>
      <c r="AT1495" s="233" t="str">
        <f>VLOOKUP(Table8[[#This Row],[Country Code]],Table29[],5,FALSE)</f>
        <v>Middle-income</v>
      </c>
      <c r="AU1495" s="233" t="str">
        <f>VLOOKUP(Table8[[#This Row],[Country Code]],Table29[],6,FALSE)</f>
        <v>no</v>
      </c>
      <c r="AV1495" s="233" t="str">
        <f>VLOOKUP(Table8[[#This Row],[Country Code]],Table29[],7,FALSE)</f>
        <v>no</v>
      </c>
      <c r="AW1495" s="233" t="str">
        <f>VLOOKUP(Table8[[#This Row],[Country Code]],Table29[],8,FALSE)</f>
        <v>non-OECD</v>
      </c>
      <c r="AX1495" s="233" t="str">
        <f>VLOOKUP(Table8[[#This Row],[Country Code]],Table29[],9,FALSE)</f>
        <v>no</v>
      </c>
      <c r="AY1495" s="233" t="str">
        <f>VLOOKUP(Table8[[#This Row],[Country Code]],Table29[],10,FALSE)</f>
        <v>no</v>
      </c>
      <c r="AZ1495" s="235">
        <f>VLOOKUP(Table8[[#This Row],[Country Code]],Table29[],23,FALSE)</f>
        <v>56.830982733611002</v>
      </c>
      <c r="BA1495" s="235">
        <f>VLOOKUP(Table8[[#This Row],[Country Code]],Table29[],24,FALSE)</f>
        <v>4.8627503945089332</v>
      </c>
      <c r="BB1495" s="320"/>
      <c r="BC1495" s="320"/>
    </row>
    <row r="1496" spans="1:55" hidden="1" x14ac:dyDescent="0.25">
      <c r="A1496" s="373">
        <v>17674</v>
      </c>
      <c r="B1496" s="233" t="str">
        <f>VLOOKUP(Table8[[#This Row],[Document ID]],Table1[],2,FALSE)</f>
        <v>NPL</v>
      </c>
      <c r="C1496" s="233" t="str">
        <f>VLOOKUP(Table8[[#This Row],[Document ID]],Table1[],3,FALSE)</f>
        <v>Nepal</v>
      </c>
      <c r="D1496" s="243" t="str">
        <f>VLOOKUP(Table8[[#This Row],[Document ID]],Table1[],5,FALSE)</f>
        <v>NDC</v>
      </c>
      <c r="E1496" s="233" t="str">
        <f>VLOOKUP(Table8[[#This Row],[Document ID]],Table1[],7,FALSE)</f>
        <v>First NDC</v>
      </c>
      <c r="F1496" s="236" t="str">
        <f>VLOOKUP(Table8[[#This Row],[Document ID]],Table1[],8,FALSE)</f>
        <v>NDC 1.0</v>
      </c>
      <c r="G1496" s="236" t="str">
        <f>VLOOKUP(Table8[[#This Row],[Document ID]],Table1[],10,FALSE)</f>
        <v>Archived</v>
      </c>
      <c r="H1496" s="44" t="s">
        <v>2338</v>
      </c>
      <c r="I1496" s="44" t="s">
        <v>2339</v>
      </c>
      <c r="J1496" s="44" t="s">
        <v>2425</v>
      </c>
      <c r="K1496" s="44" t="s">
        <v>3731</v>
      </c>
      <c r="L1496" s="44" t="s">
        <v>2333</v>
      </c>
      <c r="M1496" s="43"/>
      <c r="N1496" s="113" t="s">
        <v>1113</v>
      </c>
      <c r="O1496" s="113"/>
      <c r="P1496" s="113"/>
      <c r="Q1496" s="319"/>
      <c r="R1496" s="319"/>
      <c r="S1496" s="319"/>
      <c r="T1496" s="319"/>
      <c r="U1496" s="319"/>
      <c r="V1496" s="319"/>
      <c r="W1496" s="319"/>
      <c r="X1496" s="319"/>
      <c r="Y1496" s="319"/>
      <c r="Z1496" s="319"/>
      <c r="AA1496" s="319"/>
      <c r="AB1496" s="319"/>
      <c r="AC1496" s="319"/>
      <c r="AD1496" s="319"/>
      <c r="AE1496" s="319"/>
      <c r="AF1496" s="319"/>
      <c r="AG1496" s="319"/>
      <c r="AH1496" s="319"/>
      <c r="AI1496" s="319"/>
      <c r="AJ1496" s="319"/>
      <c r="AK1496" s="319" t="s">
        <v>1113</v>
      </c>
      <c r="AL1496" s="319"/>
      <c r="AM1496" s="319"/>
      <c r="AN1496" s="319"/>
      <c r="AO1496" s="44" t="s">
        <v>2334</v>
      </c>
      <c r="AP1496" s="44"/>
      <c r="AQ1496" s="236" t="str">
        <f>VLOOKUP(Table8[[#This Row],[Instrument]],Def_Targets!$D$73:$E$159,2,FALSE)</f>
        <v>I_Efficiencystd</v>
      </c>
      <c r="AR1496" s="233" t="str">
        <f>VLOOKUP(Table8[[#This Row],[Country Code]],Table29[],3,FALSE)</f>
        <v>Non-Annex I</v>
      </c>
      <c r="AS1496" s="233" t="str">
        <f>VLOOKUP(Table8[[#This Row],[Country Code]],Table29[],4,FALSE)</f>
        <v>Asia</v>
      </c>
      <c r="AT1496" s="233" t="str">
        <f>VLOOKUP(Table8[[#This Row],[Country Code]],Table29[],5,FALSE)</f>
        <v>Middle-income</v>
      </c>
      <c r="AU1496" s="233" t="str">
        <f>VLOOKUP(Table8[[#This Row],[Country Code]],Table29[],6,FALSE)</f>
        <v>no</v>
      </c>
      <c r="AV1496" s="233" t="str">
        <f>VLOOKUP(Table8[[#This Row],[Country Code]],Table29[],7,FALSE)</f>
        <v>no</v>
      </c>
      <c r="AW1496" s="233" t="str">
        <f>VLOOKUP(Table8[[#This Row],[Country Code]],Table29[],8,FALSE)</f>
        <v>non-OECD</v>
      </c>
      <c r="AX1496" s="233" t="str">
        <f>VLOOKUP(Table8[[#This Row],[Country Code]],Table29[],9,FALSE)</f>
        <v>no</v>
      </c>
      <c r="AY1496" s="233" t="str">
        <f>VLOOKUP(Table8[[#This Row],[Country Code]],Table29[],10,FALSE)</f>
        <v>no</v>
      </c>
      <c r="AZ1496" s="235">
        <f>VLOOKUP(Table8[[#This Row],[Country Code]],Table29[],23,FALSE)</f>
        <v>56.830982733611002</v>
      </c>
      <c r="BA1496" s="235">
        <f>VLOOKUP(Table8[[#This Row],[Country Code]],Table29[],24,FALSE)</f>
        <v>4.8627503945089332</v>
      </c>
      <c r="BB1496" s="320"/>
      <c r="BC1496" s="320"/>
    </row>
    <row r="1497" spans="1:55" ht="240" hidden="1" x14ac:dyDescent="0.25">
      <c r="A1497" s="373">
        <v>17675</v>
      </c>
      <c r="B1497" s="233" t="str">
        <f>VLOOKUP(Table8[[#This Row],[Document ID]],Table1[],2,FALSE)</f>
        <v>NPL</v>
      </c>
      <c r="C1497" s="233" t="str">
        <f>VLOOKUP(Table8[[#This Row],[Document ID]],Table1[],3,FALSE)</f>
        <v>Nepal</v>
      </c>
      <c r="D1497" s="243" t="str">
        <f>VLOOKUP(Table8[[#This Row],[Document ID]],Table1[],5,FALSE)</f>
        <v>NDC</v>
      </c>
      <c r="E1497" s="233" t="str">
        <f>VLOOKUP(Table8[[#This Row],[Document ID]],Table1[],7,FALSE)</f>
        <v>Second NDC</v>
      </c>
      <c r="F1497" s="233" t="str">
        <f>VLOOKUP(Table8[[#This Row],[Document ID]],Table1[],8,FALSE)</f>
        <v>NDC 2.0</v>
      </c>
      <c r="G1497" s="233" t="str">
        <f>VLOOKUP(Table8[[#This Row],[Document ID]],Table1[],10,FALSE)</f>
        <v>Active</v>
      </c>
      <c r="H1497" s="43" t="s">
        <v>2358</v>
      </c>
      <c r="I1497" s="43" t="s">
        <v>2359</v>
      </c>
      <c r="J1497" s="44" t="s">
        <v>2360</v>
      </c>
      <c r="K1497" s="44" t="s">
        <v>3732</v>
      </c>
      <c r="L1497" s="44" t="s">
        <v>2333</v>
      </c>
      <c r="M1497" s="43">
        <v>2</v>
      </c>
      <c r="N1497" s="113"/>
      <c r="O1497" s="113"/>
      <c r="P1497" s="113"/>
      <c r="Q1497" s="113"/>
      <c r="R1497" s="113"/>
      <c r="S1497" s="113" t="s">
        <v>1113</v>
      </c>
      <c r="T1497" s="113" t="s">
        <v>1113</v>
      </c>
      <c r="U1497" s="113"/>
      <c r="V1497" s="113"/>
      <c r="W1497" s="113"/>
      <c r="X1497" s="113"/>
      <c r="Y1497" s="113"/>
      <c r="Z1497" s="113" t="s">
        <v>1113</v>
      </c>
      <c r="AA1497" s="113"/>
      <c r="AB1497" s="113"/>
      <c r="AC1497" s="113"/>
      <c r="AD1497" s="113"/>
      <c r="AE1497" s="113"/>
      <c r="AF1497" s="113"/>
      <c r="AG1497" s="113"/>
      <c r="AH1497" s="113"/>
      <c r="AI1497" s="113"/>
      <c r="AJ1497" s="113"/>
      <c r="AK1497" s="319" t="s">
        <v>1113</v>
      </c>
      <c r="AL1497" s="113"/>
      <c r="AM1497" s="113"/>
      <c r="AN1497" s="113"/>
      <c r="AO1497" s="43" t="s">
        <v>2477</v>
      </c>
      <c r="AP1497" s="43"/>
      <c r="AQ1497" s="236" t="str">
        <f>VLOOKUP(Table8[[#This Row],[Instrument]],Def_Targets!$D$73:$E$159,2,FALSE)</f>
        <v>I_Emobility</v>
      </c>
      <c r="AR1497" s="233" t="str">
        <f>VLOOKUP(Table8[[#This Row],[Country Code]],Table29[],3,FALSE)</f>
        <v>Non-Annex I</v>
      </c>
      <c r="AS1497" s="233" t="str">
        <f>VLOOKUP(Table8[[#This Row],[Country Code]],Table29[],4,FALSE)</f>
        <v>Asia</v>
      </c>
      <c r="AT1497" s="233" t="str">
        <f>VLOOKUP(Table8[[#This Row],[Country Code]],Table29[],5,FALSE)</f>
        <v>Middle-income</v>
      </c>
      <c r="AU1497" s="233" t="str">
        <f>VLOOKUP(Table8[[#This Row],[Country Code]],Table29[],6,FALSE)</f>
        <v>no</v>
      </c>
      <c r="AV1497" s="233" t="str">
        <f>VLOOKUP(Table8[[#This Row],[Country Code]],Table29[],7,FALSE)</f>
        <v>no</v>
      </c>
      <c r="AW1497" s="233" t="str">
        <f>VLOOKUP(Table8[[#This Row],[Country Code]],Table29[],8,FALSE)</f>
        <v>non-OECD</v>
      </c>
      <c r="AX1497" s="233" t="str">
        <f>VLOOKUP(Table8[[#This Row],[Country Code]],Table29[],9,FALSE)</f>
        <v>no</v>
      </c>
      <c r="AY1497" s="233" t="str">
        <f>VLOOKUP(Table8[[#This Row],[Country Code]],Table29[],10,FALSE)</f>
        <v>no</v>
      </c>
      <c r="AZ1497" s="235">
        <f>VLOOKUP(Table8[[#This Row],[Country Code]],Table29[],23,FALSE)</f>
        <v>56.830982733611002</v>
      </c>
      <c r="BA1497" s="235">
        <f>VLOOKUP(Table8[[#This Row],[Country Code]],Table29[],24,FALSE)</f>
        <v>4.8627503945089332</v>
      </c>
      <c r="BB1497" s="320"/>
      <c r="BC1497" s="320"/>
    </row>
    <row r="1498" spans="1:55" ht="30" hidden="1" x14ac:dyDescent="0.25">
      <c r="A1498" s="373">
        <v>17675</v>
      </c>
      <c r="B1498" s="233" t="str">
        <f>VLOOKUP(Table8[[#This Row],[Document ID]],Table1[],2,FALSE)</f>
        <v>NPL</v>
      </c>
      <c r="C1498" s="233" t="str">
        <f>VLOOKUP(Table8[[#This Row],[Document ID]],Table1[],3,FALSE)</f>
        <v>Nepal</v>
      </c>
      <c r="D1498" s="243" t="str">
        <f>VLOOKUP(Table8[[#This Row],[Document ID]],Table1[],5,FALSE)</f>
        <v>NDC</v>
      </c>
      <c r="E1498" s="233" t="str">
        <f>VLOOKUP(Table8[[#This Row],[Document ID]],Table1[],7,FALSE)</f>
        <v>Second NDC</v>
      </c>
      <c r="F1498" s="233" t="str">
        <f>VLOOKUP(Table8[[#This Row],[Document ID]],Table1[],8,FALSE)</f>
        <v>NDC 2.0</v>
      </c>
      <c r="G1498" s="233" t="str">
        <f>VLOOKUP(Table8[[#This Row],[Document ID]],Table1[],10,FALSE)</f>
        <v>Active</v>
      </c>
      <c r="H1498" s="43" t="s">
        <v>2350</v>
      </c>
      <c r="I1498" s="43" t="s">
        <v>2351</v>
      </c>
      <c r="J1498" s="44" t="s">
        <v>2352</v>
      </c>
      <c r="K1498" s="44" t="s">
        <v>3733</v>
      </c>
      <c r="L1498" s="44" t="s">
        <v>2347</v>
      </c>
      <c r="M1498" s="43">
        <v>5</v>
      </c>
      <c r="N1498" s="113"/>
      <c r="O1498" s="113"/>
      <c r="P1498" s="113"/>
      <c r="Q1498" s="113"/>
      <c r="R1498" s="113"/>
      <c r="S1498" s="113"/>
      <c r="T1498" s="113"/>
      <c r="U1498" s="113"/>
      <c r="V1498" s="113"/>
      <c r="W1498" s="113"/>
      <c r="X1498" s="113"/>
      <c r="Y1498" s="113" t="s">
        <v>1113</v>
      </c>
      <c r="Z1498" s="113"/>
      <c r="AA1498" s="113"/>
      <c r="AB1498" s="113"/>
      <c r="AC1498" s="113"/>
      <c r="AD1498" s="113"/>
      <c r="AE1498" s="113"/>
      <c r="AF1498" s="113"/>
      <c r="AG1498" s="113"/>
      <c r="AH1498" s="113"/>
      <c r="AI1498" s="113"/>
      <c r="AJ1498" s="113"/>
      <c r="AK1498" s="113"/>
      <c r="AL1498" s="113" t="s">
        <v>1113</v>
      </c>
      <c r="AM1498" s="113"/>
      <c r="AN1498" s="113"/>
      <c r="AO1498" s="43" t="s">
        <v>2477</v>
      </c>
      <c r="AP1498" s="43"/>
      <c r="AQ1498" s="236" t="str">
        <f>VLOOKUP(Table8[[#This Row],[Instrument]],Def_Targets!$D$73:$E$159,2,FALSE)</f>
        <v>S_Railfreight</v>
      </c>
      <c r="AR1498" s="233" t="str">
        <f>VLOOKUP(Table8[[#This Row],[Country Code]],Table29[],3,FALSE)</f>
        <v>Non-Annex I</v>
      </c>
      <c r="AS1498" s="233" t="str">
        <f>VLOOKUP(Table8[[#This Row],[Country Code]],Table29[],4,FALSE)</f>
        <v>Asia</v>
      </c>
      <c r="AT1498" s="233" t="str">
        <f>VLOOKUP(Table8[[#This Row],[Country Code]],Table29[],5,FALSE)</f>
        <v>Middle-income</v>
      </c>
      <c r="AU1498" s="233" t="str">
        <f>VLOOKUP(Table8[[#This Row],[Country Code]],Table29[],6,FALSE)</f>
        <v>no</v>
      </c>
      <c r="AV1498" s="233" t="str">
        <f>VLOOKUP(Table8[[#This Row],[Country Code]],Table29[],7,FALSE)</f>
        <v>no</v>
      </c>
      <c r="AW1498" s="233" t="str">
        <f>VLOOKUP(Table8[[#This Row],[Country Code]],Table29[],8,FALSE)</f>
        <v>non-OECD</v>
      </c>
      <c r="AX1498" s="233" t="str">
        <f>VLOOKUP(Table8[[#This Row],[Country Code]],Table29[],9,FALSE)</f>
        <v>no</v>
      </c>
      <c r="AY1498" s="233" t="str">
        <f>VLOOKUP(Table8[[#This Row],[Country Code]],Table29[],10,FALSE)</f>
        <v>no</v>
      </c>
      <c r="AZ1498" s="235">
        <f>VLOOKUP(Table8[[#This Row],[Country Code]],Table29[],23,FALSE)</f>
        <v>56.830982733611002</v>
      </c>
      <c r="BA1498" s="235">
        <f>VLOOKUP(Table8[[#This Row],[Country Code]],Table29[],24,FALSE)</f>
        <v>4.8627503945089332</v>
      </c>
      <c r="BB1498" s="320"/>
      <c r="BC1498" s="320"/>
    </row>
    <row r="1499" spans="1:55" ht="30" hidden="1" x14ac:dyDescent="0.25">
      <c r="A1499" s="373">
        <v>17675</v>
      </c>
      <c r="B1499" s="233" t="str">
        <f>VLOOKUP(Table8[[#This Row],[Document ID]],Table1[],2,FALSE)</f>
        <v>NPL</v>
      </c>
      <c r="C1499" s="233" t="str">
        <f>VLOOKUP(Table8[[#This Row],[Document ID]],Table1[],3,FALSE)</f>
        <v>Nepal</v>
      </c>
      <c r="D1499" s="243" t="str">
        <f>VLOOKUP(Table8[[#This Row],[Document ID]],Table1[],5,FALSE)</f>
        <v>NDC</v>
      </c>
      <c r="E1499" s="233" t="str">
        <f>VLOOKUP(Table8[[#This Row],[Document ID]],Table1[],7,FALSE)</f>
        <v>Second NDC</v>
      </c>
      <c r="F1499" s="233" t="str">
        <f>VLOOKUP(Table8[[#This Row],[Document ID]],Table1[],8,FALSE)</f>
        <v>NDC 2.0</v>
      </c>
      <c r="G1499" s="233" t="str">
        <f>VLOOKUP(Table8[[#This Row],[Document ID]],Table1[],10,FALSE)</f>
        <v>Active</v>
      </c>
      <c r="H1499" s="43" t="s">
        <v>2343</v>
      </c>
      <c r="I1499" s="43" t="s">
        <v>2344</v>
      </c>
      <c r="J1499" s="44" t="s">
        <v>2405</v>
      </c>
      <c r="K1499" s="44" t="s">
        <v>3733</v>
      </c>
      <c r="L1499" s="44" t="s">
        <v>2347</v>
      </c>
      <c r="M1499" s="43">
        <v>5</v>
      </c>
      <c r="N1499" s="113"/>
      <c r="O1499" s="113"/>
      <c r="P1499" s="113"/>
      <c r="Q1499" s="113"/>
      <c r="R1499" s="113"/>
      <c r="S1499" s="113"/>
      <c r="T1499" s="113"/>
      <c r="U1499" s="113"/>
      <c r="V1499" s="113"/>
      <c r="W1499" s="113"/>
      <c r="X1499" s="113"/>
      <c r="Y1499" s="113" t="s">
        <v>1113</v>
      </c>
      <c r="Z1499" s="113"/>
      <c r="AA1499" s="113"/>
      <c r="AB1499" s="113"/>
      <c r="AC1499" s="113"/>
      <c r="AD1499" s="113"/>
      <c r="AE1499" s="113"/>
      <c r="AF1499" s="113"/>
      <c r="AG1499" s="113"/>
      <c r="AH1499" s="113"/>
      <c r="AI1499" s="113"/>
      <c r="AJ1499" s="113"/>
      <c r="AK1499" s="113"/>
      <c r="AL1499" s="113" t="s">
        <v>1113</v>
      </c>
      <c r="AM1499" s="113"/>
      <c r="AN1499" s="113"/>
      <c r="AO1499" s="43" t="s">
        <v>2477</v>
      </c>
      <c r="AP1499" s="43"/>
      <c r="AQ1499" s="236" t="str">
        <f>VLOOKUP(Table8[[#This Row],[Instrument]],Def_Targets!$D$73:$E$159,2,FALSE)</f>
        <v>S_PTIntegration</v>
      </c>
      <c r="AR1499" s="233" t="str">
        <f>VLOOKUP(Table8[[#This Row],[Country Code]],Table29[],3,FALSE)</f>
        <v>Non-Annex I</v>
      </c>
      <c r="AS1499" s="233" t="str">
        <f>VLOOKUP(Table8[[#This Row],[Country Code]],Table29[],4,FALSE)</f>
        <v>Asia</v>
      </c>
      <c r="AT1499" s="233" t="str">
        <f>VLOOKUP(Table8[[#This Row],[Country Code]],Table29[],5,FALSE)</f>
        <v>Middle-income</v>
      </c>
      <c r="AU1499" s="233" t="str">
        <f>VLOOKUP(Table8[[#This Row],[Country Code]],Table29[],6,FALSE)</f>
        <v>no</v>
      </c>
      <c r="AV1499" s="233" t="str">
        <f>VLOOKUP(Table8[[#This Row],[Country Code]],Table29[],7,FALSE)</f>
        <v>no</v>
      </c>
      <c r="AW1499" s="233" t="str">
        <f>VLOOKUP(Table8[[#This Row],[Country Code]],Table29[],8,FALSE)</f>
        <v>non-OECD</v>
      </c>
      <c r="AX1499" s="233" t="str">
        <f>VLOOKUP(Table8[[#This Row],[Country Code]],Table29[],9,FALSE)</f>
        <v>no</v>
      </c>
      <c r="AY1499" s="233" t="str">
        <f>VLOOKUP(Table8[[#This Row],[Country Code]],Table29[],10,FALSE)</f>
        <v>no</v>
      </c>
      <c r="AZ1499" s="235">
        <f>VLOOKUP(Table8[[#This Row],[Country Code]],Table29[],23,FALSE)</f>
        <v>56.830982733611002</v>
      </c>
      <c r="BA1499" s="235">
        <f>VLOOKUP(Table8[[#This Row],[Country Code]],Table29[],24,FALSE)</f>
        <v>4.8627503945089332</v>
      </c>
      <c r="BB1499" s="320"/>
      <c r="BC1499" s="320"/>
    </row>
    <row r="1500" spans="1:55" hidden="1" x14ac:dyDescent="0.25">
      <c r="A1500" s="373">
        <v>17675</v>
      </c>
      <c r="B1500" s="233" t="str">
        <f>VLOOKUP(Table8[[#This Row],[Document ID]],Table1[],2,FALSE)</f>
        <v>NPL</v>
      </c>
      <c r="C1500" s="233" t="str">
        <f>VLOOKUP(Table8[[#This Row],[Document ID]],Table1[],3,FALSE)</f>
        <v>Nepal</v>
      </c>
      <c r="D1500" s="243" t="str">
        <f>VLOOKUP(Table8[[#This Row],[Document ID]],Table1[],5,FALSE)</f>
        <v>NDC</v>
      </c>
      <c r="E1500" s="233" t="str">
        <f>VLOOKUP(Table8[[#This Row],[Document ID]],Table1[],7,FALSE)</f>
        <v>Second NDC</v>
      </c>
      <c r="F1500" s="233" t="str">
        <f>VLOOKUP(Table8[[#This Row],[Document ID]],Table1[],8,FALSE)</f>
        <v>NDC 2.0</v>
      </c>
      <c r="G1500" s="233" t="str">
        <f>VLOOKUP(Table8[[#This Row],[Document ID]],Table1[],10,FALSE)</f>
        <v>Active</v>
      </c>
      <c r="H1500" s="44" t="s">
        <v>2338</v>
      </c>
      <c r="I1500" s="44" t="s">
        <v>2339</v>
      </c>
      <c r="J1500" s="44" t="s">
        <v>2451</v>
      </c>
      <c r="K1500" s="44" t="s">
        <v>3734</v>
      </c>
      <c r="L1500" s="44" t="s">
        <v>2333</v>
      </c>
      <c r="M1500" s="43">
        <v>5</v>
      </c>
      <c r="N1500" s="113"/>
      <c r="O1500" s="113"/>
      <c r="P1500" s="113"/>
      <c r="Q1500" s="113"/>
      <c r="R1500" s="113"/>
      <c r="S1500" s="113" t="s">
        <v>1113</v>
      </c>
      <c r="T1500" s="113"/>
      <c r="U1500" s="113"/>
      <c r="V1500" s="113"/>
      <c r="W1500" s="113"/>
      <c r="X1500" s="113"/>
      <c r="Y1500" s="113"/>
      <c r="Z1500" s="113"/>
      <c r="AA1500" s="113"/>
      <c r="AB1500" s="113"/>
      <c r="AC1500" s="113"/>
      <c r="AD1500" s="113"/>
      <c r="AE1500" s="113"/>
      <c r="AF1500" s="113"/>
      <c r="AG1500" s="113"/>
      <c r="AH1500" s="113"/>
      <c r="AI1500" s="113"/>
      <c r="AJ1500" s="113"/>
      <c r="AK1500" s="319" t="s">
        <v>1113</v>
      </c>
      <c r="AL1500" s="113"/>
      <c r="AM1500" s="113"/>
      <c r="AN1500" s="113"/>
      <c r="AO1500" s="44" t="s">
        <v>2334</v>
      </c>
      <c r="AP1500" s="43"/>
      <c r="AQ1500" s="236" t="str">
        <f>VLOOKUP(Table8[[#This Row],[Instrument]],Def_Targets!$D$73:$E$159,2,FALSE)</f>
        <v>I_Inspection</v>
      </c>
      <c r="AR1500" s="233" t="str">
        <f>VLOOKUP(Table8[[#This Row],[Country Code]],Table29[],3,FALSE)</f>
        <v>Non-Annex I</v>
      </c>
      <c r="AS1500" s="233" t="str">
        <f>VLOOKUP(Table8[[#This Row],[Country Code]],Table29[],4,FALSE)</f>
        <v>Asia</v>
      </c>
      <c r="AT1500" s="233" t="str">
        <f>VLOOKUP(Table8[[#This Row],[Country Code]],Table29[],5,FALSE)</f>
        <v>Middle-income</v>
      </c>
      <c r="AU1500" s="233" t="str">
        <f>VLOOKUP(Table8[[#This Row],[Country Code]],Table29[],6,FALSE)</f>
        <v>no</v>
      </c>
      <c r="AV1500" s="233" t="str">
        <f>VLOOKUP(Table8[[#This Row],[Country Code]],Table29[],7,FALSE)</f>
        <v>no</v>
      </c>
      <c r="AW1500" s="233" t="str">
        <f>VLOOKUP(Table8[[#This Row],[Country Code]],Table29[],8,FALSE)</f>
        <v>non-OECD</v>
      </c>
      <c r="AX1500" s="233" t="str">
        <f>VLOOKUP(Table8[[#This Row],[Country Code]],Table29[],9,FALSE)</f>
        <v>no</v>
      </c>
      <c r="AY1500" s="233" t="str">
        <f>VLOOKUP(Table8[[#This Row],[Country Code]],Table29[],10,FALSE)</f>
        <v>no</v>
      </c>
      <c r="AZ1500" s="235">
        <f>VLOOKUP(Table8[[#This Row],[Country Code]],Table29[],23,FALSE)</f>
        <v>56.830982733611002</v>
      </c>
      <c r="BA1500" s="235">
        <f>VLOOKUP(Table8[[#This Row],[Country Code]],Table29[],24,FALSE)</f>
        <v>4.8627503945089332</v>
      </c>
      <c r="BB1500" s="320"/>
      <c r="BC1500" s="320"/>
    </row>
    <row r="1501" spans="1:55" hidden="1" x14ac:dyDescent="0.25">
      <c r="A1501" s="373">
        <v>17675</v>
      </c>
      <c r="B1501" s="233" t="str">
        <f>VLOOKUP(Table8[[#This Row],[Document ID]],Table1[],2,FALSE)</f>
        <v>NPL</v>
      </c>
      <c r="C1501" s="233" t="str">
        <f>VLOOKUP(Table8[[#This Row],[Document ID]],Table1[],3,FALSE)</f>
        <v>Nepal</v>
      </c>
      <c r="D1501" s="243" t="str">
        <f>VLOOKUP(Table8[[#This Row],[Document ID]],Table1[],5,FALSE)</f>
        <v>NDC</v>
      </c>
      <c r="E1501" s="233" t="str">
        <f>VLOOKUP(Table8[[#This Row],[Document ID]],Table1[],7,FALSE)</f>
        <v>Second NDC</v>
      </c>
      <c r="F1501" s="233" t="str">
        <f>VLOOKUP(Table8[[#This Row],[Document ID]],Table1[],8,FALSE)</f>
        <v>NDC 2.0</v>
      </c>
      <c r="G1501" s="233" t="str">
        <f>VLOOKUP(Table8[[#This Row],[Document ID]],Table1[],10,FALSE)</f>
        <v>Active</v>
      </c>
      <c r="H1501" s="43" t="s">
        <v>2343</v>
      </c>
      <c r="I1501" s="43" t="s">
        <v>2361</v>
      </c>
      <c r="J1501" s="44" t="s">
        <v>2362</v>
      </c>
      <c r="K1501" s="44" t="s">
        <v>3735</v>
      </c>
      <c r="L1501" s="44" t="s">
        <v>2347</v>
      </c>
      <c r="M1501" s="43">
        <v>5</v>
      </c>
      <c r="N1501" s="113"/>
      <c r="O1501" s="113"/>
      <c r="P1501" s="113"/>
      <c r="Q1501" s="319"/>
      <c r="R1501" s="113" t="s">
        <v>1113</v>
      </c>
      <c r="S1501" s="319"/>
      <c r="T1501" s="319"/>
      <c r="U1501" s="319"/>
      <c r="V1501" s="319"/>
      <c r="W1501" s="319"/>
      <c r="X1501" s="319"/>
      <c r="Y1501" s="319"/>
      <c r="Z1501" s="319"/>
      <c r="AA1501" s="319"/>
      <c r="AB1501" s="319"/>
      <c r="AC1501" s="319"/>
      <c r="AD1501" s="319"/>
      <c r="AE1501" s="319"/>
      <c r="AF1501" s="319"/>
      <c r="AG1501" s="319"/>
      <c r="AH1501" s="319"/>
      <c r="AI1501" s="319"/>
      <c r="AJ1501" s="319"/>
      <c r="AK1501" s="113"/>
      <c r="AL1501" s="113" t="s">
        <v>1113</v>
      </c>
      <c r="AM1501" s="113"/>
      <c r="AN1501" s="113"/>
      <c r="AO1501" s="44" t="s">
        <v>2334</v>
      </c>
      <c r="AP1501" s="43"/>
      <c r="AQ1501" s="236" t="str">
        <f>VLOOKUP(Table8[[#This Row],[Instrument]],Def_Targets!$D$73:$E$159,2,FALSE)</f>
        <v>S_Cycling</v>
      </c>
      <c r="AR1501" s="233" t="str">
        <f>VLOOKUP(Table8[[#This Row],[Country Code]],Table29[],3,FALSE)</f>
        <v>Non-Annex I</v>
      </c>
      <c r="AS1501" s="233" t="str">
        <f>VLOOKUP(Table8[[#This Row],[Country Code]],Table29[],4,FALSE)</f>
        <v>Asia</v>
      </c>
      <c r="AT1501" s="233" t="str">
        <f>VLOOKUP(Table8[[#This Row],[Country Code]],Table29[],5,FALSE)</f>
        <v>Middle-income</v>
      </c>
      <c r="AU1501" s="233" t="str">
        <f>VLOOKUP(Table8[[#This Row],[Country Code]],Table29[],6,FALSE)</f>
        <v>no</v>
      </c>
      <c r="AV1501" s="233" t="str">
        <f>VLOOKUP(Table8[[#This Row],[Country Code]],Table29[],7,FALSE)</f>
        <v>no</v>
      </c>
      <c r="AW1501" s="233" t="str">
        <f>VLOOKUP(Table8[[#This Row],[Country Code]],Table29[],8,FALSE)</f>
        <v>non-OECD</v>
      </c>
      <c r="AX1501" s="233" t="str">
        <f>VLOOKUP(Table8[[#This Row],[Country Code]],Table29[],9,FALSE)</f>
        <v>no</v>
      </c>
      <c r="AY1501" s="233" t="str">
        <f>VLOOKUP(Table8[[#This Row],[Country Code]],Table29[],10,FALSE)</f>
        <v>no</v>
      </c>
      <c r="AZ1501" s="235">
        <f>VLOOKUP(Table8[[#This Row],[Country Code]],Table29[],23,FALSE)</f>
        <v>56.830982733611002</v>
      </c>
      <c r="BA1501" s="235">
        <f>VLOOKUP(Table8[[#This Row],[Country Code]],Table29[],24,FALSE)</f>
        <v>4.8627503945089332</v>
      </c>
      <c r="BB1501" s="320"/>
      <c r="BC1501" s="320"/>
    </row>
    <row r="1502" spans="1:55" hidden="1" x14ac:dyDescent="0.25">
      <c r="A1502" s="373">
        <v>17675</v>
      </c>
      <c r="B1502" s="233" t="str">
        <f>VLOOKUP(Table8[[#This Row],[Document ID]],Table1[],2,FALSE)</f>
        <v>NPL</v>
      </c>
      <c r="C1502" s="233" t="str">
        <f>VLOOKUP(Table8[[#This Row],[Document ID]],Table1[],3,FALSE)</f>
        <v>Nepal</v>
      </c>
      <c r="D1502" s="243" t="str">
        <f>VLOOKUP(Table8[[#This Row],[Document ID]],Table1[],5,FALSE)</f>
        <v>NDC</v>
      </c>
      <c r="E1502" s="233" t="str">
        <f>VLOOKUP(Table8[[#This Row],[Document ID]],Table1[],7,FALSE)</f>
        <v>Second NDC</v>
      </c>
      <c r="F1502" s="233" t="str">
        <f>VLOOKUP(Table8[[#This Row],[Document ID]],Table1[],8,FALSE)</f>
        <v>NDC 2.0</v>
      </c>
      <c r="G1502" s="233" t="str">
        <f>VLOOKUP(Table8[[#This Row],[Document ID]],Table1[],10,FALSE)</f>
        <v>Active</v>
      </c>
      <c r="H1502" s="43" t="s">
        <v>2343</v>
      </c>
      <c r="I1502" s="43" t="s">
        <v>2361</v>
      </c>
      <c r="J1502" s="44" t="s">
        <v>2463</v>
      </c>
      <c r="K1502" s="44" t="s">
        <v>3735</v>
      </c>
      <c r="L1502" s="44" t="s">
        <v>2347</v>
      </c>
      <c r="M1502" s="43">
        <v>5</v>
      </c>
      <c r="N1502" s="113"/>
      <c r="O1502" s="113"/>
      <c r="P1502" s="113"/>
      <c r="Q1502" s="113" t="s">
        <v>1113</v>
      </c>
      <c r="R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t="s">
        <v>1113</v>
      </c>
      <c r="AM1502" s="113"/>
      <c r="AN1502" s="113"/>
      <c r="AO1502" s="44" t="s">
        <v>2334</v>
      </c>
      <c r="AP1502" s="43"/>
      <c r="AQ1502" s="236" t="str">
        <f>VLOOKUP(Table8[[#This Row],[Instrument]],Def_Targets!$D$73:$E$159,2,FALSE)</f>
        <v>S_Walking</v>
      </c>
      <c r="AR1502" s="233" t="str">
        <f>VLOOKUP(Table8[[#This Row],[Country Code]],Table29[],3,FALSE)</f>
        <v>Non-Annex I</v>
      </c>
      <c r="AS1502" s="233" t="str">
        <f>VLOOKUP(Table8[[#This Row],[Country Code]],Table29[],4,FALSE)</f>
        <v>Asia</v>
      </c>
      <c r="AT1502" s="233" t="str">
        <f>VLOOKUP(Table8[[#This Row],[Country Code]],Table29[],5,FALSE)</f>
        <v>Middle-income</v>
      </c>
      <c r="AU1502" s="233" t="str">
        <f>VLOOKUP(Table8[[#This Row],[Country Code]],Table29[],6,FALSE)</f>
        <v>no</v>
      </c>
      <c r="AV1502" s="233" t="str">
        <f>VLOOKUP(Table8[[#This Row],[Country Code]],Table29[],7,FALSE)</f>
        <v>no</v>
      </c>
      <c r="AW1502" s="233" t="str">
        <f>VLOOKUP(Table8[[#This Row],[Country Code]],Table29[],8,FALSE)</f>
        <v>non-OECD</v>
      </c>
      <c r="AX1502" s="233" t="str">
        <f>VLOOKUP(Table8[[#This Row],[Country Code]],Table29[],9,FALSE)</f>
        <v>no</v>
      </c>
      <c r="AY1502" s="233" t="str">
        <f>VLOOKUP(Table8[[#This Row],[Country Code]],Table29[],10,FALSE)</f>
        <v>no</v>
      </c>
      <c r="AZ1502" s="235">
        <f>VLOOKUP(Table8[[#This Row],[Country Code]],Table29[],23,FALSE)</f>
        <v>56.830982733611002</v>
      </c>
      <c r="BA1502" s="235">
        <f>VLOOKUP(Table8[[#This Row],[Country Code]],Table29[],24,FALSE)</f>
        <v>4.8627503945089332</v>
      </c>
      <c r="BB1502" s="320"/>
      <c r="BC1502" s="320"/>
    </row>
    <row r="1503" spans="1:55" ht="30" hidden="1" x14ac:dyDescent="0.25">
      <c r="A1503" s="373">
        <v>26781</v>
      </c>
      <c r="B1503" s="233" t="str">
        <f>VLOOKUP(Table8[[#This Row],[Document ID]],Table1[],2,FALSE)</f>
        <v>LUX</v>
      </c>
      <c r="C1503" s="233" t="str">
        <f>VLOOKUP(Table8[[#This Row],[Document ID]],Table1[],3,FALSE)</f>
        <v>Luxembourg</v>
      </c>
      <c r="D1503" s="243" t="str">
        <f>VLOOKUP(Table8[[#This Row],[Document ID]],Table1[],5,FALSE)</f>
        <v>LTS</v>
      </c>
      <c r="E1503" s="233" t="str">
        <f>VLOOKUP(Table8[[#This Row],[Document ID]],Table1[],7,FALSE)</f>
        <v>LTS</v>
      </c>
      <c r="F1503" s="233" t="str">
        <f>VLOOKUP(Table8[[#This Row],[Document ID]],Table1[],8,FALSE)</f>
        <v>LTS 1.0</v>
      </c>
      <c r="G1503" s="233" t="str">
        <f>VLOOKUP(Table8[[#This Row],[Document ID]],Table1[],10,FALSE)</f>
        <v>Active</v>
      </c>
      <c r="H1503" s="43" t="s">
        <v>2358</v>
      </c>
      <c r="I1503" s="43" t="s">
        <v>2359</v>
      </c>
      <c r="J1503" s="44" t="s">
        <v>2360</v>
      </c>
      <c r="K1503" s="44" t="s">
        <v>3736</v>
      </c>
      <c r="L1503" s="44" t="s">
        <v>2333</v>
      </c>
      <c r="M1503" s="43">
        <v>64</v>
      </c>
      <c r="N1503" s="113"/>
      <c r="O1503" s="113"/>
      <c r="P1503" s="113"/>
      <c r="Q1503" s="113"/>
      <c r="R1503" s="113"/>
      <c r="S1503" s="113"/>
      <c r="T1503" s="113"/>
      <c r="U1503" s="113"/>
      <c r="V1503" s="113"/>
      <c r="W1503" s="113"/>
      <c r="X1503" s="113"/>
      <c r="Y1503" s="113" t="s">
        <v>1113</v>
      </c>
      <c r="Z1503" s="113"/>
      <c r="AA1503" s="113"/>
      <c r="AB1503" s="113"/>
      <c r="AC1503" s="113"/>
      <c r="AD1503" s="113"/>
      <c r="AE1503" s="113"/>
      <c r="AF1503" s="113"/>
      <c r="AG1503" s="113"/>
      <c r="AH1503" s="113"/>
      <c r="AI1503" s="113"/>
      <c r="AJ1503" s="113"/>
      <c r="AK1503" s="113"/>
      <c r="AL1503" s="113" t="s">
        <v>1113</v>
      </c>
      <c r="AM1503" s="113"/>
      <c r="AN1503" s="113"/>
      <c r="AO1503" s="43" t="s">
        <v>2348</v>
      </c>
      <c r="AP1503" s="43"/>
      <c r="AQ1503" s="236" t="str">
        <f>VLOOKUP(Table8[[#This Row],[Instrument]],Def_Targets!$D$73:$E$159,2,FALSE)</f>
        <v>I_Emobility</v>
      </c>
      <c r="AR1503" s="233" t="str">
        <f>VLOOKUP(Table8[[#This Row],[Country Code]],Table29[],3,FALSE)</f>
        <v>Annex I</v>
      </c>
      <c r="AS1503" s="233" t="str">
        <f>VLOOKUP(Table8[[#This Row],[Country Code]],Table29[],4,FALSE)</f>
        <v>Europe</v>
      </c>
      <c r="AT1503" s="233" t="str">
        <f>VLOOKUP(Table8[[#This Row],[Country Code]],Table29[],5,FALSE)</f>
        <v>High-income</v>
      </c>
      <c r="AU1503" s="233" t="str">
        <f>VLOOKUP(Table8[[#This Row],[Country Code]],Table29[],6,FALSE)</f>
        <v>no</v>
      </c>
      <c r="AV1503" s="233" t="str">
        <f>VLOOKUP(Table8[[#This Row],[Country Code]],Table29[],7,FALSE)</f>
        <v>no</v>
      </c>
      <c r="AW1503" s="233" t="str">
        <f>VLOOKUP(Table8[[#This Row],[Country Code]],Table29[],8,FALSE)</f>
        <v>OECD</v>
      </c>
      <c r="AX1503" s="233" t="str">
        <f>VLOOKUP(Table8[[#This Row],[Country Code]],Table29[],9,FALSE)</f>
        <v>EU27</v>
      </c>
      <c r="AY1503" s="233" t="str">
        <f>VLOOKUP(Table8[[#This Row],[Country Code]],Table29[],10,FALSE)</f>
        <v>no</v>
      </c>
      <c r="AZ1503" s="235">
        <f>VLOOKUP(Table8[[#This Row],[Country Code]],Table29[],23,FALSE)</f>
        <v>7.8609330392057002</v>
      </c>
      <c r="BA1503" s="235">
        <f>VLOOKUP(Table8[[#This Row],[Country Code]],Table29[],24,FALSE)</f>
        <v>4.2423658408849461</v>
      </c>
      <c r="BB1503" s="320"/>
      <c r="BC1503" s="320"/>
    </row>
    <row r="1504" spans="1:55" ht="30" hidden="1" x14ac:dyDescent="0.25">
      <c r="A1504" s="373">
        <v>26781</v>
      </c>
      <c r="B1504" s="233" t="str">
        <f>VLOOKUP(Table8[[#This Row],[Document ID]],Table1[],2,FALSE)</f>
        <v>LUX</v>
      </c>
      <c r="C1504" s="233" t="str">
        <f>VLOOKUP(Table8[[#This Row],[Document ID]],Table1[],3,FALSE)</f>
        <v>Luxembourg</v>
      </c>
      <c r="D1504" s="243" t="str">
        <f>VLOOKUP(Table8[[#This Row],[Document ID]],Table1[],5,FALSE)</f>
        <v>LTS</v>
      </c>
      <c r="E1504" s="233" t="str">
        <f>VLOOKUP(Table8[[#This Row],[Document ID]],Table1[],7,FALSE)</f>
        <v>LTS</v>
      </c>
      <c r="F1504" s="233" t="str">
        <f>VLOOKUP(Table8[[#This Row],[Document ID]],Table1[],8,FALSE)</f>
        <v>LTS 1.0</v>
      </c>
      <c r="G1504" s="233" t="str">
        <f>VLOOKUP(Table8[[#This Row],[Document ID]],Table1[],10,FALSE)</f>
        <v>Active</v>
      </c>
      <c r="H1504" s="43" t="s">
        <v>2358</v>
      </c>
      <c r="I1504" s="43" t="s">
        <v>2359</v>
      </c>
      <c r="J1504" s="44" t="s">
        <v>2360</v>
      </c>
      <c r="K1504" s="44" t="s">
        <v>3737</v>
      </c>
      <c r="L1504" s="44" t="s">
        <v>2333</v>
      </c>
      <c r="M1504" s="43">
        <v>65</v>
      </c>
      <c r="N1504" s="113" t="s">
        <v>1113</v>
      </c>
      <c r="O1504" s="113"/>
      <c r="P1504" s="113"/>
      <c r="Q1504" s="113"/>
      <c r="R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t="s">
        <v>1113</v>
      </c>
      <c r="AL1504" s="113"/>
      <c r="AM1504" s="113"/>
      <c r="AN1504" s="113"/>
      <c r="AO1504" s="44" t="s">
        <v>2334</v>
      </c>
      <c r="AP1504" s="43"/>
      <c r="AQ1504" s="236" t="str">
        <f>VLOOKUP(Table8[[#This Row],[Instrument]],Def_Targets!$D$73:$E$159,2,FALSE)</f>
        <v>I_Emobility</v>
      </c>
      <c r="AR1504" s="233" t="str">
        <f>VLOOKUP(Table8[[#This Row],[Country Code]],Table29[],3,FALSE)</f>
        <v>Annex I</v>
      </c>
      <c r="AS1504" s="233" t="str">
        <f>VLOOKUP(Table8[[#This Row],[Country Code]],Table29[],4,FALSE)</f>
        <v>Europe</v>
      </c>
      <c r="AT1504" s="233" t="str">
        <f>VLOOKUP(Table8[[#This Row],[Country Code]],Table29[],5,FALSE)</f>
        <v>High-income</v>
      </c>
      <c r="AU1504" s="233" t="str">
        <f>VLOOKUP(Table8[[#This Row],[Country Code]],Table29[],6,FALSE)</f>
        <v>no</v>
      </c>
      <c r="AV1504" s="233" t="str">
        <f>VLOOKUP(Table8[[#This Row],[Country Code]],Table29[],7,FALSE)</f>
        <v>no</v>
      </c>
      <c r="AW1504" s="233" t="str">
        <f>VLOOKUP(Table8[[#This Row],[Country Code]],Table29[],8,FALSE)</f>
        <v>OECD</v>
      </c>
      <c r="AX1504" s="233" t="str">
        <f>VLOOKUP(Table8[[#This Row],[Country Code]],Table29[],9,FALSE)</f>
        <v>EU27</v>
      </c>
      <c r="AY1504" s="233" t="str">
        <f>VLOOKUP(Table8[[#This Row],[Country Code]],Table29[],10,FALSE)</f>
        <v>no</v>
      </c>
      <c r="AZ1504" s="235">
        <f>VLOOKUP(Table8[[#This Row],[Country Code]],Table29[],23,FALSE)</f>
        <v>7.8609330392057002</v>
      </c>
      <c r="BA1504" s="235">
        <f>VLOOKUP(Table8[[#This Row],[Country Code]],Table29[],24,FALSE)</f>
        <v>4.2423658408849461</v>
      </c>
      <c r="BB1504" s="320"/>
      <c r="BC1504" s="320"/>
    </row>
    <row r="1505" spans="1:55" ht="75" hidden="1" x14ac:dyDescent="0.25">
      <c r="A1505" s="373">
        <v>26781</v>
      </c>
      <c r="B1505" s="233" t="str">
        <f>VLOOKUP(Table8[[#This Row],[Document ID]],Table1[],2,FALSE)</f>
        <v>LUX</v>
      </c>
      <c r="C1505" s="233" t="str">
        <f>VLOOKUP(Table8[[#This Row],[Document ID]],Table1[],3,FALSE)</f>
        <v>Luxembourg</v>
      </c>
      <c r="D1505" s="243" t="str">
        <f>VLOOKUP(Table8[[#This Row],[Document ID]],Table1[],5,FALSE)</f>
        <v>LTS</v>
      </c>
      <c r="E1505" s="233" t="str">
        <f>VLOOKUP(Table8[[#This Row],[Document ID]],Table1[],7,FALSE)</f>
        <v>LTS</v>
      </c>
      <c r="F1505" s="233" t="str">
        <f>VLOOKUP(Table8[[#This Row],[Document ID]],Table1[],8,FALSE)</f>
        <v>LTS 1.0</v>
      </c>
      <c r="G1505" s="233" t="str">
        <f>VLOOKUP(Table8[[#This Row],[Document ID]],Table1[],10,FALSE)</f>
        <v>Active</v>
      </c>
      <c r="H1505" s="43" t="s">
        <v>2343</v>
      </c>
      <c r="I1505" s="43" t="s">
        <v>2429</v>
      </c>
      <c r="J1505" s="44" t="s">
        <v>2472</v>
      </c>
      <c r="K1505" s="44" t="s">
        <v>3738</v>
      </c>
      <c r="L1505" s="44" t="s">
        <v>2333</v>
      </c>
      <c r="M1505" s="43">
        <v>64</v>
      </c>
      <c r="N1505" s="113" t="s">
        <v>1113</v>
      </c>
      <c r="O1505" s="113"/>
      <c r="P1505" s="113"/>
      <c r="Q1505" s="113"/>
      <c r="R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t="s">
        <v>1113</v>
      </c>
      <c r="AL1505" s="113"/>
      <c r="AM1505" s="113"/>
      <c r="AN1505" s="113"/>
      <c r="AO1505" s="44" t="s">
        <v>2334</v>
      </c>
      <c r="AP1505" s="43"/>
      <c r="AQ1505" s="236" t="str">
        <f>VLOOKUP(Table8[[#This Row],[Instrument]],Def_Targets!$D$73:$E$159,2,FALSE)</f>
        <v>I_Other</v>
      </c>
      <c r="AR1505" s="233" t="str">
        <f>VLOOKUP(Table8[[#This Row],[Country Code]],Table29[],3,FALSE)</f>
        <v>Annex I</v>
      </c>
      <c r="AS1505" s="233" t="str">
        <f>VLOOKUP(Table8[[#This Row],[Country Code]],Table29[],4,FALSE)</f>
        <v>Europe</v>
      </c>
      <c r="AT1505" s="233" t="str">
        <f>VLOOKUP(Table8[[#This Row],[Country Code]],Table29[],5,FALSE)</f>
        <v>High-income</v>
      </c>
      <c r="AU1505" s="233" t="str">
        <f>VLOOKUP(Table8[[#This Row],[Country Code]],Table29[],6,FALSE)</f>
        <v>no</v>
      </c>
      <c r="AV1505" s="233" t="str">
        <f>VLOOKUP(Table8[[#This Row],[Country Code]],Table29[],7,FALSE)</f>
        <v>no</v>
      </c>
      <c r="AW1505" s="233" t="str">
        <f>VLOOKUP(Table8[[#This Row],[Country Code]],Table29[],8,FALSE)</f>
        <v>OECD</v>
      </c>
      <c r="AX1505" s="233" t="str">
        <f>VLOOKUP(Table8[[#This Row],[Country Code]],Table29[],9,FALSE)</f>
        <v>EU27</v>
      </c>
      <c r="AY1505" s="233" t="str">
        <f>VLOOKUP(Table8[[#This Row],[Country Code]],Table29[],10,FALSE)</f>
        <v>no</v>
      </c>
      <c r="AZ1505" s="235">
        <f>VLOOKUP(Table8[[#This Row],[Country Code]],Table29[],23,FALSE)</f>
        <v>7.8609330392057002</v>
      </c>
      <c r="BA1505" s="235">
        <f>VLOOKUP(Table8[[#This Row],[Country Code]],Table29[],24,FALSE)</f>
        <v>4.2423658408849461</v>
      </c>
      <c r="BB1505" s="320"/>
      <c r="BC1505" s="320"/>
    </row>
    <row r="1506" spans="1:55" ht="60" hidden="1" x14ac:dyDescent="0.25">
      <c r="A1506" s="373">
        <v>26781</v>
      </c>
      <c r="B1506" s="233" t="str">
        <f>VLOOKUP(Table8[[#This Row],[Document ID]],Table1[],2,FALSE)</f>
        <v>LUX</v>
      </c>
      <c r="C1506" s="233" t="str">
        <f>VLOOKUP(Table8[[#This Row],[Document ID]],Table1[],3,FALSE)</f>
        <v>Luxembourg</v>
      </c>
      <c r="D1506" s="243" t="str">
        <f>VLOOKUP(Table8[[#This Row],[Document ID]],Table1[],5,FALSE)</f>
        <v>LTS</v>
      </c>
      <c r="E1506" s="233" t="str">
        <f>VLOOKUP(Table8[[#This Row],[Document ID]],Table1[],7,FALSE)</f>
        <v>LTS</v>
      </c>
      <c r="F1506" s="233" t="str">
        <f>VLOOKUP(Table8[[#This Row],[Document ID]],Table1[],8,FALSE)</f>
        <v>LTS 1.0</v>
      </c>
      <c r="G1506" s="233" t="str">
        <f>VLOOKUP(Table8[[#This Row],[Document ID]],Table1[],10,FALSE)</f>
        <v>Active</v>
      </c>
      <c r="H1506" s="43" t="s">
        <v>2343</v>
      </c>
      <c r="I1506" s="43" t="s">
        <v>2344</v>
      </c>
      <c r="J1506" s="44" t="s">
        <v>2405</v>
      </c>
      <c r="K1506" s="44" t="s">
        <v>3739</v>
      </c>
      <c r="L1506" s="44" t="s">
        <v>2347</v>
      </c>
      <c r="M1506" s="43">
        <v>64</v>
      </c>
      <c r="N1506" s="113"/>
      <c r="O1506" s="113"/>
      <c r="P1506" s="113"/>
      <c r="Q1506" s="113"/>
      <c r="R1506" s="113"/>
      <c r="S1506" s="113"/>
      <c r="T1506" s="113"/>
      <c r="U1506" s="113"/>
      <c r="V1506" s="113"/>
      <c r="W1506" s="113"/>
      <c r="X1506" s="113"/>
      <c r="Y1506" s="113" t="s">
        <v>1113</v>
      </c>
      <c r="Z1506" s="113" t="s">
        <v>1113</v>
      </c>
      <c r="AA1506" s="113"/>
      <c r="AB1506" s="113"/>
      <c r="AC1506" s="113"/>
      <c r="AD1506" s="113"/>
      <c r="AE1506" s="113"/>
      <c r="AF1506" s="113"/>
      <c r="AG1506" s="113"/>
      <c r="AH1506" s="113"/>
      <c r="AI1506" s="113"/>
      <c r="AJ1506" s="113"/>
      <c r="AK1506" s="113"/>
      <c r="AL1506" s="113" t="s">
        <v>1113</v>
      </c>
      <c r="AM1506" s="113"/>
      <c r="AN1506" s="113" t="s">
        <v>1113</v>
      </c>
      <c r="AO1506" s="43" t="s">
        <v>2348</v>
      </c>
      <c r="AP1506" s="43"/>
      <c r="AQ1506" s="236" t="str">
        <f>VLOOKUP(Table8[[#This Row],[Instrument]],Def_Targets!$D$73:$E$159,2,FALSE)</f>
        <v>S_PTIntegration</v>
      </c>
      <c r="AR1506" s="233" t="str">
        <f>VLOOKUP(Table8[[#This Row],[Country Code]],Table29[],3,FALSE)</f>
        <v>Annex I</v>
      </c>
      <c r="AS1506" s="233" t="str">
        <f>VLOOKUP(Table8[[#This Row],[Country Code]],Table29[],4,FALSE)</f>
        <v>Europe</v>
      </c>
      <c r="AT1506" s="233" t="str">
        <f>VLOOKUP(Table8[[#This Row],[Country Code]],Table29[],5,FALSE)</f>
        <v>High-income</v>
      </c>
      <c r="AU1506" s="233" t="str">
        <f>VLOOKUP(Table8[[#This Row],[Country Code]],Table29[],6,FALSE)</f>
        <v>no</v>
      </c>
      <c r="AV1506" s="233" t="str">
        <f>VLOOKUP(Table8[[#This Row],[Country Code]],Table29[],7,FALSE)</f>
        <v>no</v>
      </c>
      <c r="AW1506" s="233" t="str">
        <f>VLOOKUP(Table8[[#This Row],[Country Code]],Table29[],8,FALSE)</f>
        <v>OECD</v>
      </c>
      <c r="AX1506" s="233" t="str">
        <f>VLOOKUP(Table8[[#This Row],[Country Code]],Table29[],9,FALSE)</f>
        <v>EU27</v>
      </c>
      <c r="AY1506" s="233" t="str">
        <f>VLOOKUP(Table8[[#This Row],[Country Code]],Table29[],10,FALSE)</f>
        <v>no</v>
      </c>
      <c r="AZ1506" s="235">
        <f>VLOOKUP(Table8[[#This Row],[Country Code]],Table29[],23,FALSE)</f>
        <v>7.8609330392057002</v>
      </c>
      <c r="BA1506" s="235">
        <f>VLOOKUP(Table8[[#This Row],[Country Code]],Table29[],24,FALSE)</f>
        <v>4.2423658408849461</v>
      </c>
      <c r="BB1506" s="320"/>
      <c r="BC1506" s="320"/>
    </row>
    <row r="1507" spans="1:55" ht="30" hidden="1" x14ac:dyDescent="0.25">
      <c r="A1507" s="373">
        <v>26781</v>
      </c>
      <c r="B1507" s="233" t="str">
        <f>VLOOKUP(Table8[[#This Row],[Document ID]],Table1[],2,FALSE)</f>
        <v>LUX</v>
      </c>
      <c r="C1507" s="233" t="str">
        <f>VLOOKUP(Table8[[#This Row],[Document ID]],Table1[],3,FALSE)</f>
        <v>Luxembourg</v>
      </c>
      <c r="D1507" s="243" t="str">
        <f>VLOOKUP(Table8[[#This Row],[Document ID]],Table1[],5,FALSE)</f>
        <v>LTS</v>
      </c>
      <c r="E1507" s="233" t="str">
        <f>VLOOKUP(Table8[[#This Row],[Document ID]],Table1[],7,FALSE)</f>
        <v>LTS</v>
      </c>
      <c r="F1507" s="233" t="str">
        <f>VLOOKUP(Table8[[#This Row],[Document ID]],Table1[],8,FALSE)</f>
        <v>LTS 1.0</v>
      </c>
      <c r="G1507" s="233" t="str">
        <f>VLOOKUP(Table8[[#This Row],[Document ID]],Table1[],10,FALSE)</f>
        <v>Active</v>
      </c>
      <c r="H1507" s="43" t="s">
        <v>2358</v>
      </c>
      <c r="I1507" s="43" t="s">
        <v>2359</v>
      </c>
      <c r="J1507" s="44" t="s">
        <v>2383</v>
      </c>
      <c r="K1507" s="44" t="s">
        <v>3740</v>
      </c>
      <c r="L1507" s="44" t="s">
        <v>2333</v>
      </c>
      <c r="M1507" s="43">
        <v>65</v>
      </c>
      <c r="N1507" s="113" t="s">
        <v>1113</v>
      </c>
      <c r="O1507" s="113"/>
      <c r="P1507" s="113"/>
      <c r="Q1507" s="113"/>
      <c r="R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t="s">
        <v>1113</v>
      </c>
      <c r="AL1507" s="113"/>
      <c r="AM1507" s="113"/>
      <c r="AN1507" s="113"/>
      <c r="AO1507" s="44" t="s">
        <v>2334</v>
      </c>
      <c r="AP1507" s="43"/>
      <c r="AQ1507" s="236" t="str">
        <f>VLOOKUP(Table8[[#This Row],[Instrument]],Def_Targets!$D$73:$E$159,2,FALSE)</f>
        <v>I_Emobilitycharging</v>
      </c>
      <c r="AR1507" s="233" t="str">
        <f>VLOOKUP(Table8[[#This Row],[Country Code]],Table29[],3,FALSE)</f>
        <v>Annex I</v>
      </c>
      <c r="AS1507" s="233" t="str">
        <f>VLOOKUP(Table8[[#This Row],[Country Code]],Table29[],4,FALSE)</f>
        <v>Europe</v>
      </c>
      <c r="AT1507" s="233" t="str">
        <f>VLOOKUP(Table8[[#This Row],[Country Code]],Table29[],5,FALSE)</f>
        <v>High-income</v>
      </c>
      <c r="AU1507" s="233" t="str">
        <f>VLOOKUP(Table8[[#This Row],[Country Code]],Table29[],6,FALSE)</f>
        <v>no</v>
      </c>
      <c r="AV1507" s="233" t="str">
        <f>VLOOKUP(Table8[[#This Row],[Country Code]],Table29[],7,FALSE)</f>
        <v>no</v>
      </c>
      <c r="AW1507" s="233" t="str">
        <f>VLOOKUP(Table8[[#This Row],[Country Code]],Table29[],8,FALSE)</f>
        <v>OECD</v>
      </c>
      <c r="AX1507" s="233" t="str">
        <f>VLOOKUP(Table8[[#This Row],[Country Code]],Table29[],9,FALSE)</f>
        <v>EU27</v>
      </c>
      <c r="AY1507" s="233" t="str">
        <f>VLOOKUP(Table8[[#This Row],[Country Code]],Table29[],10,FALSE)</f>
        <v>no</v>
      </c>
      <c r="AZ1507" s="235">
        <f>VLOOKUP(Table8[[#This Row],[Country Code]],Table29[],23,FALSE)</f>
        <v>7.8609330392057002</v>
      </c>
      <c r="BA1507" s="235">
        <f>VLOOKUP(Table8[[#This Row],[Country Code]],Table29[],24,FALSE)</f>
        <v>4.2423658408849461</v>
      </c>
      <c r="BB1507" s="320"/>
      <c r="BC1507" s="320"/>
    </row>
    <row r="1508" spans="1:55" ht="30" hidden="1" x14ac:dyDescent="0.25">
      <c r="A1508" s="373">
        <v>26781</v>
      </c>
      <c r="B1508" s="233" t="str">
        <f>VLOOKUP(Table8[[#This Row],[Document ID]],Table1[],2,FALSE)</f>
        <v>LUX</v>
      </c>
      <c r="C1508" s="233" t="str">
        <f>VLOOKUP(Table8[[#This Row],[Document ID]],Table1[],3,FALSE)</f>
        <v>Luxembourg</v>
      </c>
      <c r="D1508" s="243" t="str">
        <f>VLOOKUP(Table8[[#This Row],[Document ID]],Table1[],5,FALSE)</f>
        <v>LTS</v>
      </c>
      <c r="E1508" s="233" t="str">
        <f>VLOOKUP(Table8[[#This Row],[Document ID]],Table1[],7,FALSE)</f>
        <v>LTS</v>
      </c>
      <c r="F1508" s="233" t="str">
        <f>VLOOKUP(Table8[[#This Row],[Document ID]],Table1[],8,FALSE)</f>
        <v>LTS 1.0</v>
      </c>
      <c r="G1508" s="233" t="str">
        <f>VLOOKUP(Table8[[#This Row],[Document ID]],Table1[],10,FALSE)</f>
        <v>Active</v>
      </c>
      <c r="H1508" s="43" t="s">
        <v>2358</v>
      </c>
      <c r="I1508" s="43" t="s">
        <v>2359</v>
      </c>
      <c r="J1508" s="44" t="s">
        <v>2360</v>
      </c>
      <c r="K1508" s="44" t="s">
        <v>3741</v>
      </c>
      <c r="L1508" s="44" t="s">
        <v>2333</v>
      </c>
      <c r="M1508" s="43">
        <v>65</v>
      </c>
      <c r="N1508" s="113" t="s">
        <v>1113</v>
      </c>
      <c r="O1508" s="113"/>
      <c r="P1508" s="113"/>
      <c r="Q1508" s="113"/>
      <c r="R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t="s">
        <v>1113</v>
      </c>
      <c r="AL1508" s="113"/>
      <c r="AM1508" s="113"/>
      <c r="AN1508" s="113"/>
      <c r="AO1508" s="44" t="s">
        <v>2334</v>
      </c>
      <c r="AP1508" s="43"/>
      <c r="AQ1508" s="236" t="str">
        <f>VLOOKUP(Table8[[#This Row],[Instrument]],Def_Targets!$D$73:$E$159,2,FALSE)</f>
        <v>I_Emobility</v>
      </c>
      <c r="AR1508" s="233" t="str">
        <f>VLOOKUP(Table8[[#This Row],[Country Code]],Table29[],3,FALSE)</f>
        <v>Annex I</v>
      </c>
      <c r="AS1508" s="233" t="str">
        <f>VLOOKUP(Table8[[#This Row],[Country Code]],Table29[],4,FALSE)</f>
        <v>Europe</v>
      </c>
      <c r="AT1508" s="233" t="str">
        <f>VLOOKUP(Table8[[#This Row],[Country Code]],Table29[],5,FALSE)</f>
        <v>High-income</v>
      </c>
      <c r="AU1508" s="233" t="str">
        <f>VLOOKUP(Table8[[#This Row],[Country Code]],Table29[],6,FALSE)</f>
        <v>no</v>
      </c>
      <c r="AV1508" s="233" t="str">
        <f>VLOOKUP(Table8[[#This Row],[Country Code]],Table29[],7,FALSE)</f>
        <v>no</v>
      </c>
      <c r="AW1508" s="233" t="str">
        <f>VLOOKUP(Table8[[#This Row],[Country Code]],Table29[],8,FALSE)</f>
        <v>OECD</v>
      </c>
      <c r="AX1508" s="233" t="str">
        <f>VLOOKUP(Table8[[#This Row],[Country Code]],Table29[],9,FALSE)</f>
        <v>EU27</v>
      </c>
      <c r="AY1508" s="233" t="str">
        <f>VLOOKUP(Table8[[#This Row],[Country Code]],Table29[],10,FALSE)</f>
        <v>no</v>
      </c>
      <c r="AZ1508" s="235">
        <f>VLOOKUP(Table8[[#This Row],[Country Code]],Table29[],23,FALSE)</f>
        <v>7.8609330392057002</v>
      </c>
      <c r="BA1508" s="235">
        <f>VLOOKUP(Table8[[#This Row],[Country Code]],Table29[],24,FALSE)</f>
        <v>4.2423658408849461</v>
      </c>
      <c r="BB1508" s="320"/>
      <c r="BC1508" s="320"/>
    </row>
    <row r="1509" spans="1:55" ht="30" hidden="1" x14ac:dyDescent="0.25">
      <c r="A1509" s="373">
        <v>17674</v>
      </c>
      <c r="B1509" s="233" t="str">
        <f>VLOOKUP(Table8[[#This Row],[Document ID]],Table1[],2,FALSE)</f>
        <v>NPL</v>
      </c>
      <c r="C1509" s="233" t="str">
        <f>VLOOKUP(Table8[[#This Row],[Document ID]],Table1[],3,FALSE)</f>
        <v>Nepal</v>
      </c>
      <c r="D1509" s="243" t="str">
        <f>VLOOKUP(Table8[[#This Row],[Document ID]],Table1[],5,FALSE)</f>
        <v>NDC</v>
      </c>
      <c r="E1509" s="233" t="str">
        <f>VLOOKUP(Table8[[#This Row],[Document ID]],Table1[],7,FALSE)</f>
        <v>First NDC</v>
      </c>
      <c r="F1509" s="233" t="str">
        <f>VLOOKUP(Table8[[#This Row],[Document ID]],Table1[],8,FALSE)</f>
        <v>NDC 1.0</v>
      </c>
      <c r="G1509" s="233" t="str">
        <f>VLOOKUP(Table8[[#This Row],[Document ID]],Table1[],10,FALSE)</f>
        <v>Archived</v>
      </c>
      <c r="H1509" s="43" t="s">
        <v>2358</v>
      </c>
      <c r="I1509" s="43" t="s">
        <v>2359</v>
      </c>
      <c r="J1509" s="44" t="s">
        <v>2360</v>
      </c>
      <c r="K1509" s="44" t="s">
        <v>3728</v>
      </c>
      <c r="L1509" s="44" t="s">
        <v>2333</v>
      </c>
      <c r="M1509" s="43"/>
      <c r="N1509" s="113"/>
      <c r="O1509" s="113"/>
      <c r="P1509" s="113"/>
      <c r="Q1509" s="113"/>
      <c r="R1509" s="113"/>
      <c r="S1509" s="113"/>
      <c r="T1509" s="113"/>
      <c r="U1509" s="113"/>
      <c r="V1509" s="113"/>
      <c r="W1509" s="113"/>
      <c r="X1509" s="113"/>
      <c r="Y1509" s="113"/>
      <c r="Z1509" s="113" t="s">
        <v>1113</v>
      </c>
      <c r="AA1509" s="113"/>
      <c r="AB1509" s="113"/>
      <c r="AC1509" s="113"/>
      <c r="AD1509" s="113"/>
      <c r="AE1509" s="113"/>
      <c r="AF1509" s="113"/>
      <c r="AG1509" s="113"/>
      <c r="AH1509" s="113"/>
      <c r="AI1509" s="113"/>
      <c r="AJ1509" s="113"/>
      <c r="AK1509" s="113" t="s">
        <v>1113</v>
      </c>
      <c r="AL1509" s="113"/>
      <c r="AM1509" s="113"/>
      <c r="AN1509" s="113"/>
      <c r="AO1509" s="44" t="s">
        <v>2334</v>
      </c>
      <c r="AP1509" s="43"/>
      <c r="AQ1509" s="236" t="str">
        <f>VLOOKUP(Table8[[#This Row],[Instrument]],Def_Targets!$D$73:$E$159,2,FALSE)</f>
        <v>I_Emobility</v>
      </c>
      <c r="AR1509" s="233" t="str">
        <f>VLOOKUP(Table8[[#This Row],[Country Code]],Table29[],3,FALSE)</f>
        <v>Non-Annex I</v>
      </c>
      <c r="AS1509" s="233" t="str">
        <f>VLOOKUP(Table8[[#This Row],[Country Code]],Table29[],4,FALSE)</f>
        <v>Asia</v>
      </c>
      <c r="AT1509" s="233" t="str">
        <f>VLOOKUP(Table8[[#This Row],[Country Code]],Table29[],5,FALSE)</f>
        <v>Middle-income</v>
      </c>
      <c r="AU1509" s="233" t="str">
        <f>VLOOKUP(Table8[[#This Row],[Country Code]],Table29[],6,FALSE)</f>
        <v>no</v>
      </c>
      <c r="AV1509" s="233" t="str">
        <f>VLOOKUP(Table8[[#This Row],[Country Code]],Table29[],7,FALSE)</f>
        <v>no</v>
      </c>
      <c r="AW1509" s="233" t="str">
        <f>VLOOKUP(Table8[[#This Row],[Country Code]],Table29[],8,FALSE)</f>
        <v>non-OECD</v>
      </c>
      <c r="AX1509" s="233" t="str">
        <f>VLOOKUP(Table8[[#This Row],[Country Code]],Table29[],9,FALSE)</f>
        <v>no</v>
      </c>
      <c r="AY1509" s="233" t="str">
        <f>VLOOKUP(Table8[[#This Row],[Country Code]],Table29[],10,FALSE)</f>
        <v>no</v>
      </c>
      <c r="AZ1509" s="235">
        <f>VLOOKUP(Table8[[#This Row],[Country Code]],Table29[],23,FALSE)</f>
        <v>56.830982733611002</v>
      </c>
      <c r="BA1509" s="235">
        <f>VLOOKUP(Table8[[#This Row],[Country Code]],Table29[],24,FALSE)</f>
        <v>4.8627503945089332</v>
      </c>
      <c r="BB1509" s="320"/>
      <c r="BC1509" s="320"/>
    </row>
    <row r="1510" spans="1:55" ht="105" hidden="1" x14ac:dyDescent="0.25">
      <c r="A1510" s="373">
        <v>26781</v>
      </c>
      <c r="B1510" s="233" t="str">
        <f>VLOOKUP(Table8[[#This Row],[Document ID]],Table1[],2,FALSE)</f>
        <v>LUX</v>
      </c>
      <c r="C1510" s="233" t="str">
        <f>VLOOKUP(Table8[[#This Row],[Document ID]],Table1[],3,FALSE)</f>
        <v>Luxembourg</v>
      </c>
      <c r="D1510" s="243" t="str">
        <f>VLOOKUP(Table8[[#This Row],[Document ID]],Table1[],5,FALSE)</f>
        <v>LTS</v>
      </c>
      <c r="E1510" s="233" t="str">
        <f>VLOOKUP(Table8[[#This Row],[Document ID]],Table1[],7,FALSE)</f>
        <v>LTS</v>
      </c>
      <c r="F1510" s="233" t="str">
        <f>VLOOKUP(Table8[[#This Row],[Document ID]],Table1[],8,FALSE)</f>
        <v>LTS 1.0</v>
      </c>
      <c r="G1510" s="233" t="str">
        <f>VLOOKUP(Table8[[#This Row],[Document ID]],Table1[],10,FALSE)</f>
        <v>Active</v>
      </c>
      <c r="H1510" s="43" t="s">
        <v>2358</v>
      </c>
      <c r="I1510" s="43" t="s">
        <v>2359</v>
      </c>
      <c r="J1510" s="44" t="s">
        <v>3094</v>
      </c>
      <c r="K1510" s="44" t="s">
        <v>3742</v>
      </c>
      <c r="L1510" s="44" t="s">
        <v>2333</v>
      </c>
      <c r="M1510" s="43">
        <v>65</v>
      </c>
      <c r="N1510" s="113" t="s">
        <v>1113</v>
      </c>
      <c r="O1510" s="113"/>
      <c r="P1510" s="113"/>
      <c r="Q1510" s="113"/>
      <c r="R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t="s">
        <v>1113</v>
      </c>
      <c r="AL1510" s="113"/>
      <c r="AM1510" s="113"/>
      <c r="AN1510" s="113"/>
      <c r="AO1510" s="44" t="s">
        <v>2334</v>
      </c>
      <c r="AP1510" s="43"/>
      <c r="AQ1510" s="236" t="str">
        <f>VLOOKUP(Table8[[#This Row],[Instrument]],Def_Targets!$D$73:$E$159,2,FALSE)</f>
        <v>I_Smartcharging</v>
      </c>
      <c r="AR1510" s="233" t="str">
        <f>VLOOKUP(Table8[[#This Row],[Country Code]],Table29[],3,FALSE)</f>
        <v>Annex I</v>
      </c>
      <c r="AS1510" s="233" t="str">
        <f>VLOOKUP(Table8[[#This Row],[Country Code]],Table29[],4,FALSE)</f>
        <v>Europe</v>
      </c>
      <c r="AT1510" s="233" t="str">
        <f>VLOOKUP(Table8[[#This Row],[Country Code]],Table29[],5,FALSE)</f>
        <v>High-income</v>
      </c>
      <c r="AU1510" s="233" t="str">
        <f>VLOOKUP(Table8[[#This Row],[Country Code]],Table29[],6,FALSE)</f>
        <v>no</v>
      </c>
      <c r="AV1510" s="233" t="str">
        <f>VLOOKUP(Table8[[#This Row],[Country Code]],Table29[],7,FALSE)</f>
        <v>no</v>
      </c>
      <c r="AW1510" s="233" t="str">
        <f>VLOOKUP(Table8[[#This Row],[Country Code]],Table29[],8,FALSE)</f>
        <v>OECD</v>
      </c>
      <c r="AX1510" s="233" t="str">
        <f>VLOOKUP(Table8[[#This Row],[Country Code]],Table29[],9,FALSE)</f>
        <v>EU27</v>
      </c>
      <c r="AY1510" s="233" t="str">
        <f>VLOOKUP(Table8[[#This Row],[Country Code]],Table29[],10,FALSE)</f>
        <v>no</v>
      </c>
      <c r="AZ1510" s="235">
        <f>VLOOKUP(Table8[[#This Row],[Country Code]],Table29[],23,FALSE)</f>
        <v>7.8609330392057002</v>
      </c>
      <c r="BA1510" s="235">
        <f>VLOOKUP(Table8[[#This Row],[Country Code]],Table29[],24,FALSE)</f>
        <v>4.2423658408849461</v>
      </c>
      <c r="BB1510" s="320"/>
      <c r="BC1510" s="320"/>
    </row>
    <row r="1511" spans="1:55" ht="30" hidden="1" x14ac:dyDescent="0.25">
      <c r="A1511" s="373">
        <v>26781</v>
      </c>
      <c r="B1511" s="233" t="str">
        <f>VLOOKUP(Table8[[#This Row],[Document ID]],Table1[],2,FALSE)</f>
        <v>LUX</v>
      </c>
      <c r="C1511" s="233" t="str">
        <f>VLOOKUP(Table8[[#This Row],[Document ID]],Table1[],3,FALSE)</f>
        <v>Luxembourg</v>
      </c>
      <c r="D1511" s="243" t="str">
        <f>VLOOKUP(Table8[[#This Row],[Document ID]],Table1[],5,FALSE)</f>
        <v>LTS</v>
      </c>
      <c r="E1511" s="233" t="str">
        <f>VLOOKUP(Table8[[#This Row],[Document ID]],Table1[],7,FALSE)</f>
        <v>LTS</v>
      </c>
      <c r="F1511" s="233" t="str">
        <f>VLOOKUP(Table8[[#This Row],[Document ID]],Table1[],8,FALSE)</f>
        <v>LTS 1.0</v>
      </c>
      <c r="G1511" s="233" t="str">
        <f>VLOOKUP(Table8[[#This Row],[Document ID]],Table1[],10,FALSE)</f>
        <v>Active</v>
      </c>
      <c r="H1511" s="44" t="s">
        <v>2329</v>
      </c>
      <c r="I1511" s="44" t="s">
        <v>2330</v>
      </c>
      <c r="J1511" s="44" t="s">
        <v>2381</v>
      </c>
      <c r="K1511" s="44" t="s">
        <v>3743</v>
      </c>
      <c r="L1511" s="44" t="s">
        <v>2333</v>
      </c>
      <c r="M1511" s="43">
        <v>65</v>
      </c>
      <c r="N1511" s="113" t="s">
        <v>1113</v>
      </c>
      <c r="O1511" s="113"/>
      <c r="P1511" s="113"/>
      <c r="Q1511" s="113"/>
      <c r="R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t="s">
        <v>1113</v>
      </c>
      <c r="AL1511" s="113"/>
      <c r="AM1511" s="113"/>
      <c r="AN1511" s="113"/>
      <c r="AO1511" s="44" t="s">
        <v>2334</v>
      </c>
      <c r="AP1511" s="43"/>
      <c r="AQ1511" s="236" t="str">
        <f>VLOOKUP(Table8[[#This Row],[Instrument]],Def_Targets!$D$73:$E$159,2,FALSE)</f>
        <v>I_RE</v>
      </c>
      <c r="AR1511" s="233" t="str">
        <f>VLOOKUP(Table8[[#This Row],[Country Code]],Table29[],3,FALSE)</f>
        <v>Annex I</v>
      </c>
      <c r="AS1511" s="233" t="str">
        <f>VLOOKUP(Table8[[#This Row],[Country Code]],Table29[],4,FALSE)</f>
        <v>Europe</v>
      </c>
      <c r="AT1511" s="233" t="str">
        <f>VLOOKUP(Table8[[#This Row],[Country Code]],Table29[],5,FALSE)</f>
        <v>High-income</v>
      </c>
      <c r="AU1511" s="233" t="str">
        <f>VLOOKUP(Table8[[#This Row],[Country Code]],Table29[],6,FALSE)</f>
        <v>no</v>
      </c>
      <c r="AV1511" s="233" t="str">
        <f>VLOOKUP(Table8[[#This Row],[Country Code]],Table29[],7,FALSE)</f>
        <v>no</v>
      </c>
      <c r="AW1511" s="233" t="str">
        <f>VLOOKUP(Table8[[#This Row],[Country Code]],Table29[],8,FALSE)</f>
        <v>OECD</v>
      </c>
      <c r="AX1511" s="233" t="str">
        <f>VLOOKUP(Table8[[#This Row],[Country Code]],Table29[],9,FALSE)</f>
        <v>EU27</v>
      </c>
      <c r="AY1511" s="233" t="str">
        <f>VLOOKUP(Table8[[#This Row],[Country Code]],Table29[],10,FALSE)</f>
        <v>no</v>
      </c>
      <c r="AZ1511" s="235">
        <f>VLOOKUP(Table8[[#This Row],[Country Code]],Table29[],23,FALSE)</f>
        <v>7.8609330392057002</v>
      </c>
      <c r="BA1511" s="235">
        <f>VLOOKUP(Table8[[#This Row],[Country Code]],Table29[],24,FALSE)</f>
        <v>4.2423658408849461</v>
      </c>
      <c r="BB1511" s="320"/>
      <c r="BC1511" s="320"/>
    </row>
    <row r="1512" spans="1:55" hidden="1" x14ac:dyDescent="0.25">
      <c r="A1512" s="373">
        <v>26781</v>
      </c>
      <c r="B1512" s="233" t="str">
        <f>VLOOKUP(Table8[[#This Row],[Document ID]],Table1[],2,FALSE)</f>
        <v>LUX</v>
      </c>
      <c r="C1512" s="233" t="str">
        <f>VLOOKUP(Table8[[#This Row],[Document ID]],Table1[],3,FALSE)</f>
        <v>Luxembourg</v>
      </c>
      <c r="D1512" s="243" t="str">
        <f>VLOOKUP(Table8[[#This Row],[Document ID]],Table1[],5,FALSE)</f>
        <v>LTS</v>
      </c>
      <c r="E1512" s="233" t="str">
        <f>VLOOKUP(Table8[[#This Row],[Document ID]],Table1[],7,FALSE)</f>
        <v>LTS</v>
      </c>
      <c r="F1512" s="233" t="str">
        <f>VLOOKUP(Table8[[#This Row],[Document ID]],Table1[],8,FALSE)</f>
        <v>LTS 1.0</v>
      </c>
      <c r="G1512" s="233" t="str">
        <f>VLOOKUP(Table8[[#This Row],[Document ID]],Table1[],10,FALSE)</f>
        <v>Active</v>
      </c>
      <c r="H1512" s="43" t="s">
        <v>2350</v>
      </c>
      <c r="I1512" s="43" t="s">
        <v>2370</v>
      </c>
      <c r="J1512" s="44" t="s">
        <v>2418</v>
      </c>
      <c r="K1512" s="44" t="s">
        <v>3744</v>
      </c>
      <c r="L1512" s="44" t="s">
        <v>2380</v>
      </c>
      <c r="M1512" s="43">
        <v>7</v>
      </c>
      <c r="N1512" s="113" t="s">
        <v>1113</v>
      </c>
      <c r="O1512" s="113"/>
      <c r="P1512" s="113"/>
      <c r="Q1512" s="113"/>
      <c r="R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t="s">
        <v>1113</v>
      </c>
      <c r="AL1512" s="113"/>
      <c r="AM1512" s="113"/>
      <c r="AN1512" s="113"/>
      <c r="AO1512" s="44" t="s">
        <v>2334</v>
      </c>
      <c r="AP1512" s="43"/>
      <c r="AQ1512" s="236" t="str">
        <f>VLOOKUP(Table8[[#This Row],[Instrument]],Def_Targets!$D$73:$E$159,2,FALSE)</f>
        <v>A_Complan</v>
      </c>
      <c r="AR1512" s="233" t="str">
        <f>VLOOKUP(Table8[[#This Row],[Country Code]],Table29[],3,FALSE)</f>
        <v>Annex I</v>
      </c>
      <c r="AS1512" s="233" t="str">
        <f>VLOOKUP(Table8[[#This Row],[Country Code]],Table29[],4,FALSE)</f>
        <v>Europe</v>
      </c>
      <c r="AT1512" s="233" t="str">
        <f>VLOOKUP(Table8[[#This Row],[Country Code]],Table29[],5,FALSE)</f>
        <v>High-income</v>
      </c>
      <c r="AU1512" s="233" t="str">
        <f>VLOOKUP(Table8[[#This Row],[Country Code]],Table29[],6,FALSE)</f>
        <v>no</v>
      </c>
      <c r="AV1512" s="233" t="str">
        <f>VLOOKUP(Table8[[#This Row],[Country Code]],Table29[],7,FALSE)</f>
        <v>no</v>
      </c>
      <c r="AW1512" s="233" t="str">
        <f>VLOOKUP(Table8[[#This Row],[Country Code]],Table29[],8,FALSE)</f>
        <v>OECD</v>
      </c>
      <c r="AX1512" s="233" t="str">
        <f>VLOOKUP(Table8[[#This Row],[Country Code]],Table29[],9,FALSE)</f>
        <v>EU27</v>
      </c>
      <c r="AY1512" s="233" t="str">
        <f>VLOOKUP(Table8[[#This Row],[Country Code]],Table29[],10,FALSE)</f>
        <v>no</v>
      </c>
      <c r="AZ1512" s="235">
        <f>VLOOKUP(Table8[[#This Row],[Country Code]],Table29[],23,FALSE)</f>
        <v>7.8609330392057002</v>
      </c>
      <c r="BA1512" s="235">
        <f>VLOOKUP(Table8[[#This Row],[Country Code]],Table29[],24,FALSE)</f>
        <v>4.2423658408849461</v>
      </c>
      <c r="BB1512" s="320"/>
      <c r="BC1512" s="320"/>
    </row>
    <row r="1513" spans="1:55" ht="30" hidden="1" x14ac:dyDescent="0.25">
      <c r="A1513" s="373">
        <v>26781</v>
      </c>
      <c r="B1513" s="233" t="str">
        <f>VLOOKUP(Table8[[#This Row],[Document ID]],Table1[],2,FALSE)</f>
        <v>LUX</v>
      </c>
      <c r="C1513" s="233" t="str">
        <f>VLOOKUP(Table8[[#This Row],[Document ID]],Table1[],3,FALSE)</f>
        <v>Luxembourg</v>
      </c>
      <c r="D1513" s="243" t="str">
        <f>VLOOKUP(Table8[[#This Row],[Document ID]],Table1[],5,FALSE)</f>
        <v>LTS</v>
      </c>
      <c r="E1513" s="233" t="str">
        <f>VLOOKUP(Table8[[#This Row],[Document ID]],Table1[],7,FALSE)</f>
        <v>LTS</v>
      </c>
      <c r="F1513" s="233" t="str">
        <f>VLOOKUP(Table8[[#This Row],[Document ID]],Table1[],8,FALSE)</f>
        <v>LTS 1.0</v>
      </c>
      <c r="G1513" s="233" t="str">
        <f>VLOOKUP(Table8[[#This Row],[Document ID]],Table1[],10,FALSE)</f>
        <v>Active</v>
      </c>
      <c r="H1513" s="43" t="s">
        <v>2343</v>
      </c>
      <c r="I1513" s="43" t="s">
        <v>2386</v>
      </c>
      <c r="J1513" s="44" t="s">
        <v>2397</v>
      </c>
      <c r="K1513" s="44" t="s">
        <v>3745</v>
      </c>
      <c r="L1513" s="44" t="s">
        <v>2373</v>
      </c>
      <c r="M1513" s="43">
        <v>7</v>
      </c>
      <c r="N1513" s="113" t="s">
        <v>1113</v>
      </c>
      <c r="O1513" s="113"/>
      <c r="P1513" s="113"/>
      <c r="Q1513" s="113"/>
      <c r="R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t="s">
        <v>1113</v>
      </c>
      <c r="AL1513" s="113"/>
      <c r="AM1513" s="113"/>
      <c r="AN1513" s="113"/>
      <c r="AO1513" s="44" t="s">
        <v>2334</v>
      </c>
      <c r="AP1513" s="43"/>
      <c r="AQ1513" s="236" t="str">
        <f>VLOOKUP(Table8[[#This Row],[Instrument]],Def_Targets!$D$73:$E$159,2,FALSE)</f>
        <v>A_Finance</v>
      </c>
      <c r="AR1513" s="233" t="str">
        <f>VLOOKUP(Table8[[#This Row],[Country Code]],Table29[],3,FALSE)</f>
        <v>Annex I</v>
      </c>
      <c r="AS1513" s="233" t="str">
        <f>VLOOKUP(Table8[[#This Row],[Country Code]],Table29[],4,FALSE)</f>
        <v>Europe</v>
      </c>
      <c r="AT1513" s="233" t="str">
        <f>VLOOKUP(Table8[[#This Row],[Country Code]],Table29[],5,FALSE)</f>
        <v>High-income</v>
      </c>
      <c r="AU1513" s="233" t="str">
        <f>VLOOKUP(Table8[[#This Row],[Country Code]],Table29[],6,FALSE)</f>
        <v>no</v>
      </c>
      <c r="AV1513" s="233" t="str">
        <f>VLOOKUP(Table8[[#This Row],[Country Code]],Table29[],7,FALSE)</f>
        <v>no</v>
      </c>
      <c r="AW1513" s="233" t="str">
        <f>VLOOKUP(Table8[[#This Row],[Country Code]],Table29[],8,FALSE)</f>
        <v>OECD</v>
      </c>
      <c r="AX1513" s="233" t="str">
        <f>VLOOKUP(Table8[[#This Row],[Country Code]],Table29[],9,FALSE)</f>
        <v>EU27</v>
      </c>
      <c r="AY1513" s="233" t="str">
        <f>VLOOKUP(Table8[[#This Row],[Country Code]],Table29[],10,FALSE)</f>
        <v>no</v>
      </c>
      <c r="AZ1513" s="235">
        <f>VLOOKUP(Table8[[#This Row],[Country Code]],Table29[],23,FALSE)</f>
        <v>7.8609330392057002</v>
      </c>
      <c r="BA1513" s="235">
        <f>VLOOKUP(Table8[[#This Row],[Country Code]],Table29[],24,FALSE)</f>
        <v>4.2423658408849461</v>
      </c>
      <c r="BB1513" s="320"/>
      <c r="BC1513" s="320"/>
    </row>
    <row r="1514" spans="1:55" ht="60" hidden="1" x14ac:dyDescent="0.25">
      <c r="A1514" s="373">
        <v>26781</v>
      </c>
      <c r="B1514" s="233" t="str">
        <f>VLOOKUP(Table8[[#This Row],[Document ID]],Table1[],2,FALSE)</f>
        <v>LUX</v>
      </c>
      <c r="C1514" s="233" t="str">
        <f>VLOOKUP(Table8[[#This Row],[Document ID]],Table1[],3,FALSE)</f>
        <v>Luxembourg</v>
      </c>
      <c r="D1514" s="243" t="str">
        <f>VLOOKUP(Table8[[#This Row],[Document ID]],Table1[],5,FALSE)</f>
        <v>LTS</v>
      </c>
      <c r="E1514" s="233" t="str">
        <f>VLOOKUP(Table8[[#This Row],[Document ID]],Table1[],7,FALSE)</f>
        <v>LTS</v>
      </c>
      <c r="F1514" s="233" t="str">
        <f>VLOOKUP(Table8[[#This Row],[Document ID]],Table1[],8,FALSE)</f>
        <v>LTS 1.0</v>
      </c>
      <c r="G1514" s="233" t="str">
        <f>VLOOKUP(Table8[[#This Row],[Document ID]],Table1[],10,FALSE)</f>
        <v>Active</v>
      </c>
      <c r="H1514" s="43" t="s">
        <v>2358</v>
      </c>
      <c r="I1514" s="43" t="s">
        <v>2359</v>
      </c>
      <c r="J1514" s="44" t="s">
        <v>2389</v>
      </c>
      <c r="K1514" s="44" t="s">
        <v>3746</v>
      </c>
      <c r="L1514" s="44" t="s">
        <v>2333</v>
      </c>
      <c r="M1514" s="43">
        <v>66</v>
      </c>
      <c r="N1514" s="113" t="s">
        <v>1113</v>
      </c>
      <c r="O1514" s="113"/>
      <c r="P1514" s="113"/>
      <c r="Q1514" s="113"/>
      <c r="R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t="s">
        <v>1113</v>
      </c>
      <c r="AL1514" s="113"/>
      <c r="AM1514" s="113"/>
      <c r="AN1514" s="113"/>
      <c r="AO1514" s="44" t="s">
        <v>2334</v>
      </c>
      <c r="AP1514" s="43"/>
      <c r="AQ1514" s="236" t="str">
        <f>VLOOKUP(Table8[[#This Row],[Instrument]],Def_Targets!$D$73:$E$159,2,FALSE)</f>
        <v>I_Emobilitypurchase</v>
      </c>
      <c r="AR1514" s="233" t="str">
        <f>VLOOKUP(Table8[[#This Row],[Country Code]],Table29[],3,FALSE)</f>
        <v>Annex I</v>
      </c>
      <c r="AS1514" s="233" t="str">
        <f>VLOOKUP(Table8[[#This Row],[Country Code]],Table29[],4,FALSE)</f>
        <v>Europe</v>
      </c>
      <c r="AT1514" s="233" t="str">
        <f>VLOOKUP(Table8[[#This Row],[Country Code]],Table29[],5,FALSE)</f>
        <v>High-income</v>
      </c>
      <c r="AU1514" s="233" t="str">
        <f>VLOOKUP(Table8[[#This Row],[Country Code]],Table29[],6,FALSE)</f>
        <v>no</v>
      </c>
      <c r="AV1514" s="233" t="str">
        <f>VLOOKUP(Table8[[#This Row],[Country Code]],Table29[],7,FALSE)</f>
        <v>no</v>
      </c>
      <c r="AW1514" s="233" t="str">
        <f>VLOOKUP(Table8[[#This Row],[Country Code]],Table29[],8,FALSE)</f>
        <v>OECD</v>
      </c>
      <c r="AX1514" s="233" t="str">
        <f>VLOOKUP(Table8[[#This Row],[Country Code]],Table29[],9,FALSE)</f>
        <v>EU27</v>
      </c>
      <c r="AY1514" s="233" t="str">
        <f>VLOOKUP(Table8[[#This Row],[Country Code]],Table29[],10,FALSE)</f>
        <v>no</v>
      </c>
      <c r="AZ1514" s="235">
        <f>VLOOKUP(Table8[[#This Row],[Country Code]],Table29[],23,FALSE)</f>
        <v>7.8609330392057002</v>
      </c>
      <c r="BA1514" s="235">
        <f>VLOOKUP(Table8[[#This Row],[Country Code]],Table29[],24,FALSE)</f>
        <v>4.2423658408849461</v>
      </c>
      <c r="BB1514" s="320"/>
      <c r="BC1514" s="320"/>
    </row>
    <row r="1515" spans="1:55" ht="60" hidden="1" x14ac:dyDescent="0.25">
      <c r="A1515" s="373">
        <v>26781</v>
      </c>
      <c r="B1515" s="233" t="str">
        <f>VLOOKUP(Table8[[#This Row],[Document ID]],Table1[],2,FALSE)</f>
        <v>LUX</v>
      </c>
      <c r="C1515" s="233" t="str">
        <f>VLOOKUP(Table8[[#This Row],[Document ID]],Table1[],3,FALSE)</f>
        <v>Luxembourg</v>
      </c>
      <c r="D1515" s="243" t="str">
        <f>VLOOKUP(Table8[[#This Row],[Document ID]],Table1[],5,FALSE)</f>
        <v>LTS</v>
      </c>
      <c r="E1515" s="233" t="str">
        <f>VLOOKUP(Table8[[#This Row],[Document ID]],Table1[],7,FALSE)</f>
        <v>LTS</v>
      </c>
      <c r="F1515" s="233" t="str">
        <f>VLOOKUP(Table8[[#This Row],[Document ID]],Table1[],8,FALSE)</f>
        <v>LTS 1.0</v>
      </c>
      <c r="G1515" s="233" t="str">
        <f>VLOOKUP(Table8[[#This Row],[Document ID]],Table1[],10,FALSE)</f>
        <v>Active</v>
      </c>
      <c r="H1515" s="43" t="s">
        <v>2343</v>
      </c>
      <c r="I1515" s="43" t="s">
        <v>2386</v>
      </c>
      <c r="J1515" s="44" t="s">
        <v>2530</v>
      </c>
      <c r="K1515" s="44" t="s">
        <v>3746</v>
      </c>
      <c r="L1515" s="44" t="s">
        <v>2333</v>
      </c>
      <c r="M1515" s="43">
        <v>66</v>
      </c>
      <c r="N1515" s="113" t="s">
        <v>1113</v>
      </c>
      <c r="O1515" s="113"/>
      <c r="P1515" s="113"/>
      <c r="Q1515" s="113"/>
      <c r="R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t="s">
        <v>1113</v>
      </c>
      <c r="AL1515" s="113"/>
      <c r="AM1515" s="113"/>
      <c r="AN1515" s="113"/>
      <c r="AO1515" s="44" t="s">
        <v>2334</v>
      </c>
      <c r="AP1515" s="43"/>
      <c r="AQ1515" s="236" t="str">
        <f>VLOOKUP(Table8[[#This Row],[Instrument]],Def_Targets!$D$73:$E$159,2,FALSE)</f>
        <v>A_Vehicletax</v>
      </c>
      <c r="AR1515" s="233" t="str">
        <f>VLOOKUP(Table8[[#This Row],[Country Code]],Table29[],3,FALSE)</f>
        <v>Annex I</v>
      </c>
      <c r="AS1515" s="233" t="str">
        <f>VLOOKUP(Table8[[#This Row],[Country Code]],Table29[],4,FALSE)</f>
        <v>Europe</v>
      </c>
      <c r="AT1515" s="233" t="str">
        <f>VLOOKUP(Table8[[#This Row],[Country Code]],Table29[],5,FALSE)</f>
        <v>High-income</v>
      </c>
      <c r="AU1515" s="233" t="str">
        <f>VLOOKUP(Table8[[#This Row],[Country Code]],Table29[],6,FALSE)</f>
        <v>no</v>
      </c>
      <c r="AV1515" s="233" t="str">
        <f>VLOOKUP(Table8[[#This Row],[Country Code]],Table29[],7,FALSE)</f>
        <v>no</v>
      </c>
      <c r="AW1515" s="233" t="str">
        <f>VLOOKUP(Table8[[#This Row],[Country Code]],Table29[],8,FALSE)</f>
        <v>OECD</v>
      </c>
      <c r="AX1515" s="233" t="str">
        <f>VLOOKUP(Table8[[#This Row],[Country Code]],Table29[],9,FALSE)</f>
        <v>EU27</v>
      </c>
      <c r="AY1515" s="233" t="str">
        <f>VLOOKUP(Table8[[#This Row],[Country Code]],Table29[],10,FALSE)</f>
        <v>no</v>
      </c>
      <c r="AZ1515" s="235">
        <f>VLOOKUP(Table8[[#This Row],[Country Code]],Table29[],23,FALSE)</f>
        <v>7.8609330392057002</v>
      </c>
      <c r="BA1515" s="235">
        <f>VLOOKUP(Table8[[#This Row],[Country Code]],Table29[],24,FALSE)</f>
        <v>4.2423658408849461</v>
      </c>
      <c r="BB1515" s="320"/>
      <c r="BC1515" s="320"/>
    </row>
    <row r="1516" spans="1:55" ht="30" hidden="1" x14ac:dyDescent="0.25">
      <c r="A1516" s="373">
        <v>26781</v>
      </c>
      <c r="B1516" s="233" t="str">
        <f>VLOOKUP(Table8[[#This Row],[Document ID]],Table1[],2,FALSE)</f>
        <v>LUX</v>
      </c>
      <c r="C1516" s="233" t="str">
        <f>VLOOKUP(Table8[[#This Row],[Document ID]],Table1[],3,FALSE)</f>
        <v>Luxembourg</v>
      </c>
      <c r="D1516" s="243" t="str">
        <f>VLOOKUP(Table8[[#This Row],[Document ID]],Table1[],5,FALSE)</f>
        <v>LTS</v>
      </c>
      <c r="E1516" s="233" t="str">
        <f>VLOOKUP(Table8[[#This Row],[Document ID]],Table1[],7,FALSE)</f>
        <v>LTS</v>
      </c>
      <c r="F1516" s="233" t="str">
        <f>VLOOKUP(Table8[[#This Row],[Document ID]],Table1[],8,FALSE)</f>
        <v>LTS 1.0</v>
      </c>
      <c r="G1516" s="233" t="str">
        <f>VLOOKUP(Table8[[#This Row],[Document ID]],Table1[],10,FALSE)</f>
        <v>Active</v>
      </c>
      <c r="H1516" s="43" t="s">
        <v>2350</v>
      </c>
      <c r="I1516" s="43" t="s">
        <v>2370</v>
      </c>
      <c r="J1516" s="44" t="s">
        <v>2418</v>
      </c>
      <c r="K1516" s="44" t="s">
        <v>3747</v>
      </c>
      <c r="L1516" s="44" t="s">
        <v>2373</v>
      </c>
      <c r="M1516" s="43">
        <v>7</v>
      </c>
      <c r="N1516" s="113" t="s">
        <v>1113</v>
      </c>
      <c r="O1516" s="113"/>
      <c r="P1516" s="113"/>
      <c r="Q1516" s="113"/>
      <c r="R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t="s">
        <v>1113</v>
      </c>
      <c r="AL1516" s="113"/>
      <c r="AM1516" s="113"/>
      <c r="AN1516" s="113"/>
      <c r="AO1516" s="44" t="s">
        <v>2334</v>
      </c>
      <c r="AP1516" s="43"/>
      <c r="AQ1516" s="236" t="str">
        <f>VLOOKUP(Table8[[#This Row],[Instrument]],Def_Targets!$D$73:$E$159,2,FALSE)</f>
        <v>A_Complan</v>
      </c>
      <c r="AR1516" s="233" t="str">
        <f>VLOOKUP(Table8[[#This Row],[Country Code]],Table29[],3,FALSE)</f>
        <v>Annex I</v>
      </c>
      <c r="AS1516" s="233" t="str">
        <f>VLOOKUP(Table8[[#This Row],[Country Code]],Table29[],4,FALSE)</f>
        <v>Europe</v>
      </c>
      <c r="AT1516" s="233" t="str">
        <f>VLOOKUP(Table8[[#This Row],[Country Code]],Table29[],5,FALSE)</f>
        <v>High-income</v>
      </c>
      <c r="AU1516" s="233" t="str">
        <f>VLOOKUP(Table8[[#This Row],[Country Code]],Table29[],6,FALSE)</f>
        <v>no</v>
      </c>
      <c r="AV1516" s="233" t="str">
        <f>VLOOKUP(Table8[[#This Row],[Country Code]],Table29[],7,FALSE)</f>
        <v>no</v>
      </c>
      <c r="AW1516" s="233" t="str">
        <f>VLOOKUP(Table8[[#This Row],[Country Code]],Table29[],8,FALSE)</f>
        <v>OECD</v>
      </c>
      <c r="AX1516" s="233" t="str">
        <f>VLOOKUP(Table8[[#This Row],[Country Code]],Table29[],9,FALSE)</f>
        <v>EU27</v>
      </c>
      <c r="AY1516" s="233" t="str">
        <f>VLOOKUP(Table8[[#This Row],[Country Code]],Table29[],10,FALSE)</f>
        <v>no</v>
      </c>
      <c r="AZ1516" s="235">
        <f>VLOOKUP(Table8[[#This Row],[Country Code]],Table29[],23,FALSE)</f>
        <v>7.8609330392057002</v>
      </c>
      <c r="BA1516" s="235">
        <f>VLOOKUP(Table8[[#This Row],[Country Code]],Table29[],24,FALSE)</f>
        <v>4.2423658408849461</v>
      </c>
      <c r="BB1516" s="320"/>
      <c r="BC1516" s="320"/>
    </row>
    <row r="1517" spans="1:55" ht="30" hidden="1" x14ac:dyDescent="0.25">
      <c r="A1517" s="373">
        <v>26781</v>
      </c>
      <c r="B1517" s="233" t="str">
        <f>VLOOKUP(Table8[[#This Row],[Document ID]],Table1[],2,FALSE)</f>
        <v>LUX</v>
      </c>
      <c r="C1517" s="233" t="str">
        <f>VLOOKUP(Table8[[#This Row],[Document ID]],Table1[],3,FALSE)</f>
        <v>Luxembourg</v>
      </c>
      <c r="D1517" s="243" t="str">
        <f>VLOOKUP(Table8[[#This Row],[Document ID]],Table1[],5,FALSE)</f>
        <v>LTS</v>
      </c>
      <c r="E1517" s="233" t="str">
        <f>VLOOKUP(Table8[[#This Row],[Document ID]],Table1[],7,FALSE)</f>
        <v>LTS</v>
      </c>
      <c r="F1517" s="233" t="str">
        <f>VLOOKUP(Table8[[#This Row],[Document ID]],Table1[],8,FALSE)</f>
        <v>LTS 1.0</v>
      </c>
      <c r="G1517" s="233" t="str">
        <f>VLOOKUP(Table8[[#This Row],[Document ID]],Table1[],10,FALSE)</f>
        <v>Active</v>
      </c>
      <c r="H1517" s="44" t="s">
        <v>2338</v>
      </c>
      <c r="I1517" s="44" t="s">
        <v>2339</v>
      </c>
      <c r="J1517" s="44" t="s">
        <v>2413</v>
      </c>
      <c r="K1517" s="44" t="s">
        <v>3748</v>
      </c>
      <c r="L1517" s="44" t="s">
        <v>2333</v>
      </c>
      <c r="M1517" s="43">
        <v>7</v>
      </c>
      <c r="N1517" s="113" t="s">
        <v>1113</v>
      </c>
      <c r="O1517" s="113"/>
      <c r="P1517" s="113"/>
      <c r="Q1517" s="113"/>
      <c r="R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t="s">
        <v>1113</v>
      </c>
      <c r="AL1517" s="113"/>
      <c r="AM1517" s="113"/>
      <c r="AN1517" s="113"/>
      <c r="AO1517" s="44" t="s">
        <v>2334</v>
      </c>
      <c r="AP1517" s="43"/>
      <c r="AQ1517" s="236" t="str">
        <f>VLOOKUP(Table8[[#This Row],[Instrument]],Def_Targets!$D$73:$E$159,2,FALSE)</f>
        <v>I_Vehicleeff</v>
      </c>
      <c r="AR1517" s="233" t="str">
        <f>VLOOKUP(Table8[[#This Row],[Country Code]],Table29[],3,FALSE)</f>
        <v>Annex I</v>
      </c>
      <c r="AS1517" s="233" t="str">
        <f>VLOOKUP(Table8[[#This Row],[Country Code]],Table29[],4,FALSE)</f>
        <v>Europe</v>
      </c>
      <c r="AT1517" s="233" t="str">
        <f>VLOOKUP(Table8[[#This Row],[Country Code]],Table29[],5,FALSE)</f>
        <v>High-income</v>
      </c>
      <c r="AU1517" s="233" t="str">
        <f>VLOOKUP(Table8[[#This Row],[Country Code]],Table29[],6,FALSE)</f>
        <v>no</v>
      </c>
      <c r="AV1517" s="233" t="str">
        <f>VLOOKUP(Table8[[#This Row],[Country Code]],Table29[],7,FALSE)</f>
        <v>no</v>
      </c>
      <c r="AW1517" s="233" t="str">
        <f>VLOOKUP(Table8[[#This Row],[Country Code]],Table29[],8,FALSE)</f>
        <v>OECD</v>
      </c>
      <c r="AX1517" s="233" t="str">
        <f>VLOOKUP(Table8[[#This Row],[Country Code]],Table29[],9,FALSE)</f>
        <v>EU27</v>
      </c>
      <c r="AY1517" s="233" t="str">
        <f>VLOOKUP(Table8[[#This Row],[Country Code]],Table29[],10,FALSE)</f>
        <v>no</v>
      </c>
      <c r="AZ1517" s="235">
        <f>VLOOKUP(Table8[[#This Row],[Country Code]],Table29[],23,FALSE)</f>
        <v>7.8609330392057002</v>
      </c>
      <c r="BA1517" s="235">
        <f>VLOOKUP(Table8[[#This Row],[Country Code]],Table29[],24,FALSE)</f>
        <v>4.2423658408849461</v>
      </c>
      <c r="BB1517" s="320"/>
      <c r="BC1517" s="320"/>
    </row>
    <row r="1518" spans="1:55" hidden="1" x14ac:dyDescent="0.25">
      <c r="A1518" s="373">
        <v>26781</v>
      </c>
      <c r="B1518" s="233" t="str">
        <f>VLOOKUP(Table8[[#This Row],[Document ID]],Table1[],2,FALSE)</f>
        <v>LUX</v>
      </c>
      <c r="C1518" s="233" t="str">
        <f>VLOOKUP(Table8[[#This Row],[Document ID]],Table1[],3,FALSE)</f>
        <v>Luxembourg</v>
      </c>
      <c r="D1518" s="243" t="str">
        <f>VLOOKUP(Table8[[#This Row],[Document ID]],Table1[],5,FALSE)</f>
        <v>LTS</v>
      </c>
      <c r="E1518" s="233" t="str">
        <f>VLOOKUP(Table8[[#This Row],[Document ID]],Table1[],7,FALSE)</f>
        <v>LTS</v>
      </c>
      <c r="F1518" s="233" t="str">
        <f>VLOOKUP(Table8[[#This Row],[Document ID]],Table1[],8,FALSE)</f>
        <v>LTS 1.0</v>
      </c>
      <c r="G1518" s="233" t="str">
        <f>VLOOKUP(Table8[[#This Row],[Document ID]],Table1[],10,FALSE)</f>
        <v>Active</v>
      </c>
      <c r="H1518" s="43" t="s">
        <v>2358</v>
      </c>
      <c r="I1518" s="43" t="s">
        <v>2359</v>
      </c>
      <c r="J1518" s="44" t="s">
        <v>2360</v>
      </c>
      <c r="K1518" s="44" t="s">
        <v>3749</v>
      </c>
      <c r="L1518" s="44" t="s">
        <v>2333</v>
      </c>
      <c r="M1518" s="43">
        <v>7</v>
      </c>
      <c r="N1518" s="113" t="s">
        <v>1113</v>
      </c>
      <c r="O1518" s="113"/>
      <c r="P1518" s="113"/>
      <c r="Q1518" s="113"/>
      <c r="R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t="s">
        <v>1113</v>
      </c>
      <c r="AL1518" s="113"/>
      <c r="AM1518" s="113"/>
      <c r="AN1518" s="113"/>
      <c r="AO1518" s="44" t="s">
        <v>2334</v>
      </c>
      <c r="AP1518" s="43"/>
      <c r="AQ1518" s="236" t="str">
        <f>VLOOKUP(Table8[[#This Row],[Instrument]],Def_Targets!$D$73:$E$159,2,FALSE)</f>
        <v>I_Emobility</v>
      </c>
      <c r="AR1518" s="233" t="str">
        <f>VLOOKUP(Table8[[#This Row],[Country Code]],Table29[],3,FALSE)</f>
        <v>Annex I</v>
      </c>
      <c r="AS1518" s="233" t="str">
        <f>VLOOKUP(Table8[[#This Row],[Country Code]],Table29[],4,FALSE)</f>
        <v>Europe</v>
      </c>
      <c r="AT1518" s="233" t="str">
        <f>VLOOKUP(Table8[[#This Row],[Country Code]],Table29[],5,FALSE)</f>
        <v>High-income</v>
      </c>
      <c r="AU1518" s="233" t="str">
        <f>VLOOKUP(Table8[[#This Row],[Country Code]],Table29[],6,FALSE)</f>
        <v>no</v>
      </c>
      <c r="AV1518" s="233" t="str">
        <f>VLOOKUP(Table8[[#This Row],[Country Code]],Table29[],7,FALSE)</f>
        <v>no</v>
      </c>
      <c r="AW1518" s="233" t="str">
        <f>VLOOKUP(Table8[[#This Row],[Country Code]],Table29[],8,FALSE)</f>
        <v>OECD</v>
      </c>
      <c r="AX1518" s="233" t="str">
        <f>VLOOKUP(Table8[[#This Row],[Country Code]],Table29[],9,FALSE)</f>
        <v>EU27</v>
      </c>
      <c r="AY1518" s="233" t="str">
        <f>VLOOKUP(Table8[[#This Row],[Country Code]],Table29[],10,FALSE)</f>
        <v>no</v>
      </c>
      <c r="AZ1518" s="235">
        <f>VLOOKUP(Table8[[#This Row],[Country Code]],Table29[],23,FALSE)</f>
        <v>7.8609330392057002</v>
      </c>
      <c r="BA1518" s="235">
        <f>VLOOKUP(Table8[[#This Row],[Country Code]],Table29[],24,FALSE)</f>
        <v>4.2423658408849461</v>
      </c>
      <c r="BB1518" s="320"/>
      <c r="BC1518" s="320"/>
    </row>
    <row r="1519" spans="1:55" ht="30" hidden="1" x14ac:dyDescent="0.25">
      <c r="A1519" s="373">
        <v>23933</v>
      </c>
      <c r="B1519" s="233" t="str">
        <f>VLOOKUP(Table8[[#This Row],[Document ID]],Table1[],2,FALSE)</f>
        <v>NZL</v>
      </c>
      <c r="C1519" s="233" t="str">
        <f>VLOOKUP(Table8[[#This Row],[Document ID]],Table1[],3,FALSE)</f>
        <v>New Zealand</v>
      </c>
      <c r="D1519" s="243" t="str">
        <f>VLOOKUP(Table8[[#This Row],[Document ID]],Table1[],5,FALSE)</f>
        <v>NDC</v>
      </c>
      <c r="E1519" s="233" t="str">
        <f>VLOOKUP(Table8[[#This Row],[Document ID]],Table1[],7,FALSE)</f>
        <v>First NDC updated</v>
      </c>
      <c r="F1519" s="233" t="str">
        <f>VLOOKUP(Table8[[#This Row],[Document ID]],Table1[],8,FALSE)</f>
        <v>NDC 1.2</v>
      </c>
      <c r="G1519" s="233" t="str">
        <f>VLOOKUP(Table8[[#This Row],[Document ID]],Table1[],10,FALSE)</f>
        <v>Archived</v>
      </c>
      <c r="H1519" s="43" t="s">
        <v>2358</v>
      </c>
      <c r="I1519" s="43" t="s">
        <v>2359</v>
      </c>
      <c r="J1519" s="44" t="s">
        <v>2389</v>
      </c>
      <c r="K1519" s="44" t="s">
        <v>3750</v>
      </c>
      <c r="L1519" s="44" t="s">
        <v>2333</v>
      </c>
      <c r="M1519" s="43">
        <v>8</v>
      </c>
      <c r="N1519" s="113"/>
      <c r="O1519" s="113"/>
      <c r="P1519" s="113"/>
      <c r="Q1519" s="113"/>
      <c r="R1519" s="113"/>
      <c r="S1519" s="113"/>
      <c r="T1519" s="113"/>
      <c r="U1519" s="113" t="s">
        <v>1113</v>
      </c>
      <c r="V1519" s="113"/>
      <c r="W1519" s="113"/>
      <c r="X1519" s="113"/>
      <c r="Y1519" s="113"/>
      <c r="Z1519" s="113"/>
      <c r="AA1519" s="113"/>
      <c r="AB1519" s="113"/>
      <c r="AC1519" s="113"/>
      <c r="AD1519" s="113"/>
      <c r="AE1519" s="113"/>
      <c r="AF1519" s="113"/>
      <c r="AG1519" s="113"/>
      <c r="AH1519" s="113"/>
      <c r="AI1519" s="113"/>
      <c r="AJ1519" s="113"/>
      <c r="AK1519" s="113" t="s">
        <v>1113</v>
      </c>
      <c r="AL1519" s="113"/>
      <c r="AM1519" s="113"/>
      <c r="AN1519" s="113"/>
      <c r="AO1519" s="44" t="s">
        <v>2334</v>
      </c>
      <c r="AP1519" s="43"/>
      <c r="AQ1519" s="236" t="str">
        <f>VLOOKUP(Table8[[#This Row],[Instrument]],Def_Targets!$D$73:$E$159,2,FALSE)</f>
        <v>I_Emobilitypurchase</v>
      </c>
      <c r="AR1519" s="233" t="str">
        <f>VLOOKUP(Table8[[#This Row],[Country Code]],Table29[],3,FALSE)</f>
        <v>Annex I</v>
      </c>
      <c r="AS1519" s="233" t="str">
        <f>VLOOKUP(Table8[[#This Row],[Country Code]],Table29[],4,FALSE)</f>
        <v>Oceania</v>
      </c>
      <c r="AT1519" s="233" t="str">
        <f>VLOOKUP(Table8[[#This Row],[Country Code]],Table29[],5,FALSE)</f>
        <v>High-income</v>
      </c>
      <c r="AU1519" s="233" t="str">
        <f>VLOOKUP(Table8[[#This Row],[Country Code]],Table29[],6,FALSE)</f>
        <v>no</v>
      </c>
      <c r="AV1519" s="233" t="str">
        <f>VLOOKUP(Table8[[#This Row],[Country Code]],Table29[],7,FALSE)</f>
        <v>no</v>
      </c>
      <c r="AW1519" s="233" t="str">
        <f>VLOOKUP(Table8[[#This Row],[Country Code]],Table29[],8,FALSE)</f>
        <v>OECD</v>
      </c>
      <c r="AX1519" s="233" t="str">
        <f>VLOOKUP(Table8[[#This Row],[Country Code]],Table29[],9,FALSE)</f>
        <v>no</v>
      </c>
      <c r="AY1519" s="233" t="str">
        <f>VLOOKUP(Table8[[#This Row],[Country Code]],Table29[],10,FALSE)</f>
        <v>no</v>
      </c>
      <c r="AZ1519" s="235">
        <f>VLOOKUP(Table8[[#This Row],[Country Code]],Table29[],23,FALSE)</f>
        <v>84.209811532415003</v>
      </c>
      <c r="BA1519" s="235">
        <f>VLOOKUP(Table8[[#This Row],[Country Code]],Table29[],24,FALSE)</f>
        <v>16.240725424217811</v>
      </c>
      <c r="BB1519" s="320"/>
      <c r="BC1519" s="320"/>
    </row>
    <row r="1520" spans="1:55" ht="30" hidden="1" x14ac:dyDescent="0.25">
      <c r="A1520" s="373">
        <v>23933</v>
      </c>
      <c r="B1520" s="233" t="str">
        <f>VLOOKUP(Table8[[#This Row],[Document ID]],Table1[],2,FALSE)</f>
        <v>NZL</v>
      </c>
      <c r="C1520" s="233" t="str">
        <f>VLOOKUP(Table8[[#This Row],[Document ID]],Table1[],3,FALSE)</f>
        <v>New Zealand</v>
      </c>
      <c r="D1520" s="243" t="str">
        <f>VLOOKUP(Table8[[#This Row],[Document ID]],Table1[],5,FALSE)</f>
        <v>NDC</v>
      </c>
      <c r="E1520" s="233" t="str">
        <f>VLOOKUP(Table8[[#This Row],[Document ID]],Table1[],7,FALSE)</f>
        <v>First NDC updated</v>
      </c>
      <c r="F1520" s="233" t="str">
        <f>VLOOKUP(Table8[[#This Row],[Document ID]],Table1[],8,FALSE)</f>
        <v>NDC 1.2</v>
      </c>
      <c r="G1520" s="233" t="str">
        <f>VLOOKUP(Table8[[#This Row],[Document ID]],Table1[],10,FALSE)</f>
        <v>Archived</v>
      </c>
      <c r="H1520" s="43" t="s">
        <v>2343</v>
      </c>
      <c r="I1520" s="43" t="s">
        <v>2386</v>
      </c>
      <c r="J1520" s="44" t="s">
        <v>2530</v>
      </c>
      <c r="K1520" s="44" t="s">
        <v>3751</v>
      </c>
      <c r="L1520" s="44" t="s">
        <v>2380</v>
      </c>
      <c r="M1520" s="43">
        <v>8</v>
      </c>
      <c r="N1520" s="113"/>
      <c r="O1520" s="113"/>
      <c r="P1520" s="113"/>
      <c r="Q1520" s="113"/>
      <c r="R1520" s="113"/>
      <c r="S1520" s="113"/>
      <c r="T1520" s="113"/>
      <c r="U1520" s="113" t="s">
        <v>1113</v>
      </c>
      <c r="V1520" s="113"/>
      <c r="W1520" s="113"/>
      <c r="X1520" s="113"/>
      <c r="Y1520" s="113"/>
      <c r="Z1520" s="113"/>
      <c r="AA1520" s="113"/>
      <c r="AB1520" s="113"/>
      <c r="AC1520" s="113"/>
      <c r="AD1520" s="113"/>
      <c r="AE1520" s="113"/>
      <c r="AF1520" s="113"/>
      <c r="AG1520" s="113"/>
      <c r="AH1520" s="113"/>
      <c r="AI1520" s="113"/>
      <c r="AJ1520" s="113"/>
      <c r="AK1520" s="113" t="s">
        <v>1113</v>
      </c>
      <c r="AL1520" s="113"/>
      <c r="AM1520" s="113"/>
      <c r="AN1520" s="113"/>
      <c r="AO1520" s="44" t="s">
        <v>2334</v>
      </c>
      <c r="AP1520" s="43"/>
      <c r="AQ1520" s="236" t="str">
        <f>VLOOKUP(Table8[[#This Row],[Instrument]],Def_Targets!$D$73:$E$159,2,FALSE)</f>
        <v>A_Vehicletax</v>
      </c>
      <c r="AR1520" s="233" t="str">
        <f>VLOOKUP(Table8[[#This Row],[Country Code]],Table29[],3,FALSE)</f>
        <v>Annex I</v>
      </c>
      <c r="AS1520" s="233" t="str">
        <f>VLOOKUP(Table8[[#This Row],[Country Code]],Table29[],4,FALSE)</f>
        <v>Oceania</v>
      </c>
      <c r="AT1520" s="233" t="str">
        <f>VLOOKUP(Table8[[#This Row],[Country Code]],Table29[],5,FALSE)</f>
        <v>High-income</v>
      </c>
      <c r="AU1520" s="233" t="str">
        <f>VLOOKUP(Table8[[#This Row],[Country Code]],Table29[],6,FALSE)</f>
        <v>no</v>
      </c>
      <c r="AV1520" s="233" t="str">
        <f>VLOOKUP(Table8[[#This Row],[Country Code]],Table29[],7,FALSE)</f>
        <v>no</v>
      </c>
      <c r="AW1520" s="233" t="str">
        <f>VLOOKUP(Table8[[#This Row],[Country Code]],Table29[],8,FALSE)</f>
        <v>OECD</v>
      </c>
      <c r="AX1520" s="233" t="str">
        <f>VLOOKUP(Table8[[#This Row],[Country Code]],Table29[],9,FALSE)</f>
        <v>no</v>
      </c>
      <c r="AY1520" s="233" t="str">
        <f>VLOOKUP(Table8[[#This Row],[Country Code]],Table29[],10,FALSE)</f>
        <v>no</v>
      </c>
      <c r="AZ1520" s="235">
        <f>VLOOKUP(Table8[[#This Row],[Country Code]],Table29[],23,FALSE)</f>
        <v>84.209811532415003</v>
      </c>
      <c r="BA1520" s="235">
        <f>VLOOKUP(Table8[[#This Row],[Country Code]],Table29[],24,FALSE)</f>
        <v>16.240725424217811</v>
      </c>
      <c r="BB1520" s="320"/>
      <c r="BC1520" s="320"/>
    </row>
    <row r="1521" spans="1:55" ht="30" hidden="1" x14ac:dyDescent="0.25">
      <c r="A1521" s="373">
        <v>23933</v>
      </c>
      <c r="B1521" s="233" t="str">
        <f>VLOOKUP(Table8[[#This Row],[Document ID]],Table1[],2,FALSE)</f>
        <v>NZL</v>
      </c>
      <c r="C1521" s="233" t="str">
        <f>VLOOKUP(Table8[[#This Row],[Document ID]],Table1[],3,FALSE)</f>
        <v>New Zealand</v>
      </c>
      <c r="D1521" s="243" t="str">
        <f>VLOOKUP(Table8[[#This Row],[Document ID]],Table1[],5,FALSE)</f>
        <v>NDC</v>
      </c>
      <c r="E1521" s="233" t="str">
        <f>VLOOKUP(Table8[[#This Row],[Document ID]],Table1[],7,FALSE)</f>
        <v>First NDC updated</v>
      </c>
      <c r="F1521" s="233" t="str">
        <f>VLOOKUP(Table8[[#This Row],[Document ID]],Table1[],8,FALSE)</f>
        <v>NDC 1.2</v>
      </c>
      <c r="G1521" s="233" t="str">
        <f>VLOOKUP(Table8[[#This Row],[Document ID]],Table1[],10,FALSE)</f>
        <v>Archived</v>
      </c>
      <c r="H1521" s="44" t="s">
        <v>2338</v>
      </c>
      <c r="I1521" s="44" t="s">
        <v>2339</v>
      </c>
      <c r="J1521" s="44" t="s">
        <v>2410</v>
      </c>
      <c r="K1521" s="44" t="s">
        <v>3752</v>
      </c>
      <c r="L1521" s="44" t="s">
        <v>2333</v>
      </c>
      <c r="M1521" s="43">
        <v>8</v>
      </c>
      <c r="N1521" s="113"/>
      <c r="O1521" s="113"/>
      <c r="P1521" s="113"/>
      <c r="Q1521" s="113"/>
      <c r="R1521" s="113"/>
      <c r="S1521" s="113"/>
      <c r="T1521" s="113"/>
      <c r="U1521" s="113" t="s">
        <v>1113</v>
      </c>
      <c r="V1521" s="113"/>
      <c r="W1521" s="113"/>
      <c r="X1521" s="113"/>
      <c r="Y1521" s="113"/>
      <c r="Z1521" s="113"/>
      <c r="AA1521" s="113"/>
      <c r="AB1521" s="113"/>
      <c r="AC1521" s="113"/>
      <c r="AD1521" s="113"/>
      <c r="AE1521" s="113"/>
      <c r="AF1521" s="113"/>
      <c r="AG1521" s="113"/>
      <c r="AH1521" s="113"/>
      <c r="AI1521" s="113"/>
      <c r="AJ1521" s="113"/>
      <c r="AK1521" s="113" t="s">
        <v>1113</v>
      </c>
      <c r="AL1521" s="113"/>
      <c r="AM1521" s="113"/>
      <c r="AN1521" s="113"/>
      <c r="AO1521" s="44" t="s">
        <v>2334</v>
      </c>
      <c r="AP1521" s="43"/>
      <c r="AQ1521" s="236" t="str">
        <f>VLOOKUP(Table8[[#This Row],[Instrument]],Def_Targets!$D$73:$E$159,2,FALSE)</f>
        <v>I_VehicleRestrictions</v>
      </c>
      <c r="AR1521" s="233" t="str">
        <f>VLOOKUP(Table8[[#This Row],[Country Code]],Table29[],3,FALSE)</f>
        <v>Annex I</v>
      </c>
      <c r="AS1521" s="233" t="str">
        <f>VLOOKUP(Table8[[#This Row],[Country Code]],Table29[],4,FALSE)</f>
        <v>Oceania</v>
      </c>
      <c r="AT1521" s="233" t="str">
        <f>VLOOKUP(Table8[[#This Row],[Country Code]],Table29[],5,FALSE)</f>
        <v>High-income</v>
      </c>
      <c r="AU1521" s="233" t="str">
        <f>VLOOKUP(Table8[[#This Row],[Country Code]],Table29[],6,FALSE)</f>
        <v>no</v>
      </c>
      <c r="AV1521" s="233" t="str">
        <f>VLOOKUP(Table8[[#This Row],[Country Code]],Table29[],7,FALSE)</f>
        <v>no</v>
      </c>
      <c r="AW1521" s="233" t="str">
        <f>VLOOKUP(Table8[[#This Row],[Country Code]],Table29[],8,FALSE)</f>
        <v>OECD</v>
      </c>
      <c r="AX1521" s="233" t="str">
        <f>VLOOKUP(Table8[[#This Row],[Country Code]],Table29[],9,FALSE)</f>
        <v>no</v>
      </c>
      <c r="AY1521" s="233" t="str">
        <f>VLOOKUP(Table8[[#This Row],[Country Code]],Table29[],10,FALSE)</f>
        <v>no</v>
      </c>
      <c r="AZ1521" s="235">
        <f>VLOOKUP(Table8[[#This Row],[Country Code]],Table29[],23,FALSE)</f>
        <v>84.209811532415003</v>
      </c>
      <c r="BA1521" s="235">
        <f>VLOOKUP(Table8[[#This Row],[Country Code]],Table29[],24,FALSE)</f>
        <v>16.240725424217811</v>
      </c>
      <c r="BB1521" s="320"/>
      <c r="BC1521" s="320"/>
    </row>
    <row r="1522" spans="1:55" hidden="1" x14ac:dyDescent="0.25">
      <c r="A1522" s="373">
        <v>26781</v>
      </c>
      <c r="B1522" s="233" t="str">
        <f>VLOOKUP(Table8[[#This Row],[Document ID]],Table1[],2,FALSE)</f>
        <v>LUX</v>
      </c>
      <c r="C1522" s="233" t="str">
        <f>VLOOKUP(Table8[[#This Row],[Document ID]],Table1[],3,FALSE)</f>
        <v>Luxembourg</v>
      </c>
      <c r="D1522" s="243" t="str">
        <f>VLOOKUP(Table8[[#This Row],[Document ID]],Table1[],5,FALSE)</f>
        <v>LTS</v>
      </c>
      <c r="E1522" s="233" t="str">
        <f>VLOOKUP(Table8[[#This Row],[Document ID]],Table1[],7,FALSE)</f>
        <v>LTS</v>
      </c>
      <c r="F1522" s="233" t="str">
        <f>VLOOKUP(Table8[[#This Row],[Document ID]],Table1[],8,FALSE)</f>
        <v>LTS 1.0</v>
      </c>
      <c r="G1522" s="233" t="str">
        <f>VLOOKUP(Table8[[#This Row],[Document ID]],Table1[],10,FALSE)</f>
        <v>Active</v>
      </c>
      <c r="H1522" s="43" t="s">
        <v>2358</v>
      </c>
      <c r="I1522" s="43" t="s">
        <v>2359</v>
      </c>
      <c r="J1522" s="44" t="s">
        <v>2383</v>
      </c>
      <c r="K1522" s="44" t="s">
        <v>3753</v>
      </c>
      <c r="L1522" s="44" t="s">
        <v>2333</v>
      </c>
      <c r="M1522" s="43">
        <v>7</v>
      </c>
      <c r="N1522" s="113" t="s">
        <v>1113</v>
      </c>
      <c r="O1522" s="113"/>
      <c r="P1522" s="113"/>
      <c r="Q1522" s="113"/>
      <c r="R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t="s">
        <v>1113</v>
      </c>
      <c r="AL1522" s="113"/>
      <c r="AM1522" s="113"/>
      <c r="AN1522" s="113"/>
      <c r="AO1522" s="44" t="s">
        <v>2334</v>
      </c>
      <c r="AP1522" s="43"/>
      <c r="AQ1522" s="236" t="str">
        <f>VLOOKUP(Table8[[#This Row],[Instrument]],Def_Targets!$D$73:$E$159,2,FALSE)</f>
        <v>I_Emobilitycharging</v>
      </c>
      <c r="AR1522" s="233" t="str">
        <f>VLOOKUP(Table8[[#This Row],[Country Code]],Table29[],3,FALSE)</f>
        <v>Annex I</v>
      </c>
      <c r="AS1522" s="233" t="str">
        <f>VLOOKUP(Table8[[#This Row],[Country Code]],Table29[],4,FALSE)</f>
        <v>Europe</v>
      </c>
      <c r="AT1522" s="233" t="str">
        <f>VLOOKUP(Table8[[#This Row],[Country Code]],Table29[],5,FALSE)</f>
        <v>High-income</v>
      </c>
      <c r="AU1522" s="233" t="str">
        <f>VLOOKUP(Table8[[#This Row],[Country Code]],Table29[],6,FALSE)</f>
        <v>no</v>
      </c>
      <c r="AV1522" s="233" t="str">
        <f>VLOOKUP(Table8[[#This Row],[Country Code]],Table29[],7,FALSE)</f>
        <v>no</v>
      </c>
      <c r="AW1522" s="233" t="str">
        <f>VLOOKUP(Table8[[#This Row],[Country Code]],Table29[],8,FALSE)</f>
        <v>OECD</v>
      </c>
      <c r="AX1522" s="233" t="str">
        <f>VLOOKUP(Table8[[#This Row],[Country Code]],Table29[],9,FALSE)</f>
        <v>EU27</v>
      </c>
      <c r="AY1522" s="233" t="str">
        <f>VLOOKUP(Table8[[#This Row],[Country Code]],Table29[],10,FALSE)</f>
        <v>no</v>
      </c>
      <c r="AZ1522" s="235">
        <f>VLOOKUP(Table8[[#This Row],[Country Code]],Table29[],23,FALSE)</f>
        <v>7.8609330392057002</v>
      </c>
      <c r="BA1522" s="235">
        <f>VLOOKUP(Table8[[#This Row],[Country Code]],Table29[],24,FALSE)</f>
        <v>4.2423658408849461</v>
      </c>
      <c r="BB1522" s="320"/>
      <c r="BC1522" s="320"/>
    </row>
    <row r="1523" spans="1:55" ht="30" hidden="1" x14ac:dyDescent="0.25">
      <c r="A1523" s="373">
        <v>26781</v>
      </c>
      <c r="B1523" s="233" t="str">
        <f>VLOOKUP(Table8[[#This Row],[Document ID]],Table1[],2,FALSE)</f>
        <v>LUX</v>
      </c>
      <c r="C1523" s="233" t="str">
        <f>VLOOKUP(Table8[[#This Row],[Document ID]],Table1[],3,FALSE)</f>
        <v>Luxembourg</v>
      </c>
      <c r="D1523" s="243" t="str">
        <f>VLOOKUP(Table8[[#This Row],[Document ID]],Table1[],5,FALSE)</f>
        <v>LTS</v>
      </c>
      <c r="E1523" s="233" t="str">
        <f>VLOOKUP(Table8[[#This Row],[Document ID]],Table1[],7,FALSE)</f>
        <v>LTS</v>
      </c>
      <c r="F1523" s="233" t="str">
        <f>VLOOKUP(Table8[[#This Row],[Document ID]],Table1[],8,FALSE)</f>
        <v>LTS 1.0</v>
      </c>
      <c r="G1523" s="233" t="str">
        <f>VLOOKUP(Table8[[#This Row],[Document ID]],Table1[],10,FALSE)</f>
        <v>Active</v>
      </c>
      <c r="H1523" s="43" t="s">
        <v>2350</v>
      </c>
      <c r="I1523" s="43" t="s">
        <v>2351</v>
      </c>
      <c r="J1523" s="44" t="s">
        <v>2447</v>
      </c>
      <c r="K1523" s="44" t="s">
        <v>3754</v>
      </c>
      <c r="L1523" s="44" t="s">
        <v>2373</v>
      </c>
      <c r="M1523" s="43">
        <v>7</v>
      </c>
      <c r="N1523" s="113" t="s">
        <v>1113</v>
      </c>
      <c r="O1523" s="113"/>
      <c r="P1523" s="113"/>
      <c r="Q1523" s="113"/>
      <c r="R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t="s">
        <v>1113</v>
      </c>
      <c r="AL1523" s="113"/>
      <c r="AM1523" s="113"/>
      <c r="AN1523" s="113"/>
      <c r="AO1523" s="43" t="s">
        <v>2353</v>
      </c>
      <c r="AP1523" s="43"/>
      <c r="AQ1523" s="236" t="str">
        <f>VLOOKUP(Table8[[#This Row],[Instrument]],Def_Targets!$D$73:$E$159,2,FALSE)</f>
        <v>I_Freighteff</v>
      </c>
      <c r="AR1523" s="233" t="str">
        <f>VLOOKUP(Table8[[#This Row],[Country Code]],Table29[],3,FALSE)</f>
        <v>Annex I</v>
      </c>
      <c r="AS1523" s="233" t="str">
        <f>VLOOKUP(Table8[[#This Row],[Country Code]],Table29[],4,FALSE)</f>
        <v>Europe</v>
      </c>
      <c r="AT1523" s="233" t="str">
        <f>VLOOKUP(Table8[[#This Row],[Country Code]],Table29[],5,FALSE)</f>
        <v>High-income</v>
      </c>
      <c r="AU1523" s="233" t="str">
        <f>VLOOKUP(Table8[[#This Row],[Country Code]],Table29[],6,FALSE)</f>
        <v>no</v>
      </c>
      <c r="AV1523" s="233" t="str">
        <f>VLOOKUP(Table8[[#This Row],[Country Code]],Table29[],7,FALSE)</f>
        <v>no</v>
      </c>
      <c r="AW1523" s="233" t="str">
        <f>VLOOKUP(Table8[[#This Row],[Country Code]],Table29[],8,FALSE)</f>
        <v>OECD</v>
      </c>
      <c r="AX1523" s="233" t="str">
        <f>VLOOKUP(Table8[[#This Row],[Country Code]],Table29[],9,FALSE)</f>
        <v>EU27</v>
      </c>
      <c r="AY1523" s="233" t="str">
        <f>VLOOKUP(Table8[[#This Row],[Country Code]],Table29[],10,FALSE)</f>
        <v>no</v>
      </c>
      <c r="AZ1523" s="235">
        <f>VLOOKUP(Table8[[#This Row],[Country Code]],Table29[],23,FALSE)</f>
        <v>7.8609330392057002</v>
      </c>
      <c r="BA1523" s="235">
        <f>VLOOKUP(Table8[[#This Row],[Country Code]],Table29[],24,FALSE)</f>
        <v>4.2423658408849461</v>
      </c>
      <c r="BB1523" s="320"/>
      <c r="BC1523" s="320"/>
    </row>
    <row r="1524" spans="1:55" ht="45" hidden="1" x14ac:dyDescent="0.25">
      <c r="A1524" s="373">
        <v>26781</v>
      </c>
      <c r="B1524" s="233" t="str">
        <f>VLOOKUP(Table8[[#This Row],[Document ID]],Table1[],2,FALSE)</f>
        <v>LUX</v>
      </c>
      <c r="C1524" s="233" t="str">
        <f>VLOOKUP(Table8[[#This Row],[Document ID]],Table1[],3,FALSE)</f>
        <v>Luxembourg</v>
      </c>
      <c r="D1524" s="243" t="str">
        <f>VLOOKUP(Table8[[#This Row],[Document ID]],Table1[],5,FALSE)</f>
        <v>LTS</v>
      </c>
      <c r="E1524" s="233" t="str">
        <f>VLOOKUP(Table8[[#This Row],[Document ID]],Table1[],7,FALSE)</f>
        <v>LTS</v>
      </c>
      <c r="F1524" s="233" t="str">
        <f>VLOOKUP(Table8[[#This Row],[Document ID]],Table1[],8,FALSE)</f>
        <v>LTS 1.0</v>
      </c>
      <c r="G1524" s="233" t="str">
        <f>VLOOKUP(Table8[[#This Row],[Document ID]],Table1[],10,FALSE)</f>
        <v>Active</v>
      </c>
      <c r="H1524" s="43" t="s">
        <v>2343</v>
      </c>
      <c r="I1524" s="43" t="s">
        <v>2377</v>
      </c>
      <c r="J1524" s="44" t="s">
        <v>2535</v>
      </c>
      <c r="K1524" s="44" t="s">
        <v>3755</v>
      </c>
      <c r="L1524" s="44" t="s">
        <v>2333</v>
      </c>
      <c r="M1524" s="43">
        <v>66</v>
      </c>
      <c r="N1524" s="113"/>
      <c r="O1524" s="113"/>
      <c r="P1524" s="113"/>
      <c r="Q1524" s="113"/>
      <c r="R1524" s="113"/>
      <c r="S1524" s="113" t="s">
        <v>1113</v>
      </c>
      <c r="T1524" s="113"/>
      <c r="U1524" s="113"/>
      <c r="V1524" s="113"/>
      <c r="W1524" s="113"/>
      <c r="X1524" s="113"/>
      <c r="Y1524" s="113"/>
      <c r="Z1524" s="113"/>
      <c r="AA1524" s="113"/>
      <c r="AB1524" s="113"/>
      <c r="AC1524" s="113"/>
      <c r="AD1524" s="113"/>
      <c r="AE1524" s="113"/>
      <c r="AF1524" s="113"/>
      <c r="AG1524" s="113"/>
      <c r="AH1524" s="113"/>
      <c r="AI1524" s="113"/>
      <c r="AJ1524" s="113"/>
      <c r="AK1524" s="113" t="s">
        <v>1113</v>
      </c>
      <c r="AL1524" s="113"/>
      <c r="AM1524" s="113"/>
      <c r="AN1524" s="113"/>
      <c r="AO1524" s="44" t="s">
        <v>2334</v>
      </c>
      <c r="AP1524" s="43"/>
      <c r="AQ1524" s="236" t="str">
        <f>VLOOKUP(Table8[[#This Row],[Instrument]],Def_Targets!$D$73:$E$159,2,FALSE)</f>
        <v>S_Parking</v>
      </c>
      <c r="AR1524" s="233" t="str">
        <f>VLOOKUP(Table8[[#This Row],[Country Code]],Table29[],3,FALSE)</f>
        <v>Annex I</v>
      </c>
      <c r="AS1524" s="233" t="str">
        <f>VLOOKUP(Table8[[#This Row],[Country Code]],Table29[],4,FALSE)</f>
        <v>Europe</v>
      </c>
      <c r="AT1524" s="233" t="str">
        <f>VLOOKUP(Table8[[#This Row],[Country Code]],Table29[],5,FALSE)</f>
        <v>High-income</v>
      </c>
      <c r="AU1524" s="233" t="str">
        <f>VLOOKUP(Table8[[#This Row],[Country Code]],Table29[],6,FALSE)</f>
        <v>no</v>
      </c>
      <c r="AV1524" s="233" t="str">
        <f>VLOOKUP(Table8[[#This Row],[Country Code]],Table29[],7,FALSE)</f>
        <v>no</v>
      </c>
      <c r="AW1524" s="233" t="str">
        <f>VLOOKUP(Table8[[#This Row],[Country Code]],Table29[],8,FALSE)</f>
        <v>OECD</v>
      </c>
      <c r="AX1524" s="233" t="str">
        <f>VLOOKUP(Table8[[#This Row],[Country Code]],Table29[],9,FALSE)</f>
        <v>EU27</v>
      </c>
      <c r="AY1524" s="233" t="str">
        <f>VLOOKUP(Table8[[#This Row],[Country Code]],Table29[],10,FALSE)</f>
        <v>no</v>
      </c>
      <c r="AZ1524" s="235">
        <f>VLOOKUP(Table8[[#This Row],[Country Code]],Table29[],23,FALSE)</f>
        <v>7.8609330392057002</v>
      </c>
      <c r="BA1524" s="235">
        <f>VLOOKUP(Table8[[#This Row],[Country Code]],Table29[],24,FALSE)</f>
        <v>4.2423658408849461</v>
      </c>
      <c r="BB1524" s="320"/>
      <c r="BC1524" s="320"/>
    </row>
    <row r="1525" spans="1:55" ht="75" hidden="1" x14ac:dyDescent="0.25">
      <c r="A1525" s="373">
        <v>26781</v>
      </c>
      <c r="B1525" s="233" t="str">
        <f>VLOOKUP(Table8[[#This Row],[Document ID]],Table1[],2,FALSE)</f>
        <v>LUX</v>
      </c>
      <c r="C1525" s="233" t="str">
        <f>VLOOKUP(Table8[[#This Row],[Document ID]],Table1[],3,FALSE)</f>
        <v>Luxembourg</v>
      </c>
      <c r="D1525" s="243" t="str">
        <f>VLOOKUP(Table8[[#This Row],[Document ID]],Table1[],5,FALSE)</f>
        <v>LTS</v>
      </c>
      <c r="E1525" s="233" t="str">
        <f>VLOOKUP(Table8[[#This Row],[Document ID]],Table1[],7,FALSE)</f>
        <v>LTS</v>
      </c>
      <c r="F1525" s="233" t="str">
        <f>VLOOKUP(Table8[[#This Row],[Document ID]],Table1[],8,FALSE)</f>
        <v>LTS 1.0</v>
      </c>
      <c r="G1525" s="233" t="str">
        <f>VLOOKUP(Table8[[#This Row],[Document ID]],Table1[],10,FALSE)</f>
        <v>Active</v>
      </c>
      <c r="H1525" s="43" t="s">
        <v>2343</v>
      </c>
      <c r="I1525" s="43" t="s">
        <v>2386</v>
      </c>
      <c r="J1525" s="44" t="s">
        <v>2387</v>
      </c>
      <c r="K1525" s="44" t="s">
        <v>3756</v>
      </c>
      <c r="L1525" s="44" t="s">
        <v>2333</v>
      </c>
      <c r="M1525" s="43">
        <v>66</v>
      </c>
      <c r="N1525" s="113" t="s">
        <v>1113</v>
      </c>
      <c r="O1525" s="113"/>
      <c r="P1525" s="113"/>
      <c r="Q1525" s="113"/>
      <c r="R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t="s">
        <v>1113</v>
      </c>
      <c r="AL1525" s="113"/>
      <c r="AM1525" s="113"/>
      <c r="AN1525" s="113"/>
      <c r="AO1525" s="44" t="s">
        <v>2334</v>
      </c>
      <c r="AP1525" s="43"/>
      <c r="AQ1525" s="236" t="str">
        <f>VLOOKUP(Table8[[#This Row],[Instrument]],Def_Targets!$D$73:$E$159,2,FALSE)</f>
        <v>A_Procurement</v>
      </c>
      <c r="AR1525" s="233" t="str">
        <f>VLOOKUP(Table8[[#This Row],[Country Code]],Table29[],3,FALSE)</f>
        <v>Annex I</v>
      </c>
      <c r="AS1525" s="233" t="str">
        <f>VLOOKUP(Table8[[#This Row],[Country Code]],Table29[],4,FALSE)</f>
        <v>Europe</v>
      </c>
      <c r="AT1525" s="233" t="str">
        <f>VLOOKUP(Table8[[#This Row],[Country Code]],Table29[],5,FALSE)</f>
        <v>High-income</v>
      </c>
      <c r="AU1525" s="233" t="str">
        <f>VLOOKUP(Table8[[#This Row],[Country Code]],Table29[],6,FALSE)</f>
        <v>no</v>
      </c>
      <c r="AV1525" s="233" t="str">
        <f>VLOOKUP(Table8[[#This Row],[Country Code]],Table29[],7,FALSE)</f>
        <v>no</v>
      </c>
      <c r="AW1525" s="233" t="str">
        <f>VLOOKUP(Table8[[#This Row],[Country Code]],Table29[],8,FALSE)</f>
        <v>OECD</v>
      </c>
      <c r="AX1525" s="233" t="str">
        <f>VLOOKUP(Table8[[#This Row],[Country Code]],Table29[],9,FALSE)</f>
        <v>EU27</v>
      </c>
      <c r="AY1525" s="233" t="str">
        <f>VLOOKUP(Table8[[#This Row],[Country Code]],Table29[],10,FALSE)</f>
        <v>no</v>
      </c>
      <c r="AZ1525" s="235">
        <f>VLOOKUP(Table8[[#This Row],[Country Code]],Table29[],23,FALSE)</f>
        <v>7.8609330392057002</v>
      </c>
      <c r="BA1525" s="235">
        <f>VLOOKUP(Table8[[#This Row],[Country Code]],Table29[],24,FALSE)</f>
        <v>4.2423658408849461</v>
      </c>
      <c r="BB1525" s="320"/>
      <c r="BC1525" s="320"/>
    </row>
    <row r="1526" spans="1:55" ht="45" hidden="1" x14ac:dyDescent="0.25">
      <c r="A1526" s="373">
        <v>26781</v>
      </c>
      <c r="B1526" s="233" t="str">
        <f>VLOOKUP(Table8[[#This Row],[Document ID]],Table1[],2,FALSE)</f>
        <v>LUX</v>
      </c>
      <c r="C1526" s="233" t="str">
        <f>VLOOKUP(Table8[[#This Row],[Document ID]],Table1[],3,FALSE)</f>
        <v>Luxembourg</v>
      </c>
      <c r="D1526" s="243" t="str">
        <f>VLOOKUP(Table8[[#This Row],[Document ID]],Table1[],5,FALSE)</f>
        <v>LTS</v>
      </c>
      <c r="E1526" s="233" t="str">
        <f>VLOOKUP(Table8[[#This Row],[Document ID]],Table1[],7,FALSE)</f>
        <v>LTS</v>
      </c>
      <c r="F1526" s="233" t="str">
        <f>VLOOKUP(Table8[[#This Row],[Document ID]],Table1[],8,FALSE)</f>
        <v>LTS 1.0</v>
      </c>
      <c r="G1526" s="233" t="str">
        <f>VLOOKUP(Table8[[#This Row],[Document ID]],Table1[],10,FALSE)</f>
        <v>Active</v>
      </c>
      <c r="H1526" s="44" t="s">
        <v>2329</v>
      </c>
      <c r="I1526" s="44" t="s">
        <v>2330</v>
      </c>
      <c r="J1526" s="44" t="s">
        <v>2331</v>
      </c>
      <c r="K1526" s="44" t="s">
        <v>3757</v>
      </c>
      <c r="L1526" s="44" t="s">
        <v>2333</v>
      </c>
      <c r="M1526" s="43">
        <v>66</v>
      </c>
      <c r="N1526" s="113" t="s">
        <v>1113</v>
      </c>
      <c r="O1526" s="113"/>
      <c r="P1526" s="113"/>
      <c r="Q1526" s="113"/>
      <c r="R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t="s">
        <v>1113</v>
      </c>
      <c r="AL1526" s="113"/>
      <c r="AM1526" s="113"/>
      <c r="AN1526" s="113"/>
      <c r="AO1526" s="43" t="s">
        <v>2353</v>
      </c>
      <c r="AP1526" s="43"/>
      <c r="AQ1526" s="236" t="str">
        <f>VLOOKUP(Table8[[#This Row],[Instrument]],Def_Targets!$D$73:$E$159,2,FALSE)</f>
        <v>I_Altfuels</v>
      </c>
      <c r="AR1526" s="233" t="str">
        <f>VLOOKUP(Table8[[#This Row],[Country Code]],Table29[],3,FALSE)</f>
        <v>Annex I</v>
      </c>
      <c r="AS1526" s="233" t="str">
        <f>VLOOKUP(Table8[[#This Row],[Country Code]],Table29[],4,FALSE)</f>
        <v>Europe</v>
      </c>
      <c r="AT1526" s="233" t="str">
        <f>VLOOKUP(Table8[[#This Row],[Country Code]],Table29[],5,FALSE)</f>
        <v>High-income</v>
      </c>
      <c r="AU1526" s="233" t="str">
        <f>VLOOKUP(Table8[[#This Row],[Country Code]],Table29[],6,FALSE)</f>
        <v>no</v>
      </c>
      <c r="AV1526" s="233" t="str">
        <f>VLOOKUP(Table8[[#This Row],[Country Code]],Table29[],7,FALSE)</f>
        <v>no</v>
      </c>
      <c r="AW1526" s="233" t="str">
        <f>VLOOKUP(Table8[[#This Row],[Country Code]],Table29[],8,FALSE)</f>
        <v>OECD</v>
      </c>
      <c r="AX1526" s="233" t="str">
        <f>VLOOKUP(Table8[[#This Row],[Country Code]],Table29[],9,FALSE)</f>
        <v>EU27</v>
      </c>
      <c r="AY1526" s="233" t="str">
        <f>VLOOKUP(Table8[[#This Row],[Country Code]],Table29[],10,FALSE)</f>
        <v>no</v>
      </c>
      <c r="AZ1526" s="235">
        <f>VLOOKUP(Table8[[#This Row],[Country Code]],Table29[],23,FALSE)</f>
        <v>7.8609330392057002</v>
      </c>
      <c r="BA1526" s="235">
        <f>VLOOKUP(Table8[[#This Row],[Country Code]],Table29[],24,FALSE)</f>
        <v>4.2423658408849461</v>
      </c>
      <c r="BB1526" s="320"/>
      <c r="BC1526" s="320"/>
    </row>
    <row r="1527" spans="1:55" ht="30" hidden="1" x14ac:dyDescent="0.25">
      <c r="A1527" s="373">
        <v>26781</v>
      </c>
      <c r="B1527" s="233" t="str">
        <f>VLOOKUP(Table8[[#This Row],[Document ID]],Table1[],2,FALSE)</f>
        <v>LUX</v>
      </c>
      <c r="C1527" s="233" t="str">
        <f>VLOOKUP(Table8[[#This Row],[Document ID]],Table1[],3,FALSE)</f>
        <v>Luxembourg</v>
      </c>
      <c r="D1527" s="243" t="str">
        <f>VLOOKUP(Table8[[#This Row],[Document ID]],Table1[],5,FALSE)</f>
        <v>LTS</v>
      </c>
      <c r="E1527" s="233" t="str">
        <f>VLOOKUP(Table8[[#This Row],[Document ID]],Table1[],7,FALSE)</f>
        <v>LTS</v>
      </c>
      <c r="F1527" s="233" t="str">
        <f>VLOOKUP(Table8[[#This Row],[Document ID]],Table1[],8,FALSE)</f>
        <v>LTS 1.0</v>
      </c>
      <c r="G1527" s="233" t="str">
        <f>VLOOKUP(Table8[[#This Row],[Document ID]],Table1[],10,FALSE)</f>
        <v>Active</v>
      </c>
      <c r="H1527" s="44" t="s">
        <v>2329</v>
      </c>
      <c r="I1527" s="44" t="s">
        <v>2330</v>
      </c>
      <c r="J1527" s="44" t="s">
        <v>2391</v>
      </c>
      <c r="K1527" s="44" t="s">
        <v>3758</v>
      </c>
      <c r="L1527" s="44" t="s">
        <v>2333</v>
      </c>
      <c r="M1527" s="43">
        <v>66</v>
      </c>
      <c r="N1527" s="113" t="s">
        <v>1113</v>
      </c>
      <c r="O1527" s="113"/>
      <c r="P1527" s="113"/>
      <c r="Q1527" s="113"/>
      <c r="R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t="s">
        <v>1113</v>
      </c>
      <c r="AL1527" s="113"/>
      <c r="AM1527" s="113"/>
      <c r="AN1527" s="113"/>
      <c r="AO1527" s="44" t="s">
        <v>2334</v>
      </c>
      <c r="AP1527" s="43"/>
      <c r="AQ1527" s="236" t="str">
        <f>VLOOKUP(Table8[[#This Row],[Instrument]],Def_Targets!$D$73:$E$159,2,FALSE)</f>
        <v>I_Hydrogen</v>
      </c>
      <c r="AR1527" s="233" t="str">
        <f>VLOOKUP(Table8[[#This Row],[Country Code]],Table29[],3,FALSE)</f>
        <v>Annex I</v>
      </c>
      <c r="AS1527" s="233" t="str">
        <f>VLOOKUP(Table8[[#This Row],[Country Code]],Table29[],4,FALSE)</f>
        <v>Europe</v>
      </c>
      <c r="AT1527" s="233" t="str">
        <f>VLOOKUP(Table8[[#This Row],[Country Code]],Table29[],5,FALSE)</f>
        <v>High-income</v>
      </c>
      <c r="AU1527" s="233" t="str">
        <f>VLOOKUP(Table8[[#This Row],[Country Code]],Table29[],6,FALSE)</f>
        <v>no</v>
      </c>
      <c r="AV1527" s="233" t="str">
        <f>VLOOKUP(Table8[[#This Row],[Country Code]],Table29[],7,FALSE)</f>
        <v>no</v>
      </c>
      <c r="AW1527" s="233" t="str">
        <f>VLOOKUP(Table8[[#This Row],[Country Code]],Table29[],8,FALSE)</f>
        <v>OECD</v>
      </c>
      <c r="AX1527" s="233" t="str">
        <f>VLOOKUP(Table8[[#This Row],[Country Code]],Table29[],9,FALSE)</f>
        <v>EU27</v>
      </c>
      <c r="AY1527" s="233" t="str">
        <f>VLOOKUP(Table8[[#This Row],[Country Code]],Table29[],10,FALSE)</f>
        <v>no</v>
      </c>
      <c r="AZ1527" s="235">
        <f>VLOOKUP(Table8[[#This Row],[Country Code]],Table29[],23,FALSE)</f>
        <v>7.8609330392057002</v>
      </c>
      <c r="BA1527" s="235">
        <f>VLOOKUP(Table8[[#This Row],[Country Code]],Table29[],24,FALSE)</f>
        <v>4.2423658408849461</v>
      </c>
      <c r="BB1527" s="320"/>
      <c r="BC1527" s="320"/>
    </row>
    <row r="1528" spans="1:55" ht="30" hidden="1" x14ac:dyDescent="0.25">
      <c r="A1528" s="373">
        <v>26782</v>
      </c>
      <c r="B1528" s="233" t="str">
        <f>VLOOKUP(Table8[[#This Row],[Document ID]],Table1[],2,FALSE)</f>
        <v>MLT</v>
      </c>
      <c r="C1528" s="233" t="str">
        <f>VLOOKUP(Table8[[#This Row],[Document ID]],Table1[],3,FALSE)</f>
        <v>Malta</v>
      </c>
      <c r="D1528" s="243" t="str">
        <f>VLOOKUP(Table8[[#This Row],[Document ID]],Table1[],5,FALSE)</f>
        <v>LTS</v>
      </c>
      <c r="E1528" s="233" t="str">
        <f>VLOOKUP(Table8[[#This Row],[Document ID]],Table1[],7,FALSE)</f>
        <v>LTS</v>
      </c>
      <c r="F1528" s="233" t="str">
        <f>VLOOKUP(Table8[[#This Row],[Document ID]],Table1[],8,FALSE)</f>
        <v>LTS 1.0</v>
      </c>
      <c r="G1528" s="233" t="str">
        <f>VLOOKUP(Table8[[#This Row],[Document ID]],Table1[],10,FALSE)</f>
        <v>Active</v>
      </c>
      <c r="H1528" s="43" t="s">
        <v>2358</v>
      </c>
      <c r="I1528" s="43" t="s">
        <v>2359</v>
      </c>
      <c r="J1528" s="44" t="s">
        <v>2389</v>
      </c>
      <c r="K1528" s="44" t="s">
        <v>3759</v>
      </c>
      <c r="L1528" s="44" t="s">
        <v>2333</v>
      </c>
      <c r="M1528" s="43">
        <v>42</v>
      </c>
      <c r="N1528" s="113" t="s">
        <v>1113</v>
      </c>
      <c r="O1528" s="113"/>
      <c r="P1528" s="113"/>
      <c r="Q1528" s="113"/>
      <c r="R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t="s">
        <v>1113</v>
      </c>
      <c r="AL1528" s="113"/>
      <c r="AM1528" s="113"/>
      <c r="AN1528" s="113"/>
      <c r="AO1528" s="44" t="s">
        <v>2334</v>
      </c>
      <c r="AP1528" s="43"/>
      <c r="AQ1528" s="236" t="str">
        <f>VLOOKUP(Table8[[#This Row],[Instrument]],Def_Targets!$D$73:$E$159,2,FALSE)</f>
        <v>I_Emobilitypurchase</v>
      </c>
      <c r="AR1528" s="233" t="str">
        <f>VLOOKUP(Table8[[#This Row],[Country Code]],Table29[],3,FALSE)</f>
        <v>Annex I</v>
      </c>
      <c r="AS1528" s="233" t="str">
        <f>VLOOKUP(Table8[[#This Row],[Country Code]],Table29[],4,FALSE)</f>
        <v>Europe</v>
      </c>
      <c r="AT1528" s="233" t="str">
        <f>VLOOKUP(Table8[[#This Row],[Country Code]],Table29[],5,FALSE)</f>
        <v>High-income</v>
      </c>
      <c r="AU1528" s="233" t="str">
        <f>VLOOKUP(Table8[[#This Row],[Country Code]],Table29[],6,FALSE)</f>
        <v>no</v>
      </c>
      <c r="AV1528" s="233" t="str">
        <f>VLOOKUP(Table8[[#This Row],[Country Code]],Table29[],7,FALSE)</f>
        <v>no</v>
      </c>
      <c r="AW1528" s="233" t="str">
        <f>VLOOKUP(Table8[[#This Row],[Country Code]],Table29[],8,FALSE)</f>
        <v>non-OECD</v>
      </c>
      <c r="AX1528" s="233" t="str">
        <f>VLOOKUP(Table8[[#This Row],[Country Code]],Table29[],9,FALSE)</f>
        <v>EU27</v>
      </c>
      <c r="AY1528" s="233" t="str">
        <f>VLOOKUP(Table8[[#This Row],[Country Code]],Table29[],10,FALSE)</f>
        <v>no</v>
      </c>
      <c r="AZ1528" s="235">
        <f>VLOOKUP(Table8[[#This Row],[Country Code]],Table29[],23,FALSE)</f>
        <v>2.0338652584277002</v>
      </c>
      <c r="BA1528" s="235">
        <f>VLOOKUP(Table8[[#This Row],[Country Code]],Table29[],24,FALSE)</f>
        <v>0.73042728349636687</v>
      </c>
      <c r="BB1528" s="320"/>
      <c r="BC1528" s="320"/>
    </row>
    <row r="1529" spans="1:55" hidden="1" x14ac:dyDescent="0.25">
      <c r="A1529" s="373">
        <v>26782</v>
      </c>
      <c r="B1529" s="233" t="str">
        <f>VLOOKUP(Table8[[#This Row],[Document ID]],Table1[],2,FALSE)</f>
        <v>MLT</v>
      </c>
      <c r="C1529" s="233" t="str">
        <f>VLOOKUP(Table8[[#This Row],[Document ID]],Table1[],3,FALSE)</f>
        <v>Malta</v>
      </c>
      <c r="D1529" s="243" t="str">
        <f>VLOOKUP(Table8[[#This Row],[Document ID]],Table1[],5,FALSE)</f>
        <v>LTS</v>
      </c>
      <c r="E1529" s="233" t="str">
        <f>VLOOKUP(Table8[[#This Row],[Document ID]],Table1[],7,FALSE)</f>
        <v>LTS</v>
      </c>
      <c r="F1529" s="233" t="str">
        <f>VLOOKUP(Table8[[#This Row],[Document ID]],Table1[],8,FALSE)</f>
        <v>LTS 1.0</v>
      </c>
      <c r="G1529" s="233" t="str">
        <f>VLOOKUP(Table8[[#This Row],[Document ID]],Table1[],10,FALSE)</f>
        <v>Active</v>
      </c>
      <c r="H1529" s="43" t="s">
        <v>2358</v>
      </c>
      <c r="I1529" s="43" t="s">
        <v>2359</v>
      </c>
      <c r="J1529" s="44" t="s">
        <v>2383</v>
      </c>
      <c r="K1529" s="44" t="s">
        <v>3760</v>
      </c>
      <c r="L1529" s="44" t="s">
        <v>2333</v>
      </c>
      <c r="M1529" s="43">
        <v>42</v>
      </c>
      <c r="N1529" s="113" t="s">
        <v>1113</v>
      </c>
      <c r="O1529" s="113"/>
      <c r="P1529" s="113"/>
      <c r="Q1529" s="113"/>
      <c r="R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t="s">
        <v>1113</v>
      </c>
      <c r="AL1529" s="113"/>
      <c r="AM1529" s="113"/>
      <c r="AN1529" s="113"/>
      <c r="AO1529" s="44" t="s">
        <v>2334</v>
      </c>
      <c r="AP1529" s="43"/>
      <c r="AQ1529" s="236" t="str">
        <f>VLOOKUP(Table8[[#This Row],[Instrument]],Def_Targets!$D$73:$E$159,2,FALSE)</f>
        <v>I_Emobilitycharging</v>
      </c>
      <c r="AR1529" s="233" t="str">
        <f>VLOOKUP(Table8[[#This Row],[Country Code]],Table29[],3,FALSE)</f>
        <v>Annex I</v>
      </c>
      <c r="AS1529" s="233" t="str">
        <f>VLOOKUP(Table8[[#This Row],[Country Code]],Table29[],4,FALSE)</f>
        <v>Europe</v>
      </c>
      <c r="AT1529" s="233" t="str">
        <f>VLOOKUP(Table8[[#This Row],[Country Code]],Table29[],5,FALSE)</f>
        <v>High-income</v>
      </c>
      <c r="AU1529" s="233" t="str">
        <f>VLOOKUP(Table8[[#This Row],[Country Code]],Table29[],6,FALSE)</f>
        <v>no</v>
      </c>
      <c r="AV1529" s="233" t="str">
        <f>VLOOKUP(Table8[[#This Row],[Country Code]],Table29[],7,FALSE)</f>
        <v>no</v>
      </c>
      <c r="AW1529" s="233" t="str">
        <f>VLOOKUP(Table8[[#This Row],[Country Code]],Table29[],8,FALSE)</f>
        <v>non-OECD</v>
      </c>
      <c r="AX1529" s="233" t="str">
        <f>VLOOKUP(Table8[[#This Row],[Country Code]],Table29[],9,FALSE)</f>
        <v>EU27</v>
      </c>
      <c r="AY1529" s="233" t="str">
        <f>VLOOKUP(Table8[[#This Row],[Country Code]],Table29[],10,FALSE)</f>
        <v>no</v>
      </c>
      <c r="AZ1529" s="235">
        <f>VLOOKUP(Table8[[#This Row],[Country Code]],Table29[],23,FALSE)</f>
        <v>2.0338652584277002</v>
      </c>
      <c r="BA1529" s="235">
        <f>VLOOKUP(Table8[[#This Row],[Country Code]],Table29[],24,FALSE)</f>
        <v>0.73042728349636687</v>
      </c>
      <c r="BB1529" s="320"/>
      <c r="BC1529" s="320"/>
    </row>
    <row r="1530" spans="1:55" hidden="1" x14ac:dyDescent="0.25">
      <c r="A1530" s="373">
        <v>26782</v>
      </c>
      <c r="B1530" s="233" t="str">
        <f>VLOOKUP(Table8[[#This Row],[Document ID]],Table1[],2,FALSE)</f>
        <v>MLT</v>
      </c>
      <c r="C1530" s="233" t="str">
        <f>VLOOKUP(Table8[[#This Row],[Document ID]],Table1[],3,FALSE)</f>
        <v>Malta</v>
      </c>
      <c r="D1530" s="243" t="str">
        <f>VLOOKUP(Table8[[#This Row],[Document ID]],Table1[],5,FALSE)</f>
        <v>LTS</v>
      </c>
      <c r="E1530" s="233" t="str">
        <f>VLOOKUP(Table8[[#This Row],[Document ID]],Table1[],7,FALSE)</f>
        <v>LTS</v>
      </c>
      <c r="F1530" s="233" t="str">
        <f>VLOOKUP(Table8[[#This Row],[Document ID]],Table1[],8,FALSE)</f>
        <v>LTS 1.0</v>
      </c>
      <c r="G1530" s="233" t="str">
        <f>VLOOKUP(Table8[[#This Row],[Document ID]],Table1[],10,FALSE)</f>
        <v>Active</v>
      </c>
      <c r="H1530" s="43" t="s">
        <v>2343</v>
      </c>
      <c r="I1530" s="43" t="s">
        <v>2386</v>
      </c>
      <c r="J1530" s="44" t="s">
        <v>2387</v>
      </c>
      <c r="K1530" s="44" t="s">
        <v>3761</v>
      </c>
      <c r="L1530" s="44" t="s">
        <v>2333</v>
      </c>
      <c r="M1530" s="43">
        <v>42</v>
      </c>
      <c r="N1530" s="113" t="s">
        <v>1113</v>
      </c>
      <c r="O1530" s="113"/>
      <c r="P1530" s="113"/>
      <c r="Q1530" s="113"/>
      <c r="R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t="s">
        <v>1113</v>
      </c>
      <c r="AL1530" s="113"/>
      <c r="AM1530" s="113"/>
      <c r="AN1530" s="113"/>
      <c r="AO1530" s="44" t="s">
        <v>2334</v>
      </c>
      <c r="AP1530" s="43"/>
      <c r="AQ1530" s="236" t="str">
        <f>VLOOKUP(Table8[[#This Row],[Instrument]],Def_Targets!$D$73:$E$159,2,FALSE)</f>
        <v>A_Procurement</v>
      </c>
      <c r="AR1530" s="233" t="str">
        <f>VLOOKUP(Table8[[#This Row],[Country Code]],Table29[],3,FALSE)</f>
        <v>Annex I</v>
      </c>
      <c r="AS1530" s="233" t="str">
        <f>VLOOKUP(Table8[[#This Row],[Country Code]],Table29[],4,FALSE)</f>
        <v>Europe</v>
      </c>
      <c r="AT1530" s="233" t="str">
        <f>VLOOKUP(Table8[[#This Row],[Country Code]],Table29[],5,FALSE)</f>
        <v>High-income</v>
      </c>
      <c r="AU1530" s="233" t="str">
        <f>VLOOKUP(Table8[[#This Row],[Country Code]],Table29[],6,FALSE)</f>
        <v>no</v>
      </c>
      <c r="AV1530" s="233" t="str">
        <f>VLOOKUP(Table8[[#This Row],[Country Code]],Table29[],7,FALSE)</f>
        <v>no</v>
      </c>
      <c r="AW1530" s="233" t="str">
        <f>VLOOKUP(Table8[[#This Row],[Country Code]],Table29[],8,FALSE)</f>
        <v>non-OECD</v>
      </c>
      <c r="AX1530" s="233" t="str">
        <f>VLOOKUP(Table8[[#This Row],[Country Code]],Table29[],9,FALSE)</f>
        <v>EU27</v>
      </c>
      <c r="AY1530" s="233" t="str">
        <f>VLOOKUP(Table8[[#This Row],[Country Code]],Table29[],10,FALSE)</f>
        <v>no</v>
      </c>
      <c r="AZ1530" s="235">
        <f>VLOOKUP(Table8[[#This Row],[Country Code]],Table29[],23,FALSE)</f>
        <v>2.0338652584277002</v>
      </c>
      <c r="BA1530" s="235">
        <f>VLOOKUP(Table8[[#This Row],[Country Code]],Table29[],24,FALSE)</f>
        <v>0.73042728349636687</v>
      </c>
      <c r="BB1530" s="320"/>
      <c r="BC1530" s="320"/>
    </row>
    <row r="1531" spans="1:55" hidden="1" x14ac:dyDescent="0.25">
      <c r="A1531" s="373">
        <v>26782</v>
      </c>
      <c r="B1531" s="233" t="str">
        <f>VLOOKUP(Table8[[#This Row],[Document ID]],Table1[],2,FALSE)</f>
        <v>MLT</v>
      </c>
      <c r="C1531" s="233" t="str">
        <f>VLOOKUP(Table8[[#This Row],[Document ID]],Table1[],3,FALSE)</f>
        <v>Malta</v>
      </c>
      <c r="D1531" s="243" t="str">
        <f>VLOOKUP(Table8[[#This Row],[Document ID]],Table1[],5,FALSE)</f>
        <v>LTS</v>
      </c>
      <c r="E1531" s="233" t="str">
        <f>VLOOKUP(Table8[[#This Row],[Document ID]],Table1[],7,FALSE)</f>
        <v>LTS</v>
      </c>
      <c r="F1531" s="233" t="str">
        <f>VLOOKUP(Table8[[#This Row],[Document ID]],Table1[],8,FALSE)</f>
        <v>LTS 1.0</v>
      </c>
      <c r="G1531" s="233" t="str">
        <f>VLOOKUP(Table8[[#This Row],[Document ID]],Table1[],10,FALSE)</f>
        <v>Active</v>
      </c>
      <c r="H1531" s="43" t="s">
        <v>2358</v>
      </c>
      <c r="I1531" s="43" t="s">
        <v>2359</v>
      </c>
      <c r="J1531" s="44" t="s">
        <v>2360</v>
      </c>
      <c r="K1531" s="44" t="s">
        <v>3762</v>
      </c>
      <c r="L1531" s="44" t="s">
        <v>2333</v>
      </c>
      <c r="M1531" s="43">
        <v>43</v>
      </c>
      <c r="N1531" s="113"/>
      <c r="O1531" s="113"/>
      <c r="P1531" s="113"/>
      <c r="Q1531" s="113"/>
      <c r="R1531" s="113"/>
      <c r="S1531" s="113"/>
      <c r="T1531" s="113"/>
      <c r="U1531" s="113"/>
      <c r="V1531" s="113"/>
      <c r="W1531" s="113"/>
      <c r="X1531" s="113"/>
      <c r="Y1531" s="113" t="s">
        <v>1113</v>
      </c>
      <c r="Z1531" s="113"/>
      <c r="AA1531" s="113"/>
      <c r="AB1531" s="113"/>
      <c r="AC1531" s="113"/>
      <c r="AD1531" s="113"/>
      <c r="AE1531" s="113"/>
      <c r="AF1531" s="113"/>
      <c r="AG1531" s="113"/>
      <c r="AH1531" s="113"/>
      <c r="AI1531" s="113"/>
      <c r="AJ1531" s="113"/>
      <c r="AK1531" s="113" t="s">
        <v>1113</v>
      </c>
      <c r="AL1531" s="113"/>
      <c r="AM1531" s="113"/>
      <c r="AN1531" s="113"/>
      <c r="AO1531" s="43" t="s">
        <v>2348</v>
      </c>
      <c r="AP1531" s="43"/>
      <c r="AQ1531" s="236" t="str">
        <f>VLOOKUP(Table8[[#This Row],[Instrument]],Def_Targets!$D$73:$E$159,2,FALSE)</f>
        <v>I_Emobility</v>
      </c>
      <c r="AR1531" s="233" t="str">
        <f>VLOOKUP(Table8[[#This Row],[Country Code]],Table29[],3,FALSE)</f>
        <v>Annex I</v>
      </c>
      <c r="AS1531" s="233" t="str">
        <f>VLOOKUP(Table8[[#This Row],[Country Code]],Table29[],4,FALSE)</f>
        <v>Europe</v>
      </c>
      <c r="AT1531" s="233" t="str">
        <f>VLOOKUP(Table8[[#This Row],[Country Code]],Table29[],5,FALSE)</f>
        <v>High-income</v>
      </c>
      <c r="AU1531" s="233" t="str">
        <f>VLOOKUP(Table8[[#This Row],[Country Code]],Table29[],6,FALSE)</f>
        <v>no</v>
      </c>
      <c r="AV1531" s="233" t="str">
        <f>VLOOKUP(Table8[[#This Row],[Country Code]],Table29[],7,FALSE)</f>
        <v>no</v>
      </c>
      <c r="AW1531" s="233" t="str">
        <f>VLOOKUP(Table8[[#This Row],[Country Code]],Table29[],8,FALSE)</f>
        <v>non-OECD</v>
      </c>
      <c r="AX1531" s="233" t="str">
        <f>VLOOKUP(Table8[[#This Row],[Country Code]],Table29[],9,FALSE)</f>
        <v>EU27</v>
      </c>
      <c r="AY1531" s="233" t="str">
        <f>VLOOKUP(Table8[[#This Row],[Country Code]],Table29[],10,FALSE)</f>
        <v>no</v>
      </c>
      <c r="AZ1531" s="235">
        <f>VLOOKUP(Table8[[#This Row],[Country Code]],Table29[],23,FALSE)</f>
        <v>2.0338652584277002</v>
      </c>
      <c r="BA1531" s="235">
        <f>VLOOKUP(Table8[[#This Row],[Country Code]],Table29[],24,FALSE)</f>
        <v>0.73042728349636687</v>
      </c>
      <c r="BB1531" s="320"/>
      <c r="BC1531" s="320"/>
    </row>
    <row r="1532" spans="1:55" ht="45" hidden="1" x14ac:dyDescent="0.25">
      <c r="A1532" s="373">
        <v>26782</v>
      </c>
      <c r="B1532" s="233" t="str">
        <f>VLOOKUP(Table8[[#This Row],[Document ID]],Table1[],2,FALSE)</f>
        <v>MLT</v>
      </c>
      <c r="C1532" s="233" t="str">
        <f>VLOOKUP(Table8[[#This Row],[Document ID]],Table1[],3,FALSE)</f>
        <v>Malta</v>
      </c>
      <c r="D1532" s="243" t="str">
        <f>VLOOKUP(Table8[[#This Row],[Document ID]],Table1[],5,FALSE)</f>
        <v>LTS</v>
      </c>
      <c r="E1532" s="233" t="str">
        <f>VLOOKUP(Table8[[#This Row],[Document ID]],Table1[],7,FALSE)</f>
        <v>LTS</v>
      </c>
      <c r="F1532" s="233" t="str">
        <f>VLOOKUP(Table8[[#This Row],[Document ID]],Table1[],8,FALSE)</f>
        <v>LTS 1.0</v>
      </c>
      <c r="G1532" s="233" t="str">
        <f>VLOOKUP(Table8[[#This Row],[Document ID]],Table1[],10,FALSE)</f>
        <v>Active</v>
      </c>
      <c r="H1532" s="43" t="s">
        <v>2343</v>
      </c>
      <c r="I1532" s="43" t="s">
        <v>2344</v>
      </c>
      <c r="J1532" s="44" t="s">
        <v>2345</v>
      </c>
      <c r="K1532" s="44" t="s">
        <v>3763</v>
      </c>
      <c r="L1532" s="44" t="s">
        <v>2347</v>
      </c>
      <c r="M1532" s="43">
        <v>43</v>
      </c>
      <c r="N1532" s="113" t="s">
        <v>1113</v>
      </c>
      <c r="O1532" s="113"/>
      <c r="P1532" s="113"/>
      <c r="Q1532" s="113"/>
      <c r="R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t="s">
        <v>1113</v>
      </c>
      <c r="AL1532" s="113"/>
      <c r="AM1532" s="113"/>
      <c r="AN1532" s="113"/>
      <c r="AO1532" s="43" t="s">
        <v>2348</v>
      </c>
      <c r="AP1532" s="43"/>
      <c r="AQ1532" s="236" t="str">
        <f>VLOOKUP(Table8[[#This Row],[Instrument]],Def_Targets!$D$73:$E$159,2,FALSE)</f>
        <v>S_PublicTransport</v>
      </c>
      <c r="AR1532" s="233" t="str">
        <f>VLOOKUP(Table8[[#This Row],[Country Code]],Table29[],3,FALSE)</f>
        <v>Annex I</v>
      </c>
      <c r="AS1532" s="233" t="str">
        <f>VLOOKUP(Table8[[#This Row],[Country Code]],Table29[],4,FALSE)</f>
        <v>Europe</v>
      </c>
      <c r="AT1532" s="233" t="str">
        <f>VLOOKUP(Table8[[#This Row],[Country Code]],Table29[],5,FALSE)</f>
        <v>High-income</v>
      </c>
      <c r="AU1532" s="233" t="str">
        <f>VLOOKUP(Table8[[#This Row],[Country Code]],Table29[],6,FALSE)</f>
        <v>no</v>
      </c>
      <c r="AV1532" s="233" t="str">
        <f>VLOOKUP(Table8[[#This Row],[Country Code]],Table29[],7,FALSE)</f>
        <v>no</v>
      </c>
      <c r="AW1532" s="233" t="str">
        <f>VLOOKUP(Table8[[#This Row],[Country Code]],Table29[],8,FALSE)</f>
        <v>non-OECD</v>
      </c>
      <c r="AX1532" s="233" t="str">
        <f>VLOOKUP(Table8[[#This Row],[Country Code]],Table29[],9,FALSE)</f>
        <v>EU27</v>
      </c>
      <c r="AY1532" s="233" t="str">
        <f>VLOOKUP(Table8[[#This Row],[Country Code]],Table29[],10,FALSE)</f>
        <v>no</v>
      </c>
      <c r="AZ1532" s="235">
        <f>VLOOKUP(Table8[[#This Row],[Country Code]],Table29[],23,FALSE)</f>
        <v>2.0338652584277002</v>
      </c>
      <c r="BA1532" s="235">
        <f>VLOOKUP(Table8[[#This Row],[Country Code]],Table29[],24,FALSE)</f>
        <v>0.73042728349636687</v>
      </c>
      <c r="BB1532" s="320"/>
      <c r="BC1532" s="320"/>
    </row>
    <row r="1533" spans="1:55" ht="30" hidden="1" x14ac:dyDescent="0.25">
      <c r="A1533" s="373">
        <v>26782</v>
      </c>
      <c r="B1533" s="233" t="str">
        <f>VLOOKUP(Table8[[#This Row],[Document ID]],Table1[],2,FALSE)</f>
        <v>MLT</v>
      </c>
      <c r="C1533" s="233" t="str">
        <f>VLOOKUP(Table8[[#This Row],[Document ID]],Table1[],3,FALSE)</f>
        <v>Malta</v>
      </c>
      <c r="D1533" s="243" t="str">
        <f>VLOOKUP(Table8[[#This Row],[Document ID]],Table1[],5,FALSE)</f>
        <v>LTS</v>
      </c>
      <c r="E1533" s="233" t="str">
        <f>VLOOKUP(Table8[[#This Row],[Document ID]],Table1[],7,FALSE)</f>
        <v>LTS</v>
      </c>
      <c r="F1533" s="233" t="str">
        <f>VLOOKUP(Table8[[#This Row],[Document ID]],Table1[],8,FALSE)</f>
        <v>LTS 1.0</v>
      </c>
      <c r="G1533" s="233" t="str">
        <f>VLOOKUP(Table8[[#This Row],[Document ID]],Table1[],10,FALSE)</f>
        <v>Active</v>
      </c>
      <c r="H1533" s="43" t="s">
        <v>2343</v>
      </c>
      <c r="I1533" s="43" t="s">
        <v>2361</v>
      </c>
      <c r="J1533" s="44" t="s">
        <v>2366</v>
      </c>
      <c r="K1533" s="44" t="s">
        <v>3764</v>
      </c>
      <c r="L1533" s="44" t="s">
        <v>2347</v>
      </c>
      <c r="M1533" s="43">
        <v>43</v>
      </c>
      <c r="N1533" s="113"/>
      <c r="O1533" s="113"/>
      <c r="P1533" s="113" t="s">
        <v>1113</v>
      </c>
      <c r="Q1533" s="113" t="s">
        <v>1113</v>
      </c>
      <c r="R1533" s="113" t="s">
        <v>1113</v>
      </c>
      <c r="S1533" s="113"/>
      <c r="T1533" s="113"/>
      <c r="U1533" s="113"/>
      <c r="V1533" s="113"/>
      <c r="W1533" s="113"/>
      <c r="X1533" s="113"/>
      <c r="Y1533" s="113"/>
      <c r="Z1533" s="113"/>
      <c r="AA1533" s="113"/>
      <c r="AB1533" s="113"/>
      <c r="AC1533" s="113"/>
      <c r="AD1533" s="113"/>
      <c r="AE1533" s="113"/>
      <c r="AF1533" s="113"/>
      <c r="AG1533" s="113"/>
      <c r="AH1533" s="113"/>
      <c r="AI1533" s="113"/>
      <c r="AJ1533" s="113"/>
      <c r="AK1533" s="113" t="s">
        <v>1113</v>
      </c>
      <c r="AL1533" s="113"/>
      <c r="AM1533" s="113"/>
      <c r="AN1533" s="113"/>
      <c r="AO1533" s="44" t="s">
        <v>2334</v>
      </c>
      <c r="AP1533" s="43"/>
      <c r="AQ1533" s="236" t="str">
        <f>VLOOKUP(Table8[[#This Row],[Instrument]],Def_Targets!$D$73:$E$159,2,FALSE)</f>
        <v>S_Activemobility</v>
      </c>
      <c r="AR1533" s="233" t="str">
        <f>VLOOKUP(Table8[[#This Row],[Country Code]],Table29[],3,FALSE)</f>
        <v>Annex I</v>
      </c>
      <c r="AS1533" s="233" t="str">
        <f>VLOOKUP(Table8[[#This Row],[Country Code]],Table29[],4,FALSE)</f>
        <v>Europe</v>
      </c>
      <c r="AT1533" s="233" t="str">
        <f>VLOOKUP(Table8[[#This Row],[Country Code]],Table29[],5,FALSE)</f>
        <v>High-income</v>
      </c>
      <c r="AU1533" s="233" t="str">
        <f>VLOOKUP(Table8[[#This Row],[Country Code]],Table29[],6,FALSE)</f>
        <v>no</v>
      </c>
      <c r="AV1533" s="233" t="str">
        <f>VLOOKUP(Table8[[#This Row],[Country Code]],Table29[],7,FALSE)</f>
        <v>no</v>
      </c>
      <c r="AW1533" s="233" t="str">
        <f>VLOOKUP(Table8[[#This Row],[Country Code]],Table29[],8,FALSE)</f>
        <v>non-OECD</v>
      </c>
      <c r="AX1533" s="233" t="str">
        <f>VLOOKUP(Table8[[#This Row],[Country Code]],Table29[],9,FALSE)</f>
        <v>EU27</v>
      </c>
      <c r="AY1533" s="233" t="str">
        <f>VLOOKUP(Table8[[#This Row],[Country Code]],Table29[],10,FALSE)</f>
        <v>no</v>
      </c>
      <c r="AZ1533" s="235">
        <f>VLOOKUP(Table8[[#This Row],[Country Code]],Table29[],23,FALSE)</f>
        <v>2.0338652584277002</v>
      </c>
      <c r="BA1533" s="235">
        <f>VLOOKUP(Table8[[#This Row],[Country Code]],Table29[],24,FALSE)</f>
        <v>0.73042728349636687</v>
      </c>
      <c r="BB1533" s="320"/>
      <c r="BC1533" s="320"/>
    </row>
    <row r="1534" spans="1:55" ht="45" hidden="1" x14ac:dyDescent="0.25">
      <c r="A1534" s="373">
        <v>26782</v>
      </c>
      <c r="B1534" s="233" t="str">
        <f>VLOOKUP(Table8[[#This Row],[Document ID]],Table1[],2,FALSE)</f>
        <v>MLT</v>
      </c>
      <c r="C1534" s="233" t="str">
        <f>VLOOKUP(Table8[[#This Row],[Document ID]],Table1[],3,FALSE)</f>
        <v>Malta</v>
      </c>
      <c r="D1534" s="243" t="str">
        <f>VLOOKUP(Table8[[#This Row],[Document ID]],Table1[],5,FALSE)</f>
        <v>LTS</v>
      </c>
      <c r="E1534" s="233" t="str">
        <f>VLOOKUP(Table8[[#This Row],[Document ID]],Table1[],7,FALSE)</f>
        <v>LTS</v>
      </c>
      <c r="F1534" s="233" t="str">
        <f>VLOOKUP(Table8[[#This Row],[Document ID]],Table1[],8,FALSE)</f>
        <v>LTS 1.0</v>
      </c>
      <c r="G1534" s="233" t="str">
        <f>VLOOKUP(Table8[[#This Row],[Document ID]],Table1[],10,FALSE)</f>
        <v>Active</v>
      </c>
      <c r="H1534" s="43" t="s">
        <v>2343</v>
      </c>
      <c r="I1534" s="43" t="s">
        <v>2377</v>
      </c>
      <c r="J1534" s="44" t="s">
        <v>2378</v>
      </c>
      <c r="K1534" s="44" t="s">
        <v>3765</v>
      </c>
      <c r="L1534" s="44" t="s">
        <v>2380</v>
      </c>
      <c r="M1534" s="43">
        <v>43</v>
      </c>
      <c r="N1534" s="113" t="s">
        <v>1113</v>
      </c>
      <c r="O1534" s="113"/>
      <c r="P1534" s="113"/>
      <c r="Q1534" s="113"/>
      <c r="R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t="s">
        <v>1113</v>
      </c>
      <c r="AL1534" s="113"/>
      <c r="AM1534" s="113"/>
      <c r="AN1534" s="113"/>
      <c r="AO1534" s="44" t="s">
        <v>2334</v>
      </c>
      <c r="AP1534" s="43"/>
      <c r="AQ1534" s="236" t="str">
        <f>VLOOKUP(Table8[[#This Row],[Instrument]],Def_Targets!$D$73:$E$159,2,FALSE)</f>
        <v>A_Commute</v>
      </c>
      <c r="AR1534" s="233" t="str">
        <f>VLOOKUP(Table8[[#This Row],[Country Code]],Table29[],3,FALSE)</f>
        <v>Annex I</v>
      </c>
      <c r="AS1534" s="233" t="str">
        <f>VLOOKUP(Table8[[#This Row],[Country Code]],Table29[],4,FALSE)</f>
        <v>Europe</v>
      </c>
      <c r="AT1534" s="233" t="str">
        <f>VLOOKUP(Table8[[#This Row],[Country Code]],Table29[],5,FALSE)</f>
        <v>High-income</v>
      </c>
      <c r="AU1534" s="233" t="str">
        <f>VLOOKUP(Table8[[#This Row],[Country Code]],Table29[],6,FALSE)</f>
        <v>no</v>
      </c>
      <c r="AV1534" s="233" t="str">
        <f>VLOOKUP(Table8[[#This Row],[Country Code]],Table29[],7,FALSE)</f>
        <v>no</v>
      </c>
      <c r="AW1534" s="233" t="str">
        <f>VLOOKUP(Table8[[#This Row],[Country Code]],Table29[],8,FALSE)</f>
        <v>non-OECD</v>
      </c>
      <c r="AX1534" s="233" t="str">
        <f>VLOOKUP(Table8[[#This Row],[Country Code]],Table29[],9,FALSE)</f>
        <v>EU27</v>
      </c>
      <c r="AY1534" s="233" t="str">
        <f>VLOOKUP(Table8[[#This Row],[Country Code]],Table29[],10,FALSE)</f>
        <v>no</v>
      </c>
      <c r="AZ1534" s="235">
        <f>VLOOKUP(Table8[[#This Row],[Country Code]],Table29[],23,FALSE)</f>
        <v>2.0338652584277002</v>
      </c>
      <c r="BA1534" s="235">
        <f>VLOOKUP(Table8[[#This Row],[Country Code]],Table29[],24,FALSE)</f>
        <v>0.73042728349636687</v>
      </c>
      <c r="BB1534" s="320"/>
      <c r="BC1534" s="320"/>
    </row>
    <row r="1535" spans="1:55" ht="30" hidden="1" x14ac:dyDescent="0.25">
      <c r="A1535" s="373">
        <v>26782</v>
      </c>
      <c r="B1535" s="233" t="str">
        <f>VLOOKUP(Table8[[#This Row],[Document ID]],Table1[],2,FALSE)</f>
        <v>MLT</v>
      </c>
      <c r="C1535" s="233" t="str">
        <f>VLOOKUP(Table8[[#This Row],[Document ID]],Table1[],3,FALSE)</f>
        <v>Malta</v>
      </c>
      <c r="D1535" s="243" t="str">
        <f>VLOOKUP(Table8[[#This Row],[Document ID]],Table1[],5,FALSE)</f>
        <v>LTS</v>
      </c>
      <c r="E1535" s="233" t="str">
        <f>VLOOKUP(Table8[[#This Row],[Document ID]],Table1[],7,FALSE)</f>
        <v>LTS</v>
      </c>
      <c r="F1535" s="233" t="str">
        <f>VLOOKUP(Table8[[#This Row],[Document ID]],Table1[],8,FALSE)</f>
        <v>LTS 1.0</v>
      </c>
      <c r="G1535" s="233" t="str">
        <f>VLOOKUP(Table8[[#This Row],[Document ID]],Table1[],10,FALSE)</f>
        <v>Active</v>
      </c>
      <c r="H1535" s="43" t="s">
        <v>2358</v>
      </c>
      <c r="I1535" s="43" t="s">
        <v>2359</v>
      </c>
      <c r="J1535" s="44" t="s">
        <v>2360</v>
      </c>
      <c r="K1535" s="44" t="s">
        <v>3766</v>
      </c>
      <c r="L1535" s="44" t="s">
        <v>2333</v>
      </c>
      <c r="M1535" s="43">
        <v>46</v>
      </c>
      <c r="N1535" s="113"/>
      <c r="O1535" s="113"/>
      <c r="P1535" s="113"/>
      <c r="Q1535" s="113"/>
      <c r="R1535" s="113"/>
      <c r="S1535" s="113"/>
      <c r="T1535" s="113"/>
      <c r="U1535" s="113"/>
      <c r="V1535" s="113"/>
      <c r="W1535" s="113"/>
      <c r="X1535" s="113" t="s">
        <v>1113</v>
      </c>
      <c r="Y1535" s="113"/>
      <c r="Z1535" s="113"/>
      <c r="AA1535" s="113"/>
      <c r="AB1535" s="113"/>
      <c r="AC1535" s="113"/>
      <c r="AD1535" s="113"/>
      <c r="AE1535" s="113"/>
      <c r="AF1535" s="113"/>
      <c r="AG1535" s="113"/>
      <c r="AH1535" s="113"/>
      <c r="AI1535" s="113"/>
      <c r="AJ1535" s="113"/>
      <c r="AK1535" s="113" t="s">
        <v>1113</v>
      </c>
      <c r="AL1535" s="113"/>
      <c r="AM1535" s="113"/>
      <c r="AN1535" s="113"/>
      <c r="AO1535" s="43" t="s">
        <v>2353</v>
      </c>
      <c r="AP1535" s="43"/>
      <c r="AQ1535" s="236" t="str">
        <f>VLOOKUP(Table8[[#This Row],[Instrument]],Def_Targets!$D$73:$E$159,2,FALSE)</f>
        <v>I_Emobility</v>
      </c>
      <c r="AR1535" s="233" t="str">
        <f>VLOOKUP(Table8[[#This Row],[Country Code]],Table29[],3,FALSE)</f>
        <v>Annex I</v>
      </c>
      <c r="AS1535" s="233" t="str">
        <f>VLOOKUP(Table8[[#This Row],[Country Code]],Table29[],4,FALSE)</f>
        <v>Europe</v>
      </c>
      <c r="AT1535" s="233" t="str">
        <f>VLOOKUP(Table8[[#This Row],[Country Code]],Table29[],5,FALSE)</f>
        <v>High-income</v>
      </c>
      <c r="AU1535" s="233" t="str">
        <f>VLOOKUP(Table8[[#This Row],[Country Code]],Table29[],6,FALSE)</f>
        <v>no</v>
      </c>
      <c r="AV1535" s="233" t="str">
        <f>VLOOKUP(Table8[[#This Row],[Country Code]],Table29[],7,FALSE)</f>
        <v>no</v>
      </c>
      <c r="AW1535" s="233" t="str">
        <f>VLOOKUP(Table8[[#This Row],[Country Code]],Table29[],8,FALSE)</f>
        <v>non-OECD</v>
      </c>
      <c r="AX1535" s="233" t="str">
        <f>VLOOKUP(Table8[[#This Row],[Country Code]],Table29[],9,FALSE)</f>
        <v>EU27</v>
      </c>
      <c r="AY1535" s="233" t="str">
        <f>VLOOKUP(Table8[[#This Row],[Country Code]],Table29[],10,FALSE)</f>
        <v>no</v>
      </c>
      <c r="AZ1535" s="235">
        <f>VLOOKUP(Table8[[#This Row],[Country Code]],Table29[],23,FALSE)</f>
        <v>2.0338652584277002</v>
      </c>
      <c r="BA1535" s="235">
        <f>VLOOKUP(Table8[[#This Row],[Country Code]],Table29[],24,FALSE)</f>
        <v>0.73042728349636687</v>
      </c>
      <c r="BB1535" s="320"/>
      <c r="BC1535" s="320"/>
    </row>
    <row r="1536" spans="1:55" hidden="1" x14ac:dyDescent="0.25">
      <c r="A1536" s="373">
        <v>17657</v>
      </c>
      <c r="B1536" s="233" t="str">
        <f>VLOOKUP(Table8[[#This Row],[Document ID]],Table1[],2,FALSE)</f>
        <v>MHL</v>
      </c>
      <c r="C1536" s="233" t="str">
        <f>VLOOKUP(Table8[[#This Row],[Document ID]],Table1[],3,FALSE)</f>
        <v>Marshall Islands</v>
      </c>
      <c r="D1536" s="243" t="str">
        <f>VLOOKUP(Table8[[#This Row],[Document ID]],Table1[],5,FALSE)</f>
        <v>LTS</v>
      </c>
      <c r="E1536" s="233" t="str">
        <f>VLOOKUP(Table8[[#This Row],[Document ID]],Table1[],7,FALSE)</f>
        <v>LTS</v>
      </c>
      <c r="F1536" s="233" t="str">
        <f>VLOOKUP(Table8[[#This Row],[Document ID]],Table1[],8,FALSE)</f>
        <v>LTS 1.0</v>
      </c>
      <c r="G1536" s="233" t="str">
        <f>VLOOKUP(Table8[[#This Row],[Document ID]],Table1[],10,FALSE)</f>
        <v>Active</v>
      </c>
      <c r="H1536" s="44" t="s">
        <v>2338</v>
      </c>
      <c r="I1536" s="44" t="s">
        <v>2339</v>
      </c>
      <c r="J1536" s="44" t="s">
        <v>2340</v>
      </c>
      <c r="K1536" s="44" t="s">
        <v>3767</v>
      </c>
      <c r="L1536" s="44" t="s">
        <v>2333</v>
      </c>
      <c r="M1536" s="43">
        <v>38</v>
      </c>
      <c r="N1536" s="113"/>
      <c r="O1536" s="113"/>
      <c r="P1536" s="113"/>
      <c r="Q1536" s="113"/>
      <c r="R1536" s="113"/>
      <c r="S1536" s="113"/>
      <c r="T1536" s="113"/>
      <c r="U1536" s="113"/>
      <c r="V1536" s="113"/>
      <c r="W1536" s="113"/>
      <c r="X1536" s="113"/>
      <c r="Y1536" s="113"/>
      <c r="Z1536" s="113"/>
      <c r="AA1536" s="113"/>
      <c r="AB1536" s="113"/>
      <c r="AC1536" s="113"/>
      <c r="AD1536" s="113" t="s">
        <v>1113</v>
      </c>
      <c r="AE1536" s="113"/>
      <c r="AF1536" s="113"/>
      <c r="AG1536" s="113"/>
      <c r="AH1536" s="113"/>
      <c r="AI1536" s="113"/>
      <c r="AJ1536" s="113"/>
      <c r="AK1536" s="113"/>
      <c r="AL1536" s="113"/>
      <c r="AM1536" s="113" t="s">
        <v>1113</v>
      </c>
      <c r="AN1536" s="113"/>
      <c r="AO1536" s="44" t="s">
        <v>2334</v>
      </c>
      <c r="AP1536" s="43"/>
      <c r="AQ1536" s="236" t="str">
        <f>VLOOKUP(Table8[[#This Row],[Instrument]],Def_Targets!$D$73:$E$159,2,FALSE)</f>
        <v>I_Vehicleimprove</v>
      </c>
      <c r="AR1536" s="233" t="str">
        <f>VLOOKUP(Table8[[#This Row],[Country Code]],Table29[],3,FALSE)</f>
        <v>Non-Annex I</v>
      </c>
      <c r="AS1536" s="233" t="str">
        <f>VLOOKUP(Table8[[#This Row],[Country Code]],Table29[],4,FALSE)</f>
        <v>Oceania</v>
      </c>
      <c r="AT1536" s="233" t="str">
        <f>VLOOKUP(Table8[[#This Row],[Country Code]],Table29[],5,FALSE)</f>
        <v>Middle-income</v>
      </c>
      <c r="AU1536" s="233" t="str">
        <f>VLOOKUP(Table8[[#This Row],[Country Code]],Table29[],6,FALSE)</f>
        <v>no</v>
      </c>
      <c r="AV1536" s="233" t="str">
        <f>VLOOKUP(Table8[[#This Row],[Country Code]],Table29[],7,FALSE)</f>
        <v>no</v>
      </c>
      <c r="AW1536" s="233" t="str">
        <f>VLOOKUP(Table8[[#This Row],[Country Code]],Table29[],8,FALSE)</f>
        <v>non-OECD</v>
      </c>
      <c r="AX1536" s="233" t="str">
        <f>VLOOKUP(Table8[[#This Row],[Country Code]],Table29[],9,FALSE)</f>
        <v>no</v>
      </c>
      <c r="AY1536" s="233" t="str">
        <f>VLOOKUP(Table8[[#This Row],[Country Code]],Table29[],10,FALSE)</f>
        <v>no</v>
      </c>
      <c r="AZ1536" s="235">
        <f>VLOOKUP(Table8[[#This Row],[Country Code]],Table29[],23,FALSE)</f>
        <v>0</v>
      </c>
      <c r="BA1536" s="235">
        <f>VLOOKUP(Table8[[#This Row],[Country Code]],Table29[],24,FALSE)</f>
        <v>0</v>
      </c>
      <c r="BB1536" s="320"/>
      <c r="BC1536" s="320"/>
    </row>
    <row r="1537" spans="1:55" ht="30" hidden="1" x14ac:dyDescent="0.25">
      <c r="A1537" s="373">
        <v>17657</v>
      </c>
      <c r="B1537" s="233" t="str">
        <f>VLOOKUP(Table8[[#This Row],[Document ID]],Table1[],2,FALSE)</f>
        <v>MHL</v>
      </c>
      <c r="C1537" s="233" t="str">
        <f>VLOOKUP(Table8[[#This Row],[Document ID]],Table1[],3,FALSE)</f>
        <v>Marshall Islands</v>
      </c>
      <c r="D1537" s="243" t="str">
        <f>VLOOKUP(Table8[[#This Row],[Document ID]],Table1[],5,FALSE)</f>
        <v>LTS</v>
      </c>
      <c r="E1537" s="233" t="str">
        <f>VLOOKUP(Table8[[#This Row],[Document ID]],Table1[],7,FALSE)</f>
        <v>LTS</v>
      </c>
      <c r="F1537" s="233" t="str">
        <f>VLOOKUP(Table8[[#This Row],[Document ID]],Table1[],8,FALSE)</f>
        <v>LTS 1.0</v>
      </c>
      <c r="G1537" s="233" t="str">
        <f>VLOOKUP(Table8[[#This Row],[Document ID]],Table1[],10,FALSE)</f>
        <v>Active</v>
      </c>
      <c r="H1537" s="43" t="s">
        <v>2358</v>
      </c>
      <c r="I1537" s="43" t="s">
        <v>2359</v>
      </c>
      <c r="J1537" s="44" t="s">
        <v>2360</v>
      </c>
      <c r="K1537" s="44" t="s">
        <v>3768</v>
      </c>
      <c r="L1537" s="44" t="s">
        <v>2333</v>
      </c>
      <c r="M1537" s="43">
        <v>26</v>
      </c>
      <c r="N1537" s="113" t="s">
        <v>1113</v>
      </c>
      <c r="O1537" s="113"/>
      <c r="P1537" s="113"/>
      <c r="Q1537" s="113"/>
      <c r="R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319" t="s">
        <v>1113</v>
      </c>
      <c r="AL1537" s="113"/>
      <c r="AM1537" s="113"/>
      <c r="AN1537" s="113"/>
      <c r="AO1537" s="44" t="s">
        <v>2334</v>
      </c>
      <c r="AP1537" s="43"/>
      <c r="AQ1537" s="236" t="str">
        <f>VLOOKUP(Table8[[#This Row],[Instrument]],Def_Targets!$D$73:$E$159,2,FALSE)</f>
        <v>I_Emobility</v>
      </c>
      <c r="AR1537" s="233" t="str">
        <f>VLOOKUP(Table8[[#This Row],[Country Code]],Table29[],3,FALSE)</f>
        <v>Non-Annex I</v>
      </c>
      <c r="AS1537" s="233" t="str">
        <f>VLOOKUP(Table8[[#This Row],[Country Code]],Table29[],4,FALSE)</f>
        <v>Oceania</v>
      </c>
      <c r="AT1537" s="233" t="str">
        <f>VLOOKUP(Table8[[#This Row],[Country Code]],Table29[],5,FALSE)</f>
        <v>Middle-income</v>
      </c>
      <c r="AU1537" s="233" t="str">
        <f>VLOOKUP(Table8[[#This Row],[Country Code]],Table29[],6,FALSE)</f>
        <v>no</v>
      </c>
      <c r="AV1537" s="233" t="str">
        <f>VLOOKUP(Table8[[#This Row],[Country Code]],Table29[],7,FALSE)</f>
        <v>no</v>
      </c>
      <c r="AW1537" s="233" t="str">
        <f>VLOOKUP(Table8[[#This Row],[Country Code]],Table29[],8,FALSE)</f>
        <v>non-OECD</v>
      </c>
      <c r="AX1537" s="233" t="str">
        <f>VLOOKUP(Table8[[#This Row],[Country Code]],Table29[],9,FALSE)</f>
        <v>no</v>
      </c>
      <c r="AY1537" s="233" t="str">
        <f>VLOOKUP(Table8[[#This Row],[Country Code]],Table29[],10,FALSE)</f>
        <v>no</v>
      </c>
      <c r="AZ1537" s="235">
        <f>VLOOKUP(Table8[[#This Row],[Country Code]],Table29[],23,FALSE)</f>
        <v>0</v>
      </c>
      <c r="BA1537" s="235">
        <f>VLOOKUP(Table8[[#This Row],[Country Code]],Table29[],24,FALSE)</f>
        <v>0</v>
      </c>
      <c r="BB1537" s="320"/>
      <c r="BC1537" s="320"/>
    </row>
    <row r="1538" spans="1:55" hidden="1" x14ac:dyDescent="0.25">
      <c r="A1538" s="373">
        <v>17657</v>
      </c>
      <c r="B1538" s="233" t="str">
        <f>VLOOKUP(Table8[[#This Row],[Document ID]],Table1[],2,FALSE)</f>
        <v>MHL</v>
      </c>
      <c r="C1538" s="233" t="str">
        <f>VLOOKUP(Table8[[#This Row],[Document ID]],Table1[],3,FALSE)</f>
        <v>Marshall Islands</v>
      </c>
      <c r="D1538" s="243" t="str">
        <f>VLOOKUP(Table8[[#This Row],[Document ID]],Table1[],5,FALSE)</f>
        <v>LTS</v>
      </c>
      <c r="E1538" s="233" t="str">
        <f>VLOOKUP(Table8[[#This Row],[Document ID]],Table1[],7,FALSE)</f>
        <v>LTS</v>
      </c>
      <c r="F1538" s="233" t="str">
        <f>VLOOKUP(Table8[[#This Row],[Document ID]],Table1[],8,FALSE)</f>
        <v>LTS 1.0</v>
      </c>
      <c r="G1538" s="233" t="str">
        <f>VLOOKUP(Table8[[#This Row],[Document ID]],Table1[],10,FALSE)</f>
        <v>Active</v>
      </c>
      <c r="H1538" s="43" t="s">
        <v>2358</v>
      </c>
      <c r="I1538" s="43" t="s">
        <v>2359</v>
      </c>
      <c r="J1538" s="44" t="s">
        <v>2389</v>
      </c>
      <c r="K1538" s="44" t="s">
        <v>3769</v>
      </c>
      <c r="L1538" s="44" t="s">
        <v>2333</v>
      </c>
      <c r="M1538" s="43">
        <v>35</v>
      </c>
      <c r="N1538" s="113" t="s">
        <v>1113</v>
      </c>
      <c r="O1538" s="113"/>
      <c r="P1538" s="113"/>
      <c r="Q1538" s="113"/>
      <c r="R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319" t="s">
        <v>1113</v>
      </c>
      <c r="AL1538" s="113"/>
      <c r="AM1538" s="113"/>
      <c r="AN1538" s="113"/>
      <c r="AO1538" s="44" t="s">
        <v>2334</v>
      </c>
      <c r="AP1538" s="43"/>
      <c r="AQ1538" s="236" t="str">
        <f>VLOOKUP(Table8[[#This Row],[Instrument]],Def_Targets!$D$73:$E$159,2,FALSE)</f>
        <v>I_Emobilitypurchase</v>
      </c>
      <c r="AR1538" s="233" t="str">
        <f>VLOOKUP(Table8[[#This Row],[Country Code]],Table29[],3,FALSE)</f>
        <v>Non-Annex I</v>
      </c>
      <c r="AS1538" s="233" t="str">
        <f>VLOOKUP(Table8[[#This Row],[Country Code]],Table29[],4,FALSE)</f>
        <v>Oceania</v>
      </c>
      <c r="AT1538" s="233" t="str">
        <f>VLOOKUP(Table8[[#This Row],[Country Code]],Table29[],5,FALSE)</f>
        <v>Middle-income</v>
      </c>
      <c r="AU1538" s="233" t="str">
        <f>VLOOKUP(Table8[[#This Row],[Country Code]],Table29[],6,FALSE)</f>
        <v>no</v>
      </c>
      <c r="AV1538" s="233" t="str">
        <f>VLOOKUP(Table8[[#This Row],[Country Code]],Table29[],7,FALSE)</f>
        <v>no</v>
      </c>
      <c r="AW1538" s="233" t="str">
        <f>VLOOKUP(Table8[[#This Row],[Country Code]],Table29[],8,FALSE)</f>
        <v>non-OECD</v>
      </c>
      <c r="AX1538" s="233" t="str">
        <f>VLOOKUP(Table8[[#This Row],[Country Code]],Table29[],9,FALSE)</f>
        <v>no</v>
      </c>
      <c r="AY1538" s="233" t="str">
        <f>VLOOKUP(Table8[[#This Row],[Country Code]],Table29[],10,FALSE)</f>
        <v>no</v>
      </c>
      <c r="AZ1538" s="235">
        <f>VLOOKUP(Table8[[#This Row],[Country Code]],Table29[],23,FALSE)</f>
        <v>0</v>
      </c>
      <c r="BA1538" s="235">
        <f>VLOOKUP(Table8[[#This Row],[Country Code]],Table29[],24,FALSE)</f>
        <v>0</v>
      </c>
      <c r="BB1538" s="320"/>
      <c r="BC1538" s="320"/>
    </row>
    <row r="1539" spans="1:55" ht="45" hidden="1" x14ac:dyDescent="0.25">
      <c r="A1539" s="373">
        <v>17681</v>
      </c>
      <c r="B1539" s="233" t="str">
        <f>VLOOKUP(Table8[[#This Row],[Document ID]],Table1[],2,FALSE)</f>
        <v>NIC</v>
      </c>
      <c r="C1539" s="233" t="str">
        <f>VLOOKUP(Table8[[#This Row],[Document ID]],Table1[],3,FALSE)</f>
        <v>Nicaragua</v>
      </c>
      <c r="D1539" s="243" t="str">
        <f>VLOOKUP(Table8[[#This Row],[Document ID]],Table1[],5,FALSE)</f>
        <v>NDC</v>
      </c>
      <c r="E1539" s="233" t="str">
        <f>VLOOKUP(Table8[[#This Row],[Document ID]],Table1[],7,FALSE)</f>
        <v>First NDC</v>
      </c>
      <c r="F1539" s="236" t="str">
        <f>VLOOKUP(Table8[[#This Row],[Document ID]],Table1[],8,FALSE)</f>
        <v>NDC 1.0</v>
      </c>
      <c r="G1539" s="236" t="str">
        <f>VLOOKUP(Table8[[#This Row],[Document ID]],Table1[],10,FALSE)</f>
        <v>Archived</v>
      </c>
      <c r="H1539" s="43" t="s">
        <v>2343</v>
      </c>
      <c r="I1539" s="43" t="s">
        <v>2344</v>
      </c>
      <c r="J1539" s="44" t="s">
        <v>2345</v>
      </c>
      <c r="K1539" s="44" t="s">
        <v>3770</v>
      </c>
      <c r="L1539" s="44" t="s">
        <v>2347</v>
      </c>
      <c r="M1539" s="43"/>
      <c r="N1539" s="113" t="s">
        <v>1113</v>
      </c>
      <c r="O1539" s="113"/>
      <c r="P1539" s="113"/>
      <c r="Q1539" s="113"/>
      <c r="R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319"/>
      <c r="AL1539" s="113" t="s">
        <v>1113</v>
      </c>
      <c r="AM1539" s="319"/>
      <c r="AN1539" s="319"/>
      <c r="AO1539" s="43" t="s">
        <v>2348</v>
      </c>
      <c r="AP1539" s="44"/>
      <c r="AQ1539" s="236" t="str">
        <f>VLOOKUP(Table8[[#This Row],[Instrument]],Def_Targets!$D$73:$E$159,2,FALSE)</f>
        <v>S_PublicTransport</v>
      </c>
      <c r="AR1539" s="233" t="str">
        <f>VLOOKUP(Table8[[#This Row],[Country Code]],Table29[],3,FALSE)</f>
        <v>Non-Annex I</v>
      </c>
      <c r="AS1539" s="233" t="str">
        <f>VLOOKUP(Table8[[#This Row],[Country Code]],Table29[],4,FALSE)</f>
        <v>Latin America and the Caribbean</v>
      </c>
      <c r="AT1539" s="233" t="str">
        <f>VLOOKUP(Table8[[#This Row],[Country Code]],Table29[],5,FALSE)</f>
        <v>Middle-income</v>
      </c>
      <c r="AU1539" s="233" t="str">
        <f>VLOOKUP(Table8[[#This Row],[Country Code]],Table29[],6,FALSE)</f>
        <v>no</v>
      </c>
      <c r="AV1539" s="233" t="str">
        <f>VLOOKUP(Table8[[#This Row],[Country Code]],Table29[],7,FALSE)</f>
        <v>no</v>
      </c>
      <c r="AW1539" s="233" t="str">
        <f>VLOOKUP(Table8[[#This Row],[Country Code]],Table29[],8,FALSE)</f>
        <v>non-OECD</v>
      </c>
      <c r="AX1539" s="233" t="str">
        <f>VLOOKUP(Table8[[#This Row],[Country Code]],Table29[],9,FALSE)</f>
        <v>no</v>
      </c>
      <c r="AY1539" s="233" t="str">
        <f>VLOOKUP(Table8[[#This Row],[Country Code]],Table29[],10,FALSE)</f>
        <v>no</v>
      </c>
      <c r="AZ1539" s="235">
        <f>VLOOKUP(Table8[[#This Row],[Country Code]],Table29[],23,FALSE)</f>
        <v>20.628271187746002</v>
      </c>
      <c r="BA1539" s="235">
        <f>VLOOKUP(Table8[[#This Row],[Country Code]],Table29[],24,FALSE)</f>
        <v>2.7684154135495191</v>
      </c>
      <c r="BB1539" s="320"/>
      <c r="BC1539" s="320"/>
    </row>
    <row r="1540" spans="1:55" ht="75" hidden="1" x14ac:dyDescent="0.25">
      <c r="A1540" s="373">
        <v>17682</v>
      </c>
      <c r="B1540" s="233" t="str">
        <f>VLOOKUP(Table8[[#This Row],[Document ID]],Table1[],2,FALSE)</f>
        <v>NIC</v>
      </c>
      <c r="C1540" s="233" t="str">
        <f>VLOOKUP(Table8[[#This Row],[Document ID]],Table1[],3,FALSE)</f>
        <v>Nicaragua</v>
      </c>
      <c r="D1540" s="243" t="str">
        <f>VLOOKUP(Table8[[#This Row],[Document ID]],Table1[],5,FALSE)</f>
        <v>NDC</v>
      </c>
      <c r="E1540" s="233" t="str">
        <f>VLOOKUP(Table8[[#This Row],[Document ID]],Table1[],7,FALSE)</f>
        <v>First NDC updated</v>
      </c>
      <c r="F1540" s="233" t="str">
        <f>VLOOKUP(Table8[[#This Row],[Document ID]],Table1[],8,FALSE)</f>
        <v>NDC 1.1</v>
      </c>
      <c r="G1540" s="233" t="str">
        <f>VLOOKUP(Table8[[#This Row],[Document ID]],Table1[],10,FALSE)</f>
        <v>Active</v>
      </c>
      <c r="H1540" s="43" t="s">
        <v>2343</v>
      </c>
      <c r="I1540" s="43" t="s">
        <v>2344</v>
      </c>
      <c r="J1540" s="44" t="s">
        <v>2345</v>
      </c>
      <c r="K1540" s="44" t="s">
        <v>3771</v>
      </c>
      <c r="L1540" s="44" t="s">
        <v>2396</v>
      </c>
      <c r="M1540" s="43">
        <v>16</v>
      </c>
      <c r="N1540" s="113" t="s">
        <v>1113</v>
      </c>
      <c r="O1540" s="113"/>
      <c r="P1540" s="113"/>
      <c r="Q1540" s="113"/>
      <c r="R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t="s">
        <v>1113</v>
      </c>
      <c r="AM1540" s="113"/>
      <c r="AN1540" s="113"/>
      <c r="AO1540" s="43" t="s">
        <v>2348</v>
      </c>
      <c r="AP1540" s="43"/>
      <c r="AQ1540" s="236" t="str">
        <f>VLOOKUP(Table8[[#This Row],[Instrument]],Def_Targets!$D$73:$E$159,2,FALSE)</f>
        <v>S_PublicTransport</v>
      </c>
      <c r="AR1540" s="233" t="str">
        <f>VLOOKUP(Table8[[#This Row],[Country Code]],Table29[],3,FALSE)</f>
        <v>Non-Annex I</v>
      </c>
      <c r="AS1540" s="233" t="str">
        <f>VLOOKUP(Table8[[#This Row],[Country Code]],Table29[],4,FALSE)</f>
        <v>Latin America and the Caribbean</v>
      </c>
      <c r="AT1540" s="233" t="str">
        <f>VLOOKUP(Table8[[#This Row],[Country Code]],Table29[],5,FALSE)</f>
        <v>Middle-income</v>
      </c>
      <c r="AU1540" s="233" t="str">
        <f>VLOOKUP(Table8[[#This Row],[Country Code]],Table29[],6,FALSE)</f>
        <v>no</v>
      </c>
      <c r="AV1540" s="233" t="str">
        <f>VLOOKUP(Table8[[#This Row],[Country Code]],Table29[],7,FALSE)</f>
        <v>no</v>
      </c>
      <c r="AW1540" s="233" t="str">
        <f>VLOOKUP(Table8[[#This Row],[Country Code]],Table29[],8,FALSE)</f>
        <v>non-OECD</v>
      </c>
      <c r="AX1540" s="233" t="str">
        <f>VLOOKUP(Table8[[#This Row],[Country Code]],Table29[],9,FALSE)</f>
        <v>no</v>
      </c>
      <c r="AY1540" s="233" t="str">
        <f>VLOOKUP(Table8[[#This Row],[Country Code]],Table29[],10,FALSE)</f>
        <v>no</v>
      </c>
      <c r="AZ1540" s="235">
        <f>VLOOKUP(Table8[[#This Row],[Country Code]],Table29[],23,FALSE)</f>
        <v>20.628271187746002</v>
      </c>
      <c r="BA1540" s="235">
        <f>VLOOKUP(Table8[[#This Row],[Country Code]],Table29[],24,FALSE)</f>
        <v>2.7684154135495191</v>
      </c>
      <c r="BB1540" s="320"/>
      <c r="BC1540" s="320"/>
    </row>
    <row r="1541" spans="1:55" ht="75" hidden="1" x14ac:dyDescent="0.25">
      <c r="A1541" s="373">
        <v>17682</v>
      </c>
      <c r="B1541" s="233" t="str">
        <f>VLOOKUP(Table8[[#This Row],[Document ID]],Table1[],2,FALSE)</f>
        <v>NIC</v>
      </c>
      <c r="C1541" s="233" t="str">
        <f>VLOOKUP(Table8[[#This Row],[Document ID]],Table1[],3,FALSE)</f>
        <v>Nicaragua</v>
      </c>
      <c r="D1541" s="243" t="str">
        <f>VLOOKUP(Table8[[#This Row],[Document ID]],Table1[],5,FALSE)</f>
        <v>NDC</v>
      </c>
      <c r="E1541" s="233" t="str">
        <f>VLOOKUP(Table8[[#This Row],[Document ID]],Table1[],7,FALSE)</f>
        <v>First NDC updated</v>
      </c>
      <c r="F1541" s="233" t="str">
        <f>VLOOKUP(Table8[[#This Row],[Document ID]],Table1[],8,FALSE)</f>
        <v>NDC 1.1</v>
      </c>
      <c r="G1541" s="233" t="str">
        <f>VLOOKUP(Table8[[#This Row],[Document ID]],Table1[],10,FALSE)</f>
        <v>Active</v>
      </c>
      <c r="H1541" s="43" t="s">
        <v>2350</v>
      </c>
      <c r="I1541" s="43" t="s">
        <v>2370</v>
      </c>
      <c r="J1541" s="44" t="s">
        <v>2371</v>
      </c>
      <c r="K1541" s="44" t="s">
        <v>3771</v>
      </c>
      <c r="L1541" s="44" t="s">
        <v>2380</v>
      </c>
      <c r="M1541" s="43">
        <v>16</v>
      </c>
      <c r="N1541" s="113" t="s">
        <v>1113</v>
      </c>
      <c r="O1541" s="113"/>
      <c r="P1541" s="113"/>
      <c r="Q1541" s="113"/>
      <c r="R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t="s">
        <v>1113</v>
      </c>
      <c r="AM1541" s="113"/>
      <c r="AN1541" s="113"/>
      <c r="AO1541" s="43" t="s">
        <v>2348</v>
      </c>
      <c r="AP1541" s="43"/>
      <c r="AQ1541" s="236" t="str">
        <f>VLOOKUP(Table8[[#This Row],[Instrument]],Def_Targets!$D$73:$E$159,2,FALSE)</f>
        <v>A_Natmobplan</v>
      </c>
      <c r="AR1541" s="233" t="str">
        <f>VLOOKUP(Table8[[#This Row],[Country Code]],Table29[],3,FALSE)</f>
        <v>Non-Annex I</v>
      </c>
      <c r="AS1541" s="233" t="str">
        <f>VLOOKUP(Table8[[#This Row],[Country Code]],Table29[],4,FALSE)</f>
        <v>Latin America and the Caribbean</v>
      </c>
      <c r="AT1541" s="233" t="str">
        <f>VLOOKUP(Table8[[#This Row],[Country Code]],Table29[],5,FALSE)</f>
        <v>Middle-income</v>
      </c>
      <c r="AU1541" s="233" t="str">
        <f>VLOOKUP(Table8[[#This Row],[Country Code]],Table29[],6,FALSE)</f>
        <v>no</v>
      </c>
      <c r="AV1541" s="233" t="str">
        <f>VLOOKUP(Table8[[#This Row],[Country Code]],Table29[],7,FALSE)</f>
        <v>no</v>
      </c>
      <c r="AW1541" s="233" t="str">
        <f>VLOOKUP(Table8[[#This Row],[Country Code]],Table29[],8,FALSE)</f>
        <v>non-OECD</v>
      </c>
      <c r="AX1541" s="233" t="str">
        <f>VLOOKUP(Table8[[#This Row],[Country Code]],Table29[],9,FALSE)</f>
        <v>no</v>
      </c>
      <c r="AY1541" s="233" t="str">
        <f>VLOOKUP(Table8[[#This Row],[Country Code]],Table29[],10,FALSE)</f>
        <v>no</v>
      </c>
      <c r="AZ1541" s="235">
        <f>VLOOKUP(Table8[[#This Row],[Country Code]],Table29[],23,FALSE)</f>
        <v>20.628271187746002</v>
      </c>
      <c r="BA1541" s="235">
        <f>VLOOKUP(Table8[[#This Row],[Country Code]],Table29[],24,FALSE)</f>
        <v>2.7684154135495191</v>
      </c>
      <c r="BB1541" s="320"/>
      <c r="BC1541" s="320"/>
    </row>
    <row r="1542" spans="1:55" ht="30" hidden="1" x14ac:dyDescent="0.25">
      <c r="A1542" s="373">
        <v>17682</v>
      </c>
      <c r="B1542" s="233" t="str">
        <f>VLOOKUP(Table8[[#This Row],[Document ID]],Table1[],2,FALSE)</f>
        <v>NIC</v>
      </c>
      <c r="C1542" s="233" t="str">
        <f>VLOOKUP(Table8[[#This Row],[Document ID]],Table1[],3,FALSE)</f>
        <v>Nicaragua</v>
      </c>
      <c r="D1542" s="243" t="str">
        <f>VLOOKUP(Table8[[#This Row],[Document ID]],Table1[],5,FALSE)</f>
        <v>NDC</v>
      </c>
      <c r="E1542" s="233" t="str">
        <f>VLOOKUP(Table8[[#This Row],[Document ID]],Table1[],7,FALSE)</f>
        <v>First NDC updated</v>
      </c>
      <c r="F1542" s="233" t="str">
        <f>VLOOKUP(Table8[[#This Row],[Document ID]],Table1[],8,FALSE)</f>
        <v>NDC 1.1</v>
      </c>
      <c r="G1542" s="233" t="str">
        <f>VLOOKUP(Table8[[#This Row],[Document ID]],Table1[],10,FALSE)</f>
        <v>Active</v>
      </c>
      <c r="H1542" s="44" t="s">
        <v>2329</v>
      </c>
      <c r="I1542" s="44" t="s">
        <v>2330</v>
      </c>
      <c r="J1542" s="44" t="s">
        <v>2381</v>
      </c>
      <c r="K1542" s="44" t="s">
        <v>3772</v>
      </c>
      <c r="L1542" s="44" t="s">
        <v>2333</v>
      </c>
      <c r="M1542" s="43">
        <v>57</v>
      </c>
      <c r="N1542" s="113" t="s">
        <v>1113</v>
      </c>
      <c r="O1542" s="113"/>
      <c r="P1542" s="113"/>
      <c r="Q1542" s="113"/>
      <c r="R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319" t="s">
        <v>1113</v>
      </c>
      <c r="AL1542" s="113"/>
      <c r="AM1542" s="113"/>
      <c r="AN1542" s="113"/>
      <c r="AO1542" s="44" t="s">
        <v>2334</v>
      </c>
      <c r="AP1542" s="43"/>
      <c r="AQ1542" s="236" t="str">
        <f>VLOOKUP(Table8[[#This Row],[Instrument]],Def_Targets!$D$73:$E$159,2,FALSE)</f>
        <v>I_RE</v>
      </c>
      <c r="AR1542" s="233" t="str">
        <f>VLOOKUP(Table8[[#This Row],[Country Code]],Table29[],3,FALSE)</f>
        <v>Non-Annex I</v>
      </c>
      <c r="AS1542" s="233" t="str">
        <f>VLOOKUP(Table8[[#This Row],[Country Code]],Table29[],4,FALSE)</f>
        <v>Latin America and the Caribbean</v>
      </c>
      <c r="AT1542" s="233" t="str">
        <f>VLOOKUP(Table8[[#This Row],[Country Code]],Table29[],5,FALSE)</f>
        <v>Middle-income</v>
      </c>
      <c r="AU1542" s="233" t="str">
        <f>VLOOKUP(Table8[[#This Row],[Country Code]],Table29[],6,FALSE)</f>
        <v>no</v>
      </c>
      <c r="AV1542" s="233" t="str">
        <f>VLOOKUP(Table8[[#This Row],[Country Code]],Table29[],7,FALSE)</f>
        <v>no</v>
      </c>
      <c r="AW1542" s="233" t="str">
        <f>VLOOKUP(Table8[[#This Row],[Country Code]],Table29[],8,FALSE)</f>
        <v>non-OECD</v>
      </c>
      <c r="AX1542" s="233" t="str">
        <f>VLOOKUP(Table8[[#This Row],[Country Code]],Table29[],9,FALSE)</f>
        <v>no</v>
      </c>
      <c r="AY1542" s="233" t="str">
        <f>VLOOKUP(Table8[[#This Row],[Country Code]],Table29[],10,FALSE)</f>
        <v>no</v>
      </c>
      <c r="AZ1542" s="235">
        <f>VLOOKUP(Table8[[#This Row],[Country Code]],Table29[],23,FALSE)</f>
        <v>20.628271187746002</v>
      </c>
      <c r="BA1542" s="235">
        <f>VLOOKUP(Table8[[#This Row],[Country Code]],Table29[],24,FALSE)</f>
        <v>2.7684154135495191</v>
      </c>
      <c r="BB1542" s="320"/>
      <c r="BC1542" s="320"/>
    </row>
    <row r="1543" spans="1:55" hidden="1" x14ac:dyDescent="0.25">
      <c r="A1543" s="373">
        <v>17682</v>
      </c>
      <c r="B1543" s="233" t="str">
        <f>VLOOKUP(Table8[[#This Row],[Document ID]],Table1[],2,FALSE)</f>
        <v>NIC</v>
      </c>
      <c r="C1543" s="233" t="str">
        <f>VLOOKUP(Table8[[#This Row],[Document ID]],Table1[],3,FALSE)</f>
        <v>Nicaragua</v>
      </c>
      <c r="D1543" s="243" t="str">
        <f>VLOOKUP(Table8[[#This Row],[Document ID]],Table1[],5,FALSE)</f>
        <v>NDC</v>
      </c>
      <c r="E1543" s="233" t="str">
        <f>VLOOKUP(Table8[[#This Row],[Document ID]],Table1[],7,FALSE)</f>
        <v>First NDC updated</v>
      </c>
      <c r="F1543" s="233" t="str">
        <f>VLOOKUP(Table8[[#This Row],[Document ID]],Table1[],8,FALSE)</f>
        <v>NDC 1.1</v>
      </c>
      <c r="G1543" s="233" t="str">
        <f>VLOOKUP(Table8[[#This Row],[Document ID]],Table1[],10,FALSE)</f>
        <v>Active</v>
      </c>
      <c r="H1543" s="43" t="s">
        <v>2358</v>
      </c>
      <c r="I1543" s="43" t="s">
        <v>2359</v>
      </c>
      <c r="J1543" s="44" t="s">
        <v>2360</v>
      </c>
      <c r="K1543" s="44" t="s">
        <v>3773</v>
      </c>
      <c r="L1543" s="44" t="s">
        <v>2333</v>
      </c>
      <c r="M1543" s="43">
        <v>55</v>
      </c>
      <c r="N1543" s="113" t="s">
        <v>1113</v>
      </c>
      <c r="O1543" s="113"/>
      <c r="P1543" s="113"/>
      <c r="Q1543" s="319"/>
      <c r="R1543" s="319"/>
      <c r="S1543" s="319"/>
      <c r="T1543" s="319"/>
      <c r="U1543" s="319"/>
      <c r="V1543" s="319"/>
      <c r="W1543" s="319"/>
      <c r="X1543" s="319"/>
      <c r="Y1543" s="319"/>
      <c r="Z1543" s="319"/>
      <c r="AA1543" s="319"/>
      <c r="AB1543" s="319"/>
      <c r="AC1543" s="319"/>
      <c r="AD1543" s="319"/>
      <c r="AE1543" s="319"/>
      <c r="AF1543" s="319"/>
      <c r="AG1543" s="319"/>
      <c r="AH1543" s="319"/>
      <c r="AI1543" s="319"/>
      <c r="AJ1543" s="319"/>
      <c r="AK1543" s="113"/>
      <c r="AL1543" s="113" t="s">
        <v>1113</v>
      </c>
      <c r="AM1543" s="113"/>
      <c r="AN1543" s="113"/>
      <c r="AO1543" s="43" t="s">
        <v>2348</v>
      </c>
      <c r="AP1543" s="43"/>
      <c r="AQ1543" s="236" t="str">
        <f>VLOOKUP(Table8[[#This Row],[Instrument]],Def_Targets!$D$73:$E$159,2,FALSE)</f>
        <v>I_Emobility</v>
      </c>
      <c r="AR1543" s="233" t="str">
        <f>VLOOKUP(Table8[[#This Row],[Country Code]],Table29[],3,FALSE)</f>
        <v>Non-Annex I</v>
      </c>
      <c r="AS1543" s="233" t="str">
        <f>VLOOKUP(Table8[[#This Row],[Country Code]],Table29[],4,FALSE)</f>
        <v>Latin America and the Caribbean</v>
      </c>
      <c r="AT1543" s="233" t="str">
        <f>VLOOKUP(Table8[[#This Row],[Country Code]],Table29[],5,FALSE)</f>
        <v>Middle-income</v>
      </c>
      <c r="AU1543" s="233" t="str">
        <f>VLOOKUP(Table8[[#This Row],[Country Code]],Table29[],6,FALSE)</f>
        <v>no</v>
      </c>
      <c r="AV1543" s="233" t="str">
        <f>VLOOKUP(Table8[[#This Row],[Country Code]],Table29[],7,FALSE)</f>
        <v>no</v>
      </c>
      <c r="AW1543" s="233" t="str">
        <f>VLOOKUP(Table8[[#This Row],[Country Code]],Table29[],8,FALSE)</f>
        <v>non-OECD</v>
      </c>
      <c r="AX1543" s="233" t="str">
        <f>VLOOKUP(Table8[[#This Row],[Country Code]],Table29[],9,FALSE)</f>
        <v>no</v>
      </c>
      <c r="AY1543" s="233" t="str">
        <f>VLOOKUP(Table8[[#This Row],[Country Code]],Table29[],10,FALSE)</f>
        <v>no</v>
      </c>
      <c r="AZ1543" s="235">
        <f>VLOOKUP(Table8[[#This Row],[Country Code]],Table29[],23,FALSE)</f>
        <v>20.628271187746002</v>
      </c>
      <c r="BA1543" s="235">
        <f>VLOOKUP(Table8[[#This Row],[Country Code]],Table29[],24,FALSE)</f>
        <v>2.7684154135495191</v>
      </c>
      <c r="BB1543" s="320"/>
      <c r="BC1543" s="320"/>
    </row>
    <row r="1544" spans="1:55" hidden="1" x14ac:dyDescent="0.25">
      <c r="A1544" s="373">
        <v>17683</v>
      </c>
      <c r="B1544" s="233" t="str">
        <f>VLOOKUP(Table8[[#This Row],[Document ID]],Table1[],2,FALSE)</f>
        <v>NER</v>
      </c>
      <c r="C1544" s="233" t="str">
        <f>VLOOKUP(Table8[[#This Row],[Document ID]],Table1[],3,FALSE)</f>
        <v>Niger</v>
      </c>
      <c r="D1544" s="243" t="str">
        <f>VLOOKUP(Table8[[#This Row],[Document ID]],Table1[],5,FALSE)</f>
        <v>NDC</v>
      </c>
      <c r="E1544" s="233" t="str">
        <f>VLOOKUP(Table8[[#This Row],[Document ID]],Table1[],7,FALSE)</f>
        <v>First NDC</v>
      </c>
      <c r="F1544" s="236" t="str">
        <f>VLOOKUP(Table8[[#This Row],[Document ID]],Table1[],8,FALSE)</f>
        <v>NDC 1.0</v>
      </c>
      <c r="G1544" s="236" t="str">
        <f>VLOOKUP(Table8[[#This Row],[Document ID]],Table1[],10,FALSE)</f>
        <v>Archived</v>
      </c>
      <c r="H1544" s="44" t="s">
        <v>2338</v>
      </c>
      <c r="I1544" s="44" t="s">
        <v>2339</v>
      </c>
      <c r="J1544" s="44" t="s">
        <v>2340</v>
      </c>
      <c r="K1544" s="44" t="s">
        <v>3774</v>
      </c>
      <c r="L1544" s="44" t="s">
        <v>2333</v>
      </c>
      <c r="M1544" s="43"/>
      <c r="N1544" s="113" t="s">
        <v>1113</v>
      </c>
      <c r="O1544" s="113"/>
      <c r="P1544" s="113"/>
      <c r="Q1544" s="319"/>
      <c r="R1544" s="319"/>
      <c r="S1544" s="319"/>
      <c r="T1544" s="319"/>
      <c r="U1544" s="319"/>
      <c r="V1544" s="319"/>
      <c r="W1544" s="319"/>
      <c r="X1544" s="319"/>
      <c r="Y1544" s="319"/>
      <c r="Z1544" s="319"/>
      <c r="AA1544" s="319"/>
      <c r="AB1544" s="319"/>
      <c r="AC1544" s="319"/>
      <c r="AD1544" s="319"/>
      <c r="AE1544" s="319"/>
      <c r="AF1544" s="319"/>
      <c r="AG1544" s="319"/>
      <c r="AH1544" s="319"/>
      <c r="AI1544" s="319"/>
      <c r="AJ1544" s="319"/>
      <c r="AK1544" s="319" t="s">
        <v>1113</v>
      </c>
      <c r="AL1544" s="319"/>
      <c r="AM1544" s="319"/>
      <c r="AN1544" s="319"/>
      <c r="AO1544" s="44" t="s">
        <v>2334</v>
      </c>
      <c r="AP1544" s="44"/>
      <c r="AQ1544" s="236" t="str">
        <f>VLOOKUP(Table8[[#This Row],[Instrument]],Def_Targets!$D$73:$E$159,2,FALSE)</f>
        <v>I_Vehicleimprove</v>
      </c>
      <c r="AR1544" s="233" t="str">
        <f>VLOOKUP(Table8[[#This Row],[Country Code]],Table29[],3,FALSE)</f>
        <v>Non-Annex I</v>
      </c>
      <c r="AS1544" s="233" t="str">
        <f>VLOOKUP(Table8[[#This Row],[Country Code]],Table29[],4,FALSE)</f>
        <v>Africa</v>
      </c>
      <c r="AT1544" s="233" t="str">
        <f>VLOOKUP(Table8[[#This Row],[Country Code]],Table29[],5,FALSE)</f>
        <v>Low-income</v>
      </c>
      <c r="AU1544" s="233" t="str">
        <f>VLOOKUP(Table8[[#This Row],[Country Code]],Table29[],6,FALSE)</f>
        <v>no</v>
      </c>
      <c r="AV1544" s="233" t="str">
        <f>VLOOKUP(Table8[[#This Row],[Country Code]],Table29[],7,FALSE)</f>
        <v>no</v>
      </c>
      <c r="AW1544" s="233" t="str">
        <f>VLOOKUP(Table8[[#This Row],[Country Code]],Table29[],8,FALSE)</f>
        <v>non-OECD</v>
      </c>
      <c r="AX1544" s="233" t="str">
        <f>VLOOKUP(Table8[[#This Row],[Country Code]],Table29[],9,FALSE)</f>
        <v>no</v>
      </c>
      <c r="AY1544" s="233" t="str">
        <f>VLOOKUP(Table8[[#This Row],[Country Code]],Table29[],10,FALSE)</f>
        <v>no</v>
      </c>
      <c r="AZ1544" s="235">
        <f>VLOOKUP(Table8[[#This Row],[Country Code]],Table29[],23,FALSE)</f>
        <v>42.334092053638997</v>
      </c>
      <c r="BA1544" s="235">
        <f>VLOOKUP(Table8[[#This Row],[Country Code]],Table29[],24,FALSE)</f>
        <v>1.2904826169822099</v>
      </c>
      <c r="BB1544" s="320"/>
      <c r="BC1544" s="320"/>
    </row>
    <row r="1545" spans="1:55" hidden="1" x14ac:dyDescent="0.25">
      <c r="A1545" s="360">
        <v>24790</v>
      </c>
      <c r="B1545" s="233" t="str">
        <f>VLOOKUP(Table8[[#This Row],[Document ID]],Table1[],2,FALSE)</f>
        <v>NER</v>
      </c>
      <c r="C1545" s="233" t="str">
        <f>VLOOKUP(Table8[[#This Row],[Document ID]],Table1[],3,FALSE)</f>
        <v>Niger</v>
      </c>
      <c r="D1545" s="233" t="str">
        <f>VLOOKUP(Table8[[#This Row],[Document ID]],Table1[],5,FALSE)</f>
        <v>NDC</v>
      </c>
      <c r="E1545" s="233" t="str">
        <f>VLOOKUP(Table8[[#This Row],[Document ID]],Table1[],7,FALSE)</f>
        <v>First NDC updated</v>
      </c>
      <c r="F1545" s="233" t="str">
        <f>VLOOKUP(Table8[[#This Row],[Document ID]],Table1[],8,FALSE)</f>
        <v>NDC 1.1</v>
      </c>
      <c r="G1545" s="233" t="str">
        <f>VLOOKUP(Table8[[#This Row],[Document ID]],Table1[],10,FALSE)</f>
        <v>Active</v>
      </c>
      <c r="H1545" s="44" t="s">
        <v>2338</v>
      </c>
      <c r="I1545" s="44" t="s">
        <v>2339</v>
      </c>
      <c r="J1545" s="44" t="s">
        <v>2340</v>
      </c>
      <c r="K1545" s="44" t="s">
        <v>3775</v>
      </c>
      <c r="L1545" s="44" t="s">
        <v>2333</v>
      </c>
      <c r="M1545" s="43">
        <v>16</v>
      </c>
      <c r="N1545" s="113"/>
      <c r="O1545" s="113"/>
      <c r="P1545" s="113"/>
      <c r="Q1545" s="113"/>
      <c r="R1545" s="113"/>
      <c r="S1545" s="113" t="s">
        <v>1113</v>
      </c>
      <c r="T1545" s="113"/>
      <c r="U1545" s="113"/>
      <c r="V1545" s="113"/>
      <c r="W1545" s="113"/>
      <c r="X1545" s="113"/>
      <c r="Y1545" s="113"/>
      <c r="Z1545" s="113"/>
      <c r="AA1545" s="113"/>
      <c r="AB1545" s="113"/>
      <c r="AC1545" s="113"/>
      <c r="AD1545" s="113"/>
      <c r="AE1545" s="113"/>
      <c r="AF1545" s="113"/>
      <c r="AG1545" s="113"/>
      <c r="AH1545" s="113"/>
      <c r="AI1545" s="113"/>
      <c r="AJ1545" s="113"/>
      <c r="AK1545" s="113" t="s">
        <v>1113</v>
      </c>
      <c r="AL1545" s="113"/>
      <c r="AM1545" s="113"/>
      <c r="AN1545" s="113"/>
      <c r="AO1545" s="44" t="s">
        <v>2334</v>
      </c>
      <c r="AP1545" s="43"/>
      <c r="AQ1545" s="236" t="str">
        <f>VLOOKUP(Table8[[#This Row],[Instrument]],Def_Targets!$D$73:$E$159,2,FALSE)</f>
        <v>I_Vehicleimprove</v>
      </c>
      <c r="AR1545" s="233" t="str">
        <f>VLOOKUP(Table8[[#This Row],[Country Code]],Table29[],3,FALSE)</f>
        <v>Non-Annex I</v>
      </c>
      <c r="AS1545" s="233" t="str">
        <f>VLOOKUP(Table8[[#This Row],[Country Code]],Table29[],4,FALSE)</f>
        <v>Africa</v>
      </c>
      <c r="AT1545" s="233" t="str">
        <f>VLOOKUP(Table8[[#This Row],[Country Code]],Table29[],5,FALSE)</f>
        <v>Low-income</v>
      </c>
      <c r="AU1545" s="233" t="str">
        <f>VLOOKUP(Table8[[#This Row],[Country Code]],Table29[],6,FALSE)</f>
        <v>no</v>
      </c>
      <c r="AV1545" s="233" t="str">
        <f>VLOOKUP(Table8[[#This Row],[Country Code]],Table29[],7,FALSE)</f>
        <v>no</v>
      </c>
      <c r="AW1545" s="233" t="str">
        <f>VLOOKUP(Table8[[#This Row],[Country Code]],Table29[],8,FALSE)</f>
        <v>non-OECD</v>
      </c>
      <c r="AX1545" s="233" t="str">
        <f>VLOOKUP(Table8[[#This Row],[Country Code]],Table29[],9,FALSE)</f>
        <v>no</v>
      </c>
      <c r="AY1545" s="233" t="str">
        <f>VLOOKUP(Table8[[#This Row],[Country Code]],Table29[],10,FALSE)</f>
        <v>no</v>
      </c>
      <c r="AZ1545" s="235">
        <f>VLOOKUP(Table8[[#This Row],[Country Code]],Table29[],23,FALSE)</f>
        <v>42.334092053638997</v>
      </c>
      <c r="BA1545" s="235">
        <f>VLOOKUP(Table8[[#This Row],[Country Code]],Table29[],24,FALSE)</f>
        <v>1.2904826169822099</v>
      </c>
      <c r="BB1545" s="320"/>
      <c r="BC1545" s="320"/>
    </row>
    <row r="1546" spans="1:55" hidden="1" x14ac:dyDescent="0.25">
      <c r="A1546" s="360">
        <v>24790</v>
      </c>
      <c r="B1546" s="233" t="str">
        <f>VLOOKUP(Table8[[#This Row],[Document ID]],Table1[],2,FALSE)</f>
        <v>NER</v>
      </c>
      <c r="C1546" s="233" t="str">
        <f>VLOOKUP(Table8[[#This Row],[Document ID]],Table1[],3,FALSE)</f>
        <v>Niger</v>
      </c>
      <c r="D1546" s="233" t="str">
        <f>VLOOKUP(Table8[[#This Row],[Document ID]],Table1[],5,FALSE)</f>
        <v>NDC</v>
      </c>
      <c r="E1546" s="233" t="str">
        <f>VLOOKUP(Table8[[#This Row],[Document ID]],Table1[],7,FALSE)</f>
        <v>First NDC updated</v>
      </c>
      <c r="F1546" s="233" t="str">
        <f>VLOOKUP(Table8[[#This Row],[Document ID]],Table1[],8,FALSE)</f>
        <v>NDC 1.1</v>
      </c>
      <c r="G1546" s="233" t="str">
        <f>VLOOKUP(Table8[[#This Row],[Document ID]],Table1[],10,FALSE)</f>
        <v>Active</v>
      </c>
      <c r="H1546" s="44" t="s">
        <v>2338</v>
      </c>
      <c r="I1546" s="44" t="s">
        <v>2339</v>
      </c>
      <c r="J1546" s="44" t="s">
        <v>2416</v>
      </c>
      <c r="K1546" s="44" t="s">
        <v>3776</v>
      </c>
      <c r="L1546" s="44" t="s">
        <v>2333</v>
      </c>
      <c r="M1546" s="43">
        <v>16</v>
      </c>
      <c r="N1546" s="113"/>
      <c r="O1546" s="113"/>
      <c r="P1546" s="113"/>
      <c r="Q1546" s="113"/>
      <c r="R1546" s="113"/>
      <c r="S1546" s="113" t="s">
        <v>1113</v>
      </c>
      <c r="T1546" s="113"/>
      <c r="U1546" s="113"/>
      <c r="V1546" s="113"/>
      <c r="W1546" s="113"/>
      <c r="X1546" s="113"/>
      <c r="Y1546" s="113"/>
      <c r="Z1546" s="113"/>
      <c r="AA1546" s="113"/>
      <c r="AB1546" s="113"/>
      <c r="AC1546" s="113"/>
      <c r="AD1546" s="113"/>
      <c r="AE1546" s="113"/>
      <c r="AF1546" s="113"/>
      <c r="AG1546" s="113"/>
      <c r="AH1546" s="113"/>
      <c r="AI1546" s="113"/>
      <c r="AJ1546" s="113"/>
      <c r="AK1546" s="113" t="s">
        <v>1113</v>
      </c>
      <c r="AL1546" s="113"/>
      <c r="AM1546" s="113"/>
      <c r="AN1546" s="113"/>
      <c r="AO1546" s="44" t="s">
        <v>2334</v>
      </c>
      <c r="AP1546" s="43"/>
      <c r="AQ1546" s="236" t="str">
        <f>VLOOKUP(Table8[[#This Row],[Instrument]],Def_Targets!$D$73:$E$159,2,FALSE)</f>
        <v>I_Vehiclescrappage</v>
      </c>
      <c r="AR1546" s="233" t="str">
        <f>VLOOKUP(Table8[[#This Row],[Country Code]],Table29[],3,FALSE)</f>
        <v>Non-Annex I</v>
      </c>
      <c r="AS1546" s="233" t="str">
        <f>VLOOKUP(Table8[[#This Row],[Country Code]],Table29[],4,FALSE)</f>
        <v>Africa</v>
      </c>
      <c r="AT1546" s="233" t="str">
        <f>VLOOKUP(Table8[[#This Row],[Country Code]],Table29[],5,FALSE)</f>
        <v>Low-income</v>
      </c>
      <c r="AU1546" s="233" t="str">
        <f>VLOOKUP(Table8[[#This Row],[Country Code]],Table29[],6,FALSE)</f>
        <v>no</v>
      </c>
      <c r="AV1546" s="233" t="str">
        <f>VLOOKUP(Table8[[#This Row],[Country Code]],Table29[],7,FALSE)</f>
        <v>no</v>
      </c>
      <c r="AW1546" s="233" t="str">
        <f>VLOOKUP(Table8[[#This Row],[Country Code]],Table29[],8,FALSE)</f>
        <v>non-OECD</v>
      </c>
      <c r="AX1546" s="233" t="str">
        <f>VLOOKUP(Table8[[#This Row],[Country Code]],Table29[],9,FALSE)</f>
        <v>no</v>
      </c>
      <c r="AY1546" s="233" t="str">
        <f>VLOOKUP(Table8[[#This Row],[Country Code]],Table29[],10,FALSE)</f>
        <v>no</v>
      </c>
      <c r="AZ1546" s="235">
        <f>VLOOKUP(Table8[[#This Row],[Country Code]],Table29[],23,FALSE)</f>
        <v>42.334092053638997</v>
      </c>
      <c r="BA1546" s="235">
        <f>VLOOKUP(Table8[[#This Row],[Country Code]],Table29[],24,FALSE)</f>
        <v>1.2904826169822099</v>
      </c>
      <c r="BB1546" s="320"/>
      <c r="BC1546" s="320"/>
    </row>
    <row r="1547" spans="1:55" hidden="1" x14ac:dyDescent="0.25">
      <c r="A1547" s="373">
        <v>17684</v>
      </c>
      <c r="B1547" s="233" t="str">
        <f>VLOOKUP(Table8[[#This Row],[Document ID]],Table1[],2,FALSE)</f>
        <v>NGA</v>
      </c>
      <c r="C1547" s="233" t="str">
        <f>VLOOKUP(Table8[[#This Row],[Document ID]],Table1[],3,FALSE)</f>
        <v>Nigeria</v>
      </c>
      <c r="D1547" s="243" t="str">
        <f>VLOOKUP(Table8[[#This Row],[Document ID]],Table1[],5,FALSE)</f>
        <v>NDC</v>
      </c>
      <c r="E1547" s="233" t="str">
        <f>VLOOKUP(Table8[[#This Row],[Document ID]],Table1[],7,FALSE)</f>
        <v>First NDC</v>
      </c>
      <c r="F1547" s="236" t="str">
        <f>VLOOKUP(Table8[[#This Row],[Document ID]],Table1[],8,FALSE)</f>
        <v>NDC 1.0</v>
      </c>
      <c r="G1547" s="236" t="str">
        <f>VLOOKUP(Table8[[#This Row],[Document ID]],Table1[],10,FALSE)</f>
        <v>Archived</v>
      </c>
      <c r="H1547" s="44" t="s">
        <v>2338</v>
      </c>
      <c r="I1547" s="44" t="s">
        <v>2339</v>
      </c>
      <c r="J1547" s="44" t="s">
        <v>2413</v>
      </c>
      <c r="K1547" s="44" t="s">
        <v>3777</v>
      </c>
      <c r="L1547" s="44" t="s">
        <v>2333</v>
      </c>
      <c r="M1547" s="43"/>
      <c r="N1547" s="113"/>
      <c r="O1547" s="113"/>
      <c r="P1547" s="113"/>
      <c r="Q1547" s="319"/>
      <c r="R1547" s="319"/>
      <c r="S1547" s="319"/>
      <c r="T1547" s="319"/>
      <c r="U1547" s="319"/>
      <c r="V1547" s="319"/>
      <c r="W1547" s="319" t="s">
        <v>1113</v>
      </c>
      <c r="X1547" s="319"/>
      <c r="Y1547" s="319" t="s">
        <v>1113</v>
      </c>
      <c r="Z1547" s="319"/>
      <c r="AA1547" s="319"/>
      <c r="AB1547" s="319"/>
      <c r="AC1547" s="319"/>
      <c r="AD1547" s="319"/>
      <c r="AE1547" s="319"/>
      <c r="AF1547" s="319"/>
      <c r="AG1547" s="319"/>
      <c r="AH1547" s="319"/>
      <c r="AI1547" s="319"/>
      <c r="AJ1547" s="319"/>
      <c r="AK1547" s="319" t="s">
        <v>1113</v>
      </c>
      <c r="AL1547" s="319"/>
      <c r="AM1547" s="319"/>
      <c r="AN1547" s="319"/>
      <c r="AO1547" s="43" t="s">
        <v>2348</v>
      </c>
      <c r="AP1547" s="44"/>
      <c r="AQ1547" s="236" t="str">
        <f>VLOOKUP(Table8[[#This Row],[Instrument]],Def_Targets!$D$73:$E$159,2,FALSE)</f>
        <v>I_Vehicleeff</v>
      </c>
      <c r="AR1547" s="233" t="str">
        <f>VLOOKUP(Table8[[#This Row],[Country Code]],Table29[],3,FALSE)</f>
        <v>Non-Annex I</v>
      </c>
      <c r="AS1547" s="233" t="str">
        <f>VLOOKUP(Table8[[#This Row],[Country Code]],Table29[],4,FALSE)</f>
        <v>Africa</v>
      </c>
      <c r="AT1547" s="233" t="str">
        <f>VLOOKUP(Table8[[#This Row],[Country Code]],Table29[],5,FALSE)</f>
        <v>Middle-income</v>
      </c>
      <c r="AU1547" s="233" t="str">
        <f>VLOOKUP(Table8[[#This Row],[Country Code]],Table29[],6,FALSE)</f>
        <v>no</v>
      </c>
      <c r="AV1547" s="233" t="str">
        <f>VLOOKUP(Table8[[#This Row],[Country Code]],Table29[],7,FALSE)</f>
        <v>no</v>
      </c>
      <c r="AW1547" s="233" t="str">
        <f>VLOOKUP(Table8[[#This Row],[Country Code]],Table29[],8,FALSE)</f>
        <v>non-OECD</v>
      </c>
      <c r="AX1547" s="233" t="str">
        <f>VLOOKUP(Table8[[#This Row],[Country Code]],Table29[],9,FALSE)</f>
        <v>no</v>
      </c>
      <c r="AY1547" s="233" t="str">
        <f>VLOOKUP(Table8[[#This Row],[Country Code]],Table29[],10,FALSE)</f>
        <v>no</v>
      </c>
      <c r="AZ1547" s="235">
        <f>VLOOKUP(Table8[[#This Row],[Country Code]],Table29[],23,FALSE)</f>
        <v>385.11288377147002</v>
      </c>
      <c r="BA1547" s="235">
        <f>VLOOKUP(Table8[[#This Row],[Country Code]],Table29[],24,FALSE)</f>
        <v>58.971195919965467</v>
      </c>
      <c r="BB1547" s="320"/>
      <c r="BC1547" s="320"/>
    </row>
    <row r="1548" spans="1:55" hidden="1" x14ac:dyDescent="0.25">
      <c r="A1548" s="373">
        <v>17684</v>
      </c>
      <c r="B1548" s="233" t="str">
        <f>VLOOKUP(Table8[[#This Row],[Document ID]],Table1[],2,FALSE)</f>
        <v>NGA</v>
      </c>
      <c r="C1548" s="233" t="str">
        <f>VLOOKUP(Table8[[#This Row],[Document ID]],Table1[],3,FALSE)</f>
        <v>Nigeria</v>
      </c>
      <c r="D1548" s="243" t="str">
        <f>VLOOKUP(Table8[[#This Row],[Document ID]],Table1[],5,FALSE)</f>
        <v>NDC</v>
      </c>
      <c r="E1548" s="233" t="str">
        <f>VLOOKUP(Table8[[#This Row],[Document ID]],Table1[],7,FALSE)</f>
        <v>First NDC</v>
      </c>
      <c r="F1548" s="236" t="str">
        <f>VLOOKUP(Table8[[#This Row],[Document ID]],Table1[],8,FALSE)</f>
        <v>NDC 1.0</v>
      </c>
      <c r="G1548" s="236" t="str">
        <f>VLOOKUP(Table8[[#This Row],[Document ID]],Table1[],10,FALSE)</f>
        <v>Archived</v>
      </c>
      <c r="H1548" s="43" t="s">
        <v>2343</v>
      </c>
      <c r="I1548" s="43" t="s">
        <v>2344</v>
      </c>
      <c r="J1548" s="44" t="s">
        <v>2405</v>
      </c>
      <c r="K1548" s="44" t="s">
        <v>3778</v>
      </c>
      <c r="L1548" s="44" t="s">
        <v>2347</v>
      </c>
      <c r="M1548" s="43"/>
      <c r="N1548" s="113"/>
      <c r="O1548" s="113"/>
      <c r="P1548" s="113"/>
      <c r="Q1548" s="319"/>
      <c r="R1548" s="319"/>
      <c r="S1548" s="319"/>
      <c r="T1548" s="319"/>
      <c r="U1548" s="319"/>
      <c r="V1548" s="319"/>
      <c r="W1548" s="319"/>
      <c r="X1548" s="319"/>
      <c r="Y1548" s="319"/>
      <c r="Z1548" s="319"/>
      <c r="AA1548" s="319"/>
      <c r="AB1548" s="319" t="s">
        <v>1113</v>
      </c>
      <c r="AC1548" s="319"/>
      <c r="AD1548" s="319"/>
      <c r="AE1548" s="319"/>
      <c r="AF1548" s="319"/>
      <c r="AG1548" s="319"/>
      <c r="AH1548" s="319" t="s">
        <v>1113</v>
      </c>
      <c r="AI1548" s="319"/>
      <c r="AJ1548" s="319"/>
      <c r="AK1548" s="319" t="s">
        <v>1113</v>
      </c>
      <c r="AL1548" s="319"/>
      <c r="AM1548" s="319"/>
      <c r="AN1548" s="319"/>
      <c r="AO1548" s="43" t="s">
        <v>2348</v>
      </c>
      <c r="AP1548" s="44"/>
      <c r="AQ1548" s="236" t="str">
        <f>VLOOKUP(Table8[[#This Row],[Instrument]],Def_Targets!$D$73:$E$159,2,FALSE)</f>
        <v>S_PTIntegration</v>
      </c>
      <c r="AR1548" s="233" t="str">
        <f>VLOOKUP(Table8[[#This Row],[Country Code]],Table29[],3,FALSE)</f>
        <v>Non-Annex I</v>
      </c>
      <c r="AS1548" s="233" t="str">
        <f>VLOOKUP(Table8[[#This Row],[Country Code]],Table29[],4,FALSE)</f>
        <v>Africa</v>
      </c>
      <c r="AT1548" s="233" t="str">
        <f>VLOOKUP(Table8[[#This Row],[Country Code]],Table29[],5,FALSE)</f>
        <v>Middle-income</v>
      </c>
      <c r="AU1548" s="233" t="str">
        <f>VLOOKUP(Table8[[#This Row],[Country Code]],Table29[],6,FALSE)</f>
        <v>no</v>
      </c>
      <c r="AV1548" s="233" t="str">
        <f>VLOOKUP(Table8[[#This Row],[Country Code]],Table29[],7,FALSE)</f>
        <v>no</v>
      </c>
      <c r="AW1548" s="233" t="str">
        <f>VLOOKUP(Table8[[#This Row],[Country Code]],Table29[],8,FALSE)</f>
        <v>non-OECD</v>
      </c>
      <c r="AX1548" s="233" t="str">
        <f>VLOOKUP(Table8[[#This Row],[Country Code]],Table29[],9,FALSE)</f>
        <v>no</v>
      </c>
      <c r="AY1548" s="233" t="str">
        <f>VLOOKUP(Table8[[#This Row],[Country Code]],Table29[],10,FALSE)</f>
        <v>no</v>
      </c>
      <c r="AZ1548" s="235">
        <f>VLOOKUP(Table8[[#This Row],[Country Code]],Table29[],23,FALSE)</f>
        <v>385.11288377147002</v>
      </c>
      <c r="BA1548" s="235">
        <f>VLOOKUP(Table8[[#This Row],[Country Code]],Table29[],24,FALSE)</f>
        <v>58.971195919965467</v>
      </c>
      <c r="BB1548" s="320"/>
      <c r="BC1548" s="320"/>
    </row>
    <row r="1549" spans="1:55" hidden="1" x14ac:dyDescent="0.25">
      <c r="A1549" s="373">
        <v>17684</v>
      </c>
      <c r="B1549" s="233" t="str">
        <f>VLOOKUP(Table8[[#This Row],[Document ID]],Table1[],2,FALSE)</f>
        <v>NGA</v>
      </c>
      <c r="C1549" s="233" t="str">
        <f>VLOOKUP(Table8[[#This Row],[Document ID]],Table1[],3,FALSE)</f>
        <v>Nigeria</v>
      </c>
      <c r="D1549" s="243" t="str">
        <f>VLOOKUP(Table8[[#This Row],[Document ID]],Table1[],5,FALSE)</f>
        <v>NDC</v>
      </c>
      <c r="E1549" s="233" t="str">
        <f>VLOOKUP(Table8[[#This Row],[Document ID]],Table1[],7,FALSE)</f>
        <v>First NDC</v>
      </c>
      <c r="F1549" s="236" t="str">
        <f>VLOOKUP(Table8[[#This Row],[Document ID]],Table1[],8,FALSE)</f>
        <v>NDC 1.0</v>
      </c>
      <c r="G1549" s="236" t="str">
        <f>VLOOKUP(Table8[[#This Row],[Document ID]],Table1[],10,FALSE)</f>
        <v>Archived</v>
      </c>
      <c r="H1549" s="43" t="s">
        <v>2343</v>
      </c>
      <c r="I1549" s="43" t="s">
        <v>2344</v>
      </c>
      <c r="J1549" s="44" t="s">
        <v>2345</v>
      </c>
      <c r="K1549" s="44" t="s">
        <v>3779</v>
      </c>
      <c r="L1549" s="44" t="s">
        <v>2347</v>
      </c>
      <c r="M1549" s="43"/>
      <c r="N1549" s="113"/>
      <c r="O1549" s="113"/>
      <c r="P1549" s="113"/>
      <c r="Q1549" s="319"/>
      <c r="R1549" s="319"/>
      <c r="S1549" s="319"/>
      <c r="T1549" s="319"/>
      <c r="U1549" s="319"/>
      <c r="V1549" s="319"/>
      <c r="W1549" s="319"/>
      <c r="X1549" s="319"/>
      <c r="Y1549" s="319" t="s">
        <v>1113</v>
      </c>
      <c r="Z1549" s="319"/>
      <c r="AA1549" s="319"/>
      <c r="AB1549" s="319"/>
      <c r="AC1549" s="319"/>
      <c r="AD1549" s="319"/>
      <c r="AE1549" s="319"/>
      <c r="AF1549" s="319"/>
      <c r="AG1549" s="319"/>
      <c r="AH1549" s="319"/>
      <c r="AI1549" s="319"/>
      <c r="AJ1549" s="319"/>
      <c r="AK1549" s="319" t="s">
        <v>1113</v>
      </c>
      <c r="AL1549" s="319"/>
      <c r="AM1549" s="319"/>
      <c r="AN1549" s="319"/>
      <c r="AO1549" s="43" t="s">
        <v>2348</v>
      </c>
      <c r="AP1549" s="44"/>
      <c r="AQ1549" s="236" t="str">
        <f>VLOOKUP(Table8[[#This Row],[Instrument]],Def_Targets!$D$73:$E$159,2,FALSE)</f>
        <v>S_PublicTransport</v>
      </c>
      <c r="AR1549" s="233" t="str">
        <f>VLOOKUP(Table8[[#This Row],[Country Code]],Table29[],3,FALSE)</f>
        <v>Non-Annex I</v>
      </c>
      <c r="AS1549" s="233" t="str">
        <f>VLOOKUP(Table8[[#This Row],[Country Code]],Table29[],4,FALSE)</f>
        <v>Africa</v>
      </c>
      <c r="AT1549" s="233" t="str">
        <f>VLOOKUP(Table8[[#This Row],[Country Code]],Table29[],5,FALSE)</f>
        <v>Middle-income</v>
      </c>
      <c r="AU1549" s="233" t="str">
        <f>VLOOKUP(Table8[[#This Row],[Country Code]],Table29[],6,FALSE)</f>
        <v>no</v>
      </c>
      <c r="AV1549" s="233" t="str">
        <f>VLOOKUP(Table8[[#This Row],[Country Code]],Table29[],7,FALSE)</f>
        <v>no</v>
      </c>
      <c r="AW1549" s="233" t="str">
        <f>VLOOKUP(Table8[[#This Row],[Country Code]],Table29[],8,FALSE)</f>
        <v>non-OECD</v>
      </c>
      <c r="AX1549" s="233" t="str">
        <f>VLOOKUP(Table8[[#This Row],[Country Code]],Table29[],9,FALSE)</f>
        <v>no</v>
      </c>
      <c r="AY1549" s="233" t="str">
        <f>VLOOKUP(Table8[[#This Row],[Country Code]],Table29[],10,FALSE)</f>
        <v>no</v>
      </c>
      <c r="AZ1549" s="235">
        <f>VLOOKUP(Table8[[#This Row],[Country Code]],Table29[],23,FALSE)</f>
        <v>385.11288377147002</v>
      </c>
      <c r="BA1549" s="235">
        <f>VLOOKUP(Table8[[#This Row],[Country Code]],Table29[],24,FALSE)</f>
        <v>58.971195919965467</v>
      </c>
      <c r="BB1549" s="320"/>
      <c r="BC1549" s="320"/>
    </row>
    <row r="1550" spans="1:55" ht="30" hidden="1" x14ac:dyDescent="0.25">
      <c r="A1550" s="373">
        <v>17684</v>
      </c>
      <c r="B1550" s="233" t="str">
        <f>VLOOKUP(Table8[[#This Row],[Document ID]],Table1[],2,FALSE)</f>
        <v>NGA</v>
      </c>
      <c r="C1550" s="233" t="str">
        <f>VLOOKUP(Table8[[#This Row],[Document ID]],Table1[],3,FALSE)</f>
        <v>Nigeria</v>
      </c>
      <c r="D1550" s="243" t="str">
        <f>VLOOKUP(Table8[[#This Row],[Document ID]],Table1[],5,FALSE)</f>
        <v>NDC</v>
      </c>
      <c r="E1550" s="233" t="str">
        <f>VLOOKUP(Table8[[#This Row],[Document ID]],Table1[],7,FALSE)</f>
        <v>First NDC</v>
      </c>
      <c r="F1550" s="236" t="str">
        <f>VLOOKUP(Table8[[#This Row],[Document ID]],Table1[],8,FALSE)</f>
        <v>NDC 1.0</v>
      </c>
      <c r="G1550" s="236" t="str">
        <f>VLOOKUP(Table8[[#This Row],[Document ID]],Table1[],10,FALSE)</f>
        <v>Archived</v>
      </c>
      <c r="H1550" s="43" t="s">
        <v>2350</v>
      </c>
      <c r="I1550" s="43" t="s">
        <v>2351</v>
      </c>
      <c r="J1550" s="44" t="s">
        <v>2352</v>
      </c>
      <c r="K1550" s="44" t="s">
        <v>3780</v>
      </c>
      <c r="L1550" s="44" t="s">
        <v>2347</v>
      </c>
      <c r="M1550" s="43"/>
      <c r="N1550" s="113"/>
      <c r="O1550" s="113"/>
      <c r="P1550" s="113"/>
      <c r="Q1550" s="319"/>
      <c r="R1550" s="319"/>
      <c r="S1550" s="319"/>
      <c r="T1550" s="319"/>
      <c r="U1550" s="319"/>
      <c r="V1550" s="319"/>
      <c r="W1550" s="319"/>
      <c r="X1550" s="319"/>
      <c r="Y1550" s="319"/>
      <c r="Z1550" s="113" t="s">
        <v>1113</v>
      </c>
      <c r="AA1550" s="319"/>
      <c r="AB1550" s="319"/>
      <c r="AC1550" s="319"/>
      <c r="AD1550" s="319"/>
      <c r="AE1550" s="319"/>
      <c r="AF1550" s="319"/>
      <c r="AG1550" s="319"/>
      <c r="AH1550" s="319"/>
      <c r="AI1550" s="319"/>
      <c r="AJ1550" s="319"/>
      <c r="AK1550" s="319" t="s">
        <v>1113</v>
      </c>
      <c r="AL1550" s="319"/>
      <c r="AM1550" s="319"/>
      <c r="AN1550" s="319"/>
      <c r="AO1550" s="43" t="s">
        <v>2353</v>
      </c>
      <c r="AP1550" s="44"/>
      <c r="AQ1550" s="236" t="str">
        <f>VLOOKUP(Table8[[#This Row],[Instrument]],Def_Targets!$D$73:$E$159,2,FALSE)</f>
        <v>S_Railfreight</v>
      </c>
      <c r="AR1550" s="233" t="str">
        <f>VLOOKUP(Table8[[#This Row],[Country Code]],Table29[],3,FALSE)</f>
        <v>Non-Annex I</v>
      </c>
      <c r="AS1550" s="233" t="str">
        <f>VLOOKUP(Table8[[#This Row],[Country Code]],Table29[],4,FALSE)</f>
        <v>Africa</v>
      </c>
      <c r="AT1550" s="233" t="str">
        <f>VLOOKUP(Table8[[#This Row],[Country Code]],Table29[],5,FALSE)</f>
        <v>Middle-income</v>
      </c>
      <c r="AU1550" s="233" t="str">
        <f>VLOOKUP(Table8[[#This Row],[Country Code]],Table29[],6,FALSE)</f>
        <v>no</v>
      </c>
      <c r="AV1550" s="233" t="str">
        <f>VLOOKUP(Table8[[#This Row],[Country Code]],Table29[],7,FALSE)</f>
        <v>no</v>
      </c>
      <c r="AW1550" s="233" t="str">
        <f>VLOOKUP(Table8[[#This Row],[Country Code]],Table29[],8,FALSE)</f>
        <v>non-OECD</v>
      </c>
      <c r="AX1550" s="233" t="str">
        <f>VLOOKUP(Table8[[#This Row],[Country Code]],Table29[],9,FALSE)</f>
        <v>no</v>
      </c>
      <c r="AY1550" s="233" t="str">
        <f>VLOOKUP(Table8[[#This Row],[Country Code]],Table29[],10,FALSE)</f>
        <v>no</v>
      </c>
      <c r="AZ1550" s="235">
        <f>VLOOKUP(Table8[[#This Row],[Country Code]],Table29[],23,FALSE)</f>
        <v>385.11288377147002</v>
      </c>
      <c r="BA1550" s="235">
        <f>VLOOKUP(Table8[[#This Row],[Country Code]],Table29[],24,FALSE)</f>
        <v>58.971195919965467</v>
      </c>
      <c r="BB1550" s="320"/>
      <c r="BC1550" s="320"/>
    </row>
    <row r="1551" spans="1:55" hidden="1" x14ac:dyDescent="0.25">
      <c r="A1551" s="373">
        <v>17684</v>
      </c>
      <c r="B1551" s="233" t="str">
        <f>VLOOKUP(Table8[[#This Row],[Document ID]],Table1[],2,FALSE)</f>
        <v>NGA</v>
      </c>
      <c r="C1551" s="233" t="str">
        <f>VLOOKUP(Table8[[#This Row],[Document ID]],Table1[],3,FALSE)</f>
        <v>Nigeria</v>
      </c>
      <c r="D1551" s="243" t="str">
        <f>VLOOKUP(Table8[[#This Row],[Document ID]],Table1[],5,FALSE)</f>
        <v>NDC</v>
      </c>
      <c r="E1551" s="233" t="str">
        <f>VLOOKUP(Table8[[#This Row],[Document ID]],Table1[],7,FALSE)</f>
        <v>First NDC</v>
      </c>
      <c r="F1551" s="236" t="str">
        <f>VLOOKUP(Table8[[#This Row],[Document ID]],Table1[],8,FALSE)</f>
        <v>NDC 1.0</v>
      </c>
      <c r="G1551" s="236" t="str">
        <f>VLOOKUP(Table8[[#This Row],[Document ID]],Table1[],10,FALSE)</f>
        <v>Archived</v>
      </c>
      <c r="H1551" s="44" t="s">
        <v>2338</v>
      </c>
      <c r="I1551" s="44" t="s">
        <v>2339</v>
      </c>
      <c r="J1551" s="44" t="s">
        <v>2451</v>
      </c>
      <c r="K1551" s="44" t="s">
        <v>3781</v>
      </c>
      <c r="L1551" s="44" t="s">
        <v>2333</v>
      </c>
      <c r="M1551" s="43"/>
      <c r="N1551" s="113" t="s">
        <v>1113</v>
      </c>
      <c r="O1551" s="113"/>
      <c r="P1551" s="113"/>
      <c r="Q1551" s="319"/>
      <c r="R1551" s="319"/>
      <c r="S1551" s="319"/>
      <c r="T1551" s="319"/>
      <c r="U1551" s="319"/>
      <c r="V1551" s="319"/>
      <c r="W1551" s="319"/>
      <c r="X1551" s="319"/>
      <c r="Y1551" s="319"/>
      <c r="Z1551" s="319"/>
      <c r="AA1551" s="319"/>
      <c r="AB1551" s="319"/>
      <c r="AC1551" s="319"/>
      <c r="AD1551" s="319"/>
      <c r="AE1551" s="319"/>
      <c r="AF1551" s="319"/>
      <c r="AG1551" s="319"/>
      <c r="AH1551" s="319"/>
      <c r="AI1551" s="319"/>
      <c r="AJ1551" s="319"/>
      <c r="AK1551" s="319" t="s">
        <v>1113</v>
      </c>
      <c r="AL1551" s="319"/>
      <c r="AM1551" s="319"/>
      <c r="AN1551" s="319"/>
      <c r="AO1551" s="43" t="s">
        <v>2353</v>
      </c>
      <c r="AP1551" s="44"/>
      <c r="AQ1551" s="236" t="str">
        <f>VLOOKUP(Table8[[#This Row],[Instrument]],Def_Targets!$D$73:$E$159,2,FALSE)</f>
        <v>I_Inspection</v>
      </c>
      <c r="AR1551" s="233" t="str">
        <f>VLOOKUP(Table8[[#This Row],[Country Code]],Table29[],3,FALSE)</f>
        <v>Non-Annex I</v>
      </c>
      <c r="AS1551" s="233" t="str">
        <f>VLOOKUP(Table8[[#This Row],[Country Code]],Table29[],4,FALSE)</f>
        <v>Africa</v>
      </c>
      <c r="AT1551" s="233" t="str">
        <f>VLOOKUP(Table8[[#This Row],[Country Code]],Table29[],5,FALSE)</f>
        <v>Middle-income</v>
      </c>
      <c r="AU1551" s="233" t="str">
        <f>VLOOKUP(Table8[[#This Row],[Country Code]],Table29[],6,FALSE)</f>
        <v>no</v>
      </c>
      <c r="AV1551" s="233" t="str">
        <f>VLOOKUP(Table8[[#This Row],[Country Code]],Table29[],7,FALSE)</f>
        <v>no</v>
      </c>
      <c r="AW1551" s="233" t="str">
        <f>VLOOKUP(Table8[[#This Row],[Country Code]],Table29[],8,FALSE)</f>
        <v>non-OECD</v>
      </c>
      <c r="AX1551" s="233" t="str">
        <f>VLOOKUP(Table8[[#This Row],[Country Code]],Table29[],9,FALSE)</f>
        <v>no</v>
      </c>
      <c r="AY1551" s="233" t="str">
        <f>VLOOKUP(Table8[[#This Row],[Country Code]],Table29[],10,FALSE)</f>
        <v>no</v>
      </c>
      <c r="AZ1551" s="235">
        <f>VLOOKUP(Table8[[#This Row],[Country Code]],Table29[],23,FALSE)</f>
        <v>385.11288377147002</v>
      </c>
      <c r="BA1551" s="235">
        <f>VLOOKUP(Table8[[#This Row],[Country Code]],Table29[],24,FALSE)</f>
        <v>58.971195919965467</v>
      </c>
      <c r="BB1551" s="320"/>
      <c r="BC1551" s="320"/>
    </row>
    <row r="1552" spans="1:55" hidden="1" x14ac:dyDescent="0.25">
      <c r="A1552" s="373">
        <v>17684</v>
      </c>
      <c r="B1552" s="233" t="str">
        <f>VLOOKUP(Table8[[#This Row],[Document ID]],Table1[],2,FALSE)</f>
        <v>NGA</v>
      </c>
      <c r="C1552" s="233" t="str">
        <f>VLOOKUP(Table8[[#This Row],[Document ID]],Table1[],3,FALSE)</f>
        <v>Nigeria</v>
      </c>
      <c r="D1552" s="243" t="str">
        <f>VLOOKUP(Table8[[#This Row],[Document ID]],Table1[],5,FALSE)</f>
        <v>NDC</v>
      </c>
      <c r="E1552" s="233" t="str">
        <f>VLOOKUP(Table8[[#This Row],[Document ID]],Table1[],7,FALSE)</f>
        <v>First NDC</v>
      </c>
      <c r="F1552" s="236" t="str">
        <f>VLOOKUP(Table8[[#This Row],[Document ID]],Table1[],8,FALSE)</f>
        <v>NDC 1.0</v>
      </c>
      <c r="G1552" s="236" t="str">
        <f>VLOOKUP(Table8[[#This Row],[Document ID]],Table1[],10,FALSE)</f>
        <v>Archived</v>
      </c>
      <c r="H1552" s="43" t="s">
        <v>2350</v>
      </c>
      <c r="I1552" s="43" t="s">
        <v>2456</v>
      </c>
      <c r="J1552" s="44" t="s">
        <v>2457</v>
      </c>
      <c r="K1552" s="44" t="s">
        <v>3782</v>
      </c>
      <c r="L1552" s="44" t="s">
        <v>2347</v>
      </c>
      <c r="M1552" s="43"/>
      <c r="N1552" s="113"/>
      <c r="O1552" s="113"/>
      <c r="P1552" s="113"/>
      <c r="Q1552" s="319"/>
      <c r="R1552" s="319"/>
      <c r="S1552" s="113" t="s">
        <v>1113</v>
      </c>
      <c r="T1552" s="319"/>
      <c r="U1552" s="319"/>
      <c r="V1552" s="319"/>
      <c r="W1552" s="319"/>
      <c r="X1552" s="319"/>
      <c r="Y1552" s="319"/>
      <c r="Z1552" s="319"/>
      <c r="AA1552" s="319"/>
      <c r="AB1552" s="319"/>
      <c r="AC1552" s="319"/>
      <c r="AD1552" s="319"/>
      <c r="AE1552" s="319"/>
      <c r="AF1552" s="319"/>
      <c r="AG1552" s="319"/>
      <c r="AH1552" s="319"/>
      <c r="AI1552" s="319"/>
      <c r="AJ1552" s="319"/>
      <c r="AK1552" s="319" t="s">
        <v>1113</v>
      </c>
      <c r="AL1552" s="319"/>
      <c r="AM1552" s="319"/>
      <c r="AN1552" s="319"/>
      <c r="AO1552" s="44" t="s">
        <v>2334</v>
      </c>
      <c r="AP1552" s="44"/>
      <c r="AQ1552" s="236" t="str">
        <f>VLOOKUP(Table8[[#This Row],[Instrument]],Def_Targets!$D$73:$E$159,2,FALSE)</f>
        <v>S_Infraimprove</v>
      </c>
      <c r="AR1552" s="233" t="str">
        <f>VLOOKUP(Table8[[#This Row],[Country Code]],Table29[],3,FALSE)</f>
        <v>Non-Annex I</v>
      </c>
      <c r="AS1552" s="233" t="str">
        <f>VLOOKUP(Table8[[#This Row],[Country Code]],Table29[],4,FALSE)</f>
        <v>Africa</v>
      </c>
      <c r="AT1552" s="233" t="str">
        <f>VLOOKUP(Table8[[#This Row],[Country Code]],Table29[],5,FALSE)</f>
        <v>Middle-income</v>
      </c>
      <c r="AU1552" s="233" t="str">
        <f>VLOOKUP(Table8[[#This Row],[Country Code]],Table29[],6,FALSE)</f>
        <v>no</v>
      </c>
      <c r="AV1552" s="233" t="str">
        <f>VLOOKUP(Table8[[#This Row],[Country Code]],Table29[],7,FALSE)</f>
        <v>no</v>
      </c>
      <c r="AW1552" s="233" t="str">
        <f>VLOOKUP(Table8[[#This Row],[Country Code]],Table29[],8,FALSE)</f>
        <v>non-OECD</v>
      </c>
      <c r="AX1552" s="233" t="str">
        <f>VLOOKUP(Table8[[#This Row],[Country Code]],Table29[],9,FALSE)</f>
        <v>no</v>
      </c>
      <c r="AY1552" s="233" t="str">
        <f>VLOOKUP(Table8[[#This Row],[Country Code]],Table29[],10,FALSE)</f>
        <v>no</v>
      </c>
      <c r="AZ1552" s="235">
        <f>VLOOKUP(Table8[[#This Row],[Country Code]],Table29[],23,FALSE)</f>
        <v>385.11288377147002</v>
      </c>
      <c r="BA1552" s="235">
        <f>VLOOKUP(Table8[[#This Row],[Country Code]],Table29[],24,FALSE)</f>
        <v>58.971195919965467</v>
      </c>
      <c r="BB1552" s="320"/>
      <c r="BC1552" s="320"/>
    </row>
    <row r="1553" spans="1:55" ht="45" hidden="1" x14ac:dyDescent="0.25">
      <c r="A1553" s="373">
        <v>17684</v>
      </c>
      <c r="B1553" s="233" t="str">
        <f>VLOOKUP(Table8[[#This Row],[Document ID]],Table1[],2,FALSE)</f>
        <v>NGA</v>
      </c>
      <c r="C1553" s="233" t="str">
        <f>VLOOKUP(Table8[[#This Row],[Document ID]],Table1[],3,FALSE)</f>
        <v>Nigeria</v>
      </c>
      <c r="D1553" s="243" t="str">
        <f>VLOOKUP(Table8[[#This Row],[Document ID]],Table1[],5,FALSE)</f>
        <v>NDC</v>
      </c>
      <c r="E1553" s="233" t="str">
        <f>VLOOKUP(Table8[[#This Row],[Document ID]],Table1[],7,FALSE)</f>
        <v>First NDC</v>
      </c>
      <c r="F1553" s="236" t="str">
        <f>VLOOKUP(Table8[[#This Row],[Document ID]],Table1[],8,FALSE)</f>
        <v>NDC 1.0</v>
      </c>
      <c r="G1553" s="236" t="str">
        <f>VLOOKUP(Table8[[#This Row],[Document ID]],Table1[],10,FALSE)</f>
        <v>Archived</v>
      </c>
      <c r="H1553" s="43" t="s">
        <v>2343</v>
      </c>
      <c r="I1553" s="43" t="s">
        <v>2429</v>
      </c>
      <c r="J1553" s="44" t="s">
        <v>2610</v>
      </c>
      <c r="K1553" s="44" t="s">
        <v>3783</v>
      </c>
      <c r="L1553" s="44" t="s">
        <v>2347</v>
      </c>
      <c r="M1553" s="43"/>
      <c r="N1553" s="113" t="s">
        <v>1113</v>
      </c>
      <c r="O1553" s="113"/>
      <c r="P1553" s="113"/>
      <c r="Q1553" s="319"/>
      <c r="R1553" s="319"/>
      <c r="S1553" s="319"/>
      <c r="T1553" s="319"/>
      <c r="U1553" s="319"/>
      <c r="V1553" s="319"/>
      <c r="W1553" s="319"/>
      <c r="X1553" s="319"/>
      <c r="Y1553" s="319"/>
      <c r="Z1553" s="319"/>
      <c r="AA1553" s="319"/>
      <c r="AB1553" s="319"/>
      <c r="AC1553" s="319"/>
      <c r="AD1553" s="319"/>
      <c r="AE1553" s="319"/>
      <c r="AF1553" s="319"/>
      <c r="AG1553" s="319"/>
      <c r="AH1553" s="319"/>
      <c r="AI1553" s="319"/>
      <c r="AJ1553" s="319"/>
      <c r="AK1553" s="319"/>
      <c r="AL1553" s="113" t="s">
        <v>1113</v>
      </c>
      <c r="AM1553" s="319"/>
      <c r="AN1553" s="319"/>
      <c r="AO1553" s="44" t="s">
        <v>2334</v>
      </c>
      <c r="AP1553" s="44"/>
      <c r="AQ1553" s="236" t="e">
        <f>VLOOKUP(Table8[[#This Row],[Instrument]],Def_Targets!$D$73:$E$159,2,FALSE)</f>
        <v>#N/A</v>
      </c>
      <c r="AR1553" s="233" t="str">
        <f>VLOOKUP(Table8[[#This Row],[Country Code]],Table29[],3,FALSE)</f>
        <v>Non-Annex I</v>
      </c>
      <c r="AS1553" s="233" t="str">
        <f>VLOOKUP(Table8[[#This Row],[Country Code]],Table29[],4,FALSE)</f>
        <v>Africa</v>
      </c>
      <c r="AT1553" s="233" t="str">
        <f>VLOOKUP(Table8[[#This Row],[Country Code]],Table29[],5,FALSE)</f>
        <v>Middle-income</v>
      </c>
      <c r="AU1553" s="233" t="str">
        <f>VLOOKUP(Table8[[#This Row],[Country Code]],Table29[],6,FALSE)</f>
        <v>no</v>
      </c>
      <c r="AV1553" s="233" t="str">
        <f>VLOOKUP(Table8[[#This Row],[Country Code]],Table29[],7,FALSE)</f>
        <v>no</v>
      </c>
      <c r="AW1553" s="233" t="str">
        <f>VLOOKUP(Table8[[#This Row],[Country Code]],Table29[],8,FALSE)</f>
        <v>non-OECD</v>
      </c>
      <c r="AX1553" s="233" t="str">
        <f>VLOOKUP(Table8[[#This Row],[Country Code]],Table29[],9,FALSE)</f>
        <v>no</v>
      </c>
      <c r="AY1553" s="233" t="str">
        <f>VLOOKUP(Table8[[#This Row],[Country Code]],Table29[],10,FALSE)</f>
        <v>no</v>
      </c>
      <c r="AZ1553" s="235">
        <f>VLOOKUP(Table8[[#This Row],[Country Code]],Table29[],23,FALSE)</f>
        <v>385.11288377147002</v>
      </c>
      <c r="BA1553" s="235">
        <f>VLOOKUP(Table8[[#This Row],[Country Code]],Table29[],24,FALSE)</f>
        <v>58.971195919965467</v>
      </c>
      <c r="BB1553" s="320"/>
      <c r="BC1553" s="320"/>
    </row>
    <row r="1554" spans="1:55" hidden="1" x14ac:dyDescent="0.25">
      <c r="A1554" s="373">
        <v>17684</v>
      </c>
      <c r="B1554" s="233" t="str">
        <f>VLOOKUP(Table8[[#This Row],[Document ID]],Table1[],2,FALSE)</f>
        <v>NGA</v>
      </c>
      <c r="C1554" s="233" t="str">
        <f>VLOOKUP(Table8[[#This Row],[Document ID]],Table1[],3,FALSE)</f>
        <v>Nigeria</v>
      </c>
      <c r="D1554" s="243" t="str">
        <f>VLOOKUP(Table8[[#This Row],[Document ID]],Table1[],5,FALSE)</f>
        <v>NDC</v>
      </c>
      <c r="E1554" s="233" t="str">
        <f>VLOOKUP(Table8[[#This Row],[Document ID]],Table1[],7,FALSE)</f>
        <v>First NDC</v>
      </c>
      <c r="F1554" s="236" t="str">
        <f>VLOOKUP(Table8[[#This Row],[Document ID]],Table1[],8,FALSE)</f>
        <v>NDC 1.0</v>
      </c>
      <c r="G1554" s="236" t="str">
        <f>VLOOKUP(Table8[[#This Row],[Document ID]],Table1[],10,FALSE)</f>
        <v>Archived</v>
      </c>
      <c r="H1554" s="43" t="s">
        <v>2343</v>
      </c>
      <c r="I1554" s="43" t="s">
        <v>2386</v>
      </c>
      <c r="J1554" s="44" t="s">
        <v>2569</v>
      </c>
      <c r="K1554" s="44" t="s">
        <v>3784</v>
      </c>
      <c r="L1554" s="44" t="s">
        <v>2396</v>
      </c>
      <c r="M1554" s="43"/>
      <c r="N1554" s="113"/>
      <c r="O1554" s="113"/>
      <c r="P1554" s="113"/>
      <c r="Q1554" s="319"/>
      <c r="R1554" s="319"/>
      <c r="S1554" s="113" t="s">
        <v>1113</v>
      </c>
      <c r="T1554" s="319"/>
      <c r="U1554" s="319"/>
      <c r="V1554" s="319"/>
      <c r="W1554" s="319"/>
      <c r="X1554" s="319"/>
      <c r="Y1554" s="319"/>
      <c r="Z1554" s="319"/>
      <c r="AA1554" s="319"/>
      <c r="AB1554" s="319"/>
      <c r="AC1554" s="319"/>
      <c r="AD1554" s="319"/>
      <c r="AE1554" s="319"/>
      <c r="AF1554" s="319"/>
      <c r="AG1554" s="319"/>
      <c r="AH1554" s="319"/>
      <c r="AI1554" s="319"/>
      <c r="AJ1554" s="319"/>
      <c r="AK1554" s="319" t="s">
        <v>1113</v>
      </c>
      <c r="AL1554" s="319"/>
      <c r="AM1554" s="319"/>
      <c r="AN1554" s="319"/>
      <c r="AO1554" s="44" t="s">
        <v>2334</v>
      </c>
      <c r="AP1554" s="44"/>
      <c r="AQ1554" s="236" t="str">
        <f>VLOOKUP(Table8[[#This Row],[Instrument]],Def_Targets!$D$73:$E$159,2,FALSE)</f>
        <v>A_Roadcharging</v>
      </c>
      <c r="AR1554" s="233" t="str">
        <f>VLOOKUP(Table8[[#This Row],[Country Code]],Table29[],3,FALSE)</f>
        <v>Non-Annex I</v>
      </c>
      <c r="AS1554" s="233" t="str">
        <f>VLOOKUP(Table8[[#This Row],[Country Code]],Table29[],4,FALSE)</f>
        <v>Africa</v>
      </c>
      <c r="AT1554" s="233" t="str">
        <f>VLOOKUP(Table8[[#This Row],[Country Code]],Table29[],5,FALSE)</f>
        <v>Middle-income</v>
      </c>
      <c r="AU1554" s="233" t="str">
        <f>VLOOKUP(Table8[[#This Row],[Country Code]],Table29[],6,FALSE)</f>
        <v>no</v>
      </c>
      <c r="AV1554" s="233" t="str">
        <f>VLOOKUP(Table8[[#This Row],[Country Code]],Table29[],7,FALSE)</f>
        <v>no</v>
      </c>
      <c r="AW1554" s="233" t="str">
        <f>VLOOKUP(Table8[[#This Row],[Country Code]],Table29[],8,FALSE)</f>
        <v>non-OECD</v>
      </c>
      <c r="AX1554" s="233" t="str">
        <f>VLOOKUP(Table8[[#This Row],[Country Code]],Table29[],9,FALSE)</f>
        <v>no</v>
      </c>
      <c r="AY1554" s="233" t="str">
        <f>VLOOKUP(Table8[[#This Row],[Country Code]],Table29[],10,FALSE)</f>
        <v>no</v>
      </c>
      <c r="AZ1554" s="235">
        <f>VLOOKUP(Table8[[#This Row],[Country Code]],Table29[],23,FALSE)</f>
        <v>385.11288377147002</v>
      </c>
      <c r="BA1554" s="235">
        <f>VLOOKUP(Table8[[#This Row],[Country Code]],Table29[],24,FALSE)</f>
        <v>58.971195919965467</v>
      </c>
      <c r="BB1554" s="320"/>
      <c r="BC1554" s="320"/>
    </row>
    <row r="1555" spans="1:55" ht="45" hidden="1" x14ac:dyDescent="0.25">
      <c r="A1555" s="373">
        <v>17684</v>
      </c>
      <c r="B1555" s="233" t="str">
        <f>VLOOKUP(Table8[[#This Row],[Document ID]],Table1[],2,FALSE)</f>
        <v>NGA</v>
      </c>
      <c r="C1555" s="233" t="str">
        <f>VLOOKUP(Table8[[#This Row],[Document ID]],Table1[],3,FALSE)</f>
        <v>Nigeria</v>
      </c>
      <c r="D1555" s="243" t="str">
        <f>VLOOKUP(Table8[[#This Row],[Document ID]],Table1[],5,FALSE)</f>
        <v>NDC</v>
      </c>
      <c r="E1555" s="233" t="str">
        <f>VLOOKUP(Table8[[#This Row],[Document ID]],Table1[],7,FALSE)</f>
        <v>First NDC</v>
      </c>
      <c r="F1555" s="236" t="str">
        <f>VLOOKUP(Table8[[#This Row],[Document ID]],Table1[],8,FALSE)</f>
        <v>NDC 1.0</v>
      </c>
      <c r="G1555" s="236" t="str">
        <f>VLOOKUP(Table8[[#This Row],[Document ID]],Table1[],10,FALSE)</f>
        <v>Archived</v>
      </c>
      <c r="H1555" s="44" t="s">
        <v>2329</v>
      </c>
      <c r="I1555" s="44" t="s">
        <v>2330</v>
      </c>
      <c r="J1555" s="44" t="s">
        <v>2363</v>
      </c>
      <c r="K1555" s="44" t="s">
        <v>3785</v>
      </c>
      <c r="L1555" s="44" t="s">
        <v>2333</v>
      </c>
      <c r="M1555" s="43"/>
      <c r="N1555" s="113"/>
      <c r="O1555" s="113"/>
      <c r="P1555" s="113"/>
      <c r="Q1555" s="319"/>
      <c r="R1555" s="319"/>
      <c r="S1555" s="319"/>
      <c r="T1555" s="319"/>
      <c r="U1555" s="319"/>
      <c r="V1555" s="319"/>
      <c r="W1555" s="319" t="s">
        <v>1113</v>
      </c>
      <c r="X1555" s="319"/>
      <c r="Y1555" s="319" t="s">
        <v>1113</v>
      </c>
      <c r="Z1555" s="319"/>
      <c r="AA1555" s="319"/>
      <c r="AB1555" s="319"/>
      <c r="AC1555" s="319"/>
      <c r="AD1555" s="319"/>
      <c r="AE1555" s="319"/>
      <c r="AF1555" s="319"/>
      <c r="AG1555" s="319"/>
      <c r="AH1555" s="319"/>
      <c r="AI1555" s="319"/>
      <c r="AJ1555" s="319"/>
      <c r="AK1555" s="319" t="s">
        <v>1113</v>
      </c>
      <c r="AL1555" s="319"/>
      <c r="AM1555" s="319"/>
      <c r="AN1555" s="319"/>
      <c r="AO1555" s="43" t="s">
        <v>2348</v>
      </c>
      <c r="AP1555" s="44"/>
      <c r="AQ1555" s="236" t="str">
        <f>VLOOKUP(Table8[[#This Row],[Instrument]],Def_Targets!$D$73:$E$159,2,FALSE)</f>
        <v>I_LPGCNGLNG</v>
      </c>
      <c r="AR1555" s="233" t="str">
        <f>VLOOKUP(Table8[[#This Row],[Country Code]],Table29[],3,FALSE)</f>
        <v>Non-Annex I</v>
      </c>
      <c r="AS1555" s="233" t="str">
        <f>VLOOKUP(Table8[[#This Row],[Country Code]],Table29[],4,FALSE)</f>
        <v>Africa</v>
      </c>
      <c r="AT1555" s="233" t="str">
        <f>VLOOKUP(Table8[[#This Row],[Country Code]],Table29[],5,FALSE)</f>
        <v>Middle-income</v>
      </c>
      <c r="AU1555" s="233" t="str">
        <f>VLOOKUP(Table8[[#This Row],[Country Code]],Table29[],6,FALSE)</f>
        <v>no</v>
      </c>
      <c r="AV1555" s="233" t="str">
        <f>VLOOKUP(Table8[[#This Row],[Country Code]],Table29[],7,FALSE)</f>
        <v>no</v>
      </c>
      <c r="AW1555" s="233" t="str">
        <f>VLOOKUP(Table8[[#This Row],[Country Code]],Table29[],8,FALSE)</f>
        <v>non-OECD</v>
      </c>
      <c r="AX1555" s="233" t="str">
        <f>VLOOKUP(Table8[[#This Row],[Country Code]],Table29[],9,FALSE)</f>
        <v>no</v>
      </c>
      <c r="AY1555" s="233" t="str">
        <f>VLOOKUP(Table8[[#This Row],[Country Code]],Table29[],10,FALSE)</f>
        <v>no</v>
      </c>
      <c r="AZ1555" s="235">
        <f>VLOOKUP(Table8[[#This Row],[Country Code]],Table29[],23,FALSE)</f>
        <v>385.11288377147002</v>
      </c>
      <c r="BA1555" s="235">
        <f>VLOOKUP(Table8[[#This Row],[Country Code]],Table29[],24,FALSE)</f>
        <v>58.971195919965467</v>
      </c>
      <c r="BB1555" s="320"/>
      <c r="BC1555" s="320"/>
    </row>
    <row r="1556" spans="1:55" ht="30" hidden="1" x14ac:dyDescent="0.25">
      <c r="A1556" s="373">
        <v>17684</v>
      </c>
      <c r="B1556" s="233" t="str">
        <f>VLOOKUP(Table8[[#This Row],[Document ID]],Table1[],2,FALSE)</f>
        <v>NGA</v>
      </c>
      <c r="C1556" s="233" t="str">
        <f>VLOOKUP(Table8[[#This Row],[Document ID]],Table1[],3,FALSE)</f>
        <v>Nigeria</v>
      </c>
      <c r="D1556" s="243" t="str">
        <f>VLOOKUP(Table8[[#This Row],[Document ID]],Table1[],5,FALSE)</f>
        <v>NDC</v>
      </c>
      <c r="E1556" s="233" t="str">
        <f>VLOOKUP(Table8[[#This Row],[Document ID]],Table1[],7,FALSE)</f>
        <v>First NDC</v>
      </c>
      <c r="F1556" s="236" t="str">
        <f>VLOOKUP(Table8[[#This Row],[Document ID]],Table1[],8,FALSE)</f>
        <v>NDC 1.0</v>
      </c>
      <c r="G1556" s="236" t="str">
        <f>VLOOKUP(Table8[[#This Row],[Document ID]],Table1[],10,FALSE)</f>
        <v>Archived</v>
      </c>
      <c r="H1556" s="43" t="s">
        <v>2343</v>
      </c>
      <c r="I1556" s="43" t="s">
        <v>2386</v>
      </c>
      <c r="J1556" s="44" t="s">
        <v>2515</v>
      </c>
      <c r="K1556" s="44" t="s">
        <v>3786</v>
      </c>
      <c r="L1556" s="44" t="s">
        <v>2373</v>
      </c>
      <c r="M1556" s="43"/>
      <c r="N1556" s="113" t="s">
        <v>1113</v>
      </c>
      <c r="O1556" s="113"/>
      <c r="P1556" s="113"/>
      <c r="Q1556" s="319"/>
      <c r="R1556" s="319"/>
      <c r="S1556" s="319"/>
      <c r="T1556" s="319"/>
      <c r="U1556" s="319"/>
      <c r="V1556" s="319"/>
      <c r="W1556" s="319"/>
      <c r="X1556" s="319"/>
      <c r="Y1556" s="319"/>
      <c r="Z1556" s="319"/>
      <c r="AA1556" s="319"/>
      <c r="AB1556" s="319"/>
      <c r="AC1556" s="319"/>
      <c r="AD1556" s="319"/>
      <c r="AE1556" s="319"/>
      <c r="AF1556" s="319"/>
      <c r="AG1556" s="319"/>
      <c r="AH1556" s="319"/>
      <c r="AI1556" s="319"/>
      <c r="AJ1556" s="319"/>
      <c r="AK1556" s="319" t="s">
        <v>1113</v>
      </c>
      <c r="AL1556" s="319"/>
      <c r="AM1556" s="319"/>
      <c r="AN1556" s="319"/>
      <c r="AO1556" s="44" t="s">
        <v>2334</v>
      </c>
      <c r="AP1556" s="44"/>
      <c r="AQ1556" s="236" t="str">
        <f>VLOOKUP(Table8[[#This Row],[Instrument]],Def_Targets!$D$73:$E$159,2,FALSE)</f>
        <v>A_Fossilfuelsubs</v>
      </c>
      <c r="AR1556" s="233" t="str">
        <f>VLOOKUP(Table8[[#This Row],[Country Code]],Table29[],3,FALSE)</f>
        <v>Non-Annex I</v>
      </c>
      <c r="AS1556" s="233" t="str">
        <f>VLOOKUP(Table8[[#This Row],[Country Code]],Table29[],4,FALSE)</f>
        <v>Africa</v>
      </c>
      <c r="AT1556" s="233" t="str">
        <f>VLOOKUP(Table8[[#This Row],[Country Code]],Table29[],5,FALSE)</f>
        <v>Middle-income</v>
      </c>
      <c r="AU1556" s="233" t="str">
        <f>VLOOKUP(Table8[[#This Row],[Country Code]],Table29[],6,FALSE)</f>
        <v>no</v>
      </c>
      <c r="AV1556" s="233" t="str">
        <f>VLOOKUP(Table8[[#This Row],[Country Code]],Table29[],7,FALSE)</f>
        <v>no</v>
      </c>
      <c r="AW1556" s="233" t="str">
        <f>VLOOKUP(Table8[[#This Row],[Country Code]],Table29[],8,FALSE)</f>
        <v>non-OECD</v>
      </c>
      <c r="AX1556" s="233" t="str">
        <f>VLOOKUP(Table8[[#This Row],[Country Code]],Table29[],9,FALSE)</f>
        <v>no</v>
      </c>
      <c r="AY1556" s="233" t="str">
        <f>VLOOKUP(Table8[[#This Row],[Country Code]],Table29[],10,FALSE)</f>
        <v>no</v>
      </c>
      <c r="AZ1556" s="235">
        <f>VLOOKUP(Table8[[#This Row],[Country Code]],Table29[],23,FALSE)</f>
        <v>385.11288377147002</v>
      </c>
      <c r="BA1556" s="235">
        <f>VLOOKUP(Table8[[#This Row],[Country Code]],Table29[],24,FALSE)</f>
        <v>58.971195919965467</v>
      </c>
      <c r="BB1556" s="320"/>
      <c r="BC1556" s="320"/>
    </row>
    <row r="1557" spans="1:55" ht="60" hidden="1" x14ac:dyDescent="0.25">
      <c r="A1557" s="373">
        <v>17684</v>
      </c>
      <c r="B1557" s="233" t="str">
        <f>VLOOKUP(Table8[[#This Row],[Document ID]],Table1[],2,FALSE)</f>
        <v>NGA</v>
      </c>
      <c r="C1557" s="233" t="str">
        <f>VLOOKUP(Table8[[#This Row],[Document ID]],Table1[],3,FALSE)</f>
        <v>Nigeria</v>
      </c>
      <c r="D1557" s="243" t="str">
        <f>VLOOKUP(Table8[[#This Row],[Document ID]],Table1[],5,FALSE)</f>
        <v>NDC</v>
      </c>
      <c r="E1557" s="233" t="str">
        <f>VLOOKUP(Table8[[#This Row],[Document ID]],Table1[],7,FALSE)</f>
        <v>First NDC</v>
      </c>
      <c r="F1557" s="236" t="str">
        <f>VLOOKUP(Table8[[#This Row],[Document ID]],Table1[],8,FALSE)</f>
        <v>NDC 1.0</v>
      </c>
      <c r="G1557" s="236" t="str">
        <f>VLOOKUP(Table8[[#This Row],[Document ID]],Table1[],10,FALSE)</f>
        <v>Archived</v>
      </c>
      <c r="H1557" s="43" t="s">
        <v>2343</v>
      </c>
      <c r="I1557" s="43" t="s">
        <v>2386</v>
      </c>
      <c r="J1557" s="44" t="s">
        <v>2397</v>
      </c>
      <c r="K1557" s="44" t="s">
        <v>3787</v>
      </c>
      <c r="L1557" s="44" t="s">
        <v>2347</v>
      </c>
      <c r="M1557" s="43"/>
      <c r="N1557" s="113"/>
      <c r="O1557" s="113"/>
      <c r="P1557" s="113"/>
      <c r="Q1557" s="319"/>
      <c r="R1557" s="319"/>
      <c r="S1557" s="319"/>
      <c r="T1557" s="319"/>
      <c r="U1557" s="319"/>
      <c r="V1557" s="319"/>
      <c r="W1557" s="319"/>
      <c r="X1557" s="319"/>
      <c r="Y1557" s="319"/>
      <c r="Z1557" s="113" t="s">
        <v>1113</v>
      </c>
      <c r="AA1557" s="319"/>
      <c r="AB1557" s="319"/>
      <c r="AC1557" s="319"/>
      <c r="AD1557" s="319"/>
      <c r="AE1557" s="319"/>
      <c r="AF1557" s="319"/>
      <c r="AG1557" s="319"/>
      <c r="AH1557" s="319"/>
      <c r="AI1557" s="319"/>
      <c r="AJ1557" s="319"/>
      <c r="AK1557" s="319" t="s">
        <v>1113</v>
      </c>
      <c r="AL1557" s="319"/>
      <c r="AM1557" s="319"/>
      <c r="AN1557" s="319"/>
      <c r="AO1557" s="43" t="s">
        <v>2477</v>
      </c>
      <c r="AP1557" s="44"/>
      <c r="AQ1557" s="236" t="str">
        <f>VLOOKUP(Table8[[#This Row],[Instrument]],Def_Targets!$D$73:$E$159,2,FALSE)</f>
        <v>A_Finance</v>
      </c>
      <c r="AR1557" s="233" t="str">
        <f>VLOOKUP(Table8[[#This Row],[Country Code]],Table29[],3,FALSE)</f>
        <v>Non-Annex I</v>
      </c>
      <c r="AS1557" s="233" t="str">
        <f>VLOOKUP(Table8[[#This Row],[Country Code]],Table29[],4,FALSE)</f>
        <v>Africa</v>
      </c>
      <c r="AT1557" s="233" t="str">
        <f>VLOOKUP(Table8[[#This Row],[Country Code]],Table29[],5,FALSE)</f>
        <v>Middle-income</v>
      </c>
      <c r="AU1557" s="233" t="str">
        <f>VLOOKUP(Table8[[#This Row],[Country Code]],Table29[],6,FALSE)</f>
        <v>no</v>
      </c>
      <c r="AV1557" s="233" t="str">
        <f>VLOOKUP(Table8[[#This Row],[Country Code]],Table29[],7,FALSE)</f>
        <v>no</v>
      </c>
      <c r="AW1557" s="233" t="str">
        <f>VLOOKUP(Table8[[#This Row],[Country Code]],Table29[],8,FALSE)</f>
        <v>non-OECD</v>
      </c>
      <c r="AX1557" s="233" t="str">
        <f>VLOOKUP(Table8[[#This Row],[Country Code]],Table29[],9,FALSE)</f>
        <v>no</v>
      </c>
      <c r="AY1557" s="233" t="str">
        <f>VLOOKUP(Table8[[#This Row],[Country Code]],Table29[],10,FALSE)</f>
        <v>no</v>
      </c>
      <c r="AZ1557" s="235">
        <f>VLOOKUP(Table8[[#This Row],[Country Code]],Table29[],23,FALSE)</f>
        <v>385.11288377147002</v>
      </c>
      <c r="BA1557" s="235">
        <f>VLOOKUP(Table8[[#This Row],[Country Code]],Table29[],24,FALSE)</f>
        <v>58.971195919965467</v>
      </c>
      <c r="BB1557" s="320"/>
      <c r="BC1557" s="320"/>
    </row>
    <row r="1558" spans="1:55" ht="60" hidden="1" x14ac:dyDescent="0.25">
      <c r="A1558" s="373">
        <v>17684</v>
      </c>
      <c r="B1558" s="233" t="str">
        <f>VLOOKUP(Table8[[#This Row],[Document ID]],Table1[],2,FALSE)</f>
        <v>NGA</v>
      </c>
      <c r="C1558" s="233" t="str">
        <f>VLOOKUP(Table8[[#This Row],[Document ID]],Table1[],3,FALSE)</f>
        <v>Nigeria</v>
      </c>
      <c r="D1558" s="243" t="str">
        <f>VLOOKUP(Table8[[#This Row],[Document ID]],Table1[],5,FALSE)</f>
        <v>NDC</v>
      </c>
      <c r="E1558" s="233" t="str">
        <f>VLOOKUP(Table8[[#This Row],[Document ID]],Table1[],7,FALSE)</f>
        <v>First NDC</v>
      </c>
      <c r="F1558" s="236" t="str">
        <f>VLOOKUP(Table8[[#This Row],[Document ID]],Table1[],8,FALSE)</f>
        <v>NDC 1.0</v>
      </c>
      <c r="G1558" s="236" t="str">
        <f>VLOOKUP(Table8[[#This Row],[Document ID]],Table1[],10,FALSE)</f>
        <v>Archived</v>
      </c>
      <c r="H1558" s="43" t="s">
        <v>2350</v>
      </c>
      <c r="I1558" s="43" t="s">
        <v>2351</v>
      </c>
      <c r="J1558" s="44" t="s">
        <v>2352</v>
      </c>
      <c r="K1558" s="44" t="s">
        <v>3787</v>
      </c>
      <c r="L1558" s="44" t="s">
        <v>2347</v>
      </c>
      <c r="M1558" s="43"/>
      <c r="N1558" s="113"/>
      <c r="O1558" s="113"/>
      <c r="P1558" s="113"/>
      <c r="Q1558" s="319"/>
      <c r="R1558" s="319"/>
      <c r="S1558" s="319"/>
      <c r="T1558" s="319"/>
      <c r="U1558" s="319"/>
      <c r="V1558" s="319"/>
      <c r="W1558" s="319"/>
      <c r="X1558" s="319"/>
      <c r="Y1558" s="319"/>
      <c r="Z1558" s="113" t="s">
        <v>1113</v>
      </c>
      <c r="AA1558" s="319"/>
      <c r="AB1558" s="319"/>
      <c r="AC1558" s="319"/>
      <c r="AD1558" s="319"/>
      <c r="AE1558" s="319"/>
      <c r="AF1558" s="319"/>
      <c r="AG1558" s="319"/>
      <c r="AH1558" s="319"/>
      <c r="AI1558" s="319"/>
      <c r="AJ1558" s="319"/>
      <c r="AK1558" s="319" t="s">
        <v>1113</v>
      </c>
      <c r="AL1558" s="319"/>
      <c r="AM1558" s="319"/>
      <c r="AN1558" s="319"/>
      <c r="AO1558" s="43" t="s">
        <v>2477</v>
      </c>
      <c r="AP1558" s="44"/>
      <c r="AQ1558" s="236" t="str">
        <f>VLOOKUP(Table8[[#This Row],[Instrument]],Def_Targets!$D$73:$E$159,2,FALSE)</f>
        <v>S_Railfreight</v>
      </c>
      <c r="AR1558" s="233" t="str">
        <f>VLOOKUP(Table8[[#This Row],[Country Code]],Table29[],3,FALSE)</f>
        <v>Non-Annex I</v>
      </c>
      <c r="AS1558" s="233" t="str">
        <f>VLOOKUP(Table8[[#This Row],[Country Code]],Table29[],4,FALSE)</f>
        <v>Africa</v>
      </c>
      <c r="AT1558" s="233" t="str">
        <f>VLOOKUP(Table8[[#This Row],[Country Code]],Table29[],5,FALSE)</f>
        <v>Middle-income</v>
      </c>
      <c r="AU1558" s="233" t="str">
        <f>VLOOKUP(Table8[[#This Row],[Country Code]],Table29[],6,FALSE)</f>
        <v>no</v>
      </c>
      <c r="AV1558" s="233" t="str">
        <f>VLOOKUP(Table8[[#This Row],[Country Code]],Table29[],7,FALSE)</f>
        <v>no</v>
      </c>
      <c r="AW1558" s="233" t="str">
        <f>VLOOKUP(Table8[[#This Row],[Country Code]],Table29[],8,FALSE)</f>
        <v>non-OECD</v>
      </c>
      <c r="AX1558" s="233" t="str">
        <f>VLOOKUP(Table8[[#This Row],[Country Code]],Table29[],9,FALSE)</f>
        <v>no</v>
      </c>
      <c r="AY1558" s="233" t="str">
        <f>VLOOKUP(Table8[[#This Row],[Country Code]],Table29[],10,FALSE)</f>
        <v>no</v>
      </c>
      <c r="AZ1558" s="235">
        <f>VLOOKUP(Table8[[#This Row],[Country Code]],Table29[],23,FALSE)</f>
        <v>385.11288377147002</v>
      </c>
      <c r="BA1558" s="235">
        <f>VLOOKUP(Table8[[#This Row],[Country Code]],Table29[],24,FALSE)</f>
        <v>58.971195919965467</v>
      </c>
      <c r="BB1558" s="320"/>
      <c r="BC1558" s="320"/>
    </row>
    <row r="1559" spans="1:55" ht="60" hidden="1" x14ac:dyDescent="0.25">
      <c r="A1559" s="373">
        <v>17684</v>
      </c>
      <c r="B1559" s="233" t="str">
        <f>VLOOKUP(Table8[[#This Row],[Document ID]],Table1[],2,FALSE)</f>
        <v>NGA</v>
      </c>
      <c r="C1559" s="233" t="str">
        <f>VLOOKUP(Table8[[#This Row],[Document ID]],Table1[],3,FALSE)</f>
        <v>Nigeria</v>
      </c>
      <c r="D1559" s="243" t="str">
        <f>VLOOKUP(Table8[[#This Row],[Document ID]],Table1[],5,FALSE)</f>
        <v>NDC</v>
      </c>
      <c r="E1559" s="233" t="str">
        <f>VLOOKUP(Table8[[#This Row],[Document ID]],Table1[],7,FALSE)</f>
        <v>First NDC</v>
      </c>
      <c r="F1559" s="236" t="str">
        <f>VLOOKUP(Table8[[#This Row],[Document ID]],Table1[],8,FALSE)</f>
        <v>NDC 1.0</v>
      </c>
      <c r="G1559" s="236" t="str">
        <f>VLOOKUP(Table8[[#This Row],[Document ID]],Table1[],10,FALSE)</f>
        <v>Archived</v>
      </c>
      <c r="H1559" s="43" t="s">
        <v>2350</v>
      </c>
      <c r="I1559" s="43" t="s">
        <v>2456</v>
      </c>
      <c r="J1559" s="44" t="s">
        <v>2466</v>
      </c>
      <c r="K1559" s="44" t="s">
        <v>3787</v>
      </c>
      <c r="L1559" s="44" t="s">
        <v>2347</v>
      </c>
      <c r="M1559" s="43"/>
      <c r="N1559" s="113"/>
      <c r="O1559" s="113"/>
      <c r="P1559" s="113"/>
      <c r="Q1559" s="319"/>
      <c r="R1559" s="319"/>
      <c r="S1559" s="319"/>
      <c r="T1559" s="319"/>
      <c r="U1559" s="319"/>
      <c r="V1559" s="319"/>
      <c r="W1559" s="319"/>
      <c r="X1559" s="319"/>
      <c r="Y1559" s="319"/>
      <c r="Z1559" s="113" t="s">
        <v>1113</v>
      </c>
      <c r="AA1559" s="319"/>
      <c r="AB1559" s="319"/>
      <c r="AC1559" s="319"/>
      <c r="AD1559" s="319"/>
      <c r="AE1559" s="319"/>
      <c r="AF1559" s="319"/>
      <c r="AG1559" s="319"/>
      <c r="AH1559" s="319"/>
      <c r="AI1559" s="319"/>
      <c r="AJ1559" s="319"/>
      <c r="AK1559" s="319" t="s">
        <v>1113</v>
      </c>
      <c r="AL1559" s="319"/>
      <c r="AM1559" s="319"/>
      <c r="AN1559" s="319"/>
      <c r="AO1559" s="43" t="s">
        <v>2477</v>
      </c>
      <c r="AP1559" s="44"/>
      <c r="AQ1559" s="236" t="str">
        <f>VLOOKUP(Table8[[#This Row],[Instrument]],Def_Targets!$D$73:$E$159,2,FALSE)</f>
        <v>S_Infraexpansion</v>
      </c>
      <c r="AR1559" s="233" t="str">
        <f>VLOOKUP(Table8[[#This Row],[Country Code]],Table29[],3,FALSE)</f>
        <v>Non-Annex I</v>
      </c>
      <c r="AS1559" s="233" t="str">
        <f>VLOOKUP(Table8[[#This Row],[Country Code]],Table29[],4,FALSE)</f>
        <v>Africa</v>
      </c>
      <c r="AT1559" s="233" t="str">
        <f>VLOOKUP(Table8[[#This Row],[Country Code]],Table29[],5,FALSE)</f>
        <v>Middle-income</v>
      </c>
      <c r="AU1559" s="233" t="str">
        <f>VLOOKUP(Table8[[#This Row],[Country Code]],Table29[],6,FALSE)</f>
        <v>no</v>
      </c>
      <c r="AV1559" s="233" t="str">
        <f>VLOOKUP(Table8[[#This Row],[Country Code]],Table29[],7,FALSE)</f>
        <v>no</v>
      </c>
      <c r="AW1559" s="233" t="str">
        <f>VLOOKUP(Table8[[#This Row],[Country Code]],Table29[],8,FALSE)</f>
        <v>non-OECD</v>
      </c>
      <c r="AX1559" s="233" t="str">
        <f>VLOOKUP(Table8[[#This Row],[Country Code]],Table29[],9,FALSE)</f>
        <v>no</v>
      </c>
      <c r="AY1559" s="233" t="str">
        <f>VLOOKUP(Table8[[#This Row],[Country Code]],Table29[],10,FALSE)</f>
        <v>no</v>
      </c>
      <c r="AZ1559" s="235">
        <f>VLOOKUP(Table8[[#This Row],[Country Code]],Table29[],23,FALSE)</f>
        <v>385.11288377147002</v>
      </c>
      <c r="BA1559" s="235">
        <f>VLOOKUP(Table8[[#This Row],[Country Code]],Table29[],24,FALSE)</f>
        <v>58.971195919965467</v>
      </c>
      <c r="BB1559" s="320"/>
      <c r="BC1559" s="320"/>
    </row>
    <row r="1560" spans="1:55" hidden="1" x14ac:dyDescent="0.25">
      <c r="A1560" s="373">
        <v>17684</v>
      </c>
      <c r="B1560" s="233" t="str">
        <f>VLOOKUP(Table8[[#This Row],[Document ID]],Table1[],2,FALSE)</f>
        <v>NGA</v>
      </c>
      <c r="C1560" s="233" t="str">
        <f>VLOOKUP(Table8[[#This Row],[Document ID]],Table1[],3,FALSE)</f>
        <v>Nigeria</v>
      </c>
      <c r="D1560" s="243" t="str">
        <f>VLOOKUP(Table8[[#This Row],[Document ID]],Table1[],5,FALSE)</f>
        <v>NDC</v>
      </c>
      <c r="E1560" s="233" t="str">
        <f>VLOOKUP(Table8[[#This Row],[Document ID]],Table1[],7,FALSE)</f>
        <v>First NDC</v>
      </c>
      <c r="F1560" s="236" t="str">
        <f>VLOOKUP(Table8[[#This Row],[Document ID]],Table1[],8,FALSE)</f>
        <v>NDC 1.0</v>
      </c>
      <c r="G1560" s="236" t="str">
        <f>VLOOKUP(Table8[[#This Row],[Document ID]],Table1[],10,FALSE)</f>
        <v>Archived</v>
      </c>
      <c r="H1560" s="44" t="s">
        <v>2338</v>
      </c>
      <c r="I1560" s="44" t="s">
        <v>2339</v>
      </c>
      <c r="J1560" s="44" t="s">
        <v>2340</v>
      </c>
      <c r="K1560" s="44" t="s">
        <v>3788</v>
      </c>
      <c r="L1560" s="44" t="s">
        <v>2333</v>
      </c>
      <c r="M1560" s="43"/>
      <c r="N1560" s="113" t="s">
        <v>1113</v>
      </c>
      <c r="O1560" s="113"/>
      <c r="P1560" s="113"/>
      <c r="Q1560" s="319"/>
      <c r="R1560" s="319"/>
      <c r="S1560" s="319"/>
      <c r="T1560" s="319"/>
      <c r="U1560" s="319"/>
      <c r="V1560" s="319"/>
      <c r="W1560" s="319"/>
      <c r="X1560" s="319"/>
      <c r="Y1560" s="319"/>
      <c r="Z1560" s="319"/>
      <c r="AA1560" s="319"/>
      <c r="AB1560" s="319"/>
      <c r="AC1560" s="319"/>
      <c r="AD1560" s="319"/>
      <c r="AE1560" s="319"/>
      <c r="AF1560" s="319"/>
      <c r="AG1560" s="319"/>
      <c r="AH1560" s="319"/>
      <c r="AI1560" s="319"/>
      <c r="AJ1560" s="319"/>
      <c r="AK1560" s="319" t="s">
        <v>1113</v>
      </c>
      <c r="AL1560" s="319"/>
      <c r="AM1560" s="319"/>
      <c r="AN1560" s="319"/>
      <c r="AO1560" s="44" t="s">
        <v>2334</v>
      </c>
      <c r="AP1560" s="44"/>
      <c r="AQ1560" s="236" t="str">
        <f>VLOOKUP(Table8[[#This Row],[Instrument]],Def_Targets!$D$73:$E$159,2,FALSE)</f>
        <v>I_Vehicleimprove</v>
      </c>
      <c r="AR1560" s="233" t="str">
        <f>VLOOKUP(Table8[[#This Row],[Country Code]],Table29[],3,FALSE)</f>
        <v>Non-Annex I</v>
      </c>
      <c r="AS1560" s="233" t="str">
        <f>VLOOKUP(Table8[[#This Row],[Country Code]],Table29[],4,FALSE)</f>
        <v>Africa</v>
      </c>
      <c r="AT1560" s="233" t="str">
        <f>VLOOKUP(Table8[[#This Row],[Country Code]],Table29[],5,FALSE)</f>
        <v>Middle-income</v>
      </c>
      <c r="AU1560" s="233" t="str">
        <f>VLOOKUP(Table8[[#This Row],[Country Code]],Table29[],6,FALSE)</f>
        <v>no</v>
      </c>
      <c r="AV1560" s="233" t="str">
        <f>VLOOKUP(Table8[[#This Row],[Country Code]],Table29[],7,FALSE)</f>
        <v>no</v>
      </c>
      <c r="AW1560" s="233" t="str">
        <f>VLOOKUP(Table8[[#This Row],[Country Code]],Table29[],8,FALSE)</f>
        <v>non-OECD</v>
      </c>
      <c r="AX1560" s="233" t="str">
        <f>VLOOKUP(Table8[[#This Row],[Country Code]],Table29[],9,FALSE)</f>
        <v>no</v>
      </c>
      <c r="AY1560" s="233" t="str">
        <f>VLOOKUP(Table8[[#This Row],[Country Code]],Table29[],10,FALSE)</f>
        <v>no</v>
      </c>
      <c r="AZ1560" s="235">
        <f>VLOOKUP(Table8[[#This Row],[Country Code]],Table29[],23,FALSE)</f>
        <v>385.11288377147002</v>
      </c>
      <c r="BA1560" s="235">
        <f>VLOOKUP(Table8[[#This Row],[Country Code]],Table29[],24,FALSE)</f>
        <v>58.971195919965467</v>
      </c>
      <c r="BB1560" s="320"/>
      <c r="BC1560" s="320"/>
    </row>
    <row r="1561" spans="1:55" hidden="1" x14ac:dyDescent="0.25">
      <c r="A1561" s="373">
        <v>17684</v>
      </c>
      <c r="B1561" s="233" t="str">
        <f>VLOOKUP(Table8[[#This Row],[Document ID]],Table1[],2,FALSE)</f>
        <v>NGA</v>
      </c>
      <c r="C1561" s="233" t="str">
        <f>VLOOKUP(Table8[[#This Row],[Document ID]],Table1[],3,FALSE)</f>
        <v>Nigeria</v>
      </c>
      <c r="D1561" s="243" t="str">
        <f>VLOOKUP(Table8[[#This Row],[Document ID]],Table1[],5,FALSE)</f>
        <v>NDC</v>
      </c>
      <c r="E1561" s="233" t="str">
        <f>VLOOKUP(Table8[[#This Row],[Document ID]],Table1[],7,FALSE)</f>
        <v>First NDC</v>
      </c>
      <c r="F1561" s="236" t="str">
        <f>VLOOKUP(Table8[[#This Row],[Document ID]],Table1[],8,FALSE)</f>
        <v>NDC 1.0</v>
      </c>
      <c r="G1561" s="236" t="str">
        <f>VLOOKUP(Table8[[#This Row],[Document ID]],Table1[],10,FALSE)</f>
        <v>Archived</v>
      </c>
      <c r="H1561" s="44" t="s">
        <v>2338</v>
      </c>
      <c r="I1561" s="44" t="s">
        <v>2339</v>
      </c>
      <c r="J1561" s="44" t="s">
        <v>2340</v>
      </c>
      <c r="K1561" s="44" t="s">
        <v>3788</v>
      </c>
      <c r="L1561" s="44" t="s">
        <v>2347</v>
      </c>
      <c r="M1561" s="43"/>
      <c r="N1561" s="113" t="s">
        <v>1113</v>
      </c>
      <c r="O1561" s="113"/>
      <c r="P1561" s="113"/>
      <c r="Q1561" s="319"/>
      <c r="R1561" s="319"/>
      <c r="S1561" s="319"/>
      <c r="T1561" s="319"/>
      <c r="U1561" s="113"/>
      <c r="V1561" s="319"/>
      <c r="W1561" s="319"/>
      <c r="X1561" s="319"/>
      <c r="Y1561" s="319"/>
      <c r="Z1561" s="113"/>
      <c r="AA1561" s="319"/>
      <c r="AB1561" s="319"/>
      <c r="AC1561" s="319"/>
      <c r="AD1561" s="113"/>
      <c r="AE1561" s="319"/>
      <c r="AF1561" s="319"/>
      <c r="AG1561" s="319"/>
      <c r="AH1561" s="319"/>
      <c r="AI1561" s="319"/>
      <c r="AJ1561" s="319"/>
      <c r="AK1561" s="319" t="s">
        <v>1113</v>
      </c>
      <c r="AL1561" s="319"/>
      <c r="AM1561" s="319"/>
      <c r="AN1561" s="319"/>
      <c r="AO1561" s="44" t="s">
        <v>2334</v>
      </c>
      <c r="AP1561" s="44"/>
      <c r="AQ1561" s="236" t="str">
        <f>VLOOKUP(Table8[[#This Row],[Instrument]],Def_Targets!$D$73:$E$159,2,FALSE)</f>
        <v>I_Vehicleimprove</v>
      </c>
      <c r="AR1561" s="233" t="str">
        <f>VLOOKUP(Table8[[#This Row],[Country Code]],Table29[],3,FALSE)</f>
        <v>Non-Annex I</v>
      </c>
      <c r="AS1561" s="233" t="str">
        <f>VLOOKUP(Table8[[#This Row],[Country Code]],Table29[],4,FALSE)</f>
        <v>Africa</v>
      </c>
      <c r="AT1561" s="233" t="str">
        <f>VLOOKUP(Table8[[#This Row],[Country Code]],Table29[],5,FALSE)</f>
        <v>Middle-income</v>
      </c>
      <c r="AU1561" s="233" t="str">
        <f>VLOOKUP(Table8[[#This Row],[Country Code]],Table29[],6,FALSE)</f>
        <v>no</v>
      </c>
      <c r="AV1561" s="233" t="str">
        <f>VLOOKUP(Table8[[#This Row],[Country Code]],Table29[],7,FALSE)</f>
        <v>no</v>
      </c>
      <c r="AW1561" s="233" t="str">
        <f>VLOOKUP(Table8[[#This Row],[Country Code]],Table29[],8,FALSE)</f>
        <v>non-OECD</v>
      </c>
      <c r="AX1561" s="233" t="str">
        <f>VLOOKUP(Table8[[#This Row],[Country Code]],Table29[],9,FALSE)</f>
        <v>no</v>
      </c>
      <c r="AY1561" s="233" t="str">
        <f>VLOOKUP(Table8[[#This Row],[Country Code]],Table29[],10,FALSE)</f>
        <v>no</v>
      </c>
      <c r="AZ1561" s="235">
        <f>VLOOKUP(Table8[[#This Row],[Country Code]],Table29[],23,FALSE)</f>
        <v>385.11288377147002</v>
      </c>
      <c r="BA1561" s="235">
        <f>VLOOKUP(Table8[[#This Row],[Country Code]],Table29[],24,FALSE)</f>
        <v>58.971195919965467</v>
      </c>
      <c r="BB1561" s="320"/>
      <c r="BC1561" s="320"/>
    </row>
    <row r="1562" spans="1:55" ht="30" hidden="1" x14ac:dyDescent="0.25">
      <c r="A1562" s="373">
        <v>32509</v>
      </c>
      <c r="B1562" s="233" t="str">
        <f>VLOOKUP(Table8[[#This Row],[Document ID]],Table1[],2,FALSE)</f>
        <v>NGA</v>
      </c>
      <c r="C1562" s="233" t="str">
        <f>VLOOKUP(Table8[[#This Row],[Document ID]],Table1[],3,FALSE)</f>
        <v>Nigeria</v>
      </c>
      <c r="D1562" s="243" t="str">
        <f>VLOOKUP(Table8[[#This Row],[Document ID]],Table1[],5,FALSE)</f>
        <v>NDC</v>
      </c>
      <c r="E1562" s="233" t="str">
        <f>VLOOKUP(Table8[[#This Row],[Document ID]],Table1[],7,FALSE)</f>
        <v>First NDC updated</v>
      </c>
      <c r="F1562" s="233" t="str">
        <f>VLOOKUP(Table8[[#This Row],[Document ID]],Table1[],8,FALSE)</f>
        <v>NDC 1.2</v>
      </c>
      <c r="G1562" s="233" t="str">
        <f>VLOOKUP(Table8[[#This Row],[Document ID]],Table1[],10,FALSE)</f>
        <v>Active</v>
      </c>
      <c r="H1562" s="43" t="s">
        <v>2343</v>
      </c>
      <c r="I1562" s="43" t="s">
        <v>2344</v>
      </c>
      <c r="J1562" s="44" t="s">
        <v>2549</v>
      </c>
      <c r="K1562" s="44" t="s">
        <v>3789</v>
      </c>
      <c r="L1562" s="44" t="s">
        <v>2347</v>
      </c>
      <c r="M1562" s="43" t="s">
        <v>2647</v>
      </c>
      <c r="N1562" s="113"/>
      <c r="O1562" s="113"/>
      <c r="P1562" s="113"/>
      <c r="Q1562" s="113"/>
      <c r="R1562" s="113"/>
      <c r="S1562" s="113"/>
      <c r="T1562" s="113"/>
      <c r="U1562" s="113"/>
      <c r="V1562" s="113"/>
      <c r="W1562" s="113"/>
      <c r="X1562" s="113"/>
      <c r="Y1562" s="113" t="s">
        <v>1113</v>
      </c>
      <c r="Z1562" s="113"/>
      <c r="AA1562" s="113"/>
      <c r="AB1562" s="113"/>
      <c r="AC1562" s="113"/>
      <c r="AD1562" s="113"/>
      <c r="AE1562" s="113"/>
      <c r="AF1562" s="113"/>
      <c r="AG1562" s="113"/>
      <c r="AH1562" s="113"/>
      <c r="AI1562" s="113"/>
      <c r="AJ1562" s="113"/>
      <c r="AK1562" s="113"/>
      <c r="AL1562" s="113" t="s">
        <v>1113</v>
      </c>
      <c r="AM1562" s="113"/>
      <c r="AN1562" s="113"/>
      <c r="AO1562" s="43" t="s">
        <v>2348</v>
      </c>
      <c r="AP1562" s="43"/>
      <c r="AQ1562" s="236" t="str">
        <f>VLOOKUP(Table8[[#This Row],[Instrument]],Def_Targets!$D$73:$E$159,2,FALSE)</f>
        <v>S_BRT</v>
      </c>
      <c r="AR1562" s="233" t="str">
        <f>VLOOKUP(Table8[[#This Row],[Country Code]],Table29[],3,FALSE)</f>
        <v>Non-Annex I</v>
      </c>
      <c r="AS1562" s="233" t="str">
        <f>VLOOKUP(Table8[[#This Row],[Country Code]],Table29[],4,FALSE)</f>
        <v>Africa</v>
      </c>
      <c r="AT1562" s="233" t="str">
        <f>VLOOKUP(Table8[[#This Row],[Country Code]],Table29[],5,FALSE)</f>
        <v>Middle-income</v>
      </c>
      <c r="AU1562" s="233" t="str">
        <f>VLOOKUP(Table8[[#This Row],[Country Code]],Table29[],6,FALSE)</f>
        <v>no</v>
      </c>
      <c r="AV1562" s="233" t="str">
        <f>VLOOKUP(Table8[[#This Row],[Country Code]],Table29[],7,FALSE)</f>
        <v>no</v>
      </c>
      <c r="AW1562" s="233" t="str">
        <f>VLOOKUP(Table8[[#This Row],[Country Code]],Table29[],8,FALSE)</f>
        <v>non-OECD</v>
      </c>
      <c r="AX1562" s="233" t="str">
        <f>VLOOKUP(Table8[[#This Row],[Country Code]],Table29[],9,FALSE)</f>
        <v>no</v>
      </c>
      <c r="AY1562" s="233" t="str">
        <f>VLOOKUP(Table8[[#This Row],[Country Code]],Table29[],10,FALSE)</f>
        <v>no</v>
      </c>
      <c r="AZ1562" s="235">
        <f>VLOOKUP(Table8[[#This Row],[Country Code]],Table29[],23,FALSE)</f>
        <v>385.11288377147002</v>
      </c>
      <c r="BA1562" s="235">
        <f>VLOOKUP(Table8[[#This Row],[Country Code]],Table29[],24,FALSE)</f>
        <v>58.971195919965467</v>
      </c>
      <c r="BB1562" s="320"/>
      <c r="BC1562" s="320"/>
    </row>
    <row r="1563" spans="1:55" s="17" customFormat="1" hidden="1" x14ac:dyDescent="0.25">
      <c r="A1563" s="373">
        <v>32509</v>
      </c>
      <c r="B1563" s="233" t="str">
        <f>VLOOKUP(Table8[[#This Row],[Document ID]],Table1[],2,FALSE)</f>
        <v>NGA</v>
      </c>
      <c r="C1563" s="233" t="str">
        <f>VLOOKUP(Table8[[#This Row],[Document ID]],Table1[],3,FALSE)</f>
        <v>Nigeria</v>
      </c>
      <c r="D1563" s="243" t="str">
        <f>VLOOKUP(Table8[[#This Row],[Document ID]],Table1[],5,FALSE)</f>
        <v>NDC</v>
      </c>
      <c r="E1563" s="233" t="str">
        <f>VLOOKUP(Table8[[#This Row],[Document ID]],Table1[],7,FALSE)</f>
        <v>First NDC updated</v>
      </c>
      <c r="F1563" s="233" t="str">
        <f>VLOOKUP(Table8[[#This Row],[Document ID]],Table1[],8,FALSE)</f>
        <v>NDC 1.2</v>
      </c>
      <c r="G1563" s="233" t="str">
        <f>VLOOKUP(Table8[[#This Row],[Document ID]],Table1[],10,FALSE)</f>
        <v>Active</v>
      </c>
      <c r="H1563" s="43" t="s">
        <v>2343</v>
      </c>
      <c r="I1563" s="43" t="s">
        <v>2344</v>
      </c>
      <c r="J1563" s="44" t="s">
        <v>2405</v>
      </c>
      <c r="K1563" s="44" t="s">
        <v>1925</v>
      </c>
      <c r="L1563" s="44" t="s">
        <v>2347</v>
      </c>
      <c r="M1563" s="43">
        <v>22</v>
      </c>
      <c r="N1563" s="113"/>
      <c r="O1563" s="113"/>
      <c r="P1563" s="113"/>
      <c r="Q1563" s="113"/>
      <c r="R1563" s="113"/>
      <c r="S1563" s="113"/>
      <c r="T1563" s="113"/>
      <c r="U1563" s="113"/>
      <c r="V1563" s="113"/>
      <c r="W1563" s="113"/>
      <c r="X1563" s="113"/>
      <c r="Y1563" s="113"/>
      <c r="Z1563" s="113" t="s">
        <v>1113</v>
      </c>
      <c r="AA1563" s="113"/>
      <c r="AB1563" s="113"/>
      <c r="AC1563" s="113"/>
      <c r="AD1563" s="113"/>
      <c r="AE1563" s="113"/>
      <c r="AF1563" s="113"/>
      <c r="AG1563" s="113"/>
      <c r="AH1563" s="113"/>
      <c r="AI1563" s="113"/>
      <c r="AJ1563" s="113"/>
      <c r="AK1563" s="113" t="s">
        <v>1113</v>
      </c>
      <c r="AL1563" s="113"/>
      <c r="AM1563" s="113"/>
      <c r="AN1563" s="113"/>
      <c r="AO1563" s="43" t="s">
        <v>2348</v>
      </c>
      <c r="AP1563" s="43"/>
      <c r="AQ1563" s="236" t="str">
        <f>VLOOKUP(Table8[[#This Row],[Instrument]],Def_Targets!$D$73:$E$159,2,FALSE)</f>
        <v>S_PTIntegration</v>
      </c>
      <c r="AR1563" s="233" t="str">
        <f>VLOOKUP(Table8[[#This Row],[Country Code]],Table29[],3,FALSE)</f>
        <v>Non-Annex I</v>
      </c>
      <c r="AS1563" s="233" t="str">
        <f>VLOOKUP(Table8[[#This Row],[Country Code]],Table29[],4,FALSE)</f>
        <v>Africa</v>
      </c>
      <c r="AT1563" s="233" t="str">
        <f>VLOOKUP(Table8[[#This Row],[Country Code]],Table29[],5,FALSE)</f>
        <v>Middle-income</v>
      </c>
      <c r="AU1563" s="233" t="str">
        <f>VLOOKUP(Table8[[#This Row],[Country Code]],Table29[],6,FALSE)</f>
        <v>no</v>
      </c>
      <c r="AV1563" s="233" t="str">
        <f>VLOOKUP(Table8[[#This Row],[Country Code]],Table29[],7,FALSE)</f>
        <v>no</v>
      </c>
      <c r="AW1563" s="233" t="str">
        <f>VLOOKUP(Table8[[#This Row],[Country Code]],Table29[],8,FALSE)</f>
        <v>non-OECD</v>
      </c>
      <c r="AX1563" s="233" t="str">
        <f>VLOOKUP(Table8[[#This Row],[Country Code]],Table29[],9,FALSE)</f>
        <v>no</v>
      </c>
      <c r="AY1563" s="233" t="str">
        <f>VLOOKUP(Table8[[#This Row],[Country Code]],Table29[],10,FALSE)</f>
        <v>no</v>
      </c>
      <c r="AZ1563" s="235">
        <f>VLOOKUP(Table8[[#This Row],[Country Code]],Table29[],23,FALSE)</f>
        <v>385.11288377147002</v>
      </c>
      <c r="BA1563" s="235">
        <f>VLOOKUP(Table8[[#This Row],[Country Code]],Table29[],24,FALSE)</f>
        <v>58.971195919965467</v>
      </c>
      <c r="BB1563" s="320"/>
      <c r="BC1563" s="320"/>
    </row>
    <row r="1564" spans="1:55" hidden="1" x14ac:dyDescent="0.25">
      <c r="A1564" s="373">
        <v>32509</v>
      </c>
      <c r="B1564" s="233" t="str">
        <f>VLOOKUP(Table8[[#This Row],[Document ID]],Table1[],2,FALSE)</f>
        <v>NGA</v>
      </c>
      <c r="C1564" s="233" t="str">
        <f>VLOOKUP(Table8[[#This Row],[Document ID]],Table1[],3,FALSE)</f>
        <v>Nigeria</v>
      </c>
      <c r="D1564" s="243" t="str">
        <f>VLOOKUP(Table8[[#This Row],[Document ID]],Table1[],5,FALSE)</f>
        <v>NDC</v>
      </c>
      <c r="E1564" s="233" t="str">
        <f>VLOOKUP(Table8[[#This Row],[Document ID]],Table1[],7,FALSE)</f>
        <v>First NDC updated</v>
      </c>
      <c r="F1564" s="233" t="str">
        <f>VLOOKUP(Table8[[#This Row],[Document ID]],Table1[],8,FALSE)</f>
        <v>NDC 1.2</v>
      </c>
      <c r="G1564" s="233" t="str">
        <f>VLOOKUP(Table8[[#This Row],[Document ID]],Table1[],10,FALSE)</f>
        <v>Active</v>
      </c>
      <c r="H1564" s="43" t="s">
        <v>2343</v>
      </c>
      <c r="I1564" s="43" t="s">
        <v>2344</v>
      </c>
      <c r="J1564" s="44" t="s">
        <v>2549</v>
      </c>
      <c r="K1564" s="44" t="s">
        <v>1926</v>
      </c>
      <c r="L1564" s="44" t="s">
        <v>2347</v>
      </c>
      <c r="M1564" s="43">
        <v>22</v>
      </c>
      <c r="N1564" s="113"/>
      <c r="O1564" s="113"/>
      <c r="P1564" s="113"/>
      <c r="Q1564" s="113"/>
      <c r="R1564" s="113"/>
      <c r="S1564" s="113"/>
      <c r="T1564" s="113"/>
      <c r="U1564" s="113"/>
      <c r="V1564" s="113"/>
      <c r="W1564" s="113"/>
      <c r="X1564" s="113"/>
      <c r="Y1564" s="113" t="s">
        <v>1113</v>
      </c>
      <c r="Z1564" s="113"/>
      <c r="AA1564" s="113"/>
      <c r="AB1564" s="113"/>
      <c r="AC1564" s="113"/>
      <c r="AD1564" s="113"/>
      <c r="AE1564" s="113"/>
      <c r="AF1564" s="113"/>
      <c r="AG1564" s="113"/>
      <c r="AH1564" s="113"/>
      <c r="AI1564" s="113"/>
      <c r="AJ1564" s="113"/>
      <c r="AK1564" s="113"/>
      <c r="AL1564" s="113" t="s">
        <v>1113</v>
      </c>
      <c r="AM1564" s="113"/>
      <c r="AN1564" s="113"/>
      <c r="AO1564" s="43" t="s">
        <v>2348</v>
      </c>
      <c r="AP1564" s="43"/>
      <c r="AQ1564" s="236" t="str">
        <f>VLOOKUP(Table8[[#This Row],[Instrument]],Def_Targets!$D$73:$E$159,2,FALSE)</f>
        <v>S_BRT</v>
      </c>
      <c r="AR1564" s="233" t="str">
        <f>VLOOKUP(Table8[[#This Row],[Country Code]],Table29[],3,FALSE)</f>
        <v>Non-Annex I</v>
      </c>
      <c r="AS1564" s="233" t="str">
        <f>VLOOKUP(Table8[[#This Row],[Country Code]],Table29[],4,FALSE)</f>
        <v>Africa</v>
      </c>
      <c r="AT1564" s="233" t="str">
        <f>VLOOKUP(Table8[[#This Row],[Country Code]],Table29[],5,FALSE)</f>
        <v>Middle-income</v>
      </c>
      <c r="AU1564" s="233" t="str">
        <f>VLOOKUP(Table8[[#This Row],[Country Code]],Table29[],6,FALSE)</f>
        <v>no</v>
      </c>
      <c r="AV1564" s="233" t="str">
        <f>VLOOKUP(Table8[[#This Row],[Country Code]],Table29[],7,FALSE)</f>
        <v>no</v>
      </c>
      <c r="AW1564" s="233" t="str">
        <f>VLOOKUP(Table8[[#This Row],[Country Code]],Table29[],8,FALSE)</f>
        <v>non-OECD</v>
      </c>
      <c r="AX1564" s="233" t="str">
        <f>VLOOKUP(Table8[[#This Row],[Country Code]],Table29[],9,FALSE)</f>
        <v>no</v>
      </c>
      <c r="AY1564" s="233" t="str">
        <f>VLOOKUP(Table8[[#This Row],[Country Code]],Table29[],10,FALSE)</f>
        <v>no</v>
      </c>
      <c r="AZ1564" s="235">
        <f>VLOOKUP(Table8[[#This Row],[Country Code]],Table29[],23,FALSE)</f>
        <v>385.11288377147002</v>
      </c>
      <c r="BA1564" s="235">
        <f>VLOOKUP(Table8[[#This Row],[Country Code]],Table29[],24,FALSE)</f>
        <v>58.971195919965467</v>
      </c>
      <c r="BB1564" s="320"/>
      <c r="BC1564" s="320"/>
    </row>
    <row r="1565" spans="1:55" hidden="1" x14ac:dyDescent="0.25">
      <c r="A1565" s="373">
        <v>32509</v>
      </c>
      <c r="B1565" s="233" t="str">
        <f>VLOOKUP(Table8[[#This Row],[Document ID]],Table1[],2,FALSE)</f>
        <v>NGA</v>
      </c>
      <c r="C1565" s="233" t="str">
        <f>VLOOKUP(Table8[[#This Row],[Document ID]],Table1[],3,FALSE)</f>
        <v>Nigeria</v>
      </c>
      <c r="D1565" s="243" t="str">
        <f>VLOOKUP(Table8[[#This Row],[Document ID]],Table1[],5,FALSE)</f>
        <v>NDC</v>
      </c>
      <c r="E1565" s="233" t="str">
        <f>VLOOKUP(Table8[[#This Row],[Document ID]],Table1[],7,FALSE)</f>
        <v>First NDC updated</v>
      </c>
      <c r="F1565" s="233" t="str">
        <f>VLOOKUP(Table8[[#This Row],[Document ID]],Table1[],8,FALSE)</f>
        <v>NDC 1.2</v>
      </c>
      <c r="G1565" s="233" t="str">
        <f>VLOOKUP(Table8[[#This Row],[Document ID]],Table1[],10,FALSE)</f>
        <v>Active</v>
      </c>
      <c r="H1565" s="44" t="s">
        <v>2329</v>
      </c>
      <c r="I1565" s="44" t="s">
        <v>2330</v>
      </c>
      <c r="J1565" s="44" t="s">
        <v>2363</v>
      </c>
      <c r="K1565" s="44" t="s">
        <v>1929</v>
      </c>
      <c r="L1565" s="44" t="s">
        <v>2333</v>
      </c>
      <c r="M1565" s="43">
        <v>22</v>
      </c>
      <c r="N1565" s="113"/>
      <c r="O1565" s="113"/>
      <c r="P1565" s="113"/>
      <c r="Q1565" s="113"/>
      <c r="R1565" s="113"/>
      <c r="S1565" s="113"/>
      <c r="T1565" s="113"/>
      <c r="U1565" s="113"/>
      <c r="V1565" s="113"/>
      <c r="W1565" s="113"/>
      <c r="X1565" s="113"/>
      <c r="Y1565" s="113" t="s">
        <v>1113</v>
      </c>
      <c r="Z1565" s="113" t="s">
        <v>1113</v>
      </c>
      <c r="AA1565" s="113"/>
      <c r="AB1565" s="113"/>
      <c r="AC1565" s="113"/>
      <c r="AD1565" s="113"/>
      <c r="AE1565" s="113"/>
      <c r="AF1565" s="113"/>
      <c r="AG1565" s="113"/>
      <c r="AH1565" s="113"/>
      <c r="AI1565" s="113"/>
      <c r="AJ1565" s="113"/>
      <c r="AK1565" s="113" t="s">
        <v>1113</v>
      </c>
      <c r="AL1565" s="113"/>
      <c r="AM1565" s="113"/>
      <c r="AN1565" s="113"/>
      <c r="AO1565" s="43" t="s">
        <v>2477</v>
      </c>
      <c r="AP1565" s="43"/>
      <c r="AQ1565" s="236" t="str">
        <f>VLOOKUP(Table8[[#This Row],[Instrument]],Def_Targets!$D$73:$E$159,2,FALSE)</f>
        <v>I_LPGCNGLNG</v>
      </c>
      <c r="AR1565" s="233" t="str">
        <f>VLOOKUP(Table8[[#This Row],[Country Code]],Table29[],3,FALSE)</f>
        <v>Non-Annex I</v>
      </c>
      <c r="AS1565" s="233" t="str">
        <f>VLOOKUP(Table8[[#This Row],[Country Code]],Table29[],4,FALSE)</f>
        <v>Africa</v>
      </c>
      <c r="AT1565" s="233" t="str">
        <f>VLOOKUP(Table8[[#This Row],[Country Code]],Table29[],5,FALSE)</f>
        <v>Middle-income</v>
      </c>
      <c r="AU1565" s="233" t="str">
        <f>VLOOKUP(Table8[[#This Row],[Country Code]],Table29[],6,FALSE)</f>
        <v>no</v>
      </c>
      <c r="AV1565" s="233" t="str">
        <f>VLOOKUP(Table8[[#This Row],[Country Code]],Table29[],7,FALSE)</f>
        <v>no</v>
      </c>
      <c r="AW1565" s="233" t="str">
        <f>VLOOKUP(Table8[[#This Row],[Country Code]],Table29[],8,FALSE)</f>
        <v>non-OECD</v>
      </c>
      <c r="AX1565" s="233" t="str">
        <f>VLOOKUP(Table8[[#This Row],[Country Code]],Table29[],9,FALSE)</f>
        <v>no</v>
      </c>
      <c r="AY1565" s="233" t="str">
        <f>VLOOKUP(Table8[[#This Row],[Country Code]],Table29[],10,FALSE)</f>
        <v>no</v>
      </c>
      <c r="AZ1565" s="235">
        <f>VLOOKUP(Table8[[#This Row],[Country Code]],Table29[],23,FALSE)</f>
        <v>385.11288377147002</v>
      </c>
      <c r="BA1565" s="235">
        <f>VLOOKUP(Table8[[#This Row],[Country Code]],Table29[],24,FALSE)</f>
        <v>58.971195919965467</v>
      </c>
      <c r="BB1565" s="320"/>
      <c r="BC1565" s="320"/>
    </row>
    <row r="1566" spans="1:55" hidden="1" x14ac:dyDescent="0.25">
      <c r="A1566" s="373">
        <v>32509</v>
      </c>
      <c r="B1566" s="233" t="str">
        <f>VLOOKUP(Table8[[#This Row],[Document ID]],Table1[],2,FALSE)</f>
        <v>NGA</v>
      </c>
      <c r="C1566" s="233" t="str">
        <f>VLOOKUP(Table8[[#This Row],[Document ID]],Table1[],3,FALSE)</f>
        <v>Nigeria</v>
      </c>
      <c r="D1566" s="243" t="str">
        <f>VLOOKUP(Table8[[#This Row],[Document ID]],Table1[],5,FALSE)</f>
        <v>NDC</v>
      </c>
      <c r="E1566" s="233" t="str">
        <f>VLOOKUP(Table8[[#This Row],[Document ID]],Table1[],7,FALSE)</f>
        <v>First NDC updated</v>
      </c>
      <c r="F1566" s="233" t="str">
        <f>VLOOKUP(Table8[[#This Row],[Document ID]],Table1[],8,FALSE)</f>
        <v>NDC 1.2</v>
      </c>
      <c r="G1566" s="233" t="str">
        <f>VLOOKUP(Table8[[#This Row],[Document ID]],Table1[],10,FALSE)</f>
        <v>Active</v>
      </c>
      <c r="H1566" s="44" t="s">
        <v>2338</v>
      </c>
      <c r="I1566" s="44" t="s">
        <v>2339</v>
      </c>
      <c r="J1566" s="44" t="s">
        <v>2425</v>
      </c>
      <c r="K1566" s="44" t="s">
        <v>3790</v>
      </c>
      <c r="L1566" s="44" t="s">
        <v>2333</v>
      </c>
      <c r="M1566" s="43">
        <v>22</v>
      </c>
      <c r="N1566" s="113" t="s">
        <v>1113</v>
      </c>
      <c r="O1566" s="113"/>
      <c r="P1566" s="113"/>
      <c r="Q1566" s="113"/>
      <c r="R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t="s">
        <v>1113</v>
      </c>
      <c r="AL1566" s="113"/>
      <c r="AM1566" s="113"/>
      <c r="AN1566" s="113"/>
      <c r="AO1566" s="44" t="s">
        <v>2334</v>
      </c>
      <c r="AP1566" s="43"/>
      <c r="AQ1566" s="236" t="str">
        <f>VLOOKUP(Table8[[#This Row],[Instrument]],Def_Targets!$D$73:$E$159,2,FALSE)</f>
        <v>I_Efficiencystd</v>
      </c>
      <c r="AR1566" s="233" t="str">
        <f>VLOOKUP(Table8[[#This Row],[Country Code]],Table29[],3,FALSE)</f>
        <v>Non-Annex I</v>
      </c>
      <c r="AS1566" s="233" t="str">
        <f>VLOOKUP(Table8[[#This Row],[Country Code]],Table29[],4,FALSE)</f>
        <v>Africa</v>
      </c>
      <c r="AT1566" s="233" t="str">
        <f>VLOOKUP(Table8[[#This Row],[Country Code]],Table29[],5,FALSE)</f>
        <v>Middle-income</v>
      </c>
      <c r="AU1566" s="233" t="str">
        <f>VLOOKUP(Table8[[#This Row],[Country Code]],Table29[],6,FALSE)</f>
        <v>no</v>
      </c>
      <c r="AV1566" s="233" t="str">
        <f>VLOOKUP(Table8[[#This Row],[Country Code]],Table29[],7,FALSE)</f>
        <v>no</v>
      </c>
      <c r="AW1566" s="233" t="str">
        <f>VLOOKUP(Table8[[#This Row],[Country Code]],Table29[],8,FALSE)</f>
        <v>non-OECD</v>
      </c>
      <c r="AX1566" s="233" t="str">
        <f>VLOOKUP(Table8[[#This Row],[Country Code]],Table29[],9,FALSE)</f>
        <v>no</v>
      </c>
      <c r="AY1566" s="233" t="str">
        <f>VLOOKUP(Table8[[#This Row],[Country Code]],Table29[],10,FALSE)</f>
        <v>no</v>
      </c>
      <c r="AZ1566" s="235">
        <f>VLOOKUP(Table8[[#This Row],[Country Code]],Table29[],23,FALSE)</f>
        <v>385.11288377147002</v>
      </c>
      <c r="BA1566" s="235">
        <f>VLOOKUP(Table8[[#This Row],[Country Code]],Table29[],24,FALSE)</f>
        <v>58.971195919965467</v>
      </c>
      <c r="BB1566" s="320"/>
      <c r="BC1566" s="320"/>
    </row>
    <row r="1567" spans="1:55" s="17" customFormat="1" hidden="1" x14ac:dyDescent="0.25">
      <c r="A1567" s="373">
        <v>17657</v>
      </c>
      <c r="B1567" s="233" t="str">
        <f>VLOOKUP(Table8[[#This Row],[Document ID]],Table1[],2,FALSE)</f>
        <v>MHL</v>
      </c>
      <c r="C1567" s="233" t="str">
        <f>VLOOKUP(Table8[[#This Row],[Document ID]],Table1[],3,FALSE)</f>
        <v>Marshall Islands</v>
      </c>
      <c r="D1567" s="243" t="str">
        <f>VLOOKUP(Table8[[#This Row],[Document ID]],Table1[],5,FALSE)</f>
        <v>LTS</v>
      </c>
      <c r="E1567" s="233" t="str">
        <f>VLOOKUP(Table8[[#This Row],[Document ID]],Table1[],7,FALSE)</f>
        <v>LTS</v>
      </c>
      <c r="F1567" s="233" t="str">
        <f>VLOOKUP(Table8[[#This Row],[Document ID]],Table1[],8,FALSE)</f>
        <v>LTS 1.0</v>
      </c>
      <c r="G1567" s="233" t="str">
        <f>VLOOKUP(Table8[[#This Row],[Document ID]],Table1[],10,FALSE)</f>
        <v>Active</v>
      </c>
      <c r="H1567" s="43" t="s">
        <v>2358</v>
      </c>
      <c r="I1567" s="43" t="s">
        <v>2359</v>
      </c>
      <c r="J1567" s="44" t="s">
        <v>2360</v>
      </c>
      <c r="K1567" s="44" t="s">
        <v>3791</v>
      </c>
      <c r="L1567" s="44" t="s">
        <v>2333</v>
      </c>
      <c r="M1567" s="43">
        <v>35</v>
      </c>
      <c r="N1567" s="113"/>
      <c r="O1567" s="113"/>
      <c r="P1567" s="113"/>
      <c r="Q1567" s="113"/>
      <c r="R1567" s="113"/>
      <c r="S1567" s="113"/>
      <c r="T1567" s="113"/>
      <c r="U1567" s="113" t="s">
        <v>1113</v>
      </c>
      <c r="V1567" s="113"/>
      <c r="W1567" s="113" t="s">
        <v>1113</v>
      </c>
      <c r="X1567" s="113"/>
      <c r="Y1567" s="113"/>
      <c r="Z1567" s="113"/>
      <c r="AA1567" s="113"/>
      <c r="AB1567" s="113"/>
      <c r="AC1567" s="113"/>
      <c r="AD1567" s="113"/>
      <c r="AE1567" s="113"/>
      <c r="AF1567" s="113"/>
      <c r="AG1567" s="113"/>
      <c r="AH1567" s="113"/>
      <c r="AI1567" s="113"/>
      <c r="AJ1567" s="113"/>
      <c r="AK1567" s="319" t="s">
        <v>1113</v>
      </c>
      <c r="AL1567" s="113"/>
      <c r="AM1567" s="113"/>
      <c r="AN1567" s="113"/>
      <c r="AO1567" s="43" t="s">
        <v>2348</v>
      </c>
      <c r="AP1567" s="44"/>
      <c r="AQ1567" s="236" t="str">
        <f>VLOOKUP(Table8[[#This Row],[Instrument]],Def_Targets!$D$73:$E$159,2,FALSE)</f>
        <v>I_Emobility</v>
      </c>
      <c r="AR1567" s="233" t="str">
        <f>VLOOKUP(Table8[[#This Row],[Country Code]],Table29[],3,FALSE)</f>
        <v>Non-Annex I</v>
      </c>
      <c r="AS1567" s="233" t="str">
        <f>VLOOKUP(Table8[[#This Row],[Country Code]],Table29[],4,FALSE)</f>
        <v>Oceania</v>
      </c>
      <c r="AT1567" s="233" t="str">
        <f>VLOOKUP(Table8[[#This Row],[Country Code]],Table29[],5,FALSE)</f>
        <v>Middle-income</v>
      </c>
      <c r="AU1567" s="233" t="str">
        <f>VLOOKUP(Table8[[#This Row],[Country Code]],Table29[],6,FALSE)</f>
        <v>no</v>
      </c>
      <c r="AV1567" s="233" t="str">
        <f>VLOOKUP(Table8[[#This Row],[Country Code]],Table29[],7,FALSE)</f>
        <v>no</v>
      </c>
      <c r="AW1567" s="233" t="str">
        <f>VLOOKUP(Table8[[#This Row],[Country Code]],Table29[],8,FALSE)</f>
        <v>non-OECD</v>
      </c>
      <c r="AX1567" s="233" t="str">
        <f>VLOOKUP(Table8[[#This Row],[Country Code]],Table29[],9,FALSE)</f>
        <v>no</v>
      </c>
      <c r="AY1567" s="233" t="str">
        <f>VLOOKUP(Table8[[#This Row],[Country Code]],Table29[],10,FALSE)</f>
        <v>no</v>
      </c>
      <c r="AZ1567" s="235">
        <f>VLOOKUP(Table8[[#This Row],[Country Code]],Table29[],23,FALSE)</f>
        <v>0</v>
      </c>
      <c r="BA1567" s="235">
        <f>VLOOKUP(Table8[[#This Row],[Country Code]],Table29[],24,FALSE)</f>
        <v>0</v>
      </c>
      <c r="BB1567" s="320"/>
      <c r="BC1567" s="320"/>
    </row>
    <row r="1568" spans="1:55" s="17" customFormat="1" hidden="1" x14ac:dyDescent="0.25">
      <c r="A1568" s="373">
        <v>17657</v>
      </c>
      <c r="B1568" s="233" t="str">
        <f>VLOOKUP(Table8[[#This Row],[Document ID]],Table1[],2,FALSE)</f>
        <v>MHL</v>
      </c>
      <c r="C1568" s="233" t="str">
        <f>VLOOKUP(Table8[[#This Row],[Document ID]],Table1[],3,FALSE)</f>
        <v>Marshall Islands</v>
      </c>
      <c r="D1568" s="243" t="str">
        <f>VLOOKUP(Table8[[#This Row],[Document ID]],Table1[],5,FALSE)</f>
        <v>LTS</v>
      </c>
      <c r="E1568" s="233" t="str">
        <f>VLOOKUP(Table8[[#This Row],[Document ID]],Table1[],7,FALSE)</f>
        <v>LTS</v>
      </c>
      <c r="F1568" s="233" t="str">
        <f>VLOOKUP(Table8[[#This Row],[Document ID]],Table1[],8,FALSE)</f>
        <v>LTS 1.0</v>
      </c>
      <c r="G1568" s="233" t="str">
        <f>VLOOKUP(Table8[[#This Row],[Document ID]],Table1[],10,FALSE)</f>
        <v>Active</v>
      </c>
      <c r="H1568" s="43" t="s">
        <v>2358</v>
      </c>
      <c r="I1568" s="43" t="s">
        <v>2359</v>
      </c>
      <c r="J1568" s="44" t="s">
        <v>2360</v>
      </c>
      <c r="K1568" s="44" t="s">
        <v>3792</v>
      </c>
      <c r="L1568" s="44" t="s">
        <v>2347</v>
      </c>
      <c r="M1568" s="43">
        <v>35</v>
      </c>
      <c r="N1568" s="113"/>
      <c r="O1568" s="113"/>
      <c r="P1568" s="113"/>
      <c r="Q1568" s="113"/>
      <c r="R1568" s="113"/>
      <c r="S1568" s="113"/>
      <c r="T1568" s="113"/>
      <c r="U1568" s="113" t="s">
        <v>1113</v>
      </c>
      <c r="V1568" s="113"/>
      <c r="W1568" s="113"/>
      <c r="X1568" s="113"/>
      <c r="Y1568" s="113"/>
      <c r="Z1568" s="113"/>
      <c r="AA1568" s="113"/>
      <c r="AB1568" s="113"/>
      <c r="AC1568" s="113"/>
      <c r="AD1568" s="113"/>
      <c r="AE1568" s="113"/>
      <c r="AF1568" s="113"/>
      <c r="AG1568" s="113"/>
      <c r="AH1568" s="113"/>
      <c r="AI1568" s="113"/>
      <c r="AJ1568" s="113"/>
      <c r="AK1568" s="319" t="s">
        <v>1113</v>
      </c>
      <c r="AL1568" s="113"/>
      <c r="AM1568" s="113"/>
      <c r="AN1568" s="113"/>
      <c r="AO1568" s="43" t="s">
        <v>2348</v>
      </c>
      <c r="AP1568" s="43"/>
      <c r="AQ1568" s="236" t="str">
        <f>VLOOKUP(Table8[[#This Row],[Instrument]],Def_Targets!$D$73:$E$159,2,FALSE)</f>
        <v>I_Emobility</v>
      </c>
      <c r="AR1568" s="233" t="str">
        <f>VLOOKUP(Table8[[#This Row],[Country Code]],Table29[],3,FALSE)</f>
        <v>Non-Annex I</v>
      </c>
      <c r="AS1568" s="233" t="str">
        <f>VLOOKUP(Table8[[#This Row],[Country Code]],Table29[],4,FALSE)</f>
        <v>Oceania</v>
      </c>
      <c r="AT1568" s="233" t="str">
        <f>VLOOKUP(Table8[[#This Row],[Country Code]],Table29[],5,FALSE)</f>
        <v>Middle-income</v>
      </c>
      <c r="AU1568" s="233" t="str">
        <f>VLOOKUP(Table8[[#This Row],[Country Code]],Table29[],6,FALSE)</f>
        <v>no</v>
      </c>
      <c r="AV1568" s="233" t="str">
        <f>VLOOKUP(Table8[[#This Row],[Country Code]],Table29[],7,FALSE)</f>
        <v>no</v>
      </c>
      <c r="AW1568" s="233" t="str">
        <f>VLOOKUP(Table8[[#This Row],[Country Code]],Table29[],8,FALSE)</f>
        <v>non-OECD</v>
      </c>
      <c r="AX1568" s="233" t="str">
        <f>VLOOKUP(Table8[[#This Row],[Country Code]],Table29[],9,FALSE)</f>
        <v>no</v>
      </c>
      <c r="AY1568" s="233" t="str">
        <f>VLOOKUP(Table8[[#This Row],[Country Code]],Table29[],10,FALSE)</f>
        <v>no</v>
      </c>
      <c r="AZ1568" s="235">
        <f>VLOOKUP(Table8[[#This Row],[Country Code]],Table29[],23,FALSE)</f>
        <v>0</v>
      </c>
      <c r="BA1568" s="235">
        <f>VLOOKUP(Table8[[#This Row],[Country Code]],Table29[],24,FALSE)</f>
        <v>0</v>
      </c>
      <c r="BB1568" s="320"/>
      <c r="BC1568" s="320"/>
    </row>
    <row r="1569" spans="1:55" s="17" customFormat="1" ht="75" hidden="1" x14ac:dyDescent="0.25">
      <c r="A1569" s="373">
        <v>17657</v>
      </c>
      <c r="B1569" s="233" t="str">
        <f>VLOOKUP(Table8[[#This Row],[Document ID]],Table1[],2,FALSE)</f>
        <v>MHL</v>
      </c>
      <c r="C1569" s="233" t="str">
        <f>VLOOKUP(Table8[[#This Row],[Document ID]],Table1[],3,FALSE)</f>
        <v>Marshall Islands</v>
      </c>
      <c r="D1569" s="243" t="str">
        <f>VLOOKUP(Table8[[#This Row],[Document ID]],Table1[],5,FALSE)</f>
        <v>LTS</v>
      </c>
      <c r="E1569" s="233" t="str">
        <f>VLOOKUP(Table8[[#This Row],[Document ID]],Table1[],7,FALSE)</f>
        <v>LTS</v>
      </c>
      <c r="F1569" s="233" t="str">
        <f>VLOOKUP(Table8[[#This Row],[Document ID]],Table1[],8,FALSE)</f>
        <v>LTS 1.0</v>
      </c>
      <c r="G1569" s="233" t="str">
        <f>VLOOKUP(Table8[[#This Row],[Document ID]],Table1[],10,FALSE)</f>
        <v>Active</v>
      </c>
      <c r="H1569" s="43" t="s">
        <v>2343</v>
      </c>
      <c r="I1569" s="43" t="s">
        <v>2361</v>
      </c>
      <c r="J1569" s="44" t="s">
        <v>2362</v>
      </c>
      <c r="K1569" s="44" t="s">
        <v>3793</v>
      </c>
      <c r="L1569" s="44" t="s">
        <v>2347</v>
      </c>
      <c r="M1569" s="43">
        <v>35</v>
      </c>
      <c r="N1569" s="113"/>
      <c r="O1569" s="113"/>
      <c r="P1569" s="113" t="s">
        <v>1113</v>
      </c>
      <c r="Q1569" s="113" t="s">
        <v>1113</v>
      </c>
      <c r="R1569" s="113" t="s">
        <v>1113</v>
      </c>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t="s">
        <v>1113</v>
      </c>
      <c r="AM1569" s="113"/>
      <c r="AN1569" s="113"/>
      <c r="AO1569" s="43" t="s">
        <v>2348</v>
      </c>
      <c r="AP1569" s="43"/>
      <c r="AQ1569" s="236" t="str">
        <f>VLOOKUP(Table8[[#This Row],[Instrument]],Def_Targets!$D$73:$E$159,2,FALSE)</f>
        <v>S_Cycling</v>
      </c>
      <c r="AR1569" s="233" t="str">
        <f>VLOOKUP(Table8[[#This Row],[Country Code]],Table29[],3,FALSE)</f>
        <v>Non-Annex I</v>
      </c>
      <c r="AS1569" s="233" t="str">
        <f>VLOOKUP(Table8[[#This Row],[Country Code]],Table29[],4,FALSE)</f>
        <v>Oceania</v>
      </c>
      <c r="AT1569" s="233" t="str">
        <f>VLOOKUP(Table8[[#This Row],[Country Code]],Table29[],5,FALSE)</f>
        <v>Middle-income</v>
      </c>
      <c r="AU1569" s="233" t="str">
        <f>VLOOKUP(Table8[[#This Row],[Country Code]],Table29[],6,FALSE)</f>
        <v>no</v>
      </c>
      <c r="AV1569" s="233" t="str">
        <f>VLOOKUP(Table8[[#This Row],[Country Code]],Table29[],7,FALSE)</f>
        <v>no</v>
      </c>
      <c r="AW1569" s="233" t="str">
        <f>VLOOKUP(Table8[[#This Row],[Country Code]],Table29[],8,FALSE)</f>
        <v>non-OECD</v>
      </c>
      <c r="AX1569" s="233" t="str">
        <f>VLOOKUP(Table8[[#This Row],[Country Code]],Table29[],9,FALSE)</f>
        <v>no</v>
      </c>
      <c r="AY1569" s="233" t="str">
        <f>VLOOKUP(Table8[[#This Row],[Country Code]],Table29[],10,FALSE)</f>
        <v>no</v>
      </c>
      <c r="AZ1569" s="235">
        <f>VLOOKUP(Table8[[#This Row],[Country Code]],Table29[],23,FALSE)</f>
        <v>0</v>
      </c>
      <c r="BA1569" s="235">
        <f>VLOOKUP(Table8[[#This Row],[Country Code]],Table29[],24,FALSE)</f>
        <v>0</v>
      </c>
      <c r="BB1569" s="320"/>
      <c r="BC1569" s="320"/>
    </row>
    <row r="1570" spans="1:55" s="17" customFormat="1" ht="75" hidden="1" x14ac:dyDescent="0.25">
      <c r="A1570" s="373">
        <v>17657</v>
      </c>
      <c r="B1570" s="233" t="str">
        <f>VLOOKUP(Table8[[#This Row],[Document ID]],Table1[],2,FALSE)</f>
        <v>MHL</v>
      </c>
      <c r="C1570" s="233" t="str">
        <f>VLOOKUP(Table8[[#This Row],[Document ID]],Table1[],3,FALSE)</f>
        <v>Marshall Islands</v>
      </c>
      <c r="D1570" s="243" t="str">
        <f>VLOOKUP(Table8[[#This Row],[Document ID]],Table1[],5,FALSE)</f>
        <v>LTS</v>
      </c>
      <c r="E1570" s="233" t="str">
        <f>VLOOKUP(Table8[[#This Row],[Document ID]],Table1[],7,FALSE)</f>
        <v>LTS</v>
      </c>
      <c r="F1570" s="233" t="str">
        <f>VLOOKUP(Table8[[#This Row],[Document ID]],Table1[],8,FALSE)</f>
        <v>LTS 1.0</v>
      </c>
      <c r="G1570" s="233" t="str">
        <f>VLOOKUP(Table8[[#This Row],[Document ID]],Table1[],10,FALSE)</f>
        <v>Active</v>
      </c>
      <c r="H1570" s="43" t="s">
        <v>2350</v>
      </c>
      <c r="I1570" s="43" t="s">
        <v>2407</v>
      </c>
      <c r="J1570" s="44" t="s">
        <v>2408</v>
      </c>
      <c r="K1570" s="44" t="s">
        <v>3793</v>
      </c>
      <c r="L1570" s="44" t="s">
        <v>2396</v>
      </c>
      <c r="M1570" s="43">
        <v>35</v>
      </c>
      <c r="N1570" s="113"/>
      <c r="O1570" s="113"/>
      <c r="P1570" s="113" t="s">
        <v>1113</v>
      </c>
      <c r="Q1570" s="113"/>
      <c r="R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t="s">
        <v>1113</v>
      </c>
      <c r="AM1570" s="113"/>
      <c r="AN1570" s="113"/>
      <c r="AO1570" s="43" t="s">
        <v>2348</v>
      </c>
      <c r="AP1570" s="43"/>
      <c r="AQ1570" s="236" t="str">
        <f>VLOOKUP(Table8[[#This Row],[Instrument]],Def_Targets!$D$73:$E$159,2,FALSE)</f>
        <v>I_Education</v>
      </c>
      <c r="AR1570" s="233" t="str">
        <f>VLOOKUP(Table8[[#This Row],[Country Code]],Table29[],3,FALSE)</f>
        <v>Non-Annex I</v>
      </c>
      <c r="AS1570" s="233" t="str">
        <f>VLOOKUP(Table8[[#This Row],[Country Code]],Table29[],4,FALSE)</f>
        <v>Oceania</v>
      </c>
      <c r="AT1570" s="233" t="str">
        <f>VLOOKUP(Table8[[#This Row],[Country Code]],Table29[],5,FALSE)</f>
        <v>Middle-income</v>
      </c>
      <c r="AU1570" s="233" t="str">
        <f>VLOOKUP(Table8[[#This Row],[Country Code]],Table29[],6,FALSE)</f>
        <v>no</v>
      </c>
      <c r="AV1570" s="233" t="str">
        <f>VLOOKUP(Table8[[#This Row],[Country Code]],Table29[],7,FALSE)</f>
        <v>no</v>
      </c>
      <c r="AW1570" s="233" t="str">
        <f>VLOOKUP(Table8[[#This Row],[Country Code]],Table29[],8,FALSE)</f>
        <v>non-OECD</v>
      </c>
      <c r="AX1570" s="233" t="str">
        <f>VLOOKUP(Table8[[#This Row],[Country Code]],Table29[],9,FALSE)</f>
        <v>no</v>
      </c>
      <c r="AY1570" s="233" t="str">
        <f>VLOOKUP(Table8[[#This Row],[Country Code]],Table29[],10,FALSE)</f>
        <v>no</v>
      </c>
      <c r="AZ1570" s="235">
        <f>VLOOKUP(Table8[[#This Row],[Country Code]],Table29[],23,FALSE)</f>
        <v>0</v>
      </c>
      <c r="BA1570" s="235">
        <f>VLOOKUP(Table8[[#This Row],[Country Code]],Table29[],24,FALSE)</f>
        <v>0</v>
      </c>
      <c r="BB1570" s="320"/>
      <c r="BC1570" s="320"/>
    </row>
    <row r="1571" spans="1:55" s="17" customFormat="1" ht="75" hidden="1" x14ac:dyDescent="0.25">
      <c r="A1571" s="373">
        <v>17657</v>
      </c>
      <c r="B1571" s="233" t="str">
        <f>VLOOKUP(Table8[[#This Row],[Document ID]],Table1[],2,FALSE)</f>
        <v>MHL</v>
      </c>
      <c r="C1571" s="233" t="str">
        <f>VLOOKUP(Table8[[#This Row],[Document ID]],Table1[],3,FALSE)</f>
        <v>Marshall Islands</v>
      </c>
      <c r="D1571" s="243" t="str">
        <f>VLOOKUP(Table8[[#This Row],[Document ID]],Table1[],5,FALSE)</f>
        <v>LTS</v>
      </c>
      <c r="E1571" s="233" t="str">
        <f>VLOOKUP(Table8[[#This Row],[Document ID]],Table1[],7,FALSE)</f>
        <v>LTS</v>
      </c>
      <c r="F1571" s="233" t="str">
        <f>VLOOKUP(Table8[[#This Row],[Document ID]],Table1[],8,FALSE)</f>
        <v>LTS 1.0</v>
      </c>
      <c r="G1571" s="233" t="str">
        <f>VLOOKUP(Table8[[#This Row],[Document ID]],Table1[],10,FALSE)</f>
        <v>Active</v>
      </c>
      <c r="H1571" s="43" t="s">
        <v>2343</v>
      </c>
      <c r="I1571" s="43" t="s">
        <v>2361</v>
      </c>
      <c r="J1571" s="44" t="s">
        <v>2463</v>
      </c>
      <c r="K1571" s="44" t="s">
        <v>3793</v>
      </c>
      <c r="L1571" s="44" t="s">
        <v>2347</v>
      </c>
      <c r="M1571" s="43">
        <v>36</v>
      </c>
      <c r="N1571" s="113"/>
      <c r="O1571" s="113"/>
      <c r="P1571" s="113"/>
      <c r="Q1571" s="113" t="s">
        <v>1113</v>
      </c>
      <c r="R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t="s">
        <v>1113</v>
      </c>
      <c r="AM1571" s="113"/>
      <c r="AN1571" s="113"/>
      <c r="AO1571" s="44" t="s">
        <v>2334</v>
      </c>
      <c r="AP1571" s="43"/>
      <c r="AQ1571" s="236" t="str">
        <f>VLOOKUP(Table8[[#This Row],[Instrument]],Def_Targets!$D$73:$E$159,2,FALSE)</f>
        <v>S_Walking</v>
      </c>
      <c r="AR1571" s="233" t="str">
        <f>VLOOKUP(Table8[[#This Row],[Country Code]],Table29[],3,FALSE)</f>
        <v>Non-Annex I</v>
      </c>
      <c r="AS1571" s="233" t="str">
        <f>VLOOKUP(Table8[[#This Row],[Country Code]],Table29[],4,FALSE)</f>
        <v>Oceania</v>
      </c>
      <c r="AT1571" s="233" t="str">
        <f>VLOOKUP(Table8[[#This Row],[Country Code]],Table29[],5,FALSE)</f>
        <v>Middle-income</v>
      </c>
      <c r="AU1571" s="233" t="str">
        <f>VLOOKUP(Table8[[#This Row],[Country Code]],Table29[],6,FALSE)</f>
        <v>no</v>
      </c>
      <c r="AV1571" s="233" t="str">
        <f>VLOOKUP(Table8[[#This Row],[Country Code]],Table29[],7,FALSE)</f>
        <v>no</v>
      </c>
      <c r="AW1571" s="233" t="str">
        <f>VLOOKUP(Table8[[#This Row],[Country Code]],Table29[],8,FALSE)</f>
        <v>non-OECD</v>
      </c>
      <c r="AX1571" s="233" t="str">
        <f>VLOOKUP(Table8[[#This Row],[Country Code]],Table29[],9,FALSE)</f>
        <v>no</v>
      </c>
      <c r="AY1571" s="233" t="str">
        <f>VLOOKUP(Table8[[#This Row],[Country Code]],Table29[],10,FALSE)</f>
        <v>no</v>
      </c>
      <c r="AZ1571" s="235">
        <f>VLOOKUP(Table8[[#This Row],[Country Code]],Table29[],23,FALSE)</f>
        <v>0</v>
      </c>
      <c r="BA1571" s="235">
        <f>VLOOKUP(Table8[[#This Row],[Country Code]],Table29[],24,FALSE)</f>
        <v>0</v>
      </c>
      <c r="BB1571" s="320"/>
      <c r="BC1571" s="320"/>
    </row>
    <row r="1572" spans="1:55" s="17" customFormat="1" hidden="1" x14ac:dyDescent="0.25">
      <c r="A1572" s="373">
        <v>17657</v>
      </c>
      <c r="B1572" s="233" t="str">
        <f>VLOOKUP(Table8[[#This Row],[Document ID]],Table1[],2,FALSE)</f>
        <v>MHL</v>
      </c>
      <c r="C1572" s="233" t="str">
        <f>VLOOKUP(Table8[[#This Row],[Document ID]],Table1[],3,FALSE)</f>
        <v>Marshall Islands</v>
      </c>
      <c r="D1572" s="243" t="str">
        <f>VLOOKUP(Table8[[#This Row],[Document ID]],Table1[],5,FALSE)</f>
        <v>LTS</v>
      </c>
      <c r="E1572" s="233" t="str">
        <f>VLOOKUP(Table8[[#This Row],[Document ID]],Table1[],7,FALSE)</f>
        <v>LTS</v>
      </c>
      <c r="F1572" s="233" t="str">
        <f>VLOOKUP(Table8[[#This Row],[Document ID]],Table1[],8,FALSE)</f>
        <v>LTS 1.0</v>
      </c>
      <c r="G1572" s="233" t="str">
        <f>VLOOKUP(Table8[[#This Row],[Document ID]],Table1[],10,FALSE)</f>
        <v>Active</v>
      </c>
      <c r="H1572" s="43" t="s">
        <v>2350</v>
      </c>
      <c r="I1572" s="43" t="s">
        <v>2456</v>
      </c>
      <c r="J1572" s="44" t="s">
        <v>2643</v>
      </c>
      <c r="K1572" s="44" t="s">
        <v>3794</v>
      </c>
      <c r="L1572" s="44" t="s">
        <v>2347</v>
      </c>
      <c r="M1572" s="43">
        <v>36</v>
      </c>
      <c r="N1572" s="113" t="s">
        <v>1113</v>
      </c>
      <c r="O1572" s="113"/>
      <c r="P1572" s="113"/>
      <c r="Q1572" s="113"/>
      <c r="R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319" t="s">
        <v>1113</v>
      </c>
      <c r="AL1572" s="113"/>
      <c r="AM1572" s="113"/>
      <c r="AN1572" s="113"/>
      <c r="AO1572" s="44" t="s">
        <v>2334</v>
      </c>
      <c r="AP1572" s="43"/>
      <c r="AQ1572" s="236" t="str">
        <f>VLOOKUP(Table8[[#This Row],[Instrument]],Def_Targets!$D$73:$E$159,2,FALSE)</f>
        <v>S_Intermodality</v>
      </c>
      <c r="AR1572" s="233" t="str">
        <f>VLOOKUP(Table8[[#This Row],[Country Code]],Table29[],3,FALSE)</f>
        <v>Non-Annex I</v>
      </c>
      <c r="AS1572" s="233" t="str">
        <f>VLOOKUP(Table8[[#This Row],[Country Code]],Table29[],4,FALSE)</f>
        <v>Oceania</v>
      </c>
      <c r="AT1572" s="233" t="str">
        <f>VLOOKUP(Table8[[#This Row],[Country Code]],Table29[],5,FALSE)</f>
        <v>Middle-income</v>
      </c>
      <c r="AU1572" s="233" t="str">
        <f>VLOOKUP(Table8[[#This Row],[Country Code]],Table29[],6,FALSE)</f>
        <v>no</v>
      </c>
      <c r="AV1572" s="233" t="str">
        <f>VLOOKUP(Table8[[#This Row],[Country Code]],Table29[],7,FALSE)</f>
        <v>no</v>
      </c>
      <c r="AW1572" s="233" t="str">
        <f>VLOOKUP(Table8[[#This Row],[Country Code]],Table29[],8,FALSE)</f>
        <v>non-OECD</v>
      </c>
      <c r="AX1572" s="233" t="str">
        <f>VLOOKUP(Table8[[#This Row],[Country Code]],Table29[],9,FALSE)</f>
        <v>no</v>
      </c>
      <c r="AY1572" s="233" t="str">
        <f>VLOOKUP(Table8[[#This Row],[Country Code]],Table29[],10,FALSE)</f>
        <v>no</v>
      </c>
      <c r="AZ1572" s="235">
        <f>VLOOKUP(Table8[[#This Row],[Country Code]],Table29[],23,FALSE)</f>
        <v>0</v>
      </c>
      <c r="BA1572" s="235">
        <f>VLOOKUP(Table8[[#This Row],[Country Code]],Table29[],24,FALSE)</f>
        <v>0</v>
      </c>
      <c r="BB1572" s="320"/>
      <c r="BC1572" s="320"/>
    </row>
    <row r="1573" spans="1:55" s="17" customFormat="1" hidden="1" x14ac:dyDescent="0.25">
      <c r="A1573" s="373">
        <v>17657</v>
      </c>
      <c r="B1573" s="233" t="str">
        <f>VLOOKUP(Table8[[#This Row],[Document ID]],Table1[],2,FALSE)</f>
        <v>MHL</v>
      </c>
      <c r="C1573" s="233" t="str">
        <f>VLOOKUP(Table8[[#This Row],[Document ID]],Table1[],3,FALSE)</f>
        <v>Marshall Islands</v>
      </c>
      <c r="D1573" s="243" t="str">
        <f>VLOOKUP(Table8[[#This Row],[Document ID]],Table1[],5,FALSE)</f>
        <v>LTS</v>
      </c>
      <c r="E1573" s="233" t="str">
        <f>VLOOKUP(Table8[[#This Row],[Document ID]],Table1[],7,FALSE)</f>
        <v>LTS</v>
      </c>
      <c r="F1573" s="233" t="str">
        <f>VLOOKUP(Table8[[#This Row],[Document ID]],Table1[],8,FALSE)</f>
        <v>LTS 1.0</v>
      </c>
      <c r="G1573" s="233" t="str">
        <f>VLOOKUP(Table8[[#This Row],[Document ID]],Table1[],10,FALSE)</f>
        <v>Active</v>
      </c>
      <c r="H1573" s="43" t="s">
        <v>2358</v>
      </c>
      <c r="I1573" s="43" t="s">
        <v>2359</v>
      </c>
      <c r="J1573" s="44" t="s">
        <v>2360</v>
      </c>
      <c r="K1573" s="44" t="s">
        <v>3795</v>
      </c>
      <c r="L1573" s="44" t="s">
        <v>2333</v>
      </c>
      <c r="M1573" s="43">
        <v>37</v>
      </c>
      <c r="N1573" s="113"/>
      <c r="O1573" s="113"/>
      <c r="P1573" s="113"/>
      <c r="Q1573" s="113"/>
      <c r="R1573" s="113"/>
      <c r="S1573" s="113"/>
      <c r="T1573" s="113" t="s">
        <v>1113</v>
      </c>
      <c r="U1573" s="113"/>
      <c r="V1573" s="113"/>
      <c r="W1573" s="113"/>
      <c r="X1573" s="113"/>
      <c r="Y1573" s="113"/>
      <c r="Z1573" s="113"/>
      <c r="AA1573" s="113"/>
      <c r="AB1573" s="113"/>
      <c r="AC1573" s="113"/>
      <c r="AD1573" s="113"/>
      <c r="AE1573" s="113"/>
      <c r="AF1573" s="113"/>
      <c r="AG1573" s="113"/>
      <c r="AH1573" s="113"/>
      <c r="AI1573" s="113"/>
      <c r="AJ1573" s="113"/>
      <c r="AK1573" s="319" t="s">
        <v>1113</v>
      </c>
      <c r="AL1573" s="113"/>
      <c r="AM1573" s="113"/>
      <c r="AN1573" s="113"/>
      <c r="AO1573" s="44" t="s">
        <v>2334</v>
      </c>
      <c r="AP1573" s="43"/>
      <c r="AQ1573" s="236" t="str">
        <f>VLOOKUP(Table8[[#This Row],[Instrument]],Def_Targets!$D$73:$E$159,2,FALSE)</f>
        <v>I_Emobility</v>
      </c>
      <c r="AR1573" s="233" t="str">
        <f>VLOOKUP(Table8[[#This Row],[Country Code]],Table29[],3,FALSE)</f>
        <v>Non-Annex I</v>
      </c>
      <c r="AS1573" s="233" t="str">
        <f>VLOOKUP(Table8[[#This Row],[Country Code]],Table29[],4,FALSE)</f>
        <v>Oceania</v>
      </c>
      <c r="AT1573" s="233" t="str">
        <f>VLOOKUP(Table8[[#This Row],[Country Code]],Table29[],5,FALSE)</f>
        <v>Middle-income</v>
      </c>
      <c r="AU1573" s="233" t="str">
        <f>VLOOKUP(Table8[[#This Row],[Country Code]],Table29[],6,FALSE)</f>
        <v>no</v>
      </c>
      <c r="AV1573" s="233" t="str">
        <f>VLOOKUP(Table8[[#This Row],[Country Code]],Table29[],7,FALSE)</f>
        <v>no</v>
      </c>
      <c r="AW1573" s="233" t="str">
        <f>VLOOKUP(Table8[[#This Row],[Country Code]],Table29[],8,FALSE)</f>
        <v>non-OECD</v>
      </c>
      <c r="AX1573" s="233" t="str">
        <f>VLOOKUP(Table8[[#This Row],[Country Code]],Table29[],9,FALSE)</f>
        <v>no</v>
      </c>
      <c r="AY1573" s="233" t="str">
        <f>VLOOKUP(Table8[[#This Row],[Country Code]],Table29[],10,FALSE)</f>
        <v>no</v>
      </c>
      <c r="AZ1573" s="235">
        <f>VLOOKUP(Table8[[#This Row],[Country Code]],Table29[],23,FALSE)</f>
        <v>0</v>
      </c>
      <c r="BA1573" s="235">
        <f>VLOOKUP(Table8[[#This Row],[Country Code]],Table29[],24,FALSE)</f>
        <v>0</v>
      </c>
      <c r="BB1573" s="320"/>
      <c r="BC1573" s="320"/>
    </row>
    <row r="1574" spans="1:55" s="17" customFormat="1" hidden="1" x14ac:dyDescent="0.25">
      <c r="A1574" s="373">
        <v>17657</v>
      </c>
      <c r="B1574" s="233" t="str">
        <f>VLOOKUP(Table8[[#This Row],[Document ID]],Table1[],2,FALSE)</f>
        <v>MHL</v>
      </c>
      <c r="C1574" s="233" t="str">
        <f>VLOOKUP(Table8[[#This Row],[Document ID]],Table1[],3,FALSE)</f>
        <v>Marshall Islands</v>
      </c>
      <c r="D1574" s="243" t="str">
        <f>VLOOKUP(Table8[[#This Row],[Document ID]],Table1[],5,FALSE)</f>
        <v>LTS</v>
      </c>
      <c r="E1574" s="233" t="str">
        <f>VLOOKUP(Table8[[#This Row],[Document ID]],Table1[],7,FALSE)</f>
        <v>LTS</v>
      </c>
      <c r="F1574" s="233" t="str">
        <f>VLOOKUP(Table8[[#This Row],[Document ID]],Table1[],8,FALSE)</f>
        <v>LTS 1.0</v>
      </c>
      <c r="G1574" s="233" t="str">
        <f>VLOOKUP(Table8[[#This Row],[Document ID]],Table1[],10,FALSE)</f>
        <v>Active</v>
      </c>
      <c r="H1574" s="44" t="s">
        <v>2329</v>
      </c>
      <c r="I1574" s="44" t="s">
        <v>2330</v>
      </c>
      <c r="J1574" s="44" t="s">
        <v>2331</v>
      </c>
      <c r="K1574" s="44" t="s">
        <v>3796</v>
      </c>
      <c r="L1574" s="44" t="s">
        <v>2333</v>
      </c>
      <c r="M1574" s="43">
        <v>38</v>
      </c>
      <c r="N1574" s="113"/>
      <c r="O1574" s="113"/>
      <c r="P1574" s="113"/>
      <c r="Q1574" s="113"/>
      <c r="R1574" s="113"/>
      <c r="S1574" s="113"/>
      <c r="T1574" s="113"/>
      <c r="U1574" s="113"/>
      <c r="V1574" s="113"/>
      <c r="W1574" s="113"/>
      <c r="X1574" s="113"/>
      <c r="Y1574" s="113"/>
      <c r="Z1574" s="113"/>
      <c r="AA1574" s="113"/>
      <c r="AB1574" s="113"/>
      <c r="AC1574" s="113"/>
      <c r="AD1574" s="113" t="s">
        <v>1113</v>
      </c>
      <c r="AE1574" s="113"/>
      <c r="AF1574" s="113"/>
      <c r="AG1574" s="113"/>
      <c r="AH1574" s="113"/>
      <c r="AI1574" s="113"/>
      <c r="AJ1574" s="113"/>
      <c r="AK1574" s="113"/>
      <c r="AL1574" s="113"/>
      <c r="AM1574" s="113" t="s">
        <v>1113</v>
      </c>
      <c r="AN1574" s="113"/>
      <c r="AO1574" s="44" t="s">
        <v>2334</v>
      </c>
      <c r="AP1574" s="43"/>
      <c r="AQ1574" s="236" t="str">
        <f>VLOOKUP(Table8[[#This Row],[Instrument]],Def_Targets!$D$73:$E$159,2,FALSE)</f>
        <v>I_Altfuels</v>
      </c>
      <c r="AR1574" s="233" t="str">
        <f>VLOOKUP(Table8[[#This Row],[Country Code]],Table29[],3,FALSE)</f>
        <v>Non-Annex I</v>
      </c>
      <c r="AS1574" s="233" t="str">
        <f>VLOOKUP(Table8[[#This Row],[Country Code]],Table29[],4,FALSE)</f>
        <v>Oceania</v>
      </c>
      <c r="AT1574" s="233" t="str">
        <f>VLOOKUP(Table8[[#This Row],[Country Code]],Table29[],5,FALSE)</f>
        <v>Middle-income</v>
      </c>
      <c r="AU1574" s="233" t="str">
        <f>VLOOKUP(Table8[[#This Row],[Country Code]],Table29[],6,FALSE)</f>
        <v>no</v>
      </c>
      <c r="AV1574" s="233" t="str">
        <f>VLOOKUP(Table8[[#This Row],[Country Code]],Table29[],7,FALSE)</f>
        <v>no</v>
      </c>
      <c r="AW1574" s="233" t="str">
        <f>VLOOKUP(Table8[[#This Row],[Country Code]],Table29[],8,FALSE)</f>
        <v>non-OECD</v>
      </c>
      <c r="AX1574" s="233" t="str">
        <f>VLOOKUP(Table8[[#This Row],[Country Code]],Table29[],9,FALSE)</f>
        <v>no</v>
      </c>
      <c r="AY1574" s="233" t="str">
        <f>VLOOKUP(Table8[[#This Row],[Country Code]],Table29[],10,FALSE)</f>
        <v>no</v>
      </c>
      <c r="AZ1574" s="235">
        <f>VLOOKUP(Table8[[#This Row],[Country Code]],Table29[],23,FALSE)</f>
        <v>0</v>
      </c>
      <c r="BA1574" s="235">
        <f>VLOOKUP(Table8[[#This Row],[Country Code]],Table29[],24,FALSE)</f>
        <v>0</v>
      </c>
      <c r="BB1574" s="320"/>
      <c r="BC1574" s="320"/>
    </row>
    <row r="1575" spans="1:55" s="17" customFormat="1" ht="30" hidden="1" x14ac:dyDescent="0.25">
      <c r="A1575" s="373">
        <v>17657</v>
      </c>
      <c r="B1575" s="233" t="str">
        <f>VLOOKUP(Table8[[#This Row],[Document ID]],Table1[],2,FALSE)</f>
        <v>MHL</v>
      </c>
      <c r="C1575" s="233" t="str">
        <f>VLOOKUP(Table8[[#This Row],[Document ID]],Table1[],3,FALSE)</f>
        <v>Marshall Islands</v>
      </c>
      <c r="D1575" s="243" t="str">
        <f>VLOOKUP(Table8[[#This Row],[Document ID]],Table1[],5,FALSE)</f>
        <v>LTS</v>
      </c>
      <c r="E1575" s="233" t="str">
        <f>VLOOKUP(Table8[[#This Row],[Document ID]],Table1[],7,FALSE)</f>
        <v>LTS</v>
      </c>
      <c r="F1575" s="233" t="str">
        <f>VLOOKUP(Table8[[#This Row],[Document ID]],Table1[],8,FALSE)</f>
        <v>LTS 1.0</v>
      </c>
      <c r="G1575" s="233" t="str">
        <f>VLOOKUP(Table8[[#This Row],[Document ID]],Table1[],10,FALSE)</f>
        <v>Active</v>
      </c>
      <c r="H1575" s="43" t="s">
        <v>2350</v>
      </c>
      <c r="I1575" s="43" t="s">
        <v>2351</v>
      </c>
      <c r="J1575" s="44" t="s">
        <v>2447</v>
      </c>
      <c r="K1575" s="44" t="s">
        <v>3797</v>
      </c>
      <c r="L1575" s="44" t="s">
        <v>2333</v>
      </c>
      <c r="M1575" s="43">
        <v>38</v>
      </c>
      <c r="N1575" s="113"/>
      <c r="O1575" s="113"/>
      <c r="P1575" s="113"/>
      <c r="Q1575" s="113"/>
      <c r="R1575" s="113"/>
      <c r="S1575" s="113"/>
      <c r="T1575" s="113"/>
      <c r="U1575" s="113"/>
      <c r="V1575" s="113"/>
      <c r="W1575" s="113"/>
      <c r="X1575" s="113"/>
      <c r="Y1575" s="113"/>
      <c r="Z1575" s="113" t="s">
        <v>1113</v>
      </c>
      <c r="AA1575" s="113"/>
      <c r="AB1575" s="113"/>
      <c r="AC1575" s="113"/>
      <c r="AD1575" s="113"/>
      <c r="AE1575" s="113"/>
      <c r="AF1575" s="113"/>
      <c r="AG1575" s="113"/>
      <c r="AH1575" s="113"/>
      <c r="AI1575" s="113"/>
      <c r="AJ1575" s="113"/>
      <c r="AK1575" s="113"/>
      <c r="AL1575" s="113"/>
      <c r="AM1575" s="113" t="s">
        <v>1113</v>
      </c>
      <c r="AN1575" s="113"/>
      <c r="AO1575" s="44" t="s">
        <v>2334</v>
      </c>
      <c r="AP1575" s="43"/>
      <c r="AQ1575" s="236" t="str">
        <f>VLOOKUP(Table8[[#This Row],[Instrument]],Def_Targets!$D$73:$E$159,2,FALSE)</f>
        <v>I_Freighteff</v>
      </c>
      <c r="AR1575" s="233" t="str">
        <f>VLOOKUP(Table8[[#This Row],[Country Code]],Table29[],3,FALSE)</f>
        <v>Non-Annex I</v>
      </c>
      <c r="AS1575" s="233" t="str">
        <f>VLOOKUP(Table8[[#This Row],[Country Code]],Table29[],4,FALSE)</f>
        <v>Oceania</v>
      </c>
      <c r="AT1575" s="233" t="str">
        <f>VLOOKUP(Table8[[#This Row],[Country Code]],Table29[],5,FALSE)</f>
        <v>Middle-income</v>
      </c>
      <c r="AU1575" s="233" t="str">
        <f>VLOOKUP(Table8[[#This Row],[Country Code]],Table29[],6,FALSE)</f>
        <v>no</v>
      </c>
      <c r="AV1575" s="233" t="str">
        <f>VLOOKUP(Table8[[#This Row],[Country Code]],Table29[],7,FALSE)</f>
        <v>no</v>
      </c>
      <c r="AW1575" s="233" t="str">
        <f>VLOOKUP(Table8[[#This Row],[Country Code]],Table29[],8,FALSE)</f>
        <v>non-OECD</v>
      </c>
      <c r="AX1575" s="233" t="str">
        <f>VLOOKUP(Table8[[#This Row],[Country Code]],Table29[],9,FALSE)</f>
        <v>no</v>
      </c>
      <c r="AY1575" s="233" t="str">
        <f>VLOOKUP(Table8[[#This Row],[Country Code]],Table29[],10,FALSE)</f>
        <v>no</v>
      </c>
      <c r="AZ1575" s="235">
        <f>VLOOKUP(Table8[[#This Row],[Country Code]],Table29[],23,FALSE)</f>
        <v>0</v>
      </c>
      <c r="BA1575" s="235">
        <f>VLOOKUP(Table8[[#This Row],[Country Code]],Table29[],24,FALSE)</f>
        <v>0</v>
      </c>
      <c r="BB1575" s="320"/>
      <c r="BC1575" s="320"/>
    </row>
    <row r="1576" spans="1:55" hidden="1" x14ac:dyDescent="0.25">
      <c r="A1576" s="373">
        <v>17657</v>
      </c>
      <c r="B1576" s="233" t="str">
        <f>VLOOKUP(Table8[[#This Row],[Document ID]],Table1[],2,FALSE)</f>
        <v>MHL</v>
      </c>
      <c r="C1576" s="233" t="str">
        <f>VLOOKUP(Table8[[#This Row],[Document ID]],Table1[],3,FALSE)</f>
        <v>Marshall Islands</v>
      </c>
      <c r="D1576" s="243" t="str">
        <f>VLOOKUP(Table8[[#This Row],[Document ID]],Table1[],5,FALSE)</f>
        <v>LTS</v>
      </c>
      <c r="E1576" s="233" t="str">
        <f>VLOOKUP(Table8[[#This Row],[Document ID]],Table1[],7,FALSE)</f>
        <v>LTS</v>
      </c>
      <c r="F1576" s="233" t="str">
        <f>VLOOKUP(Table8[[#This Row],[Document ID]],Table1[],8,FALSE)</f>
        <v>LTS 1.0</v>
      </c>
      <c r="G1576" s="233" t="str">
        <f>VLOOKUP(Table8[[#This Row],[Document ID]],Table1[],10,FALSE)</f>
        <v>Active</v>
      </c>
      <c r="H1576" s="44" t="s">
        <v>2338</v>
      </c>
      <c r="I1576" s="44" t="s">
        <v>2339</v>
      </c>
      <c r="J1576" s="44" t="s">
        <v>2340</v>
      </c>
      <c r="K1576" s="44" t="s">
        <v>3798</v>
      </c>
      <c r="L1576" s="44" t="s">
        <v>2333</v>
      </c>
      <c r="M1576" s="43">
        <v>36</v>
      </c>
      <c r="N1576" s="113" t="s">
        <v>1113</v>
      </c>
      <c r="O1576" s="113"/>
      <c r="P1576" s="113"/>
      <c r="Q1576" s="319"/>
      <c r="R1576" s="319"/>
      <c r="S1576" s="319"/>
      <c r="T1576" s="319"/>
      <c r="U1576" s="319"/>
      <c r="V1576" s="319"/>
      <c r="W1576" s="319"/>
      <c r="X1576" s="319"/>
      <c r="Y1576" s="319"/>
      <c r="Z1576" s="319"/>
      <c r="AA1576" s="319"/>
      <c r="AB1576" s="319"/>
      <c r="AC1576" s="319"/>
      <c r="AD1576" s="319"/>
      <c r="AE1576" s="319"/>
      <c r="AF1576" s="319"/>
      <c r="AG1576" s="319"/>
      <c r="AH1576" s="319"/>
      <c r="AI1576" s="319"/>
      <c r="AJ1576" s="319"/>
      <c r="AK1576" s="319" t="s">
        <v>1113</v>
      </c>
      <c r="AL1576" s="113"/>
      <c r="AM1576" s="113"/>
      <c r="AN1576" s="113"/>
      <c r="AO1576" s="44" t="s">
        <v>2334</v>
      </c>
      <c r="AP1576" s="43"/>
      <c r="AQ1576" s="236" t="str">
        <f>VLOOKUP(Table8[[#This Row],[Instrument]],Def_Targets!$D$73:$E$159,2,FALSE)</f>
        <v>I_Vehicleimprove</v>
      </c>
      <c r="AR1576" s="233" t="str">
        <f>VLOOKUP(Table8[[#This Row],[Country Code]],Table29[],3,FALSE)</f>
        <v>Non-Annex I</v>
      </c>
      <c r="AS1576" s="233" t="str">
        <f>VLOOKUP(Table8[[#This Row],[Country Code]],Table29[],4,FALSE)</f>
        <v>Oceania</v>
      </c>
      <c r="AT1576" s="233" t="str">
        <f>VLOOKUP(Table8[[#This Row],[Country Code]],Table29[],5,FALSE)</f>
        <v>Middle-income</v>
      </c>
      <c r="AU1576" s="233" t="str">
        <f>VLOOKUP(Table8[[#This Row],[Country Code]],Table29[],6,FALSE)</f>
        <v>no</v>
      </c>
      <c r="AV1576" s="233" t="str">
        <f>VLOOKUP(Table8[[#This Row],[Country Code]],Table29[],7,FALSE)</f>
        <v>no</v>
      </c>
      <c r="AW1576" s="233" t="str">
        <f>VLOOKUP(Table8[[#This Row],[Country Code]],Table29[],8,FALSE)</f>
        <v>non-OECD</v>
      </c>
      <c r="AX1576" s="233" t="str">
        <f>VLOOKUP(Table8[[#This Row],[Country Code]],Table29[],9,FALSE)</f>
        <v>no</v>
      </c>
      <c r="AY1576" s="233" t="str">
        <f>VLOOKUP(Table8[[#This Row],[Country Code]],Table29[],10,FALSE)</f>
        <v>no</v>
      </c>
      <c r="AZ1576" s="235">
        <f>VLOOKUP(Table8[[#This Row],[Country Code]],Table29[],23,FALSE)</f>
        <v>0</v>
      </c>
      <c r="BA1576" s="235">
        <f>VLOOKUP(Table8[[#This Row],[Country Code]],Table29[],24,FALSE)</f>
        <v>0</v>
      </c>
      <c r="BB1576" s="320"/>
      <c r="BC1576" s="320"/>
    </row>
    <row r="1577" spans="1:55" hidden="1" x14ac:dyDescent="0.25">
      <c r="A1577" s="373">
        <v>17686</v>
      </c>
      <c r="B1577" s="233" t="str">
        <f>VLOOKUP(Table8[[#This Row],[Document ID]],Table1[],2,FALSE)</f>
        <v>NOR</v>
      </c>
      <c r="C1577" s="233" t="str">
        <f>VLOOKUP(Table8[[#This Row],[Document ID]],Table1[],3,FALSE)</f>
        <v>Norway</v>
      </c>
      <c r="D1577" s="243" t="str">
        <f>VLOOKUP(Table8[[#This Row],[Document ID]],Table1[],5,FALSE)</f>
        <v>NDC</v>
      </c>
      <c r="E1577" s="233" t="str">
        <f>VLOOKUP(Table8[[#This Row],[Document ID]],Table1[],7,FALSE)</f>
        <v>First NDC</v>
      </c>
      <c r="F1577" s="236" t="str">
        <f>VLOOKUP(Table8[[#This Row],[Document ID]],Table1[],8,FALSE)</f>
        <v>NDC 1.0</v>
      </c>
      <c r="G1577" s="236" t="str">
        <f>VLOOKUP(Table8[[#This Row],[Document ID]],Table1[],10,FALSE)</f>
        <v>Archived</v>
      </c>
      <c r="H1577" s="43" t="s">
        <v>2484</v>
      </c>
      <c r="I1577" s="43" t="s">
        <v>2485</v>
      </c>
      <c r="J1577" s="44" t="s">
        <v>2486</v>
      </c>
      <c r="K1577" s="44" t="s">
        <v>3799</v>
      </c>
      <c r="L1577" s="44" t="s">
        <v>2333</v>
      </c>
      <c r="M1577" s="43"/>
      <c r="N1577" s="113"/>
      <c r="O1577" s="113"/>
      <c r="P1577" s="113"/>
      <c r="Q1577" s="319"/>
      <c r="R1577" s="319"/>
      <c r="S1577" s="319"/>
      <c r="T1577" s="319"/>
      <c r="U1577" s="319"/>
      <c r="V1577" s="319"/>
      <c r="W1577" s="319"/>
      <c r="X1577" s="319"/>
      <c r="Y1577" s="319"/>
      <c r="Z1577" s="319"/>
      <c r="AA1577" s="319"/>
      <c r="AB1577" s="319"/>
      <c r="AC1577" s="319"/>
      <c r="AD1577" s="113" t="s">
        <v>1113</v>
      </c>
      <c r="AE1577" s="319"/>
      <c r="AF1577" s="319"/>
      <c r="AG1577" s="319"/>
      <c r="AH1577" s="319"/>
      <c r="AI1577" s="319"/>
      <c r="AJ1577" s="319"/>
      <c r="AK1577" s="319" t="s">
        <v>1113</v>
      </c>
      <c r="AL1577" s="319"/>
      <c r="AM1577" s="319"/>
      <c r="AN1577" s="319"/>
      <c r="AO1577" s="44" t="s">
        <v>2334</v>
      </c>
      <c r="AP1577" s="43"/>
      <c r="AQ1577" s="236" t="str">
        <f>VLOOKUP(Table8[[#This Row],[Instrument]],Def_Targets!$D$73:$E$159,2,FALSE)</f>
        <v>I_Shipping</v>
      </c>
      <c r="AR1577" s="233" t="str">
        <f>VLOOKUP(Table8[[#This Row],[Country Code]],Table29[],3,FALSE)</f>
        <v>Annex I</v>
      </c>
      <c r="AS1577" s="233" t="str">
        <f>VLOOKUP(Table8[[#This Row],[Country Code]],Table29[],4,FALSE)</f>
        <v>Europe</v>
      </c>
      <c r="AT1577" s="233" t="str">
        <f>VLOOKUP(Table8[[#This Row],[Country Code]],Table29[],5,FALSE)</f>
        <v>High-income</v>
      </c>
      <c r="AU1577" s="233" t="str">
        <f>VLOOKUP(Table8[[#This Row],[Country Code]],Table29[],6,FALSE)</f>
        <v>no</v>
      </c>
      <c r="AV1577" s="233" t="str">
        <f>VLOOKUP(Table8[[#This Row],[Country Code]],Table29[],7,FALSE)</f>
        <v>no</v>
      </c>
      <c r="AW1577" s="233" t="str">
        <f>VLOOKUP(Table8[[#This Row],[Country Code]],Table29[],8,FALSE)</f>
        <v>OECD</v>
      </c>
      <c r="AX1577" s="233" t="str">
        <f>VLOOKUP(Table8[[#This Row],[Country Code]],Table29[],9,FALSE)</f>
        <v>no</v>
      </c>
      <c r="AY1577" s="233" t="str">
        <f>VLOOKUP(Table8[[#This Row],[Country Code]],Table29[],10,FALSE)</f>
        <v>no</v>
      </c>
      <c r="AZ1577" s="235">
        <f>VLOOKUP(Table8[[#This Row],[Country Code]],Table29[],23,FALSE)</f>
        <v>56.717099715738001</v>
      </c>
      <c r="BA1577" s="235">
        <f>VLOOKUP(Table8[[#This Row],[Country Code]],Table29[],24,FALSE)</f>
        <v>13.64916488890823</v>
      </c>
      <c r="BB1577" s="320"/>
      <c r="BC1577" s="320"/>
    </row>
    <row r="1578" spans="1:55" ht="30" hidden="1" x14ac:dyDescent="0.25">
      <c r="A1578" s="373">
        <v>17661</v>
      </c>
      <c r="B1578" s="233" t="str">
        <f>VLOOKUP(Table8[[#This Row],[Document ID]],Table1[],2,FALSE)</f>
        <v>MEX</v>
      </c>
      <c r="C1578" s="233" t="str">
        <f>VLOOKUP(Table8[[#This Row],[Document ID]],Table1[],3,FALSE)</f>
        <v>Mexico</v>
      </c>
      <c r="D1578" s="243" t="str">
        <f>VLOOKUP(Table8[[#This Row],[Document ID]],Table1[],5,FALSE)</f>
        <v>LTS</v>
      </c>
      <c r="E1578" s="233" t="str">
        <f>VLOOKUP(Table8[[#This Row],[Document ID]],Table1[],7,FALSE)</f>
        <v>LTS</v>
      </c>
      <c r="F1578" s="233" t="str">
        <f>VLOOKUP(Table8[[#This Row],[Document ID]],Table1[],8,FALSE)</f>
        <v>LTS 1.0</v>
      </c>
      <c r="G1578" s="233" t="str">
        <f>VLOOKUP(Table8[[#This Row],[Document ID]],Table1[],10,FALSE)</f>
        <v>Active</v>
      </c>
      <c r="H1578" s="43" t="s">
        <v>2343</v>
      </c>
      <c r="I1578" s="43" t="s">
        <v>2344</v>
      </c>
      <c r="J1578" s="44" t="s">
        <v>2345</v>
      </c>
      <c r="K1578" s="44" t="s">
        <v>3800</v>
      </c>
      <c r="L1578" s="44" t="s">
        <v>2333</v>
      </c>
      <c r="M1578" s="43">
        <v>22</v>
      </c>
      <c r="N1578" s="113" t="s">
        <v>1113</v>
      </c>
      <c r="O1578" s="113"/>
      <c r="P1578" s="113"/>
      <c r="Q1578" s="113"/>
      <c r="R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319" t="s">
        <v>1113</v>
      </c>
      <c r="AL1578" s="113"/>
      <c r="AM1578" s="113"/>
      <c r="AN1578" s="113"/>
      <c r="AO1578" s="43" t="s">
        <v>2348</v>
      </c>
      <c r="AP1578" s="43"/>
      <c r="AQ1578" s="236" t="str">
        <f>VLOOKUP(Table8[[#This Row],[Instrument]],Def_Targets!$D$73:$E$159,2,FALSE)</f>
        <v>S_PublicTransport</v>
      </c>
      <c r="AR1578" s="233" t="str">
        <f>VLOOKUP(Table8[[#This Row],[Country Code]],Table29[],3,FALSE)</f>
        <v>Non-Annex I</v>
      </c>
      <c r="AS1578" s="233" t="str">
        <f>VLOOKUP(Table8[[#This Row],[Country Code]],Table29[],4,FALSE)</f>
        <v>Latin America and the Caribbean</v>
      </c>
      <c r="AT1578" s="233" t="str">
        <f>VLOOKUP(Table8[[#This Row],[Country Code]],Table29[],5,FALSE)</f>
        <v>Middle-income</v>
      </c>
      <c r="AU1578" s="233" t="str">
        <f>VLOOKUP(Table8[[#This Row],[Country Code]],Table29[],6,FALSE)</f>
        <v>G20</v>
      </c>
      <c r="AV1578" s="233" t="str">
        <f>VLOOKUP(Table8[[#This Row],[Country Code]],Table29[],7,FALSE)</f>
        <v>no</v>
      </c>
      <c r="AW1578" s="233" t="str">
        <f>VLOOKUP(Table8[[#This Row],[Country Code]],Table29[],8,FALSE)</f>
        <v>OECD</v>
      </c>
      <c r="AX1578" s="233" t="str">
        <f>VLOOKUP(Table8[[#This Row],[Country Code]],Table29[],9,FALSE)</f>
        <v>no</v>
      </c>
      <c r="AY1578" s="233" t="str">
        <f>VLOOKUP(Table8[[#This Row],[Country Code]],Table29[],10,FALSE)</f>
        <v>no</v>
      </c>
      <c r="AZ1578" s="235">
        <f>VLOOKUP(Table8[[#This Row],[Country Code]],Table29[],23,FALSE)</f>
        <v>712.10209803987004</v>
      </c>
      <c r="BA1578" s="235">
        <f>VLOOKUP(Table8[[#This Row],[Country Code]],Table29[],24,FALSE)</f>
        <v>132.220611733639</v>
      </c>
      <c r="BB1578" s="320"/>
      <c r="BC1578" s="320"/>
    </row>
    <row r="1579" spans="1:55" ht="30" hidden="1" x14ac:dyDescent="0.25">
      <c r="A1579" s="373">
        <v>17661</v>
      </c>
      <c r="B1579" s="233" t="str">
        <f>VLOOKUP(Table8[[#This Row],[Document ID]],Table1[],2,FALSE)</f>
        <v>MEX</v>
      </c>
      <c r="C1579" s="233" t="str">
        <f>VLOOKUP(Table8[[#This Row],[Document ID]],Table1[],3,FALSE)</f>
        <v>Mexico</v>
      </c>
      <c r="D1579" s="243" t="str">
        <f>VLOOKUP(Table8[[#This Row],[Document ID]],Table1[],5,FALSE)</f>
        <v>LTS</v>
      </c>
      <c r="E1579" s="233" t="str">
        <f>VLOOKUP(Table8[[#This Row],[Document ID]],Table1[],7,FALSE)</f>
        <v>LTS</v>
      </c>
      <c r="F1579" s="233" t="str">
        <f>VLOOKUP(Table8[[#This Row],[Document ID]],Table1[],8,FALSE)</f>
        <v>LTS 1.0</v>
      </c>
      <c r="G1579" s="233" t="str">
        <f>VLOOKUP(Table8[[#This Row],[Document ID]],Table1[],10,FALSE)</f>
        <v>Active</v>
      </c>
      <c r="H1579" s="43" t="s">
        <v>2350</v>
      </c>
      <c r="I1579" s="43" t="s">
        <v>2456</v>
      </c>
      <c r="J1579" s="44" t="s">
        <v>2457</v>
      </c>
      <c r="K1579" s="44" t="s">
        <v>3801</v>
      </c>
      <c r="L1579" s="44" t="s">
        <v>2471</v>
      </c>
      <c r="M1579" s="43">
        <v>22</v>
      </c>
      <c r="N1579" s="113" t="s">
        <v>1113</v>
      </c>
      <c r="O1579" s="113"/>
      <c r="P1579" s="113"/>
      <c r="Q1579" s="113"/>
      <c r="R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319" t="s">
        <v>1113</v>
      </c>
      <c r="AL1579" s="113"/>
      <c r="AM1579" s="113"/>
      <c r="AN1579" s="113"/>
      <c r="AO1579" s="44" t="s">
        <v>2334</v>
      </c>
      <c r="AP1579" s="43"/>
      <c r="AQ1579" s="236" t="str">
        <f>VLOOKUP(Table8[[#This Row],[Instrument]],Def_Targets!$D$73:$E$159,2,FALSE)</f>
        <v>S_Infraimprove</v>
      </c>
      <c r="AR1579" s="233" t="str">
        <f>VLOOKUP(Table8[[#This Row],[Country Code]],Table29[],3,FALSE)</f>
        <v>Non-Annex I</v>
      </c>
      <c r="AS1579" s="233" t="str">
        <f>VLOOKUP(Table8[[#This Row],[Country Code]],Table29[],4,FALSE)</f>
        <v>Latin America and the Caribbean</v>
      </c>
      <c r="AT1579" s="233" t="str">
        <f>VLOOKUP(Table8[[#This Row],[Country Code]],Table29[],5,FALSE)</f>
        <v>Middle-income</v>
      </c>
      <c r="AU1579" s="233" t="str">
        <f>VLOOKUP(Table8[[#This Row],[Country Code]],Table29[],6,FALSE)</f>
        <v>G20</v>
      </c>
      <c r="AV1579" s="233" t="str">
        <f>VLOOKUP(Table8[[#This Row],[Country Code]],Table29[],7,FALSE)</f>
        <v>no</v>
      </c>
      <c r="AW1579" s="233" t="str">
        <f>VLOOKUP(Table8[[#This Row],[Country Code]],Table29[],8,FALSE)</f>
        <v>OECD</v>
      </c>
      <c r="AX1579" s="233" t="str">
        <f>VLOOKUP(Table8[[#This Row],[Country Code]],Table29[],9,FALSE)</f>
        <v>no</v>
      </c>
      <c r="AY1579" s="233" t="str">
        <f>VLOOKUP(Table8[[#This Row],[Country Code]],Table29[],10,FALSE)</f>
        <v>no</v>
      </c>
      <c r="AZ1579" s="235">
        <f>VLOOKUP(Table8[[#This Row],[Country Code]],Table29[],23,FALSE)</f>
        <v>712.10209803987004</v>
      </c>
      <c r="BA1579" s="235">
        <f>VLOOKUP(Table8[[#This Row],[Country Code]],Table29[],24,FALSE)</f>
        <v>132.220611733639</v>
      </c>
      <c r="BB1579" s="320"/>
      <c r="BC1579" s="320"/>
    </row>
    <row r="1580" spans="1:55" hidden="1" x14ac:dyDescent="0.25">
      <c r="A1580" s="373">
        <v>17661</v>
      </c>
      <c r="B1580" s="233" t="str">
        <f>VLOOKUP(Table8[[#This Row],[Document ID]],Table1[],2,FALSE)</f>
        <v>MEX</v>
      </c>
      <c r="C1580" s="233" t="str">
        <f>VLOOKUP(Table8[[#This Row],[Document ID]],Table1[],3,FALSE)</f>
        <v>Mexico</v>
      </c>
      <c r="D1580" s="243" t="str">
        <f>VLOOKUP(Table8[[#This Row],[Document ID]],Table1[],5,FALSE)</f>
        <v>LTS</v>
      </c>
      <c r="E1580" s="233" t="str">
        <f>VLOOKUP(Table8[[#This Row],[Document ID]],Table1[],7,FALSE)</f>
        <v>LTS</v>
      </c>
      <c r="F1580" s="233" t="str">
        <f>VLOOKUP(Table8[[#This Row],[Document ID]],Table1[],8,FALSE)</f>
        <v>LTS 1.0</v>
      </c>
      <c r="G1580" s="233" t="str">
        <f>VLOOKUP(Table8[[#This Row],[Document ID]],Table1[],10,FALSE)</f>
        <v>Active</v>
      </c>
      <c r="H1580" s="43" t="s">
        <v>2343</v>
      </c>
      <c r="I1580" s="43" t="s">
        <v>2386</v>
      </c>
      <c r="J1580" s="44" t="s">
        <v>2412</v>
      </c>
      <c r="K1580" s="44" t="s">
        <v>3802</v>
      </c>
      <c r="L1580" s="44" t="s">
        <v>2347</v>
      </c>
      <c r="M1580" s="43">
        <v>22</v>
      </c>
      <c r="N1580" s="113" t="s">
        <v>1113</v>
      </c>
      <c r="O1580" s="113"/>
      <c r="P1580" s="113"/>
      <c r="Q1580" s="113"/>
      <c r="R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319" t="s">
        <v>1113</v>
      </c>
      <c r="AL1580" s="113"/>
      <c r="AM1580" s="113"/>
      <c r="AN1580" s="113"/>
      <c r="AO1580" s="44" t="s">
        <v>2334</v>
      </c>
      <c r="AP1580" s="43"/>
      <c r="AQ1580" s="236" t="str">
        <f>VLOOKUP(Table8[[#This Row],[Instrument]],Def_Targets!$D$73:$E$159,2,FALSE)</f>
        <v>A_Economic</v>
      </c>
      <c r="AR1580" s="233" t="str">
        <f>VLOOKUP(Table8[[#This Row],[Country Code]],Table29[],3,FALSE)</f>
        <v>Non-Annex I</v>
      </c>
      <c r="AS1580" s="233" t="str">
        <f>VLOOKUP(Table8[[#This Row],[Country Code]],Table29[],4,FALSE)</f>
        <v>Latin America and the Caribbean</v>
      </c>
      <c r="AT1580" s="233" t="str">
        <f>VLOOKUP(Table8[[#This Row],[Country Code]],Table29[],5,FALSE)</f>
        <v>Middle-income</v>
      </c>
      <c r="AU1580" s="233" t="str">
        <f>VLOOKUP(Table8[[#This Row],[Country Code]],Table29[],6,FALSE)</f>
        <v>G20</v>
      </c>
      <c r="AV1580" s="233" t="str">
        <f>VLOOKUP(Table8[[#This Row],[Country Code]],Table29[],7,FALSE)</f>
        <v>no</v>
      </c>
      <c r="AW1580" s="233" t="str">
        <f>VLOOKUP(Table8[[#This Row],[Country Code]],Table29[],8,FALSE)</f>
        <v>OECD</v>
      </c>
      <c r="AX1580" s="233" t="str">
        <f>VLOOKUP(Table8[[#This Row],[Country Code]],Table29[],9,FALSE)</f>
        <v>no</v>
      </c>
      <c r="AY1580" s="233" t="str">
        <f>VLOOKUP(Table8[[#This Row],[Country Code]],Table29[],10,FALSE)</f>
        <v>no</v>
      </c>
      <c r="AZ1580" s="235">
        <f>VLOOKUP(Table8[[#This Row],[Country Code]],Table29[],23,FALSE)</f>
        <v>712.10209803987004</v>
      </c>
      <c r="BA1580" s="235">
        <f>VLOOKUP(Table8[[#This Row],[Country Code]],Table29[],24,FALSE)</f>
        <v>132.220611733639</v>
      </c>
      <c r="BB1580" s="320"/>
      <c r="BC1580" s="320"/>
    </row>
    <row r="1581" spans="1:55" hidden="1" x14ac:dyDescent="0.25">
      <c r="A1581" s="373">
        <v>17661</v>
      </c>
      <c r="B1581" s="233" t="str">
        <f>VLOOKUP(Table8[[#This Row],[Document ID]],Table1[],2,FALSE)</f>
        <v>MEX</v>
      </c>
      <c r="C1581" s="233" t="str">
        <f>VLOOKUP(Table8[[#This Row],[Document ID]],Table1[],3,FALSE)</f>
        <v>Mexico</v>
      </c>
      <c r="D1581" s="243" t="str">
        <f>VLOOKUP(Table8[[#This Row],[Document ID]],Table1[],5,FALSE)</f>
        <v>LTS</v>
      </c>
      <c r="E1581" s="233" t="str">
        <f>VLOOKUP(Table8[[#This Row],[Document ID]],Table1[],7,FALSE)</f>
        <v>LTS</v>
      </c>
      <c r="F1581" s="233" t="str">
        <f>VLOOKUP(Table8[[#This Row],[Document ID]],Table1[],8,FALSE)</f>
        <v>LTS 1.0</v>
      </c>
      <c r="G1581" s="233" t="str">
        <f>VLOOKUP(Table8[[#This Row],[Document ID]],Table1[],10,FALSE)</f>
        <v>Active</v>
      </c>
      <c r="H1581" s="43" t="s">
        <v>2358</v>
      </c>
      <c r="I1581" s="43" t="s">
        <v>2359</v>
      </c>
      <c r="J1581" s="44" t="s">
        <v>2360</v>
      </c>
      <c r="K1581" s="44" t="s">
        <v>3803</v>
      </c>
      <c r="L1581" s="44" t="s">
        <v>2333</v>
      </c>
      <c r="M1581" s="43">
        <v>22</v>
      </c>
      <c r="N1581" s="113"/>
      <c r="O1581" s="113"/>
      <c r="P1581" s="113"/>
      <c r="Q1581" s="113"/>
      <c r="R1581" s="113"/>
      <c r="S1581" s="113"/>
      <c r="T1581" s="113"/>
      <c r="U1581" s="113"/>
      <c r="V1581" s="113"/>
      <c r="W1581" s="113"/>
      <c r="X1581" s="113"/>
      <c r="Y1581" s="113" t="s">
        <v>1113</v>
      </c>
      <c r="Z1581" s="113"/>
      <c r="AA1581" s="113"/>
      <c r="AB1581" s="113"/>
      <c r="AC1581" s="113" t="s">
        <v>1113</v>
      </c>
      <c r="AD1581" s="113"/>
      <c r="AE1581" s="113"/>
      <c r="AF1581" s="113"/>
      <c r="AG1581" s="113"/>
      <c r="AH1581" s="113"/>
      <c r="AI1581" s="113"/>
      <c r="AJ1581" s="113"/>
      <c r="AK1581" s="319" t="s">
        <v>1113</v>
      </c>
      <c r="AL1581" s="113"/>
      <c r="AM1581" s="113"/>
      <c r="AN1581" s="113"/>
      <c r="AO1581" s="43" t="s">
        <v>2348</v>
      </c>
      <c r="AP1581" s="43"/>
      <c r="AQ1581" s="236" t="str">
        <f>VLOOKUP(Table8[[#This Row],[Instrument]],Def_Targets!$D$73:$E$159,2,FALSE)</f>
        <v>I_Emobility</v>
      </c>
      <c r="AR1581" s="233" t="str">
        <f>VLOOKUP(Table8[[#This Row],[Country Code]],Table29[],3,FALSE)</f>
        <v>Non-Annex I</v>
      </c>
      <c r="AS1581" s="233" t="str">
        <f>VLOOKUP(Table8[[#This Row],[Country Code]],Table29[],4,FALSE)</f>
        <v>Latin America and the Caribbean</v>
      </c>
      <c r="AT1581" s="233" t="str">
        <f>VLOOKUP(Table8[[#This Row],[Country Code]],Table29[],5,FALSE)</f>
        <v>Middle-income</v>
      </c>
      <c r="AU1581" s="233" t="str">
        <f>VLOOKUP(Table8[[#This Row],[Country Code]],Table29[],6,FALSE)</f>
        <v>G20</v>
      </c>
      <c r="AV1581" s="233" t="str">
        <f>VLOOKUP(Table8[[#This Row],[Country Code]],Table29[],7,FALSE)</f>
        <v>no</v>
      </c>
      <c r="AW1581" s="233" t="str">
        <f>VLOOKUP(Table8[[#This Row],[Country Code]],Table29[],8,FALSE)</f>
        <v>OECD</v>
      </c>
      <c r="AX1581" s="233" t="str">
        <f>VLOOKUP(Table8[[#This Row],[Country Code]],Table29[],9,FALSE)</f>
        <v>no</v>
      </c>
      <c r="AY1581" s="233" t="str">
        <f>VLOOKUP(Table8[[#This Row],[Country Code]],Table29[],10,FALSE)</f>
        <v>no</v>
      </c>
      <c r="AZ1581" s="235">
        <f>VLOOKUP(Table8[[#This Row],[Country Code]],Table29[],23,FALSE)</f>
        <v>712.10209803987004</v>
      </c>
      <c r="BA1581" s="235">
        <f>VLOOKUP(Table8[[#This Row],[Country Code]],Table29[],24,FALSE)</f>
        <v>132.220611733639</v>
      </c>
      <c r="BB1581" s="320"/>
      <c r="BC1581" s="320"/>
    </row>
    <row r="1582" spans="1:55" ht="30" hidden="1" x14ac:dyDescent="0.25">
      <c r="A1582" s="373">
        <v>17661</v>
      </c>
      <c r="B1582" s="233" t="str">
        <f>VLOOKUP(Table8[[#This Row],[Document ID]],Table1[],2,FALSE)</f>
        <v>MEX</v>
      </c>
      <c r="C1582" s="233" t="str">
        <f>VLOOKUP(Table8[[#This Row],[Document ID]],Table1[],3,FALSE)</f>
        <v>Mexico</v>
      </c>
      <c r="D1582" s="243" t="str">
        <f>VLOOKUP(Table8[[#This Row],[Document ID]],Table1[],5,FALSE)</f>
        <v>LTS</v>
      </c>
      <c r="E1582" s="233" t="str">
        <f>VLOOKUP(Table8[[#This Row],[Document ID]],Table1[],7,FALSE)</f>
        <v>LTS</v>
      </c>
      <c r="F1582" s="233" t="str">
        <f>VLOOKUP(Table8[[#This Row],[Document ID]],Table1[],8,FALSE)</f>
        <v>LTS 1.0</v>
      </c>
      <c r="G1582" s="233" t="str">
        <f>VLOOKUP(Table8[[#This Row],[Document ID]],Table1[],10,FALSE)</f>
        <v>Active</v>
      </c>
      <c r="H1582" s="43" t="s">
        <v>2350</v>
      </c>
      <c r="I1582" s="43" t="s">
        <v>2351</v>
      </c>
      <c r="J1582" s="44" t="s">
        <v>2447</v>
      </c>
      <c r="K1582" s="44" t="s">
        <v>3804</v>
      </c>
      <c r="L1582" s="44" t="s">
        <v>2471</v>
      </c>
      <c r="M1582" s="43">
        <v>22</v>
      </c>
      <c r="N1582" s="113" t="s">
        <v>1113</v>
      </c>
      <c r="O1582" s="113"/>
      <c r="P1582" s="113"/>
      <c r="Q1582" s="113"/>
      <c r="R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319" t="s">
        <v>1113</v>
      </c>
      <c r="AL1582" s="113"/>
      <c r="AM1582" s="113"/>
      <c r="AN1582" s="113"/>
      <c r="AO1582" s="43" t="s">
        <v>2353</v>
      </c>
      <c r="AP1582" s="43"/>
      <c r="AQ1582" s="236" t="str">
        <f>VLOOKUP(Table8[[#This Row],[Instrument]],Def_Targets!$D$73:$E$159,2,FALSE)</f>
        <v>I_Freighteff</v>
      </c>
      <c r="AR1582" s="233" t="str">
        <f>VLOOKUP(Table8[[#This Row],[Country Code]],Table29[],3,FALSE)</f>
        <v>Non-Annex I</v>
      </c>
      <c r="AS1582" s="233" t="str">
        <f>VLOOKUP(Table8[[#This Row],[Country Code]],Table29[],4,FALSE)</f>
        <v>Latin America and the Caribbean</v>
      </c>
      <c r="AT1582" s="233" t="str">
        <f>VLOOKUP(Table8[[#This Row],[Country Code]],Table29[],5,FALSE)</f>
        <v>Middle-income</v>
      </c>
      <c r="AU1582" s="233" t="str">
        <f>VLOOKUP(Table8[[#This Row],[Country Code]],Table29[],6,FALSE)</f>
        <v>G20</v>
      </c>
      <c r="AV1582" s="233" t="str">
        <f>VLOOKUP(Table8[[#This Row],[Country Code]],Table29[],7,FALSE)</f>
        <v>no</v>
      </c>
      <c r="AW1582" s="233" t="str">
        <f>VLOOKUP(Table8[[#This Row],[Country Code]],Table29[],8,FALSE)</f>
        <v>OECD</v>
      </c>
      <c r="AX1582" s="233" t="str">
        <f>VLOOKUP(Table8[[#This Row],[Country Code]],Table29[],9,FALSE)</f>
        <v>no</v>
      </c>
      <c r="AY1582" s="233" t="str">
        <f>VLOOKUP(Table8[[#This Row],[Country Code]],Table29[],10,FALSE)</f>
        <v>no</v>
      </c>
      <c r="AZ1582" s="235">
        <f>VLOOKUP(Table8[[#This Row],[Country Code]],Table29[],23,FALSE)</f>
        <v>712.10209803987004</v>
      </c>
      <c r="BA1582" s="235">
        <f>VLOOKUP(Table8[[#This Row],[Country Code]],Table29[],24,FALSE)</f>
        <v>132.220611733639</v>
      </c>
      <c r="BB1582" s="320"/>
      <c r="BC1582" s="320"/>
    </row>
    <row r="1583" spans="1:55" ht="30" hidden="1" x14ac:dyDescent="0.25">
      <c r="A1583" s="373">
        <v>17661</v>
      </c>
      <c r="B1583" s="233" t="str">
        <f>VLOOKUP(Table8[[#This Row],[Document ID]],Table1[],2,FALSE)</f>
        <v>MEX</v>
      </c>
      <c r="C1583" s="233" t="str">
        <f>VLOOKUP(Table8[[#This Row],[Document ID]],Table1[],3,FALSE)</f>
        <v>Mexico</v>
      </c>
      <c r="D1583" s="243" t="str">
        <f>VLOOKUP(Table8[[#This Row],[Document ID]],Table1[],5,FALSE)</f>
        <v>LTS</v>
      </c>
      <c r="E1583" s="233" t="str">
        <f>VLOOKUP(Table8[[#This Row],[Document ID]],Table1[],7,FALSE)</f>
        <v>LTS</v>
      </c>
      <c r="F1583" s="233" t="str">
        <f>VLOOKUP(Table8[[#This Row],[Document ID]],Table1[],8,FALSE)</f>
        <v>LTS 1.0</v>
      </c>
      <c r="G1583" s="233" t="str">
        <f>VLOOKUP(Table8[[#This Row],[Document ID]],Table1[],10,FALSE)</f>
        <v>Active</v>
      </c>
      <c r="H1583" s="43" t="s">
        <v>2350</v>
      </c>
      <c r="I1583" s="43" t="s">
        <v>2456</v>
      </c>
      <c r="J1583" s="44" t="s">
        <v>2457</v>
      </c>
      <c r="K1583" s="44" t="s">
        <v>3805</v>
      </c>
      <c r="L1583" s="44" t="s">
        <v>2471</v>
      </c>
      <c r="M1583" s="43">
        <v>22</v>
      </c>
      <c r="N1583" s="113"/>
      <c r="O1583" s="113"/>
      <c r="P1583" s="113"/>
      <c r="Q1583" s="113"/>
      <c r="R1583" s="113"/>
      <c r="S1583" s="113"/>
      <c r="T1583" s="113"/>
      <c r="U1583" s="113"/>
      <c r="V1583" s="113"/>
      <c r="W1583" s="113"/>
      <c r="X1583" s="113"/>
      <c r="Y1583" s="113"/>
      <c r="Z1583" s="113" t="s">
        <v>1113</v>
      </c>
      <c r="AA1583" s="113"/>
      <c r="AB1583" s="113"/>
      <c r="AC1583" s="113"/>
      <c r="AD1583" s="113"/>
      <c r="AE1583" s="113"/>
      <c r="AF1583" s="113"/>
      <c r="AG1583" s="113"/>
      <c r="AH1583" s="113"/>
      <c r="AI1583" s="113"/>
      <c r="AJ1583" s="113"/>
      <c r="AK1583" s="319" t="s">
        <v>1113</v>
      </c>
      <c r="AL1583" s="113"/>
      <c r="AM1583" s="113"/>
      <c r="AN1583" s="113"/>
      <c r="AO1583" s="44" t="s">
        <v>2334</v>
      </c>
      <c r="AP1583" s="43"/>
      <c r="AQ1583" s="236" t="str">
        <f>VLOOKUP(Table8[[#This Row],[Instrument]],Def_Targets!$D$73:$E$159,2,FALSE)</f>
        <v>S_Infraimprove</v>
      </c>
      <c r="AR1583" s="233" t="str">
        <f>VLOOKUP(Table8[[#This Row],[Country Code]],Table29[],3,FALSE)</f>
        <v>Non-Annex I</v>
      </c>
      <c r="AS1583" s="233" t="str">
        <f>VLOOKUP(Table8[[#This Row],[Country Code]],Table29[],4,FALSE)</f>
        <v>Latin America and the Caribbean</v>
      </c>
      <c r="AT1583" s="233" t="str">
        <f>VLOOKUP(Table8[[#This Row],[Country Code]],Table29[],5,FALSE)</f>
        <v>Middle-income</v>
      </c>
      <c r="AU1583" s="233" t="str">
        <f>VLOOKUP(Table8[[#This Row],[Country Code]],Table29[],6,FALSE)</f>
        <v>G20</v>
      </c>
      <c r="AV1583" s="233" t="str">
        <f>VLOOKUP(Table8[[#This Row],[Country Code]],Table29[],7,FALSE)</f>
        <v>no</v>
      </c>
      <c r="AW1583" s="233" t="str">
        <f>VLOOKUP(Table8[[#This Row],[Country Code]],Table29[],8,FALSE)</f>
        <v>OECD</v>
      </c>
      <c r="AX1583" s="233" t="str">
        <f>VLOOKUP(Table8[[#This Row],[Country Code]],Table29[],9,FALSE)</f>
        <v>no</v>
      </c>
      <c r="AY1583" s="233" t="str">
        <f>VLOOKUP(Table8[[#This Row],[Country Code]],Table29[],10,FALSE)</f>
        <v>no</v>
      </c>
      <c r="AZ1583" s="235">
        <f>VLOOKUP(Table8[[#This Row],[Country Code]],Table29[],23,FALSE)</f>
        <v>712.10209803987004</v>
      </c>
      <c r="BA1583" s="235">
        <f>VLOOKUP(Table8[[#This Row],[Country Code]],Table29[],24,FALSE)</f>
        <v>132.220611733639</v>
      </c>
      <c r="BB1583" s="320"/>
      <c r="BC1583" s="320"/>
    </row>
    <row r="1584" spans="1:55" hidden="1" x14ac:dyDescent="0.25">
      <c r="A1584" s="373">
        <v>17661</v>
      </c>
      <c r="B1584" s="233" t="str">
        <f>VLOOKUP(Table8[[#This Row],[Document ID]],Table1[],2,FALSE)</f>
        <v>MEX</v>
      </c>
      <c r="C1584" s="233" t="str">
        <f>VLOOKUP(Table8[[#This Row],[Document ID]],Table1[],3,FALSE)</f>
        <v>Mexico</v>
      </c>
      <c r="D1584" s="243" t="str">
        <f>VLOOKUP(Table8[[#This Row],[Document ID]],Table1[],5,FALSE)</f>
        <v>LTS</v>
      </c>
      <c r="E1584" s="233" t="str">
        <f>VLOOKUP(Table8[[#This Row],[Document ID]],Table1[],7,FALSE)</f>
        <v>LTS</v>
      </c>
      <c r="F1584" s="233" t="str">
        <f>VLOOKUP(Table8[[#This Row],[Document ID]],Table1[],8,FALSE)</f>
        <v>LTS 1.0</v>
      </c>
      <c r="G1584" s="233" t="str">
        <f>VLOOKUP(Table8[[#This Row],[Document ID]],Table1[],10,FALSE)</f>
        <v>Active</v>
      </c>
      <c r="H1584" s="43" t="s">
        <v>2358</v>
      </c>
      <c r="I1584" s="43" t="s">
        <v>2359</v>
      </c>
      <c r="J1584" s="44" t="s">
        <v>2360</v>
      </c>
      <c r="K1584" s="44" t="s">
        <v>3805</v>
      </c>
      <c r="L1584" s="44" t="s">
        <v>2333</v>
      </c>
      <c r="M1584" s="43">
        <v>22</v>
      </c>
      <c r="N1584" s="113"/>
      <c r="O1584" s="113"/>
      <c r="P1584" s="113"/>
      <c r="Q1584" s="113"/>
      <c r="R1584" s="113"/>
      <c r="S1584" s="113" t="s">
        <v>1113</v>
      </c>
      <c r="T1584" s="113"/>
      <c r="U1584" s="113"/>
      <c r="V1584" s="113"/>
      <c r="W1584" s="113"/>
      <c r="X1584" s="113"/>
      <c r="Y1584" s="113"/>
      <c r="Z1584" s="113" t="s">
        <v>1113</v>
      </c>
      <c r="AA1584" s="113"/>
      <c r="AB1584" s="113"/>
      <c r="AC1584" s="113"/>
      <c r="AD1584" s="113"/>
      <c r="AE1584" s="113"/>
      <c r="AF1584" s="113"/>
      <c r="AG1584" s="113"/>
      <c r="AH1584" s="113"/>
      <c r="AI1584" s="113"/>
      <c r="AJ1584" s="113"/>
      <c r="AK1584" s="319" t="s">
        <v>1113</v>
      </c>
      <c r="AL1584" s="113"/>
      <c r="AM1584" s="113"/>
      <c r="AN1584" s="113"/>
      <c r="AO1584" s="44" t="s">
        <v>2334</v>
      </c>
      <c r="AP1584" s="43"/>
      <c r="AQ1584" s="236" t="str">
        <f>VLOOKUP(Table8[[#This Row],[Instrument]],Def_Targets!$D$73:$E$159,2,FALSE)</f>
        <v>I_Emobility</v>
      </c>
      <c r="AR1584" s="233" t="str">
        <f>VLOOKUP(Table8[[#This Row],[Country Code]],Table29[],3,FALSE)</f>
        <v>Non-Annex I</v>
      </c>
      <c r="AS1584" s="233" t="str">
        <f>VLOOKUP(Table8[[#This Row],[Country Code]],Table29[],4,FALSE)</f>
        <v>Latin America and the Caribbean</v>
      </c>
      <c r="AT1584" s="233" t="str">
        <f>VLOOKUP(Table8[[#This Row],[Country Code]],Table29[],5,FALSE)</f>
        <v>Middle-income</v>
      </c>
      <c r="AU1584" s="233" t="str">
        <f>VLOOKUP(Table8[[#This Row],[Country Code]],Table29[],6,FALSE)</f>
        <v>G20</v>
      </c>
      <c r="AV1584" s="233" t="str">
        <f>VLOOKUP(Table8[[#This Row],[Country Code]],Table29[],7,FALSE)</f>
        <v>no</v>
      </c>
      <c r="AW1584" s="233" t="str">
        <f>VLOOKUP(Table8[[#This Row],[Country Code]],Table29[],8,FALSE)</f>
        <v>OECD</v>
      </c>
      <c r="AX1584" s="233" t="str">
        <f>VLOOKUP(Table8[[#This Row],[Country Code]],Table29[],9,FALSE)</f>
        <v>no</v>
      </c>
      <c r="AY1584" s="233" t="str">
        <f>VLOOKUP(Table8[[#This Row],[Country Code]],Table29[],10,FALSE)</f>
        <v>no</v>
      </c>
      <c r="AZ1584" s="235">
        <f>VLOOKUP(Table8[[#This Row],[Country Code]],Table29[],23,FALSE)</f>
        <v>712.10209803987004</v>
      </c>
      <c r="BA1584" s="235">
        <f>VLOOKUP(Table8[[#This Row],[Country Code]],Table29[],24,FALSE)</f>
        <v>132.220611733639</v>
      </c>
      <c r="BB1584" s="320"/>
      <c r="BC1584" s="320"/>
    </row>
    <row r="1585" spans="1:55" ht="45" hidden="1" x14ac:dyDescent="0.25">
      <c r="A1585" s="373">
        <v>17661</v>
      </c>
      <c r="B1585" s="233" t="str">
        <f>VLOOKUP(Table8[[#This Row],[Document ID]],Table1[],2,FALSE)</f>
        <v>MEX</v>
      </c>
      <c r="C1585" s="233" t="str">
        <f>VLOOKUP(Table8[[#This Row],[Document ID]],Table1[],3,FALSE)</f>
        <v>Mexico</v>
      </c>
      <c r="D1585" s="243" t="str">
        <f>VLOOKUP(Table8[[#This Row],[Document ID]],Table1[],5,FALSE)</f>
        <v>LTS</v>
      </c>
      <c r="E1585" s="233" t="str">
        <f>VLOOKUP(Table8[[#This Row],[Document ID]],Table1[],7,FALSE)</f>
        <v>LTS</v>
      </c>
      <c r="F1585" s="233" t="str">
        <f>VLOOKUP(Table8[[#This Row],[Document ID]],Table1[],8,FALSE)</f>
        <v>LTS 1.0</v>
      </c>
      <c r="G1585" s="233" t="str">
        <f>VLOOKUP(Table8[[#This Row],[Document ID]],Table1[],10,FALSE)</f>
        <v>Active</v>
      </c>
      <c r="H1585" s="43" t="s">
        <v>2350</v>
      </c>
      <c r="I1585" s="43" t="s">
        <v>2370</v>
      </c>
      <c r="J1585" s="44" t="s">
        <v>2418</v>
      </c>
      <c r="K1585" s="44" t="s">
        <v>3806</v>
      </c>
      <c r="L1585" s="44" t="s">
        <v>2373</v>
      </c>
      <c r="M1585" s="43">
        <v>31</v>
      </c>
      <c r="N1585" s="113" t="s">
        <v>1113</v>
      </c>
      <c r="O1585" s="113"/>
      <c r="P1585" s="113"/>
      <c r="Q1585" s="113"/>
      <c r="R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t="s">
        <v>1113</v>
      </c>
      <c r="AM1585" s="113"/>
      <c r="AN1585" s="113"/>
      <c r="AO1585" s="44" t="s">
        <v>2334</v>
      </c>
      <c r="AP1585" s="43"/>
      <c r="AQ1585" s="236" t="str">
        <f>VLOOKUP(Table8[[#This Row],[Instrument]],Def_Targets!$D$73:$E$159,2,FALSE)</f>
        <v>A_Complan</v>
      </c>
      <c r="AR1585" s="233" t="str">
        <f>VLOOKUP(Table8[[#This Row],[Country Code]],Table29[],3,FALSE)</f>
        <v>Non-Annex I</v>
      </c>
      <c r="AS1585" s="233" t="str">
        <f>VLOOKUP(Table8[[#This Row],[Country Code]],Table29[],4,FALSE)</f>
        <v>Latin America and the Caribbean</v>
      </c>
      <c r="AT1585" s="233" t="str">
        <f>VLOOKUP(Table8[[#This Row],[Country Code]],Table29[],5,FALSE)</f>
        <v>Middle-income</v>
      </c>
      <c r="AU1585" s="233" t="str">
        <f>VLOOKUP(Table8[[#This Row],[Country Code]],Table29[],6,FALSE)</f>
        <v>G20</v>
      </c>
      <c r="AV1585" s="233" t="str">
        <f>VLOOKUP(Table8[[#This Row],[Country Code]],Table29[],7,FALSE)</f>
        <v>no</v>
      </c>
      <c r="AW1585" s="233" t="str">
        <f>VLOOKUP(Table8[[#This Row],[Country Code]],Table29[],8,FALSE)</f>
        <v>OECD</v>
      </c>
      <c r="AX1585" s="233" t="str">
        <f>VLOOKUP(Table8[[#This Row],[Country Code]],Table29[],9,FALSE)</f>
        <v>no</v>
      </c>
      <c r="AY1585" s="233" t="str">
        <f>VLOOKUP(Table8[[#This Row],[Country Code]],Table29[],10,FALSE)</f>
        <v>no</v>
      </c>
      <c r="AZ1585" s="235">
        <f>VLOOKUP(Table8[[#This Row],[Country Code]],Table29[],23,FALSE)</f>
        <v>712.10209803987004</v>
      </c>
      <c r="BA1585" s="235">
        <f>VLOOKUP(Table8[[#This Row],[Country Code]],Table29[],24,FALSE)</f>
        <v>132.220611733639</v>
      </c>
      <c r="BB1585" s="320"/>
      <c r="BC1585" s="320"/>
    </row>
    <row r="1586" spans="1:55" ht="45" hidden="1" x14ac:dyDescent="0.25">
      <c r="A1586" s="360">
        <v>17661</v>
      </c>
      <c r="B1586" s="233" t="str">
        <f>VLOOKUP(Table8[[#This Row],[Document ID]],Table1[],2,FALSE)</f>
        <v>MEX</v>
      </c>
      <c r="C1586" s="233" t="str">
        <f>VLOOKUP(Table8[[#This Row],[Document ID]],Table1[],3,FALSE)</f>
        <v>Mexico</v>
      </c>
      <c r="D1586" s="233" t="str">
        <f>VLOOKUP(Table8[[#This Row],[Document ID]],Table1[],5,FALSE)</f>
        <v>LTS</v>
      </c>
      <c r="E1586" s="233" t="str">
        <f>VLOOKUP(Table8[[#This Row],[Document ID]],Table1[],7,FALSE)</f>
        <v>LTS</v>
      </c>
      <c r="F1586" s="233" t="str">
        <f>VLOOKUP(Table8[[#This Row],[Document ID]],Table1[],8,FALSE)</f>
        <v>LTS 1.0</v>
      </c>
      <c r="G1586" s="233" t="str">
        <f>VLOOKUP(Table8[[#This Row],[Document ID]],Table1[],10,FALSE)</f>
        <v>Active</v>
      </c>
      <c r="H1586" s="43" t="s">
        <v>2350</v>
      </c>
      <c r="I1586" s="43" t="s">
        <v>2407</v>
      </c>
      <c r="J1586" s="44" t="s">
        <v>2408</v>
      </c>
      <c r="K1586" s="44" t="s">
        <v>3807</v>
      </c>
      <c r="L1586" s="44" t="s">
        <v>2373</v>
      </c>
      <c r="M1586" s="43">
        <v>31</v>
      </c>
      <c r="N1586" s="113" t="s">
        <v>1113</v>
      </c>
      <c r="O1586" s="113"/>
      <c r="P1586" s="113"/>
      <c r="Q1586" s="113"/>
      <c r="R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319" t="s">
        <v>1113</v>
      </c>
      <c r="AL1586" s="113"/>
      <c r="AM1586" s="113"/>
      <c r="AN1586" s="113"/>
      <c r="AO1586" s="44" t="s">
        <v>2334</v>
      </c>
      <c r="AP1586" s="43"/>
      <c r="AQ1586" s="236" t="str">
        <f>VLOOKUP(Table8[[#This Row],[Instrument]],Def_Targets!$D$73:$E$159,2,FALSE)</f>
        <v>I_Education</v>
      </c>
      <c r="AR1586" s="233" t="str">
        <f>VLOOKUP(Table8[[#This Row],[Country Code]],Table29[],3,FALSE)</f>
        <v>Non-Annex I</v>
      </c>
      <c r="AS1586" s="233" t="str">
        <f>VLOOKUP(Table8[[#This Row],[Country Code]],Table29[],4,FALSE)</f>
        <v>Latin America and the Caribbean</v>
      </c>
      <c r="AT1586" s="233" t="str">
        <f>VLOOKUP(Table8[[#This Row],[Country Code]],Table29[],5,FALSE)</f>
        <v>Middle-income</v>
      </c>
      <c r="AU1586" s="233" t="str">
        <f>VLOOKUP(Table8[[#This Row],[Country Code]],Table29[],6,FALSE)</f>
        <v>G20</v>
      </c>
      <c r="AV1586" s="233" t="str">
        <f>VLOOKUP(Table8[[#This Row],[Country Code]],Table29[],7,FALSE)</f>
        <v>no</v>
      </c>
      <c r="AW1586" s="233" t="str">
        <f>VLOOKUP(Table8[[#This Row],[Country Code]],Table29[],8,FALSE)</f>
        <v>OECD</v>
      </c>
      <c r="AX1586" s="233" t="str">
        <f>VLOOKUP(Table8[[#This Row],[Country Code]],Table29[],9,FALSE)</f>
        <v>no</v>
      </c>
      <c r="AY1586" s="233" t="str">
        <f>VLOOKUP(Table8[[#This Row],[Country Code]],Table29[],10,FALSE)</f>
        <v>no</v>
      </c>
      <c r="AZ1586" s="235">
        <f>VLOOKUP(Table8[[#This Row],[Country Code]],Table29[],23,FALSE)</f>
        <v>712.10209803987004</v>
      </c>
      <c r="BA1586" s="235">
        <f>VLOOKUP(Table8[[#This Row],[Country Code]],Table29[],24,FALSE)</f>
        <v>132.220611733639</v>
      </c>
      <c r="BB1586" s="320"/>
      <c r="BC1586" s="320"/>
    </row>
    <row r="1587" spans="1:55" ht="30" hidden="1" x14ac:dyDescent="0.25">
      <c r="A1587" s="373">
        <v>17661</v>
      </c>
      <c r="B1587" s="233" t="str">
        <f>VLOOKUP(Table8[[#This Row],[Document ID]],Table1[],2,FALSE)</f>
        <v>MEX</v>
      </c>
      <c r="C1587" s="233" t="str">
        <f>VLOOKUP(Table8[[#This Row],[Document ID]],Table1[],3,FALSE)</f>
        <v>Mexico</v>
      </c>
      <c r="D1587" s="243" t="str">
        <f>VLOOKUP(Table8[[#This Row],[Document ID]],Table1[],5,FALSE)</f>
        <v>LTS</v>
      </c>
      <c r="E1587" s="233" t="str">
        <f>VLOOKUP(Table8[[#This Row],[Document ID]],Table1[],7,FALSE)</f>
        <v>LTS</v>
      </c>
      <c r="F1587" s="233" t="str">
        <f>VLOOKUP(Table8[[#This Row],[Document ID]],Table1[],8,FALSE)</f>
        <v>LTS 1.0</v>
      </c>
      <c r="G1587" s="233" t="str">
        <f>VLOOKUP(Table8[[#This Row],[Document ID]],Table1[],10,FALSE)</f>
        <v>Active</v>
      </c>
      <c r="H1587" s="43" t="s">
        <v>2343</v>
      </c>
      <c r="I1587" s="43" t="s">
        <v>2386</v>
      </c>
      <c r="J1587" s="44" t="s">
        <v>2515</v>
      </c>
      <c r="K1587" s="44" t="s">
        <v>3808</v>
      </c>
      <c r="L1587" s="44" t="s">
        <v>2380</v>
      </c>
      <c r="M1587" s="43">
        <v>31</v>
      </c>
      <c r="N1587" s="113" t="s">
        <v>1113</v>
      </c>
      <c r="O1587" s="113"/>
      <c r="P1587" s="113"/>
      <c r="Q1587" s="113"/>
      <c r="R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319" t="s">
        <v>1113</v>
      </c>
      <c r="AL1587" s="113"/>
      <c r="AM1587" s="113"/>
      <c r="AN1587" s="113"/>
      <c r="AO1587" s="44" t="s">
        <v>2334</v>
      </c>
      <c r="AP1587" s="43"/>
      <c r="AQ1587" s="236" t="str">
        <f>VLOOKUP(Table8[[#This Row],[Instrument]],Def_Targets!$D$73:$E$159,2,FALSE)</f>
        <v>A_Fossilfuelsubs</v>
      </c>
      <c r="AR1587" s="233" t="str">
        <f>VLOOKUP(Table8[[#This Row],[Country Code]],Table29[],3,FALSE)</f>
        <v>Non-Annex I</v>
      </c>
      <c r="AS1587" s="233" t="str">
        <f>VLOOKUP(Table8[[#This Row],[Country Code]],Table29[],4,FALSE)</f>
        <v>Latin America and the Caribbean</v>
      </c>
      <c r="AT1587" s="233" t="str">
        <f>VLOOKUP(Table8[[#This Row],[Country Code]],Table29[],5,FALSE)</f>
        <v>Middle-income</v>
      </c>
      <c r="AU1587" s="233" t="str">
        <f>VLOOKUP(Table8[[#This Row],[Country Code]],Table29[],6,FALSE)</f>
        <v>G20</v>
      </c>
      <c r="AV1587" s="233" t="str">
        <f>VLOOKUP(Table8[[#This Row],[Country Code]],Table29[],7,FALSE)</f>
        <v>no</v>
      </c>
      <c r="AW1587" s="233" t="str">
        <f>VLOOKUP(Table8[[#This Row],[Country Code]],Table29[],8,FALSE)</f>
        <v>OECD</v>
      </c>
      <c r="AX1587" s="233" t="str">
        <f>VLOOKUP(Table8[[#This Row],[Country Code]],Table29[],9,FALSE)</f>
        <v>no</v>
      </c>
      <c r="AY1587" s="233" t="str">
        <f>VLOOKUP(Table8[[#This Row],[Country Code]],Table29[],10,FALSE)</f>
        <v>no</v>
      </c>
      <c r="AZ1587" s="235">
        <f>VLOOKUP(Table8[[#This Row],[Country Code]],Table29[],23,FALSE)</f>
        <v>712.10209803987004</v>
      </c>
      <c r="BA1587" s="235">
        <f>VLOOKUP(Table8[[#This Row],[Country Code]],Table29[],24,FALSE)</f>
        <v>132.220611733639</v>
      </c>
      <c r="BB1587" s="320"/>
      <c r="BC1587" s="320"/>
    </row>
    <row r="1588" spans="1:55" ht="60" hidden="1" x14ac:dyDescent="0.25">
      <c r="A1588" s="360">
        <v>17661</v>
      </c>
      <c r="B1588" s="233" t="str">
        <f>VLOOKUP(Table8[[#This Row],[Document ID]],Table1[],2,FALSE)</f>
        <v>MEX</v>
      </c>
      <c r="C1588" s="233" t="str">
        <f>VLOOKUP(Table8[[#This Row],[Document ID]],Table1[],3,FALSE)</f>
        <v>Mexico</v>
      </c>
      <c r="D1588" s="233" t="str">
        <f>VLOOKUP(Table8[[#This Row],[Document ID]],Table1[],5,FALSE)</f>
        <v>LTS</v>
      </c>
      <c r="E1588" s="233" t="str">
        <f>VLOOKUP(Table8[[#This Row],[Document ID]],Table1[],7,FALSE)</f>
        <v>LTS</v>
      </c>
      <c r="F1588" s="233" t="str">
        <f>VLOOKUP(Table8[[#This Row],[Document ID]],Table1[],8,FALSE)</f>
        <v>LTS 1.0</v>
      </c>
      <c r="G1588" s="233" t="str">
        <f>VLOOKUP(Table8[[#This Row],[Document ID]],Table1[],10,FALSE)</f>
        <v>Active</v>
      </c>
      <c r="H1588" s="43" t="s">
        <v>2350</v>
      </c>
      <c r="I1588" s="43" t="s">
        <v>2370</v>
      </c>
      <c r="J1588" s="44" t="s">
        <v>2418</v>
      </c>
      <c r="K1588" s="44" t="s">
        <v>3809</v>
      </c>
      <c r="L1588" s="44" t="s">
        <v>2380</v>
      </c>
      <c r="M1588" s="43">
        <v>89</v>
      </c>
      <c r="N1588" s="113" t="s">
        <v>1113</v>
      </c>
      <c r="O1588" s="113"/>
      <c r="P1588" s="113"/>
      <c r="Q1588" s="113"/>
      <c r="R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319"/>
      <c r="AL1588" s="113" t="s">
        <v>1113</v>
      </c>
      <c r="AM1588" s="113"/>
      <c r="AN1588" s="113"/>
      <c r="AO1588" s="44" t="s">
        <v>2334</v>
      </c>
      <c r="AP1588" s="43"/>
      <c r="AQ1588" s="236" t="str">
        <f>VLOOKUP(Table8[[#This Row],[Instrument]],Def_Targets!$D$73:$E$159,2,FALSE)</f>
        <v>A_Complan</v>
      </c>
      <c r="AR1588" s="233" t="str">
        <f>VLOOKUP(Table8[[#This Row],[Country Code]],Table29[],3,FALSE)</f>
        <v>Non-Annex I</v>
      </c>
      <c r="AS1588" s="233" t="str">
        <f>VLOOKUP(Table8[[#This Row],[Country Code]],Table29[],4,FALSE)</f>
        <v>Latin America and the Caribbean</v>
      </c>
      <c r="AT1588" s="233" t="str">
        <f>VLOOKUP(Table8[[#This Row],[Country Code]],Table29[],5,FALSE)</f>
        <v>Middle-income</v>
      </c>
      <c r="AU1588" s="233" t="str">
        <f>VLOOKUP(Table8[[#This Row],[Country Code]],Table29[],6,FALSE)</f>
        <v>G20</v>
      </c>
      <c r="AV1588" s="233" t="str">
        <f>VLOOKUP(Table8[[#This Row],[Country Code]],Table29[],7,FALSE)</f>
        <v>no</v>
      </c>
      <c r="AW1588" s="233" t="str">
        <f>VLOOKUP(Table8[[#This Row],[Country Code]],Table29[],8,FALSE)</f>
        <v>OECD</v>
      </c>
      <c r="AX1588" s="233" t="str">
        <f>VLOOKUP(Table8[[#This Row],[Country Code]],Table29[],9,FALSE)</f>
        <v>no</v>
      </c>
      <c r="AY1588" s="233" t="str">
        <f>VLOOKUP(Table8[[#This Row],[Country Code]],Table29[],10,FALSE)</f>
        <v>no</v>
      </c>
      <c r="AZ1588" s="235">
        <f>VLOOKUP(Table8[[#This Row],[Country Code]],Table29[],23,FALSE)</f>
        <v>712.10209803987004</v>
      </c>
      <c r="BA1588" s="235">
        <f>VLOOKUP(Table8[[#This Row],[Country Code]],Table29[],24,FALSE)</f>
        <v>132.220611733639</v>
      </c>
      <c r="BB1588" s="320"/>
      <c r="BC1588" s="320"/>
    </row>
    <row r="1589" spans="1:55" ht="60" hidden="1" x14ac:dyDescent="0.25">
      <c r="A1589" s="373">
        <v>17661</v>
      </c>
      <c r="B1589" s="233" t="str">
        <f>VLOOKUP(Table8[[#This Row],[Document ID]],Table1[],2,FALSE)</f>
        <v>MEX</v>
      </c>
      <c r="C1589" s="233" t="str">
        <f>VLOOKUP(Table8[[#This Row],[Document ID]],Table1[],3,FALSE)</f>
        <v>Mexico</v>
      </c>
      <c r="D1589" s="243" t="str">
        <f>VLOOKUP(Table8[[#This Row],[Document ID]],Table1[],5,FALSE)</f>
        <v>LTS</v>
      </c>
      <c r="E1589" s="233" t="str">
        <f>VLOOKUP(Table8[[#This Row],[Document ID]],Table1[],7,FALSE)</f>
        <v>LTS</v>
      </c>
      <c r="F1589" s="233" t="str">
        <f>VLOOKUP(Table8[[#This Row],[Document ID]],Table1[],8,FALSE)</f>
        <v>LTS 1.0</v>
      </c>
      <c r="G1589" s="233" t="str">
        <f>VLOOKUP(Table8[[#This Row],[Document ID]],Table1[],10,FALSE)</f>
        <v>Active</v>
      </c>
      <c r="H1589" s="43" t="s">
        <v>2350</v>
      </c>
      <c r="I1589" s="43" t="s">
        <v>2370</v>
      </c>
      <c r="J1589" s="44" t="s">
        <v>2518</v>
      </c>
      <c r="K1589" s="44" t="s">
        <v>3809</v>
      </c>
      <c r="L1589" s="44" t="s">
        <v>2380</v>
      </c>
      <c r="M1589" s="43">
        <v>89</v>
      </c>
      <c r="N1589" s="113" t="s">
        <v>1113</v>
      </c>
      <c r="O1589" s="113"/>
      <c r="P1589" s="113"/>
      <c r="Q1589" s="113"/>
      <c r="R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t="s">
        <v>1113</v>
      </c>
      <c r="AM1589" s="113"/>
      <c r="AN1589" s="113"/>
      <c r="AO1589" s="44" t="s">
        <v>2334</v>
      </c>
      <c r="AP1589" s="43"/>
      <c r="AQ1589" s="236" t="str">
        <f>VLOOKUP(Table8[[#This Row],[Instrument]],Def_Targets!$D$73:$E$159,2,FALSE)</f>
        <v>A_Mixuse</v>
      </c>
      <c r="AR1589" s="233" t="str">
        <f>VLOOKUP(Table8[[#This Row],[Country Code]],Table29[],3,FALSE)</f>
        <v>Non-Annex I</v>
      </c>
      <c r="AS1589" s="233" t="str">
        <f>VLOOKUP(Table8[[#This Row],[Country Code]],Table29[],4,FALSE)</f>
        <v>Latin America and the Caribbean</v>
      </c>
      <c r="AT1589" s="233" t="str">
        <f>VLOOKUP(Table8[[#This Row],[Country Code]],Table29[],5,FALSE)</f>
        <v>Middle-income</v>
      </c>
      <c r="AU1589" s="233" t="str">
        <f>VLOOKUP(Table8[[#This Row],[Country Code]],Table29[],6,FALSE)</f>
        <v>G20</v>
      </c>
      <c r="AV1589" s="233" t="str">
        <f>VLOOKUP(Table8[[#This Row],[Country Code]],Table29[],7,FALSE)</f>
        <v>no</v>
      </c>
      <c r="AW1589" s="233" t="str">
        <f>VLOOKUP(Table8[[#This Row],[Country Code]],Table29[],8,FALSE)</f>
        <v>OECD</v>
      </c>
      <c r="AX1589" s="233" t="str">
        <f>VLOOKUP(Table8[[#This Row],[Country Code]],Table29[],9,FALSE)</f>
        <v>no</v>
      </c>
      <c r="AY1589" s="233" t="str">
        <f>VLOOKUP(Table8[[#This Row],[Country Code]],Table29[],10,FALSE)</f>
        <v>no</v>
      </c>
      <c r="AZ1589" s="235">
        <f>VLOOKUP(Table8[[#This Row],[Country Code]],Table29[],23,FALSE)</f>
        <v>712.10209803987004</v>
      </c>
      <c r="BA1589" s="235">
        <f>VLOOKUP(Table8[[#This Row],[Country Code]],Table29[],24,FALSE)</f>
        <v>132.220611733639</v>
      </c>
      <c r="BB1589" s="320"/>
      <c r="BC1589" s="320"/>
    </row>
    <row r="1590" spans="1:55" ht="60" hidden="1" x14ac:dyDescent="0.25">
      <c r="A1590" s="373">
        <v>17661</v>
      </c>
      <c r="B1590" s="233" t="str">
        <f>VLOOKUP(Table8[[#This Row],[Document ID]],Table1[],2,FALSE)</f>
        <v>MEX</v>
      </c>
      <c r="C1590" s="233" t="str">
        <f>VLOOKUP(Table8[[#This Row],[Document ID]],Table1[],3,FALSE)</f>
        <v>Mexico</v>
      </c>
      <c r="D1590" s="243" t="str">
        <f>VLOOKUP(Table8[[#This Row],[Document ID]],Table1[],5,FALSE)</f>
        <v>LTS</v>
      </c>
      <c r="E1590" s="233" t="str">
        <f>VLOOKUP(Table8[[#This Row],[Document ID]],Table1[],7,FALSE)</f>
        <v>LTS</v>
      </c>
      <c r="F1590" s="233" t="str">
        <f>VLOOKUP(Table8[[#This Row],[Document ID]],Table1[],8,FALSE)</f>
        <v>LTS 1.0</v>
      </c>
      <c r="G1590" s="233" t="str">
        <f>VLOOKUP(Table8[[#This Row],[Document ID]],Table1[],10,FALSE)</f>
        <v>Active</v>
      </c>
      <c r="H1590" s="43" t="s">
        <v>2350</v>
      </c>
      <c r="I1590" s="43" t="s">
        <v>2370</v>
      </c>
      <c r="J1590" s="44" t="s">
        <v>2518</v>
      </c>
      <c r="K1590" s="44" t="s">
        <v>3809</v>
      </c>
      <c r="L1590" s="44" t="s">
        <v>2380</v>
      </c>
      <c r="M1590" s="43">
        <v>89</v>
      </c>
      <c r="N1590" s="113" t="s">
        <v>1113</v>
      </c>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t="s">
        <v>1113</v>
      </c>
      <c r="AM1590" s="113"/>
      <c r="AN1590" s="113"/>
      <c r="AO1590" s="44" t="s">
        <v>2334</v>
      </c>
      <c r="AP1590" s="43"/>
      <c r="AQ1590" s="236" t="str">
        <f>VLOOKUP(Table8[[#This Row],[Instrument]],Def_Targets!$D$73:$E$159,2,FALSE)</f>
        <v>A_Mixuse</v>
      </c>
      <c r="AR1590" s="233" t="str">
        <f>VLOOKUP(Table8[[#This Row],[Country Code]],Table29[],3,FALSE)</f>
        <v>Non-Annex I</v>
      </c>
      <c r="AS1590" s="233" t="str">
        <f>VLOOKUP(Table8[[#This Row],[Country Code]],Table29[],4,FALSE)</f>
        <v>Latin America and the Caribbean</v>
      </c>
      <c r="AT1590" s="233" t="str">
        <f>VLOOKUP(Table8[[#This Row],[Country Code]],Table29[],5,FALSE)</f>
        <v>Middle-income</v>
      </c>
      <c r="AU1590" s="233" t="str">
        <f>VLOOKUP(Table8[[#This Row],[Country Code]],Table29[],6,FALSE)</f>
        <v>G20</v>
      </c>
      <c r="AV1590" s="233" t="str">
        <f>VLOOKUP(Table8[[#This Row],[Country Code]],Table29[],7,FALSE)</f>
        <v>no</v>
      </c>
      <c r="AW1590" s="233" t="str">
        <f>VLOOKUP(Table8[[#This Row],[Country Code]],Table29[],8,FALSE)</f>
        <v>OECD</v>
      </c>
      <c r="AX1590" s="233" t="str">
        <f>VLOOKUP(Table8[[#This Row],[Country Code]],Table29[],9,FALSE)</f>
        <v>no</v>
      </c>
      <c r="AY1590" s="233" t="str">
        <f>VLOOKUP(Table8[[#This Row],[Country Code]],Table29[],10,FALSE)</f>
        <v>no</v>
      </c>
      <c r="AZ1590" s="235">
        <f>VLOOKUP(Table8[[#This Row],[Country Code]],Table29[],23,FALSE)</f>
        <v>712.10209803987004</v>
      </c>
      <c r="BA1590" s="235">
        <f>VLOOKUP(Table8[[#This Row],[Country Code]],Table29[],24,FALSE)</f>
        <v>132.220611733639</v>
      </c>
      <c r="BB1590" s="320"/>
      <c r="BC1590" s="320"/>
    </row>
    <row r="1591" spans="1:55" ht="75" hidden="1" x14ac:dyDescent="0.25">
      <c r="A1591" s="373">
        <v>17661</v>
      </c>
      <c r="B1591" s="233" t="str">
        <f>VLOOKUP(Table8[[#This Row],[Document ID]],Table1[],2,FALSE)</f>
        <v>MEX</v>
      </c>
      <c r="C1591" s="233" t="str">
        <f>VLOOKUP(Table8[[#This Row],[Document ID]],Table1[],3,FALSE)</f>
        <v>Mexico</v>
      </c>
      <c r="D1591" s="243" t="str">
        <f>VLOOKUP(Table8[[#This Row],[Document ID]],Table1[],5,FALSE)</f>
        <v>LTS</v>
      </c>
      <c r="E1591" s="233" t="str">
        <f>VLOOKUP(Table8[[#This Row],[Document ID]],Table1[],7,FALSE)</f>
        <v>LTS</v>
      </c>
      <c r="F1591" s="233" t="str">
        <f>VLOOKUP(Table8[[#This Row],[Document ID]],Table1[],8,FALSE)</f>
        <v>LTS 1.0</v>
      </c>
      <c r="G1591" s="233" t="str">
        <f>VLOOKUP(Table8[[#This Row],[Document ID]],Table1[],10,FALSE)</f>
        <v>Active</v>
      </c>
      <c r="H1591" s="43" t="s">
        <v>2350</v>
      </c>
      <c r="I1591" s="43" t="s">
        <v>2456</v>
      </c>
      <c r="J1591" s="44" t="s">
        <v>2643</v>
      </c>
      <c r="K1591" s="44" t="s">
        <v>3810</v>
      </c>
      <c r="L1591" s="44" t="s">
        <v>2471</v>
      </c>
      <c r="M1591" s="43">
        <v>90</v>
      </c>
      <c r="N1591" s="113" t="s">
        <v>1113</v>
      </c>
      <c r="O1591" s="113"/>
      <c r="P1591" s="113"/>
      <c r="Q1591" s="113"/>
      <c r="R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t="s">
        <v>1113</v>
      </c>
      <c r="AO1591" s="44" t="s">
        <v>2334</v>
      </c>
      <c r="AP1591" s="43"/>
      <c r="AQ1591" s="236" t="str">
        <f>VLOOKUP(Table8[[#This Row],[Instrument]],Def_Targets!$D$73:$E$159,2,FALSE)</f>
        <v>S_Intermodality</v>
      </c>
      <c r="AR1591" s="233" t="str">
        <f>VLOOKUP(Table8[[#This Row],[Country Code]],Table29[],3,FALSE)</f>
        <v>Non-Annex I</v>
      </c>
      <c r="AS1591" s="233" t="str">
        <f>VLOOKUP(Table8[[#This Row],[Country Code]],Table29[],4,FALSE)</f>
        <v>Latin America and the Caribbean</v>
      </c>
      <c r="AT1591" s="233" t="str">
        <f>VLOOKUP(Table8[[#This Row],[Country Code]],Table29[],5,FALSE)</f>
        <v>Middle-income</v>
      </c>
      <c r="AU1591" s="233" t="str">
        <f>VLOOKUP(Table8[[#This Row],[Country Code]],Table29[],6,FALSE)</f>
        <v>G20</v>
      </c>
      <c r="AV1591" s="233" t="str">
        <f>VLOOKUP(Table8[[#This Row],[Country Code]],Table29[],7,FALSE)</f>
        <v>no</v>
      </c>
      <c r="AW1591" s="233" t="str">
        <f>VLOOKUP(Table8[[#This Row],[Country Code]],Table29[],8,FALSE)</f>
        <v>OECD</v>
      </c>
      <c r="AX1591" s="233" t="str">
        <f>VLOOKUP(Table8[[#This Row],[Country Code]],Table29[],9,FALSE)</f>
        <v>no</v>
      </c>
      <c r="AY1591" s="233" t="str">
        <f>VLOOKUP(Table8[[#This Row],[Country Code]],Table29[],10,FALSE)</f>
        <v>no</v>
      </c>
      <c r="AZ1591" s="235">
        <f>VLOOKUP(Table8[[#This Row],[Country Code]],Table29[],23,FALSE)</f>
        <v>712.10209803987004</v>
      </c>
      <c r="BA1591" s="235">
        <f>VLOOKUP(Table8[[#This Row],[Country Code]],Table29[],24,FALSE)</f>
        <v>132.220611733639</v>
      </c>
      <c r="BB1591" s="320"/>
      <c r="BC1591" s="320"/>
    </row>
    <row r="1592" spans="1:55" ht="75" hidden="1" x14ac:dyDescent="0.25">
      <c r="A1592" s="373">
        <v>17661</v>
      </c>
      <c r="B1592" s="233" t="str">
        <f>VLOOKUP(Table8[[#This Row],[Document ID]],Table1[],2,FALSE)</f>
        <v>MEX</v>
      </c>
      <c r="C1592" s="233" t="str">
        <f>VLOOKUP(Table8[[#This Row],[Document ID]],Table1[],3,FALSE)</f>
        <v>Mexico</v>
      </c>
      <c r="D1592" s="243" t="str">
        <f>VLOOKUP(Table8[[#This Row],[Document ID]],Table1[],5,FALSE)</f>
        <v>LTS</v>
      </c>
      <c r="E1592" s="233" t="str">
        <f>VLOOKUP(Table8[[#This Row],[Document ID]],Table1[],7,FALSE)</f>
        <v>LTS</v>
      </c>
      <c r="F1592" s="233" t="str">
        <f>VLOOKUP(Table8[[#This Row],[Document ID]],Table1[],8,FALSE)</f>
        <v>LTS 1.0</v>
      </c>
      <c r="G1592" s="233" t="str">
        <f>VLOOKUP(Table8[[#This Row],[Document ID]],Table1[],10,FALSE)</f>
        <v>Active</v>
      </c>
      <c r="H1592" s="43" t="s">
        <v>2350</v>
      </c>
      <c r="I1592" s="43" t="s">
        <v>2456</v>
      </c>
      <c r="J1592" s="44" t="s">
        <v>2457</v>
      </c>
      <c r="K1592" s="44" t="s">
        <v>3810</v>
      </c>
      <c r="L1592" s="44" t="s">
        <v>2471</v>
      </c>
      <c r="M1592" s="43">
        <v>90</v>
      </c>
      <c r="N1592" s="113" t="s">
        <v>1113</v>
      </c>
      <c r="O1592" s="113"/>
      <c r="P1592" s="113"/>
      <c r="Q1592" s="113"/>
      <c r="R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t="s">
        <v>1113</v>
      </c>
      <c r="AO1592" s="44" t="s">
        <v>2334</v>
      </c>
      <c r="AP1592" s="43"/>
      <c r="AQ1592" s="236" t="str">
        <f>VLOOKUP(Table8[[#This Row],[Instrument]],Def_Targets!$D$73:$E$159,2,FALSE)</f>
        <v>S_Infraimprove</v>
      </c>
      <c r="AR1592" s="233" t="str">
        <f>VLOOKUP(Table8[[#This Row],[Country Code]],Table29[],3,FALSE)</f>
        <v>Non-Annex I</v>
      </c>
      <c r="AS1592" s="233" t="str">
        <f>VLOOKUP(Table8[[#This Row],[Country Code]],Table29[],4,FALSE)</f>
        <v>Latin America and the Caribbean</v>
      </c>
      <c r="AT1592" s="233" t="str">
        <f>VLOOKUP(Table8[[#This Row],[Country Code]],Table29[],5,FALSE)</f>
        <v>Middle-income</v>
      </c>
      <c r="AU1592" s="233" t="str">
        <f>VLOOKUP(Table8[[#This Row],[Country Code]],Table29[],6,FALSE)</f>
        <v>G20</v>
      </c>
      <c r="AV1592" s="233" t="str">
        <f>VLOOKUP(Table8[[#This Row],[Country Code]],Table29[],7,FALSE)</f>
        <v>no</v>
      </c>
      <c r="AW1592" s="233" t="str">
        <f>VLOOKUP(Table8[[#This Row],[Country Code]],Table29[],8,FALSE)</f>
        <v>OECD</v>
      </c>
      <c r="AX1592" s="233" t="str">
        <f>VLOOKUP(Table8[[#This Row],[Country Code]],Table29[],9,FALSE)</f>
        <v>no</v>
      </c>
      <c r="AY1592" s="233" t="str">
        <f>VLOOKUP(Table8[[#This Row],[Country Code]],Table29[],10,FALSE)</f>
        <v>no</v>
      </c>
      <c r="AZ1592" s="235">
        <f>VLOOKUP(Table8[[#This Row],[Country Code]],Table29[],23,FALSE)</f>
        <v>712.10209803987004</v>
      </c>
      <c r="BA1592" s="235">
        <f>VLOOKUP(Table8[[#This Row],[Country Code]],Table29[],24,FALSE)</f>
        <v>132.220611733639</v>
      </c>
      <c r="BB1592" s="320"/>
      <c r="BC1592" s="320"/>
    </row>
    <row r="1593" spans="1:55" ht="30" hidden="1" x14ac:dyDescent="0.25">
      <c r="A1593" s="373">
        <v>17661</v>
      </c>
      <c r="B1593" s="233" t="str">
        <f>VLOOKUP(Table8[[#This Row],[Document ID]],Table1[],2,FALSE)</f>
        <v>MEX</v>
      </c>
      <c r="C1593" s="233" t="str">
        <f>VLOOKUP(Table8[[#This Row],[Document ID]],Table1[],3,FALSE)</f>
        <v>Mexico</v>
      </c>
      <c r="D1593" s="243" t="str">
        <f>VLOOKUP(Table8[[#This Row],[Document ID]],Table1[],5,FALSE)</f>
        <v>LTS</v>
      </c>
      <c r="E1593" s="233" t="str">
        <f>VLOOKUP(Table8[[#This Row],[Document ID]],Table1[],7,FALSE)</f>
        <v>LTS</v>
      </c>
      <c r="F1593" s="233" t="str">
        <f>VLOOKUP(Table8[[#This Row],[Document ID]],Table1[],8,FALSE)</f>
        <v>LTS 1.0</v>
      </c>
      <c r="G1593" s="233" t="str">
        <f>VLOOKUP(Table8[[#This Row],[Document ID]],Table1[],10,FALSE)</f>
        <v>Active</v>
      </c>
      <c r="H1593" s="43" t="s">
        <v>2350</v>
      </c>
      <c r="I1593" s="43" t="s">
        <v>2370</v>
      </c>
      <c r="J1593" s="44" t="s">
        <v>2371</v>
      </c>
      <c r="K1593" s="44" t="s">
        <v>3811</v>
      </c>
      <c r="L1593" s="44" t="s">
        <v>2373</v>
      </c>
      <c r="M1593" s="43">
        <v>90</v>
      </c>
      <c r="N1593" s="113" t="s">
        <v>1113</v>
      </c>
      <c r="O1593" s="113"/>
      <c r="P1593" s="113"/>
      <c r="Q1593" s="113"/>
      <c r="R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319" t="s">
        <v>1113</v>
      </c>
      <c r="AL1593" s="113"/>
      <c r="AM1593" s="113"/>
      <c r="AN1593" s="113"/>
      <c r="AO1593" s="44" t="s">
        <v>2334</v>
      </c>
      <c r="AP1593" s="43"/>
      <c r="AQ1593" s="236" t="str">
        <f>VLOOKUP(Table8[[#This Row],[Instrument]],Def_Targets!$D$73:$E$159,2,FALSE)</f>
        <v>A_Natmobplan</v>
      </c>
      <c r="AR1593" s="233" t="str">
        <f>VLOOKUP(Table8[[#This Row],[Country Code]],Table29[],3,FALSE)</f>
        <v>Non-Annex I</v>
      </c>
      <c r="AS1593" s="233" t="str">
        <f>VLOOKUP(Table8[[#This Row],[Country Code]],Table29[],4,FALSE)</f>
        <v>Latin America and the Caribbean</v>
      </c>
      <c r="AT1593" s="233" t="str">
        <f>VLOOKUP(Table8[[#This Row],[Country Code]],Table29[],5,FALSE)</f>
        <v>Middle-income</v>
      </c>
      <c r="AU1593" s="233" t="str">
        <f>VLOOKUP(Table8[[#This Row],[Country Code]],Table29[],6,FALSE)</f>
        <v>G20</v>
      </c>
      <c r="AV1593" s="233" t="str">
        <f>VLOOKUP(Table8[[#This Row],[Country Code]],Table29[],7,FALSE)</f>
        <v>no</v>
      </c>
      <c r="AW1593" s="233" t="str">
        <f>VLOOKUP(Table8[[#This Row],[Country Code]],Table29[],8,FALSE)</f>
        <v>OECD</v>
      </c>
      <c r="AX1593" s="233" t="str">
        <f>VLOOKUP(Table8[[#This Row],[Country Code]],Table29[],9,FALSE)</f>
        <v>no</v>
      </c>
      <c r="AY1593" s="233" t="str">
        <f>VLOOKUP(Table8[[#This Row],[Country Code]],Table29[],10,FALSE)</f>
        <v>no</v>
      </c>
      <c r="AZ1593" s="235">
        <f>VLOOKUP(Table8[[#This Row],[Country Code]],Table29[],23,FALSE)</f>
        <v>712.10209803987004</v>
      </c>
      <c r="BA1593" s="235">
        <f>VLOOKUP(Table8[[#This Row],[Country Code]],Table29[],24,FALSE)</f>
        <v>132.220611733639</v>
      </c>
      <c r="BB1593" s="320"/>
      <c r="BC1593" s="320"/>
    </row>
    <row r="1594" spans="1:55" ht="60" hidden="1" x14ac:dyDescent="0.25">
      <c r="A1594" s="373">
        <v>17661</v>
      </c>
      <c r="B1594" s="233" t="str">
        <f>VLOOKUP(Table8[[#This Row],[Document ID]],Table1[],2,FALSE)</f>
        <v>MEX</v>
      </c>
      <c r="C1594" s="233" t="str">
        <f>VLOOKUP(Table8[[#This Row],[Document ID]],Table1[],3,FALSE)</f>
        <v>Mexico</v>
      </c>
      <c r="D1594" s="243" t="str">
        <f>VLOOKUP(Table8[[#This Row],[Document ID]],Table1[],5,FALSE)</f>
        <v>LTS</v>
      </c>
      <c r="E1594" s="233" t="str">
        <f>VLOOKUP(Table8[[#This Row],[Document ID]],Table1[],7,FALSE)</f>
        <v>LTS</v>
      </c>
      <c r="F1594" s="233" t="str">
        <f>VLOOKUP(Table8[[#This Row],[Document ID]],Table1[],8,FALSE)</f>
        <v>LTS 1.0</v>
      </c>
      <c r="G1594" s="233" t="str">
        <f>VLOOKUP(Table8[[#This Row],[Document ID]],Table1[],10,FALSE)</f>
        <v>Active</v>
      </c>
      <c r="H1594" s="43" t="s">
        <v>2343</v>
      </c>
      <c r="I1594" s="43" t="s">
        <v>2377</v>
      </c>
      <c r="J1594" s="44" t="s">
        <v>2378</v>
      </c>
      <c r="K1594" s="44" t="s">
        <v>3812</v>
      </c>
      <c r="L1594" s="44" t="s">
        <v>2333</v>
      </c>
      <c r="M1594" s="43">
        <v>90</v>
      </c>
      <c r="N1594" s="113" t="s">
        <v>1113</v>
      </c>
      <c r="O1594" s="113"/>
      <c r="P1594" s="113"/>
      <c r="Q1594" s="113"/>
      <c r="R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319" t="s">
        <v>1113</v>
      </c>
      <c r="AL1594" s="113"/>
      <c r="AM1594" s="113"/>
      <c r="AN1594" s="113"/>
      <c r="AO1594" s="44" t="s">
        <v>2334</v>
      </c>
      <c r="AP1594" s="43"/>
      <c r="AQ1594" s="236" t="str">
        <f>VLOOKUP(Table8[[#This Row],[Instrument]],Def_Targets!$D$73:$E$159,2,FALSE)</f>
        <v>A_Commute</v>
      </c>
      <c r="AR1594" s="233" t="str">
        <f>VLOOKUP(Table8[[#This Row],[Country Code]],Table29[],3,FALSE)</f>
        <v>Non-Annex I</v>
      </c>
      <c r="AS1594" s="233" t="str">
        <f>VLOOKUP(Table8[[#This Row],[Country Code]],Table29[],4,FALSE)</f>
        <v>Latin America and the Caribbean</v>
      </c>
      <c r="AT1594" s="233" t="str">
        <f>VLOOKUP(Table8[[#This Row],[Country Code]],Table29[],5,FALSE)</f>
        <v>Middle-income</v>
      </c>
      <c r="AU1594" s="233" t="str">
        <f>VLOOKUP(Table8[[#This Row],[Country Code]],Table29[],6,FALSE)</f>
        <v>G20</v>
      </c>
      <c r="AV1594" s="233" t="str">
        <f>VLOOKUP(Table8[[#This Row],[Country Code]],Table29[],7,FALSE)</f>
        <v>no</v>
      </c>
      <c r="AW1594" s="233" t="str">
        <f>VLOOKUP(Table8[[#This Row],[Country Code]],Table29[],8,FALSE)</f>
        <v>OECD</v>
      </c>
      <c r="AX1594" s="233" t="str">
        <f>VLOOKUP(Table8[[#This Row],[Country Code]],Table29[],9,FALSE)</f>
        <v>no</v>
      </c>
      <c r="AY1594" s="233" t="str">
        <f>VLOOKUP(Table8[[#This Row],[Country Code]],Table29[],10,FALSE)</f>
        <v>no</v>
      </c>
      <c r="AZ1594" s="235">
        <f>VLOOKUP(Table8[[#This Row],[Country Code]],Table29[],23,FALSE)</f>
        <v>712.10209803987004</v>
      </c>
      <c r="BA1594" s="235">
        <f>VLOOKUP(Table8[[#This Row],[Country Code]],Table29[],24,FALSE)</f>
        <v>132.220611733639</v>
      </c>
      <c r="BB1594" s="320"/>
      <c r="BC1594" s="320"/>
    </row>
    <row r="1595" spans="1:55" ht="60" hidden="1" x14ac:dyDescent="0.25">
      <c r="A1595" s="373">
        <v>17661</v>
      </c>
      <c r="B1595" s="233" t="str">
        <f>VLOOKUP(Table8[[#This Row],[Document ID]],Table1[],2,FALSE)</f>
        <v>MEX</v>
      </c>
      <c r="C1595" s="233" t="str">
        <f>VLOOKUP(Table8[[#This Row],[Document ID]],Table1[],3,FALSE)</f>
        <v>Mexico</v>
      </c>
      <c r="D1595" s="243" t="str">
        <f>VLOOKUP(Table8[[#This Row],[Document ID]],Table1[],5,FALSE)</f>
        <v>LTS</v>
      </c>
      <c r="E1595" s="233" t="str">
        <f>VLOOKUP(Table8[[#This Row],[Document ID]],Table1[],7,FALSE)</f>
        <v>LTS</v>
      </c>
      <c r="F1595" s="233" t="str">
        <f>VLOOKUP(Table8[[#This Row],[Document ID]],Table1[],8,FALSE)</f>
        <v>LTS 1.0</v>
      </c>
      <c r="G1595" s="233" t="str">
        <f>VLOOKUP(Table8[[#This Row],[Document ID]],Table1[],10,FALSE)</f>
        <v>Active</v>
      </c>
      <c r="H1595" s="43" t="s">
        <v>2343</v>
      </c>
      <c r="I1595" s="43" t="s">
        <v>2377</v>
      </c>
      <c r="J1595" s="44" t="s">
        <v>2394</v>
      </c>
      <c r="K1595" s="44" t="s">
        <v>3812</v>
      </c>
      <c r="L1595" s="44" t="s">
        <v>2396</v>
      </c>
      <c r="M1595" s="43">
        <v>90</v>
      </c>
      <c r="N1595" s="113" t="s">
        <v>1113</v>
      </c>
      <c r="O1595" s="113"/>
      <c r="P1595" s="113"/>
      <c r="Q1595" s="113"/>
      <c r="R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319" t="s">
        <v>1113</v>
      </c>
      <c r="AL1595" s="113"/>
      <c r="AM1595" s="113"/>
      <c r="AN1595" s="113"/>
      <c r="AO1595" s="44" t="s">
        <v>2334</v>
      </c>
      <c r="AP1595" s="43"/>
      <c r="AQ1595" s="236" t="str">
        <f>VLOOKUP(Table8[[#This Row],[Instrument]],Def_Targets!$D$73:$E$159,2,FALSE)</f>
        <v>A_TDM</v>
      </c>
      <c r="AR1595" s="233" t="str">
        <f>VLOOKUP(Table8[[#This Row],[Country Code]],Table29[],3,FALSE)</f>
        <v>Non-Annex I</v>
      </c>
      <c r="AS1595" s="233" t="str">
        <f>VLOOKUP(Table8[[#This Row],[Country Code]],Table29[],4,FALSE)</f>
        <v>Latin America and the Caribbean</v>
      </c>
      <c r="AT1595" s="233" t="str">
        <f>VLOOKUP(Table8[[#This Row],[Country Code]],Table29[],5,FALSE)</f>
        <v>Middle-income</v>
      </c>
      <c r="AU1595" s="233" t="str">
        <f>VLOOKUP(Table8[[#This Row],[Country Code]],Table29[],6,FALSE)</f>
        <v>G20</v>
      </c>
      <c r="AV1595" s="233" t="str">
        <f>VLOOKUP(Table8[[#This Row],[Country Code]],Table29[],7,FALSE)</f>
        <v>no</v>
      </c>
      <c r="AW1595" s="233" t="str">
        <f>VLOOKUP(Table8[[#This Row],[Country Code]],Table29[],8,FALSE)</f>
        <v>OECD</v>
      </c>
      <c r="AX1595" s="233" t="str">
        <f>VLOOKUP(Table8[[#This Row],[Country Code]],Table29[],9,FALSE)</f>
        <v>no</v>
      </c>
      <c r="AY1595" s="233" t="str">
        <f>VLOOKUP(Table8[[#This Row],[Country Code]],Table29[],10,FALSE)</f>
        <v>no</v>
      </c>
      <c r="AZ1595" s="235">
        <f>VLOOKUP(Table8[[#This Row],[Country Code]],Table29[],23,FALSE)</f>
        <v>712.10209803987004</v>
      </c>
      <c r="BA1595" s="235">
        <f>VLOOKUP(Table8[[#This Row],[Country Code]],Table29[],24,FALSE)</f>
        <v>132.220611733639</v>
      </c>
      <c r="BB1595" s="320"/>
      <c r="BC1595" s="320"/>
    </row>
    <row r="1596" spans="1:55" ht="30" hidden="1" x14ac:dyDescent="0.25">
      <c r="A1596" s="373">
        <v>17661</v>
      </c>
      <c r="B1596" s="233" t="str">
        <f>VLOOKUP(Table8[[#This Row],[Document ID]],Table1[],2,FALSE)</f>
        <v>MEX</v>
      </c>
      <c r="C1596" s="233" t="str">
        <f>VLOOKUP(Table8[[#This Row],[Document ID]],Table1[],3,FALSE)</f>
        <v>Mexico</v>
      </c>
      <c r="D1596" s="243" t="str">
        <f>VLOOKUP(Table8[[#This Row],[Document ID]],Table1[],5,FALSE)</f>
        <v>LTS</v>
      </c>
      <c r="E1596" s="233" t="str">
        <f>VLOOKUP(Table8[[#This Row],[Document ID]],Table1[],7,FALSE)</f>
        <v>LTS</v>
      </c>
      <c r="F1596" s="233" t="str">
        <f>VLOOKUP(Table8[[#This Row],[Document ID]],Table1[],8,FALSE)</f>
        <v>LTS 1.0</v>
      </c>
      <c r="G1596" s="233" t="str">
        <f>VLOOKUP(Table8[[#This Row],[Document ID]],Table1[],10,FALSE)</f>
        <v>Active</v>
      </c>
      <c r="H1596" s="43" t="s">
        <v>2343</v>
      </c>
      <c r="I1596" s="43" t="s">
        <v>2386</v>
      </c>
      <c r="J1596" s="44" t="s">
        <v>2412</v>
      </c>
      <c r="K1596" s="44" t="s">
        <v>3813</v>
      </c>
      <c r="L1596" s="44" t="s">
        <v>2333</v>
      </c>
      <c r="M1596" s="43">
        <v>90</v>
      </c>
      <c r="N1596" s="113" t="s">
        <v>1113</v>
      </c>
      <c r="O1596" s="113"/>
      <c r="P1596" s="113"/>
      <c r="Q1596" s="113"/>
      <c r="R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319" t="s">
        <v>1113</v>
      </c>
      <c r="AL1596" s="113"/>
      <c r="AM1596" s="113"/>
      <c r="AN1596" s="113"/>
      <c r="AO1596" s="44" t="s">
        <v>2334</v>
      </c>
      <c r="AP1596" s="43"/>
      <c r="AQ1596" s="236" t="str">
        <f>VLOOKUP(Table8[[#This Row],[Instrument]],Def_Targets!$D$73:$E$159,2,FALSE)</f>
        <v>A_Economic</v>
      </c>
      <c r="AR1596" s="233" t="str">
        <f>VLOOKUP(Table8[[#This Row],[Country Code]],Table29[],3,FALSE)</f>
        <v>Non-Annex I</v>
      </c>
      <c r="AS1596" s="233" t="str">
        <f>VLOOKUP(Table8[[#This Row],[Country Code]],Table29[],4,FALSE)</f>
        <v>Latin America and the Caribbean</v>
      </c>
      <c r="AT1596" s="233" t="str">
        <f>VLOOKUP(Table8[[#This Row],[Country Code]],Table29[],5,FALSE)</f>
        <v>Middle-income</v>
      </c>
      <c r="AU1596" s="233" t="str">
        <f>VLOOKUP(Table8[[#This Row],[Country Code]],Table29[],6,FALSE)</f>
        <v>G20</v>
      </c>
      <c r="AV1596" s="233" t="str">
        <f>VLOOKUP(Table8[[#This Row],[Country Code]],Table29[],7,FALSE)</f>
        <v>no</v>
      </c>
      <c r="AW1596" s="233" t="str">
        <f>VLOOKUP(Table8[[#This Row],[Country Code]],Table29[],8,FALSE)</f>
        <v>OECD</v>
      </c>
      <c r="AX1596" s="233" t="str">
        <f>VLOOKUP(Table8[[#This Row],[Country Code]],Table29[],9,FALSE)</f>
        <v>no</v>
      </c>
      <c r="AY1596" s="233" t="str">
        <f>VLOOKUP(Table8[[#This Row],[Country Code]],Table29[],10,FALSE)</f>
        <v>no</v>
      </c>
      <c r="AZ1596" s="235">
        <f>VLOOKUP(Table8[[#This Row],[Country Code]],Table29[],23,FALSE)</f>
        <v>712.10209803987004</v>
      </c>
      <c r="BA1596" s="235">
        <f>VLOOKUP(Table8[[#This Row],[Country Code]],Table29[],24,FALSE)</f>
        <v>132.220611733639</v>
      </c>
      <c r="BB1596" s="320"/>
      <c r="BC1596" s="320"/>
    </row>
    <row r="1597" spans="1:55" ht="45" hidden="1" x14ac:dyDescent="0.25">
      <c r="A1597" s="373">
        <v>17661</v>
      </c>
      <c r="B1597" s="233" t="str">
        <f>VLOOKUP(Table8[[#This Row],[Document ID]],Table1[],2,FALSE)</f>
        <v>MEX</v>
      </c>
      <c r="C1597" s="233" t="str">
        <f>VLOOKUP(Table8[[#This Row],[Document ID]],Table1[],3,FALSE)</f>
        <v>Mexico</v>
      </c>
      <c r="D1597" s="243" t="str">
        <f>VLOOKUP(Table8[[#This Row],[Document ID]],Table1[],5,FALSE)</f>
        <v>LTS</v>
      </c>
      <c r="E1597" s="233" t="str">
        <f>VLOOKUP(Table8[[#This Row],[Document ID]],Table1[],7,FALSE)</f>
        <v>LTS</v>
      </c>
      <c r="F1597" s="233" t="str">
        <f>VLOOKUP(Table8[[#This Row],[Document ID]],Table1[],8,FALSE)</f>
        <v>LTS 1.0</v>
      </c>
      <c r="G1597" s="233" t="str">
        <f>VLOOKUP(Table8[[#This Row],[Document ID]],Table1[],10,FALSE)</f>
        <v>Active</v>
      </c>
      <c r="H1597" s="43" t="s">
        <v>2343</v>
      </c>
      <c r="I1597" s="43" t="s">
        <v>2361</v>
      </c>
      <c r="J1597" s="44" t="s">
        <v>2366</v>
      </c>
      <c r="K1597" s="44" t="s">
        <v>3814</v>
      </c>
      <c r="L1597" s="44" t="s">
        <v>2347</v>
      </c>
      <c r="M1597" s="43">
        <v>90</v>
      </c>
      <c r="N1597" s="113"/>
      <c r="O1597" s="113"/>
      <c r="P1597" s="113"/>
      <c r="Q1597" s="113" t="s">
        <v>1113</v>
      </c>
      <c r="R1597" s="113" t="s">
        <v>1113</v>
      </c>
      <c r="S1597" s="113"/>
      <c r="T1597" s="113"/>
      <c r="U1597" s="113"/>
      <c r="V1597" s="113"/>
      <c r="W1597" s="113"/>
      <c r="X1597" s="113"/>
      <c r="Y1597" s="113"/>
      <c r="Z1597" s="113"/>
      <c r="AA1597" s="113"/>
      <c r="AB1597" s="113"/>
      <c r="AC1597" s="113"/>
      <c r="AD1597" s="113"/>
      <c r="AE1597" s="113"/>
      <c r="AF1597" s="113"/>
      <c r="AG1597" s="113"/>
      <c r="AH1597" s="113"/>
      <c r="AI1597" s="113"/>
      <c r="AJ1597" s="113"/>
      <c r="AK1597" s="319" t="s">
        <v>1113</v>
      </c>
      <c r="AL1597" s="113"/>
      <c r="AM1597" s="113"/>
      <c r="AN1597" s="113"/>
      <c r="AO1597" s="44" t="s">
        <v>2334</v>
      </c>
      <c r="AP1597" s="43"/>
      <c r="AQ1597" s="236" t="str">
        <f>VLOOKUP(Table8[[#This Row],[Instrument]],Def_Targets!$D$73:$E$159,2,FALSE)</f>
        <v>S_Activemobility</v>
      </c>
      <c r="AR1597" s="233" t="str">
        <f>VLOOKUP(Table8[[#This Row],[Country Code]],Table29[],3,FALSE)</f>
        <v>Non-Annex I</v>
      </c>
      <c r="AS1597" s="233" t="str">
        <f>VLOOKUP(Table8[[#This Row],[Country Code]],Table29[],4,FALSE)</f>
        <v>Latin America and the Caribbean</v>
      </c>
      <c r="AT1597" s="233" t="str">
        <f>VLOOKUP(Table8[[#This Row],[Country Code]],Table29[],5,FALSE)</f>
        <v>Middle-income</v>
      </c>
      <c r="AU1597" s="233" t="str">
        <f>VLOOKUP(Table8[[#This Row],[Country Code]],Table29[],6,FALSE)</f>
        <v>G20</v>
      </c>
      <c r="AV1597" s="233" t="str">
        <f>VLOOKUP(Table8[[#This Row],[Country Code]],Table29[],7,FALSE)</f>
        <v>no</v>
      </c>
      <c r="AW1597" s="233" t="str">
        <f>VLOOKUP(Table8[[#This Row],[Country Code]],Table29[],8,FALSE)</f>
        <v>OECD</v>
      </c>
      <c r="AX1597" s="233" t="str">
        <f>VLOOKUP(Table8[[#This Row],[Country Code]],Table29[],9,FALSE)</f>
        <v>no</v>
      </c>
      <c r="AY1597" s="233" t="str">
        <f>VLOOKUP(Table8[[#This Row],[Country Code]],Table29[],10,FALSE)</f>
        <v>no</v>
      </c>
      <c r="AZ1597" s="235">
        <f>VLOOKUP(Table8[[#This Row],[Country Code]],Table29[],23,FALSE)</f>
        <v>712.10209803987004</v>
      </c>
      <c r="BA1597" s="235">
        <f>VLOOKUP(Table8[[#This Row],[Country Code]],Table29[],24,FALSE)</f>
        <v>132.220611733639</v>
      </c>
      <c r="BB1597" s="320"/>
      <c r="BC1597" s="320"/>
    </row>
    <row r="1598" spans="1:55" hidden="1" x14ac:dyDescent="0.25">
      <c r="A1598" s="373">
        <v>17661</v>
      </c>
      <c r="B1598" s="233" t="str">
        <f>VLOOKUP(Table8[[#This Row],[Document ID]],Table1[],2,FALSE)</f>
        <v>MEX</v>
      </c>
      <c r="C1598" s="233" t="str">
        <f>VLOOKUP(Table8[[#This Row],[Document ID]],Table1[],3,FALSE)</f>
        <v>Mexico</v>
      </c>
      <c r="D1598" s="243" t="str">
        <f>VLOOKUP(Table8[[#This Row],[Document ID]],Table1[],5,FALSE)</f>
        <v>LTS</v>
      </c>
      <c r="E1598" s="233" t="str">
        <f>VLOOKUP(Table8[[#This Row],[Document ID]],Table1[],7,FALSE)</f>
        <v>LTS</v>
      </c>
      <c r="F1598" s="233" t="str">
        <f>VLOOKUP(Table8[[#This Row],[Document ID]],Table1[],8,FALSE)</f>
        <v>LTS 1.0</v>
      </c>
      <c r="G1598" s="233" t="str">
        <f>VLOOKUP(Table8[[#This Row],[Document ID]],Table1[],10,FALSE)</f>
        <v>Active</v>
      </c>
      <c r="H1598" s="43" t="s">
        <v>2350</v>
      </c>
      <c r="I1598" s="43" t="s">
        <v>2351</v>
      </c>
      <c r="J1598" s="44" t="s">
        <v>2447</v>
      </c>
      <c r="K1598" s="44" t="s">
        <v>3815</v>
      </c>
      <c r="L1598" s="44" t="s">
        <v>2333</v>
      </c>
      <c r="M1598" s="43">
        <v>93</v>
      </c>
      <c r="N1598" s="113" t="s">
        <v>1113</v>
      </c>
      <c r="O1598" s="113"/>
      <c r="P1598" s="113"/>
      <c r="Q1598" s="113"/>
      <c r="R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319" t="s">
        <v>1113</v>
      </c>
      <c r="AL1598" s="113"/>
      <c r="AM1598" s="113"/>
      <c r="AN1598" s="113"/>
      <c r="AO1598" s="43" t="s">
        <v>2353</v>
      </c>
      <c r="AP1598" s="43"/>
      <c r="AQ1598" s="236" t="str">
        <f>VLOOKUP(Table8[[#This Row],[Instrument]],Def_Targets!$D$73:$E$159,2,FALSE)</f>
        <v>I_Freighteff</v>
      </c>
      <c r="AR1598" s="233" t="str">
        <f>VLOOKUP(Table8[[#This Row],[Country Code]],Table29[],3,FALSE)</f>
        <v>Non-Annex I</v>
      </c>
      <c r="AS1598" s="233" t="str">
        <f>VLOOKUP(Table8[[#This Row],[Country Code]],Table29[],4,FALSE)</f>
        <v>Latin America and the Caribbean</v>
      </c>
      <c r="AT1598" s="233" t="str">
        <f>VLOOKUP(Table8[[#This Row],[Country Code]],Table29[],5,FALSE)</f>
        <v>Middle-income</v>
      </c>
      <c r="AU1598" s="233" t="str">
        <f>VLOOKUP(Table8[[#This Row],[Country Code]],Table29[],6,FALSE)</f>
        <v>G20</v>
      </c>
      <c r="AV1598" s="233" t="str">
        <f>VLOOKUP(Table8[[#This Row],[Country Code]],Table29[],7,FALSE)</f>
        <v>no</v>
      </c>
      <c r="AW1598" s="233" t="str">
        <f>VLOOKUP(Table8[[#This Row],[Country Code]],Table29[],8,FALSE)</f>
        <v>OECD</v>
      </c>
      <c r="AX1598" s="233" t="str">
        <f>VLOOKUP(Table8[[#This Row],[Country Code]],Table29[],9,FALSE)</f>
        <v>no</v>
      </c>
      <c r="AY1598" s="233" t="str">
        <f>VLOOKUP(Table8[[#This Row],[Country Code]],Table29[],10,FALSE)</f>
        <v>no</v>
      </c>
      <c r="AZ1598" s="235">
        <f>VLOOKUP(Table8[[#This Row],[Country Code]],Table29[],23,FALSE)</f>
        <v>712.10209803987004</v>
      </c>
      <c r="BA1598" s="235">
        <f>VLOOKUP(Table8[[#This Row],[Country Code]],Table29[],24,FALSE)</f>
        <v>132.220611733639</v>
      </c>
      <c r="BB1598" s="320"/>
      <c r="BC1598" s="320"/>
    </row>
    <row r="1599" spans="1:55" ht="45" hidden="1" x14ac:dyDescent="0.25">
      <c r="A1599" s="373">
        <v>17661</v>
      </c>
      <c r="B1599" s="233" t="str">
        <f>VLOOKUP(Table8[[#This Row],[Document ID]],Table1[],2,FALSE)</f>
        <v>MEX</v>
      </c>
      <c r="C1599" s="233" t="str">
        <f>VLOOKUP(Table8[[#This Row],[Document ID]],Table1[],3,FALSE)</f>
        <v>Mexico</v>
      </c>
      <c r="D1599" s="243" t="str">
        <f>VLOOKUP(Table8[[#This Row],[Document ID]],Table1[],5,FALSE)</f>
        <v>LTS</v>
      </c>
      <c r="E1599" s="233" t="str">
        <f>VLOOKUP(Table8[[#This Row],[Document ID]],Table1[],7,FALSE)</f>
        <v>LTS</v>
      </c>
      <c r="F1599" s="233" t="str">
        <f>VLOOKUP(Table8[[#This Row],[Document ID]],Table1[],8,FALSE)</f>
        <v>LTS 1.0</v>
      </c>
      <c r="G1599" s="233" t="str">
        <f>VLOOKUP(Table8[[#This Row],[Document ID]],Table1[],10,FALSE)</f>
        <v>Active</v>
      </c>
      <c r="H1599" s="43" t="s">
        <v>2350</v>
      </c>
      <c r="I1599" s="43" t="s">
        <v>2351</v>
      </c>
      <c r="J1599" s="44" t="s">
        <v>2447</v>
      </c>
      <c r="K1599" s="44" t="s">
        <v>3816</v>
      </c>
      <c r="L1599" s="44" t="s">
        <v>2333</v>
      </c>
      <c r="M1599" s="43">
        <v>93</v>
      </c>
      <c r="N1599" s="113"/>
      <c r="O1599" s="113"/>
      <c r="P1599" s="113"/>
      <c r="Q1599" s="113"/>
      <c r="R1599" s="113"/>
      <c r="S1599" s="113"/>
      <c r="T1599" s="113"/>
      <c r="U1599" s="113"/>
      <c r="V1599" s="113"/>
      <c r="W1599" s="113"/>
      <c r="X1599" s="113" t="s">
        <v>1113</v>
      </c>
      <c r="Y1599" s="113"/>
      <c r="Z1599" s="113"/>
      <c r="AA1599" s="113"/>
      <c r="AB1599" s="113"/>
      <c r="AC1599" s="113"/>
      <c r="AD1599" s="113"/>
      <c r="AE1599" s="113"/>
      <c r="AF1599" s="113"/>
      <c r="AG1599" s="113"/>
      <c r="AH1599" s="113"/>
      <c r="AI1599" s="113"/>
      <c r="AJ1599" s="113"/>
      <c r="AK1599" s="319" t="s">
        <v>1113</v>
      </c>
      <c r="AL1599" s="113"/>
      <c r="AM1599" s="113"/>
      <c r="AN1599" s="113"/>
      <c r="AO1599" s="43" t="s">
        <v>2353</v>
      </c>
      <c r="AP1599" s="43"/>
      <c r="AQ1599" s="236" t="str">
        <f>VLOOKUP(Table8[[#This Row],[Instrument]],Def_Targets!$D$73:$E$159,2,FALSE)</f>
        <v>I_Freighteff</v>
      </c>
      <c r="AR1599" s="233" t="str">
        <f>VLOOKUP(Table8[[#This Row],[Country Code]],Table29[],3,FALSE)</f>
        <v>Non-Annex I</v>
      </c>
      <c r="AS1599" s="233" t="str">
        <f>VLOOKUP(Table8[[#This Row],[Country Code]],Table29[],4,FALSE)</f>
        <v>Latin America and the Caribbean</v>
      </c>
      <c r="AT1599" s="233" t="str">
        <f>VLOOKUP(Table8[[#This Row],[Country Code]],Table29[],5,FALSE)</f>
        <v>Middle-income</v>
      </c>
      <c r="AU1599" s="233" t="str">
        <f>VLOOKUP(Table8[[#This Row],[Country Code]],Table29[],6,FALSE)</f>
        <v>G20</v>
      </c>
      <c r="AV1599" s="233" t="str">
        <f>VLOOKUP(Table8[[#This Row],[Country Code]],Table29[],7,FALSE)</f>
        <v>no</v>
      </c>
      <c r="AW1599" s="233" t="str">
        <f>VLOOKUP(Table8[[#This Row],[Country Code]],Table29[],8,FALSE)</f>
        <v>OECD</v>
      </c>
      <c r="AX1599" s="233" t="str">
        <f>VLOOKUP(Table8[[#This Row],[Country Code]],Table29[],9,FALSE)</f>
        <v>no</v>
      </c>
      <c r="AY1599" s="233" t="str">
        <f>VLOOKUP(Table8[[#This Row],[Country Code]],Table29[],10,FALSE)</f>
        <v>no</v>
      </c>
      <c r="AZ1599" s="235">
        <f>VLOOKUP(Table8[[#This Row],[Country Code]],Table29[],23,FALSE)</f>
        <v>712.10209803987004</v>
      </c>
      <c r="BA1599" s="235">
        <f>VLOOKUP(Table8[[#This Row],[Country Code]],Table29[],24,FALSE)</f>
        <v>132.220611733639</v>
      </c>
      <c r="BB1599" s="320"/>
      <c r="BC1599" s="320"/>
    </row>
    <row r="1600" spans="1:55" hidden="1" x14ac:dyDescent="0.25">
      <c r="A1600" s="373">
        <v>26783</v>
      </c>
      <c r="B1600" s="233" t="str">
        <f>VLOOKUP(Table8[[#This Row],[Document ID]],Table1[],2,FALSE)</f>
        <v>MAR</v>
      </c>
      <c r="C1600" s="233" t="str">
        <f>VLOOKUP(Table8[[#This Row],[Document ID]],Table1[],3,FALSE)</f>
        <v>Morocco</v>
      </c>
      <c r="D1600" s="243" t="str">
        <f>VLOOKUP(Table8[[#This Row],[Document ID]],Table1[],5,FALSE)</f>
        <v>LTS</v>
      </c>
      <c r="E1600" s="233" t="str">
        <f>VLOOKUP(Table8[[#This Row],[Document ID]],Table1[],7,FALSE)</f>
        <v>LTS</v>
      </c>
      <c r="F1600" s="233" t="str">
        <f>VLOOKUP(Table8[[#This Row],[Document ID]],Table1[],8,FALSE)</f>
        <v>LTS 1.0</v>
      </c>
      <c r="G1600" s="233" t="str">
        <f>VLOOKUP(Table8[[#This Row],[Document ID]],Table1[],10,FALSE)</f>
        <v>Active</v>
      </c>
      <c r="H1600" s="43" t="s">
        <v>2358</v>
      </c>
      <c r="I1600" s="43" t="s">
        <v>2359</v>
      </c>
      <c r="J1600" s="44" t="s">
        <v>2360</v>
      </c>
      <c r="K1600" s="44" t="s">
        <v>3817</v>
      </c>
      <c r="L1600" s="44" t="s">
        <v>2333</v>
      </c>
      <c r="M1600" s="43">
        <v>6</v>
      </c>
      <c r="N1600" s="113" t="s">
        <v>1113</v>
      </c>
      <c r="O1600" s="113"/>
      <c r="P1600" s="113"/>
      <c r="Q1600" s="113"/>
      <c r="R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t="s">
        <v>1113</v>
      </c>
      <c r="AL1600" s="113"/>
      <c r="AM1600" s="113"/>
      <c r="AN1600" s="113"/>
      <c r="AO1600" s="44" t="s">
        <v>2334</v>
      </c>
      <c r="AP1600" s="43"/>
      <c r="AQ1600" s="236" t="str">
        <f>VLOOKUP(Table8[[#This Row],[Instrument]],Def_Targets!$D$73:$E$159,2,FALSE)</f>
        <v>I_Emobility</v>
      </c>
      <c r="AR1600" s="233" t="str">
        <f>VLOOKUP(Table8[[#This Row],[Country Code]],Table29[],3,FALSE)</f>
        <v>Non-Annex I</v>
      </c>
      <c r="AS1600" s="233" t="str">
        <f>VLOOKUP(Table8[[#This Row],[Country Code]],Table29[],4,FALSE)</f>
        <v>Africa</v>
      </c>
      <c r="AT1600" s="233" t="str">
        <f>VLOOKUP(Table8[[#This Row],[Country Code]],Table29[],5,FALSE)</f>
        <v>Middle-income</v>
      </c>
      <c r="AU1600" s="233" t="str">
        <f>VLOOKUP(Table8[[#This Row],[Country Code]],Table29[],6,FALSE)</f>
        <v>no</v>
      </c>
      <c r="AV1600" s="233" t="str">
        <f>VLOOKUP(Table8[[#This Row],[Country Code]],Table29[],7,FALSE)</f>
        <v>no</v>
      </c>
      <c r="AW1600" s="233" t="str">
        <f>VLOOKUP(Table8[[#This Row],[Country Code]],Table29[],8,FALSE)</f>
        <v>non-OECD</v>
      </c>
      <c r="AX1600" s="233" t="str">
        <f>VLOOKUP(Table8[[#This Row],[Country Code]],Table29[],9,FALSE)</f>
        <v>no</v>
      </c>
      <c r="AY1600" s="233" t="str">
        <f>VLOOKUP(Table8[[#This Row],[Country Code]],Table29[],10,FALSE)</f>
        <v>MENA</v>
      </c>
      <c r="AZ1600" s="235">
        <f>VLOOKUP(Table8[[#This Row],[Country Code]],Table29[],23,FALSE)</f>
        <v>106.60223103187001</v>
      </c>
      <c r="BA1600" s="235">
        <f>VLOOKUP(Table8[[#This Row],[Country Code]],Table29[],24,FALSE)</f>
        <v>17.689478774478111</v>
      </c>
      <c r="BB1600" s="320"/>
      <c r="BC1600" s="320"/>
    </row>
    <row r="1601" spans="1:55" ht="30" hidden="1" x14ac:dyDescent="0.25">
      <c r="A1601" s="373">
        <v>26783</v>
      </c>
      <c r="B1601" s="233" t="str">
        <f>VLOOKUP(Table8[[#This Row],[Document ID]],Table1[],2,FALSE)</f>
        <v>MAR</v>
      </c>
      <c r="C1601" s="233" t="str">
        <f>VLOOKUP(Table8[[#This Row],[Document ID]],Table1[],3,FALSE)</f>
        <v>Morocco</v>
      </c>
      <c r="D1601" s="243" t="str">
        <f>VLOOKUP(Table8[[#This Row],[Document ID]],Table1[],5,FALSE)</f>
        <v>LTS</v>
      </c>
      <c r="E1601" s="233" t="str">
        <f>VLOOKUP(Table8[[#This Row],[Document ID]],Table1[],7,FALSE)</f>
        <v>LTS</v>
      </c>
      <c r="F1601" s="233" t="str">
        <f>VLOOKUP(Table8[[#This Row],[Document ID]],Table1[],8,FALSE)</f>
        <v>LTS 1.0</v>
      </c>
      <c r="G1601" s="233" t="str">
        <f>VLOOKUP(Table8[[#This Row],[Document ID]],Table1[],10,FALSE)</f>
        <v>Active</v>
      </c>
      <c r="H1601" s="44" t="s">
        <v>2329</v>
      </c>
      <c r="I1601" s="44" t="s">
        <v>2330</v>
      </c>
      <c r="J1601" s="44" t="s">
        <v>2391</v>
      </c>
      <c r="K1601" s="44" t="s">
        <v>3818</v>
      </c>
      <c r="L1601" s="44" t="s">
        <v>2333</v>
      </c>
      <c r="M1601" s="43">
        <v>6</v>
      </c>
      <c r="N1601" s="113"/>
      <c r="O1601" s="113"/>
      <c r="P1601" s="113"/>
      <c r="Q1601" s="113"/>
      <c r="R1601" s="113"/>
      <c r="S1601" s="113" t="s">
        <v>1113</v>
      </c>
      <c r="T1601" s="113"/>
      <c r="U1601" s="113"/>
      <c r="V1601" s="113"/>
      <c r="W1601" s="113"/>
      <c r="X1601" s="113"/>
      <c r="Y1601" s="113"/>
      <c r="Z1601" s="113"/>
      <c r="AA1601" s="113"/>
      <c r="AB1601" s="113"/>
      <c r="AC1601" s="113"/>
      <c r="AD1601" s="113"/>
      <c r="AE1601" s="113"/>
      <c r="AF1601" s="113"/>
      <c r="AG1601" s="113"/>
      <c r="AH1601" s="113"/>
      <c r="AI1601" s="113"/>
      <c r="AJ1601" s="113"/>
      <c r="AK1601" s="113" t="s">
        <v>1113</v>
      </c>
      <c r="AL1601" s="113"/>
      <c r="AM1601" s="113"/>
      <c r="AN1601" s="113"/>
      <c r="AO1601" s="43" t="s">
        <v>2353</v>
      </c>
      <c r="AP1601" s="43"/>
      <c r="AQ1601" s="236" t="str">
        <f>VLOOKUP(Table8[[#This Row],[Instrument]],Def_Targets!$D$73:$E$159,2,FALSE)</f>
        <v>I_Hydrogen</v>
      </c>
      <c r="AR1601" s="233" t="str">
        <f>VLOOKUP(Table8[[#This Row],[Country Code]],Table29[],3,FALSE)</f>
        <v>Non-Annex I</v>
      </c>
      <c r="AS1601" s="233" t="str">
        <f>VLOOKUP(Table8[[#This Row],[Country Code]],Table29[],4,FALSE)</f>
        <v>Africa</v>
      </c>
      <c r="AT1601" s="233" t="str">
        <f>VLOOKUP(Table8[[#This Row],[Country Code]],Table29[],5,FALSE)</f>
        <v>Middle-income</v>
      </c>
      <c r="AU1601" s="233" t="str">
        <f>VLOOKUP(Table8[[#This Row],[Country Code]],Table29[],6,FALSE)</f>
        <v>no</v>
      </c>
      <c r="AV1601" s="233" t="str">
        <f>VLOOKUP(Table8[[#This Row],[Country Code]],Table29[],7,FALSE)</f>
        <v>no</v>
      </c>
      <c r="AW1601" s="233" t="str">
        <f>VLOOKUP(Table8[[#This Row],[Country Code]],Table29[],8,FALSE)</f>
        <v>non-OECD</v>
      </c>
      <c r="AX1601" s="233" t="str">
        <f>VLOOKUP(Table8[[#This Row],[Country Code]],Table29[],9,FALSE)</f>
        <v>no</v>
      </c>
      <c r="AY1601" s="233" t="str">
        <f>VLOOKUP(Table8[[#This Row],[Country Code]],Table29[],10,FALSE)</f>
        <v>MENA</v>
      </c>
      <c r="AZ1601" s="235">
        <f>VLOOKUP(Table8[[#This Row],[Country Code]],Table29[],23,FALSE)</f>
        <v>106.60223103187001</v>
      </c>
      <c r="BA1601" s="235">
        <f>VLOOKUP(Table8[[#This Row],[Country Code]],Table29[],24,FALSE)</f>
        <v>17.689478774478111</v>
      </c>
      <c r="BB1601" s="320"/>
      <c r="BC1601" s="320"/>
    </row>
    <row r="1602" spans="1:55" ht="30" hidden="1" x14ac:dyDescent="0.25">
      <c r="A1602" s="373">
        <v>26783</v>
      </c>
      <c r="B1602" s="233" t="str">
        <f>VLOOKUP(Table8[[#This Row],[Document ID]],Table1[],2,FALSE)</f>
        <v>MAR</v>
      </c>
      <c r="C1602" s="233" t="str">
        <f>VLOOKUP(Table8[[#This Row],[Document ID]],Table1[],3,FALSE)</f>
        <v>Morocco</v>
      </c>
      <c r="D1602" s="243" t="str">
        <f>VLOOKUP(Table8[[#This Row],[Document ID]],Table1[],5,FALSE)</f>
        <v>LTS</v>
      </c>
      <c r="E1602" s="233" t="str">
        <f>VLOOKUP(Table8[[#This Row],[Document ID]],Table1[],7,FALSE)</f>
        <v>LTS</v>
      </c>
      <c r="F1602" s="233" t="str">
        <f>VLOOKUP(Table8[[#This Row],[Document ID]],Table1[],8,FALSE)</f>
        <v>LTS 1.0</v>
      </c>
      <c r="G1602" s="233" t="str">
        <f>VLOOKUP(Table8[[#This Row],[Document ID]],Table1[],10,FALSE)</f>
        <v>Active</v>
      </c>
      <c r="H1602" s="43" t="s">
        <v>2350</v>
      </c>
      <c r="I1602" s="43" t="s">
        <v>2370</v>
      </c>
      <c r="J1602" s="44" t="s">
        <v>2371</v>
      </c>
      <c r="K1602" s="44" t="s">
        <v>3819</v>
      </c>
      <c r="L1602" s="44" t="s">
        <v>2373</v>
      </c>
      <c r="M1602" s="43">
        <v>6</v>
      </c>
      <c r="N1602" s="113" t="s">
        <v>1113</v>
      </c>
      <c r="O1602" s="113"/>
      <c r="P1602" s="113"/>
      <c r="Q1602" s="113"/>
      <c r="R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t="s">
        <v>1113</v>
      </c>
      <c r="AL1602" s="113"/>
      <c r="AM1602" s="113"/>
      <c r="AN1602" s="113"/>
      <c r="AO1602" s="44" t="s">
        <v>2334</v>
      </c>
      <c r="AP1602" s="43"/>
      <c r="AQ1602" s="236" t="str">
        <f>VLOOKUP(Table8[[#This Row],[Instrument]],Def_Targets!$D$73:$E$159,2,FALSE)</f>
        <v>A_Natmobplan</v>
      </c>
      <c r="AR1602" s="233" t="str">
        <f>VLOOKUP(Table8[[#This Row],[Country Code]],Table29[],3,FALSE)</f>
        <v>Non-Annex I</v>
      </c>
      <c r="AS1602" s="233" t="str">
        <f>VLOOKUP(Table8[[#This Row],[Country Code]],Table29[],4,FALSE)</f>
        <v>Africa</v>
      </c>
      <c r="AT1602" s="233" t="str">
        <f>VLOOKUP(Table8[[#This Row],[Country Code]],Table29[],5,FALSE)</f>
        <v>Middle-income</v>
      </c>
      <c r="AU1602" s="233" t="str">
        <f>VLOOKUP(Table8[[#This Row],[Country Code]],Table29[],6,FALSE)</f>
        <v>no</v>
      </c>
      <c r="AV1602" s="233" t="str">
        <f>VLOOKUP(Table8[[#This Row],[Country Code]],Table29[],7,FALSE)</f>
        <v>no</v>
      </c>
      <c r="AW1602" s="233" t="str">
        <f>VLOOKUP(Table8[[#This Row],[Country Code]],Table29[],8,FALSE)</f>
        <v>non-OECD</v>
      </c>
      <c r="AX1602" s="233" t="str">
        <f>VLOOKUP(Table8[[#This Row],[Country Code]],Table29[],9,FALSE)</f>
        <v>no</v>
      </c>
      <c r="AY1602" s="233" t="str">
        <f>VLOOKUP(Table8[[#This Row],[Country Code]],Table29[],10,FALSE)</f>
        <v>MENA</v>
      </c>
      <c r="AZ1602" s="235">
        <f>VLOOKUP(Table8[[#This Row],[Country Code]],Table29[],23,FALSE)</f>
        <v>106.60223103187001</v>
      </c>
      <c r="BA1602" s="235">
        <f>VLOOKUP(Table8[[#This Row],[Country Code]],Table29[],24,FALSE)</f>
        <v>17.689478774478111</v>
      </c>
      <c r="BB1602" s="320"/>
      <c r="BC1602" s="320"/>
    </row>
    <row r="1603" spans="1:55" ht="30" hidden="1" x14ac:dyDescent="0.25">
      <c r="A1603" s="373">
        <v>26783</v>
      </c>
      <c r="B1603" s="233" t="str">
        <f>VLOOKUP(Table8[[#This Row],[Document ID]],Table1[],2,FALSE)</f>
        <v>MAR</v>
      </c>
      <c r="C1603" s="233" t="str">
        <f>VLOOKUP(Table8[[#This Row],[Document ID]],Table1[],3,FALSE)</f>
        <v>Morocco</v>
      </c>
      <c r="D1603" s="243" t="str">
        <f>VLOOKUP(Table8[[#This Row],[Document ID]],Table1[],5,FALSE)</f>
        <v>LTS</v>
      </c>
      <c r="E1603" s="233" t="str">
        <f>VLOOKUP(Table8[[#This Row],[Document ID]],Table1[],7,FALSE)</f>
        <v>LTS</v>
      </c>
      <c r="F1603" s="233" t="str">
        <f>VLOOKUP(Table8[[#This Row],[Document ID]],Table1[],8,FALSE)</f>
        <v>LTS 1.0</v>
      </c>
      <c r="G1603" s="233" t="str">
        <f>VLOOKUP(Table8[[#This Row],[Document ID]],Table1[],10,FALSE)</f>
        <v>Active</v>
      </c>
      <c r="H1603" s="43" t="s">
        <v>2350</v>
      </c>
      <c r="I1603" s="43" t="s">
        <v>2370</v>
      </c>
      <c r="J1603" s="44" t="s">
        <v>2581</v>
      </c>
      <c r="K1603" s="44" t="s">
        <v>3820</v>
      </c>
      <c r="L1603" s="44" t="s">
        <v>2373</v>
      </c>
      <c r="M1603" s="43">
        <v>21</v>
      </c>
      <c r="N1603" s="113" t="s">
        <v>1113</v>
      </c>
      <c r="O1603" s="113"/>
      <c r="P1603" s="113"/>
      <c r="Q1603" s="113"/>
      <c r="R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t="s">
        <v>1113</v>
      </c>
      <c r="AM1603" s="113"/>
      <c r="AN1603" s="113"/>
      <c r="AO1603" s="44" t="s">
        <v>2334</v>
      </c>
      <c r="AP1603" s="43"/>
      <c r="AQ1603" s="236" t="str">
        <f>VLOOKUP(Table8[[#This Row],[Instrument]],Def_Targets!$D$73:$E$159,2,FALSE)</f>
        <v>A_SUMP</v>
      </c>
      <c r="AR1603" s="233" t="str">
        <f>VLOOKUP(Table8[[#This Row],[Country Code]],Table29[],3,FALSE)</f>
        <v>Non-Annex I</v>
      </c>
      <c r="AS1603" s="233" t="str">
        <f>VLOOKUP(Table8[[#This Row],[Country Code]],Table29[],4,FALSE)</f>
        <v>Africa</v>
      </c>
      <c r="AT1603" s="233" t="str">
        <f>VLOOKUP(Table8[[#This Row],[Country Code]],Table29[],5,FALSE)</f>
        <v>Middle-income</v>
      </c>
      <c r="AU1603" s="233" t="str">
        <f>VLOOKUP(Table8[[#This Row],[Country Code]],Table29[],6,FALSE)</f>
        <v>no</v>
      </c>
      <c r="AV1603" s="233" t="str">
        <f>VLOOKUP(Table8[[#This Row],[Country Code]],Table29[],7,FALSE)</f>
        <v>no</v>
      </c>
      <c r="AW1603" s="233" t="str">
        <f>VLOOKUP(Table8[[#This Row],[Country Code]],Table29[],8,FALSE)</f>
        <v>non-OECD</v>
      </c>
      <c r="AX1603" s="233" t="str">
        <f>VLOOKUP(Table8[[#This Row],[Country Code]],Table29[],9,FALSE)</f>
        <v>no</v>
      </c>
      <c r="AY1603" s="233" t="str">
        <f>VLOOKUP(Table8[[#This Row],[Country Code]],Table29[],10,FALSE)</f>
        <v>MENA</v>
      </c>
      <c r="AZ1603" s="235">
        <f>VLOOKUP(Table8[[#This Row],[Country Code]],Table29[],23,FALSE)</f>
        <v>106.60223103187001</v>
      </c>
      <c r="BA1603" s="235">
        <f>VLOOKUP(Table8[[#This Row],[Country Code]],Table29[],24,FALSE)</f>
        <v>17.689478774478111</v>
      </c>
      <c r="BB1603" s="320"/>
      <c r="BC1603" s="320"/>
    </row>
    <row r="1604" spans="1:55" ht="45" hidden="1" x14ac:dyDescent="0.25">
      <c r="A1604" s="373">
        <v>26783</v>
      </c>
      <c r="B1604" s="233" t="str">
        <f>VLOOKUP(Table8[[#This Row],[Document ID]],Table1[],2,FALSE)</f>
        <v>MAR</v>
      </c>
      <c r="C1604" s="233" t="str">
        <f>VLOOKUP(Table8[[#This Row],[Document ID]],Table1[],3,FALSE)</f>
        <v>Morocco</v>
      </c>
      <c r="D1604" s="243" t="str">
        <f>VLOOKUP(Table8[[#This Row],[Document ID]],Table1[],5,FALSE)</f>
        <v>LTS</v>
      </c>
      <c r="E1604" s="233" t="str">
        <f>VLOOKUP(Table8[[#This Row],[Document ID]],Table1[],7,FALSE)</f>
        <v>LTS</v>
      </c>
      <c r="F1604" s="233" t="str">
        <f>VLOOKUP(Table8[[#This Row],[Document ID]],Table1[],8,FALSE)</f>
        <v>LTS 1.0</v>
      </c>
      <c r="G1604" s="233" t="str">
        <f>VLOOKUP(Table8[[#This Row],[Document ID]],Table1[],10,FALSE)</f>
        <v>Active</v>
      </c>
      <c r="H1604" s="44" t="s">
        <v>2329</v>
      </c>
      <c r="I1604" s="44" t="s">
        <v>2330</v>
      </c>
      <c r="J1604" s="44" t="s">
        <v>2381</v>
      </c>
      <c r="K1604" s="44" t="s">
        <v>3821</v>
      </c>
      <c r="L1604" s="44" t="s">
        <v>2333</v>
      </c>
      <c r="M1604" s="43">
        <v>26</v>
      </c>
      <c r="N1604" s="113" t="s">
        <v>1113</v>
      </c>
      <c r="O1604" s="113"/>
      <c r="P1604" s="113"/>
      <c r="Q1604" s="113"/>
      <c r="R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t="s">
        <v>1113</v>
      </c>
      <c r="AL1604" s="113"/>
      <c r="AM1604" s="113"/>
      <c r="AN1604" s="113"/>
      <c r="AO1604" s="44" t="s">
        <v>2334</v>
      </c>
      <c r="AP1604" s="43"/>
      <c r="AQ1604" s="236" t="str">
        <f>VLOOKUP(Table8[[#This Row],[Instrument]],Def_Targets!$D$73:$E$159,2,FALSE)</f>
        <v>I_RE</v>
      </c>
      <c r="AR1604" s="233" t="str">
        <f>VLOOKUP(Table8[[#This Row],[Country Code]],Table29[],3,FALSE)</f>
        <v>Non-Annex I</v>
      </c>
      <c r="AS1604" s="233" t="str">
        <f>VLOOKUP(Table8[[#This Row],[Country Code]],Table29[],4,FALSE)</f>
        <v>Africa</v>
      </c>
      <c r="AT1604" s="233" t="str">
        <f>VLOOKUP(Table8[[#This Row],[Country Code]],Table29[],5,FALSE)</f>
        <v>Middle-income</v>
      </c>
      <c r="AU1604" s="233" t="str">
        <f>VLOOKUP(Table8[[#This Row],[Country Code]],Table29[],6,FALSE)</f>
        <v>no</v>
      </c>
      <c r="AV1604" s="233" t="str">
        <f>VLOOKUP(Table8[[#This Row],[Country Code]],Table29[],7,FALSE)</f>
        <v>no</v>
      </c>
      <c r="AW1604" s="233" t="str">
        <f>VLOOKUP(Table8[[#This Row],[Country Code]],Table29[],8,FALSE)</f>
        <v>non-OECD</v>
      </c>
      <c r="AX1604" s="233" t="str">
        <f>VLOOKUP(Table8[[#This Row],[Country Code]],Table29[],9,FALSE)</f>
        <v>no</v>
      </c>
      <c r="AY1604" s="233" t="str">
        <f>VLOOKUP(Table8[[#This Row],[Country Code]],Table29[],10,FALSE)</f>
        <v>MENA</v>
      </c>
      <c r="AZ1604" s="235">
        <f>VLOOKUP(Table8[[#This Row],[Country Code]],Table29[],23,FALSE)</f>
        <v>106.60223103187001</v>
      </c>
      <c r="BA1604" s="235">
        <f>VLOOKUP(Table8[[#This Row],[Country Code]],Table29[],24,FALSE)</f>
        <v>17.689478774478111</v>
      </c>
      <c r="BB1604" s="320"/>
      <c r="BC1604" s="320"/>
    </row>
    <row r="1605" spans="1:55" ht="30" hidden="1" x14ac:dyDescent="0.25">
      <c r="A1605" s="373">
        <v>26783</v>
      </c>
      <c r="B1605" s="233" t="str">
        <f>VLOOKUP(Table8[[#This Row],[Document ID]],Table1[],2,FALSE)</f>
        <v>MAR</v>
      </c>
      <c r="C1605" s="233" t="str">
        <f>VLOOKUP(Table8[[#This Row],[Document ID]],Table1[],3,FALSE)</f>
        <v>Morocco</v>
      </c>
      <c r="D1605" s="243" t="str">
        <f>VLOOKUP(Table8[[#This Row],[Document ID]],Table1[],5,FALSE)</f>
        <v>LTS</v>
      </c>
      <c r="E1605" s="233" t="str">
        <f>VLOOKUP(Table8[[#This Row],[Document ID]],Table1[],7,FALSE)</f>
        <v>LTS</v>
      </c>
      <c r="F1605" s="233" t="str">
        <f>VLOOKUP(Table8[[#This Row],[Document ID]],Table1[],8,FALSE)</f>
        <v>LTS 1.0</v>
      </c>
      <c r="G1605" s="233" t="str">
        <f>VLOOKUP(Table8[[#This Row],[Document ID]],Table1[],10,FALSE)</f>
        <v>Active</v>
      </c>
      <c r="H1605" s="43" t="s">
        <v>2350</v>
      </c>
      <c r="I1605" s="43" t="s">
        <v>2370</v>
      </c>
      <c r="J1605" s="44" t="s">
        <v>2518</v>
      </c>
      <c r="K1605" s="44" t="s">
        <v>3822</v>
      </c>
      <c r="L1605" s="44" t="s">
        <v>2380</v>
      </c>
      <c r="M1605" s="43">
        <v>33</v>
      </c>
      <c r="N1605" s="113" t="s">
        <v>1113</v>
      </c>
      <c r="O1605" s="113"/>
      <c r="P1605" s="113"/>
      <c r="Q1605" s="113"/>
      <c r="R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t="s">
        <v>1113</v>
      </c>
      <c r="AM1605" s="113"/>
      <c r="AN1605" s="113"/>
      <c r="AO1605" s="44" t="s">
        <v>2334</v>
      </c>
      <c r="AP1605" s="43"/>
      <c r="AQ1605" s="236" t="str">
        <f>VLOOKUP(Table8[[#This Row],[Instrument]],Def_Targets!$D$73:$E$159,2,FALSE)</f>
        <v>A_Mixuse</v>
      </c>
      <c r="AR1605" s="233" t="str">
        <f>VLOOKUP(Table8[[#This Row],[Country Code]],Table29[],3,FALSE)</f>
        <v>Non-Annex I</v>
      </c>
      <c r="AS1605" s="233" t="str">
        <f>VLOOKUP(Table8[[#This Row],[Country Code]],Table29[],4,FALSE)</f>
        <v>Africa</v>
      </c>
      <c r="AT1605" s="233" t="str">
        <f>VLOOKUP(Table8[[#This Row],[Country Code]],Table29[],5,FALSE)</f>
        <v>Middle-income</v>
      </c>
      <c r="AU1605" s="233" t="str">
        <f>VLOOKUP(Table8[[#This Row],[Country Code]],Table29[],6,FALSE)</f>
        <v>no</v>
      </c>
      <c r="AV1605" s="233" t="str">
        <f>VLOOKUP(Table8[[#This Row],[Country Code]],Table29[],7,FALSE)</f>
        <v>no</v>
      </c>
      <c r="AW1605" s="233" t="str">
        <f>VLOOKUP(Table8[[#This Row],[Country Code]],Table29[],8,FALSE)</f>
        <v>non-OECD</v>
      </c>
      <c r="AX1605" s="233" t="str">
        <f>VLOOKUP(Table8[[#This Row],[Country Code]],Table29[],9,FALSE)</f>
        <v>no</v>
      </c>
      <c r="AY1605" s="233" t="str">
        <f>VLOOKUP(Table8[[#This Row],[Country Code]],Table29[],10,FALSE)</f>
        <v>MENA</v>
      </c>
      <c r="AZ1605" s="235">
        <f>VLOOKUP(Table8[[#This Row],[Country Code]],Table29[],23,FALSE)</f>
        <v>106.60223103187001</v>
      </c>
      <c r="BA1605" s="235">
        <f>VLOOKUP(Table8[[#This Row],[Country Code]],Table29[],24,FALSE)</f>
        <v>17.689478774478111</v>
      </c>
      <c r="BB1605" s="320"/>
      <c r="BC1605" s="320"/>
    </row>
    <row r="1606" spans="1:55" ht="30" hidden="1" x14ac:dyDescent="0.25">
      <c r="A1606" s="373">
        <v>26783</v>
      </c>
      <c r="B1606" s="233" t="str">
        <f>VLOOKUP(Table8[[#This Row],[Document ID]],Table1[],2,FALSE)</f>
        <v>MAR</v>
      </c>
      <c r="C1606" s="233" t="str">
        <f>VLOOKUP(Table8[[#This Row],[Document ID]],Table1[],3,FALSE)</f>
        <v>Morocco</v>
      </c>
      <c r="D1606" s="243" t="str">
        <f>VLOOKUP(Table8[[#This Row],[Document ID]],Table1[],5,FALSE)</f>
        <v>LTS</v>
      </c>
      <c r="E1606" s="233" t="str">
        <f>VLOOKUP(Table8[[#This Row],[Document ID]],Table1[],7,FALSE)</f>
        <v>LTS</v>
      </c>
      <c r="F1606" s="233" t="str">
        <f>VLOOKUP(Table8[[#This Row],[Document ID]],Table1[],8,FALSE)</f>
        <v>LTS 1.0</v>
      </c>
      <c r="G1606" s="233" t="str">
        <f>VLOOKUP(Table8[[#This Row],[Document ID]],Table1[],10,FALSE)</f>
        <v>Active</v>
      </c>
      <c r="H1606" s="43" t="s">
        <v>2343</v>
      </c>
      <c r="I1606" s="43" t="s">
        <v>2344</v>
      </c>
      <c r="J1606" s="44" t="s">
        <v>2345</v>
      </c>
      <c r="K1606" s="44" t="s">
        <v>3822</v>
      </c>
      <c r="L1606" s="44" t="s">
        <v>2347</v>
      </c>
      <c r="M1606" s="43">
        <v>33</v>
      </c>
      <c r="N1606" s="113" t="s">
        <v>1113</v>
      </c>
      <c r="O1606" s="113"/>
      <c r="P1606" s="113"/>
      <c r="Q1606" s="113"/>
      <c r="R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t="s">
        <v>1113</v>
      </c>
      <c r="AM1606" s="113"/>
      <c r="AN1606" s="113"/>
      <c r="AO1606" s="44" t="s">
        <v>2334</v>
      </c>
      <c r="AP1606" s="43"/>
      <c r="AQ1606" s="236" t="str">
        <f>VLOOKUP(Table8[[#This Row],[Instrument]],Def_Targets!$D$73:$E$159,2,FALSE)</f>
        <v>S_PublicTransport</v>
      </c>
      <c r="AR1606" s="233" t="str">
        <f>VLOOKUP(Table8[[#This Row],[Country Code]],Table29[],3,FALSE)</f>
        <v>Non-Annex I</v>
      </c>
      <c r="AS1606" s="233" t="str">
        <f>VLOOKUP(Table8[[#This Row],[Country Code]],Table29[],4,FALSE)</f>
        <v>Africa</v>
      </c>
      <c r="AT1606" s="233" t="str">
        <f>VLOOKUP(Table8[[#This Row],[Country Code]],Table29[],5,FALSE)</f>
        <v>Middle-income</v>
      </c>
      <c r="AU1606" s="233" t="str">
        <f>VLOOKUP(Table8[[#This Row],[Country Code]],Table29[],6,FALSE)</f>
        <v>no</v>
      </c>
      <c r="AV1606" s="233" t="str">
        <f>VLOOKUP(Table8[[#This Row],[Country Code]],Table29[],7,FALSE)</f>
        <v>no</v>
      </c>
      <c r="AW1606" s="233" t="str">
        <f>VLOOKUP(Table8[[#This Row],[Country Code]],Table29[],8,FALSE)</f>
        <v>non-OECD</v>
      </c>
      <c r="AX1606" s="233" t="str">
        <f>VLOOKUP(Table8[[#This Row],[Country Code]],Table29[],9,FALSE)</f>
        <v>no</v>
      </c>
      <c r="AY1606" s="233" t="str">
        <f>VLOOKUP(Table8[[#This Row],[Country Code]],Table29[],10,FALSE)</f>
        <v>MENA</v>
      </c>
      <c r="AZ1606" s="235">
        <f>VLOOKUP(Table8[[#This Row],[Country Code]],Table29[],23,FALSE)</f>
        <v>106.60223103187001</v>
      </c>
      <c r="BA1606" s="235">
        <f>VLOOKUP(Table8[[#This Row],[Country Code]],Table29[],24,FALSE)</f>
        <v>17.689478774478111</v>
      </c>
      <c r="BB1606" s="320"/>
      <c r="BC1606" s="320"/>
    </row>
    <row r="1607" spans="1:55" ht="30" hidden="1" x14ac:dyDescent="0.25">
      <c r="A1607" s="373">
        <v>26783</v>
      </c>
      <c r="B1607" s="233" t="str">
        <f>VLOOKUP(Table8[[#This Row],[Document ID]],Table1[],2,FALSE)</f>
        <v>MAR</v>
      </c>
      <c r="C1607" s="233" t="str">
        <f>VLOOKUP(Table8[[#This Row],[Document ID]],Table1[],3,FALSE)</f>
        <v>Morocco</v>
      </c>
      <c r="D1607" s="243" t="str">
        <f>VLOOKUP(Table8[[#This Row],[Document ID]],Table1[],5,FALSE)</f>
        <v>LTS</v>
      </c>
      <c r="E1607" s="233" t="str">
        <f>VLOOKUP(Table8[[#This Row],[Document ID]],Table1[],7,FALSE)</f>
        <v>LTS</v>
      </c>
      <c r="F1607" s="233" t="str">
        <f>VLOOKUP(Table8[[#This Row],[Document ID]],Table1[],8,FALSE)</f>
        <v>LTS 1.0</v>
      </c>
      <c r="G1607" s="233" t="str">
        <f>VLOOKUP(Table8[[#This Row],[Document ID]],Table1[],10,FALSE)</f>
        <v>Active</v>
      </c>
      <c r="H1607" s="43" t="s">
        <v>2343</v>
      </c>
      <c r="I1607" s="43" t="s">
        <v>2429</v>
      </c>
      <c r="J1607" s="44" t="s">
        <v>2472</v>
      </c>
      <c r="K1607" s="44" t="s">
        <v>3823</v>
      </c>
      <c r="L1607" s="44" t="s">
        <v>2373</v>
      </c>
      <c r="M1607" s="43">
        <v>38</v>
      </c>
      <c r="N1607" s="113" t="s">
        <v>1113</v>
      </c>
      <c r="O1607" s="113"/>
      <c r="P1607" s="113"/>
      <c r="Q1607" s="113"/>
      <c r="R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t="s">
        <v>1113</v>
      </c>
      <c r="AL1607" s="113"/>
      <c r="AM1607" s="113"/>
      <c r="AN1607" s="113"/>
      <c r="AO1607" s="44" t="s">
        <v>2334</v>
      </c>
      <c r="AP1607" s="43"/>
      <c r="AQ1607" s="236" t="str">
        <f>VLOOKUP(Table8[[#This Row],[Instrument]],Def_Targets!$D$73:$E$159,2,FALSE)</f>
        <v>I_Other</v>
      </c>
      <c r="AR1607" s="233" t="str">
        <f>VLOOKUP(Table8[[#This Row],[Country Code]],Table29[],3,FALSE)</f>
        <v>Non-Annex I</v>
      </c>
      <c r="AS1607" s="233" t="str">
        <f>VLOOKUP(Table8[[#This Row],[Country Code]],Table29[],4,FALSE)</f>
        <v>Africa</v>
      </c>
      <c r="AT1607" s="233" t="str">
        <f>VLOOKUP(Table8[[#This Row],[Country Code]],Table29[],5,FALSE)</f>
        <v>Middle-income</v>
      </c>
      <c r="AU1607" s="233" t="str">
        <f>VLOOKUP(Table8[[#This Row],[Country Code]],Table29[],6,FALSE)</f>
        <v>no</v>
      </c>
      <c r="AV1607" s="233" t="str">
        <f>VLOOKUP(Table8[[#This Row],[Country Code]],Table29[],7,FALSE)</f>
        <v>no</v>
      </c>
      <c r="AW1607" s="233" t="str">
        <f>VLOOKUP(Table8[[#This Row],[Country Code]],Table29[],8,FALSE)</f>
        <v>non-OECD</v>
      </c>
      <c r="AX1607" s="233" t="str">
        <f>VLOOKUP(Table8[[#This Row],[Country Code]],Table29[],9,FALSE)</f>
        <v>no</v>
      </c>
      <c r="AY1607" s="233" t="str">
        <f>VLOOKUP(Table8[[#This Row],[Country Code]],Table29[],10,FALSE)</f>
        <v>MENA</v>
      </c>
      <c r="AZ1607" s="235">
        <f>VLOOKUP(Table8[[#This Row],[Country Code]],Table29[],23,FALSE)</f>
        <v>106.60223103187001</v>
      </c>
      <c r="BA1607" s="235">
        <f>VLOOKUP(Table8[[#This Row],[Country Code]],Table29[],24,FALSE)</f>
        <v>17.689478774478111</v>
      </c>
      <c r="BB1607" s="320"/>
      <c r="BC1607" s="320"/>
    </row>
    <row r="1608" spans="1:55" ht="45" hidden="1" x14ac:dyDescent="0.25">
      <c r="A1608" s="373">
        <v>32510</v>
      </c>
      <c r="B1608" s="233" t="str">
        <f>VLOOKUP(Table8[[#This Row],[Document ID]],Table1[],2,FALSE)</f>
        <v>NOR</v>
      </c>
      <c r="C1608" s="233" t="str">
        <f>VLOOKUP(Table8[[#This Row],[Document ID]],Table1[],3,FALSE)</f>
        <v>Norway</v>
      </c>
      <c r="D1608" s="243" t="str">
        <f>VLOOKUP(Table8[[#This Row],[Document ID]],Table1[],5,FALSE)</f>
        <v>NDC</v>
      </c>
      <c r="E1608" s="233" t="str">
        <f>VLOOKUP(Table8[[#This Row],[Document ID]],Table1[],7,FALSE)</f>
        <v>First NDC updated</v>
      </c>
      <c r="F1608" s="233" t="str">
        <f>VLOOKUP(Table8[[#This Row],[Document ID]],Table1[],8,FALSE)</f>
        <v>NDC 1.2</v>
      </c>
      <c r="G1608" s="233" t="str">
        <f>VLOOKUP(Table8[[#This Row],[Document ID]],Table1[],10,FALSE)</f>
        <v>Active</v>
      </c>
      <c r="H1608" s="43" t="s">
        <v>2343</v>
      </c>
      <c r="I1608" s="43" t="s">
        <v>2386</v>
      </c>
      <c r="J1608" s="44" t="s">
        <v>3055</v>
      </c>
      <c r="K1608" s="44" t="s">
        <v>3824</v>
      </c>
      <c r="L1608" s="44" t="s">
        <v>2373</v>
      </c>
      <c r="M1608" s="43">
        <v>7</v>
      </c>
      <c r="N1608" s="113"/>
      <c r="O1608" s="113"/>
      <c r="P1608" s="113"/>
      <c r="Q1608" s="113"/>
      <c r="R1608" s="113"/>
      <c r="S1608" s="113"/>
      <c r="T1608" s="113"/>
      <c r="U1608" s="113"/>
      <c r="V1608" s="113"/>
      <c r="W1608" s="113"/>
      <c r="X1608" s="113"/>
      <c r="Y1608" s="113"/>
      <c r="Z1608" s="113"/>
      <c r="AA1608" s="113"/>
      <c r="AB1608" s="113"/>
      <c r="AC1608" s="113"/>
      <c r="AD1608" s="113"/>
      <c r="AE1608" s="113"/>
      <c r="AF1608" s="113"/>
      <c r="AG1608" s="113"/>
      <c r="AH1608" s="113" t="s">
        <v>1113</v>
      </c>
      <c r="AI1608" s="113"/>
      <c r="AJ1608" s="113"/>
      <c r="AK1608" s="113" t="s">
        <v>1113</v>
      </c>
      <c r="AL1608" s="113"/>
      <c r="AM1608" s="113"/>
      <c r="AN1608" s="113"/>
      <c r="AO1608" s="44" t="s">
        <v>2334</v>
      </c>
      <c r="AP1608" s="43"/>
      <c r="AQ1608" s="236" t="str">
        <f>VLOOKUP(Table8[[#This Row],[Instrument]],Def_Targets!$D$73:$E$159,2,FALSE)</f>
        <v>A_Emistrad</v>
      </c>
      <c r="AR1608" s="233" t="str">
        <f>VLOOKUP(Table8[[#This Row],[Country Code]],Table29[],3,FALSE)</f>
        <v>Annex I</v>
      </c>
      <c r="AS1608" s="233" t="str">
        <f>VLOOKUP(Table8[[#This Row],[Country Code]],Table29[],4,FALSE)</f>
        <v>Europe</v>
      </c>
      <c r="AT1608" s="233" t="str">
        <f>VLOOKUP(Table8[[#This Row],[Country Code]],Table29[],5,FALSE)</f>
        <v>High-income</v>
      </c>
      <c r="AU1608" s="233" t="str">
        <f>VLOOKUP(Table8[[#This Row],[Country Code]],Table29[],6,FALSE)</f>
        <v>no</v>
      </c>
      <c r="AV1608" s="233" t="str">
        <f>VLOOKUP(Table8[[#This Row],[Country Code]],Table29[],7,FALSE)</f>
        <v>no</v>
      </c>
      <c r="AW1608" s="233" t="str">
        <f>VLOOKUP(Table8[[#This Row],[Country Code]],Table29[],8,FALSE)</f>
        <v>OECD</v>
      </c>
      <c r="AX1608" s="233" t="str">
        <f>VLOOKUP(Table8[[#This Row],[Country Code]],Table29[],9,FALSE)</f>
        <v>no</v>
      </c>
      <c r="AY1608" s="233" t="str">
        <f>VLOOKUP(Table8[[#This Row],[Country Code]],Table29[],10,FALSE)</f>
        <v>no</v>
      </c>
      <c r="AZ1608" s="235">
        <f>VLOOKUP(Table8[[#This Row],[Country Code]],Table29[],23,FALSE)</f>
        <v>56.717099715738001</v>
      </c>
      <c r="BA1608" s="235">
        <f>VLOOKUP(Table8[[#This Row],[Country Code]],Table29[],24,FALSE)</f>
        <v>13.64916488890823</v>
      </c>
      <c r="BB1608" s="320"/>
      <c r="BC1608" s="320"/>
    </row>
    <row r="1609" spans="1:55" ht="30" hidden="1" x14ac:dyDescent="0.25">
      <c r="A1609" s="373">
        <v>32510</v>
      </c>
      <c r="B1609" s="233" t="str">
        <f>VLOOKUP(Table8[[#This Row],[Document ID]],Table1[],2,FALSE)</f>
        <v>NOR</v>
      </c>
      <c r="C1609" s="233" t="str">
        <f>VLOOKUP(Table8[[#This Row],[Document ID]],Table1[],3,FALSE)</f>
        <v>Norway</v>
      </c>
      <c r="D1609" s="243" t="str">
        <f>VLOOKUP(Table8[[#This Row],[Document ID]],Table1[],5,FALSE)</f>
        <v>NDC</v>
      </c>
      <c r="E1609" s="233" t="str">
        <f>VLOOKUP(Table8[[#This Row],[Document ID]],Table1[],7,FALSE)</f>
        <v>First NDC updated</v>
      </c>
      <c r="F1609" s="233" t="str">
        <f>VLOOKUP(Table8[[#This Row],[Document ID]],Table1[],8,FALSE)</f>
        <v>NDC 1.2</v>
      </c>
      <c r="G1609" s="233" t="str">
        <f>VLOOKUP(Table8[[#This Row],[Document ID]],Table1[],10,FALSE)</f>
        <v>Active</v>
      </c>
      <c r="H1609" s="43" t="s">
        <v>2343</v>
      </c>
      <c r="I1609" s="43" t="s">
        <v>2386</v>
      </c>
      <c r="J1609" s="44" t="s">
        <v>3055</v>
      </c>
      <c r="K1609" s="44" t="s">
        <v>3825</v>
      </c>
      <c r="L1609" s="44" t="s">
        <v>2373</v>
      </c>
      <c r="M1609" s="43">
        <v>7</v>
      </c>
      <c r="N1609" s="113" t="s">
        <v>1113</v>
      </c>
      <c r="O1609" s="113"/>
      <c r="P1609" s="113"/>
      <c r="Q1609" s="113"/>
      <c r="R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t="s">
        <v>1113</v>
      </c>
      <c r="AL1609" s="113"/>
      <c r="AM1609" s="113"/>
      <c r="AN1609" s="113"/>
      <c r="AO1609" s="44" t="s">
        <v>2334</v>
      </c>
      <c r="AP1609" s="43"/>
      <c r="AQ1609" s="236" t="str">
        <f>VLOOKUP(Table8[[#This Row],[Instrument]],Def_Targets!$D$73:$E$159,2,FALSE)</f>
        <v>A_Emistrad</v>
      </c>
      <c r="AR1609" s="233" t="str">
        <f>VLOOKUP(Table8[[#This Row],[Country Code]],Table29[],3,FALSE)</f>
        <v>Annex I</v>
      </c>
      <c r="AS1609" s="233" t="str">
        <f>VLOOKUP(Table8[[#This Row],[Country Code]],Table29[],4,FALSE)</f>
        <v>Europe</v>
      </c>
      <c r="AT1609" s="233" t="str">
        <f>VLOOKUP(Table8[[#This Row],[Country Code]],Table29[],5,FALSE)</f>
        <v>High-income</v>
      </c>
      <c r="AU1609" s="233" t="str">
        <f>VLOOKUP(Table8[[#This Row],[Country Code]],Table29[],6,FALSE)</f>
        <v>no</v>
      </c>
      <c r="AV1609" s="233" t="str">
        <f>VLOOKUP(Table8[[#This Row],[Country Code]],Table29[],7,FALSE)</f>
        <v>no</v>
      </c>
      <c r="AW1609" s="233" t="str">
        <f>VLOOKUP(Table8[[#This Row],[Country Code]],Table29[],8,FALSE)</f>
        <v>OECD</v>
      </c>
      <c r="AX1609" s="233" t="str">
        <f>VLOOKUP(Table8[[#This Row],[Country Code]],Table29[],9,FALSE)</f>
        <v>no</v>
      </c>
      <c r="AY1609" s="233" t="str">
        <f>VLOOKUP(Table8[[#This Row],[Country Code]],Table29[],10,FALSE)</f>
        <v>no</v>
      </c>
      <c r="AZ1609" s="235">
        <f>VLOOKUP(Table8[[#This Row],[Country Code]],Table29[],23,FALSE)</f>
        <v>56.717099715738001</v>
      </c>
      <c r="BA1609" s="235">
        <f>VLOOKUP(Table8[[#This Row],[Country Code]],Table29[],24,FALSE)</f>
        <v>13.64916488890823</v>
      </c>
      <c r="BB1609" s="320"/>
      <c r="BC1609" s="320"/>
    </row>
    <row r="1610" spans="1:55" ht="45" hidden="1" x14ac:dyDescent="0.25">
      <c r="A1610" s="373">
        <v>21263</v>
      </c>
      <c r="B1610" s="233" t="str">
        <f>VLOOKUP(Table8[[#This Row],[Document ID]],Table1[],2,FALSE)</f>
        <v>OMN</v>
      </c>
      <c r="C1610" s="233" t="str">
        <f>VLOOKUP(Table8[[#This Row],[Document ID]],Table1[],3,FALSE)</f>
        <v>Oman</v>
      </c>
      <c r="D1610" s="243" t="str">
        <f>VLOOKUP(Table8[[#This Row],[Document ID]],Table1[],5,FALSE)</f>
        <v>NDC</v>
      </c>
      <c r="E1610" s="233" t="str">
        <f>VLOOKUP(Table8[[#This Row],[Document ID]],Table1[],7,FALSE)</f>
        <v>Second NDC</v>
      </c>
      <c r="F1610" s="233" t="str">
        <f>VLOOKUP(Table8[[#This Row],[Document ID]],Table1[],8,FALSE)</f>
        <v>NDC 2.0</v>
      </c>
      <c r="G1610" s="233" t="str">
        <f>VLOOKUP(Table8[[#This Row],[Document ID]],Table1[],10,FALSE)</f>
        <v>Archived</v>
      </c>
      <c r="H1610" s="43" t="s">
        <v>2343</v>
      </c>
      <c r="I1610" s="43" t="s">
        <v>2429</v>
      </c>
      <c r="J1610" s="44" t="s">
        <v>2472</v>
      </c>
      <c r="K1610" s="44" t="s">
        <v>3826</v>
      </c>
      <c r="L1610" s="44" t="s">
        <v>2373</v>
      </c>
      <c r="M1610" s="43">
        <v>10</v>
      </c>
      <c r="N1610" s="113" t="s">
        <v>1113</v>
      </c>
      <c r="O1610" s="113"/>
      <c r="P1610" s="113"/>
      <c r="Q1610" s="113"/>
      <c r="R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t="s">
        <v>1113</v>
      </c>
      <c r="AL1610" s="113"/>
      <c r="AM1610" s="113"/>
      <c r="AN1610" s="113"/>
      <c r="AO1610" s="44" t="s">
        <v>2334</v>
      </c>
      <c r="AP1610" s="43"/>
      <c r="AQ1610" s="236" t="str">
        <f>VLOOKUP(Table8[[#This Row],[Instrument]],Def_Targets!$D$73:$E$159,2,FALSE)</f>
        <v>I_Other</v>
      </c>
      <c r="AR1610" s="233" t="str">
        <f>VLOOKUP(Table8[[#This Row],[Country Code]],Table29[],3,FALSE)</f>
        <v>Non-Annex I</v>
      </c>
      <c r="AS1610" s="233" t="str">
        <f>VLOOKUP(Table8[[#This Row],[Country Code]],Table29[],4,FALSE)</f>
        <v>Asia</v>
      </c>
      <c r="AT1610" s="233" t="str">
        <f>VLOOKUP(Table8[[#This Row],[Country Code]],Table29[],5,FALSE)</f>
        <v>High-income</v>
      </c>
      <c r="AU1610" s="233" t="str">
        <f>VLOOKUP(Table8[[#This Row],[Country Code]],Table29[],6,FALSE)</f>
        <v>no</v>
      </c>
      <c r="AV1610" s="233" t="str">
        <f>VLOOKUP(Table8[[#This Row],[Country Code]],Table29[],7,FALSE)</f>
        <v>no</v>
      </c>
      <c r="AW1610" s="233" t="str">
        <f>VLOOKUP(Table8[[#This Row],[Country Code]],Table29[],8,FALSE)</f>
        <v>non-OECD</v>
      </c>
      <c r="AX1610" s="233" t="str">
        <f>VLOOKUP(Table8[[#This Row],[Country Code]],Table29[],9,FALSE)</f>
        <v>no</v>
      </c>
      <c r="AY1610" s="233" t="str">
        <f>VLOOKUP(Table8[[#This Row],[Country Code]],Table29[],10,FALSE)</f>
        <v>MENA</v>
      </c>
      <c r="AZ1610" s="235">
        <f>VLOOKUP(Table8[[#This Row],[Country Code]],Table29[],23,FALSE)</f>
        <v>127.44302070563</v>
      </c>
      <c r="BA1610" s="235">
        <f>VLOOKUP(Table8[[#This Row],[Country Code]],Table29[],24,FALSE)</f>
        <v>12.3539911460556</v>
      </c>
      <c r="BB1610" s="320"/>
      <c r="BC1610" s="320"/>
    </row>
    <row r="1611" spans="1:55" hidden="1" x14ac:dyDescent="0.25">
      <c r="A1611" s="373">
        <v>26783</v>
      </c>
      <c r="B1611" s="233" t="str">
        <f>VLOOKUP(Table8[[#This Row],[Document ID]],Table1[],2,FALSE)</f>
        <v>MAR</v>
      </c>
      <c r="C1611" s="233" t="str">
        <f>VLOOKUP(Table8[[#This Row],[Document ID]],Table1[],3,FALSE)</f>
        <v>Morocco</v>
      </c>
      <c r="D1611" s="243" t="str">
        <f>VLOOKUP(Table8[[#This Row],[Document ID]],Table1[],5,FALSE)</f>
        <v>LTS</v>
      </c>
      <c r="E1611" s="233" t="str">
        <f>VLOOKUP(Table8[[#This Row],[Document ID]],Table1[],7,FALSE)</f>
        <v>LTS</v>
      </c>
      <c r="F1611" s="233" t="str">
        <f>VLOOKUP(Table8[[#This Row],[Document ID]],Table1[],8,FALSE)</f>
        <v>LTS 1.0</v>
      </c>
      <c r="G1611" s="233" t="str">
        <f>VLOOKUP(Table8[[#This Row],[Document ID]],Table1[],10,FALSE)</f>
        <v>Active</v>
      </c>
      <c r="H1611" s="43" t="s">
        <v>2358</v>
      </c>
      <c r="I1611" s="43" t="s">
        <v>2359</v>
      </c>
      <c r="J1611" s="44" t="s">
        <v>2360</v>
      </c>
      <c r="K1611" s="44" t="s">
        <v>3827</v>
      </c>
      <c r="L1611" s="44" t="s">
        <v>2333</v>
      </c>
      <c r="M1611" s="43">
        <v>38</v>
      </c>
      <c r="N1611" s="113"/>
      <c r="O1611" s="113"/>
      <c r="P1611" s="113"/>
      <c r="Q1611" s="113"/>
      <c r="R1611" s="113"/>
      <c r="S1611" s="113"/>
      <c r="T1611" s="113" t="s">
        <v>1113</v>
      </c>
      <c r="U1611" s="113" t="s">
        <v>1113</v>
      </c>
      <c r="V1611" s="113"/>
      <c r="W1611" s="113"/>
      <c r="X1611" s="113"/>
      <c r="Y1611" s="113"/>
      <c r="Z1611" s="113"/>
      <c r="AA1611" s="113"/>
      <c r="AB1611" s="113"/>
      <c r="AC1611" s="113"/>
      <c r="AD1611" s="113"/>
      <c r="AE1611" s="113"/>
      <c r="AF1611" s="113"/>
      <c r="AG1611" s="113"/>
      <c r="AH1611" s="113"/>
      <c r="AI1611" s="113"/>
      <c r="AJ1611" s="113"/>
      <c r="AK1611" s="113" t="s">
        <v>1113</v>
      </c>
      <c r="AL1611" s="113"/>
      <c r="AM1611" s="113"/>
      <c r="AN1611" s="113"/>
      <c r="AO1611" s="44" t="s">
        <v>2334</v>
      </c>
      <c r="AP1611" s="43"/>
      <c r="AQ1611" s="236" t="str">
        <f>VLOOKUP(Table8[[#This Row],[Instrument]],Def_Targets!$D$73:$E$159,2,FALSE)</f>
        <v>I_Emobility</v>
      </c>
      <c r="AR1611" s="233" t="str">
        <f>VLOOKUP(Table8[[#This Row],[Country Code]],Table29[],3,FALSE)</f>
        <v>Non-Annex I</v>
      </c>
      <c r="AS1611" s="233" t="str">
        <f>VLOOKUP(Table8[[#This Row],[Country Code]],Table29[],4,FALSE)</f>
        <v>Africa</v>
      </c>
      <c r="AT1611" s="233" t="str">
        <f>VLOOKUP(Table8[[#This Row],[Country Code]],Table29[],5,FALSE)</f>
        <v>Middle-income</v>
      </c>
      <c r="AU1611" s="233" t="str">
        <f>VLOOKUP(Table8[[#This Row],[Country Code]],Table29[],6,FALSE)</f>
        <v>no</v>
      </c>
      <c r="AV1611" s="233" t="str">
        <f>VLOOKUP(Table8[[#This Row],[Country Code]],Table29[],7,FALSE)</f>
        <v>no</v>
      </c>
      <c r="AW1611" s="233" t="str">
        <f>VLOOKUP(Table8[[#This Row],[Country Code]],Table29[],8,FALSE)</f>
        <v>non-OECD</v>
      </c>
      <c r="AX1611" s="233" t="str">
        <f>VLOOKUP(Table8[[#This Row],[Country Code]],Table29[],9,FALSE)</f>
        <v>no</v>
      </c>
      <c r="AY1611" s="233" t="str">
        <f>VLOOKUP(Table8[[#This Row],[Country Code]],Table29[],10,FALSE)</f>
        <v>MENA</v>
      </c>
      <c r="AZ1611" s="235">
        <f>VLOOKUP(Table8[[#This Row],[Country Code]],Table29[],23,FALSE)</f>
        <v>106.60223103187001</v>
      </c>
      <c r="BA1611" s="235">
        <f>VLOOKUP(Table8[[#This Row],[Country Code]],Table29[],24,FALSE)</f>
        <v>17.689478774478111</v>
      </c>
      <c r="BB1611" s="320"/>
      <c r="BC1611" s="320"/>
    </row>
    <row r="1612" spans="1:55" hidden="1" x14ac:dyDescent="0.25">
      <c r="A1612" s="373">
        <v>26783</v>
      </c>
      <c r="B1612" s="233" t="str">
        <f>VLOOKUP(Table8[[#This Row],[Document ID]],Table1[],2,FALSE)</f>
        <v>MAR</v>
      </c>
      <c r="C1612" s="233" t="str">
        <f>VLOOKUP(Table8[[#This Row],[Document ID]],Table1[],3,FALSE)</f>
        <v>Morocco</v>
      </c>
      <c r="D1612" s="243" t="str">
        <f>VLOOKUP(Table8[[#This Row],[Document ID]],Table1[],5,FALSE)</f>
        <v>LTS</v>
      </c>
      <c r="E1612" s="233" t="str">
        <f>VLOOKUP(Table8[[#This Row],[Document ID]],Table1[],7,FALSE)</f>
        <v>LTS</v>
      </c>
      <c r="F1612" s="233" t="str">
        <f>VLOOKUP(Table8[[#This Row],[Document ID]],Table1[],8,FALSE)</f>
        <v>LTS 1.0</v>
      </c>
      <c r="G1612" s="233" t="str">
        <f>VLOOKUP(Table8[[#This Row],[Document ID]],Table1[],10,FALSE)</f>
        <v>Active</v>
      </c>
      <c r="H1612" s="43" t="s">
        <v>2358</v>
      </c>
      <c r="I1612" s="43" t="s">
        <v>2359</v>
      </c>
      <c r="J1612" s="44" t="s">
        <v>2383</v>
      </c>
      <c r="K1612" s="44" t="s">
        <v>3828</v>
      </c>
      <c r="L1612" s="44" t="s">
        <v>2333</v>
      </c>
      <c r="M1612" s="43">
        <v>38</v>
      </c>
      <c r="N1612" s="113" t="s">
        <v>1113</v>
      </c>
      <c r="O1612" s="113"/>
      <c r="P1612" s="113"/>
      <c r="Q1612" s="113"/>
      <c r="R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t="s">
        <v>1113</v>
      </c>
      <c r="AL1612" s="113"/>
      <c r="AM1612" s="113"/>
      <c r="AN1612" s="113"/>
      <c r="AO1612" s="44" t="s">
        <v>2334</v>
      </c>
      <c r="AP1612" s="43"/>
      <c r="AQ1612" s="236" t="str">
        <f>VLOOKUP(Table8[[#This Row],[Instrument]],Def_Targets!$D$73:$E$159,2,FALSE)</f>
        <v>I_Emobilitycharging</v>
      </c>
      <c r="AR1612" s="233" t="str">
        <f>VLOOKUP(Table8[[#This Row],[Country Code]],Table29[],3,FALSE)</f>
        <v>Non-Annex I</v>
      </c>
      <c r="AS1612" s="233" t="str">
        <f>VLOOKUP(Table8[[#This Row],[Country Code]],Table29[],4,FALSE)</f>
        <v>Africa</v>
      </c>
      <c r="AT1612" s="233" t="str">
        <f>VLOOKUP(Table8[[#This Row],[Country Code]],Table29[],5,FALSE)</f>
        <v>Middle-income</v>
      </c>
      <c r="AU1612" s="233" t="str">
        <f>VLOOKUP(Table8[[#This Row],[Country Code]],Table29[],6,FALSE)</f>
        <v>no</v>
      </c>
      <c r="AV1612" s="233" t="str">
        <f>VLOOKUP(Table8[[#This Row],[Country Code]],Table29[],7,FALSE)</f>
        <v>no</v>
      </c>
      <c r="AW1612" s="233" t="str">
        <f>VLOOKUP(Table8[[#This Row],[Country Code]],Table29[],8,FALSE)</f>
        <v>non-OECD</v>
      </c>
      <c r="AX1612" s="233" t="str">
        <f>VLOOKUP(Table8[[#This Row],[Country Code]],Table29[],9,FALSE)</f>
        <v>no</v>
      </c>
      <c r="AY1612" s="233" t="str">
        <f>VLOOKUP(Table8[[#This Row],[Country Code]],Table29[],10,FALSE)</f>
        <v>MENA</v>
      </c>
      <c r="AZ1612" s="235">
        <f>VLOOKUP(Table8[[#This Row],[Country Code]],Table29[],23,FALSE)</f>
        <v>106.60223103187001</v>
      </c>
      <c r="BA1612" s="235">
        <f>VLOOKUP(Table8[[#This Row],[Country Code]],Table29[],24,FALSE)</f>
        <v>17.689478774478111</v>
      </c>
      <c r="BB1612" s="320"/>
      <c r="BC1612" s="320"/>
    </row>
    <row r="1613" spans="1:55" hidden="1" x14ac:dyDescent="0.25">
      <c r="A1613" s="373">
        <v>26783</v>
      </c>
      <c r="B1613" s="233" t="str">
        <f>VLOOKUP(Table8[[#This Row],[Document ID]],Table1[],2,FALSE)</f>
        <v>MAR</v>
      </c>
      <c r="C1613" s="233" t="str">
        <f>VLOOKUP(Table8[[#This Row],[Document ID]],Table1[],3,FALSE)</f>
        <v>Morocco</v>
      </c>
      <c r="D1613" s="243" t="str">
        <f>VLOOKUP(Table8[[#This Row],[Document ID]],Table1[],5,FALSE)</f>
        <v>LTS</v>
      </c>
      <c r="E1613" s="233" t="str">
        <f>VLOOKUP(Table8[[#This Row],[Document ID]],Table1[],7,FALSE)</f>
        <v>LTS</v>
      </c>
      <c r="F1613" s="233" t="str">
        <f>VLOOKUP(Table8[[#This Row],[Document ID]],Table1[],8,FALSE)</f>
        <v>LTS 1.0</v>
      </c>
      <c r="G1613" s="233" t="str">
        <f>VLOOKUP(Table8[[#This Row],[Document ID]],Table1[],10,FALSE)</f>
        <v>Active</v>
      </c>
      <c r="H1613" s="44" t="s">
        <v>2329</v>
      </c>
      <c r="I1613" s="44" t="s">
        <v>2330</v>
      </c>
      <c r="J1613" s="44" t="s">
        <v>2391</v>
      </c>
      <c r="K1613" s="44" t="s">
        <v>3829</v>
      </c>
      <c r="L1613" s="44" t="s">
        <v>2333</v>
      </c>
      <c r="M1613" s="43">
        <v>38</v>
      </c>
      <c r="N1613" s="113" t="s">
        <v>1113</v>
      </c>
      <c r="O1613" s="113"/>
      <c r="P1613" s="113"/>
      <c r="Q1613" s="113"/>
      <c r="R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t="s">
        <v>1113</v>
      </c>
      <c r="AL1613" s="113"/>
      <c r="AM1613" s="113"/>
      <c r="AN1613" s="113"/>
      <c r="AO1613" s="44" t="s">
        <v>2334</v>
      </c>
      <c r="AP1613" s="43"/>
      <c r="AQ1613" s="236" t="str">
        <f>VLOOKUP(Table8[[#This Row],[Instrument]],Def_Targets!$D$73:$E$159,2,FALSE)</f>
        <v>I_Hydrogen</v>
      </c>
      <c r="AR1613" s="233" t="str">
        <f>VLOOKUP(Table8[[#This Row],[Country Code]],Table29[],3,FALSE)</f>
        <v>Non-Annex I</v>
      </c>
      <c r="AS1613" s="233" t="str">
        <f>VLOOKUP(Table8[[#This Row],[Country Code]],Table29[],4,FALSE)</f>
        <v>Africa</v>
      </c>
      <c r="AT1613" s="233" t="str">
        <f>VLOOKUP(Table8[[#This Row],[Country Code]],Table29[],5,FALSE)</f>
        <v>Middle-income</v>
      </c>
      <c r="AU1613" s="233" t="str">
        <f>VLOOKUP(Table8[[#This Row],[Country Code]],Table29[],6,FALSE)</f>
        <v>no</v>
      </c>
      <c r="AV1613" s="233" t="str">
        <f>VLOOKUP(Table8[[#This Row],[Country Code]],Table29[],7,FALSE)</f>
        <v>no</v>
      </c>
      <c r="AW1613" s="233" t="str">
        <f>VLOOKUP(Table8[[#This Row],[Country Code]],Table29[],8,FALSE)</f>
        <v>non-OECD</v>
      </c>
      <c r="AX1613" s="233" t="str">
        <f>VLOOKUP(Table8[[#This Row],[Country Code]],Table29[],9,FALSE)</f>
        <v>no</v>
      </c>
      <c r="AY1613" s="233" t="str">
        <f>VLOOKUP(Table8[[#This Row],[Country Code]],Table29[],10,FALSE)</f>
        <v>MENA</v>
      </c>
      <c r="AZ1613" s="235">
        <f>VLOOKUP(Table8[[#This Row],[Country Code]],Table29[],23,FALSE)</f>
        <v>106.60223103187001</v>
      </c>
      <c r="BA1613" s="235">
        <f>VLOOKUP(Table8[[#This Row],[Country Code]],Table29[],24,FALSE)</f>
        <v>17.689478774478111</v>
      </c>
      <c r="BB1613" s="320"/>
      <c r="BC1613" s="320"/>
    </row>
    <row r="1614" spans="1:55" ht="60" hidden="1" x14ac:dyDescent="0.25">
      <c r="A1614" s="373">
        <v>17690</v>
      </c>
      <c r="B1614" s="233" t="str">
        <f>VLOOKUP(Table8[[#This Row],[Document ID]],Table1[],2,FALSE)</f>
        <v>PAK</v>
      </c>
      <c r="C1614" s="233" t="str">
        <f>VLOOKUP(Table8[[#This Row],[Document ID]],Table1[],3,FALSE)</f>
        <v>Pakistan</v>
      </c>
      <c r="D1614" s="243" t="str">
        <f>VLOOKUP(Table8[[#This Row],[Document ID]],Table1[],5,FALSE)</f>
        <v>NDC</v>
      </c>
      <c r="E1614" s="233" t="str">
        <f>VLOOKUP(Table8[[#This Row],[Document ID]],Table1[],7,FALSE)</f>
        <v>First NDC</v>
      </c>
      <c r="F1614" s="233" t="str">
        <f>VLOOKUP(Table8[[#This Row],[Document ID]],Table1[],8,FALSE)</f>
        <v>NDC 1.0</v>
      </c>
      <c r="G1614" s="233" t="str">
        <f>VLOOKUP(Table8[[#This Row],[Document ID]],Table1[],10,FALSE)</f>
        <v>Archived</v>
      </c>
      <c r="H1614" s="43" t="s">
        <v>2343</v>
      </c>
      <c r="I1614" s="43" t="s">
        <v>2344</v>
      </c>
      <c r="J1614" s="44" t="s">
        <v>2405</v>
      </c>
      <c r="K1614" s="44" t="s">
        <v>3830</v>
      </c>
      <c r="L1614" s="44" t="s">
        <v>2471</v>
      </c>
      <c r="M1614" s="43"/>
      <c r="N1614" s="113"/>
      <c r="O1614" s="113"/>
      <c r="P1614" s="113"/>
      <c r="Q1614" s="319"/>
      <c r="R1614" s="113"/>
      <c r="S1614" s="319"/>
      <c r="T1614" s="319"/>
      <c r="U1614" s="319"/>
      <c r="V1614" s="319"/>
      <c r="W1614" s="319"/>
      <c r="X1614" s="319"/>
      <c r="Y1614" s="319"/>
      <c r="Z1614" s="319" t="s">
        <v>1113</v>
      </c>
      <c r="AA1614" s="319"/>
      <c r="AB1614" s="319"/>
      <c r="AC1614" s="319"/>
      <c r="AD1614" s="319"/>
      <c r="AE1614" s="319"/>
      <c r="AF1614" s="319"/>
      <c r="AG1614" s="319"/>
      <c r="AH1614" s="319"/>
      <c r="AI1614" s="319"/>
      <c r="AJ1614" s="319"/>
      <c r="AK1614" s="113"/>
      <c r="AL1614" s="113" t="s">
        <v>1113</v>
      </c>
      <c r="AM1614" s="113"/>
      <c r="AN1614" s="113"/>
      <c r="AO1614" s="43" t="s">
        <v>2348</v>
      </c>
      <c r="AP1614" s="43"/>
      <c r="AQ1614" s="236" t="str">
        <f>VLOOKUP(Table8[[#This Row],[Instrument]],Def_Targets!$D$73:$E$159,2,FALSE)</f>
        <v>S_PTIntegration</v>
      </c>
      <c r="AR1614" s="233" t="str">
        <f>VLOOKUP(Table8[[#This Row],[Country Code]],Table29[],3,FALSE)</f>
        <v>Non-Annex I</v>
      </c>
      <c r="AS1614" s="233" t="str">
        <f>VLOOKUP(Table8[[#This Row],[Country Code]],Table29[],4,FALSE)</f>
        <v>Asia</v>
      </c>
      <c r="AT1614" s="233" t="str">
        <f>VLOOKUP(Table8[[#This Row],[Country Code]],Table29[],5,FALSE)</f>
        <v>Middle-income</v>
      </c>
      <c r="AU1614" s="233" t="str">
        <f>VLOOKUP(Table8[[#This Row],[Country Code]],Table29[],6,FALSE)</f>
        <v>no</v>
      </c>
      <c r="AV1614" s="233" t="str">
        <f>VLOOKUP(Table8[[#This Row],[Country Code]],Table29[],7,FALSE)</f>
        <v>no</v>
      </c>
      <c r="AW1614" s="233" t="str">
        <f>VLOOKUP(Table8[[#This Row],[Country Code]],Table29[],8,FALSE)</f>
        <v>non-OECD</v>
      </c>
      <c r="AX1614" s="233" t="str">
        <f>VLOOKUP(Table8[[#This Row],[Country Code]],Table29[],9,FALSE)</f>
        <v>no</v>
      </c>
      <c r="AY1614" s="233" t="str">
        <f>VLOOKUP(Table8[[#This Row],[Country Code]],Table29[],10,FALSE)</f>
        <v>no</v>
      </c>
      <c r="AZ1614" s="235">
        <f>VLOOKUP(Table8[[#This Row],[Country Code]],Table29[],23,FALSE)</f>
        <v>532.37448361891995</v>
      </c>
      <c r="BA1614" s="235">
        <f>VLOOKUP(Table8[[#This Row],[Country Code]],Table29[],24,FALSE)</f>
        <v>44.891195611563681</v>
      </c>
      <c r="BB1614" s="320"/>
      <c r="BC1614" s="320"/>
    </row>
    <row r="1615" spans="1:55" ht="30" hidden="1" x14ac:dyDescent="0.25">
      <c r="A1615" s="373">
        <v>17690</v>
      </c>
      <c r="B1615" s="233" t="str">
        <f>VLOOKUP(Table8[[#This Row],[Document ID]],Table1[],2,FALSE)</f>
        <v>PAK</v>
      </c>
      <c r="C1615" s="233" t="str">
        <f>VLOOKUP(Table8[[#This Row],[Document ID]],Table1[],3,FALSE)</f>
        <v>Pakistan</v>
      </c>
      <c r="D1615" s="243" t="str">
        <f>VLOOKUP(Table8[[#This Row],[Document ID]],Table1[],5,FALSE)</f>
        <v>NDC</v>
      </c>
      <c r="E1615" s="233" t="str">
        <f>VLOOKUP(Table8[[#This Row],[Document ID]],Table1[],7,FALSE)</f>
        <v>First NDC</v>
      </c>
      <c r="F1615" s="236" t="str">
        <f>VLOOKUP(Table8[[#This Row],[Document ID]],Table1[],8,FALSE)</f>
        <v>NDC 1.0</v>
      </c>
      <c r="G1615" s="236" t="str">
        <f>VLOOKUP(Table8[[#This Row],[Document ID]],Table1[],10,FALSE)</f>
        <v>Archived</v>
      </c>
      <c r="H1615" s="43" t="s">
        <v>2343</v>
      </c>
      <c r="I1615" s="43" t="s">
        <v>2344</v>
      </c>
      <c r="J1615" s="44" t="s">
        <v>2549</v>
      </c>
      <c r="K1615" s="44" t="s">
        <v>3831</v>
      </c>
      <c r="L1615" s="44" t="s">
        <v>2347</v>
      </c>
      <c r="M1615" s="43"/>
      <c r="N1615" s="113"/>
      <c r="O1615" s="113"/>
      <c r="P1615" s="113"/>
      <c r="Q1615" s="319"/>
      <c r="R1615" s="319"/>
      <c r="S1615" s="319"/>
      <c r="T1615" s="319"/>
      <c r="U1615" s="319"/>
      <c r="V1615" s="319"/>
      <c r="W1615" s="319"/>
      <c r="X1615" s="319"/>
      <c r="Y1615" s="113" t="s">
        <v>1113</v>
      </c>
      <c r="Z1615" s="113"/>
      <c r="AA1615" s="319"/>
      <c r="AB1615" s="319"/>
      <c r="AC1615" s="319"/>
      <c r="AD1615" s="319"/>
      <c r="AE1615" s="319"/>
      <c r="AF1615" s="319"/>
      <c r="AG1615" s="319"/>
      <c r="AH1615" s="319"/>
      <c r="AI1615" s="319"/>
      <c r="AJ1615" s="319"/>
      <c r="AK1615" s="319"/>
      <c r="AL1615" s="113" t="s">
        <v>1113</v>
      </c>
      <c r="AM1615" s="319"/>
      <c r="AN1615" s="319"/>
      <c r="AO1615" s="43" t="s">
        <v>2348</v>
      </c>
      <c r="AP1615" s="44"/>
      <c r="AQ1615" s="236" t="str">
        <f>VLOOKUP(Table8[[#This Row],[Instrument]],Def_Targets!$D$73:$E$159,2,FALSE)</f>
        <v>S_BRT</v>
      </c>
      <c r="AR1615" s="233" t="str">
        <f>VLOOKUP(Table8[[#This Row],[Country Code]],Table29[],3,FALSE)</f>
        <v>Non-Annex I</v>
      </c>
      <c r="AS1615" s="233" t="str">
        <f>VLOOKUP(Table8[[#This Row],[Country Code]],Table29[],4,FALSE)</f>
        <v>Asia</v>
      </c>
      <c r="AT1615" s="233" t="str">
        <f>VLOOKUP(Table8[[#This Row],[Country Code]],Table29[],5,FALSE)</f>
        <v>Middle-income</v>
      </c>
      <c r="AU1615" s="233" t="str">
        <f>VLOOKUP(Table8[[#This Row],[Country Code]],Table29[],6,FALSE)</f>
        <v>no</v>
      </c>
      <c r="AV1615" s="233" t="str">
        <f>VLOOKUP(Table8[[#This Row],[Country Code]],Table29[],7,FALSE)</f>
        <v>no</v>
      </c>
      <c r="AW1615" s="233" t="str">
        <f>VLOOKUP(Table8[[#This Row],[Country Code]],Table29[],8,FALSE)</f>
        <v>non-OECD</v>
      </c>
      <c r="AX1615" s="233" t="str">
        <f>VLOOKUP(Table8[[#This Row],[Country Code]],Table29[],9,FALSE)</f>
        <v>no</v>
      </c>
      <c r="AY1615" s="233" t="str">
        <f>VLOOKUP(Table8[[#This Row],[Country Code]],Table29[],10,FALSE)</f>
        <v>no</v>
      </c>
      <c r="AZ1615" s="235">
        <f>VLOOKUP(Table8[[#This Row],[Country Code]],Table29[],23,FALSE)</f>
        <v>532.37448361891995</v>
      </c>
      <c r="BA1615" s="235">
        <f>VLOOKUP(Table8[[#This Row],[Country Code]],Table29[],24,FALSE)</f>
        <v>44.891195611563681</v>
      </c>
      <c r="BB1615" s="320"/>
      <c r="BC1615" s="320"/>
    </row>
    <row r="1616" spans="1:55" hidden="1" x14ac:dyDescent="0.25">
      <c r="A1616" s="373">
        <v>17690</v>
      </c>
      <c r="B1616" s="233" t="str">
        <f>VLOOKUP(Table8[[#This Row],[Document ID]],Table1[],2,FALSE)</f>
        <v>PAK</v>
      </c>
      <c r="C1616" s="233" t="str">
        <f>VLOOKUP(Table8[[#This Row],[Document ID]],Table1[],3,FALSE)</f>
        <v>Pakistan</v>
      </c>
      <c r="D1616" s="243" t="str">
        <f>VLOOKUP(Table8[[#This Row],[Document ID]],Table1[],5,FALSE)</f>
        <v>NDC</v>
      </c>
      <c r="E1616" s="233" t="str">
        <f>VLOOKUP(Table8[[#This Row],[Document ID]],Table1[],7,FALSE)</f>
        <v>First NDC</v>
      </c>
      <c r="F1616" s="236" t="str">
        <f>VLOOKUP(Table8[[#This Row],[Document ID]],Table1[],8,FALSE)</f>
        <v>NDC 1.0</v>
      </c>
      <c r="G1616" s="236" t="str">
        <f>VLOOKUP(Table8[[#This Row],[Document ID]],Table1[],10,FALSE)</f>
        <v>Archived</v>
      </c>
      <c r="H1616" s="43" t="s">
        <v>2350</v>
      </c>
      <c r="I1616" s="43" t="s">
        <v>2456</v>
      </c>
      <c r="J1616" s="44" t="s">
        <v>2457</v>
      </c>
      <c r="K1616" s="44" t="s">
        <v>3832</v>
      </c>
      <c r="L1616" s="44" t="s">
        <v>2347</v>
      </c>
      <c r="M1616" s="43"/>
      <c r="N1616" s="113"/>
      <c r="O1616" s="113"/>
      <c r="P1616" s="113"/>
      <c r="Q1616" s="319"/>
      <c r="R1616" s="319"/>
      <c r="S1616" s="319"/>
      <c r="T1616" s="319"/>
      <c r="U1616" s="319"/>
      <c r="V1616" s="319"/>
      <c r="W1616" s="319"/>
      <c r="X1616" s="319"/>
      <c r="Y1616" s="319"/>
      <c r="Z1616" s="319" t="s">
        <v>1113</v>
      </c>
      <c r="AA1616" s="319"/>
      <c r="AB1616" s="319"/>
      <c r="AC1616" s="319"/>
      <c r="AD1616" s="319"/>
      <c r="AE1616" s="319"/>
      <c r="AF1616" s="319"/>
      <c r="AG1616" s="319"/>
      <c r="AH1616" s="319"/>
      <c r="AI1616" s="319"/>
      <c r="AJ1616" s="319"/>
      <c r="AK1616" s="319" t="s">
        <v>1113</v>
      </c>
      <c r="AL1616" s="319"/>
      <c r="AM1616" s="319"/>
      <c r="AN1616" s="319"/>
      <c r="AO1616" s="44" t="s">
        <v>2334</v>
      </c>
      <c r="AP1616" s="44"/>
      <c r="AQ1616" s="236" t="str">
        <f>VLOOKUP(Table8[[#This Row],[Instrument]],Def_Targets!$D$73:$E$159,2,FALSE)</f>
        <v>S_Infraimprove</v>
      </c>
      <c r="AR1616" s="233" t="str">
        <f>VLOOKUP(Table8[[#This Row],[Country Code]],Table29[],3,FALSE)</f>
        <v>Non-Annex I</v>
      </c>
      <c r="AS1616" s="233" t="str">
        <f>VLOOKUP(Table8[[#This Row],[Country Code]],Table29[],4,FALSE)</f>
        <v>Asia</v>
      </c>
      <c r="AT1616" s="233" t="str">
        <f>VLOOKUP(Table8[[#This Row],[Country Code]],Table29[],5,FALSE)</f>
        <v>Middle-income</v>
      </c>
      <c r="AU1616" s="233" t="str">
        <f>VLOOKUP(Table8[[#This Row],[Country Code]],Table29[],6,FALSE)</f>
        <v>no</v>
      </c>
      <c r="AV1616" s="233" t="str">
        <f>VLOOKUP(Table8[[#This Row],[Country Code]],Table29[],7,FALSE)</f>
        <v>no</v>
      </c>
      <c r="AW1616" s="233" t="str">
        <f>VLOOKUP(Table8[[#This Row],[Country Code]],Table29[],8,FALSE)</f>
        <v>non-OECD</v>
      </c>
      <c r="AX1616" s="233" t="str">
        <f>VLOOKUP(Table8[[#This Row],[Country Code]],Table29[],9,FALSE)</f>
        <v>no</v>
      </c>
      <c r="AY1616" s="233" t="str">
        <f>VLOOKUP(Table8[[#This Row],[Country Code]],Table29[],10,FALSE)</f>
        <v>no</v>
      </c>
      <c r="AZ1616" s="235">
        <f>VLOOKUP(Table8[[#This Row],[Country Code]],Table29[],23,FALSE)</f>
        <v>532.37448361891995</v>
      </c>
      <c r="BA1616" s="235">
        <f>VLOOKUP(Table8[[#This Row],[Country Code]],Table29[],24,FALSE)</f>
        <v>44.891195611563681</v>
      </c>
      <c r="BB1616" s="320"/>
      <c r="BC1616" s="320"/>
    </row>
    <row r="1617" spans="1:55" hidden="1" x14ac:dyDescent="0.25">
      <c r="A1617" s="373">
        <v>17690</v>
      </c>
      <c r="B1617" s="233" t="str">
        <f>VLOOKUP(Table8[[#This Row],[Document ID]],Table1[],2,FALSE)</f>
        <v>PAK</v>
      </c>
      <c r="C1617" s="233" t="str">
        <f>VLOOKUP(Table8[[#This Row],[Document ID]],Table1[],3,FALSE)</f>
        <v>Pakistan</v>
      </c>
      <c r="D1617" s="243" t="str">
        <f>VLOOKUP(Table8[[#This Row],[Document ID]],Table1[],5,FALSE)</f>
        <v>NDC</v>
      </c>
      <c r="E1617" s="233" t="str">
        <f>VLOOKUP(Table8[[#This Row],[Document ID]],Table1[],7,FALSE)</f>
        <v>First NDC</v>
      </c>
      <c r="F1617" s="233" t="str">
        <f>VLOOKUP(Table8[[#This Row],[Document ID]],Table1[],8,FALSE)</f>
        <v>NDC 1.0</v>
      </c>
      <c r="G1617" s="233" t="str">
        <f>VLOOKUP(Table8[[#This Row],[Document ID]],Table1[],10,FALSE)</f>
        <v>Archived</v>
      </c>
      <c r="H1617" s="43" t="s">
        <v>2350</v>
      </c>
      <c r="I1617" s="43" t="s">
        <v>2407</v>
      </c>
      <c r="J1617" s="44" t="s">
        <v>2408</v>
      </c>
      <c r="K1617" s="44" t="s">
        <v>3833</v>
      </c>
      <c r="L1617" s="44" t="s">
        <v>2333</v>
      </c>
      <c r="M1617" s="43"/>
      <c r="N1617" s="113"/>
      <c r="O1617" s="113"/>
      <c r="P1617" s="113"/>
      <c r="Q1617" s="319"/>
      <c r="R1617" s="113"/>
      <c r="S1617" s="319"/>
      <c r="T1617" s="319"/>
      <c r="U1617" s="319"/>
      <c r="V1617" s="319"/>
      <c r="W1617" s="319"/>
      <c r="X1617" s="319"/>
      <c r="Y1617" s="319"/>
      <c r="Z1617" s="319" t="s">
        <v>1113</v>
      </c>
      <c r="AA1617" s="319"/>
      <c r="AB1617" s="319"/>
      <c r="AC1617" s="319"/>
      <c r="AD1617" s="319"/>
      <c r="AE1617" s="319"/>
      <c r="AF1617" s="319"/>
      <c r="AG1617" s="319"/>
      <c r="AH1617" s="319"/>
      <c r="AI1617" s="319"/>
      <c r="AJ1617" s="319"/>
      <c r="AK1617" s="113" t="s">
        <v>1113</v>
      </c>
      <c r="AL1617" s="113"/>
      <c r="AM1617" s="113"/>
      <c r="AN1617" s="113"/>
      <c r="AO1617" s="44" t="s">
        <v>2334</v>
      </c>
      <c r="AP1617" s="43"/>
      <c r="AQ1617" s="236" t="str">
        <f>VLOOKUP(Table8[[#This Row],[Instrument]],Def_Targets!$D$73:$E$159,2,FALSE)</f>
        <v>I_Education</v>
      </c>
      <c r="AR1617" s="233" t="str">
        <f>VLOOKUP(Table8[[#This Row],[Country Code]],Table29[],3,FALSE)</f>
        <v>Non-Annex I</v>
      </c>
      <c r="AS1617" s="233" t="str">
        <f>VLOOKUP(Table8[[#This Row],[Country Code]],Table29[],4,FALSE)</f>
        <v>Asia</v>
      </c>
      <c r="AT1617" s="233" t="str">
        <f>VLOOKUP(Table8[[#This Row],[Country Code]],Table29[],5,FALSE)</f>
        <v>Middle-income</v>
      </c>
      <c r="AU1617" s="233" t="str">
        <f>VLOOKUP(Table8[[#This Row],[Country Code]],Table29[],6,FALSE)</f>
        <v>no</v>
      </c>
      <c r="AV1617" s="233" t="str">
        <f>VLOOKUP(Table8[[#This Row],[Country Code]],Table29[],7,FALSE)</f>
        <v>no</v>
      </c>
      <c r="AW1617" s="233" t="str">
        <f>VLOOKUP(Table8[[#This Row],[Country Code]],Table29[],8,FALSE)</f>
        <v>non-OECD</v>
      </c>
      <c r="AX1617" s="233" t="str">
        <f>VLOOKUP(Table8[[#This Row],[Country Code]],Table29[],9,FALSE)</f>
        <v>no</v>
      </c>
      <c r="AY1617" s="233" t="str">
        <f>VLOOKUP(Table8[[#This Row],[Country Code]],Table29[],10,FALSE)</f>
        <v>no</v>
      </c>
      <c r="AZ1617" s="235">
        <f>VLOOKUP(Table8[[#This Row],[Country Code]],Table29[],23,FALSE)</f>
        <v>532.37448361891995</v>
      </c>
      <c r="BA1617" s="235">
        <f>VLOOKUP(Table8[[#This Row],[Country Code]],Table29[],24,FALSE)</f>
        <v>44.891195611563681</v>
      </c>
      <c r="BB1617" s="320"/>
      <c r="BC1617" s="320"/>
    </row>
    <row r="1618" spans="1:55" ht="30" hidden="1" x14ac:dyDescent="0.25">
      <c r="A1618" s="373">
        <v>17690</v>
      </c>
      <c r="B1618" s="233" t="str">
        <f>VLOOKUP(Table8[[#This Row],[Document ID]],Table1[],2,FALSE)</f>
        <v>PAK</v>
      </c>
      <c r="C1618" s="233" t="str">
        <f>VLOOKUP(Table8[[#This Row],[Document ID]],Table1[],3,FALSE)</f>
        <v>Pakistan</v>
      </c>
      <c r="D1618" s="243" t="str">
        <f>VLOOKUP(Table8[[#This Row],[Document ID]],Table1[],5,FALSE)</f>
        <v>NDC</v>
      </c>
      <c r="E1618" s="233" t="str">
        <f>VLOOKUP(Table8[[#This Row],[Document ID]],Table1[],7,FALSE)</f>
        <v>First NDC</v>
      </c>
      <c r="F1618" s="236" t="str">
        <f>VLOOKUP(Table8[[#This Row],[Document ID]],Table1[],8,FALSE)</f>
        <v>NDC 1.0</v>
      </c>
      <c r="G1618" s="236" t="str">
        <f>VLOOKUP(Table8[[#This Row],[Document ID]],Table1[],10,FALSE)</f>
        <v>Archived</v>
      </c>
      <c r="H1618" s="43" t="s">
        <v>2350</v>
      </c>
      <c r="I1618" s="43" t="s">
        <v>2407</v>
      </c>
      <c r="J1618" s="44" t="s">
        <v>2408</v>
      </c>
      <c r="K1618" s="44" t="s">
        <v>3834</v>
      </c>
      <c r="L1618" s="44" t="s">
        <v>2373</v>
      </c>
      <c r="M1618" s="43"/>
      <c r="N1618" s="113" t="s">
        <v>1113</v>
      </c>
      <c r="O1618" s="113"/>
      <c r="P1618" s="113"/>
      <c r="Q1618" s="319"/>
      <c r="R1618" s="319"/>
      <c r="S1618" s="319"/>
      <c r="T1618" s="319"/>
      <c r="U1618" s="319"/>
      <c r="V1618" s="319"/>
      <c r="W1618" s="319"/>
      <c r="X1618" s="319"/>
      <c r="Y1618" s="319"/>
      <c r="Z1618" s="319"/>
      <c r="AA1618" s="319"/>
      <c r="AB1618" s="319"/>
      <c r="AC1618" s="319"/>
      <c r="AD1618" s="319"/>
      <c r="AE1618" s="319"/>
      <c r="AF1618" s="319"/>
      <c r="AG1618" s="319"/>
      <c r="AH1618" s="319"/>
      <c r="AI1618" s="319"/>
      <c r="AJ1618" s="319"/>
      <c r="AK1618" s="319" t="s">
        <v>1113</v>
      </c>
      <c r="AL1618" s="319"/>
      <c r="AM1618" s="319"/>
      <c r="AN1618" s="319"/>
      <c r="AO1618" s="44" t="s">
        <v>2334</v>
      </c>
      <c r="AP1618" s="44"/>
      <c r="AQ1618" s="236" t="str">
        <f>VLOOKUP(Table8[[#This Row],[Instrument]],Def_Targets!$D$73:$E$159,2,FALSE)</f>
        <v>I_Education</v>
      </c>
      <c r="AR1618" s="233" t="str">
        <f>VLOOKUP(Table8[[#This Row],[Country Code]],Table29[],3,FALSE)</f>
        <v>Non-Annex I</v>
      </c>
      <c r="AS1618" s="233" t="str">
        <f>VLOOKUP(Table8[[#This Row],[Country Code]],Table29[],4,FALSE)</f>
        <v>Asia</v>
      </c>
      <c r="AT1618" s="233" t="str">
        <f>VLOOKUP(Table8[[#This Row],[Country Code]],Table29[],5,FALSE)</f>
        <v>Middle-income</v>
      </c>
      <c r="AU1618" s="233" t="str">
        <f>VLOOKUP(Table8[[#This Row],[Country Code]],Table29[],6,FALSE)</f>
        <v>no</v>
      </c>
      <c r="AV1618" s="233" t="str">
        <f>VLOOKUP(Table8[[#This Row],[Country Code]],Table29[],7,FALSE)</f>
        <v>no</v>
      </c>
      <c r="AW1618" s="233" t="str">
        <f>VLOOKUP(Table8[[#This Row],[Country Code]],Table29[],8,FALSE)</f>
        <v>non-OECD</v>
      </c>
      <c r="AX1618" s="233" t="str">
        <f>VLOOKUP(Table8[[#This Row],[Country Code]],Table29[],9,FALSE)</f>
        <v>no</v>
      </c>
      <c r="AY1618" s="233" t="str">
        <f>VLOOKUP(Table8[[#This Row],[Country Code]],Table29[],10,FALSE)</f>
        <v>no</v>
      </c>
      <c r="AZ1618" s="235">
        <f>VLOOKUP(Table8[[#This Row],[Country Code]],Table29[],23,FALSE)</f>
        <v>532.37448361891995</v>
      </c>
      <c r="BA1618" s="235">
        <f>VLOOKUP(Table8[[#This Row],[Country Code]],Table29[],24,FALSE)</f>
        <v>44.891195611563681</v>
      </c>
      <c r="BB1618" s="320"/>
      <c r="BC1618" s="320"/>
    </row>
    <row r="1619" spans="1:55" hidden="1" x14ac:dyDescent="0.25">
      <c r="A1619" s="373">
        <v>17690</v>
      </c>
      <c r="B1619" s="233" t="str">
        <f>VLOOKUP(Table8[[#This Row],[Document ID]],Table1[],2,FALSE)</f>
        <v>PAK</v>
      </c>
      <c r="C1619" s="233" t="str">
        <f>VLOOKUP(Table8[[#This Row],[Document ID]],Table1[],3,FALSE)</f>
        <v>Pakistan</v>
      </c>
      <c r="D1619" s="243" t="str">
        <f>VLOOKUP(Table8[[#This Row],[Document ID]],Table1[],5,FALSE)</f>
        <v>NDC</v>
      </c>
      <c r="E1619" s="233" t="str">
        <f>VLOOKUP(Table8[[#This Row],[Document ID]],Table1[],7,FALSE)</f>
        <v>First NDC</v>
      </c>
      <c r="F1619" s="233" t="str">
        <f>VLOOKUP(Table8[[#This Row],[Document ID]],Table1[],8,FALSE)</f>
        <v>NDC 1.0</v>
      </c>
      <c r="G1619" s="233" t="str">
        <f>VLOOKUP(Table8[[#This Row],[Document ID]],Table1[],10,FALSE)</f>
        <v>Archived</v>
      </c>
      <c r="H1619" s="43" t="s">
        <v>2350</v>
      </c>
      <c r="I1619" s="43" t="s">
        <v>2407</v>
      </c>
      <c r="J1619" s="44" t="s">
        <v>2408</v>
      </c>
      <c r="K1619" s="44" t="s">
        <v>3835</v>
      </c>
      <c r="L1619" s="44" t="s">
        <v>2333</v>
      </c>
      <c r="M1619" s="43"/>
      <c r="N1619" s="113" t="s">
        <v>1113</v>
      </c>
      <c r="O1619" s="113"/>
      <c r="P1619" s="113"/>
      <c r="Q1619" s="319"/>
      <c r="R1619" s="113"/>
      <c r="S1619" s="319"/>
      <c r="T1619" s="319"/>
      <c r="U1619" s="319"/>
      <c r="V1619" s="319"/>
      <c r="W1619" s="319"/>
      <c r="X1619" s="319"/>
      <c r="Y1619" s="319"/>
      <c r="Z1619" s="319"/>
      <c r="AA1619" s="319"/>
      <c r="AB1619" s="319"/>
      <c r="AC1619" s="319"/>
      <c r="AD1619" s="319"/>
      <c r="AE1619" s="319"/>
      <c r="AF1619" s="319"/>
      <c r="AG1619" s="319"/>
      <c r="AH1619" s="319"/>
      <c r="AI1619" s="319"/>
      <c r="AJ1619" s="319"/>
      <c r="AK1619" s="113" t="s">
        <v>1113</v>
      </c>
      <c r="AL1619" s="113"/>
      <c r="AM1619" s="113"/>
      <c r="AN1619" s="113"/>
      <c r="AO1619" s="44" t="s">
        <v>2334</v>
      </c>
      <c r="AP1619" s="43"/>
      <c r="AQ1619" s="236" t="str">
        <f>VLOOKUP(Table8[[#This Row],[Instrument]],Def_Targets!$D$73:$E$159,2,FALSE)</f>
        <v>I_Education</v>
      </c>
      <c r="AR1619" s="233" t="str">
        <f>VLOOKUP(Table8[[#This Row],[Country Code]],Table29[],3,FALSE)</f>
        <v>Non-Annex I</v>
      </c>
      <c r="AS1619" s="233" t="str">
        <f>VLOOKUP(Table8[[#This Row],[Country Code]],Table29[],4,FALSE)</f>
        <v>Asia</v>
      </c>
      <c r="AT1619" s="233" t="str">
        <f>VLOOKUP(Table8[[#This Row],[Country Code]],Table29[],5,FALSE)</f>
        <v>Middle-income</v>
      </c>
      <c r="AU1619" s="233" t="str">
        <f>VLOOKUP(Table8[[#This Row],[Country Code]],Table29[],6,FALSE)</f>
        <v>no</v>
      </c>
      <c r="AV1619" s="233" t="str">
        <f>VLOOKUP(Table8[[#This Row],[Country Code]],Table29[],7,FALSE)</f>
        <v>no</v>
      </c>
      <c r="AW1619" s="233" t="str">
        <f>VLOOKUP(Table8[[#This Row],[Country Code]],Table29[],8,FALSE)</f>
        <v>non-OECD</v>
      </c>
      <c r="AX1619" s="233" t="str">
        <f>VLOOKUP(Table8[[#This Row],[Country Code]],Table29[],9,FALSE)</f>
        <v>no</v>
      </c>
      <c r="AY1619" s="233" t="str">
        <f>VLOOKUP(Table8[[#This Row],[Country Code]],Table29[],10,FALSE)</f>
        <v>no</v>
      </c>
      <c r="AZ1619" s="235">
        <f>VLOOKUP(Table8[[#This Row],[Country Code]],Table29[],23,FALSE)</f>
        <v>532.37448361891995</v>
      </c>
      <c r="BA1619" s="235">
        <f>VLOOKUP(Table8[[#This Row],[Country Code]],Table29[],24,FALSE)</f>
        <v>44.891195611563681</v>
      </c>
      <c r="BB1619" s="320"/>
      <c r="BC1619" s="320"/>
    </row>
    <row r="1620" spans="1:55" hidden="1" x14ac:dyDescent="0.25">
      <c r="A1620" s="373">
        <v>23380</v>
      </c>
      <c r="B1620" s="233" t="str">
        <f>VLOOKUP(Table8[[#This Row],[Document ID]],Table1[],2,FALSE)</f>
        <v>PAK</v>
      </c>
      <c r="C1620" s="233" t="str">
        <f>VLOOKUP(Table8[[#This Row],[Document ID]],Table1[],3,FALSE)</f>
        <v>Pakistan</v>
      </c>
      <c r="D1620" s="243" t="str">
        <f>VLOOKUP(Table8[[#This Row],[Document ID]],Table1[],5,FALSE)</f>
        <v>NDC</v>
      </c>
      <c r="E1620" s="233" t="str">
        <f>VLOOKUP(Table8[[#This Row],[Document ID]],Table1[],7,FALSE)</f>
        <v>First NDC updated</v>
      </c>
      <c r="F1620" s="233" t="str">
        <f>VLOOKUP(Table8[[#This Row],[Document ID]],Table1[],8,FALSE)</f>
        <v>NDC 1.2</v>
      </c>
      <c r="G1620" s="233" t="str">
        <f>VLOOKUP(Table8[[#This Row],[Document ID]],Table1[],10,FALSE)</f>
        <v>Active</v>
      </c>
      <c r="H1620" s="43" t="s">
        <v>2358</v>
      </c>
      <c r="I1620" s="43" t="s">
        <v>2359</v>
      </c>
      <c r="J1620" s="44" t="s">
        <v>2360</v>
      </c>
      <c r="K1620" s="44" t="s">
        <v>3836</v>
      </c>
      <c r="L1620" s="44" t="s">
        <v>2333</v>
      </c>
      <c r="M1620" s="43">
        <v>29</v>
      </c>
      <c r="N1620" s="113"/>
      <c r="O1620" s="113"/>
      <c r="P1620" s="113"/>
      <c r="Q1620" s="113"/>
      <c r="R1620" s="113"/>
      <c r="S1620" s="113"/>
      <c r="T1620" s="113" t="s">
        <v>1113</v>
      </c>
      <c r="U1620" s="113"/>
      <c r="V1620" s="113"/>
      <c r="W1620" s="113"/>
      <c r="X1620" s="113" t="s">
        <v>1113</v>
      </c>
      <c r="Y1620" s="113"/>
      <c r="Z1620" s="113"/>
      <c r="AA1620" s="113"/>
      <c r="AB1620" s="113"/>
      <c r="AC1620" s="113"/>
      <c r="AD1620" s="113"/>
      <c r="AE1620" s="113"/>
      <c r="AF1620" s="113"/>
      <c r="AG1620" s="113"/>
      <c r="AH1620" s="113"/>
      <c r="AI1620" s="113"/>
      <c r="AJ1620" s="113"/>
      <c r="AK1620" s="113" t="s">
        <v>1113</v>
      </c>
      <c r="AL1620" s="113"/>
      <c r="AM1620" s="113"/>
      <c r="AN1620" s="113"/>
      <c r="AO1620" s="44" t="s">
        <v>2334</v>
      </c>
      <c r="AP1620" s="43"/>
      <c r="AQ1620" s="236" t="str">
        <f>VLOOKUP(Table8[[#This Row],[Instrument]],Def_Targets!$D$73:$E$159,2,FALSE)</f>
        <v>I_Emobility</v>
      </c>
      <c r="AR1620" s="233" t="str">
        <f>VLOOKUP(Table8[[#This Row],[Country Code]],Table29[],3,FALSE)</f>
        <v>Non-Annex I</v>
      </c>
      <c r="AS1620" s="233" t="str">
        <f>VLOOKUP(Table8[[#This Row],[Country Code]],Table29[],4,FALSE)</f>
        <v>Asia</v>
      </c>
      <c r="AT1620" s="233" t="str">
        <f>VLOOKUP(Table8[[#This Row],[Country Code]],Table29[],5,FALSE)</f>
        <v>Middle-income</v>
      </c>
      <c r="AU1620" s="233" t="str">
        <f>VLOOKUP(Table8[[#This Row],[Country Code]],Table29[],6,FALSE)</f>
        <v>no</v>
      </c>
      <c r="AV1620" s="233" t="str">
        <f>VLOOKUP(Table8[[#This Row],[Country Code]],Table29[],7,FALSE)</f>
        <v>no</v>
      </c>
      <c r="AW1620" s="233" t="str">
        <f>VLOOKUP(Table8[[#This Row],[Country Code]],Table29[],8,FALSE)</f>
        <v>non-OECD</v>
      </c>
      <c r="AX1620" s="233" t="str">
        <f>VLOOKUP(Table8[[#This Row],[Country Code]],Table29[],9,FALSE)</f>
        <v>no</v>
      </c>
      <c r="AY1620" s="233" t="str">
        <f>VLOOKUP(Table8[[#This Row],[Country Code]],Table29[],10,FALSE)</f>
        <v>no</v>
      </c>
      <c r="AZ1620" s="235">
        <f>VLOOKUP(Table8[[#This Row],[Country Code]],Table29[],23,FALSE)</f>
        <v>532.37448361891995</v>
      </c>
      <c r="BA1620" s="235">
        <f>VLOOKUP(Table8[[#This Row],[Country Code]],Table29[],24,FALSE)</f>
        <v>44.891195611563681</v>
      </c>
      <c r="BB1620" s="320"/>
      <c r="BC1620" s="320"/>
    </row>
    <row r="1621" spans="1:55" ht="45" hidden="1" x14ac:dyDescent="0.25">
      <c r="A1621" s="373">
        <v>23380</v>
      </c>
      <c r="B1621" s="233" t="str">
        <f>VLOOKUP(Table8[[#This Row],[Document ID]],Table1[],2,FALSE)</f>
        <v>PAK</v>
      </c>
      <c r="C1621" s="233" t="str">
        <f>VLOOKUP(Table8[[#This Row],[Document ID]],Table1[],3,FALSE)</f>
        <v>Pakistan</v>
      </c>
      <c r="D1621" s="243" t="str">
        <f>VLOOKUP(Table8[[#This Row],[Document ID]],Table1[],5,FALSE)</f>
        <v>NDC</v>
      </c>
      <c r="E1621" s="233" t="str">
        <f>VLOOKUP(Table8[[#This Row],[Document ID]],Table1[],7,FALSE)</f>
        <v>First NDC updated</v>
      </c>
      <c r="F1621" s="233" t="str">
        <f>VLOOKUP(Table8[[#This Row],[Document ID]],Table1[],8,FALSE)</f>
        <v>NDC 1.2</v>
      </c>
      <c r="G1621" s="233" t="str">
        <f>VLOOKUP(Table8[[#This Row],[Document ID]],Table1[],10,FALSE)</f>
        <v>Active</v>
      </c>
      <c r="H1621" s="44" t="s">
        <v>2338</v>
      </c>
      <c r="I1621" s="44" t="s">
        <v>2339</v>
      </c>
      <c r="J1621" s="44" t="s">
        <v>2425</v>
      </c>
      <c r="K1621" s="44" t="s">
        <v>3837</v>
      </c>
      <c r="L1621" s="44" t="s">
        <v>2333</v>
      </c>
      <c r="M1621" s="43">
        <v>29</v>
      </c>
      <c r="N1621" s="113"/>
      <c r="O1621" s="113"/>
      <c r="P1621" s="113"/>
      <c r="Q1621" s="113"/>
      <c r="R1621" s="113"/>
      <c r="S1621" s="113" t="s">
        <v>1113</v>
      </c>
      <c r="T1621" s="113"/>
      <c r="U1621" s="113"/>
      <c r="V1621" s="113"/>
      <c r="W1621" s="113"/>
      <c r="X1621" s="113"/>
      <c r="Y1621" s="113"/>
      <c r="Z1621" s="113"/>
      <c r="AA1621" s="113"/>
      <c r="AB1621" s="113"/>
      <c r="AC1621" s="113"/>
      <c r="AD1621" s="113"/>
      <c r="AE1621" s="113"/>
      <c r="AF1621" s="113"/>
      <c r="AG1621" s="113"/>
      <c r="AH1621" s="113"/>
      <c r="AI1621" s="113"/>
      <c r="AJ1621" s="113"/>
      <c r="AK1621" s="113" t="s">
        <v>1113</v>
      </c>
      <c r="AL1621" s="113"/>
      <c r="AM1621" s="113"/>
      <c r="AN1621" s="113"/>
      <c r="AO1621" s="44" t="s">
        <v>2334</v>
      </c>
      <c r="AP1621" s="43"/>
      <c r="AQ1621" s="236" t="str">
        <f>VLOOKUP(Table8[[#This Row],[Instrument]],Def_Targets!$D$73:$E$159,2,FALSE)</f>
        <v>I_Efficiencystd</v>
      </c>
      <c r="AR1621" s="233" t="str">
        <f>VLOOKUP(Table8[[#This Row],[Country Code]],Table29[],3,FALSE)</f>
        <v>Non-Annex I</v>
      </c>
      <c r="AS1621" s="233" t="str">
        <f>VLOOKUP(Table8[[#This Row],[Country Code]],Table29[],4,FALSE)</f>
        <v>Asia</v>
      </c>
      <c r="AT1621" s="233" t="str">
        <f>VLOOKUP(Table8[[#This Row],[Country Code]],Table29[],5,FALSE)</f>
        <v>Middle-income</v>
      </c>
      <c r="AU1621" s="233" t="str">
        <f>VLOOKUP(Table8[[#This Row],[Country Code]],Table29[],6,FALSE)</f>
        <v>no</v>
      </c>
      <c r="AV1621" s="233" t="str">
        <f>VLOOKUP(Table8[[#This Row],[Country Code]],Table29[],7,FALSE)</f>
        <v>no</v>
      </c>
      <c r="AW1621" s="233" t="str">
        <f>VLOOKUP(Table8[[#This Row],[Country Code]],Table29[],8,FALSE)</f>
        <v>non-OECD</v>
      </c>
      <c r="AX1621" s="233" t="str">
        <f>VLOOKUP(Table8[[#This Row],[Country Code]],Table29[],9,FALSE)</f>
        <v>no</v>
      </c>
      <c r="AY1621" s="233" t="str">
        <f>VLOOKUP(Table8[[#This Row],[Country Code]],Table29[],10,FALSE)</f>
        <v>no</v>
      </c>
      <c r="AZ1621" s="235">
        <f>VLOOKUP(Table8[[#This Row],[Country Code]],Table29[],23,FALSE)</f>
        <v>532.37448361891995</v>
      </c>
      <c r="BA1621" s="235">
        <f>VLOOKUP(Table8[[#This Row],[Country Code]],Table29[],24,FALSE)</f>
        <v>44.891195611563681</v>
      </c>
      <c r="BB1621" s="320"/>
      <c r="BC1621" s="320"/>
    </row>
    <row r="1622" spans="1:55" ht="60" hidden="1" x14ac:dyDescent="0.25">
      <c r="A1622" s="373">
        <v>23380</v>
      </c>
      <c r="B1622" s="233" t="str">
        <f>VLOOKUP(Table8[[#This Row],[Document ID]],Table1[],2,FALSE)</f>
        <v>PAK</v>
      </c>
      <c r="C1622" s="233" t="str">
        <f>VLOOKUP(Table8[[#This Row],[Document ID]],Table1[],3,FALSE)</f>
        <v>Pakistan</v>
      </c>
      <c r="D1622" s="243" t="str">
        <f>VLOOKUP(Table8[[#This Row],[Document ID]],Table1[],5,FALSE)</f>
        <v>NDC</v>
      </c>
      <c r="E1622" s="233" t="str">
        <f>VLOOKUP(Table8[[#This Row],[Document ID]],Table1[],7,FALSE)</f>
        <v>First NDC updated</v>
      </c>
      <c r="F1622" s="233" t="str">
        <f>VLOOKUP(Table8[[#This Row],[Document ID]],Table1[],8,FALSE)</f>
        <v>NDC 1.2</v>
      </c>
      <c r="G1622" s="233" t="str">
        <f>VLOOKUP(Table8[[#This Row],[Document ID]],Table1[],10,FALSE)</f>
        <v>Active</v>
      </c>
      <c r="H1622" s="43" t="s">
        <v>2343</v>
      </c>
      <c r="I1622" s="43" t="s">
        <v>2344</v>
      </c>
      <c r="J1622" s="44" t="s">
        <v>2549</v>
      </c>
      <c r="K1622" s="44" t="s">
        <v>3838</v>
      </c>
      <c r="L1622" s="44" t="s">
        <v>2347</v>
      </c>
      <c r="M1622" s="43">
        <v>29</v>
      </c>
      <c r="N1622" s="113"/>
      <c r="O1622" s="113"/>
      <c r="P1622" s="113"/>
      <c r="Q1622" s="113"/>
      <c r="R1622" s="113"/>
      <c r="S1622" s="113"/>
      <c r="T1622" s="113"/>
      <c r="U1622" s="113"/>
      <c r="V1622" s="113"/>
      <c r="W1622" s="113"/>
      <c r="X1622" s="113"/>
      <c r="Y1622" s="113" t="s">
        <v>1113</v>
      </c>
      <c r="Z1622" s="113"/>
      <c r="AA1622" s="113"/>
      <c r="AB1622" s="113"/>
      <c r="AC1622" s="113"/>
      <c r="AD1622" s="113"/>
      <c r="AE1622" s="113"/>
      <c r="AF1622" s="113"/>
      <c r="AG1622" s="113"/>
      <c r="AH1622" s="113"/>
      <c r="AI1622" s="113"/>
      <c r="AJ1622" s="113"/>
      <c r="AK1622" s="113"/>
      <c r="AL1622" s="113" t="s">
        <v>1113</v>
      </c>
      <c r="AM1622" s="113"/>
      <c r="AN1622" s="113"/>
      <c r="AO1622" s="43" t="s">
        <v>2348</v>
      </c>
      <c r="AP1622" s="43"/>
      <c r="AQ1622" s="236" t="str">
        <f>VLOOKUP(Table8[[#This Row],[Instrument]],Def_Targets!$D$73:$E$159,2,FALSE)</f>
        <v>S_BRT</v>
      </c>
      <c r="AR1622" s="233" t="str">
        <f>VLOOKUP(Table8[[#This Row],[Country Code]],Table29[],3,FALSE)</f>
        <v>Non-Annex I</v>
      </c>
      <c r="AS1622" s="233" t="str">
        <f>VLOOKUP(Table8[[#This Row],[Country Code]],Table29[],4,FALSE)</f>
        <v>Asia</v>
      </c>
      <c r="AT1622" s="233" t="str">
        <f>VLOOKUP(Table8[[#This Row],[Country Code]],Table29[],5,FALSE)</f>
        <v>Middle-income</v>
      </c>
      <c r="AU1622" s="233" t="str">
        <f>VLOOKUP(Table8[[#This Row],[Country Code]],Table29[],6,FALSE)</f>
        <v>no</v>
      </c>
      <c r="AV1622" s="233" t="str">
        <f>VLOOKUP(Table8[[#This Row],[Country Code]],Table29[],7,FALSE)</f>
        <v>no</v>
      </c>
      <c r="AW1622" s="233" t="str">
        <f>VLOOKUP(Table8[[#This Row],[Country Code]],Table29[],8,FALSE)</f>
        <v>non-OECD</v>
      </c>
      <c r="AX1622" s="233" t="str">
        <f>VLOOKUP(Table8[[#This Row],[Country Code]],Table29[],9,FALSE)</f>
        <v>no</v>
      </c>
      <c r="AY1622" s="233" t="str">
        <f>VLOOKUP(Table8[[#This Row],[Country Code]],Table29[],10,FALSE)</f>
        <v>no</v>
      </c>
      <c r="AZ1622" s="235">
        <f>VLOOKUP(Table8[[#This Row],[Country Code]],Table29[],23,FALSE)</f>
        <v>532.37448361891995</v>
      </c>
      <c r="BA1622" s="235">
        <f>VLOOKUP(Table8[[#This Row],[Country Code]],Table29[],24,FALSE)</f>
        <v>44.891195611563681</v>
      </c>
      <c r="BB1622" s="320"/>
      <c r="BC1622" s="320"/>
    </row>
    <row r="1623" spans="1:55" ht="30" hidden="1" x14ac:dyDescent="0.25">
      <c r="A1623" s="373">
        <v>23380</v>
      </c>
      <c r="B1623" s="233" t="str">
        <f>VLOOKUP(Table8[[#This Row],[Document ID]],Table1[],2,FALSE)</f>
        <v>PAK</v>
      </c>
      <c r="C1623" s="233" t="str">
        <f>VLOOKUP(Table8[[#This Row],[Document ID]],Table1[],3,FALSE)</f>
        <v>Pakistan</v>
      </c>
      <c r="D1623" s="243" t="str">
        <f>VLOOKUP(Table8[[#This Row],[Document ID]],Table1[],5,FALSE)</f>
        <v>NDC</v>
      </c>
      <c r="E1623" s="233" t="str">
        <f>VLOOKUP(Table8[[#This Row],[Document ID]],Table1[],7,FALSE)</f>
        <v>First NDC updated</v>
      </c>
      <c r="F1623" s="233" t="str">
        <f>VLOOKUP(Table8[[#This Row],[Document ID]],Table1[],8,FALSE)</f>
        <v>NDC 1.2</v>
      </c>
      <c r="G1623" s="233" t="str">
        <f>VLOOKUP(Table8[[#This Row],[Document ID]],Table1[],10,FALSE)</f>
        <v>Active</v>
      </c>
      <c r="H1623" s="43" t="s">
        <v>2350</v>
      </c>
      <c r="I1623" s="43" t="s">
        <v>2456</v>
      </c>
      <c r="J1623" s="44" t="s">
        <v>2466</v>
      </c>
      <c r="K1623" s="44" t="s">
        <v>3839</v>
      </c>
      <c r="L1623" s="44" t="s">
        <v>2347</v>
      </c>
      <c r="M1623" s="43">
        <v>29</v>
      </c>
      <c r="N1623" s="113"/>
      <c r="O1623" s="113"/>
      <c r="P1623" s="113"/>
      <c r="Q1623" s="113"/>
      <c r="R1623" s="113"/>
      <c r="S1623" s="113"/>
      <c r="T1623" s="113"/>
      <c r="U1623" s="113"/>
      <c r="V1623" s="113"/>
      <c r="W1623" s="113"/>
      <c r="X1623" s="113"/>
      <c r="Y1623" s="113"/>
      <c r="Z1623" s="113" t="s">
        <v>1113</v>
      </c>
      <c r="AA1623" s="113"/>
      <c r="AB1623" s="113"/>
      <c r="AC1623" s="113"/>
      <c r="AD1623" s="113"/>
      <c r="AE1623" s="113"/>
      <c r="AF1623" s="113"/>
      <c r="AG1623" s="113"/>
      <c r="AH1623" s="113"/>
      <c r="AI1623" s="113"/>
      <c r="AJ1623" s="113"/>
      <c r="AK1623" s="113"/>
      <c r="AL1623" s="113" t="s">
        <v>1113</v>
      </c>
      <c r="AM1623" s="113"/>
      <c r="AN1623" s="113"/>
      <c r="AO1623" s="43" t="s">
        <v>2348</v>
      </c>
      <c r="AP1623" s="43"/>
      <c r="AQ1623" s="236" t="str">
        <f>VLOOKUP(Table8[[#This Row],[Instrument]],Def_Targets!$D$73:$E$159,2,FALSE)</f>
        <v>S_Infraexpansion</v>
      </c>
      <c r="AR1623" s="233" t="str">
        <f>VLOOKUP(Table8[[#This Row],[Country Code]],Table29[],3,FALSE)</f>
        <v>Non-Annex I</v>
      </c>
      <c r="AS1623" s="233" t="str">
        <f>VLOOKUP(Table8[[#This Row],[Country Code]],Table29[],4,FALSE)</f>
        <v>Asia</v>
      </c>
      <c r="AT1623" s="233" t="str">
        <f>VLOOKUP(Table8[[#This Row],[Country Code]],Table29[],5,FALSE)</f>
        <v>Middle-income</v>
      </c>
      <c r="AU1623" s="233" t="str">
        <f>VLOOKUP(Table8[[#This Row],[Country Code]],Table29[],6,FALSE)</f>
        <v>no</v>
      </c>
      <c r="AV1623" s="233" t="str">
        <f>VLOOKUP(Table8[[#This Row],[Country Code]],Table29[],7,FALSE)</f>
        <v>no</v>
      </c>
      <c r="AW1623" s="233" t="str">
        <f>VLOOKUP(Table8[[#This Row],[Country Code]],Table29[],8,FALSE)</f>
        <v>non-OECD</v>
      </c>
      <c r="AX1623" s="233" t="str">
        <f>VLOOKUP(Table8[[#This Row],[Country Code]],Table29[],9,FALSE)</f>
        <v>no</v>
      </c>
      <c r="AY1623" s="233" t="str">
        <f>VLOOKUP(Table8[[#This Row],[Country Code]],Table29[],10,FALSE)</f>
        <v>no</v>
      </c>
      <c r="AZ1623" s="235">
        <f>VLOOKUP(Table8[[#This Row],[Country Code]],Table29[],23,FALSE)</f>
        <v>532.37448361891995</v>
      </c>
      <c r="BA1623" s="235">
        <f>VLOOKUP(Table8[[#This Row],[Country Code]],Table29[],24,FALSE)</f>
        <v>44.891195611563681</v>
      </c>
      <c r="BB1623" s="320"/>
      <c r="BC1623" s="320"/>
    </row>
    <row r="1624" spans="1:55" ht="30" hidden="1" x14ac:dyDescent="0.25">
      <c r="A1624" s="373">
        <v>23380</v>
      </c>
      <c r="B1624" s="233" t="str">
        <f>VLOOKUP(Table8[[#This Row],[Document ID]],Table1[],2,FALSE)</f>
        <v>PAK</v>
      </c>
      <c r="C1624" s="233" t="str">
        <f>VLOOKUP(Table8[[#This Row],[Document ID]],Table1[],3,FALSE)</f>
        <v>Pakistan</v>
      </c>
      <c r="D1624" s="243" t="str">
        <f>VLOOKUP(Table8[[#This Row],[Document ID]],Table1[],5,FALSE)</f>
        <v>NDC</v>
      </c>
      <c r="E1624" s="233" t="str">
        <f>VLOOKUP(Table8[[#This Row],[Document ID]],Table1[],7,FALSE)</f>
        <v>First NDC updated</v>
      </c>
      <c r="F1624" s="233" t="str">
        <f>VLOOKUP(Table8[[#This Row],[Document ID]],Table1[],8,FALSE)</f>
        <v>NDC 1.2</v>
      </c>
      <c r="G1624" s="233" t="str">
        <f>VLOOKUP(Table8[[#This Row],[Document ID]],Table1[],10,FALSE)</f>
        <v>Active</v>
      </c>
      <c r="H1624" s="44" t="s">
        <v>2329</v>
      </c>
      <c r="I1624" s="44" t="s">
        <v>2330</v>
      </c>
      <c r="J1624" s="44" t="s">
        <v>2331</v>
      </c>
      <c r="K1624" s="44" t="s">
        <v>3840</v>
      </c>
      <c r="L1624" s="44" t="s">
        <v>2333</v>
      </c>
      <c r="M1624" s="43">
        <v>29</v>
      </c>
      <c r="N1624" s="113"/>
      <c r="O1624" s="113"/>
      <c r="P1624" s="113"/>
      <c r="Q1624" s="113"/>
      <c r="R1624" s="113"/>
      <c r="S1624" s="113"/>
      <c r="T1624" s="113"/>
      <c r="U1624" s="113"/>
      <c r="V1624" s="113"/>
      <c r="W1624" s="113"/>
      <c r="X1624" s="113"/>
      <c r="Y1624" s="113" t="s">
        <v>1113</v>
      </c>
      <c r="Z1624" s="113"/>
      <c r="AA1624" s="113"/>
      <c r="AB1624" s="113"/>
      <c r="AC1624" s="113"/>
      <c r="AD1624" s="113"/>
      <c r="AE1624" s="113"/>
      <c r="AF1624" s="113"/>
      <c r="AG1624" s="113"/>
      <c r="AH1624" s="113"/>
      <c r="AI1624" s="113"/>
      <c r="AJ1624" s="113"/>
      <c r="AK1624" s="113"/>
      <c r="AL1624" s="113" t="s">
        <v>1113</v>
      </c>
      <c r="AM1624" s="113"/>
      <c r="AN1624" s="113"/>
      <c r="AO1624" s="43" t="s">
        <v>2348</v>
      </c>
      <c r="AP1624" s="43"/>
      <c r="AQ1624" s="236" t="str">
        <f>VLOOKUP(Table8[[#This Row],[Instrument]],Def_Targets!$D$73:$E$159,2,FALSE)</f>
        <v>I_Altfuels</v>
      </c>
      <c r="AR1624" s="233" t="str">
        <f>VLOOKUP(Table8[[#This Row],[Country Code]],Table29[],3,FALSE)</f>
        <v>Non-Annex I</v>
      </c>
      <c r="AS1624" s="233" t="str">
        <f>VLOOKUP(Table8[[#This Row],[Country Code]],Table29[],4,FALSE)</f>
        <v>Asia</v>
      </c>
      <c r="AT1624" s="233" t="str">
        <f>VLOOKUP(Table8[[#This Row],[Country Code]],Table29[],5,FALSE)</f>
        <v>Middle-income</v>
      </c>
      <c r="AU1624" s="233" t="str">
        <f>VLOOKUP(Table8[[#This Row],[Country Code]],Table29[],6,FALSE)</f>
        <v>no</v>
      </c>
      <c r="AV1624" s="233" t="str">
        <f>VLOOKUP(Table8[[#This Row],[Country Code]],Table29[],7,FALSE)</f>
        <v>no</v>
      </c>
      <c r="AW1624" s="233" t="str">
        <f>VLOOKUP(Table8[[#This Row],[Country Code]],Table29[],8,FALSE)</f>
        <v>non-OECD</v>
      </c>
      <c r="AX1624" s="233" t="str">
        <f>VLOOKUP(Table8[[#This Row],[Country Code]],Table29[],9,FALSE)</f>
        <v>no</v>
      </c>
      <c r="AY1624" s="233" t="str">
        <f>VLOOKUP(Table8[[#This Row],[Country Code]],Table29[],10,FALSE)</f>
        <v>no</v>
      </c>
      <c r="AZ1624" s="235">
        <f>VLOOKUP(Table8[[#This Row],[Country Code]],Table29[],23,FALSE)</f>
        <v>532.37448361891995</v>
      </c>
      <c r="BA1624" s="235">
        <f>VLOOKUP(Table8[[#This Row],[Country Code]],Table29[],24,FALSE)</f>
        <v>44.891195611563681</v>
      </c>
      <c r="BB1624" s="320"/>
      <c r="BC1624" s="320"/>
    </row>
    <row r="1625" spans="1:55" hidden="1" x14ac:dyDescent="0.25">
      <c r="A1625" s="373">
        <v>23380</v>
      </c>
      <c r="B1625" s="233" t="str">
        <f>VLOOKUP(Table8[[#This Row],[Document ID]],Table1[],2,FALSE)</f>
        <v>PAK</v>
      </c>
      <c r="C1625" s="233" t="str">
        <f>VLOOKUP(Table8[[#This Row],[Document ID]],Table1[],3,FALSE)</f>
        <v>Pakistan</v>
      </c>
      <c r="D1625" s="243" t="str">
        <f>VLOOKUP(Table8[[#This Row],[Document ID]],Table1[],5,FALSE)</f>
        <v>NDC</v>
      </c>
      <c r="E1625" s="233" t="str">
        <f>VLOOKUP(Table8[[#This Row],[Document ID]],Table1[],7,FALSE)</f>
        <v>First NDC updated</v>
      </c>
      <c r="F1625" s="233" t="str">
        <f>VLOOKUP(Table8[[#This Row],[Document ID]],Table1[],8,FALSE)</f>
        <v>NDC 1.2</v>
      </c>
      <c r="G1625" s="233" t="str">
        <f>VLOOKUP(Table8[[#This Row],[Document ID]],Table1[],10,FALSE)</f>
        <v>Active</v>
      </c>
      <c r="H1625" s="43" t="s">
        <v>2358</v>
      </c>
      <c r="I1625" s="43" t="s">
        <v>2359</v>
      </c>
      <c r="J1625" s="44" t="s">
        <v>2389</v>
      </c>
      <c r="K1625" s="44" t="s">
        <v>3841</v>
      </c>
      <c r="L1625" s="44" t="s">
        <v>2333</v>
      </c>
      <c r="M1625" s="43">
        <v>35</v>
      </c>
      <c r="N1625" s="113" t="s">
        <v>1113</v>
      </c>
      <c r="O1625" s="113"/>
      <c r="P1625" s="113"/>
      <c r="Q1625" s="113"/>
      <c r="R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t="s">
        <v>1113</v>
      </c>
      <c r="AL1625" s="113"/>
      <c r="AM1625" s="113"/>
      <c r="AN1625" s="113"/>
      <c r="AO1625" s="44" t="s">
        <v>2334</v>
      </c>
      <c r="AP1625" s="43"/>
      <c r="AQ1625" s="236" t="str">
        <f>VLOOKUP(Table8[[#This Row],[Instrument]],Def_Targets!$D$73:$E$159,2,FALSE)</f>
        <v>I_Emobilitypurchase</v>
      </c>
      <c r="AR1625" s="233" t="str">
        <f>VLOOKUP(Table8[[#This Row],[Country Code]],Table29[],3,FALSE)</f>
        <v>Non-Annex I</v>
      </c>
      <c r="AS1625" s="233" t="str">
        <f>VLOOKUP(Table8[[#This Row],[Country Code]],Table29[],4,FALSE)</f>
        <v>Asia</v>
      </c>
      <c r="AT1625" s="233" t="str">
        <f>VLOOKUP(Table8[[#This Row],[Country Code]],Table29[],5,FALSE)</f>
        <v>Middle-income</v>
      </c>
      <c r="AU1625" s="233" t="str">
        <f>VLOOKUP(Table8[[#This Row],[Country Code]],Table29[],6,FALSE)</f>
        <v>no</v>
      </c>
      <c r="AV1625" s="233" t="str">
        <f>VLOOKUP(Table8[[#This Row],[Country Code]],Table29[],7,FALSE)</f>
        <v>no</v>
      </c>
      <c r="AW1625" s="233" t="str">
        <f>VLOOKUP(Table8[[#This Row],[Country Code]],Table29[],8,FALSE)</f>
        <v>non-OECD</v>
      </c>
      <c r="AX1625" s="233" t="str">
        <f>VLOOKUP(Table8[[#This Row],[Country Code]],Table29[],9,FALSE)</f>
        <v>no</v>
      </c>
      <c r="AY1625" s="233" t="str">
        <f>VLOOKUP(Table8[[#This Row],[Country Code]],Table29[],10,FALSE)</f>
        <v>no</v>
      </c>
      <c r="AZ1625" s="235">
        <f>VLOOKUP(Table8[[#This Row],[Country Code]],Table29[],23,FALSE)</f>
        <v>532.37448361891995</v>
      </c>
      <c r="BA1625" s="235">
        <f>VLOOKUP(Table8[[#This Row],[Country Code]],Table29[],24,FALSE)</f>
        <v>44.891195611563681</v>
      </c>
      <c r="BB1625" s="320"/>
      <c r="BC1625" s="320"/>
    </row>
    <row r="1626" spans="1:55" hidden="1" x14ac:dyDescent="0.25">
      <c r="A1626" s="373">
        <v>23380</v>
      </c>
      <c r="B1626" s="233" t="str">
        <f>VLOOKUP(Table8[[#This Row],[Document ID]],Table1[],2,FALSE)</f>
        <v>PAK</v>
      </c>
      <c r="C1626" s="233" t="str">
        <f>VLOOKUP(Table8[[#This Row],[Document ID]],Table1[],3,FALSE)</f>
        <v>Pakistan</v>
      </c>
      <c r="D1626" s="243" t="str">
        <f>VLOOKUP(Table8[[#This Row],[Document ID]],Table1[],5,FALSE)</f>
        <v>NDC</v>
      </c>
      <c r="E1626" s="233" t="str">
        <f>VLOOKUP(Table8[[#This Row],[Document ID]],Table1[],7,FALSE)</f>
        <v>First NDC updated</v>
      </c>
      <c r="F1626" s="233" t="str">
        <f>VLOOKUP(Table8[[#This Row],[Document ID]],Table1[],8,FALSE)</f>
        <v>NDC 1.2</v>
      </c>
      <c r="G1626" s="233" t="str">
        <f>VLOOKUP(Table8[[#This Row],[Document ID]],Table1[],10,FALSE)</f>
        <v>Active</v>
      </c>
      <c r="H1626" s="43" t="s">
        <v>2358</v>
      </c>
      <c r="I1626" s="43" t="s">
        <v>2359</v>
      </c>
      <c r="J1626" s="44" t="s">
        <v>2383</v>
      </c>
      <c r="K1626" s="44" t="s">
        <v>3842</v>
      </c>
      <c r="L1626" s="44" t="s">
        <v>2333</v>
      </c>
      <c r="M1626" s="43">
        <v>35</v>
      </c>
      <c r="N1626" s="113" t="s">
        <v>1113</v>
      </c>
      <c r="O1626" s="113"/>
      <c r="P1626" s="113"/>
      <c r="Q1626" s="113"/>
      <c r="R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t="s">
        <v>1113</v>
      </c>
      <c r="AL1626" s="113"/>
      <c r="AM1626" s="113"/>
      <c r="AN1626" s="113"/>
      <c r="AO1626" s="44" t="s">
        <v>2334</v>
      </c>
      <c r="AP1626" s="43"/>
      <c r="AQ1626" s="236" t="str">
        <f>VLOOKUP(Table8[[#This Row],[Instrument]],Def_Targets!$D$73:$E$159,2,FALSE)</f>
        <v>I_Emobilitycharging</v>
      </c>
      <c r="AR1626" s="233" t="str">
        <f>VLOOKUP(Table8[[#This Row],[Country Code]],Table29[],3,FALSE)</f>
        <v>Non-Annex I</v>
      </c>
      <c r="AS1626" s="233" t="str">
        <f>VLOOKUP(Table8[[#This Row],[Country Code]],Table29[],4,FALSE)</f>
        <v>Asia</v>
      </c>
      <c r="AT1626" s="233" t="str">
        <f>VLOOKUP(Table8[[#This Row],[Country Code]],Table29[],5,FALSE)</f>
        <v>Middle-income</v>
      </c>
      <c r="AU1626" s="233" t="str">
        <f>VLOOKUP(Table8[[#This Row],[Country Code]],Table29[],6,FALSE)</f>
        <v>no</v>
      </c>
      <c r="AV1626" s="233" t="str">
        <f>VLOOKUP(Table8[[#This Row],[Country Code]],Table29[],7,FALSE)</f>
        <v>no</v>
      </c>
      <c r="AW1626" s="233" t="str">
        <f>VLOOKUP(Table8[[#This Row],[Country Code]],Table29[],8,FALSE)</f>
        <v>non-OECD</v>
      </c>
      <c r="AX1626" s="233" t="str">
        <f>VLOOKUP(Table8[[#This Row],[Country Code]],Table29[],9,FALSE)</f>
        <v>no</v>
      </c>
      <c r="AY1626" s="233" t="str">
        <f>VLOOKUP(Table8[[#This Row],[Country Code]],Table29[],10,FALSE)</f>
        <v>no</v>
      </c>
      <c r="AZ1626" s="235">
        <f>VLOOKUP(Table8[[#This Row],[Country Code]],Table29[],23,FALSE)</f>
        <v>532.37448361891995</v>
      </c>
      <c r="BA1626" s="235">
        <f>VLOOKUP(Table8[[#This Row],[Country Code]],Table29[],24,FALSE)</f>
        <v>44.891195611563681</v>
      </c>
      <c r="BB1626" s="320"/>
      <c r="BC1626" s="320"/>
    </row>
    <row r="1627" spans="1:55" ht="105" hidden="1" x14ac:dyDescent="0.25">
      <c r="A1627" s="373">
        <v>23380</v>
      </c>
      <c r="B1627" s="233" t="str">
        <f>VLOOKUP(Table8[[#This Row],[Document ID]],Table1[],2,FALSE)</f>
        <v>PAK</v>
      </c>
      <c r="C1627" s="233" t="str">
        <f>VLOOKUP(Table8[[#This Row],[Document ID]],Table1[],3,FALSE)</f>
        <v>Pakistan</v>
      </c>
      <c r="D1627" s="243" t="str">
        <f>VLOOKUP(Table8[[#This Row],[Document ID]],Table1[],5,FALSE)</f>
        <v>NDC</v>
      </c>
      <c r="E1627" s="233" t="str">
        <f>VLOOKUP(Table8[[#This Row],[Document ID]],Table1[],7,FALSE)</f>
        <v>First NDC updated</v>
      </c>
      <c r="F1627" s="233" t="str">
        <f>VLOOKUP(Table8[[#This Row],[Document ID]],Table1[],8,FALSE)</f>
        <v>NDC 1.2</v>
      </c>
      <c r="G1627" s="233" t="str">
        <f>VLOOKUP(Table8[[#This Row],[Document ID]],Table1[],10,FALSE)</f>
        <v>Active</v>
      </c>
      <c r="H1627" s="43" t="s">
        <v>2343</v>
      </c>
      <c r="I1627" s="43" t="s">
        <v>2386</v>
      </c>
      <c r="J1627" s="44" t="s">
        <v>2412</v>
      </c>
      <c r="K1627" s="44" t="s">
        <v>3843</v>
      </c>
      <c r="L1627" s="44" t="s">
        <v>2380</v>
      </c>
      <c r="M1627" s="43">
        <v>71</v>
      </c>
      <c r="N1627" s="113" t="s">
        <v>1113</v>
      </c>
      <c r="O1627" s="113"/>
      <c r="P1627" s="113"/>
      <c r="Q1627" s="113"/>
      <c r="R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t="s">
        <v>1113</v>
      </c>
      <c r="AL1627" s="113"/>
      <c r="AM1627" s="113"/>
      <c r="AN1627" s="113"/>
      <c r="AO1627" s="44" t="s">
        <v>2334</v>
      </c>
      <c r="AP1627" s="43"/>
      <c r="AQ1627" s="236" t="str">
        <f>VLOOKUP(Table8[[#This Row],[Instrument]],Def_Targets!$D$73:$E$159,2,FALSE)</f>
        <v>A_Economic</v>
      </c>
      <c r="AR1627" s="233" t="str">
        <f>VLOOKUP(Table8[[#This Row],[Country Code]],Table29[],3,FALSE)</f>
        <v>Non-Annex I</v>
      </c>
      <c r="AS1627" s="233" t="str">
        <f>VLOOKUP(Table8[[#This Row],[Country Code]],Table29[],4,FALSE)</f>
        <v>Asia</v>
      </c>
      <c r="AT1627" s="233" t="str">
        <f>VLOOKUP(Table8[[#This Row],[Country Code]],Table29[],5,FALSE)</f>
        <v>Middle-income</v>
      </c>
      <c r="AU1627" s="233" t="str">
        <f>VLOOKUP(Table8[[#This Row],[Country Code]],Table29[],6,FALSE)</f>
        <v>no</v>
      </c>
      <c r="AV1627" s="233" t="str">
        <f>VLOOKUP(Table8[[#This Row],[Country Code]],Table29[],7,FALSE)</f>
        <v>no</v>
      </c>
      <c r="AW1627" s="233" t="str">
        <f>VLOOKUP(Table8[[#This Row],[Country Code]],Table29[],8,FALSE)</f>
        <v>non-OECD</v>
      </c>
      <c r="AX1627" s="233" t="str">
        <f>VLOOKUP(Table8[[#This Row],[Country Code]],Table29[],9,FALSE)</f>
        <v>no</v>
      </c>
      <c r="AY1627" s="233" t="str">
        <f>VLOOKUP(Table8[[#This Row],[Country Code]],Table29[],10,FALSE)</f>
        <v>no</v>
      </c>
      <c r="AZ1627" s="235">
        <f>VLOOKUP(Table8[[#This Row],[Country Code]],Table29[],23,FALSE)</f>
        <v>532.37448361891995</v>
      </c>
      <c r="BA1627" s="235">
        <f>VLOOKUP(Table8[[#This Row],[Country Code]],Table29[],24,FALSE)</f>
        <v>44.891195611563681</v>
      </c>
      <c r="BB1627" s="320"/>
      <c r="BC1627" s="320"/>
    </row>
    <row r="1628" spans="1:55" hidden="1" x14ac:dyDescent="0.25">
      <c r="A1628" s="373">
        <v>17691</v>
      </c>
      <c r="B1628" s="233" t="str">
        <f>VLOOKUP(Table8[[#This Row],[Document ID]],Table1[],2,FALSE)</f>
        <v>PLW</v>
      </c>
      <c r="C1628" s="233" t="str">
        <f>VLOOKUP(Table8[[#This Row],[Document ID]],Table1[],3,FALSE)</f>
        <v>Palau</v>
      </c>
      <c r="D1628" s="243" t="str">
        <f>VLOOKUP(Table8[[#This Row],[Document ID]],Table1[],5,FALSE)</f>
        <v>NDC</v>
      </c>
      <c r="E1628" s="233" t="str">
        <f>VLOOKUP(Table8[[#This Row],[Document ID]],Table1[],7,FALSE)</f>
        <v>First NDC</v>
      </c>
      <c r="F1628" s="236" t="str">
        <f>VLOOKUP(Table8[[#This Row],[Document ID]],Table1[],8,FALSE)</f>
        <v>NDC 1.0</v>
      </c>
      <c r="G1628" s="236" t="str">
        <f>VLOOKUP(Table8[[#This Row],[Document ID]],Table1[],10,FALSE)</f>
        <v>Active</v>
      </c>
      <c r="H1628" s="43" t="s">
        <v>2343</v>
      </c>
      <c r="I1628" s="43" t="s">
        <v>2344</v>
      </c>
      <c r="J1628" s="44" t="s">
        <v>2405</v>
      </c>
      <c r="K1628" s="44" t="s">
        <v>3844</v>
      </c>
      <c r="L1628" s="44" t="s">
        <v>2347</v>
      </c>
      <c r="M1628" s="43"/>
      <c r="N1628" s="113"/>
      <c r="O1628" s="113"/>
      <c r="P1628" s="113"/>
      <c r="Q1628" s="319"/>
      <c r="R1628" s="319"/>
      <c r="S1628" s="319"/>
      <c r="T1628" s="319"/>
      <c r="U1628" s="319"/>
      <c r="V1628" s="319"/>
      <c r="W1628" s="319"/>
      <c r="X1628" s="319"/>
      <c r="Y1628" s="113" t="s">
        <v>1113</v>
      </c>
      <c r="Z1628" s="113"/>
      <c r="AA1628" s="319"/>
      <c r="AB1628" s="319"/>
      <c r="AC1628" s="319"/>
      <c r="AD1628" s="319"/>
      <c r="AE1628" s="319"/>
      <c r="AF1628" s="319"/>
      <c r="AG1628" s="319"/>
      <c r="AH1628" s="319"/>
      <c r="AI1628" s="319"/>
      <c r="AJ1628" s="319"/>
      <c r="AK1628" s="319" t="s">
        <v>1113</v>
      </c>
      <c r="AL1628" s="319"/>
      <c r="AM1628" s="319"/>
      <c r="AN1628" s="319"/>
      <c r="AO1628" s="43" t="s">
        <v>2348</v>
      </c>
      <c r="AP1628" s="44"/>
      <c r="AQ1628" s="236" t="str">
        <f>VLOOKUP(Table8[[#This Row],[Instrument]],Def_Targets!$D$73:$E$159,2,FALSE)</f>
        <v>S_PTIntegration</v>
      </c>
      <c r="AR1628" s="233" t="str">
        <f>VLOOKUP(Table8[[#This Row],[Country Code]],Table29[],3,FALSE)</f>
        <v>Non-Annex I</v>
      </c>
      <c r="AS1628" s="233" t="str">
        <f>VLOOKUP(Table8[[#This Row],[Country Code]],Table29[],4,FALSE)</f>
        <v>Oceania</v>
      </c>
      <c r="AT1628" s="233" t="str">
        <f>VLOOKUP(Table8[[#This Row],[Country Code]],Table29[],5,FALSE)</f>
        <v>High-income</v>
      </c>
      <c r="AU1628" s="233" t="str">
        <f>VLOOKUP(Table8[[#This Row],[Country Code]],Table29[],6,FALSE)</f>
        <v>no</v>
      </c>
      <c r="AV1628" s="233" t="str">
        <f>VLOOKUP(Table8[[#This Row],[Country Code]],Table29[],7,FALSE)</f>
        <v>no</v>
      </c>
      <c r="AW1628" s="233" t="str">
        <f>VLOOKUP(Table8[[#This Row],[Country Code]],Table29[],8,FALSE)</f>
        <v>non-OECD</v>
      </c>
      <c r="AX1628" s="233" t="str">
        <f>VLOOKUP(Table8[[#This Row],[Country Code]],Table29[],9,FALSE)</f>
        <v>no</v>
      </c>
      <c r="AY1628" s="233" t="str">
        <f>VLOOKUP(Table8[[#This Row],[Country Code]],Table29[],10,FALSE)</f>
        <v>no</v>
      </c>
      <c r="AZ1628" s="235">
        <f>VLOOKUP(Table8[[#This Row],[Country Code]],Table29[],23,FALSE)</f>
        <v>1.5016528321032001</v>
      </c>
      <c r="BA1628" s="235">
        <f>VLOOKUP(Table8[[#This Row],[Country Code]],Table29[],24,FALSE)</f>
        <v>0.76697976393919287</v>
      </c>
      <c r="BB1628" s="320"/>
      <c r="BC1628" s="320"/>
    </row>
    <row r="1629" spans="1:55" hidden="1" x14ac:dyDescent="0.25">
      <c r="A1629" s="373">
        <v>17691</v>
      </c>
      <c r="B1629" s="233" t="str">
        <f>VLOOKUP(Table8[[#This Row],[Document ID]],Table1[],2,FALSE)</f>
        <v>PLW</v>
      </c>
      <c r="C1629" s="233" t="str">
        <f>VLOOKUP(Table8[[#This Row],[Document ID]],Table1[],3,FALSE)</f>
        <v>Palau</v>
      </c>
      <c r="D1629" s="243" t="str">
        <f>VLOOKUP(Table8[[#This Row],[Document ID]],Table1[],5,FALSE)</f>
        <v>NDC</v>
      </c>
      <c r="E1629" s="233" t="str">
        <f>VLOOKUP(Table8[[#This Row],[Document ID]],Table1[],7,FALSE)</f>
        <v>First NDC</v>
      </c>
      <c r="F1629" s="236" t="str">
        <f>VLOOKUP(Table8[[#This Row],[Document ID]],Table1[],8,FALSE)</f>
        <v>NDC 1.0</v>
      </c>
      <c r="G1629" s="236" t="str">
        <f>VLOOKUP(Table8[[#This Row],[Document ID]],Table1[],10,FALSE)</f>
        <v>Active</v>
      </c>
      <c r="H1629" s="44" t="s">
        <v>2329</v>
      </c>
      <c r="I1629" s="44" t="s">
        <v>2330</v>
      </c>
      <c r="J1629" s="44" t="s">
        <v>2357</v>
      </c>
      <c r="K1629" s="44" t="s">
        <v>3845</v>
      </c>
      <c r="L1629" s="44" t="s">
        <v>2333</v>
      </c>
      <c r="M1629" s="43"/>
      <c r="N1629" s="113" t="s">
        <v>1113</v>
      </c>
      <c r="O1629" s="113"/>
      <c r="P1629" s="113"/>
      <c r="Q1629" s="319"/>
      <c r="R1629" s="319"/>
      <c r="S1629" s="319"/>
      <c r="T1629" s="319"/>
      <c r="U1629" s="319"/>
      <c r="V1629" s="319"/>
      <c r="W1629" s="319"/>
      <c r="X1629" s="319"/>
      <c r="Y1629" s="319"/>
      <c r="Z1629" s="319"/>
      <c r="AA1629" s="319"/>
      <c r="AB1629" s="319"/>
      <c r="AC1629" s="319"/>
      <c r="AD1629" s="319"/>
      <c r="AE1629" s="319"/>
      <c r="AF1629" s="319"/>
      <c r="AG1629" s="319"/>
      <c r="AH1629" s="319"/>
      <c r="AI1629" s="319"/>
      <c r="AJ1629" s="319"/>
      <c r="AK1629" s="319" t="s">
        <v>1113</v>
      </c>
      <c r="AL1629" s="319"/>
      <c r="AM1629" s="319"/>
      <c r="AN1629" s="319"/>
      <c r="AO1629" s="44" t="s">
        <v>2334</v>
      </c>
      <c r="AP1629" s="44"/>
      <c r="AQ1629" s="236" t="str">
        <f>VLOOKUP(Table8[[#This Row],[Instrument]],Def_Targets!$D$73:$E$159,2,FALSE)</f>
        <v>I_Biofuel</v>
      </c>
      <c r="AR1629" s="233" t="str">
        <f>VLOOKUP(Table8[[#This Row],[Country Code]],Table29[],3,FALSE)</f>
        <v>Non-Annex I</v>
      </c>
      <c r="AS1629" s="233" t="str">
        <f>VLOOKUP(Table8[[#This Row],[Country Code]],Table29[],4,FALSE)</f>
        <v>Oceania</v>
      </c>
      <c r="AT1629" s="233" t="str">
        <f>VLOOKUP(Table8[[#This Row],[Country Code]],Table29[],5,FALSE)</f>
        <v>High-income</v>
      </c>
      <c r="AU1629" s="233" t="str">
        <f>VLOOKUP(Table8[[#This Row],[Country Code]],Table29[],6,FALSE)</f>
        <v>no</v>
      </c>
      <c r="AV1629" s="233" t="str">
        <f>VLOOKUP(Table8[[#This Row],[Country Code]],Table29[],7,FALSE)</f>
        <v>no</v>
      </c>
      <c r="AW1629" s="233" t="str">
        <f>VLOOKUP(Table8[[#This Row],[Country Code]],Table29[],8,FALSE)</f>
        <v>non-OECD</v>
      </c>
      <c r="AX1629" s="233" t="str">
        <f>VLOOKUP(Table8[[#This Row],[Country Code]],Table29[],9,FALSE)</f>
        <v>no</v>
      </c>
      <c r="AY1629" s="233" t="str">
        <f>VLOOKUP(Table8[[#This Row],[Country Code]],Table29[],10,FALSE)</f>
        <v>no</v>
      </c>
      <c r="AZ1629" s="235">
        <f>VLOOKUP(Table8[[#This Row],[Country Code]],Table29[],23,FALSE)</f>
        <v>1.5016528321032001</v>
      </c>
      <c r="BA1629" s="235">
        <f>VLOOKUP(Table8[[#This Row],[Country Code]],Table29[],24,FALSE)</f>
        <v>0.76697976393919287</v>
      </c>
      <c r="BB1629" s="320"/>
      <c r="BC1629" s="320"/>
    </row>
    <row r="1630" spans="1:55" ht="30" hidden="1" x14ac:dyDescent="0.25">
      <c r="A1630" s="373">
        <v>17691</v>
      </c>
      <c r="B1630" s="233" t="str">
        <f>VLOOKUP(Table8[[#This Row],[Document ID]],Table1[],2,FALSE)</f>
        <v>PLW</v>
      </c>
      <c r="C1630" s="233" t="str">
        <f>VLOOKUP(Table8[[#This Row],[Document ID]],Table1[],3,FALSE)</f>
        <v>Palau</v>
      </c>
      <c r="D1630" s="243" t="str">
        <f>VLOOKUP(Table8[[#This Row],[Document ID]],Table1[],5,FALSE)</f>
        <v>NDC</v>
      </c>
      <c r="E1630" s="233" t="str">
        <f>VLOOKUP(Table8[[#This Row],[Document ID]],Table1[],7,FALSE)</f>
        <v>First NDC</v>
      </c>
      <c r="F1630" s="236" t="str">
        <f>VLOOKUP(Table8[[#This Row],[Document ID]],Table1[],8,FALSE)</f>
        <v>NDC 1.0</v>
      </c>
      <c r="G1630" s="236" t="str">
        <f>VLOOKUP(Table8[[#This Row],[Document ID]],Table1[],10,FALSE)</f>
        <v>Active</v>
      </c>
      <c r="H1630" s="44" t="s">
        <v>2338</v>
      </c>
      <c r="I1630" s="44" t="s">
        <v>2339</v>
      </c>
      <c r="J1630" s="44" t="s">
        <v>2340</v>
      </c>
      <c r="K1630" s="44" t="s">
        <v>3846</v>
      </c>
      <c r="L1630" s="44" t="s">
        <v>2333</v>
      </c>
      <c r="M1630" s="43"/>
      <c r="N1630" s="113"/>
      <c r="O1630" s="113"/>
      <c r="P1630" s="113"/>
      <c r="Q1630" s="319"/>
      <c r="R1630" s="319"/>
      <c r="S1630" s="319"/>
      <c r="T1630" s="319"/>
      <c r="U1630" s="319"/>
      <c r="V1630" s="319"/>
      <c r="W1630" s="319"/>
      <c r="X1630" s="319"/>
      <c r="Y1630" s="319"/>
      <c r="Z1630" s="319"/>
      <c r="AA1630" s="319"/>
      <c r="AB1630" s="319"/>
      <c r="AC1630" s="319"/>
      <c r="AD1630" s="113" t="s">
        <v>1113</v>
      </c>
      <c r="AE1630" s="319"/>
      <c r="AF1630" s="319"/>
      <c r="AG1630" s="319"/>
      <c r="AH1630" s="319"/>
      <c r="AI1630" s="319"/>
      <c r="AJ1630" s="319"/>
      <c r="AK1630" s="319" t="s">
        <v>1113</v>
      </c>
      <c r="AL1630" s="319"/>
      <c r="AM1630" s="319"/>
      <c r="AN1630" s="319"/>
      <c r="AO1630" s="44" t="s">
        <v>2334</v>
      </c>
      <c r="AP1630" s="44"/>
      <c r="AQ1630" s="236" t="str">
        <f>VLOOKUP(Table8[[#This Row],[Instrument]],Def_Targets!$D$73:$E$159,2,FALSE)</f>
        <v>I_Vehicleimprove</v>
      </c>
      <c r="AR1630" s="233" t="str">
        <f>VLOOKUP(Table8[[#This Row],[Country Code]],Table29[],3,FALSE)</f>
        <v>Non-Annex I</v>
      </c>
      <c r="AS1630" s="233" t="str">
        <f>VLOOKUP(Table8[[#This Row],[Country Code]],Table29[],4,FALSE)</f>
        <v>Oceania</v>
      </c>
      <c r="AT1630" s="233" t="str">
        <f>VLOOKUP(Table8[[#This Row],[Country Code]],Table29[],5,FALSE)</f>
        <v>High-income</v>
      </c>
      <c r="AU1630" s="233" t="str">
        <f>VLOOKUP(Table8[[#This Row],[Country Code]],Table29[],6,FALSE)</f>
        <v>no</v>
      </c>
      <c r="AV1630" s="233" t="str">
        <f>VLOOKUP(Table8[[#This Row],[Country Code]],Table29[],7,FALSE)</f>
        <v>no</v>
      </c>
      <c r="AW1630" s="233" t="str">
        <f>VLOOKUP(Table8[[#This Row],[Country Code]],Table29[],8,FALSE)</f>
        <v>non-OECD</v>
      </c>
      <c r="AX1630" s="233" t="str">
        <f>VLOOKUP(Table8[[#This Row],[Country Code]],Table29[],9,FALSE)</f>
        <v>no</v>
      </c>
      <c r="AY1630" s="233" t="str">
        <f>VLOOKUP(Table8[[#This Row],[Country Code]],Table29[],10,FALSE)</f>
        <v>no</v>
      </c>
      <c r="AZ1630" s="235">
        <f>VLOOKUP(Table8[[#This Row],[Country Code]],Table29[],23,FALSE)</f>
        <v>1.5016528321032001</v>
      </c>
      <c r="BA1630" s="235">
        <f>VLOOKUP(Table8[[#This Row],[Country Code]],Table29[],24,FALSE)</f>
        <v>0.76697976393919287</v>
      </c>
      <c r="BB1630" s="320"/>
      <c r="BC1630" s="320"/>
    </row>
    <row r="1631" spans="1:55" ht="30" hidden="1" x14ac:dyDescent="0.25">
      <c r="A1631" s="373">
        <v>17692</v>
      </c>
      <c r="B1631" s="233" t="str">
        <f>VLOOKUP(Table8[[#This Row],[Document ID]],Table1[],2,FALSE)</f>
        <v>PSE</v>
      </c>
      <c r="C1631" s="233" t="str">
        <f>VLOOKUP(Table8[[#This Row],[Document ID]],Table1[],3,FALSE)</f>
        <v>Palestine</v>
      </c>
      <c r="D1631" s="243" t="str">
        <f>VLOOKUP(Table8[[#This Row],[Document ID]],Table1[],5,FALSE)</f>
        <v>NDC</v>
      </c>
      <c r="E1631" s="233" t="str">
        <f>VLOOKUP(Table8[[#This Row],[Document ID]],Table1[],7,FALSE)</f>
        <v>First NDC</v>
      </c>
      <c r="F1631" s="236" t="str">
        <f>VLOOKUP(Table8[[#This Row],[Document ID]],Table1[],8,FALSE)</f>
        <v>NDC 1.0</v>
      </c>
      <c r="G1631" s="236" t="str">
        <f>VLOOKUP(Table8[[#This Row],[Document ID]],Table1[],10,FALSE)</f>
        <v>Archived</v>
      </c>
      <c r="H1631" s="44" t="s">
        <v>2338</v>
      </c>
      <c r="I1631" s="44" t="s">
        <v>2339</v>
      </c>
      <c r="J1631" s="44" t="s">
        <v>2451</v>
      </c>
      <c r="K1631" s="44" t="s">
        <v>3847</v>
      </c>
      <c r="L1631" s="44" t="s">
        <v>2333</v>
      </c>
      <c r="M1631" s="43"/>
      <c r="N1631" s="113" t="s">
        <v>1113</v>
      </c>
      <c r="O1631" s="113"/>
      <c r="P1631" s="113"/>
      <c r="Q1631" s="319"/>
      <c r="R1631" s="319"/>
      <c r="S1631" s="319"/>
      <c r="T1631" s="319"/>
      <c r="U1631" s="319"/>
      <c r="V1631" s="319"/>
      <c r="W1631" s="319"/>
      <c r="X1631" s="319"/>
      <c r="Y1631" s="319"/>
      <c r="Z1631" s="113"/>
      <c r="AA1631" s="319"/>
      <c r="AB1631" s="319"/>
      <c r="AC1631" s="319"/>
      <c r="AD1631" s="319"/>
      <c r="AE1631" s="319"/>
      <c r="AF1631" s="319"/>
      <c r="AG1631" s="319"/>
      <c r="AH1631" s="319"/>
      <c r="AI1631" s="319"/>
      <c r="AJ1631" s="319"/>
      <c r="AK1631" s="319" t="s">
        <v>1113</v>
      </c>
      <c r="AL1631" s="319"/>
      <c r="AM1631" s="319"/>
      <c r="AN1631" s="319"/>
      <c r="AO1631" s="44" t="s">
        <v>2334</v>
      </c>
      <c r="AP1631" s="44"/>
      <c r="AQ1631" s="236" t="str">
        <f>VLOOKUP(Table8[[#This Row],[Instrument]],Def_Targets!$D$73:$E$159,2,FALSE)</f>
        <v>I_Inspection</v>
      </c>
      <c r="AR1631" s="233" t="str">
        <f>VLOOKUP(Table8[[#This Row],[Country Code]],Table29[],3,FALSE)</f>
        <v>Non-Annex I</v>
      </c>
      <c r="AS1631" s="233" t="str">
        <f>VLOOKUP(Table8[[#This Row],[Country Code]],Table29[],4,FALSE)</f>
        <v>Asia</v>
      </c>
      <c r="AT1631" s="233" t="str">
        <f>VLOOKUP(Table8[[#This Row],[Country Code]],Table29[],5,FALSE)</f>
        <v>Middle-income</v>
      </c>
      <c r="AU1631" s="233" t="str">
        <f>VLOOKUP(Table8[[#This Row],[Country Code]],Table29[],6,FALSE)</f>
        <v>no</v>
      </c>
      <c r="AV1631" s="233" t="str">
        <f>VLOOKUP(Table8[[#This Row],[Country Code]],Table29[],7,FALSE)</f>
        <v>no</v>
      </c>
      <c r="AW1631" s="233" t="str">
        <f>VLOOKUP(Table8[[#This Row],[Country Code]],Table29[],8,FALSE)</f>
        <v>non-OECD</v>
      </c>
      <c r="AX1631" s="233" t="str">
        <f>VLOOKUP(Table8[[#This Row],[Country Code]],Table29[],9,FALSE)</f>
        <v>no</v>
      </c>
      <c r="AY1631" s="233" t="str">
        <f>VLOOKUP(Table8[[#This Row],[Country Code]],Table29[],10,FALSE)</f>
        <v>MENA</v>
      </c>
      <c r="AZ1631" s="235">
        <f>VLOOKUP(Table8[[#This Row],[Country Code]],Table29[],23,FALSE)</f>
        <v>0</v>
      </c>
      <c r="BA1631" s="235">
        <f>VLOOKUP(Table8[[#This Row],[Country Code]],Table29[],24,FALSE)</f>
        <v>0</v>
      </c>
      <c r="BB1631" s="320"/>
      <c r="BC1631" s="320"/>
    </row>
    <row r="1632" spans="1:55" hidden="1" x14ac:dyDescent="0.25">
      <c r="A1632" s="373">
        <v>17692</v>
      </c>
      <c r="B1632" s="233" t="str">
        <f>VLOOKUP(Table8[[#This Row],[Document ID]],Table1[],2,FALSE)</f>
        <v>PSE</v>
      </c>
      <c r="C1632" s="233" t="str">
        <f>VLOOKUP(Table8[[#This Row],[Document ID]],Table1[],3,FALSE)</f>
        <v>Palestine</v>
      </c>
      <c r="D1632" s="243" t="str">
        <f>VLOOKUP(Table8[[#This Row],[Document ID]],Table1[],5,FALSE)</f>
        <v>NDC</v>
      </c>
      <c r="E1632" s="233" t="str">
        <f>VLOOKUP(Table8[[#This Row],[Document ID]],Table1[],7,FALSE)</f>
        <v>First NDC</v>
      </c>
      <c r="F1632" s="236" t="str">
        <f>VLOOKUP(Table8[[#This Row],[Document ID]],Table1[],8,FALSE)</f>
        <v>NDC 1.0</v>
      </c>
      <c r="G1632" s="236" t="str">
        <f>VLOOKUP(Table8[[#This Row],[Document ID]],Table1[],10,FALSE)</f>
        <v>Archived</v>
      </c>
      <c r="H1632" s="43" t="s">
        <v>2350</v>
      </c>
      <c r="I1632" s="43" t="s">
        <v>2370</v>
      </c>
      <c r="J1632" s="44" t="s">
        <v>2511</v>
      </c>
      <c r="K1632" s="44" t="s">
        <v>3848</v>
      </c>
      <c r="L1632" s="44" t="s">
        <v>2333</v>
      </c>
      <c r="M1632" s="43"/>
      <c r="N1632" s="113" t="s">
        <v>1113</v>
      </c>
      <c r="O1632" s="113"/>
      <c r="P1632" s="113"/>
      <c r="Q1632" s="319"/>
      <c r="R1632" s="319"/>
      <c r="S1632" s="319"/>
      <c r="T1632" s="319"/>
      <c r="U1632" s="319"/>
      <c r="V1632" s="319"/>
      <c r="W1632" s="319"/>
      <c r="X1632" s="319"/>
      <c r="Y1632" s="319"/>
      <c r="Z1632" s="113"/>
      <c r="AA1632" s="319"/>
      <c r="AB1632" s="319"/>
      <c r="AC1632" s="319"/>
      <c r="AD1632" s="319"/>
      <c r="AE1632" s="319"/>
      <c r="AF1632" s="319"/>
      <c r="AG1632" s="319"/>
      <c r="AH1632" s="319"/>
      <c r="AI1632" s="319"/>
      <c r="AJ1632" s="319"/>
      <c r="AK1632" s="319" t="s">
        <v>1113</v>
      </c>
      <c r="AL1632" s="319"/>
      <c r="AM1632" s="319"/>
      <c r="AN1632" s="319"/>
      <c r="AO1632" s="44" t="s">
        <v>2334</v>
      </c>
      <c r="AP1632" s="44"/>
      <c r="AQ1632" s="236" t="str">
        <f>VLOOKUP(Table8[[#This Row],[Instrument]],Def_Targets!$D$73:$E$159,2,FALSE)</f>
        <v>A_LATM</v>
      </c>
      <c r="AR1632" s="233" t="str">
        <f>VLOOKUP(Table8[[#This Row],[Country Code]],Table29[],3,FALSE)</f>
        <v>Non-Annex I</v>
      </c>
      <c r="AS1632" s="233" t="str">
        <f>VLOOKUP(Table8[[#This Row],[Country Code]],Table29[],4,FALSE)</f>
        <v>Asia</v>
      </c>
      <c r="AT1632" s="233" t="str">
        <f>VLOOKUP(Table8[[#This Row],[Country Code]],Table29[],5,FALSE)</f>
        <v>Middle-income</v>
      </c>
      <c r="AU1632" s="233" t="str">
        <f>VLOOKUP(Table8[[#This Row],[Country Code]],Table29[],6,FALSE)</f>
        <v>no</v>
      </c>
      <c r="AV1632" s="233" t="str">
        <f>VLOOKUP(Table8[[#This Row],[Country Code]],Table29[],7,FALSE)</f>
        <v>no</v>
      </c>
      <c r="AW1632" s="233" t="str">
        <f>VLOOKUP(Table8[[#This Row],[Country Code]],Table29[],8,FALSE)</f>
        <v>non-OECD</v>
      </c>
      <c r="AX1632" s="233" t="str">
        <f>VLOOKUP(Table8[[#This Row],[Country Code]],Table29[],9,FALSE)</f>
        <v>no</v>
      </c>
      <c r="AY1632" s="233" t="str">
        <f>VLOOKUP(Table8[[#This Row],[Country Code]],Table29[],10,FALSE)</f>
        <v>MENA</v>
      </c>
      <c r="AZ1632" s="235">
        <f>VLOOKUP(Table8[[#This Row],[Country Code]],Table29[],23,FALSE)</f>
        <v>0</v>
      </c>
      <c r="BA1632" s="235">
        <f>VLOOKUP(Table8[[#This Row],[Country Code]],Table29[],24,FALSE)</f>
        <v>0</v>
      </c>
      <c r="BB1632" s="320"/>
      <c r="BC1632" s="320"/>
    </row>
    <row r="1633" spans="1:55" hidden="1" x14ac:dyDescent="0.25">
      <c r="A1633" s="373">
        <v>17692</v>
      </c>
      <c r="B1633" s="233" t="str">
        <f>VLOOKUP(Table8[[#This Row],[Document ID]],Table1[],2,FALSE)</f>
        <v>PSE</v>
      </c>
      <c r="C1633" s="233" t="str">
        <f>VLOOKUP(Table8[[#This Row],[Document ID]],Table1[],3,FALSE)</f>
        <v>Palestine</v>
      </c>
      <c r="D1633" s="243" t="str">
        <f>VLOOKUP(Table8[[#This Row],[Document ID]],Table1[],5,FALSE)</f>
        <v>NDC</v>
      </c>
      <c r="E1633" s="233" t="str">
        <f>VLOOKUP(Table8[[#This Row],[Document ID]],Table1[],7,FALSE)</f>
        <v>First NDC</v>
      </c>
      <c r="F1633" s="236" t="str">
        <f>VLOOKUP(Table8[[#This Row],[Document ID]],Table1[],8,FALSE)</f>
        <v>NDC 1.0</v>
      </c>
      <c r="G1633" s="236" t="str">
        <f>VLOOKUP(Table8[[#This Row],[Document ID]],Table1[],10,FALSE)</f>
        <v>Archived</v>
      </c>
      <c r="H1633" s="43" t="s">
        <v>2343</v>
      </c>
      <c r="I1633" s="43" t="s">
        <v>2344</v>
      </c>
      <c r="J1633" s="44" t="s">
        <v>2345</v>
      </c>
      <c r="K1633" s="44" t="s">
        <v>3849</v>
      </c>
      <c r="L1633" s="44" t="s">
        <v>2347</v>
      </c>
      <c r="M1633" s="43"/>
      <c r="N1633" s="113" t="s">
        <v>1113</v>
      </c>
      <c r="O1633" s="113"/>
      <c r="P1633" s="113"/>
      <c r="Q1633" s="319"/>
      <c r="R1633" s="319"/>
      <c r="S1633" s="319"/>
      <c r="T1633" s="319"/>
      <c r="U1633" s="319"/>
      <c r="V1633" s="319"/>
      <c r="W1633" s="319"/>
      <c r="X1633" s="319"/>
      <c r="Y1633" s="319"/>
      <c r="Z1633" s="113"/>
      <c r="AA1633" s="319"/>
      <c r="AB1633" s="319"/>
      <c r="AC1633" s="319"/>
      <c r="AD1633" s="319"/>
      <c r="AE1633" s="319"/>
      <c r="AF1633" s="319"/>
      <c r="AG1633" s="319"/>
      <c r="AH1633" s="319"/>
      <c r="AI1633" s="319"/>
      <c r="AJ1633" s="319"/>
      <c r="AK1633" s="319" t="s">
        <v>1113</v>
      </c>
      <c r="AL1633" s="319"/>
      <c r="AM1633" s="319"/>
      <c r="AN1633" s="319"/>
      <c r="AO1633" s="43" t="s">
        <v>2348</v>
      </c>
      <c r="AP1633" s="44"/>
      <c r="AQ1633" s="236" t="str">
        <f>VLOOKUP(Table8[[#This Row],[Instrument]],Def_Targets!$D$73:$E$159,2,FALSE)</f>
        <v>S_PublicTransport</v>
      </c>
      <c r="AR1633" s="233" t="str">
        <f>VLOOKUP(Table8[[#This Row],[Country Code]],Table29[],3,FALSE)</f>
        <v>Non-Annex I</v>
      </c>
      <c r="AS1633" s="233" t="str">
        <f>VLOOKUP(Table8[[#This Row],[Country Code]],Table29[],4,FALSE)</f>
        <v>Asia</v>
      </c>
      <c r="AT1633" s="233" t="str">
        <f>VLOOKUP(Table8[[#This Row],[Country Code]],Table29[],5,FALSE)</f>
        <v>Middle-income</v>
      </c>
      <c r="AU1633" s="233" t="str">
        <f>VLOOKUP(Table8[[#This Row],[Country Code]],Table29[],6,FALSE)</f>
        <v>no</v>
      </c>
      <c r="AV1633" s="233" t="str">
        <f>VLOOKUP(Table8[[#This Row],[Country Code]],Table29[],7,FALSE)</f>
        <v>no</v>
      </c>
      <c r="AW1633" s="233" t="str">
        <f>VLOOKUP(Table8[[#This Row],[Country Code]],Table29[],8,FALSE)</f>
        <v>non-OECD</v>
      </c>
      <c r="AX1633" s="233" t="str">
        <f>VLOOKUP(Table8[[#This Row],[Country Code]],Table29[],9,FALSE)</f>
        <v>no</v>
      </c>
      <c r="AY1633" s="233" t="str">
        <f>VLOOKUP(Table8[[#This Row],[Country Code]],Table29[],10,FALSE)</f>
        <v>MENA</v>
      </c>
      <c r="AZ1633" s="235">
        <f>VLOOKUP(Table8[[#This Row],[Country Code]],Table29[],23,FALSE)</f>
        <v>0</v>
      </c>
      <c r="BA1633" s="235">
        <f>VLOOKUP(Table8[[#This Row],[Country Code]],Table29[],24,FALSE)</f>
        <v>0</v>
      </c>
      <c r="BB1633" s="320"/>
      <c r="BC1633" s="320"/>
    </row>
    <row r="1634" spans="1:55" hidden="1" x14ac:dyDescent="0.25">
      <c r="A1634" s="373">
        <v>17692</v>
      </c>
      <c r="B1634" s="233" t="str">
        <f>VLOOKUP(Table8[[#This Row],[Document ID]],Table1[],2,FALSE)</f>
        <v>PSE</v>
      </c>
      <c r="C1634" s="233" t="str">
        <f>VLOOKUP(Table8[[#This Row],[Document ID]],Table1[],3,FALSE)</f>
        <v>Palestine</v>
      </c>
      <c r="D1634" s="243" t="str">
        <f>VLOOKUP(Table8[[#This Row],[Document ID]],Table1[],5,FALSE)</f>
        <v>NDC</v>
      </c>
      <c r="E1634" s="233" t="str">
        <f>VLOOKUP(Table8[[#This Row],[Document ID]],Table1[],7,FALSE)</f>
        <v>First NDC</v>
      </c>
      <c r="F1634" s="236" t="str">
        <f>VLOOKUP(Table8[[#This Row],[Document ID]],Table1[],8,FALSE)</f>
        <v>NDC 1.0</v>
      </c>
      <c r="G1634" s="236" t="str">
        <f>VLOOKUP(Table8[[#This Row],[Document ID]],Table1[],10,FALSE)</f>
        <v>Archived</v>
      </c>
      <c r="H1634" s="44" t="s">
        <v>2329</v>
      </c>
      <c r="I1634" s="44" t="s">
        <v>2330</v>
      </c>
      <c r="J1634" s="44" t="s">
        <v>2363</v>
      </c>
      <c r="K1634" s="44" t="s">
        <v>3850</v>
      </c>
      <c r="L1634" s="44" t="s">
        <v>2333</v>
      </c>
      <c r="M1634" s="43"/>
      <c r="N1634" s="113"/>
      <c r="O1634" s="113"/>
      <c r="P1634" s="113"/>
      <c r="Q1634" s="319"/>
      <c r="R1634" s="319"/>
      <c r="S1634" s="319"/>
      <c r="T1634" s="319"/>
      <c r="U1634" s="319"/>
      <c r="V1634" s="319"/>
      <c r="W1634" s="319" t="s">
        <v>1113</v>
      </c>
      <c r="X1634" s="319"/>
      <c r="Y1634" s="319"/>
      <c r="Z1634" s="113"/>
      <c r="AA1634" s="319"/>
      <c r="AB1634" s="319"/>
      <c r="AC1634" s="319"/>
      <c r="AD1634" s="319"/>
      <c r="AE1634" s="319"/>
      <c r="AF1634" s="319"/>
      <c r="AG1634" s="319"/>
      <c r="AH1634" s="319"/>
      <c r="AI1634" s="319"/>
      <c r="AJ1634" s="319"/>
      <c r="AK1634" s="319" t="s">
        <v>1113</v>
      </c>
      <c r="AL1634" s="319"/>
      <c r="AM1634" s="319"/>
      <c r="AN1634" s="319"/>
      <c r="AO1634" s="43" t="s">
        <v>2348</v>
      </c>
      <c r="AP1634" s="44"/>
      <c r="AQ1634" s="236" t="str">
        <f>VLOOKUP(Table8[[#This Row],[Instrument]],Def_Targets!$D$73:$E$159,2,FALSE)</f>
        <v>I_LPGCNGLNG</v>
      </c>
      <c r="AR1634" s="233" t="str">
        <f>VLOOKUP(Table8[[#This Row],[Country Code]],Table29[],3,FALSE)</f>
        <v>Non-Annex I</v>
      </c>
      <c r="AS1634" s="233" t="str">
        <f>VLOOKUP(Table8[[#This Row],[Country Code]],Table29[],4,FALSE)</f>
        <v>Asia</v>
      </c>
      <c r="AT1634" s="233" t="str">
        <f>VLOOKUP(Table8[[#This Row],[Country Code]],Table29[],5,FALSE)</f>
        <v>Middle-income</v>
      </c>
      <c r="AU1634" s="233" t="str">
        <f>VLOOKUP(Table8[[#This Row],[Country Code]],Table29[],6,FALSE)</f>
        <v>no</v>
      </c>
      <c r="AV1634" s="233" t="str">
        <f>VLOOKUP(Table8[[#This Row],[Country Code]],Table29[],7,FALSE)</f>
        <v>no</v>
      </c>
      <c r="AW1634" s="233" t="str">
        <f>VLOOKUP(Table8[[#This Row],[Country Code]],Table29[],8,FALSE)</f>
        <v>non-OECD</v>
      </c>
      <c r="AX1634" s="233" t="str">
        <f>VLOOKUP(Table8[[#This Row],[Country Code]],Table29[],9,FALSE)</f>
        <v>no</v>
      </c>
      <c r="AY1634" s="233" t="str">
        <f>VLOOKUP(Table8[[#This Row],[Country Code]],Table29[],10,FALSE)</f>
        <v>MENA</v>
      </c>
      <c r="AZ1634" s="235">
        <f>VLOOKUP(Table8[[#This Row],[Country Code]],Table29[],23,FALSE)</f>
        <v>0</v>
      </c>
      <c r="BA1634" s="235">
        <f>VLOOKUP(Table8[[#This Row],[Country Code]],Table29[],24,FALSE)</f>
        <v>0</v>
      </c>
      <c r="BB1634" s="320"/>
      <c r="BC1634" s="320"/>
    </row>
    <row r="1635" spans="1:55" hidden="1" x14ac:dyDescent="0.25">
      <c r="A1635" s="373">
        <v>17692</v>
      </c>
      <c r="B1635" s="233" t="str">
        <f>VLOOKUP(Table8[[#This Row],[Document ID]],Table1[],2,FALSE)</f>
        <v>PSE</v>
      </c>
      <c r="C1635" s="233" t="str">
        <f>VLOOKUP(Table8[[#This Row],[Document ID]],Table1[],3,FALSE)</f>
        <v>Palestine</v>
      </c>
      <c r="D1635" s="243" t="str">
        <f>VLOOKUP(Table8[[#This Row],[Document ID]],Table1[],5,FALSE)</f>
        <v>NDC</v>
      </c>
      <c r="E1635" s="233" t="str">
        <f>VLOOKUP(Table8[[#This Row],[Document ID]],Table1[],7,FALSE)</f>
        <v>First NDC</v>
      </c>
      <c r="F1635" s="236" t="str">
        <f>VLOOKUP(Table8[[#This Row],[Document ID]],Table1[],8,FALSE)</f>
        <v>NDC 1.0</v>
      </c>
      <c r="G1635" s="236" t="str">
        <f>VLOOKUP(Table8[[#This Row],[Document ID]],Table1[],10,FALSE)</f>
        <v>Archived</v>
      </c>
      <c r="H1635" s="43" t="s">
        <v>2358</v>
      </c>
      <c r="I1635" s="43" t="s">
        <v>2359</v>
      </c>
      <c r="J1635" s="44" t="s">
        <v>2360</v>
      </c>
      <c r="K1635" s="44" t="s">
        <v>3851</v>
      </c>
      <c r="L1635" s="44" t="s">
        <v>2333</v>
      </c>
      <c r="M1635" s="43"/>
      <c r="N1635" s="113" t="s">
        <v>1113</v>
      </c>
      <c r="O1635" s="113"/>
      <c r="P1635" s="113"/>
      <c r="Q1635" s="319"/>
      <c r="R1635" s="319"/>
      <c r="S1635" s="319"/>
      <c r="T1635" s="319"/>
      <c r="U1635" s="319"/>
      <c r="V1635" s="319"/>
      <c r="W1635" s="319"/>
      <c r="X1635" s="319"/>
      <c r="Y1635" s="319"/>
      <c r="Z1635" s="113"/>
      <c r="AA1635" s="319"/>
      <c r="AB1635" s="319"/>
      <c r="AC1635" s="319"/>
      <c r="AD1635" s="319"/>
      <c r="AE1635" s="319"/>
      <c r="AF1635" s="319"/>
      <c r="AG1635" s="319"/>
      <c r="AH1635" s="319"/>
      <c r="AI1635" s="319"/>
      <c r="AJ1635" s="319"/>
      <c r="AK1635" s="319" t="s">
        <v>1113</v>
      </c>
      <c r="AL1635" s="319"/>
      <c r="AM1635" s="319"/>
      <c r="AN1635" s="319"/>
      <c r="AO1635" s="44" t="s">
        <v>2334</v>
      </c>
      <c r="AP1635" s="44"/>
      <c r="AQ1635" s="236" t="str">
        <f>VLOOKUP(Table8[[#This Row],[Instrument]],Def_Targets!$D$73:$E$159,2,FALSE)</f>
        <v>I_Emobility</v>
      </c>
      <c r="AR1635" s="233" t="str">
        <f>VLOOKUP(Table8[[#This Row],[Country Code]],Table29[],3,FALSE)</f>
        <v>Non-Annex I</v>
      </c>
      <c r="AS1635" s="233" t="str">
        <f>VLOOKUP(Table8[[#This Row],[Country Code]],Table29[],4,FALSE)</f>
        <v>Asia</v>
      </c>
      <c r="AT1635" s="233" t="str">
        <f>VLOOKUP(Table8[[#This Row],[Country Code]],Table29[],5,FALSE)</f>
        <v>Middle-income</v>
      </c>
      <c r="AU1635" s="233" t="str">
        <f>VLOOKUP(Table8[[#This Row],[Country Code]],Table29[],6,FALSE)</f>
        <v>no</v>
      </c>
      <c r="AV1635" s="233" t="str">
        <f>VLOOKUP(Table8[[#This Row],[Country Code]],Table29[],7,FALSE)</f>
        <v>no</v>
      </c>
      <c r="AW1635" s="233" t="str">
        <f>VLOOKUP(Table8[[#This Row],[Country Code]],Table29[],8,FALSE)</f>
        <v>non-OECD</v>
      </c>
      <c r="AX1635" s="233" t="str">
        <f>VLOOKUP(Table8[[#This Row],[Country Code]],Table29[],9,FALSE)</f>
        <v>no</v>
      </c>
      <c r="AY1635" s="233" t="str">
        <f>VLOOKUP(Table8[[#This Row],[Country Code]],Table29[],10,FALSE)</f>
        <v>MENA</v>
      </c>
      <c r="AZ1635" s="235">
        <f>VLOOKUP(Table8[[#This Row],[Country Code]],Table29[],23,FALSE)</f>
        <v>0</v>
      </c>
      <c r="BA1635" s="235">
        <f>VLOOKUP(Table8[[#This Row],[Country Code]],Table29[],24,FALSE)</f>
        <v>0</v>
      </c>
      <c r="BB1635" s="320"/>
      <c r="BC1635" s="320"/>
    </row>
    <row r="1636" spans="1:55" hidden="1" x14ac:dyDescent="0.25">
      <c r="A1636" s="373">
        <v>17692</v>
      </c>
      <c r="B1636" s="233" t="str">
        <f>VLOOKUP(Table8[[#This Row],[Document ID]],Table1[],2,FALSE)</f>
        <v>PSE</v>
      </c>
      <c r="C1636" s="233" t="str">
        <f>VLOOKUP(Table8[[#This Row],[Document ID]],Table1[],3,FALSE)</f>
        <v>Palestine</v>
      </c>
      <c r="D1636" s="243" t="str">
        <f>VLOOKUP(Table8[[#This Row],[Document ID]],Table1[],5,FALSE)</f>
        <v>NDC</v>
      </c>
      <c r="E1636" s="233" t="str">
        <f>VLOOKUP(Table8[[#This Row],[Document ID]],Table1[],7,FALSE)</f>
        <v>First NDC</v>
      </c>
      <c r="F1636" s="236" t="str">
        <f>VLOOKUP(Table8[[#This Row],[Document ID]],Table1[],8,FALSE)</f>
        <v>NDC 1.0</v>
      </c>
      <c r="G1636" s="236" t="str">
        <f>VLOOKUP(Table8[[#This Row],[Document ID]],Table1[],10,FALSE)</f>
        <v>Archived</v>
      </c>
      <c r="H1636" s="43" t="s">
        <v>2343</v>
      </c>
      <c r="I1636" s="43" t="s">
        <v>2344</v>
      </c>
      <c r="J1636" s="44" t="s">
        <v>2549</v>
      </c>
      <c r="K1636" s="44" t="s">
        <v>3852</v>
      </c>
      <c r="L1636" s="44" t="s">
        <v>2347</v>
      </c>
      <c r="M1636" s="43"/>
      <c r="N1636" s="113"/>
      <c r="O1636" s="113"/>
      <c r="P1636" s="113"/>
      <c r="Q1636" s="319"/>
      <c r="R1636" s="319"/>
      <c r="S1636" s="319"/>
      <c r="T1636" s="319"/>
      <c r="U1636" s="319"/>
      <c r="V1636" s="319"/>
      <c r="W1636" s="319"/>
      <c r="X1636" s="319"/>
      <c r="Y1636" s="319" t="s">
        <v>1113</v>
      </c>
      <c r="Z1636" s="113"/>
      <c r="AA1636" s="319"/>
      <c r="AB1636" s="319"/>
      <c r="AC1636" s="319"/>
      <c r="AD1636" s="319"/>
      <c r="AE1636" s="319"/>
      <c r="AF1636" s="319"/>
      <c r="AG1636" s="319"/>
      <c r="AH1636" s="319"/>
      <c r="AI1636" s="319"/>
      <c r="AJ1636" s="319"/>
      <c r="AK1636" s="319"/>
      <c r="AL1636" s="319" t="s">
        <v>1113</v>
      </c>
      <c r="AM1636" s="319"/>
      <c r="AN1636" s="319"/>
      <c r="AO1636" s="43" t="s">
        <v>2348</v>
      </c>
      <c r="AP1636" s="44"/>
      <c r="AQ1636" s="236" t="str">
        <f>VLOOKUP(Table8[[#This Row],[Instrument]],Def_Targets!$D$73:$E$159,2,FALSE)</f>
        <v>S_BRT</v>
      </c>
      <c r="AR1636" s="233" t="str">
        <f>VLOOKUP(Table8[[#This Row],[Country Code]],Table29[],3,FALSE)</f>
        <v>Non-Annex I</v>
      </c>
      <c r="AS1636" s="233" t="str">
        <f>VLOOKUP(Table8[[#This Row],[Country Code]],Table29[],4,FALSE)</f>
        <v>Asia</v>
      </c>
      <c r="AT1636" s="233" t="str">
        <f>VLOOKUP(Table8[[#This Row],[Country Code]],Table29[],5,FALSE)</f>
        <v>Middle-income</v>
      </c>
      <c r="AU1636" s="233" t="str">
        <f>VLOOKUP(Table8[[#This Row],[Country Code]],Table29[],6,FALSE)</f>
        <v>no</v>
      </c>
      <c r="AV1636" s="233" t="str">
        <f>VLOOKUP(Table8[[#This Row],[Country Code]],Table29[],7,FALSE)</f>
        <v>no</v>
      </c>
      <c r="AW1636" s="233" t="str">
        <f>VLOOKUP(Table8[[#This Row],[Country Code]],Table29[],8,FALSE)</f>
        <v>non-OECD</v>
      </c>
      <c r="AX1636" s="233" t="str">
        <f>VLOOKUP(Table8[[#This Row],[Country Code]],Table29[],9,FALSE)</f>
        <v>no</v>
      </c>
      <c r="AY1636" s="233" t="str">
        <f>VLOOKUP(Table8[[#This Row],[Country Code]],Table29[],10,FALSE)</f>
        <v>MENA</v>
      </c>
      <c r="AZ1636" s="235">
        <f>VLOOKUP(Table8[[#This Row],[Country Code]],Table29[],23,FALSE)</f>
        <v>0</v>
      </c>
      <c r="BA1636" s="235">
        <f>VLOOKUP(Table8[[#This Row],[Country Code]],Table29[],24,FALSE)</f>
        <v>0</v>
      </c>
      <c r="BB1636" s="320"/>
      <c r="BC1636" s="320"/>
    </row>
    <row r="1637" spans="1:55" hidden="1" x14ac:dyDescent="0.25">
      <c r="A1637" s="373">
        <v>17692</v>
      </c>
      <c r="B1637" s="233" t="str">
        <f>VLOOKUP(Table8[[#This Row],[Document ID]],Table1[],2,FALSE)</f>
        <v>PSE</v>
      </c>
      <c r="C1637" s="233" t="str">
        <f>VLOOKUP(Table8[[#This Row],[Document ID]],Table1[],3,FALSE)</f>
        <v>Palestine</v>
      </c>
      <c r="D1637" s="243" t="str">
        <f>VLOOKUP(Table8[[#This Row],[Document ID]],Table1[],5,FALSE)</f>
        <v>NDC</v>
      </c>
      <c r="E1637" s="233" t="str">
        <f>VLOOKUP(Table8[[#This Row],[Document ID]],Table1[],7,FALSE)</f>
        <v>First NDC</v>
      </c>
      <c r="F1637" s="236" t="str">
        <f>VLOOKUP(Table8[[#This Row],[Document ID]],Table1[],8,FALSE)</f>
        <v>NDC 1.0</v>
      </c>
      <c r="G1637" s="236" t="str">
        <f>VLOOKUP(Table8[[#This Row],[Document ID]],Table1[],10,FALSE)</f>
        <v>Archived</v>
      </c>
      <c r="H1637" s="44" t="s">
        <v>2338</v>
      </c>
      <c r="I1637" s="44" t="s">
        <v>2339</v>
      </c>
      <c r="J1637" s="44" t="s">
        <v>2416</v>
      </c>
      <c r="K1637" s="44" t="s">
        <v>3853</v>
      </c>
      <c r="L1637" s="44" t="s">
        <v>2333</v>
      </c>
      <c r="M1637" s="43"/>
      <c r="N1637" s="113" t="s">
        <v>1113</v>
      </c>
      <c r="O1637" s="113"/>
      <c r="P1637" s="113"/>
      <c r="Q1637" s="319"/>
      <c r="R1637" s="319"/>
      <c r="S1637" s="319"/>
      <c r="T1637" s="319"/>
      <c r="U1637" s="319"/>
      <c r="V1637" s="319"/>
      <c r="W1637" s="319"/>
      <c r="X1637" s="319"/>
      <c r="Y1637" s="319"/>
      <c r="Z1637" s="113"/>
      <c r="AA1637" s="319"/>
      <c r="AB1637" s="319"/>
      <c r="AC1637" s="319"/>
      <c r="AD1637" s="319"/>
      <c r="AE1637" s="319"/>
      <c r="AF1637" s="319"/>
      <c r="AG1637" s="319"/>
      <c r="AH1637" s="319"/>
      <c r="AI1637" s="319"/>
      <c r="AJ1637" s="319"/>
      <c r="AK1637" s="319" t="s">
        <v>1113</v>
      </c>
      <c r="AL1637" s="319"/>
      <c r="AM1637" s="319"/>
      <c r="AN1637" s="319"/>
      <c r="AO1637" s="44" t="s">
        <v>2334</v>
      </c>
      <c r="AP1637" s="44"/>
      <c r="AQ1637" s="236" t="str">
        <f>VLOOKUP(Table8[[#This Row],[Instrument]],Def_Targets!$D$73:$E$159,2,FALSE)</f>
        <v>I_Vehiclescrappage</v>
      </c>
      <c r="AR1637" s="233" t="str">
        <f>VLOOKUP(Table8[[#This Row],[Country Code]],Table29[],3,FALSE)</f>
        <v>Non-Annex I</v>
      </c>
      <c r="AS1637" s="233" t="str">
        <f>VLOOKUP(Table8[[#This Row],[Country Code]],Table29[],4,FALSE)</f>
        <v>Asia</v>
      </c>
      <c r="AT1637" s="233" t="str">
        <f>VLOOKUP(Table8[[#This Row],[Country Code]],Table29[],5,FALSE)</f>
        <v>Middle-income</v>
      </c>
      <c r="AU1637" s="233" t="str">
        <f>VLOOKUP(Table8[[#This Row],[Country Code]],Table29[],6,FALSE)</f>
        <v>no</v>
      </c>
      <c r="AV1637" s="233" t="str">
        <f>VLOOKUP(Table8[[#This Row],[Country Code]],Table29[],7,FALSE)</f>
        <v>no</v>
      </c>
      <c r="AW1637" s="233" t="str">
        <f>VLOOKUP(Table8[[#This Row],[Country Code]],Table29[],8,FALSE)</f>
        <v>non-OECD</v>
      </c>
      <c r="AX1637" s="233" t="str">
        <f>VLOOKUP(Table8[[#This Row],[Country Code]],Table29[],9,FALSE)</f>
        <v>no</v>
      </c>
      <c r="AY1637" s="233" t="str">
        <f>VLOOKUP(Table8[[#This Row],[Country Code]],Table29[],10,FALSE)</f>
        <v>MENA</v>
      </c>
      <c r="AZ1637" s="235">
        <f>VLOOKUP(Table8[[#This Row],[Country Code]],Table29[],23,FALSE)</f>
        <v>0</v>
      </c>
      <c r="BA1637" s="235">
        <f>VLOOKUP(Table8[[#This Row],[Country Code]],Table29[],24,FALSE)</f>
        <v>0</v>
      </c>
      <c r="BB1637" s="320"/>
      <c r="BC1637" s="320"/>
    </row>
    <row r="1638" spans="1:55" hidden="1" x14ac:dyDescent="0.25">
      <c r="A1638" s="373">
        <v>17692</v>
      </c>
      <c r="B1638" s="233" t="str">
        <f>VLOOKUP(Table8[[#This Row],[Document ID]],Table1[],2,FALSE)</f>
        <v>PSE</v>
      </c>
      <c r="C1638" s="233" t="str">
        <f>VLOOKUP(Table8[[#This Row],[Document ID]],Table1[],3,FALSE)</f>
        <v>Palestine</v>
      </c>
      <c r="D1638" s="243" t="str">
        <f>VLOOKUP(Table8[[#This Row],[Document ID]],Table1[],5,FALSE)</f>
        <v>NDC</v>
      </c>
      <c r="E1638" s="233" t="str">
        <f>VLOOKUP(Table8[[#This Row],[Document ID]],Table1[],7,FALSE)</f>
        <v>First NDC</v>
      </c>
      <c r="F1638" s="236" t="str">
        <f>VLOOKUP(Table8[[#This Row],[Document ID]],Table1[],8,FALSE)</f>
        <v>NDC 1.0</v>
      </c>
      <c r="G1638" s="236" t="str">
        <f>VLOOKUP(Table8[[#This Row],[Document ID]],Table1[],10,FALSE)</f>
        <v>Archived</v>
      </c>
      <c r="H1638" s="44" t="s">
        <v>2338</v>
      </c>
      <c r="I1638" s="44" t="s">
        <v>2339</v>
      </c>
      <c r="J1638" s="44" t="s">
        <v>2340</v>
      </c>
      <c r="K1638" s="44" t="s">
        <v>3854</v>
      </c>
      <c r="L1638" s="44" t="s">
        <v>2333</v>
      </c>
      <c r="M1638" s="43"/>
      <c r="N1638" s="113" t="s">
        <v>1113</v>
      </c>
      <c r="O1638" s="113"/>
      <c r="P1638" s="113"/>
      <c r="Q1638" s="319"/>
      <c r="R1638" s="319"/>
      <c r="S1638" s="319"/>
      <c r="T1638" s="319"/>
      <c r="U1638" s="319"/>
      <c r="V1638" s="319"/>
      <c r="W1638" s="319"/>
      <c r="X1638" s="319"/>
      <c r="Y1638" s="319"/>
      <c r="Z1638" s="113"/>
      <c r="AA1638" s="319"/>
      <c r="AB1638" s="319"/>
      <c r="AC1638" s="319"/>
      <c r="AD1638" s="319"/>
      <c r="AE1638" s="319"/>
      <c r="AF1638" s="319"/>
      <c r="AG1638" s="319"/>
      <c r="AH1638" s="319"/>
      <c r="AI1638" s="319"/>
      <c r="AJ1638" s="319"/>
      <c r="AK1638" s="319" t="s">
        <v>1113</v>
      </c>
      <c r="AL1638" s="319"/>
      <c r="AM1638" s="319"/>
      <c r="AN1638" s="319"/>
      <c r="AO1638" s="44" t="s">
        <v>2334</v>
      </c>
      <c r="AP1638" s="44"/>
      <c r="AQ1638" s="236" t="str">
        <f>VLOOKUP(Table8[[#This Row],[Instrument]],Def_Targets!$D$73:$E$159,2,FALSE)</f>
        <v>I_Vehicleimprove</v>
      </c>
      <c r="AR1638" s="233" t="str">
        <f>VLOOKUP(Table8[[#This Row],[Country Code]],Table29[],3,FALSE)</f>
        <v>Non-Annex I</v>
      </c>
      <c r="AS1638" s="233" t="str">
        <f>VLOOKUP(Table8[[#This Row],[Country Code]],Table29[],4,FALSE)</f>
        <v>Asia</v>
      </c>
      <c r="AT1638" s="233" t="str">
        <f>VLOOKUP(Table8[[#This Row],[Country Code]],Table29[],5,FALSE)</f>
        <v>Middle-income</v>
      </c>
      <c r="AU1638" s="233" t="str">
        <f>VLOOKUP(Table8[[#This Row],[Country Code]],Table29[],6,FALSE)</f>
        <v>no</v>
      </c>
      <c r="AV1638" s="233" t="str">
        <f>VLOOKUP(Table8[[#This Row],[Country Code]],Table29[],7,FALSE)</f>
        <v>no</v>
      </c>
      <c r="AW1638" s="233" t="str">
        <f>VLOOKUP(Table8[[#This Row],[Country Code]],Table29[],8,FALSE)</f>
        <v>non-OECD</v>
      </c>
      <c r="AX1638" s="233" t="str">
        <f>VLOOKUP(Table8[[#This Row],[Country Code]],Table29[],9,FALSE)</f>
        <v>no</v>
      </c>
      <c r="AY1638" s="233" t="str">
        <f>VLOOKUP(Table8[[#This Row],[Country Code]],Table29[],10,FALSE)</f>
        <v>MENA</v>
      </c>
      <c r="AZ1638" s="235">
        <f>VLOOKUP(Table8[[#This Row],[Country Code]],Table29[],23,FALSE)</f>
        <v>0</v>
      </c>
      <c r="BA1638" s="235">
        <f>VLOOKUP(Table8[[#This Row],[Country Code]],Table29[],24,FALSE)</f>
        <v>0</v>
      </c>
      <c r="BB1638" s="320"/>
      <c r="BC1638" s="320"/>
    </row>
    <row r="1639" spans="1:55" hidden="1" x14ac:dyDescent="0.25">
      <c r="A1639" s="373">
        <v>17692</v>
      </c>
      <c r="B1639" s="233" t="str">
        <f>VLOOKUP(Table8[[#This Row],[Document ID]],Table1[],2,FALSE)</f>
        <v>PSE</v>
      </c>
      <c r="C1639" s="233" t="str">
        <f>VLOOKUP(Table8[[#This Row],[Document ID]],Table1[],3,FALSE)</f>
        <v>Palestine</v>
      </c>
      <c r="D1639" s="243" t="str">
        <f>VLOOKUP(Table8[[#This Row],[Document ID]],Table1[],5,FALSE)</f>
        <v>NDC</v>
      </c>
      <c r="E1639" s="233" t="str">
        <f>VLOOKUP(Table8[[#This Row],[Document ID]],Table1[],7,FALSE)</f>
        <v>First NDC</v>
      </c>
      <c r="F1639" s="236" t="str">
        <f>VLOOKUP(Table8[[#This Row],[Document ID]],Table1[],8,FALSE)</f>
        <v>NDC 1.0</v>
      </c>
      <c r="G1639" s="236" t="str">
        <f>VLOOKUP(Table8[[#This Row],[Document ID]],Table1[],10,FALSE)</f>
        <v>Archived</v>
      </c>
      <c r="H1639" s="44" t="s">
        <v>2338</v>
      </c>
      <c r="I1639" s="44" t="s">
        <v>2339</v>
      </c>
      <c r="J1639" s="44" t="s">
        <v>2340</v>
      </c>
      <c r="K1639" s="44" t="s">
        <v>3855</v>
      </c>
      <c r="L1639" s="44" t="s">
        <v>2333</v>
      </c>
      <c r="M1639" s="43"/>
      <c r="N1639" s="113"/>
      <c r="O1639" s="113"/>
      <c r="P1639" s="113"/>
      <c r="Q1639" s="319"/>
      <c r="R1639" s="319"/>
      <c r="S1639" s="319" t="s">
        <v>1113</v>
      </c>
      <c r="T1639" s="319"/>
      <c r="U1639" s="319"/>
      <c r="V1639" s="319"/>
      <c r="W1639" s="319"/>
      <c r="X1639" s="319"/>
      <c r="Y1639" s="319"/>
      <c r="Z1639" s="113"/>
      <c r="AA1639" s="319"/>
      <c r="AB1639" s="319"/>
      <c r="AC1639" s="319"/>
      <c r="AD1639" s="319"/>
      <c r="AE1639" s="319"/>
      <c r="AF1639" s="319"/>
      <c r="AG1639" s="319"/>
      <c r="AH1639" s="319"/>
      <c r="AI1639" s="319"/>
      <c r="AJ1639" s="319"/>
      <c r="AK1639" s="319" t="s">
        <v>1113</v>
      </c>
      <c r="AL1639" s="319"/>
      <c r="AM1639" s="319"/>
      <c r="AN1639" s="319"/>
      <c r="AO1639" s="44" t="s">
        <v>2334</v>
      </c>
      <c r="AP1639" s="44"/>
      <c r="AQ1639" s="236" t="str">
        <f>VLOOKUP(Table8[[#This Row],[Instrument]],Def_Targets!$D$73:$E$159,2,FALSE)</f>
        <v>I_Vehicleimprove</v>
      </c>
      <c r="AR1639" s="233" t="str">
        <f>VLOOKUP(Table8[[#This Row],[Country Code]],Table29[],3,FALSE)</f>
        <v>Non-Annex I</v>
      </c>
      <c r="AS1639" s="233" t="str">
        <f>VLOOKUP(Table8[[#This Row],[Country Code]],Table29[],4,FALSE)</f>
        <v>Asia</v>
      </c>
      <c r="AT1639" s="233" t="str">
        <f>VLOOKUP(Table8[[#This Row],[Country Code]],Table29[],5,FALSE)</f>
        <v>Middle-income</v>
      </c>
      <c r="AU1639" s="233" t="str">
        <f>VLOOKUP(Table8[[#This Row],[Country Code]],Table29[],6,FALSE)</f>
        <v>no</v>
      </c>
      <c r="AV1639" s="233" t="str">
        <f>VLOOKUP(Table8[[#This Row],[Country Code]],Table29[],7,FALSE)</f>
        <v>no</v>
      </c>
      <c r="AW1639" s="233" t="str">
        <f>VLOOKUP(Table8[[#This Row],[Country Code]],Table29[],8,FALSE)</f>
        <v>non-OECD</v>
      </c>
      <c r="AX1639" s="233" t="str">
        <f>VLOOKUP(Table8[[#This Row],[Country Code]],Table29[],9,FALSE)</f>
        <v>no</v>
      </c>
      <c r="AY1639" s="233" t="str">
        <f>VLOOKUP(Table8[[#This Row],[Country Code]],Table29[],10,FALSE)</f>
        <v>MENA</v>
      </c>
      <c r="AZ1639" s="235">
        <f>VLOOKUP(Table8[[#This Row],[Country Code]],Table29[],23,FALSE)</f>
        <v>0</v>
      </c>
      <c r="BA1639" s="235">
        <f>VLOOKUP(Table8[[#This Row],[Country Code]],Table29[],24,FALSE)</f>
        <v>0</v>
      </c>
      <c r="BB1639" s="320"/>
      <c r="BC1639" s="320"/>
    </row>
    <row r="1640" spans="1:55" s="17" customFormat="1" hidden="1" x14ac:dyDescent="0.25">
      <c r="A1640" s="373">
        <v>23368</v>
      </c>
      <c r="B1640" s="233" t="str">
        <f>VLOOKUP(Table8[[#This Row],[Document ID]],Table1[],2,FALSE)</f>
        <v>PSE</v>
      </c>
      <c r="C1640" s="233" t="str">
        <f>VLOOKUP(Table8[[#This Row],[Document ID]],Table1[],3,FALSE)</f>
        <v>Palestine</v>
      </c>
      <c r="D1640" s="243" t="str">
        <f>VLOOKUP(Table8[[#This Row],[Document ID]],Table1[],5,FALSE)</f>
        <v>NDC</v>
      </c>
      <c r="E1640" s="233" t="str">
        <f>VLOOKUP(Table8[[#This Row],[Document ID]],Table1[],7,FALSE)</f>
        <v>First NDC updated</v>
      </c>
      <c r="F1640" s="233" t="str">
        <f>VLOOKUP(Table8[[#This Row],[Document ID]],Table1[],8,FALSE)</f>
        <v>NDC 1.1</v>
      </c>
      <c r="G1640" s="233" t="str">
        <f>VLOOKUP(Table8[[#This Row],[Document ID]],Table1[],10,FALSE)</f>
        <v>Active</v>
      </c>
      <c r="H1640" s="44" t="s">
        <v>2338</v>
      </c>
      <c r="I1640" s="44" t="s">
        <v>2339</v>
      </c>
      <c r="J1640" s="44" t="s">
        <v>2340</v>
      </c>
      <c r="K1640" s="44" t="s">
        <v>2011</v>
      </c>
      <c r="L1640" s="44" t="s">
        <v>2333</v>
      </c>
      <c r="M1640" s="43">
        <v>26</v>
      </c>
      <c r="N1640" s="113" t="s">
        <v>1113</v>
      </c>
      <c r="O1640" s="113"/>
      <c r="P1640" s="113"/>
      <c r="Q1640" s="113"/>
      <c r="R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t="s">
        <v>1113</v>
      </c>
      <c r="AL1640" s="113"/>
      <c r="AM1640" s="113"/>
      <c r="AN1640" s="113"/>
      <c r="AO1640" s="43" t="s">
        <v>2348</v>
      </c>
      <c r="AP1640" s="43"/>
      <c r="AQ1640" s="236" t="str">
        <f>VLOOKUP(Table8[[#This Row],[Instrument]],Def_Targets!$D$73:$E$159,2,FALSE)</f>
        <v>I_Vehicleimprove</v>
      </c>
      <c r="AR1640" s="233" t="str">
        <f>VLOOKUP(Table8[[#This Row],[Country Code]],Table29[],3,FALSE)</f>
        <v>Non-Annex I</v>
      </c>
      <c r="AS1640" s="233" t="str">
        <f>VLOOKUP(Table8[[#This Row],[Country Code]],Table29[],4,FALSE)</f>
        <v>Asia</v>
      </c>
      <c r="AT1640" s="233" t="str">
        <f>VLOOKUP(Table8[[#This Row],[Country Code]],Table29[],5,FALSE)</f>
        <v>Middle-income</v>
      </c>
      <c r="AU1640" s="233" t="str">
        <f>VLOOKUP(Table8[[#This Row],[Country Code]],Table29[],6,FALSE)</f>
        <v>no</v>
      </c>
      <c r="AV1640" s="233" t="str">
        <f>VLOOKUP(Table8[[#This Row],[Country Code]],Table29[],7,FALSE)</f>
        <v>no</v>
      </c>
      <c r="AW1640" s="233" t="str">
        <f>VLOOKUP(Table8[[#This Row],[Country Code]],Table29[],8,FALSE)</f>
        <v>non-OECD</v>
      </c>
      <c r="AX1640" s="233" t="str">
        <f>VLOOKUP(Table8[[#This Row],[Country Code]],Table29[],9,FALSE)</f>
        <v>no</v>
      </c>
      <c r="AY1640" s="233" t="str">
        <f>VLOOKUP(Table8[[#This Row],[Country Code]],Table29[],10,FALSE)</f>
        <v>MENA</v>
      </c>
      <c r="AZ1640" s="235">
        <f>VLOOKUP(Table8[[#This Row],[Country Code]],Table29[],23,FALSE)</f>
        <v>0</v>
      </c>
      <c r="BA1640" s="235">
        <f>VLOOKUP(Table8[[#This Row],[Country Code]],Table29[],24,FALSE)</f>
        <v>0</v>
      </c>
      <c r="BB1640" s="320"/>
      <c r="BC1640" s="320"/>
    </row>
    <row r="1641" spans="1:55" s="17" customFormat="1" ht="30" hidden="1" x14ac:dyDescent="0.25">
      <c r="A1641" s="373">
        <v>23368</v>
      </c>
      <c r="B1641" s="233" t="str">
        <f>VLOOKUP(Table8[[#This Row],[Document ID]],Table1[],2,FALSE)</f>
        <v>PSE</v>
      </c>
      <c r="C1641" s="233" t="str">
        <f>VLOOKUP(Table8[[#This Row],[Document ID]],Table1[],3,FALSE)</f>
        <v>Palestine</v>
      </c>
      <c r="D1641" s="243" t="str">
        <f>VLOOKUP(Table8[[#This Row],[Document ID]],Table1[],5,FALSE)</f>
        <v>NDC</v>
      </c>
      <c r="E1641" s="233" t="str">
        <f>VLOOKUP(Table8[[#This Row],[Document ID]],Table1[],7,FALSE)</f>
        <v>First NDC updated</v>
      </c>
      <c r="F1641" s="233" t="str">
        <f>VLOOKUP(Table8[[#This Row],[Document ID]],Table1[],8,FALSE)</f>
        <v>NDC 1.1</v>
      </c>
      <c r="G1641" s="233" t="str">
        <f>VLOOKUP(Table8[[#This Row],[Document ID]],Table1[],10,FALSE)</f>
        <v>Active</v>
      </c>
      <c r="H1641" s="44" t="s">
        <v>2338</v>
      </c>
      <c r="I1641" s="44" t="s">
        <v>2339</v>
      </c>
      <c r="J1641" s="44" t="s">
        <v>2416</v>
      </c>
      <c r="K1641" s="44" t="s">
        <v>2012</v>
      </c>
      <c r="L1641" s="44" t="s">
        <v>2333</v>
      </c>
      <c r="M1641" s="43">
        <v>26</v>
      </c>
      <c r="N1641" s="113" t="s">
        <v>1113</v>
      </c>
      <c r="O1641" s="113"/>
      <c r="P1641" s="113"/>
      <c r="Q1641" s="113"/>
      <c r="R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t="s">
        <v>1113</v>
      </c>
      <c r="AL1641" s="113"/>
      <c r="AM1641" s="113"/>
      <c r="AN1641" s="113"/>
      <c r="AO1641" s="44" t="s">
        <v>2334</v>
      </c>
      <c r="AP1641" s="43"/>
      <c r="AQ1641" s="236" t="str">
        <f>VLOOKUP(Table8[[#This Row],[Instrument]],Def_Targets!$D$73:$E$159,2,FALSE)</f>
        <v>I_Vehiclescrappage</v>
      </c>
      <c r="AR1641" s="233" t="str">
        <f>VLOOKUP(Table8[[#This Row],[Country Code]],Table29[],3,FALSE)</f>
        <v>Non-Annex I</v>
      </c>
      <c r="AS1641" s="233" t="str">
        <f>VLOOKUP(Table8[[#This Row],[Country Code]],Table29[],4,FALSE)</f>
        <v>Asia</v>
      </c>
      <c r="AT1641" s="233" t="str">
        <f>VLOOKUP(Table8[[#This Row],[Country Code]],Table29[],5,FALSE)</f>
        <v>Middle-income</v>
      </c>
      <c r="AU1641" s="233" t="str">
        <f>VLOOKUP(Table8[[#This Row],[Country Code]],Table29[],6,FALSE)</f>
        <v>no</v>
      </c>
      <c r="AV1641" s="233" t="str">
        <f>VLOOKUP(Table8[[#This Row],[Country Code]],Table29[],7,FALSE)</f>
        <v>no</v>
      </c>
      <c r="AW1641" s="233" t="str">
        <f>VLOOKUP(Table8[[#This Row],[Country Code]],Table29[],8,FALSE)</f>
        <v>non-OECD</v>
      </c>
      <c r="AX1641" s="233" t="str">
        <f>VLOOKUP(Table8[[#This Row],[Country Code]],Table29[],9,FALSE)</f>
        <v>no</v>
      </c>
      <c r="AY1641" s="233" t="str">
        <f>VLOOKUP(Table8[[#This Row],[Country Code]],Table29[],10,FALSE)</f>
        <v>MENA</v>
      </c>
      <c r="AZ1641" s="235">
        <f>VLOOKUP(Table8[[#This Row],[Country Code]],Table29[],23,FALSE)</f>
        <v>0</v>
      </c>
      <c r="BA1641" s="235">
        <f>VLOOKUP(Table8[[#This Row],[Country Code]],Table29[],24,FALSE)</f>
        <v>0</v>
      </c>
      <c r="BB1641" s="320"/>
      <c r="BC1641" s="320"/>
    </row>
    <row r="1642" spans="1:55" s="17" customFormat="1" hidden="1" x14ac:dyDescent="0.25">
      <c r="A1642" s="373">
        <v>23368</v>
      </c>
      <c r="B1642" s="233" t="str">
        <f>VLOOKUP(Table8[[#This Row],[Document ID]],Table1[],2,FALSE)</f>
        <v>PSE</v>
      </c>
      <c r="C1642" s="233" t="str">
        <f>VLOOKUP(Table8[[#This Row],[Document ID]],Table1[],3,FALSE)</f>
        <v>Palestine</v>
      </c>
      <c r="D1642" s="243" t="str">
        <f>VLOOKUP(Table8[[#This Row],[Document ID]],Table1[],5,FALSE)</f>
        <v>NDC</v>
      </c>
      <c r="E1642" s="233" t="str">
        <f>VLOOKUP(Table8[[#This Row],[Document ID]],Table1[],7,FALSE)</f>
        <v>First NDC updated</v>
      </c>
      <c r="F1642" s="233" t="str">
        <f>VLOOKUP(Table8[[#This Row],[Document ID]],Table1[],8,FALSE)</f>
        <v>NDC 1.1</v>
      </c>
      <c r="G1642" s="233" t="str">
        <f>VLOOKUP(Table8[[#This Row],[Document ID]],Table1[],10,FALSE)</f>
        <v>Active</v>
      </c>
      <c r="H1642" s="44" t="s">
        <v>2338</v>
      </c>
      <c r="I1642" s="44" t="s">
        <v>2339</v>
      </c>
      <c r="J1642" s="44" t="s">
        <v>2451</v>
      </c>
      <c r="K1642" s="44" t="s">
        <v>2013</v>
      </c>
      <c r="L1642" s="44" t="s">
        <v>2333</v>
      </c>
      <c r="M1642" s="43">
        <v>26</v>
      </c>
      <c r="N1642" s="113"/>
      <c r="O1642" s="113"/>
      <c r="P1642" s="113"/>
      <c r="Q1642" s="113"/>
      <c r="R1642" s="113"/>
      <c r="S1642" s="113" t="s">
        <v>1113</v>
      </c>
      <c r="T1642" s="113"/>
      <c r="U1642" s="113"/>
      <c r="V1642" s="113"/>
      <c r="W1642" s="113"/>
      <c r="X1642" s="113"/>
      <c r="Y1642" s="113"/>
      <c r="Z1642" s="113"/>
      <c r="AA1642" s="113"/>
      <c r="AB1642" s="113"/>
      <c r="AC1642" s="113"/>
      <c r="AD1642" s="113"/>
      <c r="AE1642" s="113"/>
      <c r="AF1642" s="113"/>
      <c r="AG1642" s="113"/>
      <c r="AH1642" s="113"/>
      <c r="AI1642" s="113"/>
      <c r="AJ1642" s="113"/>
      <c r="AK1642" s="113" t="s">
        <v>1113</v>
      </c>
      <c r="AL1642" s="113"/>
      <c r="AM1642" s="113"/>
      <c r="AN1642" s="113"/>
      <c r="AO1642" s="44" t="s">
        <v>2334</v>
      </c>
      <c r="AP1642" s="43"/>
      <c r="AQ1642" s="236" t="str">
        <f>VLOOKUP(Table8[[#This Row],[Instrument]],Def_Targets!$D$73:$E$159,2,FALSE)</f>
        <v>I_Inspection</v>
      </c>
      <c r="AR1642" s="233" t="str">
        <f>VLOOKUP(Table8[[#This Row],[Country Code]],Table29[],3,FALSE)</f>
        <v>Non-Annex I</v>
      </c>
      <c r="AS1642" s="233" t="str">
        <f>VLOOKUP(Table8[[#This Row],[Country Code]],Table29[],4,FALSE)</f>
        <v>Asia</v>
      </c>
      <c r="AT1642" s="233" t="str">
        <f>VLOOKUP(Table8[[#This Row],[Country Code]],Table29[],5,FALSE)</f>
        <v>Middle-income</v>
      </c>
      <c r="AU1642" s="233" t="str">
        <f>VLOOKUP(Table8[[#This Row],[Country Code]],Table29[],6,FALSE)</f>
        <v>no</v>
      </c>
      <c r="AV1642" s="233" t="str">
        <f>VLOOKUP(Table8[[#This Row],[Country Code]],Table29[],7,FALSE)</f>
        <v>no</v>
      </c>
      <c r="AW1642" s="233" t="str">
        <f>VLOOKUP(Table8[[#This Row],[Country Code]],Table29[],8,FALSE)</f>
        <v>non-OECD</v>
      </c>
      <c r="AX1642" s="233" t="str">
        <f>VLOOKUP(Table8[[#This Row],[Country Code]],Table29[],9,FALSE)</f>
        <v>no</v>
      </c>
      <c r="AY1642" s="233" t="str">
        <f>VLOOKUP(Table8[[#This Row],[Country Code]],Table29[],10,FALSE)</f>
        <v>MENA</v>
      </c>
      <c r="AZ1642" s="235">
        <f>VLOOKUP(Table8[[#This Row],[Country Code]],Table29[],23,FALSE)</f>
        <v>0</v>
      </c>
      <c r="BA1642" s="235">
        <f>VLOOKUP(Table8[[#This Row],[Country Code]],Table29[],24,FALSE)</f>
        <v>0</v>
      </c>
      <c r="BB1642" s="320"/>
      <c r="BC1642" s="320"/>
    </row>
    <row r="1643" spans="1:55" s="17" customFormat="1" hidden="1" x14ac:dyDescent="0.25">
      <c r="A1643" s="373">
        <v>23368</v>
      </c>
      <c r="B1643" s="233" t="str">
        <f>VLOOKUP(Table8[[#This Row],[Document ID]],Table1[],2,FALSE)</f>
        <v>PSE</v>
      </c>
      <c r="C1643" s="233" t="str">
        <f>VLOOKUP(Table8[[#This Row],[Document ID]],Table1[],3,FALSE)</f>
        <v>Palestine</v>
      </c>
      <c r="D1643" s="243" t="str">
        <f>VLOOKUP(Table8[[#This Row],[Document ID]],Table1[],5,FALSE)</f>
        <v>NDC</v>
      </c>
      <c r="E1643" s="233" t="str">
        <f>VLOOKUP(Table8[[#This Row],[Document ID]],Table1[],7,FALSE)</f>
        <v>First NDC updated</v>
      </c>
      <c r="F1643" s="233" t="str">
        <f>VLOOKUP(Table8[[#This Row],[Document ID]],Table1[],8,FALSE)</f>
        <v>NDC 1.1</v>
      </c>
      <c r="G1643" s="233" t="str">
        <f>VLOOKUP(Table8[[#This Row],[Document ID]],Table1[],10,FALSE)</f>
        <v>Active</v>
      </c>
      <c r="H1643" s="43" t="s">
        <v>2343</v>
      </c>
      <c r="I1643" s="43" t="s">
        <v>2344</v>
      </c>
      <c r="J1643" s="44" t="s">
        <v>2345</v>
      </c>
      <c r="K1643" s="44" t="s">
        <v>2014</v>
      </c>
      <c r="L1643" s="44" t="s">
        <v>2347</v>
      </c>
      <c r="M1643" s="43">
        <v>26</v>
      </c>
      <c r="N1643" s="113"/>
      <c r="O1643" s="113"/>
      <c r="P1643" s="113"/>
      <c r="Q1643" s="113"/>
      <c r="R1643" s="113"/>
      <c r="S1643" s="113"/>
      <c r="T1643" s="113"/>
      <c r="U1643" s="113"/>
      <c r="V1643" s="113"/>
      <c r="W1643" s="113"/>
      <c r="X1643" s="113"/>
      <c r="Y1643" s="113" t="s">
        <v>1113</v>
      </c>
      <c r="Z1643" s="113"/>
      <c r="AA1643" s="113"/>
      <c r="AB1643" s="113"/>
      <c r="AC1643" s="113"/>
      <c r="AD1643" s="113"/>
      <c r="AE1643" s="113"/>
      <c r="AF1643" s="113"/>
      <c r="AG1643" s="113"/>
      <c r="AH1643" s="113"/>
      <c r="AI1643" s="113"/>
      <c r="AJ1643" s="113"/>
      <c r="AK1643" s="113" t="s">
        <v>1113</v>
      </c>
      <c r="AL1643" s="113"/>
      <c r="AM1643" s="113"/>
      <c r="AN1643" s="113"/>
      <c r="AO1643" s="43" t="s">
        <v>2348</v>
      </c>
      <c r="AP1643" s="43"/>
      <c r="AQ1643" s="236" t="str">
        <f>VLOOKUP(Table8[[#This Row],[Instrument]],Def_Targets!$D$73:$E$159,2,FALSE)</f>
        <v>S_PublicTransport</v>
      </c>
      <c r="AR1643" s="233" t="str">
        <f>VLOOKUP(Table8[[#This Row],[Country Code]],Table29[],3,FALSE)</f>
        <v>Non-Annex I</v>
      </c>
      <c r="AS1643" s="233" t="str">
        <f>VLOOKUP(Table8[[#This Row],[Country Code]],Table29[],4,FALSE)</f>
        <v>Asia</v>
      </c>
      <c r="AT1643" s="233" t="str">
        <f>VLOOKUP(Table8[[#This Row],[Country Code]],Table29[],5,FALSE)</f>
        <v>Middle-income</v>
      </c>
      <c r="AU1643" s="233" t="str">
        <f>VLOOKUP(Table8[[#This Row],[Country Code]],Table29[],6,FALSE)</f>
        <v>no</v>
      </c>
      <c r="AV1643" s="233" t="str">
        <f>VLOOKUP(Table8[[#This Row],[Country Code]],Table29[],7,FALSE)</f>
        <v>no</v>
      </c>
      <c r="AW1643" s="233" t="str">
        <f>VLOOKUP(Table8[[#This Row],[Country Code]],Table29[],8,FALSE)</f>
        <v>non-OECD</v>
      </c>
      <c r="AX1643" s="233" t="str">
        <f>VLOOKUP(Table8[[#This Row],[Country Code]],Table29[],9,FALSE)</f>
        <v>no</v>
      </c>
      <c r="AY1643" s="233" t="str">
        <f>VLOOKUP(Table8[[#This Row],[Country Code]],Table29[],10,FALSE)</f>
        <v>MENA</v>
      </c>
      <c r="AZ1643" s="235">
        <f>VLOOKUP(Table8[[#This Row],[Country Code]],Table29[],23,FALSE)</f>
        <v>0</v>
      </c>
      <c r="BA1643" s="235">
        <f>VLOOKUP(Table8[[#This Row],[Country Code]],Table29[],24,FALSE)</f>
        <v>0</v>
      </c>
      <c r="BB1643" s="320"/>
      <c r="BC1643" s="320"/>
    </row>
    <row r="1644" spans="1:55" s="17" customFormat="1" ht="30" hidden="1" x14ac:dyDescent="0.25">
      <c r="A1644" s="373">
        <v>23368</v>
      </c>
      <c r="B1644" s="233" t="str">
        <f>VLOOKUP(Table8[[#This Row],[Document ID]],Table1[],2,FALSE)</f>
        <v>PSE</v>
      </c>
      <c r="C1644" s="233" t="str">
        <f>VLOOKUP(Table8[[#This Row],[Document ID]],Table1[],3,FALSE)</f>
        <v>Palestine</v>
      </c>
      <c r="D1644" s="243" t="str">
        <f>VLOOKUP(Table8[[#This Row],[Document ID]],Table1[],5,FALSE)</f>
        <v>NDC</v>
      </c>
      <c r="E1644" s="233" t="str">
        <f>VLOOKUP(Table8[[#This Row],[Document ID]],Table1[],7,FALSE)</f>
        <v>First NDC updated</v>
      </c>
      <c r="F1644" s="233" t="str">
        <f>VLOOKUP(Table8[[#This Row],[Document ID]],Table1[],8,FALSE)</f>
        <v>NDC 1.1</v>
      </c>
      <c r="G1644" s="233" t="str">
        <f>VLOOKUP(Table8[[#This Row],[Document ID]],Table1[],10,FALSE)</f>
        <v>Active</v>
      </c>
      <c r="H1644" s="44" t="s">
        <v>2338</v>
      </c>
      <c r="I1644" s="44" t="s">
        <v>2339</v>
      </c>
      <c r="J1644" s="44" t="s">
        <v>2410</v>
      </c>
      <c r="K1644" s="44" t="s">
        <v>2016</v>
      </c>
      <c r="L1644" s="44" t="s">
        <v>2380</v>
      </c>
      <c r="M1644" s="43">
        <v>26</v>
      </c>
      <c r="N1644" s="113" t="s">
        <v>1113</v>
      </c>
      <c r="O1644" s="113"/>
      <c r="P1644" s="113"/>
      <c r="Q1644" s="113"/>
      <c r="R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t="s">
        <v>1113</v>
      </c>
      <c r="AL1644" s="113"/>
      <c r="AM1644" s="113"/>
      <c r="AN1644" s="113"/>
      <c r="AO1644" s="44" t="s">
        <v>2334</v>
      </c>
      <c r="AP1644" s="43"/>
      <c r="AQ1644" s="236" t="str">
        <f>VLOOKUP(Table8[[#This Row],[Instrument]],Def_Targets!$D$73:$E$159,2,FALSE)</f>
        <v>I_VehicleRestrictions</v>
      </c>
      <c r="AR1644" s="233" t="str">
        <f>VLOOKUP(Table8[[#This Row],[Country Code]],Table29[],3,FALSE)</f>
        <v>Non-Annex I</v>
      </c>
      <c r="AS1644" s="233" t="str">
        <f>VLOOKUP(Table8[[#This Row],[Country Code]],Table29[],4,FALSE)</f>
        <v>Asia</v>
      </c>
      <c r="AT1644" s="233" t="str">
        <f>VLOOKUP(Table8[[#This Row],[Country Code]],Table29[],5,FALSE)</f>
        <v>Middle-income</v>
      </c>
      <c r="AU1644" s="233" t="str">
        <f>VLOOKUP(Table8[[#This Row],[Country Code]],Table29[],6,FALSE)</f>
        <v>no</v>
      </c>
      <c r="AV1644" s="233" t="str">
        <f>VLOOKUP(Table8[[#This Row],[Country Code]],Table29[],7,FALSE)</f>
        <v>no</v>
      </c>
      <c r="AW1644" s="233" t="str">
        <f>VLOOKUP(Table8[[#This Row],[Country Code]],Table29[],8,FALSE)</f>
        <v>non-OECD</v>
      </c>
      <c r="AX1644" s="233" t="str">
        <f>VLOOKUP(Table8[[#This Row],[Country Code]],Table29[],9,FALSE)</f>
        <v>no</v>
      </c>
      <c r="AY1644" s="233" t="str">
        <f>VLOOKUP(Table8[[#This Row],[Country Code]],Table29[],10,FALSE)</f>
        <v>MENA</v>
      </c>
      <c r="AZ1644" s="235">
        <f>VLOOKUP(Table8[[#This Row],[Country Code]],Table29[],23,FALSE)</f>
        <v>0</v>
      </c>
      <c r="BA1644" s="235">
        <f>VLOOKUP(Table8[[#This Row],[Country Code]],Table29[],24,FALSE)</f>
        <v>0</v>
      </c>
      <c r="BB1644" s="320"/>
      <c r="BC1644" s="320"/>
    </row>
    <row r="1645" spans="1:55" hidden="1" x14ac:dyDescent="0.25">
      <c r="A1645" s="373">
        <v>17693</v>
      </c>
      <c r="B1645" s="233" t="str">
        <f>VLOOKUP(Table8[[#This Row],[Document ID]],Table1[],2,FALSE)</f>
        <v>PAN</v>
      </c>
      <c r="C1645" s="233" t="str">
        <f>VLOOKUP(Table8[[#This Row],[Document ID]],Table1[],3,FALSE)</f>
        <v>Panama</v>
      </c>
      <c r="D1645" s="243" t="str">
        <f>VLOOKUP(Table8[[#This Row],[Document ID]],Table1[],5,FALSE)</f>
        <v>NDC</v>
      </c>
      <c r="E1645" s="233" t="str">
        <f>VLOOKUP(Table8[[#This Row],[Document ID]],Table1[],7,FALSE)</f>
        <v>First NDC</v>
      </c>
      <c r="F1645" s="236" t="str">
        <f>VLOOKUP(Table8[[#This Row],[Document ID]],Table1[],8,FALSE)</f>
        <v>NDC 1.0</v>
      </c>
      <c r="G1645" s="236" t="str">
        <f>VLOOKUP(Table8[[#This Row],[Document ID]],Table1[],10,FALSE)</f>
        <v>Archived</v>
      </c>
      <c r="H1645" s="43" t="s">
        <v>2358</v>
      </c>
      <c r="I1645" s="43" t="s">
        <v>2359</v>
      </c>
      <c r="J1645" s="44" t="s">
        <v>2360</v>
      </c>
      <c r="K1645" s="44" t="s">
        <v>3856</v>
      </c>
      <c r="L1645" s="44" t="s">
        <v>2333</v>
      </c>
      <c r="M1645" s="43"/>
      <c r="N1645" s="113" t="s">
        <v>1113</v>
      </c>
      <c r="O1645" s="113"/>
      <c r="P1645" s="113"/>
      <c r="Q1645" s="319"/>
      <c r="R1645" s="319"/>
      <c r="S1645" s="319"/>
      <c r="T1645" s="319"/>
      <c r="U1645" s="319"/>
      <c r="V1645" s="319"/>
      <c r="W1645" s="319"/>
      <c r="X1645" s="319"/>
      <c r="Y1645" s="319"/>
      <c r="Z1645" s="319"/>
      <c r="AA1645" s="319"/>
      <c r="AB1645" s="319"/>
      <c r="AC1645" s="319"/>
      <c r="AD1645" s="319"/>
      <c r="AE1645" s="319"/>
      <c r="AF1645" s="319"/>
      <c r="AG1645" s="319"/>
      <c r="AH1645" s="319"/>
      <c r="AI1645" s="319"/>
      <c r="AJ1645" s="319"/>
      <c r="AK1645" s="319" t="s">
        <v>1113</v>
      </c>
      <c r="AL1645" s="319"/>
      <c r="AM1645" s="319"/>
      <c r="AN1645" s="319"/>
      <c r="AO1645" s="43" t="s">
        <v>2348</v>
      </c>
      <c r="AP1645" s="44"/>
      <c r="AQ1645" s="236" t="str">
        <f>VLOOKUP(Table8[[#This Row],[Instrument]],Def_Targets!$D$73:$E$159,2,FALSE)</f>
        <v>I_Emobility</v>
      </c>
      <c r="AR1645" s="233" t="str">
        <f>VLOOKUP(Table8[[#This Row],[Country Code]],Table29[],3,FALSE)</f>
        <v>Non-Annex I</v>
      </c>
      <c r="AS1645" s="233" t="str">
        <f>VLOOKUP(Table8[[#This Row],[Country Code]],Table29[],4,FALSE)</f>
        <v>Latin America and the Caribbean</v>
      </c>
      <c r="AT1645" s="233" t="str">
        <f>VLOOKUP(Table8[[#This Row],[Country Code]],Table29[],5,FALSE)</f>
        <v>Middle-income</v>
      </c>
      <c r="AU1645" s="233" t="str">
        <f>VLOOKUP(Table8[[#This Row],[Country Code]],Table29[],6,FALSE)</f>
        <v>no</v>
      </c>
      <c r="AV1645" s="233" t="str">
        <f>VLOOKUP(Table8[[#This Row],[Country Code]],Table29[],7,FALSE)</f>
        <v>no</v>
      </c>
      <c r="AW1645" s="233" t="str">
        <f>VLOOKUP(Table8[[#This Row],[Country Code]],Table29[],8,FALSE)</f>
        <v>non-OECD</v>
      </c>
      <c r="AX1645" s="233" t="str">
        <f>VLOOKUP(Table8[[#This Row],[Country Code]],Table29[],9,FALSE)</f>
        <v>no</v>
      </c>
      <c r="AY1645" s="233" t="str">
        <f>VLOOKUP(Table8[[#This Row],[Country Code]],Table29[],10,FALSE)</f>
        <v>no</v>
      </c>
      <c r="AZ1645" s="235">
        <f>VLOOKUP(Table8[[#This Row],[Country Code]],Table29[],23,FALSE)</f>
        <v>21.281689073780999</v>
      </c>
      <c r="BA1645" s="235">
        <f>VLOOKUP(Table8[[#This Row],[Country Code]],Table29[],24,FALSE)</f>
        <v>5.7357943404010889</v>
      </c>
      <c r="BB1645" s="320"/>
      <c r="BC1645" s="320"/>
    </row>
    <row r="1646" spans="1:55" hidden="1" x14ac:dyDescent="0.25">
      <c r="A1646" s="373">
        <v>17693</v>
      </c>
      <c r="B1646" s="233" t="str">
        <f>VLOOKUP(Table8[[#This Row],[Document ID]],Table1[],2,FALSE)</f>
        <v>PAN</v>
      </c>
      <c r="C1646" s="233" t="str">
        <f>VLOOKUP(Table8[[#This Row],[Document ID]],Table1[],3,FALSE)</f>
        <v>Panama</v>
      </c>
      <c r="D1646" s="243" t="str">
        <f>VLOOKUP(Table8[[#This Row],[Document ID]],Table1[],5,FALSE)</f>
        <v>NDC</v>
      </c>
      <c r="E1646" s="233" t="str">
        <f>VLOOKUP(Table8[[#This Row],[Document ID]],Table1[],7,FALSE)</f>
        <v>First NDC</v>
      </c>
      <c r="F1646" s="236" t="str">
        <f>VLOOKUP(Table8[[#This Row],[Document ID]],Table1[],8,FALSE)</f>
        <v>NDC 1.0</v>
      </c>
      <c r="G1646" s="236" t="str">
        <f>VLOOKUP(Table8[[#This Row],[Document ID]],Table1[],10,FALSE)</f>
        <v>Archived</v>
      </c>
      <c r="H1646" s="43" t="s">
        <v>2343</v>
      </c>
      <c r="I1646" s="43" t="s">
        <v>2344</v>
      </c>
      <c r="J1646" s="44" t="s">
        <v>2405</v>
      </c>
      <c r="K1646" s="44" t="s">
        <v>3857</v>
      </c>
      <c r="L1646" s="44" t="s">
        <v>2347</v>
      </c>
      <c r="M1646" s="43"/>
      <c r="N1646" s="113"/>
      <c r="O1646" s="113"/>
      <c r="P1646" s="113"/>
      <c r="Q1646" s="319"/>
      <c r="R1646" s="319"/>
      <c r="S1646" s="319"/>
      <c r="T1646" s="319"/>
      <c r="U1646" s="319"/>
      <c r="V1646" s="319"/>
      <c r="W1646" s="319"/>
      <c r="X1646" s="319"/>
      <c r="Y1646" s="319"/>
      <c r="Z1646" s="319"/>
      <c r="AA1646" s="319"/>
      <c r="AB1646" s="319"/>
      <c r="AC1646" s="319" t="s">
        <v>1113</v>
      </c>
      <c r="AD1646" s="319"/>
      <c r="AE1646" s="319"/>
      <c r="AF1646" s="319"/>
      <c r="AG1646" s="319"/>
      <c r="AH1646" s="319"/>
      <c r="AI1646" s="319"/>
      <c r="AJ1646" s="319"/>
      <c r="AK1646" s="319"/>
      <c r="AL1646" s="113" t="s">
        <v>1113</v>
      </c>
      <c r="AM1646" s="319"/>
      <c r="AN1646" s="319"/>
      <c r="AO1646" s="43" t="s">
        <v>2348</v>
      </c>
      <c r="AP1646" s="44"/>
      <c r="AQ1646" s="236" t="str">
        <f>VLOOKUP(Table8[[#This Row],[Instrument]],Def_Targets!$D$73:$E$159,2,FALSE)</f>
        <v>S_PTIntegration</v>
      </c>
      <c r="AR1646" s="233" t="str">
        <f>VLOOKUP(Table8[[#This Row],[Country Code]],Table29[],3,FALSE)</f>
        <v>Non-Annex I</v>
      </c>
      <c r="AS1646" s="233" t="str">
        <f>VLOOKUP(Table8[[#This Row],[Country Code]],Table29[],4,FALSE)</f>
        <v>Latin America and the Caribbean</v>
      </c>
      <c r="AT1646" s="233" t="str">
        <f>VLOOKUP(Table8[[#This Row],[Country Code]],Table29[],5,FALSE)</f>
        <v>Middle-income</v>
      </c>
      <c r="AU1646" s="233" t="str">
        <f>VLOOKUP(Table8[[#This Row],[Country Code]],Table29[],6,FALSE)</f>
        <v>no</v>
      </c>
      <c r="AV1646" s="233" t="str">
        <f>VLOOKUP(Table8[[#This Row],[Country Code]],Table29[],7,FALSE)</f>
        <v>no</v>
      </c>
      <c r="AW1646" s="233" t="str">
        <f>VLOOKUP(Table8[[#This Row],[Country Code]],Table29[],8,FALSE)</f>
        <v>non-OECD</v>
      </c>
      <c r="AX1646" s="233" t="str">
        <f>VLOOKUP(Table8[[#This Row],[Country Code]],Table29[],9,FALSE)</f>
        <v>no</v>
      </c>
      <c r="AY1646" s="233" t="str">
        <f>VLOOKUP(Table8[[#This Row],[Country Code]],Table29[],10,FALSE)</f>
        <v>no</v>
      </c>
      <c r="AZ1646" s="235">
        <f>VLOOKUP(Table8[[#This Row],[Country Code]],Table29[],23,FALSE)</f>
        <v>21.281689073780999</v>
      </c>
      <c r="BA1646" s="235">
        <f>VLOOKUP(Table8[[#This Row],[Country Code]],Table29[],24,FALSE)</f>
        <v>5.7357943404010889</v>
      </c>
      <c r="BB1646" s="320"/>
      <c r="BC1646" s="320"/>
    </row>
    <row r="1647" spans="1:55" ht="90" hidden="1" x14ac:dyDescent="0.25">
      <c r="A1647" s="373">
        <v>17694</v>
      </c>
      <c r="B1647" s="233" t="str">
        <f>VLOOKUP(Table8[[#This Row],[Document ID]],Table1[],2,FALSE)</f>
        <v>PAN</v>
      </c>
      <c r="C1647" s="233" t="str">
        <f>VLOOKUP(Table8[[#This Row],[Document ID]],Table1[],3,FALSE)</f>
        <v>Panama</v>
      </c>
      <c r="D1647" s="243" t="str">
        <f>VLOOKUP(Table8[[#This Row],[Document ID]],Table1[],5,FALSE)</f>
        <v>NDC</v>
      </c>
      <c r="E1647" s="233" t="str">
        <f>VLOOKUP(Table8[[#This Row],[Document ID]],Table1[],7,FALSE)</f>
        <v>First NDC updated</v>
      </c>
      <c r="F1647" s="236" t="str">
        <f>VLOOKUP(Table8[[#This Row],[Document ID]],Table1[],8,FALSE)</f>
        <v>NDC 1.1</v>
      </c>
      <c r="G1647" s="236" t="str">
        <f>VLOOKUP(Table8[[#This Row],[Document ID]],Table1[],10,FALSE)</f>
        <v>Archived</v>
      </c>
      <c r="H1647" s="43" t="s">
        <v>2358</v>
      </c>
      <c r="I1647" s="43" t="s">
        <v>2359</v>
      </c>
      <c r="J1647" s="44" t="s">
        <v>2360</v>
      </c>
      <c r="K1647" s="44" t="s">
        <v>3858</v>
      </c>
      <c r="L1647" s="44" t="s">
        <v>2333</v>
      </c>
      <c r="M1647" s="43">
        <v>111</v>
      </c>
      <c r="N1647" s="113"/>
      <c r="O1647" s="113"/>
      <c r="P1647" s="113"/>
      <c r="Q1647" s="319"/>
      <c r="R1647" s="319"/>
      <c r="S1647" s="319"/>
      <c r="T1647" s="319"/>
      <c r="U1647" s="319" t="s">
        <v>1113</v>
      </c>
      <c r="V1647" s="319"/>
      <c r="W1647" s="319"/>
      <c r="X1647" s="319"/>
      <c r="Y1647" s="319" t="s">
        <v>1113</v>
      </c>
      <c r="Z1647" s="319"/>
      <c r="AA1647" s="319"/>
      <c r="AB1647" s="319"/>
      <c r="AC1647" s="319" t="s">
        <v>1113</v>
      </c>
      <c r="AD1647" s="319"/>
      <c r="AE1647" s="319"/>
      <c r="AF1647" s="319"/>
      <c r="AG1647" s="319"/>
      <c r="AH1647" s="319"/>
      <c r="AI1647" s="319"/>
      <c r="AJ1647" s="319"/>
      <c r="AK1647" s="319" t="s">
        <v>1113</v>
      </c>
      <c r="AL1647" s="319"/>
      <c r="AM1647" s="319"/>
      <c r="AN1647" s="319"/>
      <c r="AO1647" s="43" t="s">
        <v>2348</v>
      </c>
      <c r="AP1647" s="44"/>
      <c r="AQ1647" s="236" t="str">
        <f>VLOOKUP(Table8[[#This Row],[Instrument]],Def_Targets!$D$73:$E$159,2,FALSE)</f>
        <v>I_Emobility</v>
      </c>
      <c r="AR1647" s="233" t="str">
        <f>VLOOKUP(Table8[[#This Row],[Country Code]],Table29[],3,FALSE)</f>
        <v>Non-Annex I</v>
      </c>
      <c r="AS1647" s="233" t="str">
        <f>VLOOKUP(Table8[[#This Row],[Country Code]],Table29[],4,FALSE)</f>
        <v>Latin America and the Caribbean</v>
      </c>
      <c r="AT1647" s="233" t="str">
        <f>VLOOKUP(Table8[[#This Row],[Country Code]],Table29[],5,FALSE)</f>
        <v>Middle-income</v>
      </c>
      <c r="AU1647" s="233" t="str">
        <f>VLOOKUP(Table8[[#This Row],[Country Code]],Table29[],6,FALSE)</f>
        <v>no</v>
      </c>
      <c r="AV1647" s="233" t="str">
        <f>VLOOKUP(Table8[[#This Row],[Country Code]],Table29[],7,FALSE)</f>
        <v>no</v>
      </c>
      <c r="AW1647" s="233" t="str">
        <f>VLOOKUP(Table8[[#This Row],[Country Code]],Table29[],8,FALSE)</f>
        <v>non-OECD</v>
      </c>
      <c r="AX1647" s="233" t="str">
        <f>VLOOKUP(Table8[[#This Row],[Country Code]],Table29[],9,FALSE)</f>
        <v>no</v>
      </c>
      <c r="AY1647" s="233" t="str">
        <f>VLOOKUP(Table8[[#This Row],[Country Code]],Table29[],10,FALSE)</f>
        <v>no</v>
      </c>
      <c r="AZ1647" s="235">
        <f>VLOOKUP(Table8[[#This Row],[Country Code]],Table29[],23,FALSE)</f>
        <v>21.281689073780999</v>
      </c>
      <c r="BA1647" s="235">
        <f>VLOOKUP(Table8[[#This Row],[Country Code]],Table29[],24,FALSE)</f>
        <v>5.7357943404010889</v>
      </c>
      <c r="BB1647" s="320"/>
      <c r="BC1647" s="320"/>
    </row>
    <row r="1648" spans="1:55" hidden="1" x14ac:dyDescent="0.25">
      <c r="A1648" s="373">
        <v>17694</v>
      </c>
      <c r="B1648" s="233" t="str">
        <f>VLOOKUP(Table8[[#This Row],[Document ID]],Table1[],2,FALSE)</f>
        <v>PAN</v>
      </c>
      <c r="C1648" s="233" t="str">
        <f>VLOOKUP(Table8[[#This Row],[Document ID]],Table1[],3,FALSE)</f>
        <v>Panama</v>
      </c>
      <c r="D1648" s="243" t="str">
        <f>VLOOKUP(Table8[[#This Row],[Document ID]],Table1[],5,FALSE)</f>
        <v>NDC</v>
      </c>
      <c r="E1648" s="233" t="str">
        <f>VLOOKUP(Table8[[#This Row],[Document ID]],Table1[],7,FALSE)</f>
        <v>First NDC updated</v>
      </c>
      <c r="F1648" s="233" t="str">
        <f>VLOOKUP(Table8[[#This Row],[Document ID]],Table1[],8,FALSE)</f>
        <v>NDC 1.1</v>
      </c>
      <c r="G1648" s="233" t="str">
        <f>VLOOKUP(Table8[[#This Row],[Document ID]],Table1[],10,FALSE)</f>
        <v>Archived</v>
      </c>
      <c r="H1648" s="43" t="s">
        <v>2358</v>
      </c>
      <c r="I1648" s="43" t="s">
        <v>2359</v>
      </c>
      <c r="J1648" s="44" t="s">
        <v>2389</v>
      </c>
      <c r="K1648" s="44" t="s">
        <v>3859</v>
      </c>
      <c r="L1648" s="44" t="s">
        <v>2333</v>
      </c>
      <c r="M1648" s="43">
        <v>111</v>
      </c>
      <c r="N1648" s="113"/>
      <c r="O1648" s="113"/>
      <c r="P1648" s="113"/>
      <c r="Q1648" s="319"/>
      <c r="R1648" s="113"/>
      <c r="S1648" s="319"/>
      <c r="T1648" s="319"/>
      <c r="U1648" s="319" t="s">
        <v>1113</v>
      </c>
      <c r="V1648" s="319"/>
      <c r="W1648" s="319"/>
      <c r="X1648" s="319"/>
      <c r="Y1648" s="319" t="s">
        <v>1113</v>
      </c>
      <c r="Z1648" s="319"/>
      <c r="AA1648" s="319"/>
      <c r="AB1648" s="319"/>
      <c r="AC1648" s="319" t="s">
        <v>1113</v>
      </c>
      <c r="AD1648" s="319"/>
      <c r="AE1648" s="319"/>
      <c r="AF1648" s="319"/>
      <c r="AG1648" s="319"/>
      <c r="AH1648" s="319"/>
      <c r="AI1648" s="319"/>
      <c r="AJ1648" s="319"/>
      <c r="AK1648" s="113" t="s">
        <v>1113</v>
      </c>
      <c r="AL1648" s="113"/>
      <c r="AM1648" s="113"/>
      <c r="AN1648" s="113"/>
      <c r="AO1648" s="44" t="s">
        <v>2334</v>
      </c>
      <c r="AP1648" s="43"/>
      <c r="AQ1648" s="236" t="str">
        <f>VLOOKUP(Table8[[#This Row],[Instrument]],Def_Targets!$D$73:$E$159,2,FALSE)</f>
        <v>I_Emobilitypurchase</v>
      </c>
      <c r="AR1648" s="233" t="str">
        <f>VLOOKUP(Table8[[#This Row],[Country Code]],Table29[],3,FALSE)</f>
        <v>Non-Annex I</v>
      </c>
      <c r="AS1648" s="233" t="str">
        <f>VLOOKUP(Table8[[#This Row],[Country Code]],Table29[],4,FALSE)</f>
        <v>Latin America and the Caribbean</v>
      </c>
      <c r="AT1648" s="233" t="str">
        <f>VLOOKUP(Table8[[#This Row],[Country Code]],Table29[],5,FALSE)</f>
        <v>Middle-income</v>
      </c>
      <c r="AU1648" s="233" t="str">
        <f>VLOOKUP(Table8[[#This Row],[Country Code]],Table29[],6,FALSE)</f>
        <v>no</v>
      </c>
      <c r="AV1648" s="233" t="str">
        <f>VLOOKUP(Table8[[#This Row],[Country Code]],Table29[],7,FALSE)</f>
        <v>no</v>
      </c>
      <c r="AW1648" s="233" t="str">
        <f>VLOOKUP(Table8[[#This Row],[Country Code]],Table29[],8,FALSE)</f>
        <v>non-OECD</v>
      </c>
      <c r="AX1648" s="233" t="str">
        <f>VLOOKUP(Table8[[#This Row],[Country Code]],Table29[],9,FALSE)</f>
        <v>no</v>
      </c>
      <c r="AY1648" s="233" t="str">
        <f>VLOOKUP(Table8[[#This Row],[Country Code]],Table29[],10,FALSE)</f>
        <v>no</v>
      </c>
      <c r="AZ1648" s="235">
        <f>VLOOKUP(Table8[[#This Row],[Country Code]],Table29[],23,FALSE)</f>
        <v>21.281689073780999</v>
      </c>
      <c r="BA1648" s="235">
        <f>VLOOKUP(Table8[[#This Row],[Country Code]],Table29[],24,FALSE)</f>
        <v>5.7357943404010889</v>
      </c>
      <c r="BB1648" s="320"/>
      <c r="BC1648" s="320"/>
    </row>
    <row r="1649" spans="1:55" ht="30" hidden="1" x14ac:dyDescent="0.25">
      <c r="A1649" s="373">
        <v>17694</v>
      </c>
      <c r="B1649" s="233" t="str">
        <f>VLOOKUP(Table8[[#This Row],[Document ID]],Table1[],2,FALSE)</f>
        <v>PAN</v>
      </c>
      <c r="C1649" s="233" t="str">
        <f>VLOOKUP(Table8[[#This Row],[Document ID]],Table1[],3,FALSE)</f>
        <v>Panama</v>
      </c>
      <c r="D1649" s="243" t="str">
        <f>VLOOKUP(Table8[[#This Row],[Document ID]],Table1[],5,FALSE)</f>
        <v>NDC</v>
      </c>
      <c r="E1649" s="233" t="str">
        <f>VLOOKUP(Table8[[#This Row],[Document ID]],Table1[],7,FALSE)</f>
        <v>First NDC updated</v>
      </c>
      <c r="F1649" s="236" t="str">
        <f>VLOOKUP(Table8[[#This Row],[Document ID]],Table1[],8,FALSE)</f>
        <v>NDC 1.1</v>
      </c>
      <c r="G1649" s="236" t="str">
        <f>VLOOKUP(Table8[[#This Row],[Document ID]],Table1[],10,FALSE)</f>
        <v>Archived</v>
      </c>
      <c r="H1649" s="43" t="s">
        <v>2343</v>
      </c>
      <c r="I1649" s="43" t="s">
        <v>2344</v>
      </c>
      <c r="J1649" s="44" t="s">
        <v>2345</v>
      </c>
      <c r="K1649" s="44" t="s">
        <v>3860</v>
      </c>
      <c r="L1649" s="44" t="s">
        <v>2347</v>
      </c>
      <c r="M1649" s="43">
        <v>111</v>
      </c>
      <c r="N1649" s="113" t="s">
        <v>1113</v>
      </c>
      <c r="O1649" s="113"/>
      <c r="P1649" s="113"/>
      <c r="Q1649" s="113"/>
      <c r="R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319"/>
      <c r="AL1649" s="319" t="s">
        <v>1113</v>
      </c>
      <c r="AM1649" s="319"/>
      <c r="AN1649" s="319"/>
      <c r="AO1649" s="43" t="s">
        <v>2348</v>
      </c>
      <c r="AP1649" s="44"/>
      <c r="AQ1649" s="236" t="str">
        <f>VLOOKUP(Table8[[#This Row],[Instrument]],Def_Targets!$D$73:$E$159,2,FALSE)</f>
        <v>S_PublicTransport</v>
      </c>
      <c r="AR1649" s="233" t="str">
        <f>VLOOKUP(Table8[[#This Row],[Country Code]],Table29[],3,FALSE)</f>
        <v>Non-Annex I</v>
      </c>
      <c r="AS1649" s="233" t="str">
        <f>VLOOKUP(Table8[[#This Row],[Country Code]],Table29[],4,FALSE)</f>
        <v>Latin America and the Caribbean</v>
      </c>
      <c r="AT1649" s="233" t="str">
        <f>VLOOKUP(Table8[[#This Row],[Country Code]],Table29[],5,FALSE)</f>
        <v>Middle-income</v>
      </c>
      <c r="AU1649" s="233" t="str">
        <f>VLOOKUP(Table8[[#This Row],[Country Code]],Table29[],6,FALSE)</f>
        <v>no</v>
      </c>
      <c r="AV1649" s="233" t="str">
        <f>VLOOKUP(Table8[[#This Row],[Country Code]],Table29[],7,FALSE)</f>
        <v>no</v>
      </c>
      <c r="AW1649" s="233" t="str">
        <f>VLOOKUP(Table8[[#This Row],[Country Code]],Table29[],8,FALSE)</f>
        <v>non-OECD</v>
      </c>
      <c r="AX1649" s="233" t="str">
        <f>VLOOKUP(Table8[[#This Row],[Country Code]],Table29[],9,FALSE)</f>
        <v>no</v>
      </c>
      <c r="AY1649" s="233" t="str">
        <f>VLOOKUP(Table8[[#This Row],[Country Code]],Table29[],10,FALSE)</f>
        <v>no</v>
      </c>
      <c r="AZ1649" s="235">
        <f>VLOOKUP(Table8[[#This Row],[Country Code]],Table29[],23,FALSE)</f>
        <v>21.281689073780999</v>
      </c>
      <c r="BA1649" s="235">
        <f>VLOOKUP(Table8[[#This Row],[Country Code]],Table29[],24,FALSE)</f>
        <v>5.7357943404010889</v>
      </c>
      <c r="BB1649" s="320"/>
      <c r="BC1649" s="320"/>
    </row>
    <row r="1650" spans="1:55" ht="30" hidden="1" x14ac:dyDescent="0.25">
      <c r="A1650" s="373">
        <v>17694</v>
      </c>
      <c r="B1650" s="233" t="str">
        <f>VLOOKUP(Table8[[#This Row],[Document ID]],Table1[],2,FALSE)</f>
        <v>PAN</v>
      </c>
      <c r="C1650" s="233" t="str">
        <f>VLOOKUP(Table8[[#This Row],[Document ID]],Table1[],3,FALSE)</f>
        <v>Panama</v>
      </c>
      <c r="D1650" s="243" t="str">
        <f>VLOOKUP(Table8[[#This Row],[Document ID]],Table1[],5,FALSE)</f>
        <v>NDC</v>
      </c>
      <c r="E1650" s="233" t="str">
        <f>VLOOKUP(Table8[[#This Row],[Document ID]],Table1[],7,FALSE)</f>
        <v>First NDC updated</v>
      </c>
      <c r="F1650" s="233" t="str">
        <f>VLOOKUP(Table8[[#This Row],[Document ID]],Table1[],8,FALSE)</f>
        <v>NDC 1.1</v>
      </c>
      <c r="G1650" s="233" t="str">
        <f>VLOOKUP(Table8[[#This Row],[Document ID]],Table1[],10,FALSE)</f>
        <v>Archived</v>
      </c>
      <c r="H1650" s="43" t="s">
        <v>2350</v>
      </c>
      <c r="I1650" s="43" t="s">
        <v>2370</v>
      </c>
      <c r="J1650" s="44" t="s">
        <v>2581</v>
      </c>
      <c r="K1650" s="44" t="s">
        <v>3860</v>
      </c>
      <c r="L1650" s="44" t="s">
        <v>2396</v>
      </c>
      <c r="M1650" s="43">
        <v>111</v>
      </c>
      <c r="N1650" s="113"/>
      <c r="O1650" s="113"/>
      <c r="P1650" s="113"/>
      <c r="Q1650" s="319"/>
      <c r="R1650" s="113"/>
      <c r="S1650" s="319"/>
      <c r="T1650" s="319"/>
      <c r="U1650" s="319"/>
      <c r="V1650" s="319"/>
      <c r="W1650" s="319"/>
      <c r="X1650" s="319"/>
      <c r="Y1650" s="319" t="s">
        <v>1113</v>
      </c>
      <c r="Z1650" s="319"/>
      <c r="AA1650" s="319"/>
      <c r="AB1650" s="319"/>
      <c r="AC1650" s="319" t="s">
        <v>1113</v>
      </c>
      <c r="AD1650" s="319"/>
      <c r="AE1650" s="319"/>
      <c r="AF1650" s="319"/>
      <c r="AG1650" s="319"/>
      <c r="AH1650" s="319"/>
      <c r="AI1650" s="319"/>
      <c r="AJ1650" s="319"/>
      <c r="AK1650" s="113"/>
      <c r="AL1650" s="113" t="s">
        <v>1113</v>
      </c>
      <c r="AM1650" s="113"/>
      <c r="AN1650" s="113"/>
      <c r="AO1650" s="43" t="s">
        <v>2348</v>
      </c>
      <c r="AP1650" s="43"/>
      <c r="AQ1650" s="236" t="str">
        <f>VLOOKUP(Table8[[#This Row],[Instrument]],Def_Targets!$D$73:$E$159,2,FALSE)</f>
        <v>A_SUMP</v>
      </c>
      <c r="AR1650" s="233" t="str">
        <f>VLOOKUP(Table8[[#This Row],[Country Code]],Table29[],3,FALSE)</f>
        <v>Non-Annex I</v>
      </c>
      <c r="AS1650" s="233" t="str">
        <f>VLOOKUP(Table8[[#This Row],[Country Code]],Table29[],4,FALSE)</f>
        <v>Latin America and the Caribbean</v>
      </c>
      <c r="AT1650" s="233" t="str">
        <f>VLOOKUP(Table8[[#This Row],[Country Code]],Table29[],5,FALSE)</f>
        <v>Middle-income</v>
      </c>
      <c r="AU1650" s="233" t="str">
        <f>VLOOKUP(Table8[[#This Row],[Country Code]],Table29[],6,FALSE)</f>
        <v>no</v>
      </c>
      <c r="AV1650" s="233" t="str">
        <f>VLOOKUP(Table8[[#This Row],[Country Code]],Table29[],7,FALSE)</f>
        <v>no</v>
      </c>
      <c r="AW1650" s="233" t="str">
        <f>VLOOKUP(Table8[[#This Row],[Country Code]],Table29[],8,FALSE)</f>
        <v>non-OECD</v>
      </c>
      <c r="AX1650" s="233" t="str">
        <f>VLOOKUP(Table8[[#This Row],[Country Code]],Table29[],9,FALSE)</f>
        <v>no</v>
      </c>
      <c r="AY1650" s="233" t="str">
        <f>VLOOKUP(Table8[[#This Row],[Country Code]],Table29[],10,FALSE)</f>
        <v>no</v>
      </c>
      <c r="AZ1650" s="235">
        <f>VLOOKUP(Table8[[#This Row],[Country Code]],Table29[],23,FALSE)</f>
        <v>21.281689073780999</v>
      </c>
      <c r="BA1650" s="235">
        <f>VLOOKUP(Table8[[#This Row],[Country Code]],Table29[],24,FALSE)</f>
        <v>5.7357943404010889</v>
      </c>
      <c r="BB1650" s="320"/>
      <c r="BC1650" s="320"/>
    </row>
    <row r="1651" spans="1:55" ht="30" hidden="1" x14ac:dyDescent="0.25">
      <c r="A1651" s="373">
        <v>17695</v>
      </c>
      <c r="B1651" s="233" t="str">
        <f>VLOOKUP(Table8[[#This Row],[Document ID]],Table1[],2,FALSE)</f>
        <v>PNG</v>
      </c>
      <c r="C1651" s="233" t="str">
        <f>VLOOKUP(Table8[[#This Row],[Document ID]],Table1[],3,FALSE)</f>
        <v>Papua New Guinea</v>
      </c>
      <c r="D1651" s="243" t="str">
        <f>VLOOKUP(Table8[[#This Row],[Document ID]],Table1[],5,FALSE)</f>
        <v>NDC</v>
      </c>
      <c r="E1651" s="233" t="str">
        <f>VLOOKUP(Table8[[#This Row],[Document ID]],Table1[],7,FALSE)</f>
        <v>First NDC</v>
      </c>
      <c r="F1651" s="236" t="str">
        <f>VLOOKUP(Table8[[#This Row],[Document ID]],Table1[],8,FALSE)</f>
        <v>NDC 1.0</v>
      </c>
      <c r="G1651" s="236" t="str">
        <f>VLOOKUP(Table8[[#This Row],[Document ID]],Table1[],10,FALSE)</f>
        <v>Archived</v>
      </c>
      <c r="H1651" s="43" t="s">
        <v>2343</v>
      </c>
      <c r="I1651" s="43" t="s">
        <v>2344</v>
      </c>
      <c r="J1651" s="44" t="s">
        <v>2405</v>
      </c>
      <c r="K1651" s="44" t="s">
        <v>3861</v>
      </c>
      <c r="L1651" s="44" t="s">
        <v>2347</v>
      </c>
      <c r="M1651" s="43"/>
      <c r="N1651" s="113"/>
      <c r="O1651" s="113"/>
      <c r="P1651" s="113"/>
      <c r="Q1651" s="319"/>
      <c r="R1651" s="319"/>
      <c r="S1651" s="319"/>
      <c r="T1651" s="319"/>
      <c r="U1651" s="319"/>
      <c r="V1651" s="319"/>
      <c r="W1651" s="319"/>
      <c r="X1651" s="319"/>
      <c r="Y1651" s="319"/>
      <c r="Z1651" s="113" t="s">
        <v>1113</v>
      </c>
      <c r="AA1651" s="319"/>
      <c r="AB1651" s="319"/>
      <c r="AC1651" s="319"/>
      <c r="AD1651" s="319"/>
      <c r="AE1651" s="319"/>
      <c r="AF1651" s="319"/>
      <c r="AG1651" s="319"/>
      <c r="AH1651" s="319"/>
      <c r="AI1651" s="319"/>
      <c r="AJ1651" s="319"/>
      <c r="AK1651" s="319" t="s">
        <v>1113</v>
      </c>
      <c r="AL1651" s="319"/>
      <c r="AM1651" s="319"/>
      <c r="AN1651" s="319"/>
      <c r="AO1651" s="43" t="s">
        <v>2348</v>
      </c>
      <c r="AP1651" s="44"/>
      <c r="AQ1651" s="236" t="str">
        <f>VLOOKUP(Table8[[#This Row],[Instrument]],Def_Targets!$D$73:$E$159,2,FALSE)</f>
        <v>S_PTIntegration</v>
      </c>
      <c r="AR1651" s="233" t="str">
        <f>VLOOKUP(Table8[[#This Row],[Country Code]],Table29[],3,FALSE)</f>
        <v>Non-Annex I</v>
      </c>
      <c r="AS1651" s="233" t="str">
        <f>VLOOKUP(Table8[[#This Row],[Country Code]],Table29[],4,FALSE)</f>
        <v>Oceania</v>
      </c>
      <c r="AT1651" s="233" t="str">
        <f>VLOOKUP(Table8[[#This Row],[Country Code]],Table29[],5,FALSE)</f>
        <v>Middle-income</v>
      </c>
      <c r="AU1651" s="233" t="str">
        <f>VLOOKUP(Table8[[#This Row],[Country Code]],Table29[],6,FALSE)</f>
        <v>no</v>
      </c>
      <c r="AV1651" s="233" t="str">
        <f>VLOOKUP(Table8[[#This Row],[Country Code]],Table29[],7,FALSE)</f>
        <v>no</v>
      </c>
      <c r="AW1651" s="233" t="str">
        <f>VLOOKUP(Table8[[#This Row],[Country Code]],Table29[],8,FALSE)</f>
        <v>non-OECD</v>
      </c>
      <c r="AX1651" s="233" t="str">
        <f>VLOOKUP(Table8[[#This Row],[Country Code]],Table29[],9,FALSE)</f>
        <v>no</v>
      </c>
      <c r="AY1651" s="233" t="str">
        <f>VLOOKUP(Table8[[#This Row],[Country Code]],Table29[],10,FALSE)</f>
        <v>no</v>
      </c>
      <c r="AZ1651" s="235">
        <f>VLOOKUP(Table8[[#This Row],[Country Code]],Table29[],23,FALSE)</f>
        <v>9.6409981982956001</v>
      </c>
      <c r="BA1651" s="235">
        <f>VLOOKUP(Table8[[#This Row],[Country Code]],Table29[],24,FALSE)</f>
        <v>2.6300908312311049</v>
      </c>
      <c r="BB1651" s="320"/>
      <c r="BC1651" s="320"/>
    </row>
    <row r="1652" spans="1:55" ht="30" hidden="1" x14ac:dyDescent="0.25">
      <c r="A1652" s="373">
        <v>17695</v>
      </c>
      <c r="B1652" s="233" t="str">
        <f>VLOOKUP(Table8[[#This Row],[Document ID]],Table1[],2,FALSE)</f>
        <v>PNG</v>
      </c>
      <c r="C1652" s="233" t="str">
        <f>VLOOKUP(Table8[[#This Row],[Document ID]],Table1[],3,FALSE)</f>
        <v>Papua New Guinea</v>
      </c>
      <c r="D1652" s="243" t="str">
        <f>VLOOKUP(Table8[[#This Row],[Document ID]],Table1[],5,FALSE)</f>
        <v>NDC</v>
      </c>
      <c r="E1652" s="233" t="str">
        <f>VLOOKUP(Table8[[#This Row],[Document ID]],Table1[],7,FALSE)</f>
        <v>First NDC</v>
      </c>
      <c r="F1652" s="236" t="str">
        <f>VLOOKUP(Table8[[#This Row],[Document ID]],Table1[],8,FALSE)</f>
        <v>NDC 1.0</v>
      </c>
      <c r="G1652" s="236" t="str">
        <f>VLOOKUP(Table8[[#This Row],[Document ID]],Table1[],10,FALSE)</f>
        <v>Archived</v>
      </c>
      <c r="H1652" s="43" t="s">
        <v>2343</v>
      </c>
      <c r="I1652" s="43" t="s">
        <v>2344</v>
      </c>
      <c r="J1652" s="44" t="s">
        <v>2405</v>
      </c>
      <c r="K1652" s="44" t="s">
        <v>3862</v>
      </c>
      <c r="L1652" s="44" t="s">
        <v>2471</v>
      </c>
      <c r="M1652" s="43"/>
      <c r="N1652" s="113"/>
      <c r="O1652" s="113"/>
      <c r="P1652" s="113"/>
      <c r="Q1652" s="319"/>
      <c r="R1652" s="319"/>
      <c r="S1652" s="319"/>
      <c r="T1652" s="319"/>
      <c r="U1652" s="319"/>
      <c r="V1652" s="319"/>
      <c r="W1652" s="319"/>
      <c r="X1652" s="319"/>
      <c r="Y1652" s="319" t="s">
        <v>1113</v>
      </c>
      <c r="Z1652" s="113"/>
      <c r="AA1652" s="319"/>
      <c r="AB1652" s="319"/>
      <c r="AC1652" s="319"/>
      <c r="AD1652" s="319"/>
      <c r="AE1652" s="319"/>
      <c r="AF1652" s="319"/>
      <c r="AG1652" s="319"/>
      <c r="AH1652" s="319"/>
      <c r="AI1652" s="319"/>
      <c r="AJ1652" s="319"/>
      <c r="AK1652" s="319"/>
      <c r="AL1652" s="319" t="s">
        <v>1113</v>
      </c>
      <c r="AM1652" s="319"/>
      <c r="AN1652" s="319"/>
      <c r="AO1652" s="43" t="s">
        <v>2348</v>
      </c>
      <c r="AP1652" s="44"/>
      <c r="AQ1652" s="236" t="str">
        <f>VLOOKUP(Table8[[#This Row],[Instrument]],Def_Targets!$D$73:$E$159,2,FALSE)</f>
        <v>S_PTIntegration</v>
      </c>
      <c r="AR1652" s="233" t="str">
        <f>VLOOKUP(Table8[[#This Row],[Country Code]],Table29[],3,FALSE)</f>
        <v>Non-Annex I</v>
      </c>
      <c r="AS1652" s="233" t="str">
        <f>VLOOKUP(Table8[[#This Row],[Country Code]],Table29[],4,FALSE)</f>
        <v>Oceania</v>
      </c>
      <c r="AT1652" s="233" t="str">
        <f>VLOOKUP(Table8[[#This Row],[Country Code]],Table29[],5,FALSE)</f>
        <v>Middle-income</v>
      </c>
      <c r="AU1652" s="233" t="str">
        <f>VLOOKUP(Table8[[#This Row],[Country Code]],Table29[],6,FALSE)</f>
        <v>no</v>
      </c>
      <c r="AV1652" s="233" t="str">
        <f>VLOOKUP(Table8[[#This Row],[Country Code]],Table29[],7,FALSE)</f>
        <v>no</v>
      </c>
      <c r="AW1652" s="233" t="str">
        <f>VLOOKUP(Table8[[#This Row],[Country Code]],Table29[],8,FALSE)</f>
        <v>non-OECD</v>
      </c>
      <c r="AX1652" s="233" t="str">
        <f>VLOOKUP(Table8[[#This Row],[Country Code]],Table29[],9,FALSE)</f>
        <v>no</v>
      </c>
      <c r="AY1652" s="233" t="str">
        <f>VLOOKUP(Table8[[#This Row],[Country Code]],Table29[],10,FALSE)</f>
        <v>no</v>
      </c>
      <c r="AZ1652" s="235">
        <f>VLOOKUP(Table8[[#This Row],[Country Code]],Table29[],23,FALSE)</f>
        <v>9.6409981982956001</v>
      </c>
      <c r="BA1652" s="235">
        <f>VLOOKUP(Table8[[#This Row],[Country Code]],Table29[],24,FALSE)</f>
        <v>2.6300908312311049</v>
      </c>
      <c r="BB1652" s="320"/>
      <c r="BC1652" s="320"/>
    </row>
    <row r="1653" spans="1:55" hidden="1" x14ac:dyDescent="0.25">
      <c r="A1653" s="360">
        <v>17696</v>
      </c>
      <c r="B1653" s="233" t="str">
        <f>VLOOKUP(Table8[[#This Row],[Document ID]],Table1[],2,FALSE)</f>
        <v>PNG</v>
      </c>
      <c r="C1653" s="233" t="str">
        <f>VLOOKUP(Table8[[#This Row],[Document ID]],Table1[],3,FALSE)</f>
        <v>Papua New Guinea</v>
      </c>
      <c r="D1653" s="233" t="str">
        <f>VLOOKUP(Table8[[#This Row],[Document ID]],Table1[],5,FALSE)</f>
        <v>NDC</v>
      </c>
      <c r="E1653" s="233" t="str">
        <f>VLOOKUP(Table8[[#This Row],[Document ID]],Table1[],7,FALSE)</f>
        <v>Second NDC</v>
      </c>
      <c r="F1653" s="233" t="str">
        <f>VLOOKUP(Table8[[#This Row],[Document ID]],Table1[],8,FALSE)</f>
        <v>NDC 2.0</v>
      </c>
      <c r="G1653" s="233" t="str">
        <f>VLOOKUP(Table8[[#This Row],[Document ID]],Table1[],10,FALSE)</f>
        <v>Active</v>
      </c>
      <c r="H1653" s="44" t="s">
        <v>2338</v>
      </c>
      <c r="I1653" s="44" t="s">
        <v>2339</v>
      </c>
      <c r="J1653" s="44" t="s">
        <v>2340</v>
      </c>
      <c r="K1653" s="44" t="s">
        <v>3863</v>
      </c>
      <c r="L1653" s="44" t="s">
        <v>2333</v>
      </c>
      <c r="M1653" s="43">
        <v>13</v>
      </c>
      <c r="N1653" s="113" t="s">
        <v>1113</v>
      </c>
      <c r="O1653" s="113"/>
      <c r="P1653" s="113"/>
      <c r="Q1653" s="113"/>
      <c r="R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319" t="s">
        <v>1113</v>
      </c>
      <c r="AL1653" s="113"/>
      <c r="AM1653" s="113"/>
      <c r="AN1653" s="113"/>
      <c r="AO1653" s="44" t="s">
        <v>2334</v>
      </c>
      <c r="AP1653" s="43"/>
      <c r="AQ1653" s="236" t="str">
        <f>VLOOKUP(Table8[[#This Row],[Instrument]],Def_Targets!$D$73:$E$159,2,FALSE)</f>
        <v>I_Vehicleimprove</v>
      </c>
      <c r="AR1653" s="233" t="str">
        <f>VLOOKUP(Table8[[#This Row],[Country Code]],Table29[],3,FALSE)</f>
        <v>Non-Annex I</v>
      </c>
      <c r="AS1653" s="233" t="str">
        <f>VLOOKUP(Table8[[#This Row],[Country Code]],Table29[],4,FALSE)</f>
        <v>Oceania</v>
      </c>
      <c r="AT1653" s="233" t="str">
        <f>VLOOKUP(Table8[[#This Row],[Country Code]],Table29[],5,FALSE)</f>
        <v>Middle-income</v>
      </c>
      <c r="AU1653" s="233" t="str">
        <f>VLOOKUP(Table8[[#This Row],[Country Code]],Table29[],6,FALSE)</f>
        <v>no</v>
      </c>
      <c r="AV1653" s="233" t="str">
        <f>VLOOKUP(Table8[[#This Row],[Country Code]],Table29[],7,FALSE)</f>
        <v>no</v>
      </c>
      <c r="AW1653" s="233" t="str">
        <f>VLOOKUP(Table8[[#This Row],[Country Code]],Table29[],8,FALSE)</f>
        <v>non-OECD</v>
      </c>
      <c r="AX1653" s="233" t="str">
        <f>VLOOKUP(Table8[[#This Row],[Country Code]],Table29[],9,FALSE)</f>
        <v>no</v>
      </c>
      <c r="AY1653" s="233" t="str">
        <f>VLOOKUP(Table8[[#This Row],[Country Code]],Table29[],10,FALSE)</f>
        <v>no</v>
      </c>
      <c r="AZ1653" s="235">
        <f>VLOOKUP(Table8[[#This Row],[Country Code]],Table29[],23,FALSE)</f>
        <v>9.6409981982956001</v>
      </c>
      <c r="BA1653" s="235">
        <f>VLOOKUP(Table8[[#This Row],[Country Code]],Table29[],24,FALSE)</f>
        <v>2.6300908312311049</v>
      </c>
      <c r="BB1653" s="320"/>
      <c r="BC1653" s="320"/>
    </row>
    <row r="1654" spans="1:55" ht="30" hidden="1" x14ac:dyDescent="0.25">
      <c r="A1654" s="360">
        <v>17696</v>
      </c>
      <c r="B1654" s="233" t="str">
        <f>VLOOKUP(Table8[[#This Row],[Document ID]],Table1[],2,FALSE)</f>
        <v>PNG</v>
      </c>
      <c r="C1654" s="233" t="str">
        <f>VLOOKUP(Table8[[#This Row],[Document ID]],Table1[],3,FALSE)</f>
        <v>Papua New Guinea</v>
      </c>
      <c r="D1654" s="233" t="str">
        <f>VLOOKUP(Table8[[#This Row],[Document ID]],Table1[],5,FALSE)</f>
        <v>NDC</v>
      </c>
      <c r="E1654" s="233" t="str">
        <f>VLOOKUP(Table8[[#This Row],[Document ID]],Table1[],7,FALSE)</f>
        <v>Second NDC</v>
      </c>
      <c r="F1654" s="233" t="str">
        <f>VLOOKUP(Table8[[#This Row],[Document ID]],Table1[],8,FALSE)</f>
        <v>NDC 2.0</v>
      </c>
      <c r="G1654" s="233" t="str">
        <f>VLOOKUP(Table8[[#This Row],[Document ID]],Table1[],10,FALSE)</f>
        <v>Active</v>
      </c>
      <c r="H1654" s="43" t="s">
        <v>2350</v>
      </c>
      <c r="I1654" s="43" t="s">
        <v>2370</v>
      </c>
      <c r="J1654" s="44" t="s">
        <v>2518</v>
      </c>
      <c r="K1654" s="44" t="s">
        <v>3864</v>
      </c>
      <c r="L1654" s="44" t="s">
        <v>2380</v>
      </c>
      <c r="M1654" s="43">
        <v>13</v>
      </c>
      <c r="N1654" s="113" t="s">
        <v>1113</v>
      </c>
      <c r="O1654" s="113"/>
      <c r="P1654" s="113"/>
      <c r="Q1654" s="113"/>
      <c r="R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319" t="s">
        <v>1113</v>
      </c>
      <c r="AL1654" s="113"/>
      <c r="AM1654" s="113"/>
      <c r="AN1654" s="113"/>
      <c r="AO1654" s="44" t="s">
        <v>2334</v>
      </c>
      <c r="AP1654" s="43"/>
      <c r="AQ1654" s="236" t="str">
        <f>VLOOKUP(Table8[[#This Row],[Instrument]],Def_Targets!$D$73:$E$159,2,FALSE)</f>
        <v>A_Mixuse</v>
      </c>
      <c r="AR1654" s="233" t="str">
        <f>VLOOKUP(Table8[[#This Row],[Country Code]],Table29[],3,FALSE)</f>
        <v>Non-Annex I</v>
      </c>
      <c r="AS1654" s="233" t="str">
        <f>VLOOKUP(Table8[[#This Row],[Country Code]],Table29[],4,FALSE)</f>
        <v>Oceania</v>
      </c>
      <c r="AT1654" s="233" t="str">
        <f>VLOOKUP(Table8[[#This Row],[Country Code]],Table29[],5,FALSE)</f>
        <v>Middle-income</v>
      </c>
      <c r="AU1654" s="233" t="str">
        <f>VLOOKUP(Table8[[#This Row],[Country Code]],Table29[],6,FALSE)</f>
        <v>no</v>
      </c>
      <c r="AV1654" s="233" t="str">
        <f>VLOOKUP(Table8[[#This Row],[Country Code]],Table29[],7,FALSE)</f>
        <v>no</v>
      </c>
      <c r="AW1654" s="233" t="str">
        <f>VLOOKUP(Table8[[#This Row],[Country Code]],Table29[],8,FALSE)</f>
        <v>non-OECD</v>
      </c>
      <c r="AX1654" s="233" t="str">
        <f>VLOOKUP(Table8[[#This Row],[Country Code]],Table29[],9,FALSE)</f>
        <v>no</v>
      </c>
      <c r="AY1654" s="233" t="str">
        <f>VLOOKUP(Table8[[#This Row],[Country Code]],Table29[],10,FALSE)</f>
        <v>no</v>
      </c>
      <c r="AZ1654" s="235">
        <f>VLOOKUP(Table8[[#This Row],[Country Code]],Table29[],23,FALSE)</f>
        <v>9.6409981982956001</v>
      </c>
      <c r="BA1654" s="235">
        <f>VLOOKUP(Table8[[#This Row],[Country Code]],Table29[],24,FALSE)</f>
        <v>2.6300908312311049</v>
      </c>
      <c r="BB1654" s="320"/>
      <c r="BC1654" s="320"/>
    </row>
    <row r="1655" spans="1:55" hidden="1" x14ac:dyDescent="0.25">
      <c r="A1655" s="360">
        <v>17696</v>
      </c>
      <c r="B1655" s="233" t="str">
        <f>VLOOKUP(Table8[[#This Row],[Document ID]],Table1[],2,FALSE)</f>
        <v>PNG</v>
      </c>
      <c r="C1655" s="233" t="str">
        <f>VLOOKUP(Table8[[#This Row],[Document ID]],Table1[],3,FALSE)</f>
        <v>Papua New Guinea</v>
      </c>
      <c r="D1655" s="233" t="str">
        <f>VLOOKUP(Table8[[#This Row],[Document ID]],Table1[],5,FALSE)</f>
        <v>NDC</v>
      </c>
      <c r="E1655" s="233" t="str">
        <f>VLOOKUP(Table8[[#This Row],[Document ID]],Table1[],7,FALSE)</f>
        <v>Second NDC</v>
      </c>
      <c r="F1655" s="233" t="str">
        <f>VLOOKUP(Table8[[#This Row],[Document ID]],Table1[],8,FALSE)</f>
        <v>NDC 2.0</v>
      </c>
      <c r="G1655" s="233" t="str">
        <f>VLOOKUP(Table8[[#This Row],[Document ID]],Table1[],10,FALSE)</f>
        <v>Active</v>
      </c>
      <c r="H1655" s="44" t="s">
        <v>2329</v>
      </c>
      <c r="I1655" s="44" t="s">
        <v>2330</v>
      </c>
      <c r="J1655" s="44" t="s">
        <v>2357</v>
      </c>
      <c r="K1655" s="44" t="s">
        <v>3865</v>
      </c>
      <c r="L1655" s="44" t="s">
        <v>2333</v>
      </c>
      <c r="M1655" s="43">
        <v>13</v>
      </c>
      <c r="N1655" s="113" t="s">
        <v>1113</v>
      </c>
      <c r="O1655" s="113"/>
      <c r="P1655" s="113"/>
      <c r="Q1655" s="113"/>
      <c r="R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319" t="s">
        <v>1113</v>
      </c>
      <c r="AL1655" s="113"/>
      <c r="AM1655" s="113"/>
      <c r="AN1655" s="113"/>
      <c r="AO1655" s="44" t="s">
        <v>2334</v>
      </c>
      <c r="AP1655" s="43"/>
      <c r="AQ1655" s="236" t="str">
        <f>VLOOKUP(Table8[[#This Row],[Instrument]],Def_Targets!$D$73:$E$159,2,FALSE)</f>
        <v>I_Biofuel</v>
      </c>
      <c r="AR1655" s="233" t="str">
        <f>VLOOKUP(Table8[[#This Row],[Country Code]],Table29[],3,FALSE)</f>
        <v>Non-Annex I</v>
      </c>
      <c r="AS1655" s="233" t="str">
        <f>VLOOKUP(Table8[[#This Row],[Country Code]],Table29[],4,FALSE)</f>
        <v>Oceania</v>
      </c>
      <c r="AT1655" s="233" t="str">
        <f>VLOOKUP(Table8[[#This Row],[Country Code]],Table29[],5,FALSE)</f>
        <v>Middle-income</v>
      </c>
      <c r="AU1655" s="233" t="str">
        <f>VLOOKUP(Table8[[#This Row],[Country Code]],Table29[],6,FALSE)</f>
        <v>no</v>
      </c>
      <c r="AV1655" s="233" t="str">
        <f>VLOOKUP(Table8[[#This Row],[Country Code]],Table29[],7,FALSE)</f>
        <v>no</v>
      </c>
      <c r="AW1655" s="233" t="str">
        <f>VLOOKUP(Table8[[#This Row],[Country Code]],Table29[],8,FALSE)</f>
        <v>non-OECD</v>
      </c>
      <c r="AX1655" s="233" t="str">
        <f>VLOOKUP(Table8[[#This Row],[Country Code]],Table29[],9,FALSE)</f>
        <v>no</v>
      </c>
      <c r="AY1655" s="233" t="str">
        <f>VLOOKUP(Table8[[#This Row],[Country Code]],Table29[],10,FALSE)</f>
        <v>no</v>
      </c>
      <c r="AZ1655" s="235">
        <f>VLOOKUP(Table8[[#This Row],[Country Code]],Table29[],23,FALSE)</f>
        <v>9.6409981982956001</v>
      </c>
      <c r="BA1655" s="235">
        <f>VLOOKUP(Table8[[#This Row],[Country Code]],Table29[],24,FALSE)</f>
        <v>2.6300908312311049</v>
      </c>
      <c r="BB1655" s="320"/>
      <c r="BC1655" s="320"/>
    </row>
    <row r="1656" spans="1:55" hidden="1" x14ac:dyDescent="0.25">
      <c r="A1656" s="360">
        <v>17696</v>
      </c>
      <c r="B1656" s="233" t="str">
        <f>VLOOKUP(Table8[[#This Row],[Document ID]],Table1[],2,FALSE)</f>
        <v>PNG</v>
      </c>
      <c r="C1656" s="233" t="str">
        <f>VLOOKUP(Table8[[#This Row],[Document ID]],Table1[],3,FALSE)</f>
        <v>Papua New Guinea</v>
      </c>
      <c r="D1656" s="233" t="str">
        <f>VLOOKUP(Table8[[#This Row],[Document ID]],Table1[],5,FALSE)</f>
        <v>NDC</v>
      </c>
      <c r="E1656" s="233" t="str">
        <f>VLOOKUP(Table8[[#This Row],[Document ID]],Table1[],7,FALSE)</f>
        <v>Second NDC</v>
      </c>
      <c r="F1656" s="233" t="str">
        <f>VLOOKUP(Table8[[#This Row],[Document ID]],Table1[],8,FALSE)</f>
        <v>NDC 2.0</v>
      </c>
      <c r="G1656" s="233" t="str">
        <f>VLOOKUP(Table8[[#This Row],[Document ID]],Table1[],10,FALSE)</f>
        <v>Active</v>
      </c>
      <c r="H1656" s="44" t="s">
        <v>2329</v>
      </c>
      <c r="I1656" s="44" t="s">
        <v>2330</v>
      </c>
      <c r="J1656" s="44" t="s">
        <v>2331</v>
      </c>
      <c r="K1656" s="44" t="s">
        <v>3866</v>
      </c>
      <c r="L1656" s="44" t="s">
        <v>2333</v>
      </c>
      <c r="M1656" s="43">
        <v>13</v>
      </c>
      <c r="N1656" s="113" t="s">
        <v>1113</v>
      </c>
      <c r="O1656" s="113"/>
      <c r="P1656" s="113"/>
      <c r="Q1656" s="113"/>
      <c r="R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319" t="s">
        <v>1113</v>
      </c>
      <c r="AL1656" s="113"/>
      <c r="AM1656" s="113"/>
      <c r="AN1656" s="113"/>
      <c r="AO1656" s="44" t="s">
        <v>2334</v>
      </c>
      <c r="AP1656" s="43"/>
      <c r="AQ1656" s="236" t="str">
        <f>VLOOKUP(Table8[[#This Row],[Instrument]],Def_Targets!$D$73:$E$159,2,FALSE)</f>
        <v>I_Altfuels</v>
      </c>
      <c r="AR1656" s="233" t="str">
        <f>VLOOKUP(Table8[[#This Row],[Country Code]],Table29[],3,FALSE)</f>
        <v>Non-Annex I</v>
      </c>
      <c r="AS1656" s="233" t="str">
        <f>VLOOKUP(Table8[[#This Row],[Country Code]],Table29[],4,FALSE)</f>
        <v>Oceania</v>
      </c>
      <c r="AT1656" s="233" t="str">
        <f>VLOOKUP(Table8[[#This Row],[Country Code]],Table29[],5,FALSE)</f>
        <v>Middle-income</v>
      </c>
      <c r="AU1656" s="233" t="str">
        <f>VLOOKUP(Table8[[#This Row],[Country Code]],Table29[],6,FALSE)</f>
        <v>no</v>
      </c>
      <c r="AV1656" s="233" t="str">
        <f>VLOOKUP(Table8[[#This Row],[Country Code]],Table29[],7,FALSE)</f>
        <v>no</v>
      </c>
      <c r="AW1656" s="233" t="str">
        <f>VLOOKUP(Table8[[#This Row],[Country Code]],Table29[],8,FALSE)</f>
        <v>non-OECD</v>
      </c>
      <c r="AX1656" s="233" t="str">
        <f>VLOOKUP(Table8[[#This Row],[Country Code]],Table29[],9,FALSE)</f>
        <v>no</v>
      </c>
      <c r="AY1656" s="233" t="str">
        <f>VLOOKUP(Table8[[#This Row],[Country Code]],Table29[],10,FALSE)</f>
        <v>no</v>
      </c>
      <c r="AZ1656" s="235">
        <f>VLOOKUP(Table8[[#This Row],[Country Code]],Table29[],23,FALSE)</f>
        <v>9.6409981982956001</v>
      </c>
      <c r="BA1656" s="235">
        <f>VLOOKUP(Table8[[#This Row],[Country Code]],Table29[],24,FALSE)</f>
        <v>2.6300908312311049</v>
      </c>
      <c r="BB1656" s="320"/>
      <c r="BC1656" s="320"/>
    </row>
    <row r="1657" spans="1:55" hidden="1" x14ac:dyDescent="0.25">
      <c r="A1657" s="360">
        <v>17696</v>
      </c>
      <c r="B1657" s="233" t="str">
        <f>VLOOKUP(Table8[[#This Row],[Document ID]],Table1[],2,FALSE)</f>
        <v>PNG</v>
      </c>
      <c r="C1657" s="233" t="str">
        <f>VLOOKUP(Table8[[#This Row],[Document ID]],Table1[],3,FALSE)</f>
        <v>Papua New Guinea</v>
      </c>
      <c r="D1657" s="233" t="str">
        <f>VLOOKUP(Table8[[#This Row],[Document ID]],Table1[],5,FALSE)</f>
        <v>NDC</v>
      </c>
      <c r="E1657" s="233" t="str">
        <f>VLOOKUP(Table8[[#This Row],[Document ID]],Table1[],7,FALSE)</f>
        <v>Second NDC</v>
      </c>
      <c r="F1657" s="233" t="str">
        <f>VLOOKUP(Table8[[#This Row],[Document ID]],Table1[],8,FALSE)</f>
        <v>NDC 2.0</v>
      </c>
      <c r="G1657" s="233" t="str">
        <f>VLOOKUP(Table8[[#This Row],[Document ID]],Table1[],10,FALSE)</f>
        <v>Active</v>
      </c>
      <c r="H1657" s="43" t="s">
        <v>2358</v>
      </c>
      <c r="I1657" s="43" t="s">
        <v>2359</v>
      </c>
      <c r="J1657" s="44" t="s">
        <v>2360</v>
      </c>
      <c r="K1657" s="44" t="s">
        <v>3867</v>
      </c>
      <c r="L1657" s="44" t="s">
        <v>2333</v>
      </c>
      <c r="M1657" s="43">
        <v>13</v>
      </c>
      <c r="N1657" s="113"/>
      <c r="O1657" s="113"/>
      <c r="P1657" s="113"/>
      <c r="Q1657" s="113"/>
      <c r="R1657" s="113"/>
      <c r="S1657" s="113" t="s">
        <v>1113</v>
      </c>
      <c r="T1657" s="113"/>
      <c r="U1657" s="113"/>
      <c r="V1657" s="113"/>
      <c r="W1657" s="113"/>
      <c r="X1657" s="113"/>
      <c r="Y1657" s="113"/>
      <c r="Z1657" s="113"/>
      <c r="AA1657" s="113"/>
      <c r="AB1657" s="113"/>
      <c r="AC1657" s="113"/>
      <c r="AD1657" s="113"/>
      <c r="AE1657" s="113"/>
      <c r="AF1657" s="113"/>
      <c r="AG1657" s="113"/>
      <c r="AH1657" s="113"/>
      <c r="AI1657" s="113"/>
      <c r="AJ1657" s="113"/>
      <c r="AK1657" s="319" t="s">
        <v>1113</v>
      </c>
      <c r="AL1657" s="113"/>
      <c r="AM1657" s="113"/>
      <c r="AN1657" s="113"/>
      <c r="AO1657" s="44" t="s">
        <v>2334</v>
      </c>
      <c r="AP1657" s="43"/>
      <c r="AQ1657" s="236" t="str">
        <f>VLOOKUP(Table8[[#This Row],[Instrument]],Def_Targets!$D$73:$E$159,2,FALSE)</f>
        <v>I_Emobility</v>
      </c>
      <c r="AR1657" s="233" t="str">
        <f>VLOOKUP(Table8[[#This Row],[Country Code]],Table29[],3,FALSE)</f>
        <v>Non-Annex I</v>
      </c>
      <c r="AS1657" s="233" t="str">
        <f>VLOOKUP(Table8[[#This Row],[Country Code]],Table29[],4,FALSE)</f>
        <v>Oceania</v>
      </c>
      <c r="AT1657" s="233" t="str">
        <f>VLOOKUP(Table8[[#This Row],[Country Code]],Table29[],5,FALSE)</f>
        <v>Middle-income</v>
      </c>
      <c r="AU1657" s="233" t="str">
        <f>VLOOKUP(Table8[[#This Row],[Country Code]],Table29[],6,FALSE)</f>
        <v>no</v>
      </c>
      <c r="AV1657" s="233" t="str">
        <f>VLOOKUP(Table8[[#This Row],[Country Code]],Table29[],7,FALSE)</f>
        <v>no</v>
      </c>
      <c r="AW1657" s="233" t="str">
        <f>VLOOKUP(Table8[[#This Row],[Country Code]],Table29[],8,FALSE)</f>
        <v>non-OECD</v>
      </c>
      <c r="AX1657" s="233" t="str">
        <f>VLOOKUP(Table8[[#This Row],[Country Code]],Table29[],9,FALSE)</f>
        <v>no</v>
      </c>
      <c r="AY1657" s="233" t="str">
        <f>VLOOKUP(Table8[[#This Row],[Country Code]],Table29[],10,FALSE)</f>
        <v>no</v>
      </c>
      <c r="AZ1657" s="235">
        <f>VLOOKUP(Table8[[#This Row],[Country Code]],Table29[],23,FALSE)</f>
        <v>9.6409981982956001</v>
      </c>
      <c r="BA1657" s="235">
        <f>VLOOKUP(Table8[[#This Row],[Country Code]],Table29[],24,FALSE)</f>
        <v>2.6300908312311049</v>
      </c>
      <c r="BB1657" s="320"/>
      <c r="BC1657" s="320"/>
    </row>
    <row r="1658" spans="1:55" hidden="1" x14ac:dyDescent="0.25">
      <c r="A1658" s="360">
        <v>17696</v>
      </c>
      <c r="B1658" s="233" t="str">
        <f>VLOOKUP(Table8[[#This Row],[Document ID]],Table1[],2,FALSE)</f>
        <v>PNG</v>
      </c>
      <c r="C1658" s="233" t="str">
        <f>VLOOKUP(Table8[[#This Row],[Document ID]],Table1[],3,FALSE)</f>
        <v>Papua New Guinea</v>
      </c>
      <c r="D1658" s="233" t="str">
        <f>VLOOKUP(Table8[[#This Row],[Document ID]],Table1[],5,FALSE)</f>
        <v>NDC</v>
      </c>
      <c r="E1658" s="233" t="str">
        <f>VLOOKUP(Table8[[#This Row],[Document ID]],Table1[],7,FALSE)</f>
        <v>Second NDC</v>
      </c>
      <c r="F1658" s="233" t="str">
        <f>VLOOKUP(Table8[[#This Row],[Document ID]],Table1[],8,FALSE)</f>
        <v>NDC 2.0</v>
      </c>
      <c r="G1658" s="233" t="str">
        <f>VLOOKUP(Table8[[#This Row],[Document ID]],Table1[],10,FALSE)</f>
        <v>Active</v>
      </c>
      <c r="H1658" s="44" t="s">
        <v>2338</v>
      </c>
      <c r="I1658" s="44" t="s">
        <v>2339</v>
      </c>
      <c r="J1658" s="44" t="s">
        <v>2413</v>
      </c>
      <c r="K1658" s="44" t="s">
        <v>3868</v>
      </c>
      <c r="L1658" s="44" t="s">
        <v>2333</v>
      </c>
      <c r="M1658" s="43">
        <v>13</v>
      </c>
      <c r="N1658" s="113"/>
      <c r="O1658" s="113"/>
      <c r="P1658" s="113"/>
      <c r="Q1658" s="113"/>
      <c r="R1658" s="113"/>
      <c r="S1658" s="113" t="s">
        <v>1113</v>
      </c>
      <c r="T1658" s="113"/>
      <c r="U1658" s="113"/>
      <c r="V1658" s="113"/>
      <c r="W1658" s="113"/>
      <c r="X1658" s="113"/>
      <c r="Y1658" s="113"/>
      <c r="Z1658" s="113"/>
      <c r="AA1658" s="113"/>
      <c r="AB1658" s="113"/>
      <c r="AC1658" s="113"/>
      <c r="AD1658" s="113"/>
      <c r="AE1658" s="113"/>
      <c r="AF1658" s="113"/>
      <c r="AG1658" s="113"/>
      <c r="AH1658" s="113"/>
      <c r="AI1658" s="113"/>
      <c r="AJ1658" s="113"/>
      <c r="AK1658" s="319" t="s">
        <v>1113</v>
      </c>
      <c r="AL1658" s="113"/>
      <c r="AM1658" s="113"/>
      <c r="AN1658" s="113"/>
      <c r="AO1658" s="44" t="s">
        <v>2334</v>
      </c>
      <c r="AP1658" s="43"/>
      <c r="AQ1658" s="236" t="str">
        <f>VLOOKUP(Table8[[#This Row],[Instrument]],Def_Targets!$D$73:$E$159,2,FALSE)</f>
        <v>I_Vehicleeff</v>
      </c>
      <c r="AR1658" s="233" t="str">
        <f>VLOOKUP(Table8[[#This Row],[Country Code]],Table29[],3,FALSE)</f>
        <v>Non-Annex I</v>
      </c>
      <c r="AS1658" s="233" t="str">
        <f>VLOOKUP(Table8[[#This Row],[Country Code]],Table29[],4,FALSE)</f>
        <v>Oceania</v>
      </c>
      <c r="AT1658" s="233" t="str">
        <f>VLOOKUP(Table8[[#This Row],[Country Code]],Table29[],5,FALSE)</f>
        <v>Middle-income</v>
      </c>
      <c r="AU1658" s="233" t="str">
        <f>VLOOKUP(Table8[[#This Row],[Country Code]],Table29[],6,FALSE)</f>
        <v>no</v>
      </c>
      <c r="AV1658" s="233" t="str">
        <f>VLOOKUP(Table8[[#This Row],[Country Code]],Table29[],7,FALSE)</f>
        <v>no</v>
      </c>
      <c r="AW1658" s="233" t="str">
        <f>VLOOKUP(Table8[[#This Row],[Country Code]],Table29[],8,FALSE)</f>
        <v>non-OECD</v>
      </c>
      <c r="AX1658" s="233" t="str">
        <f>VLOOKUP(Table8[[#This Row],[Country Code]],Table29[],9,FALSE)</f>
        <v>no</v>
      </c>
      <c r="AY1658" s="233" t="str">
        <f>VLOOKUP(Table8[[#This Row],[Country Code]],Table29[],10,FALSE)</f>
        <v>no</v>
      </c>
      <c r="AZ1658" s="235">
        <f>VLOOKUP(Table8[[#This Row],[Country Code]],Table29[],23,FALSE)</f>
        <v>9.6409981982956001</v>
      </c>
      <c r="BA1658" s="235">
        <f>VLOOKUP(Table8[[#This Row],[Country Code]],Table29[],24,FALSE)</f>
        <v>2.6300908312311049</v>
      </c>
      <c r="BB1658" s="320"/>
      <c r="BC1658" s="320"/>
    </row>
    <row r="1659" spans="1:55" hidden="1" x14ac:dyDescent="0.25">
      <c r="A1659" s="360">
        <v>17696</v>
      </c>
      <c r="B1659" s="233" t="str">
        <f>VLOOKUP(Table8[[#This Row],[Document ID]],Table1[],2,FALSE)</f>
        <v>PNG</v>
      </c>
      <c r="C1659" s="233" t="str">
        <f>VLOOKUP(Table8[[#This Row],[Document ID]],Table1[],3,FALSE)</f>
        <v>Papua New Guinea</v>
      </c>
      <c r="D1659" s="233" t="str">
        <f>VLOOKUP(Table8[[#This Row],[Document ID]],Table1[],5,FALSE)</f>
        <v>NDC</v>
      </c>
      <c r="E1659" s="233" t="str">
        <f>VLOOKUP(Table8[[#This Row],[Document ID]],Table1[],7,FALSE)</f>
        <v>Second NDC</v>
      </c>
      <c r="F1659" s="233" t="str">
        <f>VLOOKUP(Table8[[#This Row],[Document ID]],Table1[],8,FALSE)</f>
        <v>NDC 2.0</v>
      </c>
      <c r="G1659" s="233" t="str">
        <f>VLOOKUP(Table8[[#This Row],[Document ID]],Table1[],10,FALSE)</f>
        <v>Active</v>
      </c>
      <c r="H1659" s="44" t="s">
        <v>2338</v>
      </c>
      <c r="I1659" s="44" t="s">
        <v>2339</v>
      </c>
      <c r="J1659" s="44" t="s">
        <v>2416</v>
      </c>
      <c r="K1659" s="44" t="s">
        <v>3869</v>
      </c>
      <c r="L1659" s="44" t="s">
        <v>2333</v>
      </c>
      <c r="M1659" s="43">
        <v>13</v>
      </c>
      <c r="N1659" s="113"/>
      <c r="O1659" s="113"/>
      <c r="P1659" s="113"/>
      <c r="Q1659" s="113"/>
      <c r="R1659" s="113"/>
      <c r="S1659" s="113" t="s">
        <v>1113</v>
      </c>
      <c r="T1659" s="113"/>
      <c r="U1659" s="113"/>
      <c r="V1659" s="113"/>
      <c r="W1659" s="113"/>
      <c r="X1659" s="113"/>
      <c r="Y1659" s="113"/>
      <c r="Z1659" s="113"/>
      <c r="AA1659" s="113"/>
      <c r="AB1659" s="113"/>
      <c r="AC1659" s="113"/>
      <c r="AD1659" s="113"/>
      <c r="AE1659" s="113"/>
      <c r="AF1659" s="113"/>
      <c r="AG1659" s="113"/>
      <c r="AH1659" s="113"/>
      <c r="AI1659" s="113"/>
      <c r="AJ1659" s="113"/>
      <c r="AK1659" s="319" t="s">
        <v>1113</v>
      </c>
      <c r="AL1659" s="113"/>
      <c r="AM1659" s="113"/>
      <c r="AN1659" s="113"/>
      <c r="AO1659" s="44" t="s">
        <v>2334</v>
      </c>
      <c r="AP1659" s="43"/>
      <c r="AQ1659" s="236" t="str">
        <f>VLOOKUP(Table8[[#This Row],[Instrument]],Def_Targets!$D$73:$E$159,2,FALSE)</f>
        <v>I_Vehiclescrappage</v>
      </c>
      <c r="AR1659" s="233" t="str">
        <f>VLOOKUP(Table8[[#This Row],[Country Code]],Table29[],3,FALSE)</f>
        <v>Non-Annex I</v>
      </c>
      <c r="AS1659" s="233" t="str">
        <f>VLOOKUP(Table8[[#This Row],[Country Code]],Table29[],4,FALSE)</f>
        <v>Oceania</v>
      </c>
      <c r="AT1659" s="233" t="str">
        <f>VLOOKUP(Table8[[#This Row],[Country Code]],Table29[],5,FALSE)</f>
        <v>Middle-income</v>
      </c>
      <c r="AU1659" s="233" t="str">
        <f>VLOOKUP(Table8[[#This Row],[Country Code]],Table29[],6,FALSE)</f>
        <v>no</v>
      </c>
      <c r="AV1659" s="233" t="str">
        <f>VLOOKUP(Table8[[#This Row],[Country Code]],Table29[],7,FALSE)</f>
        <v>no</v>
      </c>
      <c r="AW1659" s="233" t="str">
        <f>VLOOKUP(Table8[[#This Row],[Country Code]],Table29[],8,FALSE)</f>
        <v>non-OECD</v>
      </c>
      <c r="AX1659" s="233" t="str">
        <f>VLOOKUP(Table8[[#This Row],[Country Code]],Table29[],9,FALSE)</f>
        <v>no</v>
      </c>
      <c r="AY1659" s="233" t="str">
        <f>VLOOKUP(Table8[[#This Row],[Country Code]],Table29[],10,FALSE)</f>
        <v>no</v>
      </c>
      <c r="AZ1659" s="235">
        <f>VLOOKUP(Table8[[#This Row],[Country Code]],Table29[],23,FALSE)</f>
        <v>9.6409981982956001</v>
      </c>
      <c r="BA1659" s="235">
        <f>VLOOKUP(Table8[[#This Row],[Country Code]],Table29[],24,FALSE)</f>
        <v>2.6300908312311049</v>
      </c>
      <c r="BB1659" s="320"/>
      <c r="BC1659" s="320"/>
    </row>
    <row r="1660" spans="1:55" ht="45" hidden="1" x14ac:dyDescent="0.25">
      <c r="A1660" s="373">
        <v>17697</v>
      </c>
      <c r="B1660" s="233" t="str">
        <f>VLOOKUP(Table8[[#This Row],[Document ID]],Table1[],2,FALSE)</f>
        <v>PRY</v>
      </c>
      <c r="C1660" s="233" t="str">
        <f>VLOOKUP(Table8[[#This Row],[Document ID]],Table1[],3,FALSE)</f>
        <v>Paraguay</v>
      </c>
      <c r="D1660" s="243" t="str">
        <f>VLOOKUP(Table8[[#This Row],[Document ID]],Table1[],5,FALSE)</f>
        <v>NDC</v>
      </c>
      <c r="E1660" s="233" t="str">
        <f>VLOOKUP(Table8[[#This Row],[Document ID]],Table1[],7,FALSE)</f>
        <v>First NDC</v>
      </c>
      <c r="F1660" s="236" t="str">
        <f>VLOOKUP(Table8[[#This Row],[Document ID]],Table1[],8,FALSE)</f>
        <v>NDC 1.0</v>
      </c>
      <c r="G1660" s="236" t="str">
        <f>VLOOKUP(Table8[[#This Row],[Document ID]],Table1[],10,FALSE)</f>
        <v>Archived</v>
      </c>
      <c r="H1660" s="43" t="s">
        <v>2350</v>
      </c>
      <c r="I1660" s="43" t="s">
        <v>2456</v>
      </c>
      <c r="J1660" s="44" t="s">
        <v>2643</v>
      </c>
      <c r="K1660" s="44" t="s">
        <v>3870</v>
      </c>
      <c r="L1660" s="44" t="s">
        <v>2347</v>
      </c>
      <c r="M1660" s="43"/>
      <c r="N1660" s="113" t="s">
        <v>1113</v>
      </c>
      <c r="O1660" s="113"/>
      <c r="P1660" s="113"/>
      <c r="Q1660" s="319"/>
      <c r="R1660" s="319"/>
      <c r="S1660" s="319"/>
      <c r="T1660" s="319"/>
      <c r="U1660" s="319"/>
      <c r="V1660" s="319"/>
      <c r="W1660" s="319"/>
      <c r="X1660" s="319"/>
      <c r="Y1660" s="319"/>
      <c r="Z1660" s="113"/>
      <c r="AA1660" s="319"/>
      <c r="AB1660" s="319"/>
      <c r="AC1660" s="319"/>
      <c r="AD1660" s="319"/>
      <c r="AE1660" s="319"/>
      <c r="AF1660" s="319"/>
      <c r="AG1660" s="319"/>
      <c r="AH1660" s="319"/>
      <c r="AI1660" s="319"/>
      <c r="AJ1660" s="319"/>
      <c r="AK1660" s="319" t="s">
        <v>1113</v>
      </c>
      <c r="AL1660" s="319"/>
      <c r="AM1660" s="319"/>
      <c r="AN1660" s="319"/>
      <c r="AO1660" s="44" t="s">
        <v>2334</v>
      </c>
      <c r="AP1660" s="44"/>
      <c r="AQ1660" s="236" t="str">
        <f>VLOOKUP(Table8[[#This Row],[Instrument]],Def_Targets!$D$73:$E$159,2,FALSE)</f>
        <v>S_Intermodality</v>
      </c>
      <c r="AR1660" s="233" t="str">
        <f>VLOOKUP(Table8[[#This Row],[Country Code]],Table29[],3,FALSE)</f>
        <v>Non-Annex I</v>
      </c>
      <c r="AS1660" s="233" t="str">
        <f>VLOOKUP(Table8[[#This Row],[Country Code]],Table29[],4,FALSE)</f>
        <v>Latin America and the Caribbean</v>
      </c>
      <c r="AT1660" s="233" t="str">
        <f>VLOOKUP(Table8[[#This Row],[Country Code]],Table29[],5,FALSE)</f>
        <v>Middle-income</v>
      </c>
      <c r="AU1660" s="233" t="str">
        <f>VLOOKUP(Table8[[#This Row],[Country Code]],Table29[],6,FALSE)</f>
        <v>no</v>
      </c>
      <c r="AV1660" s="233" t="str">
        <f>VLOOKUP(Table8[[#This Row],[Country Code]],Table29[],7,FALSE)</f>
        <v>no</v>
      </c>
      <c r="AW1660" s="233" t="str">
        <f>VLOOKUP(Table8[[#This Row],[Country Code]],Table29[],8,FALSE)</f>
        <v>non-OECD</v>
      </c>
      <c r="AX1660" s="233" t="str">
        <f>VLOOKUP(Table8[[#This Row],[Country Code]],Table29[],9,FALSE)</f>
        <v>no</v>
      </c>
      <c r="AY1660" s="233" t="str">
        <f>VLOOKUP(Table8[[#This Row],[Country Code]],Table29[],10,FALSE)</f>
        <v>no</v>
      </c>
      <c r="AZ1660" s="235">
        <f>VLOOKUP(Table8[[#This Row],[Country Code]],Table29[],23,FALSE)</f>
        <v>41.6245592458</v>
      </c>
      <c r="BA1660" s="235">
        <f>VLOOKUP(Table8[[#This Row],[Country Code]],Table29[],24,FALSE)</f>
        <v>7.3033302222678547</v>
      </c>
      <c r="BB1660" s="320"/>
      <c r="BC1660" s="320"/>
    </row>
    <row r="1661" spans="1:55" ht="30" hidden="1" x14ac:dyDescent="0.25">
      <c r="A1661" s="360">
        <v>21215</v>
      </c>
      <c r="B1661" s="233" t="str">
        <f>VLOOKUP(Table8[[#This Row],[Document ID]],Table1[],2,FALSE)</f>
        <v>PRY</v>
      </c>
      <c r="C1661" s="233" t="str">
        <f>VLOOKUP(Table8[[#This Row],[Document ID]],Table1[],3,FALSE)</f>
        <v>Paraguay</v>
      </c>
      <c r="D1661" s="233" t="str">
        <f>VLOOKUP(Table8[[#This Row],[Document ID]],Table1[],5,FALSE)</f>
        <v>NDC</v>
      </c>
      <c r="E1661" s="233" t="str">
        <f>VLOOKUP(Table8[[#This Row],[Document ID]],Table1[],7,FALSE)</f>
        <v>First NDC updated</v>
      </c>
      <c r="F1661" s="233" t="str">
        <f>VLOOKUP(Table8[[#This Row],[Document ID]],Table1[],8,FALSE)</f>
        <v>NDC 1.1</v>
      </c>
      <c r="G1661" s="233" t="str">
        <f>VLOOKUP(Table8[[#This Row],[Document ID]],Table1[],10,FALSE)</f>
        <v>Active</v>
      </c>
      <c r="H1661" s="43" t="s">
        <v>2350</v>
      </c>
      <c r="I1661" s="43" t="s">
        <v>2456</v>
      </c>
      <c r="J1661" s="44" t="s">
        <v>2643</v>
      </c>
      <c r="K1661" s="44" t="s">
        <v>3871</v>
      </c>
      <c r="L1661" s="44" t="s">
        <v>2471</v>
      </c>
      <c r="M1661" s="43">
        <v>3</v>
      </c>
      <c r="N1661" s="113" t="s">
        <v>1113</v>
      </c>
      <c r="O1661" s="113"/>
      <c r="P1661" s="113"/>
      <c r="Q1661" s="113"/>
      <c r="R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t="s">
        <v>1113</v>
      </c>
      <c r="AL1661" s="113"/>
      <c r="AM1661" s="113"/>
      <c r="AN1661" s="113"/>
      <c r="AO1661" s="44" t="s">
        <v>2334</v>
      </c>
      <c r="AP1661" s="43"/>
      <c r="AQ1661" s="236" t="str">
        <f>VLOOKUP(Table8[[#This Row],[Instrument]],Def_Targets!$D$73:$E$159,2,FALSE)</f>
        <v>S_Intermodality</v>
      </c>
      <c r="AR1661" s="233" t="str">
        <f>VLOOKUP(Table8[[#This Row],[Country Code]],Table29[],3,FALSE)</f>
        <v>Non-Annex I</v>
      </c>
      <c r="AS1661" s="233" t="str">
        <f>VLOOKUP(Table8[[#This Row],[Country Code]],Table29[],4,FALSE)</f>
        <v>Latin America and the Caribbean</v>
      </c>
      <c r="AT1661" s="233" t="str">
        <f>VLOOKUP(Table8[[#This Row],[Country Code]],Table29[],5,FALSE)</f>
        <v>Middle-income</v>
      </c>
      <c r="AU1661" s="233" t="str">
        <f>VLOOKUP(Table8[[#This Row],[Country Code]],Table29[],6,FALSE)</f>
        <v>no</v>
      </c>
      <c r="AV1661" s="233" t="str">
        <f>VLOOKUP(Table8[[#This Row],[Country Code]],Table29[],7,FALSE)</f>
        <v>no</v>
      </c>
      <c r="AW1661" s="233" t="str">
        <f>VLOOKUP(Table8[[#This Row],[Country Code]],Table29[],8,FALSE)</f>
        <v>non-OECD</v>
      </c>
      <c r="AX1661" s="233" t="str">
        <f>VLOOKUP(Table8[[#This Row],[Country Code]],Table29[],9,FALSE)</f>
        <v>no</v>
      </c>
      <c r="AY1661" s="233" t="str">
        <f>VLOOKUP(Table8[[#This Row],[Country Code]],Table29[],10,FALSE)</f>
        <v>no</v>
      </c>
      <c r="AZ1661" s="235">
        <f>VLOOKUP(Table8[[#This Row],[Country Code]],Table29[],23,FALSE)</f>
        <v>41.6245592458</v>
      </c>
      <c r="BA1661" s="235">
        <f>VLOOKUP(Table8[[#This Row],[Country Code]],Table29[],24,FALSE)</f>
        <v>7.3033302222678547</v>
      </c>
      <c r="BB1661" s="320"/>
      <c r="BC1661" s="320"/>
    </row>
    <row r="1662" spans="1:55" ht="30" hidden="1" x14ac:dyDescent="0.25">
      <c r="A1662" s="373">
        <v>26783</v>
      </c>
      <c r="B1662" s="233" t="str">
        <f>VLOOKUP(Table8[[#This Row],[Document ID]],Table1[],2,FALSE)</f>
        <v>MAR</v>
      </c>
      <c r="C1662" s="233" t="str">
        <f>VLOOKUP(Table8[[#This Row],[Document ID]],Table1[],3,FALSE)</f>
        <v>Morocco</v>
      </c>
      <c r="D1662" s="243" t="str">
        <f>VLOOKUP(Table8[[#This Row],[Document ID]],Table1[],5,FALSE)</f>
        <v>LTS</v>
      </c>
      <c r="E1662" s="233" t="str">
        <f>VLOOKUP(Table8[[#This Row],[Document ID]],Table1[],7,FALSE)</f>
        <v>LTS</v>
      </c>
      <c r="F1662" s="233" t="str">
        <f>VLOOKUP(Table8[[#This Row],[Document ID]],Table1[],8,FALSE)</f>
        <v>LTS 1.0</v>
      </c>
      <c r="G1662" s="233" t="str">
        <f>VLOOKUP(Table8[[#This Row],[Document ID]],Table1[],10,FALSE)</f>
        <v>Active</v>
      </c>
      <c r="H1662" s="43" t="s">
        <v>2350</v>
      </c>
      <c r="I1662" s="43" t="s">
        <v>2456</v>
      </c>
      <c r="J1662" s="44" t="s">
        <v>2457</v>
      </c>
      <c r="K1662" s="44" t="s">
        <v>3872</v>
      </c>
      <c r="L1662" s="44" t="s">
        <v>2333</v>
      </c>
      <c r="M1662" s="43">
        <v>38</v>
      </c>
      <c r="N1662" s="113" t="s">
        <v>1113</v>
      </c>
      <c r="O1662" s="113"/>
      <c r="P1662" s="113"/>
      <c r="Q1662" s="113"/>
      <c r="R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t="s">
        <v>1113</v>
      </c>
      <c r="AM1662" s="113"/>
      <c r="AN1662" s="113"/>
      <c r="AO1662" s="44" t="s">
        <v>2334</v>
      </c>
      <c r="AP1662" s="43"/>
      <c r="AQ1662" s="236" t="str">
        <f>VLOOKUP(Table8[[#This Row],[Instrument]],Def_Targets!$D$73:$E$159,2,FALSE)</f>
        <v>S_Infraimprove</v>
      </c>
      <c r="AR1662" s="233" t="str">
        <f>VLOOKUP(Table8[[#This Row],[Country Code]],Table29[],3,FALSE)</f>
        <v>Non-Annex I</v>
      </c>
      <c r="AS1662" s="233" t="str">
        <f>VLOOKUP(Table8[[#This Row],[Country Code]],Table29[],4,FALSE)</f>
        <v>Africa</v>
      </c>
      <c r="AT1662" s="233" t="str">
        <f>VLOOKUP(Table8[[#This Row],[Country Code]],Table29[],5,FALSE)</f>
        <v>Middle-income</v>
      </c>
      <c r="AU1662" s="233" t="str">
        <f>VLOOKUP(Table8[[#This Row],[Country Code]],Table29[],6,FALSE)</f>
        <v>no</v>
      </c>
      <c r="AV1662" s="233" t="str">
        <f>VLOOKUP(Table8[[#This Row],[Country Code]],Table29[],7,FALSE)</f>
        <v>no</v>
      </c>
      <c r="AW1662" s="233" t="str">
        <f>VLOOKUP(Table8[[#This Row],[Country Code]],Table29[],8,FALSE)</f>
        <v>non-OECD</v>
      </c>
      <c r="AX1662" s="233" t="str">
        <f>VLOOKUP(Table8[[#This Row],[Country Code]],Table29[],9,FALSE)</f>
        <v>no</v>
      </c>
      <c r="AY1662" s="233" t="str">
        <f>VLOOKUP(Table8[[#This Row],[Country Code]],Table29[],10,FALSE)</f>
        <v>MENA</v>
      </c>
      <c r="AZ1662" s="235">
        <f>VLOOKUP(Table8[[#This Row],[Country Code]],Table29[],23,FALSE)</f>
        <v>106.60223103187001</v>
      </c>
      <c r="BA1662" s="235">
        <f>VLOOKUP(Table8[[#This Row],[Country Code]],Table29[],24,FALSE)</f>
        <v>17.689478774478111</v>
      </c>
      <c r="BB1662" s="320"/>
      <c r="BC1662" s="320"/>
    </row>
    <row r="1663" spans="1:55" ht="30" hidden="1" x14ac:dyDescent="0.25">
      <c r="A1663" s="373">
        <v>26783</v>
      </c>
      <c r="B1663" s="233" t="str">
        <f>VLOOKUP(Table8[[#This Row],[Document ID]],Table1[],2,FALSE)</f>
        <v>MAR</v>
      </c>
      <c r="C1663" s="233" t="str">
        <f>VLOOKUP(Table8[[#This Row],[Document ID]],Table1[],3,FALSE)</f>
        <v>Morocco</v>
      </c>
      <c r="D1663" s="243" t="str">
        <f>VLOOKUP(Table8[[#This Row],[Document ID]],Table1[],5,FALSE)</f>
        <v>LTS</v>
      </c>
      <c r="E1663" s="233" t="str">
        <f>VLOOKUP(Table8[[#This Row],[Document ID]],Table1[],7,FALSE)</f>
        <v>LTS</v>
      </c>
      <c r="F1663" s="233" t="str">
        <f>VLOOKUP(Table8[[#This Row],[Document ID]],Table1[],8,FALSE)</f>
        <v>LTS 1.0</v>
      </c>
      <c r="G1663" s="233" t="str">
        <f>VLOOKUP(Table8[[#This Row],[Document ID]],Table1[],10,FALSE)</f>
        <v>Active</v>
      </c>
      <c r="H1663" s="43" t="s">
        <v>2350</v>
      </c>
      <c r="I1663" s="43" t="s">
        <v>2456</v>
      </c>
      <c r="J1663" s="44" t="s">
        <v>2643</v>
      </c>
      <c r="K1663" s="44" t="s">
        <v>3873</v>
      </c>
      <c r="L1663" s="44" t="s">
        <v>2333</v>
      </c>
      <c r="M1663" s="43">
        <v>38</v>
      </c>
      <c r="N1663" s="113"/>
      <c r="O1663" s="113"/>
      <c r="P1663" s="113"/>
      <c r="Q1663" s="113"/>
      <c r="R1663" s="113"/>
      <c r="S1663" s="113" t="s">
        <v>1113</v>
      </c>
      <c r="T1663" s="113"/>
      <c r="U1663" s="113" t="s">
        <v>1113</v>
      </c>
      <c r="V1663" s="113" t="s">
        <v>1113</v>
      </c>
      <c r="W1663" s="113" t="s">
        <v>1113</v>
      </c>
      <c r="X1663" s="113"/>
      <c r="Y1663" s="113"/>
      <c r="Z1663" s="113"/>
      <c r="AA1663" s="113"/>
      <c r="AB1663" s="113"/>
      <c r="AC1663" s="113"/>
      <c r="AD1663" s="113"/>
      <c r="AE1663" s="113"/>
      <c r="AF1663" s="113"/>
      <c r="AG1663" s="113"/>
      <c r="AH1663" s="113"/>
      <c r="AI1663" s="113"/>
      <c r="AJ1663" s="113"/>
      <c r="AK1663" s="113" t="s">
        <v>1113</v>
      </c>
      <c r="AL1663" s="113"/>
      <c r="AM1663" s="113"/>
      <c r="AN1663" s="113"/>
      <c r="AO1663" s="44" t="s">
        <v>2334</v>
      </c>
      <c r="AP1663" s="43"/>
      <c r="AQ1663" s="236" t="str">
        <f>VLOOKUP(Table8[[#This Row],[Instrument]],Def_Targets!$D$73:$E$159,2,FALSE)</f>
        <v>S_Intermodality</v>
      </c>
      <c r="AR1663" s="233" t="str">
        <f>VLOOKUP(Table8[[#This Row],[Country Code]],Table29[],3,FALSE)</f>
        <v>Non-Annex I</v>
      </c>
      <c r="AS1663" s="233" t="str">
        <f>VLOOKUP(Table8[[#This Row],[Country Code]],Table29[],4,FALSE)</f>
        <v>Africa</v>
      </c>
      <c r="AT1663" s="233" t="str">
        <f>VLOOKUP(Table8[[#This Row],[Country Code]],Table29[],5,FALSE)</f>
        <v>Middle-income</v>
      </c>
      <c r="AU1663" s="233" t="str">
        <f>VLOOKUP(Table8[[#This Row],[Country Code]],Table29[],6,FALSE)</f>
        <v>no</v>
      </c>
      <c r="AV1663" s="233" t="str">
        <f>VLOOKUP(Table8[[#This Row],[Country Code]],Table29[],7,FALSE)</f>
        <v>no</v>
      </c>
      <c r="AW1663" s="233" t="str">
        <f>VLOOKUP(Table8[[#This Row],[Country Code]],Table29[],8,FALSE)</f>
        <v>non-OECD</v>
      </c>
      <c r="AX1663" s="233" t="str">
        <f>VLOOKUP(Table8[[#This Row],[Country Code]],Table29[],9,FALSE)</f>
        <v>no</v>
      </c>
      <c r="AY1663" s="233" t="str">
        <f>VLOOKUP(Table8[[#This Row],[Country Code]],Table29[],10,FALSE)</f>
        <v>MENA</v>
      </c>
      <c r="AZ1663" s="235">
        <f>VLOOKUP(Table8[[#This Row],[Country Code]],Table29[],23,FALSE)</f>
        <v>106.60223103187001</v>
      </c>
      <c r="BA1663" s="235">
        <f>VLOOKUP(Table8[[#This Row],[Country Code]],Table29[],24,FALSE)</f>
        <v>17.689478774478111</v>
      </c>
      <c r="BB1663" s="320"/>
      <c r="BC1663" s="320"/>
    </row>
    <row r="1664" spans="1:55" ht="30" hidden="1" x14ac:dyDescent="0.25">
      <c r="A1664" s="373">
        <v>26783</v>
      </c>
      <c r="B1664" s="233" t="str">
        <f>VLOOKUP(Table8[[#This Row],[Document ID]],Table1[],2,FALSE)</f>
        <v>MAR</v>
      </c>
      <c r="C1664" s="233" t="str">
        <f>VLOOKUP(Table8[[#This Row],[Document ID]],Table1[],3,FALSE)</f>
        <v>Morocco</v>
      </c>
      <c r="D1664" s="243" t="str">
        <f>VLOOKUP(Table8[[#This Row],[Document ID]],Table1[],5,FALSE)</f>
        <v>LTS</v>
      </c>
      <c r="E1664" s="233" t="str">
        <f>VLOOKUP(Table8[[#This Row],[Document ID]],Table1[],7,FALSE)</f>
        <v>LTS</v>
      </c>
      <c r="F1664" s="233" t="str">
        <f>VLOOKUP(Table8[[#This Row],[Document ID]],Table1[],8,FALSE)</f>
        <v>LTS 1.0</v>
      </c>
      <c r="G1664" s="233" t="str">
        <f>VLOOKUP(Table8[[#This Row],[Document ID]],Table1[],10,FALSE)</f>
        <v>Active</v>
      </c>
      <c r="H1664" s="43" t="s">
        <v>2343</v>
      </c>
      <c r="I1664" s="43" t="s">
        <v>2429</v>
      </c>
      <c r="J1664" s="44" t="s">
        <v>2513</v>
      </c>
      <c r="K1664" s="44" t="s">
        <v>3873</v>
      </c>
      <c r="L1664" s="44" t="s">
        <v>2333</v>
      </c>
      <c r="M1664" s="43">
        <v>38</v>
      </c>
      <c r="N1664" s="113"/>
      <c r="O1664" s="113"/>
      <c r="P1664" s="113"/>
      <c r="Q1664" s="113"/>
      <c r="R1664" s="113"/>
      <c r="S1664" s="113" t="s">
        <v>1113</v>
      </c>
      <c r="T1664" s="113"/>
      <c r="U1664" s="113" t="s">
        <v>1113</v>
      </c>
      <c r="V1664" s="113" t="s">
        <v>1113</v>
      </c>
      <c r="W1664" s="113" t="s">
        <v>1113</v>
      </c>
      <c r="X1664" s="113"/>
      <c r="Y1664" s="113"/>
      <c r="Z1664" s="113"/>
      <c r="AA1664" s="113"/>
      <c r="AB1664" s="113"/>
      <c r="AC1664" s="113"/>
      <c r="AD1664" s="113"/>
      <c r="AE1664" s="113"/>
      <c r="AF1664" s="113"/>
      <c r="AG1664" s="113"/>
      <c r="AH1664" s="113"/>
      <c r="AI1664" s="113"/>
      <c r="AJ1664" s="113"/>
      <c r="AK1664" s="113" t="s">
        <v>1113</v>
      </c>
      <c r="AL1664" s="113"/>
      <c r="AM1664" s="113"/>
      <c r="AN1664" s="113"/>
      <c r="AO1664" s="44" t="s">
        <v>2334</v>
      </c>
      <c r="AP1664" s="43"/>
      <c r="AQ1664" s="236" t="str">
        <f>VLOOKUP(Table8[[#This Row],[Instrument]],Def_Targets!$D$73:$E$159,2,FALSE)</f>
        <v>S_Sharedmob</v>
      </c>
      <c r="AR1664" s="233" t="str">
        <f>VLOOKUP(Table8[[#This Row],[Country Code]],Table29[],3,FALSE)</f>
        <v>Non-Annex I</v>
      </c>
      <c r="AS1664" s="233" t="str">
        <f>VLOOKUP(Table8[[#This Row],[Country Code]],Table29[],4,FALSE)</f>
        <v>Africa</v>
      </c>
      <c r="AT1664" s="233" t="str">
        <f>VLOOKUP(Table8[[#This Row],[Country Code]],Table29[],5,FALSE)</f>
        <v>Middle-income</v>
      </c>
      <c r="AU1664" s="233" t="str">
        <f>VLOOKUP(Table8[[#This Row],[Country Code]],Table29[],6,FALSE)</f>
        <v>no</v>
      </c>
      <c r="AV1664" s="233" t="str">
        <f>VLOOKUP(Table8[[#This Row],[Country Code]],Table29[],7,FALSE)</f>
        <v>no</v>
      </c>
      <c r="AW1664" s="233" t="str">
        <f>VLOOKUP(Table8[[#This Row],[Country Code]],Table29[],8,FALSE)</f>
        <v>non-OECD</v>
      </c>
      <c r="AX1664" s="233" t="str">
        <f>VLOOKUP(Table8[[#This Row],[Country Code]],Table29[],9,FALSE)</f>
        <v>no</v>
      </c>
      <c r="AY1664" s="233" t="str">
        <f>VLOOKUP(Table8[[#This Row],[Country Code]],Table29[],10,FALSE)</f>
        <v>MENA</v>
      </c>
      <c r="AZ1664" s="235">
        <f>VLOOKUP(Table8[[#This Row],[Country Code]],Table29[],23,FALSE)</f>
        <v>106.60223103187001</v>
      </c>
      <c r="BA1664" s="235">
        <f>VLOOKUP(Table8[[#This Row],[Country Code]],Table29[],24,FALSE)</f>
        <v>17.689478774478111</v>
      </c>
      <c r="BB1664" s="320"/>
      <c r="BC1664" s="320"/>
    </row>
    <row r="1665" spans="1:55" ht="30" hidden="1" x14ac:dyDescent="0.25">
      <c r="A1665" s="373">
        <v>26783</v>
      </c>
      <c r="B1665" s="233" t="str">
        <f>VLOOKUP(Table8[[#This Row],[Document ID]],Table1[],2,FALSE)</f>
        <v>MAR</v>
      </c>
      <c r="C1665" s="233" t="str">
        <f>VLOOKUP(Table8[[#This Row],[Document ID]],Table1[],3,FALSE)</f>
        <v>Morocco</v>
      </c>
      <c r="D1665" s="243" t="str">
        <f>VLOOKUP(Table8[[#This Row],[Document ID]],Table1[],5,FALSE)</f>
        <v>LTS</v>
      </c>
      <c r="E1665" s="233" t="str">
        <f>VLOOKUP(Table8[[#This Row],[Document ID]],Table1[],7,FALSE)</f>
        <v>LTS</v>
      </c>
      <c r="F1665" s="233" t="str">
        <f>VLOOKUP(Table8[[#This Row],[Document ID]],Table1[],8,FALSE)</f>
        <v>LTS 1.0</v>
      </c>
      <c r="G1665" s="233" t="str">
        <f>VLOOKUP(Table8[[#This Row],[Document ID]],Table1[],10,FALSE)</f>
        <v>Active</v>
      </c>
      <c r="H1665" s="43" t="s">
        <v>2343</v>
      </c>
      <c r="I1665" s="43" t="s">
        <v>2377</v>
      </c>
      <c r="J1665" s="44" t="s">
        <v>2394</v>
      </c>
      <c r="K1665" s="44" t="s">
        <v>3873</v>
      </c>
      <c r="L1665" s="44" t="s">
        <v>2333</v>
      </c>
      <c r="M1665" s="43">
        <v>38</v>
      </c>
      <c r="N1665" s="113"/>
      <c r="O1665" s="113"/>
      <c r="P1665" s="113"/>
      <c r="Q1665" s="113"/>
      <c r="R1665" s="113"/>
      <c r="S1665" s="113" t="s">
        <v>1113</v>
      </c>
      <c r="T1665" s="113"/>
      <c r="U1665" s="113" t="s">
        <v>1113</v>
      </c>
      <c r="V1665" s="113" t="s">
        <v>1113</v>
      </c>
      <c r="W1665" s="113" t="s">
        <v>1113</v>
      </c>
      <c r="X1665" s="113"/>
      <c r="Y1665" s="113"/>
      <c r="Z1665" s="113"/>
      <c r="AA1665" s="113"/>
      <c r="AB1665" s="113"/>
      <c r="AC1665" s="113"/>
      <c r="AD1665" s="113"/>
      <c r="AE1665" s="113"/>
      <c r="AF1665" s="113"/>
      <c r="AG1665" s="113"/>
      <c r="AH1665" s="113"/>
      <c r="AI1665" s="113"/>
      <c r="AJ1665" s="113"/>
      <c r="AK1665" s="113" t="s">
        <v>1113</v>
      </c>
      <c r="AL1665" s="113"/>
      <c r="AM1665" s="113"/>
      <c r="AN1665" s="113"/>
      <c r="AO1665" s="44" t="s">
        <v>2334</v>
      </c>
      <c r="AP1665" s="43"/>
      <c r="AQ1665" s="236" t="str">
        <f>VLOOKUP(Table8[[#This Row],[Instrument]],Def_Targets!$D$73:$E$159,2,FALSE)</f>
        <v>A_TDM</v>
      </c>
      <c r="AR1665" s="233" t="str">
        <f>VLOOKUP(Table8[[#This Row],[Country Code]],Table29[],3,FALSE)</f>
        <v>Non-Annex I</v>
      </c>
      <c r="AS1665" s="233" t="str">
        <f>VLOOKUP(Table8[[#This Row],[Country Code]],Table29[],4,FALSE)</f>
        <v>Africa</v>
      </c>
      <c r="AT1665" s="233" t="str">
        <f>VLOOKUP(Table8[[#This Row],[Country Code]],Table29[],5,FALSE)</f>
        <v>Middle-income</v>
      </c>
      <c r="AU1665" s="233" t="str">
        <f>VLOOKUP(Table8[[#This Row],[Country Code]],Table29[],6,FALSE)</f>
        <v>no</v>
      </c>
      <c r="AV1665" s="233" t="str">
        <f>VLOOKUP(Table8[[#This Row],[Country Code]],Table29[],7,FALSE)</f>
        <v>no</v>
      </c>
      <c r="AW1665" s="233" t="str">
        <f>VLOOKUP(Table8[[#This Row],[Country Code]],Table29[],8,FALSE)</f>
        <v>non-OECD</v>
      </c>
      <c r="AX1665" s="233" t="str">
        <f>VLOOKUP(Table8[[#This Row],[Country Code]],Table29[],9,FALSE)</f>
        <v>no</v>
      </c>
      <c r="AY1665" s="233" t="str">
        <f>VLOOKUP(Table8[[#This Row],[Country Code]],Table29[],10,FALSE)</f>
        <v>MENA</v>
      </c>
      <c r="AZ1665" s="235">
        <f>VLOOKUP(Table8[[#This Row],[Country Code]],Table29[],23,FALSE)</f>
        <v>106.60223103187001</v>
      </c>
      <c r="BA1665" s="235">
        <f>VLOOKUP(Table8[[#This Row],[Country Code]],Table29[],24,FALSE)</f>
        <v>17.689478774478111</v>
      </c>
      <c r="BB1665" s="320"/>
      <c r="BC1665" s="320"/>
    </row>
    <row r="1666" spans="1:55" hidden="1" x14ac:dyDescent="0.25">
      <c r="A1666" s="373">
        <v>26783</v>
      </c>
      <c r="B1666" s="233" t="str">
        <f>VLOOKUP(Table8[[#This Row],[Document ID]],Table1[],2,FALSE)</f>
        <v>MAR</v>
      </c>
      <c r="C1666" s="233" t="str">
        <f>VLOOKUP(Table8[[#This Row],[Document ID]],Table1[],3,FALSE)</f>
        <v>Morocco</v>
      </c>
      <c r="D1666" s="243" t="str">
        <f>VLOOKUP(Table8[[#This Row],[Document ID]],Table1[],5,FALSE)</f>
        <v>LTS</v>
      </c>
      <c r="E1666" s="233" t="str">
        <f>VLOOKUP(Table8[[#This Row],[Document ID]],Table1[],7,FALSE)</f>
        <v>LTS</v>
      </c>
      <c r="F1666" s="233" t="str">
        <f>VLOOKUP(Table8[[#This Row],[Document ID]],Table1[],8,FALSE)</f>
        <v>LTS 1.0</v>
      </c>
      <c r="G1666" s="233" t="str">
        <f>VLOOKUP(Table8[[#This Row],[Document ID]],Table1[],10,FALSE)</f>
        <v>Active</v>
      </c>
      <c r="H1666" s="43" t="s">
        <v>2358</v>
      </c>
      <c r="I1666" s="43" t="s">
        <v>2359</v>
      </c>
      <c r="J1666" s="44" t="s">
        <v>2360</v>
      </c>
      <c r="K1666" s="44" t="s">
        <v>3874</v>
      </c>
      <c r="L1666" s="44" t="s">
        <v>2347</v>
      </c>
      <c r="M1666" s="43">
        <v>38</v>
      </c>
      <c r="N1666" s="113" t="s">
        <v>1113</v>
      </c>
      <c r="O1666" s="113"/>
      <c r="P1666" s="113"/>
      <c r="Q1666" s="113"/>
      <c r="R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t="s">
        <v>1113</v>
      </c>
      <c r="AL1666" s="113"/>
      <c r="AM1666" s="113"/>
      <c r="AN1666" s="113"/>
      <c r="AO1666" s="44" t="s">
        <v>2334</v>
      </c>
      <c r="AP1666" s="43"/>
      <c r="AQ1666" s="236" t="str">
        <f>VLOOKUP(Table8[[#This Row],[Instrument]],Def_Targets!$D$73:$E$159,2,FALSE)</f>
        <v>I_Emobility</v>
      </c>
      <c r="AR1666" s="233" t="str">
        <f>VLOOKUP(Table8[[#This Row],[Country Code]],Table29[],3,FALSE)</f>
        <v>Non-Annex I</v>
      </c>
      <c r="AS1666" s="233" t="str">
        <f>VLOOKUP(Table8[[#This Row],[Country Code]],Table29[],4,FALSE)</f>
        <v>Africa</v>
      </c>
      <c r="AT1666" s="233" t="str">
        <f>VLOOKUP(Table8[[#This Row],[Country Code]],Table29[],5,FALSE)</f>
        <v>Middle-income</v>
      </c>
      <c r="AU1666" s="233" t="str">
        <f>VLOOKUP(Table8[[#This Row],[Country Code]],Table29[],6,FALSE)</f>
        <v>no</v>
      </c>
      <c r="AV1666" s="233" t="str">
        <f>VLOOKUP(Table8[[#This Row],[Country Code]],Table29[],7,FALSE)</f>
        <v>no</v>
      </c>
      <c r="AW1666" s="233" t="str">
        <f>VLOOKUP(Table8[[#This Row],[Country Code]],Table29[],8,FALSE)</f>
        <v>non-OECD</v>
      </c>
      <c r="AX1666" s="233" t="str">
        <f>VLOOKUP(Table8[[#This Row],[Country Code]],Table29[],9,FALSE)</f>
        <v>no</v>
      </c>
      <c r="AY1666" s="233" t="str">
        <f>VLOOKUP(Table8[[#This Row],[Country Code]],Table29[],10,FALSE)</f>
        <v>MENA</v>
      </c>
      <c r="AZ1666" s="235">
        <f>VLOOKUP(Table8[[#This Row],[Country Code]],Table29[],23,FALSE)</f>
        <v>106.60223103187001</v>
      </c>
      <c r="BA1666" s="235">
        <f>VLOOKUP(Table8[[#This Row],[Country Code]],Table29[],24,FALSE)</f>
        <v>17.689478774478111</v>
      </c>
      <c r="BB1666" s="320"/>
      <c r="BC1666" s="320"/>
    </row>
    <row r="1667" spans="1:55" ht="30" hidden="1" x14ac:dyDescent="0.25">
      <c r="A1667" s="373">
        <v>26783</v>
      </c>
      <c r="B1667" s="233" t="str">
        <f>VLOOKUP(Table8[[#This Row],[Document ID]],Table1[],2,FALSE)</f>
        <v>MAR</v>
      </c>
      <c r="C1667" s="233" t="str">
        <f>VLOOKUP(Table8[[#This Row],[Document ID]],Table1[],3,FALSE)</f>
        <v>Morocco</v>
      </c>
      <c r="D1667" s="243" t="str">
        <f>VLOOKUP(Table8[[#This Row],[Document ID]],Table1[],5,FALSE)</f>
        <v>LTS</v>
      </c>
      <c r="E1667" s="233" t="str">
        <f>VLOOKUP(Table8[[#This Row],[Document ID]],Table1[],7,FALSE)</f>
        <v>LTS</v>
      </c>
      <c r="F1667" s="233" t="str">
        <f>VLOOKUP(Table8[[#This Row],[Document ID]],Table1[],8,FALSE)</f>
        <v>LTS 1.0</v>
      </c>
      <c r="G1667" s="233" t="str">
        <f>VLOOKUP(Table8[[#This Row],[Document ID]],Table1[],10,FALSE)</f>
        <v>Active</v>
      </c>
      <c r="H1667" s="43" t="s">
        <v>2358</v>
      </c>
      <c r="I1667" s="43" t="s">
        <v>2359</v>
      </c>
      <c r="J1667" s="44" t="s">
        <v>2360</v>
      </c>
      <c r="K1667" s="44" t="s">
        <v>3875</v>
      </c>
      <c r="L1667" s="44" t="s">
        <v>2333</v>
      </c>
      <c r="M1667" s="43">
        <v>38</v>
      </c>
      <c r="N1667" s="113" t="s">
        <v>1113</v>
      </c>
      <c r="O1667" s="113"/>
      <c r="P1667" s="113"/>
      <c r="Q1667" s="113"/>
      <c r="R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t="s">
        <v>1113</v>
      </c>
      <c r="AL1667" s="113"/>
      <c r="AM1667" s="113"/>
      <c r="AN1667" s="113"/>
      <c r="AO1667" s="44" t="s">
        <v>2334</v>
      </c>
      <c r="AP1667" s="43"/>
      <c r="AQ1667" s="236" t="str">
        <f>VLOOKUP(Table8[[#This Row],[Instrument]],Def_Targets!$D$73:$E$159,2,FALSE)</f>
        <v>I_Emobility</v>
      </c>
      <c r="AR1667" s="233" t="str">
        <f>VLOOKUP(Table8[[#This Row],[Country Code]],Table29[],3,FALSE)</f>
        <v>Non-Annex I</v>
      </c>
      <c r="AS1667" s="233" t="str">
        <f>VLOOKUP(Table8[[#This Row],[Country Code]],Table29[],4,FALSE)</f>
        <v>Africa</v>
      </c>
      <c r="AT1667" s="233" t="str">
        <f>VLOOKUP(Table8[[#This Row],[Country Code]],Table29[],5,FALSE)</f>
        <v>Middle-income</v>
      </c>
      <c r="AU1667" s="233" t="str">
        <f>VLOOKUP(Table8[[#This Row],[Country Code]],Table29[],6,FALSE)</f>
        <v>no</v>
      </c>
      <c r="AV1667" s="233" t="str">
        <f>VLOOKUP(Table8[[#This Row],[Country Code]],Table29[],7,FALSE)</f>
        <v>no</v>
      </c>
      <c r="AW1667" s="233" t="str">
        <f>VLOOKUP(Table8[[#This Row],[Country Code]],Table29[],8,FALSE)</f>
        <v>non-OECD</v>
      </c>
      <c r="AX1667" s="233" t="str">
        <f>VLOOKUP(Table8[[#This Row],[Country Code]],Table29[],9,FALSE)</f>
        <v>no</v>
      </c>
      <c r="AY1667" s="233" t="str">
        <f>VLOOKUP(Table8[[#This Row],[Country Code]],Table29[],10,FALSE)</f>
        <v>MENA</v>
      </c>
      <c r="AZ1667" s="235">
        <f>VLOOKUP(Table8[[#This Row],[Country Code]],Table29[],23,FALSE)</f>
        <v>106.60223103187001</v>
      </c>
      <c r="BA1667" s="235">
        <f>VLOOKUP(Table8[[#This Row],[Country Code]],Table29[],24,FALSE)</f>
        <v>17.689478774478111</v>
      </c>
      <c r="BB1667" s="320"/>
      <c r="BC1667" s="320"/>
    </row>
    <row r="1668" spans="1:55" ht="30" hidden="1" x14ac:dyDescent="0.25">
      <c r="A1668" s="373">
        <v>26783</v>
      </c>
      <c r="B1668" s="233" t="str">
        <f>VLOOKUP(Table8[[#This Row],[Document ID]],Table1[],2,FALSE)</f>
        <v>MAR</v>
      </c>
      <c r="C1668" s="233" t="str">
        <f>VLOOKUP(Table8[[#This Row],[Document ID]],Table1[],3,FALSE)</f>
        <v>Morocco</v>
      </c>
      <c r="D1668" s="243" t="str">
        <f>VLOOKUP(Table8[[#This Row],[Document ID]],Table1[],5,FALSE)</f>
        <v>LTS</v>
      </c>
      <c r="E1668" s="233" t="str">
        <f>VLOOKUP(Table8[[#This Row],[Document ID]],Table1[],7,FALSE)</f>
        <v>LTS</v>
      </c>
      <c r="F1668" s="233" t="str">
        <f>VLOOKUP(Table8[[#This Row],[Document ID]],Table1[],8,FALSE)</f>
        <v>LTS 1.0</v>
      </c>
      <c r="G1668" s="233" t="str">
        <f>VLOOKUP(Table8[[#This Row],[Document ID]],Table1[],10,FALSE)</f>
        <v>Active</v>
      </c>
      <c r="H1668" s="43" t="s">
        <v>2343</v>
      </c>
      <c r="I1668" s="43" t="s">
        <v>2386</v>
      </c>
      <c r="J1668" s="44" t="s">
        <v>2412</v>
      </c>
      <c r="K1668" s="44" t="s">
        <v>3876</v>
      </c>
      <c r="L1668" s="44" t="s">
        <v>2333</v>
      </c>
      <c r="M1668" s="43">
        <v>38</v>
      </c>
      <c r="N1668" s="113" t="s">
        <v>1113</v>
      </c>
      <c r="O1668" s="113"/>
      <c r="P1668" s="113"/>
      <c r="Q1668" s="113"/>
      <c r="R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t="s">
        <v>1113</v>
      </c>
      <c r="AL1668" s="113"/>
      <c r="AM1668" s="113"/>
      <c r="AN1668" s="113"/>
      <c r="AO1668" s="44" t="s">
        <v>2334</v>
      </c>
      <c r="AP1668" s="43"/>
      <c r="AQ1668" s="236" t="str">
        <f>VLOOKUP(Table8[[#This Row],[Instrument]],Def_Targets!$D$73:$E$159,2,FALSE)</f>
        <v>A_Economic</v>
      </c>
      <c r="AR1668" s="233" t="str">
        <f>VLOOKUP(Table8[[#This Row],[Country Code]],Table29[],3,FALSE)</f>
        <v>Non-Annex I</v>
      </c>
      <c r="AS1668" s="233" t="str">
        <f>VLOOKUP(Table8[[#This Row],[Country Code]],Table29[],4,FALSE)</f>
        <v>Africa</v>
      </c>
      <c r="AT1668" s="233" t="str">
        <f>VLOOKUP(Table8[[#This Row],[Country Code]],Table29[],5,FALSE)</f>
        <v>Middle-income</v>
      </c>
      <c r="AU1668" s="233" t="str">
        <f>VLOOKUP(Table8[[#This Row],[Country Code]],Table29[],6,FALSE)</f>
        <v>no</v>
      </c>
      <c r="AV1668" s="233" t="str">
        <f>VLOOKUP(Table8[[#This Row],[Country Code]],Table29[],7,FALSE)</f>
        <v>no</v>
      </c>
      <c r="AW1668" s="233" t="str">
        <f>VLOOKUP(Table8[[#This Row],[Country Code]],Table29[],8,FALSE)</f>
        <v>non-OECD</v>
      </c>
      <c r="AX1668" s="233" t="str">
        <f>VLOOKUP(Table8[[#This Row],[Country Code]],Table29[],9,FALSE)</f>
        <v>no</v>
      </c>
      <c r="AY1668" s="233" t="str">
        <f>VLOOKUP(Table8[[#This Row],[Country Code]],Table29[],10,FALSE)</f>
        <v>MENA</v>
      </c>
      <c r="AZ1668" s="235">
        <f>VLOOKUP(Table8[[#This Row],[Country Code]],Table29[],23,FALSE)</f>
        <v>106.60223103187001</v>
      </c>
      <c r="BA1668" s="235">
        <f>VLOOKUP(Table8[[#This Row],[Country Code]],Table29[],24,FALSE)</f>
        <v>17.689478774478111</v>
      </c>
      <c r="BB1668" s="320"/>
      <c r="BC1668" s="320"/>
    </row>
    <row r="1669" spans="1:55" ht="45" hidden="1" x14ac:dyDescent="0.25">
      <c r="A1669" s="373">
        <v>26783</v>
      </c>
      <c r="B1669" s="233" t="str">
        <f>VLOOKUP(Table8[[#This Row],[Document ID]],Table1[],2,FALSE)</f>
        <v>MAR</v>
      </c>
      <c r="C1669" s="233" t="str">
        <f>VLOOKUP(Table8[[#This Row],[Document ID]],Table1[],3,FALSE)</f>
        <v>Morocco</v>
      </c>
      <c r="D1669" s="243" t="str">
        <f>VLOOKUP(Table8[[#This Row],[Document ID]],Table1[],5,FALSE)</f>
        <v>LTS</v>
      </c>
      <c r="E1669" s="233" t="str">
        <f>VLOOKUP(Table8[[#This Row],[Document ID]],Table1[],7,FALSE)</f>
        <v>LTS</v>
      </c>
      <c r="F1669" s="233" t="str">
        <f>VLOOKUP(Table8[[#This Row],[Document ID]],Table1[],8,FALSE)</f>
        <v>LTS 1.0</v>
      </c>
      <c r="G1669" s="233" t="str">
        <f>VLOOKUP(Table8[[#This Row],[Document ID]],Table1[],10,FALSE)</f>
        <v>Active</v>
      </c>
      <c r="H1669" s="43" t="s">
        <v>2343</v>
      </c>
      <c r="I1669" s="43" t="s">
        <v>2344</v>
      </c>
      <c r="J1669" s="44" t="s">
        <v>2549</v>
      </c>
      <c r="K1669" s="44" t="s">
        <v>3877</v>
      </c>
      <c r="L1669" s="44" t="s">
        <v>2333</v>
      </c>
      <c r="M1669" s="43">
        <v>38</v>
      </c>
      <c r="N1669" s="113"/>
      <c r="O1669" s="113"/>
      <c r="P1669" s="113"/>
      <c r="Q1669" s="113"/>
      <c r="R1669" s="113"/>
      <c r="S1669" s="113"/>
      <c r="T1669" s="113"/>
      <c r="U1669" s="113"/>
      <c r="V1669" s="113"/>
      <c r="W1669" s="113"/>
      <c r="X1669" s="113"/>
      <c r="Y1669" s="113" t="s">
        <v>1113</v>
      </c>
      <c r="Z1669" s="113"/>
      <c r="AA1669" s="113"/>
      <c r="AB1669" s="113"/>
      <c r="AC1669" s="113"/>
      <c r="AD1669" s="113"/>
      <c r="AE1669" s="113"/>
      <c r="AF1669" s="113"/>
      <c r="AG1669" s="113"/>
      <c r="AH1669" s="113"/>
      <c r="AI1669" s="113"/>
      <c r="AJ1669" s="113"/>
      <c r="AK1669" s="113"/>
      <c r="AL1669" s="113" t="s">
        <v>1113</v>
      </c>
      <c r="AM1669" s="113"/>
      <c r="AN1669" s="113"/>
      <c r="AO1669" s="44" t="s">
        <v>2334</v>
      </c>
      <c r="AP1669" s="43"/>
      <c r="AQ1669" s="236" t="str">
        <f>VLOOKUP(Table8[[#This Row],[Instrument]],Def_Targets!$D$73:$E$159,2,FALSE)</f>
        <v>S_BRT</v>
      </c>
      <c r="AR1669" s="233" t="str">
        <f>VLOOKUP(Table8[[#This Row],[Country Code]],Table29[],3,FALSE)</f>
        <v>Non-Annex I</v>
      </c>
      <c r="AS1669" s="233" t="str">
        <f>VLOOKUP(Table8[[#This Row],[Country Code]],Table29[],4,FALSE)</f>
        <v>Africa</v>
      </c>
      <c r="AT1669" s="233" t="str">
        <f>VLOOKUP(Table8[[#This Row],[Country Code]],Table29[],5,FALSE)</f>
        <v>Middle-income</v>
      </c>
      <c r="AU1669" s="233" t="str">
        <f>VLOOKUP(Table8[[#This Row],[Country Code]],Table29[],6,FALSE)</f>
        <v>no</v>
      </c>
      <c r="AV1669" s="233" t="str">
        <f>VLOOKUP(Table8[[#This Row],[Country Code]],Table29[],7,FALSE)</f>
        <v>no</v>
      </c>
      <c r="AW1669" s="233" t="str">
        <f>VLOOKUP(Table8[[#This Row],[Country Code]],Table29[],8,FALSE)</f>
        <v>non-OECD</v>
      </c>
      <c r="AX1669" s="233" t="str">
        <f>VLOOKUP(Table8[[#This Row],[Country Code]],Table29[],9,FALSE)</f>
        <v>no</v>
      </c>
      <c r="AY1669" s="233" t="str">
        <f>VLOOKUP(Table8[[#This Row],[Country Code]],Table29[],10,FALSE)</f>
        <v>MENA</v>
      </c>
      <c r="AZ1669" s="235">
        <f>VLOOKUP(Table8[[#This Row],[Country Code]],Table29[],23,FALSE)</f>
        <v>106.60223103187001</v>
      </c>
      <c r="BA1669" s="235">
        <f>VLOOKUP(Table8[[#This Row],[Country Code]],Table29[],24,FALSE)</f>
        <v>17.689478774478111</v>
      </c>
      <c r="BB1669" s="320"/>
      <c r="BC1669" s="320"/>
    </row>
    <row r="1670" spans="1:55" hidden="1" x14ac:dyDescent="0.25">
      <c r="A1670" s="373">
        <v>17705</v>
      </c>
      <c r="B1670" s="233" t="str">
        <f>VLOOKUP(Table8[[#This Row],[Document ID]],Table1[],2,FALSE)</f>
        <v>QAT</v>
      </c>
      <c r="C1670" s="233" t="str">
        <f>VLOOKUP(Table8[[#This Row],[Document ID]],Table1[],3,FALSE)</f>
        <v>Qatar</v>
      </c>
      <c r="D1670" s="243" t="str">
        <f>VLOOKUP(Table8[[#This Row],[Document ID]],Table1[],5,FALSE)</f>
        <v>NDC</v>
      </c>
      <c r="E1670" s="233" t="str">
        <f>VLOOKUP(Table8[[#This Row],[Document ID]],Table1[],7,FALSE)</f>
        <v>First NDC</v>
      </c>
      <c r="F1670" s="236" t="str">
        <f>VLOOKUP(Table8[[#This Row],[Document ID]],Table1[],8,FALSE)</f>
        <v>NDC 1.0</v>
      </c>
      <c r="G1670" s="236" t="str">
        <f>VLOOKUP(Table8[[#This Row],[Document ID]],Table1[],10,FALSE)</f>
        <v>Archived</v>
      </c>
      <c r="H1670" s="43" t="s">
        <v>2350</v>
      </c>
      <c r="I1670" s="43" t="s">
        <v>2370</v>
      </c>
      <c r="J1670" s="44" t="s">
        <v>2511</v>
      </c>
      <c r="K1670" s="44" t="s">
        <v>3878</v>
      </c>
      <c r="L1670" s="44" t="s">
        <v>2333</v>
      </c>
      <c r="M1670" s="43"/>
      <c r="N1670" s="113" t="s">
        <v>1113</v>
      </c>
      <c r="O1670" s="113"/>
      <c r="P1670" s="113"/>
      <c r="Q1670" s="319"/>
      <c r="R1670" s="319"/>
      <c r="S1670" s="319"/>
      <c r="T1670" s="319"/>
      <c r="U1670" s="319"/>
      <c r="V1670" s="319"/>
      <c r="W1670" s="319"/>
      <c r="X1670" s="319"/>
      <c r="Y1670" s="319"/>
      <c r="Z1670" s="113"/>
      <c r="AA1670" s="319"/>
      <c r="AB1670" s="319"/>
      <c r="AC1670" s="319"/>
      <c r="AD1670" s="319"/>
      <c r="AE1670" s="319"/>
      <c r="AF1670" s="319"/>
      <c r="AG1670" s="319"/>
      <c r="AH1670" s="319"/>
      <c r="AI1670" s="319"/>
      <c r="AJ1670" s="319"/>
      <c r="AK1670" s="319" t="s">
        <v>1113</v>
      </c>
      <c r="AL1670" s="319"/>
      <c r="AM1670" s="319"/>
      <c r="AN1670" s="319"/>
      <c r="AO1670" s="44" t="s">
        <v>2334</v>
      </c>
      <c r="AP1670" s="44"/>
      <c r="AQ1670" s="236" t="str">
        <f>VLOOKUP(Table8[[#This Row],[Instrument]],Def_Targets!$D$73:$E$159,2,FALSE)</f>
        <v>A_LATM</v>
      </c>
      <c r="AR1670" s="233" t="str">
        <f>VLOOKUP(Table8[[#This Row],[Country Code]],Table29[],3,FALSE)</f>
        <v>Non-Annex I</v>
      </c>
      <c r="AS1670" s="233" t="str">
        <f>VLOOKUP(Table8[[#This Row],[Country Code]],Table29[],4,FALSE)</f>
        <v>Asia</v>
      </c>
      <c r="AT1670" s="233" t="str">
        <f>VLOOKUP(Table8[[#This Row],[Country Code]],Table29[],5,FALSE)</f>
        <v>High-income</v>
      </c>
      <c r="AU1670" s="233" t="str">
        <f>VLOOKUP(Table8[[#This Row],[Country Code]],Table29[],6,FALSE)</f>
        <v>no</v>
      </c>
      <c r="AV1670" s="233" t="str">
        <f>VLOOKUP(Table8[[#This Row],[Country Code]],Table29[],7,FALSE)</f>
        <v>no</v>
      </c>
      <c r="AW1670" s="233" t="str">
        <f>VLOOKUP(Table8[[#This Row],[Country Code]],Table29[],8,FALSE)</f>
        <v>non-OECD</v>
      </c>
      <c r="AX1670" s="233" t="str">
        <f>VLOOKUP(Table8[[#This Row],[Country Code]],Table29[],9,FALSE)</f>
        <v>no</v>
      </c>
      <c r="AY1670" s="233" t="str">
        <f>VLOOKUP(Table8[[#This Row],[Country Code]],Table29[],10,FALSE)</f>
        <v>MENA</v>
      </c>
      <c r="AZ1670" s="235">
        <f>VLOOKUP(Table8[[#This Row],[Country Code]],Table29[],23,FALSE)</f>
        <v>154.38356524030999</v>
      </c>
      <c r="BA1670" s="235">
        <f>VLOOKUP(Table8[[#This Row],[Country Code]],Table29[],24,FALSE)</f>
        <v>15.0080032885677</v>
      </c>
      <c r="BB1670" s="320"/>
      <c r="BC1670" s="320"/>
    </row>
    <row r="1671" spans="1:55" ht="30" hidden="1" x14ac:dyDescent="0.25">
      <c r="A1671" s="373">
        <v>17705</v>
      </c>
      <c r="B1671" s="233" t="str">
        <f>VLOOKUP(Table8[[#This Row],[Document ID]],Table1[],2,FALSE)</f>
        <v>QAT</v>
      </c>
      <c r="C1671" s="233" t="str">
        <f>VLOOKUP(Table8[[#This Row],[Document ID]],Table1[],3,FALSE)</f>
        <v>Qatar</v>
      </c>
      <c r="D1671" s="243" t="str">
        <f>VLOOKUP(Table8[[#This Row],[Document ID]],Table1[],5,FALSE)</f>
        <v>NDC</v>
      </c>
      <c r="E1671" s="233" t="str">
        <f>VLOOKUP(Table8[[#This Row],[Document ID]],Table1[],7,FALSE)</f>
        <v>First NDC</v>
      </c>
      <c r="F1671" s="236" t="str">
        <f>VLOOKUP(Table8[[#This Row],[Document ID]],Table1[],8,FALSE)</f>
        <v>NDC 1.0</v>
      </c>
      <c r="G1671" s="236" t="str">
        <f>VLOOKUP(Table8[[#This Row],[Document ID]],Table1[],10,FALSE)</f>
        <v>Archived</v>
      </c>
      <c r="H1671" s="43" t="s">
        <v>2343</v>
      </c>
      <c r="I1671" s="43" t="s">
        <v>2344</v>
      </c>
      <c r="J1671" s="44" t="s">
        <v>2405</v>
      </c>
      <c r="K1671" s="44" t="s">
        <v>3879</v>
      </c>
      <c r="L1671" s="44" t="s">
        <v>2347</v>
      </c>
      <c r="M1671" s="43"/>
      <c r="N1671" s="113" t="s">
        <v>1113</v>
      </c>
      <c r="O1671" s="113"/>
      <c r="P1671" s="113"/>
      <c r="Q1671" s="319"/>
      <c r="R1671" s="319"/>
      <c r="S1671" s="319"/>
      <c r="T1671" s="319"/>
      <c r="U1671" s="319"/>
      <c r="V1671" s="319"/>
      <c r="W1671" s="319"/>
      <c r="X1671" s="319"/>
      <c r="Y1671" s="319"/>
      <c r="Z1671" s="113"/>
      <c r="AA1671" s="319"/>
      <c r="AB1671" s="319"/>
      <c r="AC1671" s="319"/>
      <c r="AD1671" s="319"/>
      <c r="AE1671" s="319"/>
      <c r="AF1671" s="319"/>
      <c r="AG1671" s="319"/>
      <c r="AH1671" s="319"/>
      <c r="AI1671" s="319"/>
      <c r="AJ1671" s="319"/>
      <c r="AK1671" s="319" t="s">
        <v>1113</v>
      </c>
      <c r="AL1671" s="319"/>
      <c r="AM1671" s="319"/>
      <c r="AN1671" s="319"/>
      <c r="AO1671" s="43" t="s">
        <v>2348</v>
      </c>
      <c r="AP1671" s="44"/>
      <c r="AQ1671" s="236" t="str">
        <f>VLOOKUP(Table8[[#This Row],[Instrument]],Def_Targets!$D$73:$E$159,2,FALSE)</f>
        <v>S_PTIntegration</v>
      </c>
      <c r="AR1671" s="233" t="str">
        <f>VLOOKUP(Table8[[#This Row],[Country Code]],Table29[],3,FALSE)</f>
        <v>Non-Annex I</v>
      </c>
      <c r="AS1671" s="233" t="str">
        <f>VLOOKUP(Table8[[#This Row],[Country Code]],Table29[],4,FALSE)</f>
        <v>Asia</v>
      </c>
      <c r="AT1671" s="233" t="str">
        <f>VLOOKUP(Table8[[#This Row],[Country Code]],Table29[],5,FALSE)</f>
        <v>High-income</v>
      </c>
      <c r="AU1671" s="233" t="str">
        <f>VLOOKUP(Table8[[#This Row],[Country Code]],Table29[],6,FALSE)</f>
        <v>no</v>
      </c>
      <c r="AV1671" s="233" t="str">
        <f>VLOOKUP(Table8[[#This Row],[Country Code]],Table29[],7,FALSE)</f>
        <v>no</v>
      </c>
      <c r="AW1671" s="233" t="str">
        <f>VLOOKUP(Table8[[#This Row],[Country Code]],Table29[],8,FALSE)</f>
        <v>non-OECD</v>
      </c>
      <c r="AX1671" s="233" t="str">
        <f>VLOOKUP(Table8[[#This Row],[Country Code]],Table29[],9,FALSE)</f>
        <v>no</v>
      </c>
      <c r="AY1671" s="233" t="str">
        <f>VLOOKUP(Table8[[#This Row],[Country Code]],Table29[],10,FALSE)</f>
        <v>MENA</v>
      </c>
      <c r="AZ1671" s="235">
        <f>VLOOKUP(Table8[[#This Row],[Country Code]],Table29[],23,FALSE)</f>
        <v>154.38356524030999</v>
      </c>
      <c r="BA1671" s="235">
        <f>VLOOKUP(Table8[[#This Row],[Country Code]],Table29[],24,FALSE)</f>
        <v>15.0080032885677</v>
      </c>
      <c r="BB1671" s="320"/>
      <c r="BC1671" s="320"/>
    </row>
    <row r="1672" spans="1:55" hidden="1" x14ac:dyDescent="0.25">
      <c r="A1672" s="373">
        <v>17705</v>
      </c>
      <c r="B1672" s="233" t="str">
        <f>VLOOKUP(Table8[[#This Row],[Document ID]],Table1[],2,FALSE)</f>
        <v>QAT</v>
      </c>
      <c r="C1672" s="233" t="str">
        <f>VLOOKUP(Table8[[#This Row],[Document ID]],Table1[],3,FALSE)</f>
        <v>Qatar</v>
      </c>
      <c r="D1672" s="243" t="str">
        <f>VLOOKUP(Table8[[#This Row],[Document ID]],Table1[],5,FALSE)</f>
        <v>NDC</v>
      </c>
      <c r="E1672" s="233" t="str">
        <f>VLOOKUP(Table8[[#This Row],[Document ID]],Table1[],7,FALSE)</f>
        <v>First NDC</v>
      </c>
      <c r="F1672" s="236" t="str">
        <f>VLOOKUP(Table8[[#This Row],[Document ID]],Table1[],8,FALSE)</f>
        <v>NDC 1.0</v>
      </c>
      <c r="G1672" s="236" t="str">
        <f>VLOOKUP(Table8[[#This Row],[Document ID]],Table1[],10,FALSE)</f>
        <v>Archived</v>
      </c>
      <c r="H1672" s="44" t="s">
        <v>2338</v>
      </c>
      <c r="I1672" s="44" t="s">
        <v>2339</v>
      </c>
      <c r="J1672" s="44" t="s">
        <v>2451</v>
      </c>
      <c r="K1672" s="44" t="s">
        <v>3880</v>
      </c>
      <c r="L1672" s="44" t="s">
        <v>2333</v>
      </c>
      <c r="M1672" s="43"/>
      <c r="N1672" s="113" t="s">
        <v>1113</v>
      </c>
      <c r="O1672" s="113"/>
      <c r="P1672" s="113"/>
      <c r="Q1672" s="319"/>
      <c r="R1672" s="319"/>
      <c r="S1672" s="319"/>
      <c r="T1672" s="319"/>
      <c r="U1672" s="319"/>
      <c r="V1672" s="319"/>
      <c r="W1672" s="319"/>
      <c r="X1672" s="319"/>
      <c r="Y1672" s="319"/>
      <c r="Z1672" s="113"/>
      <c r="AA1672" s="319"/>
      <c r="AB1672" s="319"/>
      <c r="AC1672" s="319"/>
      <c r="AD1672" s="319"/>
      <c r="AE1672" s="319"/>
      <c r="AF1672" s="319"/>
      <c r="AG1672" s="319"/>
      <c r="AH1672" s="319"/>
      <c r="AI1672" s="319"/>
      <c r="AJ1672" s="319"/>
      <c r="AK1672" s="319" t="s">
        <v>1113</v>
      </c>
      <c r="AL1672" s="319"/>
      <c r="AM1672" s="319"/>
      <c r="AN1672" s="319"/>
      <c r="AO1672" s="44" t="s">
        <v>2334</v>
      </c>
      <c r="AP1672" s="44"/>
      <c r="AQ1672" s="236" t="str">
        <f>VLOOKUP(Table8[[#This Row],[Instrument]],Def_Targets!$D$73:$E$159,2,FALSE)</f>
        <v>I_Inspection</v>
      </c>
      <c r="AR1672" s="233" t="str">
        <f>VLOOKUP(Table8[[#This Row],[Country Code]],Table29[],3,FALSE)</f>
        <v>Non-Annex I</v>
      </c>
      <c r="AS1672" s="233" t="str">
        <f>VLOOKUP(Table8[[#This Row],[Country Code]],Table29[],4,FALSE)</f>
        <v>Asia</v>
      </c>
      <c r="AT1672" s="233" t="str">
        <f>VLOOKUP(Table8[[#This Row],[Country Code]],Table29[],5,FALSE)</f>
        <v>High-income</v>
      </c>
      <c r="AU1672" s="233" t="str">
        <f>VLOOKUP(Table8[[#This Row],[Country Code]],Table29[],6,FALSE)</f>
        <v>no</v>
      </c>
      <c r="AV1672" s="233" t="str">
        <f>VLOOKUP(Table8[[#This Row],[Country Code]],Table29[],7,FALSE)</f>
        <v>no</v>
      </c>
      <c r="AW1672" s="233" t="str">
        <f>VLOOKUP(Table8[[#This Row],[Country Code]],Table29[],8,FALSE)</f>
        <v>non-OECD</v>
      </c>
      <c r="AX1672" s="233" t="str">
        <f>VLOOKUP(Table8[[#This Row],[Country Code]],Table29[],9,FALSE)</f>
        <v>no</v>
      </c>
      <c r="AY1672" s="233" t="str">
        <f>VLOOKUP(Table8[[#This Row],[Country Code]],Table29[],10,FALSE)</f>
        <v>MENA</v>
      </c>
      <c r="AZ1672" s="235">
        <f>VLOOKUP(Table8[[#This Row],[Country Code]],Table29[],23,FALSE)</f>
        <v>154.38356524030999</v>
      </c>
      <c r="BA1672" s="235">
        <f>VLOOKUP(Table8[[#This Row],[Country Code]],Table29[],24,FALSE)</f>
        <v>15.0080032885677</v>
      </c>
      <c r="BB1672" s="320"/>
      <c r="BC1672" s="320"/>
    </row>
    <row r="1673" spans="1:55" ht="30" hidden="1" x14ac:dyDescent="0.25">
      <c r="A1673" s="373">
        <v>17705</v>
      </c>
      <c r="B1673" s="233" t="str">
        <f>VLOOKUP(Table8[[#This Row],[Document ID]],Table1[],2,FALSE)</f>
        <v>QAT</v>
      </c>
      <c r="C1673" s="233" t="str">
        <f>VLOOKUP(Table8[[#This Row],[Document ID]],Table1[],3,FALSE)</f>
        <v>Qatar</v>
      </c>
      <c r="D1673" s="243" t="str">
        <f>VLOOKUP(Table8[[#This Row],[Document ID]],Table1[],5,FALSE)</f>
        <v>NDC</v>
      </c>
      <c r="E1673" s="233" t="str">
        <f>VLOOKUP(Table8[[#This Row],[Document ID]],Table1[],7,FALSE)</f>
        <v>First NDC</v>
      </c>
      <c r="F1673" s="236" t="str">
        <f>VLOOKUP(Table8[[#This Row],[Document ID]],Table1[],8,FALSE)</f>
        <v>NDC 1.0</v>
      </c>
      <c r="G1673" s="236" t="str">
        <f>VLOOKUP(Table8[[#This Row],[Document ID]],Table1[],10,FALSE)</f>
        <v>Archived</v>
      </c>
      <c r="H1673" s="44" t="s">
        <v>2338</v>
      </c>
      <c r="I1673" s="44" t="s">
        <v>2339</v>
      </c>
      <c r="J1673" s="44" t="s">
        <v>2340</v>
      </c>
      <c r="K1673" s="44" t="s">
        <v>3881</v>
      </c>
      <c r="L1673" s="44" t="s">
        <v>2333</v>
      </c>
      <c r="M1673" s="43"/>
      <c r="N1673" s="113" t="s">
        <v>1113</v>
      </c>
      <c r="O1673" s="113"/>
      <c r="P1673" s="113"/>
      <c r="Q1673" s="319"/>
      <c r="R1673" s="319"/>
      <c r="S1673" s="319"/>
      <c r="T1673" s="319"/>
      <c r="U1673" s="319"/>
      <c r="V1673" s="319"/>
      <c r="W1673" s="319"/>
      <c r="X1673" s="319"/>
      <c r="Y1673" s="319"/>
      <c r="Z1673" s="113"/>
      <c r="AA1673" s="319"/>
      <c r="AB1673" s="319"/>
      <c r="AC1673" s="319"/>
      <c r="AD1673" s="319"/>
      <c r="AE1673" s="319"/>
      <c r="AF1673" s="319"/>
      <c r="AG1673" s="319"/>
      <c r="AH1673" s="319"/>
      <c r="AI1673" s="319"/>
      <c r="AJ1673" s="319"/>
      <c r="AK1673" s="319" t="s">
        <v>1113</v>
      </c>
      <c r="AL1673" s="319"/>
      <c r="AM1673" s="319"/>
      <c r="AN1673" s="319"/>
      <c r="AO1673" s="44" t="s">
        <v>2334</v>
      </c>
      <c r="AP1673" s="44"/>
      <c r="AQ1673" s="236" t="str">
        <f>VLOOKUP(Table8[[#This Row],[Instrument]],Def_Targets!$D$73:$E$159,2,FALSE)</f>
        <v>I_Vehicleimprove</v>
      </c>
      <c r="AR1673" s="233" t="str">
        <f>VLOOKUP(Table8[[#This Row],[Country Code]],Table29[],3,FALSE)</f>
        <v>Non-Annex I</v>
      </c>
      <c r="AS1673" s="233" t="str">
        <f>VLOOKUP(Table8[[#This Row],[Country Code]],Table29[],4,FALSE)</f>
        <v>Asia</v>
      </c>
      <c r="AT1673" s="233" t="str">
        <f>VLOOKUP(Table8[[#This Row],[Country Code]],Table29[],5,FALSE)</f>
        <v>High-income</v>
      </c>
      <c r="AU1673" s="233" t="str">
        <f>VLOOKUP(Table8[[#This Row],[Country Code]],Table29[],6,FALSE)</f>
        <v>no</v>
      </c>
      <c r="AV1673" s="233" t="str">
        <f>VLOOKUP(Table8[[#This Row],[Country Code]],Table29[],7,FALSE)</f>
        <v>no</v>
      </c>
      <c r="AW1673" s="233" t="str">
        <f>VLOOKUP(Table8[[#This Row],[Country Code]],Table29[],8,FALSE)</f>
        <v>non-OECD</v>
      </c>
      <c r="AX1673" s="233" t="str">
        <f>VLOOKUP(Table8[[#This Row],[Country Code]],Table29[],9,FALSE)</f>
        <v>no</v>
      </c>
      <c r="AY1673" s="233" t="str">
        <f>VLOOKUP(Table8[[#This Row],[Country Code]],Table29[],10,FALSE)</f>
        <v>MENA</v>
      </c>
      <c r="AZ1673" s="235">
        <f>VLOOKUP(Table8[[#This Row],[Country Code]],Table29[],23,FALSE)</f>
        <v>154.38356524030999</v>
      </c>
      <c r="BA1673" s="235">
        <f>VLOOKUP(Table8[[#This Row],[Country Code]],Table29[],24,FALSE)</f>
        <v>15.0080032885677</v>
      </c>
      <c r="BB1673" s="320"/>
      <c r="BC1673" s="320"/>
    </row>
    <row r="1674" spans="1:55" ht="30" hidden="1" x14ac:dyDescent="0.25">
      <c r="A1674" s="373">
        <v>21704</v>
      </c>
      <c r="B1674" s="233" t="str">
        <f>VLOOKUP(Table8[[#This Row],[Document ID]],Table1[],2,FALSE)</f>
        <v>QAT</v>
      </c>
      <c r="C1674" s="233" t="str">
        <f>VLOOKUP(Table8[[#This Row],[Document ID]],Table1[],3,FALSE)</f>
        <v>Qatar</v>
      </c>
      <c r="D1674" s="243" t="str">
        <f>VLOOKUP(Table8[[#This Row],[Document ID]],Table1[],5,FALSE)</f>
        <v>NDC</v>
      </c>
      <c r="E1674" s="233" t="str">
        <f>VLOOKUP(Table8[[#This Row],[Document ID]],Table1[],7,FALSE)</f>
        <v>First NDC updated</v>
      </c>
      <c r="F1674" s="233" t="str">
        <f>VLOOKUP(Table8[[#This Row],[Document ID]],Table1[],8,FALSE)</f>
        <v>NDC 1.1</v>
      </c>
      <c r="G1674" s="233" t="str">
        <f>VLOOKUP(Table8[[#This Row],[Document ID]],Table1[],10,FALSE)</f>
        <v>Active</v>
      </c>
      <c r="H1674" s="43" t="s">
        <v>2343</v>
      </c>
      <c r="I1674" s="43" t="s">
        <v>2344</v>
      </c>
      <c r="J1674" s="44" t="s">
        <v>2345</v>
      </c>
      <c r="K1674" s="44" t="s">
        <v>3882</v>
      </c>
      <c r="L1674" s="44" t="s">
        <v>2347</v>
      </c>
      <c r="M1674" s="43">
        <v>6</v>
      </c>
      <c r="N1674" s="113"/>
      <c r="O1674" s="113"/>
      <c r="P1674" s="113"/>
      <c r="Q1674" s="113"/>
      <c r="R1674" s="113"/>
      <c r="S1674" s="113"/>
      <c r="T1674" s="113"/>
      <c r="U1674" s="113"/>
      <c r="V1674" s="113"/>
      <c r="W1674" s="113"/>
      <c r="X1674" s="113"/>
      <c r="Y1674" s="113"/>
      <c r="Z1674" s="113"/>
      <c r="AA1674" s="113"/>
      <c r="AB1674" s="113"/>
      <c r="AC1674" s="113" t="s">
        <v>1113</v>
      </c>
      <c r="AD1674" s="113"/>
      <c r="AE1674" s="113"/>
      <c r="AF1674" s="113"/>
      <c r="AG1674" s="113"/>
      <c r="AH1674" s="113"/>
      <c r="AI1674" s="113"/>
      <c r="AJ1674" s="113"/>
      <c r="AK1674" s="113"/>
      <c r="AL1674" s="113" t="s">
        <v>1113</v>
      </c>
      <c r="AM1674" s="113"/>
      <c r="AN1674" s="113"/>
      <c r="AO1674" s="43" t="s">
        <v>2348</v>
      </c>
      <c r="AP1674" s="43"/>
      <c r="AQ1674" s="236" t="str">
        <f>VLOOKUP(Table8[[#This Row],[Instrument]],Def_Targets!$D$73:$E$159,2,FALSE)</f>
        <v>S_PublicTransport</v>
      </c>
      <c r="AR1674" s="233" t="str">
        <f>VLOOKUP(Table8[[#This Row],[Country Code]],Table29[],3,FALSE)</f>
        <v>Non-Annex I</v>
      </c>
      <c r="AS1674" s="233" t="str">
        <f>VLOOKUP(Table8[[#This Row],[Country Code]],Table29[],4,FALSE)</f>
        <v>Asia</v>
      </c>
      <c r="AT1674" s="233" t="str">
        <f>VLOOKUP(Table8[[#This Row],[Country Code]],Table29[],5,FALSE)</f>
        <v>High-income</v>
      </c>
      <c r="AU1674" s="233" t="str">
        <f>VLOOKUP(Table8[[#This Row],[Country Code]],Table29[],6,FALSE)</f>
        <v>no</v>
      </c>
      <c r="AV1674" s="233" t="str">
        <f>VLOOKUP(Table8[[#This Row],[Country Code]],Table29[],7,FALSE)</f>
        <v>no</v>
      </c>
      <c r="AW1674" s="233" t="str">
        <f>VLOOKUP(Table8[[#This Row],[Country Code]],Table29[],8,FALSE)</f>
        <v>non-OECD</v>
      </c>
      <c r="AX1674" s="233" t="str">
        <f>VLOOKUP(Table8[[#This Row],[Country Code]],Table29[],9,FALSE)</f>
        <v>no</v>
      </c>
      <c r="AY1674" s="233" t="str">
        <f>VLOOKUP(Table8[[#This Row],[Country Code]],Table29[],10,FALSE)</f>
        <v>MENA</v>
      </c>
      <c r="AZ1674" s="235">
        <f>VLOOKUP(Table8[[#This Row],[Country Code]],Table29[],23,FALSE)</f>
        <v>154.38356524030999</v>
      </c>
      <c r="BA1674" s="235">
        <f>VLOOKUP(Table8[[#This Row],[Country Code]],Table29[],24,FALSE)</f>
        <v>15.0080032885677</v>
      </c>
      <c r="BB1674" s="320"/>
      <c r="BC1674" s="320"/>
    </row>
    <row r="1675" spans="1:55" ht="30" hidden="1" x14ac:dyDescent="0.25">
      <c r="A1675" s="373">
        <v>21704</v>
      </c>
      <c r="B1675" s="233" t="str">
        <f>VLOOKUP(Table8[[#This Row],[Document ID]],Table1[],2,FALSE)</f>
        <v>QAT</v>
      </c>
      <c r="C1675" s="233" t="str">
        <f>VLOOKUP(Table8[[#This Row],[Document ID]],Table1[],3,FALSE)</f>
        <v>Qatar</v>
      </c>
      <c r="D1675" s="243" t="str">
        <f>VLOOKUP(Table8[[#This Row],[Document ID]],Table1[],5,FALSE)</f>
        <v>NDC</v>
      </c>
      <c r="E1675" s="233" t="str">
        <f>VLOOKUP(Table8[[#This Row],[Document ID]],Table1[],7,FALSE)</f>
        <v>First NDC updated</v>
      </c>
      <c r="F1675" s="233" t="str">
        <f>VLOOKUP(Table8[[#This Row],[Document ID]],Table1[],8,FALSE)</f>
        <v>NDC 1.1</v>
      </c>
      <c r="G1675" s="233" t="str">
        <f>VLOOKUP(Table8[[#This Row],[Document ID]],Table1[],10,FALSE)</f>
        <v>Active</v>
      </c>
      <c r="H1675" s="43" t="s">
        <v>2484</v>
      </c>
      <c r="I1675" s="43" t="s">
        <v>2488</v>
      </c>
      <c r="J1675" s="44" t="s">
        <v>2976</v>
      </c>
      <c r="K1675" s="44" t="s">
        <v>3883</v>
      </c>
      <c r="L1675" s="44" t="s">
        <v>2333</v>
      </c>
      <c r="M1675" s="43">
        <v>6</v>
      </c>
      <c r="N1675" s="113"/>
      <c r="O1675" s="113"/>
      <c r="P1675" s="113"/>
      <c r="Q1675" s="113"/>
      <c r="R1675" s="113"/>
      <c r="S1675" s="113"/>
      <c r="T1675" s="113"/>
      <c r="U1675" s="113"/>
      <c r="V1675" s="113"/>
      <c r="W1675" s="113"/>
      <c r="X1675" s="113"/>
      <c r="Y1675" s="113"/>
      <c r="Z1675" s="113"/>
      <c r="AA1675" s="113"/>
      <c r="AB1675" s="113"/>
      <c r="AC1675" s="113"/>
      <c r="AD1675" s="113"/>
      <c r="AE1675" s="113"/>
      <c r="AF1675" s="113"/>
      <c r="AG1675" s="113"/>
      <c r="AH1675" s="113" t="s">
        <v>1113</v>
      </c>
      <c r="AI1675" s="113"/>
      <c r="AJ1675" s="113"/>
      <c r="AK1675" s="113" t="s">
        <v>1113</v>
      </c>
      <c r="AL1675" s="113"/>
      <c r="AM1675" s="113"/>
      <c r="AN1675" s="113"/>
      <c r="AO1675" s="44" t="s">
        <v>2334</v>
      </c>
      <c r="AP1675" s="43"/>
      <c r="AQ1675" s="236" t="str">
        <f>VLOOKUP(Table8[[#This Row],[Instrument]],Def_Targets!$D$73:$E$159,2,FALSE)</f>
        <v>I_CO2certificate</v>
      </c>
      <c r="AR1675" s="233" t="str">
        <f>VLOOKUP(Table8[[#This Row],[Country Code]],Table29[],3,FALSE)</f>
        <v>Non-Annex I</v>
      </c>
      <c r="AS1675" s="233" t="str">
        <f>VLOOKUP(Table8[[#This Row],[Country Code]],Table29[],4,FALSE)</f>
        <v>Asia</v>
      </c>
      <c r="AT1675" s="233" t="str">
        <f>VLOOKUP(Table8[[#This Row],[Country Code]],Table29[],5,FALSE)</f>
        <v>High-income</v>
      </c>
      <c r="AU1675" s="233" t="str">
        <f>VLOOKUP(Table8[[#This Row],[Country Code]],Table29[],6,FALSE)</f>
        <v>no</v>
      </c>
      <c r="AV1675" s="233" t="str">
        <f>VLOOKUP(Table8[[#This Row],[Country Code]],Table29[],7,FALSE)</f>
        <v>no</v>
      </c>
      <c r="AW1675" s="233" t="str">
        <f>VLOOKUP(Table8[[#This Row],[Country Code]],Table29[],8,FALSE)</f>
        <v>non-OECD</v>
      </c>
      <c r="AX1675" s="233" t="str">
        <f>VLOOKUP(Table8[[#This Row],[Country Code]],Table29[],9,FALSE)</f>
        <v>no</v>
      </c>
      <c r="AY1675" s="233" t="str">
        <f>VLOOKUP(Table8[[#This Row],[Country Code]],Table29[],10,FALSE)</f>
        <v>MENA</v>
      </c>
      <c r="AZ1675" s="235">
        <f>VLOOKUP(Table8[[#This Row],[Country Code]],Table29[],23,FALSE)</f>
        <v>154.38356524030999</v>
      </c>
      <c r="BA1675" s="235">
        <f>VLOOKUP(Table8[[#This Row],[Country Code]],Table29[],24,FALSE)</f>
        <v>15.0080032885677</v>
      </c>
      <c r="BB1675" s="320"/>
      <c r="BC1675" s="320"/>
    </row>
    <row r="1676" spans="1:55" ht="30" hidden="1" x14ac:dyDescent="0.25">
      <c r="A1676" s="373">
        <v>21704</v>
      </c>
      <c r="B1676" s="233" t="str">
        <f>VLOOKUP(Table8[[#This Row],[Document ID]],Table1[],2,FALSE)</f>
        <v>QAT</v>
      </c>
      <c r="C1676" s="233" t="str">
        <f>VLOOKUP(Table8[[#This Row],[Document ID]],Table1[],3,FALSE)</f>
        <v>Qatar</v>
      </c>
      <c r="D1676" s="243" t="str">
        <f>VLOOKUP(Table8[[#This Row],[Document ID]],Table1[],5,FALSE)</f>
        <v>NDC</v>
      </c>
      <c r="E1676" s="233" t="str">
        <f>VLOOKUP(Table8[[#This Row],[Document ID]],Table1[],7,FALSE)</f>
        <v>First NDC updated</v>
      </c>
      <c r="F1676" s="233" t="str">
        <f>VLOOKUP(Table8[[#This Row],[Document ID]],Table1[],8,FALSE)</f>
        <v>NDC 1.1</v>
      </c>
      <c r="G1676" s="233" t="str">
        <f>VLOOKUP(Table8[[#This Row],[Document ID]],Table1[],10,FALSE)</f>
        <v>Active</v>
      </c>
      <c r="H1676" s="43" t="s">
        <v>2358</v>
      </c>
      <c r="I1676" s="43" t="s">
        <v>2359</v>
      </c>
      <c r="J1676" s="44" t="s">
        <v>2360</v>
      </c>
      <c r="K1676" s="44" t="s">
        <v>3884</v>
      </c>
      <c r="L1676" s="44" t="s">
        <v>2333</v>
      </c>
      <c r="M1676" s="43">
        <v>6</v>
      </c>
      <c r="N1676" s="113"/>
      <c r="O1676" s="113"/>
      <c r="P1676" s="113"/>
      <c r="Q1676" s="113"/>
      <c r="R1676" s="113"/>
      <c r="S1676" s="113" t="s">
        <v>1113</v>
      </c>
      <c r="T1676" s="113"/>
      <c r="U1676" s="113"/>
      <c r="V1676" s="113"/>
      <c r="W1676" s="113"/>
      <c r="X1676" s="113"/>
      <c r="Y1676" s="113" t="s">
        <v>1113</v>
      </c>
      <c r="Z1676" s="113"/>
      <c r="AA1676" s="113"/>
      <c r="AB1676" s="113"/>
      <c r="AC1676" s="113"/>
      <c r="AD1676" s="113"/>
      <c r="AE1676" s="113"/>
      <c r="AF1676" s="113"/>
      <c r="AG1676" s="113"/>
      <c r="AH1676" s="113"/>
      <c r="AI1676" s="113"/>
      <c r="AJ1676" s="113"/>
      <c r="AK1676" s="113" t="s">
        <v>1113</v>
      </c>
      <c r="AL1676" s="113"/>
      <c r="AM1676" s="113"/>
      <c r="AN1676" s="113"/>
      <c r="AO1676" s="43" t="s">
        <v>2348</v>
      </c>
      <c r="AP1676" s="43"/>
      <c r="AQ1676" s="236" t="str">
        <f>VLOOKUP(Table8[[#This Row],[Instrument]],Def_Targets!$D$73:$E$159,2,FALSE)</f>
        <v>I_Emobility</v>
      </c>
      <c r="AR1676" s="233" t="str">
        <f>VLOOKUP(Table8[[#This Row],[Country Code]],Table29[],3,FALSE)</f>
        <v>Non-Annex I</v>
      </c>
      <c r="AS1676" s="233" t="str">
        <f>VLOOKUP(Table8[[#This Row],[Country Code]],Table29[],4,FALSE)</f>
        <v>Asia</v>
      </c>
      <c r="AT1676" s="233" t="str">
        <f>VLOOKUP(Table8[[#This Row],[Country Code]],Table29[],5,FALSE)</f>
        <v>High-income</v>
      </c>
      <c r="AU1676" s="233" t="str">
        <f>VLOOKUP(Table8[[#This Row],[Country Code]],Table29[],6,FALSE)</f>
        <v>no</v>
      </c>
      <c r="AV1676" s="233" t="str">
        <f>VLOOKUP(Table8[[#This Row],[Country Code]],Table29[],7,FALSE)</f>
        <v>no</v>
      </c>
      <c r="AW1676" s="233" t="str">
        <f>VLOOKUP(Table8[[#This Row],[Country Code]],Table29[],8,FALSE)</f>
        <v>non-OECD</v>
      </c>
      <c r="AX1676" s="233" t="str">
        <f>VLOOKUP(Table8[[#This Row],[Country Code]],Table29[],9,FALSE)</f>
        <v>no</v>
      </c>
      <c r="AY1676" s="233" t="str">
        <f>VLOOKUP(Table8[[#This Row],[Country Code]],Table29[],10,FALSE)</f>
        <v>MENA</v>
      </c>
      <c r="AZ1676" s="235">
        <f>VLOOKUP(Table8[[#This Row],[Country Code]],Table29[],23,FALSE)</f>
        <v>154.38356524030999</v>
      </c>
      <c r="BA1676" s="235">
        <f>VLOOKUP(Table8[[#This Row],[Country Code]],Table29[],24,FALSE)</f>
        <v>15.0080032885677</v>
      </c>
      <c r="BB1676" s="320"/>
      <c r="BC1676" s="320"/>
    </row>
    <row r="1677" spans="1:55" hidden="1" x14ac:dyDescent="0.25">
      <c r="A1677" s="373">
        <v>21704</v>
      </c>
      <c r="B1677" s="233" t="str">
        <f>VLOOKUP(Table8[[#This Row],[Document ID]],Table1[],2,FALSE)</f>
        <v>QAT</v>
      </c>
      <c r="C1677" s="233" t="str">
        <f>VLOOKUP(Table8[[#This Row],[Document ID]],Table1[],3,FALSE)</f>
        <v>Qatar</v>
      </c>
      <c r="D1677" s="243" t="str">
        <f>VLOOKUP(Table8[[#This Row],[Document ID]],Table1[],5,FALSE)</f>
        <v>NDC</v>
      </c>
      <c r="E1677" s="233" t="str">
        <f>VLOOKUP(Table8[[#This Row],[Document ID]],Table1[],7,FALSE)</f>
        <v>First NDC updated</v>
      </c>
      <c r="F1677" s="233" t="str">
        <f>VLOOKUP(Table8[[#This Row],[Document ID]],Table1[],8,FALSE)</f>
        <v>NDC 1.1</v>
      </c>
      <c r="G1677" s="233" t="str">
        <f>VLOOKUP(Table8[[#This Row],[Document ID]],Table1[],10,FALSE)</f>
        <v>Active</v>
      </c>
      <c r="H1677" s="43" t="s">
        <v>2358</v>
      </c>
      <c r="I1677" s="43" t="s">
        <v>2359</v>
      </c>
      <c r="J1677" s="44" t="s">
        <v>2383</v>
      </c>
      <c r="K1677" s="44" t="s">
        <v>3885</v>
      </c>
      <c r="L1677" s="44" t="s">
        <v>2333</v>
      </c>
      <c r="M1677" s="43">
        <v>6</v>
      </c>
      <c r="N1677" s="113" t="s">
        <v>1113</v>
      </c>
      <c r="O1677" s="113"/>
      <c r="P1677" s="113"/>
      <c r="Q1677" s="113"/>
      <c r="R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t="s">
        <v>1113</v>
      </c>
      <c r="AL1677" s="113"/>
      <c r="AM1677" s="113"/>
      <c r="AN1677" s="113"/>
      <c r="AO1677" s="44" t="s">
        <v>2334</v>
      </c>
      <c r="AP1677" s="43"/>
      <c r="AQ1677" s="236" t="str">
        <f>VLOOKUP(Table8[[#This Row],[Instrument]],Def_Targets!$D$73:$E$159,2,FALSE)</f>
        <v>I_Emobilitycharging</v>
      </c>
      <c r="AR1677" s="233" t="str">
        <f>VLOOKUP(Table8[[#This Row],[Country Code]],Table29[],3,FALSE)</f>
        <v>Non-Annex I</v>
      </c>
      <c r="AS1677" s="233" t="str">
        <f>VLOOKUP(Table8[[#This Row],[Country Code]],Table29[],4,FALSE)</f>
        <v>Asia</v>
      </c>
      <c r="AT1677" s="233" t="str">
        <f>VLOOKUP(Table8[[#This Row],[Country Code]],Table29[],5,FALSE)</f>
        <v>High-income</v>
      </c>
      <c r="AU1677" s="233" t="str">
        <f>VLOOKUP(Table8[[#This Row],[Country Code]],Table29[],6,FALSE)</f>
        <v>no</v>
      </c>
      <c r="AV1677" s="233" t="str">
        <f>VLOOKUP(Table8[[#This Row],[Country Code]],Table29[],7,FALSE)</f>
        <v>no</v>
      </c>
      <c r="AW1677" s="233" t="str">
        <f>VLOOKUP(Table8[[#This Row],[Country Code]],Table29[],8,FALSE)</f>
        <v>non-OECD</v>
      </c>
      <c r="AX1677" s="233" t="str">
        <f>VLOOKUP(Table8[[#This Row],[Country Code]],Table29[],9,FALSE)</f>
        <v>no</v>
      </c>
      <c r="AY1677" s="233" t="str">
        <f>VLOOKUP(Table8[[#This Row],[Country Code]],Table29[],10,FALSE)</f>
        <v>MENA</v>
      </c>
      <c r="AZ1677" s="235">
        <f>VLOOKUP(Table8[[#This Row],[Country Code]],Table29[],23,FALSE)</f>
        <v>154.38356524030999</v>
      </c>
      <c r="BA1677" s="235">
        <f>VLOOKUP(Table8[[#This Row],[Country Code]],Table29[],24,FALSE)</f>
        <v>15.0080032885677</v>
      </c>
      <c r="BB1677" s="320"/>
      <c r="BC1677" s="320"/>
    </row>
    <row r="1678" spans="1:55" ht="60" hidden="1" x14ac:dyDescent="0.25">
      <c r="A1678" s="360">
        <v>17708</v>
      </c>
      <c r="B1678" s="233" t="str">
        <f>VLOOKUP(Table8[[#This Row],[Document ID]],Table1[],2,FALSE)</f>
        <v>KOR</v>
      </c>
      <c r="C1678" s="233" t="str">
        <f>VLOOKUP(Table8[[#This Row],[Document ID]],Table1[],3,FALSE)</f>
        <v>Republic of Korea</v>
      </c>
      <c r="D1678" s="233" t="str">
        <f>VLOOKUP(Table8[[#This Row],[Document ID]],Table1[],5,FALSE)</f>
        <v>NDC</v>
      </c>
      <c r="E1678" s="233" t="str">
        <f>VLOOKUP(Table8[[#This Row],[Document ID]],Table1[],7,FALSE)</f>
        <v>First NDC updated</v>
      </c>
      <c r="F1678" s="233" t="str">
        <f>VLOOKUP(Table8[[#This Row],[Document ID]],Table1[],8,FALSE)</f>
        <v>NDC 1.1</v>
      </c>
      <c r="G1678" s="233" t="str">
        <f>VLOOKUP(Table8[[#This Row],[Document ID]],Table1[],10,FALSE)</f>
        <v>Archived</v>
      </c>
      <c r="H1678" s="43" t="s">
        <v>2343</v>
      </c>
      <c r="I1678" s="43" t="s">
        <v>2386</v>
      </c>
      <c r="J1678" s="44" t="s">
        <v>3055</v>
      </c>
      <c r="K1678" s="44" t="s">
        <v>3886</v>
      </c>
      <c r="L1678" s="44" t="s">
        <v>2373</v>
      </c>
      <c r="M1678" s="43">
        <v>4</v>
      </c>
      <c r="N1678" s="113" t="s">
        <v>1113</v>
      </c>
      <c r="O1678" s="113"/>
      <c r="P1678" s="113"/>
      <c r="Q1678" s="113"/>
      <c r="R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319" t="s">
        <v>1113</v>
      </c>
      <c r="AL1678" s="113"/>
      <c r="AM1678" s="113"/>
      <c r="AN1678" s="113"/>
      <c r="AO1678" s="44" t="s">
        <v>2334</v>
      </c>
      <c r="AP1678" s="43"/>
      <c r="AQ1678" s="236" t="str">
        <f>VLOOKUP(Table8[[#This Row],[Instrument]],Def_Targets!$D$73:$E$159,2,FALSE)</f>
        <v>A_Emistrad</v>
      </c>
      <c r="AR1678" s="233" t="str">
        <f>VLOOKUP(Table8[[#This Row],[Country Code]],Table29[],3,FALSE)</f>
        <v>Non-Annex I</v>
      </c>
      <c r="AS1678" s="233" t="str">
        <f>VLOOKUP(Table8[[#This Row],[Country Code]],Table29[],4,FALSE)</f>
        <v>Asia</v>
      </c>
      <c r="AT1678" s="233" t="str">
        <f>VLOOKUP(Table8[[#This Row],[Country Code]],Table29[],5,FALSE)</f>
        <v>High-income</v>
      </c>
      <c r="AU1678" s="233" t="str">
        <f>VLOOKUP(Table8[[#This Row],[Country Code]],Table29[],6,FALSE)</f>
        <v>G20</v>
      </c>
      <c r="AV1678" s="233" t="str">
        <f>VLOOKUP(Table8[[#This Row],[Country Code]],Table29[],7,FALSE)</f>
        <v>no</v>
      </c>
      <c r="AW1678" s="233" t="str">
        <f>VLOOKUP(Table8[[#This Row],[Country Code]],Table29[],8,FALSE)</f>
        <v>OECD</v>
      </c>
      <c r="AX1678" s="233" t="str">
        <f>VLOOKUP(Table8[[#This Row],[Country Code]],Table29[],9,FALSE)</f>
        <v>no</v>
      </c>
      <c r="AY1678" s="233" t="str">
        <f>VLOOKUP(Table8[[#This Row],[Country Code]],Table29[],10,FALSE)</f>
        <v>no</v>
      </c>
      <c r="AZ1678" s="235">
        <f>VLOOKUP(Table8[[#This Row],[Country Code]],Table29[],23,FALSE)</f>
        <v>653.84613998739997</v>
      </c>
      <c r="BA1678" s="235">
        <f>VLOOKUP(Table8[[#This Row],[Country Code]],Table29[],24,FALSE)</f>
        <v>107.9154569951917</v>
      </c>
      <c r="BB1678" s="320"/>
      <c r="BC1678" s="320"/>
    </row>
    <row r="1679" spans="1:55" hidden="1" x14ac:dyDescent="0.25">
      <c r="A1679" s="360">
        <v>17708</v>
      </c>
      <c r="B1679" s="233" t="str">
        <f>VLOOKUP(Table8[[#This Row],[Document ID]],Table1[],2,FALSE)</f>
        <v>KOR</v>
      </c>
      <c r="C1679" s="233" t="str">
        <f>VLOOKUP(Table8[[#This Row],[Document ID]],Table1[],3,FALSE)</f>
        <v>Republic of Korea</v>
      </c>
      <c r="D1679" s="233" t="str">
        <f>VLOOKUP(Table8[[#This Row],[Document ID]],Table1[],5,FALSE)</f>
        <v>NDC</v>
      </c>
      <c r="E1679" s="233" t="str">
        <f>VLOOKUP(Table8[[#This Row],[Document ID]],Table1[],7,FALSE)</f>
        <v>First NDC updated</v>
      </c>
      <c r="F1679" s="233" t="str">
        <f>VLOOKUP(Table8[[#This Row],[Document ID]],Table1[],8,FALSE)</f>
        <v>NDC 1.1</v>
      </c>
      <c r="G1679" s="233" t="str">
        <f>VLOOKUP(Table8[[#This Row],[Document ID]],Table1[],10,FALSE)</f>
        <v>Archived</v>
      </c>
      <c r="H1679" s="43" t="s">
        <v>2358</v>
      </c>
      <c r="I1679" s="43" t="s">
        <v>2359</v>
      </c>
      <c r="J1679" s="44" t="s">
        <v>2360</v>
      </c>
      <c r="K1679" s="44" t="s">
        <v>3887</v>
      </c>
      <c r="L1679" s="44" t="s">
        <v>2333</v>
      </c>
      <c r="M1679" s="43">
        <v>11</v>
      </c>
      <c r="N1679" s="113"/>
      <c r="O1679" s="113"/>
      <c r="P1679" s="113"/>
      <c r="Q1679" s="113"/>
      <c r="R1679" s="113"/>
      <c r="S1679" s="113" t="s">
        <v>1113</v>
      </c>
      <c r="T1679" s="113"/>
      <c r="U1679" s="113"/>
      <c r="V1679" s="113"/>
      <c r="W1679" s="113"/>
      <c r="X1679" s="113"/>
      <c r="Y1679" s="113"/>
      <c r="Z1679" s="113"/>
      <c r="AA1679" s="113"/>
      <c r="AB1679" s="113"/>
      <c r="AC1679" s="113"/>
      <c r="AD1679" s="113"/>
      <c r="AE1679" s="113"/>
      <c r="AF1679" s="113"/>
      <c r="AG1679" s="113"/>
      <c r="AH1679" s="113"/>
      <c r="AI1679" s="113"/>
      <c r="AJ1679" s="113"/>
      <c r="AK1679" s="319" t="s">
        <v>1113</v>
      </c>
      <c r="AL1679" s="113"/>
      <c r="AM1679" s="113"/>
      <c r="AN1679" s="113"/>
      <c r="AO1679" s="44" t="s">
        <v>2334</v>
      </c>
      <c r="AP1679" s="43"/>
      <c r="AQ1679" s="236" t="str">
        <f>VLOOKUP(Table8[[#This Row],[Instrument]],Def_Targets!$D$73:$E$159,2,FALSE)</f>
        <v>I_Emobility</v>
      </c>
      <c r="AR1679" s="233" t="str">
        <f>VLOOKUP(Table8[[#This Row],[Country Code]],Table29[],3,FALSE)</f>
        <v>Non-Annex I</v>
      </c>
      <c r="AS1679" s="233" t="str">
        <f>VLOOKUP(Table8[[#This Row],[Country Code]],Table29[],4,FALSE)</f>
        <v>Asia</v>
      </c>
      <c r="AT1679" s="233" t="str">
        <f>VLOOKUP(Table8[[#This Row],[Country Code]],Table29[],5,FALSE)</f>
        <v>High-income</v>
      </c>
      <c r="AU1679" s="233" t="str">
        <f>VLOOKUP(Table8[[#This Row],[Country Code]],Table29[],6,FALSE)</f>
        <v>G20</v>
      </c>
      <c r="AV1679" s="233" t="str">
        <f>VLOOKUP(Table8[[#This Row],[Country Code]],Table29[],7,FALSE)</f>
        <v>no</v>
      </c>
      <c r="AW1679" s="233" t="str">
        <f>VLOOKUP(Table8[[#This Row],[Country Code]],Table29[],8,FALSE)</f>
        <v>OECD</v>
      </c>
      <c r="AX1679" s="233" t="str">
        <f>VLOOKUP(Table8[[#This Row],[Country Code]],Table29[],9,FALSE)</f>
        <v>no</v>
      </c>
      <c r="AY1679" s="233" t="str">
        <f>VLOOKUP(Table8[[#This Row],[Country Code]],Table29[],10,FALSE)</f>
        <v>no</v>
      </c>
      <c r="AZ1679" s="235">
        <f>VLOOKUP(Table8[[#This Row],[Country Code]],Table29[],23,FALSE)</f>
        <v>653.84613998739997</v>
      </c>
      <c r="BA1679" s="235">
        <f>VLOOKUP(Table8[[#This Row],[Country Code]],Table29[],24,FALSE)</f>
        <v>107.9154569951917</v>
      </c>
      <c r="BB1679" s="320"/>
      <c r="BC1679" s="320"/>
    </row>
    <row r="1680" spans="1:55" hidden="1" x14ac:dyDescent="0.25">
      <c r="A1680" s="360">
        <v>17708</v>
      </c>
      <c r="B1680" s="233" t="str">
        <f>VLOOKUP(Table8[[#This Row],[Document ID]],Table1[],2,FALSE)</f>
        <v>KOR</v>
      </c>
      <c r="C1680" s="233" t="str">
        <f>VLOOKUP(Table8[[#This Row],[Document ID]],Table1[],3,FALSE)</f>
        <v>Republic of Korea</v>
      </c>
      <c r="D1680" s="233" t="str">
        <f>VLOOKUP(Table8[[#This Row],[Document ID]],Table1[],5,FALSE)</f>
        <v>NDC</v>
      </c>
      <c r="E1680" s="233" t="str">
        <f>VLOOKUP(Table8[[#This Row],[Document ID]],Table1[],7,FALSE)</f>
        <v>First NDC updated</v>
      </c>
      <c r="F1680" s="233" t="str">
        <f>VLOOKUP(Table8[[#This Row],[Document ID]],Table1[],8,FALSE)</f>
        <v>NDC 1.1</v>
      </c>
      <c r="G1680" s="233" t="str">
        <f>VLOOKUP(Table8[[#This Row],[Document ID]],Table1[],10,FALSE)</f>
        <v>Archived</v>
      </c>
      <c r="H1680" s="44" t="s">
        <v>2329</v>
      </c>
      <c r="I1680" s="44" t="s">
        <v>2330</v>
      </c>
      <c r="J1680" s="44" t="s">
        <v>2391</v>
      </c>
      <c r="K1680" s="44" t="s">
        <v>3888</v>
      </c>
      <c r="L1680" s="44" t="s">
        <v>2333</v>
      </c>
      <c r="M1680" s="43">
        <v>11</v>
      </c>
      <c r="N1680" s="113"/>
      <c r="O1680" s="113"/>
      <c r="P1680" s="113"/>
      <c r="Q1680" s="113"/>
      <c r="R1680" s="113"/>
      <c r="S1680" s="113" t="s">
        <v>1113</v>
      </c>
      <c r="T1680" s="113"/>
      <c r="U1680" s="113"/>
      <c r="V1680" s="113"/>
      <c r="W1680" s="113"/>
      <c r="X1680" s="113"/>
      <c r="Y1680" s="113"/>
      <c r="Z1680" s="113"/>
      <c r="AA1680" s="113"/>
      <c r="AB1680" s="113"/>
      <c r="AC1680" s="113"/>
      <c r="AD1680" s="113"/>
      <c r="AE1680" s="113"/>
      <c r="AF1680" s="113"/>
      <c r="AG1680" s="113"/>
      <c r="AH1680" s="113"/>
      <c r="AI1680" s="113"/>
      <c r="AJ1680" s="113"/>
      <c r="AK1680" s="319" t="s">
        <v>1113</v>
      </c>
      <c r="AL1680" s="113"/>
      <c r="AM1680" s="113"/>
      <c r="AN1680" s="113"/>
      <c r="AO1680" s="44" t="s">
        <v>2334</v>
      </c>
      <c r="AP1680" s="43"/>
      <c r="AQ1680" s="236" t="str">
        <f>VLOOKUP(Table8[[#This Row],[Instrument]],Def_Targets!$D$73:$E$159,2,FALSE)</f>
        <v>I_Hydrogen</v>
      </c>
      <c r="AR1680" s="233" t="str">
        <f>VLOOKUP(Table8[[#This Row],[Country Code]],Table29[],3,FALSE)</f>
        <v>Non-Annex I</v>
      </c>
      <c r="AS1680" s="233" t="str">
        <f>VLOOKUP(Table8[[#This Row],[Country Code]],Table29[],4,FALSE)</f>
        <v>Asia</v>
      </c>
      <c r="AT1680" s="233" t="str">
        <f>VLOOKUP(Table8[[#This Row],[Country Code]],Table29[],5,FALSE)</f>
        <v>High-income</v>
      </c>
      <c r="AU1680" s="233" t="str">
        <f>VLOOKUP(Table8[[#This Row],[Country Code]],Table29[],6,FALSE)</f>
        <v>G20</v>
      </c>
      <c r="AV1680" s="233" t="str">
        <f>VLOOKUP(Table8[[#This Row],[Country Code]],Table29[],7,FALSE)</f>
        <v>no</v>
      </c>
      <c r="AW1680" s="233" t="str">
        <f>VLOOKUP(Table8[[#This Row],[Country Code]],Table29[],8,FALSE)</f>
        <v>OECD</v>
      </c>
      <c r="AX1680" s="233" t="str">
        <f>VLOOKUP(Table8[[#This Row],[Country Code]],Table29[],9,FALSE)</f>
        <v>no</v>
      </c>
      <c r="AY1680" s="233" t="str">
        <f>VLOOKUP(Table8[[#This Row],[Country Code]],Table29[],10,FALSE)</f>
        <v>no</v>
      </c>
      <c r="AZ1680" s="235">
        <f>VLOOKUP(Table8[[#This Row],[Country Code]],Table29[],23,FALSE)</f>
        <v>653.84613998739997</v>
      </c>
      <c r="BA1680" s="235">
        <f>VLOOKUP(Table8[[#This Row],[Country Code]],Table29[],24,FALSE)</f>
        <v>107.9154569951917</v>
      </c>
      <c r="BB1680" s="320"/>
      <c r="BC1680" s="320"/>
    </row>
    <row r="1681" spans="1:55" ht="30" hidden="1" x14ac:dyDescent="0.25">
      <c r="A1681" s="360">
        <v>17708</v>
      </c>
      <c r="B1681" s="233" t="str">
        <f>VLOOKUP(Table8[[#This Row],[Document ID]],Table1[],2,FALSE)</f>
        <v>KOR</v>
      </c>
      <c r="C1681" s="233" t="str">
        <f>VLOOKUP(Table8[[#This Row],[Document ID]],Table1[],3,FALSE)</f>
        <v>Republic of Korea</v>
      </c>
      <c r="D1681" s="233" t="str">
        <f>VLOOKUP(Table8[[#This Row],[Document ID]],Table1[],5,FALSE)</f>
        <v>NDC</v>
      </c>
      <c r="E1681" s="233" t="str">
        <f>VLOOKUP(Table8[[#This Row],[Document ID]],Table1[],7,FALSE)</f>
        <v>First NDC updated</v>
      </c>
      <c r="F1681" s="233" t="str">
        <f>VLOOKUP(Table8[[#This Row],[Document ID]],Table1[],8,FALSE)</f>
        <v>NDC 1.1</v>
      </c>
      <c r="G1681" s="233" t="str">
        <f>VLOOKUP(Table8[[#This Row],[Document ID]],Table1[],10,FALSE)</f>
        <v>Archived</v>
      </c>
      <c r="H1681" s="43" t="s">
        <v>2350</v>
      </c>
      <c r="I1681" s="43" t="s">
        <v>2351</v>
      </c>
      <c r="J1681" s="44" t="s">
        <v>2352</v>
      </c>
      <c r="K1681" s="44" t="s">
        <v>3889</v>
      </c>
      <c r="L1681" s="44" t="s">
        <v>2347</v>
      </c>
      <c r="M1681" s="43">
        <v>11</v>
      </c>
      <c r="N1681" s="113"/>
      <c r="O1681" s="113"/>
      <c r="P1681" s="113"/>
      <c r="Q1681" s="113"/>
      <c r="R1681" s="113"/>
      <c r="S1681" s="113" t="s">
        <v>1113</v>
      </c>
      <c r="T1681" s="113"/>
      <c r="U1681" s="113"/>
      <c r="V1681" s="113"/>
      <c r="W1681" s="113"/>
      <c r="X1681" s="113"/>
      <c r="Y1681" s="113"/>
      <c r="Z1681" s="113" t="s">
        <v>1113</v>
      </c>
      <c r="AA1681" s="113"/>
      <c r="AB1681" s="113"/>
      <c r="AC1681" s="113"/>
      <c r="AD1681" s="113" t="s">
        <v>1113</v>
      </c>
      <c r="AE1681" s="113"/>
      <c r="AF1681" s="113"/>
      <c r="AG1681" s="113"/>
      <c r="AH1681" s="113"/>
      <c r="AI1681" s="113"/>
      <c r="AJ1681" s="113"/>
      <c r="AK1681" s="319" t="s">
        <v>1113</v>
      </c>
      <c r="AL1681" s="113"/>
      <c r="AM1681" s="113"/>
      <c r="AN1681" s="113"/>
      <c r="AO1681" s="43" t="s">
        <v>2353</v>
      </c>
      <c r="AP1681" s="43"/>
      <c r="AQ1681" s="236" t="str">
        <f>VLOOKUP(Table8[[#This Row],[Instrument]],Def_Targets!$D$73:$E$159,2,FALSE)</f>
        <v>S_Railfreight</v>
      </c>
      <c r="AR1681" s="233" t="str">
        <f>VLOOKUP(Table8[[#This Row],[Country Code]],Table29[],3,FALSE)</f>
        <v>Non-Annex I</v>
      </c>
      <c r="AS1681" s="233" t="str">
        <f>VLOOKUP(Table8[[#This Row],[Country Code]],Table29[],4,FALSE)</f>
        <v>Asia</v>
      </c>
      <c r="AT1681" s="233" t="str">
        <f>VLOOKUP(Table8[[#This Row],[Country Code]],Table29[],5,FALSE)</f>
        <v>High-income</v>
      </c>
      <c r="AU1681" s="233" t="str">
        <f>VLOOKUP(Table8[[#This Row],[Country Code]],Table29[],6,FALSE)</f>
        <v>G20</v>
      </c>
      <c r="AV1681" s="233" t="str">
        <f>VLOOKUP(Table8[[#This Row],[Country Code]],Table29[],7,FALSE)</f>
        <v>no</v>
      </c>
      <c r="AW1681" s="233" t="str">
        <f>VLOOKUP(Table8[[#This Row],[Country Code]],Table29[],8,FALSE)</f>
        <v>OECD</v>
      </c>
      <c r="AX1681" s="233" t="str">
        <f>VLOOKUP(Table8[[#This Row],[Country Code]],Table29[],9,FALSE)</f>
        <v>no</v>
      </c>
      <c r="AY1681" s="233" t="str">
        <f>VLOOKUP(Table8[[#This Row],[Country Code]],Table29[],10,FALSE)</f>
        <v>no</v>
      </c>
      <c r="AZ1681" s="235">
        <f>VLOOKUP(Table8[[#This Row],[Country Code]],Table29[],23,FALSE)</f>
        <v>653.84613998739997</v>
      </c>
      <c r="BA1681" s="235">
        <f>VLOOKUP(Table8[[#This Row],[Country Code]],Table29[],24,FALSE)</f>
        <v>107.9154569951917</v>
      </c>
      <c r="BB1681" s="320"/>
      <c r="BC1681" s="320"/>
    </row>
    <row r="1682" spans="1:55" hidden="1" x14ac:dyDescent="0.25">
      <c r="A1682" s="360">
        <v>17708</v>
      </c>
      <c r="B1682" s="233" t="str">
        <f>VLOOKUP(Table8[[#This Row],[Document ID]],Table1[],2,FALSE)</f>
        <v>KOR</v>
      </c>
      <c r="C1682" s="233" t="str">
        <f>VLOOKUP(Table8[[#This Row],[Document ID]],Table1[],3,FALSE)</f>
        <v>Republic of Korea</v>
      </c>
      <c r="D1682" s="233" t="str">
        <f>VLOOKUP(Table8[[#This Row],[Document ID]],Table1[],5,FALSE)</f>
        <v>NDC</v>
      </c>
      <c r="E1682" s="233" t="str">
        <f>VLOOKUP(Table8[[#This Row],[Document ID]],Table1[],7,FALSE)</f>
        <v>First NDC updated</v>
      </c>
      <c r="F1682" s="233" t="str">
        <f>VLOOKUP(Table8[[#This Row],[Document ID]],Table1[],8,FALSE)</f>
        <v>NDC 1.1</v>
      </c>
      <c r="G1682" s="233" t="str">
        <f>VLOOKUP(Table8[[#This Row],[Document ID]],Table1[],10,FALSE)</f>
        <v>Archived</v>
      </c>
      <c r="H1682" s="44" t="s">
        <v>2329</v>
      </c>
      <c r="I1682" s="44" t="s">
        <v>2330</v>
      </c>
      <c r="J1682" s="44" t="s">
        <v>2363</v>
      </c>
      <c r="K1682" s="44" t="s">
        <v>3890</v>
      </c>
      <c r="L1682" s="44" t="s">
        <v>2333</v>
      </c>
      <c r="M1682" s="43">
        <v>12</v>
      </c>
      <c r="N1682" s="113"/>
      <c r="O1682" s="113"/>
      <c r="P1682" s="113"/>
      <c r="Q1682" s="113"/>
      <c r="R1682" s="113"/>
      <c r="S1682" s="113"/>
      <c r="T1682" s="113"/>
      <c r="U1682" s="113"/>
      <c r="V1682" s="113"/>
      <c r="W1682" s="113"/>
      <c r="X1682" s="113"/>
      <c r="Y1682" s="113"/>
      <c r="Z1682" s="113"/>
      <c r="AA1682" s="113"/>
      <c r="AB1682" s="113"/>
      <c r="AC1682" s="113"/>
      <c r="AD1682" s="113" t="s">
        <v>1113</v>
      </c>
      <c r="AE1682" s="113"/>
      <c r="AF1682" s="113"/>
      <c r="AG1682" s="113"/>
      <c r="AH1682" s="113"/>
      <c r="AI1682" s="113"/>
      <c r="AJ1682" s="113"/>
      <c r="AK1682" s="319" t="s">
        <v>1113</v>
      </c>
      <c r="AL1682" s="113"/>
      <c r="AM1682" s="113"/>
      <c r="AN1682" s="113"/>
      <c r="AO1682" s="43" t="s">
        <v>2353</v>
      </c>
      <c r="AP1682" s="43"/>
      <c r="AQ1682" s="236" t="str">
        <f>VLOOKUP(Table8[[#This Row],[Instrument]],Def_Targets!$D$73:$E$159,2,FALSE)</f>
        <v>I_LPGCNGLNG</v>
      </c>
      <c r="AR1682" s="233" t="str">
        <f>VLOOKUP(Table8[[#This Row],[Country Code]],Table29[],3,FALSE)</f>
        <v>Non-Annex I</v>
      </c>
      <c r="AS1682" s="233" t="str">
        <f>VLOOKUP(Table8[[#This Row],[Country Code]],Table29[],4,FALSE)</f>
        <v>Asia</v>
      </c>
      <c r="AT1682" s="233" t="str">
        <f>VLOOKUP(Table8[[#This Row],[Country Code]],Table29[],5,FALSE)</f>
        <v>High-income</v>
      </c>
      <c r="AU1682" s="233" t="str">
        <f>VLOOKUP(Table8[[#This Row],[Country Code]],Table29[],6,FALSE)</f>
        <v>G20</v>
      </c>
      <c r="AV1682" s="233" t="str">
        <f>VLOOKUP(Table8[[#This Row],[Country Code]],Table29[],7,FALSE)</f>
        <v>no</v>
      </c>
      <c r="AW1682" s="233" t="str">
        <f>VLOOKUP(Table8[[#This Row],[Country Code]],Table29[],8,FALSE)</f>
        <v>OECD</v>
      </c>
      <c r="AX1682" s="233" t="str">
        <f>VLOOKUP(Table8[[#This Row],[Country Code]],Table29[],9,FALSE)</f>
        <v>no</v>
      </c>
      <c r="AY1682" s="233" t="str">
        <f>VLOOKUP(Table8[[#This Row],[Country Code]],Table29[],10,FALSE)</f>
        <v>no</v>
      </c>
      <c r="AZ1682" s="235">
        <f>VLOOKUP(Table8[[#This Row],[Country Code]],Table29[],23,FALSE)</f>
        <v>653.84613998739997</v>
      </c>
      <c r="BA1682" s="235">
        <f>VLOOKUP(Table8[[#This Row],[Country Code]],Table29[],24,FALSE)</f>
        <v>107.9154569951917</v>
      </c>
      <c r="BB1682" s="320"/>
      <c r="BC1682" s="320"/>
    </row>
    <row r="1683" spans="1:55" ht="30" hidden="1" x14ac:dyDescent="0.25">
      <c r="A1683" s="373">
        <v>26783</v>
      </c>
      <c r="B1683" s="233" t="str">
        <f>VLOOKUP(Table8[[#This Row],[Document ID]],Table1[],2,FALSE)</f>
        <v>MAR</v>
      </c>
      <c r="C1683" s="233" t="str">
        <f>VLOOKUP(Table8[[#This Row],[Document ID]],Table1[],3,FALSE)</f>
        <v>Morocco</v>
      </c>
      <c r="D1683" s="243" t="str">
        <f>VLOOKUP(Table8[[#This Row],[Document ID]],Table1[],5,FALSE)</f>
        <v>LTS</v>
      </c>
      <c r="E1683" s="233" t="str">
        <f>VLOOKUP(Table8[[#This Row],[Document ID]],Table1[],7,FALSE)</f>
        <v>LTS</v>
      </c>
      <c r="F1683" s="233" t="str">
        <f>VLOOKUP(Table8[[#This Row],[Document ID]],Table1[],8,FALSE)</f>
        <v>LTS 1.0</v>
      </c>
      <c r="G1683" s="233" t="str">
        <f>VLOOKUP(Table8[[#This Row],[Document ID]],Table1[],10,FALSE)</f>
        <v>Active</v>
      </c>
      <c r="H1683" s="43" t="s">
        <v>2350</v>
      </c>
      <c r="I1683" s="43" t="s">
        <v>2456</v>
      </c>
      <c r="J1683" s="44" t="s">
        <v>2457</v>
      </c>
      <c r="K1683" s="44" t="s">
        <v>3891</v>
      </c>
      <c r="L1683" s="44" t="s">
        <v>2333</v>
      </c>
      <c r="M1683" s="43">
        <v>38</v>
      </c>
      <c r="N1683" s="113"/>
      <c r="O1683" s="113"/>
      <c r="P1683" s="113"/>
      <c r="Q1683" s="113"/>
      <c r="R1683" s="113"/>
      <c r="S1683" s="113"/>
      <c r="T1683" s="113"/>
      <c r="U1683" s="113"/>
      <c r="V1683" s="113"/>
      <c r="W1683" s="113"/>
      <c r="X1683" s="113"/>
      <c r="Y1683" s="113"/>
      <c r="Z1683" s="113" t="s">
        <v>1113</v>
      </c>
      <c r="AA1683" s="113" t="s">
        <v>1113</v>
      </c>
      <c r="AB1683" s="113" t="s">
        <v>1113</v>
      </c>
      <c r="AC1683" s="113" t="s">
        <v>1113</v>
      </c>
      <c r="AD1683" s="113"/>
      <c r="AE1683" s="113"/>
      <c r="AF1683" s="113"/>
      <c r="AG1683" s="113"/>
      <c r="AH1683" s="113"/>
      <c r="AI1683" s="113"/>
      <c r="AJ1683" s="113"/>
      <c r="AK1683" s="113"/>
      <c r="AL1683" s="113"/>
      <c r="AM1683" s="113"/>
      <c r="AN1683" s="113" t="s">
        <v>1113</v>
      </c>
      <c r="AO1683" s="44" t="s">
        <v>2334</v>
      </c>
      <c r="AP1683" s="43"/>
      <c r="AQ1683" s="236" t="str">
        <f>VLOOKUP(Table8[[#This Row],[Instrument]],Def_Targets!$D$73:$E$159,2,FALSE)</f>
        <v>S_Infraimprove</v>
      </c>
      <c r="AR1683" s="233" t="str">
        <f>VLOOKUP(Table8[[#This Row],[Country Code]],Table29[],3,FALSE)</f>
        <v>Non-Annex I</v>
      </c>
      <c r="AS1683" s="233" t="str">
        <f>VLOOKUP(Table8[[#This Row],[Country Code]],Table29[],4,FALSE)</f>
        <v>Africa</v>
      </c>
      <c r="AT1683" s="233" t="str">
        <f>VLOOKUP(Table8[[#This Row],[Country Code]],Table29[],5,FALSE)</f>
        <v>Middle-income</v>
      </c>
      <c r="AU1683" s="233" t="str">
        <f>VLOOKUP(Table8[[#This Row],[Country Code]],Table29[],6,FALSE)</f>
        <v>no</v>
      </c>
      <c r="AV1683" s="233" t="str">
        <f>VLOOKUP(Table8[[#This Row],[Country Code]],Table29[],7,FALSE)</f>
        <v>no</v>
      </c>
      <c r="AW1683" s="233" t="str">
        <f>VLOOKUP(Table8[[#This Row],[Country Code]],Table29[],8,FALSE)</f>
        <v>non-OECD</v>
      </c>
      <c r="AX1683" s="233" t="str">
        <f>VLOOKUP(Table8[[#This Row],[Country Code]],Table29[],9,FALSE)</f>
        <v>no</v>
      </c>
      <c r="AY1683" s="233" t="str">
        <f>VLOOKUP(Table8[[#This Row],[Country Code]],Table29[],10,FALSE)</f>
        <v>MENA</v>
      </c>
      <c r="AZ1683" s="235">
        <f>VLOOKUP(Table8[[#This Row],[Country Code]],Table29[],23,FALSE)</f>
        <v>106.60223103187001</v>
      </c>
      <c r="BA1683" s="235">
        <f>VLOOKUP(Table8[[#This Row],[Country Code]],Table29[],24,FALSE)</f>
        <v>17.689478774478111</v>
      </c>
      <c r="BB1683" s="320"/>
      <c r="BC1683" s="320"/>
    </row>
    <row r="1684" spans="1:55" ht="30" hidden="1" x14ac:dyDescent="0.25">
      <c r="A1684" s="373">
        <v>26783</v>
      </c>
      <c r="B1684" s="233" t="str">
        <f>VLOOKUP(Table8[[#This Row],[Document ID]],Table1[],2,FALSE)</f>
        <v>MAR</v>
      </c>
      <c r="C1684" s="233" t="str">
        <f>VLOOKUP(Table8[[#This Row],[Document ID]],Table1[],3,FALSE)</f>
        <v>Morocco</v>
      </c>
      <c r="D1684" s="243" t="str">
        <f>VLOOKUP(Table8[[#This Row],[Document ID]],Table1[],5,FALSE)</f>
        <v>LTS</v>
      </c>
      <c r="E1684" s="233" t="str">
        <f>VLOOKUP(Table8[[#This Row],[Document ID]],Table1[],7,FALSE)</f>
        <v>LTS</v>
      </c>
      <c r="F1684" s="233" t="str">
        <f>VLOOKUP(Table8[[#This Row],[Document ID]],Table1[],8,FALSE)</f>
        <v>LTS 1.0</v>
      </c>
      <c r="G1684" s="233" t="str">
        <f>VLOOKUP(Table8[[#This Row],[Document ID]],Table1[],10,FALSE)</f>
        <v>Active</v>
      </c>
      <c r="H1684" s="43" t="s">
        <v>2350</v>
      </c>
      <c r="I1684" s="43" t="s">
        <v>2351</v>
      </c>
      <c r="J1684" s="44" t="s">
        <v>2352</v>
      </c>
      <c r="K1684" s="44" t="s">
        <v>3891</v>
      </c>
      <c r="L1684" s="44" t="s">
        <v>2333</v>
      </c>
      <c r="M1684" s="43">
        <v>38</v>
      </c>
      <c r="N1684" s="113"/>
      <c r="O1684" s="113"/>
      <c r="P1684" s="113"/>
      <c r="Q1684" s="113"/>
      <c r="R1684" s="113"/>
      <c r="S1684" s="113"/>
      <c r="T1684" s="113"/>
      <c r="U1684" s="113"/>
      <c r="V1684" s="113"/>
      <c r="W1684" s="113"/>
      <c r="X1684" s="113"/>
      <c r="Y1684" s="113"/>
      <c r="Z1684" s="113" t="s">
        <v>1113</v>
      </c>
      <c r="AA1684" s="113"/>
      <c r="AB1684" s="113"/>
      <c r="AC1684" s="113"/>
      <c r="AD1684" s="113"/>
      <c r="AE1684" s="113"/>
      <c r="AF1684" s="113"/>
      <c r="AG1684" s="113"/>
      <c r="AH1684" s="113"/>
      <c r="AI1684" s="113"/>
      <c r="AJ1684" s="113"/>
      <c r="AK1684" s="113"/>
      <c r="AL1684" s="113"/>
      <c r="AM1684" s="113"/>
      <c r="AN1684" s="113" t="s">
        <v>1113</v>
      </c>
      <c r="AO1684" s="43" t="s">
        <v>2353</v>
      </c>
      <c r="AP1684" s="43"/>
      <c r="AQ1684" s="236" t="str">
        <f>VLOOKUP(Table8[[#This Row],[Instrument]],Def_Targets!$D$73:$E$159,2,FALSE)</f>
        <v>S_Railfreight</v>
      </c>
      <c r="AR1684" s="233" t="str">
        <f>VLOOKUP(Table8[[#This Row],[Country Code]],Table29[],3,FALSE)</f>
        <v>Non-Annex I</v>
      </c>
      <c r="AS1684" s="233" t="str">
        <f>VLOOKUP(Table8[[#This Row],[Country Code]],Table29[],4,FALSE)</f>
        <v>Africa</v>
      </c>
      <c r="AT1684" s="233" t="str">
        <f>VLOOKUP(Table8[[#This Row],[Country Code]],Table29[],5,FALSE)</f>
        <v>Middle-income</v>
      </c>
      <c r="AU1684" s="233" t="str">
        <f>VLOOKUP(Table8[[#This Row],[Country Code]],Table29[],6,FALSE)</f>
        <v>no</v>
      </c>
      <c r="AV1684" s="233" t="str">
        <f>VLOOKUP(Table8[[#This Row],[Country Code]],Table29[],7,FALSE)</f>
        <v>no</v>
      </c>
      <c r="AW1684" s="233" t="str">
        <f>VLOOKUP(Table8[[#This Row],[Country Code]],Table29[],8,FALSE)</f>
        <v>non-OECD</v>
      </c>
      <c r="AX1684" s="233" t="str">
        <f>VLOOKUP(Table8[[#This Row],[Country Code]],Table29[],9,FALSE)</f>
        <v>no</v>
      </c>
      <c r="AY1684" s="233" t="str">
        <f>VLOOKUP(Table8[[#This Row],[Country Code]],Table29[],10,FALSE)</f>
        <v>MENA</v>
      </c>
      <c r="AZ1684" s="235">
        <f>VLOOKUP(Table8[[#This Row],[Country Code]],Table29[],23,FALSE)</f>
        <v>106.60223103187001</v>
      </c>
      <c r="BA1684" s="235">
        <f>VLOOKUP(Table8[[#This Row],[Country Code]],Table29[],24,FALSE)</f>
        <v>17.689478774478111</v>
      </c>
      <c r="BB1684" s="320"/>
      <c r="BC1684" s="320"/>
    </row>
    <row r="1685" spans="1:55" ht="30" hidden="1" x14ac:dyDescent="0.25">
      <c r="A1685" s="373">
        <v>26783</v>
      </c>
      <c r="B1685" s="233" t="str">
        <f>VLOOKUP(Table8[[#This Row],[Document ID]],Table1[],2,FALSE)</f>
        <v>MAR</v>
      </c>
      <c r="C1685" s="233" t="str">
        <f>VLOOKUP(Table8[[#This Row],[Document ID]],Table1[],3,FALSE)</f>
        <v>Morocco</v>
      </c>
      <c r="D1685" s="243" t="str">
        <f>VLOOKUP(Table8[[#This Row],[Document ID]],Table1[],5,FALSE)</f>
        <v>LTS</v>
      </c>
      <c r="E1685" s="233" t="str">
        <f>VLOOKUP(Table8[[#This Row],[Document ID]],Table1[],7,FALSE)</f>
        <v>LTS</v>
      </c>
      <c r="F1685" s="233" t="str">
        <f>VLOOKUP(Table8[[#This Row],[Document ID]],Table1[],8,FALSE)</f>
        <v>LTS 1.0</v>
      </c>
      <c r="G1685" s="233" t="str">
        <f>VLOOKUP(Table8[[#This Row],[Document ID]],Table1[],10,FALSE)</f>
        <v>Active</v>
      </c>
      <c r="H1685" s="43" t="s">
        <v>2358</v>
      </c>
      <c r="I1685" s="43" t="s">
        <v>2359</v>
      </c>
      <c r="J1685" s="44" t="s">
        <v>2360</v>
      </c>
      <c r="K1685" s="44" t="s">
        <v>3892</v>
      </c>
      <c r="L1685" s="44" t="s">
        <v>2333</v>
      </c>
      <c r="M1685" s="43">
        <v>38</v>
      </c>
      <c r="N1685" s="113"/>
      <c r="O1685" s="113"/>
      <c r="P1685" s="113"/>
      <c r="Q1685" s="113"/>
      <c r="R1685" s="113"/>
      <c r="S1685" s="113"/>
      <c r="T1685" s="113"/>
      <c r="U1685" s="113" t="s">
        <v>1113</v>
      </c>
      <c r="V1685" s="113" t="s">
        <v>1113</v>
      </c>
      <c r="W1685" s="113" t="s">
        <v>1113</v>
      </c>
      <c r="X1685" s="113"/>
      <c r="Y1685" s="113" t="s">
        <v>1113</v>
      </c>
      <c r="Z1685" s="113"/>
      <c r="AA1685" s="113"/>
      <c r="AB1685" s="113"/>
      <c r="AC1685" s="113"/>
      <c r="AD1685" s="113"/>
      <c r="AE1685" s="113"/>
      <c r="AF1685" s="113"/>
      <c r="AG1685" s="113"/>
      <c r="AH1685" s="113"/>
      <c r="AI1685" s="113"/>
      <c r="AJ1685" s="113"/>
      <c r="AK1685" s="113" t="s">
        <v>1113</v>
      </c>
      <c r="AL1685" s="113"/>
      <c r="AM1685" s="113"/>
      <c r="AN1685" s="113"/>
      <c r="AO1685" s="44" t="s">
        <v>2334</v>
      </c>
      <c r="AP1685" s="43"/>
      <c r="AQ1685" s="236" t="str">
        <f>VLOOKUP(Table8[[#This Row],[Instrument]],Def_Targets!$D$73:$E$159,2,FALSE)</f>
        <v>I_Emobility</v>
      </c>
      <c r="AR1685" s="233" t="str">
        <f>VLOOKUP(Table8[[#This Row],[Country Code]],Table29[],3,FALSE)</f>
        <v>Non-Annex I</v>
      </c>
      <c r="AS1685" s="233" t="str">
        <f>VLOOKUP(Table8[[#This Row],[Country Code]],Table29[],4,FALSE)</f>
        <v>Africa</v>
      </c>
      <c r="AT1685" s="233" t="str">
        <f>VLOOKUP(Table8[[#This Row],[Country Code]],Table29[],5,FALSE)</f>
        <v>Middle-income</v>
      </c>
      <c r="AU1685" s="233" t="str">
        <f>VLOOKUP(Table8[[#This Row],[Country Code]],Table29[],6,FALSE)</f>
        <v>no</v>
      </c>
      <c r="AV1685" s="233" t="str">
        <f>VLOOKUP(Table8[[#This Row],[Country Code]],Table29[],7,FALSE)</f>
        <v>no</v>
      </c>
      <c r="AW1685" s="233" t="str">
        <f>VLOOKUP(Table8[[#This Row],[Country Code]],Table29[],8,FALSE)</f>
        <v>non-OECD</v>
      </c>
      <c r="AX1685" s="233" t="str">
        <f>VLOOKUP(Table8[[#This Row],[Country Code]],Table29[],9,FALSE)</f>
        <v>no</v>
      </c>
      <c r="AY1685" s="233" t="str">
        <f>VLOOKUP(Table8[[#This Row],[Country Code]],Table29[],10,FALSE)</f>
        <v>MENA</v>
      </c>
      <c r="AZ1685" s="235">
        <f>VLOOKUP(Table8[[#This Row],[Country Code]],Table29[],23,FALSE)</f>
        <v>106.60223103187001</v>
      </c>
      <c r="BA1685" s="235">
        <f>VLOOKUP(Table8[[#This Row],[Country Code]],Table29[],24,FALSE)</f>
        <v>17.689478774478111</v>
      </c>
      <c r="BB1685" s="320"/>
      <c r="BC1685" s="320"/>
    </row>
    <row r="1686" spans="1:55" ht="60" hidden="1" x14ac:dyDescent="0.25">
      <c r="A1686" s="373">
        <v>26783</v>
      </c>
      <c r="B1686" s="233" t="str">
        <f>VLOOKUP(Table8[[#This Row],[Document ID]],Table1[],2,FALSE)</f>
        <v>MAR</v>
      </c>
      <c r="C1686" s="233" t="str">
        <f>VLOOKUP(Table8[[#This Row],[Document ID]],Table1[],3,FALSE)</f>
        <v>Morocco</v>
      </c>
      <c r="D1686" s="243" t="str">
        <f>VLOOKUP(Table8[[#This Row],[Document ID]],Table1[],5,FALSE)</f>
        <v>LTS</v>
      </c>
      <c r="E1686" s="233" t="str">
        <f>VLOOKUP(Table8[[#This Row],[Document ID]],Table1[],7,FALSE)</f>
        <v>LTS</v>
      </c>
      <c r="F1686" s="233" t="str">
        <f>VLOOKUP(Table8[[#This Row],[Document ID]],Table1[],8,FALSE)</f>
        <v>LTS 1.0</v>
      </c>
      <c r="G1686" s="233" t="str">
        <f>VLOOKUP(Table8[[#This Row],[Document ID]],Table1[],10,FALSE)</f>
        <v>Active</v>
      </c>
      <c r="H1686" s="44" t="s">
        <v>2329</v>
      </c>
      <c r="I1686" s="44" t="s">
        <v>2330</v>
      </c>
      <c r="J1686" s="44" t="s">
        <v>2391</v>
      </c>
      <c r="K1686" s="44" t="s">
        <v>3893</v>
      </c>
      <c r="L1686" s="44" t="s">
        <v>2333</v>
      </c>
      <c r="M1686" s="43" t="s">
        <v>3894</v>
      </c>
      <c r="N1686" s="113" t="s">
        <v>1113</v>
      </c>
      <c r="O1686" s="113"/>
      <c r="P1686" s="113"/>
      <c r="Q1686" s="113"/>
      <c r="R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t="s">
        <v>1113</v>
      </c>
      <c r="AL1686" s="113"/>
      <c r="AM1686" s="113"/>
      <c r="AN1686" s="113"/>
      <c r="AO1686" s="44" t="s">
        <v>2334</v>
      </c>
      <c r="AP1686" s="43"/>
      <c r="AQ1686" s="236" t="str">
        <f>VLOOKUP(Table8[[#This Row],[Instrument]],Def_Targets!$D$73:$E$159,2,FALSE)</f>
        <v>I_Hydrogen</v>
      </c>
      <c r="AR1686" s="233" t="str">
        <f>VLOOKUP(Table8[[#This Row],[Country Code]],Table29[],3,FALSE)</f>
        <v>Non-Annex I</v>
      </c>
      <c r="AS1686" s="233" t="str">
        <f>VLOOKUP(Table8[[#This Row],[Country Code]],Table29[],4,FALSE)</f>
        <v>Africa</v>
      </c>
      <c r="AT1686" s="233" t="str">
        <f>VLOOKUP(Table8[[#This Row],[Country Code]],Table29[],5,FALSE)</f>
        <v>Middle-income</v>
      </c>
      <c r="AU1686" s="233" t="str">
        <f>VLOOKUP(Table8[[#This Row],[Country Code]],Table29[],6,FALSE)</f>
        <v>no</v>
      </c>
      <c r="AV1686" s="233" t="str">
        <f>VLOOKUP(Table8[[#This Row],[Country Code]],Table29[],7,FALSE)</f>
        <v>no</v>
      </c>
      <c r="AW1686" s="233" t="str">
        <f>VLOOKUP(Table8[[#This Row],[Country Code]],Table29[],8,FALSE)</f>
        <v>non-OECD</v>
      </c>
      <c r="AX1686" s="233" t="str">
        <f>VLOOKUP(Table8[[#This Row],[Country Code]],Table29[],9,FALSE)</f>
        <v>no</v>
      </c>
      <c r="AY1686" s="233" t="str">
        <f>VLOOKUP(Table8[[#This Row],[Country Code]],Table29[],10,FALSE)</f>
        <v>MENA</v>
      </c>
      <c r="AZ1686" s="235">
        <f>VLOOKUP(Table8[[#This Row],[Country Code]],Table29[],23,FALSE)</f>
        <v>106.60223103187001</v>
      </c>
      <c r="BA1686" s="235">
        <f>VLOOKUP(Table8[[#This Row],[Country Code]],Table29[],24,FALSE)</f>
        <v>17.689478774478111</v>
      </c>
      <c r="BB1686" s="320"/>
      <c r="BC1686" s="320"/>
    </row>
    <row r="1687" spans="1:55" ht="45" hidden="1" x14ac:dyDescent="0.25">
      <c r="A1687" s="373">
        <v>26783</v>
      </c>
      <c r="B1687" s="233" t="str">
        <f>VLOOKUP(Table8[[#This Row],[Document ID]],Table1[],2,FALSE)</f>
        <v>MAR</v>
      </c>
      <c r="C1687" s="233" t="str">
        <f>VLOOKUP(Table8[[#This Row],[Document ID]],Table1[],3,FALSE)</f>
        <v>Morocco</v>
      </c>
      <c r="D1687" s="243" t="str">
        <f>VLOOKUP(Table8[[#This Row],[Document ID]],Table1[],5,FALSE)</f>
        <v>LTS</v>
      </c>
      <c r="E1687" s="233" t="str">
        <f>VLOOKUP(Table8[[#This Row],[Document ID]],Table1[],7,FALSE)</f>
        <v>LTS</v>
      </c>
      <c r="F1687" s="233" t="str">
        <f>VLOOKUP(Table8[[#This Row],[Document ID]],Table1[],8,FALSE)</f>
        <v>LTS 1.0</v>
      </c>
      <c r="G1687" s="233" t="str">
        <f>VLOOKUP(Table8[[#This Row],[Document ID]],Table1[],10,FALSE)</f>
        <v>Active</v>
      </c>
      <c r="H1687" s="43" t="s">
        <v>2350</v>
      </c>
      <c r="I1687" s="43" t="s">
        <v>2456</v>
      </c>
      <c r="J1687" s="44" t="s">
        <v>2643</v>
      </c>
      <c r="K1687" s="44" t="s">
        <v>3895</v>
      </c>
      <c r="L1687" s="44" t="s">
        <v>2333</v>
      </c>
      <c r="M1687" s="43">
        <v>55</v>
      </c>
      <c r="N1687" s="113" t="s">
        <v>1113</v>
      </c>
      <c r="O1687" s="113"/>
      <c r="P1687" s="113"/>
      <c r="Q1687" s="113"/>
      <c r="R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t="s">
        <v>1113</v>
      </c>
      <c r="AL1687" s="113"/>
      <c r="AM1687" s="113"/>
      <c r="AN1687" s="113"/>
      <c r="AO1687" s="44" t="s">
        <v>2334</v>
      </c>
      <c r="AP1687" s="43"/>
      <c r="AQ1687" s="236" t="str">
        <f>VLOOKUP(Table8[[#This Row],[Instrument]],Def_Targets!$D$73:$E$159,2,FALSE)</f>
        <v>S_Intermodality</v>
      </c>
      <c r="AR1687" s="233" t="str">
        <f>VLOOKUP(Table8[[#This Row],[Country Code]],Table29[],3,FALSE)</f>
        <v>Non-Annex I</v>
      </c>
      <c r="AS1687" s="233" t="str">
        <f>VLOOKUP(Table8[[#This Row],[Country Code]],Table29[],4,FALSE)</f>
        <v>Africa</v>
      </c>
      <c r="AT1687" s="233" t="str">
        <f>VLOOKUP(Table8[[#This Row],[Country Code]],Table29[],5,FALSE)</f>
        <v>Middle-income</v>
      </c>
      <c r="AU1687" s="233" t="str">
        <f>VLOOKUP(Table8[[#This Row],[Country Code]],Table29[],6,FALSE)</f>
        <v>no</v>
      </c>
      <c r="AV1687" s="233" t="str">
        <f>VLOOKUP(Table8[[#This Row],[Country Code]],Table29[],7,FALSE)</f>
        <v>no</v>
      </c>
      <c r="AW1687" s="233" t="str">
        <f>VLOOKUP(Table8[[#This Row],[Country Code]],Table29[],8,FALSE)</f>
        <v>non-OECD</v>
      </c>
      <c r="AX1687" s="233" t="str">
        <f>VLOOKUP(Table8[[#This Row],[Country Code]],Table29[],9,FALSE)</f>
        <v>no</v>
      </c>
      <c r="AY1687" s="233" t="str">
        <f>VLOOKUP(Table8[[#This Row],[Country Code]],Table29[],10,FALSE)</f>
        <v>MENA</v>
      </c>
      <c r="AZ1687" s="235">
        <f>VLOOKUP(Table8[[#This Row],[Country Code]],Table29[],23,FALSE)</f>
        <v>106.60223103187001</v>
      </c>
      <c r="BA1687" s="235">
        <f>VLOOKUP(Table8[[#This Row],[Country Code]],Table29[],24,FALSE)</f>
        <v>17.689478774478111</v>
      </c>
      <c r="BB1687" s="320"/>
      <c r="BC1687" s="320"/>
    </row>
    <row r="1688" spans="1:55" ht="30" hidden="1" x14ac:dyDescent="0.25">
      <c r="A1688" s="373">
        <v>26783</v>
      </c>
      <c r="B1688" s="233" t="str">
        <f>VLOOKUP(Table8[[#This Row],[Document ID]],Table1[],2,FALSE)</f>
        <v>MAR</v>
      </c>
      <c r="C1688" s="233" t="str">
        <f>VLOOKUP(Table8[[#This Row],[Document ID]],Table1[],3,FALSE)</f>
        <v>Morocco</v>
      </c>
      <c r="D1688" s="243" t="str">
        <f>VLOOKUP(Table8[[#This Row],[Document ID]],Table1[],5,FALSE)</f>
        <v>LTS</v>
      </c>
      <c r="E1688" s="233" t="str">
        <f>VLOOKUP(Table8[[#This Row],[Document ID]],Table1[],7,FALSE)</f>
        <v>LTS</v>
      </c>
      <c r="F1688" s="233" t="str">
        <f>VLOOKUP(Table8[[#This Row],[Document ID]],Table1[],8,FALSE)</f>
        <v>LTS 1.0</v>
      </c>
      <c r="G1688" s="233" t="str">
        <f>VLOOKUP(Table8[[#This Row],[Document ID]],Table1[],10,FALSE)</f>
        <v>Active</v>
      </c>
      <c r="H1688" s="43" t="s">
        <v>2358</v>
      </c>
      <c r="I1688" s="43" t="s">
        <v>2359</v>
      </c>
      <c r="J1688" s="44" t="s">
        <v>2360</v>
      </c>
      <c r="K1688" s="44" t="s">
        <v>3896</v>
      </c>
      <c r="L1688" s="44" t="s">
        <v>2333</v>
      </c>
      <c r="M1688" s="43">
        <v>55</v>
      </c>
      <c r="N1688" s="113" t="s">
        <v>1113</v>
      </c>
      <c r="O1688" s="113"/>
      <c r="P1688" s="113"/>
      <c r="Q1688" s="113"/>
      <c r="R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t="s">
        <v>1113</v>
      </c>
      <c r="AL1688" s="113"/>
      <c r="AM1688" s="113"/>
      <c r="AN1688" s="113"/>
      <c r="AO1688" s="44" t="s">
        <v>2334</v>
      </c>
      <c r="AP1688" s="43"/>
      <c r="AQ1688" s="236" t="str">
        <f>VLOOKUP(Table8[[#This Row],[Instrument]],Def_Targets!$D$73:$E$159,2,FALSE)</f>
        <v>I_Emobility</v>
      </c>
      <c r="AR1688" s="233" t="str">
        <f>VLOOKUP(Table8[[#This Row],[Country Code]],Table29[],3,FALSE)</f>
        <v>Non-Annex I</v>
      </c>
      <c r="AS1688" s="233" t="str">
        <f>VLOOKUP(Table8[[#This Row],[Country Code]],Table29[],4,FALSE)</f>
        <v>Africa</v>
      </c>
      <c r="AT1688" s="233" t="str">
        <f>VLOOKUP(Table8[[#This Row],[Country Code]],Table29[],5,FALSE)</f>
        <v>Middle-income</v>
      </c>
      <c r="AU1688" s="233" t="str">
        <f>VLOOKUP(Table8[[#This Row],[Country Code]],Table29[],6,FALSE)</f>
        <v>no</v>
      </c>
      <c r="AV1688" s="233" t="str">
        <f>VLOOKUP(Table8[[#This Row],[Country Code]],Table29[],7,FALSE)</f>
        <v>no</v>
      </c>
      <c r="AW1688" s="233" t="str">
        <f>VLOOKUP(Table8[[#This Row],[Country Code]],Table29[],8,FALSE)</f>
        <v>non-OECD</v>
      </c>
      <c r="AX1688" s="233" t="str">
        <f>VLOOKUP(Table8[[#This Row],[Country Code]],Table29[],9,FALSE)</f>
        <v>no</v>
      </c>
      <c r="AY1688" s="233" t="str">
        <f>VLOOKUP(Table8[[#This Row],[Country Code]],Table29[],10,FALSE)</f>
        <v>MENA</v>
      </c>
      <c r="AZ1688" s="235">
        <f>VLOOKUP(Table8[[#This Row],[Country Code]],Table29[],23,FALSE)</f>
        <v>106.60223103187001</v>
      </c>
      <c r="BA1688" s="235">
        <f>VLOOKUP(Table8[[#This Row],[Country Code]],Table29[],24,FALSE)</f>
        <v>17.689478774478111</v>
      </c>
      <c r="BB1688" s="320"/>
      <c r="BC1688" s="320"/>
    </row>
    <row r="1689" spans="1:55" ht="45" hidden="1" x14ac:dyDescent="0.25">
      <c r="A1689" s="373">
        <v>26783</v>
      </c>
      <c r="B1689" s="233" t="str">
        <f>VLOOKUP(Table8[[#This Row],[Document ID]],Table1[],2,FALSE)</f>
        <v>MAR</v>
      </c>
      <c r="C1689" s="233" t="str">
        <f>VLOOKUP(Table8[[#This Row],[Document ID]],Table1[],3,FALSE)</f>
        <v>Morocco</v>
      </c>
      <c r="D1689" s="243" t="str">
        <f>VLOOKUP(Table8[[#This Row],[Document ID]],Table1[],5,FALSE)</f>
        <v>LTS</v>
      </c>
      <c r="E1689" s="233" t="str">
        <f>VLOOKUP(Table8[[#This Row],[Document ID]],Table1[],7,FALSE)</f>
        <v>LTS</v>
      </c>
      <c r="F1689" s="233" t="str">
        <f>VLOOKUP(Table8[[#This Row],[Document ID]],Table1[],8,FALSE)</f>
        <v>LTS 1.0</v>
      </c>
      <c r="G1689" s="233" t="str">
        <f>VLOOKUP(Table8[[#This Row],[Document ID]],Table1[],10,FALSE)</f>
        <v>Active</v>
      </c>
      <c r="H1689" s="43" t="s">
        <v>2343</v>
      </c>
      <c r="I1689" s="43" t="s">
        <v>2386</v>
      </c>
      <c r="J1689" s="44" t="s">
        <v>2412</v>
      </c>
      <c r="K1689" s="44" t="s">
        <v>3897</v>
      </c>
      <c r="L1689" s="44" t="s">
        <v>2373</v>
      </c>
      <c r="M1689" s="43">
        <v>55</v>
      </c>
      <c r="N1689" s="113" t="s">
        <v>1113</v>
      </c>
      <c r="O1689" s="113"/>
      <c r="P1689" s="113"/>
      <c r="Q1689" s="113"/>
      <c r="R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t="s">
        <v>1113</v>
      </c>
      <c r="AL1689" s="113"/>
      <c r="AM1689" s="113"/>
      <c r="AN1689" s="113"/>
      <c r="AO1689" s="44" t="s">
        <v>2334</v>
      </c>
      <c r="AP1689" s="43"/>
      <c r="AQ1689" s="236" t="str">
        <f>VLOOKUP(Table8[[#This Row],[Instrument]],Def_Targets!$D$73:$E$159,2,FALSE)</f>
        <v>A_Economic</v>
      </c>
      <c r="AR1689" s="233" t="str">
        <f>VLOOKUP(Table8[[#This Row],[Country Code]],Table29[],3,FALSE)</f>
        <v>Non-Annex I</v>
      </c>
      <c r="AS1689" s="233" t="str">
        <f>VLOOKUP(Table8[[#This Row],[Country Code]],Table29[],4,FALSE)</f>
        <v>Africa</v>
      </c>
      <c r="AT1689" s="233" t="str">
        <f>VLOOKUP(Table8[[#This Row],[Country Code]],Table29[],5,FALSE)</f>
        <v>Middle-income</v>
      </c>
      <c r="AU1689" s="233" t="str">
        <f>VLOOKUP(Table8[[#This Row],[Country Code]],Table29[],6,FALSE)</f>
        <v>no</v>
      </c>
      <c r="AV1689" s="233" t="str">
        <f>VLOOKUP(Table8[[#This Row],[Country Code]],Table29[],7,FALSE)</f>
        <v>no</v>
      </c>
      <c r="AW1689" s="233" t="str">
        <f>VLOOKUP(Table8[[#This Row],[Country Code]],Table29[],8,FALSE)</f>
        <v>non-OECD</v>
      </c>
      <c r="AX1689" s="233" t="str">
        <f>VLOOKUP(Table8[[#This Row],[Country Code]],Table29[],9,FALSE)</f>
        <v>no</v>
      </c>
      <c r="AY1689" s="233" t="str">
        <f>VLOOKUP(Table8[[#This Row],[Country Code]],Table29[],10,FALSE)</f>
        <v>MENA</v>
      </c>
      <c r="AZ1689" s="235">
        <f>VLOOKUP(Table8[[#This Row],[Country Code]],Table29[],23,FALSE)</f>
        <v>106.60223103187001</v>
      </c>
      <c r="BA1689" s="235">
        <f>VLOOKUP(Table8[[#This Row],[Country Code]],Table29[],24,FALSE)</f>
        <v>17.689478774478111</v>
      </c>
      <c r="BB1689" s="320"/>
      <c r="BC1689" s="320"/>
    </row>
    <row r="1690" spans="1:55" ht="30" hidden="1" x14ac:dyDescent="0.25">
      <c r="A1690" s="373">
        <v>26785</v>
      </c>
      <c r="B1690" s="233" t="str">
        <f>VLOOKUP(Table8[[#This Row],[Document ID]],Table1[],2,FALSE)</f>
        <v>NPL</v>
      </c>
      <c r="C1690" s="233" t="str">
        <f>VLOOKUP(Table8[[#This Row],[Document ID]],Table1[],3,FALSE)</f>
        <v>Nepal</v>
      </c>
      <c r="D1690" s="243" t="str">
        <f>VLOOKUP(Table8[[#This Row],[Document ID]],Table1[],5,FALSE)</f>
        <v>LTS</v>
      </c>
      <c r="E1690" s="233" t="str">
        <f>VLOOKUP(Table8[[#This Row],[Document ID]],Table1[],7,FALSE)</f>
        <v>LTS</v>
      </c>
      <c r="F1690" s="233" t="str">
        <f>VLOOKUP(Table8[[#This Row],[Document ID]],Table1[],8,FALSE)</f>
        <v>LTS 1.0</v>
      </c>
      <c r="G1690" s="233" t="str">
        <f>VLOOKUP(Table8[[#This Row],[Document ID]],Table1[],10,FALSE)</f>
        <v>Active</v>
      </c>
      <c r="H1690" s="43" t="s">
        <v>2343</v>
      </c>
      <c r="I1690" s="43" t="s">
        <v>2344</v>
      </c>
      <c r="J1690" s="44" t="s">
        <v>2345</v>
      </c>
      <c r="K1690" s="44" t="s">
        <v>3898</v>
      </c>
      <c r="L1690" s="44" t="s">
        <v>2471</v>
      </c>
      <c r="M1690" s="43">
        <v>17</v>
      </c>
      <c r="N1690" s="113" t="s">
        <v>1113</v>
      </c>
      <c r="O1690" s="113"/>
      <c r="P1690" s="113"/>
      <c r="Q1690" s="113"/>
      <c r="R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t="s">
        <v>1113</v>
      </c>
      <c r="AL1690" s="113"/>
      <c r="AM1690" s="113"/>
      <c r="AN1690" s="113"/>
      <c r="AO1690" s="43" t="s">
        <v>2348</v>
      </c>
      <c r="AP1690" s="43"/>
      <c r="AQ1690" s="236" t="str">
        <f>VLOOKUP(Table8[[#This Row],[Instrument]],Def_Targets!$D$73:$E$159,2,FALSE)</f>
        <v>S_PublicTransport</v>
      </c>
      <c r="AR1690" s="233" t="str">
        <f>VLOOKUP(Table8[[#This Row],[Country Code]],Table29[],3,FALSE)</f>
        <v>Non-Annex I</v>
      </c>
      <c r="AS1690" s="233" t="str">
        <f>VLOOKUP(Table8[[#This Row],[Country Code]],Table29[],4,FALSE)</f>
        <v>Asia</v>
      </c>
      <c r="AT1690" s="233" t="str">
        <f>VLOOKUP(Table8[[#This Row],[Country Code]],Table29[],5,FALSE)</f>
        <v>Middle-income</v>
      </c>
      <c r="AU1690" s="233" t="str">
        <f>VLOOKUP(Table8[[#This Row],[Country Code]],Table29[],6,FALSE)</f>
        <v>no</v>
      </c>
      <c r="AV1690" s="233" t="str">
        <f>VLOOKUP(Table8[[#This Row],[Country Code]],Table29[],7,FALSE)</f>
        <v>no</v>
      </c>
      <c r="AW1690" s="233" t="str">
        <f>VLOOKUP(Table8[[#This Row],[Country Code]],Table29[],8,FALSE)</f>
        <v>non-OECD</v>
      </c>
      <c r="AX1690" s="233" t="str">
        <f>VLOOKUP(Table8[[#This Row],[Country Code]],Table29[],9,FALSE)</f>
        <v>no</v>
      </c>
      <c r="AY1690" s="233" t="str">
        <f>VLOOKUP(Table8[[#This Row],[Country Code]],Table29[],10,FALSE)</f>
        <v>no</v>
      </c>
      <c r="AZ1690" s="235">
        <f>VLOOKUP(Table8[[#This Row],[Country Code]],Table29[],23,FALSE)</f>
        <v>56.830982733611002</v>
      </c>
      <c r="BA1690" s="235">
        <f>VLOOKUP(Table8[[#This Row],[Country Code]],Table29[],24,FALSE)</f>
        <v>4.8627503945089332</v>
      </c>
      <c r="BB1690" s="320"/>
      <c r="BC1690" s="320"/>
    </row>
    <row r="1691" spans="1:55" hidden="1" x14ac:dyDescent="0.25">
      <c r="A1691" s="373">
        <v>26785</v>
      </c>
      <c r="B1691" s="233" t="str">
        <f>VLOOKUP(Table8[[#This Row],[Document ID]],Table1[],2,FALSE)</f>
        <v>NPL</v>
      </c>
      <c r="C1691" s="233" t="str">
        <f>VLOOKUP(Table8[[#This Row],[Document ID]],Table1[],3,FALSE)</f>
        <v>Nepal</v>
      </c>
      <c r="D1691" s="243" t="str">
        <f>VLOOKUP(Table8[[#This Row],[Document ID]],Table1[],5,FALSE)</f>
        <v>LTS</v>
      </c>
      <c r="E1691" s="233" t="str">
        <f>VLOOKUP(Table8[[#This Row],[Document ID]],Table1[],7,FALSE)</f>
        <v>LTS</v>
      </c>
      <c r="F1691" s="233" t="str">
        <f>VLOOKUP(Table8[[#This Row],[Document ID]],Table1[],8,FALSE)</f>
        <v>LTS 1.0</v>
      </c>
      <c r="G1691" s="233" t="str">
        <f>VLOOKUP(Table8[[#This Row],[Document ID]],Table1[],10,FALSE)</f>
        <v>Active</v>
      </c>
      <c r="H1691" s="43" t="s">
        <v>2358</v>
      </c>
      <c r="I1691" s="43" t="s">
        <v>2359</v>
      </c>
      <c r="J1691" s="44" t="s">
        <v>2360</v>
      </c>
      <c r="K1691" s="44" t="s">
        <v>3899</v>
      </c>
      <c r="L1691" s="44" t="s">
        <v>2333</v>
      </c>
      <c r="M1691" s="43">
        <v>17</v>
      </c>
      <c r="N1691" s="113" t="s">
        <v>1113</v>
      </c>
      <c r="O1691" s="113"/>
      <c r="P1691" s="113"/>
      <c r="Q1691" s="113"/>
      <c r="R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t="s">
        <v>1113</v>
      </c>
      <c r="AL1691" s="113"/>
      <c r="AM1691" s="113"/>
      <c r="AN1691" s="113"/>
      <c r="AO1691" s="44" t="s">
        <v>2334</v>
      </c>
      <c r="AP1691" s="43"/>
      <c r="AQ1691" s="236" t="str">
        <f>VLOOKUP(Table8[[#This Row],[Instrument]],Def_Targets!$D$73:$E$159,2,FALSE)</f>
        <v>I_Emobility</v>
      </c>
      <c r="AR1691" s="233" t="str">
        <f>VLOOKUP(Table8[[#This Row],[Country Code]],Table29[],3,FALSE)</f>
        <v>Non-Annex I</v>
      </c>
      <c r="AS1691" s="233" t="str">
        <f>VLOOKUP(Table8[[#This Row],[Country Code]],Table29[],4,FALSE)</f>
        <v>Asia</v>
      </c>
      <c r="AT1691" s="233" t="str">
        <f>VLOOKUP(Table8[[#This Row],[Country Code]],Table29[],5,FALSE)</f>
        <v>Middle-income</v>
      </c>
      <c r="AU1691" s="233" t="str">
        <f>VLOOKUP(Table8[[#This Row],[Country Code]],Table29[],6,FALSE)</f>
        <v>no</v>
      </c>
      <c r="AV1691" s="233" t="str">
        <f>VLOOKUP(Table8[[#This Row],[Country Code]],Table29[],7,FALSE)</f>
        <v>no</v>
      </c>
      <c r="AW1691" s="233" t="str">
        <f>VLOOKUP(Table8[[#This Row],[Country Code]],Table29[],8,FALSE)</f>
        <v>non-OECD</v>
      </c>
      <c r="AX1691" s="233" t="str">
        <f>VLOOKUP(Table8[[#This Row],[Country Code]],Table29[],9,FALSE)</f>
        <v>no</v>
      </c>
      <c r="AY1691" s="233" t="str">
        <f>VLOOKUP(Table8[[#This Row],[Country Code]],Table29[],10,FALSE)</f>
        <v>no</v>
      </c>
      <c r="AZ1691" s="235">
        <f>VLOOKUP(Table8[[#This Row],[Country Code]],Table29[],23,FALSE)</f>
        <v>56.830982733611002</v>
      </c>
      <c r="BA1691" s="235">
        <f>VLOOKUP(Table8[[#This Row],[Country Code]],Table29[],24,FALSE)</f>
        <v>4.8627503945089332</v>
      </c>
      <c r="BB1691" s="320"/>
      <c r="BC1691" s="320"/>
    </row>
    <row r="1692" spans="1:55" hidden="1" x14ac:dyDescent="0.25">
      <c r="A1692" s="373">
        <v>26785</v>
      </c>
      <c r="B1692" s="233" t="str">
        <f>VLOOKUP(Table8[[#This Row],[Document ID]],Table1[],2,FALSE)</f>
        <v>NPL</v>
      </c>
      <c r="C1692" s="233" t="str">
        <f>VLOOKUP(Table8[[#This Row],[Document ID]],Table1[],3,FALSE)</f>
        <v>Nepal</v>
      </c>
      <c r="D1692" s="243" t="str">
        <f>VLOOKUP(Table8[[#This Row],[Document ID]],Table1[],5,FALSE)</f>
        <v>LTS</v>
      </c>
      <c r="E1692" s="233" t="str">
        <f>VLOOKUP(Table8[[#This Row],[Document ID]],Table1[],7,FALSE)</f>
        <v>LTS</v>
      </c>
      <c r="F1692" s="233" t="str">
        <f>VLOOKUP(Table8[[#This Row],[Document ID]],Table1[],8,FALSE)</f>
        <v>LTS 1.0</v>
      </c>
      <c r="G1692" s="233" t="str">
        <f>VLOOKUP(Table8[[#This Row],[Document ID]],Table1[],10,FALSE)</f>
        <v>Active</v>
      </c>
      <c r="H1692" s="44" t="s">
        <v>2329</v>
      </c>
      <c r="I1692" s="44" t="s">
        <v>2330</v>
      </c>
      <c r="J1692" s="44" t="s">
        <v>2391</v>
      </c>
      <c r="K1692" s="44" t="s">
        <v>3899</v>
      </c>
      <c r="L1692" s="44" t="s">
        <v>2333</v>
      </c>
      <c r="M1692" s="43">
        <v>17</v>
      </c>
      <c r="N1692" s="113" t="s">
        <v>1113</v>
      </c>
      <c r="O1692" s="113"/>
      <c r="P1692" s="113"/>
      <c r="Q1692" s="113"/>
      <c r="R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t="s">
        <v>1113</v>
      </c>
      <c r="AL1692" s="113"/>
      <c r="AM1692" s="113"/>
      <c r="AN1692" s="113"/>
      <c r="AO1692" s="44" t="s">
        <v>2334</v>
      </c>
      <c r="AP1692" s="43"/>
      <c r="AQ1692" s="236" t="str">
        <f>VLOOKUP(Table8[[#This Row],[Instrument]],Def_Targets!$D$73:$E$159,2,FALSE)</f>
        <v>I_Hydrogen</v>
      </c>
      <c r="AR1692" s="233" t="str">
        <f>VLOOKUP(Table8[[#This Row],[Country Code]],Table29[],3,FALSE)</f>
        <v>Non-Annex I</v>
      </c>
      <c r="AS1692" s="233" t="str">
        <f>VLOOKUP(Table8[[#This Row],[Country Code]],Table29[],4,FALSE)</f>
        <v>Asia</v>
      </c>
      <c r="AT1692" s="233" t="str">
        <f>VLOOKUP(Table8[[#This Row],[Country Code]],Table29[],5,FALSE)</f>
        <v>Middle-income</v>
      </c>
      <c r="AU1692" s="233" t="str">
        <f>VLOOKUP(Table8[[#This Row],[Country Code]],Table29[],6,FALSE)</f>
        <v>no</v>
      </c>
      <c r="AV1692" s="233" t="str">
        <f>VLOOKUP(Table8[[#This Row],[Country Code]],Table29[],7,FALSE)</f>
        <v>no</v>
      </c>
      <c r="AW1692" s="233" t="str">
        <f>VLOOKUP(Table8[[#This Row],[Country Code]],Table29[],8,FALSE)</f>
        <v>non-OECD</v>
      </c>
      <c r="AX1692" s="233" t="str">
        <f>VLOOKUP(Table8[[#This Row],[Country Code]],Table29[],9,FALSE)</f>
        <v>no</v>
      </c>
      <c r="AY1692" s="233" t="str">
        <f>VLOOKUP(Table8[[#This Row],[Country Code]],Table29[],10,FALSE)</f>
        <v>no</v>
      </c>
      <c r="AZ1692" s="235">
        <f>VLOOKUP(Table8[[#This Row],[Country Code]],Table29[],23,FALSE)</f>
        <v>56.830982733611002</v>
      </c>
      <c r="BA1692" s="235">
        <f>VLOOKUP(Table8[[#This Row],[Country Code]],Table29[],24,FALSE)</f>
        <v>4.8627503945089332</v>
      </c>
      <c r="BB1692" s="320"/>
      <c r="BC1692" s="320"/>
    </row>
    <row r="1693" spans="1:55" hidden="1" x14ac:dyDescent="0.25">
      <c r="A1693" s="373">
        <v>26785</v>
      </c>
      <c r="B1693" s="233" t="str">
        <f>VLOOKUP(Table8[[#This Row],[Document ID]],Table1[],2,FALSE)</f>
        <v>NPL</v>
      </c>
      <c r="C1693" s="233" t="str">
        <f>VLOOKUP(Table8[[#This Row],[Document ID]],Table1[],3,FALSE)</f>
        <v>Nepal</v>
      </c>
      <c r="D1693" s="243" t="str">
        <f>VLOOKUP(Table8[[#This Row],[Document ID]],Table1[],5,FALSE)</f>
        <v>LTS</v>
      </c>
      <c r="E1693" s="233" t="str">
        <f>VLOOKUP(Table8[[#This Row],[Document ID]],Table1[],7,FALSE)</f>
        <v>LTS</v>
      </c>
      <c r="F1693" s="233" t="str">
        <f>VLOOKUP(Table8[[#This Row],[Document ID]],Table1[],8,FALSE)</f>
        <v>LTS 1.0</v>
      </c>
      <c r="G1693" s="233" t="str">
        <f>VLOOKUP(Table8[[#This Row],[Document ID]],Table1[],10,FALSE)</f>
        <v>Active</v>
      </c>
      <c r="H1693" s="44" t="s">
        <v>2329</v>
      </c>
      <c r="I1693" s="44" t="s">
        <v>2330</v>
      </c>
      <c r="J1693" s="44" t="s">
        <v>2357</v>
      </c>
      <c r="K1693" s="44" t="s">
        <v>3900</v>
      </c>
      <c r="L1693" s="44" t="s">
        <v>2333</v>
      </c>
      <c r="M1693" s="43">
        <v>17</v>
      </c>
      <c r="N1693" s="113"/>
      <c r="O1693" s="113"/>
      <c r="P1693" s="113"/>
      <c r="Q1693" s="113"/>
      <c r="R1693" s="113"/>
      <c r="S1693" s="113"/>
      <c r="T1693" s="113"/>
      <c r="U1693" s="113"/>
      <c r="V1693" s="113"/>
      <c r="W1693" s="113"/>
      <c r="X1693" s="113"/>
      <c r="Y1693" s="113"/>
      <c r="Z1693" s="113"/>
      <c r="AA1693" s="113"/>
      <c r="AB1693" s="113"/>
      <c r="AC1693" s="113"/>
      <c r="AD1693" s="113"/>
      <c r="AE1693" s="113"/>
      <c r="AF1693" s="113"/>
      <c r="AG1693" s="113"/>
      <c r="AH1693" s="113" t="s">
        <v>1113</v>
      </c>
      <c r="AI1693" s="113"/>
      <c r="AJ1693" s="113"/>
      <c r="AK1693" s="113" t="s">
        <v>1113</v>
      </c>
      <c r="AL1693" s="113"/>
      <c r="AM1693" s="113"/>
      <c r="AN1693" s="113"/>
      <c r="AO1693" s="44" t="s">
        <v>2334</v>
      </c>
      <c r="AP1693" s="43"/>
      <c r="AQ1693" s="236" t="str">
        <f>VLOOKUP(Table8[[#This Row],[Instrument]],Def_Targets!$D$73:$E$159,2,FALSE)</f>
        <v>I_Biofuel</v>
      </c>
      <c r="AR1693" s="233" t="str">
        <f>VLOOKUP(Table8[[#This Row],[Country Code]],Table29[],3,FALSE)</f>
        <v>Non-Annex I</v>
      </c>
      <c r="AS1693" s="233" t="str">
        <f>VLOOKUP(Table8[[#This Row],[Country Code]],Table29[],4,FALSE)</f>
        <v>Asia</v>
      </c>
      <c r="AT1693" s="233" t="str">
        <f>VLOOKUP(Table8[[#This Row],[Country Code]],Table29[],5,FALSE)</f>
        <v>Middle-income</v>
      </c>
      <c r="AU1693" s="233" t="str">
        <f>VLOOKUP(Table8[[#This Row],[Country Code]],Table29[],6,FALSE)</f>
        <v>no</v>
      </c>
      <c r="AV1693" s="233" t="str">
        <f>VLOOKUP(Table8[[#This Row],[Country Code]],Table29[],7,FALSE)</f>
        <v>no</v>
      </c>
      <c r="AW1693" s="233" t="str">
        <f>VLOOKUP(Table8[[#This Row],[Country Code]],Table29[],8,FALSE)</f>
        <v>non-OECD</v>
      </c>
      <c r="AX1693" s="233" t="str">
        <f>VLOOKUP(Table8[[#This Row],[Country Code]],Table29[],9,FALSE)</f>
        <v>no</v>
      </c>
      <c r="AY1693" s="233" t="str">
        <f>VLOOKUP(Table8[[#This Row],[Country Code]],Table29[],10,FALSE)</f>
        <v>no</v>
      </c>
      <c r="AZ1693" s="235">
        <f>VLOOKUP(Table8[[#This Row],[Country Code]],Table29[],23,FALSE)</f>
        <v>56.830982733611002</v>
      </c>
      <c r="BA1693" s="235">
        <f>VLOOKUP(Table8[[#This Row],[Country Code]],Table29[],24,FALSE)</f>
        <v>4.8627503945089332</v>
      </c>
      <c r="BB1693" s="320"/>
      <c r="BC1693" s="320"/>
    </row>
    <row r="1694" spans="1:55" hidden="1" x14ac:dyDescent="0.25">
      <c r="A1694" s="373">
        <v>26785</v>
      </c>
      <c r="B1694" s="233" t="str">
        <f>VLOOKUP(Table8[[#This Row],[Document ID]],Table1[],2,FALSE)</f>
        <v>NPL</v>
      </c>
      <c r="C1694" s="233" t="str">
        <f>VLOOKUP(Table8[[#This Row],[Document ID]],Table1[],3,FALSE)</f>
        <v>Nepal</v>
      </c>
      <c r="D1694" s="243" t="str">
        <f>VLOOKUP(Table8[[#This Row],[Document ID]],Table1[],5,FALSE)</f>
        <v>LTS</v>
      </c>
      <c r="E1694" s="233" t="str">
        <f>VLOOKUP(Table8[[#This Row],[Document ID]],Table1[],7,FALSE)</f>
        <v>LTS</v>
      </c>
      <c r="F1694" s="233" t="str">
        <f>VLOOKUP(Table8[[#This Row],[Document ID]],Table1[],8,FALSE)</f>
        <v>LTS 1.0</v>
      </c>
      <c r="G1694" s="233" t="str">
        <f>VLOOKUP(Table8[[#This Row],[Document ID]],Table1[],10,FALSE)</f>
        <v>Active</v>
      </c>
      <c r="H1694" s="43" t="s">
        <v>2358</v>
      </c>
      <c r="I1694" s="43" t="s">
        <v>2359</v>
      </c>
      <c r="J1694" s="44" t="s">
        <v>2360</v>
      </c>
      <c r="K1694" s="44" t="s">
        <v>3901</v>
      </c>
      <c r="L1694" s="44" t="s">
        <v>2333</v>
      </c>
      <c r="M1694" s="43">
        <v>18</v>
      </c>
      <c r="N1694" s="113" t="s">
        <v>1113</v>
      </c>
      <c r="O1694" s="113"/>
      <c r="P1694" s="113"/>
      <c r="Q1694" s="113"/>
      <c r="R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t="s">
        <v>1113</v>
      </c>
      <c r="AL1694" s="113"/>
      <c r="AM1694" s="113"/>
      <c r="AN1694" s="113"/>
      <c r="AO1694" s="43" t="s">
        <v>2353</v>
      </c>
      <c r="AP1694" s="43"/>
      <c r="AQ1694" s="236" t="str">
        <f>VLOOKUP(Table8[[#This Row],[Instrument]],Def_Targets!$D$73:$E$159,2,FALSE)</f>
        <v>I_Emobility</v>
      </c>
      <c r="AR1694" s="233" t="str">
        <f>VLOOKUP(Table8[[#This Row],[Country Code]],Table29[],3,FALSE)</f>
        <v>Non-Annex I</v>
      </c>
      <c r="AS1694" s="233" t="str">
        <f>VLOOKUP(Table8[[#This Row],[Country Code]],Table29[],4,FALSE)</f>
        <v>Asia</v>
      </c>
      <c r="AT1694" s="233" t="str">
        <f>VLOOKUP(Table8[[#This Row],[Country Code]],Table29[],5,FALSE)</f>
        <v>Middle-income</v>
      </c>
      <c r="AU1694" s="233" t="str">
        <f>VLOOKUP(Table8[[#This Row],[Country Code]],Table29[],6,FALSE)</f>
        <v>no</v>
      </c>
      <c r="AV1694" s="233" t="str">
        <f>VLOOKUP(Table8[[#This Row],[Country Code]],Table29[],7,FALSE)</f>
        <v>no</v>
      </c>
      <c r="AW1694" s="233" t="str">
        <f>VLOOKUP(Table8[[#This Row],[Country Code]],Table29[],8,FALSE)</f>
        <v>non-OECD</v>
      </c>
      <c r="AX1694" s="233" t="str">
        <f>VLOOKUP(Table8[[#This Row],[Country Code]],Table29[],9,FALSE)</f>
        <v>no</v>
      </c>
      <c r="AY1694" s="233" t="str">
        <f>VLOOKUP(Table8[[#This Row],[Country Code]],Table29[],10,FALSE)</f>
        <v>no</v>
      </c>
      <c r="AZ1694" s="235">
        <f>VLOOKUP(Table8[[#This Row],[Country Code]],Table29[],23,FALSE)</f>
        <v>56.830982733611002</v>
      </c>
      <c r="BA1694" s="235">
        <f>VLOOKUP(Table8[[#This Row],[Country Code]],Table29[],24,FALSE)</f>
        <v>4.8627503945089332</v>
      </c>
      <c r="BB1694" s="320"/>
      <c r="BC1694" s="320"/>
    </row>
    <row r="1695" spans="1:55" hidden="1" x14ac:dyDescent="0.25">
      <c r="A1695" s="373">
        <v>26785</v>
      </c>
      <c r="B1695" s="233" t="str">
        <f>VLOOKUP(Table8[[#This Row],[Document ID]],Table1[],2,FALSE)</f>
        <v>NPL</v>
      </c>
      <c r="C1695" s="233" t="str">
        <f>VLOOKUP(Table8[[#This Row],[Document ID]],Table1[],3,FALSE)</f>
        <v>Nepal</v>
      </c>
      <c r="D1695" s="243" t="str">
        <f>VLOOKUP(Table8[[#This Row],[Document ID]],Table1[],5,FALSE)</f>
        <v>LTS</v>
      </c>
      <c r="E1695" s="233" t="str">
        <f>VLOOKUP(Table8[[#This Row],[Document ID]],Table1[],7,FALSE)</f>
        <v>LTS</v>
      </c>
      <c r="F1695" s="233" t="str">
        <f>VLOOKUP(Table8[[#This Row],[Document ID]],Table1[],8,FALSE)</f>
        <v>LTS 1.0</v>
      </c>
      <c r="G1695" s="233" t="str">
        <f>VLOOKUP(Table8[[#This Row],[Document ID]],Table1[],10,FALSE)</f>
        <v>Active</v>
      </c>
      <c r="H1695" s="43" t="s">
        <v>2358</v>
      </c>
      <c r="I1695" s="43" t="s">
        <v>2359</v>
      </c>
      <c r="J1695" s="44" t="s">
        <v>2383</v>
      </c>
      <c r="K1695" s="44" t="s">
        <v>3902</v>
      </c>
      <c r="L1695" s="44" t="s">
        <v>2333</v>
      </c>
      <c r="M1695" s="43">
        <v>18</v>
      </c>
      <c r="N1695" s="113" t="s">
        <v>1113</v>
      </c>
      <c r="O1695" s="113"/>
      <c r="P1695" s="113"/>
      <c r="Q1695" s="113"/>
      <c r="R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t="s">
        <v>1113</v>
      </c>
      <c r="AL1695" s="113"/>
      <c r="AM1695" s="113"/>
      <c r="AN1695" s="113"/>
      <c r="AO1695" s="44" t="s">
        <v>2334</v>
      </c>
      <c r="AP1695" s="43"/>
      <c r="AQ1695" s="236" t="str">
        <f>VLOOKUP(Table8[[#This Row],[Instrument]],Def_Targets!$D$73:$E$159,2,FALSE)</f>
        <v>I_Emobilitycharging</v>
      </c>
      <c r="AR1695" s="233" t="str">
        <f>VLOOKUP(Table8[[#This Row],[Country Code]],Table29[],3,FALSE)</f>
        <v>Non-Annex I</v>
      </c>
      <c r="AS1695" s="233" t="str">
        <f>VLOOKUP(Table8[[#This Row],[Country Code]],Table29[],4,FALSE)</f>
        <v>Asia</v>
      </c>
      <c r="AT1695" s="233" t="str">
        <f>VLOOKUP(Table8[[#This Row],[Country Code]],Table29[],5,FALSE)</f>
        <v>Middle-income</v>
      </c>
      <c r="AU1695" s="233" t="str">
        <f>VLOOKUP(Table8[[#This Row],[Country Code]],Table29[],6,FALSE)</f>
        <v>no</v>
      </c>
      <c r="AV1695" s="233" t="str">
        <f>VLOOKUP(Table8[[#This Row],[Country Code]],Table29[],7,FALSE)</f>
        <v>no</v>
      </c>
      <c r="AW1695" s="233" t="str">
        <f>VLOOKUP(Table8[[#This Row],[Country Code]],Table29[],8,FALSE)</f>
        <v>non-OECD</v>
      </c>
      <c r="AX1695" s="233" t="str">
        <f>VLOOKUP(Table8[[#This Row],[Country Code]],Table29[],9,FALSE)</f>
        <v>no</v>
      </c>
      <c r="AY1695" s="233" t="str">
        <f>VLOOKUP(Table8[[#This Row],[Country Code]],Table29[],10,FALSE)</f>
        <v>no</v>
      </c>
      <c r="AZ1695" s="235">
        <f>VLOOKUP(Table8[[#This Row],[Country Code]],Table29[],23,FALSE)</f>
        <v>56.830982733611002</v>
      </c>
      <c r="BA1695" s="235">
        <f>VLOOKUP(Table8[[#This Row],[Country Code]],Table29[],24,FALSE)</f>
        <v>4.8627503945089332</v>
      </c>
      <c r="BB1695" s="320"/>
      <c r="BC1695" s="320"/>
    </row>
    <row r="1696" spans="1:55" ht="30" hidden="1" x14ac:dyDescent="0.25">
      <c r="A1696" s="373">
        <v>17676</v>
      </c>
      <c r="B1696" s="233" t="str">
        <f>VLOOKUP(Table8[[#This Row],[Document ID]],Table1[],2,FALSE)</f>
        <v>NLD</v>
      </c>
      <c r="C1696" s="233" t="str">
        <f>VLOOKUP(Table8[[#This Row],[Document ID]],Table1[],3,FALSE)</f>
        <v>Netherlands</v>
      </c>
      <c r="D1696" s="243" t="str">
        <f>VLOOKUP(Table8[[#This Row],[Document ID]],Table1[],5,FALSE)</f>
        <v>LTS</v>
      </c>
      <c r="E1696" s="233" t="str">
        <f>VLOOKUP(Table8[[#This Row],[Document ID]],Table1[],7,FALSE)</f>
        <v>EU-LTS</v>
      </c>
      <c r="F1696" s="233" t="str">
        <f>VLOOKUP(Table8[[#This Row],[Document ID]],Table1[],8,FALSE)</f>
        <v>LTS 1.0</v>
      </c>
      <c r="G1696" s="233" t="str">
        <f>VLOOKUP(Table8[[#This Row],[Document ID]],Table1[],10,FALSE)</f>
        <v>Active</v>
      </c>
      <c r="H1696" s="44" t="s">
        <v>2329</v>
      </c>
      <c r="I1696" s="44" t="s">
        <v>2330</v>
      </c>
      <c r="J1696" s="44" t="s">
        <v>2357</v>
      </c>
      <c r="K1696" s="44" t="s">
        <v>3903</v>
      </c>
      <c r="L1696" s="44" t="s">
        <v>2333</v>
      </c>
      <c r="M1696" s="43">
        <v>5</v>
      </c>
      <c r="N1696" s="113"/>
      <c r="O1696" s="113"/>
      <c r="P1696" s="113"/>
      <c r="Q1696" s="113"/>
      <c r="R1696" s="113"/>
      <c r="S1696" s="113"/>
      <c r="T1696" s="113"/>
      <c r="U1696" s="113"/>
      <c r="V1696" s="113"/>
      <c r="W1696" s="113"/>
      <c r="X1696" s="113"/>
      <c r="Y1696" s="113"/>
      <c r="Z1696" s="113"/>
      <c r="AA1696" s="113"/>
      <c r="AB1696" s="113"/>
      <c r="AC1696" s="113"/>
      <c r="AD1696" s="113" t="s">
        <v>1113</v>
      </c>
      <c r="AE1696" s="113"/>
      <c r="AF1696" s="113"/>
      <c r="AG1696" s="113"/>
      <c r="AH1696" s="113" t="s">
        <v>1113</v>
      </c>
      <c r="AI1696" s="113"/>
      <c r="AJ1696" s="113"/>
      <c r="AK1696" s="319" t="s">
        <v>1113</v>
      </c>
      <c r="AL1696" s="113"/>
      <c r="AM1696" s="113"/>
      <c r="AN1696" s="113"/>
      <c r="AO1696" s="44" t="s">
        <v>2334</v>
      </c>
      <c r="AP1696" s="43"/>
      <c r="AQ1696" s="236" t="str">
        <f>VLOOKUP(Table8[[#This Row],[Instrument]],Def_Targets!$D$73:$E$159,2,FALSE)</f>
        <v>I_Biofuel</v>
      </c>
      <c r="AR1696" s="233" t="str">
        <f>VLOOKUP(Table8[[#This Row],[Country Code]],Table29[],3,FALSE)</f>
        <v>Annex I</v>
      </c>
      <c r="AS1696" s="233" t="str">
        <f>VLOOKUP(Table8[[#This Row],[Country Code]],Table29[],4,FALSE)</f>
        <v>Europe</v>
      </c>
      <c r="AT1696" s="233" t="str">
        <f>VLOOKUP(Table8[[#This Row],[Country Code]],Table29[],5,FALSE)</f>
        <v>High-income</v>
      </c>
      <c r="AU1696" s="233" t="str">
        <f>VLOOKUP(Table8[[#This Row],[Country Code]],Table29[],6,FALSE)</f>
        <v>no</v>
      </c>
      <c r="AV1696" s="233" t="str">
        <f>VLOOKUP(Table8[[#This Row],[Country Code]],Table29[],7,FALSE)</f>
        <v>no</v>
      </c>
      <c r="AW1696" s="233" t="str">
        <f>VLOOKUP(Table8[[#This Row],[Country Code]],Table29[],8,FALSE)</f>
        <v>OECD</v>
      </c>
      <c r="AX1696" s="233" t="str">
        <f>VLOOKUP(Table8[[#This Row],[Country Code]],Table29[],9,FALSE)</f>
        <v>EU27</v>
      </c>
      <c r="AY1696" s="233" t="str">
        <f>VLOOKUP(Table8[[#This Row],[Country Code]],Table29[],10,FALSE)</f>
        <v>no</v>
      </c>
      <c r="AZ1696" s="235">
        <f>VLOOKUP(Table8[[#This Row],[Country Code]],Table29[],23,FALSE)</f>
        <v>150.74579824257</v>
      </c>
      <c r="BA1696" s="235">
        <f>VLOOKUP(Table8[[#This Row],[Country Code]],Table29[],24,FALSE)</f>
        <v>25.78124755164097</v>
      </c>
      <c r="BB1696" s="320"/>
      <c r="BC1696" s="320"/>
    </row>
    <row r="1697" spans="1:55" hidden="1" x14ac:dyDescent="0.25">
      <c r="A1697" s="373">
        <v>17676</v>
      </c>
      <c r="B1697" s="233" t="str">
        <f>VLOOKUP(Table8[[#This Row],[Document ID]],Table1[],2,FALSE)</f>
        <v>NLD</v>
      </c>
      <c r="C1697" s="233" t="str">
        <f>VLOOKUP(Table8[[#This Row],[Document ID]],Table1[],3,FALSE)</f>
        <v>Netherlands</v>
      </c>
      <c r="D1697" s="243" t="str">
        <f>VLOOKUP(Table8[[#This Row],[Document ID]],Table1[],5,FALSE)</f>
        <v>LTS</v>
      </c>
      <c r="E1697" s="233" t="str">
        <f>VLOOKUP(Table8[[#This Row],[Document ID]],Table1[],7,FALSE)</f>
        <v>EU-LTS</v>
      </c>
      <c r="F1697" s="233" t="str">
        <f>VLOOKUP(Table8[[#This Row],[Document ID]],Table1[],8,FALSE)</f>
        <v>LTS 1.0</v>
      </c>
      <c r="G1697" s="233" t="str">
        <f>VLOOKUP(Table8[[#This Row],[Document ID]],Table1[],10,FALSE)</f>
        <v>Active</v>
      </c>
      <c r="H1697" s="43" t="s">
        <v>2350</v>
      </c>
      <c r="I1697" s="43" t="s">
        <v>2456</v>
      </c>
      <c r="J1697" s="44" t="s">
        <v>2457</v>
      </c>
      <c r="K1697" s="44" t="s">
        <v>3904</v>
      </c>
      <c r="L1697" s="44" t="s">
        <v>2347</v>
      </c>
      <c r="M1697" s="43">
        <v>6</v>
      </c>
      <c r="N1697" s="113"/>
      <c r="O1697" s="113"/>
      <c r="P1697" s="113"/>
      <c r="Q1697" s="319"/>
      <c r="R1697" s="319"/>
      <c r="S1697" s="319"/>
      <c r="T1697" s="319"/>
      <c r="U1697" s="319" t="s">
        <v>1113</v>
      </c>
      <c r="V1697" s="319"/>
      <c r="W1697" s="319"/>
      <c r="X1697" s="319"/>
      <c r="Y1697" s="319"/>
      <c r="Z1697" s="319"/>
      <c r="AA1697" s="319"/>
      <c r="AB1697" s="319"/>
      <c r="AC1697" s="319"/>
      <c r="AD1697" s="319"/>
      <c r="AE1697" s="319"/>
      <c r="AF1697" s="319"/>
      <c r="AG1697" s="319"/>
      <c r="AH1697" s="319"/>
      <c r="AI1697" s="319"/>
      <c r="AJ1697" s="319"/>
      <c r="AK1697" s="113" t="s">
        <v>1113</v>
      </c>
      <c r="AL1697" s="113"/>
      <c r="AM1697" s="113"/>
      <c r="AN1697" s="113"/>
      <c r="AO1697" s="44" t="s">
        <v>2334</v>
      </c>
      <c r="AP1697" s="43"/>
      <c r="AQ1697" s="236" t="str">
        <f>VLOOKUP(Table8[[#This Row],[Instrument]],Def_Targets!$D$73:$E$159,2,FALSE)</f>
        <v>S_Infraimprove</v>
      </c>
      <c r="AR1697" s="233" t="str">
        <f>VLOOKUP(Table8[[#This Row],[Country Code]],Table29[],3,FALSE)</f>
        <v>Annex I</v>
      </c>
      <c r="AS1697" s="233" t="str">
        <f>VLOOKUP(Table8[[#This Row],[Country Code]],Table29[],4,FALSE)</f>
        <v>Europe</v>
      </c>
      <c r="AT1697" s="233" t="str">
        <f>VLOOKUP(Table8[[#This Row],[Country Code]],Table29[],5,FALSE)</f>
        <v>High-income</v>
      </c>
      <c r="AU1697" s="233" t="str">
        <f>VLOOKUP(Table8[[#This Row],[Country Code]],Table29[],6,FALSE)</f>
        <v>no</v>
      </c>
      <c r="AV1697" s="233" t="str">
        <f>VLOOKUP(Table8[[#This Row],[Country Code]],Table29[],7,FALSE)</f>
        <v>no</v>
      </c>
      <c r="AW1697" s="233" t="str">
        <f>VLOOKUP(Table8[[#This Row],[Country Code]],Table29[],8,FALSE)</f>
        <v>OECD</v>
      </c>
      <c r="AX1697" s="233" t="str">
        <f>VLOOKUP(Table8[[#This Row],[Country Code]],Table29[],9,FALSE)</f>
        <v>EU27</v>
      </c>
      <c r="AY1697" s="233" t="str">
        <f>VLOOKUP(Table8[[#This Row],[Country Code]],Table29[],10,FALSE)</f>
        <v>no</v>
      </c>
      <c r="AZ1697" s="235">
        <f>VLOOKUP(Table8[[#This Row],[Country Code]],Table29[],23,FALSE)</f>
        <v>150.74579824257</v>
      </c>
      <c r="BA1697" s="235">
        <f>VLOOKUP(Table8[[#This Row],[Country Code]],Table29[],24,FALSE)</f>
        <v>25.78124755164097</v>
      </c>
      <c r="BB1697" s="320"/>
      <c r="BC1697" s="320"/>
    </row>
    <row r="1698" spans="1:55" hidden="1" x14ac:dyDescent="0.25">
      <c r="A1698" s="373">
        <v>17676</v>
      </c>
      <c r="B1698" s="233" t="str">
        <f>VLOOKUP(Table8[[#This Row],[Document ID]],Table1[],2,FALSE)</f>
        <v>NLD</v>
      </c>
      <c r="C1698" s="233" t="str">
        <f>VLOOKUP(Table8[[#This Row],[Document ID]],Table1[],3,FALSE)</f>
        <v>Netherlands</v>
      </c>
      <c r="D1698" s="243" t="str">
        <f>VLOOKUP(Table8[[#This Row],[Document ID]],Table1[],5,FALSE)</f>
        <v>LTS</v>
      </c>
      <c r="E1698" s="233" t="str">
        <f>VLOOKUP(Table8[[#This Row],[Document ID]],Table1[],7,FALSE)</f>
        <v>EU-LTS</v>
      </c>
      <c r="F1698" s="236" t="str">
        <f>VLOOKUP(Table8[[#This Row],[Document ID]],Table1[],8,FALSE)</f>
        <v>LTS 1.0</v>
      </c>
      <c r="G1698" s="236" t="str">
        <f>VLOOKUP(Table8[[#This Row],[Document ID]],Table1[],10,FALSE)</f>
        <v>Active</v>
      </c>
      <c r="H1698" s="44" t="s">
        <v>2329</v>
      </c>
      <c r="I1698" s="44" t="s">
        <v>2330</v>
      </c>
      <c r="J1698" s="44" t="s">
        <v>2331</v>
      </c>
      <c r="K1698" s="44" t="s">
        <v>3905</v>
      </c>
      <c r="L1698" s="44" t="s">
        <v>2333</v>
      </c>
      <c r="M1698" s="43">
        <v>6</v>
      </c>
      <c r="N1698" s="113" t="s">
        <v>1113</v>
      </c>
      <c r="O1698" s="113"/>
      <c r="P1698" s="113"/>
      <c r="Q1698" s="319"/>
      <c r="R1698" s="319"/>
      <c r="S1698" s="319"/>
      <c r="T1698" s="319"/>
      <c r="U1698" s="319"/>
      <c r="V1698" s="319"/>
      <c r="W1698" s="319"/>
      <c r="X1698" s="319"/>
      <c r="Y1698" s="113"/>
      <c r="Z1698" s="113"/>
      <c r="AA1698" s="113"/>
      <c r="AB1698" s="113"/>
      <c r="AC1698" s="113"/>
      <c r="AD1698" s="319"/>
      <c r="AE1698" s="319"/>
      <c r="AF1698" s="319"/>
      <c r="AG1698" s="319"/>
      <c r="AH1698" s="319"/>
      <c r="AI1698" s="319"/>
      <c r="AJ1698" s="319"/>
      <c r="AK1698" s="319" t="s">
        <v>1113</v>
      </c>
      <c r="AL1698" s="113"/>
      <c r="AM1698" s="319"/>
      <c r="AN1698" s="319"/>
      <c r="AO1698" s="44" t="s">
        <v>2334</v>
      </c>
      <c r="AP1698" s="44"/>
      <c r="AQ1698" s="236" t="str">
        <f>VLOOKUP(Table8[[#This Row],[Instrument]],Def_Targets!$D$73:$E$159,2,FALSE)</f>
        <v>I_Altfuels</v>
      </c>
      <c r="AR1698" s="233" t="str">
        <f>VLOOKUP(Table8[[#This Row],[Country Code]],Table29[],3,FALSE)</f>
        <v>Annex I</v>
      </c>
      <c r="AS1698" s="233" t="str">
        <f>VLOOKUP(Table8[[#This Row],[Country Code]],Table29[],4,FALSE)</f>
        <v>Europe</v>
      </c>
      <c r="AT1698" s="233" t="str">
        <f>VLOOKUP(Table8[[#This Row],[Country Code]],Table29[],5,FALSE)</f>
        <v>High-income</v>
      </c>
      <c r="AU1698" s="233" t="str">
        <f>VLOOKUP(Table8[[#This Row],[Country Code]],Table29[],6,FALSE)</f>
        <v>no</v>
      </c>
      <c r="AV1698" s="233" t="str">
        <f>VLOOKUP(Table8[[#This Row],[Country Code]],Table29[],7,FALSE)</f>
        <v>no</v>
      </c>
      <c r="AW1698" s="233" t="str">
        <f>VLOOKUP(Table8[[#This Row],[Country Code]],Table29[],8,FALSE)</f>
        <v>OECD</v>
      </c>
      <c r="AX1698" s="233" t="str">
        <f>VLOOKUP(Table8[[#This Row],[Country Code]],Table29[],9,FALSE)</f>
        <v>EU27</v>
      </c>
      <c r="AY1698" s="233" t="str">
        <f>VLOOKUP(Table8[[#This Row],[Country Code]],Table29[],10,FALSE)</f>
        <v>no</v>
      </c>
      <c r="AZ1698" s="235">
        <f>VLOOKUP(Table8[[#This Row],[Country Code]],Table29[],23,FALSE)</f>
        <v>150.74579824257</v>
      </c>
      <c r="BA1698" s="235">
        <f>VLOOKUP(Table8[[#This Row],[Country Code]],Table29[],24,FALSE)</f>
        <v>25.78124755164097</v>
      </c>
      <c r="BB1698" s="320"/>
      <c r="BC1698" s="320"/>
    </row>
    <row r="1699" spans="1:55" hidden="1" x14ac:dyDescent="0.25">
      <c r="A1699" s="373">
        <v>17676</v>
      </c>
      <c r="B1699" s="233" t="str">
        <f>VLOOKUP(Table8[[#This Row],[Document ID]],Table1[],2,FALSE)</f>
        <v>NLD</v>
      </c>
      <c r="C1699" s="233" t="str">
        <f>VLOOKUP(Table8[[#This Row],[Document ID]],Table1[],3,FALSE)</f>
        <v>Netherlands</v>
      </c>
      <c r="D1699" s="243" t="str">
        <f>VLOOKUP(Table8[[#This Row],[Document ID]],Table1[],5,FALSE)</f>
        <v>LTS</v>
      </c>
      <c r="E1699" s="233" t="str">
        <f>VLOOKUP(Table8[[#This Row],[Document ID]],Table1[],7,FALSE)</f>
        <v>EU-LTS</v>
      </c>
      <c r="F1699" s="233" t="str">
        <f>VLOOKUP(Table8[[#This Row],[Document ID]],Table1[],8,FALSE)</f>
        <v>LTS 1.0</v>
      </c>
      <c r="G1699" s="233" t="str">
        <f>VLOOKUP(Table8[[#This Row],[Document ID]],Table1[],10,FALSE)</f>
        <v>Active</v>
      </c>
      <c r="H1699" s="43" t="s">
        <v>2358</v>
      </c>
      <c r="I1699" s="43" t="s">
        <v>2359</v>
      </c>
      <c r="J1699" s="44" t="s">
        <v>2383</v>
      </c>
      <c r="K1699" s="44" t="s">
        <v>3906</v>
      </c>
      <c r="L1699" s="44" t="s">
        <v>2333</v>
      </c>
      <c r="M1699" s="43">
        <v>6</v>
      </c>
      <c r="N1699" s="113" t="s">
        <v>1113</v>
      </c>
      <c r="O1699" s="113"/>
      <c r="P1699" s="113"/>
      <c r="Q1699" s="319"/>
      <c r="R1699" s="319"/>
      <c r="S1699" s="319"/>
      <c r="T1699" s="319"/>
      <c r="U1699" s="319"/>
      <c r="V1699" s="319"/>
      <c r="W1699" s="319"/>
      <c r="X1699" s="319"/>
      <c r="Y1699" s="319"/>
      <c r="Z1699" s="319"/>
      <c r="AA1699" s="319"/>
      <c r="AB1699" s="319"/>
      <c r="AC1699" s="319"/>
      <c r="AD1699" s="319"/>
      <c r="AE1699" s="319"/>
      <c r="AF1699" s="319"/>
      <c r="AG1699" s="319"/>
      <c r="AH1699" s="319"/>
      <c r="AI1699" s="319"/>
      <c r="AJ1699" s="319"/>
      <c r="AK1699" s="113" t="s">
        <v>1113</v>
      </c>
      <c r="AL1699" s="113"/>
      <c r="AM1699" s="113"/>
      <c r="AN1699" s="113"/>
      <c r="AO1699" s="44" t="s">
        <v>2334</v>
      </c>
      <c r="AP1699" s="43"/>
      <c r="AQ1699" s="236" t="str">
        <f>VLOOKUP(Table8[[#This Row],[Instrument]],Def_Targets!$D$73:$E$159,2,FALSE)</f>
        <v>I_Emobilitycharging</v>
      </c>
      <c r="AR1699" s="233" t="str">
        <f>VLOOKUP(Table8[[#This Row],[Country Code]],Table29[],3,FALSE)</f>
        <v>Annex I</v>
      </c>
      <c r="AS1699" s="233" t="str">
        <f>VLOOKUP(Table8[[#This Row],[Country Code]],Table29[],4,FALSE)</f>
        <v>Europe</v>
      </c>
      <c r="AT1699" s="233" t="str">
        <f>VLOOKUP(Table8[[#This Row],[Country Code]],Table29[],5,FALSE)</f>
        <v>High-income</v>
      </c>
      <c r="AU1699" s="233" t="str">
        <f>VLOOKUP(Table8[[#This Row],[Country Code]],Table29[],6,FALSE)</f>
        <v>no</v>
      </c>
      <c r="AV1699" s="233" t="str">
        <f>VLOOKUP(Table8[[#This Row],[Country Code]],Table29[],7,FALSE)</f>
        <v>no</v>
      </c>
      <c r="AW1699" s="233" t="str">
        <f>VLOOKUP(Table8[[#This Row],[Country Code]],Table29[],8,FALSE)</f>
        <v>OECD</v>
      </c>
      <c r="AX1699" s="233" t="str">
        <f>VLOOKUP(Table8[[#This Row],[Country Code]],Table29[],9,FALSE)</f>
        <v>EU27</v>
      </c>
      <c r="AY1699" s="233" t="str">
        <f>VLOOKUP(Table8[[#This Row],[Country Code]],Table29[],10,FALSE)</f>
        <v>no</v>
      </c>
      <c r="AZ1699" s="235">
        <f>VLOOKUP(Table8[[#This Row],[Country Code]],Table29[],23,FALSE)</f>
        <v>150.74579824257</v>
      </c>
      <c r="BA1699" s="235">
        <f>VLOOKUP(Table8[[#This Row],[Country Code]],Table29[],24,FALSE)</f>
        <v>25.78124755164097</v>
      </c>
      <c r="BB1699" s="320"/>
      <c r="BC1699" s="320"/>
    </row>
    <row r="1700" spans="1:55" ht="30" hidden="1" x14ac:dyDescent="0.25">
      <c r="A1700" s="373">
        <v>17676</v>
      </c>
      <c r="B1700" s="233" t="str">
        <f>VLOOKUP(Table8[[#This Row],[Document ID]],Table1[],2,FALSE)</f>
        <v>NLD</v>
      </c>
      <c r="C1700" s="233" t="str">
        <f>VLOOKUP(Table8[[#This Row],[Document ID]],Table1[],3,FALSE)</f>
        <v>Netherlands</v>
      </c>
      <c r="D1700" s="243" t="str">
        <f>VLOOKUP(Table8[[#This Row],[Document ID]],Table1[],5,FALSE)</f>
        <v>LTS</v>
      </c>
      <c r="E1700" s="233" t="str">
        <f>VLOOKUP(Table8[[#This Row],[Document ID]],Table1[],7,FALSE)</f>
        <v>EU-LTS</v>
      </c>
      <c r="F1700" s="236" t="str">
        <f>VLOOKUP(Table8[[#This Row],[Document ID]],Table1[],8,FALSE)</f>
        <v>LTS 1.0</v>
      </c>
      <c r="G1700" s="236" t="str">
        <f>VLOOKUP(Table8[[#This Row],[Document ID]],Table1[],10,FALSE)</f>
        <v>Active</v>
      </c>
      <c r="H1700" s="44" t="s">
        <v>2329</v>
      </c>
      <c r="I1700" s="44" t="s">
        <v>2330</v>
      </c>
      <c r="J1700" s="44" t="s">
        <v>2391</v>
      </c>
      <c r="K1700" s="44" t="s">
        <v>3907</v>
      </c>
      <c r="L1700" s="44" t="s">
        <v>2333</v>
      </c>
      <c r="M1700" s="43">
        <v>6</v>
      </c>
      <c r="N1700" s="113" t="s">
        <v>1113</v>
      </c>
      <c r="O1700" s="113"/>
      <c r="P1700" s="113"/>
      <c r="Q1700" s="319"/>
      <c r="R1700" s="319"/>
      <c r="S1700" s="319"/>
      <c r="T1700" s="319"/>
      <c r="U1700" s="319"/>
      <c r="V1700" s="319"/>
      <c r="W1700" s="319"/>
      <c r="X1700" s="319"/>
      <c r="Y1700" s="113"/>
      <c r="Z1700" s="113"/>
      <c r="AA1700" s="113"/>
      <c r="AB1700" s="113"/>
      <c r="AC1700" s="113"/>
      <c r="AD1700" s="319"/>
      <c r="AE1700" s="319"/>
      <c r="AF1700" s="319"/>
      <c r="AG1700" s="319"/>
      <c r="AH1700" s="319"/>
      <c r="AI1700" s="319"/>
      <c r="AJ1700" s="319"/>
      <c r="AK1700" s="319" t="s">
        <v>1113</v>
      </c>
      <c r="AL1700" s="113"/>
      <c r="AM1700" s="319"/>
      <c r="AN1700" s="319"/>
      <c r="AO1700" s="44" t="s">
        <v>2334</v>
      </c>
      <c r="AP1700" s="44"/>
      <c r="AQ1700" s="236" t="str">
        <f>VLOOKUP(Table8[[#This Row],[Instrument]],Def_Targets!$D$73:$E$159,2,FALSE)</f>
        <v>I_Hydrogen</v>
      </c>
      <c r="AR1700" s="233" t="str">
        <f>VLOOKUP(Table8[[#This Row],[Country Code]],Table29[],3,FALSE)</f>
        <v>Annex I</v>
      </c>
      <c r="AS1700" s="233" t="str">
        <f>VLOOKUP(Table8[[#This Row],[Country Code]],Table29[],4,FALSE)</f>
        <v>Europe</v>
      </c>
      <c r="AT1700" s="233" t="str">
        <f>VLOOKUP(Table8[[#This Row],[Country Code]],Table29[],5,FALSE)</f>
        <v>High-income</v>
      </c>
      <c r="AU1700" s="233" t="str">
        <f>VLOOKUP(Table8[[#This Row],[Country Code]],Table29[],6,FALSE)</f>
        <v>no</v>
      </c>
      <c r="AV1700" s="233" t="str">
        <f>VLOOKUP(Table8[[#This Row],[Country Code]],Table29[],7,FALSE)</f>
        <v>no</v>
      </c>
      <c r="AW1700" s="233" t="str">
        <f>VLOOKUP(Table8[[#This Row],[Country Code]],Table29[],8,FALSE)</f>
        <v>OECD</v>
      </c>
      <c r="AX1700" s="233" t="str">
        <f>VLOOKUP(Table8[[#This Row],[Country Code]],Table29[],9,FALSE)</f>
        <v>EU27</v>
      </c>
      <c r="AY1700" s="233" t="str">
        <f>VLOOKUP(Table8[[#This Row],[Country Code]],Table29[],10,FALSE)</f>
        <v>no</v>
      </c>
      <c r="AZ1700" s="235">
        <f>VLOOKUP(Table8[[#This Row],[Country Code]],Table29[],23,FALSE)</f>
        <v>150.74579824257</v>
      </c>
      <c r="BA1700" s="235">
        <f>VLOOKUP(Table8[[#This Row],[Country Code]],Table29[],24,FALSE)</f>
        <v>25.78124755164097</v>
      </c>
      <c r="BB1700" s="320"/>
      <c r="BC1700" s="320"/>
    </row>
    <row r="1701" spans="1:55" ht="30" hidden="1" x14ac:dyDescent="0.25">
      <c r="A1701" s="373">
        <v>17676</v>
      </c>
      <c r="B1701" s="233" t="str">
        <f>VLOOKUP(Table8[[#This Row],[Document ID]],Table1[],2,FALSE)</f>
        <v>NLD</v>
      </c>
      <c r="C1701" s="233" t="str">
        <f>VLOOKUP(Table8[[#This Row],[Document ID]],Table1[],3,FALSE)</f>
        <v>Netherlands</v>
      </c>
      <c r="D1701" s="243" t="str">
        <f>VLOOKUP(Table8[[#This Row],[Document ID]],Table1[],5,FALSE)</f>
        <v>LTS</v>
      </c>
      <c r="E1701" s="233" t="str">
        <f>VLOOKUP(Table8[[#This Row],[Document ID]],Table1[],7,FALSE)</f>
        <v>EU-LTS</v>
      </c>
      <c r="F1701" s="233" t="str">
        <f>VLOOKUP(Table8[[#This Row],[Document ID]],Table1[],8,FALSE)</f>
        <v>LTS 1.0</v>
      </c>
      <c r="G1701" s="233" t="str">
        <f>VLOOKUP(Table8[[#This Row],[Document ID]],Table1[],10,FALSE)</f>
        <v>Active</v>
      </c>
      <c r="H1701" s="44" t="s">
        <v>2329</v>
      </c>
      <c r="I1701" s="44" t="s">
        <v>2330</v>
      </c>
      <c r="J1701" s="44" t="s">
        <v>2357</v>
      </c>
      <c r="K1701" s="44" t="s">
        <v>3907</v>
      </c>
      <c r="L1701" s="44" t="s">
        <v>2333</v>
      </c>
      <c r="M1701" s="43">
        <v>6</v>
      </c>
      <c r="N1701" s="113" t="s">
        <v>1113</v>
      </c>
      <c r="O1701" s="113"/>
      <c r="P1701" s="113"/>
      <c r="Q1701" s="319"/>
      <c r="R1701" s="319"/>
      <c r="S1701" s="319"/>
      <c r="T1701" s="319"/>
      <c r="U1701" s="319"/>
      <c r="V1701" s="319"/>
      <c r="W1701" s="319"/>
      <c r="X1701" s="319"/>
      <c r="Y1701" s="319"/>
      <c r="Z1701" s="319"/>
      <c r="AA1701" s="319"/>
      <c r="AB1701" s="319"/>
      <c r="AC1701" s="319"/>
      <c r="AD1701" s="319"/>
      <c r="AE1701" s="319"/>
      <c r="AF1701" s="319"/>
      <c r="AG1701" s="319"/>
      <c r="AH1701" s="319"/>
      <c r="AI1701" s="319"/>
      <c r="AJ1701" s="319"/>
      <c r="AK1701" s="113" t="s">
        <v>1113</v>
      </c>
      <c r="AL1701" s="113"/>
      <c r="AM1701" s="113"/>
      <c r="AN1701" s="113"/>
      <c r="AO1701" s="44" t="s">
        <v>2334</v>
      </c>
      <c r="AP1701" s="43"/>
      <c r="AQ1701" s="236" t="str">
        <f>VLOOKUP(Table8[[#This Row],[Instrument]],Def_Targets!$D$73:$E$159,2,FALSE)</f>
        <v>I_Biofuel</v>
      </c>
      <c r="AR1701" s="233" t="str">
        <f>VLOOKUP(Table8[[#This Row],[Country Code]],Table29[],3,FALSE)</f>
        <v>Annex I</v>
      </c>
      <c r="AS1701" s="233" t="str">
        <f>VLOOKUP(Table8[[#This Row],[Country Code]],Table29[],4,FALSE)</f>
        <v>Europe</v>
      </c>
      <c r="AT1701" s="233" t="str">
        <f>VLOOKUP(Table8[[#This Row],[Country Code]],Table29[],5,FALSE)</f>
        <v>High-income</v>
      </c>
      <c r="AU1701" s="233" t="str">
        <f>VLOOKUP(Table8[[#This Row],[Country Code]],Table29[],6,FALSE)</f>
        <v>no</v>
      </c>
      <c r="AV1701" s="233" t="str">
        <f>VLOOKUP(Table8[[#This Row],[Country Code]],Table29[],7,FALSE)</f>
        <v>no</v>
      </c>
      <c r="AW1701" s="233" t="str">
        <f>VLOOKUP(Table8[[#This Row],[Country Code]],Table29[],8,FALSE)</f>
        <v>OECD</v>
      </c>
      <c r="AX1701" s="233" t="str">
        <f>VLOOKUP(Table8[[#This Row],[Country Code]],Table29[],9,FALSE)</f>
        <v>EU27</v>
      </c>
      <c r="AY1701" s="233" t="str">
        <f>VLOOKUP(Table8[[#This Row],[Country Code]],Table29[],10,FALSE)</f>
        <v>no</v>
      </c>
      <c r="AZ1701" s="235">
        <f>VLOOKUP(Table8[[#This Row],[Country Code]],Table29[],23,FALSE)</f>
        <v>150.74579824257</v>
      </c>
      <c r="BA1701" s="235">
        <f>VLOOKUP(Table8[[#This Row],[Country Code]],Table29[],24,FALSE)</f>
        <v>25.78124755164097</v>
      </c>
      <c r="BB1701" s="320"/>
      <c r="BC1701" s="320"/>
    </row>
    <row r="1702" spans="1:55" hidden="1" x14ac:dyDescent="0.25">
      <c r="A1702" s="373">
        <v>17676</v>
      </c>
      <c r="B1702" s="233" t="str">
        <f>VLOOKUP(Table8[[#This Row],[Document ID]],Table1[],2,FALSE)</f>
        <v>NLD</v>
      </c>
      <c r="C1702" s="233" t="str">
        <f>VLOOKUP(Table8[[#This Row],[Document ID]],Table1[],3,FALSE)</f>
        <v>Netherlands</v>
      </c>
      <c r="D1702" s="243" t="str">
        <f>VLOOKUP(Table8[[#This Row],[Document ID]],Table1[],5,FALSE)</f>
        <v>LTS</v>
      </c>
      <c r="E1702" s="233" t="str">
        <f>VLOOKUP(Table8[[#This Row],[Document ID]],Table1[],7,FALSE)</f>
        <v>EU-LTS</v>
      </c>
      <c r="F1702" s="236" t="str">
        <f>VLOOKUP(Table8[[#This Row],[Document ID]],Table1[],8,FALSE)</f>
        <v>LTS 1.0</v>
      </c>
      <c r="G1702" s="236" t="str">
        <f>VLOOKUP(Table8[[#This Row],[Document ID]],Table1[],10,FALSE)</f>
        <v>Active</v>
      </c>
      <c r="H1702" s="43" t="s">
        <v>2358</v>
      </c>
      <c r="I1702" s="43" t="s">
        <v>2359</v>
      </c>
      <c r="J1702" s="44" t="s">
        <v>2389</v>
      </c>
      <c r="K1702" s="44" t="s">
        <v>3908</v>
      </c>
      <c r="L1702" s="44" t="s">
        <v>2333</v>
      </c>
      <c r="M1702" s="43">
        <v>7</v>
      </c>
      <c r="N1702" s="113" t="s">
        <v>1113</v>
      </c>
      <c r="O1702" s="113"/>
      <c r="P1702" s="113"/>
      <c r="Q1702" s="319"/>
      <c r="R1702" s="319"/>
      <c r="S1702" s="319"/>
      <c r="T1702" s="319"/>
      <c r="U1702" s="319"/>
      <c r="V1702" s="319"/>
      <c r="W1702" s="319"/>
      <c r="X1702" s="319"/>
      <c r="Y1702" s="113"/>
      <c r="Z1702" s="113"/>
      <c r="AA1702" s="113"/>
      <c r="AB1702" s="113"/>
      <c r="AC1702" s="113"/>
      <c r="AD1702" s="319"/>
      <c r="AE1702" s="319"/>
      <c r="AF1702" s="319"/>
      <c r="AG1702" s="319"/>
      <c r="AH1702" s="319"/>
      <c r="AI1702" s="319"/>
      <c r="AJ1702" s="319"/>
      <c r="AK1702" s="319" t="s">
        <v>1113</v>
      </c>
      <c r="AL1702" s="113"/>
      <c r="AM1702" s="319"/>
      <c r="AN1702" s="319"/>
      <c r="AO1702" s="44" t="s">
        <v>2334</v>
      </c>
      <c r="AP1702" s="44"/>
      <c r="AQ1702" s="236" t="str">
        <f>VLOOKUP(Table8[[#This Row],[Instrument]],Def_Targets!$D$73:$E$159,2,FALSE)</f>
        <v>I_Emobilitypurchase</v>
      </c>
      <c r="AR1702" s="233" t="str">
        <f>VLOOKUP(Table8[[#This Row],[Country Code]],Table29[],3,FALSE)</f>
        <v>Annex I</v>
      </c>
      <c r="AS1702" s="233" t="str">
        <f>VLOOKUP(Table8[[#This Row],[Country Code]],Table29[],4,FALSE)</f>
        <v>Europe</v>
      </c>
      <c r="AT1702" s="233" t="str">
        <f>VLOOKUP(Table8[[#This Row],[Country Code]],Table29[],5,FALSE)</f>
        <v>High-income</v>
      </c>
      <c r="AU1702" s="233" t="str">
        <f>VLOOKUP(Table8[[#This Row],[Country Code]],Table29[],6,FALSE)</f>
        <v>no</v>
      </c>
      <c r="AV1702" s="233" t="str">
        <f>VLOOKUP(Table8[[#This Row],[Country Code]],Table29[],7,FALSE)</f>
        <v>no</v>
      </c>
      <c r="AW1702" s="233" t="str">
        <f>VLOOKUP(Table8[[#This Row],[Country Code]],Table29[],8,FALSE)</f>
        <v>OECD</v>
      </c>
      <c r="AX1702" s="233" t="str">
        <f>VLOOKUP(Table8[[#This Row],[Country Code]],Table29[],9,FALSE)</f>
        <v>EU27</v>
      </c>
      <c r="AY1702" s="233" t="str">
        <f>VLOOKUP(Table8[[#This Row],[Country Code]],Table29[],10,FALSE)</f>
        <v>no</v>
      </c>
      <c r="AZ1702" s="235">
        <f>VLOOKUP(Table8[[#This Row],[Country Code]],Table29[],23,FALSE)</f>
        <v>150.74579824257</v>
      </c>
      <c r="BA1702" s="235">
        <f>VLOOKUP(Table8[[#This Row],[Country Code]],Table29[],24,FALSE)</f>
        <v>25.78124755164097</v>
      </c>
      <c r="BB1702" s="320"/>
      <c r="BC1702" s="320"/>
    </row>
    <row r="1703" spans="1:55" ht="45" hidden="1" x14ac:dyDescent="0.25">
      <c r="A1703" s="373">
        <v>17676</v>
      </c>
      <c r="B1703" s="233" t="str">
        <f>VLOOKUP(Table8[[#This Row],[Document ID]],Table1[],2,FALSE)</f>
        <v>NLD</v>
      </c>
      <c r="C1703" s="233" t="str">
        <f>VLOOKUP(Table8[[#This Row],[Document ID]],Table1[],3,FALSE)</f>
        <v>Netherlands</v>
      </c>
      <c r="D1703" s="243" t="str">
        <f>VLOOKUP(Table8[[#This Row],[Document ID]],Table1[],5,FALSE)</f>
        <v>LTS</v>
      </c>
      <c r="E1703" s="233" t="str">
        <f>VLOOKUP(Table8[[#This Row],[Document ID]],Table1[],7,FALSE)</f>
        <v>EU-LTS</v>
      </c>
      <c r="F1703" s="233" t="str">
        <f>VLOOKUP(Table8[[#This Row],[Document ID]],Table1[],8,FALSE)</f>
        <v>LTS 1.0</v>
      </c>
      <c r="G1703" s="233" t="str">
        <f>VLOOKUP(Table8[[#This Row],[Document ID]],Table1[],10,FALSE)</f>
        <v>Active</v>
      </c>
      <c r="H1703" s="43" t="s">
        <v>2343</v>
      </c>
      <c r="I1703" s="43" t="s">
        <v>2377</v>
      </c>
      <c r="J1703" s="44" t="s">
        <v>2521</v>
      </c>
      <c r="K1703" s="44" t="s">
        <v>3909</v>
      </c>
      <c r="L1703" s="44" t="s">
        <v>2333</v>
      </c>
      <c r="M1703" s="43">
        <v>7</v>
      </c>
      <c r="N1703" s="113" t="s">
        <v>1113</v>
      </c>
      <c r="O1703" s="113"/>
      <c r="P1703" s="113"/>
      <c r="Q1703" s="319"/>
      <c r="R1703" s="319"/>
      <c r="S1703" s="319"/>
      <c r="T1703" s="319"/>
      <c r="U1703" s="319" t="s">
        <v>1113</v>
      </c>
      <c r="V1703" s="319"/>
      <c r="W1703" s="319"/>
      <c r="X1703" s="319"/>
      <c r="Y1703" s="319"/>
      <c r="Z1703" s="319"/>
      <c r="AA1703" s="319"/>
      <c r="AB1703" s="319"/>
      <c r="AC1703" s="319"/>
      <c r="AD1703" s="319"/>
      <c r="AE1703" s="319"/>
      <c r="AF1703" s="319"/>
      <c r="AG1703" s="319"/>
      <c r="AH1703" s="319"/>
      <c r="AI1703" s="319"/>
      <c r="AJ1703" s="319"/>
      <c r="AK1703" s="113" t="s">
        <v>1113</v>
      </c>
      <c r="AL1703" s="113"/>
      <c r="AM1703" s="113"/>
      <c r="AN1703" s="113"/>
      <c r="AO1703" s="43" t="s">
        <v>2353</v>
      </c>
      <c r="AP1703" s="43"/>
      <c r="AQ1703" s="236" t="str">
        <f>VLOOKUP(Table8[[#This Row],[Instrument]],Def_Targets!$D$73:$E$159,2,FALSE)</f>
        <v>A_Caraccess</v>
      </c>
      <c r="AR1703" s="233" t="str">
        <f>VLOOKUP(Table8[[#This Row],[Country Code]],Table29[],3,FALSE)</f>
        <v>Annex I</v>
      </c>
      <c r="AS1703" s="233" t="str">
        <f>VLOOKUP(Table8[[#This Row],[Country Code]],Table29[],4,FALSE)</f>
        <v>Europe</v>
      </c>
      <c r="AT1703" s="233" t="str">
        <f>VLOOKUP(Table8[[#This Row],[Country Code]],Table29[],5,FALSE)</f>
        <v>High-income</v>
      </c>
      <c r="AU1703" s="233" t="str">
        <f>VLOOKUP(Table8[[#This Row],[Country Code]],Table29[],6,FALSE)</f>
        <v>no</v>
      </c>
      <c r="AV1703" s="233" t="str">
        <f>VLOOKUP(Table8[[#This Row],[Country Code]],Table29[],7,FALSE)</f>
        <v>no</v>
      </c>
      <c r="AW1703" s="233" t="str">
        <f>VLOOKUP(Table8[[#This Row],[Country Code]],Table29[],8,FALSE)</f>
        <v>OECD</v>
      </c>
      <c r="AX1703" s="233" t="str">
        <f>VLOOKUP(Table8[[#This Row],[Country Code]],Table29[],9,FALSE)</f>
        <v>EU27</v>
      </c>
      <c r="AY1703" s="233" t="str">
        <f>VLOOKUP(Table8[[#This Row],[Country Code]],Table29[],10,FALSE)</f>
        <v>no</v>
      </c>
      <c r="AZ1703" s="235">
        <f>VLOOKUP(Table8[[#This Row],[Country Code]],Table29[],23,FALSE)</f>
        <v>150.74579824257</v>
      </c>
      <c r="BA1703" s="235">
        <f>VLOOKUP(Table8[[#This Row],[Country Code]],Table29[],24,FALSE)</f>
        <v>25.78124755164097</v>
      </c>
      <c r="BB1703" s="320"/>
      <c r="BC1703" s="320"/>
    </row>
    <row r="1704" spans="1:55" ht="45" hidden="1" x14ac:dyDescent="0.25">
      <c r="A1704" s="373">
        <v>17676</v>
      </c>
      <c r="B1704" s="233" t="str">
        <f>VLOOKUP(Table8[[#This Row],[Document ID]],Table1[],2,FALSE)</f>
        <v>NLD</v>
      </c>
      <c r="C1704" s="233" t="str">
        <f>VLOOKUP(Table8[[#This Row],[Document ID]],Table1[],3,FALSE)</f>
        <v>Netherlands</v>
      </c>
      <c r="D1704" s="243" t="str">
        <f>VLOOKUP(Table8[[#This Row],[Document ID]],Table1[],5,FALSE)</f>
        <v>LTS</v>
      </c>
      <c r="E1704" s="233" t="str">
        <f>VLOOKUP(Table8[[#This Row],[Document ID]],Table1[],7,FALSE)</f>
        <v>EU-LTS</v>
      </c>
      <c r="F1704" s="236" t="str">
        <f>VLOOKUP(Table8[[#This Row],[Document ID]],Table1[],8,FALSE)</f>
        <v>LTS 1.0</v>
      </c>
      <c r="G1704" s="236" t="str">
        <f>VLOOKUP(Table8[[#This Row],[Document ID]],Table1[],10,FALSE)</f>
        <v>Active</v>
      </c>
      <c r="H1704" s="43" t="s">
        <v>2343</v>
      </c>
      <c r="I1704" s="43" t="s">
        <v>2429</v>
      </c>
      <c r="J1704" s="44" t="s">
        <v>2472</v>
      </c>
      <c r="K1704" s="44" t="s">
        <v>3910</v>
      </c>
      <c r="L1704" s="44" t="s">
        <v>2373</v>
      </c>
      <c r="M1704" s="43">
        <v>7</v>
      </c>
      <c r="N1704" s="113" t="s">
        <v>1113</v>
      </c>
      <c r="O1704" s="113"/>
      <c r="P1704" s="113"/>
      <c r="Q1704" s="319"/>
      <c r="R1704" s="319"/>
      <c r="S1704" s="319"/>
      <c r="T1704" s="319"/>
      <c r="U1704" s="319"/>
      <c r="V1704" s="319"/>
      <c r="W1704" s="319"/>
      <c r="X1704" s="319"/>
      <c r="Y1704" s="113"/>
      <c r="Z1704" s="113"/>
      <c r="AA1704" s="113"/>
      <c r="AB1704" s="113"/>
      <c r="AC1704" s="113"/>
      <c r="AD1704" s="319"/>
      <c r="AE1704" s="319"/>
      <c r="AF1704" s="319"/>
      <c r="AG1704" s="319"/>
      <c r="AH1704" s="319"/>
      <c r="AI1704" s="319"/>
      <c r="AJ1704" s="319"/>
      <c r="AK1704" s="319" t="s">
        <v>1113</v>
      </c>
      <c r="AL1704" s="113"/>
      <c r="AM1704" s="319"/>
      <c r="AN1704" s="319"/>
      <c r="AO1704" s="44" t="s">
        <v>2334</v>
      </c>
      <c r="AP1704" s="44"/>
      <c r="AQ1704" s="236" t="str">
        <f>VLOOKUP(Table8[[#This Row],[Instrument]],Def_Targets!$D$73:$E$159,2,FALSE)</f>
        <v>I_Other</v>
      </c>
      <c r="AR1704" s="233" t="str">
        <f>VLOOKUP(Table8[[#This Row],[Country Code]],Table29[],3,FALSE)</f>
        <v>Annex I</v>
      </c>
      <c r="AS1704" s="233" t="str">
        <f>VLOOKUP(Table8[[#This Row],[Country Code]],Table29[],4,FALSE)</f>
        <v>Europe</v>
      </c>
      <c r="AT1704" s="233" t="str">
        <f>VLOOKUP(Table8[[#This Row],[Country Code]],Table29[],5,FALSE)</f>
        <v>High-income</v>
      </c>
      <c r="AU1704" s="233" t="str">
        <f>VLOOKUP(Table8[[#This Row],[Country Code]],Table29[],6,FALSE)</f>
        <v>no</v>
      </c>
      <c r="AV1704" s="233" t="str">
        <f>VLOOKUP(Table8[[#This Row],[Country Code]],Table29[],7,FALSE)</f>
        <v>no</v>
      </c>
      <c r="AW1704" s="233" t="str">
        <f>VLOOKUP(Table8[[#This Row],[Country Code]],Table29[],8,FALSE)</f>
        <v>OECD</v>
      </c>
      <c r="AX1704" s="233" t="str">
        <f>VLOOKUP(Table8[[#This Row],[Country Code]],Table29[],9,FALSE)</f>
        <v>EU27</v>
      </c>
      <c r="AY1704" s="233" t="str">
        <f>VLOOKUP(Table8[[#This Row],[Country Code]],Table29[],10,FALSE)</f>
        <v>no</v>
      </c>
      <c r="AZ1704" s="235">
        <f>VLOOKUP(Table8[[#This Row],[Country Code]],Table29[],23,FALSE)</f>
        <v>150.74579824257</v>
      </c>
      <c r="BA1704" s="235">
        <f>VLOOKUP(Table8[[#This Row],[Country Code]],Table29[],24,FALSE)</f>
        <v>25.78124755164097</v>
      </c>
      <c r="BB1704" s="320"/>
      <c r="BC1704" s="320"/>
    </row>
    <row r="1705" spans="1:55" ht="30" hidden="1" x14ac:dyDescent="0.25">
      <c r="A1705" s="373">
        <v>26786</v>
      </c>
      <c r="B1705" s="233" t="str">
        <f>VLOOKUP(Table8[[#This Row],[Document ID]],Table1[],2,FALSE)</f>
        <v>NZL</v>
      </c>
      <c r="C1705" s="233" t="str">
        <f>VLOOKUP(Table8[[#This Row],[Document ID]],Table1[],3,FALSE)</f>
        <v>New Zealand</v>
      </c>
      <c r="D1705" s="243" t="str">
        <f>VLOOKUP(Table8[[#This Row],[Document ID]],Table1[],5,FALSE)</f>
        <v>LTS</v>
      </c>
      <c r="E1705" s="233" t="str">
        <f>VLOOKUP(Table8[[#This Row],[Document ID]],Table1[],7,FALSE)</f>
        <v>LTS</v>
      </c>
      <c r="F1705" s="236" t="str">
        <f>VLOOKUP(Table8[[#This Row],[Document ID]],Table1[],8,FALSE)</f>
        <v>LTS 1.0</v>
      </c>
      <c r="G1705" s="236" t="str">
        <f>VLOOKUP(Table8[[#This Row],[Document ID]],Table1[],10,FALSE)</f>
        <v>Active</v>
      </c>
      <c r="H1705" s="43" t="s">
        <v>2350</v>
      </c>
      <c r="I1705" s="43" t="s">
        <v>2370</v>
      </c>
      <c r="J1705" s="44" t="s">
        <v>2418</v>
      </c>
      <c r="K1705" s="44" t="s">
        <v>3911</v>
      </c>
      <c r="L1705" s="44" t="s">
        <v>2380</v>
      </c>
      <c r="M1705" s="43">
        <v>37</v>
      </c>
      <c r="N1705" s="113" t="s">
        <v>1113</v>
      </c>
      <c r="O1705" s="113"/>
      <c r="P1705" s="113"/>
      <c r="Q1705" s="113"/>
      <c r="R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t="s">
        <v>1113</v>
      </c>
      <c r="AL1705" s="113"/>
      <c r="AM1705" s="113"/>
      <c r="AN1705" s="113"/>
      <c r="AO1705" s="44" t="s">
        <v>2334</v>
      </c>
      <c r="AP1705" s="43"/>
      <c r="AQ1705" s="236" t="str">
        <f>VLOOKUP(Table8[[#This Row],[Instrument]],Def_Targets!$D$73:$E$159,2,FALSE)</f>
        <v>A_Complan</v>
      </c>
      <c r="AR1705" s="233" t="str">
        <f>VLOOKUP(Table8[[#This Row],[Country Code]],Table29[],3,FALSE)</f>
        <v>Annex I</v>
      </c>
      <c r="AS1705" s="233" t="str">
        <f>VLOOKUP(Table8[[#This Row],[Country Code]],Table29[],4,FALSE)</f>
        <v>Oceania</v>
      </c>
      <c r="AT1705" s="233" t="str">
        <f>VLOOKUP(Table8[[#This Row],[Country Code]],Table29[],5,FALSE)</f>
        <v>High-income</v>
      </c>
      <c r="AU1705" s="233" t="str">
        <f>VLOOKUP(Table8[[#This Row],[Country Code]],Table29[],6,FALSE)</f>
        <v>no</v>
      </c>
      <c r="AV1705" s="233" t="str">
        <f>VLOOKUP(Table8[[#This Row],[Country Code]],Table29[],7,FALSE)</f>
        <v>no</v>
      </c>
      <c r="AW1705" s="233" t="str">
        <f>VLOOKUP(Table8[[#This Row],[Country Code]],Table29[],8,FALSE)</f>
        <v>OECD</v>
      </c>
      <c r="AX1705" s="233" t="str">
        <f>VLOOKUP(Table8[[#This Row],[Country Code]],Table29[],9,FALSE)</f>
        <v>no</v>
      </c>
      <c r="AY1705" s="233" t="str">
        <f>VLOOKUP(Table8[[#This Row],[Country Code]],Table29[],10,FALSE)</f>
        <v>no</v>
      </c>
      <c r="AZ1705" s="235">
        <f>VLOOKUP(Table8[[#This Row],[Country Code]],Table29[],23,FALSE)</f>
        <v>84.209811532415003</v>
      </c>
      <c r="BA1705" s="235">
        <f>VLOOKUP(Table8[[#This Row],[Country Code]],Table29[],24,FALSE)</f>
        <v>16.240725424217811</v>
      </c>
      <c r="BB1705" s="320"/>
      <c r="BC1705" s="320"/>
    </row>
    <row r="1706" spans="1:55" ht="30" hidden="1" x14ac:dyDescent="0.25">
      <c r="A1706" s="373">
        <v>26786</v>
      </c>
      <c r="B1706" s="233" t="str">
        <f>VLOOKUP(Table8[[#This Row],[Document ID]],Table1[],2,FALSE)</f>
        <v>NZL</v>
      </c>
      <c r="C1706" s="233" t="str">
        <f>VLOOKUP(Table8[[#This Row],[Document ID]],Table1[],3,FALSE)</f>
        <v>New Zealand</v>
      </c>
      <c r="D1706" s="243" t="str">
        <f>VLOOKUP(Table8[[#This Row],[Document ID]],Table1[],5,FALSE)</f>
        <v>LTS</v>
      </c>
      <c r="E1706" s="233" t="str">
        <f>VLOOKUP(Table8[[#This Row],[Document ID]],Table1[],7,FALSE)</f>
        <v>LTS</v>
      </c>
      <c r="F1706" s="236" t="str">
        <f>VLOOKUP(Table8[[#This Row],[Document ID]],Table1[],8,FALSE)</f>
        <v>LTS 1.0</v>
      </c>
      <c r="G1706" s="236" t="str">
        <f>VLOOKUP(Table8[[#This Row],[Document ID]],Table1[],10,FALSE)</f>
        <v>Active</v>
      </c>
      <c r="H1706" s="43" t="s">
        <v>2358</v>
      </c>
      <c r="I1706" s="43" t="s">
        <v>2359</v>
      </c>
      <c r="J1706" s="44" t="s">
        <v>2389</v>
      </c>
      <c r="K1706" s="44" t="s">
        <v>3912</v>
      </c>
      <c r="L1706" s="44" t="s">
        <v>2333</v>
      </c>
      <c r="M1706" s="43">
        <v>46</v>
      </c>
      <c r="N1706" s="113"/>
      <c r="O1706" s="113"/>
      <c r="P1706" s="113"/>
      <c r="Q1706" s="113"/>
      <c r="R1706" s="113"/>
      <c r="S1706" s="113" t="s">
        <v>1113</v>
      </c>
      <c r="T1706" s="113"/>
      <c r="U1706" s="113"/>
      <c r="V1706" s="113"/>
      <c r="W1706" s="113"/>
      <c r="X1706" s="113"/>
      <c r="Y1706" s="113"/>
      <c r="Z1706" s="113"/>
      <c r="AA1706" s="113"/>
      <c r="AB1706" s="113"/>
      <c r="AC1706" s="113"/>
      <c r="AD1706" s="113"/>
      <c r="AE1706" s="113"/>
      <c r="AF1706" s="113"/>
      <c r="AG1706" s="113"/>
      <c r="AH1706" s="113"/>
      <c r="AI1706" s="113"/>
      <c r="AJ1706" s="113"/>
      <c r="AK1706" s="113" t="s">
        <v>1113</v>
      </c>
      <c r="AL1706" s="113"/>
      <c r="AM1706" s="113"/>
      <c r="AN1706" s="113"/>
      <c r="AO1706" s="44" t="s">
        <v>2334</v>
      </c>
      <c r="AP1706" s="43"/>
      <c r="AQ1706" s="236" t="str">
        <f>VLOOKUP(Table8[[#This Row],[Instrument]],Def_Targets!$D$73:$E$159,2,FALSE)</f>
        <v>I_Emobilitypurchase</v>
      </c>
      <c r="AR1706" s="233" t="str">
        <f>VLOOKUP(Table8[[#This Row],[Country Code]],Table29[],3,FALSE)</f>
        <v>Annex I</v>
      </c>
      <c r="AS1706" s="233" t="str">
        <f>VLOOKUP(Table8[[#This Row],[Country Code]],Table29[],4,FALSE)</f>
        <v>Oceania</v>
      </c>
      <c r="AT1706" s="233" t="str">
        <f>VLOOKUP(Table8[[#This Row],[Country Code]],Table29[],5,FALSE)</f>
        <v>High-income</v>
      </c>
      <c r="AU1706" s="233" t="str">
        <f>VLOOKUP(Table8[[#This Row],[Country Code]],Table29[],6,FALSE)</f>
        <v>no</v>
      </c>
      <c r="AV1706" s="233" t="str">
        <f>VLOOKUP(Table8[[#This Row],[Country Code]],Table29[],7,FALSE)</f>
        <v>no</v>
      </c>
      <c r="AW1706" s="233" t="str">
        <f>VLOOKUP(Table8[[#This Row],[Country Code]],Table29[],8,FALSE)</f>
        <v>OECD</v>
      </c>
      <c r="AX1706" s="233" t="str">
        <f>VLOOKUP(Table8[[#This Row],[Country Code]],Table29[],9,FALSE)</f>
        <v>no</v>
      </c>
      <c r="AY1706" s="233" t="str">
        <f>VLOOKUP(Table8[[#This Row],[Country Code]],Table29[],10,FALSE)</f>
        <v>no</v>
      </c>
      <c r="AZ1706" s="235">
        <f>VLOOKUP(Table8[[#This Row],[Country Code]],Table29[],23,FALSE)</f>
        <v>84.209811532415003</v>
      </c>
      <c r="BA1706" s="235">
        <f>VLOOKUP(Table8[[#This Row],[Country Code]],Table29[],24,FALSE)</f>
        <v>16.240725424217811</v>
      </c>
      <c r="BB1706" s="320"/>
      <c r="BC1706" s="320"/>
    </row>
    <row r="1707" spans="1:55" ht="45" hidden="1" x14ac:dyDescent="0.25">
      <c r="A1707" s="373">
        <v>26786</v>
      </c>
      <c r="B1707" s="233" t="str">
        <f>VLOOKUP(Table8[[#This Row],[Document ID]],Table1[],2,FALSE)</f>
        <v>NZL</v>
      </c>
      <c r="C1707" s="233" t="str">
        <f>VLOOKUP(Table8[[#This Row],[Document ID]],Table1[],3,FALSE)</f>
        <v>New Zealand</v>
      </c>
      <c r="D1707" s="243" t="str">
        <f>VLOOKUP(Table8[[#This Row],[Document ID]],Table1[],5,FALSE)</f>
        <v>LTS</v>
      </c>
      <c r="E1707" s="233" t="str">
        <f>VLOOKUP(Table8[[#This Row],[Document ID]],Table1[],7,FALSE)</f>
        <v>LTS</v>
      </c>
      <c r="F1707" s="236" t="str">
        <f>VLOOKUP(Table8[[#This Row],[Document ID]],Table1[],8,FALSE)</f>
        <v>LTS 1.0</v>
      </c>
      <c r="G1707" s="236" t="str">
        <f>VLOOKUP(Table8[[#This Row],[Document ID]],Table1[],10,FALSE)</f>
        <v>Active</v>
      </c>
      <c r="H1707" s="43" t="s">
        <v>2343</v>
      </c>
      <c r="I1707" s="43" t="s">
        <v>2386</v>
      </c>
      <c r="J1707" s="44" t="s">
        <v>2397</v>
      </c>
      <c r="K1707" s="44" t="s">
        <v>3913</v>
      </c>
      <c r="L1707" s="44" t="s">
        <v>2333</v>
      </c>
      <c r="M1707" s="43">
        <v>46</v>
      </c>
      <c r="N1707" s="113"/>
      <c r="O1707" s="113"/>
      <c r="P1707" s="113"/>
      <c r="Q1707" s="113"/>
      <c r="R1707" s="113"/>
      <c r="S1707" s="113" t="s">
        <v>1113</v>
      </c>
      <c r="T1707" s="113"/>
      <c r="U1707" s="113"/>
      <c r="V1707" s="113"/>
      <c r="W1707" s="113"/>
      <c r="X1707" s="113"/>
      <c r="Y1707" s="113"/>
      <c r="Z1707" s="113"/>
      <c r="AA1707" s="113"/>
      <c r="AB1707" s="113"/>
      <c r="AC1707" s="113"/>
      <c r="AD1707" s="113"/>
      <c r="AE1707" s="113"/>
      <c r="AF1707" s="113"/>
      <c r="AG1707" s="113"/>
      <c r="AH1707" s="113"/>
      <c r="AI1707" s="113"/>
      <c r="AJ1707" s="113"/>
      <c r="AK1707" s="113" t="s">
        <v>1113</v>
      </c>
      <c r="AL1707" s="113"/>
      <c r="AM1707" s="113"/>
      <c r="AN1707" s="113"/>
      <c r="AO1707" s="44" t="s">
        <v>2334</v>
      </c>
      <c r="AP1707" s="43"/>
      <c r="AQ1707" s="236" t="str">
        <f>VLOOKUP(Table8[[#This Row],[Instrument]],Def_Targets!$D$73:$E$159,2,FALSE)</f>
        <v>A_Finance</v>
      </c>
      <c r="AR1707" s="233" t="str">
        <f>VLOOKUP(Table8[[#This Row],[Country Code]],Table29[],3,FALSE)</f>
        <v>Annex I</v>
      </c>
      <c r="AS1707" s="233" t="str">
        <f>VLOOKUP(Table8[[#This Row],[Country Code]],Table29[],4,FALSE)</f>
        <v>Oceania</v>
      </c>
      <c r="AT1707" s="233" t="str">
        <f>VLOOKUP(Table8[[#This Row],[Country Code]],Table29[],5,FALSE)</f>
        <v>High-income</v>
      </c>
      <c r="AU1707" s="233" t="str">
        <f>VLOOKUP(Table8[[#This Row],[Country Code]],Table29[],6,FALSE)</f>
        <v>no</v>
      </c>
      <c r="AV1707" s="233" t="str">
        <f>VLOOKUP(Table8[[#This Row],[Country Code]],Table29[],7,FALSE)</f>
        <v>no</v>
      </c>
      <c r="AW1707" s="233" t="str">
        <f>VLOOKUP(Table8[[#This Row],[Country Code]],Table29[],8,FALSE)</f>
        <v>OECD</v>
      </c>
      <c r="AX1707" s="233" t="str">
        <f>VLOOKUP(Table8[[#This Row],[Country Code]],Table29[],9,FALSE)</f>
        <v>no</v>
      </c>
      <c r="AY1707" s="233" t="str">
        <f>VLOOKUP(Table8[[#This Row],[Country Code]],Table29[],10,FALSE)</f>
        <v>no</v>
      </c>
      <c r="AZ1707" s="235">
        <f>VLOOKUP(Table8[[#This Row],[Country Code]],Table29[],23,FALSE)</f>
        <v>84.209811532415003</v>
      </c>
      <c r="BA1707" s="235">
        <f>VLOOKUP(Table8[[#This Row],[Country Code]],Table29[],24,FALSE)</f>
        <v>16.240725424217811</v>
      </c>
      <c r="BB1707" s="320"/>
      <c r="BC1707" s="320"/>
    </row>
    <row r="1708" spans="1:55" ht="45" hidden="1" x14ac:dyDescent="0.25">
      <c r="A1708" s="373">
        <v>26786</v>
      </c>
      <c r="B1708" s="233" t="str">
        <f>VLOOKUP(Table8[[#This Row],[Document ID]],Table1[],2,FALSE)</f>
        <v>NZL</v>
      </c>
      <c r="C1708" s="233" t="str">
        <f>VLOOKUP(Table8[[#This Row],[Document ID]],Table1[],3,FALSE)</f>
        <v>New Zealand</v>
      </c>
      <c r="D1708" s="243" t="str">
        <f>VLOOKUP(Table8[[#This Row],[Document ID]],Table1[],5,FALSE)</f>
        <v>LTS</v>
      </c>
      <c r="E1708" s="233" t="str">
        <f>VLOOKUP(Table8[[#This Row],[Document ID]],Table1[],7,FALSE)</f>
        <v>LTS</v>
      </c>
      <c r="F1708" s="236" t="str">
        <f>VLOOKUP(Table8[[#This Row],[Document ID]],Table1[],8,FALSE)</f>
        <v>LTS 1.0</v>
      </c>
      <c r="G1708" s="236" t="str">
        <f>VLOOKUP(Table8[[#This Row],[Document ID]],Table1[],10,FALSE)</f>
        <v>Active</v>
      </c>
      <c r="H1708" s="43" t="s">
        <v>2343</v>
      </c>
      <c r="I1708" s="43" t="s">
        <v>2386</v>
      </c>
      <c r="J1708" s="44" t="s">
        <v>2397</v>
      </c>
      <c r="K1708" s="44" t="s">
        <v>3914</v>
      </c>
      <c r="L1708" s="44" t="s">
        <v>2333</v>
      </c>
      <c r="M1708" s="43">
        <v>46</v>
      </c>
      <c r="N1708" s="113"/>
      <c r="O1708" s="113"/>
      <c r="P1708" s="113"/>
      <c r="Q1708" s="113"/>
      <c r="R1708" s="113"/>
      <c r="S1708" s="113" t="s">
        <v>1113</v>
      </c>
      <c r="T1708" s="113"/>
      <c r="U1708" s="113"/>
      <c r="V1708" s="113"/>
      <c r="W1708" s="113"/>
      <c r="X1708" s="113"/>
      <c r="Y1708" s="113"/>
      <c r="Z1708" s="113"/>
      <c r="AA1708" s="113"/>
      <c r="AB1708" s="113"/>
      <c r="AC1708" s="113"/>
      <c r="AD1708" s="113"/>
      <c r="AE1708" s="113"/>
      <c r="AF1708" s="113"/>
      <c r="AG1708" s="113"/>
      <c r="AH1708" s="113"/>
      <c r="AI1708" s="113"/>
      <c r="AJ1708" s="113"/>
      <c r="AK1708" s="113" t="s">
        <v>1113</v>
      </c>
      <c r="AL1708" s="113"/>
      <c r="AM1708" s="113"/>
      <c r="AN1708" s="113"/>
      <c r="AO1708" s="44" t="s">
        <v>2334</v>
      </c>
      <c r="AP1708" s="43"/>
      <c r="AQ1708" s="236" t="str">
        <f>VLOOKUP(Table8[[#This Row],[Instrument]],Def_Targets!$D$73:$E$159,2,FALSE)</f>
        <v>A_Finance</v>
      </c>
      <c r="AR1708" s="233" t="str">
        <f>VLOOKUP(Table8[[#This Row],[Country Code]],Table29[],3,FALSE)</f>
        <v>Annex I</v>
      </c>
      <c r="AS1708" s="233" t="str">
        <f>VLOOKUP(Table8[[#This Row],[Country Code]],Table29[],4,FALSE)</f>
        <v>Oceania</v>
      </c>
      <c r="AT1708" s="233" t="str">
        <f>VLOOKUP(Table8[[#This Row],[Country Code]],Table29[],5,FALSE)</f>
        <v>High-income</v>
      </c>
      <c r="AU1708" s="233" t="str">
        <f>VLOOKUP(Table8[[#This Row],[Country Code]],Table29[],6,FALSE)</f>
        <v>no</v>
      </c>
      <c r="AV1708" s="233" t="str">
        <f>VLOOKUP(Table8[[#This Row],[Country Code]],Table29[],7,FALSE)</f>
        <v>no</v>
      </c>
      <c r="AW1708" s="233" t="str">
        <f>VLOOKUP(Table8[[#This Row],[Country Code]],Table29[],8,FALSE)</f>
        <v>OECD</v>
      </c>
      <c r="AX1708" s="233" t="str">
        <f>VLOOKUP(Table8[[#This Row],[Country Code]],Table29[],9,FALSE)</f>
        <v>no</v>
      </c>
      <c r="AY1708" s="233" t="str">
        <f>VLOOKUP(Table8[[#This Row],[Country Code]],Table29[],10,FALSE)</f>
        <v>no</v>
      </c>
      <c r="AZ1708" s="235">
        <f>VLOOKUP(Table8[[#This Row],[Country Code]],Table29[],23,FALSE)</f>
        <v>84.209811532415003</v>
      </c>
      <c r="BA1708" s="235">
        <f>VLOOKUP(Table8[[#This Row],[Country Code]],Table29[],24,FALSE)</f>
        <v>16.240725424217811</v>
      </c>
      <c r="BB1708" s="320"/>
      <c r="BC1708" s="320"/>
    </row>
    <row r="1709" spans="1:55" ht="30" hidden="1" x14ac:dyDescent="0.25">
      <c r="A1709" s="373">
        <v>26786</v>
      </c>
      <c r="B1709" s="233" t="str">
        <f>VLOOKUP(Table8[[#This Row],[Document ID]],Table1[],2,FALSE)</f>
        <v>NZL</v>
      </c>
      <c r="C1709" s="233" t="str">
        <f>VLOOKUP(Table8[[#This Row],[Document ID]],Table1[],3,FALSE)</f>
        <v>New Zealand</v>
      </c>
      <c r="D1709" s="243" t="str">
        <f>VLOOKUP(Table8[[#This Row],[Document ID]],Table1[],5,FALSE)</f>
        <v>LTS</v>
      </c>
      <c r="E1709" s="233" t="str">
        <f>VLOOKUP(Table8[[#This Row],[Document ID]],Table1[],7,FALSE)</f>
        <v>LTS</v>
      </c>
      <c r="F1709" s="236" t="str">
        <f>VLOOKUP(Table8[[#This Row],[Document ID]],Table1[],8,FALSE)</f>
        <v>LTS 1.0</v>
      </c>
      <c r="G1709" s="236" t="str">
        <f>VLOOKUP(Table8[[#This Row],[Document ID]],Table1[],10,FALSE)</f>
        <v>Active</v>
      </c>
      <c r="H1709" s="44" t="s">
        <v>2338</v>
      </c>
      <c r="I1709" s="44" t="s">
        <v>2339</v>
      </c>
      <c r="J1709" s="44" t="s">
        <v>2410</v>
      </c>
      <c r="K1709" s="44" t="s">
        <v>3915</v>
      </c>
      <c r="L1709" s="44" t="s">
        <v>2333</v>
      </c>
      <c r="M1709" s="43">
        <v>46</v>
      </c>
      <c r="N1709" s="113"/>
      <c r="O1709" s="113"/>
      <c r="P1709" s="113"/>
      <c r="Q1709" s="113"/>
      <c r="R1709" s="113"/>
      <c r="S1709" s="113" t="s">
        <v>1113</v>
      </c>
      <c r="T1709" s="113"/>
      <c r="U1709" s="113"/>
      <c r="V1709" s="113"/>
      <c r="W1709" s="113"/>
      <c r="X1709" s="113"/>
      <c r="Y1709" s="113"/>
      <c r="Z1709" s="113"/>
      <c r="AA1709" s="113"/>
      <c r="AB1709" s="113"/>
      <c r="AC1709" s="113"/>
      <c r="AD1709" s="113"/>
      <c r="AE1709" s="113"/>
      <c r="AF1709" s="113"/>
      <c r="AG1709" s="113"/>
      <c r="AH1709" s="113"/>
      <c r="AI1709" s="113"/>
      <c r="AJ1709" s="113"/>
      <c r="AK1709" s="113" t="s">
        <v>1113</v>
      </c>
      <c r="AL1709" s="113"/>
      <c r="AM1709" s="113"/>
      <c r="AN1709" s="113"/>
      <c r="AO1709" s="44" t="s">
        <v>2334</v>
      </c>
      <c r="AP1709" s="43"/>
      <c r="AQ1709" s="236" t="str">
        <f>VLOOKUP(Table8[[#This Row],[Instrument]],Def_Targets!$D$73:$E$159,2,FALSE)</f>
        <v>I_VehicleRestrictions</v>
      </c>
      <c r="AR1709" s="233" t="str">
        <f>VLOOKUP(Table8[[#This Row],[Country Code]],Table29[],3,FALSE)</f>
        <v>Annex I</v>
      </c>
      <c r="AS1709" s="233" t="str">
        <f>VLOOKUP(Table8[[#This Row],[Country Code]],Table29[],4,FALSE)</f>
        <v>Oceania</v>
      </c>
      <c r="AT1709" s="233" t="str">
        <f>VLOOKUP(Table8[[#This Row],[Country Code]],Table29[],5,FALSE)</f>
        <v>High-income</v>
      </c>
      <c r="AU1709" s="233" t="str">
        <f>VLOOKUP(Table8[[#This Row],[Country Code]],Table29[],6,FALSE)</f>
        <v>no</v>
      </c>
      <c r="AV1709" s="233" t="str">
        <f>VLOOKUP(Table8[[#This Row],[Country Code]],Table29[],7,FALSE)</f>
        <v>no</v>
      </c>
      <c r="AW1709" s="233" t="str">
        <f>VLOOKUP(Table8[[#This Row],[Country Code]],Table29[],8,FALSE)</f>
        <v>OECD</v>
      </c>
      <c r="AX1709" s="233" t="str">
        <f>VLOOKUP(Table8[[#This Row],[Country Code]],Table29[],9,FALSE)</f>
        <v>no</v>
      </c>
      <c r="AY1709" s="233" t="str">
        <f>VLOOKUP(Table8[[#This Row],[Country Code]],Table29[],10,FALSE)</f>
        <v>no</v>
      </c>
      <c r="AZ1709" s="235">
        <f>VLOOKUP(Table8[[#This Row],[Country Code]],Table29[],23,FALSE)</f>
        <v>84.209811532415003</v>
      </c>
      <c r="BA1709" s="235">
        <f>VLOOKUP(Table8[[#This Row],[Country Code]],Table29[],24,FALSE)</f>
        <v>16.240725424217811</v>
      </c>
      <c r="BB1709" s="320"/>
      <c r="BC1709" s="320"/>
    </row>
    <row r="1710" spans="1:55" ht="45" hidden="1" x14ac:dyDescent="0.25">
      <c r="A1710" s="373">
        <v>26786</v>
      </c>
      <c r="B1710" s="233" t="str">
        <f>VLOOKUP(Table8[[#This Row],[Document ID]],Table1[],2,FALSE)</f>
        <v>NZL</v>
      </c>
      <c r="C1710" s="233" t="str">
        <f>VLOOKUP(Table8[[#This Row],[Document ID]],Table1[],3,FALSE)</f>
        <v>New Zealand</v>
      </c>
      <c r="D1710" s="243" t="str">
        <f>VLOOKUP(Table8[[#This Row],[Document ID]],Table1[],5,FALSE)</f>
        <v>LTS</v>
      </c>
      <c r="E1710" s="233" t="str">
        <f>VLOOKUP(Table8[[#This Row],[Document ID]],Table1[],7,FALSE)</f>
        <v>LTS</v>
      </c>
      <c r="F1710" s="236" t="str">
        <f>VLOOKUP(Table8[[#This Row],[Document ID]],Table1[],8,FALSE)</f>
        <v>LTS 1.0</v>
      </c>
      <c r="G1710" s="236" t="str">
        <f>VLOOKUP(Table8[[#This Row],[Document ID]],Table1[],10,FALSE)</f>
        <v>Active</v>
      </c>
      <c r="H1710" s="43" t="s">
        <v>2343</v>
      </c>
      <c r="I1710" s="43" t="s">
        <v>2386</v>
      </c>
      <c r="J1710" s="44" t="s">
        <v>2387</v>
      </c>
      <c r="K1710" s="44" t="s">
        <v>3916</v>
      </c>
      <c r="L1710" s="44" t="s">
        <v>2333</v>
      </c>
      <c r="M1710" s="43">
        <v>46</v>
      </c>
      <c r="N1710" s="113"/>
      <c r="O1710" s="113"/>
      <c r="P1710" s="113"/>
      <c r="Q1710" s="113"/>
      <c r="R1710" s="113"/>
      <c r="S1710" s="113" t="s">
        <v>1113</v>
      </c>
      <c r="T1710" s="113"/>
      <c r="U1710" s="113"/>
      <c r="V1710" s="113"/>
      <c r="W1710" s="113"/>
      <c r="X1710" s="113"/>
      <c r="Y1710" s="113"/>
      <c r="Z1710" s="113"/>
      <c r="AA1710" s="113"/>
      <c r="AB1710" s="113"/>
      <c r="AC1710" s="113"/>
      <c r="AD1710" s="113"/>
      <c r="AE1710" s="113"/>
      <c r="AF1710" s="113"/>
      <c r="AG1710" s="113"/>
      <c r="AH1710" s="113"/>
      <c r="AI1710" s="113"/>
      <c r="AJ1710" s="113"/>
      <c r="AK1710" s="113" t="s">
        <v>1113</v>
      </c>
      <c r="AL1710" s="113"/>
      <c r="AM1710" s="113"/>
      <c r="AN1710" s="113"/>
      <c r="AO1710" s="44" t="s">
        <v>2334</v>
      </c>
      <c r="AP1710" s="43"/>
      <c r="AQ1710" s="236" t="str">
        <f>VLOOKUP(Table8[[#This Row],[Instrument]],Def_Targets!$D$73:$E$159,2,FALSE)</f>
        <v>A_Procurement</v>
      </c>
      <c r="AR1710" s="233" t="str">
        <f>VLOOKUP(Table8[[#This Row],[Country Code]],Table29[],3,FALSE)</f>
        <v>Annex I</v>
      </c>
      <c r="AS1710" s="233" t="str">
        <f>VLOOKUP(Table8[[#This Row],[Country Code]],Table29[],4,FALSE)</f>
        <v>Oceania</v>
      </c>
      <c r="AT1710" s="233" t="str">
        <f>VLOOKUP(Table8[[#This Row],[Country Code]],Table29[],5,FALSE)</f>
        <v>High-income</v>
      </c>
      <c r="AU1710" s="233" t="str">
        <f>VLOOKUP(Table8[[#This Row],[Country Code]],Table29[],6,FALSE)</f>
        <v>no</v>
      </c>
      <c r="AV1710" s="233" t="str">
        <f>VLOOKUP(Table8[[#This Row],[Country Code]],Table29[],7,FALSE)</f>
        <v>no</v>
      </c>
      <c r="AW1710" s="233" t="str">
        <f>VLOOKUP(Table8[[#This Row],[Country Code]],Table29[],8,FALSE)</f>
        <v>OECD</v>
      </c>
      <c r="AX1710" s="233" t="str">
        <f>VLOOKUP(Table8[[#This Row],[Country Code]],Table29[],9,FALSE)</f>
        <v>no</v>
      </c>
      <c r="AY1710" s="233" t="str">
        <f>VLOOKUP(Table8[[#This Row],[Country Code]],Table29[],10,FALSE)</f>
        <v>no</v>
      </c>
      <c r="AZ1710" s="235">
        <f>VLOOKUP(Table8[[#This Row],[Country Code]],Table29[],23,FALSE)</f>
        <v>84.209811532415003</v>
      </c>
      <c r="BA1710" s="235">
        <f>VLOOKUP(Table8[[#This Row],[Country Code]],Table29[],24,FALSE)</f>
        <v>16.240725424217811</v>
      </c>
      <c r="BB1710" s="320"/>
      <c r="BC1710" s="320"/>
    </row>
    <row r="1711" spans="1:55" ht="45" hidden="1" x14ac:dyDescent="0.25">
      <c r="A1711" s="373">
        <v>26786</v>
      </c>
      <c r="B1711" s="233" t="str">
        <f>VLOOKUP(Table8[[#This Row],[Document ID]],Table1[],2,FALSE)</f>
        <v>NZL</v>
      </c>
      <c r="C1711" s="233" t="str">
        <f>VLOOKUP(Table8[[#This Row],[Document ID]],Table1[],3,FALSE)</f>
        <v>New Zealand</v>
      </c>
      <c r="D1711" s="243" t="str">
        <f>VLOOKUP(Table8[[#This Row],[Document ID]],Table1[],5,FALSE)</f>
        <v>LTS</v>
      </c>
      <c r="E1711" s="233" t="str">
        <f>VLOOKUP(Table8[[#This Row],[Document ID]],Table1[],7,FALSE)</f>
        <v>LTS</v>
      </c>
      <c r="F1711" s="236" t="str">
        <f>VLOOKUP(Table8[[#This Row],[Document ID]],Table1[],8,FALSE)</f>
        <v>LTS 1.0</v>
      </c>
      <c r="G1711" s="236" t="str">
        <f>VLOOKUP(Table8[[#This Row],[Document ID]],Table1[],10,FALSE)</f>
        <v>Active</v>
      </c>
      <c r="H1711" s="43" t="s">
        <v>2358</v>
      </c>
      <c r="I1711" s="43" t="s">
        <v>2359</v>
      </c>
      <c r="J1711" s="44" t="s">
        <v>2360</v>
      </c>
      <c r="K1711" s="44" t="s">
        <v>3917</v>
      </c>
      <c r="L1711" s="44" t="s">
        <v>2333</v>
      </c>
      <c r="M1711" s="43">
        <v>46</v>
      </c>
      <c r="N1711" s="113"/>
      <c r="O1711" s="113"/>
      <c r="P1711" s="113"/>
      <c r="Q1711" s="113"/>
      <c r="R1711" s="113"/>
      <c r="S1711" s="113" t="s">
        <v>1113</v>
      </c>
      <c r="T1711" s="113"/>
      <c r="U1711" s="113"/>
      <c r="V1711" s="113"/>
      <c r="W1711" s="113"/>
      <c r="X1711" s="113"/>
      <c r="Y1711" s="113"/>
      <c r="Z1711" s="113"/>
      <c r="AA1711" s="113"/>
      <c r="AB1711" s="113"/>
      <c r="AC1711" s="113"/>
      <c r="AD1711" s="113"/>
      <c r="AE1711" s="113"/>
      <c r="AF1711" s="113"/>
      <c r="AG1711" s="113"/>
      <c r="AH1711" s="113"/>
      <c r="AI1711" s="113"/>
      <c r="AJ1711" s="113"/>
      <c r="AK1711" s="113" t="s">
        <v>1113</v>
      </c>
      <c r="AL1711" s="113"/>
      <c r="AM1711" s="113"/>
      <c r="AN1711" s="113"/>
      <c r="AO1711" s="44" t="s">
        <v>2334</v>
      </c>
      <c r="AP1711" s="43"/>
      <c r="AQ1711" s="236" t="str">
        <f>VLOOKUP(Table8[[#This Row],[Instrument]],Def_Targets!$D$73:$E$159,2,FALSE)</f>
        <v>I_Emobility</v>
      </c>
      <c r="AR1711" s="233" t="str">
        <f>VLOOKUP(Table8[[#This Row],[Country Code]],Table29[],3,FALSE)</f>
        <v>Annex I</v>
      </c>
      <c r="AS1711" s="233" t="str">
        <f>VLOOKUP(Table8[[#This Row],[Country Code]],Table29[],4,FALSE)</f>
        <v>Oceania</v>
      </c>
      <c r="AT1711" s="233" t="str">
        <f>VLOOKUP(Table8[[#This Row],[Country Code]],Table29[],5,FALSE)</f>
        <v>High-income</v>
      </c>
      <c r="AU1711" s="233" t="str">
        <f>VLOOKUP(Table8[[#This Row],[Country Code]],Table29[],6,FALSE)</f>
        <v>no</v>
      </c>
      <c r="AV1711" s="233" t="str">
        <f>VLOOKUP(Table8[[#This Row],[Country Code]],Table29[],7,FALSE)</f>
        <v>no</v>
      </c>
      <c r="AW1711" s="233" t="str">
        <f>VLOOKUP(Table8[[#This Row],[Country Code]],Table29[],8,FALSE)</f>
        <v>OECD</v>
      </c>
      <c r="AX1711" s="233" t="str">
        <f>VLOOKUP(Table8[[#This Row],[Country Code]],Table29[],9,FALSE)</f>
        <v>no</v>
      </c>
      <c r="AY1711" s="233" t="str">
        <f>VLOOKUP(Table8[[#This Row],[Country Code]],Table29[],10,FALSE)</f>
        <v>no</v>
      </c>
      <c r="AZ1711" s="235">
        <f>VLOOKUP(Table8[[#This Row],[Country Code]],Table29[],23,FALSE)</f>
        <v>84.209811532415003</v>
      </c>
      <c r="BA1711" s="235">
        <f>VLOOKUP(Table8[[#This Row],[Country Code]],Table29[],24,FALSE)</f>
        <v>16.240725424217811</v>
      </c>
      <c r="BB1711" s="320"/>
      <c r="BC1711" s="320"/>
    </row>
    <row r="1712" spans="1:55" ht="45" hidden="1" x14ac:dyDescent="0.25">
      <c r="A1712" s="373">
        <v>26786</v>
      </c>
      <c r="B1712" s="233" t="str">
        <f>VLOOKUP(Table8[[#This Row],[Document ID]],Table1[],2,FALSE)</f>
        <v>NZL</v>
      </c>
      <c r="C1712" s="233" t="str">
        <f>VLOOKUP(Table8[[#This Row],[Document ID]],Table1[],3,FALSE)</f>
        <v>New Zealand</v>
      </c>
      <c r="D1712" s="243" t="str">
        <f>VLOOKUP(Table8[[#This Row],[Document ID]],Table1[],5,FALSE)</f>
        <v>LTS</v>
      </c>
      <c r="E1712" s="233" t="str">
        <f>VLOOKUP(Table8[[#This Row],[Document ID]],Table1[],7,FALSE)</f>
        <v>LTS</v>
      </c>
      <c r="F1712" s="236" t="str">
        <f>VLOOKUP(Table8[[#This Row],[Document ID]],Table1[],8,FALSE)</f>
        <v>LTS 1.0</v>
      </c>
      <c r="G1712" s="236" t="str">
        <f>VLOOKUP(Table8[[#This Row],[Document ID]],Table1[],10,FALSE)</f>
        <v>Active</v>
      </c>
      <c r="H1712" s="43" t="s">
        <v>2358</v>
      </c>
      <c r="I1712" s="43" t="s">
        <v>2359</v>
      </c>
      <c r="J1712" s="44" t="s">
        <v>2389</v>
      </c>
      <c r="K1712" s="44" t="s">
        <v>3918</v>
      </c>
      <c r="L1712" s="44" t="s">
        <v>2333</v>
      </c>
      <c r="M1712" s="43">
        <v>46</v>
      </c>
      <c r="N1712" s="113"/>
      <c r="O1712" s="113"/>
      <c r="P1712" s="113"/>
      <c r="Q1712" s="113"/>
      <c r="R1712" s="113"/>
      <c r="S1712" s="113"/>
      <c r="T1712" s="113"/>
      <c r="U1712" s="113"/>
      <c r="V1712" s="113"/>
      <c r="W1712" s="113"/>
      <c r="X1712" s="113" t="s">
        <v>1113</v>
      </c>
      <c r="Y1712" s="113"/>
      <c r="Z1712" s="113"/>
      <c r="AA1712" s="113"/>
      <c r="AB1712" s="113"/>
      <c r="AC1712" s="113"/>
      <c r="AD1712" s="113"/>
      <c r="AE1712" s="113"/>
      <c r="AF1712" s="113"/>
      <c r="AG1712" s="113"/>
      <c r="AH1712" s="113"/>
      <c r="AI1712" s="113"/>
      <c r="AJ1712" s="113"/>
      <c r="AK1712" s="113" t="s">
        <v>1113</v>
      </c>
      <c r="AL1712" s="113"/>
      <c r="AM1712" s="113"/>
      <c r="AN1712" s="113"/>
      <c r="AO1712" s="44" t="s">
        <v>2334</v>
      </c>
      <c r="AP1712" s="43"/>
      <c r="AQ1712" s="236" t="str">
        <f>VLOOKUP(Table8[[#This Row],[Instrument]],Def_Targets!$D$73:$E$159,2,FALSE)</f>
        <v>I_Emobilitypurchase</v>
      </c>
      <c r="AR1712" s="233" t="str">
        <f>VLOOKUP(Table8[[#This Row],[Country Code]],Table29[],3,FALSE)</f>
        <v>Annex I</v>
      </c>
      <c r="AS1712" s="233" t="str">
        <f>VLOOKUP(Table8[[#This Row],[Country Code]],Table29[],4,FALSE)</f>
        <v>Oceania</v>
      </c>
      <c r="AT1712" s="233" t="str">
        <f>VLOOKUP(Table8[[#This Row],[Country Code]],Table29[],5,FALSE)</f>
        <v>High-income</v>
      </c>
      <c r="AU1712" s="233" t="str">
        <f>VLOOKUP(Table8[[#This Row],[Country Code]],Table29[],6,FALSE)</f>
        <v>no</v>
      </c>
      <c r="AV1712" s="233" t="str">
        <f>VLOOKUP(Table8[[#This Row],[Country Code]],Table29[],7,FALSE)</f>
        <v>no</v>
      </c>
      <c r="AW1712" s="233" t="str">
        <f>VLOOKUP(Table8[[#This Row],[Country Code]],Table29[],8,FALSE)</f>
        <v>OECD</v>
      </c>
      <c r="AX1712" s="233" t="str">
        <f>VLOOKUP(Table8[[#This Row],[Country Code]],Table29[],9,FALSE)</f>
        <v>no</v>
      </c>
      <c r="AY1712" s="233" t="str">
        <f>VLOOKUP(Table8[[#This Row],[Country Code]],Table29[],10,FALSE)</f>
        <v>no</v>
      </c>
      <c r="AZ1712" s="235">
        <f>VLOOKUP(Table8[[#This Row],[Country Code]],Table29[],23,FALSE)</f>
        <v>84.209811532415003</v>
      </c>
      <c r="BA1712" s="235">
        <f>VLOOKUP(Table8[[#This Row],[Country Code]],Table29[],24,FALSE)</f>
        <v>16.240725424217811</v>
      </c>
      <c r="BB1712" s="320"/>
      <c r="BC1712" s="320"/>
    </row>
    <row r="1713" spans="1:55" ht="45" hidden="1" x14ac:dyDescent="0.25">
      <c r="A1713" s="373">
        <v>26786</v>
      </c>
      <c r="B1713" s="233" t="str">
        <f>VLOOKUP(Table8[[#This Row],[Document ID]],Table1[],2,FALSE)</f>
        <v>NZL</v>
      </c>
      <c r="C1713" s="233" t="str">
        <f>VLOOKUP(Table8[[#This Row],[Document ID]],Table1[],3,FALSE)</f>
        <v>New Zealand</v>
      </c>
      <c r="D1713" s="243" t="str">
        <f>VLOOKUP(Table8[[#This Row],[Document ID]],Table1[],5,FALSE)</f>
        <v>LTS</v>
      </c>
      <c r="E1713" s="233" t="str">
        <f>VLOOKUP(Table8[[#This Row],[Document ID]],Table1[],7,FALSE)</f>
        <v>LTS</v>
      </c>
      <c r="F1713" s="236" t="str">
        <f>VLOOKUP(Table8[[#This Row],[Document ID]],Table1[],8,FALSE)</f>
        <v>LTS 1.0</v>
      </c>
      <c r="G1713" s="236" t="str">
        <f>VLOOKUP(Table8[[#This Row],[Document ID]],Table1[],10,FALSE)</f>
        <v>Active</v>
      </c>
      <c r="H1713" s="43" t="s">
        <v>2358</v>
      </c>
      <c r="I1713" s="43" t="s">
        <v>2359</v>
      </c>
      <c r="J1713" s="44" t="s">
        <v>2360</v>
      </c>
      <c r="K1713" s="44" t="s">
        <v>3919</v>
      </c>
      <c r="L1713" s="44" t="s">
        <v>2333</v>
      </c>
      <c r="M1713" s="43">
        <v>46</v>
      </c>
      <c r="N1713" s="113"/>
      <c r="O1713" s="113"/>
      <c r="P1713" s="113"/>
      <c r="Q1713" s="113"/>
      <c r="R1713" s="113"/>
      <c r="S1713" s="113"/>
      <c r="T1713" s="113"/>
      <c r="U1713" s="113"/>
      <c r="V1713" s="113"/>
      <c r="W1713" s="113"/>
      <c r="X1713" s="113"/>
      <c r="Y1713" s="113" t="s">
        <v>1113</v>
      </c>
      <c r="Z1713" s="113" t="s">
        <v>1113</v>
      </c>
      <c r="AA1713" s="113"/>
      <c r="AB1713" s="113"/>
      <c r="AC1713" s="113"/>
      <c r="AD1713" s="113"/>
      <c r="AE1713" s="113"/>
      <c r="AF1713" s="113"/>
      <c r="AG1713" s="113"/>
      <c r="AH1713" s="113"/>
      <c r="AI1713" s="113"/>
      <c r="AJ1713" s="113"/>
      <c r="AK1713" s="113" t="s">
        <v>1113</v>
      </c>
      <c r="AL1713" s="113"/>
      <c r="AM1713" s="113"/>
      <c r="AN1713" s="113"/>
      <c r="AO1713" s="44" t="s">
        <v>2334</v>
      </c>
      <c r="AP1713" s="43"/>
      <c r="AQ1713" s="236" t="str">
        <f>VLOOKUP(Table8[[#This Row],[Instrument]],Def_Targets!$D$73:$E$159,2,FALSE)</f>
        <v>I_Emobility</v>
      </c>
      <c r="AR1713" s="233" t="str">
        <f>VLOOKUP(Table8[[#This Row],[Country Code]],Table29[],3,FALSE)</f>
        <v>Annex I</v>
      </c>
      <c r="AS1713" s="233" t="str">
        <f>VLOOKUP(Table8[[#This Row],[Country Code]],Table29[],4,FALSE)</f>
        <v>Oceania</v>
      </c>
      <c r="AT1713" s="233" t="str">
        <f>VLOOKUP(Table8[[#This Row],[Country Code]],Table29[],5,FALSE)</f>
        <v>High-income</v>
      </c>
      <c r="AU1713" s="233" t="str">
        <f>VLOOKUP(Table8[[#This Row],[Country Code]],Table29[],6,FALSE)</f>
        <v>no</v>
      </c>
      <c r="AV1713" s="233" t="str">
        <f>VLOOKUP(Table8[[#This Row],[Country Code]],Table29[],7,FALSE)</f>
        <v>no</v>
      </c>
      <c r="AW1713" s="233" t="str">
        <f>VLOOKUP(Table8[[#This Row],[Country Code]],Table29[],8,FALSE)</f>
        <v>OECD</v>
      </c>
      <c r="AX1713" s="233" t="str">
        <f>VLOOKUP(Table8[[#This Row],[Country Code]],Table29[],9,FALSE)</f>
        <v>no</v>
      </c>
      <c r="AY1713" s="233" t="str">
        <f>VLOOKUP(Table8[[#This Row],[Country Code]],Table29[],10,FALSE)</f>
        <v>no</v>
      </c>
      <c r="AZ1713" s="235">
        <f>VLOOKUP(Table8[[#This Row],[Country Code]],Table29[],23,FALSE)</f>
        <v>84.209811532415003</v>
      </c>
      <c r="BA1713" s="235">
        <f>VLOOKUP(Table8[[#This Row],[Country Code]],Table29[],24,FALSE)</f>
        <v>16.240725424217811</v>
      </c>
      <c r="BB1713" s="320"/>
      <c r="BC1713" s="320"/>
    </row>
    <row r="1714" spans="1:55" ht="30" hidden="1" x14ac:dyDescent="0.25">
      <c r="A1714" s="373">
        <v>26786</v>
      </c>
      <c r="B1714" s="233" t="str">
        <f>VLOOKUP(Table8[[#This Row],[Document ID]],Table1[],2,FALSE)</f>
        <v>NZL</v>
      </c>
      <c r="C1714" s="233" t="str">
        <f>VLOOKUP(Table8[[#This Row],[Document ID]],Table1[],3,FALSE)</f>
        <v>New Zealand</v>
      </c>
      <c r="D1714" s="243" t="str">
        <f>VLOOKUP(Table8[[#This Row],[Document ID]],Table1[],5,FALSE)</f>
        <v>LTS</v>
      </c>
      <c r="E1714" s="233" t="str">
        <f>VLOOKUP(Table8[[#This Row],[Document ID]],Table1[],7,FALSE)</f>
        <v>LTS</v>
      </c>
      <c r="F1714" s="236" t="str">
        <f>VLOOKUP(Table8[[#This Row],[Document ID]],Table1[],8,FALSE)</f>
        <v>LTS 1.0</v>
      </c>
      <c r="G1714" s="236" t="str">
        <f>VLOOKUP(Table8[[#This Row],[Document ID]],Table1[],10,FALSE)</f>
        <v>Active</v>
      </c>
      <c r="H1714" s="43" t="s">
        <v>2350</v>
      </c>
      <c r="I1714" s="43" t="s">
        <v>2456</v>
      </c>
      <c r="J1714" s="44" t="s">
        <v>2457</v>
      </c>
      <c r="K1714" s="44" t="s">
        <v>3920</v>
      </c>
      <c r="L1714" s="44" t="s">
        <v>2471</v>
      </c>
      <c r="M1714" s="43">
        <v>46</v>
      </c>
      <c r="N1714" s="113"/>
      <c r="O1714" s="113"/>
      <c r="P1714" s="113"/>
      <c r="Q1714" s="113"/>
      <c r="R1714" s="113"/>
      <c r="S1714" s="113"/>
      <c r="T1714" s="113"/>
      <c r="U1714" s="113"/>
      <c r="V1714" s="113"/>
      <c r="W1714" s="113"/>
      <c r="X1714" s="113"/>
      <c r="Y1714" s="113"/>
      <c r="Z1714" s="113" t="s">
        <v>1113</v>
      </c>
      <c r="AA1714" s="113"/>
      <c r="AB1714" s="113"/>
      <c r="AC1714" s="113"/>
      <c r="AD1714" s="113"/>
      <c r="AE1714" s="113"/>
      <c r="AF1714" s="113"/>
      <c r="AG1714" s="113"/>
      <c r="AH1714" s="113"/>
      <c r="AI1714" s="113"/>
      <c r="AJ1714" s="113"/>
      <c r="AK1714" s="113" t="s">
        <v>1113</v>
      </c>
      <c r="AL1714" s="113"/>
      <c r="AM1714" s="113"/>
      <c r="AN1714" s="113"/>
      <c r="AO1714" s="44" t="s">
        <v>2334</v>
      </c>
      <c r="AP1714" s="43"/>
      <c r="AQ1714" s="236" t="str">
        <f>VLOOKUP(Table8[[#This Row],[Instrument]],Def_Targets!$D$73:$E$159,2,FALSE)</f>
        <v>S_Infraimprove</v>
      </c>
      <c r="AR1714" s="233" t="str">
        <f>VLOOKUP(Table8[[#This Row],[Country Code]],Table29[],3,FALSE)</f>
        <v>Annex I</v>
      </c>
      <c r="AS1714" s="233" t="str">
        <f>VLOOKUP(Table8[[#This Row],[Country Code]],Table29[],4,FALSE)</f>
        <v>Oceania</v>
      </c>
      <c r="AT1714" s="233" t="str">
        <f>VLOOKUP(Table8[[#This Row],[Country Code]],Table29[],5,FALSE)</f>
        <v>High-income</v>
      </c>
      <c r="AU1714" s="233" t="str">
        <f>VLOOKUP(Table8[[#This Row],[Country Code]],Table29[],6,FALSE)</f>
        <v>no</v>
      </c>
      <c r="AV1714" s="233" t="str">
        <f>VLOOKUP(Table8[[#This Row],[Country Code]],Table29[],7,FALSE)</f>
        <v>no</v>
      </c>
      <c r="AW1714" s="233" t="str">
        <f>VLOOKUP(Table8[[#This Row],[Country Code]],Table29[],8,FALSE)</f>
        <v>OECD</v>
      </c>
      <c r="AX1714" s="233" t="str">
        <f>VLOOKUP(Table8[[#This Row],[Country Code]],Table29[],9,FALSE)</f>
        <v>no</v>
      </c>
      <c r="AY1714" s="233" t="str">
        <f>VLOOKUP(Table8[[#This Row],[Country Code]],Table29[],10,FALSE)</f>
        <v>no</v>
      </c>
      <c r="AZ1714" s="235">
        <f>VLOOKUP(Table8[[#This Row],[Country Code]],Table29[],23,FALSE)</f>
        <v>84.209811532415003</v>
      </c>
      <c r="BA1714" s="235">
        <f>VLOOKUP(Table8[[#This Row],[Country Code]],Table29[],24,FALSE)</f>
        <v>16.240725424217811</v>
      </c>
      <c r="BB1714" s="320"/>
      <c r="BC1714" s="320"/>
    </row>
    <row r="1715" spans="1:55" ht="30" hidden="1" x14ac:dyDescent="0.25">
      <c r="A1715" s="373">
        <v>26786</v>
      </c>
      <c r="B1715" s="233" t="str">
        <f>VLOOKUP(Table8[[#This Row],[Document ID]],Table1[],2,FALSE)</f>
        <v>NZL</v>
      </c>
      <c r="C1715" s="233" t="str">
        <f>VLOOKUP(Table8[[#This Row],[Document ID]],Table1[],3,FALSE)</f>
        <v>New Zealand</v>
      </c>
      <c r="D1715" s="243" t="str">
        <f>VLOOKUP(Table8[[#This Row],[Document ID]],Table1[],5,FALSE)</f>
        <v>LTS</v>
      </c>
      <c r="E1715" s="233" t="str">
        <f>VLOOKUP(Table8[[#This Row],[Document ID]],Table1[],7,FALSE)</f>
        <v>LTS</v>
      </c>
      <c r="F1715" s="236" t="str">
        <f>VLOOKUP(Table8[[#This Row],[Document ID]],Table1[],8,FALSE)</f>
        <v>LTS 1.0</v>
      </c>
      <c r="G1715" s="236" t="str">
        <f>VLOOKUP(Table8[[#This Row],[Document ID]],Table1[],10,FALSE)</f>
        <v>Active</v>
      </c>
      <c r="H1715" s="43" t="s">
        <v>2484</v>
      </c>
      <c r="I1715" s="43" t="s">
        <v>2485</v>
      </c>
      <c r="J1715" s="44" t="s">
        <v>2486</v>
      </c>
      <c r="K1715" s="44" t="s">
        <v>3921</v>
      </c>
      <c r="L1715" s="44" t="s">
        <v>2347</v>
      </c>
      <c r="M1715" s="43">
        <v>47</v>
      </c>
      <c r="N1715" s="113"/>
      <c r="O1715" s="113"/>
      <c r="P1715" s="113"/>
      <c r="Q1715" s="113"/>
      <c r="R1715" s="113"/>
      <c r="S1715" s="113"/>
      <c r="T1715" s="113"/>
      <c r="U1715" s="113"/>
      <c r="V1715" s="113"/>
      <c r="W1715" s="113"/>
      <c r="X1715" s="113"/>
      <c r="Y1715" s="113"/>
      <c r="Z1715" s="113"/>
      <c r="AA1715" s="113"/>
      <c r="AB1715" s="113"/>
      <c r="AC1715" s="113"/>
      <c r="AD1715" s="113"/>
      <c r="AE1715" s="113" t="s">
        <v>1113</v>
      </c>
      <c r="AF1715" s="113"/>
      <c r="AG1715" s="113"/>
      <c r="AH1715" s="113"/>
      <c r="AI1715" s="113"/>
      <c r="AJ1715" s="113"/>
      <c r="AK1715" s="113" t="s">
        <v>1113</v>
      </c>
      <c r="AL1715" s="113"/>
      <c r="AM1715" s="113"/>
      <c r="AN1715" s="113"/>
      <c r="AO1715" s="44" t="s">
        <v>2334</v>
      </c>
      <c r="AP1715" s="43"/>
      <c r="AQ1715" s="236" t="str">
        <f>VLOOKUP(Table8[[#This Row],[Instrument]],Def_Targets!$D$73:$E$159,2,FALSE)</f>
        <v>I_Shipping</v>
      </c>
      <c r="AR1715" s="233" t="str">
        <f>VLOOKUP(Table8[[#This Row],[Country Code]],Table29[],3,FALSE)</f>
        <v>Annex I</v>
      </c>
      <c r="AS1715" s="233" t="str">
        <f>VLOOKUP(Table8[[#This Row],[Country Code]],Table29[],4,FALSE)</f>
        <v>Oceania</v>
      </c>
      <c r="AT1715" s="233" t="str">
        <f>VLOOKUP(Table8[[#This Row],[Country Code]],Table29[],5,FALSE)</f>
        <v>High-income</v>
      </c>
      <c r="AU1715" s="233" t="str">
        <f>VLOOKUP(Table8[[#This Row],[Country Code]],Table29[],6,FALSE)</f>
        <v>no</v>
      </c>
      <c r="AV1715" s="233" t="str">
        <f>VLOOKUP(Table8[[#This Row],[Country Code]],Table29[],7,FALSE)</f>
        <v>no</v>
      </c>
      <c r="AW1715" s="233" t="str">
        <f>VLOOKUP(Table8[[#This Row],[Country Code]],Table29[],8,FALSE)</f>
        <v>OECD</v>
      </c>
      <c r="AX1715" s="233" t="str">
        <f>VLOOKUP(Table8[[#This Row],[Country Code]],Table29[],9,FALSE)</f>
        <v>no</v>
      </c>
      <c r="AY1715" s="233" t="str">
        <f>VLOOKUP(Table8[[#This Row],[Country Code]],Table29[],10,FALSE)</f>
        <v>no</v>
      </c>
      <c r="AZ1715" s="235">
        <f>VLOOKUP(Table8[[#This Row],[Country Code]],Table29[],23,FALSE)</f>
        <v>84.209811532415003</v>
      </c>
      <c r="BA1715" s="235">
        <f>VLOOKUP(Table8[[#This Row],[Country Code]],Table29[],24,FALSE)</f>
        <v>16.240725424217811</v>
      </c>
      <c r="BB1715" s="320"/>
      <c r="BC1715" s="320"/>
    </row>
    <row r="1716" spans="1:55" ht="60" hidden="1" x14ac:dyDescent="0.25">
      <c r="A1716" s="373">
        <v>26786</v>
      </c>
      <c r="B1716" s="233" t="str">
        <f>VLOOKUP(Table8[[#This Row],[Document ID]],Table1[],2,FALSE)</f>
        <v>NZL</v>
      </c>
      <c r="C1716" s="233" t="str">
        <f>VLOOKUP(Table8[[#This Row],[Document ID]],Table1[],3,FALSE)</f>
        <v>New Zealand</v>
      </c>
      <c r="D1716" s="243" t="str">
        <f>VLOOKUP(Table8[[#This Row],[Document ID]],Table1[],5,FALSE)</f>
        <v>LTS</v>
      </c>
      <c r="E1716" s="233" t="str">
        <f>VLOOKUP(Table8[[#This Row],[Document ID]],Table1[],7,FALSE)</f>
        <v>LTS</v>
      </c>
      <c r="F1716" s="236" t="str">
        <f>VLOOKUP(Table8[[#This Row],[Document ID]],Table1[],8,FALSE)</f>
        <v>LTS 1.0</v>
      </c>
      <c r="G1716" s="236" t="str">
        <f>VLOOKUP(Table8[[#This Row],[Document ID]],Table1[],10,FALSE)</f>
        <v>Active</v>
      </c>
      <c r="H1716" s="43" t="s">
        <v>2484</v>
      </c>
      <c r="I1716" s="43" t="s">
        <v>2485</v>
      </c>
      <c r="J1716" s="44" t="s">
        <v>2486</v>
      </c>
      <c r="K1716" s="44" t="s">
        <v>3922</v>
      </c>
      <c r="L1716" s="44" t="s">
        <v>2347</v>
      </c>
      <c r="M1716" s="43">
        <v>47</v>
      </c>
      <c r="N1716" s="113"/>
      <c r="O1716" s="113"/>
      <c r="P1716" s="113"/>
      <c r="Q1716" s="113"/>
      <c r="R1716" s="113"/>
      <c r="S1716" s="113"/>
      <c r="T1716" s="113"/>
      <c r="U1716" s="113"/>
      <c r="V1716" s="113"/>
      <c r="W1716" s="113"/>
      <c r="X1716" s="113"/>
      <c r="Y1716" s="113"/>
      <c r="Z1716" s="113"/>
      <c r="AA1716" s="113"/>
      <c r="AB1716" s="113"/>
      <c r="AC1716" s="113"/>
      <c r="AD1716" s="113" t="s">
        <v>1113</v>
      </c>
      <c r="AE1716" s="113"/>
      <c r="AF1716" s="113"/>
      <c r="AG1716" s="113"/>
      <c r="AH1716" s="113"/>
      <c r="AI1716" s="113"/>
      <c r="AJ1716" s="113"/>
      <c r="AK1716" s="113" t="s">
        <v>1113</v>
      </c>
      <c r="AL1716" s="113"/>
      <c r="AM1716" s="113"/>
      <c r="AN1716" s="113"/>
      <c r="AO1716" s="44" t="s">
        <v>2334</v>
      </c>
      <c r="AP1716" s="43"/>
      <c r="AQ1716" s="236" t="str">
        <f>VLOOKUP(Table8[[#This Row],[Instrument]],Def_Targets!$D$73:$E$159,2,FALSE)</f>
        <v>I_Shipping</v>
      </c>
      <c r="AR1716" s="233" t="str">
        <f>VLOOKUP(Table8[[#This Row],[Country Code]],Table29[],3,FALSE)</f>
        <v>Annex I</v>
      </c>
      <c r="AS1716" s="233" t="str">
        <f>VLOOKUP(Table8[[#This Row],[Country Code]],Table29[],4,FALSE)</f>
        <v>Oceania</v>
      </c>
      <c r="AT1716" s="233" t="str">
        <f>VLOOKUP(Table8[[#This Row],[Country Code]],Table29[],5,FALSE)</f>
        <v>High-income</v>
      </c>
      <c r="AU1716" s="233" t="str">
        <f>VLOOKUP(Table8[[#This Row],[Country Code]],Table29[],6,FALSE)</f>
        <v>no</v>
      </c>
      <c r="AV1716" s="233" t="str">
        <f>VLOOKUP(Table8[[#This Row],[Country Code]],Table29[],7,FALSE)</f>
        <v>no</v>
      </c>
      <c r="AW1716" s="233" t="str">
        <f>VLOOKUP(Table8[[#This Row],[Country Code]],Table29[],8,FALSE)</f>
        <v>OECD</v>
      </c>
      <c r="AX1716" s="233" t="str">
        <f>VLOOKUP(Table8[[#This Row],[Country Code]],Table29[],9,FALSE)</f>
        <v>no</v>
      </c>
      <c r="AY1716" s="233" t="str">
        <f>VLOOKUP(Table8[[#This Row],[Country Code]],Table29[],10,FALSE)</f>
        <v>no</v>
      </c>
      <c r="AZ1716" s="235">
        <f>VLOOKUP(Table8[[#This Row],[Country Code]],Table29[],23,FALSE)</f>
        <v>84.209811532415003</v>
      </c>
      <c r="BA1716" s="235">
        <f>VLOOKUP(Table8[[#This Row],[Country Code]],Table29[],24,FALSE)</f>
        <v>16.240725424217811</v>
      </c>
      <c r="BB1716" s="320"/>
      <c r="BC1716" s="320"/>
    </row>
    <row r="1717" spans="1:55" ht="30" hidden="1" x14ac:dyDescent="0.25">
      <c r="A1717" s="373">
        <v>26786</v>
      </c>
      <c r="B1717" s="233" t="str">
        <f>VLOOKUP(Table8[[#This Row],[Document ID]],Table1[],2,FALSE)</f>
        <v>NZL</v>
      </c>
      <c r="C1717" s="233" t="str">
        <f>VLOOKUP(Table8[[#This Row],[Document ID]],Table1[],3,FALSE)</f>
        <v>New Zealand</v>
      </c>
      <c r="D1717" s="243" t="str">
        <f>VLOOKUP(Table8[[#This Row],[Document ID]],Table1[],5,FALSE)</f>
        <v>LTS</v>
      </c>
      <c r="E1717" s="233" t="str">
        <f>VLOOKUP(Table8[[#This Row],[Document ID]],Table1[],7,FALSE)</f>
        <v>LTS</v>
      </c>
      <c r="F1717" s="236" t="str">
        <f>VLOOKUP(Table8[[#This Row],[Document ID]],Table1[],8,FALSE)</f>
        <v>LTS 1.0</v>
      </c>
      <c r="G1717" s="236" t="str">
        <f>VLOOKUP(Table8[[#This Row],[Document ID]],Table1[],10,FALSE)</f>
        <v>Active</v>
      </c>
      <c r="H1717" s="43" t="s">
        <v>2350</v>
      </c>
      <c r="I1717" s="43" t="s">
        <v>2370</v>
      </c>
      <c r="J1717" s="44" t="s">
        <v>2418</v>
      </c>
      <c r="K1717" s="44" t="s">
        <v>3923</v>
      </c>
      <c r="L1717" s="44" t="s">
        <v>2380</v>
      </c>
      <c r="M1717" s="43">
        <v>47</v>
      </c>
      <c r="N1717" s="113" t="s">
        <v>1113</v>
      </c>
      <c r="O1717" s="113"/>
      <c r="P1717" s="113"/>
      <c r="Q1717" s="113"/>
      <c r="R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t="s">
        <v>1113</v>
      </c>
      <c r="AL1717" s="113"/>
      <c r="AM1717" s="113"/>
      <c r="AN1717" s="113"/>
      <c r="AO1717" s="44" t="s">
        <v>2334</v>
      </c>
      <c r="AP1717" s="43"/>
      <c r="AQ1717" s="236" t="str">
        <f>VLOOKUP(Table8[[#This Row],[Instrument]],Def_Targets!$D$73:$E$159,2,FALSE)</f>
        <v>A_Complan</v>
      </c>
      <c r="AR1717" s="233" t="str">
        <f>VLOOKUP(Table8[[#This Row],[Country Code]],Table29[],3,FALSE)</f>
        <v>Annex I</v>
      </c>
      <c r="AS1717" s="233" t="str">
        <f>VLOOKUP(Table8[[#This Row],[Country Code]],Table29[],4,FALSE)</f>
        <v>Oceania</v>
      </c>
      <c r="AT1717" s="233" t="str">
        <f>VLOOKUP(Table8[[#This Row],[Country Code]],Table29[],5,FALSE)</f>
        <v>High-income</v>
      </c>
      <c r="AU1717" s="233" t="str">
        <f>VLOOKUP(Table8[[#This Row],[Country Code]],Table29[],6,FALSE)</f>
        <v>no</v>
      </c>
      <c r="AV1717" s="233" t="str">
        <f>VLOOKUP(Table8[[#This Row],[Country Code]],Table29[],7,FALSE)</f>
        <v>no</v>
      </c>
      <c r="AW1717" s="233" t="str">
        <f>VLOOKUP(Table8[[#This Row],[Country Code]],Table29[],8,FALSE)</f>
        <v>OECD</v>
      </c>
      <c r="AX1717" s="233" t="str">
        <f>VLOOKUP(Table8[[#This Row],[Country Code]],Table29[],9,FALSE)</f>
        <v>no</v>
      </c>
      <c r="AY1717" s="233" t="str">
        <f>VLOOKUP(Table8[[#This Row],[Country Code]],Table29[],10,FALSE)</f>
        <v>no</v>
      </c>
      <c r="AZ1717" s="235">
        <f>VLOOKUP(Table8[[#This Row],[Country Code]],Table29[],23,FALSE)</f>
        <v>84.209811532415003</v>
      </c>
      <c r="BA1717" s="235">
        <f>VLOOKUP(Table8[[#This Row],[Country Code]],Table29[],24,FALSE)</f>
        <v>16.240725424217811</v>
      </c>
      <c r="BB1717" s="320"/>
      <c r="BC1717" s="320"/>
    </row>
    <row r="1718" spans="1:55" hidden="1" x14ac:dyDescent="0.25">
      <c r="A1718" s="373">
        <v>26786</v>
      </c>
      <c r="B1718" s="233" t="str">
        <f>VLOOKUP(Table8[[#This Row],[Document ID]],Table1[],2,FALSE)</f>
        <v>NZL</v>
      </c>
      <c r="C1718" s="233" t="str">
        <f>VLOOKUP(Table8[[#This Row],[Document ID]],Table1[],3,FALSE)</f>
        <v>New Zealand</v>
      </c>
      <c r="D1718" s="243" t="str">
        <f>VLOOKUP(Table8[[#This Row],[Document ID]],Table1[],5,FALSE)</f>
        <v>LTS</v>
      </c>
      <c r="E1718" s="233" t="str">
        <f>VLOOKUP(Table8[[#This Row],[Document ID]],Table1[],7,FALSE)</f>
        <v>LTS</v>
      </c>
      <c r="F1718" s="236" t="str">
        <f>VLOOKUP(Table8[[#This Row],[Document ID]],Table1[],8,FALSE)</f>
        <v>LTS 1.0</v>
      </c>
      <c r="G1718" s="236" t="str">
        <f>VLOOKUP(Table8[[#This Row],[Document ID]],Table1[],10,FALSE)</f>
        <v>Active</v>
      </c>
      <c r="H1718" s="43" t="s">
        <v>2350</v>
      </c>
      <c r="I1718" s="43" t="s">
        <v>2456</v>
      </c>
      <c r="J1718" s="44" t="s">
        <v>2457</v>
      </c>
      <c r="K1718" s="44" t="s">
        <v>3924</v>
      </c>
      <c r="L1718" s="44" t="s">
        <v>2347</v>
      </c>
      <c r="M1718" s="43">
        <v>47</v>
      </c>
      <c r="N1718" s="113"/>
      <c r="O1718" s="113"/>
      <c r="P1718" s="113"/>
      <c r="Q1718" s="113" t="s">
        <v>1113</v>
      </c>
      <c r="R1718" s="113" t="s">
        <v>1113</v>
      </c>
      <c r="S1718" s="113"/>
      <c r="T1718" s="113"/>
      <c r="U1718" s="113"/>
      <c r="V1718" s="113"/>
      <c r="W1718" s="113"/>
      <c r="X1718" s="113"/>
      <c r="Y1718" s="113" t="s">
        <v>1113</v>
      </c>
      <c r="Z1718" s="113" t="s">
        <v>1113</v>
      </c>
      <c r="AA1718" s="113"/>
      <c r="AB1718" s="113"/>
      <c r="AC1718" s="113"/>
      <c r="AD1718" s="113"/>
      <c r="AE1718" s="113"/>
      <c r="AF1718" s="113"/>
      <c r="AG1718" s="113"/>
      <c r="AH1718" s="113"/>
      <c r="AI1718" s="113"/>
      <c r="AJ1718" s="113"/>
      <c r="AK1718" s="113" t="s">
        <v>1113</v>
      </c>
      <c r="AL1718" s="113"/>
      <c r="AM1718" s="113"/>
      <c r="AN1718" s="113"/>
      <c r="AO1718" s="44" t="s">
        <v>2334</v>
      </c>
      <c r="AP1718" s="43"/>
      <c r="AQ1718" s="236" t="str">
        <f>VLOOKUP(Table8[[#This Row],[Instrument]],Def_Targets!$D$73:$E$159,2,FALSE)</f>
        <v>S_Infraimprove</v>
      </c>
      <c r="AR1718" s="233" t="str">
        <f>VLOOKUP(Table8[[#This Row],[Country Code]],Table29[],3,FALSE)</f>
        <v>Annex I</v>
      </c>
      <c r="AS1718" s="233" t="str">
        <f>VLOOKUP(Table8[[#This Row],[Country Code]],Table29[],4,FALSE)</f>
        <v>Oceania</v>
      </c>
      <c r="AT1718" s="233" t="str">
        <f>VLOOKUP(Table8[[#This Row],[Country Code]],Table29[],5,FALSE)</f>
        <v>High-income</v>
      </c>
      <c r="AU1718" s="233" t="str">
        <f>VLOOKUP(Table8[[#This Row],[Country Code]],Table29[],6,FALSE)</f>
        <v>no</v>
      </c>
      <c r="AV1718" s="233" t="str">
        <f>VLOOKUP(Table8[[#This Row],[Country Code]],Table29[],7,FALSE)</f>
        <v>no</v>
      </c>
      <c r="AW1718" s="233" t="str">
        <f>VLOOKUP(Table8[[#This Row],[Country Code]],Table29[],8,FALSE)</f>
        <v>OECD</v>
      </c>
      <c r="AX1718" s="233" t="str">
        <f>VLOOKUP(Table8[[#This Row],[Country Code]],Table29[],9,FALSE)</f>
        <v>no</v>
      </c>
      <c r="AY1718" s="233" t="str">
        <f>VLOOKUP(Table8[[#This Row],[Country Code]],Table29[],10,FALSE)</f>
        <v>no</v>
      </c>
      <c r="AZ1718" s="235">
        <f>VLOOKUP(Table8[[#This Row],[Country Code]],Table29[],23,FALSE)</f>
        <v>84.209811532415003</v>
      </c>
      <c r="BA1718" s="235">
        <f>VLOOKUP(Table8[[#This Row],[Country Code]],Table29[],24,FALSE)</f>
        <v>16.240725424217811</v>
      </c>
      <c r="BB1718" s="320"/>
      <c r="BC1718" s="320"/>
    </row>
    <row r="1719" spans="1:55" hidden="1" x14ac:dyDescent="0.25">
      <c r="A1719" s="373">
        <v>26786</v>
      </c>
      <c r="B1719" s="233" t="str">
        <f>VLOOKUP(Table8[[#This Row],[Document ID]],Table1[],2,FALSE)</f>
        <v>NZL</v>
      </c>
      <c r="C1719" s="233" t="str">
        <f>VLOOKUP(Table8[[#This Row],[Document ID]],Table1[],3,FALSE)</f>
        <v>New Zealand</v>
      </c>
      <c r="D1719" s="243" t="str">
        <f>VLOOKUP(Table8[[#This Row],[Document ID]],Table1[],5,FALSE)</f>
        <v>LTS</v>
      </c>
      <c r="E1719" s="233" t="str">
        <f>VLOOKUP(Table8[[#This Row],[Document ID]],Table1[],7,FALSE)</f>
        <v>LTS</v>
      </c>
      <c r="F1719" s="236" t="str">
        <f>VLOOKUP(Table8[[#This Row],[Document ID]],Table1[],8,FALSE)</f>
        <v>LTS 1.0</v>
      </c>
      <c r="G1719" s="236" t="str">
        <f>VLOOKUP(Table8[[#This Row],[Document ID]],Table1[],10,FALSE)</f>
        <v>Active</v>
      </c>
      <c r="H1719" s="43" t="s">
        <v>2358</v>
      </c>
      <c r="I1719" s="43" t="s">
        <v>2359</v>
      </c>
      <c r="J1719" s="44" t="s">
        <v>2360</v>
      </c>
      <c r="K1719" s="44" t="s">
        <v>3925</v>
      </c>
      <c r="L1719" s="44" t="s">
        <v>2333</v>
      </c>
      <c r="M1719" s="43">
        <v>47</v>
      </c>
      <c r="N1719" s="113" t="s">
        <v>1113</v>
      </c>
      <c r="O1719" s="113"/>
      <c r="P1719" s="113"/>
      <c r="Q1719" s="113"/>
      <c r="R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t="s">
        <v>1113</v>
      </c>
      <c r="AL1719" s="113"/>
      <c r="AM1719" s="113"/>
      <c r="AN1719" s="113"/>
      <c r="AO1719" s="44" t="s">
        <v>2334</v>
      </c>
      <c r="AP1719" s="43"/>
      <c r="AQ1719" s="236" t="str">
        <f>VLOOKUP(Table8[[#This Row],[Instrument]],Def_Targets!$D$73:$E$159,2,FALSE)</f>
        <v>I_Emobility</v>
      </c>
      <c r="AR1719" s="233" t="str">
        <f>VLOOKUP(Table8[[#This Row],[Country Code]],Table29[],3,FALSE)</f>
        <v>Annex I</v>
      </c>
      <c r="AS1719" s="233" t="str">
        <f>VLOOKUP(Table8[[#This Row],[Country Code]],Table29[],4,FALSE)</f>
        <v>Oceania</v>
      </c>
      <c r="AT1719" s="233" t="str">
        <f>VLOOKUP(Table8[[#This Row],[Country Code]],Table29[],5,FALSE)</f>
        <v>High-income</v>
      </c>
      <c r="AU1719" s="233" t="str">
        <f>VLOOKUP(Table8[[#This Row],[Country Code]],Table29[],6,FALSE)</f>
        <v>no</v>
      </c>
      <c r="AV1719" s="233" t="str">
        <f>VLOOKUP(Table8[[#This Row],[Country Code]],Table29[],7,FALSE)</f>
        <v>no</v>
      </c>
      <c r="AW1719" s="233" t="str">
        <f>VLOOKUP(Table8[[#This Row],[Country Code]],Table29[],8,FALSE)</f>
        <v>OECD</v>
      </c>
      <c r="AX1719" s="233" t="str">
        <f>VLOOKUP(Table8[[#This Row],[Country Code]],Table29[],9,FALSE)</f>
        <v>no</v>
      </c>
      <c r="AY1719" s="233" t="str">
        <f>VLOOKUP(Table8[[#This Row],[Country Code]],Table29[],10,FALSE)</f>
        <v>no</v>
      </c>
      <c r="AZ1719" s="235">
        <f>VLOOKUP(Table8[[#This Row],[Country Code]],Table29[],23,FALSE)</f>
        <v>84.209811532415003</v>
      </c>
      <c r="BA1719" s="235">
        <f>VLOOKUP(Table8[[#This Row],[Country Code]],Table29[],24,FALSE)</f>
        <v>16.240725424217811</v>
      </c>
      <c r="BB1719" s="320"/>
      <c r="BC1719" s="320"/>
    </row>
    <row r="1720" spans="1:55" hidden="1" x14ac:dyDescent="0.25">
      <c r="A1720" s="373">
        <v>26786</v>
      </c>
      <c r="B1720" s="233" t="str">
        <f>VLOOKUP(Table8[[#This Row],[Document ID]],Table1[],2,FALSE)</f>
        <v>NZL</v>
      </c>
      <c r="C1720" s="233" t="str">
        <f>VLOOKUP(Table8[[#This Row],[Document ID]],Table1[],3,FALSE)</f>
        <v>New Zealand</v>
      </c>
      <c r="D1720" s="243" t="str">
        <f>VLOOKUP(Table8[[#This Row],[Document ID]],Table1[],5,FALSE)</f>
        <v>LTS</v>
      </c>
      <c r="E1720" s="233" t="str">
        <f>VLOOKUP(Table8[[#This Row],[Document ID]],Table1[],7,FALSE)</f>
        <v>LTS</v>
      </c>
      <c r="F1720" s="236" t="str">
        <f>VLOOKUP(Table8[[#This Row],[Document ID]],Table1[],8,FALSE)</f>
        <v>LTS 1.0</v>
      </c>
      <c r="G1720" s="236" t="str">
        <f>VLOOKUP(Table8[[#This Row],[Document ID]],Table1[],10,FALSE)</f>
        <v>Active</v>
      </c>
      <c r="H1720" s="44" t="s">
        <v>2329</v>
      </c>
      <c r="I1720" s="44" t="s">
        <v>2330</v>
      </c>
      <c r="J1720" s="44" t="s">
        <v>2331</v>
      </c>
      <c r="K1720" s="44" t="s">
        <v>3925</v>
      </c>
      <c r="L1720" s="44" t="s">
        <v>2333</v>
      </c>
      <c r="M1720" s="43">
        <v>47</v>
      </c>
      <c r="N1720" s="113" t="s">
        <v>1113</v>
      </c>
      <c r="O1720" s="113"/>
      <c r="P1720" s="113"/>
      <c r="Q1720" s="113"/>
      <c r="R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t="s">
        <v>1113</v>
      </c>
      <c r="AL1720" s="113"/>
      <c r="AM1720" s="113"/>
      <c r="AN1720" s="113"/>
      <c r="AO1720" s="44" t="s">
        <v>2334</v>
      </c>
      <c r="AP1720" s="43"/>
      <c r="AQ1720" s="236" t="str">
        <f>VLOOKUP(Table8[[#This Row],[Instrument]],Def_Targets!$D$73:$E$159,2,FALSE)</f>
        <v>I_Altfuels</v>
      </c>
      <c r="AR1720" s="233" t="str">
        <f>VLOOKUP(Table8[[#This Row],[Country Code]],Table29[],3,FALSE)</f>
        <v>Annex I</v>
      </c>
      <c r="AS1720" s="233" t="str">
        <f>VLOOKUP(Table8[[#This Row],[Country Code]],Table29[],4,FALSE)</f>
        <v>Oceania</v>
      </c>
      <c r="AT1720" s="233" t="str">
        <f>VLOOKUP(Table8[[#This Row],[Country Code]],Table29[],5,FALSE)</f>
        <v>High-income</v>
      </c>
      <c r="AU1720" s="233" t="str">
        <f>VLOOKUP(Table8[[#This Row],[Country Code]],Table29[],6,FALSE)</f>
        <v>no</v>
      </c>
      <c r="AV1720" s="233" t="str">
        <f>VLOOKUP(Table8[[#This Row],[Country Code]],Table29[],7,FALSE)</f>
        <v>no</v>
      </c>
      <c r="AW1720" s="233" t="str">
        <f>VLOOKUP(Table8[[#This Row],[Country Code]],Table29[],8,FALSE)</f>
        <v>OECD</v>
      </c>
      <c r="AX1720" s="233" t="str">
        <f>VLOOKUP(Table8[[#This Row],[Country Code]],Table29[],9,FALSE)</f>
        <v>no</v>
      </c>
      <c r="AY1720" s="233" t="str">
        <f>VLOOKUP(Table8[[#This Row],[Country Code]],Table29[],10,FALSE)</f>
        <v>no</v>
      </c>
      <c r="AZ1720" s="235">
        <f>VLOOKUP(Table8[[#This Row],[Country Code]],Table29[],23,FALSE)</f>
        <v>84.209811532415003</v>
      </c>
      <c r="BA1720" s="235">
        <f>VLOOKUP(Table8[[#This Row],[Country Code]],Table29[],24,FALSE)</f>
        <v>16.240725424217811</v>
      </c>
      <c r="BB1720" s="320"/>
      <c r="BC1720" s="320"/>
    </row>
    <row r="1721" spans="1:55" ht="30" hidden="1" x14ac:dyDescent="0.25">
      <c r="A1721" s="373">
        <v>26786</v>
      </c>
      <c r="B1721" s="233" t="str">
        <f>VLOOKUP(Table8[[#This Row],[Document ID]],Table1[],2,FALSE)</f>
        <v>NZL</v>
      </c>
      <c r="C1721" s="233" t="str">
        <f>VLOOKUP(Table8[[#This Row],[Document ID]],Table1[],3,FALSE)</f>
        <v>New Zealand</v>
      </c>
      <c r="D1721" s="243" t="str">
        <f>VLOOKUP(Table8[[#This Row],[Document ID]],Table1[],5,FALSE)</f>
        <v>LTS</v>
      </c>
      <c r="E1721" s="233" t="str">
        <f>VLOOKUP(Table8[[#This Row],[Document ID]],Table1[],7,FALSE)</f>
        <v>LTS</v>
      </c>
      <c r="F1721" s="236" t="str">
        <f>VLOOKUP(Table8[[#This Row],[Document ID]],Table1[],8,FALSE)</f>
        <v>LTS 1.0</v>
      </c>
      <c r="G1721" s="236" t="str">
        <f>VLOOKUP(Table8[[#This Row],[Document ID]],Table1[],10,FALSE)</f>
        <v>Active</v>
      </c>
      <c r="H1721" s="43" t="s">
        <v>2350</v>
      </c>
      <c r="I1721" s="43" t="s">
        <v>2351</v>
      </c>
      <c r="J1721" s="44" t="s">
        <v>2447</v>
      </c>
      <c r="K1721" s="44" t="s">
        <v>3926</v>
      </c>
      <c r="L1721" s="44" t="s">
        <v>2373</v>
      </c>
      <c r="M1721" s="43">
        <v>47</v>
      </c>
      <c r="N1721" s="113"/>
      <c r="O1721" s="113"/>
      <c r="P1721" s="113"/>
      <c r="Q1721" s="113"/>
      <c r="R1721" s="113"/>
      <c r="S1721" s="113"/>
      <c r="T1721" s="113"/>
      <c r="U1721" s="113"/>
      <c r="V1721" s="113"/>
      <c r="W1721" s="113"/>
      <c r="X1721" s="113" t="s">
        <v>1113</v>
      </c>
      <c r="Y1721" s="113"/>
      <c r="Z1721" s="113" t="s">
        <v>1113</v>
      </c>
      <c r="AA1721" s="113"/>
      <c r="AB1721" s="113"/>
      <c r="AC1721" s="113"/>
      <c r="AD1721" s="113" t="s">
        <v>1113</v>
      </c>
      <c r="AE1721" s="113"/>
      <c r="AF1721" s="113"/>
      <c r="AG1721" s="113"/>
      <c r="AH1721" s="113" t="s">
        <v>1113</v>
      </c>
      <c r="AI1721" s="113"/>
      <c r="AJ1721" s="113"/>
      <c r="AK1721" s="113" t="s">
        <v>1113</v>
      </c>
      <c r="AL1721" s="113"/>
      <c r="AM1721" s="113"/>
      <c r="AN1721" s="113"/>
      <c r="AO1721" s="43" t="s">
        <v>2353</v>
      </c>
      <c r="AP1721" s="43"/>
      <c r="AQ1721" s="236" t="str">
        <f>VLOOKUP(Table8[[#This Row],[Instrument]],Def_Targets!$D$73:$E$159,2,FALSE)</f>
        <v>I_Freighteff</v>
      </c>
      <c r="AR1721" s="233" t="str">
        <f>VLOOKUP(Table8[[#This Row],[Country Code]],Table29[],3,FALSE)</f>
        <v>Annex I</v>
      </c>
      <c r="AS1721" s="233" t="str">
        <f>VLOOKUP(Table8[[#This Row],[Country Code]],Table29[],4,FALSE)</f>
        <v>Oceania</v>
      </c>
      <c r="AT1721" s="233" t="str">
        <f>VLOOKUP(Table8[[#This Row],[Country Code]],Table29[],5,FALSE)</f>
        <v>High-income</v>
      </c>
      <c r="AU1721" s="233" t="str">
        <f>VLOOKUP(Table8[[#This Row],[Country Code]],Table29[],6,FALSE)</f>
        <v>no</v>
      </c>
      <c r="AV1721" s="233" t="str">
        <f>VLOOKUP(Table8[[#This Row],[Country Code]],Table29[],7,FALSE)</f>
        <v>no</v>
      </c>
      <c r="AW1721" s="233" t="str">
        <f>VLOOKUP(Table8[[#This Row],[Country Code]],Table29[],8,FALSE)</f>
        <v>OECD</v>
      </c>
      <c r="AX1721" s="233" t="str">
        <f>VLOOKUP(Table8[[#This Row],[Country Code]],Table29[],9,FALSE)</f>
        <v>no</v>
      </c>
      <c r="AY1721" s="233" t="str">
        <f>VLOOKUP(Table8[[#This Row],[Country Code]],Table29[],10,FALSE)</f>
        <v>no</v>
      </c>
      <c r="AZ1721" s="235">
        <f>VLOOKUP(Table8[[#This Row],[Country Code]],Table29[],23,FALSE)</f>
        <v>84.209811532415003</v>
      </c>
      <c r="BA1721" s="235">
        <f>VLOOKUP(Table8[[#This Row],[Country Code]],Table29[],24,FALSE)</f>
        <v>16.240725424217811</v>
      </c>
      <c r="BB1721" s="320"/>
      <c r="BC1721" s="320"/>
    </row>
    <row r="1722" spans="1:55" hidden="1" x14ac:dyDescent="0.25">
      <c r="A1722" s="373">
        <v>26787</v>
      </c>
      <c r="B1722" s="233" t="str">
        <f>VLOOKUP(Table8[[#This Row],[Document ID]],Table1[],2,FALSE)</f>
        <v>NGA</v>
      </c>
      <c r="C1722" s="233" t="str">
        <f>VLOOKUP(Table8[[#This Row],[Document ID]],Table1[],3,FALSE)</f>
        <v>Nigeria</v>
      </c>
      <c r="D1722" s="243" t="str">
        <f>VLOOKUP(Table8[[#This Row],[Document ID]],Table1[],5,FALSE)</f>
        <v>LTS</v>
      </c>
      <c r="E1722" s="233" t="str">
        <f>VLOOKUP(Table8[[#This Row],[Document ID]],Table1[],7,FALSE)</f>
        <v>Archived LTS 1.0</v>
      </c>
      <c r="F1722" s="233" t="str">
        <f>VLOOKUP(Table8[[#This Row],[Document ID]],Table1[],8,FALSE)</f>
        <v>LTS 1.0</v>
      </c>
      <c r="G1722" s="233" t="str">
        <f>VLOOKUP(Table8[[#This Row],[Document ID]],Table1[],10,FALSE)</f>
        <v>Archived</v>
      </c>
      <c r="H1722" s="43" t="s">
        <v>2350</v>
      </c>
      <c r="I1722" s="43" t="s">
        <v>2456</v>
      </c>
      <c r="J1722" s="44" t="s">
        <v>2643</v>
      </c>
      <c r="K1722" s="44" t="s">
        <v>3927</v>
      </c>
      <c r="L1722" s="44" t="s">
        <v>2333</v>
      </c>
      <c r="M1722" s="43">
        <v>27</v>
      </c>
      <c r="N1722" s="113" t="s">
        <v>1113</v>
      </c>
      <c r="O1722" s="113"/>
      <c r="P1722" s="113"/>
      <c r="Q1722" s="113"/>
      <c r="R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t="s">
        <v>1113</v>
      </c>
      <c r="AL1722" s="113"/>
      <c r="AM1722" s="113"/>
      <c r="AN1722" s="113"/>
      <c r="AO1722" s="43" t="s">
        <v>2477</v>
      </c>
      <c r="AP1722" s="43"/>
      <c r="AQ1722" s="236" t="str">
        <f>VLOOKUP(Table8[[#This Row],[Instrument]],Def_Targets!$D$73:$E$159,2,FALSE)</f>
        <v>S_Intermodality</v>
      </c>
      <c r="AR1722" s="233" t="str">
        <f>VLOOKUP(Table8[[#This Row],[Country Code]],Table29[],3,FALSE)</f>
        <v>Non-Annex I</v>
      </c>
      <c r="AS1722" s="233" t="str">
        <f>VLOOKUP(Table8[[#This Row],[Country Code]],Table29[],4,FALSE)</f>
        <v>Africa</v>
      </c>
      <c r="AT1722" s="233" t="str">
        <f>VLOOKUP(Table8[[#This Row],[Country Code]],Table29[],5,FALSE)</f>
        <v>Middle-income</v>
      </c>
      <c r="AU1722" s="233" t="str">
        <f>VLOOKUP(Table8[[#This Row],[Country Code]],Table29[],6,FALSE)</f>
        <v>no</v>
      </c>
      <c r="AV1722" s="233" t="str">
        <f>VLOOKUP(Table8[[#This Row],[Country Code]],Table29[],7,FALSE)</f>
        <v>no</v>
      </c>
      <c r="AW1722" s="233" t="str">
        <f>VLOOKUP(Table8[[#This Row],[Country Code]],Table29[],8,FALSE)</f>
        <v>non-OECD</v>
      </c>
      <c r="AX1722" s="233" t="str">
        <f>VLOOKUP(Table8[[#This Row],[Country Code]],Table29[],9,FALSE)</f>
        <v>no</v>
      </c>
      <c r="AY1722" s="233" t="str">
        <f>VLOOKUP(Table8[[#This Row],[Country Code]],Table29[],10,FALSE)</f>
        <v>no</v>
      </c>
      <c r="AZ1722" s="235">
        <f>VLOOKUP(Table8[[#This Row],[Country Code]],Table29[],23,FALSE)</f>
        <v>385.11288377147002</v>
      </c>
      <c r="BA1722" s="235">
        <f>VLOOKUP(Table8[[#This Row],[Country Code]],Table29[],24,FALSE)</f>
        <v>58.971195919965467</v>
      </c>
      <c r="BB1722" s="320"/>
      <c r="BC1722" s="320"/>
    </row>
    <row r="1723" spans="1:55" hidden="1" x14ac:dyDescent="0.25">
      <c r="A1723" s="373">
        <v>26787</v>
      </c>
      <c r="B1723" s="233" t="str">
        <f>VLOOKUP(Table8[[#This Row],[Document ID]],Table1[],2,FALSE)</f>
        <v>NGA</v>
      </c>
      <c r="C1723" s="233" t="str">
        <f>VLOOKUP(Table8[[#This Row],[Document ID]],Table1[],3,FALSE)</f>
        <v>Nigeria</v>
      </c>
      <c r="D1723" s="243" t="str">
        <f>VLOOKUP(Table8[[#This Row],[Document ID]],Table1[],5,FALSE)</f>
        <v>LTS</v>
      </c>
      <c r="E1723" s="233" t="str">
        <f>VLOOKUP(Table8[[#This Row],[Document ID]],Table1[],7,FALSE)</f>
        <v>Archived LTS 1.0</v>
      </c>
      <c r="F1723" s="233" t="str">
        <f>VLOOKUP(Table8[[#This Row],[Document ID]],Table1[],8,FALSE)</f>
        <v>LTS 1.0</v>
      </c>
      <c r="G1723" s="233" t="str">
        <f>VLOOKUP(Table8[[#This Row],[Document ID]],Table1[],10,FALSE)</f>
        <v>Archived</v>
      </c>
      <c r="H1723" s="43" t="s">
        <v>2350</v>
      </c>
      <c r="I1723" s="43" t="s">
        <v>2456</v>
      </c>
      <c r="J1723" s="44" t="s">
        <v>2466</v>
      </c>
      <c r="K1723" s="44" t="s">
        <v>3928</v>
      </c>
      <c r="L1723" s="44" t="s">
        <v>2347</v>
      </c>
      <c r="M1723" s="43">
        <v>27</v>
      </c>
      <c r="N1723" s="113"/>
      <c r="O1723" s="113"/>
      <c r="P1723" s="113"/>
      <c r="Q1723" s="113"/>
      <c r="R1723" s="113"/>
      <c r="S1723" s="113"/>
      <c r="T1723" s="113"/>
      <c r="U1723" s="113"/>
      <c r="V1723" s="113"/>
      <c r="W1723" s="113"/>
      <c r="X1723" s="113"/>
      <c r="Y1723" s="113"/>
      <c r="Z1723" s="113" t="s">
        <v>1113</v>
      </c>
      <c r="AA1723" s="113"/>
      <c r="AB1723" s="113"/>
      <c r="AC1723" s="113"/>
      <c r="AD1723" s="113"/>
      <c r="AE1723" s="113"/>
      <c r="AF1723" s="113"/>
      <c r="AG1723" s="113"/>
      <c r="AH1723" s="113"/>
      <c r="AI1723" s="113"/>
      <c r="AJ1723" s="113"/>
      <c r="AK1723" s="113" t="s">
        <v>1113</v>
      </c>
      <c r="AL1723" s="113"/>
      <c r="AM1723" s="113"/>
      <c r="AN1723" s="113"/>
      <c r="AO1723" s="44" t="s">
        <v>2334</v>
      </c>
      <c r="AP1723" s="43"/>
      <c r="AQ1723" s="236" t="str">
        <f>VLOOKUP(Table8[[#This Row],[Instrument]],Def_Targets!$D$73:$E$159,2,FALSE)</f>
        <v>S_Infraexpansion</v>
      </c>
      <c r="AR1723" s="233" t="str">
        <f>VLOOKUP(Table8[[#This Row],[Country Code]],Table29[],3,FALSE)</f>
        <v>Non-Annex I</v>
      </c>
      <c r="AS1723" s="233" t="str">
        <f>VLOOKUP(Table8[[#This Row],[Country Code]],Table29[],4,FALSE)</f>
        <v>Africa</v>
      </c>
      <c r="AT1723" s="233" t="str">
        <f>VLOOKUP(Table8[[#This Row],[Country Code]],Table29[],5,FALSE)</f>
        <v>Middle-income</v>
      </c>
      <c r="AU1723" s="233" t="str">
        <f>VLOOKUP(Table8[[#This Row],[Country Code]],Table29[],6,FALSE)</f>
        <v>no</v>
      </c>
      <c r="AV1723" s="233" t="str">
        <f>VLOOKUP(Table8[[#This Row],[Country Code]],Table29[],7,FALSE)</f>
        <v>no</v>
      </c>
      <c r="AW1723" s="233" t="str">
        <f>VLOOKUP(Table8[[#This Row],[Country Code]],Table29[],8,FALSE)</f>
        <v>non-OECD</v>
      </c>
      <c r="AX1723" s="233" t="str">
        <f>VLOOKUP(Table8[[#This Row],[Country Code]],Table29[],9,FALSE)</f>
        <v>no</v>
      </c>
      <c r="AY1723" s="233" t="str">
        <f>VLOOKUP(Table8[[#This Row],[Country Code]],Table29[],10,FALSE)</f>
        <v>no</v>
      </c>
      <c r="AZ1723" s="235">
        <f>VLOOKUP(Table8[[#This Row],[Country Code]],Table29[],23,FALSE)</f>
        <v>385.11288377147002</v>
      </c>
      <c r="BA1723" s="235">
        <f>VLOOKUP(Table8[[#This Row],[Country Code]],Table29[],24,FALSE)</f>
        <v>58.971195919965467</v>
      </c>
      <c r="BB1723" s="320"/>
      <c r="BC1723" s="320"/>
    </row>
    <row r="1724" spans="1:55" hidden="1" x14ac:dyDescent="0.25">
      <c r="A1724" s="373">
        <v>26787</v>
      </c>
      <c r="B1724" s="233" t="str">
        <f>VLOOKUP(Table8[[#This Row],[Document ID]],Table1[],2,FALSE)</f>
        <v>NGA</v>
      </c>
      <c r="C1724" s="233" t="str">
        <f>VLOOKUP(Table8[[#This Row],[Document ID]],Table1[],3,FALSE)</f>
        <v>Nigeria</v>
      </c>
      <c r="D1724" s="243" t="str">
        <f>VLOOKUP(Table8[[#This Row],[Document ID]],Table1[],5,FALSE)</f>
        <v>LTS</v>
      </c>
      <c r="E1724" s="233" t="str">
        <f>VLOOKUP(Table8[[#This Row],[Document ID]],Table1[],7,FALSE)</f>
        <v>Archived LTS 1.0</v>
      </c>
      <c r="F1724" s="233" t="str">
        <f>VLOOKUP(Table8[[#This Row],[Document ID]],Table1[],8,FALSE)</f>
        <v>LTS 1.0</v>
      </c>
      <c r="G1724" s="233" t="str">
        <f>VLOOKUP(Table8[[#This Row],[Document ID]],Table1[],10,FALSE)</f>
        <v>Archived</v>
      </c>
      <c r="H1724" s="43" t="s">
        <v>2350</v>
      </c>
      <c r="I1724" s="43" t="s">
        <v>2456</v>
      </c>
      <c r="J1724" s="44" t="s">
        <v>2457</v>
      </c>
      <c r="K1724" s="44" t="s">
        <v>3929</v>
      </c>
      <c r="L1724" s="44" t="s">
        <v>2333</v>
      </c>
      <c r="M1724" s="43">
        <v>27</v>
      </c>
      <c r="N1724" s="113"/>
      <c r="O1724" s="113"/>
      <c r="P1724" s="113"/>
      <c r="Q1724" s="113"/>
      <c r="R1724" s="113"/>
      <c r="S1724" s="113" t="s">
        <v>1113</v>
      </c>
      <c r="T1724" s="113"/>
      <c r="U1724" s="113"/>
      <c r="V1724" s="113"/>
      <c r="W1724" s="113"/>
      <c r="X1724" s="113"/>
      <c r="Y1724" s="113"/>
      <c r="Z1724" s="113"/>
      <c r="AA1724" s="113"/>
      <c r="AB1724" s="113"/>
      <c r="AC1724" s="113"/>
      <c r="AD1724" s="113"/>
      <c r="AE1724" s="113"/>
      <c r="AF1724" s="113"/>
      <c r="AG1724" s="113"/>
      <c r="AH1724" s="113"/>
      <c r="AI1724" s="113"/>
      <c r="AJ1724" s="113"/>
      <c r="AK1724" s="113" t="s">
        <v>1113</v>
      </c>
      <c r="AL1724" s="113"/>
      <c r="AM1724" s="113"/>
      <c r="AN1724" s="113"/>
      <c r="AO1724" s="44" t="s">
        <v>2334</v>
      </c>
      <c r="AP1724" s="43"/>
      <c r="AQ1724" s="236" t="str">
        <f>VLOOKUP(Table8[[#This Row],[Instrument]],Def_Targets!$D$73:$E$159,2,FALSE)</f>
        <v>S_Infraimprove</v>
      </c>
      <c r="AR1724" s="233" t="str">
        <f>VLOOKUP(Table8[[#This Row],[Country Code]],Table29[],3,FALSE)</f>
        <v>Non-Annex I</v>
      </c>
      <c r="AS1724" s="233" t="str">
        <f>VLOOKUP(Table8[[#This Row],[Country Code]],Table29[],4,FALSE)</f>
        <v>Africa</v>
      </c>
      <c r="AT1724" s="233" t="str">
        <f>VLOOKUP(Table8[[#This Row],[Country Code]],Table29[],5,FALSE)</f>
        <v>Middle-income</v>
      </c>
      <c r="AU1724" s="233" t="str">
        <f>VLOOKUP(Table8[[#This Row],[Country Code]],Table29[],6,FALSE)</f>
        <v>no</v>
      </c>
      <c r="AV1724" s="233" t="str">
        <f>VLOOKUP(Table8[[#This Row],[Country Code]],Table29[],7,FALSE)</f>
        <v>no</v>
      </c>
      <c r="AW1724" s="233" t="str">
        <f>VLOOKUP(Table8[[#This Row],[Country Code]],Table29[],8,FALSE)</f>
        <v>non-OECD</v>
      </c>
      <c r="AX1724" s="233" t="str">
        <f>VLOOKUP(Table8[[#This Row],[Country Code]],Table29[],9,FALSE)</f>
        <v>no</v>
      </c>
      <c r="AY1724" s="233" t="str">
        <f>VLOOKUP(Table8[[#This Row],[Country Code]],Table29[],10,FALSE)</f>
        <v>no</v>
      </c>
      <c r="AZ1724" s="235">
        <f>VLOOKUP(Table8[[#This Row],[Country Code]],Table29[],23,FALSE)</f>
        <v>385.11288377147002</v>
      </c>
      <c r="BA1724" s="235">
        <f>VLOOKUP(Table8[[#This Row],[Country Code]],Table29[],24,FALSE)</f>
        <v>58.971195919965467</v>
      </c>
      <c r="BB1724" s="320"/>
      <c r="BC1724" s="320"/>
    </row>
    <row r="1725" spans="1:55" hidden="1" x14ac:dyDescent="0.25">
      <c r="A1725" s="373">
        <v>26787</v>
      </c>
      <c r="B1725" s="233" t="str">
        <f>VLOOKUP(Table8[[#This Row],[Document ID]],Table1[],2,FALSE)</f>
        <v>NGA</v>
      </c>
      <c r="C1725" s="233" t="str">
        <f>VLOOKUP(Table8[[#This Row],[Document ID]],Table1[],3,FALSE)</f>
        <v>Nigeria</v>
      </c>
      <c r="D1725" s="243" t="str">
        <f>VLOOKUP(Table8[[#This Row],[Document ID]],Table1[],5,FALSE)</f>
        <v>LTS</v>
      </c>
      <c r="E1725" s="233" t="str">
        <f>VLOOKUP(Table8[[#This Row],[Document ID]],Table1[],7,FALSE)</f>
        <v>Archived LTS 1.0</v>
      </c>
      <c r="F1725" s="233" t="str">
        <f>VLOOKUP(Table8[[#This Row],[Document ID]],Table1[],8,FALSE)</f>
        <v>LTS 1.0</v>
      </c>
      <c r="G1725" s="233" t="str">
        <f>VLOOKUP(Table8[[#This Row],[Document ID]],Table1[],10,FALSE)</f>
        <v>Archived</v>
      </c>
      <c r="H1725" s="43" t="s">
        <v>2343</v>
      </c>
      <c r="I1725" s="43" t="s">
        <v>2344</v>
      </c>
      <c r="J1725" s="44" t="s">
        <v>2405</v>
      </c>
      <c r="K1725" s="44" t="s">
        <v>3930</v>
      </c>
      <c r="L1725" s="44" t="s">
        <v>2347</v>
      </c>
      <c r="M1725" s="43">
        <v>27</v>
      </c>
      <c r="N1725" s="113"/>
      <c r="O1725" s="113"/>
      <c r="P1725" s="113"/>
      <c r="Q1725" s="113"/>
      <c r="R1725" s="113"/>
      <c r="S1725" s="113"/>
      <c r="T1725" s="113"/>
      <c r="U1725" s="113"/>
      <c r="V1725" s="113"/>
      <c r="W1725" s="113"/>
      <c r="X1725" s="113"/>
      <c r="Y1725" s="113" t="s">
        <v>1113</v>
      </c>
      <c r="Z1725" s="113" t="s">
        <v>1113</v>
      </c>
      <c r="AA1725" s="113"/>
      <c r="AB1725" s="113"/>
      <c r="AC1725" s="113"/>
      <c r="AD1725" s="113"/>
      <c r="AE1725" s="113"/>
      <c r="AF1725" s="113"/>
      <c r="AG1725" s="113"/>
      <c r="AH1725" s="113"/>
      <c r="AI1725" s="113"/>
      <c r="AJ1725" s="113"/>
      <c r="AK1725" s="113"/>
      <c r="AL1725" s="113" t="s">
        <v>1113</v>
      </c>
      <c r="AM1725" s="113"/>
      <c r="AN1725" s="113"/>
      <c r="AO1725" s="43" t="s">
        <v>2348</v>
      </c>
      <c r="AP1725" s="43"/>
      <c r="AQ1725" s="236" t="str">
        <f>VLOOKUP(Table8[[#This Row],[Instrument]],Def_Targets!$D$73:$E$159,2,FALSE)</f>
        <v>S_PTIntegration</v>
      </c>
      <c r="AR1725" s="233" t="str">
        <f>VLOOKUP(Table8[[#This Row],[Country Code]],Table29[],3,FALSE)</f>
        <v>Non-Annex I</v>
      </c>
      <c r="AS1725" s="233" t="str">
        <f>VLOOKUP(Table8[[#This Row],[Country Code]],Table29[],4,FALSE)</f>
        <v>Africa</v>
      </c>
      <c r="AT1725" s="233" t="str">
        <f>VLOOKUP(Table8[[#This Row],[Country Code]],Table29[],5,FALSE)</f>
        <v>Middle-income</v>
      </c>
      <c r="AU1725" s="233" t="str">
        <f>VLOOKUP(Table8[[#This Row],[Country Code]],Table29[],6,FALSE)</f>
        <v>no</v>
      </c>
      <c r="AV1725" s="233" t="str">
        <f>VLOOKUP(Table8[[#This Row],[Country Code]],Table29[],7,FALSE)</f>
        <v>no</v>
      </c>
      <c r="AW1725" s="233" t="str">
        <f>VLOOKUP(Table8[[#This Row],[Country Code]],Table29[],8,FALSE)</f>
        <v>non-OECD</v>
      </c>
      <c r="AX1725" s="233" t="str">
        <f>VLOOKUP(Table8[[#This Row],[Country Code]],Table29[],9,FALSE)</f>
        <v>no</v>
      </c>
      <c r="AY1725" s="233" t="str">
        <f>VLOOKUP(Table8[[#This Row],[Country Code]],Table29[],10,FALSE)</f>
        <v>no</v>
      </c>
      <c r="AZ1725" s="235">
        <f>VLOOKUP(Table8[[#This Row],[Country Code]],Table29[],23,FALSE)</f>
        <v>385.11288377147002</v>
      </c>
      <c r="BA1725" s="235">
        <f>VLOOKUP(Table8[[#This Row],[Country Code]],Table29[],24,FALSE)</f>
        <v>58.971195919965467</v>
      </c>
      <c r="BB1725" s="320"/>
      <c r="BC1725" s="320"/>
    </row>
    <row r="1726" spans="1:55" hidden="1" x14ac:dyDescent="0.25">
      <c r="A1726" s="373">
        <v>17706</v>
      </c>
      <c r="B1726" s="233" t="str">
        <f>VLOOKUP(Table8[[#This Row],[Document ID]],Table1[],2,FALSE)</f>
        <v>KOR</v>
      </c>
      <c r="C1726" s="233" t="str">
        <f>VLOOKUP(Table8[[#This Row],[Document ID]],Table1[],3,FALSE)</f>
        <v>Republic of Korea</v>
      </c>
      <c r="D1726" s="243" t="str">
        <f>VLOOKUP(Table8[[#This Row],[Document ID]],Table1[],5,FALSE)</f>
        <v>NDC</v>
      </c>
      <c r="E1726" s="233" t="str">
        <f>VLOOKUP(Table8[[#This Row],[Document ID]],Table1[],7,FALSE)</f>
        <v>First NDC</v>
      </c>
      <c r="F1726" s="236" t="str">
        <f>VLOOKUP(Table8[[#This Row],[Document ID]],Table1[],8,FALSE)</f>
        <v>NDC 1.0</v>
      </c>
      <c r="G1726" s="236" t="str">
        <f>VLOOKUP(Table8[[#This Row],[Document ID]],Table1[],10,FALSE)</f>
        <v>Archived</v>
      </c>
      <c r="H1726" s="44" t="s">
        <v>2338</v>
      </c>
      <c r="I1726" s="44" t="s">
        <v>2339</v>
      </c>
      <c r="J1726" s="44" t="s">
        <v>2413</v>
      </c>
      <c r="K1726" s="44" t="s">
        <v>3931</v>
      </c>
      <c r="L1726" s="44" t="s">
        <v>2333</v>
      </c>
      <c r="M1726" s="43"/>
      <c r="N1726" s="113"/>
      <c r="O1726" s="113"/>
      <c r="P1726" s="113"/>
      <c r="Q1726" s="319"/>
      <c r="R1726" s="319"/>
      <c r="S1726" s="319"/>
      <c r="T1726" s="319"/>
      <c r="U1726" s="113" t="s">
        <v>1113</v>
      </c>
      <c r="V1726" s="319"/>
      <c r="W1726" s="319"/>
      <c r="X1726" s="319"/>
      <c r="Y1726" s="319"/>
      <c r="Z1726" s="319"/>
      <c r="AA1726" s="319"/>
      <c r="AB1726" s="319"/>
      <c r="AC1726" s="319"/>
      <c r="AD1726" s="319"/>
      <c r="AE1726" s="319"/>
      <c r="AF1726" s="319"/>
      <c r="AG1726" s="319"/>
      <c r="AH1726" s="319"/>
      <c r="AI1726" s="319"/>
      <c r="AJ1726" s="319"/>
      <c r="AK1726" s="319" t="s">
        <v>1113</v>
      </c>
      <c r="AL1726" s="319"/>
      <c r="AM1726" s="319"/>
      <c r="AN1726" s="319"/>
      <c r="AO1726" s="43" t="s">
        <v>2348</v>
      </c>
      <c r="AP1726" s="44"/>
      <c r="AQ1726" s="236" t="str">
        <f>VLOOKUP(Table8[[#This Row],[Instrument]],Def_Targets!$D$73:$E$159,2,FALSE)</f>
        <v>I_Vehicleeff</v>
      </c>
      <c r="AR1726" s="233" t="str">
        <f>VLOOKUP(Table8[[#This Row],[Country Code]],Table29[],3,FALSE)</f>
        <v>Non-Annex I</v>
      </c>
      <c r="AS1726" s="233" t="str">
        <f>VLOOKUP(Table8[[#This Row],[Country Code]],Table29[],4,FALSE)</f>
        <v>Asia</v>
      </c>
      <c r="AT1726" s="233" t="str">
        <f>VLOOKUP(Table8[[#This Row],[Country Code]],Table29[],5,FALSE)</f>
        <v>High-income</v>
      </c>
      <c r="AU1726" s="233" t="str">
        <f>VLOOKUP(Table8[[#This Row],[Country Code]],Table29[],6,FALSE)</f>
        <v>G20</v>
      </c>
      <c r="AV1726" s="233" t="str">
        <f>VLOOKUP(Table8[[#This Row],[Country Code]],Table29[],7,FALSE)</f>
        <v>no</v>
      </c>
      <c r="AW1726" s="233" t="str">
        <f>VLOOKUP(Table8[[#This Row],[Country Code]],Table29[],8,FALSE)</f>
        <v>OECD</v>
      </c>
      <c r="AX1726" s="233" t="str">
        <f>VLOOKUP(Table8[[#This Row],[Country Code]],Table29[],9,FALSE)</f>
        <v>no</v>
      </c>
      <c r="AY1726" s="233" t="str">
        <f>VLOOKUP(Table8[[#This Row],[Country Code]],Table29[],10,FALSE)</f>
        <v>no</v>
      </c>
      <c r="AZ1726" s="235">
        <f>VLOOKUP(Table8[[#This Row],[Country Code]],Table29[],23,FALSE)</f>
        <v>653.84613998739997</v>
      </c>
      <c r="BA1726" s="235">
        <f>VLOOKUP(Table8[[#This Row],[Country Code]],Table29[],24,FALSE)</f>
        <v>107.9154569951917</v>
      </c>
      <c r="BB1726" s="320"/>
      <c r="BC1726" s="320"/>
    </row>
    <row r="1727" spans="1:55" hidden="1" x14ac:dyDescent="0.25">
      <c r="A1727" s="373">
        <v>17706</v>
      </c>
      <c r="B1727" s="233" t="str">
        <f>VLOOKUP(Table8[[#This Row],[Document ID]],Table1[],2,FALSE)</f>
        <v>KOR</v>
      </c>
      <c r="C1727" s="233" t="str">
        <f>VLOOKUP(Table8[[#This Row],[Document ID]],Table1[],3,FALSE)</f>
        <v>Republic of Korea</v>
      </c>
      <c r="D1727" s="243" t="str">
        <f>VLOOKUP(Table8[[#This Row],[Document ID]],Table1[],5,FALSE)</f>
        <v>NDC</v>
      </c>
      <c r="E1727" s="233" t="str">
        <f>VLOOKUP(Table8[[#This Row],[Document ID]],Table1[],7,FALSE)</f>
        <v>First NDC</v>
      </c>
      <c r="F1727" s="236" t="str">
        <f>VLOOKUP(Table8[[#This Row],[Document ID]],Table1[],8,FALSE)</f>
        <v>NDC 1.0</v>
      </c>
      <c r="G1727" s="236" t="str">
        <f>VLOOKUP(Table8[[#This Row],[Document ID]],Table1[],10,FALSE)</f>
        <v>Archived</v>
      </c>
      <c r="H1727" s="43" t="s">
        <v>2343</v>
      </c>
      <c r="I1727" s="43" t="s">
        <v>2344</v>
      </c>
      <c r="J1727" s="44" t="s">
        <v>2405</v>
      </c>
      <c r="K1727" s="44" t="s">
        <v>3932</v>
      </c>
      <c r="L1727" s="44" t="s">
        <v>2347</v>
      </c>
      <c r="M1727" s="43"/>
      <c r="N1727" s="113"/>
      <c r="O1727" s="113"/>
      <c r="P1727" s="113"/>
      <c r="Q1727" s="319"/>
      <c r="R1727" s="319"/>
      <c r="S1727" s="319"/>
      <c r="T1727" s="319"/>
      <c r="U1727" s="319"/>
      <c r="V1727" s="319"/>
      <c r="W1727" s="319"/>
      <c r="X1727" s="319"/>
      <c r="Y1727" s="113" t="s">
        <v>1113</v>
      </c>
      <c r="Z1727" s="113"/>
      <c r="AA1727" s="113"/>
      <c r="AB1727" s="113"/>
      <c r="AC1727" s="113" t="s">
        <v>1113</v>
      </c>
      <c r="AD1727" s="319"/>
      <c r="AE1727" s="319"/>
      <c r="AF1727" s="319"/>
      <c r="AG1727" s="319"/>
      <c r="AH1727" s="319"/>
      <c r="AI1727" s="319"/>
      <c r="AJ1727" s="319"/>
      <c r="AK1727" s="319" t="s">
        <v>1113</v>
      </c>
      <c r="AL1727" s="319"/>
      <c r="AM1727" s="319"/>
      <c r="AN1727" s="319"/>
      <c r="AO1727" s="43" t="s">
        <v>2348</v>
      </c>
      <c r="AP1727" s="44"/>
      <c r="AQ1727" s="236" t="str">
        <f>VLOOKUP(Table8[[#This Row],[Instrument]],Def_Targets!$D$73:$E$159,2,FALSE)</f>
        <v>S_PTIntegration</v>
      </c>
      <c r="AR1727" s="233" t="str">
        <f>VLOOKUP(Table8[[#This Row],[Country Code]],Table29[],3,FALSE)</f>
        <v>Non-Annex I</v>
      </c>
      <c r="AS1727" s="233" t="str">
        <f>VLOOKUP(Table8[[#This Row],[Country Code]],Table29[],4,FALSE)</f>
        <v>Asia</v>
      </c>
      <c r="AT1727" s="233" t="str">
        <f>VLOOKUP(Table8[[#This Row],[Country Code]],Table29[],5,FALSE)</f>
        <v>High-income</v>
      </c>
      <c r="AU1727" s="233" t="str">
        <f>VLOOKUP(Table8[[#This Row],[Country Code]],Table29[],6,FALSE)</f>
        <v>G20</v>
      </c>
      <c r="AV1727" s="233" t="str">
        <f>VLOOKUP(Table8[[#This Row],[Country Code]],Table29[],7,FALSE)</f>
        <v>no</v>
      </c>
      <c r="AW1727" s="233" t="str">
        <f>VLOOKUP(Table8[[#This Row],[Country Code]],Table29[],8,FALSE)</f>
        <v>OECD</v>
      </c>
      <c r="AX1727" s="233" t="str">
        <f>VLOOKUP(Table8[[#This Row],[Country Code]],Table29[],9,FALSE)</f>
        <v>no</v>
      </c>
      <c r="AY1727" s="233" t="str">
        <f>VLOOKUP(Table8[[#This Row],[Country Code]],Table29[],10,FALSE)</f>
        <v>no</v>
      </c>
      <c r="AZ1727" s="235">
        <f>VLOOKUP(Table8[[#This Row],[Country Code]],Table29[],23,FALSE)</f>
        <v>653.84613998739997</v>
      </c>
      <c r="BA1727" s="235">
        <f>VLOOKUP(Table8[[#This Row],[Country Code]],Table29[],24,FALSE)</f>
        <v>107.9154569951917</v>
      </c>
      <c r="BB1727" s="320"/>
      <c r="BC1727" s="320"/>
    </row>
    <row r="1728" spans="1:55" hidden="1" x14ac:dyDescent="0.25">
      <c r="A1728" s="373">
        <v>17706</v>
      </c>
      <c r="B1728" s="233" t="str">
        <f>VLOOKUP(Table8[[#This Row],[Document ID]],Table1[],2,FALSE)</f>
        <v>KOR</v>
      </c>
      <c r="C1728" s="233" t="str">
        <f>VLOOKUP(Table8[[#This Row],[Document ID]],Table1[],3,FALSE)</f>
        <v>Republic of Korea</v>
      </c>
      <c r="D1728" s="243" t="str">
        <f>VLOOKUP(Table8[[#This Row],[Document ID]],Table1[],5,FALSE)</f>
        <v>NDC</v>
      </c>
      <c r="E1728" s="233" t="str">
        <f>VLOOKUP(Table8[[#This Row],[Document ID]],Table1[],7,FALSE)</f>
        <v>First NDC</v>
      </c>
      <c r="F1728" s="236" t="str">
        <f>VLOOKUP(Table8[[#This Row],[Document ID]],Table1[],8,FALSE)</f>
        <v>NDC 1.0</v>
      </c>
      <c r="G1728" s="236" t="str">
        <f>VLOOKUP(Table8[[#This Row],[Document ID]],Table1[],10,FALSE)</f>
        <v>Archived</v>
      </c>
      <c r="H1728" s="43" t="s">
        <v>2358</v>
      </c>
      <c r="I1728" s="43" t="s">
        <v>2359</v>
      </c>
      <c r="J1728" s="44" t="s">
        <v>2389</v>
      </c>
      <c r="K1728" s="44" t="s">
        <v>3933</v>
      </c>
      <c r="L1728" s="44" t="s">
        <v>2333</v>
      </c>
      <c r="M1728" s="43"/>
      <c r="N1728" s="113" t="s">
        <v>1113</v>
      </c>
      <c r="O1728" s="113"/>
      <c r="P1728" s="113"/>
      <c r="Q1728" s="319"/>
      <c r="R1728" s="319"/>
      <c r="S1728" s="319"/>
      <c r="T1728" s="319"/>
      <c r="U1728" s="319"/>
      <c r="V1728" s="319"/>
      <c r="W1728" s="319"/>
      <c r="X1728" s="319"/>
      <c r="Y1728" s="319"/>
      <c r="Z1728" s="319"/>
      <c r="AA1728" s="319"/>
      <c r="AB1728" s="319"/>
      <c r="AC1728" s="319"/>
      <c r="AD1728" s="319"/>
      <c r="AE1728" s="319"/>
      <c r="AF1728" s="319"/>
      <c r="AG1728" s="319"/>
      <c r="AH1728" s="319"/>
      <c r="AI1728" s="319"/>
      <c r="AJ1728" s="319"/>
      <c r="AK1728" s="319" t="s">
        <v>1113</v>
      </c>
      <c r="AL1728" s="319"/>
      <c r="AM1728" s="319"/>
      <c r="AN1728" s="319"/>
      <c r="AO1728" s="44" t="s">
        <v>2334</v>
      </c>
      <c r="AP1728" s="44"/>
      <c r="AQ1728" s="236" t="str">
        <f>VLOOKUP(Table8[[#This Row],[Instrument]],Def_Targets!$D$73:$E$159,2,FALSE)</f>
        <v>I_Emobilitypurchase</v>
      </c>
      <c r="AR1728" s="233" t="str">
        <f>VLOOKUP(Table8[[#This Row],[Country Code]],Table29[],3,FALSE)</f>
        <v>Non-Annex I</v>
      </c>
      <c r="AS1728" s="233" t="str">
        <f>VLOOKUP(Table8[[#This Row],[Country Code]],Table29[],4,FALSE)</f>
        <v>Asia</v>
      </c>
      <c r="AT1728" s="233" t="str">
        <f>VLOOKUP(Table8[[#This Row],[Country Code]],Table29[],5,FALSE)</f>
        <v>High-income</v>
      </c>
      <c r="AU1728" s="233" t="str">
        <f>VLOOKUP(Table8[[#This Row],[Country Code]],Table29[],6,FALSE)</f>
        <v>G20</v>
      </c>
      <c r="AV1728" s="233" t="str">
        <f>VLOOKUP(Table8[[#This Row],[Country Code]],Table29[],7,FALSE)</f>
        <v>no</v>
      </c>
      <c r="AW1728" s="233" t="str">
        <f>VLOOKUP(Table8[[#This Row],[Country Code]],Table29[],8,FALSE)</f>
        <v>OECD</v>
      </c>
      <c r="AX1728" s="233" t="str">
        <f>VLOOKUP(Table8[[#This Row],[Country Code]],Table29[],9,FALSE)</f>
        <v>no</v>
      </c>
      <c r="AY1728" s="233" t="str">
        <f>VLOOKUP(Table8[[#This Row],[Country Code]],Table29[],10,FALSE)</f>
        <v>no</v>
      </c>
      <c r="AZ1728" s="235">
        <f>VLOOKUP(Table8[[#This Row],[Country Code]],Table29[],23,FALSE)</f>
        <v>653.84613998739997</v>
      </c>
      <c r="BA1728" s="235">
        <f>VLOOKUP(Table8[[#This Row],[Country Code]],Table29[],24,FALSE)</f>
        <v>107.9154569951917</v>
      </c>
      <c r="BB1728" s="320"/>
      <c r="BC1728" s="320"/>
    </row>
    <row r="1729" spans="1:55" hidden="1" x14ac:dyDescent="0.25">
      <c r="A1729" s="373">
        <v>17706</v>
      </c>
      <c r="B1729" s="233" t="str">
        <f>VLOOKUP(Table8[[#This Row],[Document ID]],Table1[],2,FALSE)</f>
        <v>KOR</v>
      </c>
      <c r="C1729" s="233" t="str">
        <f>VLOOKUP(Table8[[#This Row],[Document ID]],Table1[],3,FALSE)</f>
        <v>Republic of Korea</v>
      </c>
      <c r="D1729" s="243" t="str">
        <f>VLOOKUP(Table8[[#This Row],[Document ID]],Table1[],5,FALSE)</f>
        <v>NDC</v>
      </c>
      <c r="E1729" s="233" t="str">
        <f>VLOOKUP(Table8[[#This Row],[Document ID]],Table1[],7,FALSE)</f>
        <v>First NDC</v>
      </c>
      <c r="F1729" s="236" t="str">
        <f>VLOOKUP(Table8[[#This Row],[Document ID]],Table1[],8,FALSE)</f>
        <v>NDC 1.0</v>
      </c>
      <c r="G1729" s="236" t="str">
        <f>VLOOKUP(Table8[[#This Row],[Document ID]],Table1[],10,FALSE)</f>
        <v>Archived</v>
      </c>
      <c r="H1729" s="44" t="s">
        <v>2329</v>
      </c>
      <c r="I1729" s="44" t="s">
        <v>2330</v>
      </c>
      <c r="J1729" s="44" t="s">
        <v>2331</v>
      </c>
      <c r="K1729" s="44" t="s">
        <v>3934</v>
      </c>
      <c r="L1729" s="44" t="s">
        <v>2333</v>
      </c>
      <c r="M1729" s="43"/>
      <c r="N1729" s="113"/>
      <c r="O1729" s="113"/>
      <c r="P1729" s="113"/>
      <c r="Q1729" s="319"/>
      <c r="R1729" s="319"/>
      <c r="S1729" s="319"/>
      <c r="T1729" s="319"/>
      <c r="U1729" s="113" t="s">
        <v>1113</v>
      </c>
      <c r="V1729" s="319"/>
      <c r="W1729" s="319"/>
      <c r="X1729" s="319"/>
      <c r="Y1729" s="319"/>
      <c r="Z1729" s="319"/>
      <c r="AA1729" s="319"/>
      <c r="AB1729" s="319"/>
      <c r="AC1729" s="319"/>
      <c r="AD1729" s="319"/>
      <c r="AE1729" s="319"/>
      <c r="AF1729" s="319"/>
      <c r="AG1729" s="319"/>
      <c r="AH1729" s="319"/>
      <c r="AI1729" s="319"/>
      <c r="AJ1729" s="319"/>
      <c r="AK1729" s="319" t="s">
        <v>1113</v>
      </c>
      <c r="AL1729" s="319"/>
      <c r="AM1729" s="319"/>
      <c r="AN1729" s="319"/>
      <c r="AO1729" s="43" t="s">
        <v>2348</v>
      </c>
      <c r="AP1729" s="44"/>
      <c r="AQ1729" s="236" t="str">
        <f>VLOOKUP(Table8[[#This Row],[Instrument]],Def_Targets!$D$73:$E$159,2,FALSE)</f>
        <v>I_Altfuels</v>
      </c>
      <c r="AR1729" s="233" t="str">
        <f>VLOOKUP(Table8[[#This Row],[Country Code]],Table29[],3,FALSE)</f>
        <v>Non-Annex I</v>
      </c>
      <c r="AS1729" s="233" t="str">
        <f>VLOOKUP(Table8[[#This Row],[Country Code]],Table29[],4,FALSE)</f>
        <v>Asia</v>
      </c>
      <c r="AT1729" s="233" t="str">
        <f>VLOOKUP(Table8[[#This Row],[Country Code]],Table29[],5,FALSE)</f>
        <v>High-income</v>
      </c>
      <c r="AU1729" s="233" t="str">
        <f>VLOOKUP(Table8[[#This Row],[Country Code]],Table29[],6,FALSE)</f>
        <v>G20</v>
      </c>
      <c r="AV1729" s="233" t="str">
        <f>VLOOKUP(Table8[[#This Row],[Country Code]],Table29[],7,FALSE)</f>
        <v>no</v>
      </c>
      <c r="AW1729" s="233" t="str">
        <f>VLOOKUP(Table8[[#This Row],[Country Code]],Table29[],8,FALSE)</f>
        <v>OECD</v>
      </c>
      <c r="AX1729" s="233" t="str">
        <f>VLOOKUP(Table8[[#This Row],[Country Code]],Table29[],9,FALSE)</f>
        <v>no</v>
      </c>
      <c r="AY1729" s="233" t="str">
        <f>VLOOKUP(Table8[[#This Row],[Country Code]],Table29[],10,FALSE)</f>
        <v>no</v>
      </c>
      <c r="AZ1729" s="235">
        <f>VLOOKUP(Table8[[#This Row],[Country Code]],Table29[],23,FALSE)</f>
        <v>653.84613998739997</v>
      </c>
      <c r="BA1729" s="235">
        <f>VLOOKUP(Table8[[#This Row],[Country Code]],Table29[],24,FALSE)</f>
        <v>107.9154569951917</v>
      </c>
      <c r="BB1729" s="320"/>
      <c r="BC1729" s="320"/>
    </row>
    <row r="1730" spans="1:55" ht="30" hidden="1" x14ac:dyDescent="0.25">
      <c r="A1730" s="373">
        <v>32511</v>
      </c>
      <c r="B1730" s="233" t="str">
        <f>VLOOKUP(Table8[[#This Row],[Document ID]],Table1[],2,FALSE)</f>
        <v>KOR</v>
      </c>
      <c r="C1730" s="233" t="str">
        <f>VLOOKUP(Table8[[#This Row],[Document ID]],Table1[],3,FALSE)</f>
        <v>Republic of Korea</v>
      </c>
      <c r="D1730" s="243" t="str">
        <f>VLOOKUP(Table8[[#This Row],[Document ID]],Table1[],5,FALSE)</f>
        <v>NDC</v>
      </c>
      <c r="E1730" s="233" t="str">
        <f>VLOOKUP(Table8[[#This Row],[Document ID]],Table1[],7,FALSE)</f>
        <v>First NDC updated</v>
      </c>
      <c r="F1730" s="233" t="str">
        <f>VLOOKUP(Table8[[#This Row],[Document ID]],Table1[],8,FALSE)</f>
        <v>NDC 1.2</v>
      </c>
      <c r="G1730" s="233" t="str">
        <f>VLOOKUP(Table8[[#This Row],[Document ID]],Table1[],10,FALSE)</f>
        <v>Active</v>
      </c>
      <c r="H1730" s="43" t="s">
        <v>2358</v>
      </c>
      <c r="I1730" s="43" t="s">
        <v>2359</v>
      </c>
      <c r="J1730" s="44" t="s">
        <v>2360</v>
      </c>
      <c r="K1730" s="44" t="s">
        <v>3935</v>
      </c>
      <c r="L1730" s="44" t="s">
        <v>2333</v>
      </c>
      <c r="M1730" s="43">
        <v>3</v>
      </c>
      <c r="N1730" s="113"/>
      <c r="O1730" s="113"/>
      <c r="P1730" s="113"/>
      <c r="Q1730" s="113"/>
      <c r="R1730" s="113"/>
      <c r="S1730" s="113" t="s">
        <v>1113</v>
      </c>
      <c r="T1730" s="113"/>
      <c r="U1730" s="113"/>
      <c r="V1730" s="113"/>
      <c r="W1730" s="113"/>
      <c r="X1730" s="113"/>
      <c r="Y1730" s="113"/>
      <c r="Z1730" s="113"/>
      <c r="AA1730" s="113"/>
      <c r="AB1730" s="113"/>
      <c r="AC1730" s="113"/>
      <c r="AD1730" s="113"/>
      <c r="AE1730" s="113"/>
      <c r="AF1730" s="113"/>
      <c r="AG1730" s="113"/>
      <c r="AH1730" s="113"/>
      <c r="AI1730" s="113"/>
      <c r="AJ1730" s="113"/>
      <c r="AK1730" s="113" t="s">
        <v>1113</v>
      </c>
      <c r="AL1730" s="113"/>
      <c r="AM1730" s="113"/>
      <c r="AN1730" s="113"/>
      <c r="AO1730" s="44" t="s">
        <v>2334</v>
      </c>
      <c r="AP1730" s="43"/>
      <c r="AQ1730" s="236" t="str">
        <f>VLOOKUP(Table8[[#This Row],[Instrument]],Def_Targets!$D$73:$E$159,2,FALSE)</f>
        <v>I_Emobility</v>
      </c>
      <c r="AR1730" s="233" t="str">
        <f>VLOOKUP(Table8[[#This Row],[Country Code]],Table29[],3,FALSE)</f>
        <v>Non-Annex I</v>
      </c>
      <c r="AS1730" s="233" t="str">
        <f>VLOOKUP(Table8[[#This Row],[Country Code]],Table29[],4,FALSE)</f>
        <v>Asia</v>
      </c>
      <c r="AT1730" s="233" t="str">
        <f>VLOOKUP(Table8[[#This Row],[Country Code]],Table29[],5,FALSE)</f>
        <v>High-income</v>
      </c>
      <c r="AU1730" s="233" t="str">
        <f>VLOOKUP(Table8[[#This Row],[Country Code]],Table29[],6,FALSE)</f>
        <v>G20</v>
      </c>
      <c r="AV1730" s="233" t="str">
        <f>VLOOKUP(Table8[[#This Row],[Country Code]],Table29[],7,FALSE)</f>
        <v>no</v>
      </c>
      <c r="AW1730" s="233" t="str">
        <f>VLOOKUP(Table8[[#This Row],[Country Code]],Table29[],8,FALSE)</f>
        <v>OECD</v>
      </c>
      <c r="AX1730" s="233" t="str">
        <f>VLOOKUP(Table8[[#This Row],[Country Code]],Table29[],9,FALSE)</f>
        <v>no</v>
      </c>
      <c r="AY1730" s="233" t="str">
        <f>VLOOKUP(Table8[[#This Row],[Country Code]],Table29[],10,FALSE)</f>
        <v>no</v>
      </c>
      <c r="AZ1730" s="235">
        <f>VLOOKUP(Table8[[#This Row],[Country Code]],Table29[],23,FALSE)</f>
        <v>653.84613998739997</v>
      </c>
      <c r="BA1730" s="235">
        <f>VLOOKUP(Table8[[#This Row],[Country Code]],Table29[],24,FALSE)</f>
        <v>107.9154569951917</v>
      </c>
      <c r="BB1730" s="320"/>
      <c r="BC1730" s="320"/>
    </row>
    <row r="1731" spans="1:55" ht="30" hidden="1" x14ac:dyDescent="0.25">
      <c r="A1731" s="373">
        <v>32511</v>
      </c>
      <c r="B1731" s="233" t="str">
        <f>VLOOKUP(Table8[[#This Row],[Document ID]],Table1[],2,FALSE)</f>
        <v>KOR</v>
      </c>
      <c r="C1731" s="233" t="str">
        <f>VLOOKUP(Table8[[#This Row],[Document ID]],Table1[],3,FALSE)</f>
        <v>Republic of Korea</v>
      </c>
      <c r="D1731" s="243" t="str">
        <f>VLOOKUP(Table8[[#This Row],[Document ID]],Table1[],5,FALSE)</f>
        <v>NDC</v>
      </c>
      <c r="E1731" s="233" t="str">
        <f>VLOOKUP(Table8[[#This Row],[Document ID]],Table1[],7,FALSE)</f>
        <v>First NDC updated</v>
      </c>
      <c r="F1731" s="233" t="str">
        <f>VLOOKUP(Table8[[#This Row],[Document ID]],Table1[],8,FALSE)</f>
        <v>NDC 1.2</v>
      </c>
      <c r="G1731" s="233" t="str">
        <f>VLOOKUP(Table8[[#This Row],[Document ID]],Table1[],10,FALSE)</f>
        <v>Active</v>
      </c>
      <c r="H1731" s="43" t="s">
        <v>2343</v>
      </c>
      <c r="I1731" s="43" t="s">
        <v>2344</v>
      </c>
      <c r="J1731" s="44" t="s">
        <v>2345</v>
      </c>
      <c r="K1731" s="44" t="s">
        <v>3936</v>
      </c>
      <c r="L1731" s="44" t="s">
        <v>2380</v>
      </c>
      <c r="M1731" s="43">
        <v>3</v>
      </c>
      <c r="N1731" s="113" t="s">
        <v>1113</v>
      </c>
      <c r="O1731" s="113"/>
      <c r="P1731" s="113"/>
      <c r="Q1731" s="113"/>
      <c r="R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t="s">
        <v>1113</v>
      </c>
      <c r="AL1731" s="113"/>
      <c r="AM1731" s="113"/>
      <c r="AN1731" s="113"/>
      <c r="AO1731" s="43" t="s">
        <v>2348</v>
      </c>
      <c r="AP1731" s="43"/>
      <c r="AQ1731" s="236" t="str">
        <f>VLOOKUP(Table8[[#This Row],[Instrument]],Def_Targets!$D$73:$E$159,2,FALSE)</f>
        <v>S_PublicTransport</v>
      </c>
      <c r="AR1731" s="233" t="str">
        <f>VLOOKUP(Table8[[#This Row],[Country Code]],Table29[],3,FALSE)</f>
        <v>Non-Annex I</v>
      </c>
      <c r="AS1731" s="233" t="str">
        <f>VLOOKUP(Table8[[#This Row],[Country Code]],Table29[],4,FALSE)</f>
        <v>Asia</v>
      </c>
      <c r="AT1731" s="233" t="str">
        <f>VLOOKUP(Table8[[#This Row],[Country Code]],Table29[],5,FALSE)</f>
        <v>High-income</v>
      </c>
      <c r="AU1731" s="233" t="str">
        <f>VLOOKUP(Table8[[#This Row],[Country Code]],Table29[],6,FALSE)</f>
        <v>G20</v>
      </c>
      <c r="AV1731" s="233" t="str">
        <f>VLOOKUP(Table8[[#This Row],[Country Code]],Table29[],7,FALSE)</f>
        <v>no</v>
      </c>
      <c r="AW1731" s="233" t="str">
        <f>VLOOKUP(Table8[[#This Row],[Country Code]],Table29[],8,FALSE)</f>
        <v>OECD</v>
      </c>
      <c r="AX1731" s="233" t="str">
        <f>VLOOKUP(Table8[[#This Row],[Country Code]],Table29[],9,FALSE)</f>
        <v>no</v>
      </c>
      <c r="AY1731" s="233" t="str">
        <f>VLOOKUP(Table8[[#This Row],[Country Code]],Table29[],10,FALSE)</f>
        <v>no</v>
      </c>
      <c r="AZ1731" s="235">
        <f>VLOOKUP(Table8[[#This Row],[Country Code]],Table29[],23,FALSE)</f>
        <v>653.84613998739997</v>
      </c>
      <c r="BA1731" s="235">
        <f>VLOOKUP(Table8[[#This Row],[Country Code]],Table29[],24,FALSE)</f>
        <v>107.9154569951917</v>
      </c>
      <c r="BB1731" s="320"/>
      <c r="BC1731" s="320"/>
    </row>
    <row r="1732" spans="1:55" ht="30" hidden="1" x14ac:dyDescent="0.25">
      <c r="A1732" s="373">
        <v>32511</v>
      </c>
      <c r="B1732" s="233" t="str">
        <f>VLOOKUP(Table8[[#This Row],[Document ID]],Table1[],2,FALSE)</f>
        <v>KOR</v>
      </c>
      <c r="C1732" s="233" t="str">
        <f>VLOOKUP(Table8[[#This Row],[Document ID]],Table1[],3,FALSE)</f>
        <v>Republic of Korea</v>
      </c>
      <c r="D1732" s="243" t="str">
        <f>VLOOKUP(Table8[[#This Row],[Document ID]],Table1[],5,FALSE)</f>
        <v>NDC</v>
      </c>
      <c r="E1732" s="233" t="str">
        <f>VLOOKUP(Table8[[#This Row],[Document ID]],Table1[],7,FALSE)</f>
        <v>First NDC updated</v>
      </c>
      <c r="F1732" s="233" t="str">
        <f>VLOOKUP(Table8[[#This Row],[Document ID]],Table1[],8,FALSE)</f>
        <v>NDC 1.2</v>
      </c>
      <c r="G1732" s="233" t="str">
        <f>VLOOKUP(Table8[[#This Row],[Document ID]],Table1[],10,FALSE)</f>
        <v>Active</v>
      </c>
      <c r="H1732" s="43" t="s">
        <v>2484</v>
      </c>
      <c r="I1732" s="43" t="s">
        <v>2485</v>
      </c>
      <c r="J1732" s="44" t="s">
        <v>2669</v>
      </c>
      <c r="K1732" s="44" t="s">
        <v>3937</v>
      </c>
      <c r="L1732" s="44" t="s">
        <v>2333</v>
      </c>
      <c r="M1732" s="43">
        <v>3</v>
      </c>
      <c r="N1732" s="113"/>
      <c r="O1732" s="113"/>
      <c r="P1732" s="113"/>
      <c r="Q1732" s="113"/>
      <c r="R1732" s="113"/>
      <c r="S1732" s="113"/>
      <c r="T1732" s="113"/>
      <c r="U1732" s="113"/>
      <c r="V1732" s="113"/>
      <c r="W1732" s="113"/>
      <c r="X1732" s="113"/>
      <c r="Y1732" s="113"/>
      <c r="Z1732" s="113"/>
      <c r="AA1732" s="113"/>
      <c r="AB1732" s="113"/>
      <c r="AC1732" s="113"/>
      <c r="AD1732" s="113" t="s">
        <v>1113</v>
      </c>
      <c r="AE1732" s="113"/>
      <c r="AF1732" s="113"/>
      <c r="AG1732" s="113"/>
      <c r="AH1732" s="113"/>
      <c r="AI1732" s="113"/>
      <c r="AJ1732" s="113"/>
      <c r="AK1732" s="113" t="s">
        <v>1113</v>
      </c>
      <c r="AL1732" s="113"/>
      <c r="AM1732" s="113"/>
      <c r="AN1732" s="113"/>
      <c r="AO1732" s="44" t="s">
        <v>2334</v>
      </c>
      <c r="AP1732" s="43"/>
      <c r="AQ1732" s="236" t="str">
        <f>VLOOKUP(Table8[[#This Row],[Instrument]],Def_Targets!$D$73:$E$159,2,FALSE)</f>
        <v>I_Shipefficiency</v>
      </c>
      <c r="AR1732" s="233" t="str">
        <f>VLOOKUP(Table8[[#This Row],[Country Code]],Table29[],3,FALSE)</f>
        <v>Non-Annex I</v>
      </c>
      <c r="AS1732" s="233" t="str">
        <f>VLOOKUP(Table8[[#This Row],[Country Code]],Table29[],4,FALSE)</f>
        <v>Asia</v>
      </c>
      <c r="AT1732" s="233" t="str">
        <f>VLOOKUP(Table8[[#This Row],[Country Code]],Table29[],5,FALSE)</f>
        <v>High-income</v>
      </c>
      <c r="AU1732" s="233" t="str">
        <f>VLOOKUP(Table8[[#This Row],[Country Code]],Table29[],6,FALSE)</f>
        <v>G20</v>
      </c>
      <c r="AV1732" s="233" t="str">
        <f>VLOOKUP(Table8[[#This Row],[Country Code]],Table29[],7,FALSE)</f>
        <v>no</v>
      </c>
      <c r="AW1732" s="233" t="str">
        <f>VLOOKUP(Table8[[#This Row],[Country Code]],Table29[],8,FALSE)</f>
        <v>OECD</v>
      </c>
      <c r="AX1732" s="233" t="str">
        <f>VLOOKUP(Table8[[#This Row],[Country Code]],Table29[],9,FALSE)</f>
        <v>no</v>
      </c>
      <c r="AY1732" s="233" t="str">
        <f>VLOOKUP(Table8[[#This Row],[Country Code]],Table29[],10,FALSE)</f>
        <v>no</v>
      </c>
      <c r="AZ1732" s="235">
        <f>VLOOKUP(Table8[[#This Row],[Country Code]],Table29[],23,FALSE)</f>
        <v>653.84613998739997</v>
      </c>
      <c r="BA1732" s="235">
        <f>VLOOKUP(Table8[[#This Row],[Country Code]],Table29[],24,FALSE)</f>
        <v>107.9154569951917</v>
      </c>
      <c r="BB1732" s="320"/>
      <c r="BC1732" s="320"/>
    </row>
    <row r="1733" spans="1:55" ht="30" hidden="1" x14ac:dyDescent="0.25">
      <c r="A1733" s="373">
        <v>32511</v>
      </c>
      <c r="B1733" s="233" t="str">
        <f>VLOOKUP(Table8[[#This Row],[Document ID]],Table1[],2,FALSE)</f>
        <v>KOR</v>
      </c>
      <c r="C1733" s="233" t="str">
        <f>VLOOKUP(Table8[[#This Row],[Document ID]],Table1[],3,FALSE)</f>
        <v>Republic of Korea</v>
      </c>
      <c r="D1733" s="243" t="str">
        <f>VLOOKUP(Table8[[#This Row],[Document ID]],Table1[],5,FALSE)</f>
        <v>NDC</v>
      </c>
      <c r="E1733" s="233" t="str">
        <f>VLOOKUP(Table8[[#This Row],[Document ID]],Table1[],7,FALSE)</f>
        <v>First NDC updated</v>
      </c>
      <c r="F1733" s="233" t="str">
        <f>VLOOKUP(Table8[[#This Row],[Document ID]],Table1[],8,FALSE)</f>
        <v>NDC 1.2</v>
      </c>
      <c r="G1733" s="233" t="str">
        <f>VLOOKUP(Table8[[#This Row],[Document ID]],Table1[],10,FALSE)</f>
        <v>Active</v>
      </c>
      <c r="H1733" s="43" t="s">
        <v>2484</v>
      </c>
      <c r="I1733" s="43" t="s">
        <v>2488</v>
      </c>
      <c r="J1733" s="44" t="s">
        <v>2489</v>
      </c>
      <c r="K1733" s="44" t="s">
        <v>3937</v>
      </c>
      <c r="L1733" s="44" t="s">
        <v>2333</v>
      </c>
      <c r="M1733" s="43">
        <v>3</v>
      </c>
      <c r="N1733" s="113"/>
      <c r="O1733" s="113"/>
      <c r="P1733" s="113"/>
      <c r="Q1733" s="113"/>
      <c r="R1733" s="113"/>
      <c r="S1733" s="113"/>
      <c r="T1733" s="113"/>
      <c r="U1733" s="113"/>
      <c r="V1733" s="113"/>
      <c r="W1733" s="113"/>
      <c r="X1733" s="113"/>
      <c r="Y1733" s="113"/>
      <c r="Z1733" s="113"/>
      <c r="AA1733" s="113"/>
      <c r="AB1733" s="113"/>
      <c r="AC1733" s="113"/>
      <c r="AD1733" s="113"/>
      <c r="AE1733" s="113"/>
      <c r="AF1733" s="113"/>
      <c r="AG1733" s="113"/>
      <c r="AH1733" s="113" t="s">
        <v>1113</v>
      </c>
      <c r="AI1733" s="113"/>
      <c r="AJ1733" s="113"/>
      <c r="AK1733" s="113" t="s">
        <v>1113</v>
      </c>
      <c r="AL1733" s="113"/>
      <c r="AM1733" s="113"/>
      <c r="AN1733" s="113"/>
      <c r="AO1733" s="44" t="s">
        <v>2334</v>
      </c>
      <c r="AP1733" s="43"/>
      <c r="AQ1733" s="236" t="str">
        <f>VLOOKUP(Table8[[#This Row],[Instrument]],Def_Targets!$D$73:$E$159,2,FALSE)</f>
        <v>I_Aviation</v>
      </c>
      <c r="AR1733" s="233" t="str">
        <f>VLOOKUP(Table8[[#This Row],[Country Code]],Table29[],3,FALSE)</f>
        <v>Non-Annex I</v>
      </c>
      <c r="AS1733" s="233" t="str">
        <f>VLOOKUP(Table8[[#This Row],[Country Code]],Table29[],4,FALSE)</f>
        <v>Asia</v>
      </c>
      <c r="AT1733" s="233" t="str">
        <f>VLOOKUP(Table8[[#This Row],[Country Code]],Table29[],5,FALSE)</f>
        <v>High-income</v>
      </c>
      <c r="AU1733" s="233" t="str">
        <f>VLOOKUP(Table8[[#This Row],[Country Code]],Table29[],6,FALSE)</f>
        <v>G20</v>
      </c>
      <c r="AV1733" s="233" t="str">
        <f>VLOOKUP(Table8[[#This Row],[Country Code]],Table29[],7,FALSE)</f>
        <v>no</v>
      </c>
      <c r="AW1733" s="233" t="str">
        <f>VLOOKUP(Table8[[#This Row],[Country Code]],Table29[],8,FALSE)</f>
        <v>OECD</v>
      </c>
      <c r="AX1733" s="233" t="str">
        <f>VLOOKUP(Table8[[#This Row],[Country Code]],Table29[],9,FALSE)</f>
        <v>no</v>
      </c>
      <c r="AY1733" s="233" t="str">
        <f>VLOOKUP(Table8[[#This Row],[Country Code]],Table29[],10,FALSE)</f>
        <v>no</v>
      </c>
      <c r="AZ1733" s="235">
        <f>VLOOKUP(Table8[[#This Row],[Country Code]],Table29[],23,FALSE)</f>
        <v>653.84613998739997</v>
      </c>
      <c r="BA1733" s="235">
        <f>VLOOKUP(Table8[[#This Row],[Country Code]],Table29[],24,FALSE)</f>
        <v>107.9154569951917</v>
      </c>
      <c r="BB1733" s="320"/>
      <c r="BC1733" s="320"/>
    </row>
    <row r="1734" spans="1:55" ht="45" hidden="1" x14ac:dyDescent="0.25">
      <c r="A1734" s="360">
        <v>17710</v>
      </c>
      <c r="B1734" s="233" t="str">
        <f>VLOOKUP(Table8[[#This Row],[Document ID]],Table1[],2,FALSE)</f>
        <v>MDA</v>
      </c>
      <c r="C1734" s="233" t="str">
        <f>VLOOKUP(Table8[[#This Row],[Document ID]],Table1[],3,FALSE)</f>
        <v>Republic of Moldova</v>
      </c>
      <c r="D1734" s="233" t="str">
        <f>VLOOKUP(Table8[[#This Row],[Document ID]],Table1[],5,FALSE)</f>
        <v>NDC</v>
      </c>
      <c r="E1734" s="233" t="str">
        <f>VLOOKUP(Table8[[#This Row],[Document ID]],Table1[],7,FALSE)</f>
        <v>First NDC updated</v>
      </c>
      <c r="F1734" s="233" t="str">
        <f>VLOOKUP(Table8[[#This Row],[Document ID]],Table1[],8,FALSE)</f>
        <v>NDC 1.1</v>
      </c>
      <c r="G1734" s="233" t="str">
        <f>VLOOKUP(Table8[[#This Row],[Document ID]],Table1[],10,FALSE)</f>
        <v>Active</v>
      </c>
      <c r="H1734" s="43" t="s">
        <v>2350</v>
      </c>
      <c r="I1734" s="43" t="s">
        <v>2456</v>
      </c>
      <c r="J1734" s="44" t="s">
        <v>2457</v>
      </c>
      <c r="K1734" s="44" t="s">
        <v>3938</v>
      </c>
      <c r="L1734" s="44" t="s">
        <v>3939</v>
      </c>
      <c r="M1734" s="43">
        <v>39</v>
      </c>
      <c r="N1734" s="113"/>
      <c r="O1734" s="113"/>
      <c r="P1734" s="113"/>
      <c r="Q1734" s="113"/>
      <c r="R1734" s="113"/>
      <c r="S1734" s="113"/>
      <c r="T1734" s="113"/>
      <c r="U1734" s="113"/>
      <c r="V1734" s="113"/>
      <c r="W1734" s="113"/>
      <c r="X1734" s="113"/>
      <c r="Y1734" s="113"/>
      <c r="Z1734" s="113" t="s">
        <v>1113</v>
      </c>
      <c r="AA1734" s="113"/>
      <c r="AB1734" s="113"/>
      <c r="AC1734" s="113"/>
      <c r="AD1734" s="113"/>
      <c r="AE1734" s="113"/>
      <c r="AF1734" s="113"/>
      <c r="AG1734" s="113"/>
      <c r="AH1734" s="113"/>
      <c r="AI1734" s="113"/>
      <c r="AJ1734" s="113"/>
      <c r="AK1734" s="319" t="s">
        <v>1113</v>
      </c>
      <c r="AL1734" s="113"/>
      <c r="AM1734" s="113"/>
      <c r="AN1734" s="113"/>
      <c r="AO1734" s="43" t="s">
        <v>2353</v>
      </c>
      <c r="AP1734" s="43"/>
      <c r="AQ1734" s="236" t="str">
        <f>VLOOKUP(Table8[[#This Row],[Instrument]],Def_Targets!$D$73:$E$159,2,FALSE)</f>
        <v>S_Infraimprove</v>
      </c>
      <c r="AR1734" s="233" t="str">
        <f>VLOOKUP(Table8[[#This Row],[Country Code]],Table29[],3,FALSE)</f>
        <v>Non-Annex I</v>
      </c>
      <c r="AS1734" s="233" t="str">
        <f>VLOOKUP(Table8[[#This Row],[Country Code]],Table29[],4,FALSE)</f>
        <v>Europe</v>
      </c>
      <c r="AT1734" s="233" t="str">
        <f>VLOOKUP(Table8[[#This Row],[Country Code]],Table29[],5,FALSE)</f>
        <v>Middle-income</v>
      </c>
      <c r="AU1734" s="233" t="str">
        <f>VLOOKUP(Table8[[#This Row],[Country Code]],Table29[],6,FALSE)</f>
        <v>no</v>
      </c>
      <c r="AV1734" s="233" t="str">
        <f>VLOOKUP(Table8[[#This Row],[Country Code]],Table29[],7,FALSE)</f>
        <v>no</v>
      </c>
      <c r="AW1734" s="233" t="str">
        <f>VLOOKUP(Table8[[#This Row],[Country Code]],Table29[],8,FALSE)</f>
        <v>non-OECD</v>
      </c>
      <c r="AX1734" s="233" t="str">
        <f>VLOOKUP(Table8[[#This Row],[Country Code]],Table29[],9,FALSE)</f>
        <v>no</v>
      </c>
      <c r="AY1734" s="233" t="str">
        <f>VLOOKUP(Table8[[#This Row],[Country Code]],Table29[],10,FALSE)</f>
        <v>no</v>
      </c>
      <c r="AZ1734" s="235">
        <f>VLOOKUP(Table8[[#This Row],[Country Code]],Table29[],23,FALSE)</f>
        <v>13.54241150505</v>
      </c>
      <c r="BA1734" s="235">
        <f>VLOOKUP(Table8[[#This Row],[Country Code]],Table29[],24,FALSE)</f>
        <v>2.4025361889764838</v>
      </c>
      <c r="BB1734" s="320"/>
      <c r="BC1734" s="320"/>
    </row>
    <row r="1735" spans="1:55" ht="30" hidden="1" x14ac:dyDescent="0.25">
      <c r="A1735" s="373">
        <v>17710</v>
      </c>
      <c r="B1735" s="233" t="str">
        <f>VLOOKUP(Table8[[#This Row],[Document ID]],Table1[],2,FALSE)</f>
        <v>MDA</v>
      </c>
      <c r="C1735" s="233" t="str">
        <f>VLOOKUP(Table8[[#This Row],[Document ID]],Table1[],3,FALSE)</f>
        <v>Republic of Moldova</v>
      </c>
      <c r="D1735" s="243" t="str">
        <f>VLOOKUP(Table8[[#This Row],[Document ID]],Table1[],5,FALSE)</f>
        <v>NDC</v>
      </c>
      <c r="E1735" s="233" t="str">
        <f>VLOOKUP(Table8[[#This Row],[Document ID]],Table1[],7,FALSE)</f>
        <v>First NDC updated</v>
      </c>
      <c r="F1735" s="233" t="str">
        <f>VLOOKUP(Table8[[#This Row],[Document ID]],Table1[],8,FALSE)</f>
        <v>NDC 1.1</v>
      </c>
      <c r="G1735" s="233" t="str">
        <f>VLOOKUP(Table8[[#This Row],[Document ID]],Table1[],10,FALSE)</f>
        <v>Active</v>
      </c>
      <c r="H1735" s="43" t="s">
        <v>2343</v>
      </c>
      <c r="I1735" s="43" t="s">
        <v>2344</v>
      </c>
      <c r="J1735" s="44" t="s">
        <v>2405</v>
      </c>
      <c r="K1735" s="44" t="s">
        <v>3940</v>
      </c>
      <c r="L1735" s="44" t="s">
        <v>2347</v>
      </c>
      <c r="M1735" s="43">
        <v>45</v>
      </c>
      <c r="N1735" s="113" t="s">
        <v>1113</v>
      </c>
      <c r="O1735" s="113"/>
      <c r="P1735" s="113"/>
      <c r="Q1735" s="113"/>
      <c r="R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319" t="s">
        <v>1113</v>
      </c>
      <c r="AL1735" s="113"/>
      <c r="AM1735" s="113"/>
      <c r="AN1735" s="113"/>
      <c r="AO1735" s="43" t="s">
        <v>2348</v>
      </c>
      <c r="AP1735" s="43"/>
      <c r="AQ1735" s="236" t="str">
        <f>VLOOKUP(Table8[[#This Row],[Instrument]],Def_Targets!$D$73:$E$159,2,FALSE)</f>
        <v>S_PTIntegration</v>
      </c>
      <c r="AR1735" s="233" t="str">
        <f>VLOOKUP(Table8[[#This Row],[Country Code]],Table29[],3,FALSE)</f>
        <v>Non-Annex I</v>
      </c>
      <c r="AS1735" s="233" t="str">
        <f>VLOOKUP(Table8[[#This Row],[Country Code]],Table29[],4,FALSE)</f>
        <v>Europe</v>
      </c>
      <c r="AT1735" s="233" t="str">
        <f>VLOOKUP(Table8[[#This Row],[Country Code]],Table29[],5,FALSE)</f>
        <v>Middle-income</v>
      </c>
      <c r="AU1735" s="233" t="str">
        <f>VLOOKUP(Table8[[#This Row],[Country Code]],Table29[],6,FALSE)</f>
        <v>no</v>
      </c>
      <c r="AV1735" s="233" t="str">
        <f>VLOOKUP(Table8[[#This Row],[Country Code]],Table29[],7,FALSE)</f>
        <v>no</v>
      </c>
      <c r="AW1735" s="233" t="str">
        <f>VLOOKUP(Table8[[#This Row],[Country Code]],Table29[],8,FALSE)</f>
        <v>non-OECD</v>
      </c>
      <c r="AX1735" s="233" t="str">
        <f>VLOOKUP(Table8[[#This Row],[Country Code]],Table29[],9,FALSE)</f>
        <v>no</v>
      </c>
      <c r="AY1735" s="233" t="str">
        <f>VLOOKUP(Table8[[#This Row],[Country Code]],Table29[],10,FALSE)</f>
        <v>no</v>
      </c>
      <c r="AZ1735" s="235">
        <f>VLOOKUP(Table8[[#This Row],[Country Code]],Table29[],23,FALSE)</f>
        <v>13.54241150505</v>
      </c>
      <c r="BA1735" s="235">
        <f>VLOOKUP(Table8[[#This Row],[Country Code]],Table29[],24,FALSE)</f>
        <v>2.4025361889764838</v>
      </c>
      <c r="BB1735" s="320"/>
      <c r="BC1735" s="320"/>
    </row>
    <row r="1736" spans="1:55" hidden="1" x14ac:dyDescent="0.25">
      <c r="A1736" s="373">
        <v>17710</v>
      </c>
      <c r="B1736" s="233" t="str">
        <f>VLOOKUP(Table8[[#This Row],[Document ID]],Table1[],2,FALSE)</f>
        <v>MDA</v>
      </c>
      <c r="C1736" s="233" t="str">
        <f>VLOOKUP(Table8[[#This Row],[Document ID]],Table1[],3,FALSE)</f>
        <v>Republic of Moldova</v>
      </c>
      <c r="D1736" s="243" t="str">
        <f>VLOOKUP(Table8[[#This Row],[Document ID]],Table1[],5,FALSE)</f>
        <v>NDC</v>
      </c>
      <c r="E1736" s="233" t="str">
        <f>VLOOKUP(Table8[[#This Row],[Document ID]],Table1[],7,FALSE)</f>
        <v>First NDC updated</v>
      </c>
      <c r="F1736" s="233" t="str">
        <f>VLOOKUP(Table8[[#This Row],[Document ID]],Table1[],8,FALSE)</f>
        <v>NDC 1.1</v>
      </c>
      <c r="G1736" s="233" t="str">
        <f>VLOOKUP(Table8[[#This Row],[Document ID]],Table1[],10,FALSE)</f>
        <v>Active</v>
      </c>
      <c r="H1736" s="43" t="s">
        <v>2343</v>
      </c>
      <c r="I1736" s="43" t="s">
        <v>2377</v>
      </c>
      <c r="J1736" s="44" t="s">
        <v>2394</v>
      </c>
      <c r="K1736" s="44" t="s">
        <v>3941</v>
      </c>
      <c r="L1736" s="44" t="s">
        <v>2380</v>
      </c>
      <c r="M1736" s="43">
        <v>45</v>
      </c>
      <c r="N1736" s="113" t="s">
        <v>1113</v>
      </c>
      <c r="O1736" s="113"/>
      <c r="P1736" s="113"/>
      <c r="Q1736" s="113"/>
      <c r="R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319" t="s">
        <v>1113</v>
      </c>
      <c r="AL1736" s="113"/>
      <c r="AM1736" s="113"/>
      <c r="AN1736" s="113"/>
      <c r="AO1736" s="44" t="s">
        <v>2334</v>
      </c>
      <c r="AP1736" s="43"/>
      <c r="AQ1736" s="236" t="str">
        <f>VLOOKUP(Table8[[#This Row],[Instrument]],Def_Targets!$D$73:$E$159,2,FALSE)</f>
        <v>A_TDM</v>
      </c>
      <c r="AR1736" s="233" t="str">
        <f>VLOOKUP(Table8[[#This Row],[Country Code]],Table29[],3,FALSE)</f>
        <v>Non-Annex I</v>
      </c>
      <c r="AS1736" s="233" t="str">
        <f>VLOOKUP(Table8[[#This Row],[Country Code]],Table29[],4,FALSE)</f>
        <v>Europe</v>
      </c>
      <c r="AT1736" s="233" t="str">
        <f>VLOOKUP(Table8[[#This Row],[Country Code]],Table29[],5,FALSE)</f>
        <v>Middle-income</v>
      </c>
      <c r="AU1736" s="233" t="str">
        <f>VLOOKUP(Table8[[#This Row],[Country Code]],Table29[],6,FALSE)</f>
        <v>no</v>
      </c>
      <c r="AV1736" s="233" t="str">
        <f>VLOOKUP(Table8[[#This Row],[Country Code]],Table29[],7,FALSE)</f>
        <v>no</v>
      </c>
      <c r="AW1736" s="233" t="str">
        <f>VLOOKUP(Table8[[#This Row],[Country Code]],Table29[],8,FALSE)</f>
        <v>non-OECD</v>
      </c>
      <c r="AX1736" s="233" t="str">
        <f>VLOOKUP(Table8[[#This Row],[Country Code]],Table29[],9,FALSE)</f>
        <v>no</v>
      </c>
      <c r="AY1736" s="233" t="str">
        <f>VLOOKUP(Table8[[#This Row],[Country Code]],Table29[],10,FALSE)</f>
        <v>no</v>
      </c>
      <c r="AZ1736" s="235">
        <f>VLOOKUP(Table8[[#This Row],[Country Code]],Table29[],23,FALSE)</f>
        <v>13.54241150505</v>
      </c>
      <c r="BA1736" s="235">
        <f>VLOOKUP(Table8[[#This Row],[Country Code]],Table29[],24,FALSE)</f>
        <v>2.4025361889764838</v>
      </c>
      <c r="BB1736" s="320"/>
      <c r="BC1736" s="320"/>
    </row>
    <row r="1737" spans="1:55" hidden="1" x14ac:dyDescent="0.25">
      <c r="A1737" s="373">
        <v>17710</v>
      </c>
      <c r="B1737" s="233" t="str">
        <f>VLOOKUP(Table8[[#This Row],[Document ID]],Table1[],2,FALSE)</f>
        <v>MDA</v>
      </c>
      <c r="C1737" s="233" t="str">
        <f>VLOOKUP(Table8[[#This Row],[Document ID]],Table1[],3,FALSE)</f>
        <v>Republic of Moldova</v>
      </c>
      <c r="D1737" s="243" t="str">
        <f>VLOOKUP(Table8[[#This Row],[Document ID]],Table1[],5,FALSE)</f>
        <v>NDC</v>
      </c>
      <c r="E1737" s="233" t="str">
        <f>VLOOKUP(Table8[[#This Row],[Document ID]],Table1[],7,FALSE)</f>
        <v>First NDC updated</v>
      </c>
      <c r="F1737" s="233" t="str">
        <f>VLOOKUP(Table8[[#This Row],[Document ID]],Table1[],8,FALSE)</f>
        <v>NDC 1.1</v>
      </c>
      <c r="G1737" s="233" t="str">
        <f>VLOOKUP(Table8[[#This Row],[Document ID]],Table1[],10,FALSE)</f>
        <v>Active</v>
      </c>
      <c r="H1737" s="43" t="s">
        <v>2343</v>
      </c>
      <c r="I1737" s="43" t="s">
        <v>2344</v>
      </c>
      <c r="J1737" s="44" t="s">
        <v>2405</v>
      </c>
      <c r="K1737" s="44" t="s">
        <v>3942</v>
      </c>
      <c r="L1737" s="44" t="s">
        <v>2347</v>
      </c>
      <c r="M1737" s="43">
        <v>45</v>
      </c>
      <c r="N1737" s="113"/>
      <c r="O1737" s="113"/>
      <c r="P1737" s="113"/>
      <c r="Q1737" s="113"/>
      <c r="R1737" s="113"/>
      <c r="S1737" s="113"/>
      <c r="T1737" s="113"/>
      <c r="U1737" s="113"/>
      <c r="V1737" s="113"/>
      <c r="W1737" s="113"/>
      <c r="X1737" s="113"/>
      <c r="Y1737" s="113" t="s">
        <v>1113</v>
      </c>
      <c r="Z1737" s="113"/>
      <c r="AA1737" s="113"/>
      <c r="AB1737" s="113"/>
      <c r="AC1737" s="113" t="s">
        <v>1113</v>
      </c>
      <c r="AD1737" s="113"/>
      <c r="AE1737" s="113"/>
      <c r="AF1737" s="113"/>
      <c r="AG1737" s="113"/>
      <c r="AH1737" s="113"/>
      <c r="AI1737" s="113"/>
      <c r="AJ1737" s="113"/>
      <c r="AK1737" s="319" t="s">
        <v>1113</v>
      </c>
      <c r="AL1737" s="113"/>
      <c r="AM1737" s="113"/>
      <c r="AN1737" s="113"/>
      <c r="AO1737" s="43" t="s">
        <v>2348</v>
      </c>
      <c r="AP1737" s="43"/>
      <c r="AQ1737" s="236" t="str">
        <f>VLOOKUP(Table8[[#This Row],[Instrument]],Def_Targets!$D$73:$E$159,2,FALSE)</f>
        <v>S_PTIntegration</v>
      </c>
      <c r="AR1737" s="233" t="str">
        <f>VLOOKUP(Table8[[#This Row],[Country Code]],Table29[],3,FALSE)</f>
        <v>Non-Annex I</v>
      </c>
      <c r="AS1737" s="233" t="str">
        <f>VLOOKUP(Table8[[#This Row],[Country Code]],Table29[],4,FALSE)</f>
        <v>Europe</v>
      </c>
      <c r="AT1737" s="233" t="str">
        <f>VLOOKUP(Table8[[#This Row],[Country Code]],Table29[],5,FALSE)</f>
        <v>Middle-income</v>
      </c>
      <c r="AU1737" s="233" t="str">
        <f>VLOOKUP(Table8[[#This Row],[Country Code]],Table29[],6,FALSE)</f>
        <v>no</v>
      </c>
      <c r="AV1737" s="233" t="str">
        <f>VLOOKUP(Table8[[#This Row],[Country Code]],Table29[],7,FALSE)</f>
        <v>no</v>
      </c>
      <c r="AW1737" s="233" t="str">
        <f>VLOOKUP(Table8[[#This Row],[Country Code]],Table29[],8,FALSE)</f>
        <v>non-OECD</v>
      </c>
      <c r="AX1737" s="233" t="str">
        <f>VLOOKUP(Table8[[#This Row],[Country Code]],Table29[],9,FALSE)</f>
        <v>no</v>
      </c>
      <c r="AY1737" s="233" t="str">
        <f>VLOOKUP(Table8[[#This Row],[Country Code]],Table29[],10,FALSE)</f>
        <v>no</v>
      </c>
      <c r="AZ1737" s="235">
        <f>VLOOKUP(Table8[[#This Row],[Country Code]],Table29[],23,FALSE)</f>
        <v>13.54241150505</v>
      </c>
      <c r="BA1737" s="235">
        <f>VLOOKUP(Table8[[#This Row],[Country Code]],Table29[],24,FALSE)</f>
        <v>2.4025361889764838</v>
      </c>
      <c r="BB1737" s="320"/>
      <c r="BC1737" s="320"/>
    </row>
    <row r="1738" spans="1:55" hidden="1" x14ac:dyDescent="0.25">
      <c r="A1738" s="373">
        <v>17710</v>
      </c>
      <c r="B1738" s="233" t="str">
        <f>VLOOKUP(Table8[[#This Row],[Document ID]],Table1[],2,FALSE)</f>
        <v>MDA</v>
      </c>
      <c r="C1738" s="233" t="str">
        <f>VLOOKUP(Table8[[#This Row],[Document ID]],Table1[],3,FALSE)</f>
        <v>Republic of Moldova</v>
      </c>
      <c r="D1738" s="243" t="str">
        <f>VLOOKUP(Table8[[#This Row],[Document ID]],Table1[],5,FALSE)</f>
        <v>NDC</v>
      </c>
      <c r="E1738" s="233" t="str">
        <f>VLOOKUP(Table8[[#This Row],[Document ID]],Table1[],7,FALSE)</f>
        <v>First NDC updated</v>
      </c>
      <c r="F1738" s="233" t="str">
        <f>VLOOKUP(Table8[[#This Row],[Document ID]],Table1[],8,FALSE)</f>
        <v>NDC 1.1</v>
      </c>
      <c r="G1738" s="233" t="str">
        <f>VLOOKUP(Table8[[#This Row],[Document ID]],Table1[],10,FALSE)</f>
        <v>Active</v>
      </c>
      <c r="H1738" s="43" t="s">
        <v>2343</v>
      </c>
      <c r="I1738" s="43" t="s">
        <v>2361</v>
      </c>
      <c r="J1738" s="44" t="s">
        <v>2362</v>
      </c>
      <c r="K1738" s="44" t="s">
        <v>3943</v>
      </c>
      <c r="L1738" s="44" t="s">
        <v>2347</v>
      </c>
      <c r="M1738" s="43">
        <v>45</v>
      </c>
      <c r="N1738" s="113"/>
      <c r="O1738" s="113"/>
      <c r="P1738" s="113"/>
      <c r="Q1738" s="113"/>
      <c r="R1738" s="113" t="s">
        <v>1113</v>
      </c>
      <c r="S1738" s="113"/>
      <c r="T1738" s="113"/>
      <c r="U1738" s="113"/>
      <c r="V1738" s="113"/>
      <c r="W1738" s="113"/>
      <c r="X1738" s="113"/>
      <c r="Y1738" s="113"/>
      <c r="Z1738" s="113"/>
      <c r="AA1738" s="113"/>
      <c r="AB1738" s="113"/>
      <c r="AC1738" s="113"/>
      <c r="AD1738" s="113"/>
      <c r="AE1738" s="113"/>
      <c r="AF1738" s="113"/>
      <c r="AG1738" s="113"/>
      <c r="AH1738" s="113"/>
      <c r="AI1738" s="113"/>
      <c r="AJ1738" s="113"/>
      <c r="AK1738" s="319" t="s">
        <v>1113</v>
      </c>
      <c r="AL1738" s="113"/>
      <c r="AM1738" s="113"/>
      <c r="AN1738" s="113"/>
      <c r="AO1738" s="44" t="s">
        <v>2334</v>
      </c>
      <c r="AP1738" s="43"/>
      <c r="AQ1738" s="236" t="str">
        <f>VLOOKUP(Table8[[#This Row],[Instrument]],Def_Targets!$D$73:$E$159,2,FALSE)</f>
        <v>S_Cycling</v>
      </c>
      <c r="AR1738" s="233" t="str">
        <f>VLOOKUP(Table8[[#This Row],[Country Code]],Table29[],3,FALSE)</f>
        <v>Non-Annex I</v>
      </c>
      <c r="AS1738" s="233" t="str">
        <f>VLOOKUP(Table8[[#This Row],[Country Code]],Table29[],4,FALSE)</f>
        <v>Europe</v>
      </c>
      <c r="AT1738" s="233" t="str">
        <f>VLOOKUP(Table8[[#This Row],[Country Code]],Table29[],5,FALSE)</f>
        <v>Middle-income</v>
      </c>
      <c r="AU1738" s="233" t="str">
        <f>VLOOKUP(Table8[[#This Row],[Country Code]],Table29[],6,FALSE)</f>
        <v>no</v>
      </c>
      <c r="AV1738" s="233" t="str">
        <f>VLOOKUP(Table8[[#This Row],[Country Code]],Table29[],7,FALSE)</f>
        <v>no</v>
      </c>
      <c r="AW1738" s="233" t="str">
        <f>VLOOKUP(Table8[[#This Row],[Country Code]],Table29[],8,FALSE)</f>
        <v>non-OECD</v>
      </c>
      <c r="AX1738" s="233" t="str">
        <f>VLOOKUP(Table8[[#This Row],[Country Code]],Table29[],9,FALSE)</f>
        <v>no</v>
      </c>
      <c r="AY1738" s="233" t="str">
        <f>VLOOKUP(Table8[[#This Row],[Country Code]],Table29[],10,FALSE)</f>
        <v>no</v>
      </c>
      <c r="AZ1738" s="235">
        <f>VLOOKUP(Table8[[#This Row],[Country Code]],Table29[],23,FALSE)</f>
        <v>13.54241150505</v>
      </c>
      <c r="BA1738" s="235">
        <f>VLOOKUP(Table8[[#This Row],[Country Code]],Table29[],24,FALSE)</f>
        <v>2.4025361889764838</v>
      </c>
      <c r="BB1738" s="320"/>
      <c r="BC1738" s="320"/>
    </row>
    <row r="1739" spans="1:55" hidden="1" x14ac:dyDescent="0.25">
      <c r="A1739" s="373">
        <v>17710</v>
      </c>
      <c r="B1739" s="233" t="str">
        <f>VLOOKUP(Table8[[#This Row],[Document ID]],Table1[],2,FALSE)</f>
        <v>MDA</v>
      </c>
      <c r="C1739" s="233" t="str">
        <f>VLOOKUP(Table8[[#This Row],[Document ID]],Table1[],3,FALSE)</f>
        <v>Republic of Moldova</v>
      </c>
      <c r="D1739" s="243" t="str">
        <f>VLOOKUP(Table8[[#This Row],[Document ID]],Table1[],5,FALSE)</f>
        <v>NDC</v>
      </c>
      <c r="E1739" s="233" t="str">
        <f>VLOOKUP(Table8[[#This Row],[Document ID]],Table1[],7,FALSE)</f>
        <v>First NDC updated</v>
      </c>
      <c r="F1739" s="233" t="str">
        <f>VLOOKUP(Table8[[#This Row],[Document ID]],Table1[],8,FALSE)</f>
        <v>NDC 1.1</v>
      </c>
      <c r="G1739" s="233" t="str">
        <f>VLOOKUP(Table8[[#This Row],[Document ID]],Table1[],10,FALSE)</f>
        <v>Active</v>
      </c>
      <c r="H1739" s="43" t="s">
        <v>2343</v>
      </c>
      <c r="I1739" s="43" t="s">
        <v>2361</v>
      </c>
      <c r="J1739" s="44" t="s">
        <v>2463</v>
      </c>
      <c r="K1739" s="44" t="s">
        <v>3944</v>
      </c>
      <c r="L1739" s="44" t="s">
        <v>2347</v>
      </c>
      <c r="M1739" s="43">
        <v>45</v>
      </c>
      <c r="N1739" s="113"/>
      <c r="O1739" s="113"/>
      <c r="P1739" s="113"/>
      <c r="Q1739" s="113" t="s">
        <v>1113</v>
      </c>
      <c r="R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319" t="s">
        <v>1113</v>
      </c>
      <c r="AL1739" s="113"/>
      <c r="AM1739" s="113"/>
      <c r="AN1739" s="113"/>
      <c r="AO1739" s="44" t="s">
        <v>2334</v>
      </c>
      <c r="AP1739" s="43"/>
      <c r="AQ1739" s="236" t="str">
        <f>VLOOKUP(Table8[[#This Row],[Instrument]],Def_Targets!$D$73:$E$159,2,FALSE)</f>
        <v>S_Walking</v>
      </c>
      <c r="AR1739" s="233" t="str">
        <f>VLOOKUP(Table8[[#This Row],[Country Code]],Table29[],3,FALSE)</f>
        <v>Non-Annex I</v>
      </c>
      <c r="AS1739" s="233" t="str">
        <f>VLOOKUP(Table8[[#This Row],[Country Code]],Table29[],4,FALSE)</f>
        <v>Europe</v>
      </c>
      <c r="AT1739" s="233" t="str">
        <f>VLOOKUP(Table8[[#This Row],[Country Code]],Table29[],5,FALSE)</f>
        <v>Middle-income</v>
      </c>
      <c r="AU1739" s="233" t="str">
        <f>VLOOKUP(Table8[[#This Row],[Country Code]],Table29[],6,FALSE)</f>
        <v>no</v>
      </c>
      <c r="AV1739" s="233" t="str">
        <f>VLOOKUP(Table8[[#This Row],[Country Code]],Table29[],7,FALSE)</f>
        <v>no</v>
      </c>
      <c r="AW1739" s="233" t="str">
        <f>VLOOKUP(Table8[[#This Row],[Country Code]],Table29[],8,FALSE)</f>
        <v>non-OECD</v>
      </c>
      <c r="AX1739" s="233" t="str">
        <f>VLOOKUP(Table8[[#This Row],[Country Code]],Table29[],9,FALSE)</f>
        <v>no</v>
      </c>
      <c r="AY1739" s="233" t="str">
        <f>VLOOKUP(Table8[[#This Row],[Country Code]],Table29[],10,FALSE)</f>
        <v>no</v>
      </c>
      <c r="AZ1739" s="235">
        <f>VLOOKUP(Table8[[#This Row],[Country Code]],Table29[],23,FALSE)</f>
        <v>13.54241150505</v>
      </c>
      <c r="BA1739" s="235">
        <f>VLOOKUP(Table8[[#This Row],[Country Code]],Table29[],24,FALSE)</f>
        <v>2.4025361889764838</v>
      </c>
      <c r="BB1739" s="320"/>
      <c r="BC1739" s="320"/>
    </row>
    <row r="1740" spans="1:55" hidden="1" x14ac:dyDescent="0.25">
      <c r="A1740" s="373">
        <v>17710</v>
      </c>
      <c r="B1740" s="233" t="str">
        <f>VLOOKUP(Table8[[#This Row],[Document ID]],Table1[],2,FALSE)</f>
        <v>MDA</v>
      </c>
      <c r="C1740" s="233" t="str">
        <f>VLOOKUP(Table8[[#This Row],[Document ID]],Table1[],3,FALSE)</f>
        <v>Republic of Moldova</v>
      </c>
      <c r="D1740" s="243" t="str">
        <f>VLOOKUP(Table8[[#This Row],[Document ID]],Table1[],5,FALSE)</f>
        <v>NDC</v>
      </c>
      <c r="E1740" s="233" t="str">
        <f>VLOOKUP(Table8[[#This Row],[Document ID]],Table1[],7,FALSE)</f>
        <v>First NDC updated</v>
      </c>
      <c r="F1740" s="233" t="str">
        <f>VLOOKUP(Table8[[#This Row],[Document ID]],Table1[],8,FALSE)</f>
        <v>NDC 1.1</v>
      </c>
      <c r="G1740" s="233" t="str">
        <f>VLOOKUP(Table8[[#This Row],[Document ID]],Table1[],10,FALSE)</f>
        <v>Active</v>
      </c>
      <c r="H1740" s="43" t="s">
        <v>2350</v>
      </c>
      <c r="I1740" s="43" t="s">
        <v>2407</v>
      </c>
      <c r="J1740" s="44" t="s">
        <v>2408</v>
      </c>
      <c r="K1740" s="44" t="s">
        <v>3945</v>
      </c>
      <c r="L1740" s="44" t="s">
        <v>2396</v>
      </c>
      <c r="M1740" s="43">
        <v>45</v>
      </c>
      <c r="N1740" s="113" t="s">
        <v>1113</v>
      </c>
      <c r="O1740" s="113"/>
      <c r="P1740" s="113"/>
      <c r="Q1740" s="113"/>
      <c r="R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319" t="s">
        <v>1113</v>
      </c>
      <c r="AL1740" s="113"/>
      <c r="AM1740" s="113"/>
      <c r="AN1740" s="113"/>
      <c r="AO1740" s="44" t="s">
        <v>2334</v>
      </c>
      <c r="AP1740" s="43"/>
      <c r="AQ1740" s="236" t="str">
        <f>VLOOKUP(Table8[[#This Row],[Instrument]],Def_Targets!$D$73:$E$159,2,FALSE)</f>
        <v>I_Education</v>
      </c>
      <c r="AR1740" s="233" t="str">
        <f>VLOOKUP(Table8[[#This Row],[Country Code]],Table29[],3,FALSE)</f>
        <v>Non-Annex I</v>
      </c>
      <c r="AS1740" s="233" t="str">
        <f>VLOOKUP(Table8[[#This Row],[Country Code]],Table29[],4,FALSE)</f>
        <v>Europe</v>
      </c>
      <c r="AT1740" s="233" t="str">
        <f>VLOOKUP(Table8[[#This Row],[Country Code]],Table29[],5,FALSE)</f>
        <v>Middle-income</v>
      </c>
      <c r="AU1740" s="233" t="str">
        <f>VLOOKUP(Table8[[#This Row],[Country Code]],Table29[],6,FALSE)</f>
        <v>no</v>
      </c>
      <c r="AV1740" s="233" t="str">
        <f>VLOOKUP(Table8[[#This Row],[Country Code]],Table29[],7,FALSE)</f>
        <v>no</v>
      </c>
      <c r="AW1740" s="233" t="str">
        <f>VLOOKUP(Table8[[#This Row],[Country Code]],Table29[],8,FALSE)</f>
        <v>non-OECD</v>
      </c>
      <c r="AX1740" s="233" t="str">
        <f>VLOOKUP(Table8[[#This Row],[Country Code]],Table29[],9,FALSE)</f>
        <v>no</v>
      </c>
      <c r="AY1740" s="233" t="str">
        <f>VLOOKUP(Table8[[#This Row],[Country Code]],Table29[],10,FALSE)</f>
        <v>no</v>
      </c>
      <c r="AZ1740" s="235">
        <f>VLOOKUP(Table8[[#This Row],[Country Code]],Table29[],23,FALSE)</f>
        <v>13.54241150505</v>
      </c>
      <c r="BA1740" s="235">
        <f>VLOOKUP(Table8[[#This Row],[Country Code]],Table29[],24,FALSE)</f>
        <v>2.4025361889764838</v>
      </c>
      <c r="BB1740" s="320"/>
      <c r="BC1740" s="320"/>
    </row>
    <row r="1741" spans="1:55" hidden="1" x14ac:dyDescent="0.25">
      <c r="A1741" s="373">
        <v>17709</v>
      </c>
      <c r="B1741" s="233" t="str">
        <f>VLOOKUP(Table8[[#This Row],[Document ID]],Table1[],2,FALSE)</f>
        <v>MDA</v>
      </c>
      <c r="C1741" s="233" t="str">
        <f>VLOOKUP(Table8[[#This Row],[Document ID]],Table1[],3,FALSE)</f>
        <v>Republic of Moldova</v>
      </c>
      <c r="D1741" s="243" t="str">
        <f>VLOOKUP(Table8[[#This Row],[Document ID]],Table1[],5,FALSE)</f>
        <v>NDC</v>
      </c>
      <c r="E1741" s="233" t="str">
        <f>VLOOKUP(Table8[[#This Row],[Document ID]],Table1[],7,FALSE)</f>
        <v>First NDC</v>
      </c>
      <c r="F1741" s="236" t="str">
        <f>VLOOKUP(Table8[[#This Row],[Document ID]],Table1[],8,FALSE)</f>
        <v>NDC 1.0</v>
      </c>
      <c r="G1741" s="236" t="str">
        <f>VLOOKUP(Table8[[#This Row],[Document ID]],Table1[],10,FALSE)</f>
        <v>Archived</v>
      </c>
      <c r="H1741" s="44" t="s">
        <v>2338</v>
      </c>
      <c r="I1741" s="44" t="s">
        <v>2339</v>
      </c>
      <c r="J1741" s="44" t="s">
        <v>2413</v>
      </c>
      <c r="K1741" s="44" t="s">
        <v>3946</v>
      </c>
      <c r="L1741" s="44" t="s">
        <v>2333</v>
      </c>
      <c r="M1741" s="43"/>
      <c r="N1741" s="113" t="s">
        <v>1113</v>
      </c>
      <c r="O1741" s="113"/>
      <c r="P1741" s="113"/>
      <c r="Q1741" s="319"/>
      <c r="R1741" s="319"/>
      <c r="S1741" s="319"/>
      <c r="T1741" s="319"/>
      <c r="U1741" s="319"/>
      <c r="V1741" s="319"/>
      <c r="W1741" s="319"/>
      <c r="X1741" s="319"/>
      <c r="Y1741" s="319"/>
      <c r="Z1741" s="319"/>
      <c r="AA1741" s="319"/>
      <c r="AB1741" s="319"/>
      <c r="AC1741" s="319"/>
      <c r="AD1741" s="319"/>
      <c r="AE1741" s="319"/>
      <c r="AF1741" s="319"/>
      <c r="AG1741" s="319"/>
      <c r="AH1741" s="319"/>
      <c r="AI1741" s="319"/>
      <c r="AJ1741" s="319"/>
      <c r="AK1741" s="319" t="s">
        <v>1113</v>
      </c>
      <c r="AL1741" s="319"/>
      <c r="AM1741" s="319"/>
      <c r="AN1741" s="319"/>
      <c r="AO1741" s="44" t="s">
        <v>2334</v>
      </c>
      <c r="AP1741" s="44"/>
      <c r="AQ1741" s="236" t="str">
        <f>VLOOKUP(Table8[[#This Row],[Instrument]],Def_Targets!$D$73:$E$159,2,FALSE)</f>
        <v>I_Vehicleeff</v>
      </c>
      <c r="AR1741" s="233" t="str">
        <f>VLOOKUP(Table8[[#This Row],[Country Code]],Table29[],3,FALSE)</f>
        <v>Non-Annex I</v>
      </c>
      <c r="AS1741" s="233" t="str">
        <f>VLOOKUP(Table8[[#This Row],[Country Code]],Table29[],4,FALSE)</f>
        <v>Europe</v>
      </c>
      <c r="AT1741" s="233" t="str">
        <f>VLOOKUP(Table8[[#This Row],[Country Code]],Table29[],5,FALSE)</f>
        <v>Middle-income</v>
      </c>
      <c r="AU1741" s="233" t="str">
        <f>VLOOKUP(Table8[[#This Row],[Country Code]],Table29[],6,FALSE)</f>
        <v>no</v>
      </c>
      <c r="AV1741" s="233" t="str">
        <f>VLOOKUP(Table8[[#This Row],[Country Code]],Table29[],7,FALSE)</f>
        <v>no</v>
      </c>
      <c r="AW1741" s="233" t="str">
        <f>VLOOKUP(Table8[[#This Row],[Country Code]],Table29[],8,FALSE)</f>
        <v>non-OECD</v>
      </c>
      <c r="AX1741" s="233" t="str">
        <f>VLOOKUP(Table8[[#This Row],[Country Code]],Table29[],9,FALSE)</f>
        <v>no</v>
      </c>
      <c r="AY1741" s="233" t="str">
        <f>VLOOKUP(Table8[[#This Row],[Country Code]],Table29[],10,FALSE)</f>
        <v>no</v>
      </c>
      <c r="AZ1741" s="235">
        <f>VLOOKUP(Table8[[#This Row],[Country Code]],Table29[],23,FALSE)</f>
        <v>13.54241150505</v>
      </c>
      <c r="BA1741" s="235">
        <f>VLOOKUP(Table8[[#This Row],[Country Code]],Table29[],24,FALSE)</f>
        <v>2.4025361889764838</v>
      </c>
      <c r="BB1741" s="320"/>
      <c r="BC1741" s="320"/>
    </row>
    <row r="1742" spans="1:55" hidden="1" x14ac:dyDescent="0.25">
      <c r="A1742" s="373">
        <v>17711</v>
      </c>
      <c r="B1742" s="233" t="str">
        <f>VLOOKUP(Table8[[#This Row],[Document ID]],Table1[],2,FALSE)</f>
        <v>MKD</v>
      </c>
      <c r="C1742" s="233" t="str">
        <f>VLOOKUP(Table8[[#This Row],[Document ID]],Table1[],3,FALSE)</f>
        <v>Republic of North Macedonia</v>
      </c>
      <c r="D1742" s="233" t="str">
        <f>VLOOKUP(Table8[[#This Row],[Document ID]],Table1[],5,FALSE)</f>
        <v>NDC</v>
      </c>
      <c r="E1742" s="233" t="str">
        <f>VLOOKUP(Table8[[#This Row],[Document ID]],Table1[],7,FALSE)</f>
        <v>First NDC</v>
      </c>
      <c r="F1742" s="236" t="str">
        <f>VLOOKUP(Table8[[#This Row],[Document ID]],Table1[],8,FALSE)</f>
        <v>NDC 1.0</v>
      </c>
      <c r="G1742" s="236" t="str">
        <f>VLOOKUP(Table8[[#This Row],[Document ID]],Table1[],10,FALSE)</f>
        <v>Archived</v>
      </c>
      <c r="H1742" s="43" t="s">
        <v>2350</v>
      </c>
      <c r="I1742" s="43" t="s">
        <v>2456</v>
      </c>
      <c r="J1742" s="44" t="s">
        <v>2466</v>
      </c>
      <c r="K1742" s="44" t="s">
        <v>3947</v>
      </c>
      <c r="L1742" s="44" t="s">
        <v>2347</v>
      </c>
      <c r="M1742" s="43"/>
      <c r="N1742" s="113"/>
      <c r="O1742" s="113"/>
      <c r="P1742" s="113"/>
      <c r="Q1742" s="319"/>
      <c r="R1742" s="319"/>
      <c r="S1742" s="319"/>
      <c r="T1742" s="319"/>
      <c r="U1742" s="319"/>
      <c r="V1742" s="319"/>
      <c r="W1742" s="319"/>
      <c r="X1742" s="319"/>
      <c r="Y1742" s="319"/>
      <c r="Z1742" s="113" t="s">
        <v>1113</v>
      </c>
      <c r="AA1742" s="319"/>
      <c r="AB1742" s="319"/>
      <c r="AC1742" s="319"/>
      <c r="AD1742" s="319"/>
      <c r="AE1742" s="319"/>
      <c r="AF1742" s="319"/>
      <c r="AG1742" s="319"/>
      <c r="AH1742" s="319"/>
      <c r="AI1742" s="319"/>
      <c r="AJ1742" s="319"/>
      <c r="AK1742" s="319" t="s">
        <v>1113</v>
      </c>
      <c r="AL1742" s="319"/>
      <c r="AM1742" s="319"/>
      <c r="AN1742" s="319"/>
      <c r="AO1742" s="44" t="s">
        <v>2334</v>
      </c>
      <c r="AP1742" s="44"/>
      <c r="AQ1742" s="236" t="str">
        <f>VLOOKUP(Table8[[#This Row],[Instrument]],Def_Targets!$D$73:$E$159,2,FALSE)</f>
        <v>S_Infraexpansion</v>
      </c>
      <c r="AR1742" s="233" t="str">
        <f>VLOOKUP(Table8[[#This Row],[Country Code]],Table29[],3,FALSE)</f>
        <v>Non-Annex I</v>
      </c>
      <c r="AS1742" s="233" t="str">
        <f>VLOOKUP(Table8[[#This Row],[Country Code]],Table29[],4,FALSE)</f>
        <v>Europe</v>
      </c>
      <c r="AT1742" s="233" t="str">
        <f>VLOOKUP(Table8[[#This Row],[Country Code]],Table29[],5,FALSE)</f>
        <v>Middle-income</v>
      </c>
      <c r="AU1742" s="233" t="str">
        <f>VLOOKUP(Table8[[#This Row],[Country Code]],Table29[],6,FALSE)</f>
        <v>no</v>
      </c>
      <c r="AV1742" s="233" t="str">
        <f>VLOOKUP(Table8[[#This Row],[Country Code]],Table29[],7,FALSE)</f>
        <v>no</v>
      </c>
      <c r="AW1742" s="233" t="str">
        <f>VLOOKUP(Table8[[#This Row],[Country Code]],Table29[],8,FALSE)</f>
        <v>non-OECD</v>
      </c>
      <c r="AX1742" s="233" t="str">
        <f>VLOOKUP(Table8[[#This Row],[Country Code]],Table29[],9,FALSE)</f>
        <v>no</v>
      </c>
      <c r="AY1742" s="233" t="str">
        <f>VLOOKUP(Table8[[#This Row],[Country Code]],Table29[],10,FALSE)</f>
        <v>no</v>
      </c>
      <c r="AZ1742" s="235">
        <f>VLOOKUP(Table8[[#This Row],[Country Code]],Table29[],23,FALSE)</f>
        <v>11.370029305485</v>
      </c>
      <c r="BA1742" s="235">
        <f>VLOOKUP(Table8[[#This Row],[Country Code]],Table29[],24,FALSE)</f>
        <v>2.5209386628390988</v>
      </c>
      <c r="BB1742" s="320"/>
      <c r="BC1742" s="320"/>
    </row>
    <row r="1743" spans="1:55" hidden="1" x14ac:dyDescent="0.25">
      <c r="A1743" s="373">
        <v>17711</v>
      </c>
      <c r="B1743" s="233" t="str">
        <f>VLOOKUP(Table8[[#This Row],[Document ID]],Table1[],2,FALSE)</f>
        <v>MKD</v>
      </c>
      <c r="C1743" s="233" t="str">
        <f>VLOOKUP(Table8[[#This Row],[Document ID]],Table1[],3,FALSE)</f>
        <v>Republic of North Macedonia</v>
      </c>
      <c r="D1743" s="233" t="str">
        <f>VLOOKUP(Table8[[#This Row],[Document ID]],Table1[],5,FALSE)</f>
        <v>NDC</v>
      </c>
      <c r="E1743" s="233" t="str">
        <f>VLOOKUP(Table8[[#This Row],[Document ID]],Table1[],7,FALSE)</f>
        <v>First NDC</v>
      </c>
      <c r="F1743" s="236" t="str">
        <f>VLOOKUP(Table8[[#This Row],[Document ID]],Table1[],8,FALSE)</f>
        <v>NDC 1.0</v>
      </c>
      <c r="G1743" s="236" t="str">
        <f>VLOOKUP(Table8[[#This Row],[Document ID]],Table1[],10,FALSE)</f>
        <v>Archived</v>
      </c>
      <c r="H1743" s="43" t="s">
        <v>2343</v>
      </c>
      <c r="I1743" s="43" t="s">
        <v>2377</v>
      </c>
      <c r="J1743" s="44" t="s">
        <v>2535</v>
      </c>
      <c r="K1743" s="44" t="s">
        <v>3948</v>
      </c>
      <c r="L1743" s="44" t="s">
        <v>2347</v>
      </c>
      <c r="M1743" s="43"/>
      <c r="N1743" s="113"/>
      <c r="O1743" s="113"/>
      <c r="P1743" s="113"/>
      <c r="Q1743" s="319"/>
      <c r="R1743" s="319"/>
      <c r="S1743" s="113" t="s">
        <v>1113</v>
      </c>
      <c r="T1743" s="319"/>
      <c r="U1743" s="319"/>
      <c r="V1743" s="319"/>
      <c r="W1743" s="319"/>
      <c r="X1743" s="319"/>
      <c r="Y1743" s="319"/>
      <c r="Z1743" s="319"/>
      <c r="AA1743" s="319"/>
      <c r="AB1743" s="319"/>
      <c r="AC1743" s="319"/>
      <c r="AD1743" s="319"/>
      <c r="AE1743" s="319"/>
      <c r="AF1743" s="319"/>
      <c r="AG1743" s="319"/>
      <c r="AH1743" s="319"/>
      <c r="AI1743" s="319"/>
      <c r="AJ1743" s="319"/>
      <c r="AK1743" s="319" t="s">
        <v>1113</v>
      </c>
      <c r="AL1743" s="319"/>
      <c r="AM1743" s="319"/>
      <c r="AN1743" s="319"/>
      <c r="AO1743" s="44" t="s">
        <v>2334</v>
      </c>
      <c r="AP1743" s="44"/>
      <c r="AQ1743" s="236" t="str">
        <f>VLOOKUP(Table8[[#This Row],[Instrument]],Def_Targets!$D$73:$E$159,2,FALSE)</f>
        <v>S_Parking</v>
      </c>
      <c r="AR1743" s="233" t="str">
        <f>VLOOKUP(Table8[[#This Row],[Country Code]],Table29[],3,FALSE)</f>
        <v>Non-Annex I</v>
      </c>
      <c r="AS1743" s="233" t="str">
        <f>VLOOKUP(Table8[[#This Row],[Country Code]],Table29[],4,FALSE)</f>
        <v>Europe</v>
      </c>
      <c r="AT1743" s="233" t="str">
        <f>VLOOKUP(Table8[[#This Row],[Country Code]],Table29[],5,FALSE)</f>
        <v>Middle-income</v>
      </c>
      <c r="AU1743" s="233" t="str">
        <f>VLOOKUP(Table8[[#This Row],[Country Code]],Table29[],6,FALSE)</f>
        <v>no</v>
      </c>
      <c r="AV1743" s="233" t="str">
        <f>VLOOKUP(Table8[[#This Row],[Country Code]],Table29[],7,FALSE)</f>
        <v>no</v>
      </c>
      <c r="AW1743" s="233" t="str">
        <f>VLOOKUP(Table8[[#This Row],[Country Code]],Table29[],8,FALSE)</f>
        <v>non-OECD</v>
      </c>
      <c r="AX1743" s="233" t="str">
        <f>VLOOKUP(Table8[[#This Row],[Country Code]],Table29[],9,FALSE)</f>
        <v>no</v>
      </c>
      <c r="AY1743" s="233" t="str">
        <f>VLOOKUP(Table8[[#This Row],[Country Code]],Table29[],10,FALSE)</f>
        <v>no</v>
      </c>
      <c r="AZ1743" s="235">
        <f>VLOOKUP(Table8[[#This Row],[Country Code]],Table29[],23,FALSE)</f>
        <v>11.370029305485</v>
      </c>
      <c r="BA1743" s="235">
        <f>VLOOKUP(Table8[[#This Row],[Country Code]],Table29[],24,FALSE)</f>
        <v>2.5209386628390988</v>
      </c>
      <c r="BB1743" s="320"/>
      <c r="BC1743" s="320"/>
    </row>
    <row r="1744" spans="1:55" hidden="1" x14ac:dyDescent="0.25">
      <c r="A1744" s="373">
        <v>17711</v>
      </c>
      <c r="B1744" s="233" t="str">
        <f>VLOOKUP(Table8[[#This Row],[Document ID]],Table1[],2,FALSE)</f>
        <v>MKD</v>
      </c>
      <c r="C1744" s="233" t="str">
        <f>VLOOKUP(Table8[[#This Row],[Document ID]],Table1[],3,FALSE)</f>
        <v>Republic of North Macedonia</v>
      </c>
      <c r="D1744" s="233" t="str">
        <f>VLOOKUP(Table8[[#This Row],[Document ID]],Table1[],5,FALSE)</f>
        <v>NDC</v>
      </c>
      <c r="E1744" s="233" t="str">
        <f>VLOOKUP(Table8[[#This Row],[Document ID]],Table1[],7,FALSE)</f>
        <v>First NDC</v>
      </c>
      <c r="F1744" s="236" t="str">
        <f>VLOOKUP(Table8[[#This Row],[Document ID]],Table1[],8,FALSE)</f>
        <v>NDC 1.0</v>
      </c>
      <c r="G1744" s="236" t="str">
        <f>VLOOKUP(Table8[[#This Row],[Document ID]],Table1[],10,FALSE)</f>
        <v>Archived</v>
      </c>
      <c r="H1744" s="43" t="s">
        <v>2343</v>
      </c>
      <c r="I1744" s="43" t="s">
        <v>2361</v>
      </c>
      <c r="J1744" s="44" t="s">
        <v>2463</v>
      </c>
      <c r="K1744" s="44" t="s">
        <v>3949</v>
      </c>
      <c r="L1744" s="44" t="s">
        <v>2347</v>
      </c>
      <c r="M1744" s="43"/>
      <c r="N1744" s="113"/>
      <c r="O1744" s="113"/>
      <c r="P1744" s="113"/>
      <c r="Q1744" s="113" t="s">
        <v>1113</v>
      </c>
      <c r="R1744" s="319"/>
      <c r="S1744" s="319"/>
      <c r="T1744" s="319"/>
      <c r="U1744" s="319"/>
      <c r="V1744" s="319"/>
      <c r="W1744" s="319"/>
      <c r="X1744" s="319"/>
      <c r="Y1744" s="319"/>
      <c r="Z1744" s="319"/>
      <c r="AA1744" s="319"/>
      <c r="AB1744" s="319"/>
      <c r="AC1744" s="319"/>
      <c r="AD1744" s="319"/>
      <c r="AE1744" s="319"/>
      <c r="AF1744" s="319"/>
      <c r="AG1744" s="319"/>
      <c r="AH1744" s="319"/>
      <c r="AI1744" s="319"/>
      <c r="AJ1744" s="319"/>
      <c r="AK1744" s="319" t="s">
        <v>1113</v>
      </c>
      <c r="AL1744" s="319"/>
      <c r="AM1744" s="319"/>
      <c r="AN1744" s="319"/>
      <c r="AO1744" s="44" t="s">
        <v>2334</v>
      </c>
      <c r="AP1744" s="43"/>
      <c r="AQ1744" s="236" t="str">
        <f>VLOOKUP(Table8[[#This Row],[Instrument]],Def_Targets!$D$73:$E$159,2,FALSE)</f>
        <v>S_Walking</v>
      </c>
      <c r="AR1744" s="233" t="str">
        <f>VLOOKUP(Table8[[#This Row],[Country Code]],Table29[],3,FALSE)</f>
        <v>Non-Annex I</v>
      </c>
      <c r="AS1744" s="233" t="str">
        <f>VLOOKUP(Table8[[#This Row],[Country Code]],Table29[],4,FALSE)</f>
        <v>Europe</v>
      </c>
      <c r="AT1744" s="233" t="str">
        <f>VLOOKUP(Table8[[#This Row],[Country Code]],Table29[],5,FALSE)</f>
        <v>Middle-income</v>
      </c>
      <c r="AU1744" s="233" t="str">
        <f>VLOOKUP(Table8[[#This Row],[Country Code]],Table29[],6,FALSE)</f>
        <v>no</v>
      </c>
      <c r="AV1744" s="233" t="str">
        <f>VLOOKUP(Table8[[#This Row],[Country Code]],Table29[],7,FALSE)</f>
        <v>no</v>
      </c>
      <c r="AW1744" s="233" t="str">
        <f>VLOOKUP(Table8[[#This Row],[Country Code]],Table29[],8,FALSE)</f>
        <v>non-OECD</v>
      </c>
      <c r="AX1744" s="233" t="str">
        <f>VLOOKUP(Table8[[#This Row],[Country Code]],Table29[],9,FALSE)</f>
        <v>no</v>
      </c>
      <c r="AY1744" s="233" t="str">
        <f>VLOOKUP(Table8[[#This Row],[Country Code]],Table29[],10,FALSE)</f>
        <v>no</v>
      </c>
      <c r="AZ1744" s="235">
        <f>VLOOKUP(Table8[[#This Row],[Country Code]],Table29[],23,FALSE)</f>
        <v>11.370029305485</v>
      </c>
      <c r="BA1744" s="235">
        <f>VLOOKUP(Table8[[#This Row],[Country Code]],Table29[],24,FALSE)</f>
        <v>2.5209386628390988</v>
      </c>
      <c r="BB1744" s="320"/>
      <c r="BC1744" s="320"/>
    </row>
    <row r="1745" spans="1:55" hidden="1" x14ac:dyDescent="0.25">
      <c r="A1745" s="373">
        <v>17711</v>
      </c>
      <c r="B1745" s="233" t="str">
        <f>VLOOKUP(Table8[[#This Row],[Document ID]],Table1[],2,FALSE)</f>
        <v>MKD</v>
      </c>
      <c r="C1745" s="233" t="str">
        <f>VLOOKUP(Table8[[#This Row],[Document ID]],Table1[],3,FALSE)</f>
        <v>Republic of North Macedonia</v>
      </c>
      <c r="D1745" s="233" t="str">
        <f>VLOOKUP(Table8[[#This Row],[Document ID]],Table1[],5,FALSE)</f>
        <v>NDC</v>
      </c>
      <c r="E1745" s="233" t="str">
        <f>VLOOKUP(Table8[[#This Row],[Document ID]],Table1[],7,FALSE)</f>
        <v>First NDC</v>
      </c>
      <c r="F1745" s="236" t="str">
        <f>VLOOKUP(Table8[[#This Row],[Document ID]],Table1[],8,FALSE)</f>
        <v>NDC 1.0</v>
      </c>
      <c r="G1745" s="236" t="str">
        <f>VLOOKUP(Table8[[#This Row],[Document ID]],Table1[],10,FALSE)</f>
        <v>Archived</v>
      </c>
      <c r="H1745" s="43" t="s">
        <v>2343</v>
      </c>
      <c r="I1745" s="43" t="s">
        <v>2361</v>
      </c>
      <c r="J1745" s="44" t="s">
        <v>2362</v>
      </c>
      <c r="K1745" s="44" t="s">
        <v>3949</v>
      </c>
      <c r="L1745" s="44" t="s">
        <v>2347</v>
      </c>
      <c r="M1745" s="43"/>
      <c r="N1745" s="113"/>
      <c r="O1745" s="113"/>
      <c r="P1745" s="113"/>
      <c r="Q1745" s="319"/>
      <c r="R1745" s="113" t="s">
        <v>1113</v>
      </c>
      <c r="S1745" s="319"/>
      <c r="T1745" s="319"/>
      <c r="U1745" s="319"/>
      <c r="V1745" s="319"/>
      <c r="W1745" s="319"/>
      <c r="X1745" s="319"/>
      <c r="Y1745" s="319"/>
      <c r="Z1745" s="319"/>
      <c r="AA1745" s="319"/>
      <c r="AB1745" s="319"/>
      <c r="AC1745" s="319"/>
      <c r="AD1745" s="319"/>
      <c r="AE1745" s="319"/>
      <c r="AF1745" s="319"/>
      <c r="AG1745" s="319"/>
      <c r="AH1745" s="319"/>
      <c r="AI1745" s="319"/>
      <c r="AJ1745" s="319"/>
      <c r="AK1745" s="319" t="s">
        <v>1113</v>
      </c>
      <c r="AL1745" s="319"/>
      <c r="AM1745" s="319"/>
      <c r="AN1745" s="319"/>
      <c r="AO1745" s="44" t="s">
        <v>2334</v>
      </c>
      <c r="AP1745" s="43"/>
      <c r="AQ1745" s="236" t="str">
        <f>VLOOKUP(Table8[[#This Row],[Instrument]],Def_Targets!$D$73:$E$159,2,FALSE)</f>
        <v>S_Cycling</v>
      </c>
      <c r="AR1745" s="233" t="str">
        <f>VLOOKUP(Table8[[#This Row],[Country Code]],Table29[],3,FALSE)</f>
        <v>Non-Annex I</v>
      </c>
      <c r="AS1745" s="233" t="str">
        <f>VLOOKUP(Table8[[#This Row],[Country Code]],Table29[],4,FALSE)</f>
        <v>Europe</v>
      </c>
      <c r="AT1745" s="233" t="str">
        <f>VLOOKUP(Table8[[#This Row],[Country Code]],Table29[],5,FALSE)</f>
        <v>Middle-income</v>
      </c>
      <c r="AU1745" s="233" t="str">
        <f>VLOOKUP(Table8[[#This Row],[Country Code]],Table29[],6,FALSE)</f>
        <v>no</v>
      </c>
      <c r="AV1745" s="233" t="str">
        <f>VLOOKUP(Table8[[#This Row],[Country Code]],Table29[],7,FALSE)</f>
        <v>no</v>
      </c>
      <c r="AW1745" s="233" t="str">
        <f>VLOOKUP(Table8[[#This Row],[Country Code]],Table29[],8,FALSE)</f>
        <v>non-OECD</v>
      </c>
      <c r="AX1745" s="233" t="str">
        <f>VLOOKUP(Table8[[#This Row],[Country Code]],Table29[],9,FALSE)</f>
        <v>no</v>
      </c>
      <c r="AY1745" s="233" t="str">
        <f>VLOOKUP(Table8[[#This Row],[Country Code]],Table29[],10,FALSE)</f>
        <v>no</v>
      </c>
      <c r="AZ1745" s="235">
        <f>VLOOKUP(Table8[[#This Row],[Country Code]],Table29[],23,FALSE)</f>
        <v>11.370029305485</v>
      </c>
      <c r="BA1745" s="235">
        <f>VLOOKUP(Table8[[#This Row],[Country Code]],Table29[],24,FALSE)</f>
        <v>2.5209386628390988</v>
      </c>
      <c r="BB1745" s="320"/>
      <c r="BC1745" s="320"/>
    </row>
    <row r="1746" spans="1:55" hidden="1" x14ac:dyDescent="0.25">
      <c r="A1746" s="373">
        <v>17711</v>
      </c>
      <c r="B1746" s="233" t="str">
        <f>VLOOKUP(Table8[[#This Row],[Document ID]],Table1[],2,FALSE)</f>
        <v>MKD</v>
      </c>
      <c r="C1746" s="233" t="str">
        <f>VLOOKUP(Table8[[#This Row],[Document ID]],Table1[],3,FALSE)</f>
        <v>Republic of North Macedonia</v>
      </c>
      <c r="D1746" s="233" t="str">
        <f>VLOOKUP(Table8[[#This Row],[Document ID]],Table1[],5,FALSE)</f>
        <v>NDC</v>
      </c>
      <c r="E1746" s="233" t="str">
        <f>VLOOKUP(Table8[[#This Row],[Document ID]],Table1[],7,FALSE)</f>
        <v>First NDC</v>
      </c>
      <c r="F1746" s="236" t="str">
        <f>VLOOKUP(Table8[[#This Row],[Document ID]],Table1[],8,FALSE)</f>
        <v>NDC 1.0</v>
      </c>
      <c r="G1746" s="236" t="str">
        <f>VLOOKUP(Table8[[#This Row],[Document ID]],Table1[],10,FALSE)</f>
        <v>Archived</v>
      </c>
      <c r="H1746" s="43" t="s">
        <v>2358</v>
      </c>
      <c r="I1746" s="43" t="s">
        <v>2359</v>
      </c>
      <c r="J1746" s="44" t="s">
        <v>2360</v>
      </c>
      <c r="K1746" s="44" t="s">
        <v>3950</v>
      </c>
      <c r="L1746" s="44" t="s">
        <v>2333</v>
      </c>
      <c r="M1746" s="43"/>
      <c r="N1746" s="113" t="s">
        <v>1113</v>
      </c>
      <c r="O1746" s="113"/>
      <c r="P1746" s="113"/>
      <c r="Q1746" s="319"/>
      <c r="R1746" s="319"/>
      <c r="S1746" s="319"/>
      <c r="T1746" s="319"/>
      <c r="U1746" s="319"/>
      <c r="V1746" s="319"/>
      <c r="W1746" s="319"/>
      <c r="X1746" s="319"/>
      <c r="Y1746" s="319"/>
      <c r="Z1746" s="319"/>
      <c r="AA1746" s="319"/>
      <c r="AB1746" s="319"/>
      <c r="AC1746" s="319"/>
      <c r="AD1746" s="319"/>
      <c r="AE1746" s="319"/>
      <c r="AF1746" s="319"/>
      <c r="AG1746" s="319"/>
      <c r="AH1746" s="319"/>
      <c r="AI1746" s="319"/>
      <c r="AJ1746" s="319"/>
      <c r="AK1746" s="319" t="s">
        <v>1113</v>
      </c>
      <c r="AL1746" s="319"/>
      <c r="AM1746" s="319"/>
      <c r="AN1746" s="319"/>
      <c r="AO1746" s="44" t="s">
        <v>2334</v>
      </c>
      <c r="AP1746" s="44"/>
      <c r="AQ1746" s="236" t="str">
        <f>VLOOKUP(Table8[[#This Row],[Instrument]],Def_Targets!$D$73:$E$159,2,FALSE)</f>
        <v>I_Emobility</v>
      </c>
      <c r="AR1746" s="233" t="str">
        <f>VLOOKUP(Table8[[#This Row],[Country Code]],Table29[],3,FALSE)</f>
        <v>Non-Annex I</v>
      </c>
      <c r="AS1746" s="233" t="str">
        <f>VLOOKUP(Table8[[#This Row],[Country Code]],Table29[],4,FALSE)</f>
        <v>Europe</v>
      </c>
      <c r="AT1746" s="233" t="str">
        <f>VLOOKUP(Table8[[#This Row],[Country Code]],Table29[],5,FALSE)</f>
        <v>Middle-income</v>
      </c>
      <c r="AU1746" s="233" t="str">
        <f>VLOOKUP(Table8[[#This Row],[Country Code]],Table29[],6,FALSE)</f>
        <v>no</v>
      </c>
      <c r="AV1746" s="233" t="str">
        <f>VLOOKUP(Table8[[#This Row],[Country Code]],Table29[],7,FALSE)</f>
        <v>no</v>
      </c>
      <c r="AW1746" s="233" t="str">
        <f>VLOOKUP(Table8[[#This Row],[Country Code]],Table29[],8,FALSE)</f>
        <v>non-OECD</v>
      </c>
      <c r="AX1746" s="233" t="str">
        <f>VLOOKUP(Table8[[#This Row],[Country Code]],Table29[],9,FALSE)</f>
        <v>no</v>
      </c>
      <c r="AY1746" s="233" t="str">
        <f>VLOOKUP(Table8[[#This Row],[Country Code]],Table29[],10,FALSE)</f>
        <v>no</v>
      </c>
      <c r="AZ1746" s="235">
        <f>VLOOKUP(Table8[[#This Row],[Country Code]],Table29[],23,FALSE)</f>
        <v>11.370029305485</v>
      </c>
      <c r="BA1746" s="235">
        <f>VLOOKUP(Table8[[#This Row],[Country Code]],Table29[],24,FALSE)</f>
        <v>2.5209386628390988</v>
      </c>
      <c r="BB1746" s="320"/>
      <c r="BC1746" s="320"/>
    </row>
    <row r="1747" spans="1:55" hidden="1" x14ac:dyDescent="0.25">
      <c r="A1747" s="373">
        <v>17711</v>
      </c>
      <c r="B1747" s="233" t="str">
        <f>VLOOKUP(Table8[[#This Row],[Document ID]],Table1[],2,FALSE)</f>
        <v>MKD</v>
      </c>
      <c r="C1747" s="233" t="str">
        <f>VLOOKUP(Table8[[#This Row],[Document ID]],Table1[],3,FALSE)</f>
        <v>Republic of North Macedonia</v>
      </c>
      <c r="D1747" s="233" t="str">
        <f>VLOOKUP(Table8[[#This Row],[Document ID]],Table1[],5,FALSE)</f>
        <v>NDC</v>
      </c>
      <c r="E1747" s="233" t="str">
        <f>VLOOKUP(Table8[[#This Row],[Document ID]],Table1[],7,FALSE)</f>
        <v>First NDC</v>
      </c>
      <c r="F1747" s="236" t="str">
        <f>VLOOKUP(Table8[[#This Row],[Document ID]],Table1[],8,FALSE)</f>
        <v>NDC 1.0</v>
      </c>
      <c r="G1747" s="236" t="str">
        <f>VLOOKUP(Table8[[#This Row],[Document ID]],Table1[],10,FALSE)</f>
        <v>Archived</v>
      </c>
      <c r="H1747" s="44" t="s">
        <v>2338</v>
      </c>
      <c r="I1747" s="44" t="s">
        <v>2339</v>
      </c>
      <c r="J1747" s="44" t="s">
        <v>2340</v>
      </c>
      <c r="K1747" s="44" t="s">
        <v>3951</v>
      </c>
      <c r="L1747" s="44" t="s">
        <v>2333</v>
      </c>
      <c r="M1747" s="43"/>
      <c r="N1747" s="113" t="s">
        <v>1113</v>
      </c>
      <c r="O1747" s="113"/>
      <c r="P1747" s="113"/>
      <c r="Q1747" s="319"/>
      <c r="R1747" s="319"/>
      <c r="S1747" s="319"/>
      <c r="T1747" s="319"/>
      <c r="U1747" s="319"/>
      <c r="V1747" s="319"/>
      <c r="W1747" s="319"/>
      <c r="X1747" s="319"/>
      <c r="Y1747" s="319"/>
      <c r="Z1747" s="319"/>
      <c r="AA1747" s="319"/>
      <c r="AB1747" s="319"/>
      <c r="AC1747" s="319"/>
      <c r="AD1747" s="319"/>
      <c r="AE1747" s="319"/>
      <c r="AF1747" s="319"/>
      <c r="AG1747" s="319"/>
      <c r="AH1747" s="319"/>
      <c r="AI1747" s="319"/>
      <c r="AJ1747" s="319"/>
      <c r="AK1747" s="319" t="s">
        <v>1113</v>
      </c>
      <c r="AL1747" s="319"/>
      <c r="AM1747" s="319"/>
      <c r="AN1747" s="319"/>
      <c r="AO1747" s="44" t="s">
        <v>2334</v>
      </c>
      <c r="AP1747" s="44"/>
      <c r="AQ1747" s="236" t="str">
        <f>VLOOKUP(Table8[[#This Row],[Instrument]],Def_Targets!$D$73:$E$159,2,FALSE)</f>
        <v>I_Vehicleimprove</v>
      </c>
      <c r="AR1747" s="233" t="str">
        <f>VLOOKUP(Table8[[#This Row],[Country Code]],Table29[],3,FALSE)</f>
        <v>Non-Annex I</v>
      </c>
      <c r="AS1747" s="233" t="str">
        <f>VLOOKUP(Table8[[#This Row],[Country Code]],Table29[],4,FALSE)</f>
        <v>Europe</v>
      </c>
      <c r="AT1747" s="233" t="str">
        <f>VLOOKUP(Table8[[#This Row],[Country Code]],Table29[],5,FALSE)</f>
        <v>Middle-income</v>
      </c>
      <c r="AU1747" s="233" t="str">
        <f>VLOOKUP(Table8[[#This Row],[Country Code]],Table29[],6,FALSE)</f>
        <v>no</v>
      </c>
      <c r="AV1747" s="233" t="str">
        <f>VLOOKUP(Table8[[#This Row],[Country Code]],Table29[],7,FALSE)</f>
        <v>no</v>
      </c>
      <c r="AW1747" s="233" t="str">
        <f>VLOOKUP(Table8[[#This Row],[Country Code]],Table29[],8,FALSE)</f>
        <v>non-OECD</v>
      </c>
      <c r="AX1747" s="233" t="str">
        <f>VLOOKUP(Table8[[#This Row],[Country Code]],Table29[],9,FALSE)</f>
        <v>no</v>
      </c>
      <c r="AY1747" s="233" t="str">
        <f>VLOOKUP(Table8[[#This Row],[Country Code]],Table29[],10,FALSE)</f>
        <v>no</v>
      </c>
      <c r="AZ1747" s="235">
        <f>VLOOKUP(Table8[[#This Row],[Country Code]],Table29[],23,FALSE)</f>
        <v>11.370029305485</v>
      </c>
      <c r="BA1747" s="235">
        <f>VLOOKUP(Table8[[#This Row],[Country Code]],Table29[],24,FALSE)</f>
        <v>2.5209386628390988</v>
      </c>
      <c r="BB1747" s="320"/>
      <c r="BC1747" s="320"/>
    </row>
    <row r="1748" spans="1:55" ht="30" hidden="1" x14ac:dyDescent="0.25">
      <c r="A1748" s="373">
        <v>26787</v>
      </c>
      <c r="B1748" s="233" t="str">
        <f>VLOOKUP(Table8[[#This Row],[Document ID]],Table1[],2,FALSE)</f>
        <v>NGA</v>
      </c>
      <c r="C1748" s="233" t="str">
        <f>VLOOKUP(Table8[[#This Row],[Document ID]],Table1[],3,FALSE)</f>
        <v>Nigeria</v>
      </c>
      <c r="D1748" s="243" t="str">
        <f>VLOOKUP(Table8[[#This Row],[Document ID]],Table1[],5,FALSE)</f>
        <v>LTS</v>
      </c>
      <c r="E1748" s="233" t="str">
        <f>VLOOKUP(Table8[[#This Row],[Document ID]],Table1[],7,FALSE)</f>
        <v>Archived LTS 1.0</v>
      </c>
      <c r="F1748" s="233" t="str">
        <f>VLOOKUP(Table8[[#This Row],[Document ID]],Table1[],8,FALSE)</f>
        <v>LTS 1.0</v>
      </c>
      <c r="G1748" s="233" t="str">
        <f>VLOOKUP(Table8[[#This Row],[Document ID]],Table1[],10,FALSE)</f>
        <v>Archived</v>
      </c>
      <c r="H1748" s="43" t="s">
        <v>2350</v>
      </c>
      <c r="I1748" s="43" t="s">
        <v>2370</v>
      </c>
      <c r="J1748" s="44" t="s">
        <v>2518</v>
      </c>
      <c r="K1748" s="44" t="s">
        <v>3952</v>
      </c>
      <c r="L1748" s="44" t="s">
        <v>2333</v>
      </c>
      <c r="M1748" s="43">
        <v>27</v>
      </c>
      <c r="N1748" s="113" t="s">
        <v>1113</v>
      </c>
      <c r="O1748" s="113"/>
      <c r="P1748" s="113"/>
      <c r="Q1748" s="113"/>
      <c r="R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t="s">
        <v>1113</v>
      </c>
      <c r="AL1748" s="113"/>
      <c r="AM1748" s="113"/>
      <c r="AN1748" s="113"/>
      <c r="AO1748" s="43" t="s">
        <v>2348</v>
      </c>
      <c r="AP1748" s="43"/>
      <c r="AQ1748" s="236" t="str">
        <f>VLOOKUP(Table8[[#This Row],[Instrument]],Def_Targets!$D$73:$E$159,2,FALSE)</f>
        <v>A_Mixuse</v>
      </c>
      <c r="AR1748" s="233" t="str">
        <f>VLOOKUP(Table8[[#This Row],[Country Code]],Table29[],3,FALSE)</f>
        <v>Non-Annex I</v>
      </c>
      <c r="AS1748" s="233" t="str">
        <f>VLOOKUP(Table8[[#This Row],[Country Code]],Table29[],4,FALSE)</f>
        <v>Africa</v>
      </c>
      <c r="AT1748" s="233" t="str">
        <f>VLOOKUP(Table8[[#This Row],[Country Code]],Table29[],5,FALSE)</f>
        <v>Middle-income</v>
      </c>
      <c r="AU1748" s="233" t="str">
        <f>VLOOKUP(Table8[[#This Row],[Country Code]],Table29[],6,FALSE)</f>
        <v>no</v>
      </c>
      <c r="AV1748" s="233" t="str">
        <f>VLOOKUP(Table8[[#This Row],[Country Code]],Table29[],7,FALSE)</f>
        <v>no</v>
      </c>
      <c r="AW1748" s="233" t="str">
        <f>VLOOKUP(Table8[[#This Row],[Country Code]],Table29[],8,FALSE)</f>
        <v>non-OECD</v>
      </c>
      <c r="AX1748" s="233" t="str">
        <f>VLOOKUP(Table8[[#This Row],[Country Code]],Table29[],9,FALSE)</f>
        <v>no</v>
      </c>
      <c r="AY1748" s="233" t="str">
        <f>VLOOKUP(Table8[[#This Row],[Country Code]],Table29[],10,FALSE)</f>
        <v>no</v>
      </c>
      <c r="AZ1748" s="235">
        <f>VLOOKUP(Table8[[#This Row],[Country Code]],Table29[],23,FALSE)</f>
        <v>385.11288377147002</v>
      </c>
      <c r="BA1748" s="235">
        <f>VLOOKUP(Table8[[#This Row],[Country Code]],Table29[],24,FALSE)</f>
        <v>58.971195919965467</v>
      </c>
      <c r="BB1748" s="320"/>
      <c r="BC1748" s="320"/>
    </row>
    <row r="1749" spans="1:55" hidden="1" x14ac:dyDescent="0.25">
      <c r="A1749" s="373">
        <v>26787</v>
      </c>
      <c r="B1749" s="233" t="str">
        <f>VLOOKUP(Table8[[#This Row],[Document ID]],Table1[],2,FALSE)</f>
        <v>NGA</v>
      </c>
      <c r="C1749" s="233" t="str">
        <f>VLOOKUP(Table8[[#This Row],[Document ID]],Table1[],3,FALSE)</f>
        <v>Nigeria</v>
      </c>
      <c r="D1749" s="243" t="str">
        <f>VLOOKUP(Table8[[#This Row],[Document ID]],Table1[],5,FALSE)</f>
        <v>LTS</v>
      </c>
      <c r="E1749" s="233" t="str">
        <f>VLOOKUP(Table8[[#This Row],[Document ID]],Table1[],7,FALSE)</f>
        <v>Archived LTS 1.0</v>
      </c>
      <c r="F1749" s="233" t="str">
        <f>VLOOKUP(Table8[[#This Row],[Document ID]],Table1[],8,FALSE)</f>
        <v>LTS 1.0</v>
      </c>
      <c r="G1749" s="233" t="str">
        <f>VLOOKUP(Table8[[#This Row],[Document ID]],Table1[],10,FALSE)</f>
        <v>Archived</v>
      </c>
      <c r="H1749" s="43" t="s">
        <v>2343</v>
      </c>
      <c r="I1749" s="43" t="s">
        <v>2344</v>
      </c>
      <c r="J1749" s="44" t="s">
        <v>2549</v>
      </c>
      <c r="K1749" s="44" t="s">
        <v>3953</v>
      </c>
      <c r="L1749" s="44" t="s">
        <v>2347</v>
      </c>
      <c r="M1749" s="43">
        <v>27</v>
      </c>
      <c r="N1749" s="113"/>
      <c r="O1749" s="113"/>
      <c r="P1749" s="113"/>
      <c r="Q1749" s="113"/>
      <c r="R1749" s="113"/>
      <c r="S1749" s="113"/>
      <c r="T1749" s="113"/>
      <c r="U1749" s="113"/>
      <c r="V1749" s="113"/>
      <c r="W1749" s="113"/>
      <c r="X1749" s="113"/>
      <c r="Y1749" s="113" t="s">
        <v>1113</v>
      </c>
      <c r="Z1749" s="113"/>
      <c r="AA1749" s="113"/>
      <c r="AB1749" s="113"/>
      <c r="AC1749" s="113"/>
      <c r="AD1749" s="113"/>
      <c r="AE1749" s="113"/>
      <c r="AF1749" s="113"/>
      <c r="AG1749" s="113"/>
      <c r="AH1749" s="113"/>
      <c r="AI1749" s="113"/>
      <c r="AJ1749" s="113"/>
      <c r="AK1749" s="113"/>
      <c r="AL1749" s="113" t="s">
        <v>1113</v>
      </c>
      <c r="AM1749" s="113"/>
      <c r="AN1749" s="113"/>
      <c r="AO1749" s="43" t="s">
        <v>2348</v>
      </c>
      <c r="AP1749" s="43"/>
      <c r="AQ1749" s="236" t="str">
        <f>VLOOKUP(Table8[[#This Row],[Instrument]],Def_Targets!$D$73:$E$159,2,FALSE)</f>
        <v>S_BRT</v>
      </c>
      <c r="AR1749" s="233" t="str">
        <f>VLOOKUP(Table8[[#This Row],[Country Code]],Table29[],3,FALSE)</f>
        <v>Non-Annex I</v>
      </c>
      <c r="AS1749" s="233" t="str">
        <f>VLOOKUP(Table8[[#This Row],[Country Code]],Table29[],4,FALSE)</f>
        <v>Africa</v>
      </c>
      <c r="AT1749" s="233" t="str">
        <f>VLOOKUP(Table8[[#This Row],[Country Code]],Table29[],5,FALSE)</f>
        <v>Middle-income</v>
      </c>
      <c r="AU1749" s="233" t="str">
        <f>VLOOKUP(Table8[[#This Row],[Country Code]],Table29[],6,FALSE)</f>
        <v>no</v>
      </c>
      <c r="AV1749" s="233" t="str">
        <f>VLOOKUP(Table8[[#This Row],[Country Code]],Table29[],7,FALSE)</f>
        <v>no</v>
      </c>
      <c r="AW1749" s="233" t="str">
        <f>VLOOKUP(Table8[[#This Row],[Country Code]],Table29[],8,FALSE)</f>
        <v>non-OECD</v>
      </c>
      <c r="AX1749" s="233" t="str">
        <f>VLOOKUP(Table8[[#This Row],[Country Code]],Table29[],9,FALSE)</f>
        <v>no</v>
      </c>
      <c r="AY1749" s="233" t="str">
        <f>VLOOKUP(Table8[[#This Row],[Country Code]],Table29[],10,FALSE)</f>
        <v>no</v>
      </c>
      <c r="AZ1749" s="235">
        <f>VLOOKUP(Table8[[#This Row],[Country Code]],Table29[],23,FALSE)</f>
        <v>385.11288377147002</v>
      </c>
      <c r="BA1749" s="235">
        <f>VLOOKUP(Table8[[#This Row],[Country Code]],Table29[],24,FALSE)</f>
        <v>58.971195919965467</v>
      </c>
      <c r="BB1749" s="320"/>
      <c r="BC1749" s="320"/>
    </row>
    <row r="1750" spans="1:55" hidden="1" x14ac:dyDescent="0.25">
      <c r="A1750" s="373">
        <v>26787</v>
      </c>
      <c r="B1750" s="233" t="str">
        <f>VLOOKUP(Table8[[#This Row],[Document ID]],Table1[],2,FALSE)</f>
        <v>NGA</v>
      </c>
      <c r="C1750" s="233" t="str">
        <f>VLOOKUP(Table8[[#This Row],[Document ID]],Table1[],3,FALSE)</f>
        <v>Nigeria</v>
      </c>
      <c r="D1750" s="243" t="str">
        <f>VLOOKUP(Table8[[#This Row],[Document ID]],Table1[],5,FALSE)</f>
        <v>LTS</v>
      </c>
      <c r="E1750" s="233" t="str">
        <f>VLOOKUP(Table8[[#This Row],[Document ID]],Table1[],7,FALSE)</f>
        <v>Archived LTS 1.0</v>
      </c>
      <c r="F1750" s="233" t="str">
        <f>VLOOKUP(Table8[[#This Row],[Document ID]],Table1[],8,FALSE)</f>
        <v>LTS 1.0</v>
      </c>
      <c r="G1750" s="233" t="str">
        <f>VLOOKUP(Table8[[#This Row],[Document ID]],Table1[],10,FALSE)</f>
        <v>Archived</v>
      </c>
      <c r="H1750" s="43" t="s">
        <v>2343</v>
      </c>
      <c r="I1750" s="43" t="s">
        <v>2344</v>
      </c>
      <c r="J1750" s="44" t="s">
        <v>2405</v>
      </c>
      <c r="K1750" s="44" t="s">
        <v>3953</v>
      </c>
      <c r="L1750" s="44" t="s">
        <v>2347</v>
      </c>
      <c r="M1750" s="43">
        <v>27</v>
      </c>
      <c r="N1750" s="113"/>
      <c r="O1750" s="113"/>
      <c r="P1750" s="113"/>
      <c r="Q1750" s="113"/>
      <c r="R1750" s="113"/>
      <c r="S1750" s="113"/>
      <c r="T1750" s="113"/>
      <c r="U1750" s="113"/>
      <c r="V1750" s="113"/>
      <c r="W1750" s="113"/>
      <c r="X1750" s="113"/>
      <c r="Y1750" s="113"/>
      <c r="Z1750" s="113" t="s">
        <v>1113</v>
      </c>
      <c r="AA1750" s="113"/>
      <c r="AB1750" s="113"/>
      <c r="AC1750" s="113"/>
      <c r="AD1750" s="113"/>
      <c r="AE1750" s="113"/>
      <c r="AF1750" s="113"/>
      <c r="AG1750" s="113"/>
      <c r="AH1750" s="113"/>
      <c r="AI1750" s="113"/>
      <c r="AJ1750" s="113"/>
      <c r="AK1750" s="113"/>
      <c r="AL1750" s="113" t="s">
        <v>1113</v>
      </c>
      <c r="AM1750" s="113"/>
      <c r="AN1750" s="113"/>
      <c r="AO1750" s="43" t="s">
        <v>2348</v>
      </c>
      <c r="AP1750" s="43"/>
      <c r="AQ1750" s="236" t="str">
        <f>VLOOKUP(Table8[[#This Row],[Instrument]],Def_Targets!$D$73:$E$159,2,FALSE)</f>
        <v>S_PTIntegration</v>
      </c>
      <c r="AR1750" s="233" t="str">
        <f>VLOOKUP(Table8[[#This Row],[Country Code]],Table29[],3,FALSE)</f>
        <v>Non-Annex I</v>
      </c>
      <c r="AS1750" s="233" t="str">
        <f>VLOOKUP(Table8[[#This Row],[Country Code]],Table29[],4,FALSE)</f>
        <v>Africa</v>
      </c>
      <c r="AT1750" s="233" t="str">
        <f>VLOOKUP(Table8[[#This Row],[Country Code]],Table29[],5,FALSE)</f>
        <v>Middle-income</v>
      </c>
      <c r="AU1750" s="233" t="str">
        <f>VLOOKUP(Table8[[#This Row],[Country Code]],Table29[],6,FALSE)</f>
        <v>no</v>
      </c>
      <c r="AV1750" s="233" t="str">
        <f>VLOOKUP(Table8[[#This Row],[Country Code]],Table29[],7,FALSE)</f>
        <v>no</v>
      </c>
      <c r="AW1750" s="233" t="str">
        <f>VLOOKUP(Table8[[#This Row],[Country Code]],Table29[],8,FALSE)</f>
        <v>non-OECD</v>
      </c>
      <c r="AX1750" s="233" t="str">
        <f>VLOOKUP(Table8[[#This Row],[Country Code]],Table29[],9,FALSE)</f>
        <v>no</v>
      </c>
      <c r="AY1750" s="233" t="str">
        <f>VLOOKUP(Table8[[#This Row],[Country Code]],Table29[],10,FALSE)</f>
        <v>no</v>
      </c>
      <c r="AZ1750" s="235">
        <f>VLOOKUP(Table8[[#This Row],[Country Code]],Table29[],23,FALSE)</f>
        <v>385.11288377147002</v>
      </c>
      <c r="BA1750" s="235">
        <f>VLOOKUP(Table8[[#This Row],[Country Code]],Table29[],24,FALSE)</f>
        <v>58.971195919965467</v>
      </c>
      <c r="BB1750" s="320"/>
      <c r="BC1750" s="320"/>
    </row>
    <row r="1751" spans="1:55" hidden="1" x14ac:dyDescent="0.25">
      <c r="A1751" s="373">
        <v>26787</v>
      </c>
      <c r="B1751" s="233" t="str">
        <f>VLOOKUP(Table8[[#This Row],[Document ID]],Table1[],2,FALSE)</f>
        <v>NGA</v>
      </c>
      <c r="C1751" s="233" t="str">
        <f>VLOOKUP(Table8[[#This Row],[Document ID]],Table1[],3,FALSE)</f>
        <v>Nigeria</v>
      </c>
      <c r="D1751" s="243" t="str">
        <f>VLOOKUP(Table8[[#This Row],[Document ID]],Table1[],5,FALSE)</f>
        <v>LTS</v>
      </c>
      <c r="E1751" s="233" t="str">
        <f>VLOOKUP(Table8[[#This Row],[Document ID]],Table1[],7,FALSE)</f>
        <v>Archived LTS 1.0</v>
      </c>
      <c r="F1751" s="233" t="str">
        <f>VLOOKUP(Table8[[#This Row],[Document ID]],Table1[],8,FALSE)</f>
        <v>LTS 1.0</v>
      </c>
      <c r="G1751" s="233" t="str">
        <f>VLOOKUP(Table8[[#This Row],[Document ID]],Table1[],10,FALSE)</f>
        <v>Archived</v>
      </c>
      <c r="H1751" s="43" t="s">
        <v>2358</v>
      </c>
      <c r="I1751" s="43" t="s">
        <v>2359</v>
      </c>
      <c r="J1751" s="44" t="s">
        <v>2360</v>
      </c>
      <c r="K1751" s="44" t="s">
        <v>3954</v>
      </c>
      <c r="L1751" s="44" t="s">
        <v>2333</v>
      </c>
      <c r="M1751" s="43">
        <v>27</v>
      </c>
      <c r="N1751" s="113"/>
      <c r="O1751" s="113"/>
      <c r="P1751" s="113"/>
      <c r="Q1751" s="113"/>
      <c r="R1751" s="113"/>
      <c r="S1751" s="113"/>
      <c r="T1751" s="113"/>
      <c r="U1751" s="113" t="s">
        <v>1113</v>
      </c>
      <c r="V1751" s="113"/>
      <c r="W1751" s="113"/>
      <c r="X1751" s="113"/>
      <c r="Y1751" s="113"/>
      <c r="Z1751" s="113"/>
      <c r="AA1751" s="113"/>
      <c r="AB1751" s="113"/>
      <c r="AC1751" s="113"/>
      <c r="AD1751" s="113"/>
      <c r="AE1751" s="113"/>
      <c r="AF1751" s="113"/>
      <c r="AG1751" s="113"/>
      <c r="AH1751" s="113"/>
      <c r="AI1751" s="113"/>
      <c r="AJ1751" s="113"/>
      <c r="AK1751" s="113"/>
      <c r="AL1751" s="113" t="s">
        <v>1113</v>
      </c>
      <c r="AM1751" s="113"/>
      <c r="AN1751" s="113"/>
      <c r="AO1751" s="44" t="s">
        <v>2334</v>
      </c>
      <c r="AP1751" s="43"/>
      <c r="AQ1751" s="236" t="str">
        <f>VLOOKUP(Table8[[#This Row],[Instrument]],Def_Targets!$D$73:$E$159,2,FALSE)</f>
        <v>I_Emobility</v>
      </c>
      <c r="AR1751" s="233" t="str">
        <f>VLOOKUP(Table8[[#This Row],[Country Code]],Table29[],3,FALSE)</f>
        <v>Non-Annex I</v>
      </c>
      <c r="AS1751" s="233" t="str">
        <f>VLOOKUP(Table8[[#This Row],[Country Code]],Table29[],4,FALSE)</f>
        <v>Africa</v>
      </c>
      <c r="AT1751" s="233" t="str">
        <f>VLOOKUP(Table8[[#This Row],[Country Code]],Table29[],5,FALSE)</f>
        <v>Middle-income</v>
      </c>
      <c r="AU1751" s="233" t="str">
        <f>VLOOKUP(Table8[[#This Row],[Country Code]],Table29[],6,FALSE)</f>
        <v>no</v>
      </c>
      <c r="AV1751" s="233" t="str">
        <f>VLOOKUP(Table8[[#This Row],[Country Code]],Table29[],7,FALSE)</f>
        <v>no</v>
      </c>
      <c r="AW1751" s="233" t="str">
        <f>VLOOKUP(Table8[[#This Row],[Country Code]],Table29[],8,FALSE)</f>
        <v>non-OECD</v>
      </c>
      <c r="AX1751" s="233" t="str">
        <f>VLOOKUP(Table8[[#This Row],[Country Code]],Table29[],9,FALSE)</f>
        <v>no</v>
      </c>
      <c r="AY1751" s="233" t="str">
        <f>VLOOKUP(Table8[[#This Row],[Country Code]],Table29[],10,FALSE)</f>
        <v>no</v>
      </c>
      <c r="AZ1751" s="235">
        <f>VLOOKUP(Table8[[#This Row],[Country Code]],Table29[],23,FALSE)</f>
        <v>385.11288377147002</v>
      </c>
      <c r="BA1751" s="235">
        <f>VLOOKUP(Table8[[#This Row],[Country Code]],Table29[],24,FALSE)</f>
        <v>58.971195919965467</v>
      </c>
      <c r="BB1751" s="320"/>
      <c r="BC1751" s="320"/>
    </row>
    <row r="1752" spans="1:55" ht="30" hidden="1" x14ac:dyDescent="0.25">
      <c r="A1752" s="373">
        <v>26787</v>
      </c>
      <c r="B1752" s="233" t="str">
        <f>VLOOKUP(Table8[[#This Row],[Document ID]],Table1[],2,FALSE)</f>
        <v>NGA</v>
      </c>
      <c r="C1752" s="233" t="str">
        <f>VLOOKUP(Table8[[#This Row],[Document ID]],Table1[],3,FALSE)</f>
        <v>Nigeria</v>
      </c>
      <c r="D1752" s="243" t="str">
        <f>VLOOKUP(Table8[[#This Row],[Document ID]],Table1[],5,FALSE)</f>
        <v>LTS</v>
      </c>
      <c r="E1752" s="233" t="str">
        <f>VLOOKUP(Table8[[#This Row],[Document ID]],Table1[],7,FALSE)</f>
        <v>Archived LTS 1.0</v>
      </c>
      <c r="F1752" s="233" t="str">
        <f>VLOOKUP(Table8[[#This Row],[Document ID]],Table1[],8,FALSE)</f>
        <v>LTS 1.0</v>
      </c>
      <c r="G1752" s="233" t="str">
        <f>VLOOKUP(Table8[[#This Row],[Document ID]],Table1[],10,FALSE)</f>
        <v>Archived</v>
      </c>
      <c r="H1752" s="43" t="s">
        <v>2350</v>
      </c>
      <c r="I1752" s="43" t="s">
        <v>2407</v>
      </c>
      <c r="J1752" s="44" t="s">
        <v>2408</v>
      </c>
      <c r="K1752" s="44" t="s">
        <v>3955</v>
      </c>
      <c r="L1752" s="44" t="s">
        <v>2347</v>
      </c>
      <c r="M1752" s="43">
        <v>27</v>
      </c>
      <c r="N1752" s="113" t="s">
        <v>1113</v>
      </c>
      <c r="O1752" s="113"/>
      <c r="P1752" s="113"/>
      <c r="Q1752" s="113"/>
      <c r="R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t="s">
        <v>1113</v>
      </c>
      <c r="AL1752" s="113"/>
      <c r="AM1752" s="113"/>
      <c r="AN1752" s="113"/>
      <c r="AO1752" s="44" t="s">
        <v>2334</v>
      </c>
      <c r="AP1752" s="43"/>
      <c r="AQ1752" s="236" t="str">
        <f>VLOOKUP(Table8[[#This Row],[Instrument]],Def_Targets!$D$73:$E$159,2,FALSE)</f>
        <v>I_Education</v>
      </c>
      <c r="AR1752" s="233" t="str">
        <f>VLOOKUP(Table8[[#This Row],[Country Code]],Table29[],3,FALSE)</f>
        <v>Non-Annex I</v>
      </c>
      <c r="AS1752" s="233" t="str">
        <f>VLOOKUP(Table8[[#This Row],[Country Code]],Table29[],4,FALSE)</f>
        <v>Africa</v>
      </c>
      <c r="AT1752" s="233" t="str">
        <f>VLOOKUP(Table8[[#This Row],[Country Code]],Table29[],5,FALSE)</f>
        <v>Middle-income</v>
      </c>
      <c r="AU1752" s="233" t="str">
        <f>VLOOKUP(Table8[[#This Row],[Country Code]],Table29[],6,FALSE)</f>
        <v>no</v>
      </c>
      <c r="AV1752" s="233" t="str">
        <f>VLOOKUP(Table8[[#This Row],[Country Code]],Table29[],7,FALSE)</f>
        <v>no</v>
      </c>
      <c r="AW1752" s="233" t="str">
        <f>VLOOKUP(Table8[[#This Row],[Country Code]],Table29[],8,FALSE)</f>
        <v>non-OECD</v>
      </c>
      <c r="AX1752" s="233" t="str">
        <f>VLOOKUP(Table8[[#This Row],[Country Code]],Table29[],9,FALSE)</f>
        <v>no</v>
      </c>
      <c r="AY1752" s="233" t="str">
        <f>VLOOKUP(Table8[[#This Row],[Country Code]],Table29[],10,FALSE)</f>
        <v>no</v>
      </c>
      <c r="AZ1752" s="235">
        <f>VLOOKUP(Table8[[#This Row],[Country Code]],Table29[],23,FALSE)</f>
        <v>385.11288377147002</v>
      </c>
      <c r="BA1752" s="235">
        <f>VLOOKUP(Table8[[#This Row],[Country Code]],Table29[],24,FALSE)</f>
        <v>58.971195919965467</v>
      </c>
      <c r="BB1752" s="320"/>
      <c r="BC1752" s="320"/>
    </row>
    <row r="1753" spans="1:55" ht="30" hidden="1" x14ac:dyDescent="0.25">
      <c r="A1753" s="373">
        <v>26787</v>
      </c>
      <c r="B1753" s="233" t="str">
        <f>VLOOKUP(Table8[[#This Row],[Document ID]],Table1[],2,FALSE)</f>
        <v>NGA</v>
      </c>
      <c r="C1753" s="233" t="str">
        <f>VLOOKUP(Table8[[#This Row],[Document ID]],Table1[],3,FALSE)</f>
        <v>Nigeria</v>
      </c>
      <c r="D1753" s="243" t="str">
        <f>VLOOKUP(Table8[[#This Row],[Document ID]],Table1[],5,FALSE)</f>
        <v>LTS</v>
      </c>
      <c r="E1753" s="233" t="str">
        <f>VLOOKUP(Table8[[#This Row],[Document ID]],Table1[],7,FALSE)</f>
        <v>Archived LTS 1.0</v>
      </c>
      <c r="F1753" s="233" t="str">
        <f>VLOOKUP(Table8[[#This Row],[Document ID]],Table1[],8,FALSE)</f>
        <v>LTS 1.0</v>
      </c>
      <c r="G1753" s="233" t="str">
        <f>VLOOKUP(Table8[[#This Row],[Document ID]],Table1[],10,FALSE)</f>
        <v>Archived</v>
      </c>
      <c r="H1753" s="44" t="s">
        <v>2329</v>
      </c>
      <c r="I1753" s="44" t="s">
        <v>2330</v>
      </c>
      <c r="J1753" s="44" t="s">
        <v>2331</v>
      </c>
      <c r="K1753" s="44" t="s">
        <v>3956</v>
      </c>
      <c r="L1753" s="44" t="s">
        <v>2333</v>
      </c>
      <c r="M1753" s="43">
        <v>27</v>
      </c>
      <c r="N1753" s="113"/>
      <c r="O1753" s="113"/>
      <c r="P1753" s="113"/>
      <c r="Q1753" s="113"/>
      <c r="R1753" s="113"/>
      <c r="S1753" s="113"/>
      <c r="T1753" s="113"/>
      <c r="U1753" s="113" t="s">
        <v>1113</v>
      </c>
      <c r="V1753" s="113"/>
      <c r="W1753" s="113"/>
      <c r="X1753" s="113" t="s">
        <v>1113</v>
      </c>
      <c r="Y1753" s="113" t="s">
        <v>1113</v>
      </c>
      <c r="Z1753" s="113"/>
      <c r="AA1753" s="113"/>
      <c r="AB1753" s="113"/>
      <c r="AC1753" s="113"/>
      <c r="AD1753" s="113"/>
      <c r="AE1753" s="113"/>
      <c r="AF1753" s="113"/>
      <c r="AG1753" s="113"/>
      <c r="AH1753" s="113"/>
      <c r="AI1753" s="113"/>
      <c r="AJ1753" s="113"/>
      <c r="AK1753" s="113" t="s">
        <v>1113</v>
      </c>
      <c r="AL1753" s="113"/>
      <c r="AM1753" s="113"/>
      <c r="AN1753" s="113"/>
      <c r="AO1753" s="44" t="s">
        <v>2334</v>
      </c>
      <c r="AP1753" s="43"/>
      <c r="AQ1753" s="236" t="str">
        <f>VLOOKUP(Table8[[#This Row],[Instrument]],Def_Targets!$D$73:$E$159,2,FALSE)</f>
        <v>I_Altfuels</v>
      </c>
      <c r="AR1753" s="233" t="str">
        <f>VLOOKUP(Table8[[#This Row],[Country Code]],Table29[],3,FALSE)</f>
        <v>Non-Annex I</v>
      </c>
      <c r="AS1753" s="233" t="str">
        <f>VLOOKUP(Table8[[#This Row],[Country Code]],Table29[],4,FALSE)</f>
        <v>Africa</v>
      </c>
      <c r="AT1753" s="233" t="str">
        <f>VLOOKUP(Table8[[#This Row],[Country Code]],Table29[],5,FALSE)</f>
        <v>Middle-income</v>
      </c>
      <c r="AU1753" s="233" t="str">
        <f>VLOOKUP(Table8[[#This Row],[Country Code]],Table29[],6,FALSE)</f>
        <v>no</v>
      </c>
      <c r="AV1753" s="233" t="str">
        <f>VLOOKUP(Table8[[#This Row],[Country Code]],Table29[],7,FALSE)</f>
        <v>no</v>
      </c>
      <c r="AW1753" s="233" t="str">
        <f>VLOOKUP(Table8[[#This Row],[Country Code]],Table29[],8,FALSE)</f>
        <v>non-OECD</v>
      </c>
      <c r="AX1753" s="233" t="str">
        <f>VLOOKUP(Table8[[#This Row],[Country Code]],Table29[],9,FALSE)</f>
        <v>no</v>
      </c>
      <c r="AY1753" s="233" t="str">
        <f>VLOOKUP(Table8[[#This Row],[Country Code]],Table29[],10,FALSE)</f>
        <v>no</v>
      </c>
      <c r="AZ1753" s="235">
        <f>VLOOKUP(Table8[[#This Row],[Country Code]],Table29[],23,FALSE)</f>
        <v>385.11288377147002</v>
      </c>
      <c r="BA1753" s="235">
        <f>VLOOKUP(Table8[[#This Row],[Country Code]],Table29[],24,FALSE)</f>
        <v>58.971195919965467</v>
      </c>
      <c r="BB1753" s="320"/>
      <c r="BC1753" s="320"/>
    </row>
    <row r="1754" spans="1:55" ht="45" hidden="1" x14ac:dyDescent="0.25">
      <c r="A1754" s="360">
        <v>17687</v>
      </c>
      <c r="B1754" s="233" t="str">
        <f>VLOOKUP(Table8[[#This Row],[Document ID]],Table1[],2,FALSE)</f>
        <v>NOR</v>
      </c>
      <c r="C1754" s="233" t="str">
        <f>VLOOKUP(Table8[[#This Row],[Document ID]],Table1[],3,FALSE)</f>
        <v>Norway</v>
      </c>
      <c r="D1754" s="233" t="str">
        <f>VLOOKUP(Table8[[#This Row],[Document ID]],Table1[],5,FALSE)</f>
        <v>LTS</v>
      </c>
      <c r="E1754" s="233" t="str">
        <f>VLOOKUP(Table8[[#This Row],[Document ID]],Table1[],7,FALSE)</f>
        <v>LTS</v>
      </c>
      <c r="F1754" s="233" t="str">
        <f>VLOOKUP(Table8[[#This Row],[Document ID]],Table1[],8,FALSE)</f>
        <v>LTS 1.0</v>
      </c>
      <c r="G1754" s="233" t="str">
        <f>VLOOKUP(Table8[[#This Row],[Document ID]],Table1[],10,FALSE)</f>
        <v>Active</v>
      </c>
      <c r="H1754" s="44" t="s">
        <v>2329</v>
      </c>
      <c r="I1754" s="44" t="s">
        <v>2330</v>
      </c>
      <c r="J1754" s="44" t="s">
        <v>2357</v>
      </c>
      <c r="K1754" s="44" t="s">
        <v>3957</v>
      </c>
      <c r="L1754" s="44" t="s">
        <v>2333</v>
      </c>
      <c r="M1754" s="43">
        <v>8</v>
      </c>
      <c r="N1754" s="113" t="s">
        <v>1113</v>
      </c>
      <c r="O1754" s="113"/>
      <c r="P1754" s="113"/>
      <c r="Q1754" s="113"/>
      <c r="R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319" t="s">
        <v>1113</v>
      </c>
      <c r="AL1754" s="113"/>
      <c r="AM1754" s="113"/>
      <c r="AN1754" s="113"/>
      <c r="AO1754" s="44" t="s">
        <v>2334</v>
      </c>
      <c r="AP1754" s="43"/>
      <c r="AQ1754" s="236" t="str">
        <f>VLOOKUP(Table8[[#This Row],[Instrument]],Def_Targets!$D$73:$E$159,2,FALSE)</f>
        <v>I_Biofuel</v>
      </c>
      <c r="AR1754" s="233" t="str">
        <f>VLOOKUP(Table8[[#This Row],[Country Code]],Table29[],3,FALSE)</f>
        <v>Annex I</v>
      </c>
      <c r="AS1754" s="233" t="str">
        <f>VLOOKUP(Table8[[#This Row],[Country Code]],Table29[],4,FALSE)</f>
        <v>Europe</v>
      </c>
      <c r="AT1754" s="233" t="str">
        <f>VLOOKUP(Table8[[#This Row],[Country Code]],Table29[],5,FALSE)</f>
        <v>High-income</v>
      </c>
      <c r="AU1754" s="233" t="str">
        <f>VLOOKUP(Table8[[#This Row],[Country Code]],Table29[],6,FALSE)</f>
        <v>no</v>
      </c>
      <c r="AV1754" s="233" t="str">
        <f>VLOOKUP(Table8[[#This Row],[Country Code]],Table29[],7,FALSE)</f>
        <v>no</v>
      </c>
      <c r="AW1754" s="233" t="str">
        <f>VLOOKUP(Table8[[#This Row],[Country Code]],Table29[],8,FALSE)</f>
        <v>OECD</v>
      </c>
      <c r="AX1754" s="233" t="str">
        <f>VLOOKUP(Table8[[#This Row],[Country Code]],Table29[],9,FALSE)</f>
        <v>no</v>
      </c>
      <c r="AY1754" s="233" t="str">
        <f>VLOOKUP(Table8[[#This Row],[Country Code]],Table29[],10,FALSE)</f>
        <v>no</v>
      </c>
      <c r="AZ1754" s="235">
        <f>VLOOKUP(Table8[[#This Row],[Country Code]],Table29[],23,FALSE)</f>
        <v>56.717099715738001</v>
      </c>
      <c r="BA1754" s="235">
        <f>VLOOKUP(Table8[[#This Row],[Country Code]],Table29[],24,FALSE)</f>
        <v>13.64916488890823</v>
      </c>
      <c r="BB1754" s="320"/>
      <c r="BC1754" s="320"/>
    </row>
    <row r="1755" spans="1:55" ht="45" hidden="1" x14ac:dyDescent="0.25">
      <c r="A1755" s="360">
        <v>17687</v>
      </c>
      <c r="B1755" s="233" t="str">
        <f>VLOOKUP(Table8[[#This Row],[Document ID]],Table1[],2,FALSE)</f>
        <v>NOR</v>
      </c>
      <c r="C1755" s="233" t="str">
        <f>VLOOKUP(Table8[[#This Row],[Document ID]],Table1[],3,FALSE)</f>
        <v>Norway</v>
      </c>
      <c r="D1755" s="233" t="str">
        <f>VLOOKUP(Table8[[#This Row],[Document ID]],Table1[],5,FALSE)</f>
        <v>LTS</v>
      </c>
      <c r="E1755" s="233" t="str">
        <f>VLOOKUP(Table8[[#This Row],[Document ID]],Table1[],7,FALSE)</f>
        <v>LTS</v>
      </c>
      <c r="F1755" s="233" t="str">
        <f>VLOOKUP(Table8[[#This Row],[Document ID]],Table1[],8,FALSE)</f>
        <v>LTS 1.0</v>
      </c>
      <c r="G1755" s="233" t="str">
        <f>VLOOKUP(Table8[[#This Row],[Document ID]],Table1[],10,FALSE)</f>
        <v>Active</v>
      </c>
      <c r="H1755" s="43" t="s">
        <v>2358</v>
      </c>
      <c r="I1755" s="43" t="s">
        <v>2359</v>
      </c>
      <c r="J1755" s="44" t="s">
        <v>2360</v>
      </c>
      <c r="K1755" s="44" t="s">
        <v>3957</v>
      </c>
      <c r="L1755" s="44" t="s">
        <v>2333</v>
      </c>
      <c r="M1755" s="43">
        <v>8</v>
      </c>
      <c r="N1755" s="113" t="s">
        <v>1113</v>
      </c>
      <c r="O1755" s="113"/>
      <c r="P1755" s="113"/>
      <c r="Q1755" s="113"/>
      <c r="R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319" t="s">
        <v>1113</v>
      </c>
      <c r="AL1755" s="113"/>
      <c r="AM1755" s="113"/>
      <c r="AN1755" s="113"/>
      <c r="AO1755" s="44" t="s">
        <v>2334</v>
      </c>
      <c r="AP1755" s="43"/>
      <c r="AQ1755" s="236" t="str">
        <f>VLOOKUP(Table8[[#This Row],[Instrument]],Def_Targets!$D$73:$E$159,2,FALSE)</f>
        <v>I_Emobility</v>
      </c>
      <c r="AR1755" s="233" t="str">
        <f>VLOOKUP(Table8[[#This Row],[Country Code]],Table29[],3,FALSE)</f>
        <v>Annex I</v>
      </c>
      <c r="AS1755" s="233" t="str">
        <f>VLOOKUP(Table8[[#This Row],[Country Code]],Table29[],4,FALSE)</f>
        <v>Europe</v>
      </c>
      <c r="AT1755" s="233" t="str">
        <f>VLOOKUP(Table8[[#This Row],[Country Code]],Table29[],5,FALSE)</f>
        <v>High-income</v>
      </c>
      <c r="AU1755" s="233" t="str">
        <f>VLOOKUP(Table8[[#This Row],[Country Code]],Table29[],6,FALSE)</f>
        <v>no</v>
      </c>
      <c r="AV1755" s="233" t="str">
        <f>VLOOKUP(Table8[[#This Row],[Country Code]],Table29[],7,FALSE)</f>
        <v>no</v>
      </c>
      <c r="AW1755" s="233" t="str">
        <f>VLOOKUP(Table8[[#This Row],[Country Code]],Table29[],8,FALSE)</f>
        <v>OECD</v>
      </c>
      <c r="AX1755" s="233" t="str">
        <f>VLOOKUP(Table8[[#This Row],[Country Code]],Table29[],9,FALSE)</f>
        <v>no</v>
      </c>
      <c r="AY1755" s="233" t="str">
        <f>VLOOKUP(Table8[[#This Row],[Country Code]],Table29[],10,FALSE)</f>
        <v>no</v>
      </c>
      <c r="AZ1755" s="235">
        <f>VLOOKUP(Table8[[#This Row],[Country Code]],Table29[],23,FALSE)</f>
        <v>56.717099715738001</v>
      </c>
      <c r="BA1755" s="235">
        <f>VLOOKUP(Table8[[#This Row],[Country Code]],Table29[],24,FALSE)</f>
        <v>13.64916488890823</v>
      </c>
      <c r="BB1755" s="320"/>
      <c r="BC1755" s="320"/>
    </row>
    <row r="1756" spans="1:55" ht="45" hidden="1" x14ac:dyDescent="0.25">
      <c r="A1756" s="360">
        <v>17687</v>
      </c>
      <c r="B1756" s="233" t="str">
        <f>VLOOKUP(Table8[[#This Row],[Document ID]],Table1[],2,FALSE)</f>
        <v>NOR</v>
      </c>
      <c r="C1756" s="233" t="str">
        <f>VLOOKUP(Table8[[#This Row],[Document ID]],Table1[],3,FALSE)</f>
        <v>Norway</v>
      </c>
      <c r="D1756" s="233" t="str">
        <f>VLOOKUP(Table8[[#This Row],[Document ID]],Table1[],5,FALSE)</f>
        <v>LTS</v>
      </c>
      <c r="E1756" s="233" t="str">
        <f>VLOOKUP(Table8[[#This Row],[Document ID]],Table1[],7,FALSE)</f>
        <v>LTS</v>
      </c>
      <c r="F1756" s="233" t="str">
        <f>VLOOKUP(Table8[[#This Row],[Document ID]],Table1[],8,FALSE)</f>
        <v>LTS 1.0</v>
      </c>
      <c r="G1756" s="233" t="str">
        <f>VLOOKUP(Table8[[#This Row],[Document ID]],Table1[],10,FALSE)</f>
        <v>Active</v>
      </c>
      <c r="H1756" s="44" t="s">
        <v>2329</v>
      </c>
      <c r="I1756" s="44" t="s">
        <v>2330</v>
      </c>
      <c r="J1756" s="44" t="s">
        <v>2391</v>
      </c>
      <c r="K1756" s="44" t="s">
        <v>3957</v>
      </c>
      <c r="L1756" s="44" t="s">
        <v>2333</v>
      </c>
      <c r="M1756" s="43">
        <v>8</v>
      </c>
      <c r="N1756" s="113" t="s">
        <v>1113</v>
      </c>
      <c r="O1756" s="113"/>
      <c r="P1756" s="113"/>
      <c r="Q1756" s="113"/>
      <c r="R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319" t="s">
        <v>1113</v>
      </c>
      <c r="AL1756" s="113"/>
      <c r="AM1756" s="113"/>
      <c r="AN1756" s="113"/>
      <c r="AO1756" s="44" t="s">
        <v>2334</v>
      </c>
      <c r="AP1756" s="43"/>
      <c r="AQ1756" s="236" t="str">
        <f>VLOOKUP(Table8[[#This Row],[Instrument]],Def_Targets!$D$73:$E$159,2,FALSE)</f>
        <v>I_Hydrogen</v>
      </c>
      <c r="AR1756" s="233" t="str">
        <f>VLOOKUP(Table8[[#This Row],[Country Code]],Table29[],3,FALSE)</f>
        <v>Annex I</v>
      </c>
      <c r="AS1756" s="233" t="str">
        <f>VLOOKUP(Table8[[#This Row],[Country Code]],Table29[],4,FALSE)</f>
        <v>Europe</v>
      </c>
      <c r="AT1756" s="233" t="str">
        <f>VLOOKUP(Table8[[#This Row],[Country Code]],Table29[],5,FALSE)</f>
        <v>High-income</v>
      </c>
      <c r="AU1756" s="233" t="str">
        <f>VLOOKUP(Table8[[#This Row],[Country Code]],Table29[],6,FALSE)</f>
        <v>no</v>
      </c>
      <c r="AV1756" s="233" t="str">
        <f>VLOOKUP(Table8[[#This Row],[Country Code]],Table29[],7,FALSE)</f>
        <v>no</v>
      </c>
      <c r="AW1756" s="233" t="str">
        <f>VLOOKUP(Table8[[#This Row],[Country Code]],Table29[],8,FALSE)</f>
        <v>OECD</v>
      </c>
      <c r="AX1756" s="233" t="str">
        <f>VLOOKUP(Table8[[#This Row],[Country Code]],Table29[],9,FALSE)</f>
        <v>no</v>
      </c>
      <c r="AY1756" s="233" t="str">
        <f>VLOOKUP(Table8[[#This Row],[Country Code]],Table29[],10,FALSE)</f>
        <v>no</v>
      </c>
      <c r="AZ1756" s="235">
        <f>VLOOKUP(Table8[[#This Row],[Country Code]],Table29[],23,FALSE)</f>
        <v>56.717099715738001</v>
      </c>
      <c r="BA1756" s="235">
        <f>VLOOKUP(Table8[[#This Row],[Country Code]],Table29[],24,FALSE)</f>
        <v>13.64916488890823</v>
      </c>
      <c r="BB1756" s="320"/>
      <c r="BC1756" s="320"/>
    </row>
    <row r="1757" spans="1:55" ht="30" hidden="1" x14ac:dyDescent="0.25">
      <c r="A1757" s="360">
        <v>17687</v>
      </c>
      <c r="B1757" s="233" t="str">
        <f>VLOOKUP(Table8[[#This Row],[Document ID]],Table1[],2,FALSE)</f>
        <v>NOR</v>
      </c>
      <c r="C1757" s="233" t="str">
        <f>VLOOKUP(Table8[[#This Row],[Document ID]],Table1[],3,FALSE)</f>
        <v>Norway</v>
      </c>
      <c r="D1757" s="233" t="str">
        <f>VLOOKUP(Table8[[#This Row],[Document ID]],Table1[],5,FALSE)</f>
        <v>LTS</v>
      </c>
      <c r="E1757" s="233" t="str">
        <f>VLOOKUP(Table8[[#This Row],[Document ID]],Table1[],7,FALSE)</f>
        <v>LTS</v>
      </c>
      <c r="F1757" s="233" t="str">
        <f>VLOOKUP(Table8[[#This Row],[Document ID]],Table1[],8,FALSE)</f>
        <v>LTS 1.0</v>
      </c>
      <c r="G1757" s="233" t="str">
        <f>VLOOKUP(Table8[[#This Row],[Document ID]],Table1[],10,FALSE)</f>
        <v>Active</v>
      </c>
      <c r="H1757" s="43" t="s">
        <v>2350</v>
      </c>
      <c r="I1757" s="43" t="s">
        <v>2370</v>
      </c>
      <c r="J1757" s="44" t="s">
        <v>2418</v>
      </c>
      <c r="K1757" s="44" t="s">
        <v>3958</v>
      </c>
      <c r="L1757" s="44" t="s">
        <v>2396</v>
      </c>
      <c r="M1757" s="43">
        <v>8</v>
      </c>
      <c r="N1757" s="113"/>
      <c r="O1757" s="113"/>
      <c r="P1757" s="113"/>
      <c r="Q1757" s="113" t="s">
        <v>1113</v>
      </c>
      <c r="R1757" s="113" t="s">
        <v>1113</v>
      </c>
      <c r="S1757" s="113"/>
      <c r="T1757" s="113"/>
      <c r="U1757" s="113"/>
      <c r="V1757" s="113"/>
      <c r="W1757" s="113"/>
      <c r="X1757" s="113" t="s">
        <v>1113</v>
      </c>
      <c r="Y1757" s="113" t="s">
        <v>1113</v>
      </c>
      <c r="Z1757" s="113"/>
      <c r="AA1757" s="113"/>
      <c r="AB1757" s="113"/>
      <c r="AC1757" s="113" t="s">
        <v>1113</v>
      </c>
      <c r="AD1757" s="113"/>
      <c r="AE1757" s="113"/>
      <c r="AF1757" s="113"/>
      <c r="AG1757" s="113"/>
      <c r="AH1757" s="113"/>
      <c r="AI1757" s="113"/>
      <c r="AJ1757" s="113"/>
      <c r="AK1757" s="319" t="s">
        <v>1113</v>
      </c>
      <c r="AL1757" s="113"/>
      <c r="AM1757" s="113"/>
      <c r="AN1757" s="113"/>
      <c r="AO1757" s="44" t="s">
        <v>2334</v>
      </c>
      <c r="AP1757" s="43"/>
      <c r="AQ1757" s="236" t="str">
        <f>VLOOKUP(Table8[[#This Row],[Instrument]],Def_Targets!$D$73:$E$159,2,FALSE)</f>
        <v>A_Complan</v>
      </c>
      <c r="AR1757" s="233" t="str">
        <f>VLOOKUP(Table8[[#This Row],[Country Code]],Table29[],3,FALSE)</f>
        <v>Annex I</v>
      </c>
      <c r="AS1757" s="233" t="str">
        <f>VLOOKUP(Table8[[#This Row],[Country Code]],Table29[],4,FALSE)</f>
        <v>Europe</v>
      </c>
      <c r="AT1757" s="233" t="str">
        <f>VLOOKUP(Table8[[#This Row],[Country Code]],Table29[],5,FALSE)</f>
        <v>High-income</v>
      </c>
      <c r="AU1757" s="233" t="str">
        <f>VLOOKUP(Table8[[#This Row],[Country Code]],Table29[],6,FALSE)</f>
        <v>no</v>
      </c>
      <c r="AV1757" s="233" t="str">
        <f>VLOOKUP(Table8[[#This Row],[Country Code]],Table29[],7,FALSE)</f>
        <v>no</v>
      </c>
      <c r="AW1757" s="233" t="str">
        <f>VLOOKUP(Table8[[#This Row],[Country Code]],Table29[],8,FALSE)</f>
        <v>OECD</v>
      </c>
      <c r="AX1757" s="233" t="str">
        <f>VLOOKUP(Table8[[#This Row],[Country Code]],Table29[],9,FALSE)</f>
        <v>no</v>
      </c>
      <c r="AY1757" s="233" t="str">
        <f>VLOOKUP(Table8[[#This Row],[Country Code]],Table29[],10,FALSE)</f>
        <v>no</v>
      </c>
      <c r="AZ1757" s="235">
        <f>VLOOKUP(Table8[[#This Row],[Country Code]],Table29[],23,FALSE)</f>
        <v>56.717099715738001</v>
      </c>
      <c r="BA1757" s="235">
        <f>VLOOKUP(Table8[[#This Row],[Country Code]],Table29[],24,FALSE)</f>
        <v>13.64916488890823</v>
      </c>
      <c r="BB1757" s="320"/>
      <c r="BC1757" s="320"/>
    </row>
    <row r="1758" spans="1:55" ht="30" hidden="1" x14ac:dyDescent="0.25">
      <c r="A1758" s="360">
        <v>17687</v>
      </c>
      <c r="B1758" s="233" t="str">
        <f>VLOOKUP(Table8[[#This Row],[Document ID]],Table1[],2,FALSE)</f>
        <v>NOR</v>
      </c>
      <c r="C1758" s="233" t="str">
        <f>VLOOKUP(Table8[[#This Row],[Document ID]],Table1[],3,FALSE)</f>
        <v>Norway</v>
      </c>
      <c r="D1758" s="233" t="str">
        <f>VLOOKUP(Table8[[#This Row],[Document ID]],Table1[],5,FALSE)</f>
        <v>LTS</v>
      </c>
      <c r="E1758" s="233" t="str">
        <f>VLOOKUP(Table8[[#This Row],[Document ID]],Table1[],7,FALSE)</f>
        <v>LTS</v>
      </c>
      <c r="F1758" s="233" t="str">
        <f>VLOOKUP(Table8[[#This Row],[Document ID]],Table1[],8,FALSE)</f>
        <v>LTS 1.0</v>
      </c>
      <c r="G1758" s="233" t="str">
        <f>VLOOKUP(Table8[[#This Row],[Document ID]],Table1[],10,FALSE)</f>
        <v>Active</v>
      </c>
      <c r="H1758" s="43" t="s">
        <v>2350</v>
      </c>
      <c r="I1758" s="43" t="s">
        <v>2351</v>
      </c>
      <c r="J1758" s="44" t="s">
        <v>2447</v>
      </c>
      <c r="K1758" s="44" t="s">
        <v>3958</v>
      </c>
      <c r="L1758" s="44" t="s">
        <v>2333</v>
      </c>
      <c r="M1758" s="43">
        <v>8</v>
      </c>
      <c r="N1758" s="113" t="s">
        <v>1113</v>
      </c>
      <c r="O1758" s="113"/>
      <c r="P1758" s="113"/>
      <c r="Q1758" s="113"/>
      <c r="R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319" t="s">
        <v>1113</v>
      </c>
      <c r="AL1758" s="113"/>
      <c r="AM1758" s="113"/>
      <c r="AN1758" s="113"/>
      <c r="AO1758" s="43" t="s">
        <v>2353</v>
      </c>
      <c r="AP1758" s="43"/>
      <c r="AQ1758" s="236" t="str">
        <f>VLOOKUP(Table8[[#This Row],[Instrument]],Def_Targets!$D$73:$E$159,2,FALSE)</f>
        <v>I_Freighteff</v>
      </c>
      <c r="AR1758" s="233" t="str">
        <f>VLOOKUP(Table8[[#This Row],[Country Code]],Table29[],3,FALSE)</f>
        <v>Annex I</v>
      </c>
      <c r="AS1758" s="233" t="str">
        <f>VLOOKUP(Table8[[#This Row],[Country Code]],Table29[],4,FALSE)</f>
        <v>Europe</v>
      </c>
      <c r="AT1758" s="233" t="str">
        <f>VLOOKUP(Table8[[#This Row],[Country Code]],Table29[],5,FALSE)</f>
        <v>High-income</v>
      </c>
      <c r="AU1758" s="233" t="str">
        <f>VLOOKUP(Table8[[#This Row],[Country Code]],Table29[],6,FALSE)</f>
        <v>no</v>
      </c>
      <c r="AV1758" s="233" t="str">
        <f>VLOOKUP(Table8[[#This Row],[Country Code]],Table29[],7,FALSE)</f>
        <v>no</v>
      </c>
      <c r="AW1758" s="233" t="str">
        <f>VLOOKUP(Table8[[#This Row],[Country Code]],Table29[],8,FALSE)</f>
        <v>OECD</v>
      </c>
      <c r="AX1758" s="233" t="str">
        <f>VLOOKUP(Table8[[#This Row],[Country Code]],Table29[],9,FALSE)</f>
        <v>no</v>
      </c>
      <c r="AY1758" s="233" t="str">
        <f>VLOOKUP(Table8[[#This Row],[Country Code]],Table29[],10,FALSE)</f>
        <v>no</v>
      </c>
      <c r="AZ1758" s="235">
        <f>VLOOKUP(Table8[[#This Row],[Country Code]],Table29[],23,FALSE)</f>
        <v>56.717099715738001</v>
      </c>
      <c r="BA1758" s="235">
        <f>VLOOKUP(Table8[[#This Row],[Country Code]],Table29[],24,FALSE)</f>
        <v>13.64916488890823</v>
      </c>
      <c r="BB1758" s="320"/>
      <c r="BC1758" s="320"/>
    </row>
    <row r="1759" spans="1:55" ht="30" hidden="1" x14ac:dyDescent="0.25">
      <c r="A1759" s="360">
        <v>17687</v>
      </c>
      <c r="B1759" s="233" t="str">
        <f>VLOOKUP(Table8[[#This Row],[Document ID]],Table1[],2,FALSE)</f>
        <v>NOR</v>
      </c>
      <c r="C1759" s="233" t="str">
        <f>VLOOKUP(Table8[[#This Row],[Document ID]],Table1[],3,FALSE)</f>
        <v>Norway</v>
      </c>
      <c r="D1759" s="233" t="str">
        <f>VLOOKUP(Table8[[#This Row],[Document ID]],Table1[],5,FALSE)</f>
        <v>LTS</v>
      </c>
      <c r="E1759" s="233" t="str">
        <f>VLOOKUP(Table8[[#This Row],[Document ID]],Table1[],7,FALSE)</f>
        <v>LTS</v>
      </c>
      <c r="F1759" s="233" t="str">
        <f>VLOOKUP(Table8[[#This Row],[Document ID]],Table1[],8,FALSE)</f>
        <v>LTS 1.0</v>
      </c>
      <c r="G1759" s="233" t="str">
        <f>VLOOKUP(Table8[[#This Row],[Document ID]],Table1[],10,FALSE)</f>
        <v>Active</v>
      </c>
      <c r="H1759" s="43" t="s">
        <v>2343</v>
      </c>
      <c r="I1759" s="43" t="s">
        <v>2344</v>
      </c>
      <c r="J1759" s="44" t="s">
        <v>2345</v>
      </c>
      <c r="K1759" s="44" t="s">
        <v>3958</v>
      </c>
      <c r="L1759" s="44" t="s">
        <v>2347</v>
      </c>
      <c r="M1759" s="43">
        <v>8</v>
      </c>
      <c r="N1759" s="113" t="s">
        <v>1113</v>
      </c>
      <c r="O1759" s="113"/>
      <c r="P1759" s="113"/>
      <c r="Q1759" s="113"/>
      <c r="R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319" t="s">
        <v>1113</v>
      </c>
      <c r="AL1759" s="113"/>
      <c r="AM1759" s="113"/>
      <c r="AN1759" s="113"/>
      <c r="AO1759" s="43" t="s">
        <v>2348</v>
      </c>
      <c r="AP1759" s="43"/>
      <c r="AQ1759" s="236" t="str">
        <f>VLOOKUP(Table8[[#This Row],[Instrument]],Def_Targets!$D$73:$E$159,2,FALSE)</f>
        <v>S_PublicTransport</v>
      </c>
      <c r="AR1759" s="233" t="str">
        <f>VLOOKUP(Table8[[#This Row],[Country Code]],Table29[],3,FALSE)</f>
        <v>Annex I</v>
      </c>
      <c r="AS1759" s="233" t="str">
        <f>VLOOKUP(Table8[[#This Row],[Country Code]],Table29[],4,FALSE)</f>
        <v>Europe</v>
      </c>
      <c r="AT1759" s="233" t="str">
        <f>VLOOKUP(Table8[[#This Row],[Country Code]],Table29[],5,FALSE)</f>
        <v>High-income</v>
      </c>
      <c r="AU1759" s="233" t="str">
        <f>VLOOKUP(Table8[[#This Row],[Country Code]],Table29[],6,FALSE)</f>
        <v>no</v>
      </c>
      <c r="AV1759" s="233" t="str">
        <f>VLOOKUP(Table8[[#This Row],[Country Code]],Table29[],7,FALSE)</f>
        <v>no</v>
      </c>
      <c r="AW1759" s="233" t="str">
        <f>VLOOKUP(Table8[[#This Row],[Country Code]],Table29[],8,FALSE)</f>
        <v>OECD</v>
      </c>
      <c r="AX1759" s="233" t="str">
        <f>VLOOKUP(Table8[[#This Row],[Country Code]],Table29[],9,FALSE)</f>
        <v>no</v>
      </c>
      <c r="AY1759" s="233" t="str">
        <f>VLOOKUP(Table8[[#This Row],[Country Code]],Table29[],10,FALSE)</f>
        <v>no</v>
      </c>
      <c r="AZ1759" s="235">
        <f>VLOOKUP(Table8[[#This Row],[Country Code]],Table29[],23,FALSE)</f>
        <v>56.717099715738001</v>
      </c>
      <c r="BA1759" s="235">
        <f>VLOOKUP(Table8[[#This Row],[Country Code]],Table29[],24,FALSE)</f>
        <v>13.64916488890823</v>
      </c>
      <c r="BB1759" s="320"/>
      <c r="BC1759" s="320"/>
    </row>
    <row r="1760" spans="1:55" ht="30" hidden="1" x14ac:dyDescent="0.25">
      <c r="A1760" s="360">
        <v>17687</v>
      </c>
      <c r="B1760" s="233" t="str">
        <f>VLOOKUP(Table8[[#This Row],[Document ID]],Table1[],2,FALSE)</f>
        <v>NOR</v>
      </c>
      <c r="C1760" s="233" t="str">
        <f>VLOOKUP(Table8[[#This Row],[Document ID]],Table1[],3,FALSE)</f>
        <v>Norway</v>
      </c>
      <c r="D1760" s="233" t="str">
        <f>VLOOKUP(Table8[[#This Row],[Document ID]],Table1[],5,FALSE)</f>
        <v>LTS</v>
      </c>
      <c r="E1760" s="233" t="str">
        <f>VLOOKUP(Table8[[#This Row],[Document ID]],Table1[],7,FALSE)</f>
        <v>LTS</v>
      </c>
      <c r="F1760" s="233" t="str">
        <f>VLOOKUP(Table8[[#This Row],[Document ID]],Table1[],8,FALSE)</f>
        <v>LTS 1.0</v>
      </c>
      <c r="G1760" s="233" t="str">
        <f>VLOOKUP(Table8[[#This Row],[Document ID]],Table1[],10,FALSE)</f>
        <v>Active</v>
      </c>
      <c r="H1760" s="43" t="s">
        <v>2343</v>
      </c>
      <c r="I1760" s="43" t="s">
        <v>2361</v>
      </c>
      <c r="J1760" s="44" t="s">
        <v>2463</v>
      </c>
      <c r="K1760" s="44" t="s">
        <v>3958</v>
      </c>
      <c r="L1760" s="44" t="s">
        <v>2347</v>
      </c>
      <c r="M1760" s="43">
        <v>8</v>
      </c>
      <c r="N1760" s="113"/>
      <c r="O1760" s="113"/>
      <c r="P1760" s="113"/>
      <c r="Q1760" s="113" t="s">
        <v>1113</v>
      </c>
      <c r="R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319" t="s">
        <v>1113</v>
      </c>
      <c r="AL1760" s="113"/>
      <c r="AM1760" s="113"/>
      <c r="AN1760" s="113"/>
      <c r="AO1760" s="44" t="s">
        <v>2334</v>
      </c>
      <c r="AP1760" s="43"/>
      <c r="AQ1760" s="236" t="str">
        <f>VLOOKUP(Table8[[#This Row],[Instrument]],Def_Targets!$D$73:$E$159,2,FALSE)</f>
        <v>S_Walking</v>
      </c>
      <c r="AR1760" s="233" t="str">
        <f>VLOOKUP(Table8[[#This Row],[Country Code]],Table29[],3,FALSE)</f>
        <v>Annex I</v>
      </c>
      <c r="AS1760" s="233" t="str">
        <f>VLOOKUP(Table8[[#This Row],[Country Code]],Table29[],4,FALSE)</f>
        <v>Europe</v>
      </c>
      <c r="AT1760" s="233" t="str">
        <f>VLOOKUP(Table8[[#This Row],[Country Code]],Table29[],5,FALSE)</f>
        <v>High-income</v>
      </c>
      <c r="AU1760" s="233" t="str">
        <f>VLOOKUP(Table8[[#This Row],[Country Code]],Table29[],6,FALSE)</f>
        <v>no</v>
      </c>
      <c r="AV1760" s="233" t="str">
        <f>VLOOKUP(Table8[[#This Row],[Country Code]],Table29[],7,FALSE)</f>
        <v>no</v>
      </c>
      <c r="AW1760" s="233" t="str">
        <f>VLOOKUP(Table8[[#This Row],[Country Code]],Table29[],8,FALSE)</f>
        <v>OECD</v>
      </c>
      <c r="AX1760" s="233" t="str">
        <f>VLOOKUP(Table8[[#This Row],[Country Code]],Table29[],9,FALSE)</f>
        <v>no</v>
      </c>
      <c r="AY1760" s="233" t="str">
        <f>VLOOKUP(Table8[[#This Row],[Country Code]],Table29[],10,FALSE)</f>
        <v>no</v>
      </c>
      <c r="AZ1760" s="235">
        <f>VLOOKUP(Table8[[#This Row],[Country Code]],Table29[],23,FALSE)</f>
        <v>56.717099715738001</v>
      </c>
      <c r="BA1760" s="235">
        <f>VLOOKUP(Table8[[#This Row],[Country Code]],Table29[],24,FALSE)</f>
        <v>13.64916488890823</v>
      </c>
      <c r="BB1760" s="320"/>
      <c r="BC1760" s="320"/>
    </row>
    <row r="1761" spans="1:55" ht="30" hidden="1" x14ac:dyDescent="0.25">
      <c r="A1761" s="360">
        <v>17687</v>
      </c>
      <c r="B1761" s="233" t="str">
        <f>VLOOKUP(Table8[[#This Row],[Document ID]],Table1[],2,FALSE)</f>
        <v>NOR</v>
      </c>
      <c r="C1761" s="233" t="str">
        <f>VLOOKUP(Table8[[#This Row],[Document ID]],Table1[],3,FALSE)</f>
        <v>Norway</v>
      </c>
      <c r="D1761" s="233" t="str">
        <f>VLOOKUP(Table8[[#This Row],[Document ID]],Table1[],5,FALSE)</f>
        <v>LTS</v>
      </c>
      <c r="E1761" s="233" t="str">
        <f>VLOOKUP(Table8[[#This Row],[Document ID]],Table1[],7,FALSE)</f>
        <v>LTS</v>
      </c>
      <c r="F1761" s="233" t="str">
        <f>VLOOKUP(Table8[[#This Row],[Document ID]],Table1[],8,FALSE)</f>
        <v>LTS 1.0</v>
      </c>
      <c r="G1761" s="233" t="str">
        <f>VLOOKUP(Table8[[#This Row],[Document ID]],Table1[],10,FALSE)</f>
        <v>Active</v>
      </c>
      <c r="H1761" s="43" t="s">
        <v>2343</v>
      </c>
      <c r="I1761" s="43" t="s">
        <v>2361</v>
      </c>
      <c r="J1761" s="44" t="s">
        <v>2362</v>
      </c>
      <c r="K1761" s="44" t="s">
        <v>3958</v>
      </c>
      <c r="L1761" s="44" t="s">
        <v>2347</v>
      </c>
      <c r="M1761" s="43">
        <v>8</v>
      </c>
      <c r="N1761" s="113"/>
      <c r="O1761" s="113"/>
      <c r="P1761" s="113"/>
      <c r="Q1761" s="113"/>
      <c r="R1761" s="113" t="s">
        <v>1113</v>
      </c>
      <c r="S1761" s="113"/>
      <c r="T1761" s="113"/>
      <c r="U1761" s="113"/>
      <c r="V1761" s="113"/>
      <c r="W1761" s="113"/>
      <c r="X1761" s="113"/>
      <c r="Y1761" s="113"/>
      <c r="Z1761" s="113"/>
      <c r="AA1761" s="113"/>
      <c r="AB1761" s="113"/>
      <c r="AC1761" s="113"/>
      <c r="AD1761" s="113"/>
      <c r="AE1761" s="113"/>
      <c r="AF1761" s="113"/>
      <c r="AG1761" s="113"/>
      <c r="AH1761" s="113"/>
      <c r="AI1761" s="113"/>
      <c r="AJ1761" s="113"/>
      <c r="AK1761" s="319" t="s">
        <v>1113</v>
      </c>
      <c r="AL1761" s="113"/>
      <c r="AM1761" s="113"/>
      <c r="AN1761" s="113"/>
      <c r="AO1761" s="44" t="s">
        <v>2334</v>
      </c>
      <c r="AP1761" s="43"/>
      <c r="AQ1761" s="236" t="str">
        <f>VLOOKUP(Table8[[#This Row],[Instrument]],Def_Targets!$D$73:$E$159,2,FALSE)</f>
        <v>S_Cycling</v>
      </c>
      <c r="AR1761" s="233" t="str">
        <f>VLOOKUP(Table8[[#This Row],[Country Code]],Table29[],3,FALSE)</f>
        <v>Annex I</v>
      </c>
      <c r="AS1761" s="233" t="str">
        <f>VLOOKUP(Table8[[#This Row],[Country Code]],Table29[],4,FALSE)</f>
        <v>Europe</v>
      </c>
      <c r="AT1761" s="233" t="str">
        <f>VLOOKUP(Table8[[#This Row],[Country Code]],Table29[],5,FALSE)</f>
        <v>High-income</v>
      </c>
      <c r="AU1761" s="233" t="str">
        <f>VLOOKUP(Table8[[#This Row],[Country Code]],Table29[],6,FALSE)</f>
        <v>no</v>
      </c>
      <c r="AV1761" s="233" t="str">
        <f>VLOOKUP(Table8[[#This Row],[Country Code]],Table29[],7,FALSE)</f>
        <v>no</v>
      </c>
      <c r="AW1761" s="233" t="str">
        <f>VLOOKUP(Table8[[#This Row],[Country Code]],Table29[],8,FALSE)</f>
        <v>OECD</v>
      </c>
      <c r="AX1761" s="233" t="str">
        <f>VLOOKUP(Table8[[#This Row],[Country Code]],Table29[],9,FALSE)</f>
        <v>no</v>
      </c>
      <c r="AY1761" s="233" t="str">
        <f>VLOOKUP(Table8[[#This Row],[Country Code]],Table29[],10,FALSE)</f>
        <v>no</v>
      </c>
      <c r="AZ1761" s="235">
        <f>VLOOKUP(Table8[[#This Row],[Country Code]],Table29[],23,FALSE)</f>
        <v>56.717099715738001</v>
      </c>
      <c r="BA1761" s="235">
        <f>VLOOKUP(Table8[[#This Row],[Country Code]],Table29[],24,FALSE)</f>
        <v>13.64916488890823</v>
      </c>
      <c r="BB1761" s="320"/>
      <c r="BC1761" s="320"/>
    </row>
    <row r="1762" spans="1:55" ht="30" hidden="1" x14ac:dyDescent="0.25">
      <c r="A1762" s="360">
        <v>17687</v>
      </c>
      <c r="B1762" s="233" t="str">
        <f>VLOOKUP(Table8[[#This Row],[Document ID]],Table1[],2,FALSE)</f>
        <v>NOR</v>
      </c>
      <c r="C1762" s="233" t="str">
        <f>VLOOKUP(Table8[[#This Row],[Document ID]],Table1[],3,FALSE)</f>
        <v>Norway</v>
      </c>
      <c r="D1762" s="233" t="str">
        <f>VLOOKUP(Table8[[#This Row],[Document ID]],Table1[],5,FALSE)</f>
        <v>LTS</v>
      </c>
      <c r="E1762" s="233" t="str">
        <f>VLOOKUP(Table8[[#This Row],[Document ID]],Table1[],7,FALSE)</f>
        <v>LTS</v>
      </c>
      <c r="F1762" s="233" t="str">
        <f>VLOOKUP(Table8[[#This Row],[Document ID]],Table1[],8,FALSE)</f>
        <v>LTS 1.0</v>
      </c>
      <c r="G1762" s="233" t="str">
        <f>VLOOKUP(Table8[[#This Row],[Document ID]],Table1[],10,FALSE)</f>
        <v>Active</v>
      </c>
      <c r="H1762" s="43" t="s">
        <v>2343</v>
      </c>
      <c r="I1762" s="43" t="s">
        <v>2429</v>
      </c>
      <c r="J1762" s="44" t="s">
        <v>2472</v>
      </c>
      <c r="K1762" s="44" t="s">
        <v>3958</v>
      </c>
      <c r="L1762" s="44" t="s">
        <v>2373</v>
      </c>
      <c r="M1762" s="43"/>
      <c r="N1762" s="113" t="s">
        <v>1113</v>
      </c>
      <c r="O1762" s="113"/>
      <c r="P1762" s="113"/>
      <c r="Q1762" s="113"/>
      <c r="R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319" t="s">
        <v>1113</v>
      </c>
      <c r="AL1762" s="113"/>
      <c r="AM1762" s="113"/>
      <c r="AN1762" s="113"/>
      <c r="AO1762" s="44" t="s">
        <v>2334</v>
      </c>
      <c r="AP1762" s="43"/>
      <c r="AQ1762" s="236" t="str">
        <f>VLOOKUP(Table8[[#This Row],[Instrument]],Def_Targets!$D$73:$E$159,2,FALSE)</f>
        <v>I_Other</v>
      </c>
      <c r="AR1762" s="233" t="str">
        <f>VLOOKUP(Table8[[#This Row],[Country Code]],Table29[],3,FALSE)</f>
        <v>Annex I</v>
      </c>
      <c r="AS1762" s="233" t="str">
        <f>VLOOKUP(Table8[[#This Row],[Country Code]],Table29[],4,FALSE)</f>
        <v>Europe</v>
      </c>
      <c r="AT1762" s="233" t="str">
        <f>VLOOKUP(Table8[[#This Row],[Country Code]],Table29[],5,FALSE)</f>
        <v>High-income</v>
      </c>
      <c r="AU1762" s="233" t="str">
        <f>VLOOKUP(Table8[[#This Row],[Country Code]],Table29[],6,FALSE)</f>
        <v>no</v>
      </c>
      <c r="AV1762" s="233" t="str">
        <f>VLOOKUP(Table8[[#This Row],[Country Code]],Table29[],7,FALSE)</f>
        <v>no</v>
      </c>
      <c r="AW1762" s="233" t="str">
        <f>VLOOKUP(Table8[[#This Row],[Country Code]],Table29[],8,FALSE)</f>
        <v>OECD</v>
      </c>
      <c r="AX1762" s="233" t="str">
        <f>VLOOKUP(Table8[[#This Row],[Country Code]],Table29[],9,FALSE)</f>
        <v>no</v>
      </c>
      <c r="AY1762" s="233" t="str">
        <f>VLOOKUP(Table8[[#This Row],[Country Code]],Table29[],10,FALSE)</f>
        <v>no</v>
      </c>
      <c r="AZ1762" s="235">
        <f>VLOOKUP(Table8[[#This Row],[Country Code]],Table29[],23,FALSE)</f>
        <v>56.717099715738001</v>
      </c>
      <c r="BA1762" s="235">
        <f>VLOOKUP(Table8[[#This Row],[Country Code]],Table29[],24,FALSE)</f>
        <v>13.64916488890823</v>
      </c>
      <c r="BB1762" s="320"/>
      <c r="BC1762" s="320"/>
    </row>
    <row r="1763" spans="1:55" s="17" customFormat="1" ht="45" hidden="1" x14ac:dyDescent="0.25">
      <c r="A1763" s="360">
        <v>17687</v>
      </c>
      <c r="B1763" s="233" t="str">
        <f>VLOOKUP(Table8[[#This Row],[Document ID]],Table1[],2,FALSE)</f>
        <v>NOR</v>
      </c>
      <c r="C1763" s="233" t="str">
        <f>VLOOKUP(Table8[[#This Row],[Document ID]],Table1[],3,FALSE)</f>
        <v>Norway</v>
      </c>
      <c r="D1763" s="233" t="str">
        <f>VLOOKUP(Table8[[#This Row],[Document ID]],Table1[],5,FALSE)</f>
        <v>LTS</v>
      </c>
      <c r="E1763" s="233" t="str">
        <f>VLOOKUP(Table8[[#This Row],[Document ID]],Table1[],7,FALSE)</f>
        <v>LTS</v>
      </c>
      <c r="F1763" s="233" t="str">
        <f>VLOOKUP(Table8[[#This Row],[Document ID]],Table1[],8,FALSE)</f>
        <v>LTS 1.0</v>
      </c>
      <c r="G1763" s="233" t="str">
        <f>VLOOKUP(Table8[[#This Row],[Document ID]],Table1[],10,FALSE)</f>
        <v>Active</v>
      </c>
      <c r="H1763" s="43" t="s">
        <v>2350</v>
      </c>
      <c r="I1763" s="43" t="s">
        <v>2407</v>
      </c>
      <c r="J1763" s="44" t="s">
        <v>2408</v>
      </c>
      <c r="K1763" s="44" t="s">
        <v>3959</v>
      </c>
      <c r="L1763" s="44" t="s">
        <v>2396</v>
      </c>
      <c r="M1763" s="43">
        <v>9</v>
      </c>
      <c r="N1763" s="113" t="s">
        <v>1113</v>
      </c>
      <c r="O1763" s="113"/>
      <c r="P1763" s="113"/>
      <c r="Q1763" s="113"/>
      <c r="R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319" t="s">
        <v>1113</v>
      </c>
      <c r="AL1763" s="113"/>
      <c r="AM1763" s="113"/>
      <c r="AN1763" s="113"/>
      <c r="AO1763" s="44" t="s">
        <v>2334</v>
      </c>
      <c r="AP1763" s="43"/>
      <c r="AQ1763" s="236" t="str">
        <f>VLOOKUP(Table8[[#This Row],[Instrument]],Def_Targets!$D$73:$E$159,2,FALSE)</f>
        <v>I_Education</v>
      </c>
      <c r="AR1763" s="233" t="str">
        <f>VLOOKUP(Table8[[#This Row],[Country Code]],Table29[],3,FALSE)</f>
        <v>Annex I</v>
      </c>
      <c r="AS1763" s="233" t="str">
        <f>VLOOKUP(Table8[[#This Row],[Country Code]],Table29[],4,FALSE)</f>
        <v>Europe</v>
      </c>
      <c r="AT1763" s="233" t="str">
        <f>VLOOKUP(Table8[[#This Row],[Country Code]],Table29[],5,FALSE)</f>
        <v>High-income</v>
      </c>
      <c r="AU1763" s="233" t="str">
        <f>VLOOKUP(Table8[[#This Row],[Country Code]],Table29[],6,FALSE)</f>
        <v>no</v>
      </c>
      <c r="AV1763" s="233" t="str">
        <f>VLOOKUP(Table8[[#This Row],[Country Code]],Table29[],7,FALSE)</f>
        <v>no</v>
      </c>
      <c r="AW1763" s="233" t="str">
        <f>VLOOKUP(Table8[[#This Row],[Country Code]],Table29[],8,FALSE)</f>
        <v>OECD</v>
      </c>
      <c r="AX1763" s="233" t="str">
        <f>VLOOKUP(Table8[[#This Row],[Country Code]],Table29[],9,FALSE)</f>
        <v>no</v>
      </c>
      <c r="AY1763" s="233" t="str">
        <f>VLOOKUP(Table8[[#This Row],[Country Code]],Table29[],10,FALSE)</f>
        <v>no</v>
      </c>
      <c r="AZ1763" s="235">
        <f>VLOOKUP(Table8[[#This Row],[Country Code]],Table29[],23,FALSE)</f>
        <v>56.717099715738001</v>
      </c>
      <c r="BA1763" s="235">
        <f>VLOOKUP(Table8[[#This Row],[Country Code]],Table29[],24,FALSE)</f>
        <v>13.64916488890823</v>
      </c>
      <c r="BB1763" s="320"/>
      <c r="BC1763" s="320"/>
    </row>
    <row r="1764" spans="1:55" ht="30" hidden="1" x14ac:dyDescent="0.25">
      <c r="A1764" s="360">
        <v>17687</v>
      </c>
      <c r="B1764" s="233" t="str">
        <f>VLOOKUP(Table8[[#This Row],[Document ID]],Table1[],2,FALSE)</f>
        <v>NOR</v>
      </c>
      <c r="C1764" s="233" t="str">
        <f>VLOOKUP(Table8[[#This Row],[Document ID]],Table1[],3,FALSE)</f>
        <v>Norway</v>
      </c>
      <c r="D1764" s="233" t="str">
        <f>VLOOKUP(Table8[[#This Row],[Document ID]],Table1[],5,FALSE)</f>
        <v>LTS</v>
      </c>
      <c r="E1764" s="233" t="str">
        <f>VLOOKUP(Table8[[#This Row],[Document ID]],Table1[],7,FALSE)</f>
        <v>LTS</v>
      </c>
      <c r="F1764" s="233" t="str">
        <f>VLOOKUP(Table8[[#This Row],[Document ID]],Table1[],8,FALSE)</f>
        <v>LTS 1.0</v>
      </c>
      <c r="G1764" s="233" t="str">
        <f>VLOOKUP(Table8[[#This Row],[Document ID]],Table1[],10,FALSE)</f>
        <v>Active</v>
      </c>
      <c r="H1764" s="43" t="s">
        <v>2358</v>
      </c>
      <c r="I1764" s="43" t="s">
        <v>2359</v>
      </c>
      <c r="J1764" s="44" t="s">
        <v>2360</v>
      </c>
      <c r="K1764" s="44" t="s">
        <v>3960</v>
      </c>
      <c r="L1764" s="44" t="s">
        <v>2333</v>
      </c>
      <c r="M1764" s="43">
        <v>21</v>
      </c>
      <c r="N1764" s="113"/>
      <c r="O1764" s="113"/>
      <c r="P1764" s="113"/>
      <c r="Q1764" s="113"/>
      <c r="R1764" s="113"/>
      <c r="S1764" s="113"/>
      <c r="T1764" s="113"/>
      <c r="U1764" s="113" t="s">
        <v>1113</v>
      </c>
      <c r="V1764" s="113"/>
      <c r="W1764" s="113"/>
      <c r="X1764" s="113" t="s">
        <v>1113</v>
      </c>
      <c r="Y1764" s="113" t="s">
        <v>1113</v>
      </c>
      <c r="Z1764" s="113"/>
      <c r="AA1764" s="113"/>
      <c r="AB1764" s="113"/>
      <c r="AC1764" s="113" t="s">
        <v>1113</v>
      </c>
      <c r="AD1764" s="113"/>
      <c r="AE1764" s="113"/>
      <c r="AF1764" s="113"/>
      <c r="AG1764" s="113"/>
      <c r="AH1764" s="113"/>
      <c r="AI1764" s="113"/>
      <c r="AJ1764" s="113"/>
      <c r="AK1764" s="319" t="s">
        <v>1113</v>
      </c>
      <c r="AL1764" s="113"/>
      <c r="AM1764" s="113"/>
      <c r="AN1764" s="113"/>
      <c r="AO1764" s="43" t="s">
        <v>2477</v>
      </c>
      <c r="AP1764" s="43"/>
      <c r="AQ1764" s="236" t="str">
        <f>VLOOKUP(Table8[[#This Row],[Instrument]],Def_Targets!$D$73:$E$159,2,FALSE)</f>
        <v>I_Emobility</v>
      </c>
      <c r="AR1764" s="233" t="str">
        <f>VLOOKUP(Table8[[#This Row],[Country Code]],Table29[],3,FALSE)</f>
        <v>Annex I</v>
      </c>
      <c r="AS1764" s="233" t="str">
        <f>VLOOKUP(Table8[[#This Row],[Country Code]],Table29[],4,FALSE)</f>
        <v>Europe</v>
      </c>
      <c r="AT1764" s="233" t="str">
        <f>VLOOKUP(Table8[[#This Row],[Country Code]],Table29[],5,FALSE)</f>
        <v>High-income</v>
      </c>
      <c r="AU1764" s="233" t="str">
        <f>VLOOKUP(Table8[[#This Row],[Country Code]],Table29[],6,FALSE)</f>
        <v>no</v>
      </c>
      <c r="AV1764" s="233" t="str">
        <f>VLOOKUP(Table8[[#This Row],[Country Code]],Table29[],7,FALSE)</f>
        <v>no</v>
      </c>
      <c r="AW1764" s="233" t="str">
        <f>VLOOKUP(Table8[[#This Row],[Country Code]],Table29[],8,FALSE)</f>
        <v>OECD</v>
      </c>
      <c r="AX1764" s="233" t="str">
        <f>VLOOKUP(Table8[[#This Row],[Country Code]],Table29[],9,FALSE)</f>
        <v>no</v>
      </c>
      <c r="AY1764" s="233" t="str">
        <f>VLOOKUP(Table8[[#This Row],[Country Code]],Table29[],10,FALSE)</f>
        <v>no</v>
      </c>
      <c r="AZ1764" s="235">
        <f>VLOOKUP(Table8[[#This Row],[Country Code]],Table29[],23,FALSE)</f>
        <v>56.717099715738001</v>
      </c>
      <c r="BA1764" s="235">
        <f>VLOOKUP(Table8[[#This Row],[Country Code]],Table29[],24,FALSE)</f>
        <v>13.64916488890823</v>
      </c>
      <c r="BB1764" s="320"/>
      <c r="BC1764" s="320"/>
    </row>
    <row r="1765" spans="1:55" ht="75" hidden="1" x14ac:dyDescent="0.25">
      <c r="A1765" s="360">
        <v>17687</v>
      </c>
      <c r="B1765" s="233" t="str">
        <f>VLOOKUP(Table8[[#This Row],[Document ID]],Table1[],2,FALSE)</f>
        <v>NOR</v>
      </c>
      <c r="C1765" s="233" t="str">
        <f>VLOOKUP(Table8[[#This Row],[Document ID]],Table1[],3,FALSE)</f>
        <v>Norway</v>
      </c>
      <c r="D1765" s="233" t="str">
        <f>VLOOKUP(Table8[[#This Row],[Document ID]],Table1[],5,FALSE)</f>
        <v>LTS</v>
      </c>
      <c r="E1765" s="233" t="str">
        <f>VLOOKUP(Table8[[#This Row],[Document ID]],Table1[],7,FALSE)</f>
        <v>LTS</v>
      </c>
      <c r="F1765" s="233" t="str">
        <f>VLOOKUP(Table8[[#This Row],[Document ID]],Table1[],8,FALSE)</f>
        <v>LTS 1.0</v>
      </c>
      <c r="G1765" s="233" t="str">
        <f>VLOOKUP(Table8[[#This Row],[Document ID]],Table1[],10,FALSE)</f>
        <v>Active</v>
      </c>
      <c r="H1765" s="43" t="s">
        <v>2343</v>
      </c>
      <c r="I1765" s="43" t="s">
        <v>2429</v>
      </c>
      <c r="J1765" s="44" t="s">
        <v>2472</v>
      </c>
      <c r="K1765" s="44" t="s">
        <v>3961</v>
      </c>
      <c r="L1765" s="44" t="s">
        <v>2373</v>
      </c>
      <c r="M1765" s="43">
        <v>21</v>
      </c>
      <c r="N1765" s="113"/>
      <c r="O1765" s="113"/>
      <c r="P1765" s="113"/>
      <c r="Q1765" s="113"/>
      <c r="R1765" s="113"/>
      <c r="S1765" s="113"/>
      <c r="T1765" s="113"/>
      <c r="U1765" s="113" t="s">
        <v>1113</v>
      </c>
      <c r="V1765" s="113"/>
      <c r="W1765" s="113"/>
      <c r="X1765" s="113" t="s">
        <v>1113</v>
      </c>
      <c r="Y1765" s="113" t="s">
        <v>1113</v>
      </c>
      <c r="Z1765" s="113"/>
      <c r="AA1765" s="113"/>
      <c r="AB1765" s="113"/>
      <c r="AC1765" s="113" t="s">
        <v>1113</v>
      </c>
      <c r="AD1765" s="113" t="s">
        <v>1113</v>
      </c>
      <c r="AE1765" s="113"/>
      <c r="AF1765" s="113"/>
      <c r="AG1765" s="113"/>
      <c r="AH1765" s="113"/>
      <c r="AI1765" s="113"/>
      <c r="AJ1765" s="113"/>
      <c r="AK1765" s="319" t="s">
        <v>1113</v>
      </c>
      <c r="AL1765" s="113"/>
      <c r="AM1765" s="113"/>
      <c r="AN1765" s="113"/>
      <c r="AO1765" s="44" t="s">
        <v>2334</v>
      </c>
      <c r="AP1765" s="43"/>
      <c r="AQ1765" s="236" t="str">
        <f>VLOOKUP(Table8[[#This Row],[Instrument]],Def_Targets!$D$73:$E$159,2,FALSE)</f>
        <v>I_Other</v>
      </c>
      <c r="AR1765" s="233" t="str">
        <f>VLOOKUP(Table8[[#This Row],[Country Code]],Table29[],3,FALSE)</f>
        <v>Annex I</v>
      </c>
      <c r="AS1765" s="233" t="str">
        <f>VLOOKUP(Table8[[#This Row],[Country Code]],Table29[],4,FALSE)</f>
        <v>Europe</v>
      </c>
      <c r="AT1765" s="233" t="str">
        <f>VLOOKUP(Table8[[#This Row],[Country Code]],Table29[],5,FALSE)</f>
        <v>High-income</v>
      </c>
      <c r="AU1765" s="233" t="str">
        <f>VLOOKUP(Table8[[#This Row],[Country Code]],Table29[],6,FALSE)</f>
        <v>no</v>
      </c>
      <c r="AV1765" s="233" t="str">
        <f>VLOOKUP(Table8[[#This Row],[Country Code]],Table29[],7,FALSE)</f>
        <v>no</v>
      </c>
      <c r="AW1765" s="233" t="str">
        <f>VLOOKUP(Table8[[#This Row],[Country Code]],Table29[],8,FALSE)</f>
        <v>OECD</v>
      </c>
      <c r="AX1765" s="233" t="str">
        <f>VLOOKUP(Table8[[#This Row],[Country Code]],Table29[],9,FALSE)</f>
        <v>no</v>
      </c>
      <c r="AY1765" s="233" t="str">
        <f>VLOOKUP(Table8[[#This Row],[Country Code]],Table29[],10,FALSE)</f>
        <v>no</v>
      </c>
      <c r="AZ1765" s="235">
        <f>VLOOKUP(Table8[[#This Row],[Country Code]],Table29[],23,FALSE)</f>
        <v>56.717099715738001</v>
      </c>
      <c r="BA1765" s="235">
        <f>VLOOKUP(Table8[[#This Row],[Country Code]],Table29[],24,FALSE)</f>
        <v>13.64916488890823</v>
      </c>
      <c r="BB1765" s="320"/>
      <c r="BC1765" s="320"/>
    </row>
    <row r="1766" spans="1:55" ht="75" hidden="1" x14ac:dyDescent="0.25">
      <c r="A1766" s="360">
        <v>17687</v>
      </c>
      <c r="B1766" s="233" t="str">
        <f>VLOOKUP(Table8[[#This Row],[Document ID]],Table1[],2,FALSE)</f>
        <v>NOR</v>
      </c>
      <c r="C1766" s="233" t="str">
        <f>VLOOKUP(Table8[[#This Row],[Document ID]],Table1[],3,FALSE)</f>
        <v>Norway</v>
      </c>
      <c r="D1766" s="233" t="str">
        <f>VLOOKUP(Table8[[#This Row],[Document ID]],Table1[],5,FALSE)</f>
        <v>LTS</v>
      </c>
      <c r="E1766" s="233" t="str">
        <f>VLOOKUP(Table8[[#This Row],[Document ID]],Table1[],7,FALSE)</f>
        <v>LTS</v>
      </c>
      <c r="F1766" s="233" t="str">
        <f>VLOOKUP(Table8[[#This Row],[Document ID]],Table1[],8,FALSE)</f>
        <v>LTS 1.0</v>
      </c>
      <c r="G1766" s="233" t="str">
        <f>VLOOKUP(Table8[[#This Row],[Document ID]],Table1[],10,FALSE)</f>
        <v>Active</v>
      </c>
      <c r="H1766" s="43" t="s">
        <v>2350</v>
      </c>
      <c r="I1766" s="43" t="s">
        <v>2370</v>
      </c>
      <c r="J1766" s="44" t="s">
        <v>2518</v>
      </c>
      <c r="K1766" s="44" t="s">
        <v>3961</v>
      </c>
      <c r="L1766" s="44" t="s">
        <v>2373</v>
      </c>
      <c r="M1766" s="43">
        <v>21</v>
      </c>
      <c r="N1766" s="113"/>
      <c r="O1766" s="113"/>
      <c r="P1766" s="113"/>
      <c r="Q1766" s="113"/>
      <c r="R1766" s="113"/>
      <c r="S1766" s="113"/>
      <c r="T1766" s="113"/>
      <c r="U1766" s="113" t="s">
        <v>1113</v>
      </c>
      <c r="V1766" s="113"/>
      <c r="W1766" s="113"/>
      <c r="X1766" s="113" t="s">
        <v>1113</v>
      </c>
      <c r="Y1766" s="113" t="s">
        <v>1113</v>
      </c>
      <c r="Z1766" s="113"/>
      <c r="AA1766" s="113"/>
      <c r="AB1766" s="113"/>
      <c r="AC1766" s="113" t="s">
        <v>1113</v>
      </c>
      <c r="AD1766" s="113" t="s">
        <v>1113</v>
      </c>
      <c r="AE1766" s="113"/>
      <c r="AF1766" s="113"/>
      <c r="AG1766" s="113"/>
      <c r="AH1766" s="113"/>
      <c r="AI1766" s="113"/>
      <c r="AJ1766" s="113"/>
      <c r="AK1766" s="319" t="s">
        <v>1113</v>
      </c>
      <c r="AL1766" s="113"/>
      <c r="AM1766" s="113"/>
      <c r="AN1766" s="113"/>
      <c r="AO1766" s="44" t="s">
        <v>2334</v>
      </c>
      <c r="AP1766" s="43"/>
      <c r="AQ1766" s="236" t="str">
        <f>VLOOKUP(Table8[[#This Row],[Instrument]],Def_Targets!$D$73:$E$159,2,FALSE)</f>
        <v>A_Mixuse</v>
      </c>
      <c r="AR1766" s="233" t="str">
        <f>VLOOKUP(Table8[[#This Row],[Country Code]],Table29[],3,FALSE)</f>
        <v>Annex I</v>
      </c>
      <c r="AS1766" s="233" t="str">
        <f>VLOOKUP(Table8[[#This Row],[Country Code]],Table29[],4,FALSE)</f>
        <v>Europe</v>
      </c>
      <c r="AT1766" s="233" t="str">
        <f>VLOOKUP(Table8[[#This Row],[Country Code]],Table29[],5,FALSE)</f>
        <v>High-income</v>
      </c>
      <c r="AU1766" s="233" t="str">
        <f>VLOOKUP(Table8[[#This Row],[Country Code]],Table29[],6,FALSE)</f>
        <v>no</v>
      </c>
      <c r="AV1766" s="233" t="str">
        <f>VLOOKUP(Table8[[#This Row],[Country Code]],Table29[],7,FALSE)</f>
        <v>no</v>
      </c>
      <c r="AW1766" s="233" t="str">
        <f>VLOOKUP(Table8[[#This Row],[Country Code]],Table29[],8,FALSE)</f>
        <v>OECD</v>
      </c>
      <c r="AX1766" s="233" t="str">
        <f>VLOOKUP(Table8[[#This Row],[Country Code]],Table29[],9,FALSE)</f>
        <v>no</v>
      </c>
      <c r="AY1766" s="233" t="str">
        <f>VLOOKUP(Table8[[#This Row],[Country Code]],Table29[],10,FALSE)</f>
        <v>no</v>
      </c>
      <c r="AZ1766" s="235">
        <f>VLOOKUP(Table8[[#This Row],[Country Code]],Table29[],23,FALSE)</f>
        <v>56.717099715738001</v>
      </c>
      <c r="BA1766" s="235">
        <f>VLOOKUP(Table8[[#This Row],[Country Code]],Table29[],24,FALSE)</f>
        <v>13.64916488890823</v>
      </c>
      <c r="BB1766" s="320"/>
      <c r="BC1766" s="320"/>
    </row>
    <row r="1767" spans="1:55" ht="75" hidden="1" x14ac:dyDescent="0.25">
      <c r="A1767" s="360">
        <v>17687</v>
      </c>
      <c r="B1767" s="233" t="str">
        <f>VLOOKUP(Table8[[#This Row],[Document ID]],Table1[],2,FALSE)</f>
        <v>NOR</v>
      </c>
      <c r="C1767" s="233" t="str">
        <f>VLOOKUP(Table8[[#This Row],[Document ID]],Table1[],3,FALSE)</f>
        <v>Norway</v>
      </c>
      <c r="D1767" s="233" t="str">
        <f>VLOOKUP(Table8[[#This Row],[Document ID]],Table1[],5,FALSE)</f>
        <v>LTS</v>
      </c>
      <c r="E1767" s="233" t="str">
        <f>VLOOKUP(Table8[[#This Row],[Document ID]],Table1[],7,FALSE)</f>
        <v>LTS</v>
      </c>
      <c r="F1767" s="233" t="str">
        <f>VLOOKUP(Table8[[#This Row],[Document ID]],Table1[],8,FALSE)</f>
        <v>LTS 1.0</v>
      </c>
      <c r="G1767" s="233" t="str">
        <f>VLOOKUP(Table8[[#This Row],[Document ID]],Table1[],10,FALSE)</f>
        <v>Active</v>
      </c>
      <c r="H1767" s="43" t="s">
        <v>2350</v>
      </c>
      <c r="I1767" s="43" t="s">
        <v>2370</v>
      </c>
      <c r="J1767" s="44" t="s">
        <v>2418</v>
      </c>
      <c r="K1767" s="44" t="s">
        <v>3961</v>
      </c>
      <c r="L1767" s="44" t="s">
        <v>2373</v>
      </c>
      <c r="M1767" s="43">
        <v>21</v>
      </c>
      <c r="N1767" s="113"/>
      <c r="O1767" s="113"/>
      <c r="P1767" s="113"/>
      <c r="Q1767" s="113"/>
      <c r="R1767" s="113"/>
      <c r="S1767" s="113"/>
      <c r="T1767" s="113"/>
      <c r="U1767" s="113" t="s">
        <v>1113</v>
      </c>
      <c r="V1767" s="113"/>
      <c r="W1767" s="113"/>
      <c r="X1767" s="113" t="s">
        <v>1113</v>
      </c>
      <c r="Y1767" s="113" t="s">
        <v>1113</v>
      </c>
      <c r="Z1767" s="113"/>
      <c r="AA1767" s="113"/>
      <c r="AB1767" s="113"/>
      <c r="AC1767" s="113" t="s">
        <v>1113</v>
      </c>
      <c r="AD1767" s="113" t="s">
        <v>1113</v>
      </c>
      <c r="AE1767" s="113"/>
      <c r="AF1767" s="113"/>
      <c r="AG1767" s="113"/>
      <c r="AH1767" s="113"/>
      <c r="AI1767" s="113"/>
      <c r="AJ1767" s="113"/>
      <c r="AK1767" s="319" t="s">
        <v>1113</v>
      </c>
      <c r="AL1767" s="113"/>
      <c r="AM1767" s="113"/>
      <c r="AN1767" s="113"/>
      <c r="AO1767" s="43" t="s">
        <v>2477</v>
      </c>
      <c r="AP1767" s="43"/>
      <c r="AQ1767" s="236" t="str">
        <f>VLOOKUP(Table8[[#This Row],[Instrument]],Def_Targets!$D$73:$E$159,2,FALSE)</f>
        <v>A_Complan</v>
      </c>
      <c r="AR1767" s="233" t="str">
        <f>VLOOKUP(Table8[[#This Row],[Country Code]],Table29[],3,FALSE)</f>
        <v>Annex I</v>
      </c>
      <c r="AS1767" s="233" t="str">
        <f>VLOOKUP(Table8[[#This Row],[Country Code]],Table29[],4,FALSE)</f>
        <v>Europe</v>
      </c>
      <c r="AT1767" s="233" t="str">
        <f>VLOOKUP(Table8[[#This Row],[Country Code]],Table29[],5,FALSE)</f>
        <v>High-income</v>
      </c>
      <c r="AU1767" s="233" t="str">
        <f>VLOOKUP(Table8[[#This Row],[Country Code]],Table29[],6,FALSE)</f>
        <v>no</v>
      </c>
      <c r="AV1767" s="233" t="str">
        <f>VLOOKUP(Table8[[#This Row],[Country Code]],Table29[],7,FALSE)</f>
        <v>no</v>
      </c>
      <c r="AW1767" s="233" t="str">
        <f>VLOOKUP(Table8[[#This Row],[Country Code]],Table29[],8,FALSE)</f>
        <v>OECD</v>
      </c>
      <c r="AX1767" s="233" t="str">
        <f>VLOOKUP(Table8[[#This Row],[Country Code]],Table29[],9,FALSE)</f>
        <v>no</v>
      </c>
      <c r="AY1767" s="233" t="str">
        <f>VLOOKUP(Table8[[#This Row],[Country Code]],Table29[],10,FALSE)</f>
        <v>no</v>
      </c>
      <c r="AZ1767" s="235">
        <f>VLOOKUP(Table8[[#This Row],[Country Code]],Table29[],23,FALSE)</f>
        <v>56.717099715738001</v>
      </c>
      <c r="BA1767" s="235">
        <f>VLOOKUP(Table8[[#This Row],[Country Code]],Table29[],24,FALSE)</f>
        <v>13.64916488890823</v>
      </c>
      <c r="BB1767" s="320"/>
      <c r="BC1767" s="320"/>
    </row>
    <row r="1768" spans="1:55" ht="30" hidden="1" x14ac:dyDescent="0.25">
      <c r="A1768" s="360">
        <v>17687</v>
      </c>
      <c r="B1768" s="233" t="str">
        <f>VLOOKUP(Table8[[#This Row],[Document ID]],Table1[],2,FALSE)</f>
        <v>NOR</v>
      </c>
      <c r="C1768" s="233" t="str">
        <f>VLOOKUP(Table8[[#This Row],[Document ID]],Table1[],3,FALSE)</f>
        <v>Norway</v>
      </c>
      <c r="D1768" s="233" t="str">
        <f>VLOOKUP(Table8[[#This Row],[Document ID]],Table1[],5,FALSE)</f>
        <v>LTS</v>
      </c>
      <c r="E1768" s="233" t="str">
        <f>VLOOKUP(Table8[[#This Row],[Document ID]],Table1[],7,FALSE)</f>
        <v>LTS</v>
      </c>
      <c r="F1768" s="233" t="str">
        <f>VLOOKUP(Table8[[#This Row],[Document ID]],Table1[],8,FALSE)</f>
        <v>LTS 1.0</v>
      </c>
      <c r="G1768" s="233" t="str">
        <f>VLOOKUP(Table8[[#This Row],[Document ID]],Table1[],10,FALSE)</f>
        <v>Active</v>
      </c>
      <c r="H1768" s="43" t="s">
        <v>2484</v>
      </c>
      <c r="I1768" s="43" t="s">
        <v>2485</v>
      </c>
      <c r="J1768" s="44" t="s">
        <v>2486</v>
      </c>
      <c r="K1768" s="44" t="s">
        <v>3962</v>
      </c>
      <c r="L1768" s="44" t="s">
        <v>2333</v>
      </c>
      <c r="M1768" s="43">
        <v>22</v>
      </c>
      <c r="N1768" s="113"/>
      <c r="O1768" s="113"/>
      <c r="P1768" s="113"/>
      <c r="Q1768" s="113"/>
      <c r="R1768" s="113"/>
      <c r="S1768" s="113"/>
      <c r="T1768" s="113"/>
      <c r="U1768" s="113"/>
      <c r="V1768" s="113"/>
      <c r="W1768" s="113"/>
      <c r="X1768" s="113"/>
      <c r="Y1768" s="113"/>
      <c r="Z1768" s="113"/>
      <c r="AA1768" s="113"/>
      <c r="AB1768" s="113"/>
      <c r="AC1768" s="113"/>
      <c r="AD1768" s="113" t="s">
        <v>1113</v>
      </c>
      <c r="AE1768" s="113"/>
      <c r="AF1768" s="113"/>
      <c r="AG1768" s="113"/>
      <c r="AH1768" s="113"/>
      <c r="AI1768" s="113"/>
      <c r="AJ1768" s="113"/>
      <c r="AK1768" s="319" t="s">
        <v>1113</v>
      </c>
      <c r="AL1768" s="113"/>
      <c r="AM1768" s="113"/>
      <c r="AN1768" s="113"/>
      <c r="AO1768" s="44" t="s">
        <v>2334</v>
      </c>
      <c r="AP1768" s="43"/>
      <c r="AQ1768" s="236" t="str">
        <f>VLOOKUP(Table8[[#This Row],[Instrument]],Def_Targets!$D$73:$E$159,2,FALSE)</f>
        <v>I_Shipping</v>
      </c>
      <c r="AR1768" s="233" t="str">
        <f>VLOOKUP(Table8[[#This Row],[Country Code]],Table29[],3,FALSE)</f>
        <v>Annex I</v>
      </c>
      <c r="AS1768" s="233" t="str">
        <f>VLOOKUP(Table8[[#This Row],[Country Code]],Table29[],4,FALSE)</f>
        <v>Europe</v>
      </c>
      <c r="AT1768" s="233" t="str">
        <f>VLOOKUP(Table8[[#This Row],[Country Code]],Table29[],5,FALSE)</f>
        <v>High-income</v>
      </c>
      <c r="AU1768" s="233" t="str">
        <f>VLOOKUP(Table8[[#This Row],[Country Code]],Table29[],6,FALSE)</f>
        <v>no</v>
      </c>
      <c r="AV1768" s="233" t="str">
        <f>VLOOKUP(Table8[[#This Row],[Country Code]],Table29[],7,FALSE)</f>
        <v>no</v>
      </c>
      <c r="AW1768" s="233" t="str">
        <f>VLOOKUP(Table8[[#This Row],[Country Code]],Table29[],8,FALSE)</f>
        <v>OECD</v>
      </c>
      <c r="AX1768" s="233" t="str">
        <f>VLOOKUP(Table8[[#This Row],[Country Code]],Table29[],9,FALSE)</f>
        <v>no</v>
      </c>
      <c r="AY1768" s="233" t="str">
        <f>VLOOKUP(Table8[[#This Row],[Country Code]],Table29[],10,FALSE)</f>
        <v>no</v>
      </c>
      <c r="AZ1768" s="235">
        <f>VLOOKUP(Table8[[#This Row],[Country Code]],Table29[],23,FALSE)</f>
        <v>56.717099715738001</v>
      </c>
      <c r="BA1768" s="235">
        <f>VLOOKUP(Table8[[#This Row],[Country Code]],Table29[],24,FALSE)</f>
        <v>13.64916488890823</v>
      </c>
      <c r="BB1768" s="320"/>
      <c r="BC1768" s="320"/>
    </row>
    <row r="1769" spans="1:55" ht="60" hidden="1" x14ac:dyDescent="0.25">
      <c r="A1769" s="360">
        <v>17687</v>
      </c>
      <c r="B1769" s="233" t="str">
        <f>VLOOKUP(Table8[[#This Row],[Document ID]],Table1[],2,FALSE)</f>
        <v>NOR</v>
      </c>
      <c r="C1769" s="233" t="str">
        <f>VLOOKUP(Table8[[#This Row],[Document ID]],Table1[],3,FALSE)</f>
        <v>Norway</v>
      </c>
      <c r="D1769" s="233" t="str">
        <f>VLOOKUP(Table8[[#This Row],[Document ID]],Table1[],5,FALSE)</f>
        <v>LTS</v>
      </c>
      <c r="E1769" s="233" t="str">
        <f>VLOOKUP(Table8[[#This Row],[Document ID]],Table1[],7,FALSE)</f>
        <v>LTS</v>
      </c>
      <c r="F1769" s="233" t="str">
        <f>VLOOKUP(Table8[[#This Row],[Document ID]],Table1[],8,FALSE)</f>
        <v>LTS 1.0</v>
      </c>
      <c r="G1769" s="233" t="str">
        <f>VLOOKUP(Table8[[#This Row],[Document ID]],Table1[],10,FALSE)</f>
        <v>Active</v>
      </c>
      <c r="H1769" s="43" t="s">
        <v>2343</v>
      </c>
      <c r="I1769" s="43" t="s">
        <v>2361</v>
      </c>
      <c r="J1769" s="44" t="s">
        <v>2463</v>
      </c>
      <c r="K1769" s="44" t="s">
        <v>3963</v>
      </c>
      <c r="L1769" s="44" t="s">
        <v>2347</v>
      </c>
      <c r="M1769" s="43">
        <v>23</v>
      </c>
      <c r="N1769" s="113"/>
      <c r="O1769" s="113"/>
      <c r="P1769" s="113"/>
      <c r="Q1769" s="113" t="s">
        <v>1113</v>
      </c>
      <c r="R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319" t="s">
        <v>1113</v>
      </c>
      <c r="AL1769" s="113"/>
      <c r="AM1769" s="113"/>
      <c r="AN1769" s="113"/>
      <c r="AO1769" s="43" t="s">
        <v>2348</v>
      </c>
      <c r="AP1769" s="43"/>
      <c r="AQ1769" s="236" t="str">
        <f>VLOOKUP(Table8[[#This Row],[Instrument]],Def_Targets!$D$73:$E$159,2,FALSE)</f>
        <v>S_Walking</v>
      </c>
      <c r="AR1769" s="233" t="str">
        <f>VLOOKUP(Table8[[#This Row],[Country Code]],Table29[],3,FALSE)</f>
        <v>Annex I</v>
      </c>
      <c r="AS1769" s="233" t="str">
        <f>VLOOKUP(Table8[[#This Row],[Country Code]],Table29[],4,FALSE)</f>
        <v>Europe</v>
      </c>
      <c r="AT1769" s="233" t="str">
        <f>VLOOKUP(Table8[[#This Row],[Country Code]],Table29[],5,FALSE)</f>
        <v>High-income</v>
      </c>
      <c r="AU1769" s="233" t="str">
        <f>VLOOKUP(Table8[[#This Row],[Country Code]],Table29[],6,FALSE)</f>
        <v>no</v>
      </c>
      <c r="AV1769" s="233" t="str">
        <f>VLOOKUP(Table8[[#This Row],[Country Code]],Table29[],7,FALSE)</f>
        <v>no</v>
      </c>
      <c r="AW1769" s="233" t="str">
        <f>VLOOKUP(Table8[[#This Row],[Country Code]],Table29[],8,FALSE)</f>
        <v>OECD</v>
      </c>
      <c r="AX1769" s="233" t="str">
        <f>VLOOKUP(Table8[[#This Row],[Country Code]],Table29[],9,FALSE)</f>
        <v>no</v>
      </c>
      <c r="AY1769" s="233" t="str">
        <f>VLOOKUP(Table8[[#This Row],[Country Code]],Table29[],10,FALSE)</f>
        <v>no</v>
      </c>
      <c r="AZ1769" s="235">
        <f>VLOOKUP(Table8[[#This Row],[Country Code]],Table29[],23,FALSE)</f>
        <v>56.717099715738001</v>
      </c>
      <c r="BA1769" s="235">
        <f>VLOOKUP(Table8[[#This Row],[Country Code]],Table29[],24,FALSE)</f>
        <v>13.64916488890823</v>
      </c>
      <c r="BB1769" s="320"/>
      <c r="BC1769" s="320"/>
    </row>
    <row r="1770" spans="1:55" ht="60" hidden="1" x14ac:dyDescent="0.25">
      <c r="A1770" s="360">
        <v>17687</v>
      </c>
      <c r="B1770" s="233" t="str">
        <f>VLOOKUP(Table8[[#This Row],[Document ID]],Table1[],2,FALSE)</f>
        <v>NOR</v>
      </c>
      <c r="C1770" s="233" t="str">
        <f>VLOOKUP(Table8[[#This Row],[Document ID]],Table1[],3,FALSE)</f>
        <v>Norway</v>
      </c>
      <c r="D1770" s="233" t="str">
        <f>VLOOKUP(Table8[[#This Row],[Document ID]],Table1[],5,FALSE)</f>
        <v>LTS</v>
      </c>
      <c r="E1770" s="233" t="str">
        <f>VLOOKUP(Table8[[#This Row],[Document ID]],Table1[],7,FALSE)</f>
        <v>LTS</v>
      </c>
      <c r="F1770" s="233" t="str">
        <f>VLOOKUP(Table8[[#This Row],[Document ID]],Table1[],8,FALSE)</f>
        <v>LTS 1.0</v>
      </c>
      <c r="G1770" s="233" t="str">
        <f>VLOOKUP(Table8[[#This Row],[Document ID]],Table1[],10,FALSE)</f>
        <v>Active</v>
      </c>
      <c r="H1770" s="43" t="s">
        <v>2343</v>
      </c>
      <c r="I1770" s="43" t="s">
        <v>2361</v>
      </c>
      <c r="J1770" s="44" t="s">
        <v>2362</v>
      </c>
      <c r="K1770" s="44" t="s">
        <v>3963</v>
      </c>
      <c r="L1770" s="44" t="s">
        <v>2347</v>
      </c>
      <c r="M1770" s="43">
        <v>23</v>
      </c>
      <c r="N1770" s="113"/>
      <c r="O1770" s="113"/>
      <c r="P1770" s="113"/>
      <c r="Q1770" s="113"/>
      <c r="R1770" s="113" t="s">
        <v>1113</v>
      </c>
      <c r="S1770" s="113"/>
      <c r="T1770" s="113"/>
      <c r="U1770" s="113"/>
      <c r="V1770" s="113"/>
      <c r="W1770" s="113"/>
      <c r="X1770" s="113"/>
      <c r="Y1770" s="113"/>
      <c r="Z1770" s="113"/>
      <c r="AA1770" s="113"/>
      <c r="AB1770" s="113"/>
      <c r="AC1770" s="113"/>
      <c r="AD1770" s="113"/>
      <c r="AE1770" s="113"/>
      <c r="AF1770" s="113"/>
      <c r="AG1770" s="113"/>
      <c r="AH1770" s="113"/>
      <c r="AI1770" s="113"/>
      <c r="AJ1770" s="113"/>
      <c r="AK1770" s="319" t="s">
        <v>1113</v>
      </c>
      <c r="AL1770" s="113"/>
      <c r="AM1770" s="113"/>
      <c r="AN1770" s="113"/>
      <c r="AO1770" s="43" t="s">
        <v>2348</v>
      </c>
      <c r="AP1770" s="43"/>
      <c r="AQ1770" s="236" t="str">
        <f>VLOOKUP(Table8[[#This Row],[Instrument]],Def_Targets!$D$73:$E$159,2,FALSE)</f>
        <v>S_Cycling</v>
      </c>
      <c r="AR1770" s="233" t="str">
        <f>VLOOKUP(Table8[[#This Row],[Country Code]],Table29[],3,FALSE)</f>
        <v>Annex I</v>
      </c>
      <c r="AS1770" s="233" t="str">
        <f>VLOOKUP(Table8[[#This Row],[Country Code]],Table29[],4,FALSE)</f>
        <v>Europe</v>
      </c>
      <c r="AT1770" s="233" t="str">
        <f>VLOOKUP(Table8[[#This Row],[Country Code]],Table29[],5,FALSE)</f>
        <v>High-income</v>
      </c>
      <c r="AU1770" s="233" t="str">
        <f>VLOOKUP(Table8[[#This Row],[Country Code]],Table29[],6,FALSE)</f>
        <v>no</v>
      </c>
      <c r="AV1770" s="233" t="str">
        <f>VLOOKUP(Table8[[#This Row],[Country Code]],Table29[],7,FALSE)</f>
        <v>no</v>
      </c>
      <c r="AW1770" s="233" t="str">
        <f>VLOOKUP(Table8[[#This Row],[Country Code]],Table29[],8,FALSE)</f>
        <v>OECD</v>
      </c>
      <c r="AX1770" s="233" t="str">
        <f>VLOOKUP(Table8[[#This Row],[Country Code]],Table29[],9,FALSE)</f>
        <v>no</v>
      </c>
      <c r="AY1770" s="233" t="str">
        <f>VLOOKUP(Table8[[#This Row],[Country Code]],Table29[],10,FALSE)</f>
        <v>no</v>
      </c>
      <c r="AZ1770" s="235">
        <f>VLOOKUP(Table8[[#This Row],[Country Code]],Table29[],23,FALSE)</f>
        <v>56.717099715738001</v>
      </c>
      <c r="BA1770" s="235">
        <f>VLOOKUP(Table8[[#This Row],[Country Code]],Table29[],24,FALSE)</f>
        <v>13.64916488890823</v>
      </c>
      <c r="BB1770" s="320"/>
      <c r="BC1770" s="320"/>
    </row>
    <row r="1771" spans="1:55" ht="30" hidden="1" x14ac:dyDescent="0.25">
      <c r="A1771" s="360">
        <v>17687</v>
      </c>
      <c r="B1771" s="233" t="str">
        <f>VLOOKUP(Table8[[#This Row],[Document ID]],Table1[],2,FALSE)</f>
        <v>NOR</v>
      </c>
      <c r="C1771" s="233" t="str">
        <f>VLOOKUP(Table8[[#This Row],[Document ID]],Table1[],3,FALSE)</f>
        <v>Norway</v>
      </c>
      <c r="D1771" s="233" t="str">
        <f>VLOOKUP(Table8[[#This Row],[Document ID]],Table1[],5,FALSE)</f>
        <v>LTS</v>
      </c>
      <c r="E1771" s="233" t="str">
        <f>VLOOKUP(Table8[[#This Row],[Document ID]],Table1[],7,FALSE)</f>
        <v>LTS</v>
      </c>
      <c r="F1771" s="233" t="str">
        <f>VLOOKUP(Table8[[#This Row],[Document ID]],Table1[],8,FALSE)</f>
        <v>LTS 1.0</v>
      </c>
      <c r="G1771" s="233" t="str">
        <f>VLOOKUP(Table8[[#This Row],[Document ID]],Table1[],10,FALSE)</f>
        <v>Active</v>
      </c>
      <c r="H1771" s="43" t="s">
        <v>2343</v>
      </c>
      <c r="I1771" s="43" t="s">
        <v>2377</v>
      </c>
      <c r="J1771" s="44" t="s">
        <v>2378</v>
      </c>
      <c r="K1771" s="44" t="s">
        <v>3964</v>
      </c>
      <c r="L1771" s="44" t="s">
        <v>2380</v>
      </c>
      <c r="M1771" s="43">
        <v>23</v>
      </c>
      <c r="N1771" s="113" t="s">
        <v>1113</v>
      </c>
      <c r="O1771" s="113"/>
      <c r="P1771" s="113"/>
      <c r="Q1771" s="113"/>
      <c r="R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319" t="s">
        <v>1113</v>
      </c>
      <c r="AL1771" s="113"/>
      <c r="AM1771" s="113"/>
      <c r="AN1771" s="113"/>
      <c r="AO1771" s="43" t="s">
        <v>2348</v>
      </c>
      <c r="AP1771" s="43"/>
      <c r="AQ1771" s="236" t="str">
        <f>VLOOKUP(Table8[[#This Row],[Instrument]],Def_Targets!$D$73:$E$159,2,FALSE)</f>
        <v>A_Commute</v>
      </c>
      <c r="AR1771" s="233" t="str">
        <f>VLOOKUP(Table8[[#This Row],[Country Code]],Table29[],3,FALSE)</f>
        <v>Annex I</v>
      </c>
      <c r="AS1771" s="233" t="str">
        <f>VLOOKUP(Table8[[#This Row],[Country Code]],Table29[],4,FALSE)</f>
        <v>Europe</v>
      </c>
      <c r="AT1771" s="233" t="str">
        <f>VLOOKUP(Table8[[#This Row],[Country Code]],Table29[],5,FALSE)</f>
        <v>High-income</v>
      </c>
      <c r="AU1771" s="233" t="str">
        <f>VLOOKUP(Table8[[#This Row],[Country Code]],Table29[],6,FALSE)</f>
        <v>no</v>
      </c>
      <c r="AV1771" s="233" t="str">
        <f>VLOOKUP(Table8[[#This Row],[Country Code]],Table29[],7,FALSE)</f>
        <v>no</v>
      </c>
      <c r="AW1771" s="233" t="str">
        <f>VLOOKUP(Table8[[#This Row],[Country Code]],Table29[],8,FALSE)</f>
        <v>OECD</v>
      </c>
      <c r="AX1771" s="233" t="str">
        <f>VLOOKUP(Table8[[#This Row],[Country Code]],Table29[],9,FALSE)</f>
        <v>no</v>
      </c>
      <c r="AY1771" s="233" t="str">
        <f>VLOOKUP(Table8[[#This Row],[Country Code]],Table29[],10,FALSE)</f>
        <v>no</v>
      </c>
      <c r="AZ1771" s="235">
        <f>VLOOKUP(Table8[[#This Row],[Country Code]],Table29[],23,FALSE)</f>
        <v>56.717099715738001</v>
      </c>
      <c r="BA1771" s="235">
        <f>VLOOKUP(Table8[[#This Row],[Country Code]],Table29[],24,FALSE)</f>
        <v>13.64916488890823</v>
      </c>
      <c r="BB1771" s="320"/>
      <c r="BC1771" s="320"/>
    </row>
    <row r="1772" spans="1:55" ht="90" hidden="1" x14ac:dyDescent="0.25">
      <c r="A1772" s="360">
        <v>17687</v>
      </c>
      <c r="B1772" s="233" t="str">
        <f>VLOOKUP(Table8[[#This Row],[Document ID]],Table1[],2,FALSE)</f>
        <v>NOR</v>
      </c>
      <c r="C1772" s="233" t="str">
        <f>VLOOKUP(Table8[[#This Row],[Document ID]],Table1[],3,FALSE)</f>
        <v>Norway</v>
      </c>
      <c r="D1772" s="233" t="str">
        <f>VLOOKUP(Table8[[#This Row],[Document ID]],Table1[],5,FALSE)</f>
        <v>LTS</v>
      </c>
      <c r="E1772" s="233" t="str">
        <f>VLOOKUP(Table8[[#This Row],[Document ID]],Table1[],7,FALSE)</f>
        <v>LTS</v>
      </c>
      <c r="F1772" s="233" t="str">
        <f>VLOOKUP(Table8[[#This Row],[Document ID]],Table1[],8,FALSE)</f>
        <v>LTS 1.0</v>
      </c>
      <c r="G1772" s="233" t="str">
        <f>VLOOKUP(Table8[[#This Row],[Document ID]],Table1[],10,FALSE)</f>
        <v>Active</v>
      </c>
      <c r="H1772" s="43" t="s">
        <v>2350</v>
      </c>
      <c r="I1772" s="43" t="s">
        <v>2370</v>
      </c>
      <c r="J1772" s="44" t="s">
        <v>2371</v>
      </c>
      <c r="K1772" s="44" t="s">
        <v>3965</v>
      </c>
      <c r="L1772" s="44" t="s">
        <v>2373</v>
      </c>
      <c r="M1772" s="43" t="s">
        <v>3966</v>
      </c>
      <c r="N1772" s="113" t="s">
        <v>1113</v>
      </c>
      <c r="O1772" s="113"/>
      <c r="P1772" s="113"/>
      <c r="Q1772" s="113"/>
      <c r="R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319"/>
      <c r="AL1772" s="113" t="s">
        <v>1113</v>
      </c>
      <c r="AM1772" s="113"/>
      <c r="AN1772" s="113"/>
      <c r="AO1772" s="44" t="s">
        <v>2334</v>
      </c>
      <c r="AP1772" s="43"/>
      <c r="AQ1772" s="236" t="str">
        <f>VLOOKUP(Table8[[#This Row],[Instrument]],Def_Targets!$D$73:$E$159,2,FALSE)</f>
        <v>A_Natmobplan</v>
      </c>
      <c r="AR1772" s="233" t="str">
        <f>VLOOKUP(Table8[[#This Row],[Country Code]],Table29[],3,FALSE)</f>
        <v>Annex I</v>
      </c>
      <c r="AS1772" s="233" t="str">
        <f>VLOOKUP(Table8[[#This Row],[Country Code]],Table29[],4,FALSE)</f>
        <v>Europe</v>
      </c>
      <c r="AT1772" s="233" t="str">
        <f>VLOOKUP(Table8[[#This Row],[Country Code]],Table29[],5,FALSE)</f>
        <v>High-income</v>
      </c>
      <c r="AU1772" s="233" t="str">
        <f>VLOOKUP(Table8[[#This Row],[Country Code]],Table29[],6,FALSE)</f>
        <v>no</v>
      </c>
      <c r="AV1772" s="233" t="str">
        <f>VLOOKUP(Table8[[#This Row],[Country Code]],Table29[],7,FALSE)</f>
        <v>no</v>
      </c>
      <c r="AW1772" s="233" t="str">
        <f>VLOOKUP(Table8[[#This Row],[Country Code]],Table29[],8,FALSE)</f>
        <v>OECD</v>
      </c>
      <c r="AX1772" s="233" t="str">
        <f>VLOOKUP(Table8[[#This Row],[Country Code]],Table29[],9,FALSE)</f>
        <v>no</v>
      </c>
      <c r="AY1772" s="233" t="str">
        <f>VLOOKUP(Table8[[#This Row],[Country Code]],Table29[],10,FALSE)</f>
        <v>no</v>
      </c>
      <c r="AZ1772" s="235">
        <f>VLOOKUP(Table8[[#This Row],[Country Code]],Table29[],23,FALSE)</f>
        <v>56.717099715738001</v>
      </c>
      <c r="BA1772" s="235">
        <f>VLOOKUP(Table8[[#This Row],[Country Code]],Table29[],24,FALSE)</f>
        <v>13.64916488890823</v>
      </c>
      <c r="BB1772" s="320"/>
      <c r="BC1772" s="320"/>
    </row>
    <row r="1773" spans="1:55" ht="30" hidden="1" x14ac:dyDescent="0.25">
      <c r="A1773" s="360">
        <v>17687</v>
      </c>
      <c r="B1773" s="233" t="str">
        <f>VLOOKUP(Table8[[#This Row],[Document ID]],Table1[],2,FALSE)</f>
        <v>NOR</v>
      </c>
      <c r="C1773" s="233" t="str">
        <f>VLOOKUP(Table8[[#This Row],[Document ID]],Table1[],3,FALSE)</f>
        <v>Norway</v>
      </c>
      <c r="D1773" s="233" t="str">
        <f>VLOOKUP(Table8[[#This Row],[Document ID]],Table1[],5,FALSE)</f>
        <v>LTS</v>
      </c>
      <c r="E1773" s="233" t="str">
        <f>VLOOKUP(Table8[[#This Row],[Document ID]],Table1[],7,FALSE)</f>
        <v>LTS</v>
      </c>
      <c r="F1773" s="233" t="str">
        <f>VLOOKUP(Table8[[#This Row],[Document ID]],Table1[],8,FALSE)</f>
        <v>LTS 1.0</v>
      </c>
      <c r="G1773" s="233" t="str">
        <f>VLOOKUP(Table8[[#This Row],[Document ID]],Table1[],10,FALSE)</f>
        <v>Active</v>
      </c>
      <c r="H1773" s="43" t="s">
        <v>2358</v>
      </c>
      <c r="I1773" s="43" t="s">
        <v>2359</v>
      </c>
      <c r="J1773" s="44" t="s">
        <v>2360</v>
      </c>
      <c r="K1773" s="44" t="s">
        <v>3967</v>
      </c>
      <c r="L1773" s="44" t="s">
        <v>2333</v>
      </c>
      <c r="M1773" s="43">
        <v>34</v>
      </c>
      <c r="N1773" s="113" t="s">
        <v>1113</v>
      </c>
      <c r="O1773" s="113"/>
      <c r="P1773" s="113"/>
      <c r="Q1773" s="113"/>
      <c r="R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319" t="s">
        <v>1113</v>
      </c>
      <c r="AL1773" s="113"/>
      <c r="AM1773" s="113"/>
      <c r="AN1773" s="113"/>
      <c r="AO1773" s="44" t="s">
        <v>2334</v>
      </c>
      <c r="AP1773" s="43"/>
      <c r="AQ1773" s="236" t="str">
        <f>VLOOKUP(Table8[[#This Row],[Instrument]],Def_Targets!$D$73:$E$159,2,FALSE)</f>
        <v>I_Emobility</v>
      </c>
      <c r="AR1773" s="233" t="str">
        <f>VLOOKUP(Table8[[#This Row],[Country Code]],Table29[],3,FALSE)</f>
        <v>Annex I</v>
      </c>
      <c r="AS1773" s="233" t="str">
        <f>VLOOKUP(Table8[[#This Row],[Country Code]],Table29[],4,FALSE)</f>
        <v>Europe</v>
      </c>
      <c r="AT1773" s="233" t="str">
        <f>VLOOKUP(Table8[[#This Row],[Country Code]],Table29[],5,FALSE)</f>
        <v>High-income</v>
      </c>
      <c r="AU1773" s="233" t="str">
        <f>VLOOKUP(Table8[[#This Row],[Country Code]],Table29[],6,FALSE)</f>
        <v>no</v>
      </c>
      <c r="AV1773" s="233" t="str">
        <f>VLOOKUP(Table8[[#This Row],[Country Code]],Table29[],7,FALSE)</f>
        <v>no</v>
      </c>
      <c r="AW1773" s="233" t="str">
        <f>VLOOKUP(Table8[[#This Row],[Country Code]],Table29[],8,FALSE)</f>
        <v>OECD</v>
      </c>
      <c r="AX1773" s="233" t="str">
        <f>VLOOKUP(Table8[[#This Row],[Country Code]],Table29[],9,FALSE)</f>
        <v>no</v>
      </c>
      <c r="AY1773" s="233" t="str">
        <f>VLOOKUP(Table8[[#This Row],[Country Code]],Table29[],10,FALSE)</f>
        <v>no</v>
      </c>
      <c r="AZ1773" s="235">
        <f>VLOOKUP(Table8[[#This Row],[Country Code]],Table29[],23,FALSE)</f>
        <v>56.717099715738001</v>
      </c>
      <c r="BA1773" s="235">
        <f>VLOOKUP(Table8[[#This Row],[Country Code]],Table29[],24,FALSE)</f>
        <v>13.64916488890823</v>
      </c>
      <c r="BB1773" s="320"/>
      <c r="BC1773" s="320"/>
    </row>
    <row r="1774" spans="1:55" hidden="1" x14ac:dyDescent="0.25">
      <c r="A1774" s="373">
        <v>17716</v>
      </c>
      <c r="B1774" s="233" t="str">
        <f>VLOOKUP(Table8[[#This Row],[Document ID]],Table1[],2,FALSE)</f>
        <v>RWA</v>
      </c>
      <c r="C1774" s="233" t="str">
        <f>VLOOKUP(Table8[[#This Row],[Document ID]],Table1[],3,FALSE)</f>
        <v>Rwanda</v>
      </c>
      <c r="D1774" s="243" t="str">
        <f>VLOOKUP(Table8[[#This Row],[Document ID]],Table1[],5,FALSE)</f>
        <v>NDC</v>
      </c>
      <c r="E1774" s="233" t="str">
        <f>VLOOKUP(Table8[[#This Row],[Document ID]],Table1[],7,FALSE)</f>
        <v>First NDC</v>
      </c>
      <c r="F1774" s="236" t="str">
        <f>VLOOKUP(Table8[[#This Row],[Document ID]],Table1[],8,FALSE)</f>
        <v>NDC 1.0</v>
      </c>
      <c r="G1774" s="236" t="str">
        <f>VLOOKUP(Table8[[#This Row],[Document ID]],Table1[],10,FALSE)</f>
        <v>Archived</v>
      </c>
      <c r="H1774" s="44" t="s">
        <v>2338</v>
      </c>
      <c r="I1774" s="44" t="s">
        <v>2339</v>
      </c>
      <c r="J1774" s="44" t="s">
        <v>2340</v>
      </c>
      <c r="K1774" s="44" t="s">
        <v>3968</v>
      </c>
      <c r="L1774" s="44" t="s">
        <v>2333</v>
      </c>
      <c r="M1774" s="43"/>
      <c r="N1774" s="113" t="s">
        <v>1113</v>
      </c>
      <c r="O1774" s="113"/>
      <c r="P1774" s="113"/>
      <c r="Q1774" s="319"/>
      <c r="R1774" s="319"/>
      <c r="S1774" s="319"/>
      <c r="T1774" s="319"/>
      <c r="U1774" s="319"/>
      <c r="V1774" s="319"/>
      <c r="W1774" s="319"/>
      <c r="X1774" s="319"/>
      <c r="Y1774" s="319"/>
      <c r="Z1774" s="113"/>
      <c r="AA1774" s="319"/>
      <c r="AB1774" s="319"/>
      <c r="AC1774" s="319"/>
      <c r="AD1774" s="319"/>
      <c r="AE1774" s="319"/>
      <c r="AF1774" s="319"/>
      <c r="AG1774" s="319"/>
      <c r="AH1774" s="319"/>
      <c r="AI1774" s="319"/>
      <c r="AJ1774" s="319"/>
      <c r="AK1774" s="319" t="s">
        <v>1113</v>
      </c>
      <c r="AL1774" s="319"/>
      <c r="AM1774" s="319"/>
      <c r="AN1774" s="319"/>
      <c r="AO1774" s="44" t="s">
        <v>2334</v>
      </c>
      <c r="AP1774" s="44"/>
      <c r="AQ1774" s="236" t="str">
        <f>VLOOKUP(Table8[[#This Row],[Instrument]],Def_Targets!$D$73:$E$159,2,FALSE)</f>
        <v>I_Vehicleimprove</v>
      </c>
      <c r="AR1774" s="233" t="str">
        <f>VLOOKUP(Table8[[#This Row],[Country Code]],Table29[],3,FALSE)</f>
        <v>Non-Annex I</v>
      </c>
      <c r="AS1774" s="233" t="str">
        <f>VLOOKUP(Table8[[#This Row],[Country Code]],Table29[],4,FALSE)</f>
        <v>Africa</v>
      </c>
      <c r="AT1774" s="233" t="str">
        <f>VLOOKUP(Table8[[#This Row],[Country Code]],Table29[],5,FALSE)</f>
        <v>Low-income</v>
      </c>
      <c r="AU1774" s="233" t="str">
        <f>VLOOKUP(Table8[[#This Row],[Country Code]],Table29[],6,FALSE)</f>
        <v>no</v>
      </c>
      <c r="AV1774" s="233" t="str">
        <f>VLOOKUP(Table8[[#This Row],[Country Code]],Table29[],7,FALSE)</f>
        <v>no</v>
      </c>
      <c r="AW1774" s="233" t="str">
        <f>VLOOKUP(Table8[[#This Row],[Country Code]],Table29[],8,FALSE)</f>
        <v>non-OECD</v>
      </c>
      <c r="AX1774" s="233" t="str">
        <f>VLOOKUP(Table8[[#This Row],[Country Code]],Table29[],9,FALSE)</f>
        <v>no</v>
      </c>
      <c r="AY1774" s="233" t="str">
        <f>VLOOKUP(Table8[[#This Row],[Country Code]],Table29[],10,FALSE)</f>
        <v>no</v>
      </c>
      <c r="AZ1774" s="235">
        <f>VLOOKUP(Table8[[#This Row],[Country Code]],Table29[],23,FALSE)</f>
        <v>7.4932661090210999</v>
      </c>
      <c r="BA1774" s="235">
        <f>VLOOKUP(Table8[[#This Row],[Country Code]],Table29[],24,FALSE)</f>
        <v>0.60722858848321359</v>
      </c>
      <c r="BB1774" s="320"/>
      <c r="BC1774" s="320"/>
    </row>
    <row r="1775" spans="1:55" hidden="1" x14ac:dyDescent="0.25">
      <c r="A1775" s="373">
        <v>17716</v>
      </c>
      <c r="B1775" s="233" t="str">
        <f>VLOOKUP(Table8[[#This Row],[Document ID]],Table1[],2,FALSE)</f>
        <v>RWA</v>
      </c>
      <c r="C1775" s="233" t="str">
        <f>VLOOKUP(Table8[[#This Row],[Document ID]],Table1[],3,FALSE)</f>
        <v>Rwanda</v>
      </c>
      <c r="D1775" s="243" t="str">
        <f>VLOOKUP(Table8[[#This Row],[Document ID]],Table1[],5,FALSE)</f>
        <v>NDC</v>
      </c>
      <c r="E1775" s="233" t="str">
        <f>VLOOKUP(Table8[[#This Row],[Document ID]],Table1[],7,FALSE)</f>
        <v>First NDC</v>
      </c>
      <c r="F1775" s="236" t="str">
        <f>VLOOKUP(Table8[[#This Row],[Document ID]],Table1[],8,FALSE)</f>
        <v>NDC 1.0</v>
      </c>
      <c r="G1775" s="236" t="str">
        <f>VLOOKUP(Table8[[#This Row],[Document ID]],Table1[],10,FALSE)</f>
        <v>Archived</v>
      </c>
      <c r="H1775" s="44" t="s">
        <v>2338</v>
      </c>
      <c r="I1775" s="44" t="s">
        <v>2339</v>
      </c>
      <c r="J1775" s="44" t="s">
        <v>2425</v>
      </c>
      <c r="K1775" s="44" t="s">
        <v>3969</v>
      </c>
      <c r="L1775" s="44" t="s">
        <v>2333</v>
      </c>
      <c r="M1775" s="43"/>
      <c r="N1775" s="113" t="s">
        <v>1113</v>
      </c>
      <c r="O1775" s="113"/>
      <c r="P1775" s="113"/>
      <c r="Q1775" s="319"/>
      <c r="R1775" s="319"/>
      <c r="S1775" s="319"/>
      <c r="T1775" s="319"/>
      <c r="U1775" s="319"/>
      <c r="V1775" s="319"/>
      <c r="W1775" s="319"/>
      <c r="X1775" s="319"/>
      <c r="Y1775" s="319"/>
      <c r="Z1775" s="113"/>
      <c r="AA1775" s="319"/>
      <c r="AB1775" s="319"/>
      <c r="AC1775" s="319"/>
      <c r="AD1775" s="319"/>
      <c r="AE1775" s="319"/>
      <c r="AF1775" s="319"/>
      <c r="AG1775" s="319"/>
      <c r="AH1775" s="319"/>
      <c r="AI1775" s="319"/>
      <c r="AJ1775" s="319"/>
      <c r="AK1775" s="319" t="s">
        <v>1113</v>
      </c>
      <c r="AL1775" s="319"/>
      <c r="AM1775" s="319"/>
      <c r="AN1775" s="319"/>
      <c r="AO1775" s="44" t="s">
        <v>2334</v>
      </c>
      <c r="AP1775" s="44"/>
      <c r="AQ1775" s="236" t="str">
        <f>VLOOKUP(Table8[[#This Row],[Instrument]],Def_Targets!$D$73:$E$159,2,FALSE)</f>
        <v>I_Efficiencystd</v>
      </c>
      <c r="AR1775" s="233" t="str">
        <f>VLOOKUP(Table8[[#This Row],[Country Code]],Table29[],3,FALSE)</f>
        <v>Non-Annex I</v>
      </c>
      <c r="AS1775" s="233" t="str">
        <f>VLOOKUP(Table8[[#This Row],[Country Code]],Table29[],4,FALSE)</f>
        <v>Africa</v>
      </c>
      <c r="AT1775" s="233" t="str">
        <f>VLOOKUP(Table8[[#This Row],[Country Code]],Table29[],5,FALSE)</f>
        <v>Low-income</v>
      </c>
      <c r="AU1775" s="233" t="str">
        <f>VLOOKUP(Table8[[#This Row],[Country Code]],Table29[],6,FALSE)</f>
        <v>no</v>
      </c>
      <c r="AV1775" s="233" t="str">
        <f>VLOOKUP(Table8[[#This Row],[Country Code]],Table29[],7,FALSE)</f>
        <v>no</v>
      </c>
      <c r="AW1775" s="233" t="str">
        <f>VLOOKUP(Table8[[#This Row],[Country Code]],Table29[],8,FALSE)</f>
        <v>non-OECD</v>
      </c>
      <c r="AX1775" s="233" t="str">
        <f>VLOOKUP(Table8[[#This Row],[Country Code]],Table29[],9,FALSE)</f>
        <v>no</v>
      </c>
      <c r="AY1775" s="233" t="str">
        <f>VLOOKUP(Table8[[#This Row],[Country Code]],Table29[],10,FALSE)</f>
        <v>no</v>
      </c>
      <c r="AZ1775" s="235">
        <f>VLOOKUP(Table8[[#This Row],[Country Code]],Table29[],23,FALSE)</f>
        <v>7.4932661090210999</v>
      </c>
      <c r="BA1775" s="235">
        <f>VLOOKUP(Table8[[#This Row],[Country Code]],Table29[],24,FALSE)</f>
        <v>0.60722858848321359</v>
      </c>
      <c r="BB1775" s="320"/>
      <c r="BC1775" s="320"/>
    </row>
    <row r="1776" spans="1:55" hidden="1" x14ac:dyDescent="0.25">
      <c r="A1776" s="373">
        <v>17716</v>
      </c>
      <c r="B1776" s="233" t="str">
        <f>VLOOKUP(Table8[[#This Row],[Document ID]],Table1[],2,FALSE)</f>
        <v>RWA</v>
      </c>
      <c r="C1776" s="233" t="str">
        <f>VLOOKUP(Table8[[#This Row],[Document ID]],Table1[],3,FALSE)</f>
        <v>Rwanda</v>
      </c>
      <c r="D1776" s="243" t="str">
        <f>VLOOKUP(Table8[[#This Row],[Document ID]],Table1[],5,FALSE)</f>
        <v>NDC</v>
      </c>
      <c r="E1776" s="233" t="str">
        <f>VLOOKUP(Table8[[#This Row],[Document ID]],Table1[],7,FALSE)</f>
        <v>First NDC</v>
      </c>
      <c r="F1776" s="236" t="str">
        <f>VLOOKUP(Table8[[#This Row],[Document ID]],Table1[],8,FALSE)</f>
        <v>NDC 1.0</v>
      </c>
      <c r="G1776" s="236" t="str">
        <f>VLOOKUP(Table8[[#This Row],[Document ID]],Table1[],10,FALSE)</f>
        <v>Archived</v>
      </c>
      <c r="H1776" s="43" t="s">
        <v>2350</v>
      </c>
      <c r="I1776" s="43" t="s">
        <v>2456</v>
      </c>
      <c r="J1776" s="44" t="s">
        <v>2643</v>
      </c>
      <c r="K1776" s="44" t="s">
        <v>3970</v>
      </c>
      <c r="L1776" s="44" t="s">
        <v>2347</v>
      </c>
      <c r="M1776" s="43"/>
      <c r="N1776" s="113" t="s">
        <v>1113</v>
      </c>
      <c r="O1776" s="113"/>
      <c r="P1776" s="113"/>
      <c r="Q1776" s="319"/>
      <c r="R1776" s="319"/>
      <c r="S1776" s="319"/>
      <c r="T1776" s="319"/>
      <c r="U1776" s="319"/>
      <c r="V1776" s="319"/>
      <c r="W1776" s="319"/>
      <c r="X1776" s="319"/>
      <c r="Y1776" s="319"/>
      <c r="Z1776" s="113"/>
      <c r="AA1776" s="319"/>
      <c r="AB1776" s="319"/>
      <c r="AC1776" s="319"/>
      <c r="AD1776" s="319"/>
      <c r="AE1776" s="319"/>
      <c r="AF1776" s="319"/>
      <c r="AG1776" s="319"/>
      <c r="AH1776" s="319"/>
      <c r="AI1776" s="319"/>
      <c r="AJ1776" s="319"/>
      <c r="AK1776" s="319"/>
      <c r="AL1776" s="319" t="s">
        <v>1113</v>
      </c>
      <c r="AM1776" s="319"/>
      <c r="AN1776" s="319"/>
      <c r="AO1776" s="44" t="s">
        <v>2334</v>
      </c>
      <c r="AP1776" s="44"/>
      <c r="AQ1776" s="236" t="str">
        <f>VLOOKUP(Table8[[#This Row],[Instrument]],Def_Targets!$D$73:$E$159,2,FALSE)</f>
        <v>S_Intermodality</v>
      </c>
      <c r="AR1776" s="233" t="str">
        <f>VLOOKUP(Table8[[#This Row],[Country Code]],Table29[],3,FALSE)</f>
        <v>Non-Annex I</v>
      </c>
      <c r="AS1776" s="233" t="str">
        <f>VLOOKUP(Table8[[#This Row],[Country Code]],Table29[],4,FALSE)</f>
        <v>Africa</v>
      </c>
      <c r="AT1776" s="233" t="str">
        <f>VLOOKUP(Table8[[#This Row],[Country Code]],Table29[],5,FALSE)</f>
        <v>Low-income</v>
      </c>
      <c r="AU1776" s="233" t="str">
        <f>VLOOKUP(Table8[[#This Row],[Country Code]],Table29[],6,FALSE)</f>
        <v>no</v>
      </c>
      <c r="AV1776" s="233" t="str">
        <f>VLOOKUP(Table8[[#This Row],[Country Code]],Table29[],7,FALSE)</f>
        <v>no</v>
      </c>
      <c r="AW1776" s="233" t="str">
        <f>VLOOKUP(Table8[[#This Row],[Country Code]],Table29[],8,FALSE)</f>
        <v>non-OECD</v>
      </c>
      <c r="AX1776" s="233" t="str">
        <f>VLOOKUP(Table8[[#This Row],[Country Code]],Table29[],9,FALSE)</f>
        <v>no</v>
      </c>
      <c r="AY1776" s="233" t="str">
        <f>VLOOKUP(Table8[[#This Row],[Country Code]],Table29[],10,FALSE)</f>
        <v>no</v>
      </c>
      <c r="AZ1776" s="235">
        <f>VLOOKUP(Table8[[#This Row],[Country Code]],Table29[],23,FALSE)</f>
        <v>7.4932661090210999</v>
      </c>
      <c r="BA1776" s="235">
        <f>VLOOKUP(Table8[[#This Row],[Country Code]],Table29[],24,FALSE)</f>
        <v>0.60722858848321359</v>
      </c>
      <c r="BB1776" s="320"/>
      <c r="BC1776" s="320"/>
    </row>
    <row r="1777" spans="1:55" hidden="1" x14ac:dyDescent="0.25">
      <c r="A1777" s="373">
        <v>17716</v>
      </c>
      <c r="B1777" s="233" t="str">
        <f>VLOOKUP(Table8[[#This Row],[Document ID]],Table1[],2,FALSE)</f>
        <v>RWA</v>
      </c>
      <c r="C1777" s="233" t="str">
        <f>VLOOKUP(Table8[[#This Row],[Document ID]],Table1[],3,FALSE)</f>
        <v>Rwanda</v>
      </c>
      <c r="D1777" s="243" t="str">
        <f>VLOOKUP(Table8[[#This Row],[Document ID]],Table1[],5,FALSE)</f>
        <v>NDC</v>
      </c>
      <c r="E1777" s="233" t="str">
        <f>VLOOKUP(Table8[[#This Row],[Document ID]],Table1[],7,FALSE)</f>
        <v>First NDC</v>
      </c>
      <c r="F1777" s="236" t="str">
        <f>VLOOKUP(Table8[[#This Row],[Document ID]],Table1[],8,FALSE)</f>
        <v>NDC 1.0</v>
      </c>
      <c r="G1777" s="236" t="str">
        <f>VLOOKUP(Table8[[#This Row],[Document ID]],Table1[],10,FALSE)</f>
        <v>Archived</v>
      </c>
      <c r="H1777" s="44" t="s">
        <v>2338</v>
      </c>
      <c r="I1777" s="44" t="s">
        <v>2339</v>
      </c>
      <c r="J1777" s="44" t="s">
        <v>2340</v>
      </c>
      <c r="K1777" s="44" t="s">
        <v>3971</v>
      </c>
      <c r="L1777" s="44" t="s">
        <v>2333</v>
      </c>
      <c r="M1777" s="43"/>
      <c r="N1777" s="113" t="s">
        <v>1113</v>
      </c>
      <c r="O1777" s="113"/>
      <c r="P1777" s="113"/>
      <c r="Q1777" s="319"/>
      <c r="R1777" s="319"/>
      <c r="S1777" s="319"/>
      <c r="T1777" s="319"/>
      <c r="U1777" s="319"/>
      <c r="V1777" s="319"/>
      <c r="W1777" s="319"/>
      <c r="X1777" s="319"/>
      <c r="Y1777" s="319"/>
      <c r="Z1777" s="113"/>
      <c r="AA1777" s="319"/>
      <c r="AB1777" s="319"/>
      <c r="AC1777" s="319"/>
      <c r="AD1777" s="319"/>
      <c r="AE1777" s="319"/>
      <c r="AF1777" s="319"/>
      <c r="AG1777" s="319"/>
      <c r="AH1777" s="319"/>
      <c r="AI1777" s="319"/>
      <c r="AJ1777" s="319"/>
      <c r="AK1777" s="319" t="s">
        <v>1113</v>
      </c>
      <c r="AL1777" s="319"/>
      <c r="AM1777" s="319"/>
      <c r="AN1777" s="319"/>
      <c r="AO1777" s="44" t="s">
        <v>2334</v>
      </c>
      <c r="AP1777" s="44"/>
      <c r="AQ1777" s="236" t="str">
        <f>VLOOKUP(Table8[[#This Row],[Instrument]],Def_Targets!$D$73:$E$159,2,FALSE)</f>
        <v>I_Vehicleimprove</v>
      </c>
      <c r="AR1777" s="233" t="str">
        <f>VLOOKUP(Table8[[#This Row],[Country Code]],Table29[],3,FALSE)</f>
        <v>Non-Annex I</v>
      </c>
      <c r="AS1777" s="233" t="str">
        <f>VLOOKUP(Table8[[#This Row],[Country Code]],Table29[],4,FALSE)</f>
        <v>Africa</v>
      </c>
      <c r="AT1777" s="233" t="str">
        <f>VLOOKUP(Table8[[#This Row],[Country Code]],Table29[],5,FALSE)</f>
        <v>Low-income</v>
      </c>
      <c r="AU1777" s="233" t="str">
        <f>VLOOKUP(Table8[[#This Row],[Country Code]],Table29[],6,FALSE)</f>
        <v>no</v>
      </c>
      <c r="AV1777" s="233" t="str">
        <f>VLOOKUP(Table8[[#This Row],[Country Code]],Table29[],7,FALSE)</f>
        <v>no</v>
      </c>
      <c r="AW1777" s="233" t="str">
        <f>VLOOKUP(Table8[[#This Row],[Country Code]],Table29[],8,FALSE)</f>
        <v>non-OECD</v>
      </c>
      <c r="AX1777" s="233" t="str">
        <f>VLOOKUP(Table8[[#This Row],[Country Code]],Table29[],9,FALSE)</f>
        <v>no</v>
      </c>
      <c r="AY1777" s="233" t="str">
        <f>VLOOKUP(Table8[[#This Row],[Country Code]],Table29[],10,FALSE)</f>
        <v>no</v>
      </c>
      <c r="AZ1777" s="235">
        <f>VLOOKUP(Table8[[#This Row],[Country Code]],Table29[],23,FALSE)</f>
        <v>7.4932661090210999</v>
      </c>
      <c r="BA1777" s="235">
        <f>VLOOKUP(Table8[[#This Row],[Country Code]],Table29[],24,FALSE)</f>
        <v>0.60722858848321359</v>
      </c>
      <c r="BB1777" s="320"/>
      <c r="BC1777" s="320"/>
    </row>
    <row r="1778" spans="1:55" ht="30" hidden="1" x14ac:dyDescent="0.25">
      <c r="A1778" s="373">
        <v>17716</v>
      </c>
      <c r="B1778" s="233" t="str">
        <f>VLOOKUP(Table8[[#This Row],[Document ID]],Table1[],2,FALSE)</f>
        <v>RWA</v>
      </c>
      <c r="C1778" s="233" t="str">
        <f>VLOOKUP(Table8[[#This Row],[Document ID]],Table1[],3,FALSE)</f>
        <v>Rwanda</v>
      </c>
      <c r="D1778" s="243" t="str">
        <f>VLOOKUP(Table8[[#This Row],[Document ID]],Table1[],5,FALSE)</f>
        <v>NDC</v>
      </c>
      <c r="E1778" s="233" t="str">
        <f>VLOOKUP(Table8[[#This Row],[Document ID]],Table1[],7,FALSE)</f>
        <v>First NDC</v>
      </c>
      <c r="F1778" s="236" t="str">
        <f>VLOOKUP(Table8[[#This Row],[Document ID]],Table1[],8,FALSE)</f>
        <v>NDC 1.0</v>
      </c>
      <c r="G1778" s="236" t="str">
        <f>VLOOKUP(Table8[[#This Row],[Document ID]],Table1[],10,FALSE)</f>
        <v>Archived</v>
      </c>
      <c r="H1778" s="44" t="s">
        <v>2338</v>
      </c>
      <c r="I1778" s="44" t="s">
        <v>2339</v>
      </c>
      <c r="J1778" s="44" t="s">
        <v>2340</v>
      </c>
      <c r="K1778" s="44" t="s">
        <v>3972</v>
      </c>
      <c r="L1778" s="44" t="s">
        <v>2333</v>
      </c>
      <c r="M1778" s="43"/>
      <c r="N1778" s="113" t="s">
        <v>1113</v>
      </c>
      <c r="O1778" s="113"/>
      <c r="P1778" s="113"/>
      <c r="Q1778" s="319"/>
      <c r="R1778" s="319"/>
      <c r="S1778" s="319"/>
      <c r="T1778" s="319"/>
      <c r="U1778" s="319"/>
      <c r="V1778" s="319"/>
      <c r="W1778" s="319"/>
      <c r="X1778" s="319"/>
      <c r="Y1778" s="319"/>
      <c r="Z1778" s="113"/>
      <c r="AA1778" s="319"/>
      <c r="AB1778" s="319"/>
      <c r="AC1778" s="319"/>
      <c r="AD1778" s="319"/>
      <c r="AE1778" s="319"/>
      <c r="AF1778" s="319"/>
      <c r="AG1778" s="319"/>
      <c r="AH1778" s="319"/>
      <c r="AI1778" s="319"/>
      <c r="AJ1778" s="319"/>
      <c r="AK1778" s="319" t="s">
        <v>1113</v>
      </c>
      <c r="AL1778" s="319"/>
      <c r="AM1778" s="319"/>
      <c r="AN1778" s="319"/>
      <c r="AO1778" s="44" t="s">
        <v>2334</v>
      </c>
      <c r="AP1778" s="44"/>
      <c r="AQ1778" s="236" t="str">
        <f>VLOOKUP(Table8[[#This Row],[Instrument]],Def_Targets!$D$73:$E$159,2,FALSE)</f>
        <v>I_Vehicleimprove</v>
      </c>
      <c r="AR1778" s="233" t="str">
        <f>VLOOKUP(Table8[[#This Row],[Country Code]],Table29[],3,FALSE)</f>
        <v>Non-Annex I</v>
      </c>
      <c r="AS1778" s="233" t="str">
        <f>VLOOKUP(Table8[[#This Row],[Country Code]],Table29[],4,FALSE)</f>
        <v>Africa</v>
      </c>
      <c r="AT1778" s="233" t="str">
        <f>VLOOKUP(Table8[[#This Row],[Country Code]],Table29[],5,FALSE)</f>
        <v>Low-income</v>
      </c>
      <c r="AU1778" s="233" t="str">
        <f>VLOOKUP(Table8[[#This Row],[Country Code]],Table29[],6,FALSE)</f>
        <v>no</v>
      </c>
      <c r="AV1778" s="233" t="str">
        <f>VLOOKUP(Table8[[#This Row],[Country Code]],Table29[],7,FALSE)</f>
        <v>no</v>
      </c>
      <c r="AW1778" s="233" t="str">
        <f>VLOOKUP(Table8[[#This Row],[Country Code]],Table29[],8,FALSE)</f>
        <v>non-OECD</v>
      </c>
      <c r="AX1778" s="233" t="str">
        <f>VLOOKUP(Table8[[#This Row],[Country Code]],Table29[],9,FALSE)</f>
        <v>no</v>
      </c>
      <c r="AY1778" s="233" t="str">
        <f>VLOOKUP(Table8[[#This Row],[Country Code]],Table29[],10,FALSE)</f>
        <v>no</v>
      </c>
      <c r="AZ1778" s="235">
        <f>VLOOKUP(Table8[[#This Row],[Country Code]],Table29[],23,FALSE)</f>
        <v>7.4932661090210999</v>
      </c>
      <c r="BA1778" s="235">
        <f>VLOOKUP(Table8[[#This Row],[Country Code]],Table29[],24,FALSE)</f>
        <v>0.60722858848321359</v>
      </c>
      <c r="BB1778" s="320"/>
      <c r="BC1778" s="320"/>
    </row>
    <row r="1779" spans="1:55" hidden="1" x14ac:dyDescent="0.25">
      <c r="A1779" s="373">
        <v>17716</v>
      </c>
      <c r="B1779" s="233" t="str">
        <f>VLOOKUP(Table8[[#This Row],[Document ID]],Table1[],2,FALSE)</f>
        <v>RWA</v>
      </c>
      <c r="C1779" s="233" t="str">
        <f>VLOOKUP(Table8[[#This Row],[Document ID]],Table1[],3,FALSE)</f>
        <v>Rwanda</v>
      </c>
      <c r="D1779" s="243" t="str">
        <f>VLOOKUP(Table8[[#This Row],[Document ID]],Table1[],5,FALSE)</f>
        <v>NDC</v>
      </c>
      <c r="E1779" s="233" t="str">
        <f>VLOOKUP(Table8[[#This Row],[Document ID]],Table1[],7,FALSE)</f>
        <v>First NDC</v>
      </c>
      <c r="F1779" s="236" t="str">
        <f>VLOOKUP(Table8[[#This Row],[Document ID]],Table1[],8,FALSE)</f>
        <v>NDC 1.0</v>
      </c>
      <c r="G1779" s="236" t="str">
        <f>VLOOKUP(Table8[[#This Row],[Document ID]],Table1[],10,FALSE)</f>
        <v>Archived</v>
      </c>
      <c r="H1779" s="43" t="s">
        <v>2343</v>
      </c>
      <c r="I1779" s="43" t="s">
        <v>2386</v>
      </c>
      <c r="J1779" s="44" t="s">
        <v>2498</v>
      </c>
      <c r="K1779" s="44" t="s">
        <v>3973</v>
      </c>
      <c r="L1779" s="44" t="s">
        <v>2333</v>
      </c>
      <c r="M1779" s="43"/>
      <c r="N1779" s="113" t="s">
        <v>1113</v>
      </c>
      <c r="O1779" s="113"/>
      <c r="P1779" s="113"/>
      <c r="Q1779" s="319"/>
      <c r="R1779" s="319"/>
      <c r="S1779" s="319"/>
      <c r="T1779" s="319"/>
      <c r="U1779" s="319"/>
      <c r="V1779" s="319"/>
      <c r="W1779" s="319"/>
      <c r="X1779" s="319"/>
      <c r="Y1779" s="319"/>
      <c r="Z1779" s="113"/>
      <c r="AA1779" s="319"/>
      <c r="AB1779" s="319"/>
      <c r="AC1779" s="319"/>
      <c r="AD1779" s="319"/>
      <c r="AE1779" s="319"/>
      <c r="AF1779" s="319"/>
      <c r="AG1779" s="319"/>
      <c r="AH1779" s="319"/>
      <c r="AI1779" s="319"/>
      <c r="AJ1779" s="319"/>
      <c r="AK1779" s="319" t="s">
        <v>1113</v>
      </c>
      <c r="AL1779" s="319"/>
      <c r="AM1779" s="319"/>
      <c r="AN1779" s="319"/>
      <c r="AO1779" s="44" t="s">
        <v>2334</v>
      </c>
      <c r="AP1779" s="44"/>
      <c r="AQ1779" s="236" t="str">
        <f>VLOOKUP(Table8[[#This Row],[Instrument]],Def_Targets!$D$73:$E$159,2,FALSE)</f>
        <v>A_Fueltax</v>
      </c>
      <c r="AR1779" s="233" t="str">
        <f>VLOOKUP(Table8[[#This Row],[Country Code]],Table29[],3,FALSE)</f>
        <v>Non-Annex I</v>
      </c>
      <c r="AS1779" s="233" t="str">
        <f>VLOOKUP(Table8[[#This Row],[Country Code]],Table29[],4,FALSE)</f>
        <v>Africa</v>
      </c>
      <c r="AT1779" s="233" t="str">
        <f>VLOOKUP(Table8[[#This Row],[Country Code]],Table29[],5,FALSE)</f>
        <v>Low-income</v>
      </c>
      <c r="AU1779" s="233" t="str">
        <f>VLOOKUP(Table8[[#This Row],[Country Code]],Table29[],6,FALSE)</f>
        <v>no</v>
      </c>
      <c r="AV1779" s="233" t="str">
        <f>VLOOKUP(Table8[[#This Row],[Country Code]],Table29[],7,FALSE)</f>
        <v>no</v>
      </c>
      <c r="AW1779" s="233" t="str">
        <f>VLOOKUP(Table8[[#This Row],[Country Code]],Table29[],8,FALSE)</f>
        <v>non-OECD</v>
      </c>
      <c r="AX1779" s="233" t="str">
        <f>VLOOKUP(Table8[[#This Row],[Country Code]],Table29[],9,FALSE)</f>
        <v>no</v>
      </c>
      <c r="AY1779" s="233" t="str">
        <f>VLOOKUP(Table8[[#This Row],[Country Code]],Table29[],10,FALSE)</f>
        <v>no</v>
      </c>
      <c r="AZ1779" s="235">
        <f>VLOOKUP(Table8[[#This Row],[Country Code]],Table29[],23,FALSE)</f>
        <v>7.4932661090210999</v>
      </c>
      <c r="BA1779" s="235">
        <f>VLOOKUP(Table8[[#This Row],[Country Code]],Table29[],24,FALSE)</f>
        <v>0.60722858848321359</v>
      </c>
      <c r="BB1779" s="320"/>
      <c r="BC1779" s="320"/>
    </row>
    <row r="1780" spans="1:55" hidden="1" x14ac:dyDescent="0.25">
      <c r="A1780" s="373">
        <v>17716</v>
      </c>
      <c r="B1780" s="233" t="str">
        <f>VLOOKUP(Table8[[#This Row],[Document ID]],Table1[],2,FALSE)</f>
        <v>RWA</v>
      </c>
      <c r="C1780" s="233" t="str">
        <f>VLOOKUP(Table8[[#This Row],[Document ID]],Table1[],3,FALSE)</f>
        <v>Rwanda</v>
      </c>
      <c r="D1780" s="243" t="str">
        <f>VLOOKUP(Table8[[#This Row],[Document ID]],Table1[],5,FALSE)</f>
        <v>NDC</v>
      </c>
      <c r="E1780" s="233" t="str">
        <f>VLOOKUP(Table8[[#This Row],[Document ID]],Table1[],7,FALSE)</f>
        <v>First NDC</v>
      </c>
      <c r="F1780" s="236" t="str">
        <f>VLOOKUP(Table8[[#This Row],[Document ID]],Table1[],8,FALSE)</f>
        <v>NDC 1.0</v>
      </c>
      <c r="G1780" s="236" t="str">
        <f>VLOOKUP(Table8[[#This Row],[Document ID]],Table1[],10,FALSE)</f>
        <v>Archived</v>
      </c>
      <c r="H1780" s="43" t="s">
        <v>2343</v>
      </c>
      <c r="I1780" s="43" t="s">
        <v>2386</v>
      </c>
      <c r="J1780" s="44" t="s">
        <v>2530</v>
      </c>
      <c r="K1780" s="44" t="s">
        <v>3973</v>
      </c>
      <c r="L1780" s="44" t="s">
        <v>2333</v>
      </c>
      <c r="M1780" s="43"/>
      <c r="N1780" s="113" t="s">
        <v>1113</v>
      </c>
      <c r="O1780" s="113"/>
      <c r="P1780" s="113"/>
      <c r="Q1780" s="319"/>
      <c r="R1780" s="319"/>
      <c r="S1780" s="319"/>
      <c r="T1780" s="319"/>
      <c r="U1780" s="319"/>
      <c r="V1780" s="319"/>
      <c r="W1780" s="319"/>
      <c r="X1780" s="319"/>
      <c r="Y1780" s="319"/>
      <c r="Z1780" s="113"/>
      <c r="AA1780" s="319"/>
      <c r="AB1780" s="319"/>
      <c r="AC1780" s="319"/>
      <c r="AD1780" s="319"/>
      <c r="AE1780" s="319"/>
      <c r="AF1780" s="319"/>
      <c r="AG1780" s="319"/>
      <c r="AH1780" s="319"/>
      <c r="AI1780" s="319"/>
      <c r="AJ1780" s="319"/>
      <c r="AK1780" s="319" t="s">
        <v>1113</v>
      </c>
      <c r="AL1780" s="319"/>
      <c r="AM1780" s="319"/>
      <c r="AN1780" s="319"/>
      <c r="AO1780" s="44" t="s">
        <v>2334</v>
      </c>
      <c r="AP1780" s="44"/>
      <c r="AQ1780" s="236" t="str">
        <f>VLOOKUP(Table8[[#This Row],[Instrument]],Def_Targets!$D$73:$E$159,2,FALSE)</f>
        <v>A_Vehicletax</v>
      </c>
      <c r="AR1780" s="233" t="str">
        <f>VLOOKUP(Table8[[#This Row],[Country Code]],Table29[],3,FALSE)</f>
        <v>Non-Annex I</v>
      </c>
      <c r="AS1780" s="233" t="str">
        <f>VLOOKUP(Table8[[#This Row],[Country Code]],Table29[],4,FALSE)</f>
        <v>Africa</v>
      </c>
      <c r="AT1780" s="233" t="str">
        <f>VLOOKUP(Table8[[#This Row],[Country Code]],Table29[],5,FALSE)</f>
        <v>Low-income</v>
      </c>
      <c r="AU1780" s="233" t="str">
        <f>VLOOKUP(Table8[[#This Row],[Country Code]],Table29[],6,FALSE)</f>
        <v>no</v>
      </c>
      <c r="AV1780" s="233" t="str">
        <f>VLOOKUP(Table8[[#This Row],[Country Code]],Table29[],7,FALSE)</f>
        <v>no</v>
      </c>
      <c r="AW1780" s="233" t="str">
        <f>VLOOKUP(Table8[[#This Row],[Country Code]],Table29[],8,FALSE)</f>
        <v>non-OECD</v>
      </c>
      <c r="AX1780" s="233" t="str">
        <f>VLOOKUP(Table8[[#This Row],[Country Code]],Table29[],9,FALSE)</f>
        <v>no</v>
      </c>
      <c r="AY1780" s="233" t="str">
        <f>VLOOKUP(Table8[[#This Row],[Country Code]],Table29[],10,FALSE)</f>
        <v>no</v>
      </c>
      <c r="AZ1780" s="235">
        <f>VLOOKUP(Table8[[#This Row],[Country Code]],Table29[],23,FALSE)</f>
        <v>7.4932661090210999</v>
      </c>
      <c r="BA1780" s="235">
        <f>VLOOKUP(Table8[[#This Row],[Country Code]],Table29[],24,FALSE)</f>
        <v>0.60722858848321359</v>
      </c>
      <c r="BB1780" s="320"/>
      <c r="BC1780" s="320"/>
    </row>
    <row r="1781" spans="1:55" hidden="1" x14ac:dyDescent="0.25">
      <c r="A1781" s="373">
        <v>17716</v>
      </c>
      <c r="B1781" s="233" t="str">
        <f>VLOOKUP(Table8[[#This Row],[Document ID]],Table1[],2,FALSE)</f>
        <v>RWA</v>
      </c>
      <c r="C1781" s="233" t="str">
        <f>VLOOKUP(Table8[[#This Row],[Document ID]],Table1[],3,FALSE)</f>
        <v>Rwanda</v>
      </c>
      <c r="D1781" s="243" t="str">
        <f>VLOOKUP(Table8[[#This Row],[Document ID]],Table1[],5,FALSE)</f>
        <v>NDC</v>
      </c>
      <c r="E1781" s="233" t="str">
        <f>VLOOKUP(Table8[[#This Row],[Document ID]],Table1[],7,FALSE)</f>
        <v>First NDC</v>
      </c>
      <c r="F1781" s="236" t="str">
        <f>VLOOKUP(Table8[[#This Row],[Document ID]],Table1[],8,FALSE)</f>
        <v>NDC 1.0</v>
      </c>
      <c r="G1781" s="236" t="str">
        <f>VLOOKUP(Table8[[#This Row],[Document ID]],Table1[],10,FALSE)</f>
        <v>Archived</v>
      </c>
      <c r="H1781" s="44" t="s">
        <v>2338</v>
      </c>
      <c r="I1781" s="44" t="s">
        <v>2339</v>
      </c>
      <c r="J1781" s="44" t="s">
        <v>2556</v>
      </c>
      <c r="K1781" s="44" t="s">
        <v>3973</v>
      </c>
      <c r="L1781" s="44" t="s">
        <v>2333</v>
      </c>
      <c r="M1781" s="43"/>
      <c r="N1781" s="113" t="s">
        <v>1113</v>
      </c>
      <c r="O1781" s="113"/>
      <c r="P1781" s="113"/>
      <c r="Q1781" s="319"/>
      <c r="R1781" s="319"/>
      <c r="S1781" s="319"/>
      <c r="T1781" s="319"/>
      <c r="U1781" s="319"/>
      <c r="V1781" s="319"/>
      <c r="W1781" s="319"/>
      <c r="X1781" s="319"/>
      <c r="Y1781" s="319"/>
      <c r="Z1781" s="113"/>
      <c r="AA1781" s="319"/>
      <c r="AB1781" s="319"/>
      <c r="AC1781" s="319"/>
      <c r="AD1781" s="319"/>
      <c r="AE1781" s="319"/>
      <c r="AF1781" s="319"/>
      <c r="AG1781" s="319"/>
      <c r="AH1781" s="319"/>
      <c r="AI1781" s="319"/>
      <c r="AJ1781" s="319"/>
      <c r="AK1781" s="319" t="s">
        <v>1113</v>
      </c>
      <c r="AL1781" s="319"/>
      <c r="AM1781" s="319"/>
      <c r="AN1781" s="319"/>
      <c r="AO1781" s="44" t="s">
        <v>2334</v>
      </c>
      <c r="AP1781" s="44"/>
      <c r="AQ1781" s="236" t="str">
        <f>VLOOKUP(Table8[[#This Row],[Instrument]],Def_Targets!$D$73:$E$159,2,FALSE)</f>
        <v>I_Fuelqualimprove</v>
      </c>
      <c r="AR1781" s="233" t="str">
        <f>VLOOKUP(Table8[[#This Row],[Country Code]],Table29[],3,FALSE)</f>
        <v>Non-Annex I</v>
      </c>
      <c r="AS1781" s="233" t="str">
        <f>VLOOKUP(Table8[[#This Row],[Country Code]],Table29[],4,FALSE)</f>
        <v>Africa</v>
      </c>
      <c r="AT1781" s="233" t="str">
        <f>VLOOKUP(Table8[[#This Row],[Country Code]],Table29[],5,FALSE)</f>
        <v>Low-income</v>
      </c>
      <c r="AU1781" s="233" t="str">
        <f>VLOOKUP(Table8[[#This Row],[Country Code]],Table29[],6,FALSE)</f>
        <v>no</v>
      </c>
      <c r="AV1781" s="233" t="str">
        <f>VLOOKUP(Table8[[#This Row],[Country Code]],Table29[],7,FALSE)</f>
        <v>no</v>
      </c>
      <c r="AW1781" s="233" t="str">
        <f>VLOOKUP(Table8[[#This Row],[Country Code]],Table29[],8,FALSE)</f>
        <v>non-OECD</v>
      </c>
      <c r="AX1781" s="233" t="str">
        <f>VLOOKUP(Table8[[#This Row],[Country Code]],Table29[],9,FALSE)</f>
        <v>no</v>
      </c>
      <c r="AY1781" s="233" t="str">
        <f>VLOOKUP(Table8[[#This Row],[Country Code]],Table29[],10,FALSE)</f>
        <v>no</v>
      </c>
      <c r="AZ1781" s="235">
        <f>VLOOKUP(Table8[[#This Row],[Country Code]],Table29[],23,FALSE)</f>
        <v>7.4932661090210999</v>
      </c>
      <c r="BA1781" s="235">
        <f>VLOOKUP(Table8[[#This Row],[Country Code]],Table29[],24,FALSE)</f>
        <v>0.60722858848321359</v>
      </c>
      <c r="BB1781" s="320"/>
      <c r="BC1781" s="320"/>
    </row>
    <row r="1782" spans="1:55" hidden="1" x14ac:dyDescent="0.25">
      <c r="A1782" s="373">
        <v>17716</v>
      </c>
      <c r="B1782" s="233" t="str">
        <f>VLOOKUP(Table8[[#This Row],[Document ID]],Table1[],2,FALSE)</f>
        <v>RWA</v>
      </c>
      <c r="C1782" s="233" t="str">
        <f>VLOOKUP(Table8[[#This Row],[Document ID]],Table1[],3,FALSE)</f>
        <v>Rwanda</v>
      </c>
      <c r="D1782" s="243" t="str">
        <f>VLOOKUP(Table8[[#This Row],[Document ID]],Table1[],5,FALSE)</f>
        <v>NDC</v>
      </c>
      <c r="E1782" s="233" t="str">
        <f>VLOOKUP(Table8[[#This Row],[Document ID]],Table1[],7,FALSE)</f>
        <v>First NDC</v>
      </c>
      <c r="F1782" s="236" t="str">
        <f>VLOOKUP(Table8[[#This Row],[Document ID]],Table1[],8,FALSE)</f>
        <v>NDC 1.0</v>
      </c>
      <c r="G1782" s="236" t="str">
        <f>VLOOKUP(Table8[[#This Row],[Document ID]],Table1[],10,FALSE)</f>
        <v>Archived</v>
      </c>
      <c r="H1782" s="43" t="s">
        <v>2343</v>
      </c>
      <c r="I1782" s="43" t="s">
        <v>2386</v>
      </c>
      <c r="J1782" s="44" t="s">
        <v>2498</v>
      </c>
      <c r="K1782" s="44" t="s">
        <v>3973</v>
      </c>
      <c r="L1782" s="44" t="s">
        <v>2380</v>
      </c>
      <c r="M1782" s="43"/>
      <c r="N1782" s="113" t="s">
        <v>1113</v>
      </c>
      <c r="O1782" s="113"/>
      <c r="P1782" s="113"/>
      <c r="Q1782" s="319"/>
      <c r="R1782" s="319"/>
      <c r="S1782" s="319"/>
      <c r="T1782" s="319"/>
      <c r="U1782" s="113"/>
      <c r="V1782" s="319"/>
      <c r="W1782" s="319"/>
      <c r="X1782" s="319"/>
      <c r="Y1782" s="319"/>
      <c r="Z1782" s="113"/>
      <c r="AA1782" s="319"/>
      <c r="AB1782" s="319"/>
      <c r="AC1782" s="319"/>
      <c r="AD1782" s="113"/>
      <c r="AE1782" s="319"/>
      <c r="AF1782" s="319"/>
      <c r="AG1782" s="319"/>
      <c r="AH1782" s="319"/>
      <c r="AI1782" s="319"/>
      <c r="AJ1782" s="319"/>
      <c r="AK1782" s="319" t="s">
        <v>1113</v>
      </c>
      <c r="AL1782" s="319"/>
      <c r="AM1782" s="319"/>
      <c r="AN1782" s="319"/>
      <c r="AO1782" s="44" t="s">
        <v>2334</v>
      </c>
      <c r="AP1782" s="44"/>
      <c r="AQ1782" s="236" t="str">
        <f>VLOOKUP(Table8[[#This Row],[Instrument]],Def_Targets!$D$73:$E$159,2,FALSE)</f>
        <v>A_Fueltax</v>
      </c>
      <c r="AR1782" s="233" t="str">
        <f>VLOOKUP(Table8[[#This Row],[Country Code]],Table29[],3,FALSE)</f>
        <v>Non-Annex I</v>
      </c>
      <c r="AS1782" s="233" t="str">
        <f>VLOOKUP(Table8[[#This Row],[Country Code]],Table29[],4,FALSE)</f>
        <v>Africa</v>
      </c>
      <c r="AT1782" s="233" t="str">
        <f>VLOOKUP(Table8[[#This Row],[Country Code]],Table29[],5,FALSE)</f>
        <v>Low-income</v>
      </c>
      <c r="AU1782" s="233" t="str">
        <f>VLOOKUP(Table8[[#This Row],[Country Code]],Table29[],6,FALSE)</f>
        <v>no</v>
      </c>
      <c r="AV1782" s="233" t="str">
        <f>VLOOKUP(Table8[[#This Row],[Country Code]],Table29[],7,FALSE)</f>
        <v>no</v>
      </c>
      <c r="AW1782" s="233" t="str">
        <f>VLOOKUP(Table8[[#This Row],[Country Code]],Table29[],8,FALSE)</f>
        <v>non-OECD</v>
      </c>
      <c r="AX1782" s="233" t="str">
        <f>VLOOKUP(Table8[[#This Row],[Country Code]],Table29[],9,FALSE)</f>
        <v>no</v>
      </c>
      <c r="AY1782" s="233" t="str">
        <f>VLOOKUP(Table8[[#This Row],[Country Code]],Table29[],10,FALSE)</f>
        <v>no</v>
      </c>
      <c r="AZ1782" s="235">
        <f>VLOOKUP(Table8[[#This Row],[Country Code]],Table29[],23,FALSE)</f>
        <v>7.4932661090210999</v>
      </c>
      <c r="BA1782" s="235">
        <f>VLOOKUP(Table8[[#This Row],[Country Code]],Table29[],24,FALSE)</f>
        <v>0.60722858848321359</v>
      </c>
      <c r="BB1782" s="320"/>
      <c r="BC1782" s="320"/>
    </row>
    <row r="1783" spans="1:55" ht="45" hidden="1" x14ac:dyDescent="0.25">
      <c r="A1783" s="373">
        <v>17716</v>
      </c>
      <c r="B1783" s="233" t="str">
        <f>VLOOKUP(Table8[[#This Row],[Document ID]],Table1[],2,FALSE)</f>
        <v>RWA</v>
      </c>
      <c r="C1783" s="233" t="str">
        <f>VLOOKUP(Table8[[#This Row],[Document ID]],Table1[],3,FALSE)</f>
        <v>Rwanda</v>
      </c>
      <c r="D1783" s="243" t="str">
        <f>VLOOKUP(Table8[[#This Row],[Document ID]],Table1[],5,FALSE)</f>
        <v>NDC</v>
      </c>
      <c r="E1783" s="233" t="str">
        <f>VLOOKUP(Table8[[#This Row],[Document ID]],Table1[],7,FALSE)</f>
        <v>First NDC</v>
      </c>
      <c r="F1783" s="236" t="str">
        <f>VLOOKUP(Table8[[#This Row],[Document ID]],Table1[],8,FALSE)</f>
        <v>NDC 1.0</v>
      </c>
      <c r="G1783" s="236" t="str">
        <f>VLOOKUP(Table8[[#This Row],[Document ID]],Table1[],10,FALSE)</f>
        <v>Archived</v>
      </c>
      <c r="H1783" s="43" t="s">
        <v>2350</v>
      </c>
      <c r="I1783" s="43" t="s">
        <v>2456</v>
      </c>
      <c r="J1783" s="44" t="s">
        <v>2457</v>
      </c>
      <c r="K1783" s="44" t="s">
        <v>3974</v>
      </c>
      <c r="L1783" s="44" t="s">
        <v>2347</v>
      </c>
      <c r="M1783" s="43"/>
      <c r="N1783" s="113" t="s">
        <v>1113</v>
      </c>
      <c r="O1783" s="113"/>
      <c r="P1783" s="113"/>
      <c r="Q1783" s="319"/>
      <c r="R1783" s="319"/>
      <c r="S1783" s="319"/>
      <c r="T1783" s="319"/>
      <c r="U1783" s="319"/>
      <c r="V1783" s="319"/>
      <c r="W1783" s="319"/>
      <c r="X1783" s="319"/>
      <c r="Y1783" s="319"/>
      <c r="Z1783" s="113"/>
      <c r="AA1783" s="319"/>
      <c r="AB1783" s="319"/>
      <c r="AC1783" s="319"/>
      <c r="AD1783" s="319"/>
      <c r="AE1783" s="319"/>
      <c r="AF1783" s="319"/>
      <c r="AG1783" s="319"/>
      <c r="AH1783" s="319"/>
      <c r="AI1783" s="319"/>
      <c r="AJ1783" s="319"/>
      <c r="AK1783" s="319" t="s">
        <v>1113</v>
      </c>
      <c r="AL1783" s="319"/>
      <c r="AM1783" s="319"/>
      <c r="AN1783" s="319"/>
      <c r="AO1783" s="44" t="s">
        <v>2334</v>
      </c>
      <c r="AP1783" s="44"/>
      <c r="AQ1783" s="236" t="str">
        <f>VLOOKUP(Table8[[#This Row],[Instrument]],Def_Targets!$D$73:$E$159,2,FALSE)</f>
        <v>S_Infraimprove</v>
      </c>
      <c r="AR1783" s="233" t="str">
        <f>VLOOKUP(Table8[[#This Row],[Country Code]],Table29[],3,FALSE)</f>
        <v>Non-Annex I</v>
      </c>
      <c r="AS1783" s="233" t="str">
        <f>VLOOKUP(Table8[[#This Row],[Country Code]],Table29[],4,FALSE)</f>
        <v>Africa</v>
      </c>
      <c r="AT1783" s="233" t="str">
        <f>VLOOKUP(Table8[[#This Row],[Country Code]],Table29[],5,FALSE)</f>
        <v>Low-income</v>
      </c>
      <c r="AU1783" s="233" t="str">
        <f>VLOOKUP(Table8[[#This Row],[Country Code]],Table29[],6,FALSE)</f>
        <v>no</v>
      </c>
      <c r="AV1783" s="233" t="str">
        <f>VLOOKUP(Table8[[#This Row],[Country Code]],Table29[],7,FALSE)</f>
        <v>no</v>
      </c>
      <c r="AW1783" s="233" t="str">
        <f>VLOOKUP(Table8[[#This Row],[Country Code]],Table29[],8,FALSE)</f>
        <v>non-OECD</v>
      </c>
      <c r="AX1783" s="233" t="str">
        <f>VLOOKUP(Table8[[#This Row],[Country Code]],Table29[],9,FALSE)</f>
        <v>no</v>
      </c>
      <c r="AY1783" s="233" t="str">
        <f>VLOOKUP(Table8[[#This Row],[Country Code]],Table29[],10,FALSE)</f>
        <v>no</v>
      </c>
      <c r="AZ1783" s="235">
        <f>VLOOKUP(Table8[[#This Row],[Country Code]],Table29[],23,FALSE)</f>
        <v>7.4932661090210999</v>
      </c>
      <c r="BA1783" s="235">
        <f>VLOOKUP(Table8[[#This Row],[Country Code]],Table29[],24,FALSE)</f>
        <v>0.60722858848321359</v>
      </c>
      <c r="BB1783" s="320"/>
      <c r="BC1783" s="320"/>
    </row>
    <row r="1784" spans="1:55" hidden="1" x14ac:dyDescent="0.25">
      <c r="A1784" s="373">
        <v>17716</v>
      </c>
      <c r="B1784" s="233" t="str">
        <f>VLOOKUP(Table8[[#This Row],[Document ID]],Table1[],2,FALSE)</f>
        <v>RWA</v>
      </c>
      <c r="C1784" s="233" t="str">
        <f>VLOOKUP(Table8[[#This Row],[Document ID]],Table1[],3,FALSE)</f>
        <v>Rwanda</v>
      </c>
      <c r="D1784" s="243" t="str">
        <f>VLOOKUP(Table8[[#This Row],[Document ID]],Table1[],5,FALSE)</f>
        <v>NDC</v>
      </c>
      <c r="E1784" s="233" t="str">
        <f>VLOOKUP(Table8[[#This Row],[Document ID]],Table1[],7,FALSE)</f>
        <v>First NDC</v>
      </c>
      <c r="F1784" s="236" t="str">
        <f>VLOOKUP(Table8[[#This Row],[Document ID]],Table1[],8,FALSE)</f>
        <v>NDC 1.0</v>
      </c>
      <c r="G1784" s="236" t="str">
        <f>VLOOKUP(Table8[[#This Row],[Document ID]],Table1[],10,FALSE)</f>
        <v>Archived</v>
      </c>
      <c r="H1784" s="43" t="s">
        <v>2343</v>
      </c>
      <c r="I1784" s="43" t="s">
        <v>2344</v>
      </c>
      <c r="J1784" s="44" t="s">
        <v>2405</v>
      </c>
      <c r="K1784" s="44" t="s">
        <v>3975</v>
      </c>
      <c r="L1784" s="44" t="s">
        <v>2347</v>
      </c>
      <c r="M1784" s="43"/>
      <c r="N1784" s="113"/>
      <c r="O1784" s="113"/>
      <c r="P1784" s="113"/>
      <c r="Q1784" s="319"/>
      <c r="R1784" s="319"/>
      <c r="S1784" s="319"/>
      <c r="T1784" s="319"/>
      <c r="U1784" s="319"/>
      <c r="V1784" s="319"/>
      <c r="W1784" s="319"/>
      <c r="X1784" s="319"/>
      <c r="Y1784" s="319" t="s">
        <v>1113</v>
      </c>
      <c r="Z1784" s="113"/>
      <c r="AA1784" s="319"/>
      <c r="AB1784" s="319"/>
      <c r="AC1784" s="319"/>
      <c r="AD1784" s="319"/>
      <c r="AE1784" s="319"/>
      <c r="AF1784" s="319"/>
      <c r="AG1784" s="319"/>
      <c r="AH1784" s="319"/>
      <c r="AI1784" s="319"/>
      <c r="AJ1784" s="319"/>
      <c r="AK1784" s="319"/>
      <c r="AL1784" s="319" t="s">
        <v>1113</v>
      </c>
      <c r="AM1784" s="319"/>
      <c r="AN1784" s="319"/>
      <c r="AO1784" s="43" t="s">
        <v>2348</v>
      </c>
      <c r="AP1784" s="44"/>
      <c r="AQ1784" s="236" t="str">
        <f>VLOOKUP(Table8[[#This Row],[Instrument]],Def_Targets!$D$73:$E$159,2,FALSE)</f>
        <v>S_PTIntegration</v>
      </c>
      <c r="AR1784" s="233" t="str">
        <f>VLOOKUP(Table8[[#This Row],[Country Code]],Table29[],3,FALSE)</f>
        <v>Non-Annex I</v>
      </c>
      <c r="AS1784" s="233" t="str">
        <f>VLOOKUP(Table8[[#This Row],[Country Code]],Table29[],4,FALSE)</f>
        <v>Africa</v>
      </c>
      <c r="AT1784" s="233" t="str">
        <f>VLOOKUP(Table8[[#This Row],[Country Code]],Table29[],5,FALSE)</f>
        <v>Low-income</v>
      </c>
      <c r="AU1784" s="233" t="str">
        <f>VLOOKUP(Table8[[#This Row],[Country Code]],Table29[],6,FALSE)</f>
        <v>no</v>
      </c>
      <c r="AV1784" s="233" t="str">
        <f>VLOOKUP(Table8[[#This Row],[Country Code]],Table29[],7,FALSE)</f>
        <v>no</v>
      </c>
      <c r="AW1784" s="233" t="str">
        <f>VLOOKUP(Table8[[#This Row],[Country Code]],Table29[],8,FALSE)</f>
        <v>non-OECD</v>
      </c>
      <c r="AX1784" s="233" t="str">
        <f>VLOOKUP(Table8[[#This Row],[Country Code]],Table29[],9,FALSE)</f>
        <v>no</v>
      </c>
      <c r="AY1784" s="233" t="str">
        <f>VLOOKUP(Table8[[#This Row],[Country Code]],Table29[],10,FALSE)</f>
        <v>no</v>
      </c>
      <c r="AZ1784" s="235">
        <f>VLOOKUP(Table8[[#This Row],[Country Code]],Table29[],23,FALSE)</f>
        <v>7.4932661090210999</v>
      </c>
      <c r="BA1784" s="235">
        <f>VLOOKUP(Table8[[#This Row],[Country Code]],Table29[],24,FALSE)</f>
        <v>0.60722858848321359</v>
      </c>
      <c r="BB1784" s="320"/>
      <c r="BC1784" s="320"/>
    </row>
    <row r="1785" spans="1:55" hidden="1" x14ac:dyDescent="0.25">
      <c r="A1785" s="373">
        <v>17716</v>
      </c>
      <c r="B1785" s="233" t="str">
        <f>VLOOKUP(Table8[[#This Row],[Document ID]],Table1[],2,FALSE)</f>
        <v>RWA</v>
      </c>
      <c r="C1785" s="233" t="str">
        <f>VLOOKUP(Table8[[#This Row],[Document ID]],Table1[],3,FALSE)</f>
        <v>Rwanda</v>
      </c>
      <c r="D1785" s="243" t="str">
        <f>VLOOKUP(Table8[[#This Row],[Document ID]],Table1[],5,FALSE)</f>
        <v>NDC</v>
      </c>
      <c r="E1785" s="233" t="str">
        <f>VLOOKUP(Table8[[#This Row],[Document ID]],Table1[],7,FALSE)</f>
        <v>First NDC</v>
      </c>
      <c r="F1785" s="236" t="str">
        <f>VLOOKUP(Table8[[#This Row],[Document ID]],Table1[],8,FALSE)</f>
        <v>NDC 1.0</v>
      </c>
      <c r="G1785" s="236" t="str">
        <f>VLOOKUP(Table8[[#This Row],[Document ID]],Table1[],10,FALSE)</f>
        <v>Archived</v>
      </c>
      <c r="H1785" s="43" t="s">
        <v>2343</v>
      </c>
      <c r="I1785" s="43" t="s">
        <v>2377</v>
      </c>
      <c r="J1785" s="44" t="s">
        <v>2394</v>
      </c>
      <c r="K1785" s="44" t="s">
        <v>3976</v>
      </c>
      <c r="L1785" s="44" t="s">
        <v>2380</v>
      </c>
      <c r="M1785" s="43"/>
      <c r="N1785" s="113" t="s">
        <v>1113</v>
      </c>
      <c r="O1785" s="113"/>
      <c r="P1785" s="113"/>
      <c r="Q1785" s="319"/>
      <c r="R1785" s="319"/>
      <c r="S1785" s="319"/>
      <c r="T1785" s="319"/>
      <c r="U1785" s="319"/>
      <c r="V1785" s="319"/>
      <c r="W1785" s="319"/>
      <c r="X1785" s="319"/>
      <c r="Y1785" s="319"/>
      <c r="Z1785" s="113"/>
      <c r="AA1785" s="319"/>
      <c r="AB1785" s="319"/>
      <c r="AC1785" s="319"/>
      <c r="AD1785" s="319"/>
      <c r="AE1785" s="319"/>
      <c r="AF1785" s="319"/>
      <c r="AG1785" s="319"/>
      <c r="AH1785" s="319"/>
      <c r="AI1785" s="319"/>
      <c r="AJ1785" s="319"/>
      <c r="AK1785" s="319" t="s">
        <v>1113</v>
      </c>
      <c r="AL1785" s="319"/>
      <c r="AM1785" s="319"/>
      <c r="AN1785" s="319"/>
      <c r="AO1785" s="44" t="s">
        <v>2334</v>
      </c>
      <c r="AP1785" s="44"/>
      <c r="AQ1785" s="236" t="str">
        <f>VLOOKUP(Table8[[#This Row],[Instrument]],Def_Targets!$D$73:$E$159,2,FALSE)</f>
        <v>A_TDM</v>
      </c>
      <c r="AR1785" s="233" t="str">
        <f>VLOOKUP(Table8[[#This Row],[Country Code]],Table29[],3,FALSE)</f>
        <v>Non-Annex I</v>
      </c>
      <c r="AS1785" s="233" t="str">
        <f>VLOOKUP(Table8[[#This Row],[Country Code]],Table29[],4,FALSE)</f>
        <v>Africa</v>
      </c>
      <c r="AT1785" s="233" t="str">
        <f>VLOOKUP(Table8[[#This Row],[Country Code]],Table29[],5,FALSE)</f>
        <v>Low-income</v>
      </c>
      <c r="AU1785" s="233" t="str">
        <f>VLOOKUP(Table8[[#This Row],[Country Code]],Table29[],6,FALSE)</f>
        <v>no</v>
      </c>
      <c r="AV1785" s="233" t="str">
        <f>VLOOKUP(Table8[[#This Row],[Country Code]],Table29[],7,FALSE)</f>
        <v>no</v>
      </c>
      <c r="AW1785" s="233" t="str">
        <f>VLOOKUP(Table8[[#This Row],[Country Code]],Table29[],8,FALSE)</f>
        <v>non-OECD</v>
      </c>
      <c r="AX1785" s="233" t="str">
        <f>VLOOKUP(Table8[[#This Row],[Country Code]],Table29[],9,FALSE)</f>
        <v>no</v>
      </c>
      <c r="AY1785" s="233" t="str">
        <f>VLOOKUP(Table8[[#This Row],[Country Code]],Table29[],10,FALSE)</f>
        <v>no</v>
      </c>
      <c r="AZ1785" s="235">
        <f>VLOOKUP(Table8[[#This Row],[Country Code]],Table29[],23,FALSE)</f>
        <v>7.4932661090210999</v>
      </c>
      <c r="BA1785" s="235">
        <f>VLOOKUP(Table8[[#This Row],[Country Code]],Table29[],24,FALSE)</f>
        <v>0.60722858848321359</v>
      </c>
      <c r="BB1785" s="320"/>
      <c r="BC1785" s="320"/>
    </row>
    <row r="1786" spans="1:55" hidden="1" x14ac:dyDescent="0.25">
      <c r="A1786" s="373">
        <v>17716</v>
      </c>
      <c r="B1786" s="233" t="str">
        <f>VLOOKUP(Table8[[#This Row],[Document ID]],Table1[],2,FALSE)</f>
        <v>RWA</v>
      </c>
      <c r="C1786" s="233" t="str">
        <f>VLOOKUP(Table8[[#This Row],[Document ID]],Table1[],3,FALSE)</f>
        <v>Rwanda</v>
      </c>
      <c r="D1786" s="243" t="str">
        <f>VLOOKUP(Table8[[#This Row],[Document ID]],Table1[],5,FALSE)</f>
        <v>NDC</v>
      </c>
      <c r="E1786" s="233" t="str">
        <f>VLOOKUP(Table8[[#This Row],[Document ID]],Table1[],7,FALSE)</f>
        <v>First NDC</v>
      </c>
      <c r="F1786" s="236" t="str">
        <f>VLOOKUP(Table8[[#This Row],[Document ID]],Table1[],8,FALSE)</f>
        <v>NDC 1.0</v>
      </c>
      <c r="G1786" s="236" t="str">
        <f>VLOOKUP(Table8[[#This Row],[Document ID]],Table1[],10,FALSE)</f>
        <v>Archived</v>
      </c>
      <c r="H1786" s="43" t="s">
        <v>2350</v>
      </c>
      <c r="I1786" s="43" t="s">
        <v>2456</v>
      </c>
      <c r="J1786" s="44" t="s">
        <v>2643</v>
      </c>
      <c r="K1786" s="44" t="s">
        <v>3977</v>
      </c>
      <c r="L1786" s="44" t="s">
        <v>2347</v>
      </c>
      <c r="M1786" s="43"/>
      <c r="N1786" s="113" t="s">
        <v>1113</v>
      </c>
      <c r="O1786" s="113"/>
      <c r="P1786" s="113"/>
      <c r="Q1786" s="319"/>
      <c r="R1786" s="319"/>
      <c r="S1786" s="319"/>
      <c r="T1786" s="319"/>
      <c r="U1786" s="319"/>
      <c r="V1786" s="319"/>
      <c r="W1786" s="319"/>
      <c r="X1786" s="319"/>
      <c r="Y1786" s="319"/>
      <c r="Z1786" s="113"/>
      <c r="AA1786" s="319"/>
      <c r="AB1786" s="319"/>
      <c r="AC1786" s="319"/>
      <c r="AD1786" s="319"/>
      <c r="AE1786" s="319"/>
      <c r="AF1786" s="319"/>
      <c r="AG1786" s="319"/>
      <c r="AH1786" s="319"/>
      <c r="AI1786" s="319"/>
      <c r="AJ1786" s="319"/>
      <c r="AK1786" s="319" t="s">
        <v>1113</v>
      </c>
      <c r="AL1786" s="319"/>
      <c r="AM1786" s="319"/>
      <c r="AN1786" s="319"/>
      <c r="AO1786" s="43" t="s">
        <v>2348</v>
      </c>
      <c r="AP1786" s="44"/>
      <c r="AQ1786" s="236" t="str">
        <f>VLOOKUP(Table8[[#This Row],[Instrument]],Def_Targets!$D$73:$E$159,2,FALSE)</f>
        <v>S_Intermodality</v>
      </c>
      <c r="AR1786" s="233" t="str">
        <f>VLOOKUP(Table8[[#This Row],[Country Code]],Table29[],3,FALSE)</f>
        <v>Non-Annex I</v>
      </c>
      <c r="AS1786" s="233" t="str">
        <f>VLOOKUP(Table8[[#This Row],[Country Code]],Table29[],4,FALSE)</f>
        <v>Africa</v>
      </c>
      <c r="AT1786" s="233" t="str">
        <f>VLOOKUP(Table8[[#This Row],[Country Code]],Table29[],5,FALSE)</f>
        <v>Low-income</v>
      </c>
      <c r="AU1786" s="233" t="str">
        <f>VLOOKUP(Table8[[#This Row],[Country Code]],Table29[],6,FALSE)</f>
        <v>no</v>
      </c>
      <c r="AV1786" s="233" t="str">
        <f>VLOOKUP(Table8[[#This Row],[Country Code]],Table29[],7,FALSE)</f>
        <v>no</v>
      </c>
      <c r="AW1786" s="233" t="str">
        <f>VLOOKUP(Table8[[#This Row],[Country Code]],Table29[],8,FALSE)</f>
        <v>non-OECD</v>
      </c>
      <c r="AX1786" s="233" t="str">
        <f>VLOOKUP(Table8[[#This Row],[Country Code]],Table29[],9,FALSE)</f>
        <v>no</v>
      </c>
      <c r="AY1786" s="233" t="str">
        <f>VLOOKUP(Table8[[#This Row],[Country Code]],Table29[],10,FALSE)</f>
        <v>no</v>
      </c>
      <c r="AZ1786" s="235">
        <f>VLOOKUP(Table8[[#This Row],[Country Code]],Table29[],23,FALSE)</f>
        <v>7.4932661090210999</v>
      </c>
      <c r="BA1786" s="235">
        <f>VLOOKUP(Table8[[#This Row],[Country Code]],Table29[],24,FALSE)</f>
        <v>0.60722858848321359</v>
      </c>
      <c r="BB1786" s="320"/>
      <c r="BC1786" s="320"/>
    </row>
    <row r="1787" spans="1:55" hidden="1" x14ac:dyDescent="0.25">
      <c r="A1787" s="373">
        <v>17716</v>
      </c>
      <c r="B1787" s="233" t="str">
        <f>VLOOKUP(Table8[[#This Row],[Document ID]],Table1[],2,FALSE)</f>
        <v>RWA</v>
      </c>
      <c r="C1787" s="233" t="str">
        <f>VLOOKUP(Table8[[#This Row],[Document ID]],Table1[],3,FALSE)</f>
        <v>Rwanda</v>
      </c>
      <c r="D1787" s="243" t="str">
        <f>VLOOKUP(Table8[[#This Row],[Document ID]],Table1[],5,FALSE)</f>
        <v>NDC</v>
      </c>
      <c r="E1787" s="233" t="str">
        <f>VLOOKUP(Table8[[#This Row],[Document ID]],Table1[],7,FALSE)</f>
        <v>First NDC</v>
      </c>
      <c r="F1787" s="236" t="str">
        <f>VLOOKUP(Table8[[#This Row],[Document ID]],Table1[],8,FALSE)</f>
        <v>NDC 1.0</v>
      </c>
      <c r="G1787" s="236" t="str">
        <f>VLOOKUP(Table8[[#This Row],[Document ID]],Table1[],10,FALSE)</f>
        <v>Archived</v>
      </c>
      <c r="H1787" s="43" t="s">
        <v>2343</v>
      </c>
      <c r="I1787" s="43" t="s">
        <v>2344</v>
      </c>
      <c r="J1787" s="44" t="s">
        <v>2564</v>
      </c>
      <c r="K1787" s="44" t="s">
        <v>3978</v>
      </c>
      <c r="L1787" s="44" t="s">
        <v>2347</v>
      </c>
      <c r="M1787" s="43"/>
      <c r="N1787" s="113"/>
      <c r="O1787" s="113"/>
      <c r="P1787" s="113"/>
      <c r="Q1787" s="319"/>
      <c r="R1787" s="319"/>
      <c r="S1787" s="319"/>
      <c r="T1787" s="319"/>
      <c r="U1787" s="319"/>
      <c r="V1787" s="319"/>
      <c r="W1787" s="319"/>
      <c r="X1787" s="319"/>
      <c r="Y1787" s="319" t="s">
        <v>1113</v>
      </c>
      <c r="Z1787" s="113"/>
      <c r="AA1787" s="319"/>
      <c r="AB1787" s="319"/>
      <c r="AC1787" s="319"/>
      <c r="AD1787" s="319"/>
      <c r="AE1787" s="319"/>
      <c r="AF1787" s="319"/>
      <c r="AG1787" s="319"/>
      <c r="AH1787" s="319"/>
      <c r="AI1787" s="319"/>
      <c r="AJ1787" s="319"/>
      <c r="AK1787" s="319"/>
      <c r="AL1787" s="319" t="s">
        <v>1113</v>
      </c>
      <c r="AM1787" s="319"/>
      <c r="AN1787" s="319"/>
      <c r="AO1787" s="43" t="s">
        <v>2348</v>
      </c>
      <c r="AP1787" s="44"/>
      <c r="AQ1787" s="236" t="str">
        <f>VLOOKUP(Table8[[#This Row],[Instrument]],Def_Targets!$D$73:$E$159,2,FALSE)</f>
        <v>S_PTPriority</v>
      </c>
      <c r="AR1787" s="233" t="str">
        <f>VLOOKUP(Table8[[#This Row],[Country Code]],Table29[],3,FALSE)</f>
        <v>Non-Annex I</v>
      </c>
      <c r="AS1787" s="233" t="str">
        <f>VLOOKUP(Table8[[#This Row],[Country Code]],Table29[],4,FALSE)</f>
        <v>Africa</v>
      </c>
      <c r="AT1787" s="233" t="str">
        <f>VLOOKUP(Table8[[#This Row],[Country Code]],Table29[],5,FALSE)</f>
        <v>Low-income</v>
      </c>
      <c r="AU1787" s="233" t="str">
        <f>VLOOKUP(Table8[[#This Row],[Country Code]],Table29[],6,FALSE)</f>
        <v>no</v>
      </c>
      <c r="AV1787" s="233" t="str">
        <f>VLOOKUP(Table8[[#This Row],[Country Code]],Table29[],7,FALSE)</f>
        <v>no</v>
      </c>
      <c r="AW1787" s="233" t="str">
        <f>VLOOKUP(Table8[[#This Row],[Country Code]],Table29[],8,FALSE)</f>
        <v>non-OECD</v>
      </c>
      <c r="AX1787" s="233" t="str">
        <f>VLOOKUP(Table8[[#This Row],[Country Code]],Table29[],9,FALSE)</f>
        <v>no</v>
      </c>
      <c r="AY1787" s="233" t="str">
        <f>VLOOKUP(Table8[[#This Row],[Country Code]],Table29[],10,FALSE)</f>
        <v>no</v>
      </c>
      <c r="AZ1787" s="235">
        <f>VLOOKUP(Table8[[#This Row],[Country Code]],Table29[],23,FALSE)</f>
        <v>7.4932661090210999</v>
      </c>
      <c r="BA1787" s="235">
        <f>VLOOKUP(Table8[[#This Row],[Country Code]],Table29[],24,FALSE)</f>
        <v>0.60722858848321359</v>
      </c>
      <c r="BB1787" s="320"/>
      <c r="BC1787" s="320"/>
    </row>
    <row r="1788" spans="1:55" hidden="1" x14ac:dyDescent="0.25">
      <c r="A1788" s="373">
        <v>17716</v>
      </c>
      <c r="B1788" s="233" t="str">
        <f>VLOOKUP(Table8[[#This Row],[Document ID]],Table1[],2,FALSE)</f>
        <v>RWA</v>
      </c>
      <c r="C1788" s="233" t="str">
        <f>VLOOKUP(Table8[[#This Row],[Document ID]],Table1[],3,FALSE)</f>
        <v>Rwanda</v>
      </c>
      <c r="D1788" s="243" t="str">
        <f>VLOOKUP(Table8[[#This Row],[Document ID]],Table1[],5,FALSE)</f>
        <v>NDC</v>
      </c>
      <c r="E1788" s="233" t="str">
        <f>VLOOKUP(Table8[[#This Row],[Document ID]],Table1[],7,FALSE)</f>
        <v>First NDC</v>
      </c>
      <c r="F1788" s="236" t="str">
        <f>VLOOKUP(Table8[[#This Row],[Document ID]],Table1[],8,FALSE)</f>
        <v>NDC 1.0</v>
      </c>
      <c r="G1788" s="236" t="str">
        <f>VLOOKUP(Table8[[#This Row],[Document ID]],Table1[],10,FALSE)</f>
        <v>Archived</v>
      </c>
      <c r="H1788" s="43" t="s">
        <v>2343</v>
      </c>
      <c r="I1788" s="43" t="s">
        <v>2344</v>
      </c>
      <c r="J1788" s="44" t="s">
        <v>2549</v>
      </c>
      <c r="K1788" s="44" t="s">
        <v>3979</v>
      </c>
      <c r="L1788" s="44" t="s">
        <v>2347</v>
      </c>
      <c r="M1788" s="43"/>
      <c r="N1788" s="113"/>
      <c r="O1788" s="113"/>
      <c r="P1788" s="113"/>
      <c r="Q1788" s="319"/>
      <c r="R1788" s="319"/>
      <c r="S1788" s="319"/>
      <c r="T1788" s="319"/>
      <c r="U1788" s="319"/>
      <c r="V1788" s="319"/>
      <c r="W1788" s="319"/>
      <c r="X1788" s="319"/>
      <c r="Y1788" s="319" t="s">
        <v>1113</v>
      </c>
      <c r="Z1788" s="113"/>
      <c r="AA1788" s="319"/>
      <c r="AB1788" s="319"/>
      <c r="AC1788" s="319"/>
      <c r="AD1788" s="319"/>
      <c r="AE1788" s="319"/>
      <c r="AF1788" s="319"/>
      <c r="AG1788" s="319"/>
      <c r="AH1788" s="319"/>
      <c r="AI1788" s="319"/>
      <c r="AJ1788" s="319"/>
      <c r="AK1788" s="319"/>
      <c r="AL1788" s="319" t="s">
        <v>1113</v>
      </c>
      <c r="AM1788" s="319"/>
      <c r="AN1788" s="319"/>
      <c r="AO1788" s="43" t="s">
        <v>2348</v>
      </c>
      <c r="AP1788" s="44"/>
      <c r="AQ1788" s="236" t="str">
        <f>VLOOKUP(Table8[[#This Row],[Instrument]],Def_Targets!$D$73:$E$159,2,FALSE)</f>
        <v>S_BRT</v>
      </c>
      <c r="AR1788" s="233" t="str">
        <f>VLOOKUP(Table8[[#This Row],[Country Code]],Table29[],3,FALSE)</f>
        <v>Non-Annex I</v>
      </c>
      <c r="AS1788" s="233" t="str">
        <f>VLOOKUP(Table8[[#This Row],[Country Code]],Table29[],4,FALSE)</f>
        <v>Africa</v>
      </c>
      <c r="AT1788" s="233" t="str">
        <f>VLOOKUP(Table8[[#This Row],[Country Code]],Table29[],5,FALSE)</f>
        <v>Low-income</v>
      </c>
      <c r="AU1788" s="233" t="str">
        <f>VLOOKUP(Table8[[#This Row],[Country Code]],Table29[],6,FALSE)</f>
        <v>no</v>
      </c>
      <c r="AV1788" s="233" t="str">
        <f>VLOOKUP(Table8[[#This Row],[Country Code]],Table29[],7,FALSE)</f>
        <v>no</v>
      </c>
      <c r="AW1788" s="233" t="str">
        <f>VLOOKUP(Table8[[#This Row],[Country Code]],Table29[],8,FALSE)</f>
        <v>non-OECD</v>
      </c>
      <c r="AX1788" s="233" t="str">
        <f>VLOOKUP(Table8[[#This Row],[Country Code]],Table29[],9,FALSE)</f>
        <v>no</v>
      </c>
      <c r="AY1788" s="233" t="str">
        <f>VLOOKUP(Table8[[#This Row],[Country Code]],Table29[],10,FALSE)</f>
        <v>no</v>
      </c>
      <c r="AZ1788" s="235">
        <f>VLOOKUP(Table8[[#This Row],[Country Code]],Table29[],23,FALSE)</f>
        <v>7.4932661090210999</v>
      </c>
      <c r="BA1788" s="235">
        <f>VLOOKUP(Table8[[#This Row],[Country Code]],Table29[],24,FALSE)</f>
        <v>0.60722858848321359</v>
      </c>
      <c r="BB1788" s="320"/>
      <c r="BC1788" s="320"/>
    </row>
    <row r="1789" spans="1:55" hidden="1" x14ac:dyDescent="0.25">
      <c r="A1789" s="373">
        <v>17716</v>
      </c>
      <c r="B1789" s="233" t="str">
        <f>VLOOKUP(Table8[[#This Row],[Document ID]],Table1[],2,FALSE)</f>
        <v>RWA</v>
      </c>
      <c r="C1789" s="233" t="str">
        <f>VLOOKUP(Table8[[#This Row],[Document ID]],Table1[],3,FALSE)</f>
        <v>Rwanda</v>
      </c>
      <c r="D1789" s="243" t="str">
        <f>VLOOKUP(Table8[[#This Row],[Document ID]],Table1[],5,FALSE)</f>
        <v>NDC</v>
      </c>
      <c r="E1789" s="233" t="str">
        <f>VLOOKUP(Table8[[#This Row],[Document ID]],Table1[],7,FALSE)</f>
        <v>First NDC</v>
      </c>
      <c r="F1789" s="236" t="str">
        <f>VLOOKUP(Table8[[#This Row],[Document ID]],Table1[],8,FALSE)</f>
        <v>NDC 1.0</v>
      </c>
      <c r="G1789" s="236" t="str">
        <f>VLOOKUP(Table8[[#This Row],[Document ID]],Table1[],10,FALSE)</f>
        <v>Archived</v>
      </c>
      <c r="H1789" s="43" t="s">
        <v>2343</v>
      </c>
      <c r="I1789" s="43" t="s">
        <v>2361</v>
      </c>
      <c r="J1789" s="44" t="s">
        <v>2463</v>
      </c>
      <c r="K1789" s="44" t="s">
        <v>3980</v>
      </c>
      <c r="L1789" s="44" t="s">
        <v>2347</v>
      </c>
      <c r="M1789" s="43"/>
      <c r="N1789" s="113"/>
      <c r="O1789" s="113"/>
      <c r="P1789" s="113"/>
      <c r="Q1789" s="319" t="s">
        <v>1113</v>
      </c>
      <c r="R1789" s="319"/>
      <c r="S1789" s="319"/>
      <c r="T1789" s="319"/>
      <c r="U1789" s="319"/>
      <c r="V1789" s="319"/>
      <c r="W1789" s="319"/>
      <c r="X1789" s="319"/>
      <c r="Y1789" s="319"/>
      <c r="Z1789" s="113"/>
      <c r="AA1789" s="319"/>
      <c r="AB1789" s="319"/>
      <c r="AC1789" s="319"/>
      <c r="AD1789" s="319"/>
      <c r="AE1789" s="319"/>
      <c r="AF1789" s="319"/>
      <c r="AG1789" s="319"/>
      <c r="AH1789" s="319"/>
      <c r="AI1789" s="319"/>
      <c r="AJ1789" s="319"/>
      <c r="AK1789" s="319" t="s">
        <v>1113</v>
      </c>
      <c r="AL1789" s="319"/>
      <c r="AM1789" s="319"/>
      <c r="AN1789" s="319"/>
      <c r="AO1789" s="44" t="s">
        <v>2334</v>
      </c>
      <c r="AP1789" s="43"/>
      <c r="AQ1789" s="236" t="str">
        <f>VLOOKUP(Table8[[#This Row],[Instrument]],Def_Targets!$D$73:$E$159,2,FALSE)</f>
        <v>S_Walking</v>
      </c>
      <c r="AR1789" s="233" t="str">
        <f>VLOOKUP(Table8[[#This Row],[Country Code]],Table29[],3,FALSE)</f>
        <v>Non-Annex I</v>
      </c>
      <c r="AS1789" s="233" t="str">
        <f>VLOOKUP(Table8[[#This Row],[Country Code]],Table29[],4,FALSE)</f>
        <v>Africa</v>
      </c>
      <c r="AT1789" s="233" t="str">
        <f>VLOOKUP(Table8[[#This Row],[Country Code]],Table29[],5,FALSE)</f>
        <v>Low-income</v>
      </c>
      <c r="AU1789" s="233" t="str">
        <f>VLOOKUP(Table8[[#This Row],[Country Code]],Table29[],6,FALSE)</f>
        <v>no</v>
      </c>
      <c r="AV1789" s="233" t="str">
        <f>VLOOKUP(Table8[[#This Row],[Country Code]],Table29[],7,FALSE)</f>
        <v>no</v>
      </c>
      <c r="AW1789" s="233" t="str">
        <f>VLOOKUP(Table8[[#This Row],[Country Code]],Table29[],8,FALSE)</f>
        <v>non-OECD</v>
      </c>
      <c r="AX1789" s="233" t="str">
        <f>VLOOKUP(Table8[[#This Row],[Country Code]],Table29[],9,FALSE)</f>
        <v>no</v>
      </c>
      <c r="AY1789" s="233" t="str">
        <f>VLOOKUP(Table8[[#This Row],[Country Code]],Table29[],10,FALSE)</f>
        <v>no</v>
      </c>
      <c r="AZ1789" s="235">
        <f>VLOOKUP(Table8[[#This Row],[Country Code]],Table29[],23,FALSE)</f>
        <v>7.4932661090210999</v>
      </c>
      <c r="BA1789" s="235">
        <f>VLOOKUP(Table8[[#This Row],[Country Code]],Table29[],24,FALSE)</f>
        <v>0.60722858848321359</v>
      </c>
      <c r="BB1789" s="320"/>
      <c r="BC1789" s="320"/>
    </row>
    <row r="1790" spans="1:55" hidden="1" x14ac:dyDescent="0.25">
      <c r="A1790" s="373">
        <v>17716</v>
      </c>
      <c r="B1790" s="233" t="str">
        <f>VLOOKUP(Table8[[#This Row],[Document ID]],Table1[],2,FALSE)</f>
        <v>RWA</v>
      </c>
      <c r="C1790" s="233" t="str">
        <f>VLOOKUP(Table8[[#This Row],[Document ID]],Table1[],3,FALSE)</f>
        <v>Rwanda</v>
      </c>
      <c r="D1790" s="243" t="str">
        <f>VLOOKUP(Table8[[#This Row],[Document ID]],Table1[],5,FALSE)</f>
        <v>NDC</v>
      </c>
      <c r="E1790" s="233" t="str">
        <f>VLOOKUP(Table8[[#This Row],[Document ID]],Table1[],7,FALSE)</f>
        <v>First NDC</v>
      </c>
      <c r="F1790" s="236" t="str">
        <f>VLOOKUP(Table8[[#This Row],[Document ID]],Table1[],8,FALSE)</f>
        <v>NDC 1.0</v>
      </c>
      <c r="G1790" s="236" t="str">
        <f>VLOOKUP(Table8[[#This Row],[Document ID]],Table1[],10,FALSE)</f>
        <v>Archived</v>
      </c>
      <c r="H1790" s="44" t="s">
        <v>2329</v>
      </c>
      <c r="I1790" s="44" t="s">
        <v>2330</v>
      </c>
      <c r="J1790" s="44" t="s">
        <v>2381</v>
      </c>
      <c r="K1790" s="44" t="s">
        <v>3981</v>
      </c>
      <c r="L1790" s="44" t="s">
        <v>2333</v>
      </c>
      <c r="M1790" s="43"/>
      <c r="N1790" s="113" t="s">
        <v>1113</v>
      </c>
      <c r="O1790" s="113"/>
      <c r="P1790" s="113"/>
      <c r="Q1790" s="319"/>
      <c r="R1790" s="319"/>
      <c r="S1790" s="319"/>
      <c r="T1790" s="319"/>
      <c r="U1790" s="319"/>
      <c r="V1790" s="319"/>
      <c r="W1790" s="319"/>
      <c r="X1790" s="319"/>
      <c r="Y1790" s="319"/>
      <c r="Z1790" s="113"/>
      <c r="AA1790" s="319"/>
      <c r="AB1790" s="319"/>
      <c r="AC1790" s="319"/>
      <c r="AD1790" s="319"/>
      <c r="AE1790" s="319"/>
      <c r="AF1790" s="319"/>
      <c r="AG1790" s="319"/>
      <c r="AH1790" s="319"/>
      <c r="AI1790" s="319"/>
      <c r="AJ1790" s="319"/>
      <c r="AK1790" s="319" t="s">
        <v>1113</v>
      </c>
      <c r="AL1790" s="319"/>
      <c r="AM1790" s="319"/>
      <c r="AN1790" s="319"/>
      <c r="AO1790" s="44" t="s">
        <v>2334</v>
      </c>
      <c r="AP1790" s="44"/>
      <c r="AQ1790" s="236" t="str">
        <f>VLOOKUP(Table8[[#This Row],[Instrument]],Def_Targets!$D$73:$E$159,2,FALSE)</f>
        <v>I_RE</v>
      </c>
      <c r="AR1790" s="233" t="str">
        <f>VLOOKUP(Table8[[#This Row],[Country Code]],Table29[],3,FALSE)</f>
        <v>Non-Annex I</v>
      </c>
      <c r="AS1790" s="233" t="str">
        <f>VLOOKUP(Table8[[#This Row],[Country Code]],Table29[],4,FALSE)</f>
        <v>Africa</v>
      </c>
      <c r="AT1790" s="233" t="str">
        <f>VLOOKUP(Table8[[#This Row],[Country Code]],Table29[],5,FALSE)</f>
        <v>Low-income</v>
      </c>
      <c r="AU1790" s="233" t="str">
        <f>VLOOKUP(Table8[[#This Row],[Country Code]],Table29[],6,FALSE)</f>
        <v>no</v>
      </c>
      <c r="AV1790" s="233" t="str">
        <f>VLOOKUP(Table8[[#This Row],[Country Code]],Table29[],7,FALSE)</f>
        <v>no</v>
      </c>
      <c r="AW1790" s="233" t="str">
        <f>VLOOKUP(Table8[[#This Row],[Country Code]],Table29[],8,FALSE)</f>
        <v>non-OECD</v>
      </c>
      <c r="AX1790" s="233" t="str">
        <f>VLOOKUP(Table8[[#This Row],[Country Code]],Table29[],9,FALSE)</f>
        <v>no</v>
      </c>
      <c r="AY1790" s="233" t="str">
        <f>VLOOKUP(Table8[[#This Row],[Country Code]],Table29[],10,FALSE)</f>
        <v>no</v>
      </c>
      <c r="AZ1790" s="235">
        <f>VLOOKUP(Table8[[#This Row],[Country Code]],Table29[],23,FALSE)</f>
        <v>7.4932661090210999</v>
      </c>
      <c r="BA1790" s="235">
        <f>VLOOKUP(Table8[[#This Row],[Country Code]],Table29[],24,FALSE)</f>
        <v>0.60722858848321359</v>
      </c>
      <c r="BB1790" s="320"/>
      <c r="BC1790" s="320"/>
    </row>
    <row r="1791" spans="1:55" hidden="1" x14ac:dyDescent="0.25">
      <c r="A1791" s="373">
        <v>17716</v>
      </c>
      <c r="B1791" s="233" t="str">
        <f>VLOOKUP(Table8[[#This Row],[Document ID]],Table1[],2,FALSE)</f>
        <v>RWA</v>
      </c>
      <c r="C1791" s="233" t="str">
        <f>VLOOKUP(Table8[[#This Row],[Document ID]],Table1[],3,FALSE)</f>
        <v>Rwanda</v>
      </c>
      <c r="D1791" s="243" t="str">
        <f>VLOOKUP(Table8[[#This Row],[Document ID]],Table1[],5,FALSE)</f>
        <v>NDC</v>
      </c>
      <c r="E1791" s="233" t="str">
        <f>VLOOKUP(Table8[[#This Row],[Document ID]],Table1[],7,FALSE)</f>
        <v>First NDC</v>
      </c>
      <c r="F1791" s="236" t="str">
        <f>VLOOKUP(Table8[[#This Row],[Document ID]],Table1[],8,FALSE)</f>
        <v>NDC 1.0</v>
      </c>
      <c r="G1791" s="236" t="str">
        <f>VLOOKUP(Table8[[#This Row],[Document ID]],Table1[],10,FALSE)</f>
        <v>Archived</v>
      </c>
      <c r="H1791" s="44" t="s">
        <v>2338</v>
      </c>
      <c r="I1791" s="44" t="s">
        <v>2339</v>
      </c>
      <c r="J1791" s="44" t="s">
        <v>2451</v>
      </c>
      <c r="K1791" s="44" t="s">
        <v>3982</v>
      </c>
      <c r="L1791" s="44" t="s">
        <v>2333</v>
      </c>
      <c r="M1791" s="43"/>
      <c r="N1791" s="113" t="s">
        <v>1113</v>
      </c>
      <c r="O1791" s="113"/>
      <c r="P1791" s="113"/>
      <c r="Q1791" s="319"/>
      <c r="R1791" s="319"/>
      <c r="S1791" s="319"/>
      <c r="T1791" s="319"/>
      <c r="U1791" s="319"/>
      <c r="V1791" s="319"/>
      <c r="W1791" s="319"/>
      <c r="X1791" s="319"/>
      <c r="Y1791" s="319"/>
      <c r="Z1791" s="113"/>
      <c r="AA1791" s="319"/>
      <c r="AB1791" s="319"/>
      <c r="AC1791" s="319"/>
      <c r="AD1791" s="319"/>
      <c r="AE1791" s="319"/>
      <c r="AF1791" s="319"/>
      <c r="AG1791" s="319"/>
      <c r="AH1791" s="319"/>
      <c r="AI1791" s="319"/>
      <c r="AJ1791" s="319"/>
      <c r="AK1791" s="319" t="s">
        <v>1113</v>
      </c>
      <c r="AL1791" s="319"/>
      <c r="AM1791" s="319"/>
      <c r="AN1791" s="319"/>
      <c r="AO1791" s="44" t="s">
        <v>2334</v>
      </c>
      <c r="AP1791" s="44"/>
      <c r="AQ1791" s="236" t="str">
        <f>VLOOKUP(Table8[[#This Row],[Instrument]],Def_Targets!$D$73:$E$159,2,FALSE)</f>
        <v>I_Inspection</v>
      </c>
      <c r="AR1791" s="233" t="str">
        <f>VLOOKUP(Table8[[#This Row],[Country Code]],Table29[],3,FALSE)</f>
        <v>Non-Annex I</v>
      </c>
      <c r="AS1791" s="233" t="str">
        <f>VLOOKUP(Table8[[#This Row],[Country Code]],Table29[],4,FALSE)</f>
        <v>Africa</v>
      </c>
      <c r="AT1791" s="233" t="str">
        <f>VLOOKUP(Table8[[#This Row],[Country Code]],Table29[],5,FALSE)</f>
        <v>Low-income</v>
      </c>
      <c r="AU1791" s="233" t="str">
        <f>VLOOKUP(Table8[[#This Row],[Country Code]],Table29[],6,FALSE)</f>
        <v>no</v>
      </c>
      <c r="AV1791" s="233" t="str">
        <f>VLOOKUP(Table8[[#This Row],[Country Code]],Table29[],7,FALSE)</f>
        <v>no</v>
      </c>
      <c r="AW1791" s="233" t="str">
        <f>VLOOKUP(Table8[[#This Row],[Country Code]],Table29[],8,FALSE)</f>
        <v>non-OECD</v>
      </c>
      <c r="AX1791" s="233" t="str">
        <f>VLOOKUP(Table8[[#This Row],[Country Code]],Table29[],9,FALSE)</f>
        <v>no</v>
      </c>
      <c r="AY1791" s="233" t="str">
        <f>VLOOKUP(Table8[[#This Row],[Country Code]],Table29[],10,FALSE)</f>
        <v>no</v>
      </c>
      <c r="AZ1791" s="235">
        <f>VLOOKUP(Table8[[#This Row],[Country Code]],Table29[],23,FALSE)</f>
        <v>7.4932661090210999</v>
      </c>
      <c r="BA1791" s="235">
        <f>VLOOKUP(Table8[[#This Row],[Country Code]],Table29[],24,FALSE)</f>
        <v>0.60722858848321359</v>
      </c>
      <c r="BB1791" s="320"/>
      <c r="BC1791" s="320"/>
    </row>
    <row r="1792" spans="1:55" hidden="1" x14ac:dyDescent="0.25">
      <c r="A1792" s="373">
        <v>17716</v>
      </c>
      <c r="B1792" s="233" t="str">
        <f>VLOOKUP(Table8[[#This Row],[Document ID]],Table1[],2,FALSE)</f>
        <v>RWA</v>
      </c>
      <c r="C1792" s="233" t="str">
        <f>VLOOKUP(Table8[[#This Row],[Document ID]],Table1[],3,FALSE)</f>
        <v>Rwanda</v>
      </c>
      <c r="D1792" s="243" t="str">
        <f>VLOOKUP(Table8[[#This Row],[Document ID]],Table1[],5,FALSE)</f>
        <v>NDC</v>
      </c>
      <c r="E1792" s="233" t="str">
        <f>VLOOKUP(Table8[[#This Row],[Document ID]],Table1[],7,FALSE)</f>
        <v>First NDC</v>
      </c>
      <c r="F1792" s="236" t="str">
        <f>VLOOKUP(Table8[[#This Row],[Document ID]],Table1[],8,FALSE)</f>
        <v>NDC 1.0</v>
      </c>
      <c r="G1792" s="236" t="str">
        <f>VLOOKUP(Table8[[#This Row],[Document ID]],Table1[],10,FALSE)</f>
        <v>Archived</v>
      </c>
      <c r="H1792" s="43" t="s">
        <v>2350</v>
      </c>
      <c r="I1792" s="43" t="s">
        <v>2456</v>
      </c>
      <c r="J1792" s="44" t="s">
        <v>2643</v>
      </c>
      <c r="K1792" s="44" t="s">
        <v>3983</v>
      </c>
      <c r="L1792" s="44" t="s">
        <v>2347</v>
      </c>
      <c r="M1792" s="43"/>
      <c r="N1792" s="113" t="s">
        <v>1113</v>
      </c>
      <c r="O1792" s="113"/>
      <c r="P1792" s="113"/>
      <c r="Q1792" s="319"/>
      <c r="R1792" s="319"/>
      <c r="S1792" s="319"/>
      <c r="T1792" s="319"/>
      <c r="U1792" s="319"/>
      <c r="V1792" s="319"/>
      <c r="W1792" s="319"/>
      <c r="X1792" s="319"/>
      <c r="Y1792" s="319"/>
      <c r="Z1792" s="113"/>
      <c r="AA1792" s="319"/>
      <c r="AB1792" s="319"/>
      <c r="AC1792" s="319"/>
      <c r="AD1792" s="319"/>
      <c r="AE1792" s="319"/>
      <c r="AF1792" s="319"/>
      <c r="AG1792" s="319"/>
      <c r="AH1792" s="319"/>
      <c r="AI1792" s="319"/>
      <c r="AJ1792" s="319"/>
      <c r="AK1792" s="319" t="s">
        <v>1113</v>
      </c>
      <c r="AL1792" s="319"/>
      <c r="AM1792" s="319"/>
      <c r="AN1792" s="319"/>
      <c r="AO1792" s="44" t="s">
        <v>2334</v>
      </c>
      <c r="AP1792" s="44"/>
      <c r="AQ1792" s="236" t="str">
        <f>VLOOKUP(Table8[[#This Row],[Instrument]],Def_Targets!$D$73:$E$159,2,FALSE)</f>
        <v>S_Intermodality</v>
      </c>
      <c r="AR1792" s="233" t="str">
        <f>VLOOKUP(Table8[[#This Row],[Country Code]],Table29[],3,FALSE)</f>
        <v>Non-Annex I</v>
      </c>
      <c r="AS1792" s="233" t="str">
        <f>VLOOKUP(Table8[[#This Row],[Country Code]],Table29[],4,FALSE)</f>
        <v>Africa</v>
      </c>
      <c r="AT1792" s="233" t="str">
        <f>VLOOKUP(Table8[[#This Row],[Country Code]],Table29[],5,FALSE)</f>
        <v>Low-income</v>
      </c>
      <c r="AU1792" s="233" t="str">
        <f>VLOOKUP(Table8[[#This Row],[Country Code]],Table29[],6,FALSE)</f>
        <v>no</v>
      </c>
      <c r="AV1792" s="233" t="str">
        <f>VLOOKUP(Table8[[#This Row],[Country Code]],Table29[],7,FALSE)</f>
        <v>no</v>
      </c>
      <c r="AW1792" s="233" t="str">
        <f>VLOOKUP(Table8[[#This Row],[Country Code]],Table29[],8,FALSE)</f>
        <v>non-OECD</v>
      </c>
      <c r="AX1792" s="233" t="str">
        <f>VLOOKUP(Table8[[#This Row],[Country Code]],Table29[],9,FALSE)</f>
        <v>no</v>
      </c>
      <c r="AY1792" s="233" t="str">
        <f>VLOOKUP(Table8[[#This Row],[Country Code]],Table29[],10,FALSE)</f>
        <v>no</v>
      </c>
      <c r="AZ1792" s="235">
        <f>VLOOKUP(Table8[[#This Row],[Country Code]],Table29[],23,FALSE)</f>
        <v>7.4932661090210999</v>
      </c>
      <c r="BA1792" s="235">
        <f>VLOOKUP(Table8[[#This Row],[Country Code]],Table29[],24,FALSE)</f>
        <v>0.60722858848321359</v>
      </c>
      <c r="BB1792" s="320"/>
      <c r="BC1792" s="320"/>
    </row>
    <row r="1793" spans="1:55" ht="30" hidden="1" x14ac:dyDescent="0.25">
      <c r="A1793" s="373">
        <v>17716</v>
      </c>
      <c r="B1793" s="233" t="str">
        <f>VLOOKUP(Table8[[#This Row],[Document ID]],Table1[],2,FALSE)</f>
        <v>RWA</v>
      </c>
      <c r="C1793" s="233" t="str">
        <f>VLOOKUP(Table8[[#This Row],[Document ID]],Table1[],3,FALSE)</f>
        <v>Rwanda</v>
      </c>
      <c r="D1793" s="243" t="str">
        <f>VLOOKUP(Table8[[#This Row],[Document ID]],Table1[],5,FALSE)</f>
        <v>NDC</v>
      </c>
      <c r="E1793" s="233" t="str">
        <f>VLOOKUP(Table8[[#This Row],[Document ID]],Table1[],7,FALSE)</f>
        <v>First NDC</v>
      </c>
      <c r="F1793" s="236" t="str">
        <f>VLOOKUP(Table8[[#This Row],[Document ID]],Table1[],8,FALSE)</f>
        <v>NDC 1.0</v>
      </c>
      <c r="G1793" s="236" t="str">
        <f>VLOOKUP(Table8[[#This Row],[Document ID]],Table1[],10,FALSE)</f>
        <v>Archived</v>
      </c>
      <c r="H1793" s="43" t="s">
        <v>2350</v>
      </c>
      <c r="I1793" s="43" t="s">
        <v>2370</v>
      </c>
      <c r="J1793" s="44" t="s">
        <v>2371</v>
      </c>
      <c r="K1793" s="44" t="s">
        <v>3984</v>
      </c>
      <c r="L1793" s="44" t="s">
        <v>2373</v>
      </c>
      <c r="M1793" s="43"/>
      <c r="N1793" s="113" t="s">
        <v>1113</v>
      </c>
      <c r="O1793" s="113"/>
      <c r="P1793" s="113"/>
      <c r="Q1793" s="319"/>
      <c r="R1793" s="319"/>
      <c r="S1793" s="319"/>
      <c r="T1793" s="319"/>
      <c r="U1793" s="319"/>
      <c r="V1793" s="319"/>
      <c r="W1793" s="319"/>
      <c r="X1793" s="319"/>
      <c r="Y1793" s="319"/>
      <c r="Z1793" s="113"/>
      <c r="AA1793" s="319"/>
      <c r="AB1793" s="319"/>
      <c r="AC1793" s="319"/>
      <c r="AD1793" s="319"/>
      <c r="AE1793" s="319"/>
      <c r="AF1793" s="319"/>
      <c r="AG1793" s="319"/>
      <c r="AH1793" s="319"/>
      <c r="AI1793" s="319"/>
      <c r="AJ1793" s="319"/>
      <c r="AK1793" s="319" t="s">
        <v>1113</v>
      </c>
      <c r="AL1793" s="319"/>
      <c r="AM1793" s="319"/>
      <c r="AN1793" s="319"/>
      <c r="AO1793" s="44" t="s">
        <v>2334</v>
      </c>
      <c r="AP1793" s="44"/>
      <c r="AQ1793" s="236" t="str">
        <f>VLOOKUP(Table8[[#This Row],[Instrument]],Def_Targets!$D$73:$E$159,2,FALSE)</f>
        <v>A_Natmobplan</v>
      </c>
      <c r="AR1793" s="233" t="str">
        <f>VLOOKUP(Table8[[#This Row],[Country Code]],Table29[],3,FALSE)</f>
        <v>Non-Annex I</v>
      </c>
      <c r="AS1793" s="233" t="str">
        <f>VLOOKUP(Table8[[#This Row],[Country Code]],Table29[],4,FALSE)</f>
        <v>Africa</v>
      </c>
      <c r="AT1793" s="233" t="str">
        <f>VLOOKUP(Table8[[#This Row],[Country Code]],Table29[],5,FALSE)</f>
        <v>Low-income</v>
      </c>
      <c r="AU1793" s="233" t="str">
        <f>VLOOKUP(Table8[[#This Row],[Country Code]],Table29[],6,FALSE)</f>
        <v>no</v>
      </c>
      <c r="AV1793" s="233" t="str">
        <f>VLOOKUP(Table8[[#This Row],[Country Code]],Table29[],7,FALSE)</f>
        <v>no</v>
      </c>
      <c r="AW1793" s="233" t="str">
        <f>VLOOKUP(Table8[[#This Row],[Country Code]],Table29[],8,FALSE)</f>
        <v>non-OECD</v>
      </c>
      <c r="AX1793" s="233" t="str">
        <f>VLOOKUP(Table8[[#This Row],[Country Code]],Table29[],9,FALSE)</f>
        <v>no</v>
      </c>
      <c r="AY1793" s="233" t="str">
        <f>VLOOKUP(Table8[[#This Row],[Country Code]],Table29[],10,FALSE)</f>
        <v>no</v>
      </c>
      <c r="AZ1793" s="235">
        <f>VLOOKUP(Table8[[#This Row],[Country Code]],Table29[],23,FALSE)</f>
        <v>7.4932661090210999</v>
      </c>
      <c r="BA1793" s="235">
        <f>VLOOKUP(Table8[[#This Row],[Country Code]],Table29[],24,FALSE)</f>
        <v>0.60722858848321359</v>
      </c>
      <c r="BB1793" s="320"/>
      <c r="BC1793" s="320"/>
    </row>
    <row r="1794" spans="1:55" hidden="1" x14ac:dyDescent="0.25">
      <c r="A1794" s="373">
        <v>17716</v>
      </c>
      <c r="B1794" s="233" t="str">
        <f>VLOOKUP(Table8[[#This Row],[Document ID]],Table1[],2,FALSE)</f>
        <v>RWA</v>
      </c>
      <c r="C1794" s="233" t="str">
        <f>VLOOKUP(Table8[[#This Row],[Document ID]],Table1[],3,FALSE)</f>
        <v>Rwanda</v>
      </c>
      <c r="D1794" s="243" t="str">
        <f>VLOOKUP(Table8[[#This Row],[Document ID]],Table1[],5,FALSE)</f>
        <v>NDC</v>
      </c>
      <c r="E1794" s="233" t="str">
        <f>VLOOKUP(Table8[[#This Row],[Document ID]],Table1[],7,FALSE)</f>
        <v>First NDC</v>
      </c>
      <c r="F1794" s="236" t="str">
        <f>VLOOKUP(Table8[[#This Row],[Document ID]],Table1[],8,FALSE)</f>
        <v>NDC 1.0</v>
      </c>
      <c r="G1794" s="236" t="str">
        <f>VLOOKUP(Table8[[#This Row],[Document ID]],Table1[],10,FALSE)</f>
        <v>Archived</v>
      </c>
      <c r="H1794" s="43" t="s">
        <v>2343</v>
      </c>
      <c r="I1794" s="43" t="s">
        <v>2344</v>
      </c>
      <c r="J1794" s="44" t="s">
        <v>2345</v>
      </c>
      <c r="K1794" s="44" t="s">
        <v>3332</v>
      </c>
      <c r="L1794" s="44" t="s">
        <v>2347</v>
      </c>
      <c r="M1794" s="43"/>
      <c r="N1794" s="113" t="s">
        <v>1113</v>
      </c>
      <c r="O1794" s="113"/>
      <c r="P1794" s="113"/>
      <c r="Q1794" s="319"/>
      <c r="R1794" s="319"/>
      <c r="S1794" s="319"/>
      <c r="T1794" s="319"/>
      <c r="U1794" s="319"/>
      <c r="V1794" s="319"/>
      <c r="W1794" s="319"/>
      <c r="X1794" s="319"/>
      <c r="Y1794" s="319"/>
      <c r="Z1794" s="113"/>
      <c r="AA1794" s="319"/>
      <c r="AB1794" s="319"/>
      <c r="AC1794" s="319"/>
      <c r="AD1794" s="319"/>
      <c r="AE1794" s="319"/>
      <c r="AF1794" s="319"/>
      <c r="AG1794" s="319"/>
      <c r="AH1794" s="319"/>
      <c r="AI1794" s="319"/>
      <c r="AJ1794" s="319"/>
      <c r="AK1794" s="319" t="s">
        <v>1113</v>
      </c>
      <c r="AL1794" s="319"/>
      <c r="AM1794" s="319"/>
      <c r="AN1794" s="319"/>
      <c r="AO1794" s="43" t="s">
        <v>2348</v>
      </c>
      <c r="AP1794" s="44"/>
      <c r="AQ1794" s="236" t="str">
        <f>VLOOKUP(Table8[[#This Row],[Instrument]],Def_Targets!$D$73:$E$159,2,FALSE)</f>
        <v>S_PublicTransport</v>
      </c>
      <c r="AR1794" s="233" t="str">
        <f>VLOOKUP(Table8[[#This Row],[Country Code]],Table29[],3,FALSE)</f>
        <v>Non-Annex I</v>
      </c>
      <c r="AS1794" s="233" t="str">
        <f>VLOOKUP(Table8[[#This Row],[Country Code]],Table29[],4,FALSE)</f>
        <v>Africa</v>
      </c>
      <c r="AT1794" s="233" t="str">
        <f>VLOOKUP(Table8[[#This Row],[Country Code]],Table29[],5,FALSE)</f>
        <v>Low-income</v>
      </c>
      <c r="AU1794" s="233" t="str">
        <f>VLOOKUP(Table8[[#This Row],[Country Code]],Table29[],6,FALSE)</f>
        <v>no</v>
      </c>
      <c r="AV1794" s="233" t="str">
        <f>VLOOKUP(Table8[[#This Row],[Country Code]],Table29[],7,FALSE)</f>
        <v>no</v>
      </c>
      <c r="AW1794" s="233" t="str">
        <f>VLOOKUP(Table8[[#This Row],[Country Code]],Table29[],8,FALSE)</f>
        <v>non-OECD</v>
      </c>
      <c r="AX1794" s="233" t="str">
        <f>VLOOKUP(Table8[[#This Row],[Country Code]],Table29[],9,FALSE)</f>
        <v>no</v>
      </c>
      <c r="AY1794" s="233" t="str">
        <f>VLOOKUP(Table8[[#This Row],[Country Code]],Table29[],10,FALSE)</f>
        <v>no</v>
      </c>
      <c r="AZ1794" s="235">
        <f>VLOOKUP(Table8[[#This Row],[Country Code]],Table29[],23,FALSE)</f>
        <v>7.4932661090210999</v>
      </c>
      <c r="BA1794" s="235">
        <f>VLOOKUP(Table8[[#This Row],[Country Code]],Table29[],24,FALSE)</f>
        <v>0.60722858848321359</v>
      </c>
      <c r="BB1794" s="320"/>
      <c r="BC1794" s="320"/>
    </row>
    <row r="1795" spans="1:55" hidden="1" x14ac:dyDescent="0.25">
      <c r="A1795" s="373">
        <v>17716</v>
      </c>
      <c r="B1795" s="233" t="str">
        <f>VLOOKUP(Table8[[#This Row],[Document ID]],Table1[],2,FALSE)</f>
        <v>RWA</v>
      </c>
      <c r="C1795" s="233" t="str">
        <f>VLOOKUP(Table8[[#This Row],[Document ID]],Table1[],3,FALSE)</f>
        <v>Rwanda</v>
      </c>
      <c r="D1795" s="243" t="str">
        <f>VLOOKUP(Table8[[#This Row],[Document ID]],Table1[],5,FALSE)</f>
        <v>NDC</v>
      </c>
      <c r="E1795" s="233" t="str">
        <f>VLOOKUP(Table8[[#This Row],[Document ID]],Table1[],7,FALSE)</f>
        <v>First NDC</v>
      </c>
      <c r="F1795" s="236" t="str">
        <f>VLOOKUP(Table8[[#This Row],[Document ID]],Table1[],8,FALSE)</f>
        <v>NDC 1.0</v>
      </c>
      <c r="G1795" s="236" t="str">
        <f>VLOOKUP(Table8[[#This Row],[Document ID]],Table1[],10,FALSE)</f>
        <v>Archived</v>
      </c>
      <c r="H1795" s="44" t="s">
        <v>2338</v>
      </c>
      <c r="I1795" s="44" t="s">
        <v>2339</v>
      </c>
      <c r="J1795" s="44" t="s">
        <v>2416</v>
      </c>
      <c r="K1795" s="44" t="s">
        <v>3985</v>
      </c>
      <c r="L1795" s="44" t="s">
        <v>2333</v>
      </c>
      <c r="M1795" s="43"/>
      <c r="N1795" s="113" t="s">
        <v>1113</v>
      </c>
      <c r="O1795" s="113"/>
      <c r="P1795" s="113"/>
      <c r="Q1795" s="319"/>
      <c r="R1795" s="319"/>
      <c r="S1795" s="319"/>
      <c r="T1795" s="319"/>
      <c r="U1795" s="319"/>
      <c r="V1795" s="319"/>
      <c r="W1795" s="319"/>
      <c r="X1795" s="319"/>
      <c r="Y1795" s="319"/>
      <c r="Z1795" s="319"/>
      <c r="AA1795" s="319"/>
      <c r="AB1795" s="319"/>
      <c r="AC1795" s="319"/>
      <c r="AD1795" s="319"/>
      <c r="AE1795" s="319"/>
      <c r="AF1795" s="319"/>
      <c r="AG1795" s="319"/>
      <c r="AH1795" s="319"/>
      <c r="AI1795" s="319"/>
      <c r="AJ1795" s="319"/>
      <c r="AK1795" s="319" t="s">
        <v>1113</v>
      </c>
      <c r="AL1795" s="319"/>
      <c r="AM1795" s="319"/>
      <c r="AN1795" s="319"/>
      <c r="AO1795" s="44" t="s">
        <v>2334</v>
      </c>
      <c r="AP1795" s="44"/>
      <c r="AQ1795" s="236" t="str">
        <f>VLOOKUP(Table8[[#This Row],[Instrument]],Def_Targets!$D$73:$E$159,2,FALSE)</f>
        <v>I_Vehiclescrappage</v>
      </c>
      <c r="AR1795" s="233" t="str">
        <f>VLOOKUP(Table8[[#This Row],[Country Code]],Table29[],3,FALSE)</f>
        <v>Non-Annex I</v>
      </c>
      <c r="AS1795" s="233" t="str">
        <f>VLOOKUP(Table8[[#This Row],[Country Code]],Table29[],4,FALSE)</f>
        <v>Africa</v>
      </c>
      <c r="AT1795" s="233" t="str">
        <f>VLOOKUP(Table8[[#This Row],[Country Code]],Table29[],5,FALSE)</f>
        <v>Low-income</v>
      </c>
      <c r="AU1795" s="233" t="str">
        <f>VLOOKUP(Table8[[#This Row],[Country Code]],Table29[],6,FALSE)</f>
        <v>no</v>
      </c>
      <c r="AV1795" s="233" t="str">
        <f>VLOOKUP(Table8[[#This Row],[Country Code]],Table29[],7,FALSE)</f>
        <v>no</v>
      </c>
      <c r="AW1795" s="233" t="str">
        <f>VLOOKUP(Table8[[#This Row],[Country Code]],Table29[],8,FALSE)</f>
        <v>non-OECD</v>
      </c>
      <c r="AX1795" s="233" t="str">
        <f>VLOOKUP(Table8[[#This Row],[Country Code]],Table29[],9,FALSE)</f>
        <v>no</v>
      </c>
      <c r="AY1795" s="233" t="str">
        <f>VLOOKUP(Table8[[#This Row],[Country Code]],Table29[],10,FALSE)</f>
        <v>no</v>
      </c>
      <c r="AZ1795" s="235">
        <f>VLOOKUP(Table8[[#This Row],[Country Code]],Table29[],23,FALSE)</f>
        <v>7.4932661090210999</v>
      </c>
      <c r="BA1795" s="235">
        <f>VLOOKUP(Table8[[#This Row],[Country Code]],Table29[],24,FALSE)</f>
        <v>0.60722858848321359</v>
      </c>
      <c r="BB1795" s="320"/>
      <c r="BC1795" s="320"/>
    </row>
    <row r="1796" spans="1:55" hidden="1" x14ac:dyDescent="0.25">
      <c r="A1796" s="373">
        <v>17716</v>
      </c>
      <c r="B1796" s="233" t="str">
        <f>VLOOKUP(Table8[[#This Row],[Document ID]],Table1[],2,FALSE)</f>
        <v>RWA</v>
      </c>
      <c r="C1796" s="233" t="str">
        <f>VLOOKUP(Table8[[#This Row],[Document ID]],Table1[],3,FALSE)</f>
        <v>Rwanda</v>
      </c>
      <c r="D1796" s="243" t="str">
        <f>VLOOKUP(Table8[[#This Row],[Document ID]],Table1[],5,FALSE)</f>
        <v>NDC</v>
      </c>
      <c r="E1796" s="233" t="str">
        <f>VLOOKUP(Table8[[#This Row],[Document ID]],Table1[],7,FALSE)</f>
        <v>First NDC</v>
      </c>
      <c r="F1796" s="236" t="str">
        <f>VLOOKUP(Table8[[#This Row],[Document ID]],Table1[],8,FALSE)</f>
        <v>NDC 1.0</v>
      </c>
      <c r="G1796" s="236" t="str">
        <f>VLOOKUP(Table8[[#This Row],[Document ID]],Table1[],10,FALSE)</f>
        <v>Archived</v>
      </c>
      <c r="H1796" s="44" t="s">
        <v>2338</v>
      </c>
      <c r="I1796" s="44" t="s">
        <v>2339</v>
      </c>
      <c r="J1796" s="44" t="s">
        <v>2340</v>
      </c>
      <c r="K1796" s="44" t="s">
        <v>3973</v>
      </c>
      <c r="L1796" s="44" t="s">
        <v>2333</v>
      </c>
      <c r="M1796" s="43"/>
      <c r="N1796" s="113" t="s">
        <v>1113</v>
      </c>
      <c r="O1796" s="113"/>
      <c r="P1796" s="113"/>
      <c r="Q1796" s="319"/>
      <c r="R1796" s="319"/>
      <c r="S1796" s="319"/>
      <c r="T1796" s="319"/>
      <c r="U1796" s="319"/>
      <c r="V1796" s="319"/>
      <c r="W1796" s="319"/>
      <c r="X1796" s="319"/>
      <c r="Y1796" s="319"/>
      <c r="Z1796" s="319"/>
      <c r="AA1796" s="319"/>
      <c r="AB1796" s="319"/>
      <c r="AC1796" s="319"/>
      <c r="AD1796" s="319"/>
      <c r="AE1796" s="319"/>
      <c r="AF1796" s="319"/>
      <c r="AG1796" s="319"/>
      <c r="AH1796" s="319"/>
      <c r="AI1796" s="319"/>
      <c r="AJ1796" s="319"/>
      <c r="AK1796" s="319" t="s">
        <v>1113</v>
      </c>
      <c r="AL1796" s="319"/>
      <c r="AM1796" s="319"/>
      <c r="AN1796" s="319"/>
      <c r="AO1796" s="44" t="s">
        <v>2334</v>
      </c>
      <c r="AP1796" s="44"/>
      <c r="AQ1796" s="236" t="str">
        <f>VLOOKUP(Table8[[#This Row],[Instrument]],Def_Targets!$D$73:$E$159,2,FALSE)</f>
        <v>I_Vehicleimprove</v>
      </c>
      <c r="AR1796" s="233" t="str">
        <f>VLOOKUP(Table8[[#This Row],[Country Code]],Table29[],3,FALSE)</f>
        <v>Non-Annex I</v>
      </c>
      <c r="AS1796" s="233" t="str">
        <f>VLOOKUP(Table8[[#This Row],[Country Code]],Table29[],4,FALSE)</f>
        <v>Africa</v>
      </c>
      <c r="AT1796" s="233" t="str">
        <f>VLOOKUP(Table8[[#This Row],[Country Code]],Table29[],5,FALSE)</f>
        <v>Low-income</v>
      </c>
      <c r="AU1796" s="233" t="str">
        <f>VLOOKUP(Table8[[#This Row],[Country Code]],Table29[],6,FALSE)</f>
        <v>no</v>
      </c>
      <c r="AV1796" s="233" t="str">
        <f>VLOOKUP(Table8[[#This Row],[Country Code]],Table29[],7,FALSE)</f>
        <v>no</v>
      </c>
      <c r="AW1796" s="233" t="str">
        <f>VLOOKUP(Table8[[#This Row],[Country Code]],Table29[],8,FALSE)</f>
        <v>non-OECD</v>
      </c>
      <c r="AX1796" s="233" t="str">
        <f>VLOOKUP(Table8[[#This Row],[Country Code]],Table29[],9,FALSE)</f>
        <v>no</v>
      </c>
      <c r="AY1796" s="233" t="str">
        <f>VLOOKUP(Table8[[#This Row],[Country Code]],Table29[],10,FALSE)</f>
        <v>no</v>
      </c>
      <c r="AZ1796" s="235">
        <f>VLOOKUP(Table8[[#This Row],[Country Code]],Table29[],23,FALSE)</f>
        <v>7.4932661090210999</v>
      </c>
      <c r="BA1796" s="235">
        <f>VLOOKUP(Table8[[#This Row],[Country Code]],Table29[],24,FALSE)</f>
        <v>0.60722858848321359</v>
      </c>
      <c r="BB1796" s="320"/>
      <c r="BC1796" s="320"/>
    </row>
    <row r="1797" spans="1:55" hidden="1" x14ac:dyDescent="0.25">
      <c r="A1797" s="373">
        <v>17717</v>
      </c>
      <c r="B1797" s="233" t="str">
        <f>VLOOKUP(Table8[[#This Row],[Document ID]],Table1[],2,FALSE)</f>
        <v>RWA</v>
      </c>
      <c r="C1797" s="233" t="str">
        <f>VLOOKUP(Table8[[#This Row],[Document ID]],Table1[],3,FALSE)</f>
        <v>Rwanda</v>
      </c>
      <c r="D1797" s="243" t="str">
        <f>VLOOKUP(Table8[[#This Row],[Document ID]],Table1[],5,FALSE)</f>
        <v>NDC</v>
      </c>
      <c r="E1797" s="233" t="str">
        <f>VLOOKUP(Table8[[#This Row],[Document ID]],Table1[],7,FALSE)</f>
        <v>First NDC updated</v>
      </c>
      <c r="F1797" s="236" t="str">
        <f>VLOOKUP(Table8[[#This Row],[Document ID]],Table1[],8,FALSE)</f>
        <v>NDC 1.1</v>
      </c>
      <c r="G1797" s="236" t="str">
        <f>VLOOKUP(Table8[[#This Row],[Document ID]],Table1[],10,FALSE)</f>
        <v>Active</v>
      </c>
      <c r="H1797" s="44" t="s">
        <v>2338</v>
      </c>
      <c r="I1797" s="44" t="s">
        <v>2339</v>
      </c>
      <c r="J1797" s="44" t="s">
        <v>2451</v>
      </c>
      <c r="K1797" s="44" t="s">
        <v>3986</v>
      </c>
      <c r="L1797" s="44" t="s">
        <v>2333</v>
      </c>
      <c r="M1797" s="43">
        <v>37</v>
      </c>
      <c r="N1797" s="113" t="s">
        <v>1113</v>
      </c>
      <c r="O1797" s="113"/>
      <c r="P1797" s="113"/>
      <c r="Q1797" s="319"/>
      <c r="R1797" s="319"/>
      <c r="S1797" s="319"/>
      <c r="T1797" s="319"/>
      <c r="U1797" s="319"/>
      <c r="V1797" s="319"/>
      <c r="W1797" s="319"/>
      <c r="X1797" s="319"/>
      <c r="Y1797" s="319"/>
      <c r="Z1797" s="113"/>
      <c r="AA1797" s="319"/>
      <c r="AB1797" s="319"/>
      <c r="AC1797" s="319"/>
      <c r="AD1797" s="319"/>
      <c r="AE1797" s="319"/>
      <c r="AF1797" s="319"/>
      <c r="AG1797" s="319"/>
      <c r="AH1797" s="319"/>
      <c r="AI1797" s="319"/>
      <c r="AJ1797" s="319"/>
      <c r="AK1797" s="319" t="s">
        <v>1113</v>
      </c>
      <c r="AL1797" s="319"/>
      <c r="AM1797" s="319"/>
      <c r="AN1797" s="319"/>
      <c r="AO1797" s="44" t="s">
        <v>2334</v>
      </c>
      <c r="AP1797" s="44"/>
      <c r="AQ1797" s="236" t="str">
        <f>VLOOKUP(Table8[[#This Row],[Instrument]],Def_Targets!$D$73:$E$159,2,FALSE)</f>
        <v>I_Inspection</v>
      </c>
      <c r="AR1797" s="233" t="str">
        <f>VLOOKUP(Table8[[#This Row],[Country Code]],Table29[],3,FALSE)</f>
        <v>Non-Annex I</v>
      </c>
      <c r="AS1797" s="233" t="str">
        <f>VLOOKUP(Table8[[#This Row],[Country Code]],Table29[],4,FALSE)</f>
        <v>Africa</v>
      </c>
      <c r="AT1797" s="233" t="str">
        <f>VLOOKUP(Table8[[#This Row],[Country Code]],Table29[],5,FALSE)</f>
        <v>Low-income</v>
      </c>
      <c r="AU1797" s="233" t="str">
        <f>VLOOKUP(Table8[[#This Row],[Country Code]],Table29[],6,FALSE)</f>
        <v>no</v>
      </c>
      <c r="AV1797" s="233" t="str">
        <f>VLOOKUP(Table8[[#This Row],[Country Code]],Table29[],7,FALSE)</f>
        <v>no</v>
      </c>
      <c r="AW1797" s="233" t="str">
        <f>VLOOKUP(Table8[[#This Row],[Country Code]],Table29[],8,FALSE)</f>
        <v>non-OECD</v>
      </c>
      <c r="AX1797" s="233" t="str">
        <f>VLOOKUP(Table8[[#This Row],[Country Code]],Table29[],9,FALSE)</f>
        <v>no</v>
      </c>
      <c r="AY1797" s="233" t="str">
        <f>VLOOKUP(Table8[[#This Row],[Country Code]],Table29[],10,FALSE)</f>
        <v>no</v>
      </c>
      <c r="AZ1797" s="235">
        <f>VLOOKUP(Table8[[#This Row],[Country Code]],Table29[],23,FALSE)</f>
        <v>7.4932661090210999</v>
      </c>
      <c r="BA1797" s="235">
        <f>VLOOKUP(Table8[[#This Row],[Country Code]],Table29[],24,FALSE)</f>
        <v>0.60722858848321359</v>
      </c>
      <c r="BB1797" s="320"/>
      <c r="BC1797" s="320"/>
    </row>
    <row r="1798" spans="1:55" ht="30" hidden="1" x14ac:dyDescent="0.25">
      <c r="A1798" s="373">
        <v>17717</v>
      </c>
      <c r="B1798" s="233" t="str">
        <f>VLOOKUP(Table8[[#This Row],[Document ID]],Table1[],2,FALSE)</f>
        <v>RWA</v>
      </c>
      <c r="C1798" s="233" t="str">
        <f>VLOOKUP(Table8[[#This Row],[Document ID]],Table1[],3,FALSE)</f>
        <v>Rwanda</v>
      </c>
      <c r="D1798" s="243" t="str">
        <f>VLOOKUP(Table8[[#This Row],[Document ID]],Table1[],5,FALSE)</f>
        <v>NDC</v>
      </c>
      <c r="E1798" s="233" t="str">
        <f>VLOOKUP(Table8[[#This Row],[Document ID]],Table1[],7,FALSE)</f>
        <v>First NDC updated</v>
      </c>
      <c r="F1798" s="236" t="str">
        <f>VLOOKUP(Table8[[#This Row],[Document ID]],Table1[],8,FALSE)</f>
        <v>NDC 1.1</v>
      </c>
      <c r="G1798" s="236" t="str">
        <f>VLOOKUP(Table8[[#This Row],[Document ID]],Table1[],10,FALSE)</f>
        <v>Active</v>
      </c>
      <c r="H1798" s="43" t="s">
        <v>2343</v>
      </c>
      <c r="I1798" s="43" t="s">
        <v>2386</v>
      </c>
      <c r="J1798" s="44" t="s">
        <v>2530</v>
      </c>
      <c r="K1798" s="44" t="s">
        <v>3987</v>
      </c>
      <c r="L1798" s="44" t="s">
        <v>2333</v>
      </c>
      <c r="M1798" s="43">
        <v>37</v>
      </c>
      <c r="N1798" s="113" t="s">
        <v>1113</v>
      </c>
      <c r="O1798" s="113"/>
      <c r="P1798" s="113"/>
      <c r="Q1798" s="319"/>
      <c r="R1798" s="319"/>
      <c r="S1798" s="319"/>
      <c r="T1798" s="319"/>
      <c r="U1798" s="319"/>
      <c r="V1798" s="319"/>
      <c r="W1798" s="319"/>
      <c r="X1798" s="319"/>
      <c r="Y1798" s="319"/>
      <c r="Z1798" s="113"/>
      <c r="AA1798" s="319"/>
      <c r="AB1798" s="319"/>
      <c r="AC1798" s="319"/>
      <c r="AD1798" s="319"/>
      <c r="AE1798" s="319"/>
      <c r="AF1798" s="319"/>
      <c r="AG1798" s="319"/>
      <c r="AH1798" s="319"/>
      <c r="AI1798" s="319"/>
      <c r="AJ1798" s="319"/>
      <c r="AK1798" s="319" t="s">
        <v>1113</v>
      </c>
      <c r="AL1798" s="319"/>
      <c r="AM1798" s="319"/>
      <c r="AN1798" s="319"/>
      <c r="AO1798" s="44" t="s">
        <v>2334</v>
      </c>
      <c r="AP1798" s="44"/>
      <c r="AQ1798" s="236" t="str">
        <f>VLOOKUP(Table8[[#This Row],[Instrument]],Def_Targets!$D$73:$E$159,2,FALSE)</f>
        <v>A_Vehicletax</v>
      </c>
      <c r="AR1798" s="233" t="str">
        <f>VLOOKUP(Table8[[#This Row],[Country Code]],Table29[],3,FALSE)</f>
        <v>Non-Annex I</v>
      </c>
      <c r="AS1798" s="233" t="str">
        <f>VLOOKUP(Table8[[#This Row],[Country Code]],Table29[],4,FALSE)</f>
        <v>Africa</v>
      </c>
      <c r="AT1798" s="233" t="str">
        <f>VLOOKUP(Table8[[#This Row],[Country Code]],Table29[],5,FALSE)</f>
        <v>Low-income</v>
      </c>
      <c r="AU1798" s="233" t="str">
        <f>VLOOKUP(Table8[[#This Row],[Country Code]],Table29[],6,FALSE)</f>
        <v>no</v>
      </c>
      <c r="AV1798" s="233" t="str">
        <f>VLOOKUP(Table8[[#This Row],[Country Code]],Table29[],7,FALSE)</f>
        <v>no</v>
      </c>
      <c r="AW1798" s="233" t="str">
        <f>VLOOKUP(Table8[[#This Row],[Country Code]],Table29[],8,FALSE)</f>
        <v>non-OECD</v>
      </c>
      <c r="AX1798" s="233" t="str">
        <f>VLOOKUP(Table8[[#This Row],[Country Code]],Table29[],9,FALSE)</f>
        <v>no</v>
      </c>
      <c r="AY1798" s="233" t="str">
        <f>VLOOKUP(Table8[[#This Row],[Country Code]],Table29[],10,FALSE)</f>
        <v>no</v>
      </c>
      <c r="AZ1798" s="235">
        <f>VLOOKUP(Table8[[#This Row],[Country Code]],Table29[],23,FALSE)</f>
        <v>7.4932661090210999</v>
      </c>
      <c r="BA1798" s="235">
        <f>VLOOKUP(Table8[[#This Row],[Country Code]],Table29[],24,FALSE)</f>
        <v>0.60722858848321359</v>
      </c>
      <c r="BB1798" s="320"/>
      <c r="BC1798" s="320"/>
    </row>
    <row r="1799" spans="1:55" hidden="1" x14ac:dyDescent="0.25">
      <c r="A1799" s="373">
        <v>17717</v>
      </c>
      <c r="B1799" s="233" t="str">
        <f>VLOOKUP(Table8[[#This Row],[Document ID]],Table1[],2,FALSE)</f>
        <v>RWA</v>
      </c>
      <c r="C1799" s="233" t="str">
        <f>VLOOKUP(Table8[[#This Row],[Document ID]],Table1[],3,FALSE)</f>
        <v>Rwanda</v>
      </c>
      <c r="D1799" s="243" t="str">
        <f>VLOOKUP(Table8[[#This Row],[Document ID]],Table1[],5,FALSE)</f>
        <v>NDC</v>
      </c>
      <c r="E1799" s="233" t="str">
        <f>VLOOKUP(Table8[[#This Row],[Document ID]],Table1[],7,FALSE)</f>
        <v>First NDC updated</v>
      </c>
      <c r="F1799" s="236" t="str">
        <f>VLOOKUP(Table8[[#This Row],[Document ID]],Table1[],8,FALSE)</f>
        <v>NDC 1.1</v>
      </c>
      <c r="G1799" s="236" t="str">
        <f>VLOOKUP(Table8[[#This Row],[Document ID]],Table1[],10,FALSE)</f>
        <v>Active</v>
      </c>
      <c r="H1799" s="44" t="s">
        <v>2338</v>
      </c>
      <c r="I1799" s="44" t="s">
        <v>2339</v>
      </c>
      <c r="J1799" s="44" t="s">
        <v>2340</v>
      </c>
      <c r="K1799" s="44" t="s">
        <v>3988</v>
      </c>
      <c r="L1799" s="44" t="s">
        <v>2333</v>
      </c>
      <c r="M1799" s="43">
        <v>37</v>
      </c>
      <c r="N1799" s="113" t="s">
        <v>1113</v>
      </c>
      <c r="O1799" s="113"/>
      <c r="P1799" s="113"/>
      <c r="Q1799" s="319"/>
      <c r="R1799" s="319"/>
      <c r="S1799" s="319"/>
      <c r="T1799" s="319"/>
      <c r="U1799" s="319"/>
      <c r="V1799" s="319"/>
      <c r="W1799" s="319"/>
      <c r="X1799" s="319"/>
      <c r="Y1799" s="319"/>
      <c r="Z1799" s="113"/>
      <c r="AA1799" s="319"/>
      <c r="AB1799" s="319"/>
      <c r="AC1799" s="319"/>
      <c r="AD1799" s="319"/>
      <c r="AE1799" s="319"/>
      <c r="AF1799" s="319"/>
      <c r="AG1799" s="319"/>
      <c r="AH1799" s="319"/>
      <c r="AI1799" s="319"/>
      <c r="AJ1799" s="319"/>
      <c r="AK1799" s="319" t="s">
        <v>1113</v>
      </c>
      <c r="AL1799" s="319"/>
      <c r="AM1799" s="319"/>
      <c r="AN1799" s="319"/>
      <c r="AO1799" s="44" t="s">
        <v>2334</v>
      </c>
      <c r="AP1799" s="44"/>
      <c r="AQ1799" s="236" t="str">
        <f>VLOOKUP(Table8[[#This Row],[Instrument]],Def_Targets!$D$73:$E$159,2,FALSE)</f>
        <v>I_Vehicleimprove</v>
      </c>
      <c r="AR1799" s="233" t="str">
        <f>VLOOKUP(Table8[[#This Row],[Country Code]],Table29[],3,FALSE)</f>
        <v>Non-Annex I</v>
      </c>
      <c r="AS1799" s="233" t="str">
        <f>VLOOKUP(Table8[[#This Row],[Country Code]],Table29[],4,FALSE)</f>
        <v>Africa</v>
      </c>
      <c r="AT1799" s="233" t="str">
        <f>VLOOKUP(Table8[[#This Row],[Country Code]],Table29[],5,FALSE)</f>
        <v>Low-income</v>
      </c>
      <c r="AU1799" s="233" t="str">
        <f>VLOOKUP(Table8[[#This Row],[Country Code]],Table29[],6,FALSE)</f>
        <v>no</v>
      </c>
      <c r="AV1799" s="233" t="str">
        <f>VLOOKUP(Table8[[#This Row],[Country Code]],Table29[],7,FALSE)</f>
        <v>no</v>
      </c>
      <c r="AW1799" s="233" t="str">
        <f>VLOOKUP(Table8[[#This Row],[Country Code]],Table29[],8,FALSE)</f>
        <v>non-OECD</v>
      </c>
      <c r="AX1799" s="233" t="str">
        <f>VLOOKUP(Table8[[#This Row],[Country Code]],Table29[],9,FALSE)</f>
        <v>no</v>
      </c>
      <c r="AY1799" s="233" t="str">
        <f>VLOOKUP(Table8[[#This Row],[Country Code]],Table29[],10,FALSE)</f>
        <v>no</v>
      </c>
      <c r="AZ1799" s="235">
        <f>VLOOKUP(Table8[[#This Row],[Country Code]],Table29[],23,FALSE)</f>
        <v>7.4932661090210999</v>
      </c>
      <c r="BA1799" s="235">
        <f>VLOOKUP(Table8[[#This Row],[Country Code]],Table29[],24,FALSE)</f>
        <v>0.60722858848321359</v>
      </c>
      <c r="BB1799" s="320"/>
      <c r="BC1799" s="320"/>
    </row>
    <row r="1800" spans="1:55" hidden="1" x14ac:dyDescent="0.25">
      <c r="A1800" s="373">
        <v>17717</v>
      </c>
      <c r="B1800" s="233" t="str">
        <f>VLOOKUP(Table8[[#This Row],[Document ID]],Table1[],2,FALSE)</f>
        <v>RWA</v>
      </c>
      <c r="C1800" s="233" t="str">
        <f>VLOOKUP(Table8[[#This Row],[Document ID]],Table1[],3,FALSE)</f>
        <v>Rwanda</v>
      </c>
      <c r="D1800" s="243" t="str">
        <f>VLOOKUP(Table8[[#This Row],[Document ID]],Table1[],5,FALSE)</f>
        <v>NDC</v>
      </c>
      <c r="E1800" s="233" t="str">
        <f>VLOOKUP(Table8[[#This Row],[Document ID]],Table1[],7,FALSE)</f>
        <v>First NDC updated</v>
      </c>
      <c r="F1800" s="236" t="str">
        <f>VLOOKUP(Table8[[#This Row],[Document ID]],Table1[],8,FALSE)</f>
        <v>NDC 1.1</v>
      </c>
      <c r="G1800" s="236" t="str">
        <f>VLOOKUP(Table8[[#This Row],[Document ID]],Table1[],10,FALSE)</f>
        <v>Active</v>
      </c>
      <c r="H1800" s="43" t="s">
        <v>2343</v>
      </c>
      <c r="I1800" s="43" t="s">
        <v>2344</v>
      </c>
      <c r="J1800" s="44" t="s">
        <v>2549</v>
      </c>
      <c r="K1800" s="44" t="s">
        <v>3989</v>
      </c>
      <c r="L1800" s="44" t="s">
        <v>2347</v>
      </c>
      <c r="M1800" s="43">
        <v>38</v>
      </c>
      <c r="N1800" s="113"/>
      <c r="O1800" s="113"/>
      <c r="P1800" s="113"/>
      <c r="Q1800" s="319"/>
      <c r="R1800" s="319"/>
      <c r="S1800" s="319"/>
      <c r="T1800" s="319"/>
      <c r="U1800" s="319"/>
      <c r="V1800" s="319"/>
      <c r="W1800" s="319"/>
      <c r="X1800" s="319"/>
      <c r="Y1800" s="319" t="s">
        <v>1113</v>
      </c>
      <c r="Z1800" s="113"/>
      <c r="AA1800" s="319"/>
      <c r="AB1800" s="319"/>
      <c r="AC1800" s="319"/>
      <c r="AD1800" s="319"/>
      <c r="AE1800" s="319"/>
      <c r="AF1800" s="319"/>
      <c r="AG1800" s="319"/>
      <c r="AH1800" s="319"/>
      <c r="AI1800" s="319"/>
      <c r="AJ1800" s="319"/>
      <c r="AK1800" s="319"/>
      <c r="AL1800" s="319" t="s">
        <v>1113</v>
      </c>
      <c r="AM1800" s="319"/>
      <c r="AN1800" s="319"/>
      <c r="AO1800" s="43" t="s">
        <v>2348</v>
      </c>
      <c r="AP1800" s="44"/>
      <c r="AQ1800" s="236" t="str">
        <f>VLOOKUP(Table8[[#This Row],[Instrument]],Def_Targets!$D$73:$E$159,2,FALSE)</f>
        <v>S_BRT</v>
      </c>
      <c r="AR1800" s="233" t="str">
        <f>VLOOKUP(Table8[[#This Row],[Country Code]],Table29[],3,FALSE)</f>
        <v>Non-Annex I</v>
      </c>
      <c r="AS1800" s="233" t="str">
        <f>VLOOKUP(Table8[[#This Row],[Country Code]],Table29[],4,FALSE)</f>
        <v>Africa</v>
      </c>
      <c r="AT1800" s="233" t="str">
        <f>VLOOKUP(Table8[[#This Row],[Country Code]],Table29[],5,FALSE)</f>
        <v>Low-income</v>
      </c>
      <c r="AU1800" s="233" t="str">
        <f>VLOOKUP(Table8[[#This Row],[Country Code]],Table29[],6,FALSE)</f>
        <v>no</v>
      </c>
      <c r="AV1800" s="233" t="str">
        <f>VLOOKUP(Table8[[#This Row],[Country Code]],Table29[],7,FALSE)</f>
        <v>no</v>
      </c>
      <c r="AW1800" s="233" t="str">
        <f>VLOOKUP(Table8[[#This Row],[Country Code]],Table29[],8,FALSE)</f>
        <v>non-OECD</v>
      </c>
      <c r="AX1800" s="233" t="str">
        <f>VLOOKUP(Table8[[#This Row],[Country Code]],Table29[],9,FALSE)</f>
        <v>no</v>
      </c>
      <c r="AY1800" s="233" t="str">
        <f>VLOOKUP(Table8[[#This Row],[Country Code]],Table29[],10,FALSE)</f>
        <v>no</v>
      </c>
      <c r="AZ1800" s="235">
        <f>VLOOKUP(Table8[[#This Row],[Country Code]],Table29[],23,FALSE)</f>
        <v>7.4932661090210999</v>
      </c>
      <c r="BA1800" s="235">
        <f>VLOOKUP(Table8[[#This Row],[Country Code]],Table29[],24,FALSE)</f>
        <v>0.60722858848321359</v>
      </c>
      <c r="BB1800" s="320"/>
      <c r="BC1800" s="320"/>
    </row>
    <row r="1801" spans="1:55" hidden="1" x14ac:dyDescent="0.25">
      <c r="A1801" s="373">
        <v>17717</v>
      </c>
      <c r="B1801" s="233" t="str">
        <f>VLOOKUP(Table8[[#This Row],[Document ID]],Table1[],2,FALSE)</f>
        <v>RWA</v>
      </c>
      <c r="C1801" s="233" t="str">
        <f>VLOOKUP(Table8[[#This Row],[Document ID]],Table1[],3,FALSE)</f>
        <v>Rwanda</v>
      </c>
      <c r="D1801" s="243" t="str">
        <f>VLOOKUP(Table8[[#This Row],[Document ID]],Table1[],5,FALSE)</f>
        <v>NDC</v>
      </c>
      <c r="E1801" s="233" t="str">
        <f>VLOOKUP(Table8[[#This Row],[Document ID]],Table1[],7,FALSE)</f>
        <v>First NDC updated</v>
      </c>
      <c r="F1801" s="236" t="str">
        <f>VLOOKUP(Table8[[#This Row],[Document ID]],Table1[],8,FALSE)</f>
        <v>NDC 1.1</v>
      </c>
      <c r="G1801" s="236" t="str">
        <f>VLOOKUP(Table8[[#This Row],[Document ID]],Table1[],10,FALSE)</f>
        <v>Active</v>
      </c>
      <c r="H1801" s="43" t="s">
        <v>2343</v>
      </c>
      <c r="I1801" s="43" t="s">
        <v>2344</v>
      </c>
      <c r="J1801" s="44" t="s">
        <v>2564</v>
      </c>
      <c r="K1801" s="44" t="s">
        <v>3990</v>
      </c>
      <c r="L1801" s="44" t="s">
        <v>2347</v>
      </c>
      <c r="M1801" s="43">
        <v>38</v>
      </c>
      <c r="N1801" s="113"/>
      <c r="O1801" s="113"/>
      <c r="P1801" s="113"/>
      <c r="Q1801" s="319"/>
      <c r="R1801" s="319"/>
      <c r="S1801" s="319"/>
      <c r="T1801" s="319"/>
      <c r="U1801" s="319"/>
      <c r="V1801" s="319"/>
      <c r="W1801" s="319"/>
      <c r="X1801" s="319"/>
      <c r="Y1801" s="319" t="s">
        <v>1113</v>
      </c>
      <c r="Z1801" s="113"/>
      <c r="AA1801" s="319"/>
      <c r="AB1801" s="319"/>
      <c r="AC1801" s="319"/>
      <c r="AD1801" s="319"/>
      <c r="AE1801" s="319"/>
      <c r="AF1801" s="319"/>
      <c r="AG1801" s="319"/>
      <c r="AH1801" s="319"/>
      <c r="AI1801" s="319"/>
      <c r="AJ1801" s="319"/>
      <c r="AK1801" s="319"/>
      <c r="AL1801" s="319" t="s">
        <v>1113</v>
      </c>
      <c r="AM1801" s="319"/>
      <c r="AN1801" s="319"/>
      <c r="AO1801" s="43" t="s">
        <v>2348</v>
      </c>
      <c r="AP1801" s="44"/>
      <c r="AQ1801" s="236" t="str">
        <f>VLOOKUP(Table8[[#This Row],[Instrument]],Def_Targets!$D$73:$E$159,2,FALSE)</f>
        <v>S_PTPriority</v>
      </c>
      <c r="AR1801" s="233" t="str">
        <f>VLOOKUP(Table8[[#This Row],[Country Code]],Table29[],3,FALSE)</f>
        <v>Non-Annex I</v>
      </c>
      <c r="AS1801" s="233" t="str">
        <f>VLOOKUP(Table8[[#This Row],[Country Code]],Table29[],4,FALSE)</f>
        <v>Africa</v>
      </c>
      <c r="AT1801" s="233" t="str">
        <f>VLOOKUP(Table8[[#This Row],[Country Code]],Table29[],5,FALSE)</f>
        <v>Low-income</v>
      </c>
      <c r="AU1801" s="233" t="str">
        <f>VLOOKUP(Table8[[#This Row],[Country Code]],Table29[],6,FALSE)</f>
        <v>no</v>
      </c>
      <c r="AV1801" s="233" t="str">
        <f>VLOOKUP(Table8[[#This Row],[Country Code]],Table29[],7,FALSE)</f>
        <v>no</v>
      </c>
      <c r="AW1801" s="233" t="str">
        <f>VLOOKUP(Table8[[#This Row],[Country Code]],Table29[],8,FALSE)</f>
        <v>non-OECD</v>
      </c>
      <c r="AX1801" s="233" t="str">
        <f>VLOOKUP(Table8[[#This Row],[Country Code]],Table29[],9,FALSE)</f>
        <v>no</v>
      </c>
      <c r="AY1801" s="233" t="str">
        <f>VLOOKUP(Table8[[#This Row],[Country Code]],Table29[],10,FALSE)</f>
        <v>no</v>
      </c>
      <c r="AZ1801" s="235">
        <f>VLOOKUP(Table8[[#This Row],[Country Code]],Table29[],23,FALSE)</f>
        <v>7.4932661090210999</v>
      </c>
      <c r="BA1801" s="235">
        <f>VLOOKUP(Table8[[#This Row],[Country Code]],Table29[],24,FALSE)</f>
        <v>0.60722858848321359</v>
      </c>
      <c r="BB1801" s="320"/>
      <c r="BC1801" s="320"/>
    </row>
    <row r="1802" spans="1:55" hidden="1" x14ac:dyDescent="0.25">
      <c r="A1802" s="373">
        <v>17717</v>
      </c>
      <c r="B1802" s="233" t="str">
        <f>VLOOKUP(Table8[[#This Row],[Document ID]],Table1[],2,FALSE)</f>
        <v>RWA</v>
      </c>
      <c r="C1802" s="233" t="str">
        <f>VLOOKUP(Table8[[#This Row],[Document ID]],Table1[],3,FALSE)</f>
        <v>Rwanda</v>
      </c>
      <c r="D1802" s="243" t="str">
        <f>VLOOKUP(Table8[[#This Row],[Document ID]],Table1[],5,FALSE)</f>
        <v>NDC</v>
      </c>
      <c r="E1802" s="233" t="str">
        <f>VLOOKUP(Table8[[#This Row],[Document ID]],Table1[],7,FALSE)</f>
        <v>First NDC updated</v>
      </c>
      <c r="F1802" s="236" t="str">
        <f>VLOOKUP(Table8[[#This Row],[Document ID]],Table1[],8,FALSE)</f>
        <v>NDC 1.1</v>
      </c>
      <c r="G1802" s="236" t="str">
        <f>VLOOKUP(Table8[[#This Row],[Document ID]],Table1[],10,FALSE)</f>
        <v>Active</v>
      </c>
      <c r="H1802" s="43" t="s">
        <v>2343</v>
      </c>
      <c r="I1802" s="43" t="s">
        <v>2361</v>
      </c>
      <c r="J1802" s="44" t="s">
        <v>2366</v>
      </c>
      <c r="K1802" s="44" t="s">
        <v>3991</v>
      </c>
      <c r="L1802" s="44" t="s">
        <v>2347</v>
      </c>
      <c r="M1802" s="43">
        <v>38</v>
      </c>
      <c r="N1802" s="113"/>
      <c r="O1802" s="113"/>
      <c r="P1802" s="113" t="s">
        <v>1113</v>
      </c>
      <c r="Q1802" s="319"/>
      <c r="R1802" s="319"/>
      <c r="S1802" s="319"/>
      <c r="T1802" s="319"/>
      <c r="U1802" s="319"/>
      <c r="V1802" s="319"/>
      <c r="W1802" s="319"/>
      <c r="X1802" s="319"/>
      <c r="Y1802" s="319"/>
      <c r="Z1802" s="113"/>
      <c r="AA1802" s="319"/>
      <c r="AB1802" s="319"/>
      <c r="AC1802" s="319"/>
      <c r="AD1802" s="319"/>
      <c r="AE1802" s="319"/>
      <c r="AF1802" s="319"/>
      <c r="AG1802" s="319"/>
      <c r="AH1802" s="319"/>
      <c r="AI1802" s="319"/>
      <c r="AJ1802" s="319"/>
      <c r="AK1802" s="319" t="s">
        <v>1113</v>
      </c>
      <c r="AL1802" s="319"/>
      <c r="AM1802" s="319"/>
      <c r="AN1802" s="319"/>
      <c r="AO1802" s="44" t="s">
        <v>2334</v>
      </c>
      <c r="AP1802" s="44"/>
      <c r="AQ1802" s="236" t="str">
        <f>VLOOKUP(Table8[[#This Row],[Instrument]],Def_Targets!$D$73:$E$159,2,FALSE)</f>
        <v>S_Activemobility</v>
      </c>
      <c r="AR1802" s="233" t="str">
        <f>VLOOKUP(Table8[[#This Row],[Country Code]],Table29[],3,FALSE)</f>
        <v>Non-Annex I</v>
      </c>
      <c r="AS1802" s="233" t="str">
        <f>VLOOKUP(Table8[[#This Row],[Country Code]],Table29[],4,FALSE)</f>
        <v>Africa</v>
      </c>
      <c r="AT1802" s="233" t="str">
        <f>VLOOKUP(Table8[[#This Row],[Country Code]],Table29[],5,FALSE)</f>
        <v>Low-income</v>
      </c>
      <c r="AU1802" s="233" t="str">
        <f>VLOOKUP(Table8[[#This Row],[Country Code]],Table29[],6,FALSE)</f>
        <v>no</v>
      </c>
      <c r="AV1802" s="233" t="str">
        <f>VLOOKUP(Table8[[#This Row],[Country Code]],Table29[],7,FALSE)</f>
        <v>no</v>
      </c>
      <c r="AW1802" s="233" t="str">
        <f>VLOOKUP(Table8[[#This Row],[Country Code]],Table29[],8,FALSE)</f>
        <v>non-OECD</v>
      </c>
      <c r="AX1802" s="233" t="str">
        <f>VLOOKUP(Table8[[#This Row],[Country Code]],Table29[],9,FALSE)</f>
        <v>no</v>
      </c>
      <c r="AY1802" s="233" t="str">
        <f>VLOOKUP(Table8[[#This Row],[Country Code]],Table29[],10,FALSE)</f>
        <v>no</v>
      </c>
      <c r="AZ1802" s="235">
        <f>VLOOKUP(Table8[[#This Row],[Country Code]],Table29[],23,FALSE)</f>
        <v>7.4932661090210999</v>
      </c>
      <c r="BA1802" s="235">
        <f>VLOOKUP(Table8[[#This Row],[Country Code]],Table29[],24,FALSE)</f>
        <v>0.60722858848321359</v>
      </c>
      <c r="BB1802" s="320"/>
      <c r="BC1802" s="320"/>
    </row>
    <row r="1803" spans="1:55" hidden="1" x14ac:dyDescent="0.25">
      <c r="A1803" s="373">
        <v>17717</v>
      </c>
      <c r="B1803" s="233" t="str">
        <f>VLOOKUP(Table8[[#This Row],[Document ID]],Table1[],2,FALSE)</f>
        <v>RWA</v>
      </c>
      <c r="C1803" s="233" t="str">
        <f>VLOOKUP(Table8[[#This Row],[Document ID]],Table1[],3,FALSE)</f>
        <v>Rwanda</v>
      </c>
      <c r="D1803" s="243" t="str">
        <f>VLOOKUP(Table8[[#This Row],[Document ID]],Table1[],5,FALSE)</f>
        <v>NDC</v>
      </c>
      <c r="E1803" s="233" t="str">
        <f>VLOOKUP(Table8[[#This Row],[Document ID]],Table1[],7,FALSE)</f>
        <v>First NDC updated</v>
      </c>
      <c r="F1803" s="236" t="str">
        <f>VLOOKUP(Table8[[#This Row],[Document ID]],Table1[],8,FALSE)</f>
        <v>NDC 1.1</v>
      </c>
      <c r="G1803" s="236" t="str">
        <f>VLOOKUP(Table8[[#This Row],[Document ID]],Table1[],10,FALSE)</f>
        <v>Active</v>
      </c>
      <c r="H1803" s="43" t="s">
        <v>2343</v>
      </c>
      <c r="I1803" s="43" t="s">
        <v>2377</v>
      </c>
      <c r="J1803" s="44" t="s">
        <v>2394</v>
      </c>
      <c r="K1803" s="44" t="s">
        <v>3992</v>
      </c>
      <c r="L1803" s="44" t="s">
        <v>2347</v>
      </c>
      <c r="M1803" s="43">
        <v>38</v>
      </c>
      <c r="N1803" s="113" t="s">
        <v>1113</v>
      </c>
      <c r="O1803" s="113"/>
      <c r="P1803" s="113"/>
      <c r="Q1803" s="319"/>
      <c r="R1803" s="319"/>
      <c r="S1803" s="319"/>
      <c r="T1803" s="319"/>
      <c r="U1803" s="319"/>
      <c r="V1803" s="319"/>
      <c r="W1803" s="319"/>
      <c r="X1803" s="319"/>
      <c r="Y1803" s="319"/>
      <c r="Z1803" s="113"/>
      <c r="AA1803" s="319"/>
      <c r="AB1803" s="319"/>
      <c r="AC1803" s="319"/>
      <c r="AD1803" s="319"/>
      <c r="AE1803" s="319"/>
      <c r="AF1803" s="319"/>
      <c r="AG1803" s="319"/>
      <c r="AH1803" s="319"/>
      <c r="AI1803" s="319"/>
      <c r="AJ1803" s="319"/>
      <c r="AK1803" s="319" t="s">
        <v>1113</v>
      </c>
      <c r="AL1803" s="319"/>
      <c r="AM1803" s="319"/>
      <c r="AN1803" s="319"/>
      <c r="AO1803" s="44" t="s">
        <v>2334</v>
      </c>
      <c r="AP1803" s="44"/>
      <c r="AQ1803" s="236" t="str">
        <f>VLOOKUP(Table8[[#This Row],[Instrument]],Def_Targets!$D$73:$E$159,2,FALSE)</f>
        <v>A_TDM</v>
      </c>
      <c r="AR1803" s="233" t="str">
        <f>VLOOKUP(Table8[[#This Row],[Country Code]],Table29[],3,FALSE)</f>
        <v>Non-Annex I</v>
      </c>
      <c r="AS1803" s="233" t="str">
        <f>VLOOKUP(Table8[[#This Row],[Country Code]],Table29[],4,FALSE)</f>
        <v>Africa</v>
      </c>
      <c r="AT1803" s="233" t="str">
        <f>VLOOKUP(Table8[[#This Row],[Country Code]],Table29[],5,FALSE)</f>
        <v>Low-income</v>
      </c>
      <c r="AU1803" s="233" t="str">
        <f>VLOOKUP(Table8[[#This Row],[Country Code]],Table29[],6,FALSE)</f>
        <v>no</v>
      </c>
      <c r="AV1803" s="233" t="str">
        <f>VLOOKUP(Table8[[#This Row],[Country Code]],Table29[],7,FALSE)</f>
        <v>no</v>
      </c>
      <c r="AW1803" s="233" t="str">
        <f>VLOOKUP(Table8[[#This Row],[Country Code]],Table29[],8,FALSE)</f>
        <v>non-OECD</v>
      </c>
      <c r="AX1803" s="233" t="str">
        <f>VLOOKUP(Table8[[#This Row],[Country Code]],Table29[],9,FALSE)</f>
        <v>no</v>
      </c>
      <c r="AY1803" s="233" t="str">
        <f>VLOOKUP(Table8[[#This Row],[Country Code]],Table29[],10,FALSE)</f>
        <v>no</v>
      </c>
      <c r="AZ1803" s="235">
        <f>VLOOKUP(Table8[[#This Row],[Country Code]],Table29[],23,FALSE)</f>
        <v>7.4932661090210999</v>
      </c>
      <c r="BA1803" s="235">
        <f>VLOOKUP(Table8[[#This Row],[Country Code]],Table29[],24,FALSE)</f>
        <v>0.60722858848321359</v>
      </c>
      <c r="BB1803" s="320"/>
      <c r="BC1803" s="320"/>
    </row>
    <row r="1804" spans="1:55" hidden="1" x14ac:dyDescent="0.25">
      <c r="A1804" s="373">
        <v>17717</v>
      </c>
      <c r="B1804" s="233" t="str">
        <f>VLOOKUP(Table8[[#This Row],[Document ID]],Table1[],2,FALSE)</f>
        <v>RWA</v>
      </c>
      <c r="C1804" s="233" t="str">
        <f>VLOOKUP(Table8[[#This Row],[Document ID]],Table1[],3,FALSE)</f>
        <v>Rwanda</v>
      </c>
      <c r="D1804" s="243" t="str">
        <f>VLOOKUP(Table8[[#This Row],[Document ID]],Table1[],5,FALSE)</f>
        <v>NDC</v>
      </c>
      <c r="E1804" s="233" t="str">
        <f>VLOOKUP(Table8[[#This Row],[Document ID]],Table1[],7,FALSE)</f>
        <v>First NDC updated</v>
      </c>
      <c r="F1804" s="236" t="str">
        <f>VLOOKUP(Table8[[#This Row],[Document ID]],Table1[],8,FALSE)</f>
        <v>NDC 1.1</v>
      </c>
      <c r="G1804" s="236" t="str">
        <f>VLOOKUP(Table8[[#This Row],[Document ID]],Table1[],10,FALSE)</f>
        <v>Active</v>
      </c>
      <c r="H1804" s="43" t="s">
        <v>2358</v>
      </c>
      <c r="I1804" s="43" t="s">
        <v>2359</v>
      </c>
      <c r="J1804" s="44" t="s">
        <v>2360</v>
      </c>
      <c r="K1804" s="44" t="s">
        <v>3993</v>
      </c>
      <c r="L1804" s="44" t="s">
        <v>2333</v>
      </c>
      <c r="M1804" s="43">
        <v>38</v>
      </c>
      <c r="N1804" s="113"/>
      <c r="O1804" s="113"/>
      <c r="P1804" s="113"/>
      <c r="Q1804" s="319"/>
      <c r="R1804" s="319"/>
      <c r="S1804" s="319"/>
      <c r="T1804" s="319" t="s">
        <v>1113</v>
      </c>
      <c r="U1804" s="319" t="s">
        <v>1113</v>
      </c>
      <c r="V1804" s="319"/>
      <c r="W1804" s="319"/>
      <c r="X1804" s="319"/>
      <c r="Y1804" s="319" t="s">
        <v>1113</v>
      </c>
      <c r="Z1804" s="113"/>
      <c r="AA1804" s="319"/>
      <c r="AB1804" s="319"/>
      <c r="AC1804" s="319"/>
      <c r="AD1804" s="319"/>
      <c r="AE1804" s="319"/>
      <c r="AF1804" s="319"/>
      <c r="AG1804" s="319"/>
      <c r="AH1804" s="319"/>
      <c r="AI1804" s="319"/>
      <c r="AJ1804" s="319"/>
      <c r="AK1804" s="319" t="s">
        <v>1113</v>
      </c>
      <c r="AL1804" s="319"/>
      <c r="AM1804" s="319"/>
      <c r="AN1804" s="319"/>
      <c r="AO1804" s="43" t="s">
        <v>2348</v>
      </c>
      <c r="AP1804" s="44"/>
      <c r="AQ1804" s="236" t="str">
        <f>VLOOKUP(Table8[[#This Row],[Instrument]],Def_Targets!$D$73:$E$159,2,FALSE)</f>
        <v>I_Emobility</v>
      </c>
      <c r="AR1804" s="233" t="str">
        <f>VLOOKUP(Table8[[#This Row],[Country Code]],Table29[],3,FALSE)</f>
        <v>Non-Annex I</v>
      </c>
      <c r="AS1804" s="233" t="str">
        <f>VLOOKUP(Table8[[#This Row],[Country Code]],Table29[],4,FALSE)</f>
        <v>Africa</v>
      </c>
      <c r="AT1804" s="233" t="str">
        <f>VLOOKUP(Table8[[#This Row],[Country Code]],Table29[],5,FALSE)</f>
        <v>Low-income</v>
      </c>
      <c r="AU1804" s="233" t="str">
        <f>VLOOKUP(Table8[[#This Row],[Country Code]],Table29[],6,FALSE)</f>
        <v>no</v>
      </c>
      <c r="AV1804" s="233" t="str">
        <f>VLOOKUP(Table8[[#This Row],[Country Code]],Table29[],7,FALSE)</f>
        <v>no</v>
      </c>
      <c r="AW1804" s="233" t="str">
        <f>VLOOKUP(Table8[[#This Row],[Country Code]],Table29[],8,FALSE)</f>
        <v>non-OECD</v>
      </c>
      <c r="AX1804" s="233" t="str">
        <f>VLOOKUP(Table8[[#This Row],[Country Code]],Table29[],9,FALSE)</f>
        <v>no</v>
      </c>
      <c r="AY1804" s="233" t="str">
        <f>VLOOKUP(Table8[[#This Row],[Country Code]],Table29[],10,FALSE)</f>
        <v>no</v>
      </c>
      <c r="AZ1804" s="235">
        <f>VLOOKUP(Table8[[#This Row],[Country Code]],Table29[],23,FALSE)</f>
        <v>7.4932661090210999</v>
      </c>
      <c r="BA1804" s="235">
        <f>VLOOKUP(Table8[[#This Row],[Country Code]],Table29[],24,FALSE)</f>
        <v>0.60722858848321359</v>
      </c>
      <c r="BB1804" s="320"/>
      <c r="BC1804" s="320"/>
    </row>
    <row r="1805" spans="1:55" hidden="1" x14ac:dyDescent="0.25">
      <c r="A1805" s="373">
        <v>17717</v>
      </c>
      <c r="B1805" s="233" t="str">
        <f>VLOOKUP(Table8[[#This Row],[Document ID]],Table1[],2,FALSE)</f>
        <v>RWA</v>
      </c>
      <c r="C1805" s="233" t="str">
        <f>VLOOKUP(Table8[[#This Row],[Document ID]],Table1[],3,FALSE)</f>
        <v>Rwanda</v>
      </c>
      <c r="D1805" s="243" t="str">
        <f>VLOOKUP(Table8[[#This Row],[Document ID]],Table1[],5,FALSE)</f>
        <v>NDC</v>
      </c>
      <c r="E1805" s="233" t="str">
        <f>VLOOKUP(Table8[[#This Row],[Document ID]],Table1[],7,FALSE)</f>
        <v>First NDC updated</v>
      </c>
      <c r="F1805" s="233" t="str">
        <f>VLOOKUP(Table8[[#This Row],[Document ID]],Table1[],8,FALSE)</f>
        <v>NDC 1.1</v>
      </c>
      <c r="G1805" s="233" t="str">
        <f>VLOOKUP(Table8[[#This Row],[Document ID]],Table1[],10,FALSE)</f>
        <v>Active</v>
      </c>
      <c r="H1805" s="44" t="s">
        <v>2338</v>
      </c>
      <c r="I1805" s="44" t="s">
        <v>2339</v>
      </c>
      <c r="J1805" s="44" t="s">
        <v>2416</v>
      </c>
      <c r="K1805" s="44" t="s">
        <v>3994</v>
      </c>
      <c r="L1805" s="44" t="s">
        <v>2333</v>
      </c>
      <c r="M1805" s="43">
        <v>37</v>
      </c>
      <c r="N1805" s="113" t="s">
        <v>1113</v>
      </c>
      <c r="O1805" s="113"/>
      <c r="P1805" s="113"/>
      <c r="Q1805" s="113"/>
      <c r="R1805" s="113"/>
      <c r="S1805" s="113"/>
      <c r="T1805" s="113"/>
      <c r="U1805" s="113"/>
      <c r="V1805" s="113"/>
      <c r="W1805" s="113"/>
      <c r="X1805" s="113"/>
      <c r="Y1805" s="113"/>
      <c r="Z1805" s="113"/>
      <c r="AA1805" s="113"/>
      <c r="AB1805" s="113"/>
      <c r="AC1805" s="113"/>
      <c r="AD1805" s="113"/>
      <c r="AE1805" s="113"/>
      <c r="AF1805" s="113"/>
      <c r="AG1805" s="113"/>
      <c r="AH1805" s="113"/>
      <c r="AI1805" s="113"/>
      <c r="AJ1805" s="113"/>
      <c r="AK1805" s="319" t="s">
        <v>1113</v>
      </c>
      <c r="AL1805" s="113"/>
      <c r="AM1805" s="113"/>
      <c r="AN1805" s="113"/>
      <c r="AO1805" s="44" t="s">
        <v>2334</v>
      </c>
      <c r="AP1805" s="43"/>
      <c r="AQ1805" s="236" t="str">
        <f>VLOOKUP(Table8[[#This Row],[Instrument]],Def_Targets!$D$73:$E$159,2,FALSE)</f>
        <v>I_Vehiclescrappage</v>
      </c>
      <c r="AR1805" s="233" t="str">
        <f>VLOOKUP(Table8[[#This Row],[Country Code]],Table29[],3,FALSE)</f>
        <v>Non-Annex I</v>
      </c>
      <c r="AS1805" s="233" t="str">
        <f>VLOOKUP(Table8[[#This Row],[Country Code]],Table29[],4,FALSE)</f>
        <v>Africa</v>
      </c>
      <c r="AT1805" s="233" t="str">
        <f>VLOOKUP(Table8[[#This Row],[Country Code]],Table29[],5,FALSE)</f>
        <v>Low-income</v>
      </c>
      <c r="AU1805" s="233" t="str">
        <f>VLOOKUP(Table8[[#This Row],[Country Code]],Table29[],6,FALSE)</f>
        <v>no</v>
      </c>
      <c r="AV1805" s="233" t="str">
        <f>VLOOKUP(Table8[[#This Row],[Country Code]],Table29[],7,FALSE)</f>
        <v>no</v>
      </c>
      <c r="AW1805" s="233" t="str">
        <f>VLOOKUP(Table8[[#This Row],[Country Code]],Table29[],8,FALSE)</f>
        <v>non-OECD</v>
      </c>
      <c r="AX1805" s="233" t="str">
        <f>VLOOKUP(Table8[[#This Row],[Country Code]],Table29[],9,FALSE)</f>
        <v>no</v>
      </c>
      <c r="AY1805" s="233" t="str">
        <f>VLOOKUP(Table8[[#This Row],[Country Code]],Table29[],10,FALSE)</f>
        <v>no</v>
      </c>
      <c r="AZ1805" s="235">
        <f>VLOOKUP(Table8[[#This Row],[Country Code]],Table29[],23,FALSE)</f>
        <v>7.4932661090210999</v>
      </c>
      <c r="BA1805" s="235">
        <f>VLOOKUP(Table8[[#This Row],[Country Code]],Table29[],24,FALSE)</f>
        <v>0.60722858848321359</v>
      </c>
      <c r="BB1805" s="320"/>
      <c r="BC1805" s="320"/>
    </row>
    <row r="1806" spans="1:55" hidden="1" x14ac:dyDescent="0.25">
      <c r="A1806" s="373">
        <v>17718</v>
      </c>
      <c r="B1806" s="233" t="str">
        <f>VLOOKUP(Table8[[#This Row],[Document ID]],Table1[],2,FALSE)</f>
        <v>KNA</v>
      </c>
      <c r="C1806" s="233" t="str">
        <f>VLOOKUP(Table8[[#This Row],[Document ID]],Table1[],3,FALSE)</f>
        <v>Saint Kitts and Nevis</v>
      </c>
      <c r="D1806" s="243" t="str">
        <f>VLOOKUP(Table8[[#This Row],[Document ID]],Table1[],5,FALSE)</f>
        <v>NDC</v>
      </c>
      <c r="E1806" s="233" t="str">
        <f>VLOOKUP(Table8[[#This Row],[Document ID]],Table1[],7,FALSE)</f>
        <v>First NDC</v>
      </c>
      <c r="F1806" s="236" t="str">
        <f>VLOOKUP(Table8[[#This Row],[Document ID]],Table1[],8,FALSE)</f>
        <v>NDC 1.0</v>
      </c>
      <c r="G1806" s="236" t="str">
        <f>VLOOKUP(Table8[[#This Row],[Document ID]],Table1[],10,FALSE)</f>
        <v>Archived</v>
      </c>
      <c r="H1806" s="43" t="s">
        <v>2343</v>
      </c>
      <c r="I1806" s="43" t="s">
        <v>2386</v>
      </c>
      <c r="J1806" s="44" t="s">
        <v>2530</v>
      </c>
      <c r="K1806" s="44" t="s">
        <v>3995</v>
      </c>
      <c r="L1806" s="44" t="s">
        <v>2333</v>
      </c>
      <c r="M1806" s="43"/>
      <c r="N1806" s="113" t="s">
        <v>1113</v>
      </c>
      <c r="O1806" s="113"/>
      <c r="P1806" s="113"/>
      <c r="Q1806" s="319"/>
      <c r="R1806" s="319"/>
      <c r="S1806" s="319"/>
      <c r="T1806" s="319"/>
      <c r="U1806" s="319"/>
      <c r="V1806" s="319"/>
      <c r="W1806" s="319"/>
      <c r="X1806" s="319"/>
      <c r="Y1806" s="319"/>
      <c r="Z1806" s="319"/>
      <c r="AA1806" s="319"/>
      <c r="AB1806" s="319"/>
      <c r="AC1806" s="319"/>
      <c r="AD1806" s="319"/>
      <c r="AE1806" s="319"/>
      <c r="AF1806" s="319"/>
      <c r="AG1806" s="319"/>
      <c r="AH1806" s="319"/>
      <c r="AI1806" s="319"/>
      <c r="AJ1806" s="319"/>
      <c r="AK1806" s="319" t="s">
        <v>1113</v>
      </c>
      <c r="AL1806" s="319"/>
      <c r="AM1806" s="319"/>
      <c r="AN1806" s="319"/>
      <c r="AO1806" s="44" t="s">
        <v>2334</v>
      </c>
      <c r="AP1806" s="44"/>
      <c r="AQ1806" s="236" t="str">
        <f>VLOOKUP(Table8[[#This Row],[Instrument]],Def_Targets!$D$73:$E$159,2,FALSE)</f>
        <v>A_Vehicletax</v>
      </c>
      <c r="AR1806" s="233" t="str">
        <f>VLOOKUP(Table8[[#This Row],[Country Code]],Table29[],3,FALSE)</f>
        <v>Non-Annex I</v>
      </c>
      <c r="AS1806" s="233" t="str">
        <f>VLOOKUP(Table8[[#This Row],[Country Code]],Table29[],4,FALSE)</f>
        <v>Latin America and the Caribbean</v>
      </c>
      <c r="AT1806" s="233" t="str">
        <f>VLOOKUP(Table8[[#This Row],[Country Code]],Table29[],5,FALSE)</f>
        <v>High-income</v>
      </c>
      <c r="AU1806" s="233" t="str">
        <f>VLOOKUP(Table8[[#This Row],[Country Code]],Table29[],6,FALSE)</f>
        <v>no</v>
      </c>
      <c r="AV1806" s="233" t="str">
        <f>VLOOKUP(Table8[[#This Row],[Country Code]],Table29[],7,FALSE)</f>
        <v>no</v>
      </c>
      <c r="AW1806" s="233" t="str">
        <f>VLOOKUP(Table8[[#This Row],[Country Code]],Table29[],8,FALSE)</f>
        <v>non-OECD</v>
      </c>
      <c r="AX1806" s="233" t="str">
        <f>VLOOKUP(Table8[[#This Row],[Country Code]],Table29[],9,FALSE)</f>
        <v>no</v>
      </c>
      <c r="AY1806" s="233" t="str">
        <f>VLOOKUP(Table8[[#This Row],[Country Code]],Table29[],10,FALSE)</f>
        <v>no</v>
      </c>
      <c r="AZ1806" s="235">
        <f>VLOOKUP(Table8[[#This Row],[Country Code]],Table29[],23,FALSE)</f>
        <v>0.17447409234332001</v>
      </c>
      <c r="BA1806" s="235">
        <f>VLOOKUP(Table8[[#This Row],[Country Code]],Table29[],24,FALSE)</f>
        <v>4.2331182061763992E-2</v>
      </c>
      <c r="BB1806" s="320"/>
      <c r="BC1806" s="320"/>
    </row>
    <row r="1807" spans="1:55" hidden="1" x14ac:dyDescent="0.25">
      <c r="A1807" s="373">
        <v>17718</v>
      </c>
      <c r="B1807" s="233" t="str">
        <f>VLOOKUP(Table8[[#This Row],[Document ID]],Table1[],2,FALSE)</f>
        <v>KNA</v>
      </c>
      <c r="C1807" s="233" t="str">
        <f>VLOOKUP(Table8[[#This Row],[Document ID]],Table1[],3,FALSE)</f>
        <v>Saint Kitts and Nevis</v>
      </c>
      <c r="D1807" s="243" t="str">
        <f>VLOOKUP(Table8[[#This Row],[Document ID]],Table1[],5,FALSE)</f>
        <v>NDC</v>
      </c>
      <c r="E1807" s="233" t="str">
        <f>VLOOKUP(Table8[[#This Row],[Document ID]],Table1[],7,FALSE)</f>
        <v>First NDC</v>
      </c>
      <c r="F1807" s="236" t="str">
        <f>VLOOKUP(Table8[[#This Row],[Document ID]],Table1[],8,FALSE)</f>
        <v>NDC 1.0</v>
      </c>
      <c r="G1807" s="236" t="str">
        <f>VLOOKUP(Table8[[#This Row],[Document ID]],Table1[],10,FALSE)</f>
        <v>Archived</v>
      </c>
      <c r="H1807" s="44" t="s">
        <v>2338</v>
      </c>
      <c r="I1807" s="44" t="s">
        <v>2339</v>
      </c>
      <c r="J1807" s="44" t="s">
        <v>2340</v>
      </c>
      <c r="K1807" s="44" t="s">
        <v>3996</v>
      </c>
      <c r="L1807" s="44" t="s">
        <v>2333</v>
      </c>
      <c r="M1807" s="43"/>
      <c r="N1807" s="113" t="s">
        <v>1113</v>
      </c>
      <c r="O1807" s="113"/>
      <c r="P1807" s="113"/>
      <c r="Q1807" s="319"/>
      <c r="R1807" s="319"/>
      <c r="S1807" s="319"/>
      <c r="T1807" s="319"/>
      <c r="U1807" s="319"/>
      <c r="V1807" s="319"/>
      <c r="W1807" s="319"/>
      <c r="X1807" s="319"/>
      <c r="Y1807" s="319"/>
      <c r="Z1807" s="319"/>
      <c r="AA1807" s="319"/>
      <c r="AB1807" s="319"/>
      <c r="AC1807" s="319"/>
      <c r="AD1807" s="319"/>
      <c r="AE1807" s="319"/>
      <c r="AF1807" s="319"/>
      <c r="AG1807" s="319"/>
      <c r="AH1807" s="319"/>
      <c r="AI1807" s="319"/>
      <c r="AJ1807" s="319"/>
      <c r="AK1807" s="319" t="s">
        <v>1113</v>
      </c>
      <c r="AL1807" s="319"/>
      <c r="AM1807" s="319"/>
      <c r="AN1807" s="319"/>
      <c r="AO1807" s="44" t="s">
        <v>2334</v>
      </c>
      <c r="AP1807" s="44"/>
      <c r="AQ1807" s="236" t="str">
        <f>VLOOKUP(Table8[[#This Row],[Instrument]],Def_Targets!$D$73:$E$159,2,FALSE)</f>
        <v>I_Vehicleimprove</v>
      </c>
      <c r="AR1807" s="233" t="str">
        <f>VLOOKUP(Table8[[#This Row],[Country Code]],Table29[],3,FALSE)</f>
        <v>Non-Annex I</v>
      </c>
      <c r="AS1807" s="233" t="str">
        <f>VLOOKUP(Table8[[#This Row],[Country Code]],Table29[],4,FALSE)</f>
        <v>Latin America and the Caribbean</v>
      </c>
      <c r="AT1807" s="233" t="str">
        <f>VLOOKUP(Table8[[#This Row],[Country Code]],Table29[],5,FALSE)</f>
        <v>High-income</v>
      </c>
      <c r="AU1807" s="233" t="str">
        <f>VLOOKUP(Table8[[#This Row],[Country Code]],Table29[],6,FALSE)</f>
        <v>no</v>
      </c>
      <c r="AV1807" s="233" t="str">
        <f>VLOOKUP(Table8[[#This Row],[Country Code]],Table29[],7,FALSE)</f>
        <v>no</v>
      </c>
      <c r="AW1807" s="233" t="str">
        <f>VLOOKUP(Table8[[#This Row],[Country Code]],Table29[],8,FALSE)</f>
        <v>non-OECD</v>
      </c>
      <c r="AX1807" s="233" t="str">
        <f>VLOOKUP(Table8[[#This Row],[Country Code]],Table29[],9,FALSE)</f>
        <v>no</v>
      </c>
      <c r="AY1807" s="233" t="str">
        <f>VLOOKUP(Table8[[#This Row],[Country Code]],Table29[],10,FALSE)</f>
        <v>no</v>
      </c>
      <c r="AZ1807" s="235">
        <f>VLOOKUP(Table8[[#This Row],[Country Code]],Table29[],23,FALSE)</f>
        <v>0.17447409234332001</v>
      </c>
      <c r="BA1807" s="235">
        <f>VLOOKUP(Table8[[#This Row],[Country Code]],Table29[],24,FALSE)</f>
        <v>4.2331182061763992E-2</v>
      </c>
      <c r="BB1807" s="320"/>
      <c r="BC1807" s="320"/>
    </row>
    <row r="1808" spans="1:55" ht="30" hidden="1" x14ac:dyDescent="0.25">
      <c r="A1808" s="373">
        <v>17718</v>
      </c>
      <c r="B1808" s="233" t="str">
        <f>VLOOKUP(Table8[[#This Row],[Document ID]],Table1[],2,FALSE)</f>
        <v>KNA</v>
      </c>
      <c r="C1808" s="233" t="str">
        <f>VLOOKUP(Table8[[#This Row],[Document ID]],Table1[],3,FALSE)</f>
        <v>Saint Kitts and Nevis</v>
      </c>
      <c r="D1808" s="243" t="str">
        <f>VLOOKUP(Table8[[#This Row],[Document ID]],Table1[],5,FALSE)</f>
        <v>NDC</v>
      </c>
      <c r="E1808" s="233" t="str">
        <f>VLOOKUP(Table8[[#This Row],[Document ID]],Table1[],7,FALSE)</f>
        <v>First NDC</v>
      </c>
      <c r="F1808" s="236" t="str">
        <f>VLOOKUP(Table8[[#This Row],[Document ID]],Table1[],8,FALSE)</f>
        <v>NDC 1.0</v>
      </c>
      <c r="G1808" s="236" t="str">
        <f>VLOOKUP(Table8[[#This Row],[Document ID]],Table1[],10,FALSE)</f>
        <v>Archived</v>
      </c>
      <c r="H1808" s="43" t="s">
        <v>2343</v>
      </c>
      <c r="I1808" s="43" t="s">
        <v>2344</v>
      </c>
      <c r="J1808" s="44" t="s">
        <v>2345</v>
      </c>
      <c r="K1808" s="44" t="s">
        <v>3997</v>
      </c>
      <c r="L1808" s="44" t="s">
        <v>2471</v>
      </c>
      <c r="M1808" s="43"/>
      <c r="N1808" s="113" t="s">
        <v>1113</v>
      </c>
      <c r="O1808" s="113"/>
      <c r="P1808" s="113"/>
      <c r="Q1808" s="319"/>
      <c r="R1808" s="319"/>
      <c r="S1808" s="319"/>
      <c r="T1808" s="319"/>
      <c r="U1808" s="319"/>
      <c r="V1808" s="319"/>
      <c r="W1808" s="319"/>
      <c r="X1808" s="319"/>
      <c r="Y1808" s="319"/>
      <c r="Z1808" s="319"/>
      <c r="AA1808" s="319"/>
      <c r="AB1808" s="319"/>
      <c r="AC1808" s="319"/>
      <c r="AD1808" s="319"/>
      <c r="AE1808" s="319"/>
      <c r="AF1808" s="319"/>
      <c r="AG1808" s="319"/>
      <c r="AH1808" s="319"/>
      <c r="AI1808" s="319"/>
      <c r="AJ1808" s="319"/>
      <c r="AK1808" s="319" t="s">
        <v>1113</v>
      </c>
      <c r="AL1808" s="319"/>
      <c r="AM1808" s="319"/>
      <c r="AN1808" s="319"/>
      <c r="AO1808" s="43" t="s">
        <v>2348</v>
      </c>
      <c r="AP1808" s="44"/>
      <c r="AQ1808" s="236" t="str">
        <f>VLOOKUP(Table8[[#This Row],[Instrument]],Def_Targets!$D$73:$E$159,2,FALSE)</f>
        <v>S_PublicTransport</v>
      </c>
      <c r="AR1808" s="233" t="str">
        <f>VLOOKUP(Table8[[#This Row],[Country Code]],Table29[],3,FALSE)</f>
        <v>Non-Annex I</v>
      </c>
      <c r="AS1808" s="233" t="str">
        <f>VLOOKUP(Table8[[#This Row],[Country Code]],Table29[],4,FALSE)</f>
        <v>Latin America and the Caribbean</v>
      </c>
      <c r="AT1808" s="233" t="str">
        <f>VLOOKUP(Table8[[#This Row],[Country Code]],Table29[],5,FALSE)</f>
        <v>High-income</v>
      </c>
      <c r="AU1808" s="233" t="str">
        <f>VLOOKUP(Table8[[#This Row],[Country Code]],Table29[],6,FALSE)</f>
        <v>no</v>
      </c>
      <c r="AV1808" s="233" t="str">
        <f>VLOOKUP(Table8[[#This Row],[Country Code]],Table29[],7,FALSE)</f>
        <v>no</v>
      </c>
      <c r="AW1808" s="233" t="str">
        <f>VLOOKUP(Table8[[#This Row],[Country Code]],Table29[],8,FALSE)</f>
        <v>non-OECD</v>
      </c>
      <c r="AX1808" s="233" t="str">
        <f>VLOOKUP(Table8[[#This Row],[Country Code]],Table29[],9,FALSE)</f>
        <v>no</v>
      </c>
      <c r="AY1808" s="233" t="str">
        <f>VLOOKUP(Table8[[#This Row],[Country Code]],Table29[],10,FALSE)</f>
        <v>no</v>
      </c>
      <c r="AZ1808" s="235">
        <f>VLOOKUP(Table8[[#This Row],[Country Code]],Table29[],23,FALSE)</f>
        <v>0.17447409234332001</v>
      </c>
      <c r="BA1808" s="235">
        <f>VLOOKUP(Table8[[#This Row],[Country Code]],Table29[],24,FALSE)</f>
        <v>4.2331182061763992E-2</v>
      </c>
      <c r="BB1808" s="320"/>
      <c r="BC1808" s="320"/>
    </row>
    <row r="1809" spans="1:55" hidden="1" x14ac:dyDescent="0.25">
      <c r="A1809" s="373">
        <v>17718</v>
      </c>
      <c r="B1809" s="233" t="str">
        <f>VLOOKUP(Table8[[#This Row],[Document ID]],Table1[],2,FALSE)</f>
        <v>KNA</v>
      </c>
      <c r="C1809" s="233" t="str">
        <f>VLOOKUP(Table8[[#This Row],[Document ID]],Table1[],3,FALSE)</f>
        <v>Saint Kitts and Nevis</v>
      </c>
      <c r="D1809" s="243" t="str">
        <f>VLOOKUP(Table8[[#This Row],[Document ID]],Table1[],5,FALSE)</f>
        <v>NDC</v>
      </c>
      <c r="E1809" s="233" t="str">
        <f>VLOOKUP(Table8[[#This Row],[Document ID]],Table1[],7,FALSE)</f>
        <v>First NDC</v>
      </c>
      <c r="F1809" s="236" t="str">
        <f>VLOOKUP(Table8[[#This Row],[Document ID]],Table1[],8,FALSE)</f>
        <v>NDC 1.0</v>
      </c>
      <c r="G1809" s="236" t="str">
        <f>VLOOKUP(Table8[[#This Row],[Document ID]],Table1[],10,FALSE)</f>
        <v>Archived</v>
      </c>
      <c r="H1809" s="43" t="s">
        <v>2350</v>
      </c>
      <c r="I1809" s="43" t="s">
        <v>2456</v>
      </c>
      <c r="J1809" s="44" t="s">
        <v>2457</v>
      </c>
      <c r="K1809" s="44" t="s">
        <v>3998</v>
      </c>
      <c r="L1809" s="44" t="s">
        <v>2347</v>
      </c>
      <c r="M1809" s="43"/>
      <c r="N1809" s="113" t="s">
        <v>1113</v>
      </c>
      <c r="O1809" s="113"/>
      <c r="P1809" s="113"/>
      <c r="Q1809" s="319"/>
      <c r="R1809" s="319"/>
      <c r="S1809" s="319"/>
      <c r="T1809" s="319"/>
      <c r="U1809" s="319"/>
      <c r="V1809" s="319"/>
      <c r="W1809" s="319"/>
      <c r="X1809" s="319"/>
      <c r="Y1809" s="319"/>
      <c r="Z1809" s="319"/>
      <c r="AA1809" s="319"/>
      <c r="AB1809" s="319"/>
      <c r="AC1809" s="319"/>
      <c r="AD1809" s="319"/>
      <c r="AE1809" s="319"/>
      <c r="AF1809" s="319"/>
      <c r="AG1809" s="319"/>
      <c r="AH1809" s="319"/>
      <c r="AI1809" s="319"/>
      <c r="AJ1809" s="319"/>
      <c r="AK1809" s="319" t="s">
        <v>1113</v>
      </c>
      <c r="AL1809" s="319"/>
      <c r="AM1809" s="319"/>
      <c r="AN1809" s="319"/>
      <c r="AO1809" s="43" t="s">
        <v>2348</v>
      </c>
      <c r="AP1809" s="44"/>
      <c r="AQ1809" s="236" t="str">
        <f>VLOOKUP(Table8[[#This Row],[Instrument]],Def_Targets!$D$73:$E$159,2,FALSE)</f>
        <v>S_Infraimprove</v>
      </c>
      <c r="AR1809" s="233" t="str">
        <f>VLOOKUP(Table8[[#This Row],[Country Code]],Table29[],3,FALSE)</f>
        <v>Non-Annex I</v>
      </c>
      <c r="AS1809" s="233" t="str">
        <f>VLOOKUP(Table8[[#This Row],[Country Code]],Table29[],4,FALSE)</f>
        <v>Latin America and the Caribbean</v>
      </c>
      <c r="AT1809" s="233" t="str">
        <f>VLOOKUP(Table8[[#This Row],[Country Code]],Table29[],5,FALSE)</f>
        <v>High-income</v>
      </c>
      <c r="AU1809" s="233" t="str">
        <f>VLOOKUP(Table8[[#This Row],[Country Code]],Table29[],6,FALSE)</f>
        <v>no</v>
      </c>
      <c r="AV1809" s="233" t="str">
        <f>VLOOKUP(Table8[[#This Row],[Country Code]],Table29[],7,FALSE)</f>
        <v>no</v>
      </c>
      <c r="AW1809" s="233" t="str">
        <f>VLOOKUP(Table8[[#This Row],[Country Code]],Table29[],8,FALSE)</f>
        <v>non-OECD</v>
      </c>
      <c r="AX1809" s="233" t="str">
        <f>VLOOKUP(Table8[[#This Row],[Country Code]],Table29[],9,FALSE)</f>
        <v>no</v>
      </c>
      <c r="AY1809" s="233" t="str">
        <f>VLOOKUP(Table8[[#This Row],[Country Code]],Table29[],10,FALSE)</f>
        <v>no</v>
      </c>
      <c r="AZ1809" s="235">
        <f>VLOOKUP(Table8[[#This Row],[Country Code]],Table29[],23,FALSE)</f>
        <v>0.17447409234332001</v>
      </c>
      <c r="BA1809" s="235">
        <f>VLOOKUP(Table8[[#This Row],[Country Code]],Table29[],24,FALSE)</f>
        <v>4.2331182061763992E-2</v>
      </c>
      <c r="BB1809" s="320"/>
      <c r="BC1809" s="320"/>
    </row>
    <row r="1810" spans="1:55" hidden="1" x14ac:dyDescent="0.25">
      <c r="A1810" s="373">
        <v>17718</v>
      </c>
      <c r="B1810" s="233" t="str">
        <f>VLOOKUP(Table8[[#This Row],[Document ID]],Table1[],2,FALSE)</f>
        <v>KNA</v>
      </c>
      <c r="C1810" s="233" t="str">
        <f>VLOOKUP(Table8[[#This Row],[Document ID]],Table1[],3,FALSE)</f>
        <v>Saint Kitts and Nevis</v>
      </c>
      <c r="D1810" s="243" t="str">
        <f>VLOOKUP(Table8[[#This Row],[Document ID]],Table1[],5,FALSE)</f>
        <v>NDC</v>
      </c>
      <c r="E1810" s="233" t="str">
        <f>VLOOKUP(Table8[[#This Row],[Document ID]],Table1[],7,FALSE)</f>
        <v>First NDC</v>
      </c>
      <c r="F1810" s="236" t="str">
        <f>VLOOKUP(Table8[[#This Row],[Document ID]],Table1[],8,FALSE)</f>
        <v>NDC 1.0</v>
      </c>
      <c r="G1810" s="236" t="str">
        <f>VLOOKUP(Table8[[#This Row],[Document ID]],Table1[],10,FALSE)</f>
        <v>Archived</v>
      </c>
      <c r="H1810" s="43" t="s">
        <v>2350</v>
      </c>
      <c r="I1810" s="43" t="s">
        <v>2456</v>
      </c>
      <c r="J1810" s="44" t="s">
        <v>2466</v>
      </c>
      <c r="K1810" s="44" t="s">
        <v>3999</v>
      </c>
      <c r="L1810" s="44" t="s">
        <v>2347</v>
      </c>
      <c r="M1810" s="43"/>
      <c r="N1810" s="113"/>
      <c r="O1810" s="113"/>
      <c r="P1810" s="113"/>
      <c r="Q1810" s="319"/>
      <c r="R1810" s="319"/>
      <c r="S1810" s="113" t="s">
        <v>1113</v>
      </c>
      <c r="T1810" s="319"/>
      <c r="U1810" s="319"/>
      <c r="V1810" s="319"/>
      <c r="W1810" s="319"/>
      <c r="X1810" s="319"/>
      <c r="Y1810" s="319"/>
      <c r="Z1810" s="319"/>
      <c r="AA1810" s="319"/>
      <c r="AB1810" s="319"/>
      <c r="AC1810" s="319"/>
      <c r="AD1810" s="319"/>
      <c r="AE1810" s="319"/>
      <c r="AF1810" s="319"/>
      <c r="AG1810" s="319"/>
      <c r="AH1810" s="319"/>
      <c r="AI1810" s="319"/>
      <c r="AJ1810" s="319"/>
      <c r="AK1810" s="319" t="s">
        <v>1113</v>
      </c>
      <c r="AL1810" s="319"/>
      <c r="AM1810" s="319"/>
      <c r="AN1810" s="319"/>
      <c r="AO1810" s="44" t="s">
        <v>2334</v>
      </c>
      <c r="AP1810" s="44"/>
      <c r="AQ1810" s="236" t="str">
        <f>VLOOKUP(Table8[[#This Row],[Instrument]],Def_Targets!$D$73:$E$159,2,FALSE)</f>
        <v>S_Infraexpansion</v>
      </c>
      <c r="AR1810" s="233" t="str">
        <f>VLOOKUP(Table8[[#This Row],[Country Code]],Table29[],3,FALSE)</f>
        <v>Non-Annex I</v>
      </c>
      <c r="AS1810" s="233" t="str">
        <f>VLOOKUP(Table8[[#This Row],[Country Code]],Table29[],4,FALSE)</f>
        <v>Latin America and the Caribbean</v>
      </c>
      <c r="AT1810" s="233" t="str">
        <f>VLOOKUP(Table8[[#This Row],[Country Code]],Table29[],5,FALSE)</f>
        <v>High-income</v>
      </c>
      <c r="AU1810" s="233" t="str">
        <f>VLOOKUP(Table8[[#This Row],[Country Code]],Table29[],6,FALSE)</f>
        <v>no</v>
      </c>
      <c r="AV1810" s="233" t="str">
        <f>VLOOKUP(Table8[[#This Row],[Country Code]],Table29[],7,FALSE)</f>
        <v>no</v>
      </c>
      <c r="AW1810" s="233" t="str">
        <f>VLOOKUP(Table8[[#This Row],[Country Code]],Table29[],8,FALSE)</f>
        <v>non-OECD</v>
      </c>
      <c r="AX1810" s="233" t="str">
        <f>VLOOKUP(Table8[[#This Row],[Country Code]],Table29[],9,FALSE)</f>
        <v>no</v>
      </c>
      <c r="AY1810" s="233" t="str">
        <f>VLOOKUP(Table8[[#This Row],[Country Code]],Table29[],10,FALSE)</f>
        <v>no</v>
      </c>
      <c r="AZ1810" s="235">
        <f>VLOOKUP(Table8[[#This Row],[Country Code]],Table29[],23,FALSE)</f>
        <v>0.17447409234332001</v>
      </c>
      <c r="BA1810" s="235">
        <f>VLOOKUP(Table8[[#This Row],[Country Code]],Table29[],24,FALSE)</f>
        <v>4.2331182061763992E-2</v>
      </c>
      <c r="BB1810" s="320"/>
      <c r="BC1810" s="320"/>
    </row>
    <row r="1811" spans="1:55" hidden="1" x14ac:dyDescent="0.25">
      <c r="A1811" s="373">
        <v>17718</v>
      </c>
      <c r="B1811" s="233" t="str">
        <f>VLOOKUP(Table8[[#This Row],[Document ID]],Table1[],2,FALSE)</f>
        <v>KNA</v>
      </c>
      <c r="C1811" s="233" t="str">
        <f>VLOOKUP(Table8[[#This Row],[Document ID]],Table1[],3,FALSE)</f>
        <v>Saint Kitts and Nevis</v>
      </c>
      <c r="D1811" s="243" t="str">
        <f>VLOOKUP(Table8[[#This Row],[Document ID]],Table1[],5,FALSE)</f>
        <v>NDC</v>
      </c>
      <c r="E1811" s="233" t="str">
        <f>VLOOKUP(Table8[[#This Row],[Document ID]],Table1[],7,FALSE)</f>
        <v>First NDC</v>
      </c>
      <c r="F1811" s="236" t="str">
        <f>VLOOKUP(Table8[[#This Row],[Document ID]],Table1[],8,FALSE)</f>
        <v>NDC 1.0</v>
      </c>
      <c r="G1811" s="236" t="str">
        <f>VLOOKUP(Table8[[#This Row],[Document ID]],Table1[],10,FALSE)</f>
        <v>Archived</v>
      </c>
      <c r="H1811" s="43" t="s">
        <v>2343</v>
      </c>
      <c r="I1811" s="43" t="s">
        <v>2377</v>
      </c>
      <c r="J1811" s="44" t="s">
        <v>2535</v>
      </c>
      <c r="K1811" s="44" t="s">
        <v>4000</v>
      </c>
      <c r="L1811" s="44" t="s">
        <v>2347</v>
      </c>
      <c r="M1811" s="43"/>
      <c r="N1811" s="113"/>
      <c r="O1811" s="113"/>
      <c r="P1811" s="113"/>
      <c r="Q1811" s="319"/>
      <c r="R1811" s="319"/>
      <c r="S1811" s="113" t="s">
        <v>1113</v>
      </c>
      <c r="T1811" s="319"/>
      <c r="U1811" s="319"/>
      <c r="V1811" s="319"/>
      <c r="W1811" s="319"/>
      <c r="X1811" s="319"/>
      <c r="Y1811" s="319"/>
      <c r="Z1811" s="319"/>
      <c r="AA1811" s="319"/>
      <c r="AB1811" s="319"/>
      <c r="AC1811" s="319"/>
      <c r="AD1811" s="319"/>
      <c r="AE1811" s="319"/>
      <c r="AF1811" s="319"/>
      <c r="AG1811" s="319"/>
      <c r="AH1811" s="319"/>
      <c r="AI1811" s="319"/>
      <c r="AJ1811" s="319"/>
      <c r="AK1811" s="319" t="s">
        <v>1113</v>
      </c>
      <c r="AL1811" s="319"/>
      <c r="AM1811" s="319"/>
      <c r="AN1811" s="319"/>
      <c r="AO1811" s="44" t="s">
        <v>2334</v>
      </c>
      <c r="AP1811" s="44"/>
      <c r="AQ1811" s="236" t="str">
        <f>VLOOKUP(Table8[[#This Row],[Instrument]],Def_Targets!$D$73:$E$159,2,FALSE)</f>
        <v>S_Parking</v>
      </c>
      <c r="AR1811" s="233" t="str">
        <f>VLOOKUP(Table8[[#This Row],[Country Code]],Table29[],3,FALSE)</f>
        <v>Non-Annex I</v>
      </c>
      <c r="AS1811" s="233" t="str">
        <f>VLOOKUP(Table8[[#This Row],[Country Code]],Table29[],4,FALSE)</f>
        <v>Latin America and the Caribbean</v>
      </c>
      <c r="AT1811" s="233" t="str">
        <f>VLOOKUP(Table8[[#This Row],[Country Code]],Table29[],5,FALSE)</f>
        <v>High-income</v>
      </c>
      <c r="AU1811" s="233" t="str">
        <f>VLOOKUP(Table8[[#This Row],[Country Code]],Table29[],6,FALSE)</f>
        <v>no</v>
      </c>
      <c r="AV1811" s="233" t="str">
        <f>VLOOKUP(Table8[[#This Row],[Country Code]],Table29[],7,FALSE)</f>
        <v>no</v>
      </c>
      <c r="AW1811" s="233" t="str">
        <f>VLOOKUP(Table8[[#This Row],[Country Code]],Table29[],8,FALSE)</f>
        <v>non-OECD</v>
      </c>
      <c r="AX1811" s="233" t="str">
        <f>VLOOKUP(Table8[[#This Row],[Country Code]],Table29[],9,FALSE)</f>
        <v>no</v>
      </c>
      <c r="AY1811" s="233" t="str">
        <f>VLOOKUP(Table8[[#This Row],[Country Code]],Table29[],10,FALSE)</f>
        <v>no</v>
      </c>
      <c r="AZ1811" s="235">
        <f>VLOOKUP(Table8[[#This Row],[Country Code]],Table29[],23,FALSE)</f>
        <v>0.17447409234332001</v>
      </c>
      <c r="BA1811" s="235">
        <f>VLOOKUP(Table8[[#This Row],[Country Code]],Table29[],24,FALSE)</f>
        <v>4.2331182061763992E-2</v>
      </c>
      <c r="BB1811" s="320"/>
      <c r="BC1811" s="320"/>
    </row>
    <row r="1812" spans="1:55" ht="30" hidden="1" x14ac:dyDescent="0.25">
      <c r="A1812" s="373">
        <v>17718</v>
      </c>
      <c r="B1812" s="233" t="str">
        <f>VLOOKUP(Table8[[#This Row],[Document ID]],Table1[],2,FALSE)</f>
        <v>KNA</v>
      </c>
      <c r="C1812" s="233" t="str">
        <f>VLOOKUP(Table8[[#This Row],[Document ID]],Table1[],3,FALSE)</f>
        <v>Saint Kitts and Nevis</v>
      </c>
      <c r="D1812" s="243" t="str">
        <f>VLOOKUP(Table8[[#This Row],[Document ID]],Table1[],5,FALSE)</f>
        <v>NDC</v>
      </c>
      <c r="E1812" s="233" t="str">
        <f>VLOOKUP(Table8[[#This Row],[Document ID]],Table1[],7,FALSE)</f>
        <v>First NDC</v>
      </c>
      <c r="F1812" s="236" t="str">
        <f>VLOOKUP(Table8[[#This Row],[Document ID]],Table1[],8,FALSE)</f>
        <v>NDC 1.0</v>
      </c>
      <c r="G1812" s="236" t="str">
        <f>VLOOKUP(Table8[[#This Row],[Document ID]],Table1[],10,FALSE)</f>
        <v>Archived</v>
      </c>
      <c r="H1812" s="44" t="s">
        <v>2329</v>
      </c>
      <c r="I1812" s="44" t="s">
        <v>2330</v>
      </c>
      <c r="J1812" s="44" t="s">
        <v>2691</v>
      </c>
      <c r="K1812" s="44" t="s">
        <v>4001</v>
      </c>
      <c r="L1812" s="44" t="s">
        <v>2333</v>
      </c>
      <c r="M1812" s="43"/>
      <c r="N1812" s="113" t="s">
        <v>1113</v>
      </c>
      <c r="O1812" s="113"/>
      <c r="P1812" s="113"/>
      <c r="Q1812" s="319"/>
      <c r="R1812" s="319"/>
      <c r="S1812" s="319"/>
      <c r="T1812" s="319"/>
      <c r="U1812" s="319"/>
      <c r="V1812" s="319"/>
      <c r="W1812" s="319"/>
      <c r="X1812" s="319"/>
      <c r="Y1812" s="319"/>
      <c r="Z1812" s="319"/>
      <c r="AA1812" s="319"/>
      <c r="AB1812" s="319"/>
      <c r="AC1812" s="319"/>
      <c r="AD1812" s="319"/>
      <c r="AE1812" s="319"/>
      <c r="AF1812" s="319"/>
      <c r="AG1812" s="319"/>
      <c r="AH1812" s="319"/>
      <c r="AI1812" s="319"/>
      <c r="AJ1812" s="319"/>
      <c r="AK1812" s="319" t="s">
        <v>1113</v>
      </c>
      <c r="AL1812" s="319"/>
      <c r="AM1812" s="319"/>
      <c r="AN1812" s="319"/>
      <c r="AO1812" s="44" t="s">
        <v>2334</v>
      </c>
      <c r="AP1812" s="44"/>
      <c r="AQ1812" s="236" t="str">
        <f>VLOOKUP(Table8[[#This Row],[Instrument]],Def_Targets!$D$73:$E$159,2,FALSE)</f>
        <v>I_Lowemissionincentive</v>
      </c>
      <c r="AR1812" s="233" t="str">
        <f>VLOOKUP(Table8[[#This Row],[Country Code]],Table29[],3,FALSE)</f>
        <v>Non-Annex I</v>
      </c>
      <c r="AS1812" s="233" t="str">
        <f>VLOOKUP(Table8[[#This Row],[Country Code]],Table29[],4,FALSE)</f>
        <v>Latin America and the Caribbean</v>
      </c>
      <c r="AT1812" s="233" t="str">
        <f>VLOOKUP(Table8[[#This Row],[Country Code]],Table29[],5,FALSE)</f>
        <v>High-income</v>
      </c>
      <c r="AU1812" s="233" t="str">
        <f>VLOOKUP(Table8[[#This Row],[Country Code]],Table29[],6,FALSE)</f>
        <v>no</v>
      </c>
      <c r="AV1812" s="233" t="str">
        <f>VLOOKUP(Table8[[#This Row],[Country Code]],Table29[],7,FALSE)</f>
        <v>no</v>
      </c>
      <c r="AW1812" s="233" t="str">
        <f>VLOOKUP(Table8[[#This Row],[Country Code]],Table29[],8,FALSE)</f>
        <v>non-OECD</v>
      </c>
      <c r="AX1812" s="233" t="str">
        <f>VLOOKUP(Table8[[#This Row],[Country Code]],Table29[],9,FALSE)</f>
        <v>no</v>
      </c>
      <c r="AY1812" s="233" t="str">
        <f>VLOOKUP(Table8[[#This Row],[Country Code]],Table29[],10,FALSE)</f>
        <v>no</v>
      </c>
      <c r="AZ1812" s="235">
        <f>VLOOKUP(Table8[[#This Row],[Country Code]],Table29[],23,FALSE)</f>
        <v>0.17447409234332001</v>
      </c>
      <c r="BA1812" s="235">
        <f>VLOOKUP(Table8[[#This Row],[Country Code]],Table29[],24,FALSE)</f>
        <v>4.2331182061763992E-2</v>
      </c>
      <c r="BB1812" s="320"/>
      <c r="BC1812" s="320"/>
    </row>
    <row r="1813" spans="1:55" hidden="1" x14ac:dyDescent="0.25">
      <c r="A1813" s="360">
        <v>23829</v>
      </c>
      <c r="B1813" s="233" t="str">
        <f>VLOOKUP(Table8[[#This Row],[Document ID]],Table1[],2,FALSE)</f>
        <v>KNA</v>
      </c>
      <c r="C1813" s="233" t="str">
        <f>VLOOKUP(Table8[[#This Row],[Document ID]],Table1[],3,FALSE)</f>
        <v>Saint Kitts and Nevis</v>
      </c>
      <c r="D1813" s="233" t="str">
        <f>VLOOKUP(Table8[[#This Row],[Document ID]],Table1[],5,FALSE)</f>
        <v>NDC</v>
      </c>
      <c r="E1813" s="233" t="str">
        <f>VLOOKUP(Table8[[#This Row],[Document ID]],Table1[],7,FALSE)</f>
        <v>First NDC updated</v>
      </c>
      <c r="F1813" s="233" t="str">
        <f>VLOOKUP(Table8[[#This Row],[Document ID]],Table1[],8,FALSE)</f>
        <v>NDC 1.1</v>
      </c>
      <c r="G1813" s="233" t="str">
        <f>VLOOKUP(Table8[[#This Row],[Document ID]],Table1[],10,FALSE)</f>
        <v>Active</v>
      </c>
      <c r="H1813" s="43" t="s">
        <v>2358</v>
      </c>
      <c r="I1813" s="43" t="s">
        <v>2359</v>
      </c>
      <c r="J1813" s="44" t="s">
        <v>2360</v>
      </c>
      <c r="K1813" s="44" t="s">
        <v>4002</v>
      </c>
      <c r="L1813" s="44" t="s">
        <v>2333</v>
      </c>
      <c r="M1813" s="43">
        <v>21</v>
      </c>
      <c r="N1813" s="113"/>
      <c r="O1813" s="113"/>
      <c r="P1813" s="113"/>
      <c r="Q1813" s="113"/>
      <c r="R1813" s="113"/>
      <c r="S1813" s="113" t="s">
        <v>1113</v>
      </c>
      <c r="T1813" s="113"/>
      <c r="U1813" s="113"/>
      <c r="V1813" s="113"/>
      <c r="W1813" s="113"/>
      <c r="X1813" s="113"/>
      <c r="Y1813" s="113"/>
      <c r="Z1813" s="113"/>
      <c r="AA1813" s="113"/>
      <c r="AB1813" s="113"/>
      <c r="AC1813" s="113"/>
      <c r="AD1813" s="113"/>
      <c r="AE1813" s="113"/>
      <c r="AF1813" s="113"/>
      <c r="AG1813" s="113"/>
      <c r="AH1813" s="113"/>
      <c r="AI1813" s="113"/>
      <c r="AJ1813" s="113"/>
      <c r="AK1813" s="113" t="s">
        <v>1113</v>
      </c>
      <c r="AL1813" s="113"/>
      <c r="AM1813" s="113"/>
      <c r="AN1813" s="113"/>
      <c r="AO1813" s="44" t="s">
        <v>2334</v>
      </c>
      <c r="AP1813" s="43"/>
      <c r="AQ1813" s="236" t="str">
        <f>VLOOKUP(Table8[[#This Row],[Instrument]],Def_Targets!$D$73:$E$159,2,FALSE)</f>
        <v>I_Emobility</v>
      </c>
      <c r="AR1813" s="233" t="str">
        <f>VLOOKUP(Table8[[#This Row],[Country Code]],Table29[],3,FALSE)</f>
        <v>Non-Annex I</v>
      </c>
      <c r="AS1813" s="233" t="str">
        <f>VLOOKUP(Table8[[#This Row],[Country Code]],Table29[],4,FALSE)</f>
        <v>Latin America and the Caribbean</v>
      </c>
      <c r="AT1813" s="233" t="str">
        <f>VLOOKUP(Table8[[#This Row],[Country Code]],Table29[],5,FALSE)</f>
        <v>High-income</v>
      </c>
      <c r="AU1813" s="233" t="str">
        <f>VLOOKUP(Table8[[#This Row],[Country Code]],Table29[],6,FALSE)</f>
        <v>no</v>
      </c>
      <c r="AV1813" s="233" t="str">
        <f>VLOOKUP(Table8[[#This Row],[Country Code]],Table29[],7,FALSE)</f>
        <v>no</v>
      </c>
      <c r="AW1813" s="233" t="str">
        <f>VLOOKUP(Table8[[#This Row],[Country Code]],Table29[],8,FALSE)</f>
        <v>non-OECD</v>
      </c>
      <c r="AX1813" s="233" t="str">
        <f>VLOOKUP(Table8[[#This Row],[Country Code]],Table29[],9,FALSE)</f>
        <v>no</v>
      </c>
      <c r="AY1813" s="233" t="str">
        <f>VLOOKUP(Table8[[#This Row],[Country Code]],Table29[],10,FALSE)</f>
        <v>no</v>
      </c>
      <c r="AZ1813" s="235">
        <f>VLOOKUP(Table8[[#This Row],[Country Code]],Table29[],23,FALSE)</f>
        <v>0.17447409234332001</v>
      </c>
      <c r="BA1813" s="235">
        <f>VLOOKUP(Table8[[#This Row],[Country Code]],Table29[],24,FALSE)</f>
        <v>4.2331182061763992E-2</v>
      </c>
      <c r="BB1813" s="320"/>
      <c r="BC1813" s="320"/>
    </row>
    <row r="1814" spans="1:55" hidden="1" x14ac:dyDescent="0.25">
      <c r="A1814" s="373">
        <v>23829</v>
      </c>
      <c r="B1814" s="233" t="str">
        <f>VLOOKUP(Table8[[#This Row],[Document ID]],Table1[],2,FALSE)</f>
        <v>KNA</v>
      </c>
      <c r="C1814" s="233" t="str">
        <f>VLOOKUP(Table8[[#This Row],[Document ID]],Table1[],3,FALSE)</f>
        <v>Saint Kitts and Nevis</v>
      </c>
      <c r="D1814" s="243" t="str">
        <f>VLOOKUP(Table8[[#This Row],[Document ID]],Table1[],5,FALSE)</f>
        <v>NDC</v>
      </c>
      <c r="E1814" s="233" t="str">
        <f>VLOOKUP(Table8[[#This Row],[Document ID]],Table1[],7,FALSE)</f>
        <v>First NDC updated</v>
      </c>
      <c r="F1814" s="233" t="str">
        <f>VLOOKUP(Table8[[#This Row],[Document ID]],Table1[],8,FALSE)</f>
        <v>NDC 1.1</v>
      </c>
      <c r="G1814" s="233" t="str">
        <f>VLOOKUP(Table8[[#This Row],[Document ID]],Table1[],10,FALSE)</f>
        <v>Active</v>
      </c>
      <c r="H1814" s="43" t="s">
        <v>2358</v>
      </c>
      <c r="I1814" s="43" t="s">
        <v>2359</v>
      </c>
      <c r="J1814" s="44" t="s">
        <v>2383</v>
      </c>
      <c r="K1814" s="44" t="s">
        <v>4003</v>
      </c>
      <c r="L1814" s="44" t="s">
        <v>2333</v>
      </c>
      <c r="M1814" s="43">
        <v>21</v>
      </c>
      <c r="N1814" s="113"/>
      <c r="O1814" s="113"/>
      <c r="P1814" s="113"/>
      <c r="Q1814" s="113"/>
      <c r="R1814" s="113"/>
      <c r="S1814" s="113" t="s">
        <v>1113</v>
      </c>
      <c r="T1814" s="113"/>
      <c r="U1814" s="113"/>
      <c r="V1814" s="113"/>
      <c r="W1814" s="113"/>
      <c r="X1814" s="113"/>
      <c r="Y1814" s="113"/>
      <c r="Z1814" s="113"/>
      <c r="AA1814" s="113"/>
      <c r="AB1814" s="113"/>
      <c r="AC1814" s="113"/>
      <c r="AD1814" s="113"/>
      <c r="AE1814" s="113"/>
      <c r="AF1814" s="113"/>
      <c r="AG1814" s="113"/>
      <c r="AH1814" s="113"/>
      <c r="AI1814" s="113"/>
      <c r="AJ1814" s="113"/>
      <c r="AK1814" s="113" t="s">
        <v>1113</v>
      </c>
      <c r="AL1814" s="113"/>
      <c r="AM1814" s="113"/>
      <c r="AN1814" s="113"/>
      <c r="AO1814" s="44" t="s">
        <v>2334</v>
      </c>
      <c r="AP1814" s="43"/>
      <c r="AQ1814" s="236" t="str">
        <f>VLOOKUP(Table8[[#This Row],[Instrument]],Def_Targets!$D$73:$E$159,2,FALSE)</f>
        <v>I_Emobilitycharging</v>
      </c>
      <c r="AR1814" s="233" t="str">
        <f>VLOOKUP(Table8[[#This Row],[Country Code]],Table29[],3,FALSE)</f>
        <v>Non-Annex I</v>
      </c>
      <c r="AS1814" s="233" t="str">
        <f>VLOOKUP(Table8[[#This Row],[Country Code]],Table29[],4,FALSE)</f>
        <v>Latin America and the Caribbean</v>
      </c>
      <c r="AT1814" s="233" t="str">
        <f>VLOOKUP(Table8[[#This Row],[Country Code]],Table29[],5,FALSE)</f>
        <v>High-income</v>
      </c>
      <c r="AU1814" s="233" t="str">
        <f>VLOOKUP(Table8[[#This Row],[Country Code]],Table29[],6,FALSE)</f>
        <v>no</v>
      </c>
      <c r="AV1814" s="233" t="str">
        <f>VLOOKUP(Table8[[#This Row],[Country Code]],Table29[],7,FALSE)</f>
        <v>no</v>
      </c>
      <c r="AW1814" s="233" t="str">
        <f>VLOOKUP(Table8[[#This Row],[Country Code]],Table29[],8,FALSE)</f>
        <v>non-OECD</v>
      </c>
      <c r="AX1814" s="233" t="str">
        <f>VLOOKUP(Table8[[#This Row],[Country Code]],Table29[],9,FALSE)</f>
        <v>no</v>
      </c>
      <c r="AY1814" s="233" t="str">
        <f>VLOOKUP(Table8[[#This Row],[Country Code]],Table29[],10,FALSE)</f>
        <v>no</v>
      </c>
      <c r="AZ1814" s="235">
        <f>VLOOKUP(Table8[[#This Row],[Country Code]],Table29[],23,FALSE)</f>
        <v>0.17447409234332001</v>
      </c>
      <c r="BA1814" s="235">
        <f>VLOOKUP(Table8[[#This Row],[Country Code]],Table29[],24,FALSE)</f>
        <v>4.2331182061763992E-2</v>
      </c>
      <c r="BB1814" s="320"/>
      <c r="BC1814" s="320"/>
    </row>
    <row r="1815" spans="1:55" ht="30" hidden="1" x14ac:dyDescent="0.25">
      <c r="A1815" s="373">
        <v>17719</v>
      </c>
      <c r="B1815" s="233" t="str">
        <f>VLOOKUP(Table8[[#This Row],[Document ID]],Table1[],2,FALSE)</f>
        <v>LCA</v>
      </c>
      <c r="C1815" s="233" t="str">
        <f>VLOOKUP(Table8[[#This Row],[Document ID]],Table1[],3,FALSE)</f>
        <v>Saint Lucia</v>
      </c>
      <c r="D1815" s="243" t="str">
        <f>VLOOKUP(Table8[[#This Row],[Document ID]],Table1[],5,FALSE)</f>
        <v>NDC</v>
      </c>
      <c r="E1815" s="233" t="str">
        <f>VLOOKUP(Table8[[#This Row],[Document ID]],Table1[],7,FALSE)</f>
        <v>First NDC</v>
      </c>
      <c r="F1815" s="236" t="str">
        <f>VLOOKUP(Table8[[#This Row],[Document ID]],Table1[],8,FALSE)</f>
        <v>NDC 1.0</v>
      </c>
      <c r="G1815" s="236" t="str">
        <f>VLOOKUP(Table8[[#This Row],[Document ID]],Table1[],10,FALSE)</f>
        <v>Archived</v>
      </c>
      <c r="H1815" s="44" t="s">
        <v>2338</v>
      </c>
      <c r="I1815" s="44" t="s">
        <v>2339</v>
      </c>
      <c r="J1815" s="44" t="s">
        <v>2410</v>
      </c>
      <c r="K1815" s="44" t="s">
        <v>4004</v>
      </c>
      <c r="L1815" s="44" t="s">
        <v>2333</v>
      </c>
      <c r="M1815" s="43"/>
      <c r="N1815" s="113" t="s">
        <v>1113</v>
      </c>
      <c r="O1815" s="113"/>
      <c r="P1815" s="113"/>
      <c r="Q1815" s="319"/>
      <c r="R1815" s="319"/>
      <c r="S1815" s="319"/>
      <c r="T1815" s="319"/>
      <c r="U1815" s="319"/>
      <c r="V1815" s="319"/>
      <c r="W1815" s="319"/>
      <c r="X1815" s="319"/>
      <c r="Y1815" s="319"/>
      <c r="Z1815" s="319"/>
      <c r="AA1815" s="319"/>
      <c r="AB1815" s="319"/>
      <c r="AC1815" s="319"/>
      <c r="AD1815" s="319"/>
      <c r="AE1815" s="319"/>
      <c r="AF1815" s="319"/>
      <c r="AG1815" s="319"/>
      <c r="AH1815" s="319"/>
      <c r="AI1815" s="319"/>
      <c r="AJ1815" s="319"/>
      <c r="AK1815" s="319" t="s">
        <v>1113</v>
      </c>
      <c r="AL1815" s="319"/>
      <c r="AM1815" s="319"/>
      <c r="AN1815" s="319"/>
      <c r="AO1815" s="44" t="s">
        <v>2334</v>
      </c>
      <c r="AP1815" s="44"/>
      <c r="AQ1815" s="236" t="str">
        <f>VLOOKUP(Table8[[#This Row],[Instrument]],Def_Targets!$D$73:$E$159,2,FALSE)</f>
        <v>I_VehicleRestrictions</v>
      </c>
      <c r="AR1815" s="233" t="str">
        <f>VLOOKUP(Table8[[#This Row],[Country Code]],Table29[],3,FALSE)</f>
        <v>Non-Annex I</v>
      </c>
      <c r="AS1815" s="233" t="str">
        <f>VLOOKUP(Table8[[#This Row],[Country Code]],Table29[],4,FALSE)</f>
        <v>Latin America and the Caribbean</v>
      </c>
      <c r="AT1815" s="233" t="str">
        <f>VLOOKUP(Table8[[#This Row],[Country Code]],Table29[],5,FALSE)</f>
        <v>Middle-income</v>
      </c>
      <c r="AU1815" s="233" t="str">
        <f>VLOOKUP(Table8[[#This Row],[Country Code]],Table29[],6,FALSE)</f>
        <v>no</v>
      </c>
      <c r="AV1815" s="233" t="str">
        <f>VLOOKUP(Table8[[#This Row],[Country Code]],Table29[],7,FALSE)</f>
        <v>no</v>
      </c>
      <c r="AW1815" s="233" t="str">
        <f>VLOOKUP(Table8[[#This Row],[Country Code]],Table29[],8,FALSE)</f>
        <v>non-OECD</v>
      </c>
      <c r="AX1815" s="233" t="str">
        <f>VLOOKUP(Table8[[#This Row],[Country Code]],Table29[],9,FALSE)</f>
        <v>no</v>
      </c>
      <c r="AY1815" s="233" t="str">
        <f>VLOOKUP(Table8[[#This Row],[Country Code]],Table29[],10,FALSE)</f>
        <v>no</v>
      </c>
      <c r="AZ1815" s="235">
        <f>VLOOKUP(Table8[[#This Row],[Country Code]],Table29[],23,FALSE)</f>
        <v>0.45126691251345002</v>
      </c>
      <c r="BA1815" s="235">
        <f>VLOOKUP(Table8[[#This Row],[Country Code]],Table29[],24,FALSE)</f>
        <v>0.10561796037965671</v>
      </c>
      <c r="BB1815" s="320"/>
      <c r="BC1815" s="320"/>
    </row>
    <row r="1816" spans="1:55" hidden="1" x14ac:dyDescent="0.25">
      <c r="A1816" s="373">
        <v>17719</v>
      </c>
      <c r="B1816" s="233" t="str">
        <f>VLOOKUP(Table8[[#This Row],[Document ID]],Table1[],2,FALSE)</f>
        <v>LCA</v>
      </c>
      <c r="C1816" s="233" t="str">
        <f>VLOOKUP(Table8[[#This Row],[Document ID]],Table1[],3,FALSE)</f>
        <v>Saint Lucia</v>
      </c>
      <c r="D1816" s="243" t="str">
        <f>VLOOKUP(Table8[[#This Row],[Document ID]],Table1[],5,FALSE)</f>
        <v>NDC</v>
      </c>
      <c r="E1816" s="233" t="str">
        <f>VLOOKUP(Table8[[#This Row],[Document ID]],Table1[],7,FALSE)</f>
        <v>First NDC</v>
      </c>
      <c r="F1816" s="236" t="str">
        <f>VLOOKUP(Table8[[#This Row],[Document ID]],Table1[],8,FALSE)</f>
        <v>NDC 1.0</v>
      </c>
      <c r="G1816" s="236" t="str">
        <f>VLOOKUP(Table8[[#This Row],[Document ID]],Table1[],10,FALSE)</f>
        <v>Archived</v>
      </c>
      <c r="H1816" s="43" t="s">
        <v>2343</v>
      </c>
      <c r="I1816" s="43" t="s">
        <v>2386</v>
      </c>
      <c r="J1816" s="44" t="s">
        <v>2530</v>
      </c>
      <c r="K1816" s="44" t="s">
        <v>4005</v>
      </c>
      <c r="L1816" s="44" t="s">
        <v>2333</v>
      </c>
      <c r="M1816" s="43"/>
      <c r="N1816" s="113" t="s">
        <v>1113</v>
      </c>
      <c r="O1816" s="113"/>
      <c r="P1816" s="113"/>
      <c r="Q1816" s="319"/>
      <c r="R1816" s="319"/>
      <c r="S1816" s="319"/>
      <c r="T1816" s="319"/>
      <c r="U1816" s="319"/>
      <c r="V1816" s="319"/>
      <c r="W1816" s="319"/>
      <c r="X1816" s="319"/>
      <c r="Y1816" s="319"/>
      <c r="Z1816" s="319"/>
      <c r="AA1816" s="319"/>
      <c r="AB1816" s="319"/>
      <c r="AC1816" s="319"/>
      <c r="AD1816" s="319"/>
      <c r="AE1816" s="319"/>
      <c r="AF1816" s="319"/>
      <c r="AG1816" s="319"/>
      <c r="AH1816" s="319"/>
      <c r="AI1816" s="319"/>
      <c r="AJ1816" s="319"/>
      <c r="AK1816" s="319" t="s">
        <v>1113</v>
      </c>
      <c r="AL1816" s="319"/>
      <c r="AM1816" s="319"/>
      <c r="AN1816" s="319"/>
      <c r="AO1816" s="44" t="s">
        <v>2334</v>
      </c>
      <c r="AP1816" s="44"/>
      <c r="AQ1816" s="236" t="str">
        <f>VLOOKUP(Table8[[#This Row],[Instrument]],Def_Targets!$D$73:$E$159,2,FALSE)</f>
        <v>A_Vehicletax</v>
      </c>
      <c r="AR1816" s="233" t="str">
        <f>VLOOKUP(Table8[[#This Row],[Country Code]],Table29[],3,FALSE)</f>
        <v>Non-Annex I</v>
      </c>
      <c r="AS1816" s="233" t="str">
        <f>VLOOKUP(Table8[[#This Row],[Country Code]],Table29[],4,FALSE)</f>
        <v>Latin America and the Caribbean</v>
      </c>
      <c r="AT1816" s="233" t="str">
        <f>VLOOKUP(Table8[[#This Row],[Country Code]],Table29[],5,FALSE)</f>
        <v>Middle-income</v>
      </c>
      <c r="AU1816" s="233" t="str">
        <f>VLOOKUP(Table8[[#This Row],[Country Code]],Table29[],6,FALSE)</f>
        <v>no</v>
      </c>
      <c r="AV1816" s="233" t="str">
        <f>VLOOKUP(Table8[[#This Row],[Country Code]],Table29[],7,FALSE)</f>
        <v>no</v>
      </c>
      <c r="AW1816" s="233" t="str">
        <f>VLOOKUP(Table8[[#This Row],[Country Code]],Table29[],8,FALSE)</f>
        <v>non-OECD</v>
      </c>
      <c r="AX1816" s="233" t="str">
        <f>VLOOKUP(Table8[[#This Row],[Country Code]],Table29[],9,FALSE)</f>
        <v>no</v>
      </c>
      <c r="AY1816" s="233" t="str">
        <f>VLOOKUP(Table8[[#This Row],[Country Code]],Table29[],10,FALSE)</f>
        <v>no</v>
      </c>
      <c r="AZ1816" s="235">
        <f>VLOOKUP(Table8[[#This Row],[Country Code]],Table29[],23,FALSE)</f>
        <v>0.45126691251345002</v>
      </c>
      <c r="BA1816" s="235">
        <f>VLOOKUP(Table8[[#This Row],[Country Code]],Table29[],24,FALSE)</f>
        <v>0.10561796037965671</v>
      </c>
      <c r="BB1816" s="320"/>
      <c r="BC1816" s="320"/>
    </row>
    <row r="1817" spans="1:55" hidden="1" x14ac:dyDescent="0.25">
      <c r="A1817" s="373">
        <v>17719</v>
      </c>
      <c r="B1817" s="233" t="str">
        <f>VLOOKUP(Table8[[#This Row],[Document ID]],Table1[],2,FALSE)</f>
        <v>LCA</v>
      </c>
      <c r="C1817" s="233" t="str">
        <f>VLOOKUP(Table8[[#This Row],[Document ID]],Table1[],3,FALSE)</f>
        <v>Saint Lucia</v>
      </c>
      <c r="D1817" s="243" t="str">
        <f>VLOOKUP(Table8[[#This Row],[Document ID]],Table1[],5,FALSE)</f>
        <v>NDC</v>
      </c>
      <c r="E1817" s="233" t="str">
        <f>VLOOKUP(Table8[[#This Row],[Document ID]],Table1[],7,FALSE)</f>
        <v>First NDC</v>
      </c>
      <c r="F1817" s="236" t="str">
        <f>VLOOKUP(Table8[[#This Row],[Document ID]],Table1[],8,FALSE)</f>
        <v>NDC 1.0</v>
      </c>
      <c r="G1817" s="236" t="str">
        <f>VLOOKUP(Table8[[#This Row],[Document ID]],Table1[],10,FALSE)</f>
        <v>Archived</v>
      </c>
      <c r="H1817" s="43" t="s">
        <v>2343</v>
      </c>
      <c r="I1817" s="43" t="s">
        <v>2344</v>
      </c>
      <c r="J1817" s="44" t="s">
        <v>2405</v>
      </c>
      <c r="K1817" s="44" t="s">
        <v>4006</v>
      </c>
      <c r="L1817" s="44" t="s">
        <v>2347</v>
      </c>
      <c r="M1817" s="43"/>
      <c r="N1817" s="113" t="s">
        <v>1113</v>
      </c>
      <c r="O1817" s="113"/>
      <c r="P1817" s="113"/>
      <c r="Q1817" s="319"/>
      <c r="R1817" s="319"/>
      <c r="S1817" s="319"/>
      <c r="T1817" s="319"/>
      <c r="U1817" s="319"/>
      <c r="V1817" s="319"/>
      <c r="W1817" s="319"/>
      <c r="X1817" s="319"/>
      <c r="Y1817" s="319"/>
      <c r="Z1817" s="319"/>
      <c r="AA1817" s="319"/>
      <c r="AB1817" s="319"/>
      <c r="AC1817" s="319"/>
      <c r="AD1817" s="319"/>
      <c r="AE1817" s="319"/>
      <c r="AF1817" s="319"/>
      <c r="AG1817" s="319"/>
      <c r="AH1817" s="319"/>
      <c r="AI1817" s="319"/>
      <c r="AJ1817" s="319"/>
      <c r="AK1817" s="319" t="s">
        <v>1113</v>
      </c>
      <c r="AL1817" s="319"/>
      <c r="AM1817" s="319"/>
      <c r="AN1817" s="319"/>
      <c r="AO1817" s="43" t="s">
        <v>2348</v>
      </c>
      <c r="AP1817" s="44"/>
      <c r="AQ1817" s="236" t="str">
        <f>VLOOKUP(Table8[[#This Row],[Instrument]],Def_Targets!$D$73:$E$159,2,FALSE)</f>
        <v>S_PTIntegration</v>
      </c>
      <c r="AR1817" s="233" t="str">
        <f>VLOOKUP(Table8[[#This Row],[Country Code]],Table29[],3,FALSE)</f>
        <v>Non-Annex I</v>
      </c>
      <c r="AS1817" s="233" t="str">
        <f>VLOOKUP(Table8[[#This Row],[Country Code]],Table29[],4,FALSE)</f>
        <v>Latin America and the Caribbean</v>
      </c>
      <c r="AT1817" s="233" t="str">
        <f>VLOOKUP(Table8[[#This Row],[Country Code]],Table29[],5,FALSE)</f>
        <v>Middle-income</v>
      </c>
      <c r="AU1817" s="233" t="str">
        <f>VLOOKUP(Table8[[#This Row],[Country Code]],Table29[],6,FALSE)</f>
        <v>no</v>
      </c>
      <c r="AV1817" s="233" t="str">
        <f>VLOOKUP(Table8[[#This Row],[Country Code]],Table29[],7,FALSE)</f>
        <v>no</v>
      </c>
      <c r="AW1817" s="233" t="str">
        <f>VLOOKUP(Table8[[#This Row],[Country Code]],Table29[],8,FALSE)</f>
        <v>non-OECD</v>
      </c>
      <c r="AX1817" s="233" t="str">
        <f>VLOOKUP(Table8[[#This Row],[Country Code]],Table29[],9,FALSE)</f>
        <v>no</v>
      </c>
      <c r="AY1817" s="233" t="str">
        <f>VLOOKUP(Table8[[#This Row],[Country Code]],Table29[],10,FALSE)</f>
        <v>no</v>
      </c>
      <c r="AZ1817" s="235">
        <f>VLOOKUP(Table8[[#This Row],[Country Code]],Table29[],23,FALSE)</f>
        <v>0.45126691251345002</v>
      </c>
      <c r="BA1817" s="235">
        <f>VLOOKUP(Table8[[#This Row],[Country Code]],Table29[],24,FALSE)</f>
        <v>0.10561796037965671</v>
      </c>
      <c r="BB1817" s="320"/>
      <c r="BC1817" s="320"/>
    </row>
    <row r="1818" spans="1:55" ht="30" hidden="1" x14ac:dyDescent="0.25">
      <c r="A1818" s="373">
        <v>17719</v>
      </c>
      <c r="B1818" s="233" t="str">
        <f>VLOOKUP(Table8[[#This Row],[Document ID]],Table1[],2,FALSE)</f>
        <v>LCA</v>
      </c>
      <c r="C1818" s="233" t="str">
        <f>VLOOKUP(Table8[[#This Row],[Document ID]],Table1[],3,FALSE)</f>
        <v>Saint Lucia</v>
      </c>
      <c r="D1818" s="243" t="str">
        <f>VLOOKUP(Table8[[#This Row],[Document ID]],Table1[],5,FALSE)</f>
        <v>NDC</v>
      </c>
      <c r="E1818" s="233" t="str">
        <f>VLOOKUP(Table8[[#This Row],[Document ID]],Table1[],7,FALSE)</f>
        <v>First NDC</v>
      </c>
      <c r="F1818" s="236" t="str">
        <f>VLOOKUP(Table8[[#This Row],[Document ID]],Table1[],8,FALSE)</f>
        <v>NDC 1.0</v>
      </c>
      <c r="G1818" s="236" t="str">
        <f>VLOOKUP(Table8[[#This Row],[Document ID]],Table1[],10,FALSE)</f>
        <v>Archived</v>
      </c>
      <c r="H1818" s="44" t="s">
        <v>2329</v>
      </c>
      <c r="I1818" s="44" t="s">
        <v>2330</v>
      </c>
      <c r="J1818" s="44" t="s">
        <v>2691</v>
      </c>
      <c r="K1818" s="44" t="s">
        <v>4007</v>
      </c>
      <c r="L1818" s="44" t="s">
        <v>2333</v>
      </c>
      <c r="M1818" s="43"/>
      <c r="N1818" s="113" t="s">
        <v>1113</v>
      </c>
      <c r="O1818" s="113"/>
      <c r="P1818" s="113"/>
      <c r="Q1818" s="319"/>
      <c r="R1818" s="319"/>
      <c r="S1818" s="319"/>
      <c r="T1818" s="319"/>
      <c r="U1818" s="319"/>
      <c r="V1818" s="319"/>
      <c r="W1818" s="319"/>
      <c r="X1818" s="319"/>
      <c r="Y1818" s="319"/>
      <c r="Z1818" s="319"/>
      <c r="AA1818" s="319"/>
      <c r="AB1818" s="319"/>
      <c r="AC1818" s="319"/>
      <c r="AD1818" s="319"/>
      <c r="AE1818" s="319"/>
      <c r="AF1818" s="319"/>
      <c r="AG1818" s="319"/>
      <c r="AH1818" s="319"/>
      <c r="AI1818" s="319"/>
      <c r="AJ1818" s="319"/>
      <c r="AK1818" s="319" t="s">
        <v>1113</v>
      </c>
      <c r="AL1818" s="319"/>
      <c r="AM1818" s="319"/>
      <c r="AN1818" s="319"/>
      <c r="AO1818" s="44" t="s">
        <v>2334</v>
      </c>
      <c r="AP1818" s="44"/>
      <c r="AQ1818" s="236" t="str">
        <f>VLOOKUP(Table8[[#This Row],[Instrument]],Def_Targets!$D$73:$E$159,2,FALSE)</f>
        <v>I_Lowemissionincentive</v>
      </c>
      <c r="AR1818" s="233" t="str">
        <f>VLOOKUP(Table8[[#This Row],[Country Code]],Table29[],3,FALSE)</f>
        <v>Non-Annex I</v>
      </c>
      <c r="AS1818" s="233" t="str">
        <f>VLOOKUP(Table8[[#This Row],[Country Code]],Table29[],4,FALSE)</f>
        <v>Latin America and the Caribbean</v>
      </c>
      <c r="AT1818" s="233" t="str">
        <f>VLOOKUP(Table8[[#This Row],[Country Code]],Table29[],5,FALSE)</f>
        <v>Middle-income</v>
      </c>
      <c r="AU1818" s="233" t="str">
        <f>VLOOKUP(Table8[[#This Row],[Country Code]],Table29[],6,FALSE)</f>
        <v>no</v>
      </c>
      <c r="AV1818" s="233" t="str">
        <f>VLOOKUP(Table8[[#This Row],[Country Code]],Table29[],7,FALSE)</f>
        <v>no</v>
      </c>
      <c r="AW1818" s="233" t="str">
        <f>VLOOKUP(Table8[[#This Row],[Country Code]],Table29[],8,FALSE)</f>
        <v>non-OECD</v>
      </c>
      <c r="AX1818" s="233" t="str">
        <f>VLOOKUP(Table8[[#This Row],[Country Code]],Table29[],9,FALSE)</f>
        <v>no</v>
      </c>
      <c r="AY1818" s="233" t="str">
        <f>VLOOKUP(Table8[[#This Row],[Country Code]],Table29[],10,FALSE)</f>
        <v>no</v>
      </c>
      <c r="AZ1818" s="235">
        <f>VLOOKUP(Table8[[#This Row],[Country Code]],Table29[],23,FALSE)</f>
        <v>0.45126691251345002</v>
      </c>
      <c r="BA1818" s="235">
        <f>VLOOKUP(Table8[[#This Row],[Country Code]],Table29[],24,FALSE)</f>
        <v>0.10561796037965671</v>
      </c>
      <c r="BB1818" s="320"/>
      <c r="BC1818" s="320"/>
    </row>
    <row r="1819" spans="1:55" hidden="1" x14ac:dyDescent="0.25">
      <c r="A1819" s="373">
        <v>17719</v>
      </c>
      <c r="B1819" s="233" t="str">
        <f>VLOOKUP(Table8[[#This Row],[Document ID]],Table1[],2,FALSE)</f>
        <v>LCA</v>
      </c>
      <c r="C1819" s="233" t="str">
        <f>VLOOKUP(Table8[[#This Row],[Document ID]],Table1[],3,FALSE)</f>
        <v>Saint Lucia</v>
      </c>
      <c r="D1819" s="243" t="str">
        <f>VLOOKUP(Table8[[#This Row],[Document ID]],Table1[],5,FALSE)</f>
        <v>NDC</v>
      </c>
      <c r="E1819" s="233" t="str">
        <f>VLOOKUP(Table8[[#This Row],[Document ID]],Table1[],7,FALSE)</f>
        <v>First NDC</v>
      </c>
      <c r="F1819" s="236" t="str">
        <f>VLOOKUP(Table8[[#This Row],[Document ID]],Table1[],8,FALSE)</f>
        <v>NDC 1.0</v>
      </c>
      <c r="G1819" s="236" t="str">
        <f>VLOOKUP(Table8[[#This Row],[Document ID]],Table1[],10,FALSE)</f>
        <v>Archived</v>
      </c>
      <c r="H1819" s="44" t="s">
        <v>2338</v>
      </c>
      <c r="I1819" s="44" t="s">
        <v>2339</v>
      </c>
      <c r="J1819" s="44" t="s">
        <v>2340</v>
      </c>
      <c r="K1819" s="44" t="s">
        <v>4008</v>
      </c>
      <c r="L1819" s="44" t="s">
        <v>2333</v>
      </c>
      <c r="M1819" s="43"/>
      <c r="N1819" s="113" t="s">
        <v>1113</v>
      </c>
      <c r="O1819" s="113"/>
      <c r="P1819" s="113"/>
      <c r="Q1819" s="319"/>
      <c r="R1819" s="319"/>
      <c r="S1819" s="319"/>
      <c r="T1819" s="319"/>
      <c r="U1819" s="319"/>
      <c r="V1819" s="319"/>
      <c r="W1819" s="319"/>
      <c r="X1819" s="319"/>
      <c r="Y1819" s="319"/>
      <c r="Z1819" s="319"/>
      <c r="AA1819" s="319"/>
      <c r="AB1819" s="319"/>
      <c r="AC1819" s="319"/>
      <c r="AD1819" s="319"/>
      <c r="AE1819" s="319"/>
      <c r="AF1819" s="319"/>
      <c r="AG1819" s="319"/>
      <c r="AH1819" s="319"/>
      <c r="AI1819" s="319"/>
      <c r="AJ1819" s="319"/>
      <c r="AK1819" s="319" t="s">
        <v>1113</v>
      </c>
      <c r="AL1819" s="319"/>
      <c r="AM1819" s="319"/>
      <c r="AN1819" s="319"/>
      <c r="AO1819" s="44" t="s">
        <v>2334</v>
      </c>
      <c r="AP1819" s="44"/>
      <c r="AQ1819" s="236" t="str">
        <f>VLOOKUP(Table8[[#This Row],[Instrument]],Def_Targets!$D$73:$E$159,2,FALSE)</f>
        <v>I_Vehicleimprove</v>
      </c>
      <c r="AR1819" s="233" t="str">
        <f>VLOOKUP(Table8[[#This Row],[Country Code]],Table29[],3,FALSE)</f>
        <v>Non-Annex I</v>
      </c>
      <c r="AS1819" s="233" t="str">
        <f>VLOOKUP(Table8[[#This Row],[Country Code]],Table29[],4,FALSE)</f>
        <v>Latin America and the Caribbean</v>
      </c>
      <c r="AT1819" s="233" t="str">
        <f>VLOOKUP(Table8[[#This Row],[Country Code]],Table29[],5,FALSE)</f>
        <v>Middle-income</v>
      </c>
      <c r="AU1819" s="233" t="str">
        <f>VLOOKUP(Table8[[#This Row],[Country Code]],Table29[],6,FALSE)</f>
        <v>no</v>
      </c>
      <c r="AV1819" s="233" t="str">
        <f>VLOOKUP(Table8[[#This Row],[Country Code]],Table29[],7,FALSE)</f>
        <v>no</v>
      </c>
      <c r="AW1819" s="233" t="str">
        <f>VLOOKUP(Table8[[#This Row],[Country Code]],Table29[],8,FALSE)</f>
        <v>non-OECD</v>
      </c>
      <c r="AX1819" s="233" t="str">
        <f>VLOOKUP(Table8[[#This Row],[Country Code]],Table29[],9,FALSE)</f>
        <v>no</v>
      </c>
      <c r="AY1819" s="233" t="str">
        <f>VLOOKUP(Table8[[#This Row],[Country Code]],Table29[],10,FALSE)</f>
        <v>no</v>
      </c>
      <c r="AZ1819" s="235">
        <f>VLOOKUP(Table8[[#This Row],[Country Code]],Table29[],23,FALSE)</f>
        <v>0.45126691251345002</v>
      </c>
      <c r="BA1819" s="235">
        <f>VLOOKUP(Table8[[#This Row],[Country Code]],Table29[],24,FALSE)</f>
        <v>0.10561796037965671</v>
      </c>
      <c r="BB1819" s="320"/>
      <c r="BC1819" s="320"/>
    </row>
    <row r="1820" spans="1:55" ht="30" hidden="1" x14ac:dyDescent="0.25">
      <c r="A1820" s="373">
        <v>17721</v>
      </c>
      <c r="B1820" s="233" t="str">
        <f>VLOOKUP(Table8[[#This Row],[Document ID]],Table1[],2,FALSE)</f>
        <v>VCT</v>
      </c>
      <c r="C1820" s="233" t="str">
        <f>VLOOKUP(Table8[[#This Row],[Document ID]],Table1[],3,FALSE)</f>
        <v>Saint Vincent and the Grenadines</v>
      </c>
      <c r="D1820" s="243" t="str">
        <f>VLOOKUP(Table8[[#This Row],[Document ID]],Table1[],5,FALSE)</f>
        <v>NDC</v>
      </c>
      <c r="E1820" s="233" t="str">
        <f>VLOOKUP(Table8[[#This Row],[Document ID]],Table1[],7,FALSE)</f>
        <v>First NDC</v>
      </c>
      <c r="F1820" s="236" t="str">
        <f>VLOOKUP(Table8[[#This Row],[Document ID]],Table1[],8,FALSE)</f>
        <v>NDC 1.0</v>
      </c>
      <c r="G1820" s="236" t="str">
        <f>VLOOKUP(Table8[[#This Row],[Document ID]],Table1[],10,FALSE)</f>
        <v>Active</v>
      </c>
      <c r="H1820" s="43" t="s">
        <v>2343</v>
      </c>
      <c r="I1820" s="43" t="s">
        <v>2344</v>
      </c>
      <c r="J1820" s="44" t="s">
        <v>2345</v>
      </c>
      <c r="K1820" s="44" t="s">
        <v>4009</v>
      </c>
      <c r="L1820" s="44" t="s">
        <v>2347</v>
      </c>
      <c r="M1820" s="43"/>
      <c r="N1820" s="113" t="s">
        <v>1113</v>
      </c>
      <c r="O1820" s="113"/>
      <c r="P1820" s="113"/>
      <c r="Q1820" s="319"/>
      <c r="R1820" s="319"/>
      <c r="S1820" s="319"/>
      <c r="T1820" s="319"/>
      <c r="U1820" s="319"/>
      <c r="V1820" s="319"/>
      <c r="W1820" s="319"/>
      <c r="X1820" s="319"/>
      <c r="Y1820" s="113"/>
      <c r="Z1820" s="113"/>
      <c r="AA1820" s="319"/>
      <c r="AB1820" s="319"/>
      <c r="AC1820" s="319"/>
      <c r="AD1820" s="319"/>
      <c r="AE1820" s="319"/>
      <c r="AF1820" s="319"/>
      <c r="AG1820" s="319"/>
      <c r="AH1820" s="319"/>
      <c r="AI1820" s="319"/>
      <c r="AJ1820" s="319"/>
      <c r="AK1820" s="319" t="s">
        <v>1113</v>
      </c>
      <c r="AL1820" s="319"/>
      <c r="AM1820" s="319"/>
      <c r="AN1820" s="319"/>
      <c r="AO1820" s="43" t="s">
        <v>2348</v>
      </c>
      <c r="AP1820" s="44"/>
      <c r="AQ1820" s="236" t="str">
        <f>VLOOKUP(Table8[[#This Row],[Instrument]],Def_Targets!$D$73:$E$159,2,FALSE)</f>
        <v>S_PublicTransport</v>
      </c>
      <c r="AR1820" s="233" t="str">
        <f>VLOOKUP(Table8[[#This Row],[Country Code]],Table29[],3,FALSE)</f>
        <v>Non-Annex I</v>
      </c>
      <c r="AS1820" s="233" t="str">
        <f>VLOOKUP(Table8[[#This Row],[Country Code]],Table29[],4,FALSE)</f>
        <v>Latin America and the Caribbean</v>
      </c>
      <c r="AT1820" s="233" t="str">
        <f>VLOOKUP(Table8[[#This Row],[Country Code]],Table29[],5,FALSE)</f>
        <v>Middle-income</v>
      </c>
      <c r="AU1820" s="233" t="str">
        <f>VLOOKUP(Table8[[#This Row],[Country Code]],Table29[],6,FALSE)</f>
        <v>no</v>
      </c>
      <c r="AV1820" s="233" t="str">
        <f>VLOOKUP(Table8[[#This Row],[Country Code]],Table29[],7,FALSE)</f>
        <v>no</v>
      </c>
      <c r="AW1820" s="233" t="str">
        <f>VLOOKUP(Table8[[#This Row],[Country Code]],Table29[],8,FALSE)</f>
        <v>non-OECD</v>
      </c>
      <c r="AX1820" s="233" t="str">
        <f>VLOOKUP(Table8[[#This Row],[Country Code]],Table29[],9,FALSE)</f>
        <v>no</v>
      </c>
      <c r="AY1820" s="233" t="str">
        <f>VLOOKUP(Table8[[#This Row],[Country Code]],Table29[],10,FALSE)</f>
        <v>no</v>
      </c>
      <c r="AZ1820" s="235">
        <f>VLOOKUP(Table8[[#This Row],[Country Code]],Table29[],23,FALSE)</f>
        <v>0.15077509193013</v>
      </c>
      <c r="BA1820" s="235">
        <f>VLOOKUP(Table8[[#This Row],[Country Code]],Table29[],24,FALSE)</f>
        <v>3.4275975279875179E-2</v>
      </c>
      <c r="BB1820" s="320"/>
      <c r="BC1820" s="320"/>
    </row>
    <row r="1821" spans="1:55" ht="30" hidden="1" x14ac:dyDescent="0.25">
      <c r="A1821" s="373">
        <v>17721</v>
      </c>
      <c r="B1821" s="233" t="str">
        <f>VLOOKUP(Table8[[#This Row],[Document ID]],Table1[],2,FALSE)</f>
        <v>VCT</v>
      </c>
      <c r="C1821" s="233" t="str">
        <f>VLOOKUP(Table8[[#This Row],[Document ID]],Table1[],3,FALSE)</f>
        <v>Saint Vincent and the Grenadines</v>
      </c>
      <c r="D1821" s="243" t="str">
        <f>VLOOKUP(Table8[[#This Row],[Document ID]],Table1[],5,FALSE)</f>
        <v>NDC</v>
      </c>
      <c r="E1821" s="233" t="str">
        <f>VLOOKUP(Table8[[#This Row],[Document ID]],Table1[],7,FALSE)</f>
        <v>First NDC</v>
      </c>
      <c r="F1821" s="236" t="str">
        <f>VLOOKUP(Table8[[#This Row],[Document ID]],Table1[],8,FALSE)</f>
        <v>NDC 1.0</v>
      </c>
      <c r="G1821" s="236" t="str">
        <f>VLOOKUP(Table8[[#This Row],[Document ID]],Table1[],10,FALSE)</f>
        <v>Active</v>
      </c>
      <c r="H1821" s="44" t="s">
        <v>2329</v>
      </c>
      <c r="I1821" s="44" t="s">
        <v>2330</v>
      </c>
      <c r="J1821" s="44" t="s">
        <v>2691</v>
      </c>
      <c r="K1821" s="44" t="s">
        <v>4010</v>
      </c>
      <c r="L1821" s="44" t="s">
        <v>2333</v>
      </c>
      <c r="M1821" s="43"/>
      <c r="N1821" s="113" t="s">
        <v>1113</v>
      </c>
      <c r="O1821" s="113"/>
      <c r="P1821" s="113"/>
      <c r="Q1821" s="319"/>
      <c r="R1821" s="319"/>
      <c r="S1821" s="319"/>
      <c r="T1821" s="319"/>
      <c r="U1821" s="319"/>
      <c r="V1821" s="319"/>
      <c r="W1821" s="319"/>
      <c r="X1821" s="319"/>
      <c r="Y1821" s="319"/>
      <c r="Z1821" s="319"/>
      <c r="AA1821" s="319"/>
      <c r="AB1821" s="319"/>
      <c r="AC1821" s="319"/>
      <c r="AD1821" s="319"/>
      <c r="AE1821" s="319"/>
      <c r="AF1821" s="319"/>
      <c r="AG1821" s="319"/>
      <c r="AH1821" s="319"/>
      <c r="AI1821" s="319"/>
      <c r="AJ1821" s="319"/>
      <c r="AK1821" s="319" t="s">
        <v>1113</v>
      </c>
      <c r="AL1821" s="319"/>
      <c r="AM1821" s="319"/>
      <c r="AN1821" s="319"/>
      <c r="AO1821" s="44" t="s">
        <v>2334</v>
      </c>
      <c r="AP1821" s="44"/>
      <c r="AQ1821" s="236" t="str">
        <f>VLOOKUP(Table8[[#This Row],[Instrument]],Def_Targets!$D$73:$E$159,2,FALSE)</f>
        <v>I_Lowemissionincentive</v>
      </c>
      <c r="AR1821" s="233" t="str">
        <f>VLOOKUP(Table8[[#This Row],[Country Code]],Table29[],3,FALSE)</f>
        <v>Non-Annex I</v>
      </c>
      <c r="AS1821" s="233" t="str">
        <f>VLOOKUP(Table8[[#This Row],[Country Code]],Table29[],4,FALSE)</f>
        <v>Latin America and the Caribbean</v>
      </c>
      <c r="AT1821" s="233" t="str">
        <f>VLOOKUP(Table8[[#This Row],[Country Code]],Table29[],5,FALSE)</f>
        <v>Middle-income</v>
      </c>
      <c r="AU1821" s="233" t="str">
        <f>VLOOKUP(Table8[[#This Row],[Country Code]],Table29[],6,FALSE)</f>
        <v>no</v>
      </c>
      <c r="AV1821" s="233" t="str">
        <f>VLOOKUP(Table8[[#This Row],[Country Code]],Table29[],7,FALSE)</f>
        <v>no</v>
      </c>
      <c r="AW1821" s="233" t="str">
        <f>VLOOKUP(Table8[[#This Row],[Country Code]],Table29[],8,FALSE)</f>
        <v>non-OECD</v>
      </c>
      <c r="AX1821" s="233" t="str">
        <f>VLOOKUP(Table8[[#This Row],[Country Code]],Table29[],9,FALSE)</f>
        <v>no</v>
      </c>
      <c r="AY1821" s="233" t="str">
        <f>VLOOKUP(Table8[[#This Row],[Country Code]],Table29[],10,FALSE)</f>
        <v>no</v>
      </c>
      <c r="AZ1821" s="235">
        <f>VLOOKUP(Table8[[#This Row],[Country Code]],Table29[],23,FALSE)</f>
        <v>0.15077509193013</v>
      </c>
      <c r="BA1821" s="235">
        <f>VLOOKUP(Table8[[#This Row],[Country Code]],Table29[],24,FALSE)</f>
        <v>3.4275975279875179E-2</v>
      </c>
      <c r="BB1821" s="320"/>
      <c r="BC1821" s="320"/>
    </row>
    <row r="1822" spans="1:55" hidden="1" x14ac:dyDescent="0.25">
      <c r="A1822" s="373">
        <v>17722</v>
      </c>
      <c r="B1822" s="233" t="str">
        <f>VLOOKUP(Table8[[#This Row],[Document ID]],Table1[],2,FALSE)</f>
        <v>WSM</v>
      </c>
      <c r="C1822" s="233" t="str">
        <f>VLOOKUP(Table8[[#This Row],[Document ID]],Table1[],3,FALSE)</f>
        <v>Samoa</v>
      </c>
      <c r="D1822" s="243" t="str">
        <f>VLOOKUP(Table8[[#This Row],[Document ID]],Table1[],5,FALSE)</f>
        <v>NDC</v>
      </c>
      <c r="E1822" s="233" t="str">
        <f>VLOOKUP(Table8[[#This Row],[Document ID]],Table1[],7,FALSE)</f>
        <v>First NDC</v>
      </c>
      <c r="F1822" s="236" t="str">
        <f>VLOOKUP(Table8[[#This Row],[Document ID]],Table1[],8,FALSE)</f>
        <v>NDC 1.0</v>
      </c>
      <c r="G1822" s="236" t="str">
        <f>VLOOKUP(Table8[[#This Row],[Document ID]],Table1[],10,FALSE)</f>
        <v>Archived</v>
      </c>
      <c r="H1822" s="44" t="s">
        <v>2338</v>
      </c>
      <c r="I1822" s="44" t="s">
        <v>2339</v>
      </c>
      <c r="J1822" s="44" t="s">
        <v>2425</v>
      </c>
      <c r="K1822" s="44" t="s">
        <v>4011</v>
      </c>
      <c r="L1822" s="44" t="s">
        <v>2333</v>
      </c>
      <c r="M1822" s="43"/>
      <c r="N1822" s="113" t="s">
        <v>1113</v>
      </c>
      <c r="O1822" s="113"/>
      <c r="P1822" s="113"/>
      <c r="Q1822" s="319"/>
      <c r="R1822" s="319"/>
      <c r="S1822" s="319"/>
      <c r="T1822" s="319"/>
      <c r="U1822" s="319"/>
      <c r="V1822" s="319"/>
      <c r="W1822" s="319"/>
      <c r="X1822" s="319"/>
      <c r="Y1822" s="319"/>
      <c r="Z1822" s="319"/>
      <c r="AA1822" s="319"/>
      <c r="AB1822" s="319"/>
      <c r="AC1822" s="319"/>
      <c r="AD1822" s="319"/>
      <c r="AE1822" s="319"/>
      <c r="AF1822" s="319"/>
      <c r="AG1822" s="319"/>
      <c r="AH1822" s="319"/>
      <c r="AI1822" s="319"/>
      <c r="AJ1822" s="319"/>
      <c r="AK1822" s="319" t="s">
        <v>1113</v>
      </c>
      <c r="AL1822" s="319"/>
      <c r="AM1822" s="319"/>
      <c r="AN1822" s="319"/>
      <c r="AO1822" s="44" t="s">
        <v>2334</v>
      </c>
      <c r="AP1822" s="44"/>
      <c r="AQ1822" s="236" t="str">
        <f>VLOOKUP(Table8[[#This Row],[Instrument]],Def_Targets!$D$73:$E$159,2,FALSE)</f>
        <v>I_Efficiencystd</v>
      </c>
      <c r="AR1822" s="233" t="str">
        <f>VLOOKUP(Table8[[#This Row],[Country Code]],Table29[],3,FALSE)</f>
        <v>Non-Annex I</v>
      </c>
      <c r="AS1822" s="233" t="str">
        <f>VLOOKUP(Table8[[#This Row],[Country Code]],Table29[],4,FALSE)</f>
        <v>Oceania</v>
      </c>
      <c r="AT1822" s="233" t="str">
        <f>VLOOKUP(Table8[[#This Row],[Country Code]],Table29[],5,FALSE)</f>
        <v>Middle-income</v>
      </c>
      <c r="AU1822" s="233" t="str">
        <f>VLOOKUP(Table8[[#This Row],[Country Code]],Table29[],6,FALSE)</f>
        <v>no</v>
      </c>
      <c r="AV1822" s="233" t="str">
        <f>VLOOKUP(Table8[[#This Row],[Country Code]],Table29[],7,FALSE)</f>
        <v>no</v>
      </c>
      <c r="AW1822" s="233" t="str">
        <f>VLOOKUP(Table8[[#This Row],[Country Code]],Table29[],8,FALSE)</f>
        <v>non-OECD</v>
      </c>
      <c r="AX1822" s="233" t="str">
        <f>VLOOKUP(Table8[[#This Row],[Country Code]],Table29[],9,FALSE)</f>
        <v>no</v>
      </c>
      <c r="AY1822" s="233" t="str">
        <f>VLOOKUP(Table8[[#This Row],[Country Code]],Table29[],10,FALSE)</f>
        <v>no</v>
      </c>
      <c r="AZ1822" s="235">
        <f>VLOOKUP(Table8[[#This Row],[Country Code]],Table29[],23,FALSE)</f>
        <v>0.64614359538246002</v>
      </c>
      <c r="BA1822" s="235">
        <f>VLOOKUP(Table8[[#This Row],[Country Code]],Table29[],24,FALSE)</f>
        <v>0.2431860191561139</v>
      </c>
      <c r="BB1822" s="320"/>
      <c r="BC1822" s="320"/>
    </row>
    <row r="1823" spans="1:55" ht="30" hidden="1" x14ac:dyDescent="0.25">
      <c r="A1823" s="373">
        <v>17722</v>
      </c>
      <c r="B1823" s="233" t="str">
        <f>VLOOKUP(Table8[[#This Row],[Document ID]],Table1[],2,FALSE)</f>
        <v>WSM</v>
      </c>
      <c r="C1823" s="233" t="str">
        <f>VLOOKUP(Table8[[#This Row],[Document ID]],Table1[],3,FALSE)</f>
        <v>Samoa</v>
      </c>
      <c r="D1823" s="243" t="str">
        <f>VLOOKUP(Table8[[#This Row],[Document ID]],Table1[],5,FALSE)</f>
        <v>NDC</v>
      </c>
      <c r="E1823" s="233" t="str">
        <f>VLOOKUP(Table8[[#This Row],[Document ID]],Table1[],7,FALSE)</f>
        <v>First NDC</v>
      </c>
      <c r="F1823" s="236" t="str">
        <f>VLOOKUP(Table8[[#This Row],[Document ID]],Table1[],8,FALSE)</f>
        <v>NDC 1.0</v>
      </c>
      <c r="G1823" s="236" t="str">
        <f>VLOOKUP(Table8[[#This Row],[Document ID]],Table1[],10,FALSE)</f>
        <v>Archived</v>
      </c>
      <c r="H1823" s="43" t="s">
        <v>2350</v>
      </c>
      <c r="I1823" s="43" t="s">
        <v>2407</v>
      </c>
      <c r="J1823" s="44" t="s">
        <v>2408</v>
      </c>
      <c r="K1823" s="44" t="s">
        <v>4012</v>
      </c>
      <c r="L1823" s="44" t="s">
        <v>2333</v>
      </c>
      <c r="M1823" s="43"/>
      <c r="N1823" s="113" t="s">
        <v>1113</v>
      </c>
      <c r="O1823" s="113"/>
      <c r="P1823" s="113"/>
      <c r="Q1823" s="319"/>
      <c r="R1823" s="319"/>
      <c r="S1823" s="319"/>
      <c r="T1823" s="319"/>
      <c r="U1823" s="319"/>
      <c r="V1823" s="319"/>
      <c r="W1823" s="319"/>
      <c r="X1823" s="319"/>
      <c r="Y1823" s="319"/>
      <c r="Z1823" s="319"/>
      <c r="AA1823" s="319"/>
      <c r="AB1823" s="319"/>
      <c r="AC1823" s="319"/>
      <c r="AD1823" s="319"/>
      <c r="AE1823" s="319"/>
      <c r="AF1823" s="319"/>
      <c r="AG1823" s="319"/>
      <c r="AH1823" s="319"/>
      <c r="AI1823" s="319"/>
      <c r="AJ1823" s="319"/>
      <c r="AK1823" s="319" t="s">
        <v>1113</v>
      </c>
      <c r="AL1823" s="319"/>
      <c r="AM1823" s="319"/>
      <c r="AN1823" s="319"/>
      <c r="AO1823" s="44" t="s">
        <v>2334</v>
      </c>
      <c r="AP1823" s="44"/>
      <c r="AQ1823" s="236" t="str">
        <f>VLOOKUP(Table8[[#This Row],[Instrument]],Def_Targets!$D$73:$E$159,2,FALSE)</f>
        <v>I_Education</v>
      </c>
      <c r="AR1823" s="233" t="str">
        <f>VLOOKUP(Table8[[#This Row],[Country Code]],Table29[],3,FALSE)</f>
        <v>Non-Annex I</v>
      </c>
      <c r="AS1823" s="233" t="str">
        <f>VLOOKUP(Table8[[#This Row],[Country Code]],Table29[],4,FALSE)</f>
        <v>Oceania</v>
      </c>
      <c r="AT1823" s="233" t="str">
        <f>VLOOKUP(Table8[[#This Row],[Country Code]],Table29[],5,FALSE)</f>
        <v>Middle-income</v>
      </c>
      <c r="AU1823" s="233" t="str">
        <f>VLOOKUP(Table8[[#This Row],[Country Code]],Table29[],6,FALSE)</f>
        <v>no</v>
      </c>
      <c r="AV1823" s="233" t="str">
        <f>VLOOKUP(Table8[[#This Row],[Country Code]],Table29[],7,FALSE)</f>
        <v>no</v>
      </c>
      <c r="AW1823" s="233" t="str">
        <f>VLOOKUP(Table8[[#This Row],[Country Code]],Table29[],8,FALSE)</f>
        <v>non-OECD</v>
      </c>
      <c r="AX1823" s="233" t="str">
        <f>VLOOKUP(Table8[[#This Row],[Country Code]],Table29[],9,FALSE)</f>
        <v>no</v>
      </c>
      <c r="AY1823" s="233" t="str">
        <f>VLOOKUP(Table8[[#This Row],[Country Code]],Table29[],10,FALSE)</f>
        <v>no</v>
      </c>
      <c r="AZ1823" s="235">
        <f>VLOOKUP(Table8[[#This Row],[Country Code]],Table29[],23,FALSE)</f>
        <v>0.64614359538246002</v>
      </c>
      <c r="BA1823" s="235">
        <f>VLOOKUP(Table8[[#This Row],[Country Code]],Table29[],24,FALSE)</f>
        <v>0.2431860191561139</v>
      </c>
      <c r="BB1823" s="320"/>
      <c r="BC1823" s="320"/>
    </row>
    <row r="1824" spans="1:55" hidden="1" x14ac:dyDescent="0.25">
      <c r="A1824" s="373">
        <v>22007</v>
      </c>
      <c r="B1824" s="233" t="str">
        <f>VLOOKUP(Table8[[#This Row],[Document ID]],Table1[],2,FALSE)</f>
        <v>WSM</v>
      </c>
      <c r="C1824" s="233" t="str">
        <f>VLOOKUP(Table8[[#This Row],[Document ID]],Table1[],3,FALSE)</f>
        <v>Samoa</v>
      </c>
      <c r="D1824" s="243" t="str">
        <f>VLOOKUP(Table8[[#This Row],[Document ID]],Table1[],5,FALSE)</f>
        <v>NDC</v>
      </c>
      <c r="E1824" s="233" t="str">
        <f>VLOOKUP(Table8[[#This Row],[Document ID]],Table1[],7,FALSE)</f>
        <v>Second NDC</v>
      </c>
      <c r="F1824" s="233" t="str">
        <f>VLOOKUP(Table8[[#This Row],[Document ID]],Table1[],8,FALSE)</f>
        <v>NDC 2.0</v>
      </c>
      <c r="G1824" s="233" t="str">
        <f>VLOOKUP(Table8[[#This Row],[Document ID]],Table1[],10,FALSE)</f>
        <v>Active</v>
      </c>
      <c r="H1824" s="43" t="s">
        <v>2358</v>
      </c>
      <c r="I1824" s="43" t="s">
        <v>2359</v>
      </c>
      <c r="J1824" s="44" t="s">
        <v>2360</v>
      </c>
      <c r="K1824" s="44" t="s">
        <v>4013</v>
      </c>
      <c r="L1824" s="44" t="s">
        <v>2333</v>
      </c>
      <c r="M1824" s="43">
        <v>9</v>
      </c>
      <c r="N1824" s="113"/>
      <c r="O1824" s="113"/>
      <c r="P1824" s="113"/>
      <c r="Q1824" s="113"/>
      <c r="R1824" s="113"/>
      <c r="S1824" s="113" t="s">
        <v>1113</v>
      </c>
      <c r="T1824" s="113"/>
      <c r="U1824" s="113"/>
      <c r="V1824" s="113"/>
      <c r="W1824" s="113"/>
      <c r="X1824" s="113"/>
      <c r="Y1824" s="113"/>
      <c r="Z1824" s="113"/>
      <c r="AA1824" s="113"/>
      <c r="AB1824" s="113"/>
      <c r="AC1824" s="113"/>
      <c r="AD1824" s="113"/>
      <c r="AE1824" s="113"/>
      <c r="AF1824" s="113"/>
      <c r="AG1824" s="113"/>
      <c r="AH1824" s="113"/>
      <c r="AI1824" s="113"/>
      <c r="AJ1824" s="113"/>
      <c r="AK1824" s="113" t="s">
        <v>1113</v>
      </c>
      <c r="AL1824" s="113"/>
      <c r="AM1824" s="113"/>
      <c r="AN1824" s="113"/>
      <c r="AO1824" s="44" t="s">
        <v>2334</v>
      </c>
      <c r="AP1824" s="43"/>
      <c r="AQ1824" s="236" t="str">
        <f>VLOOKUP(Table8[[#This Row],[Instrument]],Def_Targets!$D$73:$E$159,2,FALSE)</f>
        <v>I_Emobility</v>
      </c>
      <c r="AR1824" s="233" t="str">
        <f>VLOOKUP(Table8[[#This Row],[Country Code]],Table29[],3,FALSE)</f>
        <v>Non-Annex I</v>
      </c>
      <c r="AS1824" s="233" t="str">
        <f>VLOOKUP(Table8[[#This Row],[Country Code]],Table29[],4,FALSE)</f>
        <v>Oceania</v>
      </c>
      <c r="AT1824" s="233" t="str">
        <f>VLOOKUP(Table8[[#This Row],[Country Code]],Table29[],5,FALSE)</f>
        <v>Middle-income</v>
      </c>
      <c r="AU1824" s="233" t="str">
        <f>VLOOKUP(Table8[[#This Row],[Country Code]],Table29[],6,FALSE)</f>
        <v>no</v>
      </c>
      <c r="AV1824" s="233" t="str">
        <f>VLOOKUP(Table8[[#This Row],[Country Code]],Table29[],7,FALSE)</f>
        <v>no</v>
      </c>
      <c r="AW1824" s="233" t="str">
        <f>VLOOKUP(Table8[[#This Row],[Country Code]],Table29[],8,FALSE)</f>
        <v>non-OECD</v>
      </c>
      <c r="AX1824" s="233" t="str">
        <f>VLOOKUP(Table8[[#This Row],[Country Code]],Table29[],9,FALSE)</f>
        <v>no</v>
      </c>
      <c r="AY1824" s="233" t="str">
        <f>VLOOKUP(Table8[[#This Row],[Country Code]],Table29[],10,FALSE)</f>
        <v>no</v>
      </c>
      <c r="AZ1824" s="235">
        <f>VLOOKUP(Table8[[#This Row],[Country Code]],Table29[],23,FALSE)</f>
        <v>0.64614359538246002</v>
      </c>
      <c r="BA1824" s="235">
        <f>VLOOKUP(Table8[[#This Row],[Country Code]],Table29[],24,FALSE)</f>
        <v>0.2431860191561139</v>
      </c>
      <c r="BB1824" s="320"/>
      <c r="BC1824" s="320"/>
    </row>
    <row r="1825" spans="1:55" ht="30" hidden="1" x14ac:dyDescent="0.25">
      <c r="A1825" s="373">
        <v>22007</v>
      </c>
      <c r="B1825" s="233" t="str">
        <f>VLOOKUP(Table8[[#This Row],[Document ID]],Table1[],2,FALSE)</f>
        <v>WSM</v>
      </c>
      <c r="C1825" s="233" t="str">
        <f>VLOOKUP(Table8[[#This Row],[Document ID]],Table1[],3,FALSE)</f>
        <v>Samoa</v>
      </c>
      <c r="D1825" s="243" t="str">
        <f>VLOOKUP(Table8[[#This Row],[Document ID]],Table1[],5,FALSE)</f>
        <v>NDC</v>
      </c>
      <c r="E1825" s="233" t="str">
        <f>VLOOKUP(Table8[[#This Row],[Document ID]],Table1[],7,FALSE)</f>
        <v>Second NDC</v>
      </c>
      <c r="F1825" s="233" t="str">
        <f>VLOOKUP(Table8[[#This Row],[Document ID]],Table1[],8,FALSE)</f>
        <v>NDC 2.0</v>
      </c>
      <c r="G1825" s="233" t="str">
        <f>VLOOKUP(Table8[[#This Row],[Document ID]],Table1[],10,FALSE)</f>
        <v>Active</v>
      </c>
      <c r="H1825" s="43" t="s">
        <v>2343</v>
      </c>
      <c r="I1825" s="43" t="s">
        <v>2429</v>
      </c>
      <c r="J1825" s="44" t="s">
        <v>2513</v>
      </c>
      <c r="K1825" s="44" t="s">
        <v>4014</v>
      </c>
      <c r="L1825" s="44" t="s">
        <v>2471</v>
      </c>
      <c r="M1825" s="43">
        <v>9</v>
      </c>
      <c r="N1825" s="113"/>
      <c r="O1825" s="113"/>
      <c r="P1825" s="113"/>
      <c r="Q1825" s="113"/>
      <c r="R1825" s="113"/>
      <c r="S1825" s="113" t="s">
        <v>1113</v>
      </c>
      <c r="T1825" s="113"/>
      <c r="U1825" s="113"/>
      <c r="V1825" s="113"/>
      <c r="W1825" s="113"/>
      <c r="X1825" s="113"/>
      <c r="Y1825" s="113"/>
      <c r="Z1825" s="113"/>
      <c r="AA1825" s="113"/>
      <c r="AB1825" s="113"/>
      <c r="AC1825" s="113"/>
      <c r="AD1825" s="113"/>
      <c r="AE1825" s="113"/>
      <c r="AF1825" s="113"/>
      <c r="AG1825" s="113"/>
      <c r="AH1825" s="113"/>
      <c r="AI1825" s="113"/>
      <c r="AJ1825" s="113"/>
      <c r="AK1825" s="113" t="s">
        <v>1113</v>
      </c>
      <c r="AL1825" s="113"/>
      <c r="AM1825" s="113"/>
      <c r="AN1825" s="113"/>
      <c r="AO1825" s="44" t="s">
        <v>2334</v>
      </c>
      <c r="AP1825" s="43"/>
      <c r="AQ1825" s="236" t="str">
        <f>VLOOKUP(Table8[[#This Row],[Instrument]],Def_Targets!$D$73:$E$159,2,FALSE)</f>
        <v>S_Sharedmob</v>
      </c>
      <c r="AR1825" s="233" t="str">
        <f>VLOOKUP(Table8[[#This Row],[Country Code]],Table29[],3,FALSE)</f>
        <v>Non-Annex I</v>
      </c>
      <c r="AS1825" s="233" t="str">
        <f>VLOOKUP(Table8[[#This Row],[Country Code]],Table29[],4,FALSE)</f>
        <v>Oceania</v>
      </c>
      <c r="AT1825" s="233" t="str">
        <f>VLOOKUP(Table8[[#This Row],[Country Code]],Table29[],5,FALSE)</f>
        <v>Middle-income</v>
      </c>
      <c r="AU1825" s="233" t="str">
        <f>VLOOKUP(Table8[[#This Row],[Country Code]],Table29[],6,FALSE)</f>
        <v>no</v>
      </c>
      <c r="AV1825" s="233" t="str">
        <f>VLOOKUP(Table8[[#This Row],[Country Code]],Table29[],7,FALSE)</f>
        <v>no</v>
      </c>
      <c r="AW1825" s="233" t="str">
        <f>VLOOKUP(Table8[[#This Row],[Country Code]],Table29[],8,FALSE)</f>
        <v>non-OECD</v>
      </c>
      <c r="AX1825" s="233" t="str">
        <f>VLOOKUP(Table8[[#This Row],[Country Code]],Table29[],9,FALSE)</f>
        <v>no</v>
      </c>
      <c r="AY1825" s="233" t="str">
        <f>VLOOKUP(Table8[[#This Row],[Country Code]],Table29[],10,FALSE)</f>
        <v>no</v>
      </c>
      <c r="AZ1825" s="235">
        <f>VLOOKUP(Table8[[#This Row],[Country Code]],Table29[],23,FALSE)</f>
        <v>0.64614359538246002</v>
      </c>
      <c r="BA1825" s="235">
        <f>VLOOKUP(Table8[[#This Row],[Country Code]],Table29[],24,FALSE)</f>
        <v>0.2431860191561139</v>
      </c>
      <c r="BB1825" s="320"/>
      <c r="BC1825" s="320"/>
    </row>
    <row r="1826" spans="1:55" ht="30" hidden="1" x14ac:dyDescent="0.25">
      <c r="A1826" s="373">
        <v>22007</v>
      </c>
      <c r="B1826" s="233" t="str">
        <f>VLOOKUP(Table8[[#This Row],[Document ID]],Table1[],2,FALSE)</f>
        <v>WSM</v>
      </c>
      <c r="C1826" s="233" t="str">
        <f>VLOOKUP(Table8[[#This Row],[Document ID]],Table1[],3,FALSE)</f>
        <v>Samoa</v>
      </c>
      <c r="D1826" s="243" t="str">
        <f>VLOOKUP(Table8[[#This Row],[Document ID]],Table1[],5,FALSE)</f>
        <v>NDC</v>
      </c>
      <c r="E1826" s="233" t="str">
        <f>VLOOKUP(Table8[[#This Row],[Document ID]],Table1[],7,FALSE)</f>
        <v>Second NDC</v>
      </c>
      <c r="F1826" s="233" t="str">
        <f>VLOOKUP(Table8[[#This Row],[Document ID]],Table1[],8,FALSE)</f>
        <v>NDC 2.0</v>
      </c>
      <c r="G1826" s="233" t="str">
        <f>VLOOKUP(Table8[[#This Row],[Document ID]],Table1[],10,FALSE)</f>
        <v>Active</v>
      </c>
      <c r="H1826" s="43" t="s">
        <v>2358</v>
      </c>
      <c r="I1826" s="43" t="s">
        <v>2359</v>
      </c>
      <c r="J1826" s="44" t="s">
        <v>2461</v>
      </c>
      <c r="K1826" s="44" t="s">
        <v>4014</v>
      </c>
      <c r="L1826" s="44" t="s">
        <v>2471</v>
      </c>
      <c r="M1826" s="43">
        <v>9</v>
      </c>
      <c r="N1826" s="113"/>
      <c r="O1826" s="113"/>
      <c r="P1826" s="113"/>
      <c r="Q1826" s="113"/>
      <c r="R1826" s="113"/>
      <c r="S1826" s="113" t="s">
        <v>1113</v>
      </c>
      <c r="T1826" s="113"/>
      <c r="U1826" s="113"/>
      <c r="V1826" s="113"/>
      <c r="W1826" s="113"/>
      <c r="X1826" s="113"/>
      <c r="Y1826" s="113"/>
      <c r="Z1826" s="113"/>
      <c r="AA1826" s="113"/>
      <c r="AB1826" s="113"/>
      <c r="AC1826" s="113"/>
      <c r="AD1826" s="113"/>
      <c r="AE1826" s="113"/>
      <c r="AF1826" s="113"/>
      <c r="AG1826" s="113"/>
      <c r="AH1826" s="113"/>
      <c r="AI1826" s="113"/>
      <c r="AJ1826" s="113"/>
      <c r="AK1826" s="113" t="s">
        <v>1113</v>
      </c>
      <c r="AL1826" s="113"/>
      <c r="AM1826" s="113"/>
      <c r="AN1826" s="113"/>
      <c r="AO1826" s="44" t="s">
        <v>2334</v>
      </c>
      <c r="AP1826" s="43"/>
      <c r="AQ1826" s="236" t="str">
        <f>VLOOKUP(Table8[[#This Row],[Instrument]],Def_Targets!$D$73:$E$159,2,FALSE)</f>
        <v>S_Micromobility</v>
      </c>
      <c r="AR1826" s="233" t="str">
        <f>VLOOKUP(Table8[[#This Row],[Country Code]],Table29[],3,FALSE)</f>
        <v>Non-Annex I</v>
      </c>
      <c r="AS1826" s="233" t="str">
        <f>VLOOKUP(Table8[[#This Row],[Country Code]],Table29[],4,FALSE)</f>
        <v>Oceania</v>
      </c>
      <c r="AT1826" s="233" t="str">
        <f>VLOOKUP(Table8[[#This Row],[Country Code]],Table29[],5,FALSE)</f>
        <v>Middle-income</v>
      </c>
      <c r="AU1826" s="233" t="str">
        <f>VLOOKUP(Table8[[#This Row],[Country Code]],Table29[],6,FALSE)</f>
        <v>no</v>
      </c>
      <c r="AV1826" s="233" t="str">
        <f>VLOOKUP(Table8[[#This Row],[Country Code]],Table29[],7,FALSE)</f>
        <v>no</v>
      </c>
      <c r="AW1826" s="233" t="str">
        <f>VLOOKUP(Table8[[#This Row],[Country Code]],Table29[],8,FALSE)</f>
        <v>non-OECD</v>
      </c>
      <c r="AX1826" s="233" t="str">
        <f>VLOOKUP(Table8[[#This Row],[Country Code]],Table29[],9,FALSE)</f>
        <v>no</v>
      </c>
      <c r="AY1826" s="233" t="str">
        <f>VLOOKUP(Table8[[#This Row],[Country Code]],Table29[],10,FALSE)</f>
        <v>no</v>
      </c>
      <c r="AZ1826" s="235">
        <f>VLOOKUP(Table8[[#This Row],[Country Code]],Table29[],23,FALSE)</f>
        <v>0.64614359538246002</v>
      </c>
      <c r="BA1826" s="235">
        <f>VLOOKUP(Table8[[#This Row],[Country Code]],Table29[],24,FALSE)</f>
        <v>0.2431860191561139</v>
      </c>
      <c r="BB1826" s="320"/>
      <c r="BC1826" s="320"/>
    </row>
    <row r="1827" spans="1:55" ht="30" hidden="1" x14ac:dyDescent="0.25">
      <c r="A1827" s="373">
        <v>22007</v>
      </c>
      <c r="B1827" s="233" t="str">
        <f>VLOOKUP(Table8[[#This Row],[Document ID]],Table1[],2,FALSE)</f>
        <v>WSM</v>
      </c>
      <c r="C1827" s="233" t="str">
        <f>VLOOKUP(Table8[[#This Row],[Document ID]],Table1[],3,FALSE)</f>
        <v>Samoa</v>
      </c>
      <c r="D1827" s="243" t="str">
        <f>VLOOKUP(Table8[[#This Row],[Document ID]],Table1[],5,FALSE)</f>
        <v>NDC</v>
      </c>
      <c r="E1827" s="233" t="str">
        <f>VLOOKUP(Table8[[#This Row],[Document ID]],Table1[],7,FALSE)</f>
        <v>Second NDC</v>
      </c>
      <c r="F1827" s="233" t="str">
        <f>VLOOKUP(Table8[[#This Row],[Document ID]],Table1[],8,FALSE)</f>
        <v>NDC 2.0</v>
      </c>
      <c r="G1827" s="233" t="str">
        <f>VLOOKUP(Table8[[#This Row],[Document ID]],Table1[],10,FALSE)</f>
        <v>Active</v>
      </c>
      <c r="H1827" s="43" t="s">
        <v>2484</v>
      </c>
      <c r="I1827" s="43" t="s">
        <v>2485</v>
      </c>
      <c r="J1827" s="44" t="s">
        <v>2775</v>
      </c>
      <c r="K1827" s="44" t="s">
        <v>4015</v>
      </c>
      <c r="L1827" s="44" t="s">
        <v>2333</v>
      </c>
      <c r="M1827" s="43">
        <v>9</v>
      </c>
      <c r="N1827" s="113"/>
      <c r="O1827" s="113"/>
      <c r="P1827" s="113"/>
      <c r="Q1827" s="113"/>
      <c r="R1827" s="113"/>
      <c r="S1827" s="113"/>
      <c r="T1827" s="113"/>
      <c r="U1827" s="113"/>
      <c r="V1827" s="113"/>
      <c r="W1827" s="113"/>
      <c r="X1827" s="113"/>
      <c r="Y1827" s="113"/>
      <c r="Z1827" s="113"/>
      <c r="AA1827" s="113"/>
      <c r="AB1827" s="113"/>
      <c r="AC1827" s="113"/>
      <c r="AD1827" s="113" t="s">
        <v>1113</v>
      </c>
      <c r="AE1827" s="113"/>
      <c r="AF1827" s="113"/>
      <c r="AG1827" s="113"/>
      <c r="AH1827" s="113"/>
      <c r="AI1827" s="113"/>
      <c r="AJ1827" s="113"/>
      <c r="AK1827" s="113" t="s">
        <v>1113</v>
      </c>
      <c r="AL1827" s="113"/>
      <c r="AM1827" s="113"/>
      <c r="AN1827" s="113"/>
      <c r="AO1827" s="44" t="s">
        <v>2334</v>
      </c>
      <c r="AP1827" s="43"/>
      <c r="AQ1827" s="236" t="str">
        <f>VLOOKUP(Table8[[#This Row],[Instrument]],Def_Targets!$D$73:$E$159,2,FALSE)</f>
        <v>I_Onshorepower</v>
      </c>
      <c r="AR1827" s="233" t="str">
        <f>VLOOKUP(Table8[[#This Row],[Country Code]],Table29[],3,FALSE)</f>
        <v>Non-Annex I</v>
      </c>
      <c r="AS1827" s="233" t="str">
        <f>VLOOKUP(Table8[[#This Row],[Country Code]],Table29[],4,FALSE)</f>
        <v>Oceania</v>
      </c>
      <c r="AT1827" s="233" t="str">
        <f>VLOOKUP(Table8[[#This Row],[Country Code]],Table29[],5,FALSE)</f>
        <v>Middle-income</v>
      </c>
      <c r="AU1827" s="233" t="str">
        <f>VLOOKUP(Table8[[#This Row],[Country Code]],Table29[],6,FALSE)</f>
        <v>no</v>
      </c>
      <c r="AV1827" s="233" t="str">
        <f>VLOOKUP(Table8[[#This Row],[Country Code]],Table29[],7,FALSE)</f>
        <v>no</v>
      </c>
      <c r="AW1827" s="233" t="str">
        <f>VLOOKUP(Table8[[#This Row],[Country Code]],Table29[],8,FALSE)</f>
        <v>non-OECD</v>
      </c>
      <c r="AX1827" s="233" t="str">
        <f>VLOOKUP(Table8[[#This Row],[Country Code]],Table29[],9,FALSE)</f>
        <v>no</v>
      </c>
      <c r="AY1827" s="233" t="str">
        <f>VLOOKUP(Table8[[#This Row],[Country Code]],Table29[],10,FALSE)</f>
        <v>no</v>
      </c>
      <c r="AZ1827" s="235">
        <f>VLOOKUP(Table8[[#This Row],[Country Code]],Table29[],23,FALSE)</f>
        <v>0.64614359538246002</v>
      </c>
      <c r="BA1827" s="235">
        <f>VLOOKUP(Table8[[#This Row],[Country Code]],Table29[],24,FALSE)</f>
        <v>0.2431860191561139</v>
      </c>
      <c r="BB1827" s="320"/>
      <c r="BC1827" s="320"/>
    </row>
    <row r="1828" spans="1:55" hidden="1" x14ac:dyDescent="0.25">
      <c r="A1828" s="373">
        <v>22007</v>
      </c>
      <c r="B1828" s="233" t="str">
        <f>VLOOKUP(Table8[[#This Row],[Document ID]],Table1[],2,FALSE)</f>
        <v>WSM</v>
      </c>
      <c r="C1828" s="233" t="str">
        <f>VLOOKUP(Table8[[#This Row],[Document ID]],Table1[],3,FALSE)</f>
        <v>Samoa</v>
      </c>
      <c r="D1828" s="243" t="str">
        <f>VLOOKUP(Table8[[#This Row],[Document ID]],Table1[],5,FALSE)</f>
        <v>NDC</v>
      </c>
      <c r="E1828" s="233" t="str">
        <f>VLOOKUP(Table8[[#This Row],[Document ID]],Table1[],7,FALSE)</f>
        <v>Second NDC</v>
      </c>
      <c r="F1828" s="233" t="str">
        <f>VLOOKUP(Table8[[#This Row],[Document ID]],Table1[],8,FALSE)</f>
        <v>NDC 2.0</v>
      </c>
      <c r="G1828" s="233" t="str">
        <f>VLOOKUP(Table8[[#This Row],[Document ID]],Table1[],10,FALSE)</f>
        <v>Active</v>
      </c>
      <c r="H1828" s="44" t="s">
        <v>2329</v>
      </c>
      <c r="I1828" s="44" t="s">
        <v>2330</v>
      </c>
      <c r="J1828" s="44" t="s">
        <v>2381</v>
      </c>
      <c r="K1828" s="44" t="s">
        <v>4016</v>
      </c>
      <c r="L1828" s="44" t="s">
        <v>2333</v>
      </c>
      <c r="M1828" s="43">
        <v>9</v>
      </c>
      <c r="N1828" s="113"/>
      <c r="O1828" s="113"/>
      <c r="P1828" s="113"/>
      <c r="Q1828" s="113"/>
      <c r="R1828" s="113"/>
      <c r="S1828" s="113"/>
      <c r="T1828" s="113"/>
      <c r="U1828" s="113"/>
      <c r="V1828" s="113"/>
      <c r="W1828" s="113"/>
      <c r="X1828" s="113"/>
      <c r="Y1828" s="113"/>
      <c r="Z1828" s="113"/>
      <c r="AA1828" s="113"/>
      <c r="AB1828" s="113"/>
      <c r="AC1828" s="113"/>
      <c r="AD1828" s="113" t="s">
        <v>1113</v>
      </c>
      <c r="AE1828" s="113"/>
      <c r="AF1828" s="113"/>
      <c r="AG1828" s="113"/>
      <c r="AH1828" s="113"/>
      <c r="AI1828" s="113"/>
      <c r="AJ1828" s="113"/>
      <c r="AK1828" s="113" t="s">
        <v>1113</v>
      </c>
      <c r="AL1828" s="113"/>
      <c r="AM1828" s="113"/>
      <c r="AN1828" s="113"/>
      <c r="AO1828" s="44" t="s">
        <v>2334</v>
      </c>
      <c r="AP1828" s="43"/>
      <c r="AQ1828" s="236" t="str">
        <f>VLOOKUP(Table8[[#This Row],[Instrument]],Def_Targets!$D$73:$E$159,2,FALSE)</f>
        <v>I_RE</v>
      </c>
      <c r="AR1828" s="233" t="str">
        <f>VLOOKUP(Table8[[#This Row],[Country Code]],Table29[],3,FALSE)</f>
        <v>Non-Annex I</v>
      </c>
      <c r="AS1828" s="233" t="str">
        <f>VLOOKUP(Table8[[#This Row],[Country Code]],Table29[],4,FALSE)</f>
        <v>Oceania</v>
      </c>
      <c r="AT1828" s="233" t="str">
        <f>VLOOKUP(Table8[[#This Row],[Country Code]],Table29[],5,FALSE)</f>
        <v>Middle-income</v>
      </c>
      <c r="AU1828" s="233" t="str">
        <f>VLOOKUP(Table8[[#This Row],[Country Code]],Table29[],6,FALSE)</f>
        <v>no</v>
      </c>
      <c r="AV1828" s="233" t="str">
        <f>VLOOKUP(Table8[[#This Row],[Country Code]],Table29[],7,FALSE)</f>
        <v>no</v>
      </c>
      <c r="AW1828" s="233" t="str">
        <f>VLOOKUP(Table8[[#This Row],[Country Code]],Table29[],8,FALSE)</f>
        <v>non-OECD</v>
      </c>
      <c r="AX1828" s="233" t="str">
        <f>VLOOKUP(Table8[[#This Row],[Country Code]],Table29[],9,FALSE)</f>
        <v>no</v>
      </c>
      <c r="AY1828" s="233" t="str">
        <f>VLOOKUP(Table8[[#This Row],[Country Code]],Table29[],10,FALSE)</f>
        <v>no</v>
      </c>
      <c r="AZ1828" s="235">
        <f>VLOOKUP(Table8[[#This Row],[Country Code]],Table29[],23,FALSE)</f>
        <v>0.64614359538246002</v>
      </c>
      <c r="BA1828" s="235">
        <f>VLOOKUP(Table8[[#This Row],[Country Code]],Table29[],24,FALSE)</f>
        <v>0.2431860191561139</v>
      </c>
      <c r="BB1828" s="320"/>
      <c r="BC1828" s="320"/>
    </row>
    <row r="1829" spans="1:55" hidden="1" x14ac:dyDescent="0.25">
      <c r="A1829" s="373">
        <v>22007</v>
      </c>
      <c r="B1829" s="233" t="str">
        <f>VLOOKUP(Table8[[#This Row],[Document ID]],Table1[],2,FALSE)</f>
        <v>WSM</v>
      </c>
      <c r="C1829" s="233" t="str">
        <f>VLOOKUP(Table8[[#This Row],[Document ID]],Table1[],3,FALSE)</f>
        <v>Samoa</v>
      </c>
      <c r="D1829" s="243" t="str">
        <f>VLOOKUP(Table8[[#This Row],[Document ID]],Table1[],5,FALSE)</f>
        <v>NDC</v>
      </c>
      <c r="E1829" s="233" t="str">
        <f>VLOOKUP(Table8[[#This Row],[Document ID]],Table1[],7,FALSE)</f>
        <v>Second NDC</v>
      </c>
      <c r="F1829" s="233" t="str">
        <f>VLOOKUP(Table8[[#This Row],[Document ID]],Table1[],8,FALSE)</f>
        <v>NDC 2.0</v>
      </c>
      <c r="G1829" s="233" t="str">
        <f>VLOOKUP(Table8[[#This Row],[Document ID]],Table1[],10,FALSE)</f>
        <v>Active</v>
      </c>
      <c r="H1829" s="44" t="s">
        <v>2329</v>
      </c>
      <c r="I1829" s="44" t="s">
        <v>2330</v>
      </c>
      <c r="J1829" s="44" t="s">
        <v>2357</v>
      </c>
      <c r="K1829" s="44" t="s">
        <v>4017</v>
      </c>
      <c r="L1829" s="44" t="s">
        <v>2333</v>
      </c>
      <c r="M1829" s="43">
        <v>9</v>
      </c>
      <c r="N1829" s="113"/>
      <c r="O1829" s="113"/>
      <c r="P1829" s="113"/>
      <c r="Q1829" s="113"/>
      <c r="R1829" s="113"/>
      <c r="S1829" s="113"/>
      <c r="T1829" s="113"/>
      <c r="U1829" s="113"/>
      <c r="V1829" s="113"/>
      <c r="W1829" s="113"/>
      <c r="X1829" s="113"/>
      <c r="Y1829" s="113"/>
      <c r="Z1829" s="113"/>
      <c r="AA1829" s="113"/>
      <c r="AB1829" s="113"/>
      <c r="AC1829" s="113"/>
      <c r="AD1829" s="113" t="s">
        <v>1113</v>
      </c>
      <c r="AE1829" s="113"/>
      <c r="AF1829" s="113"/>
      <c r="AG1829" s="113"/>
      <c r="AH1829" s="113"/>
      <c r="AI1829" s="113"/>
      <c r="AJ1829" s="113"/>
      <c r="AK1829" s="113" t="s">
        <v>1113</v>
      </c>
      <c r="AL1829" s="113"/>
      <c r="AM1829" s="113"/>
      <c r="AN1829" s="113"/>
      <c r="AO1829" s="43" t="s">
        <v>2477</v>
      </c>
      <c r="AP1829" s="43"/>
      <c r="AQ1829" s="236" t="str">
        <f>VLOOKUP(Table8[[#This Row],[Instrument]],Def_Targets!$D$73:$E$159,2,FALSE)</f>
        <v>I_Biofuel</v>
      </c>
      <c r="AR1829" s="233" t="str">
        <f>VLOOKUP(Table8[[#This Row],[Country Code]],Table29[],3,FALSE)</f>
        <v>Non-Annex I</v>
      </c>
      <c r="AS1829" s="233" t="str">
        <f>VLOOKUP(Table8[[#This Row],[Country Code]],Table29[],4,FALSE)</f>
        <v>Oceania</v>
      </c>
      <c r="AT1829" s="233" t="str">
        <f>VLOOKUP(Table8[[#This Row],[Country Code]],Table29[],5,FALSE)</f>
        <v>Middle-income</v>
      </c>
      <c r="AU1829" s="233" t="str">
        <f>VLOOKUP(Table8[[#This Row],[Country Code]],Table29[],6,FALSE)</f>
        <v>no</v>
      </c>
      <c r="AV1829" s="233" t="str">
        <f>VLOOKUP(Table8[[#This Row],[Country Code]],Table29[],7,FALSE)</f>
        <v>no</v>
      </c>
      <c r="AW1829" s="233" t="str">
        <f>VLOOKUP(Table8[[#This Row],[Country Code]],Table29[],8,FALSE)</f>
        <v>non-OECD</v>
      </c>
      <c r="AX1829" s="233" t="str">
        <f>VLOOKUP(Table8[[#This Row],[Country Code]],Table29[],9,FALSE)</f>
        <v>no</v>
      </c>
      <c r="AY1829" s="233" t="str">
        <f>VLOOKUP(Table8[[#This Row],[Country Code]],Table29[],10,FALSE)</f>
        <v>no</v>
      </c>
      <c r="AZ1829" s="235">
        <f>VLOOKUP(Table8[[#This Row],[Country Code]],Table29[],23,FALSE)</f>
        <v>0.64614359538246002</v>
      </c>
      <c r="BA1829" s="235">
        <f>VLOOKUP(Table8[[#This Row],[Country Code]],Table29[],24,FALSE)</f>
        <v>0.2431860191561139</v>
      </c>
      <c r="BB1829" s="320"/>
      <c r="BC1829" s="320"/>
    </row>
    <row r="1830" spans="1:55" ht="30" hidden="1" x14ac:dyDescent="0.25">
      <c r="A1830" s="373">
        <v>22007</v>
      </c>
      <c r="B1830" s="233" t="str">
        <f>VLOOKUP(Table8[[#This Row],[Document ID]],Table1[],2,FALSE)</f>
        <v>WSM</v>
      </c>
      <c r="C1830" s="233" t="str">
        <f>VLOOKUP(Table8[[#This Row],[Document ID]],Table1[],3,FALSE)</f>
        <v>Samoa</v>
      </c>
      <c r="D1830" s="243" t="str">
        <f>VLOOKUP(Table8[[#This Row],[Document ID]],Table1[],5,FALSE)</f>
        <v>NDC</v>
      </c>
      <c r="E1830" s="233" t="str">
        <f>VLOOKUP(Table8[[#This Row],[Document ID]],Table1[],7,FALSE)</f>
        <v>Second NDC</v>
      </c>
      <c r="F1830" s="233" t="str">
        <f>VLOOKUP(Table8[[#This Row],[Document ID]],Table1[],8,FALSE)</f>
        <v>NDC 2.0</v>
      </c>
      <c r="G1830" s="233" t="str">
        <f>VLOOKUP(Table8[[#This Row],[Document ID]],Table1[],10,FALSE)</f>
        <v>Active</v>
      </c>
      <c r="H1830" s="43" t="s">
        <v>2484</v>
      </c>
      <c r="I1830" s="43" t="s">
        <v>2485</v>
      </c>
      <c r="J1830" s="44" t="s">
        <v>2486</v>
      </c>
      <c r="K1830" s="44" t="s">
        <v>4018</v>
      </c>
      <c r="L1830" s="44" t="s">
        <v>2373</v>
      </c>
      <c r="M1830" s="43">
        <v>9</v>
      </c>
      <c r="N1830" s="113"/>
      <c r="O1830" s="113"/>
      <c r="P1830" s="113"/>
      <c r="Q1830" s="113"/>
      <c r="R1830" s="113"/>
      <c r="S1830" s="113"/>
      <c r="T1830" s="113"/>
      <c r="U1830" s="113"/>
      <c r="V1830" s="113"/>
      <c r="W1830" s="113"/>
      <c r="X1830" s="113"/>
      <c r="Y1830" s="113"/>
      <c r="Z1830" s="113"/>
      <c r="AA1830" s="113"/>
      <c r="AB1830" s="113"/>
      <c r="AC1830" s="113"/>
      <c r="AD1830" s="113" t="s">
        <v>1113</v>
      </c>
      <c r="AE1830" s="113"/>
      <c r="AF1830" s="113"/>
      <c r="AG1830" s="113"/>
      <c r="AH1830" s="113"/>
      <c r="AI1830" s="113"/>
      <c r="AJ1830" s="113"/>
      <c r="AK1830" s="113" t="s">
        <v>1113</v>
      </c>
      <c r="AL1830" s="113"/>
      <c r="AM1830" s="113"/>
      <c r="AN1830" s="113"/>
      <c r="AO1830" s="44" t="s">
        <v>2334</v>
      </c>
      <c r="AP1830" s="43"/>
      <c r="AQ1830" s="236" t="str">
        <f>VLOOKUP(Table8[[#This Row],[Instrument]],Def_Targets!$D$73:$E$159,2,FALSE)</f>
        <v>I_Shipping</v>
      </c>
      <c r="AR1830" s="233" t="str">
        <f>VLOOKUP(Table8[[#This Row],[Country Code]],Table29[],3,FALSE)</f>
        <v>Non-Annex I</v>
      </c>
      <c r="AS1830" s="233" t="str">
        <f>VLOOKUP(Table8[[#This Row],[Country Code]],Table29[],4,FALSE)</f>
        <v>Oceania</v>
      </c>
      <c r="AT1830" s="233" t="str">
        <f>VLOOKUP(Table8[[#This Row],[Country Code]],Table29[],5,FALSE)</f>
        <v>Middle-income</v>
      </c>
      <c r="AU1830" s="233" t="str">
        <f>VLOOKUP(Table8[[#This Row],[Country Code]],Table29[],6,FALSE)</f>
        <v>no</v>
      </c>
      <c r="AV1830" s="233" t="str">
        <f>VLOOKUP(Table8[[#This Row],[Country Code]],Table29[],7,FALSE)</f>
        <v>no</v>
      </c>
      <c r="AW1830" s="233" t="str">
        <f>VLOOKUP(Table8[[#This Row],[Country Code]],Table29[],8,FALSE)</f>
        <v>non-OECD</v>
      </c>
      <c r="AX1830" s="233" t="str">
        <f>VLOOKUP(Table8[[#This Row],[Country Code]],Table29[],9,FALSE)</f>
        <v>no</v>
      </c>
      <c r="AY1830" s="233" t="str">
        <f>VLOOKUP(Table8[[#This Row],[Country Code]],Table29[],10,FALSE)</f>
        <v>no</v>
      </c>
      <c r="AZ1830" s="235">
        <f>VLOOKUP(Table8[[#This Row],[Country Code]],Table29[],23,FALSE)</f>
        <v>0.64614359538246002</v>
      </c>
      <c r="BA1830" s="235">
        <f>VLOOKUP(Table8[[#This Row],[Country Code]],Table29[],24,FALSE)</f>
        <v>0.2431860191561139</v>
      </c>
      <c r="BB1830" s="320"/>
      <c r="BC1830" s="320"/>
    </row>
    <row r="1831" spans="1:55" ht="30" hidden="1" x14ac:dyDescent="0.25">
      <c r="A1831" s="373">
        <v>22007</v>
      </c>
      <c r="B1831" s="233" t="str">
        <f>VLOOKUP(Table8[[#This Row],[Document ID]],Table1[],2,FALSE)</f>
        <v>WSM</v>
      </c>
      <c r="C1831" s="233" t="str">
        <f>VLOOKUP(Table8[[#This Row],[Document ID]],Table1[],3,FALSE)</f>
        <v>Samoa</v>
      </c>
      <c r="D1831" s="243" t="str">
        <f>VLOOKUP(Table8[[#This Row],[Document ID]],Table1[],5,FALSE)</f>
        <v>NDC</v>
      </c>
      <c r="E1831" s="233" t="str">
        <f>VLOOKUP(Table8[[#This Row],[Document ID]],Table1[],7,FALSE)</f>
        <v>Second NDC</v>
      </c>
      <c r="F1831" s="233" t="str">
        <f>VLOOKUP(Table8[[#This Row],[Document ID]],Table1[],8,FALSE)</f>
        <v>NDC 2.0</v>
      </c>
      <c r="G1831" s="233" t="str">
        <f>VLOOKUP(Table8[[#This Row],[Document ID]],Table1[],10,FALSE)</f>
        <v>Active</v>
      </c>
      <c r="H1831" s="43" t="s">
        <v>2484</v>
      </c>
      <c r="I1831" s="43" t="s">
        <v>2485</v>
      </c>
      <c r="J1831" s="44" t="s">
        <v>2669</v>
      </c>
      <c r="K1831" s="44" t="s">
        <v>4015</v>
      </c>
      <c r="L1831" s="44" t="s">
        <v>2333</v>
      </c>
      <c r="M1831" s="43">
        <v>9</v>
      </c>
      <c r="N1831" s="113"/>
      <c r="O1831" s="113"/>
      <c r="P1831" s="113"/>
      <c r="Q1831" s="113"/>
      <c r="R1831" s="113"/>
      <c r="S1831" s="113"/>
      <c r="T1831" s="113"/>
      <c r="U1831" s="113"/>
      <c r="V1831" s="113"/>
      <c r="W1831" s="113"/>
      <c r="X1831" s="113"/>
      <c r="Y1831" s="113"/>
      <c r="Z1831" s="113"/>
      <c r="AA1831" s="113"/>
      <c r="AB1831" s="113"/>
      <c r="AC1831" s="113"/>
      <c r="AD1831" s="113" t="s">
        <v>1113</v>
      </c>
      <c r="AE1831" s="113"/>
      <c r="AF1831" s="113"/>
      <c r="AG1831" s="113"/>
      <c r="AH1831" s="113"/>
      <c r="AI1831" s="113"/>
      <c r="AJ1831" s="113"/>
      <c r="AK1831" s="113" t="s">
        <v>1113</v>
      </c>
      <c r="AL1831" s="113"/>
      <c r="AM1831" s="113"/>
      <c r="AN1831" s="113"/>
      <c r="AO1831" s="44" t="s">
        <v>2334</v>
      </c>
      <c r="AP1831" s="43"/>
      <c r="AQ1831" s="236" t="str">
        <f>VLOOKUP(Table8[[#This Row],[Instrument]],Def_Targets!$D$73:$E$159,2,FALSE)</f>
        <v>I_Shipefficiency</v>
      </c>
      <c r="AR1831" s="233" t="str">
        <f>VLOOKUP(Table8[[#This Row],[Country Code]],Table29[],3,FALSE)</f>
        <v>Non-Annex I</v>
      </c>
      <c r="AS1831" s="233" t="str">
        <f>VLOOKUP(Table8[[#This Row],[Country Code]],Table29[],4,FALSE)</f>
        <v>Oceania</v>
      </c>
      <c r="AT1831" s="233" t="str">
        <f>VLOOKUP(Table8[[#This Row],[Country Code]],Table29[],5,FALSE)</f>
        <v>Middle-income</v>
      </c>
      <c r="AU1831" s="233" t="str">
        <f>VLOOKUP(Table8[[#This Row],[Country Code]],Table29[],6,FALSE)</f>
        <v>no</v>
      </c>
      <c r="AV1831" s="233" t="str">
        <f>VLOOKUP(Table8[[#This Row],[Country Code]],Table29[],7,FALSE)</f>
        <v>no</v>
      </c>
      <c r="AW1831" s="233" t="str">
        <f>VLOOKUP(Table8[[#This Row],[Country Code]],Table29[],8,FALSE)</f>
        <v>non-OECD</v>
      </c>
      <c r="AX1831" s="233" t="str">
        <f>VLOOKUP(Table8[[#This Row],[Country Code]],Table29[],9,FALSE)</f>
        <v>no</v>
      </c>
      <c r="AY1831" s="233" t="str">
        <f>VLOOKUP(Table8[[#This Row],[Country Code]],Table29[],10,FALSE)</f>
        <v>no</v>
      </c>
      <c r="AZ1831" s="235">
        <f>VLOOKUP(Table8[[#This Row],[Country Code]],Table29[],23,FALSE)</f>
        <v>0.64614359538246002</v>
      </c>
      <c r="BA1831" s="235">
        <f>VLOOKUP(Table8[[#This Row],[Country Code]],Table29[],24,FALSE)</f>
        <v>0.2431860191561139</v>
      </c>
      <c r="BB1831" s="320"/>
      <c r="BC1831" s="320"/>
    </row>
    <row r="1832" spans="1:55" s="17" customFormat="1" ht="30" hidden="1" x14ac:dyDescent="0.25">
      <c r="A1832" s="373">
        <v>32513</v>
      </c>
      <c r="B1832" s="233" t="str">
        <f>VLOOKUP(Table8[[#This Row],[Document ID]],Table1[],2,FALSE)</f>
        <v>STP</v>
      </c>
      <c r="C1832" s="233" t="str">
        <f>VLOOKUP(Table8[[#This Row],[Document ID]],Table1[],3,FALSE)</f>
        <v>Sao Tome and Principe</v>
      </c>
      <c r="D1832" s="243" t="str">
        <f>VLOOKUP(Table8[[#This Row],[Document ID]],Table1[],5,FALSE)</f>
        <v>NDC</v>
      </c>
      <c r="E1832" s="233" t="str">
        <f>VLOOKUP(Table8[[#This Row],[Document ID]],Table1[],7,FALSE)</f>
        <v>First NDC updated</v>
      </c>
      <c r="F1832" s="233" t="str">
        <f>VLOOKUP(Table8[[#This Row],[Document ID]],Table1[],8,FALSE)</f>
        <v>NDC 1.1</v>
      </c>
      <c r="G1832" s="233" t="str">
        <f>VLOOKUP(Table8[[#This Row],[Document ID]],Table1[],10,FALSE)</f>
        <v>Active</v>
      </c>
      <c r="H1832" s="43" t="s">
        <v>2343</v>
      </c>
      <c r="I1832" s="43" t="s">
        <v>2377</v>
      </c>
      <c r="J1832" s="44" t="s">
        <v>2394</v>
      </c>
      <c r="K1832" s="44" t="s">
        <v>4019</v>
      </c>
      <c r="L1832" s="44" t="s">
        <v>2373</v>
      </c>
      <c r="M1832" s="43">
        <v>2</v>
      </c>
      <c r="N1832" s="113" t="s">
        <v>1113</v>
      </c>
      <c r="O1832" s="113"/>
      <c r="P1832" s="113"/>
      <c r="Q1832" s="113"/>
      <c r="R1832" s="113"/>
      <c r="S1832" s="113"/>
      <c r="T1832" s="113"/>
      <c r="U1832" s="113"/>
      <c r="V1832" s="113"/>
      <c r="W1832" s="113"/>
      <c r="X1832" s="113"/>
      <c r="Y1832" s="113"/>
      <c r="Z1832" s="113"/>
      <c r="AA1832" s="113"/>
      <c r="AB1832" s="113"/>
      <c r="AC1832" s="113"/>
      <c r="AD1832" s="113"/>
      <c r="AE1832" s="113"/>
      <c r="AF1832" s="113"/>
      <c r="AG1832" s="113"/>
      <c r="AH1832" s="113"/>
      <c r="AI1832" s="113"/>
      <c r="AJ1832" s="113"/>
      <c r="AK1832" s="113" t="s">
        <v>1113</v>
      </c>
      <c r="AL1832" s="113"/>
      <c r="AM1832" s="113"/>
      <c r="AN1832" s="113"/>
      <c r="AO1832" s="44" t="s">
        <v>2334</v>
      </c>
      <c r="AP1832" s="43"/>
      <c r="AQ1832" s="236" t="str">
        <f>VLOOKUP(Table8[[#This Row],[Instrument]],Def_Targets!$D$73:$E$159,2,FALSE)</f>
        <v>A_TDM</v>
      </c>
      <c r="AR1832" s="233" t="str">
        <f>VLOOKUP(Table8[[#This Row],[Country Code]],Table29[],3,FALSE)</f>
        <v>Non-Annex I</v>
      </c>
      <c r="AS1832" s="233" t="str">
        <f>VLOOKUP(Table8[[#This Row],[Country Code]],Table29[],4,FALSE)</f>
        <v>Africa</v>
      </c>
      <c r="AT1832" s="233" t="str">
        <f>VLOOKUP(Table8[[#This Row],[Country Code]],Table29[],5,FALSE)</f>
        <v>Middle-income</v>
      </c>
      <c r="AU1832" s="233" t="str">
        <f>VLOOKUP(Table8[[#This Row],[Country Code]],Table29[],6,FALSE)</f>
        <v>no</v>
      </c>
      <c r="AV1832" s="233" t="str">
        <f>VLOOKUP(Table8[[#This Row],[Country Code]],Table29[],7,FALSE)</f>
        <v>no</v>
      </c>
      <c r="AW1832" s="233" t="str">
        <f>VLOOKUP(Table8[[#This Row],[Country Code]],Table29[],8,FALSE)</f>
        <v>non-OECD</v>
      </c>
      <c r="AX1832" s="233" t="str">
        <f>VLOOKUP(Table8[[#This Row],[Country Code]],Table29[],9,FALSE)</f>
        <v>no</v>
      </c>
      <c r="AY1832" s="233" t="str">
        <f>VLOOKUP(Table8[[#This Row],[Country Code]],Table29[],10,FALSE)</f>
        <v>no</v>
      </c>
      <c r="AZ1832" s="235">
        <f>VLOOKUP(Table8[[#This Row],[Country Code]],Table29[],23,FALSE)</f>
        <v>0.30345441468402001</v>
      </c>
      <c r="BA1832" s="235">
        <f>VLOOKUP(Table8[[#This Row],[Country Code]],Table29[],24,FALSE)</f>
        <v>0.1245490218738666</v>
      </c>
      <c r="BB1832" s="320"/>
      <c r="BC1832" s="320"/>
    </row>
    <row r="1833" spans="1:55" hidden="1" x14ac:dyDescent="0.25">
      <c r="A1833" s="373">
        <v>17725</v>
      </c>
      <c r="B1833" s="233" t="str">
        <f>VLOOKUP(Table8[[#This Row],[Document ID]],Table1[],2,FALSE)</f>
        <v>SAU</v>
      </c>
      <c r="C1833" s="233" t="str">
        <f>VLOOKUP(Table8[[#This Row],[Document ID]],Table1[],3,FALSE)</f>
        <v>Saudi Arabia</v>
      </c>
      <c r="D1833" s="243" t="str">
        <f>VLOOKUP(Table8[[#This Row],[Document ID]],Table1[],5,FALSE)</f>
        <v>NDC</v>
      </c>
      <c r="E1833" s="233" t="str">
        <f>VLOOKUP(Table8[[#This Row],[Document ID]],Table1[],7,FALSE)</f>
        <v>First NDC</v>
      </c>
      <c r="F1833" s="236" t="str">
        <f>VLOOKUP(Table8[[#This Row],[Document ID]],Table1[],8,FALSE)</f>
        <v>NDC 1.0</v>
      </c>
      <c r="G1833" s="236" t="str">
        <f>VLOOKUP(Table8[[#This Row],[Document ID]],Table1[],10,FALSE)</f>
        <v>Archived</v>
      </c>
      <c r="H1833" s="44" t="s">
        <v>2338</v>
      </c>
      <c r="I1833" s="44" t="s">
        <v>2339</v>
      </c>
      <c r="J1833" s="44" t="s">
        <v>2413</v>
      </c>
      <c r="K1833" s="44" t="s">
        <v>4020</v>
      </c>
      <c r="L1833" s="44" t="s">
        <v>2333</v>
      </c>
      <c r="M1833" s="43"/>
      <c r="N1833" s="113" t="s">
        <v>1113</v>
      </c>
      <c r="O1833" s="113"/>
      <c r="P1833" s="113"/>
      <c r="Q1833" s="319"/>
      <c r="R1833" s="319"/>
      <c r="S1833" s="319"/>
      <c r="T1833" s="319"/>
      <c r="U1833" s="319"/>
      <c r="V1833" s="319"/>
      <c r="W1833" s="319"/>
      <c r="X1833" s="319"/>
      <c r="Y1833" s="319"/>
      <c r="Z1833" s="319"/>
      <c r="AA1833" s="319"/>
      <c r="AB1833" s="319"/>
      <c r="AC1833" s="319"/>
      <c r="AD1833" s="319"/>
      <c r="AE1833" s="319"/>
      <c r="AF1833" s="319"/>
      <c r="AG1833" s="319"/>
      <c r="AH1833" s="319"/>
      <c r="AI1833" s="319"/>
      <c r="AJ1833" s="319"/>
      <c r="AK1833" s="319" t="s">
        <v>1113</v>
      </c>
      <c r="AL1833" s="319"/>
      <c r="AM1833" s="319"/>
      <c r="AN1833" s="319"/>
      <c r="AO1833" s="44" t="s">
        <v>2334</v>
      </c>
      <c r="AP1833" s="44"/>
      <c r="AQ1833" s="236" t="str">
        <f>VLOOKUP(Table8[[#This Row],[Instrument]],Def_Targets!$D$73:$E$159,2,FALSE)</f>
        <v>I_Vehicleeff</v>
      </c>
      <c r="AR1833" s="233" t="str">
        <f>VLOOKUP(Table8[[#This Row],[Country Code]],Table29[],3,FALSE)</f>
        <v>Non-Annex I</v>
      </c>
      <c r="AS1833" s="233" t="str">
        <f>VLOOKUP(Table8[[#This Row],[Country Code]],Table29[],4,FALSE)</f>
        <v>Asia</v>
      </c>
      <c r="AT1833" s="233" t="str">
        <f>VLOOKUP(Table8[[#This Row],[Country Code]],Table29[],5,FALSE)</f>
        <v>High-income</v>
      </c>
      <c r="AU1833" s="233" t="str">
        <f>VLOOKUP(Table8[[#This Row],[Country Code]],Table29[],6,FALSE)</f>
        <v>G20</v>
      </c>
      <c r="AV1833" s="233" t="str">
        <f>VLOOKUP(Table8[[#This Row],[Country Code]],Table29[],7,FALSE)</f>
        <v>no</v>
      </c>
      <c r="AW1833" s="233" t="str">
        <f>VLOOKUP(Table8[[#This Row],[Country Code]],Table29[],8,FALSE)</f>
        <v>non-OECD</v>
      </c>
      <c r="AX1833" s="233" t="str">
        <f>VLOOKUP(Table8[[#This Row],[Country Code]],Table29[],9,FALSE)</f>
        <v>no</v>
      </c>
      <c r="AY1833" s="233" t="str">
        <f>VLOOKUP(Table8[[#This Row],[Country Code]],Table29[],10,FALSE)</f>
        <v>MENA</v>
      </c>
      <c r="AZ1833" s="235">
        <f>VLOOKUP(Table8[[#This Row],[Country Code]],Table29[],23,FALSE)</f>
        <v>805.15810845823</v>
      </c>
      <c r="BA1833" s="235">
        <f>VLOOKUP(Table8[[#This Row],[Country Code]],Table29[],24,FALSE)</f>
        <v>147.5856941379987</v>
      </c>
      <c r="BB1833" s="320"/>
      <c r="BC1833" s="320"/>
    </row>
    <row r="1834" spans="1:55" ht="45" hidden="1" x14ac:dyDescent="0.25">
      <c r="A1834" s="373">
        <v>17725</v>
      </c>
      <c r="B1834" s="233" t="str">
        <f>VLOOKUP(Table8[[#This Row],[Document ID]],Table1[],2,FALSE)</f>
        <v>SAU</v>
      </c>
      <c r="C1834" s="233" t="str">
        <f>VLOOKUP(Table8[[#This Row],[Document ID]],Table1[],3,FALSE)</f>
        <v>Saudi Arabia</v>
      </c>
      <c r="D1834" s="243" t="str">
        <f>VLOOKUP(Table8[[#This Row],[Document ID]],Table1[],5,FALSE)</f>
        <v>NDC</v>
      </c>
      <c r="E1834" s="233" t="str">
        <f>VLOOKUP(Table8[[#This Row],[Document ID]],Table1[],7,FALSE)</f>
        <v>First NDC</v>
      </c>
      <c r="F1834" s="236" t="str">
        <f>VLOOKUP(Table8[[#This Row],[Document ID]],Table1[],8,FALSE)</f>
        <v>NDC 1.0</v>
      </c>
      <c r="G1834" s="236" t="str">
        <f>VLOOKUP(Table8[[#This Row],[Document ID]],Table1[],10,FALSE)</f>
        <v>Archived</v>
      </c>
      <c r="H1834" s="43" t="s">
        <v>2343</v>
      </c>
      <c r="I1834" s="43" t="s">
        <v>2344</v>
      </c>
      <c r="J1834" s="44" t="s">
        <v>2405</v>
      </c>
      <c r="K1834" s="44" t="s">
        <v>4021</v>
      </c>
      <c r="L1834" s="44" t="s">
        <v>2347</v>
      </c>
      <c r="M1834" s="43"/>
      <c r="N1834" s="113"/>
      <c r="O1834" s="113"/>
      <c r="P1834" s="113"/>
      <c r="Q1834" s="319"/>
      <c r="R1834" s="319"/>
      <c r="S1834" s="319"/>
      <c r="T1834" s="319"/>
      <c r="U1834" s="319"/>
      <c r="V1834" s="319"/>
      <c r="W1834" s="319"/>
      <c r="X1834" s="319"/>
      <c r="Y1834" s="319"/>
      <c r="Z1834" s="319"/>
      <c r="AA1834" s="319"/>
      <c r="AB1834" s="319"/>
      <c r="AC1834" s="319" t="s">
        <v>1113</v>
      </c>
      <c r="AD1834" s="319"/>
      <c r="AE1834" s="319"/>
      <c r="AF1834" s="319"/>
      <c r="AG1834" s="319"/>
      <c r="AH1834" s="319"/>
      <c r="AI1834" s="319"/>
      <c r="AJ1834" s="319"/>
      <c r="AK1834" s="319"/>
      <c r="AL1834" s="113" t="s">
        <v>1113</v>
      </c>
      <c r="AM1834" s="319"/>
      <c r="AN1834" s="319"/>
      <c r="AO1834" s="43" t="s">
        <v>2348</v>
      </c>
      <c r="AP1834" s="44"/>
      <c r="AQ1834" s="236" t="str">
        <f>VLOOKUP(Table8[[#This Row],[Instrument]],Def_Targets!$D$73:$E$159,2,FALSE)</f>
        <v>S_PTIntegration</v>
      </c>
      <c r="AR1834" s="233" t="str">
        <f>VLOOKUP(Table8[[#This Row],[Country Code]],Table29[],3,FALSE)</f>
        <v>Non-Annex I</v>
      </c>
      <c r="AS1834" s="233" t="str">
        <f>VLOOKUP(Table8[[#This Row],[Country Code]],Table29[],4,FALSE)</f>
        <v>Asia</v>
      </c>
      <c r="AT1834" s="233" t="str">
        <f>VLOOKUP(Table8[[#This Row],[Country Code]],Table29[],5,FALSE)</f>
        <v>High-income</v>
      </c>
      <c r="AU1834" s="233" t="str">
        <f>VLOOKUP(Table8[[#This Row],[Country Code]],Table29[],6,FALSE)</f>
        <v>G20</v>
      </c>
      <c r="AV1834" s="233" t="str">
        <f>VLOOKUP(Table8[[#This Row],[Country Code]],Table29[],7,FALSE)</f>
        <v>no</v>
      </c>
      <c r="AW1834" s="233" t="str">
        <f>VLOOKUP(Table8[[#This Row],[Country Code]],Table29[],8,FALSE)</f>
        <v>non-OECD</v>
      </c>
      <c r="AX1834" s="233" t="str">
        <f>VLOOKUP(Table8[[#This Row],[Country Code]],Table29[],9,FALSE)</f>
        <v>no</v>
      </c>
      <c r="AY1834" s="233" t="str">
        <f>VLOOKUP(Table8[[#This Row],[Country Code]],Table29[],10,FALSE)</f>
        <v>MENA</v>
      </c>
      <c r="AZ1834" s="235">
        <f>VLOOKUP(Table8[[#This Row],[Country Code]],Table29[],23,FALSE)</f>
        <v>805.15810845823</v>
      </c>
      <c r="BA1834" s="235">
        <f>VLOOKUP(Table8[[#This Row],[Country Code]],Table29[],24,FALSE)</f>
        <v>147.5856941379987</v>
      </c>
      <c r="BB1834" s="320"/>
      <c r="BC1834" s="320"/>
    </row>
    <row r="1835" spans="1:55" hidden="1" x14ac:dyDescent="0.25">
      <c r="A1835" s="373">
        <v>17726</v>
      </c>
      <c r="B1835" s="233" t="str">
        <f>VLOOKUP(Table8[[#This Row],[Document ID]],Table1[],2,FALSE)</f>
        <v>SEN</v>
      </c>
      <c r="C1835" s="233" t="str">
        <f>VLOOKUP(Table8[[#This Row],[Document ID]],Table1[],3,FALSE)</f>
        <v>Senegal</v>
      </c>
      <c r="D1835" s="243" t="str">
        <f>VLOOKUP(Table8[[#This Row],[Document ID]],Table1[],5,FALSE)</f>
        <v>NDC</v>
      </c>
      <c r="E1835" s="233" t="str">
        <f>VLOOKUP(Table8[[#This Row],[Document ID]],Table1[],7,FALSE)</f>
        <v>First NDC</v>
      </c>
      <c r="F1835" s="236" t="str">
        <f>VLOOKUP(Table8[[#This Row],[Document ID]],Table1[],8,FALSE)</f>
        <v>NDC 1.0</v>
      </c>
      <c r="G1835" s="236" t="str">
        <f>VLOOKUP(Table8[[#This Row],[Document ID]],Table1[],10,FALSE)</f>
        <v>Archived</v>
      </c>
      <c r="H1835" s="43" t="s">
        <v>2343</v>
      </c>
      <c r="I1835" s="43" t="s">
        <v>2344</v>
      </c>
      <c r="J1835" s="44" t="s">
        <v>2549</v>
      </c>
      <c r="K1835" s="44" t="s">
        <v>4022</v>
      </c>
      <c r="L1835" s="44" t="s">
        <v>2347</v>
      </c>
      <c r="M1835" s="43"/>
      <c r="N1835" s="113"/>
      <c r="O1835" s="113"/>
      <c r="P1835" s="113"/>
      <c r="Q1835" s="319"/>
      <c r="R1835" s="319"/>
      <c r="S1835" s="319"/>
      <c r="T1835" s="319"/>
      <c r="U1835" s="319"/>
      <c r="V1835" s="319"/>
      <c r="W1835" s="319"/>
      <c r="X1835" s="319"/>
      <c r="Y1835" s="113" t="s">
        <v>1113</v>
      </c>
      <c r="Z1835" s="113"/>
      <c r="AA1835" s="319"/>
      <c r="AB1835" s="319"/>
      <c r="AC1835" s="319"/>
      <c r="AD1835" s="319"/>
      <c r="AE1835" s="319"/>
      <c r="AF1835" s="319"/>
      <c r="AG1835" s="319"/>
      <c r="AH1835" s="319"/>
      <c r="AI1835" s="319"/>
      <c r="AJ1835" s="319"/>
      <c r="AK1835" s="319"/>
      <c r="AL1835" s="113" t="s">
        <v>1113</v>
      </c>
      <c r="AM1835" s="319"/>
      <c r="AN1835" s="319"/>
      <c r="AO1835" s="43" t="s">
        <v>2348</v>
      </c>
      <c r="AP1835" s="44"/>
      <c r="AQ1835" s="236" t="str">
        <f>VLOOKUP(Table8[[#This Row],[Instrument]],Def_Targets!$D$73:$E$159,2,FALSE)</f>
        <v>S_BRT</v>
      </c>
      <c r="AR1835" s="233" t="str">
        <f>VLOOKUP(Table8[[#This Row],[Country Code]],Table29[],3,FALSE)</f>
        <v>Non-Annex I</v>
      </c>
      <c r="AS1835" s="233" t="str">
        <f>VLOOKUP(Table8[[#This Row],[Country Code]],Table29[],4,FALSE)</f>
        <v>Africa</v>
      </c>
      <c r="AT1835" s="233" t="str">
        <f>VLOOKUP(Table8[[#This Row],[Country Code]],Table29[],5,FALSE)</f>
        <v>Middle-income</v>
      </c>
      <c r="AU1835" s="233" t="str">
        <f>VLOOKUP(Table8[[#This Row],[Country Code]],Table29[],6,FALSE)</f>
        <v>no</v>
      </c>
      <c r="AV1835" s="233" t="str">
        <f>VLOOKUP(Table8[[#This Row],[Country Code]],Table29[],7,FALSE)</f>
        <v>no</v>
      </c>
      <c r="AW1835" s="233" t="str">
        <f>VLOOKUP(Table8[[#This Row],[Country Code]],Table29[],8,FALSE)</f>
        <v>non-OECD</v>
      </c>
      <c r="AX1835" s="233" t="str">
        <f>VLOOKUP(Table8[[#This Row],[Country Code]],Table29[],9,FALSE)</f>
        <v>no</v>
      </c>
      <c r="AY1835" s="233" t="str">
        <f>VLOOKUP(Table8[[#This Row],[Country Code]],Table29[],10,FALSE)</f>
        <v>no</v>
      </c>
      <c r="AZ1835" s="235">
        <f>VLOOKUP(Table8[[#This Row],[Country Code]],Table29[],23,FALSE)</f>
        <v>28.843732000256001</v>
      </c>
      <c r="BA1835" s="235">
        <f>VLOOKUP(Table8[[#This Row],[Country Code]],Table29[],24,FALSE)</f>
        <v>3.4891679152500248</v>
      </c>
      <c r="BB1835" s="320"/>
      <c r="BC1835" s="320"/>
    </row>
    <row r="1836" spans="1:55" hidden="1" x14ac:dyDescent="0.25">
      <c r="A1836" s="360">
        <v>17727</v>
      </c>
      <c r="B1836" s="233" t="str">
        <f>VLOOKUP(Table8[[#This Row],[Document ID]],Table1[],2,FALSE)</f>
        <v>SEN</v>
      </c>
      <c r="C1836" s="233" t="str">
        <f>VLOOKUP(Table8[[#This Row],[Document ID]],Table1[],3,FALSE)</f>
        <v>Senegal</v>
      </c>
      <c r="D1836" s="233" t="str">
        <f>VLOOKUP(Table8[[#This Row],[Document ID]],Table1[],5,FALSE)</f>
        <v>NDC</v>
      </c>
      <c r="E1836" s="233" t="str">
        <f>VLOOKUP(Table8[[#This Row],[Document ID]],Table1[],7,FALSE)</f>
        <v>First NDC</v>
      </c>
      <c r="F1836" s="233" t="str">
        <f>VLOOKUP(Table8[[#This Row],[Document ID]],Table1[],8,FALSE)</f>
        <v>NDC 1.0</v>
      </c>
      <c r="G1836" s="233" t="str">
        <f>VLOOKUP(Table8[[#This Row],[Document ID]],Table1[],10,FALSE)</f>
        <v>Active</v>
      </c>
      <c r="H1836" s="43" t="s">
        <v>2343</v>
      </c>
      <c r="I1836" s="43" t="s">
        <v>2344</v>
      </c>
      <c r="J1836" s="44" t="s">
        <v>2549</v>
      </c>
      <c r="K1836" s="44" t="s">
        <v>4023</v>
      </c>
      <c r="L1836" s="44" t="s">
        <v>2347</v>
      </c>
      <c r="M1836" s="43">
        <v>27</v>
      </c>
      <c r="N1836" s="113"/>
      <c r="O1836" s="113"/>
      <c r="P1836" s="113"/>
      <c r="Q1836" s="113"/>
      <c r="R1836" s="113"/>
      <c r="S1836" s="113"/>
      <c r="T1836" s="113"/>
      <c r="U1836" s="113"/>
      <c r="V1836" s="113"/>
      <c r="W1836" s="113"/>
      <c r="X1836" s="113"/>
      <c r="Y1836" s="113" t="s">
        <v>1113</v>
      </c>
      <c r="Z1836" s="113"/>
      <c r="AA1836" s="113"/>
      <c r="AB1836" s="113"/>
      <c r="AC1836" s="113"/>
      <c r="AD1836" s="113"/>
      <c r="AE1836" s="113"/>
      <c r="AF1836" s="113"/>
      <c r="AG1836" s="113"/>
      <c r="AH1836" s="113"/>
      <c r="AI1836" s="113"/>
      <c r="AJ1836" s="113"/>
      <c r="AK1836" s="113"/>
      <c r="AL1836" s="113" t="s">
        <v>1113</v>
      </c>
      <c r="AM1836" s="113"/>
      <c r="AN1836" s="113"/>
      <c r="AO1836" s="43" t="s">
        <v>2348</v>
      </c>
      <c r="AP1836" s="43"/>
      <c r="AQ1836" s="236" t="str">
        <f>VLOOKUP(Table8[[#This Row],[Instrument]],Def_Targets!$D$73:$E$159,2,FALSE)</f>
        <v>S_BRT</v>
      </c>
      <c r="AR1836" s="233" t="str">
        <f>VLOOKUP(Table8[[#This Row],[Country Code]],Table29[],3,FALSE)</f>
        <v>Non-Annex I</v>
      </c>
      <c r="AS1836" s="233" t="str">
        <f>VLOOKUP(Table8[[#This Row],[Country Code]],Table29[],4,FALSE)</f>
        <v>Africa</v>
      </c>
      <c r="AT1836" s="233" t="str">
        <f>VLOOKUP(Table8[[#This Row],[Country Code]],Table29[],5,FALSE)</f>
        <v>Middle-income</v>
      </c>
      <c r="AU1836" s="233" t="str">
        <f>VLOOKUP(Table8[[#This Row],[Country Code]],Table29[],6,FALSE)</f>
        <v>no</v>
      </c>
      <c r="AV1836" s="233" t="str">
        <f>VLOOKUP(Table8[[#This Row],[Country Code]],Table29[],7,FALSE)</f>
        <v>no</v>
      </c>
      <c r="AW1836" s="233" t="str">
        <f>VLOOKUP(Table8[[#This Row],[Country Code]],Table29[],8,FALSE)</f>
        <v>non-OECD</v>
      </c>
      <c r="AX1836" s="233" t="str">
        <f>VLOOKUP(Table8[[#This Row],[Country Code]],Table29[],9,FALSE)</f>
        <v>no</v>
      </c>
      <c r="AY1836" s="233" t="str">
        <f>VLOOKUP(Table8[[#This Row],[Country Code]],Table29[],10,FALSE)</f>
        <v>no</v>
      </c>
      <c r="AZ1836" s="235">
        <f>VLOOKUP(Table8[[#This Row],[Country Code]],Table29[],23,FALSE)</f>
        <v>28.843732000256001</v>
      </c>
      <c r="BA1836" s="235">
        <f>VLOOKUP(Table8[[#This Row],[Country Code]],Table29[],24,FALSE)</f>
        <v>3.4891679152500248</v>
      </c>
      <c r="BB1836" s="320"/>
      <c r="BC1836" s="320"/>
    </row>
    <row r="1837" spans="1:55" hidden="1" x14ac:dyDescent="0.25">
      <c r="A1837" s="360">
        <v>17727</v>
      </c>
      <c r="B1837" s="233" t="str">
        <f>VLOOKUP(Table8[[#This Row],[Document ID]],Table1[],2,FALSE)</f>
        <v>SEN</v>
      </c>
      <c r="C1837" s="233" t="str">
        <f>VLOOKUP(Table8[[#This Row],[Document ID]],Table1[],3,FALSE)</f>
        <v>Senegal</v>
      </c>
      <c r="D1837" s="233" t="str">
        <f>VLOOKUP(Table8[[#This Row],[Document ID]],Table1[],5,FALSE)</f>
        <v>NDC</v>
      </c>
      <c r="E1837" s="233" t="str">
        <f>VLOOKUP(Table8[[#This Row],[Document ID]],Table1[],7,FALSE)</f>
        <v>First NDC</v>
      </c>
      <c r="F1837" s="233" t="str">
        <f>VLOOKUP(Table8[[#This Row],[Document ID]],Table1[],8,FALSE)</f>
        <v>NDC 1.0</v>
      </c>
      <c r="G1837" s="233" t="str">
        <f>VLOOKUP(Table8[[#This Row],[Document ID]],Table1[],10,FALSE)</f>
        <v>Active</v>
      </c>
      <c r="H1837" s="43" t="s">
        <v>2350</v>
      </c>
      <c r="I1837" s="43" t="s">
        <v>2456</v>
      </c>
      <c r="J1837" s="44" t="s">
        <v>2457</v>
      </c>
      <c r="K1837" s="44" t="s">
        <v>4023</v>
      </c>
      <c r="L1837" s="44" t="s">
        <v>2347</v>
      </c>
      <c r="M1837" s="43">
        <v>27</v>
      </c>
      <c r="N1837" s="113"/>
      <c r="O1837" s="113"/>
      <c r="P1837" s="113"/>
      <c r="Q1837" s="113"/>
      <c r="R1837" s="113"/>
      <c r="S1837" s="113"/>
      <c r="T1837" s="113"/>
      <c r="U1837" s="113"/>
      <c r="V1837" s="113"/>
      <c r="W1837" s="113"/>
      <c r="X1837" s="113"/>
      <c r="Y1837" s="113"/>
      <c r="Z1837" s="113" t="s">
        <v>1113</v>
      </c>
      <c r="AA1837" s="113"/>
      <c r="AB1837" s="113"/>
      <c r="AC1837" s="113"/>
      <c r="AD1837" s="113"/>
      <c r="AE1837" s="113"/>
      <c r="AF1837" s="113"/>
      <c r="AG1837" s="113"/>
      <c r="AH1837" s="113"/>
      <c r="AI1837" s="113"/>
      <c r="AJ1837" s="113"/>
      <c r="AK1837" s="113"/>
      <c r="AL1837" s="113"/>
      <c r="AM1837" s="113" t="s">
        <v>1113</v>
      </c>
      <c r="AN1837" s="113"/>
      <c r="AO1837" s="43" t="s">
        <v>2348</v>
      </c>
      <c r="AP1837" s="43"/>
      <c r="AQ1837" s="236" t="str">
        <f>VLOOKUP(Table8[[#This Row],[Instrument]],Def_Targets!$D$73:$E$159,2,FALSE)</f>
        <v>S_Infraimprove</v>
      </c>
      <c r="AR1837" s="233" t="str">
        <f>VLOOKUP(Table8[[#This Row],[Country Code]],Table29[],3,FALSE)</f>
        <v>Non-Annex I</v>
      </c>
      <c r="AS1837" s="233" t="str">
        <f>VLOOKUP(Table8[[#This Row],[Country Code]],Table29[],4,FALSE)</f>
        <v>Africa</v>
      </c>
      <c r="AT1837" s="233" t="str">
        <f>VLOOKUP(Table8[[#This Row],[Country Code]],Table29[],5,FALSE)</f>
        <v>Middle-income</v>
      </c>
      <c r="AU1837" s="233" t="str">
        <f>VLOOKUP(Table8[[#This Row],[Country Code]],Table29[],6,FALSE)</f>
        <v>no</v>
      </c>
      <c r="AV1837" s="233" t="str">
        <f>VLOOKUP(Table8[[#This Row],[Country Code]],Table29[],7,FALSE)</f>
        <v>no</v>
      </c>
      <c r="AW1837" s="233" t="str">
        <f>VLOOKUP(Table8[[#This Row],[Country Code]],Table29[],8,FALSE)</f>
        <v>non-OECD</v>
      </c>
      <c r="AX1837" s="233" t="str">
        <f>VLOOKUP(Table8[[#This Row],[Country Code]],Table29[],9,FALSE)</f>
        <v>no</v>
      </c>
      <c r="AY1837" s="233" t="str">
        <f>VLOOKUP(Table8[[#This Row],[Country Code]],Table29[],10,FALSE)</f>
        <v>no</v>
      </c>
      <c r="AZ1837" s="235">
        <f>VLOOKUP(Table8[[#This Row],[Country Code]],Table29[],23,FALSE)</f>
        <v>28.843732000256001</v>
      </c>
      <c r="BA1837" s="235">
        <f>VLOOKUP(Table8[[#This Row],[Country Code]],Table29[],24,FALSE)</f>
        <v>3.4891679152500248</v>
      </c>
      <c r="BB1837" s="320"/>
      <c r="BC1837" s="320"/>
    </row>
    <row r="1838" spans="1:55" hidden="1" x14ac:dyDescent="0.25">
      <c r="A1838" s="360">
        <v>17727</v>
      </c>
      <c r="B1838" s="233" t="str">
        <f>VLOOKUP(Table8[[#This Row],[Document ID]],Table1[],2,FALSE)</f>
        <v>SEN</v>
      </c>
      <c r="C1838" s="233" t="str">
        <f>VLOOKUP(Table8[[#This Row],[Document ID]],Table1[],3,FALSE)</f>
        <v>Senegal</v>
      </c>
      <c r="D1838" s="233" t="str">
        <f>VLOOKUP(Table8[[#This Row],[Document ID]],Table1[],5,FALSE)</f>
        <v>NDC</v>
      </c>
      <c r="E1838" s="233" t="str">
        <f>VLOOKUP(Table8[[#This Row],[Document ID]],Table1[],7,FALSE)</f>
        <v>First NDC</v>
      </c>
      <c r="F1838" s="233" t="str">
        <f>VLOOKUP(Table8[[#This Row],[Document ID]],Table1[],8,FALSE)</f>
        <v>NDC 1.0</v>
      </c>
      <c r="G1838" s="233" t="str">
        <f>VLOOKUP(Table8[[#This Row],[Document ID]],Table1[],10,FALSE)</f>
        <v>Active</v>
      </c>
      <c r="H1838" s="43" t="s">
        <v>2358</v>
      </c>
      <c r="I1838" s="43" t="s">
        <v>2359</v>
      </c>
      <c r="J1838" s="44" t="s">
        <v>2360</v>
      </c>
      <c r="K1838" s="44" t="s">
        <v>4024</v>
      </c>
      <c r="L1838" s="44" t="s">
        <v>2333</v>
      </c>
      <c r="M1838" s="43">
        <v>27</v>
      </c>
      <c r="N1838" s="113" t="s">
        <v>1113</v>
      </c>
      <c r="O1838" s="113"/>
      <c r="P1838" s="113"/>
      <c r="Q1838" s="113"/>
      <c r="R1838" s="113"/>
      <c r="S1838" s="113"/>
      <c r="T1838" s="113"/>
      <c r="U1838" s="113"/>
      <c r="V1838" s="113"/>
      <c r="W1838" s="113"/>
      <c r="X1838" s="113"/>
      <c r="Y1838" s="113"/>
      <c r="Z1838" s="113"/>
      <c r="AA1838" s="113"/>
      <c r="AB1838" s="113"/>
      <c r="AC1838" s="113"/>
      <c r="AD1838" s="113"/>
      <c r="AE1838" s="113"/>
      <c r="AF1838" s="113"/>
      <c r="AG1838" s="113"/>
      <c r="AH1838" s="113"/>
      <c r="AI1838" s="113"/>
      <c r="AJ1838" s="113"/>
      <c r="AK1838" s="319" t="s">
        <v>1113</v>
      </c>
      <c r="AL1838" s="113"/>
      <c r="AM1838" s="113"/>
      <c r="AN1838" s="113"/>
      <c r="AO1838" s="44" t="s">
        <v>2334</v>
      </c>
      <c r="AP1838" s="43"/>
      <c r="AQ1838" s="236" t="str">
        <f>VLOOKUP(Table8[[#This Row],[Instrument]],Def_Targets!$D$73:$E$159,2,FALSE)</f>
        <v>I_Emobility</v>
      </c>
      <c r="AR1838" s="233" t="str">
        <f>VLOOKUP(Table8[[#This Row],[Country Code]],Table29[],3,FALSE)</f>
        <v>Non-Annex I</v>
      </c>
      <c r="AS1838" s="233" t="str">
        <f>VLOOKUP(Table8[[#This Row],[Country Code]],Table29[],4,FALSE)</f>
        <v>Africa</v>
      </c>
      <c r="AT1838" s="233" t="str">
        <f>VLOOKUP(Table8[[#This Row],[Country Code]],Table29[],5,FALSE)</f>
        <v>Middle-income</v>
      </c>
      <c r="AU1838" s="233" t="str">
        <f>VLOOKUP(Table8[[#This Row],[Country Code]],Table29[],6,FALSE)</f>
        <v>no</v>
      </c>
      <c r="AV1838" s="233" t="str">
        <f>VLOOKUP(Table8[[#This Row],[Country Code]],Table29[],7,FALSE)</f>
        <v>no</v>
      </c>
      <c r="AW1838" s="233" t="str">
        <f>VLOOKUP(Table8[[#This Row],[Country Code]],Table29[],8,FALSE)</f>
        <v>non-OECD</v>
      </c>
      <c r="AX1838" s="233" t="str">
        <f>VLOOKUP(Table8[[#This Row],[Country Code]],Table29[],9,FALSE)</f>
        <v>no</v>
      </c>
      <c r="AY1838" s="233" t="str">
        <f>VLOOKUP(Table8[[#This Row],[Country Code]],Table29[],10,FALSE)</f>
        <v>no</v>
      </c>
      <c r="AZ1838" s="235">
        <f>VLOOKUP(Table8[[#This Row],[Country Code]],Table29[],23,FALSE)</f>
        <v>28.843732000256001</v>
      </c>
      <c r="BA1838" s="235">
        <f>VLOOKUP(Table8[[#This Row],[Country Code]],Table29[],24,FALSE)</f>
        <v>3.4891679152500248</v>
      </c>
      <c r="BB1838" s="320"/>
      <c r="BC1838" s="320"/>
    </row>
    <row r="1839" spans="1:55" hidden="1" x14ac:dyDescent="0.25">
      <c r="A1839" s="373">
        <v>17729</v>
      </c>
      <c r="B1839" s="233" t="str">
        <f>VLOOKUP(Table8[[#This Row],[Document ID]],Table1[],2,FALSE)</f>
        <v>SYC</v>
      </c>
      <c r="C1839" s="233" t="str">
        <f>VLOOKUP(Table8[[#This Row],[Document ID]],Table1[],3,FALSE)</f>
        <v>Seychelles</v>
      </c>
      <c r="D1839" s="243" t="str">
        <f>VLOOKUP(Table8[[#This Row],[Document ID]],Table1[],5,FALSE)</f>
        <v>NDC</v>
      </c>
      <c r="E1839" s="233" t="str">
        <f>VLOOKUP(Table8[[#This Row],[Document ID]],Table1[],7,FALSE)</f>
        <v>First NDC</v>
      </c>
      <c r="F1839" s="233" t="str">
        <f>VLOOKUP(Table8[[#This Row],[Document ID]],Table1[],8,FALSE)</f>
        <v>NDC 1.0</v>
      </c>
      <c r="G1839" s="233" t="str">
        <f>VLOOKUP(Table8[[#This Row],[Document ID]],Table1[],10,FALSE)</f>
        <v>Archived</v>
      </c>
      <c r="H1839" s="43" t="s">
        <v>2343</v>
      </c>
      <c r="I1839" s="43" t="s">
        <v>2344</v>
      </c>
      <c r="J1839" s="44" t="s">
        <v>2345</v>
      </c>
      <c r="K1839" s="44" t="s">
        <v>4025</v>
      </c>
      <c r="L1839" s="44" t="s">
        <v>2347</v>
      </c>
      <c r="M1839" s="43"/>
      <c r="N1839" s="113" t="s">
        <v>1113</v>
      </c>
      <c r="O1839" s="113"/>
      <c r="P1839" s="113"/>
      <c r="Q1839" s="113"/>
      <c r="R1839" s="113"/>
      <c r="S1839" s="113"/>
      <c r="T1839" s="113"/>
      <c r="U1839" s="113"/>
      <c r="V1839" s="113"/>
      <c r="W1839" s="113"/>
      <c r="X1839" s="113"/>
      <c r="Y1839" s="113"/>
      <c r="Z1839" s="113"/>
      <c r="AA1839" s="113"/>
      <c r="AB1839" s="113"/>
      <c r="AC1839" s="113"/>
      <c r="AD1839" s="113"/>
      <c r="AE1839" s="113"/>
      <c r="AF1839" s="113"/>
      <c r="AG1839" s="113"/>
      <c r="AH1839" s="113"/>
      <c r="AI1839" s="113"/>
      <c r="AJ1839" s="113"/>
      <c r="AK1839" s="319" t="s">
        <v>1113</v>
      </c>
      <c r="AL1839" s="113"/>
      <c r="AM1839" s="113"/>
      <c r="AN1839" s="113"/>
      <c r="AO1839" s="43" t="s">
        <v>2348</v>
      </c>
      <c r="AP1839" s="43"/>
      <c r="AQ1839" s="236" t="str">
        <f>VLOOKUP(Table8[[#This Row],[Instrument]],Def_Targets!$D$73:$E$159,2,FALSE)</f>
        <v>S_PublicTransport</v>
      </c>
      <c r="AR1839" s="233" t="str">
        <f>VLOOKUP(Table8[[#This Row],[Country Code]],Table29[],3,FALSE)</f>
        <v>Non-Annex I</v>
      </c>
      <c r="AS1839" s="233" t="str">
        <f>VLOOKUP(Table8[[#This Row],[Country Code]],Table29[],4,FALSE)</f>
        <v>Africa</v>
      </c>
      <c r="AT1839" s="233" t="str">
        <f>VLOOKUP(Table8[[#This Row],[Country Code]],Table29[],5,FALSE)</f>
        <v>High-income</v>
      </c>
      <c r="AU1839" s="233" t="str">
        <f>VLOOKUP(Table8[[#This Row],[Country Code]],Table29[],6,FALSE)</f>
        <v>no</v>
      </c>
      <c r="AV1839" s="233" t="str">
        <f>VLOOKUP(Table8[[#This Row],[Country Code]],Table29[],7,FALSE)</f>
        <v>no</v>
      </c>
      <c r="AW1839" s="233" t="str">
        <f>VLOOKUP(Table8[[#This Row],[Country Code]],Table29[],8,FALSE)</f>
        <v>non-OECD</v>
      </c>
      <c r="AX1839" s="233" t="str">
        <f>VLOOKUP(Table8[[#This Row],[Country Code]],Table29[],9,FALSE)</f>
        <v>no</v>
      </c>
      <c r="AY1839" s="233" t="str">
        <f>VLOOKUP(Table8[[#This Row],[Country Code]],Table29[],10,FALSE)</f>
        <v>no</v>
      </c>
      <c r="AZ1839" s="235">
        <f>VLOOKUP(Table8[[#This Row],[Country Code]],Table29[],23,FALSE)</f>
        <v>1.3387084460448999</v>
      </c>
      <c r="BA1839" s="235">
        <f>VLOOKUP(Table8[[#This Row],[Country Code]],Table29[],24,FALSE)</f>
        <v>0.72161504168930912</v>
      </c>
      <c r="BB1839" s="320"/>
      <c r="BC1839" s="320"/>
    </row>
    <row r="1840" spans="1:55" hidden="1" x14ac:dyDescent="0.25">
      <c r="A1840" s="373">
        <v>17729</v>
      </c>
      <c r="B1840" s="233" t="str">
        <f>VLOOKUP(Table8[[#This Row],[Document ID]],Table1[],2,FALSE)</f>
        <v>SYC</v>
      </c>
      <c r="C1840" s="233" t="str">
        <f>VLOOKUP(Table8[[#This Row],[Document ID]],Table1[],3,FALSE)</f>
        <v>Seychelles</v>
      </c>
      <c r="D1840" s="243" t="str">
        <f>VLOOKUP(Table8[[#This Row],[Document ID]],Table1[],5,FALSE)</f>
        <v>NDC</v>
      </c>
      <c r="E1840" s="233" t="str">
        <f>VLOOKUP(Table8[[#This Row],[Document ID]],Table1[],7,FALSE)</f>
        <v>First NDC</v>
      </c>
      <c r="F1840" s="233" t="str">
        <f>VLOOKUP(Table8[[#This Row],[Document ID]],Table1[],8,FALSE)</f>
        <v>NDC 1.0</v>
      </c>
      <c r="G1840" s="233" t="str">
        <f>VLOOKUP(Table8[[#This Row],[Document ID]],Table1[],10,FALSE)</f>
        <v>Archived</v>
      </c>
      <c r="H1840" s="44" t="s">
        <v>2329</v>
      </c>
      <c r="I1840" s="44" t="s">
        <v>2330</v>
      </c>
      <c r="J1840" s="44" t="s">
        <v>2357</v>
      </c>
      <c r="K1840" s="44" t="s">
        <v>4026</v>
      </c>
      <c r="L1840" s="44" t="s">
        <v>2333</v>
      </c>
      <c r="M1840" s="43"/>
      <c r="N1840" s="113" t="s">
        <v>1113</v>
      </c>
      <c r="O1840" s="113"/>
      <c r="P1840" s="113"/>
      <c r="Q1840" s="113"/>
      <c r="R1840" s="113"/>
      <c r="S1840" s="113"/>
      <c r="T1840" s="113"/>
      <c r="U1840" s="113"/>
      <c r="V1840" s="113"/>
      <c r="W1840" s="113"/>
      <c r="X1840" s="113"/>
      <c r="Y1840" s="113"/>
      <c r="Z1840" s="113"/>
      <c r="AA1840" s="113"/>
      <c r="AB1840" s="113"/>
      <c r="AC1840" s="113"/>
      <c r="AD1840" s="113"/>
      <c r="AE1840" s="113"/>
      <c r="AF1840" s="113"/>
      <c r="AG1840" s="113"/>
      <c r="AH1840" s="113"/>
      <c r="AI1840" s="113"/>
      <c r="AJ1840" s="113"/>
      <c r="AK1840" s="319" t="s">
        <v>1113</v>
      </c>
      <c r="AL1840" s="113"/>
      <c r="AM1840" s="113"/>
      <c r="AN1840" s="113"/>
      <c r="AO1840" s="44" t="s">
        <v>2334</v>
      </c>
      <c r="AP1840" s="43"/>
      <c r="AQ1840" s="236" t="str">
        <f>VLOOKUP(Table8[[#This Row],[Instrument]],Def_Targets!$D$73:$E$159,2,FALSE)</f>
        <v>I_Biofuel</v>
      </c>
      <c r="AR1840" s="233" t="str">
        <f>VLOOKUP(Table8[[#This Row],[Country Code]],Table29[],3,FALSE)</f>
        <v>Non-Annex I</v>
      </c>
      <c r="AS1840" s="233" t="str">
        <f>VLOOKUP(Table8[[#This Row],[Country Code]],Table29[],4,FALSE)</f>
        <v>Africa</v>
      </c>
      <c r="AT1840" s="233" t="str">
        <f>VLOOKUP(Table8[[#This Row],[Country Code]],Table29[],5,FALSE)</f>
        <v>High-income</v>
      </c>
      <c r="AU1840" s="233" t="str">
        <f>VLOOKUP(Table8[[#This Row],[Country Code]],Table29[],6,FALSE)</f>
        <v>no</v>
      </c>
      <c r="AV1840" s="233" t="str">
        <f>VLOOKUP(Table8[[#This Row],[Country Code]],Table29[],7,FALSE)</f>
        <v>no</v>
      </c>
      <c r="AW1840" s="233" t="str">
        <f>VLOOKUP(Table8[[#This Row],[Country Code]],Table29[],8,FALSE)</f>
        <v>non-OECD</v>
      </c>
      <c r="AX1840" s="233" t="str">
        <f>VLOOKUP(Table8[[#This Row],[Country Code]],Table29[],9,FALSE)</f>
        <v>no</v>
      </c>
      <c r="AY1840" s="233" t="str">
        <f>VLOOKUP(Table8[[#This Row],[Country Code]],Table29[],10,FALSE)</f>
        <v>no</v>
      </c>
      <c r="AZ1840" s="235">
        <f>VLOOKUP(Table8[[#This Row],[Country Code]],Table29[],23,FALSE)</f>
        <v>1.3387084460448999</v>
      </c>
      <c r="BA1840" s="235">
        <f>VLOOKUP(Table8[[#This Row],[Country Code]],Table29[],24,FALSE)</f>
        <v>0.72161504168930912</v>
      </c>
      <c r="BB1840" s="320"/>
      <c r="BC1840" s="320"/>
    </row>
    <row r="1841" spans="1:55" ht="30" hidden="1" x14ac:dyDescent="0.25">
      <c r="A1841" s="373">
        <v>17729</v>
      </c>
      <c r="B1841" s="233" t="str">
        <f>VLOOKUP(Table8[[#This Row],[Document ID]],Table1[],2,FALSE)</f>
        <v>SYC</v>
      </c>
      <c r="C1841" s="233" t="str">
        <f>VLOOKUP(Table8[[#This Row],[Document ID]],Table1[],3,FALSE)</f>
        <v>Seychelles</v>
      </c>
      <c r="D1841" s="243" t="str">
        <f>VLOOKUP(Table8[[#This Row],[Document ID]],Table1[],5,FALSE)</f>
        <v>NDC</v>
      </c>
      <c r="E1841" s="233" t="str">
        <f>VLOOKUP(Table8[[#This Row],[Document ID]],Table1[],7,FALSE)</f>
        <v>First NDC</v>
      </c>
      <c r="F1841" s="233" t="str">
        <f>VLOOKUP(Table8[[#This Row],[Document ID]],Table1[],8,FALSE)</f>
        <v>NDC 1.0</v>
      </c>
      <c r="G1841" s="233" t="str">
        <f>VLOOKUP(Table8[[#This Row],[Document ID]],Table1[],10,FALSE)</f>
        <v>Archived</v>
      </c>
      <c r="H1841" s="44" t="s">
        <v>2338</v>
      </c>
      <c r="I1841" s="44" t="s">
        <v>2339</v>
      </c>
      <c r="J1841" s="44" t="s">
        <v>2410</v>
      </c>
      <c r="K1841" s="44" t="s">
        <v>4027</v>
      </c>
      <c r="L1841" s="44" t="s">
        <v>2333</v>
      </c>
      <c r="M1841" s="43"/>
      <c r="N1841" s="113" t="s">
        <v>1113</v>
      </c>
      <c r="O1841" s="113"/>
      <c r="P1841" s="113"/>
      <c r="Q1841" s="113"/>
      <c r="R1841" s="113"/>
      <c r="S1841" s="113"/>
      <c r="T1841" s="113"/>
      <c r="U1841" s="113"/>
      <c r="V1841" s="113"/>
      <c r="W1841" s="113"/>
      <c r="X1841" s="113"/>
      <c r="Y1841" s="113"/>
      <c r="Z1841" s="113"/>
      <c r="AA1841" s="113"/>
      <c r="AB1841" s="113"/>
      <c r="AC1841" s="113"/>
      <c r="AD1841" s="113"/>
      <c r="AE1841" s="113"/>
      <c r="AF1841" s="113"/>
      <c r="AG1841" s="113"/>
      <c r="AH1841" s="113"/>
      <c r="AI1841" s="113"/>
      <c r="AJ1841" s="113"/>
      <c r="AK1841" s="319" t="s">
        <v>1113</v>
      </c>
      <c r="AL1841" s="113"/>
      <c r="AM1841" s="113"/>
      <c r="AN1841" s="113"/>
      <c r="AO1841" s="44" t="s">
        <v>2334</v>
      </c>
      <c r="AP1841" s="43"/>
      <c r="AQ1841" s="236" t="str">
        <f>VLOOKUP(Table8[[#This Row],[Instrument]],Def_Targets!$D$73:$E$159,2,FALSE)</f>
        <v>I_VehicleRestrictions</v>
      </c>
      <c r="AR1841" s="233" t="str">
        <f>VLOOKUP(Table8[[#This Row],[Country Code]],Table29[],3,FALSE)</f>
        <v>Non-Annex I</v>
      </c>
      <c r="AS1841" s="233" t="str">
        <f>VLOOKUP(Table8[[#This Row],[Country Code]],Table29[],4,FALSE)</f>
        <v>Africa</v>
      </c>
      <c r="AT1841" s="233" t="str">
        <f>VLOOKUP(Table8[[#This Row],[Country Code]],Table29[],5,FALSE)</f>
        <v>High-income</v>
      </c>
      <c r="AU1841" s="233" t="str">
        <f>VLOOKUP(Table8[[#This Row],[Country Code]],Table29[],6,FALSE)</f>
        <v>no</v>
      </c>
      <c r="AV1841" s="233" t="str">
        <f>VLOOKUP(Table8[[#This Row],[Country Code]],Table29[],7,FALSE)</f>
        <v>no</v>
      </c>
      <c r="AW1841" s="233" t="str">
        <f>VLOOKUP(Table8[[#This Row],[Country Code]],Table29[],8,FALSE)</f>
        <v>non-OECD</v>
      </c>
      <c r="AX1841" s="233" t="str">
        <f>VLOOKUP(Table8[[#This Row],[Country Code]],Table29[],9,FALSE)</f>
        <v>no</v>
      </c>
      <c r="AY1841" s="233" t="str">
        <f>VLOOKUP(Table8[[#This Row],[Country Code]],Table29[],10,FALSE)</f>
        <v>no</v>
      </c>
      <c r="AZ1841" s="235">
        <f>VLOOKUP(Table8[[#This Row],[Country Code]],Table29[],23,FALSE)</f>
        <v>1.3387084460448999</v>
      </c>
      <c r="BA1841" s="235">
        <f>VLOOKUP(Table8[[#This Row],[Country Code]],Table29[],24,FALSE)</f>
        <v>0.72161504168930912</v>
      </c>
      <c r="BB1841" s="320"/>
      <c r="BC1841" s="320"/>
    </row>
    <row r="1842" spans="1:55" ht="30" hidden="1" x14ac:dyDescent="0.25">
      <c r="A1842" s="373">
        <v>17729</v>
      </c>
      <c r="B1842" s="233" t="str">
        <f>VLOOKUP(Table8[[#This Row],[Document ID]],Table1[],2,FALSE)</f>
        <v>SYC</v>
      </c>
      <c r="C1842" s="233" t="str">
        <f>VLOOKUP(Table8[[#This Row],[Document ID]],Table1[],3,FALSE)</f>
        <v>Seychelles</v>
      </c>
      <c r="D1842" s="243" t="str">
        <f>VLOOKUP(Table8[[#This Row],[Document ID]],Table1[],5,FALSE)</f>
        <v>NDC</v>
      </c>
      <c r="E1842" s="233" t="str">
        <f>VLOOKUP(Table8[[#This Row],[Document ID]],Table1[],7,FALSE)</f>
        <v>First NDC</v>
      </c>
      <c r="F1842" s="233" t="str">
        <f>VLOOKUP(Table8[[#This Row],[Document ID]],Table1[],8,FALSE)</f>
        <v>NDC 1.0</v>
      </c>
      <c r="G1842" s="233" t="str">
        <f>VLOOKUP(Table8[[#This Row],[Document ID]],Table1[],10,FALSE)</f>
        <v>Archived</v>
      </c>
      <c r="H1842" s="44" t="s">
        <v>2338</v>
      </c>
      <c r="I1842" s="44" t="s">
        <v>2339</v>
      </c>
      <c r="J1842" s="44" t="s">
        <v>2410</v>
      </c>
      <c r="K1842" s="44" t="s">
        <v>4028</v>
      </c>
      <c r="L1842" s="44" t="s">
        <v>2333</v>
      </c>
      <c r="M1842" s="43"/>
      <c r="N1842" s="113" t="s">
        <v>1113</v>
      </c>
      <c r="O1842" s="113"/>
      <c r="P1842" s="113"/>
      <c r="Q1842" s="113"/>
      <c r="R1842" s="113"/>
      <c r="S1842" s="113"/>
      <c r="T1842" s="113"/>
      <c r="U1842" s="113"/>
      <c r="V1842" s="113"/>
      <c r="W1842" s="113"/>
      <c r="X1842" s="113"/>
      <c r="Y1842" s="113"/>
      <c r="Z1842" s="113"/>
      <c r="AA1842" s="113"/>
      <c r="AB1842" s="113"/>
      <c r="AC1842" s="113"/>
      <c r="AD1842" s="113"/>
      <c r="AE1842" s="113"/>
      <c r="AF1842" s="113"/>
      <c r="AG1842" s="113"/>
      <c r="AH1842" s="113"/>
      <c r="AI1842" s="113"/>
      <c r="AJ1842" s="113"/>
      <c r="AK1842" s="319" t="s">
        <v>1113</v>
      </c>
      <c r="AL1842" s="113"/>
      <c r="AM1842" s="113"/>
      <c r="AN1842" s="113"/>
      <c r="AO1842" s="44" t="s">
        <v>2334</v>
      </c>
      <c r="AP1842" s="43"/>
      <c r="AQ1842" s="236" t="str">
        <f>VLOOKUP(Table8[[#This Row],[Instrument]],Def_Targets!$D$73:$E$159,2,FALSE)</f>
        <v>I_VehicleRestrictions</v>
      </c>
      <c r="AR1842" s="233" t="str">
        <f>VLOOKUP(Table8[[#This Row],[Country Code]],Table29[],3,FALSE)</f>
        <v>Non-Annex I</v>
      </c>
      <c r="AS1842" s="233" t="str">
        <f>VLOOKUP(Table8[[#This Row],[Country Code]],Table29[],4,FALSE)</f>
        <v>Africa</v>
      </c>
      <c r="AT1842" s="233" t="str">
        <f>VLOOKUP(Table8[[#This Row],[Country Code]],Table29[],5,FALSE)</f>
        <v>High-income</v>
      </c>
      <c r="AU1842" s="233" t="str">
        <f>VLOOKUP(Table8[[#This Row],[Country Code]],Table29[],6,FALSE)</f>
        <v>no</v>
      </c>
      <c r="AV1842" s="233" t="str">
        <f>VLOOKUP(Table8[[#This Row],[Country Code]],Table29[],7,FALSE)</f>
        <v>no</v>
      </c>
      <c r="AW1842" s="233" t="str">
        <f>VLOOKUP(Table8[[#This Row],[Country Code]],Table29[],8,FALSE)</f>
        <v>non-OECD</v>
      </c>
      <c r="AX1842" s="233" t="str">
        <f>VLOOKUP(Table8[[#This Row],[Country Code]],Table29[],9,FALSE)</f>
        <v>no</v>
      </c>
      <c r="AY1842" s="233" t="str">
        <f>VLOOKUP(Table8[[#This Row],[Country Code]],Table29[],10,FALSE)</f>
        <v>no</v>
      </c>
      <c r="AZ1842" s="235">
        <f>VLOOKUP(Table8[[#This Row],[Country Code]],Table29[],23,FALSE)</f>
        <v>1.3387084460448999</v>
      </c>
      <c r="BA1842" s="235">
        <f>VLOOKUP(Table8[[#This Row],[Country Code]],Table29[],24,FALSE)</f>
        <v>0.72161504168930912</v>
      </c>
      <c r="BB1842" s="320"/>
      <c r="BC1842" s="320"/>
    </row>
    <row r="1843" spans="1:55" ht="30" hidden="1" x14ac:dyDescent="0.25">
      <c r="A1843" s="373">
        <v>17729</v>
      </c>
      <c r="B1843" s="233" t="str">
        <f>VLOOKUP(Table8[[#This Row],[Document ID]],Table1[],2,FALSE)</f>
        <v>SYC</v>
      </c>
      <c r="C1843" s="233" t="str">
        <f>VLOOKUP(Table8[[#This Row],[Document ID]],Table1[],3,FALSE)</f>
        <v>Seychelles</v>
      </c>
      <c r="D1843" s="243" t="str">
        <f>VLOOKUP(Table8[[#This Row],[Document ID]],Table1[],5,FALSE)</f>
        <v>NDC</v>
      </c>
      <c r="E1843" s="233" t="str">
        <f>VLOOKUP(Table8[[#This Row],[Document ID]],Table1[],7,FALSE)</f>
        <v>First NDC</v>
      </c>
      <c r="F1843" s="236" t="str">
        <f>VLOOKUP(Table8[[#This Row],[Document ID]],Table1[],8,FALSE)</f>
        <v>NDC 1.0</v>
      </c>
      <c r="G1843" s="236" t="str">
        <f>VLOOKUP(Table8[[#This Row],[Document ID]],Table1[],10,FALSE)</f>
        <v>Archived</v>
      </c>
      <c r="H1843" s="43" t="s">
        <v>2358</v>
      </c>
      <c r="I1843" s="43" t="s">
        <v>2359</v>
      </c>
      <c r="J1843" s="44" t="s">
        <v>2360</v>
      </c>
      <c r="K1843" s="44" t="s">
        <v>4029</v>
      </c>
      <c r="L1843" s="44" t="s">
        <v>2333</v>
      </c>
      <c r="M1843" s="43"/>
      <c r="N1843" s="113"/>
      <c r="O1843" s="113"/>
      <c r="P1843" s="113"/>
      <c r="Q1843" s="319"/>
      <c r="R1843" s="319"/>
      <c r="S1843" s="319"/>
      <c r="T1843" s="113" t="s">
        <v>1113</v>
      </c>
      <c r="U1843" s="113" t="s">
        <v>1113</v>
      </c>
      <c r="V1843" s="319"/>
      <c r="W1843" s="319"/>
      <c r="X1843" s="319"/>
      <c r="Y1843" s="319"/>
      <c r="Z1843" s="319"/>
      <c r="AA1843" s="319"/>
      <c r="AB1843" s="319"/>
      <c r="AC1843" s="319"/>
      <c r="AD1843" s="319"/>
      <c r="AE1843" s="319"/>
      <c r="AF1843" s="319"/>
      <c r="AG1843" s="319"/>
      <c r="AH1843" s="319"/>
      <c r="AI1843" s="319"/>
      <c r="AJ1843" s="319"/>
      <c r="AK1843" s="319" t="s">
        <v>1113</v>
      </c>
      <c r="AL1843" s="319"/>
      <c r="AM1843" s="319"/>
      <c r="AN1843" s="319"/>
      <c r="AO1843" s="44" t="s">
        <v>2334</v>
      </c>
      <c r="AP1843" s="44"/>
      <c r="AQ1843" s="236" t="str">
        <f>VLOOKUP(Table8[[#This Row],[Instrument]],Def_Targets!$D$73:$E$159,2,FALSE)</f>
        <v>I_Emobility</v>
      </c>
      <c r="AR1843" s="233" t="str">
        <f>VLOOKUP(Table8[[#This Row],[Country Code]],Table29[],3,FALSE)</f>
        <v>Non-Annex I</v>
      </c>
      <c r="AS1843" s="233" t="str">
        <f>VLOOKUP(Table8[[#This Row],[Country Code]],Table29[],4,FALSE)</f>
        <v>Africa</v>
      </c>
      <c r="AT1843" s="233" t="str">
        <f>VLOOKUP(Table8[[#This Row],[Country Code]],Table29[],5,FALSE)</f>
        <v>High-income</v>
      </c>
      <c r="AU1843" s="233" t="str">
        <f>VLOOKUP(Table8[[#This Row],[Country Code]],Table29[],6,FALSE)</f>
        <v>no</v>
      </c>
      <c r="AV1843" s="233" t="str">
        <f>VLOOKUP(Table8[[#This Row],[Country Code]],Table29[],7,FALSE)</f>
        <v>no</v>
      </c>
      <c r="AW1843" s="233" t="str">
        <f>VLOOKUP(Table8[[#This Row],[Country Code]],Table29[],8,FALSE)</f>
        <v>non-OECD</v>
      </c>
      <c r="AX1843" s="233" t="str">
        <f>VLOOKUP(Table8[[#This Row],[Country Code]],Table29[],9,FALSE)</f>
        <v>no</v>
      </c>
      <c r="AY1843" s="233" t="str">
        <f>VLOOKUP(Table8[[#This Row],[Country Code]],Table29[],10,FALSE)</f>
        <v>no</v>
      </c>
      <c r="AZ1843" s="235">
        <f>VLOOKUP(Table8[[#This Row],[Country Code]],Table29[],23,FALSE)</f>
        <v>1.3387084460448999</v>
      </c>
      <c r="BA1843" s="235">
        <f>VLOOKUP(Table8[[#This Row],[Country Code]],Table29[],24,FALSE)</f>
        <v>0.72161504168930912</v>
      </c>
      <c r="BB1843" s="320"/>
      <c r="BC1843" s="320"/>
    </row>
    <row r="1844" spans="1:55" hidden="1" x14ac:dyDescent="0.25">
      <c r="A1844" s="373">
        <v>21279</v>
      </c>
      <c r="B1844" s="233" t="str">
        <f>VLOOKUP(Table8[[#This Row],[Document ID]],Table1[],2,FALSE)</f>
        <v>SYC</v>
      </c>
      <c r="C1844" s="233" t="str">
        <f>VLOOKUP(Table8[[#This Row],[Document ID]],Table1[],3,FALSE)</f>
        <v>Seychelles</v>
      </c>
      <c r="D1844" s="243" t="str">
        <f>VLOOKUP(Table8[[#This Row],[Document ID]],Table1[],5,FALSE)</f>
        <v>NDC</v>
      </c>
      <c r="E1844" s="233" t="str">
        <f>VLOOKUP(Table8[[#This Row],[Document ID]],Table1[],7,FALSE)</f>
        <v>First NDC updated</v>
      </c>
      <c r="F1844" s="233" t="str">
        <f>VLOOKUP(Table8[[#This Row],[Document ID]],Table1[],8,FALSE)</f>
        <v>NDC 1.1</v>
      </c>
      <c r="G1844" s="233" t="str">
        <f>VLOOKUP(Table8[[#This Row],[Document ID]],Table1[],10,FALSE)</f>
        <v>Active</v>
      </c>
      <c r="H1844" s="43" t="s">
        <v>2350</v>
      </c>
      <c r="I1844" s="43" t="s">
        <v>2370</v>
      </c>
      <c r="J1844" s="44" t="s">
        <v>2418</v>
      </c>
      <c r="K1844" s="44" t="s">
        <v>4030</v>
      </c>
      <c r="L1844" s="44" t="s">
        <v>2396</v>
      </c>
      <c r="M1844" s="43">
        <v>24</v>
      </c>
      <c r="N1844" s="113" t="s">
        <v>1113</v>
      </c>
      <c r="O1844" s="113"/>
      <c r="P1844" s="113"/>
      <c r="Q1844" s="113"/>
      <c r="R1844" s="113"/>
      <c r="S1844" s="113"/>
      <c r="T1844" s="113"/>
      <c r="U1844" s="113"/>
      <c r="V1844" s="113"/>
      <c r="W1844" s="113"/>
      <c r="X1844" s="113"/>
      <c r="Y1844" s="113"/>
      <c r="Z1844" s="113"/>
      <c r="AA1844" s="113"/>
      <c r="AB1844" s="113"/>
      <c r="AC1844" s="113"/>
      <c r="AD1844" s="113"/>
      <c r="AE1844" s="113"/>
      <c r="AF1844" s="113"/>
      <c r="AG1844" s="113"/>
      <c r="AH1844" s="113"/>
      <c r="AI1844" s="113"/>
      <c r="AJ1844" s="113"/>
      <c r="AK1844" s="113"/>
      <c r="AL1844" s="113" t="s">
        <v>1113</v>
      </c>
      <c r="AM1844" s="113"/>
      <c r="AN1844" s="113"/>
      <c r="AO1844" s="44" t="s">
        <v>2334</v>
      </c>
      <c r="AP1844" s="43"/>
      <c r="AQ1844" s="236" t="str">
        <f>VLOOKUP(Table8[[#This Row],[Instrument]],Def_Targets!$D$73:$E$159,2,FALSE)</f>
        <v>A_Complan</v>
      </c>
      <c r="AR1844" s="233" t="str">
        <f>VLOOKUP(Table8[[#This Row],[Country Code]],Table29[],3,FALSE)</f>
        <v>Non-Annex I</v>
      </c>
      <c r="AS1844" s="233" t="str">
        <f>VLOOKUP(Table8[[#This Row],[Country Code]],Table29[],4,FALSE)</f>
        <v>Africa</v>
      </c>
      <c r="AT1844" s="233" t="str">
        <f>VLOOKUP(Table8[[#This Row],[Country Code]],Table29[],5,FALSE)</f>
        <v>High-income</v>
      </c>
      <c r="AU1844" s="233" t="str">
        <f>VLOOKUP(Table8[[#This Row],[Country Code]],Table29[],6,FALSE)</f>
        <v>no</v>
      </c>
      <c r="AV1844" s="233" t="str">
        <f>VLOOKUP(Table8[[#This Row],[Country Code]],Table29[],7,FALSE)</f>
        <v>no</v>
      </c>
      <c r="AW1844" s="233" t="str">
        <f>VLOOKUP(Table8[[#This Row],[Country Code]],Table29[],8,FALSE)</f>
        <v>non-OECD</v>
      </c>
      <c r="AX1844" s="233" t="str">
        <f>VLOOKUP(Table8[[#This Row],[Country Code]],Table29[],9,FALSE)</f>
        <v>no</v>
      </c>
      <c r="AY1844" s="233" t="str">
        <f>VLOOKUP(Table8[[#This Row],[Country Code]],Table29[],10,FALSE)</f>
        <v>no</v>
      </c>
      <c r="AZ1844" s="235">
        <f>VLOOKUP(Table8[[#This Row],[Country Code]],Table29[],23,FALSE)</f>
        <v>1.3387084460448999</v>
      </c>
      <c r="BA1844" s="235">
        <f>VLOOKUP(Table8[[#This Row],[Country Code]],Table29[],24,FALSE)</f>
        <v>0.72161504168930912</v>
      </c>
      <c r="BB1844" s="320"/>
      <c r="BC1844" s="320"/>
    </row>
    <row r="1845" spans="1:55" hidden="1" x14ac:dyDescent="0.25">
      <c r="A1845" s="373">
        <v>21279</v>
      </c>
      <c r="B1845" s="233" t="str">
        <f>VLOOKUP(Table8[[#This Row],[Document ID]],Table1[],2,FALSE)</f>
        <v>SYC</v>
      </c>
      <c r="C1845" s="233" t="str">
        <f>VLOOKUP(Table8[[#This Row],[Document ID]],Table1[],3,FALSE)</f>
        <v>Seychelles</v>
      </c>
      <c r="D1845" s="243" t="str">
        <f>VLOOKUP(Table8[[#This Row],[Document ID]],Table1[],5,FALSE)</f>
        <v>NDC</v>
      </c>
      <c r="E1845" s="233" t="str">
        <f>VLOOKUP(Table8[[#This Row],[Document ID]],Table1[],7,FALSE)</f>
        <v>First NDC updated</v>
      </c>
      <c r="F1845" s="233" t="str">
        <f>VLOOKUP(Table8[[#This Row],[Document ID]],Table1[],8,FALSE)</f>
        <v>NDC 1.1</v>
      </c>
      <c r="G1845" s="233" t="str">
        <f>VLOOKUP(Table8[[#This Row],[Document ID]],Table1[],10,FALSE)</f>
        <v>Active</v>
      </c>
      <c r="H1845" s="43" t="s">
        <v>2343</v>
      </c>
      <c r="I1845" s="43" t="s">
        <v>2429</v>
      </c>
      <c r="J1845" s="44" t="s">
        <v>2472</v>
      </c>
      <c r="K1845" s="44" t="s">
        <v>4031</v>
      </c>
      <c r="L1845" s="44" t="s">
        <v>2396</v>
      </c>
      <c r="M1845" s="43">
        <v>24</v>
      </c>
      <c r="N1845" s="113" t="s">
        <v>1113</v>
      </c>
      <c r="O1845" s="113"/>
      <c r="P1845" s="113"/>
      <c r="Q1845" s="113"/>
      <c r="R1845" s="113"/>
      <c r="S1845" s="113"/>
      <c r="T1845" s="113"/>
      <c r="U1845" s="113"/>
      <c r="V1845" s="113"/>
      <c r="W1845" s="113"/>
      <c r="X1845" s="113"/>
      <c r="Y1845" s="113"/>
      <c r="Z1845" s="113"/>
      <c r="AA1845" s="113"/>
      <c r="AB1845" s="113"/>
      <c r="AC1845" s="113"/>
      <c r="AD1845" s="113"/>
      <c r="AE1845" s="113"/>
      <c r="AF1845" s="113"/>
      <c r="AG1845" s="113"/>
      <c r="AH1845" s="113"/>
      <c r="AI1845" s="113"/>
      <c r="AJ1845" s="113"/>
      <c r="AK1845" s="113" t="s">
        <v>1113</v>
      </c>
      <c r="AL1845" s="113"/>
      <c r="AM1845" s="113"/>
      <c r="AN1845" s="113"/>
      <c r="AO1845" s="44" t="s">
        <v>2334</v>
      </c>
      <c r="AP1845" s="43"/>
      <c r="AQ1845" s="236" t="str">
        <f>VLOOKUP(Table8[[#This Row],[Instrument]],Def_Targets!$D$73:$E$159,2,FALSE)</f>
        <v>I_Other</v>
      </c>
      <c r="AR1845" s="233" t="str">
        <f>VLOOKUP(Table8[[#This Row],[Country Code]],Table29[],3,FALSE)</f>
        <v>Non-Annex I</v>
      </c>
      <c r="AS1845" s="233" t="str">
        <f>VLOOKUP(Table8[[#This Row],[Country Code]],Table29[],4,FALSE)</f>
        <v>Africa</v>
      </c>
      <c r="AT1845" s="233" t="str">
        <f>VLOOKUP(Table8[[#This Row],[Country Code]],Table29[],5,FALSE)</f>
        <v>High-income</v>
      </c>
      <c r="AU1845" s="233" t="str">
        <f>VLOOKUP(Table8[[#This Row],[Country Code]],Table29[],6,FALSE)</f>
        <v>no</v>
      </c>
      <c r="AV1845" s="233" t="str">
        <f>VLOOKUP(Table8[[#This Row],[Country Code]],Table29[],7,FALSE)</f>
        <v>no</v>
      </c>
      <c r="AW1845" s="233" t="str">
        <f>VLOOKUP(Table8[[#This Row],[Country Code]],Table29[],8,FALSE)</f>
        <v>non-OECD</v>
      </c>
      <c r="AX1845" s="233" t="str">
        <f>VLOOKUP(Table8[[#This Row],[Country Code]],Table29[],9,FALSE)</f>
        <v>no</v>
      </c>
      <c r="AY1845" s="233" t="str">
        <f>VLOOKUP(Table8[[#This Row],[Country Code]],Table29[],10,FALSE)</f>
        <v>no</v>
      </c>
      <c r="AZ1845" s="235">
        <f>VLOOKUP(Table8[[#This Row],[Country Code]],Table29[],23,FALSE)</f>
        <v>1.3387084460448999</v>
      </c>
      <c r="BA1845" s="235">
        <f>VLOOKUP(Table8[[#This Row],[Country Code]],Table29[],24,FALSE)</f>
        <v>0.72161504168930912</v>
      </c>
      <c r="BB1845" s="320"/>
      <c r="BC1845" s="320"/>
    </row>
    <row r="1846" spans="1:55" hidden="1" x14ac:dyDescent="0.25">
      <c r="A1846" s="373">
        <v>21279</v>
      </c>
      <c r="B1846" s="233" t="str">
        <f>VLOOKUP(Table8[[#This Row],[Document ID]],Table1[],2,FALSE)</f>
        <v>SYC</v>
      </c>
      <c r="C1846" s="233" t="str">
        <f>VLOOKUP(Table8[[#This Row],[Document ID]],Table1[],3,FALSE)</f>
        <v>Seychelles</v>
      </c>
      <c r="D1846" s="243" t="str">
        <f>VLOOKUP(Table8[[#This Row],[Document ID]],Table1[],5,FALSE)</f>
        <v>NDC</v>
      </c>
      <c r="E1846" s="233" t="str">
        <f>VLOOKUP(Table8[[#This Row],[Document ID]],Table1[],7,FALSE)</f>
        <v>First NDC updated</v>
      </c>
      <c r="F1846" s="233" t="str">
        <f>VLOOKUP(Table8[[#This Row],[Document ID]],Table1[],8,FALSE)</f>
        <v>NDC 1.1</v>
      </c>
      <c r="G1846" s="233" t="str">
        <f>VLOOKUP(Table8[[#This Row],[Document ID]],Table1[],10,FALSE)</f>
        <v>Active</v>
      </c>
      <c r="H1846" s="43" t="s">
        <v>2343</v>
      </c>
      <c r="I1846" s="43" t="s">
        <v>2361</v>
      </c>
      <c r="J1846" s="44" t="s">
        <v>2362</v>
      </c>
      <c r="K1846" s="44" t="s">
        <v>4032</v>
      </c>
      <c r="L1846" s="44" t="s">
        <v>2347</v>
      </c>
      <c r="M1846" s="43">
        <v>24</v>
      </c>
      <c r="N1846" s="113"/>
      <c r="O1846" s="113"/>
      <c r="P1846" s="113"/>
      <c r="Q1846" s="113"/>
      <c r="R1846" s="113" t="s">
        <v>1113</v>
      </c>
      <c r="S1846" s="113"/>
      <c r="T1846" s="113"/>
      <c r="U1846" s="113"/>
      <c r="V1846" s="113"/>
      <c r="W1846" s="113"/>
      <c r="X1846" s="113"/>
      <c r="Y1846" s="113"/>
      <c r="Z1846" s="113"/>
      <c r="AA1846" s="113"/>
      <c r="AB1846" s="113"/>
      <c r="AC1846" s="113"/>
      <c r="AD1846" s="113"/>
      <c r="AE1846" s="113"/>
      <c r="AF1846" s="113"/>
      <c r="AG1846" s="113"/>
      <c r="AH1846" s="113"/>
      <c r="AI1846" s="113"/>
      <c r="AJ1846" s="113"/>
      <c r="AK1846" s="113" t="s">
        <v>1113</v>
      </c>
      <c r="AL1846" s="113"/>
      <c r="AM1846" s="113"/>
      <c r="AN1846" s="113"/>
      <c r="AO1846" s="44" t="s">
        <v>2334</v>
      </c>
      <c r="AP1846" s="43"/>
      <c r="AQ1846" s="236" t="str">
        <f>VLOOKUP(Table8[[#This Row],[Instrument]],Def_Targets!$D$73:$E$159,2,FALSE)</f>
        <v>S_Cycling</v>
      </c>
      <c r="AR1846" s="233" t="str">
        <f>VLOOKUP(Table8[[#This Row],[Country Code]],Table29[],3,FALSE)</f>
        <v>Non-Annex I</v>
      </c>
      <c r="AS1846" s="233" t="str">
        <f>VLOOKUP(Table8[[#This Row],[Country Code]],Table29[],4,FALSE)</f>
        <v>Africa</v>
      </c>
      <c r="AT1846" s="233" t="str">
        <f>VLOOKUP(Table8[[#This Row],[Country Code]],Table29[],5,FALSE)</f>
        <v>High-income</v>
      </c>
      <c r="AU1846" s="233" t="str">
        <f>VLOOKUP(Table8[[#This Row],[Country Code]],Table29[],6,FALSE)</f>
        <v>no</v>
      </c>
      <c r="AV1846" s="233" t="str">
        <f>VLOOKUP(Table8[[#This Row],[Country Code]],Table29[],7,FALSE)</f>
        <v>no</v>
      </c>
      <c r="AW1846" s="233" t="str">
        <f>VLOOKUP(Table8[[#This Row],[Country Code]],Table29[],8,FALSE)</f>
        <v>non-OECD</v>
      </c>
      <c r="AX1846" s="233" t="str">
        <f>VLOOKUP(Table8[[#This Row],[Country Code]],Table29[],9,FALSE)</f>
        <v>no</v>
      </c>
      <c r="AY1846" s="233" t="str">
        <f>VLOOKUP(Table8[[#This Row],[Country Code]],Table29[],10,FALSE)</f>
        <v>no</v>
      </c>
      <c r="AZ1846" s="235">
        <f>VLOOKUP(Table8[[#This Row],[Country Code]],Table29[],23,FALSE)</f>
        <v>1.3387084460448999</v>
      </c>
      <c r="BA1846" s="235">
        <f>VLOOKUP(Table8[[#This Row],[Country Code]],Table29[],24,FALSE)</f>
        <v>0.72161504168930912</v>
      </c>
      <c r="BB1846" s="320"/>
      <c r="BC1846" s="320"/>
    </row>
    <row r="1847" spans="1:55" hidden="1" x14ac:dyDescent="0.25">
      <c r="A1847" s="373">
        <v>21279</v>
      </c>
      <c r="B1847" s="233" t="str">
        <f>VLOOKUP(Table8[[#This Row],[Document ID]],Table1[],2,FALSE)</f>
        <v>SYC</v>
      </c>
      <c r="C1847" s="233" t="str">
        <f>VLOOKUP(Table8[[#This Row],[Document ID]],Table1[],3,FALSE)</f>
        <v>Seychelles</v>
      </c>
      <c r="D1847" s="243" t="str">
        <f>VLOOKUP(Table8[[#This Row],[Document ID]],Table1[],5,FALSE)</f>
        <v>NDC</v>
      </c>
      <c r="E1847" s="233" t="str">
        <f>VLOOKUP(Table8[[#This Row],[Document ID]],Table1[],7,FALSE)</f>
        <v>First NDC updated</v>
      </c>
      <c r="F1847" s="233" t="str">
        <f>VLOOKUP(Table8[[#This Row],[Document ID]],Table1[],8,FALSE)</f>
        <v>NDC 1.1</v>
      </c>
      <c r="G1847" s="233" t="str">
        <f>VLOOKUP(Table8[[#This Row],[Document ID]],Table1[],10,FALSE)</f>
        <v>Active</v>
      </c>
      <c r="H1847" s="43" t="s">
        <v>2343</v>
      </c>
      <c r="I1847" s="43" t="s">
        <v>2361</v>
      </c>
      <c r="J1847" s="44" t="s">
        <v>2463</v>
      </c>
      <c r="K1847" s="44" t="s">
        <v>4033</v>
      </c>
      <c r="L1847" s="44" t="s">
        <v>2347</v>
      </c>
      <c r="M1847" s="43">
        <v>24</v>
      </c>
      <c r="N1847" s="113"/>
      <c r="O1847" s="113"/>
      <c r="P1847" s="113"/>
      <c r="Q1847" s="113" t="s">
        <v>1113</v>
      </c>
      <c r="R1847" s="113"/>
      <c r="S1847" s="113"/>
      <c r="T1847" s="113"/>
      <c r="U1847" s="113"/>
      <c r="V1847" s="113"/>
      <c r="W1847" s="113"/>
      <c r="X1847" s="113"/>
      <c r="Y1847" s="113"/>
      <c r="Z1847" s="113"/>
      <c r="AA1847" s="113"/>
      <c r="AB1847" s="113"/>
      <c r="AC1847" s="113"/>
      <c r="AD1847" s="113"/>
      <c r="AE1847" s="113"/>
      <c r="AF1847" s="113"/>
      <c r="AG1847" s="113"/>
      <c r="AH1847" s="113"/>
      <c r="AI1847" s="113"/>
      <c r="AJ1847" s="113"/>
      <c r="AK1847" s="113" t="s">
        <v>1113</v>
      </c>
      <c r="AL1847" s="113"/>
      <c r="AM1847" s="113"/>
      <c r="AN1847" s="113"/>
      <c r="AO1847" s="44" t="s">
        <v>2334</v>
      </c>
      <c r="AP1847" s="43"/>
      <c r="AQ1847" s="236" t="str">
        <f>VLOOKUP(Table8[[#This Row],[Instrument]],Def_Targets!$D$73:$E$159,2,FALSE)</f>
        <v>S_Walking</v>
      </c>
      <c r="AR1847" s="233" t="str">
        <f>VLOOKUP(Table8[[#This Row],[Country Code]],Table29[],3,FALSE)</f>
        <v>Non-Annex I</v>
      </c>
      <c r="AS1847" s="233" t="str">
        <f>VLOOKUP(Table8[[#This Row],[Country Code]],Table29[],4,FALSE)</f>
        <v>Africa</v>
      </c>
      <c r="AT1847" s="233" t="str">
        <f>VLOOKUP(Table8[[#This Row],[Country Code]],Table29[],5,FALSE)</f>
        <v>High-income</v>
      </c>
      <c r="AU1847" s="233" t="str">
        <f>VLOOKUP(Table8[[#This Row],[Country Code]],Table29[],6,FALSE)</f>
        <v>no</v>
      </c>
      <c r="AV1847" s="233" t="str">
        <f>VLOOKUP(Table8[[#This Row],[Country Code]],Table29[],7,FALSE)</f>
        <v>no</v>
      </c>
      <c r="AW1847" s="233" t="str">
        <f>VLOOKUP(Table8[[#This Row],[Country Code]],Table29[],8,FALSE)</f>
        <v>non-OECD</v>
      </c>
      <c r="AX1847" s="233" t="str">
        <f>VLOOKUP(Table8[[#This Row],[Country Code]],Table29[],9,FALSE)</f>
        <v>no</v>
      </c>
      <c r="AY1847" s="233" t="str">
        <f>VLOOKUP(Table8[[#This Row],[Country Code]],Table29[],10,FALSE)</f>
        <v>no</v>
      </c>
      <c r="AZ1847" s="235">
        <f>VLOOKUP(Table8[[#This Row],[Country Code]],Table29[],23,FALSE)</f>
        <v>1.3387084460448999</v>
      </c>
      <c r="BA1847" s="235">
        <f>VLOOKUP(Table8[[#This Row],[Country Code]],Table29[],24,FALSE)</f>
        <v>0.72161504168930912</v>
      </c>
      <c r="BB1847" s="320"/>
      <c r="BC1847" s="320"/>
    </row>
    <row r="1848" spans="1:55" ht="30" hidden="1" x14ac:dyDescent="0.25">
      <c r="A1848" s="373">
        <v>21279</v>
      </c>
      <c r="B1848" s="233" t="str">
        <f>VLOOKUP(Table8[[#This Row],[Document ID]],Table1[],2,FALSE)</f>
        <v>SYC</v>
      </c>
      <c r="C1848" s="233" t="str">
        <f>VLOOKUP(Table8[[#This Row],[Document ID]],Table1[],3,FALSE)</f>
        <v>Seychelles</v>
      </c>
      <c r="D1848" s="243" t="str">
        <f>VLOOKUP(Table8[[#This Row],[Document ID]],Table1[],5,FALSE)</f>
        <v>NDC</v>
      </c>
      <c r="E1848" s="233" t="str">
        <f>VLOOKUP(Table8[[#This Row],[Document ID]],Table1[],7,FALSE)</f>
        <v>First NDC updated</v>
      </c>
      <c r="F1848" s="233" t="str">
        <f>VLOOKUP(Table8[[#This Row],[Document ID]],Table1[],8,FALSE)</f>
        <v>NDC 1.1</v>
      </c>
      <c r="G1848" s="233" t="str">
        <f>VLOOKUP(Table8[[#This Row],[Document ID]],Table1[],10,FALSE)</f>
        <v>Active</v>
      </c>
      <c r="H1848" s="43" t="s">
        <v>2484</v>
      </c>
      <c r="I1848" s="43" t="s">
        <v>2485</v>
      </c>
      <c r="J1848" s="44" t="s">
        <v>2486</v>
      </c>
      <c r="K1848" s="44" t="s">
        <v>4034</v>
      </c>
      <c r="L1848" s="44" t="s">
        <v>2373</v>
      </c>
      <c r="M1848" s="43">
        <v>24</v>
      </c>
      <c r="N1848" s="113"/>
      <c r="O1848" s="113"/>
      <c r="P1848" s="113"/>
      <c r="Q1848" s="113"/>
      <c r="R1848" s="113"/>
      <c r="S1848" s="113"/>
      <c r="T1848" s="113"/>
      <c r="U1848" s="113"/>
      <c r="V1848" s="113"/>
      <c r="W1848" s="113"/>
      <c r="X1848" s="113"/>
      <c r="Y1848" s="113"/>
      <c r="Z1848" s="113"/>
      <c r="AA1848" s="113"/>
      <c r="AB1848" s="113"/>
      <c r="AC1848" s="113"/>
      <c r="AD1848" s="113" t="s">
        <v>1113</v>
      </c>
      <c r="AE1848" s="113"/>
      <c r="AF1848" s="113"/>
      <c r="AG1848" s="113"/>
      <c r="AH1848" s="113"/>
      <c r="AI1848" s="113"/>
      <c r="AJ1848" s="113"/>
      <c r="AK1848" s="113"/>
      <c r="AL1848" s="113"/>
      <c r="AM1848" s="113"/>
      <c r="AN1848" s="113"/>
      <c r="AO1848" s="44" t="s">
        <v>2334</v>
      </c>
      <c r="AP1848" s="43"/>
      <c r="AQ1848" s="236" t="str">
        <f>VLOOKUP(Table8[[#This Row],[Instrument]],Def_Targets!$D$73:$E$159,2,FALSE)</f>
        <v>I_Shipping</v>
      </c>
      <c r="AR1848" s="233" t="str">
        <f>VLOOKUP(Table8[[#This Row],[Country Code]],Table29[],3,FALSE)</f>
        <v>Non-Annex I</v>
      </c>
      <c r="AS1848" s="233" t="str">
        <f>VLOOKUP(Table8[[#This Row],[Country Code]],Table29[],4,FALSE)</f>
        <v>Africa</v>
      </c>
      <c r="AT1848" s="233" t="str">
        <f>VLOOKUP(Table8[[#This Row],[Country Code]],Table29[],5,FALSE)</f>
        <v>High-income</v>
      </c>
      <c r="AU1848" s="233" t="str">
        <f>VLOOKUP(Table8[[#This Row],[Country Code]],Table29[],6,FALSE)</f>
        <v>no</v>
      </c>
      <c r="AV1848" s="233" t="str">
        <f>VLOOKUP(Table8[[#This Row],[Country Code]],Table29[],7,FALSE)</f>
        <v>no</v>
      </c>
      <c r="AW1848" s="233" t="str">
        <f>VLOOKUP(Table8[[#This Row],[Country Code]],Table29[],8,FALSE)</f>
        <v>non-OECD</v>
      </c>
      <c r="AX1848" s="233" t="str">
        <f>VLOOKUP(Table8[[#This Row],[Country Code]],Table29[],9,FALSE)</f>
        <v>no</v>
      </c>
      <c r="AY1848" s="233" t="str">
        <f>VLOOKUP(Table8[[#This Row],[Country Code]],Table29[],10,FALSE)</f>
        <v>no</v>
      </c>
      <c r="AZ1848" s="235">
        <f>VLOOKUP(Table8[[#This Row],[Country Code]],Table29[],23,FALSE)</f>
        <v>1.3387084460448999</v>
      </c>
      <c r="BA1848" s="235">
        <f>VLOOKUP(Table8[[#This Row],[Country Code]],Table29[],24,FALSE)</f>
        <v>0.72161504168930912</v>
      </c>
      <c r="BB1848" s="320"/>
      <c r="BC1848" s="320"/>
    </row>
    <row r="1849" spans="1:55" ht="75" hidden="1" x14ac:dyDescent="0.25">
      <c r="A1849" s="373">
        <v>21279</v>
      </c>
      <c r="B1849" s="233" t="str">
        <f>VLOOKUP(Table8[[#This Row],[Document ID]],Table1[],2,FALSE)</f>
        <v>SYC</v>
      </c>
      <c r="C1849" s="233" t="str">
        <f>VLOOKUP(Table8[[#This Row],[Document ID]],Table1[],3,FALSE)</f>
        <v>Seychelles</v>
      </c>
      <c r="D1849" s="243" t="str">
        <f>VLOOKUP(Table8[[#This Row],[Document ID]],Table1[],5,FALSE)</f>
        <v>NDC</v>
      </c>
      <c r="E1849" s="233" t="str">
        <f>VLOOKUP(Table8[[#This Row],[Document ID]],Table1[],7,FALSE)</f>
        <v>First NDC updated</v>
      </c>
      <c r="F1849" s="233" t="str">
        <f>VLOOKUP(Table8[[#This Row],[Document ID]],Table1[],8,FALSE)</f>
        <v>NDC 1.1</v>
      </c>
      <c r="G1849" s="233" t="str">
        <f>VLOOKUP(Table8[[#This Row],[Document ID]],Table1[],10,FALSE)</f>
        <v>Active</v>
      </c>
      <c r="H1849" s="43" t="s">
        <v>2358</v>
      </c>
      <c r="I1849" s="43" t="s">
        <v>2359</v>
      </c>
      <c r="J1849" s="44" t="s">
        <v>2360</v>
      </c>
      <c r="K1849" s="44" t="s">
        <v>4035</v>
      </c>
      <c r="L1849" s="44" t="s">
        <v>2471</v>
      </c>
      <c r="M1849" s="43">
        <v>24</v>
      </c>
      <c r="N1849" s="113"/>
      <c r="O1849" s="113"/>
      <c r="P1849" s="113"/>
      <c r="Q1849" s="113"/>
      <c r="R1849" s="113"/>
      <c r="S1849" s="113"/>
      <c r="T1849" s="113"/>
      <c r="U1849" s="113"/>
      <c r="V1849" s="113"/>
      <c r="W1849" s="113"/>
      <c r="X1849" s="113"/>
      <c r="Y1849" s="113" t="s">
        <v>1113</v>
      </c>
      <c r="Z1849" s="113"/>
      <c r="AA1849" s="113"/>
      <c r="AB1849" s="113"/>
      <c r="AC1849" s="113" t="s">
        <v>1113</v>
      </c>
      <c r="AD1849" s="113"/>
      <c r="AE1849" s="113"/>
      <c r="AF1849" s="113"/>
      <c r="AG1849" s="113"/>
      <c r="AH1849" s="113"/>
      <c r="AI1849" s="113"/>
      <c r="AJ1849" s="113"/>
      <c r="AK1849" s="113" t="s">
        <v>1113</v>
      </c>
      <c r="AL1849" s="113"/>
      <c r="AM1849" s="113"/>
      <c r="AN1849" s="113"/>
      <c r="AO1849" s="43" t="s">
        <v>2477</v>
      </c>
      <c r="AP1849" s="43"/>
      <c r="AQ1849" s="236" t="str">
        <f>VLOOKUP(Table8[[#This Row],[Instrument]],Def_Targets!$D$73:$E$159,2,FALSE)</f>
        <v>I_Emobility</v>
      </c>
      <c r="AR1849" s="233" t="str">
        <f>VLOOKUP(Table8[[#This Row],[Country Code]],Table29[],3,FALSE)</f>
        <v>Non-Annex I</v>
      </c>
      <c r="AS1849" s="233" t="str">
        <f>VLOOKUP(Table8[[#This Row],[Country Code]],Table29[],4,FALSE)</f>
        <v>Africa</v>
      </c>
      <c r="AT1849" s="233" t="str">
        <f>VLOOKUP(Table8[[#This Row],[Country Code]],Table29[],5,FALSE)</f>
        <v>High-income</v>
      </c>
      <c r="AU1849" s="233" t="str">
        <f>VLOOKUP(Table8[[#This Row],[Country Code]],Table29[],6,FALSE)</f>
        <v>no</v>
      </c>
      <c r="AV1849" s="233" t="str">
        <f>VLOOKUP(Table8[[#This Row],[Country Code]],Table29[],7,FALSE)</f>
        <v>no</v>
      </c>
      <c r="AW1849" s="233" t="str">
        <f>VLOOKUP(Table8[[#This Row],[Country Code]],Table29[],8,FALSE)</f>
        <v>non-OECD</v>
      </c>
      <c r="AX1849" s="233" t="str">
        <f>VLOOKUP(Table8[[#This Row],[Country Code]],Table29[],9,FALSE)</f>
        <v>no</v>
      </c>
      <c r="AY1849" s="233" t="str">
        <f>VLOOKUP(Table8[[#This Row],[Country Code]],Table29[],10,FALSE)</f>
        <v>no</v>
      </c>
      <c r="AZ1849" s="235">
        <f>VLOOKUP(Table8[[#This Row],[Country Code]],Table29[],23,FALSE)</f>
        <v>1.3387084460448999</v>
      </c>
      <c r="BA1849" s="235">
        <f>VLOOKUP(Table8[[#This Row],[Country Code]],Table29[],24,FALSE)</f>
        <v>0.72161504168930912</v>
      </c>
      <c r="BB1849" s="320"/>
      <c r="BC1849" s="320"/>
    </row>
    <row r="1850" spans="1:55" hidden="1" x14ac:dyDescent="0.25">
      <c r="A1850" s="373">
        <v>21279</v>
      </c>
      <c r="B1850" s="233" t="str">
        <f>VLOOKUP(Table8[[#This Row],[Document ID]],Table1[],2,FALSE)</f>
        <v>SYC</v>
      </c>
      <c r="C1850" s="233" t="str">
        <f>VLOOKUP(Table8[[#This Row],[Document ID]],Table1[],3,FALSE)</f>
        <v>Seychelles</v>
      </c>
      <c r="D1850" s="243" t="str">
        <f>VLOOKUP(Table8[[#This Row],[Document ID]],Table1[],5,FALSE)</f>
        <v>NDC</v>
      </c>
      <c r="E1850" s="233" t="str">
        <f>VLOOKUP(Table8[[#This Row],[Document ID]],Table1[],7,FALSE)</f>
        <v>First NDC updated</v>
      </c>
      <c r="F1850" s="233" t="str">
        <f>VLOOKUP(Table8[[#This Row],[Document ID]],Table1[],8,FALSE)</f>
        <v>NDC 1.1</v>
      </c>
      <c r="G1850" s="233" t="str">
        <f>VLOOKUP(Table8[[#This Row],[Document ID]],Table1[],10,FALSE)</f>
        <v>Active</v>
      </c>
      <c r="H1850" s="43" t="s">
        <v>2358</v>
      </c>
      <c r="I1850" s="43" t="s">
        <v>2359</v>
      </c>
      <c r="J1850" s="44" t="s">
        <v>2360</v>
      </c>
      <c r="K1850" s="44" t="s">
        <v>4036</v>
      </c>
      <c r="L1850" s="44" t="s">
        <v>2333</v>
      </c>
      <c r="M1850" s="43">
        <v>24</v>
      </c>
      <c r="N1850" s="113" t="s">
        <v>1113</v>
      </c>
      <c r="O1850" s="113"/>
      <c r="P1850" s="113"/>
      <c r="Q1850" s="113"/>
      <c r="R1850" s="113"/>
      <c r="S1850" s="113"/>
      <c r="T1850" s="113"/>
      <c r="U1850" s="113"/>
      <c r="V1850" s="113"/>
      <c r="W1850" s="113"/>
      <c r="X1850" s="113"/>
      <c r="Y1850" s="113"/>
      <c r="Z1850" s="113"/>
      <c r="AA1850" s="113"/>
      <c r="AB1850" s="113"/>
      <c r="AC1850" s="113"/>
      <c r="AD1850" s="113"/>
      <c r="AE1850" s="113"/>
      <c r="AF1850" s="113"/>
      <c r="AG1850" s="113"/>
      <c r="AH1850" s="113"/>
      <c r="AI1850" s="113"/>
      <c r="AJ1850" s="113"/>
      <c r="AK1850" s="113" t="s">
        <v>1113</v>
      </c>
      <c r="AL1850" s="113"/>
      <c r="AM1850" s="113"/>
      <c r="AN1850" s="113"/>
      <c r="AO1850" s="44" t="s">
        <v>2334</v>
      </c>
      <c r="AP1850" s="43"/>
      <c r="AQ1850" s="236" t="str">
        <f>VLOOKUP(Table8[[#This Row],[Instrument]],Def_Targets!$D$73:$E$159,2,FALSE)</f>
        <v>I_Emobility</v>
      </c>
      <c r="AR1850" s="233" t="str">
        <f>VLOOKUP(Table8[[#This Row],[Country Code]],Table29[],3,FALSE)</f>
        <v>Non-Annex I</v>
      </c>
      <c r="AS1850" s="233" t="str">
        <f>VLOOKUP(Table8[[#This Row],[Country Code]],Table29[],4,FALSE)</f>
        <v>Africa</v>
      </c>
      <c r="AT1850" s="233" t="str">
        <f>VLOOKUP(Table8[[#This Row],[Country Code]],Table29[],5,FALSE)</f>
        <v>High-income</v>
      </c>
      <c r="AU1850" s="233" t="str">
        <f>VLOOKUP(Table8[[#This Row],[Country Code]],Table29[],6,FALSE)</f>
        <v>no</v>
      </c>
      <c r="AV1850" s="233" t="str">
        <f>VLOOKUP(Table8[[#This Row],[Country Code]],Table29[],7,FALSE)</f>
        <v>no</v>
      </c>
      <c r="AW1850" s="233" t="str">
        <f>VLOOKUP(Table8[[#This Row],[Country Code]],Table29[],8,FALSE)</f>
        <v>non-OECD</v>
      </c>
      <c r="AX1850" s="233" t="str">
        <f>VLOOKUP(Table8[[#This Row],[Country Code]],Table29[],9,FALSE)</f>
        <v>no</v>
      </c>
      <c r="AY1850" s="233" t="str">
        <f>VLOOKUP(Table8[[#This Row],[Country Code]],Table29[],10,FALSE)</f>
        <v>no</v>
      </c>
      <c r="AZ1850" s="235">
        <f>VLOOKUP(Table8[[#This Row],[Country Code]],Table29[],23,FALSE)</f>
        <v>1.3387084460448999</v>
      </c>
      <c r="BA1850" s="235">
        <f>VLOOKUP(Table8[[#This Row],[Country Code]],Table29[],24,FALSE)</f>
        <v>0.72161504168930912</v>
      </c>
      <c r="BB1850" s="320"/>
      <c r="BC1850" s="320"/>
    </row>
    <row r="1851" spans="1:55" hidden="1" x14ac:dyDescent="0.25">
      <c r="A1851" s="373">
        <v>21279</v>
      </c>
      <c r="B1851" s="233" t="str">
        <f>VLOOKUP(Table8[[#This Row],[Document ID]],Table1[],2,FALSE)</f>
        <v>SYC</v>
      </c>
      <c r="C1851" s="233" t="str">
        <f>VLOOKUP(Table8[[#This Row],[Document ID]],Table1[],3,FALSE)</f>
        <v>Seychelles</v>
      </c>
      <c r="D1851" s="243" t="str">
        <f>VLOOKUP(Table8[[#This Row],[Document ID]],Table1[],5,FALSE)</f>
        <v>NDC</v>
      </c>
      <c r="E1851" s="233" t="str">
        <f>VLOOKUP(Table8[[#This Row],[Document ID]],Table1[],7,FALSE)</f>
        <v>First NDC updated</v>
      </c>
      <c r="F1851" s="233" t="str">
        <f>VLOOKUP(Table8[[#This Row],[Document ID]],Table1[],8,FALSE)</f>
        <v>NDC 1.1</v>
      </c>
      <c r="G1851" s="233" t="str">
        <f>VLOOKUP(Table8[[#This Row],[Document ID]],Table1[],10,FALSE)</f>
        <v>Active</v>
      </c>
      <c r="H1851" s="43" t="s">
        <v>2350</v>
      </c>
      <c r="I1851" s="43" t="s">
        <v>2407</v>
      </c>
      <c r="J1851" s="44" t="s">
        <v>2408</v>
      </c>
      <c r="K1851" s="44" t="s">
        <v>4036</v>
      </c>
      <c r="L1851" s="44" t="s">
        <v>2333</v>
      </c>
      <c r="M1851" s="43">
        <v>24</v>
      </c>
      <c r="N1851" s="113" t="s">
        <v>1113</v>
      </c>
      <c r="O1851" s="113"/>
      <c r="P1851" s="113"/>
      <c r="Q1851" s="113"/>
      <c r="R1851" s="113"/>
      <c r="S1851" s="113"/>
      <c r="T1851" s="113"/>
      <c r="U1851" s="113"/>
      <c r="V1851" s="113"/>
      <c r="W1851" s="113"/>
      <c r="X1851" s="113"/>
      <c r="Y1851" s="113"/>
      <c r="Z1851" s="113"/>
      <c r="AA1851" s="113"/>
      <c r="AB1851" s="113"/>
      <c r="AC1851" s="113"/>
      <c r="AD1851" s="113"/>
      <c r="AE1851" s="113"/>
      <c r="AF1851" s="113"/>
      <c r="AG1851" s="113"/>
      <c r="AH1851" s="113"/>
      <c r="AI1851" s="113"/>
      <c r="AJ1851" s="113"/>
      <c r="AK1851" s="113" t="s">
        <v>1113</v>
      </c>
      <c r="AL1851" s="113"/>
      <c r="AM1851" s="113"/>
      <c r="AN1851" s="113"/>
      <c r="AO1851" s="44" t="s">
        <v>2334</v>
      </c>
      <c r="AP1851" s="43"/>
      <c r="AQ1851" s="236" t="str">
        <f>VLOOKUP(Table8[[#This Row],[Instrument]],Def_Targets!$D$73:$E$159,2,FALSE)</f>
        <v>I_Education</v>
      </c>
      <c r="AR1851" s="233" t="str">
        <f>VLOOKUP(Table8[[#This Row],[Country Code]],Table29[],3,FALSE)</f>
        <v>Non-Annex I</v>
      </c>
      <c r="AS1851" s="233" t="str">
        <f>VLOOKUP(Table8[[#This Row],[Country Code]],Table29[],4,FALSE)</f>
        <v>Africa</v>
      </c>
      <c r="AT1851" s="233" t="str">
        <f>VLOOKUP(Table8[[#This Row],[Country Code]],Table29[],5,FALSE)</f>
        <v>High-income</v>
      </c>
      <c r="AU1851" s="233" t="str">
        <f>VLOOKUP(Table8[[#This Row],[Country Code]],Table29[],6,FALSE)</f>
        <v>no</v>
      </c>
      <c r="AV1851" s="233" t="str">
        <f>VLOOKUP(Table8[[#This Row],[Country Code]],Table29[],7,FALSE)</f>
        <v>no</v>
      </c>
      <c r="AW1851" s="233" t="str">
        <f>VLOOKUP(Table8[[#This Row],[Country Code]],Table29[],8,FALSE)</f>
        <v>non-OECD</v>
      </c>
      <c r="AX1851" s="233" t="str">
        <f>VLOOKUP(Table8[[#This Row],[Country Code]],Table29[],9,FALSE)</f>
        <v>no</v>
      </c>
      <c r="AY1851" s="233" t="str">
        <f>VLOOKUP(Table8[[#This Row],[Country Code]],Table29[],10,FALSE)</f>
        <v>no</v>
      </c>
      <c r="AZ1851" s="235">
        <f>VLOOKUP(Table8[[#This Row],[Country Code]],Table29[],23,FALSE)</f>
        <v>1.3387084460448999</v>
      </c>
      <c r="BA1851" s="235">
        <f>VLOOKUP(Table8[[#This Row],[Country Code]],Table29[],24,FALSE)</f>
        <v>0.72161504168930912</v>
      </c>
      <c r="BB1851" s="320"/>
      <c r="BC1851" s="320"/>
    </row>
    <row r="1852" spans="1:55" ht="30" hidden="1" x14ac:dyDescent="0.25">
      <c r="A1852" s="373">
        <v>21279</v>
      </c>
      <c r="B1852" s="233" t="str">
        <f>VLOOKUP(Table8[[#This Row],[Document ID]],Table1[],2,FALSE)</f>
        <v>SYC</v>
      </c>
      <c r="C1852" s="233" t="str">
        <f>VLOOKUP(Table8[[#This Row],[Document ID]],Table1[],3,FALSE)</f>
        <v>Seychelles</v>
      </c>
      <c r="D1852" s="243" t="str">
        <f>VLOOKUP(Table8[[#This Row],[Document ID]],Table1[],5,FALSE)</f>
        <v>NDC</v>
      </c>
      <c r="E1852" s="233" t="str">
        <f>VLOOKUP(Table8[[#This Row],[Document ID]],Table1[],7,FALSE)</f>
        <v>First NDC updated</v>
      </c>
      <c r="F1852" s="233" t="str">
        <f>VLOOKUP(Table8[[#This Row],[Document ID]],Table1[],8,FALSE)</f>
        <v>NDC 1.1</v>
      </c>
      <c r="G1852" s="233" t="str">
        <f>VLOOKUP(Table8[[#This Row],[Document ID]],Table1[],10,FALSE)</f>
        <v>Active</v>
      </c>
      <c r="H1852" s="43" t="s">
        <v>2358</v>
      </c>
      <c r="I1852" s="43" t="s">
        <v>2359</v>
      </c>
      <c r="J1852" s="44" t="s">
        <v>2383</v>
      </c>
      <c r="K1852" s="44" t="s">
        <v>4037</v>
      </c>
      <c r="L1852" s="44" t="s">
        <v>2333</v>
      </c>
      <c r="M1852" s="43">
        <v>25</v>
      </c>
      <c r="N1852" s="113" t="s">
        <v>1113</v>
      </c>
      <c r="O1852" s="113"/>
      <c r="P1852" s="113"/>
      <c r="Q1852" s="113"/>
      <c r="R1852" s="113"/>
      <c r="S1852" s="113"/>
      <c r="T1852" s="113"/>
      <c r="U1852" s="113"/>
      <c r="V1852" s="113"/>
      <c r="W1852" s="113"/>
      <c r="X1852" s="113"/>
      <c r="Y1852" s="113"/>
      <c r="Z1852" s="113"/>
      <c r="AA1852" s="113"/>
      <c r="AB1852" s="113"/>
      <c r="AC1852" s="113"/>
      <c r="AD1852" s="113"/>
      <c r="AE1852" s="113"/>
      <c r="AF1852" s="113"/>
      <c r="AG1852" s="113"/>
      <c r="AH1852" s="113"/>
      <c r="AI1852" s="113"/>
      <c r="AJ1852" s="113"/>
      <c r="AK1852" s="113" t="s">
        <v>1113</v>
      </c>
      <c r="AL1852" s="113"/>
      <c r="AM1852" s="113"/>
      <c r="AN1852" s="113"/>
      <c r="AO1852" s="44" t="s">
        <v>2334</v>
      </c>
      <c r="AP1852" s="43"/>
      <c r="AQ1852" s="236" t="str">
        <f>VLOOKUP(Table8[[#This Row],[Instrument]],Def_Targets!$D$73:$E$159,2,FALSE)</f>
        <v>I_Emobilitycharging</v>
      </c>
      <c r="AR1852" s="233" t="str">
        <f>VLOOKUP(Table8[[#This Row],[Country Code]],Table29[],3,FALSE)</f>
        <v>Non-Annex I</v>
      </c>
      <c r="AS1852" s="233" t="str">
        <f>VLOOKUP(Table8[[#This Row],[Country Code]],Table29[],4,FALSE)</f>
        <v>Africa</v>
      </c>
      <c r="AT1852" s="233" t="str">
        <f>VLOOKUP(Table8[[#This Row],[Country Code]],Table29[],5,FALSE)</f>
        <v>High-income</v>
      </c>
      <c r="AU1852" s="233" t="str">
        <f>VLOOKUP(Table8[[#This Row],[Country Code]],Table29[],6,FALSE)</f>
        <v>no</v>
      </c>
      <c r="AV1852" s="233" t="str">
        <f>VLOOKUP(Table8[[#This Row],[Country Code]],Table29[],7,FALSE)</f>
        <v>no</v>
      </c>
      <c r="AW1852" s="233" t="str">
        <f>VLOOKUP(Table8[[#This Row],[Country Code]],Table29[],8,FALSE)</f>
        <v>non-OECD</v>
      </c>
      <c r="AX1852" s="233" t="str">
        <f>VLOOKUP(Table8[[#This Row],[Country Code]],Table29[],9,FALSE)</f>
        <v>no</v>
      </c>
      <c r="AY1852" s="233" t="str">
        <f>VLOOKUP(Table8[[#This Row],[Country Code]],Table29[],10,FALSE)</f>
        <v>no</v>
      </c>
      <c r="AZ1852" s="235">
        <f>VLOOKUP(Table8[[#This Row],[Country Code]],Table29[],23,FALSE)</f>
        <v>1.3387084460448999</v>
      </c>
      <c r="BA1852" s="235">
        <f>VLOOKUP(Table8[[#This Row],[Country Code]],Table29[],24,FALSE)</f>
        <v>0.72161504168930912</v>
      </c>
      <c r="BB1852" s="320"/>
      <c r="BC1852" s="320"/>
    </row>
    <row r="1853" spans="1:55" ht="30" hidden="1" x14ac:dyDescent="0.25">
      <c r="A1853" s="360">
        <v>17730</v>
      </c>
      <c r="B1853" s="233" t="str">
        <f>VLOOKUP(Table8[[#This Row],[Document ID]],Table1[],2,FALSE)</f>
        <v>SLE</v>
      </c>
      <c r="C1853" s="233" t="str">
        <f>VLOOKUP(Table8[[#This Row],[Document ID]],Table1[],3,FALSE)</f>
        <v>Sierra Leone</v>
      </c>
      <c r="D1853" s="233" t="str">
        <f>VLOOKUP(Table8[[#This Row],[Document ID]],Table1[],5,FALSE)</f>
        <v>NDC</v>
      </c>
      <c r="E1853" s="233" t="str">
        <f>VLOOKUP(Table8[[#This Row],[Document ID]],Table1[],7,FALSE)</f>
        <v>First NDC</v>
      </c>
      <c r="F1853" s="233" t="str">
        <f>VLOOKUP(Table8[[#This Row],[Document ID]],Table1[],8,FALSE)</f>
        <v>NDC 1.0</v>
      </c>
      <c r="G1853" s="233" t="str">
        <f>VLOOKUP(Table8[[#This Row],[Document ID]],Table1[],10,FALSE)</f>
        <v>Archived</v>
      </c>
      <c r="H1853" s="43" t="s">
        <v>2350</v>
      </c>
      <c r="I1853" s="43" t="s">
        <v>2456</v>
      </c>
      <c r="J1853" s="44" t="s">
        <v>2457</v>
      </c>
      <c r="K1853" s="44" t="s">
        <v>4038</v>
      </c>
      <c r="L1853" s="44" t="s">
        <v>2347</v>
      </c>
      <c r="M1853" s="43"/>
      <c r="N1853" s="113" t="s">
        <v>1113</v>
      </c>
      <c r="O1853" s="113"/>
      <c r="P1853" s="113"/>
      <c r="Q1853" s="113"/>
      <c r="R1853" s="113"/>
      <c r="S1853" s="113"/>
      <c r="T1853" s="113"/>
      <c r="U1853" s="113"/>
      <c r="V1853" s="113"/>
      <c r="W1853" s="113"/>
      <c r="X1853" s="113"/>
      <c r="Y1853" s="113"/>
      <c r="Z1853" s="113"/>
      <c r="AA1853" s="113"/>
      <c r="AB1853" s="113"/>
      <c r="AC1853" s="113"/>
      <c r="AD1853" s="113"/>
      <c r="AE1853" s="113"/>
      <c r="AF1853" s="113"/>
      <c r="AG1853" s="113"/>
      <c r="AH1853" s="113"/>
      <c r="AI1853" s="113"/>
      <c r="AJ1853" s="113"/>
      <c r="AK1853" s="113" t="s">
        <v>1113</v>
      </c>
      <c r="AL1853" s="113"/>
      <c r="AM1853" s="113"/>
      <c r="AN1853" s="113"/>
      <c r="AO1853" s="44" t="s">
        <v>2334</v>
      </c>
      <c r="AP1853" s="43"/>
      <c r="AQ1853" s="236" t="str">
        <f>VLOOKUP(Table8[[#This Row],[Instrument]],Def_Targets!$D$73:$E$159,2,FALSE)</f>
        <v>S_Infraimprove</v>
      </c>
      <c r="AR1853" s="233" t="str">
        <f>VLOOKUP(Table8[[#This Row],[Country Code]],Table29[],3,FALSE)</f>
        <v>Non-Annex I</v>
      </c>
      <c r="AS1853" s="233" t="str">
        <f>VLOOKUP(Table8[[#This Row],[Country Code]],Table29[],4,FALSE)</f>
        <v>Africa</v>
      </c>
      <c r="AT1853" s="233" t="str">
        <f>VLOOKUP(Table8[[#This Row],[Country Code]],Table29[],5,FALSE)</f>
        <v>Low-income</v>
      </c>
      <c r="AU1853" s="233" t="str">
        <f>VLOOKUP(Table8[[#This Row],[Country Code]],Table29[],6,FALSE)</f>
        <v>no</v>
      </c>
      <c r="AV1853" s="233" t="str">
        <f>VLOOKUP(Table8[[#This Row],[Country Code]],Table29[],7,FALSE)</f>
        <v>no</v>
      </c>
      <c r="AW1853" s="233" t="str">
        <f>VLOOKUP(Table8[[#This Row],[Country Code]],Table29[],8,FALSE)</f>
        <v>non-OECD</v>
      </c>
      <c r="AX1853" s="233" t="str">
        <f>VLOOKUP(Table8[[#This Row],[Country Code]],Table29[],9,FALSE)</f>
        <v>no</v>
      </c>
      <c r="AY1853" s="233" t="str">
        <f>VLOOKUP(Table8[[#This Row],[Country Code]],Table29[],10,FALSE)</f>
        <v>no</v>
      </c>
      <c r="AZ1853" s="235">
        <f>VLOOKUP(Table8[[#This Row],[Country Code]],Table29[],23,FALSE)</f>
        <v>6.9377160598997998</v>
      </c>
      <c r="BA1853" s="235">
        <f>VLOOKUP(Table8[[#This Row],[Country Code]],Table29[],24,FALSE)</f>
        <v>0.537288258748986</v>
      </c>
      <c r="BB1853" s="320"/>
      <c r="BC1853" s="320"/>
    </row>
    <row r="1854" spans="1:55" ht="30" hidden="1" x14ac:dyDescent="0.25">
      <c r="A1854" s="360">
        <v>17730</v>
      </c>
      <c r="B1854" s="233" t="str">
        <f>VLOOKUP(Table8[[#This Row],[Document ID]],Table1[],2,FALSE)</f>
        <v>SLE</v>
      </c>
      <c r="C1854" s="233" t="str">
        <f>VLOOKUP(Table8[[#This Row],[Document ID]],Table1[],3,FALSE)</f>
        <v>Sierra Leone</v>
      </c>
      <c r="D1854" s="233" t="str">
        <f>VLOOKUP(Table8[[#This Row],[Document ID]],Table1[],5,FALSE)</f>
        <v>NDC</v>
      </c>
      <c r="E1854" s="233" t="str">
        <f>VLOOKUP(Table8[[#This Row],[Document ID]],Table1[],7,FALSE)</f>
        <v>First NDC</v>
      </c>
      <c r="F1854" s="233" t="str">
        <f>VLOOKUP(Table8[[#This Row],[Document ID]],Table1[],8,FALSE)</f>
        <v>NDC 1.0</v>
      </c>
      <c r="G1854" s="233" t="str">
        <f>VLOOKUP(Table8[[#This Row],[Document ID]],Table1[],10,FALSE)</f>
        <v>Archived</v>
      </c>
      <c r="H1854" s="43" t="s">
        <v>2343</v>
      </c>
      <c r="I1854" s="43" t="s">
        <v>2344</v>
      </c>
      <c r="J1854" s="44" t="s">
        <v>2345</v>
      </c>
      <c r="K1854" s="44" t="s">
        <v>4039</v>
      </c>
      <c r="L1854" s="44" t="s">
        <v>2347</v>
      </c>
      <c r="M1854" s="43"/>
      <c r="N1854" s="113"/>
      <c r="O1854" s="113"/>
      <c r="P1854" s="113"/>
      <c r="Q1854" s="113"/>
      <c r="R1854" s="113"/>
      <c r="S1854" s="113" t="s">
        <v>1113</v>
      </c>
      <c r="T1854" s="113"/>
      <c r="U1854" s="113"/>
      <c r="V1854" s="113"/>
      <c r="W1854" s="113"/>
      <c r="X1854" s="113"/>
      <c r="Y1854" s="113" t="s">
        <v>1113</v>
      </c>
      <c r="Z1854" s="113"/>
      <c r="AA1854" s="113"/>
      <c r="AB1854" s="113"/>
      <c r="AC1854" s="113" t="s">
        <v>1113</v>
      </c>
      <c r="AD1854" s="113"/>
      <c r="AE1854" s="113"/>
      <c r="AF1854" s="113"/>
      <c r="AG1854" s="113"/>
      <c r="AH1854" s="113"/>
      <c r="AI1854" s="113"/>
      <c r="AJ1854" s="113"/>
      <c r="AK1854" s="113" t="s">
        <v>1113</v>
      </c>
      <c r="AL1854" s="113"/>
      <c r="AM1854" s="113"/>
      <c r="AN1854" s="113"/>
      <c r="AO1854" s="43" t="s">
        <v>2348</v>
      </c>
      <c r="AP1854" s="43"/>
      <c r="AQ1854" s="236" t="str">
        <f>VLOOKUP(Table8[[#This Row],[Instrument]],Def_Targets!$D$73:$E$159,2,FALSE)</f>
        <v>S_PublicTransport</v>
      </c>
      <c r="AR1854" s="233" t="str">
        <f>VLOOKUP(Table8[[#This Row],[Country Code]],Table29[],3,FALSE)</f>
        <v>Non-Annex I</v>
      </c>
      <c r="AS1854" s="233" t="str">
        <f>VLOOKUP(Table8[[#This Row],[Country Code]],Table29[],4,FALSE)</f>
        <v>Africa</v>
      </c>
      <c r="AT1854" s="233" t="str">
        <f>VLOOKUP(Table8[[#This Row],[Country Code]],Table29[],5,FALSE)</f>
        <v>Low-income</v>
      </c>
      <c r="AU1854" s="233" t="str">
        <f>VLOOKUP(Table8[[#This Row],[Country Code]],Table29[],6,FALSE)</f>
        <v>no</v>
      </c>
      <c r="AV1854" s="233" t="str">
        <f>VLOOKUP(Table8[[#This Row],[Country Code]],Table29[],7,FALSE)</f>
        <v>no</v>
      </c>
      <c r="AW1854" s="233" t="str">
        <f>VLOOKUP(Table8[[#This Row],[Country Code]],Table29[],8,FALSE)</f>
        <v>non-OECD</v>
      </c>
      <c r="AX1854" s="233" t="str">
        <f>VLOOKUP(Table8[[#This Row],[Country Code]],Table29[],9,FALSE)</f>
        <v>no</v>
      </c>
      <c r="AY1854" s="233" t="str">
        <f>VLOOKUP(Table8[[#This Row],[Country Code]],Table29[],10,FALSE)</f>
        <v>no</v>
      </c>
      <c r="AZ1854" s="235">
        <f>VLOOKUP(Table8[[#This Row],[Country Code]],Table29[],23,FALSE)</f>
        <v>6.9377160598997998</v>
      </c>
      <c r="BA1854" s="235">
        <f>VLOOKUP(Table8[[#This Row],[Country Code]],Table29[],24,FALSE)</f>
        <v>0.537288258748986</v>
      </c>
      <c r="BB1854" s="320"/>
      <c r="BC1854" s="320"/>
    </row>
    <row r="1855" spans="1:55" ht="30" hidden="1" x14ac:dyDescent="0.25">
      <c r="A1855" s="360">
        <v>17730</v>
      </c>
      <c r="B1855" s="233" t="str">
        <f>VLOOKUP(Table8[[#This Row],[Document ID]],Table1[],2,FALSE)</f>
        <v>SLE</v>
      </c>
      <c r="C1855" s="233" t="str">
        <f>VLOOKUP(Table8[[#This Row],[Document ID]],Table1[],3,FALSE)</f>
        <v>Sierra Leone</v>
      </c>
      <c r="D1855" s="233" t="str">
        <f>VLOOKUP(Table8[[#This Row],[Document ID]],Table1[],5,FALSE)</f>
        <v>NDC</v>
      </c>
      <c r="E1855" s="233" t="str">
        <f>VLOOKUP(Table8[[#This Row],[Document ID]],Table1[],7,FALSE)</f>
        <v>First NDC</v>
      </c>
      <c r="F1855" s="233" t="str">
        <f>VLOOKUP(Table8[[#This Row],[Document ID]],Table1[],8,FALSE)</f>
        <v>NDC 1.0</v>
      </c>
      <c r="G1855" s="233" t="str">
        <f>VLOOKUP(Table8[[#This Row],[Document ID]],Table1[],10,FALSE)</f>
        <v>Archived</v>
      </c>
      <c r="H1855" s="43" t="s">
        <v>2350</v>
      </c>
      <c r="I1855" s="43" t="s">
        <v>2351</v>
      </c>
      <c r="J1855" s="44" t="s">
        <v>2352</v>
      </c>
      <c r="K1855" s="44" t="s">
        <v>4039</v>
      </c>
      <c r="L1855" s="44" t="s">
        <v>2347</v>
      </c>
      <c r="M1855" s="43"/>
      <c r="N1855" s="113"/>
      <c r="O1855" s="113"/>
      <c r="P1855" s="113"/>
      <c r="Q1855" s="113"/>
      <c r="R1855" s="113"/>
      <c r="S1855" s="113" t="s">
        <v>1113</v>
      </c>
      <c r="T1855" s="113"/>
      <c r="U1855" s="113"/>
      <c r="V1855" s="113"/>
      <c r="W1855" s="113"/>
      <c r="X1855" s="113"/>
      <c r="Y1855" s="113"/>
      <c r="Z1855" s="113" t="s">
        <v>1113</v>
      </c>
      <c r="AA1855" s="113"/>
      <c r="AB1855" s="113"/>
      <c r="AC1855" s="113"/>
      <c r="AD1855" s="113" t="s">
        <v>1113</v>
      </c>
      <c r="AE1855" s="113"/>
      <c r="AF1855" s="113"/>
      <c r="AG1855" s="113"/>
      <c r="AH1855" s="113"/>
      <c r="AI1855" s="113"/>
      <c r="AJ1855" s="113"/>
      <c r="AK1855" s="319" t="s">
        <v>1113</v>
      </c>
      <c r="AL1855" s="113"/>
      <c r="AM1855" s="113"/>
      <c r="AN1855" s="113"/>
      <c r="AO1855" s="43" t="s">
        <v>2353</v>
      </c>
      <c r="AP1855" s="43"/>
      <c r="AQ1855" s="236" t="str">
        <f>VLOOKUP(Table8[[#This Row],[Instrument]],Def_Targets!$D$73:$E$159,2,FALSE)</f>
        <v>S_Railfreight</v>
      </c>
      <c r="AR1855" s="233" t="str">
        <f>VLOOKUP(Table8[[#This Row],[Country Code]],Table29[],3,FALSE)</f>
        <v>Non-Annex I</v>
      </c>
      <c r="AS1855" s="233" t="str">
        <f>VLOOKUP(Table8[[#This Row],[Country Code]],Table29[],4,FALSE)</f>
        <v>Africa</v>
      </c>
      <c r="AT1855" s="233" t="str">
        <f>VLOOKUP(Table8[[#This Row],[Country Code]],Table29[],5,FALSE)</f>
        <v>Low-income</v>
      </c>
      <c r="AU1855" s="233" t="str">
        <f>VLOOKUP(Table8[[#This Row],[Country Code]],Table29[],6,FALSE)</f>
        <v>no</v>
      </c>
      <c r="AV1855" s="233" t="str">
        <f>VLOOKUP(Table8[[#This Row],[Country Code]],Table29[],7,FALSE)</f>
        <v>no</v>
      </c>
      <c r="AW1855" s="233" t="str">
        <f>VLOOKUP(Table8[[#This Row],[Country Code]],Table29[],8,FALSE)</f>
        <v>non-OECD</v>
      </c>
      <c r="AX1855" s="233" t="str">
        <f>VLOOKUP(Table8[[#This Row],[Country Code]],Table29[],9,FALSE)</f>
        <v>no</v>
      </c>
      <c r="AY1855" s="233" t="str">
        <f>VLOOKUP(Table8[[#This Row],[Country Code]],Table29[],10,FALSE)</f>
        <v>no</v>
      </c>
      <c r="AZ1855" s="235">
        <f>VLOOKUP(Table8[[#This Row],[Country Code]],Table29[],23,FALSE)</f>
        <v>6.9377160598997998</v>
      </c>
      <c r="BA1855" s="235">
        <f>VLOOKUP(Table8[[#This Row],[Country Code]],Table29[],24,FALSE)</f>
        <v>0.537288258748986</v>
      </c>
      <c r="BB1855" s="320"/>
      <c r="BC1855" s="320"/>
    </row>
    <row r="1856" spans="1:55" ht="30" hidden="1" x14ac:dyDescent="0.25">
      <c r="A1856" s="360">
        <v>17730</v>
      </c>
      <c r="B1856" s="233" t="str">
        <f>VLOOKUP(Table8[[#This Row],[Document ID]],Table1[],2,FALSE)</f>
        <v>SLE</v>
      </c>
      <c r="C1856" s="233" t="str">
        <f>VLOOKUP(Table8[[#This Row],[Document ID]],Table1[],3,FALSE)</f>
        <v>Sierra Leone</v>
      </c>
      <c r="D1856" s="233" t="str">
        <f>VLOOKUP(Table8[[#This Row],[Document ID]],Table1[],5,FALSE)</f>
        <v>NDC</v>
      </c>
      <c r="E1856" s="233" t="str">
        <f>VLOOKUP(Table8[[#This Row],[Document ID]],Table1[],7,FALSE)</f>
        <v>First NDC</v>
      </c>
      <c r="F1856" s="233" t="str">
        <f>VLOOKUP(Table8[[#This Row],[Document ID]],Table1[],8,FALSE)</f>
        <v>NDC 1.0</v>
      </c>
      <c r="G1856" s="233" t="str">
        <f>VLOOKUP(Table8[[#This Row],[Document ID]],Table1[],10,FALSE)</f>
        <v>Archived</v>
      </c>
      <c r="H1856" s="43" t="s">
        <v>2350</v>
      </c>
      <c r="I1856" s="43" t="s">
        <v>2370</v>
      </c>
      <c r="J1856" s="44" t="s">
        <v>2418</v>
      </c>
      <c r="K1856" s="44" t="s">
        <v>4040</v>
      </c>
      <c r="L1856" s="44" t="s">
        <v>2373</v>
      </c>
      <c r="M1856" s="43"/>
      <c r="N1856" s="113" t="s">
        <v>1113</v>
      </c>
      <c r="O1856" s="113"/>
      <c r="P1856" s="113"/>
      <c r="Q1856" s="113"/>
      <c r="R1856" s="113"/>
      <c r="S1856" s="113"/>
      <c r="T1856" s="113"/>
      <c r="U1856" s="113"/>
      <c r="V1856" s="113"/>
      <c r="W1856" s="113"/>
      <c r="X1856" s="113"/>
      <c r="Y1856" s="113"/>
      <c r="Z1856" s="113"/>
      <c r="AA1856" s="113"/>
      <c r="AB1856" s="113"/>
      <c r="AC1856" s="113"/>
      <c r="AD1856" s="113"/>
      <c r="AE1856" s="113"/>
      <c r="AF1856" s="113"/>
      <c r="AG1856" s="113"/>
      <c r="AH1856" s="113"/>
      <c r="AI1856" s="113"/>
      <c r="AJ1856" s="113"/>
      <c r="AK1856" s="113" t="s">
        <v>1113</v>
      </c>
      <c r="AL1856" s="113"/>
      <c r="AM1856" s="113"/>
      <c r="AN1856" s="113"/>
      <c r="AO1856" s="44" t="s">
        <v>2334</v>
      </c>
      <c r="AP1856" s="43"/>
      <c r="AQ1856" s="236" t="str">
        <f>VLOOKUP(Table8[[#This Row],[Instrument]],Def_Targets!$D$73:$E$159,2,FALSE)</f>
        <v>A_Complan</v>
      </c>
      <c r="AR1856" s="233" t="str">
        <f>VLOOKUP(Table8[[#This Row],[Country Code]],Table29[],3,FALSE)</f>
        <v>Non-Annex I</v>
      </c>
      <c r="AS1856" s="233" t="str">
        <f>VLOOKUP(Table8[[#This Row],[Country Code]],Table29[],4,FALSE)</f>
        <v>Africa</v>
      </c>
      <c r="AT1856" s="233" t="str">
        <f>VLOOKUP(Table8[[#This Row],[Country Code]],Table29[],5,FALSE)</f>
        <v>Low-income</v>
      </c>
      <c r="AU1856" s="233" t="str">
        <f>VLOOKUP(Table8[[#This Row],[Country Code]],Table29[],6,FALSE)</f>
        <v>no</v>
      </c>
      <c r="AV1856" s="233" t="str">
        <f>VLOOKUP(Table8[[#This Row],[Country Code]],Table29[],7,FALSE)</f>
        <v>no</v>
      </c>
      <c r="AW1856" s="233" t="str">
        <f>VLOOKUP(Table8[[#This Row],[Country Code]],Table29[],8,FALSE)</f>
        <v>non-OECD</v>
      </c>
      <c r="AX1856" s="233" t="str">
        <f>VLOOKUP(Table8[[#This Row],[Country Code]],Table29[],9,FALSE)</f>
        <v>no</v>
      </c>
      <c r="AY1856" s="233" t="str">
        <f>VLOOKUP(Table8[[#This Row],[Country Code]],Table29[],10,FALSE)</f>
        <v>no</v>
      </c>
      <c r="AZ1856" s="235">
        <f>VLOOKUP(Table8[[#This Row],[Country Code]],Table29[],23,FALSE)</f>
        <v>6.9377160598997998</v>
      </c>
      <c r="BA1856" s="235">
        <f>VLOOKUP(Table8[[#This Row],[Country Code]],Table29[],24,FALSE)</f>
        <v>0.537288258748986</v>
      </c>
      <c r="BB1856" s="320"/>
      <c r="BC1856" s="320"/>
    </row>
    <row r="1857" spans="1:55" hidden="1" x14ac:dyDescent="0.25">
      <c r="A1857" s="360">
        <v>17730</v>
      </c>
      <c r="B1857" s="233" t="str">
        <f>VLOOKUP(Table8[[#This Row],[Document ID]],Table1[],2,FALSE)</f>
        <v>SLE</v>
      </c>
      <c r="C1857" s="233" t="str">
        <f>VLOOKUP(Table8[[#This Row],[Document ID]],Table1[],3,FALSE)</f>
        <v>Sierra Leone</v>
      </c>
      <c r="D1857" s="233" t="str">
        <f>VLOOKUP(Table8[[#This Row],[Document ID]],Table1[],5,FALSE)</f>
        <v>NDC</v>
      </c>
      <c r="E1857" s="233" t="str">
        <f>VLOOKUP(Table8[[#This Row],[Document ID]],Table1[],7,FALSE)</f>
        <v>First NDC</v>
      </c>
      <c r="F1857" s="233" t="str">
        <f>VLOOKUP(Table8[[#This Row],[Document ID]],Table1[],8,FALSE)</f>
        <v>NDC 1.0</v>
      </c>
      <c r="G1857" s="233" t="str">
        <f>VLOOKUP(Table8[[#This Row],[Document ID]],Table1[],10,FALSE)</f>
        <v>Archived</v>
      </c>
      <c r="H1857" s="44" t="s">
        <v>2338</v>
      </c>
      <c r="I1857" s="44" t="s">
        <v>2339</v>
      </c>
      <c r="J1857" s="44" t="s">
        <v>2451</v>
      </c>
      <c r="K1857" s="44" t="s">
        <v>4041</v>
      </c>
      <c r="L1857" s="44" t="s">
        <v>2333</v>
      </c>
      <c r="M1857" s="43"/>
      <c r="N1857" s="113" t="s">
        <v>1113</v>
      </c>
      <c r="O1857" s="113"/>
      <c r="P1857" s="113"/>
      <c r="Q1857" s="113"/>
      <c r="R1857" s="113"/>
      <c r="S1857" s="113"/>
      <c r="T1857" s="113"/>
      <c r="U1857" s="113"/>
      <c r="V1857" s="113"/>
      <c r="W1857" s="113"/>
      <c r="X1857" s="113"/>
      <c r="Y1857" s="113"/>
      <c r="Z1857" s="113"/>
      <c r="AA1857" s="113"/>
      <c r="AB1857" s="113"/>
      <c r="AC1857" s="113"/>
      <c r="AD1857" s="113"/>
      <c r="AE1857" s="113"/>
      <c r="AF1857" s="113"/>
      <c r="AG1857" s="113"/>
      <c r="AH1857" s="113"/>
      <c r="AI1857" s="113"/>
      <c r="AJ1857" s="113"/>
      <c r="AK1857" s="113" t="s">
        <v>1113</v>
      </c>
      <c r="AL1857" s="113"/>
      <c r="AM1857" s="113"/>
      <c r="AN1857" s="113"/>
      <c r="AO1857" s="44" t="s">
        <v>2334</v>
      </c>
      <c r="AP1857" s="43"/>
      <c r="AQ1857" s="236" t="str">
        <f>VLOOKUP(Table8[[#This Row],[Instrument]],Def_Targets!$D$73:$E$159,2,FALSE)</f>
        <v>I_Inspection</v>
      </c>
      <c r="AR1857" s="233" t="str">
        <f>VLOOKUP(Table8[[#This Row],[Country Code]],Table29[],3,FALSE)</f>
        <v>Non-Annex I</v>
      </c>
      <c r="AS1857" s="233" t="str">
        <f>VLOOKUP(Table8[[#This Row],[Country Code]],Table29[],4,FALSE)</f>
        <v>Africa</v>
      </c>
      <c r="AT1857" s="233" t="str">
        <f>VLOOKUP(Table8[[#This Row],[Country Code]],Table29[],5,FALSE)</f>
        <v>Low-income</v>
      </c>
      <c r="AU1857" s="233" t="str">
        <f>VLOOKUP(Table8[[#This Row],[Country Code]],Table29[],6,FALSE)</f>
        <v>no</v>
      </c>
      <c r="AV1857" s="233" t="str">
        <f>VLOOKUP(Table8[[#This Row],[Country Code]],Table29[],7,FALSE)</f>
        <v>no</v>
      </c>
      <c r="AW1857" s="233" t="str">
        <f>VLOOKUP(Table8[[#This Row],[Country Code]],Table29[],8,FALSE)</f>
        <v>non-OECD</v>
      </c>
      <c r="AX1857" s="233" t="str">
        <f>VLOOKUP(Table8[[#This Row],[Country Code]],Table29[],9,FALSE)</f>
        <v>no</v>
      </c>
      <c r="AY1857" s="233" t="str">
        <f>VLOOKUP(Table8[[#This Row],[Country Code]],Table29[],10,FALSE)</f>
        <v>no</v>
      </c>
      <c r="AZ1857" s="235">
        <f>VLOOKUP(Table8[[#This Row],[Country Code]],Table29[],23,FALSE)</f>
        <v>6.9377160598997998</v>
      </c>
      <c r="BA1857" s="235">
        <f>VLOOKUP(Table8[[#This Row],[Country Code]],Table29[],24,FALSE)</f>
        <v>0.537288258748986</v>
      </c>
      <c r="BB1857" s="320"/>
      <c r="BC1857" s="320"/>
    </row>
    <row r="1858" spans="1:55" s="17" customFormat="1" ht="30" hidden="1" x14ac:dyDescent="0.25">
      <c r="A1858" s="373">
        <v>21385</v>
      </c>
      <c r="B1858" s="233" t="str">
        <f>VLOOKUP(Table8[[#This Row],[Document ID]],Table1[],2,FALSE)</f>
        <v>SLE</v>
      </c>
      <c r="C1858" s="233" t="str">
        <f>VLOOKUP(Table8[[#This Row],[Document ID]],Table1[],3,FALSE)</f>
        <v>Sierra Leone</v>
      </c>
      <c r="D1858" s="243" t="str">
        <f>VLOOKUP(Table8[[#This Row],[Document ID]],Table1[],5,FALSE)</f>
        <v>NDC</v>
      </c>
      <c r="E1858" s="233" t="str">
        <f>VLOOKUP(Table8[[#This Row],[Document ID]],Table1[],7,FALSE)</f>
        <v>First NDC updated</v>
      </c>
      <c r="F1858" s="233" t="str">
        <f>VLOOKUP(Table8[[#This Row],[Document ID]],Table1[],8,FALSE)</f>
        <v>NDC 1.1</v>
      </c>
      <c r="G1858" s="233" t="str">
        <f>VLOOKUP(Table8[[#This Row],[Document ID]],Table1[],10,FALSE)</f>
        <v>Active</v>
      </c>
      <c r="H1858" s="44" t="s">
        <v>2329</v>
      </c>
      <c r="I1858" s="44" t="s">
        <v>2330</v>
      </c>
      <c r="J1858" s="44" t="s">
        <v>2331</v>
      </c>
      <c r="K1858" s="44" t="s">
        <v>4042</v>
      </c>
      <c r="L1858" s="44" t="s">
        <v>2333</v>
      </c>
      <c r="M1858" s="43">
        <v>30</v>
      </c>
      <c r="N1858" s="113"/>
      <c r="O1858" s="113"/>
      <c r="P1858" s="113"/>
      <c r="Q1858" s="113"/>
      <c r="R1858" s="113"/>
      <c r="S1858" s="113" t="s">
        <v>1113</v>
      </c>
      <c r="T1858" s="113"/>
      <c r="U1858" s="113"/>
      <c r="V1858" s="113"/>
      <c r="W1858" s="113"/>
      <c r="X1858" s="113"/>
      <c r="Y1858" s="113"/>
      <c r="Z1858" s="113" t="s">
        <v>1113</v>
      </c>
      <c r="AA1858" s="113"/>
      <c r="AB1858" s="113"/>
      <c r="AC1858" s="113"/>
      <c r="AD1858" s="113" t="s">
        <v>1113</v>
      </c>
      <c r="AE1858" s="113"/>
      <c r="AF1858" s="113"/>
      <c r="AG1858" s="113"/>
      <c r="AH1858" s="113"/>
      <c r="AI1858" s="113"/>
      <c r="AJ1858" s="113"/>
      <c r="AK1858" s="113" t="s">
        <v>1113</v>
      </c>
      <c r="AL1858" s="113"/>
      <c r="AM1858" s="113"/>
      <c r="AN1858" s="113"/>
      <c r="AO1858" s="43" t="s">
        <v>2477</v>
      </c>
      <c r="AP1858" s="43"/>
      <c r="AQ1858" s="236" t="str">
        <f>VLOOKUP(Table8[[#This Row],[Instrument]],Def_Targets!$D$73:$E$159,2,FALSE)</f>
        <v>I_Altfuels</v>
      </c>
      <c r="AR1858" s="233" t="str">
        <f>VLOOKUP(Table8[[#This Row],[Country Code]],Table29[],3,FALSE)</f>
        <v>Non-Annex I</v>
      </c>
      <c r="AS1858" s="233" t="str">
        <f>VLOOKUP(Table8[[#This Row],[Country Code]],Table29[],4,FALSE)</f>
        <v>Africa</v>
      </c>
      <c r="AT1858" s="233" t="str">
        <f>VLOOKUP(Table8[[#This Row],[Country Code]],Table29[],5,FALSE)</f>
        <v>Low-income</v>
      </c>
      <c r="AU1858" s="233" t="str">
        <f>VLOOKUP(Table8[[#This Row],[Country Code]],Table29[],6,FALSE)</f>
        <v>no</v>
      </c>
      <c r="AV1858" s="233" t="str">
        <f>VLOOKUP(Table8[[#This Row],[Country Code]],Table29[],7,FALSE)</f>
        <v>no</v>
      </c>
      <c r="AW1858" s="233" t="str">
        <f>VLOOKUP(Table8[[#This Row],[Country Code]],Table29[],8,FALSE)</f>
        <v>non-OECD</v>
      </c>
      <c r="AX1858" s="233" t="str">
        <f>VLOOKUP(Table8[[#This Row],[Country Code]],Table29[],9,FALSE)</f>
        <v>no</v>
      </c>
      <c r="AY1858" s="233" t="str">
        <f>VLOOKUP(Table8[[#This Row],[Country Code]],Table29[],10,FALSE)</f>
        <v>no</v>
      </c>
      <c r="AZ1858" s="235">
        <f>VLOOKUP(Table8[[#This Row],[Country Code]],Table29[],23,FALSE)</f>
        <v>6.9377160598997998</v>
      </c>
      <c r="BA1858" s="235">
        <f>VLOOKUP(Table8[[#This Row],[Country Code]],Table29[],24,FALSE)</f>
        <v>0.537288258748986</v>
      </c>
      <c r="BB1858" s="320"/>
      <c r="BC1858" s="320"/>
    </row>
    <row r="1859" spans="1:55" s="17" customFormat="1" hidden="1" x14ac:dyDescent="0.25">
      <c r="A1859" s="373">
        <v>21385</v>
      </c>
      <c r="B1859" s="233" t="str">
        <f>VLOOKUP(Table8[[#This Row],[Document ID]],Table1[],2,FALSE)</f>
        <v>SLE</v>
      </c>
      <c r="C1859" s="233" t="str">
        <f>VLOOKUP(Table8[[#This Row],[Document ID]],Table1[],3,FALSE)</f>
        <v>Sierra Leone</v>
      </c>
      <c r="D1859" s="243" t="str">
        <f>VLOOKUP(Table8[[#This Row],[Document ID]],Table1[],5,FALSE)</f>
        <v>NDC</v>
      </c>
      <c r="E1859" s="233" t="str">
        <f>VLOOKUP(Table8[[#This Row],[Document ID]],Table1[],7,FALSE)</f>
        <v>First NDC updated</v>
      </c>
      <c r="F1859" s="233" t="str">
        <f>VLOOKUP(Table8[[#This Row],[Document ID]],Table1[],8,FALSE)</f>
        <v>NDC 1.1</v>
      </c>
      <c r="G1859" s="233" t="str">
        <f>VLOOKUP(Table8[[#This Row],[Document ID]],Table1[],10,FALSE)</f>
        <v>Active</v>
      </c>
      <c r="H1859" s="43" t="s">
        <v>2350</v>
      </c>
      <c r="I1859" s="43" t="s">
        <v>2456</v>
      </c>
      <c r="J1859" s="44" t="s">
        <v>2457</v>
      </c>
      <c r="K1859" s="44" t="s">
        <v>4043</v>
      </c>
      <c r="L1859" s="44" t="s">
        <v>2333</v>
      </c>
      <c r="M1859" s="43">
        <v>30</v>
      </c>
      <c r="N1859" s="113"/>
      <c r="O1859" s="113"/>
      <c r="P1859" s="113"/>
      <c r="Q1859" s="113"/>
      <c r="R1859" s="113"/>
      <c r="S1859" s="113"/>
      <c r="T1859" s="113"/>
      <c r="U1859" s="113"/>
      <c r="V1859" s="113"/>
      <c r="W1859" s="113"/>
      <c r="X1859" s="113"/>
      <c r="Y1859" s="113"/>
      <c r="Z1859" s="113"/>
      <c r="AA1859" s="113"/>
      <c r="AB1859" s="113"/>
      <c r="AC1859" s="113"/>
      <c r="AD1859" s="113" t="s">
        <v>1113</v>
      </c>
      <c r="AE1859" s="113"/>
      <c r="AF1859" s="113"/>
      <c r="AG1859" s="113"/>
      <c r="AH1859" s="113"/>
      <c r="AI1859" s="113"/>
      <c r="AJ1859" s="113"/>
      <c r="AK1859" s="113" t="s">
        <v>1113</v>
      </c>
      <c r="AL1859" s="113"/>
      <c r="AM1859" s="113"/>
      <c r="AN1859" s="113"/>
      <c r="AO1859" s="44" t="s">
        <v>2334</v>
      </c>
      <c r="AP1859" s="43"/>
      <c r="AQ1859" s="236" t="str">
        <f>VLOOKUP(Table8[[#This Row],[Instrument]],Def_Targets!$D$73:$E$159,2,FALSE)</f>
        <v>S_Infraimprove</v>
      </c>
      <c r="AR1859" s="233" t="str">
        <f>VLOOKUP(Table8[[#This Row],[Country Code]],Table29[],3,FALSE)</f>
        <v>Non-Annex I</v>
      </c>
      <c r="AS1859" s="233" t="str">
        <f>VLOOKUP(Table8[[#This Row],[Country Code]],Table29[],4,FALSE)</f>
        <v>Africa</v>
      </c>
      <c r="AT1859" s="233" t="str">
        <f>VLOOKUP(Table8[[#This Row],[Country Code]],Table29[],5,FALSE)</f>
        <v>Low-income</v>
      </c>
      <c r="AU1859" s="233" t="str">
        <f>VLOOKUP(Table8[[#This Row],[Country Code]],Table29[],6,FALSE)</f>
        <v>no</v>
      </c>
      <c r="AV1859" s="233" t="str">
        <f>VLOOKUP(Table8[[#This Row],[Country Code]],Table29[],7,FALSE)</f>
        <v>no</v>
      </c>
      <c r="AW1859" s="233" t="str">
        <f>VLOOKUP(Table8[[#This Row],[Country Code]],Table29[],8,FALSE)</f>
        <v>non-OECD</v>
      </c>
      <c r="AX1859" s="233" t="str">
        <f>VLOOKUP(Table8[[#This Row],[Country Code]],Table29[],9,FALSE)</f>
        <v>no</v>
      </c>
      <c r="AY1859" s="233" t="str">
        <f>VLOOKUP(Table8[[#This Row],[Country Code]],Table29[],10,FALSE)</f>
        <v>no</v>
      </c>
      <c r="AZ1859" s="235">
        <f>VLOOKUP(Table8[[#This Row],[Country Code]],Table29[],23,FALSE)</f>
        <v>6.9377160598997998</v>
      </c>
      <c r="BA1859" s="235">
        <f>VLOOKUP(Table8[[#This Row],[Country Code]],Table29[],24,FALSE)</f>
        <v>0.537288258748986</v>
      </c>
      <c r="BB1859" s="320"/>
      <c r="BC1859" s="320"/>
    </row>
    <row r="1860" spans="1:55" s="17" customFormat="1" hidden="1" x14ac:dyDescent="0.25">
      <c r="A1860" s="373">
        <v>21385</v>
      </c>
      <c r="B1860" s="233" t="str">
        <f>VLOOKUP(Table8[[#This Row],[Document ID]],Table1[],2,FALSE)</f>
        <v>SLE</v>
      </c>
      <c r="C1860" s="233" t="str">
        <f>VLOOKUP(Table8[[#This Row],[Document ID]],Table1[],3,FALSE)</f>
        <v>Sierra Leone</v>
      </c>
      <c r="D1860" s="243" t="str">
        <f>VLOOKUP(Table8[[#This Row],[Document ID]],Table1[],5,FALSE)</f>
        <v>NDC</v>
      </c>
      <c r="E1860" s="233" t="str">
        <f>VLOOKUP(Table8[[#This Row],[Document ID]],Table1[],7,FALSE)</f>
        <v>First NDC updated</v>
      </c>
      <c r="F1860" s="233" t="str">
        <f>VLOOKUP(Table8[[#This Row],[Document ID]],Table1[],8,FALSE)</f>
        <v>NDC 1.1</v>
      </c>
      <c r="G1860" s="233" t="str">
        <f>VLOOKUP(Table8[[#This Row],[Document ID]],Table1[],10,FALSE)</f>
        <v>Active</v>
      </c>
      <c r="H1860" s="44" t="s">
        <v>2338</v>
      </c>
      <c r="I1860" s="44" t="s">
        <v>2339</v>
      </c>
      <c r="J1860" s="44" t="s">
        <v>2451</v>
      </c>
      <c r="K1860" s="44" t="s">
        <v>4044</v>
      </c>
      <c r="L1860" s="44" t="s">
        <v>2333</v>
      </c>
      <c r="M1860" s="43">
        <v>30</v>
      </c>
      <c r="N1860" s="113" t="s">
        <v>1113</v>
      </c>
      <c r="O1860" s="113"/>
      <c r="P1860" s="113"/>
      <c r="Q1860" s="113"/>
      <c r="R1860" s="113"/>
      <c r="S1860" s="113"/>
      <c r="T1860" s="113"/>
      <c r="U1860" s="113"/>
      <c r="V1860" s="113"/>
      <c r="W1860" s="113"/>
      <c r="X1860" s="113"/>
      <c r="Y1860" s="113"/>
      <c r="Z1860" s="113"/>
      <c r="AA1860" s="113"/>
      <c r="AB1860" s="113"/>
      <c r="AC1860" s="113"/>
      <c r="AD1860" s="113"/>
      <c r="AE1860" s="113"/>
      <c r="AF1860" s="113"/>
      <c r="AG1860" s="113"/>
      <c r="AH1860" s="113"/>
      <c r="AI1860" s="113"/>
      <c r="AJ1860" s="113"/>
      <c r="AK1860" s="113" t="s">
        <v>1113</v>
      </c>
      <c r="AL1860" s="113"/>
      <c r="AM1860" s="113"/>
      <c r="AN1860" s="113"/>
      <c r="AO1860" s="44" t="s">
        <v>2334</v>
      </c>
      <c r="AP1860" s="43"/>
      <c r="AQ1860" s="236" t="str">
        <f>VLOOKUP(Table8[[#This Row],[Instrument]],Def_Targets!$D$73:$E$159,2,FALSE)</f>
        <v>I_Inspection</v>
      </c>
      <c r="AR1860" s="233" t="str">
        <f>VLOOKUP(Table8[[#This Row],[Country Code]],Table29[],3,FALSE)</f>
        <v>Non-Annex I</v>
      </c>
      <c r="AS1860" s="233" t="str">
        <f>VLOOKUP(Table8[[#This Row],[Country Code]],Table29[],4,FALSE)</f>
        <v>Africa</v>
      </c>
      <c r="AT1860" s="233" t="str">
        <f>VLOOKUP(Table8[[#This Row],[Country Code]],Table29[],5,FALSE)</f>
        <v>Low-income</v>
      </c>
      <c r="AU1860" s="233" t="str">
        <f>VLOOKUP(Table8[[#This Row],[Country Code]],Table29[],6,FALSE)</f>
        <v>no</v>
      </c>
      <c r="AV1860" s="233" t="str">
        <f>VLOOKUP(Table8[[#This Row],[Country Code]],Table29[],7,FALSE)</f>
        <v>no</v>
      </c>
      <c r="AW1860" s="233" t="str">
        <f>VLOOKUP(Table8[[#This Row],[Country Code]],Table29[],8,FALSE)</f>
        <v>non-OECD</v>
      </c>
      <c r="AX1860" s="233" t="str">
        <f>VLOOKUP(Table8[[#This Row],[Country Code]],Table29[],9,FALSE)</f>
        <v>no</v>
      </c>
      <c r="AY1860" s="233" t="str">
        <f>VLOOKUP(Table8[[#This Row],[Country Code]],Table29[],10,FALSE)</f>
        <v>no</v>
      </c>
      <c r="AZ1860" s="235">
        <f>VLOOKUP(Table8[[#This Row],[Country Code]],Table29[],23,FALSE)</f>
        <v>6.9377160598997998</v>
      </c>
      <c r="BA1860" s="235">
        <f>VLOOKUP(Table8[[#This Row],[Country Code]],Table29[],24,FALSE)</f>
        <v>0.537288258748986</v>
      </c>
      <c r="BB1860" s="320"/>
      <c r="BC1860" s="320"/>
    </row>
    <row r="1861" spans="1:55" s="17" customFormat="1" hidden="1" x14ac:dyDescent="0.25">
      <c r="A1861" s="373">
        <v>21385</v>
      </c>
      <c r="B1861" s="233" t="str">
        <f>VLOOKUP(Table8[[#This Row],[Document ID]],Table1[],2,FALSE)</f>
        <v>SLE</v>
      </c>
      <c r="C1861" s="233" t="str">
        <f>VLOOKUP(Table8[[#This Row],[Document ID]],Table1[],3,FALSE)</f>
        <v>Sierra Leone</v>
      </c>
      <c r="D1861" s="243" t="str">
        <f>VLOOKUP(Table8[[#This Row],[Document ID]],Table1[],5,FALSE)</f>
        <v>NDC</v>
      </c>
      <c r="E1861" s="233" t="str">
        <f>VLOOKUP(Table8[[#This Row],[Document ID]],Table1[],7,FALSE)</f>
        <v>First NDC updated</v>
      </c>
      <c r="F1861" s="233" t="str">
        <f>VLOOKUP(Table8[[#This Row],[Document ID]],Table1[],8,FALSE)</f>
        <v>NDC 1.1</v>
      </c>
      <c r="G1861" s="233" t="str">
        <f>VLOOKUP(Table8[[#This Row],[Document ID]],Table1[],10,FALSE)</f>
        <v>Active</v>
      </c>
      <c r="H1861" s="44" t="s">
        <v>2338</v>
      </c>
      <c r="I1861" s="44" t="s">
        <v>2339</v>
      </c>
      <c r="J1861" s="44" t="s">
        <v>2340</v>
      </c>
      <c r="K1861" s="44" t="s">
        <v>4045</v>
      </c>
      <c r="L1861" s="44" t="s">
        <v>2333</v>
      </c>
      <c r="M1861" s="43">
        <v>30</v>
      </c>
      <c r="N1861" s="113"/>
      <c r="O1861" s="113"/>
      <c r="P1861" s="113"/>
      <c r="Q1861" s="113"/>
      <c r="R1861" s="113"/>
      <c r="S1861" s="113"/>
      <c r="T1861" s="113"/>
      <c r="U1861" s="113"/>
      <c r="V1861" s="113"/>
      <c r="W1861" s="113"/>
      <c r="X1861" s="113" t="s">
        <v>1113</v>
      </c>
      <c r="Y1861" s="113"/>
      <c r="Z1861" s="113"/>
      <c r="AA1861" s="113"/>
      <c r="AB1861" s="113"/>
      <c r="AC1861" s="113"/>
      <c r="AD1861" s="113"/>
      <c r="AE1861" s="113"/>
      <c r="AF1861" s="113"/>
      <c r="AG1861" s="113"/>
      <c r="AH1861" s="113"/>
      <c r="AI1861" s="113"/>
      <c r="AJ1861" s="113"/>
      <c r="AK1861" s="113" t="s">
        <v>1113</v>
      </c>
      <c r="AL1861" s="113"/>
      <c r="AM1861" s="113"/>
      <c r="AN1861" s="113"/>
      <c r="AO1861" s="44" t="s">
        <v>2334</v>
      </c>
      <c r="AP1861" s="43"/>
      <c r="AQ1861" s="236" t="str">
        <f>VLOOKUP(Table8[[#This Row],[Instrument]],Def_Targets!$D$73:$E$159,2,FALSE)</f>
        <v>I_Vehicleimprove</v>
      </c>
      <c r="AR1861" s="233" t="str">
        <f>VLOOKUP(Table8[[#This Row],[Country Code]],Table29[],3,FALSE)</f>
        <v>Non-Annex I</v>
      </c>
      <c r="AS1861" s="233" t="str">
        <f>VLOOKUP(Table8[[#This Row],[Country Code]],Table29[],4,FALSE)</f>
        <v>Africa</v>
      </c>
      <c r="AT1861" s="233" t="str">
        <f>VLOOKUP(Table8[[#This Row],[Country Code]],Table29[],5,FALSE)</f>
        <v>Low-income</v>
      </c>
      <c r="AU1861" s="233" t="str">
        <f>VLOOKUP(Table8[[#This Row],[Country Code]],Table29[],6,FALSE)</f>
        <v>no</v>
      </c>
      <c r="AV1861" s="233" t="str">
        <f>VLOOKUP(Table8[[#This Row],[Country Code]],Table29[],7,FALSE)</f>
        <v>no</v>
      </c>
      <c r="AW1861" s="233" t="str">
        <f>VLOOKUP(Table8[[#This Row],[Country Code]],Table29[],8,FALSE)</f>
        <v>non-OECD</v>
      </c>
      <c r="AX1861" s="233" t="str">
        <f>VLOOKUP(Table8[[#This Row],[Country Code]],Table29[],9,FALSE)</f>
        <v>no</v>
      </c>
      <c r="AY1861" s="233" t="str">
        <f>VLOOKUP(Table8[[#This Row],[Country Code]],Table29[],10,FALSE)</f>
        <v>no</v>
      </c>
      <c r="AZ1861" s="235">
        <f>VLOOKUP(Table8[[#This Row],[Country Code]],Table29[],23,FALSE)</f>
        <v>6.9377160598997998</v>
      </c>
      <c r="BA1861" s="235">
        <f>VLOOKUP(Table8[[#This Row],[Country Code]],Table29[],24,FALSE)</f>
        <v>0.537288258748986</v>
      </c>
      <c r="BB1861" s="320"/>
      <c r="BC1861" s="320"/>
    </row>
    <row r="1862" spans="1:55" s="17" customFormat="1" hidden="1" x14ac:dyDescent="0.25">
      <c r="A1862" s="373">
        <v>21385</v>
      </c>
      <c r="B1862" s="233" t="str">
        <f>VLOOKUP(Table8[[#This Row],[Document ID]],Table1[],2,FALSE)</f>
        <v>SLE</v>
      </c>
      <c r="C1862" s="233" t="str">
        <f>VLOOKUP(Table8[[#This Row],[Document ID]],Table1[],3,FALSE)</f>
        <v>Sierra Leone</v>
      </c>
      <c r="D1862" s="243" t="str">
        <f>VLOOKUP(Table8[[#This Row],[Document ID]],Table1[],5,FALSE)</f>
        <v>NDC</v>
      </c>
      <c r="E1862" s="233" t="str">
        <f>VLOOKUP(Table8[[#This Row],[Document ID]],Table1[],7,FALSE)</f>
        <v>First NDC updated</v>
      </c>
      <c r="F1862" s="233" t="str">
        <f>VLOOKUP(Table8[[#This Row],[Document ID]],Table1[],8,FALSE)</f>
        <v>NDC 1.1</v>
      </c>
      <c r="G1862" s="233" t="str">
        <f>VLOOKUP(Table8[[#This Row],[Document ID]],Table1[],10,FALSE)</f>
        <v>Active</v>
      </c>
      <c r="H1862" s="43" t="s">
        <v>2343</v>
      </c>
      <c r="I1862" s="43" t="s">
        <v>2361</v>
      </c>
      <c r="J1862" s="44" t="s">
        <v>2362</v>
      </c>
      <c r="K1862" s="44" t="s">
        <v>4046</v>
      </c>
      <c r="L1862" s="44" t="s">
        <v>2347</v>
      </c>
      <c r="M1862" s="43">
        <v>31</v>
      </c>
      <c r="N1862" s="113"/>
      <c r="O1862" s="113"/>
      <c r="P1862" s="113"/>
      <c r="Q1862" s="113"/>
      <c r="R1862" s="113" t="s">
        <v>1113</v>
      </c>
      <c r="S1862" s="113"/>
      <c r="T1862" s="113"/>
      <c r="U1862" s="113"/>
      <c r="V1862" s="113"/>
      <c r="W1862" s="113"/>
      <c r="X1862" s="113"/>
      <c r="Y1862" s="113"/>
      <c r="Z1862" s="113"/>
      <c r="AA1862" s="113"/>
      <c r="AB1862" s="113"/>
      <c r="AC1862" s="113"/>
      <c r="AD1862" s="113"/>
      <c r="AE1862" s="113"/>
      <c r="AF1862" s="113"/>
      <c r="AG1862" s="113"/>
      <c r="AH1862" s="113"/>
      <c r="AI1862" s="113"/>
      <c r="AJ1862" s="113"/>
      <c r="AK1862" s="113" t="s">
        <v>1113</v>
      </c>
      <c r="AL1862" s="113"/>
      <c r="AM1862" s="113"/>
      <c r="AN1862" s="113"/>
      <c r="AO1862" s="44" t="s">
        <v>2334</v>
      </c>
      <c r="AP1862" s="43"/>
      <c r="AQ1862" s="236" t="str">
        <f>VLOOKUP(Table8[[#This Row],[Instrument]],Def_Targets!$D$73:$E$159,2,FALSE)</f>
        <v>S_Cycling</v>
      </c>
      <c r="AR1862" s="233" t="str">
        <f>VLOOKUP(Table8[[#This Row],[Country Code]],Table29[],3,FALSE)</f>
        <v>Non-Annex I</v>
      </c>
      <c r="AS1862" s="233" t="str">
        <f>VLOOKUP(Table8[[#This Row],[Country Code]],Table29[],4,FALSE)</f>
        <v>Africa</v>
      </c>
      <c r="AT1862" s="233" t="str">
        <f>VLOOKUP(Table8[[#This Row],[Country Code]],Table29[],5,FALSE)</f>
        <v>Low-income</v>
      </c>
      <c r="AU1862" s="233" t="str">
        <f>VLOOKUP(Table8[[#This Row],[Country Code]],Table29[],6,FALSE)</f>
        <v>no</v>
      </c>
      <c r="AV1862" s="233" t="str">
        <f>VLOOKUP(Table8[[#This Row],[Country Code]],Table29[],7,FALSE)</f>
        <v>no</v>
      </c>
      <c r="AW1862" s="233" t="str">
        <f>VLOOKUP(Table8[[#This Row],[Country Code]],Table29[],8,FALSE)</f>
        <v>non-OECD</v>
      </c>
      <c r="AX1862" s="233" t="str">
        <f>VLOOKUP(Table8[[#This Row],[Country Code]],Table29[],9,FALSE)</f>
        <v>no</v>
      </c>
      <c r="AY1862" s="233" t="str">
        <f>VLOOKUP(Table8[[#This Row],[Country Code]],Table29[],10,FALSE)</f>
        <v>no</v>
      </c>
      <c r="AZ1862" s="235">
        <f>VLOOKUP(Table8[[#This Row],[Country Code]],Table29[],23,FALSE)</f>
        <v>6.9377160598997998</v>
      </c>
      <c r="BA1862" s="235">
        <f>VLOOKUP(Table8[[#This Row],[Country Code]],Table29[],24,FALSE)</f>
        <v>0.537288258748986</v>
      </c>
      <c r="BB1862" s="320"/>
      <c r="BC1862" s="320"/>
    </row>
    <row r="1863" spans="1:55" s="17" customFormat="1" hidden="1" x14ac:dyDescent="0.25">
      <c r="A1863" s="373">
        <v>21385</v>
      </c>
      <c r="B1863" s="233" t="str">
        <f>VLOOKUP(Table8[[#This Row],[Document ID]],Table1[],2,FALSE)</f>
        <v>SLE</v>
      </c>
      <c r="C1863" s="233" t="str">
        <f>VLOOKUP(Table8[[#This Row],[Document ID]],Table1[],3,FALSE)</f>
        <v>Sierra Leone</v>
      </c>
      <c r="D1863" s="243" t="str">
        <f>VLOOKUP(Table8[[#This Row],[Document ID]],Table1[],5,FALSE)</f>
        <v>NDC</v>
      </c>
      <c r="E1863" s="233" t="str">
        <f>VLOOKUP(Table8[[#This Row],[Document ID]],Table1[],7,FALSE)</f>
        <v>First NDC updated</v>
      </c>
      <c r="F1863" s="233" t="str">
        <f>VLOOKUP(Table8[[#This Row],[Document ID]],Table1[],8,FALSE)</f>
        <v>NDC 1.1</v>
      </c>
      <c r="G1863" s="233" t="str">
        <f>VLOOKUP(Table8[[#This Row],[Document ID]],Table1[],10,FALSE)</f>
        <v>Active</v>
      </c>
      <c r="H1863" s="43" t="s">
        <v>2343</v>
      </c>
      <c r="I1863" s="43" t="s">
        <v>2361</v>
      </c>
      <c r="J1863" s="44" t="s">
        <v>2463</v>
      </c>
      <c r="K1863" s="44" t="s">
        <v>4046</v>
      </c>
      <c r="L1863" s="44" t="s">
        <v>2347</v>
      </c>
      <c r="M1863" s="43">
        <v>31</v>
      </c>
      <c r="N1863" s="113"/>
      <c r="O1863" s="113"/>
      <c r="P1863" s="113"/>
      <c r="Q1863" s="113" t="s">
        <v>1113</v>
      </c>
      <c r="R1863" s="113"/>
      <c r="S1863" s="113"/>
      <c r="T1863" s="113"/>
      <c r="U1863" s="113"/>
      <c r="V1863" s="113"/>
      <c r="W1863" s="113"/>
      <c r="X1863" s="113"/>
      <c r="Y1863" s="113"/>
      <c r="Z1863" s="113"/>
      <c r="AA1863" s="113"/>
      <c r="AB1863" s="113"/>
      <c r="AC1863" s="113"/>
      <c r="AD1863" s="113"/>
      <c r="AE1863" s="113"/>
      <c r="AF1863" s="113"/>
      <c r="AG1863" s="113"/>
      <c r="AH1863" s="113"/>
      <c r="AI1863" s="113"/>
      <c r="AJ1863" s="113"/>
      <c r="AK1863" s="113" t="s">
        <v>1113</v>
      </c>
      <c r="AL1863" s="113"/>
      <c r="AM1863" s="113"/>
      <c r="AN1863" s="113"/>
      <c r="AO1863" s="44" t="s">
        <v>2334</v>
      </c>
      <c r="AP1863" s="43"/>
      <c r="AQ1863" s="236" t="str">
        <f>VLOOKUP(Table8[[#This Row],[Instrument]],Def_Targets!$D$73:$E$159,2,FALSE)</f>
        <v>S_Walking</v>
      </c>
      <c r="AR1863" s="233" t="str">
        <f>VLOOKUP(Table8[[#This Row],[Country Code]],Table29[],3,FALSE)</f>
        <v>Non-Annex I</v>
      </c>
      <c r="AS1863" s="233" t="str">
        <f>VLOOKUP(Table8[[#This Row],[Country Code]],Table29[],4,FALSE)</f>
        <v>Africa</v>
      </c>
      <c r="AT1863" s="233" t="str">
        <f>VLOOKUP(Table8[[#This Row],[Country Code]],Table29[],5,FALSE)</f>
        <v>Low-income</v>
      </c>
      <c r="AU1863" s="233" t="str">
        <f>VLOOKUP(Table8[[#This Row],[Country Code]],Table29[],6,FALSE)</f>
        <v>no</v>
      </c>
      <c r="AV1863" s="233" t="str">
        <f>VLOOKUP(Table8[[#This Row],[Country Code]],Table29[],7,FALSE)</f>
        <v>no</v>
      </c>
      <c r="AW1863" s="233" t="str">
        <f>VLOOKUP(Table8[[#This Row],[Country Code]],Table29[],8,FALSE)</f>
        <v>non-OECD</v>
      </c>
      <c r="AX1863" s="233" t="str">
        <f>VLOOKUP(Table8[[#This Row],[Country Code]],Table29[],9,FALSE)</f>
        <v>no</v>
      </c>
      <c r="AY1863" s="233" t="str">
        <f>VLOOKUP(Table8[[#This Row],[Country Code]],Table29[],10,FALSE)</f>
        <v>no</v>
      </c>
      <c r="AZ1863" s="235">
        <f>VLOOKUP(Table8[[#This Row],[Country Code]],Table29[],23,FALSE)</f>
        <v>6.9377160598997998</v>
      </c>
      <c r="BA1863" s="235">
        <f>VLOOKUP(Table8[[#This Row],[Country Code]],Table29[],24,FALSE)</f>
        <v>0.537288258748986</v>
      </c>
      <c r="BB1863" s="320"/>
      <c r="BC1863" s="320"/>
    </row>
    <row r="1864" spans="1:55" s="17" customFormat="1" ht="45" hidden="1" x14ac:dyDescent="0.25">
      <c r="A1864" s="373">
        <v>21385</v>
      </c>
      <c r="B1864" s="233" t="str">
        <f>VLOOKUP(Table8[[#This Row],[Document ID]],Table1[],2,FALSE)</f>
        <v>SLE</v>
      </c>
      <c r="C1864" s="233" t="str">
        <f>VLOOKUP(Table8[[#This Row],[Document ID]],Table1[],3,FALSE)</f>
        <v>Sierra Leone</v>
      </c>
      <c r="D1864" s="243" t="str">
        <f>VLOOKUP(Table8[[#This Row],[Document ID]],Table1[],5,FALSE)</f>
        <v>NDC</v>
      </c>
      <c r="E1864" s="233" t="str">
        <f>VLOOKUP(Table8[[#This Row],[Document ID]],Table1[],7,FALSE)</f>
        <v>First NDC updated</v>
      </c>
      <c r="F1864" s="233" t="str">
        <f>VLOOKUP(Table8[[#This Row],[Document ID]],Table1[],8,FALSE)</f>
        <v>NDC 1.1</v>
      </c>
      <c r="G1864" s="233" t="str">
        <f>VLOOKUP(Table8[[#This Row],[Document ID]],Table1[],10,FALSE)</f>
        <v>Active</v>
      </c>
      <c r="H1864" s="43" t="s">
        <v>2358</v>
      </c>
      <c r="I1864" s="43" t="s">
        <v>2359</v>
      </c>
      <c r="J1864" s="44" t="s">
        <v>2360</v>
      </c>
      <c r="K1864" s="44" t="s">
        <v>4047</v>
      </c>
      <c r="L1864" s="44" t="s">
        <v>2333</v>
      </c>
      <c r="M1864" s="43">
        <v>31</v>
      </c>
      <c r="N1864" s="113"/>
      <c r="O1864" s="113"/>
      <c r="P1864" s="113"/>
      <c r="Q1864" s="113"/>
      <c r="R1864" s="113"/>
      <c r="S1864" s="113"/>
      <c r="T1864" s="113" t="s">
        <v>1113</v>
      </c>
      <c r="U1864" s="113" t="s">
        <v>1113</v>
      </c>
      <c r="V1864" s="113"/>
      <c r="W1864" s="113"/>
      <c r="X1864" s="113"/>
      <c r="Y1864" s="113" t="s">
        <v>1113</v>
      </c>
      <c r="Z1864" s="113"/>
      <c r="AA1864" s="113"/>
      <c r="AB1864" s="113"/>
      <c r="AC1864" s="113"/>
      <c r="AD1864" s="113"/>
      <c r="AE1864" s="113"/>
      <c r="AF1864" s="113"/>
      <c r="AG1864" s="113"/>
      <c r="AH1864" s="113"/>
      <c r="AI1864" s="113"/>
      <c r="AJ1864" s="113"/>
      <c r="AK1864" s="113" t="s">
        <v>1113</v>
      </c>
      <c r="AL1864" s="113"/>
      <c r="AM1864" s="113"/>
      <c r="AN1864" s="113"/>
      <c r="AO1864" s="43" t="s">
        <v>2348</v>
      </c>
      <c r="AP1864" s="43"/>
      <c r="AQ1864" s="236" t="str">
        <f>VLOOKUP(Table8[[#This Row],[Instrument]],Def_Targets!$D$73:$E$159,2,FALSE)</f>
        <v>I_Emobility</v>
      </c>
      <c r="AR1864" s="233" t="str">
        <f>VLOOKUP(Table8[[#This Row],[Country Code]],Table29[],3,FALSE)</f>
        <v>Non-Annex I</v>
      </c>
      <c r="AS1864" s="233" t="str">
        <f>VLOOKUP(Table8[[#This Row],[Country Code]],Table29[],4,FALSE)</f>
        <v>Africa</v>
      </c>
      <c r="AT1864" s="233" t="str">
        <f>VLOOKUP(Table8[[#This Row],[Country Code]],Table29[],5,FALSE)</f>
        <v>Low-income</v>
      </c>
      <c r="AU1864" s="233" t="str">
        <f>VLOOKUP(Table8[[#This Row],[Country Code]],Table29[],6,FALSE)</f>
        <v>no</v>
      </c>
      <c r="AV1864" s="233" t="str">
        <f>VLOOKUP(Table8[[#This Row],[Country Code]],Table29[],7,FALSE)</f>
        <v>no</v>
      </c>
      <c r="AW1864" s="233" t="str">
        <f>VLOOKUP(Table8[[#This Row],[Country Code]],Table29[],8,FALSE)</f>
        <v>non-OECD</v>
      </c>
      <c r="AX1864" s="233" t="str">
        <f>VLOOKUP(Table8[[#This Row],[Country Code]],Table29[],9,FALSE)</f>
        <v>no</v>
      </c>
      <c r="AY1864" s="233" t="str">
        <f>VLOOKUP(Table8[[#This Row],[Country Code]],Table29[],10,FALSE)</f>
        <v>no</v>
      </c>
      <c r="AZ1864" s="235">
        <f>VLOOKUP(Table8[[#This Row],[Country Code]],Table29[],23,FALSE)</f>
        <v>6.9377160598997998</v>
      </c>
      <c r="BA1864" s="235">
        <f>VLOOKUP(Table8[[#This Row],[Country Code]],Table29[],24,FALSE)</f>
        <v>0.537288258748986</v>
      </c>
      <c r="BB1864" s="320"/>
      <c r="BC1864" s="320"/>
    </row>
    <row r="1865" spans="1:55" s="17" customFormat="1" ht="30" hidden="1" x14ac:dyDescent="0.25">
      <c r="A1865" s="373">
        <v>21385</v>
      </c>
      <c r="B1865" s="233" t="str">
        <f>VLOOKUP(Table8[[#This Row],[Document ID]],Table1[],2,FALSE)</f>
        <v>SLE</v>
      </c>
      <c r="C1865" s="233" t="str">
        <f>VLOOKUP(Table8[[#This Row],[Document ID]],Table1[],3,FALSE)</f>
        <v>Sierra Leone</v>
      </c>
      <c r="D1865" s="243" t="str">
        <f>VLOOKUP(Table8[[#This Row],[Document ID]],Table1[],5,FALSE)</f>
        <v>NDC</v>
      </c>
      <c r="E1865" s="233" t="str">
        <f>VLOOKUP(Table8[[#This Row],[Document ID]],Table1[],7,FALSE)</f>
        <v>First NDC updated</v>
      </c>
      <c r="F1865" s="233" t="str">
        <f>VLOOKUP(Table8[[#This Row],[Document ID]],Table1[],8,FALSE)</f>
        <v>NDC 1.1</v>
      </c>
      <c r="G1865" s="233" t="str">
        <f>VLOOKUP(Table8[[#This Row],[Document ID]],Table1[],10,FALSE)</f>
        <v>Active</v>
      </c>
      <c r="H1865" s="44" t="s">
        <v>2338</v>
      </c>
      <c r="I1865" s="44" t="s">
        <v>2339</v>
      </c>
      <c r="J1865" s="44" t="s">
        <v>2410</v>
      </c>
      <c r="K1865" s="44" t="s">
        <v>4048</v>
      </c>
      <c r="L1865" s="44" t="s">
        <v>2333</v>
      </c>
      <c r="M1865" s="43">
        <v>31</v>
      </c>
      <c r="N1865" s="113" t="s">
        <v>1113</v>
      </c>
      <c r="O1865" s="113"/>
      <c r="P1865" s="113"/>
      <c r="Q1865" s="113"/>
      <c r="R1865" s="113"/>
      <c r="S1865" s="113"/>
      <c r="T1865" s="113"/>
      <c r="U1865" s="113"/>
      <c r="V1865" s="113"/>
      <c r="W1865" s="113"/>
      <c r="X1865" s="113"/>
      <c r="Y1865" s="113"/>
      <c r="Z1865" s="113"/>
      <c r="AA1865" s="113"/>
      <c r="AB1865" s="113"/>
      <c r="AC1865" s="113"/>
      <c r="AD1865" s="113"/>
      <c r="AE1865" s="113"/>
      <c r="AF1865" s="113"/>
      <c r="AG1865" s="113"/>
      <c r="AH1865" s="113"/>
      <c r="AI1865" s="113"/>
      <c r="AJ1865" s="113"/>
      <c r="AK1865" s="113" t="s">
        <v>1113</v>
      </c>
      <c r="AL1865" s="113"/>
      <c r="AM1865" s="113"/>
      <c r="AN1865" s="113"/>
      <c r="AO1865" s="44" t="s">
        <v>2334</v>
      </c>
      <c r="AP1865" s="43"/>
      <c r="AQ1865" s="236" t="str">
        <f>VLOOKUP(Table8[[#This Row],[Instrument]],Def_Targets!$D$73:$E$159,2,FALSE)</f>
        <v>I_VehicleRestrictions</v>
      </c>
      <c r="AR1865" s="233" t="str">
        <f>VLOOKUP(Table8[[#This Row],[Country Code]],Table29[],3,FALSE)</f>
        <v>Non-Annex I</v>
      </c>
      <c r="AS1865" s="233" t="str">
        <f>VLOOKUP(Table8[[#This Row],[Country Code]],Table29[],4,FALSE)</f>
        <v>Africa</v>
      </c>
      <c r="AT1865" s="233" t="str">
        <f>VLOOKUP(Table8[[#This Row],[Country Code]],Table29[],5,FALSE)</f>
        <v>Low-income</v>
      </c>
      <c r="AU1865" s="233" t="str">
        <f>VLOOKUP(Table8[[#This Row],[Country Code]],Table29[],6,FALSE)</f>
        <v>no</v>
      </c>
      <c r="AV1865" s="233" t="str">
        <f>VLOOKUP(Table8[[#This Row],[Country Code]],Table29[],7,FALSE)</f>
        <v>no</v>
      </c>
      <c r="AW1865" s="233" t="str">
        <f>VLOOKUP(Table8[[#This Row],[Country Code]],Table29[],8,FALSE)</f>
        <v>non-OECD</v>
      </c>
      <c r="AX1865" s="233" t="str">
        <f>VLOOKUP(Table8[[#This Row],[Country Code]],Table29[],9,FALSE)</f>
        <v>no</v>
      </c>
      <c r="AY1865" s="233" t="str">
        <f>VLOOKUP(Table8[[#This Row],[Country Code]],Table29[],10,FALSE)</f>
        <v>no</v>
      </c>
      <c r="AZ1865" s="235">
        <f>VLOOKUP(Table8[[#This Row],[Country Code]],Table29[],23,FALSE)</f>
        <v>6.9377160598997998</v>
      </c>
      <c r="BA1865" s="235">
        <f>VLOOKUP(Table8[[#This Row],[Country Code]],Table29[],24,FALSE)</f>
        <v>0.537288258748986</v>
      </c>
      <c r="BB1865" s="320"/>
      <c r="BC1865" s="320"/>
    </row>
    <row r="1866" spans="1:55" hidden="1" x14ac:dyDescent="0.25">
      <c r="A1866" s="360">
        <v>17733</v>
      </c>
      <c r="B1866" s="233" t="str">
        <f>VLOOKUP(Table8[[#This Row],[Document ID]],Table1[],2,FALSE)</f>
        <v>SGP</v>
      </c>
      <c r="C1866" s="233" t="str">
        <f>VLOOKUP(Table8[[#This Row],[Document ID]],Table1[],3,FALSE)</f>
        <v>Singapore</v>
      </c>
      <c r="D1866" s="233" t="str">
        <f>VLOOKUP(Table8[[#This Row],[Document ID]],Table1[],5,FALSE)</f>
        <v>NDC</v>
      </c>
      <c r="E1866" s="233" t="str">
        <f>VLOOKUP(Table8[[#This Row],[Document ID]],Table1[],7,FALSE)</f>
        <v>First NDC updated</v>
      </c>
      <c r="F1866" s="233" t="str">
        <f>VLOOKUP(Table8[[#This Row],[Document ID]],Table1[],8,FALSE)</f>
        <v>NDC 1.1</v>
      </c>
      <c r="G1866" s="233" t="str">
        <f>VLOOKUP(Table8[[#This Row],[Document ID]],Table1[],10,FALSE)</f>
        <v>Archived</v>
      </c>
      <c r="H1866" s="44" t="s">
        <v>2338</v>
      </c>
      <c r="I1866" s="44" t="s">
        <v>2339</v>
      </c>
      <c r="J1866" s="44" t="s">
        <v>2340</v>
      </c>
      <c r="K1866" s="44" t="s">
        <v>4049</v>
      </c>
      <c r="L1866" s="44" t="s">
        <v>2333</v>
      </c>
      <c r="M1866" s="43">
        <v>17</v>
      </c>
      <c r="N1866" s="113"/>
      <c r="O1866" s="113"/>
      <c r="P1866" s="113"/>
      <c r="Q1866" s="113"/>
      <c r="R1866" s="113"/>
      <c r="S1866" s="113" t="s">
        <v>1113</v>
      </c>
      <c r="T1866" s="113"/>
      <c r="U1866" s="113"/>
      <c r="V1866" s="113"/>
      <c r="W1866" s="113"/>
      <c r="X1866" s="113"/>
      <c r="Y1866" s="113"/>
      <c r="Z1866" s="113"/>
      <c r="AA1866" s="113"/>
      <c r="AB1866" s="113"/>
      <c r="AC1866" s="113"/>
      <c r="AD1866" s="113"/>
      <c r="AE1866" s="113"/>
      <c r="AF1866" s="113"/>
      <c r="AG1866" s="113"/>
      <c r="AH1866" s="113"/>
      <c r="AI1866" s="113"/>
      <c r="AJ1866" s="113"/>
      <c r="AK1866" s="319" t="s">
        <v>1113</v>
      </c>
      <c r="AL1866" s="113"/>
      <c r="AM1866" s="113"/>
      <c r="AN1866" s="113"/>
      <c r="AO1866" s="44" t="s">
        <v>2334</v>
      </c>
      <c r="AP1866" s="43"/>
      <c r="AQ1866" s="236" t="str">
        <f>VLOOKUP(Table8[[#This Row],[Instrument]],Def_Targets!$D$73:$E$159,2,FALSE)</f>
        <v>I_Vehicleimprove</v>
      </c>
      <c r="AR1866" s="233" t="str">
        <f>VLOOKUP(Table8[[#This Row],[Country Code]],Table29[],3,FALSE)</f>
        <v>Non-Annex I</v>
      </c>
      <c r="AS1866" s="233" t="str">
        <f>VLOOKUP(Table8[[#This Row],[Country Code]],Table29[],4,FALSE)</f>
        <v>Asia</v>
      </c>
      <c r="AT1866" s="233" t="str">
        <f>VLOOKUP(Table8[[#This Row],[Country Code]],Table29[],5,FALSE)</f>
        <v>High-income</v>
      </c>
      <c r="AU1866" s="233" t="str">
        <f>VLOOKUP(Table8[[#This Row],[Country Code]],Table29[],6,FALSE)</f>
        <v>no</v>
      </c>
      <c r="AV1866" s="233" t="str">
        <f>VLOOKUP(Table8[[#This Row],[Country Code]],Table29[],7,FALSE)</f>
        <v>no</v>
      </c>
      <c r="AW1866" s="233" t="str">
        <f>VLOOKUP(Table8[[#This Row],[Country Code]],Table29[],8,FALSE)</f>
        <v>non-OECD</v>
      </c>
      <c r="AX1866" s="233" t="str">
        <f>VLOOKUP(Table8[[#This Row],[Country Code]],Table29[],9,FALSE)</f>
        <v>no</v>
      </c>
      <c r="AY1866" s="233" t="str">
        <f>VLOOKUP(Table8[[#This Row],[Country Code]],Table29[],10,FALSE)</f>
        <v>no</v>
      </c>
      <c r="AZ1866" s="235">
        <f>VLOOKUP(Table8[[#This Row],[Country Code]],Table29[],23,FALSE)</f>
        <v>74.290132466078006</v>
      </c>
      <c r="BA1866" s="235">
        <f>VLOOKUP(Table8[[#This Row],[Country Code]],Table29[],24,FALSE)</f>
        <v>6.8133364043247093</v>
      </c>
      <c r="BB1866" s="320"/>
      <c r="BC1866" s="320"/>
    </row>
    <row r="1867" spans="1:55" ht="30" hidden="1" x14ac:dyDescent="0.25">
      <c r="A1867" s="360">
        <v>17733</v>
      </c>
      <c r="B1867" s="233" t="str">
        <f>VLOOKUP(Table8[[#This Row],[Document ID]],Table1[],2,FALSE)</f>
        <v>SGP</v>
      </c>
      <c r="C1867" s="233" t="str">
        <f>VLOOKUP(Table8[[#This Row],[Document ID]],Table1[],3,FALSE)</f>
        <v>Singapore</v>
      </c>
      <c r="D1867" s="233" t="str">
        <f>VLOOKUP(Table8[[#This Row],[Document ID]],Table1[],5,FALSE)</f>
        <v>NDC</v>
      </c>
      <c r="E1867" s="233" t="str">
        <f>VLOOKUP(Table8[[#This Row],[Document ID]],Table1[],7,FALSE)</f>
        <v>First NDC updated</v>
      </c>
      <c r="F1867" s="233" t="str">
        <f>VLOOKUP(Table8[[#This Row],[Document ID]],Table1[],8,FALSE)</f>
        <v>NDC 1.1</v>
      </c>
      <c r="G1867" s="233" t="str">
        <f>VLOOKUP(Table8[[#This Row],[Document ID]],Table1[],10,FALSE)</f>
        <v>Archived</v>
      </c>
      <c r="H1867" s="43" t="s">
        <v>2343</v>
      </c>
      <c r="I1867" s="43" t="s">
        <v>2344</v>
      </c>
      <c r="J1867" s="44" t="s">
        <v>2345</v>
      </c>
      <c r="K1867" s="44" t="s">
        <v>4050</v>
      </c>
      <c r="L1867" s="44" t="s">
        <v>2347</v>
      </c>
      <c r="M1867" s="43">
        <v>17</v>
      </c>
      <c r="N1867" s="113" t="s">
        <v>1113</v>
      </c>
      <c r="O1867" s="113"/>
      <c r="P1867" s="113"/>
      <c r="Q1867" s="113"/>
      <c r="R1867" s="113"/>
      <c r="S1867" s="113"/>
      <c r="T1867" s="113"/>
      <c r="U1867" s="113"/>
      <c r="V1867" s="113"/>
      <c r="W1867" s="113"/>
      <c r="X1867" s="113"/>
      <c r="Y1867" s="113"/>
      <c r="Z1867" s="113"/>
      <c r="AA1867" s="113"/>
      <c r="AB1867" s="113"/>
      <c r="AC1867" s="113"/>
      <c r="AD1867" s="113"/>
      <c r="AE1867" s="113"/>
      <c r="AF1867" s="113"/>
      <c r="AG1867" s="113"/>
      <c r="AH1867" s="113"/>
      <c r="AI1867" s="113"/>
      <c r="AJ1867" s="113"/>
      <c r="AK1867" s="319"/>
      <c r="AL1867" s="113" t="s">
        <v>1113</v>
      </c>
      <c r="AM1867" s="113"/>
      <c r="AN1867" s="113"/>
      <c r="AO1867" s="43" t="s">
        <v>2348</v>
      </c>
      <c r="AP1867" s="43"/>
      <c r="AQ1867" s="236" t="str">
        <f>VLOOKUP(Table8[[#This Row],[Instrument]],Def_Targets!$D$73:$E$159,2,FALSE)</f>
        <v>S_PublicTransport</v>
      </c>
      <c r="AR1867" s="233" t="str">
        <f>VLOOKUP(Table8[[#This Row],[Country Code]],Table29[],3,FALSE)</f>
        <v>Non-Annex I</v>
      </c>
      <c r="AS1867" s="233" t="str">
        <f>VLOOKUP(Table8[[#This Row],[Country Code]],Table29[],4,FALSE)</f>
        <v>Asia</v>
      </c>
      <c r="AT1867" s="233" t="str">
        <f>VLOOKUP(Table8[[#This Row],[Country Code]],Table29[],5,FALSE)</f>
        <v>High-income</v>
      </c>
      <c r="AU1867" s="233" t="str">
        <f>VLOOKUP(Table8[[#This Row],[Country Code]],Table29[],6,FALSE)</f>
        <v>no</v>
      </c>
      <c r="AV1867" s="233" t="str">
        <f>VLOOKUP(Table8[[#This Row],[Country Code]],Table29[],7,FALSE)</f>
        <v>no</v>
      </c>
      <c r="AW1867" s="233" t="str">
        <f>VLOOKUP(Table8[[#This Row],[Country Code]],Table29[],8,FALSE)</f>
        <v>non-OECD</v>
      </c>
      <c r="AX1867" s="233" t="str">
        <f>VLOOKUP(Table8[[#This Row],[Country Code]],Table29[],9,FALSE)</f>
        <v>no</v>
      </c>
      <c r="AY1867" s="233" t="str">
        <f>VLOOKUP(Table8[[#This Row],[Country Code]],Table29[],10,FALSE)</f>
        <v>no</v>
      </c>
      <c r="AZ1867" s="235">
        <f>VLOOKUP(Table8[[#This Row],[Country Code]],Table29[],23,FALSE)</f>
        <v>74.290132466078006</v>
      </c>
      <c r="BA1867" s="235">
        <f>VLOOKUP(Table8[[#This Row],[Country Code]],Table29[],24,FALSE)</f>
        <v>6.8133364043247093</v>
      </c>
      <c r="BB1867" s="320"/>
      <c r="BC1867" s="320"/>
    </row>
    <row r="1868" spans="1:55" ht="30" hidden="1" x14ac:dyDescent="0.25">
      <c r="A1868" s="360">
        <v>17733</v>
      </c>
      <c r="B1868" s="233" t="str">
        <f>VLOOKUP(Table8[[#This Row],[Document ID]],Table1[],2,FALSE)</f>
        <v>SGP</v>
      </c>
      <c r="C1868" s="233" t="str">
        <f>VLOOKUP(Table8[[#This Row],[Document ID]],Table1[],3,FALSE)</f>
        <v>Singapore</v>
      </c>
      <c r="D1868" s="233" t="str">
        <f>VLOOKUP(Table8[[#This Row],[Document ID]],Table1[],5,FALSE)</f>
        <v>NDC</v>
      </c>
      <c r="E1868" s="233" t="str">
        <f>VLOOKUP(Table8[[#This Row],[Document ID]],Table1[],7,FALSE)</f>
        <v>First NDC updated</v>
      </c>
      <c r="F1868" s="233" t="str">
        <f>VLOOKUP(Table8[[#This Row],[Document ID]],Table1[],8,FALSE)</f>
        <v>NDC 1.1</v>
      </c>
      <c r="G1868" s="233" t="str">
        <f>VLOOKUP(Table8[[#This Row],[Document ID]],Table1[],10,FALSE)</f>
        <v>Archived</v>
      </c>
      <c r="H1868" s="43" t="s">
        <v>2343</v>
      </c>
      <c r="I1868" s="43" t="s">
        <v>2429</v>
      </c>
      <c r="J1868" s="44" t="s">
        <v>2513</v>
      </c>
      <c r="K1868" s="44" t="s">
        <v>4050</v>
      </c>
      <c r="L1868" s="44" t="s">
        <v>2347</v>
      </c>
      <c r="M1868" s="43">
        <v>17</v>
      </c>
      <c r="N1868" s="113"/>
      <c r="O1868" s="113"/>
      <c r="P1868" s="113"/>
      <c r="Q1868" s="113"/>
      <c r="R1868" s="113"/>
      <c r="S1868" s="113" t="s">
        <v>1113</v>
      </c>
      <c r="T1868" s="113"/>
      <c r="U1868" s="113"/>
      <c r="V1868" s="113"/>
      <c r="W1868" s="113"/>
      <c r="X1868" s="113"/>
      <c r="Y1868" s="113"/>
      <c r="Z1868" s="113"/>
      <c r="AA1868" s="113"/>
      <c r="AB1868" s="113"/>
      <c r="AC1868" s="113"/>
      <c r="AD1868" s="113"/>
      <c r="AE1868" s="113"/>
      <c r="AF1868" s="113"/>
      <c r="AG1868" s="113"/>
      <c r="AH1868" s="113"/>
      <c r="AI1868" s="113"/>
      <c r="AJ1868" s="113"/>
      <c r="AK1868" s="319" t="s">
        <v>1113</v>
      </c>
      <c r="AL1868" s="113"/>
      <c r="AM1868" s="113"/>
      <c r="AN1868" s="113"/>
      <c r="AO1868" s="43" t="s">
        <v>2348</v>
      </c>
      <c r="AP1868" s="43"/>
      <c r="AQ1868" s="236" t="str">
        <f>VLOOKUP(Table8[[#This Row],[Instrument]],Def_Targets!$D$73:$E$159,2,FALSE)</f>
        <v>S_Sharedmob</v>
      </c>
      <c r="AR1868" s="233" t="str">
        <f>VLOOKUP(Table8[[#This Row],[Country Code]],Table29[],3,FALSE)</f>
        <v>Non-Annex I</v>
      </c>
      <c r="AS1868" s="233" t="str">
        <f>VLOOKUP(Table8[[#This Row],[Country Code]],Table29[],4,FALSE)</f>
        <v>Asia</v>
      </c>
      <c r="AT1868" s="233" t="str">
        <f>VLOOKUP(Table8[[#This Row],[Country Code]],Table29[],5,FALSE)</f>
        <v>High-income</v>
      </c>
      <c r="AU1868" s="233" t="str">
        <f>VLOOKUP(Table8[[#This Row],[Country Code]],Table29[],6,FALSE)</f>
        <v>no</v>
      </c>
      <c r="AV1868" s="233" t="str">
        <f>VLOOKUP(Table8[[#This Row],[Country Code]],Table29[],7,FALSE)</f>
        <v>no</v>
      </c>
      <c r="AW1868" s="233" t="str">
        <f>VLOOKUP(Table8[[#This Row],[Country Code]],Table29[],8,FALSE)</f>
        <v>non-OECD</v>
      </c>
      <c r="AX1868" s="233" t="str">
        <f>VLOOKUP(Table8[[#This Row],[Country Code]],Table29[],9,FALSE)</f>
        <v>no</v>
      </c>
      <c r="AY1868" s="233" t="str">
        <f>VLOOKUP(Table8[[#This Row],[Country Code]],Table29[],10,FALSE)</f>
        <v>no</v>
      </c>
      <c r="AZ1868" s="235">
        <f>VLOOKUP(Table8[[#This Row],[Country Code]],Table29[],23,FALSE)</f>
        <v>74.290132466078006</v>
      </c>
      <c r="BA1868" s="235">
        <f>VLOOKUP(Table8[[#This Row],[Country Code]],Table29[],24,FALSE)</f>
        <v>6.8133364043247093</v>
      </c>
      <c r="BB1868" s="320"/>
      <c r="BC1868" s="320"/>
    </row>
    <row r="1869" spans="1:55" ht="30" hidden="1" x14ac:dyDescent="0.25">
      <c r="A1869" s="360">
        <v>17733</v>
      </c>
      <c r="B1869" s="233" t="str">
        <f>VLOOKUP(Table8[[#This Row],[Document ID]],Table1[],2,FALSE)</f>
        <v>SGP</v>
      </c>
      <c r="C1869" s="233" t="str">
        <f>VLOOKUP(Table8[[#This Row],[Document ID]],Table1[],3,FALSE)</f>
        <v>Singapore</v>
      </c>
      <c r="D1869" s="233" t="str">
        <f>VLOOKUP(Table8[[#This Row],[Document ID]],Table1[],5,FALSE)</f>
        <v>NDC</v>
      </c>
      <c r="E1869" s="233" t="str">
        <f>VLOOKUP(Table8[[#This Row],[Document ID]],Table1[],7,FALSE)</f>
        <v>First NDC updated</v>
      </c>
      <c r="F1869" s="233" t="str">
        <f>VLOOKUP(Table8[[#This Row],[Document ID]],Table1[],8,FALSE)</f>
        <v>NDC 1.1</v>
      </c>
      <c r="G1869" s="233" t="str">
        <f>VLOOKUP(Table8[[#This Row],[Document ID]],Table1[],10,FALSE)</f>
        <v>Archived</v>
      </c>
      <c r="H1869" s="43" t="s">
        <v>2343</v>
      </c>
      <c r="I1869" s="43" t="s">
        <v>2361</v>
      </c>
      <c r="J1869" s="44" t="s">
        <v>2366</v>
      </c>
      <c r="K1869" s="44" t="s">
        <v>4050</v>
      </c>
      <c r="L1869" s="44" t="s">
        <v>2347</v>
      </c>
      <c r="M1869" s="43">
        <v>17</v>
      </c>
      <c r="N1869" s="113"/>
      <c r="O1869" s="113"/>
      <c r="P1869" s="113" t="s">
        <v>1113</v>
      </c>
      <c r="Q1869" s="113"/>
      <c r="R1869" s="113"/>
      <c r="S1869" s="113"/>
      <c r="T1869" s="113"/>
      <c r="U1869" s="113"/>
      <c r="V1869" s="113"/>
      <c r="W1869" s="113"/>
      <c r="X1869" s="113"/>
      <c r="Y1869" s="113"/>
      <c r="Z1869" s="113"/>
      <c r="AA1869" s="113"/>
      <c r="AB1869" s="113"/>
      <c r="AC1869" s="113"/>
      <c r="AD1869" s="113"/>
      <c r="AE1869" s="113"/>
      <c r="AF1869" s="113"/>
      <c r="AG1869" s="113"/>
      <c r="AH1869" s="113"/>
      <c r="AI1869" s="113"/>
      <c r="AJ1869" s="113"/>
      <c r="AK1869" s="113" t="s">
        <v>1113</v>
      </c>
      <c r="AL1869" s="113"/>
      <c r="AM1869" s="113"/>
      <c r="AN1869" s="113"/>
      <c r="AO1869" s="43" t="s">
        <v>2348</v>
      </c>
      <c r="AP1869" s="43"/>
      <c r="AQ1869" s="236" t="str">
        <f>VLOOKUP(Table8[[#This Row],[Instrument]],Def_Targets!$D$73:$E$159,2,FALSE)</f>
        <v>S_Activemobility</v>
      </c>
      <c r="AR1869" s="233" t="str">
        <f>VLOOKUP(Table8[[#This Row],[Country Code]],Table29[],3,FALSE)</f>
        <v>Non-Annex I</v>
      </c>
      <c r="AS1869" s="233" t="str">
        <f>VLOOKUP(Table8[[#This Row],[Country Code]],Table29[],4,FALSE)</f>
        <v>Asia</v>
      </c>
      <c r="AT1869" s="233" t="str">
        <f>VLOOKUP(Table8[[#This Row],[Country Code]],Table29[],5,FALSE)</f>
        <v>High-income</v>
      </c>
      <c r="AU1869" s="233" t="str">
        <f>VLOOKUP(Table8[[#This Row],[Country Code]],Table29[],6,FALSE)</f>
        <v>no</v>
      </c>
      <c r="AV1869" s="233" t="str">
        <f>VLOOKUP(Table8[[#This Row],[Country Code]],Table29[],7,FALSE)</f>
        <v>no</v>
      </c>
      <c r="AW1869" s="233" t="str">
        <f>VLOOKUP(Table8[[#This Row],[Country Code]],Table29[],8,FALSE)</f>
        <v>non-OECD</v>
      </c>
      <c r="AX1869" s="233" t="str">
        <f>VLOOKUP(Table8[[#This Row],[Country Code]],Table29[],9,FALSE)</f>
        <v>no</v>
      </c>
      <c r="AY1869" s="233" t="str">
        <f>VLOOKUP(Table8[[#This Row],[Country Code]],Table29[],10,FALSE)</f>
        <v>no</v>
      </c>
      <c r="AZ1869" s="235">
        <f>VLOOKUP(Table8[[#This Row],[Country Code]],Table29[],23,FALSE)</f>
        <v>74.290132466078006</v>
      </c>
      <c r="BA1869" s="235">
        <f>VLOOKUP(Table8[[#This Row],[Country Code]],Table29[],24,FALSE)</f>
        <v>6.8133364043247093</v>
      </c>
      <c r="BB1869" s="320"/>
      <c r="BC1869" s="320"/>
    </row>
    <row r="1870" spans="1:55" hidden="1" x14ac:dyDescent="0.25">
      <c r="A1870" s="360">
        <v>17733</v>
      </c>
      <c r="B1870" s="233" t="str">
        <f>VLOOKUP(Table8[[#This Row],[Document ID]],Table1[],2,FALSE)</f>
        <v>SGP</v>
      </c>
      <c r="C1870" s="233" t="str">
        <f>VLOOKUP(Table8[[#This Row],[Document ID]],Table1[],3,FALSE)</f>
        <v>Singapore</v>
      </c>
      <c r="D1870" s="233" t="str">
        <f>VLOOKUP(Table8[[#This Row],[Document ID]],Table1[],5,FALSE)</f>
        <v>NDC</v>
      </c>
      <c r="E1870" s="233" t="str">
        <f>VLOOKUP(Table8[[#This Row],[Document ID]],Table1[],7,FALSE)</f>
        <v>First NDC updated</v>
      </c>
      <c r="F1870" s="233" t="str">
        <f>VLOOKUP(Table8[[#This Row],[Document ID]],Table1[],8,FALSE)</f>
        <v>NDC 1.1</v>
      </c>
      <c r="G1870" s="233" t="str">
        <f>VLOOKUP(Table8[[#This Row],[Document ID]],Table1[],10,FALSE)</f>
        <v>Archived</v>
      </c>
      <c r="H1870" s="44" t="s">
        <v>2329</v>
      </c>
      <c r="I1870" s="44" t="s">
        <v>2330</v>
      </c>
      <c r="J1870" s="44" t="s">
        <v>2414</v>
      </c>
      <c r="K1870" s="44" t="s">
        <v>4051</v>
      </c>
      <c r="L1870" s="44" t="s">
        <v>2333</v>
      </c>
      <c r="M1870" s="43">
        <v>17</v>
      </c>
      <c r="N1870" s="113"/>
      <c r="O1870" s="113"/>
      <c r="P1870" s="113"/>
      <c r="Q1870" s="113"/>
      <c r="R1870" s="113"/>
      <c r="S1870" s="113" t="s">
        <v>1113</v>
      </c>
      <c r="T1870" s="113"/>
      <c r="U1870" s="113"/>
      <c r="V1870" s="113"/>
      <c r="W1870" s="113"/>
      <c r="X1870" s="113"/>
      <c r="Y1870" s="113"/>
      <c r="Z1870" s="113"/>
      <c r="AA1870" s="113"/>
      <c r="AB1870" s="113"/>
      <c r="AC1870" s="113"/>
      <c r="AD1870" s="113"/>
      <c r="AE1870" s="113"/>
      <c r="AF1870" s="113"/>
      <c r="AG1870" s="113"/>
      <c r="AH1870" s="113"/>
      <c r="AI1870" s="113"/>
      <c r="AJ1870" s="113"/>
      <c r="AK1870" s="113" t="s">
        <v>1113</v>
      </c>
      <c r="AL1870" s="113"/>
      <c r="AM1870" s="113"/>
      <c r="AN1870" s="113"/>
      <c r="AO1870" s="44" t="s">
        <v>2334</v>
      </c>
      <c r="AP1870" s="43"/>
      <c r="AQ1870" s="236" t="str">
        <f>VLOOKUP(Table8[[#This Row],[Instrument]],Def_Targets!$D$73:$E$159,2,FALSE)</f>
        <v>I_ICEdiesel</v>
      </c>
      <c r="AR1870" s="233" t="str">
        <f>VLOOKUP(Table8[[#This Row],[Country Code]],Table29[],3,FALSE)</f>
        <v>Non-Annex I</v>
      </c>
      <c r="AS1870" s="233" t="str">
        <f>VLOOKUP(Table8[[#This Row],[Country Code]],Table29[],4,FALSE)</f>
        <v>Asia</v>
      </c>
      <c r="AT1870" s="233" t="str">
        <f>VLOOKUP(Table8[[#This Row],[Country Code]],Table29[],5,FALSE)</f>
        <v>High-income</v>
      </c>
      <c r="AU1870" s="233" t="str">
        <f>VLOOKUP(Table8[[#This Row],[Country Code]],Table29[],6,FALSE)</f>
        <v>no</v>
      </c>
      <c r="AV1870" s="233" t="str">
        <f>VLOOKUP(Table8[[#This Row],[Country Code]],Table29[],7,FALSE)</f>
        <v>no</v>
      </c>
      <c r="AW1870" s="233" t="str">
        <f>VLOOKUP(Table8[[#This Row],[Country Code]],Table29[],8,FALSE)</f>
        <v>non-OECD</v>
      </c>
      <c r="AX1870" s="233" t="str">
        <f>VLOOKUP(Table8[[#This Row],[Country Code]],Table29[],9,FALSE)</f>
        <v>no</v>
      </c>
      <c r="AY1870" s="233" t="str">
        <f>VLOOKUP(Table8[[#This Row],[Country Code]],Table29[],10,FALSE)</f>
        <v>no</v>
      </c>
      <c r="AZ1870" s="235">
        <f>VLOOKUP(Table8[[#This Row],[Country Code]],Table29[],23,FALSE)</f>
        <v>74.290132466078006</v>
      </c>
      <c r="BA1870" s="235">
        <f>VLOOKUP(Table8[[#This Row],[Country Code]],Table29[],24,FALSE)</f>
        <v>6.8133364043247093</v>
      </c>
      <c r="BB1870" s="320"/>
      <c r="BC1870" s="320"/>
    </row>
    <row r="1871" spans="1:55" hidden="1" x14ac:dyDescent="0.25">
      <c r="A1871" s="360">
        <v>17733</v>
      </c>
      <c r="B1871" s="233" t="str">
        <f>VLOOKUP(Table8[[#This Row],[Document ID]],Table1[],2,FALSE)</f>
        <v>SGP</v>
      </c>
      <c r="C1871" s="233" t="str">
        <f>VLOOKUP(Table8[[#This Row],[Document ID]],Table1[],3,FALSE)</f>
        <v>Singapore</v>
      </c>
      <c r="D1871" s="233" t="str">
        <f>VLOOKUP(Table8[[#This Row],[Document ID]],Table1[],5,FALSE)</f>
        <v>NDC</v>
      </c>
      <c r="E1871" s="233" t="str">
        <f>VLOOKUP(Table8[[#This Row],[Document ID]],Table1[],7,FALSE)</f>
        <v>First NDC updated</v>
      </c>
      <c r="F1871" s="233" t="str">
        <f>VLOOKUP(Table8[[#This Row],[Document ID]],Table1[],8,FALSE)</f>
        <v>NDC 1.1</v>
      </c>
      <c r="G1871" s="233" t="str">
        <f>VLOOKUP(Table8[[#This Row],[Document ID]],Table1[],10,FALSE)</f>
        <v>Archived</v>
      </c>
      <c r="H1871" s="43" t="s">
        <v>2350</v>
      </c>
      <c r="I1871" s="43" t="s">
        <v>2456</v>
      </c>
      <c r="J1871" s="44" t="s">
        <v>2457</v>
      </c>
      <c r="K1871" s="44" t="s">
        <v>4052</v>
      </c>
      <c r="L1871" s="44" t="s">
        <v>2333</v>
      </c>
      <c r="M1871" s="43">
        <v>17</v>
      </c>
      <c r="N1871" s="113" t="s">
        <v>1113</v>
      </c>
      <c r="O1871" s="113"/>
      <c r="P1871" s="113"/>
      <c r="Q1871" s="113"/>
      <c r="R1871" s="113"/>
      <c r="S1871" s="113"/>
      <c r="T1871" s="113"/>
      <c r="U1871" s="113"/>
      <c r="V1871" s="113"/>
      <c r="W1871" s="113"/>
      <c r="X1871" s="113"/>
      <c r="Y1871" s="113"/>
      <c r="Z1871" s="113"/>
      <c r="AA1871" s="113"/>
      <c r="AB1871" s="113"/>
      <c r="AC1871" s="113"/>
      <c r="AD1871" s="113"/>
      <c r="AE1871" s="113"/>
      <c r="AF1871" s="113"/>
      <c r="AG1871" s="113"/>
      <c r="AH1871" s="113"/>
      <c r="AI1871" s="113"/>
      <c r="AJ1871" s="113"/>
      <c r="AK1871" s="319" t="s">
        <v>1113</v>
      </c>
      <c r="AL1871" s="113"/>
      <c r="AM1871" s="113"/>
      <c r="AN1871" s="113"/>
      <c r="AO1871" s="44" t="s">
        <v>2334</v>
      </c>
      <c r="AP1871" s="43"/>
      <c r="AQ1871" s="236" t="str">
        <f>VLOOKUP(Table8[[#This Row],[Instrument]],Def_Targets!$D$73:$E$159,2,FALSE)</f>
        <v>S_Infraimprove</v>
      </c>
      <c r="AR1871" s="233" t="str">
        <f>VLOOKUP(Table8[[#This Row],[Country Code]],Table29[],3,FALSE)</f>
        <v>Non-Annex I</v>
      </c>
      <c r="AS1871" s="233" t="str">
        <f>VLOOKUP(Table8[[#This Row],[Country Code]],Table29[],4,FALSE)</f>
        <v>Asia</v>
      </c>
      <c r="AT1871" s="233" t="str">
        <f>VLOOKUP(Table8[[#This Row],[Country Code]],Table29[],5,FALSE)</f>
        <v>High-income</v>
      </c>
      <c r="AU1871" s="233" t="str">
        <f>VLOOKUP(Table8[[#This Row],[Country Code]],Table29[],6,FALSE)</f>
        <v>no</v>
      </c>
      <c r="AV1871" s="233" t="str">
        <f>VLOOKUP(Table8[[#This Row],[Country Code]],Table29[],7,FALSE)</f>
        <v>no</v>
      </c>
      <c r="AW1871" s="233" t="str">
        <f>VLOOKUP(Table8[[#This Row],[Country Code]],Table29[],8,FALSE)</f>
        <v>non-OECD</v>
      </c>
      <c r="AX1871" s="233" t="str">
        <f>VLOOKUP(Table8[[#This Row],[Country Code]],Table29[],9,FALSE)</f>
        <v>no</v>
      </c>
      <c r="AY1871" s="233" t="str">
        <f>VLOOKUP(Table8[[#This Row],[Country Code]],Table29[],10,FALSE)</f>
        <v>no</v>
      </c>
      <c r="AZ1871" s="235">
        <f>VLOOKUP(Table8[[#This Row],[Country Code]],Table29[],23,FALSE)</f>
        <v>74.290132466078006</v>
      </c>
      <c r="BA1871" s="235">
        <f>VLOOKUP(Table8[[#This Row],[Country Code]],Table29[],24,FALSE)</f>
        <v>6.8133364043247093</v>
      </c>
      <c r="BB1871" s="320"/>
      <c r="BC1871" s="320"/>
    </row>
    <row r="1872" spans="1:55" ht="135" hidden="1" x14ac:dyDescent="0.25">
      <c r="A1872" s="360">
        <v>17732</v>
      </c>
      <c r="B1872" s="233" t="str">
        <f>VLOOKUP(Table8[[#This Row],[Document ID]],Table1[],2,FALSE)</f>
        <v>SGP</v>
      </c>
      <c r="C1872" s="233" t="str">
        <f>VLOOKUP(Table8[[#This Row],[Document ID]],Table1[],3,FALSE)</f>
        <v>Singapore</v>
      </c>
      <c r="D1872" s="233" t="str">
        <f>VLOOKUP(Table8[[#This Row],[Document ID]],Table1[],5,FALSE)</f>
        <v>LTS</v>
      </c>
      <c r="E1872" s="233" t="str">
        <f>VLOOKUP(Table8[[#This Row],[Document ID]],Table1[],7,FALSE)</f>
        <v>Archived LTS 1.0</v>
      </c>
      <c r="F1872" s="233" t="str">
        <f>VLOOKUP(Table8[[#This Row],[Document ID]],Table1[],8,FALSE)</f>
        <v>LTS 1.0</v>
      </c>
      <c r="G1872" s="233" t="str">
        <f>VLOOKUP(Table8[[#This Row],[Document ID]],Table1[],10,FALSE)</f>
        <v>Archived</v>
      </c>
      <c r="H1872" s="43" t="s">
        <v>2343</v>
      </c>
      <c r="I1872" s="43" t="s">
        <v>2361</v>
      </c>
      <c r="J1872" s="44" t="s">
        <v>2366</v>
      </c>
      <c r="K1872" s="44" t="s">
        <v>4053</v>
      </c>
      <c r="L1872" s="44" t="s">
        <v>2347</v>
      </c>
      <c r="M1872" s="43">
        <v>52</v>
      </c>
      <c r="N1872" s="113"/>
      <c r="O1872" s="113"/>
      <c r="P1872" s="113" t="s">
        <v>1113</v>
      </c>
      <c r="Q1872" s="113" t="s">
        <v>1113</v>
      </c>
      <c r="R1872" s="113" t="s">
        <v>1113</v>
      </c>
      <c r="S1872" s="113"/>
      <c r="T1872" s="113"/>
      <c r="U1872" s="113"/>
      <c r="V1872" s="113"/>
      <c r="W1872" s="113"/>
      <c r="X1872" s="113"/>
      <c r="Y1872" s="113"/>
      <c r="Z1872" s="113"/>
      <c r="AA1872" s="113"/>
      <c r="AB1872" s="113"/>
      <c r="AC1872" s="113"/>
      <c r="AD1872" s="113"/>
      <c r="AE1872" s="113"/>
      <c r="AF1872" s="113"/>
      <c r="AG1872" s="113"/>
      <c r="AH1872" s="113"/>
      <c r="AI1872" s="113"/>
      <c r="AJ1872" s="113"/>
      <c r="AK1872" s="113"/>
      <c r="AL1872" s="113" t="s">
        <v>1113</v>
      </c>
      <c r="AM1872" s="113"/>
      <c r="AN1872" s="113"/>
      <c r="AO1872" s="43" t="s">
        <v>2348</v>
      </c>
      <c r="AP1872" s="43"/>
      <c r="AQ1872" s="236" t="str">
        <f>VLOOKUP(Table8[[#This Row],[Instrument]],Def_Targets!$D$73:$E$159,2,FALSE)</f>
        <v>S_Activemobility</v>
      </c>
      <c r="AR1872" s="233" t="str">
        <f>VLOOKUP(Table8[[#This Row],[Country Code]],Table29[],3,FALSE)</f>
        <v>Non-Annex I</v>
      </c>
      <c r="AS1872" s="233" t="str">
        <f>VLOOKUP(Table8[[#This Row],[Country Code]],Table29[],4,FALSE)</f>
        <v>Asia</v>
      </c>
      <c r="AT1872" s="233" t="str">
        <f>VLOOKUP(Table8[[#This Row],[Country Code]],Table29[],5,FALSE)</f>
        <v>High-income</v>
      </c>
      <c r="AU1872" s="233" t="str">
        <f>VLOOKUP(Table8[[#This Row],[Country Code]],Table29[],6,FALSE)</f>
        <v>no</v>
      </c>
      <c r="AV1872" s="233" t="str">
        <f>VLOOKUP(Table8[[#This Row],[Country Code]],Table29[],7,FALSE)</f>
        <v>no</v>
      </c>
      <c r="AW1872" s="233" t="str">
        <f>VLOOKUP(Table8[[#This Row],[Country Code]],Table29[],8,FALSE)</f>
        <v>non-OECD</v>
      </c>
      <c r="AX1872" s="233" t="str">
        <f>VLOOKUP(Table8[[#This Row],[Country Code]],Table29[],9,FALSE)</f>
        <v>no</v>
      </c>
      <c r="AY1872" s="233" t="str">
        <f>VLOOKUP(Table8[[#This Row],[Country Code]],Table29[],10,FALSE)</f>
        <v>no</v>
      </c>
      <c r="AZ1872" s="235">
        <f>VLOOKUP(Table8[[#This Row],[Country Code]],Table29[],23,FALSE)</f>
        <v>74.290132466078006</v>
      </c>
      <c r="BA1872" s="235">
        <f>VLOOKUP(Table8[[#This Row],[Country Code]],Table29[],24,FALSE)</f>
        <v>6.8133364043247093</v>
      </c>
      <c r="BB1872" s="320"/>
      <c r="BC1872" s="320"/>
    </row>
    <row r="1873" spans="1:55" ht="45" hidden="1" x14ac:dyDescent="0.25">
      <c r="A1873" s="360">
        <v>17732</v>
      </c>
      <c r="B1873" s="233" t="str">
        <f>VLOOKUP(Table8[[#This Row],[Document ID]],Table1[],2,FALSE)</f>
        <v>SGP</v>
      </c>
      <c r="C1873" s="233" t="str">
        <f>VLOOKUP(Table8[[#This Row],[Document ID]],Table1[],3,FALSE)</f>
        <v>Singapore</v>
      </c>
      <c r="D1873" s="233" t="str">
        <f>VLOOKUP(Table8[[#This Row],[Document ID]],Table1[],5,FALSE)</f>
        <v>LTS</v>
      </c>
      <c r="E1873" s="233" t="str">
        <f>VLOOKUP(Table8[[#This Row],[Document ID]],Table1[],7,FALSE)</f>
        <v>Archived LTS 1.0</v>
      </c>
      <c r="F1873" s="233" t="str">
        <f>VLOOKUP(Table8[[#This Row],[Document ID]],Table1[],8,FALSE)</f>
        <v>LTS 1.0</v>
      </c>
      <c r="G1873" s="233" t="str">
        <f>VLOOKUP(Table8[[#This Row],[Document ID]],Table1[],10,FALSE)</f>
        <v>Archived</v>
      </c>
      <c r="H1873" s="43" t="s">
        <v>2343</v>
      </c>
      <c r="I1873" s="43" t="s">
        <v>2361</v>
      </c>
      <c r="J1873" s="44" t="s">
        <v>2366</v>
      </c>
      <c r="K1873" s="44" t="s">
        <v>4054</v>
      </c>
      <c r="L1873" s="44" t="s">
        <v>2347</v>
      </c>
      <c r="M1873" s="43">
        <v>54</v>
      </c>
      <c r="N1873" s="113"/>
      <c r="O1873" s="113"/>
      <c r="P1873" s="113" t="s">
        <v>1113</v>
      </c>
      <c r="Q1873" s="113" t="s">
        <v>1113</v>
      </c>
      <c r="R1873" s="113" t="s">
        <v>1113</v>
      </c>
      <c r="S1873" s="113"/>
      <c r="T1873" s="113"/>
      <c r="U1873" s="113"/>
      <c r="V1873" s="113"/>
      <c r="W1873" s="113"/>
      <c r="X1873" s="113"/>
      <c r="Y1873" s="113"/>
      <c r="Z1873" s="113"/>
      <c r="AA1873" s="113"/>
      <c r="AB1873" s="113"/>
      <c r="AC1873" s="113"/>
      <c r="AD1873" s="113"/>
      <c r="AE1873" s="113"/>
      <c r="AF1873" s="113"/>
      <c r="AG1873" s="113"/>
      <c r="AH1873" s="113"/>
      <c r="AI1873" s="113"/>
      <c r="AJ1873" s="113"/>
      <c r="AK1873" s="113"/>
      <c r="AL1873" s="113" t="s">
        <v>1113</v>
      </c>
      <c r="AM1873" s="113"/>
      <c r="AN1873" s="113"/>
      <c r="AO1873" s="43" t="s">
        <v>2348</v>
      </c>
      <c r="AP1873" s="43"/>
      <c r="AQ1873" s="236" t="str">
        <f>VLOOKUP(Table8[[#This Row],[Instrument]],Def_Targets!$D$73:$E$159,2,FALSE)</f>
        <v>S_Activemobility</v>
      </c>
      <c r="AR1873" s="233" t="str">
        <f>VLOOKUP(Table8[[#This Row],[Country Code]],Table29[],3,FALSE)</f>
        <v>Non-Annex I</v>
      </c>
      <c r="AS1873" s="233" t="str">
        <f>VLOOKUP(Table8[[#This Row],[Country Code]],Table29[],4,FALSE)</f>
        <v>Asia</v>
      </c>
      <c r="AT1873" s="233" t="str">
        <f>VLOOKUP(Table8[[#This Row],[Country Code]],Table29[],5,FALSE)</f>
        <v>High-income</v>
      </c>
      <c r="AU1873" s="233" t="str">
        <f>VLOOKUP(Table8[[#This Row],[Country Code]],Table29[],6,FALSE)</f>
        <v>no</v>
      </c>
      <c r="AV1873" s="233" t="str">
        <f>VLOOKUP(Table8[[#This Row],[Country Code]],Table29[],7,FALSE)</f>
        <v>no</v>
      </c>
      <c r="AW1873" s="233" t="str">
        <f>VLOOKUP(Table8[[#This Row],[Country Code]],Table29[],8,FALSE)</f>
        <v>non-OECD</v>
      </c>
      <c r="AX1873" s="233" t="str">
        <f>VLOOKUP(Table8[[#This Row],[Country Code]],Table29[],9,FALSE)</f>
        <v>no</v>
      </c>
      <c r="AY1873" s="233" t="str">
        <f>VLOOKUP(Table8[[#This Row],[Country Code]],Table29[],10,FALSE)</f>
        <v>no</v>
      </c>
      <c r="AZ1873" s="235">
        <f>VLOOKUP(Table8[[#This Row],[Country Code]],Table29[],23,FALSE)</f>
        <v>74.290132466078006</v>
      </c>
      <c r="BA1873" s="235">
        <f>VLOOKUP(Table8[[#This Row],[Country Code]],Table29[],24,FALSE)</f>
        <v>6.8133364043247093</v>
      </c>
      <c r="BB1873" s="320"/>
      <c r="BC1873" s="320"/>
    </row>
    <row r="1874" spans="1:55" hidden="1" x14ac:dyDescent="0.25">
      <c r="A1874" s="360">
        <v>17732</v>
      </c>
      <c r="B1874" s="233" t="str">
        <f>VLOOKUP(Table8[[#This Row],[Document ID]],Table1[],2,FALSE)</f>
        <v>SGP</v>
      </c>
      <c r="C1874" s="233" t="str">
        <f>VLOOKUP(Table8[[#This Row],[Document ID]],Table1[],3,FALSE)</f>
        <v>Singapore</v>
      </c>
      <c r="D1874" s="233" t="str">
        <f>VLOOKUP(Table8[[#This Row],[Document ID]],Table1[],5,FALSE)</f>
        <v>LTS</v>
      </c>
      <c r="E1874" s="233" t="str">
        <f>VLOOKUP(Table8[[#This Row],[Document ID]],Table1[],7,FALSE)</f>
        <v>Archived LTS 1.0</v>
      </c>
      <c r="F1874" s="233" t="str">
        <f>VLOOKUP(Table8[[#This Row],[Document ID]],Table1[],8,FALSE)</f>
        <v>LTS 1.0</v>
      </c>
      <c r="G1874" s="233" t="str">
        <f>VLOOKUP(Table8[[#This Row],[Document ID]],Table1[],10,FALSE)</f>
        <v>Archived</v>
      </c>
      <c r="H1874" s="43" t="s">
        <v>2343</v>
      </c>
      <c r="I1874" s="43" t="s">
        <v>2361</v>
      </c>
      <c r="J1874" s="44" t="s">
        <v>2362</v>
      </c>
      <c r="K1874" s="44" t="s">
        <v>4055</v>
      </c>
      <c r="L1874" s="44" t="s">
        <v>2347</v>
      </c>
      <c r="M1874" s="43">
        <v>54</v>
      </c>
      <c r="N1874" s="113"/>
      <c r="O1874" s="113"/>
      <c r="P1874" s="113"/>
      <c r="Q1874" s="113"/>
      <c r="R1874" s="113" t="s">
        <v>1113</v>
      </c>
      <c r="S1874" s="113"/>
      <c r="T1874" s="113"/>
      <c r="U1874" s="113"/>
      <c r="V1874" s="113"/>
      <c r="W1874" s="113"/>
      <c r="X1874" s="113"/>
      <c r="Y1874" s="113"/>
      <c r="Z1874" s="113"/>
      <c r="AA1874" s="113"/>
      <c r="AB1874" s="113"/>
      <c r="AC1874" s="113"/>
      <c r="AD1874" s="113"/>
      <c r="AE1874" s="113"/>
      <c r="AF1874" s="113"/>
      <c r="AG1874" s="113"/>
      <c r="AH1874" s="113"/>
      <c r="AI1874" s="113"/>
      <c r="AJ1874" s="113"/>
      <c r="AK1874" s="319"/>
      <c r="AL1874" s="113" t="s">
        <v>1113</v>
      </c>
      <c r="AM1874" s="113"/>
      <c r="AN1874" s="113"/>
      <c r="AO1874" s="44" t="s">
        <v>2334</v>
      </c>
      <c r="AP1874" s="43"/>
      <c r="AQ1874" s="236" t="str">
        <f>VLOOKUP(Table8[[#This Row],[Instrument]],Def_Targets!$D$73:$E$159,2,FALSE)</f>
        <v>S_Cycling</v>
      </c>
      <c r="AR1874" s="233" t="str">
        <f>VLOOKUP(Table8[[#This Row],[Country Code]],Table29[],3,FALSE)</f>
        <v>Non-Annex I</v>
      </c>
      <c r="AS1874" s="233" t="str">
        <f>VLOOKUP(Table8[[#This Row],[Country Code]],Table29[],4,FALSE)</f>
        <v>Asia</v>
      </c>
      <c r="AT1874" s="233" t="str">
        <f>VLOOKUP(Table8[[#This Row],[Country Code]],Table29[],5,FALSE)</f>
        <v>High-income</v>
      </c>
      <c r="AU1874" s="233" t="str">
        <f>VLOOKUP(Table8[[#This Row],[Country Code]],Table29[],6,FALSE)</f>
        <v>no</v>
      </c>
      <c r="AV1874" s="233" t="str">
        <f>VLOOKUP(Table8[[#This Row],[Country Code]],Table29[],7,FALSE)</f>
        <v>no</v>
      </c>
      <c r="AW1874" s="233" t="str">
        <f>VLOOKUP(Table8[[#This Row],[Country Code]],Table29[],8,FALSE)</f>
        <v>non-OECD</v>
      </c>
      <c r="AX1874" s="233" t="str">
        <f>VLOOKUP(Table8[[#This Row],[Country Code]],Table29[],9,FALSE)</f>
        <v>no</v>
      </c>
      <c r="AY1874" s="233" t="str">
        <f>VLOOKUP(Table8[[#This Row],[Country Code]],Table29[],10,FALSE)</f>
        <v>no</v>
      </c>
      <c r="AZ1874" s="235">
        <f>VLOOKUP(Table8[[#This Row],[Country Code]],Table29[],23,FALSE)</f>
        <v>74.290132466078006</v>
      </c>
      <c r="BA1874" s="235">
        <f>VLOOKUP(Table8[[#This Row],[Country Code]],Table29[],24,FALSE)</f>
        <v>6.8133364043247093</v>
      </c>
      <c r="BB1874" s="320"/>
      <c r="BC1874" s="320"/>
    </row>
    <row r="1875" spans="1:55" ht="120" hidden="1" x14ac:dyDescent="0.25">
      <c r="A1875" s="360">
        <v>17732</v>
      </c>
      <c r="B1875" s="233" t="str">
        <f>VLOOKUP(Table8[[#This Row],[Document ID]],Table1[],2,FALSE)</f>
        <v>SGP</v>
      </c>
      <c r="C1875" s="233" t="str">
        <f>VLOOKUP(Table8[[#This Row],[Document ID]],Table1[],3,FALSE)</f>
        <v>Singapore</v>
      </c>
      <c r="D1875" s="233" t="str">
        <f>VLOOKUP(Table8[[#This Row],[Document ID]],Table1[],5,FALSE)</f>
        <v>LTS</v>
      </c>
      <c r="E1875" s="233" t="str">
        <f>VLOOKUP(Table8[[#This Row],[Document ID]],Table1[],7,FALSE)</f>
        <v>Archived LTS 1.0</v>
      </c>
      <c r="F1875" s="233" t="str">
        <f>VLOOKUP(Table8[[#This Row],[Document ID]],Table1[],8,FALSE)</f>
        <v>LTS 1.0</v>
      </c>
      <c r="G1875" s="233" t="str">
        <f>VLOOKUP(Table8[[#This Row],[Document ID]],Table1[],10,FALSE)</f>
        <v>Archived</v>
      </c>
      <c r="H1875" s="43" t="s">
        <v>2343</v>
      </c>
      <c r="I1875" s="43" t="s">
        <v>2361</v>
      </c>
      <c r="J1875" s="44" t="s">
        <v>2366</v>
      </c>
      <c r="K1875" s="44" t="s">
        <v>4056</v>
      </c>
      <c r="L1875" s="44" t="s">
        <v>2347</v>
      </c>
      <c r="M1875" s="43">
        <v>54</v>
      </c>
      <c r="N1875" s="113"/>
      <c r="O1875" s="113"/>
      <c r="P1875" s="113"/>
      <c r="Q1875" s="113" t="s">
        <v>1113</v>
      </c>
      <c r="R1875" s="113" t="s">
        <v>1113</v>
      </c>
      <c r="S1875" s="113"/>
      <c r="T1875" s="113"/>
      <c r="U1875" s="113"/>
      <c r="V1875" s="113"/>
      <c r="W1875" s="113"/>
      <c r="X1875" s="113"/>
      <c r="Y1875" s="113"/>
      <c r="Z1875" s="113"/>
      <c r="AA1875" s="113"/>
      <c r="AB1875" s="113"/>
      <c r="AC1875" s="113"/>
      <c r="AD1875" s="113"/>
      <c r="AE1875" s="113"/>
      <c r="AF1875" s="113"/>
      <c r="AG1875" s="113"/>
      <c r="AH1875" s="113"/>
      <c r="AI1875" s="113"/>
      <c r="AJ1875" s="113"/>
      <c r="AK1875" s="113"/>
      <c r="AL1875" s="113" t="s">
        <v>1113</v>
      </c>
      <c r="AM1875" s="113"/>
      <c r="AN1875" s="113"/>
      <c r="AO1875" s="44" t="s">
        <v>2334</v>
      </c>
      <c r="AP1875" s="43"/>
      <c r="AQ1875" s="236" t="str">
        <f>VLOOKUP(Table8[[#This Row],[Instrument]],Def_Targets!$D$73:$E$159,2,FALSE)</f>
        <v>S_Activemobility</v>
      </c>
      <c r="AR1875" s="233" t="str">
        <f>VLOOKUP(Table8[[#This Row],[Country Code]],Table29[],3,FALSE)</f>
        <v>Non-Annex I</v>
      </c>
      <c r="AS1875" s="233" t="str">
        <f>VLOOKUP(Table8[[#This Row],[Country Code]],Table29[],4,FALSE)</f>
        <v>Asia</v>
      </c>
      <c r="AT1875" s="233" t="str">
        <f>VLOOKUP(Table8[[#This Row],[Country Code]],Table29[],5,FALSE)</f>
        <v>High-income</v>
      </c>
      <c r="AU1875" s="233" t="str">
        <f>VLOOKUP(Table8[[#This Row],[Country Code]],Table29[],6,FALSE)</f>
        <v>no</v>
      </c>
      <c r="AV1875" s="233" t="str">
        <f>VLOOKUP(Table8[[#This Row],[Country Code]],Table29[],7,FALSE)</f>
        <v>no</v>
      </c>
      <c r="AW1875" s="233" t="str">
        <f>VLOOKUP(Table8[[#This Row],[Country Code]],Table29[],8,FALSE)</f>
        <v>non-OECD</v>
      </c>
      <c r="AX1875" s="233" t="str">
        <f>VLOOKUP(Table8[[#This Row],[Country Code]],Table29[],9,FALSE)</f>
        <v>no</v>
      </c>
      <c r="AY1875" s="233" t="str">
        <f>VLOOKUP(Table8[[#This Row],[Country Code]],Table29[],10,FALSE)</f>
        <v>no</v>
      </c>
      <c r="AZ1875" s="235">
        <f>VLOOKUP(Table8[[#This Row],[Country Code]],Table29[],23,FALSE)</f>
        <v>74.290132466078006</v>
      </c>
      <c r="BA1875" s="235">
        <f>VLOOKUP(Table8[[#This Row],[Country Code]],Table29[],24,FALSE)</f>
        <v>6.8133364043247093</v>
      </c>
      <c r="BB1875" s="320"/>
      <c r="BC1875" s="320"/>
    </row>
    <row r="1876" spans="1:55" hidden="1" x14ac:dyDescent="0.25">
      <c r="A1876" s="360">
        <v>17732</v>
      </c>
      <c r="B1876" s="233" t="str">
        <f>VLOOKUP(Table8[[#This Row],[Document ID]],Table1[],2,FALSE)</f>
        <v>SGP</v>
      </c>
      <c r="C1876" s="233" t="str">
        <f>VLOOKUP(Table8[[#This Row],[Document ID]],Table1[],3,FALSE)</f>
        <v>Singapore</v>
      </c>
      <c r="D1876" s="233" t="str">
        <f>VLOOKUP(Table8[[#This Row],[Document ID]],Table1[],5,FALSE)</f>
        <v>LTS</v>
      </c>
      <c r="E1876" s="233" t="str">
        <f>VLOOKUP(Table8[[#This Row],[Document ID]],Table1[],7,FALSE)</f>
        <v>Archived LTS 1.0</v>
      </c>
      <c r="F1876" s="233" t="str">
        <f>VLOOKUP(Table8[[#This Row],[Document ID]],Table1[],8,FALSE)</f>
        <v>LTS 1.0</v>
      </c>
      <c r="G1876" s="233" t="str">
        <f>VLOOKUP(Table8[[#This Row],[Document ID]],Table1[],10,FALSE)</f>
        <v>Archived</v>
      </c>
      <c r="H1876" s="43" t="s">
        <v>2350</v>
      </c>
      <c r="I1876" s="43" t="s">
        <v>2456</v>
      </c>
      <c r="J1876" s="44" t="s">
        <v>2466</v>
      </c>
      <c r="K1876" s="44" t="s">
        <v>4057</v>
      </c>
      <c r="L1876" s="44" t="s">
        <v>2347</v>
      </c>
      <c r="M1876" s="43">
        <v>54</v>
      </c>
      <c r="N1876" s="113"/>
      <c r="O1876" s="113"/>
      <c r="P1876" s="113"/>
      <c r="Q1876" s="113"/>
      <c r="R1876" s="113"/>
      <c r="S1876" s="113"/>
      <c r="T1876" s="113"/>
      <c r="U1876" s="113"/>
      <c r="V1876" s="113"/>
      <c r="W1876" s="113"/>
      <c r="X1876" s="113"/>
      <c r="Y1876" s="113" t="s">
        <v>1113</v>
      </c>
      <c r="Z1876" s="113"/>
      <c r="AA1876" s="113"/>
      <c r="AB1876" s="113"/>
      <c r="AC1876" s="113" t="s">
        <v>1113</v>
      </c>
      <c r="AD1876" s="113"/>
      <c r="AE1876" s="113"/>
      <c r="AF1876" s="113"/>
      <c r="AG1876" s="113"/>
      <c r="AH1876" s="113"/>
      <c r="AI1876" s="113"/>
      <c r="AJ1876" s="113"/>
      <c r="AK1876" s="113"/>
      <c r="AL1876" s="113" t="s">
        <v>1113</v>
      </c>
      <c r="AM1876" s="113"/>
      <c r="AN1876" s="113"/>
      <c r="AO1876" s="43" t="s">
        <v>2348</v>
      </c>
      <c r="AP1876" s="43"/>
      <c r="AQ1876" s="236" t="str">
        <f>VLOOKUP(Table8[[#This Row],[Instrument]],Def_Targets!$D$73:$E$159,2,FALSE)</f>
        <v>S_Infraexpansion</v>
      </c>
      <c r="AR1876" s="233" t="str">
        <f>VLOOKUP(Table8[[#This Row],[Country Code]],Table29[],3,FALSE)</f>
        <v>Non-Annex I</v>
      </c>
      <c r="AS1876" s="233" t="str">
        <f>VLOOKUP(Table8[[#This Row],[Country Code]],Table29[],4,FALSE)</f>
        <v>Asia</v>
      </c>
      <c r="AT1876" s="233" t="str">
        <f>VLOOKUP(Table8[[#This Row],[Country Code]],Table29[],5,FALSE)</f>
        <v>High-income</v>
      </c>
      <c r="AU1876" s="233" t="str">
        <f>VLOOKUP(Table8[[#This Row],[Country Code]],Table29[],6,FALSE)</f>
        <v>no</v>
      </c>
      <c r="AV1876" s="233" t="str">
        <f>VLOOKUP(Table8[[#This Row],[Country Code]],Table29[],7,FALSE)</f>
        <v>no</v>
      </c>
      <c r="AW1876" s="233" t="str">
        <f>VLOOKUP(Table8[[#This Row],[Country Code]],Table29[],8,FALSE)</f>
        <v>non-OECD</v>
      </c>
      <c r="AX1876" s="233" t="str">
        <f>VLOOKUP(Table8[[#This Row],[Country Code]],Table29[],9,FALSE)</f>
        <v>no</v>
      </c>
      <c r="AY1876" s="233" t="str">
        <f>VLOOKUP(Table8[[#This Row],[Country Code]],Table29[],10,FALSE)</f>
        <v>no</v>
      </c>
      <c r="AZ1876" s="235">
        <f>VLOOKUP(Table8[[#This Row],[Country Code]],Table29[],23,FALSE)</f>
        <v>74.290132466078006</v>
      </c>
      <c r="BA1876" s="235">
        <f>VLOOKUP(Table8[[#This Row],[Country Code]],Table29[],24,FALSE)</f>
        <v>6.8133364043247093</v>
      </c>
      <c r="BB1876" s="320"/>
      <c r="BC1876" s="320"/>
    </row>
    <row r="1877" spans="1:55" ht="30" hidden="1" x14ac:dyDescent="0.25">
      <c r="A1877" s="360">
        <v>17732</v>
      </c>
      <c r="B1877" s="233" t="str">
        <f>VLOOKUP(Table8[[#This Row],[Document ID]],Table1[],2,FALSE)</f>
        <v>SGP</v>
      </c>
      <c r="C1877" s="233" t="str">
        <f>VLOOKUP(Table8[[#This Row],[Document ID]],Table1[],3,FALSE)</f>
        <v>Singapore</v>
      </c>
      <c r="D1877" s="233" t="str">
        <f>VLOOKUP(Table8[[#This Row],[Document ID]],Table1[],5,FALSE)</f>
        <v>LTS</v>
      </c>
      <c r="E1877" s="233" t="str">
        <f>VLOOKUP(Table8[[#This Row],[Document ID]],Table1[],7,FALSE)</f>
        <v>Archived LTS 1.0</v>
      </c>
      <c r="F1877" s="233" t="str">
        <f>VLOOKUP(Table8[[#This Row],[Document ID]],Table1[],8,FALSE)</f>
        <v>LTS 1.0</v>
      </c>
      <c r="G1877" s="233" t="str">
        <f>VLOOKUP(Table8[[#This Row],[Document ID]],Table1[],10,FALSE)</f>
        <v>Archived</v>
      </c>
      <c r="H1877" s="43" t="s">
        <v>2350</v>
      </c>
      <c r="I1877" s="43" t="s">
        <v>2456</v>
      </c>
      <c r="J1877" s="44" t="s">
        <v>2466</v>
      </c>
      <c r="K1877" s="44" t="s">
        <v>4058</v>
      </c>
      <c r="L1877" s="44" t="s">
        <v>2347</v>
      </c>
      <c r="M1877" s="43">
        <v>54</v>
      </c>
      <c r="N1877" s="113"/>
      <c r="O1877" s="113"/>
      <c r="P1877" s="113"/>
      <c r="Q1877" s="113"/>
      <c r="R1877" s="113"/>
      <c r="S1877" s="113"/>
      <c r="T1877" s="113"/>
      <c r="U1877" s="113"/>
      <c r="V1877" s="113"/>
      <c r="W1877" s="113"/>
      <c r="X1877" s="113"/>
      <c r="Y1877" s="113"/>
      <c r="Z1877" s="113"/>
      <c r="AA1877" s="113"/>
      <c r="AB1877" s="113"/>
      <c r="AC1877" s="113" t="s">
        <v>1113</v>
      </c>
      <c r="AD1877" s="113"/>
      <c r="AE1877" s="113"/>
      <c r="AF1877" s="113"/>
      <c r="AG1877" s="113"/>
      <c r="AH1877" s="113"/>
      <c r="AI1877" s="113"/>
      <c r="AJ1877" s="113"/>
      <c r="AK1877" s="113"/>
      <c r="AL1877" s="113" t="s">
        <v>1113</v>
      </c>
      <c r="AM1877" s="113"/>
      <c r="AN1877" s="113"/>
      <c r="AO1877" s="43" t="s">
        <v>2348</v>
      </c>
      <c r="AP1877" s="43"/>
      <c r="AQ1877" s="236" t="str">
        <f>VLOOKUP(Table8[[#This Row],[Instrument]],Def_Targets!$D$73:$E$159,2,FALSE)</f>
        <v>S_Infraexpansion</v>
      </c>
      <c r="AR1877" s="233" t="str">
        <f>VLOOKUP(Table8[[#This Row],[Country Code]],Table29[],3,FALSE)</f>
        <v>Non-Annex I</v>
      </c>
      <c r="AS1877" s="233" t="str">
        <f>VLOOKUP(Table8[[#This Row],[Country Code]],Table29[],4,FALSE)</f>
        <v>Asia</v>
      </c>
      <c r="AT1877" s="233" t="str">
        <f>VLOOKUP(Table8[[#This Row],[Country Code]],Table29[],5,FALSE)</f>
        <v>High-income</v>
      </c>
      <c r="AU1877" s="233" t="str">
        <f>VLOOKUP(Table8[[#This Row],[Country Code]],Table29[],6,FALSE)</f>
        <v>no</v>
      </c>
      <c r="AV1877" s="233" t="str">
        <f>VLOOKUP(Table8[[#This Row],[Country Code]],Table29[],7,FALSE)</f>
        <v>no</v>
      </c>
      <c r="AW1877" s="233" t="str">
        <f>VLOOKUP(Table8[[#This Row],[Country Code]],Table29[],8,FALSE)</f>
        <v>non-OECD</v>
      </c>
      <c r="AX1877" s="233" t="str">
        <f>VLOOKUP(Table8[[#This Row],[Country Code]],Table29[],9,FALSE)</f>
        <v>no</v>
      </c>
      <c r="AY1877" s="233" t="str">
        <f>VLOOKUP(Table8[[#This Row],[Country Code]],Table29[],10,FALSE)</f>
        <v>no</v>
      </c>
      <c r="AZ1877" s="235">
        <f>VLOOKUP(Table8[[#This Row],[Country Code]],Table29[],23,FALSE)</f>
        <v>74.290132466078006</v>
      </c>
      <c r="BA1877" s="235">
        <f>VLOOKUP(Table8[[#This Row],[Country Code]],Table29[],24,FALSE)</f>
        <v>6.8133364043247093</v>
      </c>
      <c r="BB1877" s="320"/>
      <c r="BC1877" s="320"/>
    </row>
    <row r="1878" spans="1:55" ht="30" hidden="1" x14ac:dyDescent="0.25">
      <c r="A1878" s="360">
        <v>17732</v>
      </c>
      <c r="B1878" s="233" t="str">
        <f>VLOOKUP(Table8[[#This Row],[Document ID]],Table1[],2,FALSE)</f>
        <v>SGP</v>
      </c>
      <c r="C1878" s="233" t="str">
        <f>VLOOKUP(Table8[[#This Row],[Document ID]],Table1[],3,FALSE)</f>
        <v>Singapore</v>
      </c>
      <c r="D1878" s="233" t="str">
        <f>VLOOKUP(Table8[[#This Row],[Document ID]],Table1[],5,FALSE)</f>
        <v>LTS</v>
      </c>
      <c r="E1878" s="233" t="str">
        <f>VLOOKUP(Table8[[#This Row],[Document ID]],Table1[],7,FALSE)</f>
        <v>Archived LTS 1.0</v>
      </c>
      <c r="F1878" s="233" t="str">
        <f>VLOOKUP(Table8[[#This Row],[Document ID]],Table1[],8,FALSE)</f>
        <v>LTS 1.0</v>
      </c>
      <c r="G1878" s="233" t="str">
        <f>VLOOKUP(Table8[[#This Row],[Document ID]],Table1[],10,FALSE)</f>
        <v>Archived</v>
      </c>
      <c r="H1878" s="43" t="s">
        <v>2343</v>
      </c>
      <c r="I1878" s="43" t="s">
        <v>2344</v>
      </c>
      <c r="J1878" s="44" t="s">
        <v>2564</v>
      </c>
      <c r="K1878" s="44" t="s">
        <v>4059</v>
      </c>
      <c r="L1878" s="44" t="s">
        <v>2347</v>
      </c>
      <c r="M1878" s="43">
        <v>54</v>
      </c>
      <c r="N1878" s="113"/>
      <c r="O1878" s="113"/>
      <c r="P1878" s="113"/>
      <c r="Q1878" s="113"/>
      <c r="R1878" s="113"/>
      <c r="S1878" s="113"/>
      <c r="T1878" s="113"/>
      <c r="U1878" s="113"/>
      <c r="V1878" s="113"/>
      <c r="W1878" s="113"/>
      <c r="X1878" s="113"/>
      <c r="Y1878" s="113" t="s">
        <v>1113</v>
      </c>
      <c r="Z1878" s="113"/>
      <c r="AA1878" s="113"/>
      <c r="AB1878" s="113"/>
      <c r="AC1878" s="113" t="s">
        <v>1113</v>
      </c>
      <c r="AD1878" s="113"/>
      <c r="AE1878" s="113"/>
      <c r="AF1878" s="113"/>
      <c r="AG1878" s="113"/>
      <c r="AH1878" s="113"/>
      <c r="AI1878" s="113"/>
      <c r="AJ1878" s="113"/>
      <c r="AK1878" s="113"/>
      <c r="AL1878" s="113" t="s">
        <v>1113</v>
      </c>
      <c r="AM1878" s="113"/>
      <c r="AN1878" s="113"/>
      <c r="AO1878" s="43" t="s">
        <v>2348</v>
      </c>
      <c r="AP1878" s="43"/>
      <c r="AQ1878" s="236" t="str">
        <f>VLOOKUP(Table8[[#This Row],[Instrument]],Def_Targets!$D$73:$E$159,2,FALSE)</f>
        <v>S_PTPriority</v>
      </c>
      <c r="AR1878" s="233" t="str">
        <f>VLOOKUP(Table8[[#This Row],[Country Code]],Table29[],3,FALSE)</f>
        <v>Non-Annex I</v>
      </c>
      <c r="AS1878" s="233" t="str">
        <f>VLOOKUP(Table8[[#This Row],[Country Code]],Table29[],4,FALSE)</f>
        <v>Asia</v>
      </c>
      <c r="AT1878" s="233" t="str">
        <f>VLOOKUP(Table8[[#This Row],[Country Code]],Table29[],5,FALSE)</f>
        <v>High-income</v>
      </c>
      <c r="AU1878" s="233" t="str">
        <f>VLOOKUP(Table8[[#This Row],[Country Code]],Table29[],6,FALSE)</f>
        <v>no</v>
      </c>
      <c r="AV1878" s="233" t="str">
        <f>VLOOKUP(Table8[[#This Row],[Country Code]],Table29[],7,FALSE)</f>
        <v>no</v>
      </c>
      <c r="AW1878" s="233" t="str">
        <f>VLOOKUP(Table8[[#This Row],[Country Code]],Table29[],8,FALSE)</f>
        <v>non-OECD</v>
      </c>
      <c r="AX1878" s="233" t="str">
        <f>VLOOKUP(Table8[[#This Row],[Country Code]],Table29[],9,FALSE)</f>
        <v>no</v>
      </c>
      <c r="AY1878" s="233" t="str">
        <f>VLOOKUP(Table8[[#This Row],[Country Code]],Table29[],10,FALSE)</f>
        <v>no</v>
      </c>
      <c r="AZ1878" s="235">
        <f>VLOOKUP(Table8[[#This Row],[Country Code]],Table29[],23,FALSE)</f>
        <v>74.290132466078006</v>
      </c>
      <c r="BA1878" s="235">
        <f>VLOOKUP(Table8[[#This Row],[Country Code]],Table29[],24,FALSE)</f>
        <v>6.8133364043247093</v>
      </c>
      <c r="BB1878" s="320"/>
      <c r="BC1878" s="320"/>
    </row>
    <row r="1879" spans="1:55" ht="45" hidden="1" x14ac:dyDescent="0.25">
      <c r="A1879" s="360">
        <v>17732</v>
      </c>
      <c r="B1879" s="233" t="str">
        <f>VLOOKUP(Table8[[#This Row],[Document ID]],Table1[],2,FALSE)</f>
        <v>SGP</v>
      </c>
      <c r="C1879" s="233" t="str">
        <f>VLOOKUP(Table8[[#This Row],[Document ID]],Table1[],3,FALSE)</f>
        <v>Singapore</v>
      </c>
      <c r="D1879" s="233" t="str">
        <f>VLOOKUP(Table8[[#This Row],[Document ID]],Table1[],5,FALSE)</f>
        <v>LTS</v>
      </c>
      <c r="E1879" s="233" t="str">
        <f>VLOOKUP(Table8[[#This Row],[Document ID]],Table1[],7,FALSE)</f>
        <v>Archived LTS 1.0</v>
      </c>
      <c r="F1879" s="233" t="str">
        <f>VLOOKUP(Table8[[#This Row],[Document ID]],Table1[],8,FALSE)</f>
        <v>LTS 1.0</v>
      </c>
      <c r="G1879" s="233" t="str">
        <f>VLOOKUP(Table8[[#This Row],[Document ID]],Table1[],10,FALSE)</f>
        <v>Archived</v>
      </c>
      <c r="H1879" s="43" t="s">
        <v>2343</v>
      </c>
      <c r="I1879" s="43" t="s">
        <v>2429</v>
      </c>
      <c r="J1879" s="44" t="s">
        <v>2513</v>
      </c>
      <c r="K1879" s="44" t="s">
        <v>4060</v>
      </c>
      <c r="L1879" s="44" t="s">
        <v>2347</v>
      </c>
      <c r="M1879" s="43">
        <v>54</v>
      </c>
      <c r="N1879" s="113"/>
      <c r="O1879" s="113"/>
      <c r="P1879" s="113"/>
      <c r="Q1879" s="113"/>
      <c r="R1879" s="113"/>
      <c r="S1879" s="113"/>
      <c r="T1879" s="113"/>
      <c r="U1879" s="113"/>
      <c r="V1879" s="113"/>
      <c r="W1879" s="113" t="s">
        <v>1113</v>
      </c>
      <c r="X1879" s="113"/>
      <c r="Y1879" s="113"/>
      <c r="Z1879" s="113"/>
      <c r="AA1879" s="113"/>
      <c r="AB1879" s="113"/>
      <c r="AC1879" s="113"/>
      <c r="AD1879" s="113"/>
      <c r="AE1879" s="113"/>
      <c r="AF1879" s="113"/>
      <c r="AG1879" s="113"/>
      <c r="AH1879" s="113"/>
      <c r="AI1879" s="113"/>
      <c r="AJ1879" s="113"/>
      <c r="AK1879" s="319"/>
      <c r="AL1879" s="113" t="s">
        <v>1113</v>
      </c>
      <c r="AM1879" s="113"/>
      <c r="AN1879" s="113"/>
      <c r="AO1879" s="43" t="s">
        <v>2348</v>
      </c>
      <c r="AP1879" s="43"/>
      <c r="AQ1879" s="236" t="str">
        <f>VLOOKUP(Table8[[#This Row],[Instrument]],Def_Targets!$D$73:$E$159,2,FALSE)</f>
        <v>S_Sharedmob</v>
      </c>
      <c r="AR1879" s="233" t="str">
        <f>VLOOKUP(Table8[[#This Row],[Country Code]],Table29[],3,FALSE)</f>
        <v>Non-Annex I</v>
      </c>
      <c r="AS1879" s="233" t="str">
        <f>VLOOKUP(Table8[[#This Row],[Country Code]],Table29[],4,FALSE)</f>
        <v>Asia</v>
      </c>
      <c r="AT1879" s="233" t="str">
        <f>VLOOKUP(Table8[[#This Row],[Country Code]],Table29[],5,FALSE)</f>
        <v>High-income</v>
      </c>
      <c r="AU1879" s="233" t="str">
        <f>VLOOKUP(Table8[[#This Row],[Country Code]],Table29[],6,FALSE)</f>
        <v>no</v>
      </c>
      <c r="AV1879" s="233" t="str">
        <f>VLOOKUP(Table8[[#This Row],[Country Code]],Table29[],7,FALSE)</f>
        <v>no</v>
      </c>
      <c r="AW1879" s="233" t="str">
        <f>VLOOKUP(Table8[[#This Row],[Country Code]],Table29[],8,FALSE)</f>
        <v>non-OECD</v>
      </c>
      <c r="AX1879" s="233" t="str">
        <f>VLOOKUP(Table8[[#This Row],[Country Code]],Table29[],9,FALSE)</f>
        <v>no</v>
      </c>
      <c r="AY1879" s="233" t="str">
        <f>VLOOKUP(Table8[[#This Row],[Country Code]],Table29[],10,FALSE)</f>
        <v>no</v>
      </c>
      <c r="AZ1879" s="235">
        <f>VLOOKUP(Table8[[#This Row],[Country Code]],Table29[],23,FALSE)</f>
        <v>74.290132466078006</v>
      </c>
      <c r="BA1879" s="235">
        <f>VLOOKUP(Table8[[#This Row],[Country Code]],Table29[],24,FALSE)</f>
        <v>6.8133364043247093</v>
      </c>
      <c r="BB1879" s="320"/>
      <c r="BC1879" s="320"/>
    </row>
    <row r="1880" spans="1:55" ht="90" hidden="1" x14ac:dyDescent="0.25">
      <c r="A1880" s="360">
        <v>17732</v>
      </c>
      <c r="B1880" s="233" t="str">
        <f>VLOOKUP(Table8[[#This Row],[Document ID]],Table1[],2,FALSE)</f>
        <v>SGP</v>
      </c>
      <c r="C1880" s="233" t="str">
        <f>VLOOKUP(Table8[[#This Row],[Document ID]],Table1[],3,FALSE)</f>
        <v>Singapore</v>
      </c>
      <c r="D1880" s="233" t="str">
        <f>VLOOKUP(Table8[[#This Row],[Document ID]],Table1[],5,FALSE)</f>
        <v>LTS</v>
      </c>
      <c r="E1880" s="233" t="str">
        <f>VLOOKUP(Table8[[#This Row],[Document ID]],Table1[],7,FALSE)</f>
        <v>Archived LTS 1.0</v>
      </c>
      <c r="F1880" s="233" t="str">
        <f>VLOOKUP(Table8[[#This Row],[Document ID]],Table1[],8,FALSE)</f>
        <v>LTS 1.0</v>
      </c>
      <c r="G1880" s="233" t="str">
        <f>VLOOKUP(Table8[[#This Row],[Document ID]],Table1[],10,FALSE)</f>
        <v>Archived</v>
      </c>
      <c r="H1880" s="44" t="s">
        <v>2329</v>
      </c>
      <c r="I1880" s="44" t="s">
        <v>2330</v>
      </c>
      <c r="J1880" s="44" t="s">
        <v>2414</v>
      </c>
      <c r="K1880" s="44" t="s">
        <v>4061</v>
      </c>
      <c r="L1880" s="44" t="s">
        <v>2333</v>
      </c>
      <c r="M1880" s="43">
        <v>56</v>
      </c>
      <c r="N1880" s="113"/>
      <c r="O1880" s="113"/>
      <c r="P1880" s="113"/>
      <c r="Q1880" s="113"/>
      <c r="R1880" s="113"/>
      <c r="S1880" s="113" t="s">
        <v>1113</v>
      </c>
      <c r="T1880" s="113"/>
      <c r="U1880" s="113"/>
      <c r="V1880" s="113"/>
      <c r="W1880" s="113"/>
      <c r="X1880" s="113"/>
      <c r="Y1880" s="113"/>
      <c r="Z1880" s="113"/>
      <c r="AA1880" s="113"/>
      <c r="AB1880" s="113"/>
      <c r="AC1880" s="113"/>
      <c r="AD1880" s="113"/>
      <c r="AE1880" s="113"/>
      <c r="AF1880" s="113"/>
      <c r="AG1880" s="113"/>
      <c r="AH1880" s="113"/>
      <c r="AI1880" s="113"/>
      <c r="AJ1880" s="113"/>
      <c r="AK1880" s="113"/>
      <c r="AL1880" s="113" t="s">
        <v>1113</v>
      </c>
      <c r="AM1880" s="113"/>
      <c r="AN1880" s="113"/>
      <c r="AO1880" s="44" t="s">
        <v>2334</v>
      </c>
      <c r="AP1880" s="43"/>
      <c r="AQ1880" s="236" t="str">
        <f>VLOOKUP(Table8[[#This Row],[Instrument]],Def_Targets!$D$73:$E$159,2,FALSE)</f>
        <v>I_ICEdiesel</v>
      </c>
      <c r="AR1880" s="233" t="str">
        <f>VLOOKUP(Table8[[#This Row],[Country Code]],Table29[],3,FALSE)</f>
        <v>Non-Annex I</v>
      </c>
      <c r="AS1880" s="233" t="str">
        <f>VLOOKUP(Table8[[#This Row],[Country Code]],Table29[],4,FALSE)</f>
        <v>Asia</v>
      </c>
      <c r="AT1880" s="233" t="str">
        <f>VLOOKUP(Table8[[#This Row],[Country Code]],Table29[],5,FALSE)</f>
        <v>High-income</v>
      </c>
      <c r="AU1880" s="233" t="str">
        <f>VLOOKUP(Table8[[#This Row],[Country Code]],Table29[],6,FALSE)</f>
        <v>no</v>
      </c>
      <c r="AV1880" s="233" t="str">
        <f>VLOOKUP(Table8[[#This Row],[Country Code]],Table29[],7,FALSE)</f>
        <v>no</v>
      </c>
      <c r="AW1880" s="233" t="str">
        <f>VLOOKUP(Table8[[#This Row],[Country Code]],Table29[],8,FALSE)</f>
        <v>non-OECD</v>
      </c>
      <c r="AX1880" s="233" t="str">
        <f>VLOOKUP(Table8[[#This Row],[Country Code]],Table29[],9,FALSE)</f>
        <v>no</v>
      </c>
      <c r="AY1880" s="233" t="str">
        <f>VLOOKUP(Table8[[#This Row],[Country Code]],Table29[],10,FALSE)</f>
        <v>no</v>
      </c>
      <c r="AZ1880" s="235">
        <f>VLOOKUP(Table8[[#This Row],[Country Code]],Table29[],23,FALSE)</f>
        <v>74.290132466078006</v>
      </c>
      <c r="BA1880" s="235">
        <f>VLOOKUP(Table8[[#This Row],[Country Code]],Table29[],24,FALSE)</f>
        <v>6.8133364043247093</v>
      </c>
      <c r="BB1880" s="320"/>
      <c r="BC1880" s="320"/>
    </row>
    <row r="1881" spans="1:55" ht="60" hidden="1" x14ac:dyDescent="0.25">
      <c r="A1881" s="360">
        <v>17732</v>
      </c>
      <c r="B1881" s="233" t="str">
        <f>VLOOKUP(Table8[[#This Row],[Document ID]],Table1[],2,FALSE)</f>
        <v>SGP</v>
      </c>
      <c r="C1881" s="233" t="str">
        <f>VLOOKUP(Table8[[#This Row],[Document ID]],Table1[],3,FALSE)</f>
        <v>Singapore</v>
      </c>
      <c r="D1881" s="233" t="str">
        <f>VLOOKUP(Table8[[#This Row],[Document ID]],Table1[],5,FALSE)</f>
        <v>LTS</v>
      </c>
      <c r="E1881" s="233" t="str">
        <f>VLOOKUP(Table8[[#This Row],[Document ID]],Table1[],7,FALSE)</f>
        <v>Archived LTS 1.0</v>
      </c>
      <c r="F1881" s="233" t="str">
        <f>VLOOKUP(Table8[[#This Row],[Document ID]],Table1[],8,FALSE)</f>
        <v>LTS 1.0</v>
      </c>
      <c r="G1881" s="233" t="str">
        <f>VLOOKUP(Table8[[#This Row],[Document ID]],Table1[],10,FALSE)</f>
        <v>Archived</v>
      </c>
      <c r="H1881" s="43" t="s">
        <v>2358</v>
      </c>
      <c r="I1881" s="43" t="s">
        <v>2359</v>
      </c>
      <c r="J1881" s="44" t="s">
        <v>2389</v>
      </c>
      <c r="K1881" s="44" t="s">
        <v>4062</v>
      </c>
      <c r="L1881" s="44" t="s">
        <v>2333</v>
      </c>
      <c r="M1881" s="43">
        <v>56</v>
      </c>
      <c r="N1881" s="113"/>
      <c r="O1881" s="113"/>
      <c r="P1881" s="113"/>
      <c r="Q1881" s="113"/>
      <c r="R1881" s="113"/>
      <c r="S1881" s="113" t="s">
        <v>1113</v>
      </c>
      <c r="T1881" s="113"/>
      <c r="U1881" s="113"/>
      <c r="V1881" s="113"/>
      <c r="W1881" s="113"/>
      <c r="X1881" s="113"/>
      <c r="Y1881" s="113"/>
      <c r="Z1881" s="113"/>
      <c r="AA1881" s="113"/>
      <c r="AB1881" s="113"/>
      <c r="AC1881" s="113"/>
      <c r="AD1881" s="113"/>
      <c r="AE1881" s="113"/>
      <c r="AF1881" s="113"/>
      <c r="AG1881" s="113"/>
      <c r="AH1881" s="113"/>
      <c r="AI1881" s="113"/>
      <c r="AJ1881" s="113"/>
      <c r="AK1881" s="113"/>
      <c r="AL1881" s="113" t="s">
        <v>1113</v>
      </c>
      <c r="AM1881" s="113"/>
      <c r="AN1881" s="113"/>
      <c r="AO1881" s="44" t="s">
        <v>2334</v>
      </c>
      <c r="AP1881" s="43"/>
      <c r="AQ1881" s="236" t="str">
        <f>VLOOKUP(Table8[[#This Row],[Instrument]],Def_Targets!$D$73:$E$159,2,FALSE)</f>
        <v>I_Emobilitypurchase</v>
      </c>
      <c r="AR1881" s="233" t="str">
        <f>VLOOKUP(Table8[[#This Row],[Country Code]],Table29[],3,FALSE)</f>
        <v>Non-Annex I</v>
      </c>
      <c r="AS1881" s="233" t="str">
        <f>VLOOKUP(Table8[[#This Row],[Country Code]],Table29[],4,FALSE)</f>
        <v>Asia</v>
      </c>
      <c r="AT1881" s="233" t="str">
        <f>VLOOKUP(Table8[[#This Row],[Country Code]],Table29[],5,FALSE)</f>
        <v>High-income</v>
      </c>
      <c r="AU1881" s="233" t="str">
        <f>VLOOKUP(Table8[[#This Row],[Country Code]],Table29[],6,FALSE)</f>
        <v>no</v>
      </c>
      <c r="AV1881" s="233" t="str">
        <f>VLOOKUP(Table8[[#This Row],[Country Code]],Table29[],7,FALSE)</f>
        <v>no</v>
      </c>
      <c r="AW1881" s="233" t="str">
        <f>VLOOKUP(Table8[[#This Row],[Country Code]],Table29[],8,FALSE)</f>
        <v>non-OECD</v>
      </c>
      <c r="AX1881" s="233" t="str">
        <f>VLOOKUP(Table8[[#This Row],[Country Code]],Table29[],9,FALSE)</f>
        <v>no</v>
      </c>
      <c r="AY1881" s="233" t="str">
        <f>VLOOKUP(Table8[[#This Row],[Country Code]],Table29[],10,FALSE)</f>
        <v>no</v>
      </c>
      <c r="AZ1881" s="235">
        <f>VLOOKUP(Table8[[#This Row],[Country Code]],Table29[],23,FALSE)</f>
        <v>74.290132466078006</v>
      </c>
      <c r="BA1881" s="235">
        <f>VLOOKUP(Table8[[#This Row],[Country Code]],Table29[],24,FALSE)</f>
        <v>6.8133364043247093</v>
      </c>
      <c r="BB1881" s="320"/>
      <c r="BC1881" s="320"/>
    </row>
    <row r="1882" spans="1:55" ht="45" hidden="1" x14ac:dyDescent="0.25">
      <c r="A1882" s="360">
        <v>17732</v>
      </c>
      <c r="B1882" s="233" t="str">
        <f>VLOOKUP(Table8[[#This Row],[Document ID]],Table1[],2,FALSE)</f>
        <v>SGP</v>
      </c>
      <c r="C1882" s="233" t="str">
        <f>VLOOKUP(Table8[[#This Row],[Document ID]],Table1[],3,FALSE)</f>
        <v>Singapore</v>
      </c>
      <c r="D1882" s="233" t="str">
        <f>VLOOKUP(Table8[[#This Row],[Document ID]],Table1[],5,FALSE)</f>
        <v>LTS</v>
      </c>
      <c r="E1882" s="233" t="str">
        <f>VLOOKUP(Table8[[#This Row],[Document ID]],Table1[],7,FALSE)</f>
        <v>Archived LTS 1.0</v>
      </c>
      <c r="F1882" s="233" t="str">
        <f>VLOOKUP(Table8[[#This Row],[Document ID]],Table1[],8,FALSE)</f>
        <v>LTS 1.0</v>
      </c>
      <c r="G1882" s="233" t="str">
        <f>VLOOKUP(Table8[[#This Row],[Document ID]],Table1[],10,FALSE)</f>
        <v>Archived</v>
      </c>
      <c r="H1882" s="43" t="s">
        <v>2343</v>
      </c>
      <c r="I1882" s="43" t="s">
        <v>2386</v>
      </c>
      <c r="J1882" s="44" t="s">
        <v>2530</v>
      </c>
      <c r="K1882" s="44" t="s">
        <v>4063</v>
      </c>
      <c r="L1882" s="44" t="s">
        <v>2333</v>
      </c>
      <c r="M1882" s="43">
        <v>56</v>
      </c>
      <c r="N1882" s="113"/>
      <c r="O1882" s="113"/>
      <c r="P1882" s="113"/>
      <c r="Q1882" s="113"/>
      <c r="R1882" s="113"/>
      <c r="S1882" s="113" t="s">
        <v>1113</v>
      </c>
      <c r="T1882" s="113"/>
      <c r="U1882" s="113"/>
      <c r="V1882" s="113"/>
      <c r="W1882" s="113"/>
      <c r="X1882" s="113"/>
      <c r="Y1882" s="113"/>
      <c r="Z1882" s="113"/>
      <c r="AA1882" s="113"/>
      <c r="AB1882" s="113"/>
      <c r="AC1882" s="113"/>
      <c r="AD1882" s="113"/>
      <c r="AE1882" s="113"/>
      <c r="AF1882" s="113"/>
      <c r="AG1882" s="113"/>
      <c r="AH1882" s="113"/>
      <c r="AI1882" s="113"/>
      <c r="AJ1882" s="113"/>
      <c r="AK1882" s="319"/>
      <c r="AL1882" s="113" t="s">
        <v>1113</v>
      </c>
      <c r="AM1882" s="113"/>
      <c r="AN1882" s="113"/>
      <c r="AO1882" s="44" t="s">
        <v>2334</v>
      </c>
      <c r="AP1882" s="43"/>
      <c r="AQ1882" s="236" t="str">
        <f>VLOOKUP(Table8[[#This Row],[Instrument]],Def_Targets!$D$73:$E$159,2,FALSE)</f>
        <v>A_Vehicletax</v>
      </c>
      <c r="AR1882" s="233" t="str">
        <f>VLOOKUP(Table8[[#This Row],[Country Code]],Table29[],3,FALSE)</f>
        <v>Non-Annex I</v>
      </c>
      <c r="AS1882" s="233" t="str">
        <f>VLOOKUP(Table8[[#This Row],[Country Code]],Table29[],4,FALSE)</f>
        <v>Asia</v>
      </c>
      <c r="AT1882" s="233" t="str">
        <f>VLOOKUP(Table8[[#This Row],[Country Code]],Table29[],5,FALSE)</f>
        <v>High-income</v>
      </c>
      <c r="AU1882" s="233" t="str">
        <f>VLOOKUP(Table8[[#This Row],[Country Code]],Table29[],6,FALSE)</f>
        <v>no</v>
      </c>
      <c r="AV1882" s="233" t="str">
        <f>VLOOKUP(Table8[[#This Row],[Country Code]],Table29[],7,FALSE)</f>
        <v>no</v>
      </c>
      <c r="AW1882" s="233" t="str">
        <f>VLOOKUP(Table8[[#This Row],[Country Code]],Table29[],8,FALSE)</f>
        <v>non-OECD</v>
      </c>
      <c r="AX1882" s="233" t="str">
        <f>VLOOKUP(Table8[[#This Row],[Country Code]],Table29[],9,FALSE)</f>
        <v>no</v>
      </c>
      <c r="AY1882" s="233" t="str">
        <f>VLOOKUP(Table8[[#This Row],[Country Code]],Table29[],10,FALSE)</f>
        <v>no</v>
      </c>
      <c r="AZ1882" s="235">
        <f>VLOOKUP(Table8[[#This Row],[Country Code]],Table29[],23,FALSE)</f>
        <v>74.290132466078006</v>
      </c>
      <c r="BA1882" s="235">
        <f>VLOOKUP(Table8[[#This Row],[Country Code]],Table29[],24,FALSE)</f>
        <v>6.8133364043247093</v>
      </c>
      <c r="BB1882" s="320"/>
      <c r="BC1882" s="320"/>
    </row>
    <row r="1883" spans="1:55" ht="60" hidden="1" x14ac:dyDescent="0.25">
      <c r="A1883" s="360">
        <v>17732</v>
      </c>
      <c r="B1883" s="233" t="str">
        <f>VLOOKUP(Table8[[#This Row],[Document ID]],Table1[],2,FALSE)</f>
        <v>SGP</v>
      </c>
      <c r="C1883" s="233" t="str">
        <f>VLOOKUP(Table8[[#This Row],[Document ID]],Table1[],3,FALSE)</f>
        <v>Singapore</v>
      </c>
      <c r="D1883" s="233" t="str">
        <f>VLOOKUP(Table8[[#This Row],[Document ID]],Table1[],5,FALSE)</f>
        <v>LTS</v>
      </c>
      <c r="E1883" s="233" t="str">
        <f>VLOOKUP(Table8[[#This Row],[Document ID]],Table1[],7,FALSE)</f>
        <v>Archived LTS 1.0</v>
      </c>
      <c r="F1883" s="233" t="str">
        <f>VLOOKUP(Table8[[#This Row],[Document ID]],Table1[],8,FALSE)</f>
        <v>LTS 1.0</v>
      </c>
      <c r="G1883" s="233" t="str">
        <f>VLOOKUP(Table8[[#This Row],[Document ID]],Table1[],10,FALSE)</f>
        <v>Archived</v>
      </c>
      <c r="H1883" s="43" t="s">
        <v>2358</v>
      </c>
      <c r="I1883" s="43" t="s">
        <v>2359</v>
      </c>
      <c r="J1883" s="44" t="s">
        <v>2383</v>
      </c>
      <c r="K1883" s="44" t="s">
        <v>4064</v>
      </c>
      <c r="L1883" s="44" t="s">
        <v>2333</v>
      </c>
      <c r="M1883" s="43">
        <v>56</v>
      </c>
      <c r="N1883" s="113"/>
      <c r="O1883" s="113"/>
      <c r="P1883" s="113"/>
      <c r="Q1883" s="113"/>
      <c r="R1883" s="113"/>
      <c r="S1883" s="113" t="s">
        <v>1113</v>
      </c>
      <c r="T1883" s="113"/>
      <c r="U1883" s="113"/>
      <c r="V1883" s="113"/>
      <c r="W1883" s="113"/>
      <c r="X1883" s="113"/>
      <c r="Y1883" s="113"/>
      <c r="Z1883" s="113"/>
      <c r="AA1883" s="113"/>
      <c r="AB1883" s="113"/>
      <c r="AC1883" s="113"/>
      <c r="AD1883" s="113"/>
      <c r="AE1883" s="113"/>
      <c r="AF1883" s="113"/>
      <c r="AG1883" s="113"/>
      <c r="AH1883" s="113"/>
      <c r="AI1883" s="113"/>
      <c r="AJ1883" s="113"/>
      <c r="AK1883" s="113"/>
      <c r="AL1883" s="113" t="s">
        <v>1113</v>
      </c>
      <c r="AM1883" s="113"/>
      <c r="AN1883" s="113"/>
      <c r="AO1883" s="44" t="s">
        <v>2334</v>
      </c>
      <c r="AP1883" s="43"/>
      <c r="AQ1883" s="236" t="str">
        <f>VLOOKUP(Table8[[#This Row],[Instrument]],Def_Targets!$D$73:$E$159,2,FALSE)</f>
        <v>I_Emobilitycharging</v>
      </c>
      <c r="AR1883" s="233" t="str">
        <f>VLOOKUP(Table8[[#This Row],[Country Code]],Table29[],3,FALSE)</f>
        <v>Non-Annex I</v>
      </c>
      <c r="AS1883" s="233" t="str">
        <f>VLOOKUP(Table8[[#This Row],[Country Code]],Table29[],4,FALSE)</f>
        <v>Asia</v>
      </c>
      <c r="AT1883" s="233" t="str">
        <f>VLOOKUP(Table8[[#This Row],[Country Code]],Table29[],5,FALSE)</f>
        <v>High-income</v>
      </c>
      <c r="AU1883" s="233" t="str">
        <f>VLOOKUP(Table8[[#This Row],[Country Code]],Table29[],6,FALSE)</f>
        <v>no</v>
      </c>
      <c r="AV1883" s="233" t="str">
        <f>VLOOKUP(Table8[[#This Row],[Country Code]],Table29[],7,FALSE)</f>
        <v>no</v>
      </c>
      <c r="AW1883" s="233" t="str">
        <f>VLOOKUP(Table8[[#This Row],[Country Code]],Table29[],8,FALSE)</f>
        <v>non-OECD</v>
      </c>
      <c r="AX1883" s="233" t="str">
        <f>VLOOKUP(Table8[[#This Row],[Country Code]],Table29[],9,FALSE)</f>
        <v>no</v>
      </c>
      <c r="AY1883" s="233" t="str">
        <f>VLOOKUP(Table8[[#This Row],[Country Code]],Table29[],10,FALSE)</f>
        <v>no</v>
      </c>
      <c r="AZ1883" s="235">
        <f>VLOOKUP(Table8[[#This Row],[Country Code]],Table29[],23,FALSE)</f>
        <v>74.290132466078006</v>
      </c>
      <c r="BA1883" s="235">
        <f>VLOOKUP(Table8[[#This Row],[Country Code]],Table29[],24,FALSE)</f>
        <v>6.8133364043247093</v>
      </c>
      <c r="BB1883" s="320"/>
      <c r="BC1883" s="320"/>
    </row>
    <row r="1884" spans="1:55" ht="45" hidden="1" x14ac:dyDescent="0.25">
      <c r="A1884" s="373">
        <v>17732</v>
      </c>
      <c r="B1884" s="233" t="str">
        <f>VLOOKUP(Table8[[#This Row],[Document ID]],Table1[],2,FALSE)</f>
        <v>SGP</v>
      </c>
      <c r="C1884" s="233" t="str">
        <f>VLOOKUP(Table8[[#This Row],[Document ID]],Table1[],3,FALSE)</f>
        <v>Singapore</v>
      </c>
      <c r="D1884" s="243" t="str">
        <f>VLOOKUP(Table8[[#This Row],[Document ID]],Table1[],5,FALSE)</f>
        <v>LTS</v>
      </c>
      <c r="E1884" s="233" t="str">
        <f>VLOOKUP(Table8[[#This Row],[Document ID]],Table1[],7,FALSE)</f>
        <v>Archived LTS 1.0</v>
      </c>
      <c r="F1884" s="233" t="str">
        <f>VLOOKUP(Table8[[#This Row],[Document ID]],Table1[],8,FALSE)</f>
        <v>LTS 1.0</v>
      </c>
      <c r="G1884" s="233" t="str">
        <f>VLOOKUP(Table8[[#This Row],[Document ID]],Table1[],10,FALSE)</f>
        <v>Archived</v>
      </c>
      <c r="H1884" s="43" t="s">
        <v>2358</v>
      </c>
      <c r="I1884" s="43" t="s">
        <v>2359</v>
      </c>
      <c r="J1884" s="44" t="s">
        <v>2389</v>
      </c>
      <c r="K1884" s="44" t="s">
        <v>4065</v>
      </c>
      <c r="L1884" s="44" t="s">
        <v>2333</v>
      </c>
      <c r="M1884" s="43">
        <v>56</v>
      </c>
      <c r="N1884" s="113"/>
      <c r="O1884" s="113"/>
      <c r="P1884" s="113"/>
      <c r="Q1884" s="113"/>
      <c r="R1884" s="113"/>
      <c r="S1884" s="113" t="s">
        <v>1113</v>
      </c>
      <c r="T1884" s="113"/>
      <c r="U1884" s="113"/>
      <c r="V1884" s="113"/>
      <c r="W1884" s="113"/>
      <c r="X1884" s="113"/>
      <c r="Y1884" s="113"/>
      <c r="Z1884" s="113"/>
      <c r="AA1884" s="113"/>
      <c r="AB1884" s="113"/>
      <c r="AC1884" s="113"/>
      <c r="AD1884" s="113"/>
      <c r="AE1884" s="113"/>
      <c r="AF1884" s="113"/>
      <c r="AG1884" s="113"/>
      <c r="AH1884" s="113"/>
      <c r="AI1884" s="113"/>
      <c r="AJ1884" s="113"/>
      <c r="AK1884" s="113"/>
      <c r="AL1884" s="113" t="s">
        <v>1113</v>
      </c>
      <c r="AM1884" s="113"/>
      <c r="AN1884" s="113"/>
      <c r="AO1884" s="44" t="s">
        <v>2334</v>
      </c>
      <c r="AP1884" s="43"/>
      <c r="AQ1884" s="236" t="str">
        <f>VLOOKUP(Table8[[#This Row],[Instrument]],Def_Targets!$D$73:$E$159,2,FALSE)</f>
        <v>I_Emobilitypurchase</v>
      </c>
      <c r="AR1884" s="233" t="str">
        <f>VLOOKUP(Table8[[#This Row],[Country Code]],Table29[],3,FALSE)</f>
        <v>Non-Annex I</v>
      </c>
      <c r="AS1884" s="233" t="str">
        <f>VLOOKUP(Table8[[#This Row],[Country Code]],Table29[],4,FALSE)</f>
        <v>Asia</v>
      </c>
      <c r="AT1884" s="233" t="str">
        <f>VLOOKUP(Table8[[#This Row],[Country Code]],Table29[],5,FALSE)</f>
        <v>High-income</v>
      </c>
      <c r="AU1884" s="233" t="str">
        <f>VLOOKUP(Table8[[#This Row],[Country Code]],Table29[],6,FALSE)</f>
        <v>no</v>
      </c>
      <c r="AV1884" s="233" t="str">
        <f>VLOOKUP(Table8[[#This Row],[Country Code]],Table29[],7,FALSE)</f>
        <v>no</v>
      </c>
      <c r="AW1884" s="233" t="str">
        <f>VLOOKUP(Table8[[#This Row],[Country Code]],Table29[],8,FALSE)</f>
        <v>non-OECD</v>
      </c>
      <c r="AX1884" s="233" t="str">
        <f>VLOOKUP(Table8[[#This Row],[Country Code]],Table29[],9,FALSE)</f>
        <v>no</v>
      </c>
      <c r="AY1884" s="233" t="str">
        <f>VLOOKUP(Table8[[#This Row],[Country Code]],Table29[],10,FALSE)</f>
        <v>no</v>
      </c>
      <c r="AZ1884" s="235">
        <f>VLOOKUP(Table8[[#This Row],[Country Code]],Table29[],23,FALSE)</f>
        <v>74.290132466078006</v>
      </c>
      <c r="BA1884" s="235">
        <f>VLOOKUP(Table8[[#This Row],[Country Code]],Table29[],24,FALSE)</f>
        <v>6.8133364043247093</v>
      </c>
      <c r="BB1884" s="320"/>
      <c r="BC1884" s="320"/>
    </row>
    <row r="1885" spans="1:55" ht="45" hidden="1" x14ac:dyDescent="0.25">
      <c r="A1885" s="360">
        <v>17732</v>
      </c>
      <c r="B1885" s="233" t="str">
        <f>VLOOKUP(Table8[[#This Row],[Document ID]],Table1[],2,FALSE)</f>
        <v>SGP</v>
      </c>
      <c r="C1885" s="233" t="str">
        <f>VLOOKUP(Table8[[#This Row],[Document ID]],Table1[],3,FALSE)</f>
        <v>Singapore</v>
      </c>
      <c r="D1885" s="233" t="str">
        <f>VLOOKUP(Table8[[#This Row],[Document ID]],Table1[],5,FALSE)</f>
        <v>LTS</v>
      </c>
      <c r="E1885" s="233" t="str">
        <f>VLOOKUP(Table8[[#This Row],[Document ID]],Table1[],7,FALSE)</f>
        <v>Archived LTS 1.0</v>
      </c>
      <c r="F1885" s="233" t="str">
        <f>VLOOKUP(Table8[[#This Row],[Document ID]],Table1[],8,FALSE)</f>
        <v>LTS 1.0</v>
      </c>
      <c r="G1885" s="233" t="str">
        <f>VLOOKUP(Table8[[#This Row],[Document ID]],Table1[],10,FALSE)</f>
        <v>Archived</v>
      </c>
      <c r="H1885" s="43" t="s">
        <v>2350</v>
      </c>
      <c r="I1885" s="43" t="s">
        <v>2456</v>
      </c>
      <c r="J1885" s="44" t="s">
        <v>2457</v>
      </c>
      <c r="K1885" s="44" t="s">
        <v>4066</v>
      </c>
      <c r="L1885" s="44" t="s">
        <v>2333</v>
      </c>
      <c r="M1885" s="43">
        <v>57</v>
      </c>
      <c r="N1885" s="113" t="s">
        <v>1113</v>
      </c>
      <c r="O1885" s="113"/>
      <c r="P1885" s="113"/>
      <c r="Q1885" s="113"/>
      <c r="R1885" s="113"/>
      <c r="S1885" s="113"/>
      <c r="T1885" s="113"/>
      <c r="U1885" s="113"/>
      <c r="V1885" s="113"/>
      <c r="W1885" s="113"/>
      <c r="X1885" s="113"/>
      <c r="Y1885" s="113"/>
      <c r="Z1885" s="113"/>
      <c r="AA1885" s="113"/>
      <c r="AB1885" s="113"/>
      <c r="AC1885" s="113"/>
      <c r="AD1885" s="113"/>
      <c r="AE1885" s="113"/>
      <c r="AF1885" s="113"/>
      <c r="AG1885" s="113"/>
      <c r="AH1885" s="113"/>
      <c r="AI1885" s="113"/>
      <c r="AJ1885" s="113"/>
      <c r="AK1885" s="113"/>
      <c r="AL1885" s="113" t="s">
        <v>1113</v>
      </c>
      <c r="AM1885" s="113"/>
      <c r="AN1885" s="113"/>
      <c r="AO1885" s="44" t="s">
        <v>2334</v>
      </c>
      <c r="AP1885" s="43"/>
      <c r="AQ1885" s="236" t="str">
        <f>VLOOKUP(Table8[[#This Row],[Instrument]],Def_Targets!$D$73:$E$159,2,FALSE)</f>
        <v>S_Infraimprove</v>
      </c>
      <c r="AR1885" s="233" t="str">
        <f>VLOOKUP(Table8[[#This Row],[Country Code]],Table29[],3,FALSE)</f>
        <v>Non-Annex I</v>
      </c>
      <c r="AS1885" s="233" t="str">
        <f>VLOOKUP(Table8[[#This Row],[Country Code]],Table29[],4,FALSE)</f>
        <v>Asia</v>
      </c>
      <c r="AT1885" s="233" t="str">
        <f>VLOOKUP(Table8[[#This Row],[Country Code]],Table29[],5,FALSE)</f>
        <v>High-income</v>
      </c>
      <c r="AU1885" s="233" t="str">
        <f>VLOOKUP(Table8[[#This Row],[Country Code]],Table29[],6,FALSE)</f>
        <v>no</v>
      </c>
      <c r="AV1885" s="233" t="str">
        <f>VLOOKUP(Table8[[#This Row],[Country Code]],Table29[],7,FALSE)</f>
        <v>no</v>
      </c>
      <c r="AW1885" s="233" t="str">
        <f>VLOOKUP(Table8[[#This Row],[Country Code]],Table29[],8,FALSE)</f>
        <v>non-OECD</v>
      </c>
      <c r="AX1885" s="233" t="str">
        <f>VLOOKUP(Table8[[#This Row],[Country Code]],Table29[],9,FALSE)</f>
        <v>no</v>
      </c>
      <c r="AY1885" s="233" t="str">
        <f>VLOOKUP(Table8[[#This Row],[Country Code]],Table29[],10,FALSE)</f>
        <v>no</v>
      </c>
      <c r="AZ1885" s="235">
        <f>VLOOKUP(Table8[[#This Row],[Country Code]],Table29[],23,FALSE)</f>
        <v>74.290132466078006</v>
      </c>
      <c r="BA1885" s="235">
        <f>VLOOKUP(Table8[[#This Row],[Country Code]],Table29[],24,FALSE)</f>
        <v>6.8133364043247093</v>
      </c>
      <c r="BB1885" s="320"/>
      <c r="BC1885" s="320"/>
    </row>
    <row r="1886" spans="1:55" ht="240" hidden="1" x14ac:dyDescent="0.25">
      <c r="A1886" s="360">
        <v>17732</v>
      </c>
      <c r="B1886" s="233" t="str">
        <f>VLOOKUP(Table8[[#This Row],[Document ID]],Table1[],2,FALSE)</f>
        <v>SGP</v>
      </c>
      <c r="C1886" s="233" t="str">
        <f>VLOOKUP(Table8[[#This Row],[Document ID]],Table1[],3,FALSE)</f>
        <v>Singapore</v>
      </c>
      <c r="D1886" s="233" t="str">
        <f>VLOOKUP(Table8[[#This Row],[Document ID]],Table1[],5,FALSE)</f>
        <v>LTS</v>
      </c>
      <c r="E1886" s="233" t="str">
        <f>VLOOKUP(Table8[[#This Row],[Document ID]],Table1[],7,FALSE)</f>
        <v>Archived LTS 1.0</v>
      </c>
      <c r="F1886" s="233" t="str">
        <f>VLOOKUP(Table8[[#This Row],[Document ID]],Table1[],8,FALSE)</f>
        <v>LTS 1.0</v>
      </c>
      <c r="G1886" s="233" t="str">
        <f>VLOOKUP(Table8[[#This Row],[Document ID]],Table1[],10,FALSE)</f>
        <v>Archived</v>
      </c>
      <c r="H1886" s="43" t="s">
        <v>2484</v>
      </c>
      <c r="I1886" s="43" t="s">
        <v>2488</v>
      </c>
      <c r="J1886" s="44" t="s">
        <v>2489</v>
      </c>
      <c r="K1886" s="44" t="s">
        <v>4067</v>
      </c>
      <c r="L1886" s="44" t="s">
        <v>2333</v>
      </c>
      <c r="M1886" s="43">
        <v>58</v>
      </c>
      <c r="N1886" s="113"/>
      <c r="O1886" s="113"/>
      <c r="P1886" s="113"/>
      <c r="Q1886" s="113"/>
      <c r="R1886" s="113"/>
      <c r="S1886" s="113"/>
      <c r="T1886" s="113"/>
      <c r="U1886" s="113"/>
      <c r="V1886" s="113"/>
      <c r="W1886" s="113"/>
      <c r="X1886" s="113"/>
      <c r="Y1886" s="113"/>
      <c r="Z1886" s="113"/>
      <c r="AA1886" s="113"/>
      <c r="AB1886" s="113"/>
      <c r="AC1886" s="113"/>
      <c r="AD1886" s="113"/>
      <c r="AE1886" s="113"/>
      <c r="AF1886" s="113"/>
      <c r="AG1886" s="113"/>
      <c r="AH1886" s="113" t="s">
        <v>1113</v>
      </c>
      <c r="AI1886" s="113"/>
      <c r="AJ1886" s="113"/>
      <c r="AK1886" s="113" t="s">
        <v>1113</v>
      </c>
      <c r="AL1886" s="113"/>
      <c r="AM1886" s="113"/>
      <c r="AN1886" s="113"/>
      <c r="AO1886" s="44" t="s">
        <v>2334</v>
      </c>
      <c r="AP1886" s="43"/>
      <c r="AQ1886" s="236" t="str">
        <f>VLOOKUP(Table8[[#This Row],[Instrument]],Def_Targets!$D$73:$E$159,2,FALSE)</f>
        <v>I_Aviation</v>
      </c>
      <c r="AR1886" s="233" t="str">
        <f>VLOOKUP(Table8[[#This Row],[Country Code]],Table29[],3,FALSE)</f>
        <v>Non-Annex I</v>
      </c>
      <c r="AS1886" s="233" t="str">
        <f>VLOOKUP(Table8[[#This Row],[Country Code]],Table29[],4,FALSE)</f>
        <v>Asia</v>
      </c>
      <c r="AT1886" s="233" t="str">
        <f>VLOOKUP(Table8[[#This Row],[Country Code]],Table29[],5,FALSE)</f>
        <v>High-income</v>
      </c>
      <c r="AU1886" s="233" t="str">
        <f>VLOOKUP(Table8[[#This Row],[Country Code]],Table29[],6,FALSE)</f>
        <v>no</v>
      </c>
      <c r="AV1886" s="233" t="str">
        <f>VLOOKUP(Table8[[#This Row],[Country Code]],Table29[],7,FALSE)</f>
        <v>no</v>
      </c>
      <c r="AW1886" s="233" t="str">
        <f>VLOOKUP(Table8[[#This Row],[Country Code]],Table29[],8,FALSE)</f>
        <v>non-OECD</v>
      </c>
      <c r="AX1886" s="233" t="str">
        <f>VLOOKUP(Table8[[#This Row],[Country Code]],Table29[],9,FALSE)</f>
        <v>no</v>
      </c>
      <c r="AY1886" s="233" t="str">
        <f>VLOOKUP(Table8[[#This Row],[Country Code]],Table29[],10,FALSE)</f>
        <v>no</v>
      </c>
      <c r="AZ1886" s="235">
        <f>VLOOKUP(Table8[[#This Row],[Country Code]],Table29[],23,FALSE)</f>
        <v>74.290132466078006</v>
      </c>
      <c r="BA1886" s="235">
        <f>VLOOKUP(Table8[[#This Row],[Country Code]],Table29[],24,FALSE)</f>
        <v>6.8133364043247093</v>
      </c>
      <c r="BB1886" s="320"/>
      <c r="BC1886" s="320"/>
    </row>
    <row r="1887" spans="1:55" ht="150" hidden="1" x14ac:dyDescent="0.25">
      <c r="A1887" s="360">
        <v>17732</v>
      </c>
      <c r="B1887" s="233" t="str">
        <f>VLOOKUP(Table8[[#This Row],[Document ID]],Table1[],2,FALSE)</f>
        <v>SGP</v>
      </c>
      <c r="C1887" s="233" t="str">
        <f>VLOOKUP(Table8[[#This Row],[Document ID]],Table1[],3,FALSE)</f>
        <v>Singapore</v>
      </c>
      <c r="D1887" s="233" t="str">
        <f>VLOOKUP(Table8[[#This Row],[Document ID]],Table1[],5,FALSE)</f>
        <v>LTS</v>
      </c>
      <c r="E1887" s="233" t="str">
        <f>VLOOKUP(Table8[[#This Row],[Document ID]],Table1[],7,FALSE)</f>
        <v>Archived LTS 1.0</v>
      </c>
      <c r="F1887" s="233" t="str">
        <f>VLOOKUP(Table8[[#This Row],[Document ID]],Table1[],8,FALSE)</f>
        <v>LTS 1.0</v>
      </c>
      <c r="G1887" s="233" t="str">
        <f>VLOOKUP(Table8[[#This Row],[Document ID]],Table1[],10,FALSE)</f>
        <v>Archived</v>
      </c>
      <c r="H1887" s="43" t="s">
        <v>2484</v>
      </c>
      <c r="I1887" s="43" t="s">
        <v>2485</v>
      </c>
      <c r="J1887" s="44" t="s">
        <v>2978</v>
      </c>
      <c r="K1887" s="44" t="s">
        <v>4068</v>
      </c>
      <c r="L1887" s="44" t="s">
        <v>2333</v>
      </c>
      <c r="M1887" s="43">
        <v>59</v>
      </c>
      <c r="N1887" s="113"/>
      <c r="O1887" s="113"/>
      <c r="P1887" s="113"/>
      <c r="Q1887" s="113"/>
      <c r="R1887" s="113"/>
      <c r="S1887" s="113"/>
      <c r="T1887" s="113"/>
      <c r="U1887" s="113"/>
      <c r="V1887" s="113"/>
      <c r="W1887" s="113"/>
      <c r="X1887" s="113"/>
      <c r="Y1887" s="113"/>
      <c r="Z1887" s="113"/>
      <c r="AA1887" s="113"/>
      <c r="AB1887" s="113"/>
      <c r="AC1887" s="113"/>
      <c r="AD1887" s="113" t="s">
        <v>1113</v>
      </c>
      <c r="AE1887" s="113"/>
      <c r="AF1887" s="113"/>
      <c r="AG1887" s="113"/>
      <c r="AH1887" s="113"/>
      <c r="AI1887" s="113"/>
      <c r="AJ1887" s="113"/>
      <c r="AK1887" s="319" t="s">
        <v>1113</v>
      </c>
      <c r="AL1887" s="113"/>
      <c r="AM1887" s="113"/>
      <c r="AN1887" s="113"/>
      <c r="AO1887" s="44" t="s">
        <v>2334</v>
      </c>
      <c r="AP1887" s="43"/>
      <c r="AQ1887" s="236" t="str">
        <f>VLOOKUP(Table8[[#This Row],[Instrument]],Def_Targets!$D$73:$E$159,2,FALSE)</f>
        <v>I_PortInfra</v>
      </c>
      <c r="AR1887" s="233" t="str">
        <f>VLOOKUP(Table8[[#This Row],[Country Code]],Table29[],3,FALSE)</f>
        <v>Non-Annex I</v>
      </c>
      <c r="AS1887" s="233" t="str">
        <f>VLOOKUP(Table8[[#This Row],[Country Code]],Table29[],4,FALSE)</f>
        <v>Asia</v>
      </c>
      <c r="AT1887" s="233" t="str">
        <f>VLOOKUP(Table8[[#This Row],[Country Code]],Table29[],5,FALSE)</f>
        <v>High-income</v>
      </c>
      <c r="AU1887" s="233" t="str">
        <f>VLOOKUP(Table8[[#This Row],[Country Code]],Table29[],6,FALSE)</f>
        <v>no</v>
      </c>
      <c r="AV1887" s="233" t="str">
        <f>VLOOKUP(Table8[[#This Row],[Country Code]],Table29[],7,FALSE)</f>
        <v>no</v>
      </c>
      <c r="AW1887" s="233" t="str">
        <f>VLOOKUP(Table8[[#This Row],[Country Code]],Table29[],8,FALSE)</f>
        <v>non-OECD</v>
      </c>
      <c r="AX1887" s="233" t="str">
        <f>VLOOKUP(Table8[[#This Row],[Country Code]],Table29[],9,FALSE)</f>
        <v>no</v>
      </c>
      <c r="AY1887" s="233" t="str">
        <f>VLOOKUP(Table8[[#This Row],[Country Code]],Table29[],10,FALSE)</f>
        <v>no</v>
      </c>
      <c r="AZ1887" s="235">
        <f>VLOOKUP(Table8[[#This Row],[Country Code]],Table29[],23,FALSE)</f>
        <v>74.290132466078006</v>
      </c>
      <c r="BA1887" s="235">
        <f>VLOOKUP(Table8[[#This Row],[Country Code]],Table29[],24,FALSE)</f>
        <v>6.8133364043247093</v>
      </c>
      <c r="BB1887" s="320"/>
      <c r="BC1887" s="320"/>
    </row>
    <row r="1888" spans="1:55" ht="30" hidden="1" x14ac:dyDescent="0.25">
      <c r="A1888" s="360">
        <v>32514</v>
      </c>
      <c r="B1888" s="233" t="str">
        <f>VLOOKUP(Table8[[#This Row],[Document ID]],Table1[],2,FALSE)</f>
        <v>SGP</v>
      </c>
      <c r="C1888" s="233" t="str">
        <f>VLOOKUP(Table8[[#This Row],[Document ID]],Table1[],3,FALSE)</f>
        <v>Singapore</v>
      </c>
      <c r="D1888" s="233" t="str">
        <f>VLOOKUP(Table8[[#This Row],[Document ID]],Table1[],5,FALSE)</f>
        <v>NDC</v>
      </c>
      <c r="E1888" s="233" t="str">
        <f>VLOOKUP(Table8[[#This Row],[Document ID]],Table1[],7,FALSE)</f>
        <v>First NDC updated</v>
      </c>
      <c r="F1888" s="233" t="str">
        <f>VLOOKUP(Table8[[#This Row],[Document ID]],Table1[],8,FALSE)</f>
        <v>NDC 1.2</v>
      </c>
      <c r="G1888" s="233" t="str">
        <f>VLOOKUP(Table8[[#This Row],[Document ID]],Table1[],10,FALSE)</f>
        <v>Archived</v>
      </c>
      <c r="H1888" s="44" t="s">
        <v>2338</v>
      </c>
      <c r="I1888" s="44" t="s">
        <v>2339</v>
      </c>
      <c r="J1888" s="44" t="s">
        <v>2410</v>
      </c>
      <c r="K1888" s="44" t="s">
        <v>4069</v>
      </c>
      <c r="L1888" s="44" t="s">
        <v>2380</v>
      </c>
      <c r="M1888" s="43">
        <v>16</v>
      </c>
      <c r="N1888" s="113"/>
      <c r="O1888" s="113"/>
      <c r="P1888" s="113"/>
      <c r="Q1888" s="113"/>
      <c r="R1888" s="113"/>
      <c r="S1888" s="113"/>
      <c r="T1888" s="113"/>
      <c r="U1888" s="113" t="s">
        <v>1113</v>
      </c>
      <c r="V1888" s="113"/>
      <c r="W1888" s="113"/>
      <c r="X1888" s="113"/>
      <c r="Y1888" s="113"/>
      <c r="Z1888" s="113"/>
      <c r="AA1888" s="113"/>
      <c r="AB1888" s="113"/>
      <c r="AC1888" s="113"/>
      <c r="AD1888" s="113"/>
      <c r="AE1888" s="113"/>
      <c r="AF1888" s="113"/>
      <c r="AG1888" s="113"/>
      <c r="AH1888" s="113"/>
      <c r="AI1888" s="113"/>
      <c r="AJ1888" s="113"/>
      <c r="AK1888" s="113" t="s">
        <v>1113</v>
      </c>
      <c r="AL1888" s="113"/>
      <c r="AM1888" s="113"/>
      <c r="AN1888" s="113"/>
      <c r="AO1888" s="44" t="s">
        <v>2334</v>
      </c>
      <c r="AP1888" s="43"/>
      <c r="AQ1888" s="236" t="str">
        <f>VLOOKUP(Table8[[#This Row],[Instrument]],Def_Targets!$D$73:$E$159,2,FALSE)</f>
        <v>I_VehicleRestrictions</v>
      </c>
      <c r="AR1888" s="233" t="str">
        <f>VLOOKUP(Table8[[#This Row],[Country Code]],Table29[],3,FALSE)</f>
        <v>Non-Annex I</v>
      </c>
      <c r="AS1888" s="233" t="str">
        <f>VLOOKUP(Table8[[#This Row],[Country Code]],Table29[],4,FALSE)</f>
        <v>Asia</v>
      </c>
      <c r="AT1888" s="233" t="str">
        <f>VLOOKUP(Table8[[#This Row],[Country Code]],Table29[],5,FALSE)</f>
        <v>High-income</v>
      </c>
      <c r="AU1888" s="233" t="str">
        <f>VLOOKUP(Table8[[#This Row],[Country Code]],Table29[],6,FALSE)</f>
        <v>no</v>
      </c>
      <c r="AV1888" s="233" t="str">
        <f>VLOOKUP(Table8[[#This Row],[Country Code]],Table29[],7,FALSE)</f>
        <v>no</v>
      </c>
      <c r="AW1888" s="233" t="str">
        <f>VLOOKUP(Table8[[#This Row],[Country Code]],Table29[],8,FALSE)</f>
        <v>non-OECD</v>
      </c>
      <c r="AX1888" s="233" t="str">
        <f>VLOOKUP(Table8[[#This Row],[Country Code]],Table29[],9,FALSE)</f>
        <v>no</v>
      </c>
      <c r="AY1888" s="233" t="str">
        <f>VLOOKUP(Table8[[#This Row],[Country Code]],Table29[],10,FALSE)</f>
        <v>no</v>
      </c>
      <c r="AZ1888" s="235">
        <f>VLOOKUP(Table8[[#This Row],[Country Code]],Table29[],23,FALSE)</f>
        <v>74.290132466078006</v>
      </c>
      <c r="BA1888" s="235">
        <f>VLOOKUP(Table8[[#This Row],[Country Code]],Table29[],24,FALSE)</f>
        <v>6.8133364043247093</v>
      </c>
      <c r="BB1888" s="320"/>
      <c r="BC1888" s="320"/>
    </row>
    <row r="1889" spans="1:55" ht="30" hidden="1" x14ac:dyDescent="0.25">
      <c r="A1889" s="360">
        <v>32514</v>
      </c>
      <c r="B1889" s="233" t="str">
        <f>VLOOKUP(Table8[[#This Row],[Document ID]],Table1[],2,FALSE)</f>
        <v>SGP</v>
      </c>
      <c r="C1889" s="233" t="str">
        <f>VLOOKUP(Table8[[#This Row],[Document ID]],Table1[],3,FALSE)</f>
        <v>Singapore</v>
      </c>
      <c r="D1889" s="233" t="str">
        <f>VLOOKUP(Table8[[#This Row],[Document ID]],Table1[],5,FALSE)</f>
        <v>NDC</v>
      </c>
      <c r="E1889" s="233" t="str">
        <f>VLOOKUP(Table8[[#This Row],[Document ID]],Table1[],7,FALSE)</f>
        <v>First NDC updated</v>
      </c>
      <c r="F1889" s="233" t="str">
        <f>VLOOKUP(Table8[[#This Row],[Document ID]],Table1[],8,FALSE)</f>
        <v>NDC 1.2</v>
      </c>
      <c r="G1889" s="233" t="str">
        <f>VLOOKUP(Table8[[#This Row],[Document ID]],Table1[],10,FALSE)</f>
        <v>Archived</v>
      </c>
      <c r="H1889" s="43" t="s">
        <v>2343</v>
      </c>
      <c r="I1889" s="43" t="s">
        <v>2429</v>
      </c>
      <c r="J1889" s="44" t="s">
        <v>2513</v>
      </c>
      <c r="K1889" s="44" t="s">
        <v>4070</v>
      </c>
      <c r="L1889" s="44" t="s">
        <v>2347</v>
      </c>
      <c r="M1889" s="43">
        <v>19</v>
      </c>
      <c r="N1889" s="113" t="s">
        <v>1113</v>
      </c>
      <c r="O1889" s="113"/>
      <c r="P1889" s="113"/>
      <c r="Q1889" s="113"/>
      <c r="R1889" s="113"/>
      <c r="S1889" s="113"/>
      <c r="T1889" s="113"/>
      <c r="U1889" s="113"/>
      <c r="V1889" s="113"/>
      <c r="W1889" s="113"/>
      <c r="X1889" s="113"/>
      <c r="Y1889" s="113"/>
      <c r="Z1889" s="113"/>
      <c r="AA1889" s="113"/>
      <c r="AB1889" s="113"/>
      <c r="AC1889" s="113"/>
      <c r="AD1889" s="113"/>
      <c r="AE1889" s="113"/>
      <c r="AF1889" s="113"/>
      <c r="AG1889" s="113"/>
      <c r="AH1889" s="113"/>
      <c r="AI1889" s="113"/>
      <c r="AJ1889" s="113"/>
      <c r="AK1889" s="113" t="s">
        <v>1113</v>
      </c>
      <c r="AL1889" s="113"/>
      <c r="AM1889" s="113"/>
      <c r="AN1889" s="113"/>
      <c r="AO1889" s="44" t="s">
        <v>2334</v>
      </c>
      <c r="AP1889" s="43"/>
      <c r="AQ1889" s="236" t="str">
        <f>VLOOKUP(Table8[[#This Row],[Instrument]],Def_Targets!$D$73:$E$159,2,FALSE)</f>
        <v>S_Sharedmob</v>
      </c>
      <c r="AR1889" s="233" t="str">
        <f>VLOOKUP(Table8[[#This Row],[Country Code]],Table29[],3,FALSE)</f>
        <v>Non-Annex I</v>
      </c>
      <c r="AS1889" s="233" t="str">
        <f>VLOOKUP(Table8[[#This Row],[Country Code]],Table29[],4,FALSE)</f>
        <v>Asia</v>
      </c>
      <c r="AT1889" s="233" t="str">
        <f>VLOOKUP(Table8[[#This Row],[Country Code]],Table29[],5,FALSE)</f>
        <v>High-income</v>
      </c>
      <c r="AU1889" s="233" t="str">
        <f>VLOOKUP(Table8[[#This Row],[Country Code]],Table29[],6,FALSE)</f>
        <v>no</v>
      </c>
      <c r="AV1889" s="233" t="str">
        <f>VLOOKUP(Table8[[#This Row],[Country Code]],Table29[],7,FALSE)</f>
        <v>no</v>
      </c>
      <c r="AW1889" s="233" t="str">
        <f>VLOOKUP(Table8[[#This Row],[Country Code]],Table29[],8,FALSE)</f>
        <v>non-OECD</v>
      </c>
      <c r="AX1889" s="233" t="str">
        <f>VLOOKUP(Table8[[#This Row],[Country Code]],Table29[],9,FALSE)</f>
        <v>no</v>
      </c>
      <c r="AY1889" s="233" t="str">
        <f>VLOOKUP(Table8[[#This Row],[Country Code]],Table29[],10,FALSE)</f>
        <v>no</v>
      </c>
      <c r="AZ1889" s="235">
        <f>VLOOKUP(Table8[[#This Row],[Country Code]],Table29[],23,FALSE)</f>
        <v>74.290132466078006</v>
      </c>
      <c r="BA1889" s="235">
        <f>VLOOKUP(Table8[[#This Row],[Country Code]],Table29[],24,FALSE)</f>
        <v>6.8133364043247093</v>
      </c>
      <c r="BB1889" s="320"/>
      <c r="BC1889" s="320"/>
    </row>
    <row r="1890" spans="1:55" ht="30" hidden="1" x14ac:dyDescent="0.25">
      <c r="A1890" s="373">
        <v>32514</v>
      </c>
      <c r="B1890" s="233" t="str">
        <f>VLOOKUP(Table8[[#This Row],[Document ID]],Table1[],2,FALSE)</f>
        <v>SGP</v>
      </c>
      <c r="C1890" s="233" t="str">
        <f>VLOOKUP(Table8[[#This Row],[Document ID]],Table1[],3,FALSE)</f>
        <v>Singapore</v>
      </c>
      <c r="D1890" s="243" t="str">
        <f>VLOOKUP(Table8[[#This Row],[Document ID]],Table1[],5,FALSE)</f>
        <v>NDC</v>
      </c>
      <c r="E1890" s="233" t="str">
        <f>VLOOKUP(Table8[[#This Row],[Document ID]],Table1[],7,FALSE)</f>
        <v>First NDC updated</v>
      </c>
      <c r="F1890" s="233" t="str">
        <f>VLOOKUP(Table8[[#This Row],[Document ID]],Table1[],8,FALSE)</f>
        <v>NDC 1.2</v>
      </c>
      <c r="G1890" s="233" t="str">
        <f>VLOOKUP(Table8[[#This Row],[Document ID]],Table1[],10,FALSE)</f>
        <v>Archived</v>
      </c>
      <c r="H1890" s="43" t="s">
        <v>2343</v>
      </c>
      <c r="I1890" s="43" t="s">
        <v>2361</v>
      </c>
      <c r="J1890" s="44" t="s">
        <v>2366</v>
      </c>
      <c r="K1890" s="44" t="s">
        <v>4070</v>
      </c>
      <c r="L1890" s="44" t="s">
        <v>2347</v>
      </c>
      <c r="M1890" s="43">
        <v>19</v>
      </c>
      <c r="N1890" s="113"/>
      <c r="O1890" s="113"/>
      <c r="P1890" s="113" t="s">
        <v>1113</v>
      </c>
      <c r="Q1890" s="113"/>
      <c r="R1890" s="113"/>
      <c r="S1890" s="113"/>
      <c r="T1890" s="113"/>
      <c r="U1890" s="113"/>
      <c r="V1890" s="113"/>
      <c r="W1890" s="113"/>
      <c r="X1890" s="113"/>
      <c r="Y1890" s="113"/>
      <c r="Z1890" s="113"/>
      <c r="AA1890" s="113"/>
      <c r="AB1890" s="113"/>
      <c r="AC1890" s="113"/>
      <c r="AD1890" s="113"/>
      <c r="AE1890" s="113"/>
      <c r="AF1890" s="113"/>
      <c r="AG1890" s="113"/>
      <c r="AH1890" s="113"/>
      <c r="AI1890" s="113"/>
      <c r="AJ1890" s="113"/>
      <c r="AK1890" s="113" t="s">
        <v>1113</v>
      </c>
      <c r="AL1890" s="113"/>
      <c r="AM1890" s="113"/>
      <c r="AN1890" s="113"/>
      <c r="AO1890" s="44" t="s">
        <v>2334</v>
      </c>
      <c r="AP1890" s="43"/>
      <c r="AQ1890" s="236" t="str">
        <f>VLOOKUP(Table8[[#This Row],[Instrument]],Def_Targets!$D$73:$E$159,2,FALSE)</f>
        <v>S_Activemobility</v>
      </c>
      <c r="AR1890" s="233" t="str">
        <f>VLOOKUP(Table8[[#This Row],[Country Code]],Table29[],3,FALSE)</f>
        <v>Non-Annex I</v>
      </c>
      <c r="AS1890" s="233" t="str">
        <f>VLOOKUP(Table8[[#This Row],[Country Code]],Table29[],4,FALSE)</f>
        <v>Asia</v>
      </c>
      <c r="AT1890" s="233" t="str">
        <f>VLOOKUP(Table8[[#This Row],[Country Code]],Table29[],5,FALSE)</f>
        <v>High-income</v>
      </c>
      <c r="AU1890" s="233" t="str">
        <f>VLOOKUP(Table8[[#This Row],[Country Code]],Table29[],6,FALSE)</f>
        <v>no</v>
      </c>
      <c r="AV1890" s="233" t="str">
        <f>VLOOKUP(Table8[[#This Row],[Country Code]],Table29[],7,FALSE)</f>
        <v>no</v>
      </c>
      <c r="AW1890" s="233" t="str">
        <f>VLOOKUP(Table8[[#This Row],[Country Code]],Table29[],8,FALSE)</f>
        <v>non-OECD</v>
      </c>
      <c r="AX1890" s="233" t="str">
        <f>VLOOKUP(Table8[[#This Row],[Country Code]],Table29[],9,FALSE)</f>
        <v>no</v>
      </c>
      <c r="AY1890" s="233" t="str">
        <f>VLOOKUP(Table8[[#This Row],[Country Code]],Table29[],10,FALSE)</f>
        <v>no</v>
      </c>
      <c r="AZ1890" s="235">
        <f>VLOOKUP(Table8[[#This Row],[Country Code]],Table29[],23,FALSE)</f>
        <v>74.290132466078006</v>
      </c>
      <c r="BA1890" s="235">
        <f>VLOOKUP(Table8[[#This Row],[Country Code]],Table29[],24,FALSE)</f>
        <v>6.8133364043247093</v>
      </c>
      <c r="BB1890" s="320"/>
      <c r="BC1890" s="320"/>
    </row>
    <row r="1891" spans="1:55" ht="30" hidden="1" x14ac:dyDescent="0.25">
      <c r="A1891" s="373">
        <v>32514</v>
      </c>
      <c r="B1891" s="233" t="str">
        <f>VLOOKUP(Table8[[#This Row],[Document ID]],Table1[],2,FALSE)</f>
        <v>SGP</v>
      </c>
      <c r="C1891" s="233" t="str">
        <f>VLOOKUP(Table8[[#This Row],[Document ID]],Table1[],3,FALSE)</f>
        <v>Singapore</v>
      </c>
      <c r="D1891" s="243" t="str">
        <f>VLOOKUP(Table8[[#This Row],[Document ID]],Table1[],5,FALSE)</f>
        <v>NDC</v>
      </c>
      <c r="E1891" s="233" t="str">
        <f>VLOOKUP(Table8[[#This Row],[Document ID]],Table1[],7,FALSE)</f>
        <v>First NDC updated</v>
      </c>
      <c r="F1891" s="233" t="str">
        <f>VLOOKUP(Table8[[#This Row],[Document ID]],Table1[],8,FALSE)</f>
        <v>NDC 1.2</v>
      </c>
      <c r="G1891" s="233" t="str">
        <f>VLOOKUP(Table8[[#This Row],[Document ID]],Table1[],10,FALSE)</f>
        <v>Archived</v>
      </c>
      <c r="H1891" s="43" t="s">
        <v>2343</v>
      </c>
      <c r="I1891" s="43" t="s">
        <v>2344</v>
      </c>
      <c r="J1891" s="44" t="s">
        <v>2345</v>
      </c>
      <c r="K1891" s="44" t="s">
        <v>4070</v>
      </c>
      <c r="L1891" s="44" t="s">
        <v>2347</v>
      </c>
      <c r="M1891" s="43">
        <v>19</v>
      </c>
      <c r="N1891" s="113" t="s">
        <v>1113</v>
      </c>
      <c r="O1891" s="113"/>
      <c r="P1891" s="113"/>
      <c r="Q1891" s="113"/>
      <c r="R1891" s="113"/>
      <c r="S1891" s="113"/>
      <c r="T1891" s="113"/>
      <c r="U1891" s="113"/>
      <c r="V1891" s="113"/>
      <c r="W1891" s="113"/>
      <c r="X1891" s="113"/>
      <c r="Y1891" s="113"/>
      <c r="Z1891" s="113"/>
      <c r="AA1891" s="113"/>
      <c r="AB1891" s="113"/>
      <c r="AC1891" s="113"/>
      <c r="AD1891" s="113"/>
      <c r="AE1891" s="113"/>
      <c r="AF1891" s="113"/>
      <c r="AG1891" s="113"/>
      <c r="AH1891" s="113"/>
      <c r="AI1891" s="113"/>
      <c r="AJ1891" s="113"/>
      <c r="AK1891" s="113" t="s">
        <v>1113</v>
      </c>
      <c r="AL1891" s="113"/>
      <c r="AM1891" s="113"/>
      <c r="AN1891" s="113"/>
      <c r="AO1891" s="44" t="s">
        <v>2334</v>
      </c>
      <c r="AP1891" s="43"/>
      <c r="AQ1891" s="236" t="str">
        <f>VLOOKUP(Table8[[#This Row],[Instrument]],Def_Targets!$D$73:$E$159,2,FALSE)</f>
        <v>S_PublicTransport</v>
      </c>
      <c r="AR1891" s="233" t="str">
        <f>VLOOKUP(Table8[[#This Row],[Country Code]],Table29[],3,FALSE)</f>
        <v>Non-Annex I</v>
      </c>
      <c r="AS1891" s="233" t="str">
        <f>VLOOKUP(Table8[[#This Row],[Country Code]],Table29[],4,FALSE)</f>
        <v>Asia</v>
      </c>
      <c r="AT1891" s="233" t="str">
        <f>VLOOKUP(Table8[[#This Row],[Country Code]],Table29[],5,FALSE)</f>
        <v>High-income</v>
      </c>
      <c r="AU1891" s="233" t="str">
        <f>VLOOKUP(Table8[[#This Row],[Country Code]],Table29[],6,FALSE)</f>
        <v>no</v>
      </c>
      <c r="AV1891" s="233" t="str">
        <f>VLOOKUP(Table8[[#This Row],[Country Code]],Table29[],7,FALSE)</f>
        <v>no</v>
      </c>
      <c r="AW1891" s="233" t="str">
        <f>VLOOKUP(Table8[[#This Row],[Country Code]],Table29[],8,FALSE)</f>
        <v>non-OECD</v>
      </c>
      <c r="AX1891" s="233" t="str">
        <f>VLOOKUP(Table8[[#This Row],[Country Code]],Table29[],9,FALSE)</f>
        <v>no</v>
      </c>
      <c r="AY1891" s="233" t="str">
        <f>VLOOKUP(Table8[[#This Row],[Country Code]],Table29[],10,FALSE)</f>
        <v>no</v>
      </c>
      <c r="AZ1891" s="235">
        <f>VLOOKUP(Table8[[#This Row],[Country Code]],Table29[],23,FALSE)</f>
        <v>74.290132466078006</v>
      </c>
      <c r="BA1891" s="235">
        <f>VLOOKUP(Table8[[#This Row],[Country Code]],Table29[],24,FALSE)</f>
        <v>6.8133364043247093</v>
      </c>
      <c r="BB1891" s="320"/>
      <c r="BC1891" s="320"/>
    </row>
    <row r="1892" spans="1:55" hidden="1" x14ac:dyDescent="0.25">
      <c r="A1892" s="373">
        <v>32514</v>
      </c>
      <c r="B1892" s="233" t="str">
        <f>VLOOKUP(Table8[[#This Row],[Document ID]],Table1[],2,FALSE)</f>
        <v>SGP</v>
      </c>
      <c r="C1892" s="233" t="str">
        <f>VLOOKUP(Table8[[#This Row],[Document ID]],Table1[],3,FALSE)</f>
        <v>Singapore</v>
      </c>
      <c r="D1892" s="243" t="str">
        <f>VLOOKUP(Table8[[#This Row],[Document ID]],Table1[],5,FALSE)</f>
        <v>NDC</v>
      </c>
      <c r="E1892" s="233" t="str">
        <f>VLOOKUP(Table8[[#This Row],[Document ID]],Table1[],7,FALSE)</f>
        <v>First NDC updated</v>
      </c>
      <c r="F1892" s="233" t="str">
        <f>VLOOKUP(Table8[[#This Row],[Document ID]],Table1[],8,FALSE)</f>
        <v>NDC 1.2</v>
      </c>
      <c r="G1892" s="233" t="str">
        <f>VLOOKUP(Table8[[#This Row],[Document ID]],Table1[],10,FALSE)</f>
        <v>Archived</v>
      </c>
      <c r="H1892" s="43" t="s">
        <v>2358</v>
      </c>
      <c r="I1892" s="43" t="s">
        <v>2359</v>
      </c>
      <c r="J1892" s="44" t="s">
        <v>2360</v>
      </c>
      <c r="K1892" s="44" t="s">
        <v>4071</v>
      </c>
      <c r="L1892" s="44" t="s">
        <v>2333</v>
      </c>
      <c r="M1892" s="43" t="s">
        <v>4072</v>
      </c>
      <c r="N1892" s="113" t="s">
        <v>1113</v>
      </c>
      <c r="O1892" s="113"/>
      <c r="P1892" s="113"/>
      <c r="Q1892" s="113"/>
      <c r="R1892" s="113"/>
      <c r="S1892" s="113"/>
      <c r="T1892" s="113"/>
      <c r="U1892" s="113"/>
      <c r="V1892" s="113"/>
      <c r="W1892" s="113"/>
      <c r="X1892" s="113"/>
      <c r="Y1892" s="113"/>
      <c r="Z1892" s="113"/>
      <c r="AA1892" s="113"/>
      <c r="AB1892" s="113"/>
      <c r="AC1892" s="113"/>
      <c r="AD1892" s="113"/>
      <c r="AE1892" s="113"/>
      <c r="AF1892" s="113"/>
      <c r="AG1892" s="113"/>
      <c r="AH1892" s="113"/>
      <c r="AI1892" s="113"/>
      <c r="AJ1892" s="113"/>
      <c r="AK1892" s="113" t="s">
        <v>1113</v>
      </c>
      <c r="AL1892" s="113"/>
      <c r="AM1892" s="113"/>
      <c r="AN1892" s="113"/>
      <c r="AO1892" s="44" t="s">
        <v>2334</v>
      </c>
      <c r="AP1892" s="43"/>
      <c r="AQ1892" s="236" t="str">
        <f>VLOOKUP(Table8[[#This Row],[Instrument]],Def_Targets!$D$73:$E$159,2,FALSE)</f>
        <v>I_Emobility</v>
      </c>
      <c r="AR1892" s="233" t="str">
        <f>VLOOKUP(Table8[[#This Row],[Country Code]],Table29[],3,FALSE)</f>
        <v>Non-Annex I</v>
      </c>
      <c r="AS1892" s="233" t="str">
        <f>VLOOKUP(Table8[[#This Row],[Country Code]],Table29[],4,FALSE)</f>
        <v>Asia</v>
      </c>
      <c r="AT1892" s="233" t="str">
        <f>VLOOKUP(Table8[[#This Row],[Country Code]],Table29[],5,FALSE)</f>
        <v>High-income</v>
      </c>
      <c r="AU1892" s="233" t="str">
        <f>VLOOKUP(Table8[[#This Row],[Country Code]],Table29[],6,FALSE)</f>
        <v>no</v>
      </c>
      <c r="AV1892" s="233" t="str">
        <f>VLOOKUP(Table8[[#This Row],[Country Code]],Table29[],7,FALSE)</f>
        <v>no</v>
      </c>
      <c r="AW1892" s="233" t="str">
        <f>VLOOKUP(Table8[[#This Row],[Country Code]],Table29[],8,FALSE)</f>
        <v>non-OECD</v>
      </c>
      <c r="AX1892" s="233" t="str">
        <f>VLOOKUP(Table8[[#This Row],[Country Code]],Table29[],9,FALSE)</f>
        <v>no</v>
      </c>
      <c r="AY1892" s="233" t="str">
        <f>VLOOKUP(Table8[[#This Row],[Country Code]],Table29[],10,FALSE)</f>
        <v>no</v>
      </c>
      <c r="AZ1892" s="235">
        <f>VLOOKUP(Table8[[#This Row],[Country Code]],Table29[],23,FALSE)</f>
        <v>74.290132466078006</v>
      </c>
      <c r="BA1892" s="235">
        <f>VLOOKUP(Table8[[#This Row],[Country Code]],Table29[],24,FALSE)</f>
        <v>6.8133364043247093</v>
      </c>
      <c r="BB1892" s="320"/>
      <c r="BC1892" s="320"/>
    </row>
    <row r="1893" spans="1:55" ht="30" hidden="1" x14ac:dyDescent="0.25">
      <c r="A1893" s="373">
        <v>32514</v>
      </c>
      <c r="B1893" s="233" t="str">
        <f>VLOOKUP(Table8[[#This Row],[Document ID]],Table1[],2,FALSE)</f>
        <v>SGP</v>
      </c>
      <c r="C1893" s="233" t="str">
        <f>VLOOKUP(Table8[[#This Row],[Document ID]],Table1[],3,FALSE)</f>
        <v>Singapore</v>
      </c>
      <c r="D1893" s="243" t="str">
        <f>VLOOKUP(Table8[[#This Row],[Document ID]],Table1[],5,FALSE)</f>
        <v>NDC</v>
      </c>
      <c r="E1893" s="233" t="str">
        <f>VLOOKUP(Table8[[#This Row],[Document ID]],Table1[],7,FALSE)</f>
        <v>First NDC updated</v>
      </c>
      <c r="F1893" s="233" t="str">
        <f>VLOOKUP(Table8[[#This Row],[Document ID]],Table1[],8,FALSE)</f>
        <v>NDC 1.2</v>
      </c>
      <c r="G1893" s="233" t="str">
        <f>VLOOKUP(Table8[[#This Row],[Document ID]],Table1[],10,FALSE)</f>
        <v>Archived</v>
      </c>
      <c r="H1893" s="43" t="s">
        <v>2350</v>
      </c>
      <c r="I1893" s="43" t="s">
        <v>2456</v>
      </c>
      <c r="J1893" s="44" t="s">
        <v>2457</v>
      </c>
      <c r="K1893" s="44" t="s">
        <v>4073</v>
      </c>
      <c r="L1893" s="44" t="s">
        <v>2373</v>
      </c>
      <c r="M1893" s="43">
        <v>20</v>
      </c>
      <c r="N1893" s="113" t="s">
        <v>1113</v>
      </c>
      <c r="O1893" s="113"/>
      <c r="P1893" s="113"/>
      <c r="Q1893" s="113"/>
      <c r="R1893" s="113"/>
      <c r="S1893" s="113"/>
      <c r="T1893" s="113"/>
      <c r="U1893" s="113"/>
      <c r="V1893" s="113"/>
      <c r="W1893" s="113"/>
      <c r="X1893" s="113"/>
      <c r="Y1893" s="113"/>
      <c r="Z1893" s="113"/>
      <c r="AA1893" s="113"/>
      <c r="AB1893" s="113"/>
      <c r="AC1893" s="113"/>
      <c r="AD1893" s="113"/>
      <c r="AE1893" s="113"/>
      <c r="AF1893" s="113"/>
      <c r="AG1893" s="113"/>
      <c r="AH1893" s="113"/>
      <c r="AI1893" s="113"/>
      <c r="AJ1893" s="113"/>
      <c r="AK1893" s="113" t="s">
        <v>1113</v>
      </c>
      <c r="AL1893" s="113"/>
      <c r="AM1893" s="113"/>
      <c r="AN1893" s="113"/>
      <c r="AO1893" s="44" t="s">
        <v>2334</v>
      </c>
      <c r="AP1893" s="43"/>
      <c r="AQ1893" s="236" t="str">
        <f>VLOOKUP(Table8[[#This Row],[Instrument]],Def_Targets!$D$73:$E$159,2,FALSE)</f>
        <v>S_Infraimprove</v>
      </c>
      <c r="AR1893" s="233" t="str">
        <f>VLOOKUP(Table8[[#This Row],[Country Code]],Table29[],3,FALSE)</f>
        <v>Non-Annex I</v>
      </c>
      <c r="AS1893" s="233" t="str">
        <f>VLOOKUP(Table8[[#This Row],[Country Code]],Table29[],4,FALSE)</f>
        <v>Asia</v>
      </c>
      <c r="AT1893" s="233" t="str">
        <f>VLOOKUP(Table8[[#This Row],[Country Code]],Table29[],5,FALSE)</f>
        <v>High-income</v>
      </c>
      <c r="AU1893" s="233" t="str">
        <f>VLOOKUP(Table8[[#This Row],[Country Code]],Table29[],6,FALSE)</f>
        <v>no</v>
      </c>
      <c r="AV1893" s="233" t="str">
        <f>VLOOKUP(Table8[[#This Row],[Country Code]],Table29[],7,FALSE)</f>
        <v>no</v>
      </c>
      <c r="AW1893" s="233" t="str">
        <f>VLOOKUP(Table8[[#This Row],[Country Code]],Table29[],8,FALSE)</f>
        <v>non-OECD</v>
      </c>
      <c r="AX1893" s="233" t="str">
        <f>VLOOKUP(Table8[[#This Row],[Country Code]],Table29[],9,FALSE)</f>
        <v>no</v>
      </c>
      <c r="AY1893" s="233" t="str">
        <f>VLOOKUP(Table8[[#This Row],[Country Code]],Table29[],10,FALSE)</f>
        <v>no</v>
      </c>
      <c r="AZ1893" s="235">
        <f>VLOOKUP(Table8[[#This Row],[Country Code]],Table29[],23,FALSE)</f>
        <v>74.290132466078006</v>
      </c>
      <c r="BA1893" s="235">
        <f>VLOOKUP(Table8[[#This Row],[Country Code]],Table29[],24,FALSE)</f>
        <v>6.8133364043247093</v>
      </c>
      <c r="BB1893" s="320"/>
      <c r="BC1893" s="320"/>
    </row>
    <row r="1894" spans="1:55" ht="30" hidden="1" x14ac:dyDescent="0.25">
      <c r="A1894" s="360">
        <v>17687</v>
      </c>
      <c r="B1894" s="233" t="str">
        <f>VLOOKUP(Table8[[#This Row],[Document ID]],Table1[],2,FALSE)</f>
        <v>NOR</v>
      </c>
      <c r="C1894" s="233" t="str">
        <f>VLOOKUP(Table8[[#This Row],[Document ID]],Table1[],3,FALSE)</f>
        <v>Norway</v>
      </c>
      <c r="D1894" s="233" t="str">
        <f>VLOOKUP(Table8[[#This Row],[Document ID]],Table1[],5,FALSE)</f>
        <v>LTS</v>
      </c>
      <c r="E1894" s="233" t="str">
        <f>VLOOKUP(Table8[[#This Row],[Document ID]],Table1[],7,FALSE)</f>
        <v>LTS</v>
      </c>
      <c r="F1894" s="233" t="str">
        <f>VLOOKUP(Table8[[#This Row],[Document ID]],Table1[],8,FALSE)</f>
        <v>LTS 1.0</v>
      </c>
      <c r="G1894" s="233" t="str">
        <f>VLOOKUP(Table8[[#This Row],[Document ID]],Table1[],10,FALSE)</f>
        <v>Active</v>
      </c>
      <c r="H1894" s="43" t="s">
        <v>2343</v>
      </c>
      <c r="I1894" s="43" t="s">
        <v>2429</v>
      </c>
      <c r="J1894" s="44" t="s">
        <v>2472</v>
      </c>
      <c r="K1894" s="44" t="s">
        <v>3967</v>
      </c>
      <c r="L1894" s="44" t="s">
        <v>2333</v>
      </c>
      <c r="M1894" s="43">
        <v>34</v>
      </c>
      <c r="N1894" s="113" t="s">
        <v>1113</v>
      </c>
      <c r="O1894" s="113"/>
      <c r="P1894" s="113"/>
      <c r="Q1894" s="113"/>
      <c r="R1894" s="113"/>
      <c r="S1894" s="113"/>
      <c r="T1894" s="113"/>
      <c r="U1894" s="113"/>
      <c r="V1894" s="113"/>
      <c r="W1894" s="113"/>
      <c r="X1894" s="113"/>
      <c r="Y1894" s="113"/>
      <c r="Z1894" s="113"/>
      <c r="AA1894" s="113"/>
      <c r="AB1894" s="113"/>
      <c r="AC1894" s="113"/>
      <c r="AD1894" s="113"/>
      <c r="AE1894" s="113"/>
      <c r="AF1894" s="113"/>
      <c r="AG1894" s="113"/>
      <c r="AH1894" s="113"/>
      <c r="AI1894" s="113"/>
      <c r="AJ1894" s="113"/>
      <c r="AK1894" s="319" t="s">
        <v>1113</v>
      </c>
      <c r="AL1894" s="113"/>
      <c r="AM1894" s="113"/>
      <c r="AN1894" s="113"/>
      <c r="AO1894" s="44" t="s">
        <v>2334</v>
      </c>
      <c r="AP1894" s="43"/>
      <c r="AQ1894" s="236" t="str">
        <f>VLOOKUP(Table8[[#This Row],[Instrument]],Def_Targets!$D$73:$E$159,2,FALSE)</f>
        <v>I_Other</v>
      </c>
      <c r="AR1894" s="233" t="str">
        <f>VLOOKUP(Table8[[#This Row],[Country Code]],Table29[],3,FALSE)</f>
        <v>Annex I</v>
      </c>
      <c r="AS1894" s="233" t="str">
        <f>VLOOKUP(Table8[[#This Row],[Country Code]],Table29[],4,FALSE)</f>
        <v>Europe</v>
      </c>
      <c r="AT1894" s="233" t="str">
        <f>VLOOKUP(Table8[[#This Row],[Country Code]],Table29[],5,FALSE)</f>
        <v>High-income</v>
      </c>
      <c r="AU1894" s="233" t="str">
        <f>VLOOKUP(Table8[[#This Row],[Country Code]],Table29[],6,FALSE)</f>
        <v>no</v>
      </c>
      <c r="AV1894" s="233" t="str">
        <f>VLOOKUP(Table8[[#This Row],[Country Code]],Table29[],7,FALSE)</f>
        <v>no</v>
      </c>
      <c r="AW1894" s="233" t="str">
        <f>VLOOKUP(Table8[[#This Row],[Country Code]],Table29[],8,FALSE)</f>
        <v>OECD</v>
      </c>
      <c r="AX1894" s="233" t="str">
        <f>VLOOKUP(Table8[[#This Row],[Country Code]],Table29[],9,FALSE)</f>
        <v>no</v>
      </c>
      <c r="AY1894" s="233" t="str">
        <f>VLOOKUP(Table8[[#This Row],[Country Code]],Table29[],10,FALSE)</f>
        <v>no</v>
      </c>
      <c r="AZ1894" s="235">
        <f>VLOOKUP(Table8[[#This Row],[Country Code]],Table29[],23,FALSE)</f>
        <v>56.717099715738001</v>
      </c>
      <c r="BA1894" s="235">
        <f>VLOOKUP(Table8[[#This Row],[Country Code]],Table29[],24,FALSE)</f>
        <v>13.64916488890823</v>
      </c>
      <c r="BB1894" s="320"/>
      <c r="BC1894" s="320"/>
    </row>
    <row r="1895" spans="1:55" ht="30" hidden="1" x14ac:dyDescent="0.25">
      <c r="A1895" s="360">
        <v>17687</v>
      </c>
      <c r="B1895" s="233" t="str">
        <f>VLOOKUP(Table8[[#This Row],[Document ID]],Table1[],2,FALSE)</f>
        <v>NOR</v>
      </c>
      <c r="C1895" s="233" t="str">
        <f>VLOOKUP(Table8[[#This Row],[Document ID]],Table1[],3,FALSE)</f>
        <v>Norway</v>
      </c>
      <c r="D1895" s="233" t="str">
        <f>VLOOKUP(Table8[[#This Row],[Document ID]],Table1[],5,FALSE)</f>
        <v>LTS</v>
      </c>
      <c r="E1895" s="233" t="str">
        <f>VLOOKUP(Table8[[#This Row],[Document ID]],Table1[],7,FALSE)</f>
        <v>LTS</v>
      </c>
      <c r="F1895" s="233" t="str">
        <f>VLOOKUP(Table8[[#This Row],[Document ID]],Table1[],8,FALSE)</f>
        <v>LTS 1.0</v>
      </c>
      <c r="G1895" s="233" t="str">
        <f>VLOOKUP(Table8[[#This Row],[Document ID]],Table1[],10,FALSE)</f>
        <v>Active</v>
      </c>
      <c r="H1895" s="43" t="s">
        <v>2343</v>
      </c>
      <c r="I1895" s="43" t="s">
        <v>2386</v>
      </c>
      <c r="J1895" s="44" t="s">
        <v>2412</v>
      </c>
      <c r="K1895" s="44" t="s">
        <v>3967</v>
      </c>
      <c r="L1895" s="44" t="s">
        <v>2373</v>
      </c>
      <c r="M1895" s="43">
        <v>34</v>
      </c>
      <c r="N1895" s="113" t="s">
        <v>1113</v>
      </c>
      <c r="O1895" s="113"/>
      <c r="P1895" s="113"/>
      <c r="Q1895" s="113"/>
      <c r="R1895" s="113"/>
      <c r="S1895" s="113"/>
      <c r="T1895" s="113"/>
      <c r="U1895" s="113"/>
      <c r="V1895" s="113"/>
      <c r="W1895" s="113"/>
      <c r="X1895" s="113"/>
      <c r="Y1895" s="113"/>
      <c r="Z1895" s="113"/>
      <c r="AA1895" s="113"/>
      <c r="AB1895" s="113"/>
      <c r="AC1895" s="113"/>
      <c r="AD1895" s="113"/>
      <c r="AE1895" s="113"/>
      <c r="AF1895" s="113"/>
      <c r="AG1895" s="113"/>
      <c r="AH1895" s="113"/>
      <c r="AI1895" s="113"/>
      <c r="AJ1895" s="113"/>
      <c r="AK1895" s="319" t="s">
        <v>1113</v>
      </c>
      <c r="AL1895" s="113"/>
      <c r="AM1895" s="113"/>
      <c r="AN1895" s="113"/>
      <c r="AO1895" s="44" t="s">
        <v>2334</v>
      </c>
      <c r="AP1895" s="43"/>
      <c r="AQ1895" s="236" t="str">
        <f>VLOOKUP(Table8[[#This Row],[Instrument]],Def_Targets!$D$73:$E$159,2,FALSE)</f>
        <v>A_Economic</v>
      </c>
      <c r="AR1895" s="233" t="str">
        <f>VLOOKUP(Table8[[#This Row],[Country Code]],Table29[],3,FALSE)</f>
        <v>Annex I</v>
      </c>
      <c r="AS1895" s="233" t="str">
        <f>VLOOKUP(Table8[[#This Row],[Country Code]],Table29[],4,FALSE)</f>
        <v>Europe</v>
      </c>
      <c r="AT1895" s="233" t="str">
        <f>VLOOKUP(Table8[[#This Row],[Country Code]],Table29[],5,FALSE)</f>
        <v>High-income</v>
      </c>
      <c r="AU1895" s="233" t="str">
        <f>VLOOKUP(Table8[[#This Row],[Country Code]],Table29[],6,FALSE)</f>
        <v>no</v>
      </c>
      <c r="AV1895" s="233" t="str">
        <f>VLOOKUP(Table8[[#This Row],[Country Code]],Table29[],7,FALSE)</f>
        <v>no</v>
      </c>
      <c r="AW1895" s="233" t="str">
        <f>VLOOKUP(Table8[[#This Row],[Country Code]],Table29[],8,FALSE)</f>
        <v>OECD</v>
      </c>
      <c r="AX1895" s="233" t="str">
        <f>VLOOKUP(Table8[[#This Row],[Country Code]],Table29[],9,FALSE)</f>
        <v>no</v>
      </c>
      <c r="AY1895" s="233" t="str">
        <f>VLOOKUP(Table8[[#This Row],[Country Code]],Table29[],10,FALSE)</f>
        <v>no</v>
      </c>
      <c r="AZ1895" s="235">
        <f>VLOOKUP(Table8[[#This Row],[Country Code]],Table29[],23,FALSE)</f>
        <v>56.717099715738001</v>
      </c>
      <c r="BA1895" s="235">
        <f>VLOOKUP(Table8[[#This Row],[Country Code]],Table29[],24,FALSE)</f>
        <v>13.64916488890823</v>
      </c>
      <c r="BB1895" s="320"/>
      <c r="BC1895" s="320"/>
    </row>
    <row r="1896" spans="1:55" ht="45" hidden="1" x14ac:dyDescent="0.25">
      <c r="A1896" s="360">
        <v>17687</v>
      </c>
      <c r="B1896" s="233" t="str">
        <f>VLOOKUP(Table8[[#This Row],[Document ID]],Table1[],2,FALSE)</f>
        <v>NOR</v>
      </c>
      <c r="C1896" s="233" t="str">
        <f>VLOOKUP(Table8[[#This Row],[Document ID]],Table1[],3,FALSE)</f>
        <v>Norway</v>
      </c>
      <c r="D1896" s="233" t="str">
        <f>VLOOKUP(Table8[[#This Row],[Document ID]],Table1[],5,FALSE)</f>
        <v>LTS</v>
      </c>
      <c r="E1896" s="233" t="str">
        <f>VLOOKUP(Table8[[#This Row],[Document ID]],Table1[],7,FALSE)</f>
        <v>LTS</v>
      </c>
      <c r="F1896" s="233" t="str">
        <f>VLOOKUP(Table8[[#This Row],[Document ID]],Table1[],8,FALSE)</f>
        <v>LTS 1.0</v>
      </c>
      <c r="G1896" s="233" t="str">
        <f>VLOOKUP(Table8[[#This Row],[Document ID]],Table1[],10,FALSE)</f>
        <v>Active</v>
      </c>
      <c r="H1896" s="43" t="s">
        <v>2343</v>
      </c>
      <c r="I1896" s="43" t="s">
        <v>2386</v>
      </c>
      <c r="J1896" s="44" t="s">
        <v>2397</v>
      </c>
      <c r="K1896" s="44" t="s">
        <v>4074</v>
      </c>
      <c r="L1896" s="44" t="s">
        <v>2373</v>
      </c>
      <c r="M1896" s="43">
        <v>34</v>
      </c>
      <c r="N1896" s="113" t="s">
        <v>1113</v>
      </c>
      <c r="O1896" s="113"/>
      <c r="P1896" s="113"/>
      <c r="Q1896" s="113"/>
      <c r="R1896" s="113"/>
      <c r="S1896" s="113"/>
      <c r="T1896" s="113"/>
      <c r="U1896" s="113"/>
      <c r="V1896" s="113"/>
      <c r="W1896" s="113"/>
      <c r="X1896" s="113"/>
      <c r="Y1896" s="113"/>
      <c r="Z1896" s="113"/>
      <c r="AA1896" s="113"/>
      <c r="AB1896" s="113"/>
      <c r="AC1896" s="113"/>
      <c r="AD1896" s="113"/>
      <c r="AE1896" s="113"/>
      <c r="AF1896" s="113"/>
      <c r="AG1896" s="113"/>
      <c r="AH1896" s="113"/>
      <c r="AI1896" s="113"/>
      <c r="AJ1896" s="113"/>
      <c r="AK1896" s="319" t="s">
        <v>1113</v>
      </c>
      <c r="AL1896" s="113"/>
      <c r="AM1896" s="113"/>
      <c r="AN1896" s="113"/>
      <c r="AO1896" s="44" t="s">
        <v>2334</v>
      </c>
      <c r="AP1896" s="43"/>
      <c r="AQ1896" s="236" t="str">
        <f>VLOOKUP(Table8[[#This Row],[Instrument]],Def_Targets!$D$73:$E$159,2,FALSE)</f>
        <v>A_Finance</v>
      </c>
      <c r="AR1896" s="233" t="str">
        <f>VLOOKUP(Table8[[#This Row],[Country Code]],Table29[],3,FALSE)</f>
        <v>Annex I</v>
      </c>
      <c r="AS1896" s="233" t="str">
        <f>VLOOKUP(Table8[[#This Row],[Country Code]],Table29[],4,FALSE)</f>
        <v>Europe</v>
      </c>
      <c r="AT1896" s="233" t="str">
        <f>VLOOKUP(Table8[[#This Row],[Country Code]],Table29[],5,FALSE)</f>
        <v>High-income</v>
      </c>
      <c r="AU1896" s="233" t="str">
        <f>VLOOKUP(Table8[[#This Row],[Country Code]],Table29[],6,FALSE)</f>
        <v>no</v>
      </c>
      <c r="AV1896" s="233" t="str">
        <f>VLOOKUP(Table8[[#This Row],[Country Code]],Table29[],7,FALSE)</f>
        <v>no</v>
      </c>
      <c r="AW1896" s="233" t="str">
        <f>VLOOKUP(Table8[[#This Row],[Country Code]],Table29[],8,FALSE)</f>
        <v>OECD</v>
      </c>
      <c r="AX1896" s="233" t="str">
        <f>VLOOKUP(Table8[[#This Row],[Country Code]],Table29[],9,FALSE)</f>
        <v>no</v>
      </c>
      <c r="AY1896" s="233" t="str">
        <f>VLOOKUP(Table8[[#This Row],[Country Code]],Table29[],10,FALSE)</f>
        <v>no</v>
      </c>
      <c r="AZ1896" s="235">
        <f>VLOOKUP(Table8[[#This Row],[Country Code]],Table29[],23,FALSE)</f>
        <v>56.717099715738001</v>
      </c>
      <c r="BA1896" s="235">
        <f>VLOOKUP(Table8[[#This Row],[Country Code]],Table29[],24,FALSE)</f>
        <v>13.64916488890823</v>
      </c>
      <c r="BB1896" s="320"/>
      <c r="BC1896" s="320"/>
    </row>
    <row r="1897" spans="1:55" ht="90" hidden="1" x14ac:dyDescent="0.25">
      <c r="A1897" s="360">
        <v>17687</v>
      </c>
      <c r="B1897" s="233" t="str">
        <f>VLOOKUP(Table8[[#This Row],[Document ID]],Table1[],2,FALSE)</f>
        <v>NOR</v>
      </c>
      <c r="C1897" s="233" t="str">
        <f>VLOOKUP(Table8[[#This Row],[Document ID]],Table1[],3,FALSE)</f>
        <v>Norway</v>
      </c>
      <c r="D1897" s="233" t="str">
        <f>VLOOKUP(Table8[[#This Row],[Document ID]],Table1[],5,FALSE)</f>
        <v>LTS</v>
      </c>
      <c r="E1897" s="233" t="str">
        <f>VLOOKUP(Table8[[#This Row],[Document ID]],Table1[],7,FALSE)</f>
        <v>LTS</v>
      </c>
      <c r="F1897" s="233" t="str">
        <f>VLOOKUP(Table8[[#This Row],[Document ID]],Table1[],8,FALSE)</f>
        <v>LTS 1.0</v>
      </c>
      <c r="G1897" s="233" t="str">
        <f>VLOOKUP(Table8[[#This Row],[Document ID]],Table1[],10,FALSE)</f>
        <v>Active</v>
      </c>
      <c r="H1897" s="43" t="s">
        <v>2350</v>
      </c>
      <c r="I1897" s="43" t="s">
        <v>2370</v>
      </c>
      <c r="J1897" s="44" t="s">
        <v>2418</v>
      </c>
      <c r="K1897" s="44" t="s">
        <v>4075</v>
      </c>
      <c r="L1897" s="44" t="s">
        <v>2396</v>
      </c>
      <c r="M1897" s="43">
        <v>35</v>
      </c>
      <c r="N1897" s="113"/>
      <c r="O1897" s="113"/>
      <c r="P1897" s="113"/>
      <c r="Q1897" s="113" t="s">
        <v>1113</v>
      </c>
      <c r="R1897" s="113" t="s">
        <v>1113</v>
      </c>
      <c r="S1897" s="113"/>
      <c r="T1897" s="113"/>
      <c r="U1897" s="113"/>
      <c r="V1897" s="113"/>
      <c r="W1897" s="113"/>
      <c r="X1897" s="113"/>
      <c r="Y1897" s="113" t="s">
        <v>1113</v>
      </c>
      <c r="Z1897" s="113"/>
      <c r="AA1897" s="113"/>
      <c r="AB1897" s="113"/>
      <c r="AC1897" s="113" t="s">
        <v>1113</v>
      </c>
      <c r="AD1897" s="113"/>
      <c r="AE1897" s="113"/>
      <c r="AF1897" s="113"/>
      <c r="AG1897" s="113"/>
      <c r="AH1897" s="113"/>
      <c r="AI1897" s="113"/>
      <c r="AJ1897" s="113"/>
      <c r="AK1897" s="319"/>
      <c r="AL1897" s="113" t="s">
        <v>1113</v>
      </c>
      <c r="AM1897" s="113"/>
      <c r="AN1897" s="113"/>
      <c r="AO1897" s="44" t="s">
        <v>2334</v>
      </c>
      <c r="AP1897" s="43"/>
      <c r="AQ1897" s="236" t="str">
        <f>VLOOKUP(Table8[[#This Row],[Instrument]],Def_Targets!$D$73:$E$159,2,FALSE)</f>
        <v>A_Complan</v>
      </c>
      <c r="AR1897" s="233" t="str">
        <f>VLOOKUP(Table8[[#This Row],[Country Code]],Table29[],3,FALSE)</f>
        <v>Annex I</v>
      </c>
      <c r="AS1897" s="233" t="str">
        <f>VLOOKUP(Table8[[#This Row],[Country Code]],Table29[],4,FALSE)</f>
        <v>Europe</v>
      </c>
      <c r="AT1897" s="233" t="str">
        <f>VLOOKUP(Table8[[#This Row],[Country Code]],Table29[],5,FALSE)</f>
        <v>High-income</v>
      </c>
      <c r="AU1897" s="233" t="str">
        <f>VLOOKUP(Table8[[#This Row],[Country Code]],Table29[],6,FALSE)</f>
        <v>no</v>
      </c>
      <c r="AV1897" s="233" t="str">
        <f>VLOOKUP(Table8[[#This Row],[Country Code]],Table29[],7,FALSE)</f>
        <v>no</v>
      </c>
      <c r="AW1897" s="233" t="str">
        <f>VLOOKUP(Table8[[#This Row],[Country Code]],Table29[],8,FALSE)</f>
        <v>OECD</v>
      </c>
      <c r="AX1897" s="233" t="str">
        <f>VLOOKUP(Table8[[#This Row],[Country Code]],Table29[],9,FALSE)</f>
        <v>no</v>
      </c>
      <c r="AY1897" s="233" t="str">
        <f>VLOOKUP(Table8[[#This Row],[Country Code]],Table29[],10,FALSE)</f>
        <v>no</v>
      </c>
      <c r="AZ1897" s="235">
        <f>VLOOKUP(Table8[[#This Row],[Country Code]],Table29[],23,FALSE)</f>
        <v>56.717099715738001</v>
      </c>
      <c r="BA1897" s="235">
        <f>VLOOKUP(Table8[[#This Row],[Country Code]],Table29[],24,FALSE)</f>
        <v>13.64916488890823</v>
      </c>
      <c r="BB1897" s="320"/>
      <c r="BC1897" s="320"/>
    </row>
    <row r="1898" spans="1:55" ht="90" hidden="1" x14ac:dyDescent="0.25">
      <c r="A1898" s="360">
        <v>17687</v>
      </c>
      <c r="B1898" s="233" t="str">
        <f>VLOOKUP(Table8[[#This Row],[Document ID]],Table1[],2,FALSE)</f>
        <v>NOR</v>
      </c>
      <c r="C1898" s="233" t="str">
        <f>VLOOKUP(Table8[[#This Row],[Document ID]],Table1[],3,FALSE)</f>
        <v>Norway</v>
      </c>
      <c r="D1898" s="233" t="str">
        <f>VLOOKUP(Table8[[#This Row],[Document ID]],Table1[],5,FALSE)</f>
        <v>LTS</v>
      </c>
      <c r="E1898" s="233" t="str">
        <f>VLOOKUP(Table8[[#This Row],[Document ID]],Table1[],7,FALSE)</f>
        <v>LTS</v>
      </c>
      <c r="F1898" s="233" t="str">
        <f>VLOOKUP(Table8[[#This Row],[Document ID]],Table1[],8,FALSE)</f>
        <v>LTS 1.0</v>
      </c>
      <c r="G1898" s="233" t="str">
        <f>VLOOKUP(Table8[[#This Row],[Document ID]],Table1[],10,FALSE)</f>
        <v>Active</v>
      </c>
      <c r="H1898" s="43" t="s">
        <v>2350</v>
      </c>
      <c r="I1898" s="43" t="s">
        <v>2370</v>
      </c>
      <c r="J1898" s="44" t="s">
        <v>2581</v>
      </c>
      <c r="K1898" s="44" t="s">
        <v>4075</v>
      </c>
      <c r="L1898" s="44" t="s">
        <v>2396</v>
      </c>
      <c r="M1898" s="43">
        <v>35</v>
      </c>
      <c r="N1898" s="113"/>
      <c r="O1898" s="113"/>
      <c r="P1898" s="113"/>
      <c r="Q1898" s="113" t="s">
        <v>1113</v>
      </c>
      <c r="R1898" s="113" t="s">
        <v>1113</v>
      </c>
      <c r="S1898" s="113"/>
      <c r="T1898" s="113"/>
      <c r="U1898" s="113"/>
      <c r="V1898" s="113"/>
      <c r="W1898" s="113"/>
      <c r="X1898" s="113"/>
      <c r="Y1898" s="113" t="s">
        <v>1113</v>
      </c>
      <c r="Z1898" s="113"/>
      <c r="AA1898" s="113"/>
      <c r="AB1898" s="113"/>
      <c r="AC1898" s="113" t="s">
        <v>1113</v>
      </c>
      <c r="AD1898" s="113"/>
      <c r="AE1898" s="113"/>
      <c r="AF1898" s="113"/>
      <c r="AG1898" s="113"/>
      <c r="AH1898" s="113"/>
      <c r="AI1898" s="113"/>
      <c r="AJ1898" s="113"/>
      <c r="AK1898" s="319"/>
      <c r="AL1898" s="113" t="s">
        <v>1113</v>
      </c>
      <c r="AM1898" s="113"/>
      <c r="AN1898" s="113"/>
      <c r="AO1898" s="44" t="s">
        <v>2334</v>
      </c>
      <c r="AP1898" s="43"/>
      <c r="AQ1898" s="236" t="str">
        <f>VLOOKUP(Table8[[#This Row],[Instrument]],Def_Targets!$D$73:$E$159,2,FALSE)</f>
        <v>A_SUMP</v>
      </c>
      <c r="AR1898" s="233" t="str">
        <f>VLOOKUP(Table8[[#This Row],[Country Code]],Table29[],3,FALSE)</f>
        <v>Annex I</v>
      </c>
      <c r="AS1898" s="233" t="str">
        <f>VLOOKUP(Table8[[#This Row],[Country Code]],Table29[],4,FALSE)</f>
        <v>Europe</v>
      </c>
      <c r="AT1898" s="233" t="str">
        <f>VLOOKUP(Table8[[#This Row],[Country Code]],Table29[],5,FALSE)</f>
        <v>High-income</v>
      </c>
      <c r="AU1898" s="233" t="str">
        <f>VLOOKUP(Table8[[#This Row],[Country Code]],Table29[],6,FALSE)</f>
        <v>no</v>
      </c>
      <c r="AV1898" s="233" t="str">
        <f>VLOOKUP(Table8[[#This Row],[Country Code]],Table29[],7,FALSE)</f>
        <v>no</v>
      </c>
      <c r="AW1898" s="233" t="str">
        <f>VLOOKUP(Table8[[#This Row],[Country Code]],Table29[],8,FALSE)</f>
        <v>OECD</v>
      </c>
      <c r="AX1898" s="233" t="str">
        <f>VLOOKUP(Table8[[#This Row],[Country Code]],Table29[],9,FALSE)</f>
        <v>no</v>
      </c>
      <c r="AY1898" s="233" t="str">
        <f>VLOOKUP(Table8[[#This Row],[Country Code]],Table29[],10,FALSE)</f>
        <v>no</v>
      </c>
      <c r="AZ1898" s="235">
        <f>VLOOKUP(Table8[[#This Row],[Country Code]],Table29[],23,FALSE)</f>
        <v>56.717099715738001</v>
      </c>
      <c r="BA1898" s="235">
        <f>VLOOKUP(Table8[[#This Row],[Country Code]],Table29[],24,FALSE)</f>
        <v>13.64916488890823</v>
      </c>
      <c r="BB1898" s="320"/>
      <c r="BC1898" s="320"/>
    </row>
    <row r="1899" spans="1:55" ht="45" hidden="1" x14ac:dyDescent="0.25">
      <c r="A1899" s="373">
        <v>17687</v>
      </c>
      <c r="B1899" s="233" t="str">
        <f>VLOOKUP(Table8[[#This Row],[Document ID]],Table1[],2,FALSE)</f>
        <v>NOR</v>
      </c>
      <c r="C1899" s="233" t="str">
        <f>VLOOKUP(Table8[[#This Row],[Document ID]],Table1[],3,FALSE)</f>
        <v>Norway</v>
      </c>
      <c r="D1899" s="243" t="str">
        <f>VLOOKUP(Table8[[#This Row],[Document ID]],Table1[],5,FALSE)</f>
        <v>LTS</v>
      </c>
      <c r="E1899" s="233" t="str">
        <f>VLOOKUP(Table8[[#This Row],[Document ID]],Table1[],7,FALSE)</f>
        <v>LTS</v>
      </c>
      <c r="F1899" s="233" t="str">
        <f>VLOOKUP(Table8[[#This Row],[Document ID]],Table1[],8,FALSE)</f>
        <v>LTS 1.0</v>
      </c>
      <c r="G1899" s="233" t="str">
        <f>VLOOKUP(Table8[[#This Row],[Document ID]],Table1[],10,FALSE)</f>
        <v>Active</v>
      </c>
      <c r="H1899" s="43" t="s">
        <v>2484</v>
      </c>
      <c r="I1899" s="43" t="s">
        <v>2485</v>
      </c>
      <c r="J1899" s="44" t="s">
        <v>2669</v>
      </c>
      <c r="K1899" s="44" t="s">
        <v>4076</v>
      </c>
      <c r="L1899" s="44" t="s">
        <v>2333</v>
      </c>
      <c r="M1899" s="43">
        <v>37</v>
      </c>
      <c r="N1899" s="113"/>
      <c r="O1899" s="113"/>
      <c r="P1899" s="113"/>
      <c r="Q1899" s="113"/>
      <c r="R1899" s="113"/>
      <c r="S1899" s="113"/>
      <c r="T1899" s="113"/>
      <c r="U1899" s="113"/>
      <c r="V1899" s="113"/>
      <c r="W1899" s="113"/>
      <c r="X1899" s="113"/>
      <c r="Y1899" s="113"/>
      <c r="Z1899" s="113"/>
      <c r="AA1899" s="113"/>
      <c r="AB1899" s="113"/>
      <c r="AC1899" s="113"/>
      <c r="AD1899" s="113" t="s">
        <v>1113</v>
      </c>
      <c r="AE1899" s="113"/>
      <c r="AF1899" s="113"/>
      <c r="AG1899" s="113"/>
      <c r="AH1899" s="113"/>
      <c r="AI1899" s="113"/>
      <c r="AJ1899" s="113"/>
      <c r="AK1899" s="319" t="s">
        <v>1113</v>
      </c>
      <c r="AL1899" s="113"/>
      <c r="AM1899" s="113"/>
      <c r="AN1899" s="113"/>
      <c r="AO1899" s="43" t="s">
        <v>2353</v>
      </c>
      <c r="AP1899" s="43"/>
      <c r="AQ1899" s="236" t="str">
        <f>VLOOKUP(Table8[[#This Row],[Instrument]],Def_Targets!$D$73:$E$159,2,FALSE)</f>
        <v>I_Shipefficiency</v>
      </c>
      <c r="AR1899" s="233" t="str">
        <f>VLOOKUP(Table8[[#This Row],[Country Code]],Table29[],3,FALSE)</f>
        <v>Annex I</v>
      </c>
      <c r="AS1899" s="233" t="str">
        <f>VLOOKUP(Table8[[#This Row],[Country Code]],Table29[],4,FALSE)</f>
        <v>Europe</v>
      </c>
      <c r="AT1899" s="233" t="str">
        <f>VLOOKUP(Table8[[#This Row],[Country Code]],Table29[],5,FALSE)</f>
        <v>High-income</v>
      </c>
      <c r="AU1899" s="233" t="str">
        <f>VLOOKUP(Table8[[#This Row],[Country Code]],Table29[],6,FALSE)</f>
        <v>no</v>
      </c>
      <c r="AV1899" s="233" t="str">
        <f>VLOOKUP(Table8[[#This Row],[Country Code]],Table29[],7,FALSE)</f>
        <v>no</v>
      </c>
      <c r="AW1899" s="233" t="str">
        <f>VLOOKUP(Table8[[#This Row],[Country Code]],Table29[],8,FALSE)</f>
        <v>OECD</v>
      </c>
      <c r="AX1899" s="233" t="str">
        <f>VLOOKUP(Table8[[#This Row],[Country Code]],Table29[],9,FALSE)</f>
        <v>no</v>
      </c>
      <c r="AY1899" s="233" t="str">
        <f>VLOOKUP(Table8[[#This Row],[Country Code]],Table29[],10,FALSE)</f>
        <v>no</v>
      </c>
      <c r="AZ1899" s="235">
        <f>VLOOKUP(Table8[[#This Row],[Country Code]],Table29[],23,FALSE)</f>
        <v>56.717099715738001</v>
      </c>
      <c r="BA1899" s="235">
        <f>VLOOKUP(Table8[[#This Row],[Country Code]],Table29[],24,FALSE)</f>
        <v>13.64916488890823</v>
      </c>
      <c r="BB1899" s="320"/>
      <c r="BC1899" s="320"/>
    </row>
    <row r="1900" spans="1:55" ht="30" hidden="1" x14ac:dyDescent="0.25">
      <c r="A1900" s="373">
        <v>17687</v>
      </c>
      <c r="B1900" s="233" t="str">
        <f>VLOOKUP(Table8[[#This Row],[Document ID]],Table1[],2,FALSE)</f>
        <v>NOR</v>
      </c>
      <c r="C1900" s="233" t="str">
        <f>VLOOKUP(Table8[[#This Row],[Document ID]],Table1[],3,FALSE)</f>
        <v>Norway</v>
      </c>
      <c r="D1900" s="243" t="str">
        <f>VLOOKUP(Table8[[#This Row],[Document ID]],Table1[],5,FALSE)</f>
        <v>LTS</v>
      </c>
      <c r="E1900" s="233" t="str">
        <f>VLOOKUP(Table8[[#This Row],[Document ID]],Table1[],7,FALSE)</f>
        <v>LTS</v>
      </c>
      <c r="F1900" s="233" t="str">
        <f>VLOOKUP(Table8[[#This Row],[Document ID]],Table1[],8,FALSE)</f>
        <v>LTS 1.0</v>
      </c>
      <c r="G1900" s="233" t="str">
        <f>VLOOKUP(Table8[[#This Row],[Document ID]],Table1[],10,FALSE)</f>
        <v>Active</v>
      </c>
      <c r="H1900" s="43" t="s">
        <v>2343</v>
      </c>
      <c r="I1900" s="43" t="s">
        <v>2429</v>
      </c>
      <c r="J1900" s="44" t="s">
        <v>2501</v>
      </c>
      <c r="K1900" s="44" t="s">
        <v>4077</v>
      </c>
      <c r="L1900" s="44" t="s">
        <v>2333</v>
      </c>
      <c r="M1900" s="43">
        <v>37</v>
      </c>
      <c r="N1900" s="113"/>
      <c r="O1900" s="113"/>
      <c r="P1900" s="113"/>
      <c r="Q1900" s="113"/>
      <c r="R1900" s="113"/>
      <c r="S1900" s="113"/>
      <c r="T1900" s="113"/>
      <c r="U1900" s="113"/>
      <c r="V1900" s="113"/>
      <c r="W1900" s="113"/>
      <c r="X1900" s="113"/>
      <c r="Y1900" s="113"/>
      <c r="Z1900" s="113"/>
      <c r="AA1900" s="113"/>
      <c r="AB1900" s="113"/>
      <c r="AC1900" s="113"/>
      <c r="AD1900" s="113" t="s">
        <v>1113</v>
      </c>
      <c r="AE1900" s="113"/>
      <c r="AF1900" s="113"/>
      <c r="AG1900" s="113"/>
      <c r="AH1900" s="113"/>
      <c r="AI1900" s="113"/>
      <c r="AJ1900" s="113"/>
      <c r="AK1900" s="319" t="s">
        <v>1113</v>
      </c>
      <c r="AL1900" s="113"/>
      <c r="AM1900" s="113"/>
      <c r="AN1900" s="113"/>
      <c r="AO1900" s="43" t="s">
        <v>2353</v>
      </c>
      <c r="AP1900" s="43"/>
      <c r="AQ1900" s="236" t="str">
        <f>VLOOKUP(Table8[[#This Row],[Instrument]],Def_Targets!$D$73:$E$159,2,FALSE)</f>
        <v>I_Autonomous</v>
      </c>
      <c r="AR1900" s="233" t="str">
        <f>VLOOKUP(Table8[[#This Row],[Country Code]],Table29[],3,FALSE)</f>
        <v>Annex I</v>
      </c>
      <c r="AS1900" s="233" t="str">
        <f>VLOOKUP(Table8[[#This Row],[Country Code]],Table29[],4,FALSE)</f>
        <v>Europe</v>
      </c>
      <c r="AT1900" s="233" t="str">
        <f>VLOOKUP(Table8[[#This Row],[Country Code]],Table29[],5,FALSE)</f>
        <v>High-income</v>
      </c>
      <c r="AU1900" s="233" t="str">
        <f>VLOOKUP(Table8[[#This Row],[Country Code]],Table29[],6,FALSE)</f>
        <v>no</v>
      </c>
      <c r="AV1900" s="233" t="str">
        <f>VLOOKUP(Table8[[#This Row],[Country Code]],Table29[],7,FALSE)</f>
        <v>no</v>
      </c>
      <c r="AW1900" s="233" t="str">
        <f>VLOOKUP(Table8[[#This Row],[Country Code]],Table29[],8,FALSE)</f>
        <v>OECD</v>
      </c>
      <c r="AX1900" s="233" t="str">
        <f>VLOOKUP(Table8[[#This Row],[Country Code]],Table29[],9,FALSE)</f>
        <v>no</v>
      </c>
      <c r="AY1900" s="233" t="str">
        <f>VLOOKUP(Table8[[#This Row],[Country Code]],Table29[],10,FALSE)</f>
        <v>no</v>
      </c>
      <c r="AZ1900" s="235">
        <f>VLOOKUP(Table8[[#This Row],[Country Code]],Table29[],23,FALSE)</f>
        <v>56.717099715738001</v>
      </c>
      <c r="BA1900" s="235">
        <f>VLOOKUP(Table8[[#This Row],[Country Code]],Table29[],24,FALSE)</f>
        <v>13.64916488890823</v>
      </c>
      <c r="BB1900" s="320"/>
      <c r="BC1900" s="320"/>
    </row>
    <row r="1901" spans="1:55" ht="30" hidden="1" x14ac:dyDescent="0.25">
      <c r="A1901" s="373">
        <v>17687</v>
      </c>
      <c r="B1901" s="233" t="str">
        <f>VLOOKUP(Table8[[#This Row],[Document ID]],Table1[],2,FALSE)</f>
        <v>NOR</v>
      </c>
      <c r="C1901" s="233" t="str">
        <f>VLOOKUP(Table8[[#This Row],[Document ID]],Table1[],3,FALSE)</f>
        <v>Norway</v>
      </c>
      <c r="D1901" s="243" t="str">
        <f>VLOOKUP(Table8[[#This Row],[Document ID]],Table1[],5,FALSE)</f>
        <v>LTS</v>
      </c>
      <c r="E1901" s="233" t="str">
        <f>VLOOKUP(Table8[[#This Row],[Document ID]],Table1[],7,FALSE)</f>
        <v>LTS</v>
      </c>
      <c r="F1901" s="233" t="str">
        <f>VLOOKUP(Table8[[#This Row],[Document ID]],Table1[],8,FALSE)</f>
        <v>LTS 1.0</v>
      </c>
      <c r="G1901" s="233" t="str">
        <f>VLOOKUP(Table8[[#This Row],[Document ID]],Table1[],10,FALSE)</f>
        <v>Active</v>
      </c>
      <c r="H1901" s="44" t="s">
        <v>2329</v>
      </c>
      <c r="I1901" s="44" t="s">
        <v>2330</v>
      </c>
      <c r="J1901" s="44" t="s">
        <v>2391</v>
      </c>
      <c r="K1901" s="44" t="s">
        <v>4078</v>
      </c>
      <c r="L1901" s="44" t="s">
        <v>2333</v>
      </c>
      <c r="M1901" s="43">
        <v>37</v>
      </c>
      <c r="N1901" s="113"/>
      <c r="O1901" s="113"/>
      <c r="P1901" s="113"/>
      <c r="Q1901" s="113"/>
      <c r="R1901" s="113"/>
      <c r="S1901" s="113"/>
      <c r="T1901" s="113"/>
      <c r="U1901" s="113"/>
      <c r="V1901" s="113"/>
      <c r="W1901" s="113"/>
      <c r="X1901" s="113"/>
      <c r="Y1901" s="113"/>
      <c r="Z1901" s="113"/>
      <c r="AA1901" s="113"/>
      <c r="AB1901" s="113"/>
      <c r="AC1901" s="113"/>
      <c r="AD1901" s="113" t="s">
        <v>1113</v>
      </c>
      <c r="AE1901" s="113"/>
      <c r="AF1901" s="113"/>
      <c r="AG1901" s="113"/>
      <c r="AH1901" s="113"/>
      <c r="AI1901" s="113"/>
      <c r="AJ1901" s="113"/>
      <c r="AK1901" s="319" t="s">
        <v>1113</v>
      </c>
      <c r="AL1901" s="113"/>
      <c r="AM1901" s="113"/>
      <c r="AN1901" s="113"/>
      <c r="AO1901" s="43" t="s">
        <v>2348</v>
      </c>
      <c r="AP1901" s="43"/>
      <c r="AQ1901" s="236" t="str">
        <f>VLOOKUP(Table8[[#This Row],[Instrument]],Def_Targets!$D$73:$E$159,2,FALSE)</f>
        <v>I_Hydrogen</v>
      </c>
      <c r="AR1901" s="233" t="str">
        <f>VLOOKUP(Table8[[#This Row],[Country Code]],Table29[],3,FALSE)</f>
        <v>Annex I</v>
      </c>
      <c r="AS1901" s="233" t="str">
        <f>VLOOKUP(Table8[[#This Row],[Country Code]],Table29[],4,FALSE)</f>
        <v>Europe</v>
      </c>
      <c r="AT1901" s="233" t="str">
        <f>VLOOKUP(Table8[[#This Row],[Country Code]],Table29[],5,FALSE)</f>
        <v>High-income</v>
      </c>
      <c r="AU1901" s="233" t="str">
        <f>VLOOKUP(Table8[[#This Row],[Country Code]],Table29[],6,FALSE)</f>
        <v>no</v>
      </c>
      <c r="AV1901" s="233" t="str">
        <f>VLOOKUP(Table8[[#This Row],[Country Code]],Table29[],7,FALSE)</f>
        <v>no</v>
      </c>
      <c r="AW1901" s="233" t="str">
        <f>VLOOKUP(Table8[[#This Row],[Country Code]],Table29[],8,FALSE)</f>
        <v>OECD</v>
      </c>
      <c r="AX1901" s="233" t="str">
        <f>VLOOKUP(Table8[[#This Row],[Country Code]],Table29[],9,FALSE)</f>
        <v>no</v>
      </c>
      <c r="AY1901" s="233" t="str">
        <f>VLOOKUP(Table8[[#This Row],[Country Code]],Table29[],10,FALSE)</f>
        <v>no</v>
      </c>
      <c r="AZ1901" s="235">
        <f>VLOOKUP(Table8[[#This Row],[Country Code]],Table29[],23,FALSE)</f>
        <v>56.717099715738001</v>
      </c>
      <c r="BA1901" s="235">
        <f>VLOOKUP(Table8[[#This Row],[Country Code]],Table29[],24,FALSE)</f>
        <v>13.64916488890823</v>
      </c>
      <c r="BB1901" s="320"/>
      <c r="BC1901" s="320"/>
    </row>
    <row r="1902" spans="1:55" ht="45" hidden="1" x14ac:dyDescent="0.25">
      <c r="A1902" s="373">
        <v>17687</v>
      </c>
      <c r="B1902" s="233" t="str">
        <f>VLOOKUP(Table8[[#This Row],[Document ID]],Table1[],2,FALSE)</f>
        <v>NOR</v>
      </c>
      <c r="C1902" s="233" t="str">
        <f>VLOOKUP(Table8[[#This Row],[Document ID]],Table1[],3,FALSE)</f>
        <v>Norway</v>
      </c>
      <c r="D1902" s="243" t="str">
        <f>VLOOKUP(Table8[[#This Row],[Document ID]],Table1[],5,FALSE)</f>
        <v>LTS</v>
      </c>
      <c r="E1902" s="233" t="str">
        <f>VLOOKUP(Table8[[#This Row],[Document ID]],Table1[],7,FALSE)</f>
        <v>LTS</v>
      </c>
      <c r="F1902" s="233" t="str">
        <f>VLOOKUP(Table8[[#This Row],[Document ID]],Table1[],8,FALSE)</f>
        <v>LTS 1.0</v>
      </c>
      <c r="G1902" s="233" t="str">
        <f>VLOOKUP(Table8[[#This Row],[Document ID]],Table1[],10,FALSE)</f>
        <v>Active</v>
      </c>
      <c r="H1902" s="43" t="s">
        <v>2484</v>
      </c>
      <c r="I1902" s="43" t="s">
        <v>2485</v>
      </c>
      <c r="J1902" s="44" t="s">
        <v>2486</v>
      </c>
      <c r="K1902" s="44" t="s">
        <v>4079</v>
      </c>
      <c r="L1902" s="44" t="s">
        <v>2333</v>
      </c>
      <c r="M1902" s="43">
        <v>37</v>
      </c>
      <c r="N1902" s="113"/>
      <c r="O1902" s="113"/>
      <c r="P1902" s="113"/>
      <c r="Q1902" s="113"/>
      <c r="R1902" s="113"/>
      <c r="S1902" s="113"/>
      <c r="T1902" s="113"/>
      <c r="U1902" s="113"/>
      <c r="V1902" s="113"/>
      <c r="W1902" s="113"/>
      <c r="X1902" s="113"/>
      <c r="Y1902" s="113"/>
      <c r="Z1902" s="113"/>
      <c r="AA1902" s="113"/>
      <c r="AB1902" s="113"/>
      <c r="AC1902" s="113"/>
      <c r="AD1902" s="113" t="s">
        <v>1113</v>
      </c>
      <c r="AE1902" s="113"/>
      <c r="AF1902" s="113"/>
      <c r="AG1902" s="113"/>
      <c r="AH1902" s="113"/>
      <c r="AI1902" s="113"/>
      <c r="AJ1902" s="113"/>
      <c r="AK1902" s="319" t="s">
        <v>1113</v>
      </c>
      <c r="AL1902" s="113"/>
      <c r="AM1902" s="113"/>
      <c r="AN1902" s="113"/>
      <c r="AO1902" s="44" t="s">
        <v>2334</v>
      </c>
      <c r="AP1902" s="43"/>
      <c r="AQ1902" s="236" t="str">
        <f>VLOOKUP(Table8[[#This Row],[Instrument]],Def_Targets!$D$73:$E$159,2,FALSE)</f>
        <v>I_Shipping</v>
      </c>
      <c r="AR1902" s="233" t="str">
        <f>VLOOKUP(Table8[[#This Row],[Country Code]],Table29[],3,FALSE)</f>
        <v>Annex I</v>
      </c>
      <c r="AS1902" s="233" t="str">
        <f>VLOOKUP(Table8[[#This Row],[Country Code]],Table29[],4,FALSE)</f>
        <v>Europe</v>
      </c>
      <c r="AT1902" s="233" t="str">
        <f>VLOOKUP(Table8[[#This Row],[Country Code]],Table29[],5,FALSE)</f>
        <v>High-income</v>
      </c>
      <c r="AU1902" s="233" t="str">
        <f>VLOOKUP(Table8[[#This Row],[Country Code]],Table29[],6,FALSE)</f>
        <v>no</v>
      </c>
      <c r="AV1902" s="233" t="str">
        <f>VLOOKUP(Table8[[#This Row],[Country Code]],Table29[],7,FALSE)</f>
        <v>no</v>
      </c>
      <c r="AW1902" s="233" t="str">
        <f>VLOOKUP(Table8[[#This Row],[Country Code]],Table29[],8,FALSE)</f>
        <v>OECD</v>
      </c>
      <c r="AX1902" s="233" t="str">
        <f>VLOOKUP(Table8[[#This Row],[Country Code]],Table29[],9,FALSE)</f>
        <v>no</v>
      </c>
      <c r="AY1902" s="233" t="str">
        <f>VLOOKUP(Table8[[#This Row],[Country Code]],Table29[],10,FALSE)</f>
        <v>no</v>
      </c>
      <c r="AZ1902" s="235">
        <f>VLOOKUP(Table8[[#This Row],[Country Code]],Table29[],23,FALSE)</f>
        <v>56.717099715738001</v>
      </c>
      <c r="BA1902" s="235">
        <f>VLOOKUP(Table8[[#This Row],[Country Code]],Table29[],24,FALSE)</f>
        <v>13.64916488890823</v>
      </c>
      <c r="BB1902" s="320"/>
      <c r="BC1902" s="320"/>
    </row>
    <row r="1903" spans="1:55" ht="45" hidden="1" x14ac:dyDescent="0.25">
      <c r="A1903" s="373">
        <v>17687</v>
      </c>
      <c r="B1903" s="233" t="str">
        <f>VLOOKUP(Table8[[#This Row],[Document ID]],Table1[],2,FALSE)</f>
        <v>NOR</v>
      </c>
      <c r="C1903" s="233" t="str">
        <f>VLOOKUP(Table8[[#This Row],[Document ID]],Table1[],3,FALSE)</f>
        <v>Norway</v>
      </c>
      <c r="D1903" s="243" t="str">
        <f>VLOOKUP(Table8[[#This Row],[Document ID]],Table1[],5,FALSE)</f>
        <v>LTS</v>
      </c>
      <c r="E1903" s="233" t="str">
        <f>VLOOKUP(Table8[[#This Row],[Document ID]],Table1[],7,FALSE)</f>
        <v>LTS</v>
      </c>
      <c r="F1903" s="233" t="str">
        <f>VLOOKUP(Table8[[#This Row],[Document ID]],Table1[],8,FALSE)</f>
        <v>LTS 1.0</v>
      </c>
      <c r="G1903" s="233" t="str">
        <f>VLOOKUP(Table8[[#This Row],[Document ID]],Table1[],10,FALSE)</f>
        <v>Active</v>
      </c>
      <c r="H1903" s="43" t="s">
        <v>2484</v>
      </c>
      <c r="I1903" s="43" t="s">
        <v>2485</v>
      </c>
      <c r="J1903" s="44" t="s">
        <v>2486</v>
      </c>
      <c r="K1903" s="44" t="s">
        <v>4080</v>
      </c>
      <c r="L1903" s="44" t="s">
        <v>2333</v>
      </c>
      <c r="M1903" s="43">
        <v>37</v>
      </c>
      <c r="N1903" s="113"/>
      <c r="O1903" s="113"/>
      <c r="P1903" s="113"/>
      <c r="Q1903" s="113"/>
      <c r="R1903" s="113"/>
      <c r="S1903" s="113"/>
      <c r="T1903" s="113"/>
      <c r="U1903" s="113"/>
      <c r="V1903" s="113"/>
      <c r="W1903" s="113"/>
      <c r="X1903" s="113"/>
      <c r="Y1903" s="113"/>
      <c r="Z1903" s="113"/>
      <c r="AA1903" s="113"/>
      <c r="AB1903" s="113"/>
      <c r="AC1903" s="113"/>
      <c r="AD1903" s="113" t="s">
        <v>1113</v>
      </c>
      <c r="AE1903" s="113"/>
      <c r="AF1903" s="113"/>
      <c r="AG1903" s="113"/>
      <c r="AH1903" s="113"/>
      <c r="AI1903" s="113"/>
      <c r="AJ1903" s="113"/>
      <c r="AK1903" s="319" t="s">
        <v>1113</v>
      </c>
      <c r="AL1903" s="113"/>
      <c r="AM1903" s="113"/>
      <c r="AN1903" s="113"/>
      <c r="AO1903" s="43" t="s">
        <v>2353</v>
      </c>
      <c r="AP1903" s="43"/>
      <c r="AQ1903" s="236" t="str">
        <f>VLOOKUP(Table8[[#This Row],[Instrument]],Def_Targets!$D$73:$E$159,2,FALSE)</f>
        <v>I_Shipping</v>
      </c>
      <c r="AR1903" s="233" t="str">
        <f>VLOOKUP(Table8[[#This Row],[Country Code]],Table29[],3,FALSE)</f>
        <v>Annex I</v>
      </c>
      <c r="AS1903" s="233" t="str">
        <f>VLOOKUP(Table8[[#This Row],[Country Code]],Table29[],4,FALSE)</f>
        <v>Europe</v>
      </c>
      <c r="AT1903" s="233" t="str">
        <f>VLOOKUP(Table8[[#This Row],[Country Code]],Table29[],5,FALSE)</f>
        <v>High-income</v>
      </c>
      <c r="AU1903" s="233" t="str">
        <f>VLOOKUP(Table8[[#This Row],[Country Code]],Table29[],6,FALSE)</f>
        <v>no</v>
      </c>
      <c r="AV1903" s="233" t="str">
        <f>VLOOKUP(Table8[[#This Row],[Country Code]],Table29[],7,FALSE)</f>
        <v>no</v>
      </c>
      <c r="AW1903" s="233" t="str">
        <f>VLOOKUP(Table8[[#This Row],[Country Code]],Table29[],8,FALSE)</f>
        <v>OECD</v>
      </c>
      <c r="AX1903" s="233" t="str">
        <f>VLOOKUP(Table8[[#This Row],[Country Code]],Table29[],9,FALSE)</f>
        <v>no</v>
      </c>
      <c r="AY1903" s="233" t="str">
        <f>VLOOKUP(Table8[[#This Row],[Country Code]],Table29[],10,FALSE)</f>
        <v>no</v>
      </c>
      <c r="AZ1903" s="235">
        <f>VLOOKUP(Table8[[#This Row],[Country Code]],Table29[],23,FALSE)</f>
        <v>56.717099715738001</v>
      </c>
      <c r="BA1903" s="235">
        <f>VLOOKUP(Table8[[#This Row],[Country Code]],Table29[],24,FALSE)</f>
        <v>13.64916488890823</v>
      </c>
      <c r="BB1903" s="320"/>
      <c r="BC1903" s="320"/>
    </row>
    <row r="1904" spans="1:55" hidden="1" x14ac:dyDescent="0.25">
      <c r="A1904" s="373">
        <v>39447</v>
      </c>
      <c r="B1904" s="233" t="str">
        <f>VLOOKUP(Table8[[#This Row],[Document ID]],Table1[],2,FALSE)</f>
        <v>OMN</v>
      </c>
      <c r="C1904" s="233" t="str">
        <f>VLOOKUP(Table8[[#This Row],[Document ID]],Table1[],3,FALSE)</f>
        <v>Oman</v>
      </c>
      <c r="D1904" s="243" t="str">
        <f>VLOOKUP(Table8[[#This Row],[Document ID]],Table1[],5,FALSE)</f>
        <v>LTS</v>
      </c>
      <c r="E1904" s="233" t="str">
        <f>VLOOKUP(Table8[[#This Row],[Document ID]],Table1[],7,FALSE)</f>
        <v>LTS</v>
      </c>
      <c r="F1904" s="233" t="str">
        <f>VLOOKUP(Table8[[#This Row],[Document ID]],Table1[],8,FALSE)</f>
        <v>LTS 1.0</v>
      </c>
      <c r="G1904" s="233" t="str">
        <f>VLOOKUP(Table8[[#This Row],[Document ID]],Table1[],10,FALSE)</f>
        <v>Active</v>
      </c>
      <c r="H1904" s="43" t="s">
        <v>2358</v>
      </c>
      <c r="I1904" s="43" t="s">
        <v>2359</v>
      </c>
      <c r="J1904" s="44" t="s">
        <v>2360</v>
      </c>
      <c r="K1904" s="44" t="s">
        <v>4081</v>
      </c>
      <c r="L1904" s="44" t="s">
        <v>2333</v>
      </c>
      <c r="M1904" s="43">
        <v>29</v>
      </c>
      <c r="N1904" s="113"/>
      <c r="O1904" s="113"/>
      <c r="P1904" s="113"/>
      <c r="Q1904" s="113"/>
      <c r="R1904" s="113"/>
      <c r="S1904" s="113" t="s">
        <v>1113</v>
      </c>
      <c r="T1904" s="113"/>
      <c r="U1904" s="113"/>
      <c r="V1904" s="113"/>
      <c r="W1904" s="113"/>
      <c r="X1904" s="113"/>
      <c r="Y1904" s="113" t="s">
        <v>1113</v>
      </c>
      <c r="Z1904" s="113"/>
      <c r="AA1904" s="113"/>
      <c r="AB1904" s="113"/>
      <c r="AC1904" s="113"/>
      <c r="AD1904" s="113"/>
      <c r="AE1904" s="113"/>
      <c r="AF1904" s="113"/>
      <c r="AG1904" s="113"/>
      <c r="AH1904" s="113"/>
      <c r="AI1904" s="113"/>
      <c r="AJ1904" s="113"/>
      <c r="AK1904" s="113" t="s">
        <v>1113</v>
      </c>
      <c r="AL1904" s="113"/>
      <c r="AM1904" s="113"/>
      <c r="AN1904" s="113"/>
      <c r="AO1904" s="44" t="s">
        <v>2334</v>
      </c>
      <c r="AP1904" s="43"/>
      <c r="AQ1904" s="236" t="str">
        <f>VLOOKUP(Table8[[#This Row],[Instrument]],Def_Targets!$D$73:$E$159,2,FALSE)</f>
        <v>I_Emobility</v>
      </c>
      <c r="AR1904" s="233" t="str">
        <f>VLOOKUP(Table8[[#This Row],[Country Code]],Table29[],3,FALSE)</f>
        <v>Non-Annex I</v>
      </c>
      <c r="AS1904" s="233" t="str">
        <f>VLOOKUP(Table8[[#This Row],[Country Code]],Table29[],4,FALSE)</f>
        <v>Asia</v>
      </c>
      <c r="AT1904" s="233" t="str">
        <f>VLOOKUP(Table8[[#This Row],[Country Code]],Table29[],5,FALSE)</f>
        <v>High-income</v>
      </c>
      <c r="AU1904" s="233" t="str">
        <f>VLOOKUP(Table8[[#This Row],[Country Code]],Table29[],6,FALSE)</f>
        <v>no</v>
      </c>
      <c r="AV1904" s="233" t="str">
        <f>VLOOKUP(Table8[[#This Row],[Country Code]],Table29[],7,FALSE)</f>
        <v>no</v>
      </c>
      <c r="AW1904" s="233" t="str">
        <f>VLOOKUP(Table8[[#This Row],[Country Code]],Table29[],8,FALSE)</f>
        <v>non-OECD</v>
      </c>
      <c r="AX1904" s="233" t="str">
        <f>VLOOKUP(Table8[[#This Row],[Country Code]],Table29[],9,FALSE)</f>
        <v>no</v>
      </c>
      <c r="AY1904" s="233" t="str">
        <f>VLOOKUP(Table8[[#This Row],[Country Code]],Table29[],10,FALSE)</f>
        <v>MENA</v>
      </c>
      <c r="AZ1904" s="235">
        <f>VLOOKUP(Table8[[#This Row],[Country Code]],Table29[],23,FALSE)</f>
        <v>127.44302070563</v>
      </c>
      <c r="BA1904" s="235">
        <f>VLOOKUP(Table8[[#This Row],[Country Code]],Table29[],24,FALSE)</f>
        <v>12.3539911460556</v>
      </c>
      <c r="BB1904" s="320"/>
      <c r="BC1904" s="320"/>
    </row>
    <row r="1905" spans="1:55" hidden="1" x14ac:dyDescent="0.25">
      <c r="A1905" s="373">
        <v>39447</v>
      </c>
      <c r="B1905" s="233" t="str">
        <f>VLOOKUP(Table8[[#This Row],[Document ID]],Table1[],2,FALSE)</f>
        <v>OMN</v>
      </c>
      <c r="C1905" s="233" t="str">
        <f>VLOOKUP(Table8[[#This Row],[Document ID]],Table1[],3,FALSE)</f>
        <v>Oman</v>
      </c>
      <c r="D1905" s="243" t="str">
        <f>VLOOKUP(Table8[[#This Row],[Document ID]],Table1[],5,FALSE)</f>
        <v>LTS</v>
      </c>
      <c r="E1905" s="233" t="str">
        <f>VLOOKUP(Table8[[#This Row],[Document ID]],Table1[],7,FALSE)</f>
        <v>LTS</v>
      </c>
      <c r="F1905" s="233" t="str">
        <f>VLOOKUP(Table8[[#This Row],[Document ID]],Table1[],8,FALSE)</f>
        <v>LTS 1.0</v>
      </c>
      <c r="G1905" s="233" t="str">
        <f>VLOOKUP(Table8[[#This Row],[Document ID]],Table1[],10,FALSE)</f>
        <v>Active</v>
      </c>
      <c r="H1905" s="44" t="s">
        <v>2329</v>
      </c>
      <c r="I1905" s="44" t="s">
        <v>2330</v>
      </c>
      <c r="J1905" s="44" t="s">
        <v>2391</v>
      </c>
      <c r="K1905" s="44" t="s">
        <v>4082</v>
      </c>
      <c r="L1905" s="44" t="s">
        <v>2333</v>
      </c>
      <c r="M1905" s="43">
        <v>29</v>
      </c>
      <c r="N1905" s="113"/>
      <c r="O1905" s="113"/>
      <c r="P1905" s="113"/>
      <c r="Q1905" s="113"/>
      <c r="R1905" s="113"/>
      <c r="S1905" s="113"/>
      <c r="T1905" s="113"/>
      <c r="U1905" s="113"/>
      <c r="V1905" s="113"/>
      <c r="W1905" s="113"/>
      <c r="X1905" s="113" t="s">
        <v>1113</v>
      </c>
      <c r="Y1905" s="113" t="s">
        <v>1113</v>
      </c>
      <c r="Z1905" s="113"/>
      <c r="AA1905" s="113"/>
      <c r="AB1905" s="113"/>
      <c r="AC1905" s="113"/>
      <c r="AD1905" s="113"/>
      <c r="AE1905" s="113"/>
      <c r="AF1905" s="113"/>
      <c r="AG1905" s="113"/>
      <c r="AH1905" s="113"/>
      <c r="AI1905" s="113"/>
      <c r="AJ1905" s="113"/>
      <c r="AK1905" s="113" t="s">
        <v>1113</v>
      </c>
      <c r="AL1905" s="113"/>
      <c r="AM1905" s="113"/>
      <c r="AN1905" s="113"/>
      <c r="AO1905" s="44" t="s">
        <v>2334</v>
      </c>
      <c r="AP1905" s="43"/>
      <c r="AQ1905" s="236" t="str">
        <f>VLOOKUP(Table8[[#This Row],[Instrument]],Def_Targets!$D$73:$E$159,2,FALSE)</f>
        <v>I_Hydrogen</v>
      </c>
      <c r="AR1905" s="233" t="str">
        <f>VLOOKUP(Table8[[#This Row],[Country Code]],Table29[],3,FALSE)</f>
        <v>Non-Annex I</v>
      </c>
      <c r="AS1905" s="233" t="str">
        <f>VLOOKUP(Table8[[#This Row],[Country Code]],Table29[],4,FALSE)</f>
        <v>Asia</v>
      </c>
      <c r="AT1905" s="233" t="str">
        <f>VLOOKUP(Table8[[#This Row],[Country Code]],Table29[],5,FALSE)</f>
        <v>High-income</v>
      </c>
      <c r="AU1905" s="233" t="str">
        <f>VLOOKUP(Table8[[#This Row],[Country Code]],Table29[],6,FALSE)</f>
        <v>no</v>
      </c>
      <c r="AV1905" s="233" t="str">
        <f>VLOOKUP(Table8[[#This Row],[Country Code]],Table29[],7,FALSE)</f>
        <v>no</v>
      </c>
      <c r="AW1905" s="233" t="str">
        <f>VLOOKUP(Table8[[#This Row],[Country Code]],Table29[],8,FALSE)</f>
        <v>non-OECD</v>
      </c>
      <c r="AX1905" s="233" t="str">
        <f>VLOOKUP(Table8[[#This Row],[Country Code]],Table29[],9,FALSE)</f>
        <v>no</v>
      </c>
      <c r="AY1905" s="233" t="str">
        <f>VLOOKUP(Table8[[#This Row],[Country Code]],Table29[],10,FALSE)</f>
        <v>MENA</v>
      </c>
      <c r="AZ1905" s="235">
        <f>VLOOKUP(Table8[[#This Row],[Country Code]],Table29[],23,FALSE)</f>
        <v>127.44302070563</v>
      </c>
      <c r="BA1905" s="235">
        <f>VLOOKUP(Table8[[#This Row],[Country Code]],Table29[],24,FALSE)</f>
        <v>12.3539911460556</v>
      </c>
      <c r="BB1905" s="320"/>
      <c r="BC1905" s="320"/>
    </row>
    <row r="1906" spans="1:55" ht="30" hidden="1" x14ac:dyDescent="0.25">
      <c r="A1906" s="373">
        <v>39447</v>
      </c>
      <c r="B1906" s="233" t="str">
        <f>VLOOKUP(Table8[[#This Row],[Document ID]],Table1[],2,FALSE)</f>
        <v>OMN</v>
      </c>
      <c r="C1906" s="233" t="str">
        <f>VLOOKUP(Table8[[#This Row],[Document ID]],Table1[],3,FALSE)</f>
        <v>Oman</v>
      </c>
      <c r="D1906" s="243" t="str">
        <f>VLOOKUP(Table8[[#This Row],[Document ID]],Table1[],5,FALSE)</f>
        <v>LTS</v>
      </c>
      <c r="E1906" s="233" t="str">
        <f>VLOOKUP(Table8[[#This Row],[Document ID]],Table1[],7,FALSE)</f>
        <v>LTS</v>
      </c>
      <c r="F1906" s="233" t="str">
        <f>VLOOKUP(Table8[[#This Row],[Document ID]],Table1[],8,FALSE)</f>
        <v>LTS 1.0</v>
      </c>
      <c r="G1906" s="233" t="str">
        <f>VLOOKUP(Table8[[#This Row],[Document ID]],Table1[],10,FALSE)</f>
        <v>Active</v>
      </c>
      <c r="H1906" s="43" t="s">
        <v>2343</v>
      </c>
      <c r="I1906" s="43" t="s">
        <v>2344</v>
      </c>
      <c r="J1906" s="44" t="s">
        <v>2345</v>
      </c>
      <c r="K1906" s="44" t="s">
        <v>4083</v>
      </c>
      <c r="L1906" s="44" t="s">
        <v>2347</v>
      </c>
      <c r="M1906" s="43">
        <v>29</v>
      </c>
      <c r="N1906" s="113" t="s">
        <v>1113</v>
      </c>
      <c r="O1906" s="113"/>
      <c r="P1906" s="113"/>
      <c r="Q1906" s="113"/>
      <c r="R1906" s="113"/>
      <c r="S1906" s="113"/>
      <c r="T1906" s="113"/>
      <c r="U1906" s="113"/>
      <c r="V1906" s="113"/>
      <c r="W1906" s="113"/>
      <c r="X1906" s="113"/>
      <c r="Y1906" s="113"/>
      <c r="Z1906" s="113"/>
      <c r="AA1906" s="113"/>
      <c r="AB1906" s="113"/>
      <c r="AC1906" s="113"/>
      <c r="AD1906" s="113"/>
      <c r="AE1906" s="113"/>
      <c r="AF1906" s="113"/>
      <c r="AG1906" s="113"/>
      <c r="AH1906" s="113"/>
      <c r="AI1906" s="113"/>
      <c r="AJ1906" s="113"/>
      <c r="AK1906" s="113" t="s">
        <v>1113</v>
      </c>
      <c r="AL1906" s="113"/>
      <c r="AM1906" s="113"/>
      <c r="AN1906" s="113"/>
      <c r="AO1906" s="43" t="s">
        <v>2348</v>
      </c>
      <c r="AP1906" s="43"/>
      <c r="AQ1906" s="236" t="str">
        <f>VLOOKUP(Table8[[#This Row],[Instrument]],Def_Targets!$D$73:$E$159,2,FALSE)</f>
        <v>S_PublicTransport</v>
      </c>
      <c r="AR1906" s="233" t="str">
        <f>VLOOKUP(Table8[[#This Row],[Country Code]],Table29[],3,FALSE)</f>
        <v>Non-Annex I</v>
      </c>
      <c r="AS1906" s="233" t="str">
        <f>VLOOKUP(Table8[[#This Row],[Country Code]],Table29[],4,FALSE)</f>
        <v>Asia</v>
      </c>
      <c r="AT1906" s="233" t="str">
        <f>VLOOKUP(Table8[[#This Row],[Country Code]],Table29[],5,FALSE)</f>
        <v>High-income</v>
      </c>
      <c r="AU1906" s="233" t="str">
        <f>VLOOKUP(Table8[[#This Row],[Country Code]],Table29[],6,FALSE)</f>
        <v>no</v>
      </c>
      <c r="AV1906" s="233" t="str">
        <f>VLOOKUP(Table8[[#This Row],[Country Code]],Table29[],7,FALSE)</f>
        <v>no</v>
      </c>
      <c r="AW1906" s="233" t="str">
        <f>VLOOKUP(Table8[[#This Row],[Country Code]],Table29[],8,FALSE)</f>
        <v>non-OECD</v>
      </c>
      <c r="AX1906" s="233" t="str">
        <f>VLOOKUP(Table8[[#This Row],[Country Code]],Table29[],9,FALSE)</f>
        <v>no</v>
      </c>
      <c r="AY1906" s="233" t="str">
        <f>VLOOKUP(Table8[[#This Row],[Country Code]],Table29[],10,FALSE)</f>
        <v>MENA</v>
      </c>
      <c r="AZ1906" s="235">
        <f>VLOOKUP(Table8[[#This Row],[Country Code]],Table29[],23,FALSE)</f>
        <v>127.44302070563</v>
      </c>
      <c r="BA1906" s="235">
        <f>VLOOKUP(Table8[[#This Row],[Country Code]],Table29[],24,FALSE)</f>
        <v>12.3539911460556</v>
      </c>
      <c r="BB1906" s="320"/>
      <c r="BC1906" s="320"/>
    </row>
    <row r="1907" spans="1:55" hidden="1" x14ac:dyDescent="0.25">
      <c r="A1907" s="373">
        <v>17703</v>
      </c>
      <c r="B1907" s="233" t="str">
        <f>VLOOKUP(Table8[[#This Row],[Document ID]],Table1[],2,FALSE)</f>
        <v>PRT</v>
      </c>
      <c r="C1907" s="233" t="str">
        <f>VLOOKUP(Table8[[#This Row],[Document ID]],Table1[],3,FALSE)</f>
        <v>Portugal</v>
      </c>
      <c r="D1907" s="243" t="str">
        <f>VLOOKUP(Table8[[#This Row],[Document ID]],Table1[],5,FALSE)</f>
        <v>LTS</v>
      </c>
      <c r="E1907" s="233" t="str">
        <f>VLOOKUP(Table8[[#This Row],[Document ID]],Table1[],7,FALSE)</f>
        <v>LTS</v>
      </c>
      <c r="F1907" s="236" t="str">
        <f>VLOOKUP(Table8[[#This Row],[Document ID]],Table1[],8,FALSE)</f>
        <v>LTS 1.0</v>
      </c>
      <c r="G1907" s="236" t="str">
        <f>VLOOKUP(Table8[[#This Row],[Document ID]],Table1[],10,FALSE)</f>
        <v>Active</v>
      </c>
      <c r="H1907" s="44" t="s">
        <v>2338</v>
      </c>
      <c r="I1907" s="44" t="s">
        <v>2339</v>
      </c>
      <c r="J1907" s="44" t="s">
        <v>2340</v>
      </c>
      <c r="K1907" s="44" t="s">
        <v>4084</v>
      </c>
      <c r="L1907" s="44" t="s">
        <v>2333</v>
      </c>
      <c r="M1907" s="43">
        <v>38</v>
      </c>
      <c r="N1907" s="113" t="s">
        <v>1113</v>
      </c>
      <c r="O1907" s="113"/>
      <c r="P1907" s="113"/>
      <c r="Q1907" s="319"/>
      <c r="R1907" s="319"/>
      <c r="S1907" s="319"/>
      <c r="T1907" s="319"/>
      <c r="U1907" s="319"/>
      <c r="V1907" s="319"/>
      <c r="W1907" s="319"/>
      <c r="X1907" s="319"/>
      <c r="Y1907" s="319"/>
      <c r="Z1907" s="113"/>
      <c r="AA1907" s="319"/>
      <c r="AB1907" s="319"/>
      <c r="AC1907" s="319"/>
      <c r="AD1907" s="319"/>
      <c r="AE1907" s="319"/>
      <c r="AF1907" s="319"/>
      <c r="AG1907" s="319"/>
      <c r="AH1907" s="319"/>
      <c r="AI1907" s="319"/>
      <c r="AJ1907" s="319"/>
      <c r="AK1907" s="319" t="s">
        <v>1113</v>
      </c>
      <c r="AL1907" s="319"/>
      <c r="AM1907" s="319"/>
      <c r="AN1907" s="319"/>
      <c r="AO1907" s="44" t="s">
        <v>2334</v>
      </c>
      <c r="AP1907" s="44"/>
      <c r="AQ1907" s="236" t="str">
        <f>VLOOKUP(Table8[[#This Row],[Instrument]],Def_Targets!$D$73:$E$159,2,FALSE)</f>
        <v>I_Vehicleimprove</v>
      </c>
      <c r="AR1907" s="233" t="str">
        <f>VLOOKUP(Table8[[#This Row],[Country Code]],Table29[],3,FALSE)</f>
        <v>Annex I</v>
      </c>
      <c r="AS1907" s="233" t="str">
        <f>VLOOKUP(Table8[[#This Row],[Country Code]],Table29[],4,FALSE)</f>
        <v>Europe</v>
      </c>
      <c r="AT1907" s="233" t="str">
        <f>VLOOKUP(Table8[[#This Row],[Country Code]],Table29[],5,FALSE)</f>
        <v>High-income</v>
      </c>
      <c r="AU1907" s="233" t="str">
        <f>VLOOKUP(Table8[[#This Row],[Country Code]],Table29[],6,FALSE)</f>
        <v>no</v>
      </c>
      <c r="AV1907" s="233" t="str">
        <f>VLOOKUP(Table8[[#This Row],[Country Code]],Table29[],7,FALSE)</f>
        <v>no</v>
      </c>
      <c r="AW1907" s="233" t="str">
        <f>VLOOKUP(Table8[[#This Row],[Country Code]],Table29[],8,FALSE)</f>
        <v>OECD</v>
      </c>
      <c r="AX1907" s="233" t="str">
        <f>VLOOKUP(Table8[[#This Row],[Country Code]],Table29[],9,FALSE)</f>
        <v>EU27</v>
      </c>
      <c r="AY1907" s="233" t="str">
        <f>VLOOKUP(Table8[[#This Row],[Country Code]],Table29[],10,FALSE)</f>
        <v>no</v>
      </c>
      <c r="AZ1907" s="235">
        <f>VLOOKUP(Table8[[#This Row],[Country Code]],Table29[],23,FALSE)</f>
        <v>53.004607295263</v>
      </c>
      <c r="BA1907" s="235">
        <f>VLOOKUP(Table8[[#This Row],[Country Code]],Table29[],24,FALSE)</f>
        <v>15.947366338037449</v>
      </c>
      <c r="BB1907" s="320"/>
      <c r="BC1907" s="320"/>
    </row>
    <row r="1908" spans="1:55" hidden="1" x14ac:dyDescent="0.25">
      <c r="A1908" s="373">
        <v>17703</v>
      </c>
      <c r="B1908" s="233" t="str">
        <f>VLOOKUP(Table8[[#This Row],[Document ID]],Table1[],2,FALSE)</f>
        <v>PRT</v>
      </c>
      <c r="C1908" s="233" t="str">
        <f>VLOOKUP(Table8[[#This Row],[Document ID]],Table1[],3,FALSE)</f>
        <v>Portugal</v>
      </c>
      <c r="D1908" s="243" t="str">
        <f>VLOOKUP(Table8[[#This Row],[Document ID]],Table1[],5,FALSE)</f>
        <v>LTS</v>
      </c>
      <c r="E1908" s="233" t="str">
        <f>VLOOKUP(Table8[[#This Row],[Document ID]],Table1[],7,FALSE)</f>
        <v>LTS</v>
      </c>
      <c r="F1908" s="236" t="str">
        <f>VLOOKUP(Table8[[#This Row],[Document ID]],Table1[],8,FALSE)</f>
        <v>LTS 1.0</v>
      </c>
      <c r="G1908" s="236" t="str">
        <f>VLOOKUP(Table8[[#This Row],[Document ID]],Table1[],10,FALSE)</f>
        <v>Active</v>
      </c>
      <c r="H1908" s="43" t="s">
        <v>2343</v>
      </c>
      <c r="I1908" s="43" t="s">
        <v>2344</v>
      </c>
      <c r="J1908" s="44" t="s">
        <v>2345</v>
      </c>
      <c r="K1908" s="44" t="s">
        <v>4085</v>
      </c>
      <c r="L1908" s="44" t="s">
        <v>2333</v>
      </c>
      <c r="M1908" s="43">
        <v>38</v>
      </c>
      <c r="N1908" s="113" t="s">
        <v>1113</v>
      </c>
      <c r="O1908" s="113"/>
      <c r="P1908" s="113"/>
      <c r="Q1908" s="113"/>
      <c r="R1908" s="113"/>
      <c r="S1908" s="113"/>
      <c r="T1908" s="113"/>
      <c r="U1908" s="113"/>
      <c r="V1908" s="113"/>
      <c r="W1908" s="113"/>
      <c r="X1908" s="113"/>
      <c r="Y1908" s="113"/>
      <c r="Z1908" s="113"/>
      <c r="AA1908" s="113"/>
      <c r="AB1908" s="113"/>
      <c r="AC1908" s="113"/>
      <c r="AD1908" s="113"/>
      <c r="AE1908" s="113"/>
      <c r="AF1908" s="113"/>
      <c r="AG1908" s="113"/>
      <c r="AH1908" s="113"/>
      <c r="AI1908" s="113"/>
      <c r="AJ1908" s="113"/>
      <c r="AK1908" s="319" t="s">
        <v>1113</v>
      </c>
      <c r="AL1908" s="319"/>
      <c r="AM1908" s="319"/>
      <c r="AN1908" s="319"/>
      <c r="AO1908" s="43" t="s">
        <v>2348</v>
      </c>
      <c r="AP1908" s="44"/>
      <c r="AQ1908" s="236" t="str">
        <f>VLOOKUP(Table8[[#This Row],[Instrument]],Def_Targets!$D$73:$E$159,2,FALSE)</f>
        <v>S_PublicTransport</v>
      </c>
      <c r="AR1908" s="233" t="str">
        <f>VLOOKUP(Table8[[#This Row],[Country Code]],Table29[],3,FALSE)</f>
        <v>Annex I</v>
      </c>
      <c r="AS1908" s="233" t="str">
        <f>VLOOKUP(Table8[[#This Row],[Country Code]],Table29[],4,FALSE)</f>
        <v>Europe</v>
      </c>
      <c r="AT1908" s="233" t="str">
        <f>VLOOKUP(Table8[[#This Row],[Country Code]],Table29[],5,FALSE)</f>
        <v>High-income</v>
      </c>
      <c r="AU1908" s="233" t="str">
        <f>VLOOKUP(Table8[[#This Row],[Country Code]],Table29[],6,FALSE)</f>
        <v>no</v>
      </c>
      <c r="AV1908" s="233" t="str">
        <f>VLOOKUP(Table8[[#This Row],[Country Code]],Table29[],7,FALSE)</f>
        <v>no</v>
      </c>
      <c r="AW1908" s="233" t="str">
        <f>VLOOKUP(Table8[[#This Row],[Country Code]],Table29[],8,FALSE)</f>
        <v>OECD</v>
      </c>
      <c r="AX1908" s="233" t="str">
        <f>VLOOKUP(Table8[[#This Row],[Country Code]],Table29[],9,FALSE)</f>
        <v>EU27</v>
      </c>
      <c r="AY1908" s="233" t="str">
        <f>VLOOKUP(Table8[[#This Row],[Country Code]],Table29[],10,FALSE)</f>
        <v>no</v>
      </c>
      <c r="AZ1908" s="235">
        <f>VLOOKUP(Table8[[#This Row],[Country Code]],Table29[],23,FALSE)</f>
        <v>53.004607295263</v>
      </c>
      <c r="BA1908" s="235">
        <f>VLOOKUP(Table8[[#This Row],[Country Code]],Table29[],24,FALSE)</f>
        <v>15.947366338037449</v>
      </c>
      <c r="BB1908" s="320"/>
      <c r="BC1908" s="320"/>
    </row>
    <row r="1909" spans="1:55" hidden="1" x14ac:dyDescent="0.25">
      <c r="A1909" s="373">
        <v>17703</v>
      </c>
      <c r="B1909" s="233" t="str">
        <f>VLOOKUP(Table8[[#This Row],[Document ID]],Table1[],2,FALSE)</f>
        <v>PRT</v>
      </c>
      <c r="C1909" s="233" t="str">
        <f>VLOOKUP(Table8[[#This Row],[Document ID]],Table1[],3,FALSE)</f>
        <v>Portugal</v>
      </c>
      <c r="D1909" s="243" t="str">
        <f>VLOOKUP(Table8[[#This Row],[Document ID]],Table1[],5,FALSE)</f>
        <v>LTS</v>
      </c>
      <c r="E1909" s="233" t="str">
        <f>VLOOKUP(Table8[[#This Row],[Document ID]],Table1[],7,FALSE)</f>
        <v>LTS</v>
      </c>
      <c r="F1909" s="236" t="str">
        <f>VLOOKUP(Table8[[#This Row],[Document ID]],Table1[],8,FALSE)</f>
        <v>LTS 1.0</v>
      </c>
      <c r="G1909" s="236" t="str">
        <f>VLOOKUP(Table8[[#This Row],[Document ID]],Table1[],10,FALSE)</f>
        <v>Active</v>
      </c>
      <c r="H1909" s="43" t="s">
        <v>2343</v>
      </c>
      <c r="I1909" s="43" t="s">
        <v>2361</v>
      </c>
      <c r="J1909" s="44" t="s">
        <v>2366</v>
      </c>
      <c r="K1909" s="44" t="s">
        <v>4086</v>
      </c>
      <c r="L1909" s="44" t="s">
        <v>2347</v>
      </c>
      <c r="M1909" s="43">
        <v>38</v>
      </c>
      <c r="N1909" s="113"/>
      <c r="O1909" s="113"/>
      <c r="P1909" s="113" t="s">
        <v>1113</v>
      </c>
      <c r="Q1909" s="319"/>
      <c r="R1909" s="319"/>
      <c r="S1909" s="319"/>
      <c r="T1909" s="319"/>
      <c r="U1909" s="319"/>
      <c r="V1909" s="319"/>
      <c r="W1909" s="319"/>
      <c r="X1909" s="319"/>
      <c r="Y1909" s="319"/>
      <c r="Z1909" s="113"/>
      <c r="AA1909" s="319"/>
      <c r="AB1909" s="319"/>
      <c r="AC1909" s="319"/>
      <c r="AD1909" s="319"/>
      <c r="AE1909" s="319"/>
      <c r="AF1909" s="319"/>
      <c r="AG1909" s="319"/>
      <c r="AH1909" s="319"/>
      <c r="AI1909" s="319"/>
      <c r="AJ1909" s="319"/>
      <c r="AK1909" s="319" t="s">
        <v>1113</v>
      </c>
      <c r="AL1909" s="319"/>
      <c r="AM1909" s="319"/>
      <c r="AN1909" s="319"/>
      <c r="AO1909" s="44" t="s">
        <v>2334</v>
      </c>
      <c r="AP1909" s="44"/>
      <c r="AQ1909" s="236" t="str">
        <f>VLOOKUP(Table8[[#This Row],[Instrument]],Def_Targets!$D$73:$E$159,2,FALSE)</f>
        <v>S_Activemobility</v>
      </c>
      <c r="AR1909" s="233" t="str">
        <f>VLOOKUP(Table8[[#This Row],[Country Code]],Table29[],3,FALSE)</f>
        <v>Annex I</v>
      </c>
      <c r="AS1909" s="233" t="str">
        <f>VLOOKUP(Table8[[#This Row],[Country Code]],Table29[],4,FALSE)</f>
        <v>Europe</v>
      </c>
      <c r="AT1909" s="233" t="str">
        <f>VLOOKUP(Table8[[#This Row],[Country Code]],Table29[],5,FALSE)</f>
        <v>High-income</v>
      </c>
      <c r="AU1909" s="233" t="str">
        <f>VLOOKUP(Table8[[#This Row],[Country Code]],Table29[],6,FALSE)</f>
        <v>no</v>
      </c>
      <c r="AV1909" s="233" t="str">
        <f>VLOOKUP(Table8[[#This Row],[Country Code]],Table29[],7,FALSE)</f>
        <v>no</v>
      </c>
      <c r="AW1909" s="233" t="str">
        <f>VLOOKUP(Table8[[#This Row],[Country Code]],Table29[],8,FALSE)</f>
        <v>OECD</v>
      </c>
      <c r="AX1909" s="233" t="str">
        <f>VLOOKUP(Table8[[#This Row],[Country Code]],Table29[],9,FALSE)</f>
        <v>EU27</v>
      </c>
      <c r="AY1909" s="233" t="str">
        <f>VLOOKUP(Table8[[#This Row],[Country Code]],Table29[],10,FALSE)</f>
        <v>no</v>
      </c>
      <c r="AZ1909" s="235">
        <f>VLOOKUP(Table8[[#This Row],[Country Code]],Table29[],23,FALSE)</f>
        <v>53.004607295263</v>
      </c>
      <c r="BA1909" s="235">
        <f>VLOOKUP(Table8[[#This Row],[Country Code]],Table29[],24,FALSE)</f>
        <v>15.947366338037449</v>
      </c>
      <c r="BB1909" s="320"/>
      <c r="BC1909" s="320"/>
    </row>
    <row r="1910" spans="1:55" hidden="1" x14ac:dyDescent="0.25">
      <c r="A1910" s="373">
        <v>17703</v>
      </c>
      <c r="B1910" s="233" t="str">
        <f>VLOOKUP(Table8[[#This Row],[Document ID]],Table1[],2,FALSE)</f>
        <v>PRT</v>
      </c>
      <c r="C1910" s="233" t="str">
        <f>VLOOKUP(Table8[[#This Row],[Document ID]],Table1[],3,FALSE)</f>
        <v>Portugal</v>
      </c>
      <c r="D1910" s="243" t="str">
        <f>VLOOKUP(Table8[[#This Row],[Document ID]],Table1[],5,FALSE)</f>
        <v>LTS</v>
      </c>
      <c r="E1910" s="233" t="str">
        <f>VLOOKUP(Table8[[#This Row],[Document ID]],Table1[],7,FALSE)</f>
        <v>LTS</v>
      </c>
      <c r="F1910" s="236" t="str">
        <f>VLOOKUP(Table8[[#This Row],[Document ID]],Table1[],8,FALSE)</f>
        <v>LTS 1.0</v>
      </c>
      <c r="G1910" s="236" t="str">
        <f>VLOOKUP(Table8[[#This Row],[Document ID]],Table1[],10,FALSE)</f>
        <v>Active</v>
      </c>
      <c r="H1910" s="43" t="s">
        <v>2343</v>
      </c>
      <c r="I1910" s="43" t="s">
        <v>2429</v>
      </c>
      <c r="J1910" s="44" t="s">
        <v>2513</v>
      </c>
      <c r="K1910" s="44" t="s">
        <v>4087</v>
      </c>
      <c r="L1910" s="44" t="s">
        <v>2347</v>
      </c>
      <c r="M1910" s="43">
        <v>38</v>
      </c>
      <c r="N1910" s="113" t="s">
        <v>1113</v>
      </c>
      <c r="O1910" s="113"/>
      <c r="P1910" s="113"/>
      <c r="Q1910" s="319"/>
      <c r="R1910" s="319"/>
      <c r="S1910" s="319"/>
      <c r="T1910" s="319"/>
      <c r="U1910" s="319"/>
      <c r="V1910" s="319"/>
      <c r="W1910" s="319"/>
      <c r="X1910" s="319"/>
      <c r="Y1910" s="319"/>
      <c r="Z1910" s="113"/>
      <c r="AA1910" s="319"/>
      <c r="AB1910" s="319"/>
      <c r="AC1910" s="319"/>
      <c r="AD1910" s="319"/>
      <c r="AE1910" s="319"/>
      <c r="AF1910" s="319"/>
      <c r="AG1910" s="319"/>
      <c r="AH1910" s="319"/>
      <c r="AI1910" s="319"/>
      <c r="AJ1910" s="319"/>
      <c r="AK1910" s="319" t="s">
        <v>1113</v>
      </c>
      <c r="AL1910" s="319"/>
      <c r="AM1910" s="319"/>
      <c r="AN1910" s="319"/>
      <c r="AO1910" s="44" t="s">
        <v>2334</v>
      </c>
      <c r="AP1910" s="44"/>
      <c r="AQ1910" s="236" t="str">
        <f>VLOOKUP(Table8[[#This Row],[Instrument]],Def_Targets!$D$73:$E$159,2,FALSE)</f>
        <v>S_Sharedmob</v>
      </c>
      <c r="AR1910" s="233" t="str">
        <f>VLOOKUP(Table8[[#This Row],[Country Code]],Table29[],3,FALSE)</f>
        <v>Annex I</v>
      </c>
      <c r="AS1910" s="233" t="str">
        <f>VLOOKUP(Table8[[#This Row],[Country Code]],Table29[],4,FALSE)</f>
        <v>Europe</v>
      </c>
      <c r="AT1910" s="233" t="str">
        <f>VLOOKUP(Table8[[#This Row],[Country Code]],Table29[],5,FALSE)</f>
        <v>High-income</v>
      </c>
      <c r="AU1910" s="233" t="str">
        <f>VLOOKUP(Table8[[#This Row],[Country Code]],Table29[],6,FALSE)</f>
        <v>no</v>
      </c>
      <c r="AV1910" s="233" t="str">
        <f>VLOOKUP(Table8[[#This Row],[Country Code]],Table29[],7,FALSE)</f>
        <v>no</v>
      </c>
      <c r="AW1910" s="233" t="str">
        <f>VLOOKUP(Table8[[#This Row],[Country Code]],Table29[],8,FALSE)</f>
        <v>OECD</v>
      </c>
      <c r="AX1910" s="233" t="str">
        <f>VLOOKUP(Table8[[#This Row],[Country Code]],Table29[],9,FALSE)</f>
        <v>EU27</v>
      </c>
      <c r="AY1910" s="233" t="str">
        <f>VLOOKUP(Table8[[#This Row],[Country Code]],Table29[],10,FALSE)</f>
        <v>no</v>
      </c>
      <c r="AZ1910" s="235">
        <f>VLOOKUP(Table8[[#This Row],[Country Code]],Table29[],23,FALSE)</f>
        <v>53.004607295263</v>
      </c>
      <c r="BA1910" s="235">
        <f>VLOOKUP(Table8[[#This Row],[Country Code]],Table29[],24,FALSE)</f>
        <v>15.947366338037449</v>
      </c>
      <c r="BB1910" s="320"/>
      <c r="BC1910" s="320"/>
    </row>
    <row r="1911" spans="1:55" hidden="1" x14ac:dyDescent="0.25">
      <c r="A1911" s="373">
        <v>17703</v>
      </c>
      <c r="B1911" s="233" t="str">
        <f>VLOOKUP(Table8[[#This Row],[Document ID]],Table1[],2,FALSE)</f>
        <v>PRT</v>
      </c>
      <c r="C1911" s="233" t="str">
        <f>VLOOKUP(Table8[[#This Row],[Document ID]],Table1[],3,FALSE)</f>
        <v>Portugal</v>
      </c>
      <c r="D1911" s="243" t="str">
        <f>VLOOKUP(Table8[[#This Row],[Document ID]],Table1[],5,FALSE)</f>
        <v>LTS</v>
      </c>
      <c r="E1911" s="233" t="str">
        <f>VLOOKUP(Table8[[#This Row],[Document ID]],Table1[],7,FALSE)</f>
        <v>LTS</v>
      </c>
      <c r="F1911" s="236" t="str">
        <f>VLOOKUP(Table8[[#This Row],[Document ID]],Table1[],8,FALSE)</f>
        <v>LTS 1.0</v>
      </c>
      <c r="G1911" s="236" t="str">
        <f>VLOOKUP(Table8[[#This Row],[Document ID]],Table1[],10,FALSE)</f>
        <v>Active</v>
      </c>
      <c r="H1911" s="43" t="s">
        <v>2343</v>
      </c>
      <c r="I1911" s="43" t="s">
        <v>2429</v>
      </c>
      <c r="J1911" s="44" t="s">
        <v>2501</v>
      </c>
      <c r="K1911" s="44" t="s">
        <v>4088</v>
      </c>
      <c r="L1911" s="44" t="s">
        <v>2333</v>
      </c>
      <c r="M1911" s="43">
        <v>38</v>
      </c>
      <c r="N1911" s="113" t="s">
        <v>1113</v>
      </c>
      <c r="O1911" s="113"/>
      <c r="P1911" s="113"/>
      <c r="Q1911" s="319"/>
      <c r="R1911" s="319"/>
      <c r="S1911" s="319"/>
      <c r="T1911" s="319"/>
      <c r="U1911" s="319"/>
      <c r="V1911" s="319"/>
      <c r="W1911" s="319"/>
      <c r="X1911" s="319"/>
      <c r="Y1911" s="319"/>
      <c r="Z1911" s="113"/>
      <c r="AA1911" s="319"/>
      <c r="AB1911" s="319"/>
      <c r="AC1911" s="319"/>
      <c r="AD1911" s="319"/>
      <c r="AE1911" s="319"/>
      <c r="AF1911" s="319"/>
      <c r="AG1911" s="319"/>
      <c r="AH1911" s="319"/>
      <c r="AI1911" s="319"/>
      <c r="AJ1911" s="319"/>
      <c r="AK1911" s="319" t="s">
        <v>1113</v>
      </c>
      <c r="AL1911" s="319"/>
      <c r="AM1911" s="319"/>
      <c r="AN1911" s="319"/>
      <c r="AO1911" s="44" t="s">
        <v>2334</v>
      </c>
      <c r="AP1911" s="44"/>
      <c r="AQ1911" s="236" t="str">
        <f>VLOOKUP(Table8[[#This Row],[Instrument]],Def_Targets!$D$73:$E$159,2,FALSE)</f>
        <v>I_Autonomous</v>
      </c>
      <c r="AR1911" s="233" t="str">
        <f>VLOOKUP(Table8[[#This Row],[Country Code]],Table29[],3,FALSE)</f>
        <v>Annex I</v>
      </c>
      <c r="AS1911" s="233" t="str">
        <f>VLOOKUP(Table8[[#This Row],[Country Code]],Table29[],4,FALSE)</f>
        <v>Europe</v>
      </c>
      <c r="AT1911" s="233" t="str">
        <f>VLOOKUP(Table8[[#This Row],[Country Code]],Table29[],5,FALSE)</f>
        <v>High-income</v>
      </c>
      <c r="AU1911" s="233" t="str">
        <f>VLOOKUP(Table8[[#This Row],[Country Code]],Table29[],6,FALSE)</f>
        <v>no</v>
      </c>
      <c r="AV1911" s="233" t="str">
        <f>VLOOKUP(Table8[[#This Row],[Country Code]],Table29[],7,FALSE)</f>
        <v>no</v>
      </c>
      <c r="AW1911" s="233" t="str">
        <f>VLOOKUP(Table8[[#This Row],[Country Code]],Table29[],8,FALSE)</f>
        <v>OECD</v>
      </c>
      <c r="AX1911" s="233" t="str">
        <f>VLOOKUP(Table8[[#This Row],[Country Code]],Table29[],9,FALSE)</f>
        <v>EU27</v>
      </c>
      <c r="AY1911" s="233" t="str">
        <f>VLOOKUP(Table8[[#This Row],[Country Code]],Table29[],10,FALSE)</f>
        <v>no</v>
      </c>
      <c r="AZ1911" s="235">
        <f>VLOOKUP(Table8[[#This Row],[Country Code]],Table29[],23,FALSE)</f>
        <v>53.004607295263</v>
      </c>
      <c r="BA1911" s="235">
        <f>VLOOKUP(Table8[[#This Row],[Country Code]],Table29[],24,FALSE)</f>
        <v>15.947366338037449</v>
      </c>
      <c r="BB1911" s="320"/>
      <c r="BC1911" s="320"/>
    </row>
    <row r="1912" spans="1:55" hidden="1" x14ac:dyDescent="0.25">
      <c r="A1912" s="373">
        <v>17703</v>
      </c>
      <c r="B1912" s="233" t="str">
        <f>VLOOKUP(Table8[[#This Row],[Document ID]],Table1[],2,FALSE)</f>
        <v>PRT</v>
      </c>
      <c r="C1912" s="233" t="str">
        <f>VLOOKUP(Table8[[#This Row],[Document ID]],Table1[],3,FALSE)</f>
        <v>Portugal</v>
      </c>
      <c r="D1912" s="243" t="str">
        <f>VLOOKUP(Table8[[#This Row],[Document ID]],Table1[],5,FALSE)</f>
        <v>LTS</v>
      </c>
      <c r="E1912" s="233" t="str">
        <f>VLOOKUP(Table8[[#This Row],[Document ID]],Table1[],7,FALSE)</f>
        <v>LTS</v>
      </c>
      <c r="F1912" s="236" t="str">
        <f>VLOOKUP(Table8[[#This Row],[Document ID]],Table1[],8,FALSE)</f>
        <v>LTS 1.0</v>
      </c>
      <c r="G1912" s="236" t="str">
        <f>VLOOKUP(Table8[[#This Row],[Document ID]],Table1[],10,FALSE)</f>
        <v>Active</v>
      </c>
      <c r="H1912" s="43" t="s">
        <v>2358</v>
      </c>
      <c r="I1912" s="43" t="s">
        <v>2359</v>
      </c>
      <c r="J1912" s="44" t="s">
        <v>2360</v>
      </c>
      <c r="K1912" s="44" t="s">
        <v>4089</v>
      </c>
      <c r="L1912" s="44" t="s">
        <v>2333</v>
      </c>
      <c r="M1912" s="43">
        <v>38</v>
      </c>
      <c r="N1912" s="113" t="s">
        <v>1113</v>
      </c>
      <c r="O1912" s="113"/>
      <c r="P1912" s="113"/>
      <c r="Q1912" s="319"/>
      <c r="R1912" s="319"/>
      <c r="S1912" s="319"/>
      <c r="T1912" s="319"/>
      <c r="U1912" s="319"/>
      <c r="V1912" s="319"/>
      <c r="W1912" s="319"/>
      <c r="X1912" s="319"/>
      <c r="Y1912" s="319"/>
      <c r="Z1912" s="113"/>
      <c r="AA1912" s="319"/>
      <c r="AB1912" s="319"/>
      <c r="AC1912" s="319"/>
      <c r="AD1912" s="319"/>
      <c r="AE1912" s="319"/>
      <c r="AF1912" s="319"/>
      <c r="AG1912" s="319"/>
      <c r="AH1912" s="319"/>
      <c r="AI1912" s="319"/>
      <c r="AJ1912" s="319"/>
      <c r="AK1912" s="319" t="s">
        <v>1113</v>
      </c>
      <c r="AL1912" s="319"/>
      <c r="AM1912" s="319"/>
      <c r="AN1912" s="319"/>
      <c r="AO1912" s="44" t="s">
        <v>2334</v>
      </c>
      <c r="AP1912" s="44"/>
      <c r="AQ1912" s="236" t="str">
        <f>VLOOKUP(Table8[[#This Row],[Instrument]],Def_Targets!$D$73:$E$159,2,FALSE)</f>
        <v>I_Emobility</v>
      </c>
      <c r="AR1912" s="233" t="str">
        <f>VLOOKUP(Table8[[#This Row],[Country Code]],Table29[],3,FALSE)</f>
        <v>Annex I</v>
      </c>
      <c r="AS1912" s="233" t="str">
        <f>VLOOKUP(Table8[[#This Row],[Country Code]],Table29[],4,FALSE)</f>
        <v>Europe</v>
      </c>
      <c r="AT1912" s="233" t="str">
        <f>VLOOKUP(Table8[[#This Row],[Country Code]],Table29[],5,FALSE)</f>
        <v>High-income</v>
      </c>
      <c r="AU1912" s="233" t="str">
        <f>VLOOKUP(Table8[[#This Row],[Country Code]],Table29[],6,FALSE)</f>
        <v>no</v>
      </c>
      <c r="AV1912" s="233" t="str">
        <f>VLOOKUP(Table8[[#This Row],[Country Code]],Table29[],7,FALSE)</f>
        <v>no</v>
      </c>
      <c r="AW1912" s="233" t="str">
        <f>VLOOKUP(Table8[[#This Row],[Country Code]],Table29[],8,FALSE)</f>
        <v>OECD</v>
      </c>
      <c r="AX1912" s="233" t="str">
        <f>VLOOKUP(Table8[[#This Row],[Country Code]],Table29[],9,FALSE)</f>
        <v>EU27</v>
      </c>
      <c r="AY1912" s="233" t="str">
        <f>VLOOKUP(Table8[[#This Row],[Country Code]],Table29[],10,FALSE)</f>
        <v>no</v>
      </c>
      <c r="AZ1912" s="235">
        <f>VLOOKUP(Table8[[#This Row],[Country Code]],Table29[],23,FALSE)</f>
        <v>53.004607295263</v>
      </c>
      <c r="BA1912" s="235">
        <f>VLOOKUP(Table8[[#This Row],[Country Code]],Table29[],24,FALSE)</f>
        <v>15.947366338037449</v>
      </c>
      <c r="BB1912" s="320"/>
      <c r="BC1912" s="320"/>
    </row>
    <row r="1913" spans="1:55" hidden="1" x14ac:dyDescent="0.25">
      <c r="A1913" s="373">
        <v>17703</v>
      </c>
      <c r="B1913" s="233" t="str">
        <f>VLOOKUP(Table8[[#This Row],[Document ID]],Table1[],2,FALSE)</f>
        <v>PRT</v>
      </c>
      <c r="C1913" s="233" t="str">
        <f>VLOOKUP(Table8[[#This Row],[Document ID]],Table1[],3,FALSE)</f>
        <v>Portugal</v>
      </c>
      <c r="D1913" s="243" t="str">
        <f>VLOOKUP(Table8[[#This Row],[Document ID]],Table1[],5,FALSE)</f>
        <v>LTS</v>
      </c>
      <c r="E1913" s="233" t="str">
        <f>VLOOKUP(Table8[[#This Row],[Document ID]],Table1[],7,FALSE)</f>
        <v>LTS</v>
      </c>
      <c r="F1913" s="236" t="str">
        <f>VLOOKUP(Table8[[#This Row],[Document ID]],Table1[],8,FALSE)</f>
        <v>LTS 1.0</v>
      </c>
      <c r="G1913" s="236" t="str">
        <f>VLOOKUP(Table8[[#This Row],[Document ID]],Table1[],10,FALSE)</f>
        <v>Active</v>
      </c>
      <c r="H1913" s="44" t="s">
        <v>2329</v>
      </c>
      <c r="I1913" s="44" t="s">
        <v>2330</v>
      </c>
      <c r="J1913" s="44" t="s">
        <v>2357</v>
      </c>
      <c r="K1913" s="44" t="s">
        <v>4090</v>
      </c>
      <c r="L1913" s="44" t="s">
        <v>2333</v>
      </c>
      <c r="M1913" s="43">
        <v>38</v>
      </c>
      <c r="N1913" s="113" t="s">
        <v>1113</v>
      </c>
      <c r="O1913" s="113"/>
      <c r="P1913" s="113"/>
      <c r="Q1913" s="319"/>
      <c r="R1913" s="319"/>
      <c r="S1913" s="319"/>
      <c r="T1913" s="319"/>
      <c r="U1913" s="319"/>
      <c r="V1913" s="319"/>
      <c r="W1913" s="319"/>
      <c r="X1913" s="319"/>
      <c r="Y1913" s="319"/>
      <c r="Z1913" s="113"/>
      <c r="AA1913" s="319"/>
      <c r="AB1913" s="319"/>
      <c r="AC1913" s="319"/>
      <c r="AD1913" s="319"/>
      <c r="AE1913" s="319"/>
      <c r="AF1913" s="319"/>
      <c r="AG1913" s="319"/>
      <c r="AH1913" s="319"/>
      <c r="AI1913" s="319"/>
      <c r="AJ1913" s="319"/>
      <c r="AK1913" s="319" t="s">
        <v>1113</v>
      </c>
      <c r="AL1913" s="319"/>
      <c r="AM1913" s="319"/>
      <c r="AN1913" s="319"/>
      <c r="AO1913" s="44" t="s">
        <v>2334</v>
      </c>
      <c r="AP1913" s="44"/>
      <c r="AQ1913" s="236" t="str">
        <f>VLOOKUP(Table8[[#This Row],[Instrument]],Def_Targets!$D$73:$E$159,2,FALSE)</f>
        <v>I_Biofuel</v>
      </c>
      <c r="AR1913" s="233" t="str">
        <f>VLOOKUP(Table8[[#This Row],[Country Code]],Table29[],3,FALSE)</f>
        <v>Annex I</v>
      </c>
      <c r="AS1913" s="233" t="str">
        <f>VLOOKUP(Table8[[#This Row],[Country Code]],Table29[],4,FALSE)</f>
        <v>Europe</v>
      </c>
      <c r="AT1913" s="233" t="str">
        <f>VLOOKUP(Table8[[#This Row],[Country Code]],Table29[],5,FALSE)</f>
        <v>High-income</v>
      </c>
      <c r="AU1913" s="233" t="str">
        <f>VLOOKUP(Table8[[#This Row],[Country Code]],Table29[],6,FALSE)</f>
        <v>no</v>
      </c>
      <c r="AV1913" s="233" t="str">
        <f>VLOOKUP(Table8[[#This Row],[Country Code]],Table29[],7,FALSE)</f>
        <v>no</v>
      </c>
      <c r="AW1913" s="233" t="str">
        <f>VLOOKUP(Table8[[#This Row],[Country Code]],Table29[],8,FALSE)</f>
        <v>OECD</v>
      </c>
      <c r="AX1913" s="233" t="str">
        <f>VLOOKUP(Table8[[#This Row],[Country Code]],Table29[],9,FALSE)</f>
        <v>EU27</v>
      </c>
      <c r="AY1913" s="233" t="str">
        <f>VLOOKUP(Table8[[#This Row],[Country Code]],Table29[],10,FALSE)</f>
        <v>no</v>
      </c>
      <c r="AZ1913" s="235">
        <f>VLOOKUP(Table8[[#This Row],[Country Code]],Table29[],23,FALSE)</f>
        <v>53.004607295263</v>
      </c>
      <c r="BA1913" s="235">
        <f>VLOOKUP(Table8[[#This Row],[Country Code]],Table29[],24,FALSE)</f>
        <v>15.947366338037449</v>
      </c>
      <c r="BB1913" s="320"/>
      <c r="BC1913" s="320"/>
    </row>
    <row r="1914" spans="1:55" hidden="1" x14ac:dyDescent="0.25">
      <c r="A1914" s="373">
        <v>17703</v>
      </c>
      <c r="B1914" s="233" t="str">
        <f>VLOOKUP(Table8[[#This Row],[Document ID]],Table1[],2,FALSE)</f>
        <v>PRT</v>
      </c>
      <c r="C1914" s="233" t="str">
        <f>VLOOKUP(Table8[[#This Row],[Document ID]],Table1[],3,FALSE)</f>
        <v>Portugal</v>
      </c>
      <c r="D1914" s="243" t="str">
        <f>VLOOKUP(Table8[[#This Row],[Document ID]],Table1[],5,FALSE)</f>
        <v>LTS</v>
      </c>
      <c r="E1914" s="233" t="str">
        <f>VLOOKUP(Table8[[#This Row],[Document ID]],Table1[],7,FALSE)</f>
        <v>LTS</v>
      </c>
      <c r="F1914" s="233" t="str">
        <f>VLOOKUP(Table8[[#This Row],[Document ID]],Table1[],8,FALSE)</f>
        <v>LTS 1.0</v>
      </c>
      <c r="G1914" s="233" t="str">
        <f>VLOOKUP(Table8[[#This Row],[Document ID]],Table1[],10,FALSE)</f>
        <v>Active</v>
      </c>
      <c r="H1914" s="44" t="s">
        <v>2329</v>
      </c>
      <c r="I1914" s="44" t="s">
        <v>2330</v>
      </c>
      <c r="J1914" s="44" t="s">
        <v>2391</v>
      </c>
      <c r="K1914" s="44" t="s">
        <v>4091</v>
      </c>
      <c r="L1914" s="44" t="s">
        <v>2333</v>
      </c>
      <c r="M1914" s="43">
        <v>38</v>
      </c>
      <c r="N1914" s="113" t="s">
        <v>1113</v>
      </c>
      <c r="O1914" s="113"/>
      <c r="P1914" s="113"/>
      <c r="Q1914" s="113"/>
      <c r="R1914" s="113"/>
      <c r="S1914" s="113"/>
      <c r="T1914" s="113"/>
      <c r="U1914" s="113"/>
      <c r="V1914" s="113"/>
      <c r="W1914" s="113"/>
      <c r="X1914" s="113"/>
      <c r="Y1914" s="113"/>
      <c r="Z1914" s="113"/>
      <c r="AA1914" s="113"/>
      <c r="AB1914" s="113"/>
      <c r="AC1914" s="113"/>
      <c r="AD1914" s="113"/>
      <c r="AE1914" s="113"/>
      <c r="AF1914" s="113"/>
      <c r="AG1914" s="113"/>
      <c r="AH1914" s="113"/>
      <c r="AI1914" s="113"/>
      <c r="AJ1914" s="113"/>
      <c r="AK1914" s="319" t="s">
        <v>1113</v>
      </c>
      <c r="AL1914" s="113"/>
      <c r="AM1914" s="113"/>
      <c r="AN1914" s="113"/>
      <c r="AO1914" s="44" t="s">
        <v>2334</v>
      </c>
      <c r="AP1914" s="44"/>
      <c r="AQ1914" s="236" t="str">
        <f>VLOOKUP(Table8[[#This Row],[Instrument]],Def_Targets!$D$73:$E$159,2,FALSE)</f>
        <v>I_Hydrogen</v>
      </c>
      <c r="AR1914" s="233" t="str">
        <f>VLOOKUP(Table8[[#This Row],[Country Code]],Table29[],3,FALSE)</f>
        <v>Annex I</v>
      </c>
      <c r="AS1914" s="233" t="str">
        <f>VLOOKUP(Table8[[#This Row],[Country Code]],Table29[],4,FALSE)</f>
        <v>Europe</v>
      </c>
      <c r="AT1914" s="233" t="str">
        <f>VLOOKUP(Table8[[#This Row],[Country Code]],Table29[],5,FALSE)</f>
        <v>High-income</v>
      </c>
      <c r="AU1914" s="233" t="str">
        <f>VLOOKUP(Table8[[#This Row],[Country Code]],Table29[],6,FALSE)</f>
        <v>no</v>
      </c>
      <c r="AV1914" s="233" t="str">
        <f>VLOOKUP(Table8[[#This Row],[Country Code]],Table29[],7,FALSE)</f>
        <v>no</v>
      </c>
      <c r="AW1914" s="233" t="str">
        <f>VLOOKUP(Table8[[#This Row],[Country Code]],Table29[],8,FALSE)</f>
        <v>OECD</v>
      </c>
      <c r="AX1914" s="233" t="str">
        <f>VLOOKUP(Table8[[#This Row],[Country Code]],Table29[],9,FALSE)</f>
        <v>EU27</v>
      </c>
      <c r="AY1914" s="233" t="str">
        <f>VLOOKUP(Table8[[#This Row],[Country Code]],Table29[],10,FALSE)</f>
        <v>no</v>
      </c>
      <c r="AZ1914" s="235">
        <f>VLOOKUP(Table8[[#This Row],[Country Code]],Table29[],23,FALSE)</f>
        <v>53.004607295263</v>
      </c>
      <c r="BA1914" s="235">
        <f>VLOOKUP(Table8[[#This Row],[Country Code]],Table29[],24,FALSE)</f>
        <v>15.947366338037449</v>
      </c>
      <c r="BB1914" s="320"/>
      <c r="BC1914" s="320"/>
    </row>
    <row r="1915" spans="1:55" ht="75" hidden="1" x14ac:dyDescent="0.25">
      <c r="A1915" s="373">
        <v>17707</v>
      </c>
      <c r="B1915" s="233" t="str">
        <f>VLOOKUP(Table8[[#This Row],[Document ID]],Table1[],2,FALSE)</f>
        <v>KOR</v>
      </c>
      <c r="C1915" s="233" t="str">
        <f>VLOOKUP(Table8[[#This Row],[Document ID]],Table1[],3,FALSE)</f>
        <v>Republic of Korea</v>
      </c>
      <c r="D1915" s="243" t="str">
        <f>VLOOKUP(Table8[[#This Row],[Document ID]],Table1[],5,FALSE)</f>
        <v>LTS</v>
      </c>
      <c r="E1915" s="233" t="str">
        <f>VLOOKUP(Table8[[#This Row],[Document ID]],Table1[],7,FALSE)</f>
        <v>LTS</v>
      </c>
      <c r="F1915" s="233" t="str">
        <f>VLOOKUP(Table8[[#This Row],[Document ID]],Table1[],8,FALSE)</f>
        <v>LTS 1.0</v>
      </c>
      <c r="G1915" s="233" t="str">
        <f>VLOOKUP(Table8[[#This Row],[Document ID]],Table1[],10,FALSE)</f>
        <v>Active</v>
      </c>
      <c r="H1915" s="44" t="s">
        <v>2338</v>
      </c>
      <c r="I1915" s="44" t="s">
        <v>2339</v>
      </c>
      <c r="J1915" s="44" t="s">
        <v>2413</v>
      </c>
      <c r="K1915" s="44" t="s">
        <v>4092</v>
      </c>
      <c r="L1915" s="44" t="s">
        <v>2333</v>
      </c>
      <c r="M1915" s="43">
        <v>41</v>
      </c>
      <c r="N1915" s="113" t="s">
        <v>1113</v>
      </c>
      <c r="O1915" s="113"/>
      <c r="P1915" s="113"/>
      <c r="Q1915" s="113"/>
      <c r="R1915" s="113"/>
      <c r="S1915" s="113"/>
      <c r="T1915" s="113"/>
      <c r="U1915" s="113"/>
      <c r="V1915" s="113"/>
      <c r="W1915" s="113"/>
      <c r="X1915" s="113"/>
      <c r="Y1915" s="113"/>
      <c r="Z1915" s="113"/>
      <c r="AA1915" s="113"/>
      <c r="AB1915" s="113"/>
      <c r="AC1915" s="113"/>
      <c r="AD1915" s="113"/>
      <c r="AE1915" s="113"/>
      <c r="AF1915" s="113"/>
      <c r="AG1915" s="113"/>
      <c r="AH1915" s="113"/>
      <c r="AI1915" s="113"/>
      <c r="AJ1915" s="113"/>
      <c r="AK1915" s="319" t="s">
        <v>1113</v>
      </c>
      <c r="AL1915" s="113"/>
      <c r="AM1915" s="113"/>
      <c r="AN1915" s="113"/>
      <c r="AO1915" s="44" t="s">
        <v>2334</v>
      </c>
      <c r="AP1915" s="43"/>
      <c r="AQ1915" s="236" t="str">
        <f>VLOOKUP(Table8[[#This Row],[Instrument]],Def_Targets!$D$73:$E$159,2,FALSE)</f>
        <v>I_Vehicleeff</v>
      </c>
      <c r="AR1915" s="233" t="str">
        <f>VLOOKUP(Table8[[#This Row],[Country Code]],Table29[],3,FALSE)</f>
        <v>Non-Annex I</v>
      </c>
      <c r="AS1915" s="233" t="str">
        <f>VLOOKUP(Table8[[#This Row],[Country Code]],Table29[],4,FALSE)</f>
        <v>Asia</v>
      </c>
      <c r="AT1915" s="233" t="str">
        <f>VLOOKUP(Table8[[#This Row],[Country Code]],Table29[],5,FALSE)</f>
        <v>High-income</v>
      </c>
      <c r="AU1915" s="233" t="str">
        <f>VLOOKUP(Table8[[#This Row],[Country Code]],Table29[],6,FALSE)</f>
        <v>G20</v>
      </c>
      <c r="AV1915" s="233" t="str">
        <f>VLOOKUP(Table8[[#This Row],[Country Code]],Table29[],7,FALSE)</f>
        <v>no</v>
      </c>
      <c r="AW1915" s="233" t="str">
        <f>VLOOKUP(Table8[[#This Row],[Country Code]],Table29[],8,FALSE)</f>
        <v>OECD</v>
      </c>
      <c r="AX1915" s="233" t="str">
        <f>VLOOKUP(Table8[[#This Row],[Country Code]],Table29[],9,FALSE)</f>
        <v>no</v>
      </c>
      <c r="AY1915" s="233" t="str">
        <f>VLOOKUP(Table8[[#This Row],[Country Code]],Table29[],10,FALSE)</f>
        <v>no</v>
      </c>
      <c r="AZ1915" s="235">
        <f>VLOOKUP(Table8[[#This Row],[Country Code]],Table29[],23,FALSE)</f>
        <v>653.84613998739997</v>
      </c>
      <c r="BA1915" s="235">
        <f>VLOOKUP(Table8[[#This Row],[Country Code]],Table29[],24,FALSE)</f>
        <v>107.9154569951917</v>
      </c>
      <c r="BB1915" s="320"/>
      <c r="BC1915" s="320"/>
    </row>
    <row r="1916" spans="1:55" hidden="1" x14ac:dyDescent="0.25">
      <c r="A1916" s="373">
        <v>17707</v>
      </c>
      <c r="B1916" s="233" t="str">
        <f>VLOOKUP(Table8[[#This Row],[Document ID]],Table1[],2,FALSE)</f>
        <v>KOR</v>
      </c>
      <c r="C1916" s="233" t="str">
        <f>VLOOKUP(Table8[[#This Row],[Document ID]],Table1[],3,FALSE)</f>
        <v>Republic of Korea</v>
      </c>
      <c r="D1916" s="243" t="str">
        <f>VLOOKUP(Table8[[#This Row],[Document ID]],Table1[],5,FALSE)</f>
        <v>LTS</v>
      </c>
      <c r="E1916" s="233" t="str">
        <f>VLOOKUP(Table8[[#This Row],[Document ID]],Table1[],7,FALSE)</f>
        <v>LTS</v>
      </c>
      <c r="F1916" s="233" t="str">
        <f>VLOOKUP(Table8[[#This Row],[Document ID]],Table1[],8,FALSE)</f>
        <v>LTS 1.0</v>
      </c>
      <c r="G1916" s="233" t="str">
        <f>VLOOKUP(Table8[[#This Row],[Document ID]],Table1[],10,FALSE)</f>
        <v>Active</v>
      </c>
      <c r="H1916" s="44" t="s">
        <v>2338</v>
      </c>
      <c r="I1916" s="44" t="s">
        <v>2339</v>
      </c>
      <c r="J1916" s="44" t="s">
        <v>2340</v>
      </c>
      <c r="K1916" s="44" t="s">
        <v>4093</v>
      </c>
      <c r="L1916" s="44" t="s">
        <v>2333</v>
      </c>
      <c r="M1916" s="43">
        <v>51</v>
      </c>
      <c r="N1916" s="113" t="s">
        <v>1113</v>
      </c>
      <c r="O1916" s="113"/>
      <c r="P1916" s="113"/>
      <c r="Q1916" s="113"/>
      <c r="R1916" s="113"/>
      <c r="S1916" s="113"/>
      <c r="T1916" s="113"/>
      <c r="U1916" s="113"/>
      <c r="V1916" s="113"/>
      <c r="W1916" s="113"/>
      <c r="X1916" s="113"/>
      <c r="Y1916" s="113"/>
      <c r="Z1916" s="113"/>
      <c r="AA1916" s="113"/>
      <c r="AB1916" s="113"/>
      <c r="AC1916" s="113"/>
      <c r="AD1916" s="113"/>
      <c r="AE1916" s="113"/>
      <c r="AF1916" s="113"/>
      <c r="AG1916" s="113"/>
      <c r="AH1916" s="113"/>
      <c r="AI1916" s="113"/>
      <c r="AJ1916" s="113"/>
      <c r="AK1916" s="319" t="s">
        <v>1113</v>
      </c>
      <c r="AL1916" s="113"/>
      <c r="AM1916" s="113"/>
      <c r="AN1916" s="113"/>
      <c r="AO1916" s="44" t="s">
        <v>2334</v>
      </c>
      <c r="AP1916" s="43"/>
      <c r="AQ1916" s="236" t="str">
        <f>VLOOKUP(Table8[[#This Row],[Instrument]],Def_Targets!$D$73:$E$159,2,FALSE)</f>
        <v>I_Vehicleimprove</v>
      </c>
      <c r="AR1916" s="233" t="str">
        <f>VLOOKUP(Table8[[#This Row],[Country Code]],Table29[],3,FALSE)</f>
        <v>Non-Annex I</v>
      </c>
      <c r="AS1916" s="233" t="str">
        <f>VLOOKUP(Table8[[#This Row],[Country Code]],Table29[],4,FALSE)</f>
        <v>Asia</v>
      </c>
      <c r="AT1916" s="233" t="str">
        <f>VLOOKUP(Table8[[#This Row],[Country Code]],Table29[],5,FALSE)</f>
        <v>High-income</v>
      </c>
      <c r="AU1916" s="233" t="str">
        <f>VLOOKUP(Table8[[#This Row],[Country Code]],Table29[],6,FALSE)</f>
        <v>G20</v>
      </c>
      <c r="AV1916" s="233" t="str">
        <f>VLOOKUP(Table8[[#This Row],[Country Code]],Table29[],7,FALSE)</f>
        <v>no</v>
      </c>
      <c r="AW1916" s="233" t="str">
        <f>VLOOKUP(Table8[[#This Row],[Country Code]],Table29[],8,FALSE)</f>
        <v>OECD</v>
      </c>
      <c r="AX1916" s="233" t="str">
        <f>VLOOKUP(Table8[[#This Row],[Country Code]],Table29[],9,FALSE)</f>
        <v>no</v>
      </c>
      <c r="AY1916" s="233" t="str">
        <f>VLOOKUP(Table8[[#This Row],[Country Code]],Table29[],10,FALSE)</f>
        <v>no</v>
      </c>
      <c r="AZ1916" s="235">
        <f>VLOOKUP(Table8[[#This Row],[Country Code]],Table29[],23,FALSE)</f>
        <v>653.84613998739997</v>
      </c>
      <c r="BA1916" s="235">
        <f>VLOOKUP(Table8[[#This Row],[Country Code]],Table29[],24,FALSE)</f>
        <v>107.9154569951917</v>
      </c>
      <c r="BB1916" s="320"/>
      <c r="BC1916" s="320"/>
    </row>
    <row r="1917" spans="1:55" ht="60" hidden="1" x14ac:dyDescent="0.25">
      <c r="A1917" s="373">
        <v>17707</v>
      </c>
      <c r="B1917" s="233" t="str">
        <f>VLOOKUP(Table8[[#This Row],[Document ID]],Table1[],2,FALSE)</f>
        <v>KOR</v>
      </c>
      <c r="C1917" s="233" t="str">
        <f>VLOOKUP(Table8[[#This Row],[Document ID]],Table1[],3,FALSE)</f>
        <v>Republic of Korea</v>
      </c>
      <c r="D1917" s="243" t="str">
        <f>VLOOKUP(Table8[[#This Row],[Document ID]],Table1[],5,FALSE)</f>
        <v>LTS</v>
      </c>
      <c r="E1917" s="233" t="str">
        <f>VLOOKUP(Table8[[#This Row],[Document ID]],Table1[],7,FALSE)</f>
        <v>LTS</v>
      </c>
      <c r="F1917" s="233" t="str">
        <f>VLOOKUP(Table8[[#This Row],[Document ID]],Table1[],8,FALSE)</f>
        <v>LTS 1.0</v>
      </c>
      <c r="G1917" s="233" t="str">
        <f>VLOOKUP(Table8[[#This Row],[Document ID]],Table1[],10,FALSE)</f>
        <v>Active</v>
      </c>
      <c r="H1917" s="44" t="s">
        <v>2338</v>
      </c>
      <c r="I1917" s="44" t="s">
        <v>2339</v>
      </c>
      <c r="J1917" s="44" t="s">
        <v>2413</v>
      </c>
      <c r="K1917" s="44" t="s">
        <v>4094</v>
      </c>
      <c r="L1917" s="44" t="s">
        <v>2333</v>
      </c>
      <c r="M1917" s="43">
        <v>77</v>
      </c>
      <c r="N1917" s="113"/>
      <c r="O1917" s="113"/>
      <c r="P1917" s="113"/>
      <c r="Q1917" s="113"/>
      <c r="R1917" s="113"/>
      <c r="S1917" s="113"/>
      <c r="T1917" s="113"/>
      <c r="U1917" s="113" t="s">
        <v>1113</v>
      </c>
      <c r="V1917" s="113"/>
      <c r="W1917" s="113"/>
      <c r="X1917" s="113" t="s">
        <v>1113</v>
      </c>
      <c r="Y1917" s="113"/>
      <c r="Z1917" s="113"/>
      <c r="AA1917" s="113"/>
      <c r="AB1917" s="113"/>
      <c r="AC1917" s="113"/>
      <c r="AD1917" s="113"/>
      <c r="AE1917" s="113"/>
      <c r="AF1917" s="113"/>
      <c r="AG1917" s="113"/>
      <c r="AH1917" s="113"/>
      <c r="AI1917" s="113"/>
      <c r="AJ1917" s="113"/>
      <c r="AK1917" s="319" t="s">
        <v>1113</v>
      </c>
      <c r="AL1917" s="113"/>
      <c r="AM1917" s="113"/>
      <c r="AN1917" s="113"/>
      <c r="AO1917" s="44" t="s">
        <v>2334</v>
      </c>
      <c r="AP1917" s="43"/>
      <c r="AQ1917" s="236" t="str">
        <f>VLOOKUP(Table8[[#This Row],[Instrument]],Def_Targets!$D$73:$E$159,2,FALSE)</f>
        <v>I_Vehicleeff</v>
      </c>
      <c r="AR1917" s="233" t="str">
        <f>VLOOKUP(Table8[[#This Row],[Country Code]],Table29[],3,FALSE)</f>
        <v>Non-Annex I</v>
      </c>
      <c r="AS1917" s="233" t="str">
        <f>VLOOKUP(Table8[[#This Row],[Country Code]],Table29[],4,FALSE)</f>
        <v>Asia</v>
      </c>
      <c r="AT1917" s="233" t="str">
        <f>VLOOKUP(Table8[[#This Row],[Country Code]],Table29[],5,FALSE)</f>
        <v>High-income</v>
      </c>
      <c r="AU1917" s="233" t="str">
        <f>VLOOKUP(Table8[[#This Row],[Country Code]],Table29[],6,FALSE)</f>
        <v>G20</v>
      </c>
      <c r="AV1917" s="233" t="str">
        <f>VLOOKUP(Table8[[#This Row],[Country Code]],Table29[],7,FALSE)</f>
        <v>no</v>
      </c>
      <c r="AW1917" s="233" t="str">
        <f>VLOOKUP(Table8[[#This Row],[Country Code]],Table29[],8,FALSE)</f>
        <v>OECD</v>
      </c>
      <c r="AX1917" s="233" t="str">
        <f>VLOOKUP(Table8[[#This Row],[Country Code]],Table29[],9,FALSE)</f>
        <v>no</v>
      </c>
      <c r="AY1917" s="233" t="str">
        <f>VLOOKUP(Table8[[#This Row],[Country Code]],Table29[],10,FALSE)</f>
        <v>no</v>
      </c>
      <c r="AZ1917" s="235">
        <f>VLOOKUP(Table8[[#This Row],[Country Code]],Table29[],23,FALSE)</f>
        <v>653.84613998739997</v>
      </c>
      <c r="BA1917" s="235">
        <f>VLOOKUP(Table8[[#This Row],[Country Code]],Table29[],24,FALSE)</f>
        <v>107.9154569951917</v>
      </c>
      <c r="BB1917" s="320"/>
      <c r="BC1917" s="320"/>
    </row>
    <row r="1918" spans="1:55" ht="30" hidden="1" x14ac:dyDescent="0.25">
      <c r="A1918" s="373">
        <v>17707</v>
      </c>
      <c r="B1918" s="233" t="str">
        <f>VLOOKUP(Table8[[#This Row],[Document ID]],Table1[],2,FALSE)</f>
        <v>KOR</v>
      </c>
      <c r="C1918" s="233" t="str">
        <f>VLOOKUP(Table8[[#This Row],[Document ID]],Table1[],3,FALSE)</f>
        <v>Republic of Korea</v>
      </c>
      <c r="D1918" s="243" t="str">
        <f>VLOOKUP(Table8[[#This Row],[Document ID]],Table1[],5,FALSE)</f>
        <v>LTS</v>
      </c>
      <c r="E1918" s="233" t="str">
        <f>VLOOKUP(Table8[[#This Row],[Document ID]],Table1[],7,FALSE)</f>
        <v>LTS</v>
      </c>
      <c r="F1918" s="233" t="str">
        <f>VLOOKUP(Table8[[#This Row],[Document ID]],Table1[],8,FALSE)</f>
        <v>LTS 1.0</v>
      </c>
      <c r="G1918" s="233" t="str">
        <f>VLOOKUP(Table8[[#This Row],[Document ID]],Table1[],10,FALSE)</f>
        <v>Active</v>
      </c>
      <c r="H1918" s="44" t="s">
        <v>2338</v>
      </c>
      <c r="I1918" s="44" t="s">
        <v>2339</v>
      </c>
      <c r="J1918" s="44" t="s">
        <v>2340</v>
      </c>
      <c r="K1918" s="44" t="s">
        <v>4095</v>
      </c>
      <c r="L1918" s="44" t="s">
        <v>2333</v>
      </c>
      <c r="M1918" s="43">
        <v>42</v>
      </c>
      <c r="N1918" s="113" t="s">
        <v>1113</v>
      </c>
      <c r="O1918" s="113"/>
      <c r="P1918" s="113"/>
      <c r="Q1918" s="113"/>
      <c r="R1918" s="113"/>
      <c r="S1918" s="113"/>
      <c r="T1918" s="113"/>
      <c r="U1918" s="113"/>
      <c r="V1918" s="113"/>
      <c r="W1918" s="113"/>
      <c r="X1918" s="113"/>
      <c r="Y1918" s="113"/>
      <c r="Z1918" s="113"/>
      <c r="AA1918" s="113"/>
      <c r="AB1918" s="113"/>
      <c r="AC1918" s="113"/>
      <c r="AD1918" s="113"/>
      <c r="AE1918" s="113"/>
      <c r="AF1918" s="113"/>
      <c r="AG1918" s="113"/>
      <c r="AH1918" s="113"/>
      <c r="AI1918" s="113"/>
      <c r="AJ1918" s="113"/>
      <c r="AK1918" s="319" t="s">
        <v>1113</v>
      </c>
      <c r="AL1918" s="113"/>
      <c r="AM1918" s="113"/>
      <c r="AN1918" s="113"/>
      <c r="AO1918" s="44" t="s">
        <v>2334</v>
      </c>
      <c r="AP1918" s="43"/>
      <c r="AQ1918" s="236" t="str">
        <f>VLOOKUP(Table8[[#This Row],[Instrument]],Def_Targets!$D$73:$E$159,2,FALSE)</f>
        <v>I_Vehicleimprove</v>
      </c>
      <c r="AR1918" s="233" t="str">
        <f>VLOOKUP(Table8[[#This Row],[Country Code]],Table29[],3,FALSE)</f>
        <v>Non-Annex I</v>
      </c>
      <c r="AS1918" s="233" t="str">
        <f>VLOOKUP(Table8[[#This Row],[Country Code]],Table29[],4,FALSE)</f>
        <v>Asia</v>
      </c>
      <c r="AT1918" s="233" t="str">
        <f>VLOOKUP(Table8[[#This Row],[Country Code]],Table29[],5,FALSE)</f>
        <v>High-income</v>
      </c>
      <c r="AU1918" s="233" t="str">
        <f>VLOOKUP(Table8[[#This Row],[Country Code]],Table29[],6,FALSE)</f>
        <v>G20</v>
      </c>
      <c r="AV1918" s="233" t="str">
        <f>VLOOKUP(Table8[[#This Row],[Country Code]],Table29[],7,FALSE)</f>
        <v>no</v>
      </c>
      <c r="AW1918" s="233" t="str">
        <f>VLOOKUP(Table8[[#This Row],[Country Code]],Table29[],8,FALSE)</f>
        <v>OECD</v>
      </c>
      <c r="AX1918" s="233" t="str">
        <f>VLOOKUP(Table8[[#This Row],[Country Code]],Table29[],9,FALSE)</f>
        <v>no</v>
      </c>
      <c r="AY1918" s="233" t="str">
        <f>VLOOKUP(Table8[[#This Row],[Country Code]],Table29[],10,FALSE)</f>
        <v>no</v>
      </c>
      <c r="AZ1918" s="235">
        <f>VLOOKUP(Table8[[#This Row],[Country Code]],Table29[],23,FALSE)</f>
        <v>653.84613998739997</v>
      </c>
      <c r="BA1918" s="235">
        <f>VLOOKUP(Table8[[#This Row],[Country Code]],Table29[],24,FALSE)</f>
        <v>107.9154569951917</v>
      </c>
      <c r="BB1918" s="320"/>
      <c r="BC1918" s="320"/>
    </row>
    <row r="1919" spans="1:55" ht="30" hidden="1" x14ac:dyDescent="0.25">
      <c r="A1919" s="373">
        <v>17707</v>
      </c>
      <c r="B1919" s="233" t="str">
        <f>VLOOKUP(Table8[[#This Row],[Document ID]],Table1[],2,FALSE)</f>
        <v>KOR</v>
      </c>
      <c r="C1919" s="233" t="str">
        <f>VLOOKUP(Table8[[#This Row],[Document ID]],Table1[],3,FALSE)</f>
        <v>Republic of Korea</v>
      </c>
      <c r="D1919" s="243" t="str">
        <f>VLOOKUP(Table8[[#This Row],[Document ID]],Table1[],5,FALSE)</f>
        <v>LTS</v>
      </c>
      <c r="E1919" s="233" t="str">
        <f>VLOOKUP(Table8[[#This Row],[Document ID]],Table1[],7,FALSE)</f>
        <v>LTS</v>
      </c>
      <c r="F1919" s="233" t="str">
        <f>VLOOKUP(Table8[[#This Row],[Document ID]],Table1[],8,FALSE)</f>
        <v>LTS 1.0</v>
      </c>
      <c r="G1919" s="233" t="str">
        <f>VLOOKUP(Table8[[#This Row],[Document ID]],Table1[],10,FALSE)</f>
        <v>Active</v>
      </c>
      <c r="H1919" s="44" t="s">
        <v>2338</v>
      </c>
      <c r="I1919" s="44" t="s">
        <v>2339</v>
      </c>
      <c r="J1919" s="44" t="s">
        <v>2340</v>
      </c>
      <c r="K1919" s="44" t="s">
        <v>4096</v>
      </c>
      <c r="L1919" s="44" t="s">
        <v>2333</v>
      </c>
      <c r="M1919" s="43">
        <v>42</v>
      </c>
      <c r="N1919" s="113"/>
      <c r="O1919" s="113"/>
      <c r="P1919" s="113"/>
      <c r="Q1919" s="113"/>
      <c r="R1919" s="113"/>
      <c r="S1919" s="113"/>
      <c r="T1919" s="113"/>
      <c r="U1919" s="113" t="s">
        <v>1113</v>
      </c>
      <c r="V1919" s="113"/>
      <c r="W1919" s="113"/>
      <c r="X1919" s="113"/>
      <c r="Y1919" s="113"/>
      <c r="Z1919" s="113"/>
      <c r="AA1919" s="113"/>
      <c r="AB1919" s="113"/>
      <c r="AC1919" s="113"/>
      <c r="AD1919" s="113"/>
      <c r="AE1919" s="113"/>
      <c r="AF1919" s="113"/>
      <c r="AG1919" s="113"/>
      <c r="AH1919" s="113"/>
      <c r="AI1919" s="113"/>
      <c r="AJ1919" s="113"/>
      <c r="AK1919" s="319" t="s">
        <v>1113</v>
      </c>
      <c r="AL1919" s="113"/>
      <c r="AM1919" s="113"/>
      <c r="AN1919" s="113"/>
      <c r="AO1919" s="44" t="s">
        <v>2334</v>
      </c>
      <c r="AP1919" s="43"/>
      <c r="AQ1919" s="236" t="str">
        <f>VLOOKUP(Table8[[#This Row],[Instrument]],Def_Targets!$D$73:$E$159,2,FALSE)</f>
        <v>I_Vehicleimprove</v>
      </c>
      <c r="AR1919" s="233" t="str">
        <f>VLOOKUP(Table8[[#This Row],[Country Code]],Table29[],3,FALSE)</f>
        <v>Non-Annex I</v>
      </c>
      <c r="AS1919" s="233" t="str">
        <f>VLOOKUP(Table8[[#This Row],[Country Code]],Table29[],4,FALSE)</f>
        <v>Asia</v>
      </c>
      <c r="AT1919" s="233" t="str">
        <f>VLOOKUP(Table8[[#This Row],[Country Code]],Table29[],5,FALSE)</f>
        <v>High-income</v>
      </c>
      <c r="AU1919" s="233" t="str">
        <f>VLOOKUP(Table8[[#This Row],[Country Code]],Table29[],6,FALSE)</f>
        <v>G20</v>
      </c>
      <c r="AV1919" s="233" t="str">
        <f>VLOOKUP(Table8[[#This Row],[Country Code]],Table29[],7,FALSE)</f>
        <v>no</v>
      </c>
      <c r="AW1919" s="233" t="str">
        <f>VLOOKUP(Table8[[#This Row],[Country Code]],Table29[],8,FALSE)</f>
        <v>OECD</v>
      </c>
      <c r="AX1919" s="233" t="str">
        <f>VLOOKUP(Table8[[#This Row],[Country Code]],Table29[],9,FALSE)</f>
        <v>no</v>
      </c>
      <c r="AY1919" s="233" t="str">
        <f>VLOOKUP(Table8[[#This Row],[Country Code]],Table29[],10,FALSE)</f>
        <v>no</v>
      </c>
      <c r="AZ1919" s="235">
        <f>VLOOKUP(Table8[[#This Row],[Country Code]],Table29[],23,FALSE)</f>
        <v>653.84613998739997</v>
      </c>
      <c r="BA1919" s="235">
        <f>VLOOKUP(Table8[[#This Row],[Country Code]],Table29[],24,FALSE)</f>
        <v>107.9154569951917</v>
      </c>
      <c r="BB1919" s="320"/>
      <c r="BC1919" s="320"/>
    </row>
    <row r="1920" spans="1:55" hidden="1" x14ac:dyDescent="0.25">
      <c r="A1920" s="373">
        <v>17707</v>
      </c>
      <c r="B1920" s="233" t="str">
        <f>VLOOKUP(Table8[[#This Row],[Document ID]],Table1[],2,FALSE)</f>
        <v>KOR</v>
      </c>
      <c r="C1920" s="233" t="str">
        <f>VLOOKUP(Table8[[#This Row],[Document ID]],Table1[],3,FALSE)</f>
        <v>Republic of Korea</v>
      </c>
      <c r="D1920" s="243" t="str">
        <f>VLOOKUP(Table8[[#This Row],[Document ID]],Table1[],5,FALSE)</f>
        <v>LTS</v>
      </c>
      <c r="E1920" s="233" t="str">
        <f>VLOOKUP(Table8[[#This Row],[Document ID]],Table1[],7,FALSE)</f>
        <v>LTS</v>
      </c>
      <c r="F1920" s="233" t="str">
        <f>VLOOKUP(Table8[[#This Row],[Document ID]],Table1[],8,FALSE)</f>
        <v>LTS 1.0</v>
      </c>
      <c r="G1920" s="233" t="str">
        <f>VLOOKUP(Table8[[#This Row],[Document ID]],Table1[],10,FALSE)</f>
        <v>Active</v>
      </c>
      <c r="H1920" s="43" t="s">
        <v>2343</v>
      </c>
      <c r="I1920" s="43" t="s">
        <v>2344</v>
      </c>
      <c r="J1920" s="44" t="s">
        <v>2345</v>
      </c>
      <c r="K1920" s="44" t="s">
        <v>4097</v>
      </c>
      <c r="L1920" s="44" t="s">
        <v>2347</v>
      </c>
      <c r="M1920" s="43">
        <v>9</v>
      </c>
      <c r="N1920" s="113" t="s">
        <v>1113</v>
      </c>
      <c r="O1920" s="113"/>
      <c r="P1920" s="113"/>
      <c r="Q1920" s="113"/>
      <c r="R1920" s="113"/>
      <c r="S1920" s="113"/>
      <c r="T1920" s="113"/>
      <c r="U1920" s="113"/>
      <c r="V1920" s="113"/>
      <c r="W1920" s="113"/>
      <c r="X1920" s="113"/>
      <c r="Y1920" s="113"/>
      <c r="Z1920" s="113"/>
      <c r="AA1920" s="113"/>
      <c r="AB1920" s="113"/>
      <c r="AC1920" s="113"/>
      <c r="AD1920" s="113"/>
      <c r="AE1920" s="113"/>
      <c r="AF1920" s="113"/>
      <c r="AG1920" s="113"/>
      <c r="AH1920" s="113"/>
      <c r="AI1920" s="113"/>
      <c r="AJ1920" s="113"/>
      <c r="AK1920" s="319" t="s">
        <v>1113</v>
      </c>
      <c r="AL1920" s="113"/>
      <c r="AM1920" s="113"/>
      <c r="AN1920" s="113"/>
      <c r="AO1920" s="43" t="s">
        <v>2348</v>
      </c>
      <c r="AP1920" s="43"/>
      <c r="AQ1920" s="236" t="str">
        <f>VLOOKUP(Table8[[#This Row],[Instrument]],Def_Targets!$D$73:$E$159,2,FALSE)</f>
        <v>S_PublicTransport</v>
      </c>
      <c r="AR1920" s="233" t="str">
        <f>VLOOKUP(Table8[[#This Row],[Country Code]],Table29[],3,FALSE)</f>
        <v>Non-Annex I</v>
      </c>
      <c r="AS1920" s="233" t="str">
        <f>VLOOKUP(Table8[[#This Row],[Country Code]],Table29[],4,FALSE)</f>
        <v>Asia</v>
      </c>
      <c r="AT1920" s="233" t="str">
        <f>VLOOKUP(Table8[[#This Row],[Country Code]],Table29[],5,FALSE)</f>
        <v>High-income</v>
      </c>
      <c r="AU1920" s="233" t="str">
        <f>VLOOKUP(Table8[[#This Row],[Country Code]],Table29[],6,FALSE)</f>
        <v>G20</v>
      </c>
      <c r="AV1920" s="233" t="str">
        <f>VLOOKUP(Table8[[#This Row],[Country Code]],Table29[],7,FALSE)</f>
        <v>no</v>
      </c>
      <c r="AW1920" s="233" t="str">
        <f>VLOOKUP(Table8[[#This Row],[Country Code]],Table29[],8,FALSE)</f>
        <v>OECD</v>
      </c>
      <c r="AX1920" s="233" t="str">
        <f>VLOOKUP(Table8[[#This Row],[Country Code]],Table29[],9,FALSE)</f>
        <v>no</v>
      </c>
      <c r="AY1920" s="233" t="str">
        <f>VLOOKUP(Table8[[#This Row],[Country Code]],Table29[],10,FALSE)</f>
        <v>no</v>
      </c>
      <c r="AZ1920" s="235">
        <f>VLOOKUP(Table8[[#This Row],[Country Code]],Table29[],23,FALSE)</f>
        <v>653.84613998739997</v>
      </c>
      <c r="BA1920" s="235">
        <f>VLOOKUP(Table8[[#This Row],[Country Code]],Table29[],24,FALSE)</f>
        <v>107.9154569951917</v>
      </c>
      <c r="BB1920" s="320"/>
      <c r="BC1920" s="320"/>
    </row>
    <row r="1921" spans="1:55" hidden="1" x14ac:dyDescent="0.25">
      <c r="A1921" s="373">
        <v>17707</v>
      </c>
      <c r="B1921" s="233" t="str">
        <f>VLOOKUP(Table8[[#This Row],[Document ID]],Table1[],2,FALSE)</f>
        <v>KOR</v>
      </c>
      <c r="C1921" s="233" t="str">
        <f>VLOOKUP(Table8[[#This Row],[Document ID]],Table1[],3,FALSE)</f>
        <v>Republic of Korea</v>
      </c>
      <c r="D1921" s="243" t="str">
        <f>VLOOKUP(Table8[[#This Row],[Document ID]],Table1[],5,FALSE)</f>
        <v>LTS</v>
      </c>
      <c r="E1921" s="233" t="str">
        <f>VLOOKUP(Table8[[#This Row],[Document ID]],Table1[],7,FALSE)</f>
        <v>LTS</v>
      </c>
      <c r="F1921" s="233" t="str">
        <f>VLOOKUP(Table8[[#This Row],[Document ID]],Table1[],8,FALSE)</f>
        <v>LTS 1.0</v>
      </c>
      <c r="G1921" s="233" t="str">
        <f>VLOOKUP(Table8[[#This Row],[Document ID]],Table1[],10,FALSE)</f>
        <v>Active</v>
      </c>
      <c r="H1921" s="43" t="s">
        <v>2343</v>
      </c>
      <c r="I1921" s="43" t="s">
        <v>2429</v>
      </c>
      <c r="J1921" s="44" t="s">
        <v>2513</v>
      </c>
      <c r="K1921" s="44" t="s">
        <v>4098</v>
      </c>
      <c r="L1921" s="44" t="s">
        <v>2347</v>
      </c>
      <c r="M1921" s="43">
        <v>9</v>
      </c>
      <c r="N1921" s="113" t="s">
        <v>1113</v>
      </c>
      <c r="O1921" s="113"/>
      <c r="P1921" s="113"/>
      <c r="Q1921" s="113"/>
      <c r="R1921" s="113"/>
      <c r="S1921" s="113"/>
      <c r="T1921" s="113"/>
      <c r="U1921" s="113"/>
      <c r="V1921" s="113"/>
      <c r="W1921" s="113"/>
      <c r="X1921" s="113"/>
      <c r="Y1921" s="113"/>
      <c r="Z1921" s="113"/>
      <c r="AA1921" s="113"/>
      <c r="AB1921" s="113"/>
      <c r="AC1921" s="113"/>
      <c r="AD1921" s="113"/>
      <c r="AE1921" s="113"/>
      <c r="AF1921" s="113"/>
      <c r="AG1921" s="113"/>
      <c r="AH1921" s="113"/>
      <c r="AI1921" s="113"/>
      <c r="AJ1921" s="113"/>
      <c r="AK1921" s="319" t="s">
        <v>1113</v>
      </c>
      <c r="AL1921" s="113"/>
      <c r="AM1921" s="113"/>
      <c r="AN1921" s="113"/>
      <c r="AO1921" s="44" t="s">
        <v>2334</v>
      </c>
      <c r="AP1921" s="43"/>
      <c r="AQ1921" s="236" t="str">
        <f>VLOOKUP(Table8[[#This Row],[Instrument]],Def_Targets!$D$73:$E$159,2,FALSE)</f>
        <v>S_Sharedmob</v>
      </c>
      <c r="AR1921" s="233" t="str">
        <f>VLOOKUP(Table8[[#This Row],[Country Code]],Table29[],3,FALSE)</f>
        <v>Non-Annex I</v>
      </c>
      <c r="AS1921" s="233" t="str">
        <f>VLOOKUP(Table8[[#This Row],[Country Code]],Table29[],4,FALSE)</f>
        <v>Asia</v>
      </c>
      <c r="AT1921" s="233" t="str">
        <f>VLOOKUP(Table8[[#This Row],[Country Code]],Table29[],5,FALSE)</f>
        <v>High-income</v>
      </c>
      <c r="AU1921" s="233" t="str">
        <f>VLOOKUP(Table8[[#This Row],[Country Code]],Table29[],6,FALSE)</f>
        <v>G20</v>
      </c>
      <c r="AV1921" s="233" t="str">
        <f>VLOOKUP(Table8[[#This Row],[Country Code]],Table29[],7,FALSE)</f>
        <v>no</v>
      </c>
      <c r="AW1921" s="233" t="str">
        <f>VLOOKUP(Table8[[#This Row],[Country Code]],Table29[],8,FALSE)</f>
        <v>OECD</v>
      </c>
      <c r="AX1921" s="233" t="str">
        <f>VLOOKUP(Table8[[#This Row],[Country Code]],Table29[],9,FALSE)</f>
        <v>no</v>
      </c>
      <c r="AY1921" s="233" t="str">
        <f>VLOOKUP(Table8[[#This Row],[Country Code]],Table29[],10,FALSE)</f>
        <v>no</v>
      </c>
      <c r="AZ1921" s="235">
        <f>VLOOKUP(Table8[[#This Row],[Country Code]],Table29[],23,FALSE)</f>
        <v>653.84613998739997</v>
      </c>
      <c r="BA1921" s="235">
        <f>VLOOKUP(Table8[[#This Row],[Country Code]],Table29[],24,FALSE)</f>
        <v>107.9154569951917</v>
      </c>
      <c r="BB1921" s="320"/>
      <c r="BC1921" s="320"/>
    </row>
    <row r="1922" spans="1:55" hidden="1" x14ac:dyDescent="0.25">
      <c r="A1922" s="373">
        <v>17707</v>
      </c>
      <c r="B1922" s="233" t="str">
        <f>VLOOKUP(Table8[[#This Row],[Document ID]],Table1[],2,FALSE)</f>
        <v>KOR</v>
      </c>
      <c r="C1922" s="233" t="str">
        <f>VLOOKUP(Table8[[#This Row],[Document ID]],Table1[],3,FALSE)</f>
        <v>Republic of Korea</v>
      </c>
      <c r="D1922" s="243" t="str">
        <f>VLOOKUP(Table8[[#This Row],[Document ID]],Table1[],5,FALSE)</f>
        <v>LTS</v>
      </c>
      <c r="E1922" s="233" t="str">
        <f>VLOOKUP(Table8[[#This Row],[Document ID]],Table1[],7,FALSE)</f>
        <v>LTS</v>
      </c>
      <c r="F1922" s="233" t="str">
        <f>VLOOKUP(Table8[[#This Row],[Document ID]],Table1[],8,FALSE)</f>
        <v>LTS 1.0</v>
      </c>
      <c r="G1922" s="233" t="str">
        <f>VLOOKUP(Table8[[#This Row],[Document ID]],Table1[],10,FALSE)</f>
        <v>Active</v>
      </c>
      <c r="H1922" s="43" t="s">
        <v>2343</v>
      </c>
      <c r="I1922" s="43" t="s">
        <v>2377</v>
      </c>
      <c r="J1922" s="44" t="s">
        <v>2394</v>
      </c>
      <c r="K1922" s="44" t="s">
        <v>4099</v>
      </c>
      <c r="L1922" s="44" t="s">
        <v>2396</v>
      </c>
      <c r="M1922" s="43">
        <v>9</v>
      </c>
      <c r="N1922" s="113" t="s">
        <v>1113</v>
      </c>
      <c r="O1922" s="113"/>
      <c r="P1922" s="113"/>
      <c r="Q1922" s="113"/>
      <c r="R1922" s="113"/>
      <c r="S1922" s="113"/>
      <c r="T1922" s="113"/>
      <c r="U1922" s="113"/>
      <c r="V1922" s="113"/>
      <c r="W1922" s="113"/>
      <c r="X1922" s="113"/>
      <c r="Y1922" s="113"/>
      <c r="Z1922" s="113"/>
      <c r="AA1922" s="113"/>
      <c r="AB1922" s="113"/>
      <c r="AC1922" s="113"/>
      <c r="AD1922" s="113"/>
      <c r="AE1922" s="113"/>
      <c r="AF1922" s="113"/>
      <c r="AG1922" s="113"/>
      <c r="AH1922" s="113"/>
      <c r="AI1922" s="113"/>
      <c r="AJ1922" s="113"/>
      <c r="AK1922" s="319" t="s">
        <v>1113</v>
      </c>
      <c r="AL1922" s="113"/>
      <c r="AM1922" s="113"/>
      <c r="AN1922" s="113"/>
      <c r="AO1922" s="44" t="s">
        <v>2334</v>
      </c>
      <c r="AP1922" s="43"/>
      <c r="AQ1922" s="236" t="str">
        <f>VLOOKUP(Table8[[#This Row],[Instrument]],Def_Targets!$D$73:$E$159,2,FALSE)</f>
        <v>A_TDM</v>
      </c>
      <c r="AR1922" s="233" t="str">
        <f>VLOOKUP(Table8[[#This Row],[Country Code]],Table29[],3,FALSE)</f>
        <v>Non-Annex I</v>
      </c>
      <c r="AS1922" s="233" t="str">
        <f>VLOOKUP(Table8[[#This Row],[Country Code]],Table29[],4,FALSE)</f>
        <v>Asia</v>
      </c>
      <c r="AT1922" s="233" t="str">
        <f>VLOOKUP(Table8[[#This Row],[Country Code]],Table29[],5,FALSE)</f>
        <v>High-income</v>
      </c>
      <c r="AU1922" s="233" t="str">
        <f>VLOOKUP(Table8[[#This Row],[Country Code]],Table29[],6,FALSE)</f>
        <v>G20</v>
      </c>
      <c r="AV1922" s="233" t="str">
        <f>VLOOKUP(Table8[[#This Row],[Country Code]],Table29[],7,FALSE)</f>
        <v>no</v>
      </c>
      <c r="AW1922" s="233" t="str">
        <f>VLOOKUP(Table8[[#This Row],[Country Code]],Table29[],8,FALSE)</f>
        <v>OECD</v>
      </c>
      <c r="AX1922" s="233" t="str">
        <f>VLOOKUP(Table8[[#This Row],[Country Code]],Table29[],9,FALSE)</f>
        <v>no</v>
      </c>
      <c r="AY1922" s="233" t="str">
        <f>VLOOKUP(Table8[[#This Row],[Country Code]],Table29[],10,FALSE)</f>
        <v>no</v>
      </c>
      <c r="AZ1922" s="235">
        <f>VLOOKUP(Table8[[#This Row],[Country Code]],Table29[],23,FALSE)</f>
        <v>653.84613998739997</v>
      </c>
      <c r="BA1922" s="235">
        <f>VLOOKUP(Table8[[#This Row],[Country Code]],Table29[],24,FALSE)</f>
        <v>107.9154569951917</v>
      </c>
      <c r="BB1922" s="320"/>
      <c r="BC1922" s="320"/>
    </row>
    <row r="1923" spans="1:55" hidden="1" x14ac:dyDescent="0.25">
      <c r="A1923" s="373">
        <v>17707</v>
      </c>
      <c r="B1923" s="233" t="str">
        <f>VLOOKUP(Table8[[#This Row],[Document ID]],Table1[],2,FALSE)</f>
        <v>KOR</v>
      </c>
      <c r="C1923" s="233" t="str">
        <f>VLOOKUP(Table8[[#This Row],[Document ID]],Table1[],3,FALSE)</f>
        <v>Republic of Korea</v>
      </c>
      <c r="D1923" s="243" t="str">
        <f>VLOOKUP(Table8[[#This Row],[Document ID]],Table1[],5,FALSE)</f>
        <v>LTS</v>
      </c>
      <c r="E1923" s="233" t="str">
        <f>VLOOKUP(Table8[[#This Row],[Document ID]],Table1[],7,FALSE)</f>
        <v>LTS</v>
      </c>
      <c r="F1923" s="233" t="str">
        <f>VLOOKUP(Table8[[#This Row],[Document ID]],Table1[],8,FALSE)</f>
        <v>LTS 1.0</v>
      </c>
      <c r="G1923" s="233" t="str">
        <f>VLOOKUP(Table8[[#This Row],[Document ID]],Table1[],10,FALSE)</f>
        <v>Active</v>
      </c>
      <c r="H1923" s="43" t="s">
        <v>2343</v>
      </c>
      <c r="I1923" s="43" t="s">
        <v>2429</v>
      </c>
      <c r="J1923" s="44" t="s">
        <v>2501</v>
      </c>
      <c r="K1923" s="44" t="s">
        <v>4100</v>
      </c>
      <c r="L1923" s="44" t="s">
        <v>2333</v>
      </c>
      <c r="M1923" s="43">
        <v>9</v>
      </c>
      <c r="N1923" s="113" t="s">
        <v>1113</v>
      </c>
      <c r="O1923" s="113"/>
      <c r="P1923" s="113"/>
      <c r="Q1923" s="113"/>
      <c r="R1923" s="113"/>
      <c r="S1923" s="113"/>
      <c r="T1923" s="113"/>
      <c r="U1923" s="113"/>
      <c r="V1923" s="113"/>
      <c r="W1923" s="113"/>
      <c r="X1923" s="113"/>
      <c r="Y1923" s="113"/>
      <c r="Z1923" s="113"/>
      <c r="AA1923" s="113"/>
      <c r="AB1923" s="113"/>
      <c r="AC1923" s="113"/>
      <c r="AD1923" s="113"/>
      <c r="AE1923" s="113"/>
      <c r="AF1923" s="113"/>
      <c r="AG1923" s="113"/>
      <c r="AH1923" s="113"/>
      <c r="AI1923" s="113"/>
      <c r="AJ1923" s="113"/>
      <c r="AK1923" s="319" t="s">
        <v>1113</v>
      </c>
      <c r="AL1923" s="113"/>
      <c r="AM1923" s="113"/>
      <c r="AN1923" s="113"/>
      <c r="AO1923" s="44" t="s">
        <v>2334</v>
      </c>
      <c r="AP1923" s="43"/>
      <c r="AQ1923" s="236" t="str">
        <f>VLOOKUP(Table8[[#This Row],[Instrument]],Def_Targets!$D$73:$E$159,2,FALSE)</f>
        <v>I_Autonomous</v>
      </c>
      <c r="AR1923" s="233" t="str">
        <f>VLOOKUP(Table8[[#This Row],[Country Code]],Table29[],3,FALSE)</f>
        <v>Non-Annex I</v>
      </c>
      <c r="AS1923" s="233" t="str">
        <f>VLOOKUP(Table8[[#This Row],[Country Code]],Table29[],4,FALSE)</f>
        <v>Asia</v>
      </c>
      <c r="AT1923" s="233" t="str">
        <f>VLOOKUP(Table8[[#This Row],[Country Code]],Table29[],5,FALSE)</f>
        <v>High-income</v>
      </c>
      <c r="AU1923" s="233" t="str">
        <f>VLOOKUP(Table8[[#This Row],[Country Code]],Table29[],6,FALSE)</f>
        <v>G20</v>
      </c>
      <c r="AV1923" s="233" t="str">
        <f>VLOOKUP(Table8[[#This Row],[Country Code]],Table29[],7,FALSE)</f>
        <v>no</v>
      </c>
      <c r="AW1923" s="233" t="str">
        <f>VLOOKUP(Table8[[#This Row],[Country Code]],Table29[],8,FALSE)</f>
        <v>OECD</v>
      </c>
      <c r="AX1923" s="233" t="str">
        <f>VLOOKUP(Table8[[#This Row],[Country Code]],Table29[],9,FALSE)</f>
        <v>no</v>
      </c>
      <c r="AY1923" s="233" t="str">
        <f>VLOOKUP(Table8[[#This Row],[Country Code]],Table29[],10,FALSE)</f>
        <v>no</v>
      </c>
      <c r="AZ1923" s="235">
        <f>VLOOKUP(Table8[[#This Row],[Country Code]],Table29[],23,FALSE)</f>
        <v>653.84613998739997</v>
      </c>
      <c r="BA1923" s="235">
        <f>VLOOKUP(Table8[[#This Row],[Country Code]],Table29[],24,FALSE)</f>
        <v>107.9154569951917</v>
      </c>
      <c r="BB1923" s="320"/>
      <c r="BC1923" s="320"/>
    </row>
    <row r="1924" spans="1:55" ht="30" hidden="1" x14ac:dyDescent="0.25">
      <c r="A1924" s="373">
        <v>17707</v>
      </c>
      <c r="B1924" s="233" t="str">
        <f>VLOOKUP(Table8[[#This Row],[Document ID]],Table1[],2,FALSE)</f>
        <v>KOR</v>
      </c>
      <c r="C1924" s="233" t="str">
        <f>VLOOKUP(Table8[[#This Row],[Document ID]],Table1[],3,FALSE)</f>
        <v>Republic of Korea</v>
      </c>
      <c r="D1924" s="243" t="str">
        <f>VLOOKUP(Table8[[#This Row],[Document ID]],Table1[],5,FALSE)</f>
        <v>LTS</v>
      </c>
      <c r="E1924" s="233" t="str">
        <f>VLOOKUP(Table8[[#This Row],[Document ID]],Table1[],7,FALSE)</f>
        <v>LTS</v>
      </c>
      <c r="F1924" s="233" t="str">
        <f>VLOOKUP(Table8[[#This Row],[Document ID]],Table1[],8,FALSE)</f>
        <v>LTS 1.0</v>
      </c>
      <c r="G1924" s="233" t="str">
        <f>VLOOKUP(Table8[[#This Row],[Document ID]],Table1[],10,FALSE)</f>
        <v>Active</v>
      </c>
      <c r="H1924" s="43" t="s">
        <v>2350</v>
      </c>
      <c r="I1924" s="43" t="s">
        <v>2351</v>
      </c>
      <c r="J1924" s="44" t="s">
        <v>2352</v>
      </c>
      <c r="K1924" s="44" t="s">
        <v>4101</v>
      </c>
      <c r="L1924" s="44" t="s">
        <v>2347</v>
      </c>
      <c r="M1924" s="43">
        <v>9</v>
      </c>
      <c r="N1924" s="113"/>
      <c r="O1924" s="113"/>
      <c r="P1924" s="113"/>
      <c r="Q1924" s="113"/>
      <c r="R1924" s="113"/>
      <c r="S1924" s="113" t="s">
        <v>1113</v>
      </c>
      <c r="T1924" s="113"/>
      <c r="U1924" s="113"/>
      <c r="V1924" s="113"/>
      <c r="W1924" s="113"/>
      <c r="X1924" s="113"/>
      <c r="Y1924" s="113"/>
      <c r="Z1924" s="113" t="s">
        <v>1113</v>
      </c>
      <c r="AA1924" s="113"/>
      <c r="AB1924" s="113"/>
      <c r="AC1924" s="113"/>
      <c r="AD1924" s="113" t="s">
        <v>1113</v>
      </c>
      <c r="AE1924" s="113"/>
      <c r="AF1924" s="113"/>
      <c r="AG1924" s="113"/>
      <c r="AH1924" s="113"/>
      <c r="AI1924" s="113"/>
      <c r="AJ1924" s="113"/>
      <c r="AK1924" s="319" t="s">
        <v>1113</v>
      </c>
      <c r="AL1924" s="113"/>
      <c r="AM1924" s="113"/>
      <c r="AN1924" s="113"/>
      <c r="AO1924" s="44" t="s">
        <v>2334</v>
      </c>
      <c r="AP1924" s="43"/>
      <c r="AQ1924" s="236" t="str">
        <f>VLOOKUP(Table8[[#This Row],[Instrument]],Def_Targets!$D$73:$E$159,2,FALSE)</f>
        <v>S_Railfreight</v>
      </c>
      <c r="AR1924" s="233" t="str">
        <f>VLOOKUP(Table8[[#This Row],[Country Code]],Table29[],3,FALSE)</f>
        <v>Non-Annex I</v>
      </c>
      <c r="AS1924" s="233" t="str">
        <f>VLOOKUP(Table8[[#This Row],[Country Code]],Table29[],4,FALSE)</f>
        <v>Asia</v>
      </c>
      <c r="AT1924" s="233" t="str">
        <f>VLOOKUP(Table8[[#This Row],[Country Code]],Table29[],5,FALSE)</f>
        <v>High-income</v>
      </c>
      <c r="AU1924" s="233" t="str">
        <f>VLOOKUP(Table8[[#This Row],[Country Code]],Table29[],6,FALSE)</f>
        <v>G20</v>
      </c>
      <c r="AV1924" s="233" t="str">
        <f>VLOOKUP(Table8[[#This Row],[Country Code]],Table29[],7,FALSE)</f>
        <v>no</v>
      </c>
      <c r="AW1924" s="233" t="str">
        <f>VLOOKUP(Table8[[#This Row],[Country Code]],Table29[],8,FALSE)</f>
        <v>OECD</v>
      </c>
      <c r="AX1924" s="233" t="str">
        <f>VLOOKUP(Table8[[#This Row],[Country Code]],Table29[],9,FALSE)</f>
        <v>no</v>
      </c>
      <c r="AY1924" s="233" t="str">
        <f>VLOOKUP(Table8[[#This Row],[Country Code]],Table29[],10,FALSE)</f>
        <v>no</v>
      </c>
      <c r="AZ1924" s="235">
        <f>VLOOKUP(Table8[[#This Row],[Country Code]],Table29[],23,FALSE)</f>
        <v>653.84613998739997</v>
      </c>
      <c r="BA1924" s="235">
        <f>VLOOKUP(Table8[[#This Row],[Country Code]],Table29[],24,FALSE)</f>
        <v>107.9154569951917</v>
      </c>
      <c r="BB1924" s="320"/>
      <c r="BC1924" s="320"/>
    </row>
    <row r="1925" spans="1:55" hidden="1" x14ac:dyDescent="0.25">
      <c r="A1925" s="373">
        <v>17707</v>
      </c>
      <c r="B1925" s="233" t="str">
        <f>VLOOKUP(Table8[[#This Row],[Document ID]],Table1[],2,FALSE)</f>
        <v>KOR</v>
      </c>
      <c r="C1925" s="233" t="str">
        <f>VLOOKUP(Table8[[#This Row],[Document ID]],Table1[],3,FALSE)</f>
        <v>Republic of Korea</v>
      </c>
      <c r="D1925" s="243" t="str">
        <f>VLOOKUP(Table8[[#This Row],[Document ID]],Table1[],5,FALSE)</f>
        <v>LTS</v>
      </c>
      <c r="E1925" s="233" t="str">
        <f>VLOOKUP(Table8[[#This Row],[Document ID]],Table1[],7,FALSE)</f>
        <v>LTS</v>
      </c>
      <c r="F1925" s="233" t="str">
        <f>VLOOKUP(Table8[[#This Row],[Document ID]],Table1[],8,FALSE)</f>
        <v>LTS 1.0</v>
      </c>
      <c r="G1925" s="233" t="str">
        <f>VLOOKUP(Table8[[#This Row],[Document ID]],Table1[],10,FALSE)</f>
        <v>Active</v>
      </c>
      <c r="H1925" s="43" t="s">
        <v>2343</v>
      </c>
      <c r="I1925" s="43" t="s">
        <v>2386</v>
      </c>
      <c r="J1925" s="44" t="s">
        <v>2387</v>
      </c>
      <c r="K1925" s="44" t="s">
        <v>4102</v>
      </c>
      <c r="L1925" s="44" t="s">
        <v>2333</v>
      </c>
      <c r="M1925" s="43">
        <v>42</v>
      </c>
      <c r="N1925" s="113" t="s">
        <v>1113</v>
      </c>
      <c r="O1925" s="113"/>
      <c r="P1925" s="113"/>
      <c r="Q1925" s="113"/>
      <c r="R1925" s="113"/>
      <c r="S1925" s="113"/>
      <c r="T1925" s="113"/>
      <c r="U1925" s="113"/>
      <c r="V1925" s="113"/>
      <c r="W1925" s="113"/>
      <c r="X1925" s="113"/>
      <c r="Y1925" s="113"/>
      <c r="Z1925" s="113"/>
      <c r="AA1925" s="113"/>
      <c r="AB1925" s="113"/>
      <c r="AC1925" s="113"/>
      <c r="AD1925" s="113"/>
      <c r="AE1925" s="113"/>
      <c r="AF1925" s="113"/>
      <c r="AG1925" s="113"/>
      <c r="AH1925" s="113"/>
      <c r="AI1925" s="113"/>
      <c r="AJ1925" s="113"/>
      <c r="AK1925" s="319" t="s">
        <v>1113</v>
      </c>
      <c r="AL1925" s="113"/>
      <c r="AM1925" s="113"/>
      <c r="AN1925" s="113"/>
      <c r="AO1925" s="44" t="s">
        <v>2334</v>
      </c>
      <c r="AP1925" s="43"/>
      <c r="AQ1925" s="236" t="str">
        <f>VLOOKUP(Table8[[#This Row],[Instrument]],Def_Targets!$D$73:$E$159,2,FALSE)</f>
        <v>A_Procurement</v>
      </c>
      <c r="AR1925" s="233" t="str">
        <f>VLOOKUP(Table8[[#This Row],[Country Code]],Table29[],3,FALSE)</f>
        <v>Non-Annex I</v>
      </c>
      <c r="AS1925" s="233" t="str">
        <f>VLOOKUP(Table8[[#This Row],[Country Code]],Table29[],4,FALSE)</f>
        <v>Asia</v>
      </c>
      <c r="AT1925" s="233" t="str">
        <f>VLOOKUP(Table8[[#This Row],[Country Code]],Table29[],5,FALSE)</f>
        <v>High-income</v>
      </c>
      <c r="AU1925" s="233" t="str">
        <f>VLOOKUP(Table8[[#This Row],[Country Code]],Table29[],6,FALSE)</f>
        <v>G20</v>
      </c>
      <c r="AV1925" s="233" t="str">
        <f>VLOOKUP(Table8[[#This Row],[Country Code]],Table29[],7,FALSE)</f>
        <v>no</v>
      </c>
      <c r="AW1925" s="233" t="str">
        <f>VLOOKUP(Table8[[#This Row],[Country Code]],Table29[],8,FALSE)</f>
        <v>OECD</v>
      </c>
      <c r="AX1925" s="233" t="str">
        <f>VLOOKUP(Table8[[#This Row],[Country Code]],Table29[],9,FALSE)</f>
        <v>no</v>
      </c>
      <c r="AY1925" s="233" t="str">
        <f>VLOOKUP(Table8[[#This Row],[Country Code]],Table29[],10,FALSE)</f>
        <v>no</v>
      </c>
      <c r="AZ1925" s="235">
        <f>VLOOKUP(Table8[[#This Row],[Country Code]],Table29[],23,FALSE)</f>
        <v>653.84613998739997</v>
      </c>
      <c r="BA1925" s="235">
        <f>VLOOKUP(Table8[[#This Row],[Country Code]],Table29[],24,FALSE)</f>
        <v>107.9154569951917</v>
      </c>
      <c r="BB1925" s="320"/>
      <c r="BC1925" s="320"/>
    </row>
    <row r="1926" spans="1:55" ht="30" hidden="1" x14ac:dyDescent="0.25">
      <c r="A1926" s="373">
        <v>17707</v>
      </c>
      <c r="B1926" s="233" t="str">
        <f>VLOOKUP(Table8[[#This Row],[Document ID]],Table1[],2,FALSE)</f>
        <v>KOR</v>
      </c>
      <c r="C1926" s="233" t="str">
        <f>VLOOKUP(Table8[[#This Row],[Document ID]],Table1[],3,FALSE)</f>
        <v>Republic of Korea</v>
      </c>
      <c r="D1926" s="243" t="str">
        <f>VLOOKUP(Table8[[#This Row],[Document ID]],Table1[],5,FALSE)</f>
        <v>LTS</v>
      </c>
      <c r="E1926" s="233" t="str">
        <f>VLOOKUP(Table8[[#This Row],[Document ID]],Table1[],7,FALSE)</f>
        <v>LTS</v>
      </c>
      <c r="F1926" s="233" t="str">
        <f>VLOOKUP(Table8[[#This Row],[Document ID]],Table1[],8,FALSE)</f>
        <v>LTS 1.0</v>
      </c>
      <c r="G1926" s="233" t="str">
        <f>VLOOKUP(Table8[[#This Row],[Document ID]],Table1[],10,FALSE)</f>
        <v>Active</v>
      </c>
      <c r="H1926" s="43" t="s">
        <v>2343</v>
      </c>
      <c r="I1926" s="43" t="s">
        <v>2386</v>
      </c>
      <c r="J1926" s="44" t="s">
        <v>2397</v>
      </c>
      <c r="K1926" s="44" t="s">
        <v>4103</v>
      </c>
      <c r="L1926" s="44" t="s">
        <v>2333</v>
      </c>
      <c r="M1926" s="43">
        <v>42</v>
      </c>
      <c r="N1926" s="113"/>
      <c r="O1926" s="113"/>
      <c r="P1926" s="113"/>
      <c r="Q1926" s="113"/>
      <c r="R1926" s="113"/>
      <c r="S1926" s="113"/>
      <c r="T1926" s="113" t="s">
        <v>1113</v>
      </c>
      <c r="U1926" s="113" t="s">
        <v>1113</v>
      </c>
      <c r="V1926" s="113"/>
      <c r="W1926" s="113"/>
      <c r="X1926" s="113" t="s">
        <v>1113</v>
      </c>
      <c r="Y1926" s="113" t="s">
        <v>1113</v>
      </c>
      <c r="Z1926" s="113"/>
      <c r="AA1926" s="113"/>
      <c r="AB1926" s="113"/>
      <c r="AC1926" s="113"/>
      <c r="AD1926" s="113"/>
      <c r="AE1926" s="113"/>
      <c r="AF1926" s="113"/>
      <c r="AG1926" s="113"/>
      <c r="AH1926" s="113"/>
      <c r="AI1926" s="113"/>
      <c r="AJ1926" s="113"/>
      <c r="AK1926" s="319" t="s">
        <v>1113</v>
      </c>
      <c r="AL1926" s="113"/>
      <c r="AM1926" s="113"/>
      <c r="AN1926" s="113"/>
      <c r="AO1926" s="43" t="s">
        <v>2477</v>
      </c>
      <c r="AP1926" s="43"/>
      <c r="AQ1926" s="236" t="str">
        <f>VLOOKUP(Table8[[#This Row],[Instrument]],Def_Targets!$D$73:$E$159,2,FALSE)</f>
        <v>A_Finance</v>
      </c>
      <c r="AR1926" s="233" t="str">
        <f>VLOOKUP(Table8[[#This Row],[Country Code]],Table29[],3,FALSE)</f>
        <v>Non-Annex I</v>
      </c>
      <c r="AS1926" s="233" t="str">
        <f>VLOOKUP(Table8[[#This Row],[Country Code]],Table29[],4,FALSE)</f>
        <v>Asia</v>
      </c>
      <c r="AT1926" s="233" t="str">
        <f>VLOOKUP(Table8[[#This Row],[Country Code]],Table29[],5,FALSE)</f>
        <v>High-income</v>
      </c>
      <c r="AU1926" s="233" t="str">
        <f>VLOOKUP(Table8[[#This Row],[Country Code]],Table29[],6,FALSE)</f>
        <v>G20</v>
      </c>
      <c r="AV1926" s="233" t="str">
        <f>VLOOKUP(Table8[[#This Row],[Country Code]],Table29[],7,FALSE)</f>
        <v>no</v>
      </c>
      <c r="AW1926" s="233" t="str">
        <f>VLOOKUP(Table8[[#This Row],[Country Code]],Table29[],8,FALSE)</f>
        <v>OECD</v>
      </c>
      <c r="AX1926" s="233" t="str">
        <f>VLOOKUP(Table8[[#This Row],[Country Code]],Table29[],9,FALSE)</f>
        <v>no</v>
      </c>
      <c r="AY1926" s="233" t="str">
        <f>VLOOKUP(Table8[[#This Row],[Country Code]],Table29[],10,FALSE)</f>
        <v>no</v>
      </c>
      <c r="AZ1926" s="235">
        <f>VLOOKUP(Table8[[#This Row],[Country Code]],Table29[],23,FALSE)</f>
        <v>653.84613998739997</v>
      </c>
      <c r="BA1926" s="235">
        <f>VLOOKUP(Table8[[#This Row],[Country Code]],Table29[],24,FALSE)</f>
        <v>107.9154569951917</v>
      </c>
      <c r="BB1926" s="320"/>
      <c r="BC1926" s="320"/>
    </row>
    <row r="1927" spans="1:55" ht="30" hidden="1" x14ac:dyDescent="0.25">
      <c r="A1927" s="373">
        <v>17707</v>
      </c>
      <c r="B1927" s="233" t="str">
        <f>VLOOKUP(Table8[[#This Row],[Document ID]],Table1[],2,FALSE)</f>
        <v>KOR</v>
      </c>
      <c r="C1927" s="233" t="str">
        <f>VLOOKUP(Table8[[#This Row],[Document ID]],Table1[],3,FALSE)</f>
        <v>Republic of Korea</v>
      </c>
      <c r="D1927" s="243" t="str">
        <f>VLOOKUP(Table8[[#This Row],[Document ID]],Table1[],5,FALSE)</f>
        <v>LTS</v>
      </c>
      <c r="E1927" s="233" t="str">
        <f>VLOOKUP(Table8[[#This Row],[Document ID]],Table1[],7,FALSE)</f>
        <v>LTS</v>
      </c>
      <c r="F1927" s="233" t="str">
        <f>VLOOKUP(Table8[[#This Row],[Document ID]],Table1[],8,FALSE)</f>
        <v>LTS 1.0</v>
      </c>
      <c r="G1927" s="233" t="str">
        <f>VLOOKUP(Table8[[#This Row],[Document ID]],Table1[],10,FALSE)</f>
        <v>Active</v>
      </c>
      <c r="H1927" s="43" t="s">
        <v>2358</v>
      </c>
      <c r="I1927" s="43" t="s">
        <v>2359</v>
      </c>
      <c r="J1927" s="44" t="s">
        <v>2383</v>
      </c>
      <c r="K1927" s="44" t="s">
        <v>4104</v>
      </c>
      <c r="L1927" s="44" t="s">
        <v>2333</v>
      </c>
      <c r="M1927" s="43">
        <v>42</v>
      </c>
      <c r="N1927" s="113" t="s">
        <v>1113</v>
      </c>
      <c r="O1927" s="113"/>
      <c r="P1927" s="113"/>
      <c r="Q1927" s="113"/>
      <c r="R1927" s="113"/>
      <c r="S1927" s="113"/>
      <c r="T1927" s="113"/>
      <c r="U1927" s="113"/>
      <c r="V1927" s="113"/>
      <c r="W1927" s="113"/>
      <c r="X1927" s="113"/>
      <c r="Y1927" s="113"/>
      <c r="Z1927" s="113"/>
      <c r="AA1927" s="113"/>
      <c r="AB1927" s="113"/>
      <c r="AC1927" s="113"/>
      <c r="AD1927" s="113"/>
      <c r="AE1927" s="113"/>
      <c r="AF1927" s="113"/>
      <c r="AG1927" s="113"/>
      <c r="AH1927" s="113"/>
      <c r="AI1927" s="113"/>
      <c r="AJ1927" s="113"/>
      <c r="AK1927" s="319" t="s">
        <v>1113</v>
      </c>
      <c r="AL1927" s="113"/>
      <c r="AM1927" s="113"/>
      <c r="AN1927" s="113"/>
      <c r="AO1927" s="44" t="s">
        <v>2334</v>
      </c>
      <c r="AP1927" s="43"/>
      <c r="AQ1927" s="236" t="str">
        <f>VLOOKUP(Table8[[#This Row],[Instrument]],Def_Targets!$D$73:$E$159,2,FALSE)</f>
        <v>I_Emobilitycharging</v>
      </c>
      <c r="AR1927" s="233" t="str">
        <f>VLOOKUP(Table8[[#This Row],[Country Code]],Table29[],3,FALSE)</f>
        <v>Non-Annex I</v>
      </c>
      <c r="AS1927" s="233" t="str">
        <f>VLOOKUP(Table8[[#This Row],[Country Code]],Table29[],4,FALSE)</f>
        <v>Asia</v>
      </c>
      <c r="AT1927" s="233" t="str">
        <f>VLOOKUP(Table8[[#This Row],[Country Code]],Table29[],5,FALSE)</f>
        <v>High-income</v>
      </c>
      <c r="AU1927" s="233" t="str">
        <f>VLOOKUP(Table8[[#This Row],[Country Code]],Table29[],6,FALSE)</f>
        <v>G20</v>
      </c>
      <c r="AV1927" s="233" t="str">
        <f>VLOOKUP(Table8[[#This Row],[Country Code]],Table29[],7,FALSE)</f>
        <v>no</v>
      </c>
      <c r="AW1927" s="233" t="str">
        <f>VLOOKUP(Table8[[#This Row],[Country Code]],Table29[],8,FALSE)</f>
        <v>OECD</v>
      </c>
      <c r="AX1927" s="233" t="str">
        <f>VLOOKUP(Table8[[#This Row],[Country Code]],Table29[],9,FALSE)</f>
        <v>no</v>
      </c>
      <c r="AY1927" s="233" t="str">
        <f>VLOOKUP(Table8[[#This Row],[Country Code]],Table29[],10,FALSE)</f>
        <v>no</v>
      </c>
      <c r="AZ1927" s="235">
        <f>VLOOKUP(Table8[[#This Row],[Country Code]],Table29[],23,FALSE)</f>
        <v>653.84613998739997</v>
      </c>
      <c r="BA1927" s="235">
        <f>VLOOKUP(Table8[[#This Row],[Country Code]],Table29[],24,FALSE)</f>
        <v>107.9154569951917</v>
      </c>
      <c r="BB1927" s="320"/>
      <c r="BC1927" s="320"/>
    </row>
    <row r="1928" spans="1:55" ht="45" hidden="1" x14ac:dyDescent="0.25">
      <c r="A1928" s="373">
        <v>17707</v>
      </c>
      <c r="B1928" s="233" t="str">
        <f>VLOOKUP(Table8[[#This Row],[Document ID]],Table1[],2,FALSE)</f>
        <v>KOR</v>
      </c>
      <c r="C1928" s="233" t="str">
        <f>VLOOKUP(Table8[[#This Row],[Document ID]],Table1[],3,FALSE)</f>
        <v>Republic of Korea</v>
      </c>
      <c r="D1928" s="243" t="str">
        <f>VLOOKUP(Table8[[#This Row],[Document ID]],Table1[],5,FALSE)</f>
        <v>LTS</v>
      </c>
      <c r="E1928" s="233" t="str">
        <f>VLOOKUP(Table8[[#This Row],[Document ID]],Table1[],7,FALSE)</f>
        <v>LTS</v>
      </c>
      <c r="F1928" s="233" t="str">
        <f>VLOOKUP(Table8[[#This Row],[Document ID]],Table1[],8,FALSE)</f>
        <v>LTS 1.0</v>
      </c>
      <c r="G1928" s="233" t="str">
        <f>VLOOKUP(Table8[[#This Row],[Document ID]],Table1[],10,FALSE)</f>
        <v>Active</v>
      </c>
      <c r="H1928" s="44" t="s">
        <v>2329</v>
      </c>
      <c r="I1928" s="44" t="s">
        <v>2330</v>
      </c>
      <c r="J1928" s="44" t="s">
        <v>2357</v>
      </c>
      <c r="K1928" s="44" t="s">
        <v>4105</v>
      </c>
      <c r="L1928" s="44" t="s">
        <v>2333</v>
      </c>
      <c r="M1928" s="43">
        <v>42</v>
      </c>
      <c r="N1928" s="113" t="s">
        <v>1113</v>
      </c>
      <c r="O1928" s="113"/>
      <c r="P1928" s="113"/>
      <c r="Q1928" s="113"/>
      <c r="R1928" s="113"/>
      <c r="S1928" s="113"/>
      <c r="T1928" s="113"/>
      <c r="U1928" s="113"/>
      <c r="V1928" s="113"/>
      <c r="W1928" s="113"/>
      <c r="X1928" s="113"/>
      <c r="Y1928" s="113"/>
      <c r="Z1928" s="113"/>
      <c r="AA1928" s="113"/>
      <c r="AB1928" s="113"/>
      <c r="AC1928" s="113"/>
      <c r="AD1928" s="113"/>
      <c r="AE1928" s="113"/>
      <c r="AF1928" s="113"/>
      <c r="AG1928" s="113"/>
      <c r="AH1928" s="113"/>
      <c r="AI1928" s="113"/>
      <c r="AJ1928" s="113"/>
      <c r="AK1928" s="319" t="s">
        <v>1113</v>
      </c>
      <c r="AL1928" s="113"/>
      <c r="AM1928" s="113"/>
      <c r="AN1928" s="113"/>
      <c r="AO1928" s="44" t="s">
        <v>2334</v>
      </c>
      <c r="AP1928" s="43"/>
      <c r="AQ1928" s="236" t="str">
        <f>VLOOKUP(Table8[[#This Row],[Instrument]],Def_Targets!$D$73:$E$159,2,FALSE)</f>
        <v>I_Biofuel</v>
      </c>
      <c r="AR1928" s="233" t="str">
        <f>VLOOKUP(Table8[[#This Row],[Country Code]],Table29[],3,FALSE)</f>
        <v>Non-Annex I</v>
      </c>
      <c r="AS1928" s="233" t="str">
        <f>VLOOKUP(Table8[[#This Row],[Country Code]],Table29[],4,FALSE)</f>
        <v>Asia</v>
      </c>
      <c r="AT1928" s="233" t="str">
        <f>VLOOKUP(Table8[[#This Row],[Country Code]],Table29[],5,FALSE)</f>
        <v>High-income</v>
      </c>
      <c r="AU1928" s="233" t="str">
        <f>VLOOKUP(Table8[[#This Row],[Country Code]],Table29[],6,FALSE)</f>
        <v>G20</v>
      </c>
      <c r="AV1928" s="233" t="str">
        <f>VLOOKUP(Table8[[#This Row],[Country Code]],Table29[],7,FALSE)</f>
        <v>no</v>
      </c>
      <c r="AW1928" s="233" t="str">
        <f>VLOOKUP(Table8[[#This Row],[Country Code]],Table29[],8,FALSE)</f>
        <v>OECD</v>
      </c>
      <c r="AX1928" s="233" t="str">
        <f>VLOOKUP(Table8[[#This Row],[Country Code]],Table29[],9,FALSE)</f>
        <v>no</v>
      </c>
      <c r="AY1928" s="233" t="str">
        <f>VLOOKUP(Table8[[#This Row],[Country Code]],Table29[],10,FALSE)</f>
        <v>no</v>
      </c>
      <c r="AZ1928" s="235">
        <f>VLOOKUP(Table8[[#This Row],[Country Code]],Table29[],23,FALSE)</f>
        <v>653.84613998739997</v>
      </c>
      <c r="BA1928" s="235">
        <f>VLOOKUP(Table8[[#This Row],[Country Code]],Table29[],24,FALSE)</f>
        <v>107.9154569951917</v>
      </c>
      <c r="BB1928" s="320"/>
      <c r="BC1928" s="320"/>
    </row>
    <row r="1929" spans="1:55" ht="30" hidden="1" x14ac:dyDescent="0.25">
      <c r="A1929" s="373">
        <v>17707</v>
      </c>
      <c r="B1929" s="233" t="str">
        <f>VLOOKUP(Table8[[#This Row],[Document ID]],Table1[],2,FALSE)</f>
        <v>KOR</v>
      </c>
      <c r="C1929" s="233" t="str">
        <f>VLOOKUP(Table8[[#This Row],[Document ID]],Table1[],3,FALSE)</f>
        <v>Republic of Korea</v>
      </c>
      <c r="D1929" s="243" t="str">
        <f>VLOOKUP(Table8[[#This Row],[Document ID]],Table1[],5,FALSE)</f>
        <v>LTS</v>
      </c>
      <c r="E1929" s="233" t="str">
        <f>VLOOKUP(Table8[[#This Row],[Document ID]],Table1[],7,FALSE)</f>
        <v>LTS</v>
      </c>
      <c r="F1929" s="233" t="str">
        <f>VLOOKUP(Table8[[#This Row],[Document ID]],Table1[],8,FALSE)</f>
        <v>LTS 1.0</v>
      </c>
      <c r="G1929" s="233" t="str">
        <f>VLOOKUP(Table8[[#This Row],[Document ID]],Table1[],10,FALSE)</f>
        <v>Active</v>
      </c>
      <c r="H1929" s="43" t="s">
        <v>2350</v>
      </c>
      <c r="I1929" s="43" t="s">
        <v>2351</v>
      </c>
      <c r="J1929" s="44" t="s">
        <v>2352</v>
      </c>
      <c r="K1929" s="44" t="s">
        <v>4106</v>
      </c>
      <c r="L1929" s="44" t="s">
        <v>2347</v>
      </c>
      <c r="M1929" s="43">
        <v>42</v>
      </c>
      <c r="N1929" s="113"/>
      <c r="O1929" s="113"/>
      <c r="P1929" s="113"/>
      <c r="Q1929" s="113"/>
      <c r="R1929" s="113"/>
      <c r="S1929" s="113" t="s">
        <v>1113</v>
      </c>
      <c r="T1929" s="113"/>
      <c r="U1929" s="113"/>
      <c r="V1929" s="113"/>
      <c r="W1929" s="113"/>
      <c r="X1929" s="113"/>
      <c r="Y1929" s="113"/>
      <c r="Z1929" s="113" t="s">
        <v>1113</v>
      </c>
      <c r="AA1929" s="113"/>
      <c r="AB1929" s="113"/>
      <c r="AC1929" s="113"/>
      <c r="AD1929" s="113" t="s">
        <v>1113</v>
      </c>
      <c r="AE1929" s="113"/>
      <c r="AF1929" s="113"/>
      <c r="AG1929" s="113"/>
      <c r="AH1929" s="113"/>
      <c r="AI1929" s="113"/>
      <c r="AJ1929" s="113"/>
      <c r="AK1929" s="319" t="s">
        <v>1113</v>
      </c>
      <c r="AL1929" s="113"/>
      <c r="AM1929" s="113"/>
      <c r="AN1929" s="113"/>
      <c r="AO1929" s="43" t="s">
        <v>2353</v>
      </c>
      <c r="AP1929" s="43"/>
      <c r="AQ1929" s="236" t="str">
        <f>VLOOKUP(Table8[[#This Row],[Instrument]],Def_Targets!$D$73:$E$159,2,FALSE)</f>
        <v>S_Railfreight</v>
      </c>
      <c r="AR1929" s="233" t="str">
        <f>VLOOKUP(Table8[[#This Row],[Country Code]],Table29[],3,FALSE)</f>
        <v>Non-Annex I</v>
      </c>
      <c r="AS1929" s="233" t="str">
        <f>VLOOKUP(Table8[[#This Row],[Country Code]],Table29[],4,FALSE)</f>
        <v>Asia</v>
      </c>
      <c r="AT1929" s="233" t="str">
        <f>VLOOKUP(Table8[[#This Row],[Country Code]],Table29[],5,FALSE)</f>
        <v>High-income</v>
      </c>
      <c r="AU1929" s="233" t="str">
        <f>VLOOKUP(Table8[[#This Row],[Country Code]],Table29[],6,FALSE)</f>
        <v>G20</v>
      </c>
      <c r="AV1929" s="233" t="str">
        <f>VLOOKUP(Table8[[#This Row],[Country Code]],Table29[],7,FALSE)</f>
        <v>no</v>
      </c>
      <c r="AW1929" s="233" t="str">
        <f>VLOOKUP(Table8[[#This Row],[Country Code]],Table29[],8,FALSE)</f>
        <v>OECD</v>
      </c>
      <c r="AX1929" s="233" t="str">
        <f>VLOOKUP(Table8[[#This Row],[Country Code]],Table29[],9,FALSE)</f>
        <v>no</v>
      </c>
      <c r="AY1929" s="233" t="str">
        <f>VLOOKUP(Table8[[#This Row],[Country Code]],Table29[],10,FALSE)</f>
        <v>no</v>
      </c>
      <c r="AZ1929" s="235">
        <f>VLOOKUP(Table8[[#This Row],[Country Code]],Table29[],23,FALSE)</f>
        <v>653.84613998739997</v>
      </c>
      <c r="BA1929" s="235">
        <f>VLOOKUP(Table8[[#This Row],[Country Code]],Table29[],24,FALSE)</f>
        <v>107.9154569951917</v>
      </c>
      <c r="BB1929" s="320"/>
      <c r="BC1929" s="320"/>
    </row>
    <row r="1930" spans="1:55" ht="30" hidden="1" x14ac:dyDescent="0.25">
      <c r="A1930" s="373">
        <v>17707</v>
      </c>
      <c r="B1930" s="233" t="str">
        <f>VLOOKUP(Table8[[#This Row],[Document ID]],Table1[],2,FALSE)</f>
        <v>KOR</v>
      </c>
      <c r="C1930" s="233" t="str">
        <f>VLOOKUP(Table8[[#This Row],[Document ID]],Table1[],3,FALSE)</f>
        <v>Republic of Korea</v>
      </c>
      <c r="D1930" s="243" t="str">
        <f>VLOOKUP(Table8[[#This Row],[Document ID]],Table1[],5,FALSE)</f>
        <v>LTS</v>
      </c>
      <c r="E1930" s="233" t="str">
        <f>VLOOKUP(Table8[[#This Row],[Document ID]],Table1[],7,FALSE)</f>
        <v>LTS</v>
      </c>
      <c r="F1930" s="233" t="str">
        <f>VLOOKUP(Table8[[#This Row],[Document ID]],Table1[],8,FALSE)</f>
        <v>LTS 1.0</v>
      </c>
      <c r="G1930" s="233" t="str">
        <f>VLOOKUP(Table8[[#This Row],[Document ID]],Table1[],10,FALSE)</f>
        <v>Active</v>
      </c>
      <c r="H1930" s="44" t="s">
        <v>2329</v>
      </c>
      <c r="I1930" s="44" t="s">
        <v>2330</v>
      </c>
      <c r="J1930" s="44" t="s">
        <v>2363</v>
      </c>
      <c r="K1930" s="44" t="s">
        <v>4107</v>
      </c>
      <c r="L1930" s="44" t="s">
        <v>2333</v>
      </c>
      <c r="M1930" s="43">
        <v>42</v>
      </c>
      <c r="N1930" s="113"/>
      <c r="O1930" s="113"/>
      <c r="P1930" s="113"/>
      <c r="Q1930" s="113"/>
      <c r="R1930" s="113"/>
      <c r="S1930" s="113"/>
      <c r="T1930" s="113"/>
      <c r="U1930" s="113"/>
      <c r="V1930" s="113"/>
      <c r="W1930" s="113"/>
      <c r="X1930" s="113"/>
      <c r="Y1930" s="113"/>
      <c r="Z1930" s="113" t="s">
        <v>1113</v>
      </c>
      <c r="AA1930" s="113"/>
      <c r="AB1930" s="113"/>
      <c r="AC1930" s="113"/>
      <c r="AD1930" s="113" t="s">
        <v>1113</v>
      </c>
      <c r="AE1930" s="113"/>
      <c r="AF1930" s="113"/>
      <c r="AG1930" s="113"/>
      <c r="AH1930" s="113" t="s">
        <v>1113</v>
      </c>
      <c r="AI1930" s="113"/>
      <c r="AJ1930" s="113"/>
      <c r="AK1930" s="319" t="s">
        <v>1113</v>
      </c>
      <c r="AL1930" s="113"/>
      <c r="AM1930" s="113"/>
      <c r="AN1930" s="113"/>
      <c r="AO1930" s="44" t="s">
        <v>2334</v>
      </c>
      <c r="AP1930" s="43"/>
      <c r="AQ1930" s="236" t="str">
        <f>VLOOKUP(Table8[[#This Row],[Instrument]],Def_Targets!$D$73:$E$159,2,FALSE)</f>
        <v>I_LPGCNGLNG</v>
      </c>
      <c r="AR1930" s="233" t="str">
        <f>VLOOKUP(Table8[[#This Row],[Country Code]],Table29[],3,FALSE)</f>
        <v>Non-Annex I</v>
      </c>
      <c r="AS1930" s="233" t="str">
        <f>VLOOKUP(Table8[[#This Row],[Country Code]],Table29[],4,FALSE)</f>
        <v>Asia</v>
      </c>
      <c r="AT1930" s="233" t="str">
        <f>VLOOKUP(Table8[[#This Row],[Country Code]],Table29[],5,FALSE)</f>
        <v>High-income</v>
      </c>
      <c r="AU1930" s="233" t="str">
        <f>VLOOKUP(Table8[[#This Row],[Country Code]],Table29[],6,FALSE)</f>
        <v>G20</v>
      </c>
      <c r="AV1930" s="233" t="str">
        <f>VLOOKUP(Table8[[#This Row],[Country Code]],Table29[],7,FALSE)</f>
        <v>no</v>
      </c>
      <c r="AW1930" s="233" t="str">
        <f>VLOOKUP(Table8[[#This Row],[Country Code]],Table29[],8,FALSE)</f>
        <v>OECD</v>
      </c>
      <c r="AX1930" s="233" t="str">
        <f>VLOOKUP(Table8[[#This Row],[Country Code]],Table29[],9,FALSE)</f>
        <v>no</v>
      </c>
      <c r="AY1930" s="233" t="str">
        <f>VLOOKUP(Table8[[#This Row],[Country Code]],Table29[],10,FALSE)</f>
        <v>no</v>
      </c>
      <c r="AZ1930" s="235">
        <f>VLOOKUP(Table8[[#This Row],[Country Code]],Table29[],23,FALSE)</f>
        <v>653.84613998739997</v>
      </c>
      <c r="BA1930" s="235">
        <f>VLOOKUP(Table8[[#This Row],[Country Code]],Table29[],24,FALSE)</f>
        <v>107.9154569951917</v>
      </c>
      <c r="BB1930" s="320"/>
      <c r="BC1930" s="320"/>
    </row>
    <row r="1931" spans="1:55" ht="30" hidden="1" x14ac:dyDescent="0.25">
      <c r="A1931" s="373">
        <v>17707</v>
      </c>
      <c r="B1931" s="233" t="str">
        <f>VLOOKUP(Table8[[#This Row],[Document ID]],Table1[],2,FALSE)</f>
        <v>KOR</v>
      </c>
      <c r="C1931" s="233" t="str">
        <f>VLOOKUP(Table8[[#This Row],[Document ID]],Table1[],3,FALSE)</f>
        <v>Republic of Korea</v>
      </c>
      <c r="D1931" s="243" t="str">
        <f>VLOOKUP(Table8[[#This Row],[Document ID]],Table1[],5,FALSE)</f>
        <v>LTS</v>
      </c>
      <c r="E1931" s="233" t="str">
        <f>VLOOKUP(Table8[[#This Row],[Document ID]],Table1[],7,FALSE)</f>
        <v>LTS</v>
      </c>
      <c r="F1931" s="233" t="str">
        <f>VLOOKUP(Table8[[#This Row],[Document ID]],Table1[],8,FALSE)</f>
        <v>LTS 1.0</v>
      </c>
      <c r="G1931" s="233" t="str">
        <f>VLOOKUP(Table8[[#This Row],[Document ID]],Table1[],10,FALSE)</f>
        <v>Active</v>
      </c>
      <c r="H1931" s="43" t="s">
        <v>2484</v>
      </c>
      <c r="I1931" s="43" t="s">
        <v>2485</v>
      </c>
      <c r="J1931" s="44" t="s">
        <v>2775</v>
      </c>
      <c r="K1931" s="44" t="s">
        <v>4108</v>
      </c>
      <c r="L1931" s="44" t="s">
        <v>2333</v>
      </c>
      <c r="M1931" s="43">
        <v>42</v>
      </c>
      <c r="N1931" s="113"/>
      <c r="O1931" s="113"/>
      <c r="P1931" s="113"/>
      <c r="Q1931" s="113"/>
      <c r="R1931" s="113"/>
      <c r="S1931" s="113"/>
      <c r="T1931" s="113"/>
      <c r="U1931" s="113"/>
      <c r="V1931" s="113"/>
      <c r="W1931" s="113"/>
      <c r="X1931" s="113"/>
      <c r="Y1931" s="113"/>
      <c r="Z1931" s="113"/>
      <c r="AA1931" s="113"/>
      <c r="AB1931" s="113"/>
      <c r="AC1931" s="113"/>
      <c r="AD1931" s="113"/>
      <c r="AE1931" s="113" t="s">
        <v>1113</v>
      </c>
      <c r="AF1931" s="113"/>
      <c r="AG1931" s="113"/>
      <c r="AH1931" s="113"/>
      <c r="AI1931" s="113"/>
      <c r="AJ1931" s="113"/>
      <c r="AK1931" s="319" t="s">
        <v>1113</v>
      </c>
      <c r="AL1931" s="113"/>
      <c r="AM1931" s="113"/>
      <c r="AN1931" s="113"/>
      <c r="AO1931" s="44" t="s">
        <v>2334</v>
      </c>
      <c r="AP1931" s="43"/>
      <c r="AQ1931" s="236" t="str">
        <f>VLOOKUP(Table8[[#This Row],[Instrument]],Def_Targets!$D$73:$E$159,2,FALSE)</f>
        <v>I_Onshorepower</v>
      </c>
      <c r="AR1931" s="233" t="str">
        <f>VLOOKUP(Table8[[#This Row],[Country Code]],Table29[],3,FALSE)</f>
        <v>Non-Annex I</v>
      </c>
      <c r="AS1931" s="233" t="str">
        <f>VLOOKUP(Table8[[#This Row],[Country Code]],Table29[],4,FALSE)</f>
        <v>Asia</v>
      </c>
      <c r="AT1931" s="233" t="str">
        <f>VLOOKUP(Table8[[#This Row],[Country Code]],Table29[],5,FALSE)</f>
        <v>High-income</v>
      </c>
      <c r="AU1931" s="233" t="str">
        <f>VLOOKUP(Table8[[#This Row],[Country Code]],Table29[],6,FALSE)</f>
        <v>G20</v>
      </c>
      <c r="AV1931" s="233" t="str">
        <f>VLOOKUP(Table8[[#This Row],[Country Code]],Table29[],7,FALSE)</f>
        <v>no</v>
      </c>
      <c r="AW1931" s="233" t="str">
        <f>VLOOKUP(Table8[[#This Row],[Country Code]],Table29[],8,FALSE)</f>
        <v>OECD</v>
      </c>
      <c r="AX1931" s="233" t="str">
        <f>VLOOKUP(Table8[[#This Row],[Country Code]],Table29[],9,FALSE)</f>
        <v>no</v>
      </c>
      <c r="AY1931" s="233" t="str">
        <f>VLOOKUP(Table8[[#This Row],[Country Code]],Table29[],10,FALSE)</f>
        <v>no</v>
      </c>
      <c r="AZ1931" s="235">
        <f>VLOOKUP(Table8[[#This Row],[Country Code]],Table29[],23,FALSE)</f>
        <v>653.84613998739997</v>
      </c>
      <c r="BA1931" s="235">
        <f>VLOOKUP(Table8[[#This Row],[Country Code]],Table29[],24,FALSE)</f>
        <v>107.9154569951917</v>
      </c>
      <c r="BB1931" s="320"/>
      <c r="BC1931" s="320"/>
    </row>
    <row r="1932" spans="1:55" ht="30" hidden="1" x14ac:dyDescent="0.25">
      <c r="A1932" s="373">
        <v>17707</v>
      </c>
      <c r="B1932" s="233" t="str">
        <f>VLOOKUP(Table8[[#This Row],[Document ID]],Table1[],2,FALSE)</f>
        <v>KOR</v>
      </c>
      <c r="C1932" s="233" t="str">
        <f>VLOOKUP(Table8[[#This Row],[Document ID]],Table1[],3,FALSE)</f>
        <v>Republic of Korea</v>
      </c>
      <c r="D1932" s="243" t="str">
        <f>VLOOKUP(Table8[[#This Row],[Document ID]],Table1[],5,FALSE)</f>
        <v>LTS</v>
      </c>
      <c r="E1932" s="233" t="str">
        <f>VLOOKUP(Table8[[#This Row],[Document ID]],Table1[],7,FALSE)</f>
        <v>LTS</v>
      </c>
      <c r="F1932" s="233" t="str">
        <f>VLOOKUP(Table8[[#This Row],[Document ID]],Table1[],8,FALSE)</f>
        <v>LTS 1.0</v>
      </c>
      <c r="G1932" s="233" t="str">
        <f>VLOOKUP(Table8[[#This Row],[Document ID]],Table1[],10,FALSE)</f>
        <v>Active</v>
      </c>
      <c r="H1932" s="44" t="s">
        <v>2329</v>
      </c>
      <c r="I1932" s="44" t="s">
        <v>2330</v>
      </c>
      <c r="J1932" s="44" t="s">
        <v>2357</v>
      </c>
      <c r="K1932" s="44" t="s">
        <v>4109</v>
      </c>
      <c r="L1932" s="44" t="s">
        <v>2333</v>
      </c>
      <c r="M1932" s="43" t="s">
        <v>4110</v>
      </c>
      <c r="N1932" s="113"/>
      <c r="O1932" s="113"/>
      <c r="P1932" s="113"/>
      <c r="Q1932" s="113"/>
      <c r="R1932" s="113"/>
      <c r="S1932" s="113" t="s">
        <v>1113</v>
      </c>
      <c r="T1932" s="113"/>
      <c r="U1932" s="113"/>
      <c r="V1932" s="113"/>
      <c r="W1932" s="113"/>
      <c r="X1932" s="113"/>
      <c r="Y1932" s="113"/>
      <c r="Z1932" s="113"/>
      <c r="AA1932" s="113"/>
      <c r="AB1932" s="113"/>
      <c r="AC1932" s="113"/>
      <c r="AD1932" s="113"/>
      <c r="AE1932" s="113"/>
      <c r="AF1932" s="113"/>
      <c r="AG1932" s="113"/>
      <c r="AH1932" s="113"/>
      <c r="AI1932" s="113"/>
      <c r="AJ1932" s="113"/>
      <c r="AK1932" s="319" t="s">
        <v>1113</v>
      </c>
      <c r="AL1932" s="113"/>
      <c r="AM1932" s="113"/>
      <c r="AN1932" s="113"/>
      <c r="AO1932" s="44" t="s">
        <v>2334</v>
      </c>
      <c r="AP1932" s="43"/>
      <c r="AQ1932" s="236" t="str">
        <f>VLOOKUP(Table8[[#This Row],[Instrument]],Def_Targets!$D$73:$E$159,2,FALSE)</f>
        <v>I_Biofuel</v>
      </c>
      <c r="AR1932" s="233" t="str">
        <f>VLOOKUP(Table8[[#This Row],[Country Code]],Table29[],3,FALSE)</f>
        <v>Non-Annex I</v>
      </c>
      <c r="AS1932" s="233" t="str">
        <f>VLOOKUP(Table8[[#This Row],[Country Code]],Table29[],4,FALSE)</f>
        <v>Asia</v>
      </c>
      <c r="AT1932" s="233" t="str">
        <f>VLOOKUP(Table8[[#This Row],[Country Code]],Table29[],5,FALSE)</f>
        <v>High-income</v>
      </c>
      <c r="AU1932" s="233" t="str">
        <f>VLOOKUP(Table8[[#This Row],[Country Code]],Table29[],6,FALSE)</f>
        <v>G20</v>
      </c>
      <c r="AV1932" s="233" t="str">
        <f>VLOOKUP(Table8[[#This Row],[Country Code]],Table29[],7,FALSE)</f>
        <v>no</v>
      </c>
      <c r="AW1932" s="233" t="str">
        <f>VLOOKUP(Table8[[#This Row],[Country Code]],Table29[],8,FALSE)</f>
        <v>OECD</v>
      </c>
      <c r="AX1932" s="233" t="str">
        <f>VLOOKUP(Table8[[#This Row],[Country Code]],Table29[],9,FALSE)</f>
        <v>no</v>
      </c>
      <c r="AY1932" s="233" t="str">
        <f>VLOOKUP(Table8[[#This Row],[Country Code]],Table29[],10,FALSE)</f>
        <v>no</v>
      </c>
      <c r="AZ1932" s="235">
        <f>VLOOKUP(Table8[[#This Row],[Country Code]],Table29[],23,FALSE)</f>
        <v>653.84613998739997</v>
      </c>
      <c r="BA1932" s="235">
        <f>VLOOKUP(Table8[[#This Row],[Country Code]],Table29[],24,FALSE)</f>
        <v>107.9154569951917</v>
      </c>
      <c r="BB1932" s="320"/>
      <c r="BC1932" s="320"/>
    </row>
    <row r="1933" spans="1:55" hidden="1" x14ac:dyDescent="0.25">
      <c r="A1933" s="373">
        <v>17707</v>
      </c>
      <c r="B1933" s="233" t="str">
        <f>VLOOKUP(Table8[[#This Row],[Document ID]],Table1[],2,FALSE)</f>
        <v>KOR</v>
      </c>
      <c r="C1933" s="233" t="str">
        <f>VLOOKUP(Table8[[#This Row],[Document ID]],Table1[],3,FALSE)</f>
        <v>Republic of Korea</v>
      </c>
      <c r="D1933" s="243" t="str">
        <f>VLOOKUP(Table8[[#This Row],[Document ID]],Table1[],5,FALSE)</f>
        <v>LTS</v>
      </c>
      <c r="E1933" s="233" t="str">
        <f>VLOOKUP(Table8[[#This Row],[Document ID]],Table1[],7,FALSE)</f>
        <v>LTS</v>
      </c>
      <c r="F1933" s="233" t="str">
        <f>VLOOKUP(Table8[[#This Row],[Document ID]],Table1[],8,FALSE)</f>
        <v>LTS 1.0</v>
      </c>
      <c r="G1933" s="233" t="str">
        <f>VLOOKUP(Table8[[#This Row],[Document ID]],Table1[],10,FALSE)</f>
        <v>Active</v>
      </c>
      <c r="H1933" s="43" t="s">
        <v>2350</v>
      </c>
      <c r="I1933" s="43" t="s">
        <v>2456</v>
      </c>
      <c r="J1933" s="44" t="s">
        <v>2466</v>
      </c>
      <c r="K1933" s="44" t="s">
        <v>4111</v>
      </c>
      <c r="L1933" s="44" t="s">
        <v>2333</v>
      </c>
      <c r="M1933" s="43">
        <v>51</v>
      </c>
      <c r="N1933" s="113"/>
      <c r="O1933" s="113"/>
      <c r="P1933" s="113"/>
      <c r="Q1933" s="113"/>
      <c r="R1933" s="113"/>
      <c r="S1933" s="113"/>
      <c r="T1933" s="113"/>
      <c r="U1933" s="113"/>
      <c r="V1933" s="113"/>
      <c r="W1933" s="113"/>
      <c r="X1933" s="113"/>
      <c r="Y1933" s="113"/>
      <c r="Z1933" s="113" t="s">
        <v>1113</v>
      </c>
      <c r="AA1933" s="113"/>
      <c r="AB1933" s="113"/>
      <c r="AC1933" s="113"/>
      <c r="AD1933" s="113"/>
      <c r="AE1933" s="113"/>
      <c r="AF1933" s="113"/>
      <c r="AG1933" s="113"/>
      <c r="AH1933" s="113"/>
      <c r="AI1933" s="113"/>
      <c r="AJ1933" s="113"/>
      <c r="AK1933" s="319" t="s">
        <v>1113</v>
      </c>
      <c r="AL1933" s="113"/>
      <c r="AM1933" s="113"/>
      <c r="AN1933" s="113"/>
      <c r="AO1933" s="44" t="s">
        <v>2334</v>
      </c>
      <c r="AP1933" s="43"/>
      <c r="AQ1933" s="236" t="str">
        <f>VLOOKUP(Table8[[#This Row],[Instrument]],Def_Targets!$D$73:$E$159,2,FALSE)</f>
        <v>S_Infraexpansion</v>
      </c>
      <c r="AR1933" s="233" t="str">
        <f>VLOOKUP(Table8[[#This Row],[Country Code]],Table29[],3,FALSE)</f>
        <v>Non-Annex I</v>
      </c>
      <c r="AS1933" s="233" t="str">
        <f>VLOOKUP(Table8[[#This Row],[Country Code]],Table29[],4,FALSE)</f>
        <v>Asia</v>
      </c>
      <c r="AT1933" s="233" t="str">
        <f>VLOOKUP(Table8[[#This Row],[Country Code]],Table29[],5,FALSE)</f>
        <v>High-income</v>
      </c>
      <c r="AU1933" s="233" t="str">
        <f>VLOOKUP(Table8[[#This Row],[Country Code]],Table29[],6,FALSE)</f>
        <v>G20</v>
      </c>
      <c r="AV1933" s="233" t="str">
        <f>VLOOKUP(Table8[[#This Row],[Country Code]],Table29[],7,FALSE)</f>
        <v>no</v>
      </c>
      <c r="AW1933" s="233" t="str">
        <f>VLOOKUP(Table8[[#This Row],[Country Code]],Table29[],8,FALSE)</f>
        <v>OECD</v>
      </c>
      <c r="AX1933" s="233" t="str">
        <f>VLOOKUP(Table8[[#This Row],[Country Code]],Table29[],9,FALSE)</f>
        <v>no</v>
      </c>
      <c r="AY1933" s="233" t="str">
        <f>VLOOKUP(Table8[[#This Row],[Country Code]],Table29[],10,FALSE)</f>
        <v>no</v>
      </c>
      <c r="AZ1933" s="235">
        <f>VLOOKUP(Table8[[#This Row],[Country Code]],Table29[],23,FALSE)</f>
        <v>653.84613998739997</v>
      </c>
      <c r="BA1933" s="235">
        <f>VLOOKUP(Table8[[#This Row],[Country Code]],Table29[],24,FALSE)</f>
        <v>107.9154569951917</v>
      </c>
      <c r="BB1933" s="320"/>
      <c r="BC1933" s="320"/>
    </row>
    <row r="1934" spans="1:55" hidden="1" x14ac:dyDescent="0.25">
      <c r="A1934" s="373">
        <v>17707</v>
      </c>
      <c r="B1934" s="233" t="str">
        <f>VLOOKUP(Table8[[#This Row],[Document ID]],Table1[],2,FALSE)</f>
        <v>KOR</v>
      </c>
      <c r="C1934" s="233" t="str">
        <f>VLOOKUP(Table8[[#This Row],[Document ID]],Table1[],3,FALSE)</f>
        <v>Republic of Korea</v>
      </c>
      <c r="D1934" s="243" t="str">
        <f>VLOOKUP(Table8[[#This Row],[Document ID]],Table1[],5,FALSE)</f>
        <v>LTS</v>
      </c>
      <c r="E1934" s="233" t="str">
        <f>VLOOKUP(Table8[[#This Row],[Document ID]],Table1[],7,FALSE)</f>
        <v>LTS</v>
      </c>
      <c r="F1934" s="233" t="str">
        <f>VLOOKUP(Table8[[#This Row],[Document ID]],Table1[],8,FALSE)</f>
        <v>LTS 1.0</v>
      </c>
      <c r="G1934" s="233" t="str">
        <f>VLOOKUP(Table8[[#This Row],[Document ID]],Table1[],10,FALSE)</f>
        <v>Active</v>
      </c>
      <c r="H1934" s="43" t="s">
        <v>2484</v>
      </c>
      <c r="I1934" s="43" t="s">
        <v>2488</v>
      </c>
      <c r="J1934" s="44" t="s">
        <v>2489</v>
      </c>
      <c r="K1934" s="44" t="s">
        <v>4112</v>
      </c>
      <c r="L1934" s="44" t="s">
        <v>2333</v>
      </c>
      <c r="M1934" s="43">
        <v>51</v>
      </c>
      <c r="N1934" s="113"/>
      <c r="O1934" s="113"/>
      <c r="P1934" s="113"/>
      <c r="Q1934" s="113"/>
      <c r="R1934" s="113"/>
      <c r="S1934" s="113"/>
      <c r="T1934" s="113"/>
      <c r="U1934" s="113"/>
      <c r="V1934" s="113"/>
      <c r="W1934" s="113"/>
      <c r="X1934" s="113"/>
      <c r="Y1934" s="113"/>
      <c r="Z1934" s="113"/>
      <c r="AA1934" s="113"/>
      <c r="AB1934" s="113"/>
      <c r="AC1934" s="113"/>
      <c r="AD1934" s="113"/>
      <c r="AE1934" s="113"/>
      <c r="AF1934" s="113"/>
      <c r="AG1934" s="113"/>
      <c r="AH1934" s="113" t="s">
        <v>1113</v>
      </c>
      <c r="AI1934" s="113"/>
      <c r="AJ1934" s="113"/>
      <c r="AK1934" s="319" t="s">
        <v>1113</v>
      </c>
      <c r="AL1934" s="113"/>
      <c r="AM1934" s="113"/>
      <c r="AN1934" s="113"/>
      <c r="AO1934" s="44" t="s">
        <v>2334</v>
      </c>
      <c r="AP1934" s="43"/>
      <c r="AQ1934" s="236" t="str">
        <f>VLOOKUP(Table8[[#This Row],[Instrument]],Def_Targets!$D$73:$E$159,2,FALSE)</f>
        <v>I_Aviation</v>
      </c>
      <c r="AR1934" s="233" t="str">
        <f>VLOOKUP(Table8[[#This Row],[Country Code]],Table29[],3,FALSE)</f>
        <v>Non-Annex I</v>
      </c>
      <c r="AS1934" s="233" t="str">
        <f>VLOOKUP(Table8[[#This Row],[Country Code]],Table29[],4,FALSE)</f>
        <v>Asia</v>
      </c>
      <c r="AT1934" s="233" t="str">
        <f>VLOOKUP(Table8[[#This Row],[Country Code]],Table29[],5,FALSE)</f>
        <v>High-income</v>
      </c>
      <c r="AU1934" s="233" t="str">
        <f>VLOOKUP(Table8[[#This Row],[Country Code]],Table29[],6,FALSE)</f>
        <v>G20</v>
      </c>
      <c r="AV1934" s="233" t="str">
        <f>VLOOKUP(Table8[[#This Row],[Country Code]],Table29[],7,FALSE)</f>
        <v>no</v>
      </c>
      <c r="AW1934" s="233" t="str">
        <f>VLOOKUP(Table8[[#This Row],[Country Code]],Table29[],8,FALSE)</f>
        <v>OECD</v>
      </c>
      <c r="AX1934" s="233" t="str">
        <f>VLOOKUP(Table8[[#This Row],[Country Code]],Table29[],9,FALSE)</f>
        <v>no</v>
      </c>
      <c r="AY1934" s="233" t="str">
        <f>VLOOKUP(Table8[[#This Row],[Country Code]],Table29[],10,FALSE)</f>
        <v>no</v>
      </c>
      <c r="AZ1934" s="235">
        <f>VLOOKUP(Table8[[#This Row],[Country Code]],Table29[],23,FALSE)</f>
        <v>653.84613998739997</v>
      </c>
      <c r="BA1934" s="235">
        <f>VLOOKUP(Table8[[#This Row],[Country Code]],Table29[],24,FALSE)</f>
        <v>107.9154569951917</v>
      </c>
      <c r="BB1934" s="320"/>
      <c r="BC1934" s="320"/>
    </row>
    <row r="1935" spans="1:55" hidden="1" x14ac:dyDescent="0.25">
      <c r="A1935" s="373">
        <v>17707</v>
      </c>
      <c r="B1935" s="233" t="str">
        <f>VLOOKUP(Table8[[#This Row],[Document ID]],Table1[],2,FALSE)</f>
        <v>KOR</v>
      </c>
      <c r="C1935" s="233" t="str">
        <f>VLOOKUP(Table8[[#This Row],[Document ID]],Table1[],3,FALSE)</f>
        <v>Republic of Korea</v>
      </c>
      <c r="D1935" s="243" t="str">
        <f>VLOOKUP(Table8[[#This Row],[Document ID]],Table1[],5,FALSE)</f>
        <v>LTS</v>
      </c>
      <c r="E1935" s="233" t="str">
        <f>VLOOKUP(Table8[[#This Row],[Document ID]],Table1[],7,FALSE)</f>
        <v>LTS</v>
      </c>
      <c r="F1935" s="233" t="str">
        <f>VLOOKUP(Table8[[#This Row],[Document ID]],Table1[],8,FALSE)</f>
        <v>LTS 1.0</v>
      </c>
      <c r="G1935" s="233" t="str">
        <f>VLOOKUP(Table8[[#This Row],[Document ID]],Table1[],10,FALSE)</f>
        <v>Active</v>
      </c>
      <c r="H1935" s="43" t="s">
        <v>2484</v>
      </c>
      <c r="I1935" s="43" t="s">
        <v>2485</v>
      </c>
      <c r="J1935" s="44" t="s">
        <v>2486</v>
      </c>
      <c r="K1935" s="44" t="s">
        <v>4113</v>
      </c>
      <c r="L1935" s="44" t="s">
        <v>2333</v>
      </c>
      <c r="M1935" s="43">
        <v>51</v>
      </c>
      <c r="N1935" s="113"/>
      <c r="O1935" s="113"/>
      <c r="P1935" s="113"/>
      <c r="Q1935" s="113"/>
      <c r="R1935" s="113"/>
      <c r="S1935" s="113"/>
      <c r="T1935" s="113"/>
      <c r="U1935" s="113"/>
      <c r="V1935" s="113"/>
      <c r="W1935" s="113"/>
      <c r="X1935" s="113"/>
      <c r="Y1935" s="113"/>
      <c r="Z1935" s="113"/>
      <c r="AA1935" s="113"/>
      <c r="AB1935" s="113"/>
      <c r="AC1935" s="113"/>
      <c r="AD1935" s="113" t="s">
        <v>1113</v>
      </c>
      <c r="AE1935" s="113"/>
      <c r="AF1935" s="113"/>
      <c r="AG1935" s="113"/>
      <c r="AH1935" s="113"/>
      <c r="AI1935" s="113"/>
      <c r="AJ1935" s="113"/>
      <c r="AK1935" s="319" t="s">
        <v>1113</v>
      </c>
      <c r="AL1935" s="113"/>
      <c r="AM1935" s="113"/>
      <c r="AN1935" s="113"/>
      <c r="AO1935" s="44" t="s">
        <v>2334</v>
      </c>
      <c r="AP1935" s="43"/>
      <c r="AQ1935" s="236" t="str">
        <f>VLOOKUP(Table8[[#This Row],[Instrument]],Def_Targets!$D$73:$E$159,2,FALSE)</f>
        <v>I_Shipping</v>
      </c>
      <c r="AR1935" s="233" t="str">
        <f>VLOOKUP(Table8[[#This Row],[Country Code]],Table29[],3,FALSE)</f>
        <v>Non-Annex I</v>
      </c>
      <c r="AS1935" s="233" t="str">
        <f>VLOOKUP(Table8[[#This Row],[Country Code]],Table29[],4,FALSE)</f>
        <v>Asia</v>
      </c>
      <c r="AT1935" s="233" t="str">
        <f>VLOOKUP(Table8[[#This Row],[Country Code]],Table29[],5,FALSE)</f>
        <v>High-income</v>
      </c>
      <c r="AU1935" s="233" t="str">
        <f>VLOOKUP(Table8[[#This Row],[Country Code]],Table29[],6,FALSE)</f>
        <v>G20</v>
      </c>
      <c r="AV1935" s="233" t="str">
        <f>VLOOKUP(Table8[[#This Row],[Country Code]],Table29[],7,FALSE)</f>
        <v>no</v>
      </c>
      <c r="AW1935" s="233" t="str">
        <f>VLOOKUP(Table8[[#This Row],[Country Code]],Table29[],8,FALSE)</f>
        <v>OECD</v>
      </c>
      <c r="AX1935" s="233" t="str">
        <f>VLOOKUP(Table8[[#This Row],[Country Code]],Table29[],9,FALSE)</f>
        <v>no</v>
      </c>
      <c r="AY1935" s="233" t="str">
        <f>VLOOKUP(Table8[[#This Row],[Country Code]],Table29[],10,FALSE)</f>
        <v>no</v>
      </c>
      <c r="AZ1935" s="235">
        <f>VLOOKUP(Table8[[#This Row],[Country Code]],Table29[],23,FALSE)</f>
        <v>653.84613998739997</v>
      </c>
      <c r="BA1935" s="235">
        <f>VLOOKUP(Table8[[#This Row],[Country Code]],Table29[],24,FALSE)</f>
        <v>107.9154569951917</v>
      </c>
      <c r="BB1935" s="320"/>
      <c r="BC1935" s="320"/>
    </row>
    <row r="1936" spans="1:55" hidden="1" x14ac:dyDescent="0.25">
      <c r="A1936" s="373">
        <v>17707</v>
      </c>
      <c r="B1936" s="233" t="str">
        <f>VLOOKUP(Table8[[#This Row],[Document ID]],Table1[],2,FALSE)</f>
        <v>KOR</v>
      </c>
      <c r="C1936" s="233" t="str">
        <f>VLOOKUP(Table8[[#This Row],[Document ID]],Table1[],3,FALSE)</f>
        <v>Republic of Korea</v>
      </c>
      <c r="D1936" s="243" t="str">
        <f>VLOOKUP(Table8[[#This Row],[Document ID]],Table1[],5,FALSE)</f>
        <v>LTS</v>
      </c>
      <c r="E1936" s="233" t="str">
        <f>VLOOKUP(Table8[[#This Row],[Document ID]],Table1[],7,FALSE)</f>
        <v>LTS</v>
      </c>
      <c r="F1936" s="233" t="str">
        <f>VLOOKUP(Table8[[#This Row],[Document ID]],Table1[],8,FALSE)</f>
        <v>LTS 1.0</v>
      </c>
      <c r="G1936" s="233" t="str">
        <f>VLOOKUP(Table8[[#This Row],[Document ID]],Table1[],10,FALSE)</f>
        <v>Active</v>
      </c>
      <c r="H1936" s="43" t="s">
        <v>2343</v>
      </c>
      <c r="I1936" s="43" t="s">
        <v>2377</v>
      </c>
      <c r="J1936" s="44" t="s">
        <v>2394</v>
      </c>
      <c r="K1936" s="44" t="s">
        <v>4114</v>
      </c>
      <c r="L1936" s="44" t="s">
        <v>2333</v>
      </c>
      <c r="M1936" s="43">
        <v>51</v>
      </c>
      <c r="N1936" s="113" t="s">
        <v>1113</v>
      </c>
      <c r="O1936" s="113"/>
      <c r="P1936" s="113"/>
      <c r="Q1936" s="113"/>
      <c r="R1936" s="113"/>
      <c r="S1936" s="113"/>
      <c r="T1936" s="113"/>
      <c r="U1936" s="113"/>
      <c r="V1936" s="113"/>
      <c r="W1936" s="113"/>
      <c r="X1936" s="113"/>
      <c r="Y1936" s="113"/>
      <c r="Z1936" s="113"/>
      <c r="AA1936" s="113"/>
      <c r="AB1936" s="113"/>
      <c r="AC1936" s="113"/>
      <c r="AD1936" s="113"/>
      <c r="AE1936" s="113"/>
      <c r="AF1936" s="113"/>
      <c r="AG1936" s="113"/>
      <c r="AH1936" s="113"/>
      <c r="AI1936" s="113"/>
      <c r="AJ1936" s="113"/>
      <c r="AK1936" s="319" t="s">
        <v>1113</v>
      </c>
      <c r="AL1936" s="113"/>
      <c r="AM1936" s="113"/>
      <c r="AN1936" s="113"/>
      <c r="AO1936" s="44" t="s">
        <v>2334</v>
      </c>
      <c r="AP1936" s="43"/>
      <c r="AQ1936" s="236" t="str">
        <f>VLOOKUP(Table8[[#This Row],[Instrument]],Def_Targets!$D$73:$E$159,2,FALSE)</f>
        <v>A_TDM</v>
      </c>
      <c r="AR1936" s="233" t="str">
        <f>VLOOKUP(Table8[[#This Row],[Country Code]],Table29[],3,FALSE)</f>
        <v>Non-Annex I</v>
      </c>
      <c r="AS1936" s="233" t="str">
        <f>VLOOKUP(Table8[[#This Row],[Country Code]],Table29[],4,FALSE)</f>
        <v>Asia</v>
      </c>
      <c r="AT1936" s="233" t="str">
        <f>VLOOKUP(Table8[[#This Row],[Country Code]],Table29[],5,FALSE)</f>
        <v>High-income</v>
      </c>
      <c r="AU1936" s="233" t="str">
        <f>VLOOKUP(Table8[[#This Row],[Country Code]],Table29[],6,FALSE)</f>
        <v>G20</v>
      </c>
      <c r="AV1936" s="233" t="str">
        <f>VLOOKUP(Table8[[#This Row],[Country Code]],Table29[],7,FALSE)</f>
        <v>no</v>
      </c>
      <c r="AW1936" s="233" t="str">
        <f>VLOOKUP(Table8[[#This Row],[Country Code]],Table29[],8,FALSE)</f>
        <v>OECD</v>
      </c>
      <c r="AX1936" s="233" t="str">
        <f>VLOOKUP(Table8[[#This Row],[Country Code]],Table29[],9,FALSE)</f>
        <v>no</v>
      </c>
      <c r="AY1936" s="233" t="str">
        <f>VLOOKUP(Table8[[#This Row],[Country Code]],Table29[],10,FALSE)</f>
        <v>no</v>
      </c>
      <c r="AZ1936" s="235">
        <f>VLOOKUP(Table8[[#This Row],[Country Code]],Table29[],23,FALSE)</f>
        <v>653.84613998739997</v>
      </c>
      <c r="BA1936" s="235">
        <f>VLOOKUP(Table8[[#This Row],[Country Code]],Table29[],24,FALSE)</f>
        <v>107.9154569951917</v>
      </c>
      <c r="BB1936" s="320"/>
      <c r="BC1936" s="320"/>
    </row>
    <row r="1937" spans="1:55" ht="30" hidden="1" x14ac:dyDescent="0.25">
      <c r="A1937" s="373">
        <v>17707</v>
      </c>
      <c r="B1937" s="233" t="str">
        <f>VLOOKUP(Table8[[#This Row],[Document ID]],Table1[],2,FALSE)</f>
        <v>KOR</v>
      </c>
      <c r="C1937" s="233" t="str">
        <f>VLOOKUP(Table8[[#This Row],[Document ID]],Table1[],3,FALSE)</f>
        <v>Republic of Korea</v>
      </c>
      <c r="D1937" s="243" t="str">
        <f>VLOOKUP(Table8[[#This Row],[Document ID]],Table1[],5,FALSE)</f>
        <v>LTS</v>
      </c>
      <c r="E1937" s="233" t="str">
        <f>VLOOKUP(Table8[[#This Row],[Document ID]],Table1[],7,FALSE)</f>
        <v>LTS</v>
      </c>
      <c r="F1937" s="233" t="str">
        <f>VLOOKUP(Table8[[#This Row],[Document ID]],Table1[],8,FALSE)</f>
        <v>LTS 1.0</v>
      </c>
      <c r="G1937" s="233" t="str">
        <f>VLOOKUP(Table8[[#This Row],[Document ID]],Table1[],10,FALSE)</f>
        <v>Active</v>
      </c>
      <c r="H1937" s="43" t="s">
        <v>2343</v>
      </c>
      <c r="I1937" s="43" t="s">
        <v>2377</v>
      </c>
      <c r="J1937" s="44" t="s">
        <v>2394</v>
      </c>
      <c r="K1937" s="44" t="s">
        <v>4115</v>
      </c>
      <c r="L1937" s="44" t="s">
        <v>2380</v>
      </c>
      <c r="M1937" s="43">
        <v>75</v>
      </c>
      <c r="N1937" s="113" t="s">
        <v>1113</v>
      </c>
      <c r="O1937" s="113"/>
      <c r="P1937" s="113"/>
      <c r="Q1937" s="113"/>
      <c r="R1937" s="113"/>
      <c r="S1937" s="113"/>
      <c r="T1937" s="113"/>
      <c r="U1937" s="113"/>
      <c r="V1937" s="113"/>
      <c r="W1937" s="113"/>
      <c r="X1937" s="113"/>
      <c r="Y1937" s="113"/>
      <c r="Z1937" s="113"/>
      <c r="AA1937" s="113"/>
      <c r="AB1937" s="113"/>
      <c r="AC1937" s="113"/>
      <c r="AD1937" s="113"/>
      <c r="AE1937" s="113"/>
      <c r="AF1937" s="113"/>
      <c r="AG1937" s="113"/>
      <c r="AH1937" s="113"/>
      <c r="AI1937" s="113"/>
      <c r="AJ1937" s="113"/>
      <c r="AK1937" s="319" t="s">
        <v>1113</v>
      </c>
      <c r="AL1937" s="113"/>
      <c r="AM1937" s="113"/>
      <c r="AN1937" s="113"/>
      <c r="AO1937" s="44" t="s">
        <v>2334</v>
      </c>
      <c r="AP1937" s="43"/>
      <c r="AQ1937" s="236" t="str">
        <f>VLOOKUP(Table8[[#This Row],[Instrument]],Def_Targets!$D$73:$E$159,2,FALSE)</f>
        <v>A_TDM</v>
      </c>
      <c r="AR1937" s="233" t="str">
        <f>VLOOKUP(Table8[[#This Row],[Country Code]],Table29[],3,FALSE)</f>
        <v>Non-Annex I</v>
      </c>
      <c r="AS1937" s="233" t="str">
        <f>VLOOKUP(Table8[[#This Row],[Country Code]],Table29[],4,FALSE)</f>
        <v>Asia</v>
      </c>
      <c r="AT1937" s="233" t="str">
        <f>VLOOKUP(Table8[[#This Row],[Country Code]],Table29[],5,FALSE)</f>
        <v>High-income</v>
      </c>
      <c r="AU1937" s="233" t="str">
        <f>VLOOKUP(Table8[[#This Row],[Country Code]],Table29[],6,FALSE)</f>
        <v>G20</v>
      </c>
      <c r="AV1937" s="233" t="str">
        <f>VLOOKUP(Table8[[#This Row],[Country Code]],Table29[],7,FALSE)</f>
        <v>no</v>
      </c>
      <c r="AW1937" s="233" t="str">
        <f>VLOOKUP(Table8[[#This Row],[Country Code]],Table29[],8,FALSE)</f>
        <v>OECD</v>
      </c>
      <c r="AX1937" s="233" t="str">
        <f>VLOOKUP(Table8[[#This Row],[Country Code]],Table29[],9,FALSE)</f>
        <v>no</v>
      </c>
      <c r="AY1937" s="233" t="str">
        <f>VLOOKUP(Table8[[#This Row],[Country Code]],Table29[],10,FALSE)</f>
        <v>no</v>
      </c>
      <c r="AZ1937" s="235">
        <f>VLOOKUP(Table8[[#This Row],[Country Code]],Table29[],23,FALSE)</f>
        <v>653.84613998739997</v>
      </c>
      <c r="BA1937" s="235">
        <f>VLOOKUP(Table8[[#This Row],[Country Code]],Table29[],24,FALSE)</f>
        <v>107.9154569951917</v>
      </c>
      <c r="BB1937" s="320"/>
      <c r="BC1937" s="320"/>
    </row>
    <row r="1938" spans="1:55" ht="60" hidden="1" x14ac:dyDescent="0.25">
      <c r="A1938" s="373">
        <v>17707</v>
      </c>
      <c r="B1938" s="233" t="str">
        <f>VLOOKUP(Table8[[#This Row],[Document ID]],Table1[],2,FALSE)</f>
        <v>KOR</v>
      </c>
      <c r="C1938" s="233" t="str">
        <f>VLOOKUP(Table8[[#This Row],[Document ID]],Table1[],3,FALSE)</f>
        <v>Republic of Korea</v>
      </c>
      <c r="D1938" s="243" t="str">
        <f>VLOOKUP(Table8[[#This Row],[Document ID]],Table1[],5,FALSE)</f>
        <v>LTS</v>
      </c>
      <c r="E1938" s="233" t="str">
        <f>VLOOKUP(Table8[[#This Row],[Document ID]],Table1[],7,FALSE)</f>
        <v>LTS</v>
      </c>
      <c r="F1938" s="233" t="str">
        <f>VLOOKUP(Table8[[#This Row],[Document ID]],Table1[],8,FALSE)</f>
        <v>LTS 1.0</v>
      </c>
      <c r="G1938" s="233" t="str">
        <f>VLOOKUP(Table8[[#This Row],[Document ID]],Table1[],10,FALSE)</f>
        <v>Active</v>
      </c>
      <c r="H1938" s="43" t="s">
        <v>2358</v>
      </c>
      <c r="I1938" s="43" t="s">
        <v>2359</v>
      </c>
      <c r="J1938" s="44" t="s">
        <v>2360</v>
      </c>
      <c r="K1938" s="44" t="s">
        <v>4116</v>
      </c>
      <c r="L1938" s="44" t="s">
        <v>2333</v>
      </c>
      <c r="M1938" s="43">
        <v>76</v>
      </c>
      <c r="N1938" s="113" t="s">
        <v>1113</v>
      </c>
      <c r="O1938" s="113"/>
      <c r="P1938" s="113"/>
      <c r="Q1938" s="113"/>
      <c r="R1938" s="113"/>
      <c r="S1938" s="113"/>
      <c r="T1938" s="113"/>
      <c r="U1938" s="113"/>
      <c r="V1938" s="113"/>
      <c r="W1938" s="113"/>
      <c r="X1938" s="113"/>
      <c r="Y1938" s="113"/>
      <c r="Z1938" s="113"/>
      <c r="AA1938" s="113"/>
      <c r="AB1938" s="113"/>
      <c r="AC1938" s="113"/>
      <c r="AD1938" s="113"/>
      <c r="AE1938" s="113"/>
      <c r="AF1938" s="113"/>
      <c r="AG1938" s="113"/>
      <c r="AH1938" s="113"/>
      <c r="AI1938" s="113"/>
      <c r="AJ1938" s="113"/>
      <c r="AK1938" s="319" t="s">
        <v>1113</v>
      </c>
      <c r="AL1938" s="113"/>
      <c r="AM1938" s="113"/>
      <c r="AN1938" s="113"/>
      <c r="AO1938" s="44" t="s">
        <v>2334</v>
      </c>
      <c r="AP1938" s="43"/>
      <c r="AQ1938" s="236" t="str">
        <f>VLOOKUP(Table8[[#This Row],[Instrument]],Def_Targets!$D$73:$E$159,2,FALSE)</f>
        <v>I_Emobility</v>
      </c>
      <c r="AR1938" s="233" t="str">
        <f>VLOOKUP(Table8[[#This Row],[Country Code]],Table29[],3,FALSE)</f>
        <v>Non-Annex I</v>
      </c>
      <c r="AS1938" s="233" t="str">
        <f>VLOOKUP(Table8[[#This Row],[Country Code]],Table29[],4,FALSE)</f>
        <v>Asia</v>
      </c>
      <c r="AT1938" s="233" t="str">
        <f>VLOOKUP(Table8[[#This Row],[Country Code]],Table29[],5,FALSE)</f>
        <v>High-income</v>
      </c>
      <c r="AU1938" s="233" t="str">
        <f>VLOOKUP(Table8[[#This Row],[Country Code]],Table29[],6,FALSE)</f>
        <v>G20</v>
      </c>
      <c r="AV1938" s="233" t="str">
        <f>VLOOKUP(Table8[[#This Row],[Country Code]],Table29[],7,FALSE)</f>
        <v>no</v>
      </c>
      <c r="AW1938" s="233" t="str">
        <f>VLOOKUP(Table8[[#This Row],[Country Code]],Table29[],8,FALSE)</f>
        <v>OECD</v>
      </c>
      <c r="AX1938" s="233" t="str">
        <f>VLOOKUP(Table8[[#This Row],[Country Code]],Table29[],9,FALSE)</f>
        <v>no</v>
      </c>
      <c r="AY1938" s="233" t="str">
        <f>VLOOKUP(Table8[[#This Row],[Country Code]],Table29[],10,FALSE)</f>
        <v>no</v>
      </c>
      <c r="AZ1938" s="235">
        <f>VLOOKUP(Table8[[#This Row],[Country Code]],Table29[],23,FALSE)</f>
        <v>653.84613998739997</v>
      </c>
      <c r="BA1938" s="235">
        <f>VLOOKUP(Table8[[#This Row],[Country Code]],Table29[],24,FALSE)</f>
        <v>107.9154569951917</v>
      </c>
      <c r="BB1938" s="320"/>
      <c r="BC1938" s="320"/>
    </row>
    <row r="1939" spans="1:55" ht="60" hidden="1" x14ac:dyDescent="0.25">
      <c r="A1939" s="373">
        <v>17707</v>
      </c>
      <c r="B1939" s="233" t="str">
        <f>VLOOKUP(Table8[[#This Row],[Document ID]],Table1[],2,FALSE)</f>
        <v>KOR</v>
      </c>
      <c r="C1939" s="233" t="str">
        <f>VLOOKUP(Table8[[#This Row],[Document ID]],Table1[],3,FALSE)</f>
        <v>Republic of Korea</v>
      </c>
      <c r="D1939" s="243" t="str">
        <f>VLOOKUP(Table8[[#This Row],[Document ID]],Table1[],5,FALSE)</f>
        <v>LTS</v>
      </c>
      <c r="E1939" s="233" t="str">
        <f>VLOOKUP(Table8[[#This Row],[Document ID]],Table1[],7,FALSE)</f>
        <v>LTS</v>
      </c>
      <c r="F1939" s="233" t="str">
        <f>VLOOKUP(Table8[[#This Row],[Document ID]],Table1[],8,FALSE)</f>
        <v>LTS 1.0</v>
      </c>
      <c r="G1939" s="233" t="str">
        <f>VLOOKUP(Table8[[#This Row],[Document ID]],Table1[],10,FALSE)</f>
        <v>Active</v>
      </c>
      <c r="H1939" s="44" t="s">
        <v>2329</v>
      </c>
      <c r="I1939" s="44" t="s">
        <v>2330</v>
      </c>
      <c r="J1939" s="44" t="s">
        <v>2391</v>
      </c>
      <c r="K1939" s="44" t="s">
        <v>4116</v>
      </c>
      <c r="L1939" s="44" t="s">
        <v>2333</v>
      </c>
      <c r="M1939" s="43">
        <v>76</v>
      </c>
      <c r="N1939" s="113" t="s">
        <v>1113</v>
      </c>
      <c r="O1939" s="113"/>
      <c r="P1939" s="113"/>
      <c r="Q1939" s="113"/>
      <c r="R1939" s="113"/>
      <c r="S1939" s="113"/>
      <c r="T1939" s="113"/>
      <c r="U1939" s="113"/>
      <c r="V1939" s="113"/>
      <c r="W1939" s="113"/>
      <c r="X1939" s="113"/>
      <c r="Y1939" s="113"/>
      <c r="Z1939" s="113"/>
      <c r="AA1939" s="113"/>
      <c r="AB1939" s="113"/>
      <c r="AC1939" s="113"/>
      <c r="AD1939" s="113"/>
      <c r="AE1939" s="113"/>
      <c r="AF1939" s="113"/>
      <c r="AG1939" s="113"/>
      <c r="AH1939" s="113"/>
      <c r="AI1939" s="113"/>
      <c r="AJ1939" s="113"/>
      <c r="AK1939" s="319" t="s">
        <v>1113</v>
      </c>
      <c r="AL1939" s="113"/>
      <c r="AM1939" s="113"/>
      <c r="AN1939" s="113"/>
      <c r="AO1939" s="44" t="s">
        <v>2334</v>
      </c>
      <c r="AP1939" s="43"/>
      <c r="AQ1939" s="236" t="str">
        <f>VLOOKUP(Table8[[#This Row],[Instrument]],Def_Targets!$D$73:$E$159,2,FALSE)</f>
        <v>I_Hydrogen</v>
      </c>
      <c r="AR1939" s="233" t="str">
        <f>VLOOKUP(Table8[[#This Row],[Country Code]],Table29[],3,FALSE)</f>
        <v>Non-Annex I</v>
      </c>
      <c r="AS1939" s="233" t="str">
        <f>VLOOKUP(Table8[[#This Row],[Country Code]],Table29[],4,FALSE)</f>
        <v>Asia</v>
      </c>
      <c r="AT1939" s="233" t="str">
        <f>VLOOKUP(Table8[[#This Row],[Country Code]],Table29[],5,FALSE)</f>
        <v>High-income</v>
      </c>
      <c r="AU1939" s="233" t="str">
        <f>VLOOKUP(Table8[[#This Row],[Country Code]],Table29[],6,FALSE)</f>
        <v>G20</v>
      </c>
      <c r="AV1939" s="233" t="str">
        <f>VLOOKUP(Table8[[#This Row],[Country Code]],Table29[],7,FALSE)</f>
        <v>no</v>
      </c>
      <c r="AW1939" s="233" t="str">
        <f>VLOOKUP(Table8[[#This Row],[Country Code]],Table29[],8,FALSE)</f>
        <v>OECD</v>
      </c>
      <c r="AX1939" s="233" t="str">
        <f>VLOOKUP(Table8[[#This Row],[Country Code]],Table29[],9,FALSE)</f>
        <v>no</v>
      </c>
      <c r="AY1939" s="233" t="str">
        <f>VLOOKUP(Table8[[#This Row],[Country Code]],Table29[],10,FALSE)</f>
        <v>no</v>
      </c>
      <c r="AZ1939" s="235">
        <f>VLOOKUP(Table8[[#This Row],[Country Code]],Table29[],23,FALSE)</f>
        <v>653.84613998739997</v>
      </c>
      <c r="BA1939" s="235">
        <f>VLOOKUP(Table8[[#This Row],[Country Code]],Table29[],24,FALSE)</f>
        <v>107.9154569951917</v>
      </c>
      <c r="BB1939" s="320"/>
      <c r="BC1939" s="320"/>
    </row>
    <row r="1940" spans="1:55" ht="45" hidden="1" x14ac:dyDescent="0.25">
      <c r="A1940" s="373">
        <v>17707</v>
      </c>
      <c r="B1940" s="233" t="str">
        <f>VLOOKUP(Table8[[#This Row],[Document ID]],Table1[],2,FALSE)</f>
        <v>KOR</v>
      </c>
      <c r="C1940" s="233" t="str">
        <f>VLOOKUP(Table8[[#This Row],[Document ID]],Table1[],3,FALSE)</f>
        <v>Republic of Korea</v>
      </c>
      <c r="D1940" s="243" t="str">
        <f>VLOOKUP(Table8[[#This Row],[Document ID]],Table1[],5,FALSE)</f>
        <v>LTS</v>
      </c>
      <c r="E1940" s="233" t="str">
        <f>VLOOKUP(Table8[[#This Row],[Document ID]],Table1[],7,FALSE)</f>
        <v>LTS</v>
      </c>
      <c r="F1940" s="233" t="str">
        <f>VLOOKUP(Table8[[#This Row],[Document ID]],Table1[],8,FALSE)</f>
        <v>LTS 1.0</v>
      </c>
      <c r="G1940" s="233" t="str">
        <f>VLOOKUP(Table8[[#This Row],[Document ID]],Table1[],10,FALSE)</f>
        <v>Active</v>
      </c>
      <c r="H1940" s="44" t="s">
        <v>2329</v>
      </c>
      <c r="I1940" s="44" t="s">
        <v>2330</v>
      </c>
      <c r="J1940" s="44" t="s">
        <v>2381</v>
      </c>
      <c r="K1940" s="44" t="s">
        <v>4117</v>
      </c>
      <c r="L1940" s="44" t="s">
        <v>2333</v>
      </c>
      <c r="M1940" s="43">
        <v>77</v>
      </c>
      <c r="N1940" s="113" t="s">
        <v>1113</v>
      </c>
      <c r="O1940" s="113"/>
      <c r="P1940" s="113"/>
      <c r="Q1940" s="113"/>
      <c r="R1940" s="113"/>
      <c r="S1940" s="113"/>
      <c r="T1940" s="113"/>
      <c r="U1940" s="113"/>
      <c r="V1940" s="113"/>
      <c r="W1940" s="113"/>
      <c r="X1940" s="113"/>
      <c r="Y1940" s="113"/>
      <c r="Z1940" s="113"/>
      <c r="AA1940" s="113"/>
      <c r="AB1940" s="113"/>
      <c r="AC1940" s="113"/>
      <c r="AD1940" s="113"/>
      <c r="AE1940" s="113"/>
      <c r="AF1940" s="113"/>
      <c r="AG1940" s="113"/>
      <c r="AH1940" s="113"/>
      <c r="AI1940" s="113"/>
      <c r="AJ1940" s="113"/>
      <c r="AK1940" s="319" t="s">
        <v>1113</v>
      </c>
      <c r="AL1940" s="113"/>
      <c r="AM1940" s="113"/>
      <c r="AN1940" s="113"/>
      <c r="AO1940" s="44" t="s">
        <v>2334</v>
      </c>
      <c r="AP1940" s="43"/>
      <c r="AQ1940" s="236" t="str">
        <f>VLOOKUP(Table8[[#This Row],[Instrument]],Def_Targets!$D$73:$E$159,2,FALSE)</f>
        <v>I_RE</v>
      </c>
      <c r="AR1940" s="233" t="str">
        <f>VLOOKUP(Table8[[#This Row],[Country Code]],Table29[],3,FALSE)</f>
        <v>Non-Annex I</v>
      </c>
      <c r="AS1940" s="233" t="str">
        <f>VLOOKUP(Table8[[#This Row],[Country Code]],Table29[],4,FALSE)</f>
        <v>Asia</v>
      </c>
      <c r="AT1940" s="233" t="str">
        <f>VLOOKUP(Table8[[#This Row],[Country Code]],Table29[],5,FALSE)</f>
        <v>High-income</v>
      </c>
      <c r="AU1940" s="233" t="str">
        <f>VLOOKUP(Table8[[#This Row],[Country Code]],Table29[],6,FALSE)</f>
        <v>G20</v>
      </c>
      <c r="AV1940" s="233" t="str">
        <f>VLOOKUP(Table8[[#This Row],[Country Code]],Table29[],7,FALSE)</f>
        <v>no</v>
      </c>
      <c r="AW1940" s="233" t="str">
        <f>VLOOKUP(Table8[[#This Row],[Country Code]],Table29[],8,FALSE)</f>
        <v>OECD</v>
      </c>
      <c r="AX1940" s="233" t="str">
        <f>VLOOKUP(Table8[[#This Row],[Country Code]],Table29[],9,FALSE)</f>
        <v>no</v>
      </c>
      <c r="AY1940" s="233" t="str">
        <f>VLOOKUP(Table8[[#This Row],[Country Code]],Table29[],10,FALSE)</f>
        <v>no</v>
      </c>
      <c r="AZ1940" s="235">
        <f>VLOOKUP(Table8[[#This Row],[Country Code]],Table29[],23,FALSE)</f>
        <v>653.84613998739997</v>
      </c>
      <c r="BA1940" s="235">
        <f>VLOOKUP(Table8[[#This Row],[Country Code]],Table29[],24,FALSE)</f>
        <v>107.9154569951917</v>
      </c>
      <c r="BB1940" s="320"/>
      <c r="BC1940" s="320"/>
    </row>
    <row r="1941" spans="1:55" ht="30" hidden="1" x14ac:dyDescent="0.25">
      <c r="A1941" s="373">
        <v>17707</v>
      </c>
      <c r="B1941" s="233" t="str">
        <f>VLOOKUP(Table8[[#This Row],[Document ID]],Table1[],2,FALSE)</f>
        <v>KOR</v>
      </c>
      <c r="C1941" s="233" t="str">
        <f>VLOOKUP(Table8[[#This Row],[Document ID]],Table1[],3,FALSE)</f>
        <v>Republic of Korea</v>
      </c>
      <c r="D1941" s="243" t="str">
        <f>VLOOKUP(Table8[[#This Row],[Document ID]],Table1[],5,FALSE)</f>
        <v>LTS</v>
      </c>
      <c r="E1941" s="233" t="str">
        <f>VLOOKUP(Table8[[#This Row],[Document ID]],Table1[],7,FALSE)</f>
        <v>LTS</v>
      </c>
      <c r="F1941" s="233" t="str">
        <f>VLOOKUP(Table8[[#This Row],[Document ID]],Table1[],8,FALSE)</f>
        <v>LTS 1.0</v>
      </c>
      <c r="G1941" s="233" t="str">
        <f>VLOOKUP(Table8[[#This Row],[Document ID]],Table1[],10,FALSE)</f>
        <v>Active</v>
      </c>
      <c r="H1941" s="44" t="s">
        <v>2329</v>
      </c>
      <c r="I1941" s="44" t="s">
        <v>2330</v>
      </c>
      <c r="J1941" s="44" t="s">
        <v>2381</v>
      </c>
      <c r="K1941" s="44" t="s">
        <v>4118</v>
      </c>
      <c r="L1941" s="44" t="s">
        <v>2333</v>
      </c>
      <c r="M1941" s="43">
        <v>77</v>
      </c>
      <c r="N1941" s="113"/>
      <c r="O1941" s="113"/>
      <c r="P1941" s="113"/>
      <c r="Q1941" s="113"/>
      <c r="R1941" s="113"/>
      <c r="S1941" s="113"/>
      <c r="T1941" s="113"/>
      <c r="U1941" s="113"/>
      <c r="V1941" s="113"/>
      <c r="W1941" s="113"/>
      <c r="X1941" s="113"/>
      <c r="Y1941" s="113"/>
      <c r="Z1941" s="113"/>
      <c r="AA1941" s="113"/>
      <c r="AB1941" s="113"/>
      <c r="AC1941" s="113"/>
      <c r="AD1941" s="113" t="s">
        <v>1113</v>
      </c>
      <c r="AE1941" s="113"/>
      <c r="AF1941" s="113"/>
      <c r="AG1941" s="113"/>
      <c r="AH1941" s="113" t="s">
        <v>1113</v>
      </c>
      <c r="AI1941" s="113"/>
      <c r="AJ1941" s="113"/>
      <c r="AK1941" s="319" t="s">
        <v>1113</v>
      </c>
      <c r="AL1941" s="113"/>
      <c r="AM1941" s="113"/>
      <c r="AN1941" s="113"/>
      <c r="AO1941" s="44" t="s">
        <v>2334</v>
      </c>
      <c r="AP1941" s="43"/>
      <c r="AQ1941" s="236" t="str">
        <f>VLOOKUP(Table8[[#This Row],[Instrument]],Def_Targets!$D$73:$E$159,2,FALSE)</f>
        <v>I_RE</v>
      </c>
      <c r="AR1941" s="233" t="str">
        <f>VLOOKUP(Table8[[#This Row],[Country Code]],Table29[],3,FALSE)</f>
        <v>Non-Annex I</v>
      </c>
      <c r="AS1941" s="233" t="str">
        <f>VLOOKUP(Table8[[#This Row],[Country Code]],Table29[],4,FALSE)</f>
        <v>Asia</v>
      </c>
      <c r="AT1941" s="233" t="str">
        <f>VLOOKUP(Table8[[#This Row],[Country Code]],Table29[],5,FALSE)</f>
        <v>High-income</v>
      </c>
      <c r="AU1941" s="233" t="str">
        <f>VLOOKUP(Table8[[#This Row],[Country Code]],Table29[],6,FALSE)</f>
        <v>G20</v>
      </c>
      <c r="AV1941" s="233" t="str">
        <f>VLOOKUP(Table8[[#This Row],[Country Code]],Table29[],7,FALSE)</f>
        <v>no</v>
      </c>
      <c r="AW1941" s="233" t="str">
        <f>VLOOKUP(Table8[[#This Row],[Country Code]],Table29[],8,FALSE)</f>
        <v>OECD</v>
      </c>
      <c r="AX1941" s="233" t="str">
        <f>VLOOKUP(Table8[[#This Row],[Country Code]],Table29[],9,FALSE)</f>
        <v>no</v>
      </c>
      <c r="AY1941" s="233" t="str">
        <f>VLOOKUP(Table8[[#This Row],[Country Code]],Table29[],10,FALSE)</f>
        <v>no</v>
      </c>
      <c r="AZ1941" s="235">
        <f>VLOOKUP(Table8[[#This Row],[Country Code]],Table29[],23,FALSE)</f>
        <v>653.84613998739997</v>
      </c>
      <c r="BA1941" s="235">
        <f>VLOOKUP(Table8[[#This Row],[Country Code]],Table29[],24,FALSE)</f>
        <v>107.9154569951917</v>
      </c>
      <c r="BB1941" s="320"/>
      <c r="BC1941" s="320"/>
    </row>
    <row r="1942" spans="1:55" ht="30" hidden="1" x14ac:dyDescent="0.25">
      <c r="A1942" s="373">
        <v>17707</v>
      </c>
      <c r="B1942" s="233" t="str">
        <f>VLOOKUP(Table8[[#This Row],[Document ID]],Table1[],2,FALSE)</f>
        <v>KOR</v>
      </c>
      <c r="C1942" s="233" t="str">
        <f>VLOOKUP(Table8[[#This Row],[Document ID]],Table1[],3,FALSE)</f>
        <v>Republic of Korea</v>
      </c>
      <c r="D1942" s="243" t="str">
        <f>VLOOKUP(Table8[[#This Row],[Document ID]],Table1[],5,FALSE)</f>
        <v>LTS</v>
      </c>
      <c r="E1942" s="233" t="str">
        <f>VLOOKUP(Table8[[#This Row],[Document ID]],Table1[],7,FALSE)</f>
        <v>LTS</v>
      </c>
      <c r="F1942" s="233" t="str">
        <f>VLOOKUP(Table8[[#This Row],[Document ID]],Table1[],8,FALSE)</f>
        <v>LTS 1.0</v>
      </c>
      <c r="G1942" s="233" t="str">
        <f>VLOOKUP(Table8[[#This Row],[Document ID]],Table1[],10,FALSE)</f>
        <v>Active</v>
      </c>
      <c r="H1942" s="43" t="s">
        <v>2484</v>
      </c>
      <c r="I1942" s="43" t="s">
        <v>2488</v>
      </c>
      <c r="J1942" s="44" t="s">
        <v>2684</v>
      </c>
      <c r="K1942" s="44" t="s">
        <v>4118</v>
      </c>
      <c r="L1942" s="44" t="s">
        <v>2333</v>
      </c>
      <c r="M1942" s="43">
        <v>77</v>
      </c>
      <c r="N1942" s="113"/>
      <c r="O1942" s="113"/>
      <c r="P1942" s="113"/>
      <c r="Q1942" s="113"/>
      <c r="R1942" s="113"/>
      <c r="S1942" s="113"/>
      <c r="T1942" s="113"/>
      <c r="U1942" s="113"/>
      <c r="V1942" s="113"/>
      <c r="W1942" s="113"/>
      <c r="X1942" s="113"/>
      <c r="Y1942" s="113"/>
      <c r="Z1942" s="113"/>
      <c r="AA1942" s="113"/>
      <c r="AB1942" s="113"/>
      <c r="AC1942" s="113"/>
      <c r="AD1942" s="113" t="s">
        <v>1113</v>
      </c>
      <c r="AE1942" s="113"/>
      <c r="AF1942" s="113"/>
      <c r="AG1942" s="113"/>
      <c r="AH1942" s="113" t="s">
        <v>1113</v>
      </c>
      <c r="AI1942" s="113"/>
      <c r="AJ1942" s="113"/>
      <c r="AK1942" s="319" t="s">
        <v>1113</v>
      </c>
      <c r="AL1942" s="113"/>
      <c r="AM1942" s="113"/>
      <c r="AN1942" s="113"/>
      <c r="AO1942" s="44" t="s">
        <v>2334</v>
      </c>
      <c r="AP1942" s="43"/>
      <c r="AQ1942" s="236" t="str">
        <f>VLOOKUP(Table8[[#This Row],[Instrument]],Def_Targets!$D$73:$E$159,2,FALSE)</f>
        <v>I_Jetfuel</v>
      </c>
      <c r="AR1942" s="233" t="str">
        <f>VLOOKUP(Table8[[#This Row],[Country Code]],Table29[],3,FALSE)</f>
        <v>Non-Annex I</v>
      </c>
      <c r="AS1942" s="233" t="str">
        <f>VLOOKUP(Table8[[#This Row],[Country Code]],Table29[],4,FALSE)</f>
        <v>Asia</v>
      </c>
      <c r="AT1942" s="233" t="str">
        <f>VLOOKUP(Table8[[#This Row],[Country Code]],Table29[],5,FALSE)</f>
        <v>High-income</v>
      </c>
      <c r="AU1942" s="233" t="str">
        <f>VLOOKUP(Table8[[#This Row],[Country Code]],Table29[],6,FALSE)</f>
        <v>G20</v>
      </c>
      <c r="AV1942" s="233" t="str">
        <f>VLOOKUP(Table8[[#This Row],[Country Code]],Table29[],7,FALSE)</f>
        <v>no</v>
      </c>
      <c r="AW1942" s="233" t="str">
        <f>VLOOKUP(Table8[[#This Row],[Country Code]],Table29[],8,FALSE)</f>
        <v>OECD</v>
      </c>
      <c r="AX1942" s="233" t="str">
        <f>VLOOKUP(Table8[[#This Row],[Country Code]],Table29[],9,FALSE)</f>
        <v>no</v>
      </c>
      <c r="AY1942" s="233" t="str">
        <f>VLOOKUP(Table8[[#This Row],[Country Code]],Table29[],10,FALSE)</f>
        <v>no</v>
      </c>
      <c r="AZ1942" s="235">
        <f>VLOOKUP(Table8[[#This Row],[Country Code]],Table29[],23,FALSE)</f>
        <v>653.84613998739997</v>
      </c>
      <c r="BA1942" s="235">
        <f>VLOOKUP(Table8[[#This Row],[Country Code]],Table29[],24,FALSE)</f>
        <v>107.9154569951917</v>
      </c>
      <c r="BB1942" s="320"/>
      <c r="BC1942" s="320"/>
    </row>
    <row r="1943" spans="1:55" hidden="1" x14ac:dyDescent="0.25">
      <c r="A1943" s="373">
        <v>17707</v>
      </c>
      <c r="B1943" s="233" t="str">
        <f>VLOOKUP(Table8[[#This Row],[Document ID]],Table1[],2,FALSE)</f>
        <v>KOR</v>
      </c>
      <c r="C1943" s="233" t="str">
        <f>VLOOKUP(Table8[[#This Row],[Document ID]],Table1[],3,FALSE)</f>
        <v>Republic of Korea</v>
      </c>
      <c r="D1943" s="243" t="str">
        <f>VLOOKUP(Table8[[#This Row],[Document ID]],Table1[],5,FALSE)</f>
        <v>LTS</v>
      </c>
      <c r="E1943" s="233" t="str">
        <f>VLOOKUP(Table8[[#This Row],[Document ID]],Table1[],7,FALSE)</f>
        <v>LTS</v>
      </c>
      <c r="F1943" s="233" t="str">
        <f>VLOOKUP(Table8[[#This Row],[Document ID]],Table1[],8,FALSE)</f>
        <v>LTS 1.0</v>
      </c>
      <c r="G1943" s="233" t="str">
        <f>VLOOKUP(Table8[[#This Row],[Document ID]],Table1[],10,FALSE)</f>
        <v>Active</v>
      </c>
      <c r="H1943" s="43" t="s">
        <v>2484</v>
      </c>
      <c r="I1943" s="43" t="s">
        <v>2485</v>
      </c>
      <c r="J1943" s="44" t="s">
        <v>2486</v>
      </c>
      <c r="K1943" s="44" t="s">
        <v>4119</v>
      </c>
      <c r="L1943" s="44" t="s">
        <v>2333</v>
      </c>
      <c r="M1943" s="43">
        <v>77</v>
      </c>
      <c r="N1943" s="113"/>
      <c r="O1943" s="113"/>
      <c r="P1943" s="113"/>
      <c r="Q1943" s="113"/>
      <c r="R1943" s="113"/>
      <c r="S1943" s="113"/>
      <c r="T1943" s="113"/>
      <c r="U1943" s="113"/>
      <c r="V1943" s="113"/>
      <c r="W1943" s="113"/>
      <c r="X1943" s="113"/>
      <c r="Y1943" s="113"/>
      <c r="Z1943" s="113"/>
      <c r="AA1943" s="113"/>
      <c r="AB1943" s="113"/>
      <c r="AC1943" s="113"/>
      <c r="AD1943" s="113" t="s">
        <v>1113</v>
      </c>
      <c r="AE1943" s="113"/>
      <c r="AF1943" s="113"/>
      <c r="AG1943" s="113"/>
      <c r="AH1943" s="113"/>
      <c r="AI1943" s="113"/>
      <c r="AJ1943" s="113"/>
      <c r="AK1943" s="319" t="s">
        <v>1113</v>
      </c>
      <c r="AL1943" s="113"/>
      <c r="AM1943" s="113"/>
      <c r="AN1943" s="113"/>
      <c r="AO1943" s="44" t="s">
        <v>2334</v>
      </c>
      <c r="AP1943" s="43"/>
      <c r="AQ1943" s="236" t="str">
        <f>VLOOKUP(Table8[[#This Row],[Instrument]],Def_Targets!$D$73:$E$159,2,FALSE)</f>
        <v>I_Shipping</v>
      </c>
      <c r="AR1943" s="233" t="str">
        <f>VLOOKUP(Table8[[#This Row],[Country Code]],Table29[],3,FALSE)</f>
        <v>Non-Annex I</v>
      </c>
      <c r="AS1943" s="233" t="str">
        <f>VLOOKUP(Table8[[#This Row],[Country Code]],Table29[],4,FALSE)</f>
        <v>Asia</v>
      </c>
      <c r="AT1943" s="233" t="str">
        <f>VLOOKUP(Table8[[#This Row],[Country Code]],Table29[],5,FALSE)</f>
        <v>High-income</v>
      </c>
      <c r="AU1943" s="233" t="str">
        <f>VLOOKUP(Table8[[#This Row],[Country Code]],Table29[],6,FALSE)</f>
        <v>G20</v>
      </c>
      <c r="AV1943" s="233" t="str">
        <f>VLOOKUP(Table8[[#This Row],[Country Code]],Table29[],7,FALSE)</f>
        <v>no</v>
      </c>
      <c r="AW1943" s="233" t="str">
        <f>VLOOKUP(Table8[[#This Row],[Country Code]],Table29[],8,FALSE)</f>
        <v>OECD</v>
      </c>
      <c r="AX1943" s="233" t="str">
        <f>VLOOKUP(Table8[[#This Row],[Country Code]],Table29[],9,FALSE)</f>
        <v>no</v>
      </c>
      <c r="AY1943" s="233" t="str">
        <f>VLOOKUP(Table8[[#This Row],[Country Code]],Table29[],10,FALSE)</f>
        <v>no</v>
      </c>
      <c r="AZ1943" s="235">
        <f>VLOOKUP(Table8[[#This Row],[Country Code]],Table29[],23,FALSE)</f>
        <v>653.84613998739997</v>
      </c>
      <c r="BA1943" s="235">
        <f>VLOOKUP(Table8[[#This Row],[Country Code]],Table29[],24,FALSE)</f>
        <v>107.9154569951917</v>
      </c>
      <c r="BB1943" s="320"/>
      <c r="BC1943" s="320"/>
    </row>
    <row r="1944" spans="1:55" ht="30" hidden="1" x14ac:dyDescent="0.25">
      <c r="A1944" s="373">
        <v>17707</v>
      </c>
      <c r="B1944" s="233" t="str">
        <f>VLOOKUP(Table8[[#This Row],[Document ID]],Table1[],2,FALSE)</f>
        <v>KOR</v>
      </c>
      <c r="C1944" s="233" t="str">
        <f>VLOOKUP(Table8[[#This Row],[Document ID]],Table1[],3,FALSE)</f>
        <v>Republic of Korea</v>
      </c>
      <c r="D1944" s="243" t="str">
        <f>VLOOKUP(Table8[[#This Row],[Document ID]],Table1[],5,FALSE)</f>
        <v>LTS</v>
      </c>
      <c r="E1944" s="233" t="str">
        <f>VLOOKUP(Table8[[#This Row],[Document ID]],Table1[],7,FALSE)</f>
        <v>LTS</v>
      </c>
      <c r="F1944" s="233" t="str">
        <f>VLOOKUP(Table8[[#This Row],[Document ID]],Table1[],8,FALSE)</f>
        <v>LTS 1.0</v>
      </c>
      <c r="G1944" s="233" t="str">
        <f>VLOOKUP(Table8[[#This Row],[Document ID]],Table1[],10,FALSE)</f>
        <v>Active</v>
      </c>
      <c r="H1944" s="44" t="s">
        <v>2329</v>
      </c>
      <c r="I1944" s="44" t="s">
        <v>2330</v>
      </c>
      <c r="J1944" s="44" t="s">
        <v>2363</v>
      </c>
      <c r="K1944" s="44" t="s">
        <v>4120</v>
      </c>
      <c r="L1944" s="44" t="s">
        <v>2333</v>
      </c>
      <c r="M1944" s="43">
        <v>77</v>
      </c>
      <c r="N1944" s="113"/>
      <c r="O1944" s="113"/>
      <c r="P1944" s="113"/>
      <c r="Q1944" s="113"/>
      <c r="R1944" s="113"/>
      <c r="S1944" s="113"/>
      <c r="T1944" s="113"/>
      <c r="U1944" s="113"/>
      <c r="V1944" s="113"/>
      <c r="W1944" s="113"/>
      <c r="X1944" s="113"/>
      <c r="Y1944" s="113"/>
      <c r="Z1944" s="113"/>
      <c r="AA1944" s="113"/>
      <c r="AB1944" s="113"/>
      <c r="AC1944" s="113"/>
      <c r="AD1944" s="113" t="s">
        <v>1113</v>
      </c>
      <c r="AE1944" s="113"/>
      <c r="AF1944" s="113"/>
      <c r="AG1944" s="113"/>
      <c r="AH1944" s="113"/>
      <c r="AI1944" s="113"/>
      <c r="AJ1944" s="113"/>
      <c r="AK1944" s="319" t="s">
        <v>1113</v>
      </c>
      <c r="AL1944" s="113"/>
      <c r="AM1944" s="113"/>
      <c r="AN1944" s="113"/>
      <c r="AO1944" s="44" t="s">
        <v>2334</v>
      </c>
      <c r="AP1944" s="43"/>
      <c r="AQ1944" s="236" t="str">
        <f>VLOOKUP(Table8[[#This Row],[Instrument]],Def_Targets!$D$73:$E$159,2,FALSE)</f>
        <v>I_LPGCNGLNG</v>
      </c>
      <c r="AR1944" s="233" t="str">
        <f>VLOOKUP(Table8[[#This Row],[Country Code]],Table29[],3,FALSE)</f>
        <v>Non-Annex I</v>
      </c>
      <c r="AS1944" s="233" t="str">
        <f>VLOOKUP(Table8[[#This Row],[Country Code]],Table29[],4,FALSE)</f>
        <v>Asia</v>
      </c>
      <c r="AT1944" s="233" t="str">
        <f>VLOOKUP(Table8[[#This Row],[Country Code]],Table29[],5,FALSE)</f>
        <v>High-income</v>
      </c>
      <c r="AU1944" s="233" t="str">
        <f>VLOOKUP(Table8[[#This Row],[Country Code]],Table29[],6,FALSE)</f>
        <v>G20</v>
      </c>
      <c r="AV1944" s="233" t="str">
        <f>VLOOKUP(Table8[[#This Row],[Country Code]],Table29[],7,FALSE)</f>
        <v>no</v>
      </c>
      <c r="AW1944" s="233" t="str">
        <f>VLOOKUP(Table8[[#This Row],[Country Code]],Table29[],8,FALSE)</f>
        <v>OECD</v>
      </c>
      <c r="AX1944" s="233" t="str">
        <f>VLOOKUP(Table8[[#This Row],[Country Code]],Table29[],9,FALSE)</f>
        <v>no</v>
      </c>
      <c r="AY1944" s="233" t="str">
        <f>VLOOKUP(Table8[[#This Row],[Country Code]],Table29[],10,FALSE)</f>
        <v>no</v>
      </c>
      <c r="AZ1944" s="235">
        <f>VLOOKUP(Table8[[#This Row],[Country Code]],Table29[],23,FALSE)</f>
        <v>653.84613998739997</v>
      </c>
      <c r="BA1944" s="235">
        <f>VLOOKUP(Table8[[#This Row],[Country Code]],Table29[],24,FALSE)</f>
        <v>107.9154569951917</v>
      </c>
      <c r="BB1944" s="320"/>
      <c r="BC1944" s="320"/>
    </row>
    <row r="1945" spans="1:55" ht="30" hidden="1" x14ac:dyDescent="0.25">
      <c r="A1945" s="373">
        <v>17707</v>
      </c>
      <c r="B1945" s="233" t="str">
        <f>VLOOKUP(Table8[[#This Row],[Document ID]],Table1[],2,FALSE)</f>
        <v>KOR</v>
      </c>
      <c r="C1945" s="233" t="str">
        <f>VLOOKUP(Table8[[#This Row],[Document ID]],Table1[],3,FALSE)</f>
        <v>Republic of Korea</v>
      </c>
      <c r="D1945" s="243" t="str">
        <f>VLOOKUP(Table8[[#This Row],[Document ID]],Table1[],5,FALSE)</f>
        <v>LTS</v>
      </c>
      <c r="E1945" s="233" t="str">
        <f>VLOOKUP(Table8[[#This Row],[Document ID]],Table1[],7,FALSE)</f>
        <v>LTS</v>
      </c>
      <c r="F1945" s="233" t="str">
        <f>VLOOKUP(Table8[[#This Row],[Document ID]],Table1[],8,FALSE)</f>
        <v>LTS 1.0</v>
      </c>
      <c r="G1945" s="233" t="str">
        <f>VLOOKUP(Table8[[#This Row],[Document ID]],Table1[],10,FALSE)</f>
        <v>Active</v>
      </c>
      <c r="H1945" s="43" t="s">
        <v>2358</v>
      </c>
      <c r="I1945" s="43" t="s">
        <v>2359</v>
      </c>
      <c r="J1945" s="44" t="s">
        <v>2360</v>
      </c>
      <c r="K1945" s="44" t="s">
        <v>4121</v>
      </c>
      <c r="L1945" s="44" t="s">
        <v>2333</v>
      </c>
      <c r="M1945" s="43">
        <v>77</v>
      </c>
      <c r="N1945" s="113"/>
      <c r="O1945" s="113"/>
      <c r="P1945" s="113"/>
      <c r="Q1945" s="113"/>
      <c r="R1945" s="113"/>
      <c r="S1945" s="113"/>
      <c r="T1945" s="113"/>
      <c r="U1945" s="113"/>
      <c r="V1945" s="113"/>
      <c r="W1945" s="113"/>
      <c r="X1945" s="113"/>
      <c r="Y1945" s="113"/>
      <c r="Z1945" s="113"/>
      <c r="AA1945" s="113"/>
      <c r="AB1945" s="113"/>
      <c r="AC1945" s="113"/>
      <c r="AD1945" s="113" t="s">
        <v>1113</v>
      </c>
      <c r="AE1945" s="113"/>
      <c r="AF1945" s="113"/>
      <c r="AG1945" s="113"/>
      <c r="AH1945" s="113" t="s">
        <v>1113</v>
      </c>
      <c r="AI1945" s="113"/>
      <c r="AJ1945" s="113"/>
      <c r="AK1945" s="319" t="s">
        <v>1113</v>
      </c>
      <c r="AL1945" s="113"/>
      <c r="AM1945" s="113"/>
      <c r="AN1945" s="113"/>
      <c r="AO1945" s="44" t="s">
        <v>2334</v>
      </c>
      <c r="AP1945" s="43"/>
      <c r="AQ1945" s="236" t="str">
        <f>VLOOKUP(Table8[[#This Row],[Instrument]],Def_Targets!$D$73:$E$159,2,FALSE)</f>
        <v>I_Emobility</v>
      </c>
      <c r="AR1945" s="233" t="str">
        <f>VLOOKUP(Table8[[#This Row],[Country Code]],Table29[],3,FALSE)</f>
        <v>Non-Annex I</v>
      </c>
      <c r="AS1945" s="233" t="str">
        <f>VLOOKUP(Table8[[#This Row],[Country Code]],Table29[],4,FALSE)</f>
        <v>Asia</v>
      </c>
      <c r="AT1945" s="233" t="str">
        <f>VLOOKUP(Table8[[#This Row],[Country Code]],Table29[],5,FALSE)</f>
        <v>High-income</v>
      </c>
      <c r="AU1945" s="233" t="str">
        <f>VLOOKUP(Table8[[#This Row],[Country Code]],Table29[],6,FALSE)</f>
        <v>G20</v>
      </c>
      <c r="AV1945" s="233" t="str">
        <f>VLOOKUP(Table8[[#This Row],[Country Code]],Table29[],7,FALSE)</f>
        <v>no</v>
      </c>
      <c r="AW1945" s="233" t="str">
        <f>VLOOKUP(Table8[[#This Row],[Country Code]],Table29[],8,FALSE)</f>
        <v>OECD</v>
      </c>
      <c r="AX1945" s="233" t="str">
        <f>VLOOKUP(Table8[[#This Row],[Country Code]],Table29[],9,FALSE)</f>
        <v>no</v>
      </c>
      <c r="AY1945" s="233" t="str">
        <f>VLOOKUP(Table8[[#This Row],[Country Code]],Table29[],10,FALSE)</f>
        <v>no</v>
      </c>
      <c r="AZ1945" s="235">
        <f>VLOOKUP(Table8[[#This Row],[Country Code]],Table29[],23,FALSE)</f>
        <v>653.84613998739997</v>
      </c>
      <c r="BA1945" s="235">
        <f>VLOOKUP(Table8[[#This Row],[Country Code]],Table29[],24,FALSE)</f>
        <v>107.9154569951917</v>
      </c>
      <c r="BB1945" s="320"/>
      <c r="BC1945" s="320"/>
    </row>
    <row r="1946" spans="1:55" ht="30" hidden="1" x14ac:dyDescent="0.25">
      <c r="A1946" s="373">
        <v>17707</v>
      </c>
      <c r="B1946" s="233" t="str">
        <f>VLOOKUP(Table8[[#This Row],[Document ID]],Table1[],2,FALSE)</f>
        <v>KOR</v>
      </c>
      <c r="C1946" s="233" t="str">
        <f>VLOOKUP(Table8[[#This Row],[Document ID]],Table1[],3,FALSE)</f>
        <v>Republic of Korea</v>
      </c>
      <c r="D1946" s="243" t="str">
        <f>VLOOKUP(Table8[[#This Row],[Document ID]],Table1[],5,FALSE)</f>
        <v>LTS</v>
      </c>
      <c r="E1946" s="233" t="str">
        <f>VLOOKUP(Table8[[#This Row],[Document ID]],Table1[],7,FALSE)</f>
        <v>LTS</v>
      </c>
      <c r="F1946" s="233" t="str">
        <f>VLOOKUP(Table8[[#This Row],[Document ID]],Table1[],8,FALSE)</f>
        <v>LTS 1.0</v>
      </c>
      <c r="G1946" s="233" t="str">
        <f>VLOOKUP(Table8[[#This Row],[Document ID]],Table1[],10,FALSE)</f>
        <v>Active</v>
      </c>
      <c r="H1946" s="44" t="s">
        <v>2329</v>
      </c>
      <c r="I1946" s="44" t="s">
        <v>2330</v>
      </c>
      <c r="J1946" s="44" t="s">
        <v>2391</v>
      </c>
      <c r="K1946" s="44" t="s">
        <v>4121</v>
      </c>
      <c r="L1946" s="44" t="s">
        <v>2333</v>
      </c>
      <c r="M1946" s="43">
        <v>77</v>
      </c>
      <c r="N1946" s="113"/>
      <c r="O1946" s="113"/>
      <c r="P1946" s="113"/>
      <c r="Q1946" s="113"/>
      <c r="R1946" s="113"/>
      <c r="S1946" s="113"/>
      <c r="T1946" s="113"/>
      <c r="U1946" s="113"/>
      <c r="V1946" s="113"/>
      <c r="W1946" s="113"/>
      <c r="X1946" s="113"/>
      <c r="Y1946" s="113"/>
      <c r="Z1946" s="113"/>
      <c r="AA1946" s="113"/>
      <c r="AB1946" s="113"/>
      <c r="AC1946" s="113"/>
      <c r="AD1946" s="113" t="s">
        <v>1113</v>
      </c>
      <c r="AE1946" s="113"/>
      <c r="AF1946" s="113"/>
      <c r="AG1946" s="113"/>
      <c r="AH1946" s="113" t="s">
        <v>1113</v>
      </c>
      <c r="AI1946" s="113"/>
      <c r="AJ1946" s="113"/>
      <c r="AK1946" s="319" t="s">
        <v>1113</v>
      </c>
      <c r="AL1946" s="113"/>
      <c r="AM1946" s="113"/>
      <c r="AN1946" s="113"/>
      <c r="AO1946" s="44" t="s">
        <v>2334</v>
      </c>
      <c r="AP1946" s="43"/>
      <c r="AQ1946" s="236" t="str">
        <f>VLOOKUP(Table8[[#This Row],[Instrument]],Def_Targets!$D$73:$E$159,2,FALSE)</f>
        <v>I_Hydrogen</v>
      </c>
      <c r="AR1946" s="233" t="str">
        <f>VLOOKUP(Table8[[#This Row],[Country Code]],Table29[],3,FALSE)</f>
        <v>Non-Annex I</v>
      </c>
      <c r="AS1946" s="233" t="str">
        <f>VLOOKUP(Table8[[#This Row],[Country Code]],Table29[],4,FALSE)</f>
        <v>Asia</v>
      </c>
      <c r="AT1946" s="233" t="str">
        <f>VLOOKUP(Table8[[#This Row],[Country Code]],Table29[],5,FALSE)</f>
        <v>High-income</v>
      </c>
      <c r="AU1946" s="233" t="str">
        <f>VLOOKUP(Table8[[#This Row],[Country Code]],Table29[],6,FALSE)</f>
        <v>G20</v>
      </c>
      <c r="AV1946" s="233" t="str">
        <f>VLOOKUP(Table8[[#This Row],[Country Code]],Table29[],7,FALSE)</f>
        <v>no</v>
      </c>
      <c r="AW1946" s="233" t="str">
        <f>VLOOKUP(Table8[[#This Row],[Country Code]],Table29[],8,FALSE)</f>
        <v>OECD</v>
      </c>
      <c r="AX1946" s="233" t="str">
        <f>VLOOKUP(Table8[[#This Row],[Country Code]],Table29[],9,FALSE)</f>
        <v>no</v>
      </c>
      <c r="AY1946" s="233" t="str">
        <f>VLOOKUP(Table8[[#This Row],[Country Code]],Table29[],10,FALSE)</f>
        <v>no</v>
      </c>
      <c r="AZ1946" s="235">
        <f>VLOOKUP(Table8[[#This Row],[Country Code]],Table29[],23,FALSE)</f>
        <v>653.84613998739997</v>
      </c>
      <c r="BA1946" s="235">
        <f>VLOOKUP(Table8[[#This Row],[Country Code]],Table29[],24,FALSE)</f>
        <v>107.9154569951917</v>
      </c>
      <c r="BB1946" s="320"/>
      <c r="BC1946" s="320"/>
    </row>
    <row r="1947" spans="1:55" ht="45" hidden="1" x14ac:dyDescent="0.25">
      <c r="A1947" s="373">
        <v>17707</v>
      </c>
      <c r="B1947" s="233" t="str">
        <f>VLOOKUP(Table8[[#This Row],[Document ID]],Table1[],2,FALSE)</f>
        <v>KOR</v>
      </c>
      <c r="C1947" s="233" t="str">
        <f>VLOOKUP(Table8[[#This Row],[Document ID]],Table1[],3,FALSE)</f>
        <v>Republic of Korea</v>
      </c>
      <c r="D1947" s="243" t="str">
        <f>VLOOKUP(Table8[[#This Row],[Document ID]],Table1[],5,FALSE)</f>
        <v>LTS</v>
      </c>
      <c r="E1947" s="233" t="str">
        <f>VLOOKUP(Table8[[#This Row],[Document ID]],Table1[],7,FALSE)</f>
        <v>LTS</v>
      </c>
      <c r="F1947" s="233" t="str">
        <f>VLOOKUP(Table8[[#This Row],[Document ID]],Table1[],8,FALSE)</f>
        <v>LTS 1.0</v>
      </c>
      <c r="G1947" s="233" t="str">
        <f>VLOOKUP(Table8[[#This Row],[Document ID]],Table1[],10,FALSE)</f>
        <v>Active</v>
      </c>
      <c r="H1947" s="44" t="s">
        <v>2329</v>
      </c>
      <c r="I1947" s="44" t="s">
        <v>2330</v>
      </c>
      <c r="J1947" s="44" t="s">
        <v>2391</v>
      </c>
      <c r="K1947" s="44" t="s">
        <v>4122</v>
      </c>
      <c r="L1947" s="44" t="s">
        <v>2333</v>
      </c>
      <c r="M1947" s="43">
        <v>77</v>
      </c>
      <c r="N1947" s="113"/>
      <c r="O1947" s="113"/>
      <c r="P1947" s="113"/>
      <c r="Q1947" s="113"/>
      <c r="R1947" s="113"/>
      <c r="S1947" s="113"/>
      <c r="T1947" s="113"/>
      <c r="U1947" s="113"/>
      <c r="V1947" s="113"/>
      <c r="W1947" s="113"/>
      <c r="X1947" s="113"/>
      <c r="Y1947" s="113"/>
      <c r="Z1947" s="113" t="s">
        <v>1113</v>
      </c>
      <c r="AA1947" s="113"/>
      <c r="AB1947" s="113"/>
      <c r="AC1947" s="113"/>
      <c r="AD1947" s="113" t="s">
        <v>1113</v>
      </c>
      <c r="AE1947" s="113"/>
      <c r="AF1947" s="113"/>
      <c r="AG1947" s="113"/>
      <c r="AH1947" s="113"/>
      <c r="AI1947" s="113"/>
      <c r="AJ1947" s="113"/>
      <c r="AK1947" s="319" t="s">
        <v>1113</v>
      </c>
      <c r="AL1947" s="113"/>
      <c r="AM1947" s="113"/>
      <c r="AN1947" s="113"/>
      <c r="AO1947" s="44" t="s">
        <v>2334</v>
      </c>
      <c r="AP1947" s="43"/>
      <c r="AQ1947" s="236" t="str">
        <f>VLOOKUP(Table8[[#This Row],[Instrument]],Def_Targets!$D$73:$E$159,2,FALSE)</f>
        <v>I_Hydrogen</v>
      </c>
      <c r="AR1947" s="233" t="str">
        <f>VLOOKUP(Table8[[#This Row],[Country Code]],Table29[],3,FALSE)</f>
        <v>Non-Annex I</v>
      </c>
      <c r="AS1947" s="233" t="str">
        <f>VLOOKUP(Table8[[#This Row],[Country Code]],Table29[],4,FALSE)</f>
        <v>Asia</v>
      </c>
      <c r="AT1947" s="233" t="str">
        <f>VLOOKUP(Table8[[#This Row],[Country Code]],Table29[],5,FALSE)</f>
        <v>High-income</v>
      </c>
      <c r="AU1947" s="233" t="str">
        <f>VLOOKUP(Table8[[#This Row],[Country Code]],Table29[],6,FALSE)</f>
        <v>G20</v>
      </c>
      <c r="AV1947" s="233" t="str">
        <f>VLOOKUP(Table8[[#This Row],[Country Code]],Table29[],7,FALSE)</f>
        <v>no</v>
      </c>
      <c r="AW1947" s="233" t="str">
        <f>VLOOKUP(Table8[[#This Row],[Country Code]],Table29[],8,FALSE)</f>
        <v>OECD</v>
      </c>
      <c r="AX1947" s="233" t="str">
        <f>VLOOKUP(Table8[[#This Row],[Country Code]],Table29[],9,FALSE)</f>
        <v>no</v>
      </c>
      <c r="AY1947" s="233" t="str">
        <f>VLOOKUP(Table8[[#This Row],[Country Code]],Table29[],10,FALSE)</f>
        <v>no</v>
      </c>
      <c r="AZ1947" s="235">
        <f>VLOOKUP(Table8[[#This Row],[Country Code]],Table29[],23,FALSE)</f>
        <v>653.84613998739997</v>
      </c>
      <c r="BA1947" s="235">
        <f>VLOOKUP(Table8[[#This Row],[Country Code]],Table29[],24,FALSE)</f>
        <v>107.9154569951917</v>
      </c>
      <c r="BB1947" s="320"/>
      <c r="BC1947" s="320"/>
    </row>
    <row r="1948" spans="1:55" ht="45" hidden="1" x14ac:dyDescent="0.25">
      <c r="A1948" s="373">
        <v>17707</v>
      </c>
      <c r="B1948" s="233" t="str">
        <f>VLOOKUP(Table8[[#This Row],[Document ID]],Table1[],2,FALSE)</f>
        <v>KOR</v>
      </c>
      <c r="C1948" s="233" t="str">
        <f>VLOOKUP(Table8[[#This Row],[Document ID]],Table1[],3,FALSE)</f>
        <v>Republic of Korea</v>
      </c>
      <c r="D1948" s="243" t="str">
        <f>VLOOKUP(Table8[[#This Row],[Document ID]],Table1[],5,FALSE)</f>
        <v>LTS</v>
      </c>
      <c r="E1948" s="233" t="str">
        <f>VLOOKUP(Table8[[#This Row],[Document ID]],Table1[],7,FALSE)</f>
        <v>LTS</v>
      </c>
      <c r="F1948" s="233" t="str">
        <f>VLOOKUP(Table8[[#This Row],[Document ID]],Table1[],8,FALSE)</f>
        <v>LTS 1.0</v>
      </c>
      <c r="G1948" s="233" t="str">
        <f>VLOOKUP(Table8[[#This Row],[Document ID]],Table1[],10,FALSE)</f>
        <v>Active</v>
      </c>
      <c r="H1948" s="43" t="s">
        <v>2350</v>
      </c>
      <c r="I1948" s="43" t="s">
        <v>2407</v>
      </c>
      <c r="J1948" s="44" t="s">
        <v>2408</v>
      </c>
      <c r="K1948" s="44" t="s">
        <v>4123</v>
      </c>
      <c r="L1948" s="44" t="s">
        <v>2396</v>
      </c>
      <c r="M1948" s="43">
        <v>78</v>
      </c>
      <c r="N1948" s="113" t="s">
        <v>1113</v>
      </c>
      <c r="O1948" s="113"/>
      <c r="P1948" s="113"/>
      <c r="Q1948" s="113"/>
      <c r="R1948" s="113"/>
      <c r="S1948" s="113"/>
      <c r="T1948" s="113"/>
      <c r="U1948" s="113"/>
      <c r="V1948" s="113"/>
      <c r="W1948" s="113"/>
      <c r="X1948" s="113"/>
      <c r="Y1948" s="113"/>
      <c r="Z1948" s="113"/>
      <c r="AA1948" s="113"/>
      <c r="AB1948" s="113"/>
      <c r="AC1948" s="113"/>
      <c r="AD1948" s="113"/>
      <c r="AE1948" s="113"/>
      <c r="AF1948" s="113"/>
      <c r="AG1948" s="113"/>
      <c r="AH1948" s="113"/>
      <c r="AI1948" s="113"/>
      <c r="AJ1948" s="113"/>
      <c r="AK1948" s="319" t="s">
        <v>1113</v>
      </c>
      <c r="AL1948" s="113"/>
      <c r="AM1948" s="113"/>
      <c r="AN1948" s="113"/>
      <c r="AO1948" s="44" t="s">
        <v>2334</v>
      </c>
      <c r="AP1948" s="43"/>
      <c r="AQ1948" s="236" t="str">
        <f>VLOOKUP(Table8[[#This Row],[Instrument]],Def_Targets!$D$73:$E$159,2,FALSE)</f>
        <v>I_Education</v>
      </c>
      <c r="AR1948" s="233" t="str">
        <f>VLOOKUP(Table8[[#This Row],[Country Code]],Table29[],3,FALSE)</f>
        <v>Non-Annex I</v>
      </c>
      <c r="AS1948" s="233" t="str">
        <f>VLOOKUP(Table8[[#This Row],[Country Code]],Table29[],4,FALSE)</f>
        <v>Asia</v>
      </c>
      <c r="AT1948" s="233" t="str">
        <f>VLOOKUP(Table8[[#This Row],[Country Code]],Table29[],5,FALSE)</f>
        <v>High-income</v>
      </c>
      <c r="AU1948" s="233" t="str">
        <f>VLOOKUP(Table8[[#This Row],[Country Code]],Table29[],6,FALSE)</f>
        <v>G20</v>
      </c>
      <c r="AV1948" s="233" t="str">
        <f>VLOOKUP(Table8[[#This Row],[Country Code]],Table29[],7,FALSE)</f>
        <v>no</v>
      </c>
      <c r="AW1948" s="233" t="str">
        <f>VLOOKUP(Table8[[#This Row],[Country Code]],Table29[],8,FALSE)</f>
        <v>OECD</v>
      </c>
      <c r="AX1948" s="233" t="str">
        <f>VLOOKUP(Table8[[#This Row],[Country Code]],Table29[],9,FALSE)</f>
        <v>no</v>
      </c>
      <c r="AY1948" s="233" t="str">
        <f>VLOOKUP(Table8[[#This Row],[Country Code]],Table29[],10,FALSE)</f>
        <v>no</v>
      </c>
      <c r="AZ1948" s="235">
        <f>VLOOKUP(Table8[[#This Row],[Country Code]],Table29[],23,FALSE)</f>
        <v>653.84613998739997</v>
      </c>
      <c r="BA1948" s="235">
        <f>VLOOKUP(Table8[[#This Row],[Country Code]],Table29[],24,FALSE)</f>
        <v>107.9154569951917</v>
      </c>
      <c r="BB1948" s="320"/>
      <c r="BC1948" s="320"/>
    </row>
    <row r="1949" spans="1:55" ht="30" hidden="1" x14ac:dyDescent="0.25">
      <c r="A1949" s="373">
        <v>17707</v>
      </c>
      <c r="B1949" s="233" t="str">
        <f>VLOOKUP(Table8[[#This Row],[Document ID]],Table1[],2,FALSE)</f>
        <v>KOR</v>
      </c>
      <c r="C1949" s="233" t="str">
        <f>VLOOKUP(Table8[[#This Row],[Document ID]],Table1[],3,FALSE)</f>
        <v>Republic of Korea</v>
      </c>
      <c r="D1949" s="243" t="str">
        <f>VLOOKUP(Table8[[#This Row],[Document ID]],Table1[],5,FALSE)</f>
        <v>LTS</v>
      </c>
      <c r="E1949" s="233" t="str">
        <f>VLOOKUP(Table8[[#This Row],[Document ID]],Table1[],7,FALSE)</f>
        <v>LTS</v>
      </c>
      <c r="F1949" s="233" t="str">
        <f>VLOOKUP(Table8[[#This Row],[Document ID]],Table1[],8,FALSE)</f>
        <v>LTS 1.0</v>
      </c>
      <c r="G1949" s="233" t="str">
        <f>VLOOKUP(Table8[[#This Row],[Document ID]],Table1[],10,FALSE)</f>
        <v>Active</v>
      </c>
      <c r="H1949" s="43" t="s">
        <v>2343</v>
      </c>
      <c r="I1949" s="43" t="s">
        <v>2377</v>
      </c>
      <c r="J1949" s="44" t="s">
        <v>2394</v>
      </c>
      <c r="K1949" s="44" t="s">
        <v>4124</v>
      </c>
      <c r="L1949" s="44" t="s">
        <v>2380</v>
      </c>
      <c r="M1949" s="43">
        <v>78</v>
      </c>
      <c r="N1949" s="113"/>
      <c r="O1949" s="113"/>
      <c r="P1949" s="113"/>
      <c r="Q1949" s="113" t="s">
        <v>1113</v>
      </c>
      <c r="R1949" s="113" t="s">
        <v>1113</v>
      </c>
      <c r="S1949" s="113" t="s">
        <v>1113</v>
      </c>
      <c r="T1949" s="113"/>
      <c r="U1949" s="113"/>
      <c r="V1949" s="113"/>
      <c r="W1949" s="113"/>
      <c r="X1949" s="113"/>
      <c r="Y1949" s="113"/>
      <c r="Z1949" s="113"/>
      <c r="AA1949" s="113"/>
      <c r="AB1949" s="113"/>
      <c r="AC1949" s="113"/>
      <c r="AD1949" s="113"/>
      <c r="AE1949" s="113"/>
      <c r="AF1949" s="113"/>
      <c r="AG1949" s="113"/>
      <c r="AH1949" s="113"/>
      <c r="AI1949" s="113"/>
      <c r="AJ1949" s="113"/>
      <c r="AK1949" s="319" t="s">
        <v>1113</v>
      </c>
      <c r="AL1949" s="113"/>
      <c r="AM1949" s="113"/>
      <c r="AN1949" s="113"/>
      <c r="AO1949" s="44" t="s">
        <v>2334</v>
      </c>
      <c r="AP1949" s="43"/>
      <c r="AQ1949" s="236" t="str">
        <f>VLOOKUP(Table8[[#This Row],[Instrument]],Def_Targets!$D$73:$E$159,2,FALSE)</f>
        <v>A_TDM</v>
      </c>
      <c r="AR1949" s="233" t="str">
        <f>VLOOKUP(Table8[[#This Row],[Country Code]],Table29[],3,FALSE)</f>
        <v>Non-Annex I</v>
      </c>
      <c r="AS1949" s="233" t="str">
        <f>VLOOKUP(Table8[[#This Row],[Country Code]],Table29[],4,FALSE)</f>
        <v>Asia</v>
      </c>
      <c r="AT1949" s="233" t="str">
        <f>VLOOKUP(Table8[[#This Row],[Country Code]],Table29[],5,FALSE)</f>
        <v>High-income</v>
      </c>
      <c r="AU1949" s="233" t="str">
        <f>VLOOKUP(Table8[[#This Row],[Country Code]],Table29[],6,FALSE)</f>
        <v>G20</v>
      </c>
      <c r="AV1949" s="233" t="str">
        <f>VLOOKUP(Table8[[#This Row],[Country Code]],Table29[],7,FALSE)</f>
        <v>no</v>
      </c>
      <c r="AW1949" s="233" t="str">
        <f>VLOOKUP(Table8[[#This Row],[Country Code]],Table29[],8,FALSE)</f>
        <v>OECD</v>
      </c>
      <c r="AX1949" s="233" t="str">
        <f>VLOOKUP(Table8[[#This Row],[Country Code]],Table29[],9,FALSE)</f>
        <v>no</v>
      </c>
      <c r="AY1949" s="233" t="str">
        <f>VLOOKUP(Table8[[#This Row],[Country Code]],Table29[],10,FALSE)</f>
        <v>no</v>
      </c>
      <c r="AZ1949" s="235">
        <f>VLOOKUP(Table8[[#This Row],[Country Code]],Table29[],23,FALSE)</f>
        <v>653.84613998739997</v>
      </c>
      <c r="BA1949" s="235">
        <f>VLOOKUP(Table8[[#This Row],[Country Code]],Table29[],24,FALSE)</f>
        <v>107.9154569951917</v>
      </c>
      <c r="BB1949" s="320"/>
      <c r="BC1949" s="320"/>
    </row>
    <row r="1950" spans="1:55" ht="45" hidden="1" x14ac:dyDescent="0.25">
      <c r="A1950" s="373">
        <v>17707</v>
      </c>
      <c r="B1950" s="233" t="str">
        <f>VLOOKUP(Table8[[#This Row],[Document ID]],Table1[],2,FALSE)</f>
        <v>KOR</v>
      </c>
      <c r="C1950" s="233" t="str">
        <f>VLOOKUP(Table8[[#This Row],[Document ID]],Table1[],3,FALSE)</f>
        <v>Republic of Korea</v>
      </c>
      <c r="D1950" s="243" t="str">
        <f>VLOOKUP(Table8[[#This Row],[Document ID]],Table1[],5,FALSE)</f>
        <v>LTS</v>
      </c>
      <c r="E1950" s="233" t="str">
        <f>VLOOKUP(Table8[[#This Row],[Document ID]],Table1[],7,FALSE)</f>
        <v>LTS</v>
      </c>
      <c r="F1950" s="233" t="str">
        <f>VLOOKUP(Table8[[#This Row],[Document ID]],Table1[],8,FALSE)</f>
        <v>LTS 1.0</v>
      </c>
      <c r="G1950" s="233" t="str">
        <f>VLOOKUP(Table8[[#This Row],[Document ID]],Table1[],10,FALSE)</f>
        <v>Active</v>
      </c>
      <c r="H1950" s="43" t="s">
        <v>2343</v>
      </c>
      <c r="I1950" s="43" t="s">
        <v>2429</v>
      </c>
      <c r="J1950" s="44" t="s">
        <v>2513</v>
      </c>
      <c r="K1950" s="44" t="s">
        <v>4125</v>
      </c>
      <c r="L1950" s="44" t="s">
        <v>2396</v>
      </c>
      <c r="M1950" s="43">
        <v>78</v>
      </c>
      <c r="N1950" s="113"/>
      <c r="O1950" s="113"/>
      <c r="P1950" s="113"/>
      <c r="Q1950" s="113"/>
      <c r="R1950" s="113"/>
      <c r="S1950" s="113" t="s">
        <v>1113</v>
      </c>
      <c r="T1950" s="113"/>
      <c r="U1950" s="113"/>
      <c r="V1950" s="113"/>
      <c r="W1950" s="113"/>
      <c r="X1950" s="113"/>
      <c r="Y1950" s="113"/>
      <c r="Z1950" s="113"/>
      <c r="AA1950" s="113"/>
      <c r="AB1950" s="113"/>
      <c r="AC1950" s="113"/>
      <c r="AD1950" s="113"/>
      <c r="AE1950" s="113"/>
      <c r="AF1950" s="113"/>
      <c r="AG1950" s="113"/>
      <c r="AH1950" s="113"/>
      <c r="AI1950" s="113"/>
      <c r="AJ1950" s="113"/>
      <c r="AK1950" s="319" t="s">
        <v>1113</v>
      </c>
      <c r="AL1950" s="113"/>
      <c r="AM1950" s="113"/>
      <c r="AN1950" s="113"/>
      <c r="AO1950" s="44" t="s">
        <v>2334</v>
      </c>
      <c r="AP1950" s="43"/>
      <c r="AQ1950" s="236" t="str">
        <f>VLOOKUP(Table8[[#This Row],[Instrument]],Def_Targets!$D$73:$E$159,2,FALSE)</f>
        <v>S_Sharedmob</v>
      </c>
      <c r="AR1950" s="233" t="str">
        <f>VLOOKUP(Table8[[#This Row],[Country Code]],Table29[],3,FALSE)</f>
        <v>Non-Annex I</v>
      </c>
      <c r="AS1950" s="233" t="str">
        <f>VLOOKUP(Table8[[#This Row],[Country Code]],Table29[],4,FALSE)</f>
        <v>Asia</v>
      </c>
      <c r="AT1950" s="233" t="str">
        <f>VLOOKUP(Table8[[#This Row],[Country Code]],Table29[],5,FALSE)</f>
        <v>High-income</v>
      </c>
      <c r="AU1950" s="233" t="str">
        <f>VLOOKUP(Table8[[#This Row],[Country Code]],Table29[],6,FALSE)</f>
        <v>G20</v>
      </c>
      <c r="AV1950" s="233" t="str">
        <f>VLOOKUP(Table8[[#This Row],[Country Code]],Table29[],7,FALSE)</f>
        <v>no</v>
      </c>
      <c r="AW1950" s="233" t="str">
        <f>VLOOKUP(Table8[[#This Row],[Country Code]],Table29[],8,FALSE)</f>
        <v>OECD</v>
      </c>
      <c r="AX1950" s="233" t="str">
        <f>VLOOKUP(Table8[[#This Row],[Country Code]],Table29[],9,FALSE)</f>
        <v>no</v>
      </c>
      <c r="AY1950" s="233" t="str">
        <f>VLOOKUP(Table8[[#This Row],[Country Code]],Table29[],10,FALSE)</f>
        <v>no</v>
      </c>
      <c r="AZ1950" s="235">
        <f>VLOOKUP(Table8[[#This Row],[Country Code]],Table29[],23,FALSE)</f>
        <v>653.84613998739997</v>
      </c>
      <c r="BA1950" s="235">
        <f>VLOOKUP(Table8[[#This Row],[Country Code]],Table29[],24,FALSE)</f>
        <v>107.9154569951917</v>
      </c>
      <c r="BB1950" s="320"/>
      <c r="BC1950" s="320"/>
    </row>
    <row r="1951" spans="1:55" ht="90" hidden="1" x14ac:dyDescent="0.25">
      <c r="A1951" s="373">
        <v>17707</v>
      </c>
      <c r="B1951" s="233" t="str">
        <f>VLOOKUP(Table8[[#This Row],[Document ID]],Table1[],2,FALSE)</f>
        <v>KOR</v>
      </c>
      <c r="C1951" s="233" t="str">
        <f>VLOOKUP(Table8[[#This Row],[Document ID]],Table1[],3,FALSE)</f>
        <v>Republic of Korea</v>
      </c>
      <c r="D1951" s="243" t="str">
        <f>VLOOKUP(Table8[[#This Row],[Document ID]],Table1[],5,FALSE)</f>
        <v>LTS</v>
      </c>
      <c r="E1951" s="233" t="str">
        <f>VLOOKUP(Table8[[#This Row],[Document ID]],Table1[],7,FALSE)</f>
        <v>LTS</v>
      </c>
      <c r="F1951" s="233" t="str">
        <f>VLOOKUP(Table8[[#This Row],[Document ID]],Table1[],8,FALSE)</f>
        <v>LTS 1.0</v>
      </c>
      <c r="G1951" s="233" t="str">
        <f>VLOOKUP(Table8[[#This Row],[Document ID]],Table1[],10,FALSE)</f>
        <v>Active</v>
      </c>
      <c r="H1951" s="43" t="s">
        <v>2343</v>
      </c>
      <c r="I1951" s="43" t="s">
        <v>2429</v>
      </c>
      <c r="J1951" s="44" t="s">
        <v>2430</v>
      </c>
      <c r="K1951" s="44" t="s">
        <v>4126</v>
      </c>
      <c r="L1951" s="44" t="s">
        <v>2333</v>
      </c>
      <c r="M1951" s="43">
        <v>78</v>
      </c>
      <c r="N1951" s="113"/>
      <c r="O1951" s="113"/>
      <c r="P1951" s="113"/>
      <c r="Q1951" s="113"/>
      <c r="R1951" s="113"/>
      <c r="S1951" s="113" t="s">
        <v>1113</v>
      </c>
      <c r="T1951" s="113"/>
      <c r="U1951" s="113" t="s">
        <v>1113</v>
      </c>
      <c r="V1951" s="113"/>
      <c r="W1951" s="113"/>
      <c r="X1951" s="113"/>
      <c r="Y1951" s="113"/>
      <c r="Z1951" s="113"/>
      <c r="AA1951" s="113"/>
      <c r="AB1951" s="113"/>
      <c r="AC1951" s="113"/>
      <c r="AD1951" s="113"/>
      <c r="AE1951" s="113"/>
      <c r="AF1951" s="113"/>
      <c r="AG1951" s="113"/>
      <c r="AH1951" s="113"/>
      <c r="AI1951" s="113"/>
      <c r="AJ1951" s="113"/>
      <c r="AK1951" s="319" t="s">
        <v>1113</v>
      </c>
      <c r="AL1951" s="113"/>
      <c r="AM1951" s="113"/>
      <c r="AN1951" s="113"/>
      <c r="AO1951" s="44" t="s">
        <v>2334</v>
      </c>
      <c r="AP1951" s="43"/>
      <c r="AQ1951" s="236" t="str">
        <f>VLOOKUP(Table8[[#This Row],[Instrument]],Def_Targets!$D$73:$E$159,2,FALSE)</f>
        <v>I_ITS</v>
      </c>
      <c r="AR1951" s="233" t="str">
        <f>VLOOKUP(Table8[[#This Row],[Country Code]],Table29[],3,FALSE)</f>
        <v>Non-Annex I</v>
      </c>
      <c r="AS1951" s="233" t="str">
        <f>VLOOKUP(Table8[[#This Row],[Country Code]],Table29[],4,FALSE)</f>
        <v>Asia</v>
      </c>
      <c r="AT1951" s="233" t="str">
        <f>VLOOKUP(Table8[[#This Row],[Country Code]],Table29[],5,FALSE)</f>
        <v>High-income</v>
      </c>
      <c r="AU1951" s="233" t="str">
        <f>VLOOKUP(Table8[[#This Row],[Country Code]],Table29[],6,FALSE)</f>
        <v>G20</v>
      </c>
      <c r="AV1951" s="233" t="str">
        <f>VLOOKUP(Table8[[#This Row],[Country Code]],Table29[],7,FALSE)</f>
        <v>no</v>
      </c>
      <c r="AW1951" s="233" t="str">
        <f>VLOOKUP(Table8[[#This Row],[Country Code]],Table29[],8,FALSE)</f>
        <v>OECD</v>
      </c>
      <c r="AX1951" s="233" t="str">
        <f>VLOOKUP(Table8[[#This Row],[Country Code]],Table29[],9,FALSE)</f>
        <v>no</v>
      </c>
      <c r="AY1951" s="233" t="str">
        <f>VLOOKUP(Table8[[#This Row],[Country Code]],Table29[],10,FALSE)</f>
        <v>no</v>
      </c>
      <c r="AZ1951" s="235">
        <f>VLOOKUP(Table8[[#This Row],[Country Code]],Table29[],23,FALSE)</f>
        <v>653.84613998739997</v>
      </c>
      <c r="BA1951" s="235">
        <f>VLOOKUP(Table8[[#This Row],[Country Code]],Table29[],24,FALSE)</f>
        <v>107.9154569951917</v>
      </c>
      <c r="BB1951" s="320"/>
      <c r="BC1951" s="320"/>
    </row>
    <row r="1952" spans="1:55" ht="30" hidden="1" x14ac:dyDescent="0.25">
      <c r="A1952" s="373">
        <v>17707</v>
      </c>
      <c r="B1952" s="233" t="str">
        <f>VLOOKUP(Table8[[#This Row],[Document ID]],Table1[],2,FALSE)</f>
        <v>KOR</v>
      </c>
      <c r="C1952" s="233" t="str">
        <f>VLOOKUP(Table8[[#This Row],[Document ID]],Table1[],3,FALSE)</f>
        <v>Republic of Korea</v>
      </c>
      <c r="D1952" s="243" t="str">
        <f>VLOOKUP(Table8[[#This Row],[Document ID]],Table1[],5,FALSE)</f>
        <v>LTS</v>
      </c>
      <c r="E1952" s="233" t="str">
        <f>VLOOKUP(Table8[[#This Row],[Document ID]],Table1[],7,FALSE)</f>
        <v>LTS</v>
      </c>
      <c r="F1952" s="233" t="str">
        <f>VLOOKUP(Table8[[#This Row],[Document ID]],Table1[],8,FALSE)</f>
        <v>LTS 1.0</v>
      </c>
      <c r="G1952" s="233" t="str">
        <f>VLOOKUP(Table8[[#This Row],[Document ID]],Table1[],10,FALSE)</f>
        <v>Active</v>
      </c>
      <c r="H1952" s="43" t="s">
        <v>2343</v>
      </c>
      <c r="I1952" s="43" t="s">
        <v>2429</v>
      </c>
      <c r="J1952" s="44" t="s">
        <v>2501</v>
      </c>
      <c r="K1952" s="44" t="s">
        <v>4127</v>
      </c>
      <c r="L1952" s="44" t="s">
        <v>2333</v>
      </c>
      <c r="M1952" s="43">
        <v>78</v>
      </c>
      <c r="N1952" s="113"/>
      <c r="O1952" s="113"/>
      <c r="P1952" s="113"/>
      <c r="Q1952" s="113"/>
      <c r="R1952" s="113"/>
      <c r="S1952" s="113" t="s">
        <v>1113</v>
      </c>
      <c r="T1952" s="113"/>
      <c r="U1952" s="113"/>
      <c r="V1952" s="113"/>
      <c r="W1952" s="113"/>
      <c r="X1952" s="113"/>
      <c r="Y1952" s="113"/>
      <c r="Z1952" s="113"/>
      <c r="AA1952" s="113"/>
      <c r="AB1952" s="113"/>
      <c r="AC1952" s="113"/>
      <c r="AD1952" s="113"/>
      <c r="AE1952" s="113"/>
      <c r="AF1952" s="113"/>
      <c r="AG1952" s="113"/>
      <c r="AH1952" s="113"/>
      <c r="AI1952" s="113"/>
      <c r="AJ1952" s="113"/>
      <c r="AK1952" s="319" t="s">
        <v>1113</v>
      </c>
      <c r="AL1952" s="113"/>
      <c r="AM1952" s="113"/>
      <c r="AN1952" s="113"/>
      <c r="AO1952" s="44" t="s">
        <v>2334</v>
      </c>
      <c r="AP1952" s="43"/>
      <c r="AQ1952" s="236" t="str">
        <f>VLOOKUP(Table8[[#This Row],[Instrument]],Def_Targets!$D$73:$E$159,2,FALSE)</f>
        <v>I_Autonomous</v>
      </c>
      <c r="AR1952" s="233" t="str">
        <f>VLOOKUP(Table8[[#This Row],[Country Code]],Table29[],3,FALSE)</f>
        <v>Non-Annex I</v>
      </c>
      <c r="AS1952" s="233" t="str">
        <f>VLOOKUP(Table8[[#This Row],[Country Code]],Table29[],4,FALSE)</f>
        <v>Asia</v>
      </c>
      <c r="AT1952" s="233" t="str">
        <f>VLOOKUP(Table8[[#This Row],[Country Code]],Table29[],5,FALSE)</f>
        <v>High-income</v>
      </c>
      <c r="AU1952" s="233" t="str">
        <f>VLOOKUP(Table8[[#This Row],[Country Code]],Table29[],6,FALSE)</f>
        <v>G20</v>
      </c>
      <c r="AV1952" s="233" t="str">
        <f>VLOOKUP(Table8[[#This Row],[Country Code]],Table29[],7,FALSE)</f>
        <v>no</v>
      </c>
      <c r="AW1952" s="233" t="str">
        <f>VLOOKUP(Table8[[#This Row],[Country Code]],Table29[],8,FALSE)</f>
        <v>OECD</v>
      </c>
      <c r="AX1952" s="233" t="str">
        <f>VLOOKUP(Table8[[#This Row],[Country Code]],Table29[],9,FALSE)</f>
        <v>no</v>
      </c>
      <c r="AY1952" s="233" t="str">
        <f>VLOOKUP(Table8[[#This Row],[Country Code]],Table29[],10,FALSE)</f>
        <v>no</v>
      </c>
      <c r="AZ1952" s="235">
        <f>VLOOKUP(Table8[[#This Row],[Country Code]],Table29[],23,FALSE)</f>
        <v>653.84613998739997</v>
      </c>
      <c r="BA1952" s="235">
        <f>VLOOKUP(Table8[[#This Row],[Country Code]],Table29[],24,FALSE)</f>
        <v>107.9154569951917</v>
      </c>
      <c r="BB1952" s="320"/>
      <c r="BC1952" s="320"/>
    </row>
    <row r="1953" spans="1:55" s="17" customFormat="1" ht="30" hidden="1" x14ac:dyDescent="0.25">
      <c r="A1953" s="373">
        <v>17707</v>
      </c>
      <c r="B1953" s="233" t="str">
        <f>VLOOKUP(Table8[[#This Row],[Document ID]],Table1[],2,FALSE)</f>
        <v>KOR</v>
      </c>
      <c r="C1953" s="233" t="str">
        <f>VLOOKUP(Table8[[#This Row],[Document ID]],Table1[],3,FALSE)</f>
        <v>Republic of Korea</v>
      </c>
      <c r="D1953" s="243" t="str">
        <f>VLOOKUP(Table8[[#This Row],[Document ID]],Table1[],5,FALSE)</f>
        <v>LTS</v>
      </c>
      <c r="E1953" s="233" t="str">
        <f>VLOOKUP(Table8[[#This Row],[Document ID]],Table1[],7,FALSE)</f>
        <v>LTS</v>
      </c>
      <c r="F1953" s="233" t="str">
        <f>VLOOKUP(Table8[[#This Row],[Document ID]],Table1[],8,FALSE)</f>
        <v>LTS 1.0</v>
      </c>
      <c r="G1953" s="233" t="str">
        <f>VLOOKUP(Table8[[#This Row],[Document ID]],Table1[],10,FALSE)</f>
        <v>Active</v>
      </c>
      <c r="H1953" s="43" t="s">
        <v>2343</v>
      </c>
      <c r="I1953" s="43" t="s">
        <v>2377</v>
      </c>
      <c r="J1953" s="44" t="s">
        <v>2394</v>
      </c>
      <c r="K1953" s="44" t="s">
        <v>4128</v>
      </c>
      <c r="L1953" s="44" t="s">
        <v>2373</v>
      </c>
      <c r="M1953" s="43">
        <v>78</v>
      </c>
      <c r="N1953" s="113"/>
      <c r="O1953" s="113"/>
      <c r="P1953" s="113"/>
      <c r="Q1953" s="113"/>
      <c r="R1953" s="113"/>
      <c r="S1953" s="113" t="s">
        <v>1113</v>
      </c>
      <c r="T1953" s="113"/>
      <c r="U1953" s="113"/>
      <c r="V1953" s="113"/>
      <c r="W1953" s="113"/>
      <c r="X1953" s="113"/>
      <c r="Y1953" s="113"/>
      <c r="Z1953" s="113"/>
      <c r="AA1953" s="113"/>
      <c r="AB1953" s="113"/>
      <c r="AC1953" s="113"/>
      <c r="AD1953" s="113"/>
      <c r="AE1953" s="113"/>
      <c r="AF1953" s="113"/>
      <c r="AG1953" s="113"/>
      <c r="AH1953" s="113"/>
      <c r="AI1953" s="113"/>
      <c r="AJ1953" s="113"/>
      <c r="AK1953" s="319" t="s">
        <v>1113</v>
      </c>
      <c r="AL1953" s="113"/>
      <c r="AM1953" s="113"/>
      <c r="AN1953" s="113"/>
      <c r="AO1953" s="44" t="s">
        <v>2334</v>
      </c>
      <c r="AP1953" s="43"/>
      <c r="AQ1953" s="236" t="str">
        <f>VLOOKUP(Table8[[#This Row],[Instrument]],Def_Targets!$D$73:$E$159,2,FALSE)</f>
        <v>A_TDM</v>
      </c>
      <c r="AR1953" s="233" t="str">
        <f>VLOOKUP(Table8[[#This Row],[Country Code]],Table29[],3,FALSE)</f>
        <v>Non-Annex I</v>
      </c>
      <c r="AS1953" s="233" t="str">
        <f>VLOOKUP(Table8[[#This Row],[Country Code]],Table29[],4,FALSE)</f>
        <v>Asia</v>
      </c>
      <c r="AT1953" s="233" t="str">
        <f>VLOOKUP(Table8[[#This Row],[Country Code]],Table29[],5,FALSE)</f>
        <v>High-income</v>
      </c>
      <c r="AU1953" s="233" t="str">
        <f>VLOOKUP(Table8[[#This Row],[Country Code]],Table29[],6,FALSE)</f>
        <v>G20</v>
      </c>
      <c r="AV1953" s="233" t="str">
        <f>VLOOKUP(Table8[[#This Row],[Country Code]],Table29[],7,FALSE)</f>
        <v>no</v>
      </c>
      <c r="AW1953" s="233" t="str">
        <f>VLOOKUP(Table8[[#This Row],[Country Code]],Table29[],8,FALSE)</f>
        <v>OECD</v>
      </c>
      <c r="AX1953" s="233" t="str">
        <f>VLOOKUP(Table8[[#This Row],[Country Code]],Table29[],9,FALSE)</f>
        <v>no</v>
      </c>
      <c r="AY1953" s="233" t="str">
        <f>VLOOKUP(Table8[[#This Row],[Country Code]],Table29[],10,FALSE)</f>
        <v>no</v>
      </c>
      <c r="AZ1953" s="235">
        <f>VLOOKUP(Table8[[#This Row],[Country Code]],Table29[],23,FALSE)</f>
        <v>653.84613998739997</v>
      </c>
      <c r="BA1953" s="235">
        <f>VLOOKUP(Table8[[#This Row],[Country Code]],Table29[],24,FALSE)</f>
        <v>107.9154569951917</v>
      </c>
      <c r="BB1953" s="320"/>
      <c r="BC1953" s="320"/>
    </row>
    <row r="1954" spans="1:55" s="17" customFormat="1" ht="30" hidden="1" x14ac:dyDescent="0.25">
      <c r="A1954" s="401">
        <v>17707</v>
      </c>
      <c r="B1954" s="233" t="str">
        <f>VLOOKUP(Table8[[#This Row],[Document ID]],Table1[],2,FALSE)</f>
        <v>KOR</v>
      </c>
      <c r="C1954" s="233" t="str">
        <f>VLOOKUP(Table8[[#This Row],[Document ID]],Table1[],3,FALSE)</f>
        <v>Republic of Korea</v>
      </c>
      <c r="D1954" s="380" t="str">
        <f>VLOOKUP(Table8[[#This Row],[Document ID]],Table1[],5,FALSE)</f>
        <v>LTS</v>
      </c>
      <c r="E1954" s="233" t="str">
        <f>VLOOKUP(Table8[[#This Row],[Document ID]],Table1[],7,FALSE)</f>
        <v>LTS</v>
      </c>
      <c r="F1954" s="244" t="str">
        <f>VLOOKUP(Table8[[#This Row],[Document ID]],Table1[],8,FALSE)</f>
        <v>LTS 1.0</v>
      </c>
      <c r="G1954" s="244" t="str">
        <f>VLOOKUP(Table8[[#This Row],[Document ID]],Table1[],10,FALSE)</f>
        <v>Active</v>
      </c>
      <c r="H1954" s="43" t="s">
        <v>2350</v>
      </c>
      <c r="I1954" s="43" t="s">
        <v>2351</v>
      </c>
      <c r="J1954" s="44" t="s">
        <v>2352</v>
      </c>
      <c r="K1954" s="228" t="s">
        <v>4129</v>
      </c>
      <c r="L1954" s="228" t="s">
        <v>2347</v>
      </c>
      <c r="M1954" s="173">
        <v>78</v>
      </c>
      <c r="N1954" s="402"/>
      <c r="O1954" s="402"/>
      <c r="P1954" s="402"/>
      <c r="Q1954" s="402"/>
      <c r="R1954" s="402"/>
      <c r="S1954" s="402" t="s">
        <v>1113</v>
      </c>
      <c r="T1954" s="402"/>
      <c r="U1954" s="402"/>
      <c r="V1954" s="402"/>
      <c r="W1954" s="402"/>
      <c r="X1954" s="402"/>
      <c r="Y1954" s="402"/>
      <c r="Z1954" s="402" t="s">
        <v>1113</v>
      </c>
      <c r="AA1954" s="402"/>
      <c r="AB1954" s="402"/>
      <c r="AC1954" s="402"/>
      <c r="AD1954" s="402" t="s">
        <v>1113</v>
      </c>
      <c r="AE1954" s="402"/>
      <c r="AF1954" s="402"/>
      <c r="AG1954" s="402"/>
      <c r="AH1954" s="402"/>
      <c r="AI1954" s="402"/>
      <c r="AJ1954" s="402"/>
      <c r="AK1954" s="403" t="s">
        <v>1113</v>
      </c>
      <c r="AL1954" s="402"/>
      <c r="AM1954" s="402"/>
      <c r="AN1954" s="402"/>
      <c r="AO1954" s="43" t="s">
        <v>2353</v>
      </c>
      <c r="AP1954" s="173"/>
      <c r="AQ1954" s="236" t="str">
        <f>VLOOKUP(Table8[[#This Row],[Instrument]],Def_Targets!$D$73:$E$159,2,FALSE)</f>
        <v>S_Railfreight</v>
      </c>
      <c r="AR1954" s="244" t="str">
        <f>VLOOKUP(Table8[[#This Row],[Country Code]],Table29[],3,FALSE)</f>
        <v>Non-Annex I</v>
      </c>
      <c r="AS1954" s="244" t="str">
        <f>VLOOKUP(Table8[[#This Row],[Country Code]],Table29[],4,FALSE)</f>
        <v>Asia</v>
      </c>
      <c r="AT1954" s="244" t="str">
        <f>VLOOKUP(Table8[[#This Row],[Country Code]],Table29[],5,FALSE)</f>
        <v>High-income</v>
      </c>
      <c r="AU1954" s="244" t="str">
        <f>VLOOKUP(Table8[[#This Row],[Country Code]],Table29[],6,FALSE)</f>
        <v>G20</v>
      </c>
      <c r="AV1954" s="244" t="str">
        <f>VLOOKUP(Table8[[#This Row],[Country Code]],Table29[],7,FALSE)</f>
        <v>no</v>
      </c>
      <c r="AW1954" s="244" t="str">
        <f>VLOOKUP(Table8[[#This Row],[Country Code]],Table29[],8,FALSE)</f>
        <v>OECD</v>
      </c>
      <c r="AX1954" s="244" t="str">
        <f>VLOOKUP(Table8[[#This Row],[Country Code]],Table29[],9,FALSE)</f>
        <v>no</v>
      </c>
      <c r="AY1954" s="244" t="str">
        <f>VLOOKUP(Table8[[#This Row],[Country Code]],Table29[],10,FALSE)</f>
        <v>no</v>
      </c>
      <c r="AZ1954" s="245">
        <f>VLOOKUP(Table8[[#This Row],[Country Code]],Table29[],23,FALSE)</f>
        <v>653.84613998739997</v>
      </c>
      <c r="BA1954" s="245">
        <f>VLOOKUP(Table8[[#This Row],[Country Code]],Table29[],24,FALSE)</f>
        <v>107.9154569951917</v>
      </c>
      <c r="BB1954" s="379" t="s">
        <v>2469</v>
      </c>
      <c r="BC1954" s="379"/>
    </row>
    <row r="1955" spans="1:55" s="17" customFormat="1" ht="90" hidden="1" x14ac:dyDescent="0.25">
      <c r="A1955" s="373">
        <v>17707</v>
      </c>
      <c r="B1955" s="233" t="str">
        <f>VLOOKUP(Table8[[#This Row],[Document ID]],Table1[],2,FALSE)</f>
        <v>KOR</v>
      </c>
      <c r="C1955" s="233" t="str">
        <f>VLOOKUP(Table8[[#This Row],[Document ID]],Table1[],3,FALSE)</f>
        <v>Republic of Korea</v>
      </c>
      <c r="D1955" s="243" t="str">
        <f>VLOOKUP(Table8[[#This Row],[Document ID]],Table1[],5,FALSE)</f>
        <v>LTS</v>
      </c>
      <c r="E1955" s="233" t="str">
        <f>VLOOKUP(Table8[[#This Row],[Document ID]],Table1[],7,FALSE)</f>
        <v>LTS</v>
      </c>
      <c r="F1955" s="233" t="str">
        <f>VLOOKUP(Table8[[#This Row],[Document ID]],Table1[],8,FALSE)</f>
        <v>LTS 1.0</v>
      </c>
      <c r="G1955" s="233" t="str">
        <f>VLOOKUP(Table8[[#This Row],[Document ID]],Table1[],10,FALSE)</f>
        <v>Active</v>
      </c>
      <c r="H1955" s="43" t="s">
        <v>2358</v>
      </c>
      <c r="I1955" s="43" t="s">
        <v>2359</v>
      </c>
      <c r="J1955" s="44" t="s">
        <v>2383</v>
      </c>
      <c r="K1955" s="44" t="s">
        <v>4130</v>
      </c>
      <c r="L1955" s="44" t="s">
        <v>2333</v>
      </c>
      <c r="M1955" s="43">
        <v>79</v>
      </c>
      <c r="N1955" s="113" t="s">
        <v>1113</v>
      </c>
      <c r="O1955" s="113"/>
      <c r="P1955" s="113"/>
      <c r="Q1955" s="113"/>
      <c r="R1955" s="113"/>
      <c r="S1955" s="113"/>
      <c r="T1955" s="113"/>
      <c r="U1955" s="113"/>
      <c r="V1955" s="113"/>
      <c r="W1955" s="113"/>
      <c r="X1955" s="113"/>
      <c r="Y1955" s="113"/>
      <c r="Z1955" s="113"/>
      <c r="AA1955" s="113"/>
      <c r="AB1955" s="113"/>
      <c r="AC1955" s="113"/>
      <c r="AD1955" s="113"/>
      <c r="AE1955" s="113"/>
      <c r="AF1955" s="113"/>
      <c r="AG1955" s="113"/>
      <c r="AH1955" s="113"/>
      <c r="AI1955" s="113"/>
      <c r="AJ1955" s="113"/>
      <c r="AK1955" s="319" t="s">
        <v>1113</v>
      </c>
      <c r="AL1955" s="113"/>
      <c r="AM1955" s="113"/>
      <c r="AN1955" s="113"/>
      <c r="AO1955" s="44" t="s">
        <v>2334</v>
      </c>
      <c r="AP1955" s="43"/>
      <c r="AQ1955" s="236" t="str">
        <f>VLOOKUP(Table8[[#This Row],[Instrument]],Def_Targets!$D$73:$E$159,2,FALSE)</f>
        <v>I_Emobilitycharging</v>
      </c>
      <c r="AR1955" s="233" t="str">
        <f>VLOOKUP(Table8[[#This Row],[Country Code]],Table29[],3,FALSE)</f>
        <v>Non-Annex I</v>
      </c>
      <c r="AS1955" s="233" t="str">
        <f>VLOOKUP(Table8[[#This Row],[Country Code]],Table29[],4,FALSE)</f>
        <v>Asia</v>
      </c>
      <c r="AT1955" s="233" t="str">
        <f>VLOOKUP(Table8[[#This Row],[Country Code]],Table29[],5,FALSE)</f>
        <v>High-income</v>
      </c>
      <c r="AU1955" s="233" t="str">
        <f>VLOOKUP(Table8[[#This Row],[Country Code]],Table29[],6,FALSE)</f>
        <v>G20</v>
      </c>
      <c r="AV1955" s="233" t="str">
        <f>VLOOKUP(Table8[[#This Row],[Country Code]],Table29[],7,FALSE)</f>
        <v>no</v>
      </c>
      <c r="AW1955" s="233" t="str">
        <f>VLOOKUP(Table8[[#This Row],[Country Code]],Table29[],8,FALSE)</f>
        <v>OECD</v>
      </c>
      <c r="AX1955" s="233" t="str">
        <f>VLOOKUP(Table8[[#This Row],[Country Code]],Table29[],9,FALSE)</f>
        <v>no</v>
      </c>
      <c r="AY1955" s="233" t="str">
        <f>VLOOKUP(Table8[[#This Row],[Country Code]],Table29[],10,FALSE)</f>
        <v>no</v>
      </c>
      <c r="AZ1955" s="235">
        <f>VLOOKUP(Table8[[#This Row],[Country Code]],Table29[],23,FALSE)</f>
        <v>653.84613998739997</v>
      </c>
      <c r="BA1955" s="235">
        <f>VLOOKUP(Table8[[#This Row],[Country Code]],Table29[],24,FALSE)</f>
        <v>107.9154569951917</v>
      </c>
      <c r="BB1955" s="320"/>
      <c r="BC1955" s="320"/>
    </row>
    <row r="1956" spans="1:55" s="17" customFormat="1" ht="90" hidden="1" x14ac:dyDescent="0.25">
      <c r="A1956" s="373">
        <v>17707</v>
      </c>
      <c r="B1956" s="233" t="str">
        <f>VLOOKUP(Table8[[#This Row],[Document ID]],Table1[],2,FALSE)</f>
        <v>KOR</v>
      </c>
      <c r="C1956" s="233" t="str">
        <f>VLOOKUP(Table8[[#This Row],[Document ID]],Table1[],3,FALSE)</f>
        <v>Republic of Korea</v>
      </c>
      <c r="D1956" s="243" t="str">
        <f>VLOOKUP(Table8[[#This Row],[Document ID]],Table1[],5,FALSE)</f>
        <v>LTS</v>
      </c>
      <c r="E1956" s="233" t="str">
        <f>VLOOKUP(Table8[[#This Row],[Document ID]],Table1[],7,FALSE)</f>
        <v>LTS</v>
      </c>
      <c r="F1956" s="233" t="str">
        <f>VLOOKUP(Table8[[#This Row],[Document ID]],Table1[],8,FALSE)</f>
        <v>LTS 1.0</v>
      </c>
      <c r="G1956" s="233" t="str">
        <f>VLOOKUP(Table8[[#This Row],[Document ID]],Table1[],10,FALSE)</f>
        <v>Active</v>
      </c>
      <c r="H1956" s="43" t="s">
        <v>2343</v>
      </c>
      <c r="I1956" s="43" t="s">
        <v>2429</v>
      </c>
      <c r="J1956" s="44" t="s">
        <v>2430</v>
      </c>
      <c r="K1956" s="44" t="s">
        <v>4131</v>
      </c>
      <c r="L1956" s="44" t="s">
        <v>2333</v>
      </c>
      <c r="M1956" s="43">
        <v>80</v>
      </c>
      <c r="N1956" s="113"/>
      <c r="O1956" s="113"/>
      <c r="P1956" s="113"/>
      <c r="Q1956" s="113"/>
      <c r="R1956" s="113"/>
      <c r="S1956" s="113"/>
      <c r="T1956" s="113" t="s">
        <v>1113</v>
      </c>
      <c r="U1956" s="113"/>
      <c r="V1956" s="113"/>
      <c r="W1956" s="113"/>
      <c r="X1956" s="113" t="s">
        <v>1113</v>
      </c>
      <c r="Y1956" s="113"/>
      <c r="Z1956" s="113"/>
      <c r="AA1956" s="113"/>
      <c r="AB1956" s="113"/>
      <c r="AC1956" s="113"/>
      <c r="AD1956" s="113"/>
      <c r="AE1956" s="113"/>
      <c r="AF1956" s="113"/>
      <c r="AG1956" s="113"/>
      <c r="AH1956" s="113"/>
      <c r="AI1956" s="113"/>
      <c r="AJ1956" s="113"/>
      <c r="AK1956" s="319" t="s">
        <v>1113</v>
      </c>
      <c r="AL1956" s="113"/>
      <c r="AM1956" s="113"/>
      <c r="AN1956" s="113"/>
      <c r="AO1956" s="43" t="s">
        <v>2477</v>
      </c>
      <c r="AP1956" s="44"/>
      <c r="AQ1956" s="236" t="str">
        <f>VLOOKUP(Table8[[#This Row],[Instrument]],Def_Targets!$D$73:$E$159,2,FALSE)</f>
        <v>I_ITS</v>
      </c>
      <c r="AR1956" s="233" t="str">
        <f>VLOOKUP(Table8[[#This Row],[Country Code]],Table29[],3,FALSE)</f>
        <v>Non-Annex I</v>
      </c>
      <c r="AS1956" s="233" t="str">
        <f>VLOOKUP(Table8[[#This Row],[Country Code]],Table29[],4,FALSE)</f>
        <v>Asia</v>
      </c>
      <c r="AT1956" s="233" t="str">
        <f>VLOOKUP(Table8[[#This Row],[Country Code]],Table29[],5,FALSE)</f>
        <v>High-income</v>
      </c>
      <c r="AU1956" s="233" t="str">
        <f>VLOOKUP(Table8[[#This Row],[Country Code]],Table29[],6,FALSE)</f>
        <v>G20</v>
      </c>
      <c r="AV1956" s="233" t="str">
        <f>VLOOKUP(Table8[[#This Row],[Country Code]],Table29[],7,FALSE)</f>
        <v>no</v>
      </c>
      <c r="AW1956" s="233" t="str">
        <f>VLOOKUP(Table8[[#This Row],[Country Code]],Table29[],8,FALSE)</f>
        <v>OECD</v>
      </c>
      <c r="AX1956" s="233" t="str">
        <f>VLOOKUP(Table8[[#This Row],[Country Code]],Table29[],9,FALSE)</f>
        <v>no</v>
      </c>
      <c r="AY1956" s="233" t="str">
        <f>VLOOKUP(Table8[[#This Row],[Country Code]],Table29[],10,FALSE)</f>
        <v>no</v>
      </c>
      <c r="AZ1956" s="235">
        <f>VLOOKUP(Table8[[#This Row],[Country Code]],Table29[],23,FALSE)</f>
        <v>653.84613998739997</v>
      </c>
      <c r="BA1956" s="235">
        <f>VLOOKUP(Table8[[#This Row],[Country Code]],Table29[],24,FALSE)</f>
        <v>107.9154569951917</v>
      </c>
      <c r="BB1956" s="320"/>
      <c r="BC1956" s="320"/>
    </row>
    <row r="1957" spans="1:55" s="17" customFormat="1" ht="30" hidden="1" x14ac:dyDescent="0.25">
      <c r="A1957" s="373">
        <v>17707</v>
      </c>
      <c r="B1957" s="233" t="str">
        <f>VLOOKUP(Table8[[#This Row],[Document ID]],Table1[],2,FALSE)</f>
        <v>KOR</v>
      </c>
      <c r="C1957" s="233" t="str">
        <f>VLOOKUP(Table8[[#This Row],[Document ID]],Table1[],3,FALSE)</f>
        <v>Republic of Korea</v>
      </c>
      <c r="D1957" s="243" t="str">
        <f>VLOOKUP(Table8[[#This Row],[Document ID]],Table1[],5,FALSE)</f>
        <v>LTS</v>
      </c>
      <c r="E1957" s="233" t="str">
        <f>VLOOKUP(Table8[[#This Row],[Document ID]],Table1[],7,FALSE)</f>
        <v>LTS</v>
      </c>
      <c r="F1957" s="233" t="str">
        <f>VLOOKUP(Table8[[#This Row],[Document ID]],Table1[],8,FALSE)</f>
        <v>LTS 1.0</v>
      </c>
      <c r="G1957" s="233" t="str">
        <f>VLOOKUP(Table8[[#This Row],[Document ID]],Table1[],10,FALSE)</f>
        <v>Active</v>
      </c>
      <c r="H1957" s="44" t="s">
        <v>2338</v>
      </c>
      <c r="I1957" s="44" t="s">
        <v>2339</v>
      </c>
      <c r="J1957" s="44" t="s">
        <v>2340</v>
      </c>
      <c r="K1957" s="44" t="s">
        <v>4132</v>
      </c>
      <c r="L1957" s="44" t="s">
        <v>2333</v>
      </c>
      <c r="M1957" s="43">
        <v>51</v>
      </c>
      <c r="N1957" s="113" t="s">
        <v>1113</v>
      </c>
      <c r="O1957" s="113"/>
      <c r="P1957" s="113"/>
      <c r="Q1957" s="113"/>
      <c r="R1957" s="113"/>
      <c r="S1957" s="113"/>
      <c r="T1957" s="113"/>
      <c r="U1957" s="113"/>
      <c r="V1957" s="113"/>
      <c r="W1957" s="113"/>
      <c r="X1957" s="113"/>
      <c r="Y1957" s="113"/>
      <c r="Z1957" s="113"/>
      <c r="AA1957" s="113"/>
      <c r="AB1957" s="113"/>
      <c r="AC1957" s="113"/>
      <c r="AD1957" s="113"/>
      <c r="AE1957" s="113"/>
      <c r="AF1957" s="113"/>
      <c r="AG1957" s="113"/>
      <c r="AH1957" s="113"/>
      <c r="AI1957" s="113"/>
      <c r="AJ1957" s="113"/>
      <c r="AK1957" s="319" t="s">
        <v>1113</v>
      </c>
      <c r="AL1957" s="113"/>
      <c r="AM1957" s="113"/>
      <c r="AN1957" s="113"/>
      <c r="AO1957" s="44" t="s">
        <v>2334</v>
      </c>
      <c r="AP1957" s="43"/>
      <c r="AQ1957" s="236" t="str">
        <f>VLOOKUP(Table8[[#This Row],[Instrument]],Def_Targets!$D$73:$E$159,2,FALSE)</f>
        <v>I_Vehicleimprove</v>
      </c>
      <c r="AR1957" s="233" t="str">
        <f>VLOOKUP(Table8[[#This Row],[Country Code]],Table29[],3,FALSE)</f>
        <v>Non-Annex I</v>
      </c>
      <c r="AS1957" s="233" t="str">
        <f>VLOOKUP(Table8[[#This Row],[Country Code]],Table29[],4,FALSE)</f>
        <v>Asia</v>
      </c>
      <c r="AT1957" s="233" t="str">
        <f>VLOOKUP(Table8[[#This Row],[Country Code]],Table29[],5,FALSE)</f>
        <v>High-income</v>
      </c>
      <c r="AU1957" s="233" t="str">
        <f>VLOOKUP(Table8[[#This Row],[Country Code]],Table29[],6,FALSE)</f>
        <v>G20</v>
      </c>
      <c r="AV1957" s="233" t="str">
        <f>VLOOKUP(Table8[[#This Row],[Country Code]],Table29[],7,FALSE)</f>
        <v>no</v>
      </c>
      <c r="AW1957" s="233" t="str">
        <f>VLOOKUP(Table8[[#This Row],[Country Code]],Table29[],8,FALSE)</f>
        <v>OECD</v>
      </c>
      <c r="AX1957" s="233" t="str">
        <f>VLOOKUP(Table8[[#This Row],[Country Code]],Table29[],9,FALSE)</f>
        <v>no</v>
      </c>
      <c r="AY1957" s="233" t="str">
        <f>VLOOKUP(Table8[[#This Row],[Country Code]],Table29[],10,FALSE)</f>
        <v>no</v>
      </c>
      <c r="AZ1957" s="235">
        <f>VLOOKUP(Table8[[#This Row],[Country Code]],Table29[],23,FALSE)</f>
        <v>653.84613998739997</v>
      </c>
      <c r="BA1957" s="235">
        <f>VLOOKUP(Table8[[#This Row],[Country Code]],Table29[],24,FALSE)</f>
        <v>107.9154569951917</v>
      </c>
      <c r="BB1957" s="320"/>
      <c r="BC1957" s="320"/>
    </row>
    <row r="1958" spans="1:55" s="17" customFormat="1" ht="45" hidden="1" x14ac:dyDescent="0.25">
      <c r="A1958" s="373">
        <v>26788</v>
      </c>
      <c r="B1958" s="233" t="str">
        <f>VLOOKUP(Table8[[#This Row],[Document ID]],Table1[],2,FALSE)</f>
        <v>MKD</v>
      </c>
      <c r="C1958" s="233" t="str">
        <f>VLOOKUP(Table8[[#This Row],[Document ID]],Table1[],3,FALSE)</f>
        <v>Republic of North Macedonia</v>
      </c>
      <c r="D1958" s="243" t="str">
        <f>VLOOKUP(Table8[[#This Row],[Document ID]],Table1[],5,FALSE)</f>
        <v>LTS</v>
      </c>
      <c r="E1958" s="233" t="str">
        <f>VLOOKUP(Table8[[#This Row],[Document ID]],Table1[],7,FALSE)</f>
        <v>LTS</v>
      </c>
      <c r="F1958" s="233" t="str">
        <f>VLOOKUP(Table8[[#This Row],[Document ID]],Table1[],8,FALSE)</f>
        <v>LTS 1.0</v>
      </c>
      <c r="G1958" s="233" t="str">
        <f>VLOOKUP(Table8[[#This Row],[Document ID]],Table1[],10,FALSE)</f>
        <v>Active</v>
      </c>
      <c r="H1958" s="44" t="s">
        <v>2338</v>
      </c>
      <c r="I1958" s="44" t="s">
        <v>2339</v>
      </c>
      <c r="J1958" s="44" t="s">
        <v>2340</v>
      </c>
      <c r="K1958" s="44" t="s">
        <v>4133</v>
      </c>
      <c r="L1958" s="44" t="s">
        <v>2333</v>
      </c>
      <c r="M1958" s="43">
        <v>24</v>
      </c>
      <c r="N1958" s="113" t="s">
        <v>1113</v>
      </c>
      <c r="O1958" s="113"/>
      <c r="P1958" s="113"/>
      <c r="Q1958" s="113"/>
      <c r="R1958" s="113"/>
      <c r="S1958" s="113"/>
      <c r="T1958" s="113"/>
      <c r="U1958" s="113"/>
      <c r="V1958" s="113"/>
      <c r="W1958" s="113"/>
      <c r="X1958" s="113"/>
      <c r="Y1958" s="113"/>
      <c r="Z1958" s="113"/>
      <c r="AA1958" s="113"/>
      <c r="AB1958" s="113"/>
      <c r="AC1958" s="113"/>
      <c r="AD1958" s="113"/>
      <c r="AE1958" s="113"/>
      <c r="AF1958" s="113"/>
      <c r="AG1958" s="113"/>
      <c r="AH1958" s="113"/>
      <c r="AI1958" s="113"/>
      <c r="AJ1958" s="113"/>
      <c r="AK1958" s="113" t="s">
        <v>1113</v>
      </c>
      <c r="AL1958" s="113"/>
      <c r="AM1958" s="113"/>
      <c r="AN1958" s="113"/>
      <c r="AO1958" s="44" t="s">
        <v>2334</v>
      </c>
      <c r="AP1958" s="43"/>
      <c r="AQ1958" s="236" t="str">
        <f>VLOOKUP(Table8[[#This Row],[Instrument]],Def_Targets!$D$73:$E$159,2,FALSE)</f>
        <v>I_Vehicleimprove</v>
      </c>
      <c r="AR1958" s="233" t="str">
        <f>VLOOKUP(Table8[[#This Row],[Country Code]],Table29[],3,FALSE)</f>
        <v>Non-Annex I</v>
      </c>
      <c r="AS1958" s="233" t="str">
        <f>VLOOKUP(Table8[[#This Row],[Country Code]],Table29[],4,FALSE)</f>
        <v>Europe</v>
      </c>
      <c r="AT1958" s="233" t="str">
        <f>VLOOKUP(Table8[[#This Row],[Country Code]],Table29[],5,FALSE)</f>
        <v>Middle-income</v>
      </c>
      <c r="AU1958" s="233" t="str">
        <f>VLOOKUP(Table8[[#This Row],[Country Code]],Table29[],6,FALSE)</f>
        <v>no</v>
      </c>
      <c r="AV1958" s="233" t="str">
        <f>VLOOKUP(Table8[[#This Row],[Country Code]],Table29[],7,FALSE)</f>
        <v>no</v>
      </c>
      <c r="AW1958" s="233" t="str">
        <f>VLOOKUP(Table8[[#This Row],[Country Code]],Table29[],8,FALSE)</f>
        <v>non-OECD</v>
      </c>
      <c r="AX1958" s="233" t="str">
        <f>VLOOKUP(Table8[[#This Row],[Country Code]],Table29[],9,FALSE)</f>
        <v>no</v>
      </c>
      <c r="AY1958" s="233" t="str">
        <f>VLOOKUP(Table8[[#This Row],[Country Code]],Table29[],10,FALSE)</f>
        <v>no</v>
      </c>
      <c r="AZ1958" s="235">
        <f>VLOOKUP(Table8[[#This Row],[Country Code]],Table29[],23,FALSE)</f>
        <v>11.370029305485</v>
      </c>
      <c r="BA1958" s="235">
        <f>VLOOKUP(Table8[[#This Row],[Country Code]],Table29[],24,FALSE)</f>
        <v>2.5209386628390988</v>
      </c>
      <c r="BB1958" s="320"/>
      <c r="BC1958" s="320"/>
    </row>
    <row r="1959" spans="1:55" ht="45" hidden="1" x14ac:dyDescent="0.25">
      <c r="A1959" s="373">
        <v>26788</v>
      </c>
      <c r="B1959" s="233" t="str">
        <f>VLOOKUP(Table8[[#This Row],[Document ID]],Table1[],2,FALSE)</f>
        <v>MKD</v>
      </c>
      <c r="C1959" s="233" t="str">
        <f>VLOOKUP(Table8[[#This Row],[Document ID]],Table1[],3,FALSE)</f>
        <v>Republic of North Macedonia</v>
      </c>
      <c r="D1959" s="243" t="str">
        <f>VLOOKUP(Table8[[#This Row],[Document ID]],Table1[],5,FALSE)</f>
        <v>LTS</v>
      </c>
      <c r="E1959" s="233" t="str">
        <f>VLOOKUP(Table8[[#This Row],[Document ID]],Table1[],7,FALSE)</f>
        <v>LTS</v>
      </c>
      <c r="F1959" s="233" t="str">
        <f>VLOOKUP(Table8[[#This Row],[Document ID]],Table1[],8,FALSE)</f>
        <v>LTS 1.0</v>
      </c>
      <c r="G1959" s="233" t="str">
        <f>VLOOKUP(Table8[[#This Row],[Document ID]],Table1[],10,FALSE)</f>
        <v>Active</v>
      </c>
      <c r="H1959" s="44" t="s">
        <v>2338</v>
      </c>
      <c r="I1959" s="44" t="s">
        <v>2339</v>
      </c>
      <c r="J1959" s="44" t="s">
        <v>2410</v>
      </c>
      <c r="K1959" s="44" t="s">
        <v>4133</v>
      </c>
      <c r="L1959" s="44" t="s">
        <v>2333</v>
      </c>
      <c r="M1959" s="43">
        <v>24</v>
      </c>
      <c r="N1959" s="113" t="s">
        <v>1113</v>
      </c>
      <c r="O1959" s="113"/>
      <c r="P1959" s="113"/>
      <c r="Q1959" s="113"/>
      <c r="R1959" s="113"/>
      <c r="S1959" s="113"/>
      <c r="T1959" s="113"/>
      <c r="U1959" s="113"/>
      <c r="V1959" s="113"/>
      <c r="W1959" s="113"/>
      <c r="X1959" s="113"/>
      <c r="Y1959" s="113"/>
      <c r="Z1959" s="113"/>
      <c r="AA1959" s="113"/>
      <c r="AB1959" s="113"/>
      <c r="AC1959" s="113"/>
      <c r="AD1959" s="113"/>
      <c r="AE1959" s="113"/>
      <c r="AF1959" s="113"/>
      <c r="AG1959" s="113"/>
      <c r="AH1959" s="113"/>
      <c r="AI1959" s="113"/>
      <c r="AJ1959" s="113"/>
      <c r="AK1959" s="113" t="s">
        <v>1113</v>
      </c>
      <c r="AL1959" s="113"/>
      <c r="AM1959" s="113"/>
      <c r="AN1959" s="113"/>
      <c r="AO1959" s="44" t="s">
        <v>2334</v>
      </c>
      <c r="AP1959" s="43"/>
      <c r="AQ1959" s="236" t="str">
        <f>VLOOKUP(Table8[[#This Row],[Instrument]],Def_Targets!$D$73:$E$159,2,FALSE)</f>
        <v>I_VehicleRestrictions</v>
      </c>
      <c r="AR1959" s="233" t="str">
        <f>VLOOKUP(Table8[[#This Row],[Country Code]],Table29[],3,FALSE)</f>
        <v>Non-Annex I</v>
      </c>
      <c r="AS1959" s="233" t="str">
        <f>VLOOKUP(Table8[[#This Row],[Country Code]],Table29[],4,FALSE)</f>
        <v>Europe</v>
      </c>
      <c r="AT1959" s="233" t="str">
        <f>VLOOKUP(Table8[[#This Row],[Country Code]],Table29[],5,FALSE)</f>
        <v>Middle-income</v>
      </c>
      <c r="AU1959" s="233" t="str">
        <f>VLOOKUP(Table8[[#This Row],[Country Code]],Table29[],6,FALSE)</f>
        <v>no</v>
      </c>
      <c r="AV1959" s="233" t="str">
        <f>VLOOKUP(Table8[[#This Row],[Country Code]],Table29[],7,FALSE)</f>
        <v>no</v>
      </c>
      <c r="AW1959" s="233" t="str">
        <f>VLOOKUP(Table8[[#This Row],[Country Code]],Table29[],8,FALSE)</f>
        <v>non-OECD</v>
      </c>
      <c r="AX1959" s="233" t="str">
        <f>VLOOKUP(Table8[[#This Row],[Country Code]],Table29[],9,FALSE)</f>
        <v>no</v>
      </c>
      <c r="AY1959" s="233" t="str">
        <f>VLOOKUP(Table8[[#This Row],[Country Code]],Table29[],10,FALSE)</f>
        <v>no</v>
      </c>
      <c r="AZ1959" s="235">
        <f>VLOOKUP(Table8[[#This Row],[Country Code]],Table29[],23,FALSE)</f>
        <v>11.370029305485</v>
      </c>
      <c r="BA1959" s="235">
        <f>VLOOKUP(Table8[[#This Row],[Country Code]],Table29[],24,FALSE)</f>
        <v>2.5209386628390988</v>
      </c>
      <c r="BB1959" s="320"/>
      <c r="BC1959" s="320"/>
    </row>
    <row r="1960" spans="1:55" ht="45" hidden="1" x14ac:dyDescent="0.25">
      <c r="A1960" s="373">
        <v>26788</v>
      </c>
      <c r="B1960" s="233" t="str">
        <f>VLOOKUP(Table8[[#This Row],[Document ID]],Table1[],2,FALSE)</f>
        <v>MKD</v>
      </c>
      <c r="C1960" s="233" t="str">
        <f>VLOOKUP(Table8[[#This Row],[Document ID]],Table1[],3,FALSE)</f>
        <v>Republic of North Macedonia</v>
      </c>
      <c r="D1960" s="243" t="str">
        <f>VLOOKUP(Table8[[#This Row],[Document ID]],Table1[],5,FALSE)</f>
        <v>LTS</v>
      </c>
      <c r="E1960" s="233" t="str">
        <f>VLOOKUP(Table8[[#This Row],[Document ID]],Table1[],7,FALSE)</f>
        <v>LTS</v>
      </c>
      <c r="F1960" s="233" t="str">
        <f>VLOOKUP(Table8[[#This Row],[Document ID]],Table1[],8,FALSE)</f>
        <v>LTS 1.0</v>
      </c>
      <c r="G1960" s="233" t="str">
        <f>VLOOKUP(Table8[[#This Row],[Document ID]],Table1[],10,FALSE)</f>
        <v>Active</v>
      </c>
      <c r="H1960" s="43" t="s">
        <v>2358</v>
      </c>
      <c r="I1960" s="43" t="s">
        <v>2359</v>
      </c>
      <c r="J1960" s="44" t="s">
        <v>2360</v>
      </c>
      <c r="K1960" s="44" t="s">
        <v>4134</v>
      </c>
      <c r="L1960" s="44" t="s">
        <v>2333</v>
      </c>
      <c r="M1960" s="43">
        <v>24</v>
      </c>
      <c r="N1960" s="113" t="s">
        <v>1113</v>
      </c>
      <c r="O1960" s="113"/>
      <c r="P1960" s="113"/>
      <c r="Q1960" s="113"/>
      <c r="R1960" s="113"/>
      <c r="S1960" s="113"/>
      <c r="T1960" s="113"/>
      <c r="U1960" s="113"/>
      <c r="V1960" s="113"/>
      <c r="W1960" s="113"/>
      <c r="X1960" s="113"/>
      <c r="Y1960" s="113"/>
      <c r="Z1960" s="113"/>
      <c r="AA1960" s="113"/>
      <c r="AB1960" s="113"/>
      <c r="AC1960" s="113"/>
      <c r="AD1960" s="113"/>
      <c r="AE1960" s="113"/>
      <c r="AF1960" s="113"/>
      <c r="AG1960" s="113"/>
      <c r="AH1960" s="113"/>
      <c r="AI1960" s="113"/>
      <c r="AJ1960" s="113"/>
      <c r="AK1960" s="113" t="s">
        <v>1113</v>
      </c>
      <c r="AL1960" s="113"/>
      <c r="AM1960" s="113"/>
      <c r="AN1960" s="113"/>
      <c r="AO1960" s="44" t="s">
        <v>2334</v>
      </c>
      <c r="AP1960" s="43"/>
      <c r="AQ1960" s="236" t="str">
        <f>VLOOKUP(Table8[[#This Row],[Instrument]],Def_Targets!$D$73:$E$159,2,FALSE)</f>
        <v>I_Emobility</v>
      </c>
      <c r="AR1960" s="233" t="str">
        <f>VLOOKUP(Table8[[#This Row],[Country Code]],Table29[],3,FALSE)</f>
        <v>Non-Annex I</v>
      </c>
      <c r="AS1960" s="233" t="str">
        <f>VLOOKUP(Table8[[#This Row],[Country Code]],Table29[],4,FALSE)</f>
        <v>Europe</v>
      </c>
      <c r="AT1960" s="233" t="str">
        <f>VLOOKUP(Table8[[#This Row],[Country Code]],Table29[],5,FALSE)</f>
        <v>Middle-income</v>
      </c>
      <c r="AU1960" s="233" t="str">
        <f>VLOOKUP(Table8[[#This Row],[Country Code]],Table29[],6,FALSE)</f>
        <v>no</v>
      </c>
      <c r="AV1960" s="233" t="str">
        <f>VLOOKUP(Table8[[#This Row],[Country Code]],Table29[],7,FALSE)</f>
        <v>no</v>
      </c>
      <c r="AW1960" s="233" t="str">
        <f>VLOOKUP(Table8[[#This Row],[Country Code]],Table29[],8,FALSE)</f>
        <v>non-OECD</v>
      </c>
      <c r="AX1960" s="233" t="str">
        <f>VLOOKUP(Table8[[#This Row],[Country Code]],Table29[],9,FALSE)</f>
        <v>no</v>
      </c>
      <c r="AY1960" s="233" t="str">
        <f>VLOOKUP(Table8[[#This Row],[Country Code]],Table29[],10,FALSE)</f>
        <v>no</v>
      </c>
      <c r="AZ1960" s="235">
        <f>VLOOKUP(Table8[[#This Row],[Country Code]],Table29[],23,FALSE)</f>
        <v>11.370029305485</v>
      </c>
      <c r="BA1960" s="235">
        <f>VLOOKUP(Table8[[#This Row],[Country Code]],Table29[],24,FALSE)</f>
        <v>2.5209386628390988</v>
      </c>
      <c r="BB1960" s="320"/>
      <c r="BC1960" s="320"/>
    </row>
    <row r="1961" spans="1:55" hidden="1" x14ac:dyDescent="0.25">
      <c r="A1961" s="373">
        <v>26788</v>
      </c>
      <c r="B1961" s="233" t="str">
        <f>VLOOKUP(Table8[[#This Row],[Document ID]],Table1[],2,FALSE)</f>
        <v>MKD</v>
      </c>
      <c r="C1961" s="233" t="str">
        <f>VLOOKUP(Table8[[#This Row],[Document ID]],Table1[],3,FALSE)</f>
        <v>Republic of North Macedonia</v>
      </c>
      <c r="D1961" s="243" t="str">
        <f>VLOOKUP(Table8[[#This Row],[Document ID]],Table1[],5,FALSE)</f>
        <v>LTS</v>
      </c>
      <c r="E1961" s="233" t="str">
        <f>VLOOKUP(Table8[[#This Row],[Document ID]],Table1[],7,FALSE)</f>
        <v>LTS</v>
      </c>
      <c r="F1961" s="233" t="str">
        <f>VLOOKUP(Table8[[#This Row],[Document ID]],Table1[],8,FALSE)</f>
        <v>LTS 1.0</v>
      </c>
      <c r="G1961" s="233" t="str">
        <f>VLOOKUP(Table8[[#This Row],[Document ID]],Table1[],10,FALSE)</f>
        <v>Active</v>
      </c>
      <c r="H1961" s="44" t="s">
        <v>2329</v>
      </c>
      <c r="I1961" s="44" t="s">
        <v>2330</v>
      </c>
      <c r="J1961" s="44" t="s">
        <v>2357</v>
      </c>
      <c r="K1961" s="44" t="s">
        <v>4135</v>
      </c>
      <c r="L1961" s="44" t="s">
        <v>2333</v>
      </c>
      <c r="M1961" s="43">
        <v>28</v>
      </c>
      <c r="N1961" s="113" t="s">
        <v>1113</v>
      </c>
      <c r="O1961" s="113"/>
      <c r="P1961" s="113"/>
      <c r="Q1961" s="113"/>
      <c r="R1961" s="113"/>
      <c r="S1961" s="113"/>
      <c r="T1961" s="113"/>
      <c r="U1961" s="113"/>
      <c r="V1961" s="113"/>
      <c r="W1961" s="113"/>
      <c r="X1961" s="113"/>
      <c r="Y1961" s="113"/>
      <c r="Z1961" s="113"/>
      <c r="AA1961" s="113"/>
      <c r="AB1961" s="113"/>
      <c r="AC1961" s="113"/>
      <c r="AD1961" s="113"/>
      <c r="AE1961" s="113"/>
      <c r="AF1961" s="113"/>
      <c r="AG1961" s="113"/>
      <c r="AH1961" s="113"/>
      <c r="AI1961" s="113"/>
      <c r="AJ1961" s="113"/>
      <c r="AK1961" s="113" t="s">
        <v>1113</v>
      </c>
      <c r="AL1961" s="113"/>
      <c r="AM1961" s="113"/>
      <c r="AN1961" s="113"/>
      <c r="AO1961" s="44" t="s">
        <v>2334</v>
      </c>
      <c r="AP1961" s="43"/>
      <c r="AQ1961" s="236" t="str">
        <f>VLOOKUP(Table8[[#This Row],[Instrument]],Def_Targets!$D$73:$E$159,2,FALSE)</f>
        <v>I_Biofuel</v>
      </c>
      <c r="AR1961" s="233" t="str">
        <f>VLOOKUP(Table8[[#This Row],[Country Code]],Table29[],3,FALSE)</f>
        <v>Non-Annex I</v>
      </c>
      <c r="AS1961" s="233" t="str">
        <f>VLOOKUP(Table8[[#This Row],[Country Code]],Table29[],4,FALSE)</f>
        <v>Europe</v>
      </c>
      <c r="AT1961" s="233" t="str">
        <f>VLOOKUP(Table8[[#This Row],[Country Code]],Table29[],5,FALSE)</f>
        <v>Middle-income</v>
      </c>
      <c r="AU1961" s="233" t="str">
        <f>VLOOKUP(Table8[[#This Row],[Country Code]],Table29[],6,FALSE)</f>
        <v>no</v>
      </c>
      <c r="AV1961" s="233" t="str">
        <f>VLOOKUP(Table8[[#This Row],[Country Code]],Table29[],7,FALSE)</f>
        <v>no</v>
      </c>
      <c r="AW1961" s="233" t="str">
        <f>VLOOKUP(Table8[[#This Row],[Country Code]],Table29[],8,FALSE)</f>
        <v>non-OECD</v>
      </c>
      <c r="AX1961" s="233" t="str">
        <f>VLOOKUP(Table8[[#This Row],[Country Code]],Table29[],9,FALSE)</f>
        <v>no</v>
      </c>
      <c r="AY1961" s="233" t="str">
        <f>VLOOKUP(Table8[[#This Row],[Country Code]],Table29[],10,FALSE)</f>
        <v>no</v>
      </c>
      <c r="AZ1961" s="235">
        <f>VLOOKUP(Table8[[#This Row],[Country Code]],Table29[],23,FALSE)</f>
        <v>11.370029305485</v>
      </c>
      <c r="BA1961" s="235">
        <f>VLOOKUP(Table8[[#This Row],[Country Code]],Table29[],24,FALSE)</f>
        <v>2.5209386628390988</v>
      </c>
      <c r="BB1961" s="320"/>
      <c r="BC1961" s="320"/>
    </row>
    <row r="1962" spans="1:55" s="17" customFormat="1" hidden="1" x14ac:dyDescent="0.25">
      <c r="A1962" s="373">
        <v>26788</v>
      </c>
      <c r="B1962" s="233" t="str">
        <f>VLOOKUP(Table8[[#This Row],[Document ID]],Table1[],2,FALSE)</f>
        <v>MKD</v>
      </c>
      <c r="C1962" s="233" t="str">
        <f>VLOOKUP(Table8[[#This Row],[Document ID]],Table1[],3,FALSE)</f>
        <v>Republic of North Macedonia</v>
      </c>
      <c r="D1962" s="243" t="str">
        <f>VLOOKUP(Table8[[#This Row],[Document ID]],Table1[],5,FALSE)</f>
        <v>LTS</v>
      </c>
      <c r="E1962" s="233" t="str">
        <f>VLOOKUP(Table8[[#This Row],[Document ID]],Table1[],7,FALSE)</f>
        <v>LTS</v>
      </c>
      <c r="F1962" s="233" t="str">
        <f>VLOOKUP(Table8[[#This Row],[Document ID]],Table1[],8,FALSE)</f>
        <v>LTS 1.0</v>
      </c>
      <c r="G1962" s="233" t="str">
        <f>VLOOKUP(Table8[[#This Row],[Document ID]],Table1[],10,FALSE)</f>
        <v>Active</v>
      </c>
      <c r="H1962" s="44" t="s">
        <v>2329</v>
      </c>
      <c r="I1962" s="44" t="s">
        <v>2330</v>
      </c>
      <c r="J1962" s="44" t="s">
        <v>2363</v>
      </c>
      <c r="K1962" s="44" t="s">
        <v>4135</v>
      </c>
      <c r="L1962" s="44" t="s">
        <v>2333</v>
      </c>
      <c r="M1962" s="43">
        <v>28</v>
      </c>
      <c r="N1962" s="113" t="s">
        <v>1113</v>
      </c>
      <c r="O1962" s="113"/>
      <c r="P1962" s="113"/>
      <c r="Q1962" s="113"/>
      <c r="R1962" s="113"/>
      <c r="S1962" s="113"/>
      <c r="T1962" s="113"/>
      <c r="U1962" s="113"/>
      <c r="V1962" s="113"/>
      <c r="W1962" s="113"/>
      <c r="X1962" s="113"/>
      <c r="Y1962" s="113"/>
      <c r="Z1962" s="113"/>
      <c r="AA1962" s="113"/>
      <c r="AB1962" s="113"/>
      <c r="AC1962" s="113"/>
      <c r="AD1962" s="113"/>
      <c r="AE1962" s="113"/>
      <c r="AF1962" s="113"/>
      <c r="AG1962" s="113"/>
      <c r="AH1962" s="113"/>
      <c r="AI1962" s="113"/>
      <c r="AJ1962" s="113"/>
      <c r="AK1962" s="113" t="s">
        <v>1113</v>
      </c>
      <c r="AL1962" s="113"/>
      <c r="AM1962" s="113"/>
      <c r="AN1962" s="113"/>
      <c r="AO1962" s="44" t="s">
        <v>2334</v>
      </c>
      <c r="AP1962" s="43"/>
      <c r="AQ1962" s="236" t="str">
        <f>VLOOKUP(Table8[[#This Row],[Instrument]],Def_Targets!$D$73:$E$159,2,FALSE)</f>
        <v>I_LPGCNGLNG</v>
      </c>
      <c r="AR1962" s="233" t="str">
        <f>VLOOKUP(Table8[[#This Row],[Country Code]],Table29[],3,FALSE)</f>
        <v>Non-Annex I</v>
      </c>
      <c r="AS1962" s="233" t="str">
        <f>VLOOKUP(Table8[[#This Row],[Country Code]],Table29[],4,FALSE)</f>
        <v>Europe</v>
      </c>
      <c r="AT1962" s="233" t="str">
        <f>VLOOKUP(Table8[[#This Row],[Country Code]],Table29[],5,FALSE)</f>
        <v>Middle-income</v>
      </c>
      <c r="AU1962" s="233" t="str">
        <f>VLOOKUP(Table8[[#This Row],[Country Code]],Table29[],6,FALSE)</f>
        <v>no</v>
      </c>
      <c r="AV1962" s="233" t="str">
        <f>VLOOKUP(Table8[[#This Row],[Country Code]],Table29[],7,FALSE)</f>
        <v>no</v>
      </c>
      <c r="AW1962" s="233" t="str">
        <f>VLOOKUP(Table8[[#This Row],[Country Code]],Table29[],8,FALSE)</f>
        <v>non-OECD</v>
      </c>
      <c r="AX1962" s="233" t="str">
        <f>VLOOKUP(Table8[[#This Row],[Country Code]],Table29[],9,FALSE)</f>
        <v>no</v>
      </c>
      <c r="AY1962" s="233" t="str">
        <f>VLOOKUP(Table8[[#This Row],[Country Code]],Table29[],10,FALSE)</f>
        <v>no</v>
      </c>
      <c r="AZ1962" s="235">
        <f>VLOOKUP(Table8[[#This Row],[Country Code]],Table29[],23,FALSE)</f>
        <v>11.370029305485</v>
      </c>
      <c r="BA1962" s="235">
        <f>VLOOKUP(Table8[[#This Row],[Country Code]],Table29[],24,FALSE)</f>
        <v>2.5209386628390988</v>
      </c>
      <c r="BB1962" s="320"/>
      <c r="BC1962" s="320"/>
    </row>
    <row r="1963" spans="1:55" s="17" customFormat="1" hidden="1" x14ac:dyDescent="0.25">
      <c r="A1963" s="373">
        <v>26788</v>
      </c>
      <c r="B1963" s="233" t="str">
        <f>VLOOKUP(Table8[[#This Row],[Document ID]],Table1[],2,FALSE)</f>
        <v>MKD</v>
      </c>
      <c r="C1963" s="233" t="str">
        <f>VLOOKUP(Table8[[#This Row],[Document ID]],Table1[],3,FALSE)</f>
        <v>Republic of North Macedonia</v>
      </c>
      <c r="D1963" s="243" t="str">
        <f>VLOOKUP(Table8[[#This Row],[Document ID]],Table1[],5,FALSE)</f>
        <v>LTS</v>
      </c>
      <c r="E1963" s="233" t="str">
        <f>VLOOKUP(Table8[[#This Row],[Document ID]],Table1[],7,FALSE)</f>
        <v>LTS</v>
      </c>
      <c r="F1963" s="233" t="str">
        <f>VLOOKUP(Table8[[#This Row],[Document ID]],Table1[],8,FALSE)</f>
        <v>LTS 1.0</v>
      </c>
      <c r="G1963" s="233" t="str">
        <f>VLOOKUP(Table8[[#This Row],[Document ID]],Table1[],10,FALSE)</f>
        <v>Active</v>
      </c>
      <c r="H1963" s="44" t="s">
        <v>2329</v>
      </c>
      <c r="I1963" s="44" t="s">
        <v>2330</v>
      </c>
      <c r="J1963" s="44" t="s">
        <v>2391</v>
      </c>
      <c r="K1963" s="44" t="s">
        <v>4136</v>
      </c>
      <c r="L1963" s="44" t="s">
        <v>2333</v>
      </c>
      <c r="M1963" s="43">
        <v>28</v>
      </c>
      <c r="N1963" s="113" t="s">
        <v>1113</v>
      </c>
      <c r="O1963" s="113"/>
      <c r="P1963" s="113"/>
      <c r="Q1963" s="113"/>
      <c r="R1963" s="113"/>
      <c r="S1963" s="113"/>
      <c r="T1963" s="113"/>
      <c r="U1963" s="113"/>
      <c r="V1963" s="113"/>
      <c r="W1963" s="113"/>
      <c r="X1963" s="113"/>
      <c r="Y1963" s="113"/>
      <c r="Z1963" s="113"/>
      <c r="AA1963" s="113"/>
      <c r="AB1963" s="113"/>
      <c r="AC1963" s="113"/>
      <c r="AD1963" s="113"/>
      <c r="AE1963" s="113"/>
      <c r="AF1963" s="113"/>
      <c r="AG1963" s="113"/>
      <c r="AH1963" s="113"/>
      <c r="AI1963" s="113"/>
      <c r="AJ1963" s="113"/>
      <c r="AK1963" s="113" t="s">
        <v>1113</v>
      </c>
      <c r="AL1963" s="113"/>
      <c r="AM1963" s="113"/>
      <c r="AN1963" s="113"/>
      <c r="AO1963" s="44" t="s">
        <v>2334</v>
      </c>
      <c r="AP1963" s="43"/>
      <c r="AQ1963" s="236" t="str">
        <f>VLOOKUP(Table8[[#This Row],[Instrument]],Def_Targets!$D$73:$E$159,2,FALSE)</f>
        <v>I_Hydrogen</v>
      </c>
      <c r="AR1963" s="233" t="str">
        <f>VLOOKUP(Table8[[#This Row],[Country Code]],Table29[],3,FALSE)</f>
        <v>Non-Annex I</v>
      </c>
      <c r="AS1963" s="233" t="str">
        <f>VLOOKUP(Table8[[#This Row],[Country Code]],Table29[],4,FALSE)</f>
        <v>Europe</v>
      </c>
      <c r="AT1963" s="233" t="str">
        <f>VLOOKUP(Table8[[#This Row],[Country Code]],Table29[],5,FALSE)</f>
        <v>Middle-income</v>
      </c>
      <c r="AU1963" s="233" t="str">
        <f>VLOOKUP(Table8[[#This Row],[Country Code]],Table29[],6,FALSE)</f>
        <v>no</v>
      </c>
      <c r="AV1963" s="233" t="str">
        <f>VLOOKUP(Table8[[#This Row],[Country Code]],Table29[],7,FALSE)</f>
        <v>no</v>
      </c>
      <c r="AW1963" s="233" t="str">
        <f>VLOOKUP(Table8[[#This Row],[Country Code]],Table29[],8,FALSE)</f>
        <v>non-OECD</v>
      </c>
      <c r="AX1963" s="233" t="str">
        <f>VLOOKUP(Table8[[#This Row],[Country Code]],Table29[],9,FALSE)</f>
        <v>no</v>
      </c>
      <c r="AY1963" s="233" t="str">
        <f>VLOOKUP(Table8[[#This Row],[Country Code]],Table29[],10,FALSE)</f>
        <v>no</v>
      </c>
      <c r="AZ1963" s="235">
        <f>VLOOKUP(Table8[[#This Row],[Country Code]],Table29[],23,FALSE)</f>
        <v>11.370029305485</v>
      </c>
      <c r="BA1963" s="235">
        <f>VLOOKUP(Table8[[#This Row],[Country Code]],Table29[],24,FALSE)</f>
        <v>2.5209386628390988</v>
      </c>
      <c r="BB1963" s="320"/>
      <c r="BC1963" s="320"/>
    </row>
    <row r="1964" spans="1:55" s="17" customFormat="1" hidden="1" x14ac:dyDescent="0.25">
      <c r="A1964" s="373">
        <v>26788</v>
      </c>
      <c r="B1964" s="233" t="str">
        <f>VLOOKUP(Table8[[#This Row],[Document ID]],Table1[],2,FALSE)</f>
        <v>MKD</v>
      </c>
      <c r="C1964" s="233" t="str">
        <f>VLOOKUP(Table8[[#This Row],[Document ID]],Table1[],3,FALSE)</f>
        <v>Republic of North Macedonia</v>
      </c>
      <c r="D1964" s="243" t="str">
        <f>VLOOKUP(Table8[[#This Row],[Document ID]],Table1[],5,FALSE)</f>
        <v>LTS</v>
      </c>
      <c r="E1964" s="233" t="str">
        <f>VLOOKUP(Table8[[#This Row],[Document ID]],Table1[],7,FALSE)</f>
        <v>LTS</v>
      </c>
      <c r="F1964" s="233" t="str">
        <f>VLOOKUP(Table8[[#This Row],[Document ID]],Table1[],8,FALSE)</f>
        <v>LTS 1.0</v>
      </c>
      <c r="G1964" s="233" t="str">
        <f>VLOOKUP(Table8[[#This Row],[Document ID]],Table1[],10,FALSE)</f>
        <v>Active</v>
      </c>
      <c r="H1964" s="43" t="s">
        <v>2358</v>
      </c>
      <c r="I1964" s="43" t="s">
        <v>2359</v>
      </c>
      <c r="J1964" s="44" t="s">
        <v>2360</v>
      </c>
      <c r="K1964" s="44" t="s">
        <v>4137</v>
      </c>
      <c r="L1964" s="44" t="s">
        <v>2333</v>
      </c>
      <c r="M1964" s="43">
        <v>38</v>
      </c>
      <c r="N1964" s="113"/>
      <c r="O1964" s="113"/>
      <c r="P1964" s="113"/>
      <c r="Q1964" s="113"/>
      <c r="R1964" s="113"/>
      <c r="S1964" s="113"/>
      <c r="T1964" s="113"/>
      <c r="U1964" s="113"/>
      <c r="V1964" s="113"/>
      <c r="W1964" s="113"/>
      <c r="X1964" s="113" t="s">
        <v>1113</v>
      </c>
      <c r="Y1964" s="113"/>
      <c r="Z1964" s="113"/>
      <c r="AA1964" s="113"/>
      <c r="AB1964" s="113"/>
      <c r="AC1964" s="113"/>
      <c r="AD1964" s="113"/>
      <c r="AE1964" s="113"/>
      <c r="AF1964" s="113"/>
      <c r="AG1964" s="113"/>
      <c r="AH1964" s="113"/>
      <c r="AI1964" s="113"/>
      <c r="AJ1964" s="113"/>
      <c r="AK1964" s="113" t="s">
        <v>1113</v>
      </c>
      <c r="AL1964" s="113"/>
      <c r="AM1964" s="113"/>
      <c r="AN1964" s="113"/>
      <c r="AO1964" s="43" t="s">
        <v>2353</v>
      </c>
      <c r="AP1964" s="43"/>
      <c r="AQ1964" s="236" t="str">
        <f>VLOOKUP(Table8[[#This Row],[Instrument]],Def_Targets!$D$73:$E$159,2,FALSE)</f>
        <v>I_Emobility</v>
      </c>
      <c r="AR1964" s="233" t="str">
        <f>VLOOKUP(Table8[[#This Row],[Country Code]],Table29[],3,FALSE)</f>
        <v>Non-Annex I</v>
      </c>
      <c r="AS1964" s="233" t="str">
        <f>VLOOKUP(Table8[[#This Row],[Country Code]],Table29[],4,FALSE)</f>
        <v>Europe</v>
      </c>
      <c r="AT1964" s="233" t="str">
        <f>VLOOKUP(Table8[[#This Row],[Country Code]],Table29[],5,FALSE)</f>
        <v>Middle-income</v>
      </c>
      <c r="AU1964" s="233" t="str">
        <f>VLOOKUP(Table8[[#This Row],[Country Code]],Table29[],6,FALSE)</f>
        <v>no</v>
      </c>
      <c r="AV1964" s="233" t="str">
        <f>VLOOKUP(Table8[[#This Row],[Country Code]],Table29[],7,FALSE)</f>
        <v>no</v>
      </c>
      <c r="AW1964" s="233" t="str">
        <f>VLOOKUP(Table8[[#This Row],[Country Code]],Table29[],8,FALSE)</f>
        <v>non-OECD</v>
      </c>
      <c r="AX1964" s="233" t="str">
        <f>VLOOKUP(Table8[[#This Row],[Country Code]],Table29[],9,FALSE)</f>
        <v>no</v>
      </c>
      <c r="AY1964" s="233" t="str">
        <f>VLOOKUP(Table8[[#This Row],[Country Code]],Table29[],10,FALSE)</f>
        <v>no</v>
      </c>
      <c r="AZ1964" s="235">
        <f>VLOOKUP(Table8[[#This Row],[Country Code]],Table29[],23,FALSE)</f>
        <v>11.370029305485</v>
      </c>
      <c r="BA1964" s="235">
        <f>VLOOKUP(Table8[[#This Row],[Country Code]],Table29[],24,FALSE)</f>
        <v>2.5209386628390988</v>
      </c>
      <c r="BB1964" s="320"/>
      <c r="BC1964" s="320"/>
    </row>
    <row r="1965" spans="1:55" s="17" customFormat="1" hidden="1" x14ac:dyDescent="0.25">
      <c r="A1965" s="373">
        <v>26788</v>
      </c>
      <c r="B1965" s="233" t="str">
        <f>VLOOKUP(Table8[[#This Row],[Document ID]],Table1[],2,FALSE)</f>
        <v>MKD</v>
      </c>
      <c r="C1965" s="233" t="str">
        <f>VLOOKUP(Table8[[#This Row],[Document ID]],Table1[],3,FALSE)</f>
        <v>Republic of North Macedonia</v>
      </c>
      <c r="D1965" s="243" t="str">
        <f>VLOOKUP(Table8[[#This Row],[Document ID]],Table1[],5,FALSE)</f>
        <v>LTS</v>
      </c>
      <c r="E1965" s="233" t="str">
        <f>VLOOKUP(Table8[[#This Row],[Document ID]],Table1[],7,FALSE)</f>
        <v>LTS</v>
      </c>
      <c r="F1965" s="233" t="str">
        <f>VLOOKUP(Table8[[#This Row],[Document ID]],Table1[],8,FALSE)</f>
        <v>LTS 1.0</v>
      </c>
      <c r="G1965" s="233" t="str">
        <f>VLOOKUP(Table8[[#This Row],[Document ID]],Table1[],10,FALSE)</f>
        <v>Active</v>
      </c>
      <c r="H1965" s="43" t="s">
        <v>2350</v>
      </c>
      <c r="I1965" s="43" t="s">
        <v>2407</v>
      </c>
      <c r="J1965" s="44" t="s">
        <v>2408</v>
      </c>
      <c r="K1965" s="44" t="s">
        <v>4138</v>
      </c>
      <c r="L1965" s="44" t="s">
        <v>2347</v>
      </c>
      <c r="M1965" s="43" t="s">
        <v>4139</v>
      </c>
      <c r="N1965" s="113"/>
      <c r="O1965" s="113"/>
      <c r="P1965" s="113"/>
      <c r="Q1965" s="113"/>
      <c r="R1965" s="113"/>
      <c r="S1965" s="113"/>
      <c r="T1965" s="113"/>
      <c r="U1965" s="113"/>
      <c r="V1965" s="113"/>
      <c r="W1965" s="113"/>
      <c r="X1965" s="113"/>
      <c r="Y1965" s="113"/>
      <c r="Z1965" s="113" t="s">
        <v>1113</v>
      </c>
      <c r="AA1965" s="113"/>
      <c r="AB1965" s="113"/>
      <c r="AC1965" s="113"/>
      <c r="AD1965" s="113"/>
      <c r="AE1965" s="113"/>
      <c r="AF1965" s="113"/>
      <c r="AG1965" s="113"/>
      <c r="AH1965" s="113"/>
      <c r="AI1965" s="113"/>
      <c r="AJ1965" s="113"/>
      <c r="AK1965" s="113" t="s">
        <v>1113</v>
      </c>
      <c r="AL1965" s="113"/>
      <c r="AM1965" s="113"/>
      <c r="AN1965" s="113"/>
      <c r="AO1965" s="44" t="s">
        <v>2334</v>
      </c>
      <c r="AP1965" s="43"/>
      <c r="AQ1965" s="236" t="str">
        <f>VLOOKUP(Table8[[#This Row],[Instrument]],Def_Targets!$D$73:$E$159,2,FALSE)</f>
        <v>I_Education</v>
      </c>
      <c r="AR1965" s="233" t="str">
        <f>VLOOKUP(Table8[[#This Row],[Country Code]],Table29[],3,FALSE)</f>
        <v>Non-Annex I</v>
      </c>
      <c r="AS1965" s="233" t="str">
        <f>VLOOKUP(Table8[[#This Row],[Country Code]],Table29[],4,FALSE)</f>
        <v>Europe</v>
      </c>
      <c r="AT1965" s="233" t="str">
        <f>VLOOKUP(Table8[[#This Row],[Country Code]],Table29[],5,FALSE)</f>
        <v>Middle-income</v>
      </c>
      <c r="AU1965" s="233" t="str">
        <f>VLOOKUP(Table8[[#This Row],[Country Code]],Table29[],6,FALSE)</f>
        <v>no</v>
      </c>
      <c r="AV1965" s="233" t="str">
        <f>VLOOKUP(Table8[[#This Row],[Country Code]],Table29[],7,FALSE)</f>
        <v>no</v>
      </c>
      <c r="AW1965" s="233" t="str">
        <f>VLOOKUP(Table8[[#This Row],[Country Code]],Table29[],8,FALSE)</f>
        <v>non-OECD</v>
      </c>
      <c r="AX1965" s="233" t="str">
        <f>VLOOKUP(Table8[[#This Row],[Country Code]],Table29[],9,FALSE)</f>
        <v>no</v>
      </c>
      <c r="AY1965" s="233" t="str">
        <f>VLOOKUP(Table8[[#This Row],[Country Code]],Table29[],10,FALSE)</f>
        <v>no</v>
      </c>
      <c r="AZ1965" s="235">
        <f>VLOOKUP(Table8[[#This Row],[Country Code]],Table29[],23,FALSE)</f>
        <v>11.370029305485</v>
      </c>
      <c r="BA1965" s="235">
        <f>VLOOKUP(Table8[[#This Row],[Country Code]],Table29[],24,FALSE)</f>
        <v>2.5209386628390988</v>
      </c>
      <c r="BB1965" s="320"/>
      <c r="BC1965" s="320"/>
    </row>
    <row r="1966" spans="1:55" s="17" customFormat="1" hidden="1" x14ac:dyDescent="0.25">
      <c r="A1966" s="373">
        <v>26788</v>
      </c>
      <c r="B1966" s="233" t="str">
        <f>VLOOKUP(Table8[[#This Row],[Document ID]],Table1[],2,FALSE)</f>
        <v>MKD</v>
      </c>
      <c r="C1966" s="233" t="str">
        <f>VLOOKUP(Table8[[#This Row],[Document ID]],Table1[],3,FALSE)</f>
        <v>Republic of North Macedonia</v>
      </c>
      <c r="D1966" s="243" t="str">
        <f>VLOOKUP(Table8[[#This Row],[Document ID]],Table1[],5,FALSE)</f>
        <v>LTS</v>
      </c>
      <c r="E1966" s="233" t="str">
        <f>VLOOKUP(Table8[[#This Row],[Document ID]],Table1[],7,FALSE)</f>
        <v>LTS</v>
      </c>
      <c r="F1966" s="233" t="str">
        <f>VLOOKUP(Table8[[#This Row],[Document ID]],Table1[],8,FALSE)</f>
        <v>LTS 1.0</v>
      </c>
      <c r="G1966" s="233" t="str">
        <f>VLOOKUP(Table8[[#This Row],[Document ID]],Table1[],10,FALSE)</f>
        <v>Active</v>
      </c>
      <c r="H1966" s="43" t="s">
        <v>2350</v>
      </c>
      <c r="I1966" s="43" t="s">
        <v>2456</v>
      </c>
      <c r="J1966" s="44" t="s">
        <v>2457</v>
      </c>
      <c r="K1966" s="44" t="s">
        <v>4140</v>
      </c>
      <c r="L1966" s="44" t="s">
        <v>2347</v>
      </c>
      <c r="M1966" s="43">
        <v>137</v>
      </c>
      <c r="N1966" s="113"/>
      <c r="O1966" s="113"/>
      <c r="P1966" s="113"/>
      <c r="Q1966" s="113"/>
      <c r="R1966" s="113"/>
      <c r="S1966" s="113"/>
      <c r="T1966" s="113"/>
      <c r="U1966" s="113"/>
      <c r="V1966" s="113"/>
      <c r="W1966" s="113"/>
      <c r="X1966" s="113"/>
      <c r="Y1966" s="113"/>
      <c r="Z1966" s="113" t="s">
        <v>1113</v>
      </c>
      <c r="AA1966" s="113"/>
      <c r="AB1966" s="113"/>
      <c r="AC1966" s="113"/>
      <c r="AD1966" s="113"/>
      <c r="AE1966" s="113"/>
      <c r="AF1966" s="113"/>
      <c r="AG1966" s="113"/>
      <c r="AH1966" s="113"/>
      <c r="AI1966" s="113"/>
      <c r="AJ1966" s="113"/>
      <c r="AK1966" s="113" t="s">
        <v>1113</v>
      </c>
      <c r="AL1966" s="113"/>
      <c r="AM1966" s="113"/>
      <c r="AN1966" s="113"/>
      <c r="AO1966" s="44" t="s">
        <v>2334</v>
      </c>
      <c r="AP1966" s="43"/>
      <c r="AQ1966" s="236" t="str">
        <f>VLOOKUP(Table8[[#This Row],[Instrument]],Def_Targets!$D$73:$E$159,2,FALSE)</f>
        <v>S_Infraimprove</v>
      </c>
      <c r="AR1966" s="233" t="str">
        <f>VLOOKUP(Table8[[#This Row],[Country Code]],Table29[],3,FALSE)</f>
        <v>Non-Annex I</v>
      </c>
      <c r="AS1966" s="233" t="str">
        <f>VLOOKUP(Table8[[#This Row],[Country Code]],Table29[],4,FALSE)</f>
        <v>Europe</v>
      </c>
      <c r="AT1966" s="233" t="str">
        <f>VLOOKUP(Table8[[#This Row],[Country Code]],Table29[],5,FALSE)</f>
        <v>Middle-income</v>
      </c>
      <c r="AU1966" s="233" t="str">
        <f>VLOOKUP(Table8[[#This Row],[Country Code]],Table29[],6,FALSE)</f>
        <v>no</v>
      </c>
      <c r="AV1966" s="233" t="str">
        <f>VLOOKUP(Table8[[#This Row],[Country Code]],Table29[],7,FALSE)</f>
        <v>no</v>
      </c>
      <c r="AW1966" s="233" t="str">
        <f>VLOOKUP(Table8[[#This Row],[Country Code]],Table29[],8,FALSE)</f>
        <v>non-OECD</v>
      </c>
      <c r="AX1966" s="233" t="str">
        <f>VLOOKUP(Table8[[#This Row],[Country Code]],Table29[],9,FALSE)</f>
        <v>no</v>
      </c>
      <c r="AY1966" s="233" t="str">
        <f>VLOOKUP(Table8[[#This Row],[Country Code]],Table29[],10,FALSE)</f>
        <v>no</v>
      </c>
      <c r="AZ1966" s="235">
        <f>VLOOKUP(Table8[[#This Row],[Country Code]],Table29[],23,FALSE)</f>
        <v>11.370029305485</v>
      </c>
      <c r="BA1966" s="235">
        <f>VLOOKUP(Table8[[#This Row],[Country Code]],Table29[],24,FALSE)</f>
        <v>2.5209386628390988</v>
      </c>
      <c r="BB1966" s="320"/>
      <c r="BC1966" s="320"/>
    </row>
    <row r="1967" spans="1:55" s="17" customFormat="1" hidden="1" x14ac:dyDescent="0.25">
      <c r="A1967" s="373">
        <v>26788</v>
      </c>
      <c r="B1967" s="233" t="str">
        <f>VLOOKUP(Table8[[#This Row],[Document ID]],Table1[],2,FALSE)</f>
        <v>MKD</v>
      </c>
      <c r="C1967" s="233" t="str">
        <f>VLOOKUP(Table8[[#This Row],[Document ID]],Table1[],3,FALSE)</f>
        <v>Republic of North Macedonia</v>
      </c>
      <c r="D1967" s="243" t="str">
        <f>VLOOKUP(Table8[[#This Row],[Document ID]],Table1[],5,FALSE)</f>
        <v>LTS</v>
      </c>
      <c r="E1967" s="233" t="str">
        <f>VLOOKUP(Table8[[#This Row],[Document ID]],Table1[],7,FALSE)</f>
        <v>LTS</v>
      </c>
      <c r="F1967" s="233" t="str">
        <f>VLOOKUP(Table8[[#This Row],[Document ID]],Table1[],8,FALSE)</f>
        <v>LTS 1.0</v>
      </c>
      <c r="G1967" s="233" t="str">
        <f>VLOOKUP(Table8[[#This Row],[Document ID]],Table1[],10,FALSE)</f>
        <v>Active</v>
      </c>
      <c r="H1967" s="43" t="s">
        <v>2343</v>
      </c>
      <c r="I1967" s="43" t="s">
        <v>2344</v>
      </c>
      <c r="J1967" s="44" t="s">
        <v>2405</v>
      </c>
      <c r="K1967" s="44" t="s">
        <v>4141</v>
      </c>
      <c r="L1967" s="44" t="s">
        <v>2347</v>
      </c>
      <c r="M1967" s="43">
        <v>137</v>
      </c>
      <c r="N1967" s="113"/>
      <c r="O1967" s="113"/>
      <c r="P1967" s="113"/>
      <c r="Q1967" s="113"/>
      <c r="R1967" s="113"/>
      <c r="S1967" s="113"/>
      <c r="T1967" s="113"/>
      <c r="U1967" s="113"/>
      <c r="V1967" s="113"/>
      <c r="W1967" s="113"/>
      <c r="X1967" s="113"/>
      <c r="Y1967" s="113"/>
      <c r="Z1967" s="113" t="s">
        <v>1113</v>
      </c>
      <c r="AA1967" s="113"/>
      <c r="AB1967" s="113"/>
      <c r="AC1967" s="113"/>
      <c r="AD1967" s="113"/>
      <c r="AE1967" s="113"/>
      <c r="AF1967" s="113"/>
      <c r="AG1967" s="113"/>
      <c r="AH1967" s="113"/>
      <c r="AI1967" s="113"/>
      <c r="AJ1967" s="113"/>
      <c r="AK1967" s="113" t="s">
        <v>1113</v>
      </c>
      <c r="AL1967" s="113"/>
      <c r="AM1967" s="113"/>
      <c r="AN1967" s="113"/>
      <c r="AO1967" s="44" t="s">
        <v>2334</v>
      </c>
      <c r="AP1967" s="43"/>
      <c r="AQ1967" s="236" t="str">
        <f>VLOOKUP(Table8[[#This Row],[Instrument]],Def_Targets!$D$73:$E$159,2,FALSE)</f>
        <v>S_PTIntegration</v>
      </c>
      <c r="AR1967" s="233" t="str">
        <f>VLOOKUP(Table8[[#This Row],[Country Code]],Table29[],3,FALSE)</f>
        <v>Non-Annex I</v>
      </c>
      <c r="AS1967" s="233" t="str">
        <f>VLOOKUP(Table8[[#This Row],[Country Code]],Table29[],4,FALSE)</f>
        <v>Europe</v>
      </c>
      <c r="AT1967" s="233" t="str">
        <f>VLOOKUP(Table8[[#This Row],[Country Code]],Table29[],5,FALSE)</f>
        <v>Middle-income</v>
      </c>
      <c r="AU1967" s="233" t="str">
        <f>VLOOKUP(Table8[[#This Row],[Country Code]],Table29[],6,FALSE)</f>
        <v>no</v>
      </c>
      <c r="AV1967" s="233" t="str">
        <f>VLOOKUP(Table8[[#This Row],[Country Code]],Table29[],7,FALSE)</f>
        <v>no</v>
      </c>
      <c r="AW1967" s="233" t="str">
        <f>VLOOKUP(Table8[[#This Row],[Country Code]],Table29[],8,FALSE)</f>
        <v>non-OECD</v>
      </c>
      <c r="AX1967" s="233" t="str">
        <f>VLOOKUP(Table8[[#This Row],[Country Code]],Table29[],9,FALSE)</f>
        <v>no</v>
      </c>
      <c r="AY1967" s="233" t="str">
        <f>VLOOKUP(Table8[[#This Row],[Country Code]],Table29[],10,FALSE)</f>
        <v>no</v>
      </c>
      <c r="AZ1967" s="235">
        <f>VLOOKUP(Table8[[#This Row],[Country Code]],Table29[],23,FALSE)</f>
        <v>11.370029305485</v>
      </c>
      <c r="BA1967" s="235">
        <f>VLOOKUP(Table8[[#This Row],[Country Code]],Table29[],24,FALSE)</f>
        <v>2.5209386628390988</v>
      </c>
      <c r="BB1967" s="320"/>
      <c r="BC1967" s="320"/>
    </row>
    <row r="1968" spans="1:55" s="17" customFormat="1" hidden="1" x14ac:dyDescent="0.25">
      <c r="A1968" s="373">
        <v>26788</v>
      </c>
      <c r="B1968" s="233" t="str">
        <f>VLOOKUP(Table8[[#This Row],[Document ID]],Table1[],2,FALSE)</f>
        <v>MKD</v>
      </c>
      <c r="C1968" s="233" t="str">
        <f>VLOOKUP(Table8[[#This Row],[Document ID]],Table1[],3,FALSE)</f>
        <v>Republic of North Macedonia</v>
      </c>
      <c r="D1968" s="243" t="str">
        <f>VLOOKUP(Table8[[#This Row],[Document ID]],Table1[],5,FALSE)</f>
        <v>LTS</v>
      </c>
      <c r="E1968" s="233" t="str">
        <f>VLOOKUP(Table8[[#This Row],[Document ID]],Table1[],7,FALSE)</f>
        <v>LTS</v>
      </c>
      <c r="F1968" s="233" t="str">
        <f>VLOOKUP(Table8[[#This Row],[Document ID]],Table1[],8,FALSE)</f>
        <v>LTS 1.0</v>
      </c>
      <c r="G1968" s="233" t="str">
        <f>VLOOKUP(Table8[[#This Row],[Document ID]],Table1[],10,FALSE)</f>
        <v>Active</v>
      </c>
      <c r="H1968" s="43" t="s">
        <v>2343</v>
      </c>
      <c r="I1968" s="43" t="s">
        <v>2361</v>
      </c>
      <c r="J1968" s="44" t="s">
        <v>2366</v>
      </c>
      <c r="K1968" s="44" t="s">
        <v>4142</v>
      </c>
      <c r="L1968" s="44" t="s">
        <v>2347</v>
      </c>
      <c r="M1968" s="43">
        <v>77</v>
      </c>
      <c r="N1968" s="113"/>
      <c r="O1968" s="113"/>
      <c r="P1968" s="113"/>
      <c r="Q1968" s="113" t="s">
        <v>1113</v>
      </c>
      <c r="R1968" s="113" t="s">
        <v>1113</v>
      </c>
      <c r="S1968" s="113"/>
      <c r="T1968" s="113"/>
      <c r="U1968" s="113"/>
      <c r="V1968" s="113"/>
      <c r="W1968" s="113"/>
      <c r="X1968" s="113"/>
      <c r="Y1968" s="113"/>
      <c r="Z1968" s="113"/>
      <c r="AA1968" s="113"/>
      <c r="AB1968" s="113"/>
      <c r="AC1968" s="113"/>
      <c r="AD1968" s="113"/>
      <c r="AE1968" s="113"/>
      <c r="AF1968" s="113"/>
      <c r="AG1968" s="113"/>
      <c r="AH1968" s="113"/>
      <c r="AI1968" s="113"/>
      <c r="AJ1968" s="113"/>
      <c r="AK1968" s="113" t="s">
        <v>1113</v>
      </c>
      <c r="AL1968" s="113"/>
      <c r="AM1968" s="113"/>
      <c r="AN1968" s="113"/>
      <c r="AO1968" s="44" t="s">
        <v>2334</v>
      </c>
      <c r="AP1968" s="43"/>
      <c r="AQ1968" s="236" t="str">
        <f>VLOOKUP(Table8[[#This Row],[Instrument]],Def_Targets!$D$73:$E$159,2,FALSE)</f>
        <v>S_Activemobility</v>
      </c>
      <c r="AR1968" s="233" t="str">
        <f>VLOOKUP(Table8[[#This Row],[Country Code]],Table29[],3,FALSE)</f>
        <v>Non-Annex I</v>
      </c>
      <c r="AS1968" s="233" t="str">
        <f>VLOOKUP(Table8[[#This Row],[Country Code]],Table29[],4,FALSE)</f>
        <v>Europe</v>
      </c>
      <c r="AT1968" s="233" t="str">
        <f>VLOOKUP(Table8[[#This Row],[Country Code]],Table29[],5,FALSE)</f>
        <v>Middle-income</v>
      </c>
      <c r="AU1968" s="233" t="str">
        <f>VLOOKUP(Table8[[#This Row],[Country Code]],Table29[],6,FALSE)</f>
        <v>no</v>
      </c>
      <c r="AV1968" s="233" t="str">
        <f>VLOOKUP(Table8[[#This Row],[Country Code]],Table29[],7,FALSE)</f>
        <v>no</v>
      </c>
      <c r="AW1968" s="233" t="str">
        <f>VLOOKUP(Table8[[#This Row],[Country Code]],Table29[],8,FALSE)</f>
        <v>non-OECD</v>
      </c>
      <c r="AX1968" s="233" t="str">
        <f>VLOOKUP(Table8[[#This Row],[Country Code]],Table29[],9,FALSE)</f>
        <v>no</v>
      </c>
      <c r="AY1968" s="233" t="str">
        <f>VLOOKUP(Table8[[#This Row],[Country Code]],Table29[],10,FALSE)</f>
        <v>no</v>
      </c>
      <c r="AZ1968" s="235">
        <f>VLOOKUP(Table8[[#This Row],[Country Code]],Table29[],23,FALSE)</f>
        <v>11.370029305485</v>
      </c>
      <c r="BA1968" s="235">
        <f>VLOOKUP(Table8[[#This Row],[Country Code]],Table29[],24,FALSE)</f>
        <v>2.5209386628390988</v>
      </c>
      <c r="BB1968" s="320"/>
      <c r="BC1968" s="320"/>
    </row>
    <row r="1969" spans="1:55" s="17" customFormat="1" hidden="1" x14ac:dyDescent="0.25">
      <c r="A1969" s="373">
        <v>26788</v>
      </c>
      <c r="B1969" s="233" t="str">
        <f>VLOOKUP(Table8[[#This Row],[Document ID]],Table1[],2,FALSE)</f>
        <v>MKD</v>
      </c>
      <c r="C1969" s="233" t="str">
        <f>VLOOKUP(Table8[[#This Row],[Document ID]],Table1[],3,FALSE)</f>
        <v>Republic of North Macedonia</v>
      </c>
      <c r="D1969" s="243" t="str">
        <f>VLOOKUP(Table8[[#This Row],[Document ID]],Table1[],5,FALSE)</f>
        <v>LTS</v>
      </c>
      <c r="E1969" s="233" t="str">
        <f>VLOOKUP(Table8[[#This Row],[Document ID]],Table1[],7,FALSE)</f>
        <v>LTS</v>
      </c>
      <c r="F1969" s="233" t="str">
        <f>VLOOKUP(Table8[[#This Row],[Document ID]],Table1[],8,FALSE)</f>
        <v>LTS 1.0</v>
      </c>
      <c r="G1969" s="233" t="str">
        <f>VLOOKUP(Table8[[#This Row],[Document ID]],Table1[],10,FALSE)</f>
        <v>Active</v>
      </c>
      <c r="H1969" s="43" t="s">
        <v>2350</v>
      </c>
      <c r="I1969" s="43" t="s">
        <v>2456</v>
      </c>
      <c r="J1969" s="44" t="s">
        <v>2466</v>
      </c>
      <c r="K1969" s="44" t="s">
        <v>4143</v>
      </c>
      <c r="L1969" s="44" t="s">
        <v>2347</v>
      </c>
      <c r="M1969" s="43">
        <v>77</v>
      </c>
      <c r="N1969" s="113"/>
      <c r="O1969" s="113"/>
      <c r="P1969" s="113"/>
      <c r="Q1969" s="113"/>
      <c r="R1969" s="113"/>
      <c r="S1969" s="113"/>
      <c r="T1969" s="113"/>
      <c r="U1969" s="113"/>
      <c r="V1969" s="113"/>
      <c r="W1969" s="113"/>
      <c r="X1969" s="113"/>
      <c r="Y1969" s="113"/>
      <c r="Z1969" s="113" t="s">
        <v>1113</v>
      </c>
      <c r="AA1969" s="113"/>
      <c r="AB1969" s="113"/>
      <c r="AC1969" s="113"/>
      <c r="AD1969" s="113"/>
      <c r="AE1969" s="113"/>
      <c r="AF1969" s="113"/>
      <c r="AG1969" s="113"/>
      <c r="AH1969" s="113"/>
      <c r="AI1969" s="113"/>
      <c r="AJ1969" s="113"/>
      <c r="AK1969" s="113"/>
      <c r="AL1969" s="113"/>
      <c r="AM1969" s="113"/>
      <c r="AN1969" s="113" t="s">
        <v>1113</v>
      </c>
      <c r="AO1969" s="44" t="s">
        <v>2334</v>
      </c>
      <c r="AP1969" s="43"/>
      <c r="AQ1969" s="236" t="str">
        <f>VLOOKUP(Table8[[#This Row],[Instrument]],Def_Targets!$D$73:$E$159,2,FALSE)</f>
        <v>S_Infraexpansion</v>
      </c>
      <c r="AR1969" s="233" t="str">
        <f>VLOOKUP(Table8[[#This Row],[Country Code]],Table29[],3,FALSE)</f>
        <v>Non-Annex I</v>
      </c>
      <c r="AS1969" s="233" t="str">
        <f>VLOOKUP(Table8[[#This Row],[Country Code]],Table29[],4,FALSE)</f>
        <v>Europe</v>
      </c>
      <c r="AT1969" s="233" t="str">
        <f>VLOOKUP(Table8[[#This Row],[Country Code]],Table29[],5,FALSE)</f>
        <v>Middle-income</v>
      </c>
      <c r="AU1969" s="233" t="str">
        <f>VLOOKUP(Table8[[#This Row],[Country Code]],Table29[],6,FALSE)</f>
        <v>no</v>
      </c>
      <c r="AV1969" s="233" t="str">
        <f>VLOOKUP(Table8[[#This Row],[Country Code]],Table29[],7,FALSE)</f>
        <v>no</v>
      </c>
      <c r="AW1969" s="233" t="str">
        <f>VLOOKUP(Table8[[#This Row],[Country Code]],Table29[],8,FALSE)</f>
        <v>non-OECD</v>
      </c>
      <c r="AX1969" s="233" t="str">
        <f>VLOOKUP(Table8[[#This Row],[Country Code]],Table29[],9,FALSE)</f>
        <v>no</v>
      </c>
      <c r="AY1969" s="233" t="str">
        <f>VLOOKUP(Table8[[#This Row],[Country Code]],Table29[],10,FALSE)</f>
        <v>no</v>
      </c>
      <c r="AZ1969" s="235">
        <f>VLOOKUP(Table8[[#This Row],[Country Code]],Table29[],23,FALSE)</f>
        <v>11.370029305485</v>
      </c>
      <c r="BA1969" s="235">
        <f>VLOOKUP(Table8[[#This Row],[Country Code]],Table29[],24,FALSE)</f>
        <v>2.5209386628390988</v>
      </c>
      <c r="BB1969" s="320"/>
      <c r="BC1969" s="320"/>
    </row>
    <row r="1970" spans="1:55" s="17" customFormat="1" hidden="1" x14ac:dyDescent="0.25">
      <c r="A1970" s="373">
        <v>26788</v>
      </c>
      <c r="B1970" s="233" t="str">
        <f>VLOOKUP(Table8[[#This Row],[Document ID]],Table1[],2,FALSE)</f>
        <v>MKD</v>
      </c>
      <c r="C1970" s="233" t="str">
        <f>VLOOKUP(Table8[[#This Row],[Document ID]],Table1[],3,FALSE)</f>
        <v>Republic of North Macedonia</v>
      </c>
      <c r="D1970" s="243" t="str">
        <f>VLOOKUP(Table8[[#This Row],[Document ID]],Table1[],5,FALSE)</f>
        <v>LTS</v>
      </c>
      <c r="E1970" s="233" t="str">
        <f>VLOOKUP(Table8[[#This Row],[Document ID]],Table1[],7,FALSE)</f>
        <v>LTS</v>
      </c>
      <c r="F1970" s="233" t="str">
        <f>VLOOKUP(Table8[[#This Row],[Document ID]],Table1[],8,FALSE)</f>
        <v>LTS 1.0</v>
      </c>
      <c r="G1970" s="233" t="str">
        <f>VLOOKUP(Table8[[#This Row],[Document ID]],Table1[],10,FALSE)</f>
        <v>Active</v>
      </c>
      <c r="H1970" s="43" t="s">
        <v>2358</v>
      </c>
      <c r="I1970" s="43" t="s">
        <v>2359</v>
      </c>
      <c r="J1970" s="44" t="s">
        <v>2389</v>
      </c>
      <c r="K1970" s="44" t="s">
        <v>4144</v>
      </c>
      <c r="L1970" s="44" t="s">
        <v>2333</v>
      </c>
      <c r="M1970" s="43">
        <v>139</v>
      </c>
      <c r="N1970" s="113" t="s">
        <v>1113</v>
      </c>
      <c r="O1970" s="113"/>
      <c r="P1970" s="113"/>
      <c r="Q1970" s="113"/>
      <c r="R1970" s="113"/>
      <c r="S1970" s="113"/>
      <c r="T1970" s="113"/>
      <c r="U1970" s="113"/>
      <c r="V1970" s="113"/>
      <c r="W1970" s="113"/>
      <c r="X1970" s="113"/>
      <c r="Y1970" s="113"/>
      <c r="Z1970" s="113"/>
      <c r="AA1970" s="113"/>
      <c r="AB1970" s="113"/>
      <c r="AC1970" s="113"/>
      <c r="AD1970" s="113"/>
      <c r="AE1970" s="113"/>
      <c r="AF1970" s="113"/>
      <c r="AG1970" s="113"/>
      <c r="AH1970" s="113"/>
      <c r="AI1970" s="113"/>
      <c r="AJ1970" s="113"/>
      <c r="AK1970" s="113" t="s">
        <v>1113</v>
      </c>
      <c r="AL1970" s="113"/>
      <c r="AM1970" s="113"/>
      <c r="AN1970" s="113"/>
      <c r="AO1970" s="44" t="s">
        <v>2334</v>
      </c>
      <c r="AP1970" s="43"/>
      <c r="AQ1970" s="236" t="str">
        <f>VLOOKUP(Table8[[#This Row],[Instrument]],Def_Targets!$D$73:$E$159,2,FALSE)</f>
        <v>I_Emobilitypurchase</v>
      </c>
      <c r="AR1970" s="233" t="str">
        <f>VLOOKUP(Table8[[#This Row],[Country Code]],Table29[],3,FALSE)</f>
        <v>Non-Annex I</v>
      </c>
      <c r="AS1970" s="233" t="str">
        <f>VLOOKUP(Table8[[#This Row],[Country Code]],Table29[],4,FALSE)</f>
        <v>Europe</v>
      </c>
      <c r="AT1970" s="233" t="str">
        <f>VLOOKUP(Table8[[#This Row],[Country Code]],Table29[],5,FALSE)</f>
        <v>Middle-income</v>
      </c>
      <c r="AU1970" s="233" t="str">
        <f>VLOOKUP(Table8[[#This Row],[Country Code]],Table29[],6,FALSE)</f>
        <v>no</v>
      </c>
      <c r="AV1970" s="233" t="str">
        <f>VLOOKUP(Table8[[#This Row],[Country Code]],Table29[],7,FALSE)</f>
        <v>no</v>
      </c>
      <c r="AW1970" s="233" t="str">
        <f>VLOOKUP(Table8[[#This Row],[Country Code]],Table29[],8,FALSE)</f>
        <v>non-OECD</v>
      </c>
      <c r="AX1970" s="233" t="str">
        <f>VLOOKUP(Table8[[#This Row],[Country Code]],Table29[],9,FALSE)</f>
        <v>no</v>
      </c>
      <c r="AY1970" s="233" t="str">
        <f>VLOOKUP(Table8[[#This Row],[Country Code]],Table29[],10,FALSE)</f>
        <v>no</v>
      </c>
      <c r="AZ1970" s="235">
        <f>VLOOKUP(Table8[[#This Row],[Country Code]],Table29[],23,FALSE)</f>
        <v>11.370029305485</v>
      </c>
      <c r="BA1970" s="235">
        <f>VLOOKUP(Table8[[#This Row],[Country Code]],Table29[],24,FALSE)</f>
        <v>2.5209386628390988</v>
      </c>
      <c r="BB1970" s="320"/>
      <c r="BC1970" s="320"/>
    </row>
    <row r="1971" spans="1:55" s="17" customFormat="1" hidden="1" x14ac:dyDescent="0.25">
      <c r="A1971" s="360">
        <v>21220</v>
      </c>
      <c r="B1971" s="233" t="str">
        <f>VLOOKUP(Table8[[#This Row],[Document ID]],Table1[],2,FALSE)</f>
        <v>SLB</v>
      </c>
      <c r="C1971" s="233" t="str">
        <f>VLOOKUP(Table8[[#This Row],[Document ID]],Table1[],3,FALSE)</f>
        <v>Solomon Islands</v>
      </c>
      <c r="D1971" s="233" t="str">
        <f>VLOOKUP(Table8[[#This Row],[Document ID]],Table1[],5,FALSE)</f>
        <v>NDC</v>
      </c>
      <c r="E1971" s="233" t="str">
        <f>VLOOKUP(Table8[[#This Row],[Document ID]],Table1[],7,FALSE)</f>
        <v>First NDC updated</v>
      </c>
      <c r="F1971" s="233" t="str">
        <f>VLOOKUP(Table8[[#This Row],[Document ID]],Table1[],8,FALSE)</f>
        <v>NDC 1.1</v>
      </c>
      <c r="G1971" s="233" t="str">
        <f>VLOOKUP(Table8[[#This Row],[Document ID]],Table1[],10,FALSE)</f>
        <v>Active</v>
      </c>
      <c r="H1971" s="44" t="s">
        <v>2329</v>
      </c>
      <c r="I1971" s="44" t="s">
        <v>2330</v>
      </c>
      <c r="J1971" s="44" t="s">
        <v>2381</v>
      </c>
      <c r="K1971" s="44" t="s">
        <v>4145</v>
      </c>
      <c r="L1971" s="44" t="s">
        <v>2333</v>
      </c>
      <c r="M1971" s="43" t="s">
        <v>4146</v>
      </c>
      <c r="N1971" s="113"/>
      <c r="O1971" s="113"/>
      <c r="P1971" s="113"/>
      <c r="Q1971" s="113"/>
      <c r="R1971" s="113"/>
      <c r="S1971" s="113" t="s">
        <v>1113</v>
      </c>
      <c r="T1971" s="113"/>
      <c r="U1971" s="113"/>
      <c r="V1971" s="113"/>
      <c r="W1971" s="113"/>
      <c r="X1971" s="113"/>
      <c r="Y1971" s="113"/>
      <c r="Z1971" s="113"/>
      <c r="AA1971" s="113"/>
      <c r="AB1971" s="113"/>
      <c r="AC1971" s="113"/>
      <c r="AD1971" s="113" t="s">
        <v>1113</v>
      </c>
      <c r="AE1971" s="113"/>
      <c r="AF1971" s="113"/>
      <c r="AG1971" s="113"/>
      <c r="AH1971" s="113"/>
      <c r="AI1971" s="113"/>
      <c r="AJ1971" s="113"/>
      <c r="AK1971" s="113" t="s">
        <v>1113</v>
      </c>
      <c r="AL1971" s="113"/>
      <c r="AM1971" s="113"/>
      <c r="AN1971" s="113"/>
      <c r="AO1971" s="44" t="s">
        <v>2334</v>
      </c>
      <c r="AP1971" s="43"/>
      <c r="AQ1971" s="236" t="str">
        <f>VLOOKUP(Table8[[#This Row],[Instrument]],Def_Targets!$D$73:$E$159,2,FALSE)</f>
        <v>I_RE</v>
      </c>
      <c r="AR1971" s="233" t="str">
        <f>VLOOKUP(Table8[[#This Row],[Country Code]],Table29[],3,FALSE)</f>
        <v>Non-Annex I</v>
      </c>
      <c r="AS1971" s="233" t="str">
        <f>VLOOKUP(Table8[[#This Row],[Country Code]],Table29[],4,FALSE)</f>
        <v>Oceania</v>
      </c>
      <c r="AT1971" s="233" t="str">
        <f>VLOOKUP(Table8[[#This Row],[Country Code]],Table29[],5,FALSE)</f>
        <v>Middle-income</v>
      </c>
      <c r="AU1971" s="233" t="str">
        <f>VLOOKUP(Table8[[#This Row],[Country Code]],Table29[],6,FALSE)</f>
        <v>no</v>
      </c>
      <c r="AV1971" s="233" t="str">
        <f>VLOOKUP(Table8[[#This Row],[Country Code]],Table29[],7,FALSE)</f>
        <v>no</v>
      </c>
      <c r="AW1971" s="233" t="str">
        <f>VLOOKUP(Table8[[#This Row],[Country Code]],Table29[],8,FALSE)</f>
        <v>non-OECD</v>
      </c>
      <c r="AX1971" s="233" t="str">
        <f>VLOOKUP(Table8[[#This Row],[Country Code]],Table29[],9,FALSE)</f>
        <v>no</v>
      </c>
      <c r="AY1971" s="233" t="str">
        <f>VLOOKUP(Table8[[#This Row],[Country Code]],Table29[],10,FALSE)</f>
        <v>no</v>
      </c>
      <c r="AZ1971" s="235">
        <f>VLOOKUP(Table8[[#This Row],[Country Code]],Table29[],23,FALSE)</f>
        <v>0.72081774636639995</v>
      </c>
      <c r="BA1971" s="235">
        <f>VLOOKUP(Table8[[#This Row],[Country Code]],Table29[],24,FALSE)</f>
        <v>0.21700975961810029</v>
      </c>
      <c r="BB1971" s="320"/>
      <c r="BC1971" s="320"/>
    </row>
    <row r="1972" spans="1:55" hidden="1" x14ac:dyDescent="0.25">
      <c r="A1972" s="360">
        <v>21415</v>
      </c>
      <c r="B1972" s="233" t="str">
        <f>VLOOKUP(Table8[[#This Row],[Document ID]],Table1[],2,FALSE)</f>
        <v>SOM</v>
      </c>
      <c r="C1972" s="233" t="str">
        <f>VLOOKUP(Table8[[#This Row],[Document ID]],Table1[],3,FALSE)</f>
        <v>Somalia</v>
      </c>
      <c r="D1972" s="233" t="str">
        <f>VLOOKUP(Table8[[#This Row],[Document ID]],Table1[],5,FALSE)</f>
        <v>NDC</v>
      </c>
      <c r="E1972" s="233" t="str">
        <f>VLOOKUP(Table8[[#This Row],[Document ID]],Table1[],7,FALSE)</f>
        <v>First NDC updated</v>
      </c>
      <c r="F1972" s="233" t="str">
        <f>VLOOKUP(Table8[[#This Row],[Document ID]],Table1[],8,FALSE)</f>
        <v>NDC 1.1</v>
      </c>
      <c r="G1972" s="233" t="str">
        <f>VLOOKUP(Table8[[#This Row],[Document ID]],Table1[],10,FALSE)</f>
        <v>Active</v>
      </c>
      <c r="H1972" s="43" t="s">
        <v>2350</v>
      </c>
      <c r="I1972" s="43" t="s">
        <v>2456</v>
      </c>
      <c r="J1972" s="44" t="s">
        <v>2457</v>
      </c>
      <c r="K1972" s="44" t="s">
        <v>4147</v>
      </c>
      <c r="L1972" s="44" t="s">
        <v>2333</v>
      </c>
      <c r="M1972" s="43">
        <v>6</v>
      </c>
      <c r="N1972" s="113"/>
      <c r="O1972" s="113"/>
      <c r="P1972" s="113"/>
      <c r="Q1972" s="113"/>
      <c r="R1972" s="113"/>
      <c r="S1972" s="113" t="s">
        <v>1113</v>
      </c>
      <c r="T1972" s="113"/>
      <c r="U1972" s="113"/>
      <c r="V1972" s="113"/>
      <c r="W1972" s="113"/>
      <c r="X1972" s="113"/>
      <c r="Y1972" s="113"/>
      <c r="Z1972" s="113"/>
      <c r="AA1972" s="113"/>
      <c r="AB1972" s="113"/>
      <c r="AC1972" s="113"/>
      <c r="AD1972" s="113"/>
      <c r="AE1972" s="113"/>
      <c r="AF1972" s="113"/>
      <c r="AG1972" s="113"/>
      <c r="AH1972" s="113"/>
      <c r="AI1972" s="113"/>
      <c r="AJ1972" s="113"/>
      <c r="AK1972" s="113" t="s">
        <v>1113</v>
      </c>
      <c r="AL1972" s="113"/>
      <c r="AM1972" s="113"/>
      <c r="AN1972" s="113"/>
      <c r="AO1972" s="44" t="s">
        <v>2334</v>
      </c>
      <c r="AP1972" s="43"/>
      <c r="AQ1972" s="236" t="str">
        <f>VLOOKUP(Table8[[#This Row],[Instrument]],Def_Targets!$D$73:$E$159,2,FALSE)</f>
        <v>S_Infraimprove</v>
      </c>
      <c r="AR1972" s="233" t="str">
        <f>VLOOKUP(Table8[[#This Row],[Country Code]],Table29[],3,FALSE)</f>
        <v>Non-Annex I</v>
      </c>
      <c r="AS1972" s="233" t="str">
        <f>VLOOKUP(Table8[[#This Row],[Country Code]],Table29[],4,FALSE)</f>
        <v>Africa</v>
      </c>
      <c r="AT1972" s="233" t="str">
        <f>VLOOKUP(Table8[[#This Row],[Country Code]],Table29[],5,FALSE)</f>
        <v>Low-income</v>
      </c>
      <c r="AU1972" s="233" t="str">
        <f>VLOOKUP(Table8[[#This Row],[Country Code]],Table29[],6,FALSE)</f>
        <v>no</v>
      </c>
      <c r="AV1972" s="233" t="str">
        <f>VLOOKUP(Table8[[#This Row],[Country Code]],Table29[],7,FALSE)</f>
        <v>no</v>
      </c>
      <c r="AW1972" s="233" t="str">
        <f>VLOOKUP(Table8[[#This Row],[Country Code]],Table29[],8,FALSE)</f>
        <v>non-OECD</v>
      </c>
      <c r="AX1972" s="233" t="str">
        <f>VLOOKUP(Table8[[#This Row],[Country Code]],Table29[],9,FALSE)</f>
        <v>no</v>
      </c>
      <c r="AY1972" s="233" t="str">
        <f>VLOOKUP(Table8[[#This Row],[Country Code]],Table29[],10,FALSE)</f>
        <v>no</v>
      </c>
      <c r="AZ1972" s="235">
        <f>VLOOKUP(Table8[[#This Row],[Country Code]],Table29[],23,FALSE)</f>
        <v>32.499935850652001</v>
      </c>
      <c r="BA1972" s="235">
        <f>VLOOKUP(Table8[[#This Row],[Country Code]],Table29[],24,FALSE)</f>
        <v>0.489420024592578</v>
      </c>
      <c r="BB1972" s="320"/>
      <c r="BC1972" s="320"/>
    </row>
    <row r="1973" spans="1:55" hidden="1" x14ac:dyDescent="0.25">
      <c r="A1973" s="360">
        <v>21415</v>
      </c>
      <c r="B1973" s="233" t="str">
        <f>VLOOKUP(Table8[[#This Row],[Document ID]],Table1[],2,FALSE)</f>
        <v>SOM</v>
      </c>
      <c r="C1973" s="233" t="str">
        <f>VLOOKUP(Table8[[#This Row],[Document ID]],Table1[],3,FALSE)</f>
        <v>Somalia</v>
      </c>
      <c r="D1973" s="233" t="str">
        <f>VLOOKUP(Table8[[#This Row],[Document ID]],Table1[],5,FALSE)</f>
        <v>NDC</v>
      </c>
      <c r="E1973" s="233" t="str">
        <f>VLOOKUP(Table8[[#This Row],[Document ID]],Table1[],7,FALSE)</f>
        <v>First NDC updated</v>
      </c>
      <c r="F1973" s="233" t="str">
        <f>VLOOKUP(Table8[[#This Row],[Document ID]],Table1[],8,FALSE)</f>
        <v>NDC 1.1</v>
      </c>
      <c r="G1973" s="233" t="str">
        <f>VLOOKUP(Table8[[#This Row],[Document ID]],Table1[],10,FALSE)</f>
        <v>Active</v>
      </c>
      <c r="H1973" s="44" t="s">
        <v>2338</v>
      </c>
      <c r="I1973" s="44" t="s">
        <v>2339</v>
      </c>
      <c r="J1973" s="44" t="s">
        <v>2340</v>
      </c>
      <c r="K1973" s="44" t="s">
        <v>4148</v>
      </c>
      <c r="L1973" s="44" t="s">
        <v>2333</v>
      </c>
      <c r="M1973" s="43">
        <v>6</v>
      </c>
      <c r="N1973" s="113"/>
      <c r="O1973" s="113"/>
      <c r="P1973" s="113"/>
      <c r="Q1973" s="113"/>
      <c r="R1973" s="113"/>
      <c r="S1973" s="113"/>
      <c r="T1973" s="113" t="s">
        <v>1113</v>
      </c>
      <c r="U1973" s="113"/>
      <c r="V1973" s="113"/>
      <c r="W1973" s="113"/>
      <c r="X1973" s="113"/>
      <c r="Y1973" s="113"/>
      <c r="Z1973" s="113"/>
      <c r="AA1973" s="113"/>
      <c r="AB1973" s="113"/>
      <c r="AC1973" s="113"/>
      <c r="AD1973" s="113"/>
      <c r="AE1973" s="113"/>
      <c r="AF1973" s="113"/>
      <c r="AG1973" s="113"/>
      <c r="AH1973" s="113"/>
      <c r="AI1973" s="113"/>
      <c r="AJ1973" s="113"/>
      <c r="AK1973" s="113" t="s">
        <v>1113</v>
      </c>
      <c r="AL1973" s="113"/>
      <c r="AM1973" s="113"/>
      <c r="AN1973" s="113"/>
      <c r="AO1973" s="44" t="s">
        <v>2334</v>
      </c>
      <c r="AP1973" s="43"/>
      <c r="AQ1973" s="236" t="str">
        <f>VLOOKUP(Table8[[#This Row],[Instrument]],Def_Targets!$D$73:$E$159,2,FALSE)</f>
        <v>I_Vehicleimprove</v>
      </c>
      <c r="AR1973" s="233" t="str">
        <f>VLOOKUP(Table8[[#This Row],[Country Code]],Table29[],3,FALSE)</f>
        <v>Non-Annex I</v>
      </c>
      <c r="AS1973" s="233" t="str">
        <f>VLOOKUP(Table8[[#This Row],[Country Code]],Table29[],4,FALSE)</f>
        <v>Africa</v>
      </c>
      <c r="AT1973" s="233" t="str">
        <f>VLOOKUP(Table8[[#This Row],[Country Code]],Table29[],5,FALSE)</f>
        <v>Low-income</v>
      </c>
      <c r="AU1973" s="233" t="str">
        <f>VLOOKUP(Table8[[#This Row],[Country Code]],Table29[],6,FALSE)</f>
        <v>no</v>
      </c>
      <c r="AV1973" s="233" t="str">
        <f>VLOOKUP(Table8[[#This Row],[Country Code]],Table29[],7,FALSE)</f>
        <v>no</v>
      </c>
      <c r="AW1973" s="233" t="str">
        <f>VLOOKUP(Table8[[#This Row],[Country Code]],Table29[],8,FALSE)</f>
        <v>non-OECD</v>
      </c>
      <c r="AX1973" s="233" t="str">
        <f>VLOOKUP(Table8[[#This Row],[Country Code]],Table29[],9,FALSE)</f>
        <v>no</v>
      </c>
      <c r="AY1973" s="233" t="str">
        <f>VLOOKUP(Table8[[#This Row],[Country Code]],Table29[],10,FALSE)</f>
        <v>no</v>
      </c>
      <c r="AZ1973" s="235">
        <f>VLOOKUP(Table8[[#This Row],[Country Code]],Table29[],23,FALSE)</f>
        <v>32.499935850652001</v>
      </c>
      <c r="BA1973" s="235">
        <f>VLOOKUP(Table8[[#This Row],[Country Code]],Table29[],24,FALSE)</f>
        <v>0.489420024592578</v>
      </c>
      <c r="BB1973" s="320"/>
      <c r="BC1973" s="320"/>
    </row>
    <row r="1974" spans="1:55" hidden="1" x14ac:dyDescent="0.25">
      <c r="A1974" s="373">
        <v>17739</v>
      </c>
      <c r="B1974" s="233" t="str">
        <f>VLOOKUP(Table8[[#This Row],[Document ID]],Table1[],2,FALSE)</f>
        <v>ZAF</v>
      </c>
      <c r="C1974" s="233" t="str">
        <f>VLOOKUP(Table8[[#This Row],[Document ID]],Table1[],3,FALSE)</f>
        <v>South Africa</v>
      </c>
      <c r="D1974" s="243" t="str">
        <f>VLOOKUP(Table8[[#This Row],[Document ID]],Table1[],5,FALSE)</f>
        <v>NDC</v>
      </c>
      <c r="E1974" s="233" t="str">
        <f>VLOOKUP(Table8[[#This Row],[Document ID]],Table1[],7,FALSE)</f>
        <v>First NDC</v>
      </c>
      <c r="F1974" s="236" t="str">
        <f>VLOOKUP(Table8[[#This Row],[Document ID]],Table1[],8,FALSE)</f>
        <v>NDC 1.0</v>
      </c>
      <c r="G1974" s="236" t="str">
        <f>VLOOKUP(Table8[[#This Row],[Document ID]],Table1[],10,FALSE)</f>
        <v>Archived</v>
      </c>
      <c r="H1974" s="43" t="s">
        <v>2358</v>
      </c>
      <c r="I1974" s="43" t="s">
        <v>2359</v>
      </c>
      <c r="J1974" s="44" t="s">
        <v>2360</v>
      </c>
      <c r="K1974" s="44" t="s">
        <v>4149</v>
      </c>
      <c r="L1974" s="44" t="s">
        <v>2333</v>
      </c>
      <c r="M1974" s="43"/>
      <c r="N1974" s="113" t="s">
        <v>1113</v>
      </c>
      <c r="O1974" s="113"/>
      <c r="P1974" s="113"/>
      <c r="Q1974" s="319"/>
      <c r="R1974" s="319"/>
      <c r="S1974" s="319"/>
      <c r="T1974" s="319"/>
      <c r="U1974" s="319"/>
      <c r="V1974" s="319"/>
      <c r="W1974" s="319"/>
      <c r="X1974" s="319"/>
      <c r="Y1974" s="319"/>
      <c r="Z1974" s="319"/>
      <c r="AA1974" s="319"/>
      <c r="AB1974" s="319"/>
      <c r="AC1974" s="319"/>
      <c r="AD1974" s="319"/>
      <c r="AE1974" s="319"/>
      <c r="AF1974" s="319"/>
      <c r="AG1974" s="319"/>
      <c r="AH1974" s="319"/>
      <c r="AI1974" s="319"/>
      <c r="AJ1974" s="319"/>
      <c r="AK1974" s="319" t="s">
        <v>1113</v>
      </c>
      <c r="AL1974" s="319"/>
      <c r="AM1974" s="319"/>
      <c r="AN1974" s="319"/>
      <c r="AO1974" s="44" t="s">
        <v>2334</v>
      </c>
      <c r="AP1974" s="44"/>
      <c r="AQ1974" s="236" t="str">
        <f>VLOOKUP(Table8[[#This Row],[Instrument]],Def_Targets!$D$73:$E$159,2,FALSE)</f>
        <v>I_Emobility</v>
      </c>
      <c r="AR1974" s="233" t="str">
        <f>VLOOKUP(Table8[[#This Row],[Country Code]],Table29[],3,FALSE)</f>
        <v>Non-Annex I</v>
      </c>
      <c r="AS1974" s="233" t="str">
        <f>VLOOKUP(Table8[[#This Row],[Country Code]],Table29[],4,FALSE)</f>
        <v>Africa</v>
      </c>
      <c r="AT1974" s="233" t="str">
        <f>VLOOKUP(Table8[[#This Row],[Country Code]],Table29[],5,FALSE)</f>
        <v>Middle-income</v>
      </c>
      <c r="AU1974" s="233" t="str">
        <f>VLOOKUP(Table8[[#This Row],[Country Code]],Table29[],6,FALSE)</f>
        <v>G20</v>
      </c>
      <c r="AV1974" s="233" t="str">
        <f>VLOOKUP(Table8[[#This Row],[Country Code]],Table29[],7,FALSE)</f>
        <v>no</v>
      </c>
      <c r="AW1974" s="233" t="str">
        <f>VLOOKUP(Table8[[#This Row],[Country Code]],Table29[],8,FALSE)</f>
        <v>non-OECD</v>
      </c>
      <c r="AX1974" s="233" t="str">
        <f>VLOOKUP(Table8[[#This Row],[Country Code]],Table29[],9,FALSE)</f>
        <v>no</v>
      </c>
      <c r="AY1974" s="233" t="str">
        <f>VLOOKUP(Table8[[#This Row],[Country Code]],Table29[],10,FALSE)</f>
        <v>no</v>
      </c>
      <c r="AZ1974" s="235">
        <f>VLOOKUP(Table8[[#This Row],[Country Code]],Table29[],23,FALSE)</f>
        <v>522.11549112330999</v>
      </c>
      <c r="BA1974" s="235">
        <f>VLOOKUP(Table8[[#This Row],[Country Code]],Table29[],24,FALSE)</f>
        <v>50.351995093376694</v>
      </c>
      <c r="BB1974" s="320"/>
      <c r="BC1974" s="320"/>
    </row>
    <row r="1975" spans="1:55" hidden="1" x14ac:dyDescent="0.25">
      <c r="A1975" s="373">
        <v>26788</v>
      </c>
      <c r="B1975" s="233" t="str">
        <f>VLOOKUP(Table8[[#This Row],[Document ID]],Table1[],2,FALSE)</f>
        <v>MKD</v>
      </c>
      <c r="C1975" s="233" t="str">
        <f>VLOOKUP(Table8[[#This Row],[Document ID]],Table1[],3,FALSE)</f>
        <v>Republic of North Macedonia</v>
      </c>
      <c r="D1975" s="243" t="str">
        <f>VLOOKUP(Table8[[#This Row],[Document ID]],Table1[],5,FALSE)</f>
        <v>LTS</v>
      </c>
      <c r="E1975" s="233" t="str">
        <f>VLOOKUP(Table8[[#This Row],[Document ID]],Table1[],7,FALSE)</f>
        <v>LTS</v>
      </c>
      <c r="F1975" s="233" t="str">
        <f>VLOOKUP(Table8[[#This Row],[Document ID]],Table1[],8,FALSE)</f>
        <v>LTS 1.0</v>
      </c>
      <c r="G1975" s="233" t="str">
        <f>VLOOKUP(Table8[[#This Row],[Document ID]],Table1[],10,FALSE)</f>
        <v>Active</v>
      </c>
      <c r="H1975" s="43" t="s">
        <v>2343</v>
      </c>
      <c r="I1975" s="43" t="s">
        <v>2386</v>
      </c>
      <c r="J1975" s="44" t="s">
        <v>2498</v>
      </c>
      <c r="K1975" s="44" t="s">
        <v>4150</v>
      </c>
      <c r="L1975" s="44" t="s">
        <v>2333</v>
      </c>
      <c r="M1975" s="43">
        <v>139</v>
      </c>
      <c r="N1975" s="113" t="s">
        <v>1113</v>
      </c>
      <c r="O1975" s="113"/>
      <c r="P1975" s="113"/>
      <c r="Q1975" s="113"/>
      <c r="R1975" s="113"/>
      <c r="S1975" s="113"/>
      <c r="T1975" s="113"/>
      <c r="U1975" s="113"/>
      <c r="V1975" s="113"/>
      <c r="W1975" s="113"/>
      <c r="X1975" s="113"/>
      <c r="Y1975" s="113"/>
      <c r="Z1975" s="113"/>
      <c r="AA1975" s="113"/>
      <c r="AB1975" s="113"/>
      <c r="AC1975" s="113"/>
      <c r="AD1975" s="113"/>
      <c r="AE1975" s="113"/>
      <c r="AF1975" s="113"/>
      <c r="AG1975" s="113"/>
      <c r="AH1975" s="113"/>
      <c r="AI1975" s="113"/>
      <c r="AJ1975" s="113"/>
      <c r="AK1975" s="113" t="s">
        <v>1113</v>
      </c>
      <c r="AL1975" s="113"/>
      <c r="AM1975" s="113"/>
      <c r="AN1975" s="113"/>
      <c r="AO1975" s="44" t="s">
        <v>2334</v>
      </c>
      <c r="AP1975" s="43"/>
      <c r="AQ1975" s="236" t="str">
        <f>VLOOKUP(Table8[[#This Row],[Instrument]],Def_Targets!$D$73:$E$159,2,FALSE)</f>
        <v>A_Fueltax</v>
      </c>
      <c r="AR1975" s="233" t="str">
        <f>VLOOKUP(Table8[[#This Row],[Country Code]],Table29[],3,FALSE)</f>
        <v>Non-Annex I</v>
      </c>
      <c r="AS1975" s="233" t="str">
        <f>VLOOKUP(Table8[[#This Row],[Country Code]],Table29[],4,FALSE)</f>
        <v>Europe</v>
      </c>
      <c r="AT1975" s="233" t="str">
        <f>VLOOKUP(Table8[[#This Row],[Country Code]],Table29[],5,FALSE)</f>
        <v>Middle-income</v>
      </c>
      <c r="AU1975" s="233" t="str">
        <f>VLOOKUP(Table8[[#This Row],[Country Code]],Table29[],6,FALSE)</f>
        <v>no</v>
      </c>
      <c r="AV1975" s="233" t="str">
        <f>VLOOKUP(Table8[[#This Row],[Country Code]],Table29[],7,FALSE)</f>
        <v>no</v>
      </c>
      <c r="AW1975" s="233" t="str">
        <f>VLOOKUP(Table8[[#This Row],[Country Code]],Table29[],8,FALSE)</f>
        <v>non-OECD</v>
      </c>
      <c r="AX1975" s="233" t="str">
        <f>VLOOKUP(Table8[[#This Row],[Country Code]],Table29[],9,FALSE)</f>
        <v>no</v>
      </c>
      <c r="AY1975" s="233" t="str">
        <f>VLOOKUP(Table8[[#This Row],[Country Code]],Table29[],10,FALSE)</f>
        <v>no</v>
      </c>
      <c r="AZ1975" s="235">
        <f>VLOOKUP(Table8[[#This Row],[Country Code]],Table29[],23,FALSE)</f>
        <v>11.370029305485</v>
      </c>
      <c r="BA1975" s="235">
        <f>VLOOKUP(Table8[[#This Row],[Country Code]],Table29[],24,FALSE)</f>
        <v>2.5209386628390988</v>
      </c>
      <c r="BB1975" s="320"/>
      <c r="BC1975" s="320"/>
    </row>
    <row r="1976" spans="1:55" ht="45" hidden="1" x14ac:dyDescent="0.25">
      <c r="A1976" s="373">
        <v>26788</v>
      </c>
      <c r="B1976" s="233" t="str">
        <f>VLOOKUP(Table8[[#This Row],[Document ID]],Table1[],2,FALSE)</f>
        <v>MKD</v>
      </c>
      <c r="C1976" s="233" t="str">
        <f>VLOOKUP(Table8[[#This Row],[Document ID]],Table1[],3,FALSE)</f>
        <v>Republic of North Macedonia</v>
      </c>
      <c r="D1976" s="243" t="str">
        <f>VLOOKUP(Table8[[#This Row],[Document ID]],Table1[],5,FALSE)</f>
        <v>LTS</v>
      </c>
      <c r="E1976" s="233" t="str">
        <f>VLOOKUP(Table8[[#This Row],[Document ID]],Table1[],7,FALSE)</f>
        <v>LTS</v>
      </c>
      <c r="F1976" s="233" t="str">
        <f>VLOOKUP(Table8[[#This Row],[Document ID]],Table1[],8,FALSE)</f>
        <v>LTS 1.0</v>
      </c>
      <c r="G1976" s="233" t="str">
        <f>VLOOKUP(Table8[[#This Row],[Document ID]],Table1[],10,FALSE)</f>
        <v>Active</v>
      </c>
      <c r="H1976" s="44" t="s">
        <v>2338</v>
      </c>
      <c r="I1976" s="44" t="s">
        <v>2339</v>
      </c>
      <c r="J1976" s="44" t="s">
        <v>2410</v>
      </c>
      <c r="K1976" s="44" t="s">
        <v>4151</v>
      </c>
      <c r="L1976" s="44" t="s">
        <v>2333</v>
      </c>
      <c r="M1976" s="43">
        <v>140</v>
      </c>
      <c r="N1976" s="113"/>
      <c r="O1976" s="113"/>
      <c r="P1976" s="113"/>
      <c r="Q1976" s="113"/>
      <c r="R1976" s="113"/>
      <c r="S1976" s="113"/>
      <c r="T1976" s="113"/>
      <c r="U1976" s="113"/>
      <c r="V1976" s="113"/>
      <c r="W1976" s="113" t="s">
        <v>1113</v>
      </c>
      <c r="X1976" s="113"/>
      <c r="Y1976" s="113" t="s">
        <v>1113</v>
      </c>
      <c r="Z1976" s="113"/>
      <c r="AA1976" s="113"/>
      <c r="AB1976" s="113"/>
      <c r="AC1976" s="113"/>
      <c r="AD1976" s="113"/>
      <c r="AE1976" s="113"/>
      <c r="AF1976" s="113"/>
      <c r="AG1976" s="113"/>
      <c r="AH1976" s="113"/>
      <c r="AI1976" s="113"/>
      <c r="AJ1976" s="113"/>
      <c r="AK1976" s="113" t="s">
        <v>1113</v>
      </c>
      <c r="AL1976" s="113"/>
      <c r="AM1976" s="113"/>
      <c r="AN1976" s="113"/>
      <c r="AO1976" s="44" t="s">
        <v>2334</v>
      </c>
      <c r="AP1976" s="43"/>
      <c r="AQ1976" s="236" t="str">
        <f>VLOOKUP(Table8[[#This Row],[Instrument]],Def_Targets!$D$73:$E$159,2,FALSE)</f>
        <v>I_VehicleRestrictions</v>
      </c>
      <c r="AR1976" s="233" t="str">
        <f>VLOOKUP(Table8[[#This Row],[Country Code]],Table29[],3,FALSE)</f>
        <v>Non-Annex I</v>
      </c>
      <c r="AS1976" s="233" t="str">
        <f>VLOOKUP(Table8[[#This Row],[Country Code]],Table29[],4,FALSE)</f>
        <v>Europe</v>
      </c>
      <c r="AT1976" s="233" t="str">
        <f>VLOOKUP(Table8[[#This Row],[Country Code]],Table29[],5,FALSE)</f>
        <v>Middle-income</v>
      </c>
      <c r="AU1976" s="233" t="str">
        <f>VLOOKUP(Table8[[#This Row],[Country Code]],Table29[],6,FALSE)</f>
        <v>no</v>
      </c>
      <c r="AV1976" s="233" t="str">
        <f>VLOOKUP(Table8[[#This Row],[Country Code]],Table29[],7,FALSE)</f>
        <v>no</v>
      </c>
      <c r="AW1976" s="233" t="str">
        <f>VLOOKUP(Table8[[#This Row],[Country Code]],Table29[],8,FALSE)</f>
        <v>non-OECD</v>
      </c>
      <c r="AX1976" s="233" t="str">
        <f>VLOOKUP(Table8[[#This Row],[Country Code]],Table29[],9,FALSE)</f>
        <v>no</v>
      </c>
      <c r="AY1976" s="233" t="str">
        <f>VLOOKUP(Table8[[#This Row],[Country Code]],Table29[],10,FALSE)</f>
        <v>no</v>
      </c>
      <c r="AZ1976" s="235">
        <f>VLOOKUP(Table8[[#This Row],[Country Code]],Table29[],23,FALSE)</f>
        <v>11.370029305485</v>
      </c>
      <c r="BA1976" s="235">
        <f>VLOOKUP(Table8[[#This Row],[Country Code]],Table29[],24,FALSE)</f>
        <v>2.5209386628390988</v>
      </c>
      <c r="BB1976" s="320"/>
      <c r="BC1976" s="320"/>
    </row>
    <row r="1977" spans="1:55" hidden="1" x14ac:dyDescent="0.25">
      <c r="A1977" s="373">
        <v>26788</v>
      </c>
      <c r="B1977" s="233" t="str">
        <f>VLOOKUP(Table8[[#This Row],[Document ID]],Table1[],2,FALSE)</f>
        <v>MKD</v>
      </c>
      <c r="C1977" s="233" t="str">
        <f>VLOOKUP(Table8[[#This Row],[Document ID]],Table1[],3,FALSE)</f>
        <v>Republic of North Macedonia</v>
      </c>
      <c r="D1977" s="243" t="str">
        <f>VLOOKUP(Table8[[#This Row],[Document ID]],Table1[],5,FALSE)</f>
        <v>LTS</v>
      </c>
      <c r="E1977" s="233" t="str">
        <f>VLOOKUP(Table8[[#This Row],[Document ID]],Table1[],7,FALSE)</f>
        <v>LTS</v>
      </c>
      <c r="F1977" s="233" t="str">
        <f>VLOOKUP(Table8[[#This Row],[Document ID]],Table1[],8,FALSE)</f>
        <v>LTS 1.0</v>
      </c>
      <c r="G1977" s="233" t="str">
        <f>VLOOKUP(Table8[[#This Row],[Document ID]],Table1[],10,FALSE)</f>
        <v>Active</v>
      </c>
      <c r="H1977" s="43" t="s">
        <v>2358</v>
      </c>
      <c r="I1977" s="43" t="s">
        <v>2359</v>
      </c>
      <c r="J1977" s="44" t="s">
        <v>2383</v>
      </c>
      <c r="K1977" s="44" t="s">
        <v>4152</v>
      </c>
      <c r="L1977" s="44" t="s">
        <v>2333</v>
      </c>
      <c r="M1977" s="43">
        <v>142</v>
      </c>
      <c r="N1977" s="113" t="s">
        <v>1113</v>
      </c>
      <c r="O1977" s="113"/>
      <c r="P1977" s="113"/>
      <c r="Q1977" s="113"/>
      <c r="R1977" s="113"/>
      <c r="S1977" s="113"/>
      <c r="T1977" s="113"/>
      <c r="U1977" s="113"/>
      <c r="V1977" s="113"/>
      <c r="W1977" s="113"/>
      <c r="X1977" s="113"/>
      <c r="Y1977" s="113"/>
      <c r="Z1977" s="113"/>
      <c r="AA1977" s="113"/>
      <c r="AB1977" s="113"/>
      <c r="AC1977" s="113"/>
      <c r="AD1977" s="113"/>
      <c r="AE1977" s="113"/>
      <c r="AF1977" s="113"/>
      <c r="AG1977" s="113"/>
      <c r="AH1977" s="113"/>
      <c r="AI1977" s="113"/>
      <c r="AJ1977" s="113"/>
      <c r="AK1977" s="113" t="s">
        <v>1113</v>
      </c>
      <c r="AL1977" s="113"/>
      <c r="AM1977" s="113"/>
      <c r="AN1977" s="113"/>
      <c r="AO1977" s="44" t="s">
        <v>2334</v>
      </c>
      <c r="AP1977" s="43"/>
      <c r="AQ1977" s="236" t="str">
        <f>VLOOKUP(Table8[[#This Row],[Instrument]],Def_Targets!$D$73:$E$159,2,FALSE)</f>
        <v>I_Emobilitycharging</v>
      </c>
      <c r="AR1977" s="233" t="str">
        <f>VLOOKUP(Table8[[#This Row],[Country Code]],Table29[],3,FALSE)</f>
        <v>Non-Annex I</v>
      </c>
      <c r="AS1977" s="233" t="str">
        <f>VLOOKUP(Table8[[#This Row],[Country Code]],Table29[],4,FALSE)</f>
        <v>Europe</v>
      </c>
      <c r="AT1977" s="233" t="str">
        <f>VLOOKUP(Table8[[#This Row],[Country Code]],Table29[],5,FALSE)</f>
        <v>Middle-income</v>
      </c>
      <c r="AU1977" s="233" t="str">
        <f>VLOOKUP(Table8[[#This Row],[Country Code]],Table29[],6,FALSE)</f>
        <v>no</v>
      </c>
      <c r="AV1977" s="233" t="str">
        <f>VLOOKUP(Table8[[#This Row],[Country Code]],Table29[],7,FALSE)</f>
        <v>no</v>
      </c>
      <c r="AW1977" s="233" t="str">
        <f>VLOOKUP(Table8[[#This Row],[Country Code]],Table29[],8,FALSE)</f>
        <v>non-OECD</v>
      </c>
      <c r="AX1977" s="233" t="str">
        <f>VLOOKUP(Table8[[#This Row],[Country Code]],Table29[],9,FALSE)</f>
        <v>no</v>
      </c>
      <c r="AY1977" s="233" t="str">
        <f>VLOOKUP(Table8[[#This Row],[Country Code]],Table29[],10,FALSE)</f>
        <v>no</v>
      </c>
      <c r="AZ1977" s="235">
        <f>VLOOKUP(Table8[[#This Row],[Country Code]],Table29[],23,FALSE)</f>
        <v>11.370029305485</v>
      </c>
      <c r="BA1977" s="235">
        <f>VLOOKUP(Table8[[#This Row],[Country Code]],Table29[],24,FALSE)</f>
        <v>2.5209386628390988</v>
      </c>
      <c r="BB1977" s="320"/>
      <c r="BC1977" s="320"/>
    </row>
    <row r="1978" spans="1:55" ht="30" hidden="1" x14ac:dyDescent="0.25">
      <c r="A1978" s="373">
        <v>32512</v>
      </c>
      <c r="B1978" s="233" t="str">
        <f>VLOOKUP(Table8[[#This Row],[Document ID]],Table1[],2,FALSE)</f>
        <v>RUS</v>
      </c>
      <c r="C1978" s="233" t="str">
        <f>VLOOKUP(Table8[[#This Row],[Document ID]],Table1[],3,FALSE)</f>
        <v>Russian Federation</v>
      </c>
      <c r="D1978" s="243" t="str">
        <f>VLOOKUP(Table8[[#This Row],[Document ID]],Table1[],5,FALSE)</f>
        <v>LTS</v>
      </c>
      <c r="E1978" s="233" t="str">
        <f>VLOOKUP(Table8[[#This Row],[Document ID]],Table1[],7,FALSE)</f>
        <v>LTS</v>
      </c>
      <c r="F1978" s="233" t="str">
        <f>VLOOKUP(Table8[[#This Row],[Document ID]],Table1[],8,FALSE)</f>
        <v>LTS 1.0</v>
      </c>
      <c r="G1978" s="233" t="str">
        <f>VLOOKUP(Table8[[#This Row],[Document ID]],Table1[],10,FALSE)</f>
        <v>Active</v>
      </c>
      <c r="H1978" s="44" t="s">
        <v>2338</v>
      </c>
      <c r="I1978" s="44" t="s">
        <v>2339</v>
      </c>
      <c r="J1978" s="44" t="s">
        <v>2340</v>
      </c>
      <c r="K1978" s="44" t="s">
        <v>4153</v>
      </c>
      <c r="L1978" s="44" t="s">
        <v>2347</v>
      </c>
      <c r="M1978" s="43">
        <v>28</v>
      </c>
      <c r="N1978" s="113" t="s">
        <v>1113</v>
      </c>
      <c r="O1978" s="113"/>
      <c r="P1978" s="113"/>
      <c r="Q1978" s="113"/>
      <c r="R1978" s="113"/>
      <c r="S1978" s="113"/>
      <c r="T1978" s="113"/>
      <c r="U1978" s="113"/>
      <c r="V1978" s="113"/>
      <c r="W1978" s="113"/>
      <c r="X1978" s="113"/>
      <c r="Y1978" s="113"/>
      <c r="Z1978" s="113"/>
      <c r="AA1978" s="113"/>
      <c r="AB1978" s="113"/>
      <c r="AC1978" s="113"/>
      <c r="AD1978" s="113"/>
      <c r="AE1978" s="113"/>
      <c r="AF1978" s="113"/>
      <c r="AG1978" s="113"/>
      <c r="AH1978" s="113"/>
      <c r="AI1978" s="113"/>
      <c r="AJ1978" s="113"/>
      <c r="AK1978" s="113" t="s">
        <v>1113</v>
      </c>
      <c r="AL1978" s="113"/>
      <c r="AM1978" s="113"/>
      <c r="AN1978" s="113"/>
      <c r="AO1978" s="43" t="s">
        <v>2477</v>
      </c>
      <c r="AP1978" s="43"/>
      <c r="AQ1978" s="236" t="str">
        <f>VLOOKUP(Table8[[#This Row],[Instrument]],Def_Targets!$D$73:$E$159,2,FALSE)</f>
        <v>I_Vehicleimprove</v>
      </c>
      <c r="AR1978" s="233" t="str">
        <f>VLOOKUP(Table8[[#This Row],[Country Code]],Table29[],3,FALSE)</f>
        <v>Annex I</v>
      </c>
      <c r="AS1978" s="233" t="str">
        <f>VLOOKUP(Table8[[#This Row],[Country Code]],Table29[],4,FALSE)</f>
        <v>Europe</v>
      </c>
      <c r="AT1978" s="233" t="str">
        <f>VLOOKUP(Table8[[#This Row],[Country Code]],Table29[],5,FALSE)</f>
        <v>Middle-income</v>
      </c>
      <c r="AU1978" s="233" t="str">
        <f>VLOOKUP(Table8[[#This Row],[Country Code]],Table29[],6,FALSE)</f>
        <v>G20</v>
      </c>
      <c r="AV1978" s="233" t="str">
        <f>VLOOKUP(Table8[[#This Row],[Country Code]],Table29[],7,FALSE)</f>
        <v>no</v>
      </c>
      <c r="AW1978" s="233" t="str">
        <f>VLOOKUP(Table8[[#This Row],[Country Code]],Table29[],8,FALSE)</f>
        <v>non-OECD</v>
      </c>
      <c r="AX1978" s="233" t="str">
        <f>VLOOKUP(Table8[[#This Row],[Country Code]],Table29[],9,FALSE)</f>
        <v>no</v>
      </c>
      <c r="AY1978" s="233" t="str">
        <f>VLOOKUP(Table8[[#This Row],[Country Code]],Table29[],10,FALSE)</f>
        <v>no</v>
      </c>
      <c r="AZ1978" s="235">
        <f>VLOOKUP(Table8[[#This Row],[Country Code]],Table29[],23,FALSE)</f>
        <v>2672.0394366031001</v>
      </c>
      <c r="BA1978" s="235">
        <f>VLOOKUP(Table8[[#This Row],[Country Code]],Table29[],24,FALSE)</f>
        <v>265.70074531042741</v>
      </c>
      <c r="BB1978" s="320"/>
      <c r="BC1978" s="320"/>
    </row>
    <row r="1979" spans="1:55" ht="45" hidden="1" x14ac:dyDescent="0.25">
      <c r="A1979" s="373">
        <v>32512</v>
      </c>
      <c r="B1979" s="233" t="str">
        <f>VLOOKUP(Table8[[#This Row],[Document ID]],Table1[],2,FALSE)</f>
        <v>RUS</v>
      </c>
      <c r="C1979" s="233" t="str">
        <f>VLOOKUP(Table8[[#This Row],[Document ID]],Table1[],3,FALSE)</f>
        <v>Russian Federation</v>
      </c>
      <c r="D1979" s="243" t="str">
        <f>VLOOKUP(Table8[[#This Row],[Document ID]],Table1[],5,FALSE)</f>
        <v>LTS</v>
      </c>
      <c r="E1979" s="233" t="str">
        <f>VLOOKUP(Table8[[#This Row],[Document ID]],Table1[],7,FALSE)</f>
        <v>LTS</v>
      </c>
      <c r="F1979" s="233" t="str">
        <f>VLOOKUP(Table8[[#This Row],[Document ID]],Table1[],8,FALSE)</f>
        <v>LTS 1.0</v>
      </c>
      <c r="G1979" s="233" t="str">
        <f>VLOOKUP(Table8[[#This Row],[Document ID]],Table1[],10,FALSE)</f>
        <v>Active</v>
      </c>
      <c r="H1979" s="43" t="s">
        <v>2358</v>
      </c>
      <c r="I1979" s="43" t="s">
        <v>2359</v>
      </c>
      <c r="J1979" s="44" t="s">
        <v>2360</v>
      </c>
      <c r="K1979" s="44" t="s">
        <v>4154</v>
      </c>
      <c r="L1979" s="44" t="s">
        <v>2333</v>
      </c>
      <c r="M1979" s="43">
        <v>28</v>
      </c>
      <c r="N1979" s="113"/>
      <c r="O1979" s="113"/>
      <c r="P1979" s="113"/>
      <c r="Q1979" s="113"/>
      <c r="R1979" s="113"/>
      <c r="S1979" s="113" t="s">
        <v>1291</v>
      </c>
      <c r="T1979" s="113"/>
      <c r="U1979" s="113"/>
      <c r="V1979" s="113"/>
      <c r="W1979" s="113"/>
      <c r="X1979" s="113"/>
      <c r="Y1979" s="113"/>
      <c r="Z1979" s="113"/>
      <c r="AA1979" s="113"/>
      <c r="AB1979" s="113"/>
      <c r="AC1979" s="113"/>
      <c r="AD1979" s="113"/>
      <c r="AE1979" s="113"/>
      <c r="AF1979" s="113"/>
      <c r="AG1979" s="113"/>
      <c r="AH1979" s="113"/>
      <c r="AI1979" s="113"/>
      <c r="AJ1979" s="113"/>
      <c r="AK1979" s="113" t="s">
        <v>1113</v>
      </c>
      <c r="AL1979" s="113"/>
      <c r="AM1979" s="113"/>
      <c r="AN1979" s="113"/>
      <c r="AO1979" s="43" t="s">
        <v>2348</v>
      </c>
      <c r="AP1979" s="43"/>
      <c r="AQ1979" s="236" t="str">
        <f>VLOOKUP(Table8[[#This Row],[Instrument]],Def_Targets!$D$73:$E$159,2,FALSE)</f>
        <v>I_Emobility</v>
      </c>
      <c r="AR1979" s="233" t="str">
        <f>VLOOKUP(Table8[[#This Row],[Country Code]],Table29[],3,FALSE)</f>
        <v>Annex I</v>
      </c>
      <c r="AS1979" s="233" t="str">
        <f>VLOOKUP(Table8[[#This Row],[Country Code]],Table29[],4,FALSE)</f>
        <v>Europe</v>
      </c>
      <c r="AT1979" s="233" t="str">
        <f>VLOOKUP(Table8[[#This Row],[Country Code]],Table29[],5,FALSE)</f>
        <v>Middle-income</v>
      </c>
      <c r="AU1979" s="233" t="str">
        <f>VLOOKUP(Table8[[#This Row],[Country Code]],Table29[],6,FALSE)</f>
        <v>G20</v>
      </c>
      <c r="AV1979" s="233" t="str">
        <f>VLOOKUP(Table8[[#This Row],[Country Code]],Table29[],7,FALSE)</f>
        <v>no</v>
      </c>
      <c r="AW1979" s="233" t="str">
        <f>VLOOKUP(Table8[[#This Row],[Country Code]],Table29[],8,FALSE)</f>
        <v>non-OECD</v>
      </c>
      <c r="AX1979" s="233" t="str">
        <f>VLOOKUP(Table8[[#This Row],[Country Code]],Table29[],9,FALSE)</f>
        <v>no</v>
      </c>
      <c r="AY1979" s="233" t="str">
        <f>VLOOKUP(Table8[[#This Row],[Country Code]],Table29[],10,FALSE)</f>
        <v>no</v>
      </c>
      <c r="AZ1979" s="235">
        <f>VLOOKUP(Table8[[#This Row],[Country Code]],Table29[],23,FALSE)</f>
        <v>2672.0394366031001</v>
      </c>
      <c r="BA1979" s="235">
        <f>VLOOKUP(Table8[[#This Row],[Country Code]],Table29[],24,FALSE)</f>
        <v>265.70074531042741</v>
      </c>
      <c r="BB1979" s="320"/>
      <c r="BC1979" s="320"/>
    </row>
    <row r="1980" spans="1:55" hidden="1" x14ac:dyDescent="0.25">
      <c r="A1980" s="373">
        <v>32512</v>
      </c>
      <c r="B1980" s="233" t="str">
        <f>VLOOKUP(Table8[[#This Row],[Document ID]],Table1[],2,FALSE)</f>
        <v>RUS</v>
      </c>
      <c r="C1980" s="233" t="str">
        <f>VLOOKUP(Table8[[#This Row],[Document ID]],Table1[],3,FALSE)</f>
        <v>Russian Federation</v>
      </c>
      <c r="D1980" s="243" t="str">
        <f>VLOOKUP(Table8[[#This Row],[Document ID]],Table1[],5,FALSE)</f>
        <v>LTS</v>
      </c>
      <c r="E1980" s="233" t="str">
        <f>VLOOKUP(Table8[[#This Row],[Document ID]],Table1[],7,FALSE)</f>
        <v>LTS</v>
      </c>
      <c r="F1980" s="233" t="str">
        <f>VLOOKUP(Table8[[#This Row],[Document ID]],Table1[],8,FALSE)</f>
        <v>LTS 1.0</v>
      </c>
      <c r="G1980" s="233" t="str">
        <f>VLOOKUP(Table8[[#This Row],[Document ID]],Table1[],10,FALSE)</f>
        <v>Active</v>
      </c>
      <c r="H1980" s="43" t="s">
        <v>2343</v>
      </c>
      <c r="I1980" s="43" t="s">
        <v>2344</v>
      </c>
      <c r="J1980" s="44" t="s">
        <v>2345</v>
      </c>
      <c r="K1980" s="44" t="s">
        <v>4155</v>
      </c>
      <c r="L1980" s="44" t="s">
        <v>2347</v>
      </c>
      <c r="M1980" s="43">
        <v>28</v>
      </c>
      <c r="N1980" s="113" t="s">
        <v>1113</v>
      </c>
      <c r="O1980" s="113"/>
      <c r="P1980" s="113"/>
      <c r="Q1980" s="113"/>
      <c r="R1980" s="113"/>
      <c r="S1980" s="113"/>
      <c r="T1980" s="113"/>
      <c r="U1980" s="113"/>
      <c r="V1980" s="113"/>
      <c r="W1980" s="113"/>
      <c r="X1980" s="113"/>
      <c r="Y1980" s="113"/>
      <c r="Z1980" s="113"/>
      <c r="AA1980" s="113"/>
      <c r="AB1980" s="113"/>
      <c r="AC1980" s="113"/>
      <c r="AD1980" s="113"/>
      <c r="AE1980" s="113"/>
      <c r="AF1980" s="113"/>
      <c r="AG1980" s="113"/>
      <c r="AH1980" s="113"/>
      <c r="AI1980" s="113"/>
      <c r="AJ1980" s="113"/>
      <c r="AK1980" s="113" t="s">
        <v>1113</v>
      </c>
      <c r="AL1980" s="113"/>
      <c r="AM1980" s="113"/>
      <c r="AN1980" s="113"/>
      <c r="AO1980" s="43" t="s">
        <v>2348</v>
      </c>
      <c r="AP1980" s="43"/>
      <c r="AQ1980" s="236" t="str">
        <f>VLOOKUP(Table8[[#This Row],[Instrument]],Def_Targets!$D$73:$E$159,2,FALSE)</f>
        <v>S_PublicTransport</v>
      </c>
      <c r="AR1980" s="233" t="str">
        <f>VLOOKUP(Table8[[#This Row],[Country Code]],Table29[],3,FALSE)</f>
        <v>Annex I</v>
      </c>
      <c r="AS1980" s="233" t="str">
        <f>VLOOKUP(Table8[[#This Row],[Country Code]],Table29[],4,FALSE)</f>
        <v>Europe</v>
      </c>
      <c r="AT1980" s="233" t="str">
        <f>VLOOKUP(Table8[[#This Row],[Country Code]],Table29[],5,FALSE)</f>
        <v>Middle-income</v>
      </c>
      <c r="AU1980" s="233" t="str">
        <f>VLOOKUP(Table8[[#This Row],[Country Code]],Table29[],6,FALSE)</f>
        <v>G20</v>
      </c>
      <c r="AV1980" s="233" t="str">
        <f>VLOOKUP(Table8[[#This Row],[Country Code]],Table29[],7,FALSE)</f>
        <v>no</v>
      </c>
      <c r="AW1980" s="233" t="str">
        <f>VLOOKUP(Table8[[#This Row],[Country Code]],Table29[],8,FALSE)</f>
        <v>non-OECD</v>
      </c>
      <c r="AX1980" s="233" t="str">
        <f>VLOOKUP(Table8[[#This Row],[Country Code]],Table29[],9,FALSE)</f>
        <v>no</v>
      </c>
      <c r="AY1980" s="233" t="str">
        <f>VLOOKUP(Table8[[#This Row],[Country Code]],Table29[],10,FALSE)</f>
        <v>no</v>
      </c>
      <c r="AZ1980" s="235">
        <f>VLOOKUP(Table8[[#This Row],[Country Code]],Table29[],23,FALSE)</f>
        <v>2672.0394366031001</v>
      </c>
      <c r="BA1980" s="235">
        <f>VLOOKUP(Table8[[#This Row],[Country Code]],Table29[],24,FALSE)</f>
        <v>265.70074531042741</v>
      </c>
      <c r="BB1980" s="320"/>
      <c r="BC1980" s="320"/>
    </row>
    <row r="1981" spans="1:55" ht="30" hidden="1" x14ac:dyDescent="0.25">
      <c r="A1981" s="373">
        <v>32512</v>
      </c>
      <c r="B1981" s="233" t="str">
        <f>VLOOKUP(Table8[[#This Row],[Document ID]],Table1[],2,FALSE)</f>
        <v>RUS</v>
      </c>
      <c r="C1981" s="233" t="str">
        <f>VLOOKUP(Table8[[#This Row],[Document ID]],Table1[],3,FALSE)</f>
        <v>Russian Federation</v>
      </c>
      <c r="D1981" s="243" t="str">
        <f>VLOOKUP(Table8[[#This Row],[Document ID]],Table1[],5,FALSE)</f>
        <v>LTS</v>
      </c>
      <c r="E1981" s="233" t="str">
        <f>VLOOKUP(Table8[[#This Row],[Document ID]],Table1[],7,FALSE)</f>
        <v>LTS</v>
      </c>
      <c r="F1981" s="233" t="str">
        <f>VLOOKUP(Table8[[#This Row],[Document ID]],Table1[],8,FALSE)</f>
        <v>LTS 1.0</v>
      </c>
      <c r="G1981" s="233" t="str">
        <f>VLOOKUP(Table8[[#This Row],[Document ID]],Table1[],10,FALSE)</f>
        <v>Active</v>
      </c>
      <c r="H1981" s="43" t="s">
        <v>2358</v>
      </c>
      <c r="I1981" s="43" t="s">
        <v>2359</v>
      </c>
      <c r="J1981" s="44" t="s">
        <v>2383</v>
      </c>
      <c r="K1981" s="44" t="s">
        <v>4156</v>
      </c>
      <c r="L1981" s="44" t="s">
        <v>2333</v>
      </c>
      <c r="M1981" s="43">
        <v>28</v>
      </c>
      <c r="N1981" s="113" t="s">
        <v>1113</v>
      </c>
      <c r="O1981" s="113"/>
      <c r="P1981" s="113"/>
      <c r="Q1981" s="113"/>
      <c r="R1981" s="113"/>
      <c r="S1981" s="113"/>
      <c r="T1981" s="113"/>
      <c r="U1981" s="113"/>
      <c r="V1981" s="113"/>
      <c r="W1981" s="113"/>
      <c r="X1981" s="113"/>
      <c r="Y1981" s="113"/>
      <c r="Z1981" s="113"/>
      <c r="AA1981" s="113"/>
      <c r="AB1981" s="113"/>
      <c r="AC1981" s="113"/>
      <c r="AD1981" s="113"/>
      <c r="AE1981" s="113"/>
      <c r="AF1981" s="113"/>
      <c r="AG1981" s="113"/>
      <c r="AH1981" s="113"/>
      <c r="AI1981" s="113"/>
      <c r="AJ1981" s="113"/>
      <c r="AK1981" s="113" t="s">
        <v>1113</v>
      </c>
      <c r="AL1981" s="113"/>
      <c r="AM1981" s="113"/>
      <c r="AN1981" s="113"/>
      <c r="AO1981" s="44" t="s">
        <v>2334</v>
      </c>
      <c r="AP1981" s="43"/>
      <c r="AQ1981" s="236" t="str">
        <f>VLOOKUP(Table8[[#This Row],[Instrument]],Def_Targets!$D$73:$E$159,2,FALSE)</f>
        <v>I_Emobilitycharging</v>
      </c>
      <c r="AR1981" s="233" t="str">
        <f>VLOOKUP(Table8[[#This Row],[Country Code]],Table29[],3,FALSE)</f>
        <v>Annex I</v>
      </c>
      <c r="AS1981" s="233" t="str">
        <f>VLOOKUP(Table8[[#This Row],[Country Code]],Table29[],4,FALSE)</f>
        <v>Europe</v>
      </c>
      <c r="AT1981" s="233" t="str">
        <f>VLOOKUP(Table8[[#This Row],[Country Code]],Table29[],5,FALSE)</f>
        <v>Middle-income</v>
      </c>
      <c r="AU1981" s="233" t="str">
        <f>VLOOKUP(Table8[[#This Row],[Country Code]],Table29[],6,FALSE)</f>
        <v>G20</v>
      </c>
      <c r="AV1981" s="233" t="str">
        <f>VLOOKUP(Table8[[#This Row],[Country Code]],Table29[],7,FALSE)</f>
        <v>no</v>
      </c>
      <c r="AW1981" s="233" t="str">
        <f>VLOOKUP(Table8[[#This Row],[Country Code]],Table29[],8,FALSE)</f>
        <v>non-OECD</v>
      </c>
      <c r="AX1981" s="233" t="str">
        <f>VLOOKUP(Table8[[#This Row],[Country Code]],Table29[],9,FALSE)</f>
        <v>no</v>
      </c>
      <c r="AY1981" s="233" t="str">
        <f>VLOOKUP(Table8[[#This Row],[Country Code]],Table29[],10,FALSE)</f>
        <v>no</v>
      </c>
      <c r="AZ1981" s="235">
        <f>VLOOKUP(Table8[[#This Row],[Country Code]],Table29[],23,FALSE)</f>
        <v>2672.0394366031001</v>
      </c>
      <c r="BA1981" s="235">
        <f>VLOOKUP(Table8[[#This Row],[Country Code]],Table29[],24,FALSE)</f>
        <v>265.70074531042741</v>
      </c>
      <c r="BB1981" s="320"/>
      <c r="BC1981" s="320"/>
    </row>
    <row r="1982" spans="1:55" ht="30" hidden="1" x14ac:dyDescent="0.25">
      <c r="A1982" s="373">
        <v>32512</v>
      </c>
      <c r="B1982" s="233" t="str">
        <f>VLOOKUP(Table8[[#This Row],[Document ID]],Table1[],2,FALSE)</f>
        <v>RUS</v>
      </c>
      <c r="C1982" s="233" t="str">
        <f>VLOOKUP(Table8[[#This Row],[Document ID]],Table1[],3,FALSE)</f>
        <v>Russian Federation</v>
      </c>
      <c r="D1982" s="243" t="str">
        <f>VLOOKUP(Table8[[#This Row],[Document ID]],Table1[],5,FALSE)</f>
        <v>LTS</v>
      </c>
      <c r="E1982" s="233" t="str">
        <f>VLOOKUP(Table8[[#This Row],[Document ID]],Table1[],7,FALSE)</f>
        <v>LTS</v>
      </c>
      <c r="F1982" s="233" t="str">
        <f>VLOOKUP(Table8[[#This Row],[Document ID]],Table1[],8,FALSE)</f>
        <v>LTS 1.0</v>
      </c>
      <c r="G1982" s="233" t="str">
        <f>VLOOKUP(Table8[[#This Row],[Document ID]],Table1[],10,FALSE)</f>
        <v>Active</v>
      </c>
      <c r="H1982" s="43" t="s">
        <v>2343</v>
      </c>
      <c r="I1982" s="43" t="s">
        <v>2429</v>
      </c>
      <c r="J1982" s="44" t="s">
        <v>2472</v>
      </c>
      <c r="K1982" s="44" t="s">
        <v>4157</v>
      </c>
      <c r="L1982" s="44" t="s">
        <v>2333</v>
      </c>
      <c r="M1982" s="43">
        <v>28</v>
      </c>
      <c r="N1982" s="113" t="s">
        <v>1113</v>
      </c>
      <c r="O1982" s="113"/>
      <c r="P1982" s="113"/>
      <c r="Q1982" s="113"/>
      <c r="R1982" s="113"/>
      <c r="S1982" s="113"/>
      <c r="T1982" s="113"/>
      <c r="U1982" s="113"/>
      <c r="V1982" s="113"/>
      <c r="W1982" s="113"/>
      <c r="X1982" s="113"/>
      <c r="Y1982" s="113"/>
      <c r="Z1982" s="113"/>
      <c r="AA1982" s="113"/>
      <c r="AB1982" s="113"/>
      <c r="AC1982" s="113"/>
      <c r="AD1982" s="113"/>
      <c r="AE1982" s="113"/>
      <c r="AF1982" s="113"/>
      <c r="AG1982" s="113"/>
      <c r="AH1982" s="113"/>
      <c r="AI1982" s="113"/>
      <c r="AJ1982" s="113"/>
      <c r="AK1982" s="113" t="s">
        <v>1113</v>
      </c>
      <c r="AL1982" s="113"/>
      <c r="AM1982" s="113"/>
      <c r="AN1982" s="113"/>
      <c r="AO1982" s="44" t="s">
        <v>2334</v>
      </c>
      <c r="AP1982" s="43"/>
      <c r="AQ1982" s="236" t="str">
        <f>VLOOKUP(Table8[[#This Row],[Instrument]],Def_Targets!$D$73:$E$159,2,FALSE)</f>
        <v>I_Other</v>
      </c>
      <c r="AR1982" s="233" t="str">
        <f>VLOOKUP(Table8[[#This Row],[Country Code]],Table29[],3,FALSE)</f>
        <v>Annex I</v>
      </c>
      <c r="AS1982" s="233" t="str">
        <f>VLOOKUP(Table8[[#This Row],[Country Code]],Table29[],4,FALSE)</f>
        <v>Europe</v>
      </c>
      <c r="AT1982" s="233" t="str">
        <f>VLOOKUP(Table8[[#This Row],[Country Code]],Table29[],5,FALSE)</f>
        <v>Middle-income</v>
      </c>
      <c r="AU1982" s="233" t="str">
        <f>VLOOKUP(Table8[[#This Row],[Country Code]],Table29[],6,FALSE)</f>
        <v>G20</v>
      </c>
      <c r="AV1982" s="233" t="str">
        <f>VLOOKUP(Table8[[#This Row],[Country Code]],Table29[],7,FALSE)</f>
        <v>no</v>
      </c>
      <c r="AW1982" s="233" t="str">
        <f>VLOOKUP(Table8[[#This Row],[Country Code]],Table29[],8,FALSE)</f>
        <v>non-OECD</v>
      </c>
      <c r="AX1982" s="233" t="str">
        <f>VLOOKUP(Table8[[#This Row],[Country Code]],Table29[],9,FALSE)</f>
        <v>no</v>
      </c>
      <c r="AY1982" s="233" t="str">
        <f>VLOOKUP(Table8[[#This Row],[Country Code]],Table29[],10,FALSE)</f>
        <v>no</v>
      </c>
      <c r="AZ1982" s="235">
        <f>VLOOKUP(Table8[[#This Row],[Country Code]],Table29[],23,FALSE)</f>
        <v>2672.0394366031001</v>
      </c>
      <c r="BA1982" s="235">
        <f>VLOOKUP(Table8[[#This Row],[Country Code]],Table29[],24,FALSE)</f>
        <v>265.70074531042741</v>
      </c>
      <c r="BB1982" s="320"/>
      <c r="BC1982" s="320"/>
    </row>
    <row r="1983" spans="1:55" hidden="1" x14ac:dyDescent="0.25">
      <c r="A1983" s="373">
        <v>32512</v>
      </c>
      <c r="B1983" s="233" t="str">
        <f>VLOOKUP(Table8[[#This Row],[Document ID]],Table1[],2,FALSE)</f>
        <v>RUS</v>
      </c>
      <c r="C1983" s="233" t="str">
        <f>VLOOKUP(Table8[[#This Row],[Document ID]],Table1[],3,FALSE)</f>
        <v>Russian Federation</v>
      </c>
      <c r="D1983" s="243" t="str">
        <f>VLOOKUP(Table8[[#This Row],[Document ID]],Table1[],5,FALSE)</f>
        <v>LTS</v>
      </c>
      <c r="E1983" s="233" t="str">
        <f>VLOOKUP(Table8[[#This Row],[Document ID]],Table1[],7,FALSE)</f>
        <v>LTS</v>
      </c>
      <c r="F1983" s="233" t="str">
        <f>VLOOKUP(Table8[[#This Row],[Document ID]],Table1[],8,FALSE)</f>
        <v>LTS 1.0</v>
      </c>
      <c r="G1983" s="233" t="str">
        <f>VLOOKUP(Table8[[#This Row],[Document ID]],Table1[],10,FALSE)</f>
        <v>Active</v>
      </c>
      <c r="H1983" s="43" t="s">
        <v>2350</v>
      </c>
      <c r="I1983" s="43" t="s">
        <v>2351</v>
      </c>
      <c r="J1983" s="44" t="s">
        <v>2447</v>
      </c>
      <c r="K1983" s="44" t="s">
        <v>4158</v>
      </c>
      <c r="L1983" s="44" t="s">
        <v>2333</v>
      </c>
      <c r="M1983" s="43">
        <v>28</v>
      </c>
      <c r="N1983" s="113" t="s">
        <v>1113</v>
      </c>
      <c r="O1983" s="113"/>
      <c r="P1983" s="113"/>
      <c r="Q1983" s="113"/>
      <c r="R1983" s="113"/>
      <c r="S1983" s="113"/>
      <c r="T1983" s="113"/>
      <c r="U1983" s="113"/>
      <c r="V1983" s="113"/>
      <c r="W1983" s="113"/>
      <c r="X1983" s="113"/>
      <c r="Y1983" s="113"/>
      <c r="Z1983" s="113"/>
      <c r="AA1983" s="113"/>
      <c r="AB1983" s="113"/>
      <c r="AC1983" s="113"/>
      <c r="AD1983" s="113"/>
      <c r="AE1983" s="113"/>
      <c r="AF1983" s="113"/>
      <c r="AG1983" s="113"/>
      <c r="AH1983" s="113"/>
      <c r="AI1983" s="113"/>
      <c r="AJ1983" s="113"/>
      <c r="AK1983" s="113" t="s">
        <v>1113</v>
      </c>
      <c r="AL1983" s="113"/>
      <c r="AM1983" s="113"/>
      <c r="AN1983" s="113"/>
      <c r="AO1983" s="43" t="s">
        <v>2353</v>
      </c>
      <c r="AP1983" s="43"/>
      <c r="AQ1983" s="236" t="str">
        <f>VLOOKUP(Table8[[#This Row],[Instrument]],Def_Targets!$D$73:$E$159,2,FALSE)</f>
        <v>I_Freighteff</v>
      </c>
      <c r="AR1983" s="233" t="str">
        <f>VLOOKUP(Table8[[#This Row],[Country Code]],Table29[],3,FALSE)</f>
        <v>Annex I</v>
      </c>
      <c r="AS1983" s="233" t="str">
        <f>VLOOKUP(Table8[[#This Row],[Country Code]],Table29[],4,FALSE)</f>
        <v>Europe</v>
      </c>
      <c r="AT1983" s="233" t="str">
        <f>VLOOKUP(Table8[[#This Row],[Country Code]],Table29[],5,FALSE)</f>
        <v>Middle-income</v>
      </c>
      <c r="AU1983" s="233" t="str">
        <f>VLOOKUP(Table8[[#This Row],[Country Code]],Table29[],6,FALSE)</f>
        <v>G20</v>
      </c>
      <c r="AV1983" s="233" t="str">
        <f>VLOOKUP(Table8[[#This Row],[Country Code]],Table29[],7,FALSE)</f>
        <v>no</v>
      </c>
      <c r="AW1983" s="233" t="str">
        <f>VLOOKUP(Table8[[#This Row],[Country Code]],Table29[],8,FALSE)</f>
        <v>non-OECD</v>
      </c>
      <c r="AX1983" s="233" t="str">
        <f>VLOOKUP(Table8[[#This Row],[Country Code]],Table29[],9,FALSE)</f>
        <v>no</v>
      </c>
      <c r="AY1983" s="233" t="str">
        <f>VLOOKUP(Table8[[#This Row],[Country Code]],Table29[],10,FALSE)</f>
        <v>no</v>
      </c>
      <c r="AZ1983" s="235">
        <f>VLOOKUP(Table8[[#This Row],[Country Code]],Table29[],23,FALSE)</f>
        <v>2672.0394366031001</v>
      </c>
      <c r="BA1983" s="235">
        <f>VLOOKUP(Table8[[#This Row],[Country Code]],Table29[],24,FALSE)</f>
        <v>265.70074531042741</v>
      </c>
      <c r="BB1983" s="320"/>
      <c r="BC1983" s="320"/>
    </row>
    <row r="1984" spans="1:55" hidden="1" x14ac:dyDescent="0.25">
      <c r="A1984" s="373">
        <v>32512</v>
      </c>
      <c r="B1984" s="233" t="str">
        <f>VLOOKUP(Table8[[#This Row],[Document ID]],Table1[],2,FALSE)</f>
        <v>RUS</v>
      </c>
      <c r="C1984" s="233" t="str">
        <f>VLOOKUP(Table8[[#This Row],[Document ID]],Table1[],3,FALSE)</f>
        <v>Russian Federation</v>
      </c>
      <c r="D1984" s="243" t="str">
        <f>VLOOKUP(Table8[[#This Row],[Document ID]],Table1[],5,FALSE)</f>
        <v>LTS</v>
      </c>
      <c r="E1984" s="233" t="str">
        <f>VLOOKUP(Table8[[#This Row],[Document ID]],Table1[],7,FALSE)</f>
        <v>LTS</v>
      </c>
      <c r="F1984" s="233" t="str">
        <f>VLOOKUP(Table8[[#This Row],[Document ID]],Table1[],8,FALSE)</f>
        <v>LTS 1.0</v>
      </c>
      <c r="G1984" s="233" t="str">
        <f>VLOOKUP(Table8[[#This Row],[Document ID]],Table1[],10,FALSE)</f>
        <v>Active</v>
      </c>
      <c r="H1984" s="43" t="s">
        <v>2343</v>
      </c>
      <c r="I1984" s="43" t="s">
        <v>2377</v>
      </c>
      <c r="J1984" s="44" t="s">
        <v>2394</v>
      </c>
      <c r="K1984" s="44" t="s">
        <v>4159</v>
      </c>
      <c r="L1984" s="44" t="s">
        <v>2333</v>
      </c>
      <c r="M1984" s="43">
        <v>28</v>
      </c>
      <c r="N1984" s="113" t="s">
        <v>1113</v>
      </c>
      <c r="O1984" s="113"/>
      <c r="P1984" s="113"/>
      <c r="Q1984" s="113"/>
      <c r="R1984" s="113"/>
      <c r="S1984" s="113"/>
      <c r="T1984" s="113"/>
      <c r="U1984" s="113"/>
      <c r="V1984" s="113"/>
      <c r="W1984" s="113"/>
      <c r="X1984" s="113"/>
      <c r="Y1984" s="113"/>
      <c r="Z1984" s="113"/>
      <c r="AA1984" s="113"/>
      <c r="AB1984" s="113"/>
      <c r="AC1984" s="113"/>
      <c r="AD1984" s="113"/>
      <c r="AE1984" s="113"/>
      <c r="AF1984" s="113"/>
      <c r="AG1984" s="113"/>
      <c r="AH1984" s="113"/>
      <c r="AI1984" s="113"/>
      <c r="AJ1984" s="113"/>
      <c r="AK1984" s="113" t="s">
        <v>1113</v>
      </c>
      <c r="AL1984" s="113"/>
      <c r="AM1984" s="113"/>
      <c r="AN1984" s="113"/>
      <c r="AO1984" s="44" t="s">
        <v>2334</v>
      </c>
      <c r="AP1984" s="43"/>
      <c r="AQ1984" s="236" t="str">
        <f>VLOOKUP(Table8[[#This Row],[Instrument]],Def_Targets!$D$73:$E$159,2,FALSE)</f>
        <v>A_TDM</v>
      </c>
      <c r="AR1984" s="233" t="str">
        <f>VLOOKUP(Table8[[#This Row],[Country Code]],Table29[],3,FALSE)</f>
        <v>Annex I</v>
      </c>
      <c r="AS1984" s="233" t="str">
        <f>VLOOKUP(Table8[[#This Row],[Country Code]],Table29[],4,FALSE)</f>
        <v>Europe</v>
      </c>
      <c r="AT1984" s="233" t="str">
        <f>VLOOKUP(Table8[[#This Row],[Country Code]],Table29[],5,FALSE)</f>
        <v>Middle-income</v>
      </c>
      <c r="AU1984" s="233" t="str">
        <f>VLOOKUP(Table8[[#This Row],[Country Code]],Table29[],6,FALSE)</f>
        <v>G20</v>
      </c>
      <c r="AV1984" s="233" t="str">
        <f>VLOOKUP(Table8[[#This Row],[Country Code]],Table29[],7,FALSE)</f>
        <v>no</v>
      </c>
      <c r="AW1984" s="233" t="str">
        <f>VLOOKUP(Table8[[#This Row],[Country Code]],Table29[],8,FALSE)</f>
        <v>non-OECD</v>
      </c>
      <c r="AX1984" s="233" t="str">
        <f>VLOOKUP(Table8[[#This Row],[Country Code]],Table29[],9,FALSE)</f>
        <v>no</v>
      </c>
      <c r="AY1984" s="233" t="str">
        <f>VLOOKUP(Table8[[#This Row],[Country Code]],Table29[],10,FALSE)</f>
        <v>no</v>
      </c>
      <c r="AZ1984" s="235">
        <f>VLOOKUP(Table8[[#This Row],[Country Code]],Table29[],23,FALSE)</f>
        <v>2672.0394366031001</v>
      </c>
      <c r="BA1984" s="235">
        <f>VLOOKUP(Table8[[#This Row],[Country Code]],Table29[],24,FALSE)</f>
        <v>265.70074531042741</v>
      </c>
      <c r="BB1984" s="320"/>
      <c r="BC1984" s="320"/>
    </row>
    <row r="1985" spans="1:55" hidden="1" x14ac:dyDescent="0.25">
      <c r="A1985" s="373">
        <v>32512</v>
      </c>
      <c r="B1985" s="233" t="str">
        <f>VLOOKUP(Table8[[#This Row],[Document ID]],Table1[],2,FALSE)</f>
        <v>RUS</v>
      </c>
      <c r="C1985" s="233" t="str">
        <f>VLOOKUP(Table8[[#This Row],[Document ID]],Table1[],3,FALSE)</f>
        <v>Russian Federation</v>
      </c>
      <c r="D1985" s="243" t="str">
        <f>VLOOKUP(Table8[[#This Row],[Document ID]],Table1[],5,FALSE)</f>
        <v>LTS</v>
      </c>
      <c r="E1985" s="233" t="str">
        <f>VLOOKUP(Table8[[#This Row],[Document ID]],Table1[],7,FALSE)</f>
        <v>LTS</v>
      </c>
      <c r="F1985" s="233" t="str">
        <f>VLOOKUP(Table8[[#This Row],[Document ID]],Table1[],8,FALSE)</f>
        <v>LTS 1.0</v>
      </c>
      <c r="G1985" s="233" t="str">
        <f>VLOOKUP(Table8[[#This Row],[Document ID]],Table1[],10,FALSE)</f>
        <v>Active</v>
      </c>
      <c r="H1985" s="43" t="s">
        <v>2350</v>
      </c>
      <c r="I1985" s="43" t="s">
        <v>2456</v>
      </c>
      <c r="J1985" s="44" t="s">
        <v>2466</v>
      </c>
      <c r="K1985" s="44" t="s">
        <v>4160</v>
      </c>
      <c r="L1985" s="44" t="s">
        <v>2333</v>
      </c>
      <c r="M1985" s="43">
        <v>28</v>
      </c>
      <c r="N1985" s="113" t="s">
        <v>1113</v>
      </c>
      <c r="O1985" s="113"/>
      <c r="P1985" s="113"/>
      <c r="Q1985" s="113"/>
      <c r="R1985" s="113"/>
      <c r="S1985" s="113"/>
      <c r="T1985" s="113"/>
      <c r="U1985" s="113"/>
      <c r="V1985" s="113"/>
      <c r="W1985" s="113"/>
      <c r="X1985" s="113"/>
      <c r="Y1985" s="113"/>
      <c r="Z1985" s="113"/>
      <c r="AA1985" s="113"/>
      <c r="AB1985" s="113"/>
      <c r="AC1985" s="113"/>
      <c r="AD1985" s="113"/>
      <c r="AE1985" s="113"/>
      <c r="AF1985" s="113"/>
      <c r="AG1985" s="113"/>
      <c r="AH1985" s="113"/>
      <c r="AI1985" s="113"/>
      <c r="AJ1985" s="113"/>
      <c r="AK1985" s="113" t="s">
        <v>1113</v>
      </c>
      <c r="AL1985" s="113"/>
      <c r="AM1985" s="113"/>
      <c r="AN1985" s="113"/>
      <c r="AO1985" s="44" t="s">
        <v>2334</v>
      </c>
      <c r="AP1985" s="43"/>
      <c r="AQ1985" s="236" t="str">
        <f>VLOOKUP(Table8[[#This Row],[Instrument]],Def_Targets!$D$73:$E$159,2,FALSE)</f>
        <v>S_Infraexpansion</v>
      </c>
      <c r="AR1985" s="233" t="str">
        <f>VLOOKUP(Table8[[#This Row],[Country Code]],Table29[],3,FALSE)</f>
        <v>Annex I</v>
      </c>
      <c r="AS1985" s="233" t="str">
        <f>VLOOKUP(Table8[[#This Row],[Country Code]],Table29[],4,FALSE)</f>
        <v>Europe</v>
      </c>
      <c r="AT1985" s="233" t="str">
        <f>VLOOKUP(Table8[[#This Row],[Country Code]],Table29[],5,FALSE)</f>
        <v>Middle-income</v>
      </c>
      <c r="AU1985" s="233" t="str">
        <f>VLOOKUP(Table8[[#This Row],[Country Code]],Table29[],6,FALSE)</f>
        <v>G20</v>
      </c>
      <c r="AV1985" s="233" t="str">
        <f>VLOOKUP(Table8[[#This Row],[Country Code]],Table29[],7,FALSE)</f>
        <v>no</v>
      </c>
      <c r="AW1985" s="233" t="str">
        <f>VLOOKUP(Table8[[#This Row],[Country Code]],Table29[],8,FALSE)</f>
        <v>non-OECD</v>
      </c>
      <c r="AX1985" s="233" t="str">
        <f>VLOOKUP(Table8[[#This Row],[Country Code]],Table29[],9,FALSE)</f>
        <v>no</v>
      </c>
      <c r="AY1985" s="233" t="str">
        <f>VLOOKUP(Table8[[#This Row],[Country Code]],Table29[],10,FALSE)</f>
        <v>no</v>
      </c>
      <c r="AZ1985" s="235">
        <f>VLOOKUP(Table8[[#This Row],[Country Code]],Table29[],23,FALSE)</f>
        <v>2672.0394366031001</v>
      </c>
      <c r="BA1985" s="235">
        <f>VLOOKUP(Table8[[#This Row],[Country Code]],Table29[],24,FALSE)</f>
        <v>265.70074531042741</v>
      </c>
      <c r="BB1985" s="320"/>
      <c r="BC1985" s="320"/>
    </row>
    <row r="1986" spans="1:55" ht="45" hidden="1" x14ac:dyDescent="0.25">
      <c r="A1986" s="373">
        <v>32512</v>
      </c>
      <c r="B1986" s="233" t="str">
        <f>VLOOKUP(Table8[[#This Row],[Document ID]],Table1[],2,FALSE)</f>
        <v>RUS</v>
      </c>
      <c r="C1986" s="233" t="str">
        <f>VLOOKUP(Table8[[#This Row],[Document ID]],Table1[],3,FALSE)</f>
        <v>Russian Federation</v>
      </c>
      <c r="D1986" s="243" t="str">
        <f>VLOOKUP(Table8[[#This Row],[Document ID]],Table1[],5,FALSE)</f>
        <v>LTS</v>
      </c>
      <c r="E1986" s="233" t="str">
        <f>VLOOKUP(Table8[[#This Row],[Document ID]],Table1[],7,FALSE)</f>
        <v>LTS</v>
      </c>
      <c r="F1986" s="233" t="str">
        <f>VLOOKUP(Table8[[#This Row],[Document ID]],Table1[],8,FALSE)</f>
        <v>LTS 1.0</v>
      </c>
      <c r="G1986" s="233" t="str">
        <f>VLOOKUP(Table8[[#This Row],[Document ID]],Table1[],10,FALSE)</f>
        <v>Active</v>
      </c>
      <c r="H1986" s="44" t="s">
        <v>2329</v>
      </c>
      <c r="I1986" s="44" t="s">
        <v>2330</v>
      </c>
      <c r="J1986" s="44" t="s">
        <v>2391</v>
      </c>
      <c r="K1986" s="44" t="s">
        <v>4161</v>
      </c>
      <c r="L1986" s="44" t="s">
        <v>2333</v>
      </c>
      <c r="M1986" s="43">
        <v>29</v>
      </c>
      <c r="N1986" s="113" t="s">
        <v>1113</v>
      </c>
      <c r="O1986" s="113"/>
      <c r="P1986" s="113"/>
      <c r="Q1986" s="113"/>
      <c r="R1986" s="113"/>
      <c r="S1986" s="113"/>
      <c r="T1986" s="113"/>
      <c r="U1986" s="113"/>
      <c r="V1986" s="113"/>
      <c r="W1986" s="113"/>
      <c r="X1986" s="113"/>
      <c r="Y1986" s="113"/>
      <c r="Z1986" s="113"/>
      <c r="AA1986" s="113"/>
      <c r="AB1986" s="113"/>
      <c r="AC1986" s="113"/>
      <c r="AD1986" s="113"/>
      <c r="AE1986" s="113"/>
      <c r="AF1986" s="113"/>
      <c r="AG1986" s="113"/>
      <c r="AH1986" s="113"/>
      <c r="AI1986" s="113"/>
      <c r="AJ1986" s="113"/>
      <c r="AK1986" s="113" t="s">
        <v>1113</v>
      </c>
      <c r="AL1986" s="113"/>
      <c r="AM1986" s="113"/>
      <c r="AN1986" s="113"/>
      <c r="AO1986" s="44" t="s">
        <v>2334</v>
      </c>
      <c r="AP1986" s="43"/>
      <c r="AQ1986" s="236" t="str">
        <f>VLOOKUP(Table8[[#This Row],[Instrument]],Def_Targets!$D$73:$E$159,2,FALSE)</f>
        <v>I_Hydrogen</v>
      </c>
      <c r="AR1986" s="233" t="str">
        <f>VLOOKUP(Table8[[#This Row],[Country Code]],Table29[],3,FALSE)</f>
        <v>Annex I</v>
      </c>
      <c r="AS1986" s="233" t="str">
        <f>VLOOKUP(Table8[[#This Row],[Country Code]],Table29[],4,FALSE)</f>
        <v>Europe</v>
      </c>
      <c r="AT1986" s="233" t="str">
        <f>VLOOKUP(Table8[[#This Row],[Country Code]],Table29[],5,FALSE)</f>
        <v>Middle-income</v>
      </c>
      <c r="AU1986" s="233" t="str">
        <f>VLOOKUP(Table8[[#This Row],[Country Code]],Table29[],6,FALSE)</f>
        <v>G20</v>
      </c>
      <c r="AV1986" s="233" t="str">
        <f>VLOOKUP(Table8[[#This Row],[Country Code]],Table29[],7,FALSE)</f>
        <v>no</v>
      </c>
      <c r="AW1986" s="233" t="str">
        <f>VLOOKUP(Table8[[#This Row],[Country Code]],Table29[],8,FALSE)</f>
        <v>non-OECD</v>
      </c>
      <c r="AX1986" s="233" t="str">
        <f>VLOOKUP(Table8[[#This Row],[Country Code]],Table29[],9,FALSE)</f>
        <v>no</v>
      </c>
      <c r="AY1986" s="233" t="str">
        <f>VLOOKUP(Table8[[#This Row],[Country Code]],Table29[],10,FALSE)</f>
        <v>no</v>
      </c>
      <c r="AZ1986" s="235">
        <f>VLOOKUP(Table8[[#This Row],[Country Code]],Table29[],23,FALSE)</f>
        <v>2672.0394366031001</v>
      </c>
      <c r="BA1986" s="235">
        <f>VLOOKUP(Table8[[#This Row],[Country Code]],Table29[],24,FALSE)</f>
        <v>265.70074531042741</v>
      </c>
      <c r="BB1986" s="320"/>
      <c r="BC1986" s="320"/>
    </row>
    <row r="1987" spans="1:55" s="17" customFormat="1" hidden="1" x14ac:dyDescent="0.25">
      <c r="A1987" s="373">
        <v>26789</v>
      </c>
      <c r="B1987" s="233" t="str">
        <f>VLOOKUP(Table8[[#This Row],[Document ID]],Table1[],2,FALSE)</f>
        <v>ZAF</v>
      </c>
      <c r="C1987" s="233" t="str">
        <f>VLOOKUP(Table8[[#This Row],[Document ID]],Table1[],3,FALSE)</f>
        <v>South Africa</v>
      </c>
      <c r="D1987" s="243" t="str">
        <f>VLOOKUP(Table8[[#This Row],[Document ID]],Table1[],5,FALSE)</f>
        <v>NDC</v>
      </c>
      <c r="E1987" s="233" t="str">
        <f>VLOOKUP(Table8[[#This Row],[Document ID]],Table1[],7,FALSE)</f>
        <v>First NDC updated</v>
      </c>
      <c r="F1987" s="233" t="str">
        <f>VLOOKUP(Table8[[#This Row],[Document ID]],Table1[],8,FALSE)</f>
        <v>NDC 1.1</v>
      </c>
      <c r="G1987" s="233" t="str">
        <f>VLOOKUP(Table8[[#This Row],[Document ID]],Table1[],10,FALSE)</f>
        <v>Active</v>
      </c>
      <c r="H1987" s="43" t="s">
        <v>2358</v>
      </c>
      <c r="I1987" s="43" t="s">
        <v>2359</v>
      </c>
      <c r="J1987" s="44" t="s">
        <v>2360</v>
      </c>
      <c r="K1987" s="44" t="s">
        <v>4162</v>
      </c>
      <c r="L1987" s="44" t="s">
        <v>2333</v>
      </c>
      <c r="M1987" s="43">
        <v>29</v>
      </c>
      <c r="N1987" s="113" t="s">
        <v>1113</v>
      </c>
      <c r="O1987" s="113"/>
      <c r="P1987" s="113"/>
      <c r="Q1987" s="113"/>
      <c r="R1987" s="113"/>
      <c r="S1987" s="113"/>
      <c r="T1987" s="113"/>
      <c r="U1987" s="113"/>
      <c r="V1987" s="113"/>
      <c r="W1987" s="113"/>
      <c r="X1987" s="113"/>
      <c r="Y1987" s="113"/>
      <c r="Z1987" s="113"/>
      <c r="AA1987" s="113"/>
      <c r="AB1987" s="113"/>
      <c r="AC1987" s="113"/>
      <c r="AD1987" s="113"/>
      <c r="AE1987" s="113"/>
      <c r="AF1987" s="113"/>
      <c r="AG1987" s="113"/>
      <c r="AH1987" s="113"/>
      <c r="AI1987" s="113"/>
      <c r="AJ1987" s="113"/>
      <c r="AK1987" s="113" t="s">
        <v>1113</v>
      </c>
      <c r="AL1987" s="113"/>
      <c r="AM1987" s="113"/>
      <c r="AN1987" s="113"/>
      <c r="AO1987" s="44" t="s">
        <v>2334</v>
      </c>
      <c r="AP1987" s="43"/>
      <c r="AQ1987" s="236" t="str">
        <f>VLOOKUP(Table8[[#This Row],[Instrument]],Def_Targets!$D$73:$E$159,2,FALSE)</f>
        <v>I_Emobility</v>
      </c>
      <c r="AR1987" s="233" t="str">
        <f>VLOOKUP(Table8[[#This Row],[Country Code]],Table29[],3,FALSE)</f>
        <v>Non-Annex I</v>
      </c>
      <c r="AS1987" s="233" t="str">
        <f>VLOOKUP(Table8[[#This Row],[Country Code]],Table29[],4,FALSE)</f>
        <v>Africa</v>
      </c>
      <c r="AT1987" s="233" t="str">
        <f>VLOOKUP(Table8[[#This Row],[Country Code]],Table29[],5,FALSE)</f>
        <v>Middle-income</v>
      </c>
      <c r="AU1987" s="233" t="str">
        <f>VLOOKUP(Table8[[#This Row],[Country Code]],Table29[],6,FALSE)</f>
        <v>G20</v>
      </c>
      <c r="AV1987" s="233" t="str">
        <f>VLOOKUP(Table8[[#This Row],[Country Code]],Table29[],7,FALSE)</f>
        <v>no</v>
      </c>
      <c r="AW1987" s="233" t="str">
        <f>VLOOKUP(Table8[[#This Row],[Country Code]],Table29[],8,FALSE)</f>
        <v>non-OECD</v>
      </c>
      <c r="AX1987" s="233" t="str">
        <f>VLOOKUP(Table8[[#This Row],[Country Code]],Table29[],9,FALSE)</f>
        <v>no</v>
      </c>
      <c r="AY1987" s="233" t="str">
        <f>VLOOKUP(Table8[[#This Row],[Country Code]],Table29[],10,FALSE)</f>
        <v>no</v>
      </c>
      <c r="AZ1987" s="235">
        <f>VLOOKUP(Table8[[#This Row],[Country Code]],Table29[],23,FALSE)</f>
        <v>522.11549112330999</v>
      </c>
      <c r="BA1987" s="235">
        <f>VLOOKUP(Table8[[#This Row],[Country Code]],Table29[],24,FALSE)</f>
        <v>50.351995093376694</v>
      </c>
      <c r="BB1987" s="320"/>
      <c r="BC1987" s="320"/>
    </row>
    <row r="1988" spans="1:55" s="17" customFormat="1" hidden="1" x14ac:dyDescent="0.25">
      <c r="A1988" s="373">
        <v>26789</v>
      </c>
      <c r="B1988" s="233" t="str">
        <f>VLOOKUP(Table8[[#This Row],[Document ID]],Table1[],2,FALSE)</f>
        <v>ZAF</v>
      </c>
      <c r="C1988" s="233" t="str">
        <f>VLOOKUP(Table8[[#This Row],[Document ID]],Table1[],3,FALSE)</f>
        <v>South Africa</v>
      </c>
      <c r="D1988" s="243" t="str">
        <f>VLOOKUP(Table8[[#This Row],[Document ID]],Table1[],5,FALSE)</f>
        <v>NDC</v>
      </c>
      <c r="E1988" s="233" t="str">
        <f>VLOOKUP(Table8[[#This Row],[Document ID]],Table1[],7,FALSE)</f>
        <v>First NDC updated</v>
      </c>
      <c r="F1988" s="233" t="str">
        <f>VLOOKUP(Table8[[#This Row],[Document ID]],Table1[],8,FALSE)</f>
        <v>NDC 1.1</v>
      </c>
      <c r="G1988" s="233" t="str">
        <f>VLOOKUP(Table8[[#This Row],[Document ID]],Table1[],10,FALSE)</f>
        <v>Active</v>
      </c>
      <c r="H1988" s="43" t="s">
        <v>2343</v>
      </c>
      <c r="I1988" s="43" t="s">
        <v>2344</v>
      </c>
      <c r="J1988" s="44" t="s">
        <v>2345</v>
      </c>
      <c r="K1988" s="44" t="s">
        <v>4163</v>
      </c>
      <c r="L1988" s="44" t="s">
        <v>2347</v>
      </c>
      <c r="M1988" s="43">
        <v>30</v>
      </c>
      <c r="N1988" s="113" t="s">
        <v>1113</v>
      </c>
      <c r="O1988" s="113"/>
      <c r="P1988" s="113"/>
      <c r="Q1988" s="113"/>
      <c r="R1988" s="113"/>
      <c r="S1988" s="113"/>
      <c r="T1988" s="113"/>
      <c r="U1988" s="113"/>
      <c r="V1988" s="113"/>
      <c r="W1988" s="113"/>
      <c r="X1988" s="113"/>
      <c r="Y1988" s="113"/>
      <c r="Z1988" s="113"/>
      <c r="AA1988" s="113"/>
      <c r="AB1988" s="113"/>
      <c r="AC1988" s="113"/>
      <c r="AD1988" s="113"/>
      <c r="AE1988" s="113"/>
      <c r="AF1988" s="113"/>
      <c r="AG1988" s="113"/>
      <c r="AH1988" s="113"/>
      <c r="AI1988" s="113"/>
      <c r="AJ1988" s="113"/>
      <c r="AK1988" s="113" t="s">
        <v>1113</v>
      </c>
      <c r="AL1988" s="113"/>
      <c r="AM1988" s="113"/>
      <c r="AN1988" s="113"/>
      <c r="AO1988" s="43" t="s">
        <v>2348</v>
      </c>
      <c r="AP1988" s="43"/>
      <c r="AQ1988" s="236" t="str">
        <f>VLOOKUP(Table8[[#This Row],[Instrument]],Def_Targets!$D$73:$E$159,2,FALSE)</f>
        <v>S_PublicTransport</v>
      </c>
      <c r="AR1988" s="233" t="str">
        <f>VLOOKUP(Table8[[#This Row],[Country Code]],Table29[],3,FALSE)</f>
        <v>Non-Annex I</v>
      </c>
      <c r="AS1988" s="233" t="str">
        <f>VLOOKUP(Table8[[#This Row],[Country Code]],Table29[],4,FALSE)</f>
        <v>Africa</v>
      </c>
      <c r="AT1988" s="233" t="str">
        <f>VLOOKUP(Table8[[#This Row],[Country Code]],Table29[],5,FALSE)</f>
        <v>Middle-income</v>
      </c>
      <c r="AU1988" s="233" t="str">
        <f>VLOOKUP(Table8[[#This Row],[Country Code]],Table29[],6,FALSE)</f>
        <v>G20</v>
      </c>
      <c r="AV1988" s="233" t="str">
        <f>VLOOKUP(Table8[[#This Row],[Country Code]],Table29[],7,FALSE)</f>
        <v>no</v>
      </c>
      <c r="AW1988" s="233" t="str">
        <f>VLOOKUP(Table8[[#This Row],[Country Code]],Table29[],8,FALSE)</f>
        <v>non-OECD</v>
      </c>
      <c r="AX1988" s="233" t="str">
        <f>VLOOKUP(Table8[[#This Row],[Country Code]],Table29[],9,FALSE)</f>
        <v>no</v>
      </c>
      <c r="AY1988" s="233" t="str">
        <f>VLOOKUP(Table8[[#This Row],[Country Code]],Table29[],10,FALSE)</f>
        <v>no</v>
      </c>
      <c r="AZ1988" s="235">
        <f>VLOOKUP(Table8[[#This Row],[Country Code]],Table29[],23,FALSE)</f>
        <v>522.11549112330999</v>
      </c>
      <c r="BA1988" s="235">
        <f>VLOOKUP(Table8[[#This Row],[Country Code]],Table29[],24,FALSE)</f>
        <v>50.351995093376694</v>
      </c>
      <c r="BB1988" s="320"/>
      <c r="BC1988" s="320"/>
    </row>
    <row r="1989" spans="1:55" hidden="1" x14ac:dyDescent="0.25">
      <c r="A1989" s="373">
        <v>17741</v>
      </c>
      <c r="B1989" s="233" t="str">
        <f>VLOOKUP(Table8[[#This Row],[Document ID]],Table1[],2,FALSE)</f>
        <v>SSD</v>
      </c>
      <c r="C1989" s="233" t="str">
        <f>VLOOKUP(Table8[[#This Row],[Document ID]],Table1[],3,FALSE)</f>
        <v>South Sudan</v>
      </c>
      <c r="D1989" s="243" t="str">
        <f>VLOOKUP(Table8[[#This Row],[Document ID]],Table1[],5,FALSE)</f>
        <v>NDC</v>
      </c>
      <c r="E1989" s="233" t="str">
        <f>VLOOKUP(Table8[[#This Row],[Document ID]],Table1[],7,FALSE)</f>
        <v>First NDC</v>
      </c>
      <c r="F1989" s="236" t="str">
        <f>VLOOKUP(Table8[[#This Row],[Document ID]],Table1[],8,FALSE)</f>
        <v>NDC 1.0</v>
      </c>
      <c r="G1989" s="236" t="str">
        <f>VLOOKUP(Table8[[#This Row],[Document ID]],Table1[],10,FALSE)</f>
        <v>Archived</v>
      </c>
      <c r="H1989" s="44" t="s">
        <v>2338</v>
      </c>
      <c r="I1989" s="44" t="s">
        <v>2339</v>
      </c>
      <c r="J1989" s="44" t="s">
        <v>2413</v>
      </c>
      <c r="K1989" s="44" t="s">
        <v>4164</v>
      </c>
      <c r="L1989" s="44" t="s">
        <v>2333</v>
      </c>
      <c r="M1989" s="43">
        <v>3</v>
      </c>
      <c r="N1989" s="113" t="s">
        <v>1113</v>
      </c>
      <c r="O1989" s="113"/>
      <c r="P1989" s="113"/>
      <c r="Q1989" s="319"/>
      <c r="R1989" s="319"/>
      <c r="S1989" s="319"/>
      <c r="T1989" s="319"/>
      <c r="U1989" s="319"/>
      <c r="V1989" s="319"/>
      <c r="W1989" s="319"/>
      <c r="X1989" s="319"/>
      <c r="Y1989" s="319"/>
      <c r="Z1989" s="319"/>
      <c r="AA1989" s="319"/>
      <c r="AB1989" s="319"/>
      <c r="AC1989" s="319"/>
      <c r="AD1989" s="319"/>
      <c r="AE1989" s="319"/>
      <c r="AF1989" s="319"/>
      <c r="AG1989" s="319"/>
      <c r="AH1989" s="319"/>
      <c r="AI1989" s="319"/>
      <c r="AJ1989" s="319"/>
      <c r="AK1989" s="319" t="s">
        <v>1113</v>
      </c>
      <c r="AL1989" s="319"/>
      <c r="AM1989" s="319"/>
      <c r="AN1989" s="319"/>
      <c r="AO1989" s="44" t="s">
        <v>2334</v>
      </c>
      <c r="AP1989" s="44"/>
      <c r="AQ1989" s="236" t="str">
        <f>VLOOKUP(Table8[[#This Row],[Instrument]],Def_Targets!$D$73:$E$159,2,FALSE)</f>
        <v>I_Vehicleeff</v>
      </c>
      <c r="AR1989" s="233" t="str">
        <f>VLOOKUP(Table8[[#This Row],[Country Code]],Table29[],3,FALSE)</f>
        <v>Non-Annex I</v>
      </c>
      <c r="AS1989" s="233" t="str">
        <f>VLOOKUP(Table8[[#This Row],[Country Code]],Table29[],4,FALSE)</f>
        <v>Africa</v>
      </c>
      <c r="AT1989" s="233" t="str">
        <f>VLOOKUP(Table8[[#This Row],[Country Code]],Table29[],5,FALSE)</f>
        <v>Low-income</v>
      </c>
      <c r="AU1989" s="233" t="str">
        <f>VLOOKUP(Table8[[#This Row],[Country Code]],Table29[],6,FALSE)</f>
        <v>no</v>
      </c>
      <c r="AV1989" s="233" t="str">
        <f>VLOOKUP(Table8[[#This Row],[Country Code]],Table29[],7,FALSE)</f>
        <v>no</v>
      </c>
      <c r="AW1989" s="233" t="str">
        <f>VLOOKUP(Table8[[#This Row],[Country Code]],Table29[],8,FALSE)</f>
        <v>non-OECD</v>
      </c>
      <c r="AX1989" s="233" t="str">
        <f>VLOOKUP(Table8[[#This Row],[Country Code]],Table29[],9,FALSE)</f>
        <v>no</v>
      </c>
      <c r="AY1989" s="233" t="str">
        <f>VLOOKUP(Table8[[#This Row],[Country Code]],Table29[],10,FALSE)</f>
        <v>no</v>
      </c>
      <c r="AZ1989" s="235">
        <f>VLOOKUP(Table8[[#This Row],[Country Code]],Table29[],23,FALSE)</f>
        <v>0</v>
      </c>
      <c r="BA1989" s="235">
        <f>VLOOKUP(Table8[[#This Row],[Country Code]],Table29[],24,FALSE)</f>
        <v>0</v>
      </c>
      <c r="BB1989" s="320"/>
      <c r="BC1989" s="320"/>
    </row>
    <row r="1990" spans="1:55" ht="30" hidden="1" x14ac:dyDescent="0.25">
      <c r="A1990" s="373">
        <v>17741</v>
      </c>
      <c r="B1990" s="233" t="str">
        <f>VLOOKUP(Table8[[#This Row],[Document ID]],Table1[],2,FALSE)</f>
        <v>SSD</v>
      </c>
      <c r="C1990" s="233" t="str">
        <f>VLOOKUP(Table8[[#This Row],[Document ID]],Table1[],3,FALSE)</f>
        <v>South Sudan</v>
      </c>
      <c r="D1990" s="243" t="str">
        <f>VLOOKUP(Table8[[#This Row],[Document ID]],Table1[],5,FALSE)</f>
        <v>NDC</v>
      </c>
      <c r="E1990" s="233" t="str">
        <f>VLOOKUP(Table8[[#This Row],[Document ID]],Table1[],7,FALSE)</f>
        <v>First NDC</v>
      </c>
      <c r="F1990" s="236" t="str">
        <f>VLOOKUP(Table8[[#This Row],[Document ID]],Table1[],8,FALSE)</f>
        <v>NDC 1.0</v>
      </c>
      <c r="G1990" s="236" t="str">
        <f>VLOOKUP(Table8[[#This Row],[Document ID]],Table1[],10,FALSE)</f>
        <v>Archived</v>
      </c>
      <c r="H1990" s="44" t="s">
        <v>2338</v>
      </c>
      <c r="I1990" s="44" t="s">
        <v>2339</v>
      </c>
      <c r="J1990" s="44" t="s">
        <v>2410</v>
      </c>
      <c r="K1990" s="44" t="s">
        <v>4165</v>
      </c>
      <c r="L1990" s="44" t="s">
        <v>2333</v>
      </c>
      <c r="M1990" s="43">
        <v>3</v>
      </c>
      <c r="N1990" s="113" t="s">
        <v>1113</v>
      </c>
      <c r="O1990" s="113"/>
      <c r="P1990" s="113"/>
      <c r="Q1990" s="319"/>
      <c r="R1990" s="319"/>
      <c r="S1990" s="319"/>
      <c r="T1990" s="319"/>
      <c r="U1990" s="319"/>
      <c r="V1990" s="319"/>
      <c r="W1990" s="319"/>
      <c r="X1990" s="319"/>
      <c r="Y1990" s="319"/>
      <c r="Z1990" s="319"/>
      <c r="AA1990" s="319"/>
      <c r="AB1990" s="319"/>
      <c r="AC1990" s="319"/>
      <c r="AD1990" s="319"/>
      <c r="AE1990" s="319"/>
      <c r="AF1990" s="319"/>
      <c r="AG1990" s="319"/>
      <c r="AH1990" s="319"/>
      <c r="AI1990" s="319"/>
      <c r="AJ1990" s="319"/>
      <c r="AK1990" s="319" t="s">
        <v>1113</v>
      </c>
      <c r="AL1990" s="319"/>
      <c r="AM1990" s="319"/>
      <c r="AN1990" s="319"/>
      <c r="AO1990" s="44" t="s">
        <v>2334</v>
      </c>
      <c r="AP1990" s="44"/>
      <c r="AQ1990" s="236" t="str">
        <f>VLOOKUP(Table8[[#This Row],[Instrument]],Def_Targets!$D$73:$E$159,2,FALSE)</f>
        <v>I_VehicleRestrictions</v>
      </c>
      <c r="AR1990" s="233" t="str">
        <f>VLOOKUP(Table8[[#This Row],[Country Code]],Table29[],3,FALSE)</f>
        <v>Non-Annex I</v>
      </c>
      <c r="AS1990" s="233" t="str">
        <f>VLOOKUP(Table8[[#This Row],[Country Code]],Table29[],4,FALSE)</f>
        <v>Africa</v>
      </c>
      <c r="AT1990" s="233" t="str">
        <f>VLOOKUP(Table8[[#This Row],[Country Code]],Table29[],5,FALSE)</f>
        <v>Low-income</v>
      </c>
      <c r="AU1990" s="233" t="str">
        <f>VLOOKUP(Table8[[#This Row],[Country Code]],Table29[],6,FALSE)</f>
        <v>no</v>
      </c>
      <c r="AV1990" s="233" t="str">
        <f>VLOOKUP(Table8[[#This Row],[Country Code]],Table29[],7,FALSE)</f>
        <v>no</v>
      </c>
      <c r="AW1990" s="233" t="str">
        <f>VLOOKUP(Table8[[#This Row],[Country Code]],Table29[],8,FALSE)</f>
        <v>non-OECD</v>
      </c>
      <c r="AX1990" s="233" t="str">
        <f>VLOOKUP(Table8[[#This Row],[Country Code]],Table29[],9,FALSE)</f>
        <v>no</v>
      </c>
      <c r="AY1990" s="233" t="str">
        <f>VLOOKUP(Table8[[#This Row],[Country Code]],Table29[],10,FALSE)</f>
        <v>no</v>
      </c>
      <c r="AZ1990" s="235">
        <f>VLOOKUP(Table8[[#This Row],[Country Code]],Table29[],23,FALSE)</f>
        <v>0</v>
      </c>
      <c r="BA1990" s="235">
        <f>VLOOKUP(Table8[[#This Row],[Country Code]],Table29[],24,FALSE)</f>
        <v>0</v>
      </c>
      <c r="BB1990" s="320"/>
      <c r="BC1990" s="320"/>
    </row>
    <row r="1991" spans="1:55" ht="30" hidden="1" x14ac:dyDescent="0.25">
      <c r="A1991" s="373">
        <v>17741</v>
      </c>
      <c r="B1991" s="233" t="str">
        <f>VLOOKUP(Table8[[#This Row],[Document ID]],Table1[],2,FALSE)</f>
        <v>SSD</v>
      </c>
      <c r="C1991" s="233" t="str">
        <f>VLOOKUP(Table8[[#This Row],[Document ID]],Table1[],3,FALSE)</f>
        <v>South Sudan</v>
      </c>
      <c r="D1991" s="243" t="str">
        <f>VLOOKUP(Table8[[#This Row],[Document ID]],Table1[],5,FALSE)</f>
        <v>NDC</v>
      </c>
      <c r="E1991" s="233" t="str">
        <f>VLOOKUP(Table8[[#This Row],[Document ID]],Table1[],7,FALSE)</f>
        <v>First NDC</v>
      </c>
      <c r="F1991" s="236" t="str">
        <f>VLOOKUP(Table8[[#This Row],[Document ID]],Table1[],8,FALSE)</f>
        <v>NDC 1.0</v>
      </c>
      <c r="G1991" s="236" t="str">
        <f>VLOOKUP(Table8[[#This Row],[Document ID]],Table1[],10,FALSE)</f>
        <v>Archived</v>
      </c>
      <c r="H1991" s="44" t="s">
        <v>2338</v>
      </c>
      <c r="I1991" s="44" t="s">
        <v>2339</v>
      </c>
      <c r="J1991" s="44" t="s">
        <v>2416</v>
      </c>
      <c r="K1991" s="44" t="s">
        <v>4166</v>
      </c>
      <c r="L1991" s="44" t="s">
        <v>2333</v>
      </c>
      <c r="M1991" s="43"/>
      <c r="N1991" s="113"/>
      <c r="O1991" s="113"/>
      <c r="P1991" s="113"/>
      <c r="Q1991" s="319"/>
      <c r="R1991" s="319"/>
      <c r="S1991" s="319"/>
      <c r="T1991" s="319"/>
      <c r="U1991" s="113" t="s">
        <v>1113</v>
      </c>
      <c r="V1991" s="319"/>
      <c r="W1991" s="319"/>
      <c r="X1991" s="319"/>
      <c r="Y1991" s="319"/>
      <c r="Z1991" s="319"/>
      <c r="AA1991" s="319"/>
      <c r="AB1991" s="319"/>
      <c r="AC1991" s="319"/>
      <c r="AD1991" s="319"/>
      <c r="AE1991" s="319"/>
      <c r="AF1991" s="319"/>
      <c r="AG1991" s="319"/>
      <c r="AH1991" s="319"/>
      <c r="AI1991" s="319"/>
      <c r="AJ1991" s="319"/>
      <c r="AK1991" s="319" t="s">
        <v>1113</v>
      </c>
      <c r="AL1991" s="319"/>
      <c r="AM1991" s="319"/>
      <c r="AN1991" s="319"/>
      <c r="AO1991" s="43" t="s">
        <v>2348</v>
      </c>
      <c r="AP1991" s="44"/>
      <c r="AQ1991" s="236" t="str">
        <f>VLOOKUP(Table8[[#This Row],[Instrument]],Def_Targets!$D$73:$E$159,2,FALSE)</f>
        <v>I_Vehiclescrappage</v>
      </c>
      <c r="AR1991" s="233" t="str">
        <f>VLOOKUP(Table8[[#This Row],[Country Code]],Table29[],3,FALSE)</f>
        <v>Non-Annex I</v>
      </c>
      <c r="AS1991" s="233" t="str">
        <f>VLOOKUP(Table8[[#This Row],[Country Code]],Table29[],4,FALSE)</f>
        <v>Africa</v>
      </c>
      <c r="AT1991" s="233" t="str">
        <f>VLOOKUP(Table8[[#This Row],[Country Code]],Table29[],5,FALSE)</f>
        <v>Low-income</v>
      </c>
      <c r="AU1991" s="233" t="str">
        <f>VLOOKUP(Table8[[#This Row],[Country Code]],Table29[],6,FALSE)</f>
        <v>no</v>
      </c>
      <c r="AV1991" s="233" t="str">
        <f>VLOOKUP(Table8[[#This Row],[Country Code]],Table29[],7,FALSE)</f>
        <v>no</v>
      </c>
      <c r="AW1991" s="233" t="str">
        <f>VLOOKUP(Table8[[#This Row],[Country Code]],Table29[],8,FALSE)</f>
        <v>non-OECD</v>
      </c>
      <c r="AX1991" s="233" t="str">
        <f>VLOOKUP(Table8[[#This Row],[Country Code]],Table29[],9,FALSE)</f>
        <v>no</v>
      </c>
      <c r="AY1991" s="233" t="str">
        <f>VLOOKUP(Table8[[#This Row],[Country Code]],Table29[],10,FALSE)</f>
        <v>no</v>
      </c>
      <c r="AZ1991" s="235">
        <f>VLOOKUP(Table8[[#This Row],[Country Code]],Table29[],23,FALSE)</f>
        <v>0</v>
      </c>
      <c r="BA1991" s="235">
        <f>VLOOKUP(Table8[[#This Row],[Country Code]],Table29[],24,FALSE)</f>
        <v>0</v>
      </c>
      <c r="BB1991" s="320"/>
      <c r="BC1991" s="320"/>
    </row>
    <row r="1992" spans="1:55" ht="30" hidden="1" x14ac:dyDescent="0.25">
      <c r="A1992" s="373">
        <v>17741</v>
      </c>
      <c r="B1992" s="233" t="str">
        <f>VLOOKUP(Table8[[#This Row],[Document ID]],Table1[],2,FALSE)</f>
        <v>SSD</v>
      </c>
      <c r="C1992" s="233" t="str">
        <f>VLOOKUP(Table8[[#This Row],[Document ID]],Table1[],3,FALSE)</f>
        <v>South Sudan</v>
      </c>
      <c r="D1992" s="243" t="str">
        <f>VLOOKUP(Table8[[#This Row],[Document ID]],Table1[],5,FALSE)</f>
        <v>NDC</v>
      </c>
      <c r="E1992" s="233" t="str">
        <f>VLOOKUP(Table8[[#This Row],[Document ID]],Table1[],7,FALSE)</f>
        <v>First NDC</v>
      </c>
      <c r="F1992" s="233" t="str">
        <f>VLOOKUP(Table8[[#This Row],[Document ID]],Table1[],8,FALSE)</f>
        <v>NDC 1.0</v>
      </c>
      <c r="G1992" s="233" t="str">
        <f>VLOOKUP(Table8[[#This Row],[Document ID]],Table1[],10,FALSE)</f>
        <v>Archived</v>
      </c>
      <c r="H1992" s="44" t="s">
        <v>2338</v>
      </c>
      <c r="I1992" s="44" t="s">
        <v>2339</v>
      </c>
      <c r="J1992" s="44" t="s">
        <v>2451</v>
      </c>
      <c r="K1992" s="44" t="s">
        <v>4167</v>
      </c>
      <c r="L1992" s="44" t="s">
        <v>2333</v>
      </c>
      <c r="M1992" s="43">
        <v>3</v>
      </c>
      <c r="N1992" s="113"/>
      <c r="O1992" s="113"/>
      <c r="P1992" s="113"/>
      <c r="Q1992" s="113"/>
      <c r="R1992" s="113"/>
      <c r="S1992" s="113" t="s">
        <v>1113</v>
      </c>
      <c r="T1992" s="113"/>
      <c r="U1992" s="113"/>
      <c r="V1992" s="113"/>
      <c r="W1992" s="113"/>
      <c r="X1992" s="113"/>
      <c r="Y1992" s="113"/>
      <c r="Z1992" s="113"/>
      <c r="AA1992" s="113"/>
      <c r="AB1992" s="113"/>
      <c r="AC1992" s="113"/>
      <c r="AD1992" s="113"/>
      <c r="AE1992" s="113"/>
      <c r="AF1992" s="113"/>
      <c r="AG1992" s="113"/>
      <c r="AH1992" s="113"/>
      <c r="AI1992" s="113"/>
      <c r="AJ1992" s="113"/>
      <c r="AK1992" s="319" t="s">
        <v>1113</v>
      </c>
      <c r="AL1992" s="113"/>
      <c r="AM1992" s="113"/>
      <c r="AN1992" s="113"/>
      <c r="AO1992" s="44" t="s">
        <v>2334</v>
      </c>
      <c r="AP1992" s="43"/>
      <c r="AQ1992" s="236" t="str">
        <f>VLOOKUP(Table8[[#This Row],[Instrument]],Def_Targets!$D$73:$E$159,2,FALSE)</f>
        <v>I_Inspection</v>
      </c>
      <c r="AR1992" s="233" t="str">
        <f>VLOOKUP(Table8[[#This Row],[Country Code]],Table29[],3,FALSE)</f>
        <v>Non-Annex I</v>
      </c>
      <c r="AS1992" s="233" t="str">
        <f>VLOOKUP(Table8[[#This Row],[Country Code]],Table29[],4,FALSE)</f>
        <v>Africa</v>
      </c>
      <c r="AT1992" s="233" t="str">
        <f>VLOOKUP(Table8[[#This Row],[Country Code]],Table29[],5,FALSE)</f>
        <v>Low-income</v>
      </c>
      <c r="AU1992" s="233" t="str">
        <f>VLOOKUP(Table8[[#This Row],[Country Code]],Table29[],6,FALSE)</f>
        <v>no</v>
      </c>
      <c r="AV1992" s="233" t="str">
        <f>VLOOKUP(Table8[[#This Row],[Country Code]],Table29[],7,FALSE)</f>
        <v>no</v>
      </c>
      <c r="AW1992" s="233" t="str">
        <f>VLOOKUP(Table8[[#This Row],[Country Code]],Table29[],8,FALSE)</f>
        <v>non-OECD</v>
      </c>
      <c r="AX1992" s="233" t="str">
        <f>VLOOKUP(Table8[[#This Row],[Country Code]],Table29[],9,FALSE)</f>
        <v>no</v>
      </c>
      <c r="AY1992" s="233" t="str">
        <f>VLOOKUP(Table8[[#This Row],[Country Code]],Table29[],10,FALSE)</f>
        <v>no</v>
      </c>
      <c r="AZ1992" s="235">
        <f>VLOOKUP(Table8[[#This Row],[Country Code]],Table29[],23,FALSE)</f>
        <v>0</v>
      </c>
      <c r="BA1992" s="235">
        <f>VLOOKUP(Table8[[#This Row],[Country Code]],Table29[],24,FALSE)</f>
        <v>0</v>
      </c>
      <c r="BB1992" s="320"/>
      <c r="BC1992" s="320"/>
    </row>
    <row r="1993" spans="1:55" s="17" customFormat="1" hidden="1" x14ac:dyDescent="0.25">
      <c r="A1993" s="373">
        <v>22256</v>
      </c>
      <c r="B1993" s="233" t="str">
        <f>VLOOKUP(Table8[[#This Row],[Document ID]],Table1[],2,FALSE)</f>
        <v>SSD</v>
      </c>
      <c r="C1993" s="233" t="str">
        <f>VLOOKUP(Table8[[#This Row],[Document ID]],Table1[],3,FALSE)</f>
        <v>South Sudan</v>
      </c>
      <c r="D1993" s="243" t="str">
        <f>VLOOKUP(Table8[[#This Row],[Document ID]],Table1[],5,FALSE)</f>
        <v>NDC</v>
      </c>
      <c r="E1993" s="233" t="str">
        <f>VLOOKUP(Table8[[#This Row],[Document ID]],Table1[],7,FALSE)</f>
        <v>Second NDC</v>
      </c>
      <c r="F1993" s="233" t="str">
        <f>VLOOKUP(Table8[[#This Row],[Document ID]],Table1[],8,FALSE)</f>
        <v>NDC 2.0</v>
      </c>
      <c r="G1993" s="233" t="str">
        <f>VLOOKUP(Table8[[#This Row],[Document ID]],Table1[],10,FALSE)</f>
        <v>Active</v>
      </c>
      <c r="H1993" s="43" t="s">
        <v>2358</v>
      </c>
      <c r="I1993" s="43" t="s">
        <v>2359</v>
      </c>
      <c r="J1993" s="44" t="s">
        <v>2389</v>
      </c>
      <c r="K1993" s="44" t="s">
        <v>4168</v>
      </c>
      <c r="L1993" s="44" t="s">
        <v>2333</v>
      </c>
      <c r="M1993" s="43">
        <v>118</v>
      </c>
      <c r="N1993" s="113" t="s">
        <v>1113</v>
      </c>
      <c r="O1993" s="113"/>
      <c r="P1993" s="113"/>
      <c r="Q1993" s="113"/>
      <c r="R1993" s="113"/>
      <c r="S1993" s="113"/>
      <c r="T1993" s="113"/>
      <c r="U1993" s="113"/>
      <c r="V1993" s="113"/>
      <c r="W1993" s="113"/>
      <c r="X1993" s="113"/>
      <c r="Y1993" s="113"/>
      <c r="Z1993" s="113"/>
      <c r="AA1993" s="113"/>
      <c r="AB1993" s="113"/>
      <c r="AC1993" s="113"/>
      <c r="AD1993" s="113"/>
      <c r="AE1993" s="113"/>
      <c r="AF1993" s="113"/>
      <c r="AG1993" s="113"/>
      <c r="AH1993" s="113"/>
      <c r="AI1993" s="113"/>
      <c r="AJ1993" s="113"/>
      <c r="AK1993" s="113" t="s">
        <v>1113</v>
      </c>
      <c r="AL1993" s="113"/>
      <c r="AM1993" s="113"/>
      <c r="AN1993" s="113"/>
      <c r="AO1993" s="44" t="s">
        <v>2334</v>
      </c>
      <c r="AP1993" s="43"/>
      <c r="AQ1993" s="236" t="str">
        <f>VLOOKUP(Table8[[#This Row],[Instrument]],Def_Targets!$D$73:$E$159,2,FALSE)</f>
        <v>I_Emobilitypurchase</v>
      </c>
      <c r="AR1993" s="233" t="str">
        <f>VLOOKUP(Table8[[#This Row],[Country Code]],Table29[],3,FALSE)</f>
        <v>Non-Annex I</v>
      </c>
      <c r="AS1993" s="233" t="str">
        <f>VLOOKUP(Table8[[#This Row],[Country Code]],Table29[],4,FALSE)</f>
        <v>Africa</v>
      </c>
      <c r="AT1993" s="233" t="str">
        <f>VLOOKUP(Table8[[#This Row],[Country Code]],Table29[],5,FALSE)</f>
        <v>Low-income</v>
      </c>
      <c r="AU1993" s="233" t="str">
        <f>VLOOKUP(Table8[[#This Row],[Country Code]],Table29[],6,FALSE)</f>
        <v>no</v>
      </c>
      <c r="AV1993" s="233" t="str">
        <f>VLOOKUP(Table8[[#This Row],[Country Code]],Table29[],7,FALSE)</f>
        <v>no</v>
      </c>
      <c r="AW1993" s="233" t="str">
        <f>VLOOKUP(Table8[[#This Row],[Country Code]],Table29[],8,FALSE)</f>
        <v>non-OECD</v>
      </c>
      <c r="AX1993" s="233" t="str">
        <f>VLOOKUP(Table8[[#This Row],[Country Code]],Table29[],9,FALSE)</f>
        <v>no</v>
      </c>
      <c r="AY1993" s="233" t="str">
        <f>VLOOKUP(Table8[[#This Row],[Country Code]],Table29[],10,FALSE)</f>
        <v>no</v>
      </c>
      <c r="AZ1993" s="235">
        <f>VLOOKUP(Table8[[#This Row],[Country Code]],Table29[],23,FALSE)</f>
        <v>0</v>
      </c>
      <c r="BA1993" s="235">
        <f>VLOOKUP(Table8[[#This Row],[Country Code]],Table29[],24,FALSE)</f>
        <v>0</v>
      </c>
      <c r="BB1993" s="320"/>
      <c r="BC1993" s="320"/>
    </row>
    <row r="1994" spans="1:55" s="17" customFormat="1" ht="21.6" hidden="1" customHeight="1" x14ac:dyDescent="0.25">
      <c r="A1994" s="373">
        <v>22256</v>
      </c>
      <c r="B1994" s="233" t="str">
        <f>VLOOKUP(Table8[[#This Row],[Document ID]],Table1[],2,FALSE)</f>
        <v>SSD</v>
      </c>
      <c r="C1994" s="233" t="str">
        <f>VLOOKUP(Table8[[#This Row],[Document ID]],Table1[],3,FALSE)</f>
        <v>South Sudan</v>
      </c>
      <c r="D1994" s="243" t="str">
        <f>VLOOKUP(Table8[[#This Row],[Document ID]],Table1[],5,FALSE)</f>
        <v>NDC</v>
      </c>
      <c r="E1994" s="233" t="str">
        <f>VLOOKUP(Table8[[#This Row],[Document ID]],Table1[],7,FALSE)</f>
        <v>Second NDC</v>
      </c>
      <c r="F1994" s="233" t="str">
        <f>VLOOKUP(Table8[[#This Row],[Document ID]],Table1[],8,FALSE)</f>
        <v>NDC 2.0</v>
      </c>
      <c r="G1994" s="233" t="str">
        <f>VLOOKUP(Table8[[#This Row],[Document ID]],Table1[],10,FALSE)</f>
        <v>Active</v>
      </c>
      <c r="H1994" s="43" t="s">
        <v>2358</v>
      </c>
      <c r="I1994" s="43" t="s">
        <v>2359</v>
      </c>
      <c r="J1994" s="44" t="s">
        <v>2360</v>
      </c>
      <c r="K1994" s="44" t="s">
        <v>4169</v>
      </c>
      <c r="L1994" s="44" t="s">
        <v>2471</v>
      </c>
      <c r="M1994" s="43">
        <v>118</v>
      </c>
      <c r="N1994" s="113"/>
      <c r="O1994" s="113"/>
      <c r="P1994" s="113"/>
      <c r="Q1994" s="113"/>
      <c r="R1994" s="113"/>
      <c r="S1994" s="113"/>
      <c r="T1994" s="113"/>
      <c r="U1994" s="113"/>
      <c r="V1994" s="113"/>
      <c r="W1994" s="113"/>
      <c r="X1994" s="113"/>
      <c r="Y1994" s="113"/>
      <c r="Z1994" s="113" t="s">
        <v>1113</v>
      </c>
      <c r="AA1994" s="113"/>
      <c r="AB1994" s="113"/>
      <c r="AC1994" s="113"/>
      <c r="AD1994" s="113"/>
      <c r="AE1994" s="113"/>
      <c r="AF1994" s="113"/>
      <c r="AG1994" s="113"/>
      <c r="AH1994" s="113"/>
      <c r="AI1994" s="113"/>
      <c r="AJ1994" s="113"/>
      <c r="AK1994" s="113"/>
      <c r="AL1994" s="113"/>
      <c r="AM1994" s="113" t="s">
        <v>1113</v>
      </c>
      <c r="AN1994" s="113"/>
      <c r="AO1994" s="44" t="s">
        <v>2334</v>
      </c>
      <c r="AP1994" s="43"/>
      <c r="AQ1994" s="236" t="str">
        <f>VLOOKUP(Table8[[#This Row],[Instrument]],Def_Targets!$D$73:$E$159,2,FALSE)</f>
        <v>I_Emobility</v>
      </c>
      <c r="AR1994" s="233" t="str">
        <f>VLOOKUP(Table8[[#This Row],[Country Code]],Table29[],3,FALSE)</f>
        <v>Non-Annex I</v>
      </c>
      <c r="AS1994" s="233" t="str">
        <f>VLOOKUP(Table8[[#This Row],[Country Code]],Table29[],4,FALSE)</f>
        <v>Africa</v>
      </c>
      <c r="AT1994" s="233" t="str">
        <f>VLOOKUP(Table8[[#This Row],[Country Code]],Table29[],5,FALSE)</f>
        <v>Low-income</v>
      </c>
      <c r="AU1994" s="233" t="str">
        <f>VLOOKUP(Table8[[#This Row],[Country Code]],Table29[],6,FALSE)</f>
        <v>no</v>
      </c>
      <c r="AV1994" s="233" t="str">
        <f>VLOOKUP(Table8[[#This Row],[Country Code]],Table29[],7,FALSE)</f>
        <v>no</v>
      </c>
      <c r="AW1994" s="233" t="str">
        <f>VLOOKUP(Table8[[#This Row],[Country Code]],Table29[],8,FALSE)</f>
        <v>non-OECD</v>
      </c>
      <c r="AX1994" s="233" t="str">
        <f>VLOOKUP(Table8[[#This Row],[Country Code]],Table29[],9,FALSE)</f>
        <v>no</v>
      </c>
      <c r="AY1994" s="233" t="str">
        <f>VLOOKUP(Table8[[#This Row],[Country Code]],Table29[],10,FALSE)</f>
        <v>no</v>
      </c>
      <c r="AZ1994" s="235">
        <f>VLOOKUP(Table8[[#This Row],[Country Code]],Table29[],23,FALSE)</f>
        <v>0</v>
      </c>
      <c r="BA1994" s="235">
        <f>VLOOKUP(Table8[[#This Row],[Country Code]],Table29[],24,FALSE)</f>
        <v>0</v>
      </c>
      <c r="BB1994" s="320"/>
      <c r="BC1994" s="320"/>
    </row>
    <row r="1995" spans="1:55" ht="21.6" hidden="1" customHeight="1" x14ac:dyDescent="0.25">
      <c r="A1995" s="373">
        <v>22256</v>
      </c>
      <c r="B1995" s="233" t="str">
        <f>VLOOKUP(Table8[[#This Row],[Document ID]],Table1[],2,FALSE)</f>
        <v>SSD</v>
      </c>
      <c r="C1995" s="233" t="str">
        <f>VLOOKUP(Table8[[#This Row],[Document ID]],Table1[],3,FALSE)</f>
        <v>South Sudan</v>
      </c>
      <c r="D1995" s="243" t="str">
        <f>VLOOKUP(Table8[[#This Row],[Document ID]],Table1[],5,FALSE)</f>
        <v>NDC</v>
      </c>
      <c r="E1995" s="233" t="str">
        <f>VLOOKUP(Table8[[#This Row],[Document ID]],Table1[],7,FALSE)</f>
        <v>Second NDC</v>
      </c>
      <c r="F1995" s="233" t="str">
        <f>VLOOKUP(Table8[[#This Row],[Document ID]],Table1[],8,FALSE)</f>
        <v>NDC 2.0</v>
      </c>
      <c r="G1995" s="233" t="str">
        <f>VLOOKUP(Table8[[#This Row],[Document ID]],Table1[],10,FALSE)</f>
        <v>Active</v>
      </c>
      <c r="H1995" s="43" t="s">
        <v>2350</v>
      </c>
      <c r="I1995" s="43" t="s">
        <v>2456</v>
      </c>
      <c r="J1995" s="44" t="s">
        <v>2466</v>
      </c>
      <c r="K1995" s="44" t="s">
        <v>4169</v>
      </c>
      <c r="L1995" s="44" t="s">
        <v>2471</v>
      </c>
      <c r="M1995" s="43">
        <v>118</v>
      </c>
      <c r="N1995" s="113"/>
      <c r="O1995" s="113"/>
      <c r="P1995" s="113"/>
      <c r="Q1995" s="113"/>
      <c r="R1995" s="113"/>
      <c r="S1995" s="113"/>
      <c r="T1995" s="113"/>
      <c r="U1995" s="113"/>
      <c r="V1995" s="113"/>
      <c r="W1995" s="113"/>
      <c r="X1995" s="113"/>
      <c r="Y1995" s="113"/>
      <c r="Z1995" s="113" t="s">
        <v>1113</v>
      </c>
      <c r="AA1995" s="113"/>
      <c r="AB1995" s="113"/>
      <c r="AC1995" s="113"/>
      <c r="AD1995" s="113"/>
      <c r="AE1995" s="113"/>
      <c r="AF1995" s="113"/>
      <c r="AG1995" s="113"/>
      <c r="AH1995" s="113"/>
      <c r="AI1995" s="113"/>
      <c r="AJ1995" s="113"/>
      <c r="AK1995" s="113"/>
      <c r="AL1995" s="113"/>
      <c r="AM1995" s="113" t="s">
        <v>1113</v>
      </c>
      <c r="AN1995" s="113"/>
      <c r="AO1995" s="44" t="s">
        <v>2334</v>
      </c>
      <c r="AP1995" s="43"/>
      <c r="AQ1995" s="236" t="str">
        <f>VLOOKUP(Table8[[#This Row],[Instrument]],Def_Targets!$D$73:$E$159,2,FALSE)</f>
        <v>S_Infraexpansion</v>
      </c>
      <c r="AR1995" s="233" t="str">
        <f>VLOOKUP(Table8[[#This Row],[Country Code]],Table29[],3,FALSE)</f>
        <v>Non-Annex I</v>
      </c>
      <c r="AS1995" s="233" t="str">
        <f>VLOOKUP(Table8[[#This Row],[Country Code]],Table29[],4,FALSE)</f>
        <v>Africa</v>
      </c>
      <c r="AT1995" s="233" t="str">
        <f>VLOOKUP(Table8[[#This Row],[Country Code]],Table29[],5,FALSE)</f>
        <v>Low-income</v>
      </c>
      <c r="AU1995" s="233" t="str">
        <f>VLOOKUP(Table8[[#This Row],[Country Code]],Table29[],6,FALSE)</f>
        <v>no</v>
      </c>
      <c r="AV1995" s="233" t="str">
        <f>VLOOKUP(Table8[[#This Row],[Country Code]],Table29[],7,FALSE)</f>
        <v>no</v>
      </c>
      <c r="AW1995" s="233" t="str">
        <f>VLOOKUP(Table8[[#This Row],[Country Code]],Table29[],8,FALSE)</f>
        <v>non-OECD</v>
      </c>
      <c r="AX1995" s="233" t="str">
        <f>VLOOKUP(Table8[[#This Row],[Country Code]],Table29[],9,FALSE)</f>
        <v>no</v>
      </c>
      <c r="AY1995" s="233" t="str">
        <f>VLOOKUP(Table8[[#This Row],[Country Code]],Table29[],10,FALSE)</f>
        <v>no</v>
      </c>
      <c r="AZ1995" s="235">
        <f>VLOOKUP(Table8[[#This Row],[Country Code]],Table29[],23,FALSE)</f>
        <v>0</v>
      </c>
      <c r="BA1995" s="235">
        <f>VLOOKUP(Table8[[#This Row],[Country Code]],Table29[],24,FALSE)</f>
        <v>0</v>
      </c>
      <c r="BB1995" s="320"/>
      <c r="BC1995" s="320"/>
    </row>
    <row r="1996" spans="1:55" ht="21.6" hidden="1" customHeight="1" x14ac:dyDescent="0.25">
      <c r="A1996" s="373">
        <v>22256</v>
      </c>
      <c r="B1996" s="233" t="str">
        <f>VLOOKUP(Table8[[#This Row],[Document ID]],Table1[],2,FALSE)</f>
        <v>SSD</v>
      </c>
      <c r="C1996" s="233" t="str">
        <f>VLOOKUP(Table8[[#This Row],[Document ID]],Table1[],3,FALSE)</f>
        <v>South Sudan</v>
      </c>
      <c r="D1996" s="243" t="str">
        <f>VLOOKUP(Table8[[#This Row],[Document ID]],Table1[],5,FALSE)</f>
        <v>NDC</v>
      </c>
      <c r="E1996" s="233" t="str">
        <f>VLOOKUP(Table8[[#This Row],[Document ID]],Table1[],7,FALSE)</f>
        <v>Second NDC</v>
      </c>
      <c r="F1996" s="233" t="str">
        <f>VLOOKUP(Table8[[#This Row],[Document ID]],Table1[],8,FALSE)</f>
        <v>NDC 2.0</v>
      </c>
      <c r="G1996" s="233" t="str">
        <f>VLOOKUP(Table8[[#This Row],[Document ID]],Table1[],10,FALSE)</f>
        <v>Active</v>
      </c>
      <c r="H1996" s="44" t="s">
        <v>2338</v>
      </c>
      <c r="I1996" s="44" t="s">
        <v>2339</v>
      </c>
      <c r="J1996" s="44" t="s">
        <v>2340</v>
      </c>
      <c r="K1996" s="44" t="s">
        <v>4170</v>
      </c>
      <c r="L1996" s="44" t="s">
        <v>2333</v>
      </c>
      <c r="M1996" s="43">
        <v>118</v>
      </c>
      <c r="N1996" s="113"/>
      <c r="O1996" s="113"/>
      <c r="P1996" s="113"/>
      <c r="Q1996" s="113"/>
      <c r="R1996" s="113"/>
      <c r="S1996" s="113" t="s">
        <v>1113</v>
      </c>
      <c r="T1996" s="113"/>
      <c r="U1996" s="113"/>
      <c r="V1996" s="113"/>
      <c r="W1996" s="113"/>
      <c r="X1996" s="113"/>
      <c r="Y1996" s="113"/>
      <c r="Z1996" s="113"/>
      <c r="AA1996" s="113"/>
      <c r="AB1996" s="113"/>
      <c r="AC1996" s="113"/>
      <c r="AD1996" s="113"/>
      <c r="AE1996" s="113"/>
      <c r="AF1996" s="113"/>
      <c r="AG1996" s="113"/>
      <c r="AH1996" s="113"/>
      <c r="AI1996" s="113"/>
      <c r="AJ1996" s="113"/>
      <c r="AK1996" s="113" t="s">
        <v>1113</v>
      </c>
      <c r="AL1996" s="113"/>
      <c r="AM1996" s="113"/>
      <c r="AN1996" s="113"/>
      <c r="AO1996" s="44" t="s">
        <v>2334</v>
      </c>
      <c r="AP1996" s="43"/>
      <c r="AQ1996" s="236" t="str">
        <f>VLOOKUP(Table8[[#This Row],[Instrument]],Def_Targets!$D$73:$E$159,2,FALSE)</f>
        <v>I_Vehicleimprove</v>
      </c>
      <c r="AR1996" s="233" t="str">
        <f>VLOOKUP(Table8[[#This Row],[Country Code]],Table29[],3,FALSE)</f>
        <v>Non-Annex I</v>
      </c>
      <c r="AS1996" s="233" t="str">
        <f>VLOOKUP(Table8[[#This Row],[Country Code]],Table29[],4,FALSE)</f>
        <v>Africa</v>
      </c>
      <c r="AT1996" s="233" t="str">
        <f>VLOOKUP(Table8[[#This Row],[Country Code]],Table29[],5,FALSE)</f>
        <v>Low-income</v>
      </c>
      <c r="AU1996" s="233" t="str">
        <f>VLOOKUP(Table8[[#This Row],[Country Code]],Table29[],6,FALSE)</f>
        <v>no</v>
      </c>
      <c r="AV1996" s="233" t="str">
        <f>VLOOKUP(Table8[[#This Row],[Country Code]],Table29[],7,FALSE)</f>
        <v>no</v>
      </c>
      <c r="AW1996" s="233" t="str">
        <f>VLOOKUP(Table8[[#This Row],[Country Code]],Table29[],8,FALSE)</f>
        <v>non-OECD</v>
      </c>
      <c r="AX1996" s="233" t="str">
        <f>VLOOKUP(Table8[[#This Row],[Country Code]],Table29[],9,FALSE)</f>
        <v>no</v>
      </c>
      <c r="AY1996" s="233" t="str">
        <f>VLOOKUP(Table8[[#This Row],[Country Code]],Table29[],10,FALSE)</f>
        <v>no</v>
      </c>
      <c r="AZ1996" s="235">
        <f>VLOOKUP(Table8[[#This Row],[Country Code]],Table29[],23,FALSE)</f>
        <v>0</v>
      </c>
      <c r="BA1996" s="235">
        <f>VLOOKUP(Table8[[#This Row],[Country Code]],Table29[],24,FALSE)</f>
        <v>0</v>
      </c>
      <c r="BB1996" s="320"/>
      <c r="BC1996" s="320"/>
    </row>
    <row r="1997" spans="1:55" ht="21.6" hidden="1" customHeight="1" x14ac:dyDescent="0.25">
      <c r="A1997" s="373">
        <v>22256</v>
      </c>
      <c r="B1997" s="233" t="str">
        <f>VLOOKUP(Table8[[#This Row],[Document ID]],Table1[],2,FALSE)</f>
        <v>SSD</v>
      </c>
      <c r="C1997" s="233" t="str">
        <f>VLOOKUP(Table8[[#This Row],[Document ID]],Table1[],3,FALSE)</f>
        <v>South Sudan</v>
      </c>
      <c r="D1997" s="243" t="str">
        <f>VLOOKUP(Table8[[#This Row],[Document ID]],Table1[],5,FALSE)</f>
        <v>NDC</v>
      </c>
      <c r="E1997" s="233" t="str">
        <f>VLOOKUP(Table8[[#This Row],[Document ID]],Table1[],7,FALSE)</f>
        <v>Second NDC</v>
      </c>
      <c r="F1997" s="233" t="str">
        <f>VLOOKUP(Table8[[#This Row],[Document ID]],Table1[],8,FALSE)</f>
        <v>NDC 2.0</v>
      </c>
      <c r="G1997" s="233" t="str">
        <f>VLOOKUP(Table8[[#This Row],[Document ID]],Table1[],10,FALSE)</f>
        <v>Active</v>
      </c>
      <c r="H1997" s="44" t="s">
        <v>2338</v>
      </c>
      <c r="I1997" s="44" t="s">
        <v>2339</v>
      </c>
      <c r="J1997" s="44" t="s">
        <v>2451</v>
      </c>
      <c r="K1997" s="44" t="s">
        <v>4170</v>
      </c>
      <c r="L1997" s="44" t="s">
        <v>2333</v>
      </c>
      <c r="M1997" s="43">
        <v>118</v>
      </c>
      <c r="N1997" s="113"/>
      <c r="O1997" s="113"/>
      <c r="P1997" s="113"/>
      <c r="Q1997" s="113"/>
      <c r="R1997" s="113"/>
      <c r="S1997" s="113" t="s">
        <v>1113</v>
      </c>
      <c r="T1997" s="113"/>
      <c r="U1997" s="113"/>
      <c r="V1997" s="113"/>
      <c r="W1997" s="113"/>
      <c r="X1997" s="113"/>
      <c r="Y1997" s="113"/>
      <c r="Z1997" s="113"/>
      <c r="AA1997" s="113"/>
      <c r="AB1997" s="113"/>
      <c r="AC1997" s="113"/>
      <c r="AD1997" s="113"/>
      <c r="AE1997" s="113"/>
      <c r="AF1997" s="113"/>
      <c r="AG1997" s="113"/>
      <c r="AH1997" s="113"/>
      <c r="AI1997" s="113"/>
      <c r="AJ1997" s="113"/>
      <c r="AK1997" s="113" t="s">
        <v>1113</v>
      </c>
      <c r="AL1997" s="113"/>
      <c r="AM1997" s="113"/>
      <c r="AN1997" s="113"/>
      <c r="AO1997" s="44" t="s">
        <v>2334</v>
      </c>
      <c r="AP1997" s="43"/>
      <c r="AQ1997" s="236" t="str">
        <f>VLOOKUP(Table8[[#This Row],[Instrument]],Def_Targets!$D$73:$E$159,2,FALSE)</f>
        <v>I_Inspection</v>
      </c>
      <c r="AR1997" s="233" t="str">
        <f>VLOOKUP(Table8[[#This Row],[Country Code]],Table29[],3,FALSE)</f>
        <v>Non-Annex I</v>
      </c>
      <c r="AS1997" s="233" t="str">
        <f>VLOOKUP(Table8[[#This Row],[Country Code]],Table29[],4,FALSE)</f>
        <v>Africa</v>
      </c>
      <c r="AT1997" s="233" t="str">
        <f>VLOOKUP(Table8[[#This Row],[Country Code]],Table29[],5,FALSE)</f>
        <v>Low-income</v>
      </c>
      <c r="AU1997" s="233" t="str">
        <f>VLOOKUP(Table8[[#This Row],[Country Code]],Table29[],6,FALSE)</f>
        <v>no</v>
      </c>
      <c r="AV1997" s="233" t="str">
        <f>VLOOKUP(Table8[[#This Row],[Country Code]],Table29[],7,FALSE)</f>
        <v>no</v>
      </c>
      <c r="AW1997" s="233" t="str">
        <f>VLOOKUP(Table8[[#This Row],[Country Code]],Table29[],8,FALSE)</f>
        <v>non-OECD</v>
      </c>
      <c r="AX1997" s="233" t="str">
        <f>VLOOKUP(Table8[[#This Row],[Country Code]],Table29[],9,FALSE)</f>
        <v>no</v>
      </c>
      <c r="AY1997" s="233" t="str">
        <f>VLOOKUP(Table8[[#This Row],[Country Code]],Table29[],10,FALSE)</f>
        <v>no</v>
      </c>
      <c r="AZ1997" s="235">
        <f>VLOOKUP(Table8[[#This Row],[Country Code]],Table29[],23,FALSE)</f>
        <v>0</v>
      </c>
      <c r="BA1997" s="235">
        <f>VLOOKUP(Table8[[#This Row],[Country Code]],Table29[],24,FALSE)</f>
        <v>0</v>
      </c>
      <c r="BB1997" s="320"/>
      <c r="BC1997" s="320"/>
    </row>
    <row r="1998" spans="1:55" ht="21.6" hidden="1" customHeight="1" x14ac:dyDescent="0.25">
      <c r="A1998" s="373">
        <v>22256</v>
      </c>
      <c r="B1998" s="233" t="str">
        <f>VLOOKUP(Table8[[#This Row],[Document ID]],Table1[],2,FALSE)</f>
        <v>SSD</v>
      </c>
      <c r="C1998" s="233" t="str">
        <f>VLOOKUP(Table8[[#This Row],[Document ID]],Table1[],3,FALSE)</f>
        <v>South Sudan</v>
      </c>
      <c r="D1998" s="243" t="str">
        <f>VLOOKUP(Table8[[#This Row],[Document ID]],Table1[],5,FALSE)</f>
        <v>NDC</v>
      </c>
      <c r="E1998" s="233" t="str">
        <f>VLOOKUP(Table8[[#This Row],[Document ID]],Table1[],7,FALSE)</f>
        <v>Second NDC</v>
      </c>
      <c r="F1998" s="233" t="str">
        <f>VLOOKUP(Table8[[#This Row],[Document ID]],Table1[],8,FALSE)</f>
        <v>NDC 2.0</v>
      </c>
      <c r="G1998" s="233" t="str">
        <f>VLOOKUP(Table8[[#This Row],[Document ID]],Table1[],10,FALSE)</f>
        <v>Active</v>
      </c>
      <c r="H1998" s="43" t="s">
        <v>2350</v>
      </c>
      <c r="I1998" s="43" t="s">
        <v>2407</v>
      </c>
      <c r="J1998" s="44" t="s">
        <v>2408</v>
      </c>
      <c r="K1998" s="44" t="s">
        <v>4171</v>
      </c>
      <c r="L1998" s="44" t="s">
        <v>2347</v>
      </c>
      <c r="M1998" s="43">
        <v>118</v>
      </c>
      <c r="N1998" s="113"/>
      <c r="O1998" s="113"/>
      <c r="P1998" s="113"/>
      <c r="Q1998" s="113"/>
      <c r="R1998" s="113"/>
      <c r="S1998" s="113"/>
      <c r="T1998" s="113"/>
      <c r="U1998" s="113" t="s">
        <v>1113</v>
      </c>
      <c r="V1998" s="113"/>
      <c r="W1998" s="113"/>
      <c r="X1998" s="113"/>
      <c r="Y1998" s="113" t="s">
        <v>1113</v>
      </c>
      <c r="Z1998" s="113"/>
      <c r="AA1998" s="113"/>
      <c r="AB1998" s="113"/>
      <c r="AC1998" s="113" t="s">
        <v>1113</v>
      </c>
      <c r="AD1998" s="113"/>
      <c r="AE1998" s="113"/>
      <c r="AF1998" s="113"/>
      <c r="AG1998" s="113"/>
      <c r="AH1998" s="113"/>
      <c r="AI1998" s="113"/>
      <c r="AJ1998" s="113"/>
      <c r="AK1998" s="113" t="s">
        <v>1113</v>
      </c>
      <c r="AL1998" s="113"/>
      <c r="AM1998" s="113"/>
      <c r="AN1998" s="113"/>
      <c r="AO1998" s="43" t="s">
        <v>2348</v>
      </c>
      <c r="AP1998" s="43"/>
      <c r="AQ1998" s="236" t="str">
        <f>VLOOKUP(Table8[[#This Row],[Instrument]],Def_Targets!$D$73:$E$159,2,FALSE)</f>
        <v>I_Education</v>
      </c>
      <c r="AR1998" s="233" t="str">
        <f>VLOOKUP(Table8[[#This Row],[Country Code]],Table29[],3,FALSE)</f>
        <v>Non-Annex I</v>
      </c>
      <c r="AS1998" s="233" t="str">
        <f>VLOOKUP(Table8[[#This Row],[Country Code]],Table29[],4,FALSE)</f>
        <v>Africa</v>
      </c>
      <c r="AT1998" s="233" t="str">
        <f>VLOOKUP(Table8[[#This Row],[Country Code]],Table29[],5,FALSE)</f>
        <v>Low-income</v>
      </c>
      <c r="AU1998" s="233" t="str">
        <f>VLOOKUP(Table8[[#This Row],[Country Code]],Table29[],6,FALSE)</f>
        <v>no</v>
      </c>
      <c r="AV1998" s="233" t="str">
        <f>VLOOKUP(Table8[[#This Row],[Country Code]],Table29[],7,FALSE)</f>
        <v>no</v>
      </c>
      <c r="AW1998" s="233" t="str">
        <f>VLOOKUP(Table8[[#This Row],[Country Code]],Table29[],8,FALSE)</f>
        <v>non-OECD</v>
      </c>
      <c r="AX1998" s="233" t="str">
        <f>VLOOKUP(Table8[[#This Row],[Country Code]],Table29[],9,FALSE)</f>
        <v>no</v>
      </c>
      <c r="AY1998" s="233" t="str">
        <f>VLOOKUP(Table8[[#This Row],[Country Code]],Table29[],10,FALSE)</f>
        <v>no</v>
      </c>
      <c r="AZ1998" s="235">
        <f>VLOOKUP(Table8[[#This Row],[Country Code]],Table29[],23,FALSE)</f>
        <v>0</v>
      </c>
      <c r="BA1998" s="235">
        <f>VLOOKUP(Table8[[#This Row],[Country Code]],Table29[],24,FALSE)</f>
        <v>0</v>
      </c>
      <c r="BB1998" s="320"/>
      <c r="BC1998" s="320"/>
    </row>
    <row r="1999" spans="1:55" ht="21.6" hidden="1" customHeight="1" x14ac:dyDescent="0.25">
      <c r="A1999" s="373">
        <v>22256</v>
      </c>
      <c r="B1999" s="233" t="str">
        <f>VLOOKUP(Table8[[#This Row],[Document ID]],Table1[],2,FALSE)</f>
        <v>SSD</v>
      </c>
      <c r="C1999" s="233" t="str">
        <f>VLOOKUP(Table8[[#This Row],[Document ID]],Table1[],3,FALSE)</f>
        <v>South Sudan</v>
      </c>
      <c r="D1999" s="243" t="str">
        <f>VLOOKUP(Table8[[#This Row],[Document ID]],Table1[],5,FALSE)</f>
        <v>NDC</v>
      </c>
      <c r="E1999" s="233" t="str">
        <f>VLOOKUP(Table8[[#This Row],[Document ID]],Table1[],7,FALSE)</f>
        <v>Second NDC</v>
      </c>
      <c r="F1999" s="233" t="str">
        <f>VLOOKUP(Table8[[#This Row],[Document ID]],Table1[],8,FALSE)</f>
        <v>NDC 2.0</v>
      </c>
      <c r="G1999" s="233" t="str">
        <f>VLOOKUP(Table8[[#This Row],[Document ID]],Table1[],10,FALSE)</f>
        <v>Active</v>
      </c>
      <c r="H1999" s="43" t="s">
        <v>2350</v>
      </c>
      <c r="I1999" s="43" t="s">
        <v>2370</v>
      </c>
      <c r="J1999" s="44" t="s">
        <v>2418</v>
      </c>
      <c r="K1999" s="44" t="s">
        <v>4172</v>
      </c>
      <c r="L1999" s="44" t="s">
        <v>2333</v>
      </c>
      <c r="M1999" s="43">
        <v>118</v>
      </c>
      <c r="N1999" s="113" t="s">
        <v>1113</v>
      </c>
      <c r="O1999" s="113"/>
      <c r="P1999" s="113"/>
      <c r="Q1999" s="113"/>
      <c r="R1999" s="113"/>
      <c r="S1999" s="113"/>
      <c r="T1999" s="113"/>
      <c r="U1999" s="113"/>
      <c r="V1999" s="113"/>
      <c r="W1999" s="113"/>
      <c r="X1999" s="113"/>
      <c r="Y1999" s="113"/>
      <c r="Z1999" s="113"/>
      <c r="AA1999" s="113"/>
      <c r="AB1999" s="113"/>
      <c r="AC1999" s="113"/>
      <c r="AD1999" s="113"/>
      <c r="AE1999" s="113"/>
      <c r="AF1999" s="113"/>
      <c r="AG1999" s="113"/>
      <c r="AH1999" s="113"/>
      <c r="AI1999" s="113"/>
      <c r="AJ1999" s="113"/>
      <c r="AK1999" s="113" t="s">
        <v>1113</v>
      </c>
      <c r="AL1999" s="113"/>
      <c r="AM1999" s="113"/>
      <c r="AN1999" s="113"/>
      <c r="AO1999" s="44" t="s">
        <v>2334</v>
      </c>
      <c r="AP1999" s="43"/>
      <c r="AQ1999" s="236" t="str">
        <f>VLOOKUP(Table8[[#This Row],[Instrument]],Def_Targets!$D$73:$E$159,2,FALSE)</f>
        <v>A_Complan</v>
      </c>
      <c r="AR1999" s="233" t="str">
        <f>VLOOKUP(Table8[[#This Row],[Country Code]],Table29[],3,FALSE)</f>
        <v>Non-Annex I</v>
      </c>
      <c r="AS1999" s="233" t="str">
        <f>VLOOKUP(Table8[[#This Row],[Country Code]],Table29[],4,FALSE)</f>
        <v>Africa</v>
      </c>
      <c r="AT1999" s="233" t="str">
        <f>VLOOKUP(Table8[[#This Row],[Country Code]],Table29[],5,FALSE)</f>
        <v>Low-income</v>
      </c>
      <c r="AU1999" s="233" t="str">
        <f>VLOOKUP(Table8[[#This Row],[Country Code]],Table29[],6,FALSE)</f>
        <v>no</v>
      </c>
      <c r="AV1999" s="233" t="str">
        <f>VLOOKUP(Table8[[#This Row],[Country Code]],Table29[],7,FALSE)</f>
        <v>no</v>
      </c>
      <c r="AW1999" s="233" t="str">
        <f>VLOOKUP(Table8[[#This Row],[Country Code]],Table29[],8,FALSE)</f>
        <v>non-OECD</v>
      </c>
      <c r="AX1999" s="233" t="str">
        <f>VLOOKUP(Table8[[#This Row],[Country Code]],Table29[],9,FALSE)</f>
        <v>no</v>
      </c>
      <c r="AY1999" s="233" t="str">
        <f>VLOOKUP(Table8[[#This Row],[Country Code]],Table29[],10,FALSE)</f>
        <v>no</v>
      </c>
      <c r="AZ1999" s="235">
        <f>VLOOKUP(Table8[[#This Row],[Country Code]],Table29[],23,FALSE)</f>
        <v>0</v>
      </c>
      <c r="BA1999" s="235">
        <f>VLOOKUP(Table8[[#This Row],[Country Code]],Table29[],24,FALSE)</f>
        <v>0</v>
      </c>
      <c r="BB1999" s="320"/>
      <c r="BC1999" s="320"/>
    </row>
    <row r="2000" spans="1:55" ht="21.6" hidden="1" customHeight="1" x14ac:dyDescent="0.25">
      <c r="A2000" s="373">
        <v>22256</v>
      </c>
      <c r="B2000" s="233" t="str">
        <f>VLOOKUP(Table8[[#This Row],[Document ID]],Table1[],2,FALSE)</f>
        <v>SSD</v>
      </c>
      <c r="C2000" s="233" t="str">
        <f>VLOOKUP(Table8[[#This Row],[Document ID]],Table1[],3,FALSE)</f>
        <v>South Sudan</v>
      </c>
      <c r="D2000" s="243" t="str">
        <f>VLOOKUP(Table8[[#This Row],[Document ID]],Table1[],5,FALSE)</f>
        <v>NDC</v>
      </c>
      <c r="E2000" s="233" t="str">
        <f>VLOOKUP(Table8[[#This Row],[Document ID]],Table1[],7,FALSE)</f>
        <v>Second NDC</v>
      </c>
      <c r="F2000" s="233" t="str">
        <f>VLOOKUP(Table8[[#This Row],[Document ID]],Table1[],8,FALSE)</f>
        <v>NDC 2.0</v>
      </c>
      <c r="G2000" s="233" t="str">
        <f>VLOOKUP(Table8[[#This Row],[Document ID]],Table1[],10,FALSE)</f>
        <v>Active</v>
      </c>
      <c r="H2000" s="44" t="s">
        <v>2329</v>
      </c>
      <c r="I2000" s="44" t="s">
        <v>2330</v>
      </c>
      <c r="J2000" s="44" t="s">
        <v>2381</v>
      </c>
      <c r="K2000" s="44" t="s">
        <v>4172</v>
      </c>
      <c r="L2000" s="44" t="s">
        <v>2333</v>
      </c>
      <c r="M2000" s="43">
        <v>118</v>
      </c>
      <c r="N2000" s="113" t="s">
        <v>1113</v>
      </c>
      <c r="O2000" s="113"/>
      <c r="P2000" s="113"/>
      <c r="Q2000" s="113"/>
      <c r="R2000" s="113"/>
      <c r="S2000" s="113"/>
      <c r="T2000" s="113"/>
      <c r="U2000" s="113"/>
      <c r="V2000" s="113"/>
      <c r="W2000" s="113"/>
      <c r="X2000" s="113"/>
      <c r="Y2000" s="113"/>
      <c r="Z2000" s="113"/>
      <c r="AA2000" s="113"/>
      <c r="AB2000" s="113"/>
      <c r="AC2000" s="113"/>
      <c r="AD2000" s="113"/>
      <c r="AE2000" s="113"/>
      <c r="AF2000" s="113"/>
      <c r="AG2000" s="113"/>
      <c r="AH2000" s="113"/>
      <c r="AI2000" s="113"/>
      <c r="AJ2000" s="113"/>
      <c r="AK2000" s="113" t="s">
        <v>1113</v>
      </c>
      <c r="AL2000" s="113"/>
      <c r="AM2000" s="113"/>
      <c r="AN2000" s="113"/>
      <c r="AO2000" s="44" t="s">
        <v>2334</v>
      </c>
      <c r="AP2000" s="43"/>
      <c r="AQ2000" s="236" t="str">
        <f>VLOOKUP(Table8[[#This Row],[Instrument]],Def_Targets!$D$73:$E$159,2,FALSE)</f>
        <v>I_RE</v>
      </c>
      <c r="AR2000" s="233" t="str">
        <f>VLOOKUP(Table8[[#This Row],[Country Code]],Table29[],3,FALSE)</f>
        <v>Non-Annex I</v>
      </c>
      <c r="AS2000" s="233" t="str">
        <f>VLOOKUP(Table8[[#This Row],[Country Code]],Table29[],4,FALSE)</f>
        <v>Africa</v>
      </c>
      <c r="AT2000" s="233" t="str">
        <f>VLOOKUP(Table8[[#This Row],[Country Code]],Table29[],5,FALSE)</f>
        <v>Low-income</v>
      </c>
      <c r="AU2000" s="233" t="str">
        <f>VLOOKUP(Table8[[#This Row],[Country Code]],Table29[],6,FALSE)</f>
        <v>no</v>
      </c>
      <c r="AV2000" s="233" t="str">
        <f>VLOOKUP(Table8[[#This Row],[Country Code]],Table29[],7,FALSE)</f>
        <v>no</v>
      </c>
      <c r="AW2000" s="233" t="str">
        <f>VLOOKUP(Table8[[#This Row],[Country Code]],Table29[],8,FALSE)</f>
        <v>non-OECD</v>
      </c>
      <c r="AX2000" s="233" t="str">
        <f>VLOOKUP(Table8[[#This Row],[Country Code]],Table29[],9,FALSE)</f>
        <v>no</v>
      </c>
      <c r="AY2000" s="233" t="str">
        <f>VLOOKUP(Table8[[#This Row],[Country Code]],Table29[],10,FALSE)</f>
        <v>no</v>
      </c>
      <c r="AZ2000" s="235">
        <f>VLOOKUP(Table8[[#This Row],[Country Code]],Table29[],23,FALSE)</f>
        <v>0</v>
      </c>
      <c r="BA2000" s="235">
        <f>VLOOKUP(Table8[[#This Row],[Country Code]],Table29[],24,FALSE)</f>
        <v>0</v>
      </c>
      <c r="BB2000" s="320"/>
      <c r="BC2000" s="320"/>
    </row>
    <row r="2001" spans="1:55" ht="21.6" hidden="1" customHeight="1" x14ac:dyDescent="0.25">
      <c r="A2001" s="373">
        <v>22256</v>
      </c>
      <c r="B2001" s="233" t="str">
        <f>VLOOKUP(Table8[[#This Row],[Document ID]],Table1[],2,FALSE)</f>
        <v>SSD</v>
      </c>
      <c r="C2001" s="233" t="str">
        <f>VLOOKUP(Table8[[#This Row],[Document ID]],Table1[],3,FALSE)</f>
        <v>South Sudan</v>
      </c>
      <c r="D2001" s="243" t="str">
        <f>VLOOKUP(Table8[[#This Row],[Document ID]],Table1[],5,FALSE)</f>
        <v>NDC</v>
      </c>
      <c r="E2001" s="233" t="str">
        <f>VLOOKUP(Table8[[#This Row],[Document ID]],Table1[],7,FALSE)</f>
        <v>Second NDC</v>
      </c>
      <c r="F2001" s="233" t="str">
        <f>VLOOKUP(Table8[[#This Row],[Document ID]],Table1[],8,FALSE)</f>
        <v>NDC 2.0</v>
      </c>
      <c r="G2001" s="233" t="str">
        <f>VLOOKUP(Table8[[#This Row],[Document ID]],Table1[],10,FALSE)</f>
        <v>Active</v>
      </c>
      <c r="H2001" s="44" t="s">
        <v>2338</v>
      </c>
      <c r="I2001" s="44" t="s">
        <v>2339</v>
      </c>
      <c r="J2001" s="44" t="s">
        <v>2410</v>
      </c>
      <c r="K2001" s="44" t="s">
        <v>4173</v>
      </c>
      <c r="L2001" s="44" t="s">
        <v>2333</v>
      </c>
      <c r="M2001" s="43">
        <v>118</v>
      </c>
      <c r="N2001" s="113"/>
      <c r="O2001" s="113"/>
      <c r="P2001" s="113"/>
      <c r="Q2001" s="113"/>
      <c r="R2001" s="113"/>
      <c r="S2001" s="113" t="s">
        <v>1113</v>
      </c>
      <c r="T2001" s="113"/>
      <c r="U2001" s="113"/>
      <c r="V2001" s="113"/>
      <c r="W2001" s="113"/>
      <c r="X2001" s="113"/>
      <c r="Y2001" s="113"/>
      <c r="Z2001" s="113"/>
      <c r="AA2001" s="113"/>
      <c r="AB2001" s="113"/>
      <c r="AC2001" s="113"/>
      <c r="AD2001" s="113"/>
      <c r="AE2001" s="113"/>
      <c r="AF2001" s="113"/>
      <c r="AG2001" s="113"/>
      <c r="AH2001" s="113"/>
      <c r="AI2001" s="113"/>
      <c r="AJ2001" s="113"/>
      <c r="AK2001" s="113" t="s">
        <v>1113</v>
      </c>
      <c r="AL2001" s="113"/>
      <c r="AM2001" s="113"/>
      <c r="AN2001" s="113"/>
      <c r="AO2001" s="44" t="s">
        <v>2334</v>
      </c>
      <c r="AP2001" s="43"/>
      <c r="AQ2001" s="236" t="str">
        <f>VLOOKUP(Table8[[#This Row],[Instrument]],Def_Targets!$D$73:$E$159,2,FALSE)</f>
        <v>I_VehicleRestrictions</v>
      </c>
      <c r="AR2001" s="233" t="str">
        <f>VLOOKUP(Table8[[#This Row],[Country Code]],Table29[],3,FALSE)</f>
        <v>Non-Annex I</v>
      </c>
      <c r="AS2001" s="233" t="str">
        <f>VLOOKUP(Table8[[#This Row],[Country Code]],Table29[],4,FALSE)</f>
        <v>Africa</v>
      </c>
      <c r="AT2001" s="233" t="str">
        <f>VLOOKUP(Table8[[#This Row],[Country Code]],Table29[],5,FALSE)</f>
        <v>Low-income</v>
      </c>
      <c r="AU2001" s="233" t="str">
        <f>VLOOKUP(Table8[[#This Row],[Country Code]],Table29[],6,FALSE)</f>
        <v>no</v>
      </c>
      <c r="AV2001" s="233" t="str">
        <f>VLOOKUP(Table8[[#This Row],[Country Code]],Table29[],7,FALSE)</f>
        <v>no</v>
      </c>
      <c r="AW2001" s="233" t="str">
        <f>VLOOKUP(Table8[[#This Row],[Country Code]],Table29[],8,FALSE)</f>
        <v>non-OECD</v>
      </c>
      <c r="AX2001" s="233" t="str">
        <f>VLOOKUP(Table8[[#This Row],[Country Code]],Table29[],9,FALSE)</f>
        <v>no</v>
      </c>
      <c r="AY2001" s="233" t="str">
        <f>VLOOKUP(Table8[[#This Row],[Country Code]],Table29[],10,FALSE)</f>
        <v>no</v>
      </c>
      <c r="AZ2001" s="235">
        <f>VLOOKUP(Table8[[#This Row],[Country Code]],Table29[],23,FALSE)</f>
        <v>0</v>
      </c>
      <c r="BA2001" s="235">
        <f>VLOOKUP(Table8[[#This Row],[Country Code]],Table29[],24,FALSE)</f>
        <v>0</v>
      </c>
      <c r="BB2001" s="320"/>
      <c r="BC2001" s="320"/>
    </row>
    <row r="2002" spans="1:55" ht="21.6" hidden="1" customHeight="1" x14ac:dyDescent="0.25">
      <c r="A2002" s="373">
        <v>22256</v>
      </c>
      <c r="B2002" s="233" t="str">
        <f>VLOOKUP(Table8[[#This Row],[Document ID]],Table1[],2,FALSE)</f>
        <v>SSD</v>
      </c>
      <c r="C2002" s="233" t="str">
        <f>VLOOKUP(Table8[[#This Row],[Document ID]],Table1[],3,FALSE)</f>
        <v>South Sudan</v>
      </c>
      <c r="D2002" s="243" t="str">
        <f>VLOOKUP(Table8[[#This Row],[Document ID]],Table1[],5,FALSE)</f>
        <v>NDC</v>
      </c>
      <c r="E2002" s="233" t="str">
        <f>VLOOKUP(Table8[[#This Row],[Document ID]],Table1[],7,FALSE)</f>
        <v>Second NDC</v>
      </c>
      <c r="F2002" s="233" t="str">
        <f>VLOOKUP(Table8[[#This Row],[Document ID]],Table1[],8,FALSE)</f>
        <v>NDC 2.0</v>
      </c>
      <c r="G2002" s="233" t="str">
        <f>VLOOKUP(Table8[[#This Row],[Document ID]],Table1[],10,FALSE)</f>
        <v>Active</v>
      </c>
      <c r="H2002" s="43" t="s">
        <v>2358</v>
      </c>
      <c r="I2002" s="43" t="s">
        <v>2359</v>
      </c>
      <c r="J2002" s="44" t="s">
        <v>2360</v>
      </c>
      <c r="K2002" s="44" t="s">
        <v>4174</v>
      </c>
      <c r="L2002" s="44" t="s">
        <v>2333</v>
      </c>
      <c r="M2002" s="43">
        <v>110</v>
      </c>
      <c r="N2002" s="113"/>
      <c r="O2002" s="113"/>
      <c r="P2002" s="113"/>
      <c r="Q2002" s="113"/>
      <c r="R2002" s="113"/>
      <c r="S2002" s="113"/>
      <c r="T2002" s="113"/>
      <c r="U2002" s="113"/>
      <c r="V2002" s="113"/>
      <c r="W2002" s="113"/>
      <c r="X2002" s="113"/>
      <c r="Y2002" s="113" t="s">
        <v>1113</v>
      </c>
      <c r="Z2002" s="113"/>
      <c r="AA2002" s="113"/>
      <c r="AB2002" s="113"/>
      <c r="AC2002" s="113" t="s">
        <v>1113</v>
      </c>
      <c r="AD2002" s="113"/>
      <c r="AE2002" s="113"/>
      <c r="AF2002" s="113"/>
      <c r="AG2002" s="113"/>
      <c r="AH2002" s="113"/>
      <c r="AI2002" s="113"/>
      <c r="AJ2002" s="113"/>
      <c r="AK2002" s="113" t="s">
        <v>1113</v>
      </c>
      <c r="AL2002" s="113"/>
      <c r="AM2002" s="113"/>
      <c r="AN2002" s="113"/>
      <c r="AO2002" s="43" t="s">
        <v>2348</v>
      </c>
      <c r="AP2002" s="43"/>
      <c r="AQ2002" s="236" t="str">
        <f>VLOOKUP(Table8[[#This Row],[Instrument]],Def_Targets!$D$73:$E$159,2,FALSE)</f>
        <v>I_Emobility</v>
      </c>
      <c r="AR2002" s="233" t="str">
        <f>VLOOKUP(Table8[[#This Row],[Country Code]],Table29[],3,FALSE)</f>
        <v>Non-Annex I</v>
      </c>
      <c r="AS2002" s="233" t="str">
        <f>VLOOKUP(Table8[[#This Row],[Country Code]],Table29[],4,FALSE)</f>
        <v>Africa</v>
      </c>
      <c r="AT2002" s="233" t="str">
        <f>VLOOKUP(Table8[[#This Row],[Country Code]],Table29[],5,FALSE)</f>
        <v>Low-income</v>
      </c>
      <c r="AU2002" s="233" t="str">
        <f>VLOOKUP(Table8[[#This Row],[Country Code]],Table29[],6,FALSE)</f>
        <v>no</v>
      </c>
      <c r="AV2002" s="233" t="str">
        <f>VLOOKUP(Table8[[#This Row],[Country Code]],Table29[],7,FALSE)</f>
        <v>no</v>
      </c>
      <c r="AW2002" s="233" t="str">
        <f>VLOOKUP(Table8[[#This Row],[Country Code]],Table29[],8,FALSE)</f>
        <v>non-OECD</v>
      </c>
      <c r="AX2002" s="233" t="str">
        <f>VLOOKUP(Table8[[#This Row],[Country Code]],Table29[],9,FALSE)</f>
        <v>no</v>
      </c>
      <c r="AY2002" s="233" t="str">
        <f>VLOOKUP(Table8[[#This Row],[Country Code]],Table29[],10,FALSE)</f>
        <v>no</v>
      </c>
      <c r="AZ2002" s="235">
        <f>VLOOKUP(Table8[[#This Row],[Country Code]],Table29[],23,FALSE)</f>
        <v>0</v>
      </c>
      <c r="BA2002" s="235">
        <f>VLOOKUP(Table8[[#This Row],[Country Code]],Table29[],24,FALSE)</f>
        <v>0</v>
      </c>
      <c r="BB2002" s="320"/>
      <c r="BC2002" s="320"/>
    </row>
    <row r="2003" spans="1:55" ht="21.6" hidden="1" customHeight="1" x14ac:dyDescent="0.25">
      <c r="A2003" s="373">
        <v>32512</v>
      </c>
      <c r="B2003" s="233" t="str">
        <f>VLOOKUP(Table8[[#This Row],[Document ID]],Table1[],2,FALSE)</f>
        <v>RUS</v>
      </c>
      <c r="C2003" s="233" t="str">
        <f>VLOOKUP(Table8[[#This Row],[Document ID]],Table1[],3,FALSE)</f>
        <v>Russian Federation</v>
      </c>
      <c r="D2003" s="243" t="str">
        <f>VLOOKUP(Table8[[#This Row],[Document ID]],Table1[],5,FALSE)</f>
        <v>LTS</v>
      </c>
      <c r="E2003" s="233" t="str">
        <f>VLOOKUP(Table8[[#This Row],[Document ID]],Table1[],7,FALSE)</f>
        <v>LTS</v>
      </c>
      <c r="F2003" s="233" t="str">
        <f>VLOOKUP(Table8[[#This Row],[Document ID]],Table1[],8,FALSE)</f>
        <v>LTS 1.0</v>
      </c>
      <c r="G2003" s="233" t="str">
        <f>VLOOKUP(Table8[[#This Row],[Document ID]],Table1[],10,FALSE)</f>
        <v>Active</v>
      </c>
      <c r="H2003" s="44" t="s">
        <v>2329</v>
      </c>
      <c r="I2003" s="44" t="s">
        <v>2330</v>
      </c>
      <c r="J2003" s="44" t="s">
        <v>2357</v>
      </c>
      <c r="K2003" s="44" t="s">
        <v>4161</v>
      </c>
      <c r="L2003" s="44" t="s">
        <v>2333</v>
      </c>
      <c r="M2003" s="43">
        <v>29</v>
      </c>
      <c r="N2003" s="113" t="s">
        <v>1113</v>
      </c>
      <c r="O2003" s="113"/>
      <c r="P2003" s="113"/>
      <c r="Q2003" s="113"/>
      <c r="R2003" s="113"/>
      <c r="S2003" s="113"/>
      <c r="T2003" s="113"/>
      <c r="U2003" s="113"/>
      <c r="V2003" s="113"/>
      <c r="W2003" s="113"/>
      <c r="X2003" s="113"/>
      <c r="Y2003" s="113"/>
      <c r="Z2003" s="113"/>
      <c r="AA2003" s="113"/>
      <c r="AB2003" s="113"/>
      <c r="AC2003" s="113"/>
      <c r="AD2003" s="113"/>
      <c r="AE2003" s="113"/>
      <c r="AF2003" s="113"/>
      <c r="AG2003" s="113"/>
      <c r="AH2003" s="113"/>
      <c r="AI2003" s="113"/>
      <c r="AJ2003" s="113"/>
      <c r="AK2003" s="113" t="s">
        <v>1113</v>
      </c>
      <c r="AL2003" s="113"/>
      <c r="AM2003" s="113"/>
      <c r="AN2003" s="113"/>
      <c r="AO2003" s="44" t="s">
        <v>2334</v>
      </c>
      <c r="AP2003" s="43"/>
      <c r="AQ2003" s="236" t="str">
        <f>VLOOKUP(Table8[[#This Row],[Instrument]],Def_Targets!$D$73:$E$159,2,FALSE)</f>
        <v>I_Biofuel</v>
      </c>
      <c r="AR2003" s="233" t="str">
        <f>VLOOKUP(Table8[[#This Row],[Country Code]],Table29[],3,FALSE)</f>
        <v>Annex I</v>
      </c>
      <c r="AS2003" s="233" t="str">
        <f>VLOOKUP(Table8[[#This Row],[Country Code]],Table29[],4,FALSE)</f>
        <v>Europe</v>
      </c>
      <c r="AT2003" s="233" t="str">
        <f>VLOOKUP(Table8[[#This Row],[Country Code]],Table29[],5,FALSE)</f>
        <v>Middle-income</v>
      </c>
      <c r="AU2003" s="233" t="str">
        <f>VLOOKUP(Table8[[#This Row],[Country Code]],Table29[],6,FALSE)</f>
        <v>G20</v>
      </c>
      <c r="AV2003" s="233" t="str">
        <f>VLOOKUP(Table8[[#This Row],[Country Code]],Table29[],7,FALSE)</f>
        <v>no</v>
      </c>
      <c r="AW2003" s="233" t="str">
        <f>VLOOKUP(Table8[[#This Row],[Country Code]],Table29[],8,FALSE)</f>
        <v>non-OECD</v>
      </c>
      <c r="AX2003" s="233" t="str">
        <f>VLOOKUP(Table8[[#This Row],[Country Code]],Table29[],9,FALSE)</f>
        <v>no</v>
      </c>
      <c r="AY2003" s="233" t="str">
        <f>VLOOKUP(Table8[[#This Row],[Country Code]],Table29[],10,FALSE)</f>
        <v>no</v>
      </c>
      <c r="AZ2003" s="235">
        <f>VLOOKUP(Table8[[#This Row],[Country Code]],Table29[],23,FALSE)</f>
        <v>2672.0394366031001</v>
      </c>
      <c r="BA2003" s="235">
        <f>VLOOKUP(Table8[[#This Row],[Country Code]],Table29[],24,FALSE)</f>
        <v>265.70074531042741</v>
      </c>
      <c r="BB2003" s="320"/>
      <c r="BC2003" s="320"/>
    </row>
    <row r="2004" spans="1:55" ht="21.6" hidden="1" customHeight="1" x14ac:dyDescent="0.25">
      <c r="A2004" s="373">
        <v>41742</v>
      </c>
      <c r="B2004" s="233" t="str">
        <f>VLOOKUP(Table8[[#This Row],[Document ID]],Table1[],2,FALSE)</f>
        <v>SRB</v>
      </c>
      <c r="C2004" s="233" t="str">
        <f>VLOOKUP(Table8[[#This Row],[Document ID]],Table1[],3,FALSE)</f>
        <v>Serbia</v>
      </c>
      <c r="D2004" s="243" t="str">
        <f>VLOOKUP(Table8[[#This Row],[Document ID]],Table1[],5,FALSE)</f>
        <v>LTS</v>
      </c>
      <c r="E2004" s="233" t="str">
        <f>VLOOKUP(Table8[[#This Row],[Document ID]],Table1[],7,FALSE)</f>
        <v>LTS</v>
      </c>
      <c r="F2004" s="233" t="str">
        <f>VLOOKUP(Table8[[#This Row],[Document ID]],Table1[],8,FALSE)</f>
        <v>LTS 1.0</v>
      </c>
      <c r="G2004" s="233" t="str">
        <f>VLOOKUP(Table8[[#This Row],[Document ID]],Table1[],10,FALSE)</f>
        <v>Active</v>
      </c>
      <c r="H2004" s="44" t="s">
        <v>2338</v>
      </c>
      <c r="I2004" s="44" t="s">
        <v>2339</v>
      </c>
      <c r="J2004" s="44" t="s">
        <v>2413</v>
      </c>
      <c r="K2004" s="44" t="s">
        <v>4175</v>
      </c>
      <c r="L2004" s="44" t="s">
        <v>2333</v>
      </c>
      <c r="M2004" s="43">
        <v>20</v>
      </c>
      <c r="N2004" s="113"/>
      <c r="O2004" s="113"/>
      <c r="P2004" s="113"/>
      <c r="Q2004" s="113"/>
      <c r="R2004" s="113"/>
      <c r="S2004" s="113" t="s">
        <v>1113</v>
      </c>
      <c r="T2004" s="113"/>
      <c r="U2004" s="113"/>
      <c r="V2004" s="113"/>
      <c r="W2004" s="113"/>
      <c r="X2004" s="113"/>
      <c r="Y2004" s="113"/>
      <c r="Z2004" s="113"/>
      <c r="AA2004" s="113"/>
      <c r="AB2004" s="113"/>
      <c r="AC2004" s="113"/>
      <c r="AD2004" s="113"/>
      <c r="AE2004" s="113"/>
      <c r="AF2004" s="113"/>
      <c r="AG2004" s="113"/>
      <c r="AH2004" s="113"/>
      <c r="AI2004" s="113"/>
      <c r="AJ2004" s="113"/>
      <c r="AK2004" s="113" t="s">
        <v>1113</v>
      </c>
      <c r="AL2004" s="113"/>
      <c r="AM2004" s="113"/>
      <c r="AN2004" s="113"/>
      <c r="AO2004" s="44" t="s">
        <v>2334</v>
      </c>
      <c r="AP2004" s="43"/>
      <c r="AQ2004" s="236" t="str">
        <f>VLOOKUP(Table8[[#This Row],[Instrument]],Def_Targets!$D$73:$E$159,2,FALSE)</f>
        <v>I_Vehicleeff</v>
      </c>
      <c r="AR2004" s="233" t="str">
        <f>VLOOKUP(Table8[[#This Row],[Country Code]],Table29[],3,FALSE)</f>
        <v>Non-Annex I</v>
      </c>
      <c r="AS2004" s="233" t="str">
        <f>VLOOKUP(Table8[[#This Row],[Country Code]],Table29[],4,FALSE)</f>
        <v>Europe</v>
      </c>
      <c r="AT2004" s="233" t="str">
        <f>VLOOKUP(Table8[[#This Row],[Country Code]],Table29[],5,FALSE)</f>
        <v>Middle-income</v>
      </c>
      <c r="AU2004" s="233" t="str">
        <f>VLOOKUP(Table8[[#This Row],[Country Code]],Table29[],6,FALSE)</f>
        <v>no</v>
      </c>
      <c r="AV2004" s="233" t="str">
        <f>VLOOKUP(Table8[[#This Row],[Country Code]],Table29[],7,FALSE)</f>
        <v>no</v>
      </c>
      <c r="AW2004" s="233" t="str">
        <f>VLOOKUP(Table8[[#This Row],[Country Code]],Table29[],8,FALSE)</f>
        <v>non-OECD</v>
      </c>
      <c r="AX2004" s="233" t="str">
        <f>VLOOKUP(Table8[[#This Row],[Country Code]],Table29[],9,FALSE)</f>
        <v>no</v>
      </c>
      <c r="AY2004" s="233" t="str">
        <f>VLOOKUP(Table8[[#This Row],[Country Code]],Table29[],10,FALSE)</f>
        <v>no</v>
      </c>
      <c r="AZ2004" s="235">
        <f>VLOOKUP(Table8[[#This Row],[Country Code]],Table29[],23,FALSE)</f>
        <v>67.214992478558003</v>
      </c>
      <c r="BA2004" s="235">
        <f>VLOOKUP(Table8[[#This Row],[Country Code]],Table29[],24,FALSE)</f>
        <v>10.45024022782124</v>
      </c>
      <c r="BB2004" s="320"/>
      <c r="BC2004" s="320"/>
    </row>
    <row r="2005" spans="1:55" hidden="1" x14ac:dyDescent="0.25">
      <c r="A2005" s="373">
        <v>41742</v>
      </c>
      <c r="B2005" s="233" t="str">
        <f>VLOOKUP(Table8[[#This Row],[Document ID]],Table1[],2,FALSE)</f>
        <v>SRB</v>
      </c>
      <c r="C2005" s="233" t="str">
        <f>VLOOKUP(Table8[[#This Row],[Document ID]],Table1[],3,FALSE)</f>
        <v>Serbia</v>
      </c>
      <c r="D2005" s="243" t="str">
        <f>VLOOKUP(Table8[[#This Row],[Document ID]],Table1[],5,FALSE)</f>
        <v>LTS</v>
      </c>
      <c r="E2005" s="233" t="str">
        <f>VLOOKUP(Table8[[#This Row],[Document ID]],Table1[],7,FALSE)</f>
        <v>LTS</v>
      </c>
      <c r="F2005" s="233" t="str">
        <f>VLOOKUP(Table8[[#This Row],[Document ID]],Table1[],8,FALSE)</f>
        <v>LTS 1.0</v>
      </c>
      <c r="G2005" s="233" t="str">
        <f>VLOOKUP(Table8[[#This Row],[Document ID]],Table1[],10,FALSE)</f>
        <v>Active</v>
      </c>
      <c r="H2005" s="43" t="s">
        <v>2343</v>
      </c>
      <c r="I2005" s="43" t="s">
        <v>2344</v>
      </c>
      <c r="J2005" s="44" t="s">
        <v>2345</v>
      </c>
      <c r="K2005" s="44" t="s">
        <v>4176</v>
      </c>
      <c r="L2005" s="44" t="s">
        <v>2347</v>
      </c>
      <c r="M2005" s="43">
        <v>20</v>
      </c>
      <c r="N2005" s="113"/>
      <c r="O2005" s="113"/>
      <c r="P2005" s="113"/>
      <c r="Q2005" s="113"/>
      <c r="R2005" s="113"/>
      <c r="S2005" s="113" t="s">
        <v>1113</v>
      </c>
      <c r="T2005" s="113"/>
      <c r="U2005" s="113"/>
      <c r="V2005" s="113"/>
      <c r="W2005" s="113"/>
      <c r="X2005" s="113"/>
      <c r="Y2005" s="113"/>
      <c r="Z2005" s="113"/>
      <c r="AA2005" s="113"/>
      <c r="AB2005" s="113"/>
      <c r="AC2005" s="113"/>
      <c r="AD2005" s="113"/>
      <c r="AE2005" s="113"/>
      <c r="AF2005" s="113"/>
      <c r="AG2005" s="113"/>
      <c r="AH2005" s="113"/>
      <c r="AI2005" s="113"/>
      <c r="AJ2005" s="113"/>
      <c r="AK2005" s="113" t="s">
        <v>1113</v>
      </c>
      <c r="AL2005" s="113"/>
      <c r="AM2005" s="113"/>
      <c r="AN2005" s="113"/>
      <c r="AO2005" s="43" t="s">
        <v>2348</v>
      </c>
      <c r="AP2005" s="43"/>
      <c r="AQ2005" s="236" t="str">
        <f>VLOOKUP(Table8[[#This Row],[Instrument]],Def_Targets!$D$73:$E$159,2,FALSE)</f>
        <v>S_PublicTransport</v>
      </c>
      <c r="AR2005" s="233" t="str">
        <f>VLOOKUP(Table8[[#This Row],[Country Code]],Table29[],3,FALSE)</f>
        <v>Non-Annex I</v>
      </c>
      <c r="AS2005" s="233" t="str">
        <f>VLOOKUP(Table8[[#This Row],[Country Code]],Table29[],4,FALSE)</f>
        <v>Europe</v>
      </c>
      <c r="AT2005" s="233" t="str">
        <f>VLOOKUP(Table8[[#This Row],[Country Code]],Table29[],5,FALSE)</f>
        <v>Middle-income</v>
      </c>
      <c r="AU2005" s="233" t="str">
        <f>VLOOKUP(Table8[[#This Row],[Country Code]],Table29[],6,FALSE)</f>
        <v>no</v>
      </c>
      <c r="AV2005" s="233" t="str">
        <f>VLOOKUP(Table8[[#This Row],[Country Code]],Table29[],7,FALSE)</f>
        <v>no</v>
      </c>
      <c r="AW2005" s="233" t="str">
        <f>VLOOKUP(Table8[[#This Row],[Country Code]],Table29[],8,FALSE)</f>
        <v>non-OECD</v>
      </c>
      <c r="AX2005" s="233" t="str">
        <f>VLOOKUP(Table8[[#This Row],[Country Code]],Table29[],9,FALSE)</f>
        <v>no</v>
      </c>
      <c r="AY2005" s="233" t="str">
        <f>VLOOKUP(Table8[[#This Row],[Country Code]],Table29[],10,FALSE)</f>
        <v>no</v>
      </c>
      <c r="AZ2005" s="235">
        <f>VLOOKUP(Table8[[#This Row],[Country Code]],Table29[],23,FALSE)</f>
        <v>67.214992478558003</v>
      </c>
      <c r="BA2005" s="235">
        <f>VLOOKUP(Table8[[#This Row],[Country Code]],Table29[],24,FALSE)</f>
        <v>10.45024022782124</v>
      </c>
      <c r="BB2005" s="320"/>
      <c r="BC2005" s="320"/>
    </row>
    <row r="2006" spans="1:55" hidden="1" x14ac:dyDescent="0.25">
      <c r="A2006" s="373">
        <v>41742</v>
      </c>
      <c r="B2006" s="233" t="str">
        <f>VLOOKUP(Table8[[#This Row],[Document ID]],Table1[],2,FALSE)</f>
        <v>SRB</v>
      </c>
      <c r="C2006" s="233" t="str">
        <f>VLOOKUP(Table8[[#This Row],[Document ID]],Table1[],3,FALSE)</f>
        <v>Serbia</v>
      </c>
      <c r="D2006" s="243" t="str">
        <f>VLOOKUP(Table8[[#This Row],[Document ID]],Table1[],5,FALSE)</f>
        <v>LTS</v>
      </c>
      <c r="E2006" s="233" t="str">
        <f>VLOOKUP(Table8[[#This Row],[Document ID]],Table1[],7,FALSE)</f>
        <v>LTS</v>
      </c>
      <c r="F2006" s="233" t="str">
        <f>VLOOKUP(Table8[[#This Row],[Document ID]],Table1[],8,FALSE)</f>
        <v>LTS 1.0</v>
      </c>
      <c r="G2006" s="233" t="str">
        <f>VLOOKUP(Table8[[#This Row],[Document ID]],Table1[],10,FALSE)</f>
        <v>Active</v>
      </c>
      <c r="H2006" s="43" t="s">
        <v>2343</v>
      </c>
      <c r="I2006" s="43" t="s">
        <v>2361</v>
      </c>
      <c r="J2006" s="44" t="s">
        <v>2366</v>
      </c>
      <c r="K2006" s="44" t="s">
        <v>4177</v>
      </c>
      <c r="L2006" s="44" t="s">
        <v>2347</v>
      </c>
      <c r="M2006" s="43">
        <v>20</v>
      </c>
      <c r="N2006" s="113"/>
      <c r="O2006" s="113"/>
      <c r="P2006" s="113" t="s">
        <v>1113</v>
      </c>
      <c r="Q2006" s="113"/>
      <c r="R2006" s="113"/>
      <c r="S2006" s="113"/>
      <c r="T2006" s="113"/>
      <c r="U2006" s="113"/>
      <c r="V2006" s="113"/>
      <c r="W2006" s="113"/>
      <c r="X2006" s="113"/>
      <c r="Y2006" s="113"/>
      <c r="Z2006" s="113"/>
      <c r="AA2006" s="113"/>
      <c r="AB2006" s="113"/>
      <c r="AC2006" s="113"/>
      <c r="AD2006" s="113"/>
      <c r="AE2006" s="113"/>
      <c r="AF2006" s="113"/>
      <c r="AG2006" s="113"/>
      <c r="AH2006" s="113"/>
      <c r="AI2006" s="113"/>
      <c r="AJ2006" s="113"/>
      <c r="AK2006" s="113" t="s">
        <v>1113</v>
      </c>
      <c r="AL2006" s="113"/>
      <c r="AM2006" s="113"/>
      <c r="AN2006" s="113"/>
      <c r="AO2006" s="44" t="s">
        <v>2334</v>
      </c>
      <c r="AP2006" s="43"/>
      <c r="AQ2006" s="236" t="str">
        <f>VLOOKUP(Table8[[#This Row],[Instrument]],Def_Targets!$D$73:$E$159,2,FALSE)</f>
        <v>S_Activemobility</v>
      </c>
      <c r="AR2006" s="233" t="str">
        <f>VLOOKUP(Table8[[#This Row],[Country Code]],Table29[],3,FALSE)</f>
        <v>Non-Annex I</v>
      </c>
      <c r="AS2006" s="233" t="str">
        <f>VLOOKUP(Table8[[#This Row],[Country Code]],Table29[],4,FALSE)</f>
        <v>Europe</v>
      </c>
      <c r="AT2006" s="233" t="str">
        <f>VLOOKUP(Table8[[#This Row],[Country Code]],Table29[],5,FALSE)</f>
        <v>Middle-income</v>
      </c>
      <c r="AU2006" s="233" t="str">
        <f>VLOOKUP(Table8[[#This Row],[Country Code]],Table29[],6,FALSE)</f>
        <v>no</v>
      </c>
      <c r="AV2006" s="233" t="str">
        <f>VLOOKUP(Table8[[#This Row],[Country Code]],Table29[],7,FALSE)</f>
        <v>no</v>
      </c>
      <c r="AW2006" s="233" t="str">
        <f>VLOOKUP(Table8[[#This Row],[Country Code]],Table29[],8,FALSE)</f>
        <v>non-OECD</v>
      </c>
      <c r="AX2006" s="233" t="str">
        <f>VLOOKUP(Table8[[#This Row],[Country Code]],Table29[],9,FALSE)</f>
        <v>no</v>
      </c>
      <c r="AY2006" s="233" t="str">
        <f>VLOOKUP(Table8[[#This Row],[Country Code]],Table29[],10,FALSE)</f>
        <v>no</v>
      </c>
      <c r="AZ2006" s="235">
        <f>VLOOKUP(Table8[[#This Row],[Country Code]],Table29[],23,FALSE)</f>
        <v>67.214992478558003</v>
      </c>
      <c r="BA2006" s="235">
        <f>VLOOKUP(Table8[[#This Row],[Country Code]],Table29[],24,FALSE)</f>
        <v>10.45024022782124</v>
      </c>
      <c r="BB2006" s="320"/>
      <c r="BC2006" s="320"/>
    </row>
    <row r="2007" spans="1:55" hidden="1" x14ac:dyDescent="0.25">
      <c r="A2007" s="373">
        <v>41742</v>
      </c>
      <c r="B2007" s="233" t="str">
        <f>VLOOKUP(Table8[[#This Row],[Document ID]],Table1[],2,FALSE)</f>
        <v>SRB</v>
      </c>
      <c r="C2007" s="233" t="str">
        <f>VLOOKUP(Table8[[#This Row],[Document ID]],Table1[],3,FALSE)</f>
        <v>Serbia</v>
      </c>
      <c r="D2007" s="243" t="str">
        <f>VLOOKUP(Table8[[#This Row],[Document ID]],Table1[],5,FALSE)</f>
        <v>LTS</v>
      </c>
      <c r="E2007" s="233" t="str">
        <f>VLOOKUP(Table8[[#This Row],[Document ID]],Table1[],7,FALSE)</f>
        <v>LTS</v>
      </c>
      <c r="F2007" s="233" t="str">
        <f>VLOOKUP(Table8[[#This Row],[Document ID]],Table1[],8,FALSE)</f>
        <v>LTS 1.0</v>
      </c>
      <c r="G2007" s="233" t="str">
        <f>VLOOKUP(Table8[[#This Row],[Document ID]],Table1[],10,FALSE)</f>
        <v>Active</v>
      </c>
      <c r="H2007" s="44" t="s">
        <v>2329</v>
      </c>
      <c r="I2007" s="44" t="s">
        <v>2330</v>
      </c>
      <c r="J2007" s="44" t="s">
        <v>2331</v>
      </c>
      <c r="K2007" s="44" t="s">
        <v>4178</v>
      </c>
      <c r="L2007" s="44" t="s">
        <v>2333</v>
      </c>
      <c r="M2007" s="43">
        <v>20</v>
      </c>
      <c r="N2007" s="113" t="s">
        <v>1113</v>
      </c>
      <c r="O2007" s="113"/>
      <c r="P2007" s="113"/>
      <c r="Q2007" s="113"/>
      <c r="R2007" s="113"/>
      <c r="S2007" s="113"/>
      <c r="T2007" s="113"/>
      <c r="U2007" s="113"/>
      <c r="V2007" s="113"/>
      <c r="W2007" s="113"/>
      <c r="X2007" s="113"/>
      <c r="Y2007" s="113"/>
      <c r="Z2007" s="113"/>
      <c r="AA2007" s="113"/>
      <c r="AB2007" s="113"/>
      <c r="AC2007" s="113"/>
      <c r="AD2007" s="113"/>
      <c r="AE2007" s="113"/>
      <c r="AF2007" s="113"/>
      <c r="AG2007" s="113"/>
      <c r="AH2007" s="113"/>
      <c r="AI2007" s="113"/>
      <c r="AJ2007" s="113"/>
      <c r="AK2007" s="113" t="s">
        <v>1113</v>
      </c>
      <c r="AL2007" s="113"/>
      <c r="AM2007" s="113"/>
      <c r="AN2007" s="113"/>
      <c r="AO2007" s="44" t="s">
        <v>2334</v>
      </c>
      <c r="AP2007" s="43"/>
      <c r="AQ2007" s="236" t="str">
        <f>VLOOKUP(Table8[[#This Row],[Instrument]],Def_Targets!$D$73:$E$159,2,FALSE)</f>
        <v>I_Altfuels</v>
      </c>
      <c r="AR2007" s="233" t="str">
        <f>VLOOKUP(Table8[[#This Row],[Country Code]],Table29[],3,FALSE)</f>
        <v>Non-Annex I</v>
      </c>
      <c r="AS2007" s="233" t="str">
        <f>VLOOKUP(Table8[[#This Row],[Country Code]],Table29[],4,FALSE)</f>
        <v>Europe</v>
      </c>
      <c r="AT2007" s="233" t="str">
        <f>VLOOKUP(Table8[[#This Row],[Country Code]],Table29[],5,FALSE)</f>
        <v>Middle-income</v>
      </c>
      <c r="AU2007" s="233" t="str">
        <f>VLOOKUP(Table8[[#This Row],[Country Code]],Table29[],6,FALSE)</f>
        <v>no</v>
      </c>
      <c r="AV2007" s="233" t="str">
        <f>VLOOKUP(Table8[[#This Row],[Country Code]],Table29[],7,FALSE)</f>
        <v>no</v>
      </c>
      <c r="AW2007" s="233" t="str">
        <f>VLOOKUP(Table8[[#This Row],[Country Code]],Table29[],8,FALSE)</f>
        <v>non-OECD</v>
      </c>
      <c r="AX2007" s="233" t="str">
        <f>VLOOKUP(Table8[[#This Row],[Country Code]],Table29[],9,FALSE)</f>
        <v>no</v>
      </c>
      <c r="AY2007" s="233" t="str">
        <f>VLOOKUP(Table8[[#This Row],[Country Code]],Table29[],10,FALSE)</f>
        <v>no</v>
      </c>
      <c r="AZ2007" s="235">
        <f>VLOOKUP(Table8[[#This Row],[Country Code]],Table29[],23,FALSE)</f>
        <v>67.214992478558003</v>
      </c>
      <c r="BA2007" s="235">
        <f>VLOOKUP(Table8[[#This Row],[Country Code]],Table29[],24,FALSE)</f>
        <v>10.45024022782124</v>
      </c>
      <c r="BB2007" s="320"/>
      <c r="BC2007" s="320"/>
    </row>
    <row r="2008" spans="1:55" hidden="1" x14ac:dyDescent="0.25">
      <c r="A2008" s="373">
        <v>41742</v>
      </c>
      <c r="B2008" s="233" t="str">
        <f>VLOOKUP(Table8[[#This Row],[Document ID]],Table1[],2,FALSE)</f>
        <v>SRB</v>
      </c>
      <c r="C2008" s="233" t="str">
        <f>VLOOKUP(Table8[[#This Row],[Document ID]],Table1[],3,FALSE)</f>
        <v>Serbia</v>
      </c>
      <c r="D2008" s="243" t="str">
        <f>VLOOKUP(Table8[[#This Row],[Document ID]],Table1[],5,FALSE)</f>
        <v>LTS</v>
      </c>
      <c r="E2008" s="233" t="str">
        <f>VLOOKUP(Table8[[#This Row],[Document ID]],Table1[],7,FALSE)</f>
        <v>LTS</v>
      </c>
      <c r="F2008" s="233" t="str">
        <f>VLOOKUP(Table8[[#This Row],[Document ID]],Table1[],8,FALSE)</f>
        <v>LTS 1.0</v>
      </c>
      <c r="G2008" s="233" t="str">
        <f>VLOOKUP(Table8[[#This Row],[Document ID]],Table1[],10,FALSE)</f>
        <v>Active</v>
      </c>
      <c r="H2008" s="43" t="s">
        <v>2350</v>
      </c>
      <c r="I2008" s="43" t="s">
        <v>2351</v>
      </c>
      <c r="J2008" s="44" t="s">
        <v>2447</v>
      </c>
      <c r="K2008" s="44" t="s">
        <v>4179</v>
      </c>
      <c r="L2008" s="44" t="s">
        <v>2333</v>
      </c>
      <c r="M2008" s="43">
        <v>20</v>
      </c>
      <c r="N2008" s="113" t="s">
        <v>1113</v>
      </c>
      <c r="O2008" s="113"/>
      <c r="P2008" s="113"/>
      <c r="Q2008" s="113"/>
      <c r="R2008" s="113"/>
      <c r="S2008" s="113"/>
      <c r="T2008" s="113"/>
      <c r="U2008" s="113"/>
      <c r="V2008" s="113"/>
      <c r="W2008" s="113"/>
      <c r="X2008" s="113"/>
      <c r="Y2008" s="113"/>
      <c r="Z2008" s="113"/>
      <c r="AA2008" s="113"/>
      <c r="AB2008" s="113"/>
      <c r="AC2008" s="113"/>
      <c r="AD2008" s="113"/>
      <c r="AE2008" s="113"/>
      <c r="AF2008" s="113"/>
      <c r="AG2008" s="113"/>
      <c r="AH2008" s="113"/>
      <c r="AI2008" s="113"/>
      <c r="AJ2008" s="113"/>
      <c r="AK2008" s="113" t="s">
        <v>1113</v>
      </c>
      <c r="AL2008" s="113"/>
      <c r="AM2008" s="113"/>
      <c r="AN2008" s="113"/>
      <c r="AO2008" s="43" t="s">
        <v>2353</v>
      </c>
      <c r="AP2008" s="43"/>
      <c r="AQ2008" s="236" t="str">
        <f>VLOOKUP(Table8[[#This Row],[Instrument]],Def_Targets!$D$73:$E$159,2,FALSE)</f>
        <v>I_Freighteff</v>
      </c>
      <c r="AR2008" s="233" t="str">
        <f>VLOOKUP(Table8[[#This Row],[Country Code]],Table29[],3,FALSE)</f>
        <v>Non-Annex I</v>
      </c>
      <c r="AS2008" s="233" t="str">
        <f>VLOOKUP(Table8[[#This Row],[Country Code]],Table29[],4,FALSE)</f>
        <v>Europe</v>
      </c>
      <c r="AT2008" s="233" t="str">
        <f>VLOOKUP(Table8[[#This Row],[Country Code]],Table29[],5,FALSE)</f>
        <v>Middle-income</v>
      </c>
      <c r="AU2008" s="233" t="str">
        <f>VLOOKUP(Table8[[#This Row],[Country Code]],Table29[],6,FALSE)</f>
        <v>no</v>
      </c>
      <c r="AV2008" s="233" t="str">
        <f>VLOOKUP(Table8[[#This Row],[Country Code]],Table29[],7,FALSE)</f>
        <v>no</v>
      </c>
      <c r="AW2008" s="233" t="str">
        <f>VLOOKUP(Table8[[#This Row],[Country Code]],Table29[],8,FALSE)</f>
        <v>non-OECD</v>
      </c>
      <c r="AX2008" s="233" t="str">
        <f>VLOOKUP(Table8[[#This Row],[Country Code]],Table29[],9,FALSE)</f>
        <v>no</v>
      </c>
      <c r="AY2008" s="233" t="str">
        <f>VLOOKUP(Table8[[#This Row],[Country Code]],Table29[],10,FALSE)</f>
        <v>no</v>
      </c>
      <c r="AZ2008" s="235">
        <f>VLOOKUP(Table8[[#This Row],[Country Code]],Table29[],23,FALSE)</f>
        <v>67.214992478558003</v>
      </c>
      <c r="BA2008" s="235">
        <f>VLOOKUP(Table8[[#This Row],[Country Code]],Table29[],24,FALSE)</f>
        <v>10.45024022782124</v>
      </c>
      <c r="BB2008" s="320"/>
      <c r="BC2008" s="320"/>
    </row>
    <row r="2009" spans="1:55" ht="45" hidden="1" x14ac:dyDescent="0.25">
      <c r="A2009" s="373">
        <v>17745</v>
      </c>
      <c r="B2009" s="233" t="str">
        <f>VLOOKUP(Table8[[#This Row],[Document ID]],Table1[],2,FALSE)</f>
        <v>LKA</v>
      </c>
      <c r="C2009" s="233" t="str">
        <f>VLOOKUP(Table8[[#This Row],[Document ID]],Table1[],3,FALSE)</f>
        <v>Sri Lanka</v>
      </c>
      <c r="D2009" s="243" t="str">
        <f>VLOOKUP(Table8[[#This Row],[Document ID]],Table1[],5,FALSE)</f>
        <v>NDC</v>
      </c>
      <c r="E2009" s="233" t="str">
        <f>VLOOKUP(Table8[[#This Row],[Document ID]],Table1[],7,FALSE)</f>
        <v>First NDC</v>
      </c>
      <c r="F2009" s="236" t="str">
        <f>VLOOKUP(Table8[[#This Row],[Document ID]],Table1[],8,FALSE)</f>
        <v>NDC 1.0</v>
      </c>
      <c r="G2009" s="236" t="str">
        <f>VLOOKUP(Table8[[#This Row],[Document ID]],Table1[],10,FALSE)</f>
        <v>Archived</v>
      </c>
      <c r="H2009" s="43" t="s">
        <v>2343</v>
      </c>
      <c r="I2009" s="43" t="s">
        <v>2344</v>
      </c>
      <c r="J2009" s="44" t="s">
        <v>2549</v>
      </c>
      <c r="K2009" s="44" t="s">
        <v>4180</v>
      </c>
      <c r="L2009" s="44" t="s">
        <v>2347</v>
      </c>
      <c r="M2009" s="43"/>
      <c r="N2009" s="113"/>
      <c r="O2009" s="113"/>
      <c r="P2009" s="113"/>
      <c r="Q2009" s="319"/>
      <c r="R2009" s="319"/>
      <c r="S2009" s="319"/>
      <c r="T2009" s="319"/>
      <c r="U2009" s="319"/>
      <c r="V2009" s="319"/>
      <c r="W2009" s="319"/>
      <c r="X2009" s="319"/>
      <c r="Y2009" s="113" t="s">
        <v>1113</v>
      </c>
      <c r="Z2009" s="113"/>
      <c r="AA2009" s="319"/>
      <c r="AB2009" s="319"/>
      <c r="AC2009" s="319"/>
      <c r="AD2009" s="319"/>
      <c r="AE2009" s="319"/>
      <c r="AF2009" s="319"/>
      <c r="AG2009" s="319"/>
      <c r="AH2009" s="319"/>
      <c r="AI2009" s="319"/>
      <c r="AJ2009" s="319"/>
      <c r="AK2009" s="319"/>
      <c r="AL2009" s="113" t="s">
        <v>1113</v>
      </c>
      <c r="AM2009" s="319"/>
      <c r="AN2009" s="319"/>
      <c r="AO2009" s="43" t="s">
        <v>2348</v>
      </c>
      <c r="AP2009" s="44"/>
      <c r="AQ2009" s="236" t="str">
        <f>VLOOKUP(Table8[[#This Row],[Instrument]],Def_Targets!$D$73:$E$159,2,FALSE)</f>
        <v>S_BRT</v>
      </c>
      <c r="AR2009" s="233" t="str">
        <f>VLOOKUP(Table8[[#This Row],[Country Code]],Table29[],3,FALSE)</f>
        <v>Non-Annex I</v>
      </c>
      <c r="AS2009" s="233" t="str">
        <f>VLOOKUP(Table8[[#This Row],[Country Code]],Table29[],4,FALSE)</f>
        <v>Asia</v>
      </c>
      <c r="AT2009" s="233" t="str">
        <f>VLOOKUP(Table8[[#This Row],[Country Code]],Table29[],5,FALSE)</f>
        <v>Middle-income</v>
      </c>
      <c r="AU2009" s="233" t="str">
        <f>VLOOKUP(Table8[[#This Row],[Country Code]],Table29[],6,FALSE)</f>
        <v>no</v>
      </c>
      <c r="AV2009" s="233" t="str">
        <f>VLOOKUP(Table8[[#This Row],[Country Code]],Table29[],7,FALSE)</f>
        <v>no</v>
      </c>
      <c r="AW2009" s="233" t="str">
        <f>VLOOKUP(Table8[[#This Row],[Country Code]],Table29[],8,FALSE)</f>
        <v>non-OECD</v>
      </c>
      <c r="AX2009" s="233" t="str">
        <f>VLOOKUP(Table8[[#This Row],[Country Code]],Table29[],9,FALSE)</f>
        <v>no</v>
      </c>
      <c r="AY2009" s="233" t="str">
        <f>VLOOKUP(Table8[[#This Row],[Country Code]],Table29[],10,FALSE)</f>
        <v>no</v>
      </c>
      <c r="AZ2009" s="235">
        <f>VLOOKUP(Table8[[#This Row],[Country Code]],Table29[],23,FALSE)</f>
        <v>38.403849844142002</v>
      </c>
      <c r="BA2009" s="235">
        <f>VLOOKUP(Table8[[#This Row],[Country Code]],Table29[],24,FALSE)</f>
        <v>9.6330858743096854</v>
      </c>
      <c r="BB2009" s="320"/>
      <c r="BC2009" s="320"/>
    </row>
    <row r="2010" spans="1:55" hidden="1" x14ac:dyDescent="0.25">
      <c r="A2010" s="373">
        <v>17745</v>
      </c>
      <c r="B2010" s="233" t="str">
        <f>VLOOKUP(Table8[[#This Row],[Document ID]],Table1[],2,FALSE)</f>
        <v>LKA</v>
      </c>
      <c r="C2010" s="233" t="str">
        <f>VLOOKUP(Table8[[#This Row],[Document ID]],Table1[],3,FALSE)</f>
        <v>Sri Lanka</v>
      </c>
      <c r="D2010" s="243" t="str">
        <f>VLOOKUP(Table8[[#This Row],[Document ID]],Table1[],5,FALSE)</f>
        <v>NDC</v>
      </c>
      <c r="E2010" s="233" t="str">
        <f>VLOOKUP(Table8[[#This Row],[Document ID]],Table1[],7,FALSE)</f>
        <v>First NDC</v>
      </c>
      <c r="F2010" s="236" t="str">
        <f>VLOOKUP(Table8[[#This Row],[Document ID]],Table1[],8,FALSE)</f>
        <v>NDC 1.0</v>
      </c>
      <c r="G2010" s="236" t="str">
        <f>VLOOKUP(Table8[[#This Row],[Document ID]],Table1[],10,FALSE)</f>
        <v>Archived</v>
      </c>
      <c r="H2010" s="43" t="s">
        <v>2343</v>
      </c>
      <c r="I2010" s="43" t="s">
        <v>2429</v>
      </c>
      <c r="J2010" s="44" t="s">
        <v>2430</v>
      </c>
      <c r="K2010" s="44" t="s">
        <v>4181</v>
      </c>
      <c r="L2010" s="44" t="s">
        <v>2333</v>
      </c>
      <c r="M2010" s="43"/>
      <c r="N2010" s="113"/>
      <c r="O2010" s="113"/>
      <c r="P2010" s="113"/>
      <c r="Q2010" s="319"/>
      <c r="R2010" s="319"/>
      <c r="S2010" s="319"/>
      <c r="T2010" s="319"/>
      <c r="U2010" s="319"/>
      <c r="V2010" s="319"/>
      <c r="W2010" s="319"/>
      <c r="X2010" s="319"/>
      <c r="Y2010" s="113" t="s">
        <v>1113</v>
      </c>
      <c r="Z2010" s="113"/>
      <c r="AA2010" s="319"/>
      <c r="AB2010" s="319"/>
      <c r="AC2010" s="319"/>
      <c r="AD2010" s="319"/>
      <c r="AE2010" s="319"/>
      <c r="AF2010" s="319"/>
      <c r="AG2010" s="319"/>
      <c r="AH2010" s="319"/>
      <c r="AI2010" s="319"/>
      <c r="AJ2010" s="319"/>
      <c r="AK2010" s="319" t="s">
        <v>1113</v>
      </c>
      <c r="AL2010" s="319"/>
      <c r="AM2010" s="319"/>
      <c r="AN2010" s="319"/>
      <c r="AO2010" s="43" t="s">
        <v>2348</v>
      </c>
      <c r="AP2010" s="44"/>
      <c r="AQ2010" s="236" t="str">
        <f>VLOOKUP(Table8[[#This Row],[Instrument]],Def_Targets!$D$73:$E$159,2,FALSE)</f>
        <v>I_ITS</v>
      </c>
      <c r="AR2010" s="233" t="str">
        <f>VLOOKUP(Table8[[#This Row],[Country Code]],Table29[],3,FALSE)</f>
        <v>Non-Annex I</v>
      </c>
      <c r="AS2010" s="233" t="str">
        <f>VLOOKUP(Table8[[#This Row],[Country Code]],Table29[],4,FALSE)</f>
        <v>Asia</v>
      </c>
      <c r="AT2010" s="233" t="str">
        <f>VLOOKUP(Table8[[#This Row],[Country Code]],Table29[],5,FALSE)</f>
        <v>Middle-income</v>
      </c>
      <c r="AU2010" s="233" t="str">
        <f>VLOOKUP(Table8[[#This Row],[Country Code]],Table29[],6,FALSE)</f>
        <v>no</v>
      </c>
      <c r="AV2010" s="233" t="str">
        <f>VLOOKUP(Table8[[#This Row],[Country Code]],Table29[],7,FALSE)</f>
        <v>no</v>
      </c>
      <c r="AW2010" s="233" t="str">
        <f>VLOOKUP(Table8[[#This Row],[Country Code]],Table29[],8,FALSE)</f>
        <v>non-OECD</v>
      </c>
      <c r="AX2010" s="233" t="str">
        <f>VLOOKUP(Table8[[#This Row],[Country Code]],Table29[],9,FALSE)</f>
        <v>no</v>
      </c>
      <c r="AY2010" s="233" t="str">
        <f>VLOOKUP(Table8[[#This Row],[Country Code]],Table29[],10,FALSE)</f>
        <v>no</v>
      </c>
      <c r="AZ2010" s="235">
        <f>VLOOKUP(Table8[[#This Row],[Country Code]],Table29[],23,FALSE)</f>
        <v>38.403849844142002</v>
      </c>
      <c r="BA2010" s="235">
        <f>VLOOKUP(Table8[[#This Row],[Country Code]],Table29[],24,FALSE)</f>
        <v>9.6330858743096854</v>
      </c>
      <c r="BB2010" s="320"/>
      <c r="BC2010" s="320"/>
    </row>
    <row r="2011" spans="1:55" hidden="1" x14ac:dyDescent="0.25">
      <c r="A2011" s="373">
        <v>17745</v>
      </c>
      <c r="B2011" s="233" t="str">
        <f>VLOOKUP(Table8[[#This Row],[Document ID]],Table1[],2,FALSE)</f>
        <v>LKA</v>
      </c>
      <c r="C2011" s="233" t="str">
        <f>VLOOKUP(Table8[[#This Row],[Document ID]],Table1[],3,FALSE)</f>
        <v>Sri Lanka</v>
      </c>
      <c r="D2011" s="243" t="str">
        <f>VLOOKUP(Table8[[#This Row],[Document ID]],Table1[],5,FALSE)</f>
        <v>NDC</v>
      </c>
      <c r="E2011" s="233" t="str">
        <f>VLOOKUP(Table8[[#This Row],[Document ID]],Table1[],7,FALSE)</f>
        <v>First NDC</v>
      </c>
      <c r="F2011" s="236" t="str">
        <f>VLOOKUP(Table8[[#This Row],[Document ID]],Table1[],8,FALSE)</f>
        <v>NDC 1.0</v>
      </c>
      <c r="G2011" s="236" t="str">
        <f>VLOOKUP(Table8[[#This Row],[Document ID]],Table1[],10,FALSE)</f>
        <v>Archived</v>
      </c>
      <c r="H2011" s="43" t="s">
        <v>2343</v>
      </c>
      <c r="I2011" s="43" t="s">
        <v>2377</v>
      </c>
      <c r="J2011" s="44" t="s">
        <v>2535</v>
      </c>
      <c r="K2011" s="44" t="s">
        <v>4182</v>
      </c>
      <c r="L2011" s="44" t="s">
        <v>2347</v>
      </c>
      <c r="M2011" s="43"/>
      <c r="N2011" s="113" t="s">
        <v>1113</v>
      </c>
      <c r="O2011" s="113"/>
      <c r="P2011" s="113"/>
      <c r="Q2011" s="319"/>
      <c r="R2011" s="319"/>
      <c r="S2011" s="319"/>
      <c r="T2011" s="319"/>
      <c r="U2011" s="319"/>
      <c r="V2011" s="319"/>
      <c r="W2011" s="319"/>
      <c r="X2011" s="319"/>
      <c r="Y2011" s="319"/>
      <c r="Z2011" s="319"/>
      <c r="AA2011" s="319"/>
      <c r="AB2011" s="319"/>
      <c r="AC2011" s="319"/>
      <c r="AD2011" s="319"/>
      <c r="AE2011" s="319"/>
      <c r="AF2011" s="319"/>
      <c r="AG2011" s="319"/>
      <c r="AH2011" s="319"/>
      <c r="AI2011" s="319"/>
      <c r="AJ2011" s="319"/>
      <c r="AK2011" s="319" t="s">
        <v>1113</v>
      </c>
      <c r="AL2011" s="319"/>
      <c r="AM2011" s="319"/>
      <c r="AN2011" s="319"/>
      <c r="AO2011" s="44" t="s">
        <v>2334</v>
      </c>
      <c r="AP2011" s="44"/>
      <c r="AQ2011" s="236" t="str">
        <f>VLOOKUP(Table8[[#This Row],[Instrument]],Def_Targets!$D$73:$E$159,2,FALSE)</f>
        <v>S_Parking</v>
      </c>
      <c r="AR2011" s="233" t="str">
        <f>VLOOKUP(Table8[[#This Row],[Country Code]],Table29[],3,FALSE)</f>
        <v>Non-Annex I</v>
      </c>
      <c r="AS2011" s="233" t="str">
        <f>VLOOKUP(Table8[[#This Row],[Country Code]],Table29[],4,FALSE)</f>
        <v>Asia</v>
      </c>
      <c r="AT2011" s="233" t="str">
        <f>VLOOKUP(Table8[[#This Row],[Country Code]],Table29[],5,FALSE)</f>
        <v>Middle-income</v>
      </c>
      <c r="AU2011" s="233" t="str">
        <f>VLOOKUP(Table8[[#This Row],[Country Code]],Table29[],6,FALSE)</f>
        <v>no</v>
      </c>
      <c r="AV2011" s="233" t="str">
        <f>VLOOKUP(Table8[[#This Row],[Country Code]],Table29[],7,FALSE)</f>
        <v>no</v>
      </c>
      <c r="AW2011" s="233" t="str">
        <f>VLOOKUP(Table8[[#This Row],[Country Code]],Table29[],8,FALSE)</f>
        <v>non-OECD</v>
      </c>
      <c r="AX2011" s="233" t="str">
        <f>VLOOKUP(Table8[[#This Row],[Country Code]],Table29[],9,FALSE)</f>
        <v>no</v>
      </c>
      <c r="AY2011" s="233" t="str">
        <f>VLOOKUP(Table8[[#This Row],[Country Code]],Table29[],10,FALSE)</f>
        <v>no</v>
      </c>
      <c r="AZ2011" s="235">
        <f>VLOOKUP(Table8[[#This Row],[Country Code]],Table29[],23,FALSE)</f>
        <v>38.403849844142002</v>
      </c>
      <c r="BA2011" s="235">
        <f>VLOOKUP(Table8[[#This Row],[Country Code]],Table29[],24,FALSE)</f>
        <v>9.6330858743096854</v>
      </c>
      <c r="BB2011" s="320"/>
      <c r="BC2011" s="320"/>
    </row>
    <row r="2012" spans="1:55" ht="30" hidden="1" x14ac:dyDescent="0.25">
      <c r="A2012" s="373">
        <v>17745</v>
      </c>
      <c r="B2012" s="233" t="str">
        <f>VLOOKUP(Table8[[#This Row],[Document ID]],Table1[],2,FALSE)</f>
        <v>LKA</v>
      </c>
      <c r="C2012" s="233" t="str">
        <f>VLOOKUP(Table8[[#This Row],[Document ID]],Table1[],3,FALSE)</f>
        <v>Sri Lanka</v>
      </c>
      <c r="D2012" s="243" t="str">
        <f>VLOOKUP(Table8[[#This Row],[Document ID]],Table1[],5,FALSE)</f>
        <v>NDC</v>
      </c>
      <c r="E2012" s="233" t="str">
        <f>VLOOKUP(Table8[[#This Row],[Document ID]],Table1[],7,FALSE)</f>
        <v>First NDC</v>
      </c>
      <c r="F2012" s="236" t="str">
        <f>VLOOKUP(Table8[[#This Row],[Document ID]],Table1[],8,FALSE)</f>
        <v>NDC 1.0</v>
      </c>
      <c r="G2012" s="236" t="str">
        <f>VLOOKUP(Table8[[#This Row],[Document ID]],Table1[],10,FALSE)</f>
        <v>Archived</v>
      </c>
      <c r="H2012" s="43" t="s">
        <v>2350</v>
      </c>
      <c r="I2012" s="43" t="s">
        <v>2370</v>
      </c>
      <c r="J2012" s="44" t="s">
        <v>2581</v>
      </c>
      <c r="K2012" s="44" t="s">
        <v>4183</v>
      </c>
      <c r="L2012" s="44" t="s">
        <v>2373</v>
      </c>
      <c r="M2012" s="43"/>
      <c r="N2012" s="113" t="s">
        <v>1113</v>
      </c>
      <c r="O2012" s="113"/>
      <c r="P2012" s="113"/>
      <c r="Q2012" s="319"/>
      <c r="R2012" s="319"/>
      <c r="S2012" s="319"/>
      <c r="T2012" s="319"/>
      <c r="U2012" s="319"/>
      <c r="V2012" s="319"/>
      <c r="W2012" s="319"/>
      <c r="X2012" s="319"/>
      <c r="Y2012" s="319"/>
      <c r="Z2012" s="319"/>
      <c r="AA2012" s="319"/>
      <c r="AB2012" s="319"/>
      <c r="AC2012" s="319"/>
      <c r="AD2012" s="319"/>
      <c r="AE2012" s="319"/>
      <c r="AF2012" s="319"/>
      <c r="AG2012" s="319"/>
      <c r="AH2012" s="319"/>
      <c r="AI2012" s="319"/>
      <c r="AJ2012" s="319"/>
      <c r="AK2012" s="319"/>
      <c r="AL2012" s="113" t="s">
        <v>1113</v>
      </c>
      <c r="AM2012" s="319"/>
      <c r="AN2012" s="319"/>
      <c r="AO2012" s="44" t="s">
        <v>2334</v>
      </c>
      <c r="AP2012" s="44"/>
      <c r="AQ2012" s="236" t="str">
        <f>VLOOKUP(Table8[[#This Row],[Instrument]],Def_Targets!$D$73:$E$159,2,FALSE)</f>
        <v>A_SUMP</v>
      </c>
      <c r="AR2012" s="233" t="str">
        <f>VLOOKUP(Table8[[#This Row],[Country Code]],Table29[],3,FALSE)</f>
        <v>Non-Annex I</v>
      </c>
      <c r="AS2012" s="233" t="str">
        <f>VLOOKUP(Table8[[#This Row],[Country Code]],Table29[],4,FALSE)</f>
        <v>Asia</v>
      </c>
      <c r="AT2012" s="233" t="str">
        <f>VLOOKUP(Table8[[#This Row],[Country Code]],Table29[],5,FALSE)</f>
        <v>Middle-income</v>
      </c>
      <c r="AU2012" s="233" t="str">
        <f>VLOOKUP(Table8[[#This Row],[Country Code]],Table29[],6,FALSE)</f>
        <v>no</v>
      </c>
      <c r="AV2012" s="233" t="str">
        <f>VLOOKUP(Table8[[#This Row],[Country Code]],Table29[],7,FALSE)</f>
        <v>no</v>
      </c>
      <c r="AW2012" s="233" t="str">
        <f>VLOOKUP(Table8[[#This Row],[Country Code]],Table29[],8,FALSE)</f>
        <v>non-OECD</v>
      </c>
      <c r="AX2012" s="233" t="str">
        <f>VLOOKUP(Table8[[#This Row],[Country Code]],Table29[],9,FALSE)</f>
        <v>no</v>
      </c>
      <c r="AY2012" s="233" t="str">
        <f>VLOOKUP(Table8[[#This Row],[Country Code]],Table29[],10,FALSE)</f>
        <v>no</v>
      </c>
      <c r="AZ2012" s="235">
        <f>VLOOKUP(Table8[[#This Row],[Country Code]],Table29[],23,FALSE)</f>
        <v>38.403849844142002</v>
      </c>
      <c r="BA2012" s="235">
        <f>VLOOKUP(Table8[[#This Row],[Country Code]],Table29[],24,FALSE)</f>
        <v>9.6330858743096854</v>
      </c>
      <c r="BB2012" s="320"/>
      <c r="BC2012" s="320"/>
    </row>
    <row r="2013" spans="1:55" hidden="1" x14ac:dyDescent="0.25">
      <c r="A2013" s="373">
        <v>17745</v>
      </c>
      <c r="B2013" s="233" t="str">
        <f>VLOOKUP(Table8[[#This Row],[Document ID]],Table1[],2,FALSE)</f>
        <v>LKA</v>
      </c>
      <c r="C2013" s="233" t="str">
        <f>VLOOKUP(Table8[[#This Row],[Document ID]],Table1[],3,FALSE)</f>
        <v>Sri Lanka</v>
      </c>
      <c r="D2013" s="243" t="str">
        <f>VLOOKUP(Table8[[#This Row],[Document ID]],Table1[],5,FALSE)</f>
        <v>NDC</v>
      </c>
      <c r="E2013" s="233" t="str">
        <f>VLOOKUP(Table8[[#This Row],[Document ID]],Table1[],7,FALSE)</f>
        <v>First NDC</v>
      </c>
      <c r="F2013" s="236" t="str">
        <f>VLOOKUP(Table8[[#This Row],[Document ID]],Table1[],8,FALSE)</f>
        <v>NDC 1.0</v>
      </c>
      <c r="G2013" s="236" t="str">
        <f>VLOOKUP(Table8[[#This Row],[Document ID]],Table1[],10,FALSE)</f>
        <v>Archived</v>
      </c>
      <c r="H2013" s="44" t="s">
        <v>2338</v>
      </c>
      <c r="I2013" s="44" t="s">
        <v>2339</v>
      </c>
      <c r="J2013" s="44" t="s">
        <v>2556</v>
      </c>
      <c r="K2013" s="44" t="s">
        <v>4184</v>
      </c>
      <c r="L2013" s="44" t="s">
        <v>2333</v>
      </c>
      <c r="M2013" s="43"/>
      <c r="N2013" s="113" t="s">
        <v>1113</v>
      </c>
      <c r="O2013" s="113"/>
      <c r="P2013" s="113"/>
      <c r="Q2013" s="319"/>
      <c r="R2013" s="319"/>
      <c r="S2013" s="319"/>
      <c r="T2013" s="319"/>
      <c r="U2013" s="319"/>
      <c r="V2013" s="319"/>
      <c r="W2013" s="319"/>
      <c r="X2013" s="319"/>
      <c r="Y2013" s="319"/>
      <c r="Z2013" s="319"/>
      <c r="AA2013" s="319"/>
      <c r="AB2013" s="319"/>
      <c r="AC2013" s="319"/>
      <c r="AD2013" s="319"/>
      <c r="AE2013" s="319"/>
      <c r="AF2013" s="319"/>
      <c r="AG2013" s="319"/>
      <c r="AH2013" s="319"/>
      <c r="AI2013" s="319"/>
      <c r="AJ2013" s="319"/>
      <c r="AK2013" s="319" t="s">
        <v>1113</v>
      </c>
      <c r="AL2013" s="319"/>
      <c r="AM2013" s="319"/>
      <c r="AN2013" s="319"/>
      <c r="AO2013" s="44" t="s">
        <v>2334</v>
      </c>
      <c r="AP2013" s="44"/>
      <c r="AQ2013" s="236" t="str">
        <f>VLOOKUP(Table8[[#This Row],[Instrument]],Def_Targets!$D$73:$E$159,2,FALSE)</f>
        <v>I_Fuelqualimprove</v>
      </c>
      <c r="AR2013" s="233" t="str">
        <f>VLOOKUP(Table8[[#This Row],[Country Code]],Table29[],3,FALSE)</f>
        <v>Non-Annex I</v>
      </c>
      <c r="AS2013" s="233" t="str">
        <f>VLOOKUP(Table8[[#This Row],[Country Code]],Table29[],4,FALSE)</f>
        <v>Asia</v>
      </c>
      <c r="AT2013" s="233" t="str">
        <f>VLOOKUP(Table8[[#This Row],[Country Code]],Table29[],5,FALSE)</f>
        <v>Middle-income</v>
      </c>
      <c r="AU2013" s="233" t="str">
        <f>VLOOKUP(Table8[[#This Row],[Country Code]],Table29[],6,FALSE)</f>
        <v>no</v>
      </c>
      <c r="AV2013" s="233" t="str">
        <f>VLOOKUP(Table8[[#This Row],[Country Code]],Table29[],7,FALSE)</f>
        <v>no</v>
      </c>
      <c r="AW2013" s="233" t="str">
        <f>VLOOKUP(Table8[[#This Row],[Country Code]],Table29[],8,FALSE)</f>
        <v>non-OECD</v>
      </c>
      <c r="AX2013" s="233" t="str">
        <f>VLOOKUP(Table8[[#This Row],[Country Code]],Table29[],9,FALSE)</f>
        <v>no</v>
      </c>
      <c r="AY2013" s="233" t="str">
        <f>VLOOKUP(Table8[[#This Row],[Country Code]],Table29[],10,FALSE)</f>
        <v>no</v>
      </c>
      <c r="AZ2013" s="235">
        <f>VLOOKUP(Table8[[#This Row],[Country Code]],Table29[],23,FALSE)</f>
        <v>38.403849844142002</v>
      </c>
      <c r="BA2013" s="235">
        <f>VLOOKUP(Table8[[#This Row],[Country Code]],Table29[],24,FALSE)</f>
        <v>9.6330858743096854</v>
      </c>
      <c r="BB2013" s="320"/>
      <c r="BC2013" s="320"/>
    </row>
    <row r="2014" spans="1:55" hidden="1" x14ac:dyDescent="0.25">
      <c r="A2014" s="373">
        <v>17745</v>
      </c>
      <c r="B2014" s="233" t="str">
        <f>VLOOKUP(Table8[[#This Row],[Document ID]],Table1[],2,FALSE)</f>
        <v>LKA</v>
      </c>
      <c r="C2014" s="233" t="str">
        <f>VLOOKUP(Table8[[#This Row],[Document ID]],Table1[],3,FALSE)</f>
        <v>Sri Lanka</v>
      </c>
      <c r="D2014" s="243" t="str">
        <f>VLOOKUP(Table8[[#This Row],[Document ID]],Table1[],5,FALSE)</f>
        <v>NDC</v>
      </c>
      <c r="E2014" s="233" t="str">
        <f>VLOOKUP(Table8[[#This Row],[Document ID]],Table1[],7,FALSE)</f>
        <v>First NDC</v>
      </c>
      <c r="F2014" s="236" t="str">
        <f>VLOOKUP(Table8[[#This Row],[Document ID]],Table1[],8,FALSE)</f>
        <v>NDC 1.0</v>
      </c>
      <c r="G2014" s="236" t="str">
        <f>VLOOKUP(Table8[[#This Row],[Document ID]],Table1[],10,FALSE)</f>
        <v>Archived</v>
      </c>
      <c r="H2014" s="44" t="s">
        <v>2338</v>
      </c>
      <c r="I2014" s="44" t="s">
        <v>2339</v>
      </c>
      <c r="J2014" s="44" t="s">
        <v>2451</v>
      </c>
      <c r="K2014" s="44" t="s">
        <v>4185</v>
      </c>
      <c r="L2014" s="44" t="s">
        <v>2333</v>
      </c>
      <c r="M2014" s="43"/>
      <c r="N2014" s="113"/>
      <c r="O2014" s="113"/>
      <c r="P2014" s="113"/>
      <c r="Q2014" s="319"/>
      <c r="R2014" s="319"/>
      <c r="S2014" s="113" t="s">
        <v>1113</v>
      </c>
      <c r="T2014" s="319"/>
      <c r="U2014" s="319"/>
      <c r="V2014" s="319"/>
      <c r="W2014" s="319"/>
      <c r="X2014" s="319"/>
      <c r="Y2014" s="319"/>
      <c r="Z2014" s="319"/>
      <c r="AA2014" s="319"/>
      <c r="AB2014" s="319"/>
      <c r="AC2014" s="319"/>
      <c r="AD2014" s="319"/>
      <c r="AE2014" s="319"/>
      <c r="AF2014" s="319"/>
      <c r="AG2014" s="319"/>
      <c r="AH2014" s="319"/>
      <c r="AI2014" s="319"/>
      <c r="AJ2014" s="319"/>
      <c r="AK2014" s="319" t="s">
        <v>1113</v>
      </c>
      <c r="AL2014" s="319"/>
      <c r="AM2014" s="319"/>
      <c r="AN2014" s="319"/>
      <c r="AO2014" s="44" t="s">
        <v>2334</v>
      </c>
      <c r="AP2014" s="44"/>
      <c r="AQ2014" s="236" t="str">
        <f>VLOOKUP(Table8[[#This Row],[Instrument]],Def_Targets!$D$73:$E$159,2,FALSE)</f>
        <v>I_Inspection</v>
      </c>
      <c r="AR2014" s="233" t="str">
        <f>VLOOKUP(Table8[[#This Row],[Country Code]],Table29[],3,FALSE)</f>
        <v>Non-Annex I</v>
      </c>
      <c r="AS2014" s="233" t="str">
        <f>VLOOKUP(Table8[[#This Row],[Country Code]],Table29[],4,FALSE)</f>
        <v>Asia</v>
      </c>
      <c r="AT2014" s="233" t="str">
        <f>VLOOKUP(Table8[[#This Row],[Country Code]],Table29[],5,FALSE)</f>
        <v>Middle-income</v>
      </c>
      <c r="AU2014" s="233" t="str">
        <f>VLOOKUP(Table8[[#This Row],[Country Code]],Table29[],6,FALSE)</f>
        <v>no</v>
      </c>
      <c r="AV2014" s="233" t="str">
        <f>VLOOKUP(Table8[[#This Row],[Country Code]],Table29[],7,FALSE)</f>
        <v>no</v>
      </c>
      <c r="AW2014" s="233" t="str">
        <f>VLOOKUP(Table8[[#This Row],[Country Code]],Table29[],8,FALSE)</f>
        <v>non-OECD</v>
      </c>
      <c r="AX2014" s="233" t="str">
        <f>VLOOKUP(Table8[[#This Row],[Country Code]],Table29[],9,FALSE)</f>
        <v>no</v>
      </c>
      <c r="AY2014" s="233" t="str">
        <f>VLOOKUP(Table8[[#This Row],[Country Code]],Table29[],10,FALSE)</f>
        <v>no</v>
      </c>
      <c r="AZ2014" s="235">
        <f>VLOOKUP(Table8[[#This Row],[Country Code]],Table29[],23,FALSE)</f>
        <v>38.403849844142002</v>
      </c>
      <c r="BA2014" s="235">
        <f>VLOOKUP(Table8[[#This Row],[Country Code]],Table29[],24,FALSE)</f>
        <v>9.6330858743096854</v>
      </c>
      <c r="BB2014" s="320"/>
      <c r="BC2014" s="320"/>
    </row>
    <row r="2015" spans="1:55" ht="45" hidden="1" x14ac:dyDescent="0.25">
      <c r="A2015" s="373">
        <v>17745</v>
      </c>
      <c r="B2015" s="233" t="str">
        <f>VLOOKUP(Table8[[#This Row],[Document ID]],Table1[],2,FALSE)</f>
        <v>LKA</v>
      </c>
      <c r="C2015" s="233" t="str">
        <f>VLOOKUP(Table8[[#This Row],[Document ID]],Table1[],3,FALSE)</f>
        <v>Sri Lanka</v>
      </c>
      <c r="D2015" s="243" t="str">
        <f>VLOOKUP(Table8[[#This Row],[Document ID]],Table1[],5,FALSE)</f>
        <v>NDC</v>
      </c>
      <c r="E2015" s="233" t="str">
        <f>VLOOKUP(Table8[[#This Row],[Document ID]],Table1[],7,FALSE)</f>
        <v>First NDC</v>
      </c>
      <c r="F2015" s="236" t="str">
        <f>VLOOKUP(Table8[[#This Row],[Document ID]],Table1[],8,FALSE)</f>
        <v>NDC 1.0</v>
      </c>
      <c r="G2015" s="236" t="str">
        <f>VLOOKUP(Table8[[#This Row],[Document ID]],Table1[],10,FALSE)</f>
        <v>Archived</v>
      </c>
      <c r="H2015" s="43" t="s">
        <v>2350</v>
      </c>
      <c r="I2015" s="43" t="s">
        <v>2456</v>
      </c>
      <c r="J2015" s="44" t="s">
        <v>2457</v>
      </c>
      <c r="K2015" s="44" t="s">
        <v>4186</v>
      </c>
      <c r="L2015" s="44" t="s">
        <v>2347</v>
      </c>
      <c r="M2015" s="43"/>
      <c r="N2015" s="113"/>
      <c r="O2015" s="113"/>
      <c r="P2015" s="113"/>
      <c r="Q2015" s="319"/>
      <c r="R2015" s="319"/>
      <c r="S2015" s="319"/>
      <c r="T2015" s="319"/>
      <c r="U2015" s="319"/>
      <c r="V2015" s="319"/>
      <c r="W2015" s="319"/>
      <c r="X2015" s="319"/>
      <c r="Y2015" s="319"/>
      <c r="Z2015" s="113" t="s">
        <v>1113</v>
      </c>
      <c r="AA2015" s="319"/>
      <c r="AB2015" s="319"/>
      <c r="AC2015" s="319"/>
      <c r="AD2015" s="319"/>
      <c r="AE2015" s="319"/>
      <c r="AF2015" s="319"/>
      <c r="AG2015" s="319"/>
      <c r="AH2015" s="319"/>
      <c r="AI2015" s="319"/>
      <c r="AJ2015" s="319"/>
      <c r="AK2015" s="319" t="s">
        <v>1113</v>
      </c>
      <c r="AL2015" s="319"/>
      <c r="AM2015" s="319"/>
      <c r="AN2015" s="319"/>
      <c r="AO2015" s="44" t="s">
        <v>2334</v>
      </c>
      <c r="AP2015" s="44"/>
      <c r="AQ2015" s="236" t="str">
        <f>VLOOKUP(Table8[[#This Row],[Instrument]],Def_Targets!$D$73:$E$159,2,FALSE)</f>
        <v>S_Infraimprove</v>
      </c>
      <c r="AR2015" s="233" t="str">
        <f>VLOOKUP(Table8[[#This Row],[Country Code]],Table29[],3,FALSE)</f>
        <v>Non-Annex I</v>
      </c>
      <c r="AS2015" s="233" t="str">
        <f>VLOOKUP(Table8[[#This Row],[Country Code]],Table29[],4,FALSE)</f>
        <v>Asia</v>
      </c>
      <c r="AT2015" s="233" t="str">
        <f>VLOOKUP(Table8[[#This Row],[Country Code]],Table29[],5,FALSE)</f>
        <v>Middle-income</v>
      </c>
      <c r="AU2015" s="233" t="str">
        <f>VLOOKUP(Table8[[#This Row],[Country Code]],Table29[],6,FALSE)</f>
        <v>no</v>
      </c>
      <c r="AV2015" s="233" t="str">
        <f>VLOOKUP(Table8[[#This Row],[Country Code]],Table29[],7,FALSE)</f>
        <v>no</v>
      </c>
      <c r="AW2015" s="233" t="str">
        <f>VLOOKUP(Table8[[#This Row],[Country Code]],Table29[],8,FALSE)</f>
        <v>non-OECD</v>
      </c>
      <c r="AX2015" s="233" t="str">
        <f>VLOOKUP(Table8[[#This Row],[Country Code]],Table29[],9,FALSE)</f>
        <v>no</v>
      </c>
      <c r="AY2015" s="233" t="str">
        <f>VLOOKUP(Table8[[#This Row],[Country Code]],Table29[],10,FALSE)</f>
        <v>no</v>
      </c>
      <c r="AZ2015" s="235">
        <f>VLOOKUP(Table8[[#This Row],[Country Code]],Table29[],23,FALSE)</f>
        <v>38.403849844142002</v>
      </c>
      <c r="BA2015" s="235">
        <f>VLOOKUP(Table8[[#This Row],[Country Code]],Table29[],24,FALSE)</f>
        <v>9.6330858743096854</v>
      </c>
      <c r="BB2015" s="320"/>
      <c r="BC2015" s="320"/>
    </row>
    <row r="2016" spans="1:55" ht="105" hidden="1" x14ac:dyDescent="0.25">
      <c r="A2016" s="373">
        <v>17745</v>
      </c>
      <c r="B2016" s="233" t="str">
        <f>VLOOKUP(Table8[[#This Row],[Document ID]],Table1[],2,FALSE)</f>
        <v>LKA</v>
      </c>
      <c r="C2016" s="233" t="str">
        <f>VLOOKUP(Table8[[#This Row],[Document ID]],Table1[],3,FALSE)</f>
        <v>Sri Lanka</v>
      </c>
      <c r="D2016" s="243" t="str">
        <f>VLOOKUP(Table8[[#This Row],[Document ID]],Table1[],5,FALSE)</f>
        <v>NDC</v>
      </c>
      <c r="E2016" s="233" t="str">
        <f>VLOOKUP(Table8[[#This Row],[Document ID]],Table1[],7,FALSE)</f>
        <v>First NDC</v>
      </c>
      <c r="F2016" s="236" t="str">
        <f>VLOOKUP(Table8[[#This Row],[Document ID]],Table1[],8,FALSE)</f>
        <v>NDC 1.0</v>
      </c>
      <c r="G2016" s="236" t="str">
        <f>VLOOKUP(Table8[[#This Row],[Document ID]],Table1[],10,FALSE)</f>
        <v>Archived</v>
      </c>
      <c r="H2016" s="43" t="s">
        <v>2358</v>
      </c>
      <c r="I2016" s="43" t="s">
        <v>2359</v>
      </c>
      <c r="J2016" s="44" t="s">
        <v>2360</v>
      </c>
      <c r="K2016" s="44" t="s">
        <v>4187</v>
      </c>
      <c r="L2016" s="44" t="s">
        <v>2471</v>
      </c>
      <c r="M2016" s="43"/>
      <c r="N2016" s="113"/>
      <c r="O2016" s="113"/>
      <c r="P2016" s="113"/>
      <c r="Q2016" s="319"/>
      <c r="R2016" s="319"/>
      <c r="S2016" s="319"/>
      <c r="T2016" s="319" t="s">
        <v>1113</v>
      </c>
      <c r="U2016" s="319"/>
      <c r="V2016" s="319"/>
      <c r="W2016" s="319"/>
      <c r="X2016" s="319"/>
      <c r="Y2016" s="319" t="s">
        <v>1113</v>
      </c>
      <c r="Z2016" s="319" t="s">
        <v>1113</v>
      </c>
      <c r="AA2016" s="319"/>
      <c r="AB2016" s="319"/>
      <c r="AC2016" s="319"/>
      <c r="AD2016" s="319" t="s">
        <v>1113</v>
      </c>
      <c r="AE2016" s="319"/>
      <c r="AF2016" s="319" t="s">
        <v>1113</v>
      </c>
      <c r="AG2016" s="319"/>
      <c r="AH2016" s="319"/>
      <c r="AI2016" s="319"/>
      <c r="AJ2016" s="319"/>
      <c r="AK2016" s="319" t="s">
        <v>1113</v>
      </c>
      <c r="AL2016" s="319"/>
      <c r="AM2016" s="319"/>
      <c r="AN2016" s="319"/>
      <c r="AO2016" s="43" t="s">
        <v>2348</v>
      </c>
      <c r="AP2016" s="44"/>
      <c r="AQ2016" s="236" t="str">
        <f>VLOOKUP(Table8[[#This Row],[Instrument]],Def_Targets!$D$73:$E$159,2,FALSE)</f>
        <v>I_Emobility</v>
      </c>
      <c r="AR2016" s="233" t="str">
        <f>VLOOKUP(Table8[[#This Row],[Country Code]],Table29[],3,FALSE)</f>
        <v>Non-Annex I</v>
      </c>
      <c r="AS2016" s="233" t="str">
        <f>VLOOKUP(Table8[[#This Row],[Country Code]],Table29[],4,FALSE)</f>
        <v>Asia</v>
      </c>
      <c r="AT2016" s="233" t="str">
        <f>VLOOKUP(Table8[[#This Row],[Country Code]],Table29[],5,FALSE)</f>
        <v>Middle-income</v>
      </c>
      <c r="AU2016" s="233" t="str">
        <f>VLOOKUP(Table8[[#This Row],[Country Code]],Table29[],6,FALSE)</f>
        <v>no</v>
      </c>
      <c r="AV2016" s="233" t="str">
        <f>VLOOKUP(Table8[[#This Row],[Country Code]],Table29[],7,FALSE)</f>
        <v>no</v>
      </c>
      <c r="AW2016" s="233" t="str">
        <f>VLOOKUP(Table8[[#This Row],[Country Code]],Table29[],8,FALSE)</f>
        <v>non-OECD</v>
      </c>
      <c r="AX2016" s="233" t="str">
        <f>VLOOKUP(Table8[[#This Row],[Country Code]],Table29[],9,FALSE)</f>
        <v>no</v>
      </c>
      <c r="AY2016" s="233" t="str">
        <f>VLOOKUP(Table8[[#This Row],[Country Code]],Table29[],10,FALSE)</f>
        <v>no</v>
      </c>
      <c r="AZ2016" s="235">
        <f>VLOOKUP(Table8[[#This Row],[Country Code]],Table29[],23,FALSE)</f>
        <v>38.403849844142002</v>
      </c>
      <c r="BA2016" s="235">
        <f>VLOOKUP(Table8[[#This Row],[Country Code]],Table29[],24,FALSE)</f>
        <v>9.6330858743096854</v>
      </c>
      <c r="BB2016" s="320"/>
      <c r="BC2016" s="320"/>
    </row>
    <row r="2017" spans="1:55" hidden="1" x14ac:dyDescent="0.25">
      <c r="A2017" s="373">
        <v>17745</v>
      </c>
      <c r="B2017" s="233" t="str">
        <f>VLOOKUP(Table8[[#This Row],[Document ID]],Table1[],2,FALSE)</f>
        <v>LKA</v>
      </c>
      <c r="C2017" s="233" t="str">
        <f>VLOOKUP(Table8[[#This Row],[Document ID]],Table1[],3,FALSE)</f>
        <v>Sri Lanka</v>
      </c>
      <c r="D2017" s="243" t="str">
        <f>VLOOKUP(Table8[[#This Row],[Document ID]],Table1[],5,FALSE)</f>
        <v>NDC</v>
      </c>
      <c r="E2017" s="233" t="str">
        <f>VLOOKUP(Table8[[#This Row],[Document ID]],Table1[],7,FALSE)</f>
        <v>First NDC</v>
      </c>
      <c r="F2017" s="236" t="str">
        <f>VLOOKUP(Table8[[#This Row],[Document ID]],Table1[],8,FALSE)</f>
        <v>NDC 1.0</v>
      </c>
      <c r="G2017" s="236" t="str">
        <f>VLOOKUP(Table8[[#This Row],[Document ID]],Table1[],10,FALSE)</f>
        <v>Archived</v>
      </c>
      <c r="H2017" s="43" t="s">
        <v>2358</v>
      </c>
      <c r="I2017" s="43" t="s">
        <v>2359</v>
      </c>
      <c r="J2017" s="44" t="s">
        <v>2360</v>
      </c>
      <c r="K2017" s="44" t="s">
        <v>4188</v>
      </c>
      <c r="L2017" s="44" t="s">
        <v>2333</v>
      </c>
      <c r="M2017" s="43"/>
      <c r="N2017" s="113"/>
      <c r="O2017" s="113"/>
      <c r="P2017" s="113"/>
      <c r="Q2017" s="113"/>
      <c r="R2017" s="113"/>
      <c r="S2017" s="113"/>
      <c r="T2017" s="113"/>
      <c r="U2017" s="113"/>
      <c r="V2017" s="113"/>
      <c r="W2017" s="113"/>
      <c r="X2017" s="113"/>
      <c r="Y2017" s="113" t="s">
        <v>1113</v>
      </c>
      <c r="Z2017" s="113"/>
      <c r="AA2017" s="113"/>
      <c r="AB2017" s="113"/>
      <c r="AC2017" s="113"/>
      <c r="AD2017" s="113"/>
      <c r="AE2017" s="113"/>
      <c r="AF2017" s="113"/>
      <c r="AG2017" s="113"/>
      <c r="AH2017" s="113"/>
      <c r="AI2017" s="113"/>
      <c r="AJ2017" s="113"/>
      <c r="AK2017" s="319" t="s">
        <v>1113</v>
      </c>
      <c r="AL2017" s="113"/>
      <c r="AM2017" s="113"/>
      <c r="AN2017" s="113"/>
      <c r="AO2017" s="43" t="s">
        <v>2348</v>
      </c>
      <c r="AP2017" s="44"/>
      <c r="AQ2017" s="236" t="str">
        <f>VLOOKUP(Table8[[#This Row],[Instrument]],Def_Targets!$D$73:$E$159,2,FALSE)</f>
        <v>I_Emobility</v>
      </c>
      <c r="AR2017" s="233" t="str">
        <f>VLOOKUP(Table8[[#This Row],[Country Code]],Table29[],3,FALSE)</f>
        <v>Non-Annex I</v>
      </c>
      <c r="AS2017" s="233" t="str">
        <f>VLOOKUP(Table8[[#This Row],[Country Code]],Table29[],4,FALSE)</f>
        <v>Asia</v>
      </c>
      <c r="AT2017" s="233" t="str">
        <f>VLOOKUP(Table8[[#This Row],[Country Code]],Table29[],5,FALSE)</f>
        <v>Middle-income</v>
      </c>
      <c r="AU2017" s="233" t="str">
        <f>VLOOKUP(Table8[[#This Row],[Country Code]],Table29[],6,FALSE)</f>
        <v>no</v>
      </c>
      <c r="AV2017" s="233" t="str">
        <f>VLOOKUP(Table8[[#This Row],[Country Code]],Table29[],7,FALSE)</f>
        <v>no</v>
      </c>
      <c r="AW2017" s="233" t="str">
        <f>VLOOKUP(Table8[[#This Row],[Country Code]],Table29[],8,FALSE)</f>
        <v>non-OECD</v>
      </c>
      <c r="AX2017" s="233" t="str">
        <f>VLOOKUP(Table8[[#This Row],[Country Code]],Table29[],9,FALSE)</f>
        <v>no</v>
      </c>
      <c r="AY2017" s="233" t="str">
        <f>VLOOKUP(Table8[[#This Row],[Country Code]],Table29[],10,FALSE)</f>
        <v>no</v>
      </c>
      <c r="AZ2017" s="235">
        <f>VLOOKUP(Table8[[#This Row],[Country Code]],Table29[],23,FALSE)</f>
        <v>38.403849844142002</v>
      </c>
      <c r="BA2017" s="235">
        <f>VLOOKUP(Table8[[#This Row],[Country Code]],Table29[],24,FALSE)</f>
        <v>9.6330858743096854</v>
      </c>
      <c r="BB2017" s="320"/>
      <c r="BC2017" s="320"/>
    </row>
    <row r="2018" spans="1:55" ht="30" hidden="1" x14ac:dyDescent="0.25">
      <c r="A2018" s="373">
        <v>17745</v>
      </c>
      <c r="B2018" s="233" t="str">
        <f>VLOOKUP(Table8[[#This Row],[Document ID]],Table1[],2,FALSE)</f>
        <v>LKA</v>
      </c>
      <c r="C2018" s="233" t="str">
        <f>VLOOKUP(Table8[[#This Row],[Document ID]],Table1[],3,FALSE)</f>
        <v>Sri Lanka</v>
      </c>
      <c r="D2018" s="243" t="str">
        <f>VLOOKUP(Table8[[#This Row],[Document ID]],Table1[],5,FALSE)</f>
        <v>NDC</v>
      </c>
      <c r="E2018" s="233" t="str">
        <f>VLOOKUP(Table8[[#This Row],[Document ID]],Table1[],7,FALSE)</f>
        <v>First NDC</v>
      </c>
      <c r="F2018" s="236" t="str">
        <f>VLOOKUP(Table8[[#This Row],[Document ID]],Table1[],8,FALSE)</f>
        <v>NDC 1.0</v>
      </c>
      <c r="G2018" s="236" t="str">
        <f>VLOOKUP(Table8[[#This Row],[Document ID]],Table1[],10,FALSE)</f>
        <v>Archived</v>
      </c>
      <c r="H2018" s="43" t="s">
        <v>2343</v>
      </c>
      <c r="I2018" s="43" t="s">
        <v>2344</v>
      </c>
      <c r="J2018" s="44" t="s">
        <v>2345</v>
      </c>
      <c r="K2018" s="44" t="s">
        <v>4189</v>
      </c>
      <c r="L2018" s="44" t="s">
        <v>2347</v>
      </c>
      <c r="M2018" s="43"/>
      <c r="N2018" s="113"/>
      <c r="O2018" s="113"/>
      <c r="P2018" s="113"/>
      <c r="Q2018" s="319"/>
      <c r="R2018" s="319"/>
      <c r="S2018" s="319"/>
      <c r="T2018" s="319"/>
      <c r="U2018" s="319"/>
      <c r="V2018" s="319"/>
      <c r="W2018" s="319"/>
      <c r="X2018" s="319"/>
      <c r="Y2018" s="319"/>
      <c r="Z2018" s="319"/>
      <c r="AA2018" s="319"/>
      <c r="AB2018" s="319"/>
      <c r="AC2018" s="319"/>
      <c r="AD2018" s="319"/>
      <c r="AE2018" s="319"/>
      <c r="AF2018" s="319" t="s">
        <v>1113</v>
      </c>
      <c r="AG2018" s="319"/>
      <c r="AH2018" s="319"/>
      <c r="AI2018" s="319"/>
      <c r="AJ2018" s="319"/>
      <c r="AK2018" s="319" t="s">
        <v>1113</v>
      </c>
      <c r="AL2018" s="319"/>
      <c r="AM2018" s="319"/>
      <c r="AN2018" s="319"/>
      <c r="AO2018" s="43" t="s">
        <v>2348</v>
      </c>
      <c r="AP2018" s="44"/>
      <c r="AQ2018" s="236" t="str">
        <f>VLOOKUP(Table8[[#This Row],[Instrument]],Def_Targets!$D$73:$E$159,2,FALSE)</f>
        <v>S_PublicTransport</v>
      </c>
      <c r="AR2018" s="233" t="str">
        <f>VLOOKUP(Table8[[#This Row],[Country Code]],Table29[],3,FALSE)</f>
        <v>Non-Annex I</v>
      </c>
      <c r="AS2018" s="233" t="str">
        <f>VLOOKUP(Table8[[#This Row],[Country Code]],Table29[],4,FALSE)</f>
        <v>Asia</v>
      </c>
      <c r="AT2018" s="233" t="str">
        <f>VLOOKUP(Table8[[#This Row],[Country Code]],Table29[],5,FALSE)</f>
        <v>Middle-income</v>
      </c>
      <c r="AU2018" s="233" t="str">
        <f>VLOOKUP(Table8[[#This Row],[Country Code]],Table29[],6,FALSE)</f>
        <v>no</v>
      </c>
      <c r="AV2018" s="233" t="str">
        <f>VLOOKUP(Table8[[#This Row],[Country Code]],Table29[],7,FALSE)</f>
        <v>no</v>
      </c>
      <c r="AW2018" s="233" t="str">
        <f>VLOOKUP(Table8[[#This Row],[Country Code]],Table29[],8,FALSE)</f>
        <v>non-OECD</v>
      </c>
      <c r="AX2018" s="233" t="str">
        <f>VLOOKUP(Table8[[#This Row],[Country Code]],Table29[],9,FALSE)</f>
        <v>no</v>
      </c>
      <c r="AY2018" s="233" t="str">
        <f>VLOOKUP(Table8[[#This Row],[Country Code]],Table29[],10,FALSE)</f>
        <v>no</v>
      </c>
      <c r="AZ2018" s="235">
        <f>VLOOKUP(Table8[[#This Row],[Country Code]],Table29[],23,FALSE)</f>
        <v>38.403849844142002</v>
      </c>
      <c r="BA2018" s="235">
        <f>VLOOKUP(Table8[[#This Row],[Country Code]],Table29[],24,FALSE)</f>
        <v>9.6330858743096854</v>
      </c>
      <c r="BB2018" s="320"/>
      <c r="BC2018" s="320"/>
    </row>
    <row r="2019" spans="1:55" ht="60" hidden="1" x14ac:dyDescent="0.25">
      <c r="A2019" s="373">
        <v>17745</v>
      </c>
      <c r="B2019" s="233" t="str">
        <f>VLOOKUP(Table8[[#This Row],[Document ID]],Table1[],2,FALSE)</f>
        <v>LKA</v>
      </c>
      <c r="C2019" s="233" t="str">
        <f>VLOOKUP(Table8[[#This Row],[Document ID]],Table1[],3,FALSE)</f>
        <v>Sri Lanka</v>
      </c>
      <c r="D2019" s="243" t="str">
        <f>VLOOKUP(Table8[[#This Row],[Document ID]],Table1[],5,FALSE)</f>
        <v>NDC</v>
      </c>
      <c r="E2019" s="233" t="str">
        <f>VLOOKUP(Table8[[#This Row],[Document ID]],Table1[],7,FALSE)</f>
        <v>First NDC</v>
      </c>
      <c r="F2019" s="236" t="str">
        <f>VLOOKUP(Table8[[#This Row],[Document ID]],Table1[],8,FALSE)</f>
        <v>NDC 1.0</v>
      </c>
      <c r="G2019" s="236" t="str">
        <f>VLOOKUP(Table8[[#This Row],[Document ID]],Table1[],10,FALSE)</f>
        <v>Archived</v>
      </c>
      <c r="H2019" s="43" t="s">
        <v>2484</v>
      </c>
      <c r="I2019" s="43" t="s">
        <v>2485</v>
      </c>
      <c r="J2019" s="44" t="s">
        <v>2486</v>
      </c>
      <c r="K2019" s="44" t="s">
        <v>4190</v>
      </c>
      <c r="L2019" s="44" t="s">
        <v>2333</v>
      </c>
      <c r="M2019" s="43"/>
      <c r="N2019" s="113"/>
      <c r="O2019" s="113"/>
      <c r="P2019" s="113"/>
      <c r="Q2019" s="319"/>
      <c r="R2019" s="319"/>
      <c r="S2019" s="319"/>
      <c r="T2019" s="319"/>
      <c r="U2019" s="319"/>
      <c r="V2019" s="319"/>
      <c r="W2019" s="319"/>
      <c r="X2019" s="319"/>
      <c r="Y2019" s="319"/>
      <c r="Z2019" s="319"/>
      <c r="AA2019" s="319"/>
      <c r="AB2019" s="319"/>
      <c r="AC2019" s="319"/>
      <c r="AD2019" s="113" t="s">
        <v>1113</v>
      </c>
      <c r="AE2019" s="319"/>
      <c r="AF2019" s="319"/>
      <c r="AG2019" s="319"/>
      <c r="AH2019" s="319"/>
      <c r="AI2019" s="319"/>
      <c r="AJ2019" s="319"/>
      <c r="AK2019" s="319" t="s">
        <v>1113</v>
      </c>
      <c r="AL2019" s="319"/>
      <c r="AM2019" s="319"/>
      <c r="AN2019" s="319"/>
      <c r="AO2019" s="44" t="s">
        <v>2334</v>
      </c>
      <c r="AP2019" s="44"/>
      <c r="AQ2019" s="236" t="str">
        <f>VLOOKUP(Table8[[#This Row],[Instrument]],Def_Targets!$D$73:$E$159,2,FALSE)</f>
        <v>I_Shipping</v>
      </c>
      <c r="AR2019" s="233" t="str">
        <f>VLOOKUP(Table8[[#This Row],[Country Code]],Table29[],3,FALSE)</f>
        <v>Non-Annex I</v>
      </c>
      <c r="AS2019" s="233" t="str">
        <f>VLOOKUP(Table8[[#This Row],[Country Code]],Table29[],4,FALSE)</f>
        <v>Asia</v>
      </c>
      <c r="AT2019" s="233" t="str">
        <f>VLOOKUP(Table8[[#This Row],[Country Code]],Table29[],5,FALSE)</f>
        <v>Middle-income</v>
      </c>
      <c r="AU2019" s="233" t="str">
        <f>VLOOKUP(Table8[[#This Row],[Country Code]],Table29[],6,FALSE)</f>
        <v>no</v>
      </c>
      <c r="AV2019" s="233" t="str">
        <f>VLOOKUP(Table8[[#This Row],[Country Code]],Table29[],7,FALSE)</f>
        <v>no</v>
      </c>
      <c r="AW2019" s="233" t="str">
        <f>VLOOKUP(Table8[[#This Row],[Country Code]],Table29[],8,FALSE)</f>
        <v>non-OECD</v>
      </c>
      <c r="AX2019" s="233" t="str">
        <f>VLOOKUP(Table8[[#This Row],[Country Code]],Table29[],9,FALSE)</f>
        <v>no</v>
      </c>
      <c r="AY2019" s="233" t="str">
        <f>VLOOKUP(Table8[[#This Row],[Country Code]],Table29[],10,FALSE)</f>
        <v>no</v>
      </c>
      <c r="AZ2019" s="235">
        <f>VLOOKUP(Table8[[#This Row],[Country Code]],Table29[],23,FALSE)</f>
        <v>38.403849844142002</v>
      </c>
      <c r="BA2019" s="235">
        <f>VLOOKUP(Table8[[#This Row],[Country Code]],Table29[],24,FALSE)</f>
        <v>9.6330858743096854</v>
      </c>
      <c r="BB2019" s="320"/>
      <c r="BC2019" s="320"/>
    </row>
    <row r="2020" spans="1:55" hidden="1" x14ac:dyDescent="0.25">
      <c r="A2020" s="373">
        <v>17745</v>
      </c>
      <c r="B2020" s="233" t="str">
        <f>VLOOKUP(Table8[[#This Row],[Document ID]],Table1[],2,FALSE)</f>
        <v>LKA</v>
      </c>
      <c r="C2020" s="233" t="str">
        <f>VLOOKUP(Table8[[#This Row],[Document ID]],Table1[],3,FALSE)</f>
        <v>Sri Lanka</v>
      </c>
      <c r="D2020" s="243" t="str">
        <f>VLOOKUP(Table8[[#This Row],[Document ID]],Table1[],5,FALSE)</f>
        <v>NDC</v>
      </c>
      <c r="E2020" s="233" t="str">
        <f>VLOOKUP(Table8[[#This Row],[Document ID]],Table1[],7,FALSE)</f>
        <v>First NDC</v>
      </c>
      <c r="F2020" s="236" t="str">
        <f>VLOOKUP(Table8[[#This Row],[Document ID]],Table1[],8,FALSE)</f>
        <v>NDC 1.0</v>
      </c>
      <c r="G2020" s="236" t="str">
        <f>VLOOKUP(Table8[[#This Row],[Document ID]],Table1[],10,FALSE)</f>
        <v>Archived</v>
      </c>
      <c r="H2020" s="43" t="s">
        <v>2358</v>
      </c>
      <c r="I2020" s="43" t="s">
        <v>2359</v>
      </c>
      <c r="J2020" s="44" t="s">
        <v>2360</v>
      </c>
      <c r="K2020" s="44" t="s">
        <v>4191</v>
      </c>
      <c r="L2020" s="44" t="s">
        <v>2333</v>
      </c>
      <c r="M2020" s="43"/>
      <c r="N2020" s="113" t="s">
        <v>1113</v>
      </c>
      <c r="O2020" s="113"/>
      <c r="P2020" s="113"/>
      <c r="Q2020" s="319"/>
      <c r="R2020" s="319"/>
      <c r="S2020" s="319"/>
      <c r="T2020" s="319"/>
      <c r="U2020" s="319"/>
      <c r="V2020" s="319"/>
      <c r="W2020" s="319"/>
      <c r="X2020" s="319"/>
      <c r="Y2020" s="319"/>
      <c r="Z2020" s="319"/>
      <c r="AA2020" s="319"/>
      <c r="AB2020" s="319"/>
      <c r="AC2020" s="319"/>
      <c r="AD2020" s="319"/>
      <c r="AE2020" s="319"/>
      <c r="AF2020" s="319"/>
      <c r="AG2020" s="319"/>
      <c r="AH2020" s="319"/>
      <c r="AI2020" s="319"/>
      <c r="AJ2020" s="319"/>
      <c r="AK2020" s="319" t="s">
        <v>1113</v>
      </c>
      <c r="AL2020" s="319"/>
      <c r="AM2020" s="319"/>
      <c r="AN2020" s="319"/>
      <c r="AO2020" s="44" t="s">
        <v>2334</v>
      </c>
      <c r="AP2020" s="44"/>
      <c r="AQ2020" s="236" t="str">
        <f>VLOOKUP(Table8[[#This Row],[Instrument]],Def_Targets!$D$73:$E$159,2,FALSE)</f>
        <v>I_Emobility</v>
      </c>
      <c r="AR2020" s="233" t="str">
        <f>VLOOKUP(Table8[[#This Row],[Country Code]],Table29[],3,FALSE)</f>
        <v>Non-Annex I</v>
      </c>
      <c r="AS2020" s="233" t="str">
        <f>VLOOKUP(Table8[[#This Row],[Country Code]],Table29[],4,FALSE)</f>
        <v>Asia</v>
      </c>
      <c r="AT2020" s="233" t="str">
        <f>VLOOKUP(Table8[[#This Row],[Country Code]],Table29[],5,FALSE)</f>
        <v>Middle-income</v>
      </c>
      <c r="AU2020" s="233" t="str">
        <f>VLOOKUP(Table8[[#This Row],[Country Code]],Table29[],6,FALSE)</f>
        <v>no</v>
      </c>
      <c r="AV2020" s="233" t="str">
        <f>VLOOKUP(Table8[[#This Row],[Country Code]],Table29[],7,FALSE)</f>
        <v>no</v>
      </c>
      <c r="AW2020" s="233" t="str">
        <f>VLOOKUP(Table8[[#This Row],[Country Code]],Table29[],8,FALSE)</f>
        <v>non-OECD</v>
      </c>
      <c r="AX2020" s="233" t="str">
        <f>VLOOKUP(Table8[[#This Row],[Country Code]],Table29[],9,FALSE)</f>
        <v>no</v>
      </c>
      <c r="AY2020" s="233" t="str">
        <f>VLOOKUP(Table8[[#This Row],[Country Code]],Table29[],10,FALSE)</f>
        <v>no</v>
      </c>
      <c r="AZ2020" s="235">
        <f>VLOOKUP(Table8[[#This Row],[Country Code]],Table29[],23,FALSE)</f>
        <v>38.403849844142002</v>
      </c>
      <c r="BA2020" s="235">
        <f>VLOOKUP(Table8[[#This Row],[Country Code]],Table29[],24,FALSE)</f>
        <v>9.6330858743096854</v>
      </c>
      <c r="BB2020" s="320"/>
      <c r="BC2020" s="320"/>
    </row>
    <row r="2021" spans="1:55" hidden="1" x14ac:dyDescent="0.25">
      <c r="A2021" s="373">
        <v>17745</v>
      </c>
      <c r="B2021" s="233" t="str">
        <f>VLOOKUP(Table8[[#This Row],[Document ID]],Table1[],2,FALSE)</f>
        <v>LKA</v>
      </c>
      <c r="C2021" s="233" t="str">
        <f>VLOOKUP(Table8[[#This Row],[Document ID]],Table1[],3,FALSE)</f>
        <v>Sri Lanka</v>
      </c>
      <c r="D2021" s="243" t="str">
        <f>VLOOKUP(Table8[[#This Row],[Document ID]],Table1[],5,FALSE)</f>
        <v>NDC</v>
      </c>
      <c r="E2021" s="233" t="str">
        <f>VLOOKUP(Table8[[#This Row],[Document ID]],Table1[],7,FALSE)</f>
        <v>First NDC</v>
      </c>
      <c r="F2021" s="236" t="str">
        <f>VLOOKUP(Table8[[#This Row],[Document ID]],Table1[],8,FALSE)</f>
        <v>NDC 1.0</v>
      </c>
      <c r="G2021" s="236" t="str">
        <f>VLOOKUP(Table8[[#This Row],[Document ID]],Table1[],10,FALSE)</f>
        <v>Archived</v>
      </c>
      <c r="H2021" s="44" t="s">
        <v>2338</v>
      </c>
      <c r="I2021" s="44" t="s">
        <v>2339</v>
      </c>
      <c r="J2021" s="44" t="s">
        <v>2425</v>
      </c>
      <c r="K2021" s="44" t="s">
        <v>4192</v>
      </c>
      <c r="L2021" s="44" t="s">
        <v>2333</v>
      </c>
      <c r="M2021" s="43"/>
      <c r="N2021" s="113"/>
      <c r="O2021" s="113"/>
      <c r="P2021" s="113"/>
      <c r="Q2021" s="319"/>
      <c r="R2021" s="319"/>
      <c r="S2021" s="113" t="s">
        <v>1113</v>
      </c>
      <c r="T2021" s="319"/>
      <c r="U2021" s="319"/>
      <c r="V2021" s="319"/>
      <c r="W2021" s="319"/>
      <c r="X2021" s="319"/>
      <c r="Y2021" s="319"/>
      <c r="Z2021" s="319"/>
      <c r="AA2021" s="319"/>
      <c r="AB2021" s="319"/>
      <c r="AC2021" s="319"/>
      <c r="AD2021" s="319"/>
      <c r="AE2021" s="319"/>
      <c r="AF2021" s="319"/>
      <c r="AG2021" s="319"/>
      <c r="AH2021" s="319"/>
      <c r="AI2021" s="319"/>
      <c r="AJ2021" s="319"/>
      <c r="AK2021" s="319" t="s">
        <v>1113</v>
      </c>
      <c r="AL2021" s="319"/>
      <c r="AM2021" s="319"/>
      <c r="AN2021" s="319"/>
      <c r="AO2021" s="44" t="s">
        <v>2334</v>
      </c>
      <c r="AP2021" s="44"/>
      <c r="AQ2021" s="236" t="str">
        <f>VLOOKUP(Table8[[#This Row],[Instrument]],Def_Targets!$D$73:$E$159,2,FALSE)</f>
        <v>I_Efficiencystd</v>
      </c>
      <c r="AR2021" s="233" t="str">
        <f>VLOOKUP(Table8[[#This Row],[Country Code]],Table29[],3,FALSE)</f>
        <v>Non-Annex I</v>
      </c>
      <c r="AS2021" s="233" t="str">
        <f>VLOOKUP(Table8[[#This Row],[Country Code]],Table29[],4,FALSE)</f>
        <v>Asia</v>
      </c>
      <c r="AT2021" s="233" t="str">
        <f>VLOOKUP(Table8[[#This Row],[Country Code]],Table29[],5,FALSE)</f>
        <v>Middle-income</v>
      </c>
      <c r="AU2021" s="233" t="str">
        <f>VLOOKUP(Table8[[#This Row],[Country Code]],Table29[],6,FALSE)</f>
        <v>no</v>
      </c>
      <c r="AV2021" s="233" t="str">
        <f>VLOOKUP(Table8[[#This Row],[Country Code]],Table29[],7,FALSE)</f>
        <v>no</v>
      </c>
      <c r="AW2021" s="233" t="str">
        <f>VLOOKUP(Table8[[#This Row],[Country Code]],Table29[],8,FALSE)</f>
        <v>non-OECD</v>
      </c>
      <c r="AX2021" s="233" t="str">
        <f>VLOOKUP(Table8[[#This Row],[Country Code]],Table29[],9,FALSE)</f>
        <v>no</v>
      </c>
      <c r="AY2021" s="233" t="str">
        <f>VLOOKUP(Table8[[#This Row],[Country Code]],Table29[],10,FALSE)</f>
        <v>no</v>
      </c>
      <c r="AZ2021" s="235">
        <f>VLOOKUP(Table8[[#This Row],[Country Code]],Table29[],23,FALSE)</f>
        <v>38.403849844142002</v>
      </c>
      <c r="BA2021" s="235">
        <f>VLOOKUP(Table8[[#This Row],[Country Code]],Table29[],24,FALSE)</f>
        <v>9.6330858743096854</v>
      </c>
      <c r="BB2021" s="320"/>
      <c r="BC2021" s="320"/>
    </row>
    <row r="2022" spans="1:55" hidden="1" x14ac:dyDescent="0.25">
      <c r="A2022" s="373">
        <v>17745</v>
      </c>
      <c r="B2022" s="233" t="str">
        <f>VLOOKUP(Table8[[#This Row],[Document ID]],Table1[],2,FALSE)</f>
        <v>LKA</v>
      </c>
      <c r="C2022" s="233" t="str">
        <f>VLOOKUP(Table8[[#This Row],[Document ID]],Table1[],3,FALSE)</f>
        <v>Sri Lanka</v>
      </c>
      <c r="D2022" s="243" t="str">
        <f>VLOOKUP(Table8[[#This Row],[Document ID]],Table1[],5,FALSE)</f>
        <v>NDC</v>
      </c>
      <c r="E2022" s="233" t="str">
        <f>VLOOKUP(Table8[[#This Row],[Document ID]],Table1[],7,FALSE)</f>
        <v>First NDC</v>
      </c>
      <c r="F2022" s="236" t="str">
        <f>VLOOKUP(Table8[[#This Row],[Document ID]],Table1[],8,FALSE)</f>
        <v>NDC 1.0</v>
      </c>
      <c r="G2022" s="236" t="str">
        <f>VLOOKUP(Table8[[#This Row],[Document ID]],Table1[],10,FALSE)</f>
        <v>Archived</v>
      </c>
      <c r="H2022" s="44" t="s">
        <v>2338</v>
      </c>
      <c r="I2022" s="44" t="s">
        <v>2339</v>
      </c>
      <c r="J2022" s="44" t="s">
        <v>2451</v>
      </c>
      <c r="K2022" s="44" t="s">
        <v>4193</v>
      </c>
      <c r="L2022" s="44" t="s">
        <v>2333</v>
      </c>
      <c r="M2022" s="43"/>
      <c r="N2022" s="113"/>
      <c r="O2022" s="113"/>
      <c r="P2022" s="113"/>
      <c r="Q2022" s="319"/>
      <c r="R2022" s="319"/>
      <c r="S2022" s="113" t="s">
        <v>1113</v>
      </c>
      <c r="T2022" s="319"/>
      <c r="U2022" s="319"/>
      <c r="V2022" s="319"/>
      <c r="W2022" s="319"/>
      <c r="X2022" s="319"/>
      <c r="Y2022" s="319"/>
      <c r="Z2022" s="319"/>
      <c r="AA2022" s="319"/>
      <c r="AB2022" s="319"/>
      <c r="AC2022" s="319"/>
      <c r="AD2022" s="319"/>
      <c r="AE2022" s="319"/>
      <c r="AF2022" s="319"/>
      <c r="AG2022" s="319"/>
      <c r="AH2022" s="319"/>
      <c r="AI2022" s="319"/>
      <c r="AJ2022" s="319"/>
      <c r="AK2022" s="319" t="s">
        <v>1113</v>
      </c>
      <c r="AL2022" s="319"/>
      <c r="AM2022" s="319"/>
      <c r="AN2022" s="319"/>
      <c r="AO2022" s="44" t="s">
        <v>2334</v>
      </c>
      <c r="AP2022" s="44"/>
      <c r="AQ2022" s="236" t="str">
        <f>VLOOKUP(Table8[[#This Row],[Instrument]],Def_Targets!$D$73:$E$159,2,FALSE)</f>
        <v>I_Inspection</v>
      </c>
      <c r="AR2022" s="233" t="str">
        <f>VLOOKUP(Table8[[#This Row],[Country Code]],Table29[],3,FALSE)</f>
        <v>Non-Annex I</v>
      </c>
      <c r="AS2022" s="233" t="str">
        <f>VLOOKUP(Table8[[#This Row],[Country Code]],Table29[],4,FALSE)</f>
        <v>Asia</v>
      </c>
      <c r="AT2022" s="233" t="str">
        <f>VLOOKUP(Table8[[#This Row],[Country Code]],Table29[],5,FALSE)</f>
        <v>Middle-income</v>
      </c>
      <c r="AU2022" s="233" t="str">
        <f>VLOOKUP(Table8[[#This Row],[Country Code]],Table29[],6,FALSE)</f>
        <v>no</v>
      </c>
      <c r="AV2022" s="233" t="str">
        <f>VLOOKUP(Table8[[#This Row],[Country Code]],Table29[],7,FALSE)</f>
        <v>no</v>
      </c>
      <c r="AW2022" s="233" t="str">
        <f>VLOOKUP(Table8[[#This Row],[Country Code]],Table29[],8,FALSE)</f>
        <v>non-OECD</v>
      </c>
      <c r="AX2022" s="233" t="str">
        <f>VLOOKUP(Table8[[#This Row],[Country Code]],Table29[],9,FALSE)</f>
        <v>no</v>
      </c>
      <c r="AY2022" s="233" t="str">
        <f>VLOOKUP(Table8[[#This Row],[Country Code]],Table29[],10,FALSE)</f>
        <v>no</v>
      </c>
      <c r="AZ2022" s="235">
        <f>VLOOKUP(Table8[[#This Row],[Country Code]],Table29[],23,FALSE)</f>
        <v>38.403849844142002</v>
      </c>
      <c r="BA2022" s="235">
        <f>VLOOKUP(Table8[[#This Row],[Country Code]],Table29[],24,FALSE)</f>
        <v>9.6330858743096854</v>
      </c>
      <c r="BB2022" s="320"/>
      <c r="BC2022" s="320"/>
    </row>
    <row r="2023" spans="1:55" hidden="1" x14ac:dyDescent="0.25">
      <c r="A2023" s="373">
        <v>21314</v>
      </c>
      <c r="B2023" s="233" t="str">
        <f>VLOOKUP(Table8[[#This Row],[Document ID]],Table1[],2,FALSE)</f>
        <v>LKA</v>
      </c>
      <c r="C2023" s="233" t="str">
        <f>VLOOKUP(Table8[[#This Row],[Document ID]],Table1[],3,FALSE)</f>
        <v>Sri Lanka</v>
      </c>
      <c r="D2023" s="243" t="str">
        <f>VLOOKUP(Table8[[#This Row],[Document ID]],Table1[],5,FALSE)</f>
        <v>NDC</v>
      </c>
      <c r="E2023" s="233" t="str">
        <f>VLOOKUP(Table8[[#This Row],[Document ID]],Table1[],7,FALSE)</f>
        <v>First NDC updated</v>
      </c>
      <c r="F2023" s="233" t="str">
        <f>VLOOKUP(Table8[[#This Row],[Document ID]],Table1[],8,FALSE)</f>
        <v>NDC 1.1</v>
      </c>
      <c r="G2023" s="233" t="str">
        <f>VLOOKUP(Table8[[#This Row],[Document ID]],Table1[],10,FALSE)</f>
        <v>Active</v>
      </c>
      <c r="H2023" s="43" t="s">
        <v>2343</v>
      </c>
      <c r="I2023" s="43" t="s">
        <v>2377</v>
      </c>
      <c r="J2023" s="44" t="s">
        <v>2394</v>
      </c>
      <c r="K2023" s="44" t="s">
        <v>4194</v>
      </c>
      <c r="L2023" s="44" t="s">
        <v>2380</v>
      </c>
      <c r="M2023" s="43">
        <v>13</v>
      </c>
      <c r="N2023" s="113" t="s">
        <v>1113</v>
      </c>
      <c r="O2023" s="113"/>
      <c r="P2023" s="113"/>
      <c r="Q2023" s="113"/>
      <c r="R2023" s="113"/>
      <c r="S2023" s="113"/>
      <c r="T2023" s="113"/>
      <c r="U2023" s="113"/>
      <c r="V2023" s="113"/>
      <c r="W2023" s="113"/>
      <c r="X2023" s="113"/>
      <c r="Y2023" s="113"/>
      <c r="Z2023" s="113"/>
      <c r="AA2023" s="113"/>
      <c r="AB2023" s="113"/>
      <c r="AC2023" s="113"/>
      <c r="AD2023" s="113"/>
      <c r="AE2023" s="113"/>
      <c r="AF2023" s="113"/>
      <c r="AG2023" s="113"/>
      <c r="AH2023" s="113"/>
      <c r="AI2023" s="113"/>
      <c r="AJ2023" s="113"/>
      <c r="AK2023" s="113" t="s">
        <v>1113</v>
      </c>
      <c r="AL2023" s="113"/>
      <c r="AM2023" s="113"/>
      <c r="AN2023" s="113"/>
      <c r="AO2023" s="44" t="s">
        <v>2334</v>
      </c>
      <c r="AP2023" s="43"/>
      <c r="AQ2023" s="236" t="str">
        <f>VLOOKUP(Table8[[#This Row],[Instrument]],Def_Targets!$D$73:$E$159,2,FALSE)</f>
        <v>A_TDM</v>
      </c>
      <c r="AR2023" s="233" t="str">
        <f>VLOOKUP(Table8[[#This Row],[Country Code]],Table29[],3,FALSE)</f>
        <v>Non-Annex I</v>
      </c>
      <c r="AS2023" s="233" t="str">
        <f>VLOOKUP(Table8[[#This Row],[Country Code]],Table29[],4,FALSE)</f>
        <v>Asia</v>
      </c>
      <c r="AT2023" s="233" t="str">
        <f>VLOOKUP(Table8[[#This Row],[Country Code]],Table29[],5,FALSE)</f>
        <v>Middle-income</v>
      </c>
      <c r="AU2023" s="233" t="str">
        <f>VLOOKUP(Table8[[#This Row],[Country Code]],Table29[],6,FALSE)</f>
        <v>no</v>
      </c>
      <c r="AV2023" s="233" t="str">
        <f>VLOOKUP(Table8[[#This Row],[Country Code]],Table29[],7,FALSE)</f>
        <v>no</v>
      </c>
      <c r="AW2023" s="233" t="str">
        <f>VLOOKUP(Table8[[#This Row],[Country Code]],Table29[],8,FALSE)</f>
        <v>non-OECD</v>
      </c>
      <c r="AX2023" s="233" t="str">
        <f>VLOOKUP(Table8[[#This Row],[Country Code]],Table29[],9,FALSE)</f>
        <v>no</v>
      </c>
      <c r="AY2023" s="233" t="str">
        <f>VLOOKUP(Table8[[#This Row],[Country Code]],Table29[],10,FALSE)</f>
        <v>no</v>
      </c>
      <c r="AZ2023" s="235">
        <f>VLOOKUP(Table8[[#This Row],[Country Code]],Table29[],23,FALSE)</f>
        <v>38.403849844142002</v>
      </c>
      <c r="BA2023" s="235">
        <f>VLOOKUP(Table8[[#This Row],[Country Code]],Table29[],24,FALSE)</f>
        <v>9.6330858743096854</v>
      </c>
      <c r="BB2023" s="320"/>
      <c r="BC2023" s="320"/>
    </row>
    <row r="2024" spans="1:55" hidden="1" x14ac:dyDescent="0.25">
      <c r="A2024" s="373">
        <v>21314</v>
      </c>
      <c r="B2024" s="233" t="str">
        <f>VLOOKUP(Table8[[#This Row],[Document ID]],Table1[],2,FALSE)</f>
        <v>LKA</v>
      </c>
      <c r="C2024" s="233" t="str">
        <f>VLOOKUP(Table8[[#This Row],[Document ID]],Table1[],3,FALSE)</f>
        <v>Sri Lanka</v>
      </c>
      <c r="D2024" s="243" t="str">
        <f>VLOOKUP(Table8[[#This Row],[Document ID]],Table1[],5,FALSE)</f>
        <v>NDC</v>
      </c>
      <c r="E2024" s="233" t="str">
        <f>VLOOKUP(Table8[[#This Row],[Document ID]],Table1[],7,FALSE)</f>
        <v>First NDC updated</v>
      </c>
      <c r="F2024" s="233" t="str">
        <f>VLOOKUP(Table8[[#This Row],[Document ID]],Table1[],8,FALSE)</f>
        <v>NDC 1.1</v>
      </c>
      <c r="G2024" s="233" t="str">
        <f>VLOOKUP(Table8[[#This Row],[Document ID]],Table1[],10,FALSE)</f>
        <v>Active</v>
      </c>
      <c r="H2024" s="43" t="s">
        <v>2343</v>
      </c>
      <c r="I2024" s="43" t="s">
        <v>2377</v>
      </c>
      <c r="J2024" s="44" t="s">
        <v>2378</v>
      </c>
      <c r="K2024" s="44" t="s">
        <v>4195</v>
      </c>
      <c r="L2024" s="44" t="s">
        <v>2380</v>
      </c>
      <c r="M2024" s="43">
        <v>13</v>
      </c>
      <c r="N2024" s="113" t="s">
        <v>1113</v>
      </c>
      <c r="O2024" s="113"/>
      <c r="P2024" s="113"/>
      <c r="Q2024" s="113"/>
      <c r="R2024" s="113"/>
      <c r="S2024" s="113"/>
      <c r="T2024" s="113"/>
      <c r="U2024" s="113"/>
      <c r="V2024" s="113"/>
      <c r="W2024" s="113"/>
      <c r="X2024" s="113"/>
      <c r="Y2024" s="113"/>
      <c r="Z2024" s="113"/>
      <c r="AA2024" s="113"/>
      <c r="AB2024" s="113"/>
      <c r="AC2024" s="113"/>
      <c r="AD2024" s="113"/>
      <c r="AE2024" s="113"/>
      <c r="AF2024" s="113"/>
      <c r="AG2024" s="113"/>
      <c r="AH2024" s="113"/>
      <c r="AI2024" s="113"/>
      <c r="AJ2024" s="113"/>
      <c r="AK2024" s="113" t="s">
        <v>1113</v>
      </c>
      <c r="AL2024" s="113"/>
      <c r="AM2024" s="113"/>
      <c r="AN2024" s="113"/>
      <c r="AO2024" s="44" t="s">
        <v>2334</v>
      </c>
      <c r="AP2024" s="43"/>
      <c r="AQ2024" s="236" t="str">
        <f>VLOOKUP(Table8[[#This Row],[Instrument]],Def_Targets!$D$73:$E$159,2,FALSE)</f>
        <v>A_Commute</v>
      </c>
      <c r="AR2024" s="233" t="str">
        <f>VLOOKUP(Table8[[#This Row],[Country Code]],Table29[],3,FALSE)</f>
        <v>Non-Annex I</v>
      </c>
      <c r="AS2024" s="233" t="str">
        <f>VLOOKUP(Table8[[#This Row],[Country Code]],Table29[],4,FALSE)</f>
        <v>Asia</v>
      </c>
      <c r="AT2024" s="233" t="str">
        <f>VLOOKUP(Table8[[#This Row],[Country Code]],Table29[],5,FALSE)</f>
        <v>Middle-income</v>
      </c>
      <c r="AU2024" s="233" t="str">
        <f>VLOOKUP(Table8[[#This Row],[Country Code]],Table29[],6,FALSE)</f>
        <v>no</v>
      </c>
      <c r="AV2024" s="233" t="str">
        <f>VLOOKUP(Table8[[#This Row],[Country Code]],Table29[],7,FALSE)</f>
        <v>no</v>
      </c>
      <c r="AW2024" s="233" t="str">
        <f>VLOOKUP(Table8[[#This Row],[Country Code]],Table29[],8,FALSE)</f>
        <v>non-OECD</v>
      </c>
      <c r="AX2024" s="233" t="str">
        <f>VLOOKUP(Table8[[#This Row],[Country Code]],Table29[],9,FALSE)</f>
        <v>no</v>
      </c>
      <c r="AY2024" s="233" t="str">
        <f>VLOOKUP(Table8[[#This Row],[Country Code]],Table29[],10,FALSE)</f>
        <v>no</v>
      </c>
      <c r="AZ2024" s="235">
        <f>VLOOKUP(Table8[[#This Row],[Country Code]],Table29[],23,FALSE)</f>
        <v>38.403849844142002</v>
      </c>
      <c r="BA2024" s="235">
        <f>VLOOKUP(Table8[[#This Row],[Country Code]],Table29[],24,FALSE)</f>
        <v>9.6330858743096854</v>
      </c>
      <c r="BB2024" s="320"/>
      <c r="BC2024" s="320"/>
    </row>
    <row r="2025" spans="1:55" hidden="1" x14ac:dyDescent="0.25">
      <c r="A2025" s="373">
        <v>21314</v>
      </c>
      <c r="B2025" s="233" t="str">
        <f>VLOOKUP(Table8[[#This Row],[Document ID]],Table1[],2,FALSE)</f>
        <v>LKA</v>
      </c>
      <c r="C2025" s="233" t="str">
        <f>VLOOKUP(Table8[[#This Row],[Document ID]],Table1[],3,FALSE)</f>
        <v>Sri Lanka</v>
      </c>
      <c r="D2025" s="243" t="str">
        <f>VLOOKUP(Table8[[#This Row],[Document ID]],Table1[],5,FALSE)</f>
        <v>NDC</v>
      </c>
      <c r="E2025" s="233" t="str">
        <f>VLOOKUP(Table8[[#This Row],[Document ID]],Table1[],7,FALSE)</f>
        <v>First NDC updated</v>
      </c>
      <c r="F2025" s="233" t="str">
        <f>VLOOKUP(Table8[[#This Row],[Document ID]],Table1[],8,FALSE)</f>
        <v>NDC 1.1</v>
      </c>
      <c r="G2025" s="233" t="str">
        <f>VLOOKUP(Table8[[#This Row],[Document ID]],Table1[],10,FALSE)</f>
        <v>Active</v>
      </c>
      <c r="H2025" s="43" t="s">
        <v>2350</v>
      </c>
      <c r="I2025" s="43" t="s">
        <v>2370</v>
      </c>
      <c r="J2025" s="44" t="s">
        <v>2511</v>
      </c>
      <c r="K2025" s="44" t="s">
        <v>4196</v>
      </c>
      <c r="L2025" s="44" t="s">
        <v>2333</v>
      </c>
      <c r="M2025" s="43">
        <v>13</v>
      </c>
      <c r="N2025" s="113" t="s">
        <v>1113</v>
      </c>
      <c r="O2025" s="113"/>
      <c r="P2025" s="113"/>
      <c r="Q2025" s="113"/>
      <c r="R2025" s="113"/>
      <c r="S2025" s="113"/>
      <c r="T2025" s="113"/>
      <c r="U2025" s="113"/>
      <c r="V2025" s="113"/>
      <c r="W2025" s="113"/>
      <c r="X2025" s="113"/>
      <c r="Y2025" s="113"/>
      <c r="Z2025" s="113"/>
      <c r="AA2025" s="113"/>
      <c r="AB2025" s="113"/>
      <c r="AC2025" s="113"/>
      <c r="AD2025" s="113"/>
      <c r="AE2025" s="113"/>
      <c r="AF2025" s="113"/>
      <c r="AG2025" s="113"/>
      <c r="AH2025" s="113"/>
      <c r="AI2025" s="113"/>
      <c r="AJ2025" s="113"/>
      <c r="AK2025" s="113" t="s">
        <v>1113</v>
      </c>
      <c r="AL2025" s="113"/>
      <c r="AM2025" s="113"/>
      <c r="AN2025" s="113"/>
      <c r="AO2025" s="44" t="s">
        <v>2334</v>
      </c>
      <c r="AP2025" s="43"/>
      <c r="AQ2025" s="236" t="str">
        <f>VLOOKUP(Table8[[#This Row],[Instrument]],Def_Targets!$D$73:$E$159,2,FALSE)</f>
        <v>A_LATM</v>
      </c>
      <c r="AR2025" s="233" t="str">
        <f>VLOOKUP(Table8[[#This Row],[Country Code]],Table29[],3,FALSE)</f>
        <v>Non-Annex I</v>
      </c>
      <c r="AS2025" s="233" t="str">
        <f>VLOOKUP(Table8[[#This Row],[Country Code]],Table29[],4,FALSE)</f>
        <v>Asia</v>
      </c>
      <c r="AT2025" s="233" t="str">
        <f>VLOOKUP(Table8[[#This Row],[Country Code]],Table29[],5,FALSE)</f>
        <v>Middle-income</v>
      </c>
      <c r="AU2025" s="233" t="str">
        <f>VLOOKUP(Table8[[#This Row],[Country Code]],Table29[],6,FALSE)</f>
        <v>no</v>
      </c>
      <c r="AV2025" s="233" t="str">
        <f>VLOOKUP(Table8[[#This Row],[Country Code]],Table29[],7,FALSE)</f>
        <v>no</v>
      </c>
      <c r="AW2025" s="233" t="str">
        <f>VLOOKUP(Table8[[#This Row],[Country Code]],Table29[],8,FALSE)</f>
        <v>non-OECD</v>
      </c>
      <c r="AX2025" s="233" t="str">
        <f>VLOOKUP(Table8[[#This Row],[Country Code]],Table29[],9,FALSE)</f>
        <v>no</v>
      </c>
      <c r="AY2025" s="233" t="str">
        <f>VLOOKUP(Table8[[#This Row],[Country Code]],Table29[],10,FALSE)</f>
        <v>no</v>
      </c>
      <c r="AZ2025" s="235">
        <f>VLOOKUP(Table8[[#This Row],[Country Code]],Table29[],23,FALSE)</f>
        <v>38.403849844142002</v>
      </c>
      <c r="BA2025" s="235">
        <f>VLOOKUP(Table8[[#This Row],[Country Code]],Table29[],24,FALSE)</f>
        <v>9.6330858743096854</v>
      </c>
      <c r="BB2025" s="320"/>
      <c r="BC2025" s="320"/>
    </row>
    <row r="2026" spans="1:55" hidden="1" x14ac:dyDescent="0.25">
      <c r="A2026" s="373">
        <v>21314</v>
      </c>
      <c r="B2026" s="233" t="str">
        <f>VLOOKUP(Table8[[#This Row],[Document ID]],Table1[],2,FALSE)</f>
        <v>LKA</v>
      </c>
      <c r="C2026" s="233" t="str">
        <f>VLOOKUP(Table8[[#This Row],[Document ID]],Table1[],3,FALSE)</f>
        <v>Sri Lanka</v>
      </c>
      <c r="D2026" s="243" t="str">
        <f>VLOOKUP(Table8[[#This Row],[Document ID]],Table1[],5,FALSE)</f>
        <v>NDC</v>
      </c>
      <c r="E2026" s="233" t="str">
        <f>VLOOKUP(Table8[[#This Row],[Document ID]],Table1[],7,FALSE)</f>
        <v>First NDC updated</v>
      </c>
      <c r="F2026" s="233" t="str">
        <f>VLOOKUP(Table8[[#This Row],[Document ID]],Table1[],8,FALSE)</f>
        <v>NDC 1.1</v>
      </c>
      <c r="G2026" s="233" t="str">
        <f>VLOOKUP(Table8[[#This Row],[Document ID]],Table1[],10,FALSE)</f>
        <v>Active</v>
      </c>
      <c r="H2026" s="43" t="s">
        <v>2343</v>
      </c>
      <c r="I2026" s="43" t="s">
        <v>2377</v>
      </c>
      <c r="J2026" s="44" t="s">
        <v>2535</v>
      </c>
      <c r="K2026" s="44" t="s">
        <v>4197</v>
      </c>
      <c r="L2026" s="44" t="s">
        <v>2396</v>
      </c>
      <c r="M2026" s="43">
        <v>13</v>
      </c>
      <c r="N2026" s="113" t="s">
        <v>1113</v>
      </c>
      <c r="O2026" s="113"/>
      <c r="P2026" s="113"/>
      <c r="Q2026" s="113"/>
      <c r="R2026" s="113"/>
      <c r="S2026" s="113"/>
      <c r="T2026" s="113"/>
      <c r="U2026" s="113"/>
      <c r="V2026" s="113"/>
      <c r="W2026" s="113"/>
      <c r="X2026" s="113"/>
      <c r="Y2026" s="113"/>
      <c r="Z2026" s="113"/>
      <c r="AA2026" s="113"/>
      <c r="AB2026" s="113"/>
      <c r="AC2026" s="113"/>
      <c r="AD2026" s="113"/>
      <c r="AE2026" s="113"/>
      <c r="AF2026" s="113"/>
      <c r="AG2026" s="113"/>
      <c r="AH2026" s="113"/>
      <c r="AI2026" s="113"/>
      <c r="AJ2026" s="113"/>
      <c r="AK2026" s="113" t="s">
        <v>1113</v>
      </c>
      <c r="AL2026" s="113"/>
      <c r="AM2026" s="113"/>
      <c r="AN2026" s="113"/>
      <c r="AO2026" s="44" t="s">
        <v>2334</v>
      </c>
      <c r="AP2026" s="43"/>
      <c r="AQ2026" s="236" t="str">
        <f>VLOOKUP(Table8[[#This Row],[Instrument]],Def_Targets!$D$73:$E$159,2,FALSE)</f>
        <v>S_Parking</v>
      </c>
      <c r="AR2026" s="233" t="str">
        <f>VLOOKUP(Table8[[#This Row],[Country Code]],Table29[],3,FALSE)</f>
        <v>Non-Annex I</v>
      </c>
      <c r="AS2026" s="233" t="str">
        <f>VLOOKUP(Table8[[#This Row],[Country Code]],Table29[],4,FALSE)</f>
        <v>Asia</v>
      </c>
      <c r="AT2026" s="233" t="str">
        <f>VLOOKUP(Table8[[#This Row],[Country Code]],Table29[],5,FALSE)</f>
        <v>Middle-income</v>
      </c>
      <c r="AU2026" s="233" t="str">
        <f>VLOOKUP(Table8[[#This Row],[Country Code]],Table29[],6,FALSE)</f>
        <v>no</v>
      </c>
      <c r="AV2026" s="233" t="str">
        <f>VLOOKUP(Table8[[#This Row],[Country Code]],Table29[],7,FALSE)</f>
        <v>no</v>
      </c>
      <c r="AW2026" s="233" t="str">
        <f>VLOOKUP(Table8[[#This Row],[Country Code]],Table29[],8,FALSE)</f>
        <v>non-OECD</v>
      </c>
      <c r="AX2026" s="233" t="str">
        <f>VLOOKUP(Table8[[#This Row],[Country Code]],Table29[],9,FALSE)</f>
        <v>no</v>
      </c>
      <c r="AY2026" s="233" t="str">
        <f>VLOOKUP(Table8[[#This Row],[Country Code]],Table29[],10,FALSE)</f>
        <v>no</v>
      </c>
      <c r="AZ2026" s="235">
        <f>VLOOKUP(Table8[[#This Row],[Country Code]],Table29[],23,FALSE)</f>
        <v>38.403849844142002</v>
      </c>
      <c r="BA2026" s="235">
        <f>VLOOKUP(Table8[[#This Row],[Country Code]],Table29[],24,FALSE)</f>
        <v>9.6330858743096854</v>
      </c>
      <c r="BB2026" s="320"/>
      <c r="BC2026" s="320"/>
    </row>
    <row r="2027" spans="1:55" hidden="1" x14ac:dyDescent="0.25">
      <c r="A2027" s="360">
        <v>21314</v>
      </c>
      <c r="B2027" s="233" t="str">
        <f>VLOOKUP(Table8[[#This Row],[Document ID]],Table1[],2,FALSE)</f>
        <v>LKA</v>
      </c>
      <c r="C2027" s="233" t="str">
        <f>VLOOKUP(Table8[[#This Row],[Document ID]],Table1[],3,FALSE)</f>
        <v>Sri Lanka</v>
      </c>
      <c r="D2027" s="233" t="str">
        <f>VLOOKUP(Table8[[#This Row],[Document ID]],Table1[],5,FALSE)</f>
        <v>NDC</v>
      </c>
      <c r="E2027" s="233" t="str">
        <f>VLOOKUP(Table8[[#This Row],[Document ID]],Table1[],7,FALSE)</f>
        <v>First NDC updated</v>
      </c>
      <c r="F2027" s="233" t="str">
        <f>VLOOKUP(Table8[[#This Row],[Document ID]],Table1[],8,FALSE)</f>
        <v>NDC 1.1</v>
      </c>
      <c r="G2027" s="233" t="str">
        <f>VLOOKUP(Table8[[#This Row],[Document ID]],Table1[],10,FALSE)</f>
        <v>Active</v>
      </c>
      <c r="H2027" s="43" t="s">
        <v>2343</v>
      </c>
      <c r="I2027" s="43" t="s">
        <v>2429</v>
      </c>
      <c r="J2027" s="44" t="s">
        <v>2430</v>
      </c>
      <c r="K2027" s="44" t="s">
        <v>4198</v>
      </c>
      <c r="L2027" s="44" t="s">
        <v>2333</v>
      </c>
      <c r="M2027" s="43">
        <v>13</v>
      </c>
      <c r="N2027" s="113" t="s">
        <v>1113</v>
      </c>
      <c r="O2027" s="113"/>
      <c r="P2027" s="113"/>
      <c r="Q2027" s="113"/>
      <c r="R2027" s="113"/>
      <c r="S2027" s="113"/>
      <c r="T2027" s="113"/>
      <c r="U2027" s="113"/>
      <c r="V2027" s="113"/>
      <c r="W2027" s="113"/>
      <c r="X2027" s="113"/>
      <c r="Y2027" s="113"/>
      <c r="Z2027" s="113"/>
      <c r="AA2027" s="113"/>
      <c r="AB2027" s="113"/>
      <c r="AC2027" s="113"/>
      <c r="AD2027" s="113"/>
      <c r="AE2027" s="113"/>
      <c r="AF2027" s="113"/>
      <c r="AG2027" s="113"/>
      <c r="AH2027" s="113"/>
      <c r="AI2027" s="113"/>
      <c r="AJ2027" s="113"/>
      <c r="AK2027" s="113" t="s">
        <v>1113</v>
      </c>
      <c r="AL2027" s="113"/>
      <c r="AM2027" s="113"/>
      <c r="AN2027" s="113"/>
      <c r="AO2027" s="44" t="s">
        <v>2334</v>
      </c>
      <c r="AP2027" s="43"/>
      <c r="AQ2027" s="236" t="str">
        <f>VLOOKUP(Table8[[#This Row],[Instrument]],Def_Targets!$D$73:$E$159,2,FALSE)</f>
        <v>I_ITS</v>
      </c>
      <c r="AR2027" s="233" t="str">
        <f>VLOOKUP(Table8[[#This Row],[Country Code]],Table29[],3,FALSE)</f>
        <v>Non-Annex I</v>
      </c>
      <c r="AS2027" s="233" t="str">
        <f>VLOOKUP(Table8[[#This Row],[Country Code]],Table29[],4,FALSE)</f>
        <v>Asia</v>
      </c>
      <c r="AT2027" s="233" t="str">
        <f>VLOOKUP(Table8[[#This Row],[Country Code]],Table29[],5,FALSE)</f>
        <v>Middle-income</v>
      </c>
      <c r="AU2027" s="233" t="str">
        <f>VLOOKUP(Table8[[#This Row],[Country Code]],Table29[],6,FALSE)</f>
        <v>no</v>
      </c>
      <c r="AV2027" s="233" t="str">
        <f>VLOOKUP(Table8[[#This Row],[Country Code]],Table29[],7,FALSE)</f>
        <v>no</v>
      </c>
      <c r="AW2027" s="233" t="str">
        <f>VLOOKUP(Table8[[#This Row],[Country Code]],Table29[],8,FALSE)</f>
        <v>non-OECD</v>
      </c>
      <c r="AX2027" s="233" t="str">
        <f>VLOOKUP(Table8[[#This Row],[Country Code]],Table29[],9,FALSE)</f>
        <v>no</v>
      </c>
      <c r="AY2027" s="233" t="str">
        <f>VLOOKUP(Table8[[#This Row],[Country Code]],Table29[],10,FALSE)</f>
        <v>no</v>
      </c>
      <c r="AZ2027" s="235">
        <f>VLOOKUP(Table8[[#This Row],[Country Code]],Table29[],23,FALSE)</f>
        <v>38.403849844142002</v>
      </c>
      <c r="BA2027" s="235">
        <f>VLOOKUP(Table8[[#This Row],[Country Code]],Table29[],24,FALSE)</f>
        <v>9.6330858743096854</v>
      </c>
      <c r="BB2027" s="320"/>
      <c r="BC2027" s="320"/>
    </row>
    <row r="2028" spans="1:55" hidden="1" x14ac:dyDescent="0.25">
      <c r="A2028" s="373">
        <v>21314</v>
      </c>
      <c r="B2028" s="233" t="str">
        <f>VLOOKUP(Table8[[#This Row],[Document ID]],Table1[],2,FALSE)</f>
        <v>LKA</v>
      </c>
      <c r="C2028" s="233" t="str">
        <f>VLOOKUP(Table8[[#This Row],[Document ID]],Table1[],3,FALSE)</f>
        <v>Sri Lanka</v>
      </c>
      <c r="D2028" s="243" t="str">
        <f>VLOOKUP(Table8[[#This Row],[Document ID]],Table1[],5,FALSE)</f>
        <v>NDC</v>
      </c>
      <c r="E2028" s="233" t="str">
        <f>VLOOKUP(Table8[[#This Row],[Document ID]],Table1[],7,FALSE)</f>
        <v>First NDC updated</v>
      </c>
      <c r="F2028" s="233" t="str">
        <f>VLOOKUP(Table8[[#This Row],[Document ID]],Table1[],8,FALSE)</f>
        <v>NDC 1.1</v>
      </c>
      <c r="G2028" s="233" t="str">
        <f>VLOOKUP(Table8[[#This Row],[Document ID]],Table1[],10,FALSE)</f>
        <v>Active</v>
      </c>
      <c r="H2028" s="43" t="s">
        <v>2350</v>
      </c>
      <c r="I2028" s="43" t="s">
        <v>2456</v>
      </c>
      <c r="J2028" s="44" t="s">
        <v>2457</v>
      </c>
      <c r="K2028" s="44" t="s">
        <v>4199</v>
      </c>
      <c r="L2028" s="44" t="s">
        <v>2333</v>
      </c>
      <c r="M2028" s="43">
        <v>13</v>
      </c>
      <c r="N2028" s="113"/>
      <c r="O2028" s="113"/>
      <c r="P2028" s="113"/>
      <c r="Q2028" s="113"/>
      <c r="R2028" s="113"/>
      <c r="S2028" s="113" t="s">
        <v>1113</v>
      </c>
      <c r="T2028" s="113"/>
      <c r="U2028" s="113"/>
      <c r="V2028" s="113"/>
      <c r="W2028" s="113"/>
      <c r="X2028" s="113"/>
      <c r="Y2028" s="113"/>
      <c r="Z2028" s="113"/>
      <c r="AA2028" s="113"/>
      <c r="AB2028" s="113"/>
      <c r="AC2028" s="113"/>
      <c r="AD2028" s="113"/>
      <c r="AE2028" s="113"/>
      <c r="AF2028" s="113"/>
      <c r="AG2028" s="113"/>
      <c r="AH2028" s="113"/>
      <c r="AI2028" s="113"/>
      <c r="AJ2028" s="113"/>
      <c r="AK2028" s="113" t="s">
        <v>1113</v>
      </c>
      <c r="AL2028" s="113"/>
      <c r="AM2028" s="113"/>
      <c r="AN2028" s="113"/>
      <c r="AO2028" s="44" t="s">
        <v>2334</v>
      </c>
      <c r="AP2028" s="43"/>
      <c r="AQ2028" s="236" t="str">
        <f>VLOOKUP(Table8[[#This Row],[Instrument]],Def_Targets!$D$73:$E$159,2,FALSE)</f>
        <v>S_Infraimprove</v>
      </c>
      <c r="AR2028" s="233" t="str">
        <f>VLOOKUP(Table8[[#This Row],[Country Code]],Table29[],3,FALSE)</f>
        <v>Non-Annex I</v>
      </c>
      <c r="AS2028" s="233" t="str">
        <f>VLOOKUP(Table8[[#This Row],[Country Code]],Table29[],4,FALSE)</f>
        <v>Asia</v>
      </c>
      <c r="AT2028" s="233" t="str">
        <f>VLOOKUP(Table8[[#This Row],[Country Code]],Table29[],5,FALSE)</f>
        <v>Middle-income</v>
      </c>
      <c r="AU2028" s="233" t="str">
        <f>VLOOKUP(Table8[[#This Row],[Country Code]],Table29[],6,FALSE)</f>
        <v>no</v>
      </c>
      <c r="AV2028" s="233" t="str">
        <f>VLOOKUP(Table8[[#This Row],[Country Code]],Table29[],7,FALSE)</f>
        <v>no</v>
      </c>
      <c r="AW2028" s="233" t="str">
        <f>VLOOKUP(Table8[[#This Row],[Country Code]],Table29[],8,FALSE)</f>
        <v>non-OECD</v>
      </c>
      <c r="AX2028" s="233" t="str">
        <f>VLOOKUP(Table8[[#This Row],[Country Code]],Table29[],9,FALSE)</f>
        <v>no</v>
      </c>
      <c r="AY2028" s="233" t="str">
        <f>VLOOKUP(Table8[[#This Row],[Country Code]],Table29[],10,FALSE)</f>
        <v>no</v>
      </c>
      <c r="AZ2028" s="235">
        <f>VLOOKUP(Table8[[#This Row],[Country Code]],Table29[],23,FALSE)</f>
        <v>38.403849844142002</v>
      </c>
      <c r="BA2028" s="235">
        <f>VLOOKUP(Table8[[#This Row],[Country Code]],Table29[],24,FALSE)</f>
        <v>9.6330858743096854</v>
      </c>
      <c r="BB2028" s="320"/>
      <c r="BC2028" s="320"/>
    </row>
    <row r="2029" spans="1:55" hidden="1" x14ac:dyDescent="0.25">
      <c r="A2029" s="373">
        <v>21314</v>
      </c>
      <c r="B2029" s="233" t="str">
        <f>VLOOKUP(Table8[[#This Row],[Document ID]],Table1[],2,FALSE)</f>
        <v>LKA</v>
      </c>
      <c r="C2029" s="233" t="str">
        <f>VLOOKUP(Table8[[#This Row],[Document ID]],Table1[],3,FALSE)</f>
        <v>Sri Lanka</v>
      </c>
      <c r="D2029" s="243" t="str">
        <f>VLOOKUP(Table8[[#This Row],[Document ID]],Table1[],5,FALSE)</f>
        <v>NDC</v>
      </c>
      <c r="E2029" s="233" t="str">
        <f>VLOOKUP(Table8[[#This Row],[Document ID]],Table1[],7,FALSE)</f>
        <v>First NDC updated</v>
      </c>
      <c r="F2029" s="233" t="str">
        <f>VLOOKUP(Table8[[#This Row],[Document ID]],Table1[],8,FALSE)</f>
        <v>NDC 1.1</v>
      </c>
      <c r="G2029" s="233" t="str">
        <f>VLOOKUP(Table8[[#This Row],[Document ID]],Table1[],10,FALSE)</f>
        <v>Active</v>
      </c>
      <c r="H2029" s="43" t="s">
        <v>2343</v>
      </c>
      <c r="I2029" s="43" t="s">
        <v>2344</v>
      </c>
      <c r="J2029" s="44" t="s">
        <v>2345</v>
      </c>
      <c r="K2029" s="44" t="s">
        <v>4200</v>
      </c>
      <c r="L2029" s="44" t="s">
        <v>2347</v>
      </c>
      <c r="M2029" s="43">
        <v>13</v>
      </c>
      <c r="N2029" s="113" t="s">
        <v>1113</v>
      </c>
      <c r="O2029" s="113"/>
      <c r="P2029" s="113"/>
      <c r="Q2029" s="113"/>
      <c r="R2029" s="113"/>
      <c r="S2029" s="113"/>
      <c r="T2029" s="113"/>
      <c r="U2029" s="113"/>
      <c r="V2029" s="113"/>
      <c r="W2029" s="113"/>
      <c r="X2029" s="113"/>
      <c r="Y2029" s="113"/>
      <c r="Z2029" s="113"/>
      <c r="AA2029" s="113"/>
      <c r="AB2029" s="113"/>
      <c r="AC2029" s="113"/>
      <c r="AD2029" s="113"/>
      <c r="AE2029" s="113"/>
      <c r="AF2029" s="113"/>
      <c r="AG2029" s="113"/>
      <c r="AH2029" s="113"/>
      <c r="AI2029" s="113"/>
      <c r="AJ2029" s="113"/>
      <c r="AK2029" s="113" t="s">
        <v>1113</v>
      </c>
      <c r="AL2029" s="113"/>
      <c r="AM2029" s="113"/>
      <c r="AN2029" s="113"/>
      <c r="AO2029" s="43" t="s">
        <v>2348</v>
      </c>
      <c r="AP2029" s="43"/>
      <c r="AQ2029" s="236" t="str">
        <f>VLOOKUP(Table8[[#This Row],[Instrument]],Def_Targets!$D$73:$E$159,2,FALSE)</f>
        <v>S_PublicTransport</v>
      </c>
      <c r="AR2029" s="233" t="str">
        <f>VLOOKUP(Table8[[#This Row],[Country Code]],Table29[],3,FALSE)</f>
        <v>Non-Annex I</v>
      </c>
      <c r="AS2029" s="233" t="str">
        <f>VLOOKUP(Table8[[#This Row],[Country Code]],Table29[],4,FALSE)</f>
        <v>Asia</v>
      </c>
      <c r="AT2029" s="233" t="str">
        <f>VLOOKUP(Table8[[#This Row],[Country Code]],Table29[],5,FALSE)</f>
        <v>Middle-income</v>
      </c>
      <c r="AU2029" s="233" t="str">
        <f>VLOOKUP(Table8[[#This Row],[Country Code]],Table29[],6,FALSE)</f>
        <v>no</v>
      </c>
      <c r="AV2029" s="233" t="str">
        <f>VLOOKUP(Table8[[#This Row],[Country Code]],Table29[],7,FALSE)</f>
        <v>no</v>
      </c>
      <c r="AW2029" s="233" t="str">
        <f>VLOOKUP(Table8[[#This Row],[Country Code]],Table29[],8,FALSE)</f>
        <v>non-OECD</v>
      </c>
      <c r="AX2029" s="233" t="str">
        <f>VLOOKUP(Table8[[#This Row],[Country Code]],Table29[],9,FALSE)</f>
        <v>no</v>
      </c>
      <c r="AY2029" s="233" t="str">
        <f>VLOOKUP(Table8[[#This Row],[Country Code]],Table29[],10,FALSE)</f>
        <v>no</v>
      </c>
      <c r="AZ2029" s="235">
        <f>VLOOKUP(Table8[[#This Row],[Country Code]],Table29[],23,FALSE)</f>
        <v>38.403849844142002</v>
      </c>
      <c r="BA2029" s="235">
        <f>VLOOKUP(Table8[[#This Row],[Country Code]],Table29[],24,FALSE)</f>
        <v>9.6330858743096854</v>
      </c>
      <c r="BB2029" s="320"/>
      <c r="BC2029" s="320"/>
    </row>
    <row r="2030" spans="1:55" ht="30" hidden="1" x14ac:dyDescent="0.25">
      <c r="A2030" s="373">
        <v>21314</v>
      </c>
      <c r="B2030" s="233" t="str">
        <f>VLOOKUP(Table8[[#This Row],[Document ID]],Table1[],2,FALSE)</f>
        <v>LKA</v>
      </c>
      <c r="C2030" s="233" t="str">
        <f>VLOOKUP(Table8[[#This Row],[Document ID]],Table1[],3,FALSE)</f>
        <v>Sri Lanka</v>
      </c>
      <c r="D2030" s="243" t="str">
        <f>VLOOKUP(Table8[[#This Row],[Document ID]],Table1[],5,FALSE)</f>
        <v>NDC</v>
      </c>
      <c r="E2030" s="233" t="str">
        <f>VLOOKUP(Table8[[#This Row],[Document ID]],Table1[],7,FALSE)</f>
        <v>First NDC updated</v>
      </c>
      <c r="F2030" s="233" t="str">
        <f>VLOOKUP(Table8[[#This Row],[Document ID]],Table1[],8,FALSE)</f>
        <v>NDC 1.1</v>
      </c>
      <c r="G2030" s="233" t="str">
        <f>VLOOKUP(Table8[[#This Row],[Document ID]],Table1[],10,FALSE)</f>
        <v>Active</v>
      </c>
      <c r="H2030" s="43" t="s">
        <v>2350</v>
      </c>
      <c r="I2030" s="43" t="s">
        <v>2456</v>
      </c>
      <c r="J2030" s="44" t="s">
        <v>2457</v>
      </c>
      <c r="K2030" s="44" t="s">
        <v>4201</v>
      </c>
      <c r="L2030" s="44" t="s">
        <v>2471</v>
      </c>
      <c r="M2030" s="43">
        <v>13</v>
      </c>
      <c r="N2030" s="113"/>
      <c r="O2030" s="113"/>
      <c r="P2030" s="113"/>
      <c r="Q2030" s="113"/>
      <c r="R2030" s="113"/>
      <c r="S2030" s="113"/>
      <c r="T2030" s="113"/>
      <c r="U2030" s="113"/>
      <c r="V2030" s="113"/>
      <c r="W2030" s="113"/>
      <c r="X2030" s="113"/>
      <c r="Y2030" s="113"/>
      <c r="Z2030" s="113" t="s">
        <v>1113</v>
      </c>
      <c r="AA2030" s="113"/>
      <c r="AB2030" s="113"/>
      <c r="AC2030" s="113" t="s">
        <v>1113</v>
      </c>
      <c r="AD2030" s="113"/>
      <c r="AE2030" s="113"/>
      <c r="AF2030" s="113"/>
      <c r="AG2030" s="113"/>
      <c r="AH2030" s="113"/>
      <c r="AI2030" s="113"/>
      <c r="AJ2030" s="113"/>
      <c r="AK2030" s="113" t="s">
        <v>1113</v>
      </c>
      <c r="AL2030" s="113"/>
      <c r="AM2030" s="113"/>
      <c r="AN2030" s="113"/>
      <c r="AO2030" s="43" t="s">
        <v>2348</v>
      </c>
      <c r="AP2030" s="43"/>
      <c r="AQ2030" s="236" t="str">
        <f>VLOOKUP(Table8[[#This Row],[Instrument]],Def_Targets!$D$73:$E$159,2,FALSE)</f>
        <v>S_Infraimprove</v>
      </c>
      <c r="AR2030" s="233" t="str">
        <f>VLOOKUP(Table8[[#This Row],[Country Code]],Table29[],3,FALSE)</f>
        <v>Non-Annex I</v>
      </c>
      <c r="AS2030" s="233" t="str">
        <f>VLOOKUP(Table8[[#This Row],[Country Code]],Table29[],4,FALSE)</f>
        <v>Asia</v>
      </c>
      <c r="AT2030" s="233" t="str">
        <f>VLOOKUP(Table8[[#This Row],[Country Code]],Table29[],5,FALSE)</f>
        <v>Middle-income</v>
      </c>
      <c r="AU2030" s="233" t="str">
        <f>VLOOKUP(Table8[[#This Row],[Country Code]],Table29[],6,FALSE)</f>
        <v>no</v>
      </c>
      <c r="AV2030" s="233" t="str">
        <f>VLOOKUP(Table8[[#This Row],[Country Code]],Table29[],7,FALSE)</f>
        <v>no</v>
      </c>
      <c r="AW2030" s="233" t="str">
        <f>VLOOKUP(Table8[[#This Row],[Country Code]],Table29[],8,FALSE)</f>
        <v>non-OECD</v>
      </c>
      <c r="AX2030" s="233" t="str">
        <f>VLOOKUP(Table8[[#This Row],[Country Code]],Table29[],9,FALSE)</f>
        <v>no</v>
      </c>
      <c r="AY2030" s="233" t="str">
        <f>VLOOKUP(Table8[[#This Row],[Country Code]],Table29[],10,FALSE)</f>
        <v>no</v>
      </c>
      <c r="AZ2030" s="235">
        <f>VLOOKUP(Table8[[#This Row],[Country Code]],Table29[],23,FALSE)</f>
        <v>38.403849844142002</v>
      </c>
      <c r="BA2030" s="235">
        <f>VLOOKUP(Table8[[#This Row],[Country Code]],Table29[],24,FALSE)</f>
        <v>9.6330858743096854</v>
      </c>
      <c r="BB2030" s="320"/>
      <c r="BC2030" s="320"/>
    </row>
    <row r="2031" spans="1:55" hidden="1" x14ac:dyDescent="0.25">
      <c r="A2031" s="373">
        <v>21314</v>
      </c>
      <c r="B2031" s="233" t="str">
        <f>VLOOKUP(Table8[[#This Row],[Document ID]],Table1[],2,FALSE)</f>
        <v>LKA</v>
      </c>
      <c r="C2031" s="233" t="str">
        <f>VLOOKUP(Table8[[#This Row],[Document ID]],Table1[],3,FALSE)</f>
        <v>Sri Lanka</v>
      </c>
      <c r="D2031" s="243" t="str">
        <f>VLOOKUP(Table8[[#This Row],[Document ID]],Table1[],5,FALSE)</f>
        <v>NDC</v>
      </c>
      <c r="E2031" s="233" t="str">
        <f>VLOOKUP(Table8[[#This Row],[Document ID]],Table1[],7,FALSE)</f>
        <v>First NDC updated</v>
      </c>
      <c r="F2031" s="233" t="str">
        <f>VLOOKUP(Table8[[#This Row],[Document ID]],Table1[],8,FALSE)</f>
        <v>NDC 1.1</v>
      </c>
      <c r="G2031" s="233" t="str">
        <f>VLOOKUP(Table8[[#This Row],[Document ID]],Table1[],10,FALSE)</f>
        <v>Active</v>
      </c>
      <c r="H2031" s="43" t="s">
        <v>2343</v>
      </c>
      <c r="I2031" s="43" t="s">
        <v>2344</v>
      </c>
      <c r="J2031" s="44" t="s">
        <v>2405</v>
      </c>
      <c r="K2031" s="44" t="s">
        <v>4202</v>
      </c>
      <c r="L2031" s="44" t="s">
        <v>2347</v>
      </c>
      <c r="M2031" s="43">
        <v>13</v>
      </c>
      <c r="N2031" s="113"/>
      <c r="O2031" s="113"/>
      <c r="P2031" s="113"/>
      <c r="Q2031" s="113"/>
      <c r="R2031" s="113"/>
      <c r="S2031" s="113"/>
      <c r="T2031" s="113"/>
      <c r="U2031" s="113"/>
      <c r="V2031" s="113"/>
      <c r="W2031" s="113"/>
      <c r="X2031" s="113"/>
      <c r="Y2031" s="113" t="s">
        <v>1113</v>
      </c>
      <c r="Z2031" s="113"/>
      <c r="AA2031" s="113"/>
      <c r="AB2031" s="113"/>
      <c r="AC2031" s="113" t="s">
        <v>1113</v>
      </c>
      <c r="AD2031" s="113"/>
      <c r="AE2031" s="113"/>
      <c r="AF2031" s="113"/>
      <c r="AG2031" s="113"/>
      <c r="AH2031" s="113"/>
      <c r="AI2031" s="113"/>
      <c r="AJ2031" s="113"/>
      <c r="AK2031" s="113" t="s">
        <v>1113</v>
      </c>
      <c r="AL2031" s="113"/>
      <c r="AM2031" s="113"/>
      <c r="AN2031" s="113"/>
      <c r="AO2031" s="43" t="s">
        <v>2348</v>
      </c>
      <c r="AP2031" s="43"/>
      <c r="AQ2031" s="236" t="str">
        <f>VLOOKUP(Table8[[#This Row],[Instrument]],Def_Targets!$D$73:$E$159,2,FALSE)</f>
        <v>S_PTIntegration</v>
      </c>
      <c r="AR2031" s="233" t="str">
        <f>VLOOKUP(Table8[[#This Row],[Country Code]],Table29[],3,FALSE)</f>
        <v>Non-Annex I</v>
      </c>
      <c r="AS2031" s="233" t="str">
        <f>VLOOKUP(Table8[[#This Row],[Country Code]],Table29[],4,FALSE)</f>
        <v>Asia</v>
      </c>
      <c r="AT2031" s="233" t="str">
        <f>VLOOKUP(Table8[[#This Row],[Country Code]],Table29[],5,FALSE)</f>
        <v>Middle-income</v>
      </c>
      <c r="AU2031" s="233" t="str">
        <f>VLOOKUP(Table8[[#This Row],[Country Code]],Table29[],6,FALSE)</f>
        <v>no</v>
      </c>
      <c r="AV2031" s="233" t="str">
        <f>VLOOKUP(Table8[[#This Row],[Country Code]],Table29[],7,FALSE)</f>
        <v>no</v>
      </c>
      <c r="AW2031" s="233" t="str">
        <f>VLOOKUP(Table8[[#This Row],[Country Code]],Table29[],8,FALSE)</f>
        <v>non-OECD</v>
      </c>
      <c r="AX2031" s="233" t="str">
        <f>VLOOKUP(Table8[[#This Row],[Country Code]],Table29[],9,FALSE)</f>
        <v>no</v>
      </c>
      <c r="AY2031" s="233" t="str">
        <f>VLOOKUP(Table8[[#This Row],[Country Code]],Table29[],10,FALSE)</f>
        <v>no</v>
      </c>
      <c r="AZ2031" s="235">
        <f>VLOOKUP(Table8[[#This Row],[Country Code]],Table29[],23,FALSE)</f>
        <v>38.403849844142002</v>
      </c>
      <c r="BA2031" s="235">
        <f>VLOOKUP(Table8[[#This Row],[Country Code]],Table29[],24,FALSE)</f>
        <v>9.6330858743096854</v>
      </c>
      <c r="BB2031" s="320"/>
      <c r="BC2031" s="320"/>
    </row>
    <row r="2032" spans="1:55" ht="30" hidden="1" x14ac:dyDescent="0.25">
      <c r="A2032" s="373">
        <v>21314</v>
      </c>
      <c r="B2032" s="233" t="str">
        <f>VLOOKUP(Table8[[#This Row],[Document ID]],Table1[],2,FALSE)</f>
        <v>LKA</v>
      </c>
      <c r="C2032" s="233" t="str">
        <f>VLOOKUP(Table8[[#This Row],[Document ID]],Table1[],3,FALSE)</f>
        <v>Sri Lanka</v>
      </c>
      <c r="D2032" s="243" t="str">
        <f>VLOOKUP(Table8[[#This Row],[Document ID]],Table1[],5,FALSE)</f>
        <v>NDC</v>
      </c>
      <c r="E2032" s="233" t="str">
        <f>VLOOKUP(Table8[[#This Row],[Document ID]],Table1[],7,FALSE)</f>
        <v>First NDC updated</v>
      </c>
      <c r="F2032" s="233" t="str">
        <f>VLOOKUP(Table8[[#This Row],[Document ID]],Table1[],8,FALSE)</f>
        <v>NDC 1.1</v>
      </c>
      <c r="G2032" s="233" t="str">
        <f>VLOOKUP(Table8[[#This Row],[Document ID]],Table1[],10,FALSE)</f>
        <v>Active</v>
      </c>
      <c r="H2032" s="43" t="s">
        <v>2350</v>
      </c>
      <c r="I2032" s="43" t="s">
        <v>2351</v>
      </c>
      <c r="J2032" s="44" t="s">
        <v>2352</v>
      </c>
      <c r="K2032" s="44" t="s">
        <v>4203</v>
      </c>
      <c r="L2032" s="44" t="s">
        <v>2396</v>
      </c>
      <c r="M2032" s="43">
        <v>13</v>
      </c>
      <c r="N2032" s="113"/>
      <c r="O2032" s="113"/>
      <c r="P2032" s="113"/>
      <c r="Q2032" s="113"/>
      <c r="R2032" s="113"/>
      <c r="S2032" s="113" t="s">
        <v>1113</v>
      </c>
      <c r="T2032" s="113"/>
      <c r="U2032" s="113"/>
      <c r="V2032" s="113"/>
      <c r="W2032" s="113"/>
      <c r="X2032" s="113"/>
      <c r="Y2032" s="113"/>
      <c r="Z2032" s="113" t="s">
        <v>1113</v>
      </c>
      <c r="AA2032" s="113"/>
      <c r="AB2032" s="113"/>
      <c r="AC2032" s="113"/>
      <c r="AD2032" s="113"/>
      <c r="AE2032" s="113"/>
      <c r="AF2032" s="113"/>
      <c r="AG2032" s="113"/>
      <c r="AH2032" s="113"/>
      <c r="AI2032" s="113"/>
      <c r="AJ2032" s="113"/>
      <c r="AK2032" s="113" t="s">
        <v>1113</v>
      </c>
      <c r="AL2032" s="113"/>
      <c r="AM2032" s="113"/>
      <c r="AN2032" s="113"/>
      <c r="AO2032" s="43" t="s">
        <v>2353</v>
      </c>
      <c r="AP2032" s="43"/>
      <c r="AQ2032" s="236" t="str">
        <f>VLOOKUP(Table8[[#This Row],[Instrument]],Def_Targets!$D$73:$E$159,2,FALSE)</f>
        <v>S_Railfreight</v>
      </c>
      <c r="AR2032" s="233" t="str">
        <f>VLOOKUP(Table8[[#This Row],[Country Code]],Table29[],3,FALSE)</f>
        <v>Non-Annex I</v>
      </c>
      <c r="AS2032" s="233" t="str">
        <f>VLOOKUP(Table8[[#This Row],[Country Code]],Table29[],4,FALSE)</f>
        <v>Asia</v>
      </c>
      <c r="AT2032" s="233" t="str">
        <f>VLOOKUP(Table8[[#This Row],[Country Code]],Table29[],5,FALSE)</f>
        <v>Middle-income</v>
      </c>
      <c r="AU2032" s="233" t="str">
        <f>VLOOKUP(Table8[[#This Row],[Country Code]],Table29[],6,FALSE)</f>
        <v>no</v>
      </c>
      <c r="AV2032" s="233" t="str">
        <f>VLOOKUP(Table8[[#This Row],[Country Code]],Table29[],7,FALSE)</f>
        <v>no</v>
      </c>
      <c r="AW2032" s="233" t="str">
        <f>VLOOKUP(Table8[[#This Row],[Country Code]],Table29[],8,FALSE)</f>
        <v>non-OECD</v>
      </c>
      <c r="AX2032" s="233" t="str">
        <f>VLOOKUP(Table8[[#This Row],[Country Code]],Table29[],9,FALSE)</f>
        <v>no</v>
      </c>
      <c r="AY2032" s="233" t="str">
        <f>VLOOKUP(Table8[[#This Row],[Country Code]],Table29[],10,FALSE)</f>
        <v>no</v>
      </c>
      <c r="AZ2032" s="235">
        <f>VLOOKUP(Table8[[#This Row],[Country Code]],Table29[],23,FALSE)</f>
        <v>38.403849844142002</v>
      </c>
      <c r="BA2032" s="235">
        <f>VLOOKUP(Table8[[#This Row],[Country Code]],Table29[],24,FALSE)</f>
        <v>9.6330858743096854</v>
      </c>
      <c r="BB2032" s="320"/>
      <c r="BC2032" s="320"/>
    </row>
    <row r="2033" spans="1:55" hidden="1" x14ac:dyDescent="0.25">
      <c r="A2033" s="373">
        <v>21314</v>
      </c>
      <c r="B2033" s="233" t="str">
        <f>VLOOKUP(Table8[[#This Row],[Document ID]],Table1[],2,FALSE)</f>
        <v>LKA</v>
      </c>
      <c r="C2033" s="233" t="str">
        <f>VLOOKUP(Table8[[#This Row],[Document ID]],Table1[],3,FALSE)</f>
        <v>Sri Lanka</v>
      </c>
      <c r="D2033" s="243" t="str">
        <f>VLOOKUP(Table8[[#This Row],[Document ID]],Table1[],5,FALSE)</f>
        <v>NDC</v>
      </c>
      <c r="E2033" s="233" t="str">
        <f>VLOOKUP(Table8[[#This Row],[Document ID]],Table1[],7,FALSE)</f>
        <v>First NDC updated</v>
      </c>
      <c r="F2033" s="233" t="str">
        <f>VLOOKUP(Table8[[#This Row],[Document ID]],Table1[],8,FALSE)</f>
        <v>NDC 1.1</v>
      </c>
      <c r="G2033" s="233" t="str">
        <f>VLOOKUP(Table8[[#This Row],[Document ID]],Table1[],10,FALSE)</f>
        <v>Active</v>
      </c>
      <c r="H2033" s="43" t="s">
        <v>2350</v>
      </c>
      <c r="I2033" s="43" t="s">
        <v>2456</v>
      </c>
      <c r="J2033" s="44" t="s">
        <v>2466</v>
      </c>
      <c r="K2033" s="44" t="s">
        <v>4204</v>
      </c>
      <c r="L2033" s="44" t="s">
        <v>2347</v>
      </c>
      <c r="M2033" s="43">
        <v>13</v>
      </c>
      <c r="N2033" s="113"/>
      <c r="O2033" s="113"/>
      <c r="P2033" s="113"/>
      <c r="Q2033" s="113"/>
      <c r="R2033" s="113"/>
      <c r="S2033" s="113"/>
      <c r="T2033" s="113"/>
      <c r="U2033" s="113"/>
      <c r="V2033" s="113"/>
      <c r="W2033" s="113"/>
      <c r="X2033" s="113"/>
      <c r="Y2033" s="113"/>
      <c r="Z2033" s="113" t="s">
        <v>1113</v>
      </c>
      <c r="AA2033" s="113"/>
      <c r="AB2033" s="113"/>
      <c r="AC2033" s="113"/>
      <c r="AD2033" s="113"/>
      <c r="AE2033" s="113"/>
      <c r="AF2033" s="113"/>
      <c r="AG2033" s="113"/>
      <c r="AH2033" s="113"/>
      <c r="AI2033" s="113"/>
      <c r="AJ2033" s="113"/>
      <c r="AK2033" s="113" t="s">
        <v>1113</v>
      </c>
      <c r="AL2033" s="113"/>
      <c r="AM2033" s="113"/>
      <c r="AN2033" s="113"/>
      <c r="AO2033" s="43" t="s">
        <v>2353</v>
      </c>
      <c r="AP2033" s="43"/>
      <c r="AQ2033" s="236" t="str">
        <f>VLOOKUP(Table8[[#This Row],[Instrument]],Def_Targets!$D$73:$E$159,2,FALSE)</f>
        <v>S_Infraexpansion</v>
      </c>
      <c r="AR2033" s="233" t="str">
        <f>VLOOKUP(Table8[[#This Row],[Country Code]],Table29[],3,FALSE)</f>
        <v>Non-Annex I</v>
      </c>
      <c r="AS2033" s="233" t="str">
        <f>VLOOKUP(Table8[[#This Row],[Country Code]],Table29[],4,FALSE)</f>
        <v>Asia</v>
      </c>
      <c r="AT2033" s="233" t="str">
        <f>VLOOKUP(Table8[[#This Row],[Country Code]],Table29[],5,FALSE)</f>
        <v>Middle-income</v>
      </c>
      <c r="AU2033" s="233" t="str">
        <f>VLOOKUP(Table8[[#This Row],[Country Code]],Table29[],6,FALSE)</f>
        <v>no</v>
      </c>
      <c r="AV2033" s="233" t="str">
        <f>VLOOKUP(Table8[[#This Row],[Country Code]],Table29[],7,FALSE)</f>
        <v>no</v>
      </c>
      <c r="AW2033" s="233" t="str">
        <f>VLOOKUP(Table8[[#This Row],[Country Code]],Table29[],8,FALSE)</f>
        <v>non-OECD</v>
      </c>
      <c r="AX2033" s="233" t="str">
        <f>VLOOKUP(Table8[[#This Row],[Country Code]],Table29[],9,FALSE)</f>
        <v>no</v>
      </c>
      <c r="AY2033" s="233" t="str">
        <f>VLOOKUP(Table8[[#This Row],[Country Code]],Table29[],10,FALSE)</f>
        <v>no</v>
      </c>
      <c r="AZ2033" s="235">
        <f>VLOOKUP(Table8[[#This Row],[Country Code]],Table29[],23,FALSE)</f>
        <v>38.403849844142002</v>
      </c>
      <c r="BA2033" s="235">
        <f>VLOOKUP(Table8[[#This Row],[Country Code]],Table29[],24,FALSE)</f>
        <v>9.6330858743096854</v>
      </c>
      <c r="BB2033" s="320"/>
      <c r="BC2033" s="320"/>
    </row>
    <row r="2034" spans="1:55" hidden="1" x14ac:dyDescent="0.25">
      <c r="A2034" s="373">
        <v>21314</v>
      </c>
      <c r="B2034" s="233" t="str">
        <f>VLOOKUP(Table8[[#This Row],[Document ID]],Table1[],2,FALSE)</f>
        <v>LKA</v>
      </c>
      <c r="C2034" s="233" t="str">
        <f>VLOOKUP(Table8[[#This Row],[Document ID]],Table1[],3,FALSE)</f>
        <v>Sri Lanka</v>
      </c>
      <c r="D2034" s="243" t="str">
        <f>VLOOKUP(Table8[[#This Row],[Document ID]],Table1[],5,FALSE)</f>
        <v>NDC</v>
      </c>
      <c r="E2034" s="233" t="str">
        <f>VLOOKUP(Table8[[#This Row],[Document ID]],Table1[],7,FALSE)</f>
        <v>First NDC updated</v>
      </c>
      <c r="F2034" s="233" t="str">
        <f>VLOOKUP(Table8[[#This Row],[Document ID]],Table1[],8,FALSE)</f>
        <v>NDC 1.1</v>
      </c>
      <c r="G2034" s="233" t="str">
        <f>VLOOKUP(Table8[[#This Row],[Document ID]],Table1[],10,FALSE)</f>
        <v>Active</v>
      </c>
      <c r="H2034" s="43" t="s">
        <v>2343</v>
      </c>
      <c r="I2034" s="43" t="s">
        <v>2344</v>
      </c>
      <c r="J2034" s="44" t="s">
        <v>2405</v>
      </c>
      <c r="K2034" s="44" t="s">
        <v>4205</v>
      </c>
      <c r="L2034" s="44" t="s">
        <v>2347</v>
      </c>
      <c r="M2034" s="43">
        <v>13</v>
      </c>
      <c r="N2034" s="113"/>
      <c r="O2034" s="113"/>
      <c r="P2034" s="113"/>
      <c r="Q2034" s="113"/>
      <c r="R2034" s="113"/>
      <c r="S2034" s="113"/>
      <c r="T2034" s="113"/>
      <c r="U2034" s="113"/>
      <c r="V2034" s="113"/>
      <c r="W2034" s="113"/>
      <c r="X2034" s="113"/>
      <c r="Y2034" s="113"/>
      <c r="Z2034" s="113"/>
      <c r="AA2034" s="113"/>
      <c r="AB2034" s="113"/>
      <c r="AC2034" s="113" t="s">
        <v>1113</v>
      </c>
      <c r="AD2034" s="113"/>
      <c r="AE2034" s="113"/>
      <c r="AF2034" s="113"/>
      <c r="AG2034" s="113"/>
      <c r="AH2034" s="113"/>
      <c r="AI2034" s="113"/>
      <c r="AJ2034" s="113"/>
      <c r="AK2034" s="113"/>
      <c r="AL2034" s="113" t="s">
        <v>1113</v>
      </c>
      <c r="AM2034" s="113"/>
      <c r="AN2034" s="113"/>
      <c r="AO2034" s="43" t="s">
        <v>2348</v>
      </c>
      <c r="AP2034" s="43"/>
      <c r="AQ2034" s="236" t="str">
        <f>VLOOKUP(Table8[[#This Row],[Instrument]],Def_Targets!$D$73:$E$159,2,FALSE)</f>
        <v>S_PTIntegration</v>
      </c>
      <c r="AR2034" s="233" t="str">
        <f>VLOOKUP(Table8[[#This Row],[Country Code]],Table29[],3,FALSE)</f>
        <v>Non-Annex I</v>
      </c>
      <c r="AS2034" s="233" t="str">
        <f>VLOOKUP(Table8[[#This Row],[Country Code]],Table29[],4,FALSE)</f>
        <v>Asia</v>
      </c>
      <c r="AT2034" s="233" t="str">
        <f>VLOOKUP(Table8[[#This Row],[Country Code]],Table29[],5,FALSE)</f>
        <v>Middle-income</v>
      </c>
      <c r="AU2034" s="233" t="str">
        <f>VLOOKUP(Table8[[#This Row],[Country Code]],Table29[],6,FALSE)</f>
        <v>no</v>
      </c>
      <c r="AV2034" s="233" t="str">
        <f>VLOOKUP(Table8[[#This Row],[Country Code]],Table29[],7,FALSE)</f>
        <v>no</v>
      </c>
      <c r="AW2034" s="233" t="str">
        <f>VLOOKUP(Table8[[#This Row],[Country Code]],Table29[],8,FALSE)</f>
        <v>non-OECD</v>
      </c>
      <c r="AX2034" s="233" t="str">
        <f>VLOOKUP(Table8[[#This Row],[Country Code]],Table29[],9,FALSE)</f>
        <v>no</v>
      </c>
      <c r="AY2034" s="233" t="str">
        <f>VLOOKUP(Table8[[#This Row],[Country Code]],Table29[],10,FALSE)</f>
        <v>no</v>
      </c>
      <c r="AZ2034" s="235">
        <f>VLOOKUP(Table8[[#This Row],[Country Code]],Table29[],23,FALSE)</f>
        <v>38.403849844142002</v>
      </c>
      <c r="BA2034" s="235">
        <f>VLOOKUP(Table8[[#This Row],[Country Code]],Table29[],24,FALSE)</f>
        <v>9.6330858743096854</v>
      </c>
      <c r="BB2034" s="320"/>
      <c r="BC2034" s="320"/>
    </row>
    <row r="2035" spans="1:55" hidden="1" x14ac:dyDescent="0.25">
      <c r="A2035" s="373">
        <v>21314</v>
      </c>
      <c r="B2035" s="233" t="str">
        <f>VLOOKUP(Table8[[#This Row],[Document ID]],Table1[],2,FALSE)</f>
        <v>LKA</v>
      </c>
      <c r="C2035" s="233" t="str">
        <f>VLOOKUP(Table8[[#This Row],[Document ID]],Table1[],3,FALSE)</f>
        <v>Sri Lanka</v>
      </c>
      <c r="D2035" s="243" t="str">
        <f>VLOOKUP(Table8[[#This Row],[Document ID]],Table1[],5,FALSE)</f>
        <v>NDC</v>
      </c>
      <c r="E2035" s="233" t="str">
        <f>VLOOKUP(Table8[[#This Row],[Document ID]],Table1[],7,FALSE)</f>
        <v>First NDC updated</v>
      </c>
      <c r="F2035" s="233" t="str">
        <f>VLOOKUP(Table8[[#This Row],[Document ID]],Table1[],8,FALSE)</f>
        <v>NDC 1.1</v>
      </c>
      <c r="G2035" s="233" t="str">
        <f>VLOOKUP(Table8[[#This Row],[Document ID]],Table1[],10,FALSE)</f>
        <v>Active</v>
      </c>
      <c r="H2035" s="43" t="s">
        <v>2343</v>
      </c>
      <c r="I2035" s="43" t="s">
        <v>2361</v>
      </c>
      <c r="J2035" s="44" t="s">
        <v>2362</v>
      </c>
      <c r="K2035" s="44" t="s">
        <v>4206</v>
      </c>
      <c r="L2035" s="44" t="s">
        <v>2347</v>
      </c>
      <c r="M2035" s="43">
        <v>13</v>
      </c>
      <c r="N2035" s="113"/>
      <c r="O2035" s="113"/>
      <c r="P2035" s="113"/>
      <c r="Q2035" s="113"/>
      <c r="R2035" s="113" t="s">
        <v>1113</v>
      </c>
      <c r="S2035" s="113"/>
      <c r="T2035" s="113"/>
      <c r="U2035" s="113"/>
      <c r="V2035" s="113"/>
      <c r="W2035" s="113"/>
      <c r="X2035" s="113"/>
      <c r="Y2035" s="113"/>
      <c r="Z2035" s="113"/>
      <c r="AA2035" s="113"/>
      <c r="AB2035" s="113"/>
      <c r="AC2035" s="113"/>
      <c r="AD2035" s="113"/>
      <c r="AE2035" s="113"/>
      <c r="AF2035" s="113"/>
      <c r="AG2035" s="113"/>
      <c r="AH2035" s="113"/>
      <c r="AI2035" s="113"/>
      <c r="AJ2035" s="113"/>
      <c r="AK2035" s="113" t="s">
        <v>1113</v>
      </c>
      <c r="AL2035" s="113"/>
      <c r="AM2035" s="113"/>
      <c r="AN2035" s="113"/>
      <c r="AO2035" s="44" t="s">
        <v>2334</v>
      </c>
      <c r="AP2035" s="43"/>
      <c r="AQ2035" s="236" t="str">
        <f>VLOOKUP(Table8[[#This Row],[Instrument]],Def_Targets!$D$73:$E$159,2,FALSE)</f>
        <v>S_Cycling</v>
      </c>
      <c r="AR2035" s="233" t="str">
        <f>VLOOKUP(Table8[[#This Row],[Country Code]],Table29[],3,FALSE)</f>
        <v>Non-Annex I</v>
      </c>
      <c r="AS2035" s="233" t="str">
        <f>VLOOKUP(Table8[[#This Row],[Country Code]],Table29[],4,FALSE)</f>
        <v>Asia</v>
      </c>
      <c r="AT2035" s="233" t="str">
        <f>VLOOKUP(Table8[[#This Row],[Country Code]],Table29[],5,FALSE)</f>
        <v>Middle-income</v>
      </c>
      <c r="AU2035" s="233" t="str">
        <f>VLOOKUP(Table8[[#This Row],[Country Code]],Table29[],6,FALSE)</f>
        <v>no</v>
      </c>
      <c r="AV2035" s="233" t="str">
        <f>VLOOKUP(Table8[[#This Row],[Country Code]],Table29[],7,FALSE)</f>
        <v>no</v>
      </c>
      <c r="AW2035" s="233" t="str">
        <f>VLOOKUP(Table8[[#This Row],[Country Code]],Table29[],8,FALSE)</f>
        <v>non-OECD</v>
      </c>
      <c r="AX2035" s="233" t="str">
        <f>VLOOKUP(Table8[[#This Row],[Country Code]],Table29[],9,FALSE)</f>
        <v>no</v>
      </c>
      <c r="AY2035" s="233" t="str">
        <f>VLOOKUP(Table8[[#This Row],[Country Code]],Table29[],10,FALSE)</f>
        <v>no</v>
      </c>
      <c r="AZ2035" s="235">
        <f>VLOOKUP(Table8[[#This Row],[Country Code]],Table29[],23,FALSE)</f>
        <v>38.403849844142002</v>
      </c>
      <c r="BA2035" s="235">
        <f>VLOOKUP(Table8[[#This Row],[Country Code]],Table29[],24,FALSE)</f>
        <v>9.6330858743096854</v>
      </c>
      <c r="BB2035" s="320"/>
      <c r="BC2035" s="320"/>
    </row>
    <row r="2036" spans="1:55" hidden="1" x14ac:dyDescent="0.25">
      <c r="A2036" s="373">
        <v>21314</v>
      </c>
      <c r="B2036" s="233" t="str">
        <f>VLOOKUP(Table8[[#This Row],[Document ID]],Table1[],2,FALSE)</f>
        <v>LKA</v>
      </c>
      <c r="C2036" s="233" t="str">
        <f>VLOOKUP(Table8[[#This Row],[Document ID]],Table1[],3,FALSE)</f>
        <v>Sri Lanka</v>
      </c>
      <c r="D2036" s="243" t="str">
        <f>VLOOKUP(Table8[[#This Row],[Document ID]],Table1[],5,FALSE)</f>
        <v>NDC</v>
      </c>
      <c r="E2036" s="233" t="str">
        <f>VLOOKUP(Table8[[#This Row],[Document ID]],Table1[],7,FALSE)</f>
        <v>First NDC updated</v>
      </c>
      <c r="F2036" s="233" t="str">
        <f>VLOOKUP(Table8[[#This Row],[Document ID]],Table1[],8,FALSE)</f>
        <v>NDC 1.1</v>
      </c>
      <c r="G2036" s="233" t="str">
        <f>VLOOKUP(Table8[[#This Row],[Document ID]],Table1[],10,FALSE)</f>
        <v>Active</v>
      </c>
      <c r="H2036" s="43" t="s">
        <v>2343</v>
      </c>
      <c r="I2036" s="43" t="s">
        <v>2361</v>
      </c>
      <c r="J2036" s="44" t="s">
        <v>2463</v>
      </c>
      <c r="K2036" s="44" t="s">
        <v>4207</v>
      </c>
      <c r="L2036" s="44" t="s">
        <v>2347</v>
      </c>
      <c r="M2036" s="43">
        <v>13</v>
      </c>
      <c r="N2036" s="113"/>
      <c r="O2036" s="113"/>
      <c r="P2036" s="113"/>
      <c r="Q2036" s="113" t="s">
        <v>1113</v>
      </c>
      <c r="R2036" s="113"/>
      <c r="S2036" s="113"/>
      <c r="T2036" s="113"/>
      <c r="U2036" s="113"/>
      <c r="V2036" s="113"/>
      <c r="W2036" s="113"/>
      <c r="X2036" s="113"/>
      <c r="Y2036" s="113"/>
      <c r="Z2036" s="113"/>
      <c r="AA2036" s="113"/>
      <c r="AB2036" s="113"/>
      <c r="AC2036" s="113"/>
      <c r="AD2036" s="113"/>
      <c r="AE2036" s="113"/>
      <c r="AF2036" s="113"/>
      <c r="AG2036" s="113"/>
      <c r="AH2036" s="113"/>
      <c r="AI2036" s="113"/>
      <c r="AJ2036" s="113"/>
      <c r="AK2036" s="113" t="s">
        <v>1113</v>
      </c>
      <c r="AL2036" s="113"/>
      <c r="AM2036" s="113"/>
      <c r="AN2036" s="113"/>
      <c r="AO2036" s="44" t="s">
        <v>2334</v>
      </c>
      <c r="AP2036" s="43"/>
      <c r="AQ2036" s="236" t="str">
        <f>VLOOKUP(Table8[[#This Row],[Instrument]],Def_Targets!$D$73:$E$159,2,FALSE)</f>
        <v>S_Walking</v>
      </c>
      <c r="AR2036" s="233" t="str">
        <f>VLOOKUP(Table8[[#This Row],[Country Code]],Table29[],3,FALSE)</f>
        <v>Non-Annex I</v>
      </c>
      <c r="AS2036" s="233" t="str">
        <f>VLOOKUP(Table8[[#This Row],[Country Code]],Table29[],4,FALSE)</f>
        <v>Asia</v>
      </c>
      <c r="AT2036" s="233" t="str">
        <f>VLOOKUP(Table8[[#This Row],[Country Code]],Table29[],5,FALSE)</f>
        <v>Middle-income</v>
      </c>
      <c r="AU2036" s="233" t="str">
        <f>VLOOKUP(Table8[[#This Row],[Country Code]],Table29[],6,FALSE)</f>
        <v>no</v>
      </c>
      <c r="AV2036" s="233" t="str">
        <f>VLOOKUP(Table8[[#This Row],[Country Code]],Table29[],7,FALSE)</f>
        <v>no</v>
      </c>
      <c r="AW2036" s="233" t="str">
        <f>VLOOKUP(Table8[[#This Row],[Country Code]],Table29[],8,FALSE)</f>
        <v>non-OECD</v>
      </c>
      <c r="AX2036" s="233" t="str">
        <f>VLOOKUP(Table8[[#This Row],[Country Code]],Table29[],9,FALSE)</f>
        <v>no</v>
      </c>
      <c r="AY2036" s="233" t="str">
        <f>VLOOKUP(Table8[[#This Row],[Country Code]],Table29[],10,FALSE)</f>
        <v>no</v>
      </c>
      <c r="AZ2036" s="235">
        <f>VLOOKUP(Table8[[#This Row],[Country Code]],Table29[],23,FALSE)</f>
        <v>38.403849844142002</v>
      </c>
      <c r="BA2036" s="235">
        <f>VLOOKUP(Table8[[#This Row],[Country Code]],Table29[],24,FALSE)</f>
        <v>9.6330858743096854</v>
      </c>
      <c r="BB2036" s="320"/>
      <c r="BC2036" s="320"/>
    </row>
    <row r="2037" spans="1:55" ht="30" hidden="1" x14ac:dyDescent="0.25">
      <c r="A2037" s="373">
        <v>21314</v>
      </c>
      <c r="B2037" s="233" t="str">
        <f>VLOOKUP(Table8[[#This Row],[Document ID]],Table1[],2,FALSE)</f>
        <v>LKA</v>
      </c>
      <c r="C2037" s="233" t="str">
        <f>VLOOKUP(Table8[[#This Row],[Document ID]],Table1[],3,FALSE)</f>
        <v>Sri Lanka</v>
      </c>
      <c r="D2037" s="243" t="str">
        <f>VLOOKUP(Table8[[#This Row],[Document ID]],Table1[],5,FALSE)</f>
        <v>NDC</v>
      </c>
      <c r="E2037" s="233" t="str">
        <f>VLOOKUP(Table8[[#This Row],[Document ID]],Table1[],7,FALSE)</f>
        <v>First NDC updated</v>
      </c>
      <c r="F2037" s="233" t="str">
        <f>VLOOKUP(Table8[[#This Row],[Document ID]],Table1[],8,FALSE)</f>
        <v>NDC 1.1</v>
      </c>
      <c r="G2037" s="233" t="str">
        <f>VLOOKUP(Table8[[#This Row],[Document ID]],Table1[],10,FALSE)</f>
        <v>Active</v>
      </c>
      <c r="H2037" s="43" t="s">
        <v>2343</v>
      </c>
      <c r="I2037" s="43" t="s">
        <v>2386</v>
      </c>
      <c r="J2037" s="44" t="s">
        <v>2569</v>
      </c>
      <c r="K2037" s="44" t="s">
        <v>4208</v>
      </c>
      <c r="L2037" s="44" t="s">
        <v>2572</v>
      </c>
      <c r="M2037" s="43">
        <v>13</v>
      </c>
      <c r="N2037" s="113" t="s">
        <v>1113</v>
      </c>
      <c r="O2037" s="113"/>
      <c r="P2037" s="113"/>
      <c r="Q2037" s="113"/>
      <c r="R2037" s="113"/>
      <c r="S2037" s="113"/>
      <c r="T2037" s="113"/>
      <c r="U2037" s="113"/>
      <c r="V2037" s="113"/>
      <c r="W2037" s="113"/>
      <c r="X2037" s="113"/>
      <c r="Y2037" s="113"/>
      <c r="Z2037" s="113"/>
      <c r="AA2037" s="113"/>
      <c r="AB2037" s="113"/>
      <c r="AC2037" s="113"/>
      <c r="AD2037" s="113"/>
      <c r="AE2037" s="113"/>
      <c r="AF2037" s="113"/>
      <c r="AG2037" s="113"/>
      <c r="AH2037" s="113"/>
      <c r="AI2037" s="113"/>
      <c r="AJ2037" s="113"/>
      <c r="AK2037" s="113" t="s">
        <v>1113</v>
      </c>
      <c r="AL2037" s="113"/>
      <c r="AM2037" s="113"/>
      <c r="AN2037" s="113"/>
      <c r="AO2037" s="44" t="s">
        <v>2334</v>
      </c>
      <c r="AP2037" s="43"/>
      <c r="AQ2037" s="236" t="str">
        <f>VLOOKUP(Table8[[#This Row],[Instrument]],Def_Targets!$D$73:$E$159,2,FALSE)</f>
        <v>A_Roadcharging</v>
      </c>
      <c r="AR2037" s="233" t="str">
        <f>VLOOKUP(Table8[[#This Row],[Country Code]],Table29[],3,FALSE)</f>
        <v>Non-Annex I</v>
      </c>
      <c r="AS2037" s="233" t="str">
        <f>VLOOKUP(Table8[[#This Row],[Country Code]],Table29[],4,FALSE)</f>
        <v>Asia</v>
      </c>
      <c r="AT2037" s="233" t="str">
        <f>VLOOKUP(Table8[[#This Row],[Country Code]],Table29[],5,FALSE)</f>
        <v>Middle-income</v>
      </c>
      <c r="AU2037" s="233" t="str">
        <f>VLOOKUP(Table8[[#This Row],[Country Code]],Table29[],6,FALSE)</f>
        <v>no</v>
      </c>
      <c r="AV2037" s="233" t="str">
        <f>VLOOKUP(Table8[[#This Row],[Country Code]],Table29[],7,FALSE)</f>
        <v>no</v>
      </c>
      <c r="AW2037" s="233" t="str">
        <f>VLOOKUP(Table8[[#This Row],[Country Code]],Table29[],8,FALSE)</f>
        <v>non-OECD</v>
      </c>
      <c r="AX2037" s="233" t="str">
        <f>VLOOKUP(Table8[[#This Row],[Country Code]],Table29[],9,FALSE)</f>
        <v>no</v>
      </c>
      <c r="AY2037" s="233" t="str">
        <f>VLOOKUP(Table8[[#This Row],[Country Code]],Table29[],10,FALSE)</f>
        <v>no</v>
      </c>
      <c r="AZ2037" s="235">
        <f>VLOOKUP(Table8[[#This Row],[Country Code]],Table29[],23,FALSE)</f>
        <v>38.403849844142002</v>
      </c>
      <c r="BA2037" s="235">
        <f>VLOOKUP(Table8[[#This Row],[Country Code]],Table29[],24,FALSE)</f>
        <v>9.6330858743096854</v>
      </c>
      <c r="BB2037" s="320"/>
      <c r="BC2037" s="320"/>
    </row>
    <row r="2038" spans="1:55" ht="30" hidden="1" x14ac:dyDescent="0.25">
      <c r="A2038" s="373">
        <v>21314</v>
      </c>
      <c r="B2038" s="233" t="str">
        <f>VLOOKUP(Table8[[#This Row],[Document ID]],Table1[],2,FALSE)</f>
        <v>LKA</v>
      </c>
      <c r="C2038" s="233" t="str">
        <f>VLOOKUP(Table8[[#This Row],[Document ID]],Table1[],3,FALSE)</f>
        <v>Sri Lanka</v>
      </c>
      <c r="D2038" s="243" t="str">
        <f>VLOOKUP(Table8[[#This Row],[Document ID]],Table1[],5,FALSE)</f>
        <v>NDC</v>
      </c>
      <c r="E2038" s="233" t="str">
        <f>VLOOKUP(Table8[[#This Row],[Document ID]],Table1[],7,FALSE)</f>
        <v>First NDC updated</v>
      </c>
      <c r="F2038" s="233" t="str">
        <f>VLOOKUP(Table8[[#This Row],[Document ID]],Table1[],8,FALSE)</f>
        <v>NDC 1.1</v>
      </c>
      <c r="G2038" s="233" t="str">
        <f>VLOOKUP(Table8[[#This Row],[Document ID]],Table1[],10,FALSE)</f>
        <v>Active</v>
      </c>
      <c r="H2038" s="43" t="s">
        <v>2343</v>
      </c>
      <c r="I2038" s="43" t="s">
        <v>2377</v>
      </c>
      <c r="J2038" s="44" t="s">
        <v>2521</v>
      </c>
      <c r="K2038" s="44" t="s">
        <v>4209</v>
      </c>
      <c r="L2038" s="44" t="s">
        <v>2471</v>
      </c>
      <c r="M2038" s="43">
        <v>13</v>
      </c>
      <c r="N2038" s="113" t="s">
        <v>1113</v>
      </c>
      <c r="O2038" s="113"/>
      <c r="P2038" s="113"/>
      <c r="Q2038" s="113"/>
      <c r="R2038" s="113"/>
      <c r="S2038" s="113"/>
      <c r="T2038" s="113"/>
      <c r="U2038" s="113"/>
      <c r="V2038" s="113"/>
      <c r="W2038" s="113"/>
      <c r="X2038" s="113"/>
      <c r="Y2038" s="113"/>
      <c r="Z2038" s="113"/>
      <c r="AA2038" s="113"/>
      <c r="AB2038" s="113"/>
      <c r="AC2038" s="113"/>
      <c r="AD2038" s="113"/>
      <c r="AE2038" s="113"/>
      <c r="AF2038" s="113"/>
      <c r="AG2038" s="113"/>
      <c r="AH2038" s="113"/>
      <c r="AI2038" s="113"/>
      <c r="AJ2038" s="113"/>
      <c r="AK2038" s="113" t="s">
        <v>1113</v>
      </c>
      <c r="AL2038" s="113"/>
      <c r="AM2038" s="113"/>
      <c r="AN2038" s="113"/>
      <c r="AO2038" s="44" t="s">
        <v>2334</v>
      </c>
      <c r="AP2038" s="43"/>
      <c r="AQ2038" s="236" t="str">
        <f>VLOOKUP(Table8[[#This Row],[Instrument]],Def_Targets!$D$73:$E$159,2,FALSE)</f>
        <v>A_Caraccess</v>
      </c>
      <c r="AR2038" s="233" t="str">
        <f>VLOOKUP(Table8[[#This Row],[Country Code]],Table29[],3,FALSE)</f>
        <v>Non-Annex I</v>
      </c>
      <c r="AS2038" s="233" t="str">
        <f>VLOOKUP(Table8[[#This Row],[Country Code]],Table29[],4,FALSE)</f>
        <v>Asia</v>
      </c>
      <c r="AT2038" s="233" t="str">
        <f>VLOOKUP(Table8[[#This Row],[Country Code]],Table29[],5,FALSE)</f>
        <v>Middle-income</v>
      </c>
      <c r="AU2038" s="233" t="str">
        <f>VLOOKUP(Table8[[#This Row],[Country Code]],Table29[],6,FALSE)</f>
        <v>no</v>
      </c>
      <c r="AV2038" s="233" t="str">
        <f>VLOOKUP(Table8[[#This Row],[Country Code]],Table29[],7,FALSE)</f>
        <v>no</v>
      </c>
      <c r="AW2038" s="233" t="str">
        <f>VLOOKUP(Table8[[#This Row],[Country Code]],Table29[],8,FALSE)</f>
        <v>non-OECD</v>
      </c>
      <c r="AX2038" s="233" t="str">
        <f>VLOOKUP(Table8[[#This Row],[Country Code]],Table29[],9,FALSE)</f>
        <v>no</v>
      </c>
      <c r="AY2038" s="233" t="str">
        <f>VLOOKUP(Table8[[#This Row],[Country Code]],Table29[],10,FALSE)</f>
        <v>no</v>
      </c>
      <c r="AZ2038" s="235">
        <f>VLOOKUP(Table8[[#This Row],[Country Code]],Table29[],23,FALSE)</f>
        <v>38.403849844142002</v>
      </c>
      <c r="BA2038" s="235">
        <f>VLOOKUP(Table8[[#This Row],[Country Code]],Table29[],24,FALSE)</f>
        <v>9.6330858743096854</v>
      </c>
      <c r="BB2038" s="320"/>
      <c r="BC2038" s="320"/>
    </row>
    <row r="2039" spans="1:55" hidden="1" x14ac:dyDescent="0.25">
      <c r="A2039" s="373">
        <v>21314</v>
      </c>
      <c r="B2039" s="233" t="str">
        <f>VLOOKUP(Table8[[#This Row],[Document ID]],Table1[],2,FALSE)</f>
        <v>LKA</v>
      </c>
      <c r="C2039" s="233" t="str">
        <f>VLOOKUP(Table8[[#This Row],[Document ID]],Table1[],3,FALSE)</f>
        <v>Sri Lanka</v>
      </c>
      <c r="D2039" s="243" t="str">
        <f>VLOOKUP(Table8[[#This Row],[Document ID]],Table1[],5,FALSE)</f>
        <v>NDC</v>
      </c>
      <c r="E2039" s="233" t="str">
        <f>VLOOKUP(Table8[[#This Row],[Document ID]],Table1[],7,FALSE)</f>
        <v>First NDC updated</v>
      </c>
      <c r="F2039" s="233" t="str">
        <f>VLOOKUP(Table8[[#This Row],[Document ID]],Table1[],8,FALSE)</f>
        <v>NDC 1.1</v>
      </c>
      <c r="G2039" s="233" t="str">
        <f>VLOOKUP(Table8[[#This Row],[Document ID]],Table1[],10,FALSE)</f>
        <v>Active</v>
      </c>
      <c r="H2039" s="43" t="s">
        <v>2343</v>
      </c>
      <c r="I2039" s="43" t="s">
        <v>2377</v>
      </c>
      <c r="J2039" s="44" t="s">
        <v>2535</v>
      </c>
      <c r="K2039" s="44" t="s">
        <v>4210</v>
      </c>
      <c r="L2039" s="44" t="s">
        <v>2396</v>
      </c>
      <c r="M2039" s="43">
        <v>13</v>
      </c>
      <c r="N2039" s="113" t="s">
        <v>1113</v>
      </c>
      <c r="O2039" s="113"/>
      <c r="P2039" s="113"/>
      <c r="Q2039" s="113"/>
      <c r="R2039" s="113"/>
      <c r="S2039" s="113"/>
      <c r="T2039" s="113"/>
      <c r="U2039" s="113"/>
      <c r="V2039" s="113"/>
      <c r="W2039" s="113"/>
      <c r="X2039" s="113"/>
      <c r="Y2039" s="113"/>
      <c r="Z2039" s="113"/>
      <c r="AA2039" s="113"/>
      <c r="AB2039" s="113"/>
      <c r="AC2039" s="113"/>
      <c r="AD2039" s="113"/>
      <c r="AE2039" s="113"/>
      <c r="AF2039" s="113"/>
      <c r="AG2039" s="113"/>
      <c r="AH2039" s="113"/>
      <c r="AI2039" s="113"/>
      <c r="AJ2039" s="113"/>
      <c r="AK2039" s="113" t="s">
        <v>1113</v>
      </c>
      <c r="AL2039" s="113"/>
      <c r="AM2039" s="113"/>
      <c r="AN2039" s="113"/>
      <c r="AO2039" s="44" t="s">
        <v>2334</v>
      </c>
      <c r="AP2039" s="43"/>
      <c r="AQ2039" s="236" t="str">
        <f>VLOOKUP(Table8[[#This Row],[Instrument]],Def_Targets!$D$73:$E$159,2,FALSE)</f>
        <v>S_Parking</v>
      </c>
      <c r="AR2039" s="233" t="str">
        <f>VLOOKUP(Table8[[#This Row],[Country Code]],Table29[],3,FALSE)</f>
        <v>Non-Annex I</v>
      </c>
      <c r="AS2039" s="233" t="str">
        <f>VLOOKUP(Table8[[#This Row],[Country Code]],Table29[],4,FALSE)</f>
        <v>Asia</v>
      </c>
      <c r="AT2039" s="233" t="str">
        <f>VLOOKUP(Table8[[#This Row],[Country Code]],Table29[],5,FALSE)</f>
        <v>Middle-income</v>
      </c>
      <c r="AU2039" s="233" t="str">
        <f>VLOOKUP(Table8[[#This Row],[Country Code]],Table29[],6,FALSE)</f>
        <v>no</v>
      </c>
      <c r="AV2039" s="233" t="str">
        <f>VLOOKUP(Table8[[#This Row],[Country Code]],Table29[],7,FALSE)</f>
        <v>no</v>
      </c>
      <c r="AW2039" s="233" t="str">
        <f>VLOOKUP(Table8[[#This Row],[Country Code]],Table29[],8,FALSE)</f>
        <v>non-OECD</v>
      </c>
      <c r="AX2039" s="233" t="str">
        <f>VLOOKUP(Table8[[#This Row],[Country Code]],Table29[],9,FALSE)</f>
        <v>no</v>
      </c>
      <c r="AY2039" s="233" t="str">
        <f>VLOOKUP(Table8[[#This Row],[Country Code]],Table29[],10,FALSE)</f>
        <v>no</v>
      </c>
      <c r="AZ2039" s="235">
        <f>VLOOKUP(Table8[[#This Row],[Country Code]],Table29[],23,FALSE)</f>
        <v>38.403849844142002</v>
      </c>
      <c r="BA2039" s="235">
        <f>VLOOKUP(Table8[[#This Row],[Country Code]],Table29[],24,FALSE)</f>
        <v>9.6330858743096854</v>
      </c>
      <c r="BB2039" s="320"/>
      <c r="BC2039" s="320"/>
    </row>
    <row r="2040" spans="1:55" ht="30" hidden="1" x14ac:dyDescent="0.25">
      <c r="A2040" s="373">
        <v>21314</v>
      </c>
      <c r="B2040" s="233" t="str">
        <f>VLOOKUP(Table8[[#This Row],[Document ID]],Table1[],2,FALSE)</f>
        <v>LKA</v>
      </c>
      <c r="C2040" s="233" t="str">
        <f>VLOOKUP(Table8[[#This Row],[Document ID]],Table1[],3,FALSE)</f>
        <v>Sri Lanka</v>
      </c>
      <c r="D2040" s="243" t="str">
        <f>VLOOKUP(Table8[[#This Row],[Document ID]],Table1[],5,FALSE)</f>
        <v>NDC</v>
      </c>
      <c r="E2040" s="233" t="str">
        <f>VLOOKUP(Table8[[#This Row],[Document ID]],Table1[],7,FALSE)</f>
        <v>First NDC updated</v>
      </c>
      <c r="F2040" s="233" t="str">
        <f>VLOOKUP(Table8[[#This Row],[Document ID]],Table1[],8,FALSE)</f>
        <v>NDC 1.1</v>
      </c>
      <c r="G2040" s="233" t="str">
        <f>VLOOKUP(Table8[[#This Row],[Document ID]],Table1[],10,FALSE)</f>
        <v>Active</v>
      </c>
      <c r="H2040" s="43" t="s">
        <v>2343</v>
      </c>
      <c r="I2040" s="43" t="s">
        <v>2344</v>
      </c>
      <c r="J2040" s="44" t="s">
        <v>2405</v>
      </c>
      <c r="K2040" s="44" t="s">
        <v>4211</v>
      </c>
      <c r="L2040" s="44" t="s">
        <v>2471</v>
      </c>
      <c r="M2040" s="43">
        <v>13</v>
      </c>
      <c r="N2040" s="113"/>
      <c r="O2040" s="113"/>
      <c r="P2040" s="113"/>
      <c r="Q2040" s="113"/>
      <c r="R2040" s="113"/>
      <c r="S2040" s="113"/>
      <c r="T2040" s="113"/>
      <c r="U2040" s="113"/>
      <c r="V2040" s="113"/>
      <c r="W2040" s="113"/>
      <c r="X2040" s="113"/>
      <c r="Y2040" s="113"/>
      <c r="Z2040" s="113"/>
      <c r="AA2040" s="113"/>
      <c r="AB2040" s="113"/>
      <c r="AC2040" s="113"/>
      <c r="AD2040" s="113"/>
      <c r="AE2040" s="113"/>
      <c r="AF2040" s="113" t="s">
        <v>1113</v>
      </c>
      <c r="AG2040" s="113"/>
      <c r="AH2040" s="113"/>
      <c r="AI2040" s="113"/>
      <c r="AJ2040" s="113"/>
      <c r="AK2040" s="113" t="s">
        <v>1113</v>
      </c>
      <c r="AL2040" s="113"/>
      <c r="AM2040" s="113"/>
      <c r="AN2040" s="113"/>
      <c r="AO2040" s="44" t="s">
        <v>2334</v>
      </c>
      <c r="AP2040" s="43"/>
      <c r="AQ2040" s="236" t="str">
        <f>VLOOKUP(Table8[[#This Row],[Instrument]],Def_Targets!$D$73:$E$159,2,FALSE)</f>
        <v>S_PTIntegration</v>
      </c>
      <c r="AR2040" s="233" t="str">
        <f>VLOOKUP(Table8[[#This Row],[Country Code]],Table29[],3,FALSE)</f>
        <v>Non-Annex I</v>
      </c>
      <c r="AS2040" s="233" t="str">
        <f>VLOOKUP(Table8[[#This Row],[Country Code]],Table29[],4,FALSE)</f>
        <v>Asia</v>
      </c>
      <c r="AT2040" s="233" t="str">
        <f>VLOOKUP(Table8[[#This Row],[Country Code]],Table29[],5,FALSE)</f>
        <v>Middle-income</v>
      </c>
      <c r="AU2040" s="233" t="str">
        <f>VLOOKUP(Table8[[#This Row],[Country Code]],Table29[],6,FALSE)</f>
        <v>no</v>
      </c>
      <c r="AV2040" s="233" t="str">
        <f>VLOOKUP(Table8[[#This Row],[Country Code]],Table29[],7,FALSE)</f>
        <v>no</v>
      </c>
      <c r="AW2040" s="233" t="str">
        <f>VLOOKUP(Table8[[#This Row],[Country Code]],Table29[],8,FALSE)</f>
        <v>non-OECD</v>
      </c>
      <c r="AX2040" s="233" t="str">
        <f>VLOOKUP(Table8[[#This Row],[Country Code]],Table29[],9,FALSE)</f>
        <v>no</v>
      </c>
      <c r="AY2040" s="233" t="str">
        <f>VLOOKUP(Table8[[#This Row],[Country Code]],Table29[],10,FALSE)</f>
        <v>no</v>
      </c>
      <c r="AZ2040" s="235">
        <f>VLOOKUP(Table8[[#This Row],[Country Code]],Table29[],23,FALSE)</f>
        <v>38.403849844142002</v>
      </c>
      <c r="BA2040" s="235">
        <f>VLOOKUP(Table8[[#This Row],[Country Code]],Table29[],24,FALSE)</f>
        <v>9.6330858743096854</v>
      </c>
      <c r="BB2040" s="320"/>
      <c r="BC2040" s="320"/>
    </row>
    <row r="2041" spans="1:55" hidden="1" x14ac:dyDescent="0.25">
      <c r="A2041" s="373">
        <v>21314</v>
      </c>
      <c r="B2041" s="233" t="str">
        <f>VLOOKUP(Table8[[#This Row],[Document ID]],Table1[],2,FALSE)</f>
        <v>LKA</v>
      </c>
      <c r="C2041" s="233" t="str">
        <f>VLOOKUP(Table8[[#This Row],[Document ID]],Table1[],3,FALSE)</f>
        <v>Sri Lanka</v>
      </c>
      <c r="D2041" s="243" t="str">
        <f>VLOOKUP(Table8[[#This Row],[Document ID]],Table1[],5,FALSE)</f>
        <v>NDC</v>
      </c>
      <c r="E2041" s="233" t="str">
        <f>VLOOKUP(Table8[[#This Row],[Document ID]],Table1[],7,FALSE)</f>
        <v>First NDC updated</v>
      </c>
      <c r="F2041" s="233" t="str">
        <f>VLOOKUP(Table8[[#This Row],[Document ID]],Table1[],8,FALSE)</f>
        <v>NDC 1.1</v>
      </c>
      <c r="G2041" s="233" t="str">
        <f>VLOOKUP(Table8[[#This Row],[Document ID]],Table1[],10,FALSE)</f>
        <v>Active</v>
      </c>
      <c r="H2041" s="43" t="s">
        <v>2358</v>
      </c>
      <c r="I2041" s="43" t="s">
        <v>2359</v>
      </c>
      <c r="J2041" s="44" t="s">
        <v>2360</v>
      </c>
      <c r="K2041" s="44" t="s">
        <v>4212</v>
      </c>
      <c r="L2041" s="44" t="s">
        <v>2333</v>
      </c>
      <c r="M2041" s="43">
        <v>13</v>
      </c>
      <c r="N2041" s="113"/>
      <c r="O2041" s="113"/>
      <c r="P2041" s="113"/>
      <c r="Q2041" s="113"/>
      <c r="R2041" s="113"/>
      <c r="S2041" s="113"/>
      <c r="T2041" s="113"/>
      <c r="U2041" s="113"/>
      <c r="V2041" s="113"/>
      <c r="W2041" s="113"/>
      <c r="X2041" s="113"/>
      <c r="Y2041" s="113"/>
      <c r="Z2041" s="113" t="s">
        <v>1113</v>
      </c>
      <c r="AA2041" s="113"/>
      <c r="AB2041" s="113"/>
      <c r="AC2041" s="113"/>
      <c r="AD2041" s="113"/>
      <c r="AE2041" s="113"/>
      <c r="AF2041" s="113"/>
      <c r="AG2041" s="113"/>
      <c r="AH2041" s="113"/>
      <c r="AI2041" s="113"/>
      <c r="AJ2041" s="113"/>
      <c r="AK2041" s="113" t="s">
        <v>1113</v>
      </c>
      <c r="AL2041" s="113"/>
      <c r="AM2041" s="113"/>
      <c r="AN2041" s="113"/>
      <c r="AO2041" s="44" t="s">
        <v>2334</v>
      </c>
      <c r="AP2041" s="43"/>
      <c r="AQ2041" s="236" t="str">
        <f>VLOOKUP(Table8[[#This Row],[Instrument]],Def_Targets!$D$73:$E$159,2,FALSE)</f>
        <v>I_Emobility</v>
      </c>
      <c r="AR2041" s="233" t="str">
        <f>VLOOKUP(Table8[[#This Row],[Country Code]],Table29[],3,FALSE)</f>
        <v>Non-Annex I</v>
      </c>
      <c r="AS2041" s="233" t="str">
        <f>VLOOKUP(Table8[[#This Row],[Country Code]],Table29[],4,FALSE)</f>
        <v>Asia</v>
      </c>
      <c r="AT2041" s="233" t="str">
        <f>VLOOKUP(Table8[[#This Row],[Country Code]],Table29[],5,FALSE)</f>
        <v>Middle-income</v>
      </c>
      <c r="AU2041" s="233" t="str">
        <f>VLOOKUP(Table8[[#This Row],[Country Code]],Table29[],6,FALSE)</f>
        <v>no</v>
      </c>
      <c r="AV2041" s="233" t="str">
        <f>VLOOKUP(Table8[[#This Row],[Country Code]],Table29[],7,FALSE)</f>
        <v>no</v>
      </c>
      <c r="AW2041" s="233" t="str">
        <f>VLOOKUP(Table8[[#This Row],[Country Code]],Table29[],8,FALSE)</f>
        <v>non-OECD</v>
      </c>
      <c r="AX2041" s="233" t="str">
        <f>VLOOKUP(Table8[[#This Row],[Country Code]],Table29[],9,FALSE)</f>
        <v>no</v>
      </c>
      <c r="AY2041" s="233" t="str">
        <f>VLOOKUP(Table8[[#This Row],[Country Code]],Table29[],10,FALSE)</f>
        <v>no</v>
      </c>
      <c r="AZ2041" s="235">
        <f>VLOOKUP(Table8[[#This Row],[Country Code]],Table29[],23,FALSE)</f>
        <v>38.403849844142002</v>
      </c>
      <c r="BA2041" s="235">
        <f>VLOOKUP(Table8[[#This Row],[Country Code]],Table29[],24,FALSE)</f>
        <v>9.6330858743096854</v>
      </c>
      <c r="BB2041" s="320"/>
      <c r="BC2041" s="320"/>
    </row>
    <row r="2042" spans="1:55" hidden="1" x14ac:dyDescent="0.25">
      <c r="A2042" s="373">
        <v>21314</v>
      </c>
      <c r="B2042" s="233" t="str">
        <f>VLOOKUP(Table8[[#This Row],[Document ID]],Table1[],2,FALSE)</f>
        <v>LKA</v>
      </c>
      <c r="C2042" s="233" t="str">
        <f>VLOOKUP(Table8[[#This Row],[Document ID]],Table1[],3,FALSE)</f>
        <v>Sri Lanka</v>
      </c>
      <c r="D2042" s="243" t="str">
        <f>VLOOKUP(Table8[[#This Row],[Document ID]],Table1[],5,FALSE)</f>
        <v>NDC</v>
      </c>
      <c r="E2042" s="233" t="str">
        <f>VLOOKUP(Table8[[#This Row],[Document ID]],Table1[],7,FALSE)</f>
        <v>First NDC updated</v>
      </c>
      <c r="F2042" s="233" t="str">
        <f>VLOOKUP(Table8[[#This Row],[Document ID]],Table1[],8,FALSE)</f>
        <v>NDC 1.1</v>
      </c>
      <c r="G2042" s="233" t="str">
        <f>VLOOKUP(Table8[[#This Row],[Document ID]],Table1[],10,FALSE)</f>
        <v>Active</v>
      </c>
      <c r="H2042" s="43" t="s">
        <v>2350</v>
      </c>
      <c r="I2042" s="43" t="s">
        <v>2456</v>
      </c>
      <c r="J2042" s="44" t="s">
        <v>2466</v>
      </c>
      <c r="K2042" s="44" t="s">
        <v>4213</v>
      </c>
      <c r="L2042" s="44" t="s">
        <v>2347</v>
      </c>
      <c r="M2042" s="43">
        <v>13</v>
      </c>
      <c r="N2042" s="113"/>
      <c r="O2042" s="113"/>
      <c r="P2042" s="113"/>
      <c r="Q2042" s="113"/>
      <c r="R2042" s="113"/>
      <c r="S2042" s="113"/>
      <c r="T2042" s="113"/>
      <c r="U2042" s="113"/>
      <c r="V2042" s="113"/>
      <c r="W2042" s="113"/>
      <c r="X2042" s="113"/>
      <c r="Y2042" s="113"/>
      <c r="Z2042" s="113" t="s">
        <v>1113</v>
      </c>
      <c r="AA2042" s="113"/>
      <c r="AB2042" s="113"/>
      <c r="AC2042" s="113"/>
      <c r="AD2042" s="113"/>
      <c r="AE2042" s="113"/>
      <c r="AF2042" s="113"/>
      <c r="AG2042" s="113"/>
      <c r="AH2042" s="113"/>
      <c r="AI2042" s="113"/>
      <c r="AJ2042" s="113"/>
      <c r="AK2042" s="113" t="s">
        <v>1113</v>
      </c>
      <c r="AL2042" s="113"/>
      <c r="AM2042" s="113"/>
      <c r="AN2042" s="113"/>
      <c r="AO2042" s="44" t="s">
        <v>2334</v>
      </c>
      <c r="AP2042" s="43"/>
      <c r="AQ2042" s="236" t="str">
        <f>VLOOKUP(Table8[[#This Row],[Instrument]],Def_Targets!$D$73:$E$159,2,FALSE)</f>
        <v>S_Infraexpansion</v>
      </c>
      <c r="AR2042" s="233" t="str">
        <f>VLOOKUP(Table8[[#This Row],[Country Code]],Table29[],3,FALSE)</f>
        <v>Non-Annex I</v>
      </c>
      <c r="AS2042" s="233" t="str">
        <f>VLOOKUP(Table8[[#This Row],[Country Code]],Table29[],4,FALSE)</f>
        <v>Asia</v>
      </c>
      <c r="AT2042" s="233" t="str">
        <f>VLOOKUP(Table8[[#This Row],[Country Code]],Table29[],5,FALSE)</f>
        <v>Middle-income</v>
      </c>
      <c r="AU2042" s="233" t="str">
        <f>VLOOKUP(Table8[[#This Row],[Country Code]],Table29[],6,FALSE)</f>
        <v>no</v>
      </c>
      <c r="AV2042" s="233" t="str">
        <f>VLOOKUP(Table8[[#This Row],[Country Code]],Table29[],7,FALSE)</f>
        <v>no</v>
      </c>
      <c r="AW2042" s="233" t="str">
        <f>VLOOKUP(Table8[[#This Row],[Country Code]],Table29[],8,FALSE)</f>
        <v>non-OECD</v>
      </c>
      <c r="AX2042" s="233" t="str">
        <f>VLOOKUP(Table8[[#This Row],[Country Code]],Table29[],9,FALSE)</f>
        <v>no</v>
      </c>
      <c r="AY2042" s="233" t="str">
        <f>VLOOKUP(Table8[[#This Row],[Country Code]],Table29[],10,FALSE)</f>
        <v>no</v>
      </c>
      <c r="AZ2042" s="235">
        <f>VLOOKUP(Table8[[#This Row],[Country Code]],Table29[],23,FALSE)</f>
        <v>38.403849844142002</v>
      </c>
      <c r="BA2042" s="235">
        <f>VLOOKUP(Table8[[#This Row],[Country Code]],Table29[],24,FALSE)</f>
        <v>9.6330858743096854</v>
      </c>
      <c r="BB2042" s="320"/>
      <c r="BC2042" s="320"/>
    </row>
    <row r="2043" spans="1:55" ht="30" hidden="1" x14ac:dyDescent="0.25">
      <c r="A2043" s="373">
        <v>21314</v>
      </c>
      <c r="B2043" s="233" t="str">
        <f>VLOOKUP(Table8[[#This Row],[Document ID]],Table1[],2,FALSE)</f>
        <v>LKA</v>
      </c>
      <c r="C2043" s="233" t="str">
        <f>VLOOKUP(Table8[[#This Row],[Document ID]],Table1[],3,FALSE)</f>
        <v>Sri Lanka</v>
      </c>
      <c r="D2043" s="243" t="str">
        <f>VLOOKUP(Table8[[#This Row],[Document ID]],Table1[],5,FALSE)</f>
        <v>NDC</v>
      </c>
      <c r="E2043" s="233" t="str">
        <f>VLOOKUP(Table8[[#This Row],[Document ID]],Table1[],7,FALSE)</f>
        <v>First NDC updated</v>
      </c>
      <c r="F2043" s="233" t="str">
        <f>VLOOKUP(Table8[[#This Row],[Document ID]],Table1[],8,FALSE)</f>
        <v>NDC 1.1</v>
      </c>
      <c r="G2043" s="233" t="str">
        <f>VLOOKUP(Table8[[#This Row],[Document ID]],Table1[],10,FALSE)</f>
        <v>Active</v>
      </c>
      <c r="H2043" s="43" t="s">
        <v>2358</v>
      </c>
      <c r="I2043" s="43" t="s">
        <v>2359</v>
      </c>
      <c r="J2043" s="44" t="s">
        <v>2389</v>
      </c>
      <c r="K2043" s="44" t="s">
        <v>4214</v>
      </c>
      <c r="L2043" s="44" t="s">
        <v>2333</v>
      </c>
      <c r="M2043" s="43">
        <v>13</v>
      </c>
      <c r="N2043" s="113" t="s">
        <v>1113</v>
      </c>
      <c r="O2043" s="113"/>
      <c r="P2043" s="113"/>
      <c r="Q2043" s="113"/>
      <c r="R2043" s="113"/>
      <c r="S2043" s="113"/>
      <c r="T2043" s="113"/>
      <c r="U2043" s="113"/>
      <c r="V2043" s="113"/>
      <c r="W2043" s="113"/>
      <c r="X2043" s="113"/>
      <c r="Y2043" s="113"/>
      <c r="Z2043" s="113"/>
      <c r="AA2043" s="113"/>
      <c r="AB2043" s="113"/>
      <c r="AC2043" s="113"/>
      <c r="AD2043" s="113"/>
      <c r="AE2043" s="113"/>
      <c r="AF2043" s="113"/>
      <c r="AG2043" s="113"/>
      <c r="AH2043" s="113"/>
      <c r="AI2043" s="113"/>
      <c r="AJ2043" s="113"/>
      <c r="AK2043" s="113" t="s">
        <v>1113</v>
      </c>
      <c r="AL2043" s="113"/>
      <c r="AM2043" s="113"/>
      <c r="AN2043" s="113"/>
      <c r="AO2043" s="44" t="s">
        <v>2334</v>
      </c>
      <c r="AP2043" s="43"/>
      <c r="AQ2043" s="236" t="str">
        <f>VLOOKUP(Table8[[#This Row],[Instrument]],Def_Targets!$D$73:$E$159,2,FALSE)</f>
        <v>I_Emobilitypurchase</v>
      </c>
      <c r="AR2043" s="233" t="str">
        <f>VLOOKUP(Table8[[#This Row],[Country Code]],Table29[],3,FALSE)</f>
        <v>Non-Annex I</v>
      </c>
      <c r="AS2043" s="233" t="str">
        <f>VLOOKUP(Table8[[#This Row],[Country Code]],Table29[],4,FALSE)</f>
        <v>Asia</v>
      </c>
      <c r="AT2043" s="233" t="str">
        <f>VLOOKUP(Table8[[#This Row],[Country Code]],Table29[],5,FALSE)</f>
        <v>Middle-income</v>
      </c>
      <c r="AU2043" s="233" t="str">
        <f>VLOOKUP(Table8[[#This Row],[Country Code]],Table29[],6,FALSE)</f>
        <v>no</v>
      </c>
      <c r="AV2043" s="233" t="str">
        <f>VLOOKUP(Table8[[#This Row],[Country Code]],Table29[],7,FALSE)</f>
        <v>no</v>
      </c>
      <c r="AW2043" s="233" t="str">
        <f>VLOOKUP(Table8[[#This Row],[Country Code]],Table29[],8,FALSE)</f>
        <v>non-OECD</v>
      </c>
      <c r="AX2043" s="233" t="str">
        <f>VLOOKUP(Table8[[#This Row],[Country Code]],Table29[],9,FALSE)</f>
        <v>no</v>
      </c>
      <c r="AY2043" s="233" t="str">
        <f>VLOOKUP(Table8[[#This Row],[Country Code]],Table29[],10,FALSE)</f>
        <v>no</v>
      </c>
      <c r="AZ2043" s="235">
        <f>VLOOKUP(Table8[[#This Row],[Country Code]],Table29[],23,FALSE)</f>
        <v>38.403849844142002</v>
      </c>
      <c r="BA2043" s="235">
        <f>VLOOKUP(Table8[[#This Row],[Country Code]],Table29[],24,FALSE)</f>
        <v>9.6330858743096854</v>
      </c>
      <c r="BB2043" s="320"/>
      <c r="BC2043" s="320"/>
    </row>
    <row r="2044" spans="1:55" ht="30" hidden="1" x14ac:dyDescent="0.25">
      <c r="A2044" s="373">
        <v>21314</v>
      </c>
      <c r="B2044" s="233" t="str">
        <f>VLOOKUP(Table8[[#This Row],[Document ID]],Table1[],2,FALSE)</f>
        <v>LKA</v>
      </c>
      <c r="C2044" s="233" t="str">
        <f>VLOOKUP(Table8[[#This Row],[Document ID]],Table1[],3,FALSE)</f>
        <v>Sri Lanka</v>
      </c>
      <c r="D2044" s="243" t="str">
        <f>VLOOKUP(Table8[[#This Row],[Document ID]],Table1[],5,FALSE)</f>
        <v>NDC</v>
      </c>
      <c r="E2044" s="233" t="str">
        <f>VLOOKUP(Table8[[#This Row],[Document ID]],Table1[],7,FALSE)</f>
        <v>First NDC updated</v>
      </c>
      <c r="F2044" s="233" t="str">
        <f>VLOOKUP(Table8[[#This Row],[Document ID]],Table1[],8,FALSE)</f>
        <v>NDC 1.1</v>
      </c>
      <c r="G2044" s="233" t="str">
        <f>VLOOKUP(Table8[[#This Row],[Document ID]],Table1[],10,FALSE)</f>
        <v>Active</v>
      </c>
      <c r="H2044" s="43" t="s">
        <v>2358</v>
      </c>
      <c r="I2044" s="43" t="s">
        <v>2359</v>
      </c>
      <c r="J2044" s="44" t="s">
        <v>2383</v>
      </c>
      <c r="K2044" s="44" t="s">
        <v>4215</v>
      </c>
      <c r="L2044" s="44" t="s">
        <v>2333</v>
      </c>
      <c r="M2044" s="43">
        <v>13</v>
      </c>
      <c r="N2044" s="113" t="s">
        <v>1113</v>
      </c>
      <c r="O2044" s="113"/>
      <c r="P2044" s="113"/>
      <c r="Q2044" s="113"/>
      <c r="R2044" s="113"/>
      <c r="S2044" s="113"/>
      <c r="T2044" s="113"/>
      <c r="U2044" s="113"/>
      <c r="V2044" s="113"/>
      <c r="W2044" s="113"/>
      <c r="X2044" s="113"/>
      <c r="Y2044" s="113"/>
      <c r="Z2044" s="113"/>
      <c r="AA2044" s="113"/>
      <c r="AB2044" s="113"/>
      <c r="AC2044" s="113"/>
      <c r="AD2044" s="113"/>
      <c r="AE2044" s="113"/>
      <c r="AF2044" s="113"/>
      <c r="AG2044" s="113"/>
      <c r="AH2044" s="113"/>
      <c r="AI2044" s="113"/>
      <c r="AJ2044" s="113"/>
      <c r="AK2044" s="113" t="s">
        <v>1113</v>
      </c>
      <c r="AL2044" s="113"/>
      <c r="AM2044" s="113"/>
      <c r="AN2044" s="113"/>
      <c r="AO2044" s="44" t="s">
        <v>2334</v>
      </c>
      <c r="AP2044" s="43"/>
      <c r="AQ2044" s="236" t="str">
        <f>VLOOKUP(Table8[[#This Row],[Instrument]],Def_Targets!$D$73:$E$159,2,FALSE)</f>
        <v>I_Emobilitycharging</v>
      </c>
      <c r="AR2044" s="233" t="str">
        <f>VLOOKUP(Table8[[#This Row],[Country Code]],Table29[],3,FALSE)</f>
        <v>Non-Annex I</v>
      </c>
      <c r="AS2044" s="233" t="str">
        <f>VLOOKUP(Table8[[#This Row],[Country Code]],Table29[],4,FALSE)</f>
        <v>Asia</v>
      </c>
      <c r="AT2044" s="233" t="str">
        <f>VLOOKUP(Table8[[#This Row],[Country Code]],Table29[],5,FALSE)</f>
        <v>Middle-income</v>
      </c>
      <c r="AU2044" s="233" t="str">
        <f>VLOOKUP(Table8[[#This Row],[Country Code]],Table29[],6,FALSE)</f>
        <v>no</v>
      </c>
      <c r="AV2044" s="233" t="str">
        <f>VLOOKUP(Table8[[#This Row],[Country Code]],Table29[],7,FALSE)</f>
        <v>no</v>
      </c>
      <c r="AW2044" s="233" t="str">
        <f>VLOOKUP(Table8[[#This Row],[Country Code]],Table29[],8,FALSE)</f>
        <v>non-OECD</v>
      </c>
      <c r="AX2044" s="233" t="str">
        <f>VLOOKUP(Table8[[#This Row],[Country Code]],Table29[],9,FALSE)</f>
        <v>no</v>
      </c>
      <c r="AY2044" s="233" t="str">
        <f>VLOOKUP(Table8[[#This Row],[Country Code]],Table29[],10,FALSE)</f>
        <v>no</v>
      </c>
      <c r="AZ2044" s="235">
        <f>VLOOKUP(Table8[[#This Row],[Country Code]],Table29[],23,FALSE)</f>
        <v>38.403849844142002</v>
      </c>
      <c r="BA2044" s="235">
        <f>VLOOKUP(Table8[[#This Row],[Country Code]],Table29[],24,FALSE)</f>
        <v>9.6330858743096854</v>
      </c>
      <c r="BB2044" s="320"/>
      <c r="BC2044" s="320"/>
    </row>
    <row r="2045" spans="1:55" hidden="1" x14ac:dyDescent="0.25">
      <c r="A2045" s="373">
        <v>21314</v>
      </c>
      <c r="B2045" s="233" t="str">
        <f>VLOOKUP(Table8[[#This Row],[Document ID]],Table1[],2,FALSE)</f>
        <v>LKA</v>
      </c>
      <c r="C2045" s="233" t="str">
        <f>VLOOKUP(Table8[[#This Row],[Document ID]],Table1[],3,FALSE)</f>
        <v>Sri Lanka</v>
      </c>
      <c r="D2045" s="243" t="str">
        <f>VLOOKUP(Table8[[#This Row],[Document ID]],Table1[],5,FALSE)</f>
        <v>NDC</v>
      </c>
      <c r="E2045" s="233" t="str">
        <f>VLOOKUP(Table8[[#This Row],[Document ID]],Table1[],7,FALSE)</f>
        <v>First NDC updated</v>
      </c>
      <c r="F2045" s="233" t="str">
        <f>VLOOKUP(Table8[[#This Row],[Document ID]],Table1[],8,FALSE)</f>
        <v>NDC 1.1</v>
      </c>
      <c r="G2045" s="233" t="str">
        <f>VLOOKUP(Table8[[#This Row],[Document ID]],Table1[],10,FALSE)</f>
        <v>Active</v>
      </c>
      <c r="H2045" s="44" t="s">
        <v>2338</v>
      </c>
      <c r="I2045" s="44" t="s">
        <v>2339</v>
      </c>
      <c r="J2045" s="44" t="s">
        <v>2340</v>
      </c>
      <c r="K2045" s="44" t="s">
        <v>4216</v>
      </c>
      <c r="L2045" s="44" t="s">
        <v>2333</v>
      </c>
      <c r="M2045" s="43">
        <v>13</v>
      </c>
      <c r="N2045" s="113" t="s">
        <v>1113</v>
      </c>
      <c r="O2045" s="113"/>
      <c r="P2045" s="113"/>
      <c r="Q2045" s="113"/>
      <c r="R2045" s="113"/>
      <c r="S2045" s="113"/>
      <c r="T2045" s="113"/>
      <c r="U2045" s="113"/>
      <c r="V2045" s="113"/>
      <c r="W2045" s="113"/>
      <c r="X2045" s="113"/>
      <c r="Y2045" s="113"/>
      <c r="Z2045" s="113"/>
      <c r="AA2045" s="113"/>
      <c r="AB2045" s="113"/>
      <c r="AC2045" s="113"/>
      <c r="AD2045" s="113"/>
      <c r="AE2045" s="113"/>
      <c r="AF2045" s="113"/>
      <c r="AG2045" s="113"/>
      <c r="AH2045" s="113"/>
      <c r="AI2045" s="113"/>
      <c r="AJ2045" s="113"/>
      <c r="AK2045" s="113" t="s">
        <v>1113</v>
      </c>
      <c r="AL2045" s="113"/>
      <c r="AM2045" s="113"/>
      <c r="AN2045" s="113"/>
      <c r="AO2045" s="44" t="s">
        <v>2334</v>
      </c>
      <c r="AP2045" s="43"/>
      <c r="AQ2045" s="236" t="str">
        <f>VLOOKUP(Table8[[#This Row],[Instrument]],Def_Targets!$D$73:$E$159,2,FALSE)</f>
        <v>I_Vehicleimprove</v>
      </c>
      <c r="AR2045" s="233" t="str">
        <f>VLOOKUP(Table8[[#This Row],[Country Code]],Table29[],3,FALSE)</f>
        <v>Non-Annex I</v>
      </c>
      <c r="AS2045" s="233" t="str">
        <f>VLOOKUP(Table8[[#This Row],[Country Code]],Table29[],4,FALSE)</f>
        <v>Asia</v>
      </c>
      <c r="AT2045" s="233" t="str">
        <f>VLOOKUP(Table8[[#This Row],[Country Code]],Table29[],5,FALSE)</f>
        <v>Middle-income</v>
      </c>
      <c r="AU2045" s="233" t="str">
        <f>VLOOKUP(Table8[[#This Row],[Country Code]],Table29[],6,FALSE)</f>
        <v>no</v>
      </c>
      <c r="AV2045" s="233" t="str">
        <f>VLOOKUP(Table8[[#This Row],[Country Code]],Table29[],7,FALSE)</f>
        <v>no</v>
      </c>
      <c r="AW2045" s="233" t="str">
        <f>VLOOKUP(Table8[[#This Row],[Country Code]],Table29[],8,FALSE)</f>
        <v>non-OECD</v>
      </c>
      <c r="AX2045" s="233" t="str">
        <f>VLOOKUP(Table8[[#This Row],[Country Code]],Table29[],9,FALSE)</f>
        <v>no</v>
      </c>
      <c r="AY2045" s="233" t="str">
        <f>VLOOKUP(Table8[[#This Row],[Country Code]],Table29[],10,FALSE)</f>
        <v>no</v>
      </c>
      <c r="AZ2045" s="235">
        <f>VLOOKUP(Table8[[#This Row],[Country Code]],Table29[],23,FALSE)</f>
        <v>38.403849844142002</v>
      </c>
      <c r="BA2045" s="235">
        <f>VLOOKUP(Table8[[#This Row],[Country Code]],Table29[],24,FALSE)</f>
        <v>9.6330858743096854</v>
      </c>
      <c r="BB2045" s="320"/>
      <c r="BC2045" s="320"/>
    </row>
    <row r="2046" spans="1:55" ht="30" hidden="1" x14ac:dyDescent="0.25">
      <c r="A2046" s="373">
        <v>21314</v>
      </c>
      <c r="B2046" s="233" t="str">
        <f>VLOOKUP(Table8[[#This Row],[Document ID]],Table1[],2,FALSE)</f>
        <v>LKA</v>
      </c>
      <c r="C2046" s="233" t="str">
        <f>VLOOKUP(Table8[[#This Row],[Document ID]],Table1[],3,FALSE)</f>
        <v>Sri Lanka</v>
      </c>
      <c r="D2046" s="243" t="str">
        <f>VLOOKUP(Table8[[#This Row],[Document ID]],Table1[],5,FALSE)</f>
        <v>NDC</v>
      </c>
      <c r="E2046" s="233" t="str">
        <f>VLOOKUP(Table8[[#This Row],[Document ID]],Table1[],7,FALSE)</f>
        <v>First NDC updated</v>
      </c>
      <c r="F2046" s="233" t="str">
        <f>VLOOKUP(Table8[[#This Row],[Document ID]],Table1[],8,FALSE)</f>
        <v>NDC 1.1</v>
      </c>
      <c r="G2046" s="233" t="str">
        <f>VLOOKUP(Table8[[#This Row],[Document ID]],Table1[],10,FALSE)</f>
        <v>Active</v>
      </c>
      <c r="H2046" s="44" t="s">
        <v>2338</v>
      </c>
      <c r="I2046" s="44" t="s">
        <v>2339</v>
      </c>
      <c r="J2046" s="44" t="s">
        <v>2410</v>
      </c>
      <c r="K2046" s="44" t="s">
        <v>4217</v>
      </c>
      <c r="L2046" s="44" t="s">
        <v>2333</v>
      </c>
      <c r="M2046" s="43">
        <v>13</v>
      </c>
      <c r="N2046" s="113" t="s">
        <v>1113</v>
      </c>
      <c r="O2046" s="113"/>
      <c r="P2046" s="113"/>
      <c r="Q2046" s="113"/>
      <c r="R2046" s="113"/>
      <c r="S2046" s="113"/>
      <c r="T2046" s="113"/>
      <c r="U2046" s="113"/>
      <c r="V2046" s="113"/>
      <c r="W2046" s="113"/>
      <c r="X2046" s="113"/>
      <c r="Y2046" s="113"/>
      <c r="Z2046" s="113"/>
      <c r="AA2046" s="113"/>
      <c r="AB2046" s="113"/>
      <c r="AC2046" s="113"/>
      <c r="AD2046" s="113"/>
      <c r="AE2046" s="113"/>
      <c r="AF2046" s="113"/>
      <c r="AG2046" s="113"/>
      <c r="AH2046" s="113"/>
      <c r="AI2046" s="113"/>
      <c r="AJ2046" s="113"/>
      <c r="AK2046" s="113" t="s">
        <v>1113</v>
      </c>
      <c r="AL2046" s="113"/>
      <c r="AM2046" s="113"/>
      <c r="AN2046" s="113"/>
      <c r="AO2046" s="44" t="s">
        <v>2334</v>
      </c>
      <c r="AP2046" s="43"/>
      <c r="AQ2046" s="236" t="str">
        <f>VLOOKUP(Table8[[#This Row],[Instrument]],Def_Targets!$D$73:$E$159,2,FALSE)</f>
        <v>I_VehicleRestrictions</v>
      </c>
      <c r="AR2046" s="233" t="str">
        <f>VLOOKUP(Table8[[#This Row],[Country Code]],Table29[],3,FALSE)</f>
        <v>Non-Annex I</v>
      </c>
      <c r="AS2046" s="233" t="str">
        <f>VLOOKUP(Table8[[#This Row],[Country Code]],Table29[],4,FALSE)</f>
        <v>Asia</v>
      </c>
      <c r="AT2046" s="233" t="str">
        <f>VLOOKUP(Table8[[#This Row],[Country Code]],Table29[],5,FALSE)</f>
        <v>Middle-income</v>
      </c>
      <c r="AU2046" s="233" t="str">
        <f>VLOOKUP(Table8[[#This Row],[Country Code]],Table29[],6,FALSE)</f>
        <v>no</v>
      </c>
      <c r="AV2046" s="233" t="str">
        <f>VLOOKUP(Table8[[#This Row],[Country Code]],Table29[],7,FALSE)</f>
        <v>no</v>
      </c>
      <c r="AW2046" s="233" t="str">
        <f>VLOOKUP(Table8[[#This Row],[Country Code]],Table29[],8,FALSE)</f>
        <v>non-OECD</v>
      </c>
      <c r="AX2046" s="233" t="str">
        <f>VLOOKUP(Table8[[#This Row],[Country Code]],Table29[],9,FALSE)</f>
        <v>no</v>
      </c>
      <c r="AY2046" s="233" t="str">
        <f>VLOOKUP(Table8[[#This Row],[Country Code]],Table29[],10,FALSE)</f>
        <v>no</v>
      </c>
      <c r="AZ2046" s="235">
        <f>VLOOKUP(Table8[[#This Row],[Country Code]],Table29[],23,FALSE)</f>
        <v>38.403849844142002</v>
      </c>
      <c r="BA2046" s="235">
        <f>VLOOKUP(Table8[[#This Row],[Country Code]],Table29[],24,FALSE)</f>
        <v>9.6330858743096854</v>
      </c>
      <c r="BB2046" s="320"/>
      <c r="BC2046" s="320"/>
    </row>
    <row r="2047" spans="1:55" hidden="1" x14ac:dyDescent="0.25">
      <c r="A2047" s="373">
        <v>21314</v>
      </c>
      <c r="B2047" s="233" t="str">
        <f>VLOOKUP(Table8[[#This Row],[Document ID]],Table1[],2,FALSE)</f>
        <v>LKA</v>
      </c>
      <c r="C2047" s="233" t="str">
        <f>VLOOKUP(Table8[[#This Row],[Document ID]],Table1[],3,FALSE)</f>
        <v>Sri Lanka</v>
      </c>
      <c r="D2047" s="243" t="str">
        <f>VLOOKUP(Table8[[#This Row],[Document ID]],Table1[],5,FALSE)</f>
        <v>NDC</v>
      </c>
      <c r="E2047" s="233" t="str">
        <f>VLOOKUP(Table8[[#This Row],[Document ID]],Table1[],7,FALSE)</f>
        <v>First NDC updated</v>
      </c>
      <c r="F2047" s="233" t="str">
        <f>VLOOKUP(Table8[[#This Row],[Document ID]],Table1[],8,FALSE)</f>
        <v>NDC 1.1</v>
      </c>
      <c r="G2047" s="233" t="str">
        <f>VLOOKUP(Table8[[#This Row],[Document ID]],Table1[],10,FALSE)</f>
        <v>Active</v>
      </c>
      <c r="H2047" s="43" t="s">
        <v>2350</v>
      </c>
      <c r="I2047" s="43" t="s">
        <v>2407</v>
      </c>
      <c r="J2047" s="44" t="s">
        <v>2592</v>
      </c>
      <c r="K2047" s="44" t="s">
        <v>4218</v>
      </c>
      <c r="L2047" s="44" t="s">
        <v>2333</v>
      </c>
      <c r="M2047" s="43">
        <v>13</v>
      </c>
      <c r="N2047" s="113" t="s">
        <v>1113</v>
      </c>
      <c r="O2047" s="113"/>
      <c r="P2047" s="113"/>
      <c r="Q2047" s="113"/>
      <c r="R2047" s="113"/>
      <c r="S2047" s="113"/>
      <c r="T2047" s="113"/>
      <c r="U2047" s="113"/>
      <c r="V2047" s="113"/>
      <c r="W2047" s="113"/>
      <c r="X2047" s="113"/>
      <c r="Y2047" s="113"/>
      <c r="Z2047" s="113"/>
      <c r="AA2047" s="113"/>
      <c r="AB2047" s="113"/>
      <c r="AC2047" s="113"/>
      <c r="AD2047" s="113"/>
      <c r="AE2047" s="113"/>
      <c r="AF2047" s="113"/>
      <c r="AG2047" s="113"/>
      <c r="AH2047" s="113"/>
      <c r="AI2047" s="113"/>
      <c r="AJ2047" s="113"/>
      <c r="AK2047" s="113" t="s">
        <v>1113</v>
      </c>
      <c r="AL2047" s="113"/>
      <c r="AM2047" s="113"/>
      <c r="AN2047" s="113"/>
      <c r="AO2047" s="44" t="s">
        <v>2334</v>
      </c>
      <c r="AP2047" s="43"/>
      <c r="AQ2047" s="236" t="str">
        <f>VLOOKUP(Table8[[#This Row],[Instrument]],Def_Targets!$D$73:$E$159,2,FALSE)</f>
        <v>I_Ecodriving</v>
      </c>
      <c r="AR2047" s="233" t="str">
        <f>VLOOKUP(Table8[[#This Row],[Country Code]],Table29[],3,FALSE)</f>
        <v>Non-Annex I</v>
      </c>
      <c r="AS2047" s="233" t="str">
        <f>VLOOKUP(Table8[[#This Row],[Country Code]],Table29[],4,FALSE)</f>
        <v>Asia</v>
      </c>
      <c r="AT2047" s="233" t="str">
        <f>VLOOKUP(Table8[[#This Row],[Country Code]],Table29[],5,FALSE)</f>
        <v>Middle-income</v>
      </c>
      <c r="AU2047" s="233" t="str">
        <f>VLOOKUP(Table8[[#This Row],[Country Code]],Table29[],6,FALSE)</f>
        <v>no</v>
      </c>
      <c r="AV2047" s="233" t="str">
        <f>VLOOKUP(Table8[[#This Row],[Country Code]],Table29[],7,FALSE)</f>
        <v>no</v>
      </c>
      <c r="AW2047" s="233" t="str">
        <f>VLOOKUP(Table8[[#This Row],[Country Code]],Table29[],8,FALSE)</f>
        <v>non-OECD</v>
      </c>
      <c r="AX2047" s="233" t="str">
        <f>VLOOKUP(Table8[[#This Row],[Country Code]],Table29[],9,FALSE)</f>
        <v>no</v>
      </c>
      <c r="AY2047" s="233" t="str">
        <f>VLOOKUP(Table8[[#This Row],[Country Code]],Table29[],10,FALSE)</f>
        <v>no</v>
      </c>
      <c r="AZ2047" s="235">
        <f>VLOOKUP(Table8[[#This Row],[Country Code]],Table29[],23,FALSE)</f>
        <v>38.403849844142002</v>
      </c>
      <c r="BA2047" s="235">
        <f>VLOOKUP(Table8[[#This Row],[Country Code]],Table29[],24,FALSE)</f>
        <v>9.6330858743096854</v>
      </c>
      <c r="BB2047" s="320"/>
      <c r="BC2047" s="320"/>
    </row>
    <row r="2048" spans="1:55" ht="30" hidden="1" x14ac:dyDescent="0.25">
      <c r="A2048" s="373">
        <v>21314</v>
      </c>
      <c r="B2048" s="233" t="str">
        <f>VLOOKUP(Table8[[#This Row],[Document ID]],Table1[],2,FALSE)</f>
        <v>LKA</v>
      </c>
      <c r="C2048" s="233" t="str">
        <f>VLOOKUP(Table8[[#This Row],[Document ID]],Table1[],3,FALSE)</f>
        <v>Sri Lanka</v>
      </c>
      <c r="D2048" s="243" t="str">
        <f>VLOOKUP(Table8[[#This Row],[Document ID]],Table1[],5,FALSE)</f>
        <v>NDC</v>
      </c>
      <c r="E2048" s="233" t="str">
        <f>VLOOKUP(Table8[[#This Row],[Document ID]],Table1[],7,FALSE)</f>
        <v>First NDC updated</v>
      </c>
      <c r="F2048" s="233" t="str">
        <f>VLOOKUP(Table8[[#This Row],[Document ID]],Table1[],8,FALSE)</f>
        <v>NDC 1.1</v>
      </c>
      <c r="G2048" s="233" t="str">
        <f>VLOOKUP(Table8[[#This Row],[Document ID]],Table1[],10,FALSE)</f>
        <v>Active</v>
      </c>
      <c r="H2048" s="43" t="s">
        <v>2350</v>
      </c>
      <c r="I2048" s="43" t="s">
        <v>2456</v>
      </c>
      <c r="J2048" s="44" t="s">
        <v>2466</v>
      </c>
      <c r="K2048" s="44" t="s">
        <v>4219</v>
      </c>
      <c r="L2048" s="44" t="s">
        <v>2333</v>
      </c>
      <c r="M2048" s="43">
        <v>14</v>
      </c>
      <c r="N2048" s="113"/>
      <c r="O2048" s="113"/>
      <c r="P2048" s="113"/>
      <c r="Q2048" s="113"/>
      <c r="R2048" s="113"/>
      <c r="S2048" s="113" t="s">
        <v>1113</v>
      </c>
      <c r="T2048" s="113"/>
      <c r="U2048" s="113"/>
      <c r="V2048" s="113"/>
      <c r="W2048" s="113"/>
      <c r="X2048" s="113"/>
      <c r="Y2048" s="113"/>
      <c r="Z2048" s="113"/>
      <c r="AA2048" s="113"/>
      <c r="AB2048" s="113"/>
      <c r="AC2048" s="113"/>
      <c r="AD2048" s="113"/>
      <c r="AE2048" s="113"/>
      <c r="AF2048" s="113"/>
      <c r="AG2048" s="113"/>
      <c r="AH2048" s="113"/>
      <c r="AI2048" s="113"/>
      <c r="AJ2048" s="113"/>
      <c r="AK2048" s="113"/>
      <c r="AL2048" s="113"/>
      <c r="AM2048" s="113" t="s">
        <v>1113</v>
      </c>
      <c r="AN2048" s="113"/>
      <c r="AO2048" s="44" t="s">
        <v>2334</v>
      </c>
      <c r="AP2048" s="43"/>
      <c r="AQ2048" s="236" t="str">
        <f>VLOOKUP(Table8[[#This Row],[Instrument]],Def_Targets!$D$73:$E$159,2,FALSE)</f>
        <v>S_Infraexpansion</v>
      </c>
      <c r="AR2048" s="233" t="str">
        <f>VLOOKUP(Table8[[#This Row],[Country Code]],Table29[],3,FALSE)</f>
        <v>Non-Annex I</v>
      </c>
      <c r="AS2048" s="233" t="str">
        <f>VLOOKUP(Table8[[#This Row],[Country Code]],Table29[],4,FALSE)</f>
        <v>Asia</v>
      </c>
      <c r="AT2048" s="233" t="str">
        <f>VLOOKUP(Table8[[#This Row],[Country Code]],Table29[],5,FALSE)</f>
        <v>Middle-income</v>
      </c>
      <c r="AU2048" s="233" t="str">
        <f>VLOOKUP(Table8[[#This Row],[Country Code]],Table29[],6,FALSE)</f>
        <v>no</v>
      </c>
      <c r="AV2048" s="233" t="str">
        <f>VLOOKUP(Table8[[#This Row],[Country Code]],Table29[],7,FALSE)</f>
        <v>no</v>
      </c>
      <c r="AW2048" s="233" t="str">
        <f>VLOOKUP(Table8[[#This Row],[Country Code]],Table29[],8,FALSE)</f>
        <v>non-OECD</v>
      </c>
      <c r="AX2048" s="233" t="str">
        <f>VLOOKUP(Table8[[#This Row],[Country Code]],Table29[],9,FALSE)</f>
        <v>no</v>
      </c>
      <c r="AY2048" s="233" t="str">
        <f>VLOOKUP(Table8[[#This Row],[Country Code]],Table29[],10,FALSE)</f>
        <v>no</v>
      </c>
      <c r="AZ2048" s="235">
        <f>VLOOKUP(Table8[[#This Row],[Country Code]],Table29[],23,FALSE)</f>
        <v>38.403849844142002</v>
      </c>
      <c r="BA2048" s="235">
        <f>VLOOKUP(Table8[[#This Row],[Country Code]],Table29[],24,FALSE)</f>
        <v>9.6330858743096854</v>
      </c>
      <c r="BB2048" s="320"/>
      <c r="BC2048" s="320"/>
    </row>
    <row r="2049" spans="1:55" ht="30" hidden="1" x14ac:dyDescent="0.25">
      <c r="A2049" s="373">
        <v>21314</v>
      </c>
      <c r="B2049" s="233" t="str">
        <f>VLOOKUP(Table8[[#This Row],[Document ID]],Table1[],2,FALSE)</f>
        <v>LKA</v>
      </c>
      <c r="C2049" s="233" t="str">
        <f>VLOOKUP(Table8[[#This Row],[Document ID]],Table1[],3,FALSE)</f>
        <v>Sri Lanka</v>
      </c>
      <c r="D2049" s="243" t="str">
        <f>VLOOKUP(Table8[[#This Row],[Document ID]],Table1[],5,FALSE)</f>
        <v>NDC</v>
      </c>
      <c r="E2049" s="233" t="str">
        <f>VLOOKUP(Table8[[#This Row],[Document ID]],Table1[],7,FALSE)</f>
        <v>First NDC updated</v>
      </c>
      <c r="F2049" s="233" t="str">
        <f>VLOOKUP(Table8[[#This Row],[Document ID]],Table1[],8,FALSE)</f>
        <v>NDC 1.1</v>
      </c>
      <c r="G2049" s="233" t="str">
        <f>VLOOKUP(Table8[[#This Row],[Document ID]],Table1[],10,FALSE)</f>
        <v>Active</v>
      </c>
      <c r="H2049" s="43" t="s">
        <v>2484</v>
      </c>
      <c r="I2049" s="43" t="s">
        <v>2485</v>
      </c>
      <c r="J2049" s="44" t="s">
        <v>2486</v>
      </c>
      <c r="K2049" s="44" t="s">
        <v>4220</v>
      </c>
      <c r="L2049" s="44" t="s">
        <v>2333</v>
      </c>
      <c r="M2049" s="43">
        <v>14</v>
      </c>
      <c r="N2049" s="113"/>
      <c r="O2049" s="113"/>
      <c r="P2049" s="113"/>
      <c r="Q2049" s="113"/>
      <c r="R2049" s="113"/>
      <c r="S2049" s="113"/>
      <c r="T2049" s="113"/>
      <c r="U2049" s="113"/>
      <c r="V2049" s="113"/>
      <c r="W2049" s="113"/>
      <c r="X2049" s="113"/>
      <c r="Y2049" s="113"/>
      <c r="Z2049" s="113"/>
      <c r="AA2049" s="113"/>
      <c r="AB2049" s="113"/>
      <c r="AC2049" s="113"/>
      <c r="AD2049" s="113" t="s">
        <v>1113</v>
      </c>
      <c r="AE2049" s="113"/>
      <c r="AF2049" s="113"/>
      <c r="AG2049" s="113"/>
      <c r="AH2049" s="113"/>
      <c r="AI2049" s="113"/>
      <c r="AJ2049" s="113"/>
      <c r="AK2049" s="113" t="s">
        <v>1113</v>
      </c>
      <c r="AL2049" s="113"/>
      <c r="AM2049" s="113"/>
      <c r="AN2049" s="113"/>
      <c r="AO2049" s="44" t="s">
        <v>2334</v>
      </c>
      <c r="AP2049" s="43"/>
      <c r="AQ2049" s="236" t="str">
        <f>VLOOKUP(Table8[[#This Row],[Instrument]],Def_Targets!$D$73:$E$159,2,FALSE)</f>
        <v>I_Shipping</v>
      </c>
      <c r="AR2049" s="233" t="str">
        <f>VLOOKUP(Table8[[#This Row],[Country Code]],Table29[],3,FALSE)</f>
        <v>Non-Annex I</v>
      </c>
      <c r="AS2049" s="233" t="str">
        <f>VLOOKUP(Table8[[#This Row],[Country Code]],Table29[],4,FALSE)</f>
        <v>Asia</v>
      </c>
      <c r="AT2049" s="233" t="str">
        <f>VLOOKUP(Table8[[#This Row],[Country Code]],Table29[],5,FALSE)</f>
        <v>Middle-income</v>
      </c>
      <c r="AU2049" s="233" t="str">
        <f>VLOOKUP(Table8[[#This Row],[Country Code]],Table29[],6,FALSE)</f>
        <v>no</v>
      </c>
      <c r="AV2049" s="233" t="str">
        <f>VLOOKUP(Table8[[#This Row],[Country Code]],Table29[],7,FALSE)</f>
        <v>no</v>
      </c>
      <c r="AW2049" s="233" t="str">
        <f>VLOOKUP(Table8[[#This Row],[Country Code]],Table29[],8,FALSE)</f>
        <v>non-OECD</v>
      </c>
      <c r="AX2049" s="233" t="str">
        <f>VLOOKUP(Table8[[#This Row],[Country Code]],Table29[],9,FALSE)</f>
        <v>no</v>
      </c>
      <c r="AY2049" s="233" t="str">
        <f>VLOOKUP(Table8[[#This Row],[Country Code]],Table29[],10,FALSE)</f>
        <v>no</v>
      </c>
      <c r="AZ2049" s="235">
        <f>VLOOKUP(Table8[[#This Row],[Country Code]],Table29[],23,FALSE)</f>
        <v>38.403849844142002</v>
      </c>
      <c r="BA2049" s="235">
        <f>VLOOKUP(Table8[[#This Row],[Country Code]],Table29[],24,FALSE)</f>
        <v>9.6330858743096854</v>
      </c>
      <c r="BB2049" s="320"/>
      <c r="BC2049" s="320"/>
    </row>
    <row r="2050" spans="1:55" ht="30" hidden="1" x14ac:dyDescent="0.25">
      <c r="A2050" s="373">
        <v>21314</v>
      </c>
      <c r="B2050" s="233" t="str">
        <f>VLOOKUP(Table8[[#This Row],[Document ID]],Table1[],2,FALSE)</f>
        <v>LKA</v>
      </c>
      <c r="C2050" s="233" t="str">
        <f>VLOOKUP(Table8[[#This Row],[Document ID]],Table1[],3,FALSE)</f>
        <v>Sri Lanka</v>
      </c>
      <c r="D2050" s="243" t="str">
        <f>VLOOKUP(Table8[[#This Row],[Document ID]],Table1[],5,FALSE)</f>
        <v>NDC</v>
      </c>
      <c r="E2050" s="233" t="str">
        <f>VLOOKUP(Table8[[#This Row],[Document ID]],Table1[],7,FALSE)</f>
        <v>First NDC updated</v>
      </c>
      <c r="F2050" s="233" t="str">
        <f>VLOOKUP(Table8[[#This Row],[Document ID]],Table1[],8,FALSE)</f>
        <v>NDC 1.1</v>
      </c>
      <c r="G2050" s="233" t="str">
        <f>VLOOKUP(Table8[[#This Row],[Document ID]],Table1[],10,FALSE)</f>
        <v>Active</v>
      </c>
      <c r="H2050" s="43" t="s">
        <v>2343</v>
      </c>
      <c r="I2050" s="43" t="s">
        <v>2429</v>
      </c>
      <c r="J2050" s="44" t="s">
        <v>2610</v>
      </c>
      <c r="K2050" s="44" t="s">
        <v>4221</v>
      </c>
      <c r="L2050" s="44" t="s">
        <v>2373</v>
      </c>
      <c r="M2050" s="43">
        <v>14</v>
      </c>
      <c r="N2050" s="113"/>
      <c r="O2050" s="113"/>
      <c r="P2050" s="113"/>
      <c r="Q2050" s="113"/>
      <c r="R2050" s="113"/>
      <c r="S2050" s="113"/>
      <c r="T2050" s="113"/>
      <c r="U2050" s="113"/>
      <c r="V2050" s="113"/>
      <c r="W2050" s="113"/>
      <c r="X2050" s="113"/>
      <c r="Y2050" s="113"/>
      <c r="Z2050" s="113"/>
      <c r="AA2050" s="113"/>
      <c r="AB2050" s="113"/>
      <c r="AC2050" s="113"/>
      <c r="AD2050" s="113" t="s">
        <v>1113</v>
      </c>
      <c r="AE2050" s="113"/>
      <c r="AF2050" s="113"/>
      <c r="AG2050" s="113"/>
      <c r="AH2050" s="113"/>
      <c r="AI2050" s="113"/>
      <c r="AJ2050" s="113"/>
      <c r="AK2050" s="113" t="s">
        <v>1113</v>
      </c>
      <c r="AL2050" s="113"/>
      <c r="AM2050" s="113"/>
      <c r="AN2050" s="113"/>
      <c r="AO2050" s="44" t="s">
        <v>2334</v>
      </c>
      <c r="AP2050" s="43"/>
      <c r="AQ2050" s="236" t="e">
        <f>VLOOKUP(Table8[[#This Row],[Instrument]],Def_Targets!$D$73:$E$159,2,FALSE)</f>
        <v>#N/A</v>
      </c>
      <c r="AR2050" s="233" t="str">
        <f>VLOOKUP(Table8[[#This Row],[Country Code]],Table29[],3,FALSE)</f>
        <v>Non-Annex I</v>
      </c>
      <c r="AS2050" s="233" t="str">
        <f>VLOOKUP(Table8[[#This Row],[Country Code]],Table29[],4,FALSE)</f>
        <v>Asia</v>
      </c>
      <c r="AT2050" s="233" t="str">
        <f>VLOOKUP(Table8[[#This Row],[Country Code]],Table29[],5,FALSE)</f>
        <v>Middle-income</v>
      </c>
      <c r="AU2050" s="233" t="str">
        <f>VLOOKUP(Table8[[#This Row],[Country Code]],Table29[],6,FALSE)</f>
        <v>no</v>
      </c>
      <c r="AV2050" s="233" t="str">
        <f>VLOOKUP(Table8[[#This Row],[Country Code]],Table29[],7,FALSE)</f>
        <v>no</v>
      </c>
      <c r="AW2050" s="233" t="str">
        <f>VLOOKUP(Table8[[#This Row],[Country Code]],Table29[],8,FALSE)</f>
        <v>non-OECD</v>
      </c>
      <c r="AX2050" s="233" t="str">
        <f>VLOOKUP(Table8[[#This Row],[Country Code]],Table29[],9,FALSE)</f>
        <v>no</v>
      </c>
      <c r="AY2050" s="233" t="str">
        <f>VLOOKUP(Table8[[#This Row],[Country Code]],Table29[],10,FALSE)</f>
        <v>no</v>
      </c>
      <c r="AZ2050" s="235">
        <f>VLOOKUP(Table8[[#This Row],[Country Code]],Table29[],23,FALSE)</f>
        <v>38.403849844142002</v>
      </c>
      <c r="BA2050" s="235">
        <f>VLOOKUP(Table8[[#This Row],[Country Code]],Table29[],24,FALSE)</f>
        <v>9.6330858743096854</v>
      </c>
      <c r="BB2050" s="320"/>
      <c r="BC2050" s="320"/>
    </row>
    <row r="2051" spans="1:55" hidden="1" x14ac:dyDescent="0.25">
      <c r="A2051" s="373">
        <v>21314</v>
      </c>
      <c r="B2051" s="233" t="str">
        <f>VLOOKUP(Table8[[#This Row],[Document ID]],Table1[],2,FALSE)</f>
        <v>LKA</v>
      </c>
      <c r="C2051" s="233" t="str">
        <f>VLOOKUP(Table8[[#This Row],[Document ID]],Table1[],3,FALSE)</f>
        <v>Sri Lanka</v>
      </c>
      <c r="D2051" s="243" t="str">
        <f>VLOOKUP(Table8[[#This Row],[Document ID]],Table1[],5,FALSE)</f>
        <v>NDC</v>
      </c>
      <c r="E2051" s="233" t="str">
        <f>VLOOKUP(Table8[[#This Row],[Document ID]],Table1[],7,FALSE)</f>
        <v>First NDC updated</v>
      </c>
      <c r="F2051" s="233" t="str">
        <f>VLOOKUP(Table8[[#This Row],[Document ID]],Table1[],8,FALSE)</f>
        <v>NDC 1.1</v>
      </c>
      <c r="G2051" s="233" t="str">
        <f>VLOOKUP(Table8[[#This Row],[Document ID]],Table1[],10,FALSE)</f>
        <v>Active</v>
      </c>
      <c r="H2051" s="43" t="s">
        <v>2484</v>
      </c>
      <c r="I2051" s="43" t="s">
        <v>2485</v>
      </c>
      <c r="J2051" s="44" t="s">
        <v>2486</v>
      </c>
      <c r="K2051" s="44" t="s">
        <v>4222</v>
      </c>
      <c r="L2051" s="44" t="s">
        <v>2347</v>
      </c>
      <c r="M2051" s="43">
        <v>14</v>
      </c>
      <c r="N2051" s="113"/>
      <c r="O2051" s="113"/>
      <c r="P2051" s="113"/>
      <c r="Q2051" s="113"/>
      <c r="R2051" s="113"/>
      <c r="S2051" s="113"/>
      <c r="T2051" s="113"/>
      <c r="U2051" s="113"/>
      <c r="V2051" s="113"/>
      <c r="W2051" s="113"/>
      <c r="X2051" s="113"/>
      <c r="Y2051" s="113"/>
      <c r="Z2051" s="113"/>
      <c r="AA2051" s="113"/>
      <c r="AB2051" s="113"/>
      <c r="AC2051" s="113"/>
      <c r="AD2051" s="113" t="s">
        <v>1113</v>
      </c>
      <c r="AE2051" s="113"/>
      <c r="AF2051" s="113"/>
      <c r="AG2051" s="113"/>
      <c r="AH2051" s="113"/>
      <c r="AI2051" s="113"/>
      <c r="AJ2051" s="113"/>
      <c r="AK2051" s="113" t="s">
        <v>1113</v>
      </c>
      <c r="AL2051" s="113"/>
      <c r="AM2051" s="113"/>
      <c r="AN2051" s="113"/>
      <c r="AO2051" s="44" t="s">
        <v>2334</v>
      </c>
      <c r="AP2051" s="43"/>
      <c r="AQ2051" s="236" t="str">
        <f>VLOOKUP(Table8[[#This Row],[Instrument]],Def_Targets!$D$73:$E$159,2,FALSE)</f>
        <v>I_Shipping</v>
      </c>
      <c r="AR2051" s="233" t="str">
        <f>VLOOKUP(Table8[[#This Row],[Country Code]],Table29[],3,FALSE)</f>
        <v>Non-Annex I</v>
      </c>
      <c r="AS2051" s="233" t="str">
        <f>VLOOKUP(Table8[[#This Row],[Country Code]],Table29[],4,FALSE)</f>
        <v>Asia</v>
      </c>
      <c r="AT2051" s="233" t="str">
        <f>VLOOKUP(Table8[[#This Row],[Country Code]],Table29[],5,FALSE)</f>
        <v>Middle-income</v>
      </c>
      <c r="AU2051" s="233" t="str">
        <f>VLOOKUP(Table8[[#This Row],[Country Code]],Table29[],6,FALSE)</f>
        <v>no</v>
      </c>
      <c r="AV2051" s="233" t="str">
        <f>VLOOKUP(Table8[[#This Row],[Country Code]],Table29[],7,FALSE)</f>
        <v>no</v>
      </c>
      <c r="AW2051" s="233" t="str">
        <f>VLOOKUP(Table8[[#This Row],[Country Code]],Table29[],8,FALSE)</f>
        <v>non-OECD</v>
      </c>
      <c r="AX2051" s="233" t="str">
        <f>VLOOKUP(Table8[[#This Row],[Country Code]],Table29[],9,FALSE)</f>
        <v>no</v>
      </c>
      <c r="AY2051" s="233" t="str">
        <f>VLOOKUP(Table8[[#This Row],[Country Code]],Table29[],10,FALSE)</f>
        <v>no</v>
      </c>
      <c r="AZ2051" s="235">
        <f>VLOOKUP(Table8[[#This Row],[Country Code]],Table29[],23,FALSE)</f>
        <v>38.403849844142002</v>
      </c>
      <c r="BA2051" s="235">
        <f>VLOOKUP(Table8[[#This Row],[Country Code]],Table29[],24,FALSE)</f>
        <v>9.6330858743096854</v>
      </c>
      <c r="BB2051" s="320"/>
      <c r="BC2051" s="320"/>
    </row>
    <row r="2052" spans="1:55" ht="30" hidden="1" x14ac:dyDescent="0.25">
      <c r="A2052" s="373">
        <v>21314</v>
      </c>
      <c r="B2052" s="233" t="str">
        <f>VLOOKUP(Table8[[#This Row],[Document ID]],Table1[],2,FALSE)</f>
        <v>LKA</v>
      </c>
      <c r="C2052" s="233" t="str">
        <f>VLOOKUP(Table8[[#This Row],[Document ID]],Table1[],3,FALSE)</f>
        <v>Sri Lanka</v>
      </c>
      <c r="D2052" s="243" t="str">
        <f>VLOOKUP(Table8[[#This Row],[Document ID]],Table1[],5,FALSE)</f>
        <v>NDC</v>
      </c>
      <c r="E2052" s="233" t="str">
        <f>VLOOKUP(Table8[[#This Row],[Document ID]],Table1[],7,FALSE)</f>
        <v>First NDC updated</v>
      </c>
      <c r="F2052" s="233" t="str">
        <f>VLOOKUP(Table8[[#This Row],[Document ID]],Table1[],8,FALSE)</f>
        <v>NDC 1.1</v>
      </c>
      <c r="G2052" s="233" t="str">
        <f>VLOOKUP(Table8[[#This Row],[Document ID]],Table1[],10,FALSE)</f>
        <v>Active</v>
      </c>
      <c r="H2052" s="44" t="s">
        <v>2338</v>
      </c>
      <c r="I2052" s="44" t="s">
        <v>2339</v>
      </c>
      <c r="J2052" s="44" t="s">
        <v>2556</v>
      </c>
      <c r="K2052" s="44" t="s">
        <v>4223</v>
      </c>
      <c r="L2052" s="44" t="s">
        <v>2333</v>
      </c>
      <c r="M2052" s="43">
        <v>14</v>
      </c>
      <c r="N2052" s="113"/>
      <c r="O2052" s="113"/>
      <c r="P2052" s="113"/>
      <c r="Q2052" s="113"/>
      <c r="R2052" s="113"/>
      <c r="S2052" s="113"/>
      <c r="T2052" s="113"/>
      <c r="U2052" s="113"/>
      <c r="V2052" s="113"/>
      <c r="W2052" s="113"/>
      <c r="X2052" s="113"/>
      <c r="Y2052" s="113"/>
      <c r="Z2052" s="113"/>
      <c r="AA2052" s="113"/>
      <c r="AB2052" s="113"/>
      <c r="AC2052" s="113"/>
      <c r="AD2052" s="113" t="s">
        <v>1113</v>
      </c>
      <c r="AE2052" s="113"/>
      <c r="AF2052" s="113"/>
      <c r="AG2052" s="113"/>
      <c r="AH2052" s="113"/>
      <c r="AI2052" s="113"/>
      <c r="AJ2052" s="113"/>
      <c r="AK2052" s="113" t="s">
        <v>1113</v>
      </c>
      <c r="AL2052" s="113"/>
      <c r="AM2052" s="113"/>
      <c r="AN2052" s="113"/>
      <c r="AO2052" s="44" t="s">
        <v>2334</v>
      </c>
      <c r="AP2052" s="43"/>
      <c r="AQ2052" s="236" t="str">
        <f>VLOOKUP(Table8[[#This Row],[Instrument]],Def_Targets!$D$73:$E$159,2,FALSE)</f>
        <v>I_Fuelqualimprove</v>
      </c>
      <c r="AR2052" s="233" t="str">
        <f>VLOOKUP(Table8[[#This Row],[Country Code]],Table29[],3,FALSE)</f>
        <v>Non-Annex I</v>
      </c>
      <c r="AS2052" s="233" t="str">
        <f>VLOOKUP(Table8[[#This Row],[Country Code]],Table29[],4,FALSE)</f>
        <v>Asia</v>
      </c>
      <c r="AT2052" s="233" t="str">
        <f>VLOOKUP(Table8[[#This Row],[Country Code]],Table29[],5,FALSE)</f>
        <v>Middle-income</v>
      </c>
      <c r="AU2052" s="233" t="str">
        <f>VLOOKUP(Table8[[#This Row],[Country Code]],Table29[],6,FALSE)</f>
        <v>no</v>
      </c>
      <c r="AV2052" s="233" t="str">
        <f>VLOOKUP(Table8[[#This Row],[Country Code]],Table29[],7,FALSE)</f>
        <v>no</v>
      </c>
      <c r="AW2052" s="233" t="str">
        <f>VLOOKUP(Table8[[#This Row],[Country Code]],Table29[],8,FALSE)</f>
        <v>non-OECD</v>
      </c>
      <c r="AX2052" s="233" t="str">
        <f>VLOOKUP(Table8[[#This Row],[Country Code]],Table29[],9,FALSE)</f>
        <v>no</v>
      </c>
      <c r="AY2052" s="233" t="str">
        <f>VLOOKUP(Table8[[#This Row],[Country Code]],Table29[],10,FALSE)</f>
        <v>no</v>
      </c>
      <c r="AZ2052" s="235">
        <f>VLOOKUP(Table8[[#This Row],[Country Code]],Table29[],23,FALSE)</f>
        <v>38.403849844142002</v>
      </c>
      <c r="BA2052" s="235">
        <f>VLOOKUP(Table8[[#This Row],[Country Code]],Table29[],24,FALSE)</f>
        <v>9.6330858743096854</v>
      </c>
      <c r="BB2052" s="320"/>
      <c r="BC2052" s="320"/>
    </row>
    <row r="2053" spans="1:55" ht="30" hidden="1" x14ac:dyDescent="0.25">
      <c r="A2053" s="373">
        <v>21314</v>
      </c>
      <c r="B2053" s="233" t="str">
        <f>VLOOKUP(Table8[[#This Row],[Document ID]],Table1[],2,FALSE)</f>
        <v>LKA</v>
      </c>
      <c r="C2053" s="233" t="str">
        <f>VLOOKUP(Table8[[#This Row],[Document ID]],Table1[],3,FALSE)</f>
        <v>Sri Lanka</v>
      </c>
      <c r="D2053" s="243" t="str">
        <f>VLOOKUP(Table8[[#This Row],[Document ID]],Table1[],5,FALSE)</f>
        <v>NDC</v>
      </c>
      <c r="E2053" s="233" t="str">
        <f>VLOOKUP(Table8[[#This Row],[Document ID]],Table1[],7,FALSE)</f>
        <v>First NDC updated</v>
      </c>
      <c r="F2053" s="233" t="str">
        <f>VLOOKUP(Table8[[#This Row],[Document ID]],Table1[],8,FALSE)</f>
        <v>NDC 1.1</v>
      </c>
      <c r="G2053" s="233" t="str">
        <f>VLOOKUP(Table8[[#This Row],[Document ID]],Table1[],10,FALSE)</f>
        <v>Active</v>
      </c>
      <c r="H2053" s="43" t="s">
        <v>2484</v>
      </c>
      <c r="I2053" s="43" t="s">
        <v>2485</v>
      </c>
      <c r="J2053" s="44" t="s">
        <v>2669</v>
      </c>
      <c r="K2053" s="44" t="s">
        <v>4223</v>
      </c>
      <c r="L2053" s="44" t="s">
        <v>2333</v>
      </c>
      <c r="M2053" s="43">
        <v>14</v>
      </c>
      <c r="N2053" s="113"/>
      <c r="O2053" s="113"/>
      <c r="P2053" s="113"/>
      <c r="Q2053" s="113"/>
      <c r="R2053" s="113"/>
      <c r="S2053" s="113"/>
      <c r="T2053" s="113"/>
      <c r="U2053" s="113"/>
      <c r="V2053" s="113"/>
      <c r="W2053" s="113"/>
      <c r="X2053" s="113"/>
      <c r="Y2053" s="113"/>
      <c r="Z2053" s="113"/>
      <c r="AA2053" s="113"/>
      <c r="AB2053" s="113"/>
      <c r="AC2053" s="113"/>
      <c r="AD2053" s="113" t="s">
        <v>1113</v>
      </c>
      <c r="AE2053" s="113"/>
      <c r="AF2053" s="113"/>
      <c r="AG2053" s="113"/>
      <c r="AH2053" s="113"/>
      <c r="AI2053" s="113"/>
      <c r="AJ2053" s="113"/>
      <c r="AK2053" s="113" t="s">
        <v>1113</v>
      </c>
      <c r="AL2053" s="113"/>
      <c r="AM2053" s="113"/>
      <c r="AN2053" s="113"/>
      <c r="AO2053" s="44" t="s">
        <v>2334</v>
      </c>
      <c r="AP2053" s="43"/>
      <c r="AQ2053" s="236" t="str">
        <f>VLOOKUP(Table8[[#This Row],[Instrument]],Def_Targets!$D$73:$E$159,2,FALSE)</f>
        <v>I_Shipefficiency</v>
      </c>
      <c r="AR2053" s="233" t="str">
        <f>VLOOKUP(Table8[[#This Row],[Country Code]],Table29[],3,FALSE)</f>
        <v>Non-Annex I</v>
      </c>
      <c r="AS2053" s="233" t="str">
        <f>VLOOKUP(Table8[[#This Row],[Country Code]],Table29[],4,FALSE)</f>
        <v>Asia</v>
      </c>
      <c r="AT2053" s="233" t="str">
        <f>VLOOKUP(Table8[[#This Row],[Country Code]],Table29[],5,FALSE)</f>
        <v>Middle-income</v>
      </c>
      <c r="AU2053" s="233" t="str">
        <f>VLOOKUP(Table8[[#This Row],[Country Code]],Table29[],6,FALSE)</f>
        <v>no</v>
      </c>
      <c r="AV2053" s="233" t="str">
        <f>VLOOKUP(Table8[[#This Row],[Country Code]],Table29[],7,FALSE)</f>
        <v>no</v>
      </c>
      <c r="AW2053" s="233" t="str">
        <f>VLOOKUP(Table8[[#This Row],[Country Code]],Table29[],8,FALSE)</f>
        <v>non-OECD</v>
      </c>
      <c r="AX2053" s="233" t="str">
        <f>VLOOKUP(Table8[[#This Row],[Country Code]],Table29[],9,FALSE)</f>
        <v>no</v>
      </c>
      <c r="AY2053" s="233" t="str">
        <f>VLOOKUP(Table8[[#This Row],[Country Code]],Table29[],10,FALSE)</f>
        <v>no</v>
      </c>
      <c r="AZ2053" s="235">
        <f>VLOOKUP(Table8[[#This Row],[Country Code]],Table29[],23,FALSE)</f>
        <v>38.403849844142002</v>
      </c>
      <c r="BA2053" s="235">
        <f>VLOOKUP(Table8[[#This Row],[Country Code]],Table29[],24,FALSE)</f>
        <v>9.6330858743096854</v>
      </c>
      <c r="BB2053" s="320"/>
      <c r="BC2053" s="320"/>
    </row>
    <row r="2054" spans="1:55" ht="30" hidden="1" x14ac:dyDescent="0.25">
      <c r="A2054" s="373">
        <v>21314</v>
      </c>
      <c r="B2054" s="233" t="str">
        <f>VLOOKUP(Table8[[#This Row],[Document ID]],Table1[],2,FALSE)</f>
        <v>LKA</v>
      </c>
      <c r="C2054" s="233" t="str">
        <f>VLOOKUP(Table8[[#This Row],[Document ID]],Table1[],3,FALSE)</f>
        <v>Sri Lanka</v>
      </c>
      <c r="D2054" s="243" t="str">
        <f>VLOOKUP(Table8[[#This Row],[Document ID]],Table1[],5,FALSE)</f>
        <v>NDC</v>
      </c>
      <c r="E2054" s="233" t="str">
        <f>VLOOKUP(Table8[[#This Row],[Document ID]],Table1[],7,FALSE)</f>
        <v>First NDC updated</v>
      </c>
      <c r="F2054" s="233" t="str">
        <f>VLOOKUP(Table8[[#This Row],[Document ID]],Table1[],8,FALSE)</f>
        <v>NDC 1.1</v>
      </c>
      <c r="G2054" s="233" t="str">
        <f>VLOOKUP(Table8[[#This Row],[Document ID]],Table1[],10,FALSE)</f>
        <v>Active</v>
      </c>
      <c r="H2054" s="43" t="s">
        <v>2358</v>
      </c>
      <c r="I2054" s="43" t="s">
        <v>2359</v>
      </c>
      <c r="J2054" s="44" t="s">
        <v>2360</v>
      </c>
      <c r="K2054" s="44" t="s">
        <v>4224</v>
      </c>
      <c r="L2054" s="44" t="s">
        <v>2333</v>
      </c>
      <c r="M2054" s="43">
        <v>14</v>
      </c>
      <c r="N2054" s="113" t="s">
        <v>1113</v>
      </c>
      <c r="O2054" s="113"/>
      <c r="P2054" s="113"/>
      <c r="Q2054" s="113"/>
      <c r="R2054" s="113"/>
      <c r="S2054" s="113"/>
      <c r="T2054" s="113"/>
      <c r="U2054" s="113"/>
      <c r="V2054" s="113"/>
      <c r="W2054" s="113"/>
      <c r="X2054" s="113"/>
      <c r="Y2054" s="113"/>
      <c r="Z2054" s="113"/>
      <c r="AA2054" s="113"/>
      <c r="AB2054" s="113"/>
      <c r="AC2054" s="113"/>
      <c r="AD2054" s="113"/>
      <c r="AE2054" s="113"/>
      <c r="AF2054" s="113"/>
      <c r="AG2054" s="113"/>
      <c r="AH2054" s="113"/>
      <c r="AI2054" s="113"/>
      <c r="AJ2054" s="113"/>
      <c r="AK2054" s="113" t="s">
        <v>1113</v>
      </c>
      <c r="AL2054" s="113"/>
      <c r="AM2054" s="113"/>
      <c r="AN2054" s="113"/>
      <c r="AO2054" s="44" t="s">
        <v>2334</v>
      </c>
      <c r="AP2054" s="43"/>
      <c r="AQ2054" s="236" t="str">
        <f>VLOOKUP(Table8[[#This Row],[Instrument]],Def_Targets!$D$73:$E$159,2,FALSE)</f>
        <v>I_Emobility</v>
      </c>
      <c r="AR2054" s="233" t="str">
        <f>VLOOKUP(Table8[[#This Row],[Country Code]],Table29[],3,FALSE)</f>
        <v>Non-Annex I</v>
      </c>
      <c r="AS2054" s="233" t="str">
        <f>VLOOKUP(Table8[[#This Row],[Country Code]],Table29[],4,FALSE)</f>
        <v>Asia</v>
      </c>
      <c r="AT2054" s="233" t="str">
        <f>VLOOKUP(Table8[[#This Row],[Country Code]],Table29[],5,FALSE)</f>
        <v>Middle-income</v>
      </c>
      <c r="AU2054" s="233" t="str">
        <f>VLOOKUP(Table8[[#This Row],[Country Code]],Table29[],6,FALSE)</f>
        <v>no</v>
      </c>
      <c r="AV2054" s="233" t="str">
        <f>VLOOKUP(Table8[[#This Row],[Country Code]],Table29[],7,FALSE)</f>
        <v>no</v>
      </c>
      <c r="AW2054" s="233" t="str">
        <f>VLOOKUP(Table8[[#This Row],[Country Code]],Table29[],8,FALSE)</f>
        <v>non-OECD</v>
      </c>
      <c r="AX2054" s="233" t="str">
        <f>VLOOKUP(Table8[[#This Row],[Country Code]],Table29[],9,FALSE)</f>
        <v>no</v>
      </c>
      <c r="AY2054" s="233" t="str">
        <f>VLOOKUP(Table8[[#This Row],[Country Code]],Table29[],10,FALSE)</f>
        <v>no</v>
      </c>
      <c r="AZ2054" s="235">
        <f>VLOOKUP(Table8[[#This Row],[Country Code]],Table29[],23,FALSE)</f>
        <v>38.403849844142002</v>
      </c>
      <c r="BA2054" s="235">
        <f>VLOOKUP(Table8[[#This Row],[Country Code]],Table29[],24,FALSE)</f>
        <v>9.6330858743096854</v>
      </c>
      <c r="BB2054" s="320"/>
      <c r="BC2054" s="320"/>
    </row>
    <row r="2055" spans="1:55" ht="30" hidden="1" x14ac:dyDescent="0.25">
      <c r="A2055" s="373">
        <v>21314</v>
      </c>
      <c r="B2055" s="233" t="str">
        <f>VLOOKUP(Table8[[#This Row],[Document ID]],Table1[],2,FALSE)</f>
        <v>LKA</v>
      </c>
      <c r="C2055" s="233" t="str">
        <f>VLOOKUP(Table8[[#This Row],[Document ID]],Table1[],3,FALSE)</f>
        <v>Sri Lanka</v>
      </c>
      <c r="D2055" s="243" t="str">
        <f>VLOOKUP(Table8[[#This Row],[Document ID]],Table1[],5,FALSE)</f>
        <v>NDC</v>
      </c>
      <c r="E2055" s="233" t="str">
        <f>VLOOKUP(Table8[[#This Row],[Document ID]],Table1[],7,FALSE)</f>
        <v>First NDC updated</v>
      </c>
      <c r="F2055" s="233" t="str">
        <f>VLOOKUP(Table8[[#This Row],[Document ID]],Table1[],8,FALSE)</f>
        <v>NDC 1.1</v>
      </c>
      <c r="G2055" s="233" t="str">
        <f>VLOOKUP(Table8[[#This Row],[Document ID]],Table1[],10,FALSE)</f>
        <v>Active</v>
      </c>
      <c r="H2055" s="43" t="s">
        <v>2350</v>
      </c>
      <c r="I2055" s="43" t="s">
        <v>2370</v>
      </c>
      <c r="J2055" s="44" t="s">
        <v>2371</v>
      </c>
      <c r="K2055" s="44" t="s">
        <v>4224</v>
      </c>
      <c r="L2055" s="44" t="s">
        <v>2471</v>
      </c>
      <c r="M2055" s="43">
        <v>14</v>
      </c>
      <c r="N2055" s="113" t="s">
        <v>1113</v>
      </c>
      <c r="O2055" s="113"/>
      <c r="P2055" s="113"/>
      <c r="Q2055" s="113"/>
      <c r="R2055" s="113"/>
      <c r="S2055" s="113"/>
      <c r="T2055" s="113"/>
      <c r="U2055" s="113"/>
      <c r="V2055" s="113"/>
      <c r="W2055" s="113"/>
      <c r="X2055" s="113"/>
      <c r="Y2055" s="113"/>
      <c r="Z2055" s="113"/>
      <c r="AA2055" s="113"/>
      <c r="AB2055" s="113"/>
      <c r="AC2055" s="113"/>
      <c r="AD2055" s="113"/>
      <c r="AE2055" s="113"/>
      <c r="AF2055" s="113"/>
      <c r="AG2055" s="113"/>
      <c r="AH2055" s="113"/>
      <c r="AI2055" s="113"/>
      <c r="AJ2055" s="113"/>
      <c r="AK2055" s="113" t="s">
        <v>1113</v>
      </c>
      <c r="AL2055" s="113"/>
      <c r="AM2055" s="113"/>
      <c r="AN2055" s="113"/>
      <c r="AO2055" s="44" t="s">
        <v>2334</v>
      </c>
      <c r="AP2055" s="43"/>
      <c r="AQ2055" s="236" t="str">
        <f>VLOOKUP(Table8[[#This Row],[Instrument]],Def_Targets!$D$73:$E$159,2,FALSE)</f>
        <v>A_Natmobplan</v>
      </c>
      <c r="AR2055" s="233" t="str">
        <f>VLOOKUP(Table8[[#This Row],[Country Code]],Table29[],3,FALSE)</f>
        <v>Non-Annex I</v>
      </c>
      <c r="AS2055" s="233" t="str">
        <f>VLOOKUP(Table8[[#This Row],[Country Code]],Table29[],4,FALSE)</f>
        <v>Asia</v>
      </c>
      <c r="AT2055" s="233" t="str">
        <f>VLOOKUP(Table8[[#This Row],[Country Code]],Table29[],5,FALSE)</f>
        <v>Middle-income</v>
      </c>
      <c r="AU2055" s="233" t="str">
        <f>VLOOKUP(Table8[[#This Row],[Country Code]],Table29[],6,FALSE)</f>
        <v>no</v>
      </c>
      <c r="AV2055" s="233" t="str">
        <f>VLOOKUP(Table8[[#This Row],[Country Code]],Table29[],7,FALSE)</f>
        <v>no</v>
      </c>
      <c r="AW2055" s="233" t="str">
        <f>VLOOKUP(Table8[[#This Row],[Country Code]],Table29[],8,FALSE)</f>
        <v>non-OECD</v>
      </c>
      <c r="AX2055" s="233" t="str">
        <f>VLOOKUP(Table8[[#This Row],[Country Code]],Table29[],9,FALSE)</f>
        <v>no</v>
      </c>
      <c r="AY2055" s="233" t="str">
        <f>VLOOKUP(Table8[[#This Row],[Country Code]],Table29[],10,FALSE)</f>
        <v>no</v>
      </c>
      <c r="AZ2055" s="235">
        <f>VLOOKUP(Table8[[#This Row],[Country Code]],Table29[],23,FALSE)</f>
        <v>38.403849844142002</v>
      </c>
      <c r="BA2055" s="235">
        <f>VLOOKUP(Table8[[#This Row],[Country Code]],Table29[],24,FALSE)</f>
        <v>9.6330858743096854</v>
      </c>
      <c r="BB2055" s="320"/>
      <c r="BC2055" s="320"/>
    </row>
    <row r="2056" spans="1:55" ht="30" hidden="1" x14ac:dyDescent="0.25">
      <c r="A2056" s="373">
        <v>21314</v>
      </c>
      <c r="B2056" s="233" t="str">
        <f>VLOOKUP(Table8[[#This Row],[Document ID]],Table1[],2,FALSE)</f>
        <v>LKA</v>
      </c>
      <c r="C2056" s="233" t="str">
        <f>VLOOKUP(Table8[[#This Row],[Document ID]],Table1[],3,FALSE)</f>
        <v>Sri Lanka</v>
      </c>
      <c r="D2056" s="243" t="str">
        <f>VLOOKUP(Table8[[#This Row],[Document ID]],Table1[],5,FALSE)</f>
        <v>NDC</v>
      </c>
      <c r="E2056" s="233" t="str">
        <f>VLOOKUP(Table8[[#This Row],[Document ID]],Table1[],7,FALSE)</f>
        <v>First NDC updated</v>
      </c>
      <c r="F2056" s="233" t="str">
        <f>VLOOKUP(Table8[[#This Row],[Document ID]],Table1[],8,FALSE)</f>
        <v>NDC 1.1</v>
      </c>
      <c r="G2056" s="233" t="str">
        <f>VLOOKUP(Table8[[#This Row],[Document ID]],Table1[],10,FALSE)</f>
        <v>Active</v>
      </c>
      <c r="H2056" s="43" t="s">
        <v>2343</v>
      </c>
      <c r="I2056" s="43" t="s">
        <v>2386</v>
      </c>
      <c r="J2056" s="44" t="s">
        <v>2498</v>
      </c>
      <c r="K2056" s="44" t="s">
        <v>4225</v>
      </c>
      <c r="L2056" s="44" t="s">
        <v>2572</v>
      </c>
      <c r="M2056" s="43">
        <v>14</v>
      </c>
      <c r="N2056" s="113" t="s">
        <v>1113</v>
      </c>
      <c r="O2056" s="113"/>
      <c r="P2056" s="113"/>
      <c r="Q2056" s="113"/>
      <c r="R2056" s="113"/>
      <c r="S2056" s="113"/>
      <c r="T2056" s="113"/>
      <c r="U2056" s="113"/>
      <c r="V2056" s="113"/>
      <c r="W2056" s="113"/>
      <c r="X2056" s="113"/>
      <c r="Y2056" s="113"/>
      <c r="Z2056" s="113"/>
      <c r="AA2056" s="113"/>
      <c r="AB2056" s="113"/>
      <c r="AC2056" s="113"/>
      <c r="AD2056" s="113"/>
      <c r="AE2056" s="113"/>
      <c r="AF2056" s="113"/>
      <c r="AG2056" s="113"/>
      <c r="AH2056" s="113"/>
      <c r="AI2056" s="113"/>
      <c r="AJ2056" s="113"/>
      <c r="AK2056" s="113" t="s">
        <v>1113</v>
      </c>
      <c r="AL2056" s="113"/>
      <c r="AM2056" s="113"/>
      <c r="AN2056" s="113"/>
      <c r="AO2056" s="44" t="s">
        <v>2334</v>
      </c>
      <c r="AP2056" s="43"/>
      <c r="AQ2056" s="236" t="str">
        <f>VLOOKUP(Table8[[#This Row],[Instrument]],Def_Targets!$D$73:$E$159,2,FALSE)</f>
        <v>A_Fueltax</v>
      </c>
      <c r="AR2056" s="233" t="str">
        <f>VLOOKUP(Table8[[#This Row],[Country Code]],Table29[],3,FALSE)</f>
        <v>Non-Annex I</v>
      </c>
      <c r="AS2056" s="233" t="str">
        <f>VLOOKUP(Table8[[#This Row],[Country Code]],Table29[],4,FALSE)</f>
        <v>Asia</v>
      </c>
      <c r="AT2056" s="233" t="str">
        <f>VLOOKUP(Table8[[#This Row],[Country Code]],Table29[],5,FALSE)</f>
        <v>Middle-income</v>
      </c>
      <c r="AU2056" s="233" t="str">
        <f>VLOOKUP(Table8[[#This Row],[Country Code]],Table29[],6,FALSE)</f>
        <v>no</v>
      </c>
      <c r="AV2056" s="233" t="str">
        <f>VLOOKUP(Table8[[#This Row],[Country Code]],Table29[],7,FALSE)</f>
        <v>no</v>
      </c>
      <c r="AW2056" s="233" t="str">
        <f>VLOOKUP(Table8[[#This Row],[Country Code]],Table29[],8,FALSE)</f>
        <v>non-OECD</v>
      </c>
      <c r="AX2056" s="233" t="str">
        <f>VLOOKUP(Table8[[#This Row],[Country Code]],Table29[],9,FALSE)</f>
        <v>no</v>
      </c>
      <c r="AY2056" s="233" t="str">
        <f>VLOOKUP(Table8[[#This Row],[Country Code]],Table29[],10,FALSE)</f>
        <v>no</v>
      </c>
      <c r="AZ2056" s="235">
        <f>VLOOKUP(Table8[[#This Row],[Country Code]],Table29[],23,FALSE)</f>
        <v>38.403849844142002</v>
      </c>
      <c r="BA2056" s="235">
        <f>VLOOKUP(Table8[[#This Row],[Country Code]],Table29[],24,FALSE)</f>
        <v>9.6330858743096854</v>
      </c>
      <c r="BB2056" s="320"/>
      <c r="BC2056" s="320"/>
    </row>
    <row r="2057" spans="1:55" hidden="1" x14ac:dyDescent="0.25">
      <c r="A2057" s="373">
        <v>21314</v>
      </c>
      <c r="B2057" s="233" t="str">
        <f>VLOOKUP(Table8[[#This Row],[Document ID]],Table1[],2,FALSE)</f>
        <v>LKA</v>
      </c>
      <c r="C2057" s="233" t="str">
        <f>VLOOKUP(Table8[[#This Row],[Document ID]],Table1[],3,FALSE)</f>
        <v>Sri Lanka</v>
      </c>
      <c r="D2057" s="243" t="str">
        <f>VLOOKUP(Table8[[#This Row],[Document ID]],Table1[],5,FALSE)</f>
        <v>NDC</v>
      </c>
      <c r="E2057" s="233" t="str">
        <f>VLOOKUP(Table8[[#This Row],[Document ID]],Table1[],7,FALSE)</f>
        <v>First NDC updated</v>
      </c>
      <c r="F2057" s="233" t="str">
        <f>VLOOKUP(Table8[[#This Row],[Document ID]],Table1[],8,FALSE)</f>
        <v>NDC 1.1</v>
      </c>
      <c r="G2057" s="233" t="str">
        <f>VLOOKUP(Table8[[#This Row],[Document ID]],Table1[],10,FALSE)</f>
        <v>Active</v>
      </c>
      <c r="H2057" s="43" t="s">
        <v>2484</v>
      </c>
      <c r="I2057" s="43" t="s">
        <v>2485</v>
      </c>
      <c r="J2057" s="44" t="s">
        <v>2486</v>
      </c>
      <c r="K2057" s="44" t="s">
        <v>4226</v>
      </c>
      <c r="L2057" s="44" t="s">
        <v>2333</v>
      </c>
      <c r="M2057" s="43">
        <v>14</v>
      </c>
      <c r="N2057" s="113"/>
      <c r="O2057" s="113"/>
      <c r="P2057" s="113"/>
      <c r="Q2057" s="113"/>
      <c r="R2057" s="113"/>
      <c r="S2057" s="113"/>
      <c r="T2057" s="113"/>
      <c r="U2057" s="113"/>
      <c r="V2057" s="113"/>
      <c r="W2057" s="113"/>
      <c r="X2057" s="113"/>
      <c r="Y2057" s="113"/>
      <c r="Z2057" s="113"/>
      <c r="AA2057" s="113"/>
      <c r="AB2057" s="113"/>
      <c r="AC2057" s="113"/>
      <c r="AD2057" s="113" t="s">
        <v>1113</v>
      </c>
      <c r="AE2057" s="113"/>
      <c r="AF2057" s="113"/>
      <c r="AG2057" s="113"/>
      <c r="AH2057" s="113"/>
      <c r="AI2057" s="113"/>
      <c r="AJ2057" s="113"/>
      <c r="AK2057" s="113" t="s">
        <v>1113</v>
      </c>
      <c r="AL2057" s="113"/>
      <c r="AM2057" s="113"/>
      <c r="AN2057" s="113"/>
      <c r="AO2057" s="44" t="s">
        <v>2334</v>
      </c>
      <c r="AP2057" s="43"/>
      <c r="AQ2057" s="236" t="str">
        <f>VLOOKUP(Table8[[#This Row],[Instrument]],Def_Targets!$D$73:$E$159,2,FALSE)</f>
        <v>I_Shipping</v>
      </c>
      <c r="AR2057" s="233" t="str">
        <f>VLOOKUP(Table8[[#This Row],[Country Code]],Table29[],3,FALSE)</f>
        <v>Non-Annex I</v>
      </c>
      <c r="AS2057" s="233" t="str">
        <f>VLOOKUP(Table8[[#This Row],[Country Code]],Table29[],4,FALSE)</f>
        <v>Asia</v>
      </c>
      <c r="AT2057" s="233" t="str">
        <f>VLOOKUP(Table8[[#This Row],[Country Code]],Table29[],5,FALSE)</f>
        <v>Middle-income</v>
      </c>
      <c r="AU2057" s="233" t="str">
        <f>VLOOKUP(Table8[[#This Row],[Country Code]],Table29[],6,FALSE)</f>
        <v>no</v>
      </c>
      <c r="AV2057" s="233" t="str">
        <f>VLOOKUP(Table8[[#This Row],[Country Code]],Table29[],7,FALSE)</f>
        <v>no</v>
      </c>
      <c r="AW2057" s="233" t="str">
        <f>VLOOKUP(Table8[[#This Row],[Country Code]],Table29[],8,FALSE)</f>
        <v>non-OECD</v>
      </c>
      <c r="AX2057" s="233" t="str">
        <f>VLOOKUP(Table8[[#This Row],[Country Code]],Table29[],9,FALSE)</f>
        <v>no</v>
      </c>
      <c r="AY2057" s="233" t="str">
        <f>VLOOKUP(Table8[[#This Row],[Country Code]],Table29[],10,FALSE)</f>
        <v>no</v>
      </c>
      <c r="AZ2057" s="235">
        <f>VLOOKUP(Table8[[#This Row],[Country Code]],Table29[],23,FALSE)</f>
        <v>38.403849844142002</v>
      </c>
      <c r="BA2057" s="235">
        <f>VLOOKUP(Table8[[#This Row],[Country Code]],Table29[],24,FALSE)</f>
        <v>9.6330858743096854</v>
      </c>
      <c r="BB2057" s="320"/>
      <c r="BC2057" s="320"/>
    </row>
    <row r="2058" spans="1:55" hidden="1" x14ac:dyDescent="0.25">
      <c r="A2058" s="373">
        <v>32516</v>
      </c>
      <c r="B2058" s="233" t="str">
        <f>VLOOKUP(Table8[[#This Row],[Document ID]],Table1[],2,FALSE)</f>
        <v>SDN</v>
      </c>
      <c r="C2058" s="233" t="str">
        <f>VLOOKUP(Table8[[#This Row],[Document ID]],Table1[],3,FALSE)</f>
        <v>Sudan</v>
      </c>
      <c r="D2058" s="243" t="str">
        <f>VLOOKUP(Table8[[#This Row],[Document ID]],Table1[],5,FALSE)</f>
        <v>NDC</v>
      </c>
      <c r="E2058" s="233" t="str">
        <f>VLOOKUP(Table8[[#This Row],[Document ID]],Table1[],7,FALSE)</f>
        <v>First NDC updated</v>
      </c>
      <c r="F2058" s="233" t="str">
        <f>VLOOKUP(Table8[[#This Row],[Document ID]],Table1[],8,FALSE)</f>
        <v>NDC 1.2</v>
      </c>
      <c r="G2058" s="233" t="str">
        <f>VLOOKUP(Table8[[#This Row],[Document ID]],Table1[],10,FALSE)</f>
        <v>Active</v>
      </c>
      <c r="H2058" s="43" t="s">
        <v>2343</v>
      </c>
      <c r="I2058" s="43" t="s">
        <v>2344</v>
      </c>
      <c r="J2058" s="44" t="s">
        <v>2345</v>
      </c>
      <c r="K2058" s="44" t="s">
        <v>4227</v>
      </c>
      <c r="L2058" s="44" t="s">
        <v>2347</v>
      </c>
      <c r="M2058" s="43">
        <v>3</v>
      </c>
      <c r="N2058" s="113"/>
      <c r="O2058" s="113"/>
      <c r="P2058" s="113"/>
      <c r="Q2058" s="113"/>
      <c r="R2058" s="113"/>
      <c r="S2058" s="113"/>
      <c r="T2058" s="113"/>
      <c r="U2058" s="113"/>
      <c r="V2058" s="113"/>
      <c r="W2058" s="113"/>
      <c r="X2058" s="113"/>
      <c r="Y2058" s="113" t="s">
        <v>1113</v>
      </c>
      <c r="Z2058" s="113"/>
      <c r="AA2058" s="113"/>
      <c r="AB2058" s="113"/>
      <c r="AC2058" s="113"/>
      <c r="AD2058" s="113"/>
      <c r="AE2058" s="113"/>
      <c r="AF2058" s="113"/>
      <c r="AG2058" s="113"/>
      <c r="AH2058" s="113"/>
      <c r="AI2058" s="113"/>
      <c r="AJ2058" s="113"/>
      <c r="AK2058" s="113"/>
      <c r="AL2058" s="113" t="s">
        <v>1113</v>
      </c>
      <c r="AM2058" s="113"/>
      <c r="AN2058" s="113"/>
      <c r="AO2058" s="43" t="s">
        <v>2348</v>
      </c>
      <c r="AP2058" s="43"/>
      <c r="AQ2058" s="236" t="str">
        <f>VLOOKUP(Table8[[#This Row],[Instrument]],Def_Targets!$D$73:$E$159,2,FALSE)</f>
        <v>S_PublicTransport</v>
      </c>
      <c r="AR2058" s="233" t="str">
        <f>VLOOKUP(Table8[[#This Row],[Country Code]],Table29[],3,FALSE)</f>
        <v>Non-Annex I</v>
      </c>
      <c r="AS2058" s="233" t="str">
        <f>VLOOKUP(Table8[[#This Row],[Country Code]],Table29[],4,FALSE)</f>
        <v>Africa</v>
      </c>
      <c r="AT2058" s="233" t="str">
        <f>VLOOKUP(Table8[[#This Row],[Country Code]],Table29[],5,FALSE)</f>
        <v>Low-income</v>
      </c>
      <c r="AU2058" s="233" t="str">
        <f>VLOOKUP(Table8[[#This Row],[Country Code]],Table29[],6,FALSE)</f>
        <v>no</v>
      </c>
      <c r="AV2058" s="233" t="str">
        <f>VLOOKUP(Table8[[#This Row],[Country Code]],Table29[],7,FALSE)</f>
        <v>no</v>
      </c>
      <c r="AW2058" s="233" t="str">
        <f>VLOOKUP(Table8[[#This Row],[Country Code]],Table29[],8,FALSE)</f>
        <v>non-OECD</v>
      </c>
      <c r="AX2058" s="233" t="str">
        <f>VLOOKUP(Table8[[#This Row],[Country Code]],Table29[],9,FALSE)</f>
        <v>no</v>
      </c>
      <c r="AY2058" s="233" t="str">
        <f>VLOOKUP(Table8[[#This Row],[Country Code]],Table29[],10,FALSE)</f>
        <v>no</v>
      </c>
      <c r="AZ2058" s="235">
        <f>VLOOKUP(Table8[[#This Row],[Country Code]],Table29[],23,FALSE)</f>
        <v>138.74157453583999</v>
      </c>
      <c r="BA2058" s="235">
        <f>VLOOKUP(Table8[[#This Row],[Country Code]],Table29[],24,FALSE)</f>
        <v>12.273351752549781</v>
      </c>
      <c r="BB2058" s="320"/>
      <c r="BC2058" s="320"/>
    </row>
    <row r="2059" spans="1:55" hidden="1" x14ac:dyDescent="0.25">
      <c r="A2059" s="373">
        <v>32516</v>
      </c>
      <c r="B2059" s="233" t="str">
        <f>VLOOKUP(Table8[[#This Row],[Document ID]],Table1[],2,FALSE)</f>
        <v>SDN</v>
      </c>
      <c r="C2059" s="233" t="str">
        <f>VLOOKUP(Table8[[#This Row],[Document ID]],Table1[],3,FALSE)</f>
        <v>Sudan</v>
      </c>
      <c r="D2059" s="243" t="str">
        <f>VLOOKUP(Table8[[#This Row],[Document ID]],Table1[],5,FALSE)</f>
        <v>NDC</v>
      </c>
      <c r="E2059" s="233" t="str">
        <f>VLOOKUP(Table8[[#This Row],[Document ID]],Table1[],7,FALSE)</f>
        <v>First NDC updated</v>
      </c>
      <c r="F2059" s="233" t="str">
        <f>VLOOKUP(Table8[[#This Row],[Document ID]],Table1[],8,FALSE)</f>
        <v>NDC 1.2</v>
      </c>
      <c r="G2059" s="233" t="str">
        <f>VLOOKUP(Table8[[#This Row],[Document ID]],Table1[],10,FALSE)</f>
        <v>Active</v>
      </c>
      <c r="H2059" s="44" t="s">
        <v>2329</v>
      </c>
      <c r="I2059" s="44" t="s">
        <v>2330</v>
      </c>
      <c r="J2059" s="44" t="s">
        <v>2357</v>
      </c>
      <c r="K2059" s="44" t="s">
        <v>4228</v>
      </c>
      <c r="L2059" s="44" t="s">
        <v>2333</v>
      </c>
      <c r="M2059" s="43">
        <v>3</v>
      </c>
      <c r="N2059" s="113" t="s">
        <v>1113</v>
      </c>
      <c r="O2059" s="113"/>
      <c r="P2059" s="113"/>
      <c r="Q2059" s="113"/>
      <c r="R2059" s="113"/>
      <c r="S2059" s="113"/>
      <c r="T2059" s="113"/>
      <c r="U2059" s="113"/>
      <c r="V2059" s="113"/>
      <c r="W2059" s="113"/>
      <c r="X2059" s="113"/>
      <c r="Y2059" s="113"/>
      <c r="Z2059" s="113"/>
      <c r="AA2059" s="113"/>
      <c r="AB2059" s="113"/>
      <c r="AC2059" s="113"/>
      <c r="AD2059" s="113"/>
      <c r="AE2059" s="113"/>
      <c r="AF2059" s="113"/>
      <c r="AG2059" s="113"/>
      <c r="AH2059" s="113"/>
      <c r="AI2059" s="113"/>
      <c r="AJ2059" s="113"/>
      <c r="AK2059" s="319" t="s">
        <v>1113</v>
      </c>
      <c r="AL2059" s="113"/>
      <c r="AM2059" s="113"/>
      <c r="AN2059" s="113"/>
      <c r="AO2059" s="44" t="s">
        <v>2334</v>
      </c>
      <c r="AP2059" s="43"/>
      <c r="AQ2059" s="236" t="str">
        <f>VLOOKUP(Table8[[#This Row],[Instrument]],Def_Targets!$D$73:$E$159,2,FALSE)</f>
        <v>I_Biofuel</v>
      </c>
      <c r="AR2059" s="233" t="str">
        <f>VLOOKUP(Table8[[#This Row],[Country Code]],Table29[],3,FALSE)</f>
        <v>Non-Annex I</v>
      </c>
      <c r="AS2059" s="233" t="str">
        <f>VLOOKUP(Table8[[#This Row],[Country Code]],Table29[],4,FALSE)</f>
        <v>Africa</v>
      </c>
      <c r="AT2059" s="233" t="str">
        <f>VLOOKUP(Table8[[#This Row],[Country Code]],Table29[],5,FALSE)</f>
        <v>Low-income</v>
      </c>
      <c r="AU2059" s="233" t="str">
        <f>VLOOKUP(Table8[[#This Row],[Country Code]],Table29[],6,FALSE)</f>
        <v>no</v>
      </c>
      <c r="AV2059" s="233" t="str">
        <f>VLOOKUP(Table8[[#This Row],[Country Code]],Table29[],7,FALSE)</f>
        <v>no</v>
      </c>
      <c r="AW2059" s="233" t="str">
        <f>VLOOKUP(Table8[[#This Row],[Country Code]],Table29[],8,FALSE)</f>
        <v>non-OECD</v>
      </c>
      <c r="AX2059" s="233" t="str">
        <f>VLOOKUP(Table8[[#This Row],[Country Code]],Table29[],9,FALSE)</f>
        <v>no</v>
      </c>
      <c r="AY2059" s="233" t="str">
        <f>VLOOKUP(Table8[[#This Row],[Country Code]],Table29[],10,FALSE)</f>
        <v>no</v>
      </c>
      <c r="AZ2059" s="235">
        <f>VLOOKUP(Table8[[#This Row],[Country Code]],Table29[],23,FALSE)</f>
        <v>138.74157453583999</v>
      </c>
      <c r="BA2059" s="235">
        <f>VLOOKUP(Table8[[#This Row],[Country Code]],Table29[],24,FALSE)</f>
        <v>12.273351752549781</v>
      </c>
      <c r="BB2059" s="320"/>
      <c r="BC2059" s="320"/>
    </row>
    <row r="2060" spans="1:55" hidden="1" x14ac:dyDescent="0.25">
      <c r="A2060" s="373">
        <v>32516</v>
      </c>
      <c r="B2060" s="233" t="str">
        <f>VLOOKUP(Table8[[#This Row],[Document ID]],Table1[],2,FALSE)</f>
        <v>SDN</v>
      </c>
      <c r="C2060" s="233" t="str">
        <f>VLOOKUP(Table8[[#This Row],[Document ID]],Table1[],3,FALSE)</f>
        <v>Sudan</v>
      </c>
      <c r="D2060" s="243" t="str">
        <f>VLOOKUP(Table8[[#This Row],[Document ID]],Table1[],5,FALSE)</f>
        <v>NDC</v>
      </c>
      <c r="E2060" s="233" t="str">
        <f>VLOOKUP(Table8[[#This Row],[Document ID]],Table1[],7,FALSE)</f>
        <v>First NDC updated</v>
      </c>
      <c r="F2060" s="233" t="str">
        <f>VLOOKUP(Table8[[#This Row],[Document ID]],Table1[],8,FALSE)</f>
        <v>NDC 1.2</v>
      </c>
      <c r="G2060" s="233" t="str">
        <f>VLOOKUP(Table8[[#This Row],[Document ID]],Table1[],10,FALSE)</f>
        <v>Active</v>
      </c>
      <c r="H2060" s="44" t="s">
        <v>2338</v>
      </c>
      <c r="I2060" s="44" t="s">
        <v>2339</v>
      </c>
      <c r="J2060" s="44" t="s">
        <v>2340</v>
      </c>
      <c r="K2060" s="44" t="s">
        <v>4229</v>
      </c>
      <c r="L2060" s="44" t="s">
        <v>2333</v>
      </c>
      <c r="M2060" s="43">
        <v>3</v>
      </c>
      <c r="N2060" s="113" t="s">
        <v>1113</v>
      </c>
      <c r="O2060" s="113"/>
      <c r="P2060" s="113"/>
      <c r="Q2060" s="113"/>
      <c r="R2060" s="113"/>
      <c r="S2060" s="113"/>
      <c r="T2060" s="113"/>
      <c r="U2060" s="113"/>
      <c r="V2060" s="113"/>
      <c r="W2060" s="113"/>
      <c r="X2060" s="113"/>
      <c r="Y2060" s="113"/>
      <c r="Z2060" s="113"/>
      <c r="AA2060" s="113"/>
      <c r="AB2060" s="113"/>
      <c r="AC2060" s="113"/>
      <c r="AD2060" s="113"/>
      <c r="AE2060" s="113"/>
      <c r="AF2060" s="113"/>
      <c r="AG2060" s="113"/>
      <c r="AH2060" s="113"/>
      <c r="AI2060" s="113"/>
      <c r="AJ2060" s="113"/>
      <c r="AK2060" s="319" t="s">
        <v>1113</v>
      </c>
      <c r="AL2060" s="113"/>
      <c r="AM2060" s="113"/>
      <c r="AN2060" s="113"/>
      <c r="AO2060" s="44" t="s">
        <v>2334</v>
      </c>
      <c r="AP2060" s="43"/>
      <c r="AQ2060" s="236" t="str">
        <f>VLOOKUP(Table8[[#This Row],[Instrument]],Def_Targets!$D$73:$E$159,2,FALSE)</f>
        <v>I_Vehicleimprove</v>
      </c>
      <c r="AR2060" s="233" t="str">
        <f>VLOOKUP(Table8[[#This Row],[Country Code]],Table29[],3,FALSE)</f>
        <v>Non-Annex I</v>
      </c>
      <c r="AS2060" s="233" t="str">
        <f>VLOOKUP(Table8[[#This Row],[Country Code]],Table29[],4,FALSE)</f>
        <v>Africa</v>
      </c>
      <c r="AT2060" s="233" t="str">
        <f>VLOOKUP(Table8[[#This Row],[Country Code]],Table29[],5,FALSE)</f>
        <v>Low-income</v>
      </c>
      <c r="AU2060" s="233" t="str">
        <f>VLOOKUP(Table8[[#This Row],[Country Code]],Table29[],6,FALSE)</f>
        <v>no</v>
      </c>
      <c r="AV2060" s="233" t="str">
        <f>VLOOKUP(Table8[[#This Row],[Country Code]],Table29[],7,FALSE)</f>
        <v>no</v>
      </c>
      <c r="AW2060" s="233" t="str">
        <f>VLOOKUP(Table8[[#This Row],[Country Code]],Table29[],8,FALSE)</f>
        <v>non-OECD</v>
      </c>
      <c r="AX2060" s="233" t="str">
        <f>VLOOKUP(Table8[[#This Row],[Country Code]],Table29[],9,FALSE)</f>
        <v>no</v>
      </c>
      <c r="AY2060" s="233" t="str">
        <f>VLOOKUP(Table8[[#This Row],[Country Code]],Table29[],10,FALSE)</f>
        <v>no</v>
      </c>
      <c r="AZ2060" s="235">
        <f>VLOOKUP(Table8[[#This Row],[Country Code]],Table29[],23,FALSE)</f>
        <v>138.74157453583999</v>
      </c>
      <c r="BA2060" s="235">
        <f>VLOOKUP(Table8[[#This Row],[Country Code]],Table29[],24,FALSE)</f>
        <v>12.273351752549781</v>
      </c>
      <c r="BB2060" s="320"/>
      <c r="BC2060" s="320"/>
    </row>
    <row r="2061" spans="1:55" ht="30" hidden="1" x14ac:dyDescent="0.25">
      <c r="A2061" s="373">
        <v>32516</v>
      </c>
      <c r="B2061" s="233" t="str">
        <f>VLOOKUP(Table8[[#This Row],[Document ID]],Table1[],2,FALSE)</f>
        <v>SDN</v>
      </c>
      <c r="C2061" s="233" t="str">
        <f>VLOOKUP(Table8[[#This Row],[Document ID]],Table1[],3,FALSE)</f>
        <v>Sudan</v>
      </c>
      <c r="D2061" s="243" t="str">
        <f>VLOOKUP(Table8[[#This Row],[Document ID]],Table1[],5,FALSE)</f>
        <v>NDC</v>
      </c>
      <c r="E2061" s="233" t="str">
        <f>VLOOKUP(Table8[[#This Row],[Document ID]],Table1[],7,FALSE)</f>
        <v>First NDC updated</v>
      </c>
      <c r="F2061" s="233" t="str">
        <f>VLOOKUP(Table8[[#This Row],[Document ID]],Table1[],8,FALSE)</f>
        <v>NDC 1.2</v>
      </c>
      <c r="G2061" s="233" t="str">
        <f>VLOOKUP(Table8[[#This Row],[Document ID]],Table1[],10,FALSE)</f>
        <v>Active</v>
      </c>
      <c r="H2061" s="43" t="s">
        <v>2350</v>
      </c>
      <c r="I2061" s="43" t="s">
        <v>2351</v>
      </c>
      <c r="J2061" s="44" t="s">
        <v>2352</v>
      </c>
      <c r="K2061" s="44" t="s">
        <v>4230</v>
      </c>
      <c r="L2061" s="44" t="s">
        <v>2347</v>
      </c>
      <c r="M2061" s="43">
        <v>3</v>
      </c>
      <c r="N2061" s="113"/>
      <c r="O2061" s="113"/>
      <c r="P2061" s="113"/>
      <c r="Q2061" s="113"/>
      <c r="R2061" s="113"/>
      <c r="S2061" s="113"/>
      <c r="T2061" s="113"/>
      <c r="U2061" s="113"/>
      <c r="V2061" s="113"/>
      <c r="W2061" s="113"/>
      <c r="X2061" s="113" t="s">
        <v>1113</v>
      </c>
      <c r="Y2061" s="113"/>
      <c r="Z2061" s="113" t="s">
        <v>1113</v>
      </c>
      <c r="AA2061" s="113"/>
      <c r="AB2061" s="113"/>
      <c r="AC2061" s="113"/>
      <c r="AD2061" s="113"/>
      <c r="AE2061" s="113"/>
      <c r="AF2061" s="113"/>
      <c r="AG2061" s="113"/>
      <c r="AH2061" s="113"/>
      <c r="AI2061" s="113"/>
      <c r="AJ2061" s="113"/>
      <c r="AK2061" s="319" t="s">
        <v>1113</v>
      </c>
      <c r="AL2061" s="113"/>
      <c r="AM2061" s="113"/>
      <c r="AN2061" s="113"/>
      <c r="AO2061" s="43" t="s">
        <v>2353</v>
      </c>
      <c r="AP2061" s="43"/>
      <c r="AQ2061" s="236" t="str">
        <f>VLOOKUP(Table8[[#This Row],[Instrument]],Def_Targets!$D$73:$E$159,2,FALSE)</f>
        <v>S_Railfreight</v>
      </c>
      <c r="AR2061" s="233" t="str">
        <f>VLOOKUP(Table8[[#This Row],[Country Code]],Table29[],3,FALSE)</f>
        <v>Non-Annex I</v>
      </c>
      <c r="AS2061" s="233" t="str">
        <f>VLOOKUP(Table8[[#This Row],[Country Code]],Table29[],4,FALSE)</f>
        <v>Africa</v>
      </c>
      <c r="AT2061" s="233" t="str">
        <f>VLOOKUP(Table8[[#This Row],[Country Code]],Table29[],5,FALSE)</f>
        <v>Low-income</v>
      </c>
      <c r="AU2061" s="233" t="str">
        <f>VLOOKUP(Table8[[#This Row],[Country Code]],Table29[],6,FALSE)</f>
        <v>no</v>
      </c>
      <c r="AV2061" s="233" t="str">
        <f>VLOOKUP(Table8[[#This Row],[Country Code]],Table29[],7,FALSE)</f>
        <v>no</v>
      </c>
      <c r="AW2061" s="233" t="str">
        <f>VLOOKUP(Table8[[#This Row],[Country Code]],Table29[],8,FALSE)</f>
        <v>non-OECD</v>
      </c>
      <c r="AX2061" s="233" t="str">
        <f>VLOOKUP(Table8[[#This Row],[Country Code]],Table29[],9,FALSE)</f>
        <v>no</v>
      </c>
      <c r="AY2061" s="233" t="str">
        <f>VLOOKUP(Table8[[#This Row],[Country Code]],Table29[],10,FALSE)</f>
        <v>no</v>
      </c>
      <c r="AZ2061" s="235">
        <f>VLOOKUP(Table8[[#This Row],[Country Code]],Table29[],23,FALSE)</f>
        <v>138.74157453583999</v>
      </c>
      <c r="BA2061" s="235">
        <f>VLOOKUP(Table8[[#This Row],[Country Code]],Table29[],24,FALSE)</f>
        <v>12.273351752549781</v>
      </c>
      <c r="BB2061" s="320"/>
      <c r="BC2061" s="320"/>
    </row>
    <row r="2062" spans="1:55" hidden="1" x14ac:dyDescent="0.25">
      <c r="A2062" s="373">
        <v>32516</v>
      </c>
      <c r="B2062" s="233" t="str">
        <f>VLOOKUP(Table8[[#This Row],[Document ID]],Table1[],2,FALSE)</f>
        <v>SDN</v>
      </c>
      <c r="C2062" s="233" t="str">
        <f>VLOOKUP(Table8[[#This Row],[Document ID]],Table1[],3,FALSE)</f>
        <v>Sudan</v>
      </c>
      <c r="D2062" s="243" t="str">
        <f>VLOOKUP(Table8[[#This Row],[Document ID]],Table1[],5,FALSE)</f>
        <v>NDC</v>
      </c>
      <c r="E2062" s="233" t="str">
        <f>VLOOKUP(Table8[[#This Row],[Document ID]],Table1[],7,FALSE)</f>
        <v>First NDC updated</v>
      </c>
      <c r="F2062" s="233" t="str">
        <f>VLOOKUP(Table8[[#This Row],[Document ID]],Table1[],8,FALSE)</f>
        <v>NDC 1.2</v>
      </c>
      <c r="G2062" s="233" t="str">
        <f>VLOOKUP(Table8[[#This Row],[Document ID]],Table1[],10,FALSE)</f>
        <v>Active</v>
      </c>
      <c r="H2062" s="43" t="s">
        <v>2343</v>
      </c>
      <c r="I2062" s="43" t="s">
        <v>2344</v>
      </c>
      <c r="J2062" s="44" t="s">
        <v>2345</v>
      </c>
      <c r="K2062" s="44" t="s">
        <v>4231</v>
      </c>
      <c r="L2062" s="44" t="s">
        <v>2347</v>
      </c>
      <c r="M2062" s="43">
        <v>5</v>
      </c>
      <c r="N2062" s="113"/>
      <c r="O2062" s="113"/>
      <c r="P2062" s="113"/>
      <c r="Q2062" s="113"/>
      <c r="R2062" s="113"/>
      <c r="S2062" s="113"/>
      <c r="T2062" s="113"/>
      <c r="U2062" s="113"/>
      <c r="V2062" s="113"/>
      <c r="W2062" s="113"/>
      <c r="X2062" s="113"/>
      <c r="Y2062" s="113" t="s">
        <v>1113</v>
      </c>
      <c r="Z2062" s="113"/>
      <c r="AA2062" s="113"/>
      <c r="AB2062" s="113"/>
      <c r="AC2062" s="113"/>
      <c r="AD2062" s="113"/>
      <c r="AE2062" s="113"/>
      <c r="AF2062" s="113"/>
      <c r="AG2062" s="113"/>
      <c r="AH2062" s="113"/>
      <c r="AI2062" s="113"/>
      <c r="AJ2062" s="113"/>
      <c r="AK2062" s="113"/>
      <c r="AL2062" s="113" t="s">
        <v>1113</v>
      </c>
      <c r="AM2062" s="113"/>
      <c r="AN2062" s="113"/>
      <c r="AO2062" s="43" t="s">
        <v>2348</v>
      </c>
      <c r="AP2062" s="43"/>
      <c r="AQ2062" s="236" t="str">
        <f>VLOOKUP(Table8[[#This Row],[Instrument]],Def_Targets!$D$73:$E$159,2,FALSE)</f>
        <v>S_PublicTransport</v>
      </c>
      <c r="AR2062" s="233" t="str">
        <f>VLOOKUP(Table8[[#This Row],[Country Code]],Table29[],3,FALSE)</f>
        <v>Non-Annex I</v>
      </c>
      <c r="AS2062" s="233" t="str">
        <f>VLOOKUP(Table8[[#This Row],[Country Code]],Table29[],4,FALSE)</f>
        <v>Africa</v>
      </c>
      <c r="AT2062" s="233" t="str">
        <f>VLOOKUP(Table8[[#This Row],[Country Code]],Table29[],5,FALSE)</f>
        <v>Low-income</v>
      </c>
      <c r="AU2062" s="233" t="str">
        <f>VLOOKUP(Table8[[#This Row],[Country Code]],Table29[],6,FALSE)</f>
        <v>no</v>
      </c>
      <c r="AV2062" s="233" t="str">
        <f>VLOOKUP(Table8[[#This Row],[Country Code]],Table29[],7,FALSE)</f>
        <v>no</v>
      </c>
      <c r="AW2062" s="233" t="str">
        <f>VLOOKUP(Table8[[#This Row],[Country Code]],Table29[],8,FALSE)</f>
        <v>non-OECD</v>
      </c>
      <c r="AX2062" s="233" t="str">
        <f>VLOOKUP(Table8[[#This Row],[Country Code]],Table29[],9,FALSE)</f>
        <v>no</v>
      </c>
      <c r="AY2062" s="233" t="str">
        <f>VLOOKUP(Table8[[#This Row],[Country Code]],Table29[],10,FALSE)</f>
        <v>no</v>
      </c>
      <c r="AZ2062" s="235">
        <f>VLOOKUP(Table8[[#This Row],[Country Code]],Table29[],23,FALSE)</f>
        <v>138.74157453583999</v>
      </c>
      <c r="BA2062" s="235">
        <f>VLOOKUP(Table8[[#This Row],[Country Code]],Table29[],24,FALSE)</f>
        <v>12.273351752549781</v>
      </c>
      <c r="BB2062" s="320"/>
      <c r="BC2062" s="320"/>
    </row>
    <row r="2063" spans="1:55" hidden="1" x14ac:dyDescent="0.25">
      <c r="A2063" s="373">
        <v>32516</v>
      </c>
      <c r="B2063" s="233" t="str">
        <f>VLOOKUP(Table8[[#This Row],[Document ID]],Table1[],2,FALSE)</f>
        <v>SDN</v>
      </c>
      <c r="C2063" s="233" t="str">
        <f>VLOOKUP(Table8[[#This Row],[Document ID]],Table1[],3,FALSE)</f>
        <v>Sudan</v>
      </c>
      <c r="D2063" s="243" t="str">
        <f>VLOOKUP(Table8[[#This Row],[Document ID]],Table1[],5,FALSE)</f>
        <v>NDC</v>
      </c>
      <c r="E2063" s="233" t="str">
        <f>VLOOKUP(Table8[[#This Row],[Document ID]],Table1[],7,FALSE)</f>
        <v>First NDC updated</v>
      </c>
      <c r="F2063" s="233" t="str">
        <f>VLOOKUP(Table8[[#This Row],[Document ID]],Table1[],8,FALSE)</f>
        <v>NDC 1.2</v>
      </c>
      <c r="G2063" s="233" t="str">
        <f>VLOOKUP(Table8[[#This Row],[Document ID]],Table1[],10,FALSE)</f>
        <v>Active</v>
      </c>
      <c r="H2063" s="43" t="s">
        <v>2484</v>
      </c>
      <c r="I2063" s="43" t="s">
        <v>2485</v>
      </c>
      <c r="J2063" s="44" t="s">
        <v>2486</v>
      </c>
      <c r="K2063" s="44" t="s">
        <v>4232</v>
      </c>
      <c r="L2063" s="44" t="s">
        <v>2347</v>
      </c>
      <c r="M2063" s="43">
        <v>5</v>
      </c>
      <c r="N2063" s="113"/>
      <c r="O2063" s="113"/>
      <c r="P2063" s="113"/>
      <c r="Q2063" s="113"/>
      <c r="R2063" s="113"/>
      <c r="S2063" s="113"/>
      <c r="T2063" s="113"/>
      <c r="U2063" s="113" t="s">
        <v>1113</v>
      </c>
      <c r="V2063" s="113"/>
      <c r="W2063" s="113"/>
      <c r="X2063" s="113"/>
      <c r="Y2063" s="113"/>
      <c r="Z2063" s="113"/>
      <c r="AA2063" s="113"/>
      <c r="AB2063" s="113"/>
      <c r="AC2063" s="113"/>
      <c r="AD2063" s="113"/>
      <c r="AE2063" s="113"/>
      <c r="AF2063" s="113" t="s">
        <v>1113</v>
      </c>
      <c r="AG2063" s="113"/>
      <c r="AH2063" s="113"/>
      <c r="AI2063" s="113"/>
      <c r="AJ2063" s="113"/>
      <c r="AK2063" s="113" t="s">
        <v>1113</v>
      </c>
      <c r="AL2063" s="113"/>
      <c r="AM2063" s="113"/>
      <c r="AN2063" s="113"/>
      <c r="AO2063" s="44" t="s">
        <v>2334</v>
      </c>
      <c r="AP2063" s="43"/>
      <c r="AQ2063" s="236" t="str">
        <f>VLOOKUP(Table8[[#This Row],[Instrument]],Def_Targets!$D$73:$E$159,2,FALSE)</f>
        <v>I_Shipping</v>
      </c>
      <c r="AR2063" s="233" t="str">
        <f>VLOOKUP(Table8[[#This Row],[Country Code]],Table29[],3,FALSE)</f>
        <v>Non-Annex I</v>
      </c>
      <c r="AS2063" s="233" t="str">
        <f>VLOOKUP(Table8[[#This Row],[Country Code]],Table29[],4,FALSE)</f>
        <v>Africa</v>
      </c>
      <c r="AT2063" s="233" t="str">
        <f>VLOOKUP(Table8[[#This Row],[Country Code]],Table29[],5,FALSE)</f>
        <v>Low-income</v>
      </c>
      <c r="AU2063" s="233" t="str">
        <f>VLOOKUP(Table8[[#This Row],[Country Code]],Table29[],6,FALSE)</f>
        <v>no</v>
      </c>
      <c r="AV2063" s="233" t="str">
        <f>VLOOKUP(Table8[[#This Row],[Country Code]],Table29[],7,FALSE)</f>
        <v>no</v>
      </c>
      <c r="AW2063" s="233" t="str">
        <f>VLOOKUP(Table8[[#This Row],[Country Code]],Table29[],8,FALSE)</f>
        <v>non-OECD</v>
      </c>
      <c r="AX2063" s="233" t="str">
        <f>VLOOKUP(Table8[[#This Row],[Country Code]],Table29[],9,FALSE)</f>
        <v>no</v>
      </c>
      <c r="AY2063" s="233" t="str">
        <f>VLOOKUP(Table8[[#This Row],[Country Code]],Table29[],10,FALSE)</f>
        <v>no</v>
      </c>
      <c r="AZ2063" s="235">
        <f>VLOOKUP(Table8[[#This Row],[Country Code]],Table29[],23,FALSE)</f>
        <v>138.74157453583999</v>
      </c>
      <c r="BA2063" s="235">
        <f>VLOOKUP(Table8[[#This Row],[Country Code]],Table29[],24,FALSE)</f>
        <v>12.273351752549781</v>
      </c>
      <c r="BB2063" s="320"/>
      <c r="BC2063" s="320"/>
    </row>
    <row r="2064" spans="1:55" ht="30" hidden="1" x14ac:dyDescent="0.25">
      <c r="A2064" s="373">
        <v>32516</v>
      </c>
      <c r="B2064" s="233" t="str">
        <f>VLOOKUP(Table8[[#This Row],[Document ID]],Table1[],2,FALSE)</f>
        <v>SDN</v>
      </c>
      <c r="C2064" s="233" t="str">
        <f>VLOOKUP(Table8[[#This Row],[Document ID]],Table1[],3,FALSE)</f>
        <v>Sudan</v>
      </c>
      <c r="D2064" s="243" t="str">
        <f>VLOOKUP(Table8[[#This Row],[Document ID]],Table1[],5,FALSE)</f>
        <v>NDC</v>
      </c>
      <c r="E2064" s="233" t="str">
        <f>VLOOKUP(Table8[[#This Row],[Document ID]],Table1[],7,FALSE)</f>
        <v>First NDC updated</v>
      </c>
      <c r="F2064" s="233" t="str">
        <f>VLOOKUP(Table8[[#This Row],[Document ID]],Table1[],8,FALSE)</f>
        <v>NDC 1.2</v>
      </c>
      <c r="G2064" s="233" t="str">
        <f>VLOOKUP(Table8[[#This Row],[Document ID]],Table1[],10,FALSE)</f>
        <v>Active</v>
      </c>
      <c r="H2064" s="43" t="s">
        <v>2350</v>
      </c>
      <c r="I2064" s="43" t="s">
        <v>2351</v>
      </c>
      <c r="J2064" s="44" t="s">
        <v>2352</v>
      </c>
      <c r="K2064" s="44" t="s">
        <v>4233</v>
      </c>
      <c r="L2064" s="44" t="s">
        <v>2347</v>
      </c>
      <c r="M2064" s="43">
        <v>5</v>
      </c>
      <c r="N2064" s="113"/>
      <c r="O2064" s="113"/>
      <c r="P2064" s="113"/>
      <c r="Q2064" s="113"/>
      <c r="R2064" s="113"/>
      <c r="S2064" s="113"/>
      <c r="T2064" s="113"/>
      <c r="U2064" s="113"/>
      <c r="V2064" s="113"/>
      <c r="W2064" s="113"/>
      <c r="X2064" s="113" t="s">
        <v>1113</v>
      </c>
      <c r="Y2064" s="113"/>
      <c r="Z2064" s="113" t="s">
        <v>1113</v>
      </c>
      <c r="AA2064" s="113"/>
      <c r="AB2064" s="113"/>
      <c r="AC2064" s="113"/>
      <c r="AD2064" s="113"/>
      <c r="AE2064" s="113"/>
      <c r="AF2064" s="113"/>
      <c r="AG2064" s="113"/>
      <c r="AH2064" s="113"/>
      <c r="AI2064" s="113"/>
      <c r="AJ2064" s="113"/>
      <c r="AK2064" s="113" t="s">
        <v>1113</v>
      </c>
      <c r="AL2064" s="113"/>
      <c r="AM2064" s="113"/>
      <c r="AN2064" s="113"/>
      <c r="AO2064" s="44" t="s">
        <v>2334</v>
      </c>
      <c r="AP2064" s="43"/>
      <c r="AQ2064" s="236" t="str">
        <f>VLOOKUP(Table8[[#This Row],[Instrument]],Def_Targets!$D$73:$E$159,2,FALSE)</f>
        <v>S_Railfreight</v>
      </c>
      <c r="AR2064" s="233" t="str">
        <f>VLOOKUP(Table8[[#This Row],[Country Code]],Table29[],3,FALSE)</f>
        <v>Non-Annex I</v>
      </c>
      <c r="AS2064" s="233" t="str">
        <f>VLOOKUP(Table8[[#This Row],[Country Code]],Table29[],4,FALSE)</f>
        <v>Africa</v>
      </c>
      <c r="AT2064" s="233" t="str">
        <f>VLOOKUP(Table8[[#This Row],[Country Code]],Table29[],5,FALSE)</f>
        <v>Low-income</v>
      </c>
      <c r="AU2064" s="233" t="str">
        <f>VLOOKUP(Table8[[#This Row],[Country Code]],Table29[],6,FALSE)</f>
        <v>no</v>
      </c>
      <c r="AV2064" s="233" t="str">
        <f>VLOOKUP(Table8[[#This Row],[Country Code]],Table29[],7,FALSE)</f>
        <v>no</v>
      </c>
      <c r="AW2064" s="233" t="str">
        <f>VLOOKUP(Table8[[#This Row],[Country Code]],Table29[],8,FALSE)</f>
        <v>non-OECD</v>
      </c>
      <c r="AX2064" s="233" t="str">
        <f>VLOOKUP(Table8[[#This Row],[Country Code]],Table29[],9,FALSE)</f>
        <v>no</v>
      </c>
      <c r="AY2064" s="233" t="str">
        <f>VLOOKUP(Table8[[#This Row],[Country Code]],Table29[],10,FALSE)</f>
        <v>no</v>
      </c>
      <c r="AZ2064" s="235">
        <f>VLOOKUP(Table8[[#This Row],[Country Code]],Table29[],23,FALSE)</f>
        <v>138.74157453583999</v>
      </c>
      <c r="BA2064" s="235">
        <f>VLOOKUP(Table8[[#This Row],[Country Code]],Table29[],24,FALSE)</f>
        <v>12.273351752549781</v>
      </c>
      <c r="BB2064" s="320"/>
      <c r="BC2064" s="320"/>
    </row>
    <row r="2065" spans="1:55" hidden="1" x14ac:dyDescent="0.25">
      <c r="A2065" s="373">
        <v>32516</v>
      </c>
      <c r="B2065" s="233" t="str">
        <f>VLOOKUP(Table8[[#This Row],[Document ID]],Table1[],2,FALSE)</f>
        <v>SDN</v>
      </c>
      <c r="C2065" s="233" t="str">
        <f>VLOOKUP(Table8[[#This Row],[Document ID]],Table1[],3,FALSE)</f>
        <v>Sudan</v>
      </c>
      <c r="D2065" s="243" t="str">
        <f>VLOOKUP(Table8[[#This Row],[Document ID]],Table1[],5,FALSE)</f>
        <v>NDC</v>
      </c>
      <c r="E2065" s="233" t="str">
        <f>VLOOKUP(Table8[[#This Row],[Document ID]],Table1[],7,FALSE)</f>
        <v>First NDC updated</v>
      </c>
      <c r="F2065" s="233" t="str">
        <f>VLOOKUP(Table8[[#This Row],[Document ID]],Table1[],8,FALSE)</f>
        <v>NDC 1.2</v>
      </c>
      <c r="G2065" s="233" t="str">
        <f>VLOOKUP(Table8[[#This Row],[Document ID]],Table1[],10,FALSE)</f>
        <v>Active</v>
      </c>
      <c r="H2065" s="44" t="s">
        <v>2329</v>
      </c>
      <c r="I2065" s="44" t="s">
        <v>2330</v>
      </c>
      <c r="J2065" s="44" t="s">
        <v>2357</v>
      </c>
      <c r="K2065" s="44" t="s">
        <v>4234</v>
      </c>
      <c r="L2065" s="44" t="s">
        <v>2333</v>
      </c>
      <c r="M2065" s="43">
        <v>5</v>
      </c>
      <c r="N2065" s="113" t="s">
        <v>1113</v>
      </c>
      <c r="O2065" s="113"/>
      <c r="P2065" s="113"/>
      <c r="Q2065" s="113"/>
      <c r="R2065" s="113"/>
      <c r="S2065" s="113"/>
      <c r="T2065" s="113"/>
      <c r="U2065" s="113"/>
      <c r="V2065" s="113"/>
      <c r="W2065" s="113"/>
      <c r="X2065" s="113"/>
      <c r="Y2065" s="113"/>
      <c r="Z2065" s="113"/>
      <c r="AA2065" s="113"/>
      <c r="AB2065" s="113"/>
      <c r="AC2065" s="113"/>
      <c r="AD2065" s="113"/>
      <c r="AE2065" s="113"/>
      <c r="AF2065" s="113"/>
      <c r="AG2065" s="113"/>
      <c r="AH2065" s="113"/>
      <c r="AI2065" s="113"/>
      <c r="AJ2065" s="113"/>
      <c r="AK2065" s="113" t="s">
        <v>1113</v>
      </c>
      <c r="AL2065" s="113"/>
      <c r="AM2065" s="113"/>
      <c r="AN2065" s="113"/>
      <c r="AO2065" s="44" t="s">
        <v>2334</v>
      </c>
      <c r="AP2065" s="43"/>
      <c r="AQ2065" s="236" t="str">
        <f>VLOOKUP(Table8[[#This Row],[Instrument]],Def_Targets!$D$73:$E$159,2,FALSE)</f>
        <v>I_Biofuel</v>
      </c>
      <c r="AR2065" s="233" t="str">
        <f>VLOOKUP(Table8[[#This Row],[Country Code]],Table29[],3,FALSE)</f>
        <v>Non-Annex I</v>
      </c>
      <c r="AS2065" s="233" t="str">
        <f>VLOOKUP(Table8[[#This Row],[Country Code]],Table29[],4,FALSE)</f>
        <v>Africa</v>
      </c>
      <c r="AT2065" s="233" t="str">
        <f>VLOOKUP(Table8[[#This Row],[Country Code]],Table29[],5,FALSE)</f>
        <v>Low-income</v>
      </c>
      <c r="AU2065" s="233" t="str">
        <f>VLOOKUP(Table8[[#This Row],[Country Code]],Table29[],6,FALSE)</f>
        <v>no</v>
      </c>
      <c r="AV2065" s="233" t="str">
        <f>VLOOKUP(Table8[[#This Row],[Country Code]],Table29[],7,FALSE)</f>
        <v>no</v>
      </c>
      <c r="AW2065" s="233" t="str">
        <f>VLOOKUP(Table8[[#This Row],[Country Code]],Table29[],8,FALSE)</f>
        <v>non-OECD</v>
      </c>
      <c r="AX2065" s="233" t="str">
        <f>VLOOKUP(Table8[[#This Row],[Country Code]],Table29[],9,FALSE)</f>
        <v>no</v>
      </c>
      <c r="AY2065" s="233" t="str">
        <f>VLOOKUP(Table8[[#This Row],[Country Code]],Table29[],10,FALSE)</f>
        <v>no</v>
      </c>
      <c r="AZ2065" s="235">
        <f>VLOOKUP(Table8[[#This Row],[Country Code]],Table29[],23,FALSE)</f>
        <v>138.74157453583999</v>
      </c>
      <c r="BA2065" s="235">
        <f>VLOOKUP(Table8[[#This Row],[Country Code]],Table29[],24,FALSE)</f>
        <v>12.273351752549781</v>
      </c>
      <c r="BB2065" s="320"/>
      <c r="BC2065" s="320"/>
    </row>
    <row r="2066" spans="1:55" hidden="1" x14ac:dyDescent="0.25">
      <c r="A2066" s="373">
        <v>32516</v>
      </c>
      <c r="B2066" s="233" t="str">
        <f>VLOOKUP(Table8[[#This Row],[Document ID]],Table1[],2,FALSE)</f>
        <v>SDN</v>
      </c>
      <c r="C2066" s="233" t="str">
        <f>VLOOKUP(Table8[[#This Row],[Document ID]],Table1[],3,FALSE)</f>
        <v>Sudan</v>
      </c>
      <c r="D2066" s="243" t="str">
        <f>VLOOKUP(Table8[[#This Row],[Document ID]],Table1[],5,FALSE)</f>
        <v>NDC</v>
      </c>
      <c r="E2066" s="233" t="str">
        <f>VLOOKUP(Table8[[#This Row],[Document ID]],Table1[],7,FALSE)</f>
        <v>First NDC updated</v>
      </c>
      <c r="F2066" s="233" t="str">
        <f>VLOOKUP(Table8[[#This Row],[Document ID]],Table1[],8,FALSE)</f>
        <v>NDC 1.2</v>
      </c>
      <c r="G2066" s="233" t="str">
        <f>VLOOKUP(Table8[[#This Row],[Document ID]],Table1[],10,FALSE)</f>
        <v>Active</v>
      </c>
      <c r="H2066" s="44" t="s">
        <v>2338</v>
      </c>
      <c r="I2066" s="44" t="s">
        <v>2339</v>
      </c>
      <c r="J2066" s="44" t="s">
        <v>2340</v>
      </c>
      <c r="K2066" s="44" t="s">
        <v>4235</v>
      </c>
      <c r="L2066" s="44" t="s">
        <v>2333</v>
      </c>
      <c r="M2066" s="43">
        <v>5</v>
      </c>
      <c r="N2066" s="113"/>
      <c r="O2066" s="113"/>
      <c r="P2066" s="113"/>
      <c r="Q2066" s="113"/>
      <c r="R2066" s="113"/>
      <c r="S2066" s="113"/>
      <c r="T2066" s="113"/>
      <c r="U2066" s="113" t="s">
        <v>1113</v>
      </c>
      <c r="V2066" s="113"/>
      <c r="W2066" s="113"/>
      <c r="X2066" s="113"/>
      <c r="Y2066" s="113"/>
      <c r="Z2066" s="113"/>
      <c r="AA2066" s="113"/>
      <c r="AB2066" s="113"/>
      <c r="AC2066" s="113"/>
      <c r="AD2066" s="113"/>
      <c r="AE2066" s="113"/>
      <c r="AF2066" s="113"/>
      <c r="AG2066" s="113"/>
      <c r="AH2066" s="113"/>
      <c r="AI2066" s="113"/>
      <c r="AJ2066" s="113"/>
      <c r="AK2066" s="113" t="s">
        <v>1113</v>
      </c>
      <c r="AL2066" s="113"/>
      <c r="AM2066" s="113"/>
      <c r="AN2066" s="113"/>
      <c r="AO2066" s="44" t="s">
        <v>2334</v>
      </c>
      <c r="AP2066" s="43"/>
      <c r="AQ2066" s="236" t="str">
        <f>VLOOKUP(Table8[[#This Row],[Instrument]],Def_Targets!$D$73:$E$159,2,FALSE)</f>
        <v>I_Vehicleimprove</v>
      </c>
      <c r="AR2066" s="233" t="str">
        <f>VLOOKUP(Table8[[#This Row],[Country Code]],Table29[],3,FALSE)</f>
        <v>Non-Annex I</v>
      </c>
      <c r="AS2066" s="233" t="str">
        <f>VLOOKUP(Table8[[#This Row],[Country Code]],Table29[],4,FALSE)</f>
        <v>Africa</v>
      </c>
      <c r="AT2066" s="233" t="str">
        <f>VLOOKUP(Table8[[#This Row],[Country Code]],Table29[],5,FALSE)</f>
        <v>Low-income</v>
      </c>
      <c r="AU2066" s="233" t="str">
        <f>VLOOKUP(Table8[[#This Row],[Country Code]],Table29[],6,FALSE)</f>
        <v>no</v>
      </c>
      <c r="AV2066" s="233" t="str">
        <f>VLOOKUP(Table8[[#This Row],[Country Code]],Table29[],7,FALSE)</f>
        <v>no</v>
      </c>
      <c r="AW2066" s="233" t="str">
        <f>VLOOKUP(Table8[[#This Row],[Country Code]],Table29[],8,FALSE)</f>
        <v>non-OECD</v>
      </c>
      <c r="AX2066" s="233" t="str">
        <f>VLOOKUP(Table8[[#This Row],[Country Code]],Table29[],9,FALSE)</f>
        <v>no</v>
      </c>
      <c r="AY2066" s="233" t="str">
        <f>VLOOKUP(Table8[[#This Row],[Country Code]],Table29[],10,FALSE)</f>
        <v>no</v>
      </c>
      <c r="AZ2066" s="235">
        <f>VLOOKUP(Table8[[#This Row],[Country Code]],Table29[],23,FALSE)</f>
        <v>138.74157453583999</v>
      </c>
      <c r="BA2066" s="235">
        <f>VLOOKUP(Table8[[#This Row],[Country Code]],Table29[],24,FALSE)</f>
        <v>12.273351752549781</v>
      </c>
      <c r="BB2066" s="320"/>
      <c r="BC2066" s="320"/>
    </row>
    <row r="2067" spans="1:55" ht="30" hidden="1" x14ac:dyDescent="0.25">
      <c r="A2067" s="360">
        <v>17748</v>
      </c>
      <c r="B2067" s="233" t="str">
        <f>VLOOKUP(Table8[[#This Row],[Document ID]],Table1[],2,FALSE)</f>
        <v>SUR</v>
      </c>
      <c r="C2067" s="233" t="str">
        <f>VLOOKUP(Table8[[#This Row],[Document ID]],Table1[],3,FALSE)</f>
        <v>Suriname</v>
      </c>
      <c r="D2067" s="233" t="str">
        <f>VLOOKUP(Table8[[#This Row],[Document ID]],Table1[],5,FALSE)</f>
        <v>NDC</v>
      </c>
      <c r="E2067" s="233" t="str">
        <f>VLOOKUP(Table8[[#This Row],[Document ID]],Table1[],7,FALSE)</f>
        <v>Second NDC</v>
      </c>
      <c r="F2067" s="233" t="str">
        <f>VLOOKUP(Table8[[#This Row],[Document ID]],Table1[],8,FALSE)</f>
        <v>NDC 2.0</v>
      </c>
      <c r="G2067" s="233" t="str">
        <f>VLOOKUP(Table8[[#This Row],[Document ID]],Table1[],10,FALSE)</f>
        <v>Active</v>
      </c>
      <c r="H2067" s="44" t="s">
        <v>2338</v>
      </c>
      <c r="I2067" s="44" t="s">
        <v>2339</v>
      </c>
      <c r="J2067" s="44" t="s">
        <v>2410</v>
      </c>
      <c r="K2067" s="44" t="s">
        <v>4236</v>
      </c>
      <c r="L2067" s="44" t="s">
        <v>2333</v>
      </c>
      <c r="M2067" s="43">
        <v>22</v>
      </c>
      <c r="N2067" s="113"/>
      <c r="O2067" s="113"/>
      <c r="P2067" s="113"/>
      <c r="Q2067" s="113"/>
      <c r="R2067" s="113"/>
      <c r="S2067" s="113" t="s">
        <v>1113</v>
      </c>
      <c r="T2067" s="113"/>
      <c r="U2067" s="113"/>
      <c r="V2067" s="113"/>
      <c r="W2067" s="113"/>
      <c r="X2067" s="113"/>
      <c r="Y2067" s="113"/>
      <c r="Z2067" s="113"/>
      <c r="AA2067" s="113"/>
      <c r="AB2067" s="113"/>
      <c r="AC2067" s="113"/>
      <c r="AD2067" s="113"/>
      <c r="AE2067" s="113"/>
      <c r="AF2067" s="113"/>
      <c r="AG2067" s="113"/>
      <c r="AH2067" s="113"/>
      <c r="AI2067" s="113"/>
      <c r="AJ2067" s="113"/>
      <c r="AK2067" s="319" t="s">
        <v>1113</v>
      </c>
      <c r="AL2067" s="113"/>
      <c r="AM2067" s="113"/>
      <c r="AN2067" s="113"/>
      <c r="AO2067" s="44" t="s">
        <v>2334</v>
      </c>
      <c r="AP2067" s="43"/>
      <c r="AQ2067" s="236" t="str">
        <f>VLOOKUP(Table8[[#This Row],[Instrument]],Def_Targets!$D$73:$E$159,2,FALSE)</f>
        <v>I_VehicleRestrictions</v>
      </c>
      <c r="AR2067" s="233" t="str">
        <f>VLOOKUP(Table8[[#This Row],[Country Code]],Table29[],3,FALSE)</f>
        <v>Non-Annex I</v>
      </c>
      <c r="AS2067" s="233" t="str">
        <f>VLOOKUP(Table8[[#This Row],[Country Code]],Table29[],4,FALSE)</f>
        <v>Latin America and the Caribbean</v>
      </c>
      <c r="AT2067" s="233" t="str">
        <f>VLOOKUP(Table8[[#This Row],[Country Code]],Table29[],5,FALSE)</f>
        <v>Middle-income</v>
      </c>
      <c r="AU2067" s="233" t="str">
        <f>VLOOKUP(Table8[[#This Row],[Country Code]],Table29[],6,FALSE)</f>
        <v>no</v>
      </c>
      <c r="AV2067" s="233" t="str">
        <f>VLOOKUP(Table8[[#This Row],[Country Code]],Table29[],7,FALSE)</f>
        <v>no</v>
      </c>
      <c r="AW2067" s="233" t="str">
        <f>VLOOKUP(Table8[[#This Row],[Country Code]],Table29[],8,FALSE)</f>
        <v>non-OECD</v>
      </c>
      <c r="AX2067" s="233" t="str">
        <f>VLOOKUP(Table8[[#This Row],[Country Code]],Table29[],9,FALSE)</f>
        <v>no</v>
      </c>
      <c r="AY2067" s="233" t="str">
        <f>VLOOKUP(Table8[[#This Row],[Country Code]],Table29[],10,FALSE)</f>
        <v>no</v>
      </c>
      <c r="AZ2067" s="235">
        <f>VLOOKUP(Table8[[#This Row],[Country Code]],Table29[],23,FALSE)</f>
        <v>3.7377177696646</v>
      </c>
      <c r="BA2067" s="235">
        <f>VLOOKUP(Table8[[#This Row],[Country Code]],Table29[],24,FALSE)</f>
        <v>0.84541140960197392</v>
      </c>
      <c r="BB2067" s="320"/>
      <c r="BC2067" s="320"/>
    </row>
    <row r="2068" spans="1:55" ht="30" hidden="1" x14ac:dyDescent="0.25">
      <c r="A2068" s="360">
        <v>17748</v>
      </c>
      <c r="B2068" s="233" t="str">
        <f>VLOOKUP(Table8[[#This Row],[Document ID]],Table1[],2,FALSE)</f>
        <v>SUR</v>
      </c>
      <c r="C2068" s="233" t="str">
        <f>VLOOKUP(Table8[[#This Row],[Document ID]],Table1[],3,FALSE)</f>
        <v>Suriname</v>
      </c>
      <c r="D2068" s="233" t="str">
        <f>VLOOKUP(Table8[[#This Row],[Document ID]],Table1[],5,FALSE)</f>
        <v>NDC</v>
      </c>
      <c r="E2068" s="233" t="str">
        <f>VLOOKUP(Table8[[#This Row],[Document ID]],Table1[],7,FALSE)</f>
        <v>Second NDC</v>
      </c>
      <c r="F2068" s="233" t="str">
        <f>VLOOKUP(Table8[[#This Row],[Document ID]],Table1[],8,FALSE)</f>
        <v>NDC 2.0</v>
      </c>
      <c r="G2068" s="233" t="str">
        <f>VLOOKUP(Table8[[#This Row],[Document ID]],Table1[],10,FALSE)</f>
        <v>Active</v>
      </c>
      <c r="H2068" s="43" t="s">
        <v>2350</v>
      </c>
      <c r="I2068" s="43" t="s">
        <v>2370</v>
      </c>
      <c r="J2068" s="44" t="s">
        <v>2371</v>
      </c>
      <c r="K2068" s="44" t="s">
        <v>4237</v>
      </c>
      <c r="L2068" s="44" t="s">
        <v>2373</v>
      </c>
      <c r="M2068" s="43">
        <v>19</v>
      </c>
      <c r="N2068" s="113" t="s">
        <v>1113</v>
      </c>
      <c r="O2068" s="113"/>
      <c r="P2068" s="113"/>
      <c r="Q2068" s="113"/>
      <c r="R2068" s="113"/>
      <c r="S2068" s="113"/>
      <c r="T2068" s="113"/>
      <c r="U2068" s="113"/>
      <c r="V2068" s="113"/>
      <c r="W2068" s="113"/>
      <c r="X2068" s="113"/>
      <c r="Y2068" s="113"/>
      <c r="Z2068" s="113"/>
      <c r="AA2068" s="113"/>
      <c r="AB2068" s="113"/>
      <c r="AC2068" s="113"/>
      <c r="AD2068" s="113"/>
      <c r="AE2068" s="113"/>
      <c r="AF2068" s="113"/>
      <c r="AG2068" s="113"/>
      <c r="AH2068" s="113"/>
      <c r="AI2068" s="113"/>
      <c r="AJ2068" s="113"/>
      <c r="AK2068" s="319" t="s">
        <v>1113</v>
      </c>
      <c r="AL2068" s="113"/>
      <c r="AM2068" s="113"/>
      <c r="AN2068" s="113"/>
      <c r="AO2068" s="44" t="s">
        <v>2334</v>
      </c>
      <c r="AP2068" s="43"/>
      <c r="AQ2068" s="236" t="str">
        <f>VLOOKUP(Table8[[#This Row],[Instrument]],Def_Targets!$D$73:$E$159,2,FALSE)</f>
        <v>A_Natmobplan</v>
      </c>
      <c r="AR2068" s="233" t="str">
        <f>VLOOKUP(Table8[[#This Row],[Country Code]],Table29[],3,FALSE)</f>
        <v>Non-Annex I</v>
      </c>
      <c r="AS2068" s="233" t="str">
        <f>VLOOKUP(Table8[[#This Row],[Country Code]],Table29[],4,FALSE)</f>
        <v>Latin America and the Caribbean</v>
      </c>
      <c r="AT2068" s="233" t="str">
        <f>VLOOKUP(Table8[[#This Row],[Country Code]],Table29[],5,FALSE)</f>
        <v>Middle-income</v>
      </c>
      <c r="AU2068" s="233" t="str">
        <f>VLOOKUP(Table8[[#This Row],[Country Code]],Table29[],6,FALSE)</f>
        <v>no</v>
      </c>
      <c r="AV2068" s="233" t="str">
        <f>VLOOKUP(Table8[[#This Row],[Country Code]],Table29[],7,FALSE)</f>
        <v>no</v>
      </c>
      <c r="AW2068" s="233" t="str">
        <f>VLOOKUP(Table8[[#This Row],[Country Code]],Table29[],8,FALSE)</f>
        <v>non-OECD</v>
      </c>
      <c r="AX2068" s="233" t="str">
        <f>VLOOKUP(Table8[[#This Row],[Country Code]],Table29[],9,FALSE)</f>
        <v>no</v>
      </c>
      <c r="AY2068" s="233" t="str">
        <f>VLOOKUP(Table8[[#This Row],[Country Code]],Table29[],10,FALSE)</f>
        <v>no</v>
      </c>
      <c r="AZ2068" s="235">
        <f>VLOOKUP(Table8[[#This Row],[Country Code]],Table29[],23,FALSE)</f>
        <v>3.7377177696646</v>
      </c>
      <c r="BA2068" s="235">
        <f>VLOOKUP(Table8[[#This Row],[Country Code]],Table29[],24,FALSE)</f>
        <v>0.84541140960197392</v>
      </c>
      <c r="BB2068" s="320"/>
      <c r="BC2068" s="320"/>
    </row>
    <row r="2069" spans="1:55" ht="30" hidden="1" x14ac:dyDescent="0.25">
      <c r="A2069" s="360">
        <v>17748</v>
      </c>
      <c r="B2069" s="233" t="str">
        <f>VLOOKUP(Table8[[#This Row],[Document ID]],Table1[],2,FALSE)</f>
        <v>SUR</v>
      </c>
      <c r="C2069" s="233" t="str">
        <f>VLOOKUP(Table8[[#This Row],[Document ID]],Table1[],3,FALSE)</f>
        <v>Suriname</v>
      </c>
      <c r="D2069" s="233" t="str">
        <f>VLOOKUP(Table8[[#This Row],[Document ID]],Table1[],5,FALSE)</f>
        <v>NDC</v>
      </c>
      <c r="E2069" s="233" t="str">
        <f>VLOOKUP(Table8[[#This Row],[Document ID]],Table1[],7,FALSE)</f>
        <v>Second NDC</v>
      </c>
      <c r="F2069" s="233" t="str">
        <f>VLOOKUP(Table8[[#This Row],[Document ID]],Table1[],8,FALSE)</f>
        <v>NDC 2.0</v>
      </c>
      <c r="G2069" s="233" t="str">
        <f>VLOOKUP(Table8[[#This Row],[Document ID]],Table1[],10,FALSE)</f>
        <v>Active</v>
      </c>
      <c r="H2069" s="43" t="s">
        <v>2350</v>
      </c>
      <c r="I2069" s="43" t="s">
        <v>2370</v>
      </c>
      <c r="J2069" s="44" t="s">
        <v>2511</v>
      </c>
      <c r="K2069" s="44" t="s">
        <v>4238</v>
      </c>
      <c r="L2069" s="44" t="s">
        <v>2333</v>
      </c>
      <c r="M2069" s="43">
        <v>19</v>
      </c>
      <c r="N2069" s="113"/>
      <c r="O2069" s="113"/>
      <c r="P2069" s="113"/>
      <c r="Q2069" s="113"/>
      <c r="R2069" s="113"/>
      <c r="S2069" s="113" t="s">
        <v>1113</v>
      </c>
      <c r="T2069" s="113"/>
      <c r="U2069" s="113"/>
      <c r="V2069" s="113"/>
      <c r="W2069" s="113"/>
      <c r="X2069" s="113"/>
      <c r="Y2069" s="113"/>
      <c r="Z2069" s="113"/>
      <c r="AA2069" s="113"/>
      <c r="AB2069" s="113"/>
      <c r="AC2069" s="113"/>
      <c r="AD2069" s="113"/>
      <c r="AE2069" s="113"/>
      <c r="AF2069" s="113"/>
      <c r="AG2069" s="113"/>
      <c r="AH2069" s="113"/>
      <c r="AI2069" s="113"/>
      <c r="AJ2069" s="113"/>
      <c r="AK2069" s="113"/>
      <c r="AL2069" s="113"/>
      <c r="AM2069" s="113"/>
      <c r="AN2069" s="113" t="s">
        <v>1113</v>
      </c>
      <c r="AO2069" s="44" t="s">
        <v>2334</v>
      </c>
      <c r="AP2069" s="43"/>
      <c r="AQ2069" s="236" t="str">
        <f>VLOOKUP(Table8[[#This Row],[Instrument]],Def_Targets!$D$73:$E$159,2,FALSE)</f>
        <v>A_LATM</v>
      </c>
      <c r="AR2069" s="233" t="str">
        <f>VLOOKUP(Table8[[#This Row],[Country Code]],Table29[],3,FALSE)</f>
        <v>Non-Annex I</v>
      </c>
      <c r="AS2069" s="233" t="str">
        <f>VLOOKUP(Table8[[#This Row],[Country Code]],Table29[],4,FALSE)</f>
        <v>Latin America and the Caribbean</v>
      </c>
      <c r="AT2069" s="233" t="str">
        <f>VLOOKUP(Table8[[#This Row],[Country Code]],Table29[],5,FALSE)</f>
        <v>Middle-income</v>
      </c>
      <c r="AU2069" s="233" t="str">
        <f>VLOOKUP(Table8[[#This Row],[Country Code]],Table29[],6,FALSE)</f>
        <v>no</v>
      </c>
      <c r="AV2069" s="233" t="str">
        <f>VLOOKUP(Table8[[#This Row],[Country Code]],Table29[],7,FALSE)</f>
        <v>no</v>
      </c>
      <c r="AW2069" s="233" t="str">
        <f>VLOOKUP(Table8[[#This Row],[Country Code]],Table29[],8,FALSE)</f>
        <v>non-OECD</v>
      </c>
      <c r="AX2069" s="233" t="str">
        <f>VLOOKUP(Table8[[#This Row],[Country Code]],Table29[],9,FALSE)</f>
        <v>no</v>
      </c>
      <c r="AY2069" s="233" t="str">
        <f>VLOOKUP(Table8[[#This Row],[Country Code]],Table29[],10,FALSE)</f>
        <v>no</v>
      </c>
      <c r="AZ2069" s="235">
        <f>VLOOKUP(Table8[[#This Row],[Country Code]],Table29[],23,FALSE)</f>
        <v>3.7377177696646</v>
      </c>
      <c r="BA2069" s="235">
        <f>VLOOKUP(Table8[[#This Row],[Country Code]],Table29[],24,FALSE)</f>
        <v>0.84541140960197392</v>
      </c>
      <c r="BB2069" s="320"/>
      <c r="BC2069" s="320"/>
    </row>
    <row r="2070" spans="1:55" ht="30" hidden="1" x14ac:dyDescent="0.25">
      <c r="A2070" s="360">
        <v>17748</v>
      </c>
      <c r="B2070" s="233" t="str">
        <f>VLOOKUP(Table8[[#This Row],[Document ID]],Table1[],2,FALSE)</f>
        <v>SUR</v>
      </c>
      <c r="C2070" s="233" t="str">
        <f>VLOOKUP(Table8[[#This Row],[Document ID]],Table1[],3,FALSE)</f>
        <v>Suriname</v>
      </c>
      <c r="D2070" s="233" t="str">
        <f>VLOOKUP(Table8[[#This Row],[Document ID]],Table1[],5,FALSE)</f>
        <v>NDC</v>
      </c>
      <c r="E2070" s="233" t="str">
        <f>VLOOKUP(Table8[[#This Row],[Document ID]],Table1[],7,FALSE)</f>
        <v>Second NDC</v>
      </c>
      <c r="F2070" s="233" t="str">
        <f>VLOOKUP(Table8[[#This Row],[Document ID]],Table1[],8,FALSE)</f>
        <v>NDC 2.0</v>
      </c>
      <c r="G2070" s="233" t="str">
        <f>VLOOKUP(Table8[[#This Row],[Document ID]],Table1[],10,FALSE)</f>
        <v>Active</v>
      </c>
      <c r="H2070" s="43" t="s">
        <v>2350</v>
      </c>
      <c r="I2070" s="43" t="s">
        <v>2456</v>
      </c>
      <c r="J2070" s="44" t="s">
        <v>2466</v>
      </c>
      <c r="K2070" s="44" t="s">
        <v>4238</v>
      </c>
      <c r="L2070" s="44" t="s">
        <v>2333</v>
      </c>
      <c r="M2070" s="43">
        <v>19</v>
      </c>
      <c r="N2070" s="113"/>
      <c r="O2070" s="113"/>
      <c r="P2070" s="113"/>
      <c r="Q2070" s="113"/>
      <c r="R2070" s="113"/>
      <c r="S2070" s="113" t="s">
        <v>1113</v>
      </c>
      <c r="T2070" s="113"/>
      <c r="U2070" s="113"/>
      <c r="V2070" s="113"/>
      <c r="W2070" s="113"/>
      <c r="X2070" s="113"/>
      <c r="Y2070" s="113"/>
      <c r="Z2070" s="113"/>
      <c r="AA2070" s="113"/>
      <c r="AB2070" s="113"/>
      <c r="AC2070" s="113"/>
      <c r="AD2070" s="113"/>
      <c r="AE2070" s="113"/>
      <c r="AF2070" s="113"/>
      <c r="AG2070" s="113"/>
      <c r="AH2070" s="113"/>
      <c r="AI2070" s="113"/>
      <c r="AJ2070" s="113"/>
      <c r="AK2070" s="113"/>
      <c r="AL2070" s="113"/>
      <c r="AM2070" s="113"/>
      <c r="AN2070" s="113" t="s">
        <v>1113</v>
      </c>
      <c r="AO2070" s="44" t="s">
        <v>2334</v>
      </c>
      <c r="AP2070" s="43"/>
      <c r="AQ2070" s="236" t="str">
        <f>VLOOKUP(Table8[[#This Row],[Instrument]],Def_Targets!$D$73:$E$159,2,FALSE)</f>
        <v>S_Infraexpansion</v>
      </c>
      <c r="AR2070" s="233" t="str">
        <f>VLOOKUP(Table8[[#This Row],[Country Code]],Table29[],3,FALSE)</f>
        <v>Non-Annex I</v>
      </c>
      <c r="AS2070" s="233" t="str">
        <f>VLOOKUP(Table8[[#This Row],[Country Code]],Table29[],4,FALSE)</f>
        <v>Latin America and the Caribbean</v>
      </c>
      <c r="AT2070" s="233" t="str">
        <f>VLOOKUP(Table8[[#This Row],[Country Code]],Table29[],5,FALSE)</f>
        <v>Middle-income</v>
      </c>
      <c r="AU2070" s="233" t="str">
        <f>VLOOKUP(Table8[[#This Row],[Country Code]],Table29[],6,FALSE)</f>
        <v>no</v>
      </c>
      <c r="AV2070" s="233" t="str">
        <f>VLOOKUP(Table8[[#This Row],[Country Code]],Table29[],7,FALSE)</f>
        <v>no</v>
      </c>
      <c r="AW2070" s="233" t="str">
        <f>VLOOKUP(Table8[[#This Row],[Country Code]],Table29[],8,FALSE)</f>
        <v>non-OECD</v>
      </c>
      <c r="AX2070" s="233" t="str">
        <f>VLOOKUP(Table8[[#This Row],[Country Code]],Table29[],9,FALSE)</f>
        <v>no</v>
      </c>
      <c r="AY2070" s="233" t="str">
        <f>VLOOKUP(Table8[[#This Row],[Country Code]],Table29[],10,FALSE)</f>
        <v>no</v>
      </c>
      <c r="AZ2070" s="235">
        <f>VLOOKUP(Table8[[#This Row],[Country Code]],Table29[],23,FALSE)</f>
        <v>3.7377177696646</v>
      </c>
      <c r="BA2070" s="235">
        <f>VLOOKUP(Table8[[#This Row],[Country Code]],Table29[],24,FALSE)</f>
        <v>0.84541140960197392</v>
      </c>
      <c r="BB2070" s="320"/>
      <c r="BC2070" s="320"/>
    </row>
    <row r="2071" spans="1:55" ht="30" hidden="1" x14ac:dyDescent="0.25">
      <c r="A2071" s="360">
        <v>17748</v>
      </c>
      <c r="B2071" s="233" t="str">
        <f>VLOOKUP(Table8[[#This Row],[Document ID]],Table1[],2,FALSE)</f>
        <v>SUR</v>
      </c>
      <c r="C2071" s="233" t="str">
        <f>VLOOKUP(Table8[[#This Row],[Document ID]],Table1[],3,FALSE)</f>
        <v>Suriname</v>
      </c>
      <c r="D2071" s="233" t="str">
        <f>VLOOKUP(Table8[[#This Row],[Document ID]],Table1[],5,FALSE)</f>
        <v>NDC</v>
      </c>
      <c r="E2071" s="233" t="str">
        <f>VLOOKUP(Table8[[#This Row],[Document ID]],Table1[],7,FALSE)</f>
        <v>Second NDC</v>
      </c>
      <c r="F2071" s="233" t="str">
        <f>VLOOKUP(Table8[[#This Row],[Document ID]],Table1[],8,FALSE)</f>
        <v>NDC 2.0</v>
      </c>
      <c r="G2071" s="233" t="str">
        <f>VLOOKUP(Table8[[#This Row],[Document ID]],Table1[],10,FALSE)</f>
        <v>Active</v>
      </c>
      <c r="H2071" s="43" t="s">
        <v>2343</v>
      </c>
      <c r="I2071" s="43" t="s">
        <v>2344</v>
      </c>
      <c r="J2071" s="44" t="s">
        <v>2405</v>
      </c>
      <c r="K2071" s="44" t="s">
        <v>4239</v>
      </c>
      <c r="L2071" s="44" t="s">
        <v>2347</v>
      </c>
      <c r="M2071" s="43">
        <v>19</v>
      </c>
      <c r="N2071" s="113"/>
      <c r="O2071" s="113"/>
      <c r="P2071" s="113"/>
      <c r="Q2071" s="113"/>
      <c r="R2071" s="113"/>
      <c r="S2071" s="113"/>
      <c r="T2071" s="113"/>
      <c r="U2071" s="113"/>
      <c r="V2071" s="113"/>
      <c r="W2071" s="113"/>
      <c r="X2071" s="113"/>
      <c r="Y2071" s="113" t="s">
        <v>1113</v>
      </c>
      <c r="Z2071" s="113"/>
      <c r="AA2071" s="113"/>
      <c r="AB2071" s="113"/>
      <c r="AC2071" s="113"/>
      <c r="AD2071" s="113"/>
      <c r="AE2071" s="113"/>
      <c r="AF2071" s="113"/>
      <c r="AG2071" s="113"/>
      <c r="AH2071" s="113"/>
      <c r="AI2071" s="113"/>
      <c r="AJ2071" s="113"/>
      <c r="AK2071" s="319" t="s">
        <v>1113</v>
      </c>
      <c r="AL2071" s="113"/>
      <c r="AM2071" s="113"/>
      <c r="AN2071" s="113"/>
      <c r="AO2071" s="43" t="s">
        <v>2348</v>
      </c>
      <c r="AP2071" s="43"/>
      <c r="AQ2071" s="236" t="str">
        <f>VLOOKUP(Table8[[#This Row],[Instrument]],Def_Targets!$D$73:$E$159,2,FALSE)</f>
        <v>S_PTIntegration</v>
      </c>
      <c r="AR2071" s="233" t="str">
        <f>VLOOKUP(Table8[[#This Row],[Country Code]],Table29[],3,FALSE)</f>
        <v>Non-Annex I</v>
      </c>
      <c r="AS2071" s="233" t="str">
        <f>VLOOKUP(Table8[[#This Row],[Country Code]],Table29[],4,FALSE)</f>
        <v>Latin America and the Caribbean</v>
      </c>
      <c r="AT2071" s="233" t="str">
        <f>VLOOKUP(Table8[[#This Row],[Country Code]],Table29[],5,FALSE)</f>
        <v>Middle-income</v>
      </c>
      <c r="AU2071" s="233" t="str">
        <f>VLOOKUP(Table8[[#This Row],[Country Code]],Table29[],6,FALSE)</f>
        <v>no</v>
      </c>
      <c r="AV2071" s="233" t="str">
        <f>VLOOKUP(Table8[[#This Row],[Country Code]],Table29[],7,FALSE)</f>
        <v>no</v>
      </c>
      <c r="AW2071" s="233" t="str">
        <f>VLOOKUP(Table8[[#This Row],[Country Code]],Table29[],8,FALSE)</f>
        <v>non-OECD</v>
      </c>
      <c r="AX2071" s="233" t="str">
        <f>VLOOKUP(Table8[[#This Row],[Country Code]],Table29[],9,FALSE)</f>
        <v>no</v>
      </c>
      <c r="AY2071" s="233" t="str">
        <f>VLOOKUP(Table8[[#This Row],[Country Code]],Table29[],10,FALSE)</f>
        <v>no</v>
      </c>
      <c r="AZ2071" s="235">
        <f>VLOOKUP(Table8[[#This Row],[Country Code]],Table29[],23,FALSE)</f>
        <v>3.7377177696646</v>
      </c>
      <c r="BA2071" s="235">
        <f>VLOOKUP(Table8[[#This Row],[Country Code]],Table29[],24,FALSE)</f>
        <v>0.84541140960197392</v>
      </c>
      <c r="BB2071" s="320"/>
      <c r="BC2071" s="320"/>
    </row>
    <row r="2072" spans="1:55" ht="30" hidden="1" x14ac:dyDescent="0.25">
      <c r="A2072" s="360">
        <v>17748</v>
      </c>
      <c r="B2072" s="233" t="str">
        <f>VLOOKUP(Table8[[#This Row],[Document ID]],Table1[],2,FALSE)</f>
        <v>SUR</v>
      </c>
      <c r="C2072" s="233" t="str">
        <f>VLOOKUP(Table8[[#This Row],[Document ID]],Table1[],3,FALSE)</f>
        <v>Suriname</v>
      </c>
      <c r="D2072" s="233" t="str">
        <f>VLOOKUP(Table8[[#This Row],[Document ID]],Table1[],5,FALSE)</f>
        <v>NDC</v>
      </c>
      <c r="E2072" s="233" t="str">
        <f>VLOOKUP(Table8[[#This Row],[Document ID]],Table1[],7,FALSE)</f>
        <v>Second NDC</v>
      </c>
      <c r="F2072" s="233" t="str">
        <f>VLOOKUP(Table8[[#This Row],[Document ID]],Table1[],8,FALSE)</f>
        <v>NDC 2.0</v>
      </c>
      <c r="G2072" s="233" t="str">
        <f>VLOOKUP(Table8[[#This Row],[Document ID]],Table1[],10,FALSE)</f>
        <v>Active</v>
      </c>
      <c r="H2072" s="43" t="s">
        <v>2343</v>
      </c>
      <c r="I2072" s="43" t="s">
        <v>2344</v>
      </c>
      <c r="J2072" s="44" t="s">
        <v>2405</v>
      </c>
      <c r="K2072" s="44" t="s">
        <v>4240</v>
      </c>
      <c r="L2072" s="44" t="s">
        <v>2347</v>
      </c>
      <c r="M2072" s="43">
        <v>29</v>
      </c>
      <c r="N2072" s="113"/>
      <c r="O2072" s="113"/>
      <c r="P2072" s="113"/>
      <c r="Q2072" s="319"/>
      <c r="R2072" s="319"/>
      <c r="S2072" s="319"/>
      <c r="T2072" s="319"/>
      <c r="U2072" s="319"/>
      <c r="V2072" s="319"/>
      <c r="W2072" s="319"/>
      <c r="X2072" s="319"/>
      <c r="Y2072" s="113" t="s">
        <v>1113</v>
      </c>
      <c r="Z2072" s="113"/>
      <c r="AA2072" s="319"/>
      <c r="AB2072" s="319"/>
      <c r="AC2072" s="319"/>
      <c r="AD2072" s="319"/>
      <c r="AE2072" s="319"/>
      <c r="AF2072" s="319"/>
      <c r="AG2072" s="319"/>
      <c r="AH2072" s="319"/>
      <c r="AI2072" s="319"/>
      <c r="AJ2072" s="319"/>
      <c r="AK2072" s="113"/>
      <c r="AL2072" s="113" t="s">
        <v>1113</v>
      </c>
      <c r="AM2072" s="113"/>
      <c r="AN2072" s="113"/>
      <c r="AO2072" s="43" t="s">
        <v>2348</v>
      </c>
      <c r="AP2072" s="43"/>
      <c r="AQ2072" s="236" t="str">
        <f>VLOOKUP(Table8[[#This Row],[Instrument]],Def_Targets!$D$73:$E$159,2,FALSE)</f>
        <v>S_PTIntegration</v>
      </c>
      <c r="AR2072" s="233" t="str">
        <f>VLOOKUP(Table8[[#This Row],[Country Code]],Table29[],3,FALSE)</f>
        <v>Non-Annex I</v>
      </c>
      <c r="AS2072" s="233" t="str">
        <f>VLOOKUP(Table8[[#This Row],[Country Code]],Table29[],4,FALSE)</f>
        <v>Latin America and the Caribbean</v>
      </c>
      <c r="AT2072" s="233" t="str">
        <f>VLOOKUP(Table8[[#This Row],[Country Code]],Table29[],5,FALSE)</f>
        <v>Middle-income</v>
      </c>
      <c r="AU2072" s="233" t="str">
        <f>VLOOKUP(Table8[[#This Row],[Country Code]],Table29[],6,FALSE)</f>
        <v>no</v>
      </c>
      <c r="AV2072" s="233" t="str">
        <f>VLOOKUP(Table8[[#This Row],[Country Code]],Table29[],7,FALSE)</f>
        <v>no</v>
      </c>
      <c r="AW2072" s="233" t="str">
        <f>VLOOKUP(Table8[[#This Row],[Country Code]],Table29[],8,FALSE)</f>
        <v>non-OECD</v>
      </c>
      <c r="AX2072" s="233" t="str">
        <f>VLOOKUP(Table8[[#This Row],[Country Code]],Table29[],9,FALSE)</f>
        <v>no</v>
      </c>
      <c r="AY2072" s="233" t="str">
        <f>VLOOKUP(Table8[[#This Row],[Country Code]],Table29[],10,FALSE)</f>
        <v>no</v>
      </c>
      <c r="AZ2072" s="235">
        <f>VLOOKUP(Table8[[#This Row],[Country Code]],Table29[],23,FALSE)</f>
        <v>3.7377177696646</v>
      </c>
      <c r="BA2072" s="235">
        <f>VLOOKUP(Table8[[#This Row],[Country Code]],Table29[],24,FALSE)</f>
        <v>0.84541140960197392</v>
      </c>
      <c r="BB2072" s="320"/>
      <c r="BC2072" s="320"/>
    </row>
    <row r="2073" spans="1:55" ht="30" hidden="1" x14ac:dyDescent="0.25">
      <c r="A2073" s="360">
        <v>17748</v>
      </c>
      <c r="B2073" s="233" t="str">
        <f>VLOOKUP(Table8[[#This Row],[Document ID]],Table1[],2,FALSE)</f>
        <v>SUR</v>
      </c>
      <c r="C2073" s="233" t="str">
        <f>VLOOKUP(Table8[[#This Row],[Document ID]],Table1[],3,FALSE)</f>
        <v>Suriname</v>
      </c>
      <c r="D2073" s="233" t="str">
        <f>VLOOKUP(Table8[[#This Row],[Document ID]],Table1[],5,FALSE)</f>
        <v>NDC</v>
      </c>
      <c r="E2073" s="233" t="str">
        <f>VLOOKUP(Table8[[#This Row],[Document ID]],Table1[],7,FALSE)</f>
        <v>Second NDC</v>
      </c>
      <c r="F2073" s="233" t="str">
        <f>VLOOKUP(Table8[[#This Row],[Document ID]],Table1[],8,FALSE)</f>
        <v>NDC 2.0</v>
      </c>
      <c r="G2073" s="233" t="str">
        <f>VLOOKUP(Table8[[#This Row],[Document ID]],Table1[],10,FALSE)</f>
        <v>Active</v>
      </c>
      <c r="H2073" s="43" t="s">
        <v>2343</v>
      </c>
      <c r="I2073" s="43" t="s">
        <v>2344</v>
      </c>
      <c r="J2073" s="44" t="s">
        <v>2564</v>
      </c>
      <c r="K2073" s="44" t="s">
        <v>4240</v>
      </c>
      <c r="L2073" s="44" t="s">
        <v>2347</v>
      </c>
      <c r="M2073" s="43">
        <v>29</v>
      </c>
      <c r="N2073" s="113"/>
      <c r="O2073" s="113"/>
      <c r="P2073" s="113"/>
      <c r="Q2073" s="319"/>
      <c r="R2073" s="319"/>
      <c r="S2073" s="319"/>
      <c r="T2073" s="319"/>
      <c r="U2073" s="319"/>
      <c r="V2073" s="319"/>
      <c r="W2073" s="319"/>
      <c r="X2073" s="319"/>
      <c r="Y2073" s="113" t="s">
        <v>1113</v>
      </c>
      <c r="Z2073" s="113"/>
      <c r="AA2073" s="319"/>
      <c r="AB2073" s="319"/>
      <c r="AC2073" s="319"/>
      <c r="AD2073" s="319"/>
      <c r="AE2073" s="319"/>
      <c r="AF2073" s="319"/>
      <c r="AG2073" s="319"/>
      <c r="AH2073" s="319"/>
      <c r="AI2073" s="319"/>
      <c r="AJ2073" s="319"/>
      <c r="AK2073" s="113"/>
      <c r="AL2073" s="113" t="s">
        <v>1113</v>
      </c>
      <c r="AM2073" s="113"/>
      <c r="AN2073" s="113"/>
      <c r="AO2073" s="43" t="s">
        <v>2348</v>
      </c>
      <c r="AP2073" s="43"/>
      <c r="AQ2073" s="236" t="str">
        <f>VLOOKUP(Table8[[#This Row],[Instrument]],Def_Targets!$D$73:$E$159,2,FALSE)</f>
        <v>S_PTPriority</v>
      </c>
      <c r="AR2073" s="233" t="str">
        <f>VLOOKUP(Table8[[#This Row],[Country Code]],Table29[],3,FALSE)</f>
        <v>Non-Annex I</v>
      </c>
      <c r="AS2073" s="233" t="str">
        <f>VLOOKUP(Table8[[#This Row],[Country Code]],Table29[],4,FALSE)</f>
        <v>Latin America and the Caribbean</v>
      </c>
      <c r="AT2073" s="233" t="str">
        <f>VLOOKUP(Table8[[#This Row],[Country Code]],Table29[],5,FALSE)</f>
        <v>Middle-income</v>
      </c>
      <c r="AU2073" s="233" t="str">
        <f>VLOOKUP(Table8[[#This Row],[Country Code]],Table29[],6,FALSE)</f>
        <v>no</v>
      </c>
      <c r="AV2073" s="233" t="str">
        <f>VLOOKUP(Table8[[#This Row],[Country Code]],Table29[],7,FALSE)</f>
        <v>no</v>
      </c>
      <c r="AW2073" s="233" t="str">
        <f>VLOOKUP(Table8[[#This Row],[Country Code]],Table29[],8,FALSE)</f>
        <v>non-OECD</v>
      </c>
      <c r="AX2073" s="233" t="str">
        <f>VLOOKUP(Table8[[#This Row],[Country Code]],Table29[],9,FALSE)</f>
        <v>no</v>
      </c>
      <c r="AY2073" s="233" t="str">
        <f>VLOOKUP(Table8[[#This Row],[Country Code]],Table29[],10,FALSE)</f>
        <v>no</v>
      </c>
      <c r="AZ2073" s="235">
        <f>VLOOKUP(Table8[[#This Row],[Country Code]],Table29[],23,FALSE)</f>
        <v>3.7377177696646</v>
      </c>
      <c r="BA2073" s="235">
        <f>VLOOKUP(Table8[[#This Row],[Country Code]],Table29[],24,FALSE)</f>
        <v>0.84541140960197392</v>
      </c>
      <c r="BB2073" s="320"/>
      <c r="BC2073" s="320"/>
    </row>
    <row r="2074" spans="1:55" ht="30" hidden="1" x14ac:dyDescent="0.25">
      <c r="A2074" s="360">
        <v>17748</v>
      </c>
      <c r="B2074" s="233" t="str">
        <f>VLOOKUP(Table8[[#This Row],[Document ID]],Table1[],2,FALSE)</f>
        <v>SUR</v>
      </c>
      <c r="C2074" s="233" t="str">
        <f>VLOOKUP(Table8[[#This Row],[Document ID]],Table1[],3,FALSE)</f>
        <v>Suriname</v>
      </c>
      <c r="D2074" s="233" t="str">
        <f>VLOOKUP(Table8[[#This Row],[Document ID]],Table1[],5,FALSE)</f>
        <v>NDC</v>
      </c>
      <c r="E2074" s="233" t="str">
        <f>VLOOKUP(Table8[[#This Row],[Document ID]],Table1[],7,FALSE)</f>
        <v>Second NDC</v>
      </c>
      <c r="F2074" s="233" t="str">
        <f>VLOOKUP(Table8[[#This Row],[Document ID]],Table1[],8,FALSE)</f>
        <v>NDC 2.0</v>
      </c>
      <c r="G2074" s="233" t="str">
        <f>VLOOKUP(Table8[[#This Row],[Document ID]],Table1[],10,FALSE)</f>
        <v>Active</v>
      </c>
      <c r="H2074" s="44" t="s">
        <v>2338</v>
      </c>
      <c r="I2074" s="44" t="s">
        <v>2339</v>
      </c>
      <c r="J2074" s="44" t="s">
        <v>2413</v>
      </c>
      <c r="K2074" s="44" t="s">
        <v>4241</v>
      </c>
      <c r="L2074" s="44" t="s">
        <v>2333</v>
      </c>
      <c r="M2074" s="43">
        <v>29</v>
      </c>
      <c r="N2074" s="113"/>
      <c r="O2074" s="113"/>
      <c r="P2074" s="113"/>
      <c r="Q2074" s="319"/>
      <c r="R2074" s="319"/>
      <c r="S2074" s="319" t="s">
        <v>1113</v>
      </c>
      <c r="T2074" s="319"/>
      <c r="U2074" s="319" t="s">
        <v>1113</v>
      </c>
      <c r="V2074" s="319"/>
      <c r="W2074" s="319"/>
      <c r="X2074" s="319" t="s">
        <v>1113</v>
      </c>
      <c r="Y2074" s="319" t="s">
        <v>1113</v>
      </c>
      <c r="Z2074" s="319"/>
      <c r="AA2074" s="319"/>
      <c r="AB2074" s="319"/>
      <c r="AC2074" s="319"/>
      <c r="AD2074" s="319"/>
      <c r="AE2074" s="319"/>
      <c r="AF2074" s="319"/>
      <c r="AG2074" s="319"/>
      <c r="AH2074" s="319"/>
      <c r="AI2074" s="319"/>
      <c r="AJ2074" s="319"/>
      <c r="AK2074" s="319" t="s">
        <v>1113</v>
      </c>
      <c r="AL2074" s="113"/>
      <c r="AM2074" s="113"/>
      <c r="AN2074" s="113"/>
      <c r="AO2074" s="43" t="s">
        <v>2477</v>
      </c>
      <c r="AP2074" s="43"/>
      <c r="AQ2074" s="236" t="str">
        <f>VLOOKUP(Table8[[#This Row],[Instrument]],Def_Targets!$D$73:$E$159,2,FALSE)</f>
        <v>I_Vehicleeff</v>
      </c>
      <c r="AR2074" s="233" t="str">
        <f>VLOOKUP(Table8[[#This Row],[Country Code]],Table29[],3,FALSE)</f>
        <v>Non-Annex I</v>
      </c>
      <c r="AS2074" s="233" t="str">
        <f>VLOOKUP(Table8[[#This Row],[Country Code]],Table29[],4,FALSE)</f>
        <v>Latin America and the Caribbean</v>
      </c>
      <c r="AT2074" s="233" t="str">
        <f>VLOOKUP(Table8[[#This Row],[Country Code]],Table29[],5,FALSE)</f>
        <v>Middle-income</v>
      </c>
      <c r="AU2074" s="233" t="str">
        <f>VLOOKUP(Table8[[#This Row],[Country Code]],Table29[],6,FALSE)</f>
        <v>no</v>
      </c>
      <c r="AV2074" s="233" t="str">
        <f>VLOOKUP(Table8[[#This Row],[Country Code]],Table29[],7,FALSE)</f>
        <v>no</v>
      </c>
      <c r="AW2074" s="233" t="str">
        <f>VLOOKUP(Table8[[#This Row],[Country Code]],Table29[],8,FALSE)</f>
        <v>non-OECD</v>
      </c>
      <c r="AX2074" s="233" t="str">
        <f>VLOOKUP(Table8[[#This Row],[Country Code]],Table29[],9,FALSE)</f>
        <v>no</v>
      </c>
      <c r="AY2074" s="233" t="str">
        <f>VLOOKUP(Table8[[#This Row],[Country Code]],Table29[],10,FALSE)</f>
        <v>no</v>
      </c>
      <c r="AZ2074" s="235">
        <f>VLOOKUP(Table8[[#This Row],[Country Code]],Table29[],23,FALSE)</f>
        <v>3.7377177696646</v>
      </c>
      <c r="BA2074" s="235">
        <f>VLOOKUP(Table8[[#This Row],[Country Code]],Table29[],24,FALSE)</f>
        <v>0.84541140960197392</v>
      </c>
      <c r="BB2074" s="320"/>
      <c r="BC2074" s="320"/>
    </row>
    <row r="2075" spans="1:55" ht="30" hidden="1" x14ac:dyDescent="0.25">
      <c r="A2075" s="360">
        <v>17748</v>
      </c>
      <c r="B2075" s="233" t="str">
        <f>VLOOKUP(Table8[[#This Row],[Document ID]],Table1[],2,FALSE)</f>
        <v>SUR</v>
      </c>
      <c r="C2075" s="233" t="str">
        <f>VLOOKUP(Table8[[#This Row],[Document ID]],Table1[],3,FALSE)</f>
        <v>Suriname</v>
      </c>
      <c r="D2075" s="233" t="str">
        <f>VLOOKUP(Table8[[#This Row],[Document ID]],Table1[],5,FALSE)</f>
        <v>NDC</v>
      </c>
      <c r="E2075" s="233" t="str">
        <f>VLOOKUP(Table8[[#This Row],[Document ID]],Table1[],7,FALSE)</f>
        <v>Second NDC</v>
      </c>
      <c r="F2075" s="233" t="str">
        <f>VLOOKUP(Table8[[#This Row],[Document ID]],Table1[],8,FALSE)</f>
        <v>NDC 2.0</v>
      </c>
      <c r="G2075" s="233" t="str">
        <f>VLOOKUP(Table8[[#This Row],[Document ID]],Table1[],10,FALSE)</f>
        <v>Active</v>
      </c>
      <c r="H2075" s="44" t="s">
        <v>2338</v>
      </c>
      <c r="I2075" s="44" t="s">
        <v>2339</v>
      </c>
      <c r="J2075" s="44" t="s">
        <v>2410</v>
      </c>
      <c r="K2075" s="44" t="s">
        <v>4242</v>
      </c>
      <c r="L2075" s="44" t="s">
        <v>2333</v>
      </c>
      <c r="M2075" s="43">
        <v>29</v>
      </c>
      <c r="N2075" s="113" t="s">
        <v>1113</v>
      </c>
      <c r="O2075" s="113"/>
      <c r="P2075" s="113"/>
      <c r="Q2075" s="113"/>
      <c r="R2075" s="113"/>
      <c r="S2075" s="113"/>
      <c r="T2075" s="113"/>
      <c r="U2075" s="113"/>
      <c r="V2075" s="113"/>
      <c r="W2075" s="113"/>
      <c r="X2075" s="113"/>
      <c r="Y2075" s="113"/>
      <c r="Z2075" s="113"/>
      <c r="AA2075" s="113"/>
      <c r="AB2075" s="113"/>
      <c r="AC2075" s="113"/>
      <c r="AD2075" s="113"/>
      <c r="AE2075" s="113"/>
      <c r="AF2075" s="113"/>
      <c r="AG2075" s="113"/>
      <c r="AH2075" s="113"/>
      <c r="AI2075" s="113"/>
      <c r="AJ2075" s="113"/>
      <c r="AK2075" s="319" t="s">
        <v>1113</v>
      </c>
      <c r="AL2075" s="113"/>
      <c r="AM2075" s="113"/>
      <c r="AN2075" s="113"/>
      <c r="AO2075" s="44" t="s">
        <v>2334</v>
      </c>
      <c r="AP2075" s="43"/>
      <c r="AQ2075" s="236" t="str">
        <f>VLOOKUP(Table8[[#This Row],[Instrument]],Def_Targets!$D$73:$E$159,2,FALSE)</f>
        <v>I_VehicleRestrictions</v>
      </c>
      <c r="AR2075" s="233" t="str">
        <f>VLOOKUP(Table8[[#This Row],[Country Code]],Table29[],3,FALSE)</f>
        <v>Non-Annex I</v>
      </c>
      <c r="AS2075" s="233" t="str">
        <f>VLOOKUP(Table8[[#This Row],[Country Code]],Table29[],4,FALSE)</f>
        <v>Latin America and the Caribbean</v>
      </c>
      <c r="AT2075" s="233" t="str">
        <f>VLOOKUP(Table8[[#This Row],[Country Code]],Table29[],5,FALSE)</f>
        <v>Middle-income</v>
      </c>
      <c r="AU2075" s="233" t="str">
        <f>VLOOKUP(Table8[[#This Row],[Country Code]],Table29[],6,FALSE)</f>
        <v>no</v>
      </c>
      <c r="AV2075" s="233" t="str">
        <f>VLOOKUP(Table8[[#This Row],[Country Code]],Table29[],7,FALSE)</f>
        <v>no</v>
      </c>
      <c r="AW2075" s="233" t="str">
        <f>VLOOKUP(Table8[[#This Row],[Country Code]],Table29[],8,FALSE)</f>
        <v>non-OECD</v>
      </c>
      <c r="AX2075" s="233" t="str">
        <f>VLOOKUP(Table8[[#This Row],[Country Code]],Table29[],9,FALSE)</f>
        <v>no</v>
      </c>
      <c r="AY2075" s="233" t="str">
        <f>VLOOKUP(Table8[[#This Row],[Country Code]],Table29[],10,FALSE)</f>
        <v>no</v>
      </c>
      <c r="AZ2075" s="235">
        <f>VLOOKUP(Table8[[#This Row],[Country Code]],Table29[],23,FALSE)</f>
        <v>3.7377177696646</v>
      </c>
      <c r="BA2075" s="235">
        <f>VLOOKUP(Table8[[#This Row],[Country Code]],Table29[],24,FALSE)</f>
        <v>0.84541140960197392</v>
      </c>
      <c r="BB2075" s="320"/>
      <c r="BC2075" s="320"/>
    </row>
    <row r="2076" spans="1:55" ht="30" hidden="1" x14ac:dyDescent="0.25">
      <c r="A2076" s="360">
        <v>17748</v>
      </c>
      <c r="B2076" s="233" t="str">
        <f>VLOOKUP(Table8[[#This Row],[Document ID]],Table1[],2,FALSE)</f>
        <v>SUR</v>
      </c>
      <c r="C2076" s="233" t="str">
        <f>VLOOKUP(Table8[[#This Row],[Document ID]],Table1[],3,FALSE)</f>
        <v>Suriname</v>
      </c>
      <c r="D2076" s="233" t="str">
        <f>VLOOKUP(Table8[[#This Row],[Document ID]],Table1[],5,FALSE)</f>
        <v>NDC</v>
      </c>
      <c r="E2076" s="233" t="str">
        <f>VLOOKUP(Table8[[#This Row],[Document ID]],Table1[],7,FALSE)</f>
        <v>Second NDC</v>
      </c>
      <c r="F2076" s="233" t="str">
        <f>VLOOKUP(Table8[[#This Row],[Document ID]],Table1[],8,FALSE)</f>
        <v>NDC 2.0</v>
      </c>
      <c r="G2076" s="233" t="str">
        <f>VLOOKUP(Table8[[#This Row],[Document ID]],Table1[],10,FALSE)</f>
        <v>Active</v>
      </c>
      <c r="H2076" s="43" t="s">
        <v>2350</v>
      </c>
      <c r="I2076" s="43" t="s">
        <v>2370</v>
      </c>
      <c r="J2076" s="44" t="s">
        <v>2511</v>
      </c>
      <c r="K2076" s="44" t="s">
        <v>4243</v>
      </c>
      <c r="L2076" s="44" t="s">
        <v>2572</v>
      </c>
      <c r="M2076" s="43">
        <v>30</v>
      </c>
      <c r="N2076" s="113" t="s">
        <v>1113</v>
      </c>
      <c r="O2076" s="113"/>
      <c r="P2076" s="113"/>
      <c r="Q2076" s="113"/>
      <c r="R2076" s="113"/>
      <c r="S2076" s="113"/>
      <c r="T2076" s="113"/>
      <c r="U2076" s="113"/>
      <c r="V2076" s="113"/>
      <c r="W2076" s="113"/>
      <c r="X2076" s="113"/>
      <c r="Y2076" s="113"/>
      <c r="Z2076" s="113"/>
      <c r="AA2076" s="113"/>
      <c r="AB2076" s="113"/>
      <c r="AC2076" s="113"/>
      <c r="AD2076" s="113"/>
      <c r="AE2076" s="113"/>
      <c r="AF2076" s="113"/>
      <c r="AG2076" s="113"/>
      <c r="AH2076" s="113"/>
      <c r="AI2076" s="113"/>
      <c r="AJ2076" s="113"/>
      <c r="AK2076" s="113"/>
      <c r="AL2076" s="113" t="s">
        <v>1113</v>
      </c>
      <c r="AM2076" s="113"/>
      <c r="AN2076" s="113"/>
      <c r="AO2076" s="44" t="s">
        <v>2334</v>
      </c>
      <c r="AP2076" s="43"/>
      <c r="AQ2076" s="236" t="str">
        <f>VLOOKUP(Table8[[#This Row],[Instrument]],Def_Targets!$D$73:$E$159,2,FALSE)</f>
        <v>A_LATM</v>
      </c>
      <c r="AR2076" s="233" t="str">
        <f>VLOOKUP(Table8[[#This Row],[Country Code]],Table29[],3,FALSE)</f>
        <v>Non-Annex I</v>
      </c>
      <c r="AS2076" s="233" t="str">
        <f>VLOOKUP(Table8[[#This Row],[Country Code]],Table29[],4,FALSE)</f>
        <v>Latin America and the Caribbean</v>
      </c>
      <c r="AT2076" s="233" t="str">
        <f>VLOOKUP(Table8[[#This Row],[Country Code]],Table29[],5,FALSE)</f>
        <v>Middle-income</v>
      </c>
      <c r="AU2076" s="233" t="str">
        <f>VLOOKUP(Table8[[#This Row],[Country Code]],Table29[],6,FALSE)</f>
        <v>no</v>
      </c>
      <c r="AV2076" s="233" t="str">
        <f>VLOOKUP(Table8[[#This Row],[Country Code]],Table29[],7,FALSE)</f>
        <v>no</v>
      </c>
      <c r="AW2076" s="233" t="str">
        <f>VLOOKUP(Table8[[#This Row],[Country Code]],Table29[],8,FALSE)</f>
        <v>non-OECD</v>
      </c>
      <c r="AX2076" s="233" t="str">
        <f>VLOOKUP(Table8[[#This Row],[Country Code]],Table29[],9,FALSE)</f>
        <v>no</v>
      </c>
      <c r="AY2076" s="233" t="str">
        <f>VLOOKUP(Table8[[#This Row],[Country Code]],Table29[],10,FALSE)</f>
        <v>no</v>
      </c>
      <c r="AZ2076" s="235">
        <f>VLOOKUP(Table8[[#This Row],[Country Code]],Table29[],23,FALSE)</f>
        <v>3.7377177696646</v>
      </c>
      <c r="BA2076" s="235">
        <f>VLOOKUP(Table8[[#This Row],[Country Code]],Table29[],24,FALSE)</f>
        <v>0.84541140960197392</v>
      </c>
      <c r="BB2076" s="320"/>
      <c r="BC2076" s="320"/>
    </row>
    <row r="2077" spans="1:55" ht="30" hidden="1" x14ac:dyDescent="0.25">
      <c r="A2077" s="360">
        <v>17748</v>
      </c>
      <c r="B2077" s="233" t="str">
        <f>VLOOKUP(Table8[[#This Row],[Document ID]],Table1[],2,FALSE)</f>
        <v>SUR</v>
      </c>
      <c r="C2077" s="233" t="str">
        <f>VLOOKUP(Table8[[#This Row],[Document ID]],Table1[],3,FALSE)</f>
        <v>Suriname</v>
      </c>
      <c r="D2077" s="233" t="str">
        <f>VLOOKUP(Table8[[#This Row],[Document ID]],Table1[],5,FALSE)</f>
        <v>NDC</v>
      </c>
      <c r="E2077" s="233" t="str">
        <f>VLOOKUP(Table8[[#This Row],[Document ID]],Table1[],7,FALSE)</f>
        <v>Second NDC</v>
      </c>
      <c r="F2077" s="233" t="str">
        <f>VLOOKUP(Table8[[#This Row],[Document ID]],Table1[],8,FALSE)</f>
        <v>NDC 2.0</v>
      </c>
      <c r="G2077" s="233" t="str">
        <f>VLOOKUP(Table8[[#This Row],[Document ID]],Table1[],10,FALSE)</f>
        <v>Active</v>
      </c>
      <c r="H2077" s="43" t="s">
        <v>2343</v>
      </c>
      <c r="I2077" s="43" t="s">
        <v>2361</v>
      </c>
      <c r="J2077" s="44" t="s">
        <v>2463</v>
      </c>
      <c r="K2077" s="44" t="s">
        <v>4244</v>
      </c>
      <c r="L2077" s="44" t="s">
        <v>2347</v>
      </c>
      <c r="M2077" s="43">
        <v>30</v>
      </c>
      <c r="N2077" s="113"/>
      <c r="O2077" s="113"/>
      <c r="P2077" s="113"/>
      <c r="Q2077" s="113" t="s">
        <v>1113</v>
      </c>
      <c r="R2077" s="319"/>
      <c r="S2077" s="319"/>
      <c r="T2077" s="319"/>
      <c r="U2077" s="319"/>
      <c r="V2077" s="319"/>
      <c r="W2077" s="319"/>
      <c r="X2077" s="319"/>
      <c r="Y2077" s="319"/>
      <c r="Z2077" s="319"/>
      <c r="AA2077" s="319"/>
      <c r="AB2077" s="319"/>
      <c r="AC2077" s="319"/>
      <c r="AD2077" s="319"/>
      <c r="AE2077" s="319"/>
      <c r="AF2077" s="319"/>
      <c r="AG2077" s="319"/>
      <c r="AH2077" s="319"/>
      <c r="AI2077" s="319"/>
      <c r="AJ2077" s="319"/>
      <c r="AK2077" s="319" t="s">
        <v>1113</v>
      </c>
      <c r="AL2077" s="113"/>
      <c r="AM2077" s="113"/>
      <c r="AN2077" s="113"/>
      <c r="AO2077" s="44" t="s">
        <v>2334</v>
      </c>
      <c r="AP2077" s="43"/>
      <c r="AQ2077" s="236" t="str">
        <f>VLOOKUP(Table8[[#This Row],[Instrument]],Def_Targets!$D$73:$E$159,2,FALSE)</f>
        <v>S_Walking</v>
      </c>
      <c r="AR2077" s="233" t="str">
        <f>VLOOKUP(Table8[[#This Row],[Country Code]],Table29[],3,FALSE)</f>
        <v>Non-Annex I</v>
      </c>
      <c r="AS2077" s="233" t="str">
        <f>VLOOKUP(Table8[[#This Row],[Country Code]],Table29[],4,FALSE)</f>
        <v>Latin America and the Caribbean</v>
      </c>
      <c r="AT2077" s="233" t="str">
        <f>VLOOKUP(Table8[[#This Row],[Country Code]],Table29[],5,FALSE)</f>
        <v>Middle-income</v>
      </c>
      <c r="AU2077" s="233" t="str">
        <f>VLOOKUP(Table8[[#This Row],[Country Code]],Table29[],6,FALSE)</f>
        <v>no</v>
      </c>
      <c r="AV2077" s="233" t="str">
        <f>VLOOKUP(Table8[[#This Row],[Country Code]],Table29[],7,FALSE)</f>
        <v>no</v>
      </c>
      <c r="AW2077" s="233" t="str">
        <f>VLOOKUP(Table8[[#This Row],[Country Code]],Table29[],8,FALSE)</f>
        <v>non-OECD</v>
      </c>
      <c r="AX2077" s="233" t="str">
        <f>VLOOKUP(Table8[[#This Row],[Country Code]],Table29[],9,FALSE)</f>
        <v>no</v>
      </c>
      <c r="AY2077" s="233" t="str">
        <f>VLOOKUP(Table8[[#This Row],[Country Code]],Table29[],10,FALSE)</f>
        <v>no</v>
      </c>
      <c r="AZ2077" s="235">
        <f>VLOOKUP(Table8[[#This Row],[Country Code]],Table29[],23,FALSE)</f>
        <v>3.7377177696646</v>
      </c>
      <c r="BA2077" s="235">
        <f>VLOOKUP(Table8[[#This Row],[Country Code]],Table29[],24,FALSE)</f>
        <v>0.84541140960197392</v>
      </c>
      <c r="BB2077" s="320"/>
      <c r="BC2077" s="320"/>
    </row>
    <row r="2078" spans="1:55" ht="30" hidden="1" x14ac:dyDescent="0.25">
      <c r="A2078" s="360">
        <v>17748</v>
      </c>
      <c r="B2078" s="233" t="str">
        <f>VLOOKUP(Table8[[#This Row],[Document ID]],Table1[],2,FALSE)</f>
        <v>SUR</v>
      </c>
      <c r="C2078" s="233" t="str">
        <f>VLOOKUP(Table8[[#This Row],[Document ID]],Table1[],3,FALSE)</f>
        <v>Suriname</v>
      </c>
      <c r="D2078" s="233" t="str">
        <f>VLOOKUP(Table8[[#This Row],[Document ID]],Table1[],5,FALSE)</f>
        <v>NDC</v>
      </c>
      <c r="E2078" s="233" t="str">
        <f>VLOOKUP(Table8[[#This Row],[Document ID]],Table1[],7,FALSE)</f>
        <v>Second NDC</v>
      </c>
      <c r="F2078" s="233" t="str">
        <f>VLOOKUP(Table8[[#This Row],[Document ID]],Table1[],8,FALSE)</f>
        <v>NDC 2.0</v>
      </c>
      <c r="G2078" s="233" t="str">
        <f>VLOOKUP(Table8[[#This Row],[Document ID]],Table1[],10,FALSE)</f>
        <v>Active</v>
      </c>
      <c r="H2078" s="43" t="s">
        <v>2350</v>
      </c>
      <c r="I2078" s="43" t="s">
        <v>2456</v>
      </c>
      <c r="J2078" s="44" t="s">
        <v>2457</v>
      </c>
      <c r="K2078" s="44" t="s">
        <v>4245</v>
      </c>
      <c r="L2078" s="44" t="s">
        <v>2333</v>
      </c>
      <c r="M2078" s="43">
        <v>30</v>
      </c>
      <c r="N2078" s="113"/>
      <c r="O2078" s="113"/>
      <c r="P2078" s="113"/>
      <c r="Q2078" s="319"/>
      <c r="R2078" s="319"/>
      <c r="S2078" s="113" t="s">
        <v>1113</v>
      </c>
      <c r="T2078" s="319"/>
      <c r="U2078" s="319"/>
      <c r="V2078" s="319"/>
      <c r="W2078" s="319"/>
      <c r="X2078" s="319"/>
      <c r="Y2078" s="319"/>
      <c r="Z2078" s="319"/>
      <c r="AA2078" s="319"/>
      <c r="AB2078" s="319"/>
      <c r="AC2078" s="319"/>
      <c r="AD2078" s="319"/>
      <c r="AE2078" s="319"/>
      <c r="AF2078" s="319"/>
      <c r="AG2078" s="319"/>
      <c r="AH2078" s="319"/>
      <c r="AI2078" s="319"/>
      <c r="AJ2078" s="319"/>
      <c r="AK2078" s="319" t="s">
        <v>1113</v>
      </c>
      <c r="AL2078" s="113"/>
      <c r="AM2078" s="113"/>
      <c r="AN2078" s="113"/>
      <c r="AO2078" s="44" t="s">
        <v>2334</v>
      </c>
      <c r="AP2078" s="43"/>
      <c r="AQ2078" s="236" t="str">
        <f>VLOOKUP(Table8[[#This Row],[Instrument]],Def_Targets!$D$73:$E$159,2,FALSE)</f>
        <v>S_Infraimprove</v>
      </c>
      <c r="AR2078" s="233" t="str">
        <f>VLOOKUP(Table8[[#This Row],[Country Code]],Table29[],3,FALSE)</f>
        <v>Non-Annex I</v>
      </c>
      <c r="AS2078" s="233" t="str">
        <f>VLOOKUP(Table8[[#This Row],[Country Code]],Table29[],4,FALSE)</f>
        <v>Latin America and the Caribbean</v>
      </c>
      <c r="AT2078" s="233" t="str">
        <f>VLOOKUP(Table8[[#This Row],[Country Code]],Table29[],5,FALSE)</f>
        <v>Middle-income</v>
      </c>
      <c r="AU2078" s="233" t="str">
        <f>VLOOKUP(Table8[[#This Row],[Country Code]],Table29[],6,FALSE)</f>
        <v>no</v>
      </c>
      <c r="AV2078" s="233" t="str">
        <f>VLOOKUP(Table8[[#This Row],[Country Code]],Table29[],7,FALSE)</f>
        <v>no</v>
      </c>
      <c r="AW2078" s="233" t="str">
        <f>VLOOKUP(Table8[[#This Row],[Country Code]],Table29[],8,FALSE)</f>
        <v>non-OECD</v>
      </c>
      <c r="AX2078" s="233" t="str">
        <f>VLOOKUP(Table8[[#This Row],[Country Code]],Table29[],9,FALSE)</f>
        <v>no</v>
      </c>
      <c r="AY2078" s="233" t="str">
        <f>VLOOKUP(Table8[[#This Row],[Country Code]],Table29[],10,FALSE)</f>
        <v>no</v>
      </c>
      <c r="AZ2078" s="235">
        <f>VLOOKUP(Table8[[#This Row],[Country Code]],Table29[],23,FALSE)</f>
        <v>3.7377177696646</v>
      </c>
      <c r="BA2078" s="235">
        <f>VLOOKUP(Table8[[#This Row],[Country Code]],Table29[],24,FALSE)</f>
        <v>0.84541140960197392</v>
      </c>
      <c r="BB2078" s="320"/>
      <c r="BC2078" s="320"/>
    </row>
    <row r="2079" spans="1:55" ht="30" hidden="1" x14ac:dyDescent="0.25">
      <c r="A2079" s="360">
        <v>17748</v>
      </c>
      <c r="B2079" s="233" t="str">
        <f>VLOOKUP(Table8[[#This Row],[Document ID]],Table1[],2,FALSE)</f>
        <v>SUR</v>
      </c>
      <c r="C2079" s="233" t="str">
        <f>VLOOKUP(Table8[[#This Row],[Document ID]],Table1[],3,FALSE)</f>
        <v>Suriname</v>
      </c>
      <c r="D2079" s="233" t="str">
        <f>VLOOKUP(Table8[[#This Row],[Document ID]],Table1[],5,FALSE)</f>
        <v>NDC</v>
      </c>
      <c r="E2079" s="233" t="str">
        <f>VLOOKUP(Table8[[#This Row],[Document ID]],Table1[],7,FALSE)</f>
        <v>Second NDC</v>
      </c>
      <c r="F2079" s="233" t="str">
        <f>VLOOKUP(Table8[[#This Row],[Document ID]],Table1[],8,FALSE)</f>
        <v>NDC 2.0</v>
      </c>
      <c r="G2079" s="233" t="str">
        <f>VLOOKUP(Table8[[#This Row],[Document ID]],Table1[],10,FALSE)</f>
        <v>Active</v>
      </c>
      <c r="H2079" s="43" t="s">
        <v>2350</v>
      </c>
      <c r="I2079" s="43" t="s">
        <v>2370</v>
      </c>
      <c r="J2079" s="44" t="s">
        <v>2418</v>
      </c>
      <c r="K2079" s="44" t="s">
        <v>4246</v>
      </c>
      <c r="L2079" s="44" t="s">
        <v>2572</v>
      </c>
      <c r="M2079" s="43">
        <v>18</v>
      </c>
      <c r="N2079" s="113" t="s">
        <v>1113</v>
      </c>
      <c r="O2079" s="113"/>
      <c r="P2079" s="113"/>
      <c r="Q2079" s="113"/>
      <c r="R2079" s="113"/>
      <c r="S2079" s="113"/>
      <c r="T2079" s="113"/>
      <c r="U2079" s="113"/>
      <c r="V2079" s="113"/>
      <c r="W2079" s="113"/>
      <c r="X2079" s="113"/>
      <c r="Y2079" s="113"/>
      <c r="Z2079" s="113"/>
      <c r="AA2079" s="113"/>
      <c r="AB2079" s="113"/>
      <c r="AC2079" s="113"/>
      <c r="AD2079" s="113"/>
      <c r="AE2079" s="113"/>
      <c r="AF2079" s="113"/>
      <c r="AG2079" s="113"/>
      <c r="AH2079" s="113"/>
      <c r="AI2079" s="113"/>
      <c r="AJ2079" s="113"/>
      <c r="AK2079" s="113"/>
      <c r="AL2079" s="113" t="s">
        <v>1113</v>
      </c>
      <c r="AM2079" s="113"/>
      <c r="AN2079" s="113"/>
      <c r="AO2079" s="44" t="s">
        <v>2334</v>
      </c>
      <c r="AP2079" s="43"/>
      <c r="AQ2079" s="236" t="str">
        <f>VLOOKUP(Table8[[#This Row],[Instrument]],Def_Targets!$D$73:$E$159,2,FALSE)</f>
        <v>A_Complan</v>
      </c>
      <c r="AR2079" s="233" t="str">
        <f>VLOOKUP(Table8[[#This Row],[Country Code]],Table29[],3,FALSE)</f>
        <v>Non-Annex I</v>
      </c>
      <c r="AS2079" s="233" t="str">
        <f>VLOOKUP(Table8[[#This Row],[Country Code]],Table29[],4,FALSE)</f>
        <v>Latin America and the Caribbean</v>
      </c>
      <c r="AT2079" s="233" t="str">
        <f>VLOOKUP(Table8[[#This Row],[Country Code]],Table29[],5,FALSE)</f>
        <v>Middle-income</v>
      </c>
      <c r="AU2079" s="233" t="str">
        <f>VLOOKUP(Table8[[#This Row],[Country Code]],Table29[],6,FALSE)</f>
        <v>no</v>
      </c>
      <c r="AV2079" s="233" t="str">
        <f>VLOOKUP(Table8[[#This Row],[Country Code]],Table29[],7,FALSE)</f>
        <v>no</v>
      </c>
      <c r="AW2079" s="233" t="str">
        <f>VLOOKUP(Table8[[#This Row],[Country Code]],Table29[],8,FALSE)</f>
        <v>non-OECD</v>
      </c>
      <c r="AX2079" s="233" t="str">
        <f>VLOOKUP(Table8[[#This Row],[Country Code]],Table29[],9,FALSE)</f>
        <v>no</v>
      </c>
      <c r="AY2079" s="233" t="str">
        <f>VLOOKUP(Table8[[#This Row],[Country Code]],Table29[],10,FALSE)</f>
        <v>no</v>
      </c>
      <c r="AZ2079" s="235">
        <f>VLOOKUP(Table8[[#This Row],[Country Code]],Table29[],23,FALSE)</f>
        <v>3.7377177696646</v>
      </c>
      <c r="BA2079" s="235">
        <f>VLOOKUP(Table8[[#This Row],[Country Code]],Table29[],24,FALSE)</f>
        <v>0.84541140960197392</v>
      </c>
      <c r="BB2079" s="320"/>
      <c r="BC2079" s="320"/>
    </row>
    <row r="2080" spans="1:55" hidden="1" x14ac:dyDescent="0.25">
      <c r="A2080" s="360">
        <v>17748</v>
      </c>
      <c r="B2080" s="233" t="str">
        <f>VLOOKUP(Table8[[#This Row],[Document ID]],Table1[],2,FALSE)</f>
        <v>SUR</v>
      </c>
      <c r="C2080" s="233" t="str">
        <f>VLOOKUP(Table8[[#This Row],[Document ID]],Table1[],3,FALSE)</f>
        <v>Suriname</v>
      </c>
      <c r="D2080" s="233" t="str">
        <f>VLOOKUP(Table8[[#This Row],[Document ID]],Table1[],5,FALSE)</f>
        <v>NDC</v>
      </c>
      <c r="E2080" s="233" t="str">
        <f>VLOOKUP(Table8[[#This Row],[Document ID]],Table1[],7,FALSE)</f>
        <v>Second NDC</v>
      </c>
      <c r="F2080" s="233" t="str">
        <f>VLOOKUP(Table8[[#This Row],[Document ID]],Table1[],8,FALSE)</f>
        <v>NDC 2.0</v>
      </c>
      <c r="G2080" s="233" t="str">
        <f>VLOOKUP(Table8[[#This Row],[Document ID]],Table1[],10,FALSE)</f>
        <v>Active</v>
      </c>
      <c r="H2080" s="44" t="s">
        <v>2338</v>
      </c>
      <c r="I2080" s="44" t="s">
        <v>2339</v>
      </c>
      <c r="J2080" s="44" t="s">
        <v>2425</v>
      </c>
      <c r="K2080" s="44" t="s">
        <v>4247</v>
      </c>
      <c r="L2080" s="44" t="s">
        <v>2333</v>
      </c>
      <c r="M2080" s="43">
        <v>18</v>
      </c>
      <c r="N2080" s="113" t="s">
        <v>1113</v>
      </c>
      <c r="O2080" s="113"/>
      <c r="P2080" s="113"/>
      <c r="Q2080" s="113"/>
      <c r="R2080" s="113"/>
      <c r="S2080" s="113"/>
      <c r="T2080" s="113"/>
      <c r="U2080" s="113"/>
      <c r="V2080" s="113"/>
      <c r="W2080" s="113"/>
      <c r="X2080" s="113"/>
      <c r="Y2080" s="113"/>
      <c r="Z2080" s="113"/>
      <c r="AA2080" s="113"/>
      <c r="AB2080" s="113"/>
      <c r="AC2080" s="113"/>
      <c r="AD2080" s="113"/>
      <c r="AE2080" s="113"/>
      <c r="AF2080" s="113"/>
      <c r="AG2080" s="113"/>
      <c r="AH2080" s="113"/>
      <c r="AI2080" s="113"/>
      <c r="AJ2080" s="113"/>
      <c r="AK2080" s="319" t="s">
        <v>1113</v>
      </c>
      <c r="AL2080" s="113"/>
      <c r="AM2080" s="113"/>
      <c r="AN2080" s="113"/>
      <c r="AO2080" s="44" t="s">
        <v>2334</v>
      </c>
      <c r="AP2080" s="43"/>
      <c r="AQ2080" s="236" t="str">
        <f>VLOOKUP(Table8[[#This Row],[Instrument]],Def_Targets!$D$73:$E$159,2,FALSE)</f>
        <v>I_Efficiencystd</v>
      </c>
      <c r="AR2080" s="233" t="str">
        <f>VLOOKUP(Table8[[#This Row],[Country Code]],Table29[],3,FALSE)</f>
        <v>Non-Annex I</v>
      </c>
      <c r="AS2080" s="233" t="str">
        <f>VLOOKUP(Table8[[#This Row],[Country Code]],Table29[],4,FALSE)</f>
        <v>Latin America and the Caribbean</v>
      </c>
      <c r="AT2080" s="233" t="str">
        <f>VLOOKUP(Table8[[#This Row],[Country Code]],Table29[],5,FALSE)</f>
        <v>Middle-income</v>
      </c>
      <c r="AU2080" s="233" t="str">
        <f>VLOOKUP(Table8[[#This Row],[Country Code]],Table29[],6,FALSE)</f>
        <v>no</v>
      </c>
      <c r="AV2080" s="233" t="str">
        <f>VLOOKUP(Table8[[#This Row],[Country Code]],Table29[],7,FALSE)</f>
        <v>no</v>
      </c>
      <c r="AW2080" s="233" t="str">
        <f>VLOOKUP(Table8[[#This Row],[Country Code]],Table29[],8,FALSE)</f>
        <v>non-OECD</v>
      </c>
      <c r="AX2080" s="233" t="str">
        <f>VLOOKUP(Table8[[#This Row],[Country Code]],Table29[],9,FALSE)</f>
        <v>no</v>
      </c>
      <c r="AY2080" s="233" t="str">
        <f>VLOOKUP(Table8[[#This Row],[Country Code]],Table29[],10,FALSE)</f>
        <v>no</v>
      </c>
      <c r="AZ2080" s="235">
        <f>VLOOKUP(Table8[[#This Row],[Country Code]],Table29[],23,FALSE)</f>
        <v>3.7377177696646</v>
      </c>
      <c r="BA2080" s="235">
        <f>VLOOKUP(Table8[[#This Row],[Country Code]],Table29[],24,FALSE)</f>
        <v>0.84541140960197392</v>
      </c>
      <c r="BB2080" s="320"/>
      <c r="BC2080" s="320"/>
    </row>
    <row r="2081" spans="1:55" hidden="1" x14ac:dyDescent="0.25">
      <c r="A2081" s="360">
        <v>17748</v>
      </c>
      <c r="B2081" s="233" t="str">
        <f>VLOOKUP(Table8[[#This Row],[Document ID]],Table1[],2,FALSE)</f>
        <v>SUR</v>
      </c>
      <c r="C2081" s="233" t="str">
        <f>VLOOKUP(Table8[[#This Row],[Document ID]],Table1[],3,FALSE)</f>
        <v>Suriname</v>
      </c>
      <c r="D2081" s="233" t="str">
        <f>VLOOKUP(Table8[[#This Row],[Document ID]],Table1[],5,FALSE)</f>
        <v>NDC</v>
      </c>
      <c r="E2081" s="233" t="str">
        <f>VLOOKUP(Table8[[#This Row],[Document ID]],Table1[],7,FALSE)</f>
        <v>Second NDC</v>
      </c>
      <c r="F2081" s="233" t="str">
        <f>VLOOKUP(Table8[[#This Row],[Document ID]],Table1[],8,FALSE)</f>
        <v>NDC 2.0</v>
      </c>
      <c r="G2081" s="233" t="str">
        <f>VLOOKUP(Table8[[#This Row],[Document ID]],Table1[],10,FALSE)</f>
        <v>Active</v>
      </c>
      <c r="H2081" s="44" t="s">
        <v>2338</v>
      </c>
      <c r="I2081" s="44" t="s">
        <v>2339</v>
      </c>
      <c r="J2081" s="44" t="s">
        <v>2425</v>
      </c>
      <c r="K2081" s="44" t="s">
        <v>4248</v>
      </c>
      <c r="L2081" s="44" t="s">
        <v>2333</v>
      </c>
      <c r="M2081" s="43">
        <v>22</v>
      </c>
      <c r="N2081" s="113" t="s">
        <v>1113</v>
      </c>
      <c r="O2081" s="113"/>
      <c r="P2081" s="113"/>
      <c r="Q2081" s="113"/>
      <c r="R2081" s="113"/>
      <c r="S2081" s="113"/>
      <c r="T2081" s="113"/>
      <c r="U2081" s="113"/>
      <c r="V2081" s="113"/>
      <c r="W2081" s="113"/>
      <c r="X2081" s="113"/>
      <c r="Y2081" s="113"/>
      <c r="Z2081" s="113"/>
      <c r="AA2081" s="113"/>
      <c r="AB2081" s="113"/>
      <c r="AC2081" s="113"/>
      <c r="AD2081" s="113"/>
      <c r="AE2081" s="113"/>
      <c r="AF2081" s="113"/>
      <c r="AG2081" s="113"/>
      <c r="AH2081" s="113"/>
      <c r="AI2081" s="113"/>
      <c r="AJ2081" s="113"/>
      <c r="AK2081" s="319" t="s">
        <v>1113</v>
      </c>
      <c r="AL2081" s="113"/>
      <c r="AM2081" s="113"/>
      <c r="AN2081" s="113"/>
      <c r="AO2081" s="44" t="s">
        <v>2334</v>
      </c>
      <c r="AP2081" s="43"/>
      <c r="AQ2081" s="236" t="str">
        <f>VLOOKUP(Table8[[#This Row],[Instrument]],Def_Targets!$D$73:$E$159,2,FALSE)</f>
        <v>I_Efficiencystd</v>
      </c>
      <c r="AR2081" s="233" t="str">
        <f>VLOOKUP(Table8[[#This Row],[Country Code]],Table29[],3,FALSE)</f>
        <v>Non-Annex I</v>
      </c>
      <c r="AS2081" s="233" t="str">
        <f>VLOOKUP(Table8[[#This Row],[Country Code]],Table29[],4,FALSE)</f>
        <v>Latin America and the Caribbean</v>
      </c>
      <c r="AT2081" s="233" t="str">
        <f>VLOOKUP(Table8[[#This Row],[Country Code]],Table29[],5,FALSE)</f>
        <v>Middle-income</v>
      </c>
      <c r="AU2081" s="233" t="str">
        <f>VLOOKUP(Table8[[#This Row],[Country Code]],Table29[],6,FALSE)</f>
        <v>no</v>
      </c>
      <c r="AV2081" s="233" t="str">
        <f>VLOOKUP(Table8[[#This Row],[Country Code]],Table29[],7,FALSE)</f>
        <v>no</v>
      </c>
      <c r="AW2081" s="233" t="str">
        <f>VLOOKUP(Table8[[#This Row],[Country Code]],Table29[],8,FALSE)</f>
        <v>non-OECD</v>
      </c>
      <c r="AX2081" s="233" t="str">
        <f>VLOOKUP(Table8[[#This Row],[Country Code]],Table29[],9,FALSE)</f>
        <v>no</v>
      </c>
      <c r="AY2081" s="233" t="str">
        <f>VLOOKUP(Table8[[#This Row],[Country Code]],Table29[],10,FALSE)</f>
        <v>no</v>
      </c>
      <c r="AZ2081" s="235">
        <f>VLOOKUP(Table8[[#This Row],[Country Code]],Table29[],23,FALSE)</f>
        <v>3.7377177696646</v>
      </c>
      <c r="BA2081" s="235">
        <f>VLOOKUP(Table8[[#This Row],[Country Code]],Table29[],24,FALSE)</f>
        <v>0.84541140960197392</v>
      </c>
      <c r="BB2081" s="320"/>
      <c r="BC2081" s="320"/>
    </row>
    <row r="2082" spans="1:55" ht="30" hidden="1" x14ac:dyDescent="0.25">
      <c r="A2082" s="373">
        <v>17747</v>
      </c>
      <c r="B2082" s="233" t="str">
        <f>VLOOKUP(Table8[[#This Row],[Document ID]],Table1[],2,FALSE)</f>
        <v>SUR</v>
      </c>
      <c r="C2082" s="233" t="str">
        <f>VLOOKUP(Table8[[#This Row],[Document ID]],Table1[],3,FALSE)</f>
        <v>Suriname</v>
      </c>
      <c r="D2082" s="243" t="str">
        <f>VLOOKUP(Table8[[#This Row],[Document ID]],Table1[],5,FALSE)</f>
        <v>NDC</v>
      </c>
      <c r="E2082" s="233" t="str">
        <f>VLOOKUP(Table8[[#This Row],[Document ID]],Table1[],7,FALSE)</f>
        <v>First NDC</v>
      </c>
      <c r="F2082" s="236" t="str">
        <f>VLOOKUP(Table8[[#This Row],[Document ID]],Table1[],8,FALSE)</f>
        <v>NDC 1.0</v>
      </c>
      <c r="G2082" s="236" t="str">
        <f>VLOOKUP(Table8[[#This Row],[Document ID]],Table1[],10,FALSE)</f>
        <v>Archived</v>
      </c>
      <c r="H2082" s="44" t="s">
        <v>2329</v>
      </c>
      <c r="I2082" s="44" t="s">
        <v>2330</v>
      </c>
      <c r="J2082" s="44" t="s">
        <v>2357</v>
      </c>
      <c r="K2082" s="44" t="s">
        <v>4249</v>
      </c>
      <c r="L2082" s="44" t="s">
        <v>2333</v>
      </c>
      <c r="M2082" s="43"/>
      <c r="N2082" s="113" t="s">
        <v>1113</v>
      </c>
      <c r="O2082" s="113"/>
      <c r="P2082" s="113"/>
      <c r="Q2082" s="319"/>
      <c r="R2082" s="319"/>
      <c r="S2082" s="319"/>
      <c r="T2082" s="319"/>
      <c r="U2082" s="319"/>
      <c r="V2082" s="319"/>
      <c r="W2082" s="319"/>
      <c r="X2082" s="319"/>
      <c r="Y2082" s="319"/>
      <c r="Z2082" s="319"/>
      <c r="AA2082" s="319"/>
      <c r="AB2082" s="319"/>
      <c r="AC2082" s="319"/>
      <c r="AD2082" s="319"/>
      <c r="AE2082" s="319"/>
      <c r="AF2082" s="319"/>
      <c r="AG2082" s="319"/>
      <c r="AH2082" s="319"/>
      <c r="AI2082" s="319"/>
      <c r="AJ2082" s="319"/>
      <c r="AK2082" s="319" t="s">
        <v>1113</v>
      </c>
      <c r="AL2082" s="319"/>
      <c r="AM2082" s="319"/>
      <c r="AN2082" s="319"/>
      <c r="AO2082" s="44" t="s">
        <v>2334</v>
      </c>
      <c r="AP2082" s="44"/>
      <c r="AQ2082" s="236" t="str">
        <f>VLOOKUP(Table8[[#This Row],[Instrument]],Def_Targets!$D$73:$E$159,2,FALSE)</f>
        <v>I_Biofuel</v>
      </c>
      <c r="AR2082" s="233" t="str">
        <f>VLOOKUP(Table8[[#This Row],[Country Code]],Table29[],3,FALSE)</f>
        <v>Non-Annex I</v>
      </c>
      <c r="AS2082" s="233" t="str">
        <f>VLOOKUP(Table8[[#This Row],[Country Code]],Table29[],4,FALSE)</f>
        <v>Latin America and the Caribbean</v>
      </c>
      <c r="AT2082" s="233" t="str">
        <f>VLOOKUP(Table8[[#This Row],[Country Code]],Table29[],5,FALSE)</f>
        <v>Middle-income</v>
      </c>
      <c r="AU2082" s="233" t="str">
        <f>VLOOKUP(Table8[[#This Row],[Country Code]],Table29[],6,FALSE)</f>
        <v>no</v>
      </c>
      <c r="AV2082" s="233" t="str">
        <f>VLOOKUP(Table8[[#This Row],[Country Code]],Table29[],7,FALSE)</f>
        <v>no</v>
      </c>
      <c r="AW2082" s="233" t="str">
        <f>VLOOKUP(Table8[[#This Row],[Country Code]],Table29[],8,FALSE)</f>
        <v>non-OECD</v>
      </c>
      <c r="AX2082" s="233" t="str">
        <f>VLOOKUP(Table8[[#This Row],[Country Code]],Table29[],9,FALSE)</f>
        <v>no</v>
      </c>
      <c r="AY2082" s="233" t="str">
        <f>VLOOKUP(Table8[[#This Row],[Country Code]],Table29[],10,FALSE)</f>
        <v>no</v>
      </c>
      <c r="AZ2082" s="235">
        <f>VLOOKUP(Table8[[#This Row],[Country Code]],Table29[],23,FALSE)</f>
        <v>3.7377177696646</v>
      </c>
      <c r="BA2082" s="235">
        <f>VLOOKUP(Table8[[#This Row],[Country Code]],Table29[],24,FALSE)</f>
        <v>0.84541140960197392</v>
      </c>
      <c r="BB2082" s="320"/>
      <c r="BC2082" s="320"/>
    </row>
    <row r="2083" spans="1:55" ht="30" hidden="1" x14ac:dyDescent="0.25">
      <c r="A2083" s="373">
        <v>41742</v>
      </c>
      <c r="B2083" s="233" t="str">
        <f>VLOOKUP(Table8[[#This Row],[Document ID]],Table1[],2,FALSE)</f>
        <v>SRB</v>
      </c>
      <c r="C2083" s="233" t="str">
        <f>VLOOKUP(Table8[[#This Row],[Document ID]],Table1[],3,FALSE)</f>
        <v>Serbia</v>
      </c>
      <c r="D2083" s="243" t="str">
        <f>VLOOKUP(Table8[[#This Row],[Document ID]],Table1[],5,FALSE)</f>
        <v>LTS</v>
      </c>
      <c r="E2083" s="233" t="str">
        <f>VLOOKUP(Table8[[#This Row],[Document ID]],Table1[],7,FALSE)</f>
        <v>LTS</v>
      </c>
      <c r="F2083" s="233" t="str">
        <f>VLOOKUP(Table8[[#This Row],[Document ID]],Table1[],8,FALSE)</f>
        <v>LTS 1.0</v>
      </c>
      <c r="G2083" s="233" t="str">
        <f>VLOOKUP(Table8[[#This Row],[Document ID]],Table1[],10,FALSE)</f>
        <v>Active</v>
      </c>
      <c r="H2083" s="44" t="s">
        <v>2338</v>
      </c>
      <c r="I2083" s="44" t="s">
        <v>2339</v>
      </c>
      <c r="J2083" s="44" t="s">
        <v>2410</v>
      </c>
      <c r="K2083" s="44" t="s">
        <v>4250</v>
      </c>
      <c r="L2083" s="44" t="s">
        <v>2333</v>
      </c>
      <c r="M2083" s="43">
        <v>47</v>
      </c>
      <c r="N2083" s="113"/>
      <c r="O2083" s="113"/>
      <c r="P2083" s="113"/>
      <c r="Q2083" s="113"/>
      <c r="R2083" s="113"/>
      <c r="S2083" s="113"/>
      <c r="T2083" s="113"/>
      <c r="U2083" s="113" t="s">
        <v>1113</v>
      </c>
      <c r="V2083" s="113"/>
      <c r="W2083" s="113"/>
      <c r="X2083" s="113"/>
      <c r="Y2083" s="113"/>
      <c r="Z2083" s="113"/>
      <c r="AA2083" s="113"/>
      <c r="AB2083" s="113"/>
      <c r="AC2083" s="113"/>
      <c r="AD2083" s="113"/>
      <c r="AE2083" s="113"/>
      <c r="AF2083" s="113"/>
      <c r="AG2083" s="113"/>
      <c r="AH2083" s="113"/>
      <c r="AI2083" s="113"/>
      <c r="AJ2083" s="113"/>
      <c r="AK2083" s="113" t="s">
        <v>1113</v>
      </c>
      <c r="AL2083" s="113"/>
      <c r="AM2083" s="113"/>
      <c r="AN2083" s="113"/>
      <c r="AO2083" s="44" t="s">
        <v>2334</v>
      </c>
      <c r="AP2083" s="43"/>
      <c r="AQ2083" s="236" t="str">
        <f>VLOOKUP(Table8[[#This Row],[Instrument]],Def_Targets!$D$73:$E$159,2,FALSE)</f>
        <v>I_VehicleRestrictions</v>
      </c>
      <c r="AR2083" s="233" t="str">
        <f>VLOOKUP(Table8[[#This Row],[Country Code]],Table29[],3,FALSE)</f>
        <v>Non-Annex I</v>
      </c>
      <c r="AS2083" s="233" t="str">
        <f>VLOOKUP(Table8[[#This Row],[Country Code]],Table29[],4,FALSE)</f>
        <v>Europe</v>
      </c>
      <c r="AT2083" s="233" t="str">
        <f>VLOOKUP(Table8[[#This Row],[Country Code]],Table29[],5,FALSE)</f>
        <v>Middle-income</v>
      </c>
      <c r="AU2083" s="233" t="str">
        <f>VLOOKUP(Table8[[#This Row],[Country Code]],Table29[],6,FALSE)</f>
        <v>no</v>
      </c>
      <c r="AV2083" s="233" t="str">
        <f>VLOOKUP(Table8[[#This Row],[Country Code]],Table29[],7,FALSE)</f>
        <v>no</v>
      </c>
      <c r="AW2083" s="233" t="str">
        <f>VLOOKUP(Table8[[#This Row],[Country Code]],Table29[],8,FALSE)</f>
        <v>non-OECD</v>
      </c>
      <c r="AX2083" s="233" t="str">
        <f>VLOOKUP(Table8[[#This Row],[Country Code]],Table29[],9,FALSE)</f>
        <v>no</v>
      </c>
      <c r="AY2083" s="233" t="str">
        <f>VLOOKUP(Table8[[#This Row],[Country Code]],Table29[],10,FALSE)</f>
        <v>no</v>
      </c>
      <c r="AZ2083" s="235">
        <f>VLOOKUP(Table8[[#This Row],[Country Code]],Table29[],23,FALSE)</f>
        <v>67.214992478558003</v>
      </c>
      <c r="BA2083" s="235">
        <f>VLOOKUP(Table8[[#This Row],[Country Code]],Table29[],24,FALSE)</f>
        <v>10.45024022782124</v>
      </c>
      <c r="BB2083" s="320"/>
      <c r="BC2083" s="320"/>
    </row>
    <row r="2084" spans="1:55" ht="90" hidden="1" x14ac:dyDescent="0.25">
      <c r="A2084" s="373">
        <v>41742</v>
      </c>
      <c r="B2084" s="233" t="str">
        <f>VLOOKUP(Table8[[#This Row],[Document ID]],Table1[],2,FALSE)</f>
        <v>SRB</v>
      </c>
      <c r="C2084" s="233" t="str">
        <f>VLOOKUP(Table8[[#This Row],[Document ID]],Table1[],3,FALSE)</f>
        <v>Serbia</v>
      </c>
      <c r="D2084" s="243" t="str">
        <f>VLOOKUP(Table8[[#This Row],[Document ID]],Table1[],5,FALSE)</f>
        <v>LTS</v>
      </c>
      <c r="E2084" s="233" t="str">
        <f>VLOOKUP(Table8[[#This Row],[Document ID]],Table1[],7,FALSE)</f>
        <v>LTS</v>
      </c>
      <c r="F2084" s="233" t="str">
        <f>VLOOKUP(Table8[[#This Row],[Document ID]],Table1[],8,FALSE)</f>
        <v>LTS 1.0</v>
      </c>
      <c r="G2084" s="233" t="str">
        <f>VLOOKUP(Table8[[#This Row],[Document ID]],Table1[],10,FALSE)</f>
        <v>Active</v>
      </c>
      <c r="H2084" s="43" t="s">
        <v>2343</v>
      </c>
      <c r="I2084" s="43" t="s">
        <v>2386</v>
      </c>
      <c r="J2084" s="44" t="s">
        <v>2412</v>
      </c>
      <c r="K2084" s="44" t="s">
        <v>4251</v>
      </c>
      <c r="L2084" s="44" t="s">
        <v>2333</v>
      </c>
      <c r="M2084" s="43">
        <v>47</v>
      </c>
      <c r="N2084" s="113"/>
      <c r="O2084" s="113"/>
      <c r="P2084" s="113"/>
      <c r="Q2084" s="113"/>
      <c r="R2084" s="113"/>
      <c r="S2084" s="113" t="s">
        <v>1113</v>
      </c>
      <c r="T2084" s="113"/>
      <c r="U2084" s="113"/>
      <c r="V2084" s="113"/>
      <c r="W2084" s="113"/>
      <c r="X2084" s="113"/>
      <c r="Y2084" s="113"/>
      <c r="Z2084" s="113"/>
      <c r="AA2084" s="113"/>
      <c r="AB2084" s="113"/>
      <c r="AC2084" s="113"/>
      <c r="AD2084" s="113"/>
      <c r="AE2084" s="113"/>
      <c r="AF2084" s="113"/>
      <c r="AG2084" s="113"/>
      <c r="AH2084" s="113"/>
      <c r="AI2084" s="113"/>
      <c r="AJ2084" s="113"/>
      <c r="AK2084" s="113" t="s">
        <v>1113</v>
      </c>
      <c r="AL2084" s="113"/>
      <c r="AM2084" s="113"/>
      <c r="AN2084" s="113"/>
      <c r="AO2084" s="44" t="s">
        <v>2334</v>
      </c>
      <c r="AP2084" s="43"/>
      <c r="AQ2084" s="236" t="str">
        <f>VLOOKUP(Table8[[#This Row],[Instrument]],Def_Targets!$D$73:$E$159,2,FALSE)</f>
        <v>A_Economic</v>
      </c>
      <c r="AR2084" s="233" t="str">
        <f>VLOOKUP(Table8[[#This Row],[Country Code]],Table29[],3,FALSE)</f>
        <v>Non-Annex I</v>
      </c>
      <c r="AS2084" s="233" t="str">
        <f>VLOOKUP(Table8[[#This Row],[Country Code]],Table29[],4,FALSE)</f>
        <v>Europe</v>
      </c>
      <c r="AT2084" s="233" t="str">
        <f>VLOOKUP(Table8[[#This Row],[Country Code]],Table29[],5,FALSE)</f>
        <v>Middle-income</v>
      </c>
      <c r="AU2084" s="233" t="str">
        <f>VLOOKUP(Table8[[#This Row],[Country Code]],Table29[],6,FALSE)</f>
        <v>no</v>
      </c>
      <c r="AV2084" s="233" t="str">
        <f>VLOOKUP(Table8[[#This Row],[Country Code]],Table29[],7,FALSE)</f>
        <v>no</v>
      </c>
      <c r="AW2084" s="233" t="str">
        <f>VLOOKUP(Table8[[#This Row],[Country Code]],Table29[],8,FALSE)</f>
        <v>non-OECD</v>
      </c>
      <c r="AX2084" s="233" t="str">
        <f>VLOOKUP(Table8[[#This Row],[Country Code]],Table29[],9,FALSE)</f>
        <v>no</v>
      </c>
      <c r="AY2084" s="233" t="str">
        <f>VLOOKUP(Table8[[#This Row],[Country Code]],Table29[],10,FALSE)</f>
        <v>no</v>
      </c>
      <c r="AZ2084" s="235">
        <f>VLOOKUP(Table8[[#This Row],[Country Code]],Table29[],23,FALSE)</f>
        <v>67.214992478558003</v>
      </c>
      <c r="BA2084" s="235">
        <f>VLOOKUP(Table8[[#This Row],[Country Code]],Table29[],24,FALSE)</f>
        <v>10.45024022782124</v>
      </c>
      <c r="BB2084" s="320"/>
      <c r="BC2084" s="320"/>
    </row>
    <row r="2085" spans="1:55" ht="30" hidden="1" x14ac:dyDescent="0.25">
      <c r="A2085" s="373">
        <v>41742</v>
      </c>
      <c r="B2085" s="233" t="str">
        <f>VLOOKUP(Table8[[#This Row],[Document ID]],Table1[],2,FALSE)</f>
        <v>SRB</v>
      </c>
      <c r="C2085" s="233" t="str">
        <f>VLOOKUP(Table8[[#This Row],[Document ID]],Table1[],3,FALSE)</f>
        <v>Serbia</v>
      </c>
      <c r="D2085" s="243" t="str">
        <f>VLOOKUP(Table8[[#This Row],[Document ID]],Table1[],5,FALSE)</f>
        <v>LTS</v>
      </c>
      <c r="E2085" s="233" t="str">
        <f>VLOOKUP(Table8[[#This Row],[Document ID]],Table1[],7,FALSE)</f>
        <v>LTS</v>
      </c>
      <c r="F2085" s="233" t="str">
        <f>VLOOKUP(Table8[[#This Row],[Document ID]],Table1[],8,FALSE)</f>
        <v>LTS 1.0</v>
      </c>
      <c r="G2085" s="233" t="str">
        <f>VLOOKUP(Table8[[#This Row],[Document ID]],Table1[],10,FALSE)</f>
        <v>Active</v>
      </c>
      <c r="H2085" s="43" t="s">
        <v>2358</v>
      </c>
      <c r="I2085" s="43" t="s">
        <v>2359</v>
      </c>
      <c r="J2085" s="44" t="s">
        <v>2389</v>
      </c>
      <c r="K2085" s="44" t="s">
        <v>4252</v>
      </c>
      <c r="L2085" s="44" t="s">
        <v>2333</v>
      </c>
      <c r="M2085" s="43">
        <v>47</v>
      </c>
      <c r="N2085" s="113"/>
      <c r="O2085" s="113"/>
      <c r="P2085" s="113"/>
      <c r="Q2085" s="113"/>
      <c r="R2085" s="113"/>
      <c r="S2085" s="113" t="s">
        <v>1113</v>
      </c>
      <c r="T2085" s="113"/>
      <c r="U2085" s="113"/>
      <c r="V2085" s="113"/>
      <c r="W2085" s="113"/>
      <c r="X2085" s="113"/>
      <c r="Y2085" s="113"/>
      <c r="Z2085" s="113"/>
      <c r="AA2085" s="113"/>
      <c r="AB2085" s="113"/>
      <c r="AC2085" s="113"/>
      <c r="AD2085" s="113"/>
      <c r="AE2085" s="113"/>
      <c r="AF2085" s="113"/>
      <c r="AG2085" s="113"/>
      <c r="AH2085" s="113"/>
      <c r="AI2085" s="113"/>
      <c r="AJ2085" s="113"/>
      <c r="AK2085" s="113" t="s">
        <v>1113</v>
      </c>
      <c r="AL2085" s="113"/>
      <c r="AM2085" s="113"/>
      <c r="AN2085" s="113"/>
      <c r="AO2085" s="44" t="s">
        <v>2334</v>
      </c>
      <c r="AP2085" s="43"/>
      <c r="AQ2085" s="236" t="str">
        <f>VLOOKUP(Table8[[#This Row],[Instrument]],Def_Targets!$D$73:$E$159,2,FALSE)</f>
        <v>I_Emobilitypurchase</v>
      </c>
      <c r="AR2085" s="233" t="str">
        <f>VLOOKUP(Table8[[#This Row],[Country Code]],Table29[],3,FALSE)</f>
        <v>Non-Annex I</v>
      </c>
      <c r="AS2085" s="233" t="str">
        <f>VLOOKUP(Table8[[#This Row],[Country Code]],Table29[],4,FALSE)</f>
        <v>Europe</v>
      </c>
      <c r="AT2085" s="233" t="str">
        <f>VLOOKUP(Table8[[#This Row],[Country Code]],Table29[],5,FALSE)</f>
        <v>Middle-income</v>
      </c>
      <c r="AU2085" s="233" t="str">
        <f>VLOOKUP(Table8[[#This Row],[Country Code]],Table29[],6,FALSE)</f>
        <v>no</v>
      </c>
      <c r="AV2085" s="233" t="str">
        <f>VLOOKUP(Table8[[#This Row],[Country Code]],Table29[],7,FALSE)</f>
        <v>no</v>
      </c>
      <c r="AW2085" s="233" t="str">
        <f>VLOOKUP(Table8[[#This Row],[Country Code]],Table29[],8,FALSE)</f>
        <v>non-OECD</v>
      </c>
      <c r="AX2085" s="233" t="str">
        <f>VLOOKUP(Table8[[#This Row],[Country Code]],Table29[],9,FALSE)</f>
        <v>no</v>
      </c>
      <c r="AY2085" s="233" t="str">
        <f>VLOOKUP(Table8[[#This Row],[Country Code]],Table29[],10,FALSE)</f>
        <v>no</v>
      </c>
      <c r="AZ2085" s="235">
        <f>VLOOKUP(Table8[[#This Row],[Country Code]],Table29[],23,FALSE)</f>
        <v>67.214992478558003</v>
      </c>
      <c r="BA2085" s="235">
        <f>VLOOKUP(Table8[[#This Row],[Country Code]],Table29[],24,FALSE)</f>
        <v>10.45024022782124</v>
      </c>
      <c r="BB2085" s="320"/>
      <c r="BC2085" s="320"/>
    </row>
    <row r="2086" spans="1:55" ht="30" hidden="1" x14ac:dyDescent="0.25">
      <c r="A2086" s="373">
        <v>41742</v>
      </c>
      <c r="B2086" s="233" t="str">
        <f>VLOOKUP(Table8[[#This Row],[Document ID]],Table1[],2,FALSE)</f>
        <v>SRB</v>
      </c>
      <c r="C2086" s="233" t="str">
        <f>VLOOKUP(Table8[[#This Row],[Document ID]],Table1[],3,FALSE)</f>
        <v>Serbia</v>
      </c>
      <c r="D2086" s="243" t="str">
        <f>VLOOKUP(Table8[[#This Row],[Document ID]],Table1[],5,FALSE)</f>
        <v>LTS</v>
      </c>
      <c r="E2086" s="233" t="str">
        <f>VLOOKUP(Table8[[#This Row],[Document ID]],Table1[],7,FALSE)</f>
        <v>LTS</v>
      </c>
      <c r="F2086" s="233" t="str">
        <f>VLOOKUP(Table8[[#This Row],[Document ID]],Table1[],8,FALSE)</f>
        <v>LTS 1.0</v>
      </c>
      <c r="G2086" s="233" t="str">
        <f>VLOOKUP(Table8[[#This Row],[Document ID]],Table1[],10,FALSE)</f>
        <v>Active</v>
      </c>
      <c r="H2086" s="43" t="s">
        <v>2358</v>
      </c>
      <c r="I2086" s="43" t="s">
        <v>2359</v>
      </c>
      <c r="J2086" s="44" t="s">
        <v>2383</v>
      </c>
      <c r="K2086" s="44" t="s">
        <v>4253</v>
      </c>
      <c r="L2086" s="44" t="s">
        <v>2333</v>
      </c>
      <c r="M2086" s="43">
        <v>47</v>
      </c>
      <c r="N2086" s="113"/>
      <c r="O2086" s="113"/>
      <c r="P2086" s="113"/>
      <c r="Q2086" s="113"/>
      <c r="R2086" s="113"/>
      <c r="S2086" s="113" t="s">
        <v>1113</v>
      </c>
      <c r="T2086" s="113"/>
      <c r="U2086" s="113"/>
      <c r="V2086" s="113"/>
      <c r="W2086" s="113"/>
      <c r="X2086" s="113"/>
      <c r="Y2086" s="113"/>
      <c r="Z2086" s="113"/>
      <c r="AA2086" s="113"/>
      <c r="AB2086" s="113"/>
      <c r="AC2086" s="113"/>
      <c r="AD2086" s="113"/>
      <c r="AE2086" s="113"/>
      <c r="AF2086" s="113"/>
      <c r="AG2086" s="113"/>
      <c r="AH2086" s="113"/>
      <c r="AI2086" s="113"/>
      <c r="AJ2086" s="113"/>
      <c r="AK2086" s="113" t="s">
        <v>1113</v>
      </c>
      <c r="AL2086" s="113"/>
      <c r="AM2086" s="113"/>
      <c r="AN2086" s="113"/>
      <c r="AO2086" s="44" t="s">
        <v>2334</v>
      </c>
      <c r="AP2086" s="43"/>
      <c r="AQ2086" s="236" t="str">
        <f>VLOOKUP(Table8[[#This Row],[Instrument]],Def_Targets!$D$73:$E$159,2,FALSE)</f>
        <v>I_Emobilitycharging</v>
      </c>
      <c r="AR2086" s="233" t="str">
        <f>VLOOKUP(Table8[[#This Row],[Country Code]],Table29[],3,FALSE)</f>
        <v>Non-Annex I</v>
      </c>
      <c r="AS2086" s="233" t="str">
        <f>VLOOKUP(Table8[[#This Row],[Country Code]],Table29[],4,FALSE)</f>
        <v>Europe</v>
      </c>
      <c r="AT2086" s="233" t="str">
        <f>VLOOKUP(Table8[[#This Row],[Country Code]],Table29[],5,FALSE)</f>
        <v>Middle-income</v>
      </c>
      <c r="AU2086" s="233" t="str">
        <f>VLOOKUP(Table8[[#This Row],[Country Code]],Table29[],6,FALSE)</f>
        <v>no</v>
      </c>
      <c r="AV2086" s="233" t="str">
        <f>VLOOKUP(Table8[[#This Row],[Country Code]],Table29[],7,FALSE)</f>
        <v>no</v>
      </c>
      <c r="AW2086" s="233" t="str">
        <f>VLOOKUP(Table8[[#This Row],[Country Code]],Table29[],8,FALSE)</f>
        <v>non-OECD</v>
      </c>
      <c r="AX2086" s="233" t="str">
        <f>VLOOKUP(Table8[[#This Row],[Country Code]],Table29[],9,FALSE)</f>
        <v>no</v>
      </c>
      <c r="AY2086" s="233" t="str">
        <f>VLOOKUP(Table8[[#This Row],[Country Code]],Table29[],10,FALSE)</f>
        <v>no</v>
      </c>
      <c r="AZ2086" s="235">
        <f>VLOOKUP(Table8[[#This Row],[Country Code]],Table29[],23,FALSE)</f>
        <v>67.214992478558003</v>
      </c>
      <c r="BA2086" s="235">
        <f>VLOOKUP(Table8[[#This Row],[Country Code]],Table29[],24,FALSE)</f>
        <v>10.45024022782124</v>
      </c>
      <c r="BB2086" s="320"/>
      <c r="BC2086" s="320"/>
    </row>
    <row r="2087" spans="1:55" ht="30" hidden="1" x14ac:dyDescent="0.25">
      <c r="A2087" s="373">
        <v>41742</v>
      </c>
      <c r="B2087" s="233" t="str">
        <f>VLOOKUP(Table8[[#This Row],[Document ID]],Table1[],2,FALSE)</f>
        <v>SRB</v>
      </c>
      <c r="C2087" s="233" t="str">
        <f>VLOOKUP(Table8[[#This Row],[Document ID]],Table1[],3,FALSE)</f>
        <v>Serbia</v>
      </c>
      <c r="D2087" s="243" t="str">
        <f>VLOOKUP(Table8[[#This Row],[Document ID]],Table1[],5,FALSE)</f>
        <v>LTS</v>
      </c>
      <c r="E2087" s="233" t="str">
        <f>VLOOKUP(Table8[[#This Row],[Document ID]],Table1[],7,FALSE)</f>
        <v>LTS</v>
      </c>
      <c r="F2087" s="233" t="str">
        <f>VLOOKUP(Table8[[#This Row],[Document ID]],Table1[],8,FALSE)</f>
        <v>LTS 1.0</v>
      </c>
      <c r="G2087" s="233" t="str">
        <f>VLOOKUP(Table8[[#This Row],[Document ID]],Table1[],10,FALSE)</f>
        <v>Active</v>
      </c>
      <c r="H2087" s="43" t="s">
        <v>2343</v>
      </c>
      <c r="I2087" s="43" t="s">
        <v>2344</v>
      </c>
      <c r="J2087" s="44" t="s">
        <v>2345</v>
      </c>
      <c r="K2087" s="44" t="s">
        <v>2031</v>
      </c>
      <c r="L2087" s="44" t="s">
        <v>2347</v>
      </c>
      <c r="M2087" s="43">
        <v>48</v>
      </c>
      <c r="N2087" s="113" t="s">
        <v>1113</v>
      </c>
      <c r="O2087" s="113"/>
      <c r="P2087" s="113"/>
      <c r="Q2087" s="113"/>
      <c r="R2087" s="113"/>
      <c r="S2087" s="113"/>
      <c r="T2087" s="113"/>
      <c r="U2087" s="113"/>
      <c r="V2087" s="113"/>
      <c r="W2087" s="113"/>
      <c r="X2087" s="113"/>
      <c r="Y2087" s="113"/>
      <c r="Z2087" s="113"/>
      <c r="AA2087" s="113"/>
      <c r="AB2087" s="113"/>
      <c r="AC2087" s="113"/>
      <c r="AD2087" s="113"/>
      <c r="AE2087" s="113"/>
      <c r="AF2087" s="113"/>
      <c r="AG2087" s="113"/>
      <c r="AH2087" s="113"/>
      <c r="AI2087" s="113"/>
      <c r="AJ2087" s="113"/>
      <c r="AK2087" s="113" t="s">
        <v>1113</v>
      </c>
      <c r="AL2087" s="113"/>
      <c r="AM2087" s="113"/>
      <c r="AN2087" s="113"/>
      <c r="AO2087" s="43" t="s">
        <v>2348</v>
      </c>
      <c r="AP2087" s="43"/>
      <c r="AQ2087" s="236" t="str">
        <f>VLOOKUP(Table8[[#This Row],[Instrument]],Def_Targets!$D$73:$E$159,2,FALSE)</f>
        <v>S_PublicTransport</v>
      </c>
      <c r="AR2087" s="233" t="str">
        <f>VLOOKUP(Table8[[#This Row],[Country Code]],Table29[],3,FALSE)</f>
        <v>Non-Annex I</v>
      </c>
      <c r="AS2087" s="233" t="str">
        <f>VLOOKUP(Table8[[#This Row],[Country Code]],Table29[],4,FALSE)</f>
        <v>Europe</v>
      </c>
      <c r="AT2087" s="233" t="str">
        <f>VLOOKUP(Table8[[#This Row],[Country Code]],Table29[],5,FALSE)</f>
        <v>Middle-income</v>
      </c>
      <c r="AU2087" s="233" t="str">
        <f>VLOOKUP(Table8[[#This Row],[Country Code]],Table29[],6,FALSE)</f>
        <v>no</v>
      </c>
      <c r="AV2087" s="233" t="str">
        <f>VLOOKUP(Table8[[#This Row],[Country Code]],Table29[],7,FALSE)</f>
        <v>no</v>
      </c>
      <c r="AW2087" s="233" t="str">
        <f>VLOOKUP(Table8[[#This Row],[Country Code]],Table29[],8,FALSE)</f>
        <v>non-OECD</v>
      </c>
      <c r="AX2087" s="233" t="str">
        <f>VLOOKUP(Table8[[#This Row],[Country Code]],Table29[],9,FALSE)</f>
        <v>no</v>
      </c>
      <c r="AY2087" s="233" t="str">
        <f>VLOOKUP(Table8[[#This Row],[Country Code]],Table29[],10,FALSE)</f>
        <v>no</v>
      </c>
      <c r="AZ2087" s="235">
        <f>VLOOKUP(Table8[[#This Row],[Country Code]],Table29[],23,FALSE)</f>
        <v>67.214992478558003</v>
      </c>
      <c r="BA2087" s="235">
        <f>VLOOKUP(Table8[[#This Row],[Country Code]],Table29[],24,FALSE)</f>
        <v>10.45024022782124</v>
      </c>
      <c r="BB2087" s="320"/>
      <c r="BC2087" s="320"/>
    </row>
    <row r="2088" spans="1:55" hidden="1" x14ac:dyDescent="0.25">
      <c r="A2088" s="373">
        <v>41742</v>
      </c>
      <c r="B2088" s="233" t="str">
        <f>VLOOKUP(Table8[[#This Row],[Document ID]],Table1[],2,FALSE)</f>
        <v>SRB</v>
      </c>
      <c r="C2088" s="233" t="str">
        <f>VLOOKUP(Table8[[#This Row],[Document ID]],Table1[],3,FALSE)</f>
        <v>Serbia</v>
      </c>
      <c r="D2088" s="243" t="str">
        <f>VLOOKUP(Table8[[#This Row],[Document ID]],Table1[],5,FALSE)</f>
        <v>LTS</v>
      </c>
      <c r="E2088" s="233" t="str">
        <f>VLOOKUP(Table8[[#This Row],[Document ID]],Table1[],7,FALSE)</f>
        <v>LTS</v>
      </c>
      <c r="F2088" s="233" t="str">
        <f>VLOOKUP(Table8[[#This Row],[Document ID]],Table1[],8,FALSE)</f>
        <v>LTS 1.0</v>
      </c>
      <c r="G2088" s="233" t="str">
        <f>VLOOKUP(Table8[[#This Row],[Document ID]],Table1[],10,FALSE)</f>
        <v>Active</v>
      </c>
      <c r="H2088" s="43" t="s">
        <v>2350</v>
      </c>
      <c r="I2088" s="43" t="s">
        <v>2370</v>
      </c>
      <c r="J2088" s="44" t="s">
        <v>2418</v>
      </c>
      <c r="K2088" s="44" t="s">
        <v>4254</v>
      </c>
      <c r="L2088" s="44" t="s">
        <v>2333</v>
      </c>
      <c r="M2088" s="43">
        <v>48</v>
      </c>
      <c r="N2088" s="113" t="s">
        <v>1113</v>
      </c>
      <c r="O2088" s="113"/>
      <c r="P2088" s="113"/>
      <c r="Q2088" s="113"/>
      <c r="R2088" s="113"/>
      <c r="S2088" s="113"/>
      <c r="T2088" s="113"/>
      <c r="U2088" s="113"/>
      <c r="V2088" s="113"/>
      <c r="W2088" s="113"/>
      <c r="X2088" s="113"/>
      <c r="Y2088" s="113"/>
      <c r="Z2088" s="113"/>
      <c r="AA2088" s="113"/>
      <c r="AB2088" s="113"/>
      <c r="AC2088" s="113"/>
      <c r="AD2088" s="113"/>
      <c r="AE2088" s="113"/>
      <c r="AF2088" s="113"/>
      <c r="AG2088" s="113"/>
      <c r="AH2088" s="113"/>
      <c r="AI2088" s="113"/>
      <c r="AJ2088" s="113"/>
      <c r="AK2088" s="113" t="s">
        <v>1113</v>
      </c>
      <c r="AL2088" s="113"/>
      <c r="AM2088" s="113"/>
      <c r="AN2088" s="113"/>
      <c r="AO2088" s="44" t="s">
        <v>2334</v>
      </c>
      <c r="AP2088" s="43"/>
      <c r="AQ2088" s="236" t="str">
        <f>VLOOKUP(Table8[[#This Row],[Instrument]],Def_Targets!$D$73:$E$159,2,FALSE)</f>
        <v>A_Complan</v>
      </c>
      <c r="AR2088" s="233" t="str">
        <f>VLOOKUP(Table8[[#This Row],[Country Code]],Table29[],3,FALSE)</f>
        <v>Non-Annex I</v>
      </c>
      <c r="AS2088" s="233" t="str">
        <f>VLOOKUP(Table8[[#This Row],[Country Code]],Table29[],4,FALSE)</f>
        <v>Europe</v>
      </c>
      <c r="AT2088" s="233" t="str">
        <f>VLOOKUP(Table8[[#This Row],[Country Code]],Table29[],5,FALSE)</f>
        <v>Middle-income</v>
      </c>
      <c r="AU2088" s="233" t="str">
        <f>VLOOKUP(Table8[[#This Row],[Country Code]],Table29[],6,FALSE)</f>
        <v>no</v>
      </c>
      <c r="AV2088" s="233" t="str">
        <f>VLOOKUP(Table8[[#This Row],[Country Code]],Table29[],7,FALSE)</f>
        <v>no</v>
      </c>
      <c r="AW2088" s="233" t="str">
        <f>VLOOKUP(Table8[[#This Row],[Country Code]],Table29[],8,FALSE)</f>
        <v>non-OECD</v>
      </c>
      <c r="AX2088" s="233" t="str">
        <f>VLOOKUP(Table8[[#This Row],[Country Code]],Table29[],9,FALSE)</f>
        <v>no</v>
      </c>
      <c r="AY2088" s="233" t="str">
        <f>VLOOKUP(Table8[[#This Row],[Country Code]],Table29[],10,FALSE)</f>
        <v>no</v>
      </c>
      <c r="AZ2088" s="235">
        <f>VLOOKUP(Table8[[#This Row],[Country Code]],Table29[],23,FALSE)</f>
        <v>67.214992478558003</v>
      </c>
      <c r="BA2088" s="235">
        <f>VLOOKUP(Table8[[#This Row],[Country Code]],Table29[],24,FALSE)</f>
        <v>10.45024022782124</v>
      </c>
      <c r="BB2088" s="320"/>
      <c r="BC2088" s="320"/>
    </row>
    <row r="2089" spans="1:55" hidden="1" x14ac:dyDescent="0.25">
      <c r="A2089" s="373">
        <v>41742</v>
      </c>
      <c r="B2089" s="233" t="str">
        <f>VLOOKUP(Table8[[#This Row],[Document ID]],Table1[],2,FALSE)</f>
        <v>SRB</v>
      </c>
      <c r="C2089" s="233" t="str">
        <f>VLOOKUP(Table8[[#This Row],[Document ID]],Table1[],3,FALSE)</f>
        <v>Serbia</v>
      </c>
      <c r="D2089" s="243" t="str">
        <f>VLOOKUP(Table8[[#This Row],[Document ID]],Table1[],5,FALSE)</f>
        <v>LTS</v>
      </c>
      <c r="E2089" s="233" t="str">
        <f>VLOOKUP(Table8[[#This Row],[Document ID]],Table1[],7,FALSE)</f>
        <v>LTS</v>
      </c>
      <c r="F2089" s="233" t="str">
        <f>VLOOKUP(Table8[[#This Row],[Document ID]],Table1[],8,FALSE)</f>
        <v>LTS 1.0</v>
      </c>
      <c r="G2089" s="233" t="str">
        <f>VLOOKUP(Table8[[#This Row],[Document ID]],Table1[],10,FALSE)</f>
        <v>Active</v>
      </c>
      <c r="H2089" s="43" t="s">
        <v>2343</v>
      </c>
      <c r="I2089" s="43" t="s">
        <v>2377</v>
      </c>
      <c r="J2089" s="44" t="s">
        <v>2378</v>
      </c>
      <c r="K2089" s="44" t="s">
        <v>4255</v>
      </c>
      <c r="L2089" s="44" t="s">
        <v>2347</v>
      </c>
      <c r="M2089" s="43">
        <v>48</v>
      </c>
      <c r="N2089" s="113" t="s">
        <v>1113</v>
      </c>
      <c r="O2089" s="113"/>
      <c r="P2089" s="113"/>
      <c r="Q2089" s="113"/>
      <c r="R2089" s="113"/>
      <c r="S2089" s="113"/>
      <c r="T2089" s="113"/>
      <c r="U2089" s="113"/>
      <c r="V2089" s="113"/>
      <c r="W2089" s="113"/>
      <c r="X2089" s="113"/>
      <c r="Y2089" s="113"/>
      <c r="Z2089" s="113"/>
      <c r="AA2089" s="113"/>
      <c r="AB2089" s="113"/>
      <c r="AC2089" s="113"/>
      <c r="AD2089" s="113"/>
      <c r="AE2089" s="113"/>
      <c r="AF2089" s="113"/>
      <c r="AG2089" s="113"/>
      <c r="AH2089" s="113"/>
      <c r="AI2089" s="113"/>
      <c r="AJ2089" s="113"/>
      <c r="AK2089" s="113" t="s">
        <v>1113</v>
      </c>
      <c r="AL2089" s="113"/>
      <c r="AM2089" s="113"/>
      <c r="AN2089" s="113"/>
      <c r="AO2089" s="43" t="s">
        <v>2348</v>
      </c>
      <c r="AP2089" s="43"/>
      <c r="AQ2089" s="236" t="str">
        <f>VLOOKUP(Table8[[#This Row],[Instrument]],Def_Targets!$D$73:$E$159,2,FALSE)</f>
        <v>A_Commute</v>
      </c>
      <c r="AR2089" s="233" t="str">
        <f>VLOOKUP(Table8[[#This Row],[Country Code]],Table29[],3,FALSE)</f>
        <v>Non-Annex I</v>
      </c>
      <c r="AS2089" s="233" t="str">
        <f>VLOOKUP(Table8[[#This Row],[Country Code]],Table29[],4,FALSE)</f>
        <v>Europe</v>
      </c>
      <c r="AT2089" s="233" t="str">
        <f>VLOOKUP(Table8[[#This Row],[Country Code]],Table29[],5,FALSE)</f>
        <v>Middle-income</v>
      </c>
      <c r="AU2089" s="233" t="str">
        <f>VLOOKUP(Table8[[#This Row],[Country Code]],Table29[],6,FALSE)</f>
        <v>no</v>
      </c>
      <c r="AV2089" s="233" t="str">
        <f>VLOOKUP(Table8[[#This Row],[Country Code]],Table29[],7,FALSE)</f>
        <v>no</v>
      </c>
      <c r="AW2089" s="233" t="str">
        <f>VLOOKUP(Table8[[#This Row],[Country Code]],Table29[],8,FALSE)</f>
        <v>non-OECD</v>
      </c>
      <c r="AX2089" s="233" t="str">
        <f>VLOOKUP(Table8[[#This Row],[Country Code]],Table29[],9,FALSE)</f>
        <v>no</v>
      </c>
      <c r="AY2089" s="233" t="str">
        <f>VLOOKUP(Table8[[#This Row],[Country Code]],Table29[],10,FALSE)</f>
        <v>no</v>
      </c>
      <c r="AZ2089" s="235">
        <f>VLOOKUP(Table8[[#This Row],[Country Code]],Table29[],23,FALSE)</f>
        <v>67.214992478558003</v>
      </c>
      <c r="BA2089" s="235">
        <f>VLOOKUP(Table8[[#This Row],[Country Code]],Table29[],24,FALSE)</f>
        <v>10.45024022782124</v>
      </c>
      <c r="BB2089" s="320"/>
      <c r="BC2089" s="320"/>
    </row>
    <row r="2090" spans="1:55" ht="30" hidden="1" x14ac:dyDescent="0.25">
      <c r="A2090" s="373">
        <v>41742</v>
      </c>
      <c r="B2090" s="233" t="str">
        <f>VLOOKUP(Table8[[#This Row],[Document ID]],Table1[],2,FALSE)</f>
        <v>SRB</v>
      </c>
      <c r="C2090" s="233" t="str">
        <f>VLOOKUP(Table8[[#This Row],[Document ID]],Table1[],3,FALSE)</f>
        <v>Serbia</v>
      </c>
      <c r="D2090" s="243" t="str">
        <f>VLOOKUP(Table8[[#This Row],[Document ID]],Table1[],5,FALSE)</f>
        <v>LTS</v>
      </c>
      <c r="E2090" s="233" t="str">
        <f>VLOOKUP(Table8[[#This Row],[Document ID]],Table1[],7,FALSE)</f>
        <v>LTS</v>
      </c>
      <c r="F2090" s="233" t="str">
        <f>VLOOKUP(Table8[[#This Row],[Document ID]],Table1[],8,FALSE)</f>
        <v>LTS 1.0</v>
      </c>
      <c r="G2090" s="233" t="str">
        <f>VLOOKUP(Table8[[#This Row],[Document ID]],Table1[],10,FALSE)</f>
        <v>Active</v>
      </c>
      <c r="H2090" s="43" t="s">
        <v>2350</v>
      </c>
      <c r="I2090" s="43" t="s">
        <v>2370</v>
      </c>
      <c r="J2090" s="44" t="s">
        <v>2418</v>
      </c>
      <c r="K2090" s="44" t="s">
        <v>4256</v>
      </c>
      <c r="L2090" s="44" t="s">
        <v>2347</v>
      </c>
      <c r="M2090" s="43">
        <v>48</v>
      </c>
      <c r="N2090" s="113"/>
      <c r="O2090" s="113"/>
      <c r="P2090" s="113" t="s">
        <v>1113</v>
      </c>
      <c r="Q2090" s="113"/>
      <c r="R2090" s="113"/>
      <c r="S2090" s="113"/>
      <c r="T2090" s="113"/>
      <c r="U2090" s="113"/>
      <c r="V2090" s="113"/>
      <c r="W2090" s="113"/>
      <c r="X2090" s="113"/>
      <c r="Y2090" s="113"/>
      <c r="Z2090" s="113"/>
      <c r="AA2090" s="113"/>
      <c r="AB2090" s="113"/>
      <c r="AC2090" s="113"/>
      <c r="AD2090" s="113"/>
      <c r="AE2090" s="113"/>
      <c r="AF2090" s="113"/>
      <c r="AG2090" s="113"/>
      <c r="AH2090" s="113"/>
      <c r="AI2090" s="113"/>
      <c r="AJ2090" s="113"/>
      <c r="AK2090" s="113" t="s">
        <v>1113</v>
      </c>
      <c r="AL2090" s="113"/>
      <c r="AM2090" s="113"/>
      <c r="AN2090" s="113"/>
      <c r="AO2090" s="44" t="s">
        <v>2334</v>
      </c>
      <c r="AP2090" s="43"/>
      <c r="AQ2090" s="236" t="str">
        <f>VLOOKUP(Table8[[#This Row],[Instrument]],Def_Targets!$D$73:$E$159,2,FALSE)</f>
        <v>A_Complan</v>
      </c>
      <c r="AR2090" s="233" t="str">
        <f>VLOOKUP(Table8[[#This Row],[Country Code]],Table29[],3,FALSE)</f>
        <v>Non-Annex I</v>
      </c>
      <c r="AS2090" s="233" t="str">
        <f>VLOOKUP(Table8[[#This Row],[Country Code]],Table29[],4,FALSE)</f>
        <v>Europe</v>
      </c>
      <c r="AT2090" s="233" t="str">
        <f>VLOOKUP(Table8[[#This Row],[Country Code]],Table29[],5,FALSE)</f>
        <v>Middle-income</v>
      </c>
      <c r="AU2090" s="233" t="str">
        <f>VLOOKUP(Table8[[#This Row],[Country Code]],Table29[],6,FALSE)</f>
        <v>no</v>
      </c>
      <c r="AV2090" s="233" t="str">
        <f>VLOOKUP(Table8[[#This Row],[Country Code]],Table29[],7,FALSE)</f>
        <v>no</v>
      </c>
      <c r="AW2090" s="233" t="str">
        <f>VLOOKUP(Table8[[#This Row],[Country Code]],Table29[],8,FALSE)</f>
        <v>non-OECD</v>
      </c>
      <c r="AX2090" s="233" t="str">
        <f>VLOOKUP(Table8[[#This Row],[Country Code]],Table29[],9,FALSE)</f>
        <v>no</v>
      </c>
      <c r="AY2090" s="233" t="str">
        <f>VLOOKUP(Table8[[#This Row],[Country Code]],Table29[],10,FALSE)</f>
        <v>no</v>
      </c>
      <c r="AZ2090" s="235">
        <f>VLOOKUP(Table8[[#This Row],[Country Code]],Table29[],23,FALSE)</f>
        <v>67.214992478558003</v>
      </c>
      <c r="BA2090" s="235">
        <f>VLOOKUP(Table8[[#This Row],[Country Code]],Table29[],24,FALSE)</f>
        <v>10.45024022782124</v>
      </c>
      <c r="BB2090" s="320"/>
      <c r="BC2090" s="320"/>
    </row>
    <row r="2091" spans="1:55" ht="30" hidden="1" x14ac:dyDescent="0.25">
      <c r="A2091" s="373">
        <v>41742</v>
      </c>
      <c r="B2091" s="233" t="str">
        <f>VLOOKUP(Table8[[#This Row],[Document ID]],Table1[],2,FALSE)</f>
        <v>SRB</v>
      </c>
      <c r="C2091" s="233" t="str">
        <f>VLOOKUP(Table8[[#This Row],[Document ID]],Table1[],3,FALSE)</f>
        <v>Serbia</v>
      </c>
      <c r="D2091" s="243" t="str">
        <f>VLOOKUP(Table8[[#This Row],[Document ID]],Table1[],5,FALSE)</f>
        <v>LTS</v>
      </c>
      <c r="E2091" s="233" t="str">
        <f>VLOOKUP(Table8[[#This Row],[Document ID]],Table1[],7,FALSE)</f>
        <v>LTS</v>
      </c>
      <c r="F2091" s="233" t="str">
        <f>VLOOKUP(Table8[[#This Row],[Document ID]],Table1[],8,FALSE)</f>
        <v>LTS 1.0</v>
      </c>
      <c r="G2091" s="233" t="str">
        <f>VLOOKUP(Table8[[#This Row],[Document ID]],Table1[],10,FALSE)</f>
        <v>Active</v>
      </c>
      <c r="H2091" s="43" t="s">
        <v>2350</v>
      </c>
      <c r="I2091" s="43" t="s">
        <v>2370</v>
      </c>
      <c r="J2091" s="44" t="s">
        <v>2581</v>
      </c>
      <c r="K2091" s="44" t="s">
        <v>4256</v>
      </c>
      <c r="L2091" s="44" t="s">
        <v>2347</v>
      </c>
      <c r="M2091" s="43">
        <v>48</v>
      </c>
      <c r="N2091" s="113"/>
      <c r="O2091" s="113"/>
      <c r="P2091" s="113" t="s">
        <v>1113</v>
      </c>
      <c r="Q2091" s="113"/>
      <c r="R2091" s="113"/>
      <c r="S2091" s="113"/>
      <c r="T2091" s="113"/>
      <c r="U2091" s="113"/>
      <c r="V2091" s="113"/>
      <c r="W2091" s="113"/>
      <c r="X2091" s="113"/>
      <c r="Y2091" s="113"/>
      <c r="Z2091" s="113"/>
      <c r="AA2091" s="113"/>
      <c r="AB2091" s="113"/>
      <c r="AC2091" s="113"/>
      <c r="AD2091" s="113"/>
      <c r="AE2091" s="113"/>
      <c r="AF2091" s="113"/>
      <c r="AG2091" s="113"/>
      <c r="AH2091" s="113"/>
      <c r="AI2091" s="113"/>
      <c r="AJ2091" s="113"/>
      <c r="AK2091" s="113" t="s">
        <v>1113</v>
      </c>
      <c r="AL2091" s="113"/>
      <c r="AM2091" s="113"/>
      <c r="AN2091" s="113"/>
      <c r="AO2091" s="44" t="s">
        <v>2334</v>
      </c>
      <c r="AP2091" s="43"/>
      <c r="AQ2091" s="236" t="str">
        <f>VLOOKUP(Table8[[#This Row],[Instrument]],Def_Targets!$D$73:$E$159,2,FALSE)</f>
        <v>A_SUMP</v>
      </c>
      <c r="AR2091" s="233" t="str">
        <f>VLOOKUP(Table8[[#This Row],[Country Code]],Table29[],3,FALSE)</f>
        <v>Non-Annex I</v>
      </c>
      <c r="AS2091" s="233" t="str">
        <f>VLOOKUP(Table8[[#This Row],[Country Code]],Table29[],4,FALSE)</f>
        <v>Europe</v>
      </c>
      <c r="AT2091" s="233" t="str">
        <f>VLOOKUP(Table8[[#This Row],[Country Code]],Table29[],5,FALSE)</f>
        <v>Middle-income</v>
      </c>
      <c r="AU2091" s="233" t="str">
        <f>VLOOKUP(Table8[[#This Row],[Country Code]],Table29[],6,FALSE)</f>
        <v>no</v>
      </c>
      <c r="AV2091" s="233" t="str">
        <f>VLOOKUP(Table8[[#This Row],[Country Code]],Table29[],7,FALSE)</f>
        <v>no</v>
      </c>
      <c r="AW2091" s="233" t="str">
        <f>VLOOKUP(Table8[[#This Row],[Country Code]],Table29[],8,FALSE)</f>
        <v>non-OECD</v>
      </c>
      <c r="AX2091" s="233" t="str">
        <f>VLOOKUP(Table8[[#This Row],[Country Code]],Table29[],9,FALSE)</f>
        <v>no</v>
      </c>
      <c r="AY2091" s="233" t="str">
        <f>VLOOKUP(Table8[[#This Row],[Country Code]],Table29[],10,FALSE)</f>
        <v>no</v>
      </c>
      <c r="AZ2091" s="235">
        <f>VLOOKUP(Table8[[#This Row],[Country Code]],Table29[],23,FALSE)</f>
        <v>67.214992478558003</v>
      </c>
      <c r="BA2091" s="235">
        <f>VLOOKUP(Table8[[#This Row],[Country Code]],Table29[],24,FALSE)</f>
        <v>10.45024022782124</v>
      </c>
      <c r="BB2091" s="320"/>
      <c r="BC2091" s="320"/>
    </row>
    <row r="2092" spans="1:55" ht="30" hidden="1" x14ac:dyDescent="0.25">
      <c r="A2092" s="373">
        <v>41742</v>
      </c>
      <c r="B2092" s="233" t="str">
        <f>VLOOKUP(Table8[[#This Row],[Document ID]],Table1[],2,FALSE)</f>
        <v>SRB</v>
      </c>
      <c r="C2092" s="233" t="str">
        <f>VLOOKUP(Table8[[#This Row],[Document ID]],Table1[],3,FALSE)</f>
        <v>Serbia</v>
      </c>
      <c r="D2092" s="243" t="str">
        <f>VLOOKUP(Table8[[#This Row],[Document ID]],Table1[],5,FALSE)</f>
        <v>LTS</v>
      </c>
      <c r="E2092" s="233" t="str">
        <f>VLOOKUP(Table8[[#This Row],[Document ID]],Table1[],7,FALSE)</f>
        <v>LTS</v>
      </c>
      <c r="F2092" s="233" t="str">
        <f>VLOOKUP(Table8[[#This Row],[Document ID]],Table1[],8,FALSE)</f>
        <v>LTS 1.0</v>
      </c>
      <c r="G2092" s="233" t="str">
        <f>VLOOKUP(Table8[[#This Row],[Document ID]],Table1[],10,FALSE)</f>
        <v>Active</v>
      </c>
      <c r="H2092" s="43" t="s">
        <v>2343</v>
      </c>
      <c r="I2092" s="43" t="s">
        <v>2361</v>
      </c>
      <c r="J2092" s="44" t="s">
        <v>2366</v>
      </c>
      <c r="K2092" s="44" t="s">
        <v>4256</v>
      </c>
      <c r="L2092" s="44" t="s">
        <v>2347</v>
      </c>
      <c r="M2092" s="43">
        <v>48</v>
      </c>
      <c r="N2092" s="113"/>
      <c r="O2092" s="113"/>
      <c r="P2092" s="113" t="s">
        <v>1113</v>
      </c>
      <c r="Q2092" s="113"/>
      <c r="R2092" s="113"/>
      <c r="S2092" s="113"/>
      <c r="T2092" s="113"/>
      <c r="U2092" s="113"/>
      <c r="V2092" s="113"/>
      <c r="W2092" s="113"/>
      <c r="X2092" s="113"/>
      <c r="Y2092" s="113"/>
      <c r="Z2092" s="113"/>
      <c r="AA2092" s="113"/>
      <c r="AB2092" s="113"/>
      <c r="AC2092" s="113"/>
      <c r="AD2092" s="113"/>
      <c r="AE2092" s="113"/>
      <c r="AF2092" s="113"/>
      <c r="AG2092" s="113"/>
      <c r="AH2092" s="113"/>
      <c r="AI2092" s="113"/>
      <c r="AJ2092" s="113"/>
      <c r="AK2092" s="113" t="s">
        <v>1113</v>
      </c>
      <c r="AL2092" s="113"/>
      <c r="AM2092" s="113"/>
      <c r="AN2092" s="113"/>
      <c r="AO2092" s="44" t="s">
        <v>2334</v>
      </c>
      <c r="AP2092" s="43"/>
      <c r="AQ2092" s="236" t="str">
        <f>VLOOKUP(Table8[[#This Row],[Instrument]],Def_Targets!$D$73:$E$159,2,FALSE)</f>
        <v>S_Activemobility</v>
      </c>
      <c r="AR2092" s="233" t="str">
        <f>VLOOKUP(Table8[[#This Row],[Country Code]],Table29[],3,FALSE)</f>
        <v>Non-Annex I</v>
      </c>
      <c r="AS2092" s="233" t="str">
        <f>VLOOKUP(Table8[[#This Row],[Country Code]],Table29[],4,FALSE)</f>
        <v>Europe</v>
      </c>
      <c r="AT2092" s="233" t="str">
        <f>VLOOKUP(Table8[[#This Row],[Country Code]],Table29[],5,FALSE)</f>
        <v>Middle-income</v>
      </c>
      <c r="AU2092" s="233" t="str">
        <f>VLOOKUP(Table8[[#This Row],[Country Code]],Table29[],6,FALSE)</f>
        <v>no</v>
      </c>
      <c r="AV2092" s="233" t="str">
        <f>VLOOKUP(Table8[[#This Row],[Country Code]],Table29[],7,FALSE)</f>
        <v>no</v>
      </c>
      <c r="AW2092" s="233" t="str">
        <f>VLOOKUP(Table8[[#This Row],[Country Code]],Table29[],8,FALSE)</f>
        <v>non-OECD</v>
      </c>
      <c r="AX2092" s="233" t="str">
        <f>VLOOKUP(Table8[[#This Row],[Country Code]],Table29[],9,FALSE)</f>
        <v>no</v>
      </c>
      <c r="AY2092" s="233" t="str">
        <f>VLOOKUP(Table8[[#This Row],[Country Code]],Table29[],10,FALSE)</f>
        <v>no</v>
      </c>
      <c r="AZ2092" s="235">
        <f>VLOOKUP(Table8[[#This Row],[Country Code]],Table29[],23,FALSE)</f>
        <v>67.214992478558003</v>
      </c>
      <c r="BA2092" s="235">
        <f>VLOOKUP(Table8[[#This Row],[Country Code]],Table29[],24,FALSE)</f>
        <v>10.45024022782124</v>
      </c>
      <c r="BB2092" s="320"/>
      <c r="BC2092" s="320"/>
    </row>
    <row r="2093" spans="1:55" ht="30" hidden="1" x14ac:dyDescent="0.25">
      <c r="A2093" s="373">
        <v>41742</v>
      </c>
      <c r="B2093" s="233" t="str">
        <f>VLOOKUP(Table8[[#This Row],[Document ID]],Table1[],2,FALSE)</f>
        <v>SRB</v>
      </c>
      <c r="C2093" s="233" t="str">
        <f>VLOOKUP(Table8[[#This Row],[Document ID]],Table1[],3,FALSE)</f>
        <v>Serbia</v>
      </c>
      <c r="D2093" s="243" t="str">
        <f>VLOOKUP(Table8[[#This Row],[Document ID]],Table1[],5,FALSE)</f>
        <v>LTS</v>
      </c>
      <c r="E2093" s="233" t="str">
        <f>VLOOKUP(Table8[[#This Row],[Document ID]],Table1[],7,FALSE)</f>
        <v>LTS</v>
      </c>
      <c r="F2093" s="233" t="str">
        <f>VLOOKUP(Table8[[#This Row],[Document ID]],Table1[],8,FALSE)</f>
        <v>LTS 1.0</v>
      </c>
      <c r="G2093" s="233" t="str">
        <f>VLOOKUP(Table8[[#This Row],[Document ID]],Table1[],10,FALSE)</f>
        <v>Active</v>
      </c>
      <c r="H2093" s="43" t="s">
        <v>2350</v>
      </c>
      <c r="I2093" s="43" t="s">
        <v>2456</v>
      </c>
      <c r="J2093" s="44" t="s">
        <v>2466</v>
      </c>
      <c r="K2093" s="44" t="s">
        <v>4257</v>
      </c>
      <c r="L2093" s="44" t="s">
        <v>2347</v>
      </c>
      <c r="M2093" s="43">
        <v>48</v>
      </c>
      <c r="N2093" s="113"/>
      <c r="O2093" s="113"/>
      <c r="P2093" s="113"/>
      <c r="Q2093" s="113"/>
      <c r="R2093" s="113"/>
      <c r="S2093" s="113"/>
      <c r="T2093" s="113"/>
      <c r="U2093" s="113"/>
      <c r="V2093" s="113"/>
      <c r="W2093" s="113"/>
      <c r="X2093" s="113"/>
      <c r="Y2093" s="113"/>
      <c r="Z2093" s="113" t="s">
        <v>1113</v>
      </c>
      <c r="AA2093" s="113"/>
      <c r="AB2093" s="113"/>
      <c r="AC2093" s="113"/>
      <c r="AD2093" s="113"/>
      <c r="AE2093" s="113"/>
      <c r="AF2093" s="113"/>
      <c r="AG2093" s="113"/>
      <c r="AH2093" s="113"/>
      <c r="AI2093" s="113"/>
      <c r="AJ2093" s="113"/>
      <c r="AK2093" s="113" t="s">
        <v>1113</v>
      </c>
      <c r="AL2093" s="113"/>
      <c r="AM2093" s="113"/>
      <c r="AN2093" s="113"/>
      <c r="AO2093" s="44" t="s">
        <v>2334</v>
      </c>
      <c r="AP2093" s="43"/>
      <c r="AQ2093" s="236" t="str">
        <f>VLOOKUP(Table8[[#This Row],[Instrument]],Def_Targets!$D$73:$E$159,2,FALSE)</f>
        <v>S_Infraexpansion</v>
      </c>
      <c r="AR2093" s="233" t="str">
        <f>VLOOKUP(Table8[[#This Row],[Country Code]],Table29[],3,FALSE)</f>
        <v>Non-Annex I</v>
      </c>
      <c r="AS2093" s="233" t="str">
        <f>VLOOKUP(Table8[[#This Row],[Country Code]],Table29[],4,FALSE)</f>
        <v>Europe</v>
      </c>
      <c r="AT2093" s="233" t="str">
        <f>VLOOKUP(Table8[[#This Row],[Country Code]],Table29[],5,FALSE)</f>
        <v>Middle-income</v>
      </c>
      <c r="AU2093" s="233" t="str">
        <f>VLOOKUP(Table8[[#This Row],[Country Code]],Table29[],6,FALSE)</f>
        <v>no</v>
      </c>
      <c r="AV2093" s="233" t="str">
        <f>VLOOKUP(Table8[[#This Row],[Country Code]],Table29[],7,FALSE)</f>
        <v>no</v>
      </c>
      <c r="AW2093" s="233" t="str">
        <f>VLOOKUP(Table8[[#This Row],[Country Code]],Table29[],8,FALSE)</f>
        <v>non-OECD</v>
      </c>
      <c r="AX2093" s="233" t="str">
        <f>VLOOKUP(Table8[[#This Row],[Country Code]],Table29[],9,FALSE)</f>
        <v>no</v>
      </c>
      <c r="AY2093" s="233" t="str">
        <f>VLOOKUP(Table8[[#This Row],[Country Code]],Table29[],10,FALSE)</f>
        <v>no</v>
      </c>
      <c r="AZ2093" s="235">
        <f>VLOOKUP(Table8[[#This Row],[Country Code]],Table29[],23,FALSE)</f>
        <v>67.214992478558003</v>
      </c>
      <c r="BA2093" s="235">
        <f>VLOOKUP(Table8[[#This Row],[Country Code]],Table29[],24,FALSE)</f>
        <v>10.45024022782124</v>
      </c>
      <c r="BB2093" s="320"/>
      <c r="BC2093" s="320"/>
    </row>
    <row r="2094" spans="1:55" hidden="1" x14ac:dyDescent="0.25">
      <c r="A2094" s="373">
        <v>41742</v>
      </c>
      <c r="B2094" s="233" t="str">
        <f>VLOOKUP(Table8[[#This Row],[Document ID]],Table1[],2,FALSE)</f>
        <v>SRB</v>
      </c>
      <c r="C2094" s="233" t="str">
        <f>VLOOKUP(Table8[[#This Row],[Document ID]],Table1[],3,FALSE)</f>
        <v>Serbia</v>
      </c>
      <c r="D2094" s="243" t="str">
        <f>VLOOKUP(Table8[[#This Row],[Document ID]],Table1[],5,FALSE)</f>
        <v>LTS</v>
      </c>
      <c r="E2094" s="233" t="str">
        <f>VLOOKUP(Table8[[#This Row],[Document ID]],Table1[],7,FALSE)</f>
        <v>LTS</v>
      </c>
      <c r="F2094" s="233" t="str">
        <f>VLOOKUP(Table8[[#This Row],[Document ID]],Table1[],8,FALSE)</f>
        <v>LTS 1.0</v>
      </c>
      <c r="G2094" s="233" t="str">
        <f>VLOOKUP(Table8[[#This Row],[Document ID]],Table1[],10,FALSE)</f>
        <v>Active</v>
      </c>
      <c r="H2094" s="44" t="s">
        <v>2329</v>
      </c>
      <c r="I2094" s="44" t="s">
        <v>2330</v>
      </c>
      <c r="J2094" s="44" t="s">
        <v>2331</v>
      </c>
      <c r="K2094" s="44" t="s">
        <v>4258</v>
      </c>
      <c r="L2094" s="44" t="s">
        <v>2333</v>
      </c>
      <c r="M2094" s="43">
        <v>48</v>
      </c>
      <c r="N2094" s="113" t="s">
        <v>1113</v>
      </c>
      <c r="O2094" s="113"/>
      <c r="P2094" s="113"/>
      <c r="Q2094" s="113"/>
      <c r="R2094" s="113"/>
      <c r="S2094" s="113"/>
      <c r="T2094" s="113"/>
      <c r="U2094" s="113"/>
      <c r="V2094" s="113"/>
      <c r="W2094" s="113"/>
      <c r="X2094" s="113"/>
      <c r="Y2094" s="113"/>
      <c r="Z2094" s="113"/>
      <c r="AA2094" s="113"/>
      <c r="AB2094" s="113"/>
      <c r="AC2094" s="113"/>
      <c r="AD2094" s="113"/>
      <c r="AE2094" s="113"/>
      <c r="AF2094" s="113"/>
      <c r="AG2094" s="113"/>
      <c r="AH2094" s="113"/>
      <c r="AI2094" s="113"/>
      <c r="AJ2094" s="113"/>
      <c r="AK2094" s="113" t="s">
        <v>1113</v>
      </c>
      <c r="AL2094" s="113"/>
      <c r="AM2094" s="113"/>
      <c r="AN2094" s="113"/>
      <c r="AO2094" s="44" t="s">
        <v>2334</v>
      </c>
      <c r="AP2094" s="43"/>
      <c r="AQ2094" s="236" t="str">
        <f>VLOOKUP(Table8[[#This Row],[Instrument]],Def_Targets!$D$73:$E$159,2,FALSE)</f>
        <v>I_Altfuels</v>
      </c>
      <c r="AR2094" s="233" t="str">
        <f>VLOOKUP(Table8[[#This Row],[Country Code]],Table29[],3,FALSE)</f>
        <v>Non-Annex I</v>
      </c>
      <c r="AS2094" s="233" t="str">
        <f>VLOOKUP(Table8[[#This Row],[Country Code]],Table29[],4,FALSE)</f>
        <v>Europe</v>
      </c>
      <c r="AT2094" s="233" t="str">
        <f>VLOOKUP(Table8[[#This Row],[Country Code]],Table29[],5,FALSE)</f>
        <v>Middle-income</v>
      </c>
      <c r="AU2094" s="233" t="str">
        <f>VLOOKUP(Table8[[#This Row],[Country Code]],Table29[],6,FALSE)</f>
        <v>no</v>
      </c>
      <c r="AV2094" s="233" t="str">
        <f>VLOOKUP(Table8[[#This Row],[Country Code]],Table29[],7,FALSE)</f>
        <v>no</v>
      </c>
      <c r="AW2094" s="233" t="str">
        <f>VLOOKUP(Table8[[#This Row],[Country Code]],Table29[],8,FALSE)</f>
        <v>non-OECD</v>
      </c>
      <c r="AX2094" s="233" t="str">
        <f>VLOOKUP(Table8[[#This Row],[Country Code]],Table29[],9,FALSE)</f>
        <v>no</v>
      </c>
      <c r="AY2094" s="233" t="str">
        <f>VLOOKUP(Table8[[#This Row],[Country Code]],Table29[],10,FALSE)</f>
        <v>no</v>
      </c>
      <c r="AZ2094" s="235">
        <f>VLOOKUP(Table8[[#This Row],[Country Code]],Table29[],23,FALSE)</f>
        <v>67.214992478558003</v>
      </c>
      <c r="BA2094" s="235">
        <f>VLOOKUP(Table8[[#This Row],[Country Code]],Table29[],24,FALSE)</f>
        <v>10.45024022782124</v>
      </c>
      <c r="BB2094" s="320"/>
      <c r="BC2094" s="320"/>
    </row>
    <row r="2095" spans="1:55" hidden="1" x14ac:dyDescent="0.25">
      <c r="A2095" s="373">
        <v>41742</v>
      </c>
      <c r="B2095" s="233" t="str">
        <f>VLOOKUP(Table8[[#This Row],[Document ID]],Table1[],2,FALSE)</f>
        <v>SRB</v>
      </c>
      <c r="C2095" s="233" t="str">
        <f>VLOOKUP(Table8[[#This Row],[Document ID]],Table1[],3,FALSE)</f>
        <v>Serbia</v>
      </c>
      <c r="D2095" s="243" t="str">
        <f>VLOOKUP(Table8[[#This Row],[Document ID]],Table1[],5,FALSE)</f>
        <v>LTS</v>
      </c>
      <c r="E2095" s="233" t="str">
        <f>VLOOKUP(Table8[[#This Row],[Document ID]],Table1[],7,FALSE)</f>
        <v>LTS</v>
      </c>
      <c r="F2095" s="233" t="str">
        <f>VLOOKUP(Table8[[#This Row],[Document ID]],Table1[],8,FALSE)</f>
        <v>LTS 1.0</v>
      </c>
      <c r="G2095" s="233" t="str">
        <f>VLOOKUP(Table8[[#This Row],[Document ID]],Table1[],10,FALSE)</f>
        <v>Active</v>
      </c>
      <c r="H2095" s="44" t="s">
        <v>2329</v>
      </c>
      <c r="I2095" s="44" t="s">
        <v>2330</v>
      </c>
      <c r="J2095" s="44" t="s">
        <v>2357</v>
      </c>
      <c r="K2095" s="44" t="s">
        <v>4258</v>
      </c>
      <c r="L2095" s="44" t="s">
        <v>2333</v>
      </c>
      <c r="M2095" s="43">
        <v>48</v>
      </c>
      <c r="N2095" s="113" t="s">
        <v>1113</v>
      </c>
      <c r="O2095" s="113"/>
      <c r="P2095" s="113"/>
      <c r="Q2095" s="113"/>
      <c r="R2095" s="113"/>
      <c r="S2095" s="113"/>
      <c r="T2095" s="113"/>
      <c r="U2095" s="113"/>
      <c r="V2095" s="113"/>
      <c r="W2095" s="113"/>
      <c r="X2095" s="113"/>
      <c r="Y2095" s="113"/>
      <c r="Z2095" s="113"/>
      <c r="AA2095" s="113"/>
      <c r="AB2095" s="113"/>
      <c r="AC2095" s="113"/>
      <c r="AD2095" s="113"/>
      <c r="AE2095" s="113"/>
      <c r="AF2095" s="113"/>
      <c r="AG2095" s="113"/>
      <c r="AH2095" s="113"/>
      <c r="AI2095" s="113"/>
      <c r="AJ2095" s="113"/>
      <c r="AK2095" s="113" t="s">
        <v>1113</v>
      </c>
      <c r="AL2095" s="113"/>
      <c r="AM2095" s="113"/>
      <c r="AN2095" s="113"/>
      <c r="AO2095" s="44" t="s">
        <v>2334</v>
      </c>
      <c r="AP2095" s="43"/>
      <c r="AQ2095" s="236" t="str">
        <f>VLOOKUP(Table8[[#This Row],[Instrument]],Def_Targets!$D$73:$E$159,2,FALSE)</f>
        <v>I_Biofuel</v>
      </c>
      <c r="AR2095" s="233" t="str">
        <f>VLOOKUP(Table8[[#This Row],[Country Code]],Table29[],3,FALSE)</f>
        <v>Non-Annex I</v>
      </c>
      <c r="AS2095" s="233" t="str">
        <f>VLOOKUP(Table8[[#This Row],[Country Code]],Table29[],4,FALSE)</f>
        <v>Europe</v>
      </c>
      <c r="AT2095" s="233" t="str">
        <f>VLOOKUP(Table8[[#This Row],[Country Code]],Table29[],5,FALSE)</f>
        <v>Middle-income</v>
      </c>
      <c r="AU2095" s="233" t="str">
        <f>VLOOKUP(Table8[[#This Row],[Country Code]],Table29[],6,FALSE)</f>
        <v>no</v>
      </c>
      <c r="AV2095" s="233" t="str">
        <f>VLOOKUP(Table8[[#This Row],[Country Code]],Table29[],7,FALSE)</f>
        <v>no</v>
      </c>
      <c r="AW2095" s="233" t="str">
        <f>VLOOKUP(Table8[[#This Row],[Country Code]],Table29[],8,FALSE)</f>
        <v>non-OECD</v>
      </c>
      <c r="AX2095" s="233" t="str">
        <f>VLOOKUP(Table8[[#This Row],[Country Code]],Table29[],9,FALSE)</f>
        <v>no</v>
      </c>
      <c r="AY2095" s="233" t="str">
        <f>VLOOKUP(Table8[[#This Row],[Country Code]],Table29[],10,FALSE)</f>
        <v>no</v>
      </c>
      <c r="AZ2095" s="235">
        <f>VLOOKUP(Table8[[#This Row],[Country Code]],Table29[],23,FALSE)</f>
        <v>67.214992478558003</v>
      </c>
      <c r="BA2095" s="235">
        <f>VLOOKUP(Table8[[#This Row],[Country Code]],Table29[],24,FALSE)</f>
        <v>10.45024022782124</v>
      </c>
      <c r="BB2095" s="320"/>
      <c r="BC2095" s="320"/>
    </row>
    <row r="2096" spans="1:55" ht="30" hidden="1" x14ac:dyDescent="0.25">
      <c r="A2096" s="373">
        <v>41742</v>
      </c>
      <c r="B2096" s="233" t="str">
        <f>VLOOKUP(Table8[[#This Row],[Document ID]],Table1[],2,FALSE)</f>
        <v>SRB</v>
      </c>
      <c r="C2096" s="233" t="str">
        <f>VLOOKUP(Table8[[#This Row],[Document ID]],Table1[],3,FALSE)</f>
        <v>Serbia</v>
      </c>
      <c r="D2096" s="243" t="str">
        <f>VLOOKUP(Table8[[#This Row],[Document ID]],Table1[],5,FALSE)</f>
        <v>LTS</v>
      </c>
      <c r="E2096" s="233" t="str">
        <f>VLOOKUP(Table8[[#This Row],[Document ID]],Table1[],7,FALSE)</f>
        <v>LTS</v>
      </c>
      <c r="F2096" s="233" t="str">
        <f>VLOOKUP(Table8[[#This Row],[Document ID]],Table1[],8,FALSE)</f>
        <v>LTS 1.0</v>
      </c>
      <c r="G2096" s="233" t="str">
        <f>VLOOKUP(Table8[[#This Row],[Document ID]],Table1[],10,FALSE)</f>
        <v>Active</v>
      </c>
      <c r="H2096" s="44" t="s">
        <v>2338</v>
      </c>
      <c r="I2096" s="44" t="s">
        <v>2339</v>
      </c>
      <c r="J2096" s="44" t="s">
        <v>2413</v>
      </c>
      <c r="K2096" s="44" t="s">
        <v>4259</v>
      </c>
      <c r="L2096" s="44" t="s">
        <v>2333</v>
      </c>
      <c r="M2096" s="43">
        <v>49</v>
      </c>
      <c r="N2096" s="113"/>
      <c r="O2096" s="113"/>
      <c r="P2096" s="113"/>
      <c r="Q2096" s="113"/>
      <c r="R2096" s="113"/>
      <c r="S2096" s="113"/>
      <c r="T2096" s="113"/>
      <c r="U2096" s="113"/>
      <c r="V2096" s="113"/>
      <c r="W2096" s="113"/>
      <c r="X2096" s="113" t="s">
        <v>1113</v>
      </c>
      <c r="Y2096" s="113"/>
      <c r="Z2096" s="113"/>
      <c r="AA2096" s="113"/>
      <c r="AB2096" s="113"/>
      <c r="AC2096" s="113"/>
      <c r="AD2096" s="113"/>
      <c r="AE2096" s="113"/>
      <c r="AF2096" s="113"/>
      <c r="AG2096" s="113"/>
      <c r="AH2096" s="113"/>
      <c r="AI2096" s="113"/>
      <c r="AJ2096" s="113"/>
      <c r="AK2096" s="113" t="s">
        <v>1113</v>
      </c>
      <c r="AL2096" s="113"/>
      <c r="AM2096" s="113"/>
      <c r="AN2096" s="113"/>
      <c r="AO2096" s="43" t="s">
        <v>2353</v>
      </c>
      <c r="AP2096" s="43"/>
      <c r="AQ2096" s="236" t="str">
        <f>VLOOKUP(Table8[[#This Row],[Instrument]],Def_Targets!$D$73:$E$159,2,FALSE)</f>
        <v>I_Vehicleeff</v>
      </c>
      <c r="AR2096" s="233" t="str">
        <f>VLOOKUP(Table8[[#This Row],[Country Code]],Table29[],3,FALSE)</f>
        <v>Non-Annex I</v>
      </c>
      <c r="AS2096" s="233" t="str">
        <f>VLOOKUP(Table8[[#This Row],[Country Code]],Table29[],4,FALSE)</f>
        <v>Europe</v>
      </c>
      <c r="AT2096" s="233" t="str">
        <f>VLOOKUP(Table8[[#This Row],[Country Code]],Table29[],5,FALSE)</f>
        <v>Middle-income</v>
      </c>
      <c r="AU2096" s="233" t="str">
        <f>VLOOKUP(Table8[[#This Row],[Country Code]],Table29[],6,FALSE)</f>
        <v>no</v>
      </c>
      <c r="AV2096" s="233" t="str">
        <f>VLOOKUP(Table8[[#This Row],[Country Code]],Table29[],7,FALSE)</f>
        <v>no</v>
      </c>
      <c r="AW2096" s="233" t="str">
        <f>VLOOKUP(Table8[[#This Row],[Country Code]],Table29[],8,FALSE)</f>
        <v>non-OECD</v>
      </c>
      <c r="AX2096" s="233" t="str">
        <f>VLOOKUP(Table8[[#This Row],[Country Code]],Table29[],9,FALSE)</f>
        <v>no</v>
      </c>
      <c r="AY2096" s="233" t="str">
        <f>VLOOKUP(Table8[[#This Row],[Country Code]],Table29[],10,FALSE)</f>
        <v>no</v>
      </c>
      <c r="AZ2096" s="235">
        <f>VLOOKUP(Table8[[#This Row],[Country Code]],Table29[],23,FALSE)</f>
        <v>67.214992478558003</v>
      </c>
      <c r="BA2096" s="235">
        <f>VLOOKUP(Table8[[#This Row],[Country Code]],Table29[],24,FALSE)</f>
        <v>10.45024022782124</v>
      </c>
      <c r="BB2096" s="320"/>
      <c r="BC2096" s="320"/>
    </row>
    <row r="2097" spans="1:55" hidden="1" x14ac:dyDescent="0.25">
      <c r="A2097" s="373">
        <v>41742</v>
      </c>
      <c r="B2097" s="233" t="str">
        <f>VLOOKUP(Table8[[#This Row],[Document ID]],Table1[],2,FALSE)</f>
        <v>SRB</v>
      </c>
      <c r="C2097" s="233" t="str">
        <f>VLOOKUP(Table8[[#This Row],[Document ID]],Table1[],3,FALSE)</f>
        <v>Serbia</v>
      </c>
      <c r="D2097" s="243" t="str">
        <f>VLOOKUP(Table8[[#This Row],[Document ID]],Table1[],5,FALSE)</f>
        <v>LTS</v>
      </c>
      <c r="E2097" s="233" t="str">
        <f>VLOOKUP(Table8[[#This Row],[Document ID]],Table1[],7,FALSE)</f>
        <v>LTS</v>
      </c>
      <c r="F2097" s="233" t="str">
        <f>VLOOKUP(Table8[[#This Row],[Document ID]],Table1[],8,FALSE)</f>
        <v>LTS 1.0</v>
      </c>
      <c r="G2097" s="233" t="str">
        <f>VLOOKUP(Table8[[#This Row],[Document ID]],Table1[],10,FALSE)</f>
        <v>Active</v>
      </c>
      <c r="H2097" s="43" t="s">
        <v>2343</v>
      </c>
      <c r="I2097" s="43" t="s">
        <v>2386</v>
      </c>
      <c r="J2097" s="44" t="s">
        <v>2569</v>
      </c>
      <c r="K2097" s="44" t="s">
        <v>4260</v>
      </c>
      <c r="L2097" s="44" t="s">
        <v>2333</v>
      </c>
      <c r="M2097" s="43">
        <v>49</v>
      </c>
      <c r="N2097" s="113"/>
      <c r="O2097" s="113"/>
      <c r="P2097" s="113"/>
      <c r="Q2097" s="113"/>
      <c r="R2097" s="113"/>
      <c r="S2097" s="113"/>
      <c r="T2097" s="113"/>
      <c r="U2097" s="113"/>
      <c r="V2097" s="113"/>
      <c r="W2097" s="113"/>
      <c r="X2097" s="113" t="s">
        <v>1113</v>
      </c>
      <c r="Y2097" s="113"/>
      <c r="Z2097" s="113"/>
      <c r="AA2097" s="113"/>
      <c r="AB2097" s="113"/>
      <c r="AC2097" s="113"/>
      <c r="AD2097" s="113"/>
      <c r="AE2097" s="113"/>
      <c r="AF2097" s="113"/>
      <c r="AG2097" s="113"/>
      <c r="AH2097" s="113"/>
      <c r="AI2097" s="113"/>
      <c r="AJ2097" s="113"/>
      <c r="AK2097" s="113" t="s">
        <v>1113</v>
      </c>
      <c r="AL2097" s="113"/>
      <c r="AM2097" s="113"/>
      <c r="AN2097" s="113"/>
      <c r="AO2097" s="43" t="s">
        <v>2353</v>
      </c>
      <c r="AP2097" s="43"/>
      <c r="AQ2097" s="236" t="str">
        <f>VLOOKUP(Table8[[#This Row],[Instrument]],Def_Targets!$D$73:$E$159,2,FALSE)</f>
        <v>A_Roadcharging</v>
      </c>
      <c r="AR2097" s="233" t="str">
        <f>VLOOKUP(Table8[[#This Row],[Country Code]],Table29[],3,FALSE)</f>
        <v>Non-Annex I</v>
      </c>
      <c r="AS2097" s="233" t="str">
        <f>VLOOKUP(Table8[[#This Row],[Country Code]],Table29[],4,FALSE)</f>
        <v>Europe</v>
      </c>
      <c r="AT2097" s="233" t="str">
        <f>VLOOKUP(Table8[[#This Row],[Country Code]],Table29[],5,FALSE)</f>
        <v>Middle-income</v>
      </c>
      <c r="AU2097" s="233" t="str">
        <f>VLOOKUP(Table8[[#This Row],[Country Code]],Table29[],6,FALSE)</f>
        <v>no</v>
      </c>
      <c r="AV2097" s="233" t="str">
        <f>VLOOKUP(Table8[[#This Row],[Country Code]],Table29[],7,FALSE)</f>
        <v>no</v>
      </c>
      <c r="AW2097" s="233" t="str">
        <f>VLOOKUP(Table8[[#This Row],[Country Code]],Table29[],8,FALSE)</f>
        <v>non-OECD</v>
      </c>
      <c r="AX2097" s="233" t="str">
        <f>VLOOKUP(Table8[[#This Row],[Country Code]],Table29[],9,FALSE)</f>
        <v>no</v>
      </c>
      <c r="AY2097" s="233" t="str">
        <f>VLOOKUP(Table8[[#This Row],[Country Code]],Table29[],10,FALSE)</f>
        <v>no</v>
      </c>
      <c r="AZ2097" s="235">
        <f>VLOOKUP(Table8[[#This Row],[Country Code]],Table29[],23,FALSE)</f>
        <v>67.214992478558003</v>
      </c>
      <c r="BA2097" s="235">
        <f>VLOOKUP(Table8[[#This Row],[Country Code]],Table29[],24,FALSE)</f>
        <v>10.45024022782124</v>
      </c>
      <c r="BB2097" s="320"/>
      <c r="BC2097" s="320"/>
    </row>
    <row r="2098" spans="1:55" ht="60" hidden="1" x14ac:dyDescent="0.25">
      <c r="A2098" s="373">
        <v>41742</v>
      </c>
      <c r="B2098" s="233" t="str">
        <f>VLOOKUP(Table8[[#This Row],[Document ID]],Table1[],2,FALSE)</f>
        <v>SRB</v>
      </c>
      <c r="C2098" s="233" t="str">
        <f>VLOOKUP(Table8[[#This Row],[Document ID]],Table1[],3,FALSE)</f>
        <v>Serbia</v>
      </c>
      <c r="D2098" s="243" t="str">
        <f>VLOOKUP(Table8[[#This Row],[Document ID]],Table1[],5,FALSE)</f>
        <v>LTS</v>
      </c>
      <c r="E2098" s="233" t="str">
        <f>VLOOKUP(Table8[[#This Row],[Document ID]],Table1[],7,FALSE)</f>
        <v>LTS</v>
      </c>
      <c r="F2098" s="233" t="str">
        <f>VLOOKUP(Table8[[#This Row],[Document ID]],Table1[],8,FALSE)</f>
        <v>LTS 1.0</v>
      </c>
      <c r="G2098" s="233" t="str">
        <f>VLOOKUP(Table8[[#This Row],[Document ID]],Table1[],10,FALSE)</f>
        <v>Active</v>
      </c>
      <c r="H2098" s="43" t="s">
        <v>2350</v>
      </c>
      <c r="I2098" s="43" t="s">
        <v>2370</v>
      </c>
      <c r="J2098" s="44" t="s">
        <v>2371</v>
      </c>
      <c r="K2098" s="44" t="s">
        <v>4261</v>
      </c>
      <c r="L2098" s="44" t="s">
        <v>2333</v>
      </c>
      <c r="M2098" s="43">
        <v>49</v>
      </c>
      <c r="N2098" s="113" t="s">
        <v>1113</v>
      </c>
      <c r="O2098" s="113"/>
      <c r="P2098" s="113"/>
      <c r="Q2098" s="113"/>
      <c r="R2098" s="113"/>
      <c r="S2098" s="113"/>
      <c r="T2098" s="113"/>
      <c r="U2098" s="113"/>
      <c r="V2098" s="113"/>
      <c r="W2098" s="113"/>
      <c r="X2098" s="113"/>
      <c r="Y2098" s="113"/>
      <c r="Z2098" s="113"/>
      <c r="AA2098" s="113"/>
      <c r="AB2098" s="113"/>
      <c r="AC2098" s="113"/>
      <c r="AD2098" s="113"/>
      <c r="AE2098" s="113"/>
      <c r="AF2098" s="113"/>
      <c r="AG2098" s="113"/>
      <c r="AH2098" s="113"/>
      <c r="AI2098" s="113"/>
      <c r="AJ2098" s="113"/>
      <c r="AK2098" s="113" t="s">
        <v>1113</v>
      </c>
      <c r="AL2098" s="113"/>
      <c r="AM2098" s="113"/>
      <c r="AN2098" s="113"/>
      <c r="AO2098" s="44" t="s">
        <v>2334</v>
      </c>
      <c r="AP2098" s="43"/>
      <c r="AQ2098" s="236" t="str">
        <f>VLOOKUP(Table8[[#This Row],[Instrument]],Def_Targets!$D$73:$E$159,2,FALSE)</f>
        <v>A_Natmobplan</v>
      </c>
      <c r="AR2098" s="233" t="str">
        <f>VLOOKUP(Table8[[#This Row],[Country Code]],Table29[],3,FALSE)</f>
        <v>Non-Annex I</v>
      </c>
      <c r="AS2098" s="233" t="str">
        <f>VLOOKUP(Table8[[#This Row],[Country Code]],Table29[],4,FALSE)</f>
        <v>Europe</v>
      </c>
      <c r="AT2098" s="233" t="str">
        <f>VLOOKUP(Table8[[#This Row],[Country Code]],Table29[],5,FALSE)</f>
        <v>Middle-income</v>
      </c>
      <c r="AU2098" s="233" t="str">
        <f>VLOOKUP(Table8[[#This Row],[Country Code]],Table29[],6,FALSE)</f>
        <v>no</v>
      </c>
      <c r="AV2098" s="233" t="str">
        <f>VLOOKUP(Table8[[#This Row],[Country Code]],Table29[],7,FALSE)</f>
        <v>no</v>
      </c>
      <c r="AW2098" s="233" t="str">
        <f>VLOOKUP(Table8[[#This Row],[Country Code]],Table29[],8,FALSE)</f>
        <v>non-OECD</v>
      </c>
      <c r="AX2098" s="233" t="str">
        <f>VLOOKUP(Table8[[#This Row],[Country Code]],Table29[],9,FALSE)</f>
        <v>no</v>
      </c>
      <c r="AY2098" s="233" t="str">
        <f>VLOOKUP(Table8[[#This Row],[Country Code]],Table29[],10,FALSE)</f>
        <v>no</v>
      </c>
      <c r="AZ2098" s="235">
        <f>VLOOKUP(Table8[[#This Row],[Country Code]],Table29[],23,FALSE)</f>
        <v>67.214992478558003</v>
      </c>
      <c r="BA2098" s="235">
        <f>VLOOKUP(Table8[[#This Row],[Country Code]],Table29[],24,FALSE)</f>
        <v>10.45024022782124</v>
      </c>
      <c r="BB2098" s="320"/>
      <c r="BC2098" s="320"/>
    </row>
    <row r="2099" spans="1:55" ht="30" hidden="1" x14ac:dyDescent="0.25">
      <c r="A2099" s="373">
        <v>32532</v>
      </c>
      <c r="B2099" s="233" t="str">
        <f>VLOOKUP(Table8[[#This Row],[Document ID]],Table1[],2,FALSE)</f>
        <v>SGP</v>
      </c>
      <c r="C2099" s="233" t="str">
        <f>VLOOKUP(Table8[[#This Row],[Document ID]],Table1[],3,FALSE)</f>
        <v>Singapore</v>
      </c>
      <c r="D2099" s="243" t="str">
        <f>VLOOKUP(Table8[[#This Row],[Document ID]],Table1[],5,FALSE)</f>
        <v>LTS</v>
      </c>
      <c r="E2099" s="233" t="str">
        <f>VLOOKUP(Table8[[#This Row],[Document ID]],Table1[],7,FALSE)</f>
        <v>LTS</v>
      </c>
      <c r="F2099" s="233" t="str">
        <f>VLOOKUP(Table8[[#This Row],[Document ID]],Table1[],8,FALSE)</f>
        <v>LTS 1.1</v>
      </c>
      <c r="G2099" s="233" t="str">
        <f>VLOOKUP(Table8[[#This Row],[Document ID]],Table1[],10,FALSE)</f>
        <v>Active</v>
      </c>
      <c r="H2099" s="44" t="s">
        <v>2329</v>
      </c>
      <c r="I2099" s="44" t="s">
        <v>2330</v>
      </c>
      <c r="J2099" s="44" t="s">
        <v>2414</v>
      </c>
      <c r="K2099" s="44" t="s">
        <v>4262</v>
      </c>
      <c r="L2099" s="44" t="s">
        <v>2396</v>
      </c>
      <c r="M2099" s="43">
        <v>7</v>
      </c>
      <c r="N2099" s="113" t="s">
        <v>1113</v>
      </c>
      <c r="O2099" s="113"/>
      <c r="P2099" s="113"/>
      <c r="Q2099" s="113"/>
      <c r="R2099" s="113"/>
      <c r="S2099" s="113"/>
      <c r="T2099" s="113"/>
      <c r="U2099" s="113"/>
      <c r="V2099" s="113"/>
      <c r="W2099" s="113"/>
      <c r="X2099" s="113"/>
      <c r="Y2099" s="113"/>
      <c r="Z2099" s="113"/>
      <c r="AA2099" s="113"/>
      <c r="AB2099" s="113"/>
      <c r="AC2099" s="113"/>
      <c r="AD2099" s="113"/>
      <c r="AE2099" s="113"/>
      <c r="AF2099" s="113"/>
      <c r="AG2099" s="113"/>
      <c r="AH2099" s="113"/>
      <c r="AI2099" s="113"/>
      <c r="AJ2099" s="113"/>
      <c r="AK2099" s="113" t="s">
        <v>1113</v>
      </c>
      <c r="AL2099" s="113"/>
      <c r="AM2099" s="113"/>
      <c r="AN2099" s="113"/>
      <c r="AO2099" s="44" t="s">
        <v>2334</v>
      </c>
      <c r="AP2099" s="43"/>
      <c r="AQ2099" s="236" t="str">
        <f>VLOOKUP(Table8[[#This Row],[Instrument]],Def_Targets!$D$73:$E$159,2,FALSE)</f>
        <v>I_ICEdiesel</v>
      </c>
      <c r="AR2099" s="233" t="str">
        <f>VLOOKUP(Table8[[#This Row],[Country Code]],Table29[],3,FALSE)</f>
        <v>Non-Annex I</v>
      </c>
      <c r="AS2099" s="233" t="str">
        <f>VLOOKUP(Table8[[#This Row],[Country Code]],Table29[],4,FALSE)</f>
        <v>Asia</v>
      </c>
      <c r="AT2099" s="233" t="str">
        <f>VLOOKUP(Table8[[#This Row],[Country Code]],Table29[],5,FALSE)</f>
        <v>High-income</v>
      </c>
      <c r="AU2099" s="233" t="str">
        <f>VLOOKUP(Table8[[#This Row],[Country Code]],Table29[],6,FALSE)</f>
        <v>no</v>
      </c>
      <c r="AV2099" s="233" t="str">
        <f>VLOOKUP(Table8[[#This Row],[Country Code]],Table29[],7,FALSE)</f>
        <v>no</v>
      </c>
      <c r="AW2099" s="233" t="str">
        <f>VLOOKUP(Table8[[#This Row],[Country Code]],Table29[],8,FALSE)</f>
        <v>non-OECD</v>
      </c>
      <c r="AX2099" s="233" t="str">
        <f>VLOOKUP(Table8[[#This Row],[Country Code]],Table29[],9,FALSE)</f>
        <v>no</v>
      </c>
      <c r="AY2099" s="233" t="str">
        <f>VLOOKUP(Table8[[#This Row],[Country Code]],Table29[],10,FALSE)</f>
        <v>no</v>
      </c>
      <c r="AZ2099" s="235">
        <f>VLOOKUP(Table8[[#This Row],[Country Code]],Table29[],23,FALSE)</f>
        <v>74.290132466078006</v>
      </c>
      <c r="BA2099" s="235">
        <f>VLOOKUP(Table8[[#This Row],[Country Code]],Table29[],24,FALSE)</f>
        <v>6.8133364043247093</v>
      </c>
      <c r="BB2099" s="320"/>
      <c r="BC2099" s="320"/>
    </row>
    <row r="2100" spans="1:55" ht="30" hidden="1" x14ac:dyDescent="0.25">
      <c r="A2100" s="373">
        <v>32532</v>
      </c>
      <c r="B2100" s="233" t="str">
        <f>VLOOKUP(Table8[[#This Row],[Document ID]],Table1[],2,FALSE)</f>
        <v>SGP</v>
      </c>
      <c r="C2100" s="233" t="str">
        <f>VLOOKUP(Table8[[#This Row],[Document ID]],Table1[],3,FALSE)</f>
        <v>Singapore</v>
      </c>
      <c r="D2100" s="243" t="str">
        <f>VLOOKUP(Table8[[#This Row],[Document ID]],Table1[],5,FALSE)</f>
        <v>LTS</v>
      </c>
      <c r="E2100" s="233" t="str">
        <f>VLOOKUP(Table8[[#This Row],[Document ID]],Table1[],7,FALSE)</f>
        <v>LTS</v>
      </c>
      <c r="F2100" s="233" t="str">
        <f>VLOOKUP(Table8[[#This Row],[Document ID]],Table1[],8,FALSE)</f>
        <v>LTS 1.1</v>
      </c>
      <c r="G2100" s="233" t="str">
        <f>VLOOKUP(Table8[[#This Row],[Document ID]],Table1[],10,FALSE)</f>
        <v>Active</v>
      </c>
      <c r="H2100" s="43" t="s">
        <v>2358</v>
      </c>
      <c r="I2100" s="43" t="s">
        <v>2359</v>
      </c>
      <c r="J2100" s="44" t="s">
        <v>2389</v>
      </c>
      <c r="K2100" s="44" t="s">
        <v>4263</v>
      </c>
      <c r="L2100" s="44" t="s">
        <v>2333</v>
      </c>
      <c r="M2100" s="43">
        <v>7</v>
      </c>
      <c r="N2100" s="113" t="s">
        <v>1113</v>
      </c>
      <c r="O2100" s="113"/>
      <c r="P2100" s="113"/>
      <c r="Q2100" s="113"/>
      <c r="R2100" s="113"/>
      <c r="S2100" s="113"/>
      <c r="T2100" s="113"/>
      <c r="U2100" s="113"/>
      <c r="V2100" s="113"/>
      <c r="W2100" s="113"/>
      <c r="X2100" s="113"/>
      <c r="Y2100" s="113"/>
      <c r="Z2100" s="113"/>
      <c r="AA2100" s="113"/>
      <c r="AB2100" s="113"/>
      <c r="AC2100" s="113"/>
      <c r="AD2100" s="113"/>
      <c r="AE2100" s="113"/>
      <c r="AF2100" s="113"/>
      <c r="AG2100" s="113"/>
      <c r="AH2100" s="113"/>
      <c r="AI2100" s="113"/>
      <c r="AJ2100" s="113"/>
      <c r="AK2100" s="113" t="s">
        <v>1113</v>
      </c>
      <c r="AL2100" s="113"/>
      <c r="AM2100" s="113"/>
      <c r="AN2100" s="113"/>
      <c r="AO2100" s="44" t="s">
        <v>2334</v>
      </c>
      <c r="AP2100" s="43"/>
      <c r="AQ2100" s="236" t="str">
        <f>VLOOKUP(Table8[[#This Row],[Instrument]],Def_Targets!$D$73:$E$159,2,FALSE)</f>
        <v>I_Emobilitypurchase</v>
      </c>
      <c r="AR2100" s="233" t="str">
        <f>VLOOKUP(Table8[[#This Row],[Country Code]],Table29[],3,FALSE)</f>
        <v>Non-Annex I</v>
      </c>
      <c r="AS2100" s="233" t="str">
        <f>VLOOKUP(Table8[[#This Row],[Country Code]],Table29[],4,FALSE)</f>
        <v>Asia</v>
      </c>
      <c r="AT2100" s="233" t="str">
        <f>VLOOKUP(Table8[[#This Row],[Country Code]],Table29[],5,FALSE)</f>
        <v>High-income</v>
      </c>
      <c r="AU2100" s="233" t="str">
        <f>VLOOKUP(Table8[[#This Row],[Country Code]],Table29[],6,FALSE)</f>
        <v>no</v>
      </c>
      <c r="AV2100" s="233" t="str">
        <f>VLOOKUP(Table8[[#This Row],[Country Code]],Table29[],7,FALSE)</f>
        <v>no</v>
      </c>
      <c r="AW2100" s="233" t="str">
        <f>VLOOKUP(Table8[[#This Row],[Country Code]],Table29[],8,FALSE)</f>
        <v>non-OECD</v>
      </c>
      <c r="AX2100" s="233" t="str">
        <f>VLOOKUP(Table8[[#This Row],[Country Code]],Table29[],9,FALSE)</f>
        <v>no</v>
      </c>
      <c r="AY2100" s="233" t="str">
        <f>VLOOKUP(Table8[[#This Row],[Country Code]],Table29[],10,FALSE)</f>
        <v>no</v>
      </c>
      <c r="AZ2100" s="235">
        <f>VLOOKUP(Table8[[#This Row],[Country Code]],Table29[],23,FALSE)</f>
        <v>74.290132466078006</v>
      </c>
      <c r="BA2100" s="235">
        <f>VLOOKUP(Table8[[#This Row],[Country Code]],Table29[],24,FALSE)</f>
        <v>6.8133364043247093</v>
      </c>
      <c r="BB2100" s="320"/>
      <c r="BC2100" s="320"/>
    </row>
    <row r="2101" spans="1:55" ht="30" hidden="1" x14ac:dyDescent="0.25">
      <c r="A2101" s="373">
        <v>32532</v>
      </c>
      <c r="B2101" s="233" t="str">
        <f>VLOOKUP(Table8[[#This Row],[Document ID]],Table1[],2,FALSE)</f>
        <v>SGP</v>
      </c>
      <c r="C2101" s="233" t="str">
        <f>VLOOKUP(Table8[[#This Row],[Document ID]],Table1[],3,FALSE)</f>
        <v>Singapore</v>
      </c>
      <c r="D2101" s="243" t="str">
        <f>VLOOKUP(Table8[[#This Row],[Document ID]],Table1[],5,FALSE)</f>
        <v>LTS</v>
      </c>
      <c r="E2101" s="233" t="str">
        <f>VLOOKUP(Table8[[#This Row],[Document ID]],Table1[],7,FALSE)</f>
        <v>LTS</v>
      </c>
      <c r="F2101" s="233" t="str">
        <f>VLOOKUP(Table8[[#This Row],[Document ID]],Table1[],8,FALSE)</f>
        <v>LTS 1.1</v>
      </c>
      <c r="G2101" s="233" t="str">
        <f>VLOOKUP(Table8[[#This Row],[Document ID]],Table1[],10,FALSE)</f>
        <v>Active</v>
      </c>
      <c r="H2101" s="43" t="s">
        <v>2358</v>
      </c>
      <c r="I2101" s="43" t="s">
        <v>2359</v>
      </c>
      <c r="J2101" s="44" t="s">
        <v>2383</v>
      </c>
      <c r="K2101" s="44" t="s">
        <v>4264</v>
      </c>
      <c r="L2101" s="44" t="s">
        <v>2333</v>
      </c>
      <c r="M2101" s="43">
        <v>7</v>
      </c>
      <c r="N2101" s="113" t="s">
        <v>1113</v>
      </c>
      <c r="O2101" s="113"/>
      <c r="P2101" s="113"/>
      <c r="Q2101" s="113"/>
      <c r="R2101" s="113"/>
      <c r="S2101" s="113"/>
      <c r="T2101" s="113"/>
      <c r="U2101" s="113"/>
      <c r="V2101" s="113"/>
      <c r="W2101" s="113"/>
      <c r="X2101" s="113"/>
      <c r="Y2101" s="113"/>
      <c r="Z2101" s="113"/>
      <c r="AA2101" s="113"/>
      <c r="AB2101" s="113"/>
      <c r="AC2101" s="113"/>
      <c r="AD2101" s="113"/>
      <c r="AE2101" s="113"/>
      <c r="AF2101" s="113"/>
      <c r="AG2101" s="113"/>
      <c r="AH2101" s="113"/>
      <c r="AI2101" s="113"/>
      <c r="AJ2101" s="113"/>
      <c r="AK2101" s="113" t="s">
        <v>1113</v>
      </c>
      <c r="AL2101" s="113"/>
      <c r="AM2101" s="113"/>
      <c r="AN2101" s="113"/>
      <c r="AO2101" s="44" t="s">
        <v>2334</v>
      </c>
      <c r="AP2101" s="43"/>
      <c r="AQ2101" s="236" t="str">
        <f>VLOOKUP(Table8[[#This Row],[Instrument]],Def_Targets!$D$73:$E$159,2,FALSE)</f>
        <v>I_Emobilitycharging</v>
      </c>
      <c r="AR2101" s="233" t="str">
        <f>VLOOKUP(Table8[[#This Row],[Country Code]],Table29[],3,FALSE)</f>
        <v>Non-Annex I</v>
      </c>
      <c r="AS2101" s="233" t="str">
        <f>VLOOKUP(Table8[[#This Row],[Country Code]],Table29[],4,FALSE)</f>
        <v>Asia</v>
      </c>
      <c r="AT2101" s="233" t="str">
        <f>VLOOKUP(Table8[[#This Row],[Country Code]],Table29[],5,FALSE)</f>
        <v>High-income</v>
      </c>
      <c r="AU2101" s="233" t="str">
        <f>VLOOKUP(Table8[[#This Row],[Country Code]],Table29[],6,FALSE)</f>
        <v>no</v>
      </c>
      <c r="AV2101" s="233" t="str">
        <f>VLOOKUP(Table8[[#This Row],[Country Code]],Table29[],7,FALSE)</f>
        <v>no</v>
      </c>
      <c r="AW2101" s="233" t="str">
        <f>VLOOKUP(Table8[[#This Row],[Country Code]],Table29[],8,FALSE)</f>
        <v>non-OECD</v>
      </c>
      <c r="AX2101" s="233" t="str">
        <f>VLOOKUP(Table8[[#This Row],[Country Code]],Table29[],9,FALSE)</f>
        <v>no</v>
      </c>
      <c r="AY2101" s="233" t="str">
        <f>VLOOKUP(Table8[[#This Row],[Country Code]],Table29[],10,FALSE)</f>
        <v>no</v>
      </c>
      <c r="AZ2101" s="235">
        <f>VLOOKUP(Table8[[#This Row],[Country Code]],Table29[],23,FALSE)</f>
        <v>74.290132466078006</v>
      </c>
      <c r="BA2101" s="235">
        <f>VLOOKUP(Table8[[#This Row],[Country Code]],Table29[],24,FALSE)</f>
        <v>6.8133364043247093</v>
      </c>
      <c r="BB2101" s="320"/>
      <c r="BC2101" s="320"/>
    </row>
    <row r="2102" spans="1:55" ht="60" hidden="1" x14ac:dyDescent="0.25">
      <c r="A2102" s="373">
        <v>32532</v>
      </c>
      <c r="B2102" s="233" t="str">
        <f>VLOOKUP(Table8[[#This Row],[Document ID]],Table1[],2,FALSE)</f>
        <v>SGP</v>
      </c>
      <c r="C2102" s="233" t="str">
        <f>VLOOKUP(Table8[[#This Row],[Document ID]],Table1[],3,FALSE)</f>
        <v>Singapore</v>
      </c>
      <c r="D2102" s="243" t="str">
        <f>VLOOKUP(Table8[[#This Row],[Document ID]],Table1[],5,FALSE)</f>
        <v>LTS</v>
      </c>
      <c r="E2102" s="233" t="str">
        <f>VLOOKUP(Table8[[#This Row],[Document ID]],Table1[],7,FALSE)</f>
        <v>LTS</v>
      </c>
      <c r="F2102" s="233" t="str">
        <f>VLOOKUP(Table8[[#This Row],[Document ID]],Table1[],8,FALSE)</f>
        <v>LTS 1.1</v>
      </c>
      <c r="G2102" s="233" t="str">
        <f>VLOOKUP(Table8[[#This Row],[Document ID]],Table1[],10,FALSE)</f>
        <v>Active</v>
      </c>
      <c r="H2102" s="43" t="s">
        <v>2343</v>
      </c>
      <c r="I2102" s="43" t="s">
        <v>2344</v>
      </c>
      <c r="J2102" s="44" t="s">
        <v>2345</v>
      </c>
      <c r="K2102" s="44" t="s">
        <v>4265</v>
      </c>
      <c r="L2102" s="44" t="s">
        <v>2347</v>
      </c>
      <c r="M2102" s="43">
        <v>7</v>
      </c>
      <c r="N2102" s="113" t="s">
        <v>1113</v>
      </c>
      <c r="O2102" s="113"/>
      <c r="P2102" s="113" t="s">
        <v>1113</v>
      </c>
      <c r="Q2102" s="113"/>
      <c r="R2102" s="113"/>
      <c r="S2102" s="113"/>
      <c r="T2102" s="113"/>
      <c r="U2102" s="113"/>
      <c r="V2102" s="113"/>
      <c r="W2102" s="113"/>
      <c r="X2102" s="113"/>
      <c r="Y2102" s="113"/>
      <c r="Z2102" s="113"/>
      <c r="AA2102" s="113"/>
      <c r="AB2102" s="113"/>
      <c r="AC2102" s="113"/>
      <c r="AD2102" s="113"/>
      <c r="AE2102" s="113"/>
      <c r="AF2102" s="113"/>
      <c r="AG2102" s="113"/>
      <c r="AH2102" s="113"/>
      <c r="AI2102" s="113"/>
      <c r="AJ2102" s="113"/>
      <c r="AK2102" s="113" t="s">
        <v>1113</v>
      </c>
      <c r="AL2102" s="113"/>
      <c r="AM2102" s="113"/>
      <c r="AN2102" s="113"/>
      <c r="AO2102" s="44" t="s">
        <v>2334</v>
      </c>
      <c r="AP2102" s="43"/>
      <c r="AQ2102" s="236" t="str">
        <f>VLOOKUP(Table8[[#This Row],[Instrument]],Def_Targets!$D$73:$E$159,2,FALSE)</f>
        <v>S_PublicTransport</v>
      </c>
      <c r="AR2102" s="233" t="str">
        <f>VLOOKUP(Table8[[#This Row],[Country Code]],Table29[],3,FALSE)</f>
        <v>Non-Annex I</v>
      </c>
      <c r="AS2102" s="233" t="str">
        <f>VLOOKUP(Table8[[#This Row],[Country Code]],Table29[],4,FALSE)</f>
        <v>Asia</v>
      </c>
      <c r="AT2102" s="233" t="str">
        <f>VLOOKUP(Table8[[#This Row],[Country Code]],Table29[],5,FALSE)</f>
        <v>High-income</v>
      </c>
      <c r="AU2102" s="233" t="str">
        <f>VLOOKUP(Table8[[#This Row],[Country Code]],Table29[],6,FALSE)</f>
        <v>no</v>
      </c>
      <c r="AV2102" s="233" t="str">
        <f>VLOOKUP(Table8[[#This Row],[Country Code]],Table29[],7,FALSE)</f>
        <v>no</v>
      </c>
      <c r="AW2102" s="233" t="str">
        <f>VLOOKUP(Table8[[#This Row],[Country Code]],Table29[],8,FALSE)</f>
        <v>non-OECD</v>
      </c>
      <c r="AX2102" s="233" t="str">
        <f>VLOOKUP(Table8[[#This Row],[Country Code]],Table29[],9,FALSE)</f>
        <v>no</v>
      </c>
      <c r="AY2102" s="233" t="str">
        <f>VLOOKUP(Table8[[#This Row],[Country Code]],Table29[],10,FALSE)</f>
        <v>no</v>
      </c>
      <c r="AZ2102" s="235">
        <f>VLOOKUP(Table8[[#This Row],[Country Code]],Table29[],23,FALSE)</f>
        <v>74.290132466078006</v>
      </c>
      <c r="BA2102" s="235">
        <f>VLOOKUP(Table8[[#This Row],[Country Code]],Table29[],24,FALSE)</f>
        <v>6.8133364043247093</v>
      </c>
      <c r="BB2102" s="320"/>
      <c r="BC2102" s="320"/>
    </row>
    <row r="2103" spans="1:55" ht="60" hidden="1" x14ac:dyDescent="0.25">
      <c r="A2103" s="373">
        <v>32532</v>
      </c>
      <c r="B2103" s="233" t="str">
        <f>VLOOKUP(Table8[[#This Row],[Document ID]],Table1[],2,FALSE)</f>
        <v>SGP</v>
      </c>
      <c r="C2103" s="233" t="str">
        <f>VLOOKUP(Table8[[#This Row],[Document ID]],Table1[],3,FALSE)</f>
        <v>Singapore</v>
      </c>
      <c r="D2103" s="243" t="str">
        <f>VLOOKUP(Table8[[#This Row],[Document ID]],Table1[],5,FALSE)</f>
        <v>LTS</v>
      </c>
      <c r="E2103" s="233" t="str">
        <f>VLOOKUP(Table8[[#This Row],[Document ID]],Table1[],7,FALSE)</f>
        <v>LTS</v>
      </c>
      <c r="F2103" s="233" t="str">
        <f>VLOOKUP(Table8[[#This Row],[Document ID]],Table1[],8,FALSE)</f>
        <v>LTS 1.1</v>
      </c>
      <c r="G2103" s="233" t="str">
        <f>VLOOKUP(Table8[[#This Row],[Document ID]],Table1[],10,FALSE)</f>
        <v>Active</v>
      </c>
      <c r="H2103" s="43" t="s">
        <v>2343</v>
      </c>
      <c r="I2103" s="43" t="s">
        <v>2361</v>
      </c>
      <c r="J2103" s="44" t="s">
        <v>2366</v>
      </c>
      <c r="K2103" s="209" t="s">
        <v>4265</v>
      </c>
      <c r="L2103" s="209" t="s">
        <v>2347</v>
      </c>
      <c r="M2103" s="42">
        <v>7</v>
      </c>
      <c r="N2103" s="219" t="s">
        <v>1113</v>
      </c>
      <c r="O2103" s="219"/>
      <c r="P2103" s="219" t="s">
        <v>1113</v>
      </c>
      <c r="Q2103" s="219" t="s">
        <v>1113</v>
      </c>
      <c r="R2103" s="219" t="s">
        <v>1113</v>
      </c>
      <c r="S2103" s="219"/>
      <c r="T2103" s="219"/>
      <c r="U2103" s="219"/>
      <c r="V2103" s="219"/>
      <c r="W2103" s="219"/>
      <c r="X2103" s="219"/>
      <c r="Y2103" s="219"/>
      <c r="Z2103" s="219"/>
      <c r="AA2103" s="219"/>
      <c r="AB2103" s="219"/>
      <c r="AC2103" s="219"/>
      <c r="AD2103" s="219"/>
      <c r="AE2103" s="219"/>
      <c r="AF2103" s="219"/>
      <c r="AG2103" s="219"/>
      <c r="AH2103" s="219"/>
      <c r="AI2103" s="219"/>
      <c r="AJ2103" s="219"/>
      <c r="AK2103" s="219" t="s">
        <v>1113</v>
      </c>
      <c r="AL2103" s="219"/>
      <c r="AM2103" s="219"/>
      <c r="AN2103" s="219"/>
      <c r="AO2103" s="44" t="s">
        <v>2334</v>
      </c>
      <c r="AP2103" s="42"/>
      <c r="AQ2103" s="236" t="str">
        <f>VLOOKUP(Table8[[#This Row],[Instrument]],Def_Targets!$D$73:$E$159,2,FALSE)</f>
        <v>S_Activemobility</v>
      </c>
      <c r="AR2103" s="233" t="str">
        <f>VLOOKUP(Table8[[#This Row],[Country Code]],Table29[],3,FALSE)</f>
        <v>Non-Annex I</v>
      </c>
      <c r="AS2103" s="233" t="str">
        <f>VLOOKUP(Table8[[#This Row],[Country Code]],Table29[],4,FALSE)</f>
        <v>Asia</v>
      </c>
      <c r="AT2103" s="233" t="str">
        <f>VLOOKUP(Table8[[#This Row],[Country Code]],Table29[],5,FALSE)</f>
        <v>High-income</v>
      </c>
      <c r="AU2103" s="233" t="str">
        <f>VLOOKUP(Table8[[#This Row],[Country Code]],Table29[],6,FALSE)</f>
        <v>no</v>
      </c>
      <c r="AV2103" s="233" t="str">
        <f>VLOOKUP(Table8[[#This Row],[Country Code]],Table29[],7,FALSE)</f>
        <v>no</v>
      </c>
      <c r="AW2103" s="233" t="str">
        <f>VLOOKUP(Table8[[#This Row],[Country Code]],Table29[],8,FALSE)</f>
        <v>non-OECD</v>
      </c>
      <c r="AX2103" s="233" t="str">
        <f>VLOOKUP(Table8[[#This Row],[Country Code]],Table29[],9,FALSE)</f>
        <v>no</v>
      </c>
      <c r="AY2103" s="233" t="str">
        <f>VLOOKUP(Table8[[#This Row],[Country Code]],Table29[],10,FALSE)</f>
        <v>no</v>
      </c>
      <c r="AZ2103" s="235">
        <f>VLOOKUP(Table8[[#This Row],[Country Code]],Table29[],23,FALSE)</f>
        <v>74.290132466078006</v>
      </c>
      <c r="BA2103" s="235">
        <f>VLOOKUP(Table8[[#This Row],[Country Code]],Table29[],24,FALSE)</f>
        <v>6.8133364043247093</v>
      </c>
      <c r="BB2103" s="320"/>
      <c r="BC2103" s="320"/>
    </row>
    <row r="2104" spans="1:55" ht="75" hidden="1" x14ac:dyDescent="0.25">
      <c r="A2104" s="373">
        <v>17734</v>
      </c>
      <c r="B2104" s="233" t="str">
        <f>VLOOKUP(Table8[[#This Row],[Document ID]],Table1[],2,FALSE)</f>
        <v>SVK</v>
      </c>
      <c r="C2104" s="233" t="str">
        <f>VLOOKUP(Table8[[#This Row],[Document ID]],Table1[],3,FALSE)</f>
        <v>Slovakia</v>
      </c>
      <c r="D2104" s="243" t="str">
        <f>VLOOKUP(Table8[[#This Row],[Document ID]],Table1[],5,FALSE)</f>
        <v>LTS</v>
      </c>
      <c r="E2104" s="233" t="str">
        <f>VLOOKUP(Table8[[#This Row],[Document ID]],Table1[],7,FALSE)</f>
        <v>LTS</v>
      </c>
      <c r="F2104" s="233" t="str">
        <f>VLOOKUP(Table8[[#This Row],[Document ID]],Table1[],8,FALSE)</f>
        <v>LTS 1.0</v>
      </c>
      <c r="G2104" s="233" t="str">
        <f>VLOOKUP(Table8[[#This Row],[Document ID]],Table1[],10,FALSE)</f>
        <v>Active</v>
      </c>
      <c r="H2104" s="44" t="s">
        <v>2329</v>
      </c>
      <c r="I2104" s="44" t="s">
        <v>2330</v>
      </c>
      <c r="J2104" s="44" t="s">
        <v>2357</v>
      </c>
      <c r="K2104" s="44" t="s">
        <v>4266</v>
      </c>
      <c r="L2104" s="44" t="s">
        <v>2333</v>
      </c>
      <c r="M2104" s="43">
        <v>51</v>
      </c>
      <c r="N2104" s="113" t="s">
        <v>1113</v>
      </c>
      <c r="O2104" s="113"/>
      <c r="P2104" s="113"/>
      <c r="Q2104" s="113"/>
      <c r="R2104" s="113"/>
      <c r="S2104" s="113"/>
      <c r="T2104" s="113"/>
      <c r="U2104" s="113"/>
      <c r="V2104" s="113"/>
      <c r="W2104" s="113"/>
      <c r="X2104" s="113"/>
      <c r="Y2104" s="113"/>
      <c r="Z2104" s="113"/>
      <c r="AA2104" s="113"/>
      <c r="AB2104" s="113"/>
      <c r="AC2104" s="113"/>
      <c r="AD2104" s="113"/>
      <c r="AE2104" s="113"/>
      <c r="AF2104" s="113"/>
      <c r="AG2104" s="113"/>
      <c r="AH2104" s="113"/>
      <c r="AI2104" s="113"/>
      <c r="AJ2104" s="113"/>
      <c r="AK2104" s="319" t="s">
        <v>1113</v>
      </c>
      <c r="AL2104" s="113"/>
      <c r="AM2104" s="113"/>
      <c r="AN2104" s="113"/>
      <c r="AO2104" s="44" t="s">
        <v>2334</v>
      </c>
      <c r="AP2104" s="43"/>
      <c r="AQ2104" s="236" t="str">
        <f>VLOOKUP(Table8[[#This Row],[Instrument]],Def_Targets!$D$73:$E$159,2,FALSE)</f>
        <v>I_Biofuel</v>
      </c>
      <c r="AR2104" s="233" t="str">
        <f>VLOOKUP(Table8[[#This Row],[Country Code]],Table29[],3,FALSE)</f>
        <v>Annex I</v>
      </c>
      <c r="AS2104" s="233" t="str">
        <f>VLOOKUP(Table8[[#This Row],[Country Code]],Table29[],4,FALSE)</f>
        <v>Europe</v>
      </c>
      <c r="AT2104" s="233" t="str">
        <f>VLOOKUP(Table8[[#This Row],[Country Code]],Table29[],5,FALSE)</f>
        <v>High-income</v>
      </c>
      <c r="AU2104" s="233" t="str">
        <f>VLOOKUP(Table8[[#This Row],[Country Code]],Table29[],6,FALSE)</f>
        <v>no</v>
      </c>
      <c r="AV2104" s="233" t="str">
        <f>VLOOKUP(Table8[[#This Row],[Country Code]],Table29[],7,FALSE)</f>
        <v>no</v>
      </c>
      <c r="AW2104" s="233" t="str">
        <f>VLOOKUP(Table8[[#This Row],[Country Code]],Table29[],8,FALSE)</f>
        <v>OECD</v>
      </c>
      <c r="AX2104" s="233" t="str">
        <f>VLOOKUP(Table8[[#This Row],[Country Code]],Table29[],9,FALSE)</f>
        <v>EU27</v>
      </c>
      <c r="AY2104" s="233" t="str">
        <f>VLOOKUP(Table8[[#This Row],[Country Code]],Table29[],10,FALSE)</f>
        <v>no</v>
      </c>
      <c r="AZ2104" s="235">
        <f>VLOOKUP(Table8[[#This Row],[Country Code]],Table29[],23,FALSE)</f>
        <v>44.775610890682003</v>
      </c>
      <c r="BA2104" s="235">
        <f>VLOOKUP(Table8[[#This Row],[Country Code]],Table29[],24,FALSE)</f>
        <v>7.6629333129442534</v>
      </c>
      <c r="BB2104" s="320"/>
      <c r="BC2104" s="320"/>
    </row>
    <row r="2105" spans="1:55" ht="30" hidden="1" x14ac:dyDescent="0.25">
      <c r="A2105" s="373">
        <v>17734</v>
      </c>
      <c r="B2105" s="233" t="str">
        <f>VLOOKUP(Table8[[#This Row],[Document ID]],Table1[],2,FALSE)</f>
        <v>SVK</v>
      </c>
      <c r="C2105" s="233" t="str">
        <f>VLOOKUP(Table8[[#This Row],[Document ID]],Table1[],3,FALSE)</f>
        <v>Slovakia</v>
      </c>
      <c r="D2105" s="243" t="str">
        <f>VLOOKUP(Table8[[#This Row],[Document ID]],Table1[],5,FALSE)</f>
        <v>LTS</v>
      </c>
      <c r="E2105" s="233" t="str">
        <f>VLOOKUP(Table8[[#This Row],[Document ID]],Table1[],7,FALSE)</f>
        <v>LTS</v>
      </c>
      <c r="F2105" s="233" t="str">
        <f>VLOOKUP(Table8[[#This Row],[Document ID]],Table1[],8,FALSE)</f>
        <v>LTS 1.0</v>
      </c>
      <c r="G2105" s="233" t="str">
        <f>VLOOKUP(Table8[[#This Row],[Document ID]],Table1[],10,FALSE)</f>
        <v>Active</v>
      </c>
      <c r="H2105" s="44" t="s">
        <v>2338</v>
      </c>
      <c r="I2105" s="44" t="s">
        <v>2339</v>
      </c>
      <c r="J2105" s="44" t="s">
        <v>2340</v>
      </c>
      <c r="K2105" s="44" t="s">
        <v>4267</v>
      </c>
      <c r="L2105" s="44" t="s">
        <v>2333</v>
      </c>
      <c r="M2105" s="43">
        <v>52</v>
      </c>
      <c r="N2105" s="113"/>
      <c r="O2105" s="113"/>
      <c r="P2105" s="113"/>
      <c r="Q2105" s="113"/>
      <c r="R2105" s="113"/>
      <c r="S2105" s="113" t="s">
        <v>1113</v>
      </c>
      <c r="T2105" s="113"/>
      <c r="U2105" s="113"/>
      <c r="V2105" s="113"/>
      <c r="W2105" s="113"/>
      <c r="X2105" s="113"/>
      <c r="Y2105" s="113"/>
      <c r="Z2105" s="113"/>
      <c r="AA2105" s="113"/>
      <c r="AB2105" s="113"/>
      <c r="AC2105" s="113"/>
      <c r="AD2105" s="113"/>
      <c r="AE2105" s="113"/>
      <c r="AF2105" s="113"/>
      <c r="AG2105" s="113"/>
      <c r="AH2105" s="113"/>
      <c r="AI2105" s="113"/>
      <c r="AJ2105" s="113"/>
      <c r="AK2105" s="319" t="s">
        <v>1113</v>
      </c>
      <c r="AL2105" s="113"/>
      <c r="AM2105" s="113"/>
      <c r="AN2105" s="113"/>
      <c r="AO2105" s="44" t="s">
        <v>2334</v>
      </c>
      <c r="AP2105" s="43"/>
      <c r="AQ2105" s="236" t="str">
        <f>VLOOKUP(Table8[[#This Row],[Instrument]],Def_Targets!$D$73:$E$159,2,FALSE)</f>
        <v>I_Vehicleimprove</v>
      </c>
      <c r="AR2105" s="233" t="str">
        <f>VLOOKUP(Table8[[#This Row],[Country Code]],Table29[],3,FALSE)</f>
        <v>Annex I</v>
      </c>
      <c r="AS2105" s="233" t="str">
        <f>VLOOKUP(Table8[[#This Row],[Country Code]],Table29[],4,FALSE)</f>
        <v>Europe</v>
      </c>
      <c r="AT2105" s="233" t="str">
        <f>VLOOKUP(Table8[[#This Row],[Country Code]],Table29[],5,FALSE)</f>
        <v>High-income</v>
      </c>
      <c r="AU2105" s="233" t="str">
        <f>VLOOKUP(Table8[[#This Row],[Country Code]],Table29[],6,FALSE)</f>
        <v>no</v>
      </c>
      <c r="AV2105" s="233" t="str">
        <f>VLOOKUP(Table8[[#This Row],[Country Code]],Table29[],7,FALSE)</f>
        <v>no</v>
      </c>
      <c r="AW2105" s="233" t="str">
        <f>VLOOKUP(Table8[[#This Row],[Country Code]],Table29[],8,FALSE)</f>
        <v>OECD</v>
      </c>
      <c r="AX2105" s="233" t="str">
        <f>VLOOKUP(Table8[[#This Row],[Country Code]],Table29[],9,FALSE)</f>
        <v>EU27</v>
      </c>
      <c r="AY2105" s="233" t="str">
        <f>VLOOKUP(Table8[[#This Row],[Country Code]],Table29[],10,FALSE)</f>
        <v>no</v>
      </c>
      <c r="AZ2105" s="235">
        <f>VLOOKUP(Table8[[#This Row],[Country Code]],Table29[],23,FALSE)</f>
        <v>44.775610890682003</v>
      </c>
      <c r="BA2105" s="235">
        <f>VLOOKUP(Table8[[#This Row],[Country Code]],Table29[],24,FALSE)</f>
        <v>7.6629333129442534</v>
      </c>
      <c r="BB2105" s="320"/>
      <c r="BC2105" s="320"/>
    </row>
    <row r="2106" spans="1:55" ht="75" hidden="1" x14ac:dyDescent="0.25">
      <c r="A2106" s="360">
        <v>17734</v>
      </c>
      <c r="B2106" s="233" t="str">
        <f>VLOOKUP(Table8[[#This Row],[Document ID]],Table1[],2,FALSE)</f>
        <v>SVK</v>
      </c>
      <c r="C2106" s="233" t="str">
        <f>VLOOKUP(Table8[[#This Row],[Document ID]],Table1[],3,FALSE)</f>
        <v>Slovakia</v>
      </c>
      <c r="D2106" s="233" t="str">
        <f>VLOOKUP(Table8[[#This Row],[Document ID]],Table1[],5,FALSE)</f>
        <v>LTS</v>
      </c>
      <c r="E2106" s="233" t="str">
        <f>VLOOKUP(Table8[[#This Row],[Document ID]],Table1[],7,FALSE)</f>
        <v>LTS</v>
      </c>
      <c r="F2106" s="233" t="str">
        <f>VLOOKUP(Table8[[#This Row],[Document ID]],Table1[],8,FALSE)</f>
        <v>LTS 1.0</v>
      </c>
      <c r="G2106" s="233" t="str">
        <f>VLOOKUP(Table8[[#This Row],[Document ID]],Table1[],10,FALSE)</f>
        <v>Active</v>
      </c>
      <c r="H2106" s="44" t="s">
        <v>2338</v>
      </c>
      <c r="I2106" s="44" t="s">
        <v>2339</v>
      </c>
      <c r="J2106" s="44" t="s">
        <v>2413</v>
      </c>
      <c r="K2106" s="44" t="s">
        <v>4268</v>
      </c>
      <c r="L2106" s="44" t="s">
        <v>2333</v>
      </c>
      <c r="M2106" s="43">
        <v>46</v>
      </c>
      <c r="N2106" s="113"/>
      <c r="O2106" s="113"/>
      <c r="P2106" s="113"/>
      <c r="Q2106" s="113"/>
      <c r="R2106" s="113"/>
      <c r="S2106" s="113"/>
      <c r="T2106" s="113"/>
      <c r="U2106" s="113" t="s">
        <v>1113</v>
      </c>
      <c r="V2106" s="113"/>
      <c r="W2106" s="113"/>
      <c r="X2106" s="113" t="s">
        <v>1113</v>
      </c>
      <c r="Y2106" s="113"/>
      <c r="Z2106" s="113"/>
      <c r="AA2106" s="113"/>
      <c r="AB2106" s="113"/>
      <c r="AC2106" s="113"/>
      <c r="AD2106" s="113"/>
      <c r="AE2106" s="113"/>
      <c r="AF2106" s="113"/>
      <c r="AG2106" s="113"/>
      <c r="AH2106" s="113"/>
      <c r="AI2106" s="113"/>
      <c r="AJ2106" s="113"/>
      <c r="AK2106" s="319" t="s">
        <v>1113</v>
      </c>
      <c r="AL2106" s="113"/>
      <c r="AM2106" s="113"/>
      <c r="AN2106" s="113"/>
      <c r="AO2106" s="44" t="s">
        <v>2334</v>
      </c>
      <c r="AP2106" s="43"/>
      <c r="AQ2106" s="236" t="str">
        <f>VLOOKUP(Table8[[#This Row],[Instrument]],Def_Targets!$D$73:$E$159,2,FALSE)</f>
        <v>I_Vehicleeff</v>
      </c>
      <c r="AR2106" s="233" t="str">
        <f>VLOOKUP(Table8[[#This Row],[Country Code]],Table29[],3,FALSE)</f>
        <v>Annex I</v>
      </c>
      <c r="AS2106" s="233" t="str">
        <f>VLOOKUP(Table8[[#This Row],[Country Code]],Table29[],4,FALSE)</f>
        <v>Europe</v>
      </c>
      <c r="AT2106" s="233" t="str">
        <f>VLOOKUP(Table8[[#This Row],[Country Code]],Table29[],5,FALSE)</f>
        <v>High-income</v>
      </c>
      <c r="AU2106" s="233" t="str">
        <f>VLOOKUP(Table8[[#This Row],[Country Code]],Table29[],6,FALSE)</f>
        <v>no</v>
      </c>
      <c r="AV2106" s="233" t="str">
        <f>VLOOKUP(Table8[[#This Row],[Country Code]],Table29[],7,FALSE)</f>
        <v>no</v>
      </c>
      <c r="AW2106" s="233" t="str">
        <f>VLOOKUP(Table8[[#This Row],[Country Code]],Table29[],8,FALSE)</f>
        <v>OECD</v>
      </c>
      <c r="AX2106" s="233" t="str">
        <f>VLOOKUP(Table8[[#This Row],[Country Code]],Table29[],9,FALSE)</f>
        <v>EU27</v>
      </c>
      <c r="AY2106" s="233" t="str">
        <f>VLOOKUP(Table8[[#This Row],[Country Code]],Table29[],10,FALSE)</f>
        <v>no</v>
      </c>
      <c r="AZ2106" s="235">
        <f>VLOOKUP(Table8[[#This Row],[Country Code]],Table29[],23,FALSE)</f>
        <v>44.775610890682003</v>
      </c>
      <c r="BA2106" s="235">
        <f>VLOOKUP(Table8[[#This Row],[Country Code]],Table29[],24,FALSE)</f>
        <v>7.6629333129442534</v>
      </c>
      <c r="BB2106" s="320"/>
      <c r="BC2106" s="320"/>
    </row>
    <row r="2107" spans="1:55" ht="90" hidden="1" x14ac:dyDescent="0.25">
      <c r="A2107" s="360">
        <v>17754</v>
      </c>
      <c r="B2107" s="233" t="str">
        <f>VLOOKUP(Table8[[#This Row],[Document ID]],Table1[],2,FALSE)</f>
        <v>CHE</v>
      </c>
      <c r="C2107" s="233" t="str">
        <f>VLOOKUP(Table8[[#This Row],[Document ID]],Table1[],3,FALSE)</f>
        <v>Switzerland</v>
      </c>
      <c r="D2107" s="233" t="str">
        <f>VLOOKUP(Table8[[#This Row],[Document ID]],Table1[],5,FALSE)</f>
        <v>NDC</v>
      </c>
      <c r="E2107" s="233" t="str">
        <f>VLOOKUP(Table8[[#This Row],[Document ID]],Table1[],7,FALSE)</f>
        <v>First NDC updated</v>
      </c>
      <c r="F2107" s="233" t="str">
        <f>VLOOKUP(Table8[[#This Row],[Document ID]],Table1[],8,FALSE)</f>
        <v>NDC 1.1</v>
      </c>
      <c r="G2107" s="233" t="str">
        <f>VLOOKUP(Table8[[#This Row],[Document ID]],Table1[],10,FALSE)</f>
        <v>Archived</v>
      </c>
      <c r="H2107" s="43" t="s">
        <v>2343</v>
      </c>
      <c r="I2107" s="43" t="s">
        <v>2386</v>
      </c>
      <c r="J2107" s="44" t="s">
        <v>2515</v>
      </c>
      <c r="K2107" s="44" t="s">
        <v>4269</v>
      </c>
      <c r="L2107" s="44" t="s">
        <v>2373</v>
      </c>
      <c r="M2107" s="43">
        <v>7</v>
      </c>
      <c r="N2107" s="113" t="s">
        <v>1113</v>
      </c>
      <c r="O2107" s="113"/>
      <c r="P2107" s="113"/>
      <c r="Q2107" s="113"/>
      <c r="R2107" s="113"/>
      <c r="S2107" s="113"/>
      <c r="T2107" s="113"/>
      <c r="U2107" s="113"/>
      <c r="V2107" s="113"/>
      <c r="W2107" s="113"/>
      <c r="X2107" s="113"/>
      <c r="Y2107" s="113"/>
      <c r="Z2107" s="113"/>
      <c r="AA2107" s="113"/>
      <c r="AB2107" s="113"/>
      <c r="AC2107" s="113"/>
      <c r="AD2107" s="113"/>
      <c r="AE2107" s="113"/>
      <c r="AF2107" s="113"/>
      <c r="AG2107" s="113"/>
      <c r="AH2107" s="113"/>
      <c r="AI2107" s="113"/>
      <c r="AJ2107" s="113"/>
      <c r="AK2107" s="319" t="s">
        <v>1113</v>
      </c>
      <c r="AL2107" s="113"/>
      <c r="AM2107" s="113"/>
      <c r="AN2107" s="113"/>
      <c r="AO2107" s="44" t="s">
        <v>2334</v>
      </c>
      <c r="AP2107" s="43"/>
      <c r="AQ2107" s="236" t="str">
        <f>VLOOKUP(Table8[[#This Row],[Instrument]],Def_Targets!$D$73:$E$159,2,FALSE)</f>
        <v>A_Fossilfuelsubs</v>
      </c>
      <c r="AR2107" s="233" t="str">
        <f>VLOOKUP(Table8[[#This Row],[Country Code]],Table29[],3,FALSE)</f>
        <v>Annex I</v>
      </c>
      <c r="AS2107" s="233" t="str">
        <f>VLOOKUP(Table8[[#This Row],[Country Code]],Table29[],4,FALSE)</f>
        <v>Europe</v>
      </c>
      <c r="AT2107" s="233" t="str">
        <f>VLOOKUP(Table8[[#This Row],[Country Code]],Table29[],5,FALSE)</f>
        <v>High-income</v>
      </c>
      <c r="AU2107" s="233" t="str">
        <f>VLOOKUP(Table8[[#This Row],[Country Code]],Table29[],6,FALSE)</f>
        <v>no</v>
      </c>
      <c r="AV2107" s="233" t="str">
        <f>VLOOKUP(Table8[[#This Row],[Country Code]],Table29[],7,FALSE)</f>
        <v>no</v>
      </c>
      <c r="AW2107" s="233" t="str">
        <f>VLOOKUP(Table8[[#This Row],[Country Code]],Table29[],8,FALSE)</f>
        <v>OECD</v>
      </c>
      <c r="AX2107" s="233" t="str">
        <f>VLOOKUP(Table8[[#This Row],[Country Code]],Table29[],9,FALSE)</f>
        <v>no</v>
      </c>
      <c r="AY2107" s="233" t="str">
        <f>VLOOKUP(Table8[[#This Row],[Country Code]],Table29[],10,FALSE)</f>
        <v>no</v>
      </c>
      <c r="AZ2107" s="235">
        <f>VLOOKUP(Table8[[#This Row],[Country Code]],Table29[],23,FALSE)</f>
        <v>43.446393813877002</v>
      </c>
      <c r="BA2107" s="235">
        <f>VLOOKUP(Table8[[#This Row],[Country Code]],Table29[],24,FALSE)</f>
        <v>14.82381986485206</v>
      </c>
      <c r="BB2107" s="320"/>
      <c r="BC2107" s="320"/>
    </row>
    <row r="2108" spans="1:55" ht="30" hidden="1" x14ac:dyDescent="0.25">
      <c r="A2108" s="373">
        <v>17734</v>
      </c>
      <c r="B2108" s="233" t="str">
        <f>VLOOKUP(Table8[[#This Row],[Document ID]],Table1[],2,FALSE)</f>
        <v>SVK</v>
      </c>
      <c r="C2108" s="233" t="str">
        <f>VLOOKUP(Table8[[#This Row],[Document ID]],Table1[],3,FALSE)</f>
        <v>Slovakia</v>
      </c>
      <c r="D2108" s="243" t="str">
        <f>VLOOKUP(Table8[[#This Row],[Document ID]],Table1[],5,FALSE)</f>
        <v>LTS</v>
      </c>
      <c r="E2108" s="233" t="str">
        <f>VLOOKUP(Table8[[#This Row],[Document ID]],Table1[],7,FALSE)</f>
        <v>LTS</v>
      </c>
      <c r="F2108" s="233" t="str">
        <f>VLOOKUP(Table8[[#This Row],[Document ID]],Table1[],8,FALSE)</f>
        <v>LTS 1.0</v>
      </c>
      <c r="G2108" s="233" t="str">
        <f>VLOOKUP(Table8[[#This Row],[Document ID]],Table1[],10,FALSE)</f>
        <v>Active</v>
      </c>
      <c r="H2108" s="44" t="s">
        <v>2329</v>
      </c>
      <c r="I2108" s="44" t="s">
        <v>2330</v>
      </c>
      <c r="J2108" s="44" t="s">
        <v>2691</v>
      </c>
      <c r="K2108" s="44" t="s">
        <v>4270</v>
      </c>
      <c r="L2108" s="44" t="s">
        <v>2333</v>
      </c>
      <c r="M2108" s="43">
        <v>51</v>
      </c>
      <c r="N2108" s="113"/>
      <c r="O2108" s="113"/>
      <c r="P2108" s="113"/>
      <c r="Q2108" s="113"/>
      <c r="R2108" s="113"/>
      <c r="S2108" s="113"/>
      <c r="T2108" s="113"/>
      <c r="U2108" s="113" t="s">
        <v>1113</v>
      </c>
      <c r="V2108" s="113"/>
      <c r="W2108" s="113"/>
      <c r="X2108" s="113"/>
      <c r="Y2108" s="113"/>
      <c r="Z2108" s="113"/>
      <c r="AA2108" s="113"/>
      <c r="AB2108" s="113"/>
      <c r="AC2108" s="113"/>
      <c r="AD2108" s="113"/>
      <c r="AE2108" s="113"/>
      <c r="AF2108" s="113"/>
      <c r="AG2108" s="113"/>
      <c r="AH2108" s="113"/>
      <c r="AI2108" s="113"/>
      <c r="AJ2108" s="113"/>
      <c r="AK2108" s="319" t="s">
        <v>1113</v>
      </c>
      <c r="AL2108" s="113"/>
      <c r="AM2108" s="113"/>
      <c r="AN2108" s="113"/>
      <c r="AO2108" s="44" t="s">
        <v>2334</v>
      </c>
      <c r="AP2108" s="43"/>
      <c r="AQ2108" s="236" t="str">
        <f>VLOOKUP(Table8[[#This Row],[Instrument]],Def_Targets!$D$73:$E$159,2,FALSE)</f>
        <v>I_Lowemissionincentive</v>
      </c>
      <c r="AR2108" s="233" t="str">
        <f>VLOOKUP(Table8[[#This Row],[Country Code]],Table29[],3,FALSE)</f>
        <v>Annex I</v>
      </c>
      <c r="AS2108" s="233" t="str">
        <f>VLOOKUP(Table8[[#This Row],[Country Code]],Table29[],4,FALSE)</f>
        <v>Europe</v>
      </c>
      <c r="AT2108" s="233" t="str">
        <f>VLOOKUP(Table8[[#This Row],[Country Code]],Table29[],5,FALSE)</f>
        <v>High-income</v>
      </c>
      <c r="AU2108" s="233" t="str">
        <f>VLOOKUP(Table8[[#This Row],[Country Code]],Table29[],6,FALSE)</f>
        <v>no</v>
      </c>
      <c r="AV2108" s="233" t="str">
        <f>VLOOKUP(Table8[[#This Row],[Country Code]],Table29[],7,FALSE)</f>
        <v>no</v>
      </c>
      <c r="AW2108" s="233" t="str">
        <f>VLOOKUP(Table8[[#This Row],[Country Code]],Table29[],8,FALSE)</f>
        <v>OECD</v>
      </c>
      <c r="AX2108" s="233" t="str">
        <f>VLOOKUP(Table8[[#This Row],[Country Code]],Table29[],9,FALSE)</f>
        <v>EU27</v>
      </c>
      <c r="AY2108" s="233" t="str">
        <f>VLOOKUP(Table8[[#This Row],[Country Code]],Table29[],10,FALSE)</f>
        <v>no</v>
      </c>
      <c r="AZ2108" s="235">
        <f>VLOOKUP(Table8[[#This Row],[Country Code]],Table29[],23,FALSE)</f>
        <v>44.775610890682003</v>
      </c>
      <c r="BA2108" s="235">
        <f>VLOOKUP(Table8[[#This Row],[Country Code]],Table29[],24,FALSE)</f>
        <v>7.6629333129442534</v>
      </c>
      <c r="BB2108" s="320"/>
      <c r="BC2108" s="320"/>
    </row>
    <row r="2109" spans="1:55" ht="90" hidden="1" x14ac:dyDescent="0.25">
      <c r="A2109" s="373">
        <v>17734</v>
      </c>
      <c r="B2109" s="233" t="str">
        <f>VLOOKUP(Table8[[#This Row],[Document ID]],Table1[],2,FALSE)</f>
        <v>SVK</v>
      </c>
      <c r="C2109" s="233" t="str">
        <f>VLOOKUP(Table8[[#This Row],[Document ID]],Table1[],3,FALSE)</f>
        <v>Slovakia</v>
      </c>
      <c r="D2109" s="243" t="str">
        <f>VLOOKUP(Table8[[#This Row],[Document ID]],Table1[],5,FALSE)</f>
        <v>LTS</v>
      </c>
      <c r="E2109" s="233" t="str">
        <f>VLOOKUP(Table8[[#This Row],[Document ID]],Table1[],7,FALSE)</f>
        <v>LTS</v>
      </c>
      <c r="F2109" s="233" t="str">
        <f>VLOOKUP(Table8[[#This Row],[Document ID]],Table1[],8,FALSE)</f>
        <v>LTS 1.0</v>
      </c>
      <c r="G2109" s="233" t="str">
        <f>VLOOKUP(Table8[[#This Row],[Document ID]],Table1[],10,FALSE)</f>
        <v>Active</v>
      </c>
      <c r="H2109" s="44" t="s">
        <v>2338</v>
      </c>
      <c r="I2109" s="44" t="s">
        <v>2339</v>
      </c>
      <c r="J2109" s="44" t="s">
        <v>2340</v>
      </c>
      <c r="K2109" s="44" t="s">
        <v>4271</v>
      </c>
      <c r="L2109" s="44" t="s">
        <v>2333</v>
      </c>
      <c r="M2109" s="43">
        <v>47</v>
      </c>
      <c r="N2109" s="113" t="s">
        <v>1113</v>
      </c>
      <c r="O2109" s="113"/>
      <c r="P2109" s="113"/>
      <c r="Q2109" s="113"/>
      <c r="R2109" s="113"/>
      <c r="S2109" s="113"/>
      <c r="T2109" s="113"/>
      <c r="U2109" s="113"/>
      <c r="V2109" s="113"/>
      <c r="W2109" s="113"/>
      <c r="X2109" s="113"/>
      <c r="Y2109" s="113"/>
      <c r="Z2109" s="113"/>
      <c r="AA2109" s="113"/>
      <c r="AB2109" s="113"/>
      <c r="AC2109" s="113"/>
      <c r="AD2109" s="113"/>
      <c r="AE2109" s="113"/>
      <c r="AF2109" s="113"/>
      <c r="AG2109" s="113"/>
      <c r="AH2109" s="113"/>
      <c r="AI2109" s="113"/>
      <c r="AJ2109" s="113"/>
      <c r="AK2109" s="319" t="s">
        <v>1113</v>
      </c>
      <c r="AL2109" s="113"/>
      <c r="AM2109" s="113"/>
      <c r="AN2109" s="113"/>
      <c r="AO2109" s="44" t="s">
        <v>2334</v>
      </c>
      <c r="AP2109" s="43"/>
      <c r="AQ2109" s="236" t="str">
        <f>VLOOKUP(Table8[[#This Row],[Instrument]],Def_Targets!$D$73:$E$159,2,FALSE)</f>
        <v>I_Vehicleimprove</v>
      </c>
      <c r="AR2109" s="233" t="str">
        <f>VLOOKUP(Table8[[#This Row],[Country Code]],Table29[],3,FALSE)</f>
        <v>Annex I</v>
      </c>
      <c r="AS2109" s="233" t="str">
        <f>VLOOKUP(Table8[[#This Row],[Country Code]],Table29[],4,FALSE)</f>
        <v>Europe</v>
      </c>
      <c r="AT2109" s="233" t="str">
        <f>VLOOKUP(Table8[[#This Row],[Country Code]],Table29[],5,FALSE)</f>
        <v>High-income</v>
      </c>
      <c r="AU2109" s="233" t="str">
        <f>VLOOKUP(Table8[[#This Row],[Country Code]],Table29[],6,FALSE)</f>
        <v>no</v>
      </c>
      <c r="AV2109" s="233" t="str">
        <f>VLOOKUP(Table8[[#This Row],[Country Code]],Table29[],7,FALSE)</f>
        <v>no</v>
      </c>
      <c r="AW2109" s="233" t="str">
        <f>VLOOKUP(Table8[[#This Row],[Country Code]],Table29[],8,FALSE)</f>
        <v>OECD</v>
      </c>
      <c r="AX2109" s="233" t="str">
        <f>VLOOKUP(Table8[[#This Row],[Country Code]],Table29[],9,FALSE)</f>
        <v>EU27</v>
      </c>
      <c r="AY2109" s="233" t="str">
        <f>VLOOKUP(Table8[[#This Row],[Country Code]],Table29[],10,FALSE)</f>
        <v>no</v>
      </c>
      <c r="AZ2109" s="235">
        <f>VLOOKUP(Table8[[#This Row],[Country Code]],Table29[],23,FALSE)</f>
        <v>44.775610890682003</v>
      </c>
      <c r="BA2109" s="235">
        <f>VLOOKUP(Table8[[#This Row],[Country Code]],Table29[],24,FALSE)</f>
        <v>7.6629333129442534</v>
      </c>
      <c r="BB2109" s="320"/>
      <c r="BC2109" s="320"/>
    </row>
    <row r="2110" spans="1:55" ht="90" hidden="1" x14ac:dyDescent="0.25">
      <c r="A2110" s="373">
        <v>17734</v>
      </c>
      <c r="B2110" s="233" t="str">
        <f>VLOOKUP(Table8[[#This Row],[Document ID]],Table1[],2,FALSE)</f>
        <v>SVK</v>
      </c>
      <c r="C2110" s="233" t="str">
        <f>VLOOKUP(Table8[[#This Row],[Document ID]],Table1[],3,FALSE)</f>
        <v>Slovakia</v>
      </c>
      <c r="D2110" s="243" t="str">
        <f>VLOOKUP(Table8[[#This Row],[Document ID]],Table1[],5,FALSE)</f>
        <v>LTS</v>
      </c>
      <c r="E2110" s="233" t="str">
        <f>VLOOKUP(Table8[[#This Row],[Document ID]],Table1[],7,FALSE)</f>
        <v>LTS</v>
      </c>
      <c r="F2110" s="233" t="str">
        <f>VLOOKUP(Table8[[#This Row],[Document ID]],Table1[],8,FALSE)</f>
        <v>LTS 1.0</v>
      </c>
      <c r="G2110" s="233" t="str">
        <f>VLOOKUP(Table8[[#This Row],[Document ID]],Table1[],10,FALSE)</f>
        <v>Active</v>
      </c>
      <c r="H2110" s="44" t="s">
        <v>2329</v>
      </c>
      <c r="I2110" s="44" t="s">
        <v>2330</v>
      </c>
      <c r="J2110" s="44" t="s">
        <v>2357</v>
      </c>
      <c r="K2110" s="44" t="s">
        <v>4272</v>
      </c>
      <c r="L2110" s="44" t="s">
        <v>2333</v>
      </c>
      <c r="M2110" s="43">
        <v>47</v>
      </c>
      <c r="N2110" s="113"/>
      <c r="O2110" s="113"/>
      <c r="P2110" s="113"/>
      <c r="Q2110" s="113"/>
      <c r="R2110" s="113"/>
      <c r="S2110" s="113" t="s">
        <v>1113</v>
      </c>
      <c r="T2110" s="113"/>
      <c r="U2110" s="113"/>
      <c r="V2110" s="113"/>
      <c r="W2110" s="113"/>
      <c r="X2110" s="113"/>
      <c r="Y2110" s="113"/>
      <c r="Z2110" s="113"/>
      <c r="AA2110" s="113"/>
      <c r="AB2110" s="113"/>
      <c r="AC2110" s="113"/>
      <c r="AD2110" s="113"/>
      <c r="AE2110" s="113"/>
      <c r="AF2110" s="113"/>
      <c r="AG2110" s="113"/>
      <c r="AH2110" s="113"/>
      <c r="AI2110" s="113"/>
      <c r="AJ2110" s="113"/>
      <c r="AK2110" s="319" t="s">
        <v>1113</v>
      </c>
      <c r="AL2110" s="113"/>
      <c r="AM2110" s="113"/>
      <c r="AN2110" s="113"/>
      <c r="AO2110" s="44" t="s">
        <v>2334</v>
      </c>
      <c r="AP2110" s="43"/>
      <c r="AQ2110" s="236" t="str">
        <f>VLOOKUP(Table8[[#This Row],[Instrument]],Def_Targets!$D$73:$E$159,2,FALSE)</f>
        <v>I_Biofuel</v>
      </c>
      <c r="AR2110" s="233" t="str">
        <f>VLOOKUP(Table8[[#This Row],[Country Code]],Table29[],3,FALSE)</f>
        <v>Annex I</v>
      </c>
      <c r="AS2110" s="233" t="str">
        <f>VLOOKUP(Table8[[#This Row],[Country Code]],Table29[],4,FALSE)</f>
        <v>Europe</v>
      </c>
      <c r="AT2110" s="233" t="str">
        <f>VLOOKUP(Table8[[#This Row],[Country Code]],Table29[],5,FALSE)</f>
        <v>High-income</v>
      </c>
      <c r="AU2110" s="233" t="str">
        <f>VLOOKUP(Table8[[#This Row],[Country Code]],Table29[],6,FALSE)</f>
        <v>no</v>
      </c>
      <c r="AV2110" s="233" t="str">
        <f>VLOOKUP(Table8[[#This Row],[Country Code]],Table29[],7,FALSE)</f>
        <v>no</v>
      </c>
      <c r="AW2110" s="233" t="str">
        <f>VLOOKUP(Table8[[#This Row],[Country Code]],Table29[],8,FALSE)</f>
        <v>OECD</v>
      </c>
      <c r="AX2110" s="233" t="str">
        <f>VLOOKUP(Table8[[#This Row],[Country Code]],Table29[],9,FALSE)</f>
        <v>EU27</v>
      </c>
      <c r="AY2110" s="233" t="str">
        <f>VLOOKUP(Table8[[#This Row],[Country Code]],Table29[],10,FALSE)</f>
        <v>no</v>
      </c>
      <c r="AZ2110" s="235">
        <f>VLOOKUP(Table8[[#This Row],[Country Code]],Table29[],23,FALSE)</f>
        <v>44.775610890682003</v>
      </c>
      <c r="BA2110" s="235">
        <f>VLOOKUP(Table8[[#This Row],[Country Code]],Table29[],24,FALSE)</f>
        <v>7.6629333129442534</v>
      </c>
      <c r="BB2110" s="320"/>
      <c r="BC2110" s="320"/>
    </row>
    <row r="2111" spans="1:55" ht="60" hidden="1" x14ac:dyDescent="0.25">
      <c r="A2111" s="373">
        <v>17734</v>
      </c>
      <c r="B2111" s="233" t="str">
        <f>VLOOKUP(Table8[[#This Row],[Document ID]],Table1[],2,FALSE)</f>
        <v>SVK</v>
      </c>
      <c r="C2111" s="233" t="str">
        <f>VLOOKUP(Table8[[#This Row],[Document ID]],Table1[],3,FALSE)</f>
        <v>Slovakia</v>
      </c>
      <c r="D2111" s="243" t="str">
        <f>VLOOKUP(Table8[[#This Row],[Document ID]],Table1[],5,FALSE)</f>
        <v>LTS</v>
      </c>
      <c r="E2111" s="233" t="str">
        <f>VLOOKUP(Table8[[#This Row],[Document ID]],Table1[],7,FALSE)</f>
        <v>LTS</v>
      </c>
      <c r="F2111" s="233" t="str">
        <f>VLOOKUP(Table8[[#This Row],[Document ID]],Table1[],8,FALSE)</f>
        <v>LTS 1.0</v>
      </c>
      <c r="G2111" s="233" t="str">
        <f>VLOOKUP(Table8[[#This Row],[Document ID]],Table1[],10,FALSE)</f>
        <v>Active</v>
      </c>
      <c r="H2111" s="43" t="s">
        <v>2358</v>
      </c>
      <c r="I2111" s="43" t="s">
        <v>2359</v>
      </c>
      <c r="J2111" s="44" t="s">
        <v>2360</v>
      </c>
      <c r="K2111" s="44" t="s">
        <v>4273</v>
      </c>
      <c r="L2111" s="44" t="s">
        <v>2333</v>
      </c>
      <c r="M2111" s="43">
        <v>48</v>
      </c>
      <c r="N2111" s="113"/>
      <c r="O2111" s="113"/>
      <c r="P2111" s="113"/>
      <c r="Q2111" s="113"/>
      <c r="R2111" s="113"/>
      <c r="S2111" s="113" t="s">
        <v>1113</v>
      </c>
      <c r="T2111" s="113"/>
      <c r="U2111" s="113"/>
      <c r="V2111" s="113"/>
      <c r="W2111" s="113"/>
      <c r="X2111" s="113"/>
      <c r="Y2111" s="113"/>
      <c r="Z2111" s="113"/>
      <c r="AA2111" s="113"/>
      <c r="AB2111" s="113"/>
      <c r="AC2111" s="113"/>
      <c r="AD2111" s="113"/>
      <c r="AE2111" s="113"/>
      <c r="AF2111" s="113"/>
      <c r="AG2111" s="113"/>
      <c r="AH2111" s="113"/>
      <c r="AI2111" s="113"/>
      <c r="AJ2111" s="113"/>
      <c r="AK2111" s="319" t="s">
        <v>1113</v>
      </c>
      <c r="AL2111" s="113"/>
      <c r="AM2111" s="113"/>
      <c r="AN2111" s="113"/>
      <c r="AO2111" s="44" t="s">
        <v>2334</v>
      </c>
      <c r="AP2111" s="43"/>
      <c r="AQ2111" s="236" t="str">
        <f>VLOOKUP(Table8[[#This Row],[Instrument]],Def_Targets!$D$73:$E$159,2,FALSE)</f>
        <v>I_Emobility</v>
      </c>
      <c r="AR2111" s="233" t="str">
        <f>VLOOKUP(Table8[[#This Row],[Country Code]],Table29[],3,FALSE)</f>
        <v>Annex I</v>
      </c>
      <c r="AS2111" s="233" t="str">
        <f>VLOOKUP(Table8[[#This Row],[Country Code]],Table29[],4,FALSE)</f>
        <v>Europe</v>
      </c>
      <c r="AT2111" s="233" t="str">
        <f>VLOOKUP(Table8[[#This Row],[Country Code]],Table29[],5,FALSE)</f>
        <v>High-income</v>
      </c>
      <c r="AU2111" s="233" t="str">
        <f>VLOOKUP(Table8[[#This Row],[Country Code]],Table29[],6,FALSE)</f>
        <v>no</v>
      </c>
      <c r="AV2111" s="233" t="str">
        <f>VLOOKUP(Table8[[#This Row],[Country Code]],Table29[],7,FALSE)</f>
        <v>no</v>
      </c>
      <c r="AW2111" s="233" t="str">
        <f>VLOOKUP(Table8[[#This Row],[Country Code]],Table29[],8,FALSE)</f>
        <v>OECD</v>
      </c>
      <c r="AX2111" s="233" t="str">
        <f>VLOOKUP(Table8[[#This Row],[Country Code]],Table29[],9,FALSE)</f>
        <v>EU27</v>
      </c>
      <c r="AY2111" s="233" t="str">
        <f>VLOOKUP(Table8[[#This Row],[Country Code]],Table29[],10,FALSE)</f>
        <v>no</v>
      </c>
      <c r="AZ2111" s="235">
        <f>VLOOKUP(Table8[[#This Row],[Country Code]],Table29[],23,FALSE)</f>
        <v>44.775610890682003</v>
      </c>
      <c r="BA2111" s="235">
        <f>VLOOKUP(Table8[[#This Row],[Country Code]],Table29[],24,FALSE)</f>
        <v>7.6629333129442534</v>
      </c>
      <c r="BB2111" s="320"/>
      <c r="BC2111" s="320"/>
    </row>
    <row r="2112" spans="1:55" ht="30" hidden="1" x14ac:dyDescent="0.25">
      <c r="A2112" s="373">
        <v>17734</v>
      </c>
      <c r="B2112" s="233" t="str">
        <f>VLOOKUP(Table8[[#This Row],[Document ID]],Table1[],2,FALSE)</f>
        <v>SVK</v>
      </c>
      <c r="C2112" s="233" t="str">
        <f>VLOOKUP(Table8[[#This Row],[Document ID]],Table1[],3,FALSE)</f>
        <v>Slovakia</v>
      </c>
      <c r="D2112" s="243" t="str">
        <f>VLOOKUP(Table8[[#This Row],[Document ID]],Table1[],5,FALSE)</f>
        <v>LTS</v>
      </c>
      <c r="E2112" s="233" t="str">
        <f>VLOOKUP(Table8[[#This Row],[Document ID]],Table1[],7,FALSE)</f>
        <v>LTS</v>
      </c>
      <c r="F2112" s="233" t="str">
        <f>VLOOKUP(Table8[[#This Row],[Document ID]],Table1[],8,FALSE)</f>
        <v>LTS 1.0</v>
      </c>
      <c r="G2112" s="233" t="str">
        <f>VLOOKUP(Table8[[#This Row],[Document ID]],Table1[],10,FALSE)</f>
        <v>Active</v>
      </c>
      <c r="H2112" s="44" t="s">
        <v>2329</v>
      </c>
      <c r="I2112" s="44" t="s">
        <v>2330</v>
      </c>
      <c r="J2112" s="44" t="s">
        <v>2391</v>
      </c>
      <c r="K2112" s="44" t="s">
        <v>4274</v>
      </c>
      <c r="L2112" s="44" t="s">
        <v>2333</v>
      </c>
      <c r="M2112" s="43">
        <v>48</v>
      </c>
      <c r="N2112" s="113"/>
      <c r="O2112" s="113"/>
      <c r="P2112" s="113"/>
      <c r="Q2112" s="113"/>
      <c r="R2112" s="113"/>
      <c r="S2112" s="113" t="s">
        <v>1113</v>
      </c>
      <c r="T2112" s="113"/>
      <c r="U2112" s="113"/>
      <c r="V2112" s="113"/>
      <c r="W2112" s="113"/>
      <c r="X2112" s="113"/>
      <c r="Y2112" s="113"/>
      <c r="Z2112" s="113"/>
      <c r="AA2112" s="113"/>
      <c r="AB2112" s="113"/>
      <c r="AC2112" s="113"/>
      <c r="AD2112" s="113"/>
      <c r="AE2112" s="113"/>
      <c r="AF2112" s="113"/>
      <c r="AG2112" s="113"/>
      <c r="AH2112" s="113"/>
      <c r="AI2112" s="113"/>
      <c r="AJ2112" s="113"/>
      <c r="AK2112" s="319" t="s">
        <v>1113</v>
      </c>
      <c r="AL2112" s="113"/>
      <c r="AM2112" s="113"/>
      <c r="AN2112" s="113"/>
      <c r="AO2112" s="44" t="s">
        <v>2334</v>
      </c>
      <c r="AP2112" s="43"/>
      <c r="AQ2112" s="236" t="str">
        <f>VLOOKUP(Table8[[#This Row],[Instrument]],Def_Targets!$D$73:$E$159,2,FALSE)</f>
        <v>I_Hydrogen</v>
      </c>
      <c r="AR2112" s="233" t="str">
        <f>VLOOKUP(Table8[[#This Row],[Country Code]],Table29[],3,FALSE)</f>
        <v>Annex I</v>
      </c>
      <c r="AS2112" s="233" t="str">
        <f>VLOOKUP(Table8[[#This Row],[Country Code]],Table29[],4,FALSE)</f>
        <v>Europe</v>
      </c>
      <c r="AT2112" s="233" t="str">
        <f>VLOOKUP(Table8[[#This Row],[Country Code]],Table29[],5,FALSE)</f>
        <v>High-income</v>
      </c>
      <c r="AU2112" s="233" t="str">
        <f>VLOOKUP(Table8[[#This Row],[Country Code]],Table29[],6,FALSE)</f>
        <v>no</v>
      </c>
      <c r="AV2112" s="233" t="str">
        <f>VLOOKUP(Table8[[#This Row],[Country Code]],Table29[],7,FALSE)</f>
        <v>no</v>
      </c>
      <c r="AW2112" s="233" t="str">
        <f>VLOOKUP(Table8[[#This Row],[Country Code]],Table29[],8,FALSE)</f>
        <v>OECD</v>
      </c>
      <c r="AX2112" s="233" t="str">
        <f>VLOOKUP(Table8[[#This Row],[Country Code]],Table29[],9,FALSE)</f>
        <v>EU27</v>
      </c>
      <c r="AY2112" s="233" t="str">
        <f>VLOOKUP(Table8[[#This Row],[Country Code]],Table29[],10,FALSE)</f>
        <v>no</v>
      </c>
      <c r="AZ2112" s="235">
        <f>VLOOKUP(Table8[[#This Row],[Country Code]],Table29[],23,FALSE)</f>
        <v>44.775610890682003</v>
      </c>
      <c r="BA2112" s="235">
        <f>VLOOKUP(Table8[[#This Row],[Country Code]],Table29[],24,FALSE)</f>
        <v>7.6629333129442534</v>
      </c>
      <c r="BB2112" s="320"/>
      <c r="BC2112" s="320"/>
    </row>
    <row r="2113" spans="1:55" ht="30" hidden="1" x14ac:dyDescent="0.25">
      <c r="A2113" s="373">
        <v>17734</v>
      </c>
      <c r="B2113" s="233" t="str">
        <f>VLOOKUP(Table8[[#This Row],[Document ID]],Table1[],2,FALSE)</f>
        <v>SVK</v>
      </c>
      <c r="C2113" s="233" t="str">
        <f>VLOOKUP(Table8[[#This Row],[Document ID]],Table1[],3,FALSE)</f>
        <v>Slovakia</v>
      </c>
      <c r="D2113" s="243" t="str">
        <f>VLOOKUP(Table8[[#This Row],[Document ID]],Table1[],5,FALSE)</f>
        <v>LTS</v>
      </c>
      <c r="E2113" s="233" t="str">
        <f>VLOOKUP(Table8[[#This Row],[Document ID]],Table1[],7,FALSE)</f>
        <v>LTS</v>
      </c>
      <c r="F2113" s="233" t="str">
        <f>VLOOKUP(Table8[[#This Row],[Document ID]],Table1[],8,FALSE)</f>
        <v>LTS 1.0</v>
      </c>
      <c r="G2113" s="233" t="str">
        <f>VLOOKUP(Table8[[#This Row],[Document ID]],Table1[],10,FALSE)</f>
        <v>Active</v>
      </c>
      <c r="H2113" s="43" t="s">
        <v>2350</v>
      </c>
      <c r="I2113" s="43" t="s">
        <v>2351</v>
      </c>
      <c r="J2113" s="44" t="s">
        <v>2352</v>
      </c>
      <c r="K2113" s="44" t="s">
        <v>4275</v>
      </c>
      <c r="L2113" s="44" t="s">
        <v>2347</v>
      </c>
      <c r="M2113" s="43">
        <v>48</v>
      </c>
      <c r="N2113" s="113"/>
      <c r="O2113" s="113"/>
      <c r="P2113" s="113"/>
      <c r="Q2113" s="113"/>
      <c r="R2113" s="113"/>
      <c r="S2113" s="113" t="s">
        <v>1113</v>
      </c>
      <c r="T2113" s="113"/>
      <c r="U2113" s="113"/>
      <c r="V2113" s="113"/>
      <c r="W2113" s="113"/>
      <c r="X2113" s="113"/>
      <c r="Y2113" s="113"/>
      <c r="Z2113" s="113" t="s">
        <v>1113</v>
      </c>
      <c r="AA2113" s="113"/>
      <c r="AB2113" s="113"/>
      <c r="AC2113" s="113"/>
      <c r="AD2113" s="113" t="s">
        <v>1113</v>
      </c>
      <c r="AE2113" s="113"/>
      <c r="AF2113" s="113"/>
      <c r="AG2113" s="113"/>
      <c r="AH2113" s="113"/>
      <c r="AI2113" s="113"/>
      <c r="AJ2113" s="113"/>
      <c r="AK2113" s="319" t="s">
        <v>1113</v>
      </c>
      <c r="AL2113" s="113"/>
      <c r="AM2113" s="113"/>
      <c r="AN2113" s="113"/>
      <c r="AO2113" s="43" t="s">
        <v>2353</v>
      </c>
      <c r="AP2113" s="43"/>
      <c r="AQ2113" s="236" t="str">
        <f>VLOOKUP(Table8[[#This Row],[Instrument]],Def_Targets!$D$73:$E$159,2,FALSE)</f>
        <v>S_Railfreight</v>
      </c>
      <c r="AR2113" s="233" t="str">
        <f>VLOOKUP(Table8[[#This Row],[Country Code]],Table29[],3,FALSE)</f>
        <v>Annex I</v>
      </c>
      <c r="AS2113" s="233" t="str">
        <f>VLOOKUP(Table8[[#This Row],[Country Code]],Table29[],4,FALSE)</f>
        <v>Europe</v>
      </c>
      <c r="AT2113" s="233" t="str">
        <f>VLOOKUP(Table8[[#This Row],[Country Code]],Table29[],5,FALSE)</f>
        <v>High-income</v>
      </c>
      <c r="AU2113" s="233" t="str">
        <f>VLOOKUP(Table8[[#This Row],[Country Code]],Table29[],6,FALSE)</f>
        <v>no</v>
      </c>
      <c r="AV2113" s="233" t="str">
        <f>VLOOKUP(Table8[[#This Row],[Country Code]],Table29[],7,FALSE)</f>
        <v>no</v>
      </c>
      <c r="AW2113" s="233" t="str">
        <f>VLOOKUP(Table8[[#This Row],[Country Code]],Table29[],8,FALSE)</f>
        <v>OECD</v>
      </c>
      <c r="AX2113" s="233" t="str">
        <f>VLOOKUP(Table8[[#This Row],[Country Code]],Table29[],9,FALSE)</f>
        <v>EU27</v>
      </c>
      <c r="AY2113" s="233" t="str">
        <f>VLOOKUP(Table8[[#This Row],[Country Code]],Table29[],10,FALSE)</f>
        <v>no</v>
      </c>
      <c r="AZ2113" s="235">
        <f>VLOOKUP(Table8[[#This Row],[Country Code]],Table29[],23,FALSE)</f>
        <v>44.775610890682003</v>
      </c>
      <c r="BA2113" s="235">
        <f>VLOOKUP(Table8[[#This Row],[Country Code]],Table29[],24,FALSE)</f>
        <v>7.6629333129442534</v>
      </c>
      <c r="BB2113" s="320"/>
      <c r="BC2113" s="320"/>
    </row>
    <row r="2114" spans="1:55" ht="30" hidden="1" x14ac:dyDescent="0.25">
      <c r="A2114" s="373">
        <v>17734</v>
      </c>
      <c r="B2114" s="233" t="str">
        <f>VLOOKUP(Table8[[#This Row],[Document ID]],Table1[],2,FALSE)</f>
        <v>SVK</v>
      </c>
      <c r="C2114" s="233" t="str">
        <f>VLOOKUP(Table8[[#This Row],[Document ID]],Table1[],3,FALSE)</f>
        <v>Slovakia</v>
      </c>
      <c r="D2114" s="243" t="str">
        <f>VLOOKUP(Table8[[#This Row],[Document ID]],Table1[],5,FALSE)</f>
        <v>LTS</v>
      </c>
      <c r="E2114" s="233" t="str">
        <f>VLOOKUP(Table8[[#This Row],[Document ID]],Table1[],7,FALSE)</f>
        <v>LTS</v>
      </c>
      <c r="F2114" s="233" t="str">
        <f>VLOOKUP(Table8[[#This Row],[Document ID]],Table1[],8,FALSE)</f>
        <v>LTS 1.0</v>
      </c>
      <c r="G2114" s="233" t="str">
        <f>VLOOKUP(Table8[[#This Row],[Document ID]],Table1[],10,FALSE)</f>
        <v>Active</v>
      </c>
      <c r="H2114" s="43" t="s">
        <v>2343</v>
      </c>
      <c r="I2114" s="43" t="s">
        <v>2386</v>
      </c>
      <c r="J2114" s="44" t="s">
        <v>2412</v>
      </c>
      <c r="K2114" s="44" t="s">
        <v>4276</v>
      </c>
      <c r="L2114" s="44" t="s">
        <v>2396</v>
      </c>
      <c r="M2114" s="43">
        <v>48</v>
      </c>
      <c r="N2114" s="113" t="s">
        <v>1113</v>
      </c>
      <c r="O2114" s="113"/>
      <c r="P2114" s="113"/>
      <c r="Q2114" s="113"/>
      <c r="R2114" s="113"/>
      <c r="S2114" s="113"/>
      <c r="T2114" s="113"/>
      <c r="U2114" s="113"/>
      <c r="V2114" s="113"/>
      <c r="W2114" s="113"/>
      <c r="X2114" s="113"/>
      <c r="Y2114" s="113"/>
      <c r="Z2114" s="113"/>
      <c r="AA2114" s="113"/>
      <c r="AB2114" s="113"/>
      <c r="AC2114" s="113"/>
      <c r="AD2114" s="113"/>
      <c r="AE2114" s="113"/>
      <c r="AF2114" s="113"/>
      <c r="AG2114" s="113"/>
      <c r="AH2114" s="113"/>
      <c r="AI2114" s="113"/>
      <c r="AJ2114" s="113"/>
      <c r="AK2114" s="319" t="s">
        <v>1113</v>
      </c>
      <c r="AL2114" s="113"/>
      <c r="AM2114" s="113"/>
      <c r="AN2114" s="113"/>
      <c r="AO2114" s="44" t="s">
        <v>2334</v>
      </c>
      <c r="AP2114" s="43"/>
      <c r="AQ2114" s="236" t="str">
        <f>VLOOKUP(Table8[[#This Row],[Instrument]],Def_Targets!$D$73:$E$159,2,FALSE)</f>
        <v>A_Economic</v>
      </c>
      <c r="AR2114" s="233" t="str">
        <f>VLOOKUP(Table8[[#This Row],[Country Code]],Table29[],3,FALSE)</f>
        <v>Annex I</v>
      </c>
      <c r="AS2114" s="233" t="str">
        <f>VLOOKUP(Table8[[#This Row],[Country Code]],Table29[],4,FALSE)</f>
        <v>Europe</v>
      </c>
      <c r="AT2114" s="233" t="str">
        <f>VLOOKUP(Table8[[#This Row],[Country Code]],Table29[],5,FALSE)</f>
        <v>High-income</v>
      </c>
      <c r="AU2114" s="233" t="str">
        <f>VLOOKUP(Table8[[#This Row],[Country Code]],Table29[],6,FALSE)</f>
        <v>no</v>
      </c>
      <c r="AV2114" s="233" t="str">
        <f>VLOOKUP(Table8[[#This Row],[Country Code]],Table29[],7,FALSE)</f>
        <v>no</v>
      </c>
      <c r="AW2114" s="233" t="str">
        <f>VLOOKUP(Table8[[#This Row],[Country Code]],Table29[],8,FALSE)</f>
        <v>OECD</v>
      </c>
      <c r="AX2114" s="233" t="str">
        <f>VLOOKUP(Table8[[#This Row],[Country Code]],Table29[],9,FALSE)</f>
        <v>EU27</v>
      </c>
      <c r="AY2114" s="233" t="str">
        <f>VLOOKUP(Table8[[#This Row],[Country Code]],Table29[],10,FALSE)</f>
        <v>no</v>
      </c>
      <c r="AZ2114" s="235">
        <f>VLOOKUP(Table8[[#This Row],[Country Code]],Table29[],23,FALSE)</f>
        <v>44.775610890682003</v>
      </c>
      <c r="BA2114" s="235">
        <f>VLOOKUP(Table8[[#This Row],[Country Code]],Table29[],24,FALSE)</f>
        <v>7.6629333129442534</v>
      </c>
      <c r="BB2114" s="320"/>
      <c r="BC2114" s="320"/>
    </row>
    <row r="2115" spans="1:55" ht="30" hidden="1" x14ac:dyDescent="0.25">
      <c r="A2115" s="373">
        <v>17734</v>
      </c>
      <c r="B2115" s="233" t="str">
        <f>VLOOKUP(Table8[[#This Row],[Document ID]],Table1[],2,FALSE)</f>
        <v>SVK</v>
      </c>
      <c r="C2115" s="233" t="str">
        <f>VLOOKUP(Table8[[#This Row],[Document ID]],Table1[],3,FALSE)</f>
        <v>Slovakia</v>
      </c>
      <c r="D2115" s="243" t="str">
        <f>VLOOKUP(Table8[[#This Row],[Document ID]],Table1[],5,FALSE)</f>
        <v>LTS</v>
      </c>
      <c r="E2115" s="233" t="str">
        <f>VLOOKUP(Table8[[#This Row],[Document ID]],Table1[],7,FALSE)</f>
        <v>LTS</v>
      </c>
      <c r="F2115" s="233" t="str">
        <f>VLOOKUP(Table8[[#This Row],[Document ID]],Table1[],8,FALSE)</f>
        <v>LTS 1.0</v>
      </c>
      <c r="G2115" s="233" t="str">
        <f>VLOOKUP(Table8[[#This Row],[Document ID]],Table1[],10,FALSE)</f>
        <v>Active</v>
      </c>
      <c r="H2115" s="43" t="s">
        <v>2343</v>
      </c>
      <c r="I2115" s="43" t="s">
        <v>2386</v>
      </c>
      <c r="J2115" s="44" t="s">
        <v>2498</v>
      </c>
      <c r="K2115" s="44" t="s">
        <v>4276</v>
      </c>
      <c r="L2115" s="44" t="s">
        <v>2396</v>
      </c>
      <c r="M2115" s="43">
        <v>48</v>
      </c>
      <c r="N2115" s="113" t="s">
        <v>1113</v>
      </c>
      <c r="O2115" s="113"/>
      <c r="P2115" s="113"/>
      <c r="Q2115" s="113"/>
      <c r="R2115" s="113"/>
      <c r="S2115" s="113"/>
      <c r="T2115" s="113"/>
      <c r="U2115" s="113"/>
      <c r="V2115" s="113"/>
      <c r="W2115" s="113"/>
      <c r="X2115" s="113"/>
      <c r="Y2115" s="113"/>
      <c r="Z2115" s="113"/>
      <c r="AA2115" s="113"/>
      <c r="AB2115" s="113"/>
      <c r="AC2115" s="113"/>
      <c r="AD2115" s="113"/>
      <c r="AE2115" s="113"/>
      <c r="AF2115" s="113"/>
      <c r="AG2115" s="113"/>
      <c r="AH2115" s="113"/>
      <c r="AI2115" s="113"/>
      <c r="AJ2115" s="113"/>
      <c r="AK2115" s="319" t="s">
        <v>1113</v>
      </c>
      <c r="AL2115" s="113"/>
      <c r="AM2115" s="113"/>
      <c r="AN2115" s="113"/>
      <c r="AO2115" s="44" t="s">
        <v>2334</v>
      </c>
      <c r="AP2115" s="43"/>
      <c r="AQ2115" s="236" t="str">
        <f>VLOOKUP(Table8[[#This Row],[Instrument]],Def_Targets!$D$73:$E$159,2,FALSE)</f>
        <v>A_Fueltax</v>
      </c>
      <c r="AR2115" s="233" t="str">
        <f>VLOOKUP(Table8[[#This Row],[Country Code]],Table29[],3,FALSE)</f>
        <v>Annex I</v>
      </c>
      <c r="AS2115" s="233" t="str">
        <f>VLOOKUP(Table8[[#This Row],[Country Code]],Table29[],4,FALSE)</f>
        <v>Europe</v>
      </c>
      <c r="AT2115" s="233" t="str">
        <f>VLOOKUP(Table8[[#This Row],[Country Code]],Table29[],5,FALSE)</f>
        <v>High-income</v>
      </c>
      <c r="AU2115" s="233" t="str">
        <f>VLOOKUP(Table8[[#This Row],[Country Code]],Table29[],6,FALSE)</f>
        <v>no</v>
      </c>
      <c r="AV2115" s="233" t="str">
        <f>VLOOKUP(Table8[[#This Row],[Country Code]],Table29[],7,FALSE)</f>
        <v>no</v>
      </c>
      <c r="AW2115" s="233" t="str">
        <f>VLOOKUP(Table8[[#This Row],[Country Code]],Table29[],8,FALSE)</f>
        <v>OECD</v>
      </c>
      <c r="AX2115" s="233" t="str">
        <f>VLOOKUP(Table8[[#This Row],[Country Code]],Table29[],9,FALSE)</f>
        <v>EU27</v>
      </c>
      <c r="AY2115" s="233" t="str">
        <f>VLOOKUP(Table8[[#This Row],[Country Code]],Table29[],10,FALSE)</f>
        <v>no</v>
      </c>
      <c r="AZ2115" s="235">
        <f>VLOOKUP(Table8[[#This Row],[Country Code]],Table29[],23,FALSE)</f>
        <v>44.775610890682003</v>
      </c>
      <c r="BA2115" s="235">
        <f>VLOOKUP(Table8[[#This Row],[Country Code]],Table29[],24,FALSE)</f>
        <v>7.6629333129442534</v>
      </c>
      <c r="BB2115" s="320"/>
      <c r="BC2115" s="320"/>
    </row>
    <row r="2116" spans="1:55" hidden="1" x14ac:dyDescent="0.25">
      <c r="A2116" s="373">
        <v>17734</v>
      </c>
      <c r="B2116" s="233" t="str">
        <f>VLOOKUP(Table8[[#This Row],[Document ID]],Table1[],2,FALSE)</f>
        <v>SVK</v>
      </c>
      <c r="C2116" s="233" t="str">
        <f>VLOOKUP(Table8[[#This Row],[Document ID]],Table1[],3,FALSE)</f>
        <v>Slovakia</v>
      </c>
      <c r="D2116" s="243" t="str">
        <f>VLOOKUP(Table8[[#This Row],[Document ID]],Table1[],5,FALSE)</f>
        <v>LTS</v>
      </c>
      <c r="E2116" s="233" t="str">
        <f>VLOOKUP(Table8[[#This Row],[Document ID]],Table1[],7,FALSE)</f>
        <v>LTS</v>
      </c>
      <c r="F2116" s="233" t="str">
        <f>VLOOKUP(Table8[[#This Row],[Document ID]],Table1[],8,FALSE)</f>
        <v>LTS 1.0</v>
      </c>
      <c r="G2116" s="233" t="str">
        <f>VLOOKUP(Table8[[#This Row],[Document ID]],Table1[],10,FALSE)</f>
        <v>Active</v>
      </c>
      <c r="H2116" s="43" t="s">
        <v>2343</v>
      </c>
      <c r="I2116" s="43" t="s">
        <v>2386</v>
      </c>
      <c r="J2116" s="44" t="s">
        <v>2569</v>
      </c>
      <c r="K2116" s="44" t="s">
        <v>4277</v>
      </c>
      <c r="L2116" s="44" t="s">
        <v>2396</v>
      </c>
      <c r="M2116" s="43">
        <v>48</v>
      </c>
      <c r="N2116" s="113"/>
      <c r="O2116" s="113"/>
      <c r="P2116" s="113"/>
      <c r="Q2116" s="113"/>
      <c r="R2116" s="113"/>
      <c r="S2116" s="113" t="s">
        <v>1113</v>
      </c>
      <c r="T2116" s="113"/>
      <c r="U2116" s="113"/>
      <c r="V2116" s="113"/>
      <c r="W2116" s="113"/>
      <c r="X2116" s="113"/>
      <c r="Y2116" s="113"/>
      <c r="Z2116" s="113"/>
      <c r="AA2116" s="113"/>
      <c r="AB2116" s="113"/>
      <c r="AC2116" s="113"/>
      <c r="AD2116" s="113"/>
      <c r="AE2116" s="113"/>
      <c r="AF2116" s="113"/>
      <c r="AG2116" s="113"/>
      <c r="AH2116" s="113"/>
      <c r="AI2116" s="113"/>
      <c r="AJ2116" s="113"/>
      <c r="AK2116" s="319" t="s">
        <v>1113</v>
      </c>
      <c r="AL2116" s="113"/>
      <c r="AM2116" s="113"/>
      <c r="AN2116" s="113"/>
      <c r="AO2116" s="43" t="s">
        <v>2353</v>
      </c>
      <c r="AP2116" s="43"/>
      <c r="AQ2116" s="236" t="str">
        <f>VLOOKUP(Table8[[#This Row],[Instrument]],Def_Targets!$D$73:$E$159,2,FALSE)</f>
        <v>A_Roadcharging</v>
      </c>
      <c r="AR2116" s="233" t="str">
        <f>VLOOKUP(Table8[[#This Row],[Country Code]],Table29[],3,FALSE)</f>
        <v>Annex I</v>
      </c>
      <c r="AS2116" s="233" t="str">
        <f>VLOOKUP(Table8[[#This Row],[Country Code]],Table29[],4,FALSE)</f>
        <v>Europe</v>
      </c>
      <c r="AT2116" s="233" t="str">
        <f>VLOOKUP(Table8[[#This Row],[Country Code]],Table29[],5,FALSE)</f>
        <v>High-income</v>
      </c>
      <c r="AU2116" s="233" t="str">
        <f>VLOOKUP(Table8[[#This Row],[Country Code]],Table29[],6,FALSE)</f>
        <v>no</v>
      </c>
      <c r="AV2116" s="233" t="str">
        <f>VLOOKUP(Table8[[#This Row],[Country Code]],Table29[],7,FALSE)</f>
        <v>no</v>
      </c>
      <c r="AW2116" s="233" t="str">
        <f>VLOOKUP(Table8[[#This Row],[Country Code]],Table29[],8,FALSE)</f>
        <v>OECD</v>
      </c>
      <c r="AX2116" s="233" t="str">
        <f>VLOOKUP(Table8[[#This Row],[Country Code]],Table29[],9,FALSE)</f>
        <v>EU27</v>
      </c>
      <c r="AY2116" s="233" t="str">
        <f>VLOOKUP(Table8[[#This Row],[Country Code]],Table29[],10,FALSE)</f>
        <v>no</v>
      </c>
      <c r="AZ2116" s="235">
        <f>VLOOKUP(Table8[[#This Row],[Country Code]],Table29[],23,FALSE)</f>
        <v>44.775610890682003</v>
      </c>
      <c r="BA2116" s="235">
        <f>VLOOKUP(Table8[[#This Row],[Country Code]],Table29[],24,FALSE)</f>
        <v>7.6629333129442534</v>
      </c>
      <c r="BB2116" s="320"/>
      <c r="BC2116" s="320"/>
    </row>
    <row r="2117" spans="1:55" ht="30" hidden="1" x14ac:dyDescent="0.25">
      <c r="A2117" s="373">
        <v>17734</v>
      </c>
      <c r="B2117" s="233" t="str">
        <f>VLOOKUP(Table8[[#This Row],[Document ID]],Table1[],2,FALSE)</f>
        <v>SVK</v>
      </c>
      <c r="C2117" s="233" t="str">
        <f>VLOOKUP(Table8[[#This Row],[Document ID]],Table1[],3,FALSE)</f>
        <v>Slovakia</v>
      </c>
      <c r="D2117" s="243" t="str">
        <f>VLOOKUP(Table8[[#This Row],[Document ID]],Table1[],5,FALSE)</f>
        <v>LTS</v>
      </c>
      <c r="E2117" s="233" t="str">
        <f>VLOOKUP(Table8[[#This Row],[Document ID]],Table1[],7,FALSE)</f>
        <v>LTS</v>
      </c>
      <c r="F2117" s="233" t="str">
        <f>VLOOKUP(Table8[[#This Row],[Document ID]],Table1[],8,FALSE)</f>
        <v>LTS 1.0</v>
      </c>
      <c r="G2117" s="233" t="str">
        <f>VLOOKUP(Table8[[#This Row],[Document ID]],Table1[],10,FALSE)</f>
        <v>Active</v>
      </c>
      <c r="H2117" s="43" t="s">
        <v>2343</v>
      </c>
      <c r="I2117" s="43" t="s">
        <v>2344</v>
      </c>
      <c r="J2117" s="44" t="s">
        <v>2345</v>
      </c>
      <c r="K2117" s="44" t="s">
        <v>4278</v>
      </c>
      <c r="L2117" s="44" t="s">
        <v>2471</v>
      </c>
      <c r="M2117" s="43">
        <v>50</v>
      </c>
      <c r="N2117" s="113"/>
      <c r="O2117" s="113"/>
      <c r="P2117" s="113"/>
      <c r="Q2117" s="113"/>
      <c r="R2117" s="113"/>
      <c r="S2117" s="113"/>
      <c r="T2117" s="113"/>
      <c r="U2117" s="113"/>
      <c r="V2117" s="113"/>
      <c r="W2117" s="113"/>
      <c r="X2117" s="113"/>
      <c r="Y2117" s="113"/>
      <c r="Z2117" s="113" t="s">
        <v>1113</v>
      </c>
      <c r="AA2117" s="113"/>
      <c r="AB2117" s="113"/>
      <c r="AC2117" s="113"/>
      <c r="AD2117" s="113"/>
      <c r="AE2117" s="113"/>
      <c r="AF2117" s="113"/>
      <c r="AG2117" s="113"/>
      <c r="AH2117" s="113"/>
      <c r="AI2117" s="113"/>
      <c r="AJ2117" s="113"/>
      <c r="AK2117" s="319" t="s">
        <v>1113</v>
      </c>
      <c r="AL2117" s="113"/>
      <c r="AM2117" s="113"/>
      <c r="AN2117" s="113"/>
      <c r="AO2117" s="43" t="s">
        <v>2348</v>
      </c>
      <c r="AP2117" s="43"/>
      <c r="AQ2117" s="236" t="str">
        <f>VLOOKUP(Table8[[#This Row],[Instrument]],Def_Targets!$D$73:$E$159,2,FALSE)</f>
        <v>S_PublicTransport</v>
      </c>
      <c r="AR2117" s="233" t="str">
        <f>VLOOKUP(Table8[[#This Row],[Country Code]],Table29[],3,FALSE)</f>
        <v>Annex I</v>
      </c>
      <c r="AS2117" s="233" t="str">
        <f>VLOOKUP(Table8[[#This Row],[Country Code]],Table29[],4,FALSE)</f>
        <v>Europe</v>
      </c>
      <c r="AT2117" s="233" t="str">
        <f>VLOOKUP(Table8[[#This Row],[Country Code]],Table29[],5,FALSE)</f>
        <v>High-income</v>
      </c>
      <c r="AU2117" s="233" t="str">
        <f>VLOOKUP(Table8[[#This Row],[Country Code]],Table29[],6,FALSE)</f>
        <v>no</v>
      </c>
      <c r="AV2117" s="233" t="str">
        <f>VLOOKUP(Table8[[#This Row],[Country Code]],Table29[],7,FALSE)</f>
        <v>no</v>
      </c>
      <c r="AW2117" s="233" t="str">
        <f>VLOOKUP(Table8[[#This Row],[Country Code]],Table29[],8,FALSE)</f>
        <v>OECD</v>
      </c>
      <c r="AX2117" s="233" t="str">
        <f>VLOOKUP(Table8[[#This Row],[Country Code]],Table29[],9,FALSE)</f>
        <v>EU27</v>
      </c>
      <c r="AY2117" s="233" t="str">
        <f>VLOOKUP(Table8[[#This Row],[Country Code]],Table29[],10,FALSE)</f>
        <v>no</v>
      </c>
      <c r="AZ2117" s="235">
        <f>VLOOKUP(Table8[[#This Row],[Country Code]],Table29[],23,FALSE)</f>
        <v>44.775610890682003</v>
      </c>
      <c r="BA2117" s="235">
        <f>VLOOKUP(Table8[[#This Row],[Country Code]],Table29[],24,FALSE)</f>
        <v>7.6629333129442534</v>
      </c>
      <c r="BB2117" s="320"/>
      <c r="BC2117" s="320"/>
    </row>
    <row r="2118" spans="1:55" hidden="1" x14ac:dyDescent="0.25">
      <c r="A2118" s="373">
        <v>17734</v>
      </c>
      <c r="B2118" s="233" t="str">
        <f>VLOOKUP(Table8[[#This Row],[Document ID]],Table1[],2,FALSE)</f>
        <v>SVK</v>
      </c>
      <c r="C2118" s="233" t="str">
        <f>VLOOKUP(Table8[[#This Row],[Document ID]],Table1[],3,FALSE)</f>
        <v>Slovakia</v>
      </c>
      <c r="D2118" s="243" t="str">
        <f>VLOOKUP(Table8[[#This Row],[Document ID]],Table1[],5,FALSE)</f>
        <v>LTS</v>
      </c>
      <c r="E2118" s="233" t="str">
        <f>VLOOKUP(Table8[[#This Row],[Document ID]],Table1[],7,FALSE)</f>
        <v>LTS</v>
      </c>
      <c r="F2118" s="233" t="str">
        <f>VLOOKUP(Table8[[#This Row],[Document ID]],Table1[],8,FALSE)</f>
        <v>LTS 1.0</v>
      </c>
      <c r="G2118" s="233" t="str">
        <f>VLOOKUP(Table8[[#This Row],[Document ID]],Table1[],10,FALSE)</f>
        <v>Active</v>
      </c>
      <c r="H2118" s="43" t="s">
        <v>2350</v>
      </c>
      <c r="I2118" s="43" t="s">
        <v>2456</v>
      </c>
      <c r="J2118" s="44" t="s">
        <v>2457</v>
      </c>
      <c r="K2118" s="44" t="s">
        <v>4279</v>
      </c>
      <c r="L2118" s="44" t="s">
        <v>2333</v>
      </c>
      <c r="M2118" s="43">
        <v>50</v>
      </c>
      <c r="N2118" s="113"/>
      <c r="O2118" s="113"/>
      <c r="P2118" s="113"/>
      <c r="Q2118" s="113"/>
      <c r="R2118" s="113"/>
      <c r="S2118" s="113"/>
      <c r="T2118" s="113"/>
      <c r="U2118" s="113"/>
      <c r="V2118" s="113"/>
      <c r="W2118" s="113"/>
      <c r="X2118" s="113"/>
      <c r="Y2118" s="113"/>
      <c r="Z2118" s="113" t="s">
        <v>1113</v>
      </c>
      <c r="AA2118" s="113"/>
      <c r="AB2118" s="113"/>
      <c r="AC2118" s="113"/>
      <c r="AD2118" s="113"/>
      <c r="AE2118" s="113"/>
      <c r="AF2118" s="113"/>
      <c r="AG2118" s="113"/>
      <c r="AH2118" s="113"/>
      <c r="AI2118" s="113"/>
      <c r="AJ2118" s="113"/>
      <c r="AK2118" s="319" t="s">
        <v>1113</v>
      </c>
      <c r="AL2118" s="113"/>
      <c r="AM2118" s="113"/>
      <c r="AN2118" s="113"/>
      <c r="AO2118" s="44" t="s">
        <v>2334</v>
      </c>
      <c r="AP2118" s="43"/>
      <c r="AQ2118" s="236" t="str">
        <f>VLOOKUP(Table8[[#This Row],[Instrument]],Def_Targets!$D$73:$E$159,2,FALSE)</f>
        <v>S_Infraimprove</v>
      </c>
      <c r="AR2118" s="233" t="str">
        <f>VLOOKUP(Table8[[#This Row],[Country Code]],Table29[],3,FALSE)</f>
        <v>Annex I</v>
      </c>
      <c r="AS2118" s="233" t="str">
        <f>VLOOKUP(Table8[[#This Row],[Country Code]],Table29[],4,FALSE)</f>
        <v>Europe</v>
      </c>
      <c r="AT2118" s="233" t="str">
        <f>VLOOKUP(Table8[[#This Row],[Country Code]],Table29[],5,FALSE)</f>
        <v>High-income</v>
      </c>
      <c r="AU2118" s="233" t="str">
        <f>VLOOKUP(Table8[[#This Row],[Country Code]],Table29[],6,FALSE)</f>
        <v>no</v>
      </c>
      <c r="AV2118" s="233" t="str">
        <f>VLOOKUP(Table8[[#This Row],[Country Code]],Table29[],7,FALSE)</f>
        <v>no</v>
      </c>
      <c r="AW2118" s="233" t="str">
        <f>VLOOKUP(Table8[[#This Row],[Country Code]],Table29[],8,FALSE)</f>
        <v>OECD</v>
      </c>
      <c r="AX2118" s="233" t="str">
        <f>VLOOKUP(Table8[[#This Row],[Country Code]],Table29[],9,FALSE)</f>
        <v>EU27</v>
      </c>
      <c r="AY2118" s="233" t="str">
        <f>VLOOKUP(Table8[[#This Row],[Country Code]],Table29[],10,FALSE)</f>
        <v>no</v>
      </c>
      <c r="AZ2118" s="235">
        <f>VLOOKUP(Table8[[#This Row],[Country Code]],Table29[],23,FALSE)</f>
        <v>44.775610890682003</v>
      </c>
      <c r="BA2118" s="235">
        <f>VLOOKUP(Table8[[#This Row],[Country Code]],Table29[],24,FALSE)</f>
        <v>7.6629333129442534</v>
      </c>
      <c r="BB2118" s="320"/>
      <c r="BC2118" s="320"/>
    </row>
    <row r="2119" spans="1:55" ht="45" hidden="1" x14ac:dyDescent="0.25">
      <c r="A2119" s="373">
        <v>17734</v>
      </c>
      <c r="B2119" s="233" t="str">
        <f>VLOOKUP(Table8[[#This Row],[Document ID]],Table1[],2,FALSE)</f>
        <v>SVK</v>
      </c>
      <c r="C2119" s="233" t="str">
        <f>VLOOKUP(Table8[[#This Row],[Document ID]],Table1[],3,FALSE)</f>
        <v>Slovakia</v>
      </c>
      <c r="D2119" s="243" t="str">
        <f>VLOOKUP(Table8[[#This Row],[Document ID]],Table1[],5,FALSE)</f>
        <v>LTS</v>
      </c>
      <c r="E2119" s="233" t="str">
        <f>VLOOKUP(Table8[[#This Row],[Document ID]],Table1[],7,FALSE)</f>
        <v>LTS</v>
      </c>
      <c r="F2119" s="233" t="str">
        <f>VLOOKUP(Table8[[#This Row],[Document ID]],Table1[],8,FALSE)</f>
        <v>LTS 1.0</v>
      </c>
      <c r="G2119" s="233" t="str">
        <f>VLOOKUP(Table8[[#This Row],[Document ID]],Table1[],10,FALSE)</f>
        <v>Active</v>
      </c>
      <c r="H2119" s="43" t="s">
        <v>2343</v>
      </c>
      <c r="I2119" s="43" t="s">
        <v>2344</v>
      </c>
      <c r="J2119" s="44" t="s">
        <v>2405</v>
      </c>
      <c r="K2119" s="44" t="s">
        <v>4280</v>
      </c>
      <c r="L2119" s="44" t="s">
        <v>2471</v>
      </c>
      <c r="M2119" s="43">
        <v>50</v>
      </c>
      <c r="N2119" s="113"/>
      <c r="O2119" s="113"/>
      <c r="P2119" s="113"/>
      <c r="Q2119" s="113"/>
      <c r="R2119" s="113"/>
      <c r="S2119" s="113"/>
      <c r="T2119" s="113"/>
      <c r="U2119" s="113"/>
      <c r="V2119" s="113"/>
      <c r="W2119" s="113"/>
      <c r="X2119" s="113"/>
      <c r="Y2119" s="113" t="s">
        <v>1113</v>
      </c>
      <c r="Z2119" s="113" t="s">
        <v>1113</v>
      </c>
      <c r="AA2119" s="113"/>
      <c r="AB2119" s="113"/>
      <c r="AC2119" s="113"/>
      <c r="AD2119" s="113" t="s">
        <v>1113</v>
      </c>
      <c r="AE2119" s="113"/>
      <c r="AF2119" s="113"/>
      <c r="AG2119" s="113"/>
      <c r="AH2119" s="113"/>
      <c r="AI2119" s="113"/>
      <c r="AJ2119" s="113"/>
      <c r="AK2119" s="319" t="s">
        <v>1113</v>
      </c>
      <c r="AL2119" s="113"/>
      <c r="AM2119" s="113"/>
      <c r="AN2119" s="113"/>
      <c r="AO2119" s="43" t="s">
        <v>2348</v>
      </c>
      <c r="AP2119" s="43"/>
      <c r="AQ2119" s="236" t="str">
        <f>VLOOKUP(Table8[[#This Row],[Instrument]],Def_Targets!$D$73:$E$159,2,FALSE)</f>
        <v>S_PTIntegration</v>
      </c>
      <c r="AR2119" s="233" t="str">
        <f>VLOOKUP(Table8[[#This Row],[Country Code]],Table29[],3,FALSE)</f>
        <v>Annex I</v>
      </c>
      <c r="AS2119" s="233" t="str">
        <f>VLOOKUP(Table8[[#This Row],[Country Code]],Table29[],4,FALSE)</f>
        <v>Europe</v>
      </c>
      <c r="AT2119" s="233" t="str">
        <f>VLOOKUP(Table8[[#This Row],[Country Code]],Table29[],5,FALSE)</f>
        <v>High-income</v>
      </c>
      <c r="AU2119" s="233" t="str">
        <f>VLOOKUP(Table8[[#This Row],[Country Code]],Table29[],6,FALSE)</f>
        <v>no</v>
      </c>
      <c r="AV2119" s="233" t="str">
        <f>VLOOKUP(Table8[[#This Row],[Country Code]],Table29[],7,FALSE)</f>
        <v>no</v>
      </c>
      <c r="AW2119" s="233" t="str">
        <f>VLOOKUP(Table8[[#This Row],[Country Code]],Table29[],8,FALSE)</f>
        <v>OECD</v>
      </c>
      <c r="AX2119" s="233" t="str">
        <f>VLOOKUP(Table8[[#This Row],[Country Code]],Table29[],9,FALSE)</f>
        <v>EU27</v>
      </c>
      <c r="AY2119" s="233" t="str">
        <f>VLOOKUP(Table8[[#This Row],[Country Code]],Table29[],10,FALSE)</f>
        <v>no</v>
      </c>
      <c r="AZ2119" s="235">
        <f>VLOOKUP(Table8[[#This Row],[Country Code]],Table29[],23,FALSE)</f>
        <v>44.775610890682003</v>
      </c>
      <c r="BA2119" s="235">
        <f>VLOOKUP(Table8[[#This Row],[Country Code]],Table29[],24,FALSE)</f>
        <v>7.6629333129442534</v>
      </c>
      <c r="BB2119" s="320"/>
      <c r="BC2119" s="320"/>
    </row>
    <row r="2120" spans="1:55" ht="30" hidden="1" x14ac:dyDescent="0.25">
      <c r="A2120" s="373">
        <v>17734</v>
      </c>
      <c r="B2120" s="233" t="str">
        <f>VLOOKUP(Table8[[#This Row],[Document ID]],Table1[],2,FALSE)</f>
        <v>SVK</v>
      </c>
      <c r="C2120" s="233" t="str">
        <f>VLOOKUP(Table8[[#This Row],[Document ID]],Table1[],3,FALSE)</f>
        <v>Slovakia</v>
      </c>
      <c r="D2120" s="243" t="str">
        <f>VLOOKUP(Table8[[#This Row],[Document ID]],Table1[],5,FALSE)</f>
        <v>LTS</v>
      </c>
      <c r="E2120" s="233" t="str">
        <f>VLOOKUP(Table8[[#This Row],[Document ID]],Table1[],7,FALSE)</f>
        <v>LTS</v>
      </c>
      <c r="F2120" s="233" t="str">
        <f>VLOOKUP(Table8[[#This Row],[Document ID]],Table1[],8,FALSE)</f>
        <v>LTS 1.0</v>
      </c>
      <c r="G2120" s="233" t="str">
        <f>VLOOKUP(Table8[[#This Row],[Document ID]],Table1[],10,FALSE)</f>
        <v>Active</v>
      </c>
      <c r="H2120" s="43" t="s">
        <v>2343</v>
      </c>
      <c r="I2120" s="43" t="s">
        <v>2386</v>
      </c>
      <c r="J2120" s="44" t="s">
        <v>2387</v>
      </c>
      <c r="K2120" s="44" t="s">
        <v>4281</v>
      </c>
      <c r="L2120" s="44" t="s">
        <v>2333</v>
      </c>
      <c r="M2120" s="43">
        <v>50</v>
      </c>
      <c r="N2120" s="113" t="s">
        <v>1113</v>
      </c>
      <c r="O2120" s="113"/>
      <c r="P2120" s="113"/>
      <c r="Q2120" s="113"/>
      <c r="R2120" s="113"/>
      <c r="S2120" s="113"/>
      <c r="T2120" s="113"/>
      <c r="U2120" s="113"/>
      <c r="V2120" s="113"/>
      <c r="W2120" s="113"/>
      <c r="X2120" s="113"/>
      <c r="Y2120" s="113"/>
      <c r="Z2120" s="113"/>
      <c r="AA2120" s="113"/>
      <c r="AB2120" s="113"/>
      <c r="AC2120" s="113"/>
      <c r="AD2120" s="113"/>
      <c r="AE2120" s="113"/>
      <c r="AF2120" s="113"/>
      <c r="AG2120" s="113"/>
      <c r="AH2120" s="113"/>
      <c r="AI2120" s="113"/>
      <c r="AJ2120" s="113"/>
      <c r="AK2120" s="319" t="s">
        <v>1113</v>
      </c>
      <c r="AL2120" s="113"/>
      <c r="AM2120" s="113"/>
      <c r="AN2120" s="113"/>
      <c r="AO2120" s="43" t="s">
        <v>2348</v>
      </c>
      <c r="AP2120" s="43"/>
      <c r="AQ2120" s="236" t="str">
        <f>VLOOKUP(Table8[[#This Row],[Instrument]],Def_Targets!$D$73:$E$159,2,FALSE)</f>
        <v>A_Procurement</v>
      </c>
      <c r="AR2120" s="233" t="str">
        <f>VLOOKUP(Table8[[#This Row],[Country Code]],Table29[],3,FALSE)</f>
        <v>Annex I</v>
      </c>
      <c r="AS2120" s="233" t="str">
        <f>VLOOKUP(Table8[[#This Row],[Country Code]],Table29[],4,FALSE)</f>
        <v>Europe</v>
      </c>
      <c r="AT2120" s="233" t="str">
        <f>VLOOKUP(Table8[[#This Row],[Country Code]],Table29[],5,FALSE)</f>
        <v>High-income</v>
      </c>
      <c r="AU2120" s="233" t="str">
        <f>VLOOKUP(Table8[[#This Row],[Country Code]],Table29[],6,FALSE)</f>
        <v>no</v>
      </c>
      <c r="AV2120" s="233" t="str">
        <f>VLOOKUP(Table8[[#This Row],[Country Code]],Table29[],7,FALSE)</f>
        <v>no</v>
      </c>
      <c r="AW2120" s="233" t="str">
        <f>VLOOKUP(Table8[[#This Row],[Country Code]],Table29[],8,FALSE)</f>
        <v>OECD</v>
      </c>
      <c r="AX2120" s="233" t="str">
        <f>VLOOKUP(Table8[[#This Row],[Country Code]],Table29[],9,FALSE)</f>
        <v>EU27</v>
      </c>
      <c r="AY2120" s="233" t="str">
        <f>VLOOKUP(Table8[[#This Row],[Country Code]],Table29[],10,FALSE)</f>
        <v>no</v>
      </c>
      <c r="AZ2120" s="235">
        <f>VLOOKUP(Table8[[#This Row],[Country Code]],Table29[],23,FALSE)</f>
        <v>44.775610890682003</v>
      </c>
      <c r="BA2120" s="235">
        <f>VLOOKUP(Table8[[#This Row],[Country Code]],Table29[],24,FALSE)</f>
        <v>7.6629333129442534</v>
      </c>
      <c r="BB2120" s="320"/>
      <c r="BC2120" s="320"/>
    </row>
    <row r="2121" spans="1:55" ht="60" hidden="1" x14ac:dyDescent="0.25">
      <c r="A2121" s="360">
        <v>32517</v>
      </c>
      <c r="B2121" s="233" t="str">
        <f>VLOOKUP(Table8[[#This Row],[Document ID]],Table1[],2,FALSE)</f>
        <v>SYR</v>
      </c>
      <c r="C2121" s="233" t="str">
        <f>VLOOKUP(Table8[[#This Row],[Document ID]],Table1[],3,FALSE)</f>
        <v>Syrian Arab Republic</v>
      </c>
      <c r="D2121" s="233" t="str">
        <f>VLOOKUP(Table8[[#This Row],[Document ID]],Table1[],5,FALSE)</f>
        <v>NDC</v>
      </c>
      <c r="E2121" s="233" t="str">
        <f>VLOOKUP(Table8[[#This Row],[Document ID]],Table1[],7,FALSE)</f>
        <v>First NDC</v>
      </c>
      <c r="F2121" s="233" t="str">
        <f>VLOOKUP(Table8[[#This Row],[Document ID]],Table1[],8,FALSE)</f>
        <v>NDC 1.0</v>
      </c>
      <c r="G2121" s="233" t="str">
        <f>VLOOKUP(Table8[[#This Row],[Document ID]],Table1[],10,FALSE)</f>
        <v>Active</v>
      </c>
      <c r="H2121" s="44" t="s">
        <v>2338</v>
      </c>
      <c r="I2121" s="44" t="s">
        <v>2339</v>
      </c>
      <c r="J2121" s="44" t="s">
        <v>2451</v>
      </c>
      <c r="K2121" s="44" t="s">
        <v>4282</v>
      </c>
      <c r="L2121" s="44" t="s">
        <v>2333</v>
      </c>
      <c r="M2121" s="43">
        <v>8</v>
      </c>
      <c r="N2121" s="113"/>
      <c r="O2121" s="113"/>
      <c r="P2121" s="113"/>
      <c r="Q2121" s="113"/>
      <c r="R2121" s="113"/>
      <c r="S2121" s="113"/>
      <c r="T2121" s="113"/>
      <c r="U2121" s="113" t="s">
        <v>1113</v>
      </c>
      <c r="V2121" s="113"/>
      <c r="W2121" s="113"/>
      <c r="X2121" s="113"/>
      <c r="Y2121" s="113"/>
      <c r="Z2121" s="113"/>
      <c r="AA2121" s="113"/>
      <c r="AB2121" s="113"/>
      <c r="AC2121" s="113"/>
      <c r="AD2121" s="113"/>
      <c r="AE2121" s="113"/>
      <c r="AF2121" s="113"/>
      <c r="AG2121" s="113"/>
      <c r="AH2121" s="113"/>
      <c r="AI2121" s="113"/>
      <c r="AJ2121" s="113"/>
      <c r="AK2121" s="113" t="s">
        <v>1113</v>
      </c>
      <c r="AL2121" s="113"/>
      <c r="AM2121" s="113"/>
      <c r="AN2121" s="113"/>
      <c r="AO2121" s="44" t="s">
        <v>2334</v>
      </c>
      <c r="AP2121" s="43"/>
      <c r="AQ2121" s="236" t="str">
        <f>VLOOKUP(Table8[[#This Row],[Instrument]],Def_Targets!$D$73:$E$159,2,FALSE)</f>
        <v>I_Inspection</v>
      </c>
      <c r="AR2121" s="233" t="str">
        <f>VLOOKUP(Table8[[#This Row],[Country Code]],Table29[],3,FALSE)</f>
        <v>Non-Annex I</v>
      </c>
      <c r="AS2121" s="233" t="str">
        <f>VLOOKUP(Table8[[#This Row],[Country Code]],Table29[],4,FALSE)</f>
        <v>Asia</v>
      </c>
      <c r="AT2121" s="233" t="str">
        <f>VLOOKUP(Table8[[#This Row],[Country Code]],Table29[],5,FALSE)</f>
        <v>Low-income</v>
      </c>
      <c r="AU2121" s="233" t="str">
        <f>VLOOKUP(Table8[[#This Row],[Country Code]],Table29[],6,FALSE)</f>
        <v>no</v>
      </c>
      <c r="AV2121" s="233" t="str">
        <f>VLOOKUP(Table8[[#This Row],[Country Code]],Table29[],7,FALSE)</f>
        <v>no</v>
      </c>
      <c r="AW2121" s="233" t="str">
        <f>VLOOKUP(Table8[[#This Row],[Country Code]],Table29[],8,FALSE)</f>
        <v>non-OECD</v>
      </c>
      <c r="AX2121" s="233" t="str">
        <f>VLOOKUP(Table8[[#This Row],[Country Code]],Table29[],9,FALSE)</f>
        <v>no</v>
      </c>
      <c r="AY2121" s="233" t="str">
        <f>VLOOKUP(Table8[[#This Row],[Country Code]],Table29[],10,FALSE)</f>
        <v>MENA</v>
      </c>
      <c r="AZ2121" s="235">
        <f>VLOOKUP(Table8[[#This Row],[Country Code]],Table29[],23,FALSE)</f>
        <v>41.210582544010002</v>
      </c>
      <c r="BA2121" s="235">
        <f>VLOOKUP(Table8[[#This Row],[Country Code]],Table29[],24,FALSE)</f>
        <v>5.0388809125595868</v>
      </c>
      <c r="BB2121" s="320"/>
      <c r="BC2121" s="320"/>
    </row>
    <row r="2122" spans="1:55" hidden="1" x14ac:dyDescent="0.25">
      <c r="A2122" s="360">
        <v>32517</v>
      </c>
      <c r="B2122" s="233" t="str">
        <f>VLOOKUP(Table8[[#This Row],[Document ID]],Table1[],2,FALSE)</f>
        <v>SYR</v>
      </c>
      <c r="C2122" s="233" t="str">
        <f>VLOOKUP(Table8[[#This Row],[Document ID]],Table1[],3,FALSE)</f>
        <v>Syrian Arab Republic</v>
      </c>
      <c r="D2122" s="233" t="str">
        <f>VLOOKUP(Table8[[#This Row],[Document ID]],Table1[],5,FALSE)</f>
        <v>NDC</v>
      </c>
      <c r="E2122" s="233" t="str">
        <f>VLOOKUP(Table8[[#This Row],[Document ID]],Table1[],7,FALSE)</f>
        <v>First NDC</v>
      </c>
      <c r="F2122" s="233" t="str">
        <f>VLOOKUP(Table8[[#This Row],[Document ID]],Table1[],8,FALSE)</f>
        <v>NDC 1.0</v>
      </c>
      <c r="G2122" s="233" t="str">
        <f>VLOOKUP(Table8[[#This Row],[Document ID]],Table1[],10,FALSE)</f>
        <v>Active</v>
      </c>
      <c r="H2122" s="43" t="s">
        <v>2343</v>
      </c>
      <c r="I2122" s="43" t="s">
        <v>2344</v>
      </c>
      <c r="J2122" s="44" t="s">
        <v>2345</v>
      </c>
      <c r="K2122" s="44" t="s">
        <v>4283</v>
      </c>
      <c r="L2122" s="44" t="s">
        <v>2347</v>
      </c>
      <c r="M2122" s="43">
        <v>8</v>
      </c>
      <c r="N2122" s="113" t="s">
        <v>1113</v>
      </c>
      <c r="O2122" s="113"/>
      <c r="P2122" s="113"/>
      <c r="Q2122" s="113"/>
      <c r="R2122" s="113"/>
      <c r="S2122" s="113"/>
      <c r="T2122" s="113"/>
      <c r="U2122" s="113"/>
      <c r="V2122" s="113"/>
      <c r="W2122" s="113"/>
      <c r="X2122" s="113"/>
      <c r="Y2122" s="113"/>
      <c r="Z2122" s="113"/>
      <c r="AA2122" s="113"/>
      <c r="AB2122" s="113"/>
      <c r="AC2122" s="113"/>
      <c r="AD2122" s="113"/>
      <c r="AE2122" s="113"/>
      <c r="AF2122" s="113"/>
      <c r="AG2122" s="113"/>
      <c r="AH2122" s="113"/>
      <c r="AI2122" s="113"/>
      <c r="AJ2122" s="113"/>
      <c r="AK2122" s="113"/>
      <c r="AL2122" s="113" t="s">
        <v>1113</v>
      </c>
      <c r="AM2122" s="113"/>
      <c r="AN2122" s="113"/>
      <c r="AO2122" s="44" t="s">
        <v>2334</v>
      </c>
      <c r="AP2122" s="43"/>
      <c r="AQ2122" s="236" t="str">
        <f>VLOOKUP(Table8[[#This Row],[Instrument]],Def_Targets!$D$73:$E$159,2,FALSE)</f>
        <v>S_PublicTransport</v>
      </c>
      <c r="AR2122" s="233" t="str">
        <f>VLOOKUP(Table8[[#This Row],[Country Code]],Table29[],3,FALSE)</f>
        <v>Non-Annex I</v>
      </c>
      <c r="AS2122" s="233" t="str">
        <f>VLOOKUP(Table8[[#This Row],[Country Code]],Table29[],4,FALSE)</f>
        <v>Asia</v>
      </c>
      <c r="AT2122" s="233" t="str">
        <f>VLOOKUP(Table8[[#This Row],[Country Code]],Table29[],5,FALSE)</f>
        <v>Low-income</v>
      </c>
      <c r="AU2122" s="233" t="str">
        <f>VLOOKUP(Table8[[#This Row],[Country Code]],Table29[],6,FALSE)</f>
        <v>no</v>
      </c>
      <c r="AV2122" s="233" t="str">
        <f>VLOOKUP(Table8[[#This Row],[Country Code]],Table29[],7,FALSE)</f>
        <v>no</v>
      </c>
      <c r="AW2122" s="233" t="str">
        <f>VLOOKUP(Table8[[#This Row],[Country Code]],Table29[],8,FALSE)</f>
        <v>non-OECD</v>
      </c>
      <c r="AX2122" s="233" t="str">
        <f>VLOOKUP(Table8[[#This Row],[Country Code]],Table29[],9,FALSE)</f>
        <v>no</v>
      </c>
      <c r="AY2122" s="233" t="str">
        <f>VLOOKUP(Table8[[#This Row],[Country Code]],Table29[],10,FALSE)</f>
        <v>MENA</v>
      </c>
      <c r="AZ2122" s="235">
        <f>VLOOKUP(Table8[[#This Row],[Country Code]],Table29[],23,FALSE)</f>
        <v>41.210582544010002</v>
      </c>
      <c r="BA2122" s="235">
        <f>VLOOKUP(Table8[[#This Row],[Country Code]],Table29[],24,FALSE)</f>
        <v>5.0388809125595868</v>
      </c>
      <c r="BB2122" s="320"/>
      <c r="BC2122" s="320"/>
    </row>
    <row r="2123" spans="1:55" ht="30" hidden="1" x14ac:dyDescent="0.25">
      <c r="A2123" s="360">
        <v>32517</v>
      </c>
      <c r="B2123" s="233" t="str">
        <f>VLOOKUP(Table8[[#This Row],[Document ID]],Table1[],2,FALSE)</f>
        <v>SYR</v>
      </c>
      <c r="C2123" s="233" t="str">
        <f>VLOOKUP(Table8[[#This Row],[Document ID]],Table1[],3,FALSE)</f>
        <v>Syrian Arab Republic</v>
      </c>
      <c r="D2123" s="233" t="str">
        <f>VLOOKUP(Table8[[#This Row],[Document ID]],Table1[],5,FALSE)</f>
        <v>NDC</v>
      </c>
      <c r="E2123" s="233" t="str">
        <f>VLOOKUP(Table8[[#This Row],[Document ID]],Table1[],7,FALSE)</f>
        <v>First NDC</v>
      </c>
      <c r="F2123" s="233" t="str">
        <f>VLOOKUP(Table8[[#This Row],[Document ID]],Table1[],8,FALSE)</f>
        <v>NDC 1.0</v>
      </c>
      <c r="G2123" s="233" t="str">
        <f>VLOOKUP(Table8[[#This Row],[Document ID]],Table1[],10,FALSE)</f>
        <v>Active</v>
      </c>
      <c r="H2123" s="43" t="s">
        <v>2350</v>
      </c>
      <c r="I2123" s="43" t="s">
        <v>2456</v>
      </c>
      <c r="J2123" s="44" t="s">
        <v>2457</v>
      </c>
      <c r="K2123" s="44" t="s">
        <v>4284</v>
      </c>
      <c r="L2123" s="44" t="s">
        <v>2347</v>
      </c>
      <c r="M2123" s="43">
        <v>8</v>
      </c>
      <c r="N2123" s="113"/>
      <c r="O2123" s="113"/>
      <c r="P2123" s="113"/>
      <c r="Q2123" s="113"/>
      <c r="R2123" s="113"/>
      <c r="S2123" s="113"/>
      <c r="T2123" s="113"/>
      <c r="U2123" s="113"/>
      <c r="V2123" s="113"/>
      <c r="W2123" s="113"/>
      <c r="X2123" s="113"/>
      <c r="Y2123" s="113"/>
      <c r="Z2123" s="113" t="s">
        <v>1113</v>
      </c>
      <c r="AA2123" s="113"/>
      <c r="AB2123" s="113"/>
      <c r="AC2123" s="113"/>
      <c r="AD2123" s="113"/>
      <c r="AE2123" s="113"/>
      <c r="AF2123" s="113"/>
      <c r="AG2123" s="113"/>
      <c r="AH2123" s="113"/>
      <c r="AI2123" s="113"/>
      <c r="AJ2123" s="113"/>
      <c r="AK2123" s="113" t="s">
        <v>1113</v>
      </c>
      <c r="AL2123" s="113"/>
      <c r="AM2123" s="113"/>
      <c r="AN2123" s="113"/>
      <c r="AO2123" s="44" t="s">
        <v>2334</v>
      </c>
      <c r="AP2123" s="43"/>
      <c r="AQ2123" s="236" t="str">
        <f>VLOOKUP(Table8[[#This Row],[Instrument]],Def_Targets!$D$73:$E$159,2,FALSE)</f>
        <v>S_Infraimprove</v>
      </c>
      <c r="AR2123" s="233" t="str">
        <f>VLOOKUP(Table8[[#This Row],[Country Code]],Table29[],3,FALSE)</f>
        <v>Non-Annex I</v>
      </c>
      <c r="AS2123" s="233" t="str">
        <f>VLOOKUP(Table8[[#This Row],[Country Code]],Table29[],4,FALSE)</f>
        <v>Asia</v>
      </c>
      <c r="AT2123" s="233" t="str">
        <f>VLOOKUP(Table8[[#This Row],[Country Code]],Table29[],5,FALSE)</f>
        <v>Low-income</v>
      </c>
      <c r="AU2123" s="233" t="str">
        <f>VLOOKUP(Table8[[#This Row],[Country Code]],Table29[],6,FALSE)</f>
        <v>no</v>
      </c>
      <c r="AV2123" s="233" t="str">
        <f>VLOOKUP(Table8[[#This Row],[Country Code]],Table29[],7,FALSE)</f>
        <v>no</v>
      </c>
      <c r="AW2123" s="233" t="str">
        <f>VLOOKUP(Table8[[#This Row],[Country Code]],Table29[],8,FALSE)</f>
        <v>non-OECD</v>
      </c>
      <c r="AX2123" s="233" t="str">
        <f>VLOOKUP(Table8[[#This Row],[Country Code]],Table29[],9,FALSE)</f>
        <v>no</v>
      </c>
      <c r="AY2123" s="233" t="str">
        <f>VLOOKUP(Table8[[#This Row],[Country Code]],Table29[],10,FALSE)</f>
        <v>MENA</v>
      </c>
      <c r="AZ2123" s="235">
        <f>VLOOKUP(Table8[[#This Row],[Country Code]],Table29[],23,FALSE)</f>
        <v>41.210582544010002</v>
      </c>
      <c r="BA2123" s="235">
        <f>VLOOKUP(Table8[[#This Row],[Country Code]],Table29[],24,FALSE)</f>
        <v>5.0388809125595868</v>
      </c>
      <c r="BB2123" s="320"/>
      <c r="BC2123" s="320"/>
    </row>
    <row r="2124" spans="1:55" hidden="1" x14ac:dyDescent="0.25">
      <c r="A2124" s="360">
        <v>32517</v>
      </c>
      <c r="B2124" s="233" t="str">
        <f>VLOOKUP(Table8[[#This Row],[Document ID]],Table1[],2,FALSE)</f>
        <v>SYR</v>
      </c>
      <c r="C2124" s="233" t="str">
        <f>VLOOKUP(Table8[[#This Row],[Document ID]],Table1[],3,FALSE)</f>
        <v>Syrian Arab Republic</v>
      </c>
      <c r="D2124" s="233" t="str">
        <f>VLOOKUP(Table8[[#This Row],[Document ID]],Table1[],5,FALSE)</f>
        <v>NDC</v>
      </c>
      <c r="E2124" s="233" t="str">
        <f>VLOOKUP(Table8[[#This Row],[Document ID]],Table1[],7,FALSE)</f>
        <v>First NDC</v>
      </c>
      <c r="F2124" s="233" t="str">
        <f>VLOOKUP(Table8[[#This Row],[Document ID]],Table1[],8,FALSE)</f>
        <v>NDC 1.0</v>
      </c>
      <c r="G2124" s="233" t="str">
        <f>VLOOKUP(Table8[[#This Row],[Document ID]],Table1[],10,FALSE)</f>
        <v>Active</v>
      </c>
      <c r="H2124" s="44" t="s">
        <v>2338</v>
      </c>
      <c r="I2124" s="44" t="s">
        <v>2339</v>
      </c>
      <c r="J2124" s="44" t="s">
        <v>2556</v>
      </c>
      <c r="K2124" s="44" t="s">
        <v>4285</v>
      </c>
      <c r="L2124" s="44" t="s">
        <v>2333</v>
      </c>
      <c r="M2124" s="43">
        <v>8</v>
      </c>
      <c r="N2124" s="113" t="s">
        <v>1113</v>
      </c>
      <c r="O2124" s="113"/>
      <c r="P2124" s="113"/>
      <c r="Q2124" s="113"/>
      <c r="R2124" s="113"/>
      <c r="S2124" s="113"/>
      <c r="T2124" s="113"/>
      <c r="U2124" s="113"/>
      <c r="V2124" s="113"/>
      <c r="W2124" s="113"/>
      <c r="X2124" s="113"/>
      <c r="Y2124" s="113"/>
      <c r="Z2124" s="113"/>
      <c r="AA2124" s="113"/>
      <c r="AB2124" s="113"/>
      <c r="AC2124" s="113"/>
      <c r="AD2124" s="113"/>
      <c r="AE2124" s="113"/>
      <c r="AF2124" s="113"/>
      <c r="AG2124" s="113"/>
      <c r="AH2124" s="113"/>
      <c r="AI2124" s="113"/>
      <c r="AJ2124" s="113"/>
      <c r="AK2124" s="113"/>
      <c r="AL2124" s="113"/>
      <c r="AM2124" s="113"/>
      <c r="AN2124" s="113"/>
      <c r="AO2124" s="44" t="s">
        <v>2334</v>
      </c>
      <c r="AP2124" s="43"/>
      <c r="AQ2124" s="236" t="str">
        <f>VLOOKUP(Table8[[#This Row],[Instrument]],Def_Targets!$D$73:$E$159,2,FALSE)</f>
        <v>I_Fuelqualimprove</v>
      </c>
      <c r="AR2124" s="233" t="str">
        <f>VLOOKUP(Table8[[#This Row],[Country Code]],Table29[],3,FALSE)</f>
        <v>Non-Annex I</v>
      </c>
      <c r="AS2124" s="233" t="str">
        <f>VLOOKUP(Table8[[#This Row],[Country Code]],Table29[],4,FALSE)</f>
        <v>Asia</v>
      </c>
      <c r="AT2124" s="233" t="str">
        <f>VLOOKUP(Table8[[#This Row],[Country Code]],Table29[],5,FALSE)</f>
        <v>Low-income</v>
      </c>
      <c r="AU2124" s="233" t="str">
        <f>VLOOKUP(Table8[[#This Row],[Country Code]],Table29[],6,FALSE)</f>
        <v>no</v>
      </c>
      <c r="AV2124" s="233" t="str">
        <f>VLOOKUP(Table8[[#This Row],[Country Code]],Table29[],7,FALSE)</f>
        <v>no</v>
      </c>
      <c r="AW2124" s="233" t="str">
        <f>VLOOKUP(Table8[[#This Row],[Country Code]],Table29[],8,FALSE)</f>
        <v>non-OECD</v>
      </c>
      <c r="AX2124" s="233" t="str">
        <f>VLOOKUP(Table8[[#This Row],[Country Code]],Table29[],9,FALSE)</f>
        <v>no</v>
      </c>
      <c r="AY2124" s="233" t="str">
        <f>VLOOKUP(Table8[[#This Row],[Country Code]],Table29[],10,FALSE)</f>
        <v>MENA</v>
      </c>
      <c r="AZ2124" s="235">
        <f>VLOOKUP(Table8[[#This Row],[Country Code]],Table29[],23,FALSE)</f>
        <v>41.210582544010002</v>
      </c>
      <c r="BA2124" s="235">
        <f>VLOOKUP(Table8[[#This Row],[Country Code]],Table29[],24,FALSE)</f>
        <v>5.0388809125595868</v>
      </c>
      <c r="BB2124" s="320"/>
      <c r="BC2124" s="320"/>
    </row>
    <row r="2125" spans="1:55" hidden="1" x14ac:dyDescent="0.25">
      <c r="A2125" s="360">
        <v>32517</v>
      </c>
      <c r="B2125" s="233" t="str">
        <f>VLOOKUP(Table8[[#This Row],[Document ID]],Table1[],2,FALSE)</f>
        <v>SYR</v>
      </c>
      <c r="C2125" s="233" t="str">
        <f>VLOOKUP(Table8[[#This Row],[Document ID]],Table1[],3,FALSE)</f>
        <v>Syrian Arab Republic</v>
      </c>
      <c r="D2125" s="233" t="str">
        <f>VLOOKUP(Table8[[#This Row],[Document ID]],Table1[],5,FALSE)</f>
        <v>NDC</v>
      </c>
      <c r="E2125" s="233" t="str">
        <f>VLOOKUP(Table8[[#This Row],[Document ID]],Table1[],7,FALSE)</f>
        <v>First NDC</v>
      </c>
      <c r="F2125" s="233" t="str">
        <f>VLOOKUP(Table8[[#This Row],[Document ID]],Table1[],8,FALSE)</f>
        <v>NDC 1.0</v>
      </c>
      <c r="G2125" s="233" t="str">
        <f>VLOOKUP(Table8[[#This Row],[Document ID]],Table1[],10,FALSE)</f>
        <v>Active</v>
      </c>
      <c r="H2125" s="44" t="s">
        <v>2329</v>
      </c>
      <c r="I2125" s="44" t="s">
        <v>2330</v>
      </c>
      <c r="J2125" s="44" t="s">
        <v>2331</v>
      </c>
      <c r="K2125" s="44" t="s">
        <v>4286</v>
      </c>
      <c r="L2125" s="44" t="s">
        <v>2333</v>
      </c>
      <c r="M2125" s="43">
        <v>8</v>
      </c>
      <c r="N2125" s="113" t="s">
        <v>1113</v>
      </c>
      <c r="O2125" s="113"/>
      <c r="P2125" s="113"/>
      <c r="Q2125" s="113"/>
      <c r="R2125" s="113"/>
      <c r="S2125" s="113"/>
      <c r="T2125" s="113"/>
      <c r="U2125" s="113"/>
      <c r="V2125" s="113"/>
      <c r="W2125" s="113"/>
      <c r="X2125" s="113"/>
      <c r="Y2125" s="113"/>
      <c r="Z2125" s="113"/>
      <c r="AA2125" s="113"/>
      <c r="AB2125" s="113"/>
      <c r="AC2125" s="113"/>
      <c r="AD2125" s="113"/>
      <c r="AE2125" s="113"/>
      <c r="AF2125" s="113"/>
      <c r="AG2125" s="113"/>
      <c r="AH2125" s="113"/>
      <c r="AI2125" s="113"/>
      <c r="AJ2125" s="113"/>
      <c r="AK2125" s="113" t="s">
        <v>1113</v>
      </c>
      <c r="AL2125" s="113"/>
      <c r="AM2125" s="113"/>
      <c r="AN2125" s="113"/>
      <c r="AO2125" s="44" t="s">
        <v>2334</v>
      </c>
      <c r="AP2125" s="43"/>
      <c r="AQ2125" s="236" t="str">
        <f>VLOOKUP(Table8[[#This Row],[Instrument]],Def_Targets!$D$73:$E$159,2,FALSE)</f>
        <v>I_Altfuels</v>
      </c>
      <c r="AR2125" s="233" t="str">
        <f>VLOOKUP(Table8[[#This Row],[Country Code]],Table29[],3,FALSE)</f>
        <v>Non-Annex I</v>
      </c>
      <c r="AS2125" s="233" t="str">
        <f>VLOOKUP(Table8[[#This Row],[Country Code]],Table29[],4,FALSE)</f>
        <v>Asia</v>
      </c>
      <c r="AT2125" s="233" t="str">
        <f>VLOOKUP(Table8[[#This Row],[Country Code]],Table29[],5,FALSE)</f>
        <v>Low-income</v>
      </c>
      <c r="AU2125" s="233" t="str">
        <f>VLOOKUP(Table8[[#This Row],[Country Code]],Table29[],6,FALSE)</f>
        <v>no</v>
      </c>
      <c r="AV2125" s="233" t="str">
        <f>VLOOKUP(Table8[[#This Row],[Country Code]],Table29[],7,FALSE)</f>
        <v>no</v>
      </c>
      <c r="AW2125" s="233" t="str">
        <f>VLOOKUP(Table8[[#This Row],[Country Code]],Table29[],8,FALSE)</f>
        <v>non-OECD</v>
      </c>
      <c r="AX2125" s="233" t="str">
        <f>VLOOKUP(Table8[[#This Row],[Country Code]],Table29[],9,FALSE)</f>
        <v>no</v>
      </c>
      <c r="AY2125" s="233" t="str">
        <f>VLOOKUP(Table8[[#This Row],[Country Code]],Table29[],10,FALSE)</f>
        <v>MENA</v>
      </c>
      <c r="AZ2125" s="235">
        <f>VLOOKUP(Table8[[#This Row],[Country Code]],Table29[],23,FALSE)</f>
        <v>41.210582544010002</v>
      </c>
      <c r="BA2125" s="235">
        <f>VLOOKUP(Table8[[#This Row],[Country Code]],Table29[],24,FALSE)</f>
        <v>5.0388809125595868</v>
      </c>
      <c r="BB2125" s="320"/>
      <c r="BC2125" s="320"/>
    </row>
    <row r="2126" spans="1:55" ht="30" hidden="1" x14ac:dyDescent="0.25">
      <c r="A2126" s="360">
        <v>32517</v>
      </c>
      <c r="B2126" s="233" t="str">
        <f>VLOOKUP(Table8[[#This Row],[Document ID]],Table1[],2,FALSE)</f>
        <v>SYR</v>
      </c>
      <c r="C2126" s="233" t="str">
        <f>VLOOKUP(Table8[[#This Row],[Document ID]],Table1[],3,FALSE)</f>
        <v>Syrian Arab Republic</v>
      </c>
      <c r="D2126" s="233" t="str">
        <f>VLOOKUP(Table8[[#This Row],[Document ID]],Table1[],5,FALSE)</f>
        <v>NDC</v>
      </c>
      <c r="E2126" s="233" t="str">
        <f>VLOOKUP(Table8[[#This Row],[Document ID]],Table1[],7,FALSE)</f>
        <v>First NDC</v>
      </c>
      <c r="F2126" s="233" t="str">
        <f>VLOOKUP(Table8[[#This Row],[Document ID]],Table1[],8,FALSE)</f>
        <v>NDC 1.0</v>
      </c>
      <c r="G2126" s="233" t="str">
        <f>VLOOKUP(Table8[[#This Row],[Document ID]],Table1[],10,FALSE)</f>
        <v>Active</v>
      </c>
      <c r="H2126" s="43" t="s">
        <v>2358</v>
      </c>
      <c r="I2126" s="43" t="s">
        <v>2359</v>
      </c>
      <c r="J2126" s="44" t="s">
        <v>2360</v>
      </c>
      <c r="K2126" s="44" t="s">
        <v>4287</v>
      </c>
      <c r="L2126" s="44" t="s">
        <v>2333</v>
      </c>
      <c r="M2126" s="43">
        <v>8</v>
      </c>
      <c r="N2126" s="113"/>
      <c r="O2126" s="113"/>
      <c r="P2126" s="113"/>
      <c r="Q2126" s="113"/>
      <c r="R2126" s="113"/>
      <c r="S2126" s="113"/>
      <c r="T2126" s="113"/>
      <c r="U2126" s="113"/>
      <c r="V2126" s="113"/>
      <c r="W2126" s="113"/>
      <c r="X2126" s="113"/>
      <c r="Y2126" s="113" t="s">
        <v>1113</v>
      </c>
      <c r="Z2126" s="113"/>
      <c r="AA2126" s="113"/>
      <c r="AB2126" s="113"/>
      <c r="AC2126" s="113"/>
      <c r="AD2126" s="113"/>
      <c r="AE2126" s="113"/>
      <c r="AF2126" s="113"/>
      <c r="AG2126" s="113"/>
      <c r="AH2126" s="113"/>
      <c r="AI2126" s="113"/>
      <c r="AJ2126" s="113"/>
      <c r="AK2126" s="113" t="s">
        <v>1113</v>
      </c>
      <c r="AL2126" s="113"/>
      <c r="AM2126" s="113"/>
      <c r="AN2126" s="113"/>
      <c r="AO2126" s="44" t="s">
        <v>2334</v>
      </c>
      <c r="AP2126" s="43"/>
      <c r="AQ2126" s="236" t="str">
        <f>VLOOKUP(Table8[[#This Row],[Instrument]],Def_Targets!$D$73:$E$159,2,FALSE)</f>
        <v>I_Emobility</v>
      </c>
      <c r="AR2126" s="233" t="str">
        <f>VLOOKUP(Table8[[#This Row],[Country Code]],Table29[],3,FALSE)</f>
        <v>Non-Annex I</v>
      </c>
      <c r="AS2126" s="233" t="str">
        <f>VLOOKUP(Table8[[#This Row],[Country Code]],Table29[],4,FALSE)</f>
        <v>Asia</v>
      </c>
      <c r="AT2126" s="233" t="str">
        <f>VLOOKUP(Table8[[#This Row],[Country Code]],Table29[],5,FALSE)</f>
        <v>Low-income</v>
      </c>
      <c r="AU2126" s="233" t="str">
        <f>VLOOKUP(Table8[[#This Row],[Country Code]],Table29[],6,FALSE)</f>
        <v>no</v>
      </c>
      <c r="AV2126" s="233" t="str">
        <f>VLOOKUP(Table8[[#This Row],[Country Code]],Table29[],7,FALSE)</f>
        <v>no</v>
      </c>
      <c r="AW2126" s="233" t="str">
        <f>VLOOKUP(Table8[[#This Row],[Country Code]],Table29[],8,FALSE)</f>
        <v>non-OECD</v>
      </c>
      <c r="AX2126" s="233" t="str">
        <f>VLOOKUP(Table8[[#This Row],[Country Code]],Table29[],9,FALSE)</f>
        <v>no</v>
      </c>
      <c r="AY2126" s="233" t="str">
        <f>VLOOKUP(Table8[[#This Row],[Country Code]],Table29[],10,FALSE)</f>
        <v>MENA</v>
      </c>
      <c r="AZ2126" s="235">
        <f>VLOOKUP(Table8[[#This Row],[Country Code]],Table29[],23,FALSE)</f>
        <v>41.210582544010002</v>
      </c>
      <c r="BA2126" s="235">
        <f>VLOOKUP(Table8[[#This Row],[Country Code]],Table29[],24,FALSE)</f>
        <v>5.0388809125595868</v>
      </c>
      <c r="BB2126" s="320"/>
      <c r="BC2126" s="320"/>
    </row>
    <row r="2127" spans="1:55" ht="30" hidden="1" x14ac:dyDescent="0.25">
      <c r="A2127" s="360">
        <v>32517</v>
      </c>
      <c r="B2127" s="233" t="str">
        <f>VLOOKUP(Table8[[#This Row],[Document ID]],Table1[],2,FALSE)</f>
        <v>SYR</v>
      </c>
      <c r="C2127" s="233" t="str">
        <f>VLOOKUP(Table8[[#This Row],[Document ID]],Table1[],3,FALSE)</f>
        <v>Syrian Arab Republic</v>
      </c>
      <c r="D2127" s="233" t="str">
        <f>VLOOKUP(Table8[[#This Row],[Document ID]],Table1[],5,FALSE)</f>
        <v>NDC</v>
      </c>
      <c r="E2127" s="233" t="str">
        <f>VLOOKUP(Table8[[#This Row],[Document ID]],Table1[],7,FALSE)</f>
        <v>First NDC</v>
      </c>
      <c r="F2127" s="233" t="str">
        <f>VLOOKUP(Table8[[#This Row],[Document ID]],Table1[],8,FALSE)</f>
        <v>NDC 1.0</v>
      </c>
      <c r="G2127" s="233" t="str">
        <f>VLOOKUP(Table8[[#This Row],[Document ID]],Table1[],10,FALSE)</f>
        <v>Active</v>
      </c>
      <c r="H2127" s="44" t="s">
        <v>2329</v>
      </c>
      <c r="I2127" s="44" t="s">
        <v>2330</v>
      </c>
      <c r="J2127" s="44" t="s">
        <v>2363</v>
      </c>
      <c r="K2127" s="44" t="s">
        <v>4287</v>
      </c>
      <c r="L2127" s="44" t="s">
        <v>2333</v>
      </c>
      <c r="M2127" s="43">
        <v>8</v>
      </c>
      <c r="N2127" s="113"/>
      <c r="O2127" s="113"/>
      <c r="P2127" s="113"/>
      <c r="Q2127" s="113"/>
      <c r="R2127" s="113"/>
      <c r="S2127" s="113"/>
      <c r="T2127" s="113"/>
      <c r="U2127" s="113"/>
      <c r="V2127" s="113"/>
      <c r="W2127" s="113"/>
      <c r="X2127" s="113"/>
      <c r="Y2127" s="113" t="s">
        <v>1113</v>
      </c>
      <c r="Z2127" s="113"/>
      <c r="AA2127" s="113"/>
      <c r="AB2127" s="113"/>
      <c r="AC2127" s="113"/>
      <c r="AD2127" s="113"/>
      <c r="AE2127" s="113"/>
      <c r="AF2127" s="113"/>
      <c r="AG2127" s="113"/>
      <c r="AH2127" s="113"/>
      <c r="AI2127" s="113"/>
      <c r="AJ2127" s="113"/>
      <c r="AK2127" s="113" t="s">
        <v>1113</v>
      </c>
      <c r="AL2127" s="113"/>
      <c r="AM2127" s="113"/>
      <c r="AN2127" s="113"/>
      <c r="AO2127" s="44" t="s">
        <v>2334</v>
      </c>
      <c r="AP2127" s="43"/>
      <c r="AQ2127" s="236" t="str">
        <f>VLOOKUP(Table8[[#This Row],[Instrument]],Def_Targets!$D$73:$E$159,2,FALSE)</f>
        <v>I_LPGCNGLNG</v>
      </c>
      <c r="AR2127" s="233" t="str">
        <f>VLOOKUP(Table8[[#This Row],[Country Code]],Table29[],3,FALSE)</f>
        <v>Non-Annex I</v>
      </c>
      <c r="AS2127" s="233" t="str">
        <f>VLOOKUP(Table8[[#This Row],[Country Code]],Table29[],4,FALSE)</f>
        <v>Asia</v>
      </c>
      <c r="AT2127" s="233" t="str">
        <f>VLOOKUP(Table8[[#This Row],[Country Code]],Table29[],5,FALSE)</f>
        <v>Low-income</v>
      </c>
      <c r="AU2127" s="233" t="str">
        <f>VLOOKUP(Table8[[#This Row],[Country Code]],Table29[],6,FALSE)</f>
        <v>no</v>
      </c>
      <c r="AV2127" s="233" t="str">
        <f>VLOOKUP(Table8[[#This Row],[Country Code]],Table29[],7,FALSE)</f>
        <v>no</v>
      </c>
      <c r="AW2127" s="233" t="str">
        <f>VLOOKUP(Table8[[#This Row],[Country Code]],Table29[],8,FALSE)</f>
        <v>non-OECD</v>
      </c>
      <c r="AX2127" s="233" t="str">
        <f>VLOOKUP(Table8[[#This Row],[Country Code]],Table29[],9,FALSE)</f>
        <v>no</v>
      </c>
      <c r="AY2127" s="233" t="str">
        <f>VLOOKUP(Table8[[#This Row],[Country Code]],Table29[],10,FALSE)</f>
        <v>MENA</v>
      </c>
      <c r="AZ2127" s="235">
        <f>VLOOKUP(Table8[[#This Row],[Country Code]],Table29[],23,FALSE)</f>
        <v>41.210582544010002</v>
      </c>
      <c r="BA2127" s="235">
        <f>VLOOKUP(Table8[[#This Row],[Country Code]],Table29[],24,FALSE)</f>
        <v>5.0388809125595868</v>
      </c>
      <c r="BB2127" s="320"/>
      <c r="BC2127" s="320"/>
    </row>
    <row r="2128" spans="1:55" ht="30" hidden="1" x14ac:dyDescent="0.25">
      <c r="A2128" s="360">
        <v>32517</v>
      </c>
      <c r="B2128" s="233" t="str">
        <f>VLOOKUP(Table8[[#This Row],[Document ID]],Table1[],2,FALSE)</f>
        <v>SYR</v>
      </c>
      <c r="C2128" s="233" t="str">
        <f>VLOOKUP(Table8[[#This Row],[Document ID]],Table1[],3,FALSE)</f>
        <v>Syrian Arab Republic</v>
      </c>
      <c r="D2128" s="233" t="str">
        <f>VLOOKUP(Table8[[#This Row],[Document ID]],Table1[],5,FALSE)</f>
        <v>NDC</v>
      </c>
      <c r="E2128" s="233" t="str">
        <f>VLOOKUP(Table8[[#This Row],[Document ID]],Table1[],7,FALSE)</f>
        <v>First NDC</v>
      </c>
      <c r="F2128" s="233" t="str">
        <f>VLOOKUP(Table8[[#This Row],[Document ID]],Table1[],8,FALSE)</f>
        <v>NDC 1.0</v>
      </c>
      <c r="G2128" s="233" t="str">
        <f>VLOOKUP(Table8[[#This Row],[Document ID]],Table1[],10,FALSE)</f>
        <v>Active</v>
      </c>
      <c r="H2128" s="44" t="s">
        <v>2338</v>
      </c>
      <c r="I2128" s="44" t="s">
        <v>2339</v>
      </c>
      <c r="J2128" s="44" t="s">
        <v>2410</v>
      </c>
      <c r="K2128" s="44" t="s">
        <v>4288</v>
      </c>
      <c r="L2128" s="44" t="s">
        <v>2333</v>
      </c>
      <c r="M2128" s="43">
        <v>8</v>
      </c>
      <c r="N2128" s="113"/>
      <c r="O2128" s="113"/>
      <c r="P2128" s="113"/>
      <c r="Q2128" s="113"/>
      <c r="R2128" s="113"/>
      <c r="S2128" s="113"/>
      <c r="T2128" s="113"/>
      <c r="U2128" s="113" t="s">
        <v>1113</v>
      </c>
      <c r="V2128" s="113"/>
      <c r="W2128" s="113"/>
      <c r="X2128" s="113"/>
      <c r="Y2128" s="113"/>
      <c r="Z2128" s="113"/>
      <c r="AA2128" s="113"/>
      <c r="AB2128" s="113"/>
      <c r="AC2128" s="113"/>
      <c r="AD2128" s="113"/>
      <c r="AE2128" s="113"/>
      <c r="AF2128" s="113"/>
      <c r="AG2128" s="113"/>
      <c r="AH2128" s="113"/>
      <c r="AI2128" s="113"/>
      <c r="AJ2128" s="113"/>
      <c r="AK2128" s="113" t="s">
        <v>1113</v>
      </c>
      <c r="AL2128" s="113"/>
      <c r="AM2128" s="113"/>
      <c r="AN2128" s="113"/>
      <c r="AO2128" s="44" t="s">
        <v>2334</v>
      </c>
      <c r="AP2128" s="43"/>
      <c r="AQ2128" s="236" t="str">
        <f>VLOOKUP(Table8[[#This Row],[Instrument]],Def_Targets!$D$73:$E$159,2,FALSE)</f>
        <v>I_VehicleRestrictions</v>
      </c>
      <c r="AR2128" s="233" t="str">
        <f>VLOOKUP(Table8[[#This Row],[Country Code]],Table29[],3,FALSE)</f>
        <v>Non-Annex I</v>
      </c>
      <c r="AS2128" s="233" t="str">
        <f>VLOOKUP(Table8[[#This Row],[Country Code]],Table29[],4,FALSE)</f>
        <v>Asia</v>
      </c>
      <c r="AT2128" s="233" t="str">
        <f>VLOOKUP(Table8[[#This Row],[Country Code]],Table29[],5,FALSE)</f>
        <v>Low-income</v>
      </c>
      <c r="AU2128" s="233" t="str">
        <f>VLOOKUP(Table8[[#This Row],[Country Code]],Table29[],6,FALSE)</f>
        <v>no</v>
      </c>
      <c r="AV2128" s="233" t="str">
        <f>VLOOKUP(Table8[[#This Row],[Country Code]],Table29[],7,FALSE)</f>
        <v>no</v>
      </c>
      <c r="AW2128" s="233" t="str">
        <f>VLOOKUP(Table8[[#This Row],[Country Code]],Table29[],8,FALSE)</f>
        <v>non-OECD</v>
      </c>
      <c r="AX2128" s="233" t="str">
        <f>VLOOKUP(Table8[[#This Row],[Country Code]],Table29[],9,FALSE)</f>
        <v>no</v>
      </c>
      <c r="AY2128" s="233" t="str">
        <f>VLOOKUP(Table8[[#This Row],[Country Code]],Table29[],10,FALSE)</f>
        <v>MENA</v>
      </c>
      <c r="AZ2128" s="235">
        <f>VLOOKUP(Table8[[#This Row],[Country Code]],Table29[],23,FALSE)</f>
        <v>41.210582544010002</v>
      </c>
      <c r="BA2128" s="235">
        <f>VLOOKUP(Table8[[#This Row],[Country Code]],Table29[],24,FALSE)</f>
        <v>5.0388809125595868</v>
      </c>
      <c r="BB2128" s="320"/>
      <c r="BC2128" s="320"/>
    </row>
    <row r="2129" spans="1:55" s="17" customFormat="1" ht="30" hidden="1" x14ac:dyDescent="0.25">
      <c r="A2129" s="373">
        <v>23376</v>
      </c>
      <c r="B2129" s="233" t="str">
        <f>VLOOKUP(Table8[[#This Row],[Document ID]],Table1[],2,FALSE)</f>
        <v>TJK</v>
      </c>
      <c r="C2129" s="233" t="str">
        <f>VLOOKUP(Table8[[#This Row],[Document ID]],Table1[],3,FALSE)</f>
        <v>Tajikistan</v>
      </c>
      <c r="D2129" s="243" t="str">
        <f>VLOOKUP(Table8[[#This Row],[Document ID]],Table1[],5,FALSE)</f>
        <v>NDC</v>
      </c>
      <c r="E2129" s="233" t="str">
        <f>VLOOKUP(Table8[[#This Row],[Document ID]],Table1[],7,FALSE)</f>
        <v>First NDC updated</v>
      </c>
      <c r="F2129" s="233" t="str">
        <f>VLOOKUP(Table8[[#This Row],[Document ID]],Table1[],8,FALSE)</f>
        <v>NDC 1.1</v>
      </c>
      <c r="G2129" s="233" t="str">
        <f>VLOOKUP(Table8[[#This Row],[Document ID]],Table1[],10,FALSE)</f>
        <v>Active</v>
      </c>
      <c r="H2129" s="44" t="s">
        <v>2338</v>
      </c>
      <c r="I2129" s="44" t="s">
        <v>2339</v>
      </c>
      <c r="J2129" s="44" t="s">
        <v>2340</v>
      </c>
      <c r="K2129" s="44" t="s">
        <v>4289</v>
      </c>
      <c r="L2129" s="44" t="s">
        <v>2333</v>
      </c>
      <c r="M2129" s="43">
        <v>15</v>
      </c>
      <c r="N2129" s="113" t="s">
        <v>1113</v>
      </c>
      <c r="O2129" s="113"/>
      <c r="P2129" s="113"/>
      <c r="Q2129" s="113"/>
      <c r="R2129" s="113"/>
      <c r="S2129" s="113"/>
      <c r="T2129" s="113"/>
      <c r="U2129" s="113"/>
      <c r="V2129" s="113"/>
      <c r="W2129" s="113"/>
      <c r="X2129" s="113"/>
      <c r="Y2129" s="113"/>
      <c r="Z2129" s="113"/>
      <c r="AA2129" s="113"/>
      <c r="AB2129" s="113"/>
      <c r="AC2129" s="113"/>
      <c r="AD2129" s="113"/>
      <c r="AE2129" s="113"/>
      <c r="AF2129" s="113"/>
      <c r="AG2129" s="113"/>
      <c r="AH2129" s="113"/>
      <c r="AI2129" s="113"/>
      <c r="AJ2129" s="113"/>
      <c r="AK2129" s="113" t="s">
        <v>1113</v>
      </c>
      <c r="AL2129" s="113"/>
      <c r="AM2129" s="113"/>
      <c r="AN2129" s="113"/>
      <c r="AO2129" s="44" t="s">
        <v>2334</v>
      </c>
      <c r="AP2129" s="43"/>
      <c r="AQ2129" s="236" t="str">
        <f>VLOOKUP(Table8[[#This Row],[Instrument]],Def_Targets!$D$73:$E$159,2,FALSE)</f>
        <v>I_Vehicleimprove</v>
      </c>
      <c r="AR2129" s="233" t="str">
        <f>VLOOKUP(Table8[[#This Row],[Country Code]],Table29[],3,FALSE)</f>
        <v>Non-Annex I</v>
      </c>
      <c r="AS2129" s="233" t="str">
        <f>VLOOKUP(Table8[[#This Row],[Country Code]],Table29[],4,FALSE)</f>
        <v>Asia</v>
      </c>
      <c r="AT2129" s="233" t="str">
        <f>VLOOKUP(Table8[[#This Row],[Country Code]],Table29[],5,FALSE)</f>
        <v>Middle-income</v>
      </c>
      <c r="AU2129" s="233" t="str">
        <f>VLOOKUP(Table8[[#This Row],[Country Code]],Table29[],6,FALSE)</f>
        <v>no</v>
      </c>
      <c r="AV2129" s="233" t="str">
        <f>VLOOKUP(Table8[[#This Row],[Country Code]],Table29[],7,FALSE)</f>
        <v>no</v>
      </c>
      <c r="AW2129" s="233" t="str">
        <f>VLOOKUP(Table8[[#This Row],[Country Code]],Table29[],8,FALSE)</f>
        <v>non-OECD</v>
      </c>
      <c r="AX2129" s="233" t="str">
        <f>VLOOKUP(Table8[[#This Row],[Country Code]],Table29[],9,FALSE)</f>
        <v>no</v>
      </c>
      <c r="AY2129" s="233" t="str">
        <f>VLOOKUP(Table8[[#This Row],[Country Code]],Table29[],10,FALSE)</f>
        <v>no</v>
      </c>
      <c r="AZ2129" s="235">
        <f>VLOOKUP(Table8[[#This Row],[Country Code]],Table29[],23,FALSE)</f>
        <v>21.438119694097999</v>
      </c>
      <c r="BA2129" s="235">
        <f>VLOOKUP(Table8[[#This Row],[Country Code]],Table29[],24,FALSE)</f>
        <v>1.9934951501956819</v>
      </c>
      <c r="BB2129" s="320"/>
      <c r="BC2129" s="320"/>
    </row>
    <row r="2130" spans="1:55" ht="45" hidden="1" x14ac:dyDescent="0.25">
      <c r="A2130" s="360">
        <v>23376</v>
      </c>
      <c r="B2130" s="233" t="str">
        <f>VLOOKUP(Table8[[#This Row],[Document ID]],Table1[],2,FALSE)</f>
        <v>TJK</v>
      </c>
      <c r="C2130" s="233" t="str">
        <f>VLOOKUP(Table8[[#This Row],[Document ID]],Table1[],3,FALSE)</f>
        <v>Tajikistan</v>
      </c>
      <c r="D2130" s="233" t="str">
        <f>VLOOKUP(Table8[[#This Row],[Document ID]],Table1[],5,FALSE)</f>
        <v>NDC</v>
      </c>
      <c r="E2130" s="233" t="str">
        <f>VLOOKUP(Table8[[#This Row],[Document ID]],Table1[],7,FALSE)</f>
        <v>First NDC updated</v>
      </c>
      <c r="F2130" s="233" t="str">
        <f>VLOOKUP(Table8[[#This Row],[Document ID]],Table1[],8,FALSE)</f>
        <v>NDC 1.1</v>
      </c>
      <c r="G2130" s="233" t="str">
        <f>VLOOKUP(Table8[[#This Row],[Document ID]],Table1[],10,FALSE)</f>
        <v>Active</v>
      </c>
      <c r="H2130" s="43" t="s">
        <v>2358</v>
      </c>
      <c r="I2130" s="43" t="s">
        <v>2359</v>
      </c>
      <c r="J2130" s="44" t="s">
        <v>2360</v>
      </c>
      <c r="K2130" s="44" t="s">
        <v>4290</v>
      </c>
      <c r="L2130" s="44" t="s">
        <v>2333</v>
      </c>
      <c r="M2130" s="43">
        <v>15</v>
      </c>
      <c r="N2130" s="113" t="s">
        <v>1113</v>
      </c>
      <c r="O2130" s="113"/>
      <c r="P2130" s="113"/>
      <c r="Q2130" s="113"/>
      <c r="R2130" s="113"/>
      <c r="S2130" s="113"/>
      <c r="T2130" s="113"/>
      <c r="U2130" s="113"/>
      <c r="V2130" s="113"/>
      <c r="W2130" s="113"/>
      <c r="X2130" s="113"/>
      <c r="Y2130" s="113"/>
      <c r="Z2130" s="113"/>
      <c r="AA2130" s="113"/>
      <c r="AB2130" s="113"/>
      <c r="AC2130" s="113"/>
      <c r="AD2130" s="113"/>
      <c r="AE2130" s="113"/>
      <c r="AF2130" s="113"/>
      <c r="AG2130" s="113"/>
      <c r="AH2130" s="113"/>
      <c r="AI2130" s="113"/>
      <c r="AJ2130" s="113"/>
      <c r="AK2130" s="113" t="s">
        <v>1113</v>
      </c>
      <c r="AL2130" s="113"/>
      <c r="AM2130" s="113"/>
      <c r="AN2130" s="113"/>
      <c r="AO2130" s="44" t="s">
        <v>2334</v>
      </c>
      <c r="AP2130" s="43"/>
      <c r="AQ2130" s="236" t="str">
        <f>VLOOKUP(Table8[[#This Row],[Instrument]],Def_Targets!$D$73:$E$159,2,FALSE)</f>
        <v>I_Emobility</v>
      </c>
      <c r="AR2130" s="233" t="str">
        <f>VLOOKUP(Table8[[#This Row],[Country Code]],Table29[],3,FALSE)</f>
        <v>Non-Annex I</v>
      </c>
      <c r="AS2130" s="233" t="str">
        <f>VLOOKUP(Table8[[#This Row],[Country Code]],Table29[],4,FALSE)</f>
        <v>Asia</v>
      </c>
      <c r="AT2130" s="233" t="str">
        <f>VLOOKUP(Table8[[#This Row],[Country Code]],Table29[],5,FALSE)</f>
        <v>Middle-income</v>
      </c>
      <c r="AU2130" s="233" t="str">
        <f>VLOOKUP(Table8[[#This Row],[Country Code]],Table29[],6,FALSE)</f>
        <v>no</v>
      </c>
      <c r="AV2130" s="233" t="str">
        <f>VLOOKUP(Table8[[#This Row],[Country Code]],Table29[],7,FALSE)</f>
        <v>no</v>
      </c>
      <c r="AW2130" s="233" t="str">
        <f>VLOOKUP(Table8[[#This Row],[Country Code]],Table29[],8,FALSE)</f>
        <v>non-OECD</v>
      </c>
      <c r="AX2130" s="233" t="str">
        <f>VLOOKUP(Table8[[#This Row],[Country Code]],Table29[],9,FALSE)</f>
        <v>no</v>
      </c>
      <c r="AY2130" s="233" t="str">
        <f>VLOOKUP(Table8[[#This Row],[Country Code]],Table29[],10,FALSE)</f>
        <v>no</v>
      </c>
      <c r="AZ2130" s="235">
        <f>VLOOKUP(Table8[[#This Row],[Country Code]],Table29[],23,FALSE)</f>
        <v>21.438119694097999</v>
      </c>
      <c r="BA2130" s="235">
        <f>VLOOKUP(Table8[[#This Row],[Country Code]],Table29[],24,FALSE)</f>
        <v>1.9934951501956819</v>
      </c>
      <c r="BB2130" s="320"/>
      <c r="BC2130" s="320"/>
    </row>
    <row r="2131" spans="1:55" ht="45" hidden="1" x14ac:dyDescent="0.25">
      <c r="A2131" s="360">
        <v>23376</v>
      </c>
      <c r="B2131" s="233" t="str">
        <f>VLOOKUP(Table8[[#This Row],[Document ID]],Table1[],2,FALSE)</f>
        <v>TJK</v>
      </c>
      <c r="C2131" s="233" t="str">
        <f>VLOOKUP(Table8[[#This Row],[Document ID]],Table1[],3,FALSE)</f>
        <v>Tajikistan</v>
      </c>
      <c r="D2131" s="233" t="str">
        <f>VLOOKUP(Table8[[#This Row],[Document ID]],Table1[],5,FALSE)</f>
        <v>NDC</v>
      </c>
      <c r="E2131" s="233" t="str">
        <f>VLOOKUP(Table8[[#This Row],[Document ID]],Table1[],7,FALSE)</f>
        <v>First NDC updated</v>
      </c>
      <c r="F2131" s="233" t="str">
        <f>VLOOKUP(Table8[[#This Row],[Document ID]],Table1[],8,FALSE)</f>
        <v>NDC 1.1</v>
      </c>
      <c r="G2131" s="233" t="str">
        <f>VLOOKUP(Table8[[#This Row],[Document ID]],Table1[],10,FALSE)</f>
        <v>Active</v>
      </c>
      <c r="H2131" s="44" t="s">
        <v>2329</v>
      </c>
      <c r="I2131" s="44" t="s">
        <v>2330</v>
      </c>
      <c r="J2131" s="44" t="s">
        <v>2331</v>
      </c>
      <c r="K2131" s="44" t="s">
        <v>4290</v>
      </c>
      <c r="L2131" s="44" t="s">
        <v>2333</v>
      </c>
      <c r="M2131" s="43">
        <v>15</v>
      </c>
      <c r="N2131" s="113" t="s">
        <v>1113</v>
      </c>
      <c r="O2131" s="113"/>
      <c r="P2131" s="113"/>
      <c r="Q2131" s="113"/>
      <c r="R2131" s="113"/>
      <c r="S2131" s="113"/>
      <c r="T2131" s="113"/>
      <c r="U2131" s="113"/>
      <c r="V2131" s="113"/>
      <c r="W2131" s="113"/>
      <c r="X2131" s="113"/>
      <c r="Y2131" s="113"/>
      <c r="Z2131" s="113"/>
      <c r="AA2131" s="113"/>
      <c r="AB2131" s="113"/>
      <c r="AC2131" s="113"/>
      <c r="AD2131" s="113"/>
      <c r="AE2131" s="113"/>
      <c r="AF2131" s="113"/>
      <c r="AG2131" s="113"/>
      <c r="AH2131" s="113"/>
      <c r="AI2131" s="113"/>
      <c r="AJ2131" s="113"/>
      <c r="AK2131" s="113" t="s">
        <v>1113</v>
      </c>
      <c r="AL2131" s="113"/>
      <c r="AM2131" s="113"/>
      <c r="AN2131" s="113"/>
      <c r="AO2131" s="44" t="s">
        <v>2334</v>
      </c>
      <c r="AP2131" s="43"/>
      <c r="AQ2131" s="236" t="str">
        <f>VLOOKUP(Table8[[#This Row],[Instrument]],Def_Targets!$D$73:$E$159,2,FALSE)</f>
        <v>I_Altfuels</v>
      </c>
      <c r="AR2131" s="233" t="str">
        <f>VLOOKUP(Table8[[#This Row],[Country Code]],Table29[],3,FALSE)</f>
        <v>Non-Annex I</v>
      </c>
      <c r="AS2131" s="233" t="str">
        <f>VLOOKUP(Table8[[#This Row],[Country Code]],Table29[],4,FALSE)</f>
        <v>Asia</v>
      </c>
      <c r="AT2131" s="233" t="str">
        <f>VLOOKUP(Table8[[#This Row],[Country Code]],Table29[],5,FALSE)</f>
        <v>Middle-income</v>
      </c>
      <c r="AU2131" s="233" t="str">
        <f>VLOOKUP(Table8[[#This Row],[Country Code]],Table29[],6,FALSE)</f>
        <v>no</v>
      </c>
      <c r="AV2131" s="233" t="str">
        <f>VLOOKUP(Table8[[#This Row],[Country Code]],Table29[],7,FALSE)</f>
        <v>no</v>
      </c>
      <c r="AW2131" s="233" t="str">
        <f>VLOOKUP(Table8[[#This Row],[Country Code]],Table29[],8,FALSE)</f>
        <v>non-OECD</v>
      </c>
      <c r="AX2131" s="233" t="str">
        <f>VLOOKUP(Table8[[#This Row],[Country Code]],Table29[],9,FALSE)</f>
        <v>no</v>
      </c>
      <c r="AY2131" s="233" t="str">
        <f>VLOOKUP(Table8[[#This Row],[Country Code]],Table29[],10,FALSE)</f>
        <v>no</v>
      </c>
      <c r="AZ2131" s="235">
        <f>VLOOKUP(Table8[[#This Row],[Country Code]],Table29[],23,FALSE)</f>
        <v>21.438119694097999</v>
      </c>
      <c r="BA2131" s="235">
        <f>VLOOKUP(Table8[[#This Row],[Country Code]],Table29[],24,FALSE)</f>
        <v>1.9934951501956819</v>
      </c>
      <c r="BB2131" s="320"/>
      <c r="BC2131" s="320"/>
    </row>
    <row r="2132" spans="1:55" hidden="1" x14ac:dyDescent="0.25">
      <c r="A2132" s="360">
        <v>23376</v>
      </c>
      <c r="B2132" s="233" t="str">
        <f>VLOOKUP(Table8[[#This Row],[Document ID]],Table1[],2,FALSE)</f>
        <v>TJK</v>
      </c>
      <c r="C2132" s="233" t="str">
        <f>VLOOKUP(Table8[[#This Row],[Document ID]],Table1[],3,FALSE)</f>
        <v>Tajikistan</v>
      </c>
      <c r="D2132" s="233" t="str">
        <f>VLOOKUP(Table8[[#This Row],[Document ID]],Table1[],5,FALSE)</f>
        <v>NDC</v>
      </c>
      <c r="E2132" s="233" t="str">
        <f>VLOOKUP(Table8[[#This Row],[Document ID]],Table1[],7,FALSE)</f>
        <v>First NDC updated</v>
      </c>
      <c r="F2132" s="233" t="str">
        <f>VLOOKUP(Table8[[#This Row],[Document ID]],Table1[],8,FALSE)</f>
        <v>NDC 1.1</v>
      </c>
      <c r="G2132" s="233" t="str">
        <f>VLOOKUP(Table8[[#This Row],[Document ID]],Table1[],10,FALSE)</f>
        <v>Active</v>
      </c>
      <c r="H2132" s="44" t="s">
        <v>2338</v>
      </c>
      <c r="I2132" s="44" t="s">
        <v>2339</v>
      </c>
      <c r="J2132" s="44" t="s">
        <v>2416</v>
      </c>
      <c r="K2132" s="44" t="s">
        <v>4291</v>
      </c>
      <c r="L2132" s="44" t="s">
        <v>2333</v>
      </c>
      <c r="M2132" s="43">
        <v>15</v>
      </c>
      <c r="N2132" s="113"/>
      <c r="O2132" s="113"/>
      <c r="P2132" s="113"/>
      <c r="Q2132" s="113"/>
      <c r="R2132" s="113"/>
      <c r="S2132" s="113"/>
      <c r="T2132" s="113"/>
      <c r="U2132" s="113" t="s">
        <v>1113</v>
      </c>
      <c r="V2132" s="113"/>
      <c r="W2132" s="113"/>
      <c r="X2132" s="113"/>
      <c r="Y2132" s="113"/>
      <c r="Z2132" s="113"/>
      <c r="AA2132" s="113"/>
      <c r="AB2132" s="113"/>
      <c r="AC2132" s="113"/>
      <c r="AD2132" s="113"/>
      <c r="AE2132" s="113"/>
      <c r="AF2132" s="113"/>
      <c r="AG2132" s="113"/>
      <c r="AH2132" s="113"/>
      <c r="AI2132" s="113"/>
      <c r="AJ2132" s="113"/>
      <c r="AK2132" s="113" t="s">
        <v>1113</v>
      </c>
      <c r="AL2132" s="113"/>
      <c r="AM2132" s="113"/>
      <c r="AN2132" s="113"/>
      <c r="AO2132" s="44" t="s">
        <v>2334</v>
      </c>
      <c r="AP2132" s="43"/>
      <c r="AQ2132" s="236" t="str">
        <f>VLOOKUP(Table8[[#This Row],[Instrument]],Def_Targets!$D$73:$E$159,2,FALSE)</f>
        <v>I_Vehiclescrappage</v>
      </c>
      <c r="AR2132" s="233" t="str">
        <f>VLOOKUP(Table8[[#This Row],[Country Code]],Table29[],3,FALSE)</f>
        <v>Non-Annex I</v>
      </c>
      <c r="AS2132" s="233" t="str">
        <f>VLOOKUP(Table8[[#This Row],[Country Code]],Table29[],4,FALSE)</f>
        <v>Asia</v>
      </c>
      <c r="AT2132" s="233" t="str">
        <f>VLOOKUP(Table8[[#This Row],[Country Code]],Table29[],5,FALSE)</f>
        <v>Middle-income</v>
      </c>
      <c r="AU2132" s="233" t="str">
        <f>VLOOKUP(Table8[[#This Row],[Country Code]],Table29[],6,FALSE)</f>
        <v>no</v>
      </c>
      <c r="AV2132" s="233" t="str">
        <f>VLOOKUP(Table8[[#This Row],[Country Code]],Table29[],7,FALSE)</f>
        <v>no</v>
      </c>
      <c r="AW2132" s="233" t="str">
        <f>VLOOKUP(Table8[[#This Row],[Country Code]],Table29[],8,FALSE)</f>
        <v>non-OECD</v>
      </c>
      <c r="AX2132" s="233" t="str">
        <f>VLOOKUP(Table8[[#This Row],[Country Code]],Table29[],9,FALSE)</f>
        <v>no</v>
      </c>
      <c r="AY2132" s="233" t="str">
        <f>VLOOKUP(Table8[[#This Row],[Country Code]],Table29[],10,FALSE)</f>
        <v>no</v>
      </c>
      <c r="AZ2132" s="235">
        <f>VLOOKUP(Table8[[#This Row],[Country Code]],Table29[],23,FALSE)</f>
        <v>21.438119694097999</v>
      </c>
      <c r="BA2132" s="235">
        <f>VLOOKUP(Table8[[#This Row],[Country Code]],Table29[],24,FALSE)</f>
        <v>1.9934951501956819</v>
      </c>
      <c r="BB2132" s="320"/>
      <c r="BC2132" s="320"/>
    </row>
    <row r="2133" spans="1:55" hidden="1" x14ac:dyDescent="0.25">
      <c r="A2133" s="360">
        <v>23376</v>
      </c>
      <c r="B2133" s="233" t="str">
        <f>VLOOKUP(Table8[[#This Row],[Document ID]],Table1[],2,FALSE)</f>
        <v>TJK</v>
      </c>
      <c r="C2133" s="233" t="str">
        <f>VLOOKUP(Table8[[#This Row],[Document ID]],Table1[],3,FALSE)</f>
        <v>Tajikistan</v>
      </c>
      <c r="D2133" s="233" t="str">
        <f>VLOOKUP(Table8[[#This Row],[Document ID]],Table1[],5,FALSE)</f>
        <v>NDC</v>
      </c>
      <c r="E2133" s="233" t="str">
        <f>VLOOKUP(Table8[[#This Row],[Document ID]],Table1[],7,FALSE)</f>
        <v>First NDC updated</v>
      </c>
      <c r="F2133" s="233" t="str">
        <f>VLOOKUP(Table8[[#This Row],[Document ID]],Table1[],8,FALSE)</f>
        <v>NDC 1.1</v>
      </c>
      <c r="G2133" s="233" t="str">
        <f>VLOOKUP(Table8[[#This Row],[Document ID]],Table1[],10,FALSE)</f>
        <v>Active</v>
      </c>
      <c r="H2133" s="43" t="s">
        <v>2350</v>
      </c>
      <c r="I2133" s="43" t="s">
        <v>2456</v>
      </c>
      <c r="J2133" s="44" t="s">
        <v>2457</v>
      </c>
      <c r="K2133" s="44" t="s">
        <v>4292</v>
      </c>
      <c r="L2133" s="44" t="s">
        <v>2333</v>
      </c>
      <c r="M2133" s="43">
        <v>15</v>
      </c>
      <c r="N2133" s="113"/>
      <c r="O2133" s="113"/>
      <c r="P2133" s="113"/>
      <c r="Q2133" s="113"/>
      <c r="R2133" s="113"/>
      <c r="S2133" s="113" t="s">
        <v>1113</v>
      </c>
      <c r="T2133" s="113"/>
      <c r="U2133" s="113"/>
      <c r="V2133" s="113"/>
      <c r="W2133" s="113"/>
      <c r="X2133" s="113"/>
      <c r="Y2133" s="113"/>
      <c r="Z2133" s="113"/>
      <c r="AA2133" s="113"/>
      <c r="AB2133" s="113"/>
      <c r="AC2133" s="113"/>
      <c r="AD2133" s="113"/>
      <c r="AE2133" s="113"/>
      <c r="AF2133" s="113"/>
      <c r="AG2133" s="113"/>
      <c r="AH2133" s="113"/>
      <c r="AI2133" s="113"/>
      <c r="AJ2133" s="113"/>
      <c r="AK2133" s="113" t="s">
        <v>1113</v>
      </c>
      <c r="AL2133" s="113"/>
      <c r="AM2133" s="113"/>
      <c r="AN2133" s="113"/>
      <c r="AO2133" s="44" t="s">
        <v>2334</v>
      </c>
      <c r="AP2133" s="43"/>
      <c r="AQ2133" s="236" t="str">
        <f>VLOOKUP(Table8[[#This Row],[Instrument]],Def_Targets!$D$73:$E$159,2,FALSE)</f>
        <v>S_Infraimprove</v>
      </c>
      <c r="AR2133" s="233" t="str">
        <f>VLOOKUP(Table8[[#This Row],[Country Code]],Table29[],3,FALSE)</f>
        <v>Non-Annex I</v>
      </c>
      <c r="AS2133" s="233" t="str">
        <f>VLOOKUP(Table8[[#This Row],[Country Code]],Table29[],4,FALSE)</f>
        <v>Asia</v>
      </c>
      <c r="AT2133" s="233" t="str">
        <f>VLOOKUP(Table8[[#This Row],[Country Code]],Table29[],5,FALSE)</f>
        <v>Middle-income</v>
      </c>
      <c r="AU2133" s="233" t="str">
        <f>VLOOKUP(Table8[[#This Row],[Country Code]],Table29[],6,FALSE)</f>
        <v>no</v>
      </c>
      <c r="AV2133" s="233" t="str">
        <f>VLOOKUP(Table8[[#This Row],[Country Code]],Table29[],7,FALSE)</f>
        <v>no</v>
      </c>
      <c r="AW2133" s="233" t="str">
        <f>VLOOKUP(Table8[[#This Row],[Country Code]],Table29[],8,FALSE)</f>
        <v>non-OECD</v>
      </c>
      <c r="AX2133" s="233" t="str">
        <f>VLOOKUP(Table8[[#This Row],[Country Code]],Table29[],9,FALSE)</f>
        <v>no</v>
      </c>
      <c r="AY2133" s="233" t="str">
        <f>VLOOKUP(Table8[[#This Row],[Country Code]],Table29[],10,FALSE)</f>
        <v>no</v>
      </c>
      <c r="AZ2133" s="235">
        <f>VLOOKUP(Table8[[#This Row],[Country Code]],Table29[],23,FALSE)</f>
        <v>21.438119694097999</v>
      </c>
      <c r="BA2133" s="235">
        <f>VLOOKUP(Table8[[#This Row],[Country Code]],Table29[],24,FALSE)</f>
        <v>1.9934951501956819</v>
      </c>
      <c r="BB2133" s="320"/>
      <c r="BC2133" s="320"/>
    </row>
    <row r="2134" spans="1:55" ht="30" hidden="1" x14ac:dyDescent="0.25">
      <c r="A2134" s="360">
        <v>23376</v>
      </c>
      <c r="B2134" s="233" t="str">
        <f>VLOOKUP(Table8[[#This Row],[Document ID]],Table1[],2,FALSE)</f>
        <v>TJK</v>
      </c>
      <c r="C2134" s="233" t="str">
        <f>VLOOKUP(Table8[[#This Row],[Document ID]],Table1[],3,FALSE)</f>
        <v>Tajikistan</v>
      </c>
      <c r="D2134" s="233" t="str">
        <f>VLOOKUP(Table8[[#This Row],[Document ID]],Table1[],5,FALSE)</f>
        <v>NDC</v>
      </c>
      <c r="E2134" s="233" t="str">
        <f>VLOOKUP(Table8[[#This Row],[Document ID]],Table1[],7,FALSE)</f>
        <v>First NDC updated</v>
      </c>
      <c r="F2134" s="233" t="str">
        <f>VLOOKUP(Table8[[#This Row],[Document ID]],Table1[],8,FALSE)</f>
        <v>NDC 1.1</v>
      </c>
      <c r="G2134" s="233" t="str">
        <f>VLOOKUP(Table8[[#This Row],[Document ID]],Table1[],10,FALSE)</f>
        <v>Active</v>
      </c>
      <c r="H2134" s="43" t="s">
        <v>2343</v>
      </c>
      <c r="I2134" s="43" t="s">
        <v>2344</v>
      </c>
      <c r="J2134" s="44" t="s">
        <v>2564</v>
      </c>
      <c r="K2134" s="44" t="s">
        <v>4293</v>
      </c>
      <c r="L2134" s="44" t="s">
        <v>2347</v>
      </c>
      <c r="M2134" s="43">
        <v>15</v>
      </c>
      <c r="N2134" s="113"/>
      <c r="O2134" s="113"/>
      <c r="P2134" s="113" t="s">
        <v>1113</v>
      </c>
      <c r="Q2134" s="113"/>
      <c r="R2134" s="113"/>
      <c r="S2134" s="113"/>
      <c r="T2134" s="113"/>
      <c r="U2134" s="113"/>
      <c r="V2134" s="113"/>
      <c r="W2134" s="113"/>
      <c r="X2134" s="113"/>
      <c r="Y2134" s="113" t="s">
        <v>1113</v>
      </c>
      <c r="Z2134" s="113"/>
      <c r="AA2134" s="113"/>
      <c r="AB2134" s="113"/>
      <c r="AC2134" s="113" t="s">
        <v>1113</v>
      </c>
      <c r="AD2134" s="113"/>
      <c r="AE2134" s="113"/>
      <c r="AF2134" s="113"/>
      <c r="AG2134" s="113"/>
      <c r="AH2134" s="113"/>
      <c r="AI2134" s="113"/>
      <c r="AJ2134" s="113"/>
      <c r="AK2134" s="113"/>
      <c r="AL2134" s="113" t="s">
        <v>1113</v>
      </c>
      <c r="AM2134" s="113"/>
      <c r="AN2134" s="113"/>
      <c r="AO2134" s="44" t="s">
        <v>2334</v>
      </c>
      <c r="AP2134" s="43"/>
      <c r="AQ2134" s="236" t="str">
        <f>VLOOKUP(Table8[[#This Row],[Instrument]],Def_Targets!$D$73:$E$159,2,FALSE)</f>
        <v>S_PTPriority</v>
      </c>
      <c r="AR2134" s="233" t="str">
        <f>VLOOKUP(Table8[[#This Row],[Country Code]],Table29[],3,FALSE)</f>
        <v>Non-Annex I</v>
      </c>
      <c r="AS2134" s="233" t="str">
        <f>VLOOKUP(Table8[[#This Row],[Country Code]],Table29[],4,FALSE)</f>
        <v>Asia</v>
      </c>
      <c r="AT2134" s="233" t="str">
        <f>VLOOKUP(Table8[[#This Row],[Country Code]],Table29[],5,FALSE)</f>
        <v>Middle-income</v>
      </c>
      <c r="AU2134" s="233" t="str">
        <f>VLOOKUP(Table8[[#This Row],[Country Code]],Table29[],6,FALSE)</f>
        <v>no</v>
      </c>
      <c r="AV2134" s="233" t="str">
        <f>VLOOKUP(Table8[[#This Row],[Country Code]],Table29[],7,FALSE)</f>
        <v>no</v>
      </c>
      <c r="AW2134" s="233" t="str">
        <f>VLOOKUP(Table8[[#This Row],[Country Code]],Table29[],8,FALSE)</f>
        <v>non-OECD</v>
      </c>
      <c r="AX2134" s="233" t="str">
        <f>VLOOKUP(Table8[[#This Row],[Country Code]],Table29[],9,FALSE)</f>
        <v>no</v>
      </c>
      <c r="AY2134" s="233" t="str">
        <f>VLOOKUP(Table8[[#This Row],[Country Code]],Table29[],10,FALSE)</f>
        <v>no</v>
      </c>
      <c r="AZ2134" s="235">
        <f>VLOOKUP(Table8[[#This Row],[Country Code]],Table29[],23,FALSE)</f>
        <v>21.438119694097999</v>
      </c>
      <c r="BA2134" s="235">
        <f>VLOOKUP(Table8[[#This Row],[Country Code]],Table29[],24,FALSE)</f>
        <v>1.9934951501956819</v>
      </c>
      <c r="BB2134" s="320"/>
      <c r="BC2134" s="320"/>
    </row>
    <row r="2135" spans="1:55" ht="30" hidden="1" x14ac:dyDescent="0.25">
      <c r="A2135" s="360">
        <v>23376</v>
      </c>
      <c r="B2135" s="233" t="str">
        <f>VLOOKUP(Table8[[#This Row],[Document ID]],Table1[],2,FALSE)</f>
        <v>TJK</v>
      </c>
      <c r="C2135" s="233" t="str">
        <f>VLOOKUP(Table8[[#This Row],[Document ID]],Table1[],3,FALSE)</f>
        <v>Tajikistan</v>
      </c>
      <c r="D2135" s="233" t="str">
        <f>VLOOKUP(Table8[[#This Row],[Document ID]],Table1[],5,FALSE)</f>
        <v>NDC</v>
      </c>
      <c r="E2135" s="233" t="str">
        <f>VLOOKUP(Table8[[#This Row],[Document ID]],Table1[],7,FALSE)</f>
        <v>First NDC updated</v>
      </c>
      <c r="F2135" s="233" t="str">
        <f>VLOOKUP(Table8[[#This Row],[Document ID]],Table1[],8,FALSE)</f>
        <v>NDC 1.1</v>
      </c>
      <c r="G2135" s="233" t="str">
        <f>VLOOKUP(Table8[[#This Row],[Document ID]],Table1[],10,FALSE)</f>
        <v>Active</v>
      </c>
      <c r="H2135" s="43" t="s">
        <v>2343</v>
      </c>
      <c r="I2135" s="43" t="s">
        <v>2361</v>
      </c>
      <c r="J2135" s="44" t="s">
        <v>2366</v>
      </c>
      <c r="K2135" s="44" t="s">
        <v>4293</v>
      </c>
      <c r="L2135" s="44" t="s">
        <v>2347</v>
      </c>
      <c r="M2135" s="43">
        <v>15</v>
      </c>
      <c r="N2135" s="113"/>
      <c r="O2135" s="113"/>
      <c r="P2135" s="113" t="s">
        <v>1113</v>
      </c>
      <c r="Q2135" s="113"/>
      <c r="R2135" s="113"/>
      <c r="S2135" s="113"/>
      <c r="T2135" s="113"/>
      <c r="U2135" s="113"/>
      <c r="V2135" s="113"/>
      <c r="W2135" s="113"/>
      <c r="X2135" s="113"/>
      <c r="Y2135" s="113"/>
      <c r="Z2135" s="113"/>
      <c r="AA2135" s="113"/>
      <c r="AB2135" s="113"/>
      <c r="AC2135" s="113"/>
      <c r="AD2135" s="113"/>
      <c r="AE2135" s="113"/>
      <c r="AF2135" s="113"/>
      <c r="AG2135" s="113"/>
      <c r="AH2135" s="113"/>
      <c r="AI2135" s="113"/>
      <c r="AJ2135" s="113"/>
      <c r="AK2135" s="113"/>
      <c r="AL2135" s="113" t="s">
        <v>1113</v>
      </c>
      <c r="AM2135" s="113"/>
      <c r="AN2135" s="113"/>
      <c r="AO2135" s="44" t="s">
        <v>2334</v>
      </c>
      <c r="AP2135" s="43"/>
      <c r="AQ2135" s="236" t="str">
        <f>VLOOKUP(Table8[[#This Row],[Instrument]],Def_Targets!$D$73:$E$159,2,FALSE)</f>
        <v>S_Activemobility</v>
      </c>
      <c r="AR2135" s="233" t="str">
        <f>VLOOKUP(Table8[[#This Row],[Country Code]],Table29[],3,FALSE)</f>
        <v>Non-Annex I</v>
      </c>
      <c r="AS2135" s="233" t="str">
        <f>VLOOKUP(Table8[[#This Row],[Country Code]],Table29[],4,FALSE)</f>
        <v>Asia</v>
      </c>
      <c r="AT2135" s="233" t="str">
        <f>VLOOKUP(Table8[[#This Row],[Country Code]],Table29[],5,FALSE)</f>
        <v>Middle-income</v>
      </c>
      <c r="AU2135" s="233" t="str">
        <f>VLOOKUP(Table8[[#This Row],[Country Code]],Table29[],6,FALSE)</f>
        <v>no</v>
      </c>
      <c r="AV2135" s="233" t="str">
        <f>VLOOKUP(Table8[[#This Row],[Country Code]],Table29[],7,FALSE)</f>
        <v>no</v>
      </c>
      <c r="AW2135" s="233" t="str">
        <f>VLOOKUP(Table8[[#This Row],[Country Code]],Table29[],8,FALSE)</f>
        <v>non-OECD</v>
      </c>
      <c r="AX2135" s="233" t="str">
        <f>VLOOKUP(Table8[[#This Row],[Country Code]],Table29[],9,FALSE)</f>
        <v>no</v>
      </c>
      <c r="AY2135" s="233" t="str">
        <f>VLOOKUP(Table8[[#This Row],[Country Code]],Table29[],10,FALSE)</f>
        <v>no</v>
      </c>
      <c r="AZ2135" s="235">
        <f>VLOOKUP(Table8[[#This Row],[Country Code]],Table29[],23,FALSE)</f>
        <v>21.438119694097999</v>
      </c>
      <c r="BA2135" s="235">
        <f>VLOOKUP(Table8[[#This Row],[Country Code]],Table29[],24,FALSE)</f>
        <v>1.9934951501956819</v>
      </c>
      <c r="BB2135" s="320"/>
      <c r="BC2135" s="320"/>
    </row>
    <row r="2136" spans="1:55" ht="30" hidden="1" x14ac:dyDescent="0.25">
      <c r="A2136" s="360">
        <v>23376</v>
      </c>
      <c r="B2136" s="233" t="str">
        <f>VLOOKUP(Table8[[#This Row],[Document ID]],Table1[],2,FALSE)</f>
        <v>TJK</v>
      </c>
      <c r="C2136" s="233" t="str">
        <f>VLOOKUP(Table8[[#This Row],[Document ID]],Table1[],3,FALSE)</f>
        <v>Tajikistan</v>
      </c>
      <c r="D2136" s="233" t="str">
        <f>VLOOKUP(Table8[[#This Row],[Document ID]],Table1[],5,FALSE)</f>
        <v>NDC</v>
      </c>
      <c r="E2136" s="233" t="str">
        <f>VLOOKUP(Table8[[#This Row],[Document ID]],Table1[],7,FALSE)</f>
        <v>First NDC updated</v>
      </c>
      <c r="F2136" s="233" t="str">
        <f>VLOOKUP(Table8[[#This Row],[Document ID]],Table1[],8,FALSE)</f>
        <v>NDC 1.1</v>
      </c>
      <c r="G2136" s="233" t="str">
        <f>VLOOKUP(Table8[[#This Row],[Document ID]],Table1[],10,FALSE)</f>
        <v>Active</v>
      </c>
      <c r="H2136" s="43" t="s">
        <v>2350</v>
      </c>
      <c r="I2136" s="43" t="s">
        <v>2370</v>
      </c>
      <c r="J2136" s="44" t="s">
        <v>2418</v>
      </c>
      <c r="K2136" s="44" t="s">
        <v>4294</v>
      </c>
      <c r="L2136" s="44" t="s">
        <v>2396</v>
      </c>
      <c r="M2136" s="43">
        <v>15</v>
      </c>
      <c r="N2136" s="113"/>
      <c r="O2136" s="113"/>
      <c r="P2136" s="113"/>
      <c r="Q2136" s="113" t="s">
        <v>1113</v>
      </c>
      <c r="R2136" s="113"/>
      <c r="S2136" s="113"/>
      <c r="T2136" s="113"/>
      <c r="U2136" s="113"/>
      <c r="V2136" s="113"/>
      <c r="W2136" s="113"/>
      <c r="X2136" s="113"/>
      <c r="Y2136" s="113"/>
      <c r="Z2136" s="113"/>
      <c r="AA2136" s="113"/>
      <c r="AB2136" s="113"/>
      <c r="AC2136" s="113"/>
      <c r="AD2136" s="113"/>
      <c r="AE2136" s="113"/>
      <c r="AF2136" s="113"/>
      <c r="AG2136" s="113"/>
      <c r="AH2136" s="113"/>
      <c r="AI2136" s="113"/>
      <c r="AJ2136" s="113"/>
      <c r="AK2136" s="113"/>
      <c r="AL2136" s="113" t="s">
        <v>1113</v>
      </c>
      <c r="AM2136" s="113"/>
      <c r="AN2136" s="113"/>
      <c r="AO2136" s="44" t="s">
        <v>2334</v>
      </c>
      <c r="AP2136" s="43"/>
      <c r="AQ2136" s="236" t="str">
        <f>VLOOKUP(Table8[[#This Row],[Instrument]],Def_Targets!$D$73:$E$159,2,FALSE)</f>
        <v>A_Complan</v>
      </c>
      <c r="AR2136" s="233" t="str">
        <f>VLOOKUP(Table8[[#This Row],[Country Code]],Table29[],3,FALSE)</f>
        <v>Non-Annex I</v>
      </c>
      <c r="AS2136" s="233" t="str">
        <f>VLOOKUP(Table8[[#This Row],[Country Code]],Table29[],4,FALSE)</f>
        <v>Asia</v>
      </c>
      <c r="AT2136" s="233" t="str">
        <f>VLOOKUP(Table8[[#This Row],[Country Code]],Table29[],5,FALSE)</f>
        <v>Middle-income</v>
      </c>
      <c r="AU2136" s="233" t="str">
        <f>VLOOKUP(Table8[[#This Row],[Country Code]],Table29[],6,FALSE)</f>
        <v>no</v>
      </c>
      <c r="AV2136" s="233" t="str">
        <f>VLOOKUP(Table8[[#This Row],[Country Code]],Table29[],7,FALSE)</f>
        <v>no</v>
      </c>
      <c r="AW2136" s="233" t="str">
        <f>VLOOKUP(Table8[[#This Row],[Country Code]],Table29[],8,FALSE)</f>
        <v>non-OECD</v>
      </c>
      <c r="AX2136" s="233" t="str">
        <f>VLOOKUP(Table8[[#This Row],[Country Code]],Table29[],9,FALSE)</f>
        <v>no</v>
      </c>
      <c r="AY2136" s="233" t="str">
        <f>VLOOKUP(Table8[[#This Row],[Country Code]],Table29[],10,FALSE)</f>
        <v>no</v>
      </c>
      <c r="AZ2136" s="235">
        <f>VLOOKUP(Table8[[#This Row],[Country Code]],Table29[],23,FALSE)</f>
        <v>21.438119694097999</v>
      </c>
      <c r="BA2136" s="235">
        <f>VLOOKUP(Table8[[#This Row],[Country Code]],Table29[],24,FALSE)</f>
        <v>1.9934951501956819</v>
      </c>
      <c r="BB2136" s="320"/>
      <c r="BC2136" s="320"/>
    </row>
    <row r="2137" spans="1:55" ht="45" hidden="1" x14ac:dyDescent="0.25">
      <c r="A2137" s="360">
        <v>23376</v>
      </c>
      <c r="B2137" s="233" t="str">
        <f>VLOOKUP(Table8[[#This Row],[Document ID]],Table1[],2,FALSE)</f>
        <v>TJK</v>
      </c>
      <c r="C2137" s="233" t="str">
        <f>VLOOKUP(Table8[[#This Row],[Document ID]],Table1[],3,FALSE)</f>
        <v>Tajikistan</v>
      </c>
      <c r="D2137" s="233" t="str">
        <f>VLOOKUP(Table8[[#This Row],[Document ID]],Table1[],5,FALSE)</f>
        <v>NDC</v>
      </c>
      <c r="E2137" s="233" t="str">
        <f>VLOOKUP(Table8[[#This Row],[Document ID]],Table1[],7,FALSE)</f>
        <v>First NDC updated</v>
      </c>
      <c r="F2137" s="233" t="str">
        <f>VLOOKUP(Table8[[#This Row],[Document ID]],Table1[],8,FALSE)</f>
        <v>NDC 1.1</v>
      </c>
      <c r="G2137" s="233" t="str">
        <f>VLOOKUP(Table8[[#This Row],[Document ID]],Table1[],10,FALSE)</f>
        <v>Active</v>
      </c>
      <c r="H2137" s="43" t="s">
        <v>2350</v>
      </c>
      <c r="I2137" s="43" t="s">
        <v>2456</v>
      </c>
      <c r="J2137" s="44" t="s">
        <v>2466</v>
      </c>
      <c r="K2137" s="44" t="s">
        <v>4295</v>
      </c>
      <c r="L2137" s="44" t="s">
        <v>2347</v>
      </c>
      <c r="M2137" s="43">
        <v>15</v>
      </c>
      <c r="N2137" s="113"/>
      <c r="O2137" s="113"/>
      <c r="P2137" s="113"/>
      <c r="Q2137" s="113"/>
      <c r="R2137" s="113"/>
      <c r="S2137" s="113"/>
      <c r="T2137" s="113"/>
      <c r="U2137" s="113"/>
      <c r="V2137" s="113"/>
      <c r="W2137" s="113"/>
      <c r="X2137" s="113"/>
      <c r="Y2137" s="113"/>
      <c r="Z2137" s="113" t="s">
        <v>1113</v>
      </c>
      <c r="AA2137" s="113"/>
      <c r="AB2137" s="113"/>
      <c r="AC2137" s="113"/>
      <c r="AD2137" s="113"/>
      <c r="AE2137" s="113"/>
      <c r="AF2137" s="113"/>
      <c r="AG2137" s="113"/>
      <c r="AH2137" s="113"/>
      <c r="AI2137" s="113"/>
      <c r="AJ2137" s="113"/>
      <c r="AK2137" s="113" t="s">
        <v>1113</v>
      </c>
      <c r="AL2137" s="113"/>
      <c r="AM2137" s="113"/>
      <c r="AN2137" s="113"/>
      <c r="AO2137" s="43" t="s">
        <v>2477</v>
      </c>
      <c r="AP2137" s="43"/>
      <c r="AQ2137" s="236" t="str">
        <f>VLOOKUP(Table8[[#This Row],[Instrument]],Def_Targets!$D$73:$E$159,2,FALSE)</f>
        <v>S_Infraexpansion</v>
      </c>
      <c r="AR2137" s="233" t="str">
        <f>VLOOKUP(Table8[[#This Row],[Country Code]],Table29[],3,FALSE)</f>
        <v>Non-Annex I</v>
      </c>
      <c r="AS2137" s="233" t="str">
        <f>VLOOKUP(Table8[[#This Row],[Country Code]],Table29[],4,FALSE)</f>
        <v>Asia</v>
      </c>
      <c r="AT2137" s="233" t="str">
        <f>VLOOKUP(Table8[[#This Row],[Country Code]],Table29[],5,FALSE)</f>
        <v>Middle-income</v>
      </c>
      <c r="AU2137" s="233" t="str">
        <f>VLOOKUP(Table8[[#This Row],[Country Code]],Table29[],6,FALSE)</f>
        <v>no</v>
      </c>
      <c r="AV2137" s="233" t="str">
        <f>VLOOKUP(Table8[[#This Row],[Country Code]],Table29[],7,FALSE)</f>
        <v>no</v>
      </c>
      <c r="AW2137" s="233" t="str">
        <f>VLOOKUP(Table8[[#This Row],[Country Code]],Table29[],8,FALSE)</f>
        <v>non-OECD</v>
      </c>
      <c r="AX2137" s="233" t="str">
        <f>VLOOKUP(Table8[[#This Row],[Country Code]],Table29[],9,FALSE)</f>
        <v>no</v>
      </c>
      <c r="AY2137" s="233" t="str">
        <f>VLOOKUP(Table8[[#This Row],[Country Code]],Table29[],10,FALSE)</f>
        <v>no</v>
      </c>
      <c r="AZ2137" s="235">
        <f>VLOOKUP(Table8[[#This Row],[Country Code]],Table29[],23,FALSE)</f>
        <v>21.438119694097999</v>
      </c>
      <c r="BA2137" s="235">
        <f>VLOOKUP(Table8[[#This Row],[Country Code]],Table29[],24,FALSE)</f>
        <v>1.9934951501956819</v>
      </c>
      <c r="BB2137" s="320"/>
      <c r="BC2137" s="320"/>
    </row>
    <row r="2138" spans="1:55" s="17" customFormat="1" ht="45" hidden="1" x14ac:dyDescent="0.25">
      <c r="A2138" s="360">
        <v>23376</v>
      </c>
      <c r="B2138" s="233" t="str">
        <f>VLOOKUP(Table8[[#This Row],[Document ID]],Table1[],2,FALSE)</f>
        <v>TJK</v>
      </c>
      <c r="C2138" s="233" t="str">
        <f>VLOOKUP(Table8[[#This Row],[Document ID]],Table1[],3,FALSE)</f>
        <v>Tajikistan</v>
      </c>
      <c r="D2138" s="233" t="str">
        <f>VLOOKUP(Table8[[#This Row],[Document ID]],Table1[],5,FALSE)</f>
        <v>NDC</v>
      </c>
      <c r="E2138" s="233" t="str">
        <f>VLOOKUP(Table8[[#This Row],[Document ID]],Table1[],7,FALSE)</f>
        <v>First NDC updated</v>
      </c>
      <c r="F2138" s="233" t="str">
        <f>VLOOKUP(Table8[[#This Row],[Document ID]],Table1[],8,FALSE)</f>
        <v>NDC 1.1</v>
      </c>
      <c r="G2138" s="233" t="str">
        <f>VLOOKUP(Table8[[#This Row],[Document ID]],Table1[],10,FALSE)</f>
        <v>Active</v>
      </c>
      <c r="H2138" s="43" t="s">
        <v>2350</v>
      </c>
      <c r="I2138" s="43" t="s">
        <v>2351</v>
      </c>
      <c r="J2138" s="44" t="s">
        <v>2352</v>
      </c>
      <c r="K2138" s="44" t="s">
        <v>4295</v>
      </c>
      <c r="L2138" s="44" t="s">
        <v>2347</v>
      </c>
      <c r="M2138" s="43">
        <v>15</v>
      </c>
      <c r="N2138" s="113"/>
      <c r="O2138" s="113"/>
      <c r="P2138" s="113"/>
      <c r="Q2138" s="113"/>
      <c r="R2138" s="113"/>
      <c r="S2138" s="113"/>
      <c r="T2138" s="113"/>
      <c r="U2138" s="113"/>
      <c r="V2138" s="113"/>
      <c r="W2138" s="113"/>
      <c r="X2138" s="113"/>
      <c r="Y2138" s="113"/>
      <c r="Z2138" s="113" t="s">
        <v>1113</v>
      </c>
      <c r="AA2138" s="113"/>
      <c r="AB2138" s="113"/>
      <c r="AC2138" s="113"/>
      <c r="AD2138" s="113"/>
      <c r="AE2138" s="113"/>
      <c r="AF2138" s="113"/>
      <c r="AG2138" s="113"/>
      <c r="AH2138" s="113"/>
      <c r="AI2138" s="113"/>
      <c r="AJ2138" s="113"/>
      <c r="AK2138" s="113" t="s">
        <v>1113</v>
      </c>
      <c r="AL2138" s="113"/>
      <c r="AM2138" s="113"/>
      <c r="AN2138" s="113"/>
      <c r="AO2138" s="43" t="s">
        <v>2477</v>
      </c>
      <c r="AP2138" s="43"/>
      <c r="AQ2138" s="236" t="str">
        <f>VLOOKUP(Table8[[#This Row],[Instrument]],Def_Targets!$D$73:$E$159,2,FALSE)</f>
        <v>S_Railfreight</v>
      </c>
      <c r="AR2138" s="233" t="str">
        <f>VLOOKUP(Table8[[#This Row],[Country Code]],Table29[],3,FALSE)</f>
        <v>Non-Annex I</v>
      </c>
      <c r="AS2138" s="233" t="str">
        <f>VLOOKUP(Table8[[#This Row],[Country Code]],Table29[],4,FALSE)</f>
        <v>Asia</v>
      </c>
      <c r="AT2138" s="233" t="str">
        <f>VLOOKUP(Table8[[#This Row],[Country Code]],Table29[],5,FALSE)</f>
        <v>Middle-income</v>
      </c>
      <c r="AU2138" s="233" t="str">
        <f>VLOOKUP(Table8[[#This Row],[Country Code]],Table29[],6,FALSE)</f>
        <v>no</v>
      </c>
      <c r="AV2138" s="233" t="str">
        <f>VLOOKUP(Table8[[#This Row],[Country Code]],Table29[],7,FALSE)</f>
        <v>no</v>
      </c>
      <c r="AW2138" s="233" t="str">
        <f>VLOOKUP(Table8[[#This Row],[Country Code]],Table29[],8,FALSE)</f>
        <v>non-OECD</v>
      </c>
      <c r="AX2138" s="233" t="str">
        <f>VLOOKUP(Table8[[#This Row],[Country Code]],Table29[],9,FALSE)</f>
        <v>no</v>
      </c>
      <c r="AY2138" s="233" t="str">
        <f>VLOOKUP(Table8[[#This Row],[Country Code]],Table29[],10,FALSE)</f>
        <v>no</v>
      </c>
      <c r="AZ2138" s="235">
        <f>VLOOKUP(Table8[[#This Row],[Country Code]],Table29[],23,FALSE)</f>
        <v>21.438119694097999</v>
      </c>
      <c r="BA2138" s="235">
        <f>VLOOKUP(Table8[[#This Row],[Country Code]],Table29[],24,FALSE)</f>
        <v>1.9934951501956819</v>
      </c>
      <c r="BB2138" s="320"/>
      <c r="BC2138" s="320"/>
    </row>
    <row r="2139" spans="1:55" hidden="1" x14ac:dyDescent="0.25">
      <c r="A2139" s="373">
        <v>17757</v>
      </c>
      <c r="B2139" s="233" t="str">
        <f>VLOOKUP(Table8[[#This Row],[Document ID]],Table1[],2,FALSE)</f>
        <v>THA</v>
      </c>
      <c r="C2139" s="233" t="str">
        <f>VLOOKUP(Table8[[#This Row],[Document ID]],Table1[],3,FALSE)</f>
        <v>Thailand</v>
      </c>
      <c r="D2139" s="243" t="str">
        <f>VLOOKUP(Table8[[#This Row],[Document ID]],Table1[],5,FALSE)</f>
        <v>NDC</v>
      </c>
      <c r="E2139" s="233" t="str">
        <f>VLOOKUP(Table8[[#This Row],[Document ID]],Table1[],7,FALSE)</f>
        <v>First NDC</v>
      </c>
      <c r="F2139" s="236" t="str">
        <f>VLOOKUP(Table8[[#This Row],[Document ID]],Table1[],8,FALSE)</f>
        <v>NDC 1.0</v>
      </c>
      <c r="G2139" s="236" t="str">
        <f>VLOOKUP(Table8[[#This Row],[Document ID]],Table1[],10,FALSE)</f>
        <v>Archived</v>
      </c>
      <c r="H2139" s="43" t="s">
        <v>2343</v>
      </c>
      <c r="I2139" s="43" t="s">
        <v>2386</v>
      </c>
      <c r="J2139" s="44" t="s">
        <v>2530</v>
      </c>
      <c r="K2139" s="44" t="s">
        <v>4296</v>
      </c>
      <c r="L2139" s="44" t="s">
        <v>2333</v>
      </c>
      <c r="M2139" s="43"/>
      <c r="N2139" s="113" t="s">
        <v>1113</v>
      </c>
      <c r="O2139" s="113"/>
      <c r="P2139" s="113"/>
      <c r="Q2139" s="319"/>
      <c r="R2139" s="319"/>
      <c r="S2139" s="319"/>
      <c r="T2139" s="319"/>
      <c r="U2139" s="319"/>
      <c r="V2139" s="319"/>
      <c r="W2139" s="319"/>
      <c r="X2139" s="319"/>
      <c r="Y2139" s="319"/>
      <c r="Z2139" s="319"/>
      <c r="AA2139" s="319"/>
      <c r="AB2139" s="319"/>
      <c r="AC2139" s="319"/>
      <c r="AD2139" s="319"/>
      <c r="AE2139" s="319"/>
      <c r="AF2139" s="319"/>
      <c r="AG2139" s="319"/>
      <c r="AH2139" s="319"/>
      <c r="AI2139" s="319"/>
      <c r="AJ2139" s="319"/>
      <c r="AK2139" s="319" t="s">
        <v>1113</v>
      </c>
      <c r="AL2139" s="319"/>
      <c r="AM2139" s="319"/>
      <c r="AN2139" s="319"/>
      <c r="AO2139" s="44" t="s">
        <v>2334</v>
      </c>
      <c r="AP2139" s="44"/>
      <c r="AQ2139" s="236" t="str">
        <f>VLOOKUP(Table8[[#This Row],[Instrument]],Def_Targets!$D$73:$E$159,2,FALSE)</f>
        <v>A_Vehicletax</v>
      </c>
      <c r="AR2139" s="233" t="str">
        <f>VLOOKUP(Table8[[#This Row],[Country Code]],Table29[],3,FALSE)</f>
        <v>Non-Annex I</v>
      </c>
      <c r="AS2139" s="233" t="str">
        <f>VLOOKUP(Table8[[#This Row],[Country Code]],Table29[],4,FALSE)</f>
        <v>Asia</v>
      </c>
      <c r="AT2139" s="233" t="str">
        <f>VLOOKUP(Table8[[#This Row],[Country Code]],Table29[],5,FALSE)</f>
        <v>Middle-income</v>
      </c>
      <c r="AU2139" s="233" t="str">
        <f>VLOOKUP(Table8[[#This Row],[Country Code]],Table29[],6,FALSE)</f>
        <v>no</v>
      </c>
      <c r="AV2139" s="233" t="str">
        <f>VLOOKUP(Table8[[#This Row],[Country Code]],Table29[],7,FALSE)</f>
        <v>no</v>
      </c>
      <c r="AW2139" s="233" t="str">
        <f>VLOOKUP(Table8[[#This Row],[Country Code]],Table29[],8,FALSE)</f>
        <v>non-OECD</v>
      </c>
      <c r="AX2139" s="233" t="str">
        <f>VLOOKUP(Table8[[#This Row],[Country Code]],Table29[],9,FALSE)</f>
        <v>no</v>
      </c>
      <c r="AY2139" s="233" t="str">
        <f>VLOOKUP(Table8[[#This Row],[Country Code]],Table29[],10,FALSE)</f>
        <v>no</v>
      </c>
      <c r="AZ2139" s="235">
        <f>VLOOKUP(Table8[[#This Row],[Country Code]],Table29[],23,FALSE)</f>
        <v>440.78301465571002</v>
      </c>
      <c r="BA2139" s="235">
        <f>VLOOKUP(Table8[[#This Row],[Country Code]],Table29[],24,FALSE)</f>
        <v>81.217527676047013</v>
      </c>
      <c r="BB2139" s="320"/>
      <c r="BC2139" s="320"/>
    </row>
    <row r="2140" spans="1:55" ht="30" hidden="1" x14ac:dyDescent="0.25">
      <c r="A2140" s="373">
        <v>17757</v>
      </c>
      <c r="B2140" s="233" t="str">
        <f>VLOOKUP(Table8[[#This Row],[Document ID]],Table1[],2,FALSE)</f>
        <v>THA</v>
      </c>
      <c r="C2140" s="233" t="str">
        <f>VLOOKUP(Table8[[#This Row],[Document ID]],Table1[],3,FALSE)</f>
        <v>Thailand</v>
      </c>
      <c r="D2140" s="243" t="str">
        <f>VLOOKUP(Table8[[#This Row],[Document ID]],Table1[],5,FALSE)</f>
        <v>NDC</v>
      </c>
      <c r="E2140" s="233" t="str">
        <f>VLOOKUP(Table8[[#This Row],[Document ID]],Table1[],7,FALSE)</f>
        <v>First NDC</v>
      </c>
      <c r="F2140" s="236" t="str">
        <f>VLOOKUP(Table8[[#This Row],[Document ID]],Table1[],8,FALSE)</f>
        <v>NDC 1.0</v>
      </c>
      <c r="G2140" s="236" t="str">
        <f>VLOOKUP(Table8[[#This Row],[Document ID]],Table1[],10,FALSE)</f>
        <v>Archived</v>
      </c>
      <c r="H2140" s="43" t="s">
        <v>2350</v>
      </c>
      <c r="I2140" s="43" t="s">
        <v>2351</v>
      </c>
      <c r="J2140" s="44" t="s">
        <v>2352</v>
      </c>
      <c r="K2140" s="44" t="s">
        <v>4297</v>
      </c>
      <c r="L2140" s="44" t="s">
        <v>2347</v>
      </c>
      <c r="M2140" s="43"/>
      <c r="N2140" s="113"/>
      <c r="O2140" s="113"/>
      <c r="P2140" s="113"/>
      <c r="Q2140" s="319"/>
      <c r="R2140" s="319"/>
      <c r="S2140" s="319"/>
      <c r="T2140" s="319"/>
      <c r="U2140" s="319"/>
      <c r="V2140" s="319"/>
      <c r="W2140" s="319"/>
      <c r="X2140" s="319"/>
      <c r="Y2140" s="319"/>
      <c r="Z2140" s="113" t="s">
        <v>1113</v>
      </c>
      <c r="AA2140" s="319"/>
      <c r="AB2140" s="319"/>
      <c r="AC2140" s="319"/>
      <c r="AD2140" s="319"/>
      <c r="AE2140" s="319"/>
      <c r="AF2140" s="319"/>
      <c r="AG2140" s="319"/>
      <c r="AH2140" s="319"/>
      <c r="AI2140" s="319"/>
      <c r="AJ2140" s="319"/>
      <c r="AK2140" s="319" t="s">
        <v>1113</v>
      </c>
      <c r="AL2140" s="319"/>
      <c r="AM2140" s="319"/>
      <c r="AN2140" s="319"/>
      <c r="AO2140" s="43" t="s">
        <v>2353</v>
      </c>
      <c r="AP2140" s="44"/>
      <c r="AQ2140" s="236" t="str">
        <f>VLOOKUP(Table8[[#This Row],[Instrument]],Def_Targets!$D$73:$E$159,2,FALSE)</f>
        <v>S_Railfreight</v>
      </c>
      <c r="AR2140" s="233" t="str">
        <f>VLOOKUP(Table8[[#This Row],[Country Code]],Table29[],3,FALSE)</f>
        <v>Non-Annex I</v>
      </c>
      <c r="AS2140" s="233" t="str">
        <f>VLOOKUP(Table8[[#This Row],[Country Code]],Table29[],4,FALSE)</f>
        <v>Asia</v>
      </c>
      <c r="AT2140" s="233" t="str">
        <f>VLOOKUP(Table8[[#This Row],[Country Code]],Table29[],5,FALSE)</f>
        <v>Middle-income</v>
      </c>
      <c r="AU2140" s="233" t="str">
        <f>VLOOKUP(Table8[[#This Row],[Country Code]],Table29[],6,FALSE)</f>
        <v>no</v>
      </c>
      <c r="AV2140" s="233" t="str">
        <f>VLOOKUP(Table8[[#This Row],[Country Code]],Table29[],7,FALSE)</f>
        <v>no</v>
      </c>
      <c r="AW2140" s="233" t="str">
        <f>VLOOKUP(Table8[[#This Row],[Country Code]],Table29[],8,FALSE)</f>
        <v>non-OECD</v>
      </c>
      <c r="AX2140" s="233" t="str">
        <f>VLOOKUP(Table8[[#This Row],[Country Code]],Table29[],9,FALSE)</f>
        <v>no</v>
      </c>
      <c r="AY2140" s="233" t="str">
        <f>VLOOKUP(Table8[[#This Row],[Country Code]],Table29[],10,FALSE)</f>
        <v>no</v>
      </c>
      <c r="AZ2140" s="235">
        <f>VLOOKUP(Table8[[#This Row],[Country Code]],Table29[],23,FALSE)</f>
        <v>440.78301465571002</v>
      </c>
      <c r="BA2140" s="235">
        <f>VLOOKUP(Table8[[#This Row],[Country Code]],Table29[],24,FALSE)</f>
        <v>81.217527676047013</v>
      </c>
      <c r="BB2140" s="320"/>
      <c r="BC2140" s="320"/>
    </row>
    <row r="2141" spans="1:55" ht="30" hidden="1" x14ac:dyDescent="0.25">
      <c r="A2141" s="373">
        <v>17757</v>
      </c>
      <c r="B2141" s="233" t="str">
        <f>VLOOKUP(Table8[[#This Row],[Document ID]],Table1[],2,FALSE)</f>
        <v>THA</v>
      </c>
      <c r="C2141" s="233" t="str">
        <f>VLOOKUP(Table8[[#This Row],[Document ID]],Table1[],3,FALSE)</f>
        <v>Thailand</v>
      </c>
      <c r="D2141" s="243" t="str">
        <f>VLOOKUP(Table8[[#This Row],[Document ID]],Table1[],5,FALSE)</f>
        <v>NDC</v>
      </c>
      <c r="E2141" s="233" t="str">
        <f>VLOOKUP(Table8[[#This Row],[Document ID]],Table1[],7,FALSE)</f>
        <v>First NDC</v>
      </c>
      <c r="F2141" s="236" t="str">
        <f>VLOOKUP(Table8[[#This Row],[Document ID]],Table1[],8,FALSE)</f>
        <v>NDC 1.0</v>
      </c>
      <c r="G2141" s="236" t="str">
        <f>VLOOKUP(Table8[[#This Row],[Document ID]],Table1[],10,FALSE)</f>
        <v>Archived</v>
      </c>
      <c r="H2141" s="43" t="s">
        <v>2343</v>
      </c>
      <c r="I2141" s="43" t="s">
        <v>2344</v>
      </c>
      <c r="J2141" s="44" t="s">
        <v>2405</v>
      </c>
      <c r="K2141" s="44" t="s">
        <v>4298</v>
      </c>
      <c r="L2141" s="44" t="s">
        <v>2347</v>
      </c>
      <c r="M2141" s="43"/>
      <c r="N2141" s="113"/>
      <c r="O2141" s="113"/>
      <c r="P2141" s="113"/>
      <c r="Q2141" s="319"/>
      <c r="R2141" s="319"/>
      <c r="S2141" s="319"/>
      <c r="T2141" s="319"/>
      <c r="U2141" s="319"/>
      <c r="V2141" s="319"/>
      <c r="W2141" s="319"/>
      <c r="X2141" s="319"/>
      <c r="Y2141" s="319"/>
      <c r="Z2141" s="319"/>
      <c r="AA2141" s="319"/>
      <c r="AB2141" s="319"/>
      <c r="AC2141" s="319" t="s">
        <v>1113</v>
      </c>
      <c r="AD2141" s="319"/>
      <c r="AE2141" s="319"/>
      <c r="AF2141" s="319"/>
      <c r="AG2141" s="319"/>
      <c r="AH2141" s="319"/>
      <c r="AI2141" s="319"/>
      <c r="AJ2141" s="319"/>
      <c r="AK2141" s="319" t="s">
        <v>1113</v>
      </c>
      <c r="AL2141" s="319"/>
      <c r="AM2141" s="319"/>
      <c r="AN2141" s="319"/>
      <c r="AO2141" s="43" t="s">
        <v>2348</v>
      </c>
      <c r="AP2141" s="44"/>
      <c r="AQ2141" s="236" t="str">
        <f>VLOOKUP(Table8[[#This Row],[Instrument]],Def_Targets!$D$73:$E$159,2,FALSE)</f>
        <v>S_PTIntegration</v>
      </c>
      <c r="AR2141" s="233" t="str">
        <f>VLOOKUP(Table8[[#This Row],[Country Code]],Table29[],3,FALSE)</f>
        <v>Non-Annex I</v>
      </c>
      <c r="AS2141" s="233" t="str">
        <f>VLOOKUP(Table8[[#This Row],[Country Code]],Table29[],4,FALSE)</f>
        <v>Asia</v>
      </c>
      <c r="AT2141" s="233" t="str">
        <f>VLOOKUP(Table8[[#This Row],[Country Code]],Table29[],5,FALSE)</f>
        <v>Middle-income</v>
      </c>
      <c r="AU2141" s="233" t="str">
        <f>VLOOKUP(Table8[[#This Row],[Country Code]],Table29[],6,FALSE)</f>
        <v>no</v>
      </c>
      <c r="AV2141" s="233" t="str">
        <f>VLOOKUP(Table8[[#This Row],[Country Code]],Table29[],7,FALSE)</f>
        <v>no</v>
      </c>
      <c r="AW2141" s="233" t="str">
        <f>VLOOKUP(Table8[[#This Row],[Country Code]],Table29[],8,FALSE)</f>
        <v>non-OECD</v>
      </c>
      <c r="AX2141" s="233" t="str">
        <f>VLOOKUP(Table8[[#This Row],[Country Code]],Table29[],9,FALSE)</f>
        <v>no</v>
      </c>
      <c r="AY2141" s="233" t="str">
        <f>VLOOKUP(Table8[[#This Row],[Country Code]],Table29[],10,FALSE)</f>
        <v>no</v>
      </c>
      <c r="AZ2141" s="235">
        <f>VLOOKUP(Table8[[#This Row],[Country Code]],Table29[],23,FALSE)</f>
        <v>440.78301465571002</v>
      </c>
      <c r="BA2141" s="235">
        <f>VLOOKUP(Table8[[#This Row],[Country Code]],Table29[],24,FALSE)</f>
        <v>81.217527676047013</v>
      </c>
      <c r="BB2141" s="320"/>
      <c r="BC2141" s="320"/>
    </row>
    <row r="2142" spans="1:55" hidden="1" x14ac:dyDescent="0.25">
      <c r="A2142" s="373">
        <v>17757</v>
      </c>
      <c r="B2142" s="233" t="str">
        <f>VLOOKUP(Table8[[#This Row],[Document ID]],Table1[],2,FALSE)</f>
        <v>THA</v>
      </c>
      <c r="C2142" s="233" t="str">
        <f>VLOOKUP(Table8[[#This Row],[Document ID]],Table1[],3,FALSE)</f>
        <v>Thailand</v>
      </c>
      <c r="D2142" s="243" t="str">
        <f>VLOOKUP(Table8[[#This Row],[Document ID]],Table1[],5,FALSE)</f>
        <v>NDC</v>
      </c>
      <c r="E2142" s="233" t="str">
        <f>VLOOKUP(Table8[[#This Row],[Document ID]],Table1[],7,FALSE)</f>
        <v>First NDC</v>
      </c>
      <c r="F2142" s="236" t="str">
        <f>VLOOKUP(Table8[[#This Row],[Document ID]],Table1[],8,FALSE)</f>
        <v>NDC 1.0</v>
      </c>
      <c r="G2142" s="236" t="str">
        <f>VLOOKUP(Table8[[#This Row],[Document ID]],Table1[],10,FALSE)</f>
        <v>Archived</v>
      </c>
      <c r="H2142" s="43" t="s">
        <v>2343</v>
      </c>
      <c r="I2142" s="43" t="s">
        <v>2344</v>
      </c>
      <c r="J2142" s="44" t="s">
        <v>2345</v>
      </c>
      <c r="K2142" s="44" t="s">
        <v>4299</v>
      </c>
      <c r="L2142" s="44" t="s">
        <v>2347</v>
      </c>
      <c r="M2142" s="43"/>
      <c r="N2142" s="113"/>
      <c r="O2142" s="113"/>
      <c r="P2142" s="113"/>
      <c r="Q2142" s="319"/>
      <c r="R2142" s="319"/>
      <c r="S2142" s="319"/>
      <c r="T2142" s="319"/>
      <c r="U2142" s="319"/>
      <c r="V2142" s="319"/>
      <c r="W2142" s="319"/>
      <c r="X2142" s="319"/>
      <c r="Y2142" s="113" t="s">
        <v>1113</v>
      </c>
      <c r="Z2142" s="113"/>
      <c r="AA2142" s="319"/>
      <c r="AB2142" s="319"/>
      <c r="AC2142" s="319"/>
      <c r="AD2142" s="319"/>
      <c r="AE2142" s="319"/>
      <c r="AF2142" s="319"/>
      <c r="AG2142" s="319"/>
      <c r="AH2142" s="319"/>
      <c r="AI2142" s="319"/>
      <c r="AJ2142" s="319"/>
      <c r="AK2142" s="319"/>
      <c r="AL2142" s="113" t="s">
        <v>1113</v>
      </c>
      <c r="AM2142" s="319"/>
      <c r="AN2142" s="319"/>
      <c r="AO2142" s="43" t="s">
        <v>2348</v>
      </c>
      <c r="AP2142" s="44"/>
      <c r="AQ2142" s="236" t="str">
        <f>VLOOKUP(Table8[[#This Row],[Instrument]],Def_Targets!$D$73:$E$159,2,FALSE)</f>
        <v>S_PublicTransport</v>
      </c>
      <c r="AR2142" s="233" t="str">
        <f>VLOOKUP(Table8[[#This Row],[Country Code]],Table29[],3,FALSE)</f>
        <v>Non-Annex I</v>
      </c>
      <c r="AS2142" s="233" t="str">
        <f>VLOOKUP(Table8[[#This Row],[Country Code]],Table29[],4,FALSE)</f>
        <v>Asia</v>
      </c>
      <c r="AT2142" s="233" t="str">
        <f>VLOOKUP(Table8[[#This Row],[Country Code]],Table29[],5,FALSE)</f>
        <v>Middle-income</v>
      </c>
      <c r="AU2142" s="233" t="str">
        <f>VLOOKUP(Table8[[#This Row],[Country Code]],Table29[],6,FALSE)</f>
        <v>no</v>
      </c>
      <c r="AV2142" s="233" t="str">
        <f>VLOOKUP(Table8[[#This Row],[Country Code]],Table29[],7,FALSE)</f>
        <v>no</v>
      </c>
      <c r="AW2142" s="233" t="str">
        <f>VLOOKUP(Table8[[#This Row],[Country Code]],Table29[],8,FALSE)</f>
        <v>non-OECD</v>
      </c>
      <c r="AX2142" s="233" t="str">
        <f>VLOOKUP(Table8[[#This Row],[Country Code]],Table29[],9,FALSE)</f>
        <v>no</v>
      </c>
      <c r="AY2142" s="233" t="str">
        <f>VLOOKUP(Table8[[#This Row],[Country Code]],Table29[],10,FALSE)</f>
        <v>no</v>
      </c>
      <c r="AZ2142" s="235">
        <f>VLOOKUP(Table8[[#This Row],[Country Code]],Table29[],23,FALSE)</f>
        <v>440.78301465571002</v>
      </c>
      <c r="BA2142" s="235">
        <f>VLOOKUP(Table8[[#This Row],[Country Code]],Table29[],24,FALSE)</f>
        <v>81.217527676047013</v>
      </c>
      <c r="BB2142" s="320"/>
      <c r="BC2142" s="320"/>
    </row>
    <row r="2143" spans="1:55" ht="30" hidden="1" x14ac:dyDescent="0.25">
      <c r="A2143" s="373">
        <v>17758</v>
      </c>
      <c r="B2143" s="233" t="str">
        <f>VLOOKUP(Table8[[#This Row],[Document ID]],Table1[],2,FALSE)</f>
        <v>THA</v>
      </c>
      <c r="C2143" s="233" t="str">
        <f>VLOOKUP(Table8[[#This Row],[Document ID]],Table1[],3,FALSE)</f>
        <v>Thailand</v>
      </c>
      <c r="D2143" s="243" t="str">
        <f>VLOOKUP(Table8[[#This Row],[Document ID]],Table1[],5,FALSE)</f>
        <v>NDC</v>
      </c>
      <c r="E2143" s="233" t="str">
        <f>VLOOKUP(Table8[[#This Row],[Document ID]],Table1[],7,FALSE)</f>
        <v>First NDC updated</v>
      </c>
      <c r="F2143" s="233" t="str">
        <f>VLOOKUP(Table8[[#This Row],[Document ID]],Table1[],8,FALSE)</f>
        <v>NDC 1.1</v>
      </c>
      <c r="G2143" s="233" t="str">
        <f>VLOOKUP(Table8[[#This Row],[Document ID]],Table1[],10,FALSE)</f>
        <v>Archived</v>
      </c>
      <c r="H2143" s="43" t="s">
        <v>2350</v>
      </c>
      <c r="I2143" s="43" t="s">
        <v>2351</v>
      </c>
      <c r="J2143" s="44" t="s">
        <v>2352</v>
      </c>
      <c r="K2143" s="44" t="s">
        <v>4300</v>
      </c>
      <c r="L2143" s="44" t="s">
        <v>2347</v>
      </c>
      <c r="M2143" s="43">
        <v>4</v>
      </c>
      <c r="N2143" s="113"/>
      <c r="O2143" s="113"/>
      <c r="P2143" s="113"/>
      <c r="Q2143" s="113"/>
      <c r="R2143" s="113"/>
      <c r="S2143" s="113"/>
      <c r="T2143" s="113"/>
      <c r="U2143" s="113"/>
      <c r="V2143" s="113"/>
      <c r="W2143" s="113"/>
      <c r="X2143" s="113"/>
      <c r="Y2143" s="113"/>
      <c r="Z2143" s="113" t="s">
        <v>1113</v>
      </c>
      <c r="AA2143" s="113"/>
      <c r="AB2143" s="113"/>
      <c r="AC2143" s="113"/>
      <c r="AD2143" s="113"/>
      <c r="AE2143" s="113"/>
      <c r="AF2143" s="113"/>
      <c r="AG2143" s="113"/>
      <c r="AH2143" s="113"/>
      <c r="AI2143" s="113"/>
      <c r="AJ2143" s="113"/>
      <c r="AK2143" s="319" t="s">
        <v>1113</v>
      </c>
      <c r="AL2143" s="113"/>
      <c r="AM2143" s="113"/>
      <c r="AN2143" s="113"/>
      <c r="AO2143" s="43" t="s">
        <v>2477</v>
      </c>
      <c r="AP2143" s="43"/>
      <c r="AQ2143" s="236" t="str">
        <f>VLOOKUP(Table8[[#This Row],[Instrument]],Def_Targets!$D$73:$E$159,2,FALSE)</f>
        <v>S_Railfreight</v>
      </c>
      <c r="AR2143" s="233" t="str">
        <f>VLOOKUP(Table8[[#This Row],[Country Code]],Table29[],3,FALSE)</f>
        <v>Non-Annex I</v>
      </c>
      <c r="AS2143" s="233" t="str">
        <f>VLOOKUP(Table8[[#This Row],[Country Code]],Table29[],4,FALSE)</f>
        <v>Asia</v>
      </c>
      <c r="AT2143" s="233" t="str">
        <f>VLOOKUP(Table8[[#This Row],[Country Code]],Table29[],5,FALSE)</f>
        <v>Middle-income</v>
      </c>
      <c r="AU2143" s="233" t="str">
        <f>VLOOKUP(Table8[[#This Row],[Country Code]],Table29[],6,FALSE)</f>
        <v>no</v>
      </c>
      <c r="AV2143" s="233" t="str">
        <f>VLOOKUP(Table8[[#This Row],[Country Code]],Table29[],7,FALSE)</f>
        <v>no</v>
      </c>
      <c r="AW2143" s="233" t="str">
        <f>VLOOKUP(Table8[[#This Row],[Country Code]],Table29[],8,FALSE)</f>
        <v>non-OECD</v>
      </c>
      <c r="AX2143" s="233" t="str">
        <f>VLOOKUP(Table8[[#This Row],[Country Code]],Table29[],9,FALSE)</f>
        <v>no</v>
      </c>
      <c r="AY2143" s="233" t="str">
        <f>VLOOKUP(Table8[[#This Row],[Country Code]],Table29[],10,FALSE)</f>
        <v>no</v>
      </c>
      <c r="AZ2143" s="235">
        <f>VLOOKUP(Table8[[#This Row],[Country Code]],Table29[],23,FALSE)</f>
        <v>440.78301465571002</v>
      </c>
      <c r="BA2143" s="235">
        <f>VLOOKUP(Table8[[#This Row],[Country Code]],Table29[],24,FALSE)</f>
        <v>81.217527676047013</v>
      </c>
      <c r="BB2143" s="320"/>
      <c r="BC2143" s="320"/>
    </row>
    <row r="2144" spans="1:55" hidden="1" x14ac:dyDescent="0.25">
      <c r="A2144" s="373">
        <v>17758</v>
      </c>
      <c r="B2144" s="233" t="str">
        <f>VLOOKUP(Table8[[#This Row],[Document ID]],Table1[],2,FALSE)</f>
        <v>THA</v>
      </c>
      <c r="C2144" s="233" t="str">
        <f>VLOOKUP(Table8[[#This Row],[Document ID]],Table1[],3,FALSE)</f>
        <v>Thailand</v>
      </c>
      <c r="D2144" s="243" t="str">
        <f>VLOOKUP(Table8[[#This Row],[Document ID]],Table1[],5,FALSE)</f>
        <v>NDC</v>
      </c>
      <c r="E2144" s="233" t="str">
        <f>VLOOKUP(Table8[[#This Row],[Document ID]],Table1[],7,FALSE)</f>
        <v>First NDC updated</v>
      </c>
      <c r="F2144" s="233" t="str">
        <f>VLOOKUP(Table8[[#This Row],[Document ID]],Table1[],8,FALSE)</f>
        <v>NDC 1.1</v>
      </c>
      <c r="G2144" s="233" t="str">
        <f>VLOOKUP(Table8[[#This Row],[Document ID]],Table1[],10,FALSE)</f>
        <v>Archived</v>
      </c>
      <c r="H2144" s="43" t="s">
        <v>2343</v>
      </c>
      <c r="I2144" s="43" t="s">
        <v>2386</v>
      </c>
      <c r="J2144" s="44" t="s">
        <v>2530</v>
      </c>
      <c r="K2144" s="44" t="s">
        <v>4301</v>
      </c>
      <c r="L2144" s="44" t="s">
        <v>2333</v>
      </c>
      <c r="M2144" s="43">
        <v>4</v>
      </c>
      <c r="N2144" s="113"/>
      <c r="O2144" s="113"/>
      <c r="P2144" s="113"/>
      <c r="Q2144" s="113"/>
      <c r="R2144" s="113"/>
      <c r="S2144" s="113" t="s">
        <v>1113</v>
      </c>
      <c r="T2144" s="113"/>
      <c r="U2144" s="113"/>
      <c r="V2144" s="113"/>
      <c r="W2144" s="113"/>
      <c r="X2144" s="113"/>
      <c r="Y2144" s="113"/>
      <c r="Z2144" s="113"/>
      <c r="AA2144" s="113"/>
      <c r="AB2144" s="113"/>
      <c r="AC2144" s="113"/>
      <c r="AD2144" s="113"/>
      <c r="AE2144" s="113"/>
      <c r="AF2144" s="113"/>
      <c r="AG2144" s="113"/>
      <c r="AH2144" s="113"/>
      <c r="AI2144" s="113"/>
      <c r="AJ2144" s="113"/>
      <c r="AK2144" s="319" t="s">
        <v>1113</v>
      </c>
      <c r="AL2144" s="113"/>
      <c r="AM2144" s="113"/>
      <c r="AN2144" s="113"/>
      <c r="AO2144" s="43" t="s">
        <v>2348</v>
      </c>
      <c r="AP2144" s="43"/>
      <c r="AQ2144" s="236" t="str">
        <f>VLOOKUP(Table8[[#This Row],[Instrument]],Def_Targets!$D$73:$E$159,2,FALSE)</f>
        <v>A_Vehicletax</v>
      </c>
      <c r="AR2144" s="233" t="str">
        <f>VLOOKUP(Table8[[#This Row],[Country Code]],Table29[],3,FALSE)</f>
        <v>Non-Annex I</v>
      </c>
      <c r="AS2144" s="233" t="str">
        <f>VLOOKUP(Table8[[#This Row],[Country Code]],Table29[],4,FALSE)</f>
        <v>Asia</v>
      </c>
      <c r="AT2144" s="233" t="str">
        <f>VLOOKUP(Table8[[#This Row],[Country Code]],Table29[],5,FALSE)</f>
        <v>Middle-income</v>
      </c>
      <c r="AU2144" s="233" t="str">
        <f>VLOOKUP(Table8[[#This Row],[Country Code]],Table29[],6,FALSE)</f>
        <v>no</v>
      </c>
      <c r="AV2144" s="233" t="str">
        <f>VLOOKUP(Table8[[#This Row],[Country Code]],Table29[],7,FALSE)</f>
        <v>no</v>
      </c>
      <c r="AW2144" s="233" t="str">
        <f>VLOOKUP(Table8[[#This Row],[Country Code]],Table29[],8,FALSE)</f>
        <v>non-OECD</v>
      </c>
      <c r="AX2144" s="233" t="str">
        <f>VLOOKUP(Table8[[#This Row],[Country Code]],Table29[],9,FALSE)</f>
        <v>no</v>
      </c>
      <c r="AY2144" s="233" t="str">
        <f>VLOOKUP(Table8[[#This Row],[Country Code]],Table29[],10,FALSE)</f>
        <v>no</v>
      </c>
      <c r="AZ2144" s="235">
        <f>VLOOKUP(Table8[[#This Row],[Country Code]],Table29[],23,FALSE)</f>
        <v>440.78301465571002</v>
      </c>
      <c r="BA2144" s="235">
        <f>VLOOKUP(Table8[[#This Row],[Country Code]],Table29[],24,FALSE)</f>
        <v>81.217527676047013</v>
      </c>
      <c r="BB2144" s="320"/>
      <c r="BC2144" s="320"/>
    </row>
    <row r="2145" spans="1:55" hidden="1" x14ac:dyDescent="0.25">
      <c r="A2145" s="373">
        <v>24690</v>
      </c>
      <c r="B2145" s="233" t="str">
        <f>VLOOKUP(Table8[[#This Row],[Document ID]],Table1[],2,FALSE)</f>
        <v>THA</v>
      </c>
      <c r="C2145" s="233" t="str">
        <f>VLOOKUP(Table8[[#This Row],[Document ID]],Table1[],3,FALSE)</f>
        <v>Thailand</v>
      </c>
      <c r="D2145" s="243" t="str">
        <f>VLOOKUP(Table8[[#This Row],[Document ID]],Table1[],5,FALSE)</f>
        <v>LTS</v>
      </c>
      <c r="E2145" s="233" t="str">
        <f>VLOOKUP(Table8[[#This Row],[Document ID]],Table1[],7,FALSE)</f>
        <v>Archived LTS 1.0</v>
      </c>
      <c r="F2145" s="233" t="str">
        <f>VLOOKUP(Table8[[#This Row],[Document ID]],Table1[],8,FALSE)</f>
        <v>LTS 1.0</v>
      </c>
      <c r="G2145" s="233" t="str">
        <f>VLOOKUP(Table8[[#This Row],[Document ID]],Table1[],10,FALSE)</f>
        <v>Archived</v>
      </c>
      <c r="H2145" s="43" t="s">
        <v>2350</v>
      </c>
      <c r="I2145" s="43" t="s">
        <v>2407</v>
      </c>
      <c r="J2145" s="44" t="s">
        <v>2408</v>
      </c>
      <c r="K2145" s="44" t="s">
        <v>4302</v>
      </c>
      <c r="L2145" s="44" t="s">
        <v>2333</v>
      </c>
      <c r="M2145" s="43">
        <v>38</v>
      </c>
      <c r="N2145" s="113" t="s">
        <v>1113</v>
      </c>
      <c r="O2145" s="113"/>
      <c r="P2145" s="113"/>
      <c r="Q2145" s="113"/>
      <c r="R2145" s="113"/>
      <c r="S2145" s="113"/>
      <c r="T2145" s="113"/>
      <c r="U2145" s="113"/>
      <c r="V2145" s="113"/>
      <c r="W2145" s="113"/>
      <c r="X2145" s="113"/>
      <c r="Y2145" s="113"/>
      <c r="Z2145" s="113"/>
      <c r="AA2145" s="113"/>
      <c r="AB2145" s="113"/>
      <c r="AC2145" s="113"/>
      <c r="AD2145" s="113"/>
      <c r="AE2145" s="113"/>
      <c r="AF2145" s="113"/>
      <c r="AG2145" s="113"/>
      <c r="AH2145" s="113"/>
      <c r="AI2145" s="113"/>
      <c r="AJ2145" s="113"/>
      <c r="AK2145" s="113" t="s">
        <v>1113</v>
      </c>
      <c r="AL2145" s="113"/>
      <c r="AM2145" s="113"/>
      <c r="AN2145" s="113"/>
      <c r="AO2145" s="44" t="s">
        <v>2334</v>
      </c>
      <c r="AP2145" s="43"/>
      <c r="AQ2145" s="236" t="str">
        <f>VLOOKUP(Table8[[#This Row],[Instrument]],Def_Targets!$D$73:$E$159,2,FALSE)</f>
        <v>I_Education</v>
      </c>
      <c r="AR2145" s="233" t="str">
        <f>VLOOKUP(Table8[[#This Row],[Country Code]],Table29[],3,FALSE)</f>
        <v>Non-Annex I</v>
      </c>
      <c r="AS2145" s="233" t="str">
        <f>VLOOKUP(Table8[[#This Row],[Country Code]],Table29[],4,FALSE)</f>
        <v>Asia</v>
      </c>
      <c r="AT2145" s="233" t="str">
        <f>VLOOKUP(Table8[[#This Row],[Country Code]],Table29[],5,FALSE)</f>
        <v>Middle-income</v>
      </c>
      <c r="AU2145" s="233" t="str">
        <f>VLOOKUP(Table8[[#This Row],[Country Code]],Table29[],6,FALSE)</f>
        <v>no</v>
      </c>
      <c r="AV2145" s="233" t="str">
        <f>VLOOKUP(Table8[[#This Row],[Country Code]],Table29[],7,FALSE)</f>
        <v>no</v>
      </c>
      <c r="AW2145" s="233" t="str">
        <f>VLOOKUP(Table8[[#This Row],[Country Code]],Table29[],8,FALSE)</f>
        <v>non-OECD</v>
      </c>
      <c r="AX2145" s="233" t="str">
        <f>VLOOKUP(Table8[[#This Row],[Country Code]],Table29[],9,FALSE)</f>
        <v>no</v>
      </c>
      <c r="AY2145" s="233" t="str">
        <f>VLOOKUP(Table8[[#This Row],[Country Code]],Table29[],10,FALSE)</f>
        <v>no</v>
      </c>
      <c r="AZ2145" s="235">
        <f>VLOOKUP(Table8[[#This Row],[Country Code]],Table29[],23,FALSE)</f>
        <v>440.78301465571002</v>
      </c>
      <c r="BA2145" s="235">
        <f>VLOOKUP(Table8[[#This Row],[Country Code]],Table29[],24,FALSE)</f>
        <v>81.217527676047013</v>
      </c>
      <c r="BB2145" s="320"/>
      <c r="BC2145" s="320"/>
    </row>
    <row r="2146" spans="1:55" hidden="1" x14ac:dyDescent="0.25">
      <c r="A2146" s="373">
        <v>24690</v>
      </c>
      <c r="B2146" s="233" t="str">
        <f>VLOOKUP(Table8[[#This Row],[Document ID]],Table1[],2,FALSE)</f>
        <v>THA</v>
      </c>
      <c r="C2146" s="233" t="str">
        <f>VLOOKUP(Table8[[#This Row],[Document ID]],Table1[],3,FALSE)</f>
        <v>Thailand</v>
      </c>
      <c r="D2146" s="243" t="str">
        <f>VLOOKUP(Table8[[#This Row],[Document ID]],Table1[],5,FALSE)</f>
        <v>LTS</v>
      </c>
      <c r="E2146" s="233" t="str">
        <f>VLOOKUP(Table8[[#This Row],[Document ID]],Table1[],7,FALSE)</f>
        <v>Archived LTS 1.0</v>
      </c>
      <c r="F2146" s="233" t="str">
        <f>VLOOKUP(Table8[[#This Row],[Document ID]],Table1[],8,FALSE)</f>
        <v>LTS 1.0</v>
      </c>
      <c r="G2146" s="233" t="str">
        <f>VLOOKUP(Table8[[#This Row],[Document ID]],Table1[],10,FALSE)</f>
        <v>Archived</v>
      </c>
      <c r="H2146" s="43" t="s">
        <v>2350</v>
      </c>
      <c r="I2146" s="43" t="s">
        <v>2456</v>
      </c>
      <c r="J2146" s="44" t="s">
        <v>2457</v>
      </c>
      <c r="K2146" s="44" t="s">
        <v>4303</v>
      </c>
      <c r="L2146" s="44" t="s">
        <v>2333</v>
      </c>
      <c r="M2146" s="43">
        <v>38</v>
      </c>
      <c r="N2146" s="113" t="s">
        <v>1113</v>
      </c>
      <c r="O2146" s="113"/>
      <c r="P2146" s="113"/>
      <c r="Q2146" s="113"/>
      <c r="R2146" s="113"/>
      <c r="S2146" s="113"/>
      <c r="T2146" s="113"/>
      <c r="U2146" s="113"/>
      <c r="V2146" s="113"/>
      <c r="W2146" s="113"/>
      <c r="X2146" s="113"/>
      <c r="Y2146" s="113"/>
      <c r="Z2146" s="113"/>
      <c r="AA2146" s="113"/>
      <c r="AB2146" s="113"/>
      <c r="AC2146" s="113"/>
      <c r="AD2146" s="113"/>
      <c r="AE2146" s="113"/>
      <c r="AF2146" s="113"/>
      <c r="AG2146" s="113"/>
      <c r="AH2146" s="113"/>
      <c r="AI2146" s="113"/>
      <c r="AJ2146" s="113"/>
      <c r="AK2146" s="113" t="s">
        <v>1113</v>
      </c>
      <c r="AL2146" s="113"/>
      <c r="AM2146" s="113"/>
      <c r="AN2146" s="113"/>
      <c r="AO2146" s="44" t="s">
        <v>2334</v>
      </c>
      <c r="AP2146" s="43"/>
      <c r="AQ2146" s="236" t="str">
        <f>VLOOKUP(Table8[[#This Row],[Instrument]],Def_Targets!$D$73:$E$159,2,FALSE)</f>
        <v>S_Infraimprove</v>
      </c>
      <c r="AR2146" s="233" t="str">
        <f>VLOOKUP(Table8[[#This Row],[Country Code]],Table29[],3,FALSE)</f>
        <v>Non-Annex I</v>
      </c>
      <c r="AS2146" s="233" t="str">
        <f>VLOOKUP(Table8[[#This Row],[Country Code]],Table29[],4,FALSE)</f>
        <v>Asia</v>
      </c>
      <c r="AT2146" s="233" t="str">
        <f>VLOOKUP(Table8[[#This Row],[Country Code]],Table29[],5,FALSE)</f>
        <v>Middle-income</v>
      </c>
      <c r="AU2146" s="233" t="str">
        <f>VLOOKUP(Table8[[#This Row],[Country Code]],Table29[],6,FALSE)</f>
        <v>no</v>
      </c>
      <c r="AV2146" s="233" t="str">
        <f>VLOOKUP(Table8[[#This Row],[Country Code]],Table29[],7,FALSE)</f>
        <v>no</v>
      </c>
      <c r="AW2146" s="233" t="str">
        <f>VLOOKUP(Table8[[#This Row],[Country Code]],Table29[],8,FALSE)</f>
        <v>non-OECD</v>
      </c>
      <c r="AX2146" s="233" t="str">
        <f>VLOOKUP(Table8[[#This Row],[Country Code]],Table29[],9,FALSE)</f>
        <v>no</v>
      </c>
      <c r="AY2146" s="233" t="str">
        <f>VLOOKUP(Table8[[#This Row],[Country Code]],Table29[],10,FALSE)</f>
        <v>no</v>
      </c>
      <c r="AZ2146" s="235">
        <f>VLOOKUP(Table8[[#This Row],[Country Code]],Table29[],23,FALSE)</f>
        <v>440.78301465571002</v>
      </c>
      <c r="BA2146" s="235">
        <f>VLOOKUP(Table8[[#This Row],[Country Code]],Table29[],24,FALSE)</f>
        <v>81.217527676047013</v>
      </c>
      <c r="BB2146" s="320"/>
      <c r="BC2146" s="320"/>
    </row>
    <row r="2147" spans="1:55" hidden="1" x14ac:dyDescent="0.25">
      <c r="A2147" s="373">
        <v>24690</v>
      </c>
      <c r="B2147" s="233" t="str">
        <f>VLOOKUP(Table8[[#This Row],[Document ID]],Table1[],2,FALSE)</f>
        <v>THA</v>
      </c>
      <c r="C2147" s="233" t="str">
        <f>VLOOKUP(Table8[[#This Row],[Document ID]],Table1[],3,FALSE)</f>
        <v>Thailand</v>
      </c>
      <c r="D2147" s="243" t="str">
        <f>VLOOKUP(Table8[[#This Row],[Document ID]],Table1[],5,FALSE)</f>
        <v>LTS</v>
      </c>
      <c r="E2147" s="233" t="str">
        <f>VLOOKUP(Table8[[#This Row],[Document ID]],Table1[],7,FALSE)</f>
        <v>Archived LTS 1.0</v>
      </c>
      <c r="F2147" s="233" t="str">
        <f>VLOOKUP(Table8[[#This Row],[Document ID]],Table1[],8,FALSE)</f>
        <v>LTS 1.0</v>
      </c>
      <c r="G2147" s="233" t="str">
        <f>VLOOKUP(Table8[[#This Row],[Document ID]],Table1[],10,FALSE)</f>
        <v>Archived</v>
      </c>
      <c r="H2147" s="44" t="s">
        <v>2338</v>
      </c>
      <c r="I2147" s="44" t="s">
        <v>2339</v>
      </c>
      <c r="J2147" s="44" t="s">
        <v>2340</v>
      </c>
      <c r="K2147" s="44" t="s">
        <v>4304</v>
      </c>
      <c r="L2147" s="44" t="s">
        <v>2333</v>
      </c>
      <c r="M2147" s="43">
        <v>38</v>
      </c>
      <c r="N2147" s="113" t="s">
        <v>1113</v>
      </c>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t="s">
        <v>1113</v>
      </c>
      <c r="AL2147" s="113"/>
      <c r="AM2147" s="113"/>
      <c r="AN2147" s="113"/>
      <c r="AO2147" s="44" t="s">
        <v>2334</v>
      </c>
      <c r="AP2147" s="43"/>
      <c r="AQ2147" s="236" t="str">
        <f>VLOOKUP(Table8[[#This Row],[Instrument]],Def_Targets!$D$73:$E$159,2,FALSE)</f>
        <v>I_Vehicleimprove</v>
      </c>
      <c r="AR2147" s="233" t="str">
        <f>VLOOKUP(Table8[[#This Row],[Country Code]],Table29[],3,FALSE)</f>
        <v>Non-Annex I</v>
      </c>
      <c r="AS2147" s="233" t="str">
        <f>VLOOKUP(Table8[[#This Row],[Country Code]],Table29[],4,FALSE)</f>
        <v>Asia</v>
      </c>
      <c r="AT2147" s="233" t="str">
        <f>VLOOKUP(Table8[[#This Row],[Country Code]],Table29[],5,FALSE)</f>
        <v>Middle-income</v>
      </c>
      <c r="AU2147" s="233" t="str">
        <f>VLOOKUP(Table8[[#This Row],[Country Code]],Table29[],6,FALSE)</f>
        <v>no</v>
      </c>
      <c r="AV2147" s="233" t="str">
        <f>VLOOKUP(Table8[[#This Row],[Country Code]],Table29[],7,FALSE)</f>
        <v>no</v>
      </c>
      <c r="AW2147" s="233" t="str">
        <f>VLOOKUP(Table8[[#This Row],[Country Code]],Table29[],8,FALSE)</f>
        <v>non-OECD</v>
      </c>
      <c r="AX2147" s="233" t="str">
        <f>VLOOKUP(Table8[[#This Row],[Country Code]],Table29[],9,FALSE)</f>
        <v>no</v>
      </c>
      <c r="AY2147" s="233" t="str">
        <f>VLOOKUP(Table8[[#This Row],[Country Code]],Table29[],10,FALSE)</f>
        <v>no</v>
      </c>
      <c r="AZ2147" s="235">
        <f>VLOOKUP(Table8[[#This Row],[Country Code]],Table29[],23,FALSE)</f>
        <v>440.78301465571002</v>
      </c>
      <c r="BA2147" s="235">
        <f>VLOOKUP(Table8[[#This Row],[Country Code]],Table29[],24,FALSE)</f>
        <v>81.217527676047013</v>
      </c>
      <c r="BB2147" s="320"/>
      <c r="BC2147" s="320"/>
    </row>
    <row r="2148" spans="1:55" ht="30" hidden="1" x14ac:dyDescent="0.25">
      <c r="A2148" s="373">
        <v>24690</v>
      </c>
      <c r="B2148" s="233" t="str">
        <f>VLOOKUP(Table8[[#This Row],[Document ID]],Table1[],2,FALSE)</f>
        <v>THA</v>
      </c>
      <c r="C2148" s="233" t="str">
        <f>VLOOKUP(Table8[[#This Row],[Document ID]],Table1[],3,FALSE)</f>
        <v>Thailand</v>
      </c>
      <c r="D2148" s="243" t="str">
        <f>VLOOKUP(Table8[[#This Row],[Document ID]],Table1[],5,FALSE)</f>
        <v>LTS</v>
      </c>
      <c r="E2148" s="233" t="str">
        <f>VLOOKUP(Table8[[#This Row],[Document ID]],Table1[],7,FALSE)</f>
        <v>Archived LTS 1.0</v>
      </c>
      <c r="F2148" s="233" t="str">
        <f>VLOOKUP(Table8[[#This Row],[Document ID]],Table1[],8,FALSE)</f>
        <v>LTS 1.0</v>
      </c>
      <c r="G2148" s="233" t="str">
        <f>VLOOKUP(Table8[[#This Row],[Document ID]],Table1[],10,FALSE)</f>
        <v>Archived</v>
      </c>
      <c r="H2148" s="43" t="s">
        <v>2358</v>
      </c>
      <c r="I2148" s="43" t="s">
        <v>2359</v>
      </c>
      <c r="J2148" s="44" t="s">
        <v>2360</v>
      </c>
      <c r="K2148" s="44" t="s">
        <v>4305</v>
      </c>
      <c r="L2148" s="44" t="s">
        <v>2333</v>
      </c>
      <c r="M2148" s="43">
        <v>38</v>
      </c>
      <c r="N2148" s="113" t="s">
        <v>1113</v>
      </c>
      <c r="O2148" s="113"/>
      <c r="P2148" s="113"/>
      <c r="Q2148" s="113"/>
      <c r="R2148" s="113"/>
      <c r="S2148" s="113"/>
      <c r="T2148" s="113"/>
      <c r="U2148" s="113"/>
      <c r="V2148" s="113"/>
      <c r="W2148" s="113"/>
      <c r="X2148" s="113"/>
      <c r="Y2148" s="113"/>
      <c r="Z2148" s="113"/>
      <c r="AA2148" s="113"/>
      <c r="AB2148" s="113"/>
      <c r="AC2148" s="113"/>
      <c r="AD2148" s="113"/>
      <c r="AE2148" s="113"/>
      <c r="AF2148" s="113"/>
      <c r="AG2148" s="113"/>
      <c r="AH2148" s="113"/>
      <c r="AI2148" s="113"/>
      <c r="AJ2148" s="113"/>
      <c r="AK2148" s="113" t="s">
        <v>1113</v>
      </c>
      <c r="AL2148" s="113"/>
      <c r="AM2148" s="113"/>
      <c r="AN2148" s="113"/>
      <c r="AO2148" s="44" t="s">
        <v>2334</v>
      </c>
      <c r="AP2148" s="43"/>
      <c r="AQ2148" s="236" t="str">
        <f>VLOOKUP(Table8[[#This Row],[Instrument]],Def_Targets!$D$73:$E$159,2,FALSE)</f>
        <v>I_Emobility</v>
      </c>
      <c r="AR2148" s="233" t="str">
        <f>VLOOKUP(Table8[[#This Row],[Country Code]],Table29[],3,FALSE)</f>
        <v>Non-Annex I</v>
      </c>
      <c r="AS2148" s="233" t="str">
        <f>VLOOKUP(Table8[[#This Row],[Country Code]],Table29[],4,FALSE)</f>
        <v>Asia</v>
      </c>
      <c r="AT2148" s="233" t="str">
        <f>VLOOKUP(Table8[[#This Row],[Country Code]],Table29[],5,FALSE)</f>
        <v>Middle-income</v>
      </c>
      <c r="AU2148" s="233" t="str">
        <f>VLOOKUP(Table8[[#This Row],[Country Code]],Table29[],6,FALSE)</f>
        <v>no</v>
      </c>
      <c r="AV2148" s="233" t="str">
        <f>VLOOKUP(Table8[[#This Row],[Country Code]],Table29[],7,FALSE)</f>
        <v>no</v>
      </c>
      <c r="AW2148" s="233" t="str">
        <f>VLOOKUP(Table8[[#This Row],[Country Code]],Table29[],8,FALSE)</f>
        <v>non-OECD</v>
      </c>
      <c r="AX2148" s="233" t="str">
        <f>VLOOKUP(Table8[[#This Row],[Country Code]],Table29[],9,FALSE)</f>
        <v>no</v>
      </c>
      <c r="AY2148" s="233" t="str">
        <f>VLOOKUP(Table8[[#This Row],[Country Code]],Table29[],10,FALSE)</f>
        <v>no</v>
      </c>
      <c r="AZ2148" s="235">
        <f>VLOOKUP(Table8[[#This Row],[Country Code]],Table29[],23,FALSE)</f>
        <v>440.78301465571002</v>
      </c>
      <c r="BA2148" s="235">
        <f>VLOOKUP(Table8[[#This Row],[Country Code]],Table29[],24,FALSE)</f>
        <v>81.217527676047013</v>
      </c>
      <c r="BB2148" s="320"/>
      <c r="BC2148" s="320"/>
    </row>
    <row r="2149" spans="1:55" ht="45" hidden="1" x14ac:dyDescent="0.25">
      <c r="A2149" s="373">
        <v>24690</v>
      </c>
      <c r="B2149" s="233" t="str">
        <f>VLOOKUP(Table8[[#This Row],[Document ID]],Table1[],2,FALSE)</f>
        <v>THA</v>
      </c>
      <c r="C2149" s="233" t="str">
        <f>VLOOKUP(Table8[[#This Row],[Document ID]],Table1[],3,FALSE)</f>
        <v>Thailand</v>
      </c>
      <c r="D2149" s="243" t="str">
        <f>VLOOKUP(Table8[[#This Row],[Document ID]],Table1[],5,FALSE)</f>
        <v>LTS</v>
      </c>
      <c r="E2149" s="233" t="str">
        <f>VLOOKUP(Table8[[#This Row],[Document ID]],Table1[],7,FALSE)</f>
        <v>Archived LTS 1.0</v>
      </c>
      <c r="F2149" s="233" t="str">
        <f>VLOOKUP(Table8[[#This Row],[Document ID]],Table1[],8,FALSE)</f>
        <v>LTS 1.0</v>
      </c>
      <c r="G2149" s="233" t="str">
        <f>VLOOKUP(Table8[[#This Row],[Document ID]],Table1[],10,FALSE)</f>
        <v>Archived</v>
      </c>
      <c r="H2149" s="44" t="s">
        <v>2329</v>
      </c>
      <c r="I2149" s="44" t="s">
        <v>2330</v>
      </c>
      <c r="J2149" s="44" t="s">
        <v>2357</v>
      </c>
      <c r="K2149" s="44" t="s">
        <v>4306</v>
      </c>
      <c r="L2149" s="44" t="s">
        <v>2333</v>
      </c>
      <c r="M2149" s="43">
        <v>38</v>
      </c>
      <c r="N2149" s="113" t="s">
        <v>1113</v>
      </c>
      <c r="O2149" s="113"/>
      <c r="P2149" s="113"/>
      <c r="Q2149" s="113"/>
      <c r="R2149" s="113"/>
      <c r="S2149" s="113"/>
      <c r="T2149" s="113"/>
      <c r="U2149" s="113"/>
      <c r="V2149" s="113"/>
      <c r="W2149" s="113"/>
      <c r="X2149" s="113"/>
      <c r="Y2149" s="113"/>
      <c r="Z2149" s="113"/>
      <c r="AA2149" s="113"/>
      <c r="AB2149" s="113"/>
      <c r="AC2149" s="113"/>
      <c r="AD2149" s="113"/>
      <c r="AE2149" s="113"/>
      <c r="AF2149" s="113"/>
      <c r="AG2149" s="113"/>
      <c r="AH2149" s="113"/>
      <c r="AI2149" s="113"/>
      <c r="AJ2149" s="113"/>
      <c r="AK2149" s="113" t="s">
        <v>1113</v>
      </c>
      <c r="AL2149" s="113"/>
      <c r="AM2149" s="113"/>
      <c r="AN2149" s="113"/>
      <c r="AO2149" s="44" t="s">
        <v>2334</v>
      </c>
      <c r="AP2149" s="43"/>
      <c r="AQ2149" s="236" t="str">
        <f>VLOOKUP(Table8[[#This Row],[Instrument]],Def_Targets!$D$73:$E$159,2,FALSE)</f>
        <v>I_Biofuel</v>
      </c>
      <c r="AR2149" s="233" t="str">
        <f>VLOOKUP(Table8[[#This Row],[Country Code]],Table29[],3,FALSE)</f>
        <v>Non-Annex I</v>
      </c>
      <c r="AS2149" s="233" t="str">
        <f>VLOOKUP(Table8[[#This Row],[Country Code]],Table29[],4,FALSE)</f>
        <v>Asia</v>
      </c>
      <c r="AT2149" s="233" t="str">
        <f>VLOOKUP(Table8[[#This Row],[Country Code]],Table29[],5,FALSE)</f>
        <v>Middle-income</v>
      </c>
      <c r="AU2149" s="233" t="str">
        <f>VLOOKUP(Table8[[#This Row],[Country Code]],Table29[],6,FALSE)</f>
        <v>no</v>
      </c>
      <c r="AV2149" s="233" t="str">
        <f>VLOOKUP(Table8[[#This Row],[Country Code]],Table29[],7,FALSE)</f>
        <v>no</v>
      </c>
      <c r="AW2149" s="233" t="str">
        <f>VLOOKUP(Table8[[#This Row],[Country Code]],Table29[],8,FALSE)</f>
        <v>non-OECD</v>
      </c>
      <c r="AX2149" s="233" t="str">
        <f>VLOOKUP(Table8[[#This Row],[Country Code]],Table29[],9,FALSE)</f>
        <v>no</v>
      </c>
      <c r="AY2149" s="233" t="str">
        <f>VLOOKUP(Table8[[#This Row],[Country Code]],Table29[],10,FALSE)</f>
        <v>no</v>
      </c>
      <c r="AZ2149" s="235">
        <f>VLOOKUP(Table8[[#This Row],[Country Code]],Table29[],23,FALSE)</f>
        <v>440.78301465571002</v>
      </c>
      <c r="BA2149" s="235">
        <f>VLOOKUP(Table8[[#This Row],[Country Code]],Table29[],24,FALSE)</f>
        <v>81.217527676047013</v>
      </c>
      <c r="BB2149" s="320"/>
      <c r="BC2149" s="320"/>
    </row>
    <row r="2150" spans="1:55" hidden="1" x14ac:dyDescent="0.25">
      <c r="A2150" s="373">
        <v>24690</v>
      </c>
      <c r="B2150" s="233" t="str">
        <f>VLOOKUP(Table8[[#This Row],[Document ID]],Table1[],2,FALSE)</f>
        <v>THA</v>
      </c>
      <c r="C2150" s="233" t="str">
        <f>VLOOKUP(Table8[[#This Row],[Document ID]],Table1[],3,FALSE)</f>
        <v>Thailand</v>
      </c>
      <c r="D2150" s="243" t="str">
        <f>VLOOKUP(Table8[[#This Row],[Document ID]],Table1[],5,FALSE)</f>
        <v>LTS</v>
      </c>
      <c r="E2150" s="233" t="str">
        <f>VLOOKUP(Table8[[#This Row],[Document ID]],Table1[],7,FALSE)</f>
        <v>Archived LTS 1.0</v>
      </c>
      <c r="F2150" s="233" t="str">
        <f>VLOOKUP(Table8[[#This Row],[Document ID]],Table1[],8,FALSE)</f>
        <v>LTS 1.0</v>
      </c>
      <c r="G2150" s="233" t="str">
        <f>VLOOKUP(Table8[[#This Row],[Document ID]],Table1[],10,FALSE)</f>
        <v>Archived</v>
      </c>
      <c r="H2150" s="43" t="s">
        <v>2343</v>
      </c>
      <c r="I2150" s="43" t="s">
        <v>2344</v>
      </c>
      <c r="J2150" s="44" t="s">
        <v>2345</v>
      </c>
      <c r="K2150" s="44" t="s">
        <v>4307</v>
      </c>
      <c r="L2150" s="44" t="s">
        <v>2347</v>
      </c>
      <c r="M2150" s="43">
        <v>44</v>
      </c>
      <c r="N2150" s="113" t="s">
        <v>1113</v>
      </c>
      <c r="O2150" s="113"/>
      <c r="P2150" s="113"/>
      <c r="Q2150" s="113"/>
      <c r="R2150" s="113"/>
      <c r="S2150" s="113"/>
      <c r="T2150" s="113"/>
      <c r="U2150" s="113"/>
      <c r="V2150" s="113"/>
      <c r="W2150" s="113"/>
      <c r="X2150" s="113"/>
      <c r="Y2150" s="113"/>
      <c r="Z2150" s="113"/>
      <c r="AA2150" s="113"/>
      <c r="AB2150" s="113"/>
      <c r="AC2150" s="113"/>
      <c r="AD2150" s="113"/>
      <c r="AE2150" s="113"/>
      <c r="AF2150" s="113"/>
      <c r="AG2150" s="113"/>
      <c r="AH2150" s="113"/>
      <c r="AI2150" s="113"/>
      <c r="AJ2150" s="113"/>
      <c r="AK2150" s="113" t="s">
        <v>1113</v>
      </c>
      <c r="AL2150" s="113"/>
      <c r="AM2150" s="113"/>
      <c r="AN2150" s="113"/>
      <c r="AO2150" s="43" t="s">
        <v>2348</v>
      </c>
      <c r="AP2150" s="43"/>
      <c r="AQ2150" s="236" t="str">
        <f>VLOOKUP(Table8[[#This Row],[Instrument]],Def_Targets!$D$73:$E$159,2,FALSE)</f>
        <v>S_PublicTransport</v>
      </c>
      <c r="AR2150" s="233" t="str">
        <f>VLOOKUP(Table8[[#This Row],[Country Code]],Table29[],3,FALSE)</f>
        <v>Non-Annex I</v>
      </c>
      <c r="AS2150" s="233" t="str">
        <f>VLOOKUP(Table8[[#This Row],[Country Code]],Table29[],4,FALSE)</f>
        <v>Asia</v>
      </c>
      <c r="AT2150" s="233" t="str">
        <f>VLOOKUP(Table8[[#This Row],[Country Code]],Table29[],5,FALSE)</f>
        <v>Middle-income</v>
      </c>
      <c r="AU2150" s="233" t="str">
        <f>VLOOKUP(Table8[[#This Row],[Country Code]],Table29[],6,FALSE)</f>
        <v>no</v>
      </c>
      <c r="AV2150" s="233" t="str">
        <f>VLOOKUP(Table8[[#This Row],[Country Code]],Table29[],7,FALSE)</f>
        <v>no</v>
      </c>
      <c r="AW2150" s="233" t="str">
        <f>VLOOKUP(Table8[[#This Row],[Country Code]],Table29[],8,FALSE)</f>
        <v>non-OECD</v>
      </c>
      <c r="AX2150" s="233" t="str">
        <f>VLOOKUP(Table8[[#This Row],[Country Code]],Table29[],9,FALSE)</f>
        <v>no</v>
      </c>
      <c r="AY2150" s="233" t="str">
        <f>VLOOKUP(Table8[[#This Row],[Country Code]],Table29[],10,FALSE)</f>
        <v>no</v>
      </c>
      <c r="AZ2150" s="235">
        <f>VLOOKUP(Table8[[#This Row],[Country Code]],Table29[],23,FALSE)</f>
        <v>440.78301465571002</v>
      </c>
      <c r="BA2150" s="235">
        <f>VLOOKUP(Table8[[#This Row],[Country Code]],Table29[],24,FALSE)</f>
        <v>81.217527676047013</v>
      </c>
      <c r="BB2150" s="320"/>
      <c r="BC2150" s="320"/>
    </row>
    <row r="2151" spans="1:55" ht="30" hidden="1" x14ac:dyDescent="0.25">
      <c r="A2151" s="373">
        <v>24690</v>
      </c>
      <c r="B2151" s="233" t="str">
        <f>VLOOKUP(Table8[[#This Row],[Document ID]],Table1[],2,FALSE)</f>
        <v>THA</v>
      </c>
      <c r="C2151" s="233" t="str">
        <f>VLOOKUP(Table8[[#This Row],[Document ID]],Table1[],3,FALSE)</f>
        <v>Thailand</v>
      </c>
      <c r="D2151" s="243" t="str">
        <f>VLOOKUP(Table8[[#This Row],[Document ID]],Table1[],5,FALSE)</f>
        <v>LTS</v>
      </c>
      <c r="E2151" s="233" t="str">
        <f>VLOOKUP(Table8[[#This Row],[Document ID]],Table1[],7,FALSE)</f>
        <v>Archived LTS 1.0</v>
      </c>
      <c r="F2151" s="233" t="str">
        <f>VLOOKUP(Table8[[#This Row],[Document ID]],Table1[],8,FALSE)</f>
        <v>LTS 1.0</v>
      </c>
      <c r="G2151" s="233" t="str">
        <f>VLOOKUP(Table8[[#This Row],[Document ID]],Table1[],10,FALSE)</f>
        <v>Archived</v>
      </c>
      <c r="H2151" s="43" t="s">
        <v>2358</v>
      </c>
      <c r="I2151" s="43" t="s">
        <v>2359</v>
      </c>
      <c r="J2151" s="44" t="s">
        <v>2383</v>
      </c>
      <c r="K2151" s="44" t="s">
        <v>4308</v>
      </c>
      <c r="L2151" s="44" t="s">
        <v>2333</v>
      </c>
      <c r="M2151" s="43">
        <v>45</v>
      </c>
      <c r="N2151" s="113" t="s">
        <v>1113</v>
      </c>
      <c r="O2151" s="113"/>
      <c r="P2151" s="113"/>
      <c r="Q2151" s="113"/>
      <c r="R2151" s="113"/>
      <c r="S2151" s="113"/>
      <c r="T2151" s="113"/>
      <c r="U2151" s="113"/>
      <c r="V2151" s="113"/>
      <c r="W2151" s="113"/>
      <c r="X2151" s="113"/>
      <c r="Y2151" s="113" t="s">
        <v>1113</v>
      </c>
      <c r="Z2151" s="113" t="s">
        <v>1113</v>
      </c>
      <c r="AA2151" s="113"/>
      <c r="AB2151" s="113"/>
      <c r="AC2151" s="113"/>
      <c r="AD2151" s="113"/>
      <c r="AE2151" s="113"/>
      <c r="AF2151" s="113"/>
      <c r="AG2151" s="113"/>
      <c r="AH2151" s="113"/>
      <c r="AI2151" s="113"/>
      <c r="AJ2151" s="113"/>
      <c r="AK2151" s="113" t="s">
        <v>1113</v>
      </c>
      <c r="AL2151" s="113"/>
      <c r="AM2151" s="113"/>
      <c r="AN2151" s="113"/>
      <c r="AO2151" s="44" t="s">
        <v>2334</v>
      </c>
      <c r="AP2151" s="43"/>
      <c r="AQ2151" s="236" t="str">
        <f>VLOOKUP(Table8[[#This Row],[Instrument]],Def_Targets!$D$73:$E$159,2,FALSE)</f>
        <v>I_Emobilitycharging</v>
      </c>
      <c r="AR2151" s="233" t="str">
        <f>VLOOKUP(Table8[[#This Row],[Country Code]],Table29[],3,FALSE)</f>
        <v>Non-Annex I</v>
      </c>
      <c r="AS2151" s="233" t="str">
        <f>VLOOKUP(Table8[[#This Row],[Country Code]],Table29[],4,FALSE)</f>
        <v>Asia</v>
      </c>
      <c r="AT2151" s="233" t="str">
        <f>VLOOKUP(Table8[[#This Row],[Country Code]],Table29[],5,FALSE)</f>
        <v>Middle-income</v>
      </c>
      <c r="AU2151" s="233" t="str">
        <f>VLOOKUP(Table8[[#This Row],[Country Code]],Table29[],6,FALSE)</f>
        <v>no</v>
      </c>
      <c r="AV2151" s="233" t="str">
        <f>VLOOKUP(Table8[[#This Row],[Country Code]],Table29[],7,FALSE)</f>
        <v>no</v>
      </c>
      <c r="AW2151" s="233" t="str">
        <f>VLOOKUP(Table8[[#This Row],[Country Code]],Table29[],8,FALSE)</f>
        <v>non-OECD</v>
      </c>
      <c r="AX2151" s="233" t="str">
        <f>VLOOKUP(Table8[[#This Row],[Country Code]],Table29[],9,FALSE)</f>
        <v>no</v>
      </c>
      <c r="AY2151" s="233" t="str">
        <f>VLOOKUP(Table8[[#This Row],[Country Code]],Table29[],10,FALSE)</f>
        <v>no</v>
      </c>
      <c r="AZ2151" s="235">
        <f>VLOOKUP(Table8[[#This Row],[Country Code]],Table29[],23,FALSE)</f>
        <v>440.78301465571002</v>
      </c>
      <c r="BA2151" s="235">
        <f>VLOOKUP(Table8[[#This Row],[Country Code]],Table29[],24,FALSE)</f>
        <v>81.217527676047013</v>
      </c>
      <c r="BB2151" s="320"/>
      <c r="BC2151" s="320"/>
    </row>
    <row r="2152" spans="1:55" ht="30" hidden="1" x14ac:dyDescent="0.25">
      <c r="A2152" s="373">
        <v>24690</v>
      </c>
      <c r="B2152" s="233" t="str">
        <f>VLOOKUP(Table8[[#This Row],[Document ID]],Table1[],2,FALSE)</f>
        <v>THA</v>
      </c>
      <c r="C2152" s="233" t="str">
        <f>VLOOKUP(Table8[[#This Row],[Document ID]],Table1[],3,FALSE)</f>
        <v>Thailand</v>
      </c>
      <c r="D2152" s="243" t="str">
        <f>VLOOKUP(Table8[[#This Row],[Document ID]],Table1[],5,FALSE)</f>
        <v>LTS</v>
      </c>
      <c r="E2152" s="233" t="str">
        <f>VLOOKUP(Table8[[#This Row],[Document ID]],Table1[],7,FALSE)</f>
        <v>Archived LTS 1.0</v>
      </c>
      <c r="F2152" s="233" t="str">
        <f>VLOOKUP(Table8[[#This Row],[Document ID]],Table1[],8,FALSE)</f>
        <v>LTS 1.0</v>
      </c>
      <c r="G2152" s="233" t="str">
        <f>VLOOKUP(Table8[[#This Row],[Document ID]],Table1[],10,FALSE)</f>
        <v>Archived</v>
      </c>
      <c r="H2152" s="44" t="s">
        <v>2329</v>
      </c>
      <c r="I2152" s="44" t="s">
        <v>2330</v>
      </c>
      <c r="J2152" s="44" t="s">
        <v>2391</v>
      </c>
      <c r="K2152" s="44" t="s">
        <v>4308</v>
      </c>
      <c r="L2152" s="44" t="s">
        <v>2333</v>
      </c>
      <c r="M2152" s="43">
        <v>45</v>
      </c>
      <c r="N2152" s="113" t="s">
        <v>1113</v>
      </c>
      <c r="O2152" s="113"/>
      <c r="P2152" s="113"/>
      <c r="Q2152" s="113"/>
      <c r="R2152" s="113"/>
      <c r="S2152" s="113"/>
      <c r="T2152" s="113"/>
      <c r="U2152" s="113"/>
      <c r="V2152" s="113"/>
      <c r="W2152" s="113"/>
      <c r="X2152" s="113"/>
      <c r="Y2152" s="113"/>
      <c r="Z2152" s="113"/>
      <c r="AA2152" s="113"/>
      <c r="AB2152" s="113"/>
      <c r="AC2152" s="113"/>
      <c r="AD2152" s="113"/>
      <c r="AE2152" s="113"/>
      <c r="AF2152" s="113"/>
      <c r="AG2152" s="113"/>
      <c r="AH2152" s="113"/>
      <c r="AI2152" s="113"/>
      <c r="AJ2152" s="113"/>
      <c r="AK2152" s="113" t="s">
        <v>1113</v>
      </c>
      <c r="AL2152" s="113"/>
      <c r="AM2152" s="113"/>
      <c r="AN2152" s="113"/>
      <c r="AO2152" s="44" t="s">
        <v>2334</v>
      </c>
      <c r="AP2152" s="43"/>
      <c r="AQ2152" s="236" t="str">
        <f>VLOOKUP(Table8[[#This Row],[Instrument]],Def_Targets!$D$73:$E$159,2,FALSE)</f>
        <v>I_Hydrogen</v>
      </c>
      <c r="AR2152" s="233" t="str">
        <f>VLOOKUP(Table8[[#This Row],[Country Code]],Table29[],3,FALSE)</f>
        <v>Non-Annex I</v>
      </c>
      <c r="AS2152" s="233" t="str">
        <f>VLOOKUP(Table8[[#This Row],[Country Code]],Table29[],4,FALSE)</f>
        <v>Asia</v>
      </c>
      <c r="AT2152" s="233" t="str">
        <f>VLOOKUP(Table8[[#This Row],[Country Code]],Table29[],5,FALSE)</f>
        <v>Middle-income</v>
      </c>
      <c r="AU2152" s="233" t="str">
        <f>VLOOKUP(Table8[[#This Row],[Country Code]],Table29[],6,FALSE)</f>
        <v>no</v>
      </c>
      <c r="AV2152" s="233" t="str">
        <f>VLOOKUP(Table8[[#This Row],[Country Code]],Table29[],7,FALSE)</f>
        <v>no</v>
      </c>
      <c r="AW2152" s="233" t="str">
        <f>VLOOKUP(Table8[[#This Row],[Country Code]],Table29[],8,FALSE)</f>
        <v>non-OECD</v>
      </c>
      <c r="AX2152" s="233" t="str">
        <f>VLOOKUP(Table8[[#This Row],[Country Code]],Table29[],9,FALSE)</f>
        <v>no</v>
      </c>
      <c r="AY2152" s="233" t="str">
        <f>VLOOKUP(Table8[[#This Row],[Country Code]],Table29[],10,FALSE)</f>
        <v>no</v>
      </c>
      <c r="AZ2152" s="235">
        <f>VLOOKUP(Table8[[#This Row],[Country Code]],Table29[],23,FALSE)</f>
        <v>440.78301465571002</v>
      </c>
      <c r="BA2152" s="235">
        <f>VLOOKUP(Table8[[#This Row],[Country Code]],Table29[],24,FALSE)</f>
        <v>81.217527676047013</v>
      </c>
      <c r="BB2152" s="320"/>
      <c r="BC2152" s="320"/>
    </row>
    <row r="2153" spans="1:55" ht="30" hidden="1" x14ac:dyDescent="0.25">
      <c r="A2153" s="373">
        <v>24690</v>
      </c>
      <c r="B2153" s="233" t="str">
        <f>VLOOKUP(Table8[[#This Row],[Document ID]],Table1[],2,FALSE)</f>
        <v>THA</v>
      </c>
      <c r="C2153" s="233" t="str">
        <f>VLOOKUP(Table8[[#This Row],[Document ID]],Table1[],3,FALSE)</f>
        <v>Thailand</v>
      </c>
      <c r="D2153" s="243" t="str">
        <f>VLOOKUP(Table8[[#This Row],[Document ID]],Table1[],5,FALSE)</f>
        <v>LTS</v>
      </c>
      <c r="E2153" s="233" t="str">
        <f>VLOOKUP(Table8[[#This Row],[Document ID]],Table1[],7,FALSE)</f>
        <v>Archived LTS 1.0</v>
      </c>
      <c r="F2153" s="233" t="str">
        <f>VLOOKUP(Table8[[#This Row],[Document ID]],Table1[],8,FALSE)</f>
        <v>LTS 1.0</v>
      </c>
      <c r="G2153" s="233" t="str">
        <f>VLOOKUP(Table8[[#This Row],[Document ID]],Table1[],10,FALSE)</f>
        <v>Archived</v>
      </c>
      <c r="H2153" s="44" t="s">
        <v>2329</v>
      </c>
      <c r="I2153" s="44" t="s">
        <v>2330</v>
      </c>
      <c r="J2153" s="44" t="s">
        <v>2363</v>
      </c>
      <c r="K2153" s="44" t="s">
        <v>4309</v>
      </c>
      <c r="L2153" s="44" t="s">
        <v>2333</v>
      </c>
      <c r="M2153" s="43">
        <v>45</v>
      </c>
      <c r="N2153" s="113" t="s">
        <v>1113</v>
      </c>
      <c r="O2153" s="113"/>
      <c r="P2153" s="113"/>
      <c r="Q2153" s="113"/>
      <c r="R2153" s="113"/>
      <c r="S2153" s="113"/>
      <c r="T2153" s="113"/>
      <c r="U2153" s="113"/>
      <c r="V2153" s="113"/>
      <c r="W2153" s="113"/>
      <c r="X2153" s="113"/>
      <c r="Y2153" s="113"/>
      <c r="Z2153" s="113"/>
      <c r="AA2153" s="113"/>
      <c r="AB2153" s="113"/>
      <c r="AC2153" s="113"/>
      <c r="AD2153" s="113"/>
      <c r="AE2153" s="113"/>
      <c r="AF2153" s="113"/>
      <c r="AG2153" s="113"/>
      <c r="AH2153" s="113"/>
      <c r="AI2153" s="113"/>
      <c r="AJ2153" s="113"/>
      <c r="AK2153" s="113" t="s">
        <v>1113</v>
      </c>
      <c r="AL2153" s="113"/>
      <c r="AM2153" s="113"/>
      <c r="AN2153" s="113"/>
      <c r="AO2153" s="44" t="s">
        <v>2334</v>
      </c>
      <c r="AP2153" s="43"/>
      <c r="AQ2153" s="236" t="str">
        <f>VLOOKUP(Table8[[#This Row],[Instrument]],Def_Targets!$D$73:$E$159,2,FALSE)</f>
        <v>I_LPGCNGLNG</v>
      </c>
      <c r="AR2153" s="233" t="str">
        <f>VLOOKUP(Table8[[#This Row],[Country Code]],Table29[],3,FALSE)</f>
        <v>Non-Annex I</v>
      </c>
      <c r="AS2153" s="233" t="str">
        <f>VLOOKUP(Table8[[#This Row],[Country Code]],Table29[],4,FALSE)</f>
        <v>Asia</v>
      </c>
      <c r="AT2153" s="233" t="str">
        <f>VLOOKUP(Table8[[#This Row],[Country Code]],Table29[],5,FALSE)</f>
        <v>Middle-income</v>
      </c>
      <c r="AU2153" s="233" t="str">
        <f>VLOOKUP(Table8[[#This Row],[Country Code]],Table29[],6,FALSE)</f>
        <v>no</v>
      </c>
      <c r="AV2153" s="233" t="str">
        <f>VLOOKUP(Table8[[#This Row],[Country Code]],Table29[],7,FALSE)</f>
        <v>no</v>
      </c>
      <c r="AW2153" s="233" t="str">
        <f>VLOOKUP(Table8[[#This Row],[Country Code]],Table29[],8,FALSE)</f>
        <v>non-OECD</v>
      </c>
      <c r="AX2153" s="233" t="str">
        <f>VLOOKUP(Table8[[#This Row],[Country Code]],Table29[],9,FALSE)</f>
        <v>no</v>
      </c>
      <c r="AY2153" s="233" t="str">
        <f>VLOOKUP(Table8[[#This Row],[Country Code]],Table29[],10,FALSE)</f>
        <v>no</v>
      </c>
      <c r="AZ2153" s="235">
        <f>VLOOKUP(Table8[[#This Row],[Country Code]],Table29[],23,FALSE)</f>
        <v>440.78301465571002</v>
      </c>
      <c r="BA2153" s="235">
        <f>VLOOKUP(Table8[[#This Row],[Country Code]],Table29[],24,FALSE)</f>
        <v>81.217527676047013</v>
      </c>
      <c r="BB2153" s="320"/>
      <c r="BC2153" s="320"/>
    </row>
    <row r="2154" spans="1:55" ht="30" hidden="1" x14ac:dyDescent="0.25">
      <c r="A2154" s="373">
        <v>24690</v>
      </c>
      <c r="B2154" s="233" t="str">
        <f>VLOOKUP(Table8[[#This Row],[Document ID]],Table1[],2,FALSE)</f>
        <v>THA</v>
      </c>
      <c r="C2154" s="233" t="str">
        <f>VLOOKUP(Table8[[#This Row],[Document ID]],Table1[],3,FALSE)</f>
        <v>Thailand</v>
      </c>
      <c r="D2154" s="243" t="str">
        <f>VLOOKUP(Table8[[#This Row],[Document ID]],Table1[],5,FALSE)</f>
        <v>LTS</v>
      </c>
      <c r="E2154" s="233" t="str">
        <f>VLOOKUP(Table8[[#This Row],[Document ID]],Table1[],7,FALSE)</f>
        <v>Archived LTS 1.0</v>
      </c>
      <c r="F2154" s="241" t="str">
        <f>VLOOKUP(Table8[[#This Row],[Document ID]],Table1[],8,FALSE)</f>
        <v>LTS 1.0</v>
      </c>
      <c r="G2154" s="241" t="str">
        <f>VLOOKUP(Table8[[#This Row],[Document ID]],Table1[],10,FALSE)</f>
        <v>Archived</v>
      </c>
      <c r="H2154" s="44" t="s">
        <v>2338</v>
      </c>
      <c r="I2154" s="44" t="s">
        <v>2339</v>
      </c>
      <c r="J2154" s="44" t="s">
        <v>2425</v>
      </c>
      <c r="K2154" s="44" t="s">
        <v>4310</v>
      </c>
      <c r="L2154" s="44" t="s">
        <v>2333</v>
      </c>
      <c r="M2154" s="43">
        <v>45</v>
      </c>
      <c r="N2154" s="113" t="s">
        <v>1113</v>
      </c>
      <c r="O2154" s="113"/>
      <c r="P2154" s="113"/>
      <c r="Q2154" s="113"/>
      <c r="R2154" s="113"/>
      <c r="S2154" s="113"/>
      <c r="T2154" s="113"/>
      <c r="U2154" s="113"/>
      <c r="V2154" s="113"/>
      <c r="W2154" s="113"/>
      <c r="X2154" s="113"/>
      <c r="Y2154" s="113"/>
      <c r="Z2154" s="113"/>
      <c r="AA2154" s="113"/>
      <c r="AB2154" s="113"/>
      <c r="AC2154" s="113"/>
      <c r="AD2154" s="113"/>
      <c r="AE2154" s="113"/>
      <c r="AF2154" s="113"/>
      <c r="AG2154" s="113"/>
      <c r="AH2154" s="113"/>
      <c r="AI2154" s="113"/>
      <c r="AJ2154" s="113"/>
      <c r="AK2154" s="113" t="s">
        <v>1113</v>
      </c>
      <c r="AL2154" s="113"/>
      <c r="AM2154" s="113"/>
      <c r="AN2154" s="113"/>
      <c r="AO2154" s="44" t="s">
        <v>2334</v>
      </c>
      <c r="AP2154" s="43"/>
      <c r="AQ2154" s="236" t="str">
        <f>VLOOKUP(Table8[[#This Row],[Instrument]],Def_Targets!$D$73:$E$159,2,FALSE)</f>
        <v>I_Efficiencystd</v>
      </c>
      <c r="AR2154" s="233" t="str">
        <f>VLOOKUP(Table8[[#This Row],[Country Code]],Table29[],3,FALSE)</f>
        <v>Non-Annex I</v>
      </c>
      <c r="AS2154" s="233" t="str">
        <f>VLOOKUP(Table8[[#This Row],[Country Code]],Table29[],4,FALSE)</f>
        <v>Asia</v>
      </c>
      <c r="AT2154" s="233" t="str">
        <f>VLOOKUP(Table8[[#This Row],[Country Code]],Table29[],5,FALSE)</f>
        <v>Middle-income</v>
      </c>
      <c r="AU2154" s="233" t="str">
        <f>VLOOKUP(Table8[[#This Row],[Country Code]],Table29[],6,FALSE)</f>
        <v>no</v>
      </c>
      <c r="AV2154" s="233" t="str">
        <f>VLOOKUP(Table8[[#This Row],[Country Code]],Table29[],7,FALSE)</f>
        <v>no</v>
      </c>
      <c r="AW2154" s="233" t="str">
        <f>VLOOKUP(Table8[[#This Row],[Country Code]],Table29[],8,FALSE)</f>
        <v>non-OECD</v>
      </c>
      <c r="AX2154" s="233" t="str">
        <f>VLOOKUP(Table8[[#This Row],[Country Code]],Table29[],9,FALSE)</f>
        <v>no</v>
      </c>
      <c r="AY2154" s="233" t="str">
        <f>VLOOKUP(Table8[[#This Row],[Country Code]],Table29[],10,FALSE)</f>
        <v>no</v>
      </c>
      <c r="AZ2154" s="235">
        <f>VLOOKUP(Table8[[#This Row],[Country Code]],Table29[],23,FALSE)</f>
        <v>440.78301465571002</v>
      </c>
      <c r="BA2154" s="235">
        <f>VLOOKUP(Table8[[#This Row],[Country Code]],Table29[],24,FALSE)</f>
        <v>81.217527676047013</v>
      </c>
      <c r="BB2154" s="320"/>
      <c r="BC2154" s="320"/>
    </row>
    <row r="2155" spans="1:55" hidden="1" x14ac:dyDescent="0.25">
      <c r="A2155" s="373">
        <v>17734</v>
      </c>
      <c r="B2155" s="233" t="str">
        <f>VLOOKUP(Table8[[#This Row],[Document ID]],Table1[],2,FALSE)</f>
        <v>SVK</v>
      </c>
      <c r="C2155" s="233" t="str">
        <f>VLOOKUP(Table8[[#This Row],[Document ID]],Table1[],3,FALSE)</f>
        <v>Slovakia</v>
      </c>
      <c r="D2155" s="243" t="str">
        <f>VLOOKUP(Table8[[#This Row],[Document ID]],Table1[],5,FALSE)</f>
        <v>LTS</v>
      </c>
      <c r="E2155" s="233" t="str">
        <f>VLOOKUP(Table8[[#This Row],[Document ID]],Table1[],7,FALSE)</f>
        <v>LTS</v>
      </c>
      <c r="F2155" s="233" t="str">
        <f>VLOOKUP(Table8[[#This Row],[Document ID]],Table1[],8,FALSE)</f>
        <v>LTS 1.0</v>
      </c>
      <c r="G2155" s="233" t="str">
        <f>VLOOKUP(Table8[[#This Row],[Document ID]],Table1[],10,FALSE)</f>
        <v>Active</v>
      </c>
      <c r="H2155" s="43" t="s">
        <v>2350</v>
      </c>
      <c r="I2155" s="43" t="s">
        <v>2456</v>
      </c>
      <c r="J2155" s="44" t="s">
        <v>2643</v>
      </c>
      <c r="K2155" s="44" t="s">
        <v>4311</v>
      </c>
      <c r="L2155" s="44" t="s">
        <v>2347</v>
      </c>
      <c r="M2155" s="43">
        <v>50</v>
      </c>
      <c r="N2155" s="113"/>
      <c r="O2155" s="113"/>
      <c r="P2155" s="113"/>
      <c r="Q2155" s="113"/>
      <c r="R2155" s="113"/>
      <c r="S2155" s="113"/>
      <c r="T2155" s="113"/>
      <c r="U2155" s="113"/>
      <c r="V2155" s="113"/>
      <c r="W2155" s="113"/>
      <c r="X2155" s="113"/>
      <c r="Y2155" s="113" t="s">
        <v>1113</v>
      </c>
      <c r="Z2155" s="113"/>
      <c r="AA2155" s="113"/>
      <c r="AB2155" s="113"/>
      <c r="AC2155" s="113" t="s">
        <v>1113</v>
      </c>
      <c r="AD2155" s="113"/>
      <c r="AE2155" s="113"/>
      <c r="AF2155" s="113"/>
      <c r="AG2155" s="113"/>
      <c r="AH2155" s="113"/>
      <c r="AI2155" s="113"/>
      <c r="AJ2155" s="113"/>
      <c r="AK2155" s="319" t="s">
        <v>1113</v>
      </c>
      <c r="AL2155" s="113"/>
      <c r="AM2155" s="113"/>
      <c r="AN2155" s="113"/>
      <c r="AO2155" s="43" t="s">
        <v>2348</v>
      </c>
      <c r="AP2155" s="43"/>
      <c r="AQ2155" s="236" t="str">
        <f>VLOOKUP(Table8[[#This Row],[Instrument]],Def_Targets!$D$73:$E$159,2,FALSE)</f>
        <v>S_Intermodality</v>
      </c>
      <c r="AR2155" s="233" t="str">
        <f>VLOOKUP(Table8[[#This Row],[Country Code]],Table29[],3,FALSE)</f>
        <v>Annex I</v>
      </c>
      <c r="AS2155" s="233" t="str">
        <f>VLOOKUP(Table8[[#This Row],[Country Code]],Table29[],4,FALSE)</f>
        <v>Europe</v>
      </c>
      <c r="AT2155" s="233" t="str">
        <f>VLOOKUP(Table8[[#This Row],[Country Code]],Table29[],5,FALSE)</f>
        <v>High-income</v>
      </c>
      <c r="AU2155" s="233" t="str">
        <f>VLOOKUP(Table8[[#This Row],[Country Code]],Table29[],6,FALSE)</f>
        <v>no</v>
      </c>
      <c r="AV2155" s="233" t="str">
        <f>VLOOKUP(Table8[[#This Row],[Country Code]],Table29[],7,FALSE)</f>
        <v>no</v>
      </c>
      <c r="AW2155" s="233" t="str">
        <f>VLOOKUP(Table8[[#This Row],[Country Code]],Table29[],8,FALSE)</f>
        <v>OECD</v>
      </c>
      <c r="AX2155" s="233" t="str">
        <f>VLOOKUP(Table8[[#This Row],[Country Code]],Table29[],9,FALSE)</f>
        <v>EU27</v>
      </c>
      <c r="AY2155" s="233" t="str">
        <f>VLOOKUP(Table8[[#This Row],[Country Code]],Table29[],10,FALSE)</f>
        <v>no</v>
      </c>
      <c r="AZ2155" s="235">
        <f>VLOOKUP(Table8[[#This Row],[Country Code]],Table29[],23,FALSE)</f>
        <v>44.775610890682003</v>
      </c>
      <c r="BA2155" s="235">
        <f>VLOOKUP(Table8[[#This Row],[Country Code]],Table29[],24,FALSE)</f>
        <v>7.6629333129442534</v>
      </c>
      <c r="BB2155" s="320"/>
      <c r="BC2155" s="320"/>
    </row>
    <row r="2156" spans="1:55" hidden="1" x14ac:dyDescent="0.25">
      <c r="A2156" s="373">
        <v>17734</v>
      </c>
      <c r="B2156" s="233" t="str">
        <f>VLOOKUP(Table8[[#This Row],[Document ID]],Table1[],2,FALSE)</f>
        <v>SVK</v>
      </c>
      <c r="C2156" s="233" t="str">
        <f>VLOOKUP(Table8[[#This Row],[Document ID]],Table1[],3,FALSE)</f>
        <v>Slovakia</v>
      </c>
      <c r="D2156" s="243" t="str">
        <f>VLOOKUP(Table8[[#This Row],[Document ID]],Table1[],5,FALSE)</f>
        <v>LTS</v>
      </c>
      <c r="E2156" s="233" t="str">
        <f>VLOOKUP(Table8[[#This Row],[Document ID]],Table1[],7,FALSE)</f>
        <v>LTS</v>
      </c>
      <c r="F2156" s="233" t="str">
        <f>VLOOKUP(Table8[[#This Row],[Document ID]],Table1[],8,FALSE)</f>
        <v>LTS 1.0</v>
      </c>
      <c r="G2156" s="233" t="str">
        <f>VLOOKUP(Table8[[#This Row],[Document ID]],Table1[],10,FALSE)</f>
        <v>Active</v>
      </c>
      <c r="H2156" s="43" t="s">
        <v>2343</v>
      </c>
      <c r="I2156" s="43" t="s">
        <v>2344</v>
      </c>
      <c r="J2156" s="44" t="s">
        <v>2405</v>
      </c>
      <c r="K2156" s="44" t="s">
        <v>4312</v>
      </c>
      <c r="L2156" s="44" t="s">
        <v>2347</v>
      </c>
      <c r="M2156" s="43">
        <v>50</v>
      </c>
      <c r="N2156" s="113" t="s">
        <v>1113</v>
      </c>
      <c r="O2156" s="113"/>
      <c r="P2156" s="113"/>
      <c r="Q2156" s="113"/>
      <c r="R2156" s="113"/>
      <c r="S2156" s="113"/>
      <c r="T2156" s="113"/>
      <c r="U2156" s="113"/>
      <c r="V2156" s="113"/>
      <c r="W2156" s="113"/>
      <c r="X2156" s="113"/>
      <c r="Y2156" s="113"/>
      <c r="Z2156" s="113"/>
      <c r="AA2156" s="113"/>
      <c r="AB2156" s="113"/>
      <c r="AC2156" s="113"/>
      <c r="AD2156" s="113"/>
      <c r="AE2156" s="113"/>
      <c r="AF2156" s="113"/>
      <c r="AG2156" s="113"/>
      <c r="AH2156" s="113"/>
      <c r="AI2156" s="113"/>
      <c r="AJ2156" s="113"/>
      <c r="AK2156" s="319" t="s">
        <v>1113</v>
      </c>
      <c r="AL2156" s="113"/>
      <c r="AM2156" s="113"/>
      <c r="AN2156" s="113"/>
      <c r="AO2156" s="44" t="s">
        <v>2334</v>
      </c>
      <c r="AP2156" s="43"/>
      <c r="AQ2156" s="236" t="str">
        <f>VLOOKUP(Table8[[#This Row],[Instrument]],Def_Targets!$D$73:$E$159,2,FALSE)</f>
        <v>S_PTIntegration</v>
      </c>
      <c r="AR2156" s="233" t="str">
        <f>VLOOKUP(Table8[[#This Row],[Country Code]],Table29[],3,FALSE)</f>
        <v>Annex I</v>
      </c>
      <c r="AS2156" s="233" t="str">
        <f>VLOOKUP(Table8[[#This Row],[Country Code]],Table29[],4,FALSE)</f>
        <v>Europe</v>
      </c>
      <c r="AT2156" s="233" t="str">
        <f>VLOOKUP(Table8[[#This Row],[Country Code]],Table29[],5,FALSE)</f>
        <v>High-income</v>
      </c>
      <c r="AU2156" s="233" t="str">
        <f>VLOOKUP(Table8[[#This Row],[Country Code]],Table29[],6,FALSE)</f>
        <v>no</v>
      </c>
      <c r="AV2156" s="233" t="str">
        <f>VLOOKUP(Table8[[#This Row],[Country Code]],Table29[],7,FALSE)</f>
        <v>no</v>
      </c>
      <c r="AW2156" s="233" t="str">
        <f>VLOOKUP(Table8[[#This Row],[Country Code]],Table29[],8,FALSE)</f>
        <v>OECD</v>
      </c>
      <c r="AX2156" s="233" t="str">
        <f>VLOOKUP(Table8[[#This Row],[Country Code]],Table29[],9,FALSE)</f>
        <v>EU27</v>
      </c>
      <c r="AY2156" s="233" t="str">
        <f>VLOOKUP(Table8[[#This Row],[Country Code]],Table29[],10,FALSE)</f>
        <v>no</v>
      </c>
      <c r="AZ2156" s="235">
        <f>VLOOKUP(Table8[[#This Row],[Country Code]],Table29[],23,FALSE)</f>
        <v>44.775610890682003</v>
      </c>
      <c r="BA2156" s="235">
        <f>VLOOKUP(Table8[[#This Row],[Country Code]],Table29[],24,FALSE)</f>
        <v>7.6629333129442534</v>
      </c>
      <c r="BB2156" s="320"/>
      <c r="BC2156" s="320"/>
    </row>
    <row r="2157" spans="1:55" ht="30" hidden="1" x14ac:dyDescent="0.25">
      <c r="A2157" s="373">
        <v>17734</v>
      </c>
      <c r="B2157" s="233" t="str">
        <f>VLOOKUP(Table8[[#This Row],[Document ID]],Table1[],2,FALSE)</f>
        <v>SVK</v>
      </c>
      <c r="C2157" s="233" t="str">
        <f>VLOOKUP(Table8[[#This Row],[Document ID]],Table1[],3,FALSE)</f>
        <v>Slovakia</v>
      </c>
      <c r="D2157" s="243" t="str">
        <f>VLOOKUP(Table8[[#This Row],[Document ID]],Table1[],5,FALSE)</f>
        <v>LTS</v>
      </c>
      <c r="E2157" s="233" t="str">
        <f>VLOOKUP(Table8[[#This Row],[Document ID]],Table1[],7,FALSE)</f>
        <v>LTS</v>
      </c>
      <c r="F2157" s="233" t="str">
        <f>VLOOKUP(Table8[[#This Row],[Document ID]],Table1[],8,FALSE)</f>
        <v>LTS 1.0</v>
      </c>
      <c r="G2157" s="233" t="str">
        <f>VLOOKUP(Table8[[#This Row],[Document ID]],Table1[],10,FALSE)</f>
        <v>Active</v>
      </c>
      <c r="H2157" s="43" t="s">
        <v>2343</v>
      </c>
      <c r="I2157" s="43" t="s">
        <v>2429</v>
      </c>
      <c r="J2157" s="44" t="s">
        <v>2513</v>
      </c>
      <c r="K2157" s="44" t="s">
        <v>4313</v>
      </c>
      <c r="L2157" s="44" t="s">
        <v>2347</v>
      </c>
      <c r="M2157" s="43">
        <v>50</v>
      </c>
      <c r="N2157" s="113"/>
      <c r="O2157" s="113"/>
      <c r="P2157" s="113"/>
      <c r="Q2157" s="113"/>
      <c r="R2157" s="113"/>
      <c r="S2157" s="113"/>
      <c r="T2157" s="113"/>
      <c r="U2157" s="113"/>
      <c r="V2157" s="113"/>
      <c r="W2157" s="113"/>
      <c r="X2157" s="113"/>
      <c r="Y2157" s="113" t="s">
        <v>1113</v>
      </c>
      <c r="Z2157" s="113"/>
      <c r="AA2157" s="113"/>
      <c r="AB2157" s="113"/>
      <c r="AC2157" s="113"/>
      <c r="AD2157" s="113"/>
      <c r="AE2157" s="113"/>
      <c r="AF2157" s="113"/>
      <c r="AG2157" s="113"/>
      <c r="AH2157" s="113"/>
      <c r="AI2157" s="113"/>
      <c r="AJ2157" s="113"/>
      <c r="AK2157" s="319" t="s">
        <v>1113</v>
      </c>
      <c r="AL2157" s="113"/>
      <c r="AM2157" s="113"/>
      <c r="AN2157" s="113"/>
      <c r="AO2157" s="43" t="s">
        <v>2348</v>
      </c>
      <c r="AP2157" s="43"/>
      <c r="AQ2157" s="236" t="str">
        <f>VLOOKUP(Table8[[#This Row],[Instrument]],Def_Targets!$D$73:$E$159,2,FALSE)</f>
        <v>S_Sharedmob</v>
      </c>
      <c r="AR2157" s="233" t="str">
        <f>VLOOKUP(Table8[[#This Row],[Country Code]],Table29[],3,FALSE)</f>
        <v>Annex I</v>
      </c>
      <c r="AS2157" s="233" t="str">
        <f>VLOOKUP(Table8[[#This Row],[Country Code]],Table29[],4,FALSE)</f>
        <v>Europe</v>
      </c>
      <c r="AT2157" s="233" t="str">
        <f>VLOOKUP(Table8[[#This Row],[Country Code]],Table29[],5,FALSE)</f>
        <v>High-income</v>
      </c>
      <c r="AU2157" s="233" t="str">
        <f>VLOOKUP(Table8[[#This Row],[Country Code]],Table29[],6,FALSE)</f>
        <v>no</v>
      </c>
      <c r="AV2157" s="233" t="str">
        <f>VLOOKUP(Table8[[#This Row],[Country Code]],Table29[],7,FALSE)</f>
        <v>no</v>
      </c>
      <c r="AW2157" s="233" t="str">
        <f>VLOOKUP(Table8[[#This Row],[Country Code]],Table29[],8,FALSE)</f>
        <v>OECD</v>
      </c>
      <c r="AX2157" s="233" t="str">
        <f>VLOOKUP(Table8[[#This Row],[Country Code]],Table29[],9,FALSE)</f>
        <v>EU27</v>
      </c>
      <c r="AY2157" s="233" t="str">
        <f>VLOOKUP(Table8[[#This Row],[Country Code]],Table29[],10,FALSE)</f>
        <v>no</v>
      </c>
      <c r="AZ2157" s="235">
        <f>VLOOKUP(Table8[[#This Row],[Country Code]],Table29[],23,FALSE)</f>
        <v>44.775610890682003</v>
      </c>
      <c r="BA2157" s="235">
        <f>VLOOKUP(Table8[[#This Row],[Country Code]],Table29[],24,FALSE)</f>
        <v>7.6629333129442534</v>
      </c>
      <c r="BB2157" s="320"/>
      <c r="BC2157" s="320"/>
    </row>
    <row r="2158" spans="1:55" hidden="1" x14ac:dyDescent="0.25">
      <c r="A2158" s="373">
        <v>17734</v>
      </c>
      <c r="B2158" s="233" t="str">
        <f>VLOOKUP(Table8[[#This Row],[Document ID]],Table1[],2,FALSE)</f>
        <v>SVK</v>
      </c>
      <c r="C2158" s="233" t="str">
        <f>VLOOKUP(Table8[[#This Row],[Document ID]],Table1[],3,FALSE)</f>
        <v>Slovakia</v>
      </c>
      <c r="D2158" s="243" t="str">
        <f>VLOOKUP(Table8[[#This Row],[Document ID]],Table1[],5,FALSE)</f>
        <v>LTS</v>
      </c>
      <c r="E2158" s="233" t="str">
        <f>VLOOKUP(Table8[[#This Row],[Document ID]],Table1[],7,FALSE)</f>
        <v>LTS</v>
      </c>
      <c r="F2158" s="233" t="str">
        <f>VLOOKUP(Table8[[#This Row],[Document ID]],Table1[],8,FALSE)</f>
        <v>LTS 1.0</v>
      </c>
      <c r="G2158" s="233" t="str">
        <f>VLOOKUP(Table8[[#This Row],[Document ID]],Table1[],10,FALSE)</f>
        <v>Active</v>
      </c>
      <c r="H2158" s="43" t="s">
        <v>2343</v>
      </c>
      <c r="I2158" s="43" t="s">
        <v>2377</v>
      </c>
      <c r="J2158" s="44" t="s">
        <v>2535</v>
      </c>
      <c r="K2158" s="44" t="s">
        <v>4314</v>
      </c>
      <c r="L2158" s="44" t="s">
        <v>2347</v>
      </c>
      <c r="M2158" s="43">
        <v>50</v>
      </c>
      <c r="N2158" s="113"/>
      <c r="O2158" s="113"/>
      <c r="P2158" s="113"/>
      <c r="Q2158" s="113"/>
      <c r="R2158" s="113"/>
      <c r="S2158" s="113"/>
      <c r="T2158" s="113"/>
      <c r="U2158" s="113" t="s">
        <v>1113</v>
      </c>
      <c r="V2158" s="113"/>
      <c r="W2158" s="113"/>
      <c r="X2158" s="113"/>
      <c r="Y2158" s="113" t="s">
        <v>1113</v>
      </c>
      <c r="Z2158" s="113"/>
      <c r="AA2158" s="113"/>
      <c r="AB2158" s="113"/>
      <c r="AC2158" s="113" t="s">
        <v>1113</v>
      </c>
      <c r="AD2158" s="113"/>
      <c r="AE2158" s="113"/>
      <c r="AF2158" s="113"/>
      <c r="AG2158" s="113"/>
      <c r="AH2158" s="113"/>
      <c r="AI2158" s="113"/>
      <c r="AJ2158" s="113"/>
      <c r="AK2158" s="319" t="s">
        <v>1113</v>
      </c>
      <c r="AL2158" s="113"/>
      <c r="AM2158" s="113"/>
      <c r="AN2158" s="113"/>
      <c r="AO2158" s="43" t="s">
        <v>2348</v>
      </c>
      <c r="AP2158" s="43"/>
      <c r="AQ2158" s="236" t="str">
        <f>VLOOKUP(Table8[[#This Row],[Instrument]],Def_Targets!$D$73:$E$159,2,FALSE)</f>
        <v>S_Parking</v>
      </c>
      <c r="AR2158" s="233" t="str">
        <f>VLOOKUP(Table8[[#This Row],[Country Code]],Table29[],3,FALSE)</f>
        <v>Annex I</v>
      </c>
      <c r="AS2158" s="233" t="str">
        <f>VLOOKUP(Table8[[#This Row],[Country Code]],Table29[],4,FALSE)</f>
        <v>Europe</v>
      </c>
      <c r="AT2158" s="233" t="str">
        <f>VLOOKUP(Table8[[#This Row],[Country Code]],Table29[],5,FALSE)</f>
        <v>High-income</v>
      </c>
      <c r="AU2158" s="233" t="str">
        <f>VLOOKUP(Table8[[#This Row],[Country Code]],Table29[],6,FALSE)</f>
        <v>no</v>
      </c>
      <c r="AV2158" s="233" t="str">
        <f>VLOOKUP(Table8[[#This Row],[Country Code]],Table29[],7,FALSE)</f>
        <v>no</v>
      </c>
      <c r="AW2158" s="233" t="str">
        <f>VLOOKUP(Table8[[#This Row],[Country Code]],Table29[],8,FALSE)</f>
        <v>OECD</v>
      </c>
      <c r="AX2158" s="233" t="str">
        <f>VLOOKUP(Table8[[#This Row],[Country Code]],Table29[],9,FALSE)</f>
        <v>EU27</v>
      </c>
      <c r="AY2158" s="233" t="str">
        <f>VLOOKUP(Table8[[#This Row],[Country Code]],Table29[],10,FALSE)</f>
        <v>no</v>
      </c>
      <c r="AZ2158" s="235">
        <f>VLOOKUP(Table8[[#This Row],[Country Code]],Table29[],23,FALSE)</f>
        <v>44.775610890682003</v>
      </c>
      <c r="BA2158" s="235">
        <f>VLOOKUP(Table8[[#This Row],[Country Code]],Table29[],24,FALSE)</f>
        <v>7.6629333129442534</v>
      </c>
      <c r="BB2158" s="320"/>
      <c r="BC2158" s="320"/>
    </row>
    <row r="2159" spans="1:55" hidden="1" x14ac:dyDescent="0.25">
      <c r="A2159" s="373">
        <v>17734</v>
      </c>
      <c r="B2159" s="233" t="str">
        <f>VLOOKUP(Table8[[#This Row],[Document ID]],Table1[],2,FALSE)</f>
        <v>SVK</v>
      </c>
      <c r="C2159" s="233" t="str">
        <f>VLOOKUP(Table8[[#This Row],[Document ID]],Table1[],3,FALSE)</f>
        <v>Slovakia</v>
      </c>
      <c r="D2159" s="243" t="str">
        <f>VLOOKUP(Table8[[#This Row],[Document ID]],Table1[],5,FALSE)</f>
        <v>LTS</v>
      </c>
      <c r="E2159" s="233" t="str">
        <f>VLOOKUP(Table8[[#This Row],[Document ID]],Table1[],7,FALSE)</f>
        <v>LTS</v>
      </c>
      <c r="F2159" s="233" t="str">
        <f>VLOOKUP(Table8[[#This Row],[Document ID]],Table1[],8,FALSE)</f>
        <v>LTS 1.0</v>
      </c>
      <c r="G2159" s="233" t="str">
        <f>VLOOKUP(Table8[[#This Row],[Document ID]],Table1[],10,FALSE)</f>
        <v>Active</v>
      </c>
      <c r="H2159" s="43" t="s">
        <v>2343</v>
      </c>
      <c r="I2159" s="43" t="s">
        <v>2429</v>
      </c>
      <c r="J2159" s="44" t="s">
        <v>2513</v>
      </c>
      <c r="K2159" s="44" t="s">
        <v>4315</v>
      </c>
      <c r="L2159" s="44" t="s">
        <v>2347</v>
      </c>
      <c r="M2159" s="43">
        <v>50</v>
      </c>
      <c r="N2159" s="113"/>
      <c r="O2159" s="113"/>
      <c r="P2159" s="113"/>
      <c r="Q2159" s="113"/>
      <c r="R2159" s="113"/>
      <c r="S2159" s="113"/>
      <c r="T2159" s="113"/>
      <c r="U2159" s="113" t="s">
        <v>1113</v>
      </c>
      <c r="V2159" s="113"/>
      <c r="W2159" s="113"/>
      <c r="X2159" s="113"/>
      <c r="Y2159" s="113"/>
      <c r="Z2159" s="113"/>
      <c r="AA2159" s="113"/>
      <c r="AB2159" s="113"/>
      <c r="AC2159" s="113"/>
      <c r="AD2159" s="113"/>
      <c r="AE2159" s="113"/>
      <c r="AF2159" s="113"/>
      <c r="AG2159" s="113"/>
      <c r="AH2159" s="113"/>
      <c r="AI2159" s="113"/>
      <c r="AJ2159" s="113"/>
      <c r="AK2159" s="319" t="s">
        <v>1113</v>
      </c>
      <c r="AL2159" s="113"/>
      <c r="AM2159" s="113"/>
      <c r="AN2159" s="113"/>
      <c r="AO2159" s="43" t="s">
        <v>2348</v>
      </c>
      <c r="AP2159" s="43"/>
      <c r="AQ2159" s="236" t="str">
        <f>VLOOKUP(Table8[[#This Row],[Instrument]],Def_Targets!$D$73:$E$159,2,FALSE)</f>
        <v>S_Sharedmob</v>
      </c>
      <c r="AR2159" s="233" t="str">
        <f>VLOOKUP(Table8[[#This Row],[Country Code]],Table29[],3,FALSE)</f>
        <v>Annex I</v>
      </c>
      <c r="AS2159" s="233" t="str">
        <f>VLOOKUP(Table8[[#This Row],[Country Code]],Table29[],4,FALSE)</f>
        <v>Europe</v>
      </c>
      <c r="AT2159" s="233" t="str">
        <f>VLOOKUP(Table8[[#This Row],[Country Code]],Table29[],5,FALSE)</f>
        <v>High-income</v>
      </c>
      <c r="AU2159" s="233" t="str">
        <f>VLOOKUP(Table8[[#This Row],[Country Code]],Table29[],6,FALSE)</f>
        <v>no</v>
      </c>
      <c r="AV2159" s="233" t="str">
        <f>VLOOKUP(Table8[[#This Row],[Country Code]],Table29[],7,FALSE)</f>
        <v>no</v>
      </c>
      <c r="AW2159" s="233" t="str">
        <f>VLOOKUP(Table8[[#This Row],[Country Code]],Table29[],8,FALSE)</f>
        <v>OECD</v>
      </c>
      <c r="AX2159" s="233" t="str">
        <f>VLOOKUP(Table8[[#This Row],[Country Code]],Table29[],9,FALSE)</f>
        <v>EU27</v>
      </c>
      <c r="AY2159" s="233" t="str">
        <f>VLOOKUP(Table8[[#This Row],[Country Code]],Table29[],10,FALSE)</f>
        <v>no</v>
      </c>
      <c r="AZ2159" s="235">
        <f>VLOOKUP(Table8[[#This Row],[Country Code]],Table29[],23,FALSE)</f>
        <v>44.775610890682003</v>
      </c>
      <c r="BA2159" s="235">
        <f>VLOOKUP(Table8[[#This Row],[Country Code]],Table29[],24,FALSE)</f>
        <v>7.6629333129442534</v>
      </c>
      <c r="BB2159" s="320"/>
      <c r="BC2159" s="320"/>
    </row>
    <row r="2160" spans="1:55" ht="30" hidden="1" x14ac:dyDescent="0.25">
      <c r="A2160" s="373">
        <v>17734</v>
      </c>
      <c r="B2160" s="233" t="str">
        <f>VLOOKUP(Table8[[#This Row],[Document ID]],Table1[],2,FALSE)</f>
        <v>SVK</v>
      </c>
      <c r="C2160" s="233" t="str">
        <f>VLOOKUP(Table8[[#This Row],[Document ID]],Table1[],3,FALSE)</f>
        <v>Slovakia</v>
      </c>
      <c r="D2160" s="243" t="str">
        <f>VLOOKUP(Table8[[#This Row],[Document ID]],Table1[],5,FALSE)</f>
        <v>LTS</v>
      </c>
      <c r="E2160" s="233" t="str">
        <f>VLOOKUP(Table8[[#This Row],[Document ID]],Table1[],7,FALSE)</f>
        <v>LTS</v>
      </c>
      <c r="F2160" s="233" t="str">
        <f>VLOOKUP(Table8[[#This Row],[Document ID]],Table1[],8,FALSE)</f>
        <v>LTS 1.0</v>
      </c>
      <c r="G2160" s="233" t="str">
        <f>VLOOKUP(Table8[[#This Row],[Document ID]],Table1[],10,FALSE)</f>
        <v>Active</v>
      </c>
      <c r="H2160" s="43" t="s">
        <v>2343</v>
      </c>
      <c r="I2160" s="43" t="s">
        <v>2386</v>
      </c>
      <c r="J2160" s="44" t="s">
        <v>2397</v>
      </c>
      <c r="K2160" s="44" t="s">
        <v>4316</v>
      </c>
      <c r="L2160" s="44" t="s">
        <v>2471</v>
      </c>
      <c r="M2160" s="43">
        <v>50</v>
      </c>
      <c r="N2160" s="113"/>
      <c r="O2160" s="113"/>
      <c r="P2160" s="113"/>
      <c r="Q2160" s="113"/>
      <c r="R2160" s="113"/>
      <c r="S2160" s="113"/>
      <c r="T2160" s="113"/>
      <c r="U2160" s="113"/>
      <c r="V2160" s="113"/>
      <c r="W2160" s="113"/>
      <c r="X2160" s="113"/>
      <c r="Y2160" s="113" t="s">
        <v>1113</v>
      </c>
      <c r="Z2160" s="113"/>
      <c r="AA2160" s="113"/>
      <c r="AB2160" s="113"/>
      <c r="AC2160" s="113" t="s">
        <v>1113</v>
      </c>
      <c r="AD2160" s="113"/>
      <c r="AE2160" s="113"/>
      <c r="AF2160" s="113"/>
      <c r="AG2160" s="113"/>
      <c r="AH2160" s="113"/>
      <c r="AI2160" s="113"/>
      <c r="AJ2160" s="113"/>
      <c r="AK2160" s="319" t="s">
        <v>1113</v>
      </c>
      <c r="AL2160" s="113"/>
      <c r="AM2160" s="113"/>
      <c r="AN2160" s="113"/>
      <c r="AO2160" s="43" t="s">
        <v>2348</v>
      </c>
      <c r="AP2160" s="43"/>
      <c r="AQ2160" s="236" t="str">
        <f>VLOOKUP(Table8[[#This Row],[Instrument]],Def_Targets!$D$73:$E$159,2,FALSE)</f>
        <v>A_Finance</v>
      </c>
      <c r="AR2160" s="233" t="str">
        <f>VLOOKUP(Table8[[#This Row],[Country Code]],Table29[],3,FALSE)</f>
        <v>Annex I</v>
      </c>
      <c r="AS2160" s="233" t="str">
        <f>VLOOKUP(Table8[[#This Row],[Country Code]],Table29[],4,FALSE)</f>
        <v>Europe</v>
      </c>
      <c r="AT2160" s="233" t="str">
        <f>VLOOKUP(Table8[[#This Row],[Country Code]],Table29[],5,FALSE)</f>
        <v>High-income</v>
      </c>
      <c r="AU2160" s="233" t="str">
        <f>VLOOKUP(Table8[[#This Row],[Country Code]],Table29[],6,FALSE)</f>
        <v>no</v>
      </c>
      <c r="AV2160" s="233" t="str">
        <f>VLOOKUP(Table8[[#This Row],[Country Code]],Table29[],7,FALSE)</f>
        <v>no</v>
      </c>
      <c r="AW2160" s="233" t="str">
        <f>VLOOKUP(Table8[[#This Row],[Country Code]],Table29[],8,FALSE)</f>
        <v>OECD</v>
      </c>
      <c r="AX2160" s="233" t="str">
        <f>VLOOKUP(Table8[[#This Row],[Country Code]],Table29[],9,FALSE)</f>
        <v>EU27</v>
      </c>
      <c r="AY2160" s="233" t="str">
        <f>VLOOKUP(Table8[[#This Row],[Country Code]],Table29[],10,FALSE)</f>
        <v>no</v>
      </c>
      <c r="AZ2160" s="235">
        <f>VLOOKUP(Table8[[#This Row],[Country Code]],Table29[],23,FALSE)</f>
        <v>44.775610890682003</v>
      </c>
      <c r="BA2160" s="235">
        <f>VLOOKUP(Table8[[#This Row],[Country Code]],Table29[],24,FALSE)</f>
        <v>7.6629333129442534</v>
      </c>
      <c r="BB2160" s="320"/>
      <c r="BC2160" s="320"/>
    </row>
    <row r="2161" spans="1:55" ht="30" hidden="1" x14ac:dyDescent="0.25">
      <c r="A2161" s="373">
        <v>17734</v>
      </c>
      <c r="B2161" s="233" t="str">
        <f>VLOOKUP(Table8[[#This Row],[Document ID]],Table1[],2,FALSE)</f>
        <v>SVK</v>
      </c>
      <c r="C2161" s="233" t="str">
        <f>VLOOKUP(Table8[[#This Row],[Document ID]],Table1[],3,FALSE)</f>
        <v>Slovakia</v>
      </c>
      <c r="D2161" s="243" t="str">
        <f>VLOOKUP(Table8[[#This Row],[Document ID]],Table1[],5,FALSE)</f>
        <v>LTS</v>
      </c>
      <c r="E2161" s="233" t="str">
        <f>VLOOKUP(Table8[[#This Row],[Document ID]],Table1[],7,FALSE)</f>
        <v>LTS</v>
      </c>
      <c r="F2161" s="233" t="str">
        <f>VLOOKUP(Table8[[#This Row],[Document ID]],Table1[],8,FALSE)</f>
        <v>LTS 1.0</v>
      </c>
      <c r="G2161" s="233" t="str">
        <f>VLOOKUP(Table8[[#This Row],[Document ID]],Table1[],10,FALSE)</f>
        <v>Active</v>
      </c>
      <c r="H2161" s="43" t="s">
        <v>2350</v>
      </c>
      <c r="I2161" s="43" t="s">
        <v>2351</v>
      </c>
      <c r="J2161" s="44" t="s">
        <v>2427</v>
      </c>
      <c r="K2161" s="44" t="s">
        <v>4317</v>
      </c>
      <c r="L2161" s="44" t="s">
        <v>2572</v>
      </c>
      <c r="M2161" s="43">
        <v>50</v>
      </c>
      <c r="N2161" s="113"/>
      <c r="O2161" s="113"/>
      <c r="P2161" s="113"/>
      <c r="Q2161" s="113"/>
      <c r="R2161" s="113"/>
      <c r="S2161" s="113"/>
      <c r="T2161" s="113"/>
      <c r="U2161" s="113"/>
      <c r="V2161" s="113"/>
      <c r="W2161" s="113"/>
      <c r="X2161" s="113"/>
      <c r="Y2161" s="113"/>
      <c r="Z2161" s="113" t="s">
        <v>1113</v>
      </c>
      <c r="AA2161" s="113"/>
      <c r="AB2161" s="113"/>
      <c r="AC2161" s="113"/>
      <c r="AD2161" s="113"/>
      <c r="AE2161" s="113"/>
      <c r="AF2161" s="113"/>
      <c r="AG2161" s="113"/>
      <c r="AH2161" s="113"/>
      <c r="AI2161" s="113"/>
      <c r="AJ2161" s="113"/>
      <c r="AK2161" s="319" t="s">
        <v>1113</v>
      </c>
      <c r="AL2161" s="113"/>
      <c r="AM2161" s="113"/>
      <c r="AN2161" s="113"/>
      <c r="AO2161" s="43" t="s">
        <v>2353</v>
      </c>
      <c r="AP2161" s="43"/>
      <c r="AQ2161" s="236" t="str">
        <f>VLOOKUP(Table8[[#This Row],[Instrument]],Def_Targets!$D$73:$E$159,2,FALSE)</f>
        <v>I_Load</v>
      </c>
      <c r="AR2161" s="233" t="str">
        <f>VLOOKUP(Table8[[#This Row],[Country Code]],Table29[],3,FALSE)</f>
        <v>Annex I</v>
      </c>
      <c r="AS2161" s="233" t="str">
        <f>VLOOKUP(Table8[[#This Row],[Country Code]],Table29[],4,FALSE)</f>
        <v>Europe</v>
      </c>
      <c r="AT2161" s="233" t="str">
        <f>VLOOKUP(Table8[[#This Row],[Country Code]],Table29[],5,FALSE)</f>
        <v>High-income</v>
      </c>
      <c r="AU2161" s="233" t="str">
        <f>VLOOKUP(Table8[[#This Row],[Country Code]],Table29[],6,FALSE)</f>
        <v>no</v>
      </c>
      <c r="AV2161" s="233" t="str">
        <f>VLOOKUP(Table8[[#This Row],[Country Code]],Table29[],7,FALSE)</f>
        <v>no</v>
      </c>
      <c r="AW2161" s="233" t="str">
        <f>VLOOKUP(Table8[[#This Row],[Country Code]],Table29[],8,FALSE)</f>
        <v>OECD</v>
      </c>
      <c r="AX2161" s="233" t="str">
        <f>VLOOKUP(Table8[[#This Row],[Country Code]],Table29[],9,FALSE)</f>
        <v>EU27</v>
      </c>
      <c r="AY2161" s="233" t="str">
        <f>VLOOKUP(Table8[[#This Row],[Country Code]],Table29[],10,FALSE)</f>
        <v>no</v>
      </c>
      <c r="AZ2161" s="235">
        <f>VLOOKUP(Table8[[#This Row],[Country Code]],Table29[],23,FALSE)</f>
        <v>44.775610890682003</v>
      </c>
      <c r="BA2161" s="235">
        <f>VLOOKUP(Table8[[#This Row],[Country Code]],Table29[],24,FALSE)</f>
        <v>7.6629333129442534</v>
      </c>
      <c r="BB2161" s="320"/>
      <c r="BC2161" s="320"/>
    </row>
    <row r="2162" spans="1:55" ht="30" hidden="1" x14ac:dyDescent="0.25">
      <c r="A2162" s="373">
        <v>17734</v>
      </c>
      <c r="B2162" s="233" t="str">
        <f>VLOOKUP(Table8[[#This Row],[Document ID]],Table1[],2,FALSE)</f>
        <v>SVK</v>
      </c>
      <c r="C2162" s="233" t="str">
        <f>VLOOKUP(Table8[[#This Row],[Document ID]],Table1[],3,FALSE)</f>
        <v>Slovakia</v>
      </c>
      <c r="D2162" s="243" t="str">
        <f>VLOOKUP(Table8[[#This Row],[Document ID]],Table1[],5,FALSE)</f>
        <v>LTS</v>
      </c>
      <c r="E2162" s="233" t="str">
        <f>VLOOKUP(Table8[[#This Row],[Document ID]],Table1[],7,FALSE)</f>
        <v>LTS</v>
      </c>
      <c r="F2162" s="233" t="str">
        <f>VLOOKUP(Table8[[#This Row],[Document ID]],Table1[],8,FALSE)</f>
        <v>LTS 1.0</v>
      </c>
      <c r="G2162" s="233" t="str">
        <f>VLOOKUP(Table8[[#This Row],[Document ID]],Table1[],10,FALSE)</f>
        <v>Active</v>
      </c>
      <c r="H2162" s="43" t="s">
        <v>2358</v>
      </c>
      <c r="I2162" s="43" t="s">
        <v>2359</v>
      </c>
      <c r="J2162" s="44" t="s">
        <v>2360</v>
      </c>
      <c r="K2162" s="44" t="s">
        <v>4317</v>
      </c>
      <c r="L2162" s="44" t="s">
        <v>2333</v>
      </c>
      <c r="M2162" s="43">
        <v>50</v>
      </c>
      <c r="N2162" s="113"/>
      <c r="O2162" s="113"/>
      <c r="P2162" s="113"/>
      <c r="Q2162" s="113"/>
      <c r="R2162" s="113"/>
      <c r="S2162" s="113"/>
      <c r="T2162" s="113"/>
      <c r="U2162" s="113"/>
      <c r="V2162" s="113"/>
      <c r="W2162" s="113"/>
      <c r="X2162" s="113"/>
      <c r="Y2162" s="113"/>
      <c r="Z2162" s="113" t="s">
        <v>1113</v>
      </c>
      <c r="AA2162" s="113"/>
      <c r="AB2162" s="113"/>
      <c r="AC2162" s="113"/>
      <c r="AD2162" s="113"/>
      <c r="AE2162" s="113"/>
      <c r="AF2162" s="113"/>
      <c r="AG2162" s="113"/>
      <c r="AH2162" s="113"/>
      <c r="AI2162" s="113"/>
      <c r="AJ2162" s="113"/>
      <c r="AK2162" s="319" t="s">
        <v>1113</v>
      </c>
      <c r="AL2162" s="113"/>
      <c r="AM2162" s="113"/>
      <c r="AN2162" s="113"/>
      <c r="AO2162" s="43" t="s">
        <v>2353</v>
      </c>
      <c r="AP2162" s="43"/>
      <c r="AQ2162" s="236" t="str">
        <f>VLOOKUP(Table8[[#This Row],[Instrument]],Def_Targets!$D$73:$E$159,2,FALSE)</f>
        <v>I_Emobility</v>
      </c>
      <c r="AR2162" s="233" t="str">
        <f>VLOOKUP(Table8[[#This Row],[Country Code]],Table29[],3,FALSE)</f>
        <v>Annex I</v>
      </c>
      <c r="AS2162" s="233" t="str">
        <f>VLOOKUP(Table8[[#This Row],[Country Code]],Table29[],4,FALSE)</f>
        <v>Europe</v>
      </c>
      <c r="AT2162" s="233" t="str">
        <f>VLOOKUP(Table8[[#This Row],[Country Code]],Table29[],5,FALSE)</f>
        <v>High-income</v>
      </c>
      <c r="AU2162" s="233" t="str">
        <f>VLOOKUP(Table8[[#This Row],[Country Code]],Table29[],6,FALSE)</f>
        <v>no</v>
      </c>
      <c r="AV2162" s="233" t="str">
        <f>VLOOKUP(Table8[[#This Row],[Country Code]],Table29[],7,FALSE)</f>
        <v>no</v>
      </c>
      <c r="AW2162" s="233" t="str">
        <f>VLOOKUP(Table8[[#This Row],[Country Code]],Table29[],8,FALSE)</f>
        <v>OECD</v>
      </c>
      <c r="AX2162" s="233" t="str">
        <f>VLOOKUP(Table8[[#This Row],[Country Code]],Table29[],9,FALSE)</f>
        <v>EU27</v>
      </c>
      <c r="AY2162" s="233" t="str">
        <f>VLOOKUP(Table8[[#This Row],[Country Code]],Table29[],10,FALSE)</f>
        <v>no</v>
      </c>
      <c r="AZ2162" s="235">
        <f>VLOOKUP(Table8[[#This Row],[Country Code]],Table29[],23,FALSE)</f>
        <v>44.775610890682003</v>
      </c>
      <c r="BA2162" s="235">
        <f>VLOOKUP(Table8[[#This Row],[Country Code]],Table29[],24,FALSE)</f>
        <v>7.6629333129442534</v>
      </c>
      <c r="BB2162" s="320"/>
      <c r="BC2162" s="320"/>
    </row>
    <row r="2163" spans="1:55" ht="45" hidden="1" x14ac:dyDescent="0.25">
      <c r="A2163" s="373">
        <v>17734</v>
      </c>
      <c r="B2163" s="233" t="str">
        <f>VLOOKUP(Table8[[#This Row],[Document ID]],Table1[],2,FALSE)</f>
        <v>SVK</v>
      </c>
      <c r="C2163" s="233" t="str">
        <f>VLOOKUP(Table8[[#This Row],[Document ID]],Table1[],3,FALSE)</f>
        <v>Slovakia</v>
      </c>
      <c r="D2163" s="243" t="str">
        <f>VLOOKUP(Table8[[#This Row],[Document ID]],Table1[],5,FALSE)</f>
        <v>LTS</v>
      </c>
      <c r="E2163" s="233" t="str">
        <f>VLOOKUP(Table8[[#This Row],[Document ID]],Table1[],7,FALSE)</f>
        <v>LTS</v>
      </c>
      <c r="F2163" s="233" t="str">
        <f>VLOOKUP(Table8[[#This Row],[Document ID]],Table1[],8,FALSE)</f>
        <v>LTS 1.0</v>
      </c>
      <c r="G2163" s="233" t="str">
        <f>VLOOKUP(Table8[[#This Row],[Document ID]],Table1[],10,FALSE)</f>
        <v>Active</v>
      </c>
      <c r="H2163" s="43" t="s">
        <v>2350</v>
      </c>
      <c r="I2163" s="43" t="s">
        <v>2456</v>
      </c>
      <c r="J2163" s="44" t="s">
        <v>2643</v>
      </c>
      <c r="K2163" s="44" t="s">
        <v>4318</v>
      </c>
      <c r="L2163" s="44" t="s">
        <v>2333</v>
      </c>
      <c r="M2163" s="43">
        <v>50</v>
      </c>
      <c r="N2163" s="113"/>
      <c r="O2163" s="113"/>
      <c r="P2163" s="113"/>
      <c r="Q2163" s="113"/>
      <c r="R2163" s="113"/>
      <c r="S2163" s="113" t="s">
        <v>1113</v>
      </c>
      <c r="T2163" s="113"/>
      <c r="U2163" s="113"/>
      <c r="V2163" s="113"/>
      <c r="W2163" s="113"/>
      <c r="X2163" s="113"/>
      <c r="Y2163" s="113"/>
      <c r="Z2163" s="113" t="s">
        <v>1113</v>
      </c>
      <c r="AA2163" s="113"/>
      <c r="AB2163" s="113"/>
      <c r="AC2163" s="113"/>
      <c r="AD2163" s="113" t="s">
        <v>1113</v>
      </c>
      <c r="AE2163" s="113"/>
      <c r="AF2163" s="113"/>
      <c r="AG2163" s="113"/>
      <c r="AH2163" s="113"/>
      <c r="AI2163" s="113"/>
      <c r="AJ2163" s="113"/>
      <c r="AK2163" s="319" t="s">
        <v>1113</v>
      </c>
      <c r="AL2163" s="113"/>
      <c r="AM2163" s="113"/>
      <c r="AN2163" s="113"/>
      <c r="AO2163" s="44" t="s">
        <v>2334</v>
      </c>
      <c r="AP2163" s="43"/>
      <c r="AQ2163" s="236" t="str">
        <f>VLOOKUP(Table8[[#This Row],[Instrument]],Def_Targets!$D$73:$E$159,2,FALSE)</f>
        <v>S_Intermodality</v>
      </c>
      <c r="AR2163" s="233" t="str">
        <f>VLOOKUP(Table8[[#This Row],[Country Code]],Table29[],3,FALSE)</f>
        <v>Annex I</v>
      </c>
      <c r="AS2163" s="233" t="str">
        <f>VLOOKUP(Table8[[#This Row],[Country Code]],Table29[],4,FALSE)</f>
        <v>Europe</v>
      </c>
      <c r="AT2163" s="233" t="str">
        <f>VLOOKUP(Table8[[#This Row],[Country Code]],Table29[],5,FALSE)</f>
        <v>High-income</v>
      </c>
      <c r="AU2163" s="233" t="str">
        <f>VLOOKUP(Table8[[#This Row],[Country Code]],Table29[],6,FALSE)</f>
        <v>no</v>
      </c>
      <c r="AV2163" s="233" t="str">
        <f>VLOOKUP(Table8[[#This Row],[Country Code]],Table29[],7,FALSE)</f>
        <v>no</v>
      </c>
      <c r="AW2163" s="233" t="str">
        <f>VLOOKUP(Table8[[#This Row],[Country Code]],Table29[],8,FALSE)</f>
        <v>OECD</v>
      </c>
      <c r="AX2163" s="233" t="str">
        <f>VLOOKUP(Table8[[#This Row],[Country Code]],Table29[],9,FALSE)</f>
        <v>EU27</v>
      </c>
      <c r="AY2163" s="233" t="str">
        <f>VLOOKUP(Table8[[#This Row],[Country Code]],Table29[],10,FALSE)</f>
        <v>no</v>
      </c>
      <c r="AZ2163" s="235">
        <f>VLOOKUP(Table8[[#This Row],[Country Code]],Table29[],23,FALSE)</f>
        <v>44.775610890682003</v>
      </c>
      <c r="BA2163" s="235">
        <f>VLOOKUP(Table8[[#This Row],[Country Code]],Table29[],24,FALSE)</f>
        <v>7.6629333129442534</v>
      </c>
      <c r="BB2163" s="320"/>
      <c r="BC2163" s="320"/>
    </row>
    <row r="2164" spans="1:55" ht="30" hidden="1" x14ac:dyDescent="0.25">
      <c r="A2164" s="373">
        <v>17734</v>
      </c>
      <c r="B2164" s="233" t="str">
        <f>VLOOKUP(Table8[[#This Row],[Document ID]],Table1[],2,FALSE)</f>
        <v>SVK</v>
      </c>
      <c r="C2164" s="233" t="str">
        <f>VLOOKUP(Table8[[#This Row],[Document ID]],Table1[],3,FALSE)</f>
        <v>Slovakia</v>
      </c>
      <c r="D2164" s="243" t="str">
        <f>VLOOKUP(Table8[[#This Row],[Document ID]],Table1[],5,FALSE)</f>
        <v>LTS</v>
      </c>
      <c r="E2164" s="233" t="str">
        <f>VLOOKUP(Table8[[#This Row],[Document ID]],Table1[],7,FALSE)</f>
        <v>LTS</v>
      </c>
      <c r="F2164" s="233" t="str">
        <f>VLOOKUP(Table8[[#This Row],[Document ID]],Table1[],8,FALSE)</f>
        <v>LTS 1.0</v>
      </c>
      <c r="G2164" s="233" t="str">
        <f>VLOOKUP(Table8[[#This Row],[Document ID]],Table1[],10,FALSE)</f>
        <v>Active</v>
      </c>
      <c r="H2164" s="44" t="s">
        <v>2329</v>
      </c>
      <c r="I2164" s="44" t="s">
        <v>2330</v>
      </c>
      <c r="J2164" s="44" t="s">
        <v>2357</v>
      </c>
      <c r="K2164" s="44" t="s">
        <v>4319</v>
      </c>
      <c r="L2164" s="44" t="s">
        <v>2333</v>
      </c>
      <c r="M2164" s="43">
        <v>50</v>
      </c>
      <c r="N2164" s="113"/>
      <c r="O2164" s="113"/>
      <c r="P2164" s="113"/>
      <c r="Q2164" s="113"/>
      <c r="R2164" s="113"/>
      <c r="S2164" s="113"/>
      <c r="T2164" s="113"/>
      <c r="U2164" s="113"/>
      <c r="V2164" s="113"/>
      <c r="W2164" s="113"/>
      <c r="X2164" s="113"/>
      <c r="Y2164" s="113" t="s">
        <v>1113</v>
      </c>
      <c r="Z2164" s="113"/>
      <c r="AA2164" s="113"/>
      <c r="AB2164" s="113"/>
      <c r="AC2164" s="113" t="s">
        <v>1113</v>
      </c>
      <c r="AD2164" s="113"/>
      <c r="AE2164" s="113"/>
      <c r="AF2164" s="113"/>
      <c r="AG2164" s="113"/>
      <c r="AH2164" s="113"/>
      <c r="AI2164" s="113"/>
      <c r="AJ2164" s="113"/>
      <c r="AK2164" s="113"/>
      <c r="AL2164" s="113" t="s">
        <v>1113</v>
      </c>
      <c r="AM2164" s="113"/>
      <c r="AN2164" s="113"/>
      <c r="AO2164" s="43" t="s">
        <v>2348</v>
      </c>
      <c r="AP2164" s="43"/>
      <c r="AQ2164" s="236" t="str">
        <f>VLOOKUP(Table8[[#This Row],[Instrument]],Def_Targets!$D$73:$E$159,2,FALSE)</f>
        <v>I_Biofuel</v>
      </c>
      <c r="AR2164" s="233" t="str">
        <f>VLOOKUP(Table8[[#This Row],[Country Code]],Table29[],3,FALSE)</f>
        <v>Annex I</v>
      </c>
      <c r="AS2164" s="233" t="str">
        <f>VLOOKUP(Table8[[#This Row],[Country Code]],Table29[],4,FALSE)</f>
        <v>Europe</v>
      </c>
      <c r="AT2164" s="233" t="str">
        <f>VLOOKUP(Table8[[#This Row],[Country Code]],Table29[],5,FALSE)</f>
        <v>High-income</v>
      </c>
      <c r="AU2164" s="233" t="str">
        <f>VLOOKUP(Table8[[#This Row],[Country Code]],Table29[],6,FALSE)</f>
        <v>no</v>
      </c>
      <c r="AV2164" s="233" t="str">
        <f>VLOOKUP(Table8[[#This Row],[Country Code]],Table29[],7,FALSE)</f>
        <v>no</v>
      </c>
      <c r="AW2164" s="233" t="str">
        <f>VLOOKUP(Table8[[#This Row],[Country Code]],Table29[],8,FALSE)</f>
        <v>OECD</v>
      </c>
      <c r="AX2164" s="233" t="str">
        <f>VLOOKUP(Table8[[#This Row],[Country Code]],Table29[],9,FALSE)</f>
        <v>EU27</v>
      </c>
      <c r="AY2164" s="233" t="str">
        <f>VLOOKUP(Table8[[#This Row],[Country Code]],Table29[],10,FALSE)</f>
        <v>no</v>
      </c>
      <c r="AZ2164" s="235">
        <f>VLOOKUP(Table8[[#This Row],[Country Code]],Table29[],23,FALSE)</f>
        <v>44.775610890682003</v>
      </c>
      <c r="BA2164" s="235">
        <f>VLOOKUP(Table8[[#This Row],[Country Code]],Table29[],24,FALSE)</f>
        <v>7.6629333129442534</v>
      </c>
      <c r="BB2164" s="320"/>
      <c r="BC2164" s="320"/>
    </row>
    <row r="2165" spans="1:55" ht="30" hidden="1" x14ac:dyDescent="0.25">
      <c r="A2165" s="373">
        <v>17734</v>
      </c>
      <c r="B2165" s="233" t="str">
        <f>VLOOKUP(Table8[[#This Row],[Document ID]],Table1[],2,FALSE)</f>
        <v>SVK</v>
      </c>
      <c r="C2165" s="233" t="str">
        <f>VLOOKUP(Table8[[#This Row],[Document ID]],Table1[],3,FALSE)</f>
        <v>Slovakia</v>
      </c>
      <c r="D2165" s="243" t="str">
        <f>VLOOKUP(Table8[[#This Row],[Document ID]],Table1[],5,FALSE)</f>
        <v>LTS</v>
      </c>
      <c r="E2165" s="233" t="str">
        <f>VLOOKUP(Table8[[#This Row],[Document ID]],Table1[],7,FALSE)</f>
        <v>LTS</v>
      </c>
      <c r="F2165" s="233" t="str">
        <f>VLOOKUP(Table8[[#This Row],[Document ID]],Table1[],8,FALSE)</f>
        <v>LTS 1.0</v>
      </c>
      <c r="G2165" s="233" t="str">
        <f>VLOOKUP(Table8[[#This Row],[Document ID]],Table1[],10,FALSE)</f>
        <v>Active</v>
      </c>
      <c r="H2165" s="44" t="s">
        <v>2329</v>
      </c>
      <c r="I2165" s="44" t="s">
        <v>2330</v>
      </c>
      <c r="J2165" s="44" t="s">
        <v>2363</v>
      </c>
      <c r="K2165" s="44" t="s">
        <v>4319</v>
      </c>
      <c r="L2165" s="44" t="s">
        <v>2333</v>
      </c>
      <c r="M2165" s="43">
        <v>50</v>
      </c>
      <c r="N2165" s="113"/>
      <c r="O2165" s="113"/>
      <c r="P2165" s="113"/>
      <c r="Q2165" s="113"/>
      <c r="R2165" s="113"/>
      <c r="S2165" s="113"/>
      <c r="T2165" s="113"/>
      <c r="U2165" s="113"/>
      <c r="V2165" s="113"/>
      <c r="W2165" s="113"/>
      <c r="X2165" s="113"/>
      <c r="Y2165" s="113" t="s">
        <v>1113</v>
      </c>
      <c r="Z2165" s="113"/>
      <c r="AA2165" s="113"/>
      <c r="AB2165" s="113"/>
      <c r="AC2165" s="113" t="s">
        <v>1113</v>
      </c>
      <c r="AD2165" s="113"/>
      <c r="AE2165" s="113"/>
      <c r="AF2165" s="113"/>
      <c r="AG2165" s="113"/>
      <c r="AH2165" s="113"/>
      <c r="AI2165" s="113"/>
      <c r="AJ2165" s="113"/>
      <c r="AK2165" s="113"/>
      <c r="AL2165" s="113" t="s">
        <v>1113</v>
      </c>
      <c r="AM2165" s="113"/>
      <c r="AN2165" s="113"/>
      <c r="AO2165" s="43" t="s">
        <v>2348</v>
      </c>
      <c r="AP2165" s="43"/>
      <c r="AQ2165" s="236" t="str">
        <f>VLOOKUP(Table8[[#This Row],[Instrument]],Def_Targets!$D$73:$E$159,2,FALSE)</f>
        <v>I_LPGCNGLNG</v>
      </c>
      <c r="AR2165" s="233" t="str">
        <f>VLOOKUP(Table8[[#This Row],[Country Code]],Table29[],3,FALSE)</f>
        <v>Annex I</v>
      </c>
      <c r="AS2165" s="233" t="str">
        <f>VLOOKUP(Table8[[#This Row],[Country Code]],Table29[],4,FALSE)</f>
        <v>Europe</v>
      </c>
      <c r="AT2165" s="233" t="str">
        <f>VLOOKUP(Table8[[#This Row],[Country Code]],Table29[],5,FALSE)</f>
        <v>High-income</v>
      </c>
      <c r="AU2165" s="233" t="str">
        <f>VLOOKUP(Table8[[#This Row],[Country Code]],Table29[],6,FALSE)</f>
        <v>no</v>
      </c>
      <c r="AV2165" s="233" t="str">
        <f>VLOOKUP(Table8[[#This Row],[Country Code]],Table29[],7,FALSE)</f>
        <v>no</v>
      </c>
      <c r="AW2165" s="233" t="str">
        <f>VLOOKUP(Table8[[#This Row],[Country Code]],Table29[],8,FALSE)</f>
        <v>OECD</v>
      </c>
      <c r="AX2165" s="233" t="str">
        <f>VLOOKUP(Table8[[#This Row],[Country Code]],Table29[],9,FALSE)</f>
        <v>EU27</v>
      </c>
      <c r="AY2165" s="233" t="str">
        <f>VLOOKUP(Table8[[#This Row],[Country Code]],Table29[],10,FALSE)</f>
        <v>no</v>
      </c>
      <c r="AZ2165" s="235">
        <f>VLOOKUP(Table8[[#This Row],[Country Code]],Table29[],23,FALSE)</f>
        <v>44.775610890682003</v>
      </c>
      <c r="BA2165" s="235">
        <f>VLOOKUP(Table8[[#This Row],[Country Code]],Table29[],24,FALSE)</f>
        <v>7.6629333129442534</v>
      </c>
      <c r="BB2165" s="320"/>
      <c r="BC2165" s="320"/>
    </row>
    <row r="2166" spans="1:55" ht="30" hidden="1" x14ac:dyDescent="0.25">
      <c r="A2166" s="373">
        <v>17734</v>
      </c>
      <c r="B2166" s="233" t="str">
        <f>VLOOKUP(Table8[[#This Row],[Document ID]],Table1[],2,FALSE)</f>
        <v>SVK</v>
      </c>
      <c r="C2166" s="233" t="str">
        <f>VLOOKUP(Table8[[#This Row],[Document ID]],Table1[],3,FALSE)</f>
        <v>Slovakia</v>
      </c>
      <c r="D2166" s="243" t="str">
        <f>VLOOKUP(Table8[[#This Row],[Document ID]],Table1[],5,FALSE)</f>
        <v>LTS</v>
      </c>
      <c r="E2166" s="233" t="str">
        <f>VLOOKUP(Table8[[#This Row],[Document ID]],Table1[],7,FALSE)</f>
        <v>LTS</v>
      </c>
      <c r="F2166" s="233" t="str">
        <f>VLOOKUP(Table8[[#This Row],[Document ID]],Table1[],8,FALSE)</f>
        <v>LTS 1.0</v>
      </c>
      <c r="G2166" s="233" t="str">
        <f>VLOOKUP(Table8[[#This Row],[Document ID]],Table1[],10,FALSE)</f>
        <v>Active</v>
      </c>
      <c r="H2166" s="44" t="s">
        <v>2329</v>
      </c>
      <c r="I2166" s="44" t="s">
        <v>2330</v>
      </c>
      <c r="J2166" s="44" t="s">
        <v>2391</v>
      </c>
      <c r="K2166" s="44" t="s">
        <v>4319</v>
      </c>
      <c r="L2166" s="44" t="s">
        <v>2333</v>
      </c>
      <c r="M2166" s="43">
        <v>50</v>
      </c>
      <c r="N2166" s="113"/>
      <c r="O2166" s="113"/>
      <c r="P2166" s="113"/>
      <c r="Q2166" s="113"/>
      <c r="R2166" s="113"/>
      <c r="S2166" s="113"/>
      <c r="T2166" s="113"/>
      <c r="U2166" s="113"/>
      <c r="V2166" s="113"/>
      <c r="W2166" s="113"/>
      <c r="X2166" s="113"/>
      <c r="Y2166" s="113" t="s">
        <v>1113</v>
      </c>
      <c r="Z2166" s="113"/>
      <c r="AA2166" s="113"/>
      <c r="AB2166" s="113"/>
      <c r="AC2166" s="113" t="s">
        <v>1113</v>
      </c>
      <c r="AD2166" s="113"/>
      <c r="AE2166" s="113"/>
      <c r="AF2166" s="113"/>
      <c r="AG2166" s="113"/>
      <c r="AH2166" s="113"/>
      <c r="AI2166" s="113"/>
      <c r="AJ2166" s="113"/>
      <c r="AK2166" s="113"/>
      <c r="AL2166" s="113" t="s">
        <v>1113</v>
      </c>
      <c r="AM2166" s="113"/>
      <c r="AN2166" s="113"/>
      <c r="AO2166" s="43" t="s">
        <v>2348</v>
      </c>
      <c r="AP2166" s="43"/>
      <c r="AQ2166" s="236" t="str">
        <f>VLOOKUP(Table8[[#This Row],[Instrument]],Def_Targets!$D$73:$E$159,2,FALSE)</f>
        <v>I_Hydrogen</v>
      </c>
      <c r="AR2166" s="233" t="str">
        <f>VLOOKUP(Table8[[#This Row],[Country Code]],Table29[],3,FALSE)</f>
        <v>Annex I</v>
      </c>
      <c r="AS2166" s="233" t="str">
        <f>VLOOKUP(Table8[[#This Row],[Country Code]],Table29[],4,FALSE)</f>
        <v>Europe</v>
      </c>
      <c r="AT2166" s="233" t="str">
        <f>VLOOKUP(Table8[[#This Row],[Country Code]],Table29[],5,FALSE)</f>
        <v>High-income</v>
      </c>
      <c r="AU2166" s="233" t="str">
        <f>VLOOKUP(Table8[[#This Row],[Country Code]],Table29[],6,FALSE)</f>
        <v>no</v>
      </c>
      <c r="AV2166" s="233" t="str">
        <f>VLOOKUP(Table8[[#This Row],[Country Code]],Table29[],7,FALSE)</f>
        <v>no</v>
      </c>
      <c r="AW2166" s="233" t="str">
        <f>VLOOKUP(Table8[[#This Row],[Country Code]],Table29[],8,FALSE)</f>
        <v>OECD</v>
      </c>
      <c r="AX2166" s="233" t="str">
        <f>VLOOKUP(Table8[[#This Row],[Country Code]],Table29[],9,FALSE)</f>
        <v>EU27</v>
      </c>
      <c r="AY2166" s="233" t="str">
        <f>VLOOKUP(Table8[[#This Row],[Country Code]],Table29[],10,FALSE)</f>
        <v>no</v>
      </c>
      <c r="AZ2166" s="235">
        <f>VLOOKUP(Table8[[#This Row],[Country Code]],Table29[],23,FALSE)</f>
        <v>44.775610890682003</v>
      </c>
      <c r="BA2166" s="235">
        <f>VLOOKUP(Table8[[#This Row],[Country Code]],Table29[],24,FALSE)</f>
        <v>7.6629333129442534</v>
      </c>
      <c r="BB2166" s="320"/>
      <c r="BC2166" s="320"/>
    </row>
    <row r="2167" spans="1:55" ht="45" hidden="1" x14ac:dyDescent="0.25">
      <c r="A2167" s="373">
        <v>17734</v>
      </c>
      <c r="B2167" s="233" t="str">
        <f>VLOOKUP(Table8[[#This Row],[Document ID]],Table1[],2,FALSE)</f>
        <v>SVK</v>
      </c>
      <c r="C2167" s="233" t="str">
        <f>VLOOKUP(Table8[[#This Row],[Document ID]],Table1[],3,FALSE)</f>
        <v>Slovakia</v>
      </c>
      <c r="D2167" s="243" t="str">
        <f>VLOOKUP(Table8[[#This Row],[Document ID]],Table1[],5,FALSE)</f>
        <v>LTS</v>
      </c>
      <c r="E2167" s="233" t="str">
        <f>VLOOKUP(Table8[[#This Row],[Document ID]],Table1[],7,FALSE)</f>
        <v>LTS</v>
      </c>
      <c r="F2167" s="233" t="str">
        <f>VLOOKUP(Table8[[#This Row],[Document ID]],Table1[],8,FALSE)</f>
        <v>LTS 1.0</v>
      </c>
      <c r="G2167" s="233" t="str">
        <f>VLOOKUP(Table8[[#This Row],[Document ID]],Table1[],10,FALSE)</f>
        <v>Active</v>
      </c>
      <c r="H2167" s="43" t="s">
        <v>2343</v>
      </c>
      <c r="I2167" s="43" t="s">
        <v>2361</v>
      </c>
      <c r="J2167" s="44" t="s">
        <v>2362</v>
      </c>
      <c r="K2167" s="44" t="s">
        <v>4320</v>
      </c>
      <c r="L2167" s="44" t="s">
        <v>2347</v>
      </c>
      <c r="M2167" s="43">
        <v>50</v>
      </c>
      <c r="N2167" s="113"/>
      <c r="O2167" s="113"/>
      <c r="P2167" s="113"/>
      <c r="Q2167" s="113"/>
      <c r="R2167" s="113" t="s">
        <v>1113</v>
      </c>
      <c r="S2167" s="113"/>
      <c r="T2167" s="113"/>
      <c r="U2167" s="113"/>
      <c r="V2167" s="113"/>
      <c r="W2167" s="113"/>
      <c r="X2167" s="113"/>
      <c r="Y2167" s="113"/>
      <c r="Z2167" s="113"/>
      <c r="AA2167" s="113"/>
      <c r="AB2167" s="113"/>
      <c r="AC2167" s="113"/>
      <c r="AD2167" s="113"/>
      <c r="AE2167" s="113"/>
      <c r="AF2167" s="113"/>
      <c r="AG2167" s="113"/>
      <c r="AH2167" s="113"/>
      <c r="AI2167" s="113"/>
      <c r="AJ2167" s="113"/>
      <c r="AK2167" s="113"/>
      <c r="AL2167" s="113" t="s">
        <v>1113</v>
      </c>
      <c r="AM2167" s="113"/>
      <c r="AN2167" s="113"/>
      <c r="AO2167" s="44" t="s">
        <v>2334</v>
      </c>
      <c r="AP2167" s="43"/>
      <c r="AQ2167" s="236" t="str">
        <f>VLOOKUP(Table8[[#This Row],[Instrument]],Def_Targets!$D$73:$E$159,2,FALSE)</f>
        <v>S_Cycling</v>
      </c>
      <c r="AR2167" s="233" t="str">
        <f>VLOOKUP(Table8[[#This Row],[Country Code]],Table29[],3,FALSE)</f>
        <v>Annex I</v>
      </c>
      <c r="AS2167" s="233" t="str">
        <f>VLOOKUP(Table8[[#This Row],[Country Code]],Table29[],4,FALSE)</f>
        <v>Europe</v>
      </c>
      <c r="AT2167" s="233" t="str">
        <f>VLOOKUP(Table8[[#This Row],[Country Code]],Table29[],5,FALSE)</f>
        <v>High-income</v>
      </c>
      <c r="AU2167" s="233" t="str">
        <f>VLOOKUP(Table8[[#This Row],[Country Code]],Table29[],6,FALSE)</f>
        <v>no</v>
      </c>
      <c r="AV2167" s="233" t="str">
        <f>VLOOKUP(Table8[[#This Row],[Country Code]],Table29[],7,FALSE)</f>
        <v>no</v>
      </c>
      <c r="AW2167" s="233" t="str">
        <f>VLOOKUP(Table8[[#This Row],[Country Code]],Table29[],8,FALSE)</f>
        <v>OECD</v>
      </c>
      <c r="AX2167" s="233" t="str">
        <f>VLOOKUP(Table8[[#This Row],[Country Code]],Table29[],9,FALSE)</f>
        <v>EU27</v>
      </c>
      <c r="AY2167" s="233" t="str">
        <f>VLOOKUP(Table8[[#This Row],[Country Code]],Table29[],10,FALSE)</f>
        <v>no</v>
      </c>
      <c r="AZ2167" s="235">
        <f>VLOOKUP(Table8[[#This Row],[Country Code]],Table29[],23,FALSE)</f>
        <v>44.775610890682003</v>
      </c>
      <c r="BA2167" s="235">
        <f>VLOOKUP(Table8[[#This Row],[Country Code]],Table29[],24,FALSE)</f>
        <v>7.6629333129442534</v>
      </c>
      <c r="BB2167" s="320"/>
      <c r="BC2167" s="320"/>
    </row>
    <row r="2168" spans="1:55" ht="30" hidden="1" x14ac:dyDescent="0.25">
      <c r="A2168" s="373">
        <v>17734</v>
      </c>
      <c r="B2168" s="233" t="str">
        <f>VLOOKUP(Table8[[#This Row],[Document ID]],Table1[],2,FALSE)</f>
        <v>SVK</v>
      </c>
      <c r="C2168" s="233" t="str">
        <f>VLOOKUP(Table8[[#This Row],[Document ID]],Table1[],3,FALSE)</f>
        <v>Slovakia</v>
      </c>
      <c r="D2168" s="243" t="str">
        <f>VLOOKUP(Table8[[#This Row],[Document ID]],Table1[],5,FALSE)</f>
        <v>LTS</v>
      </c>
      <c r="E2168" s="233" t="str">
        <f>VLOOKUP(Table8[[#This Row],[Document ID]],Table1[],7,FALSE)</f>
        <v>LTS</v>
      </c>
      <c r="F2168" s="233" t="str">
        <f>VLOOKUP(Table8[[#This Row],[Document ID]],Table1[],8,FALSE)</f>
        <v>LTS 1.0</v>
      </c>
      <c r="G2168" s="233" t="str">
        <f>VLOOKUP(Table8[[#This Row],[Document ID]],Table1[],10,FALSE)</f>
        <v>Active</v>
      </c>
      <c r="H2168" s="43" t="s">
        <v>2343</v>
      </c>
      <c r="I2168" s="43" t="s">
        <v>2429</v>
      </c>
      <c r="J2168" s="44" t="s">
        <v>2513</v>
      </c>
      <c r="K2168" s="44" t="s">
        <v>4321</v>
      </c>
      <c r="L2168" s="44" t="s">
        <v>2347</v>
      </c>
      <c r="M2168" s="43">
        <v>50</v>
      </c>
      <c r="N2168" s="113"/>
      <c r="O2168" s="113"/>
      <c r="P2168" s="113"/>
      <c r="Q2168" s="113"/>
      <c r="R2168" s="113" t="s">
        <v>1113</v>
      </c>
      <c r="S2168" s="113"/>
      <c r="T2168" s="113"/>
      <c r="U2168" s="113"/>
      <c r="V2168" s="113"/>
      <c r="W2168" s="113"/>
      <c r="X2168" s="113"/>
      <c r="Y2168" s="113"/>
      <c r="Z2168" s="113"/>
      <c r="AA2168" s="113"/>
      <c r="AB2168" s="113"/>
      <c r="AC2168" s="113"/>
      <c r="AD2168" s="113"/>
      <c r="AE2168" s="113"/>
      <c r="AF2168" s="113"/>
      <c r="AG2168" s="113"/>
      <c r="AH2168" s="113"/>
      <c r="AI2168" s="113"/>
      <c r="AJ2168" s="113"/>
      <c r="AK2168" s="113"/>
      <c r="AL2168" s="113" t="s">
        <v>1113</v>
      </c>
      <c r="AM2168" s="113"/>
      <c r="AN2168" s="113"/>
      <c r="AO2168" s="43" t="s">
        <v>2348</v>
      </c>
      <c r="AP2168" s="43"/>
      <c r="AQ2168" s="236" t="str">
        <f>VLOOKUP(Table8[[#This Row],[Instrument]],Def_Targets!$D$73:$E$159,2,FALSE)</f>
        <v>S_Sharedmob</v>
      </c>
      <c r="AR2168" s="233" t="str">
        <f>VLOOKUP(Table8[[#This Row],[Country Code]],Table29[],3,FALSE)</f>
        <v>Annex I</v>
      </c>
      <c r="AS2168" s="233" t="str">
        <f>VLOOKUP(Table8[[#This Row],[Country Code]],Table29[],4,FALSE)</f>
        <v>Europe</v>
      </c>
      <c r="AT2168" s="233" t="str">
        <f>VLOOKUP(Table8[[#This Row],[Country Code]],Table29[],5,FALSE)</f>
        <v>High-income</v>
      </c>
      <c r="AU2168" s="233" t="str">
        <f>VLOOKUP(Table8[[#This Row],[Country Code]],Table29[],6,FALSE)</f>
        <v>no</v>
      </c>
      <c r="AV2168" s="233" t="str">
        <f>VLOOKUP(Table8[[#This Row],[Country Code]],Table29[],7,FALSE)</f>
        <v>no</v>
      </c>
      <c r="AW2168" s="233" t="str">
        <f>VLOOKUP(Table8[[#This Row],[Country Code]],Table29[],8,FALSE)</f>
        <v>OECD</v>
      </c>
      <c r="AX2168" s="233" t="str">
        <f>VLOOKUP(Table8[[#This Row],[Country Code]],Table29[],9,FALSE)</f>
        <v>EU27</v>
      </c>
      <c r="AY2168" s="233" t="str">
        <f>VLOOKUP(Table8[[#This Row],[Country Code]],Table29[],10,FALSE)</f>
        <v>no</v>
      </c>
      <c r="AZ2168" s="235">
        <f>VLOOKUP(Table8[[#This Row],[Country Code]],Table29[],23,FALSE)</f>
        <v>44.775610890682003</v>
      </c>
      <c r="BA2168" s="235">
        <f>VLOOKUP(Table8[[#This Row],[Country Code]],Table29[],24,FALSE)</f>
        <v>7.6629333129442534</v>
      </c>
      <c r="BB2168" s="320"/>
      <c r="BC2168" s="320"/>
    </row>
    <row r="2169" spans="1:55" ht="30" hidden="1" x14ac:dyDescent="0.25">
      <c r="A2169" s="373">
        <v>17734</v>
      </c>
      <c r="B2169" s="233" t="str">
        <f>VLOOKUP(Table8[[#This Row],[Document ID]],Table1[],2,FALSE)</f>
        <v>SVK</v>
      </c>
      <c r="C2169" s="233" t="str">
        <f>VLOOKUP(Table8[[#This Row],[Document ID]],Table1[],3,FALSE)</f>
        <v>Slovakia</v>
      </c>
      <c r="D2169" s="243" t="str">
        <f>VLOOKUP(Table8[[#This Row],[Document ID]],Table1[],5,FALSE)</f>
        <v>LTS</v>
      </c>
      <c r="E2169" s="233" t="str">
        <f>VLOOKUP(Table8[[#This Row],[Document ID]],Table1[],7,FALSE)</f>
        <v>LTS</v>
      </c>
      <c r="F2169" s="233" t="str">
        <f>VLOOKUP(Table8[[#This Row],[Document ID]],Table1[],8,FALSE)</f>
        <v>LTS 1.0</v>
      </c>
      <c r="G2169" s="233" t="str">
        <f>VLOOKUP(Table8[[#This Row],[Document ID]],Table1[],10,FALSE)</f>
        <v>Active</v>
      </c>
      <c r="H2169" s="43" t="s">
        <v>2350</v>
      </c>
      <c r="I2169" s="43" t="s">
        <v>2407</v>
      </c>
      <c r="J2169" s="44" t="s">
        <v>2408</v>
      </c>
      <c r="K2169" s="44" t="s">
        <v>4322</v>
      </c>
      <c r="L2169" s="44" t="s">
        <v>2471</v>
      </c>
      <c r="M2169" s="43">
        <v>50</v>
      </c>
      <c r="N2169" s="113"/>
      <c r="O2169" s="113"/>
      <c r="P2169" s="113"/>
      <c r="Q2169" s="113"/>
      <c r="R2169" s="113" t="s">
        <v>1113</v>
      </c>
      <c r="S2169" s="113"/>
      <c r="T2169" s="113"/>
      <c r="U2169" s="113"/>
      <c r="V2169" s="113"/>
      <c r="W2169" s="113"/>
      <c r="X2169" s="113"/>
      <c r="Y2169" s="113"/>
      <c r="Z2169" s="113"/>
      <c r="AA2169" s="113"/>
      <c r="AB2169" s="113"/>
      <c r="AC2169" s="113"/>
      <c r="AD2169" s="113"/>
      <c r="AE2169" s="113"/>
      <c r="AF2169" s="113"/>
      <c r="AG2169" s="113"/>
      <c r="AH2169" s="113"/>
      <c r="AI2169" s="113"/>
      <c r="AJ2169" s="113"/>
      <c r="AK2169" s="113"/>
      <c r="AL2169" s="113" t="s">
        <v>1113</v>
      </c>
      <c r="AM2169" s="113"/>
      <c r="AN2169" s="113"/>
      <c r="AO2169" s="44" t="s">
        <v>2334</v>
      </c>
      <c r="AP2169" s="43"/>
      <c r="AQ2169" s="236" t="str">
        <f>VLOOKUP(Table8[[#This Row],[Instrument]],Def_Targets!$D$73:$E$159,2,FALSE)</f>
        <v>I_Education</v>
      </c>
      <c r="AR2169" s="233" t="str">
        <f>VLOOKUP(Table8[[#This Row],[Country Code]],Table29[],3,FALSE)</f>
        <v>Annex I</v>
      </c>
      <c r="AS2169" s="233" t="str">
        <f>VLOOKUP(Table8[[#This Row],[Country Code]],Table29[],4,FALSE)</f>
        <v>Europe</v>
      </c>
      <c r="AT2169" s="233" t="str">
        <f>VLOOKUP(Table8[[#This Row],[Country Code]],Table29[],5,FALSE)</f>
        <v>High-income</v>
      </c>
      <c r="AU2169" s="233" t="str">
        <f>VLOOKUP(Table8[[#This Row],[Country Code]],Table29[],6,FALSE)</f>
        <v>no</v>
      </c>
      <c r="AV2169" s="233" t="str">
        <f>VLOOKUP(Table8[[#This Row],[Country Code]],Table29[],7,FALSE)</f>
        <v>no</v>
      </c>
      <c r="AW2169" s="233" t="str">
        <f>VLOOKUP(Table8[[#This Row],[Country Code]],Table29[],8,FALSE)</f>
        <v>OECD</v>
      </c>
      <c r="AX2169" s="233" t="str">
        <f>VLOOKUP(Table8[[#This Row],[Country Code]],Table29[],9,FALSE)</f>
        <v>EU27</v>
      </c>
      <c r="AY2169" s="233" t="str">
        <f>VLOOKUP(Table8[[#This Row],[Country Code]],Table29[],10,FALSE)</f>
        <v>no</v>
      </c>
      <c r="AZ2169" s="235">
        <f>VLOOKUP(Table8[[#This Row],[Country Code]],Table29[],23,FALSE)</f>
        <v>44.775610890682003</v>
      </c>
      <c r="BA2169" s="235">
        <f>VLOOKUP(Table8[[#This Row],[Country Code]],Table29[],24,FALSE)</f>
        <v>7.6629333129442534</v>
      </c>
      <c r="BB2169" s="320"/>
      <c r="BC2169" s="320"/>
    </row>
    <row r="2170" spans="1:55" hidden="1" x14ac:dyDescent="0.25">
      <c r="A2170" s="373">
        <v>17734</v>
      </c>
      <c r="B2170" s="233" t="str">
        <f>VLOOKUP(Table8[[#This Row],[Document ID]],Table1[],2,FALSE)</f>
        <v>SVK</v>
      </c>
      <c r="C2170" s="233" t="str">
        <f>VLOOKUP(Table8[[#This Row],[Document ID]],Table1[],3,FALSE)</f>
        <v>Slovakia</v>
      </c>
      <c r="D2170" s="243" t="str">
        <f>VLOOKUP(Table8[[#This Row],[Document ID]],Table1[],5,FALSE)</f>
        <v>LTS</v>
      </c>
      <c r="E2170" s="233" t="str">
        <f>VLOOKUP(Table8[[#This Row],[Document ID]],Table1[],7,FALSE)</f>
        <v>LTS</v>
      </c>
      <c r="F2170" s="233" t="str">
        <f>VLOOKUP(Table8[[#This Row],[Document ID]],Table1[],8,FALSE)</f>
        <v>LTS 1.0</v>
      </c>
      <c r="G2170" s="233" t="str">
        <f>VLOOKUP(Table8[[#This Row],[Document ID]],Table1[],10,FALSE)</f>
        <v>Active</v>
      </c>
      <c r="H2170" s="43" t="s">
        <v>2343</v>
      </c>
      <c r="I2170" s="43" t="s">
        <v>2361</v>
      </c>
      <c r="J2170" s="44" t="s">
        <v>2362</v>
      </c>
      <c r="K2170" s="44" t="s">
        <v>4323</v>
      </c>
      <c r="L2170" s="44" t="s">
        <v>2347</v>
      </c>
      <c r="M2170" s="43">
        <v>50</v>
      </c>
      <c r="N2170" s="113"/>
      <c r="O2170" s="113"/>
      <c r="P2170" s="113"/>
      <c r="Q2170" s="113"/>
      <c r="R2170" s="113" t="s">
        <v>1113</v>
      </c>
      <c r="S2170" s="113"/>
      <c r="T2170" s="113"/>
      <c r="U2170" s="113"/>
      <c r="V2170" s="113"/>
      <c r="W2170" s="113"/>
      <c r="X2170" s="113"/>
      <c r="Y2170" s="113"/>
      <c r="Z2170" s="113"/>
      <c r="AA2170" s="113"/>
      <c r="AB2170" s="113"/>
      <c r="AC2170" s="113"/>
      <c r="AD2170" s="113"/>
      <c r="AE2170" s="113"/>
      <c r="AF2170" s="113"/>
      <c r="AG2170" s="113"/>
      <c r="AH2170" s="113"/>
      <c r="AI2170" s="113"/>
      <c r="AJ2170" s="113"/>
      <c r="AK2170" s="113"/>
      <c r="AL2170" s="113" t="s">
        <v>1113</v>
      </c>
      <c r="AM2170" s="113"/>
      <c r="AN2170" s="113"/>
      <c r="AO2170" s="44" t="s">
        <v>2334</v>
      </c>
      <c r="AP2170" s="43"/>
      <c r="AQ2170" s="236" t="str">
        <f>VLOOKUP(Table8[[#This Row],[Instrument]],Def_Targets!$D$73:$E$159,2,FALSE)</f>
        <v>S_Cycling</v>
      </c>
      <c r="AR2170" s="233" t="str">
        <f>VLOOKUP(Table8[[#This Row],[Country Code]],Table29[],3,FALSE)</f>
        <v>Annex I</v>
      </c>
      <c r="AS2170" s="233" t="str">
        <f>VLOOKUP(Table8[[#This Row],[Country Code]],Table29[],4,FALSE)</f>
        <v>Europe</v>
      </c>
      <c r="AT2170" s="233" t="str">
        <f>VLOOKUP(Table8[[#This Row],[Country Code]],Table29[],5,FALSE)</f>
        <v>High-income</v>
      </c>
      <c r="AU2170" s="233" t="str">
        <f>VLOOKUP(Table8[[#This Row],[Country Code]],Table29[],6,FALSE)</f>
        <v>no</v>
      </c>
      <c r="AV2170" s="233" t="str">
        <f>VLOOKUP(Table8[[#This Row],[Country Code]],Table29[],7,FALSE)</f>
        <v>no</v>
      </c>
      <c r="AW2170" s="233" t="str">
        <f>VLOOKUP(Table8[[#This Row],[Country Code]],Table29[],8,FALSE)</f>
        <v>OECD</v>
      </c>
      <c r="AX2170" s="233" t="str">
        <f>VLOOKUP(Table8[[#This Row],[Country Code]],Table29[],9,FALSE)</f>
        <v>EU27</v>
      </c>
      <c r="AY2170" s="233" t="str">
        <f>VLOOKUP(Table8[[#This Row],[Country Code]],Table29[],10,FALSE)</f>
        <v>no</v>
      </c>
      <c r="AZ2170" s="235">
        <f>VLOOKUP(Table8[[#This Row],[Country Code]],Table29[],23,FALSE)</f>
        <v>44.775610890682003</v>
      </c>
      <c r="BA2170" s="235">
        <f>VLOOKUP(Table8[[#This Row],[Country Code]],Table29[],24,FALSE)</f>
        <v>7.6629333129442534</v>
      </c>
      <c r="BB2170" s="320"/>
      <c r="BC2170" s="320"/>
    </row>
    <row r="2171" spans="1:55" ht="30" hidden="1" x14ac:dyDescent="0.25">
      <c r="A2171" s="373">
        <v>17734</v>
      </c>
      <c r="B2171" s="233" t="str">
        <f>VLOOKUP(Table8[[#This Row],[Document ID]],Table1[],2,FALSE)</f>
        <v>SVK</v>
      </c>
      <c r="C2171" s="233" t="str">
        <f>VLOOKUP(Table8[[#This Row],[Document ID]],Table1[],3,FALSE)</f>
        <v>Slovakia</v>
      </c>
      <c r="D2171" s="243" t="str">
        <f>VLOOKUP(Table8[[#This Row],[Document ID]],Table1[],5,FALSE)</f>
        <v>LTS</v>
      </c>
      <c r="E2171" s="233" t="str">
        <f>VLOOKUP(Table8[[#This Row],[Document ID]],Table1[],7,FALSE)</f>
        <v>LTS</v>
      </c>
      <c r="F2171" s="233" t="str">
        <f>VLOOKUP(Table8[[#This Row],[Document ID]],Table1[],8,FALSE)</f>
        <v>LTS 1.0</v>
      </c>
      <c r="G2171" s="233" t="str">
        <f>VLOOKUP(Table8[[#This Row],[Document ID]],Table1[],10,FALSE)</f>
        <v>Active</v>
      </c>
      <c r="H2171" s="43" t="s">
        <v>2343</v>
      </c>
      <c r="I2171" s="43" t="s">
        <v>2361</v>
      </c>
      <c r="J2171" s="44" t="s">
        <v>2362</v>
      </c>
      <c r="K2171" s="44" t="s">
        <v>4324</v>
      </c>
      <c r="L2171" s="44" t="s">
        <v>2347</v>
      </c>
      <c r="M2171" s="43">
        <v>51</v>
      </c>
      <c r="N2171" s="113"/>
      <c r="O2171" s="113"/>
      <c r="P2171" s="113"/>
      <c r="Q2171" s="113"/>
      <c r="R2171" s="113" t="s">
        <v>1113</v>
      </c>
      <c r="S2171" s="113"/>
      <c r="T2171" s="113"/>
      <c r="U2171" s="113"/>
      <c r="V2171" s="113"/>
      <c r="W2171" s="113"/>
      <c r="X2171" s="113"/>
      <c r="Y2171" s="113"/>
      <c r="Z2171" s="113"/>
      <c r="AA2171" s="113"/>
      <c r="AB2171" s="113"/>
      <c r="AC2171" s="113"/>
      <c r="AD2171" s="113"/>
      <c r="AE2171" s="113"/>
      <c r="AF2171" s="113"/>
      <c r="AG2171" s="113"/>
      <c r="AH2171" s="113"/>
      <c r="AI2171" s="113"/>
      <c r="AJ2171" s="113"/>
      <c r="AK2171" s="113"/>
      <c r="AL2171" s="113" t="s">
        <v>1113</v>
      </c>
      <c r="AM2171" s="113"/>
      <c r="AN2171" s="113"/>
      <c r="AO2171" s="44" t="s">
        <v>2334</v>
      </c>
      <c r="AP2171" s="43"/>
      <c r="AQ2171" s="236" t="str">
        <f>VLOOKUP(Table8[[#This Row],[Instrument]],Def_Targets!$D$73:$E$159,2,FALSE)</f>
        <v>S_Cycling</v>
      </c>
      <c r="AR2171" s="233" t="str">
        <f>VLOOKUP(Table8[[#This Row],[Country Code]],Table29[],3,FALSE)</f>
        <v>Annex I</v>
      </c>
      <c r="AS2171" s="233" t="str">
        <f>VLOOKUP(Table8[[#This Row],[Country Code]],Table29[],4,FALSE)</f>
        <v>Europe</v>
      </c>
      <c r="AT2171" s="233" t="str">
        <f>VLOOKUP(Table8[[#This Row],[Country Code]],Table29[],5,FALSE)</f>
        <v>High-income</v>
      </c>
      <c r="AU2171" s="233" t="str">
        <f>VLOOKUP(Table8[[#This Row],[Country Code]],Table29[],6,FALSE)</f>
        <v>no</v>
      </c>
      <c r="AV2171" s="233" t="str">
        <f>VLOOKUP(Table8[[#This Row],[Country Code]],Table29[],7,FALSE)</f>
        <v>no</v>
      </c>
      <c r="AW2171" s="233" t="str">
        <f>VLOOKUP(Table8[[#This Row],[Country Code]],Table29[],8,FALSE)</f>
        <v>OECD</v>
      </c>
      <c r="AX2171" s="233" t="str">
        <f>VLOOKUP(Table8[[#This Row],[Country Code]],Table29[],9,FALSE)</f>
        <v>EU27</v>
      </c>
      <c r="AY2171" s="233" t="str">
        <f>VLOOKUP(Table8[[#This Row],[Country Code]],Table29[],10,FALSE)</f>
        <v>no</v>
      </c>
      <c r="AZ2171" s="235">
        <f>VLOOKUP(Table8[[#This Row],[Country Code]],Table29[],23,FALSE)</f>
        <v>44.775610890682003</v>
      </c>
      <c r="BA2171" s="235">
        <f>VLOOKUP(Table8[[#This Row],[Country Code]],Table29[],24,FALSE)</f>
        <v>7.6629333129442534</v>
      </c>
      <c r="BB2171" s="320"/>
      <c r="BC2171" s="320"/>
    </row>
    <row r="2172" spans="1:55" hidden="1" x14ac:dyDescent="0.25">
      <c r="A2172" s="373">
        <v>17734</v>
      </c>
      <c r="B2172" s="233" t="str">
        <f>VLOOKUP(Table8[[#This Row],[Document ID]],Table1[],2,FALSE)</f>
        <v>SVK</v>
      </c>
      <c r="C2172" s="233" t="str">
        <f>VLOOKUP(Table8[[#This Row],[Document ID]],Table1[],3,FALSE)</f>
        <v>Slovakia</v>
      </c>
      <c r="D2172" s="243" t="str">
        <f>VLOOKUP(Table8[[#This Row],[Document ID]],Table1[],5,FALSE)</f>
        <v>LTS</v>
      </c>
      <c r="E2172" s="233" t="str">
        <f>VLOOKUP(Table8[[#This Row],[Document ID]],Table1[],7,FALSE)</f>
        <v>LTS</v>
      </c>
      <c r="F2172" s="233" t="str">
        <f>VLOOKUP(Table8[[#This Row],[Document ID]],Table1[],8,FALSE)</f>
        <v>LTS 1.0</v>
      </c>
      <c r="G2172" s="233" t="str">
        <f>VLOOKUP(Table8[[#This Row],[Document ID]],Table1[],10,FALSE)</f>
        <v>Active</v>
      </c>
      <c r="H2172" s="43" t="s">
        <v>2343</v>
      </c>
      <c r="I2172" s="43" t="s">
        <v>2361</v>
      </c>
      <c r="J2172" s="44" t="s">
        <v>2463</v>
      </c>
      <c r="K2172" s="44" t="s">
        <v>4325</v>
      </c>
      <c r="L2172" s="44" t="s">
        <v>2347</v>
      </c>
      <c r="M2172" s="43">
        <v>51</v>
      </c>
      <c r="N2172" s="113"/>
      <c r="O2172" s="113"/>
      <c r="P2172" s="113"/>
      <c r="Q2172" s="113" t="s">
        <v>1113</v>
      </c>
      <c r="R2172" s="113"/>
      <c r="S2172" s="113"/>
      <c r="T2172" s="113"/>
      <c r="U2172" s="113"/>
      <c r="V2172" s="113"/>
      <c r="W2172" s="113"/>
      <c r="X2172" s="113"/>
      <c r="Y2172" s="113"/>
      <c r="Z2172" s="113"/>
      <c r="AA2172" s="113"/>
      <c r="AB2172" s="113"/>
      <c r="AC2172" s="113"/>
      <c r="AD2172" s="113"/>
      <c r="AE2172" s="113"/>
      <c r="AF2172" s="113"/>
      <c r="AG2172" s="113"/>
      <c r="AH2172" s="113"/>
      <c r="AI2172" s="113"/>
      <c r="AJ2172" s="113"/>
      <c r="AK2172" s="319" t="s">
        <v>1113</v>
      </c>
      <c r="AL2172" s="113"/>
      <c r="AM2172" s="113"/>
      <c r="AN2172" s="113"/>
      <c r="AO2172" s="44" t="s">
        <v>2334</v>
      </c>
      <c r="AP2172" s="43"/>
      <c r="AQ2172" s="236" t="str">
        <f>VLOOKUP(Table8[[#This Row],[Instrument]],Def_Targets!$D$73:$E$159,2,FALSE)</f>
        <v>S_Walking</v>
      </c>
      <c r="AR2172" s="233" t="str">
        <f>VLOOKUP(Table8[[#This Row],[Country Code]],Table29[],3,FALSE)</f>
        <v>Annex I</v>
      </c>
      <c r="AS2172" s="233" t="str">
        <f>VLOOKUP(Table8[[#This Row],[Country Code]],Table29[],4,FALSE)</f>
        <v>Europe</v>
      </c>
      <c r="AT2172" s="233" t="str">
        <f>VLOOKUP(Table8[[#This Row],[Country Code]],Table29[],5,FALSE)</f>
        <v>High-income</v>
      </c>
      <c r="AU2172" s="233" t="str">
        <f>VLOOKUP(Table8[[#This Row],[Country Code]],Table29[],6,FALSE)</f>
        <v>no</v>
      </c>
      <c r="AV2172" s="233" t="str">
        <f>VLOOKUP(Table8[[#This Row],[Country Code]],Table29[],7,FALSE)</f>
        <v>no</v>
      </c>
      <c r="AW2172" s="233" t="str">
        <f>VLOOKUP(Table8[[#This Row],[Country Code]],Table29[],8,FALSE)</f>
        <v>OECD</v>
      </c>
      <c r="AX2172" s="233" t="str">
        <f>VLOOKUP(Table8[[#This Row],[Country Code]],Table29[],9,FALSE)</f>
        <v>EU27</v>
      </c>
      <c r="AY2172" s="233" t="str">
        <f>VLOOKUP(Table8[[#This Row],[Country Code]],Table29[],10,FALSE)</f>
        <v>no</v>
      </c>
      <c r="AZ2172" s="235">
        <f>VLOOKUP(Table8[[#This Row],[Country Code]],Table29[],23,FALSE)</f>
        <v>44.775610890682003</v>
      </c>
      <c r="BA2172" s="235">
        <f>VLOOKUP(Table8[[#This Row],[Country Code]],Table29[],24,FALSE)</f>
        <v>7.6629333129442534</v>
      </c>
      <c r="BB2172" s="320"/>
      <c r="BC2172" s="320"/>
    </row>
    <row r="2173" spans="1:55" ht="30" hidden="1" x14ac:dyDescent="0.25">
      <c r="A2173" s="373">
        <v>17734</v>
      </c>
      <c r="B2173" s="233" t="str">
        <f>VLOOKUP(Table8[[#This Row],[Document ID]],Table1[],2,FALSE)</f>
        <v>SVK</v>
      </c>
      <c r="C2173" s="233" t="str">
        <f>VLOOKUP(Table8[[#This Row],[Document ID]],Table1[],3,FALSE)</f>
        <v>Slovakia</v>
      </c>
      <c r="D2173" s="243" t="str">
        <f>VLOOKUP(Table8[[#This Row],[Document ID]],Table1[],5,FALSE)</f>
        <v>LTS</v>
      </c>
      <c r="E2173" s="233" t="str">
        <f>VLOOKUP(Table8[[#This Row],[Document ID]],Table1[],7,FALSE)</f>
        <v>LTS</v>
      </c>
      <c r="F2173" s="233" t="str">
        <f>VLOOKUP(Table8[[#This Row],[Document ID]],Table1[],8,FALSE)</f>
        <v>LTS 1.0</v>
      </c>
      <c r="G2173" s="233" t="str">
        <f>VLOOKUP(Table8[[#This Row],[Document ID]],Table1[],10,FALSE)</f>
        <v>Active</v>
      </c>
      <c r="H2173" s="43" t="s">
        <v>2350</v>
      </c>
      <c r="I2173" s="43" t="s">
        <v>2370</v>
      </c>
      <c r="J2173" s="44" t="s">
        <v>2581</v>
      </c>
      <c r="K2173" s="44" t="s">
        <v>4326</v>
      </c>
      <c r="L2173" s="44" t="s">
        <v>2373</v>
      </c>
      <c r="M2173" s="43">
        <v>51</v>
      </c>
      <c r="N2173" s="113" t="s">
        <v>1113</v>
      </c>
      <c r="O2173" s="113"/>
      <c r="P2173" s="113"/>
      <c r="Q2173" s="113"/>
      <c r="R2173" s="113"/>
      <c r="S2173" s="113"/>
      <c r="T2173" s="113"/>
      <c r="U2173" s="113"/>
      <c r="V2173" s="113"/>
      <c r="W2173" s="113"/>
      <c r="X2173" s="113"/>
      <c r="Y2173" s="113"/>
      <c r="Z2173" s="113"/>
      <c r="AA2173" s="113"/>
      <c r="AB2173" s="113"/>
      <c r="AC2173" s="113"/>
      <c r="AD2173" s="113"/>
      <c r="AE2173" s="113"/>
      <c r="AF2173" s="113"/>
      <c r="AG2173" s="113"/>
      <c r="AH2173" s="113"/>
      <c r="AI2173" s="113"/>
      <c r="AJ2173" s="113"/>
      <c r="AK2173" s="319" t="s">
        <v>1113</v>
      </c>
      <c r="AL2173" s="113"/>
      <c r="AM2173" s="113"/>
      <c r="AN2173" s="113"/>
      <c r="AO2173" s="44" t="s">
        <v>2334</v>
      </c>
      <c r="AP2173" s="43"/>
      <c r="AQ2173" s="236" t="str">
        <f>VLOOKUP(Table8[[#This Row],[Instrument]],Def_Targets!$D$73:$E$159,2,FALSE)</f>
        <v>A_SUMP</v>
      </c>
      <c r="AR2173" s="233" t="str">
        <f>VLOOKUP(Table8[[#This Row],[Country Code]],Table29[],3,FALSE)</f>
        <v>Annex I</v>
      </c>
      <c r="AS2173" s="233" t="str">
        <f>VLOOKUP(Table8[[#This Row],[Country Code]],Table29[],4,FALSE)</f>
        <v>Europe</v>
      </c>
      <c r="AT2173" s="233" t="str">
        <f>VLOOKUP(Table8[[#This Row],[Country Code]],Table29[],5,FALSE)</f>
        <v>High-income</v>
      </c>
      <c r="AU2173" s="233" t="str">
        <f>VLOOKUP(Table8[[#This Row],[Country Code]],Table29[],6,FALSE)</f>
        <v>no</v>
      </c>
      <c r="AV2173" s="233" t="str">
        <f>VLOOKUP(Table8[[#This Row],[Country Code]],Table29[],7,FALSE)</f>
        <v>no</v>
      </c>
      <c r="AW2173" s="233" t="str">
        <f>VLOOKUP(Table8[[#This Row],[Country Code]],Table29[],8,FALSE)</f>
        <v>OECD</v>
      </c>
      <c r="AX2173" s="233" t="str">
        <f>VLOOKUP(Table8[[#This Row],[Country Code]],Table29[],9,FALSE)</f>
        <v>EU27</v>
      </c>
      <c r="AY2173" s="233" t="str">
        <f>VLOOKUP(Table8[[#This Row],[Country Code]],Table29[],10,FALSE)</f>
        <v>no</v>
      </c>
      <c r="AZ2173" s="235">
        <f>VLOOKUP(Table8[[#This Row],[Country Code]],Table29[],23,FALSE)</f>
        <v>44.775610890682003</v>
      </c>
      <c r="BA2173" s="235">
        <f>VLOOKUP(Table8[[#This Row],[Country Code]],Table29[],24,FALSE)</f>
        <v>7.6629333129442534</v>
      </c>
      <c r="BB2173" s="320"/>
      <c r="BC2173" s="320"/>
    </row>
    <row r="2174" spans="1:55" ht="45" hidden="1" x14ac:dyDescent="0.25">
      <c r="A2174" s="373">
        <v>17759</v>
      </c>
      <c r="B2174" s="233" t="str">
        <f>VLOOKUP(Table8[[#This Row],[Document ID]],Table1[],2,FALSE)</f>
        <v>TLS</v>
      </c>
      <c r="C2174" s="233" t="str">
        <f>VLOOKUP(Table8[[#This Row],[Document ID]],Table1[],3,FALSE)</f>
        <v>Timor-Leste</v>
      </c>
      <c r="D2174" s="243" t="str">
        <f>VLOOKUP(Table8[[#This Row],[Document ID]],Table1[],5,FALSE)</f>
        <v>NDC</v>
      </c>
      <c r="E2174" s="233" t="str">
        <f>VLOOKUP(Table8[[#This Row],[Document ID]],Table1[],7,FALSE)</f>
        <v>First NDC</v>
      </c>
      <c r="F2174" s="236" t="str">
        <f>VLOOKUP(Table8[[#This Row],[Document ID]],Table1[],8,FALSE)</f>
        <v>NDC 1.0</v>
      </c>
      <c r="G2174" s="236" t="str">
        <f>VLOOKUP(Table8[[#This Row],[Document ID]],Table1[],10,FALSE)</f>
        <v>Archived</v>
      </c>
      <c r="H2174" s="44" t="s">
        <v>2338</v>
      </c>
      <c r="I2174" s="44" t="s">
        <v>2339</v>
      </c>
      <c r="J2174" s="44" t="s">
        <v>2410</v>
      </c>
      <c r="K2174" s="44" t="s">
        <v>4327</v>
      </c>
      <c r="L2174" s="44" t="s">
        <v>2333</v>
      </c>
      <c r="M2174" s="43"/>
      <c r="N2174" s="113" t="s">
        <v>1113</v>
      </c>
      <c r="O2174" s="113"/>
      <c r="P2174" s="113"/>
      <c r="Q2174" s="319"/>
      <c r="R2174" s="319"/>
      <c r="S2174" s="319"/>
      <c r="T2174" s="319"/>
      <c r="U2174" s="319"/>
      <c r="V2174" s="319"/>
      <c r="W2174" s="319"/>
      <c r="X2174" s="319"/>
      <c r="Y2174" s="319"/>
      <c r="Z2174" s="319"/>
      <c r="AA2174" s="319"/>
      <c r="AB2174" s="319"/>
      <c r="AC2174" s="319"/>
      <c r="AD2174" s="319"/>
      <c r="AE2174" s="319"/>
      <c r="AF2174" s="319"/>
      <c r="AG2174" s="319"/>
      <c r="AH2174" s="319"/>
      <c r="AI2174" s="319"/>
      <c r="AJ2174" s="319"/>
      <c r="AK2174" s="319" t="s">
        <v>1113</v>
      </c>
      <c r="AL2174" s="319"/>
      <c r="AM2174" s="319"/>
      <c r="AN2174" s="319"/>
      <c r="AO2174" s="44" t="s">
        <v>2334</v>
      </c>
      <c r="AP2174" s="44"/>
      <c r="AQ2174" s="236" t="str">
        <f>VLOOKUP(Table8[[#This Row],[Instrument]],Def_Targets!$D$73:$E$159,2,FALSE)</f>
        <v>I_VehicleRestrictions</v>
      </c>
      <c r="AR2174" s="233" t="str">
        <f>VLOOKUP(Table8[[#This Row],[Country Code]],Table29[],3,FALSE)</f>
        <v>Non-Annex I</v>
      </c>
      <c r="AS2174" s="233" t="str">
        <f>VLOOKUP(Table8[[#This Row],[Country Code]],Table29[],4,FALSE)</f>
        <v>Asia</v>
      </c>
      <c r="AT2174" s="233" t="str">
        <f>VLOOKUP(Table8[[#This Row],[Country Code]],Table29[],5,FALSE)</f>
        <v>Middle-income</v>
      </c>
      <c r="AU2174" s="233" t="str">
        <f>VLOOKUP(Table8[[#This Row],[Country Code]],Table29[],6,FALSE)</f>
        <v>no</v>
      </c>
      <c r="AV2174" s="233" t="str">
        <f>VLOOKUP(Table8[[#This Row],[Country Code]],Table29[],7,FALSE)</f>
        <v>no</v>
      </c>
      <c r="AW2174" s="233" t="str">
        <f>VLOOKUP(Table8[[#This Row],[Country Code]],Table29[],8,FALSE)</f>
        <v>non-OECD</v>
      </c>
      <c r="AX2174" s="233" t="str">
        <f>VLOOKUP(Table8[[#This Row],[Country Code]],Table29[],9,FALSE)</f>
        <v>no</v>
      </c>
      <c r="AY2174" s="233" t="str">
        <f>VLOOKUP(Table8[[#This Row],[Country Code]],Table29[],10,FALSE)</f>
        <v>no</v>
      </c>
      <c r="AZ2174" s="235">
        <f>VLOOKUP(Table8[[#This Row],[Country Code]],Table29[],23,FALSE)</f>
        <v>2.0071829501919001</v>
      </c>
      <c r="BA2174" s="235">
        <f>VLOOKUP(Table8[[#This Row],[Country Code]],Table29[],24,FALSE)</f>
        <v>0.34628334680787631</v>
      </c>
      <c r="BB2174" s="320"/>
      <c r="BC2174" s="320"/>
    </row>
    <row r="2175" spans="1:55" ht="45" hidden="1" x14ac:dyDescent="0.25">
      <c r="A2175" s="373">
        <v>17759</v>
      </c>
      <c r="B2175" s="233" t="str">
        <f>VLOOKUP(Table8[[#This Row],[Document ID]],Table1[],2,FALSE)</f>
        <v>TLS</v>
      </c>
      <c r="C2175" s="233" t="str">
        <f>VLOOKUP(Table8[[#This Row],[Document ID]],Table1[],3,FALSE)</f>
        <v>Timor-Leste</v>
      </c>
      <c r="D2175" s="243" t="str">
        <f>VLOOKUP(Table8[[#This Row],[Document ID]],Table1[],5,FALSE)</f>
        <v>NDC</v>
      </c>
      <c r="E2175" s="233" t="str">
        <f>VLOOKUP(Table8[[#This Row],[Document ID]],Table1[],7,FALSE)</f>
        <v>First NDC</v>
      </c>
      <c r="F2175" s="236" t="str">
        <f>VLOOKUP(Table8[[#This Row],[Document ID]],Table1[],8,FALSE)</f>
        <v>NDC 1.0</v>
      </c>
      <c r="G2175" s="236" t="str">
        <f>VLOOKUP(Table8[[#This Row],[Document ID]],Table1[],10,FALSE)</f>
        <v>Archived</v>
      </c>
      <c r="H2175" s="43" t="s">
        <v>2343</v>
      </c>
      <c r="I2175" s="43" t="s">
        <v>2344</v>
      </c>
      <c r="J2175" s="44" t="s">
        <v>2405</v>
      </c>
      <c r="K2175" s="44" t="s">
        <v>4328</v>
      </c>
      <c r="L2175" s="44" t="s">
        <v>2347</v>
      </c>
      <c r="M2175" s="43"/>
      <c r="N2175" s="113"/>
      <c r="O2175" s="113"/>
      <c r="P2175" s="113"/>
      <c r="Q2175" s="319"/>
      <c r="R2175" s="319"/>
      <c r="S2175" s="319"/>
      <c r="T2175" s="319"/>
      <c r="U2175" s="319"/>
      <c r="V2175" s="319"/>
      <c r="W2175" s="319"/>
      <c r="X2175" s="319"/>
      <c r="Y2175" s="113" t="s">
        <v>1113</v>
      </c>
      <c r="Z2175" s="113"/>
      <c r="AA2175" s="319"/>
      <c r="AB2175" s="319"/>
      <c r="AC2175" s="319"/>
      <c r="AD2175" s="319"/>
      <c r="AE2175" s="319"/>
      <c r="AF2175" s="319"/>
      <c r="AG2175" s="319"/>
      <c r="AH2175" s="319"/>
      <c r="AI2175" s="319"/>
      <c r="AJ2175" s="319"/>
      <c r="AK2175" s="319" t="s">
        <v>1113</v>
      </c>
      <c r="AL2175" s="319"/>
      <c r="AM2175" s="319"/>
      <c r="AN2175" s="319"/>
      <c r="AO2175" s="43" t="s">
        <v>2348</v>
      </c>
      <c r="AP2175" s="44"/>
      <c r="AQ2175" s="236" t="str">
        <f>VLOOKUP(Table8[[#This Row],[Instrument]],Def_Targets!$D$73:$E$159,2,FALSE)</f>
        <v>S_PTIntegration</v>
      </c>
      <c r="AR2175" s="233" t="str">
        <f>VLOOKUP(Table8[[#This Row],[Country Code]],Table29[],3,FALSE)</f>
        <v>Non-Annex I</v>
      </c>
      <c r="AS2175" s="233" t="str">
        <f>VLOOKUP(Table8[[#This Row],[Country Code]],Table29[],4,FALSE)</f>
        <v>Asia</v>
      </c>
      <c r="AT2175" s="233" t="str">
        <f>VLOOKUP(Table8[[#This Row],[Country Code]],Table29[],5,FALSE)</f>
        <v>Middle-income</v>
      </c>
      <c r="AU2175" s="233" t="str">
        <f>VLOOKUP(Table8[[#This Row],[Country Code]],Table29[],6,FALSE)</f>
        <v>no</v>
      </c>
      <c r="AV2175" s="233" t="str">
        <f>VLOOKUP(Table8[[#This Row],[Country Code]],Table29[],7,FALSE)</f>
        <v>no</v>
      </c>
      <c r="AW2175" s="233" t="str">
        <f>VLOOKUP(Table8[[#This Row],[Country Code]],Table29[],8,FALSE)</f>
        <v>non-OECD</v>
      </c>
      <c r="AX2175" s="233" t="str">
        <f>VLOOKUP(Table8[[#This Row],[Country Code]],Table29[],9,FALSE)</f>
        <v>no</v>
      </c>
      <c r="AY2175" s="233" t="str">
        <f>VLOOKUP(Table8[[#This Row],[Country Code]],Table29[],10,FALSE)</f>
        <v>no</v>
      </c>
      <c r="AZ2175" s="235">
        <f>VLOOKUP(Table8[[#This Row],[Country Code]],Table29[],23,FALSE)</f>
        <v>2.0071829501919001</v>
      </c>
      <c r="BA2175" s="235">
        <f>VLOOKUP(Table8[[#This Row],[Country Code]],Table29[],24,FALSE)</f>
        <v>0.34628334680787631</v>
      </c>
      <c r="BB2175" s="320"/>
      <c r="BC2175" s="320"/>
    </row>
    <row r="2176" spans="1:55" ht="75" hidden="1" x14ac:dyDescent="0.25">
      <c r="A2176" s="373">
        <v>32520</v>
      </c>
      <c r="B2176" s="233" t="str">
        <f>VLOOKUP(Table8[[#This Row],[Document ID]],Table1[],2,FALSE)</f>
        <v>TLS</v>
      </c>
      <c r="C2176" s="233" t="str">
        <f>VLOOKUP(Table8[[#This Row],[Document ID]],Table1[],3,FALSE)</f>
        <v>Timor-Leste</v>
      </c>
      <c r="D2176" s="243" t="str">
        <f>VLOOKUP(Table8[[#This Row],[Document ID]],Table1[],5,FALSE)</f>
        <v>NDC</v>
      </c>
      <c r="E2176" s="233" t="str">
        <f>VLOOKUP(Table8[[#This Row],[Document ID]],Table1[],7,FALSE)</f>
        <v>First NDC updated</v>
      </c>
      <c r="F2176" s="233" t="str">
        <f>VLOOKUP(Table8[[#This Row],[Document ID]],Table1[],8,FALSE)</f>
        <v>NDC 1.1</v>
      </c>
      <c r="G2176" s="233" t="str">
        <f>VLOOKUP(Table8[[#This Row],[Document ID]],Table1[],10,FALSE)</f>
        <v>Active</v>
      </c>
      <c r="H2176" s="44" t="s">
        <v>2338</v>
      </c>
      <c r="I2176" s="44" t="s">
        <v>2339</v>
      </c>
      <c r="J2176" s="44" t="s">
        <v>2410</v>
      </c>
      <c r="K2176" s="44" t="s">
        <v>4329</v>
      </c>
      <c r="L2176" s="44" t="s">
        <v>2333</v>
      </c>
      <c r="M2176" s="43">
        <v>37</v>
      </c>
      <c r="N2176" s="113"/>
      <c r="O2176" s="113"/>
      <c r="P2176" s="113"/>
      <c r="Q2176" s="113"/>
      <c r="R2176" s="113"/>
      <c r="S2176" s="113" t="s">
        <v>1113</v>
      </c>
      <c r="T2176" s="113"/>
      <c r="U2176" s="113"/>
      <c r="V2176" s="113"/>
      <c r="W2176" s="113"/>
      <c r="X2176" s="113"/>
      <c r="Y2176" s="113"/>
      <c r="Z2176" s="113"/>
      <c r="AA2176" s="113"/>
      <c r="AB2176" s="113"/>
      <c r="AC2176" s="113"/>
      <c r="AD2176" s="113"/>
      <c r="AE2176" s="113"/>
      <c r="AF2176" s="113"/>
      <c r="AG2176" s="113"/>
      <c r="AH2176" s="113"/>
      <c r="AI2176" s="113"/>
      <c r="AJ2176" s="113"/>
      <c r="AK2176" s="113" t="s">
        <v>1113</v>
      </c>
      <c r="AL2176" s="113"/>
      <c r="AM2176" s="113"/>
      <c r="AN2176" s="113"/>
      <c r="AO2176" s="43" t="s">
        <v>2477</v>
      </c>
      <c r="AP2176" s="43"/>
      <c r="AQ2176" s="236" t="str">
        <f>VLOOKUP(Table8[[#This Row],[Instrument]],Def_Targets!$D$73:$E$159,2,FALSE)</f>
        <v>I_VehicleRestrictions</v>
      </c>
      <c r="AR2176" s="233" t="str">
        <f>VLOOKUP(Table8[[#This Row],[Country Code]],Table29[],3,FALSE)</f>
        <v>Non-Annex I</v>
      </c>
      <c r="AS2176" s="233" t="str">
        <f>VLOOKUP(Table8[[#This Row],[Country Code]],Table29[],4,FALSE)</f>
        <v>Asia</v>
      </c>
      <c r="AT2176" s="233" t="str">
        <f>VLOOKUP(Table8[[#This Row],[Country Code]],Table29[],5,FALSE)</f>
        <v>Middle-income</v>
      </c>
      <c r="AU2176" s="233" t="str">
        <f>VLOOKUP(Table8[[#This Row],[Country Code]],Table29[],6,FALSE)</f>
        <v>no</v>
      </c>
      <c r="AV2176" s="233" t="str">
        <f>VLOOKUP(Table8[[#This Row],[Country Code]],Table29[],7,FALSE)</f>
        <v>no</v>
      </c>
      <c r="AW2176" s="233" t="str">
        <f>VLOOKUP(Table8[[#This Row],[Country Code]],Table29[],8,FALSE)</f>
        <v>non-OECD</v>
      </c>
      <c r="AX2176" s="233" t="str">
        <f>VLOOKUP(Table8[[#This Row],[Country Code]],Table29[],9,FALSE)</f>
        <v>no</v>
      </c>
      <c r="AY2176" s="233" t="str">
        <f>VLOOKUP(Table8[[#This Row],[Country Code]],Table29[],10,FALSE)</f>
        <v>no</v>
      </c>
      <c r="AZ2176" s="235">
        <f>VLOOKUP(Table8[[#This Row],[Country Code]],Table29[],23,FALSE)</f>
        <v>2.0071829501919001</v>
      </c>
      <c r="BA2176" s="235">
        <f>VLOOKUP(Table8[[#This Row],[Country Code]],Table29[],24,FALSE)</f>
        <v>0.34628334680787631</v>
      </c>
      <c r="BB2176" s="320"/>
      <c r="BC2176" s="320"/>
    </row>
    <row r="2177" spans="1:55" ht="60" hidden="1" x14ac:dyDescent="0.25">
      <c r="A2177" s="373">
        <v>32520</v>
      </c>
      <c r="B2177" s="233" t="str">
        <f>VLOOKUP(Table8[[#This Row],[Document ID]],Table1[],2,FALSE)</f>
        <v>TLS</v>
      </c>
      <c r="C2177" s="233" t="str">
        <f>VLOOKUP(Table8[[#This Row],[Document ID]],Table1[],3,FALSE)</f>
        <v>Timor-Leste</v>
      </c>
      <c r="D2177" s="243" t="str">
        <f>VLOOKUP(Table8[[#This Row],[Document ID]],Table1[],5,FALSE)</f>
        <v>NDC</v>
      </c>
      <c r="E2177" s="233" t="str">
        <f>VLOOKUP(Table8[[#This Row],[Document ID]],Table1[],7,FALSE)</f>
        <v>First NDC updated</v>
      </c>
      <c r="F2177" s="233" t="str">
        <f>VLOOKUP(Table8[[#This Row],[Document ID]],Table1[],8,FALSE)</f>
        <v>NDC 1.1</v>
      </c>
      <c r="G2177" s="233" t="str">
        <f>VLOOKUP(Table8[[#This Row],[Document ID]],Table1[],10,FALSE)</f>
        <v>Active</v>
      </c>
      <c r="H2177" s="43" t="s">
        <v>2350</v>
      </c>
      <c r="I2177" s="43" t="s">
        <v>2370</v>
      </c>
      <c r="J2177" s="44" t="s">
        <v>2418</v>
      </c>
      <c r="K2177" s="44" t="s">
        <v>4330</v>
      </c>
      <c r="L2177" s="44" t="s">
        <v>2396</v>
      </c>
      <c r="M2177" s="43">
        <v>37</v>
      </c>
      <c r="N2177" s="113"/>
      <c r="O2177" s="113"/>
      <c r="P2177" s="113" t="s">
        <v>1113</v>
      </c>
      <c r="Q2177" s="113" t="s">
        <v>1113</v>
      </c>
      <c r="R2177" s="113"/>
      <c r="S2177" s="113"/>
      <c r="T2177" s="113"/>
      <c r="U2177" s="113"/>
      <c r="V2177" s="113"/>
      <c r="W2177" s="113"/>
      <c r="X2177" s="113"/>
      <c r="Y2177" s="113" t="s">
        <v>1113</v>
      </c>
      <c r="Z2177" s="113"/>
      <c r="AA2177" s="113"/>
      <c r="AB2177" s="113"/>
      <c r="AC2177" s="113" t="s">
        <v>1113</v>
      </c>
      <c r="AD2177" s="113"/>
      <c r="AE2177" s="113"/>
      <c r="AF2177" s="113"/>
      <c r="AG2177" s="113"/>
      <c r="AH2177" s="113"/>
      <c r="AI2177" s="113"/>
      <c r="AJ2177" s="113"/>
      <c r="AK2177" s="113" t="s">
        <v>1113</v>
      </c>
      <c r="AL2177" s="113"/>
      <c r="AM2177" s="113"/>
      <c r="AN2177" s="113"/>
      <c r="AO2177" s="44" t="s">
        <v>2334</v>
      </c>
      <c r="AP2177" s="43"/>
      <c r="AQ2177" s="236" t="str">
        <f>VLOOKUP(Table8[[#This Row],[Instrument]],Def_Targets!$D$73:$E$159,2,FALSE)</f>
        <v>A_Complan</v>
      </c>
      <c r="AR2177" s="233" t="str">
        <f>VLOOKUP(Table8[[#This Row],[Country Code]],Table29[],3,FALSE)</f>
        <v>Non-Annex I</v>
      </c>
      <c r="AS2177" s="233" t="str">
        <f>VLOOKUP(Table8[[#This Row],[Country Code]],Table29[],4,FALSE)</f>
        <v>Asia</v>
      </c>
      <c r="AT2177" s="233" t="str">
        <f>VLOOKUP(Table8[[#This Row],[Country Code]],Table29[],5,FALSE)</f>
        <v>Middle-income</v>
      </c>
      <c r="AU2177" s="233" t="str">
        <f>VLOOKUP(Table8[[#This Row],[Country Code]],Table29[],6,FALSE)</f>
        <v>no</v>
      </c>
      <c r="AV2177" s="233" t="str">
        <f>VLOOKUP(Table8[[#This Row],[Country Code]],Table29[],7,FALSE)</f>
        <v>no</v>
      </c>
      <c r="AW2177" s="233" t="str">
        <f>VLOOKUP(Table8[[#This Row],[Country Code]],Table29[],8,FALSE)</f>
        <v>non-OECD</v>
      </c>
      <c r="AX2177" s="233" t="str">
        <f>VLOOKUP(Table8[[#This Row],[Country Code]],Table29[],9,FALSE)</f>
        <v>no</v>
      </c>
      <c r="AY2177" s="233" t="str">
        <f>VLOOKUP(Table8[[#This Row],[Country Code]],Table29[],10,FALSE)</f>
        <v>no</v>
      </c>
      <c r="AZ2177" s="235">
        <f>VLOOKUP(Table8[[#This Row],[Country Code]],Table29[],23,FALSE)</f>
        <v>2.0071829501919001</v>
      </c>
      <c r="BA2177" s="235">
        <f>VLOOKUP(Table8[[#This Row],[Country Code]],Table29[],24,FALSE)</f>
        <v>0.34628334680787631</v>
      </c>
      <c r="BB2177" s="320"/>
      <c r="BC2177" s="320"/>
    </row>
    <row r="2178" spans="1:55" ht="41.1" hidden="1" customHeight="1" x14ac:dyDescent="0.25">
      <c r="A2178" s="373">
        <v>17760</v>
      </c>
      <c r="B2178" s="233" t="str">
        <f>VLOOKUP(Table8[[#This Row],[Document ID]],Table1[],2,FALSE)</f>
        <v>TGO</v>
      </c>
      <c r="C2178" s="233" t="str">
        <f>VLOOKUP(Table8[[#This Row],[Document ID]],Table1[],3,FALSE)</f>
        <v>Togo</v>
      </c>
      <c r="D2178" s="243" t="str">
        <f>VLOOKUP(Table8[[#This Row],[Document ID]],Table1[],5,FALSE)</f>
        <v>NDC</v>
      </c>
      <c r="E2178" s="233" t="str">
        <f>VLOOKUP(Table8[[#This Row],[Document ID]],Table1[],7,FALSE)</f>
        <v>First NDC</v>
      </c>
      <c r="F2178" s="236" t="str">
        <f>VLOOKUP(Table8[[#This Row],[Document ID]],Table1[],8,FALSE)</f>
        <v>NDC 1.0</v>
      </c>
      <c r="G2178" s="236" t="str">
        <f>VLOOKUP(Table8[[#This Row],[Document ID]],Table1[],10,FALSE)</f>
        <v>Archived</v>
      </c>
      <c r="H2178" s="43" t="s">
        <v>2343</v>
      </c>
      <c r="I2178" s="43" t="s">
        <v>2361</v>
      </c>
      <c r="J2178" s="44" t="s">
        <v>2463</v>
      </c>
      <c r="K2178" s="44" t="s">
        <v>4331</v>
      </c>
      <c r="L2178" s="44" t="s">
        <v>2347</v>
      </c>
      <c r="M2178" s="43"/>
      <c r="N2178" s="113"/>
      <c r="O2178" s="113"/>
      <c r="P2178" s="113"/>
      <c r="Q2178" s="113" t="s">
        <v>1113</v>
      </c>
      <c r="R2178" s="319"/>
      <c r="S2178" s="319"/>
      <c r="T2178" s="319"/>
      <c r="U2178" s="319"/>
      <c r="V2178" s="319"/>
      <c r="W2178" s="319"/>
      <c r="X2178" s="319"/>
      <c r="Y2178" s="319"/>
      <c r="Z2178" s="319"/>
      <c r="AA2178" s="319"/>
      <c r="AB2178" s="319"/>
      <c r="AC2178" s="319"/>
      <c r="AD2178" s="319"/>
      <c r="AE2178" s="319"/>
      <c r="AF2178" s="319"/>
      <c r="AG2178" s="319"/>
      <c r="AH2178" s="319"/>
      <c r="AI2178" s="319"/>
      <c r="AJ2178" s="319"/>
      <c r="AK2178" s="319" t="s">
        <v>1113</v>
      </c>
      <c r="AL2178" s="319"/>
      <c r="AM2178" s="319"/>
      <c r="AN2178" s="319"/>
      <c r="AO2178" s="44" t="s">
        <v>2334</v>
      </c>
      <c r="AP2178" s="43"/>
      <c r="AQ2178" s="236" t="str">
        <f>VLOOKUP(Table8[[#This Row],[Instrument]],Def_Targets!$D$73:$E$159,2,FALSE)</f>
        <v>S_Walking</v>
      </c>
      <c r="AR2178" s="233" t="str">
        <f>VLOOKUP(Table8[[#This Row],[Country Code]],Table29[],3,FALSE)</f>
        <v>Non-Annex I</v>
      </c>
      <c r="AS2178" s="233" t="str">
        <f>VLOOKUP(Table8[[#This Row],[Country Code]],Table29[],4,FALSE)</f>
        <v>Africa</v>
      </c>
      <c r="AT2178" s="233" t="str">
        <f>VLOOKUP(Table8[[#This Row],[Country Code]],Table29[],5,FALSE)</f>
        <v>Low-income</v>
      </c>
      <c r="AU2178" s="233" t="str">
        <f>VLOOKUP(Table8[[#This Row],[Country Code]],Table29[],6,FALSE)</f>
        <v>no</v>
      </c>
      <c r="AV2178" s="233" t="str">
        <f>VLOOKUP(Table8[[#This Row],[Country Code]],Table29[],7,FALSE)</f>
        <v>no</v>
      </c>
      <c r="AW2178" s="233" t="str">
        <f>VLOOKUP(Table8[[#This Row],[Country Code]],Table29[],8,FALSE)</f>
        <v>non-OECD</v>
      </c>
      <c r="AX2178" s="233" t="str">
        <f>VLOOKUP(Table8[[#This Row],[Country Code]],Table29[],9,FALSE)</f>
        <v>no</v>
      </c>
      <c r="AY2178" s="233" t="str">
        <f>VLOOKUP(Table8[[#This Row],[Country Code]],Table29[],10,FALSE)</f>
        <v>no</v>
      </c>
      <c r="AZ2178" s="235">
        <f>VLOOKUP(Table8[[#This Row],[Country Code]],Table29[],23,FALSE)</f>
        <v>10.612911987181</v>
      </c>
      <c r="BA2178" s="235">
        <f>VLOOKUP(Table8[[#This Row],[Country Code]],Table29[],24,FALSE)</f>
        <v>1.3349461053649869</v>
      </c>
      <c r="BB2178" s="320"/>
      <c r="BC2178" s="320"/>
    </row>
    <row r="2179" spans="1:55" ht="41.1" hidden="1" customHeight="1" x14ac:dyDescent="0.25">
      <c r="A2179" s="373">
        <v>17760</v>
      </c>
      <c r="B2179" s="233" t="str">
        <f>VLOOKUP(Table8[[#This Row],[Document ID]],Table1[],2,FALSE)</f>
        <v>TGO</v>
      </c>
      <c r="C2179" s="233" t="str">
        <f>VLOOKUP(Table8[[#This Row],[Document ID]],Table1[],3,FALSE)</f>
        <v>Togo</v>
      </c>
      <c r="D2179" s="243" t="str">
        <f>VLOOKUP(Table8[[#This Row],[Document ID]],Table1[],5,FALSE)</f>
        <v>NDC</v>
      </c>
      <c r="E2179" s="233" t="str">
        <f>VLOOKUP(Table8[[#This Row],[Document ID]],Table1[],7,FALSE)</f>
        <v>First NDC</v>
      </c>
      <c r="F2179" s="236" t="str">
        <f>VLOOKUP(Table8[[#This Row],[Document ID]],Table1[],8,FALSE)</f>
        <v>NDC 1.0</v>
      </c>
      <c r="G2179" s="236" t="str">
        <f>VLOOKUP(Table8[[#This Row],[Document ID]],Table1[],10,FALSE)</f>
        <v>Archived</v>
      </c>
      <c r="H2179" s="43" t="s">
        <v>2343</v>
      </c>
      <c r="I2179" s="43" t="s">
        <v>2361</v>
      </c>
      <c r="J2179" s="44" t="s">
        <v>2362</v>
      </c>
      <c r="K2179" s="44" t="s">
        <v>4331</v>
      </c>
      <c r="L2179" s="44" t="s">
        <v>2347</v>
      </c>
      <c r="M2179" s="43"/>
      <c r="N2179" s="113"/>
      <c r="O2179" s="113"/>
      <c r="P2179" s="113"/>
      <c r="Q2179" s="319"/>
      <c r="R2179" s="113" t="s">
        <v>1113</v>
      </c>
      <c r="S2179" s="319"/>
      <c r="T2179" s="319"/>
      <c r="U2179" s="319"/>
      <c r="V2179" s="319"/>
      <c r="W2179" s="319"/>
      <c r="X2179" s="319"/>
      <c r="Y2179" s="319"/>
      <c r="Z2179" s="319"/>
      <c r="AA2179" s="319"/>
      <c r="AB2179" s="319"/>
      <c r="AC2179" s="319"/>
      <c r="AD2179" s="319"/>
      <c r="AE2179" s="319"/>
      <c r="AF2179" s="319"/>
      <c r="AG2179" s="319"/>
      <c r="AH2179" s="319"/>
      <c r="AI2179" s="319"/>
      <c r="AJ2179" s="319"/>
      <c r="AK2179" s="319" t="s">
        <v>1113</v>
      </c>
      <c r="AL2179" s="319"/>
      <c r="AM2179" s="319"/>
      <c r="AN2179" s="319"/>
      <c r="AO2179" s="44" t="s">
        <v>2334</v>
      </c>
      <c r="AP2179" s="43"/>
      <c r="AQ2179" s="236" t="str">
        <f>VLOOKUP(Table8[[#This Row],[Instrument]],Def_Targets!$D$73:$E$159,2,FALSE)</f>
        <v>S_Cycling</v>
      </c>
      <c r="AR2179" s="233" t="str">
        <f>VLOOKUP(Table8[[#This Row],[Country Code]],Table29[],3,FALSE)</f>
        <v>Non-Annex I</v>
      </c>
      <c r="AS2179" s="233" t="str">
        <f>VLOOKUP(Table8[[#This Row],[Country Code]],Table29[],4,FALSE)</f>
        <v>Africa</v>
      </c>
      <c r="AT2179" s="233" t="str">
        <f>VLOOKUP(Table8[[#This Row],[Country Code]],Table29[],5,FALSE)</f>
        <v>Low-income</v>
      </c>
      <c r="AU2179" s="233" t="str">
        <f>VLOOKUP(Table8[[#This Row],[Country Code]],Table29[],6,FALSE)</f>
        <v>no</v>
      </c>
      <c r="AV2179" s="233" t="str">
        <f>VLOOKUP(Table8[[#This Row],[Country Code]],Table29[],7,FALSE)</f>
        <v>no</v>
      </c>
      <c r="AW2179" s="233" t="str">
        <f>VLOOKUP(Table8[[#This Row],[Country Code]],Table29[],8,FALSE)</f>
        <v>non-OECD</v>
      </c>
      <c r="AX2179" s="233" t="str">
        <f>VLOOKUP(Table8[[#This Row],[Country Code]],Table29[],9,FALSE)</f>
        <v>no</v>
      </c>
      <c r="AY2179" s="233" t="str">
        <f>VLOOKUP(Table8[[#This Row],[Country Code]],Table29[],10,FALSE)</f>
        <v>no</v>
      </c>
      <c r="AZ2179" s="235">
        <f>VLOOKUP(Table8[[#This Row],[Country Code]],Table29[],23,FALSE)</f>
        <v>10.612911987181</v>
      </c>
      <c r="BA2179" s="235">
        <f>VLOOKUP(Table8[[#This Row],[Country Code]],Table29[],24,FALSE)</f>
        <v>1.3349461053649869</v>
      </c>
      <c r="BB2179" s="320"/>
      <c r="BC2179" s="320"/>
    </row>
    <row r="2180" spans="1:55" hidden="1" x14ac:dyDescent="0.25">
      <c r="A2180" s="373">
        <v>17760</v>
      </c>
      <c r="B2180" s="233" t="str">
        <f>VLOOKUP(Table8[[#This Row],[Document ID]],Table1[],2,FALSE)</f>
        <v>TGO</v>
      </c>
      <c r="C2180" s="233" t="str">
        <f>VLOOKUP(Table8[[#This Row],[Document ID]],Table1[],3,FALSE)</f>
        <v>Togo</v>
      </c>
      <c r="D2180" s="243" t="str">
        <f>VLOOKUP(Table8[[#This Row],[Document ID]],Table1[],5,FALSE)</f>
        <v>NDC</v>
      </c>
      <c r="E2180" s="233" t="str">
        <f>VLOOKUP(Table8[[#This Row],[Document ID]],Table1[],7,FALSE)</f>
        <v>First NDC</v>
      </c>
      <c r="F2180" s="236" t="str">
        <f>VLOOKUP(Table8[[#This Row],[Document ID]],Table1[],8,FALSE)</f>
        <v>NDC 1.0</v>
      </c>
      <c r="G2180" s="236" t="str">
        <f>VLOOKUP(Table8[[#This Row],[Document ID]],Table1[],10,FALSE)</f>
        <v>Archived</v>
      </c>
      <c r="H2180" s="43" t="s">
        <v>2343</v>
      </c>
      <c r="I2180" s="43" t="s">
        <v>2344</v>
      </c>
      <c r="J2180" s="44" t="s">
        <v>2345</v>
      </c>
      <c r="K2180" s="44" t="s">
        <v>3332</v>
      </c>
      <c r="L2180" s="44" t="s">
        <v>2347</v>
      </c>
      <c r="M2180" s="43"/>
      <c r="N2180" s="113" t="s">
        <v>1113</v>
      </c>
      <c r="O2180" s="113"/>
      <c r="P2180" s="113"/>
      <c r="Q2180" s="319"/>
      <c r="R2180" s="319"/>
      <c r="S2180" s="319"/>
      <c r="T2180" s="319"/>
      <c r="U2180" s="319"/>
      <c r="V2180" s="319"/>
      <c r="W2180" s="319"/>
      <c r="X2180" s="319"/>
      <c r="Y2180" s="319"/>
      <c r="Z2180" s="319"/>
      <c r="AA2180" s="319"/>
      <c r="AB2180" s="319"/>
      <c r="AC2180" s="319"/>
      <c r="AD2180" s="319"/>
      <c r="AE2180" s="319"/>
      <c r="AF2180" s="319"/>
      <c r="AG2180" s="319"/>
      <c r="AH2180" s="319"/>
      <c r="AI2180" s="319"/>
      <c r="AJ2180" s="319"/>
      <c r="AK2180" s="319" t="s">
        <v>1113</v>
      </c>
      <c r="AL2180" s="319"/>
      <c r="AM2180" s="319"/>
      <c r="AN2180" s="319"/>
      <c r="AO2180" s="43" t="s">
        <v>2348</v>
      </c>
      <c r="AP2180" s="44"/>
      <c r="AQ2180" s="236" t="str">
        <f>VLOOKUP(Table8[[#This Row],[Instrument]],Def_Targets!$D$73:$E$159,2,FALSE)</f>
        <v>S_PublicTransport</v>
      </c>
      <c r="AR2180" s="233" t="str">
        <f>VLOOKUP(Table8[[#This Row],[Country Code]],Table29[],3,FALSE)</f>
        <v>Non-Annex I</v>
      </c>
      <c r="AS2180" s="233" t="str">
        <f>VLOOKUP(Table8[[#This Row],[Country Code]],Table29[],4,FALSE)</f>
        <v>Africa</v>
      </c>
      <c r="AT2180" s="233" t="str">
        <f>VLOOKUP(Table8[[#This Row],[Country Code]],Table29[],5,FALSE)</f>
        <v>Low-income</v>
      </c>
      <c r="AU2180" s="233" t="str">
        <f>VLOOKUP(Table8[[#This Row],[Country Code]],Table29[],6,FALSE)</f>
        <v>no</v>
      </c>
      <c r="AV2180" s="233" t="str">
        <f>VLOOKUP(Table8[[#This Row],[Country Code]],Table29[],7,FALSE)</f>
        <v>no</v>
      </c>
      <c r="AW2180" s="233" t="str">
        <f>VLOOKUP(Table8[[#This Row],[Country Code]],Table29[],8,FALSE)</f>
        <v>non-OECD</v>
      </c>
      <c r="AX2180" s="233" t="str">
        <f>VLOOKUP(Table8[[#This Row],[Country Code]],Table29[],9,FALSE)</f>
        <v>no</v>
      </c>
      <c r="AY2180" s="233" t="str">
        <f>VLOOKUP(Table8[[#This Row],[Country Code]],Table29[],10,FALSE)</f>
        <v>no</v>
      </c>
      <c r="AZ2180" s="235">
        <f>VLOOKUP(Table8[[#This Row],[Country Code]],Table29[],23,FALSE)</f>
        <v>10.612911987181</v>
      </c>
      <c r="BA2180" s="235">
        <f>VLOOKUP(Table8[[#This Row],[Country Code]],Table29[],24,FALSE)</f>
        <v>1.3349461053649869</v>
      </c>
      <c r="BB2180" s="320"/>
      <c r="BC2180" s="320"/>
    </row>
    <row r="2181" spans="1:55" ht="45" hidden="1" x14ac:dyDescent="0.25">
      <c r="A2181" s="373">
        <v>17760</v>
      </c>
      <c r="B2181" s="233" t="str">
        <f>VLOOKUP(Table8[[#This Row],[Document ID]],Table1[],2,FALSE)</f>
        <v>TGO</v>
      </c>
      <c r="C2181" s="233" t="str">
        <f>VLOOKUP(Table8[[#This Row],[Document ID]],Table1[],3,FALSE)</f>
        <v>Togo</v>
      </c>
      <c r="D2181" s="243" t="str">
        <f>VLOOKUP(Table8[[#This Row],[Document ID]],Table1[],5,FALSE)</f>
        <v>NDC</v>
      </c>
      <c r="E2181" s="233" t="str">
        <f>VLOOKUP(Table8[[#This Row],[Document ID]],Table1[],7,FALSE)</f>
        <v>First NDC</v>
      </c>
      <c r="F2181" s="236" t="str">
        <f>VLOOKUP(Table8[[#This Row],[Document ID]],Table1[],8,FALSE)</f>
        <v>NDC 1.0</v>
      </c>
      <c r="G2181" s="236" t="str">
        <f>VLOOKUP(Table8[[#This Row],[Document ID]],Table1[],10,FALSE)</f>
        <v>Archived</v>
      </c>
      <c r="H2181" s="44" t="s">
        <v>2338</v>
      </c>
      <c r="I2181" s="44" t="s">
        <v>2339</v>
      </c>
      <c r="J2181" s="44" t="s">
        <v>2410</v>
      </c>
      <c r="K2181" s="44" t="s">
        <v>4332</v>
      </c>
      <c r="L2181" s="44" t="s">
        <v>2333</v>
      </c>
      <c r="M2181" s="43"/>
      <c r="N2181" s="113" t="s">
        <v>1113</v>
      </c>
      <c r="O2181" s="113"/>
      <c r="P2181" s="113"/>
      <c r="Q2181" s="319"/>
      <c r="R2181" s="319"/>
      <c r="S2181" s="319"/>
      <c r="T2181" s="319"/>
      <c r="U2181" s="319"/>
      <c r="V2181" s="319"/>
      <c r="W2181" s="319"/>
      <c r="X2181" s="319"/>
      <c r="Y2181" s="319"/>
      <c r="Z2181" s="319"/>
      <c r="AA2181" s="319"/>
      <c r="AB2181" s="319"/>
      <c r="AC2181" s="319"/>
      <c r="AD2181" s="319"/>
      <c r="AE2181" s="319"/>
      <c r="AF2181" s="319"/>
      <c r="AG2181" s="319"/>
      <c r="AH2181" s="319"/>
      <c r="AI2181" s="319"/>
      <c r="AJ2181" s="319"/>
      <c r="AK2181" s="319" t="s">
        <v>1113</v>
      </c>
      <c r="AL2181" s="319"/>
      <c r="AM2181" s="319"/>
      <c r="AN2181" s="319"/>
      <c r="AO2181" s="44" t="s">
        <v>2334</v>
      </c>
      <c r="AP2181" s="44"/>
      <c r="AQ2181" s="236" t="str">
        <f>VLOOKUP(Table8[[#This Row],[Instrument]],Def_Targets!$D$73:$E$159,2,FALSE)</f>
        <v>I_VehicleRestrictions</v>
      </c>
      <c r="AR2181" s="233" t="str">
        <f>VLOOKUP(Table8[[#This Row],[Country Code]],Table29[],3,FALSE)</f>
        <v>Non-Annex I</v>
      </c>
      <c r="AS2181" s="233" t="str">
        <f>VLOOKUP(Table8[[#This Row],[Country Code]],Table29[],4,FALSE)</f>
        <v>Africa</v>
      </c>
      <c r="AT2181" s="233" t="str">
        <f>VLOOKUP(Table8[[#This Row],[Country Code]],Table29[],5,FALSE)</f>
        <v>Low-income</v>
      </c>
      <c r="AU2181" s="233" t="str">
        <f>VLOOKUP(Table8[[#This Row],[Country Code]],Table29[],6,FALSE)</f>
        <v>no</v>
      </c>
      <c r="AV2181" s="233" t="str">
        <f>VLOOKUP(Table8[[#This Row],[Country Code]],Table29[],7,FALSE)</f>
        <v>no</v>
      </c>
      <c r="AW2181" s="233" t="str">
        <f>VLOOKUP(Table8[[#This Row],[Country Code]],Table29[],8,FALSE)</f>
        <v>non-OECD</v>
      </c>
      <c r="AX2181" s="233" t="str">
        <f>VLOOKUP(Table8[[#This Row],[Country Code]],Table29[],9,FALSE)</f>
        <v>no</v>
      </c>
      <c r="AY2181" s="233" t="str">
        <f>VLOOKUP(Table8[[#This Row],[Country Code]],Table29[],10,FALSE)</f>
        <v>no</v>
      </c>
      <c r="AZ2181" s="235">
        <f>VLOOKUP(Table8[[#This Row],[Country Code]],Table29[],23,FALSE)</f>
        <v>10.612911987181</v>
      </c>
      <c r="BA2181" s="235">
        <f>VLOOKUP(Table8[[#This Row],[Country Code]],Table29[],24,FALSE)</f>
        <v>1.3349461053649869</v>
      </c>
      <c r="BB2181" s="320"/>
      <c r="BC2181" s="320"/>
    </row>
    <row r="2182" spans="1:55" hidden="1" x14ac:dyDescent="0.25">
      <c r="A2182" s="373">
        <v>17760</v>
      </c>
      <c r="B2182" s="233" t="str">
        <f>VLOOKUP(Table8[[#This Row],[Document ID]],Table1[],2,FALSE)</f>
        <v>TGO</v>
      </c>
      <c r="C2182" s="233" t="str">
        <f>VLOOKUP(Table8[[#This Row],[Document ID]],Table1[],3,FALSE)</f>
        <v>Togo</v>
      </c>
      <c r="D2182" s="243" t="str">
        <f>VLOOKUP(Table8[[#This Row],[Document ID]],Table1[],5,FALSE)</f>
        <v>NDC</v>
      </c>
      <c r="E2182" s="233" t="str">
        <f>VLOOKUP(Table8[[#This Row],[Document ID]],Table1[],7,FALSE)</f>
        <v>First NDC</v>
      </c>
      <c r="F2182" s="236" t="str">
        <f>VLOOKUP(Table8[[#This Row],[Document ID]],Table1[],8,FALSE)</f>
        <v>NDC 1.0</v>
      </c>
      <c r="G2182" s="236" t="str">
        <f>VLOOKUP(Table8[[#This Row],[Document ID]],Table1[],10,FALSE)</f>
        <v>Archived</v>
      </c>
      <c r="H2182" s="43" t="s">
        <v>2350</v>
      </c>
      <c r="I2182" s="43" t="s">
        <v>2456</v>
      </c>
      <c r="J2182" s="44" t="s">
        <v>2457</v>
      </c>
      <c r="K2182" s="44" t="s">
        <v>4333</v>
      </c>
      <c r="L2182" s="44" t="s">
        <v>2347</v>
      </c>
      <c r="M2182" s="43"/>
      <c r="N2182" s="113"/>
      <c r="O2182" s="113"/>
      <c r="P2182" s="113"/>
      <c r="Q2182" s="319"/>
      <c r="R2182" s="319"/>
      <c r="S2182" s="113" t="s">
        <v>1113</v>
      </c>
      <c r="T2182" s="319"/>
      <c r="U2182" s="319"/>
      <c r="V2182" s="319"/>
      <c r="W2182" s="319"/>
      <c r="X2182" s="319"/>
      <c r="Y2182" s="319"/>
      <c r="Z2182" s="319"/>
      <c r="AA2182" s="319"/>
      <c r="AB2182" s="319"/>
      <c r="AC2182" s="319"/>
      <c r="AD2182" s="319"/>
      <c r="AE2182" s="319"/>
      <c r="AF2182" s="319"/>
      <c r="AG2182" s="319"/>
      <c r="AH2182" s="319"/>
      <c r="AI2182" s="319"/>
      <c r="AJ2182" s="319"/>
      <c r="AK2182" s="319"/>
      <c r="AL2182" s="113" t="s">
        <v>1113</v>
      </c>
      <c r="AM2182" s="319"/>
      <c r="AN2182" s="319"/>
      <c r="AO2182" s="44" t="s">
        <v>2334</v>
      </c>
      <c r="AP2182" s="44"/>
      <c r="AQ2182" s="236" t="str">
        <f>VLOOKUP(Table8[[#This Row],[Instrument]],Def_Targets!$D$73:$E$159,2,FALSE)</f>
        <v>S_Infraimprove</v>
      </c>
      <c r="AR2182" s="233" t="str">
        <f>VLOOKUP(Table8[[#This Row],[Country Code]],Table29[],3,FALSE)</f>
        <v>Non-Annex I</v>
      </c>
      <c r="AS2182" s="233" t="str">
        <f>VLOOKUP(Table8[[#This Row],[Country Code]],Table29[],4,FALSE)</f>
        <v>Africa</v>
      </c>
      <c r="AT2182" s="233" t="str">
        <f>VLOOKUP(Table8[[#This Row],[Country Code]],Table29[],5,FALSE)</f>
        <v>Low-income</v>
      </c>
      <c r="AU2182" s="233" t="str">
        <f>VLOOKUP(Table8[[#This Row],[Country Code]],Table29[],6,FALSE)</f>
        <v>no</v>
      </c>
      <c r="AV2182" s="233" t="str">
        <f>VLOOKUP(Table8[[#This Row],[Country Code]],Table29[],7,FALSE)</f>
        <v>no</v>
      </c>
      <c r="AW2182" s="233" t="str">
        <f>VLOOKUP(Table8[[#This Row],[Country Code]],Table29[],8,FALSE)</f>
        <v>non-OECD</v>
      </c>
      <c r="AX2182" s="233" t="str">
        <f>VLOOKUP(Table8[[#This Row],[Country Code]],Table29[],9,FALSE)</f>
        <v>no</v>
      </c>
      <c r="AY2182" s="233" t="str">
        <f>VLOOKUP(Table8[[#This Row],[Country Code]],Table29[],10,FALSE)</f>
        <v>no</v>
      </c>
      <c r="AZ2182" s="235">
        <f>VLOOKUP(Table8[[#This Row],[Country Code]],Table29[],23,FALSE)</f>
        <v>10.612911987181</v>
      </c>
      <c r="BA2182" s="235">
        <f>VLOOKUP(Table8[[#This Row],[Country Code]],Table29[],24,FALSE)</f>
        <v>1.3349461053649869</v>
      </c>
      <c r="BB2182" s="320"/>
      <c r="BC2182" s="320"/>
    </row>
    <row r="2183" spans="1:55" hidden="1" x14ac:dyDescent="0.25">
      <c r="A2183" s="360">
        <v>23386</v>
      </c>
      <c r="B2183" s="233" t="str">
        <f>VLOOKUP(Table8[[#This Row],[Document ID]],Table1[],2,FALSE)</f>
        <v>TGO</v>
      </c>
      <c r="C2183" s="233" t="str">
        <f>VLOOKUP(Table8[[#This Row],[Document ID]],Table1[],3,FALSE)</f>
        <v>Togo</v>
      </c>
      <c r="D2183" s="233" t="str">
        <f>VLOOKUP(Table8[[#This Row],[Document ID]],Table1[],5,FALSE)</f>
        <v>NDC</v>
      </c>
      <c r="E2183" s="233" t="str">
        <f>VLOOKUP(Table8[[#This Row],[Document ID]],Table1[],7,FALSE)</f>
        <v>First NDC updated</v>
      </c>
      <c r="F2183" s="233" t="str">
        <f>VLOOKUP(Table8[[#This Row],[Document ID]],Table1[],8,FALSE)</f>
        <v>NDC 1.1</v>
      </c>
      <c r="G2183" s="233" t="str">
        <f>VLOOKUP(Table8[[#This Row],[Document ID]],Table1[],10,FALSE)</f>
        <v>Active</v>
      </c>
      <c r="H2183" s="43" t="s">
        <v>2358</v>
      </c>
      <c r="I2183" s="43" t="s">
        <v>2359</v>
      </c>
      <c r="J2183" s="44" t="s">
        <v>2360</v>
      </c>
      <c r="K2183" s="44" t="s">
        <v>2050</v>
      </c>
      <c r="L2183" s="44" t="s">
        <v>2333</v>
      </c>
      <c r="M2183" s="43">
        <v>25</v>
      </c>
      <c r="N2183" s="113" t="s">
        <v>1113</v>
      </c>
      <c r="O2183" s="113"/>
      <c r="P2183" s="113"/>
      <c r="Q2183" s="113"/>
      <c r="R2183" s="113"/>
      <c r="S2183" s="113"/>
      <c r="T2183" s="113"/>
      <c r="U2183" s="113"/>
      <c r="V2183" s="113"/>
      <c r="W2183" s="113"/>
      <c r="X2183" s="113"/>
      <c r="Y2183" s="113"/>
      <c r="Z2183" s="113"/>
      <c r="AA2183" s="113"/>
      <c r="AB2183" s="113"/>
      <c r="AC2183" s="113"/>
      <c r="AD2183" s="113"/>
      <c r="AE2183" s="113"/>
      <c r="AF2183" s="113"/>
      <c r="AG2183" s="113"/>
      <c r="AH2183" s="113"/>
      <c r="AI2183" s="113"/>
      <c r="AJ2183" s="113"/>
      <c r="AK2183" s="113" t="s">
        <v>1113</v>
      </c>
      <c r="AL2183" s="113"/>
      <c r="AM2183" s="113"/>
      <c r="AN2183" s="113"/>
      <c r="AO2183" s="44" t="s">
        <v>2334</v>
      </c>
      <c r="AP2183" s="43"/>
      <c r="AQ2183" s="236" t="str">
        <f>VLOOKUP(Table8[[#This Row],[Instrument]],Def_Targets!$D$73:$E$159,2,FALSE)</f>
        <v>I_Emobility</v>
      </c>
      <c r="AR2183" s="233" t="str">
        <f>VLOOKUP(Table8[[#This Row],[Country Code]],Table29[],3,FALSE)</f>
        <v>Non-Annex I</v>
      </c>
      <c r="AS2183" s="233" t="str">
        <f>VLOOKUP(Table8[[#This Row],[Country Code]],Table29[],4,FALSE)</f>
        <v>Africa</v>
      </c>
      <c r="AT2183" s="233" t="str">
        <f>VLOOKUP(Table8[[#This Row],[Country Code]],Table29[],5,FALSE)</f>
        <v>Low-income</v>
      </c>
      <c r="AU2183" s="233" t="str">
        <f>VLOOKUP(Table8[[#This Row],[Country Code]],Table29[],6,FALSE)</f>
        <v>no</v>
      </c>
      <c r="AV2183" s="233" t="str">
        <f>VLOOKUP(Table8[[#This Row],[Country Code]],Table29[],7,FALSE)</f>
        <v>no</v>
      </c>
      <c r="AW2183" s="233" t="str">
        <f>VLOOKUP(Table8[[#This Row],[Country Code]],Table29[],8,FALSE)</f>
        <v>non-OECD</v>
      </c>
      <c r="AX2183" s="233" t="str">
        <f>VLOOKUP(Table8[[#This Row],[Country Code]],Table29[],9,FALSE)</f>
        <v>no</v>
      </c>
      <c r="AY2183" s="233" t="str">
        <f>VLOOKUP(Table8[[#This Row],[Country Code]],Table29[],10,FALSE)</f>
        <v>no</v>
      </c>
      <c r="AZ2183" s="235">
        <f>VLOOKUP(Table8[[#This Row],[Country Code]],Table29[],23,FALSE)</f>
        <v>10.612911987181</v>
      </c>
      <c r="BA2183" s="235">
        <f>VLOOKUP(Table8[[#This Row],[Country Code]],Table29[],24,FALSE)</f>
        <v>1.3349461053649869</v>
      </c>
      <c r="BB2183" s="320"/>
      <c r="BC2183" s="320"/>
    </row>
    <row r="2184" spans="1:55" s="17" customFormat="1" ht="30" hidden="1" x14ac:dyDescent="0.25">
      <c r="A2184" s="360">
        <v>23386</v>
      </c>
      <c r="B2184" s="233" t="str">
        <f>VLOOKUP(Table8[[#This Row],[Document ID]],Table1[],2,FALSE)</f>
        <v>TGO</v>
      </c>
      <c r="C2184" s="233" t="str">
        <f>VLOOKUP(Table8[[#This Row],[Document ID]],Table1[],3,FALSE)</f>
        <v>Togo</v>
      </c>
      <c r="D2184" s="233" t="str">
        <f>VLOOKUP(Table8[[#This Row],[Document ID]],Table1[],5,FALSE)</f>
        <v>NDC</v>
      </c>
      <c r="E2184" s="233" t="str">
        <f>VLOOKUP(Table8[[#This Row],[Document ID]],Table1[],7,FALSE)</f>
        <v>First NDC updated</v>
      </c>
      <c r="F2184" s="233" t="str">
        <f>VLOOKUP(Table8[[#This Row],[Document ID]],Table1[],8,FALSE)</f>
        <v>NDC 1.1</v>
      </c>
      <c r="G2184" s="233" t="str">
        <f>VLOOKUP(Table8[[#This Row],[Document ID]],Table1[],10,FALSE)</f>
        <v>Active</v>
      </c>
      <c r="H2184" s="43" t="s">
        <v>2350</v>
      </c>
      <c r="I2184" s="43" t="s">
        <v>2456</v>
      </c>
      <c r="J2184" s="44" t="s">
        <v>2466</v>
      </c>
      <c r="K2184" s="44" t="s">
        <v>4334</v>
      </c>
      <c r="L2184" s="44" t="s">
        <v>2333</v>
      </c>
      <c r="M2184" s="43">
        <v>25</v>
      </c>
      <c r="N2184" s="113"/>
      <c r="O2184" s="113"/>
      <c r="P2184" s="113"/>
      <c r="Q2184" s="113"/>
      <c r="R2184" s="113"/>
      <c r="S2184" s="113" t="s">
        <v>1113</v>
      </c>
      <c r="T2184" s="113"/>
      <c r="U2184" s="113"/>
      <c r="V2184" s="113"/>
      <c r="W2184" s="113"/>
      <c r="X2184" s="113"/>
      <c r="Y2184" s="113"/>
      <c r="Z2184" s="113"/>
      <c r="AA2184" s="113"/>
      <c r="AB2184" s="113"/>
      <c r="AC2184" s="113"/>
      <c r="AD2184" s="113"/>
      <c r="AE2184" s="113"/>
      <c r="AF2184" s="113"/>
      <c r="AG2184" s="113"/>
      <c r="AH2184" s="113"/>
      <c r="AI2184" s="113"/>
      <c r="AJ2184" s="113"/>
      <c r="AK2184" s="113"/>
      <c r="AL2184" s="113"/>
      <c r="AM2184" s="113" t="s">
        <v>1113</v>
      </c>
      <c r="AN2184" s="113"/>
      <c r="AO2184" s="44" t="s">
        <v>2334</v>
      </c>
      <c r="AP2184" s="43"/>
      <c r="AQ2184" s="236" t="str">
        <f>VLOOKUP(Table8[[#This Row],[Instrument]],Def_Targets!$D$73:$E$159,2,FALSE)</f>
        <v>S_Infraexpansion</v>
      </c>
      <c r="AR2184" s="233" t="str">
        <f>VLOOKUP(Table8[[#This Row],[Country Code]],Table29[],3,FALSE)</f>
        <v>Non-Annex I</v>
      </c>
      <c r="AS2184" s="233" t="str">
        <f>VLOOKUP(Table8[[#This Row],[Country Code]],Table29[],4,FALSE)</f>
        <v>Africa</v>
      </c>
      <c r="AT2184" s="233" t="str">
        <f>VLOOKUP(Table8[[#This Row],[Country Code]],Table29[],5,FALSE)</f>
        <v>Low-income</v>
      </c>
      <c r="AU2184" s="233" t="str">
        <f>VLOOKUP(Table8[[#This Row],[Country Code]],Table29[],6,FALSE)</f>
        <v>no</v>
      </c>
      <c r="AV2184" s="233" t="str">
        <f>VLOOKUP(Table8[[#This Row],[Country Code]],Table29[],7,FALSE)</f>
        <v>no</v>
      </c>
      <c r="AW2184" s="233" t="str">
        <f>VLOOKUP(Table8[[#This Row],[Country Code]],Table29[],8,FALSE)</f>
        <v>non-OECD</v>
      </c>
      <c r="AX2184" s="233" t="str">
        <f>VLOOKUP(Table8[[#This Row],[Country Code]],Table29[],9,FALSE)</f>
        <v>no</v>
      </c>
      <c r="AY2184" s="233" t="str">
        <f>VLOOKUP(Table8[[#This Row],[Country Code]],Table29[],10,FALSE)</f>
        <v>no</v>
      </c>
      <c r="AZ2184" s="235">
        <f>VLOOKUP(Table8[[#This Row],[Country Code]],Table29[],23,FALSE)</f>
        <v>10.612911987181</v>
      </c>
      <c r="BA2184" s="235">
        <f>VLOOKUP(Table8[[#This Row],[Country Code]],Table29[],24,FALSE)</f>
        <v>1.3349461053649869</v>
      </c>
      <c r="BB2184" s="320"/>
      <c r="BC2184" s="320"/>
    </row>
    <row r="2185" spans="1:55" ht="30" hidden="1" x14ac:dyDescent="0.25">
      <c r="A2185" s="360">
        <v>23386</v>
      </c>
      <c r="B2185" s="233" t="str">
        <f>VLOOKUP(Table8[[#This Row],[Document ID]],Table1[],2,FALSE)</f>
        <v>TGO</v>
      </c>
      <c r="C2185" s="233" t="str">
        <f>VLOOKUP(Table8[[#This Row],[Document ID]],Table1[],3,FALSE)</f>
        <v>Togo</v>
      </c>
      <c r="D2185" s="233" t="str">
        <f>VLOOKUP(Table8[[#This Row],[Document ID]],Table1[],5,FALSE)</f>
        <v>NDC</v>
      </c>
      <c r="E2185" s="233" t="str">
        <f>VLOOKUP(Table8[[#This Row],[Document ID]],Table1[],7,FALSE)</f>
        <v>First NDC updated</v>
      </c>
      <c r="F2185" s="233" t="str">
        <f>VLOOKUP(Table8[[#This Row],[Document ID]],Table1[],8,FALSE)</f>
        <v>NDC 1.1</v>
      </c>
      <c r="G2185" s="233" t="str">
        <f>VLOOKUP(Table8[[#This Row],[Document ID]],Table1[],10,FALSE)</f>
        <v>Active</v>
      </c>
      <c r="H2185" s="43" t="s">
        <v>2350</v>
      </c>
      <c r="I2185" s="43" t="s">
        <v>2456</v>
      </c>
      <c r="J2185" s="44" t="s">
        <v>2466</v>
      </c>
      <c r="K2185" s="44" t="s">
        <v>4335</v>
      </c>
      <c r="L2185" s="44" t="s">
        <v>2333</v>
      </c>
      <c r="M2185" s="43">
        <v>25</v>
      </c>
      <c r="N2185" s="113"/>
      <c r="O2185" s="113"/>
      <c r="P2185" s="113"/>
      <c r="Q2185" s="113"/>
      <c r="R2185" s="113"/>
      <c r="S2185" s="113" t="s">
        <v>1113</v>
      </c>
      <c r="T2185" s="113"/>
      <c r="U2185" s="113"/>
      <c r="V2185" s="113"/>
      <c r="W2185" s="113"/>
      <c r="X2185" s="113"/>
      <c r="Y2185" s="113"/>
      <c r="Z2185" s="113"/>
      <c r="AA2185" s="113"/>
      <c r="AB2185" s="113"/>
      <c r="AC2185" s="113"/>
      <c r="AD2185" s="113"/>
      <c r="AE2185" s="113"/>
      <c r="AF2185" s="113"/>
      <c r="AG2185" s="113"/>
      <c r="AH2185" s="113"/>
      <c r="AI2185" s="113"/>
      <c r="AJ2185" s="113"/>
      <c r="AK2185" s="113"/>
      <c r="AL2185" s="113"/>
      <c r="AM2185" s="113" t="s">
        <v>1113</v>
      </c>
      <c r="AN2185" s="113"/>
      <c r="AO2185" s="44" t="s">
        <v>2334</v>
      </c>
      <c r="AP2185" s="43"/>
      <c r="AQ2185" s="236" t="str">
        <f>VLOOKUP(Table8[[#This Row],[Instrument]],Def_Targets!$D$73:$E$159,2,FALSE)</f>
        <v>S_Infraexpansion</v>
      </c>
      <c r="AR2185" s="233" t="str">
        <f>VLOOKUP(Table8[[#This Row],[Country Code]],Table29[],3,FALSE)</f>
        <v>Non-Annex I</v>
      </c>
      <c r="AS2185" s="233" t="str">
        <f>VLOOKUP(Table8[[#This Row],[Country Code]],Table29[],4,FALSE)</f>
        <v>Africa</v>
      </c>
      <c r="AT2185" s="233" t="str">
        <f>VLOOKUP(Table8[[#This Row],[Country Code]],Table29[],5,FALSE)</f>
        <v>Low-income</v>
      </c>
      <c r="AU2185" s="233" t="str">
        <f>VLOOKUP(Table8[[#This Row],[Country Code]],Table29[],6,FALSE)</f>
        <v>no</v>
      </c>
      <c r="AV2185" s="233" t="str">
        <f>VLOOKUP(Table8[[#This Row],[Country Code]],Table29[],7,FALSE)</f>
        <v>no</v>
      </c>
      <c r="AW2185" s="233" t="str">
        <f>VLOOKUP(Table8[[#This Row],[Country Code]],Table29[],8,FALSE)</f>
        <v>non-OECD</v>
      </c>
      <c r="AX2185" s="233" t="str">
        <f>VLOOKUP(Table8[[#This Row],[Country Code]],Table29[],9,FALSE)</f>
        <v>no</v>
      </c>
      <c r="AY2185" s="233" t="str">
        <f>VLOOKUP(Table8[[#This Row],[Country Code]],Table29[],10,FALSE)</f>
        <v>no</v>
      </c>
      <c r="AZ2185" s="235">
        <f>VLOOKUP(Table8[[#This Row],[Country Code]],Table29[],23,FALSE)</f>
        <v>10.612911987181</v>
      </c>
      <c r="BA2185" s="235">
        <f>VLOOKUP(Table8[[#This Row],[Country Code]],Table29[],24,FALSE)</f>
        <v>1.3349461053649869</v>
      </c>
      <c r="BB2185" s="320"/>
      <c r="BC2185" s="320"/>
    </row>
    <row r="2186" spans="1:55" hidden="1" x14ac:dyDescent="0.25">
      <c r="A2186" s="360">
        <v>23386</v>
      </c>
      <c r="B2186" s="233" t="str">
        <f>VLOOKUP(Table8[[#This Row],[Document ID]],Table1[],2,FALSE)</f>
        <v>TGO</v>
      </c>
      <c r="C2186" s="233" t="str">
        <f>VLOOKUP(Table8[[#This Row],[Document ID]],Table1[],3,FALSE)</f>
        <v>Togo</v>
      </c>
      <c r="D2186" s="233" t="str">
        <f>VLOOKUP(Table8[[#This Row],[Document ID]],Table1[],5,FALSE)</f>
        <v>NDC</v>
      </c>
      <c r="E2186" s="233" t="str">
        <f>VLOOKUP(Table8[[#This Row],[Document ID]],Table1[],7,FALSE)</f>
        <v>First NDC updated</v>
      </c>
      <c r="F2186" s="233" t="str">
        <f>VLOOKUP(Table8[[#This Row],[Document ID]],Table1[],8,FALSE)</f>
        <v>NDC 1.1</v>
      </c>
      <c r="G2186" s="233" t="str">
        <f>VLOOKUP(Table8[[#This Row],[Document ID]],Table1[],10,FALSE)</f>
        <v>Active</v>
      </c>
      <c r="H2186" s="43" t="s">
        <v>2343</v>
      </c>
      <c r="I2186" s="43" t="s">
        <v>2386</v>
      </c>
      <c r="J2186" s="44" t="s">
        <v>2530</v>
      </c>
      <c r="K2186" s="44" t="s">
        <v>4336</v>
      </c>
      <c r="L2186" s="44" t="s">
        <v>2380</v>
      </c>
      <c r="M2186" s="43">
        <v>25</v>
      </c>
      <c r="N2186" s="113" t="s">
        <v>1113</v>
      </c>
      <c r="O2186" s="113"/>
      <c r="P2186" s="113"/>
      <c r="Q2186" s="113"/>
      <c r="R2186" s="113"/>
      <c r="S2186" s="113"/>
      <c r="T2186" s="113"/>
      <c r="U2186" s="113"/>
      <c r="V2186" s="113"/>
      <c r="W2186" s="113"/>
      <c r="X2186" s="113"/>
      <c r="Y2186" s="113"/>
      <c r="Z2186" s="113"/>
      <c r="AA2186" s="113"/>
      <c r="AB2186" s="113"/>
      <c r="AC2186" s="113"/>
      <c r="AD2186" s="113"/>
      <c r="AE2186" s="113"/>
      <c r="AF2186" s="113"/>
      <c r="AG2186" s="113"/>
      <c r="AH2186" s="113"/>
      <c r="AI2186" s="113"/>
      <c r="AJ2186" s="113"/>
      <c r="AK2186" s="113" t="s">
        <v>1113</v>
      </c>
      <c r="AL2186" s="113"/>
      <c r="AM2186" s="113"/>
      <c r="AN2186" s="113"/>
      <c r="AO2186" s="44" t="s">
        <v>2334</v>
      </c>
      <c r="AP2186" s="43"/>
      <c r="AQ2186" s="236" t="str">
        <f>VLOOKUP(Table8[[#This Row],[Instrument]],Def_Targets!$D$73:$E$159,2,FALSE)</f>
        <v>A_Vehicletax</v>
      </c>
      <c r="AR2186" s="233" t="str">
        <f>VLOOKUP(Table8[[#This Row],[Country Code]],Table29[],3,FALSE)</f>
        <v>Non-Annex I</v>
      </c>
      <c r="AS2186" s="233" t="str">
        <f>VLOOKUP(Table8[[#This Row],[Country Code]],Table29[],4,FALSE)</f>
        <v>Africa</v>
      </c>
      <c r="AT2186" s="233" t="str">
        <f>VLOOKUP(Table8[[#This Row],[Country Code]],Table29[],5,FALSE)</f>
        <v>Low-income</v>
      </c>
      <c r="AU2186" s="233" t="str">
        <f>VLOOKUP(Table8[[#This Row],[Country Code]],Table29[],6,FALSE)</f>
        <v>no</v>
      </c>
      <c r="AV2186" s="233" t="str">
        <f>VLOOKUP(Table8[[#This Row],[Country Code]],Table29[],7,FALSE)</f>
        <v>no</v>
      </c>
      <c r="AW2186" s="233" t="str">
        <f>VLOOKUP(Table8[[#This Row],[Country Code]],Table29[],8,FALSE)</f>
        <v>non-OECD</v>
      </c>
      <c r="AX2186" s="233" t="str">
        <f>VLOOKUP(Table8[[#This Row],[Country Code]],Table29[],9,FALSE)</f>
        <v>no</v>
      </c>
      <c r="AY2186" s="233" t="str">
        <f>VLOOKUP(Table8[[#This Row],[Country Code]],Table29[],10,FALSE)</f>
        <v>no</v>
      </c>
      <c r="AZ2186" s="235">
        <f>VLOOKUP(Table8[[#This Row],[Country Code]],Table29[],23,FALSE)</f>
        <v>10.612911987181</v>
      </c>
      <c r="BA2186" s="235">
        <f>VLOOKUP(Table8[[#This Row],[Country Code]],Table29[],24,FALSE)</f>
        <v>1.3349461053649869</v>
      </c>
      <c r="BB2186" s="320"/>
      <c r="BC2186" s="320"/>
    </row>
    <row r="2187" spans="1:55" ht="45" hidden="1" x14ac:dyDescent="0.25">
      <c r="A2187" s="360">
        <v>23386</v>
      </c>
      <c r="B2187" s="233" t="str">
        <f>VLOOKUP(Table8[[#This Row],[Document ID]],Table1[],2,FALSE)</f>
        <v>TGO</v>
      </c>
      <c r="C2187" s="233" t="str">
        <f>VLOOKUP(Table8[[#This Row],[Document ID]],Table1[],3,FALSE)</f>
        <v>Togo</v>
      </c>
      <c r="D2187" s="233" t="str">
        <f>VLOOKUP(Table8[[#This Row],[Document ID]],Table1[],5,FALSE)</f>
        <v>NDC</v>
      </c>
      <c r="E2187" s="233" t="str">
        <f>VLOOKUP(Table8[[#This Row],[Document ID]],Table1[],7,FALSE)</f>
        <v>First NDC updated</v>
      </c>
      <c r="F2187" s="233" t="str">
        <f>VLOOKUP(Table8[[#This Row],[Document ID]],Table1[],8,FALSE)</f>
        <v>NDC 1.1</v>
      </c>
      <c r="G2187" s="233" t="str">
        <f>VLOOKUP(Table8[[#This Row],[Document ID]],Table1[],10,FALSE)</f>
        <v>Active</v>
      </c>
      <c r="H2187" s="44" t="s">
        <v>2338</v>
      </c>
      <c r="I2187" s="44" t="s">
        <v>2339</v>
      </c>
      <c r="J2187" s="44" t="s">
        <v>2451</v>
      </c>
      <c r="K2187" s="44" t="s">
        <v>4337</v>
      </c>
      <c r="L2187" s="44" t="s">
        <v>2333</v>
      </c>
      <c r="M2187" s="43">
        <v>60</v>
      </c>
      <c r="N2187" s="113" t="s">
        <v>1113</v>
      </c>
      <c r="O2187" s="113"/>
      <c r="P2187" s="113"/>
      <c r="Q2187" s="113"/>
      <c r="R2187" s="113"/>
      <c r="S2187" s="113"/>
      <c r="T2187" s="113"/>
      <c r="U2187" s="113"/>
      <c r="V2187" s="113"/>
      <c r="W2187" s="113"/>
      <c r="X2187" s="113"/>
      <c r="Y2187" s="113"/>
      <c r="Z2187" s="113"/>
      <c r="AA2187" s="113"/>
      <c r="AB2187" s="113"/>
      <c r="AC2187" s="113"/>
      <c r="AD2187" s="113"/>
      <c r="AE2187" s="113"/>
      <c r="AF2187" s="113"/>
      <c r="AG2187" s="113"/>
      <c r="AH2187" s="113"/>
      <c r="AI2187" s="113"/>
      <c r="AJ2187" s="113"/>
      <c r="AK2187" s="113" t="s">
        <v>1113</v>
      </c>
      <c r="AL2187" s="113"/>
      <c r="AM2187" s="113"/>
      <c r="AN2187" s="113"/>
      <c r="AO2187" s="44" t="s">
        <v>2334</v>
      </c>
      <c r="AP2187" s="43"/>
      <c r="AQ2187" s="236" t="str">
        <f>VLOOKUP(Table8[[#This Row],[Instrument]],Def_Targets!$D$73:$E$159,2,FALSE)</f>
        <v>I_Inspection</v>
      </c>
      <c r="AR2187" s="233" t="str">
        <f>VLOOKUP(Table8[[#This Row],[Country Code]],Table29[],3,FALSE)</f>
        <v>Non-Annex I</v>
      </c>
      <c r="AS2187" s="233" t="str">
        <f>VLOOKUP(Table8[[#This Row],[Country Code]],Table29[],4,FALSE)</f>
        <v>Africa</v>
      </c>
      <c r="AT2187" s="233" t="str">
        <f>VLOOKUP(Table8[[#This Row],[Country Code]],Table29[],5,FALSE)</f>
        <v>Low-income</v>
      </c>
      <c r="AU2187" s="233" t="str">
        <f>VLOOKUP(Table8[[#This Row],[Country Code]],Table29[],6,FALSE)</f>
        <v>no</v>
      </c>
      <c r="AV2187" s="233" t="str">
        <f>VLOOKUP(Table8[[#This Row],[Country Code]],Table29[],7,FALSE)</f>
        <v>no</v>
      </c>
      <c r="AW2187" s="233" t="str">
        <f>VLOOKUP(Table8[[#This Row],[Country Code]],Table29[],8,FALSE)</f>
        <v>non-OECD</v>
      </c>
      <c r="AX2187" s="233" t="str">
        <f>VLOOKUP(Table8[[#This Row],[Country Code]],Table29[],9,FALSE)</f>
        <v>no</v>
      </c>
      <c r="AY2187" s="233" t="str">
        <f>VLOOKUP(Table8[[#This Row],[Country Code]],Table29[],10,FALSE)</f>
        <v>no</v>
      </c>
      <c r="AZ2187" s="235">
        <f>VLOOKUP(Table8[[#This Row],[Country Code]],Table29[],23,FALSE)</f>
        <v>10.612911987181</v>
      </c>
      <c r="BA2187" s="235">
        <f>VLOOKUP(Table8[[#This Row],[Country Code]],Table29[],24,FALSE)</f>
        <v>1.3349461053649869</v>
      </c>
      <c r="BB2187" s="320"/>
      <c r="BC2187" s="320"/>
    </row>
    <row r="2188" spans="1:55" ht="45" hidden="1" x14ac:dyDescent="0.25">
      <c r="A2188" s="360">
        <v>23386</v>
      </c>
      <c r="B2188" s="233" t="str">
        <f>VLOOKUP(Table8[[#This Row],[Document ID]],Table1[],2,FALSE)</f>
        <v>TGO</v>
      </c>
      <c r="C2188" s="233" t="str">
        <f>VLOOKUP(Table8[[#This Row],[Document ID]],Table1[],3,FALSE)</f>
        <v>Togo</v>
      </c>
      <c r="D2188" s="233" t="str">
        <f>VLOOKUP(Table8[[#This Row],[Document ID]],Table1[],5,FALSE)</f>
        <v>NDC</v>
      </c>
      <c r="E2188" s="233" t="str">
        <f>VLOOKUP(Table8[[#This Row],[Document ID]],Table1[],7,FALSE)</f>
        <v>First NDC updated</v>
      </c>
      <c r="F2188" s="233" t="str">
        <f>VLOOKUP(Table8[[#This Row],[Document ID]],Table1[],8,FALSE)</f>
        <v>NDC 1.1</v>
      </c>
      <c r="G2188" s="233" t="str">
        <f>VLOOKUP(Table8[[#This Row],[Document ID]],Table1[],10,FALSE)</f>
        <v>Active</v>
      </c>
      <c r="H2188" s="43" t="s">
        <v>2350</v>
      </c>
      <c r="I2188" s="43" t="s">
        <v>2407</v>
      </c>
      <c r="J2188" s="44" t="s">
        <v>2592</v>
      </c>
      <c r="K2188" s="44" t="s">
        <v>4337</v>
      </c>
      <c r="L2188" s="44" t="s">
        <v>2333</v>
      </c>
      <c r="M2188" s="43">
        <v>60</v>
      </c>
      <c r="N2188" s="113" t="s">
        <v>1113</v>
      </c>
      <c r="O2188" s="113"/>
      <c r="P2188" s="113"/>
      <c r="Q2188" s="113"/>
      <c r="R2188" s="113"/>
      <c r="S2188" s="113"/>
      <c r="T2188" s="113"/>
      <c r="U2188" s="113"/>
      <c r="V2188" s="113"/>
      <c r="W2188" s="113"/>
      <c r="X2188" s="113"/>
      <c r="Y2188" s="113"/>
      <c r="Z2188" s="113"/>
      <c r="AA2188" s="113"/>
      <c r="AB2188" s="113"/>
      <c r="AC2188" s="113"/>
      <c r="AD2188" s="113"/>
      <c r="AE2188" s="113"/>
      <c r="AF2188" s="113"/>
      <c r="AG2188" s="113"/>
      <c r="AH2188" s="113"/>
      <c r="AI2188" s="113"/>
      <c r="AJ2188" s="113"/>
      <c r="AK2188" s="113" t="s">
        <v>1113</v>
      </c>
      <c r="AL2188" s="113"/>
      <c r="AM2188" s="113"/>
      <c r="AN2188" s="113"/>
      <c r="AO2188" s="44" t="s">
        <v>2334</v>
      </c>
      <c r="AP2188" s="43"/>
      <c r="AQ2188" s="236" t="str">
        <f>VLOOKUP(Table8[[#This Row],[Instrument]],Def_Targets!$D$73:$E$159,2,FALSE)</f>
        <v>I_Ecodriving</v>
      </c>
      <c r="AR2188" s="233" t="str">
        <f>VLOOKUP(Table8[[#This Row],[Country Code]],Table29[],3,FALSE)</f>
        <v>Non-Annex I</v>
      </c>
      <c r="AS2188" s="233" t="str">
        <f>VLOOKUP(Table8[[#This Row],[Country Code]],Table29[],4,FALSE)</f>
        <v>Africa</v>
      </c>
      <c r="AT2188" s="233" t="str">
        <f>VLOOKUP(Table8[[#This Row],[Country Code]],Table29[],5,FALSE)</f>
        <v>Low-income</v>
      </c>
      <c r="AU2188" s="233" t="str">
        <f>VLOOKUP(Table8[[#This Row],[Country Code]],Table29[],6,FALSE)</f>
        <v>no</v>
      </c>
      <c r="AV2188" s="233" t="str">
        <f>VLOOKUP(Table8[[#This Row],[Country Code]],Table29[],7,FALSE)</f>
        <v>no</v>
      </c>
      <c r="AW2188" s="233" t="str">
        <f>VLOOKUP(Table8[[#This Row],[Country Code]],Table29[],8,FALSE)</f>
        <v>non-OECD</v>
      </c>
      <c r="AX2188" s="233" t="str">
        <f>VLOOKUP(Table8[[#This Row],[Country Code]],Table29[],9,FALSE)</f>
        <v>no</v>
      </c>
      <c r="AY2188" s="233" t="str">
        <f>VLOOKUP(Table8[[#This Row],[Country Code]],Table29[],10,FALSE)</f>
        <v>no</v>
      </c>
      <c r="AZ2188" s="235">
        <f>VLOOKUP(Table8[[#This Row],[Country Code]],Table29[],23,FALSE)</f>
        <v>10.612911987181</v>
      </c>
      <c r="BA2188" s="235">
        <f>VLOOKUP(Table8[[#This Row],[Country Code]],Table29[],24,FALSE)</f>
        <v>1.3349461053649869</v>
      </c>
      <c r="BB2188" s="320"/>
      <c r="BC2188" s="320"/>
    </row>
    <row r="2189" spans="1:55" hidden="1" x14ac:dyDescent="0.25">
      <c r="A2189" s="373">
        <v>17761</v>
      </c>
      <c r="B2189" s="233" t="str">
        <f>VLOOKUP(Table8[[#This Row],[Document ID]],Table1[],2,FALSE)</f>
        <v>TON</v>
      </c>
      <c r="C2189" s="233" t="str">
        <f>VLOOKUP(Table8[[#This Row],[Document ID]],Table1[],3,FALSE)</f>
        <v>Tonga</v>
      </c>
      <c r="D2189" s="243" t="str">
        <f>VLOOKUP(Table8[[#This Row],[Document ID]],Table1[],5,FALSE)</f>
        <v>NDC</v>
      </c>
      <c r="E2189" s="233" t="str">
        <f>VLOOKUP(Table8[[#This Row],[Document ID]],Table1[],7,FALSE)</f>
        <v>First NDC</v>
      </c>
      <c r="F2189" s="236" t="str">
        <f>VLOOKUP(Table8[[#This Row],[Document ID]],Table1[],8,FALSE)</f>
        <v>NDC 1.0</v>
      </c>
      <c r="G2189" s="236" t="str">
        <f>VLOOKUP(Table8[[#This Row],[Document ID]],Table1[],10,FALSE)</f>
        <v>Archived</v>
      </c>
      <c r="H2189" s="44" t="s">
        <v>2329</v>
      </c>
      <c r="I2189" s="44" t="s">
        <v>2330</v>
      </c>
      <c r="J2189" s="44" t="s">
        <v>2357</v>
      </c>
      <c r="K2189" s="44" t="s">
        <v>4338</v>
      </c>
      <c r="L2189" s="44" t="s">
        <v>2333</v>
      </c>
      <c r="M2189" s="43"/>
      <c r="N2189" s="113" t="s">
        <v>1113</v>
      </c>
      <c r="O2189" s="113"/>
      <c r="P2189" s="113"/>
      <c r="Q2189" s="319"/>
      <c r="R2189" s="319"/>
      <c r="S2189" s="319"/>
      <c r="T2189" s="319"/>
      <c r="U2189" s="319"/>
      <c r="V2189" s="319"/>
      <c r="W2189" s="319"/>
      <c r="X2189" s="319"/>
      <c r="Y2189" s="113"/>
      <c r="Z2189" s="113"/>
      <c r="AA2189" s="319"/>
      <c r="AB2189" s="319"/>
      <c r="AC2189" s="319"/>
      <c r="AD2189" s="319"/>
      <c r="AE2189" s="319"/>
      <c r="AF2189" s="319"/>
      <c r="AG2189" s="319"/>
      <c r="AH2189" s="319"/>
      <c r="AI2189" s="319"/>
      <c r="AJ2189" s="319"/>
      <c r="AK2189" s="319" t="s">
        <v>1113</v>
      </c>
      <c r="AL2189" s="319"/>
      <c r="AM2189" s="319"/>
      <c r="AN2189" s="319"/>
      <c r="AO2189" s="44" t="s">
        <v>2334</v>
      </c>
      <c r="AP2189" s="44"/>
      <c r="AQ2189" s="236" t="str">
        <f>VLOOKUP(Table8[[#This Row],[Instrument]],Def_Targets!$D$73:$E$159,2,FALSE)</f>
        <v>I_Biofuel</v>
      </c>
      <c r="AR2189" s="233" t="str">
        <f>VLOOKUP(Table8[[#This Row],[Country Code]],Table29[],3,FALSE)</f>
        <v>Non-Annex I</v>
      </c>
      <c r="AS2189" s="233" t="str">
        <f>VLOOKUP(Table8[[#This Row],[Country Code]],Table29[],4,FALSE)</f>
        <v>Oceania</v>
      </c>
      <c r="AT2189" s="233" t="str">
        <f>VLOOKUP(Table8[[#This Row],[Country Code]],Table29[],5,FALSE)</f>
        <v>Middle-income</v>
      </c>
      <c r="AU2189" s="233" t="str">
        <f>VLOOKUP(Table8[[#This Row],[Country Code]],Table29[],6,FALSE)</f>
        <v>no</v>
      </c>
      <c r="AV2189" s="233" t="str">
        <f>VLOOKUP(Table8[[#This Row],[Country Code]],Table29[],7,FALSE)</f>
        <v>no</v>
      </c>
      <c r="AW2189" s="233" t="str">
        <f>VLOOKUP(Table8[[#This Row],[Country Code]],Table29[],8,FALSE)</f>
        <v>non-OECD</v>
      </c>
      <c r="AX2189" s="233" t="str">
        <f>VLOOKUP(Table8[[#This Row],[Country Code]],Table29[],9,FALSE)</f>
        <v>no</v>
      </c>
      <c r="AY2189" s="233" t="str">
        <f>VLOOKUP(Table8[[#This Row],[Country Code]],Table29[],10,FALSE)</f>
        <v>no</v>
      </c>
      <c r="AZ2189" s="235">
        <f>VLOOKUP(Table8[[#This Row],[Country Code]],Table29[],23,FALSE)</f>
        <v>0.34210672521812002</v>
      </c>
      <c r="BA2189" s="235">
        <f>VLOOKUP(Table8[[#This Row],[Country Code]],Table29[],24,FALSE)</f>
        <v>0.1141760738354758</v>
      </c>
      <c r="BB2189" s="320"/>
      <c r="BC2189" s="320"/>
    </row>
    <row r="2190" spans="1:55" hidden="1" x14ac:dyDescent="0.25">
      <c r="A2190" s="360">
        <v>17762</v>
      </c>
      <c r="B2190" s="233" t="str">
        <f>VLOOKUP(Table8[[#This Row],[Document ID]],Table1[],2,FALSE)</f>
        <v>TON</v>
      </c>
      <c r="C2190" s="233" t="str">
        <f>VLOOKUP(Table8[[#This Row],[Document ID]],Table1[],3,FALSE)</f>
        <v>Tonga</v>
      </c>
      <c r="D2190" s="233" t="str">
        <f>VLOOKUP(Table8[[#This Row],[Document ID]],Table1[],5,FALSE)</f>
        <v>NDC</v>
      </c>
      <c r="E2190" s="233" t="str">
        <f>VLOOKUP(Table8[[#This Row],[Document ID]],Table1[],7,FALSE)</f>
        <v>Second NDC</v>
      </c>
      <c r="F2190" s="233" t="str">
        <f>VLOOKUP(Table8[[#This Row],[Document ID]],Table1[],8,FALSE)</f>
        <v>NDC 2.0</v>
      </c>
      <c r="G2190" s="233" t="str">
        <f>VLOOKUP(Table8[[#This Row],[Document ID]],Table1[],10,FALSE)</f>
        <v>Active</v>
      </c>
      <c r="H2190" s="43" t="s">
        <v>2343</v>
      </c>
      <c r="I2190" s="43" t="s">
        <v>2386</v>
      </c>
      <c r="J2190" s="44" t="s">
        <v>2530</v>
      </c>
      <c r="K2190" s="44" t="s">
        <v>4339</v>
      </c>
      <c r="L2190" s="44" t="s">
        <v>2333</v>
      </c>
      <c r="M2190" s="43">
        <v>6</v>
      </c>
      <c r="N2190" s="113" t="s">
        <v>1113</v>
      </c>
      <c r="O2190" s="113"/>
      <c r="P2190" s="113"/>
      <c r="Q2190" s="113"/>
      <c r="R2190" s="113"/>
      <c r="S2190" s="113"/>
      <c r="T2190" s="113"/>
      <c r="U2190" s="113"/>
      <c r="V2190" s="113"/>
      <c r="W2190" s="113"/>
      <c r="X2190" s="113"/>
      <c r="Y2190" s="113"/>
      <c r="Z2190" s="113"/>
      <c r="AA2190" s="113"/>
      <c r="AB2190" s="113"/>
      <c r="AC2190" s="113"/>
      <c r="AD2190" s="113"/>
      <c r="AE2190" s="113"/>
      <c r="AF2190" s="113"/>
      <c r="AG2190" s="113"/>
      <c r="AH2190" s="113"/>
      <c r="AI2190" s="113"/>
      <c r="AJ2190" s="113"/>
      <c r="AK2190" s="319" t="s">
        <v>1113</v>
      </c>
      <c r="AL2190" s="113"/>
      <c r="AM2190" s="113"/>
      <c r="AN2190" s="113"/>
      <c r="AO2190" s="44" t="s">
        <v>2334</v>
      </c>
      <c r="AP2190" s="44"/>
      <c r="AQ2190" s="236" t="str">
        <f>VLOOKUP(Table8[[#This Row],[Instrument]],Def_Targets!$D$73:$E$159,2,FALSE)</f>
        <v>A_Vehicletax</v>
      </c>
      <c r="AR2190" s="233" t="str">
        <f>VLOOKUP(Table8[[#This Row],[Country Code]],Table29[],3,FALSE)</f>
        <v>Non-Annex I</v>
      </c>
      <c r="AS2190" s="233" t="str">
        <f>VLOOKUP(Table8[[#This Row],[Country Code]],Table29[],4,FALSE)</f>
        <v>Oceania</v>
      </c>
      <c r="AT2190" s="233" t="str">
        <f>VLOOKUP(Table8[[#This Row],[Country Code]],Table29[],5,FALSE)</f>
        <v>Middle-income</v>
      </c>
      <c r="AU2190" s="233" t="str">
        <f>VLOOKUP(Table8[[#This Row],[Country Code]],Table29[],6,FALSE)</f>
        <v>no</v>
      </c>
      <c r="AV2190" s="233" t="str">
        <f>VLOOKUP(Table8[[#This Row],[Country Code]],Table29[],7,FALSE)</f>
        <v>no</v>
      </c>
      <c r="AW2190" s="233" t="str">
        <f>VLOOKUP(Table8[[#This Row],[Country Code]],Table29[],8,FALSE)</f>
        <v>non-OECD</v>
      </c>
      <c r="AX2190" s="233" t="str">
        <f>VLOOKUP(Table8[[#This Row],[Country Code]],Table29[],9,FALSE)</f>
        <v>no</v>
      </c>
      <c r="AY2190" s="233" t="str">
        <f>VLOOKUP(Table8[[#This Row],[Country Code]],Table29[],10,FALSE)</f>
        <v>no</v>
      </c>
      <c r="AZ2190" s="235">
        <f>VLOOKUP(Table8[[#This Row],[Country Code]],Table29[],23,FALSE)</f>
        <v>0.34210672521812002</v>
      </c>
      <c r="BA2190" s="235">
        <f>VLOOKUP(Table8[[#This Row],[Country Code]],Table29[],24,FALSE)</f>
        <v>0.1141760738354758</v>
      </c>
      <c r="BB2190" s="320"/>
      <c r="BC2190" s="320"/>
    </row>
    <row r="2191" spans="1:55" ht="30" hidden="1" x14ac:dyDescent="0.25">
      <c r="A2191" s="360">
        <v>17762</v>
      </c>
      <c r="B2191" s="233" t="str">
        <f>VLOOKUP(Table8[[#This Row],[Document ID]],Table1[],2,FALSE)</f>
        <v>TON</v>
      </c>
      <c r="C2191" s="233" t="str">
        <f>VLOOKUP(Table8[[#This Row],[Document ID]],Table1[],3,FALSE)</f>
        <v>Tonga</v>
      </c>
      <c r="D2191" s="243" t="str">
        <f>VLOOKUP(Table8[[#This Row],[Document ID]],Table1[],5,FALSE)</f>
        <v>NDC</v>
      </c>
      <c r="E2191" s="233" t="str">
        <f>VLOOKUP(Table8[[#This Row],[Document ID]],Table1[],7,FALSE)</f>
        <v>Second NDC</v>
      </c>
      <c r="F2191" s="236" t="str">
        <f>VLOOKUP(Table8[[#This Row],[Document ID]],Table1[],8,FALSE)</f>
        <v>NDC 2.0</v>
      </c>
      <c r="G2191" s="236" t="str">
        <f>VLOOKUP(Table8[[#This Row],[Document ID]],Table1[],10,FALSE)</f>
        <v>Active</v>
      </c>
      <c r="H2191" s="43" t="s">
        <v>2343</v>
      </c>
      <c r="I2191" s="43" t="s">
        <v>2386</v>
      </c>
      <c r="J2191" s="44" t="s">
        <v>2530</v>
      </c>
      <c r="K2191" s="44" t="s">
        <v>4340</v>
      </c>
      <c r="L2191" s="44" t="s">
        <v>2333</v>
      </c>
      <c r="M2191" s="43">
        <v>15</v>
      </c>
      <c r="N2191" s="113"/>
      <c r="O2191" s="113"/>
      <c r="P2191" s="113"/>
      <c r="Q2191" s="319"/>
      <c r="R2191" s="319"/>
      <c r="S2191" s="319"/>
      <c r="T2191" s="319"/>
      <c r="U2191" s="319" t="s">
        <v>1113</v>
      </c>
      <c r="V2191" s="319"/>
      <c r="W2191" s="319"/>
      <c r="X2191" s="319"/>
      <c r="Y2191" s="319"/>
      <c r="Z2191" s="319"/>
      <c r="AA2191" s="319"/>
      <c r="AB2191" s="319"/>
      <c r="AC2191" s="319"/>
      <c r="AD2191" s="319"/>
      <c r="AE2191" s="319"/>
      <c r="AF2191" s="319"/>
      <c r="AG2191" s="319"/>
      <c r="AH2191" s="319"/>
      <c r="AI2191" s="319"/>
      <c r="AJ2191" s="319"/>
      <c r="AK2191" s="319" t="s">
        <v>1113</v>
      </c>
      <c r="AL2191" s="319"/>
      <c r="AM2191" s="319"/>
      <c r="AN2191" s="319"/>
      <c r="AO2191" s="43" t="s">
        <v>2348</v>
      </c>
      <c r="AP2191" s="44"/>
      <c r="AQ2191" s="236" t="str">
        <f>VLOOKUP(Table8[[#This Row],[Instrument]],Def_Targets!$D$73:$E$159,2,FALSE)</f>
        <v>A_Vehicletax</v>
      </c>
      <c r="AR2191" s="233" t="str">
        <f>VLOOKUP(Table8[[#This Row],[Country Code]],Table29[],3,FALSE)</f>
        <v>Non-Annex I</v>
      </c>
      <c r="AS2191" s="233" t="str">
        <f>VLOOKUP(Table8[[#This Row],[Country Code]],Table29[],4,FALSE)</f>
        <v>Oceania</v>
      </c>
      <c r="AT2191" s="233" t="str">
        <f>VLOOKUP(Table8[[#This Row],[Country Code]],Table29[],5,FALSE)</f>
        <v>Middle-income</v>
      </c>
      <c r="AU2191" s="233" t="str">
        <f>VLOOKUP(Table8[[#This Row],[Country Code]],Table29[],6,FALSE)</f>
        <v>no</v>
      </c>
      <c r="AV2191" s="233" t="str">
        <f>VLOOKUP(Table8[[#This Row],[Country Code]],Table29[],7,FALSE)</f>
        <v>no</v>
      </c>
      <c r="AW2191" s="233" t="str">
        <f>VLOOKUP(Table8[[#This Row],[Country Code]],Table29[],8,FALSE)</f>
        <v>non-OECD</v>
      </c>
      <c r="AX2191" s="233" t="str">
        <f>VLOOKUP(Table8[[#This Row],[Country Code]],Table29[],9,FALSE)</f>
        <v>no</v>
      </c>
      <c r="AY2191" s="233" t="str">
        <f>VLOOKUP(Table8[[#This Row],[Country Code]],Table29[],10,FALSE)</f>
        <v>no</v>
      </c>
      <c r="AZ2191" s="235">
        <f>VLOOKUP(Table8[[#This Row],[Country Code]],Table29[],23,FALSE)</f>
        <v>0.34210672521812002</v>
      </c>
      <c r="BA2191" s="235">
        <f>VLOOKUP(Table8[[#This Row],[Country Code]],Table29[],24,FALSE)</f>
        <v>0.1141760738354758</v>
      </c>
      <c r="BB2191" s="320"/>
      <c r="BC2191" s="320"/>
    </row>
    <row r="2192" spans="1:55" hidden="1" x14ac:dyDescent="0.25">
      <c r="A2192" s="360">
        <v>17762</v>
      </c>
      <c r="B2192" s="233" t="str">
        <f>VLOOKUP(Table8[[#This Row],[Document ID]],Table1[],2,FALSE)</f>
        <v>TON</v>
      </c>
      <c r="C2192" s="233" t="str">
        <f>VLOOKUP(Table8[[#This Row],[Document ID]],Table1[],3,FALSE)</f>
        <v>Tonga</v>
      </c>
      <c r="D2192" s="243" t="str">
        <f>VLOOKUP(Table8[[#This Row],[Document ID]],Table1[],5,FALSE)</f>
        <v>NDC</v>
      </c>
      <c r="E2192" s="233" t="str">
        <f>VLOOKUP(Table8[[#This Row],[Document ID]],Table1[],7,FALSE)</f>
        <v>Second NDC</v>
      </c>
      <c r="F2192" s="236" t="str">
        <f>VLOOKUP(Table8[[#This Row],[Document ID]],Table1[],8,FALSE)</f>
        <v>NDC 2.0</v>
      </c>
      <c r="G2192" s="236" t="str">
        <f>VLOOKUP(Table8[[#This Row],[Document ID]],Table1[],10,FALSE)</f>
        <v>Active</v>
      </c>
      <c r="H2192" s="43" t="s">
        <v>2358</v>
      </c>
      <c r="I2192" s="43" t="s">
        <v>2359</v>
      </c>
      <c r="J2192" s="44" t="s">
        <v>2360</v>
      </c>
      <c r="K2192" s="44" t="s">
        <v>4341</v>
      </c>
      <c r="L2192" s="44" t="s">
        <v>2333</v>
      </c>
      <c r="M2192" s="43">
        <v>15</v>
      </c>
      <c r="N2192" s="113"/>
      <c r="O2192" s="113"/>
      <c r="P2192" s="113"/>
      <c r="Q2192" s="319"/>
      <c r="R2192" s="319"/>
      <c r="S2192" s="319"/>
      <c r="T2192" s="319"/>
      <c r="U2192" s="319" t="s">
        <v>1113</v>
      </c>
      <c r="V2192" s="319"/>
      <c r="W2192" s="319"/>
      <c r="X2192" s="319"/>
      <c r="Y2192" s="113"/>
      <c r="Z2192" s="113"/>
      <c r="AA2192" s="319"/>
      <c r="AB2192" s="319"/>
      <c r="AC2192" s="319"/>
      <c r="AD2192" s="319"/>
      <c r="AE2192" s="319"/>
      <c r="AF2192" s="319"/>
      <c r="AG2192" s="319"/>
      <c r="AH2192" s="319"/>
      <c r="AI2192" s="319"/>
      <c r="AJ2192" s="319"/>
      <c r="AK2192" s="319" t="s">
        <v>1113</v>
      </c>
      <c r="AL2192" s="319"/>
      <c r="AM2192" s="319"/>
      <c r="AN2192" s="319"/>
      <c r="AO2192" s="44" t="s">
        <v>2334</v>
      </c>
      <c r="AP2192" s="44"/>
      <c r="AQ2192" s="236" t="str">
        <f>VLOOKUP(Table8[[#This Row],[Instrument]],Def_Targets!$D$73:$E$159,2,FALSE)</f>
        <v>I_Emobility</v>
      </c>
      <c r="AR2192" s="233" t="str">
        <f>VLOOKUP(Table8[[#This Row],[Country Code]],Table29[],3,FALSE)</f>
        <v>Non-Annex I</v>
      </c>
      <c r="AS2192" s="233" t="str">
        <f>VLOOKUP(Table8[[#This Row],[Country Code]],Table29[],4,FALSE)</f>
        <v>Oceania</v>
      </c>
      <c r="AT2192" s="233" t="str">
        <f>VLOOKUP(Table8[[#This Row],[Country Code]],Table29[],5,FALSE)</f>
        <v>Middle-income</v>
      </c>
      <c r="AU2192" s="233" t="str">
        <f>VLOOKUP(Table8[[#This Row],[Country Code]],Table29[],6,FALSE)</f>
        <v>no</v>
      </c>
      <c r="AV2192" s="233" t="str">
        <f>VLOOKUP(Table8[[#This Row],[Country Code]],Table29[],7,FALSE)</f>
        <v>no</v>
      </c>
      <c r="AW2192" s="233" t="str">
        <f>VLOOKUP(Table8[[#This Row],[Country Code]],Table29[],8,FALSE)</f>
        <v>non-OECD</v>
      </c>
      <c r="AX2192" s="233" t="str">
        <f>VLOOKUP(Table8[[#This Row],[Country Code]],Table29[],9,FALSE)</f>
        <v>no</v>
      </c>
      <c r="AY2192" s="233" t="str">
        <f>VLOOKUP(Table8[[#This Row],[Country Code]],Table29[],10,FALSE)</f>
        <v>no</v>
      </c>
      <c r="AZ2192" s="235">
        <f>VLOOKUP(Table8[[#This Row],[Country Code]],Table29[],23,FALSE)</f>
        <v>0.34210672521812002</v>
      </c>
      <c r="BA2192" s="235">
        <f>VLOOKUP(Table8[[#This Row],[Country Code]],Table29[],24,FALSE)</f>
        <v>0.1141760738354758</v>
      </c>
      <c r="BB2192" s="320"/>
      <c r="BC2192" s="320"/>
    </row>
    <row r="2193" spans="1:55" hidden="1" x14ac:dyDescent="0.25">
      <c r="A2193" s="360">
        <v>17762</v>
      </c>
      <c r="B2193" s="233" t="str">
        <f>VLOOKUP(Table8[[#This Row],[Document ID]],Table1[],2,FALSE)</f>
        <v>TON</v>
      </c>
      <c r="C2193" s="233" t="str">
        <f>VLOOKUP(Table8[[#This Row],[Document ID]],Table1[],3,FALSE)</f>
        <v>Tonga</v>
      </c>
      <c r="D2193" s="243" t="str">
        <f>VLOOKUP(Table8[[#This Row],[Document ID]],Table1[],5,FALSE)</f>
        <v>NDC</v>
      </c>
      <c r="E2193" s="233" t="str">
        <f>VLOOKUP(Table8[[#This Row],[Document ID]],Table1[],7,FALSE)</f>
        <v>Second NDC</v>
      </c>
      <c r="F2193" s="236" t="str">
        <f>VLOOKUP(Table8[[#This Row],[Document ID]],Table1[],8,FALSE)</f>
        <v>NDC 2.0</v>
      </c>
      <c r="G2193" s="236" t="str">
        <f>VLOOKUP(Table8[[#This Row],[Document ID]],Table1[],10,FALSE)</f>
        <v>Active</v>
      </c>
      <c r="H2193" s="44" t="s">
        <v>2338</v>
      </c>
      <c r="I2193" s="44" t="s">
        <v>2339</v>
      </c>
      <c r="J2193" s="44" t="s">
        <v>2413</v>
      </c>
      <c r="K2193" s="44" t="s">
        <v>4342</v>
      </c>
      <c r="L2193" s="44" t="s">
        <v>2333</v>
      </c>
      <c r="M2193" s="43">
        <v>15</v>
      </c>
      <c r="N2193" s="113"/>
      <c r="O2193" s="113"/>
      <c r="P2193" s="113"/>
      <c r="Q2193" s="319"/>
      <c r="R2193" s="319"/>
      <c r="S2193" s="319"/>
      <c r="T2193" s="319"/>
      <c r="U2193" s="319" t="s">
        <v>1113</v>
      </c>
      <c r="V2193" s="319"/>
      <c r="W2193" s="319"/>
      <c r="X2193" s="319"/>
      <c r="Y2193" s="319"/>
      <c r="Z2193" s="319"/>
      <c r="AA2193" s="319"/>
      <c r="AB2193" s="319"/>
      <c r="AC2193" s="319"/>
      <c r="AD2193" s="319"/>
      <c r="AE2193" s="319"/>
      <c r="AF2193" s="319"/>
      <c r="AG2193" s="319"/>
      <c r="AH2193" s="319"/>
      <c r="AI2193" s="319"/>
      <c r="AJ2193" s="319"/>
      <c r="AK2193" s="319" t="s">
        <v>1113</v>
      </c>
      <c r="AL2193" s="319"/>
      <c r="AM2193" s="319"/>
      <c r="AN2193" s="319"/>
      <c r="AO2193" s="43" t="s">
        <v>2348</v>
      </c>
      <c r="AP2193" s="44"/>
      <c r="AQ2193" s="236" t="str">
        <f>VLOOKUP(Table8[[#This Row],[Instrument]],Def_Targets!$D$73:$E$159,2,FALSE)</f>
        <v>I_Vehicleeff</v>
      </c>
      <c r="AR2193" s="233" t="str">
        <f>VLOOKUP(Table8[[#This Row],[Country Code]],Table29[],3,FALSE)</f>
        <v>Non-Annex I</v>
      </c>
      <c r="AS2193" s="233" t="str">
        <f>VLOOKUP(Table8[[#This Row],[Country Code]],Table29[],4,FALSE)</f>
        <v>Oceania</v>
      </c>
      <c r="AT2193" s="233" t="str">
        <f>VLOOKUP(Table8[[#This Row],[Country Code]],Table29[],5,FALSE)</f>
        <v>Middle-income</v>
      </c>
      <c r="AU2193" s="233" t="str">
        <f>VLOOKUP(Table8[[#This Row],[Country Code]],Table29[],6,FALSE)</f>
        <v>no</v>
      </c>
      <c r="AV2193" s="233" t="str">
        <f>VLOOKUP(Table8[[#This Row],[Country Code]],Table29[],7,FALSE)</f>
        <v>no</v>
      </c>
      <c r="AW2193" s="233" t="str">
        <f>VLOOKUP(Table8[[#This Row],[Country Code]],Table29[],8,FALSE)</f>
        <v>non-OECD</v>
      </c>
      <c r="AX2193" s="233" t="str">
        <f>VLOOKUP(Table8[[#This Row],[Country Code]],Table29[],9,FALSE)</f>
        <v>no</v>
      </c>
      <c r="AY2193" s="233" t="str">
        <f>VLOOKUP(Table8[[#This Row],[Country Code]],Table29[],10,FALSE)</f>
        <v>no</v>
      </c>
      <c r="AZ2193" s="235">
        <f>VLOOKUP(Table8[[#This Row],[Country Code]],Table29[],23,FALSE)</f>
        <v>0.34210672521812002</v>
      </c>
      <c r="BA2193" s="235">
        <f>VLOOKUP(Table8[[#This Row],[Country Code]],Table29[],24,FALSE)</f>
        <v>0.1141760738354758</v>
      </c>
      <c r="BB2193" s="320"/>
      <c r="BC2193" s="320"/>
    </row>
    <row r="2194" spans="1:55" ht="30" hidden="1" x14ac:dyDescent="0.25">
      <c r="A2194" s="373">
        <v>17762</v>
      </c>
      <c r="B2194" s="233" t="str">
        <f>VLOOKUP(Table8[[#This Row],[Document ID]],Table1[],2,FALSE)</f>
        <v>TON</v>
      </c>
      <c r="C2194" s="233" t="str">
        <f>VLOOKUP(Table8[[#This Row],[Document ID]],Table1[],3,FALSE)</f>
        <v>Tonga</v>
      </c>
      <c r="D2194" s="243" t="str">
        <f>VLOOKUP(Table8[[#This Row],[Document ID]],Table1[],5,FALSE)</f>
        <v>NDC</v>
      </c>
      <c r="E2194" s="233" t="str">
        <f>VLOOKUP(Table8[[#This Row],[Document ID]],Table1[],7,FALSE)</f>
        <v>Second NDC</v>
      </c>
      <c r="F2194" s="236" t="str">
        <f>VLOOKUP(Table8[[#This Row],[Document ID]],Table1[],8,FALSE)</f>
        <v>NDC 2.0</v>
      </c>
      <c r="G2194" s="236" t="str">
        <f>VLOOKUP(Table8[[#This Row],[Document ID]],Table1[],10,FALSE)</f>
        <v>Active</v>
      </c>
      <c r="H2194" s="44" t="s">
        <v>2338</v>
      </c>
      <c r="I2194" s="44" t="s">
        <v>2339</v>
      </c>
      <c r="J2194" s="44" t="s">
        <v>2413</v>
      </c>
      <c r="K2194" s="44" t="s">
        <v>4343</v>
      </c>
      <c r="L2194" s="44" t="s">
        <v>2333</v>
      </c>
      <c r="M2194" s="43">
        <v>6</v>
      </c>
      <c r="N2194" s="113"/>
      <c r="O2194" s="113"/>
      <c r="P2194" s="113"/>
      <c r="Q2194" s="319"/>
      <c r="R2194" s="319"/>
      <c r="S2194" s="319"/>
      <c r="T2194" s="319"/>
      <c r="U2194" s="319" t="s">
        <v>1113</v>
      </c>
      <c r="V2194" s="319"/>
      <c r="W2194" s="319"/>
      <c r="X2194" s="319"/>
      <c r="Y2194" s="113"/>
      <c r="Z2194" s="113"/>
      <c r="AA2194" s="319"/>
      <c r="AB2194" s="319"/>
      <c r="AC2194" s="319"/>
      <c r="AD2194" s="319"/>
      <c r="AE2194" s="319"/>
      <c r="AF2194" s="319"/>
      <c r="AG2194" s="319"/>
      <c r="AH2194" s="319"/>
      <c r="AI2194" s="319"/>
      <c r="AJ2194" s="319"/>
      <c r="AK2194" s="319" t="s">
        <v>1113</v>
      </c>
      <c r="AL2194" s="319"/>
      <c r="AM2194" s="319"/>
      <c r="AN2194" s="319"/>
      <c r="AO2194" s="44" t="s">
        <v>2334</v>
      </c>
      <c r="AP2194" s="44"/>
      <c r="AQ2194" s="236" t="str">
        <f>VLOOKUP(Table8[[#This Row],[Instrument]],Def_Targets!$D$73:$E$159,2,FALSE)</f>
        <v>I_Vehicleeff</v>
      </c>
      <c r="AR2194" s="233" t="str">
        <f>VLOOKUP(Table8[[#This Row],[Country Code]],Table29[],3,FALSE)</f>
        <v>Non-Annex I</v>
      </c>
      <c r="AS2194" s="233" t="str">
        <f>VLOOKUP(Table8[[#This Row],[Country Code]],Table29[],4,FALSE)</f>
        <v>Oceania</v>
      </c>
      <c r="AT2194" s="233" t="str">
        <f>VLOOKUP(Table8[[#This Row],[Country Code]],Table29[],5,FALSE)</f>
        <v>Middle-income</v>
      </c>
      <c r="AU2194" s="233" t="str">
        <f>VLOOKUP(Table8[[#This Row],[Country Code]],Table29[],6,FALSE)</f>
        <v>no</v>
      </c>
      <c r="AV2194" s="233" t="str">
        <f>VLOOKUP(Table8[[#This Row],[Country Code]],Table29[],7,FALSE)</f>
        <v>no</v>
      </c>
      <c r="AW2194" s="233" t="str">
        <f>VLOOKUP(Table8[[#This Row],[Country Code]],Table29[],8,FALSE)</f>
        <v>non-OECD</v>
      </c>
      <c r="AX2194" s="233" t="str">
        <f>VLOOKUP(Table8[[#This Row],[Country Code]],Table29[],9,FALSE)</f>
        <v>no</v>
      </c>
      <c r="AY2194" s="233" t="str">
        <f>VLOOKUP(Table8[[#This Row],[Country Code]],Table29[],10,FALSE)</f>
        <v>no</v>
      </c>
      <c r="AZ2194" s="235">
        <f>VLOOKUP(Table8[[#This Row],[Country Code]],Table29[],23,FALSE)</f>
        <v>0.34210672521812002</v>
      </c>
      <c r="BA2194" s="235">
        <f>VLOOKUP(Table8[[#This Row],[Country Code]],Table29[],24,FALSE)</f>
        <v>0.1141760738354758</v>
      </c>
      <c r="BB2194" s="320"/>
      <c r="BC2194" s="320"/>
    </row>
    <row r="2195" spans="1:55" hidden="1" x14ac:dyDescent="0.25">
      <c r="A2195" s="360">
        <v>17762</v>
      </c>
      <c r="B2195" s="233" t="str">
        <f>VLOOKUP(Table8[[#This Row],[Document ID]],Table1[],2,FALSE)</f>
        <v>TON</v>
      </c>
      <c r="C2195" s="233" t="str">
        <f>VLOOKUP(Table8[[#This Row],[Document ID]],Table1[],3,FALSE)</f>
        <v>Tonga</v>
      </c>
      <c r="D2195" s="243" t="str">
        <f>VLOOKUP(Table8[[#This Row],[Document ID]],Table1[],5,FALSE)</f>
        <v>NDC</v>
      </c>
      <c r="E2195" s="233" t="str">
        <f>VLOOKUP(Table8[[#This Row],[Document ID]],Table1[],7,FALSE)</f>
        <v>Second NDC</v>
      </c>
      <c r="F2195" s="236" t="str">
        <f>VLOOKUP(Table8[[#This Row],[Document ID]],Table1[],8,FALSE)</f>
        <v>NDC 2.0</v>
      </c>
      <c r="G2195" s="236" t="str">
        <f>VLOOKUP(Table8[[#This Row],[Document ID]],Table1[],10,FALSE)</f>
        <v>Active</v>
      </c>
      <c r="H2195" s="44" t="s">
        <v>2338</v>
      </c>
      <c r="I2195" s="44" t="s">
        <v>2339</v>
      </c>
      <c r="J2195" s="44" t="s">
        <v>2413</v>
      </c>
      <c r="K2195" s="44" t="s">
        <v>4344</v>
      </c>
      <c r="L2195" s="44" t="s">
        <v>2333</v>
      </c>
      <c r="M2195" s="43">
        <v>15</v>
      </c>
      <c r="N2195" s="113"/>
      <c r="O2195" s="113"/>
      <c r="P2195" s="113"/>
      <c r="Q2195" s="319"/>
      <c r="R2195" s="319"/>
      <c r="S2195" s="319"/>
      <c r="T2195" s="319"/>
      <c r="U2195" s="319" t="s">
        <v>1113</v>
      </c>
      <c r="V2195" s="319"/>
      <c r="W2195" s="319"/>
      <c r="X2195" s="319"/>
      <c r="Y2195" s="319"/>
      <c r="Z2195" s="319"/>
      <c r="AA2195" s="319"/>
      <c r="AB2195" s="319"/>
      <c r="AC2195" s="319"/>
      <c r="AD2195" s="319"/>
      <c r="AE2195" s="319"/>
      <c r="AF2195" s="319"/>
      <c r="AG2195" s="319"/>
      <c r="AH2195" s="319"/>
      <c r="AI2195" s="319"/>
      <c r="AJ2195" s="319"/>
      <c r="AK2195" s="319" t="s">
        <v>1113</v>
      </c>
      <c r="AL2195" s="319"/>
      <c r="AM2195" s="319"/>
      <c r="AN2195" s="319"/>
      <c r="AO2195" s="44" t="s">
        <v>2334</v>
      </c>
      <c r="AP2195" s="44"/>
      <c r="AQ2195" s="236" t="str">
        <f>VLOOKUP(Table8[[#This Row],[Instrument]],Def_Targets!$D$73:$E$159,2,FALSE)</f>
        <v>I_Vehicleeff</v>
      </c>
      <c r="AR2195" s="233" t="str">
        <f>VLOOKUP(Table8[[#This Row],[Country Code]],Table29[],3,FALSE)</f>
        <v>Non-Annex I</v>
      </c>
      <c r="AS2195" s="233" t="str">
        <f>VLOOKUP(Table8[[#This Row],[Country Code]],Table29[],4,FALSE)</f>
        <v>Oceania</v>
      </c>
      <c r="AT2195" s="233" t="str">
        <f>VLOOKUP(Table8[[#This Row],[Country Code]],Table29[],5,FALSE)</f>
        <v>Middle-income</v>
      </c>
      <c r="AU2195" s="233" t="str">
        <f>VLOOKUP(Table8[[#This Row],[Country Code]],Table29[],6,FALSE)</f>
        <v>no</v>
      </c>
      <c r="AV2195" s="233" t="str">
        <f>VLOOKUP(Table8[[#This Row],[Country Code]],Table29[],7,FALSE)</f>
        <v>no</v>
      </c>
      <c r="AW2195" s="233" t="str">
        <f>VLOOKUP(Table8[[#This Row],[Country Code]],Table29[],8,FALSE)</f>
        <v>non-OECD</v>
      </c>
      <c r="AX2195" s="233" t="str">
        <f>VLOOKUP(Table8[[#This Row],[Country Code]],Table29[],9,FALSE)</f>
        <v>no</v>
      </c>
      <c r="AY2195" s="233" t="str">
        <f>VLOOKUP(Table8[[#This Row],[Country Code]],Table29[],10,FALSE)</f>
        <v>no</v>
      </c>
      <c r="AZ2195" s="235">
        <f>VLOOKUP(Table8[[#This Row],[Country Code]],Table29[],23,FALSE)</f>
        <v>0.34210672521812002</v>
      </c>
      <c r="BA2195" s="235">
        <f>VLOOKUP(Table8[[#This Row],[Country Code]],Table29[],24,FALSE)</f>
        <v>0.1141760738354758</v>
      </c>
      <c r="BB2195" s="320"/>
      <c r="BC2195" s="320"/>
    </row>
    <row r="2196" spans="1:55" ht="30" hidden="1" x14ac:dyDescent="0.25">
      <c r="A2196" s="373">
        <v>17761</v>
      </c>
      <c r="B2196" s="233" t="str">
        <f>VLOOKUP(Table8[[#This Row],[Document ID]],Table1[],2,FALSE)</f>
        <v>TON</v>
      </c>
      <c r="C2196" s="233" t="str">
        <f>VLOOKUP(Table8[[#This Row],[Document ID]],Table1[],3,FALSE)</f>
        <v>Tonga</v>
      </c>
      <c r="D2196" s="243" t="str">
        <f>VLOOKUP(Table8[[#This Row],[Document ID]],Table1[],5,FALSE)</f>
        <v>NDC</v>
      </c>
      <c r="E2196" s="233" t="str">
        <f>VLOOKUP(Table8[[#This Row],[Document ID]],Table1[],7,FALSE)</f>
        <v>First NDC</v>
      </c>
      <c r="F2196" s="236" t="str">
        <f>VLOOKUP(Table8[[#This Row],[Document ID]],Table1[],8,FALSE)</f>
        <v>NDC 1.0</v>
      </c>
      <c r="G2196" s="236" t="str">
        <f>VLOOKUP(Table8[[#This Row],[Document ID]],Table1[],10,FALSE)</f>
        <v>Archived</v>
      </c>
      <c r="H2196" s="44" t="s">
        <v>2338</v>
      </c>
      <c r="I2196" s="44" t="s">
        <v>2339</v>
      </c>
      <c r="J2196" s="44" t="s">
        <v>2451</v>
      </c>
      <c r="K2196" s="44" t="s">
        <v>4345</v>
      </c>
      <c r="L2196" s="44" t="s">
        <v>2347</v>
      </c>
      <c r="M2196" s="43"/>
      <c r="N2196" s="113"/>
      <c r="O2196" s="113"/>
      <c r="P2196" s="113"/>
      <c r="Q2196" s="319"/>
      <c r="R2196" s="319" t="s">
        <v>1113</v>
      </c>
      <c r="S2196" s="319" t="s">
        <v>1113</v>
      </c>
      <c r="T2196" s="319"/>
      <c r="U2196" s="319"/>
      <c r="V2196" s="319"/>
      <c r="W2196" s="319"/>
      <c r="X2196" s="319"/>
      <c r="Y2196" s="319" t="s">
        <v>1113</v>
      </c>
      <c r="Z2196" s="319"/>
      <c r="AA2196" s="319"/>
      <c r="AB2196" s="319"/>
      <c r="AC2196" s="319" t="s">
        <v>1113</v>
      </c>
      <c r="AD2196" s="319"/>
      <c r="AE2196" s="319"/>
      <c r="AF2196" s="319"/>
      <c r="AG2196" s="319"/>
      <c r="AH2196" s="319"/>
      <c r="AI2196" s="319"/>
      <c r="AJ2196" s="319"/>
      <c r="AK2196" s="319" t="s">
        <v>1113</v>
      </c>
      <c r="AL2196" s="319"/>
      <c r="AM2196" s="319"/>
      <c r="AN2196" s="319"/>
      <c r="AO2196" s="44" t="s">
        <v>2334</v>
      </c>
      <c r="AP2196" s="44"/>
      <c r="AQ2196" s="236" t="str">
        <f>VLOOKUP(Table8[[#This Row],[Instrument]],Def_Targets!$D$73:$E$159,2,FALSE)</f>
        <v>I_Inspection</v>
      </c>
      <c r="AR2196" s="233" t="str">
        <f>VLOOKUP(Table8[[#This Row],[Country Code]],Table29[],3,FALSE)</f>
        <v>Non-Annex I</v>
      </c>
      <c r="AS2196" s="233" t="str">
        <f>VLOOKUP(Table8[[#This Row],[Country Code]],Table29[],4,FALSE)</f>
        <v>Oceania</v>
      </c>
      <c r="AT2196" s="233" t="str">
        <f>VLOOKUP(Table8[[#This Row],[Country Code]],Table29[],5,FALSE)</f>
        <v>Middle-income</v>
      </c>
      <c r="AU2196" s="233" t="str">
        <f>VLOOKUP(Table8[[#This Row],[Country Code]],Table29[],6,FALSE)</f>
        <v>no</v>
      </c>
      <c r="AV2196" s="233" t="str">
        <f>VLOOKUP(Table8[[#This Row],[Country Code]],Table29[],7,FALSE)</f>
        <v>no</v>
      </c>
      <c r="AW2196" s="233" t="str">
        <f>VLOOKUP(Table8[[#This Row],[Country Code]],Table29[],8,FALSE)</f>
        <v>non-OECD</v>
      </c>
      <c r="AX2196" s="233" t="str">
        <f>VLOOKUP(Table8[[#This Row],[Country Code]],Table29[],9,FALSE)</f>
        <v>no</v>
      </c>
      <c r="AY2196" s="233" t="str">
        <f>VLOOKUP(Table8[[#This Row],[Country Code]],Table29[],10,FALSE)</f>
        <v>no</v>
      </c>
      <c r="AZ2196" s="235">
        <f>VLOOKUP(Table8[[#This Row],[Country Code]],Table29[],23,FALSE)</f>
        <v>0.34210672521812002</v>
      </c>
      <c r="BA2196" s="235">
        <f>VLOOKUP(Table8[[#This Row],[Country Code]],Table29[],24,FALSE)</f>
        <v>0.1141760738354758</v>
      </c>
      <c r="BB2196" s="320"/>
      <c r="BC2196" s="320"/>
    </row>
    <row r="2197" spans="1:55" ht="30" hidden="1" x14ac:dyDescent="0.25">
      <c r="A2197" s="373">
        <v>17761</v>
      </c>
      <c r="B2197" s="233" t="str">
        <f>VLOOKUP(Table8[[#This Row],[Document ID]],Table1[],2,FALSE)</f>
        <v>TON</v>
      </c>
      <c r="C2197" s="233" t="str">
        <f>VLOOKUP(Table8[[#This Row],[Document ID]],Table1[],3,FALSE)</f>
        <v>Tonga</v>
      </c>
      <c r="D2197" s="243" t="str">
        <f>VLOOKUP(Table8[[#This Row],[Document ID]],Table1[],5,FALSE)</f>
        <v>NDC</v>
      </c>
      <c r="E2197" s="233" t="str">
        <f>VLOOKUP(Table8[[#This Row],[Document ID]],Table1[],7,FALSE)</f>
        <v>First NDC</v>
      </c>
      <c r="F2197" s="236" t="str">
        <f>VLOOKUP(Table8[[#This Row],[Document ID]],Table1[],8,FALSE)</f>
        <v>NDC 1.0</v>
      </c>
      <c r="G2197" s="236" t="str">
        <f>VLOOKUP(Table8[[#This Row],[Document ID]],Table1[],10,FALSE)</f>
        <v>Archived</v>
      </c>
      <c r="H2197" s="43" t="s">
        <v>2343</v>
      </c>
      <c r="I2197" s="43" t="s">
        <v>2361</v>
      </c>
      <c r="J2197" s="44" t="s">
        <v>2362</v>
      </c>
      <c r="K2197" s="44" t="s">
        <v>4345</v>
      </c>
      <c r="L2197" s="44" t="s">
        <v>2347</v>
      </c>
      <c r="M2197" s="43"/>
      <c r="N2197" s="113"/>
      <c r="O2197" s="113"/>
      <c r="P2197" s="113"/>
      <c r="Q2197" s="319"/>
      <c r="R2197" s="319" t="s">
        <v>1113</v>
      </c>
      <c r="S2197" s="319" t="s">
        <v>1113</v>
      </c>
      <c r="T2197" s="319"/>
      <c r="U2197" s="319"/>
      <c r="V2197" s="319"/>
      <c r="W2197" s="319"/>
      <c r="X2197" s="319"/>
      <c r="Y2197" s="113" t="s">
        <v>1113</v>
      </c>
      <c r="Z2197" s="113"/>
      <c r="AA2197" s="319"/>
      <c r="AB2197" s="319"/>
      <c r="AC2197" s="319" t="s">
        <v>1113</v>
      </c>
      <c r="AD2197" s="319"/>
      <c r="AE2197" s="319"/>
      <c r="AF2197" s="319"/>
      <c r="AG2197" s="319"/>
      <c r="AH2197" s="319"/>
      <c r="AI2197" s="319"/>
      <c r="AJ2197" s="319"/>
      <c r="AK2197" s="319" t="s">
        <v>1113</v>
      </c>
      <c r="AL2197" s="319"/>
      <c r="AM2197" s="319"/>
      <c r="AN2197" s="319"/>
      <c r="AO2197" s="44" t="s">
        <v>2334</v>
      </c>
      <c r="AP2197" s="44"/>
      <c r="AQ2197" s="236" t="str">
        <f>VLOOKUP(Table8[[#This Row],[Instrument]],Def_Targets!$D$73:$E$159,2,FALSE)</f>
        <v>S_Cycling</v>
      </c>
      <c r="AR2197" s="233" t="str">
        <f>VLOOKUP(Table8[[#This Row],[Country Code]],Table29[],3,FALSE)</f>
        <v>Non-Annex I</v>
      </c>
      <c r="AS2197" s="233" t="str">
        <f>VLOOKUP(Table8[[#This Row],[Country Code]],Table29[],4,FALSE)</f>
        <v>Oceania</v>
      </c>
      <c r="AT2197" s="233" t="str">
        <f>VLOOKUP(Table8[[#This Row],[Country Code]],Table29[],5,FALSE)</f>
        <v>Middle-income</v>
      </c>
      <c r="AU2197" s="233" t="str">
        <f>VLOOKUP(Table8[[#This Row],[Country Code]],Table29[],6,FALSE)</f>
        <v>no</v>
      </c>
      <c r="AV2197" s="233" t="str">
        <f>VLOOKUP(Table8[[#This Row],[Country Code]],Table29[],7,FALSE)</f>
        <v>no</v>
      </c>
      <c r="AW2197" s="233" t="str">
        <f>VLOOKUP(Table8[[#This Row],[Country Code]],Table29[],8,FALSE)</f>
        <v>non-OECD</v>
      </c>
      <c r="AX2197" s="233" t="str">
        <f>VLOOKUP(Table8[[#This Row],[Country Code]],Table29[],9,FALSE)</f>
        <v>no</v>
      </c>
      <c r="AY2197" s="233" t="str">
        <f>VLOOKUP(Table8[[#This Row],[Country Code]],Table29[],10,FALSE)</f>
        <v>no</v>
      </c>
      <c r="AZ2197" s="235">
        <f>VLOOKUP(Table8[[#This Row],[Country Code]],Table29[],23,FALSE)</f>
        <v>0.34210672521812002</v>
      </c>
      <c r="BA2197" s="235">
        <f>VLOOKUP(Table8[[#This Row],[Country Code]],Table29[],24,FALSE)</f>
        <v>0.1141760738354758</v>
      </c>
      <c r="BB2197" s="320"/>
      <c r="BC2197" s="320"/>
    </row>
    <row r="2198" spans="1:55" ht="30" hidden="1" x14ac:dyDescent="0.25">
      <c r="A2198" s="373">
        <v>17761</v>
      </c>
      <c r="B2198" s="233" t="str">
        <f>VLOOKUP(Table8[[#This Row],[Document ID]],Table1[],2,FALSE)</f>
        <v>TON</v>
      </c>
      <c r="C2198" s="233" t="str">
        <f>VLOOKUP(Table8[[#This Row],[Document ID]],Table1[],3,FALSE)</f>
        <v>Tonga</v>
      </c>
      <c r="D2198" s="243" t="str">
        <f>VLOOKUP(Table8[[#This Row],[Document ID]],Table1[],5,FALSE)</f>
        <v>NDC</v>
      </c>
      <c r="E2198" s="233" t="str">
        <f>VLOOKUP(Table8[[#This Row],[Document ID]],Table1[],7,FALSE)</f>
        <v>First NDC</v>
      </c>
      <c r="F2198" s="236" t="str">
        <f>VLOOKUP(Table8[[#This Row],[Document ID]],Table1[],8,FALSE)</f>
        <v>NDC 1.0</v>
      </c>
      <c r="G2198" s="236" t="str">
        <f>VLOOKUP(Table8[[#This Row],[Document ID]],Table1[],10,FALSE)</f>
        <v>Archived</v>
      </c>
      <c r="H2198" s="43" t="s">
        <v>2350</v>
      </c>
      <c r="I2198" s="43" t="s">
        <v>2407</v>
      </c>
      <c r="J2198" s="44" t="s">
        <v>2408</v>
      </c>
      <c r="K2198" s="44" t="s">
        <v>4345</v>
      </c>
      <c r="L2198" s="44" t="s">
        <v>2471</v>
      </c>
      <c r="M2198" s="43"/>
      <c r="N2198" s="113"/>
      <c r="O2198" s="113"/>
      <c r="P2198" s="113"/>
      <c r="Q2198" s="319"/>
      <c r="R2198" s="319" t="s">
        <v>1113</v>
      </c>
      <c r="S2198" s="319" t="s">
        <v>1113</v>
      </c>
      <c r="T2198" s="319"/>
      <c r="U2198" s="319"/>
      <c r="V2198" s="319"/>
      <c r="W2198" s="319"/>
      <c r="X2198" s="319"/>
      <c r="Y2198" s="319" t="s">
        <v>1113</v>
      </c>
      <c r="Z2198" s="319"/>
      <c r="AA2198" s="319"/>
      <c r="AB2198" s="319"/>
      <c r="AC2198" s="319" t="s">
        <v>1113</v>
      </c>
      <c r="AD2198" s="319"/>
      <c r="AE2198" s="319"/>
      <c r="AF2198" s="319"/>
      <c r="AG2198" s="319"/>
      <c r="AH2198" s="319"/>
      <c r="AI2198" s="319"/>
      <c r="AJ2198" s="319"/>
      <c r="AK2198" s="319" t="s">
        <v>1113</v>
      </c>
      <c r="AL2198" s="319"/>
      <c r="AM2198" s="319"/>
      <c r="AN2198" s="319"/>
      <c r="AO2198" s="44" t="s">
        <v>2334</v>
      </c>
      <c r="AP2198" s="44"/>
      <c r="AQ2198" s="236" t="str">
        <f>VLOOKUP(Table8[[#This Row],[Instrument]],Def_Targets!$D$73:$E$159,2,FALSE)</f>
        <v>I_Education</v>
      </c>
      <c r="AR2198" s="233" t="str">
        <f>VLOOKUP(Table8[[#This Row],[Country Code]],Table29[],3,FALSE)</f>
        <v>Non-Annex I</v>
      </c>
      <c r="AS2198" s="233" t="str">
        <f>VLOOKUP(Table8[[#This Row],[Country Code]],Table29[],4,FALSE)</f>
        <v>Oceania</v>
      </c>
      <c r="AT2198" s="233" t="str">
        <f>VLOOKUP(Table8[[#This Row],[Country Code]],Table29[],5,FALSE)</f>
        <v>Middle-income</v>
      </c>
      <c r="AU2198" s="233" t="str">
        <f>VLOOKUP(Table8[[#This Row],[Country Code]],Table29[],6,FALSE)</f>
        <v>no</v>
      </c>
      <c r="AV2198" s="233" t="str">
        <f>VLOOKUP(Table8[[#This Row],[Country Code]],Table29[],7,FALSE)</f>
        <v>no</v>
      </c>
      <c r="AW2198" s="233" t="str">
        <f>VLOOKUP(Table8[[#This Row],[Country Code]],Table29[],8,FALSE)</f>
        <v>non-OECD</v>
      </c>
      <c r="AX2198" s="233" t="str">
        <f>VLOOKUP(Table8[[#This Row],[Country Code]],Table29[],9,FALSE)</f>
        <v>no</v>
      </c>
      <c r="AY2198" s="233" t="str">
        <f>VLOOKUP(Table8[[#This Row],[Country Code]],Table29[],10,FALSE)</f>
        <v>no</v>
      </c>
      <c r="AZ2198" s="235">
        <f>VLOOKUP(Table8[[#This Row],[Country Code]],Table29[],23,FALSE)</f>
        <v>0.34210672521812002</v>
      </c>
      <c r="BA2198" s="235">
        <f>VLOOKUP(Table8[[#This Row],[Country Code]],Table29[],24,FALSE)</f>
        <v>0.1141760738354758</v>
      </c>
      <c r="BB2198" s="320"/>
      <c r="BC2198" s="320"/>
    </row>
    <row r="2199" spans="1:55" ht="30" hidden="1" x14ac:dyDescent="0.25">
      <c r="A2199" s="373">
        <v>17761</v>
      </c>
      <c r="B2199" s="233" t="str">
        <f>VLOOKUP(Table8[[#This Row],[Document ID]],Table1[],2,FALSE)</f>
        <v>TON</v>
      </c>
      <c r="C2199" s="233" t="str">
        <f>VLOOKUP(Table8[[#This Row],[Document ID]],Table1[],3,FALSE)</f>
        <v>Tonga</v>
      </c>
      <c r="D2199" s="243" t="str">
        <f>VLOOKUP(Table8[[#This Row],[Document ID]],Table1[],5,FALSE)</f>
        <v>NDC</v>
      </c>
      <c r="E2199" s="233" t="str">
        <f>VLOOKUP(Table8[[#This Row],[Document ID]],Table1[],7,FALSE)</f>
        <v>First NDC</v>
      </c>
      <c r="F2199" s="236" t="str">
        <f>VLOOKUP(Table8[[#This Row],[Document ID]],Table1[],8,FALSE)</f>
        <v>NDC 1.0</v>
      </c>
      <c r="G2199" s="236" t="str">
        <f>VLOOKUP(Table8[[#This Row],[Document ID]],Table1[],10,FALSE)</f>
        <v>Archived</v>
      </c>
      <c r="H2199" s="43" t="s">
        <v>2350</v>
      </c>
      <c r="I2199" s="43" t="s">
        <v>2370</v>
      </c>
      <c r="J2199" s="44" t="s">
        <v>2371</v>
      </c>
      <c r="K2199" s="44" t="s">
        <v>4346</v>
      </c>
      <c r="L2199" s="44" t="s">
        <v>2471</v>
      </c>
      <c r="M2199" s="43"/>
      <c r="N2199" s="113" t="s">
        <v>1113</v>
      </c>
      <c r="O2199" s="113"/>
      <c r="P2199" s="113"/>
      <c r="Q2199" s="319"/>
      <c r="R2199" s="319"/>
      <c r="S2199" s="319"/>
      <c r="T2199" s="319"/>
      <c r="U2199" s="319"/>
      <c r="V2199" s="319"/>
      <c r="W2199" s="319"/>
      <c r="X2199" s="319"/>
      <c r="Y2199" s="113"/>
      <c r="Z2199" s="113"/>
      <c r="AA2199" s="319"/>
      <c r="AB2199" s="319"/>
      <c r="AC2199" s="319"/>
      <c r="AD2199" s="319"/>
      <c r="AE2199" s="319"/>
      <c r="AF2199" s="319"/>
      <c r="AG2199" s="319"/>
      <c r="AH2199" s="319"/>
      <c r="AI2199" s="319"/>
      <c r="AJ2199" s="319"/>
      <c r="AK2199" s="319" t="s">
        <v>1113</v>
      </c>
      <c r="AL2199" s="319"/>
      <c r="AM2199" s="319"/>
      <c r="AN2199" s="319"/>
      <c r="AO2199" s="44" t="s">
        <v>2334</v>
      </c>
      <c r="AP2199" s="44"/>
      <c r="AQ2199" s="236" t="str">
        <f>VLOOKUP(Table8[[#This Row],[Instrument]],Def_Targets!$D$73:$E$159,2,FALSE)</f>
        <v>A_Natmobplan</v>
      </c>
      <c r="AR2199" s="233" t="str">
        <f>VLOOKUP(Table8[[#This Row],[Country Code]],Table29[],3,FALSE)</f>
        <v>Non-Annex I</v>
      </c>
      <c r="AS2199" s="233" t="str">
        <f>VLOOKUP(Table8[[#This Row],[Country Code]],Table29[],4,FALSE)</f>
        <v>Oceania</v>
      </c>
      <c r="AT2199" s="233" t="str">
        <f>VLOOKUP(Table8[[#This Row],[Country Code]],Table29[],5,FALSE)</f>
        <v>Middle-income</v>
      </c>
      <c r="AU2199" s="233" t="str">
        <f>VLOOKUP(Table8[[#This Row],[Country Code]],Table29[],6,FALSE)</f>
        <v>no</v>
      </c>
      <c r="AV2199" s="233" t="str">
        <f>VLOOKUP(Table8[[#This Row],[Country Code]],Table29[],7,FALSE)</f>
        <v>no</v>
      </c>
      <c r="AW2199" s="233" t="str">
        <f>VLOOKUP(Table8[[#This Row],[Country Code]],Table29[],8,FALSE)</f>
        <v>non-OECD</v>
      </c>
      <c r="AX2199" s="233" t="str">
        <f>VLOOKUP(Table8[[#This Row],[Country Code]],Table29[],9,FALSE)</f>
        <v>no</v>
      </c>
      <c r="AY2199" s="233" t="str">
        <f>VLOOKUP(Table8[[#This Row],[Country Code]],Table29[],10,FALSE)</f>
        <v>no</v>
      </c>
      <c r="AZ2199" s="235">
        <f>VLOOKUP(Table8[[#This Row],[Country Code]],Table29[],23,FALSE)</f>
        <v>0.34210672521812002</v>
      </c>
      <c r="BA2199" s="235">
        <f>VLOOKUP(Table8[[#This Row],[Country Code]],Table29[],24,FALSE)</f>
        <v>0.1141760738354758</v>
      </c>
      <c r="BB2199" s="320"/>
      <c r="BC2199" s="320"/>
    </row>
    <row r="2200" spans="1:55" ht="30" hidden="1" x14ac:dyDescent="0.25">
      <c r="A2200" s="373">
        <v>17761</v>
      </c>
      <c r="B2200" s="233" t="str">
        <f>VLOOKUP(Table8[[#This Row],[Document ID]],Table1[],2,FALSE)</f>
        <v>TON</v>
      </c>
      <c r="C2200" s="233" t="str">
        <f>VLOOKUP(Table8[[#This Row],[Document ID]],Table1[],3,FALSE)</f>
        <v>Tonga</v>
      </c>
      <c r="D2200" s="243" t="str">
        <f>VLOOKUP(Table8[[#This Row],[Document ID]],Table1[],5,FALSE)</f>
        <v>NDC</v>
      </c>
      <c r="E2200" s="233" t="str">
        <f>VLOOKUP(Table8[[#This Row],[Document ID]],Table1[],7,FALSE)</f>
        <v>First NDC</v>
      </c>
      <c r="F2200" s="236" t="str">
        <f>VLOOKUP(Table8[[#This Row],[Document ID]],Table1[],8,FALSE)</f>
        <v>NDC 1.0</v>
      </c>
      <c r="G2200" s="236" t="str">
        <f>VLOOKUP(Table8[[#This Row],[Document ID]],Table1[],10,FALSE)</f>
        <v>Archived</v>
      </c>
      <c r="H2200" s="43" t="s">
        <v>2350</v>
      </c>
      <c r="I2200" s="43" t="s">
        <v>2407</v>
      </c>
      <c r="J2200" s="44" t="s">
        <v>2408</v>
      </c>
      <c r="K2200" s="44" t="s">
        <v>4347</v>
      </c>
      <c r="L2200" s="44" t="s">
        <v>2471</v>
      </c>
      <c r="M2200" s="43"/>
      <c r="N2200" s="113" t="s">
        <v>1113</v>
      </c>
      <c r="O2200" s="113"/>
      <c r="P2200" s="113"/>
      <c r="Q2200" s="319"/>
      <c r="R2200" s="319"/>
      <c r="S2200" s="319"/>
      <c r="T2200" s="319"/>
      <c r="U2200" s="319"/>
      <c r="V2200" s="319"/>
      <c r="W2200" s="319"/>
      <c r="X2200" s="319"/>
      <c r="Y2200" s="319"/>
      <c r="Z2200" s="319"/>
      <c r="AA2200" s="319"/>
      <c r="AB2200" s="319"/>
      <c r="AC2200" s="319"/>
      <c r="AD2200" s="319"/>
      <c r="AE2200" s="319"/>
      <c r="AF2200" s="319"/>
      <c r="AG2200" s="319"/>
      <c r="AH2200" s="319"/>
      <c r="AI2200" s="319"/>
      <c r="AJ2200" s="319"/>
      <c r="AK2200" s="319" t="s">
        <v>1113</v>
      </c>
      <c r="AL2200" s="319"/>
      <c r="AM2200" s="319"/>
      <c r="AN2200" s="319"/>
      <c r="AO2200" s="44" t="s">
        <v>2334</v>
      </c>
      <c r="AP2200" s="44"/>
      <c r="AQ2200" s="236" t="str">
        <f>VLOOKUP(Table8[[#This Row],[Instrument]],Def_Targets!$D$73:$E$159,2,FALSE)</f>
        <v>I_Education</v>
      </c>
      <c r="AR2200" s="233" t="str">
        <f>VLOOKUP(Table8[[#This Row],[Country Code]],Table29[],3,FALSE)</f>
        <v>Non-Annex I</v>
      </c>
      <c r="AS2200" s="233" t="str">
        <f>VLOOKUP(Table8[[#This Row],[Country Code]],Table29[],4,FALSE)</f>
        <v>Oceania</v>
      </c>
      <c r="AT2200" s="233" t="str">
        <f>VLOOKUP(Table8[[#This Row],[Country Code]],Table29[],5,FALSE)</f>
        <v>Middle-income</v>
      </c>
      <c r="AU2200" s="233" t="str">
        <f>VLOOKUP(Table8[[#This Row],[Country Code]],Table29[],6,FALSE)</f>
        <v>no</v>
      </c>
      <c r="AV2200" s="233" t="str">
        <f>VLOOKUP(Table8[[#This Row],[Country Code]],Table29[],7,FALSE)</f>
        <v>no</v>
      </c>
      <c r="AW2200" s="233" t="str">
        <f>VLOOKUP(Table8[[#This Row],[Country Code]],Table29[],8,FALSE)</f>
        <v>non-OECD</v>
      </c>
      <c r="AX2200" s="233" t="str">
        <f>VLOOKUP(Table8[[#This Row],[Country Code]],Table29[],9,FALSE)</f>
        <v>no</v>
      </c>
      <c r="AY2200" s="233" t="str">
        <f>VLOOKUP(Table8[[#This Row],[Country Code]],Table29[],10,FALSE)</f>
        <v>no</v>
      </c>
      <c r="AZ2200" s="235">
        <f>VLOOKUP(Table8[[#This Row],[Country Code]],Table29[],23,FALSE)</f>
        <v>0.34210672521812002</v>
      </c>
      <c r="BA2200" s="235">
        <f>VLOOKUP(Table8[[#This Row],[Country Code]],Table29[],24,FALSE)</f>
        <v>0.1141760738354758</v>
      </c>
      <c r="BB2200" s="320"/>
      <c r="BC2200" s="320"/>
    </row>
    <row r="2201" spans="1:55" hidden="1" x14ac:dyDescent="0.25">
      <c r="A2201" s="373">
        <v>17761</v>
      </c>
      <c r="B2201" s="233" t="str">
        <f>VLOOKUP(Table8[[#This Row],[Document ID]],Table1[],2,FALSE)</f>
        <v>TON</v>
      </c>
      <c r="C2201" s="233" t="str">
        <f>VLOOKUP(Table8[[#This Row],[Document ID]],Table1[],3,FALSE)</f>
        <v>Tonga</v>
      </c>
      <c r="D2201" s="243" t="str">
        <f>VLOOKUP(Table8[[#This Row],[Document ID]],Table1[],5,FALSE)</f>
        <v>NDC</v>
      </c>
      <c r="E2201" s="233" t="str">
        <f>VLOOKUP(Table8[[#This Row],[Document ID]],Table1[],7,FALSE)</f>
        <v>First NDC</v>
      </c>
      <c r="F2201" s="236" t="str">
        <f>VLOOKUP(Table8[[#This Row],[Document ID]],Table1[],8,FALSE)</f>
        <v>NDC 1.0</v>
      </c>
      <c r="G2201" s="236" t="str">
        <f>VLOOKUP(Table8[[#This Row],[Document ID]],Table1[],10,FALSE)</f>
        <v>Archived</v>
      </c>
      <c r="H2201" s="43" t="s">
        <v>2350</v>
      </c>
      <c r="I2201" s="43" t="s">
        <v>2407</v>
      </c>
      <c r="J2201" s="44" t="s">
        <v>2592</v>
      </c>
      <c r="K2201" s="44" t="s">
        <v>4348</v>
      </c>
      <c r="L2201" s="44" t="s">
        <v>2333</v>
      </c>
      <c r="M2201" s="43"/>
      <c r="N2201" s="113" t="s">
        <v>1113</v>
      </c>
      <c r="O2201" s="113"/>
      <c r="P2201" s="113"/>
      <c r="Q2201" s="319"/>
      <c r="R2201" s="319"/>
      <c r="S2201" s="319"/>
      <c r="T2201" s="319"/>
      <c r="U2201" s="319"/>
      <c r="V2201" s="319"/>
      <c r="W2201" s="319"/>
      <c r="X2201" s="319"/>
      <c r="Y2201" s="113"/>
      <c r="Z2201" s="113"/>
      <c r="AA2201" s="319"/>
      <c r="AB2201" s="319"/>
      <c r="AC2201" s="319"/>
      <c r="AD2201" s="319"/>
      <c r="AE2201" s="319"/>
      <c r="AF2201" s="319"/>
      <c r="AG2201" s="319"/>
      <c r="AH2201" s="319"/>
      <c r="AI2201" s="319"/>
      <c r="AJ2201" s="319"/>
      <c r="AK2201" s="319" t="s">
        <v>1113</v>
      </c>
      <c r="AL2201" s="319"/>
      <c r="AM2201" s="319"/>
      <c r="AN2201" s="319"/>
      <c r="AO2201" s="44" t="s">
        <v>2334</v>
      </c>
      <c r="AP2201" s="44"/>
      <c r="AQ2201" s="236" t="str">
        <f>VLOOKUP(Table8[[#This Row],[Instrument]],Def_Targets!$D$73:$E$159,2,FALSE)</f>
        <v>I_Ecodriving</v>
      </c>
      <c r="AR2201" s="233" t="str">
        <f>VLOOKUP(Table8[[#This Row],[Country Code]],Table29[],3,FALSE)</f>
        <v>Non-Annex I</v>
      </c>
      <c r="AS2201" s="233" t="str">
        <f>VLOOKUP(Table8[[#This Row],[Country Code]],Table29[],4,FALSE)</f>
        <v>Oceania</v>
      </c>
      <c r="AT2201" s="233" t="str">
        <f>VLOOKUP(Table8[[#This Row],[Country Code]],Table29[],5,FALSE)</f>
        <v>Middle-income</v>
      </c>
      <c r="AU2201" s="233" t="str">
        <f>VLOOKUP(Table8[[#This Row],[Country Code]],Table29[],6,FALSE)</f>
        <v>no</v>
      </c>
      <c r="AV2201" s="233" t="str">
        <f>VLOOKUP(Table8[[#This Row],[Country Code]],Table29[],7,FALSE)</f>
        <v>no</v>
      </c>
      <c r="AW2201" s="233" t="str">
        <f>VLOOKUP(Table8[[#This Row],[Country Code]],Table29[],8,FALSE)</f>
        <v>non-OECD</v>
      </c>
      <c r="AX2201" s="233" t="str">
        <f>VLOOKUP(Table8[[#This Row],[Country Code]],Table29[],9,FALSE)</f>
        <v>no</v>
      </c>
      <c r="AY2201" s="233" t="str">
        <f>VLOOKUP(Table8[[#This Row],[Country Code]],Table29[],10,FALSE)</f>
        <v>no</v>
      </c>
      <c r="AZ2201" s="235">
        <f>VLOOKUP(Table8[[#This Row],[Country Code]],Table29[],23,FALSE)</f>
        <v>0.34210672521812002</v>
      </c>
      <c r="BA2201" s="235">
        <f>VLOOKUP(Table8[[#This Row],[Country Code]],Table29[],24,FALSE)</f>
        <v>0.1141760738354758</v>
      </c>
      <c r="BB2201" s="320"/>
      <c r="BC2201" s="320"/>
    </row>
    <row r="2202" spans="1:55" ht="30" hidden="1" x14ac:dyDescent="0.25">
      <c r="A2202" s="373">
        <v>17762</v>
      </c>
      <c r="B2202" s="233" t="str">
        <f>VLOOKUP(Table8[[#This Row],[Document ID]],Table1[],2,FALSE)</f>
        <v>TON</v>
      </c>
      <c r="C2202" s="233" t="str">
        <f>VLOOKUP(Table8[[#This Row],[Document ID]],Table1[],3,FALSE)</f>
        <v>Tonga</v>
      </c>
      <c r="D2202" s="243" t="str">
        <f>VLOOKUP(Table8[[#This Row],[Document ID]],Table1[],5,FALSE)</f>
        <v>NDC</v>
      </c>
      <c r="E2202" s="233" t="str">
        <f>VLOOKUP(Table8[[#This Row],[Document ID]],Table1[],7,FALSE)</f>
        <v>Second NDC</v>
      </c>
      <c r="F2202" s="236" t="str">
        <f>VLOOKUP(Table8[[#This Row],[Document ID]],Table1[],8,FALSE)</f>
        <v>NDC 2.0</v>
      </c>
      <c r="G2202" s="236" t="str">
        <f>VLOOKUP(Table8[[#This Row],[Document ID]],Table1[],10,FALSE)</f>
        <v>Active</v>
      </c>
      <c r="H2202" s="44" t="s">
        <v>2329</v>
      </c>
      <c r="I2202" s="44" t="s">
        <v>2330</v>
      </c>
      <c r="J2202" s="44" t="s">
        <v>2691</v>
      </c>
      <c r="K2202" s="44" t="s">
        <v>4349</v>
      </c>
      <c r="L2202" s="44" t="s">
        <v>2333</v>
      </c>
      <c r="M2202" s="43">
        <v>6</v>
      </c>
      <c r="N2202" s="113"/>
      <c r="O2202" s="113"/>
      <c r="P2202" s="113"/>
      <c r="Q2202" s="319"/>
      <c r="R2202" s="319"/>
      <c r="S2202" s="319" t="s">
        <v>1113</v>
      </c>
      <c r="T2202" s="319"/>
      <c r="U2202" s="319"/>
      <c r="V2202" s="319"/>
      <c r="W2202" s="319"/>
      <c r="X2202" s="319"/>
      <c r="Y2202" s="319"/>
      <c r="Z2202" s="319"/>
      <c r="AA2202" s="319"/>
      <c r="AB2202" s="319"/>
      <c r="AC2202" s="319"/>
      <c r="AD2202" s="319"/>
      <c r="AE2202" s="319"/>
      <c r="AF2202" s="319"/>
      <c r="AG2202" s="319"/>
      <c r="AH2202" s="319"/>
      <c r="AI2202" s="319"/>
      <c r="AJ2202" s="319"/>
      <c r="AK2202" s="319" t="s">
        <v>1113</v>
      </c>
      <c r="AL2202" s="319"/>
      <c r="AM2202" s="319"/>
      <c r="AN2202" s="319"/>
      <c r="AO2202" s="44" t="s">
        <v>2334</v>
      </c>
      <c r="AP2202" s="44"/>
      <c r="AQ2202" s="236" t="str">
        <f>VLOOKUP(Table8[[#This Row],[Instrument]],Def_Targets!$D$73:$E$159,2,FALSE)</f>
        <v>I_Lowemissionincentive</v>
      </c>
      <c r="AR2202" s="233" t="str">
        <f>VLOOKUP(Table8[[#This Row],[Country Code]],Table29[],3,FALSE)</f>
        <v>Non-Annex I</v>
      </c>
      <c r="AS2202" s="233" t="str">
        <f>VLOOKUP(Table8[[#This Row],[Country Code]],Table29[],4,FALSE)</f>
        <v>Oceania</v>
      </c>
      <c r="AT2202" s="233" t="str">
        <f>VLOOKUP(Table8[[#This Row],[Country Code]],Table29[],5,FALSE)</f>
        <v>Middle-income</v>
      </c>
      <c r="AU2202" s="233" t="str">
        <f>VLOOKUP(Table8[[#This Row],[Country Code]],Table29[],6,FALSE)</f>
        <v>no</v>
      </c>
      <c r="AV2202" s="233" t="str">
        <f>VLOOKUP(Table8[[#This Row],[Country Code]],Table29[],7,FALSE)</f>
        <v>no</v>
      </c>
      <c r="AW2202" s="233" t="str">
        <f>VLOOKUP(Table8[[#This Row],[Country Code]],Table29[],8,FALSE)</f>
        <v>non-OECD</v>
      </c>
      <c r="AX2202" s="233" t="str">
        <f>VLOOKUP(Table8[[#This Row],[Country Code]],Table29[],9,FALSE)</f>
        <v>no</v>
      </c>
      <c r="AY2202" s="233" t="str">
        <f>VLOOKUP(Table8[[#This Row],[Country Code]],Table29[],10,FALSE)</f>
        <v>no</v>
      </c>
      <c r="AZ2202" s="235">
        <f>VLOOKUP(Table8[[#This Row],[Country Code]],Table29[],23,FALSE)</f>
        <v>0.34210672521812002</v>
      </c>
      <c r="BA2202" s="235">
        <f>VLOOKUP(Table8[[#This Row],[Country Code]],Table29[],24,FALSE)</f>
        <v>0.1141760738354758</v>
      </c>
      <c r="BB2202" s="320"/>
      <c r="BC2202" s="320"/>
    </row>
    <row r="2203" spans="1:55" s="17" customFormat="1" ht="45" hidden="1" x14ac:dyDescent="0.25">
      <c r="A2203" s="373">
        <v>17734</v>
      </c>
      <c r="B2203" s="233" t="str">
        <f>VLOOKUP(Table8[[#This Row],[Document ID]],Table1[],2,FALSE)</f>
        <v>SVK</v>
      </c>
      <c r="C2203" s="233" t="str">
        <f>VLOOKUP(Table8[[#This Row],[Document ID]],Table1[],3,FALSE)</f>
        <v>Slovakia</v>
      </c>
      <c r="D2203" s="243" t="str">
        <f>VLOOKUP(Table8[[#This Row],[Document ID]],Table1[],5,FALSE)</f>
        <v>LTS</v>
      </c>
      <c r="E2203" s="233" t="str">
        <f>VLOOKUP(Table8[[#This Row],[Document ID]],Table1[],7,FALSE)</f>
        <v>LTS</v>
      </c>
      <c r="F2203" s="233" t="str">
        <f>VLOOKUP(Table8[[#This Row],[Document ID]],Table1[],8,FALSE)</f>
        <v>LTS 1.0</v>
      </c>
      <c r="G2203" s="233" t="str">
        <f>VLOOKUP(Table8[[#This Row],[Document ID]],Table1[],10,FALSE)</f>
        <v>Active</v>
      </c>
      <c r="H2203" s="43" t="s">
        <v>2343</v>
      </c>
      <c r="I2203" s="43" t="s">
        <v>2386</v>
      </c>
      <c r="J2203" s="44" t="s">
        <v>2498</v>
      </c>
      <c r="K2203" s="44" t="s">
        <v>4350</v>
      </c>
      <c r="L2203" s="44" t="s">
        <v>2396</v>
      </c>
      <c r="M2203" s="43">
        <v>51</v>
      </c>
      <c r="N2203" s="113" t="s">
        <v>1113</v>
      </c>
      <c r="O2203" s="113"/>
      <c r="P2203" s="113"/>
      <c r="Q2203" s="113"/>
      <c r="R2203" s="113"/>
      <c r="S2203" s="113"/>
      <c r="T2203" s="113"/>
      <c r="U2203" s="113"/>
      <c r="V2203" s="113"/>
      <c r="W2203" s="113"/>
      <c r="X2203" s="113"/>
      <c r="Y2203" s="113"/>
      <c r="Z2203" s="113"/>
      <c r="AA2203" s="113"/>
      <c r="AB2203" s="113"/>
      <c r="AC2203" s="113"/>
      <c r="AD2203" s="113"/>
      <c r="AE2203" s="113"/>
      <c r="AF2203" s="113"/>
      <c r="AG2203" s="113"/>
      <c r="AH2203" s="113"/>
      <c r="AI2203" s="113"/>
      <c r="AJ2203" s="113"/>
      <c r="AK2203" s="319" t="s">
        <v>1113</v>
      </c>
      <c r="AL2203" s="113"/>
      <c r="AM2203" s="113"/>
      <c r="AN2203" s="113"/>
      <c r="AO2203" s="44" t="s">
        <v>2334</v>
      </c>
      <c r="AP2203" s="43"/>
      <c r="AQ2203" s="236" t="str">
        <f>VLOOKUP(Table8[[#This Row],[Instrument]],Def_Targets!$D$73:$E$159,2,FALSE)</f>
        <v>A_Fueltax</v>
      </c>
      <c r="AR2203" s="233" t="str">
        <f>VLOOKUP(Table8[[#This Row],[Country Code]],Table29[],3,FALSE)</f>
        <v>Annex I</v>
      </c>
      <c r="AS2203" s="233" t="str">
        <f>VLOOKUP(Table8[[#This Row],[Country Code]],Table29[],4,FALSE)</f>
        <v>Europe</v>
      </c>
      <c r="AT2203" s="233" t="str">
        <f>VLOOKUP(Table8[[#This Row],[Country Code]],Table29[],5,FALSE)</f>
        <v>High-income</v>
      </c>
      <c r="AU2203" s="233" t="str">
        <f>VLOOKUP(Table8[[#This Row],[Country Code]],Table29[],6,FALSE)</f>
        <v>no</v>
      </c>
      <c r="AV2203" s="233" t="str">
        <f>VLOOKUP(Table8[[#This Row],[Country Code]],Table29[],7,FALSE)</f>
        <v>no</v>
      </c>
      <c r="AW2203" s="233" t="str">
        <f>VLOOKUP(Table8[[#This Row],[Country Code]],Table29[],8,FALSE)</f>
        <v>OECD</v>
      </c>
      <c r="AX2203" s="233" t="str">
        <f>VLOOKUP(Table8[[#This Row],[Country Code]],Table29[],9,FALSE)</f>
        <v>EU27</v>
      </c>
      <c r="AY2203" s="233" t="str">
        <f>VLOOKUP(Table8[[#This Row],[Country Code]],Table29[],10,FALSE)</f>
        <v>no</v>
      </c>
      <c r="AZ2203" s="235">
        <f>VLOOKUP(Table8[[#This Row],[Country Code]],Table29[],23,FALSE)</f>
        <v>44.775610890682003</v>
      </c>
      <c r="BA2203" s="235">
        <f>VLOOKUP(Table8[[#This Row],[Country Code]],Table29[],24,FALSE)</f>
        <v>7.6629333129442534</v>
      </c>
      <c r="BB2203" s="320"/>
      <c r="BC2203" s="320"/>
    </row>
    <row r="2204" spans="1:55" s="17" customFormat="1" ht="30" hidden="1" x14ac:dyDescent="0.25">
      <c r="A2204" s="373">
        <v>17734</v>
      </c>
      <c r="B2204" s="233" t="str">
        <f>VLOOKUP(Table8[[#This Row],[Document ID]],Table1[],2,FALSE)</f>
        <v>SVK</v>
      </c>
      <c r="C2204" s="233" t="str">
        <f>VLOOKUP(Table8[[#This Row],[Document ID]],Table1[],3,FALSE)</f>
        <v>Slovakia</v>
      </c>
      <c r="D2204" s="243" t="str">
        <f>VLOOKUP(Table8[[#This Row],[Document ID]],Table1[],5,FALSE)</f>
        <v>LTS</v>
      </c>
      <c r="E2204" s="233" t="str">
        <f>VLOOKUP(Table8[[#This Row],[Document ID]],Table1[],7,FALSE)</f>
        <v>LTS</v>
      </c>
      <c r="F2204" s="233" t="str">
        <f>VLOOKUP(Table8[[#This Row],[Document ID]],Table1[],8,FALSE)</f>
        <v>LTS 1.0</v>
      </c>
      <c r="G2204" s="233" t="str">
        <f>VLOOKUP(Table8[[#This Row],[Document ID]],Table1[],10,FALSE)</f>
        <v>Active</v>
      </c>
      <c r="H2204" s="43" t="s">
        <v>2343</v>
      </c>
      <c r="I2204" s="43" t="s">
        <v>2386</v>
      </c>
      <c r="J2204" s="44" t="s">
        <v>2569</v>
      </c>
      <c r="K2204" s="44" t="s">
        <v>4351</v>
      </c>
      <c r="L2204" s="44" t="s">
        <v>2396</v>
      </c>
      <c r="M2204" s="43">
        <v>51</v>
      </c>
      <c r="N2204" s="113" t="s">
        <v>1113</v>
      </c>
      <c r="O2204" s="113"/>
      <c r="P2204" s="113"/>
      <c r="Q2204" s="113"/>
      <c r="R2204" s="113"/>
      <c r="S2204" s="113"/>
      <c r="T2204" s="113"/>
      <c r="U2204" s="113"/>
      <c r="V2204" s="113"/>
      <c r="W2204" s="113"/>
      <c r="X2204" s="113"/>
      <c r="Y2204" s="113"/>
      <c r="Z2204" s="113"/>
      <c r="AA2204" s="113"/>
      <c r="AB2204" s="113"/>
      <c r="AC2204" s="113"/>
      <c r="AD2204" s="113"/>
      <c r="AE2204" s="113"/>
      <c r="AF2204" s="113"/>
      <c r="AG2204" s="113"/>
      <c r="AH2204" s="113"/>
      <c r="AI2204" s="113"/>
      <c r="AJ2204" s="113"/>
      <c r="AK2204" s="319" t="s">
        <v>1113</v>
      </c>
      <c r="AL2204" s="113"/>
      <c r="AM2204" s="113"/>
      <c r="AN2204" s="113"/>
      <c r="AO2204" s="43" t="s">
        <v>2348</v>
      </c>
      <c r="AP2204" s="43"/>
      <c r="AQ2204" s="236" t="str">
        <f>VLOOKUP(Table8[[#This Row],[Instrument]],Def_Targets!$D$73:$E$159,2,FALSE)</f>
        <v>A_Roadcharging</v>
      </c>
      <c r="AR2204" s="233" t="str">
        <f>VLOOKUP(Table8[[#This Row],[Country Code]],Table29[],3,FALSE)</f>
        <v>Annex I</v>
      </c>
      <c r="AS2204" s="233" t="str">
        <f>VLOOKUP(Table8[[#This Row],[Country Code]],Table29[],4,FALSE)</f>
        <v>Europe</v>
      </c>
      <c r="AT2204" s="233" t="str">
        <f>VLOOKUP(Table8[[#This Row],[Country Code]],Table29[],5,FALSE)</f>
        <v>High-income</v>
      </c>
      <c r="AU2204" s="233" t="str">
        <f>VLOOKUP(Table8[[#This Row],[Country Code]],Table29[],6,FALSE)</f>
        <v>no</v>
      </c>
      <c r="AV2204" s="233" t="str">
        <f>VLOOKUP(Table8[[#This Row],[Country Code]],Table29[],7,FALSE)</f>
        <v>no</v>
      </c>
      <c r="AW2204" s="233" t="str">
        <f>VLOOKUP(Table8[[#This Row],[Country Code]],Table29[],8,FALSE)</f>
        <v>OECD</v>
      </c>
      <c r="AX2204" s="233" t="str">
        <f>VLOOKUP(Table8[[#This Row],[Country Code]],Table29[],9,FALSE)</f>
        <v>EU27</v>
      </c>
      <c r="AY2204" s="233" t="str">
        <f>VLOOKUP(Table8[[#This Row],[Country Code]],Table29[],10,FALSE)</f>
        <v>no</v>
      </c>
      <c r="AZ2204" s="235">
        <f>VLOOKUP(Table8[[#This Row],[Country Code]],Table29[],23,FALSE)</f>
        <v>44.775610890682003</v>
      </c>
      <c r="BA2204" s="235">
        <f>VLOOKUP(Table8[[#This Row],[Country Code]],Table29[],24,FALSE)</f>
        <v>7.6629333129442534</v>
      </c>
      <c r="BB2204" s="320"/>
      <c r="BC2204" s="320"/>
    </row>
    <row r="2205" spans="1:55" s="17" customFormat="1" ht="60" hidden="1" x14ac:dyDescent="0.25">
      <c r="A2205" s="373">
        <v>17734</v>
      </c>
      <c r="B2205" s="233" t="str">
        <f>VLOOKUP(Table8[[#This Row],[Document ID]],Table1[],2,FALSE)</f>
        <v>SVK</v>
      </c>
      <c r="C2205" s="233" t="str">
        <f>VLOOKUP(Table8[[#This Row],[Document ID]],Table1[],3,FALSE)</f>
        <v>Slovakia</v>
      </c>
      <c r="D2205" s="243" t="str">
        <f>VLOOKUP(Table8[[#This Row],[Document ID]],Table1[],5,FALSE)</f>
        <v>LTS</v>
      </c>
      <c r="E2205" s="233" t="str">
        <f>VLOOKUP(Table8[[#This Row],[Document ID]],Table1[],7,FALSE)</f>
        <v>LTS</v>
      </c>
      <c r="F2205" s="233" t="str">
        <f>VLOOKUP(Table8[[#This Row],[Document ID]],Table1[],8,FALSE)</f>
        <v>LTS 1.0</v>
      </c>
      <c r="G2205" s="233" t="str">
        <f>VLOOKUP(Table8[[#This Row],[Document ID]],Table1[],10,FALSE)</f>
        <v>Active</v>
      </c>
      <c r="H2205" s="43" t="s">
        <v>2343</v>
      </c>
      <c r="I2205" s="43" t="s">
        <v>2377</v>
      </c>
      <c r="J2205" s="44" t="s">
        <v>2535</v>
      </c>
      <c r="K2205" s="44" t="s">
        <v>4352</v>
      </c>
      <c r="L2205" s="44" t="s">
        <v>2396</v>
      </c>
      <c r="M2205" s="43">
        <v>51</v>
      </c>
      <c r="N2205" s="113"/>
      <c r="O2205" s="113"/>
      <c r="P2205" s="113"/>
      <c r="Q2205" s="113"/>
      <c r="R2205" s="113"/>
      <c r="S2205" s="113" t="s">
        <v>1113</v>
      </c>
      <c r="T2205" s="113"/>
      <c r="U2205" s="113"/>
      <c r="V2205" s="113"/>
      <c r="W2205" s="113"/>
      <c r="X2205" s="113"/>
      <c r="Y2205" s="113"/>
      <c r="Z2205" s="113"/>
      <c r="AA2205" s="113"/>
      <c r="AB2205" s="113"/>
      <c r="AC2205" s="113"/>
      <c r="AD2205" s="113"/>
      <c r="AE2205" s="113"/>
      <c r="AF2205" s="113"/>
      <c r="AG2205" s="113"/>
      <c r="AH2205" s="113"/>
      <c r="AI2205" s="113"/>
      <c r="AJ2205" s="113"/>
      <c r="AK2205" s="113"/>
      <c r="AL2205" s="113" t="s">
        <v>1113</v>
      </c>
      <c r="AM2205" s="113"/>
      <c r="AN2205" s="113"/>
      <c r="AO2205" s="44" t="s">
        <v>2334</v>
      </c>
      <c r="AP2205" s="43"/>
      <c r="AQ2205" s="236" t="str">
        <f>VLOOKUP(Table8[[#This Row],[Instrument]],Def_Targets!$D$73:$E$159,2,FALSE)</f>
        <v>S_Parking</v>
      </c>
      <c r="AR2205" s="233" t="str">
        <f>VLOOKUP(Table8[[#This Row],[Country Code]],Table29[],3,FALSE)</f>
        <v>Annex I</v>
      </c>
      <c r="AS2205" s="233" t="str">
        <f>VLOOKUP(Table8[[#This Row],[Country Code]],Table29[],4,FALSE)</f>
        <v>Europe</v>
      </c>
      <c r="AT2205" s="233" t="str">
        <f>VLOOKUP(Table8[[#This Row],[Country Code]],Table29[],5,FALSE)</f>
        <v>High-income</v>
      </c>
      <c r="AU2205" s="233" t="str">
        <f>VLOOKUP(Table8[[#This Row],[Country Code]],Table29[],6,FALSE)</f>
        <v>no</v>
      </c>
      <c r="AV2205" s="233" t="str">
        <f>VLOOKUP(Table8[[#This Row],[Country Code]],Table29[],7,FALSE)</f>
        <v>no</v>
      </c>
      <c r="AW2205" s="233" t="str">
        <f>VLOOKUP(Table8[[#This Row],[Country Code]],Table29[],8,FALSE)</f>
        <v>OECD</v>
      </c>
      <c r="AX2205" s="233" t="str">
        <f>VLOOKUP(Table8[[#This Row],[Country Code]],Table29[],9,FALSE)</f>
        <v>EU27</v>
      </c>
      <c r="AY2205" s="233" t="str">
        <f>VLOOKUP(Table8[[#This Row],[Country Code]],Table29[],10,FALSE)</f>
        <v>no</v>
      </c>
      <c r="AZ2205" s="235">
        <f>VLOOKUP(Table8[[#This Row],[Country Code]],Table29[],23,FALSE)</f>
        <v>44.775610890682003</v>
      </c>
      <c r="BA2205" s="235">
        <f>VLOOKUP(Table8[[#This Row],[Country Code]],Table29[],24,FALSE)</f>
        <v>7.6629333129442534</v>
      </c>
      <c r="BB2205" s="320"/>
      <c r="BC2205" s="320"/>
    </row>
    <row r="2206" spans="1:55" s="17" customFormat="1" ht="60" hidden="1" x14ac:dyDescent="0.25">
      <c r="A2206" s="373">
        <v>17734</v>
      </c>
      <c r="B2206" s="233" t="str">
        <f>VLOOKUP(Table8[[#This Row],[Document ID]],Table1[],2,FALSE)</f>
        <v>SVK</v>
      </c>
      <c r="C2206" s="233" t="str">
        <f>VLOOKUP(Table8[[#This Row],[Document ID]],Table1[],3,FALSE)</f>
        <v>Slovakia</v>
      </c>
      <c r="D2206" s="243" t="str">
        <f>VLOOKUP(Table8[[#This Row],[Document ID]],Table1[],5,FALSE)</f>
        <v>LTS</v>
      </c>
      <c r="E2206" s="233" t="str">
        <f>VLOOKUP(Table8[[#This Row],[Document ID]],Table1[],7,FALSE)</f>
        <v>LTS</v>
      </c>
      <c r="F2206" s="233" t="str">
        <f>VLOOKUP(Table8[[#This Row],[Document ID]],Table1[],8,FALSE)</f>
        <v>LTS 1.0</v>
      </c>
      <c r="G2206" s="233" t="str">
        <f>VLOOKUP(Table8[[#This Row],[Document ID]],Table1[],10,FALSE)</f>
        <v>Active</v>
      </c>
      <c r="H2206" s="43" t="s">
        <v>2343</v>
      </c>
      <c r="I2206" s="43" t="s">
        <v>2377</v>
      </c>
      <c r="J2206" s="44" t="s">
        <v>2535</v>
      </c>
      <c r="K2206" s="44" t="s">
        <v>4352</v>
      </c>
      <c r="L2206" s="44" t="s">
        <v>2396</v>
      </c>
      <c r="M2206" s="43">
        <v>51</v>
      </c>
      <c r="N2206" s="113"/>
      <c r="O2206" s="113"/>
      <c r="P2206" s="113"/>
      <c r="Q2206" s="113"/>
      <c r="R2206" s="113"/>
      <c r="S2206" s="113" t="s">
        <v>1113</v>
      </c>
      <c r="T2206" s="113"/>
      <c r="U2206" s="113"/>
      <c r="V2206" s="113"/>
      <c r="W2206" s="113"/>
      <c r="X2206" s="113"/>
      <c r="Y2206" s="113"/>
      <c r="Z2206" s="113"/>
      <c r="AA2206" s="113"/>
      <c r="AB2206" s="113"/>
      <c r="AC2206" s="113"/>
      <c r="AD2206" s="113"/>
      <c r="AE2206" s="113"/>
      <c r="AF2206" s="113"/>
      <c r="AG2206" s="113"/>
      <c r="AH2206" s="113"/>
      <c r="AI2206" s="113"/>
      <c r="AJ2206" s="113"/>
      <c r="AK2206" s="113"/>
      <c r="AL2206" s="113" t="s">
        <v>1113</v>
      </c>
      <c r="AM2206" s="113"/>
      <c r="AN2206" s="113"/>
      <c r="AO2206" s="44" t="s">
        <v>2334</v>
      </c>
      <c r="AP2206" s="43"/>
      <c r="AQ2206" s="236" t="str">
        <f>VLOOKUP(Table8[[#This Row],[Instrument]],Def_Targets!$D$73:$E$159,2,FALSE)</f>
        <v>S_Parking</v>
      </c>
      <c r="AR2206" s="233" t="str">
        <f>VLOOKUP(Table8[[#This Row],[Country Code]],Table29[],3,FALSE)</f>
        <v>Annex I</v>
      </c>
      <c r="AS2206" s="233" t="str">
        <f>VLOOKUP(Table8[[#This Row],[Country Code]],Table29[],4,FALSE)</f>
        <v>Europe</v>
      </c>
      <c r="AT2206" s="233" t="str">
        <f>VLOOKUP(Table8[[#This Row],[Country Code]],Table29[],5,FALSE)</f>
        <v>High-income</v>
      </c>
      <c r="AU2206" s="233" t="str">
        <f>VLOOKUP(Table8[[#This Row],[Country Code]],Table29[],6,FALSE)</f>
        <v>no</v>
      </c>
      <c r="AV2206" s="233" t="str">
        <f>VLOOKUP(Table8[[#This Row],[Country Code]],Table29[],7,FALSE)</f>
        <v>no</v>
      </c>
      <c r="AW2206" s="233" t="str">
        <f>VLOOKUP(Table8[[#This Row],[Country Code]],Table29[],8,FALSE)</f>
        <v>OECD</v>
      </c>
      <c r="AX2206" s="233" t="str">
        <f>VLOOKUP(Table8[[#This Row],[Country Code]],Table29[],9,FALSE)</f>
        <v>EU27</v>
      </c>
      <c r="AY2206" s="233" t="str">
        <f>VLOOKUP(Table8[[#This Row],[Country Code]],Table29[],10,FALSE)</f>
        <v>no</v>
      </c>
      <c r="AZ2206" s="235">
        <f>VLOOKUP(Table8[[#This Row],[Country Code]],Table29[],23,FALSE)</f>
        <v>44.775610890682003</v>
      </c>
      <c r="BA2206" s="235">
        <f>VLOOKUP(Table8[[#This Row],[Country Code]],Table29[],24,FALSE)</f>
        <v>7.6629333129442534</v>
      </c>
      <c r="BB2206" s="320"/>
      <c r="BC2206" s="320"/>
    </row>
    <row r="2207" spans="1:55" s="17" customFormat="1" ht="45" hidden="1" x14ac:dyDescent="0.25">
      <c r="A2207" s="373">
        <v>17734</v>
      </c>
      <c r="B2207" s="233" t="str">
        <f>VLOOKUP(Table8[[#This Row],[Document ID]],Table1[],2,FALSE)</f>
        <v>SVK</v>
      </c>
      <c r="C2207" s="233" t="str">
        <f>VLOOKUP(Table8[[#This Row],[Document ID]],Table1[],3,FALSE)</f>
        <v>Slovakia</v>
      </c>
      <c r="D2207" s="243" t="str">
        <f>VLOOKUP(Table8[[#This Row],[Document ID]],Table1[],5,FALSE)</f>
        <v>LTS</v>
      </c>
      <c r="E2207" s="233" t="str">
        <f>VLOOKUP(Table8[[#This Row],[Document ID]],Table1[],7,FALSE)</f>
        <v>LTS</v>
      </c>
      <c r="F2207" s="233" t="str">
        <f>VLOOKUP(Table8[[#This Row],[Document ID]],Table1[],8,FALSE)</f>
        <v>LTS 1.0</v>
      </c>
      <c r="G2207" s="233" t="str">
        <f>VLOOKUP(Table8[[#This Row],[Document ID]],Table1[],10,FALSE)</f>
        <v>Active</v>
      </c>
      <c r="H2207" s="43" t="s">
        <v>2343</v>
      </c>
      <c r="I2207" s="43" t="s">
        <v>2377</v>
      </c>
      <c r="J2207" s="44" t="s">
        <v>2521</v>
      </c>
      <c r="K2207" s="44" t="s">
        <v>4353</v>
      </c>
      <c r="L2207" s="44" t="s">
        <v>2333</v>
      </c>
      <c r="M2207" s="43">
        <v>51</v>
      </c>
      <c r="N2207" s="113" t="s">
        <v>1113</v>
      </c>
      <c r="O2207" s="113"/>
      <c r="P2207" s="113"/>
      <c r="Q2207" s="113"/>
      <c r="R2207" s="113"/>
      <c r="S2207" s="113"/>
      <c r="T2207" s="113"/>
      <c r="U2207" s="113"/>
      <c r="V2207" s="113"/>
      <c r="W2207" s="113"/>
      <c r="X2207" s="113"/>
      <c r="Y2207" s="113"/>
      <c r="Z2207" s="113"/>
      <c r="AA2207" s="113"/>
      <c r="AB2207" s="113"/>
      <c r="AC2207" s="113"/>
      <c r="AD2207" s="113"/>
      <c r="AE2207" s="113"/>
      <c r="AF2207" s="113"/>
      <c r="AG2207" s="113"/>
      <c r="AH2207" s="113"/>
      <c r="AI2207" s="113"/>
      <c r="AJ2207" s="113"/>
      <c r="AK2207" s="113"/>
      <c r="AL2207" s="113" t="s">
        <v>1113</v>
      </c>
      <c r="AM2207" s="113"/>
      <c r="AN2207" s="113"/>
      <c r="AO2207" s="44" t="s">
        <v>2334</v>
      </c>
      <c r="AP2207" s="43"/>
      <c r="AQ2207" s="236" t="str">
        <f>VLOOKUP(Table8[[#This Row],[Instrument]],Def_Targets!$D$73:$E$159,2,FALSE)</f>
        <v>A_Caraccess</v>
      </c>
      <c r="AR2207" s="233" t="str">
        <f>VLOOKUP(Table8[[#This Row],[Country Code]],Table29[],3,FALSE)</f>
        <v>Annex I</v>
      </c>
      <c r="AS2207" s="233" t="str">
        <f>VLOOKUP(Table8[[#This Row],[Country Code]],Table29[],4,FALSE)</f>
        <v>Europe</v>
      </c>
      <c r="AT2207" s="233" t="str">
        <f>VLOOKUP(Table8[[#This Row],[Country Code]],Table29[],5,FALSE)</f>
        <v>High-income</v>
      </c>
      <c r="AU2207" s="233" t="str">
        <f>VLOOKUP(Table8[[#This Row],[Country Code]],Table29[],6,FALSE)</f>
        <v>no</v>
      </c>
      <c r="AV2207" s="233" t="str">
        <f>VLOOKUP(Table8[[#This Row],[Country Code]],Table29[],7,FALSE)</f>
        <v>no</v>
      </c>
      <c r="AW2207" s="233" t="str">
        <f>VLOOKUP(Table8[[#This Row],[Country Code]],Table29[],8,FALSE)</f>
        <v>OECD</v>
      </c>
      <c r="AX2207" s="233" t="str">
        <f>VLOOKUP(Table8[[#This Row],[Country Code]],Table29[],9,FALSE)</f>
        <v>EU27</v>
      </c>
      <c r="AY2207" s="233" t="str">
        <f>VLOOKUP(Table8[[#This Row],[Country Code]],Table29[],10,FALSE)</f>
        <v>no</v>
      </c>
      <c r="AZ2207" s="235">
        <f>VLOOKUP(Table8[[#This Row],[Country Code]],Table29[],23,FALSE)</f>
        <v>44.775610890682003</v>
      </c>
      <c r="BA2207" s="235">
        <f>VLOOKUP(Table8[[#This Row],[Country Code]],Table29[],24,FALSE)</f>
        <v>7.6629333129442534</v>
      </c>
      <c r="BB2207" s="320"/>
      <c r="BC2207" s="320"/>
    </row>
    <row r="2208" spans="1:55" s="17" customFormat="1" ht="30" hidden="1" x14ac:dyDescent="0.25">
      <c r="A2208" s="373">
        <v>17734</v>
      </c>
      <c r="B2208" s="233" t="str">
        <f>VLOOKUP(Table8[[#This Row],[Document ID]],Table1[],2,FALSE)</f>
        <v>SVK</v>
      </c>
      <c r="C2208" s="233" t="str">
        <f>VLOOKUP(Table8[[#This Row],[Document ID]],Table1[],3,FALSE)</f>
        <v>Slovakia</v>
      </c>
      <c r="D2208" s="243" t="str">
        <f>VLOOKUP(Table8[[#This Row],[Document ID]],Table1[],5,FALSE)</f>
        <v>LTS</v>
      </c>
      <c r="E2208" s="233" t="str">
        <f>VLOOKUP(Table8[[#This Row],[Document ID]],Table1[],7,FALSE)</f>
        <v>LTS</v>
      </c>
      <c r="F2208" s="233" t="str">
        <f>VLOOKUP(Table8[[#This Row],[Document ID]],Table1[],8,FALSE)</f>
        <v>LTS 1.0</v>
      </c>
      <c r="G2208" s="233" t="str">
        <f>VLOOKUP(Table8[[#This Row],[Document ID]],Table1[],10,FALSE)</f>
        <v>Active</v>
      </c>
      <c r="H2208" s="44" t="s">
        <v>2329</v>
      </c>
      <c r="I2208" s="44" t="s">
        <v>2330</v>
      </c>
      <c r="J2208" s="44" t="s">
        <v>2331</v>
      </c>
      <c r="K2208" s="44" t="s">
        <v>4354</v>
      </c>
      <c r="L2208" s="44" t="s">
        <v>2333</v>
      </c>
      <c r="M2208" s="43">
        <v>51</v>
      </c>
      <c r="N2208" s="113" t="s">
        <v>1113</v>
      </c>
      <c r="O2208" s="113"/>
      <c r="P2208" s="113"/>
      <c r="Q2208" s="113"/>
      <c r="R2208" s="113"/>
      <c r="S2208" s="113"/>
      <c r="T2208" s="113"/>
      <c r="U2208" s="113"/>
      <c r="V2208" s="113"/>
      <c r="W2208" s="113"/>
      <c r="X2208" s="113"/>
      <c r="Y2208" s="113"/>
      <c r="Z2208" s="113"/>
      <c r="AA2208" s="113"/>
      <c r="AB2208" s="113"/>
      <c r="AC2208" s="113"/>
      <c r="AD2208" s="113"/>
      <c r="AE2208" s="113"/>
      <c r="AF2208" s="113"/>
      <c r="AG2208" s="113"/>
      <c r="AH2208" s="113"/>
      <c r="AI2208" s="113"/>
      <c r="AJ2208" s="113"/>
      <c r="AK2208" s="319" t="s">
        <v>1113</v>
      </c>
      <c r="AL2208" s="113"/>
      <c r="AM2208" s="113"/>
      <c r="AN2208" s="113"/>
      <c r="AO2208" s="44" t="s">
        <v>2334</v>
      </c>
      <c r="AP2208" s="43"/>
      <c r="AQ2208" s="236" t="str">
        <f>VLOOKUP(Table8[[#This Row],[Instrument]],Def_Targets!$D$73:$E$159,2,FALSE)</f>
        <v>I_Altfuels</v>
      </c>
      <c r="AR2208" s="233" t="str">
        <f>VLOOKUP(Table8[[#This Row],[Country Code]],Table29[],3,FALSE)</f>
        <v>Annex I</v>
      </c>
      <c r="AS2208" s="233" t="str">
        <f>VLOOKUP(Table8[[#This Row],[Country Code]],Table29[],4,FALSE)</f>
        <v>Europe</v>
      </c>
      <c r="AT2208" s="233" t="str">
        <f>VLOOKUP(Table8[[#This Row],[Country Code]],Table29[],5,FALSE)</f>
        <v>High-income</v>
      </c>
      <c r="AU2208" s="233" t="str">
        <f>VLOOKUP(Table8[[#This Row],[Country Code]],Table29[],6,FALSE)</f>
        <v>no</v>
      </c>
      <c r="AV2208" s="233" t="str">
        <f>VLOOKUP(Table8[[#This Row],[Country Code]],Table29[],7,FALSE)</f>
        <v>no</v>
      </c>
      <c r="AW2208" s="233" t="str">
        <f>VLOOKUP(Table8[[#This Row],[Country Code]],Table29[],8,FALSE)</f>
        <v>OECD</v>
      </c>
      <c r="AX2208" s="233" t="str">
        <f>VLOOKUP(Table8[[#This Row],[Country Code]],Table29[],9,FALSE)</f>
        <v>EU27</v>
      </c>
      <c r="AY2208" s="233" t="str">
        <f>VLOOKUP(Table8[[#This Row],[Country Code]],Table29[],10,FALSE)</f>
        <v>no</v>
      </c>
      <c r="AZ2208" s="235">
        <f>VLOOKUP(Table8[[#This Row],[Country Code]],Table29[],23,FALSE)</f>
        <v>44.775610890682003</v>
      </c>
      <c r="BA2208" s="235">
        <f>VLOOKUP(Table8[[#This Row],[Country Code]],Table29[],24,FALSE)</f>
        <v>7.6629333129442534</v>
      </c>
      <c r="BB2208" s="320"/>
      <c r="BC2208" s="320"/>
    </row>
    <row r="2209" spans="1:55" s="17" customFormat="1" ht="30" hidden="1" x14ac:dyDescent="0.25">
      <c r="A2209" s="373">
        <v>17734</v>
      </c>
      <c r="B2209" s="233" t="str">
        <f>VLOOKUP(Table8[[#This Row],[Document ID]],Table1[],2,FALSE)</f>
        <v>SVK</v>
      </c>
      <c r="C2209" s="233" t="str">
        <f>VLOOKUP(Table8[[#This Row],[Document ID]],Table1[],3,FALSE)</f>
        <v>Slovakia</v>
      </c>
      <c r="D2209" s="243" t="str">
        <f>VLOOKUP(Table8[[#This Row],[Document ID]],Table1[],5,FALSE)</f>
        <v>LTS</v>
      </c>
      <c r="E2209" s="233" t="str">
        <f>VLOOKUP(Table8[[#This Row],[Document ID]],Table1[],7,FALSE)</f>
        <v>LTS</v>
      </c>
      <c r="F2209" s="233" t="str">
        <f>VLOOKUP(Table8[[#This Row],[Document ID]],Table1[],8,FALSE)</f>
        <v>LTS 1.0</v>
      </c>
      <c r="G2209" s="233" t="str">
        <f>VLOOKUP(Table8[[#This Row],[Document ID]],Table1[],10,FALSE)</f>
        <v>Active</v>
      </c>
      <c r="H2209" s="44" t="s">
        <v>2329</v>
      </c>
      <c r="I2209" s="44" t="s">
        <v>2330</v>
      </c>
      <c r="J2209" s="44" t="s">
        <v>2331</v>
      </c>
      <c r="K2209" s="44" t="s">
        <v>4355</v>
      </c>
      <c r="L2209" s="44" t="s">
        <v>2333</v>
      </c>
      <c r="M2209" s="43">
        <v>51</v>
      </c>
      <c r="N2209" s="113" t="s">
        <v>1113</v>
      </c>
      <c r="O2209" s="113"/>
      <c r="P2209" s="113"/>
      <c r="Q2209" s="113"/>
      <c r="R2209" s="113"/>
      <c r="S2209" s="113"/>
      <c r="T2209" s="113"/>
      <c r="U2209" s="113"/>
      <c r="V2209" s="113"/>
      <c r="W2209" s="113"/>
      <c r="X2209" s="113"/>
      <c r="Y2209" s="113"/>
      <c r="Z2209" s="113"/>
      <c r="AA2209" s="113"/>
      <c r="AB2209" s="113"/>
      <c r="AC2209" s="113"/>
      <c r="AD2209" s="113"/>
      <c r="AE2209" s="113"/>
      <c r="AF2209" s="113"/>
      <c r="AG2209" s="113"/>
      <c r="AH2209" s="113"/>
      <c r="AI2209" s="113"/>
      <c r="AJ2209" s="113"/>
      <c r="AK2209" s="319" t="s">
        <v>1113</v>
      </c>
      <c r="AL2209" s="113"/>
      <c r="AM2209" s="113"/>
      <c r="AN2209" s="113"/>
      <c r="AO2209" s="44" t="s">
        <v>2334</v>
      </c>
      <c r="AP2209" s="43"/>
      <c r="AQ2209" s="236" t="str">
        <f>VLOOKUP(Table8[[#This Row],[Instrument]],Def_Targets!$D$73:$E$159,2,FALSE)</f>
        <v>I_Altfuels</v>
      </c>
      <c r="AR2209" s="233" t="str">
        <f>VLOOKUP(Table8[[#This Row],[Country Code]],Table29[],3,FALSE)</f>
        <v>Annex I</v>
      </c>
      <c r="AS2209" s="233" t="str">
        <f>VLOOKUP(Table8[[#This Row],[Country Code]],Table29[],4,FALSE)</f>
        <v>Europe</v>
      </c>
      <c r="AT2209" s="233" t="str">
        <f>VLOOKUP(Table8[[#This Row],[Country Code]],Table29[],5,FALSE)</f>
        <v>High-income</v>
      </c>
      <c r="AU2209" s="233" t="str">
        <f>VLOOKUP(Table8[[#This Row],[Country Code]],Table29[],6,FALSE)</f>
        <v>no</v>
      </c>
      <c r="AV2209" s="233" t="str">
        <f>VLOOKUP(Table8[[#This Row],[Country Code]],Table29[],7,FALSE)</f>
        <v>no</v>
      </c>
      <c r="AW2209" s="233" t="str">
        <f>VLOOKUP(Table8[[#This Row],[Country Code]],Table29[],8,FALSE)</f>
        <v>OECD</v>
      </c>
      <c r="AX2209" s="233" t="str">
        <f>VLOOKUP(Table8[[#This Row],[Country Code]],Table29[],9,FALSE)</f>
        <v>EU27</v>
      </c>
      <c r="AY2209" s="233" t="str">
        <f>VLOOKUP(Table8[[#This Row],[Country Code]],Table29[],10,FALSE)</f>
        <v>no</v>
      </c>
      <c r="AZ2209" s="235">
        <f>VLOOKUP(Table8[[#This Row],[Country Code]],Table29[],23,FALSE)</f>
        <v>44.775610890682003</v>
      </c>
      <c r="BA2209" s="235">
        <f>VLOOKUP(Table8[[#This Row],[Country Code]],Table29[],24,FALSE)</f>
        <v>7.6629333129442534</v>
      </c>
      <c r="BB2209" s="320"/>
      <c r="BC2209" s="320"/>
    </row>
    <row r="2210" spans="1:55" s="17" customFormat="1" ht="30" hidden="1" x14ac:dyDescent="0.25">
      <c r="A2210" s="373">
        <v>17734</v>
      </c>
      <c r="B2210" s="233" t="str">
        <f>VLOOKUP(Table8[[#This Row],[Document ID]],Table1[],2,FALSE)</f>
        <v>SVK</v>
      </c>
      <c r="C2210" s="233" t="str">
        <f>VLOOKUP(Table8[[#This Row],[Document ID]],Table1[],3,FALSE)</f>
        <v>Slovakia</v>
      </c>
      <c r="D2210" s="243" t="str">
        <f>VLOOKUP(Table8[[#This Row],[Document ID]],Table1[],5,FALSE)</f>
        <v>LTS</v>
      </c>
      <c r="E2210" s="233" t="str">
        <f>VLOOKUP(Table8[[#This Row],[Document ID]],Table1[],7,FALSE)</f>
        <v>LTS</v>
      </c>
      <c r="F2210" s="233" t="str">
        <f>VLOOKUP(Table8[[#This Row],[Document ID]],Table1[],8,FALSE)</f>
        <v>LTS 1.0</v>
      </c>
      <c r="G2210" s="233" t="str">
        <f>VLOOKUP(Table8[[#This Row],[Document ID]],Table1[],10,FALSE)</f>
        <v>Active</v>
      </c>
      <c r="H2210" s="43" t="s">
        <v>2350</v>
      </c>
      <c r="I2210" s="43" t="s">
        <v>2456</v>
      </c>
      <c r="J2210" s="44" t="s">
        <v>2457</v>
      </c>
      <c r="K2210" s="44" t="s">
        <v>4356</v>
      </c>
      <c r="L2210" s="44" t="s">
        <v>2333</v>
      </c>
      <c r="M2210" s="43">
        <v>51</v>
      </c>
      <c r="N2210" s="113" t="s">
        <v>1113</v>
      </c>
      <c r="O2210" s="113"/>
      <c r="P2210" s="113"/>
      <c r="Q2210" s="113"/>
      <c r="R2210" s="113"/>
      <c r="S2210" s="113"/>
      <c r="T2210" s="113"/>
      <c r="U2210" s="113"/>
      <c r="V2210" s="113"/>
      <c r="W2210" s="113"/>
      <c r="X2210" s="113"/>
      <c r="Y2210" s="113"/>
      <c r="Z2210" s="113"/>
      <c r="AA2210" s="113"/>
      <c r="AB2210" s="113"/>
      <c r="AC2210" s="113"/>
      <c r="AD2210" s="113"/>
      <c r="AE2210" s="113"/>
      <c r="AF2210" s="113"/>
      <c r="AG2210" s="113"/>
      <c r="AH2210" s="113"/>
      <c r="AI2210" s="113"/>
      <c r="AJ2210" s="113"/>
      <c r="AK2210" s="319" t="s">
        <v>1113</v>
      </c>
      <c r="AL2210" s="113"/>
      <c r="AM2210" s="113"/>
      <c r="AN2210" s="113"/>
      <c r="AO2210" s="44" t="s">
        <v>2334</v>
      </c>
      <c r="AP2210" s="43"/>
      <c r="AQ2210" s="236" t="str">
        <f>VLOOKUP(Table8[[#This Row],[Instrument]],Def_Targets!$D$73:$E$159,2,FALSE)</f>
        <v>S_Infraimprove</v>
      </c>
      <c r="AR2210" s="233" t="str">
        <f>VLOOKUP(Table8[[#This Row],[Country Code]],Table29[],3,FALSE)</f>
        <v>Annex I</v>
      </c>
      <c r="AS2210" s="233" t="str">
        <f>VLOOKUP(Table8[[#This Row],[Country Code]],Table29[],4,FALSE)</f>
        <v>Europe</v>
      </c>
      <c r="AT2210" s="233" t="str">
        <f>VLOOKUP(Table8[[#This Row],[Country Code]],Table29[],5,FALSE)</f>
        <v>High-income</v>
      </c>
      <c r="AU2210" s="233" t="str">
        <f>VLOOKUP(Table8[[#This Row],[Country Code]],Table29[],6,FALSE)</f>
        <v>no</v>
      </c>
      <c r="AV2210" s="233" t="str">
        <f>VLOOKUP(Table8[[#This Row],[Country Code]],Table29[],7,FALSE)</f>
        <v>no</v>
      </c>
      <c r="AW2210" s="233" t="str">
        <f>VLOOKUP(Table8[[#This Row],[Country Code]],Table29[],8,FALSE)</f>
        <v>OECD</v>
      </c>
      <c r="AX2210" s="233" t="str">
        <f>VLOOKUP(Table8[[#This Row],[Country Code]],Table29[],9,FALSE)</f>
        <v>EU27</v>
      </c>
      <c r="AY2210" s="233" t="str">
        <f>VLOOKUP(Table8[[#This Row],[Country Code]],Table29[],10,FALSE)</f>
        <v>no</v>
      </c>
      <c r="AZ2210" s="235">
        <f>VLOOKUP(Table8[[#This Row],[Country Code]],Table29[],23,FALSE)</f>
        <v>44.775610890682003</v>
      </c>
      <c r="BA2210" s="235">
        <f>VLOOKUP(Table8[[#This Row],[Country Code]],Table29[],24,FALSE)</f>
        <v>7.6629333129442534</v>
      </c>
      <c r="BB2210" s="320"/>
      <c r="BC2210" s="320"/>
    </row>
    <row r="2211" spans="1:55" s="17" customFormat="1" ht="45" hidden="1" x14ac:dyDescent="0.25">
      <c r="A2211" s="373">
        <v>17734</v>
      </c>
      <c r="B2211" s="233" t="str">
        <f>VLOOKUP(Table8[[#This Row],[Document ID]],Table1[],2,FALSE)</f>
        <v>SVK</v>
      </c>
      <c r="C2211" s="233" t="str">
        <f>VLOOKUP(Table8[[#This Row],[Document ID]],Table1[],3,FALSE)</f>
        <v>Slovakia</v>
      </c>
      <c r="D2211" s="243" t="str">
        <f>VLOOKUP(Table8[[#This Row],[Document ID]],Table1[],5,FALSE)</f>
        <v>LTS</v>
      </c>
      <c r="E2211" s="233" t="str">
        <f>VLOOKUP(Table8[[#This Row],[Document ID]],Table1[],7,FALSE)</f>
        <v>LTS</v>
      </c>
      <c r="F2211" s="233" t="str">
        <f>VLOOKUP(Table8[[#This Row],[Document ID]],Table1[],8,FALSE)</f>
        <v>LTS 1.0</v>
      </c>
      <c r="G2211" s="233" t="str">
        <f>VLOOKUP(Table8[[#This Row],[Document ID]],Table1[],10,FALSE)</f>
        <v>Active</v>
      </c>
      <c r="H2211" s="43" t="s">
        <v>2343</v>
      </c>
      <c r="I2211" s="43" t="s">
        <v>2386</v>
      </c>
      <c r="J2211" s="44" t="s">
        <v>2397</v>
      </c>
      <c r="K2211" s="44" t="s">
        <v>4357</v>
      </c>
      <c r="L2211" s="44" t="s">
        <v>2373</v>
      </c>
      <c r="M2211" s="43">
        <v>51</v>
      </c>
      <c r="N2211" s="113" t="s">
        <v>1113</v>
      </c>
      <c r="O2211" s="113"/>
      <c r="P2211" s="113"/>
      <c r="Q2211" s="113"/>
      <c r="R2211" s="113"/>
      <c r="S2211" s="113"/>
      <c r="T2211" s="113"/>
      <c r="U2211" s="113"/>
      <c r="V2211" s="113"/>
      <c r="W2211" s="113"/>
      <c r="X2211" s="113"/>
      <c r="Y2211" s="113"/>
      <c r="Z2211" s="113"/>
      <c r="AA2211" s="113"/>
      <c r="AB2211" s="113"/>
      <c r="AC2211" s="113"/>
      <c r="AD2211" s="113"/>
      <c r="AE2211" s="113"/>
      <c r="AF2211" s="113"/>
      <c r="AG2211" s="113"/>
      <c r="AH2211" s="113"/>
      <c r="AI2211" s="113"/>
      <c r="AJ2211" s="113"/>
      <c r="AK2211" s="319" t="s">
        <v>1113</v>
      </c>
      <c r="AL2211" s="113"/>
      <c r="AM2211" s="113"/>
      <c r="AN2211" s="113"/>
      <c r="AO2211" s="44" t="s">
        <v>2334</v>
      </c>
      <c r="AP2211" s="43"/>
      <c r="AQ2211" s="236" t="str">
        <f>VLOOKUP(Table8[[#This Row],[Instrument]],Def_Targets!$D$73:$E$159,2,FALSE)</f>
        <v>A_Finance</v>
      </c>
      <c r="AR2211" s="233" t="str">
        <f>VLOOKUP(Table8[[#This Row],[Country Code]],Table29[],3,FALSE)</f>
        <v>Annex I</v>
      </c>
      <c r="AS2211" s="233" t="str">
        <f>VLOOKUP(Table8[[#This Row],[Country Code]],Table29[],4,FALSE)</f>
        <v>Europe</v>
      </c>
      <c r="AT2211" s="233" t="str">
        <f>VLOOKUP(Table8[[#This Row],[Country Code]],Table29[],5,FALSE)</f>
        <v>High-income</v>
      </c>
      <c r="AU2211" s="233" t="str">
        <f>VLOOKUP(Table8[[#This Row],[Country Code]],Table29[],6,FALSE)</f>
        <v>no</v>
      </c>
      <c r="AV2211" s="233" t="str">
        <f>VLOOKUP(Table8[[#This Row],[Country Code]],Table29[],7,FALSE)</f>
        <v>no</v>
      </c>
      <c r="AW2211" s="233" t="str">
        <f>VLOOKUP(Table8[[#This Row],[Country Code]],Table29[],8,FALSE)</f>
        <v>OECD</v>
      </c>
      <c r="AX2211" s="233" t="str">
        <f>VLOOKUP(Table8[[#This Row],[Country Code]],Table29[],9,FALSE)</f>
        <v>EU27</v>
      </c>
      <c r="AY2211" s="233" t="str">
        <f>VLOOKUP(Table8[[#This Row],[Country Code]],Table29[],10,FALSE)</f>
        <v>no</v>
      </c>
      <c r="AZ2211" s="235">
        <f>VLOOKUP(Table8[[#This Row],[Country Code]],Table29[],23,FALSE)</f>
        <v>44.775610890682003</v>
      </c>
      <c r="BA2211" s="235">
        <f>VLOOKUP(Table8[[#This Row],[Country Code]],Table29[],24,FALSE)</f>
        <v>7.6629333129442534</v>
      </c>
      <c r="BB2211" s="320"/>
      <c r="BC2211" s="320"/>
    </row>
    <row r="2212" spans="1:55" s="17" customFormat="1" ht="30" hidden="1" x14ac:dyDescent="0.25">
      <c r="A2212" s="373">
        <v>17734</v>
      </c>
      <c r="B2212" s="233" t="str">
        <f>VLOOKUP(Table8[[#This Row],[Document ID]],Table1[],2,FALSE)</f>
        <v>SVK</v>
      </c>
      <c r="C2212" s="233" t="str">
        <f>VLOOKUP(Table8[[#This Row],[Document ID]],Table1[],3,FALSE)</f>
        <v>Slovakia</v>
      </c>
      <c r="D2212" s="243" t="str">
        <f>VLOOKUP(Table8[[#This Row],[Document ID]],Table1[],5,FALSE)</f>
        <v>LTS</v>
      </c>
      <c r="E2212" s="233" t="str">
        <f>VLOOKUP(Table8[[#This Row],[Document ID]],Table1[],7,FALSE)</f>
        <v>LTS</v>
      </c>
      <c r="F2212" s="233" t="str">
        <f>VLOOKUP(Table8[[#This Row],[Document ID]],Table1[],8,FALSE)</f>
        <v>LTS 1.0</v>
      </c>
      <c r="G2212" s="233" t="str">
        <f>VLOOKUP(Table8[[#This Row],[Document ID]],Table1[],10,FALSE)</f>
        <v>Active</v>
      </c>
      <c r="H2212" s="43" t="s">
        <v>2343</v>
      </c>
      <c r="I2212" s="43" t="s">
        <v>2377</v>
      </c>
      <c r="J2212" s="44" t="s">
        <v>2535</v>
      </c>
      <c r="K2212" s="44" t="s">
        <v>4358</v>
      </c>
      <c r="L2212" s="44" t="s">
        <v>2333</v>
      </c>
      <c r="M2212" s="43">
        <v>51</v>
      </c>
      <c r="N2212" s="113"/>
      <c r="O2212" s="113"/>
      <c r="P2212" s="113"/>
      <c r="Q2212" s="113"/>
      <c r="R2212" s="113"/>
      <c r="S2212" s="113" t="s">
        <v>1113</v>
      </c>
      <c r="T2212" s="113"/>
      <c r="U2212" s="113"/>
      <c r="V2212" s="113"/>
      <c r="W2212" s="113"/>
      <c r="X2212" s="113"/>
      <c r="Y2212" s="113"/>
      <c r="Z2212" s="113"/>
      <c r="AA2212" s="113"/>
      <c r="AB2212" s="113"/>
      <c r="AC2212" s="113"/>
      <c r="AD2212" s="113"/>
      <c r="AE2212" s="113"/>
      <c r="AF2212" s="113"/>
      <c r="AG2212" s="113"/>
      <c r="AH2212" s="113"/>
      <c r="AI2212" s="113"/>
      <c r="AJ2212" s="113"/>
      <c r="AK2212" s="319" t="s">
        <v>1113</v>
      </c>
      <c r="AL2212" s="113"/>
      <c r="AM2212" s="113"/>
      <c r="AN2212" s="113"/>
      <c r="AO2212" s="44" t="s">
        <v>2334</v>
      </c>
      <c r="AP2212" s="43"/>
      <c r="AQ2212" s="236" t="str">
        <f>VLOOKUP(Table8[[#This Row],[Instrument]],Def_Targets!$D$73:$E$159,2,FALSE)</f>
        <v>S_Parking</v>
      </c>
      <c r="AR2212" s="233" t="str">
        <f>VLOOKUP(Table8[[#This Row],[Country Code]],Table29[],3,FALSE)</f>
        <v>Annex I</v>
      </c>
      <c r="AS2212" s="233" t="str">
        <f>VLOOKUP(Table8[[#This Row],[Country Code]],Table29[],4,FALSE)</f>
        <v>Europe</v>
      </c>
      <c r="AT2212" s="233" t="str">
        <f>VLOOKUP(Table8[[#This Row],[Country Code]],Table29[],5,FALSE)</f>
        <v>High-income</v>
      </c>
      <c r="AU2212" s="233" t="str">
        <f>VLOOKUP(Table8[[#This Row],[Country Code]],Table29[],6,FALSE)</f>
        <v>no</v>
      </c>
      <c r="AV2212" s="233" t="str">
        <f>VLOOKUP(Table8[[#This Row],[Country Code]],Table29[],7,FALSE)</f>
        <v>no</v>
      </c>
      <c r="AW2212" s="233" t="str">
        <f>VLOOKUP(Table8[[#This Row],[Country Code]],Table29[],8,FALSE)</f>
        <v>OECD</v>
      </c>
      <c r="AX2212" s="233" t="str">
        <f>VLOOKUP(Table8[[#This Row],[Country Code]],Table29[],9,FALSE)</f>
        <v>EU27</v>
      </c>
      <c r="AY2212" s="233" t="str">
        <f>VLOOKUP(Table8[[#This Row],[Country Code]],Table29[],10,FALSE)</f>
        <v>no</v>
      </c>
      <c r="AZ2212" s="235">
        <f>VLOOKUP(Table8[[#This Row],[Country Code]],Table29[],23,FALSE)</f>
        <v>44.775610890682003</v>
      </c>
      <c r="BA2212" s="235">
        <f>VLOOKUP(Table8[[#This Row],[Country Code]],Table29[],24,FALSE)</f>
        <v>7.6629333129442534</v>
      </c>
      <c r="BB2212" s="320"/>
      <c r="BC2212" s="320"/>
    </row>
    <row r="2213" spans="1:55" s="17" customFormat="1" hidden="1" x14ac:dyDescent="0.25">
      <c r="A2213" s="373">
        <v>17734</v>
      </c>
      <c r="B2213" s="233" t="str">
        <f>VLOOKUP(Table8[[#This Row],[Document ID]],Table1[],2,FALSE)</f>
        <v>SVK</v>
      </c>
      <c r="C2213" s="233" t="str">
        <f>VLOOKUP(Table8[[#This Row],[Document ID]],Table1[],3,FALSE)</f>
        <v>Slovakia</v>
      </c>
      <c r="D2213" s="243" t="str">
        <f>VLOOKUP(Table8[[#This Row],[Document ID]],Table1[],5,FALSE)</f>
        <v>LTS</v>
      </c>
      <c r="E2213" s="233" t="str">
        <f>VLOOKUP(Table8[[#This Row],[Document ID]],Table1[],7,FALSE)</f>
        <v>LTS</v>
      </c>
      <c r="F2213" s="233" t="str">
        <f>VLOOKUP(Table8[[#This Row],[Document ID]],Table1[],8,FALSE)</f>
        <v>LTS 1.0</v>
      </c>
      <c r="G2213" s="233" t="str">
        <f>VLOOKUP(Table8[[#This Row],[Document ID]],Table1[],10,FALSE)</f>
        <v>Active</v>
      </c>
      <c r="H2213" s="43" t="s">
        <v>2343</v>
      </c>
      <c r="I2213" s="43" t="s">
        <v>2386</v>
      </c>
      <c r="J2213" s="44" t="s">
        <v>2387</v>
      </c>
      <c r="K2213" s="44" t="s">
        <v>4359</v>
      </c>
      <c r="L2213" s="44" t="s">
        <v>2333</v>
      </c>
      <c r="M2213" s="43">
        <v>52</v>
      </c>
      <c r="N2213" s="113" t="s">
        <v>1113</v>
      </c>
      <c r="O2213" s="113"/>
      <c r="P2213" s="113"/>
      <c r="Q2213" s="113"/>
      <c r="R2213" s="113"/>
      <c r="S2213" s="113"/>
      <c r="T2213" s="113"/>
      <c r="U2213" s="113"/>
      <c r="V2213" s="113"/>
      <c r="W2213" s="113"/>
      <c r="X2213" s="113"/>
      <c r="Y2213" s="113"/>
      <c r="Z2213" s="113"/>
      <c r="AA2213" s="113"/>
      <c r="AB2213" s="113"/>
      <c r="AC2213" s="113"/>
      <c r="AD2213" s="113"/>
      <c r="AE2213" s="113"/>
      <c r="AF2213" s="113"/>
      <c r="AG2213" s="113"/>
      <c r="AH2213" s="113"/>
      <c r="AI2213" s="113"/>
      <c r="AJ2213" s="113"/>
      <c r="AK2213" s="319" t="s">
        <v>1113</v>
      </c>
      <c r="AL2213" s="113"/>
      <c r="AM2213" s="113"/>
      <c r="AN2213" s="113"/>
      <c r="AO2213" s="44" t="s">
        <v>2334</v>
      </c>
      <c r="AP2213" s="43"/>
      <c r="AQ2213" s="236" t="str">
        <f>VLOOKUP(Table8[[#This Row],[Instrument]],Def_Targets!$D$73:$E$159,2,FALSE)</f>
        <v>A_Procurement</v>
      </c>
      <c r="AR2213" s="233" t="str">
        <f>VLOOKUP(Table8[[#This Row],[Country Code]],Table29[],3,FALSE)</f>
        <v>Annex I</v>
      </c>
      <c r="AS2213" s="233" t="str">
        <f>VLOOKUP(Table8[[#This Row],[Country Code]],Table29[],4,FALSE)</f>
        <v>Europe</v>
      </c>
      <c r="AT2213" s="233" t="str">
        <f>VLOOKUP(Table8[[#This Row],[Country Code]],Table29[],5,FALSE)</f>
        <v>High-income</v>
      </c>
      <c r="AU2213" s="233" t="str">
        <f>VLOOKUP(Table8[[#This Row],[Country Code]],Table29[],6,FALSE)</f>
        <v>no</v>
      </c>
      <c r="AV2213" s="233" t="str">
        <f>VLOOKUP(Table8[[#This Row],[Country Code]],Table29[],7,FALSE)</f>
        <v>no</v>
      </c>
      <c r="AW2213" s="233" t="str">
        <f>VLOOKUP(Table8[[#This Row],[Country Code]],Table29[],8,FALSE)</f>
        <v>OECD</v>
      </c>
      <c r="AX2213" s="233" t="str">
        <f>VLOOKUP(Table8[[#This Row],[Country Code]],Table29[],9,FALSE)</f>
        <v>EU27</v>
      </c>
      <c r="AY2213" s="233" t="str">
        <f>VLOOKUP(Table8[[#This Row],[Country Code]],Table29[],10,FALSE)</f>
        <v>no</v>
      </c>
      <c r="AZ2213" s="235">
        <f>VLOOKUP(Table8[[#This Row],[Country Code]],Table29[],23,FALSE)</f>
        <v>44.775610890682003</v>
      </c>
      <c r="BA2213" s="235">
        <f>VLOOKUP(Table8[[#This Row],[Country Code]],Table29[],24,FALSE)</f>
        <v>7.6629333129442534</v>
      </c>
      <c r="BB2213" s="320"/>
      <c r="BC2213" s="320"/>
    </row>
    <row r="2214" spans="1:55" s="17" customFormat="1" hidden="1" x14ac:dyDescent="0.25">
      <c r="A2214" s="373">
        <v>17734</v>
      </c>
      <c r="B2214" s="233" t="str">
        <f>VLOOKUP(Table8[[#This Row],[Document ID]],Table1[],2,FALSE)</f>
        <v>SVK</v>
      </c>
      <c r="C2214" s="233" t="str">
        <f>VLOOKUP(Table8[[#This Row],[Document ID]],Table1[],3,FALSE)</f>
        <v>Slovakia</v>
      </c>
      <c r="D2214" s="243" t="str">
        <f>VLOOKUP(Table8[[#This Row],[Document ID]],Table1[],5,FALSE)</f>
        <v>LTS</v>
      </c>
      <c r="E2214" s="233" t="str">
        <f>VLOOKUP(Table8[[#This Row],[Document ID]],Table1[],7,FALSE)</f>
        <v>LTS</v>
      </c>
      <c r="F2214" s="233" t="str">
        <f>VLOOKUP(Table8[[#This Row],[Document ID]],Table1[],8,FALSE)</f>
        <v>LTS 1.0</v>
      </c>
      <c r="G2214" s="233" t="str">
        <f>VLOOKUP(Table8[[#This Row],[Document ID]],Table1[],10,FALSE)</f>
        <v>Active</v>
      </c>
      <c r="H2214" s="43" t="s">
        <v>2484</v>
      </c>
      <c r="I2214" s="43" t="s">
        <v>2488</v>
      </c>
      <c r="J2214" s="44" t="s">
        <v>2489</v>
      </c>
      <c r="K2214" s="44" t="s">
        <v>4360</v>
      </c>
      <c r="L2214" s="44" t="s">
        <v>2333</v>
      </c>
      <c r="M2214" s="43">
        <v>52</v>
      </c>
      <c r="N2214" s="113"/>
      <c r="O2214" s="113"/>
      <c r="P2214" s="113"/>
      <c r="Q2214" s="113"/>
      <c r="R2214" s="113"/>
      <c r="S2214" s="113"/>
      <c r="T2214" s="113"/>
      <c r="U2214" s="113"/>
      <c r="V2214" s="113"/>
      <c r="W2214" s="113"/>
      <c r="X2214" s="113"/>
      <c r="Y2214" s="113"/>
      <c r="Z2214" s="113"/>
      <c r="AA2214" s="113"/>
      <c r="AB2214" s="113"/>
      <c r="AC2214" s="113"/>
      <c r="AD2214" s="113"/>
      <c r="AE2214" s="113"/>
      <c r="AF2214" s="113"/>
      <c r="AG2214" s="113"/>
      <c r="AH2214" s="113" t="s">
        <v>1113</v>
      </c>
      <c r="AI2214" s="113"/>
      <c r="AJ2214" s="113"/>
      <c r="AK2214" s="319" t="s">
        <v>1113</v>
      </c>
      <c r="AL2214" s="113"/>
      <c r="AM2214" s="113"/>
      <c r="AN2214" s="113"/>
      <c r="AO2214" s="44" t="s">
        <v>2334</v>
      </c>
      <c r="AP2214" s="43"/>
      <c r="AQ2214" s="236" t="str">
        <f>VLOOKUP(Table8[[#This Row],[Instrument]],Def_Targets!$D$73:$E$159,2,FALSE)</f>
        <v>I_Aviation</v>
      </c>
      <c r="AR2214" s="233" t="str">
        <f>VLOOKUP(Table8[[#This Row],[Country Code]],Table29[],3,FALSE)</f>
        <v>Annex I</v>
      </c>
      <c r="AS2214" s="233" t="str">
        <f>VLOOKUP(Table8[[#This Row],[Country Code]],Table29[],4,FALSE)</f>
        <v>Europe</v>
      </c>
      <c r="AT2214" s="233" t="str">
        <f>VLOOKUP(Table8[[#This Row],[Country Code]],Table29[],5,FALSE)</f>
        <v>High-income</v>
      </c>
      <c r="AU2214" s="233" t="str">
        <f>VLOOKUP(Table8[[#This Row],[Country Code]],Table29[],6,FALSE)</f>
        <v>no</v>
      </c>
      <c r="AV2214" s="233" t="str">
        <f>VLOOKUP(Table8[[#This Row],[Country Code]],Table29[],7,FALSE)</f>
        <v>no</v>
      </c>
      <c r="AW2214" s="233" t="str">
        <f>VLOOKUP(Table8[[#This Row],[Country Code]],Table29[],8,FALSE)</f>
        <v>OECD</v>
      </c>
      <c r="AX2214" s="233" t="str">
        <f>VLOOKUP(Table8[[#This Row],[Country Code]],Table29[],9,FALSE)</f>
        <v>EU27</v>
      </c>
      <c r="AY2214" s="233" t="str">
        <f>VLOOKUP(Table8[[#This Row],[Country Code]],Table29[],10,FALSE)</f>
        <v>no</v>
      </c>
      <c r="AZ2214" s="235">
        <f>VLOOKUP(Table8[[#This Row],[Country Code]],Table29[],23,FALSE)</f>
        <v>44.775610890682003</v>
      </c>
      <c r="BA2214" s="235">
        <f>VLOOKUP(Table8[[#This Row],[Country Code]],Table29[],24,FALSE)</f>
        <v>7.6629333129442534</v>
      </c>
      <c r="BB2214" s="320"/>
      <c r="BC2214" s="320"/>
    </row>
    <row r="2215" spans="1:55" s="17" customFormat="1" ht="45" hidden="1" x14ac:dyDescent="0.25">
      <c r="A2215" s="373">
        <v>17734</v>
      </c>
      <c r="B2215" s="233" t="str">
        <f>VLOOKUP(Table8[[#This Row],[Document ID]],Table1[],2,FALSE)</f>
        <v>SVK</v>
      </c>
      <c r="C2215" s="233" t="str">
        <f>VLOOKUP(Table8[[#This Row],[Document ID]],Table1[],3,FALSE)</f>
        <v>Slovakia</v>
      </c>
      <c r="D2215" s="243" t="str">
        <f>VLOOKUP(Table8[[#This Row],[Document ID]],Table1[],5,FALSE)</f>
        <v>LTS</v>
      </c>
      <c r="E2215" s="233" t="str">
        <f>VLOOKUP(Table8[[#This Row],[Document ID]],Table1[],7,FALSE)</f>
        <v>LTS</v>
      </c>
      <c r="F2215" s="233" t="str">
        <f>VLOOKUP(Table8[[#This Row],[Document ID]],Table1[],8,FALSE)</f>
        <v>LTS 1.0</v>
      </c>
      <c r="G2215" s="233" t="str">
        <f>VLOOKUP(Table8[[#This Row],[Document ID]],Table1[],10,FALSE)</f>
        <v>Active</v>
      </c>
      <c r="H2215" s="43" t="s">
        <v>2484</v>
      </c>
      <c r="I2215" s="43" t="s">
        <v>2485</v>
      </c>
      <c r="J2215" s="44" t="s">
        <v>2486</v>
      </c>
      <c r="K2215" s="44" t="s">
        <v>4361</v>
      </c>
      <c r="L2215" s="44" t="s">
        <v>2333</v>
      </c>
      <c r="M2215" s="43">
        <v>52</v>
      </c>
      <c r="N2215" s="113"/>
      <c r="O2215" s="113"/>
      <c r="P2215" s="113"/>
      <c r="Q2215" s="113"/>
      <c r="R2215" s="113"/>
      <c r="S2215" s="113"/>
      <c r="T2215" s="113"/>
      <c r="U2215" s="113"/>
      <c r="V2215" s="113"/>
      <c r="W2215" s="113"/>
      <c r="X2215" s="113"/>
      <c r="Y2215" s="113"/>
      <c r="Z2215" s="113"/>
      <c r="AA2215" s="113"/>
      <c r="AB2215" s="113"/>
      <c r="AC2215" s="113"/>
      <c r="AD2215" s="113" t="s">
        <v>1113</v>
      </c>
      <c r="AE2215" s="113"/>
      <c r="AF2215" s="113"/>
      <c r="AG2215" s="113"/>
      <c r="AH2215" s="113"/>
      <c r="AI2215" s="113"/>
      <c r="AJ2215" s="113"/>
      <c r="AK2215" s="319" t="s">
        <v>1113</v>
      </c>
      <c r="AL2215" s="113"/>
      <c r="AM2215" s="113"/>
      <c r="AN2215" s="113"/>
      <c r="AO2215" s="44" t="s">
        <v>2334</v>
      </c>
      <c r="AP2215" s="43"/>
      <c r="AQ2215" s="236" t="str">
        <f>VLOOKUP(Table8[[#This Row],[Instrument]],Def_Targets!$D$73:$E$159,2,FALSE)</f>
        <v>I_Shipping</v>
      </c>
      <c r="AR2215" s="233" t="str">
        <f>VLOOKUP(Table8[[#This Row],[Country Code]],Table29[],3,FALSE)</f>
        <v>Annex I</v>
      </c>
      <c r="AS2215" s="233" t="str">
        <f>VLOOKUP(Table8[[#This Row],[Country Code]],Table29[],4,FALSE)</f>
        <v>Europe</v>
      </c>
      <c r="AT2215" s="233" t="str">
        <f>VLOOKUP(Table8[[#This Row],[Country Code]],Table29[],5,FALSE)</f>
        <v>High-income</v>
      </c>
      <c r="AU2215" s="233" t="str">
        <f>VLOOKUP(Table8[[#This Row],[Country Code]],Table29[],6,FALSE)</f>
        <v>no</v>
      </c>
      <c r="AV2215" s="233" t="str">
        <f>VLOOKUP(Table8[[#This Row],[Country Code]],Table29[],7,FALSE)</f>
        <v>no</v>
      </c>
      <c r="AW2215" s="233" t="str">
        <f>VLOOKUP(Table8[[#This Row],[Country Code]],Table29[],8,FALSE)</f>
        <v>OECD</v>
      </c>
      <c r="AX2215" s="233" t="str">
        <f>VLOOKUP(Table8[[#This Row],[Country Code]],Table29[],9,FALSE)</f>
        <v>EU27</v>
      </c>
      <c r="AY2215" s="233" t="str">
        <f>VLOOKUP(Table8[[#This Row],[Country Code]],Table29[],10,FALSE)</f>
        <v>no</v>
      </c>
      <c r="AZ2215" s="235">
        <f>VLOOKUP(Table8[[#This Row],[Country Code]],Table29[],23,FALSE)</f>
        <v>44.775610890682003</v>
      </c>
      <c r="BA2215" s="235">
        <f>VLOOKUP(Table8[[#This Row],[Country Code]],Table29[],24,FALSE)</f>
        <v>7.6629333129442534</v>
      </c>
      <c r="BB2215" s="320"/>
      <c r="BC2215" s="320"/>
    </row>
    <row r="2216" spans="1:55" s="17" customFormat="1" hidden="1" x14ac:dyDescent="0.25">
      <c r="A2216" s="373">
        <v>17734</v>
      </c>
      <c r="B2216" s="233" t="str">
        <f>VLOOKUP(Table8[[#This Row],[Document ID]],Table1[],2,FALSE)</f>
        <v>SVK</v>
      </c>
      <c r="C2216" s="233" t="str">
        <f>VLOOKUP(Table8[[#This Row],[Document ID]],Table1[],3,FALSE)</f>
        <v>Slovakia</v>
      </c>
      <c r="D2216" s="243" t="str">
        <f>VLOOKUP(Table8[[#This Row],[Document ID]],Table1[],5,FALSE)</f>
        <v>LTS</v>
      </c>
      <c r="E2216" s="233" t="str">
        <f>VLOOKUP(Table8[[#This Row],[Document ID]],Table1[],7,FALSE)</f>
        <v>LTS</v>
      </c>
      <c r="F2216" s="233" t="str">
        <f>VLOOKUP(Table8[[#This Row],[Document ID]],Table1[],8,FALSE)</f>
        <v>LTS 1.0</v>
      </c>
      <c r="G2216" s="233" t="str">
        <f>VLOOKUP(Table8[[#This Row],[Document ID]],Table1[],10,FALSE)</f>
        <v>Active</v>
      </c>
      <c r="H2216" s="43" t="s">
        <v>2350</v>
      </c>
      <c r="I2216" s="43" t="s">
        <v>2407</v>
      </c>
      <c r="J2216" s="44" t="s">
        <v>2592</v>
      </c>
      <c r="K2216" s="44" t="s">
        <v>4362</v>
      </c>
      <c r="L2216" s="44" t="s">
        <v>2333</v>
      </c>
      <c r="M2216" s="43">
        <v>52</v>
      </c>
      <c r="N2216" s="113"/>
      <c r="O2216" s="113"/>
      <c r="P2216" s="113"/>
      <c r="Q2216" s="113"/>
      <c r="R2216" s="113"/>
      <c r="S2216" s="113" t="s">
        <v>1113</v>
      </c>
      <c r="T2216" s="113"/>
      <c r="U2216" s="113"/>
      <c r="V2216" s="113"/>
      <c r="W2216" s="113"/>
      <c r="X2216" s="113"/>
      <c r="Y2216" s="113"/>
      <c r="Z2216" s="113"/>
      <c r="AA2216" s="113"/>
      <c r="AB2216" s="113"/>
      <c r="AC2216" s="113"/>
      <c r="AD2216" s="113"/>
      <c r="AE2216" s="113"/>
      <c r="AF2216" s="113"/>
      <c r="AG2216" s="113"/>
      <c r="AH2216" s="113"/>
      <c r="AI2216" s="113"/>
      <c r="AJ2216" s="113"/>
      <c r="AK2216" s="319" t="s">
        <v>1113</v>
      </c>
      <c r="AL2216" s="113"/>
      <c r="AM2216" s="113"/>
      <c r="AN2216" s="113"/>
      <c r="AO2216" s="44" t="s">
        <v>2334</v>
      </c>
      <c r="AP2216" s="43"/>
      <c r="AQ2216" s="236" t="str">
        <f>VLOOKUP(Table8[[#This Row],[Instrument]],Def_Targets!$D$73:$E$159,2,FALSE)</f>
        <v>I_Ecodriving</v>
      </c>
      <c r="AR2216" s="233" t="str">
        <f>VLOOKUP(Table8[[#This Row],[Country Code]],Table29[],3,FALSE)</f>
        <v>Annex I</v>
      </c>
      <c r="AS2216" s="233" t="str">
        <f>VLOOKUP(Table8[[#This Row],[Country Code]],Table29[],4,FALSE)</f>
        <v>Europe</v>
      </c>
      <c r="AT2216" s="233" t="str">
        <f>VLOOKUP(Table8[[#This Row],[Country Code]],Table29[],5,FALSE)</f>
        <v>High-income</v>
      </c>
      <c r="AU2216" s="233" t="str">
        <f>VLOOKUP(Table8[[#This Row],[Country Code]],Table29[],6,FALSE)</f>
        <v>no</v>
      </c>
      <c r="AV2216" s="233" t="str">
        <f>VLOOKUP(Table8[[#This Row],[Country Code]],Table29[],7,FALSE)</f>
        <v>no</v>
      </c>
      <c r="AW2216" s="233" t="str">
        <f>VLOOKUP(Table8[[#This Row],[Country Code]],Table29[],8,FALSE)</f>
        <v>OECD</v>
      </c>
      <c r="AX2216" s="233" t="str">
        <f>VLOOKUP(Table8[[#This Row],[Country Code]],Table29[],9,FALSE)</f>
        <v>EU27</v>
      </c>
      <c r="AY2216" s="233" t="str">
        <f>VLOOKUP(Table8[[#This Row],[Country Code]],Table29[],10,FALSE)</f>
        <v>no</v>
      </c>
      <c r="AZ2216" s="235">
        <f>VLOOKUP(Table8[[#This Row],[Country Code]],Table29[],23,FALSE)</f>
        <v>44.775610890682003</v>
      </c>
      <c r="BA2216" s="235">
        <f>VLOOKUP(Table8[[#This Row],[Country Code]],Table29[],24,FALSE)</f>
        <v>7.6629333129442534</v>
      </c>
      <c r="BB2216" s="320"/>
      <c r="BC2216" s="320"/>
    </row>
    <row r="2217" spans="1:55" s="17" customFormat="1" ht="30" hidden="1" x14ac:dyDescent="0.25">
      <c r="A2217" s="373">
        <v>17734</v>
      </c>
      <c r="B2217" s="233" t="str">
        <f>VLOOKUP(Table8[[#This Row],[Document ID]],Table1[],2,FALSE)</f>
        <v>SVK</v>
      </c>
      <c r="C2217" s="233" t="str">
        <f>VLOOKUP(Table8[[#This Row],[Document ID]],Table1[],3,FALSE)</f>
        <v>Slovakia</v>
      </c>
      <c r="D2217" s="243" t="str">
        <f>VLOOKUP(Table8[[#This Row],[Document ID]],Table1[],5,FALSE)</f>
        <v>LTS</v>
      </c>
      <c r="E2217" s="233" t="str">
        <f>VLOOKUP(Table8[[#This Row],[Document ID]],Table1[],7,FALSE)</f>
        <v>LTS</v>
      </c>
      <c r="F2217" s="233" t="str">
        <f>VLOOKUP(Table8[[#This Row],[Document ID]],Table1[],8,FALSE)</f>
        <v>LTS 1.0</v>
      </c>
      <c r="G2217" s="233" t="str">
        <f>VLOOKUP(Table8[[#This Row],[Document ID]],Table1[],10,FALSE)</f>
        <v>Active</v>
      </c>
      <c r="H2217" s="43" t="s">
        <v>2343</v>
      </c>
      <c r="I2217" s="43" t="s">
        <v>2377</v>
      </c>
      <c r="J2217" s="44" t="s">
        <v>2378</v>
      </c>
      <c r="K2217" s="44" t="s">
        <v>4363</v>
      </c>
      <c r="L2217" s="44" t="s">
        <v>2396</v>
      </c>
      <c r="M2217" s="43">
        <v>52</v>
      </c>
      <c r="N2217" s="113" t="s">
        <v>1113</v>
      </c>
      <c r="O2217" s="113"/>
      <c r="P2217" s="113"/>
      <c r="Q2217" s="113"/>
      <c r="R2217" s="113"/>
      <c r="S2217" s="113"/>
      <c r="T2217" s="113"/>
      <c r="U2217" s="113"/>
      <c r="V2217" s="113"/>
      <c r="W2217" s="113"/>
      <c r="X2217" s="113"/>
      <c r="Y2217" s="113"/>
      <c r="Z2217" s="113"/>
      <c r="AA2217" s="113"/>
      <c r="AB2217" s="113"/>
      <c r="AC2217" s="113"/>
      <c r="AD2217" s="113"/>
      <c r="AE2217" s="113"/>
      <c r="AF2217" s="113"/>
      <c r="AG2217" s="113"/>
      <c r="AH2217" s="113"/>
      <c r="AI2217" s="113"/>
      <c r="AJ2217" s="113"/>
      <c r="AK2217" s="319" t="s">
        <v>1113</v>
      </c>
      <c r="AL2217" s="113"/>
      <c r="AM2217" s="113"/>
      <c r="AN2217" s="113"/>
      <c r="AO2217" s="44" t="s">
        <v>2334</v>
      </c>
      <c r="AP2217" s="43"/>
      <c r="AQ2217" s="236" t="str">
        <f>VLOOKUP(Table8[[#This Row],[Instrument]],Def_Targets!$D$73:$E$159,2,FALSE)</f>
        <v>A_Commute</v>
      </c>
      <c r="AR2217" s="233" t="str">
        <f>VLOOKUP(Table8[[#This Row],[Country Code]],Table29[],3,FALSE)</f>
        <v>Annex I</v>
      </c>
      <c r="AS2217" s="233" t="str">
        <f>VLOOKUP(Table8[[#This Row],[Country Code]],Table29[],4,FALSE)</f>
        <v>Europe</v>
      </c>
      <c r="AT2217" s="233" t="str">
        <f>VLOOKUP(Table8[[#This Row],[Country Code]],Table29[],5,FALSE)</f>
        <v>High-income</v>
      </c>
      <c r="AU2217" s="233" t="str">
        <f>VLOOKUP(Table8[[#This Row],[Country Code]],Table29[],6,FALSE)</f>
        <v>no</v>
      </c>
      <c r="AV2217" s="233" t="str">
        <f>VLOOKUP(Table8[[#This Row],[Country Code]],Table29[],7,FALSE)</f>
        <v>no</v>
      </c>
      <c r="AW2217" s="233" t="str">
        <f>VLOOKUP(Table8[[#This Row],[Country Code]],Table29[],8,FALSE)</f>
        <v>OECD</v>
      </c>
      <c r="AX2217" s="233" t="str">
        <f>VLOOKUP(Table8[[#This Row],[Country Code]],Table29[],9,FALSE)</f>
        <v>EU27</v>
      </c>
      <c r="AY2217" s="233" t="str">
        <f>VLOOKUP(Table8[[#This Row],[Country Code]],Table29[],10,FALSE)</f>
        <v>no</v>
      </c>
      <c r="AZ2217" s="235">
        <f>VLOOKUP(Table8[[#This Row],[Country Code]],Table29[],23,FALSE)</f>
        <v>44.775610890682003</v>
      </c>
      <c r="BA2217" s="235">
        <f>VLOOKUP(Table8[[#This Row],[Country Code]],Table29[],24,FALSE)</f>
        <v>7.6629333129442534</v>
      </c>
      <c r="BB2217" s="320"/>
      <c r="BC2217" s="320"/>
    </row>
    <row r="2218" spans="1:55" s="17" customFormat="1" ht="30" hidden="1" x14ac:dyDescent="0.25">
      <c r="A2218" s="373">
        <v>17734</v>
      </c>
      <c r="B2218" s="233" t="str">
        <f>VLOOKUP(Table8[[#This Row],[Document ID]],Table1[],2,FALSE)</f>
        <v>SVK</v>
      </c>
      <c r="C2218" s="233" t="str">
        <f>VLOOKUP(Table8[[#This Row],[Document ID]],Table1[],3,FALSE)</f>
        <v>Slovakia</v>
      </c>
      <c r="D2218" s="243" t="str">
        <f>VLOOKUP(Table8[[#This Row],[Document ID]],Table1[],5,FALSE)</f>
        <v>LTS</v>
      </c>
      <c r="E2218" s="233" t="str">
        <f>VLOOKUP(Table8[[#This Row],[Document ID]],Table1[],7,FALSE)</f>
        <v>LTS</v>
      </c>
      <c r="F2218" s="233" t="str">
        <f>VLOOKUP(Table8[[#This Row],[Document ID]],Table1[],8,FALSE)</f>
        <v>LTS 1.0</v>
      </c>
      <c r="G2218" s="233" t="str">
        <f>VLOOKUP(Table8[[#This Row],[Document ID]],Table1[],10,FALSE)</f>
        <v>Active</v>
      </c>
      <c r="H2218" s="43" t="s">
        <v>2343</v>
      </c>
      <c r="I2218" s="43" t="s">
        <v>2377</v>
      </c>
      <c r="J2218" s="44" t="s">
        <v>2378</v>
      </c>
      <c r="K2218" s="44" t="s">
        <v>4363</v>
      </c>
      <c r="L2218" s="44" t="s">
        <v>2380</v>
      </c>
      <c r="M2218" s="43">
        <v>52</v>
      </c>
      <c r="N2218" s="113" t="s">
        <v>1113</v>
      </c>
      <c r="O2218" s="113"/>
      <c r="P2218" s="113"/>
      <c r="Q2218" s="113"/>
      <c r="R2218" s="113"/>
      <c r="S2218" s="113"/>
      <c r="T2218" s="113"/>
      <c r="U2218" s="113"/>
      <c r="V2218" s="113"/>
      <c r="W2218" s="113"/>
      <c r="X2218" s="113"/>
      <c r="Y2218" s="113"/>
      <c r="Z2218" s="113"/>
      <c r="AA2218" s="113"/>
      <c r="AB2218" s="113"/>
      <c r="AC2218" s="113"/>
      <c r="AD2218" s="113"/>
      <c r="AE2218" s="113"/>
      <c r="AF2218" s="113"/>
      <c r="AG2218" s="113"/>
      <c r="AH2218" s="113"/>
      <c r="AI2218" s="113"/>
      <c r="AJ2218" s="113"/>
      <c r="AK2218" s="319" t="s">
        <v>1113</v>
      </c>
      <c r="AL2218" s="113"/>
      <c r="AM2218" s="113"/>
      <c r="AN2218" s="113"/>
      <c r="AO2218" s="44" t="s">
        <v>2334</v>
      </c>
      <c r="AP2218" s="43"/>
      <c r="AQ2218" s="236" t="str">
        <f>VLOOKUP(Table8[[#This Row],[Instrument]],Def_Targets!$D$73:$E$159,2,FALSE)</f>
        <v>A_Commute</v>
      </c>
      <c r="AR2218" s="233" t="str">
        <f>VLOOKUP(Table8[[#This Row],[Country Code]],Table29[],3,FALSE)</f>
        <v>Annex I</v>
      </c>
      <c r="AS2218" s="233" t="str">
        <f>VLOOKUP(Table8[[#This Row],[Country Code]],Table29[],4,FALSE)</f>
        <v>Europe</v>
      </c>
      <c r="AT2218" s="233" t="str">
        <f>VLOOKUP(Table8[[#This Row],[Country Code]],Table29[],5,FALSE)</f>
        <v>High-income</v>
      </c>
      <c r="AU2218" s="233" t="str">
        <f>VLOOKUP(Table8[[#This Row],[Country Code]],Table29[],6,FALSE)</f>
        <v>no</v>
      </c>
      <c r="AV2218" s="233" t="str">
        <f>VLOOKUP(Table8[[#This Row],[Country Code]],Table29[],7,FALSE)</f>
        <v>no</v>
      </c>
      <c r="AW2218" s="233" t="str">
        <f>VLOOKUP(Table8[[#This Row],[Country Code]],Table29[],8,FALSE)</f>
        <v>OECD</v>
      </c>
      <c r="AX2218" s="233" t="str">
        <f>VLOOKUP(Table8[[#This Row],[Country Code]],Table29[],9,FALSE)</f>
        <v>EU27</v>
      </c>
      <c r="AY2218" s="233" t="str">
        <f>VLOOKUP(Table8[[#This Row],[Country Code]],Table29[],10,FALSE)</f>
        <v>no</v>
      </c>
      <c r="AZ2218" s="235">
        <f>VLOOKUP(Table8[[#This Row],[Country Code]],Table29[],23,FALSE)</f>
        <v>44.775610890682003</v>
      </c>
      <c r="BA2218" s="235">
        <f>VLOOKUP(Table8[[#This Row],[Country Code]],Table29[],24,FALSE)</f>
        <v>7.6629333129442534</v>
      </c>
      <c r="BB2218" s="320"/>
      <c r="BC2218" s="320"/>
    </row>
    <row r="2219" spans="1:55" s="17" customFormat="1" ht="30" hidden="1" x14ac:dyDescent="0.25">
      <c r="A2219" s="373">
        <v>17734</v>
      </c>
      <c r="B2219" s="233" t="str">
        <f>VLOOKUP(Table8[[#This Row],[Document ID]],Table1[],2,FALSE)</f>
        <v>SVK</v>
      </c>
      <c r="C2219" s="233" t="str">
        <f>VLOOKUP(Table8[[#This Row],[Document ID]],Table1[],3,FALSE)</f>
        <v>Slovakia</v>
      </c>
      <c r="D2219" s="243" t="str">
        <f>VLOOKUP(Table8[[#This Row],[Document ID]],Table1[],5,FALSE)</f>
        <v>LTS</v>
      </c>
      <c r="E2219" s="233" t="str">
        <f>VLOOKUP(Table8[[#This Row],[Document ID]],Table1[],7,FALSE)</f>
        <v>LTS</v>
      </c>
      <c r="F2219" s="233" t="str">
        <f>VLOOKUP(Table8[[#This Row],[Document ID]],Table1[],8,FALSE)</f>
        <v>LTS 1.0</v>
      </c>
      <c r="G2219" s="233" t="str">
        <f>VLOOKUP(Table8[[#This Row],[Document ID]],Table1[],10,FALSE)</f>
        <v>Active</v>
      </c>
      <c r="H2219" s="43" t="s">
        <v>2350</v>
      </c>
      <c r="I2219" s="43" t="s">
        <v>2407</v>
      </c>
      <c r="J2219" s="44" t="s">
        <v>2408</v>
      </c>
      <c r="K2219" s="44" t="s">
        <v>4364</v>
      </c>
      <c r="L2219" s="44" t="s">
        <v>2373</v>
      </c>
      <c r="M2219" s="43">
        <v>52</v>
      </c>
      <c r="N2219" s="113" t="s">
        <v>1113</v>
      </c>
      <c r="O2219" s="113"/>
      <c r="P2219" s="113"/>
      <c r="Q2219" s="113"/>
      <c r="R2219" s="113"/>
      <c r="S2219" s="113"/>
      <c r="T2219" s="113"/>
      <c r="U2219" s="113"/>
      <c r="V2219" s="113"/>
      <c r="W2219" s="113"/>
      <c r="X2219" s="113"/>
      <c r="Y2219" s="113"/>
      <c r="Z2219" s="113"/>
      <c r="AA2219" s="113"/>
      <c r="AB2219" s="113"/>
      <c r="AC2219" s="113"/>
      <c r="AD2219" s="113"/>
      <c r="AE2219" s="113"/>
      <c r="AF2219" s="113"/>
      <c r="AG2219" s="113"/>
      <c r="AH2219" s="113"/>
      <c r="AI2219" s="113"/>
      <c r="AJ2219" s="113"/>
      <c r="AK2219" s="319" t="s">
        <v>1113</v>
      </c>
      <c r="AL2219" s="113"/>
      <c r="AM2219" s="113"/>
      <c r="AN2219" s="113"/>
      <c r="AO2219" s="44" t="s">
        <v>2334</v>
      </c>
      <c r="AP2219" s="43"/>
      <c r="AQ2219" s="236" t="str">
        <f>VLOOKUP(Table8[[#This Row],[Instrument]],Def_Targets!$D$73:$E$159,2,FALSE)</f>
        <v>I_Education</v>
      </c>
      <c r="AR2219" s="233" t="str">
        <f>VLOOKUP(Table8[[#This Row],[Country Code]],Table29[],3,FALSE)</f>
        <v>Annex I</v>
      </c>
      <c r="AS2219" s="233" t="str">
        <f>VLOOKUP(Table8[[#This Row],[Country Code]],Table29[],4,FALSE)</f>
        <v>Europe</v>
      </c>
      <c r="AT2219" s="233" t="str">
        <f>VLOOKUP(Table8[[#This Row],[Country Code]],Table29[],5,FALSE)</f>
        <v>High-income</v>
      </c>
      <c r="AU2219" s="233" t="str">
        <f>VLOOKUP(Table8[[#This Row],[Country Code]],Table29[],6,FALSE)</f>
        <v>no</v>
      </c>
      <c r="AV2219" s="233" t="str">
        <f>VLOOKUP(Table8[[#This Row],[Country Code]],Table29[],7,FALSE)</f>
        <v>no</v>
      </c>
      <c r="AW2219" s="233" t="str">
        <f>VLOOKUP(Table8[[#This Row],[Country Code]],Table29[],8,FALSE)</f>
        <v>OECD</v>
      </c>
      <c r="AX2219" s="233" t="str">
        <f>VLOOKUP(Table8[[#This Row],[Country Code]],Table29[],9,FALSE)</f>
        <v>EU27</v>
      </c>
      <c r="AY2219" s="233" t="str">
        <f>VLOOKUP(Table8[[#This Row],[Country Code]],Table29[],10,FALSE)</f>
        <v>no</v>
      </c>
      <c r="AZ2219" s="235">
        <f>VLOOKUP(Table8[[#This Row],[Country Code]],Table29[],23,FALSE)</f>
        <v>44.775610890682003</v>
      </c>
      <c r="BA2219" s="235">
        <f>VLOOKUP(Table8[[#This Row],[Country Code]],Table29[],24,FALSE)</f>
        <v>7.6629333129442534</v>
      </c>
      <c r="BB2219" s="320"/>
      <c r="BC2219" s="320"/>
    </row>
    <row r="2220" spans="1:55" s="17" customFormat="1" ht="30" hidden="1" x14ac:dyDescent="0.25">
      <c r="A2220" s="373">
        <v>17734</v>
      </c>
      <c r="B2220" s="233" t="str">
        <f>VLOOKUP(Table8[[#This Row],[Document ID]],Table1[],2,FALSE)</f>
        <v>SVK</v>
      </c>
      <c r="C2220" s="233" t="str">
        <f>VLOOKUP(Table8[[#This Row],[Document ID]],Table1[],3,FALSE)</f>
        <v>Slovakia</v>
      </c>
      <c r="D2220" s="243" t="str">
        <f>VLOOKUP(Table8[[#This Row],[Document ID]],Table1[],5,FALSE)</f>
        <v>LTS</v>
      </c>
      <c r="E2220" s="233" t="str">
        <f>VLOOKUP(Table8[[#This Row],[Document ID]],Table1[],7,FALSE)</f>
        <v>LTS</v>
      </c>
      <c r="F2220" s="233" t="str">
        <f>VLOOKUP(Table8[[#This Row],[Document ID]],Table1[],8,FALSE)</f>
        <v>LTS 1.0</v>
      </c>
      <c r="G2220" s="233" t="str">
        <f>VLOOKUP(Table8[[#This Row],[Document ID]],Table1[],10,FALSE)</f>
        <v>Active</v>
      </c>
      <c r="H2220" s="43" t="s">
        <v>2350</v>
      </c>
      <c r="I2220" s="43" t="s">
        <v>2370</v>
      </c>
      <c r="J2220" s="44" t="s">
        <v>2371</v>
      </c>
      <c r="K2220" s="44" t="s">
        <v>4365</v>
      </c>
      <c r="L2220" s="44" t="s">
        <v>2373</v>
      </c>
      <c r="M2220" s="43">
        <v>52</v>
      </c>
      <c r="N2220" s="113" t="s">
        <v>1113</v>
      </c>
      <c r="O2220" s="113"/>
      <c r="P2220" s="113"/>
      <c r="Q2220" s="113"/>
      <c r="R2220" s="113"/>
      <c r="S2220" s="113"/>
      <c r="T2220" s="113"/>
      <c r="U2220" s="113"/>
      <c r="V2220" s="113"/>
      <c r="W2220" s="113"/>
      <c r="X2220" s="113"/>
      <c r="Y2220" s="113"/>
      <c r="Z2220" s="113"/>
      <c r="AA2220" s="113"/>
      <c r="AB2220" s="113"/>
      <c r="AC2220" s="113"/>
      <c r="AD2220" s="113"/>
      <c r="AE2220" s="113"/>
      <c r="AF2220" s="113"/>
      <c r="AG2220" s="113"/>
      <c r="AH2220" s="113"/>
      <c r="AI2220" s="113"/>
      <c r="AJ2220" s="113"/>
      <c r="AK2220" s="319" t="s">
        <v>1113</v>
      </c>
      <c r="AL2220" s="113"/>
      <c r="AM2220" s="113"/>
      <c r="AN2220" s="113"/>
      <c r="AO2220" s="44" t="s">
        <v>2334</v>
      </c>
      <c r="AP2220" s="43"/>
      <c r="AQ2220" s="236" t="str">
        <f>VLOOKUP(Table8[[#This Row],[Instrument]],Def_Targets!$D$73:$E$159,2,FALSE)</f>
        <v>A_Natmobplan</v>
      </c>
      <c r="AR2220" s="233" t="str">
        <f>VLOOKUP(Table8[[#This Row],[Country Code]],Table29[],3,FALSE)</f>
        <v>Annex I</v>
      </c>
      <c r="AS2220" s="233" t="str">
        <f>VLOOKUP(Table8[[#This Row],[Country Code]],Table29[],4,FALSE)</f>
        <v>Europe</v>
      </c>
      <c r="AT2220" s="233" t="str">
        <f>VLOOKUP(Table8[[#This Row],[Country Code]],Table29[],5,FALSE)</f>
        <v>High-income</v>
      </c>
      <c r="AU2220" s="233" t="str">
        <f>VLOOKUP(Table8[[#This Row],[Country Code]],Table29[],6,FALSE)</f>
        <v>no</v>
      </c>
      <c r="AV2220" s="233" t="str">
        <f>VLOOKUP(Table8[[#This Row],[Country Code]],Table29[],7,FALSE)</f>
        <v>no</v>
      </c>
      <c r="AW2220" s="233" t="str">
        <f>VLOOKUP(Table8[[#This Row],[Country Code]],Table29[],8,FALSE)</f>
        <v>OECD</v>
      </c>
      <c r="AX2220" s="233" t="str">
        <f>VLOOKUP(Table8[[#This Row],[Country Code]],Table29[],9,FALSE)</f>
        <v>EU27</v>
      </c>
      <c r="AY2220" s="233" t="str">
        <f>VLOOKUP(Table8[[#This Row],[Country Code]],Table29[],10,FALSE)</f>
        <v>no</v>
      </c>
      <c r="AZ2220" s="235">
        <f>VLOOKUP(Table8[[#This Row],[Country Code]],Table29[],23,FALSE)</f>
        <v>44.775610890682003</v>
      </c>
      <c r="BA2220" s="235">
        <f>VLOOKUP(Table8[[#This Row],[Country Code]],Table29[],24,FALSE)</f>
        <v>7.6629333129442534</v>
      </c>
      <c r="BB2220" s="320"/>
      <c r="BC2220" s="320"/>
    </row>
    <row r="2221" spans="1:55" s="17" customFormat="1" ht="90" hidden="1" x14ac:dyDescent="0.25">
      <c r="A2221" s="373">
        <v>32515</v>
      </c>
      <c r="B2221" s="233" t="str">
        <f>VLOOKUP(Table8[[#This Row],[Document ID]],Table1[],2,FALSE)</f>
        <v>SVN</v>
      </c>
      <c r="C2221" s="233" t="str">
        <f>VLOOKUP(Table8[[#This Row],[Document ID]],Table1[],3,FALSE)</f>
        <v>Slovenia</v>
      </c>
      <c r="D2221" s="243" t="str">
        <f>VLOOKUP(Table8[[#This Row],[Document ID]],Table1[],5,FALSE)</f>
        <v>LTS</v>
      </c>
      <c r="E2221" s="233" t="str">
        <f>VLOOKUP(Table8[[#This Row],[Document ID]],Table1[],7,FALSE)</f>
        <v>LTS</v>
      </c>
      <c r="F2221" s="233" t="str">
        <f>VLOOKUP(Table8[[#This Row],[Document ID]],Table1[],8,FALSE)</f>
        <v>LTS 1.0</v>
      </c>
      <c r="G2221" s="233" t="str">
        <f>VLOOKUP(Table8[[#This Row],[Document ID]],Table1[],10,FALSE)</f>
        <v>Active</v>
      </c>
      <c r="H2221" s="43" t="s">
        <v>2350</v>
      </c>
      <c r="I2221" s="43" t="s">
        <v>2456</v>
      </c>
      <c r="J2221" s="44" t="s">
        <v>2466</v>
      </c>
      <c r="K2221" s="44" t="s">
        <v>4366</v>
      </c>
      <c r="L2221" s="44" t="s">
        <v>2471</v>
      </c>
      <c r="M2221" s="43">
        <v>45</v>
      </c>
      <c r="N2221" s="113"/>
      <c r="O2221" s="113"/>
      <c r="P2221" s="113"/>
      <c r="Q2221" s="113"/>
      <c r="R2221" s="113"/>
      <c r="S2221" s="113"/>
      <c r="T2221" s="113"/>
      <c r="U2221" s="113"/>
      <c r="V2221" s="113"/>
      <c r="W2221" s="113"/>
      <c r="X2221" s="113"/>
      <c r="Y2221" s="113"/>
      <c r="Z2221" s="113" t="s">
        <v>1113</v>
      </c>
      <c r="AA2221" s="113"/>
      <c r="AB2221" s="113"/>
      <c r="AC2221" s="113"/>
      <c r="AD2221" s="113"/>
      <c r="AE2221" s="113"/>
      <c r="AF2221" s="113"/>
      <c r="AG2221" s="113"/>
      <c r="AH2221" s="113"/>
      <c r="AI2221" s="113"/>
      <c r="AJ2221" s="113"/>
      <c r="AK2221" s="113"/>
      <c r="AL2221" s="113"/>
      <c r="AM2221" s="113"/>
      <c r="AN2221" s="113" t="s">
        <v>1113</v>
      </c>
      <c r="AO2221" s="44" t="s">
        <v>2334</v>
      </c>
      <c r="AP2221" s="43"/>
      <c r="AQ2221" s="236" t="str">
        <f>VLOOKUP(Table8[[#This Row],[Instrument]],Def_Targets!$D$73:$E$159,2,FALSE)</f>
        <v>S_Infraexpansion</v>
      </c>
      <c r="AR2221" s="233" t="str">
        <f>VLOOKUP(Table8[[#This Row],[Country Code]],Table29[],3,FALSE)</f>
        <v>Annex I</v>
      </c>
      <c r="AS2221" s="233" t="str">
        <f>VLOOKUP(Table8[[#This Row],[Country Code]],Table29[],4,FALSE)</f>
        <v>Europe</v>
      </c>
      <c r="AT2221" s="233" t="str">
        <f>VLOOKUP(Table8[[#This Row],[Country Code]],Table29[],5,FALSE)</f>
        <v>High-income</v>
      </c>
      <c r="AU2221" s="233" t="str">
        <f>VLOOKUP(Table8[[#This Row],[Country Code]],Table29[],6,FALSE)</f>
        <v>no</v>
      </c>
      <c r="AV2221" s="233" t="str">
        <f>VLOOKUP(Table8[[#This Row],[Country Code]],Table29[],7,FALSE)</f>
        <v>no</v>
      </c>
      <c r="AW2221" s="233" t="str">
        <f>VLOOKUP(Table8[[#This Row],[Country Code]],Table29[],8,FALSE)</f>
        <v>OECD</v>
      </c>
      <c r="AX2221" s="233" t="str">
        <f>VLOOKUP(Table8[[#This Row],[Country Code]],Table29[],9,FALSE)</f>
        <v>EU27</v>
      </c>
      <c r="AY2221" s="233" t="str">
        <f>VLOOKUP(Table8[[#This Row],[Country Code]],Table29[],10,FALSE)</f>
        <v>no</v>
      </c>
      <c r="AZ2221" s="235">
        <f>VLOOKUP(Table8[[#This Row],[Country Code]],Table29[],23,FALSE)</f>
        <v>15.993517423122</v>
      </c>
      <c r="BA2221" s="235">
        <f>VLOOKUP(Table8[[#This Row],[Country Code]],Table29[],24,FALSE)</f>
        <v>4.830209372200426</v>
      </c>
      <c r="BB2221" s="320"/>
      <c r="BC2221" s="320"/>
    </row>
    <row r="2222" spans="1:55" ht="30" hidden="1" x14ac:dyDescent="0.25">
      <c r="A2222" s="360">
        <v>23383</v>
      </c>
      <c r="B2222" s="233" t="str">
        <f>VLOOKUP(Table8[[#This Row],[Document ID]],Table1[],2,FALSE)</f>
        <v>TUN</v>
      </c>
      <c r="C2222" s="233" t="str">
        <f>VLOOKUP(Table8[[#This Row],[Document ID]],Table1[],3,FALSE)</f>
        <v>Tunisia</v>
      </c>
      <c r="D2222" s="233" t="str">
        <f>VLOOKUP(Table8[[#This Row],[Document ID]],Table1[],5,FALSE)</f>
        <v>NDC</v>
      </c>
      <c r="E2222" s="233" t="str">
        <f>VLOOKUP(Table8[[#This Row],[Document ID]],Table1[],7,FALSE)</f>
        <v>First NDC updated</v>
      </c>
      <c r="F2222" s="233" t="str">
        <f>VLOOKUP(Table8[[#This Row],[Document ID]],Table1[],8,FALSE)</f>
        <v>NDC 1.1</v>
      </c>
      <c r="G2222" s="233" t="str">
        <f>VLOOKUP(Table8[[#This Row],[Document ID]],Table1[],10,FALSE)</f>
        <v>Active</v>
      </c>
      <c r="H2222" s="43" t="s">
        <v>2343</v>
      </c>
      <c r="I2222" s="43" t="s">
        <v>2377</v>
      </c>
      <c r="J2222" s="44" t="s">
        <v>2394</v>
      </c>
      <c r="K2222" s="44" t="s">
        <v>4367</v>
      </c>
      <c r="L2222" s="44" t="s">
        <v>2373</v>
      </c>
      <c r="M2222" s="43">
        <v>19</v>
      </c>
      <c r="N2222" s="113" t="s">
        <v>1113</v>
      </c>
      <c r="O2222" s="113"/>
      <c r="P2222" s="113"/>
      <c r="Q2222" s="113"/>
      <c r="R2222" s="113"/>
      <c r="S2222" s="113"/>
      <c r="T2222" s="113"/>
      <c r="U2222" s="113"/>
      <c r="V2222" s="113"/>
      <c r="W2222" s="113"/>
      <c r="X2222" s="113"/>
      <c r="Y2222" s="113"/>
      <c r="Z2222" s="113"/>
      <c r="AA2222" s="113"/>
      <c r="AB2222" s="113"/>
      <c r="AC2222" s="113"/>
      <c r="AD2222" s="113"/>
      <c r="AE2222" s="113"/>
      <c r="AF2222" s="113"/>
      <c r="AG2222" s="113"/>
      <c r="AH2222" s="113"/>
      <c r="AI2222" s="113"/>
      <c r="AJ2222" s="113"/>
      <c r="AK2222" s="113"/>
      <c r="AL2222" s="113" t="s">
        <v>1113</v>
      </c>
      <c r="AM2222" s="113"/>
      <c r="AN2222" s="113"/>
      <c r="AO2222" s="44" t="s">
        <v>2334</v>
      </c>
      <c r="AP2222" s="43"/>
      <c r="AQ2222" s="236" t="str">
        <f>VLOOKUP(Table8[[#This Row],[Instrument]],Def_Targets!$D$73:$E$159,2,FALSE)</f>
        <v>A_TDM</v>
      </c>
      <c r="AR2222" s="233" t="str">
        <f>VLOOKUP(Table8[[#This Row],[Country Code]],Table29[],3,FALSE)</f>
        <v>Non-Annex I</v>
      </c>
      <c r="AS2222" s="233" t="str">
        <f>VLOOKUP(Table8[[#This Row],[Country Code]],Table29[],4,FALSE)</f>
        <v>Africa</v>
      </c>
      <c r="AT2222" s="233" t="str">
        <f>VLOOKUP(Table8[[#This Row],[Country Code]],Table29[],5,FALSE)</f>
        <v>Middle-income</v>
      </c>
      <c r="AU2222" s="233" t="str">
        <f>VLOOKUP(Table8[[#This Row],[Country Code]],Table29[],6,FALSE)</f>
        <v>no</v>
      </c>
      <c r="AV2222" s="233" t="str">
        <f>VLOOKUP(Table8[[#This Row],[Country Code]],Table29[],7,FALSE)</f>
        <v>no</v>
      </c>
      <c r="AW2222" s="233" t="str">
        <f>VLOOKUP(Table8[[#This Row],[Country Code]],Table29[],8,FALSE)</f>
        <v>non-OECD</v>
      </c>
      <c r="AX2222" s="233" t="str">
        <f>VLOOKUP(Table8[[#This Row],[Country Code]],Table29[],9,FALSE)</f>
        <v>no</v>
      </c>
      <c r="AY2222" s="233" t="str">
        <f>VLOOKUP(Table8[[#This Row],[Country Code]],Table29[],10,FALSE)</f>
        <v>MENA</v>
      </c>
      <c r="AZ2222" s="235">
        <f>VLOOKUP(Table8[[#This Row],[Country Code]],Table29[],23,FALSE)</f>
        <v>43.578530969543998</v>
      </c>
      <c r="BA2222" s="235">
        <f>VLOOKUP(Table8[[#This Row],[Country Code]],Table29[],24,FALSE)</f>
        <v>8.2824682143968626</v>
      </c>
      <c r="BB2222" s="320"/>
      <c r="BC2222" s="320"/>
    </row>
    <row r="2223" spans="1:55" ht="30" hidden="1" x14ac:dyDescent="0.25">
      <c r="A2223" s="360">
        <v>23383</v>
      </c>
      <c r="B2223" s="233" t="str">
        <f>VLOOKUP(Table8[[#This Row],[Document ID]],Table1[],2,FALSE)</f>
        <v>TUN</v>
      </c>
      <c r="C2223" s="233" t="str">
        <f>VLOOKUP(Table8[[#This Row],[Document ID]],Table1[],3,FALSE)</f>
        <v>Tunisia</v>
      </c>
      <c r="D2223" s="233" t="str">
        <f>VLOOKUP(Table8[[#This Row],[Document ID]],Table1[],5,FALSE)</f>
        <v>NDC</v>
      </c>
      <c r="E2223" s="233" t="str">
        <f>VLOOKUP(Table8[[#This Row],[Document ID]],Table1[],7,FALSE)</f>
        <v>First NDC updated</v>
      </c>
      <c r="F2223" s="233" t="str">
        <f>VLOOKUP(Table8[[#This Row],[Document ID]],Table1[],8,FALSE)</f>
        <v>NDC 1.1</v>
      </c>
      <c r="G2223" s="233" t="str">
        <f>VLOOKUP(Table8[[#This Row],[Document ID]],Table1[],10,FALSE)</f>
        <v>Active</v>
      </c>
      <c r="H2223" s="43" t="s">
        <v>2358</v>
      </c>
      <c r="I2223" s="43" t="s">
        <v>2359</v>
      </c>
      <c r="J2223" s="44" t="s">
        <v>2360</v>
      </c>
      <c r="K2223" s="44" t="s">
        <v>4367</v>
      </c>
      <c r="L2223" s="44" t="s">
        <v>2333</v>
      </c>
      <c r="M2223" s="43">
        <v>19</v>
      </c>
      <c r="N2223" s="113" t="s">
        <v>1113</v>
      </c>
      <c r="O2223" s="113"/>
      <c r="P2223" s="113"/>
      <c r="Q2223" s="113"/>
      <c r="R2223" s="113"/>
      <c r="S2223" s="113"/>
      <c r="T2223" s="113"/>
      <c r="U2223" s="113"/>
      <c r="V2223" s="113"/>
      <c r="W2223" s="113"/>
      <c r="X2223" s="113"/>
      <c r="Y2223" s="113"/>
      <c r="Z2223" s="113"/>
      <c r="AA2223" s="113"/>
      <c r="AB2223" s="113"/>
      <c r="AC2223" s="113"/>
      <c r="AD2223" s="113"/>
      <c r="AE2223" s="113"/>
      <c r="AF2223" s="113"/>
      <c r="AG2223" s="113"/>
      <c r="AH2223" s="113"/>
      <c r="AI2223" s="113"/>
      <c r="AJ2223" s="113"/>
      <c r="AK2223" s="113" t="s">
        <v>1113</v>
      </c>
      <c r="AL2223" s="113"/>
      <c r="AM2223" s="113"/>
      <c r="AN2223" s="113"/>
      <c r="AO2223" s="44" t="s">
        <v>2334</v>
      </c>
      <c r="AP2223" s="43"/>
      <c r="AQ2223" s="236" t="str">
        <f>VLOOKUP(Table8[[#This Row],[Instrument]],Def_Targets!$D$73:$E$159,2,FALSE)</f>
        <v>I_Emobility</v>
      </c>
      <c r="AR2223" s="233" t="str">
        <f>VLOOKUP(Table8[[#This Row],[Country Code]],Table29[],3,FALSE)</f>
        <v>Non-Annex I</v>
      </c>
      <c r="AS2223" s="233" t="str">
        <f>VLOOKUP(Table8[[#This Row],[Country Code]],Table29[],4,FALSE)</f>
        <v>Africa</v>
      </c>
      <c r="AT2223" s="233" t="str">
        <f>VLOOKUP(Table8[[#This Row],[Country Code]],Table29[],5,FALSE)</f>
        <v>Middle-income</v>
      </c>
      <c r="AU2223" s="233" t="str">
        <f>VLOOKUP(Table8[[#This Row],[Country Code]],Table29[],6,FALSE)</f>
        <v>no</v>
      </c>
      <c r="AV2223" s="233" t="str">
        <f>VLOOKUP(Table8[[#This Row],[Country Code]],Table29[],7,FALSE)</f>
        <v>no</v>
      </c>
      <c r="AW2223" s="233" t="str">
        <f>VLOOKUP(Table8[[#This Row],[Country Code]],Table29[],8,FALSE)</f>
        <v>non-OECD</v>
      </c>
      <c r="AX2223" s="233" t="str">
        <f>VLOOKUP(Table8[[#This Row],[Country Code]],Table29[],9,FALSE)</f>
        <v>no</v>
      </c>
      <c r="AY2223" s="233" t="str">
        <f>VLOOKUP(Table8[[#This Row],[Country Code]],Table29[],10,FALSE)</f>
        <v>MENA</v>
      </c>
      <c r="AZ2223" s="235">
        <f>VLOOKUP(Table8[[#This Row],[Country Code]],Table29[],23,FALSE)</f>
        <v>43.578530969543998</v>
      </c>
      <c r="BA2223" s="235">
        <f>VLOOKUP(Table8[[#This Row],[Country Code]],Table29[],24,FALSE)</f>
        <v>8.2824682143968626</v>
      </c>
      <c r="BB2223" s="320"/>
      <c r="BC2223" s="320"/>
    </row>
    <row r="2224" spans="1:55" ht="60" hidden="1" x14ac:dyDescent="0.25">
      <c r="A2224" s="373">
        <v>32515</v>
      </c>
      <c r="B2224" s="233" t="str">
        <f>VLOOKUP(Table8[[#This Row],[Document ID]],Table1[],2,FALSE)</f>
        <v>SVN</v>
      </c>
      <c r="C2224" s="233" t="str">
        <f>VLOOKUP(Table8[[#This Row],[Document ID]],Table1[],3,FALSE)</f>
        <v>Slovenia</v>
      </c>
      <c r="D2224" s="243" t="str">
        <f>VLOOKUP(Table8[[#This Row],[Document ID]],Table1[],5,FALSE)</f>
        <v>LTS</v>
      </c>
      <c r="E2224" s="233" t="str">
        <f>VLOOKUP(Table8[[#This Row],[Document ID]],Table1[],7,FALSE)</f>
        <v>LTS</v>
      </c>
      <c r="F2224" s="233" t="str">
        <f>VLOOKUP(Table8[[#This Row],[Document ID]],Table1[],8,FALSE)</f>
        <v>LTS 1.0</v>
      </c>
      <c r="G2224" s="233" t="str">
        <f>VLOOKUP(Table8[[#This Row],[Document ID]],Table1[],10,FALSE)</f>
        <v>Active</v>
      </c>
      <c r="H2224" s="43" t="s">
        <v>2343</v>
      </c>
      <c r="I2224" s="43" t="s">
        <v>2344</v>
      </c>
      <c r="J2224" s="44" t="s">
        <v>2564</v>
      </c>
      <c r="K2224" s="44" t="s">
        <v>4368</v>
      </c>
      <c r="L2224" s="44" t="s">
        <v>2471</v>
      </c>
      <c r="M2224" s="43">
        <v>45</v>
      </c>
      <c r="N2224" s="113"/>
      <c r="O2224" s="113"/>
      <c r="P2224" s="113"/>
      <c r="Q2224" s="113"/>
      <c r="R2224" s="113"/>
      <c r="S2224" s="113"/>
      <c r="T2224" s="113"/>
      <c r="U2224" s="113"/>
      <c r="V2224" s="113"/>
      <c r="W2224" s="113"/>
      <c r="X2224" s="113"/>
      <c r="Y2224" s="113" t="s">
        <v>1113</v>
      </c>
      <c r="Z2224" s="113"/>
      <c r="AA2224" s="113"/>
      <c r="AB2224" s="113"/>
      <c r="AC2224" s="113" t="s">
        <v>1113</v>
      </c>
      <c r="AD2224" s="113"/>
      <c r="AE2224" s="113"/>
      <c r="AF2224" s="113"/>
      <c r="AG2224" s="113"/>
      <c r="AH2224" s="113"/>
      <c r="AI2224" s="113"/>
      <c r="AJ2224" s="113"/>
      <c r="AK2224" s="113"/>
      <c r="AL2224" s="113" t="s">
        <v>1113</v>
      </c>
      <c r="AM2224" s="113"/>
      <c r="AN2224" s="113"/>
      <c r="AO2224" s="43" t="s">
        <v>2348</v>
      </c>
      <c r="AP2224" s="43"/>
      <c r="AQ2224" s="236" t="str">
        <f>VLOOKUP(Table8[[#This Row],[Instrument]],Def_Targets!$D$73:$E$159,2,FALSE)</f>
        <v>S_PTPriority</v>
      </c>
      <c r="AR2224" s="233" t="str">
        <f>VLOOKUP(Table8[[#This Row],[Country Code]],Table29[],3,FALSE)</f>
        <v>Annex I</v>
      </c>
      <c r="AS2224" s="233" t="str">
        <f>VLOOKUP(Table8[[#This Row],[Country Code]],Table29[],4,FALSE)</f>
        <v>Europe</v>
      </c>
      <c r="AT2224" s="233" t="str">
        <f>VLOOKUP(Table8[[#This Row],[Country Code]],Table29[],5,FALSE)</f>
        <v>High-income</v>
      </c>
      <c r="AU2224" s="233" t="str">
        <f>VLOOKUP(Table8[[#This Row],[Country Code]],Table29[],6,FALSE)</f>
        <v>no</v>
      </c>
      <c r="AV2224" s="233" t="str">
        <f>VLOOKUP(Table8[[#This Row],[Country Code]],Table29[],7,FALSE)</f>
        <v>no</v>
      </c>
      <c r="AW2224" s="233" t="str">
        <f>VLOOKUP(Table8[[#This Row],[Country Code]],Table29[],8,FALSE)</f>
        <v>OECD</v>
      </c>
      <c r="AX2224" s="233" t="str">
        <f>VLOOKUP(Table8[[#This Row],[Country Code]],Table29[],9,FALSE)</f>
        <v>EU27</v>
      </c>
      <c r="AY2224" s="233" t="str">
        <f>VLOOKUP(Table8[[#This Row],[Country Code]],Table29[],10,FALSE)</f>
        <v>no</v>
      </c>
      <c r="AZ2224" s="235">
        <f>VLOOKUP(Table8[[#This Row],[Country Code]],Table29[],23,FALSE)</f>
        <v>15.993517423122</v>
      </c>
      <c r="BA2224" s="235">
        <f>VLOOKUP(Table8[[#This Row],[Country Code]],Table29[],24,FALSE)</f>
        <v>4.830209372200426</v>
      </c>
      <c r="BB2224" s="320"/>
      <c r="BC2224" s="320"/>
    </row>
    <row r="2225" spans="1:55" ht="60" hidden="1" x14ac:dyDescent="0.25">
      <c r="A2225" s="373">
        <v>32515</v>
      </c>
      <c r="B2225" s="233" t="str">
        <f>VLOOKUP(Table8[[#This Row],[Document ID]],Table1[],2,FALSE)</f>
        <v>SVN</v>
      </c>
      <c r="C2225" s="233" t="str">
        <f>VLOOKUP(Table8[[#This Row],[Document ID]],Table1[],3,FALSE)</f>
        <v>Slovenia</v>
      </c>
      <c r="D2225" s="243" t="str">
        <f>VLOOKUP(Table8[[#This Row],[Document ID]],Table1[],5,FALSE)</f>
        <v>LTS</v>
      </c>
      <c r="E2225" s="233" t="str">
        <f>VLOOKUP(Table8[[#This Row],[Document ID]],Table1[],7,FALSE)</f>
        <v>LTS</v>
      </c>
      <c r="F2225" s="233" t="str">
        <f>VLOOKUP(Table8[[#This Row],[Document ID]],Table1[],8,FALSE)</f>
        <v>LTS 1.0</v>
      </c>
      <c r="G2225" s="233" t="str">
        <f>VLOOKUP(Table8[[#This Row],[Document ID]],Table1[],10,FALSE)</f>
        <v>Active</v>
      </c>
      <c r="H2225" s="43" t="s">
        <v>2343</v>
      </c>
      <c r="I2225" s="43" t="s">
        <v>2344</v>
      </c>
      <c r="J2225" s="44" t="s">
        <v>2405</v>
      </c>
      <c r="K2225" s="44" t="s">
        <v>4368</v>
      </c>
      <c r="L2225" s="44" t="s">
        <v>2471</v>
      </c>
      <c r="M2225" s="43">
        <v>45</v>
      </c>
      <c r="N2225" s="113"/>
      <c r="O2225" s="113"/>
      <c r="P2225" s="113"/>
      <c r="Q2225" s="113"/>
      <c r="R2225" s="113"/>
      <c r="S2225" s="113"/>
      <c r="T2225" s="113"/>
      <c r="U2225" s="113"/>
      <c r="V2225" s="113"/>
      <c r="W2225" s="113"/>
      <c r="X2225" s="113"/>
      <c r="Y2225" s="113" t="s">
        <v>1113</v>
      </c>
      <c r="Z2225" s="113"/>
      <c r="AA2225" s="113"/>
      <c r="AB2225" s="113"/>
      <c r="AC2225" s="113" t="s">
        <v>1113</v>
      </c>
      <c r="AD2225" s="113"/>
      <c r="AE2225" s="113"/>
      <c r="AF2225" s="113"/>
      <c r="AG2225" s="113"/>
      <c r="AH2225" s="113"/>
      <c r="AI2225" s="113"/>
      <c r="AJ2225" s="113"/>
      <c r="AK2225" s="113"/>
      <c r="AL2225" s="113" t="s">
        <v>1113</v>
      </c>
      <c r="AM2225" s="113"/>
      <c r="AN2225" s="113"/>
      <c r="AO2225" s="43" t="s">
        <v>2348</v>
      </c>
      <c r="AP2225" s="43"/>
      <c r="AQ2225" s="236" t="str">
        <f>VLOOKUP(Table8[[#This Row],[Instrument]],Def_Targets!$D$73:$E$159,2,FALSE)</f>
        <v>S_PTIntegration</v>
      </c>
      <c r="AR2225" s="233" t="str">
        <f>VLOOKUP(Table8[[#This Row],[Country Code]],Table29[],3,FALSE)</f>
        <v>Annex I</v>
      </c>
      <c r="AS2225" s="233" t="str">
        <f>VLOOKUP(Table8[[#This Row],[Country Code]],Table29[],4,FALSE)</f>
        <v>Europe</v>
      </c>
      <c r="AT2225" s="233" t="str">
        <f>VLOOKUP(Table8[[#This Row],[Country Code]],Table29[],5,FALSE)</f>
        <v>High-income</v>
      </c>
      <c r="AU2225" s="233" t="str">
        <f>VLOOKUP(Table8[[#This Row],[Country Code]],Table29[],6,FALSE)</f>
        <v>no</v>
      </c>
      <c r="AV2225" s="233" t="str">
        <f>VLOOKUP(Table8[[#This Row],[Country Code]],Table29[],7,FALSE)</f>
        <v>no</v>
      </c>
      <c r="AW2225" s="233" t="str">
        <f>VLOOKUP(Table8[[#This Row],[Country Code]],Table29[],8,FALSE)</f>
        <v>OECD</v>
      </c>
      <c r="AX2225" s="233" t="str">
        <f>VLOOKUP(Table8[[#This Row],[Country Code]],Table29[],9,FALSE)</f>
        <v>EU27</v>
      </c>
      <c r="AY2225" s="233" t="str">
        <f>VLOOKUP(Table8[[#This Row],[Country Code]],Table29[],10,FALSE)</f>
        <v>no</v>
      </c>
      <c r="AZ2225" s="235">
        <f>VLOOKUP(Table8[[#This Row],[Country Code]],Table29[],23,FALSE)</f>
        <v>15.993517423122</v>
      </c>
      <c r="BA2225" s="235">
        <f>VLOOKUP(Table8[[#This Row],[Country Code]],Table29[],24,FALSE)</f>
        <v>4.830209372200426</v>
      </c>
      <c r="BB2225" s="320"/>
      <c r="BC2225" s="320"/>
    </row>
    <row r="2226" spans="1:55" ht="60" hidden="1" x14ac:dyDescent="0.25">
      <c r="A2226" s="373">
        <v>32515</v>
      </c>
      <c r="B2226" s="233" t="str">
        <f>VLOOKUP(Table8[[#This Row],[Document ID]],Table1[],2,FALSE)</f>
        <v>SVN</v>
      </c>
      <c r="C2226" s="233" t="str">
        <f>VLOOKUP(Table8[[#This Row],[Document ID]],Table1[],3,FALSE)</f>
        <v>Slovenia</v>
      </c>
      <c r="D2226" s="243" t="str">
        <f>VLOOKUP(Table8[[#This Row],[Document ID]],Table1[],5,FALSE)</f>
        <v>LTS</v>
      </c>
      <c r="E2226" s="233" t="str">
        <f>VLOOKUP(Table8[[#This Row],[Document ID]],Table1[],7,FALSE)</f>
        <v>LTS</v>
      </c>
      <c r="F2226" s="233" t="str">
        <f>VLOOKUP(Table8[[#This Row],[Document ID]],Table1[],8,FALSE)</f>
        <v>LTS 1.0</v>
      </c>
      <c r="G2226" s="233" t="str">
        <f>VLOOKUP(Table8[[#This Row],[Document ID]],Table1[],10,FALSE)</f>
        <v>Active</v>
      </c>
      <c r="H2226" s="43" t="s">
        <v>2343</v>
      </c>
      <c r="I2226" s="43" t="s">
        <v>2429</v>
      </c>
      <c r="J2226" s="44" t="s">
        <v>2513</v>
      </c>
      <c r="K2226" s="44" t="s">
        <v>4368</v>
      </c>
      <c r="L2226" s="44" t="s">
        <v>2347</v>
      </c>
      <c r="M2226" s="43">
        <v>45</v>
      </c>
      <c r="N2226" s="113"/>
      <c r="O2226" s="113"/>
      <c r="P2226" s="113"/>
      <c r="Q2226" s="113"/>
      <c r="R2226" s="113"/>
      <c r="S2226" s="113" t="s">
        <v>1113</v>
      </c>
      <c r="T2226" s="113"/>
      <c r="U2226" s="113"/>
      <c r="V2226" s="113"/>
      <c r="W2226" s="113"/>
      <c r="X2226" s="113"/>
      <c r="Y2226" s="113"/>
      <c r="Z2226" s="113"/>
      <c r="AA2226" s="113"/>
      <c r="AB2226" s="113"/>
      <c r="AC2226" s="113"/>
      <c r="AD2226" s="113"/>
      <c r="AE2226" s="113"/>
      <c r="AF2226" s="113"/>
      <c r="AG2226" s="113"/>
      <c r="AH2226" s="113"/>
      <c r="AI2226" s="113"/>
      <c r="AJ2226" s="113"/>
      <c r="AK2226" s="113"/>
      <c r="AL2226" s="113" t="s">
        <v>1113</v>
      </c>
      <c r="AM2226" s="113"/>
      <c r="AN2226" s="113"/>
      <c r="AO2226" s="43" t="s">
        <v>2348</v>
      </c>
      <c r="AP2226" s="43"/>
      <c r="AQ2226" s="236" t="str">
        <f>VLOOKUP(Table8[[#This Row],[Instrument]],Def_Targets!$D$73:$E$159,2,FALSE)</f>
        <v>S_Sharedmob</v>
      </c>
      <c r="AR2226" s="233" t="str">
        <f>VLOOKUP(Table8[[#This Row],[Country Code]],Table29[],3,FALSE)</f>
        <v>Annex I</v>
      </c>
      <c r="AS2226" s="233" t="str">
        <f>VLOOKUP(Table8[[#This Row],[Country Code]],Table29[],4,FALSE)</f>
        <v>Europe</v>
      </c>
      <c r="AT2226" s="233" t="str">
        <f>VLOOKUP(Table8[[#This Row],[Country Code]],Table29[],5,FALSE)</f>
        <v>High-income</v>
      </c>
      <c r="AU2226" s="233" t="str">
        <f>VLOOKUP(Table8[[#This Row],[Country Code]],Table29[],6,FALSE)</f>
        <v>no</v>
      </c>
      <c r="AV2226" s="233" t="str">
        <f>VLOOKUP(Table8[[#This Row],[Country Code]],Table29[],7,FALSE)</f>
        <v>no</v>
      </c>
      <c r="AW2226" s="233" t="str">
        <f>VLOOKUP(Table8[[#This Row],[Country Code]],Table29[],8,FALSE)</f>
        <v>OECD</v>
      </c>
      <c r="AX2226" s="233" t="str">
        <f>VLOOKUP(Table8[[#This Row],[Country Code]],Table29[],9,FALSE)</f>
        <v>EU27</v>
      </c>
      <c r="AY2226" s="233" t="str">
        <f>VLOOKUP(Table8[[#This Row],[Country Code]],Table29[],10,FALSE)</f>
        <v>no</v>
      </c>
      <c r="AZ2226" s="235">
        <f>VLOOKUP(Table8[[#This Row],[Country Code]],Table29[],23,FALSE)</f>
        <v>15.993517423122</v>
      </c>
      <c r="BA2226" s="235">
        <f>VLOOKUP(Table8[[#This Row],[Country Code]],Table29[],24,FALSE)</f>
        <v>4.830209372200426</v>
      </c>
      <c r="BB2226" s="320"/>
      <c r="BC2226" s="320"/>
    </row>
    <row r="2227" spans="1:55" hidden="1" x14ac:dyDescent="0.25">
      <c r="A2227" s="399">
        <v>32515</v>
      </c>
      <c r="B2227" s="233" t="str">
        <f>VLOOKUP(Table8[[#This Row],[Document ID]],Table1[],2,FALSE)</f>
        <v>SVN</v>
      </c>
      <c r="C2227" s="233" t="str">
        <f>VLOOKUP(Table8[[#This Row],[Document ID]],Table1[],3,FALSE)</f>
        <v>Slovenia</v>
      </c>
      <c r="D2227" s="243" t="str">
        <f>VLOOKUP(Table8[[#This Row],[Document ID]],Table1[],5,FALSE)</f>
        <v>LTS</v>
      </c>
      <c r="E2227" s="233" t="str">
        <f>VLOOKUP(Table8[[#This Row],[Document ID]],Table1[],7,FALSE)</f>
        <v>LTS</v>
      </c>
      <c r="F2227" s="233" t="str">
        <f>VLOOKUP(Table8[[#This Row],[Document ID]],Table1[],8,FALSE)</f>
        <v>LTS 1.0</v>
      </c>
      <c r="G2227" s="233" t="str">
        <f>VLOOKUP(Table8[[#This Row],[Document ID]],Table1[],10,FALSE)</f>
        <v>Active</v>
      </c>
      <c r="H2227" s="43" t="s">
        <v>2343</v>
      </c>
      <c r="I2227" s="43" t="s">
        <v>2386</v>
      </c>
      <c r="J2227" s="44" t="s">
        <v>2412</v>
      </c>
      <c r="K2227" s="44" t="s">
        <v>4369</v>
      </c>
      <c r="L2227" s="44" t="s">
        <v>2347</v>
      </c>
      <c r="M2227" s="43">
        <v>45</v>
      </c>
      <c r="N2227" s="113" t="s">
        <v>1113</v>
      </c>
      <c r="O2227" s="113"/>
      <c r="P2227" s="113"/>
      <c r="Q2227" s="113"/>
      <c r="R2227" s="113"/>
      <c r="S2227" s="113"/>
      <c r="T2227" s="113"/>
      <c r="U2227" s="113"/>
      <c r="V2227" s="113"/>
      <c r="W2227" s="113"/>
      <c r="X2227" s="113"/>
      <c r="Y2227" s="113"/>
      <c r="Z2227" s="113"/>
      <c r="AA2227" s="113"/>
      <c r="AB2227" s="113"/>
      <c r="AC2227" s="113"/>
      <c r="AD2227" s="113"/>
      <c r="AE2227" s="113"/>
      <c r="AF2227" s="113"/>
      <c r="AG2227" s="113"/>
      <c r="AH2227" s="113"/>
      <c r="AI2227" s="113"/>
      <c r="AJ2227" s="113"/>
      <c r="AK2227" s="113" t="s">
        <v>1113</v>
      </c>
      <c r="AL2227" s="113"/>
      <c r="AM2227" s="113"/>
      <c r="AN2227" s="113"/>
      <c r="AO2227" s="44" t="s">
        <v>2334</v>
      </c>
      <c r="AP2227" s="43"/>
      <c r="AQ2227" s="236" t="str">
        <f>VLOOKUP(Table8[[#This Row],[Instrument]],Def_Targets!$D$73:$E$159,2,FALSE)</f>
        <v>A_Economic</v>
      </c>
      <c r="AR2227" s="233" t="str">
        <f>VLOOKUP(Table8[[#This Row],[Country Code]],Table29[],3,FALSE)</f>
        <v>Annex I</v>
      </c>
      <c r="AS2227" s="233" t="str">
        <f>VLOOKUP(Table8[[#This Row],[Country Code]],Table29[],4,FALSE)</f>
        <v>Europe</v>
      </c>
      <c r="AT2227" s="233" t="str">
        <f>VLOOKUP(Table8[[#This Row],[Country Code]],Table29[],5,FALSE)</f>
        <v>High-income</v>
      </c>
      <c r="AU2227" s="233" t="str">
        <f>VLOOKUP(Table8[[#This Row],[Country Code]],Table29[],6,FALSE)</f>
        <v>no</v>
      </c>
      <c r="AV2227" s="233" t="str">
        <f>VLOOKUP(Table8[[#This Row],[Country Code]],Table29[],7,FALSE)</f>
        <v>no</v>
      </c>
      <c r="AW2227" s="233" t="str">
        <f>VLOOKUP(Table8[[#This Row],[Country Code]],Table29[],8,FALSE)</f>
        <v>OECD</v>
      </c>
      <c r="AX2227" s="233" t="str">
        <f>VLOOKUP(Table8[[#This Row],[Country Code]],Table29[],9,FALSE)</f>
        <v>EU27</v>
      </c>
      <c r="AY2227" s="233" t="str">
        <f>VLOOKUP(Table8[[#This Row],[Country Code]],Table29[],10,FALSE)</f>
        <v>no</v>
      </c>
      <c r="AZ2227" s="235">
        <f>VLOOKUP(Table8[[#This Row],[Country Code]],Table29[],23,FALSE)</f>
        <v>15.993517423122</v>
      </c>
      <c r="BA2227" s="235">
        <f>VLOOKUP(Table8[[#This Row],[Country Code]],Table29[],24,FALSE)</f>
        <v>4.830209372200426</v>
      </c>
      <c r="BB2227" s="320"/>
      <c r="BC2227" s="320"/>
    </row>
    <row r="2228" spans="1:55" ht="30" hidden="1" x14ac:dyDescent="0.25">
      <c r="A2228" s="399">
        <v>17766</v>
      </c>
      <c r="B2228" s="233" t="str">
        <f>VLOOKUP(Table8[[#This Row],[Document ID]],Table1[],2,FALSE)</f>
        <v>TUR</v>
      </c>
      <c r="C2228" s="233" t="str">
        <f>VLOOKUP(Table8[[#This Row],[Document ID]],Table1[],3,FALSE)</f>
        <v>Türkiye</v>
      </c>
      <c r="D2228" s="243" t="str">
        <f>VLOOKUP(Table8[[#This Row],[Document ID]],Table1[],5,FALSE)</f>
        <v>NDC</v>
      </c>
      <c r="E2228" s="233" t="str">
        <f>VLOOKUP(Table8[[#This Row],[Document ID]],Table1[],7,FALSE)</f>
        <v>First NDC</v>
      </c>
      <c r="F2228" s="236" t="str">
        <f>VLOOKUP(Table8[[#This Row],[Document ID]],Table1[],8,FALSE)</f>
        <v>NDC 1.0</v>
      </c>
      <c r="G2228" s="236" t="str">
        <f>VLOOKUP(Table8[[#This Row],[Document ID]],Table1[],10,FALSE)</f>
        <v>Archived</v>
      </c>
      <c r="H2228" s="43" t="s">
        <v>2350</v>
      </c>
      <c r="I2228" s="43" t="s">
        <v>2351</v>
      </c>
      <c r="J2228" s="44" t="s">
        <v>2352</v>
      </c>
      <c r="K2228" s="44" t="s">
        <v>4370</v>
      </c>
      <c r="L2228" s="44" t="s">
        <v>2347</v>
      </c>
      <c r="M2228" s="43"/>
      <c r="N2228" s="113"/>
      <c r="O2228" s="113"/>
      <c r="P2228" s="113"/>
      <c r="Q2228" s="319"/>
      <c r="R2228" s="319"/>
      <c r="S2228" s="319" t="s">
        <v>1113</v>
      </c>
      <c r="T2228" s="319"/>
      <c r="U2228" s="319"/>
      <c r="V2228" s="319"/>
      <c r="W2228" s="319"/>
      <c r="X2228" s="319"/>
      <c r="Y2228" s="113"/>
      <c r="Z2228" s="113" t="s">
        <v>1113</v>
      </c>
      <c r="AA2228" s="319"/>
      <c r="AB2228" s="319"/>
      <c r="AC2228" s="319"/>
      <c r="AD2228" s="319" t="s">
        <v>1113</v>
      </c>
      <c r="AE2228" s="319"/>
      <c r="AF2228" s="319"/>
      <c r="AG2228" s="319"/>
      <c r="AH2228" s="319"/>
      <c r="AI2228" s="319"/>
      <c r="AJ2228" s="319"/>
      <c r="AK2228" s="319" t="s">
        <v>1113</v>
      </c>
      <c r="AL2228" s="319"/>
      <c r="AM2228" s="319"/>
      <c r="AN2228" s="319"/>
      <c r="AO2228" s="43" t="s">
        <v>2477</v>
      </c>
      <c r="AP2228" s="44"/>
      <c r="AQ2228" s="236" t="str">
        <f>VLOOKUP(Table8[[#This Row],[Instrument]],Def_Targets!$D$73:$E$159,2,FALSE)</f>
        <v>S_Railfreight</v>
      </c>
      <c r="AR2228" s="233" t="str">
        <f>VLOOKUP(Table8[[#This Row],[Country Code]],Table29[],3,FALSE)</f>
        <v>Annex I</v>
      </c>
      <c r="AS2228" s="233" t="str">
        <f>VLOOKUP(Table8[[#This Row],[Country Code]],Table29[],4,FALSE)</f>
        <v>Asia</v>
      </c>
      <c r="AT2228" s="233" t="str">
        <f>VLOOKUP(Table8[[#This Row],[Country Code]],Table29[],5,FALSE)</f>
        <v>Middle-income</v>
      </c>
      <c r="AU2228" s="233" t="str">
        <f>VLOOKUP(Table8[[#This Row],[Country Code]],Table29[],6,FALSE)</f>
        <v>G20</v>
      </c>
      <c r="AV2228" s="233" t="str">
        <f>VLOOKUP(Table8[[#This Row],[Country Code]],Table29[],7,FALSE)</f>
        <v>no</v>
      </c>
      <c r="AW2228" s="233" t="str">
        <f>VLOOKUP(Table8[[#This Row],[Country Code]],Table29[],8,FALSE)</f>
        <v>OECD</v>
      </c>
      <c r="AX2228" s="233" t="str">
        <f>VLOOKUP(Table8[[#This Row],[Country Code]],Table29[],9,FALSE)</f>
        <v>no</v>
      </c>
      <c r="AY2228" s="233" t="str">
        <f>VLOOKUP(Table8[[#This Row],[Country Code]],Table29[],10,FALSE)</f>
        <v>no</v>
      </c>
      <c r="AZ2228" s="235">
        <f>VLOOKUP(Table8[[#This Row],[Country Code]],Table29[],23,FALSE)</f>
        <v>606.42985584790995</v>
      </c>
      <c r="BA2228" s="235">
        <f>VLOOKUP(Table8[[#This Row],[Country Code]],Table29[],24,FALSE)</f>
        <v>95.92080354160332</v>
      </c>
      <c r="BB2228" s="320"/>
      <c r="BC2228" s="320"/>
    </row>
    <row r="2229" spans="1:55" ht="30" hidden="1" x14ac:dyDescent="0.25">
      <c r="A2229" s="399">
        <v>17766</v>
      </c>
      <c r="B2229" s="233" t="str">
        <f>VLOOKUP(Table8[[#This Row],[Document ID]],Table1[],2,FALSE)</f>
        <v>TUR</v>
      </c>
      <c r="C2229" s="233" t="str">
        <f>VLOOKUP(Table8[[#This Row],[Document ID]],Table1[],3,FALSE)</f>
        <v>Türkiye</v>
      </c>
      <c r="D2229" s="243" t="str">
        <f>VLOOKUP(Table8[[#This Row],[Document ID]],Table1[],5,FALSE)</f>
        <v>NDC</v>
      </c>
      <c r="E2229" s="233" t="str">
        <f>VLOOKUP(Table8[[#This Row],[Document ID]],Table1[],7,FALSE)</f>
        <v>First NDC</v>
      </c>
      <c r="F2229" s="236" t="str">
        <f>VLOOKUP(Table8[[#This Row],[Document ID]],Table1[],8,FALSE)</f>
        <v>NDC 1.0</v>
      </c>
      <c r="G2229" s="236" t="str">
        <f>VLOOKUP(Table8[[#This Row],[Document ID]],Table1[],10,FALSE)</f>
        <v>Archived</v>
      </c>
      <c r="H2229" s="43" t="s">
        <v>2350</v>
      </c>
      <c r="I2229" s="43" t="s">
        <v>2456</v>
      </c>
      <c r="J2229" s="44" t="s">
        <v>2457</v>
      </c>
      <c r="K2229" s="44" t="s">
        <v>4371</v>
      </c>
      <c r="L2229" s="44" t="s">
        <v>2373</v>
      </c>
      <c r="M2229" s="43"/>
      <c r="N2229" s="113" t="s">
        <v>1113</v>
      </c>
      <c r="O2229" s="113"/>
      <c r="P2229" s="113"/>
      <c r="Q2229" s="319"/>
      <c r="R2229" s="319"/>
      <c r="S2229" s="319"/>
      <c r="T2229" s="319"/>
      <c r="U2229" s="319"/>
      <c r="V2229" s="319"/>
      <c r="W2229" s="319"/>
      <c r="X2229" s="319"/>
      <c r="Y2229" s="319"/>
      <c r="Z2229" s="319"/>
      <c r="AA2229" s="319"/>
      <c r="AB2229" s="319"/>
      <c r="AC2229" s="319"/>
      <c r="AD2229" s="319"/>
      <c r="AE2229" s="319"/>
      <c r="AF2229" s="319"/>
      <c r="AG2229" s="319"/>
      <c r="AH2229" s="319"/>
      <c r="AI2229" s="319"/>
      <c r="AJ2229" s="319"/>
      <c r="AK2229" s="319"/>
      <c r="AL2229" s="319" t="s">
        <v>1113</v>
      </c>
      <c r="AM2229" s="319"/>
      <c r="AN2229" s="319"/>
      <c r="AO2229" s="44" t="s">
        <v>2334</v>
      </c>
      <c r="AP2229" s="44"/>
      <c r="AQ2229" s="236" t="str">
        <f>VLOOKUP(Table8[[#This Row],[Instrument]],Def_Targets!$D$73:$E$159,2,FALSE)</f>
        <v>S_Infraimprove</v>
      </c>
      <c r="AR2229" s="233" t="str">
        <f>VLOOKUP(Table8[[#This Row],[Country Code]],Table29[],3,FALSE)</f>
        <v>Annex I</v>
      </c>
      <c r="AS2229" s="233" t="str">
        <f>VLOOKUP(Table8[[#This Row],[Country Code]],Table29[],4,FALSE)</f>
        <v>Asia</v>
      </c>
      <c r="AT2229" s="233" t="str">
        <f>VLOOKUP(Table8[[#This Row],[Country Code]],Table29[],5,FALSE)</f>
        <v>Middle-income</v>
      </c>
      <c r="AU2229" s="233" t="str">
        <f>VLOOKUP(Table8[[#This Row],[Country Code]],Table29[],6,FALSE)</f>
        <v>G20</v>
      </c>
      <c r="AV2229" s="233" t="str">
        <f>VLOOKUP(Table8[[#This Row],[Country Code]],Table29[],7,FALSE)</f>
        <v>no</v>
      </c>
      <c r="AW2229" s="233" t="str">
        <f>VLOOKUP(Table8[[#This Row],[Country Code]],Table29[],8,FALSE)</f>
        <v>OECD</v>
      </c>
      <c r="AX2229" s="233" t="str">
        <f>VLOOKUP(Table8[[#This Row],[Country Code]],Table29[],9,FALSE)</f>
        <v>no</v>
      </c>
      <c r="AY2229" s="233" t="str">
        <f>VLOOKUP(Table8[[#This Row],[Country Code]],Table29[],10,FALSE)</f>
        <v>no</v>
      </c>
      <c r="AZ2229" s="235">
        <f>VLOOKUP(Table8[[#This Row],[Country Code]],Table29[],23,FALSE)</f>
        <v>606.42985584790995</v>
      </c>
      <c r="BA2229" s="235">
        <f>VLOOKUP(Table8[[#This Row],[Country Code]],Table29[],24,FALSE)</f>
        <v>95.92080354160332</v>
      </c>
      <c r="BB2229" s="320"/>
      <c r="BC2229" s="320"/>
    </row>
    <row r="2230" spans="1:55" hidden="1" x14ac:dyDescent="0.25">
      <c r="A2230" s="373">
        <v>17766</v>
      </c>
      <c r="B2230" s="233" t="str">
        <f>VLOOKUP(Table8[[#This Row],[Document ID]],Table1[],2,FALSE)</f>
        <v>TUR</v>
      </c>
      <c r="C2230" s="233" t="str">
        <f>VLOOKUP(Table8[[#This Row],[Document ID]],Table1[],3,FALSE)</f>
        <v>Türkiye</v>
      </c>
      <c r="D2230" s="243" t="str">
        <f>VLOOKUP(Table8[[#This Row],[Document ID]],Table1[],5,FALSE)</f>
        <v>NDC</v>
      </c>
      <c r="E2230" s="233" t="str">
        <f>VLOOKUP(Table8[[#This Row],[Document ID]],Table1[],7,FALSE)</f>
        <v>First NDC</v>
      </c>
      <c r="F2230" s="236" t="str">
        <f>VLOOKUP(Table8[[#This Row],[Document ID]],Table1[],8,FALSE)</f>
        <v>NDC 1.0</v>
      </c>
      <c r="G2230" s="236" t="str">
        <f>VLOOKUP(Table8[[#This Row],[Document ID]],Table1[],10,FALSE)</f>
        <v>Archived</v>
      </c>
      <c r="H2230" s="44" t="s">
        <v>2329</v>
      </c>
      <c r="I2230" s="44" t="s">
        <v>2330</v>
      </c>
      <c r="J2230" s="44" t="s">
        <v>2331</v>
      </c>
      <c r="K2230" s="44" t="s">
        <v>2330</v>
      </c>
      <c r="L2230" s="44" t="s">
        <v>2333</v>
      </c>
      <c r="M2230" s="43"/>
      <c r="N2230" s="113" t="s">
        <v>1113</v>
      </c>
      <c r="O2230" s="113"/>
      <c r="P2230" s="113"/>
      <c r="Q2230" s="319"/>
      <c r="R2230" s="319"/>
      <c r="S2230" s="319"/>
      <c r="T2230" s="319"/>
      <c r="U2230" s="319"/>
      <c r="V2230" s="319"/>
      <c r="W2230" s="319"/>
      <c r="X2230" s="319"/>
      <c r="Y2230" s="113"/>
      <c r="Z2230" s="113"/>
      <c r="AA2230" s="319"/>
      <c r="AB2230" s="319"/>
      <c r="AC2230" s="319"/>
      <c r="AD2230" s="319"/>
      <c r="AE2230" s="319"/>
      <c r="AF2230" s="319"/>
      <c r="AG2230" s="319"/>
      <c r="AH2230" s="319"/>
      <c r="AI2230" s="319"/>
      <c r="AJ2230" s="319"/>
      <c r="AK2230" s="319" t="s">
        <v>1113</v>
      </c>
      <c r="AL2230" s="319"/>
      <c r="AM2230" s="319"/>
      <c r="AN2230" s="319"/>
      <c r="AO2230" s="44" t="s">
        <v>2334</v>
      </c>
      <c r="AP2230" s="44"/>
      <c r="AQ2230" s="236" t="str">
        <f>VLOOKUP(Table8[[#This Row],[Instrument]],Def_Targets!$D$73:$E$159,2,FALSE)</f>
        <v>I_Altfuels</v>
      </c>
      <c r="AR2230" s="233" t="str">
        <f>VLOOKUP(Table8[[#This Row],[Country Code]],Table29[],3,FALSE)</f>
        <v>Annex I</v>
      </c>
      <c r="AS2230" s="233" t="str">
        <f>VLOOKUP(Table8[[#This Row],[Country Code]],Table29[],4,FALSE)</f>
        <v>Asia</v>
      </c>
      <c r="AT2230" s="233" t="str">
        <f>VLOOKUP(Table8[[#This Row],[Country Code]],Table29[],5,FALSE)</f>
        <v>Middle-income</v>
      </c>
      <c r="AU2230" s="233" t="str">
        <f>VLOOKUP(Table8[[#This Row],[Country Code]],Table29[],6,FALSE)</f>
        <v>G20</v>
      </c>
      <c r="AV2230" s="233" t="str">
        <f>VLOOKUP(Table8[[#This Row],[Country Code]],Table29[],7,FALSE)</f>
        <v>no</v>
      </c>
      <c r="AW2230" s="233" t="str">
        <f>VLOOKUP(Table8[[#This Row],[Country Code]],Table29[],8,FALSE)</f>
        <v>OECD</v>
      </c>
      <c r="AX2230" s="233" t="str">
        <f>VLOOKUP(Table8[[#This Row],[Country Code]],Table29[],9,FALSE)</f>
        <v>no</v>
      </c>
      <c r="AY2230" s="233" t="str">
        <f>VLOOKUP(Table8[[#This Row],[Country Code]],Table29[],10,FALSE)</f>
        <v>no</v>
      </c>
      <c r="AZ2230" s="235">
        <f>VLOOKUP(Table8[[#This Row],[Country Code]],Table29[],23,FALSE)</f>
        <v>606.42985584790995</v>
      </c>
      <c r="BA2230" s="235">
        <f>VLOOKUP(Table8[[#This Row],[Country Code]],Table29[],24,FALSE)</f>
        <v>95.92080354160332</v>
      </c>
      <c r="BB2230" s="320"/>
      <c r="BC2230" s="320"/>
    </row>
    <row r="2231" spans="1:55" ht="30" hidden="1" x14ac:dyDescent="0.25">
      <c r="A2231" s="373">
        <v>17766</v>
      </c>
      <c r="B2231" s="233" t="str">
        <f>VLOOKUP(Table8[[#This Row],[Document ID]],Table1[],2,FALSE)</f>
        <v>TUR</v>
      </c>
      <c r="C2231" s="233" t="str">
        <f>VLOOKUP(Table8[[#This Row],[Document ID]],Table1[],3,FALSE)</f>
        <v>Türkiye</v>
      </c>
      <c r="D2231" s="243" t="str">
        <f>VLOOKUP(Table8[[#This Row],[Document ID]],Table1[],5,FALSE)</f>
        <v>NDC</v>
      </c>
      <c r="E2231" s="233" t="str">
        <f>VLOOKUP(Table8[[#This Row],[Document ID]],Table1[],7,FALSE)</f>
        <v>First NDC</v>
      </c>
      <c r="F2231" s="236" t="str">
        <f>VLOOKUP(Table8[[#This Row],[Document ID]],Table1[],8,FALSE)</f>
        <v>NDC 1.0</v>
      </c>
      <c r="G2231" s="236" t="str">
        <f>VLOOKUP(Table8[[#This Row],[Document ID]],Table1[],10,FALSE)</f>
        <v>Archived</v>
      </c>
      <c r="H2231" s="43" t="s">
        <v>2343</v>
      </c>
      <c r="I2231" s="43" t="s">
        <v>2429</v>
      </c>
      <c r="J2231" s="44" t="s">
        <v>2430</v>
      </c>
      <c r="K2231" s="44" t="s">
        <v>4372</v>
      </c>
      <c r="L2231" s="44" t="s">
        <v>2333</v>
      </c>
      <c r="M2231" s="43"/>
      <c r="N2231" s="113"/>
      <c r="O2231" s="113"/>
      <c r="P2231" s="113"/>
      <c r="Q2231" s="319"/>
      <c r="R2231" s="319"/>
      <c r="S2231" s="319" t="s">
        <v>1113</v>
      </c>
      <c r="T2231" s="319"/>
      <c r="U2231" s="319"/>
      <c r="V2231" s="319"/>
      <c r="W2231" s="319"/>
      <c r="X2231" s="319"/>
      <c r="Y2231" s="319"/>
      <c r="Z2231" s="319"/>
      <c r="AA2231" s="319"/>
      <c r="AB2231" s="319"/>
      <c r="AC2231" s="319"/>
      <c r="AD2231" s="319"/>
      <c r="AE2231" s="319"/>
      <c r="AF2231" s="319"/>
      <c r="AG2231" s="319"/>
      <c r="AH2231" s="319"/>
      <c r="AI2231" s="319"/>
      <c r="AJ2231" s="319"/>
      <c r="AK2231" s="319" t="s">
        <v>1113</v>
      </c>
      <c r="AL2231" s="319"/>
      <c r="AM2231" s="319"/>
      <c r="AN2231" s="319"/>
      <c r="AO2231" s="44" t="s">
        <v>2334</v>
      </c>
      <c r="AP2231" s="44"/>
      <c r="AQ2231" s="236" t="str">
        <f>VLOOKUP(Table8[[#This Row],[Instrument]],Def_Targets!$D$73:$E$159,2,FALSE)</f>
        <v>I_ITS</v>
      </c>
      <c r="AR2231" s="233" t="str">
        <f>VLOOKUP(Table8[[#This Row],[Country Code]],Table29[],3,FALSE)</f>
        <v>Annex I</v>
      </c>
      <c r="AS2231" s="233" t="str">
        <f>VLOOKUP(Table8[[#This Row],[Country Code]],Table29[],4,FALSE)</f>
        <v>Asia</v>
      </c>
      <c r="AT2231" s="233" t="str">
        <f>VLOOKUP(Table8[[#This Row],[Country Code]],Table29[],5,FALSE)</f>
        <v>Middle-income</v>
      </c>
      <c r="AU2231" s="233" t="str">
        <f>VLOOKUP(Table8[[#This Row],[Country Code]],Table29[],6,FALSE)</f>
        <v>G20</v>
      </c>
      <c r="AV2231" s="233" t="str">
        <f>VLOOKUP(Table8[[#This Row],[Country Code]],Table29[],7,FALSE)</f>
        <v>no</v>
      </c>
      <c r="AW2231" s="233" t="str">
        <f>VLOOKUP(Table8[[#This Row],[Country Code]],Table29[],8,FALSE)</f>
        <v>OECD</v>
      </c>
      <c r="AX2231" s="233" t="str">
        <f>VLOOKUP(Table8[[#This Row],[Country Code]],Table29[],9,FALSE)</f>
        <v>no</v>
      </c>
      <c r="AY2231" s="233" t="str">
        <f>VLOOKUP(Table8[[#This Row],[Country Code]],Table29[],10,FALSE)</f>
        <v>no</v>
      </c>
      <c r="AZ2231" s="235">
        <f>VLOOKUP(Table8[[#This Row],[Country Code]],Table29[],23,FALSE)</f>
        <v>606.42985584790995</v>
      </c>
      <c r="BA2231" s="235">
        <f>VLOOKUP(Table8[[#This Row],[Country Code]],Table29[],24,FALSE)</f>
        <v>95.92080354160332</v>
      </c>
      <c r="BB2231" s="320"/>
      <c r="BC2231" s="320"/>
    </row>
    <row r="2232" spans="1:55" hidden="1" x14ac:dyDescent="0.25">
      <c r="A2232" s="373">
        <v>17766</v>
      </c>
      <c r="B2232" s="233" t="str">
        <f>VLOOKUP(Table8[[#This Row],[Document ID]],Table1[],2,FALSE)</f>
        <v>TUR</v>
      </c>
      <c r="C2232" s="233" t="str">
        <f>VLOOKUP(Table8[[#This Row],[Document ID]],Table1[],3,FALSE)</f>
        <v>Türkiye</v>
      </c>
      <c r="D2232" s="243" t="str">
        <f>VLOOKUP(Table8[[#This Row],[Document ID]],Table1[],5,FALSE)</f>
        <v>NDC</v>
      </c>
      <c r="E2232" s="233" t="str">
        <f>VLOOKUP(Table8[[#This Row],[Document ID]],Table1[],7,FALSE)</f>
        <v>First NDC</v>
      </c>
      <c r="F2232" s="236" t="str">
        <f>VLOOKUP(Table8[[#This Row],[Document ID]],Table1[],8,FALSE)</f>
        <v>NDC 1.0</v>
      </c>
      <c r="G2232" s="236" t="str">
        <f>VLOOKUP(Table8[[#This Row],[Document ID]],Table1[],10,FALSE)</f>
        <v>Archived</v>
      </c>
      <c r="H2232" s="43" t="s">
        <v>2343</v>
      </c>
      <c r="I2232" s="43" t="s">
        <v>2386</v>
      </c>
      <c r="J2232" s="44" t="s">
        <v>2412</v>
      </c>
      <c r="K2232" s="44" t="s">
        <v>4373</v>
      </c>
      <c r="L2232" s="44" t="s">
        <v>2396</v>
      </c>
      <c r="M2232" s="43"/>
      <c r="N2232" s="113"/>
      <c r="O2232" s="113"/>
      <c r="P2232" s="113"/>
      <c r="Q2232" s="319"/>
      <c r="R2232" s="319"/>
      <c r="S2232" s="319"/>
      <c r="T2232" s="319"/>
      <c r="U2232" s="319"/>
      <c r="V2232" s="319"/>
      <c r="W2232" s="319"/>
      <c r="X2232" s="319"/>
      <c r="Y2232" s="319"/>
      <c r="Z2232" s="319"/>
      <c r="AA2232" s="319"/>
      <c r="AB2232" s="319"/>
      <c r="AC2232" s="319"/>
      <c r="AD2232" s="319" t="s">
        <v>1113</v>
      </c>
      <c r="AE2232" s="319"/>
      <c r="AF2232" s="319"/>
      <c r="AG2232" s="319"/>
      <c r="AH2232" s="319"/>
      <c r="AI2232" s="319"/>
      <c r="AJ2232" s="319"/>
      <c r="AK2232" s="319" t="s">
        <v>1113</v>
      </c>
      <c r="AL2232" s="319"/>
      <c r="AM2232" s="319"/>
      <c r="AN2232" s="319"/>
      <c r="AO2232" s="44" t="s">
        <v>2334</v>
      </c>
      <c r="AP2232" s="44"/>
      <c r="AQ2232" s="236" t="str">
        <f>VLOOKUP(Table8[[#This Row],[Instrument]],Def_Targets!$D$73:$E$159,2,FALSE)</f>
        <v>A_Economic</v>
      </c>
      <c r="AR2232" s="233" t="str">
        <f>VLOOKUP(Table8[[#This Row],[Country Code]],Table29[],3,FALSE)</f>
        <v>Annex I</v>
      </c>
      <c r="AS2232" s="233" t="str">
        <f>VLOOKUP(Table8[[#This Row],[Country Code]],Table29[],4,FALSE)</f>
        <v>Asia</v>
      </c>
      <c r="AT2232" s="233" t="str">
        <f>VLOOKUP(Table8[[#This Row],[Country Code]],Table29[],5,FALSE)</f>
        <v>Middle-income</v>
      </c>
      <c r="AU2232" s="233" t="str">
        <f>VLOOKUP(Table8[[#This Row],[Country Code]],Table29[],6,FALSE)</f>
        <v>G20</v>
      </c>
      <c r="AV2232" s="233" t="str">
        <f>VLOOKUP(Table8[[#This Row],[Country Code]],Table29[],7,FALSE)</f>
        <v>no</v>
      </c>
      <c r="AW2232" s="233" t="str">
        <f>VLOOKUP(Table8[[#This Row],[Country Code]],Table29[],8,FALSE)</f>
        <v>OECD</v>
      </c>
      <c r="AX2232" s="233" t="str">
        <f>VLOOKUP(Table8[[#This Row],[Country Code]],Table29[],9,FALSE)</f>
        <v>no</v>
      </c>
      <c r="AY2232" s="233" t="str">
        <f>VLOOKUP(Table8[[#This Row],[Country Code]],Table29[],10,FALSE)</f>
        <v>no</v>
      </c>
      <c r="AZ2232" s="235">
        <f>VLOOKUP(Table8[[#This Row],[Country Code]],Table29[],23,FALSE)</f>
        <v>606.42985584790995</v>
      </c>
      <c r="BA2232" s="235">
        <f>VLOOKUP(Table8[[#This Row],[Country Code]],Table29[],24,FALSE)</f>
        <v>95.92080354160332</v>
      </c>
      <c r="BB2232" s="320"/>
      <c r="BC2232" s="320"/>
    </row>
    <row r="2233" spans="1:55" hidden="1" x14ac:dyDescent="0.25">
      <c r="A2233" s="373">
        <v>17766</v>
      </c>
      <c r="B2233" s="233" t="str">
        <f>VLOOKUP(Table8[[#This Row],[Document ID]],Table1[],2,FALSE)</f>
        <v>TUR</v>
      </c>
      <c r="C2233" s="233" t="str">
        <f>VLOOKUP(Table8[[#This Row],[Document ID]],Table1[],3,FALSE)</f>
        <v>Türkiye</v>
      </c>
      <c r="D2233" s="243" t="str">
        <f>VLOOKUP(Table8[[#This Row],[Document ID]],Table1[],5,FALSE)</f>
        <v>NDC</v>
      </c>
      <c r="E2233" s="233" t="str">
        <f>VLOOKUP(Table8[[#This Row],[Document ID]],Table1[],7,FALSE)</f>
        <v>First NDC</v>
      </c>
      <c r="F2233" s="236" t="str">
        <f>VLOOKUP(Table8[[#This Row],[Document ID]],Table1[],8,FALSE)</f>
        <v>NDC 1.0</v>
      </c>
      <c r="G2233" s="236" t="str">
        <f>VLOOKUP(Table8[[#This Row],[Document ID]],Table1[],10,FALSE)</f>
        <v>Archived</v>
      </c>
      <c r="H2233" s="43" t="s">
        <v>2484</v>
      </c>
      <c r="I2233" s="43" t="s">
        <v>2485</v>
      </c>
      <c r="J2233" s="44" t="s">
        <v>2486</v>
      </c>
      <c r="K2233" s="44" t="s">
        <v>4374</v>
      </c>
      <c r="L2233" s="44" t="s">
        <v>2333</v>
      </c>
      <c r="M2233" s="43"/>
      <c r="N2233" s="113"/>
      <c r="O2233" s="113"/>
      <c r="P2233" s="113"/>
      <c r="Q2233" s="319"/>
      <c r="R2233" s="319"/>
      <c r="S2233" s="319"/>
      <c r="T2233" s="319"/>
      <c r="U2233" s="319"/>
      <c r="V2233" s="319"/>
      <c r="W2233" s="319"/>
      <c r="X2233" s="319"/>
      <c r="Y2233" s="113"/>
      <c r="Z2233" s="113"/>
      <c r="AA2233" s="319"/>
      <c r="AB2233" s="319"/>
      <c r="AC2233" s="319"/>
      <c r="AD2233" s="319" t="s">
        <v>1113</v>
      </c>
      <c r="AE2233" s="319"/>
      <c r="AF2233" s="319"/>
      <c r="AG2233" s="319"/>
      <c r="AH2233" s="319"/>
      <c r="AI2233" s="319"/>
      <c r="AJ2233" s="319"/>
      <c r="AK2233" s="319" t="s">
        <v>1113</v>
      </c>
      <c r="AL2233" s="319"/>
      <c r="AM2233" s="319"/>
      <c r="AN2233" s="319"/>
      <c r="AO2233" s="44" t="s">
        <v>2334</v>
      </c>
      <c r="AP2233" s="44"/>
      <c r="AQ2233" s="236" t="str">
        <f>VLOOKUP(Table8[[#This Row],[Instrument]],Def_Targets!$D$73:$E$159,2,FALSE)</f>
        <v>I_Shipping</v>
      </c>
      <c r="AR2233" s="233" t="str">
        <f>VLOOKUP(Table8[[#This Row],[Country Code]],Table29[],3,FALSE)</f>
        <v>Annex I</v>
      </c>
      <c r="AS2233" s="233" t="str">
        <f>VLOOKUP(Table8[[#This Row],[Country Code]],Table29[],4,FALSE)</f>
        <v>Asia</v>
      </c>
      <c r="AT2233" s="233" t="str">
        <f>VLOOKUP(Table8[[#This Row],[Country Code]],Table29[],5,FALSE)</f>
        <v>Middle-income</v>
      </c>
      <c r="AU2233" s="233" t="str">
        <f>VLOOKUP(Table8[[#This Row],[Country Code]],Table29[],6,FALSE)</f>
        <v>G20</v>
      </c>
      <c r="AV2233" s="233" t="str">
        <f>VLOOKUP(Table8[[#This Row],[Country Code]],Table29[],7,FALSE)</f>
        <v>no</v>
      </c>
      <c r="AW2233" s="233" t="str">
        <f>VLOOKUP(Table8[[#This Row],[Country Code]],Table29[],8,FALSE)</f>
        <v>OECD</v>
      </c>
      <c r="AX2233" s="233" t="str">
        <f>VLOOKUP(Table8[[#This Row],[Country Code]],Table29[],9,FALSE)</f>
        <v>no</v>
      </c>
      <c r="AY2233" s="233" t="str">
        <f>VLOOKUP(Table8[[#This Row],[Country Code]],Table29[],10,FALSE)</f>
        <v>no</v>
      </c>
      <c r="AZ2233" s="235">
        <f>VLOOKUP(Table8[[#This Row],[Country Code]],Table29[],23,FALSE)</f>
        <v>606.42985584790995</v>
      </c>
      <c r="BA2233" s="235">
        <f>VLOOKUP(Table8[[#This Row],[Country Code]],Table29[],24,FALSE)</f>
        <v>95.92080354160332</v>
      </c>
      <c r="BB2233" s="320"/>
      <c r="BC2233" s="320"/>
    </row>
    <row r="2234" spans="1:55" hidden="1" x14ac:dyDescent="0.25">
      <c r="A2234" s="373">
        <v>17766</v>
      </c>
      <c r="B2234" s="233" t="str">
        <f>VLOOKUP(Table8[[#This Row],[Document ID]],Table1[],2,FALSE)</f>
        <v>TUR</v>
      </c>
      <c r="C2234" s="233" t="str">
        <f>VLOOKUP(Table8[[#This Row],[Document ID]],Table1[],3,FALSE)</f>
        <v>Türkiye</v>
      </c>
      <c r="D2234" s="243" t="str">
        <f>VLOOKUP(Table8[[#This Row],[Document ID]],Table1[],5,FALSE)</f>
        <v>NDC</v>
      </c>
      <c r="E2234" s="233" t="str">
        <f>VLOOKUP(Table8[[#This Row],[Document ID]],Table1[],7,FALSE)</f>
        <v>First NDC</v>
      </c>
      <c r="F2234" s="236" t="str">
        <f>VLOOKUP(Table8[[#This Row],[Document ID]],Table1[],8,FALSE)</f>
        <v>NDC 1.0</v>
      </c>
      <c r="G2234" s="236" t="str">
        <f>VLOOKUP(Table8[[#This Row],[Document ID]],Table1[],10,FALSE)</f>
        <v>Archived</v>
      </c>
      <c r="H2234" s="43" t="s">
        <v>2484</v>
      </c>
      <c r="I2234" s="43" t="s">
        <v>2488</v>
      </c>
      <c r="J2234" s="44" t="s">
        <v>2489</v>
      </c>
      <c r="K2234" s="44" t="s">
        <v>4374</v>
      </c>
      <c r="L2234" s="44" t="s">
        <v>2333</v>
      </c>
      <c r="M2234" s="43"/>
      <c r="N2234" s="113"/>
      <c r="O2234" s="113"/>
      <c r="P2234" s="113"/>
      <c r="Q2234" s="319"/>
      <c r="R2234" s="319"/>
      <c r="S2234" s="319"/>
      <c r="T2234" s="319"/>
      <c r="U2234" s="319"/>
      <c r="V2234" s="319"/>
      <c r="W2234" s="319"/>
      <c r="X2234" s="319"/>
      <c r="Y2234" s="319"/>
      <c r="Z2234" s="319"/>
      <c r="AA2234" s="319"/>
      <c r="AB2234" s="319"/>
      <c r="AC2234" s="319"/>
      <c r="AD2234" s="319"/>
      <c r="AE2234" s="319"/>
      <c r="AF2234" s="319"/>
      <c r="AG2234" s="319"/>
      <c r="AH2234" s="319" t="s">
        <v>1113</v>
      </c>
      <c r="AI2234" s="319"/>
      <c r="AJ2234" s="319"/>
      <c r="AK2234" s="319" t="s">
        <v>1113</v>
      </c>
      <c r="AL2234" s="319"/>
      <c r="AM2234" s="319"/>
      <c r="AN2234" s="319"/>
      <c r="AO2234" s="44" t="s">
        <v>2334</v>
      </c>
      <c r="AP2234" s="44"/>
      <c r="AQ2234" s="236" t="str">
        <f>VLOOKUP(Table8[[#This Row],[Instrument]],Def_Targets!$D$73:$E$159,2,FALSE)</f>
        <v>I_Aviation</v>
      </c>
      <c r="AR2234" s="233" t="str">
        <f>VLOOKUP(Table8[[#This Row],[Country Code]],Table29[],3,FALSE)</f>
        <v>Annex I</v>
      </c>
      <c r="AS2234" s="233" t="str">
        <f>VLOOKUP(Table8[[#This Row],[Country Code]],Table29[],4,FALSE)</f>
        <v>Asia</v>
      </c>
      <c r="AT2234" s="233" t="str">
        <f>VLOOKUP(Table8[[#This Row],[Country Code]],Table29[],5,FALSE)</f>
        <v>Middle-income</v>
      </c>
      <c r="AU2234" s="233" t="str">
        <f>VLOOKUP(Table8[[#This Row],[Country Code]],Table29[],6,FALSE)</f>
        <v>G20</v>
      </c>
      <c r="AV2234" s="233" t="str">
        <f>VLOOKUP(Table8[[#This Row],[Country Code]],Table29[],7,FALSE)</f>
        <v>no</v>
      </c>
      <c r="AW2234" s="233" t="str">
        <f>VLOOKUP(Table8[[#This Row],[Country Code]],Table29[],8,FALSE)</f>
        <v>OECD</v>
      </c>
      <c r="AX2234" s="233" t="str">
        <f>VLOOKUP(Table8[[#This Row],[Country Code]],Table29[],9,FALSE)</f>
        <v>no</v>
      </c>
      <c r="AY2234" s="233" t="str">
        <f>VLOOKUP(Table8[[#This Row],[Country Code]],Table29[],10,FALSE)</f>
        <v>no</v>
      </c>
      <c r="AZ2234" s="235">
        <f>VLOOKUP(Table8[[#This Row],[Country Code]],Table29[],23,FALSE)</f>
        <v>606.42985584790995</v>
      </c>
      <c r="BA2234" s="235">
        <f>VLOOKUP(Table8[[#This Row],[Country Code]],Table29[],24,FALSE)</f>
        <v>95.92080354160332</v>
      </c>
      <c r="BB2234" s="320"/>
      <c r="BC2234" s="320"/>
    </row>
    <row r="2235" spans="1:55" hidden="1" x14ac:dyDescent="0.25">
      <c r="A2235" s="373">
        <v>17766</v>
      </c>
      <c r="B2235" s="233" t="str">
        <f>VLOOKUP(Table8[[#This Row],[Document ID]],Table1[],2,FALSE)</f>
        <v>TUR</v>
      </c>
      <c r="C2235" s="233" t="str">
        <f>VLOOKUP(Table8[[#This Row],[Document ID]],Table1[],3,FALSE)</f>
        <v>Türkiye</v>
      </c>
      <c r="D2235" s="243" t="str">
        <f>VLOOKUP(Table8[[#This Row],[Document ID]],Table1[],5,FALSE)</f>
        <v>NDC</v>
      </c>
      <c r="E2235" s="233" t="str">
        <f>VLOOKUP(Table8[[#This Row],[Document ID]],Table1[],7,FALSE)</f>
        <v>First NDC</v>
      </c>
      <c r="F2235" s="236" t="str">
        <f>VLOOKUP(Table8[[#This Row],[Document ID]],Table1[],8,FALSE)</f>
        <v>NDC 1.0</v>
      </c>
      <c r="G2235" s="236" t="str">
        <f>VLOOKUP(Table8[[#This Row],[Document ID]],Table1[],10,FALSE)</f>
        <v>Archived</v>
      </c>
      <c r="H2235" s="43" t="s">
        <v>2350</v>
      </c>
      <c r="I2235" s="43" t="s">
        <v>2456</v>
      </c>
      <c r="J2235" s="44" t="s">
        <v>2457</v>
      </c>
      <c r="K2235" s="44" t="s">
        <v>4375</v>
      </c>
      <c r="L2235" s="44" t="s">
        <v>2333</v>
      </c>
      <c r="M2235" s="43"/>
      <c r="N2235" s="113"/>
      <c r="O2235" s="113"/>
      <c r="P2235" s="113"/>
      <c r="Q2235" s="319"/>
      <c r="R2235" s="319"/>
      <c r="S2235" s="319" t="s">
        <v>1113</v>
      </c>
      <c r="T2235" s="319"/>
      <c r="U2235" s="319"/>
      <c r="V2235" s="319"/>
      <c r="W2235" s="319"/>
      <c r="X2235" s="319"/>
      <c r="Y2235" s="113"/>
      <c r="Z2235" s="113"/>
      <c r="AA2235" s="319"/>
      <c r="AB2235" s="319"/>
      <c r="AC2235" s="319"/>
      <c r="AD2235" s="319"/>
      <c r="AE2235" s="319"/>
      <c r="AF2235" s="319"/>
      <c r="AG2235" s="319"/>
      <c r="AH2235" s="319"/>
      <c r="AI2235" s="319"/>
      <c r="AJ2235" s="319"/>
      <c r="AK2235" s="319" t="s">
        <v>1113</v>
      </c>
      <c r="AL2235" s="319"/>
      <c r="AM2235" s="319"/>
      <c r="AN2235" s="319"/>
      <c r="AO2235" s="44" t="s">
        <v>2334</v>
      </c>
      <c r="AP2235" s="44"/>
      <c r="AQ2235" s="236" t="str">
        <f>VLOOKUP(Table8[[#This Row],[Instrument]],Def_Targets!$D$73:$E$159,2,FALSE)</f>
        <v>S_Infraimprove</v>
      </c>
      <c r="AR2235" s="233" t="str">
        <f>VLOOKUP(Table8[[#This Row],[Country Code]],Table29[],3,FALSE)</f>
        <v>Annex I</v>
      </c>
      <c r="AS2235" s="233" t="str">
        <f>VLOOKUP(Table8[[#This Row],[Country Code]],Table29[],4,FALSE)</f>
        <v>Asia</v>
      </c>
      <c r="AT2235" s="233" t="str">
        <f>VLOOKUP(Table8[[#This Row],[Country Code]],Table29[],5,FALSE)</f>
        <v>Middle-income</v>
      </c>
      <c r="AU2235" s="233" t="str">
        <f>VLOOKUP(Table8[[#This Row],[Country Code]],Table29[],6,FALSE)</f>
        <v>G20</v>
      </c>
      <c r="AV2235" s="233" t="str">
        <f>VLOOKUP(Table8[[#This Row],[Country Code]],Table29[],7,FALSE)</f>
        <v>no</v>
      </c>
      <c r="AW2235" s="233" t="str">
        <f>VLOOKUP(Table8[[#This Row],[Country Code]],Table29[],8,FALSE)</f>
        <v>OECD</v>
      </c>
      <c r="AX2235" s="233" t="str">
        <f>VLOOKUP(Table8[[#This Row],[Country Code]],Table29[],9,FALSE)</f>
        <v>no</v>
      </c>
      <c r="AY2235" s="233" t="str">
        <f>VLOOKUP(Table8[[#This Row],[Country Code]],Table29[],10,FALSE)</f>
        <v>no</v>
      </c>
      <c r="AZ2235" s="235">
        <f>VLOOKUP(Table8[[#This Row],[Country Code]],Table29[],23,FALSE)</f>
        <v>606.42985584790995</v>
      </c>
      <c r="BA2235" s="235">
        <f>VLOOKUP(Table8[[#This Row],[Country Code]],Table29[],24,FALSE)</f>
        <v>95.92080354160332</v>
      </c>
      <c r="BB2235" s="320"/>
      <c r="BC2235" s="320"/>
    </row>
    <row r="2236" spans="1:55" hidden="1" x14ac:dyDescent="0.25">
      <c r="A2236" s="373">
        <v>17766</v>
      </c>
      <c r="B2236" s="233" t="str">
        <f>VLOOKUP(Table8[[#This Row],[Document ID]],Table1[],2,FALSE)</f>
        <v>TUR</v>
      </c>
      <c r="C2236" s="233" t="str">
        <f>VLOOKUP(Table8[[#This Row],[Document ID]],Table1[],3,FALSE)</f>
        <v>Türkiye</v>
      </c>
      <c r="D2236" s="243" t="str">
        <f>VLOOKUP(Table8[[#This Row],[Document ID]],Table1[],5,FALSE)</f>
        <v>NDC</v>
      </c>
      <c r="E2236" s="233" t="str">
        <f>VLOOKUP(Table8[[#This Row],[Document ID]],Table1[],7,FALSE)</f>
        <v>First NDC</v>
      </c>
      <c r="F2236" s="236" t="str">
        <f>VLOOKUP(Table8[[#This Row],[Document ID]],Table1[],8,FALSE)</f>
        <v>NDC 1.0</v>
      </c>
      <c r="G2236" s="236" t="str">
        <f>VLOOKUP(Table8[[#This Row],[Document ID]],Table1[],10,FALSE)</f>
        <v>Archived</v>
      </c>
      <c r="H2236" s="43" t="s">
        <v>2343</v>
      </c>
      <c r="I2236" s="43" t="s">
        <v>2344</v>
      </c>
      <c r="J2236" s="44" t="s">
        <v>2405</v>
      </c>
      <c r="K2236" s="44" t="s">
        <v>4376</v>
      </c>
      <c r="L2236" s="44" t="s">
        <v>2347</v>
      </c>
      <c r="M2236" s="43"/>
      <c r="N2236" s="113"/>
      <c r="O2236" s="113"/>
      <c r="P2236" s="113"/>
      <c r="Q2236" s="319"/>
      <c r="R2236" s="319"/>
      <c r="S2236" s="319"/>
      <c r="T2236" s="319"/>
      <c r="U2236" s="319"/>
      <c r="V2236" s="319"/>
      <c r="W2236" s="319"/>
      <c r="X2236" s="319"/>
      <c r="Y2236" s="319"/>
      <c r="Z2236" s="319" t="s">
        <v>1113</v>
      </c>
      <c r="AA2236" s="319"/>
      <c r="AB2236" s="319"/>
      <c r="AC2236" s="319"/>
      <c r="AD2236" s="319"/>
      <c r="AE2236" s="319"/>
      <c r="AF2236" s="319"/>
      <c r="AG2236" s="319"/>
      <c r="AH2236" s="319"/>
      <c r="AI2236" s="319"/>
      <c r="AJ2236" s="319"/>
      <c r="AK2236" s="319"/>
      <c r="AL2236" s="319" t="s">
        <v>1113</v>
      </c>
      <c r="AM2236" s="319"/>
      <c r="AN2236" s="319"/>
      <c r="AO2236" s="44" t="s">
        <v>2334</v>
      </c>
      <c r="AP2236" s="44"/>
      <c r="AQ2236" s="236" t="str">
        <f>VLOOKUP(Table8[[#This Row],[Instrument]],Def_Targets!$D$73:$E$159,2,FALSE)</f>
        <v>S_PTIntegration</v>
      </c>
      <c r="AR2236" s="233" t="str">
        <f>VLOOKUP(Table8[[#This Row],[Country Code]],Table29[],3,FALSE)</f>
        <v>Annex I</v>
      </c>
      <c r="AS2236" s="233" t="str">
        <f>VLOOKUP(Table8[[#This Row],[Country Code]],Table29[],4,FALSE)</f>
        <v>Asia</v>
      </c>
      <c r="AT2236" s="233" t="str">
        <f>VLOOKUP(Table8[[#This Row],[Country Code]],Table29[],5,FALSE)</f>
        <v>Middle-income</v>
      </c>
      <c r="AU2236" s="233" t="str">
        <f>VLOOKUP(Table8[[#This Row],[Country Code]],Table29[],6,FALSE)</f>
        <v>G20</v>
      </c>
      <c r="AV2236" s="233" t="str">
        <f>VLOOKUP(Table8[[#This Row],[Country Code]],Table29[],7,FALSE)</f>
        <v>no</v>
      </c>
      <c r="AW2236" s="233" t="str">
        <f>VLOOKUP(Table8[[#This Row],[Country Code]],Table29[],8,FALSE)</f>
        <v>OECD</v>
      </c>
      <c r="AX2236" s="233" t="str">
        <f>VLOOKUP(Table8[[#This Row],[Country Code]],Table29[],9,FALSE)</f>
        <v>no</v>
      </c>
      <c r="AY2236" s="233" t="str">
        <f>VLOOKUP(Table8[[#This Row],[Country Code]],Table29[],10,FALSE)</f>
        <v>no</v>
      </c>
      <c r="AZ2236" s="235">
        <f>VLOOKUP(Table8[[#This Row],[Country Code]],Table29[],23,FALSE)</f>
        <v>606.42985584790995</v>
      </c>
      <c r="BA2236" s="235">
        <f>VLOOKUP(Table8[[#This Row],[Country Code]],Table29[],24,FALSE)</f>
        <v>95.92080354160332</v>
      </c>
      <c r="BB2236" s="320"/>
      <c r="BC2236" s="320"/>
    </row>
    <row r="2237" spans="1:55" hidden="1" x14ac:dyDescent="0.25">
      <c r="A2237" s="373">
        <v>17766</v>
      </c>
      <c r="B2237" s="233" t="str">
        <f>VLOOKUP(Table8[[#This Row],[Document ID]],Table1[],2,FALSE)</f>
        <v>TUR</v>
      </c>
      <c r="C2237" s="233" t="str">
        <f>VLOOKUP(Table8[[#This Row],[Document ID]],Table1[],3,FALSE)</f>
        <v>Türkiye</v>
      </c>
      <c r="D2237" s="243" t="str">
        <f>VLOOKUP(Table8[[#This Row],[Document ID]],Table1[],5,FALSE)</f>
        <v>NDC</v>
      </c>
      <c r="E2237" s="233" t="str">
        <f>VLOOKUP(Table8[[#This Row],[Document ID]],Table1[],7,FALSE)</f>
        <v>First NDC</v>
      </c>
      <c r="F2237" s="236" t="str">
        <f>VLOOKUP(Table8[[#This Row],[Document ID]],Table1[],8,FALSE)</f>
        <v>NDC 1.0</v>
      </c>
      <c r="G2237" s="236" t="str">
        <f>VLOOKUP(Table8[[#This Row],[Document ID]],Table1[],10,FALSE)</f>
        <v>Archived</v>
      </c>
      <c r="H2237" s="43" t="s">
        <v>2350</v>
      </c>
      <c r="I2237" s="43" t="s">
        <v>2456</v>
      </c>
      <c r="J2237" s="44" t="s">
        <v>2466</v>
      </c>
      <c r="K2237" s="44" t="s">
        <v>4377</v>
      </c>
      <c r="L2237" s="44" t="s">
        <v>2347</v>
      </c>
      <c r="M2237" s="43"/>
      <c r="N2237" s="113"/>
      <c r="O2237" s="113"/>
      <c r="P2237" s="113"/>
      <c r="Q2237" s="319"/>
      <c r="R2237" s="319"/>
      <c r="S2237" s="319"/>
      <c r="T2237" s="319"/>
      <c r="U2237" s="319"/>
      <c r="V2237" s="319"/>
      <c r="W2237" s="319"/>
      <c r="X2237" s="319"/>
      <c r="Y2237" s="113"/>
      <c r="Z2237" s="113"/>
      <c r="AA2237" s="319"/>
      <c r="AB2237" s="319" t="s">
        <v>1113</v>
      </c>
      <c r="AC2237" s="319"/>
      <c r="AD2237" s="319"/>
      <c r="AE2237" s="319"/>
      <c r="AF2237" s="319"/>
      <c r="AG2237" s="319"/>
      <c r="AH2237" s="319"/>
      <c r="AI2237" s="319"/>
      <c r="AJ2237" s="319"/>
      <c r="AK2237" s="319" t="s">
        <v>1113</v>
      </c>
      <c r="AL2237" s="319"/>
      <c r="AM2237" s="319"/>
      <c r="AN2237" s="319"/>
      <c r="AO2237" s="43" t="s">
        <v>2348</v>
      </c>
      <c r="AP2237" s="44"/>
      <c r="AQ2237" s="236" t="str">
        <f>VLOOKUP(Table8[[#This Row],[Instrument]],Def_Targets!$D$73:$E$159,2,FALSE)</f>
        <v>S_Infraexpansion</v>
      </c>
      <c r="AR2237" s="233" t="str">
        <f>VLOOKUP(Table8[[#This Row],[Country Code]],Table29[],3,FALSE)</f>
        <v>Annex I</v>
      </c>
      <c r="AS2237" s="233" t="str">
        <f>VLOOKUP(Table8[[#This Row],[Country Code]],Table29[],4,FALSE)</f>
        <v>Asia</v>
      </c>
      <c r="AT2237" s="233" t="str">
        <f>VLOOKUP(Table8[[#This Row],[Country Code]],Table29[],5,FALSE)</f>
        <v>Middle-income</v>
      </c>
      <c r="AU2237" s="233" t="str">
        <f>VLOOKUP(Table8[[#This Row],[Country Code]],Table29[],6,FALSE)</f>
        <v>G20</v>
      </c>
      <c r="AV2237" s="233" t="str">
        <f>VLOOKUP(Table8[[#This Row],[Country Code]],Table29[],7,FALSE)</f>
        <v>no</v>
      </c>
      <c r="AW2237" s="233" t="str">
        <f>VLOOKUP(Table8[[#This Row],[Country Code]],Table29[],8,FALSE)</f>
        <v>OECD</v>
      </c>
      <c r="AX2237" s="233" t="str">
        <f>VLOOKUP(Table8[[#This Row],[Country Code]],Table29[],9,FALSE)</f>
        <v>no</v>
      </c>
      <c r="AY2237" s="233" t="str">
        <f>VLOOKUP(Table8[[#This Row],[Country Code]],Table29[],10,FALSE)</f>
        <v>no</v>
      </c>
      <c r="AZ2237" s="235">
        <f>VLOOKUP(Table8[[#This Row],[Country Code]],Table29[],23,FALSE)</f>
        <v>606.42985584790995</v>
      </c>
      <c r="BA2237" s="235">
        <f>VLOOKUP(Table8[[#This Row],[Country Code]],Table29[],24,FALSE)</f>
        <v>95.92080354160332</v>
      </c>
      <c r="BB2237" s="320"/>
      <c r="BC2237" s="320"/>
    </row>
    <row r="2238" spans="1:55" hidden="1" x14ac:dyDescent="0.25">
      <c r="A2238" s="373">
        <v>17766</v>
      </c>
      <c r="B2238" s="233" t="str">
        <f>VLOOKUP(Table8[[#This Row],[Document ID]],Table1[],2,FALSE)</f>
        <v>TUR</v>
      </c>
      <c r="C2238" s="233" t="str">
        <f>VLOOKUP(Table8[[#This Row],[Document ID]],Table1[],3,FALSE)</f>
        <v>Türkiye</v>
      </c>
      <c r="D2238" s="243" t="str">
        <f>VLOOKUP(Table8[[#This Row],[Document ID]],Table1[],5,FALSE)</f>
        <v>NDC</v>
      </c>
      <c r="E2238" s="233" t="str">
        <f>VLOOKUP(Table8[[#This Row],[Document ID]],Table1[],7,FALSE)</f>
        <v>First NDC</v>
      </c>
      <c r="F2238" s="236" t="str">
        <f>VLOOKUP(Table8[[#This Row],[Document ID]],Table1[],8,FALSE)</f>
        <v>NDC 1.0</v>
      </c>
      <c r="G2238" s="236" t="str">
        <f>VLOOKUP(Table8[[#This Row],[Document ID]],Table1[],10,FALSE)</f>
        <v>Archived</v>
      </c>
      <c r="H2238" s="44" t="s">
        <v>2338</v>
      </c>
      <c r="I2238" s="44" t="s">
        <v>2339</v>
      </c>
      <c r="J2238" s="44" t="s">
        <v>2340</v>
      </c>
      <c r="K2238" s="44" t="s">
        <v>4378</v>
      </c>
      <c r="L2238" s="44" t="s">
        <v>2333</v>
      </c>
      <c r="M2238" s="43"/>
      <c r="N2238" s="113" t="s">
        <v>1113</v>
      </c>
      <c r="O2238" s="113"/>
      <c r="P2238" s="113"/>
      <c r="Q2238" s="319"/>
      <c r="R2238" s="319"/>
      <c r="S2238" s="319"/>
      <c r="T2238" s="319"/>
      <c r="U2238" s="319"/>
      <c r="V2238" s="319"/>
      <c r="W2238" s="319"/>
      <c r="X2238" s="319"/>
      <c r="Y2238" s="319"/>
      <c r="Z2238" s="319"/>
      <c r="AA2238" s="319"/>
      <c r="AB2238" s="319"/>
      <c r="AC2238" s="319"/>
      <c r="AD2238" s="319"/>
      <c r="AE2238" s="319"/>
      <c r="AF2238" s="319"/>
      <c r="AG2238" s="319"/>
      <c r="AH2238" s="319"/>
      <c r="AI2238" s="319"/>
      <c r="AJ2238" s="319"/>
      <c r="AK2238" s="319" t="s">
        <v>1113</v>
      </c>
      <c r="AL2238" s="319"/>
      <c r="AM2238" s="319"/>
      <c r="AN2238" s="319"/>
      <c r="AO2238" s="44" t="s">
        <v>2334</v>
      </c>
      <c r="AP2238" s="44"/>
      <c r="AQ2238" s="236" t="str">
        <f>VLOOKUP(Table8[[#This Row],[Instrument]],Def_Targets!$D$73:$E$159,2,FALSE)</f>
        <v>I_Vehicleimprove</v>
      </c>
      <c r="AR2238" s="233" t="str">
        <f>VLOOKUP(Table8[[#This Row],[Country Code]],Table29[],3,FALSE)</f>
        <v>Annex I</v>
      </c>
      <c r="AS2238" s="233" t="str">
        <f>VLOOKUP(Table8[[#This Row],[Country Code]],Table29[],4,FALSE)</f>
        <v>Asia</v>
      </c>
      <c r="AT2238" s="233" t="str">
        <f>VLOOKUP(Table8[[#This Row],[Country Code]],Table29[],5,FALSE)</f>
        <v>Middle-income</v>
      </c>
      <c r="AU2238" s="233" t="str">
        <f>VLOOKUP(Table8[[#This Row],[Country Code]],Table29[],6,FALSE)</f>
        <v>G20</v>
      </c>
      <c r="AV2238" s="233" t="str">
        <f>VLOOKUP(Table8[[#This Row],[Country Code]],Table29[],7,FALSE)</f>
        <v>no</v>
      </c>
      <c r="AW2238" s="233" t="str">
        <f>VLOOKUP(Table8[[#This Row],[Country Code]],Table29[],8,FALSE)</f>
        <v>OECD</v>
      </c>
      <c r="AX2238" s="233" t="str">
        <f>VLOOKUP(Table8[[#This Row],[Country Code]],Table29[],9,FALSE)</f>
        <v>no</v>
      </c>
      <c r="AY2238" s="233" t="str">
        <f>VLOOKUP(Table8[[#This Row],[Country Code]],Table29[],10,FALSE)</f>
        <v>no</v>
      </c>
      <c r="AZ2238" s="235">
        <f>VLOOKUP(Table8[[#This Row],[Country Code]],Table29[],23,FALSE)</f>
        <v>606.42985584790995</v>
      </c>
      <c r="BA2238" s="235">
        <f>VLOOKUP(Table8[[#This Row],[Country Code]],Table29[],24,FALSE)</f>
        <v>95.92080354160332</v>
      </c>
      <c r="BB2238" s="320"/>
      <c r="BC2238" s="320"/>
    </row>
    <row r="2239" spans="1:55" hidden="1" x14ac:dyDescent="0.25">
      <c r="A2239" s="373">
        <v>17766</v>
      </c>
      <c r="B2239" s="233" t="str">
        <f>VLOOKUP(Table8[[#This Row],[Document ID]],Table1[],2,FALSE)</f>
        <v>TUR</v>
      </c>
      <c r="C2239" s="233" t="str">
        <f>VLOOKUP(Table8[[#This Row],[Document ID]],Table1[],3,FALSE)</f>
        <v>Türkiye</v>
      </c>
      <c r="D2239" s="243" t="str">
        <f>VLOOKUP(Table8[[#This Row],[Document ID]],Table1[],5,FALSE)</f>
        <v>NDC</v>
      </c>
      <c r="E2239" s="233" t="str">
        <f>VLOOKUP(Table8[[#This Row],[Document ID]],Table1[],7,FALSE)</f>
        <v>First NDC</v>
      </c>
      <c r="F2239" s="236" t="str">
        <f>VLOOKUP(Table8[[#This Row],[Document ID]],Table1[],8,FALSE)</f>
        <v>NDC 1.0</v>
      </c>
      <c r="G2239" s="236" t="str">
        <f>VLOOKUP(Table8[[#This Row],[Document ID]],Table1[],10,FALSE)</f>
        <v>Archived</v>
      </c>
      <c r="H2239" s="44" t="s">
        <v>2338</v>
      </c>
      <c r="I2239" s="44" t="s">
        <v>2339</v>
      </c>
      <c r="J2239" s="44" t="s">
        <v>2416</v>
      </c>
      <c r="K2239" s="44" t="s">
        <v>4379</v>
      </c>
      <c r="L2239" s="44" t="s">
        <v>2333</v>
      </c>
      <c r="M2239" s="43"/>
      <c r="N2239" s="113" t="s">
        <v>1113</v>
      </c>
      <c r="O2239" s="113"/>
      <c r="P2239" s="113"/>
      <c r="Q2239" s="319"/>
      <c r="R2239" s="319"/>
      <c r="S2239" s="319"/>
      <c r="T2239" s="319"/>
      <c r="U2239" s="319"/>
      <c r="V2239" s="319"/>
      <c r="W2239" s="319"/>
      <c r="X2239" s="319"/>
      <c r="Y2239" s="113"/>
      <c r="Z2239" s="113"/>
      <c r="AA2239" s="319"/>
      <c r="AB2239" s="319"/>
      <c r="AC2239" s="319"/>
      <c r="AD2239" s="319"/>
      <c r="AE2239" s="319"/>
      <c r="AF2239" s="319"/>
      <c r="AG2239" s="319"/>
      <c r="AH2239" s="319"/>
      <c r="AI2239" s="319"/>
      <c r="AJ2239" s="319"/>
      <c r="AK2239" s="319" t="s">
        <v>1113</v>
      </c>
      <c r="AL2239" s="319"/>
      <c r="AM2239" s="319"/>
      <c r="AN2239" s="319"/>
      <c r="AO2239" s="44" t="s">
        <v>2334</v>
      </c>
      <c r="AP2239" s="44"/>
      <c r="AQ2239" s="236" t="str">
        <f>VLOOKUP(Table8[[#This Row],[Instrument]],Def_Targets!$D$73:$E$159,2,FALSE)</f>
        <v>I_Vehiclescrappage</v>
      </c>
      <c r="AR2239" s="233" t="str">
        <f>VLOOKUP(Table8[[#This Row],[Country Code]],Table29[],3,FALSE)</f>
        <v>Annex I</v>
      </c>
      <c r="AS2239" s="233" t="str">
        <f>VLOOKUP(Table8[[#This Row],[Country Code]],Table29[],4,FALSE)</f>
        <v>Asia</v>
      </c>
      <c r="AT2239" s="233" t="str">
        <f>VLOOKUP(Table8[[#This Row],[Country Code]],Table29[],5,FALSE)</f>
        <v>Middle-income</v>
      </c>
      <c r="AU2239" s="233" t="str">
        <f>VLOOKUP(Table8[[#This Row],[Country Code]],Table29[],6,FALSE)</f>
        <v>G20</v>
      </c>
      <c r="AV2239" s="233" t="str">
        <f>VLOOKUP(Table8[[#This Row],[Country Code]],Table29[],7,FALSE)</f>
        <v>no</v>
      </c>
      <c r="AW2239" s="233" t="str">
        <f>VLOOKUP(Table8[[#This Row],[Country Code]],Table29[],8,FALSE)</f>
        <v>OECD</v>
      </c>
      <c r="AX2239" s="233" t="str">
        <f>VLOOKUP(Table8[[#This Row],[Country Code]],Table29[],9,FALSE)</f>
        <v>no</v>
      </c>
      <c r="AY2239" s="233" t="str">
        <f>VLOOKUP(Table8[[#This Row],[Country Code]],Table29[],10,FALSE)</f>
        <v>no</v>
      </c>
      <c r="AZ2239" s="235">
        <f>VLOOKUP(Table8[[#This Row],[Country Code]],Table29[],23,FALSE)</f>
        <v>606.42985584790995</v>
      </c>
      <c r="BA2239" s="235">
        <f>VLOOKUP(Table8[[#This Row],[Country Code]],Table29[],24,FALSE)</f>
        <v>95.92080354160332</v>
      </c>
      <c r="BB2239" s="320"/>
      <c r="BC2239" s="320"/>
    </row>
    <row r="2240" spans="1:55" ht="30" hidden="1" x14ac:dyDescent="0.25">
      <c r="A2240" s="360">
        <v>42012</v>
      </c>
      <c r="B2240" s="233" t="str">
        <f>VLOOKUP(Table8[[#This Row],[Document ID]],Table1[],2,FALSE)</f>
        <v>TUR</v>
      </c>
      <c r="C2240" s="233" t="str">
        <f>VLOOKUP(Table8[[#This Row],[Document ID]],Table1[],3,FALSE)</f>
        <v>Türkiye</v>
      </c>
      <c r="D2240" s="243" t="str">
        <f>VLOOKUP(Table8[[#This Row],[Document ID]],Table1[],5,FALSE)</f>
        <v>NDC</v>
      </c>
      <c r="E2240" s="233" t="str">
        <f>VLOOKUP(Table8[[#This Row],[Document ID]],Table1[],7,FALSE)</f>
        <v>First NDC updated</v>
      </c>
      <c r="F2240" s="233" t="str">
        <f>VLOOKUP(Table8[[#This Row],[Document ID]],Table1[],8,FALSE)</f>
        <v>NDC 1.1</v>
      </c>
      <c r="G2240" s="233" t="str">
        <f>VLOOKUP(Table8[[#This Row],[Document ID]],Table1[],10,FALSE)</f>
        <v>Active</v>
      </c>
      <c r="H2240" s="43" t="s">
        <v>2350</v>
      </c>
      <c r="I2240" s="43" t="s">
        <v>2351</v>
      </c>
      <c r="J2240" s="44" t="s">
        <v>2352</v>
      </c>
      <c r="K2240" s="44" t="s">
        <v>4380</v>
      </c>
      <c r="L2240" s="44" t="s">
        <v>2333</v>
      </c>
      <c r="M2240" s="43">
        <v>11</v>
      </c>
      <c r="N2240" s="113"/>
      <c r="O2240" s="113"/>
      <c r="P2240" s="113"/>
      <c r="Q2240" s="113"/>
      <c r="R2240" s="113"/>
      <c r="S2240" s="113" t="s">
        <v>1113</v>
      </c>
      <c r="T2240" s="113"/>
      <c r="U2240" s="113"/>
      <c r="V2240" s="113"/>
      <c r="W2240" s="113"/>
      <c r="X2240" s="113"/>
      <c r="Y2240" s="113"/>
      <c r="Z2240" s="113" t="s">
        <v>1113</v>
      </c>
      <c r="AA2240" s="113"/>
      <c r="AB2240" s="113"/>
      <c r="AC2240" s="113"/>
      <c r="AD2240" s="113" t="s">
        <v>1113</v>
      </c>
      <c r="AE2240" s="113"/>
      <c r="AF2240" s="113"/>
      <c r="AG2240" s="113"/>
      <c r="AH2240" s="113"/>
      <c r="AI2240" s="113"/>
      <c r="AJ2240" s="113"/>
      <c r="AK2240" s="113" t="s">
        <v>1113</v>
      </c>
      <c r="AL2240" s="113"/>
      <c r="AM2240" s="113"/>
      <c r="AN2240" s="113"/>
      <c r="AO2240" s="43" t="s">
        <v>2353</v>
      </c>
      <c r="AP2240" s="43"/>
      <c r="AQ2240" s="236" t="str">
        <f>VLOOKUP(Table8[[#This Row],[Instrument]],Def_Targets!$D$73:$E$159,2,FALSE)</f>
        <v>S_Railfreight</v>
      </c>
      <c r="AR2240" s="233" t="str">
        <f>VLOOKUP(Table8[[#This Row],[Country Code]],Table29[],3,FALSE)</f>
        <v>Annex I</v>
      </c>
      <c r="AS2240" s="233" t="str">
        <f>VLOOKUP(Table8[[#This Row],[Country Code]],Table29[],4,FALSE)</f>
        <v>Asia</v>
      </c>
      <c r="AT2240" s="233" t="str">
        <f>VLOOKUP(Table8[[#This Row],[Country Code]],Table29[],5,FALSE)</f>
        <v>Middle-income</v>
      </c>
      <c r="AU2240" s="233" t="str">
        <f>VLOOKUP(Table8[[#This Row],[Country Code]],Table29[],6,FALSE)</f>
        <v>G20</v>
      </c>
      <c r="AV2240" s="233" t="str">
        <f>VLOOKUP(Table8[[#This Row],[Country Code]],Table29[],7,FALSE)</f>
        <v>no</v>
      </c>
      <c r="AW2240" s="233" t="str">
        <f>VLOOKUP(Table8[[#This Row],[Country Code]],Table29[],8,FALSE)</f>
        <v>OECD</v>
      </c>
      <c r="AX2240" s="233" t="str">
        <f>VLOOKUP(Table8[[#This Row],[Country Code]],Table29[],9,FALSE)</f>
        <v>no</v>
      </c>
      <c r="AY2240" s="233" t="str">
        <f>VLOOKUP(Table8[[#This Row],[Country Code]],Table29[],10,FALSE)</f>
        <v>no</v>
      </c>
      <c r="AZ2240" s="235">
        <f>VLOOKUP(Table8[[#This Row],[Country Code]],Table29[],23,FALSE)</f>
        <v>606.42985584790995</v>
      </c>
      <c r="BA2240" s="235">
        <f>VLOOKUP(Table8[[#This Row],[Country Code]],Table29[],24,FALSE)</f>
        <v>95.92080354160332</v>
      </c>
      <c r="BB2240" s="320"/>
      <c r="BC2240" s="320"/>
    </row>
    <row r="2241" spans="1:55" ht="30" hidden="1" x14ac:dyDescent="0.25">
      <c r="A2241" s="360">
        <v>42012</v>
      </c>
      <c r="B2241" s="233" t="str">
        <f>VLOOKUP(Table8[[#This Row],[Document ID]],Table1[],2,FALSE)</f>
        <v>TUR</v>
      </c>
      <c r="C2241" s="233" t="str">
        <f>VLOOKUP(Table8[[#This Row],[Document ID]],Table1[],3,FALSE)</f>
        <v>Türkiye</v>
      </c>
      <c r="D2241" s="243" t="str">
        <f>VLOOKUP(Table8[[#This Row],[Document ID]],Table1[],5,FALSE)</f>
        <v>NDC</v>
      </c>
      <c r="E2241" s="233" t="str">
        <f>VLOOKUP(Table8[[#This Row],[Document ID]],Table1[],7,FALSE)</f>
        <v>First NDC updated</v>
      </c>
      <c r="F2241" s="233" t="str">
        <f>VLOOKUP(Table8[[#This Row],[Document ID]],Table1[],8,FALSE)</f>
        <v>NDC 1.1</v>
      </c>
      <c r="G2241" s="233" t="str">
        <f>VLOOKUP(Table8[[#This Row],[Document ID]],Table1[],10,FALSE)</f>
        <v>Active</v>
      </c>
      <c r="H2241" s="43" t="s">
        <v>2358</v>
      </c>
      <c r="I2241" s="43" t="s">
        <v>2359</v>
      </c>
      <c r="J2241" s="44" t="s">
        <v>2360</v>
      </c>
      <c r="K2241" s="44" t="s">
        <v>4381</v>
      </c>
      <c r="L2241" s="44" t="s">
        <v>2333</v>
      </c>
      <c r="M2241" s="43">
        <v>11</v>
      </c>
      <c r="N2241" s="113"/>
      <c r="O2241" s="113"/>
      <c r="P2241" s="113"/>
      <c r="Q2241" s="113"/>
      <c r="R2241" s="113"/>
      <c r="S2241" s="113"/>
      <c r="T2241" s="113"/>
      <c r="U2241" s="113"/>
      <c r="V2241" s="113"/>
      <c r="W2241" s="113"/>
      <c r="X2241" s="113"/>
      <c r="Y2241" s="113"/>
      <c r="Z2241" s="113" t="s">
        <v>1113</v>
      </c>
      <c r="AA2241" s="113"/>
      <c r="AB2241" s="113"/>
      <c r="AC2241" s="113"/>
      <c r="AD2241" s="113"/>
      <c r="AE2241" s="113"/>
      <c r="AF2241" s="113"/>
      <c r="AG2241" s="113"/>
      <c r="AH2241" s="113"/>
      <c r="AI2241" s="113"/>
      <c r="AJ2241" s="113"/>
      <c r="AK2241" s="113"/>
      <c r="AL2241" s="113" t="s">
        <v>1113</v>
      </c>
      <c r="AM2241" s="113"/>
      <c r="AN2241" s="113" t="s">
        <v>1113</v>
      </c>
      <c r="AO2241" s="43" t="s">
        <v>2477</v>
      </c>
      <c r="AP2241" s="43"/>
      <c r="AQ2241" s="236" t="str">
        <f>VLOOKUP(Table8[[#This Row],[Instrument]],Def_Targets!$D$73:$E$159,2,FALSE)</f>
        <v>I_Emobility</v>
      </c>
      <c r="AR2241" s="233" t="str">
        <f>VLOOKUP(Table8[[#This Row],[Country Code]],Table29[],3,FALSE)</f>
        <v>Annex I</v>
      </c>
      <c r="AS2241" s="233" t="str">
        <f>VLOOKUP(Table8[[#This Row],[Country Code]],Table29[],4,FALSE)</f>
        <v>Asia</v>
      </c>
      <c r="AT2241" s="233" t="str">
        <f>VLOOKUP(Table8[[#This Row],[Country Code]],Table29[],5,FALSE)</f>
        <v>Middle-income</v>
      </c>
      <c r="AU2241" s="233" t="str">
        <f>VLOOKUP(Table8[[#This Row],[Country Code]],Table29[],6,FALSE)</f>
        <v>G20</v>
      </c>
      <c r="AV2241" s="233" t="str">
        <f>VLOOKUP(Table8[[#This Row],[Country Code]],Table29[],7,FALSE)</f>
        <v>no</v>
      </c>
      <c r="AW2241" s="233" t="str">
        <f>VLOOKUP(Table8[[#This Row],[Country Code]],Table29[],8,FALSE)</f>
        <v>OECD</v>
      </c>
      <c r="AX2241" s="233" t="str">
        <f>VLOOKUP(Table8[[#This Row],[Country Code]],Table29[],9,FALSE)</f>
        <v>no</v>
      </c>
      <c r="AY2241" s="233" t="str">
        <f>VLOOKUP(Table8[[#This Row],[Country Code]],Table29[],10,FALSE)</f>
        <v>no</v>
      </c>
      <c r="AZ2241" s="235">
        <f>VLOOKUP(Table8[[#This Row],[Country Code]],Table29[],23,FALSE)</f>
        <v>606.42985584790995</v>
      </c>
      <c r="BA2241" s="235">
        <f>VLOOKUP(Table8[[#This Row],[Country Code]],Table29[],24,FALSE)</f>
        <v>95.92080354160332</v>
      </c>
      <c r="BB2241" s="320"/>
      <c r="BC2241" s="320"/>
    </row>
    <row r="2242" spans="1:55" hidden="1" x14ac:dyDescent="0.25">
      <c r="A2242" s="360">
        <v>42012</v>
      </c>
      <c r="B2242" s="233" t="str">
        <f>VLOOKUP(Table8[[#This Row],[Document ID]],Table1[],2,FALSE)</f>
        <v>TUR</v>
      </c>
      <c r="C2242" s="233" t="str">
        <f>VLOOKUP(Table8[[#This Row],[Document ID]],Table1[],3,FALSE)</f>
        <v>Türkiye</v>
      </c>
      <c r="D2242" s="243" t="str">
        <f>VLOOKUP(Table8[[#This Row],[Document ID]],Table1[],5,FALSE)</f>
        <v>NDC</v>
      </c>
      <c r="E2242" s="233" t="str">
        <f>VLOOKUP(Table8[[#This Row],[Document ID]],Table1[],7,FALSE)</f>
        <v>First NDC updated</v>
      </c>
      <c r="F2242" s="233" t="str">
        <f>VLOOKUP(Table8[[#This Row],[Document ID]],Table1[],8,FALSE)</f>
        <v>NDC 1.1</v>
      </c>
      <c r="G2242" s="233" t="str">
        <f>VLOOKUP(Table8[[#This Row],[Document ID]],Table1[],10,FALSE)</f>
        <v>Active</v>
      </c>
      <c r="H2242" s="43" t="s">
        <v>2358</v>
      </c>
      <c r="I2242" s="43" t="s">
        <v>2359</v>
      </c>
      <c r="J2242" s="44" t="s">
        <v>2360</v>
      </c>
      <c r="K2242" s="44" t="s">
        <v>4382</v>
      </c>
      <c r="L2242" s="44" t="s">
        <v>2333</v>
      </c>
      <c r="M2242" s="43">
        <v>11</v>
      </c>
      <c r="N2242" s="113"/>
      <c r="O2242" s="113"/>
      <c r="P2242" s="113"/>
      <c r="Q2242" s="113"/>
      <c r="R2242" s="113"/>
      <c r="S2242" s="113" t="s">
        <v>1113</v>
      </c>
      <c r="T2242" s="113"/>
      <c r="U2242" s="113"/>
      <c r="V2242" s="113"/>
      <c r="W2242" s="113"/>
      <c r="X2242" s="113"/>
      <c r="Y2242" s="113"/>
      <c r="Z2242" s="113"/>
      <c r="AA2242" s="113"/>
      <c r="AB2242" s="113"/>
      <c r="AC2242" s="113"/>
      <c r="AD2242" s="113"/>
      <c r="AE2242" s="113"/>
      <c r="AF2242" s="113"/>
      <c r="AG2242" s="113"/>
      <c r="AH2242" s="113"/>
      <c r="AI2242" s="113"/>
      <c r="AJ2242" s="113"/>
      <c r="AK2242" s="113"/>
      <c r="AL2242" s="113"/>
      <c r="AM2242" s="113"/>
      <c r="AN2242" s="113" t="s">
        <v>1113</v>
      </c>
      <c r="AO2242" s="44" t="s">
        <v>2334</v>
      </c>
      <c r="AP2242" s="43"/>
      <c r="AQ2242" s="236" t="str">
        <f>VLOOKUP(Table8[[#This Row],[Instrument]],Def_Targets!$D$73:$E$159,2,FALSE)</f>
        <v>I_Emobility</v>
      </c>
      <c r="AR2242" s="233" t="str">
        <f>VLOOKUP(Table8[[#This Row],[Country Code]],Table29[],3,FALSE)</f>
        <v>Annex I</v>
      </c>
      <c r="AS2242" s="233" t="str">
        <f>VLOOKUP(Table8[[#This Row],[Country Code]],Table29[],4,FALSE)</f>
        <v>Asia</v>
      </c>
      <c r="AT2242" s="233" t="str">
        <f>VLOOKUP(Table8[[#This Row],[Country Code]],Table29[],5,FALSE)</f>
        <v>Middle-income</v>
      </c>
      <c r="AU2242" s="233" t="str">
        <f>VLOOKUP(Table8[[#This Row],[Country Code]],Table29[],6,FALSE)</f>
        <v>G20</v>
      </c>
      <c r="AV2242" s="233" t="str">
        <f>VLOOKUP(Table8[[#This Row],[Country Code]],Table29[],7,FALSE)</f>
        <v>no</v>
      </c>
      <c r="AW2242" s="233" t="str">
        <f>VLOOKUP(Table8[[#This Row],[Country Code]],Table29[],8,FALSE)</f>
        <v>OECD</v>
      </c>
      <c r="AX2242" s="233" t="str">
        <f>VLOOKUP(Table8[[#This Row],[Country Code]],Table29[],9,FALSE)</f>
        <v>no</v>
      </c>
      <c r="AY2242" s="233" t="str">
        <f>VLOOKUP(Table8[[#This Row],[Country Code]],Table29[],10,FALSE)</f>
        <v>no</v>
      </c>
      <c r="AZ2242" s="235">
        <f>VLOOKUP(Table8[[#This Row],[Country Code]],Table29[],23,FALSE)</f>
        <v>606.42985584790995</v>
      </c>
      <c r="BA2242" s="235">
        <f>VLOOKUP(Table8[[#This Row],[Country Code]],Table29[],24,FALSE)</f>
        <v>95.92080354160332</v>
      </c>
      <c r="BB2242" s="320"/>
      <c r="BC2242" s="320"/>
    </row>
    <row r="2243" spans="1:55" hidden="1" x14ac:dyDescent="0.25">
      <c r="A2243" s="360">
        <v>42012</v>
      </c>
      <c r="B2243" s="233" t="str">
        <f>VLOOKUP(Table8[[#This Row],[Document ID]],Table1[],2,FALSE)</f>
        <v>TUR</v>
      </c>
      <c r="C2243" s="233" t="str">
        <f>VLOOKUP(Table8[[#This Row],[Document ID]],Table1[],3,FALSE)</f>
        <v>Türkiye</v>
      </c>
      <c r="D2243" s="243" t="str">
        <f>VLOOKUP(Table8[[#This Row],[Document ID]],Table1[],5,FALSE)</f>
        <v>NDC</v>
      </c>
      <c r="E2243" s="233" t="str">
        <f>VLOOKUP(Table8[[#This Row],[Document ID]],Table1[],7,FALSE)</f>
        <v>First NDC updated</v>
      </c>
      <c r="F2243" s="233" t="str">
        <f>VLOOKUP(Table8[[#This Row],[Document ID]],Table1[],8,FALSE)</f>
        <v>NDC 1.1</v>
      </c>
      <c r="G2243" s="233" t="str">
        <f>VLOOKUP(Table8[[#This Row],[Document ID]],Table1[],10,FALSE)</f>
        <v>Active</v>
      </c>
      <c r="H2243" s="43" t="s">
        <v>2358</v>
      </c>
      <c r="I2243" s="43" t="s">
        <v>2359</v>
      </c>
      <c r="J2243" s="44" t="s">
        <v>2383</v>
      </c>
      <c r="K2243" s="44" t="s">
        <v>4383</v>
      </c>
      <c r="L2243" s="44" t="s">
        <v>2333</v>
      </c>
      <c r="M2243" s="43">
        <v>11</v>
      </c>
      <c r="N2243" s="113"/>
      <c r="O2243" s="113"/>
      <c r="P2243" s="113"/>
      <c r="Q2243" s="113"/>
      <c r="R2243" s="113"/>
      <c r="S2243" s="113"/>
      <c r="T2243" s="113"/>
      <c r="U2243" s="113"/>
      <c r="V2243" s="113"/>
      <c r="W2243" s="113"/>
      <c r="X2243" s="113"/>
      <c r="Y2243" s="113"/>
      <c r="Z2243" s="113"/>
      <c r="AA2243" s="113"/>
      <c r="AB2243" s="113"/>
      <c r="AC2243" s="113"/>
      <c r="AD2243" s="113"/>
      <c r="AE2243" s="113"/>
      <c r="AF2243" s="113"/>
      <c r="AG2243" s="113"/>
      <c r="AH2243" s="113"/>
      <c r="AI2243" s="113"/>
      <c r="AJ2243" s="113"/>
      <c r="AK2243" s="113" t="s">
        <v>1113</v>
      </c>
      <c r="AL2243" s="113"/>
      <c r="AM2243" s="113"/>
      <c r="AN2243" s="113"/>
      <c r="AO2243" s="44" t="s">
        <v>2334</v>
      </c>
      <c r="AP2243" s="43"/>
      <c r="AQ2243" s="236" t="str">
        <f>VLOOKUP(Table8[[#This Row],[Instrument]],Def_Targets!$D$73:$E$159,2,FALSE)</f>
        <v>I_Emobilitycharging</v>
      </c>
      <c r="AR2243" s="233" t="str">
        <f>VLOOKUP(Table8[[#This Row],[Country Code]],Table29[],3,FALSE)</f>
        <v>Annex I</v>
      </c>
      <c r="AS2243" s="233" t="str">
        <f>VLOOKUP(Table8[[#This Row],[Country Code]],Table29[],4,FALSE)</f>
        <v>Asia</v>
      </c>
      <c r="AT2243" s="233" t="str">
        <f>VLOOKUP(Table8[[#This Row],[Country Code]],Table29[],5,FALSE)</f>
        <v>Middle-income</v>
      </c>
      <c r="AU2243" s="233" t="str">
        <f>VLOOKUP(Table8[[#This Row],[Country Code]],Table29[],6,FALSE)</f>
        <v>G20</v>
      </c>
      <c r="AV2243" s="233" t="str">
        <f>VLOOKUP(Table8[[#This Row],[Country Code]],Table29[],7,FALSE)</f>
        <v>no</v>
      </c>
      <c r="AW2243" s="233" t="str">
        <f>VLOOKUP(Table8[[#This Row],[Country Code]],Table29[],8,FALSE)</f>
        <v>OECD</v>
      </c>
      <c r="AX2243" s="233" t="str">
        <f>VLOOKUP(Table8[[#This Row],[Country Code]],Table29[],9,FALSE)</f>
        <v>no</v>
      </c>
      <c r="AY2243" s="233" t="str">
        <f>VLOOKUP(Table8[[#This Row],[Country Code]],Table29[],10,FALSE)</f>
        <v>no</v>
      </c>
      <c r="AZ2243" s="235">
        <f>VLOOKUP(Table8[[#This Row],[Country Code]],Table29[],23,FALSE)</f>
        <v>606.42985584790995</v>
      </c>
      <c r="BA2243" s="235">
        <f>VLOOKUP(Table8[[#This Row],[Country Code]],Table29[],24,FALSE)</f>
        <v>95.92080354160332</v>
      </c>
      <c r="BB2243" s="320"/>
      <c r="BC2243" s="320"/>
    </row>
    <row r="2244" spans="1:55" ht="30" hidden="1" x14ac:dyDescent="0.25">
      <c r="A2244" s="360">
        <v>42012</v>
      </c>
      <c r="B2244" s="233" t="str">
        <f>VLOOKUP(Table8[[#This Row],[Document ID]],Table1[],2,FALSE)</f>
        <v>TUR</v>
      </c>
      <c r="C2244" s="233" t="str">
        <f>VLOOKUP(Table8[[#This Row],[Document ID]],Table1[],3,FALSE)</f>
        <v>Türkiye</v>
      </c>
      <c r="D2244" s="243" t="str">
        <f>VLOOKUP(Table8[[#This Row],[Document ID]],Table1[],5,FALSE)</f>
        <v>NDC</v>
      </c>
      <c r="E2244" s="233" t="str">
        <f>VLOOKUP(Table8[[#This Row],[Document ID]],Table1[],7,FALSE)</f>
        <v>First NDC updated</v>
      </c>
      <c r="F2244" s="233" t="str">
        <f>VLOOKUP(Table8[[#This Row],[Document ID]],Table1[],8,FALSE)</f>
        <v>NDC 1.1</v>
      </c>
      <c r="G2244" s="233" t="str">
        <f>VLOOKUP(Table8[[#This Row],[Document ID]],Table1[],10,FALSE)</f>
        <v>Active</v>
      </c>
      <c r="H2244" s="43" t="s">
        <v>2358</v>
      </c>
      <c r="I2244" s="43" t="s">
        <v>2359</v>
      </c>
      <c r="J2244" s="44" t="s">
        <v>2360</v>
      </c>
      <c r="K2244" s="44" t="s">
        <v>4384</v>
      </c>
      <c r="L2244" s="44" t="s">
        <v>2333</v>
      </c>
      <c r="M2244" s="43">
        <v>11</v>
      </c>
      <c r="N2244" s="113"/>
      <c r="O2244" s="113"/>
      <c r="P2244" s="113"/>
      <c r="Q2244" s="113"/>
      <c r="R2244" s="113"/>
      <c r="S2244" s="113"/>
      <c r="T2244" s="113"/>
      <c r="U2244" s="113"/>
      <c r="V2244" s="113"/>
      <c r="W2244" s="113"/>
      <c r="X2244" s="113"/>
      <c r="Y2244" s="113"/>
      <c r="Z2244" s="113"/>
      <c r="AA2244" s="113"/>
      <c r="AB2244" s="113"/>
      <c r="AC2244" s="113"/>
      <c r="AD2244" s="113"/>
      <c r="AE2244" s="113"/>
      <c r="AF2244" s="113"/>
      <c r="AG2244" s="113"/>
      <c r="AH2244" s="113"/>
      <c r="AI2244" s="113"/>
      <c r="AJ2244" s="113"/>
      <c r="AK2244" s="113"/>
      <c r="AL2244" s="113"/>
      <c r="AM2244" s="113"/>
      <c r="AN2244" s="113" t="s">
        <v>1113</v>
      </c>
      <c r="AO2244" s="44" t="s">
        <v>2334</v>
      </c>
      <c r="AP2244" s="43"/>
      <c r="AQ2244" s="236" t="str">
        <f>VLOOKUP(Table8[[#This Row],[Instrument]],Def_Targets!$D$73:$E$159,2,FALSE)</f>
        <v>I_Emobility</v>
      </c>
      <c r="AR2244" s="233" t="str">
        <f>VLOOKUP(Table8[[#This Row],[Country Code]],Table29[],3,FALSE)</f>
        <v>Annex I</v>
      </c>
      <c r="AS2244" s="233" t="str">
        <f>VLOOKUP(Table8[[#This Row],[Country Code]],Table29[],4,FALSE)</f>
        <v>Asia</v>
      </c>
      <c r="AT2244" s="233" t="str">
        <f>VLOOKUP(Table8[[#This Row],[Country Code]],Table29[],5,FALSE)</f>
        <v>Middle-income</v>
      </c>
      <c r="AU2244" s="233" t="str">
        <f>VLOOKUP(Table8[[#This Row],[Country Code]],Table29[],6,FALSE)</f>
        <v>G20</v>
      </c>
      <c r="AV2244" s="233" t="str">
        <f>VLOOKUP(Table8[[#This Row],[Country Code]],Table29[],7,FALSE)</f>
        <v>no</v>
      </c>
      <c r="AW2244" s="233" t="str">
        <f>VLOOKUP(Table8[[#This Row],[Country Code]],Table29[],8,FALSE)</f>
        <v>OECD</v>
      </c>
      <c r="AX2244" s="233" t="str">
        <f>VLOOKUP(Table8[[#This Row],[Country Code]],Table29[],9,FALSE)</f>
        <v>no</v>
      </c>
      <c r="AY2244" s="233" t="str">
        <f>VLOOKUP(Table8[[#This Row],[Country Code]],Table29[],10,FALSE)</f>
        <v>no</v>
      </c>
      <c r="AZ2244" s="235">
        <f>VLOOKUP(Table8[[#This Row],[Country Code]],Table29[],23,FALSE)</f>
        <v>606.42985584790995</v>
      </c>
      <c r="BA2244" s="235">
        <f>VLOOKUP(Table8[[#This Row],[Country Code]],Table29[],24,FALSE)</f>
        <v>95.92080354160332</v>
      </c>
      <c r="BB2244" s="320"/>
      <c r="BC2244" s="320"/>
    </row>
    <row r="2245" spans="1:55" ht="30" hidden="1" x14ac:dyDescent="0.25">
      <c r="A2245" s="360">
        <v>42012</v>
      </c>
      <c r="B2245" s="233" t="str">
        <f>VLOOKUP(Table8[[#This Row],[Document ID]],Table1[],2,FALSE)</f>
        <v>TUR</v>
      </c>
      <c r="C2245" s="233" t="str">
        <f>VLOOKUP(Table8[[#This Row],[Document ID]],Table1[],3,FALSE)</f>
        <v>Türkiye</v>
      </c>
      <c r="D2245" s="243" t="str">
        <f>VLOOKUP(Table8[[#This Row],[Document ID]],Table1[],5,FALSE)</f>
        <v>NDC</v>
      </c>
      <c r="E2245" s="233" t="str">
        <f>VLOOKUP(Table8[[#This Row],[Document ID]],Table1[],7,FALSE)</f>
        <v>First NDC updated</v>
      </c>
      <c r="F2245" s="233" t="str">
        <f>VLOOKUP(Table8[[#This Row],[Document ID]],Table1[],8,FALSE)</f>
        <v>NDC 1.1</v>
      </c>
      <c r="G2245" s="233" t="str">
        <f>VLOOKUP(Table8[[#This Row],[Document ID]],Table1[],10,FALSE)</f>
        <v>Active</v>
      </c>
      <c r="H2245" s="43" t="s">
        <v>2350</v>
      </c>
      <c r="I2245" s="43" t="s">
        <v>2370</v>
      </c>
      <c r="J2245" s="44" t="s">
        <v>2581</v>
      </c>
      <c r="K2245" s="44" t="s">
        <v>4385</v>
      </c>
      <c r="L2245" s="44" t="s">
        <v>2373</v>
      </c>
      <c r="M2245" s="43">
        <v>12</v>
      </c>
      <c r="N2245" s="113" t="s">
        <v>1113</v>
      </c>
      <c r="O2245" s="113"/>
      <c r="P2245" s="113"/>
      <c r="Q2245" s="113"/>
      <c r="R2245" s="113"/>
      <c r="S2245" s="113"/>
      <c r="T2245" s="113"/>
      <c r="U2245" s="113"/>
      <c r="V2245" s="113"/>
      <c r="W2245" s="113"/>
      <c r="X2245" s="113"/>
      <c r="Y2245" s="113"/>
      <c r="Z2245" s="113"/>
      <c r="AA2245" s="113"/>
      <c r="AB2245" s="113"/>
      <c r="AC2245" s="113"/>
      <c r="AD2245" s="113"/>
      <c r="AE2245" s="113"/>
      <c r="AF2245" s="113"/>
      <c r="AG2245" s="113"/>
      <c r="AH2245" s="113"/>
      <c r="AI2245" s="113"/>
      <c r="AJ2245" s="113"/>
      <c r="AK2245" s="113"/>
      <c r="AL2245" s="113" t="s">
        <v>1113</v>
      </c>
      <c r="AM2245" s="113"/>
      <c r="AN2245" s="113"/>
      <c r="AO2245" s="44" t="s">
        <v>2334</v>
      </c>
      <c r="AP2245" s="43"/>
      <c r="AQ2245" s="236" t="str">
        <f>VLOOKUP(Table8[[#This Row],[Instrument]],Def_Targets!$D$73:$E$159,2,FALSE)</f>
        <v>A_SUMP</v>
      </c>
      <c r="AR2245" s="233" t="str">
        <f>VLOOKUP(Table8[[#This Row],[Country Code]],Table29[],3,FALSE)</f>
        <v>Annex I</v>
      </c>
      <c r="AS2245" s="233" t="str">
        <f>VLOOKUP(Table8[[#This Row],[Country Code]],Table29[],4,FALSE)</f>
        <v>Asia</v>
      </c>
      <c r="AT2245" s="233" t="str">
        <f>VLOOKUP(Table8[[#This Row],[Country Code]],Table29[],5,FALSE)</f>
        <v>Middle-income</v>
      </c>
      <c r="AU2245" s="233" t="str">
        <f>VLOOKUP(Table8[[#This Row],[Country Code]],Table29[],6,FALSE)</f>
        <v>G20</v>
      </c>
      <c r="AV2245" s="233" t="str">
        <f>VLOOKUP(Table8[[#This Row],[Country Code]],Table29[],7,FALSE)</f>
        <v>no</v>
      </c>
      <c r="AW2245" s="233" t="str">
        <f>VLOOKUP(Table8[[#This Row],[Country Code]],Table29[],8,FALSE)</f>
        <v>OECD</v>
      </c>
      <c r="AX2245" s="233" t="str">
        <f>VLOOKUP(Table8[[#This Row],[Country Code]],Table29[],9,FALSE)</f>
        <v>no</v>
      </c>
      <c r="AY2245" s="233" t="str">
        <f>VLOOKUP(Table8[[#This Row],[Country Code]],Table29[],10,FALSE)</f>
        <v>no</v>
      </c>
      <c r="AZ2245" s="235">
        <f>VLOOKUP(Table8[[#This Row],[Country Code]],Table29[],23,FALSE)</f>
        <v>606.42985584790995</v>
      </c>
      <c r="BA2245" s="235">
        <f>VLOOKUP(Table8[[#This Row],[Country Code]],Table29[],24,FALSE)</f>
        <v>95.92080354160332</v>
      </c>
      <c r="BB2245" s="320"/>
      <c r="BC2245" s="320"/>
    </row>
    <row r="2246" spans="1:55" hidden="1" x14ac:dyDescent="0.25">
      <c r="A2246" s="360">
        <v>42012</v>
      </c>
      <c r="B2246" s="233" t="str">
        <f>VLOOKUP(Table8[[#This Row],[Document ID]],Table1[],2,FALSE)</f>
        <v>TUR</v>
      </c>
      <c r="C2246" s="233" t="str">
        <f>VLOOKUP(Table8[[#This Row],[Document ID]],Table1[],3,FALSE)</f>
        <v>Türkiye</v>
      </c>
      <c r="D2246" s="243" t="str">
        <f>VLOOKUP(Table8[[#This Row],[Document ID]],Table1[],5,FALSE)</f>
        <v>NDC</v>
      </c>
      <c r="E2246" s="233" t="str">
        <f>VLOOKUP(Table8[[#This Row],[Document ID]],Table1[],7,FALSE)</f>
        <v>First NDC updated</v>
      </c>
      <c r="F2246" s="233" t="str">
        <f>VLOOKUP(Table8[[#This Row],[Document ID]],Table1[],8,FALSE)</f>
        <v>NDC 1.1</v>
      </c>
      <c r="G2246" s="233" t="str">
        <f>VLOOKUP(Table8[[#This Row],[Document ID]],Table1[],10,FALSE)</f>
        <v>Active</v>
      </c>
      <c r="H2246" s="43" t="s">
        <v>2484</v>
      </c>
      <c r="I2246" s="43" t="s">
        <v>2488</v>
      </c>
      <c r="J2246" s="44" t="s">
        <v>2684</v>
      </c>
      <c r="K2246" s="44" t="s">
        <v>4386</v>
      </c>
      <c r="L2246" s="44" t="s">
        <v>2333</v>
      </c>
      <c r="M2246" s="43">
        <v>12</v>
      </c>
      <c r="N2246" s="113"/>
      <c r="O2246" s="113"/>
      <c r="P2246" s="113"/>
      <c r="Q2246" s="113"/>
      <c r="R2246" s="113"/>
      <c r="S2246" s="113"/>
      <c r="T2246" s="113"/>
      <c r="U2246" s="113"/>
      <c r="V2246" s="113"/>
      <c r="W2246" s="113"/>
      <c r="X2246" s="113"/>
      <c r="Y2246" s="113"/>
      <c r="Z2246" s="113"/>
      <c r="AA2246" s="113"/>
      <c r="AB2246" s="113"/>
      <c r="AC2246" s="113"/>
      <c r="AD2246" s="113"/>
      <c r="AE2246" s="113"/>
      <c r="AF2246" s="113"/>
      <c r="AG2246" s="113"/>
      <c r="AH2246" s="113" t="s">
        <v>1113</v>
      </c>
      <c r="AI2246" s="113"/>
      <c r="AJ2246" s="113"/>
      <c r="AK2246" s="113" t="s">
        <v>1113</v>
      </c>
      <c r="AL2246" s="113"/>
      <c r="AM2246" s="113"/>
      <c r="AN2246" s="113"/>
      <c r="AO2246" s="44" t="s">
        <v>2334</v>
      </c>
      <c r="AP2246" s="43"/>
      <c r="AQ2246" s="236" t="str">
        <f>VLOOKUP(Table8[[#This Row],[Instrument]],Def_Targets!$D$73:$E$159,2,FALSE)</f>
        <v>I_Jetfuel</v>
      </c>
      <c r="AR2246" s="233" t="str">
        <f>VLOOKUP(Table8[[#This Row],[Country Code]],Table29[],3,FALSE)</f>
        <v>Annex I</v>
      </c>
      <c r="AS2246" s="233" t="str">
        <f>VLOOKUP(Table8[[#This Row],[Country Code]],Table29[],4,FALSE)</f>
        <v>Asia</v>
      </c>
      <c r="AT2246" s="233" t="str">
        <f>VLOOKUP(Table8[[#This Row],[Country Code]],Table29[],5,FALSE)</f>
        <v>Middle-income</v>
      </c>
      <c r="AU2246" s="233" t="str">
        <f>VLOOKUP(Table8[[#This Row],[Country Code]],Table29[],6,FALSE)</f>
        <v>G20</v>
      </c>
      <c r="AV2246" s="233" t="str">
        <f>VLOOKUP(Table8[[#This Row],[Country Code]],Table29[],7,FALSE)</f>
        <v>no</v>
      </c>
      <c r="AW2246" s="233" t="str">
        <f>VLOOKUP(Table8[[#This Row],[Country Code]],Table29[],8,FALSE)</f>
        <v>OECD</v>
      </c>
      <c r="AX2246" s="233" t="str">
        <f>VLOOKUP(Table8[[#This Row],[Country Code]],Table29[],9,FALSE)</f>
        <v>no</v>
      </c>
      <c r="AY2246" s="233" t="str">
        <f>VLOOKUP(Table8[[#This Row],[Country Code]],Table29[],10,FALSE)</f>
        <v>no</v>
      </c>
      <c r="AZ2246" s="235">
        <f>VLOOKUP(Table8[[#This Row],[Country Code]],Table29[],23,FALSE)</f>
        <v>606.42985584790995</v>
      </c>
      <c r="BA2246" s="235">
        <f>VLOOKUP(Table8[[#This Row],[Country Code]],Table29[],24,FALSE)</f>
        <v>95.92080354160332</v>
      </c>
      <c r="BB2246" s="320"/>
      <c r="BC2246" s="320"/>
    </row>
    <row r="2247" spans="1:55" hidden="1" x14ac:dyDescent="0.25">
      <c r="A2247" s="360">
        <v>42012</v>
      </c>
      <c r="B2247" s="233" t="str">
        <f>VLOOKUP(Table8[[#This Row],[Document ID]],Table1[],2,FALSE)</f>
        <v>TUR</v>
      </c>
      <c r="C2247" s="233" t="str">
        <f>VLOOKUP(Table8[[#This Row],[Document ID]],Table1[],3,FALSE)</f>
        <v>Türkiye</v>
      </c>
      <c r="D2247" s="243" t="str">
        <f>VLOOKUP(Table8[[#This Row],[Document ID]],Table1[],5,FALSE)</f>
        <v>NDC</v>
      </c>
      <c r="E2247" s="233" t="str">
        <f>VLOOKUP(Table8[[#This Row],[Document ID]],Table1[],7,FALSE)</f>
        <v>First NDC updated</v>
      </c>
      <c r="F2247" s="233" t="str">
        <f>VLOOKUP(Table8[[#This Row],[Document ID]],Table1[],8,FALSE)</f>
        <v>NDC 1.1</v>
      </c>
      <c r="G2247" s="233" t="str">
        <f>VLOOKUP(Table8[[#This Row],[Document ID]],Table1[],10,FALSE)</f>
        <v>Active</v>
      </c>
      <c r="H2247" s="43" t="s">
        <v>2484</v>
      </c>
      <c r="I2247" s="43" t="s">
        <v>2488</v>
      </c>
      <c r="J2247" s="44" t="s">
        <v>2684</v>
      </c>
      <c r="K2247" s="44" t="s">
        <v>4387</v>
      </c>
      <c r="L2247" s="44" t="s">
        <v>2333</v>
      </c>
      <c r="M2247" s="43">
        <v>12</v>
      </c>
      <c r="N2247" s="113"/>
      <c r="O2247" s="113"/>
      <c r="P2247" s="113"/>
      <c r="Q2247" s="113"/>
      <c r="R2247" s="113"/>
      <c r="S2247" s="113"/>
      <c r="T2247" s="113"/>
      <c r="U2247" s="113"/>
      <c r="V2247" s="113"/>
      <c r="W2247" s="113"/>
      <c r="X2247" s="113"/>
      <c r="Y2247" s="113"/>
      <c r="Z2247" s="113"/>
      <c r="AA2247" s="113"/>
      <c r="AB2247" s="113"/>
      <c r="AC2247" s="113"/>
      <c r="AD2247" s="113"/>
      <c r="AE2247" s="113"/>
      <c r="AF2247" s="113"/>
      <c r="AG2247" s="113"/>
      <c r="AH2247" s="113" t="s">
        <v>1113</v>
      </c>
      <c r="AI2247" s="113"/>
      <c r="AJ2247" s="113"/>
      <c r="AK2247" s="113" t="s">
        <v>1113</v>
      </c>
      <c r="AL2247" s="113"/>
      <c r="AM2247" s="113"/>
      <c r="AN2247" s="113"/>
      <c r="AO2247" s="44" t="s">
        <v>2334</v>
      </c>
      <c r="AP2247" s="43"/>
      <c r="AQ2247" s="236" t="str">
        <f>VLOOKUP(Table8[[#This Row],[Instrument]],Def_Targets!$D$73:$E$159,2,FALSE)</f>
        <v>I_Jetfuel</v>
      </c>
      <c r="AR2247" s="233" t="str">
        <f>VLOOKUP(Table8[[#This Row],[Country Code]],Table29[],3,FALSE)</f>
        <v>Annex I</v>
      </c>
      <c r="AS2247" s="233" t="str">
        <f>VLOOKUP(Table8[[#This Row],[Country Code]],Table29[],4,FALSE)</f>
        <v>Asia</v>
      </c>
      <c r="AT2247" s="233" t="str">
        <f>VLOOKUP(Table8[[#This Row],[Country Code]],Table29[],5,FALSE)</f>
        <v>Middle-income</v>
      </c>
      <c r="AU2247" s="233" t="str">
        <f>VLOOKUP(Table8[[#This Row],[Country Code]],Table29[],6,FALSE)</f>
        <v>G20</v>
      </c>
      <c r="AV2247" s="233" t="str">
        <f>VLOOKUP(Table8[[#This Row],[Country Code]],Table29[],7,FALSE)</f>
        <v>no</v>
      </c>
      <c r="AW2247" s="233" t="str">
        <f>VLOOKUP(Table8[[#This Row],[Country Code]],Table29[],8,FALSE)</f>
        <v>OECD</v>
      </c>
      <c r="AX2247" s="233" t="str">
        <f>VLOOKUP(Table8[[#This Row],[Country Code]],Table29[],9,FALSE)</f>
        <v>no</v>
      </c>
      <c r="AY2247" s="233" t="str">
        <f>VLOOKUP(Table8[[#This Row],[Country Code]],Table29[],10,FALSE)</f>
        <v>no</v>
      </c>
      <c r="AZ2247" s="235">
        <f>VLOOKUP(Table8[[#This Row],[Country Code]],Table29[],23,FALSE)</f>
        <v>606.42985584790995</v>
      </c>
      <c r="BA2247" s="235">
        <f>VLOOKUP(Table8[[#This Row],[Country Code]],Table29[],24,FALSE)</f>
        <v>95.92080354160332</v>
      </c>
      <c r="BB2247" s="320"/>
      <c r="BC2247" s="320"/>
    </row>
    <row r="2248" spans="1:55" hidden="1" x14ac:dyDescent="0.25">
      <c r="A2248" s="360">
        <v>42012</v>
      </c>
      <c r="B2248" s="233" t="str">
        <f>VLOOKUP(Table8[[#This Row],[Document ID]],Table1[],2,FALSE)</f>
        <v>TUR</v>
      </c>
      <c r="C2248" s="233" t="str">
        <f>VLOOKUP(Table8[[#This Row],[Document ID]],Table1[],3,FALSE)</f>
        <v>Türkiye</v>
      </c>
      <c r="D2248" s="243" t="str">
        <f>VLOOKUP(Table8[[#This Row],[Document ID]],Table1[],5,FALSE)</f>
        <v>NDC</v>
      </c>
      <c r="E2248" s="233" t="str">
        <f>VLOOKUP(Table8[[#This Row],[Document ID]],Table1[],7,FALSE)</f>
        <v>First NDC updated</v>
      </c>
      <c r="F2248" s="233" t="str">
        <f>VLOOKUP(Table8[[#This Row],[Document ID]],Table1[],8,FALSE)</f>
        <v>NDC 1.1</v>
      </c>
      <c r="G2248" s="233" t="str">
        <f>VLOOKUP(Table8[[#This Row],[Document ID]],Table1[],10,FALSE)</f>
        <v>Active</v>
      </c>
      <c r="H2248" s="43" t="s">
        <v>2484</v>
      </c>
      <c r="I2248" s="43" t="s">
        <v>2485</v>
      </c>
      <c r="J2248" s="44" t="s">
        <v>2978</v>
      </c>
      <c r="K2248" s="44" t="s">
        <v>4388</v>
      </c>
      <c r="L2248" s="44" t="s">
        <v>2333</v>
      </c>
      <c r="M2248" s="43">
        <v>12</v>
      </c>
      <c r="N2248" s="113"/>
      <c r="O2248" s="113"/>
      <c r="P2248" s="113"/>
      <c r="Q2248" s="113"/>
      <c r="R2248" s="113"/>
      <c r="S2248" s="113"/>
      <c r="T2248" s="113"/>
      <c r="U2248" s="113"/>
      <c r="V2248" s="113"/>
      <c r="W2248" s="113"/>
      <c r="X2248" s="113"/>
      <c r="Y2248" s="113"/>
      <c r="Z2248" s="113"/>
      <c r="AA2248" s="113"/>
      <c r="AB2248" s="113"/>
      <c r="AC2248" s="113"/>
      <c r="AD2248" s="113" t="s">
        <v>1113</v>
      </c>
      <c r="AE2248" s="113"/>
      <c r="AF2248" s="113"/>
      <c r="AG2248" s="113"/>
      <c r="AH2248" s="113"/>
      <c r="AI2248" s="113"/>
      <c r="AJ2248" s="113"/>
      <c r="AK2248" s="113" t="s">
        <v>1113</v>
      </c>
      <c r="AL2248" s="113"/>
      <c r="AM2248" s="113"/>
      <c r="AN2248" s="113"/>
      <c r="AO2248" s="44" t="s">
        <v>2334</v>
      </c>
      <c r="AP2248" s="43"/>
      <c r="AQ2248" s="236" t="str">
        <f>VLOOKUP(Table8[[#This Row],[Instrument]],Def_Targets!$D$73:$E$159,2,FALSE)</f>
        <v>I_PortInfra</v>
      </c>
      <c r="AR2248" s="233" t="str">
        <f>VLOOKUP(Table8[[#This Row],[Country Code]],Table29[],3,FALSE)</f>
        <v>Annex I</v>
      </c>
      <c r="AS2248" s="233" t="str">
        <f>VLOOKUP(Table8[[#This Row],[Country Code]],Table29[],4,FALSE)</f>
        <v>Asia</v>
      </c>
      <c r="AT2248" s="233" t="str">
        <f>VLOOKUP(Table8[[#This Row],[Country Code]],Table29[],5,FALSE)</f>
        <v>Middle-income</v>
      </c>
      <c r="AU2248" s="233" t="str">
        <f>VLOOKUP(Table8[[#This Row],[Country Code]],Table29[],6,FALSE)</f>
        <v>G20</v>
      </c>
      <c r="AV2248" s="233" t="str">
        <f>VLOOKUP(Table8[[#This Row],[Country Code]],Table29[],7,FALSE)</f>
        <v>no</v>
      </c>
      <c r="AW2248" s="233" t="str">
        <f>VLOOKUP(Table8[[#This Row],[Country Code]],Table29[],8,FALSE)</f>
        <v>OECD</v>
      </c>
      <c r="AX2248" s="233" t="str">
        <f>VLOOKUP(Table8[[#This Row],[Country Code]],Table29[],9,FALSE)</f>
        <v>no</v>
      </c>
      <c r="AY2248" s="233" t="str">
        <f>VLOOKUP(Table8[[#This Row],[Country Code]],Table29[],10,FALSE)</f>
        <v>no</v>
      </c>
      <c r="AZ2248" s="235">
        <f>VLOOKUP(Table8[[#This Row],[Country Code]],Table29[],23,FALSE)</f>
        <v>606.42985584790995</v>
      </c>
      <c r="BA2248" s="235">
        <f>VLOOKUP(Table8[[#This Row],[Country Code]],Table29[],24,FALSE)</f>
        <v>95.92080354160332</v>
      </c>
      <c r="BB2248" s="320"/>
      <c r="BC2248" s="320"/>
    </row>
    <row r="2249" spans="1:55" hidden="1" x14ac:dyDescent="0.25">
      <c r="A2249" s="360">
        <v>42012</v>
      </c>
      <c r="B2249" s="233" t="str">
        <f>VLOOKUP(Table8[[#This Row],[Document ID]],Table1[],2,FALSE)</f>
        <v>TUR</v>
      </c>
      <c r="C2249" s="233" t="str">
        <f>VLOOKUP(Table8[[#This Row],[Document ID]],Table1[],3,FALSE)</f>
        <v>Türkiye</v>
      </c>
      <c r="D2249" s="243" t="str">
        <f>VLOOKUP(Table8[[#This Row],[Document ID]],Table1[],5,FALSE)</f>
        <v>NDC</v>
      </c>
      <c r="E2249" s="233" t="str">
        <f>VLOOKUP(Table8[[#This Row],[Document ID]],Table1[],7,FALSE)</f>
        <v>First NDC updated</v>
      </c>
      <c r="F2249" s="233" t="str">
        <f>VLOOKUP(Table8[[#This Row],[Document ID]],Table1[],8,FALSE)</f>
        <v>NDC 1.1</v>
      </c>
      <c r="G2249" s="233" t="str">
        <f>VLOOKUP(Table8[[#This Row],[Document ID]],Table1[],10,FALSE)</f>
        <v>Active</v>
      </c>
      <c r="H2249" s="43" t="s">
        <v>2484</v>
      </c>
      <c r="I2249" s="43" t="s">
        <v>2485</v>
      </c>
      <c r="J2249" s="44" t="s">
        <v>2486</v>
      </c>
      <c r="K2249" s="44" t="s">
        <v>4389</v>
      </c>
      <c r="L2249" s="44" t="s">
        <v>2380</v>
      </c>
      <c r="M2249" s="43">
        <v>12</v>
      </c>
      <c r="N2249" s="113"/>
      <c r="O2249" s="113"/>
      <c r="P2249" s="113"/>
      <c r="Q2249" s="113"/>
      <c r="R2249" s="113"/>
      <c r="S2249" s="113"/>
      <c r="T2249" s="113"/>
      <c r="U2249" s="113"/>
      <c r="V2249" s="113"/>
      <c r="W2249" s="113"/>
      <c r="X2249" s="113"/>
      <c r="Y2249" s="113"/>
      <c r="Z2249" s="113"/>
      <c r="AA2249" s="113"/>
      <c r="AB2249" s="113"/>
      <c r="AC2249" s="113"/>
      <c r="AD2249" s="113" t="s">
        <v>1113</v>
      </c>
      <c r="AE2249" s="113"/>
      <c r="AF2249" s="113"/>
      <c r="AG2249" s="113"/>
      <c r="AH2249" s="113"/>
      <c r="AI2249" s="113"/>
      <c r="AJ2249" s="113"/>
      <c r="AK2249" s="113" t="s">
        <v>1113</v>
      </c>
      <c r="AL2249" s="113"/>
      <c r="AM2249" s="113"/>
      <c r="AN2249" s="113"/>
      <c r="AO2249" s="44" t="s">
        <v>2334</v>
      </c>
      <c r="AP2249" s="43"/>
      <c r="AQ2249" s="236" t="str">
        <f>VLOOKUP(Table8[[#This Row],[Instrument]],Def_Targets!$D$73:$E$159,2,FALSE)</f>
        <v>I_Shipping</v>
      </c>
      <c r="AR2249" s="233" t="str">
        <f>VLOOKUP(Table8[[#This Row],[Country Code]],Table29[],3,FALSE)</f>
        <v>Annex I</v>
      </c>
      <c r="AS2249" s="233" t="str">
        <f>VLOOKUP(Table8[[#This Row],[Country Code]],Table29[],4,FALSE)</f>
        <v>Asia</v>
      </c>
      <c r="AT2249" s="233" t="str">
        <f>VLOOKUP(Table8[[#This Row],[Country Code]],Table29[],5,FALSE)</f>
        <v>Middle-income</v>
      </c>
      <c r="AU2249" s="233" t="str">
        <f>VLOOKUP(Table8[[#This Row],[Country Code]],Table29[],6,FALSE)</f>
        <v>G20</v>
      </c>
      <c r="AV2249" s="233" t="str">
        <f>VLOOKUP(Table8[[#This Row],[Country Code]],Table29[],7,FALSE)</f>
        <v>no</v>
      </c>
      <c r="AW2249" s="233" t="str">
        <f>VLOOKUP(Table8[[#This Row],[Country Code]],Table29[],8,FALSE)</f>
        <v>OECD</v>
      </c>
      <c r="AX2249" s="233" t="str">
        <f>VLOOKUP(Table8[[#This Row],[Country Code]],Table29[],9,FALSE)</f>
        <v>no</v>
      </c>
      <c r="AY2249" s="233" t="str">
        <f>VLOOKUP(Table8[[#This Row],[Country Code]],Table29[],10,FALSE)</f>
        <v>no</v>
      </c>
      <c r="AZ2249" s="235">
        <f>VLOOKUP(Table8[[#This Row],[Country Code]],Table29[],23,FALSE)</f>
        <v>606.42985584790995</v>
      </c>
      <c r="BA2249" s="235">
        <f>VLOOKUP(Table8[[#This Row],[Country Code]],Table29[],24,FALSE)</f>
        <v>95.92080354160332</v>
      </c>
      <c r="BB2249" s="320"/>
      <c r="BC2249" s="320"/>
    </row>
    <row r="2250" spans="1:55" hidden="1" x14ac:dyDescent="0.25">
      <c r="A2250" s="360">
        <v>42012</v>
      </c>
      <c r="B2250" s="233" t="str">
        <f>VLOOKUP(Table8[[#This Row],[Document ID]],Table1[],2,FALSE)</f>
        <v>TUR</v>
      </c>
      <c r="C2250" s="233" t="str">
        <f>VLOOKUP(Table8[[#This Row],[Document ID]],Table1[],3,FALSE)</f>
        <v>Türkiye</v>
      </c>
      <c r="D2250" s="243" t="str">
        <f>VLOOKUP(Table8[[#This Row],[Document ID]],Table1[],5,FALSE)</f>
        <v>NDC</v>
      </c>
      <c r="E2250" s="233" t="str">
        <f>VLOOKUP(Table8[[#This Row],[Document ID]],Table1[],7,FALSE)</f>
        <v>First NDC updated</v>
      </c>
      <c r="F2250" s="233" t="str">
        <f>VLOOKUP(Table8[[#This Row],[Document ID]],Table1[],8,FALSE)</f>
        <v>NDC 1.1</v>
      </c>
      <c r="G2250" s="233" t="str">
        <f>VLOOKUP(Table8[[#This Row],[Document ID]],Table1[],10,FALSE)</f>
        <v>Active</v>
      </c>
      <c r="H2250" s="43" t="s">
        <v>2350</v>
      </c>
      <c r="I2250" s="43" t="s">
        <v>2456</v>
      </c>
      <c r="J2250" s="44" t="s">
        <v>2643</v>
      </c>
      <c r="K2250" s="44" t="s">
        <v>4390</v>
      </c>
      <c r="L2250" s="44" t="s">
        <v>2333</v>
      </c>
      <c r="M2250" s="43">
        <v>12</v>
      </c>
      <c r="N2250" s="113" t="s">
        <v>1113</v>
      </c>
      <c r="O2250" s="113"/>
      <c r="P2250" s="113"/>
      <c r="Q2250" s="113"/>
      <c r="R2250" s="113"/>
      <c r="S2250" s="113"/>
      <c r="T2250" s="113"/>
      <c r="U2250" s="113"/>
      <c r="V2250" s="113"/>
      <c r="W2250" s="113"/>
      <c r="X2250" s="113"/>
      <c r="Y2250" s="113"/>
      <c r="Z2250" s="113"/>
      <c r="AA2250" s="113"/>
      <c r="AB2250" s="113"/>
      <c r="AC2250" s="113"/>
      <c r="AD2250" s="113"/>
      <c r="AE2250" s="113"/>
      <c r="AF2250" s="113"/>
      <c r="AG2250" s="113"/>
      <c r="AH2250" s="113"/>
      <c r="AI2250" s="113"/>
      <c r="AJ2250" s="113"/>
      <c r="AK2250" s="113" t="s">
        <v>1113</v>
      </c>
      <c r="AL2250" s="113"/>
      <c r="AM2250" s="113"/>
      <c r="AN2250" s="113"/>
      <c r="AO2250" s="44" t="s">
        <v>2334</v>
      </c>
      <c r="AP2250" s="43"/>
      <c r="AQ2250" s="236" t="str">
        <f>VLOOKUP(Table8[[#This Row],[Instrument]],Def_Targets!$D$73:$E$159,2,FALSE)</f>
        <v>S_Intermodality</v>
      </c>
      <c r="AR2250" s="233" t="str">
        <f>VLOOKUP(Table8[[#This Row],[Country Code]],Table29[],3,FALSE)</f>
        <v>Annex I</v>
      </c>
      <c r="AS2250" s="233" t="str">
        <f>VLOOKUP(Table8[[#This Row],[Country Code]],Table29[],4,FALSE)</f>
        <v>Asia</v>
      </c>
      <c r="AT2250" s="233" t="str">
        <f>VLOOKUP(Table8[[#This Row],[Country Code]],Table29[],5,FALSE)</f>
        <v>Middle-income</v>
      </c>
      <c r="AU2250" s="233" t="str">
        <f>VLOOKUP(Table8[[#This Row],[Country Code]],Table29[],6,FALSE)</f>
        <v>G20</v>
      </c>
      <c r="AV2250" s="233" t="str">
        <f>VLOOKUP(Table8[[#This Row],[Country Code]],Table29[],7,FALSE)</f>
        <v>no</v>
      </c>
      <c r="AW2250" s="233" t="str">
        <f>VLOOKUP(Table8[[#This Row],[Country Code]],Table29[],8,FALSE)</f>
        <v>OECD</v>
      </c>
      <c r="AX2250" s="233" t="str">
        <f>VLOOKUP(Table8[[#This Row],[Country Code]],Table29[],9,FALSE)</f>
        <v>no</v>
      </c>
      <c r="AY2250" s="233" t="str">
        <f>VLOOKUP(Table8[[#This Row],[Country Code]],Table29[],10,FALSE)</f>
        <v>no</v>
      </c>
      <c r="AZ2250" s="235">
        <f>VLOOKUP(Table8[[#This Row],[Country Code]],Table29[],23,FALSE)</f>
        <v>606.42985584790995</v>
      </c>
      <c r="BA2250" s="235">
        <f>VLOOKUP(Table8[[#This Row],[Country Code]],Table29[],24,FALSE)</f>
        <v>95.92080354160332</v>
      </c>
      <c r="BB2250" s="320"/>
      <c r="BC2250" s="320"/>
    </row>
    <row r="2251" spans="1:55" hidden="1" x14ac:dyDescent="0.25">
      <c r="A2251" s="360">
        <v>42012</v>
      </c>
      <c r="B2251" s="233" t="str">
        <f>VLOOKUP(Table8[[#This Row],[Document ID]],Table1[],2,FALSE)</f>
        <v>TUR</v>
      </c>
      <c r="C2251" s="233" t="str">
        <f>VLOOKUP(Table8[[#This Row],[Document ID]],Table1[],3,FALSE)</f>
        <v>Türkiye</v>
      </c>
      <c r="D2251" s="243" t="str">
        <f>VLOOKUP(Table8[[#This Row],[Document ID]],Table1[],5,FALSE)</f>
        <v>NDC</v>
      </c>
      <c r="E2251" s="233" t="str">
        <f>VLOOKUP(Table8[[#This Row],[Document ID]],Table1[],7,FALSE)</f>
        <v>First NDC updated</v>
      </c>
      <c r="F2251" s="233" t="str">
        <f>VLOOKUP(Table8[[#This Row],[Document ID]],Table1[],8,FALSE)</f>
        <v>NDC 1.1</v>
      </c>
      <c r="G2251" s="233" t="str">
        <f>VLOOKUP(Table8[[#This Row],[Document ID]],Table1[],10,FALSE)</f>
        <v>Active</v>
      </c>
      <c r="H2251" s="44" t="s">
        <v>2329</v>
      </c>
      <c r="I2251" s="44" t="s">
        <v>2330</v>
      </c>
      <c r="J2251" s="44" t="s">
        <v>2331</v>
      </c>
      <c r="K2251" s="44" t="s">
        <v>4391</v>
      </c>
      <c r="L2251" s="44" t="s">
        <v>2333</v>
      </c>
      <c r="M2251" s="43">
        <v>12</v>
      </c>
      <c r="N2251" s="113" t="s">
        <v>1113</v>
      </c>
      <c r="O2251" s="113"/>
      <c r="P2251" s="113"/>
      <c r="Q2251" s="113"/>
      <c r="R2251" s="113"/>
      <c r="S2251" s="113"/>
      <c r="T2251" s="113"/>
      <c r="U2251" s="113"/>
      <c r="V2251" s="113"/>
      <c r="W2251" s="113"/>
      <c r="X2251" s="113"/>
      <c r="Y2251" s="113"/>
      <c r="Z2251" s="113"/>
      <c r="AA2251" s="113"/>
      <c r="AB2251" s="113"/>
      <c r="AC2251" s="113"/>
      <c r="AD2251" s="113"/>
      <c r="AE2251" s="113"/>
      <c r="AF2251" s="113"/>
      <c r="AG2251" s="113"/>
      <c r="AH2251" s="113"/>
      <c r="AI2251" s="113"/>
      <c r="AJ2251" s="113"/>
      <c r="AK2251" s="113" t="s">
        <v>1113</v>
      </c>
      <c r="AL2251" s="113"/>
      <c r="AM2251" s="113"/>
      <c r="AN2251" s="113"/>
      <c r="AO2251" s="44" t="s">
        <v>2334</v>
      </c>
      <c r="AP2251" s="43"/>
      <c r="AQ2251" s="236" t="str">
        <f>VLOOKUP(Table8[[#This Row],[Instrument]],Def_Targets!$D$73:$E$159,2,FALSE)</f>
        <v>I_Altfuels</v>
      </c>
      <c r="AR2251" s="233" t="str">
        <f>VLOOKUP(Table8[[#This Row],[Country Code]],Table29[],3,FALSE)</f>
        <v>Annex I</v>
      </c>
      <c r="AS2251" s="233" t="str">
        <f>VLOOKUP(Table8[[#This Row],[Country Code]],Table29[],4,FALSE)</f>
        <v>Asia</v>
      </c>
      <c r="AT2251" s="233" t="str">
        <f>VLOOKUP(Table8[[#This Row],[Country Code]],Table29[],5,FALSE)</f>
        <v>Middle-income</v>
      </c>
      <c r="AU2251" s="233" t="str">
        <f>VLOOKUP(Table8[[#This Row],[Country Code]],Table29[],6,FALSE)</f>
        <v>G20</v>
      </c>
      <c r="AV2251" s="233" t="str">
        <f>VLOOKUP(Table8[[#This Row],[Country Code]],Table29[],7,FALSE)</f>
        <v>no</v>
      </c>
      <c r="AW2251" s="233" t="str">
        <f>VLOOKUP(Table8[[#This Row],[Country Code]],Table29[],8,FALSE)</f>
        <v>OECD</v>
      </c>
      <c r="AX2251" s="233" t="str">
        <f>VLOOKUP(Table8[[#This Row],[Country Code]],Table29[],9,FALSE)</f>
        <v>no</v>
      </c>
      <c r="AY2251" s="233" t="str">
        <f>VLOOKUP(Table8[[#This Row],[Country Code]],Table29[],10,FALSE)</f>
        <v>no</v>
      </c>
      <c r="AZ2251" s="235">
        <f>VLOOKUP(Table8[[#This Row],[Country Code]],Table29[],23,FALSE)</f>
        <v>606.42985584790995</v>
      </c>
      <c r="BA2251" s="235">
        <f>VLOOKUP(Table8[[#This Row],[Country Code]],Table29[],24,FALSE)</f>
        <v>95.92080354160332</v>
      </c>
      <c r="BB2251" s="320"/>
      <c r="BC2251" s="320"/>
    </row>
    <row r="2252" spans="1:55" hidden="1" x14ac:dyDescent="0.25">
      <c r="A2252" s="360">
        <v>42012</v>
      </c>
      <c r="B2252" s="233" t="str">
        <f>VLOOKUP(Table8[[#This Row],[Document ID]],Table1[],2,FALSE)</f>
        <v>TUR</v>
      </c>
      <c r="C2252" s="233" t="str">
        <f>VLOOKUP(Table8[[#This Row],[Document ID]],Table1[],3,FALSE)</f>
        <v>Türkiye</v>
      </c>
      <c r="D2252" s="243" t="str">
        <f>VLOOKUP(Table8[[#This Row],[Document ID]],Table1[],5,FALSE)</f>
        <v>NDC</v>
      </c>
      <c r="E2252" s="233" t="str">
        <f>VLOOKUP(Table8[[#This Row],[Document ID]],Table1[],7,FALSE)</f>
        <v>First NDC updated</v>
      </c>
      <c r="F2252" s="233" t="str">
        <f>VLOOKUP(Table8[[#This Row],[Document ID]],Table1[],8,FALSE)</f>
        <v>NDC 1.1</v>
      </c>
      <c r="G2252" s="233" t="str">
        <f>VLOOKUP(Table8[[#This Row],[Document ID]],Table1[],10,FALSE)</f>
        <v>Active</v>
      </c>
      <c r="H2252" s="43" t="s">
        <v>2350</v>
      </c>
      <c r="I2252" s="43" t="s">
        <v>2456</v>
      </c>
      <c r="J2252" s="44" t="s">
        <v>2457</v>
      </c>
      <c r="K2252" s="44" t="s">
        <v>4392</v>
      </c>
      <c r="L2252" s="44" t="s">
        <v>2333</v>
      </c>
      <c r="M2252" s="43">
        <v>12</v>
      </c>
      <c r="N2252" s="113"/>
      <c r="O2252" s="113"/>
      <c r="P2252" s="113"/>
      <c r="Q2252" s="113"/>
      <c r="R2252" s="113"/>
      <c r="S2252" s="113"/>
      <c r="T2252" s="113"/>
      <c r="U2252" s="113"/>
      <c r="V2252" s="113"/>
      <c r="W2252" s="113"/>
      <c r="X2252" s="113"/>
      <c r="Y2252" s="113"/>
      <c r="Z2252" s="113" t="s">
        <v>1113</v>
      </c>
      <c r="AA2252" s="113"/>
      <c r="AB2252" s="113"/>
      <c r="AC2252" s="113"/>
      <c r="AD2252" s="113"/>
      <c r="AE2252" s="113"/>
      <c r="AF2252" s="113"/>
      <c r="AG2252" s="113"/>
      <c r="AH2252" s="113"/>
      <c r="AI2252" s="113"/>
      <c r="AJ2252" s="113"/>
      <c r="AK2252" s="113" t="s">
        <v>1113</v>
      </c>
      <c r="AL2252" s="113"/>
      <c r="AM2252" s="113"/>
      <c r="AN2252" s="113"/>
      <c r="AO2252" s="44" t="s">
        <v>2334</v>
      </c>
      <c r="AP2252" s="43"/>
      <c r="AQ2252" s="236" t="str">
        <f>VLOOKUP(Table8[[#This Row],[Instrument]],Def_Targets!$D$73:$E$159,2,FALSE)</f>
        <v>S_Infraimprove</v>
      </c>
      <c r="AR2252" s="233" t="str">
        <f>VLOOKUP(Table8[[#This Row],[Country Code]],Table29[],3,FALSE)</f>
        <v>Annex I</v>
      </c>
      <c r="AS2252" s="233" t="str">
        <f>VLOOKUP(Table8[[#This Row],[Country Code]],Table29[],4,FALSE)</f>
        <v>Asia</v>
      </c>
      <c r="AT2252" s="233" t="str">
        <f>VLOOKUP(Table8[[#This Row],[Country Code]],Table29[],5,FALSE)</f>
        <v>Middle-income</v>
      </c>
      <c r="AU2252" s="233" t="str">
        <f>VLOOKUP(Table8[[#This Row],[Country Code]],Table29[],6,FALSE)</f>
        <v>G20</v>
      </c>
      <c r="AV2252" s="233" t="str">
        <f>VLOOKUP(Table8[[#This Row],[Country Code]],Table29[],7,FALSE)</f>
        <v>no</v>
      </c>
      <c r="AW2252" s="233" t="str">
        <f>VLOOKUP(Table8[[#This Row],[Country Code]],Table29[],8,FALSE)</f>
        <v>OECD</v>
      </c>
      <c r="AX2252" s="233" t="str">
        <f>VLOOKUP(Table8[[#This Row],[Country Code]],Table29[],9,FALSE)</f>
        <v>no</v>
      </c>
      <c r="AY2252" s="233" t="str">
        <f>VLOOKUP(Table8[[#This Row],[Country Code]],Table29[],10,FALSE)</f>
        <v>no</v>
      </c>
      <c r="AZ2252" s="235">
        <f>VLOOKUP(Table8[[#This Row],[Country Code]],Table29[],23,FALSE)</f>
        <v>606.42985584790995</v>
      </c>
      <c r="BA2252" s="235">
        <f>VLOOKUP(Table8[[#This Row],[Country Code]],Table29[],24,FALSE)</f>
        <v>95.92080354160332</v>
      </c>
      <c r="BB2252" s="320"/>
      <c r="BC2252" s="320"/>
    </row>
    <row r="2253" spans="1:55" ht="30" hidden="1" x14ac:dyDescent="0.25">
      <c r="A2253" s="360">
        <v>42012</v>
      </c>
      <c r="B2253" s="233" t="str">
        <f>VLOOKUP(Table8[[#This Row],[Document ID]],Table1[],2,FALSE)</f>
        <v>TUR</v>
      </c>
      <c r="C2253" s="233" t="str">
        <f>VLOOKUP(Table8[[#This Row],[Document ID]],Table1[],3,FALSE)</f>
        <v>Türkiye</v>
      </c>
      <c r="D2253" s="243" t="str">
        <f>VLOOKUP(Table8[[#This Row],[Document ID]],Table1[],5,FALSE)</f>
        <v>NDC</v>
      </c>
      <c r="E2253" s="233" t="str">
        <f>VLOOKUP(Table8[[#This Row],[Document ID]],Table1[],7,FALSE)</f>
        <v>First NDC updated</v>
      </c>
      <c r="F2253" s="233" t="str">
        <f>VLOOKUP(Table8[[#This Row],[Document ID]],Table1[],8,FALSE)</f>
        <v>NDC 1.1</v>
      </c>
      <c r="G2253" s="233" t="str">
        <f>VLOOKUP(Table8[[#This Row],[Document ID]],Table1[],10,FALSE)</f>
        <v>Active</v>
      </c>
      <c r="H2253" s="43" t="s">
        <v>2350</v>
      </c>
      <c r="I2253" s="43" t="s">
        <v>2456</v>
      </c>
      <c r="J2253" s="44" t="s">
        <v>2457</v>
      </c>
      <c r="K2253" s="44" t="s">
        <v>4393</v>
      </c>
      <c r="L2253" s="44" t="s">
        <v>2333</v>
      </c>
      <c r="M2253" s="43">
        <v>12</v>
      </c>
      <c r="N2253" s="113"/>
      <c r="O2253" s="113"/>
      <c r="P2253" s="113"/>
      <c r="Q2253" s="113"/>
      <c r="R2253" s="113"/>
      <c r="S2253" s="113"/>
      <c r="T2253" s="113"/>
      <c r="U2253" s="113"/>
      <c r="V2253" s="113"/>
      <c r="W2253" s="113"/>
      <c r="X2253" s="113"/>
      <c r="Y2253" s="113"/>
      <c r="Z2253" s="113" t="s">
        <v>1113</v>
      </c>
      <c r="AA2253" s="113"/>
      <c r="AB2253" s="113"/>
      <c r="AC2253" s="113"/>
      <c r="AD2253" s="113"/>
      <c r="AE2253" s="113"/>
      <c r="AF2253" s="113"/>
      <c r="AG2253" s="113"/>
      <c r="AH2253" s="113"/>
      <c r="AI2253" s="113"/>
      <c r="AJ2253" s="113"/>
      <c r="AK2253" s="113" t="s">
        <v>1113</v>
      </c>
      <c r="AL2253" s="113"/>
      <c r="AM2253" s="113"/>
      <c r="AN2253" s="113"/>
      <c r="AO2253" s="44" t="s">
        <v>2334</v>
      </c>
      <c r="AP2253" s="43"/>
      <c r="AQ2253" s="236" t="str">
        <f>VLOOKUP(Table8[[#This Row],[Instrument]],Def_Targets!$D$73:$E$159,2,FALSE)</f>
        <v>S_Infraimprove</v>
      </c>
      <c r="AR2253" s="233" t="str">
        <f>VLOOKUP(Table8[[#This Row],[Country Code]],Table29[],3,FALSE)</f>
        <v>Annex I</v>
      </c>
      <c r="AS2253" s="233" t="str">
        <f>VLOOKUP(Table8[[#This Row],[Country Code]],Table29[],4,FALSE)</f>
        <v>Asia</v>
      </c>
      <c r="AT2253" s="233" t="str">
        <f>VLOOKUP(Table8[[#This Row],[Country Code]],Table29[],5,FALSE)</f>
        <v>Middle-income</v>
      </c>
      <c r="AU2253" s="233" t="str">
        <f>VLOOKUP(Table8[[#This Row],[Country Code]],Table29[],6,FALSE)</f>
        <v>G20</v>
      </c>
      <c r="AV2253" s="233" t="str">
        <f>VLOOKUP(Table8[[#This Row],[Country Code]],Table29[],7,FALSE)</f>
        <v>no</v>
      </c>
      <c r="AW2253" s="233" t="str">
        <f>VLOOKUP(Table8[[#This Row],[Country Code]],Table29[],8,FALSE)</f>
        <v>OECD</v>
      </c>
      <c r="AX2253" s="233" t="str">
        <f>VLOOKUP(Table8[[#This Row],[Country Code]],Table29[],9,FALSE)</f>
        <v>no</v>
      </c>
      <c r="AY2253" s="233" t="str">
        <f>VLOOKUP(Table8[[#This Row],[Country Code]],Table29[],10,FALSE)</f>
        <v>no</v>
      </c>
      <c r="AZ2253" s="235">
        <f>VLOOKUP(Table8[[#This Row],[Country Code]],Table29[],23,FALSE)</f>
        <v>606.42985584790995</v>
      </c>
      <c r="BA2253" s="235">
        <f>VLOOKUP(Table8[[#This Row],[Country Code]],Table29[],24,FALSE)</f>
        <v>95.92080354160332</v>
      </c>
      <c r="BB2253" s="320"/>
      <c r="BC2253" s="320"/>
    </row>
    <row r="2254" spans="1:55" ht="30" hidden="1" x14ac:dyDescent="0.25">
      <c r="A2254" s="360">
        <v>42012</v>
      </c>
      <c r="B2254" s="233" t="str">
        <f>VLOOKUP(Table8[[#This Row],[Document ID]],Table1[],2,FALSE)</f>
        <v>TUR</v>
      </c>
      <c r="C2254" s="233" t="str">
        <f>VLOOKUP(Table8[[#This Row],[Document ID]],Table1[],3,FALSE)</f>
        <v>Türkiye</v>
      </c>
      <c r="D2254" s="243" t="str">
        <f>VLOOKUP(Table8[[#This Row],[Document ID]],Table1[],5,FALSE)</f>
        <v>NDC</v>
      </c>
      <c r="E2254" s="233" t="str">
        <f>VLOOKUP(Table8[[#This Row],[Document ID]],Table1[],7,FALSE)</f>
        <v>First NDC updated</v>
      </c>
      <c r="F2254" s="233" t="str">
        <f>VLOOKUP(Table8[[#This Row],[Document ID]],Table1[],8,FALSE)</f>
        <v>NDC 1.1</v>
      </c>
      <c r="G2254" s="233" t="str">
        <f>VLOOKUP(Table8[[#This Row],[Document ID]],Table1[],10,FALSE)</f>
        <v>Active</v>
      </c>
      <c r="H2254" s="43" t="s">
        <v>2484</v>
      </c>
      <c r="I2254" s="43" t="s">
        <v>2485</v>
      </c>
      <c r="J2254" s="44" t="s">
        <v>2775</v>
      </c>
      <c r="K2254" s="44" t="s">
        <v>4394</v>
      </c>
      <c r="L2254" s="44" t="s">
        <v>2333</v>
      </c>
      <c r="M2254" s="43">
        <v>12</v>
      </c>
      <c r="N2254" s="113"/>
      <c r="O2254" s="113"/>
      <c r="P2254" s="113"/>
      <c r="Q2254" s="113"/>
      <c r="R2254" s="113"/>
      <c r="S2254" s="113"/>
      <c r="T2254" s="113"/>
      <c r="U2254" s="113"/>
      <c r="V2254" s="113"/>
      <c r="W2254" s="113"/>
      <c r="X2254" s="113"/>
      <c r="Y2254" s="113"/>
      <c r="Z2254" s="113"/>
      <c r="AA2254" s="113"/>
      <c r="AB2254" s="113"/>
      <c r="AC2254" s="113"/>
      <c r="AD2254" s="113" t="s">
        <v>1113</v>
      </c>
      <c r="AE2254" s="113"/>
      <c r="AF2254" s="113"/>
      <c r="AG2254" s="113"/>
      <c r="AH2254" s="113"/>
      <c r="AI2254" s="113"/>
      <c r="AJ2254" s="113"/>
      <c r="AK2254" s="113" t="s">
        <v>1113</v>
      </c>
      <c r="AL2254" s="113"/>
      <c r="AM2254" s="113"/>
      <c r="AN2254" s="113"/>
      <c r="AO2254" s="44" t="s">
        <v>2334</v>
      </c>
      <c r="AP2254" s="43"/>
      <c r="AQ2254" s="236" t="str">
        <f>VLOOKUP(Table8[[#This Row],[Instrument]],Def_Targets!$D$73:$E$159,2,FALSE)</f>
        <v>I_Onshorepower</v>
      </c>
      <c r="AR2254" s="233" t="str">
        <f>VLOOKUP(Table8[[#This Row],[Country Code]],Table29[],3,FALSE)</f>
        <v>Annex I</v>
      </c>
      <c r="AS2254" s="233" t="str">
        <f>VLOOKUP(Table8[[#This Row],[Country Code]],Table29[],4,FALSE)</f>
        <v>Asia</v>
      </c>
      <c r="AT2254" s="233" t="str">
        <f>VLOOKUP(Table8[[#This Row],[Country Code]],Table29[],5,FALSE)</f>
        <v>Middle-income</v>
      </c>
      <c r="AU2254" s="233" t="str">
        <f>VLOOKUP(Table8[[#This Row],[Country Code]],Table29[],6,FALSE)</f>
        <v>G20</v>
      </c>
      <c r="AV2254" s="233" t="str">
        <f>VLOOKUP(Table8[[#This Row],[Country Code]],Table29[],7,FALSE)</f>
        <v>no</v>
      </c>
      <c r="AW2254" s="233" t="str">
        <f>VLOOKUP(Table8[[#This Row],[Country Code]],Table29[],8,FALSE)</f>
        <v>OECD</v>
      </c>
      <c r="AX2254" s="233" t="str">
        <f>VLOOKUP(Table8[[#This Row],[Country Code]],Table29[],9,FALSE)</f>
        <v>no</v>
      </c>
      <c r="AY2254" s="233" t="str">
        <f>VLOOKUP(Table8[[#This Row],[Country Code]],Table29[],10,FALSE)</f>
        <v>no</v>
      </c>
      <c r="AZ2254" s="235">
        <f>VLOOKUP(Table8[[#This Row],[Country Code]],Table29[],23,FALSE)</f>
        <v>606.42985584790995</v>
      </c>
      <c r="BA2254" s="235">
        <f>VLOOKUP(Table8[[#This Row],[Country Code]],Table29[],24,FALSE)</f>
        <v>95.92080354160332</v>
      </c>
      <c r="BB2254" s="320"/>
      <c r="BC2254" s="320"/>
    </row>
    <row r="2255" spans="1:55" ht="30" hidden="1" x14ac:dyDescent="0.25">
      <c r="A2255" s="360">
        <v>42012</v>
      </c>
      <c r="B2255" s="233" t="str">
        <f>VLOOKUP(Table8[[#This Row],[Document ID]],Table1[],2,FALSE)</f>
        <v>TUR</v>
      </c>
      <c r="C2255" s="233" t="str">
        <f>VLOOKUP(Table8[[#This Row],[Document ID]],Table1[],3,FALSE)</f>
        <v>Türkiye</v>
      </c>
      <c r="D2255" s="243" t="str">
        <f>VLOOKUP(Table8[[#This Row],[Document ID]],Table1[],5,FALSE)</f>
        <v>NDC</v>
      </c>
      <c r="E2255" s="233" t="str">
        <f>VLOOKUP(Table8[[#This Row],[Document ID]],Table1[],7,FALSE)</f>
        <v>First NDC updated</v>
      </c>
      <c r="F2255" s="233" t="str">
        <f>VLOOKUP(Table8[[#This Row],[Document ID]],Table1[],8,FALSE)</f>
        <v>NDC 1.1</v>
      </c>
      <c r="G2255" s="233" t="str">
        <f>VLOOKUP(Table8[[#This Row],[Document ID]],Table1[],10,FALSE)</f>
        <v>Active</v>
      </c>
      <c r="H2255" s="43" t="s">
        <v>2484</v>
      </c>
      <c r="I2255" s="43" t="s">
        <v>2488</v>
      </c>
      <c r="J2255" s="44" t="s">
        <v>2489</v>
      </c>
      <c r="K2255" s="44" t="s">
        <v>4395</v>
      </c>
      <c r="L2255" s="44" t="s">
        <v>2333</v>
      </c>
      <c r="M2255" s="43">
        <v>12</v>
      </c>
      <c r="N2255" s="113"/>
      <c r="O2255" s="113"/>
      <c r="P2255" s="113"/>
      <c r="Q2255" s="113"/>
      <c r="R2255" s="113"/>
      <c r="S2255" s="113"/>
      <c r="T2255" s="113"/>
      <c r="U2255" s="113"/>
      <c r="V2255" s="113"/>
      <c r="W2255" s="113"/>
      <c r="X2255" s="113"/>
      <c r="Y2255" s="113"/>
      <c r="Z2255" s="113"/>
      <c r="AA2255" s="113"/>
      <c r="AB2255" s="113"/>
      <c r="AC2255" s="113"/>
      <c r="AD2255" s="113"/>
      <c r="AE2255" s="113"/>
      <c r="AF2255" s="113"/>
      <c r="AG2255" s="113"/>
      <c r="AH2255" s="113" t="s">
        <v>1113</v>
      </c>
      <c r="AI2255" s="113"/>
      <c r="AJ2255" s="113"/>
      <c r="AK2255" s="113" t="s">
        <v>1113</v>
      </c>
      <c r="AL2255" s="113"/>
      <c r="AM2255" s="113"/>
      <c r="AN2255" s="113"/>
      <c r="AO2255" s="44" t="s">
        <v>2334</v>
      </c>
      <c r="AP2255" s="43"/>
      <c r="AQ2255" s="236" t="str">
        <f>VLOOKUP(Table8[[#This Row],[Instrument]],Def_Targets!$D$73:$E$159,2,FALSE)</f>
        <v>I_Aviation</v>
      </c>
      <c r="AR2255" s="233" t="str">
        <f>VLOOKUP(Table8[[#This Row],[Country Code]],Table29[],3,FALSE)</f>
        <v>Annex I</v>
      </c>
      <c r="AS2255" s="233" t="str">
        <f>VLOOKUP(Table8[[#This Row],[Country Code]],Table29[],4,FALSE)</f>
        <v>Asia</v>
      </c>
      <c r="AT2255" s="233" t="str">
        <f>VLOOKUP(Table8[[#This Row],[Country Code]],Table29[],5,FALSE)</f>
        <v>Middle-income</v>
      </c>
      <c r="AU2255" s="233" t="str">
        <f>VLOOKUP(Table8[[#This Row],[Country Code]],Table29[],6,FALSE)</f>
        <v>G20</v>
      </c>
      <c r="AV2255" s="233" t="str">
        <f>VLOOKUP(Table8[[#This Row],[Country Code]],Table29[],7,FALSE)</f>
        <v>no</v>
      </c>
      <c r="AW2255" s="233" t="str">
        <f>VLOOKUP(Table8[[#This Row],[Country Code]],Table29[],8,FALSE)</f>
        <v>OECD</v>
      </c>
      <c r="AX2255" s="233" t="str">
        <f>VLOOKUP(Table8[[#This Row],[Country Code]],Table29[],9,FALSE)</f>
        <v>no</v>
      </c>
      <c r="AY2255" s="233" t="str">
        <f>VLOOKUP(Table8[[#This Row],[Country Code]],Table29[],10,FALSE)</f>
        <v>no</v>
      </c>
      <c r="AZ2255" s="235">
        <f>VLOOKUP(Table8[[#This Row],[Country Code]],Table29[],23,FALSE)</f>
        <v>606.42985584790995</v>
      </c>
      <c r="BA2255" s="235">
        <f>VLOOKUP(Table8[[#This Row],[Country Code]],Table29[],24,FALSE)</f>
        <v>95.92080354160332</v>
      </c>
      <c r="BB2255" s="320"/>
      <c r="BC2255" s="320"/>
    </row>
    <row r="2256" spans="1:55" s="17" customFormat="1" hidden="1" x14ac:dyDescent="0.25">
      <c r="A2256" s="373">
        <v>32522</v>
      </c>
      <c r="B2256" s="233" t="str">
        <f>VLOOKUP(Table8[[#This Row],[Document ID]],Table1[],2,FALSE)</f>
        <v>TKM</v>
      </c>
      <c r="C2256" s="233" t="str">
        <f>VLOOKUP(Table8[[#This Row],[Document ID]],Table1[],3,FALSE)</f>
        <v>Turkmenistan</v>
      </c>
      <c r="D2256" s="243" t="str">
        <f>VLOOKUP(Table8[[#This Row],[Document ID]],Table1[],5,FALSE)</f>
        <v>NDC</v>
      </c>
      <c r="E2256" s="233" t="str">
        <f>VLOOKUP(Table8[[#This Row],[Document ID]],Table1[],7,FALSE)</f>
        <v>First NDC updated</v>
      </c>
      <c r="F2256" s="233" t="str">
        <f>VLOOKUP(Table8[[#This Row],[Document ID]],Table1[],8,FALSE)</f>
        <v>NDC 1.1</v>
      </c>
      <c r="G2256" s="233" t="str">
        <f>VLOOKUP(Table8[[#This Row],[Document ID]],Table1[],10,FALSE)</f>
        <v>Active</v>
      </c>
      <c r="H2256" s="43" t="s">
        <v>2343</v>
      </c>
      <c r="I2256" s="43" t="s">
        <v>2344</v>
      </c>
      <c r="J2256" s="44" t="s">
        <v>2345</v>
      </c>
      <c r="K2256" s="209" t="s">
        <v>4396</v>
      </c>
      <c r="L2256" s="44" t="s">
        <v>2347</v>
      </c>
      <c r="M2256" s="43">
        <v>37</v>
      </c>
      <c r="N2256" s="113" t="s">
        <v>1113</v>
      </c>
      <c r="O2256" s="113"/>
      <c r="P2256" s="113"/>
      <c r="Q2256" s="113"/>
      <c r="R2256" s="113"/>
      <c r="S2256" s="113"/>
      <c r="T2256" s="113"/>
      <c r="U2256" s="113"/>
      <c r="V2256" s="113"/>
      <c r="W2256" s="113"/>
      <c r="X2256" s="113"/>
      <c r="Y2256" s="113"/>
      <c r="Z2256" s="113"/>
      <c r="AA2256" s="113"/>
      <c r="AB2256" s="113"/>
      <c r="AC2256" s="113"/>
      <c r="AD2256" s="113"/>
      <c r="AE2256" s="113"/>
      <c r="AF2256" s="113"/>
      <c r="AG2256" s="113"/>
      <c r="AH2256" s="113"/>
      <c r="AI2256" s="113"/>
      <c r="AJ2256" s="113"/>
      <c r="AK2256" s="113" t="s">
        <v>1113</v>
      </c>
      <c r="AL2256" s="113"/>
      <c r="AM2256" s="113"/>
      <c r="AN2256" s="113"/>
      <c r="AO2256" s="43" t="s">
        <v>2348</v>
      </c>
      <c r="AP2256" s="43"/>
      <c r="AQ2256" s="236" t="str">
        <f>VLOOKUP(Table8[[#This Row],[Instrument]],Def_Targets!$D$73:$E$159,2,FALSE)</f>
        <v>S_PublicTransport</v>
      </c>
      <c r="AR2256" s="233" t="str">
        <f>VLOOKUP(Table8[[#This Row],[Country Code]],Table29[],3,FALSE)</f>
        <v>Non-Annex I</v>
      </c>
      <c r="AS2256" s="233" t="str">
        <f>VLOOKUP(Table8[[#This Row],[Country Code]],Table29[],4,FALSE)</f>
        <v>Asia</v>
      </c>
      <c r="AT2256" s="233" t="str">
        <f>VLOOKUP(Table8[[#This Row],[Country Code]],Table29[],5,FALSE)</f>
        <v>Middle-income</v>
      </c>
      <c r="AU2256" s="233" t="str">
        <f>VLOOKUP(Table8[[#This Row],[Country Code]],Table29[],6,FALSE)</f>
        <v>no</v>
      </c>
      <c r="AV2256" s="233" t="str">
        <f>VLOOKUP(Table8[[#This Row],[Country Code]],Table29[],7,FALSE)</f>
        <v>no</v>
      </c>
      <c r="AW2256" s="233" t="str">
        <f>VLOOKUP(Table8[[#This Row],[Country Code]],Table29[],8,FALSE)</f>
        <v>non-OECD</v>
      </c>
      <c r="AX2256" s="233" t="str">
        <f>VLOOKUP(Table8[[#This Row],[Country Code]],Table29[],9,FALSE)</f>
        <v>no</v>
      </c>
      <c r="AY2256" s="233" t="str">
        <f>VLOOKUP(Table8[[#This Row],[Country Code]],Table29[],10,FALSE)</f>
        <v>no</v>
      </c>
      <c r="AZ2256" s="235">
        <f>VLOOKUP(Table8[[#This Row],[Country Code]],Table29[],23,FALSE)</f>
        <v>98.794119828660001</v>
      </c>
      <c r="BA2256" s="235">
        <f>VLOOKUP(Table8[[#This Row],[Country Code]],Table29[],24,FALSE)</f>
        <v>12.185378724618079</v>
      </c>
      <c r="BB2256" s="320"/>
      <c r="BC2256" s="320"/>
    </row>
    <row r="2257" spans="1:55" s="17" customFormat="1" hidden="1" x14ac:dyDescent="0.25">
      <c r="A2257" s="373">
        <v>32522</v>
      </c>
      <c r="B2257" s="233" t="str">
        <f>VLOOKUP(Table8[[#This Row],[Document ID]],Table1[],2,FALSE)</f>
        <v>TKM</v>
      </c>
      <c r="C2257" s="233" t="str">
        <f>VLOOKUP(Table8[[#This Row],[Document ID]],Table1[],3,FALSE)</f>
        <v>Turkmenistan</v>
      </c>
      <c r="D2257" s="243" t="str">
        <f>VLOOKUP(Table8[[#This Row],[Document ID]],Table1[],5,FALSE)</f>
        <v>NDC</v>
      </c>
      <c r="E2257" s="233" t="str">
        <f>VLOOKUP(Table8[[#This Row],[Document ID]],Table1[],7,FALSE)</f>
        <v>First NDC updated</v>
      </c>
      <c r="F2257" s="233" t="str">
        <f>VLOOKUP(Table8[[#This Row],[Document ID]],Table1[],8,FALSE)</f>
        <v>NDC 1.1</v>
      </c>
      <c r="G2257" s="233" t="str">
        <f>VLOOKUP(Table8[[#This Row],[Document ID]],Table1[],10,FALSE)</f>
        <v>Active</v>
      </c>
      <c r="H2257" s="43" t="s">
        <v>2343</v>
      </c>
      <c r="I2257" s="43" t="s">
        <v>2377</v>
      </c>
      <c r="J2257" s="44" t="s">
        <v>2394</v>
      </c>
      <c r="K2257" s="324" t="s">
        <v>4397</v>
      </c>
      <c r="L2257" s="44" t="s">
        <v>2380</v>
      </c>
      <c r="M2257" s="43">
        <v>37</v>
      </c>
      <c r="N2257" s="113" t="s">
        <v>1113</v>
      </c>
      <c r="O2257" s="113"/>
      <c r="P2257" s="113"/>
      <c r="Q2257" s="113"/>
      <c r="R2257" s="113"/>
      <c r="S2257" s="113"/>
      <c r="T2257" s="113"/>
      <c r="U2257" s="113"/>
      <c r="V2257" s="113"/>
      <c r="W2257" s="113"/>
      <c r="X2257" s="113"/>
      <c r="Y2257" s="113"/>
      <c r="Z2257" s="113"/>
      <c r="AA2257" s="113"/>
      <c r="AB2257" s="113"/>
      <c r="AC2257" s="113"/>
      <c r="AD2257" s="113"/>
      <c r="AE2257" s="113"/>
      <c r="AF2257" s="113"/>
      <c r="AG2257" s="113"/>
      <c r="AH2257" s="113"/>
      <c r="AI2257" s="113"/>
      <c r="AJ2257" s="113"/>
      <c r="AK2257" s="113" t="s">
        <v>1113</v>
      </c>
      <c r="AL2257" s="113"/>
      <c r="AM2257" s="113"/>
      <c r="AN2257" s="113"/>
      <c r="AO2257" s="44" t="s">
        <v>2334</v>
      </c>
      <c r="AP2257" s="43"/>
      <c r="AQ2257" s="236" t="str">
        <f>VLOOKUP(Table8[[#This Row],[Instrument]],Def_Targets!$D$73:$E$159,2,FALSE)</f>
        <v>A_TDM</v>
      </c>
      <c r="AR2257" s="233" t="str">
        <f>VLOOKUP(Table8[[#This Row],[Country Code]],Table29[],3,FALSE)</f>
        <v>Non-Annex I</v>
      </c>
      <c r="AS2257" s="233" t="str">
        <f>VLOOKUP(Table8[[#This Row],[Country Code]],Table29[],4,FALSE)</f>
        <v>Asia</v>
      </c>
      <c r="AT2257" s="233" t="str">
        <f>VLOOKUP(Table8[[#This Row],[Country Code]],Table29[],5,FALSE)</f>
        <v>Middle-income</v>
      </c>
      <c r="AU2257" s="233" t="str">
        <f>VLOOKUP(Table8[[#This Row],[Country Code]],Table29[],6,FALSE)</f>
        <v>no</v>
      </c>
      <c r="AV2257" s="233" t="str">
        <f>VLOOKUP(Table8[[#This Row],[Country Code]],Table29[],7,FALSE)</f>
        <v>no</v>
      </c>
      <c r="AW2257" s="233" t="str">
        <f>VLOOKUP(Table8[[#This Row],[Country Code]],Table29[],8,FALSE)</f>
        <v>non-OECD</v>
      </c>
      <c r="AX2257" s="233" t="str">
        <f>VLOOKUP(Table8[[#This Row],[Country Code]],Table29[],9,FALSE)</f>
        <v>no</v>
      </c>
      <c r="AY2257" s="233" t="str">
        <f>VLOOKUP(Table8[[#This Row],[Country Code]],Table29[],10,FALSE)</f>
        <v>no</v>
      </c>
      <c r="AZ2257" s="235">
        <f>VLOOKUP(Table8[[#This Row],[Country Code]],Table29[],23,FALSE)</f>
        <v>98.794119828660001</v>
      </c>
      <c r="BA2257" s="235">
        <f>VLOOKUP(Table8[[#This Row],[Country Code]],Table29[],24,FALSE)</f>
        <v>12.185378724618079</v>
      </c>
      <c r="BB2257" s="320"/>
      <c r="BC2257" s="320"/>
    </row>
    <row r="2258" spans="1:55" s="17" customFormat="1" ht="30" hidden="1" x14ac:dyDescent="0.25">
      <c r="A2258" s="373">
        <v>32522</v>
      </c>
      <c r="B2258" s="233" t="str">
        <f>VLOOKUP(Table8[[#This Row],[Document ID]],Table1[],2,FALSE)</f>
        <v>TKM</v>
      </c>
      <c r="C2258" s="233" t="str">
        <f>VLOOKUP(Table8[[#This Row],[Document ID]],Table1[],3,FALSE)</f>
        <v>Turkmenistan</v>
      </c>
      <c r="D2258" s="243" t="str">
        <f>VLOOKUP(Table8[[#This Row],[Document ID]],Table1[],5,FALSE)</f>
        <v>NDC</v>
      </c>
      <c r="E2258" s="233" t="str">
        <f>VLOOKUP(Table8[[#This Row],[Document ID]],Table1[],7,FALSE)</f>
        <v>First NDC updated</v>
      </c>
      <c r="F2258" s="233" t="str">
        <f>VLOOKUP(Table8[[#This Row],[Document ID]],Table1[],8,FALSE)</f>
        <v>NDC 1.1</v>
      </c>
      <c r="G2258" s="233" t="str">
        <f>VLOOKUP(Table8[[#This Row],[Document ID]],Table1[],10,FALSE)</f>
        <v>Active</v>
      </c>
      <c r="H2258" s="43" t="s">
        <v>2350</v>
      </c>
      <c r="I2258" s="43" t="s">
        <v>2456</v>
      </c>
      <c r="J2258" s="44" t="s">
        <v>2466</v>
      </c>
      <c r="K2258" s="324" t="s">
        <v>4398</v>
      </c>
      <c r="L2258" s="44" t="s">
        <v>2333</v>
      </c>
      <c r="M2258" s="43">
        <v>37</v>
      </c>
      <c r="N2258" s="113" t="s">
        <v>1113</v>
      </c>
      <c r="O2258" s="113"/>
      <c r="P2258" s="113"/>
      <c r="Q2258" s="113"/>
      <c r="R2258" s="113"/>
      <c r="S2258" s="113"/>
      <c r="T2258" s="113"/>
      <c r="U2258" s="113"/>
      <c r="V2258" s="113"/>
      <c r="W2258" s="113"/>
      <c r="X2258" s="113"/>
      <c r="Y2258" s="113"/>
      <c r="Z2258" s="113"/>
      <c r="AA2258" s="113"/>
      <c r="AB2258" s="113"/>
      <c r="AC2258" s="113"/>
      <c r="AD2258" s="113"/>
      <c r="AE2258" s="113"/>
      <c r="AF2258" s="113"/>
      <c r="AG2258" s="113"/>
      <c r="AH2258" s="113"/>
      <c r="AI2258" s="113"/>
      <c r="AJ2258" s="113"/>
      <c r="AK2258" s="113" t="s">
        <v>1113</v>
      </c>
      <c r="AL2258" s="113"/>
      <c r="AM2258" s="113"/>
      <c r="AN2258" s="113"/>
      <c r="AO2258" s="44" t="s">
        <v>2334</v>
      </c>
      <c r="AP2258" s="43"/>
      <c r="AQ2258" s="236" t="str">
        <f>VLOOKUP(Table8[[#This Row],[Instrument]],Def_Targets!$D$73:$E$159,2,FALSE)</f>
        <v>S_Infraexpansion</v>
      </c>
      <c r="AR2258" s="233" t="str">
        <f>VLOOKUP(Table8[[#This Row],[Country Code]],Table29[],3,FALSE)</f>
        <v>Non-Annex I</v>
      </c>
      <c r="AS2258" s="233" t="str">
        <f>VLOOKUP(Table8[[#This Row],[Country Code]],Table29[],4,FALSE)</f>
        <v>Asia</v>
      </c>
      <c r="AT2258" s="233" t="str">
        <f>VLOOKUP(Table8[[#This Row],[Country Code]],Table29[],5,FALSE)</f>
        <v>Middle-income</v>
      </c>
      <c r="AU2258" s="233" t="str">
        <f>VLOOKUP(Table8[[#This Row],[Country Code]],Table29[],6,FALSE)</f>
        <v>no</v>
      </c>
      <c r="AV2258" s="233" t="str">
        <f>VLOOKUP(Table8[[#This Row],[Country Code]],Table29[],7,FALSE)</f>
        <v>no</v>
      </c>
      <c r="AW2258" s="233" t="str">
        <f>VLOOKUP(Table8[[#This Row],[Country Code]],Table29[],8,FALSE)</f>
        <v>non-OECD</v>
      </c>
      <c r="AX2258" s="233" t="str">
        <f>VLOOKUP(Table8[[#This Row],[Country Code]],Table29[],9,FALSE)</f>
        <v>no</v>
      </c>
      <c r="AY2258" s="233" t="str">
        <f>VLOOKUP(Table8[[#This Row],[Country Code]],Table29[],10,FALSE)</f>
        <v>no</v>
      </c>
      <c r="AZ2258" s="235">
        <f>VLOOKUP(Table8[[#This Row],[Country Code]],Table29[],23,FALSE)</f>
        <v>98.794119828660001</v>
      </c>
      <c r="BA2258" s="235">
        <f>VLOOKUP(Table8[[#This Row],[Country Code]],Table29[],24,FALSE)</f>
        <v>12.185378724618079</v>
      </c>
      <c r="BB2258" s="320"/>
      <c r="BC2258" s="320"/>
    </row>
    <row r="2259" spans="1:55" s="17" customFormat="1" ht="30" hidden="1" x14ac:dyDescent="0.25">
      <c r="A2259" s="373">
        <v>32522</v>
      </c>
      <c r="B2259" s="233" t="str">
        <f>VLOOKUP(Table8[[#This Row],[Document ID]],Table1[],2,FALSE)</f>
        <v>TKM</v>
      </c>
      <c r="C2259" s="233" t="str">
        <f>VLOOKUP(Table8[[#This Row],[Document ID]],Table1[],3,FALSE)</f>
        <v>Turkmenistan</v>
      </c>
      <c r="D2259" s="243" t="str">
        <f>VLOOKUP(Table8[[#This Row],[Document ID]],Table1[],5,FALSE)</f>
        <v>NDC</v>
      </c>
      <c r="E2259" s="233" t="str">
        <f>VLOOKUP(Table8[[#This Row],[Document ID]],Table1[],7,FALSE)</f>
        <v>First NDC updated</v>
      </c>
      <c r="F2259" s="233" t="str">
        <f>VLOOKUP(Table8[[#This Row],[Document ID]],Table1[],8,FALSE)</f>
        <v>NDC 1.1</v>
      </c>
      <c r="G2259" s="233" t="str">
        <f>VLOOKUP(Table8[[#This Row],[Document ID]],Table1[],10,FALSE)</f>
        <v>Active</v>
      </c>
      <c r="H2259" s="44" t="s">
        <v>2338</v>
      </c>
      <c r="I2259" s="44" t="s">
        <v>2339</v>
      </c>
      <c r="J2259" s="44" t="s">
        <v>2340</v>
      </c>
      <c r="K2259" s="325" t="s">
        <v>4399</v>
      </c>
      <c r="L2259" s="44" t="s">
        <v>2333</v>
      </c>
      <c r="M2259" s="43">
        <v>37</v>
      </c>
      <c r="N2259" s="113" t="s">
        <v>1113</v>
      </c>
      <c r="O2259" s="113"/>
      <c r="P2259" s="113"/>
      <c r="Q2259" s="113"/>
      <c r="R2259" s="113"/>
      <c r="S2259" s="113"/>
      <c r="T2259" s="113"/>
      <c r="U2259" s="113"/>
      <c r="V2259" s="113"/>
      <c r="W2259" s="113"/>
      <c r="X2259" s="113"/>
      <c r="Y2259" s="113"/>
      <c r="Z2259" s="113"/>
      <c r="AA2259" s="113"/>
      <c r="AB2259" s="113"/>
      <c r="AC2259" s="113"/>
      <c r="AD2259" s="113"/>
      <c r="AE2259" s="113"/>
      <c r="AF2259" s="113"/>
      <c r="AG2259" s="113"/>
      <c r="AH2259" s="113"/>
      <c r="AI2259" s="113"/>
      <c r="AJ2259" s="113"/>
      <c r="AK2259" s="113" t="s">
        <v>1113</v>
      </c>
      <c r="AL2259" s="113"/>
      <c r="AM2259" s="113"/>
      <c r="AN2259" s="113"/>
      <c r="AO2259" s="44" t="s">
        <v>2334</v>
      </c>
      <c r="AP2259" s="43"/>
      <c r="AQ2259" s="236" t="str">
        <f>VLOOKUP(Table8[[#This Row],[Instrument]],Def_Targets!$D$73:$E$159,2,FALSE)</f>
        <v>I_Vehicleimprove</v>
      </c>
      <c r="AR2259" s="233" t="str">
        <f>VLOOKUP(Table8[[#This Row],[Country Code]],Table29[],3,FALSE)</f>
        <v>Non-Annex I</v>
      </c>
      <c r="AS2259" s="233" t="str">
        <f>VLOOKUP(Table8[[#This Row],[Country Code]],Table29[],4,FALSE)</f>
        <v>Asia</v>
      </c>
      <c r="AT2259" s="233" t="str">
        <f>VLOOKUP(Table8[[#This Row],[Country Code]],Table29[],5,FALSE)</f>
        <v>Middle-income</v>
      </c>
      <c r="AU2259" s="233" t="str">
        <f>VLOOKUP(Table8[[#This Row],[Country Code]],Table29[],6,FALSE)</f>
        <v>no</v>
      </c>
      <c r="AV2259" s="233" t="str">
        <f>VLOOKUP(Table8[[#This Row],[Country Code]],Table29[],7,FALSE)</f>
        <v>no</v>
      </c>
      <c r="AW2259" s="233" t="str">
        <f>VLOOKUP(Table8[[#This Row],[Country Code]],Table29[],8,FALSE)</f>
        <v>non-OECD</v>
      </c>
      <c r="AX2259" s="233" t="str">
        <f>VLOOKUP(Table8[[#This Row],[Country Code]],Table29[],9,FALSE)</f>
        <v>no</v>
      </c>
      <c r="AY2259" s="233" t="str">
        <f>VLOOKUP(Table8[[#This Row],[Country Code]],Table29[],10,FALSE)</f>
        <v>no</v>
      </c>
      <c r="AZ2259" s="235">
        <f>VLOOKUP(Table8[[#This Row],[Country Code]],Table29[],23,FALSE)</f>
        <v>98.794119828660001</v>
      </c>
      <c r="BA2259" s="235">
        <f>VLOOKUP(Table8[[#This Row],[Country Code]],Table29[],24,FALSE)</f>
        <v>12.185378724618079</v>
      </c>
      <c r="BB2259" s="320"/>
      <c r="BC2259" s="320"/>
    </row>
    <row r="2260" spans="1:55" s="17" customFormat="1" ht="30" hidden="1" x14ac:dyDescent="0.25">
      <c r="A2260" s="373">
        <v>32522</v>
      </c>
      <c r="B2260" s="233" t="str">
        <f>VLOOKUP(Table8[[#This Row],[Document ID]],Table1[],2,FALSE)</f>
        <v>TKM</v>
      </c>
      <c r="C2260" s="233" t="str">
        <f>VLOOKUP(Table8[[#This Row],[Document ID]],Table1[],3,FALSE)</f>
        <v>Turkmenistan</v>
      </c>
      <c r="D2260" s="243" t="str">
        <f>VLOOKUP(Table8[[#This Row],[Document ID]],Table1[],5,FALSE)</f>
        <v>NDC</v>
      </c>
      <c r="E2260" s="233" t="str">
        <f>VLOOKUP(Table8[[#This Row],[Document ID]],Table1[],7,FALSE)</f>
        <v>First NDC updated</v>
      </c>
      <c r="F2260" s="233" t="str">
        <f>VLOOKUP(Table8[[#This Row],[Document ID]],Table1[],8,FALSE)</f>
        <v>NDC 1.1</v>
      </c>
      <c r="G2260" s="233" t="str">
        <f>VLOOKUP(Table8[[#This Row],[Document ID]],Table1[],10,FALSE)</f>
        <v>Active</v>
      </c>
      <c r="H2260" s="44" t="s">
        <v>2338</v>
      </c>
      <c r="I2260" s="44" t="s">
        <v>2339</v>
      </c>
      <c r="J2260" s="44" t="s">
        <v>2410</v>
      </c>
      <c r="K2260" s="325" t="s">
        <v>4399</v>
      </c>
      <c r="L2260" s="44" t="s">
        <v>2333</v>
      </c>
      <c r="M2260" s="43">
        <v>37</v>
      </c>
      <c r="N2260" s="113" t="s">
        <v>1113</v>
      </c>
      <c r="O2260" s="113"/>
      <c r="P2260" s="113"/>
      <c r="Q2260" s="113"/>
      <c r="R2260" s="113"/>
      <c r="S2260" s="113"/>
      <c r="T2260" s="113"/>
      <c r="U2260" s="113"/>
      <c r="V2260" s="113"/>
      <c r="W2260" s="113"/>
      <c r="X2260" s="113"/>
      <c r="Y2260" s="113"/>
      <c r="Z2260" s="113"/>
      <c r="AA2260" s="113"/>
      <c r="AB2260" s="113"/>
      <c r="AC2260" s="113"/>
      <c r="AD2260" s="113"/>
      <c r="AE2260" s="113"/>
      <c r="AF2260" s="113"/>
      <c r="AG2260" s="113"/>
      <c r="AH2260" s="113"/>
      <c r="AI2260" s="113"/>
      <c r="AJ2260" s="113"/>
      <c r="AK2260" s="113" t="s">
        <v>1113</v>
      </c>
      <c r="AL2260" s="113"/>
      <c r="AM2260" s="113"/>
      <c r="AN2260" s="113"/>
      <c r="AO2260" s="44" t="s">
        <v>2334</v>
      </c>
      <c r="AP2260" s="43"/>
      <c r="AQ2260" s="236" t="str">
        <f>VLOOKUP(Table8[[#This Row],[Instrument]],Def_Targets!$D$73:$E$159,2,FALSE)</f>
        <v>I_VehicleRestrictions</v>
      </c>
      <c r="AR2260" s="233" t="str">
        <f>VLOOKUP(Table8[[#This Row],[Country Code]],Table29[],3,FALSE)</f>
        <v>Non-Annex I</v>
      </c>
      <c r="AS2260" s="233" t="str">
        <f>VLOOKUP(Table8[[#This Row],[Country Code]],Table29[],4,FALSE)</f>
        <v>Asia</v>
      </c>
      <c r="AT2260" s="233" t="str">
        <f>VLOOKUP(Table8[[#This Row],[Country Code]],Table29[],5,FALSE)</f>
        <v>Middle-income</v>
      </c>
      <c r="AU2260" s="233" t="str">
        <f>VLOOKUP(Table8[[#This Row],[Country Code]],Table29[],6,FALSE)</f>
        <v>no</v>
      </c>
      <c r="AV2260" s="233" t="str">
        <f>VLOOKUP(Table8[[#This Row],[Country Code]],Table29[],7,FALSE)</f>
        <v>no</v>
      </c>
      <c r="AW2260" s="233" t="str">
        <f>VLOOKUP(Table8[[#This Row],[Country Code]],Table29[],8,FALSE)</f>
        <v>non-OECD</v>
      </c>
      <c r="AX2260" s="233" t="str">
        <f>VLOOKUP(Table8[[#This Row],[Country Code]],Table29[],9,FALSE)</f>
        <v>no</v>
      </c>
      <c r="AY2260" s="233" t="str">
        <f>VLOOKUP(Table8[[#This Row],[Country Code]],Table29[],10,FALSE)</f>
        <v>no</v>
      </c>
      <c r="AZ2260" s="235">
        <f>VLOOKUP(Table8[[#This Row],[Country Code]],Table29[],23,FALSE)</f>
        <v>98.794119828660001</v>
      </c>
      <c r="BA2260" s="235">
        <f>VLOOKUP(Table8[[#This Row],[Country Code]],Table29[],24,FALSE)</f>
        <v>12.185378724618079</v>
      </c>
      <c r="BB2260" s="320"/>
      <c r="BC2260" s="320"/>
    </row>
    <row r="2261" spans="1:55" s="17" customFormat="1" ht="30" hidden="1" x14ac:dyDescent="0.25">
      <c r="A2261" s="373">
        <v>32522</v>
      </c>
      <c r="B2261" s="233" t="str">
        <f>VLOOKUP(Table8[[#This Row],[Document ID]],Table1[],2,FALSE)</f>
        <v>TKM</v>
      </c>
      <c r="C2261" s="233" t="str">
        <f>VLOOKUP(Table8[[#This Row],[Document ID]],Table1[],3,FALSE)</f>
        <v>Turkmenistan</v>
      </c>
      <c r="D2261" s="243" t="str">
        <f>VLOOKUP(Table8[[#This Row],[Document ID]],Table1[],5,FALSE)</f>
        <v>NDC</v>
      </c>
      <c r="E2261" s="233" t="str">
        <f>VLOOKUP(Table8[[#This Row],[Document ID]],Table1[],7,FALSE)</f>
        <v>First NDC updated</v>
      </c>
      <c r="F2261" s="233" t="str">
        <f>VLOOKUP(Table8[[#This Row],[Document ID]],Table1[],8,FALSE)</f>
        <v>NDC 1.1</v>
      </c>
      <c r="G2261" s="233" t="str">
        <f>VLOOKUP(Table8[[#This Row],[Document ID]],Table1[],10,FALSE)</f>
        <v>Active</v>
      </c>
      <c r="H2261" s="44" t="s">
        <v>2329</v>
      </c>
      <c r="I2261" s="44" t="s">
        <v>2330</v>
      </c>
      <c r="J2261" s="44" t="s">
        <v>2363</v>
      </c>
      <c r="K2261" s="325" t="s">
        <v>4400</v>
      </c>
      <c r="L2261" s="44" t="s">
        <v>2333</v>
      </c>
      <c r="M2261" s="43">
        <v>37</v>
      </c>
      <c r="N2261" s="113" t="s">
        <v>1113</v>
      </c>
      <c r="O2261" s="113"/>
      <c r="P2261" s="113"/>
      <c r="Q2261" s="113"/>
      <c r="R2261" s="113"/>
      <c r="S2261" s="113"/>
      <c r="T2261" s="113"/>
      <c r="U2261" s="113"/>
      <c r="V2261" s="113"/>
      <c r="W2261" s="113"/>
      <c r="X2261" s="113"/>
      <c r="Y2261" s="113"/>
      <c r="Z2261" s="113"/>
      <c r="AA2261" s="113"/>
      <c r="AB2261" s="113"/>
      <c r="AC2261" s="113"/>
      <c r="AD2261" s="113"/>
      <c r="AE2261" s="113"/>
      <c r="AF2261" s="113"/>
      <c r="AG2261" s="113"/>
      <c r="AH2261" s="113"/>
      <c r="AI2261" s="113"/>
      <c r="AJ2261" s="113"/>
      <c r="AK2261" s="113" t="s">
        <v>1113</v>
      </c>
      <c r="AL2261" s="113"/>
      <c r="AM2261" s="113"/>
      <c r="AN2261" s="113"/>
      <c r="AO2261" s="44" t="s">
        <v>2334</v>
      </c>
      <c r="AP2261" s="43"/>
      <c r="AQ2261" s="236" t="str">
        <f>VLOOKUP(Table8[[#This Row],[Instrument]],Def_Targets!$D$73:$E$159,2,FALSE)</f>
        <v>I_LPGCNGLNG</v>
      </c>
      <c r="AR2261" s="233" t="str">
        <f>VLOOKUP(Table8[[#This Row],[Country Code]],Table29[],3,FALSE)</f>
        <v>Non-Annex I</v>
      </c>
      <c r="AS2261" s="233" t="str">
        <f>VLOOKUP(Table8[[#This Row],[Country Code]],Table29[],4,FALSE)</f>
        <v>Asia</v>
      </c>
      <c r="AT2261" s="233" t="str">
        <f>VLOOKUP(Table8[[#This Row],[Country Code]],Table29[],5,FALSE)</f>
        <v>Middle-income</v>
      </c>
      <c r="AU2261" s="233" t="str">
        <f>VLOOKUP(Table8[[#This Row],[Country Code]],Table29[],6,FALSE)</f>
        <v>no</v>
      </c>
      <c r="AV2261" s="233" t="str">
        <f>VLOOKUP(Table8[[#This Row],[Country Code]],Table29[],7,FALSE)</f>
        <v>no</v>
      </c>
      <c r="AW2261" s="233" t="str">
        <f>VLOOKUP(Table8[[#This Row],[Country Code]],Table29[],8,FALSE)</f>
        <v>non-OECD</v>
      </c>
      <c r="AX2261" s="233" t="str">
        <f>VLOOKUP(Table8[[#This Row],[Country Code]],Table29[],9,FALSE)</f>
        <v>no</v>
      </c>
      <c r="AY2261" s="233" t="str">
        <f>VLOOKUP(Table8[[#This Row],[Country Code]],Table29[],10,FALSE)</f>
        <v>no</v>
      </c>
      <c r="AZ2261" s="235">
        <f>VLOOKUP(Table8[[#This Row],[Country Code]],Table29[],23,FALSE)</f>
        <v>98.794119828660001</v>
      </c>
      <c r="BA2261" s="235">
        <f>VLOOKUP(Table8[[#This Row],[Country Code]],Table29[],24,FALSE)</f>
        <v>12.185378724618079</v>
      </c>
      <c r="BB2261" s="320"/>
      <c r="BC2261" s="320"/>
    </row>
    <row r="2262" spans="1:55" s="17" customFormat="1" ht="30" hidden="1" x14ac:dyDescent="0.25">
      <c r="A2262" s="373">
        <v>32522</v>
      </c>
      <c r="B2262" s="233" t="str">
        <f>VLOOKUP(Table8[[#This Row],[Document ID]],Table1[],2,FALSE)</f>
        <v>TKM</v>
      </c>
      <c r="C2262" s="233" t="str">
        <f>VLOOKUP(Table8[[#This Row],[Document ID]],Table1[],3,FALSE)</f>
        <v>Turkmenistan</v>
      </c>
      <c r="D2262" s="243" t="str">
        <f>VLOOKUP(Table8[[#This Row],[Document ID]],Table1[],5,FALSE)</f>
        <v>NDC</v>
      </c>
      <c r="E2262" s="233" t="str">
        <f>VLOOKUP(Table8[[#This Row],[Document ID]],Table1[],7,FALSE)</f>
        <v>First NDC updated</v>
      </c>
      <c r="F2262" s="233" t="str">
        <f>VLOOKUP(Table8[[#This Row],[Document ID]],Table1[],8,FALSE)</f>
        <v>NDC 1.1</v>
      </c>
      <c r="G2262" s="233" t="str">
        <f>VLOOKUP(Table8[[#This Row],[Document ID]],Table1[],10,FALSE)</f>
        <v>Active</v>
      </c>
      <c r="H2262" s="43" t="s">
        <v>2350</v>
      </c>
      <c r="I2262" s="43" t="s">
        <v>2351</v>
      </c>
      <c r="J2262" s="44" t="s">
        <v>2427</v>
      </c>
      <c r="K2262" s="325" t="s">
        <v>4401</v>
      </c>
      <c r="L2262" s="44" t="s">
        <v>2333</v>
      </c>
      <c r="M2262" s="43">
        <v>37</v>
      </c>
      <c r="N2262" s="113"/>
      <c r="O2262" s="113"/>
      <c r="P2262" s="113"/>
      <c r="Q2262" s="113"/>
      <c r="R2262" s="113"/>
      <c r="S2262" s="113"/>
      <c r="T2262" s="113"/>
      <c r="U2262" s="113"/>
      <c r="V2262" s="113"/>
      <c r="W2262" s="113"/>
      <c r="X2262" s="113"/>
      <c r="Y2262" s="113"/>
      <c r="Z2262" s="113" t="s">
        <v>1113</v>
      </c>
      <c r="AA2262" s="113"/>
      <c r="AB2262" s="113"/>
      <c r="AC2262" s="113"/>
      <c r="AD2262" s="113"/>
      <c r="AE2262" s="113"/>
      <c r="AF2262" s="113"/>
      <c r="AG2262" s="113"/>
      <c r="AH2262" s="113"/>
      <c r="AI2262" s="113"/>
      <c r="AJ2262" s="113"/>
      <c r="AK2262" s="113" t="s">
        <v>1113</v>
      </c>
      <c r="AL2262" s="113"/>
      <c r="AM2262" s="113"/>
      <c r="AN2262" s="113"/>
      <c r="AO2262" s="44" t="s">
        <v>2334</v>
      </c>
      <c r="AP2262" s="43"/>
      <c r="AQ2262" s="236" t="str">
        <f>VLOOKUP(Table8[[#This Row],[Instrument]],Def_Targets!$D$73:$E$159,2,FALSE)</f>
        <v>I_Load</v>
      </c>
      <c r="AR2262" s="233" t="str">
        <f>VLOOKUP(Table8[[#This Row],[Country Code]],Table29[],3,FALSE)</f>
        <v>Non-Annex I</v>
      </c>
      <c r="AS2262" s="233" t="str">
        <f>VLOOKUP(Table8[[#This Row],[Country Code]],Table29[],4,FALSE)</f>
        <v>Asia</v>
      </c>
      <c r="AT2262" s="233" t="str">
        <f>VLOOKUP(Table8[[#This Row],[Country Code]],Table29[],5,FALSE)</f>
        <v>Middle-income</v>
      </c>
      <c r="AU2262" s="233" t="str">
        <f>VLOOKUP(Table8[[#This Row],[Country Code]],Table29[],6,FALSE)</f>
        <v>no</v>
      </c>
      <c r="AV2262" s="233" t="str">
        <f>VLOOKUP(Table8[[#This Row],[Country Code]],Table29[],7,FALSE)</f>
        <v>no</v>
      </c>
      <c r="AW2262" s="233" t="str">
        <f>VLOOKUP(Table8[[#This Row],[Country Code]],Table29[],8,FALSE)</f>
        <v>non-OECD</v>
      </c>
      <c r="AX2262" s="233" t="str">
        <f>VLOOKUP(Table8[[#This Row],[Country Code]],Table29[],9,FALSE)</f>
        <v>no</v>
      </c>
      <c r="AY2262" s="233" t="str">
        <f>VLOOKUP(Table8[[#This Row],[Country Code]],Table29[],10,FALSE)</f>
        <v>no</v>
      </c>
      <c r="AZ2262" s="235">
        <f>VLOOKUP(Table8[[#This Row],[Country Code]],Table29[],23,FALSE)</f>
        <v>98.794119828660001</v>
      </c>
      <c r="BA2262" s="235">
        <f>VLOOKUP(Table8[[#This Row],[Country Code]],Table29[],24,FALSE)</f>
        <v>12.185378724618079</v>
      </c>
      <c r="BB2262" s="320"/>
      <c r="BC2262" s="320"/>
    </row>
    <row r="2263" spans="1:55" s="17" customFormat="1" ht="30" hidden="1" x14ac:dyDescent="0.25">
      <c r="A2263" s="373">
        <v>32522</v>
      </c>
      <c r="B2263" s="233" t="str">
        <f>VLOOKUP(Table8[[#This Row],[Document ID]],Table1[],2,FALSE)</f>
        <v>TKM</v>
      </c>
      <c r="C2263" s="233" t="str">
        <f>VLOOKUP(Table8[[#This Row],[Document ID]],Table1[],3,FALSE)</f>
        <v>Turkmenistan</v>
      </c>
      <c r="D2263" s="243" t="str">
        <f>VLOOKUP(Table8[[#This Row],[Document ID]],Table1[],5,FALSE)</f>
        <v>NDC</v>
      </c>
      <c r="E2263" s="233" t="str">
        <f>VLOOKUP(Table8[[#This Row],[Document ID]],Table1[],7,FALSE)</f>
        <v>First NDC updated</v>
      </c>
      <c r="F2263" s="233" t="str">
        <f>VLOOKUP(Table8[[#This Row],[Document ID]],Table1[],8,FALSE)</f>
        <v>NDC 1.1</v>
      </c>
      <c r="G2263" s="233" t="str">
        <f>VLOOKUP(Table8[[#This Row],[Document ID]],Table1[],10,FALSE)</f>
        <v>Active</v>
      </c>
      <c r="H2263" s="43" t="s">
        <v>2358</v>
      </c>
      <c r="I2263" s="43" t="s">
        <v>2359</v>
      </c>
      <c r="J2263" s="44" t="s">
        <v>2360</v>
      </c>
      <c r="K2263" s="325" t="s">
        <v>4401</v>
      </c>
      <c r="L2263" s="44" t="s">
        <v>2333</v>
      </c>
      <c r="M2263" s="43">
        <v>37</v>
      </c>
      <c r="N2263" s="113"/>
      <c r="O2263" s="113"/>
      <c r="P2263" s="113"/>
      <c r="Q2263" s="113"/>
      <c r="R2263" s="113"/>
      <c r="S2263" s="113"/>
      <c r="T2263" s="113"/>
      <c r="U2263" s="113"/>
      <c r="V2263" s="113"/>
      <c r="W2263" s="113"/>
      <c r="X2263" s="113"/>
      <c r="Y2263" s="113"/>
      <c r="Z2263" s="113" t="s">
        <v>1113</v>
      </c>
      <c r="AA2263" s="113"/>
      <c r="AB2263" s="113"/>
      <c r="AC2263" s="113"/>
      <c r="AD2263" s="113"/>
      <c r="AE2263" s="113"/>
      <c r="AF2263" s="113"/>
      <c r="AG2263" s="113"/>
      <c r="AH2263" s="113"/>
      <c r="AI2263" s="113"/>
      <c r="AJ2263" s="113"/>
      <c r="AK2263" s="113" t="s">
        <v>1113</v>
      </c>
      <c r="AL2263" s="113"/>
      <c r="AM2263" s="113"/>
      <c r="AN2263" s="113"/>
      <c r="AO2263" s="44" t="s">
        <v>2334</v>
      </c>
      <c r="AP2263" s="43"/>
      <c r="AQ2263" s="236" t="str">
        <f>VLOOKUP(Table8[[#This Row],[Instrument]],Def_Targets!$D$73:$E$159,2,FALSE)</f>
        <v>I_Emobility</v>
      </c>
      <c r="AR2263" s="233" t="str">
        <f>VLOOKUP(Table8[[#This Row],[Country Code]],Table29[],3,FALSE)</f>
        <v>Non-Annex I</v>
      </c>
      <c r="AS2263" s="233" t="str">
        <f>VLOOKUP(Table8[[#This Row],[Country Code]],Table29[],4,FALSE)</f>
        <v>Asia</v>
      </c>
      <c r="AT2263" s="233" t="str">
        <f>VLOOKUP(Table8[[#This Row],[Country Code]],Table29[],5,FALSE)</f>
        <v>Middle-income</v>
      </c>
      <c r="AU2263" s="233" t="str">
        <f>VLOOKUP(Table8[[#This Row],[Country Code]],Table29[],6,FALSE)</f>
        <v>no</v>
      </c>
      <c r="AV2263" s="233" t="str">
        <f>VLOOKUP(Table8[[#This Row],[Country Code]],Table29[],7,FALSE)</f>
        <v>no</v>
      </c>
      <c r="AW2263" s="233" t="str">
        <f>VLOOKUP(Table8[[#This Row],[Country Code]],Table29[],8,FALSE)</f>
        <v>non-OECD</v>
      </c>
      <c r="AX2263" s="233" t="str">
        <f>VLOOKUP(Table8[[#This Row],[Country Code]],Table29[],9,FALSE)</f>
        <v>no</v>
      </c>
      <c r="AY2263" s="233" t="str">
        <f>VLOOKUP(Table8[[#This Row],[Country Code]],Table29[],10,FALSE)</f>
        <v>no</v>
      </c>
      <c r="AZ2263" s="235">
        <f>VLOOKUP(Table8[[#This Row],[Country Code]],Table29[],23,FALSE)</f>
        <v>98.794119828660001</v>
      </c>
      <c r="BA2263" s="235">
        <f>VLOOKUP(Table8[[#This Row],[Country Code]],Table29[],24,FALSE)</f>
        <v>12.185378724618079</v>
      </c>
      <c r="BB2263" s="320"/>
      <c r="BC2263" s="320"/>
    </row>
    <row r="2264" spans="1:55" ht="30" hidden="1" x14ac:dyDescent="0.25">
      <c r="A2264" s="373">
        <v>17768</v>
      </c>
      <c r="B2264" s="233" t="str">
        <f>VLOOKUP(Table8[[#This Row],[Document ID]],Table1[],2,FALSE)</f>
        <v>TUV</v>
      </c>
      <c r="C2264" s="233" t="str">
        <f>VLOOKUP(Table8[[#This Row],[Document ID]],Table1[],3,FALSE)</f>
        <v>Tuvalu</v>
      </c>
      <c r="D2264" s="243" t="str">
        <f>VLOOKUP(Table8[[#This Row],[Document ID]],Table1[],5,FALSE)</f>
        <v>NDC</v>
      </c>
      <c r="E2264" s="233" t="str">
        <f>VLOOKUP(Table8[[#This Row],[Document ID]],Table1[],7,FALSE)</f>
        <v>First NDC</v>
      </c>
      <c r="F2264" s="236" t="str">
        <f>VLOOKUP(Table8[[#This Row],[Document ID]],Table1[],8,FALSE)</f>
        <v>NDC 1.0</v>
      </c>
      <c r="G2264" s="236" t="str">
        <f>VLOOKUP(Table8[[#This Row],[Document ID]],Table1[],10,FALSE)</f>
        <v>Archived</v>
      </c>
      <c r="H2264" s="44" t="s">
        <v>2338</v>
      </c>
      <c r="I2264" s="44" t="s">
        <v>2339</v>
      </c>
      <c r="J2264" s="44" t="s">
        <v>2340</v>
      </c>
      <c r="K2264" s="44" t="s">
        <v>4402</v>
      </c>
      <c r="L2264" s="44" t="s">
        <v>2333</v>
      </c>
      <c r="M2264" s="43"/>
      <c r="N2264" s="113" t="s">
        <v>1113</v>
      </c>
      <c r="O2264" s="113"/>
      <c r="P2264" s="113"/>
      <c r="Q2264" s="319"/>
      <c r="R2264" s="319"/>
      <c r="S2264" s="319"/>
      <c r="T2264" s="319"/>
      <c r="U2264" s="319"/>
      <c r="V2264" s="319"/>
      <c r="W2264" s="319"/>
      <c r="X2264" s="319"/>
      <c r="Y2264" s="319"/>
      <c r="Z2264" s="319"/>
      <c r="AA2264" s="319"/>
      <c r="AB2264" s="319"/>
      <c r="AC2264" s="319"/>
      <c r="AD2264" s="319"/>
      <c r="AE2264" s="319"/>
      <c r="AF2264" s="319"/>
      <c r="AG2264" s="319"/>
      <c r="AH2264" s="319"/>
      <c r="AI2264" s="319"/>
      <c r="AJ2264" s="319"/>
      <c r="AK2264" s="319" t="s">
        <v>1113</v>
      </c>
      <c r="AL2264" s="319"/>
      <c r="AM2264" s="319"/>
      <c r="AN2264" s="319"/>
      <c r="AO2264" s="44" t="s">
        <v>2334</v>
      </c>
      <c r="AP2264" s="44"/>
      <c r="AQ2264" s="236" t="str">
        <f>VLOOKUP(Table8[[#This Row],[Instrument]],Def_Targets!$D$73:$E$159,2,FALSE)</f>
        <v>I_Vehicleimprove</v>
      </c>
      <c r="AR2264" s="233" t="str">
        <f>VLOOKUP(Table8[[#This Row],[Country Code]],Table29[],3,FALSE)</f>
        <v>Non-Annex I</v>
      </c>
      <c r="AS2264" s="233" t="str">
        <f>VLOOKUP(Table8[[#This Row],[Country Code]],Table29[],4,FALSE)</f>
        <v>Oceania</v>
      </c>
      <c r="AT2264" s="233" t="str">
        <f>VLOOKUP(Table8[[#This Row],[Country Code]],Table29[],5,FALSE)</f>
        <v>Middle-income</v>
      </c>
      <c r="AU2264" s="233" t="str">
        <f>VLOOKUP(Table8[[#This Row],[Country Code]],Table29[],6,FALSE)</f>
        <v>no</v>
      </c>
      <c r="AV2264" s="233" t="str">
        <f>VLOOKUP(Table8[[#This Row],[Country Code]],Table29[],7,FALSE)</f>
        <v>no</v>
      </c>
      <c r="AW2264" s="233" t="str">
        <f>VLOOKUP(Table8[[#This Row],[Country Code]],Table29[],8,FALSE)</f>
        <v>non-OECD</v>
      </c>
      <c r="AX2264" s="233" t="str">
        <f>VLOOKUP(Table8[[#This Row],[Country Code]],Table29[],9,FALSE)</f>
        <v>no</v>
      </c>
      <c r="AY2264" s="233" t="str">
        <f>VLOOKUP(Table8[[#This Row],[Country Code]],Table29[],10,FALSE)</f>
        <v>no</v>
      </c>
      <c r="AZ2264" s="235">
        <f>VLOOKUP(Table8[[#This Row],[Country Code]],Table29[],23,FALSE)</f>
        <v>0</v>
      </c>
      <c r="BA2264" s="235">
        <f>VLOOKUP(Table8[[#This Row],[Country Code]],Table29[],24,FALSE)</f>
        <v>0</v>
      </c>
      <c r="BB2264" s="320"/>
      <c r="BC2264" s="320"/>
    </row>
    <row r="2265" spans="1:55" hidden="1" x14ac:dyDescent="0.25">
      <c r="A2265" s="373">
        <v>39454</v>
      </c>
      <c r="B2265" s="233" t="str">
        <f>VLOOKUP(Table8[[#This Row],[Document ID]],Table1[],2,FALSE)</f>
        <v>TUV</v>
      </c>
      <c r="C2265" s="233" t="str">
        <f>VLOOKUP(Table8[[#This Row],[Document ID]],Table1[],3,FALSE)</f>
        <v>Tuvalu</v>
      </c>
      <c r="D2265" s="243" t="str">
        <f>VLOOKUP(Table8[[#This Row],[Document ID]],Table1[],5,FALSE)</f>
        <v>NDC</v>
      </c>
      <c r="E2265" s="233" t="str">
        <f>VLOOKUP(Table8[[#This Row],[Document ID]],Table1[],7,FALSE)</f>
        <v>Second NDC</v>
      </c>
      <c r="F2265" s="233" t="str">
        <f>VLOOKUP(Table8[[#This Row],[Document ID]],Table1[],8,FALSE)</f>
        <v>NDC 2.0</v>
      </c>
      <c r="G2265" s="233" t="str">
        <f>VLOOKUP(Table8[[#This Row],[Document ID]],Table1[],10,FALSE)</f>
        <v>Active</v>
      </c>
      <c r="H2265" s="43" t="s">
        <v>2358</v>
      </c>
      <c r="I2265" s="43" t="s">
        <v>2359</v>
      </c>
      <c r="J2265" s="44" t="s">
        <v>2360</v>
      </c>
      <c r="K2265" s="44" t="s">
        <v>4403</v>
      </c>
      <c r="L2265" s="44" t="s">
        <v>2347</v>
      </c>
      <c r="M2265" s="43"/>
      <c r="N2265" s="113"/>
      <c r="O2265" s="113"/>
      <c r="P2265" s="113"/>
      <c r="Q2265" s="319"/>
      <c r="R2265" s="319" t="s">
        <v>1113</v>
      </c>
      <c r="S2265" s="319"/>
      <c r="T2265" s="319"/>
      <c r="U2265" s="113"/>
      <c r="V2265" s="319"/>
      <c r="W2265" s="319"/>
      <c r="X2265" s="319"/>
      <c r="Y2265" s="319"/>
      <c r="Z2265" s="113"/>
      <c r="AA2265" s="319"/>
      <c r="AB2265" s="319"/>
      <c r="AC2265" s="319"/>
      <c r="AD2265" s="113"/>
      <c r="AE2265" s="319"/>
      <c r="AF2265" s="319"/>
      <c r="AG2265" s="319"/>
      <c r="AH2265" s="319"/>
      <c r="AI2265" s="319"/>
      <c r="AJ2265" s="319"/>
      <c r="AK2265" s="319" t="s">
        <v>1113</v>
      </c>
      <c r="AL2265" s="319"/>
      <c r="AM2265" s="319"/>
      <c r="AN2265" s="319"/>
      <c r="AO2265" s="44"/>
      <c r="AP2265" s="44"/>
      <c r="AQ2265" s="236" t="str">
        <f>VLOOKUP(Table8[[#This Row],[Instrument]],Def_Targets!$D$73:$E$159,2,FALSE)</f>
        <v>I_Emobility</v>
      </c>
      <c r="AR2265" s="233" t="str">
        <f>VLOOKUP(Table8[[#This Row],[Country Code]],Table29[],3,FALSE)</f>
        <v>Non-Annex I</v>
      </c>
      <c r="AS2265" s="233" t="str">
        <f>VLOOKUP(Table8[[#This Row],[Country Code]],Table29[],4,FALSE)</f>
        <v>Oceania</v>
      </c>
      <c r="AT2265" s="233" t="str">
        <f>VLOOKUP(Table8[[#This Row],[Country Code]],Table29[],5,FALSE)</f>
        <v>Middle-income</v>
      </c>
      <c r="AU2265" s="233" t="str">
        <f>VLOOKUP(Table8[[#This Row],[Country Code]],Table29[],6,FALSE)</f>
        <v>no</v>
      </c>
      <c r="AV2265" s="233" t="str">
        <f>VLOOKUP(Table8[[#This Row],[Country Code]],Table29[],7,FALSE)</f>
        <v>no</v>
      </c>
      <c r="AW2265" s="233" t="str">
        <f>VLOOKUP(Table8[[#This Row],[Country Code]],Table29[],8,FALSE)</f>
        <v>non-OECD</v>
      </c>
      <c r="AX2265" s="233" t="str">
        <f>VLOOKUP(Table8[[#This Row],[Country Code]],Table29[],9,FALSE)</f>
        <v>no</v>
      </c>
      <c r="AY2265" s="233" t="str">
        <f>VLOOKUP(Table8[[#This Row],[Country Code]],Table29[],10,FALSE)</f>
        <v>no</v>
      </c>
      <c r="AZ2265" s="235">
        <f>VLOOKUP(Table8[[#This Row],[Country Code]],Table29[],23,FALSE)</f>
        <v>0</v>
      </c>
      <c r="BA2265" s="235">
        <f>VLOOKUP(Table8[[#This Row],[Country Code]],Table29[],24,FALSE)</f>
        <v>0</v>
      </c>
      <c r="BB2265" s="320"/>
      <c r="BC2265" s="320"/>
    </row>
    <row r="2266" spans="1:55" ht="30" hidden="1" x14ac:dyDescent="0.25">
      <c r="A2266" s="373">
        <v>39454</v>
      </c>
      <c r="B2266" s="233" t="str">
        <f>VLOOKUP(Table8[[#This Row],[Document ID]],Table1[],2,FALSE)</f>
        <v>TUV</v>
      </c>
      <c r="C2266" s="233" t="str">
        <f>VLOOKUP(Table8[[#This Row],[Document ID]],Table1[],3,FALSE)</f>
        <v>Tuvalu</v>
      </c>
      <c r="D2266" s="243" t="str">
        <f>VLOOKUP(Table8[[#This Row],[Document ID]],Table1[],5,FALSE)</f>
        <v>NDC</v>
      </c>
      <c r="E2266" s="233" t="str">
        <f>VLOOKUP(Table8[[#This Row],[Document ID]],Table1[],7,FALSE)</f>
        <v>Second NDC</v>
      </c>
      <c r="F2266" s="233" t="str">
        <f>VLOOKUP(Table8[[#This Row],[Document ID]],Table1[],8,FALSE)</f>
        <v>NDC 2.0</v>
      </c>
      <c r="G2266" s="233" t="str">
        <f>VLOOKUP(Table8[[#This Row],[Document ID]],Table1[],10,FALSE)</f>
        <v>Active</v>
      </c>
      <c r="H2266" s="43" t="s">
        <v>2484</v>
      </c>
      <c r="I2266" s="43" t="s">
        <v>2485</v>
      </c>
      <c r="J2266" s="44" t="s">
        <v>2486</v>
      </c>
      <c r="K2266" s="44" t="s">
        <v>4404</v>
      </c>
      <c r="L2266" s="44" t="s">
        <v>2373</v>
      </c>
      <c r="M2266" s="43"/>
      <c r="N2266" s="113"/>
      <c r="O2266" s="113"/>
      <c r="P2266" s="113"/>
      <c r="Q2266" s="319"/>
      <c r="R2266" s="319"/>
      <c r="S2266" s="319"/>
      <c r="T2266" s="319"/>
      <c r="U2266" s="113"/>
      <c r="V2266" s="319"/>
      <c r="W2266" s="319"/>
      <c r="X2266" s="319"/>
      <c r="Y2266" s="319"/>
      <c r="Z2266" s="113"/>
      <c r="AA2266" s="319"/>
      <c r="AB2266" s="319"/>
      <c r="AC2266" s="319"/>
      <c r="AD2266" s="113"/>
      <c r="AE2266" s="319"/>
      <c r="AF2266" s="319" t="s">
        <v>1113</v>
      </c>
      <c r="AG2266" s="319"/>
      <c r="AH2266" s="319"/>
      <c r="AI2266" s="319"/>
      <c r="AJ2266" s="319"/>
      <c r="AK2266" s="319" t="s">
        <v>1113</v>
      </c>
      <c r="AL2266" s="319"/>
      <c r="AM2266" s="319"/>
      <c r="AN2266" s="319"/>
      <c r="AO2266" s="44"/>
      <c r="AP2266" s="44"/>
      <c r="AQ2266" s="236" t="str">
        <f>VLOOKUP(Table8[[#This Row],[Instrument]],Def_Targets!$D$73:$E$159,2,FALSE)</f>
        <v>I_Shipping</v>
      </c>
      <c r="AR2266" s="233" t="str">
        <f>VLOOKUP(Table8[[#This Row],[Country Code]],Table29[],3,FALSE)</f>
        <v>Non-Annex I</v>
      </c>
      <c r="AS2266" s="233" t="str">
        <f>VLOOKUP(Table8[[#This Row],[Country Code]],Table29[],4,FALSE)</f>
        <v>Oceania</v>
      </c>
      <c r="AT2266" s="233" t="str">
        <f>VLOOKUP(Table8[[#This Row],[Country Code]],Table29[],5,FALSE)</f>
        <v>Middle-income</v>
      </c>
      <c r="AU2266" s="233" t="str">
        <f>VLOOKUP(Table8[[#This Row],[Country Code]],Table29[],6,FALSE)</f>
        <v>no</v>
      </c>
      <c r="AV2266" s="233" t="str">
        <f>VLOOKUP(Table8[[#This Row],[Country Code]],Table29[],7,FALSE)</f>
        <v>no</v>
      </c>
      <c r="AW2266" s="233" t="str">
        <f>VLOOKUP(Table8[[#This Row],[Country Code]],Table29[],8,FALSE)</f>
        <v>non-OECD</v>
      </c>
      <c r="AX2266" s="233" t="str">
        <f>VLOOKUP(Table8[[#This Row],[Country Code]],Table29[],9,FALSE)</f>
        <v>no</v>
      </c>
      <c r="AY2266" s="233" t="str">
        <f>VLOOKUP(Table8[[#This Row],[Country Code]],Table29[],10,FALSE)</f>
        <v>no</v>
      </c>
      <c r="AZ2266" s="235">
        <f>VLOOKUP(Table8[[#This Row],[Country Code]],Table29[],23,FALSE)</f>
        <v>0</v>
      </c>
      <c r="BA2266" s="235">
        <f>VLOOKUP(Table8[[#This Row],[Country Code]],Table29[],24,FALSE)</f>
        <v>0</v>
      </c>
      <c r="BB2266" s="320"/>
      <c r="BC2266" s="320"/>
    </row>
    <row r="2267" spans="1:55" hidden="1" x14ac:dyDescent="0.25">
      <c r="A2267" s="373">
        <v>17769</v>
      </c>
      <c r="B2267" s="233" t="str">
        <f>VLOOKUP(Table8[[#This Row],[Document ID]],Table1[],2,FALSE)</f>
        <v>UGA</v>
      </c>
      <c r="C2267" s="233" t="str">
        <f>VLOOKUP(Table8[[#This Row],[Document ID]],Table1[],3,FALSE)</f>
        <v>Uganda</v>
      </c>
      <c r="D2267" s="243" t="str">
        <f>VLOOKUP(Table8[[#This Row],[Document ID]],Table1[],5,FALSE)</f>
        <v>NDC</v>
      </c>
      <c r="E2267" s="233" t="str">
        <f>VLOOKUP(Table8[[#This Row],[Document ID]],Table1[],7,FALSE)</f>
        <v>First NDC</v>
      </c>
      <c r="F2267" s="236" t="str">
        <f>VLOOKUP(Table8[[#This Row],[Document ID]],Table1[],8,FALSE)</f>
        <v>NDC 1.0</v>
      </c>
      <c r="G2267" s="236" t="str">
        <f>VLOOKUP(Table8[[#This Row],[Document ID]],Table1[],10,FALSE)</f>
        <v>Archived</v>
      </c>
      <c r="H2267" s="44" t="s">
        <v>2338</v>
      </c>
      <c r="I2267" s="44" t="s">
        <v>2339</v>
      </c>
      <c r="J2267" s="44" t="s">
        <v>2340</v>
      </c>
      <c r="K2267" s="44" t="s">
        <v>4405</v>
      </c>
      <c r="L2267" s="44" t="s">
        <v>2333</v>
      </c>
      <c r="M2267" s="43"/>
      <c r="N2267" s="113" t="s">
        <v>1113</v>
      </c>
      <c r="O2267" s="113"/>
      <c r="P2267" s="113"/>
      <c r="Q2267" s="319"/>
      <c r="R2267" s="319"/>
      <c r="S2267" s="319"/>
      <c r="T2267" s="319"/>
      <c r="U2267" s="319"/>
      <c r="V2267" s="319"/>
      <c r="W2267" s="319"/>
      <c r="X2267" s="319"/>
      <c r="Y2267" s="319"/>
      <c r="Z2267" s="319"/>
      <c r="AA2267" s="319"/>
      <c r="AB2267" s="319"/>
      <c r="AC2267" s="319"/>
      <c r="AD2267" s="319"/>
      <c r="AE2267" s="319"/>
      <c r="AF2267" s="319"/>
      <c r="AG2267" s="319"/>
      <c r="AH2267" s="319"/>
      <c r="AI2267" s="319"/>
      <c r="AJ2267" s="319"/>
      <c r="AK2267" s="319" t="s">
        <v>1113</v>
      </c>
      <c r="AL2267" s="319"/>
      <c r="AM2267" s="319"/>
      <c r="AN2267" s="319"/>
      <c r="AO2267" s="44" t="s">
        <v>2334</v>
      </c>
      <c r="AP2267" s="44"/>
      <c r="AQ2267" s="236" t="str">
        <f>VLOOKUP(Table8[[#This Row],[Instrument]],Def_Targets!$D$73:$E$159,2,FALSE)</f>
        <v>I_Vehicleimprove</v>
      </c>
      <c r="AR2267" s="233" t="str">
        <f>VLOOKUP(Table8[[#This Row],[Country Code]],Table29[],3,FALSE)</f>
        <v>Non-Annex I</v>
      </c>
      <c r="AS2267" s="233" t="str">
        <f>VLOOKUP(Table8[[#This Row],[Country Code]],Table29[],4,FALSE)</f>
        <v>Africa</v>
      </c>
      <c r="AT2267" s="233" t="str">
        <f>VLOOKUP(Table8[[#This Row],[Country Code]],Table29[],5,FALSE)</f>
        <v>Low-income</v>
      </c>
      <c r="AU2267" s="233" t="str">
        <f>VLOOKUP(Table8[[#This Row],[Country Code]],Table29[],6,FALSE)</f>
        <v>no</v>
      </c>
      <c r="AV2267" s="233" t="str">
        <f>VLOOKUP(Table8[[#This Row],[Country Code]],Table29[],7,FALSE)</f>
        <v>no</v>
      </c>
      <c r="AW2267" s="233" t="str">
        <f>VLOOKUP(Table8[[#This Row],[Country Code]],Table29[],8,FALSE)</f>
        <v>non-OECD</v>
      </c>
      <c r="AX2267" s="233" t="str">
        <f>VLOOKUP(Table8[[#This Row],[Country Code]],Table29[],9,FALSE)</f>
        <v>no</v>
      </c>
      <c r="AY2267" s="233" t="str">
        <f>VLOOKUP(Table8[[#This Row],[Country Code]],Table29[],10,FALSE)</f>
        <v>no</v>
      </c>
      <c r="AZ2267" s="235">
        <f>VLOOKUP(Table8[[#This Row],[Country Code]],Table29[],23,FALSE)</f>
        <v>53.370989410157001</v>
      </c>
      <c r="BA2267" s="235">
        <f>VLOOKUP(Table8[[#This Row],[Country Code]],Table29[],24,FALSE)</f>
        <v>3.617994034151566</v>
      </c>
      <c r="BB2267" s="320"/>
      <c r="BC2267" s="320"/>
    </row>
    <row r="2268" spans="1:55" hidden="1" x14ac:dyDescent="0.25">
      <c r="A2268" s="373">
        <v>17769</v>
      </c>
      <c r="B2268" s="233" t="str">
        <f>VLOOKUP(Table8[[#This Row],[Document ID]],Table1[],2,FALSE)</f>
        <v>UGA</v>
      </c>
      <c r="C2268" s="233" t="str">
        <f>VLOOKUP(Table8[[#This Row],[Document ID]],Table1[],3,FALSE)</f>
        <v>Uganda</v>
      </c>
      <c r="D2268" s="243" t="str">
        <f>VLOOKUP(Table8[[#This Row],[Document ID]],Table1[],5,FALSE)</f>
        <v>NDC</v>
      </c>
      <c r="E2268" s="233" t="str">
        <f>VLOOKUP(Table8[[#This Row],[Document ID]],Table1[],7,FALSE)</f>
        <v>First NDC</v>
      </c>
      <c r="F2268" s="236" t="str">
        <f>VLOOKUP(Table8[[#This Row],[Document ID]],Table1[],8,FALSE)</f>
        <v>NDC 1.0</v>
      </c>
      <c r="G2268" s="236" t="str">
        <f>VLOOKUP(Table8[[#This Row],[Document ID]],Table1[],10,FALSE)</f>
        <v>Archived</v>
      </c>
      <c r="H2268" s="44" t="s">
        <v>2338</v>
      </c>
      <c r="I2268" s="44" t="s">
        <v>2339</v>
      </c>
      <c r="J2268" s="44" t="s">
        <v>2340</v>
      </c>
      <c r="K2268" s="44" t="s">
        <v>4406</v>
      </c>
      <c r="L2268" s="44" t="s">
        <v>2333</v>
      </c>
      <c r="M2268" s="43"/>
      <c r="N2268" s="113" t="s">
        <v>1113</v>
      </c>
      <c r="O2268" s="113"/>
      <c r="P2268" s="113"/>
      <c r="Q2268" s="319"/>
      <c r="R2268" s="319"/>
      <c r="S2268" s="319"/>
      <c r="T2268" s="319"/>
      <c r="U2268" s="319"/>
      <c r="V2268" s="319"/>
      <c r="W2268" s="319"/>
      <c r="X2268" s="319"/>
      <c r="Y2268" s="113"/>
      <c r="Z2268" s="113"/>
      <c r="AA2268" s="319"/>
      <c r="AB2268" s="319"/>
      <c r="AC2268" s="319"/>
      <c r="AD2268" s="319"/>
      <c r="AE2268" s="319"/>
      <c r="AF2268" s="319"/>
      <c r="AG2268" s="319"/>
      <c r="AH2268" s="319"/>
      <c r="AI2268" s="319"/>
      <c r="AJ2268" s="319"/>
      <c r="AK2268" s="319" t="s">
        <v>1113</v>
      </c>
      <c r="AL2268" s="319"/>
      <c r="AM2268" s="319"/>
      <c r="AN2268" s="319"/>
      <c r="AO2268" s="44" t="s">
        <v>2334</v>
      </c>
      <c r="AP2268" s="44"/>
      <c r="AQ2268" s="236" t="str">
        <f>VLOOKUP(Table8[[#This Row],[Instrument]],Def_Targets!$D$73:$E$159,2,FALSE)</f>
        <v>I_Vehicleimprove</v>
      </c>
      <c r="AR2268" s="233" t="str">
        <f>VLOOKUP(Table8[[#This Row],[Country Code]],Table29[],3,FALSE)</f>
        <v>Non-Annex I</v>
      </c>
      <c r="AS2268" s="233" t="str">
        <f>VLOOKUP(Table8[[#This Row],[Country Code]],Table29[],4,FALSE)</f>
        <v>Africa</v>
      </c>
      <c r="AT2268" s="233" t="str">
        <f>VLOOKUP(Table8[[#This Row],[Country Code]],Table29[],5,FALSE)</f>
        <v>Low-income</v>
      </c>
      <c r="AU2268" s="233" t="str">
        <f>VLOOKUP(Table8[[#This Row],[Country Code]],Table29[],6,FALSE)</f>
        <v>no</v>
      </c>
      <c r="AV2268" s="233" t="str">
        <f>VLOOKUP(Table8[[#This Row],[Country Code]],Table29[],7,FALSE)</f>
        <v>no</v>
      </c>
      <c r="AW2268" s="233" t="str">
        <f>VLOOKUP(Table8[[#This Row],[Country Code]],Table29[],8,FALSE)</f>
        <v>non-OECD</v>
      </c>
      <c r="AX2268" s="233" t="str">
        <f>VLOOKUP(Table8[[#This Row],[Country Code]],Table29[],9,FALSE)</f>
        <v>no</v>
      </c>
      <c r="AY2268" s="233" t="str">
        <f>VLOOKUP(Table8[[#This Row],[Country Code]],Table29[],10,FALSE)</f>
        <v>no</v>
      </c>
      <c r="AZ2268" s="235">
        <f>VLOOKUP(Table8[[#This Row],[Country Code]],Table29[],23,FALSE)</f>
        <v>53.370989410157001</v>
      </c>
      <c r="BA2268" s="235">
        <f>VLOOKUP(Table8[[#This Row],[Country Code]],Table29[],24,FALSE)</f>
        <v>3.617994034151566</v>
      </c>
      <c r="BB2268" s="320"/>
      <c r="BC2268" s="320"/>
    </row>
    <row r="2269" spans="1:55" ht="30" hidden="1" x14ac:dyDescent="0.25">
      <c r="A2269" s="373">
        <v>17769</v>
      </c>
      <c r="B2269" s="233" t="str">
        <f>VLOOKUP(Table8[[#This Row],[Document ID]],Table1[],2,FALSE)</f>
        <v>UGA</v>
      </c>
      <c r="C2269" s="233" t="str">
        <f>VLOOKUP(Table8[[#This Row],[Document ID]],Table1[],3,FALSE)</f>
        <v>Uganda</v>
      </c>
      <c r="D2269" s="243" t="str">
        <f>VLOOKUP(Table8[[#This Row],[Document ID]],Table1[],5,FALSE)</f>
        <v>NDC</v>
      </c>
      <c r="E2269" s="233" t="str">
        <f>VLOOKUP(Table8[[#This Row],[Document ID]],Table1[],7,FALSE)</f>
        <v>First NDC</v>
      </c>
      <c r="F2269" s="236" t="str">
        <f>VLOOKUP(Table8[[#This Row],[Document ID]],Table1[],8,FALSE)</f>
        <v>NDC 1.0</v>
      </c>
      <c r="G2269" s="236" t="str">
        <f>VLOOKUP(Table8[[#This Row],[Document ID]],Table1[],10,FALSE)</f>
        <v>Archived</v>
      </c>
      <c r="H2269" s="43" t="s">
        <v>2350</v>
      </c>
      <c r="I2269" s="43" t="s">
        <v>2370</v>
      </c>
      <c r="J2269" s="44" t="s">
        <v>2418</v>
      </c>
      <c r="K2269" s="44" t="s">
        <v>4407</v>
      </c>
      <c r="L2269" s="44" t="s">
        <v>2373</v>
      </c>
      <c r="M2269" s="43"/>
      <c r="N2269" s="113" t="s">
        <v>1113</v>
      </c>
      <c r="O2269" s="113"/>
      <c r="P2269" s="113"/>
      <c r="Q2269" s="319"/>
      <c r="R2269" s="319"/>
      <c r="S2269" s="319"/>
      <c r="T2269" s="319"/>
      <c r="U2269" s="319"/>
      <c r="V2269" s="319"/>
      <c r="W2269" s="319"/>
      <c r="X2269" s="319"/>
      <c r="Y2269" s="319"/>
      <c r="Z2269" s="319"/>
      <c r="AA2269" s="319"/>
      <c r="AB2269" s="319"/>
      <c r="AC2269" s="319"/>
      <c r="AD2269" s="319"/>
      <c r="AE2269" s="319"/>
      <c r="AF2269" s="319"/>
      <c r="AG2269" s="319"/>
      <c r="AH2269" s="319"/>
      <c r="AI2269" s="319"/>
      <c r="AJ2269" s="319"/>
      <c r="AK2269" s="319" t="s">
        <v>1113</v>
      </c>
      <c r="AL2269" s="319"/>
      <c r="AM2269" s="319"/>
      <c r="AN2269" s="319"/>
      <c r="AO2269" s="44" t="s">
        <v>2334</v>
      </c>
      <c r="AP2269" s="44"/>
      <c r="AQ2269" s="236" t="str">
        <f>VLOOKUP(Table8[[#This Row],[Instrument]],Def_Targets!$D$73:$E$159,2,FALSE)</f>
        <v>A_Complan</v>
      </c>
      <c r="AR2269" s="233" t="str">
        <f>VLOOKUP(Table8[[#This Row],[Country Code]],Table29[],3,FALSE)</f>
        <v>Non-Annex I</v>
      </c>
      <c r="AS2269" s="233" t="str">
        <f>VLOOKUP(Table8[[#This Row],[Country Code]],Table29[],4,FALSE)</f>
        <v>Africa</v>
      </c>
      <c r="AT2269" s="233" t="str">
        <f>VLOOKUP(Table8[[#This Row],[Country Code]],Table29[],5,FALSE)</f>
        <v>Low-income</v>
      </c>
      <c r="AU2269" s="233" t="str">
        <f>VLOOKUP(Table8[[#This Row],[Country Code]],Table29[],6,FALSE)</f>
        <v>no</v>
      </c>
      <c r="AV2269" s="233" t="str">
        <f>VLOOKUP(Table8[[#This Row],[Country Code]],Table29[],7,FALSE)</f>
        <v>no</v>
      </c>
      <c r="AW2269" s="233" t="str">
        <f>VLOOKUP(Table8[[#This Row],[Country Code]],Table29[],8,FALSE)</f>
        <v>non-OECD</v>
      </c>
      <c r="AX2269" s="233" t="str">
        <f>VLOOKUP(Table8[[#This Row],[Country Code]],Table29[],9,FALSE)</f>
        <v>no</v>
      </c>
      <c r="AY2269" s="233" t="str">
        <f>VLOOKUP(Table8[[#This Row],[Country Code]],Table29[],10,FALSE)</f>
        <v>no</v>
      </c>
      <c r="AZ2269" s="235">
        <f>VLOOKUP(Table8[[#This Row],[Country Code]],Table29[],23,FALSE)</f>
        <v>53.370989410157001</v>
      </c>
      <c r="BA2269" s="235">
        <f>VLOOKUP(Table8[[#This Row],[Country Code]],Table29[],24,FALSE)</f>
        <v>3.617994034151566</v>
      </c>
      <c r="BB2269" s="320"/>
      <c r="BC2269" s="320"/>
    </row>
    <row r="2270" spans="1:55" ht="30" hidden="1" x14ac:dyDescent="0.25">
      <c r="A2270" s="373">
        <v>17769</v>
      </c>
      <c r="B2270" s="233" t="str">
        <f>VLOOKUP(Table8[[#This Row],[Document ID]],Table1[],2,FALSE)</f>
        <v>UGA</v>
      </c>
      <c r="C2270" s="233" t="str">
        <f>VLOOKUP(Table8[[#This Row],[Document ID]],Table1[],3,FALSE)</f>
        <v>Uganda</v>
      </c>
      <c r="D2270" s="243" t="str">
        <f>VLOOKUP(Table8[[#This Row],[Document ID]],Table1[],5,FALSE)</f>
        <v>NDC</v>
      </c>
      <c r="E2270" s="233" t="str">
        <f>VLOOKUP(Table8[[#This Row],[Document ID]],Table1[],7,FALSE)</f>
        <v>First NDC</v>
      </c>
      <c r="F2270" s="236" t="str">
        <f>VLOOKUP(Table8[[#This Row],[Document ID]],Table1[],8,FALSE)</f>
        <v>NDC 1.0</v>
      </c>
      <c r="G2270" s="236" t="str">
        <f>VLOOKUP(Table8[[#This Row],[Document ID]],Table1[],10,FALSE)</f>
        <v>Archived</v>
      </c>
      <c r="H2270" s="44" t="s">
        <v>2329</v>
      </c>
      <c r="I2270" s="44" t="s">
        <v>2330</v>
      </c>
      <c r="J2270" s="44" t="s">
        <v>2331</v>
      </c>
      <c r="K2270" s="44" t="s">
        <v>4408</v>
      </c>
      <c r="L2270" s="44" t="s">
        <v>2333</v>
      </c>
      <c r="M2270" s="43"/>
      <c r="N2270" s="113" t="s">
        <v>1113</v>
      </c>
      <c r="O2270" s="113"/>
      <c r="P2270" s="113"/>
      <c r="Q2270" s="319"/>
      <c r="R2270" s="319"/>
      <c r="S2270" s="319"/>
      <c r="T2270" s="319"/>
      <c r="U2270" s="319"/>
      <c r="V2270" s="319"/>
      <c r="W2270" s="319"/>
      <c r="X2270" s="319"/>
      <c r="Y2270" s="113"/>
      <c r="Z2270" s="113"/>
      <c r="AA2270" s="319"/>
      <c r="AB2270" s="319"/>
      <c r="AC2270" s="319"/>
      <c r="AD2270" s="319"/>
      <c r="AE2270" s="319"/>
      <c r="AF2270" s="319"/>
      <c r="AG2270" s="319"/>
      <c r="AH2270" s="319"/>
      <c r="AI2270" s="319"/>
      <c r="AJ2270" s="319"/>
      <c r="AK2270" s="319" t="s">
        <v>1113</v>
      </c>
      <c r="AL2270" s="319"/>
      <c r="AM2270" s="319"/>
      <c r="AN2270" s="319"/>
      <c r="AO2270" s="44" t="s">
        <v>2334</v>
      </c>
      <c r="AP2270" s="44"/>
      <c r="AQ2270" s="236" t="str">
        <f>VLOOKUP(Table8[[#This Row],[Instrument]],Def_Targets!$D$73:$E$159,2,FALSE)</f>
        <v>I_Altfuels</v>
      </c>
      <c r="AR2270" s="233" t="str">
        <f>VLOOKUP(Table8[[#This Row],[Country Code]],Table29[],3,FALSE)</f>
        <v>Non-Annex I</v>
      </c>
      <c r="AS2270" s="233" t="str">
        <f>VLOOKUP(Table8[[#This Row],[Country Code]],Table29[],4,FALSE)</f>
        <v>Africa</v>
      </c>
      <c r="AT2270" s="233" t="str">
        <f>VLOOKUP(Table8[[#This Row],[Country Code]],Table29[],5,FALSE)</f>
        <v>Low-income</v>
      </c>
      <c r="AU2270" s="233" t="str">
        <f>VLOOKUP(Table8[[#This Row],[Country Code]],Table29[],6,FALSE)</f>
        <v>no</v>
      </c>
      <c r="AV2270" s="233" t="str">
        <f>VLOOKUP(Table8[[#This Row],[Country Code]],Table29[],7,FALSE)</f>
        <v>no</v>
      </c>
      <c r="AW2270" s="233" t="str">
        <f>VLOOKUP(Table8[[#This Row],[Country Code]],Table29[],8,FALSE)</f>
        <v>non-OECD</v>
      </c>
      <c r="AX2270" s="233" t="str">
        <f>VLOOKUP(Table8[[#This Row],[Country Code]],Table29[],9,FALSE)</f>
        <v>no</v>
      </c>
      <c r="AY2270" s="233" t="str">
        <f>VLOOKUP(Table8[[#This Row],[Country Code]],Table29[],10,FALSE)</f>
        <v>no</v>
      </c>
      <c r="AZ2270" s="235">
        <f>VLOOKUP(Table8[[#This Row],[Country Code]],Table29[],23,FALSE)</f>
        <v>53.370989410157001</v>
      </c>
      <c r="BA2270" s="235">
        <f>VLOOKUP(Table8[[#This Row],[Country Code]],Table29[],24,FALSE)</f>
        <v>3.617994034151566</v>
      </c>
      <c r="BB2270" s="320"/>
      <c r="BC2270" s="320"/>
    </row>
    <row r="2271" spans="1:55" ht="45" hidden="1" x14ac:dyDescent="0.25">
      <c r="A2271" s="373">
        <v>29235</v>
      </c>
      <c r="B2271" s="233" t="str">
        <f>VLOOKUP(Table8[[#This Row],[Document ID]],Table1[],2,FALSE)</f>
        <v>UGA</v>
      </c>
      <c r="C2271" s="233" t="str">
        <f>VLOOKUP(Table8[[#This Row],[Document ID]],Table1[],3,FALSE)</f>
        <v>Uganda</v>
      </c>
      <c r="D2271" s="243" t="str">
        <f>VLOOKUP(Table8[[#This Row],[Document ID]],Table1[],5,FALSE)</f>
        <v>NDC</v>
      </c>
      <c r="E2271" s="233" t="str">
        <f>VLOOKUP(Table8[[#This Row],[Document ID]],Table1[],7,FALSE)</f>
        <v>First NDC updated</v>
      </c>
      <c r="F2271" s="233" t="str">
        <f>VLOOKUP(Table8[[#This Row],[Document ID]],Table1[],8,FALSE)</f>
        <v>NDC 1.2</v>
      </c>
      <c r="G2271" s="233" t="str">
        <f>VLOOKUP(Table8[[#This Row],[Document ID]],Table1[],10,FALSE)</f>
        <v>Active</v>
      </c>
      <c r="H2271" s="44" t="s">
        <v>2338</v>
      </c>
      <c r="I2271" s="44" t="s">
        <v>2339</v>
      </c>
      <c r="J2271" s="44" t="s">
        <v>2556</v>
      </c>
      <c r="K2271" s="44" t="s">
        <v>4409</v>
      </c>
      <c r="L2271" s="44" t="s">
        <v>2333</v>
      </c>
      <c r="M2271" s="43">
        <v>38</v>
      </c>
      <c r="N2271" s="113"/>
      <c r="O2271" s="113"/>
      <c r="P2271" s="113"/>
      <c r="Q2271" s="113"/>
      <c r="R2271" s="113"/>
      <c r="S2271" s="113" t="s">
        <v>1113</v>
      </c>
      <c r="T2271" s="113"/>
      <c r="U2271" s="113"/>
      <c r="V2271" s="113"/>
      <c r="W2271" s="113"/>
      <c r="X2271" s="113"/>
      <c r="Y2271" s="113"/>
      <c r="Z2271" s="113"/>
      <c r="AA2271" s="113"/>
      <c r="AB2271" s="113"/>
      <c r="AC2271" s="113"/>
      <c r="AD2271" s="113"/>
      <c r="AE2271" s="113"/>
      <c r="AF2271" s="113"/>
      <c r="AG2271" s="113"/>
      <c r="AH2271" s="113"/>
      <c r="AI2271" s="113"/>
      <c r="AJ2271" s="113"/>
      <c r="AK2271" s="113" t="s">
        <v>1113</v>
      </c>
      <c r="AL2271" s="113"/>
      <c r="AM2271" s="113"/>
      <c r="AN2271" s="113"/>
      <c r="AO2271" s="44" t="s">
        <v>2334</v>
      </c>
      <c r="AP2271" s="43"/>
      <c r="AQ2271" s="236" t="str">
        <f>VLOOKUP(Table8[[#This Row],[Instrument]],Def_Targets!$D$73:$E$159,2,FALSE)</f>
        <v>I_Fuelqualimprove</v>
      </c>
      <c r="AR2271" s="233" t="str">
        <f>VLOOKUP(Table8[[#This Row],[Country Code]],Table29[],3,FALSE)</f>
        <v>Non-Annex I</v>
      </c>
      <c r="AS2271" s="233" t="str">
        <f>VLOOKUP(Table8[[#This Row],[Country Code]],Table29[],4,FALSE)</f>
        <v>Africa</v>
      </c>
      <c r="AT2271" s="233" t="str">
        <f>VLOOKUP(Table8[[#This Row],[Country Code]],Table29[],5,FALSE)</f>
        <v>Low-income</v>
      </c>
      <c r="AU2271" s="233" t="str">
        <f>VLOOKUP(Table8[[#This Row],[Country Code]],Table29[],6,FALSE)</f>
        <v>no</v>
      </c>
      <c r="AV2271" s="233" t="str">
        <f>VLOOKUP(Table8[[#This Row],[Country Code]],Table29[],7,FALSE)</f>
        <v>no</v>
      </c>
      <c r="AW2271" s="233" t="str">
        <f>VLOOKUP(Table8[[#This Row],[Country Code]],Table29[],8,FALSE)</f>
        <v>non-OECD</v>
      </c>
      <c r="AX2271" s="233" t="str">
        <f>VLOOKUP(Table8[[#This Row],[Country Code]],Table29[],9,FALSE)</f>
        <v>no</v>
      </c>
      <c r="AY2271" s="233" t="str">
        <f>VLOOKUP(Table8[[#This Row],[Country Code]],Table29[],10,FALSE)</f>
        <v>no</v>
      </c>
      <c r="AZ2271" s="235">
        <f>VLOOKUP(Table8[[#This Row],[Country Code]],Table29[],23,FALSE)</f>
        <v>53.370989410157001</v>
      </c>
      <c r="BA2271" s="235">
        <f>VLOOKUP(Table8[[#This Row],[Country Code]],Table29[],24,FALSE)</f>
        <v>3.617994034151566</v>
      </c>
      <c r="BB2271" s="320"/>
      <c r="BC2271" s="320"/>
    </row>
    <row r="2272" spans="1:55" ht="45" hidden="1" x14ac:dyDescent="0.25">
      <c r="A2272" s="373">
        <v>29235</v>
      </c>
      <c r="B2272" s="233" t="str">
        <f>VLOOKUP(Table8[[#This Row],[Document ID]],Table1[],2,FALSE)</f>
        <v>UGA</v>
      </c>
      <c r="C2272" s="233" t="str">
        <f>VLOOKUP(Table8[[#This Row],[Document ID]],Table1[],3,FALSE)</f>
        <v>Uganda</v>
      </c>
      <c r="D2272" s="243" t="str">
        <f>VLOOKUP(Table8[[#This Row],[Document ID]],Table1[],5,FALSE)</f>
        <v>NDC</v>
      </c>
      <c r="E2272" s="233" t="str">
        <f>VLOOKUP(Table8[[#This Row],[Document ID]],Table1[],7,FALSE)</f>
        <v>First NDC updated</v>
      </c>
      <c r="F2272" s="233" t="str">
        <f>VLOOKUP(Table8[[#This Row],[Document ID]],Table1[],8,FALSE)</f>
        <v>NDC 1.2</v>
      </c>
      <c r="G2272" s="233" t="str">
        <f>VLOOKUP(Table8[[#This Row],[Document ID]],Table1[],10,FALSE)</f>
        <v>Active</v>
      </c>
      <c r="H2272" s="44" t="s">
        <v>2329</v>
      </c>
      <c r="I2272" s="44" t="s">
        <v>2330</v>
      </c>
      <c r="J2272" s="44" t="s">
        <v>2331</v>
      </c>
      <c r="K2272" s="44" t="s">
        <v>4410</v>
      </c>
      <c r="L2272" s="44" t="s">
        <v>2333</v>
      </c>
      <c r="M2272" s="43">
        <v>38</v>
      </c>
      <c r="N2272" s="113" t="s">
        <v>1113</v>
      </c>
      <c r="O2272" s="113"/>
      <c r="P2272" s="113"/>
      <c r="Q2272" s="113"/>
      <c r="R2272" s="113"/>
      <c r="S2272" s="113"/>
      <c r="T2272" s="113"/>
      <c r="U2272" s="113"/>
      <c r="V2272" s="113"/>
      <c r="W2272" s="113"/>
      <c r="X2272" s="113"/>
      <c r="Y2272" s="113"/>
      <c r="Z2272" s="113"/>
      <c r="AA2272" s="113"/>
      <c r="AB2272" s="113"/>
      <c r="AC2272" s="113"/>
      <c r="AD2272" s="113"/>
      <c r="AE2272" s="113"/>
      <c r="AF2272" s="113"/>
      <c r="AG2272" s="113"/>
      <c r="AH2272" s="113"/>
      <c r="AI2272" s="113"/>
      <c r="AJ2272" s="113"/>
      <c r="AK2272" s="113" t="s">
        <v>1113</v>
      </c>
      <c r="AL2272" s="113"/>
      <c r="AM2272" s="113"/>
      <c r="AN2272" s="113"/>
      <c r="AO2272" s="44" t="s">
        <v>2334</v>
      </c>
      <c r="AP2272" s="43"/>
      <c r="AQ2272" s="236" t="str">
        <f>VLOOKUP(Table8[[#This Row],[Instrument]],Def_Targets!$D$73:$E$159,2,FALSE)</f>
        <v>I_Altfuels</v>
      </c>
      <c r="AR2272" s="233" t="str">
        <f>VLOOKUP(Table8[[#This Row],[Country Code]],Table29[],3,FALSE)</f>
        <v>Non-Annex I</v>
      </c>
      <c r="AS2272" s="233" t="str">
        <f>VLOOKUP(Table8[[#This Row],[Country Code]],Table29[],4,FALSE)</f>
        <v>Africa</v>
      </c>
      <c r="AT2272" s="233" t="str">
        <f>VLOOKUP(Table8[[#This Row],[Country Code]],Table29[],5,FALSE)</f>
        <v>Low-income</v>
      </c>
      <c r="AU2272" s="233" t="str">
        <f>VLOOKUP(Table8[[#This Row],[Country Code]],Table29[],6,FALSE)</f>
        <v>no</v>
      </c>
      <c r="AV2272" s="233" t="str">
        <f>VLOOKUP(Table8[[#This Row],[Country Code]],Table29[],7,FALSE)</f>
        <v>no</v>
      </c>
      <c r="AW2272" s="233" t="str">
        <f>VLOOKUP(Table8[[#This Row],[Country Code]],Table29[],8,FALSE)</f>
        <v>non-OECD</v>
      </c>
      <c r="AX2272" s="233" t="str">
        <f>VLOOKUP(Table8[[#This Row],[Country Code]],Table29[],9,FALSE)</f>
        <v>no</v>
      </c>
      <c r="AY2272" s="233" t="str">
        <f>VLOOKUP(Table8[[#This Row],[Country Code]],Table29[],10,FALSE)</f>
        <v>no</v>
      </c>
      <c r="AZ2272" s="235">
        <f>VLOOKUP(Table8[[#This Row],[Country Code]],Table29[],23,FALSE)</f>
        <v>53.370989410157001</v>
      </c>
      <c r="BA2272" s="235">
        <f>VLOOKUP(Table8[[#This Row],[Country Code]],Table29[],24,FALSE)</f>
        <v>3.617994034151566</v>
      </c>
      <c r="BB2272" s="320"/>
      <c r="BC2272" s="320"/>
    </row>
    <row r="2273" spans="1:55" ht="45" hidden="1" x14ac:dyDescent="0.25">
      <c r="A2273" s="373">
        <v>29235</v>
      </c>
      <c r="B2273" s="233" t="str">
        <f>VLOOKUP(Table8[[#This Row],[Document ID]],Table1[],2,FALSE)</f>
        <v>UGA</v>
      </c>
      <c r="C2273" s="233" t="str">
        <f>VLOOKUP(Table8[[#This Row],[Document ID]],Table1[],3,FALSE)</f>
        <v>Uganda</v>
      </c>
      <c r="D2273" s="243" t="str">
        <f>VLOOKUP(Table8[[#This Row],[Document ID]],Table1[],5,FALSE)</f>
        <v>NDC</v>
      </c>
      <c r="E2273" s="233" t="str">
        <f>VLOOKUP(Table8[[#This Row],[Document ID]],Table1[],7,FALSE)</f>
        <v>First NDC updated</v>
      </c>
      <c r="F2273" s="233" t="str">
        <f>VLOOKUP(Table8[[#This Row],[Document ID]],Table1[],8,FALSE)</f>
        <v>NDC 1.2</v>
      </c>
      <c r="G2273" s="233" t="str">
        <f>VLOOKUP(Table8[[#This Row],[Document ID]],Table1[],10,FALSE)</f>
        <v>Active</v>
      </c>
      <c r="H2273" s="43" t="s">
        <v>2343</v>
      </c>
      <c r="I2273" s="43" t="s">
        <v>2361</v>
      </c>
      <c r="J2273" s="44" t="s">
        <v>2366</v>
      </c>
      <c r="K2273" s="44" t="s">
        <v>4411</v>
      </c>
      <c r="L2273" s="44" t="s">
        <v>2347</v>
      </c>
      <c r="M2273" s="43">
        <v>39</v>
      </c>
      <c r="N2273" s="113"/>
      <c r="O2273" s="113"/>
      <c r="P2273" s="113" t="s">
        <v>1113</v>
      </c>
      <c r="Q2273" s="113"/>
      <c r="R2273" s="113"/>
      <c r="S2273" s="113"/>
      <c r="T2273" s="113"/>
      <c r="U2273" s="113"/>
      <c r="V2273" s="113"/>
      <c r="W2273" s="113"/>
      <c r="X2273" s="113"/>
      <c r="Y2273" s="113"/>
      <c r="Z2273" s="113"/>
      <c r="AA2273" s="113"/>
      <c r="AB2273" s="113"/>
      <c r="AC2273" s="113"/>
      <c r="AD2273" s="113"/>
      <c r="AE2273" s="113"/>
      <c r="AF2273" s="113"/>
      <c r="AG2273" s="113"/>
      <c r="AH2273" s="113"/>
      <c r="AI2273" s="113"/>
      <c r="AJ2273" s="113"/>
      <c r="AK2273" s="113"/>
      <c r="AL2273" s="113" t="s">
        <v>1113</v>
      </c>
      <c r="AM2273" s="113"/>
      <c r="AN2273" s="113"/>
      <c r="AO2273" s="43" t="s">
        <v>2348</v>
      </c>
      <c r="AP2273" s="43"/>
      <c r="AQ2273" s="236" t="str">
        <f>VLOOKUP(Table8[[#This Row],[Instrument]],Def_Targets!$D$73:$E$159,2,FALSE)</f>
        <v>S_Activemobility</v>
      </c>
      <c r="AR2273" s="233" t="str">
        <f>VLOOKUP(Table8[[#This Row],[Country Code]],Table29[],3,FALSE)</f>
        <v>Non-Annex I</v>
      </c>
      <c r="AS2273" s="233" t="str">
        <f>VLOOKUP(Table8[[#This Row],[Country Code]],Table29[],4,FALSE)</f>
        <v>Africa</v>
      </c>
      <c r="AT2273" s="233" t="str">
        <f>VLOOKUP(Table8[[#This Row],[Country Code]],Table29[],5,FALSE)</f>
        <v>Low-income</v>
      </c>
      <c r="AU2273" s="233" t="str">
        <f>VLOOKUP(Table8[[#This Row],[Country Code]],Table29[],6,FALSE)</f>
        <v>no</v>
      </c>
      <c r="AV2273" s="233" t="str">
        <f>VLOOKUP(Table8[[#This Row],[Country Code]],Table29[],7,FALSE)</f>
        <v>no</v>
      </c>
      <c r="AW2273" s="233" t="str">
        <f>VLOOKUP(Table8[[#This Row],[Country Code]],Table29[],8,FALSE)</f>
        <v>non-OECD</v>
      </c>
      <c r="AX2273" s="233" t="str">
        <f>VLOOKUP(Table8[[#This Row],[Country Code]],Table29[],9,FALSE)</f>
        <v>no</v>
      </c>
      <c r="AY2273" s="233" t="str">
        <f>VLOOKUP(Table8[[#This Row],[Country Code]],Table29[],10,FALSE)</f>
        <v>no</v>
      </c>
      <c r="AZ2273" s="235">
        <f>VLOOKUP(Table8[[#This Row],[Country Code]],Table29[],23,FALSE)</f>
        <v>53.370989410157001</v>
      </c>
      <c r="BA2273" s="235">
        <f>VLOOKUP(Table8[[#This Row],[Country Code]],Table29[],24,FALSE)</f>
        <v>3.617994034151566</v>
      </c>
      <c r="BB2273" s="320"/>
      <c r="BC2273" s="320"/>
    </row>
    <row r="2274" spans="1:55" ht="45" hidden="1" x14ac:dyDescent="0.25">
      <c r="A2274" s="373">
        <v>29235</v>
      </c>
      <c r="B2274" s="233" t="str">
        <f>VLOOKUP(Table8[[#This Row],[Document ID]],Table1[],2,FALSE)</f>
        <v>UGA</v>
      </c>
      <c r="C2274" s="233" t="str">
        <f>VLOOKUP(Table8[[#This Row],[Document ID]],Table1[],3,FALSE)</f>
        <v>Uganda</v>
      </c>
      <c r="D2274" s="243" t="str">
        <f>VLOOKUP(Table8[[#This Row],[Document ID]],Table1[],5,FALSE)</f>
        <v>NDC</v>
      </c>
      <c r="E2274" s="233" t="str">
        <f>VLOOKUP(Table8[[#This Row],[Document ID]],Table1[],7,FALSE)</f>
        <v>First NDC updated</v>
      </c>
      <c r="F2274" s="233" t="str">
        <f>VLOOKUP(Table8[[#This Row],[Document ID]],Table1[],8,FALSE)</f>
        <v>NDC 1.2</v>
      </c>
      <c r="G2274" s="233" t="str">
        <f>VLOOKUP(Table8[[#This Row],[Document ID]],Table1[],10,FALSE)</f>
        <v>Active</v>
      </c>
      <c r="H2274" s="43" t="s">
        <v>2350</v>
      </c>
      <c r="I2274" s="43" t="s">
        <v>2456</v>
      </c>
      <c r="J2274" s="44" t="s">
        <v>2457</v>
      </c>
      <c r="K2274" s="44" t="s">
        <v>4412</v>
      </c>
      <c r="L2274" s="44" t="s">
        <v>2333</v>
      </c>
      <c r="M2274" s="43">
        <v>39</v>
      </c>
      <c r="N2274" s="113"/>
      <c r="O2274" s="113"/>
      <c r="P2274" s="113"/>
      <c r="Q2274" s="113"/>
      <c r="R2274" s="113"/>
      <c r="S2274" s="113"/>
      <c r="T2274" s="113"/>
      <c r="U2274" s="113"/>
      <c r="V2274" s="113"/>
      <c r="W2274" s="113"/>
      <c r="X2274" s="113"/>
      <c r="Y2274" s="113"/>
      <c r="Z2274" s="113" t="s">
        <v>1113</v>
      </c>
      <c r="AA2274" s="113"/>
      <c r="AB2274" s="113"/>
      <c r="AC2274" s="113"/>
      <c r="AD2274" s="113"/>
      <c r="AE2274" s="113"/>
      <c r="AF2274" s="113"/>
      <c r="AG2274" s="113"/>
      <c r="AH2274" s="113"/>
      <c r="AI2274" s="113"/>
      <c r="AJ2274" s="113"/>
      <c r="AK2274" s="113" t="s">
        <v>1113</v>
      </c>
      <c r="AL2274" s="113"/>
      <c r="AM2274" s="113"/>
      <c r="AN2274" s="113"/>
      <c r="AO2274" s="43" t="s">
        <v>2477</v>
      </c>
      <c r="AP2274" s="43"/>
      <c r="AQ2274" s="236" t="str">
        <f>VLOOKUP(Table8[[#This Row],[Instrument]],Def_Targets!$D$73:$E$159,2,FALSE)</f>
        <v>S_Infraimprove</v>
      </c>
      <c r="AR2274" s="233" t="str">
        <f>VLOOKUP(Table8[[#This Row],[Country Code]],Table29[],3,FALSE)</f>
        <v>Non-Annex I</v>
      </c>
      <c r="AS2274" s="233" t="str">
        <f>VLOOKUP(Table8[[#This Row],[Country Code]],Table29[],4,FALSE)</f>
        <v>Africa</v>
      </c>
      <c r="AT2274" s="233" t="str">
        <f>VLOOKUP(Table8[[#This Row],[Country Code]],Table29[],5,FALSE)</f>
        <v>Low-income</v>
      </c>
      <c r="AU2274" s="233" t="str">
        <f>VLOOKUP(Table8[[#This Row],[Country Code]],Table29[],6,FALSE)</f>
        <v>no</v>
      </c>
      <c r="AV2274" s="233" t="str">
        <f>VLOOKUP(Table8[[#This Row],[Country Code]],Table29[],7,FALSE)</f>
        <v>no</v>
      </c>
      <c r="AW2274" s="233" t="str">
        <f>VLOOKUP(Table8[[#This Row],[Country Code]],Table29[],8,FALSE)</f>
        <v>non-OECD</v>
      </c>
      <c r="AX2274" s="233" t="str">
        <f>VLOOKUP(Table8[[#This Row],[Country Code]],Table29[],9,FALSE)</f>
        <v>no</v>
      </c>
      <c r="AY2274" s="233" t="str">
        <f>VLOOKUP(Table8[[#This Row],[Country Code]],Table29[],10,FALSE)</f>
        <v>no</v>
      </c>
      <c r="AZ2274" s="235">
        <f>VLOOKUP(Table8[[#This Row],[Country Code]],Table29[],23,FALSE)</f>
        <v>53.370989410157001</v>
      </c>
      <c r="BA2274" s="235">
        <f>VLOOKUP(Table8[[#This Row],[Country Code]],Table29[],24,FALSE)</f>
        <v>3.617994034151566</v>
      </c>
      <c r="BB2274" s="320"/>
      <c r="BC2274" s="320"/>
    </row>
    <row r="2275" spans="1:55" hidden="1" x14ac:dyDescent="0.25">
      <c r="A2275" s="373">
        <v>29235</v>
      </c>
      <c r="B2275" s="233" t="str">
        <f>VLOOKUP(Table8[[#This Row],[Document ID]],Table1[],2,FALSE)</f>
        <v>UGA</v>
      </c>
      <c r="C2275" s="233" t="str">
        <f>VLOOKUP(Table8[[#This Row],[Document ID]],Table1[],3,FALSE)</f>
        <v>Uganda</v>
      </c>
      <c r="D2275" s="243" t="str">
        <f>VLOOKUP(Table8[[#This Row],[Document ID]],Table1[],5,FALSE)</f>
        <v>NDC</v>
      </c>
      <c r="E2275" s="233" t="str">
        <f>VLOOKUP(Table8[[#This Row],[Document ID]],Table1[],7,FALSE)</f>
        <v>First NDC updated</v>
      </c>
      <c r="F2275" s="233" t="str">
        <f>VLOOKUP(Table8[[#This Row],[Document ID]],Table1[],8,FALSE)</f>
        <v>NDC 1.2</v>
      </c>
      <c r="G2275" s="233" t="str">
        <f>VLOOKUP(Table8[[#This Row],[Document ID]],Table1[],10,FALSE)</f>
        <v>Active</v>
      </c>
      <c r="H2275" s="43" t="s">
        <v>2343</v>
      </c>
      <c r="I2275" s="43" t="s">
        <v>2344</v>
      </c>
      <c r="J2275" s="44" t="s">
        <v>2405</v>
      </c>
      <c r="K2275" s="44" t="s">
        <v>4413</v>
      </c>
      <c r="L2275" s="44" t="s">
        <v>2333</v>
      </c>
      <c r="M2275" s="43">
        <v>39</v>
      </c>
      <c r="N2275" s="113"/>
      <c r="O2275" s="113"/>
      <c r="P2275" s="113"/>
      <c r="Q2275" s="113"/>
      <c r="R2275" s="113"/>
      <c r="S2275" s="113"/>
      <c r="T2275" s="113"/>
      <c r="U2275" s="113"/>
      <c r="V2275" s="113"/>
      <c r="W2275" s="113"/>
      <c r="X2275" s="113"/>
      <c r="Y2275" s="113" t="s">
        <v>1113</v>
      </c>
      <c r="Z2275" s="113"/>
      <c r="AA2275" s="113"/>
      <c r="AB2275" s="113"/>
      <c r="AC2275" s="113" t="s">
        <v>1113</v>
      </c>
      <c r="AD2275" s="113"/>
      <c r="AE2275" s="113"/>
      <c r="AF2275" s="113"/>
      <c r="AG2275" s="113"/>
      <c r="AH2275" s="113"/>
      <c r="AI2275" s="113"/>
      <c r="AJ2275" s="113"/>
      <c r="AK2275" s="113"/>
      <c r="AL2275" s="113" t="s">
        <v>1113</v>
      </c>
      <c r="AM2275" s="113"/>
      <c r="AN2275" s="113"/>
      <c r="AO2275" s="43" t="s">
        <v>2348</v>
      </c>
      <c r="AP2275" s="43"/>
      <c r="AQ2275" s="236" t="str">
        <f>VLOOKUP(Table8[[#This Row],[Instrument]],Def_Targets!$D$73:$E$159,2,FALSE)</f>
        <v>S_PTIntegration</v>
      </c>
      <c r="AR2275" s="233" t="str">
        <f>VLOOKUP(Table8[[#This Row],[Country Code]],Table29[],3,FALSE)</f>
        <v>Non-Annex I</v>
      </c>
      <c r="AS2275" s="233" t="str">
        <f>VLOOKUP(Table8[[#This Row],[Country Code]],Table29[],4,FALSE)</f>
        <v>Africa</v>
      </c>
      <c r="AT2275" s="233" t="str">
        <f>VLOOKUP(Table8[[#This Row],[Country Code]],Table29[],5,FALSE)</f>
        <v>Low-income</v>
      </c>
      <c r="AU2275" s="233" t="str">
        <f>VLOOKUP(Table8[[#This Row],[Country Code]],Table29[],6,FALSE)</f>
        <v>no</v>
      </c>
      <c r="AV2275" s="233" t="str">
        <f>VLOOKUP(Table8[[#This Row],[Country Code]],Table29[],7,FALSE)</f>
        <v>no</v>
      </c>
      <c r="AW2275" s="233" t="str">
        <f>VLOOKUP(Table8[[#This Row],[Country Code]],Table29[],8,FALSE)</f>
        <v>non-OECD</v>
      </c>
      <c r="AX2275" s="233" t="str">
        <f>VLOOKUP(Table8[[#This Row],[Country Code]],Table29[],9,FALSE)</f>
        <v>no</v>
      </c>
      <c r="AY2275" s="233" t="str">
        <f>VLOOKUP(Table8[[#This Row],[Country Code]],Table29[],10,FALSE)</f>
        <v>no</v>
      </c>
      <c r="AZ2275" s="235">
        <f>VLOOKUP(Table8[[#This Row],[Country Code]],Table29[],23,FALSE)</f>
        <v>53.370989410157001</v>
      </c>
      <c r="BA2275" s="235">
        <f>VLOOKUP(Table8[[#This Row],[Country Code]],Table29[],24,FALSE)</f>
        <v>3.617994034151566</v>
      </c>
      <c r="BB2275" s="320"/>
      <c r="BC2275" s="320"/>
    </row>
    <row r="2276" spans="1:55" hidden="1" x14ac:dyDescent="0.25">
      <c r="A2276" s="373">
        <v>29235</v>
      </c>
      <c r="B2276" s="233" t="str">
        <f>VLOOKUP(Table8[[#This Row],[Document ID]],Table1[],2,FALSE)</f>
        <v>UGA</v>
      </c>
      <c r="C2276" s="233" t="str">
        <f>VLOOKUP(Table8[[#This Row],[Document ID]],Table1[],3,FALSE)</f>
        <v>Uganda</v>
      </c>
      <c r="D2276" s="243" t="str">
        <f>VLOOKUP(Table8[[#This Row],[Document ID]],Table1[],5,FALSE)</f>
        <v>NDC</v>
      </c>
      <c r="E2276" s="233" t="str">
        <f>VLOOKUP(Table8[[#This Row],[Document ID]],Table1[],7,FALSE)</f>
        <v>First NDC updated</v>
      </c>
      <c r="F2276" s="233" t="str">
        <f>VLOOKUP(Table8[[#This Row],[Document ID]],Table1[],8,FALSE)</f>
        <v>NDC 1.2</v>
      </c>
      <c r="G2276" s="233" t="str">
        <f>VLOOKUP(Table8[[#This Row],[Document ID]],Table1[],10,FALSE)</f>
        <v>Active</v>
      </c>
      <c r="H2276" s="43" t="s">
        <v>2343</v>
      </c>
      <c r="I2276" s="43" t="s">
        <v>2377</v>
      </c>
      <c r="J2276" s="44" t="s">
        <v>2394</v>
      </c>
      <c r="K2276" s="44" t="s">
        <v>4414</v>
      </c>
      <c r="L2276" s="44" t="s">
        <v>2380</v>
      </c>
      <c r="M2276" s="43">
        <v>39</v>
      </c>
      <c r="N2276" s="113" t="s">
        <v>1113</v>
      </c>
      <c r="O2276" s="113"/>
      <c r="P2276" s="113"/>
      <c r="Q2276" s="113"/>
      <c r="R2276" s="113"/>
      <c r="S2276" s="113"/>
      <c r="T2276" s="113"/>
      <c r="U2276" s="113"/>
      <c r="V2276" s="113"/>
      <c r="W2276" s="113"/>
      <c r="X2276" s="113"/>
      <c r="Y2276" s="113"/>
      <c r="Z2276" s="113"/>
      <c r="AA2276" s="113"/>
      <c r="AB2276" s="113"/>
      <c r="AC2276" s="113"/>
      <c r="AD2276" s="113"/>
      <c r="AE2276" s="113"/>
      <c r="AF2276" s="113"/>
      <c r="AG2276" s="113"/>
      <c r="AH2276" s="113"/>
      <c r="AI2276" s="113"/>
      <c r="AJ2276" s="113"/>
      <c r="AK2276" s="113"/>
      <c r="AL2276" s="113" t="s">
        <v>1113</v>
      </c>
      <c r="AM2276" s="113"/>
      <c r="AN2276" s="113"/>
      <c r="AO2276" s="44" t="s">
        <v>2334</v>
      </c>
      <c r="AP2276" s="43"/>
      <c r="AQ2276" s="236" t="str">
        <f>VLOOKUP(Table8[[#This Row],[Instrument]],Def_Targets!$D$73:$E$159,2,FALSE)</f>
        <v>A_TDM</v>
      </c>
      <c r="AR2276" s="233" t="str">
        <f>VLOOKUP(Table8[[#This Row],[Country Code]],Table29[],3,FALSE)</f>
        <v>Non-Annex I</v>
      </c>
      <c r="AS2276" s="233" t="str">
        <f>VLOOKUP(Table8[[#This Row],[Country Code]],Table29[],4,FALSE)</f>
        <v>Africa</v>
      </c>
      <c r="AT2276" s="233" t="str">
        <f>VLOOKUP(Table8[[#This Row],[Country Code]],Table29[],5,FALSE)</f>
        <v>Low-income</v>
      </c>
      <c r="AU2276" s="233" t="str">
        <f>VLOOKUP(Table8[[#This Row],[Country Code]],Table29[],6,FALSE)</f>
        <v>no</v>
      </c>
      <c r="AV2276" s="233" t="str">
        <f>VLOOKUP(Table8[[#This Row],[Country Code]],Table29[],7,FALSE)</f>
        <v>no</v>
      </c>
      <c r="AW2276" s="233" t="str">
        <f>VLOOKUP(Table8[[#This Row],[Country Code]],Table29[],8,FALSE)</f>
        <v>non-OECD</v>
      </c>
      <c r="AX2276" s="233" t="str">
        <f>VLOOKUP(Table8[[#This Row],[Country Code]],Table29[],9,FALSE)</f>
        <v>no</v>
      </c>
      <c r="AY2276" s="233" t="str">
        <f>VLOOKUP(Table8[[#This Row],[Country Code]],Table29[],10,FALSE)</f>
        <v>no</v>
      </c>
      <c r="AZ2276" s="235">
        <f>VLOOKUP(Table8[[#This Row],[Country Code]],Table29[],23,FALSE)</f>
        <v>53.370989410157001</v>
      </c>
      <c r="BA2276" s="235">
        <f>VLOOKUP(Table8[[#This Row],[Country Code]],Table29[],24,FALSE)</f>
        <v>3.617994034151566</v>
      </c>
      <c r="BB2276" s="320"/>
      <c r="BC2276" s="320"/>
    </row>
    <row r="2277" spans="1:55" hidden="1" x14ac:dyDescent="0.25">
      <c r="A2277" s="373">
        <v>29235</v>
      </c>
      <c r="B2277" s="233" t="str">
        <f>VLOOKUP(Table8[[#This Row],[Document ID]],Table1[],2,FALSE)</f>
        <v>UGA</v>
      </c>
      <c r="C2277" s="233" t="str">
        <f>VLOOKUP(Table8[[#This Row],[Document ID]],Table1[],3,FALSE)</f>
        <v>Uganda</v>
      </c>
      <c r="D2277" s="243" t="str">
        <f>VLOOKUP(Table8[[#This Row],[Document ID]],Table1[],5,FALSE)</f>
        <v>NDC</v>
      </c>
      <c r="E2277" s="233" t="str">
        <f>VLOOKUP(Table8[[#This Row],[Document ID]],Table1[],7,FALSE)</f>
        <v>First NDC updated</v>
      </c>
      <c r="F2277" s="233" t="str">
        <f>VLOOKUP(Table8[[#This Row],[Document ID]],Table1[],8,FALSE)</f>
        <v>NDC 1.2</v>
      </c>
      <c r="G2277" s="233" t="str">
        <f>VLOOKUP(Table8[[#This Row],[Document ID]],Table1[],10,FALSE)</f>
        <v>Active</v>
      </c>
      <c r="H2277" s="43" t="s">
        <v>2343</v>
      </c>
      <c r="I2277" s="43" t="s">
        <v>2344</v>
      </c>
      <c r="J2277" s="44" t="s">
        <v>2549</v>
      </c>
      <c r="K2277" s="44" t="s">
        <v>4415</v>
      </c>
      <c r="L2277" s="44" t="s">
        <v>2347</v>
      </c>
      <c r="M2277" s="43">
        <v>39</v>
      </c>
      <c r="N2277" s="113"/>
      <c r="O2277" s="113"/>
      <c r="P2277" s="113"/>
      <c r="Q2277" s="113"/>
      <c r="R2277" s="113"/>
      <c r="S2277" s="113"/>
      <c r="T2277" s="113"/>
      <c r="U2277" s="113"/>
      <c r="V2277" s="113"/>
      <c r="W2277" s="113"/>
      <c r="X2277" s="113"/>
      <c r="Y2277" s="113" t="s">
        <v>1113</v>
      </c>
      <c r="Z2277" s="113"/>
      <c r="AA2277" s="113"/>
      <c r="AB2277" s="113"/>
      <c r="AC2277" s="113"/>
      <c r="AD2277" s="113"/>
      <c r="AE2277" s="113"/>
      <c r="AF2277" s="113"/>
      <c r="AG2277" s="113"/>
      <c r="AH2277" s="113"/>
      <c r="AI2277" s="113"/>
      <c r="AJ2277" s="113"/>
      <c r="AK2277" s="113" t="s">
        <v>1113</v>
      </c>
      <c r="AL2277" s="113"/>
      <c r="AM2277" s="113"/>
      <c r="AN2277" s="113"/>
      <c r="AO2277" s="43" t="s">
        <v>2348</v>
      </c>
      <c r="AP2277" s="43"/>
      <c r="AQ2277" s="236" t="str">
        <f>VLOOKUP(Table8[[#This Row],[Instrument]],Def_Targets!$D$73:$E$159,2,FALSE)</f>
        <v>S_BRT</v>
      </c>
      <c r="AR2277" s="233" t="str">
        <f>VLOOKUP(Table8[[#This Row],[Country Code]],Table29[],3,FALSE)</f>
        <v>Non-Annex I</v>
      </c>
      <c r="AS2277" s="233" t="str">
        <f>VLOOKUP(Table8[[#This Row],[Country Code]],Table29[],4,FALSE)</f>
        <v>Africa</v>
      </c>
      <c r="AT2277" s="233" t="str">
        <f>VLOOKUP(Table8[[#This Row],[Country Code]],Table29[],5,FALSE)</f>
        <v>Low-income</v>
      </c>
      <c r="AU2277" s="233" t="str">
        <f>VLOOKUP(Table8[[#This Row],[Country Code]],Table29[],6,FALSE)</f>
        <v>no</v>
      </c>
      <c r="AV2277" s="233" t="str">
        <f>VLOOKUP(Table8[[#This Row],[Country Code]],Table29[],7,FALSE)</f>
        <v>no</v>
      </c>
      <c r="AW2277" s="233" t="str">
        <f>VLOOKUP(Table8[[#This Row],[Country Code]],Table29[],8,FALSE)</f>
        <v>non-OECD</v>
      </c>
      <c r="AX2277" s="233" t="str">
        <f>VLOOKUP(Table8[[#This Row],[Country Code]],Table29[],9,FALSE)</f>
        <v>no</v>
      </c>
      <c r="AY2277" s="233" t="str">
        <f>VLOOKUP(Table8[[#This Row],[Country Code]],Table29[],10,FALSE)</f>
        <v>no</v>
      </c>
      <c r="AZ2277" s="235">
        <f>VLOOKUP(Table8[[#This Row],[Country Code]],Table29[],23,FALSE)</f>
        <v>53.370989410157001</v>
      </c>
      <c r="BA2277" s="235">
        <f>VLOOKUP(Table8[[#This Row],[Country Code]],Table29[],24,FALSE)</f>
        <v>3.617994034151566</v>
      </c>
      <c r="BB2277" s="320"/>
      <c r="BC2277" s="320"/>
    </row>
    <row r="2278" spans="1:55" hidden="1" x14ac:dyDescent="0.25">
      <c r="A2278" s="373">
        <v>29235</v>
      </c>
      <c r="B2278" s="233" t="str">
        <f>VLOOKUP(Table8[[#This Row],[Document ID]],Table1[],2,FALSE)</f>
        <v>UGA</v>
      </c>
      <c r="C2278" s="233" t="str">
        <f>VLOOKUP(Table8[[#This Row],[Document ID]],Table1[],3,FALSE)</f>
        <v>Uganda</v>
      </c>
      <c r="D2278" s="243" t="str">
        <f>VLOOKUP(Table8[[#This Row],[Document ID]],Table1[],5,FALSE)</f>
        <v>NDC</v>
      </c>
      <c r="E2278" s="233" t="str">
        <f>VLOOKUP(Table8[[#This Row],[Document ID]],Table1[],7,FALSE)</f>
        <v>First NDC updated</v>
      </c>
      <c r="F2278" s="233" t="str">
        <f>VLOOKUP(Table8[[#This Row],[Document ID]],Table1[],8,FALSE)</f>
        <v>NDC 1.2</v>
      </c>
      <c r="G2278" s="233" t="str">
        <f>VLOOKUP(Table8[[#This Row],[Document ID]],Table1[],10,FALSE)</f>
        <v>Active</v>
      </c>
      <c r="H2278" s="43" t="s">
        <v>2343</v>
      </c>
      <c r="I2278" s="43" t="s">
        <v>2344</v>
      </c>
      <c r="J2278" s="44" t="s">
        <v>2345</v>
      </c>
      <c r="K2278" s="44" t="s">
        <v>4416</v>
      </c>
      <c r="L2278" s="44" t="s">
        <v>2333</v>
      </c>
      <c r="M2278" s="43">
        <v>39</v>
      </c>
      <c r="N2278" s="113" t="s">
        <v>1113</v>
      </c>
      <c r="O2278" s="113"/>
      <c r="P2278" s="113"/>
      <c r="Q2278" s="113"/>
      <c r="R2278" s="113"/>
      <c r="S2278" s="113"/>
      <c r="T2278" s="113"/>
      <c r="U2278" s="113"/>
      <c r="V2278" s="113"/>
      <c r="W2278" s="113"/>
      <c r="X2278" s="113"/>
      <c r="Y2278" s="113"/>
      <c r="Z2278" s="113"/>
      <c r="AA2278" s="113"/>
      <c r="AB2278" s="113"/>
      <c r="AC2278" s="113"/>
      <c r="AD2278" s="113"/>
      <c r="AE2278" s="113"/>
      <c r="AF2278" s="113"/>
      <c r="AG2278" s="113"/>
      <c r="AH2278" s="113"/>
      <c r="AI2278" s="113"/>
      <c r="AJ2278" s="113"/>
      <c r="AK2278" s="113" t="s">
        <v>1113</v>
      </c>
      <c r="AL2278" s="113"/>
      <c r="AM2278" s="113"/>
      <c r="AN2278" s="113"/>
      <c r="AO2278" s="43" t="s">
        <v>2348</v>
      </c>
      <c r="AP2278" s="43"/>
      <c r="AQ2278" s="236" t="str">
        <f>VLOOKUP(Table8[[#This Row],[Instrument]],Def_Targets!$D$73:$E$159,2,FALSE)</f>
        <v>S_PublicTransport</v>
      </c>
      <c r="AR2278" s="233" t="str">
        <f>VLOOKUP(Table8[[#This Row],[Country Code]],Table29[],3,FALSE)</f>
        <v>Non-Annex I</v>
      </c>
      <c r="AS2278" s="233" t="str">
        <f>VLOOKUP(Table8[[#This Row],[Country Code]],Table29[],4,FALSE)</f>
        <v>Africa</v>
      </c>
      <c r="AT2278" s="233" t="str">
        <f>VLOOKUP(Table8[[#This Row],[Country Code]],Table29[],5,FALSE)</f>
        <v>Low-income</v>
      </c>
      <c r="AU2278" s="233" t="str">
        <f>VLOOKUP(Table8[[#This Row],[Country Code]],Table29[],6,FALSE)</f>
        <v>no</v>
      </c>
      <c r="AV2278" s="233" t="str">
        <f>VLOOKUP(Table8[[#This Row],[Country Code]],Table29[],7,FALSE)</f>
        <v>no</v>
      </c>
      <c r="AW2278" s="233" t="str">
        <f>VLOOKUP(Table8[[#This Row],[Country Code]],Table29[],8,FALSE)</f>
        <v>non-OECD</v>
      </c>
      <c r="AX2278" s="233" t="str">
        <f>VLOOKUP(Table8[[#This Row],[Country Code]],Table29[],9,FALSE)</f>
        <v>no</v>
      </c>
      <c r="AY2278" s="233" t="str">
        <f>VLOOKUP(Table8[[#This Row],[Country Code]],Table29[],10,FALSE)</f>
        <v>no</v>
      </c>
      <c r="AZ2278" s="235">
        <f>VLOOKUP(Table8[[#This Row],[Country Code]],Table29[],23,FALSE)</f>
        <v>53.370989410157001</v>
      </c>
      <c r="BA2278" s="235">
        <f>VLOOKUP(Table8[[#This Row],[Country Code]],Table29[],24,FALSE)</f>
        <v>3.617994034151566</v>
      </c>
      <c r="BB2278" s="320"/>
      <c r="BC2278" s="320"/>
    </row>
    <row r="2279" spans="1:55" hidden="1" x14ac:dyDescent="0.25">
      <c r="A2279" s="373">
        <v>29235</v>
      </c>
      <c r="B2279" s="233" t="str">
        <f>VLOOKUP(Table8[[#This Row],[Document ID]],Table1[],2,FALSE)</f>
        <v>UGA</v>
      </c>
      <c r="C2279" s="233" t="str">
        <f>VLOOKUP(Table8[[#This Row],[Document ID]],Table1[],3,FALSE)</f>
        <v>Uganda</v>
      </c>
      <c r="D2279" s="243" t="str">
        <f>VLOOKUP(Table8[[#This Row],[Document ID]],Table1[],5,FALSE)</f>
        <v>NDC</v>
      </c>
      <c r="E2279" s="233" t="str">
        <f>VLOOKUP(Table8[[#This Row],[Document ID]],Table1[],7,FALSE)</f>
        <v>First NDC updated</v>
      </c>
      <c r="F2279" s="233" t="str">
        <f>VLOOKUP(Table8[[#This Row],[Document ID]],Table1[],8,FALSE)</f>
        <v>NDC 1.2</v>
      </c>
      <c r="G2279" s="233" t="str">
        <f>VLOOKUP(Table8[[#This Row],[Document ID]],Table1[],10,FALSE)</f>
        <v>Active</v>
      </c>
      <c r="H2279" s="43" t="s">
        <v>2343</v>
      </c>
      <c r="I2279" s="43" t="s">
        <v>2344</v>
      </c>
      <c r="J2279" s="44" t="s">
        <v>2345</v>
      </c>
      <c r="K2279" s="44" t="s">
        <v>4417</v>
      </c>
      <c r="L2279" s="44" t="s">
        <v>2347</v>
      </c>
      <c r="M2279" s="43">
        <v>39</v>
      </c>
      <c r="N2279" s="113"/>
      <c r="O2279" s="113"/>
      <c r="P2279" s="113"/>
      <c r="Q2279" s="113"/>
      <c r="R2279" s="113"/>
      <c r="S2279" s="113"/>
      <c r="T2279" s="113"/>
      <c r="U2279" s="113"/>
      <c r="V2279" s="113"/>
      <c r="W2279" s="113"/>
      <c r="X2279" s="113"/>
      <c r="Y2279" s="113"/>
      <c r="Z2279" s="113"/>
      <c r="AA2279" s="113"/>
      <c r="AB2279" s="113"/>
      <c r="AC2279" s="113" t="s">
        <v>1113</v>
      </c>
      <c r="AD2279" s="113"/>
      <c r="AE2279" s="113"/>
      <c r="AF2279" s="113"/>
      <c r="AG2279" s="113"/>
      <c r="AH2279" s="113"/>
      <c r="AI2279" s="113"/>
      <c r="AJ2279" s="113"/>
      <c r="AK2279" s="113" t="s">
        <v>1113</v>
      </c>
      <c r="AL2279" s="113"/>
      <c r="AM2279" s="113"/>
      <c r="AN2279" s="113"/>
      <c r="AO2279" s="43" t="s">
        <v>2348</v>
      </c>
      <c r="AP2279" s="43"/>
      <c r="AQ2279" s="236" t="str">
        <f>VLOOKUP(Table8[[#This Row],[Instrument]],Def_Targets!$D$73:$E$159,2,FALSE)</f>
        <v>S_PublicTransport</v>
      </c>
      <c r="AR2279" s="233" t="str">
        <f>VLOOKUP(Table8[[#This Row],[Country Code]],Table29[],3,FALSE)</f>
        <v>Non-Annex I</v>
      </c>
      <c r="AS2279" s="233" t="str">
        <f>VLOOKUP(Table8[[#This Row],[Country Code]],Table29[],4,FALSE)</f>
        <v>Africa</v>
      </c>
      <c r="AT2279" s="233" t="str">
        <f>VLOOKUP(Table8[[#This Row],[Country Code]],Table29[],5,FALSE)</f>
        <v>Low-income</v>
      </c>
      <c r="AU2279" s="233" t="str">
        <f>VLOOKUP(Table8[[#This Row],[Country Code]],Table29[],6,FALSE)</f>
        <v>no</v>
      </c>
      <c r="AV2279" s="233" t="str">
        <f>VLOOKUP(Table8[[#This Row],[Country Code]],Table29[],7,FALSE)</f>
        <v>no</v>
      </c>
      <c r="AW2279" s="233" t="str">
        <f>VLOOKUP(Table8[[#This Row],[Country Code]],Table29[],8,FALSE)</f>
        <v>non-OECD</v>
      </c>
      <c r="AX2279" s="233" t="str">
        <f>VLOOKUP(Table8[[#This Row],[Country Code]],Table29[],9,FALSE)</f>
        <v>no</v>
      </c>
      <c r="AY2279" s="233" t="str">
        <f>VLOOKUP(Table8[[#This Row],[Country Code]],Table29[],10,FALSE)</f>
        <v>no</v>
      </c>
      <c r="AZ2279" s="235">
        <f>VLOOKUP(Table8[[#This Row],[Country Code]],Table29[],23,FALSE)</f>
        <v>53.370989410157001</v>
      </c>
      <c r="BA2279" s="235">
        <f>VLOOKUP(Table8[[#This Row],[Country Code]],Table29[],24,FALSE)</f>
        <v>3.617994034151566</v>
      </c>
      <c r="BB2279" s="320"/>
      <c r="BC2279" s="320"/>
    </row>
    <row r="2280" spans="1:55" hidden="1" x14ac:dyDescent="0.25">
      <c r="A2280" s="373">
        <v>29235</v>
      </c>
      <c r="B2280" s="233" t="str">
        <f>VLOOKUP(Table8[[#This Row],[Document ID]],Table1[],2,FALSE)</f>
        <v>UGA</v>
      </c>
      <c r="C2280" s="233" t="str">
        <f>VLOOKUP(Table8[[#This Row],[Document ID]],Table1[],3,FALSE)</f>
        <v>Uganda</v>
      </c>
      <c r="D2280" s="243" t="str">
        <f>VLOOKUP(Table8[[#This Row],[Document ID]],Table1[],5,FALSE)</f>
        <v>NDC</v>
      </c>
      <c r="E2280" s="233" t="str">
        <f>VLOOKUP(Table8[[#This Row],[Document ID]],Table1[],7,FALSE)</f>
        <v>First NDC updated</v>
      </c>
      <c r="F2280" s="233" t="str">
        <f>VLOOKUP(Table8[[#This Row],[Document ID]],Table1[],8,FALSE)</f>
        <v>NDC 1.2</v>
      </c>
      <c r="G2280" s="233" t="str">
        <f>VLOOKUP(Table8[[#This Row],[Document ID]],Table1[],10,FALSE)</f>
        <v>Active</v>
      </c>
      <c r="H2280" s="43" t="s">
        <v>2343</v>
      </c>
      <c r="I2280" s="43" t="s">
        <v>2344</v>
      </c>
      <c r="J2280" s="44" t="s">
        <v>2345</v>
      </c>
      <c r="K2280" s="44" t="s">
        <v>4418</v>
      </c>
      <c r="L2280" s="44" t="s">
        <v>2347</v>
      </c>
      <c r="M2280" s="43">
        <v>39</v>
      </c>
      <c r="N2280" s="113"/>
      <c r="O2280" s="113"/>
      <c r="P2280" s="113"/>
      <c r="Q2280" s="113"/>
      <c r="R2280" s="113"/>
      <c r="S2280" s="113"/>
      <c r="T2280" s="113"/>
      <c r="U2280" s="113"/>
      <c r="V2280" s="113"/>
      <c r="W2280" s="113"/>
      <c r="X2280" s="113"/>
      <c r="Y2280" s="113"/>
      <c r="Z2280" s="113"/>
      <c r="AA2280" s="113"/>
      <c r="AB2280" s="113"/>
      <c r="AC2280" s="113" t="s">
        <v>1113</v>
      </c>
      <c r="AD2280" s="113"/>
      <c r="AE2280" s="113"/>
      <c r="AF2280" s="113"/>
      <c r="AG2280" s="113"/>
      <c r="AH2280" s="113"/>
      <c r="AI2280" s="113"/>
      <c r="AJ2280" s="113"/>
      <c r="AK2280" s="113" t="s">
        <v>1113</v>
      </c>
      <c r="AL2280" s="113"/>
      <c r="AM2280" s="113"/>
      <c r="AN2280" s="113"/>
      <c r="AO2280" s="43" t="s">
        <v>2348</v>
      </c>
      <c r="AP2280" s="43"/>
      <c r="AQ2280" s="236" t="str">
        <f>VLOOKUP(Table8[[#This Row],[Instrument]],Def_Targets!$D$73:$E$159,2,FALSE)</f>
        <v>S_PublicTransport</v>
      </c>
      <c r="AR2280" s="233" t="str">
        <f>VLOOKUP(Table8[[#This Row],[Country Code]],Table29[],3,FALSE)</f>
        <v>Non-Annex I</v>
      </c>
      <c r="AS2280" s="233" t="str">
        <f>VLOOKUP(Table8[[#This Row],[Country Code]],Table29[],4,FALSE)</f>
        <v>Africa</v>
      </c>
      <c r="AT2280" s="233" t="str">
        <f>VLOOKUP(Table8[[#This Row],[Country Code]],Table29[],5,FALSE)</f>
        <v>Low-income</v>
      </c>
      <c r="AU2280" s="233" t="str">
        <f>VLOOKUP(Table8[[#This Row],[Country Code]],Table29[],6,FALSE)</f>
        <v>no</v>
      </c>
      <c r="AV2280" s="233" t="str">
        <f>VLOOKUP(Table8[[#This Row],[Country Code]],Table29[],7,FALSE)</f>
        <v>no</v>
      </c>
      <c r="AW2280" s="233" t="str">
        <f>VLOOKUP(Table8[[#This Row],[Country Code]],Table29[],8,FALSE)</f>
        <v>non-OECD</v>
      </c>
      <c r="AX2280" s="233" t="str">
        <f>VLOOKUP(Table8[[#This Row],[Country Code]],Table29[],9,FALSE)</f>
        <v>no</v>
      </c>
      <c r="AY2280" s="233" t="str">
        <f>VLOOKUP(Table8[[#This Row],[Country Code]],Table29[],10,FALSE)</f>
        <v>no</v>
      </c>
      <c r="AZ2280" s="235">
        <f>VLOOKUP(Table8[[#This Row],[Country Code]],Table29[],23,FALSE)</f>
        <v>53.370989410157001</v>
      </c>
      <c r="BA2280" s="235">
        <f>VLOOKUP(Table8[[#This Row],[Country Code]],Table29[],24,FALSE)</f>
        <v>3.617994034151566</v>
      </c>
      <c r="BB2280" s="320"/>
      <c r="BC2280" s="320"/>
    </row>
    <row r="2281" spans="1:55" hidden="1" x14ac:dyDescent="0.25">
      <c r="A2281" s="373">
        <v>29235</v>
      </c>
      <c r="B2281" s="233" t="str">
        <f>VLOOKUP(Table8[[#This Row],[Document ID]],Table1[],2,FALSE)</f>
        <v>UGA</v>
      </c>
      <c r="C2281" s="233" t="str">
        <f>VLOOKUP(Table8[[#This Row],[Document ID]],Table1[],3,FALSE)</f>
        <v>Uganda</v>
      </c>
      <c r="D2281" s="243" t="str">
        <f>VLOOKUP(Table8[[#This Row],[Document ID]],Table1[],5,FALSE)</f>
        <v>NDC</v>
      </c>
      <c r="E2281" s="233" t="str">
        <f>VLOOKUP(Table8[[#This Row],[Document ID]],Table1[],7,FALSE)</f>
        <v>First NDC updated</v>
      </c>
      <c r="F2281" s="233" t="str">
        <f>VLOOKUP(Table8[[#This Row],[Document ID]],Table1[],8,FALSE)</f>
        <v>NDC 1.2</v>
      </c>
      <c r="G2281" s="233" t="str">
        <f>VLOOKUP(Table8[[#This Row],[Document ID]],Table1[],10,FALSE)</f>
        <v>Active</v>
      </c>
      <c r="H2281" s="43" t="s">
        <v>2350</v>
      </c>
      <c r="I2281" s="43" t="s">
        <v>2456</v>
      </c>
      <c r="J2281" s="44" t="s">
        <v>2466</v>
      </c>
      <c r="K2281" s="44" t="s">
        <v>4419</v>
      </c>
      <c r="L2281" s="44" t="s">
        <v>2347</v>
      </c>
      <c r="M2281" s="43">
        <v>39</v>
      </c>
      <c r="N2281" s="113"/>
      <c r="O2281" s="113"/>
      <c r="P2281" s="113"/>
      <c r="Q2281" s="113"/>
      <c r="R2281" s="113"/>
      <c r="S2281" s="113"/>
      <c r="T2281" s="113"/>
      <c r="U2281" s="113"/>
      <c r="V2281" s="113"/>
      <c r="W2281" s="113"/>
      <c r="X2281" s="113"/>
      <c r="Y2281" s="113"/>
      <c r="Z2281" s="113" t="s">
        <v>1113</v>
      </c>
      <c r="AA2281" s="113"/>
      <c r="AB2281" s="113"/>
      <c r="AC2281" s="113"/>
      <c r="AD2281" s="113"/>
      <c r="AE2281" s="113"/>
      <c r="AF2281" s="113"/>
      <c r="AG2281" s="113"/>
      <c r="AH2281" s="113"/>
      <c r="AI2281" s="113"/>
      <c r="AJ2281" s="113"/>
      <c r="AK2281" s="113" t="s">
        <v>1113</v>
      </c>
      <c r="AL2281" s="113"/>
      <c r="AM2281" s="113"/>
      <c r="AN2281" s="113"/>
      <c r="AO2281" s="44" t="s">
        <v>2334</v>
      </c>
      <c r="AP2281" s="43"/>
      <c r="AQ2281" s="236" t="str">
        <f>VLOOKUP(Table8[[#This Row],[Instrument]],Def_Targets!$D$73:$E$159,2,FALSE)</f>
        <v>S_Infraexpansion</v>
      </c>
      <c r="AR2281" s="233" t="str">
        <f>VLOOKUP(Table8[[#This Row],[Country Code]],Table29[],3,FALSE)</f>
        <v>Non-Annex I</v>
      </c>
      <c r="AS2281" s="233" t="str">
        <f>VLOOKUP(Table8[[#This Row],[Country Code]],Table29[],4,FALSE)</f>
        <v>Africa</v>
      </c>
      <c r="AT2281" s="233" t="str">
        <f>VLOOKUP(Table8[[#This Row],[Country Code]],Table29[],5,FALSE)</f>
        <v>Low-income</v>
      </c>
      <c r="AU2281" s="233" t="str">
        <f>VLOOKUP(Table8[[#This Row],[Country Code]],Table29[],6,FALSE)</f>
        <v>no</v>
      </c>
      <c r="AV2281" s="233" t="str">
        <f>VLOOKUP(Table8[[#This Row],[Country Code]],Table29[],7,FALSE)</f>
        <v>no</v>
      </c>
      <c r="AW2281" s="233" t="str">
        <f>VLOOKUP(Table8[[#This Row],[Country Code]],Table29[],8,FALSE)</f>
        <v>non-OECD</v>
      </c>
      <c r="AX2281" s="233" t="str">
        <f>VLOOKUP(Table8[[#This Row],[Country Code]],Table29[],9,FALSE)</f>
        <v>no</v>
      </c>
      <c r="AY2281" s="233" t="str">
        <f>VLOOKUP(Table8[[#This Row],[Country Code]],Table29[],10,FALSE)</f>
        <v>no</v>
      </c>
      <c r="AZ2281" s="235">
        <f>VLOOKUP(Table8[[#This Row],[Country Code]],Table29[],23,FALSE)</f>
        <v>53.370989410157001</v>
      </c>
      <c r="BA2281" s="235">
        <f>VLOOKUP(Table8[[#This Row],[Country Code]],Table29[],24,FALSE)</f>
        <v>3.617994034151566</v>
      </c>
      <c r="BB2281" s="320"/>
      <c r="BC2281" s="320"/>
    </row>
    <row r="2282" spans="1:55" hidden="1" x14ac:dyDescent="0.25">
      <c r="A2282" s="373">
        <v>29235</v>
      </c>
      <c r="B2282" s="233" t="str">
        <f>VLOOKUP(Table8[[#This Row],[Document ID]],Table1[],2,FALSE)</f>
        <v>UGA</v>
      </c>
      <c r="C2282" s="233" t="str">
        <f>VLOOKUP(Table8[[#This Row],[Document ID]],Table1[],3,FALSE)</f>
        <v>Uganda</v>
      </c>
      <c r="D2282" s="243" t="str">
        <f>VLOOKUP(Table8[[#This Row],[Document ID]],Table1[],5,FALSE)</f>
        <v>NDC</v>
      </c>
      <c r="E2282" s="233" t="str">
        <f>VLOOKUP(Table8[[#This Row],[Document ID]],Table1[],7,FALSE)</f>
        <v>First NDC updated</v>
      </c>
      <c r="F2282" s="233" t="str">
        <f>VLOOKUP(Table8[[#This Row],[Document ID]],Table1[],8,FALSE)</f>
        <v>NDC 1.2</v>
      </c>
      <c r="G2282" s="233" t="str">
        <f>VLOOKUP(Table8[[#This Row],[Document ID]],Table1[],10,FALSE)</f>
        <v>Active</v>
      </c>
      <c r="H2282" s="43" t="s">
        <v>2350</v>
      </c>
      <c r="I2282" s="43" t="s">
        <v>2456</v>
      </c>
      <c r="J2282" s="44" t="s">
        <v>2457</v>
      </c>
      <c r="K2282" s="44" t="s">
        <v>4420</v>
      </c>
      <c r="L2282" s="44" t="s">
        <v>2333</v>
      </c>
      <c r="M2282" s="43">
        <v>42</v>
      </c>
      <c r="N2282" s="113"/>
      <c r="O2282" s="113"/>
      <c r="P2282" s="113"/>
      <c r="Q2282" s="113"/>
      <c r="R2282" s="113"/>
      <c r="S2282" s="113" t="s">
        <v>1113</v>
      </c>
      <c r="T2282" s="113"/>
      <c r="U2282" s="113"/>
      <c r="V2282" s="113"/>
      <c r="W2282" s="113"/>
      <c r="X2282" s="113"/>
      <c r="Y2282" s="113"/>
      <c r="Z2282" s="113"/>
      <c r="AA2282" s="113"/>
      <c r="AB2282" s="113"/>
      <c r="AC2282" s="113"/>
      <c r="AD2282" s="113"/>
      <c r="AE2282" s="113"/>
      <c r="AF2282" s="113"/>
      <c r="AG2282" s="113"/>
      <c r="AH2282" s="113"/>
      <c r="AI2282" s="113"/>
      <c r="AJ2282" s="113"/>
      <c r="AK2282" s="113" t="s">
        <v>1113</v>
      </c>
      <c r="AL2282" s="113"/>
      <c r="AM2282" s="113"/>
      <c r="AN2282" s="113"/>
      <c r="AO2282" s="44" t="s">
        <v>2334</v>
      </c>
      <c r="AP2282" s="43"/>
      <c r="AQ2282" s="236" t="str">
        <f>VLOOKUP(Table8[[#This Row],[Instrument]],Def_Targets!$D$73:$E$159,2,FALSE)</f>
        <v>S_Infraimprove</v>
      </c>
      <c r="AR2282" s="233" t="str">
        <f>VLOOKUP(Table8[[#This Row],[Country Code]],Table29[],3,FALSE)</f>
        <v>Non-Annex I</v>
      </c>
      <c r="AS2282" s="233" t="str">
        <f>VLOOKUP(Table8[[#This Row],[Country Code]],Table29[],4,FALSE)</f>
        <v>Africa</v>
      </c>
      <c r="AT2282" s="233" t="str">
        <f>VLOOKUP(Table8[[#This Row],[Country Code]],Table29[],5,FALSE)</f>
        <v>Low-income</v>
      </c>
      <c r="AU2282" s="233" t="str">
        <f>VLOOKUP(Table8[[#This Row],[Country Code]],Table29[],6,FALSE)</f>
        <v>no</v>
      </c>
      <c r="AV2282" s="233" t="str">
        <f>VLOOKUP(Table8[[#This Row],[Country Code]],Table29[],7,FALSE)</f>
        <v>no</v>
      </c>
      <c r="AW2282" s="233" t="str">
        <f>VLOOKUP(Table8[[#This Row],[Country Code]],Table29[],8,FALSE)</f>
        <v>non-OECD</v>
      </c>
      <c r="AX2282" s="233" t="str">
        <f>VLOOKUP(Table8[[#This Row],[Country Code]],Table29[],9,FALSE)</f>
        <v>no</v>
      </c>
      <c r="AY2282" s="233" t="str">
        <f>VLOOKUP(Table8[[#This Row],[Country Code]],Table29[],10,FALSE)</f>
        <v>no</v>
      </c>
      <c r="AZ2282" s="235">
        <f>VLOOKUP(Table8[[#This Row],[Country Code]],Table29[],23,FALSE)</f>
        <v>53.370989410157001</v>
      </c>
      <c r="BA2282" s="235">
        <f>VLOOKUP(Table8[[#This Row],[Country Code]],Table29[],24,FALSE)</f>
        <v>3.617994034151566</v>
      </c>
      <c r="BB2282" s="320"/>
      <c r="BC2282" s="320"/>
    </row>
    <row r="2283" spans="1:55" hidden="1" x14ac:dyDescent="0.25">
      <c r="A2283" s="373">
        <v>29235</v>
      </c>
      <c r="B2283" s="233" t="str">
        <f>VLOOKUP(Table8[[#This Row],[Document ID]],Table1[],2,FALSE)</f>
        <v>UGA</v>
      </c>
      <c r="C2283" s="233" t="str">
        <f>VLOOKUP(Table8[[#This Row],[Document ID]],Table1[],3,FALSE)</f>
        <v>Uganda</v>
      </c>
      <c r="D2283" s="243" t="str">
        <f>VLOOKUP(Table8[[#This Row],[Document ID]],Table1[],5,FALSE)</f>
        <v>NDC</v>
      </c>
      <c r="E2283" s="233" t="str">
        <f>VLOOKUP(Table8[[#This Row],[Document ID]],Table1[],7,FALSE)</f>
        <v>First NDC updated</v>
      </c>
      <c r="F2283" s="233" t="str">
        <f>VLOOKUP(Table8[[#This Row],[Document ID]],Table1[],8,FALSE)</f>
        <v>NDC 1.2</v>
      </c>
      <c r="G2283" s="233" t="str">
        <f>VLOOKUP(Table8[[#This Row],[Document ID]],Table1[],10,FALSE)</f>
        <v>Active</v>
      </c>
      <c r="H2283" s="43" t="s">
        <v>2358</v>
      </c>
      <c r="I2283" s="43" t="s">
        <v>2359</v>
      </c>
      <c r="J2283" s="44" t="s">
        <v>2360</v>
      </c>
      <c r="K2283" s="44" t="s">
        <v>4421</v>
      </c>
      <c r="L2283" s="44" t="s">
        <v>2333</v>
      </c>
      <c r="M2283" s="43">
        <v>42</v>
      </c>
      <c r="N2283" s="113"/>
      <c r="O2283" s="113"/>
      <c r="P2283" s="113"/>
      <c r="Q2283" s="113"/>
      <c r="R2283" s="113"/>
      <c r="S2283" s="113" t="s">
        <v>1113</v>
      </c>
      <c r="T2283" s="113" t="s">
        <v>1113</v>
      </c>
      <c r="U2283" s="113"/>
      <c r="V2283" s="113"/>
      <c r="W2283" s="113"/>
      <c r="X2283" s="113"/>
      <c r="Y2283" s="113" t="s">
        <v>1113</v>
      </c>
      <c r="Z2283" s="113"/>
      <c r="AA2283" s="113"/>
      <c r="AB2283" s="113"/>
      <c r="AC2283" s="113"/>
      <c r="AD2283" s="113"/>
      <c r="AE2283" s="113"/>
      <c r="AF2283" s="113"/>
      <c r="AG2283" s="113"/>
      <c r="AH2283" s="113"/>
      <c r="AI2283" s="113"/>
      <c r="AJ2283" s="113"/>
      <c r="AK2283" s="113" t="s">
        <v>1113</v>
      </c>
      <c r="AL2283" s="113"/>
      <c r="AM2283" s="113"/>
      <c r="AN2283" s="113"/>
      <c r="AO2283" s="44" t="s">
        <v>2334</v>
      </c>
      <c r="AP2283" s="43"/>
      <c r="AQ2283" s="236" t="str">
        <f>VLOOKUP(Table8[[#This Row],[Instrument]],Def_Targets!$D$73:$E$159,2,FALSE)</f>
        <v>I_Emobility</v>
      </c>
      <c r="AR2283" s="233" t="str">
        <f>VLOOKUP(Table8[[#This Row],[Country Code]],Table29[],3,FALSE)</f>
        <v>Non-Annex I</v>
      </c>
      <c r="AS2283" s="233" t="str">
        <f>VLOOKUP(Table8[[#This Row],[Country Code]],Table29[],4,FALSE)</f>
        <v>Africa</v>
      </c>
      <c r="AT2283" s="233" t="str">
        <f>VLOOKUP(Table8[[#This Row],[Country Code]],Table29[],5,FALSE)</f>
        <v>Low-income</v>
      </c>
      <c r="AU2283" s="233" t="str">
        <f>VLOOKUP(Table8[[#This Row],[Country Code]],Table29[],6,FALSE)</f>
        <v>no</v>
      </c>
      <c r="AV2283" s="233" t="str">
        <f>VLOOKUP(Table8[[#This Row],[Country Code]],Table29[],7,FALSE)</f>
        <v>no</v>
      </c>
      <c r="AW2283" s="233" t="str">
        <f>VLOOKUP(Table8[[#This Row],[Country Code]],Table29[],8,FALSE)</f>
        <v>non-OECD</v>
      </c>
      <c r="AX2283" s="233" t="str">
        <f>VLOOKUP(Table8[[#This Row],[Country Code]],Table29[],9,FALSE)</f>
        <v>no</v>
      </c>
      <c r="AY2283" s="233" t="str">
        <f>VLOOKUP(Table8[[#This Row],[Country Code]],Table29[],10,FALSE)</f>
        <v>no</v>
      </c>
      <c r="AZ2283" s="235">
        <f>VLOOKUP(Table8[[#This Row],[Country Code]],Table29[],23,FALSE)</f>
        <v>53.370989410157001</v>
      </c>
      <c r="BA2283" s="235">
        <f>VLOOKUP(Table8[[#This Row],[Country Code]],Table29[],24,FALSE)</f>
        <v>3.617994034151566</v>
      </c>
      <c r="BB2283" s="320"/>
      <c r="BC2283" s="320"/>
    </row>
    <row r="2284" spans="1:55" hidden="1" x14ac:dyDescent="0.25">
      <c r="A2284" s="373">
        <v>29235</v>
      </c>
      <c r="B2284" s="233" t="str">
        <f>VLOOKUP(Table8[[#This Row],[Document ID]],Table1[],2,FALSE)</f>
        <v>UGA</v>
      </c>
      <c r="C2284" s="233" t="str">
        <f>VLOOKUP(Table8[[#This Row],[Document ID]],Table1[],3,FALSE)</f>
        <v>Uganda</v>
      </c>
      <c r="D2284" s="243" t="str">
        <f>VLOOKUP(Table8[[#This Row],[Document ID]],Table1[],5,FALSE)</f>
        <v>NDC</v>
      </c>
      <c r="E2284" s="233" t="str">
        <f>VLOOKUP(Table8[[#This Row],[Document ID]],Table1[],7,FALSE)</f>
        <v>First NDC updated</v>
      </c>
      <c r="F2284" s="233" t="str">
        <f>VLOOKUP(Table8[[#This Row],[Document ID]],Table1[],8,FALSE)</f>
        <v>NDC 1.2</v>
      </c>
      <c r="G2284" s="233" t="str">
        <f>VLOOKUP(Table8[[#This Row],[Document ID]],Table1[],10,FALSE)</f>
        <v>Active</v>
      </c>
      <c r="H2284" s="43" t="s">
        <v>2358</v>
      </c>
      <c r="I2284" s="43" t="s">
        <v>2359</v>
      </c>
      <c r="J2284" s="44" t="s">
        <v>2360</v>
      </c>
      <c r="K2284" s="44" t="s">
        <v>4422</v>
      </c>
      <c r="L2284" s="44" t="s">
        <v>2333</v>
      </c>
      <c r="M2284" s="43">
        <v>42</v>
      </c>
      <c r="N2284" s="113"/>
      <c r="O2284" s="113"/>
      <c r="P2284" s="113"/>
      <c r="Q2284" s="113"/>
      <c r="R2284" s="113"/>
      <c r="S2284" s="113"/>
      <c r="T2284" s="113"/>
      <c r="U2284" s="113"/>
      <c r="V2284" s="113"/>
      <c r="W2284" s="113"/>
      <c r="X2284" s="113"/>
      <c r="Y2284" s="113"/>
      <c r="Z2284" s="113" t="s">
        <v>1113</v>
      </c>
      <c r="AA2284" s="113"/>
      <c r="AB2284" s="113"/>
      <c r="AC2284" s="113"/>
      <c r="AD2284" s="113"/>
      <c r="AE2284" s="113"/>
      <c r="AF2284" s="113"/>
      <c r="AG2284" s="113"/>
      <c r="AH2284" s="113"/>
      <c r="AI2284" s="113"/>
      <c r="AJ2284" s="113"/>
      <c r="AK2284" s="113" t="s">
        <v>1113</v>
      </c>
      <c r="AL2284" s="113"/>
      <c r="AM2284" s="113"/>
      <c r="AN2284" s="113"/>
      <c r="AO2284" s="43" t="s">
        <v>2348</v>
      </c>
      <c r="AP2284" s="43"/>
      <c r="AQ2284" s="236" t="str">
        <f>VLOOKUP(Table8[[#This Row],[Instrument]],Def_Targets!$D$73:$E$159,2,FALSE)</f>
        <v>I_Emobility</v>
      </c>
      <c r="AR2284" s="233" t="str">
        <f>VLOOKUP(Table8[[#This Row],[Country Code]],Table29[],3,FALSE)</f>
        <v>Non-Annex I</v>
      </c>
      <c r="AS2284" s="233" t="str">
        <f>VLOOKUP(Table8[[#This Row],[Country Code]],Table29[],4,FALSE)</f>
        <v>Africa</v>
      </c>
      <c r="AT2284" s="233" t="str">
        <f>VLOOKUP(Table8[[#This Row],[Country Code]],Table29[],5,FALSE)</f>
        <v>Low-income</v>
      </c>
      <c r="AU2284" s="233" t="str">
        <f>VLOOKUP(Table8[[#This Row],[Country Code]],Table29[],6,FALSE)</f>
        <v>no</v>
      </c>
      <c r="AV2284" s="233" t="str">
        <f>VLOOKUP(Table8[[#This Row],[Country Code]],Table29[],7,FALSE)</f>
        <v>no</v>
      </c>
      <c r="AW2284" s="233" t="str">
        <f>VLOOKUP(Table8[[#This Row],[Country Code]],Table29[],8,FALSE)</f>
        <v>non-OECD</v>
      </c>
      <c r="AX2284" s="233" t="str">
        <f>VLOOKUP(Table8[[#This Row],[Country Code]],Table29[],9,FALSE)</f>
        <v>no</v>
      </c>
      <c r="AY2284" s="233" t="str">
        <f>VLOOKUP(Table8[[#This Row],[Country Code]],Table29[],10,FALSE)</f>
        <v>no</v>
      </c>
      <c r="AZ2284" s="235">
        <f>VLOOKUP(Table8[[#This Row],[Country Code]],Table29[],23,FALSE)</f>
        <v>53.370989410157001</v>
      </c>
      <c r="BA2284" s="235">
        <f>VLOOKUP(Table8[[#This Row],[Country Code]],Table29[],24,FALSE)</f>
        <v>3.617994034151566</v>
      </c>
      <c r="BB2284" s="320"/>
      <c r="BC2284" s="320"/>
    </row>
    <row r="2285" spans="1:55" hidden="1" x14ac:dyDescent="0.25">
      <c r="A2285" s="373">
        <v>29235</v>
      </c>
      <c r="B2285" s="233" t="str">
        <f>VLOOKUP(Table8[[#This Row],[Document ID]],Table1[],2,FALSE)</f>
        <v>UGA</v>
      </c>
      <c r="C2285" s="233" t="str">
        <f>VLOOKUP(Table8[[#This Row],[Document ID]],Table1[],3,FALSE)</f>
        <v>Uganda</v>
      </c>
      <c r="D2285" s="243" t="str">
        <f>VLOOKUP(Table8[[#This Row],[Document ID]],Table1[],5,FALSE)</f>
        <v>NDC</v>
      </c>
      <c r="E2285" s="233" t="str">
        <f>VLOOKUP(Table8[[#This Row],[Document ID]],Table1[],7,FALSE)</f>
        <v>First NDC updated</v>
      </c>
      <c r="F2285" s="233" t="str">
        <f>VLOOKUP(Table8[[#This Row],[Document ID]],Table1[],8,FALSE)</f>
        <v>NDC 1.2</v>
      </c>
      <c r="G2285" s="233" t="str">
        <f>VLOOKUP(Table8[[#This Row],[Document ID]],Table1[],10,FALSE)</f>
        <v>Active</v>
      </c>
      <c r="H2285" s="43" t="s">
        <v>2350</v>
      </c>
      <c r="I2285" s="43" t="s">
        <v>2351</v>
      </c>
      <c r="J2285" s="44" t="s">
        <v>2447</v>
      </c>
      <c r="K2285" s="44" t="s">
        <v>4423</v>
      </c>
      <c r="L2285" s="44" t="s">
        <v>2347</v>
      </c>
      <c r="M2285" s="43">
        <v>42</v>
      </c>
      <c r="N2285" s="113" t="s">
        <v>1113</v>
      </c>
      <c r="O2285" s="113"/>
      <c r="P2285" s="113"/>
      <c r="Q2285" s="113"/>
      <c r="R2285" s="113"/>
      <c r="S2285" s="113"/>
      <c r="T2285" s="113"/>
      <c r="U2285" s="113"/>
      <c r="V2285" s="113"/>
      <c r="W2285" s="113"/>
      <c r="X2285" s="113"/>
      <c r="Y2285" s="113"/>
      <c r="Z2285" s="113"/>
      <c r="AA2285" s="113"/>
      <c r="AB2285" s="113"/>
      <c r="AC2285" s="113"/>
      <c r="AD2285" s="113"/>
      <c r="AE2285" s="113"/>
      <c r="AF2285" s="113"/>
      <c r="AG2285" s="113"/>
      <c r="AH2285" s="113"/>
      <c r="AI2285" s="113"/>
      <c r="AJ2285" s="113"/>
      <c r="AK2285" s="113" t="s">
        <v>1113</v>
      </c>
      <c r="AL2285" s="113"/>
      <c r="AM2285" s="113"/>
      <c r="AN2285" s="113"/>
      <c r="AO2285" s="43" t="s">
        <v>2353</v>
      </c>
      <c r="AP2285" s="43"/>
      <c r="AQ2285" s="236" t="str">
        <f>VLOOKUP(Table8[[#This Row],[Instrument]],Def_Targets!$D$73:$E$159,2,FALSE)</f>
        <v>I_Freighteff</v>
      </c>
      <c r="AR2285" s="233" t="str">
        <f>VLOOKUP(Table8[[#This Row],[Country Code]],Table29[],3,FALSE)</f>
        <v>Non-Annex I</v>
      </c>
      <c r="AS2285" s="233" t="str">
        <f>VLOOKUP(Table8[[#This Row],[Country Code]],Table29[],4,FALSE)</f>
        <v>Africa</v>
      </c>
      <c r="AT2285" s="233" t="str">
        <f>VLOOKUP(Table8[[#This Row],[Country Code]],Table29[],5,FALSE)</f>
        <v>Low-income</v>
      </c>
      <c r="AU2285" s="233" t="str">
        <f>VLOOKUP(Table8[[#This Row],[Country Code]],Table29[],6,FALSE)</f>
        <v>no</v>
      </c>
      <c r="AV2285" s="233" t="str">
        <f>VLOOKUP(Table8[[#This Row],[Country Code]],Table29[],7,FALSE)</f>
        <v>no</v>
      </c>
      <c r="AW2285" s="233" t="str">
        <f>VLOOKUP(Table8[[#This Row],[Country Code]],Table29[],8,FALSE)</f>
        <v>non-OECD</v>
      </c>
      <c r="AX2285" s="233" t="str">
        <f>VLOOKUP(Table8[[#This Row],[Country Code]],Table29[],9,FALSE)</f>
        <v>no</v>
      </c>
      <c r="AY2285" s="233" t="str">
        <f>VLOOKUP(Table8[[#This Row],[Country Code]],Table29[],10,FALSE)</f>
        <v>no</v>
      </c>
      <c r="AZ2285" s="235">
        <f>VLOOKUP(Table8[[#This Row],[Country Code]],Table29[],23,FALSE)</f>
        <v>53.370989410157001</v>
      </c>
      <c r="BA2285" s="235">
        <f>VLOOKUP(Table8[[#This Row],[Country Code]],Table29[],24,FALSE)</f>
        <v>3.617994034151566</v>
      </c>
      <c r="BB2285" s="320"/>
      <c r="BC2285" s="320"/>
    </row>
    <row r="2286" spans="1:55" hidden="1" x14ac:dyDescent="0.25">
      <c r="A2286" s="373">
        <v>29235</v>
      </c>
      <c r="B2286" s="233" t="str">
        <f>VLOOKUP(Table8[[#This Row],[Document ID]],Table1[],2,FALSE)</f>
        <v>UGA</v>
      </c>
      <c r="C2286" s="233" t="str">
        <f>VLOOKUP(Table8[[#This Row],[Document ID]],Table1[],3,FALSE)</f>
        <v>Uganda</v>
      </c>
      <c r="D2286" s="243" t="str">
        <f>VLOOKUP(Table8[[#This Row],[Document ID]],Table1[],5,FALSE)</f>
        <v>NDC</v>
      </c>
      <c r="E2286" s="233" t="str">
        <f>VLOOKUP(Table8[[#This Row],[Document ID]],Table1[],7,FALSE)</f>
        <v>First NDC updated</v>
      </c>
      <c r="F2286" s="233" t="str">
        <f>VLOOKUP(Table8[[#This Row],[Document ID]],Table1[],8,FALSE)</f>
        <v>NDC 1.2</v>
      </c>
      <c r="G2286" s="233" t="str">
        <f>VLOOKUP(Table8[[#This Row],[Document ID]],Table1[],10,FALSE)</f>
        <v>Active</v>
      </c>
      <c r="H2286" s="43" t="s">
        <v>2350</v>
      </c>
      <c r="I2286" s="43" t="s">
        <v>2351</v>
      </c>
      <c r="J2286" s="44" t="s">
        <v>2447</v>
      </c>
      <c r="K2286" s="44" t="s">
        <v>4424</v>
      </c>
      <c r="L2286" s="44" t="s">
        <v>2347</v>
      </c>
      <c r="M2286" s="43">
        <v>42</v>
      </c>
      <c r="N2286" s="113"/>
      <c r="O2286" s="113"/>
      <c r="P2286" s="113"/>
      <c r="Q2286" s="113"/>
      <c r="R2286" s="113"/>
      <c r="S2286" s="113"/>
      <c r="T2286" s="113"/>
      <c r="U2286" s="113"/>
      <c r="V2286" s="113"/>
      <c r="W2286" s="113"/>
      <c r="X2286" s="113"/>
      <c r="Y2286" s="113"/>
      <c r="Z2286" s="113"/>
      <c r="AA2286" s="113"/>
      <c r="AB2286" s="113"/>
      <c r="AC2286" s="113"/>
      <c r="AD2286" s="113" t="s">
        <v>1113</v>
      </c>
      <c r="AE2286" s="113"/>
      <c r="AF2286" s="113"/>
      <c r="AG2286" s="113"/>
      <c r="AH2286" s="113"/>
      <c r="AI2286" s="113"/>
      <c r="AJ2286" s="113"/>
      <c r="AK2286" s="113" t="s">
        <v>1113</v>
      </c>
      <c r="AL2286" s="113"/>
      <c r="AM2286" s="113"/>
      <c r="AN2286" s="113"/>
      <c r="AO2286" s="43" t="s">
        <v>2353</v>
      </c>
      <c r="AP2286" s="43"/>
      <c r="AQ2286" s="236" t="str">
        <f>VLOOKUP(Table8[[#This Row],[Instrument]],Def_Targets!$D$73:$E$159,2,FALSE)</f>
        <v>I_Freighteff</v>
      </c>
      <c r="AR2286" s="233" t="str">
        <f>VLOOKUP(Table8[[#This Row],[Country Code]],Table29[],3,FALSE)</f>
        <v>Non-Annex I</v>
      </c>
      <c r="AS2286" s="233" t="str">
        <f>VLOOKUP(Table8[[#This Row],[Country Code]],Table29[],4,FALSE)</f>
        <v>Africa</v>
      </c>
      <c r="AT2286" s="233" t="str">
        <f>VLOOKUP(Table8[[#This Row],[Country Code]],Table29[],5,FALSE)</f>
        <v>Low-income</v>
      </c>
      <c r="AU2286" s="233" t="str">
        <f>VLOOKUP(Table8[[#This Row],[Country Code]],Table29[],6,FALSE)</f>
        <v>no</v>
      </c>
      <c r="AV2286" s="233" t="str">
        <f>VLOOKUP(Table8[[#This Row],[Country Code]],Table29[],7,FALSE)</f>
        <v>no</v>
      </c>
      <c r="AW2286" s="233" t="str">
        <f>VLOOKUP(Table8[[#This Row],[Country Code]],Table29[],8,FALSE)</f>
        <v>non-OECD</v>
      </c>
      <c r="AX2286" s="233" t="str">
        <f>VLOOKUP(Table8[[#This Row],[Country Code]],Table29[],9,FALSE)</f>
        <v>no</v>
      </c>
      <c r="AY2286" s="233" t="str">
        <f>VLOOKUP(Table8[[#This Row],[Country Code]],Table29[],10,FALSE)</f>
        <v>no</v>
      </c>
      <c r="AZ2286" s="235">
        <f>VLOOKUP(Table8[[#This Row],[Country Code]],Table29[],23,FALSE)</f>
        <v>53.370989410157001</v>
      </c>
      <c r="BA2286" s="235">
        <f>VLOOKUP(Table8[[#This Row],[Country Code]],Table29[],24,FALSE)</f>
        <v>3.617994034151566</v>
      </c>
      <c r="BB2286" s="320"/>
      <c r="BC2286" s="320"/>
    </row>
    <row r="2287" spans="1:55" s="17" customFormat="1" hidden="1" x14ac:dyDescent="0.25">
      <c r="A2287" s="373">
        <v>29235</v>
      </c>
      <c r="B2287" s="233" t="str">
        <f>VLOOKUP(Table8[[#This Row],[Document ID]],Table1[],2,FALSE)</f>
        <v>UGA</v>
      </c>
      <c r="C2287" s="233" t="str">
        <f>VLOOKUP(Table8[[#This Row],[Document ID]],Table1[],3,FALSE)</f>
        <v>Uganda</v>
      </c>
      <c r="D2287" s="243" t="str">
        <f>VLOOKUP(Table8[[#This Row],[Document ID]],Table1[],5,FALSE)</f>
        <v>NDC</v>
      </c>
      <c r="E2287" s="233" t="str">
        <f>VLOOKUP(Table8[[#This Row],[Document ID]],Table1[],7,FALSE)</f>
        <v>First NDC updated</v>
      </c>
      <c r="F2287" s="233" t="str">
        <f>VLOOKUP(Table8[[#This Row],[Document ID]],Table1[],8,FALSE)</f>
        <v>NDC 1.2</v>
      </c>
      <c r="G2287" s="233" t="str">
        <f>VLOOKUP(Table8[[#This Row],[Document ID]],Table1[],10,FALSE)</f>
        <v>Active</v>
      </c>
      <c r="H2287" s="43" t="s">
        <v>2343</v>
      </c>
      <c r="I2287" s="43" t="s">
        <v>2377</v>
      </c>
      <c r="J2287" s="44" t="s">
        <v>2378</v>
      </c>
      <c r="K2287" s="44" t="s">
        <v>4425</v>
      </c>
      <c r="L2287" s="44" t="s">
        <v>2347</v>
      </c>
      <c r="M2287" s="43">
        <v>42</v>
      </c>
      <c r="N2287" s="113" t="s">
        <v>1113</v>
      </c>
      <c r="O2287" s="113"/>
      <c r="P2287" s="113"/>
      <c r="Q2287" s="113"/>
      <c r="R2287" s="113"/>
      <c r="S2287" s="113"/>
      <c r="T2287" s="113"/>
      <c r="U2287" s="113"/>
      <c r="V2287" s="113"/>
      <c r="W2287" s="113"/>
      <c r="X2287" s="113"/>
      <c r="Y2287" s="113"/>
      <c r="Z2287" s="113"/>
      <c r="AA2287" s="113"/>
      <c r="AB2287" s="113"/>
      <c r="AC2287" s="113"/>
      <c r="AD2287" s="113"/>
      <c r="AE2287" s="113"/>
      <c r="AF2287" s="113"/>
      <c r="AG2287" s="113"/>
      <c r="AH2287" s="113"/>
      <c r="AI2287" s="113"/>
      <c r="AJ2287" s="113"/>
      <c r="AK2287" s="113" t="s">
        <v>1113</v>
      </c>
      <c r="AL2287" s="113"/>
      <c r="AM2287" s="113"/>
      <c r="AN2287" s="113"/>
      <c r="AO2287" s="43" t="s">
        <v>2348</v>
      </c>
      <c r="AP2287" s="43"/>
      <c r="AQ2287" s="236" t="str">
        <f>VLOOKUP(Table8[[#This Row],[Instrument]],Def_Targets!$D$73:$E$159,2,FALSE)</f>
        <v>A_Commute</v>
      </c>
      <c r="AR2287" s="233" t="str">
        <f>VLOOKUP(Table8[[#This Row],[Country Code]],Table29[],3,FALSE)</f>
        <v>Non-Annex I</v>
      </c>
      <c r="AS2287" s="233" t="str">
        <f>VLOOKUP(Table8[[#This Row],[Country Code]],Table29[],4,FALSE)</f>
        <v>Africa</v>
      </c>
      <c r="AT2287" s="233" t="str">
        <f>VLOOKUP(Table8[[#This Row],[Country Code]],Table29[],5,FALSE)</f>
        <v>Low-income</v>
      </c>
      <c r="AU2287" s="233" t="str">
        <f>VLOOKUP(Table8[[#This Row],[Country Code]],Table29[],6,FALSE)</f>
        <v>no</v>
      </c>
      <c r="AV2287" s="233" t="str">
        <f>VLOOKUP(Table8[[#This Row],[Country Code]],Table29[],7,FALSE)</f>
        <v>no</v>
      </c>
      <c r="AW2287" s="233" t="str">
        <f>VLOOKUP(Table8[[#This Row],[Country Code]],Table29[],8,FALSE)</f>
        <v>non-OECD</v>
      </c>
      <c r="AX2287" s="233" t="str">
        <f>VLOOKUP(Table8[[#This Row],[Country Code]],Table29[],9,FALSE)</f>
        <v>no</v>
      </c>
      <c r="AY2287" s="233" t="str">
        <f>VLOOKUP(Table8[[#This Row],[Country Code]],Table29[],10,FALSE)</f>
        <v>no</v>
      </c>
      <c r="AZ2287" s="235">
        <f>VLOOKUP(Table8[[#This Row],[Country Code]],Table29[],23,FALSE)</f>
        <v>53.370989410157001</v>
      </c>
      <c r="BA2287" s="235">
        <f>VLOOKUP(Table8[[#This Row],[Country Code]],Table29[],24,FALSE)</f>
        <v>3.617994034151566</v>
      </c>
      <c r="BB2287" s="320"/>
      <c r="BC2287" s="320"/>
    </row>
    <row r="2288" spans="1:55" ht="105" hidden="1" x14ac:dyDescent="0.25">
      <c r="A2288" s="373">
        <v>32515</v>
      </c>
      <c r="B2288" s="233" t="str">
        <f>VLOOKUP(Table8[[#This Row],[Document ID]],Table1[],2,FALSE)</f>
        <v>SVN</v>
      </c>
      <c r="C2288" s="233" t="str">
        <f>VLOOKUP(Table8[[#This Row],[Document ID]],Table1[],3,FALSE)</f>
        <v>Slovenia</v>
      </c>
      <c r="D2288" s="243" t="str">
        <f>VLOOKUP(Table8[[#This Row],[Document ID]],Table1[],5,FALSE)</f>
        <v>LTS</v>
      </c>
      <c r="E2288" s="233" t="str">
        <f>VLOOKUP(Table8[[#This Row],[Document ID]],Table1[],7,FALSE)</f>
        <v>LTS</v>
      </c>
      <c r="F2288" s="233" t="str">
        <f>VLOOKUP(Table8[[#This Row],[Document ID]],Table1[],8,FALSE)</f>
        <v>LTS 1.0</v>
      </c>
      <c r="G2288" s="233" t="str">
        <f>VLOOKUP(Table8[[#This Row],[Document ID]],Table1[],10,FALSE)</f>
        <v>Active</v>
      </c>
      <c r="H2288" s="43" t="s">
        <v>2343</v>
      </c>
      <c r="I2288" s="43" t="s">
        <v>2377</v>
      </c>
      <c r="J2288" s="44" t="s">
        <v>2394</v>
      </c>
      <c r="K2288" s="44" t="s">
        <v>4426</v>
      </c>
      <c r="L2288" s="44" t="s">
        <v>2396</v>
      </c>
      <c r="M2288" s="43">
        <v>45</v>
      </c>
      <c r="N2288" s="113"/>
      <c r="O2288" s="113"/>
      <c r="P2288" s="113"/>
      <c r="Q2288" s="113"/>
      <c r="R2288" s="113"/>
      <c r="S2288" s="113" t="s">
        <v>1113</v>
      </c>
      <c r="T2288" s="113"/>
      <c r="U2288" s="113"/>
      <c r="V2288" s="113"/>
      <c r="W2288" s="113"/>
      <c r="X2288" s="113"/>
      <c r="Y2288" s="113"/>
      <c r="Z2288" s="113"/>
      <c r="AA2288" s="113"/>
      <c r="AB2288" s="113"/>
      <c r="AC2288" s="113"/>
      <c r="AD2288" s="113"/>
      <c r="AE2288" s="113"/>
      <c r="AF2288" s="113"/>
      <c r="AG2288" s="113"/>
      <c r="AH2288" s="113"/>
      <c r="AI2288" s="113"/>
      <c r="AJ2288" s="113"/>
      <c r="AK2288" s="113" t="s">
        <v>1113</v>
      </c>
      <c r="AL2288" s="113"/>
      <c r="AM2288" s="113"/>
      <c r="AN2288" s="113"/>
      <c r="AO2288" s="43" t="s">
        <v>2348</v>
      </c>
      <c r="AP2288" s="43"/>
      <c r="AQ2288" s="236" t="str">
        <f>VLOOKUP(Table8[[#This Row],[Instrument]],Def_Targets!$D$73:$E$159,2,FALSE)</f>
        <v>A_TDM</v>
      </c>
      <c r="AR2288" s="233" t="str">
        <f>VLOOKUP(Table8[[#This Row],[Country Code]],Table29[],3,FALSE)</f>
        <v>Annex I</v>
      </c>
      <c r="AS2288" s="233" t="str">
        <f>VLOOKUP(Table8[[#This Row],[Country Code]],Table29[],4,FALSE)</f>
        <v>Europe</v>
      </c>
      <c r="AT2288" s="233" t="str">
        <f>VLOOKUP(Table8[[#This Row],[Country Code]],Table29[],5,FALSE)</f>
        <v>High-income</v>
      </c>
      <c r="AU2288" s="233" t="str">
        <f>VLOOKUP(Table8[[#This Row],[Country Code]],Table29[],6,FALSE)</f>
        <v>no</v>
      </c>
      <c r="AV2288" s="233" t="str">
        <f>VLOOKUP(Table8[[#This Row],[Country Code]],Table29[],7,FALSE)</f>
        <v>no</v>
      </c>
      <c r="AW2288" s="233" t="str">
        <f>VLOOKUP(Table8[[#This Row],[Country Code]],Table29[],8,FALSE)</f>
        <v>OECD</v>
      </c>
      <c r="AX2288" s="233" t="str">
        <f>VLOOKUP(Table8[[#This Row],[Country Code]],Table29[],9,FALSE)</f>
        <v>EU27</v>
      </c>
      <c r="AY2288" s="233" t="str">
        <f>VLOOKUP(Table8[[#This Row],[Country Code]],Table29[],10,FALSE)</f>
        <v>no</v>
      </c>
      <c r="AZ2288" s="235">
        <f>VLOOKUP(Table8[[#This Row],[Country Code]],Table29[],23,FALSE)</f>
        <v>15.993517423122</v>
      </c>
      <c r="BA2288" s="235">
        <f>VLOOKUP(Table8[[#This Row],[Country Code]],Table29[],24,FALSE)</f>
        <v>4.830209372200426</v>
      </c>
      <c r="BB2288" s="320"/>
      <c r="BC2288" s="320"/>
    </row>
    <row r="2289" spans="1:55" ht="105" hidden="1" x14ac:dyDescent="0.25">
      <c r="A2289" s="373">
        <v>32515</v>
      </c>
      <c r="B2289" s="233" t="str">
        <f>VLOOKUP(Table8[[#This Row],[Document ID]],Table1[],2,FALSE)</f>
        <v>SVN</v>
      </c>
      <c r="C2289" s="233" t="str">
        <f>VLOOKUP(Table8[[#This Row],[Document ID]],Table1[],3,FALSE)</f>
        <v>Slovenia</v>
      </c>
      <c r="D2289" s="243" t="str">
        <f>VLOOKUP(Table8[[#This Row],[Document ID]],Table1[],5,FALSE)</f>
        <v>LTS</v>
      </c>
      <c r="E2289" s="233" t="str">
        <f>VLOOKUP(Table8[[#This Row],[Document ID]],Table1[],7,FALSE)</f>
        <v>LTS</v>
      </c>
      <c r="F2289" s="233" t="str">
        <f>VLOOKUP(Table8[[#This Row],[Document ID]],Table1[],8,FALSE)</f>
        <v>LTS 1.0</v>
      </c>
      <c r="G2289" s="233" t="str">
        <f>VLOOKUP(Table8[[#This Row],[Document ID]],Table1[],10,FALSE)</f>
        <v>Active</v>
      </c>
      <c r="H2289" s="43" t="s">
        <v>2350</v>
      </c>
      <c r="I2289" s="43" t="s">
        <v>2370</v>
      </c>
      <c r="J2289" s="44" t="s">
        <v>2418</v>
      </c>
      <c r="K2289" s="44" t="s">
        <v>4426</v>
      </c>
      <c r="L2289" s="44" t="s">
        <v>2396</v>
      </c>
      <c r="M2289" s="43">
        <v>45</v>
      </c>
      <c r="N2289" s="113"/>
      <c r="O2289" s="113"/>
      <c r="P2289" s="113"/>
      <c r="Q2289" s="113"/>
      <c r="R2289" s="113"/>
      <c r="S2289" s="113" t="s">
        <v>1113</v>
      </c>
      <c r="T2289" s="113"/>
      <c r="U2289" s="113"/>
      <c r="V2289" s="113"/>
      <c r="W2289" s="113"/>
      <c r="X2289" s="113"/>
      <c r="Y2289" s="113"/>
      <c r="Z2289" s="113"/>
      <c r="AA2289" s="113"/>
      <c r="AB2289" s="113"/>
      <c r="AC2289" s="113"/>
      <c r="AD2289" s="113"/>
      <c r="AE2289" s="113"/>
      <c r="AF2289" s="113"/>
      <c r="AG2289" s="113"/>
      <c r="AH2289" s="113"/>
      <c r="AI2289" s="113"/>
      <c r="AJ2289" s="113"/>
      <c r="AK2289" s="113" t="s">
        <v>1113</v>
      </c>
      <c r="AL2289" s="113"/>
      <c r="AM2289" s="113"/>
      <c r="AN2289" s="113"/>
      <c r="AO2289" s="43" t="s">
        <v>2348</v>
      </c>
      <c r="AP2289" s="43"/>
      <c r="AQ2289" s="236" t="str">
        <f>VLOOKUP(Table8[[#This Row],[Instrument]],Def_Targets!$D$73:$E$159,2,FALSE)</f>
        <v>A_Complan</v>
      </c>
      <c r="AR2289" s="233" t="str">
        <f>VLOOKUP(Table8[[#This Row],[Country Code]],Table29[],3,FALSE)</f>
        <v>Annex I</v>
      </c>
      <c r="AS2289" s="233" t="str">
        <f>VLOOKUP(Table8[[#This Row],[Country Code]],Table29[],4,FALSE)</f>
        <v>Europe</v>
      </c>
      <c r="AT2289" s="233" t="str">
        <f>VLOOKUP(Table8[[#This Row],[Country Code]],Table29[],5,FALSE)</f>
        <v>High-income</v>
      </c>
      <c r="AU2289" s="233" t="str">
        <f>VLOOKUP(Table8[[#This Row],[Country Code]],Table29[],6,FALSE)</f>
        <v>no</v>
      </c>
      <c r="AV2289" s="233" t="str">
        <f>VLOOKUP(Table8[[#This Row],[Country Code]],Table29[],7,FALSE)</f>
        <v>no</v>
      </c>
      <c r="AW2289" s="233" t="str">
        <f>VLOOKUP(Table8[[#This Row],[Country Code]],Table29[],8,FALSE)</f>
        <v>OECD</v>
      </c>
      <c r="AX2289" s="233" t="str">
        <f>VLOOKUP(Table8[[#This Row],[Country Code]],Table29[],9,FALSE)</f>
        <v>EU27</v>
      </c>
      <c r="AY2289" s="233" t="str">
        <f>VLOOKUP(Table8[[#This Row],[Country Code]],Table29[],10,FALSE)</f>
        <v>no</v>
      </c>
      <c r="AZ2289" s="235">
        <f>VLOOKUP(Table8[[#This Row],[Country Code]],Table29[],23,FALSE)</f>
        <v>15.993517423122</v>
      </c>
      <c r="BA2289" s="235">
        <f>VLOOKUP(Table8[[#This Row],[Country Code]],Table29[],24,FALSE)</f>
        <v>4.830209372200426</v>
      </c>
      <c r="BB2289" s="320"/>
      <c r="BC2289" s="320"/>
    </row>
    <row r="2290" spans="1:55" ht="105" hidden="1" x14ac:dyDescent="0.25">
      <c r="A2290" s="373">
        <v>32515</v>
      </c>
      <c r="B2290" s="233" t="str">
        <f>VLOOKUP(Table8[[#This Row],[Document ID]],Table1[],2,FALSE)</f>
        <v>SVN</v>
      </c>
      <c r="C2290" s="233" t="str">
        <f>VLOOKUP(Table8[[#This Row],[Document ID]],Table1[],3,FALSE)</f>
        <v>Slovenia</v>
      </c>
      <c r="D2290" s="243" t="str">
        <f>VLOOKUP(Table8[[#This Row],[Document ID]],Table1[],5,FALSE)</f>
        <v>LTS</v>
      </c>
      <c r="E2290" s="233" t="str">
        <f>VLOOKUP(Table8[[#This Row],[Document ID]],Table1[],7,FALSE)</f>
        <v>LTS</v>
      </c>
      <c r="F2290" s="233" t="str">
        <f>VLOOKUP(Table8[[#This Row],[Document ID]],Table1[],8,FALSE)</f>
        <v>LTS 1.0</v>
      </c>
      <c r="G2290" s="233" t="str">
        <f>VLOOKUP(Table8[[#This Row],[Document ID]],Table1[],10,FALSE)</f>
        <v>Active</v>
      </c>
      <c r="H2290" s="43" t="s">
        <v>2343</v>
      </c>
      <c r="I2290" s="43" t="s">
        <v>2377</v>
      </c>
      <c r="J2290" s="44" t="s">
        <v>2535</v>
      </c>
      <c r="K2290" s="44" t="s">
        <v>4426</v>
      </c>
      <c r="L2290" s="44" t="s">
        <v>2396</v>
      </c>
      <c r="M2290" s="43">
        <v>45</v>
      </c>
      <c r="N2290" s="113"/>
      <c r="O2290" s="113"/>
      <c r="P2290" s="113"/>
      <c r="Q2290" s="113"/>
      <c r="R2290" s="113"/>
      <c r="S2290" s="113" t="s">
        <v>1113</v>
      </c>
      <c r="T2290" s="113"/>
      <c r="U2290" s="113"/>
      <c r="V2290" s="113"/>
      <c r="W2290" s="113"/>
      <c r="X2290" s="113"/>
      <c r="Y2290" s="113"/>
      <c r="Z2290" s="113"/>
      <c r="AA2290" s="113"/>
      <c r="AB2290" s="113"/>
      <c r="AC2290" s="113"/>
      <c r="AD2290" s="113"/>
      <c r="AE2290" s="113"/>
      <c r="AF2290" s="113"/>
      <c r="AG2290" s="113"/>
      <c r="AH2290" s="113"/>
      <c r="AI2290" s="113"/>
      <c r="AJ2290" s="113"/>
      <c r="AK2290" s="113" t="s">
        <v>1113</v>
      </c>
      <c r="AL2290" s="113"/>
      <c r="AM2290" s="113"/>
      <c r="AN2290" s="113"/>
      <c r="AO2290" s="43" t="s">
        <v>2348</v>
      </c>
      <c r="AP2290" s="43"/>
      <c r="AQ2290" s="236" t="str">
        <f>VLOOKUP(Table8[[#This Row],[Instrument]],Def_Targets!$D$73:$E$159,2,FALSE)</f>
        <v>S_Parking</v>
      </c>
      <c r="AR2290" s="233" t="str">
        <f>VLOOKUP(Table8[[#This Row],[Country Code]],Table29[],3,FALSE)</f>
        <v>Annex I</v>
      </c>
      <c r="AS2290" s="233" t="str">
        <f>VLOOKUP(Table8[[#This Row],[Country Code]],Table29[],4,FALSE)</f>
        <v>Europe</v>
      </c>
      <c r="AT2290" s="233" t="str">
        <f>VLOOKUP(Table8[[#This Row],[Country Code]],Table29[],5,FALSE)</f>
        <v>High-income</v>
      </c>
      <c r="AU2290" s="233" t="str">
        <f>VLOOKUP(Table8[[#This Row],[Country Code]],Table29[],6,FALSE)</f>
        <v>no</v>
      </c>
      <c r="AV2290" s="233" t="str">
        <f>VLOOKUP(Table8[[#This Row],[Country Code]],Table29[],7,FALSE)</f>
        <v>no</v>
      </c>
      <c r="AW2290" s="233" t="str">
        <f>VLOOKUP(Table8[[#This Row],[Country Code]],Table29[],8,FALSE)</f>
        <v>OECD</v>
      </c>
      <c r="AX2290" s="233" t="str">
        <f>VLOOKUP(Table8[[#This Row],[Country Code]],Table29[],9,FALSE)</f>
        <v>EU27</v>
      </c>
      <c r="AY2290" s="233" t="str">
        <f>VLOOKUP(Table8[[#This Row],[Country Code]],Table29[],10,FALSE)</f>
        <v>no</v>
      </c>
      <c r="AZ2290" s="235">
        <f>VLOOKUP(Table8[[#This Row],[Country Code]],Table29[],23,FALSE)</f>
        <v>15.993517423122</v>
      </c>
      <c r="BA2290" s="235">
        <f>VLOOKUP(Table8[[#This Row],[Country Code]],Table29[],24,FALSE)</f>
        <v>4.830209372200426</v>
      </c>
      <c r="BB2290" s="320"/>
      <c r="BC2290" s="320"/>
    </row>
    <row r="2291" spans="1:55" ht="105" hidden="1" x14ac:dyDescent="0.25">
      <c r="A2291" s="373">
        <v>32515</v>
      </c>
      <c r="B2291" s="233" t="str">
        <f>VLOOKUP(Table8[[#This Row],[Document ID]],Table1[],2,FALSE)</f>
        <v>SVN</v>
      </c>
      <c r="C2291" s="233" t="str">
        <f>VLOOKUP(Table8[[#This Row],[Document ID]],Table1[],3,FALSE)</f>
        <v>Slovenia</v>
      </c>
      <c r="D2291" s="243" t="str">
        <f>VLOOKUP(Table8[[#This Row],[Document ID]],Table1[],5,FALSE)</f>
        <v>LTS</v>
      </c>
      <c r="E2291" s="233" t="str">
        <f>VLOOKUP(Table8[[#This Row],[Document ID]],Table1[],7,FALSE)</f>
        <v>LTS</v>
      </c>
      <c r="F2291" s="233" t="str">
        <f>VLOOKUP(Table8[[#This Row],[Document ID]],Table1[],8,FALSE)</f>
        <v>LTS 1.0</v>
      </c>
      <c r="G2291" s="233" t="str">
        <f>VLOOKUP(Table8[[#This Row],[Document ID]],Table1[],10,FALSE)</f>
        <v>Active</v>
      </c>
      <c r="H2291" s="43" t="s">
        <v>2343</v>
      </c>
      <c r="I2291" s="43" t="s">
        <v>2377</v>
      </c>
      <c r="J2291" s="44" t="s">
        <v>2378</v>
      </c>
      <c r="K2291" s="44" t="s">
        <v>4426</v>
      </c>
      <c r="L2291" s="44" t="s">
        <v>2396</v>
      </c>
      <c r="M2291" s="43">
        <v>45</v>
      </c>
      <c r="N2291" s="113"/>
      <c r="O2291" s="113"/>
      <c r="P2291" s="113"/>
      <c r="Q2291" s="113"/>
      <c r="R2291" s="113"/>
      <c r="S2291" s="113" t="s">
        <v>1113</v>
      </c>
      <c r="T2291" s="113"/>
      <c r="U2291" s="113"/>
      <c r="V2291" s="113"/>
      <c r="W2291" s="113"/>
      <c r="X2291" s="113"/>
      <c r="Y2291" s="113"/>
      <c r="Z2291" s="113"/>
      <c r="AA2291" s="113"/>
      <c r="AB2291" s="113"/>
      <c r="AC2291" s="113"/>
      <c r="AD2291" s="113"/>
      <c r="AE2291" s="113"/>
      <c r="AF2291" s="113"/>
      <c r="AG2291" s="113"/>
      <c r="AH2291" s="113"/>
      <c r="AI2291" s="113"/>
      <c r="AJ2291" s="113"/>
      <c r="AK2291" s="113" t="s">
        <v>1113</v>
      </c>
      <c r="AL2291" s="113"/>
      <c r="AM2291" s="113"/>
      <c r="AN2291" s="113"/>
      <c r="AO2291" s="43" t="s">
        <v>2348</v>
      </c>
      <c r="AP2291" s="43"/>
      <c r="AQ2291" s="236" t="str">
        <f>VLOOKUP(Table8[[#This Row],[Instrument]],Def_Targets!$D$73:$E$159,2,FALSE)</f>
        <v>A_Commute</v>
      </c>
      <c r="AR2291" s="233" t="str">
        <f>VLOOKUP(Table8[[#This Row],[Country Code]],Table29[],3,FALSE)</f>
        <v>Annex I</v>
      </c>
      <c r="AS2291" s="233" t="str">
        <f>VLOOKUP(Table8[[#This Row],[Country Code]],Table29[],4,FALSE)</f>
        <v>Europe</v>
      </c>
      <c r="AT2291" s="233" t="str">
        <f>VLOOKUP(Table8[[#This Row],[Country Code]],Table29[],5,FALSE)</f>
        <v>High-income</v>
      </c>
      <c r="AU2291" s="233" t="str">
        <f>VLOOKUP(Table8[[#This Row],[Country Code]],Table29[],6,FALSE)</f>
        <v>no</v>
      </c>
      <c r="AV2291" s="233" t="str">
        <f>VLOOKUP(Table8[[#This Row],[Country Code]],Table29[],7,FALSE)</f>
        <v>no</v>
      </c>
      <c r="AW2291" s="233" t="str">
        <f>VLOOKUP(Table8[[#This Row],[Country Code]],Table29[],8,FALSE)</f>
        <v>OECD</v>
      </c>
      <c r="AX2291" s="233" t="str">
        <f>VLOOKUP(Table8[[#This Row],[Country Code]],Table29[],9,FALSE)</f>
        <v>EU27</v>
      </c>
      <c r="AY2291" s="233" t="str">
        <f>VLOOKUP(Table8[[#This Row],[Country Code]],Table29[],10,FALSE)</f>
        <v>no</v>
      </c>
      <c r="AZ2291" s="235">
        <f>VLOOKUP(Table8[[#This Row],[Country Code]],Table29[],23,FALSE)</f>
        <v>15.993517423122</v>
      </c>
      <c r="BA2291" s="235">
        <f>VLOOKUP(Table8[[#This Row],[Country Code]],Table29[],24,FALSE)</f>
        <v>4.830209372200426</v>
      </c>
      <c r="BB2291" s="320"/>
      <c r="BC2291" s="320"/>
    </row>
    <row r="2292" spans="1:55" ht="105" hidden="1" x14ac:dyDescent="0.25">
      <c r="A2292" s="373">
        <v>32515</v>
      </c>
      <c r="B2292" s="233" t="str">
        <f>VLOOKUP(Table8[[#This Row],[Document ID]],Table1[],2,FALSE)</f>
        <v>SVN</v>
      </c>
      <c r="C2292" s="233" t="str">
        <f>VLOOKUP(Table8[[#This Row],[Document ID]],Table1[],3,FALSE)</f>
        <v>Slovenia</v>
      </c>
      <c r="D2292" s="243" t="str">
        <f>VLOOKUP(Table8[[#This Row],[Document ID]],Table1[],5,FALSE)</f>
        <v>LTS</v>
      </c>
      <c r="E2292" s="233" t="str">
        <f>VLOOKUP(Table8[[#This Row],[Document ID]],Table1[],7,FALSE)</f>
        <v>LTS</v>
      </c>
      <c r="F2292" s="233" t="str">
        <f>VLOOKUP(Table8[[#This Row],[Document ID]],Table1[],8,FALSE)</f>
        <v>LTS 1.0</v>
      </c>
      <c r="G2292" s="233" t="str">
        <f>VLOOKUP(Table8[[#This Row],[Document ID]],Table1[],10,FALSE)</f>
        <v>Active</v>
      </c>
      <c r="H2292" s="43" t="s">
        <v>2358</v>
      </c>
      <c r="I2292" s="43" t="s">
        <v>2359</v>
      </c>
      <c r="J2292" s="44" t="s">
        <v>2461</v>
      </c>
      <c r="K2292" s="44" t="s">
        <v>4426</v>
      </c>
      <c r="L2292" s="44" t="s">
        <v>2396</v>
      </c>
      <c r="M2292" s="43">
        <v>45</v>
      </c>
      <c r="N2292" s="113" t="s">
        <v>1113</v>
      </c>
      <c r="O2292" s="113"/>
      <c r="P2292" s="113"/>
      <c r="Q2292" s="113"/>
      <c r="R2292" s="113"/>
      <c r="S2292" s="113"/>
      <c r="T2292" s="113"/>
      <c r="U2292" s="113"/>
      <c r="V2292" s="113"/>
      <c r="W2292" s="113"/>
      <c r="X2292" s="113"/>
      <c r="Y2292" s="113"/>
      <c r="Z2292" s="113"/>
      <c r="AA2292" s="113"/>
      <c r="AB2292" s="113"/>
      <c r="AC2292" s="113"/>
      <c r="AD2292" s="113"/>
      <c r="AE2292" s="113"/>
      <c r="AF2292" s="113"/>
      <c r="AG2292" s="113"/>
      <c r="AH2292" s="113"/>
      <c r="AI2292" s="113"/>
      <c r="AJ2292" s="113"/>
      <c r="AK2292" s="113" t="s">
        <v>1113</v>
      </c>
      <c r="AL2292" s="113"/>
      <c r="AM2292" s="113"/>
      <c r="AN2292" s="113"/>
      <c r="AO2292" s="43" t="s">
        <v>2348</v>
      </c>
      <c r="AP2292" s="43"/>
      <c r="AQ2292" s="236" t="str">
        <f>VLOOKUP(Table8[[#This Row],[Instrument]],Def_Targets!$D$73:$E$159,2,FALSE)</f>
        <v>S_Micromobility</v>
      </c>
      <c r="AR2292" s="233" t="str">
        <f>VLOOKUP(Table8[[#This Row],[Country Code]],Table29[],3,FALSE)</f>
        <v>Annex I</v>
      </c>
      <c r="AS2292" s="233" t="str">
        <f>VLOOKUP(Table8[[#This Row],[Country Code]],Table29[],4,FALSE)</f>
        <v>Europe</v>
      </c>
      <c r="AT2292" s="233" t="str">
        <f>VLOOKUP(Table8[[#This Row],[Country Code]],Table29[],5,FALSE)</f>
        <v>High-income</v>
      </c>
      <c r="AU2292" s="233" t="str">
        <f>VLOOKUP(Table8[[#This Row],[Country Code]],Table29[],6,FALSE)</f>
        <v>no</v>
      </c>
      <c r="AV2292" s="233" t="str">
        <f>VLOOKUP(Table8[[#This Row],[Country Code]],Table29[],7,FALSE)</f>
        <v>no</v>
      </c>
      <c r="AW2292" s="233" t="str">
        <f>VLOOKUP(Table8[[#This Row],[Country Code]],Table29[],8,FALSE)</f>
        <v>OECD</v>
      </c>
      <c r="AX2292" s="233" t="str">
        <f>VLOOKUP(Table8[[#This Row],[Country Code]],Table29[],9,FALSE)</f>
        <v>EU27</v>
      </c>
      <c r="AY2292" s="233" t="str">
        <f>VLOOKUP(Table8[[#This Row],[Country Code]],Table29[],10,FALSE)</f>
        <v>no</v>
      </c>
      <c r="AZ2292" s="235">
        <f>VLOOKUP(Table8[[#This Row],[Country Code]],Table29[],23,FALSE)</f>
        <v>15.993517423122</v>
      </c>
      <c r="BA2292" s="235">
        <f>VLOOKUP(Table8[[#This Row],[Country Code]],Table29[],24,FALSE)</f>
        <v>4.830209372200426</v>
      </c>
      <c r="BB2292" s="320"/>
      <c r="BC2292" s="320"/>
    </row>
    <row r="2293" spans="1:55" ht="30" hidden="1" x14ac:dyDescent="0.25">
      <c r="A2293" s="373">
        <v>32515</v>
      </c>
      <c r="B2293" s="233" t="str">
        <f>VLOOKUP(Table8[[#This Row],[Document ID]],Table1[],2,FALSE)</f>
        <v>SVN</v>
      </c>
      <c r="C2293" s="233" t="str">
        <f>VLOOKUP(Table8[[#This Row],[Document ID]],Table1[],3,FALSE)</f>
        <v>Slovenia</v>
      </c>
      <c r="D2293" s="243" t="str">
        <f>VLOOKUP(Table8[[#This Row],[Document ID]],Table1[],5,FALSE)</f>
        <v>LTS</v>
      </c>
      <c r="E2293" s="233" t="str">
        <f>VLOOKUP(Table8[[#This Row],[Document ID]],Table1[],7,FALSE)</f>
        <v>LTS</v>
      </c>
      <c r="F2293" s="233" t="str">
        <f>VLOOKUP(Table8[[#This Row],[Document ID]],Table1[],8,FALSE)</f>
        <v>LTS 1.0</v>
      </c>
      <c r="G2293" s="233" t="str">
        <f>VLOOKUP(Table8[[#This Row],[Document ID]],Table1[],10,FALSE)</f>
        <v>Active</v>
      </c>
      <c r="H2293" s="43" t="s">
        <v>2343</v>
      </c>
      <c r="I2293" s="43" t="s">
        <v>2361</v>
      </c>
      <c r="J2293" s="44" t="s">
        <v>2463</v>
      </c>
      <c r="K2293" s="44" t="s">
        <v>4427</v>
      </c>
      <c r="L2293" s="44" t="s">
        <v>2347</v>
      </c>
      <c r="M2293" s="43">
        <v>45</v>
      </c>
      <c r="N2293" s="113"/>
      <c r="O2293" s="113"/>
      <c r="P2293" s="113"/>
      <c r="Q2293" s="113" t="s">
        <v>1291</v>
      </c>
      <c r="R2293" s="113"/>
      <c r="S2293" s="113"/>
      <c r="T2293" s="113"/>
      <c r="U2293" s="113"/>
      <c r="V2293" s="113"/>
      <c r="W2293" s="113"/>
      <c r="X2293" s="113"/>
      <c r="Y2293" s="113"/>
      <c r="Z2293" s="113"/>
      <c r="AA2293" s="113"/>
      <c r="AB2293" s="113"/>
      <c r="AC2293" s="113"/>
      <c r="AD2293" s="113"/>
      <c r="AE2293" s="113"/>
      <c r="AF2293" s="113"/>
      <c r="AG2293" s="113"/>
      <c r="AH2293" s="113"/>
      <c r="AI2293" s="113"/>
      <c r="AJ2293" s="113"/>
      <c r="AK2293" s="113" t="s">
        <v>1113</v>
      </c>
      <c r="AL2293" s="113"/>
      <c r="AM2293" s="113"/>
      <c r="AN2293" s="113"/>
      <c r="AO2293" s="44" t="s">
        <v>2334</v>
      </c>
      <c r="AP2293" s="43"/>
      <c r="AQ2293" s="236" t="str">
        <f>VLOOKUP(Table8[[#This Row],[Instrument]],Def_Targets!$D$73:$E$159,2,FALSE)</f>
        <v>S_Walking</v>
      </c>
      <c r="AR2293" s="233" t="str">
        <f>VLOOKUP(Table8[[#This Row],[Country Code]],Table29[],3,FALSE)</f>
        <v>Annex I</v>
      </c>
      <c r="AS2293" s="233" t="str">
        <f>VLOOKUP(Table8[[#This Row],[Country Code]],Table29[],4,FALSE)</f>
        <v>Europe</v>
      </c>
      <c r="AT2293" s="233" t="str">
        <f>VLOOKUP(Table8[[#This Row],[Country Code]],Table29[],5,FALSE)</f>
        <v>High-income</v>
      </c>
      <c r="AU2293" s="233" t="str">
        <f>VLOOKUP(Table8[[#This Row],[Country Code]],Table29[],6,FALSE)</f>
        <v>no</v>
      </c>
      <c r="AV2293" s="233" t="str">
        <f>VLOOKUP(Table8[[#This Row],[Country Code]],Table29[],7,FALSE)</f>
        <v>no</v>
      </c>
      <c r="AW2293" s="233" t="str">
        <f>VLOOKUP(Table8[[#This Row],[Country Code]],Table29[],8,FALSE)</f>
        <v>OECD</v>
      </c>
      <c r="AX2293" s="233" t="str">
        <f>VLOOKUP(Table8[[#This Row],[Country Code]],Table29[],9,FALSE)</f>
        <v>EU27</v>
      </c>
      <c r="AY2293" s="233" t="str">
        <f>VLOOKUP(Table8[[#This Row],[Country Code]],Table29[],10,FALSE)</f>
        <v>no</v>
      </c>
      <c r="AZ2293" s="235">
        <f>VLOOKUP(Table8[[#This Row],[Country Code]],Table29[],23,FALSE)</f>
        <v>15.993517423122</v>
      </c>
      <c r="BA2293" s="235">
        <f>VLOOKUP(Table8[[#This Row],[Country Code]],Table29[],24,FALSE)</f>
        <v>4.830209372200426</v>
      </c>
      <c r="BB2293" s="320"/>
      <c r="BC2293" s="320"/>
    </row>
    <row r="2294" spans="1:55" ht="30" hidden="1" x14ac:dyDescent="0.25">
      <c r="A2294" s="373">
        <v>32515</v>
      </c>
      <c r="B2294" s="233" t="str">
        <f>VLOOKUP(Table8[[#This Row],[Document ID]],Table1[],2,FALSE)</f>
        <v>SVN</v>
      </c>
      <c r="C2294" s="233" t="str">
        <f>VLOOKUP(Table8[[#This Row],[Document ID]],Table1[],3,FALSE)</f>
        <v>Slovenia</v>
      </c>
      <c r="D2294" s="243" t="str">
        <f>VLOOKUP(Table8[[#This Row],[Document ID]],Table1[],5,FALSE)</f>
        <v>LTS</v>
      </c>
      <c r="E2294" s="233" t="str">
        <f>VLOOKUP(Table8[[#This Row],[Document ID]],Table1[],7,FALSE)</f>
        <v>LTS</v>
      </c>
      <c r="F2294" s="233" t="str">
        <f>VLOOKUP(Table8[[#This Row],[Document ID]],Table1[],8,FALSE)</f>
        <v>LTS 1.0</v>
      </c>
      <c r="G2294" s="233" t="str">
        <f>VLOOKUP(Table8[[#This Row],[Document ID]],Table1[],10,FALSE)</f>
        <v>Active</v>
      </c>
      <c r="H2294" s="43" t="s">
        <v>2343</v>
      </c>
      <c r="I2294" s="43" t="s">
        <v>2361</v>
      </c>
      <c r="J2294" s="44" t="s">
        <v>2362</v>
      </c>
      <c r="K2294" s="44" t="s">
        <v>4427</v>
      </c>
      <c r="L2294" s="44" t="s">
        <v>2347</v>
      </c>
      <c r="M2294" s="43">
        <v>45</v>
      </c>
      <c r="N2294" s="113"/>
      <c r="O2294" s="113"/>
      <c r="P2294" s="113"/>
      <c r="Q2294" s="113"/>
      <c r="R2294" s="113" t="s">
        <v>1291</v>
      </c>
      <c r="S2294" s="113"/>
      <c r="T2294" s="113"/>
      <c r="U2294" s="113"/>
      <c r="V2294" s="113"/>
      <c r="W2294" s="113"/>
      <c r="X2294" s="113"/>
      <c r="Y2294" s="113"/>
      <c r="Z2294" s="113"/>
      <c r="AA2294" s="113"/>
      <c r="AB2294" s="113"/>
      <c r="AC2294" s="113"/>
      <c r="AD2294" s="113"/>
      <c r="AE2294" s="113"/>
      <c r="AF2294" s="113"/>
      <c r="AG2294" s="113"/>
      <c r="AH2294" s="113"/>
      <c r="AI2294" s="113"/>
      <c r="AJ2294" s="113"/>
      <c r="AK2294" s="113" t="s">
        <v>1113</v>
      </c>
      <c r="AL2294" s="113"/>
      <c r="AM2294" s="113"/>
      <c r="AN2294" s="113"/>
      <c r="AO2294" s="44" t="s">
        <v>2334</v>
      </c>
      <c r="AP2294" s="43"/>
      <c r="AQ2294" s="236" t="str">
        <f>VLOOKUP(Table8[[#This Row],[Instrument]],Def_Targets!$D$73:$E$159,2,FALSE)</f>
        <v>S_Cycling</v>
      </c>
      <c r="AR2294" s="233" t="str">
        <f>VLOOKUP(Table8[[#This Row],[Country Code]],Table29[],3,FALSE)</f>
        <v>Annex I</v>
      </c>
      <c r="AS2294" s="233" t="str">
        <f>VLOOKUP(Table8[[#This Row],[Country Code]],Table29[],4,FALSE)</f>
        <v>Europe</v>
      </c>
      <c r="AT2294" s="233" t="str">
        <f>VLOOKUP(Table8[[#This Row],[Country Code]],Table29[],5,FALSE)</f>
        <v>High-income</v>
      </c>
      <c r="AU2294" s="233" t="str">
        <f>VLOOKUP(Table8[[#This Row],[Country Code]],Table29[],6,FALSE)</f>
        <v>no</v>
      </c>
      <c r="AV2294" s="233" t="str">
        <f>VLOOKUP(Table8[[#This Row],[Country Code]],Table29[],7,FALSE)</f>
        <v>no</v>
      </c>
      <c r="AW2294" s="233" t="str">
        <f>VLOOKUP(Table8[[#This Row],[Country Code]],Table29[],8,FALSE)</f>
        <v>OECD</v>
      </c>
      <c r="AX2294" s="233" t="str">
        <f>VLOOKUP(Table8[[#This Row],[Country Code]],Table29[],9,FALSE)</f>
        <v>EU27</v>
      </c>
      <c r="AY2294" s="233" t="str">
        <f>VLOOKUP(Table8[[#This Row],[Country Code]],Table29[],10,FALSE)</f>
        <v>no</v>
      </c>
      <c r="AZ2294" s="235">
        <f>VLOOKUP(Table8[[#This Row],[Country Code]],Table29[],23,FALSE)</f>
        <v>15.993517423122</v>
      </c>
      <c r="BA2294" s="235">
        <f>VLOOKUP(Table8[[#This Row],[Country Code]],Table29[],24,FALSE)</f>
        <v>4.830209372200426</v>
      </c>
      <c r="BB2294" s="320"/>
      <c r="BC2294" s="320"/>
    </row>
    <row r="2295" spans="1:55" ht="30" hidden="1" x14ac:dyDescent="0.25">
      <c r="A2295" s="373">
        <v>32515</v>
      </c>
      <c r="B2295" s="233" t="str">
        <f>VLOOKUP(Table8[[#This Row],[Document ID]],Table1[],2,FALSE)</f>
        <v>SVN</v>
      </c>
      <c r="C2295" s="233" t="str">
        <f>VLOOKUP(Table8[[#This Row],[Document ID]],Table1[],3,FALSE)</f>
        <v>Slovenia</v>
      </c>
      <c r="D2295" s="243" t="str">
        <f>VLOOKUP(Table8[[#This Row],[Document ID]],Table1[],5,FALSE)</f>
        <v>LTS</v>
      </c>
      <c r="E2295" s="233" t="str">
        <f>VLOOKUP(Table8[[#This Row],[Document ID]],Table1[],7,FALSE)</f>
        <v>LTS</v>
      </c>
      <c r="F2295" s="233" t="str">
        <f>VLOOKUP(Table8[[#This Row],[Document ID]],Table1[],8,FALSE)</f>
        <v>LTS 1.0</v>
      </c>
      <c r="G2295" s="233" t="str">
        <f>VLOOKUP(Table8[[#This Row],[Document ID]],Table1[],10,FALSE)</f>
        <v>Active</v>
      </c>
      <c r="H2295" s="43" t="s">
        <v>2358</v>
      </c>
      <c r="I2295" s="43" t="s">
        <v>2359</v>
      </c>
      <c r="J2295" s="44" t="s">
        <v>2360</v>
      </c>
      <c r="K2295" s="44" t="s">
        <v>4427</v>
      </c>
      <c r="L2295" s="44" t="s">
        <v>2347</v>
      </c>
      <c r="M2295" s="43"/>
      <c r="N2295" s="113"/>
      <c r="O2295" s="113"/>
      <c r="P2295" s="113"/>
      <c r="Q2295" s="113"/>
      <c r="R2295" s="113" t="s">
        <v>1113</v>
      </c>
      <c r="S2295" s="113"/>
      <c r="T2295" s="113"/>
      <c r="U2295" s="113"/>
      <c r="V2295" s="113"/>
      <c r="W2295" s="113"/>
      <c r="X2295" s="113"/>
      <c r="Y2295" s="113"/>
      <c r="Z2295" s="113"/>
      <c r="AA2295" s="113"/>
      <c r="AB2295" s="113"/>
      <c r="AC2295" s="113"/>
      <c r="AD2295" s="113"/>
      <c r="AE2295" s="113"/>
      <c r="AF2295" s="113"/>
      <c r="AG2295" s="113"/>
      <c r="AH2295" s="113"/>
      <c r="AI2295" s="113"/>
      <c r="AJ2295" s="113"/>
      <c r="AK2295" s="113" t="s">
        <v>1113</v>
      </c>
      <c r="AL2295" s="113"/>
      <c r="AM2295" s="113"/>
      <c r="AN2295" s="113"/>
      <c r="AO2295" s="44" t="s">
        <v>2334</v>
      </c>
      <c r="AP2295" s="43"/>
      <c r="AQ2295" s="236" t="str">
        <f>VLOOKUP(Table8[[#This Row],[Instrument]],Def_Targets!$D$73:$E$159,2,FALSE)</f>
        <v>I_Emobility</v>
      </c>
      <c r="AR2295" s="233" t="str">
        <f>VLOOKUP(Table8[[#This Row],[Country Code]],Table29[],3,FALSE)</f>
        <v>Annex I</v>
      </c>
      <c r="AS2295" s="233" t="str">
        <f>VLOOKUP(Table8[[#This Row],[Country Code]],Table29[],4,FALSE)</f>
        <v>Europe</v>
      </c>
      <c r="AT2295" s="233" t="str">
        <f>VLOOKUP(Table8[[#This Row],[Country Code]],Table29[],5,FALSE)</f>
        <v>High-income</v>
      </c>
      <c r="AU2295" s="233" t="str">
        <f>VLOOKUP(Table8[[#This Row],[Country Code]],Table29[],6,FALSE)</f>
        <v>no</v>
      </c>
      <c r="AV2295" s="233" t="str">
        <f>VLOOKUP(Table8[[#This Row],[Country Code]],Table29[],7,FALSE)</f>
        <v>no</v>
      </c>
      <c r="AW2295" s="233" t="str">
        <f>VLOOKUP(Table8[[#This Row],[Country Code]],Table29[],8,FALSE)</f>
        <v>OECD</v>
      </c>
      <c r="AX2295" s="233" t="str">
        <f>VLOOKUP(Table8[[#This Row],[Country Code]],Table29[],9,FALSE)</f>
        <v>EU27</v>
      </c>
      <c r="AY2295" s="233" t="str">
        <f>VLOOKUP(Table8[[#This Row],[Country Code]],Table29[],10,FALSE)</f>
        <v>no</v>
      </c>
      <c r="AZ2295" s="235">
        <f>VLOOKUP(Table8[[#This Row],[Country Code]],Table29[],23,FALSE)</f>
        <v>15.993517423122</v>
      </c>
      <c r="BA2295" s="235">
        <f>VLOOKUP(Table8[[#This Row],[Country Code]],Table29[],24,FALSE)</f>
        <v>4.830209372200426</v>
      </c>
      <c r="BB2295" s="320"/>
      <c r="BC2295" s="320"/>
    </row>
    <row r="2296" spans="1:55" ht="30" hidden="1" x14ac:dyDescent="0.25">
      <c r="A2296" s="373">
        <v>32515</v>
      </c>
      <c r="B2296" s="233" t="str">
        <f>VLOOKUP(Table8[[#This Row],[Document ID]],Table1[],2,FALSE)</f>
        <v>SVN</v>
      </c>
      <c r="C2296" s="233" t="str">
        <f>VLOOKUP(Table8[[#This Row],[Document ID]],Table1[],3,FALSE)</f>
        <v>Slovenia</v>
      </c>
      <c r="D2296" s="243" t="str">
        <f>VLOOKUP(Table8[[#This Row],[Document ID]],Table1[],5,FALSE)</f>
        <v>LTS</v>
      </c>
      <c r="E2296" s="233" t="str">
        <f>VLOOKUP(Table8[[#This Row],[Document ID]],Table1[],7,FALSE)</f>
        <v>LTS</v>
      </c>
      <c r="F2296" s="233" t="str">
        <f>VLOOKUP(Table8[[#This Row],[Document ID]],Table1[],8,FALSE)</f>
        <v>LTS 1.0</v>
      </c>
      <c r="G2296" s="233" t="str">
        <f>VLOOKUP(Table8[[#This Row],[Document ID]],Table1[],10,FALSE)</f>
        <v>Active</v>
      </c>
      <c r="H2296" s="43" t="s">
        <v>2343</v>
      </c>
      <c r="I2296" s="43" t="s">
        <v>2386</v>
      </c>
      <c r="J2296" s="44" t="s">
        <v>2412</v>
      </c>
      <c r="K2296" s="44" t="s">
        <v>4428</v>
      </c>
      <c r="L2296" s="44" t="s">
        <v>2396</v>
      </c>
      <c r="M2296" s="43">
        <v>45</v>
      </c>
      <c r="N2296" s="113" t="s">
        <v>1113</v>
      </c>
      <c r="O2296" s="113"/>
      <c r="P2296" s="113"/>
      <c r="Q2296" s="113"/>
      <c r="R2296" s="113"/>
      <c r="S2296" s="113"/>
      <c r="T2296" s="113"/>
      <c r="U2296" s="113"/>
      <c r="V2296" s="113"/>
      <c r="W2296" s="113"/>
      <c r="X2296" s="113"/>
      <c r="Y2296" s="113"/>
      <c r="Z2296" s="113"/>
      <c r="AA2296" s="113"/>
      <c r="AB2296" s="113"/>
      <c r="AC2296" s="113"/>
      <c r="AD2296" s="113"/>
      <c r="AE2296" s="113"/>
      <c r="AF2296" s="113"/>
      <c r="AG2296" s="113"/>
      <c r="AH2296" s="113"/>
      <c r="AI2296" s="113"/>
      <c r="AJ2296" s="113"/>
      <c r="AK2296" s="113" t="s">
        <v>1113</v>
      </c>
      <c r="AL2296" s="113"/>
      <c r="AM2296" s="113"/>
      <c r="AN2296" s="113"/>
      <c r="AO2296" s="44" t="s">
        <v>2334</v>
      </c>
      <c r="AP2296" s="43"/>
      <c r="AQ2296" s="236" t="str">
        <f>VLOOKUP(Table8[[#This Row],[Instrument]],Def_Targets!$D$73:$E$159,2,FALSE)</f>
        <v>A_Economic</v>
      </c>
      <c r="AR2296" s="233" t="str">
        <f>VLOOKUP(Table8[[#This Row],[Country Code]],Table29[],3,FALSE)</f>
        <v>Annex I</v>
      </c>
      <c r="AS2296" s="233" t="str">
        <f>VLOOKUP(Table8[[#This Row],[Country Code]],Table29[],4,FALSE)</f>
        <v>Europe</v>
      </c>
      <c r="AT2296" s="233" t="str">
        <f>VLOOKUP(Table8[[#This Row],[Country Code]],Table29[],5,FALSE)</f>
        <v>High-income</v>
      </c>
      <c r="AU2296" s="233" t="str">
        <f>VLOOKUP(Table8[[#This Row],[Country Code]],Table29[],6,FALSE)</f>
        <v>no</v>
      </c>
      <c r="AV2296" s="233" t="str">
        <f>VLOOKUP(Table8[[#This Row],[Country Code]],Table29[],7,FALSE)</f>
        <v>no</v>
      </c>
      <c r="AW2296" s="233" t="str">
        <f>VLOOKUP(Table8[[#This Row],[Country Code]],Table29[],8,FALSE)</f>
        <v>OECD</v>
      </c>
      <c r="AX2296" s="233" t="str">
        <f>VLOOKUP(Table8[[#This Row],[Country Code]],Table29[],9,FALSE)</f>
        <v>EU27</v>
      </c>
      <c r="AY2296" s="233" t="str">
        <f>VLOOKUP(Table8[[#This Row],[Country Code]],Table29[],10,FALSE)</f>
        <v>no</v>
      </c>
      <c r="AZ2296" s="235">
        <f>VLOOKUP(Table8[[#This Row],[Country Code]],Table29[],23,FALSE)</f>
        <v>15.993517423122</v>
      </c>
      <c r="BA2296" s="235">
        <f>VLOOKUP(Table8[[#This Row],[Country Code]],Table29[],24,FALSE)</f>
        <v>4.830209372200426</v>
      </c>
      <c r="BB2296" s="320"/>
      <c r="BC2296" s="320"/>
    </row>
    <row r="2297" spans="1:55" ht="30" hidden="1" x14ac:dyDescent="0.25">
      <c r="A2297" s="373">
        <v>32515</v>
      </c>
      <c r="B2297" s="233" t="str">
        <f>VLOOKUP(Table8[[#This Row],[Document ID]],Table1[],2,FALSE)</f>
        <v>SVN</v>
      </c>
      <c r="C2297" s="233" t="str">
        <f>VLOOKUP(Table8[[#This Row],[Document ID]],Table1[],3,FALSE)</f>
        <v>Slovenia</v>
      </c>
      <c r="D2297" s="243" t="str">
        <f>VLOOKUP(Table8[[#This Row],[Document ID]],Table1[],5,FALSE)</f>
        <v>LTS</v>
      </c>
      <c r="E2297" s="233" t="str">
        <f>VLOOKUP(Table8[[#This Row],[Document ID]],Table1[],7,FALSE)</f>
        <v>LTS</v>
      </c>
      <c r="F2297" s="233" t="str">
        <f>VLOOKUP(Table8[[#This Row],[Document ID]],Table1[],8,FALSE)</f>
        <v>LTS 1.0</v>
      </c>
      <c r="G2297" s="233" t="str">
        <f>VLOOKUP(Table8[[#This Row],[Document ID]],Table1[],10,FALSE)</f>
        <v>Active</v>
      </c>
      <c r="H2297" s="43" t="s">
        <v>2484</v>
      </c>
      <c r="I2297" s="43" t="s">
        <v>2485</v>
      </c>
      <c r="J2297" s="44" t="s">
        <v>2775</v>
      </c>
      <c r="K2297" s="44" t="s">
        <v>4429</v>
      </c>
      <c r="L2297" s="44" t="s">
        <v>2333</v>
      </c>
      <c r="M2297" s="43">
        <v>45</v>
      </c>
      <c r="N2297" s="113"/>
      <c r="O2297" s="113"/>
      <c r="P2297" s="113"/>
      <c r="Q2297" s="113"/>
      <c r="R2297" s="113"/>
      <c r="S2297" s="113"/>
      <c r="T2297" s="113"/>
      <c r="U2297" s="113"/>
      <c r="V2297" s="113"/>
      <c r="W2297" s="113"/>
      <c r="X2297" s="113"/>
      <c r="Y2297" s="113"/>
      <c r="Z2297" s="113"/>
      <c r="AA2297" s="113"/>
      <c r="AB2297" s="113"/>
      <c r="AC2297" s="113"/>
      <c r="AD2297" s="113" t="s">
        <v>1113</v>
      </c>
      <c r="AE2297" s="113"/>
      <c r="AF2297" s="113"/>
      <c r="AG2297" s="113"/>
      <c r="AH2297" s="113"/>
      <c r="AI2297" s="113"/>
      <c r="AJ2297" s="113"/>
      <c r="AK2297" s="113" t="s">
        <v>1113</v>
      </c>
      <c r="AL2297" s="113"/>
      <c r="AM2297" s="113"/>
      <c r="AN2297" s="113"/>
      <c r="AO2297" s="44" t="s">
        <v>2334</v>
      </c>
      <c r="AP2297" s="43"/>
      <c r="AQ2297" s="236" t="str">
        <f>VLOOKUP(Table8[[#This Row],[Instrument]],Def_Targets!$D$73:$E$159,2,FALSE)</f>
        <v>I_Onshorepower</v>
      </c>
      <c r="AR2297" s="233" t="str">
        <f>VLOOKUP(Table8[[#This Row],[Country Code]],Table29[],3,FALSE)</f>
        <v>Annex I</v>
      </c>
      <c r="AS2297" s="233" t="str">
        <f>VLOOKUP(Table8[[#This Row],[Country Code]],Table29[],4,FALSE)</f>
        <v>Europe</v>
      </c>
      <c r="AT2297" s="233" t="str">
        <f>VLOOKUP(Table8[[#This Row],[Country Code]],Table29[],5,FALSE)</f>
        <v>High-income</v>
      </c>
      <c r="AU2297" s="233" t="str">
        <f>VLOOKUP(Table8[[#This Row],[Country Code]],Table29[],6,FALSE)</f>
        <v>no</v>
      </c>
      <c r="AV2297" s="233" t="str">
        <f>VLOOKUP(Table8[[#This Row],[Country Code]],Table29[],7,FALSE)</f>
        <v>no</v>
      </c>
      <c r="AW2297" s="233" t="str">
        <f>VLOOKUP(Table8[[#This Row],[Country Code]],Table29[],8,FALSE)</f>
        <v>OECD</v>
      </c>
      <c r="AX2297" s="233" t="str">
        <f>VLOOKUP(Table8[[#This Row],[Country Code]],Table29[],9,FALSE)</f>
        <v>EU27</v>
      </c>
      <c r="AY2297" s="233" t="str">
        <f>VLOOKUP(Table8[[#This Row],[Country Code]],Table29[],10,FALSE)</f>
        <v>no</v>
      </c>
      <c r="AZ2297" s="235">
        <f>VLOOKUP(Table8[[#This Row],[Country Code]],Table29[],23,FALSE)</f>
        <v>15.993517423122</v>
      </c>
      <c r="BA2297" s="235">
        <f>VLOOKUP(Table8[[#This Row],[Country Code]],Table29[],24,FALSE)</f>
        <v>4.830209372200426</v>
      </c>
      <c r="BB2297" s="320"/>
      <c r="BC2297" s="320"/>
    </row>
    <row r="2298" spans="1:55" ht="45" hidden="1" x14ac:dyDescent="0.25">
      <c r="A2298" s="373">
        <v>32515</v>
      </c>
      <c r="B2298" s="233" t="str">
        <f>VLOOKUP(Table8[[#This Row],[Document ID]],Table1[],2,FALSE)</f>
        <v>SVN</v>
      </c>
      <c r="C2298" s="233" t="str">
        <f>VLOOKUP(Table8[[#This Row],[Document ID]],Table1[],3,FALSE)</f>
        <v>Slovenia</v>
      </c>
      <c r="D2298" s="243" t="str">
        <f>VLOOKUP(Table8[[#This Row],[Document ID]],Table1[],5,FALSE)</f>
        <v>LTS</v>
      </c>
      <c r="E2298" s="233" t="str">
        <f>VLOOKUP(Table8[[#This Row],[Document ID]],Table1[],7,FALSE)</f>
        <v>LTS</v>
      </c>
      <c r="F2298" s="233" t="str">
        <f>VLOOKUP(Table8[[#This Row],[Document ID]],Table1[],8,FALSE)</f>
        <v>LTS 1.0</v>
      </c>
      <c r="G2298" s="233" t="str">
        <f>VLOOKUP(Table8[[#This Row],[Document ID]],Table1[],10,FALSE)</f>
        <v>Active</v>
      </c>
      <c r="H2298" s="44" t="s">
        <v>2329</v>
      </c>
      <c r="I2298" s="44" t="s">
        <v>2330</v>
      </c>
      <c r="J2298" s="44" t="s">
        <v>2391</v>
      </c>
      <c r="K2298" s="44" t="s">
        <v>4430</v>
      </c>
      <c r="L2298" s="44" t="s">
        <v>2333</v>
      </c>
      <c r="M2298" s="43">
        <v>45</v>
      </c>
      <c r="N2298" s="113" t="s">
        <v>1113</v>
      </c>
      <c r="O2298" s="113"/>
      <c r="P2298" s="113"/>
      <c r="Q2298" s="113"/>
      <c r="R2298" s="113"/>
      <c r="S2298" s="113"/>
      <c r="T2298" s="113"/>
      <c r="U2298" s="113"/>
      <c r="V2298" s="113"/>
      <c r="W2298" s="113"/>
      <c r="X2298" s="113"/>
      <c r="Y2298" s="113"/>
      <c r="Z2298" s="113"/>
      <c r="AA2298" s="113"/>
      <c r="AB2298" s="113"/>
      <c r="AC2298" s="113"/>
      <c r="AD2298" s="113"/>
      <c r="AE2298" s="113"/>
      <c r="AF2298" s="113"/>
      <c r="AG2298" s="113"/>
      <c r="AH2298" s="113"/>
      <c r="AI2298" s="113"/>
      <c r="AJ2298" s="113"/>
      <c r="AK2298" s="113" t="s">
        <v>1113</v>
      </c>
      <c r="AL2298" s="113"/>
      <c r="AM2298" s="113"/>
      <c r="AN2298" s="113"/>
      <c r="AO2298" s="44" t="s">
        <v>2334</v>
      </c>
      <c r="AP2298" s="43"/>
      <c r="AQ2298" s="236" t="str">
        <f>VLOOKUP(Table8[[#This Row],[Instrument]],Def_Targets!$D$73:$E$159,2,FALSE)</f>
        <v>I_Hydrogen</v>
      </c>
      <c r="AR2298" s="233" t="str">
        <f>VLOOKUP(Table8[[#This Row],[Country Code]],Table29[],3,FALSE)</f>
        <v>Annex I</v>
      </c>
      <c r="AS2298" s="233" t="str">
        <f>VLOOKUP(Table8[[#This Row],[Country Code]],Table29[],4,FALSE)</f>
        <v>Europe</v>
      </c>
      <c r="AT2298" s="233" t="str">
        <f>VLOOKUP(Table8[[#This Row],[Country Code]],Table29[],5,FALSE)</f>
        <v>High-income</v>
      </c>
      <c r="AU2298" s="233" t="str">
        <f>VLOOKUP(Table8[[#This Row],[Country Code]],Table29[],6,FALSE)</f>
        <v>no</v>
      </c>
      <c r="AV2298" s="233" t="str">
        <f>VLOOKUP(Table8[[#This Row],[Country Code]],Table29[],7,FALSE)</f>
        <v>no</v>
      </c>
      <c r="AW2298" s="233" t="str">
        <f>VLOOKUP(Table8[[#This Row],[Country Code]],Table29[],8,FALSE)</f>
        <v>OECD</v>
      </c>
      <c r="AX2298" s="233" t="str">
        <f>VLOOKUP(Table8[[#This Row],[Country Code]],Table29[],9,FALSE)</f>
        <v>EU27</v>
      </c>
      <c r="AY2298" s="233" t="str">
        <f>VLOOKUP(Table8[[#This Row],[Country Code]],Table29[],10,FALSE)</f>
        <v>no</v>
      </c>
      <c r="AZ2298" s="235">
        <f>VLOOKUP(Table8[[#This Row],[Country Code]],Table29[],23,FALSE)</f>
        <v>15.993517423122</v>
      </c>
      <c r="BA2298" s="235">
        <f>VLOOKUP(Table8[[#This Row],[Country Code]],Table29[],24,FALSE)</f>
        <v>4.830209372200426</v>
      </c>
      <c r="BB2298" s="320"/>
      <c r="BC2298" s="320"/>
    </row>
    <row r="2299" spans="1:55" ht="30" hidden="1" x14ac:dyDescent="0.25">
      <c r="A2299" s="360">
        <v>17773</v>
      </c>
      <c r="B2299" s="233" t="str">
        <f>VLOOKUP(Table8[[#This Row],[Document ID]],Table1[],2,FALSE)</f>
        <v>ARE</v>
      </c>
      <c r="C2299" s="233" t="str">
        <f>VLOOKUP(Table8[[#This Row],[Document ID]],Table1[],3,FALSE)</f>
        <v>United Arab Emirates</v>
      </c>
      <c r="D2299" s="233" t="str">
        <f>VLOOKUP(Table8[[#This Row],[Document ID]],Table1[],5,FALSE)</f>
        <v>NDC</v>
      </c>
      <c r="E2299" s="233" t="str">
        <f>VLOOKUP(Table8[[#This Row],[Document ID]],Table1[],7,FALSE)</f>
        <v>Second NDC</v>
      </c>
      <c r="F2299" s="233" t="str">
        <f>VLOOKUP(Table8[[#This Row],[Document ID]],Table1[],8,FALSE)</f>
        <v>NDC 2.0</v>
      </c>
      <c r="G2299" s="233" t="str">
        <f>VLOOKUP(Table8[[#This Row],[Document ID]],Table1[],10,FALSE)</f>
        <v>Archived</v>
      </c>
      <c r="H2299" s="43" t="s">
        <v>2343</v>
      </c>
      <c r="I2299" s="43" t="s">
        <v>2386</v>
      </c>
      <c r="J2299" s="44" t="s">
        <v>2515</v>
      </c>
      <c r="K2299" s="44" t="s">
        <v>4431</v>
      </c>
      <c r="L2299" s="44" t="s">
        <v>2373</v>
      </c>
      <c r="M2299" s="43">
        <v>5</v>
      </c>
      <c r="N2299" s="113" t="s">
        <v>1113</v>
      </c>
      <c r="O2299" s="113"/>
      <c r="P2299" s="113"/>
      <c r="Q2299" s="113"/>
      <c r="R2299" s="113"/>
      <c r="S2299" s="113"/>
      <c r="T2299" s="113"/>
      <c r="U2299" s="113"/>
      <c r="V2299" s="113"/>
      <c r="W2299" s="113"/>
      <c r="X2299" s="113"/>
      <c r="Y2299" s="113"/>
      <c r="Z2299" s="113"/>
      <c r="AA2299" s="113"/>
      <c r="AB2299" s="113"/>
      <c r="AC2299" s="113"/>
      <c r="AD2299" s="113"/>
      <c r="AE2299" s="113"/>
      <c r="AF2299" s="113"/>
      <c r="AG2299" s="113"/>
      <c r="AH2299" s="113"/>
      <c r="AI2299" s="113"/>
      <c r="AJ2299" s="113"/>
      <c r="AK2299" s="319" t="s">
        <v>1113</v>
      </c>
      <c r="AL2299" s="113"/>
      <c r="AM2299" s="113"/>
      <c r="AN2299" s="113"/>
      <c r="AO2299" s="44" t="s">
        <v>2334</v>
      </c>
      <c r="AP2299" s="43"/>
      <c r="AQ2299" s="236" t="str">
        <f>VLOOKUP(Table8[[#This Row],[Instrument]],Def_Targets!$D$73:$E$159,2,FALSE)</f>
        <v>A_Fossilfuelsubs</v>
      </c>
      <c r="AR2299" s="233" t="str">
        <f>VLOOKUP(Table8[[#This Row],[Country Code]],Table29[],3,FALSE)</f>
        <v>Non-Annex I</v>
      </c>
      <c r="AS2299" s="233" t="str">
        <f>VLOOKUP(Table8[[#This Row],[Country Code]],Table29[],4,FALSE)</f>
        <v>Asia</v>
      </c>
      <c r="AT2299" s="233" t="str">
        <f>VLOOKUP(Table8[[#This Row],[Country Code]],Table29[],5,FALSE)</f>
        <v>High-income</v>
      </c>
      <c r="AU2299" s="233" t="str">
        <f>VLOOKUP(Table8[[#This Row],[Country Code]],Table29[],6,FALSE)</f>
        <v>no</v>
      </c>
      <c r="AV2299" s="233" t="str">
        <f>VLOOKUP(Table8[[#This Row],[Country Code]],Table29[],7,FALSE)</f>
        <v>no</v>
      </c>
      <c r="AW2299" s="233" t="str">
        <f>VLOOKUP(Table8[[#This Row],[Country Code]],Table29[],8,FALSE)</f>
        <v>non-OECD</v>
      </c>
      <c r="AX2299" s="233" t="str">
        <f>VLOOKUP(Table8[[#This Row],[Country Code]],Table29[],9,FALSE)</f>
        <v>no</v>
      </c>
      <c r="AY2299" s="233" t="str">
        <f>VLOOKUP(Table8[[#This Row],[Country Code]],Table29[],10,FALSE)</f>
        <v>MENA</v>
      </c>
      <c r="AZ2299" s="235">
        <f>VLOOKUP(Table8[[#This Row],[Country Code]],Table29[],23,FALSE)</f>
        <v>267.82319378585998</v>
      </c>
      <c r="BA2299" s="235">
        <f>VLOOKUP(Table8[[#This Row],[Country Code]],Table29[],24,FALSE)</f>
        <v>43.860911308351241</v>
      </c>
      <c r="BB2299" s="320"/>
      <c r="BC2299" s="320"/>
    </row>
    <row r="2300" spans="1:55" hidden="1" x14ac:dyDescent="0.25">
      <c r="A2300" s="373">
        <v>17773</v>
      </c>
      <c r="B2300" s="233" t="str">
        <f>VLOOKUP(Table8[[#This Row],[Document ID]],Table1[],2,FALSE)</f>
        <v>ARE</v>
      </c>
      <c r="C2300" s="233" t="str">
        <f>VLOOKUP(Table8[[#This Row],[Document ID]],Table1[],3,FALSE)</f>
        <v>United Arab Emirates</v>
      </c>
      <c r="D2300" s="243" t="str">
        <f>VLOOKUP(Table8[[#This Row],[Document ID]],Table1[],5,FALSE)</f>
        <v>NDC</v>
      </c>
      <c r="E2300" s="233" t="str">
        <f>VLOOKUP(Table8[[#This Row],[Document ID]],Table1[],7,FALSE)</f>
        <v>Second NDC</v>
      </c>
      <c r="F2300" s="233" t="str">
        <f>VLOOKUP(Table8[[#This Row],[Document ID]],Table1[],8,FALSE)</f>
        <v>NDC 2.0</v>
      </c>
      <c r="G2300" s="233" t="str">
        <f>VLOOKUP(Table8[[#This Row],[Document ID]],Table1[],10,FALSE)</f>
        <v>Archived</v>
      </c>
      <c r="H2300" s="43" t="s">
        <v>2358</v>
      </c>
      <c r="I2300" s="43" t="s">
        <v>2359</v>
      </c>
      <c r="J2300" s="44" t="s">
        <v>2360</v>
      </c>
      <c r="K2300" s="44" t="s">
        <v>4432</v>
      </c>
      <c r="L2300" s="44" t="s">
        <v>2333</v>
      </c>
      <c r="M2300" s="43">
        <v>5</v>
      </c>
      <c r="N2300" s="113"/>
      <c r="O2300" s="113"/>
      <c r="P2300" s="113"/>
      <c r="Q2300" s="113"/>
      <c r="R2300" s="113"/>
      <c r="S2300" s="113" t="s">
        <v>1113</v>
      </c>
      <c r="T2300" s="113"/>
      <c r="U2300" s="113"/>
      <c r="V2300" s="113"/>
      <c r="W2300" s="113"/>
      <c r="X2300" s="113"/>
      <c r="Y2300" s="113"/>
      <c r="Z2300" s="113"/>
      <c r="AA2300" s="113"/>
      <c r="AB2300" s="113"/>
      <c r="AC2300" s="113"/>
      <c r="AD2300" s="113"/>
      <c r="AE2300" s="113"/>
      <c r="AF2300" s="113"/>
      <c r="AG2300" s="113"/>
      <c r="AH2300" s="113"/>
      <c r="AI2300" s="113"/>
      <c r="AJ2300" s="113"/>
      <c r="AK2300" s="319" t="s">
        <v>1113</v>
      </c>
      <c r="AL2300" s="113"/>
      <c r="AM2300" s="113"/>
      <c r="AN2300" s="113"/>
      <c r="AO2300" s="44" t="s">
        <v>2334</v>
      </c>
      <c r="AP2300" s="43"/>
      <c r="AQ2300" s="236" t="str">
        <f>VLOOKUP(Table8[[#This Row],[Instrument]],Def_Targets!$D$73:$E$159,2,FALSE)</f>
        <v>I_Emobility</v>
      </c>
      <c r="AR2300" s="233" t="str">
        <f>VLOOKUP(Table8[[#This Row],[Country Code]],Table29[],3,FALSE)</f>
        <v>Non-Annex I</v>
      </c>
      <c r="AS2300" s="233" t="str">
        <f>VLOOKUP(Table8[[#This Row],[Country Code]],Table29[],4,FALSE)</f>
        <v>Asia</v>
      </c>
      <c r="AT2300" s="233" t="str">
        <f>VLOOKUP(Table8[[#This Row],[Country Code]],Table29[],5,FALSE)</f>
        <v>High-income</v>
      </c>
      <c r="AU2300" s="233" t="str">
        <f>VLOOKUP(Table8[[#This Row],[Country Code]],Table29[],6,FALSE)</f>
        <v>no</v>
      </c>
      <c r="AV2300" s="233" t="str">
        <f>VLOOKUP(Table8[[#This Row],[Country Code]],Table29[],7,FALSE)</f>
        <v>no</v>
      </c>
      <c r="AW2300" s="233" t="str">
        <f>VLOOKUP(Table8[[#This Row],[Country Code]],Table29[],8,FALSE)</f>
        <v>non-OECD</v>
      </c>
      <c r="AX2300" s="233" t="str">
        <f>VLOOKUP(Table8[[#This Row],[Country Code]],Table29[],9,FALSE)</f>
        <v>no</v>
      </c>
      <c r="AY2300" s="233" t="str">
        <f>VLOOKUP(Table8[[#This Row],[Country Code]],Table29[],10,FALSE)</f>
        <v>MENA</v>
      </c>
      <c r="AZ2300" s="235">
        <f>VLOOKUP(Table8[[#This Row],[Country Code]],Table29[],23,FALSE)</f>
        <v>267.82319378585998</v>
      </c>
      <c r="BA2300" s="235">
        <f>VLOOKUP(Table8[[#This Row],[Country Code]],Table29[],24,FALSE)</f>
        <v>43.860911308351241</v>
      </c>
      <c r="BB2300" s="320"/>
      <c r="BC2300" s="320"/>
    </row>
    <row r="2301" spans="1:55" hidden="1" x14ac:dyDescent="0.25">
      <c r="A2301" s="373">
        <v>17773</v>
      </c>
      <c r="B2301" s="233" t="str">
        <f>VLOOKUP(Table8[[#This Row],[Document ID]],Table1[],2,FALSE)</f>
        <v>ARE</v>
      </c>
      <c r="C2301" s="233" t="str">
        <f>VLOOKUP(Table8[[#This Row],[Document ID]],Table1[],3,FALSE)</f>
        <v>United Arab Emirates</v>
      </c>
      <c r="D2301" s="243" t="str">
        <f>VLOOKUP(Table8[[#This Row],[Document ID]],Table1[],5,FALSE)</f>
        <v>NDC</v>
      </c>
      <c r="E2301" s="233" t="str">
        <f>VLOOKUP(Table8[[#This Row],[Document ID]],Table1[],7,FALSE)</f>
        <v>Second NDC</v>
      </c>
      <c r="F2301" s="233" t="str">
        <f>VLOOKUP(Table8[[#This Row],[Document ID]],Table1[],8,FALSE)</f>
        <v>NDC 2.0</v>
      </c>
      <c r="G2301" s="233" t="str">
        <f>VLOOKUP(Table8[[#This Row],[Document ID]],Table1[],10,FALSE)</f>
        <v>Archived</v>
      </c>
      <c r="H2301" s="44" t="s">
        <v>2329</v>
      </c>
      <c r="I2301" s="44" t="s">
        <v>2330</v>
      </c>
      <c r="J2301" s="44" t="s">
        <v>2391</v>
      </c>
      <c r="K2301" s="44" t="s">
        <v>4432</v>
      </c>
      <c r="L2301" s="44" t="s">
        <v>2333</v>
      </c>
      <c r="M2301" s="43">
        <v>5</v>
      </c>
      <c r="N2301" s="113"/>
      <c r="O2301" s="113"/>
      <c r="P2301" s="113"/>
      <c r="Q2301" s="113"/>
      <c r="R2301" s="113"/>
      <c r="S2301" s="113" t="s">
        <v>1113</v>
      </c>
      <c r="T2301" s="113"/>
      <c r="U2301" s="113"/>
      <c r="V2301" s="113"/>
      <c r="W2301" s="113"/>
      <c r="X2301" s="113"/>
      <c r="Y2301" s="113"/>
      <c r="Z2301" s="113"/>
      <c r="AA2301" s="113"/>
      <c r="AB2301" s="113"/>
      <c r="AC2301" s="113"/>
      <c r="AD2301" s="113"/>
      <c r="AE2301" s="113"/>
      <c r="AF2301" s="113"/>
      <c r="AG2301" s="113"/>
      <c r="AH2301" s="113"/>
      <c r="AI2301" s="113"/>
      <c r="AJ2301" s="113"/>
      <c r="AK2301" s="319" t="s">
        <v>1113</v>
      </c>
      <c r="AL2301" s="113"/>
      <c r="AM2301" s="113"/>
      <c r="AN2301" s="113"/>
      <c r="AO2301" s="44" t="s">
        <v>2334</v>
      </c>
      <c r="AP2301" s="43"/>
      <c r="AQ2301" s="236" t="str">
        <f>VLOOKUP(Table8[[#This Row],[Instrument]],Def_Targets!$D$73:$E$159,2,FALSE)</f>
        <v>I_Hydrogen</v>
      </c>
      <c r="AR2301" s="233" t="str">
        <f>VLOOKUP(Table8[[#This Row],[Country Code]],Table29[],3,FALSE)</f>
        <v>Non-Annex I</v>
      </c>
      <c r="AS2301" s="233" t="str">
        <f>VLOOKUP(Table8[[#This Row],[Country Code]],Table29[],4,FALSE)</f>
        <v>Asia</v>
      </c>
      <c r="AT2301" s="233" t="str">
        <f>VLOOKUP(Table8[[#This Row],[Country Code]],Table29[],5,FALSE)</f>
        <v>High-income</v>
      </c>
      <c r="AU2301" s="233" t="str">
        <f>VLOOKUP(Table8[[#This Row],[Country Code]],Table29[],6,FALSE)</f>
        <v>no</v>
      </c>
      <c r="AV2301" s="233" t="str">
        <f>VLOOKUP(Table8[[#This Row],[Country Code]],Table29[],7,FALSE)</f>
        <v>no</v>
      </c>
      <c r="AW2301" s="233" t="str">
        <f>VLOOKUP(Table8[[#This Row],[Country Code]],Table29[],8,FALSE)</f>
        <v>non-OECD</v>
      </c>
      <c r="AX2301" s="233" t="str">
        <f>VLOOKUP(Table8[[#This Row],[Country Code]],Table29[],9,FALSE)</f>
        <v>no</v>
      </c>
      <c r="AY2301" s="233" t="str">
        <f>VLOOKUP(Table8[[#This Row],[Country Code]],Table29[],10,FALSE)</f>
        <v>MENA</v>
      </c>
      <c r="AZ2301" s="235">
        <f>VLOOKUP(Table8[[#This Row],[Country Code]],Table29[],23,FALSE)</f>
        <v>267.82319378585998</v>
      </c>
      <c r="BA2301" s="235">
        <f>VLOOKUP(Table8[[#This Row],[Country Code]],Table29[],24,FALSE)</f>
        <v>43.860911308351241</v>
      </c>
      <c r="BB2301" s="320"/>
      <c r="BC2301" s="320"/>
    </row>
    <row r="2302" spans="1:55" hidden="1" x14ac:dyDescent="0.25">
      <c r="A2302" s="373">
        <v>17773</v>
      </c>
      <c r="B2302" s="233" t="str">
        <f>VLOOKUP(Table8[[#This Row],[Document ID]],Table1[],2,FALSE)</f>
        <v>ARE</v>
      </c>
      <c r="C2302" s="233" t="str">
        <f>VLOOKUP(Table8[[#This Row],[Document ID]],Table1[],3,FALSE)</f>
        <v>United Arab Emirates</v>
      </c>
      <c r="D2302" s="243" t="str">
        <f>VLOOKUP(Table8[[#This Row],[Document ID]],Table1[],5,FALSE)</f>
        <v>NDC</v>
      </c>
      <c r="E2302" s="233" t="str">
        <f>VLOOKUP(Table8[[#This Row],[Document ID]],Table1[],7,FALSE)</f>
        <v>Second NDC</v>
      </c>
      <c r="F2302" s="233" t="str">
        <f>VLOOKUP(Table8[[#This Row],[Document ID]],Table1[],8,FALSE)</f>
        <v>NDC 2.0</v>
      </c>
      <c r="G2302" s="233" t="str">
        <f>VLOOKUP(Table8[[#This Row],[Document ID]],Table1[],10,FALSE)</f>
        <v>Archived</v>
      </c>
      <c r="H2302" s="43" t="s">
        <v>2343</v>
      </c>
      <c r="I2302" s="43" t="s">
        <v>2429</v>
      </c>
      <c r="J2302" s="44" t="s">
        <v>2501</v>
      </c>
      <c r="K2302" s="44" t="s">
        <v>4432</v>
      </c>
      <c r="L2302" s="44" t="s">
        <v>2333</v>
      </c>
      <c r="M2302" s="43">
        <v>5</v>
      </c>
      <c r="N2302" s="113"/>
      <c r="O2302" s="113"/>
      <c r="P2302" s="113"/>
      <c r="Q2302" s="113"/>
      <c r="R2302" s="113"/>
      <c r="S2302" s="113" t="s">
        <v>1113</v>
      </c>
      <c r="T2302" s="113"/>
      <c r="U2302" s="113"/>
      <c r="V2302" s="113"/>
      <c r="W2302" s="113"/>
      <c r="X2302" s="113"/>
      <c r="Y2302" s="113"/>
      <c r="Z2302" s="113"/>
      <c r="AA2302" s="113"/>
      <c r="AB2302" s="113"/>
      <c r="AC2302" s="113"/>
      <c r="AD2302" s="113"/>
      <c r="AE2302" s="113"/>
      <c r="AF2302" s="113"/>
      <c r="AG2302" s="113"/>
      <c r="AH2302" s="113"/>
      <c r="AI2302" s="113"/>
      <c r="AJ2302" s="113"/>
      <c r="AK2302" s="319" t="s">
        <v>1113</v>
      </c>
      <c r="AL2302" s="113"/>
      <c r="AM2302" s="113"/>
      <c r="AN2302" s="113"/>
      <c r="AO2302" s="44" t="s">
        <v>2334</v>
      </c>
      <c r="AP2302" s="43"/>
      <c r="AQ2302" s="236" t="str">
        <f>VLOOKUP(Table8[[#This Row],[Instrument]],Def_Targets!$D$73:$E$159,2,FALSE)</f>
        <v>I_Autonomous</v>
      </c>
      <c r="AR2302" s="233" t="str">
        <f>VLOOKUP(Table8[[#This Row],[Country Code]],Table29[],3,FALSE)</f>
        <v>Non-Annex I</v>
      </c>
      <c r="AS2302" s="233" t="str">
        <f>VLOOKUP(Table8[[#This Row],[Country Code]],Table29[],4,FALSE)</f>
        <v>Asia</v>
      </c>
      <c r="AT2302" s="233" t="str">
        <f>VLOOKUP(Table8[[#This Row],[Country Code]],Table29[],5,FALSE)</f>
        <v>High-income</v>
      </c>
      <c r="AU2302" s="233" t="str">
        <f>VLOOKUP(Table8[[#This Row],[Country Code]],Table29[],6,FALSE)</f>
        <v>no</v>
      </c>
      <c r="AV2302" s="233" t="str">
        <f>VLOOKUP(Table8[[#This Row],[Country Code]],Table29[],7,FALSE)</f>
        <v>no</v>
      </c>
      <c r="AW2302" s="233" t="str">
        <f>VLOOKUP(Table8[[#This Row],[Country Code]],Table29[],8,FALSE)</f>
        <v>non-OECD</v>
      </c>
      <c r="AX2302" s="233" t="str">
        <f>VLOOKUP(Table8[[#This Row],[Country Code]],Table29[],9,FALSE)</f>
        <v>no</v>
      </c>
      <c r="AY2302" s="233" t="str">
        <f>VLOOKUP(Table8[[#This Row],[Country Code]],Table29[],10,FALSE)</f>
        <v>MENA</v>
      </c>
      <c r="AZ2302" s="235">
        <f>VLOOKUP(Table8[[#This Row],[Country Code]],Table29[],23,FALSE)</f>
        <v>267.82319378585998</v>
      </c>
      <c r="BA2302" s="235">
        <f>VLOOKUP(Table8[[#This Row],[Country Code]],Table29[],24,FALSE)</f>
        <v>43.860911308351241</v>
      </c>
      <c r="BB2302" s="320"/>
      <c r="BC2302" s="320"/>
    </row>
    <row r="2303" spans="1:55" ht="45" hidden="1" x14ac:dyDescent="0.25">
      <c r="A2303" s="373">
        <v>17773</v>
      </c>
      <c r="B2303" s="233" t="str">
        <f>VLOOKUP(Table8[[#This Row],[Document ID]],Table1[],2,FALSE)</f>
        <v>ARE</v>
      </c>
      <c r="C2303" s="233" t="str">
        <f>VLOOKUP(Table8[[#This Row],[Document ID]],Table1[],3,FALSE)</f>
        <v>United Arab Emirates</v>
      </c>
      <c r="D2303" s="243" t="str">
        <f>VLOOKUP(Table8[[#This Row],[Document ID]],Table1[],5,FALSE)</f>
        <v>NDC</v>
      </c>
      <c r="E2303" s="233" t="str">
        <f>VLOOKUP(Table8[[#This Row],[Document ID]],Table1[],7,FALSE)</f>
        <v>Second NDC</v>
      </c>
      <c r="F2303" s="233" t="str">
        <f>VLOOKUP(Table8[[#This Row],[Document ID]],Table1[],8,FALSE)</f>
        <v>NDC 2.0</v>
      </c>
      <c r="G2303" s="233" t="str">
        <f>VLOOKUP(Table8[[#This Row],[Document ID]],Table1[],10,FALSE)</f>
        <v>Archived</v>
      </c>
      <c r="H2303" s="44" t="s">
        <v>2329</v>
      </c>
      <c r="I2303" s="44" t="s">
        <v>2330</v>
      </c>
      <c r="J2303" s="44" t="s">
        <v>2363</v>
      </c>
      <c r="K2303" s="44" t="s">
        <v>4433</v>
      </c>
      <c r="L2303" s="44" t="s">
        <v>2333</v>
      </c>
      <c r="M2303" s="43">
        <v>6</v>
      </c>
      <c r="N2303" s="113"/>
      <c r="O2303" s="113"/>
      <c r="P2303" s="113"/>
      <c r="Q2303" s="113"/>
      <c r="R2303" s="113"/>
      <c r="S2303" s="113" t="s">
        <v>1113</v>
      </c>
      <c r="T2303" s="113"/>
      <c r="U2303" s="113"/>
      <c r="V2303" s="113"/>
      <c r="W2303" s="113"/>
      <c r="X2303" s="113"/>
      <c r="Y2303" s="113"/>
      <c r="Z2303" s="113"/>
      <c r="AA2303" s="113"/>
      <c r="AB2303" s="113"/>
      <c r="AC2303" s="113"/>
      <c r="AD2303" s="113"/>
      <c r="AE2303" s="113"/>
      <c r="AF2303" s="113"/>
      <c r="AG2303" s="113"/>
      <c r="AH2303" s="113"/>
      <c r="AI2303" s="113"/>
      <c r="AJ2303" s="113"/>
      <c r="AK2303" s="319" t="s">
        <v>1113</v>
      </c>
      <c r="AL2303" s="113"/>
      <c r="AM2303" s="113"/>
      <c r="AN2303" s="113"/>
      <c r="AO2303" s="43" t="s">
        <v>2477</v>
      </c>
      <c r="AP2303" s="43"/>
      <c r="AQ2303" s="236" t="str">
        <f>VLOOKUP(Table8[[#This Row],[Instrument]],Def_Targets!$D$73:$E$159,2,FALSE)</f>
        <v>I_LPGCNGLNG</v>
      </c>
      <c r="AR2303" s="233" t="str">
        <f>VLOOKUP(Table8[[#This Row],[Country Code]],Table29[],3,FALSE)</f>
        <v>Non-Annex I</v>
      </c>
      <c r="AS2303" s="233" t="str">
        <f>VLOOKUP(Table8[[#This Row],[Country Code]],Table29[],4,FALSE)</f>
        <v>Asia</v>
      </c>
      <c r="AT2303" s="233" t="str">
        <f>VLOOKUP(Table8[[#This Row],[Country Code]],Table29[],5,FALSE)</f>
        <v>High-income</v>
      </c>
      <c r="AU2303" s="233" t="str">
        <f>VLOOKUP(Table8[[#This Row],[Country Code]],Table29[],6,FALSE)</f>
        <v>no</v>
      </c>
      <c r="AV2303" s="233" t="str">
        <f>VLOOKUP(Table8[[#This Row],[Country Code]],Table29[],7,FALSE)</f>
        <v>no</v>
      </c>
      <c r="AW2303" s="233" t="str">
        <f>VLOOKUP(Table8[[#This Row],[Country Code]],Table29[],8,FALSE)</f>
        <v>non-OECD</v>
      </c>
      <c r="AX2303" s="233" t="str">
        <f>VLOOKUP(Table8[[#This Row],[Country Code]],Table29[],9,FALSE)</f>
        <v>no</v>
      </c>
      <c r="AY2303" s="233" t="str">
        <f>VLOOKUP(Table8[[#This Row],[Country Code]],Table29[],10,FALSE)</f>
        <v>MENA</v>
      </c>
      <c r="AZ2303" s="235">
        <f>VLOOKUP(Table8[[#This Row],[Country Code]],Table29[],23,FALSE)</f>
        <v>267.82319378585998</v>
      </c>
      <c r="BA2303" s="235">
        <f>VLOOKUP(Table8[[#This Row],[Country Code]],Table29[],24,FALSE)</f>
        <v>43.860911308351241</v>
      </c>
      <c r="BB2303" s="320"/>
      <c r="BC2303" s="320"/>
    </row>
    <row r="2304" spans="1:55" ht="30" hidden="1" x14ac:dyDescent="0.25">
      <c r="A2304" s="373">
        <v>17773</v>
      </c>
      <c r="B2304" s="233" t="str">
        <f>VLOOKUP(Table8[[#This Row],[Document ID]],Table1[],2,FALSE)</f>
        <v>ARE</v>
      </c>
      <c r="C2304" s="233" t="str">
        <f>VLOOKUP(Table8[[#This Row],[Document ID]],Table1[],3,FALSE)</f>
        <v>United Arab Emirates</v>
      </c>
      <c r="D2304" s="243" t="str">
        <f>VLOOKUP(Table8[[#This Row],[Document ID]],Table1[],5,FALSE)</f>
        <v>NDC</v>
      </c>
      <c r="E2304" s="233" t="str">
        <f>VLOOKUP(Table8[[#This Row],[Document ID]],Table1[],7,FALSE)</f>
        <v>Second NDC</v>
      </c>
      <c r="F2304" s="233" t="str">
        <f>VLOOKUP(Table8[[#This Row],[Document ID]],Table1[],8,FALSE)</f>
        <v>NDC 2.0</v>
      </c>
      <c r="G2304" s="233" t="str">
        <f>VLOOKUP(Table8[[#This Row],[Document ID]],Table1[],10,FALSE)</f>
        <v>Archived</v>
      </c>
      <c r="H2304" s="43" t="s">
        <v>2358</v>
      </c>
      <c r="I2304" s="43" t="s">
        <v>2359</v>
      </c>
      <c r="J2304" s="44" t="s">
        <v>2389</v>
      </c>
      <c r="K2304" s="44" t="s">
        <v>4434</v>
      </c>
      <c r="L2304" s="44" t="s">
        <v>2333</v>
      </c>
      <c r="M2304" s="43">
        <v>6</v>
      </c>
      <c r="N2304" s="113"/>
      <c r="O2304" s="113"/>
      <c r="P2304" s="113"/>
      <c r="Q2304" s="113"/>
      <c r="R2304" s="113"/>
      <c r="S2304" s="113" t="s">
        <v>1113</v>
      </c>
      <c r="T2304" s="113"/>
      <c r="U2304" s="113"/>
      <c r="V2304" s="113"/>
      <c r="W2304" s="113"/>
      <c r="X2304" s="113"/>
      <c r="Y2304" s="113"/>
      <c r="Z2304" s="113"/>
      <c r="AA2304" s="113"/>
      <c r="AB2304" s="113"/>
      <c r="AC2304" s="113"/>
      <c r="AD2304" s="113"/>
      <c r="AE2304" s="113"/>
      <c r="AF2304" s="113"/>
      <c r="AG2304" s="113"/>
      <c r="AH2304" s="113"/>
      <c r="AI2304" s="113"/>
      <c r="AJ2304" s="113"/>
      <c r="AK2304" s="319" t="s">
        <v>1113</v>
      </c>
      <c r="AL2304" s="113"/>
      <c r="AM2304" s="113"/>
      <c r="AN2304" s="113"/>
      <c r="AO2304" s="44" t="s">
        <v>2334</v>
      </c>
      <c r="AP2304" s="43"/>
      <c r="AQ2304" s="236" t="str">
        <f>VLOOKUP(Table8[[#This Row],[Instrument]],Def_Targets!$D$73:$E$159,2,FALSE)</f>
        <v>I_Emobilitypurchase</v>
      </c>
      <c r="AR2304" s="233" t="str">
        <f>VLOOKUP(Table8[[#This Row],[Country Code]],Table29[],3,FALSE)</f>
        <v>Non-Annex I</v>
      </c>
      <c r="AS2304" s="233" t="str">
        <f>VLOOKUP(Table8[[#This Row],[Country Code]],Table29[],4,FALSE)</f>
        <v>Asia</v>
      </c>
      <c r="AT2304" s="233" t="str">
        <f>VLOOKUP(Table8[[#This Row],[Country Code]],Table29[],5,FALSE)</f>
        <v>High-income</v>
      </c>
      <c r="AU2304" s="233" t="str">
        <f>VLOOKUP(Table8[[#This Row],[Country Code]],Table29[],6,FALSE)</f>
        <v>no</v>
      </c>
      <c r="AV2304" s="233" t="str">
        <f>VLOOKUP(Table8[[#This Row],[Country Code]],Table29[],7,FALSE)</f>
        <v>no</v>
      </c>
      <c r="AW2304" s="233" t="str">
        <f>VLOOKUP(Table8[[#This Row],[Country Code]],Table29[],8,FALSE)</f>
        <v>non-OECD</v>
      </c>
      <c r="AX2304" s="233" t="str">
        <f>VLOOKUP(Table8[[#This Row],[Country Code]],Table29[],9,FALSE)</f>
        <v>no</v>
      </c>
      <c r="AY2304" s="233" t="str">
        <f>VLOOKUP(Table8[[#This Row],[Country Code]],Table29[],10,FALSE)</f>
        <v>MENA</v>
      </c>
      <c r="AZ2304" s="235">
        <f>VLOOKUP(Table8[[#This Row],[Country Code]],Table29[],23,FALSE)</f>
        <v>267.82319378585998</v>
      </c>
      <c r="BA2304" s="235">
        <f>VLOOKUP(Table8[[#This Row],[Country Code]],Table29[],24,FALSE)</f>
        <v>43.860911308351241</v>
      </c>
      <c r="BB2304" s="320"/>
      <c r="BC2304" s="320"/>
    </row>
    <row r="2305" spans="1:55" ht="60" hidden="1" x14ac:dyDescent="0.25">
      <c r="A2305" s="373">
        <v>17773</v>
      </c>
      <c r="B2305" s="233" t="str">
        <f>VLOOKUP(Table8[[#This Row],[Document ID]],Table1[],2,FALSE)</f>
        <v>ARE</v>
      </c>
      <c r="C2305" s="233" t="str">
        <f>VLOOKUP(Table8[[#This Row],[Document ID]],Table1[],3,FALSE)</f>
        <v>United Arab Emirates</v>
      </c>
      <c r="D2305" s="243" t="str">
        <f>VLOOKUP(Table8[[#This Row],[Document ID]],Table1[],5,FALSE)</f>
        <v>NDC</v>
      </c>
      <c r="E2305" s="233" t="str">
        <f>VLOOKUP(Table8[[#This Row],[Document ID]],Table1[],7,FALSE)</f>
        <v>Second NDC</v>
      </c>
      <c r="F2305" s="233" t="str">
        <f>VLOOKUP(Table8[[#This Row],[Document ID]],Table1[],8,FALSE)</f>
        <v>NDC 2.0</v>
      </c>
      <c r="G2305" s="233" t="str">
        <f>VLOOKUP(Table8[[#This Row],[Document ID]],Table1[],10,FALSE)</f>
        <v>Archived</v>
      </c>
      <c r="H2305" s="43" t="s">
        <v>2358</v>
      </c>
      <c r="I2305" s="43" t="s">
        <v>2359</v>
      </c>
      <c r="J2305" s="44" t="s">
        <v>2360</v>
      </c>
      <c r="K2305" s="44" t="s">
        <v>4435</v>
      </c>
      <c r="L2305" s="44" t="s">
        <v>2333</v>
      </c>
      <c r="M2305" s="43">
        <v>6</v>
      </c>
      <c r="N2305" s="113"/>
      <c r="O2305" s="113"/>
      <c r="P2305" s="113"/>
      <c r="Q2305" s="113"/>
      <c r="R2305" s="113"/>
      <c r="S2305" s="113"/>
      <c r="T2305" s="113"/>
      <c r="U2305" s="113" t="s">
        <v>1113</v>
      </c>
      <c r="V2305" s="113"/>
      <c r="W2305" s="113"/>
      <c r="X2305" s="113"/>
      <c r="Y2305" s="113"/>
      <c r="Z2305" s="113"/>
      <c r="AA2305" s="113"/>
      <c r="AB2305" s="113"/>
      <c r="AC2305" s="113"/>
      <c r="AD2305" s="113"/>
      <c r="AE2305" s="113"/>
      <c r="AF2305" s="113"/>
      <c r="AG2305" s="113"/>
      <c r="AH2305" s="113"/>
      <c r="AI2305" s="113"/>
      <c r="AJ2305" s="113"/>
      <c r="AK2305" s="319" t="s">
        <v>1113</v>
      </c>
      <c r="AL2305" s="113"/>
      <c r="AM2305" s="113"/>
      <c r="AN2305" s="113"/>
      <c r="AO2305" s="44" t="s">
        <v>2334</v>
      </c>
      <c r="AP2305" s="43"/>
      <c r="AQ2305" s="236" t="str">
        <f>VLOOKUP(Table8[[#This Row],[Instrument]],Def_Targets!$D$73:$E$159,2,FALSE)</f>
        <v>I_Emobility</v>
      </c>
      <c r="AR2305" s="233" t="str">
        <f>VLOOKUP(Table8[[#This Row],[Country Code]],Table29[],3,FALSE)</f>
        <v>Non-Annex I</v>
      </c>
      <c r="AS2305" s="233" t="str">
        <f>VLOOKUP(Table8[[#This Row],[Country Code]],Table29[],4,FALSE)</f>
        <v>Asia</v>
      </c>
      <c r="AT2305" s="233" t="str">
        <f>VLOOKUP(Table8[[#This Row],[Country Code]],Table29[],5,FALSE)</f>
        <v>High-income</v>
      </c>
      <c r="AU2305" s="233" t="str">
        <f>VLOOKUP(Table8[[#This Row],[Country Code]],Table29[],6,FALSE)</f>
        <v>no</v>
      </c>
      <c r="AV2305" s="233" t="str">
        <f>VLOOKUP(Table8[[#This Row],[Country Code]],Table29[],7,FALSE)</f>
        <v>no</v>
      </c>
      <c r="AW2305" s="233" t="str">
        <f>VLOOKUP(Table8[[#This Row],[Country Code]],Table29[],8,FALSE)</f>
        <v>non-OECD</v>
      </c>
      <c r="AX2305" s="233" t="str">
        <f>VLOOKUP(Table8[[#This Row],[Country Code]],Table29[],9,FALSE)</f>
        <v>no</v>
      </c>
      <c r="AY2305" s="233" t="str">
        <f>VLOOKUP(Table8[[#This Row],[Country Code]],Table29[],10,FALSE)</f>
        <v>MENA</v>
      </c>
      <c r="AZ2305" s="235">
        <f>VLOOKUP(Table8[[#This Row],[Country Code]],Table29[],23,FALSE)</f>
        <v>267.82319378585998</v>
      </c>
      <c r="BA2305" s="235">
        <f>VLOOKUP(Table8[[#This Row],[Country Code]],Table29[],24,FALSE)</f>
        <v>43.860911308351241</v>
      </c>
      <c r="BB2305" s="320"/>
      <c r="BC2305" s="320"/>
    </row>
    <row r="2306" spans="1:55" ht="30" hidden="1" x14ac:dyDescent="0.25">
      <c r="A2306" s="373">
        <v>17773</v>
      </c>
      <c r="B2306" s="233" t="str">
        <f>VLOOKUP(Table8[[#This Row],[Document ID]],Table1[],2,FALSE)</f>
        <v>ARE</v>
      </c>
      <c r="C2306" s="233" t="str">
        <f>VLOOKUP(Table8[[#This Row],[Document ID]],Table1[],3,FALSE)</f>
        <v>United Arab Emirates</v>
      </c>
      <c r="D2306" s="243" t="str">
        <f>VLOOKUP(Table8[[#This Row],[Document ID]],Table1[],5,FALSE)</f>
        <v>NDC</v>
      </c>
      <c r="E2306" s="233" t="str">
        <f>VLOOKUP(Table8[[#This Row],[Document ID]],Table1[],7,FALSE)</f>
        <v>Second NDC</v>
      </c>
      <c r="F2306" s="233" t="str">
        <f>VLOOKUP(Table8[[#This Row],[Document ID]],Table1[],8,FALSE)</f>
        <v>NDC 2.0</v>
      </c>
      <c r="G2306" s="233" t="str">
        <f>VLOOKUP(Table8[[#This Row],[Document ID]],Table1[],10,FALSE)</f>
        <v>Archived</v>
      </c>
      <c r="H2306" s="43" t="s">
        <v>2358</v>
      </c>
      <c r="I2306" s="43" t="s">
        <v>2359</v>
      </c>
      <c r="J2306" s="44" t="s">
        <v>2383</v>
      </c>
      <c r="K2306" s="44" t="s">
        <v>4436</v>
      </c>
      <c r="L2306" s="44" t="s">
        <v>2333</v>
      </c>
      <c r="M2306" s="43">
        <v>6</v>
      </c>
      <c r="N2306" s="113"/>
      <c r="O2306" s="113"/>
      <c r="P2306" s="113"/>
      <c r="Q2306" s="113"/>
      <c r="R2306" s="113"/>
      <c r="S2306" s="113" t="s">
        <v>1113</v>
      </c>
      <c r="T2306" s="113"/>
      <c r="U2306" s="113"/>
      <c r="V2306" s="113"/>
      <c r="W2306" s="113"/>
      <c r="X2306" s="113"/>
      <c r="Y2306" s="113"/>
      <c r="Z2306" s="113"/>
      <c r="AA2306" s="113"/>
      <c r="AB2306" s="113"/>
      <c r="AC2306" s="113"/>
      <c r="AD2306" s="113"/>
      <c r="AE2306" s="113"/>
      <c r="AF2306" s="113"/>
      <c r="AG2306" s="113"/>
      <c r="AH2306" s="113"/>
      <c r="AI2306" s="113"/>
      <c r="AJ2306" s="113"/>
      <c r="AK2306" s="319" t="s">
        <v>1113</v>
      </c>
      <c r="AL2306" s="113"/>
      <c r="AM2306" s="113"/>
      <c r="AN2306" s="113"/>
      <c r="AO2306" s="44" t="s">
        <v>2334</v>
      </c>
      <c r="AP2306" s="43"/>
      <c r="AQ2306" s="236" t="str">
        <f>VLOOKUP(Table8[[#This Row],[Instrument]],Def_Targets!$D$73:$E$159,2,FALSE)</f>
        <v>I_Emobilitycharging</v>
      </c>
      <c r="AR2306" s="233" t="str">
        <f>VLOOKUP(Table8[[#This Row],[Country Code]],Table29[],3,FALSE)</f>
        <v>Non-Annex I</v>
      </c>
      <c r="AS2306" s="233" t="str">
        <f>VLOOKUP(Table8[[#This Row],[Country Code]],Table29[],4,FALSE)</f>
        <v>Asia</v>
      </c>
      <c r="AT2306" s="233" t="str">
        <f>VLOOKUP(Table8[[#This Row],[Country Code]],Table29[],5,FALSE)</f>
        <v>High-income</v>
      </c>
      <c r="AU2306" s="233" t="str">
        <f>VLOOKUP(Table8[[#This Row],[Country Code]],Table29[],6,FALSE)</f>
        <v>no</v>
      </c>
      <c r="AV2306" s="233" t="str">
        <f>VLOOKUP(Table8[[#This Row],[Country Code]],Table29[],7,FALSE)</f>
        <v>no</v>
      </c>
      <c r="AW2306" s="233" t="str">
        <f>VLOOKUP(Table8[[#This Row],[Country Code]],Table29[],8,FALSE)</f>
        <v>non-OECD</v>
      </c>
      <c r="AX2306" s="233" t="str">
        <f>VLOOKUP(Table8[[#This Row],[Country Code]],Table29[],9,FALSE)</f>
        <v>no</v>
      </c>
      <c r="AY2306" s="233" t="str">
        <f>VLOOKUP(Table8[[#This Row],[Country Code]],Table29[],10,FALSE)</f>
        <v>MENA</v>
      </c>
      <c r="AZ2306" s="235">
        <f>VLOOKUP(Table8[[#This Row],[Country Code]],Table29[],23,FALSE)</f>
        <v>267.82319378585998</v>
      </c>
      <c r="BA2306" s="235">
        <f>VLOOKUP(Table8[[#This Row],[Country Code]],Table29[],24,FALSE)</f>
        <v>43.860911308351241</v>
      </c>
      <c r="BB2306" s="320"/>
      <c r="BC2306" s="320"/>
    </row>
    <row r="2307" spans="1:55" ht="75" hidden="1" x14ac:dyDescent="0.25">
      <c r="A2307" s="373">
        <v>17773</v>
      </c>
      <c r="B2307" s="233" t="str">
        <f>VLOOKUP(Table8[[#This Row],[Document ID]],Table1[],2,FALSE)</f>
        <v>ARE</v>
      </c>
      <c r="C2307" s="233" t="str">
        <f>VLOOKUP(Table8[[#This Row],[Document ID]],Table1[],3,FALSE)</f>
        <v>United Arab Emirates</v>
      </c>
      <c r="D2307" s="243" t="str">
        <f>VLOOKUP(Table8[[#This Row],[Document ID]],Table1[],5,FALSE)</f>
        <v>NDC</v>
      </c>
      <c r="E2307" s="233" t="str">
        <f>VLOOKUP(Table8[[#This Row],[Document ID]],Table1[],7,FALSE)</f>
        <v>Second NDC</v>
      </c>
      <c r="F2307" s="233" t="str">
        <f>VLOOKUP(Table8[[#This Row],[Document ID]],Table1[],8,FALSE)</f>
        <v>NDC 2.0</v>
      </c>
      <c r="G2307" s="233" t="str">
        <f>VLOOKUP(Table8[[#This Row],[Document ID]],Table1[],10,FALSE)</f>
        <v>Archived</v>
      </c>
      <c r="H2307" s="43" t="s">
        <v>2350</v>
      </c>
      <c r="I2307" s="43" t="s">
        <v>2351</v>
      </c>
      <c r="J2307" s="44" t="s">
        <v>2352</v>
      </c>
      <c r="K2307" s="44" t="s">
        <v>4437</v>
      </c>
      <c r="L2307" s="44" t="s">
        <v>2347</v>
      </c>
      <c r="M2307" s="43">
        <v>6</v>
      </c>
      <c r="N2307" s="113"/>
      <c r="O2307" s="113"/>
      <c r="P2307" s="113"/>
      <c r="Q2307" s="113"/>
      <c r="R2307" s="113"/>
      <c r="S2307" s="113"/>
      <c r="T2307" s="113"/>
      <c r="U2307" s="113"/>
      <c r="V2307" s="113"/>
      <c r="W2307" s="113"/>
      <c r="X2307" s="113"/>
      <c r="Y2307" s="113"/>
      <c r="Z2307" s="113" t="s">
        <v>1113</v>
      </c>
      <c r="AA2307" s="113"/>
      <c r="AB2307" s="113"/>
      <c r="AC2307" s="113"/>
      <c r="AD2307" s="113"/>
      <c r="AE2307" s="113"/>
      <c r="AF2307" s="113"/>
      <c r="AG2307" s="113"/>
      <c r="AH2307" s="113"/>
      <c r="AI2307" s="113"/>
      <c r="AJ2307" s="113"/>
      <c r="AK2307" s="319" t="s">
        <v>1113</v>
      </c>
      <c r="AL2307" s="113"/>
      <c r="AM2307" s="113"/>
      <c r="AN2307" s="113"/>
      <c r="AO2307" s="43" t="s">
        <v>2477</v>
      </c>
      <c r="AP2307" s="43"/>
      <c r="AQ2307" s="236" t="str">
        <f>VLOOKUP(Table8[[#This Row],[Instrument]],Def_Targets!$D$73:$E$159,2,FALSE)</f>
        <v>S_Railfreight</v>
      </c>
      <c r="AR2307" s="233" t="str">
        <f>VLOOKUP(Table8[[#This Row],[Country Code]],Table29[],3,FALSE)</f>
        <v>Non-Annex I</v>
      </c>
      <c r="AS2307" s="233" t="str">
        <f>VLOOKUP(Table8[[#This Row],[Country Code]],Table29[],4,FALSE)</f>
        <v>Asia</v>
      </c>
      <c r="AT2307" s="233" t="str">
        <f>VLOOKUP(Table8[[#This Row],[Country Code]],Table29[],5,FALSE)</f>
        <v>High-income</v>
      </c>
      <c r="AU2307" s="233" t="str">
        <f>VLOOKUP(Table8[[#This Row],[Country Code]],Table29[],6,FALSE)</f>
        <v>no</v>
      </c>
      <c r="AV2307" s="233" t="str">
        <f>VLOOKUP(Table8[[#This Row],[Country Code]],Table29[],7,FALSE)</f>
        <v>no</v>
      </c>
      <c r="AW2307" s="233" t="str">
        <f>VLOOKUP(Table8[[#This Row],[Country Code]],Table29[],8,FALSE)</f>
        <v>non-OECD</v>
      </c>
      <c r="AX2307" s="233" t="str">
        <f>VLOOKUP(Table8[[#This Row],[Country Code]],Table29[],9,FALSE)</f>
        <v>no</v>
      </c>
      <c r="AY2307" s="233" t="str">
        <f>VLOOKUP(Table8[[#This Row],[Country Code]],Table29[],10,FALSE)</f>
        <v>MENA</v>
      </c>
      <c r="AZ2307" s="235">
        <f>VLOOKUP(Table8[[#This Row],[Country Code]],Table29[],23,FALSE)</f>
        <v>267.82319378585998</v>
      </c>
      <c r="BA2307" s="235">
        <f>VLOOKUP(Table8[[#This Row],[Country Code]],Table29[],24,FALSE)</f>
        <v>43.860911308351241</v>
      </c>
      <c r="BB2307" s="320"/>
      <c r="BC2307" s="320"/>
    </row>
    <row r="2308" spans="1:55" ht="30" hidden="1" x14ac:dyDescent="0.25">
      <c r="A2308" s="373">
        <v>17773</v>
      </c>
      <c r="B2308" s="233" t="str">
        <f>VLOOKUP(Table8[[#This Row],[Document ID]],Table1[],2,FALSE)</f>
        <v>ARE</v>
      </c>
      <c r="C2308" s="233" t="str">
        <f>VLOOKUP(Table8[[#This Row],[Document ID]],Table1[],3,FALSE)</f>
        <v>United Arab Emirates</v>
      </c>
      <c r="D2308" s="243" t="str">
        <f>VLOOKUP(Table8[[#This Row],[Document ID]],Table1[],5,FALSE)</f>
        <v>NDC</v>
      </c>
      <c r="E2308" s="233" t="str">
        <f>VLOOKUP(Table8[[#This Row],[Document ID]],Table1[],7,FALSE)</f>
        <v>Second NDC</v>
      </c>
      <c r="F2308" s="233" t="str">
        <f>VLOOKUP(Table8[[#This Row],[Document ID]],Table1[],8,FALSE)</f>
        <v>NDC 2.0</v>
      </c>
      <c r="G2308" s="233" t="str">
        <f>VLOOKUP(Table8[[#This Row],[Document ID]],Table1[],10,FALSE)</f>
        <v>Archived</v>
      </c>
      <c r="H2308" s="43" t="s">
        <v>2350</v>
      </c>
      <c r="I2308" s="43" t="s">
        <v>2456</v>
      </c>
      <c r="J2308" s="44" t="s">
        <v>2466</v>
      </c>
      <c r="K2308" s="44" t="s">
        <v>4438</v>
      </c>
      <c r="L2308" s="44" t="s">
        <v>2347</v>
      </c>
      <c r="M2308" s="43">
        <v>6</v>
      </c>
      <c r="N2308" s="113"/>
      <c r="O2308" s="113"/>
      <c r="P2308" s="113"/>
      <c r="Q2308" s="113"/>
      <c r="R2308" s="113"/>
      <c r="S2308" s="113"/>
      <c r="T2308" s="113"/>
      <c r="U2308" s="113"/>
      <c r="V2308" s="113"/>
      <c r="W2308" s="113"/>
      <c r="X2308" s="113"/>
      <c r="Y2308" s="113"/>
      <c r="Z2308" s="113" t="s">
        <v>1113</v>
      </c>
      <c r="AA2308" s="113"/>
      <c r="AB2308" s="113"/>
      <c r="AC2308" s="113"/>
      <c r="AD2308" s="113"/>
      <c r="AE2308" s="113"/>
      <c r="AF2308" s="113"/>
      <c r="AG2308" s="113"/>
      <c r="AH2308" s="113"/>
      <c r="AI2308" s="113"/>
      <c r="AJ2308" s="113"/>
      <c r="AK2308" s="113"/>
      <c r="AL2308" s="113"/>
      <c r="AM2308" s="113" t="s">
        <v>1113</v>
      </c>
      <c r="AN2308" s="113"/>
      <c r="AO2308" s="43" t="s">
        <v>2353</v>
      </c>
      <c r="AP2308" s="43"/>
      <c r="AQ2308" s="236" t="str">
        <f>VLOOKUP(Table8[[#This Row],[Instrument]],Def_Targets!$D$73:$E$159,2,FALSE)</f>
        <v>S_Infraexpansion</v>
      </c>
      <c r="AR2308" s="233" t="str">
        <f>VLOOKUP(Table8[[#This Row],[Country Code]],Table29[],3,FALSE)</f>
        <v>Non-Annex I</v>
      </c>
      <c r="AS2308" s="233" t="str">
        <f>VLOOKUP(Table8[[#This Row],[Country Code]],Table29[],4,FALSE)</f>
        <v>Asia</v>
      </c>
      <c r="AT2308" s="233" t="str">
        <f>VLOOKUP(Table8[[#This Row],[Country Code]],Table29[],5,FALSE)</f>
        <v>High-income</v>
      </c>
      <c r="AU2308" s="233" t="str">
        <f>VLOOKUP(Table8[[#This Row],[Country Code]],Table29[],6,FALSE)</f>
        <v>no</v>
      </c>
      <c r="AV2308" s="233" t="str">
        <f>VLOOKUP(Table8[[#This Row],[Country Code]],Table29[],7,FALSE)</f>
        <v>no</v>
      </c>
      <c r="AW2308" s="233" t="str">
        <f>VLOOKUP(Table8[[#This Row],[Country Code]],Table29[],8,FALSE)</f>
        <v>non-OECD</v>
      </c>
      <c r="AX2308" s="233" t="str">
        <f>VLOOKUP(Table8[[#This Row],[Country Code]],Table29[],9,FALSE)</f>
        <v>no</v>
      </c>
      <c r="AY2308" s="233" t="str">
        <f>VLOOKUP(Table8[[#This Row],[Country Code]],Table29[],10,FALSE)</f>
        <v>MENA</v>
      </c>
      <c r="AZ2308" s="235">
        <f>VLOOKUP(Table8[[#This Row],[Country Code]],Table29[],23,FALSE)</f>
        <v>267.82319378585998</v>
      </c>
      <c r="BA2308" s="235">
        <f>VLOOKUP(Table8[[#This Row],[Country Code]],Table29[],24,FALSE)</f>
        <v>43.860911308351241</v>
      </c>
      <c r="BB2308" s="320"/>
      <c r="BC2308" s="320"/>
    </row>
    <row r="2309" spans="1:55" ht="60" hidden="1" x14ac:dyDescent="0.25">
      <c r="A2309" s="373">
        <v>17773</v>
      </c>
      <c r="B2309" s="233" t="str">
        <f>VLOOKUP(Table8[[#This Row],[Document ID]],Table1[],2,FALSE)</f>
        <v>ARE</v>
      </c>
      <c r="C2309" s="233" t="str">
        <f>VLOOKUP(Table8[[#This Row],[Document ID]],Table1[],3,FALSE)</f>
        <v>United Arab Emirates</v>
      </c>
      <c r="D2309" s="243" t="str">
        <f>VLOOKUP(Table8[[#This Row],[Document ID]],Table1[],5,FALSE)</f>
        <v>NDC</v>
      </c>
      <c r="E2309" s="233" t="str">
        <f>VLOOKUP(Table8[[#This Row],[Document ID]],Table1[],7,FALSE)</f>
        <v>Second NDC</v>
      </c>
      <c r="F2309" s="233" t="str">
        <f>VLOOKUP(Table8[[#This Row],[Document ID]],Table1[],8,FALSE)</f>
        <v>NDC 2.0</v>
      </c>
      <c r="G2309" s="233" t="str">
        <f>VLOOKUP(Table8[[#This Row],[Document ID]],Table1[],10,FALSE)</f>
        <v>Archived</v>
      </c>
      <c r="H2309" s="43" t="s">
        <v>2343</v>
      </c>
      <c r="I2309" s="43" t="s">
        <v>2344</v>
      </c>
      <c r="J2309" s="44" t="s">
        <v>2405</v>
      </c>
      <c r="K2309" s="44" t="s">
        <v>4439</v>
      </c>
      <c r="L2309" s="44" t="s">
        <v>2347</v>
      </c>
      <c r="M2309" s="43">
        <v>6</v>
      </c>
      <c r="N2309" s="113"/>
      <c r="O2309" s="113"/>
      <c r="P2309" s="113"/>
      <c r="Q2309" s="113"/>
      <c r="R2309" s="113"/>
      <c r="S2309" s="113"/>
      <c r="T2309" s="113"/>
      <c r="U2309" s="113"/>
      <c r="V2309" s="113"/>
      <c r="W2309" s="113"/>
      <c r="X2309" s="113"/>
      <c r="Y2309" s="113" t="s">
        <v>1113</v>
      </c>
      <c r="Z2309" s="113"/>
      <c r="AA2309" s="113"/>
      <c r="AB2309" s="113"/>
      <c r="AC2309" s="113" t="s">
        <v>1113</v>
      </c>
      <c r="AD2309" s="113"/>
      <c r="AE2309" s="113"/>
      <c r="AF2309" s="113"/>
      <c r="AG2309" s="113"/>
      <c r="AH2309" s="113"/>
      <c r="AI2309" s="113"/>
      <c r="AJ2309" s="113"/>
      <c r="AK2309" s="113"/>
      <c r="AL2309" s="113" t="s">
        <v>1113</v>
      </c>
      <c r="AM2309" s="113"/>
      <c r="AN2309" s="113"/>
      <c r="AO2309" s="43" t="s">
        <v>2348</v>
      </c>
      <c r="AP2309" s="43"/>
      <c r="AQ2309" s="236" t="str">
        <f>VLOOKUP(Table8[[#This Row],[Instrument]],Def_Targets!$D$73:$E$159,2,FALSE)</f>
        <v>S_PTIntegration</v>
      </c>
      <c r="AR2309" s="233" t="str">
        <f>VLOOKUP(Table8[[#This Row],[Country Code]],Table29[],3,FALSE)</f>
        <v>Non-Annex I</v>
      </c>
      <c r="AS2309" s="233" t="str">
        <f>VLOOKUP(Table8[[#This Row],[Country Code]],Table29[],4,FALSE)</f>
        <v>Asia</v>
      </c>
      <c r="AT2309" s="233" t="str">
        <f>VLOOKUP(Table8[[#This Row],[Country Code]],Table29[],5,FALSE)</f>
        <v>High-income</v>
      </c>
      <c r="AU2309" s="233" t="str">
        <f>VLOOKUP(Table8[[#This Row],[Country Code]],Table29[],6,FALSE)</f>
        <v>no</v>
      </c>
      <c r="AV2309" s="233" t="str">
        <f>VLOOKUP(Table8[[#This Row],[Country Code]],Table29[],7,FALSE)</f>
        <v>no</v>
      </c>
      <c r="AW2309" s="233" t="str">
        <f>VLOOKUP(Table8[[#This Row],[Country Code]],Table29[],8,FALSE)</f>
        <v>non-OECD</v>
      </c>
      <c r="AX2309" s="233" t="str">
        <f>VLOOKUP(Table8[[#This Row],[Country Code]],Table29[],9,FALSE)</f>
        <v>no</v>
      </c>
      <c r="AY2309" s="233" t="str">
        <f>VLOOKUP(Table8[[#This Row],[Country Code]],Table29[],10,FALSE)</f>
        <v>MENA</v>
      </c>
      <c r="AZ2309" s="235">
        <f>VLOOKUP(Table8[[#This Row],[Country Code]],Table29[],23,FALSE)</f>
        <v>267.82319378585998</v>
      </c>
      <c r="BA2309" s="235">
        <f>VLOOKUP(Table8[[#This Row],[Country Code]],Table29[],24,FALSE)</f>
        <v>43.860911308351241</v>
      </c>
      <c r="BB2309" s="320"/>
      <c r="BC2309" s="320"/>
    </row>
    <row r="2310" spans="1:55" ht="60" hidden="1" x14ac:dyDescent="0.25">
      <c r="A2310" s="373">
        <v>17773</v>
      </c>
      <c r="B2310" s="233" t="str">
        <f>VLOOKUP(Table8[[#This Row],[Document ID]],Table1[],2,FALSE)</f>
        <v>ARE</v>
      </c>
      <c r="C2310" s="233" t="str">
        <f>VLOOKUP(Table8[[#This Row],[Document ID]],Table1[],3,FALSE)</f>
        <v>United Arab Emirates</v>
      </c>
      <c r="D2310" s="243" t="str">
        <f>VLOOKUP(Table8[[#This Row],[Document ID]],Table1[],5,FALSE)</f>
        <v>NDC</v>
      </c>
      <c r="E2310" s="233" t="str">
        <f>VLOOKUP(Table8[[#This Row],[Document ID]],Table1[],7,FALSE)</f>
        <v>Second NDC</v>
      </c>
      <c r="F2310" s="233" t="str">
        <f>VLOOKUP(Table8[[#This Row],[Document ID]],Table1[],8,FALSE)</f>
        <v>NDC 2.0</v>
      </c>
      <c r="G2310" s="233" t="str">
        <f>VLOOKUP(Table8[[#This Row],[Document ID]],Table1[],10,FALSE)</f>
        <v>Archived</v>
      </c>
      <c r="H2310" s="44" t="s">
        <v>2338</v>
      </c>
      <c r="I2310" s="44" t="s">
        <v>2339</v>
      </c>
      <c r="J2310" s="44" t="s">
        <v>2425</v>
      </c>
      <c r="K2310" s="44" t="s">
        <v>4440</v>
      </c>
      <c r="L2310" s="44" t="s">
        <v>2333</v>
      </c>
      <c r="M2310" s="43">
        <v>5</v>
      </c>
      <c r="N2310" s="113"/>
      <c r="O2310" s="113"/>
      <c r="P2310" s="113"/>
      <c r="Q2310" s="113"/>
      <c r="R2310" s="113"/>
      <c r="S2310" s="113" t="s">
        <v>1113</v>
      </c>
      <c r="T2310" s="113"/>
      <c r="U2310" s="113"/>
      <c r="V2310" s="113"/>
      <c r="W2310" s="113"/>
      <c r="X2310" s="113"/>
      <c r="Y2310" s="113"/>
      <c r="Z2310" s="113"/>
      <c r="AA2310" s="113"/>
      <c r="AB2310" s="113"/>
      <c r="AC2310" s="113"/>
      <c r="AD2310" s="113"/>
      <c r="AE2310" s="113"/>
      <c r="AF2310" s="113"/>
      <c r="AG2310" s="113"/>
      <c r="AH2310" s="113"/>
      <c r="AI2310" s="113"/>
      <c r="AJ2310" s="113"/>
      <c r="AK2310" s="319" t="s">
        <v>1113</v>
      </c>
      <c r="AL2310" s="113"/>
      <c r="AM2310" s="113"/>
      <c r="AN2310" s="113"/>
      <c r="AO2310" s="44" t="s">
        <v>2334</v>
      </c>
      <c r="AP2310" s="43"/>
      <c r="AQ2310" s="236" t="str">
        <f>VLOOKUP(Table8[[#This Row],[Instrument]],Def_Targets!$D$73:$E$159,2,FALSE)</f>
        <v>I_Efficiencystd</v>
      </c>
      <c r="AR2310" s="233" t="str">
        <f>VLOOKUP(Table8[[#This Row],[Country Code]],Table29[],3,FALSE)</f>
        <v>Non-Annex I</v>
      </c>
      <c r="AS2310" s="233" t="str">
        <f>VLOOKUP(Table8[[#This Row],[Country Code]],Table29[],4,FALSE)</f>
        <v>Asia</v>
      </c>
      <c r="AT2310" s="233" t="str">
        <f>VLOOKUP(Table8[[#This Row],[Country Code]],Table29[],5,FALSE)</f>
        <v>High-income</v>
      </c>
      <c r="AU2310" s="233" t="str">
        <f>VLOOKUP(Table8[[#This Row],[Country Code]],Table29[],6,FALSE)</f>
        <v>no</v>
      </c>
      <c r="AV2310" s="233" t="str">
        <f>VLOOKUP(Table8[[#This Row],[Country Code]],Table29[],7,FALSE)</f>
        <v>no</v>
      </c>
      <c r="AW2310" s="233" t="str">
        <f>VLOOKUP(Table8[[#This Row],[Country Code]],Table29[],8,FALSE)</f>
        <v>non-OECD</v>
      </c>
      <c r="AX2310" s="233" t="str">
        <f>VLOOKUP(Table8[[#This Row],[Country Code]],Table29[],9,FALSE)</f>
        <v>no</v>
      </c>
      <c r="AY2310" s="233" t="str">
        <f>VLOOKUP(Table8[[#This Row],[Country Code]],Table29[],10,FALSE)</f>
        <v>MENA</v>
      </c>
      <c r="AZ2310" s="235">
        <f>VLOOKUP(Table8[[#This Row],[Country Code]],Table29[],23,FALSE)</f>
        <v>267.82319378585998</v>
      </c>
      <c r="BA2310" s="235">
        <f>VLOOKUP(Table8[[#This Row],[Country Code]],Table29[],24,FALSE)</f>
        <v>43.860911308351241</v>
      </c>
      <c r="BB2310" s="320"/>
      <c r="BC2310" s="320"/>
    </row>
    <row r="2311" spans="1:55" hidden="1" x14ac:dyDescent="0.25">
      <c r="A2311" s="373">
        <v>17772</v>
      </c>
      <c r="B2311" s="233" t="str">
        <f>VLOOKUP(Table8[[#This Row],[Document ID]],Table1[],2,FALSE)</f>
        <v>ARE</v>
      </c>
      <c r="C2311" s="233" t="str">
        <f>VLOOKUP(Table8[[#This Row],[Document ID]],Table1[],3,FALSE)</f>
        <v>United Arab Emirates</v>
      </c>
      <c r="D2311" s="243" t="str">
        <f>VLOOKUP(Table8[[#This Row],[Document ID]],Table1[],5,FALSE)</f>
        <v>NDC</v>
      </c>
      <c r="E2311" s="233" t="str">
        <f>VLOOKUP(Table8[[#This Row],[Document ID]],Table1[],7,FALSE)</f>
        <v>First NDC</v>
      </c>
      <c r="F2311" s="236" t="str">
        <f>VLOOKUP(Table8[[#This Row],[Document ID]],Table1[],8,FALSE)</f>
        <v>NDC 1.0</v>
      </c>
      <c r="G2311" s="236" t="str">
        <f>VLOOKUP(Table8[[#This Row],[Document ID]],Table1[],10,FALSE)</f>
        <v>Archived</v>
      </c>
      <c r="H2311" s="44" t="s">
        <v>2338</v>
      </c>
      <c r="I2311" s="44" t="s">
        <v>2339</v>
      </c>
      <c r="J2311" s="44" t="s">
        <v>2425</v>
      </c>
      <c r="K2311" s="44" t="s">
        <v>4441</v>
      </c>
      <c r="L2311" s="44" t="s">
        <v>2333</v>
      </c>
      <c r="M2311" s="43"/>
      <c r="N2311" s="113"/>
      <c r="O2311" s="113"/>
      <c r="P2311" s="113"/>
      <c r="Q2311" s="319"/>
      <c r="R2311" s="319"/>
      <c r="S2311" s="113" t="s">
        <v>1113</v>
      </c>
      <c r="T2311" s="319"/>
      <c r="U2311" s="319"/>
      <c r="V2311" s="319"/>
      <c r="W2311" s="319"/>
      <c r="X2311" s="319"/>
      <c r="Y2311" s="319"/>
      <c r="Z2311" s="319"/>
      <c r="AA2311" s="319"/>
      <c r="AB2311" s="319"/>
      <c r="AC2311" s="319"/>
      <c r="AD2311" s="319"/>
      <c r="AE2311" s="319"/>
      <c r="AF2311" s="319"/>
      <c r="AG2311" s="319"/>
      <c r="AH2311" s="319"/>
      <c r="AI2311" s="319"/>
      <c r="AJ2311" s="319"/>
      <c r="AK2311" s="319" t="s">
        <v>1113</v>
      </c>
      <c r="AL2311" s="319"/>
      <c r="AM2311" s="319"/>
      <c r="AN2311" s="319"/>
      <c r="AO2311" s="44" t="s">
        <v>2334</v>
      </c>
      <c r="AP2311" s="44"/>
      <c r="AQ2311" s="236" t="str">
        <f>VLOOKUP(Table8[[#This Row],[Instrument]],Def_Targets!$D$73:$E$159,2,FALSE)</f>
        <v>I_Efficiencystd</v>
      </c>
      <c r="AR2311" s="233" t="str">
        <f>VLOOKUP(Table8[[#This Row],[Country Code]],Table29[],3,FALSE)</f>
        <v>Non-Annex I</v>
      </c>
      <c r="AS2311" s="233" t="str">
        <f>VLOOKUP(Table8[[#This Row],[Country Code]],Table29[],4,FALSE)</f>
        <v>Asia</v>
      </c>
      <c r="AT2311" s="233" t="str">
        <f>VLOOKUP(Table8[[#This Row],[Country Code]],Table29[],5,FALSE)</f>
        <v>High-income</v>
      </c>
      <c r="AU2311" s="233" t="str">
        <f>VLOOKUP(Table8[[#This Row],[Country Code]],Table29[],6,FALSE)</f>
        <v>no</v>
      </c>
      <c r="AV2311" s="233" t="str">
        <f>VLOOKUP(Table8[[#This Row],[Country Code]],Table29[],7,FALSE)</f>
        <v>no</v>
      </c>
      <c r="AW2311" s="233" t="str">
        <f>VLOOKUP(Table8[[#This Row],[Country Code]],Table29[],8,FALSE)</f>
        <v>non-OECD</v>
      </c>
      <c r="AX2311" s="233" t="str">
        <f>VLOOKUP(Table8[[#This Row],[Country Code]],Table29[],9,FALSE)</f>
        <v>no</v>
      </c>
      <c r="AY2311" s="233" t="str">
        <f>VLOOKUP(Table8[[#This Row],[Country Code]],Table29[],10,FALSE)</f>
        <v>MENA</v>
      </c>
      <c r="AZ2311" s="235">
        <f>VLOOKUP(Table8[[#This Row],[Country Code]],Table29[],23,FALSE)</f>
        <v>267.82319378585998</v>
      </c>
      <c r="BA2311" s="235">
        <f>VLOOKUP(Table8[[#This Row],[Country Code]],Table29[],24,FALSE)</f>
        <v>43.860911308351241</v>
      </c>
      <c r="BB2311" s="320"/>
      <c r="BC2311" s="320"/>
    </row>
    <row r="2312" spans="1:55" ht="30" hidden="1" x14ac:dyDescent="0.25">
      <c r="A2312" s="373">
        <v>17772</v>
      </c>
      <c r="B2312" s="233" t="str">
        <f>VLOOKUP(Table8[[#This Row],[Document ID]],Table1[],2,FALSE)</f>
        <v>ARE</v>
      </c>
      <c r="C2312" s="233" t="str">
        <f>VLOOKUP(Table8[[#This Row],[Document ID]],Table1[],3,FALSE)</f>
        <v>United Arab Emirates</v>
      </c>
      <c r="D2312" s="243" t="str">
        <f>VLOOKUP(Table8[[#This Row],[Document ID]],Table1[],5,FALSE)</f>
        <v>NDC</v>
      </c>
      <c r="E2312" s="233" t="str">
        <f>VLOOKUP(Table8[[#This Row],[Document ID]],Table1[],7,FALSE)</f>
        <v>First NDC</v>
      </c>
      <c r="F2312" s="236" t="str">
        <f>VLOOKUP(Table8[[#This Row],[Document ID]],Table1[],8,FALSE)</f>
        <v>NDC 1.0</v>
      </c>
      <c r="G2312" s="236" t="str">
        <f>VLOOKUP(Table8[[#This Row],[Document ID]],Table1[],10,FALSE)</f>
        <v>Archived</v>
      </c>
      <c r="H2312" s="44" t="s">
        <v>2329</v>
      </c>
      <c r="I2312" s="44" t="s">
        <v>2330</v>
      </c>
      <c r="J2312" s="44" t="s">
        <v>2363</v>
      </c>
      <c r="K2312" s="44" t="s">
        <v>1138</v>
      </c>
      <c r="L2312" s="44" t="s">
        <v>2333</v>
      </c>
      <c r="M2312" s="43"/>
      <c r="N2312" s="113" t="s">
        <v>1113</v>
      </c>
      <c r="O2312" s="113"/>
      <c r="P2312" s="113"/>
      <c r="Q2312" s="319"/>
      <c r="R2312" s="319"/>
      <c r="S2312" s="319"/>
      <c r="T2312" s="319"/>
      <c r="U2312" s="319"/>
      <c r="V2312" s="319"/>
      <c r="W2312" s="319"/>
      <c r="X2312" s="319"/>
      <c r="Y2312" s="319"/>
      <c r="Z2312" s="319"/>
      <c r="AA2312" s="319"/>
      <c r="AB2312" s="319"/>
      <c r="AC2312" s="319"/>
      <c r="AD2312" s="319"/>
      <c r="AE2312" s="319"/>
      <c r="AF2312" s="319"/>
      <c r="AG2312" s="319"/>
      <c r="AH2312" s="319"/>
      <c r="AI2312" s="319"/>
      <c r="AJ2312" s="319"/>
      <c r="AK2312" s="319" t="s">
        <v>1113</v>
      </c>
      <c r="AL2312" s="319"/>
      <c r="AM2312" s="319"/>
      <c r="AN2312" s="319"/>
      <c r="AO2312" s="43" t="s">
        <v>2348</v>
      </c>
      <c r="AP2312" s="44"/>
      <c r="AQ2312" s="236" t="str">
        <f>VLOOKUP(Table8[[#This Row],[Instrument]],Def_Targets!$D$73:$E$159,2,FALSE)</f>
        <v>I_LPGCNGLNG</v>
      </c>
      <c r="AR2312" s="233" t="str">
        <f>VLOOKUP(Table8[[#This Row],[Country Code]],Table29[],3,FALSE)</f>
        <v>Non-Annex I</v>
      </c>
      <c r="AS2312" s="233" t="str">
        <f>VLOOKUP(Table8[[#This Row],[Country Code]],Table29[],4,FALSE)</f>
        <v>Asia</v>
      </c>
      <c r="AT2312" s="233" t="str">
        <f>VLOOKUP(Table8[[#This Row],[Country Code]],Table29[],5,FALSE)</f>
        <v>High-income</v>
      </c>
      <c r="AU2312" s="233" t="str">
        <f>VLOOKUP(Table8[[#This Row],[Country Code]],Table29[],6,FALSE)</f>
        <v>no</v>
      </c>
      <c r="AV2312" s="233" t="str">
        <f>VLOOKUP(Table8[[#This Row],[Country Code]],Table29[],7,FALSE)</f>
        <v>no</v>
      </c>
      <c r="AW2312" s="233" t="str">
        <f>VLOOKUP(Table8[[#This Row],[Country Code]],Table29[],8,FALSE)</f>
        <v>non-OECD</v>
      </c>
      <c r="AX2312" s="233" t="str">
        <f>VLOOKUP(Table8[[#This Row],[Country Code]],Table29[],9,FALSE)</f>
        <v>no</v>
      </c>
      <c r="AY2312" s="233" t="str">
        <f>VLOOKUP(Table8[[#This Row],[Country Code]],Table29[],10,FALSE)</f>
        <v>MENA</v>
      </c>
      <c r="AZ2312" s="235">
        <f>VLOOKUP(Table8[[#This Row],[Country Code]],Table29[],23,FALSE)</f>
        <v>267.82319378585998</v>
      </c>
      <c r="BA2312" s="235">
        <f>VLOOKUP(Table8[[#This Row],[Country Code]],Table29[],24,FALSE)</f>
        <v>43.860911308351241</v>
      </c>
      <c r="BB2312" s="320"/>
      <c r="BC2312" s="320"/>
    </row>
    <row r="2313" spans="1:55" hidden="1" x14ac:dyDescent="0.25">
      <c r="A2313" s="373">
        <v>17772</v>
      </c>
      <c r="B2313" s="233" t="str">
        <f>VLOOKUP(Table8[[#This Row],[Document ID]],Table1[],2,FALSE)</f>
        <v>ARE</v>
      </c>
      <c r="C2313" s="233" t="str">
        <f>VLOOKUP(Table8[[#This Row],[Document ID]],Table1[],3,FALSE)</f>
        <v>United Arab Emirates</v>
      </c>
      <c r="D2313" s="243" t="str">
        <f>VLOOKUP(Table8[[#This Row],[Document ID]],Table1[],5,FALSE)</f>
        <v>NDC</v>
      </c>
      <c r="E2313" s="233" t="str">
        <f>VLOOKUP(Table8[[#This Row],[Document ID]],Table1[],7,FALSE)</f>
        <v>First NDC</v>
      </c>
      <c r="F2313" s="236" t="str">
        <f>VLOOKUP(Table8[[#This Row],[Document ID]],Table1[],8,FALSE)</f>
        <v>NDC 1.0</v>
      </c>
      <c r="G2313" s="236" t="str">
        <f>VLOOKUP(Table8[[#This Row],[Document ID]],Table1[],10,FALSE)</f>
        <v>Archived</v>
      </c>
      <c r="H2313" s="43" t="s">
        <v>2350</v>
      </c>
      <c r="I2313" s="43" t="s">
        <v>2456</v>
      </c>
      <c r="J2313" s="44" t="s">
        <v>2466</v>
      </c>
      <c r="K2313" s="44" t="s">
        <v>4442</v>
      </c>
      <c r="L2313" s="44" t="s">
        <v>2347</v>
      </c>
      <c r="M2313" s="43"/>
      <c r="N2313" s="113"/>
      <c r="O2313" s="113"/>
      <c r="P2313" s="113"/>
      <c r="Q2313" s="319"/>
      <c r="R2313" s="319"/>
      <c r="S2313" s="319"/>
      <c r="T2313" s="319"/>
      <c r="U2313" s="319"/>
      <c r="V2313" s="319"/>
      <c r="W2313" s="319"/>
      <c r="X2313" s="319"/>
      <c r="Y2313" s="319"/>
      <c r="Z2313" s="113" t="s">
        <v>1113</v>
      </c>
      <c r="AA2313" s="319"/>
      <c r="AB2313" s="319"/>
      <c r="AC2313" s="319"/>
      <c r="AD2313" s="319"/>
      <c r="AE2313" s="319"/>
      <c r="AF2313" s="319"/>
      <c r="AG2313" s="319"/>
      <c r="AH2313" s="319"/>
      <c r="AI2313" s="319"/>
      <c r="AJ2313" s="319"/>
      <c r="AK2313" s="319" t="s">
        <v>1113</v>
      </c>
      <c r="AL2313" s="319"/>
      <c r="AM2313" s="319"/>
      <c r="AN2313" s="319"/>
      <c r="AO2313" s="43" t="s">
        <v>2353</v>
      </c>
      <c r="AP2313" s="44"/>
      <c r="AQ2313" s="236" t="str">
        <f>VLOOKUP(Table8[[#This Row],[Instrument]],Def_Targets!$D$73:$E$159,2,FALSE)</f>
        <v>S_Infraexpansion</v>
      </c>
      <c r="AR2313" s="233" t="str">
        <f>VLOOKUP(Table8[[#This Row],[Country Code]],Table29[],3,FALSE)</f>
        <v>Non-Annex I</v>
      </c>
      <c r="AS2313" s="233" t="str">
        <f>VLOOKUP(Table8[[#This Row],[Country Code]],Table29[],4,FALSE)</f>
        <v>Asia</v>
      </c>
      <c r="AT2313" s="233" t="str">
        <f>VLOOKUP(Table8[[#This Row],[Country Code]],Table29[],5,FALSE)</f>
        <v>High-income</v>
      </c>
      <c r="AU2313" s="233" t="str">
        <f>VLOOKUP(Table8[[#This Row],[Country Code]],Table29[],6,FALSE)</f>
        <v>no</v>
      </c>
      <c r="AV2313" s="233" t="str">
        <f>VLOOKUP(Table8[[#This Row],[Country Code]],Table29[],7,FALSE)</f>
        <v>no</v>
      </c>
      <c r="AW2313" s="233" t="str">
        <f>VLOOKUP(Table8[[#This Row],[Country Code]],Table29[],8,FALSE)</f>
        <v>non-OECD</v>
      </c>
      <c r="AX2313" s="233" t="str">
        <f>VLOOKUP(Table8[[#This Row],[Country Code]],Table29[],9,FALSE)</f>
        <v>no</v>
      </c>
      <c r="AY2313" s="233" t="str">
        <f>VLOOKUP(Table8[[#This Row],[Country Code]],Table29[],10,FALSE)</f>
        <v>MENA</v>
      </c>
      <c r="AZ2313" s="235">
        <f>VLOOKUP(Table8[[#This Row],[Country Code]],Table29[],23,FALSE)</f>
        <v>267.82319378585998</v>
      </c>
      <c r="BA2313" s="235">
        <f>VLOOKUP(Table8[[#This Row],[Country Code]],Table29[],24,FALSE)</f>
        <v>43.860911308351241</v>
      </c>
      <c r="BB2313" s="320"/>
      <c r="BC2313" s="320"/>
    </row>
    <row r="2314" spans="1:55" hidden="1" x14ac:dyDescent="0.25">
      <c r="A2314" s="373">
        <v>17772</v>
      </c>
      <c r="B2314" s="233" t="str">
        <f>VLOOKUP(Table8[[#This Row],[Document ID]],Table1[],2,FALSE)</f>
        <v>ARE</v>
      </c>
      <c r="C2314" s="233" t="str">
        <f>VLOOKUP(Table8[[#This Row],[Document ID]],Table1[],3,FALSE)</f>
        <v>United Arab Emirates</v>
      </c>
      <c r="D2314" s="243" t="str">
        <f>VLOOKUP(Table8[[#This Row],[Document ID]],Table1[],5,FALSE)</f>
        <v>NDC</v>
      </c>
      <c r="E2314" s="233" t="str">
        <f>VLOOKUP(Table8[[#This Row],[Document ID]],Table1[],7,FALSE)</f>
        <v>First NDC</v>
      </c>
      <c r="F2314" s="236" t="str">
        <f>VLOOKUP(Table8[[#This Row],[Document ID]],Table1[],8,FALSE)</f>
        <v>NDC 1.0</v>
      </c>
      <c r="G2314" s="236" t="str">
        <f>VLOOKUP(Table8[[#This Row],[Document ID]],Table1[],10,FALSE)</f>
        <v>Archived</v>
      </c>
      <c r="H2314" s="43" t="s">
        <v>2358</v>
      </c>
      <c r="I2314" s="43" t="s">
        <v>2359</v>
      </c>
      <c r="J2314" s="44" t="s">
        <v>2360</v>
      </c>
      <c r="K2314" s="44" t="s">
        <v>4443</v>
      </c>
      <c r="L2314" s="44" t="s">
        <v>2333</v>
      </c>
      <c r="M2314" s="43"/>
      <c r="N2314" s="113" t="s">
        <v>1113</v>
      </c>
      <c r="O2314" s="113"/>
      <c r="P2314" s="113"/>
      <c r="Q2314" s="319"/>
      <c r="R2314" s="319"/>
      <c r="S2314" s="319"/>
      <c r="T2314" s="319"/>
      <c r="U2314" s="319"/>
      <c r="V2314" s="319"/>
      <c r="W2314" s="319"/>
      <c r="X2314" s="319"/>
      <c r="Y2314" s="319"/>
      <c r="Z2314" s="319"/>
      <c r="AA2314" s="319"/>
      <c r="AB2314" s="319"/>
      <c r="AC2314" s="319"/>
      <c r="AD2314" s="319"/>
      <c r="AE2314" s="319"/>
      <c r="AF2314" s="319"/>
      <c r="AG2314" s="319"/>
      <c r="AH2314" s="319"/>
      <c r="AI2314" s="319"/>
      <c r="AJ2314" s="319"/>
      <c r="AK2314" s="319" t="s">
        <v>1113</v>
      </c>
      <c r="AL2314" s="319"/>
      <c r="AM2314" s="319"/>
      <c r="AN2314" s="319"/>
      <c r="AO2314" s="44" t="s">
        <v>2334</v>
      </c>
      <c r="AP2314" s="44"/>
      <c r="AQ2314" s="236" t="str">
        <f>VLOOKUP(Table8[[#This Row],[Instrument]],Def_Targets!$D$73:$E$159,2,FALSE)</f>
        <v>I_Emobility</v>
      </c>
      <c r="AR2314" s="233" t="str">
        <f>VLOOKUP(Table8[[#This Row],[Country Code]],Table29[],3,FALSE)</f>
        <v>Non-Annex I</v>
      </c>
      <c r="AS2314" s="233" t="str">
        <f>VLOOKUP(Table8[[#This Row],[Country Code]],Table29[],4,FALSE)</f>
        <v>Asia</v>
      </c>
      <c r="AT2314" s="233" t="str">
        <f>VLOOKUP(Table8[[#This Row],[Country Code]],Table29[],5,FALSE)</f>
        <v>High-income</v>
      </c>
      <c r="AU2314" s="233" t="str">
        <f>VLOOKUP(Table8[[#This Row],[Country Code]],Table29[],6,FALSE)</f>
        <v>no</v>
      </c>
      <c r="AV2314" s="233" t="str">
        <f>VLOOKUP(Table8[[#This Row],[Country Code]],Table29[],7,FALSE)</f>
        <v>no</v>
      </c>
      <c r="AW2314" s="233" t="str">
        <f>VLOOKUP(Table8[[#This Row],[Country Code]],Table29[],8,FALSE)</f>
        <v>non-OECD</v>
      </c>
      <c r="AX2314" s="233" t="str">
        <f>VLOOKUP(Table8[[#This Row],[Country Code]],Table29[],9,FALSE)</f>
        <v>no</v>
      </c>
      <c r="AY2314" s="233" t="str">
        <f>VLOOKUP(Table8[[#This Row],[Country Code]],Table29[],10,FALSE)</f>
        <v>MENA</v>
      </c>
      <c r="AZ2314" s="235">
        <f>VLOOKUP(Table8[[#This Row],[Country Code]],Table29[],23,FALSE)</f>
        <v>267.82319378585998</v>
      </c>
      <c r="BA2314" s="235">
        <f>VLOOKUP(Table8[[#This Row],[Country Code]],Table29[],24,FALSE)</f>
        <v>43.860911308351241</v>
      </c>
      <c r="BB2314" s="320"/>
      <c r="BC2314" s="320"/>
    </row>
    <row r="2315" spans="1:55" ht="30" hidden="1" x14ac:dyDescent="0.25">
      <c r="A2315" s="373">
        <v>17772</v>
      </c>
      <c r="B2315" s="233" t="str">
        <f>VLOOKUP(Table8[[#This Row],[Document ID]],Table1[],2,FALSE)</f>
        <v>ARE</v>
      </c>
      <c r="C2315" s="233" t="str">
        <f>VLOOKUP(Table8[[#This Row],[Document ID]],Table1[],3,FALSE)</f>
        <v>United Arab Emirates</v>
      </c>
      <c r="D2315" s="243" t="str">
        <f>VLOOKUP(Table8[[#This Row],[Document ID]],Table1[],5,FALSE)</f>
        <v>NDC</v>
      </c>
      <c r="E2315" s="233" t="str">
        <f>VLOOKUP(Table8[[#This Row],[Document ID]],Table1[],7,FALSE)</f>
        <v>First NDC</v>
      </c>
      <c r="F2315" s="236" t="str">
        <f>VLOOKUP(Table8[[#This Row],[Document ID]],Table1[],8,FALSE)</f>
        <v>NDC 1.0</v>
      </c>
      <c r="G2315" s="236" t="str">
        <f>VLOOKUP(Table8[[#This Row],[Document ID]],Table1[],10,FALSE)</f>
        <v>Archived</v>
      </c>
      <c r="H2315" s="43" t="s">
        <v>2343</v>
      </c>
      <c r="I2315" s="43" t="s">
        <v>2344</v>
      </c>
      <c r="J2315" s="44" t="s">
        <v>2405</v>
      </c>
      <c r="K2315" s="44" t="s">
        <v>4444</v>
      </c>
      <c r="L2315" s="44" t="s">
        <v>2347</v>
      </c>
      <c r="M2315" s="43"/>
      <c r="N2315" s="113"/>
      <c r="O2315" s="113"/>
      <c r="P2315" s="113"/>
      <c r="Q2315" s="319"/>
      <c r="R2315" s="319"/>
      <c r="S2315" s="319"/>
      <c r="T2315" s="319"/>
      <c r="U2315" s="319"/>
      <c r="V2315" s="319"/>
      <c r="W2315" s="319"/>
      <c r="X2315" s="319"/>
      <c r="Y2315" s="319"/>
      <c r="Z2315" s="319"/>
      <c r="AA2315" s="319"/>
      <c r="AB2315" s="319"/>
      <c r="AC2315" s="319" t="s">
        <v>1113</v>
      </c>
      <c r="AD2315" s="319"/>
      <c r="AE2315" s="319"/>
      <c r="AF2315" s="319"/>
      <c r="AG2315" s="319"/>
      <c r="AH2315" s="319"/>
      <c r="AI2315" s="319"/>
      <c r="AJ2315" s="319"/>
      <c r="AK2315" s="319"/>
      <c r="AL2315" s="113" t="s">
        <v>1113</v>
      </c>
      <c r="AM2315" s="319"/>
      <c r="AN2315" s="319"/>
      <c r="AO2315" s="43" t="s">
        <v>2348</v>
      </c>
      <c r="AP2315" s="44"/>
      <c r="AQ2315" s="236" t="str">
        <f>VLOOKUP(Table8[[#This Row],[Instrument]],Def_Targets!$D$73:$E$159,2,FALSE)</f>
        <v>S_PTIntegration</v>
      </c>
      <c r="AR2315" s="233" t="str">
        <f>VLOOKUP(Table8[[#This Row],[Country Code]],Table29[],3,FALSE)</f>
        <v>Non-Annex I</v>
      </c>
      <c r="AS2315" s="233" t="str">
        <f>VLOOKUP(Table8[[#This Row],[Country Code]],Table29[],4,FALSE)</f>
        <v>Asia</v>
      </c>
      <c r="AT2315" s="233" t="str">
        <f>VLOOKUP(Table8[[#This Row],[Country Code]],Table29[],5,FALSE)</f>
        <v>High-income</v>
      </c>
      <c r="AU2315" s="233" t="str">
        <f>VLOOKUP(Table8[[#This Row],[Country Code]],Table29[],6,FALSE)</f>
        <v>no</v>
      </c>
      <c r="AV2315" s="233" t="str">
        <f>VLOOKUP(Table8[[#This Row],[Country Code]],Table29[],7,FALSE)</f>
        <v>no</v>
      </c>
      <c r="AW2315" s="233" t="str">
        <f>VLOOKUP(Table8[[#This Row],[Country Code]],Table29[],8,FALSE)</f>
        <v>non-OECD</v>
      </c>
      <c r="AX2315" s="233" t="str">
        <f>VLOOKUP(Table8[[#This Row],[Country Code]],Table29[],9,FALSE)</f>
        <v>no</v>
      </c>
      <c r="AY2315" s="233" t="str">
        <f>VLOOKUP(Table8[[#This Row],[Country Code]],Table29[],10,FALSE)</f>
        <v>MENA</v>
      </c>
      <c r="AZ2315" s="235">
        <f>VLOOKUP(Table8[[#This Row],[Country Code]],Table29[],23,FALSE)</f>
        <v>267.82319378585998</v>
      </c>
      <c r="BA2315" s="235">
        <f>VLOOKUP(Table8[[#This Row],[Country Code]],Table29[],24,FALSE)</f>
        <v>43.860911308351241</v>
      </c>
      <c r="BB2315" s="320"/>
      <c r="BC2315" s="320"/>
    </row>
    <row r="2316" spans="1:55" ht="30" hidden="1" x14ac:dyDescent="0.25">
      <c r="A2316" s="373">
        <v>17772</v>
      </c>
      <c r="B2316" s="233" t="str">
        <f>VLOOKUP(Table8[[#This Row],[Document ID]],Table1[],2,FALSE)</f>
        <v>ARE</v>
      </c>
      <c r="C2316" s="233" t="str">
        <f>VLOOKUP(Table8[[#This Row],[Document ID]],Table1[],3,FALSE)</f>
        <v>United Arab Emirates</v>
      </c>
      <c r="D2316" s="243" t="str">
        <f>VLOOKUP(Table8[[#This Row],[Document ID]],Table1[],5,FALSE)</f>
        <v>NDC</v>
      </c>
      <c r="E2316" s="233" t="str">
        <f>VLOOKUP(Table8[[#This Row],[Document ID]],Table1[],7,FALSE)</f>
        <v>First NDC</v>
      </c>
      <c r="F2316" s="236" t="str">
        <f>VLOOKUP(Table8[[#This Row],[Document ID]],Table1[],8,FALSE)</f>
        <v>NDC 1.0</v>
      </c>
      <c r="G2316" s="236" t="str">
        <f>VLOOKUP(Table8[[#This Row],[Document ID]],Table1[],10,FALSE)</f>
        <v>Archived</v>
      </c>
      <c r="H2316" s="43" t="s">
        <v>2343</v>
      </c>
      <c r="I2316" s="43" t="s">
        <v>2386</v>
      </c>
      <c r="J2316" s="44" t="s">
        <v>2515</v>
      </c>
      <c r="K2316" s="44" t="s">
        <v>4445</v>
      </c>
      <c r="L2316" s="44" t="s">
        <v>2373</v>
      </c>
      <c r="M2316" s="43"/>
      <c r="N2316" s="113" t="s">
        <v>1113</v>
      </c>
      <c r="O2316" s="113"/>
      <c r="P2316" s="113"/>
      <c r="Q2316" s="319"/>
      <c r="R2316" s="319"/>
      <c r="S2316" s="319"/>
      <c r="T2316" s="319"/>
      <c r="U2316" s="319"/>
      <c r="V2316" s="319"/>
      <c r="W2316" s="319"/>
      <c r="X2316" s="319"/>
      <c r="Y2316" s="319"/>
      <c r="Z2316" s="319"/>
      <c r="AA2316" s="319"/>
      <c r="AB2316" s="319"/>
      <c r="AC2316" s="319"/>
      <c r="AD2316" s="319"/>
      <c r="AE2316" s="319"/>
      <c r="AF2316" s="319"/>
      <c r="AG2316" s="319"/>
      <c r="AH2316" s="319"/>
      <c r="AI2316" s="319"/>
      <c r="AJ2316" s="319"/>
      <c r="AK2316" s="319" t="s">
        <v>1113</v>
      </c>
      <c r="AL2316" s="319"/>
      <c r="AM2316" s="319"/>
      <c r="AN2316" s="319"/>
      <c r="AO2316" s="44" t="s">
        <v>2334</v>
      </c>
      <c r="AP2316" s="43"/>
      <c r="AQ2316" s="236" t="str">
        <f>VLOOKUP(Table8[[#This Row],[Instrument]],Def_Targets!$D$73:$E$159,2,FALSE)</f>
        <v>A_Fossilfuelsubs</v>
      </c>
      <c r="AR2316" s="233" t="str">
        <f>VLOOKUP(Table8[[#This Row],[Country Code]],Table29[],3,FALSE)</f>
        <v>Non-Annex I</v>
      </c>
      <c r="AS2316" s="233" t="str">
        <f>VLOOKUP(Table8[[#This Row],[Country Code]],Table29[],4,FALSE)</f>
        <v>Asia</v>
      </c>
      <c r="AT2316" s="233" t="str">
        <f>VLOOKUP(Table8[[#This Row],[Country Code]],Table29[],5,FALSE)</f>
        <v>High-income</v>
      </c>
      <c r="AU2316" s="233" t="str">
        <f>VLOOKUP(Table8[[#This Row],[Country Code]],Table29[],6,FALSE)</f>
        <v>no</v>
      </c>
      <c r="AV2316" s="233" t="str">
        <f>VLOOKUP(Table8[[#This Row],[Country Code]],Table29[],7,FALSE)</f>
        <v>no</v>
      </c>
      <c r="AW2316" s="233" t="str">
        <f>VLOOKUP(Table8[[#This Row],[Country Code]],Table29[],8,FALSE)</f>
        <v>non-OECD</v>
      </c>
      <c r="AX2316" s="233" t="str">
        <f>VLOOKUP(Table8[[#This Row],[Country Code]],Table29[],9,FALSE)</f>
        <v>no</v>
      </c>
      <c r="AY2316" s="233" t="str">
        <f>VLOOKUP(Table8[[#This Row],[Country Code]],Table29[],10,FALSE)</f>
        <v>MENA</v>
      </c>
      <c r="AZ2316" s="235">
        <f>VLOOKUP(Table8[[#This Row],[Country Code]],Table29[],23,FALSE)</f>
        <v>267.82319378585998</v>
      </c>
      <c r="BA2316" s="235">
        <f>VLOOKUP(Table8[[#This Row],[Country Code]],Table29[],24,FALSE)</f>
        <v>43.860911308351241</v>
      </c>
      <c r="BB2316" s="320"/>
      <c r="BC2316" s="320"/>
    </row>
    <row r="2317" spans="1:55" ht="45" hidden="1" x14ac:dyDescent="0.25">
      <c r="A2317" s="373">
        <v>29234</v>
      </c>
      <c r="B2317" s="233" t="str">
        <f>VLOOKUP(Table8[[#This Row],[Document ID]],Table1[],2,FALSE)</f>
        <v>ARE</v>
      </c>
      <c r="C2317" s="233" t="str">
        <f>VLOOKUP(Table8[[#This Row],[Document ID]],Table1[],3,FALSE)</f>
        <v>United Arab Emirates</v>
      </c>
      <c r="D2317" s="243" t="str">
        <f>VLOOKUP(Table8[[#This Row],[Document ID]],Table1[],5,FALSE)</f>
        <v>NDC</v>
      </c>
      <c r="E2317" s="233" t="str">
        <f>VLOOKUP(Table8[[#This Row],[Document ID]],Table1[],7,FALSE)</f>
        <v>Second NDC updated</v>
      </c>
      <c r="F2317" s="233" t="str">
        <f>VLOOKUP(Table8[[#This Row],[Document ID]],Table1[],8,FALSE)</f>
        <v>NDC 2.1</v>
      </c>
      <c r="G2317" s="233" t="str">
        <f>VLOOKUP(Table8[[#This Row],[Document ID]],Table1[],10,FALSE)</f>
        <v>Archived</v>
      </c>
      <c r="H2317" s="43" t="s">
        <v>2343</v>
      </c>
      <c r="I2317" s="43" t="s">
        <v>2386</v>
      </c>
      <c r="J2317" s="44" t="s">
        <v>2515</v>
      </c>
      <c r="K2317" s="44" t="s">
        <v>4446</v>
      </c>
      <c r="L2317" s="44" t="s">
        <v>2373</v>
      </c>
      <c r="M2317" s="43">
        <v>21</v>
      </c>
      <c r="N2317" s="113" t="s">
        <v>1113</v>
      </c>
      <c r="O2317" s="113"/>
      <c r="P2317" s="113"/>
      <c r="Q2317" s="113"/>
      <c r="R2317" s="113"/>
      <c r="S2317" s="113"/>
      <c r="T2317" s="113"/>
      <c r="U2317" s="113"/>
      <c r="V2317" s="113"/>
      <c r="W2317" s="113"/>
      <c r="X2317" s="113"/>
      <c r="Y2317" s="113"/>
      <c r="Z2317" s="113"/>
      <c r="AA2317" s="113"/>
      <c r="AB2317" s="113"/>
      <c r="AC2317" s="113"/>
      <c r="AD2317" s="113"/>
      <c r="AE2317" s="113"/>
      <c r="AF2317" s="113"/>
      <c r="AG2317" s="113"/>
      <c r="AH2317" s="113"/>
      <c r="AI2317" s="113"/>
      <c r="AJ2317" s="113"/>
      <c r="AK2317" s="319" t="s">
        <v>1113</v>
      </c>
      <c r="AL2317" s="113"/>
      <c r="AM2317" s="113"/>
      <c r="AN2317" s="113"/>
      <c r="AO2317" s="44" t="s">
        <v>2334</v>
      </c>
      <c r="AP2317" s="43"/>
      <c r="AQ2317" s="236" t="str">
        <f>VLOOKUP(Table8[[#This Row],[Instrument]],Def_Targets!$D$73:$E$159,2,FALSE)</f>
        <v>A_Fossilfuelsubs</v>
      </c>
      <c r="AR2317" s="233" t="str">
        <f>VLOOKUP(Table8[[#This Row],[Country Code]],Table29[],3,FALSE)</f>
        <v>Non-Annex I</v>
      </c>
      <c r="AS2317" s="233" t="str">
        <f>VLOOKUP(Table8[[#This Row],[Country Code]],Table29[],4,FALSE)</f>
        <v>Asia</v>
      </c>
      <c r="AT2317" s="233" t="str">
        <f>VLOOKUP(Table8[[#This Row],[Country Code]],Table29[],5,FALSE)</f>
        <v>High-income</v>
      </c>
      <c r="AU2317" s="233" t="str">
        <f>VLOOKUP(Table8[[#This Row],[Country Code]],Table29[],6,FALSE)</f>
        <v>no</v>
      </c>
      <c r="AV2317" s="233" t="str">
        <f>VLOOKUP(Table8[[#This Row],[Country Code]],Table29[],7,FALSE)</f>
        <v>no</v>
      </c>
      <c r="AW2317" s="233" t="str">
        <f>VLOOKUP(Table8[[#This Row],[Country Code]],Table29[],8,FALSE)</f>
        <v>non-OECD</v>
      </c>
      <c r="AX2317" s="233" t="str">
        <f>VLOOKUP(Table8[[#This Row],[Country Code]],Table29[],9,FALSE)</f>
        <v>no</v>
      </c>
      <c r="AY2317" s="233" t="str">
        <f>VLOOKUP(Table8[[#This Row],[Country Code]],Table29[],10,FALSE)</f>
        <v>MENA</v>
      </c>
      <c r="AZ2317" s="235">
        <f>VLOOKUP(Table8[[#This Row],[Country Code]],Table29[],23,FALSE)</f>
        <v>267.82319378585998</v>
      </c>
      <c r="BA2317" s="235">
        <f>VLOOKUP(Table8[[#This Row],[Country Code]],Table29[],24,FALSE)</f>
        <v>43.860911308351241</v>
      </c>
      <c r="BB2317" s="320"/>
      <c r="BC2317" s="320"/>
    </row>
    <row r="2318" spans="1:55" hidden="1" x14ac:dyDescent="0.25">
      <c r="A2318" s="373">
        <v>29234</v>
      </c>
      <c r="B2318" s="233" t="str">
        <f>VLOOKUP(Table8[[#This Row],[Document ID]],Table1[],2,FALSE)</f>
        <v>ARE</v>
      </c>
      <c r="C2318" s="233" t="str">
        <f>VLOOKUP(Table8[[#This Row],[Document ID]],Table1[],3,FALSE)</f>
        <v>United Arab Emirates</v>
      </c>
      <c r="D2318" s="243" t="str">
        <f>VLOOKUP(Table8[[#This Row],[Document ID]],Table1[],5,FALSE)</f>
        <v>NDC</v>
      </c>
      <c r="E2318" s="233" t="str">
        <f>VLOOKUP(Table8[[#This Row],[Document ID]],Table1[],7,FALSE)</f>
        <v>Second NDC updated</v>
      </c>
      <c r="F2318" s="233" t="str">
        <f>VLOOKUP(Table8[[#This Row],[Document ID]],Table1[],8,FALSE)</f>
        <v>NDC 2.1</v>
      </c>
      <c r="G2318" s="233" t="str">
        <f>VLOOKUP(Table8[[#This Row],[Document ID]],Table1[],10,FALSE)</f>
        <v>Archived</v>
      </c>
      <c r="H2318" s="43" t="s">
        <v>2358</v>
      </c>
      <c r="I2318" s="43" t="s">
        <v>2359</v>
      </c>
      <c r="J2318" s="44" t="s">
        <v>2360</v>
      </c>
      <c r="K2318" s="44" t="s">
        <v>4432</v>
      </c>
      <c r="L2318" s="44" t="s">
        <v>2333</v>
      </c>
      <c r="M2318" s="43">
        <v>22</v>
      </c>
      <c r="N2318" s="113"/>
      <c r="O2318" s="113"/>
      <c r="P2318" s="113"/>
      <c r="Q2318" s="113"/>
      <c r="R2318" s="113"/>
      <c r="S2318" s="113" t="s">
        <v>1113</v>
      </c>
      <c r="T2318" s="113"/>
      <c r="U2318" s="113"/>
      <c r="V2318" s="113"/>
      <c r="W2318" s="113"/>
      <c r="X2318" s="113"/>
      <c r="Y2318" s="113"/>
      <c r="Z2318" s="113"/>
      <c r="AA2318" s="113"/>
      <c r="AB2318" s="113"/>
      <c r="AC2318" s="113"/>
      <c r="AD2318" s="113"/>
      <c r="AE2318" s="113"/>
      <c r="AF2318" s="113"/>
      <c r="AG2318" s="113"/>
      <c r="AH2318" s="113"/>
      <c r="AI2318" s="113"/>
      <c r="AJ2318" s="113"/>
      <c r="AK2318" s="319" t="s">
        <v>1113</v>
      </c>
      <c r="AL2318" s="113"/>
      <c r="AM2318" s="113"/>
      <c r="AN2318" s="113"/>
      <c r="AO2318" s="44" t="s">
        <v>2334</v>
      </c>
      <c r="AP2318" s="43"/>
      <c r="AQ2318" s="236" t="str">
        <f>VLOOKUP(Table8[[#This Row],[Instrument]],Def_Targets!$D$73:$E$159,2,FALSE)</f>
        <v>I_Emobility</v>
      </c>
      <c r="AR2318" s="233" t="str">
        <f>VLOOKUP(Table8[[#This Row],[Country Code]],Table29[],3,FALSE)</f>
        <v>Non-Annex I</v>
      </c>
      <c r="AS2318" s="233" t="str">
        <f>VLOOKUP(Table8[[#This Row],[Country Code]],Table29[],4,FALSE)</f>
        <v>Asia</v>
      </c>
      <c r="AT2318" s="233" t="str">
        <f>VLOOKUP(Table8[[#This Row],[Country Code]],Table29[],5,FALSE)</f>
        <v>High-income</v>
      </c>
      <c r="AU2318" s="233" t="str">
        <f>VLOOKUP(Table8[[#This Row],[Country Code]],Table29[],6,FALSE)</f>
        <v>no</v>
      </c>
      <c r="AV2318" s="233" t="str">
        <f>VLOOKUP(Table8[[#This Row],[Country Code]],Table29[],7,FALSE)</f>
        <v>no</v>
      </c>
      <c r="AW2318" s="233" t="str">
        <f>VLOOKUP(Table8[[#This Row],[Country Code]],Table29[],8,FALSE)</f>
        <v>non-OECD</v>
      </c>
      <c r="AX2318" s="233" t="str">
        <f>VLOOKUP(Table8[[#This Row],[Country Code]],Table29[],9,FALSE)</f>
        <v>no</v>
      </c>
      <c r="AY2318" s="233" t="str">
        <f>VLOOKUP(Table8[[#This Row],[Country Code]],Table29[],10,FALSE)</f>
        <v>MENA</v>
      </c>
      <c r="AZ2318" s="235">
        <f>VLOOKUP(Table8[[#This Row],[Country Code]],Table29[],23,FALSE)</f>
        <v>267.82319378585998</v>
      </c>
      <c r="BA2318" s="235">
        <f>VLOOKUP(Table8[[#This Row],[Country Code]],Table29[],24,FALSE)</f>
        <v>43.860911308351241</v>
      </c>
      <c r="BB2318" s="320"/>
      <c r="BC2318" s="320"/>
    </row>
    <row r="2319" spans="1:55" hidden="1" x14ac:dyDescent="0.25">
      <c r="A2319" s="373">
        <v>29234</v>
      </c>
      <c r="B2319" s="233" t="str">
        <f>VLOOKUP(Table8[[#This Row],[Document ID]],Table1[],2,FALSE)</f>
        <v>ARE</v>
      </c>
      <c r="C2319" s="233" t="str">
        <f>VLOOKUP(Table8[[#This Row],[Document ID]],Table1[],3,FALSE)</f>
        <v>United Arab Emirates</v>
      </c>
      <c r="D2319" s="243" t="str">
        <f>VLOOKUP(Table8[[#This Row],[Document ID]],Table1[],5,FALSE)</f>
        <v>NDC</v>
      </c>
      <c r="E2319" s="233" t="str">
        <f>VLOOKUP(Table8[[#This Row],[Document ID]],Table1[],7,FALSE)</f>
        <v>Second NDC updated</v>
      </c>
      <c r="F2319" s="233" t="str">
        <f>VLOOKUP(Table8[[#This Row],[Document ID]],Table1[],8,FALSE)</f>
        <v>NDC 2.1</v>
      </c>
      <c r="G2319" s="233" t="str">
        <f>VLOOKUP(Table8[[#This Row],[Document ID]],Table1[],10,FALSE)</f>
        <v>Archived</v>
      </c>
      <c r="H2319" s="44" t="s">
        <v>2329</v>
      </c>
      <c r="I2319" s="44" t="s">
        <v>2330</v>
      </c>
      <c r="J2319" s="44" t="s">
        <v>2391</v>
      </c>
      <c r="K2319" s="44" t="s">
        <v>4432</v>
      </c>
      <c r="L2319" s="44" t="s">
        <v>2333</v>
      </c>
      <c r="M2319" s="43">
        <v>22</v>
      </c>
      <c r="N2319" s="113"/>
      <c r="O2319" s="113"/>
      <c r="P2319" s="113"/>
      <c r="Q2319" s="113"/>
      <c r="R2319" s="113"/>
      <c r="S2319" s="113" t="s">
        <v>1113</v>
      </c>
      <c r="T2319" s="113"/>
      <c r="U2319" s="113"/>
      <c r="V2319" s="113"/>
      <c r="W2319" s="113"/>
      <c r="X2319" s="113"/>
      <c r="Y2319" s="113"/>
      <c r="Z2319" s="113"/>
      <c r="AA2319" s="113"/>
      <c r="AB2319" s="113"/>
      <c r="AC2319" s="113"/>
      <c r="AD2319" s="113"/>
      <c r="AE2319" s="113"/>
      <c r="AF2319" s="113"/>
      <c r="AG2319" s="113"/>
      <c r="AH2319" s="113"/>
      <c r="AI2319" s="113"/>
      <c r="AJ2319" s="113"/>
      <c r="AK2319" s="319" t="s">
        <v>1113</v>
      </c>
      <c r="AL2319" s="113"/>
      <c r="AM2319" s="113"/>
      <c r="AN2319" s="113"/>
      <c r="AO2319" s="44" t="s">
        <v>2334</v>
      </c>
      <c r="AP2319" s="43"/>
      <c r="AQ2319" s="236" t="str">
        <f>VLOOKUP(Table8[[#This Row],[Instrument]],Def_Targets!$D$73:$E$159,2,FALSE)</f>
        <v>I_Hydrogen</v>
      </c>
      <c r="AR2319" s="233" t="str">
        <f>VLOOKUP(Table8[[#This Row],[Country Code]],Table29[],3,FALSE)</f>
        <v>Non-Annex I</v>
      </c>
      <c r="AS2319" s="233" t="str">
        <f>VLOOKUP(Table8[[#This Row],[Country Code]],Table29[],4,FALSE)</f>
        <v>Asia</v>
      </c>
      <c r="AT2319" s="233" t="str">
        <f>VLOOKUP(Table8[[#This Row],[Country Code]],Table29[],5,FALSE)</f>
        <v>High-income</v>
      </c>
      <c r="AU2319" s="233" t="str">
        <f>VLOOKUP(Table8[[#This Row],[Country Code]],Table29[],6,FALSE)</f>
        <v>no</v>
      </c>
      <c r="AV2319" s="233" t="str">
        <f>VLOOKUP(Table8[[#This Row],[Country Code]],Table29[],7,FALSE)</f>
        <v>no</v>
      </c>
      <c r="AW2319" s="233" t="str">
        <f>VLOOKUP(Table8[[#This Row],[Country Code]],Table29[],8,FALSE)</f>
        <v>non-OECD</v>
      </c>
      <c r="AX2319" s="233" t="str">
        <f>VLOOKUP(Table8[[#This Row],[Country Code]],Table29[],9,FALSE)</f>
        <v>no</v>
      </c>
      <c r="AY2319" s="233" t="str">
        <f>VLOOKUP(Table8[[#This Row],[Country Code]],Table29[],10,FALSE)</f>
        <v>MENA</v>
      </c>
      <c r="AZ2319" s="235">
        <f>VLOOKUP(Table8[[#This Row],[Country Code]],Table29[],23,FALSE)</f>
        <v>267.82319378585998</v>
      </c>
      <c r="BA2319" s="235">
        <f>VLOOKUP(Table8[[#This Row],[Country Code]],Table29[],24,FALSE)</f>
        <v>43.860911308351241</v>
      </c>
      <c r="BB2319" s="320"/>
      <c r="BC2319" s="320"/>
    </row>
    <row r="2320" spans="1:55" hidden="1" x14ac:dyDescent="0.25">
      <c r="A2320" s="373">
        <v>29234</v>
      </c>
      <c r="B2320" s="233" t="str">
        <f>VLOOKUP(Table8[[#This Row],[Document ID]],Table1[],2,FALSE)</f>
        <v>ARE</v>
      </c>
      <c r="C2320" s="233" t="str">
        <f>VLOOKUP(Table8[[#This Row],[Document ID]],Table1[],3,FALSE)</f>
        <v>United Arab Emirates</v>
      </c>
      <c r="D2320" s="243" t="str">
        <f>VLOOKUP(Table8[[#This Row],[Document ID]],Table1[],5,FALSE)</f>
        <v>NDC</v>
      </c>
      <c r="E2320" s="233" t="str">
        <f>VLOOKUP(Table8[[#This Row],[Document ID]],Table1[],7,FALSE)</f>
        <v>Second NDC updated</v>
      </c>
      <c r="F2320" s="233" t="str">
        <f>VLOOKUP(Table8[[#This Row],[Document ID]],Table1[],8,FALSE)</f>
        <v>NDC 2.1</v>
      </c>
      <c r="G2320" s="233" t="str">
        <f>VLOOKUP(Table8[[#This Row],[Document ID]],Table1[],10,FALSE)</f>
        <v>Archived</v>
      </c>
      <c r="H2320" s="43" t="s">
        <v>2343</v>
      </c>
      <c r="I2320" s="43" t="s">
        <v>2429</v>
      </c>
      <c r="J2320" s="44" t="s">
        <v>2501</v>
      </c>
      <c r="K2320" s="44" t="s">
        <v>4432</v>
      </c>
      <c r="L2320" s="44" t="s">
        <v>2333</v>
      </c>
      <c r="M2320" s="43">
        <v>22</v>
      </c>
      <c r="N2320" s="113"/>
      <c r="O2320" s="113"/>
      <c r="P2320" s="113"/>
      <c r="Q2320" s="113"/>
      <c r="R2320" s="113"/>
      <c r="S2320" s="113" t="s">
        <v>1113</v>
      </c>
      <c r="T2320" s="113"/>
      <c r="U2320" s="113"/>
      <c r="V2320" s="113"/>
      <c r="W2320" s="113"/>
      <c r="X2320" s="113"/>
      <c r="Y2320" s="113"/>
      <c r="Z2320" s="113"/>
      <c r="AA2320" s="113"/>
      <c r="AB2320" s="113"/>
      <c r="AC2320" s="113"/>
      <c r="AD2320" s="113"/>
      <c r="AE2320" s="113"/>
      <c r="AF2320" s="113"/>
      <c r="AG2320" s="113"/>
      <c r="AH2320" s="113"/>
      <c r="AI2320" s="113"/>
      <c r="AJ2320" s="113"/>
      <c r="AK2320" s="319" t="s">
        <v>1113</v>
      </c>
      <c r="AL2320" s="113"/>
      <c r="AM2320" s="113"/>
      <c r="AN2320" s="113"/>
      <c r="AO2320" s="44" t="s">
        <v>2334</v>
      </c>
      <c r="AP2320" s="43"/>
      <c r="AQ2320" s="236" t="str">
        <f>VLOOKUP(Table8[[#This Row],[Instrument]],Def_Targets!$D$73:$E$159,2,FALSE)</f>
        <v>I_Autonomous</v>
      </c>
      <c r="AR2320" s="233" t="str">
        <f>VLOOKUP(Table8[[#This Row],[Country Code]],Table29[],3,FALSE)</f>
        <v>Non-Annex I</v>
      </c>
      <c r="AS2320" s="233" t="str">
        <f>VLOOKUP(Table8[[#This Row],[Country Code]],Table29[],4,FALSE)</f>
        <v>Asia</v>
      </c>
      <c r="AT2320" s="233" t="str">
        <f>VLOOKUP(Table8[[#This Row],[Country Code]],Table29[],5,FALSE)</f>
        <v>High-income</v>
      </c>
      <c r="AU2320" s="233" t="str">
        <f>VLOOKUP(Table8[[#This Row],[Country Code]],Table29[],6,FALSE)</f>
        <v>no</v>
      </c>
      <c r="AV2320" s="233" t="str">
        <f>VLOOKUP(Table8[[#This Row],[Country Code]],Table29[],7,FALSE)</f>
        <v>no</v>
      </c>
      <c r="AW2320" s="233" t="str">
        <f>VLOOKUP(Table8[[#This Row],[Country Code]],Table29[],8,FALSE)</f>
        <v>non-OECD</v>
      </c>
      <c r="AX2320" s="233" t="str">
        <f>VLOOKUP(Table8[[#This Row],[Country Code]],Table29[],9,FALSE)</f>
        <v>no</v>
      </c>
      <c r="AY2320" s="233" t="str">
        <f>VLOOKUP(Table8[[#This Row],[Country Code]],Table29[],10,FALSE)</f>
        <v>MENA</v>
      </c>
      <c r="AZ2320" s="235">
        <f>VLOOKUP(Table8[[#This Row],[Country Code]],Table29[],23,FALSE)</f>
        <v>267.82319378585998</v>
      </c>
      <c r="BA2320" s="235">
        <f>VLOOKUP(Table8[[#This Row],[Country Code]],Table29[],24,FALSE)</f>
        <v>43.860911308351241</v>
      </c>
      <c r="BB2320" s="320"/>
      <c r="BC2320" s="320"/>
    </row>
    <row r="2321" spans="1:55" ht="45" hidden="1" x14ac:dyDescent="0.25">
      <c r="A2321" s="373">
        <v>29234</v>
      </c>
      <c r="B2321" s="233" t="str">
        <f>VLOOKUP(Table8[[#This Row],[Document ID]],Table1[],2,FALSE)</f>
        <v>ARE</v>
      </c>
      <c r="C2321" s="233" t="str">
        <f>VLOOKUP(Table8[[#This Row],[Document ID]],Table1[],3,FALSE)</f>
        <v>United Arab Emirates</v>
      </c>
      <c r="D2321" s="243" t="str">
        <f>VLOOKUP(Table8[[#This Row],[Document ID]],Table1[],5,FALSE)</f>
        <v>NDC</v>
      </c>
      <c r="E2321" s="233" t="str">
        <f>VLOOKUP(Table8[[#This Row],[Document ID]],Table1[],7,FALSE)</f>
        <v>Second NDC updated</v>
      </c>
      <c r="F2321" s="233" t="str">
        <f>VLOOKUP(Table8[[#This Row],[Document ID]],Table1[],8,FALSE)</f>
        <v>NDC 2.1</v>
      </c>
      <c r="G2321" s="233" t="str">
        <f>VLOOKUP(Table8[[#This Row],[Document ID]],Table1[],10,FALSE)</f>
        <v>Archived</v>
      </c>
      <c r="H2321" s="44" t="s">
        <v>2329</v>
      </c>
      <c r="I2321" s="44" t="s">
        <v>2330</v>
      </c>
      <c r="J2321" s="44" t="s">
        <v>2363</v>
      </c>
      <c r="K2321" s="44" t="s">
        <v>4433</v>
      </c>
      <c r="L2321" s="44" t="s">
        <v>2333</v>
      </c>
      <c r="M2321" s="43">
        <v>22</v>
      </c>
      <c r="N2321" s="113"/>
      <c r="O2321" s="113"/>
      <c r="P2321" s="113"/>
      <c r="Q2321" s="113"/>
      <c r="R2321" s="113"/>
      <c r="S2321" s="113" t="s">
        <v>1113</v>
      </c>
      <c r="T2321" s="113"/>
      <c r="U2321" s="113"/>
      <c r="V2321" s="113"/>
      <c r="W2321" s="113"/>
      <c r="X2321" s="113"/>
      <c r="Y2321" s="113"/>
      <c r="Z2321" s="113"/>
      <c r="AA2321" s="113"/>
      <c r="AB2321" s="113"/>
      <c r="AC2321" s="113"/>
      <c r="AD2321" s="113"/>
      <c r="AE2321" s="113"/>
      <c r="AF2321" s="113"/>
      <c r="AG2321" s="113"/>
      <c r="AH2321" s="113"/>
      <c r="AI2321" s="113"/>
      <c r="AJ2321" s="113"/>
      <c r="AK2321" s="319" t="s">
        <v>1113</v>
      </c>
      <c r="AL2321" s="113"/>
      <c r="AM2321" s="113"/>
      <c r="AN2321" s="113"/>
      <c r="AO2321" s="43" t="s">
        <v>2477</v>
      </c>
      <c r="AP2321" s="43"/>
      <c r="AQ2321" s="236" t="str">
        <f>VLOOKUP(Table8[[#This Row],[Instrument]],Def_Targets!$D$73:$E$159,2,FALSE)</f>
        <v>I_LPGCNGLNG</v>
      </c>
      <c r="AR2321" s="233" t="str">
        <f>VLOOKUP(Table8[[#This Row],[Country Code]],Table29[],3,FALSE)</f>
        <v>Non-Annex I</v>
      </c>
      <c r="AS2321" s="233" t="str">
        <f>VLOOKUP(Table8[[#This Row],[Country Code]],Table29[],4,FALSE)</f>
        <v>Asia</v>
      </c>
      <c r="AT2321" s="233" t="str">
        <f>VLOOKUP(Table8[[#This Row],[Country Code]],Table29[],5,FALSE)</f>
        <v>High-income</v>
      </c>
      <c r="AU2321" s="233" t="str">
        <f>VLOOKUP(Table8[[#This Row],[Country Code]],Table29[],6,FALSE)</f>
        <v>no</v>
      </c>
      <c r="AV2321" s="233" t="str">
        <f>VLOOKUP(Table8[[#This Row],[Country Code]],Table29[],7,FALSE)</f>
        <v>no</v>
      </c>
      <c r="AW2321" s="233" t="str">
        <f>VLOOKUP(Table8[[#This Row],[Country Code]],Table29[],8,FALSE)</f>
        <v>non-OECD</v>
      </c>
      <c r="AX2321" s="233" t="str">
        <f>VLOOKUP(Table8[[#This Row],[Country Code]],Table29[],9,FALSE)</f>
        <v>no</v>
      </c>
      <c r="AY2321" s="233" t="str">
        <f>VLOOKUP(Table8[[#This Row],[Country Code]],Table29[],10,FALSE)</f>
        <v>MENA</v>
      </c>
      <c r="AZ2321" s="235">
        <f>VLOOKUP(Table8[[#This Row],[Country Code]],Table29[],23,FALSE)</f>
        <v>267.82319378585998</v>
      </c>
      <c r="BA2321" s="235">
        <f>VLOOKUP(Table8[[#This Row],[Country Code]],Table29[],24,FALSE)</f>
        <v>43.860911308351241</v>
      </c>
      <c r="BB2321" s="320"/>
      <c r="BC2321" s="320"/>
    </row>
    <row r="2322" spans="1:55" ht="30" hidden="1" x14ac:dyDescent="0.25">
      <c r="A2322" s="373">
        <v>29234</v>
      </c>
      <c r="B2322" s="233" t="str">
        <f>VLOOKUP(Table8[[#This Row],[Document ID]],Table1[],2,FALSE)</f>
        <v>ARE</v>
      </c>
      <c r="C2322" s="233" t="str">
        <f>VLOOKUP(Table8[[#This Row],[Document ID]],Table1[],3,FALSE)</f>
        <v>United Arab Emirates</v>
      </c>
      <c r="D2322" s="243" t="str">
        <f>VLOOKUP(Table8[[#This Row],[Document ID]],Table1[],5,FALSE)</f>
        <v>NDC</v>
      </c>
      <c r="E2322" s="233" t="str">
        <f>VLOOKUP(Table8[[#This Row],[Document ID]],Table1[],7,FALSE)</f>
        <v>Second NDC updated</v>
      </c>
      <c r="F2322" s="233" t="str">
        <f>VLOOKUP(Table8[[#This Row],[Document ID]],Table1[],8,FALSE)</f>
        <v>NDC 2.1</v>
      </c>
      <c r="G2322" s="233" t="str">
        <f>VLOOKUP(Table8[[#This Row],[Document ID]],Table1[],10,FALSE)</f>
        <v>Archived</v>
      </c>
      <c r="H2322" s="43" t="s">
        <v>2358</v>
      </c>
      <c r="I2322" s="43" t="s">
        <v>2359</v>
      </c>
      <c r="J2322" s="44" t="s">
        <v>2389</v>
      </c>
      <c r="K2322" s="44" t="s">
        <v>4434</v>
      </c>
      <c r="L2322" s="44" t="s">
        <v>2333</v>
      </c>
      <c r="M2322" s="43">
        <v>22</v>
      </c>
      <c r="N2322" s="113"/>
      <c r="O2322" s="113"/>
      <c r="P2322" s="113"/>
      <c r="Q2322" s="113"/>
      <c r="R2322" s="113"/>
      <c r="S2322" s="113" t="s">
        <v>1113</v>
      </c>
      <c r="T2322" s="113"/>
      <c r="U2322" s="113"/>
      <c r="V2322" s="113"/>
      <c r="W2322" s="113"/>
      <c r="X2322" s="113"/>
      <c r="Y2322" s="113"/>
      <c r="Z2322" s="113"/>
      <c r="AA2322" s="113"/>
      <c r="AB2322" s="113"/>
      <c r="AC2322" s="113"/>
      <c r="AD2322" s="113"/>
      <c r="AE2322" s="113"/>
      <c r="AF2322" s="113"/>
      <c r="AG2322" s="113"/>
      <c r="AH2322" s="113"/>
      <c r="AI2322" s="113"/>
      <c r="AJ2322" s="113"/>
      <c r="AK2322" s="319" t="s">
        <v>1113</v>
      </c>
      <c r="AL2322" s="113"/>
      <c r="AM2322" s="113"/>
      <c r="AN2322" s="113"/>
      <c r="AO2322" s="44" t="s">
        <v>2334</v>
      </c>
      <c r="AP2322" s="43"/>
      <c r="AQ2322" s="236" t="str">
        <f>VLOOKUP(Table8[[#This Row],[Instrument]],Def_Targets!$D$73:$E$159,2,FALSE)</f>
        <v>I_Emobilitypurchase</v>
      </c>
      <c r="AR2322" s="233" t="str">
        <f>VLOOKUP(Table8[[#This Row],[Country Code]],Table29[],3,FALSE)</f>
        <v>Non-Annex I</v>
      </c>
      <c r="AS2322" s="233" t="str">
        <f>VLOOKUP(Table8[[#This Row],[Country Code]],Table29[],4,FALSE)</f>
        <v>Asia</v>
      </c>
      <c r="AT2322" s="233" t="str">
        <f>VLOOKUP(Table8[[#This Row],[Country Code]],Table29[],5,FALSE)</f>
        <v>High-income</v>
      </c>
      <c r="AU2322" s="233" t="str">
        <f>VLOOKUP(Table8[[#This Row],[Country Code]],Table29[],6,FALSE)</f>
        <v>no</v>
      </c>
      <c r="AV2322" s="233" t="str">
        <f>VLOOKUP(Table8[[#This Row],[Country Code]],Table29[],7,FALSE)</f>
        <v>no</v>
      </c>
      <c r="AW2322" s="233" t="str">
        <f>VLOOKUP(Table8[[#This Row],[Country Code]],Table29[],8,FALSE)</f>
        <v>non-OECD</v>
      </c>
      <c r="AX2322" s="233" t="str">
        <f>VLOOKUP(Table8[[#This Row],[Country Code]],Table29[],9,FALSE)</f>
        <v>no</v>
      </c>
      <c r="AY2322" s="233" t="str">
        <f>VLOOKUP(Table8[[#This Row],[Country Code]],Table29[],10,FALSE)</f>
        <v>MENA</v>
      </c>
      <c r="AZ2322" s="235">
        <f>VLOOKUP(Table8[[#This Row],[Country Code]],Table29[],23,FALSE)</f>
        <v>267.82319378585998</v>
      </c>
      <c r="BA2322" s="235">
        <f>VLOOKUP(Table8[[#This Row],[Country Code]],Table29[],24,FALSE)</f>
        <v>43.860911308351241</v>
      </c>
      <c r="BB2322" s="320"/>
      <c r="BC2322" s="320"/>
    </row>
    <row r="2323" spans="1:55" ht="60" hidden="1" x14ac:dyDescent="0.25">
      <c r="A2323" s="373">
        <v>29234</v>
      </c>
      <c r="B2323" s="233" t="str">
        <f>VLOOKUP(Table8[[#This Row],[Document ID]],Table1[],2,FALSE)</f>
        <v>ARE</v>
      </c>
      <c r="C2323" s="233" t="str">
        <f>VLOOKUP(Table8[[#This Row],[Document ID]],Table1[],3,FALSE)</f>
        <v>United Arab Emirates</v>
      </c>
      <c r="D2323" s="243" t="str">
        <f>VLOOKUP(Table8[[#This Row],[Document ID]],Table1[],5,FALSE)</f>
        <v>NDC</v>
      </c>
      <c r="E2323" s="233" t="str">
        <f>VLOOKUP(Table8[[#This Row],[Document ID]],Table1[],7,FALSE)</f>
        <v>Second NDC updated</v>
      </c>
      <c r="F2323" s="233" t="str">
        <f>VLOOKUP(Table8[[#This Row],[Document ID]],Table1[],8,FALSE)</f>
        <v>NDC 2.1</v>
      </c>
      <c r="G2323" s="233" t="str">
        <f>VLOOKUP(Table8[[#This Row],[Document ID]],Table1[],10,FALSE)</f>
        <v>Archived</v>
      </c>
      <c r="H2323" s="43" t="s">
        <v>2358</v>
      </c>
      <c r="I2323" s="43" t="s">
        <v>2359</v>
      </c>
      <c r="J2323" s="44" t="s">
        <v>2360</v>
      </c>
      <c r="K2323" s="44" t="s">
        <v>4435</v>
      </c>
      <c r="L2323" s="44" t="s">
        <v>2333</v>
      </c>
      <c r="M2323" s="43">
        <v>22</v>
      </c>
      <c r="N2323" s="113"/>
      <c r="O2323" s="113"/>
      <c r="P2323" s="113"/>
      <c r="Q2323" s="113"/>
      <c r="R2323" s="113"/>
      <c r="S2323" s="113"/>
      <c r="T2323" s="113"/>
      <c r="U2323" s="113" t="s">
        <v>1113</v>
      </c>
      <c r="V2323" s="113"/>
      <c r="W2323" s="113"/>
      <c r="X2323" s="113"/>
      <c r="Y2323" s="113"/>
      <c r="Z2323" s="113"/>
      <c r="AA2323" s="113"/>
      <c r="AB2323" s="113"/>
      <c r="AC2323" s="113"/>
      <c r="AD2323" s="113"/>
      <c r="AE2323" s="113"/>
      <c r="AF2323" s="113"/>
      <c r="AG2323" s="113"/>
      <c r="AH2323" s="113"/>
      <c r="AI2323" s="113"/>
      <c r="AJ2323" s="113"/>
      <c r="AK2323" s="319" t="s">
        <v>1113</v>
      </c>
      <c r="AL2323" s="113"/>
      <c r="AM2323" s="113"/>
      <c r="AN2323" s="113"/>
      <c r="AO2323" s="44" t="s">
        <v>2334</v>
      </c>
      <c r="AP2323" s="43"/>
      <c r="AQ2323" s="236" t="str">
        <f>VLOOKUP(Table8[[#This Row],[Instrument]],Def_Targets!$D$73:$E$159,2,FALSE)</f>
        <v>I_Emobility</v>
      </c>
      <c r="AR2323" s="233" t="str">
        <f>VLOOKUP(Table8[[#This Row],[Country Code]],Table29[],3,FALSE)</f>
        <v>Non-Annex I</v>
      </c>
      <c r="AS2323" s="233" t="str">
        <f>VLOOKUP(Table8[[#This Row],[Country Code]],Table29[],4,FALSE)</f>
        <v>Asia</v>
      </c>
      <c r="AT2323" s="233" t="str">
        <f>VLOOKUP(Table8[[#This Row],[Country Code]],Table29[],5,FALSE)</f>
        <v>High-income</v>
      </c>
      <c r="AU2323" s="233" t="str">
        <f>VLOOKUP(Table8[[#This Row],[Country Code]],Table29[],6,FALSE)</f>
        <v>no</v>
      </c>
      <c r="AV2323" s="233" t="str">
        <f>VLOOKUP(Table8[[#This Row],[Country Code]],Table29[],7,FALSE)</f>
        <v>no</v>
      </c>
      <c r="AW2323" s="233" t="str">
        <f>VLOOKUP(Table8[[#This Row],[Country Code]],Table29[],8,FALSE)</f>
        <v>non-OECD</v>
      </c>
      <c r="AX2323" s="233" t="str">
        <f>VLOOKUP(Table8[[#This Row],[Country Code]],Table29[],9,FALSE)</f>
        <v>no</v>
      </c>
      <c r="AY2323" s="233" t="str">
        <f>VLOOKUP(Table8[[#This Row],[Country Code]],Table29[],10,FALSE)</f>
        <v>MENA</v>
      </c>
      <c r="AZ2323" s="235">
        <f>VLOOKUP(Table8[[#This Row],[Country Code]],Table29[],23,FALSE)</f>
        <v>267.82319378585998</v>
      </c>
      <c r="BA2323" s="235">
        <f>VLOOKUP(Table8[[#This Row],[Country Code]],Table29[],24,FALSE)</f>
        <v>43.860911308351241</v>
      </c>
      <c r="BB2323" s="320"/>
      <c r="BC2323" s="320"/>
    </row>
    <row r="2324" spans="1:55" ht="30" hidden="1" x14ac:dyDescent="0.25">
      <c r="A2324" s="373">
        <v>29234</v>
      </c>
      <c r="B2324" s="233" t="str">
        <f>VLOOKUP(Table8[[#This Row],[Document ID]],Table1[],2,FALSE)</f>
        <v>ARE</v>
      </c>
      <c r="C2324" s="233" t="str">
        <f>VLOOKUP(Table8[[#This Row],[Document ID]],Table1[],3,FALSE)</f>
        <v>United Arab Emirates</v>
      </c>
      <c r="D2324" s="243" t="str">
        <f>VLOOKUP(Table8[[#This Row],[Document ID]],Table1[],5,FALSE)</f>
        <v>NDC</v>
      </c>
      <c r="E2324" s="233" t="str">
        <f>VLOOKUP(Table8[[#This Row],[Document ID]],Table1[],7,FALSE)</f>
        <v>Second NDC updated</v>
      </c>
      <c r="F2324" s="233" t="str">
        <f>VLOOKUP(Table8[[#This Row],[Document ID]],Table1[],8,FALSE)</f>
        <v>NDC 2.1</v>
      </c>
      <c r="G2324" s="233" t="str">
        <f>VLOOKUP(Table8[[#This Row],[Document ID]],Table1[],10,FALSE)</f>
        <v>Archived</v>
      </c>
      <c r="H2324" s="43" t="s">
        <v>2358</v>
      </c>
      <c r="I2324" s="43" t="s">
        <v>2359</v>
      </c>
      <c r="J2324" s="44" t="s">
        <v>2383</v>
      </c>
      <c r="K2324" s="44" t="s">
        <v>4436</v>
      </c>
      <c r="L2324" s="44" t="s">
        <v>2333</v>
      </c>
      <c r="M2324" s="43">
        <v>22</v>
      </c>
      <c r="N2324" s="113"/>
      <c r="O2324" s="113"/>
      <c r="P2324" s="113"/>
      <c r="Q2324" s="113"/>
      <c r="R2324" s="113"/>
      <c r="S2324" s="113" t="s">
        <v>1113</v>
      </c>
      <c r="T2324" s="113"/>
      <c r="U2324" s="113"/>
      <c r="V2324" s="113"/>
      <c r="W2324" s="113"/>
      <c r="X2324" s="113"/>
      <c r="Y2324" s="113"/>
      <c r="Z2324" s="113"/>
      <c r="AA2324" s="113"/>
      <c r="AB2324" s="113"/>
      <c r="AC2324" s="113"/>
      <c r="AD2324" s="113"/>
      <c r="AE2324" s="113"/>
      <c r="AF2324" s="113"/>
      <c r="AG2324" s="113"/>
      <c r="AH2324" s="113"/>
      <c r="AI2324" s="113"/>
      <c r="AJ2324" s="113"/>
      <c r="AK2324" s="319" t="s">
        <v>1113</v>
      </c>
      <c r="AL2324" s="113"/>
      <c r="AM2324" s="113"/>
      <c r="AN2324" s="113"/>
      <c r="AO2324" s="44" t="s">
        <v>2334</v>
      </c>
      <c r="AP2324" s="43"/>
      <c r="AQ2324" s="236" t="str">
        <f>VLOOKUP(Table8[[#This Row],[Instrument]],Def_Targets!$D$73:$E$159,2,FALSE)</f>
        <v>I_Emobilitycharging</v>
      </c>
      <c r="AR2324" s="233" t="str">
        <f>VLOOKUP(Table8[[#This Row],[Country Code]],Table29[],3,FALSE)</f>
        <v>Non-Annex I</v>
      </c>
      <c r="AS2324" s="233" t="str">
        <f>VLOOKUP(Table8[[#This Row],[Country Code]],Table29[],4,FALSE)</f>
        <v>Asia</v>
      </c>
      <c r="AT2324" s="233" t="str">
        <f>VLOOKUP(Table8[[#This Row],[Country Code]],Table29[],5,FALSE)</f>
        <v>High-income</v>
      </c>
      <c r="AU2324" s="233" t="str">
        <f>VLOOKUP(Table8[[#This Row],[Country Code]],Table29[],6,FALSE)</f>
        <v>no</v>
      </c>
      <c r="AV2324" s="233" t="str">
        <f>VLOOKUP(Table8[[#This Row],[Country Code]],Table29[],7,FALSE)</f>
        <v>no</v>
      </c>
      <c r="AW2324" s="233" t="str">
        <f>VLOOKUP(Table8[[#This Row],[Country Code]],Table29[],8,FALSE)</f>
        <v>non-OECD</v>
      </c>
      <c r="AX2324" s="233" t="str">
        <f>VLOOKUP(Table8[[#This Row],[Country Code]],Table29[],9,FALSE)</f>
        <v>no</v>
      </c>
      <c r="AY2324" s="233" t="str">
        <f>VLOOKUP(Table8[[#This Row],[Country Code]],Table29[],10,FALSE)</f>
        <v>MENA</v>
      </c>
      <c r="AZ2324" s="235">
        <f>VLOOKUP(Table8[[#This Row],[Country Code]],Table29[],23,FALSE)</f>
        <v>267.82319378585998</v>
      </c>
      <c r="BA2324" s="235">
        <f>VLOOKUP(Table8[[#This Row],[Country Code]],Table29[],24,FALSE)</f>
        <v>43.860911308351241</v>
      </c>
      <c r="BB2324" s="320"/>
      <c r="BC2324" s="320"/>
    </row>
    <row r="2325" spans="1:55" ht="49.5" hidden="1" customHeight="1" x14ac:dyDescent="0.25">
      <c r="A2325" s="373">
        <v>39455</v>
      </c>
      <c r="B2325" s="233" t="str">
        <f>VLOOKUP(Table8[[#This Row],[Document ID]],Table1[],2,FALSE)</f>
        <v>ARE</v>
      </c>
      <c r="C2325" s="233" t="str">
        <f>VLOOKUP(Table8[[#This Row],[Document ID]],Table1[],3,FALSE)</f>
        <v>United Arab Emirates</v>
      </c>
      <c r="D2325" s="243" t="str">
        <f>VLOOKUP(Table8[[#This Row],[Document ID]],Table1[],5,FALSE)</f>
        <v>NDC</v>
      </c>
      <c r="E2325" s="233" t="str">
        <f>VLOOKUP(Table8[[#This Row],[Document ID]],Table1[],7,FALSE)</f>
        <v>Second NDC updated</v>
      </c>
      <c r="F2325" s="233" t="str">
        <f>VLOOKUP(Table8[[#This Row],[Document ID]],Table1[],8,FALSE)</f>
        <v>NDC 2.2</v>
      </c>
      <c r="G2325" s="233" t="str">
        <f>VLOOKUP(Table8[[#This Row],[Document ID]],Table1[],10,FALSE)</f>
        <v>Archived</v>
      </c>
      <c r="H2325" s="43" t="s">
        <v>2350</v>
      </c>
      <c r="I2325" s="43" t="s">
        <v>2351</v>
      </c>
      <c r="J2325" s="44" t="s">
        <v>2352</v>
      </c>
      <c r="K2325" s="44" t="s">
        <v>4437</v>
      </c>
      <c r="L2325" s="44" t="s">
        <v>2347</v>
      </c>
      <c r="M2325" s="43">
        <v>22</v>
      </c>
      <c r="N2325" s="113"/>
      <c r="O2325" s="113"/>
      <c r="P2325" s="113"/>
      <c r="Q2325" s="113"/>
      <c r="R2325" s="113"/>
      <c r="S2325" s="113"/>
      <c r="T2325" s="113"/>
      <c r="U2325" s="113"/>
      <c r="V2325" s="113"/>
      <c r="W2325" s="113"/>
      <c r="X2325" s="113"/>
      <c r="Y2325" s="113"/>
      <c r="Z2325" s="113" t="s">
        <v>1113</v>
      </c>
      <c r="AA2325" s="113"/>
      <c r="AB2325" s="113"/>
      <c r="AC2325" s="113"/>
      <c r="AD2325" s="113"/>
      <c r="AE2325" s="113"/>
      <c r="AF2325" s="113"/>
      <c r="AG2325" s="113"/>
      <c r="AH2325" s="113"/>
      <c r="AI2325" s="113"/>
      <c r="AJ2325" s="113"/>
      <c r="AK2325" s="319" t="s">
        <v>1113</v>
      </c>
      <c r="AL2325" s="113"/>
      <c r="AM2325" s="113"/>
      <c r="AN2325" s="113"/>
      <c r="AO2325" s="43" t="s">
        <v>2477</v>
      </c>
      <c r="AP2325" s="43"/>
      <c r="AQ2325" s="236" t="str">
        <f>VLOOKUP(Table8[[#This Row],[Instrument]],Def_Targets!$D$73:$E$159,2,FALSE)</f>
        <v>S_Railfreight</v>
      </c>
      <c r="AR2325" s="233" t="str">
        <f>VLOOKUP(Table8[[#This Row],[Country Code]],Table29[],3,FALSE)</f>
        <v>Non-Annex I</v>
      </c>
      <c r="AS2325" s="233" t="str">
        <f>VLOOKUP(Table8[[#This Row],[Country Code]],Table29[],4,FALSE)</f>
        <v>Asia</v>
      </c>
      <c r="AT2325" s="233" t="str">
        <f>VLOOKUP(Table8[[#This Row],[Country Code]],Table29[],5,FALSE)</f>
        <v>High-income</v>
      </c>
      <c r="AU2325" s="233" t="str">
        <f>VLOOKUP(Table8[[#This Row],[Country Code]],Table29[],6,FALSE)</f>
        <v>no</v>
      </c>
      <c r="AV2325" s="233" t="str">
        <f>VLOOKUP(Table8[[#This Row],[Country Code]],Table29[],7,FALSE)</f>
        <v>no</v>
      </c>
      <c r="AW2325" s="233" t="str">
        <f>VLOOKUP(Table8[[#This Row],[Country Code]],Table29[],8,FALSE)</f>
        <v>non-OECD</v>
      </c>
      <c r="AX2325" s="233" t="str">
        <f>VLOOKUP(Table8[[#This Row],[Country Code]],Table29[],9,FALSE)</f>
        <v>no</v>
      </c>
      <c r="AY2325" s="233" t="str">
        <f>VLOOKUP(Table8[[#This Row],[Country Code]],Table29[],10,FALSE)</f>
        <v>MENA</v>
      </c>
      <c r="AZ2325" s="235">
        <f>VLOOKUP(Table8[[#This Row],[Country Code]],Table29[],23,FALSE)</f>
        <v>267.82319378585998</v>
      </c>
      <c r="BA2325" s="235">
        <f>VLOOKUP(Table8[[#This Row],[Country Code]],Table29[],24,FALSE)</f>
        <v>43.860911308351241</v>
      </c>
      <c r="BB2325" s="320"/>
      <c r="BC2325" s="320"/>
    </row>
    <row r="2326" spans="1:55" ht="30" hidden="1" x14ac:dyDescent="0.25">
      <c r="A2326" s="373">
        <v>29234</v>
      </c>
      <c r="B2326" s="233" t="str">
        <f>VLOOKUP(Table8[[#This Row],[Document ID]],Table1[],2,FALSE)</f>
        <v>ARE</v>
      </c>
      <c r="C2326" s="233" t="str">
        <f>VLOOKUP(Table8[[#This Row],[Document ID]],Table1[],3,FALSE)</f>
        <v>United Arab Emirates</v>
      </c>
      <c r="D2326" s="243" t="str">
        <f>VLOOKUP(Table8[[#This Row],[Document ID]],Table1[],5,FALSE)</f>
        <v>NDC</v>
      </c>
      <c r="E2326" s="233" t="str">
        <f>VLOOKUP(Table8[[#This Row],[Document ID]],Table1[],7,FALSE)</f>
        <v>Second NDC updated</v>
      </c>
      <c r="F2326" s="233" t="str">
        <f>VLOOKUP(Table8[[#This Row],[Document ID]],Table1[],8,FALSE)</f>
        <v>NDC 2.1</v>
      </c>
      <c r="G2326" s="233" t="str">
        <f>VLOOKUP(Table8[[#This Row],[Document ID]],Table1[],10,FALSE)</f>
        <v>Archived</v>
      </c>
      <c r="H2326" s="43" t="s">
        <v>2350</v>
      </c>
      <c r="I2326" s="43" t="s">
        <v>2456</v>
      </c>
      <c r="J2326" s="44" t="s">
        <v>2466</v>
      </c>
      <c r="K2326" s="44" t="s">
        <v>4438</v>
      </c>
      <c r="L2326" s="44" t="s">
        <v>2347</v>
      </c>
      <c r="M2326" s="43">
        <v>22</v>
      </c>
      <c r="N2326" s="113"/>
      <c r="O2326" s="113"/>
      <c r="P2326" s="113"/>
      <c r="Q2326" s="113"/>
      <c r="R2326" s="113"/>
      <c r="S2326" s="113"/>
      <c r="T2326" s="113"/>
      <c r="U2326" s="113"/>
      <c r="V2326" s="113"/>
      <c r="W2326" s="113"/>
      <c r="X2326" s="113"/>
      <c r="Y2326" s="113"/>
      <c r="Z2326" s="113" t="s">
        <v>1113</v>
      </c>
      <c r="AA2326" s="113"/>
      <c r="AB2326" s="113"/>
      <c r="AC2326" s="113"/>
      <c r="AD2326" s="113"/>
      <c r="AE2326" s="113"/>
      <c r="AF2326" s="113"/>
      <c r="AG2326" s="113"/>
      <c r="AH2326" s="113"/>
      <c r="AI2326" s="113"/>
      <c r="AJ2326" s="113"/>
      <c r="AK2326" s="113"/>
      <c r="AL2326" s="113"/>
      <c r="AM2326" s="113" t="s">
        <v>1113</v>
      </c>
      <c r="AN2326" s="113"/>
      <c r="AO2326" s="43" t="s">
        <v>2353</v>
      </c>
      <c r="AP2326" s="43"/>
      <c r="AQ2326" s="236" t="str">
        <f>VLOOKUP(Table8[[#This Row],[Instrument]],Def_Targets!$D$73:$E$159,2,FALSE)</f>
        <v>S_Infraexpansion</v>
      </c>
      <c r="AR2326" s="233" t="str">
        <f>VLOOKUP(Table8[[#This Row],[Country Code]],Table29[],3,FALSE)</f>
        <v>Non-Annex I</v>
      </c>
      <c r="AS2326" s="233" t="str">
        <f>VLOOKUP(Table8[[#This Row],[Country Code]],Table29[],4,FALSE)</f>
        <v>Asia</v>
      </c>
      <c r="AT2326" s="233" t="str">
        <f>VLOOKUP(Table8[[#This Row],[Country Code]],Table29[],5,FALSE)</f>
        <v>High-income</v>
      </c>
      <c r="AU2326" s="233" t="str">
        <f>VLOOKUP(Table8[[#This Row],[Country Code]],Table29[],6,FALSE)</f>
        <v>no</v>
      </c>
      <c r="AV2326" s="233" t="str">
        <f>VLOOKUP(Table8[[#This Row],[Country Code]],Table29[],7,FALSE)</f>
        <v>no</v>
      </c>
      <c r="AW2326" s="233" t="str">
        <f>VLOOKUP(Table8[[#This Row],[Country Code]],Table29[],8,FALSE)</f>
        <v>non-OECD</v>
      </c>
      <c r="AX2326" s="233" t="str">
        <f>VLOOKUP(Table8[[#This Row],[Country Code]],Table29[],9,FALSE)</f>
        <v>no</v>
      </c>
      <c r="AY2326" s="233" t="str">
        <f>VLOOKUP(Table8[[#This Row],[Country Code]],Table29[],10,FALSE)</f>
        <v>MENA</v>
      </c>
      <c r="AZ2326" s="235">
        <f>VLOOKUP(Table8[[#This Row],[Country Code]],Table29[],23,FALSE)</f>
        <v>267.82319378585998</v>
      </c>
      <c r="BA2326" s="235">
        <f>VLOOKUP(Table8[[#This Row],[Country Code]],Table29[],24,FALSE)</f>
        <v>43.860911308351241</v>
      </c>
      <c r="BB2326" s="320"/>
      <c r="BC2326" s="320"/>
    </row>
    <row r="2327" spans="1:55" ht="60" hidden="1" x14ac:dyDescent="0.25">
      <c r="A2327" s="373">
        <v>29234</v>
      </c>
      <c r="B2327" s="233" t="str">
        <f>VLOOKUP(Table8[[#This Row],[Document ID]],Table1[],2,FALSE)</f>
        <v>ARE</v>
      </c>
      <c r="C2327" s="233" t="str">
        <f>VLOOKUP(Table8[[#This Row],[Document ID]],Table1[],3,FALSE)</f>
        <v>United Arab Emirates</v>
      </c>
      <c r="D2327" s="243" t="str">
        <f>VLOOKUP(Table8[[#This Row],[Document ID]],Table1[],5,FALSE)</f>
        <v>NDC</v>
      </c>
      <c r="E2327" s="233" t="str">
        <f>VLOOKUP(Table8[[#This Row],[Document ID]],Table1[],7,FALSE)</f>
        <v>Second NDC updated</v>
      </c>
      <c r="F2327" s="233" t="str">
        <f>VLOOKUP(Table8[[#This Row],[Document ID]],Table1[],8,FALSE)</f>
        <v>NDC 2.1</v>
      </c>
      <c r="G2327" s="233" t="str">
        <f>VLOOKUP(Table8[[#This Row],[Document ID]],Table1[],10,FALSE)</f>
        <v>Archived</v>
      </c>
      <c r="H2327" s="43" t="s">
        <v>2343</v>
      </c>
      <c r="I2327" s="43" t="s">
        <v>2344</v>
      </c>
      <c r="J2327" s="44" t="s">
        <v>2405</v>
      </c>
      <c r="K2327" s="44" t="s">
        <v>4439</v>
      </c>
      <c r="L2327" s="44" t="s">
        <v>2347</v>
      </c>
      <c r="M2327" s="43">
        <v>22</v>
      </c>
      <c r="N2327" s="113"/>
      <c r="O2327" s="113"/>
      <c r="P2327" s="113"/>
      <c r="Q2327" s="113"/>
      <c r="R2327" s="113"/>
      <c r="S2327" s="113"/>
      <c r="T2327" s="113"/>
      <c r="U2327" s="113"/>
      <c r="V2327" s="113"/>
      <c r="W2327" s="113"/>
      <c r="X2327" s="113"/>
      <c r="Y2327" s="113" t="s">
        <v>1113</v>
      </c>
      <c r="Z2327" s="113"/>
      <c r="AA2327" s="113"/>
      <c r="AB2327" s="113"/>
      <c r="AC2327" s="113" t="s">
        <v>1113</v>
      </c>
      <c r="AD2327" s="113"/>
      <c r="AE2327" s="113"/>
      <c r="AF2327" s="113"/>
      <c r="AG2327" s="113"/>
      <c r="AH2327" s="113"/>
      <c r="AI2327" s="113"/>
      <c r="AJ2327" s="113"/>
      <c r="AK2327" s="113"/>
      <c r="AL2327" s="113" t="s">
        <v>1113</v>
      </c>
      <c r="AM2327" s="113"/>
      <c r="AN2327" s="113"/>
      <c r="AO2327" s="43" t="s">
        <v>2348</v>
      </c>
      <c r="AP2327" s="43"/>
      <c r="AQ2327" s="236" t="str">
        <f>VLOOKUP(Table8[[#This Row],[Instrument]],Def_Targets!$D$73:$E$159,2,FALSE)</f>
        <v>S_PTIntegration</v>
      </c>
      <c r="AR2327" s="233" t="str">
        <f>VLOOKUP(Table8[[#This Row],[Country Code]],Table29[],3,FALSE)</f>
        <v>Non-Annex I</v>
      </c>
      <c r="AS2327" s="233" t="str">
        <f>VLOOKUP(Table8[[#This Row],[Country Code]],Table29[],4,FALSE)</f>
        <v>Asia</v>
      </c>
      <c r="AT2327" s="233" t="str">
        <f>VLOOKUP(Table8[[#This Row],[Country Code]],Table29[],5,FALSE)</f>
        <v>High-income</v>
      </c>
      <c r="AU2327" s="233" t="str">
        <f>VLOOKUP(Table8[[#This Row],[Country Code]],Table29[],6,FALSE)</f>
        <v>no</v>
      </c>
      <c r="AV2327" s="233" t="str">
        <f>VLOOKUP(Table8[[#This Row],[Country Code]],Table29[],7,FALSE)</f>
        <v>no</v>
      </c>
      <c r="AW2327" s="233" t="str">
        <f>VLOOKUP(Table8[[#This Row],[Country Code]],Table29[],8,FALSE)</f>
        <v>non-OECD</v>
      </c>
      <c r="AX2327" s="233" t="str">
        <f>VLOOKUP(Table8[[#This Row],[Country Code]],Table29[],9,FALSE)</f>
        <v>no</v>
      </c>
      <c r="AY2327" s="233" t="str">
        <f>VLOOKUP(Table8[[#This Row],[Country Code]],Table29[],10,FALSE)</f>
        <v>MENA</v>
      </c>
      <c r="AZ2327" s="235">
        <f>VLOOKUP(Table8[[#This Row],[Country Code]],Table29[],23,FALSE)</f>
        <v>267.82319378585998</v>
      </c>
      <c r="BA2327" s="235">
        <f>VLOOKUP(Table8[[#This Row],[Country Code]],Table29[],24,FALSE)</f>
        <v>43.860911308351241</v>
      </c>
      <c r="BB2327" s="320"/>
      <c r="BC2327" s="320"/>
    </row>
    <row r="2328" spans="1:55" ht="60" hidden="1" x14ac:dyDescent="0.25">
      <c r="A2328" s="373">
        <v>29234</v>
      </c>
      <c r="B2328" s="233" t="str">
        <f>VLOOKUP(Table8[[#This Row],[Document ID]],Table1[],2,FALSE)</f>
        <v>ARE</v>
      </c>
      <c r="C2328" s="233" t="str">
        <f>VLOOKUP(Table8[[#This Row],[Document ID]],Table1[],3,FALSE)</f>
        <v>United Arab Emirates</v>
      </c>
      <c r="D2328" s="243" t="str">
        <f>VLOOKUP(Table8[[#This Row],[Document ID]],Table1[],5,FALSE)</f>
        <v>NDC</v>
      </c>
      <c r="E2328" s="233" t="str">
        <f>VLOOKUP(Table8[[#This Row],[Document ID]],Table1[],7,FALSE)</f>
        <v>Second NDC updated</v>
      </c>
      <c r="F2328" s="233" t="str">
        <f>VLOOKUP(Table8[[#This Row],[Document ID]],Table1[],8,FALSE)</f>
        <v>NDC 2.1</v>
      </c>
      <c r="G2328" s="233" t="str">
        <f>VLOOKUP(Table8[[#This Row],[Document ID]],Table1[],10,FALSE)</f>
        <v>Archived</v>
      </c>
      <c r="H2328" s="44" t="s">
        <v>2338</v>
      </c>
      <c r="I2328" s="44" t="s">
        <v>2339</v>
      </c>
      <c r="J2328" s="44" t="s">
        <v>2425</v>
      </c>
      <c r="K2328" s="44" t="s">
        <v>4440</v>
      </c>
      <c r="L2328" s="44" t="s">
        <v>2333</v>
      </c>
      <c r="M2328" s="43">
        <v>22</v>
      </c>
      <c r="N2328" s="113"/>
      <c r="O2328" s="113"/>
      <c r="P2328" s="113"/>
      <c r="Q2328" s="113"/>
      <c r="R2328" s="113"/>
      <c r="S2328" s="113" t="s">
        <v>1113</v>
      </c>
      <c r="T2328" s="113"/>
      <c r="U2328" s="113"/>
      <c r="V2328" s="113"/>
      <c r="W2328" s="113"/>
      <c r="X2328" s="113"/>
      <c r="Y2328" s="113"/>
      <c r="Z2328" s="113"/>
      <c r="AA2328" s="113"/>
      <c r="AB2328" s="113"/>
      <c r="AC2328" s="113"/>
      <c r="AD2328" s="113"/>
      <c r="AE2328" s="113"/>
      <c r="AF2328" s="113"/>
      <c r="AG2328" s="113"/>
      <c r="AH2328" s="113"/>
      <c r="AI2328" s="113"/>
      <c r="AJ2328" s="113"/>
      <c r="AK2328" s="319" t="s">
        <v>1113</v>
      </c>
      <c r="AL2328" s="113"/>
      <c r="AM2328" s="113"/>
      <c r="AN2328" s="113"/>
      <c r="AO2328" s="44" t="s">
        <v>2334</v>
      </c>
      <c r="AP2328" s="43"/>
      <c r="AQ2328" s="236" t="str">
        <f>VLOOKUP(Table8[[#This Row],[Instrument]],Def_Targets!$D$73:$E$159,2,FALSE)</f>
        <v>I_Efficiencystd</v>
      </c>
      <c r="AR2328" s="233" t="str">
        <f>VLOOKUP(Table8[[#This Row],[Country Code]],Table29[],3,FALSE)</f>
        <v>Non-Annex I</v>
      </c>
      <c r="AS2328" s="233" t="str">
        <f>VLOOKUP(Table8[[#This Row],[Country Code]],Table29[],4,FALSE)</f>
        <v>Asia</v>
      </c>
      <c r="AT2328" s="233" t="str">
        <f>VLOOKUP(Table8[[#This Row],[Country Code]],Table29[],5,FALSE)</f>
        <v>High-income</v>
      </c>
      <c r="AU2328" s="233" t="str">
        <f>VLOOKUP(Table8[[#This Row],[Country Code]],Table29[],6,FALSE)</f>
        <v>no</v>
      </c>
      <c r="AV2328" s="233" t="str">
        <f>VLOOKUP(Table8[[#This Row],[Country Code]],Table29[],7,FALSE)</f>
        <v>no</v>
      </c>
      <c r="AW2328" s="233" t="str">
        <f>VLOOKUP(Table8[[#This Row],[Country Code]],Table29[],8,FALSE)</f>
        <v>non-OECD</v>
      </c>
      <c r="AX2328" s="233" t="str">
        <f>VLOOKUP(Table8[[#This Row],[Country Code]],Table29[],9,FALSE)</f>
        <v>no</v>
      </c>
      <c r="AY2328" s="233" t="str">
        <f>VLOOKUP(Table8[[#This Row],[Country Code]],Table29[],10,FALSE)</f>
        <v>MENA</v>
      </c>
      <c r="AZ2328" s="235">
        <f>VLOOKUP(Table8[[#This Row],[Country Code]],Table29[],23,FALSE)</f>
        <v>267.82319378585998</v>
      </c>
      <c r="BA2328" s="235">
        <f>VLOOKUP(Table8[[#This Row],[Country Code]],Table29[],24,FALSE)</f>
        <v>43.860911308351241</v>
      </c>
      <c r="BB2328" s="320"/>
      <c r="BC2328" s="320"/>
    </row>
    <row r="2329" spans="1:55" ht="30" hidden="1" x14ac:dyDescent="0.25">
      <c r="A2329" s="373">
        <v>39455</v>
      </c>
      <c r="B2329" s="233" t="str">
        <f>VLOOKUP(Table8[[#This Row],[Document ID]],Table1[],2,FALSE)</f>
        <v>ARE</v>
      </c>
      <c r="C2329" s="233" t="str">
        <f>VLOOKUP(Table8[[#This Row],[Document ID]],Table1[],3,FALSE)</f>
        <v>United Arab Emirates</v>
      </c>
      <c r="D2329" s="243" t="str">
        <f>VLOOKUP(Table8[[#This Row],[Document ID]],Table1[],5,FALSE)</f>
        <v>NDC</v>
      </c>
      <c r="E2329" s="233" t="str">
        <f>VLOOKUP(Table8[[#This Row],[Document ID]],Table1[],7,FALSE)</f>
        <v>Second NDC updated</v>
      </c>
      <c r="F2329" s="233" t="str">
        <f>VLOOKUP(Table8[[#This Row],[Document ID]],Table1[],8,FALSE)</f>
        <v>NDC 2.2</v>
      </c>
      <c r="G2329" s="233" t="str">
        <f>VLOOKUP(Table8[[#This Row],[Document ID]],Table1[],10,FALSE)</f>
        <v>Archived</v>
      </c>
      <c r="H2329" s="43" t="s">
        <v>2343</v>
      </c>
      <c r="I2329" s="43" t="s">
        <v>2344</v>
      </c>
      <c r="J2329" s="44" t="s">
        <v>2345</v>
      </c>
      <c r="K2329" s="44" t="s">
        <v>4447</v>
      </c>
      <c r="L2329" s="44" t="s">
        <v>2347</v>
      </c>
      <c r="M2329" s="43">
        <v>25</v>
      </c>
      <c r="N2329" s="113"/>
      <c r="O2329" s="113"/>
      <c r="P2329" s="113"/>
      <c r="Q2329" s="113"/>
      <c r="R2329" s="113"/>
      <c r="S2329" s="113"/>
      <c r="T2329" s="113"/>
      <c r="U2329" s="113"/>
      <c r="V2329" s="113"/>
      <c r="W2329" s="113"/>
      <c r="X2329" s="113"/>
      <c r="Y2329" s="113"/>
      <c r="Z2329" s="113" t="s">
        <v>1113</v>
      </c>
      <c r="AA2329" s="113"/>
      <c r="AB2329" s="113"/>
      <c r="AC2329" s="113"/>
      <c r="AD2329" s="113"/>
      <c r="AE2329" s="113"/>
      <c r="AF2329" s="113"/>
      <c r="AG2329" s="113"/>
      <c r="AH2329" s="113"/>
      <c r="AI2329" s="113"/>
      <c r="AJ2329" s="113"/>
      <c r="AK2329" s="113"/>
      <c r="AL2329" s="113"/>
      <c r="AM2329" s="113"/>
      <c r="AN2329" s="113" t="s">
        <v>1113</v>
      </c>
      <c r="AO2329" s="43" t="s">
        <v>2477</v>
      </c>
      <c r="AP2329" s="43"/>
      <c r="AQ2329" s="236" t="str">
        <f>VLOOKUP(Table8[[#This Row],[Instrument]],Def_Targets!$D$73:$E$159,2,FALSE)</f>
        <v>S_PublicTransport</v>
      </c>
      <c r="AR2329" s="233" t="str">
        <f>VLOOKUP(Table8[[#This Row],[Country Code]],Table29[],3,FALSE)</f>
        <v>Non-Annex I</v>
      </c>
      <c r="AS2329" s="233" t="str">
        <f>VLOOKUP(Table8[[#This Row],[Country Code]],Table29[],4,FALSE)</f>
        <v>Asia</v>
      </c>
      <c r="AT2329" s="233" t="str">
        <f>VLOOKUP(Table8[[#This Row],[Country Code]],Table29[],5,FALSE)</f>
        <v>High-income</v>
      </c>
      <c r="AU2329" s="233" t="str">
        <f>VLOOKUP(Table8[[#This Row],[Country Code]],Table29[],6,FALSE)</f>
        <v>no</v>
      </c>
      <c r="AV2329" s="233" t="str">
        <f>VLOOKUP(Table8[[#This Row],[Country Code]],Table29[],7,FALSE)</f>
        <v>no</v>
      </c>
      <c r="AW2329" s="233" t="str">
        <f>VLOOKUP(Table8[[#This Row],[Country Code]],Table29[],8,FALSE)</f>
        <v>non-OECD</v>
      </c>
      <c r="AX2329" s="233" t="str">
        <f>VLOOKUP(Table8[[#This Row],[Country Code]],Table29[],9,FALSE)</f>
        <v>no</v>
      </c>
      <c r="AY2329" s="233" t="str">
        <f>VLOOKUP(Table8[[#This Row],[Country Code]],Table29[],10,FALSE)</f>
        <v>MENA</v>
      </c>
      <c r="AZ2329" s="235">
        <f>VLOOKUP(Table8[[#This Row],[Country Code]],Table29[],23,FALSE)</f>
        <v>267.82319378585998</v>
      </c>
      <c r="BA2329" s="235">
        <f>VLOOKUP(Table8[[#This Row],[Country Code]],Table29[],24,FALSE)</f>
        <v>43.860911308351241</v>
      </c>
      <c r="BB2329" s="320"/>
      <c r="BC2329" s="320"/>
    </row>
    <row r="2330" spans="1:55" ht="60" hidden="1" x14ac:dyDescent="0.25">
      <c r="A2330" s="373">
        <v>39455</v>
      </c>
      <c r="B2330" s="233" t="str">
        <f>VLOOKUP(Table8[[#This Row],[Document ID]],Table1[],2,FALSE)</f>
        <v>ARE</v>
      </c>
      <c r="C2330" s="233" t="str">
        <f>VLOOKUP(Table8[[#This Row],[Document ID]],Table1[],3,FALSE)</f>
        <v>United Arab Emirates</v>
      </c>
      <c r="D2330" s="243" t="str">
        <f>VLOOKUP(Table8[[#This Row],[Document ID]],Table1[],5,FALSE)</f>
        <v>NDC</v>
      </c>
      <c r="E2330" s="233" t="str">
        <f>VLOOKUP(Table8[[#This Row],[Document ID]],Table1[],7,FALSE)</f>
        <v>Second NDC updated</v>
      </c>
      <c r="F2330" s="233" t="str">
        <f>VLOOKUP(Table8[[#This Row],[Document ID]],Table1[],8,FALSE)</f>
        <v>NDC 2.2</v>
      </c>
      <c r="G2330" s="233" t="str">
        <f>VLOOKUP(Table8[[#This Row],[Document ID]],Table1[],10,FALSE)</f>
        <v>Archived</v>
      </c>
      <c r="H2330" s="43" t="s">
        <v>2343</v>
      </c>
      <c r="I2330" s="43" t="s">
        <v>2429</v>
      </c>
      <c r="J2330" s="44" t="s">
        <v>2430</v>
      </c>
      <c r="K2330" s="44" t="s">
        <v>4448</v>
      </c>
      <c r="L2330" s="44" t="s">
        <v>2333</v>
      </c>
      <c r="M2330" s="43">
        <v>26</v>
      </c>
      <c r="N2330" s="113" t="s">
        <v>1113</v>
      </c>
      <c r="O2330" s="113"/>
      <c r="P2330" s="113"/>
      <c r="Q2330" s="113"/>
      <c r="R2330" s="113"/>
      <c r="S2330" s="113"/>
      <c r="T2330" s="113"/>
      <c r="U2330" s="113"/>
      <c r="V2330" s="113"/>
      <c r="W2330" s="113"/>
      <c r="X2330" s="113"/>
      <c r="Y2330" s="113"/>
      <c r="Z2330" s="113"/>
      <c r="AA2330" s="113"/>
      <c r="AB2330" s="113"/>
      <c r="AC2330" s="113"/>
      <c r="AD2330" s="113"/>
      <c r="AE2330" s="113"/>
      <c r="AF2330" s="113"/>
      <c r="AG2330" s="113"/>
      <c r="AH2330" s="113"/>
      <c r="AI2330" s="113"/>
      <c r="AJ2330" s="113"/>
      <c r="AK2330" s="113" t="s">
        <v>1113</v>
      </c>
      <c r="AL2330" s="113"/>
      <c r="AM2330" s="113"/>
      <c r="AN2330" s="113"/>
      <c r="AO2330" s="44" t="s">
        <v>2334</v>
      </c>
      <c r="AP2330" s="43"/>
      <c r="AQ2330" s="236" t="str">
        <f>VLOOKUP(Table8[[#This Row],[Instrument]],Def_Targets!$D$73:$E$159,2,FALSE)</f>
        <v>I_ITS</v>
      </c>
      <c r="AR2330" s="233" t="str">
        <f>VLOOKUP(Table8[[#This Row],[Country Code]],Table29[],3,FALSE)</f>
        <v>Non-Annex I</v>
      </c>
      <c r="AS2330" s="233" t="str">
        <f>VLOOKUP(Table8[[#This Row],[Country Code]],Table29[],4,FALSE)</f>
        <v>Asia</v>
      </c>
      <c r="AT2330" s="233" t="str">
        <f>VLOOKUP(Table8[[#This Row],[Country Code]],Table29[],5,FALSE)</f>
        <v>High-income</v>
      </c>
      <c r="AU2330" s="233" t="str">
        <f>VLOOKUP(Table8[[#This Row],[Country Code]],Table29[],6,FALSE)</f>
        <v>no</v>
      </c>
      <c r="AV2330" s="233" t="str">
        <f>VLOOKUP(Table8[[#This Row],[Country Code]],Table29[],7,FALSE)</f>
        <v>no</v>
      </c>
      <c r="AW2330" s="233" t="str">
        <f>VLOOKUP(Table8[[#This Row],[Country Code]],Table29[],8,FALSE)</f>
        <v>non-OECD</v>
      </c>
      <c r="AX2330" s="233" t="str">
        <f>VLOOKUP(Table8[[#This Row],[Country Code]],Table29[],9,FALSE)</f>
        <v>no</v>
      </c>
      <c r="AY2330" s="233" t="str">
        <f>VLOOKUP(Table8[[#This Row],[Country Code]],Table29[],10,FALSE)</f>
        <v>MENA</v>
      </c>
      <c r="AZ2330" s="235">
        <f>VLOOKUP(Table8[[#This Row],[Country Code]],Table29[],23,FALSE)</f>
        <v>267.82319378585998</v>
      </c>
      <c r="BA2330" s="235">
        <f>VLOOKUP(Table8[[#This Row],[Country Code]],Table29[],24,FALSE)</f>
        <v>43.860911308351241</v>
      </c>
      <c r="BB2330" s="320"/>
      <c r="BC2330" s="320"/>
    </row>
    <row r="2331" spans="1:55" ht="30" hidden="1" x14ac:dyDescent="0.25">
      <c r="A2331" s="373">
        <v>39455</v>
      </c>
      <c r="B2331" s="233" t="str">
        <f>VLOOKUP(Table8[[#This Row],[Document ID]],Table1[],2,FALSE)</f>
        <v>ARE</v>
      </c>
      <c r="C2331" s="233" t="str">
        <f>VLOOKUP(Table8[[#This Row],[Document ID]],Table1[],3,FALSE)</f>
        <v>United Arab Emirates</v>
      </c>
      <c r="D2331" s="243" t="str">
        <f>VLOOKUP(Table8[[#This Row],[Document ID]],Table1[],5,FALSE)</f>
        <v>NDC</v>
      </c>
      <c r="E2331" s="233" t="str">
        <f>VLOOKUP(Table8[[#This Row],[Document ID]],Table1[],7,FALSE)</f>
        <v>Second NDC updated</v>
      </c>
      <c r="F2331" s="233" t="str">
        <f>VLOOKUP(Table8[[#This Row],[Document ID]],Table1[],8,FALSE)</f>
        <v>NDC 2.2</v>
      </c>
      <c r="G2331" s="233" t="str">
        <f>VLOOKUP(Table8[[#This Row],[Document ID]],Table1[],10,FALSE)</f>
        <v>Archived</v>
      </c>
      <c r="H2331" s="43" t="s">
        <v>2358</v>
      </c>
      <c r="I2331" s="43" t="s">
        <v>2359</v>
      </c>
      <c r="J2331" s="44" t="s">
        <v>2360</v>
      </c>
      <c r="K2331" s="44" t="s">
        <v>4449</v>
      </c>
      <c r="L2331" s="44" t="s">
        <v>2333</v>
      </c>
      <c r="M2331" s="43">
        <v>26</v>
      </c>
      <c r="N2331" s="113" t="s">
        <v>1113</v>
      </c>
      <c r="O2331" s="113"/>
      <c r="P2331" s="113"/>
      <c r="Q2331" s="113"/>
      <c r="R2331" s="113"/>
      <c r="S2331" s="113"/>
      <c r="T2331" s="113"/>
      <c r="U2331" s="113"/>
      <c r="V2331" s="113"/>
      <c r="W2331" s="113"/>
      <c r="X2331" s="113"/>
      <c r="Y2331" s="113"/>
      <c r="Z2331" s="113"/>
      <c r="AA2331" s="113"/>
      <c r="AB2331" s="113"/>
      <c r="AC2331" s="113"/>
      <c r="AD2331" s="113"/>
      <c r="AE2331" s="113"/>
      <c r="AF2331" s="113"/>
      <c r="AG2331" s="113"/>
      <c r="AH2331" s="113"/>
      <c r="AI2331" s="113"/>
      <c r="AJ2331" s="113"/>
      <c r="AK2331" s="113" t="s">
        <v>1113</v>
      </c>
      <c r="AL2331" s="113"/>
      <c r="AM2331" s="113"/>
      <c r="AN2331" s="113"/>
      <c r="AO2331" s="44" t="s">
        <v>2334</v>
      </c>
      <c r="AP2331" s="43"/>
      <c r="AQ2331" s="236" t="str">
        <f>VLOOKUP(Table8[[#This Row],[Instrument]],Def_Targets!$D$73:$E$159,2,FALSE)</f>
        <v>I_Emobility</v>
      </c>
      <c r="AR2331" s="233" t="str">
        <f>VLOOKUP(Table8[[#This Row],[Country Code]],Table29[],3,FALSE)</f>
        <v>Non-Annex I</v>
      </c>
      <c r="AS2331" s="233" t="str">
        <f>VLOOKUP(Table8[[#This Row],[Country Code]],Table29[],4,FALSE)</f>
        <v>Asia</v>
      </c>
      <c r="AT2331" s="233" t="str">
        <f>VLOOKUP(Table8[[#This Row],[Country Code]],Table29[],5,FALSE)</f>
        <v>High-income</v>
      </c>
      <c r="AU2331" s="233" t="str">
        <f>VLOOKUP(Table8[[#This Row],[Country Code]],Table29[],6,FALSE)</f>
        <v>no</v>
      </c>
      <c r="AV2331" s="233" t="str">
        <f>VLOOKUP(Table8[[#This Row],[Country Code]],Table29[],7,FALSE)</f>
        <v>no</v>
      </c>
      <c r="AW2331" s="233" t="str">
        <f>VLOOKUP(Table8[[#This Row],[Country Code]],Table29[],8,FALSE)</f>
        <v>non-OECD</v>
      </c>
      <c r="AX2331" s="233" t="str">
        <f>VLOOKUP(Table8[[#This Row],[Country Code]],Table29[],9,FALSE)</f>
        <v>no</v>
      </c>
      <c r="AY2331" s="233" t="str">
        <f>VLOOKUP(Table8[[#This Row],[Country Code]],Table29[],10,FALSE)</f>
        <v>MENA</v>
      </c>
      <c r="AZ2331" s="235">
        <f>VLOOKUP(Table8[[#This Row],[Country Code]],Table29[],23,FALSE)</f>
        <v>267.82319378585998</v>
      </c>
      <c r="BA2331" s="235">
        <f>VLOOKUP(Table8[[#This Row],[Country Code]],Table29[],24,FALSE)</f>
        <v>43.860911308351241</v>
      </c>
      <c r="BB2331" s="320"/>
      <c r="BC2331" s="320"/>
    </row>
    <row r="2332" spans="1:55" s="17" customFormat="1" ht="30" hidden="1" x14ac:dyDescent="0.25">
      <c r="A2332" s="373">
        <v>39455</v>
      </c>
      <c r="B2332" s="233" t="str">
        <f>VLOOKUP(Table8[[#This Row],[Document ID]],Table1[],2,FALSE)</f>
        <v>ARE</v>
      </c>
      <c r="C2332" s="233" t="str">
        <f>VLOOKUP(Table8[[#This Row],[Document ID]],Table1[],3,FALSE)</f>
        <v>United Arab Emirates</v>
      </c>
      <c r="D2332" s="243" t="str">
        <f>VLOOKUP(Table8[[#This Row],[Document ID]],Table1[],5,FALSE)</f>
        <v>NDC</v>
      </c>
      <c r="E2332" s="233" t="str">
        <f>VLOOKUP(Table8[[#This Row],[Document ID]],Table1[],7,FALSE)</f>
        <v>Second NDC updated</v>
      </c>
      <c r="F2332" s="233" t="str">
        <f>VLOOKUP(Table8[[#This Row],[Document ID]],Table1[],8,FALSE)</f>
        <v>NDC 2.2</v>
      </c>
      <c r="G2332" s="233" t="str">
        <f>VLOOKUP(Table8[[#This Row],[Document ID]],Table1[],10,FALSE)</f>
        <v>Archived</v>
      </c>
      <c r="H2332" s="43" t="s">
        <v>2343</v>
      </c>
      <c r="I2332" s="43" t="s">
        <v>2386</v>
      </c>
      <c r="J2332" s="44" t="s">
        <v>2515</v>
      </c>
      <c r="K2332" s="44" t="s">
        <v>4450</v>
      </c>
      <c r="L2332" s="44" t="s">
        <v>2333</v>
      </c>
      <c r="M2332" s="43">
        <v>26</v>
      </c>
      <c r="N2332" s="113"/>
      <c r="O2332" s="113"/>
      <c r="P2332" s="113"/>
      <c r="Q2332" s="113"/>
      <c r="R2332" s="113"/>
      <c r="S2332" s="113"/>
      <c r="T2332" s="113"/>
      <c r="U2332" s="113"/>
      <c r="V2332" s="113"/>
      <c r="W2332" s="113"/>
      <c r="X2332" s="113"/>
      <c r="Y2332" s="113"/>
      <c r="Z2332" s="113"/>
      <c r="AA2332" s="113"/>
      <c r="AB2332" s="113"/>
      <c r="AC2332" s="113"/>
      <c r="AD2332" s="113"/>
      <c r="AE2332" s="113"/>
      <c r="AF2332" s="113"/>
      <c r="AG2332" s="113"/>
      <c r="AH2332" s="113"/>
      <c r="AI2332" s="113"/>
      <c r="AJ2332" s="113"/>
      <c r="AK2332" s="113"/>
      <c r="AL2332" s="113"/>
      <c r="AM2332" s="113"/>
      <c r="AN2332" s="113"/>
      <c r="AO2332" s="44" t="s">
        <v>2334</v>
      </c>
      <c r="AP2332" s="43"/>
      <c r="AQ2332" s="236" t="str">
        <f>VLOOKUP(Table8[[#This Row],[Instrument]],Def_Targets!$D$73:$E$159,2,FALSE)</f>
        <v>A_Fossilfuelsubs</v>
      </c>
      <c r="AR2332" s="233" t="str">
        <f>VLOOKUP(Table8[[#This Row],[Country Code]],Table29[],3,FALSE)</f>
        <v>Non-Annex I</v>
      </c>
      <c r="AS2332" s="233" t="str">
        <f>VLOOKUP(Table8[[#This Row],[Country Code]],Table29[],4,FALSE)</f>
        <v>Asia</v>
      </c>
      <c r="AT2332" s="233" t="str">
        <f>VLOOKUP(Table8[[#This Row],[Country Code]],Table29[],5,FALSE)</f>
        <v>High-income</v>
      </c>
      <c r="AU2332" s="233" t="str">
        <f>VLOOKUP(Table8[[#This Row],[Country Code]],Table29[],6,FALSE)</f>
        <v>no</v>
      </c>
      <c r="AV2332" s="233" t="str">
        <f>VLOOKUP(Table8[[#This Row],[Country Code]],Table29[],7,FALSE)</f>
        <v>no</v>
      </c>
      <c r="AW2332" s="233" t="str">
        <f>VLOOKUP(Table8[[#This Row],[Country Code]],Table29[],8,FALSE)</f>
        <v>non-OECD</v>
      </c>
      <c r="AX2332" s="233" t="str">
        <f>VLOOKUP(Table8[[#This Row],[Country Code]],Table29[],9,FALSE)</f>
        <v>no</v>
      </c>
      <c r="AY2332" s="233" t="str">
        <f>VLOOKUP(Table8[[#This Row],[Country Code]],Table29[],10,FALSE)</f>
        <v>MENA</v>
      </c>
      <c r="AZ2332" s="235">
        <f>VLOOKUP(Table8[[#This Row],[Country Code]],Table29[],23,FALSE)</f>
        <v>267.82319378585998</v>
      </c>
      <c r="BA2332" s="235">
        <f>VLOOKUP(Table8[[#This Row],[Country Code]],Table29[],24,FALSE)</f>
        <v>43.860911308351241</v>
      </c>
      <c r="BB2332" s="320"/>
      <c r="BC2332" s="320"/>
    </row>
    <row r="2333" spans="1:55" ht="45" hidden="1" x14ac:dyDescent="0.25">
      <c r="A2333" s="373">
        <v>39455</v>
      </c>
      <c r="B2333" s="233" t="str">
        <f>VLOOKUP(Table8[[#This Row],[Document ID]],Table1[],2,FALSE)</f>
        <v>ARE</v>
      </c>
      <c r="C2333" s="233" t="str">
        <f>VLOOKUP(Table8[[#This Row],[Document ID]],Table1[],3,FALSE)</f>
        <v>United Arab Emirates</v>
      </c>
      <c r="D2333" s="243" t="str">
        <f>VLOOKUP(Table8[[#This Row],[Document ID]],Table1[],5,FALSE)</f>
        <v>NDC</v>
      </c>
      <c r="E2333" s="233" t="str">
        <f>VLOOKUP(Table8[[#This Row],[Document ID]],Table1[],7,FALSE)</f>
        <v>Second NDC updated</v>
      </c>
      <c r="F2333" s="233" t="str">
        <f>VLOOKUP(Table8[[#This Row],[Document ID]],Table1[],8,FALSE)</f>
        <v>NDC 2.2</v>
      </c>
      <c r="G2333" s="233" t="str">
        <f>VLOOKUP(Table8[[#This Row],[Document ID]],Table1[],10,FALSE)</f>
        <v>Archived</v>
      </c>
      <c r="H2333" s="44" t="s">
        <v>2338</v>
      </c>
      <c r="I2333" s="44" t="s">
        <v>2339</v>
      </c>
      <c r="J2333" s="44" t="s">
        <v>2425</v>
      </c>
      <c r="K2333" s="44" t="s">
        <v>4451</v>
      </c>
      <c r="L2333" s="44" t="s">
        <v>2333</v>
      </c>
      <c r="M2333" s="43">
        <v>26</v>
      </c>
      <c r="N2333" s="113"/>
      <c r="O2333" s="113"/>
      <c r="P2333" s="113"/>
      <c r="Q2333" s="113"/>
      <c r="R2333" s="113"/>
      <c r="S2333" s="113" t="s">
        <v>1113</v>
      </c>
      <c r="T2333" s="113"/>
      <c r="U2333" s="113"/>
      <c r="V2333" s="113"/>
      <c r="W2333" s="113"/>
      <c r="X2333" s="113"/>
      <c r="Y2333" s="113"/>
      <c r="Z2333" s="113"/>
      <c r="AA2333" s="113"/>
      <c r="AB2333" s="113"/>
      <c r="AC2333" s="113"/>
      <c r="AD2333" s="113"/>
      <c r="AE2333" s="113"/>
      <c r="AF2333" s="113"/>
      <c r="AG2333" s="113"/>
      <c r="AH2333" s="113"/>
      <c r="AI2333" s="113"/>
      <c r="AJ2333" s="113"/>
      <c r="AK2333" s="113" t="s">
        <v>1113</v>
      </c>
      <c r="AL2333" s="113"/>
      <c r="AM2333" s="113"/>
      <c r="AN2333" s="113"/>
      <c r="AO2333" s="44" t="s">
        <v>2334</v>
      </c>
      <c r="AP2333" s="43"/>
      <c r="AQ2333" s="236" t="str">
        <f>VLOOKUP(Table8[[#This Row],[Instrument]],Def_Targets!$D$73:$E$159,2,FALSE)</f>
        <v>I_Efficiencystd</v>
      </c>
      <c r="AR2333" s="233" t="str">
        <f>VLOOKUP(Table8[[#This Row],[Country Code]],Table29[],3,FALSE)</f>
        <v>Non-Annex I</v>
      </c>
      <c r="AS2333" s="233" t="str">
        <f>VLOOKUP(Table8[[#This Row],[Country Code]],Table29[],4,FALSE)</f>
        <v>Asia</v>
      </c>
      <c r="AT2333" s="233" t="str">
        <f>VLOOKUP(Table8[[#This Row],[Country Code]],Table29[],5,FALSE)</f>
        <v>High-income</v>
      </c>
      <c r="AU2333" s="233" t="str">
        <f>VLOOKUP(Table8[[#This Row],[Country Code]],Table29[],6,FALSE)</f>
        <v>no</v>
      </c>
      <c r="AV2333" s="233" t="str">
        <f>VLOOKUP(Table8[[#This Row],[Country Code]],Table29[],7,FALSE)</f>
        <v>no</v>
      </c>
      <c r="AW2333" s="233" t="str">
        <f>VLOOKUP(Table8[[#This Row],[Country Code]],Table29[],8,FALSE)</f>
        <v>non-OECD</v>
      </c>
      <c r="AX2333" s="233" t="str">
        <f>VLOOKUP(Table8[[#This Row],[Country Code]],Table29[],9,FALSE)</f>
        <v>no</v>
      </c>
      <c r="AY2333" s="233" t="str">
        <f>VLOOKUP(Table8[[#This Row],[Country Code]],Table29[],10,FALSE)</f>
        <v>MENA</v>
      </c>
      <c r="AZ2333" s="235">
        <f>VLOOKUP(Table8[[#This Row],[Country Code]],Table29[],23,FALSE)</f>
        <v>267.82319378585998</v>
      </c>
      <c r="BA2333" s="235">
        <f>VLOOKUP(Table8[[#This Row],[Country Code]],Table29[],24,FALSE)</f>
        <v>43.860911308351241</v>
      </c>
      <c r="BB2333" s="320"/>
      <c r="BC2333" s="320"/>
    </row>
    <row r="2334" spans="1:55" ht="75" hidden="1" x14ac:dyDescent="0.25">
      <c r="A2334" s="373">
        <v>39455</v>
      </c>
      <c r="B2334" s="233" t="str">
        <f>VLOOKUP(Table8[[#This Row],[Document ID]],Table1[],2,FALSE)</f>
        <v>ARE</v>
      </c>
      <c r="C2334" s="233" t="str">
        <f>VLOOKUP(Table8[[#This Row],[Document ID]],Table1[],3,FALSE)</f>
        <v>United Arab Emirates</v>
      </c>
      <c r="D2334" s="243" t="str">
        <f>VLOOKUP(Table8[[#This Row],[Document ID]],Table1[],5,FALSE)</f>
        <v>NDC</v>
      </c>
      <c r="E2334" s="233" t="str">
        <f>VLOOKUP(Table8[[#This Row],[Document ID]],Table1[],7,FALSE)</f>
        <v>Second NDC updated</v>
      </c>
      <c r="F2334" s="233" t="str">
        <f>VLOOKUP(Table8[[#This Row],[Document ID]],Table1[],8,FALSE)</f>
        <v>NDC 2.2</v>
      </c>
      <c r="G2334" s="233" t="str">
        <f>VLOOKUP(Table8[[#This Row],[Document ID]],Table1[],10,FALSE)</f>
        <v>Archived</v>
      </c>
      <c r="H2334" s="43" t="s">
        <v>2350</v>
      </c>
      <c r="I2334" s="43" t="s">
        <v>2370</v>
      </c>
      <c r="J2334" s="44" t="s">
        <v>2418</v>
      </c>
      <c r="K2334" s="44" t="s">
        <v>4452</v>
      </c>
      <c r="L2334" s="44" t="s">
        <v>2396</v>
      </c>
      <c r="M2334" s="43">
        <v>26</v>
      </c>
      <c r="N2334" s="113"/>
      <c r="O2334" s="113"/>
      <c r="P2334" s="113"/>
      <c r="Q2334" s="113" t="s">
        <v>1113</v>
      </c>
      <c r="R2334" s="113" t="s">
        <v>1113</v>
      </c>
      <c r="S2334" s="113"/>
      <c r="T2334" s="113"/>
      <c r="U2334" s="113"/>
      <c r="V2334" s="113"/>
      <c r="W2334" s="113"/>
      <c r="X2334" s="113"/>
      <c r="Y2334" s="113"/>
      <c r="Z2334" s="113"/>
      <c r="AA2334" s="113"/>
      <c r="AB2334" s="113"/>
      <c r="AC2334" s="113"/>
      <c r="AD2334" s="113"/>
      <c r="AE2334" s="113"/>
      <c r="AF2334" s="113"/>
      <c r="AG2334" s="113"/>
      <c r="AH2334" s="113"/>
      <c r="AI2334" s="113"/>
      <c r="AJ2334" s="113"/>
      <c r="AK2334" s="113"/>
      <c r="AL2334" s="113" t="s">
        <v>1113</v>
      </c>
      <c r="AM2334" s="113"/>
      <c r="AN2334" s="113"/>
      <c r="AO2334" s="44" t="s">
        <v>2334</v>
      </c>
      <c r="AP2334" s="43"/>
      <c r="AQ2334" s="236" t="str">
        <f>VLOOKUP(Table8[[#This Row],[Instrument]],Def_Targets!$D$73:$E$159,2,FALSE)</f>
        <v>A_Complan</v>
      </c>
      <c r="AR2334" s="233" t="str">
        <f>VLOOKUP(Table8[[#This Row],[Country Code]],Table29[],3,FALSE)</f>
        <v>Non-Annex I</v>
      </c>
      <c r="AS2334" s="233" t="str">
        <f>VLOOKUP(Table8[[#This Row],[Country Code]],Table29[],4,FALSE)</f>
        <v>Asia</v>
      </c>
      <c r="AT2334" s="233" t="str">
        <f>VLOOKUP(Table8[[#This Row],[Country Code]],Table29[],5,FALSE)</f>
        <v>High-income</v>
      </c>
      <c r="AU2334" s="233" t="str">
        <f>VLOOKUP(Table8[[#This Row],[Country Code]],Table29[],6,FALSE)</f>
        <v>no</v>
      </c>
      <c r="AV2334" s="233" t="str">
        <f>VLOOKUP(Table8[[#This Row],[Country Code]],Table29[],7,FALSE)</f>
        <v>no</v>
      </c>
      <c r="AW2334" s="233" t="str">
        <f>VLOOKUP(Table8[[#This Row],[Country Code]],Table29[],8,FALSE)</f>
        <v>non-OECD</v>
      </c>
      <c r="AX2334" s="233" t="str">
        <f>VLOOKUP(Table8[[#This Row],[Country Code]],Table29[],9,FALSE)</f>
        <v>no</v>
      </c>
      <c r="AY2334" s="233" t="str">
        <f>VLOOKUP(Table8[[#This Row],[Country Code]],Table29[],10,FALSE)</f>
        <v>MENA</v>
      </c>
      <c r="AZ2334" s="235">
        <f>VLOOKUP(Table8[[#This Row],[Country Code]],Table29[],23,FALSE)</f>
        <v>267.82319378585998</v>
      </c>
      <c r="BA2334" s="235">
        <f>VLOOKUP(Table8[[#This Row],[Country Code]],Table29[],24,FALSE)</f>
        <v>43.860911308351241</v>
      </c>
      <c r="BB2334" s="320"/>
      <c r="BC2334" s="320"/>
    </row>
    <row r="2335" spans="1:55" ht="30" hidden="1" x14ac:dyDescent="0.25">
      <c r="A2335" s="373">
        <v>39455</v>
      </c>
      <c r="B2335" s="233" t="str">
        <f>VLOOKUP(Table8[[#This Row],[Document ID]],Table1[],2,FALSE)</f>
        <v>ARE</v>
      </c>
      <c r="C2335" s="233" t="str">
        <f>VLOOKUP(Table8[[#This Row],[Document ID]],Table1[],3,FALSE)</f>
        <v>United Arab Emirates</v>
      </c>
      <c r="D2335" s="243" t="str">
        <f>VLOOKUP(Table8[[#This Row],[Document ID]],Table1[],5,FALSE)</f>
        <v>NDC</v>
      </c>
      <c r="E2335" s="233" t="str">
        <f>VLOOKUP(Table8[[#This Row],[Document ID]],Table1[],7,FALSE)</f>
        <v>Second NDC updated</v>
      </c>
      <c r="F2335" s="233" t="str">
        <f>VLOOKUP(Table8[[#This Row],[Document ID]],Table1[],8,FALSE)</f>
        <v>NDC 2.2</v>
      </c>
      <c r="G2335" s="233" t="str">
        <f>VLOOKUP(Table8[[#This Row],[Document ID]],Table1[],10,FALSE)</f>
        <v>Archived</v>
      </c>
      <c r="H2335" s="43" t="s">
        <v>2343</v>
      </c>
      <c r="I2335" s="43" t="s">
        <v>2361</v>
      </c>
      <c r="J2335" s="44" t="s">
        <v>2366</v>
      </c>
      <c r="K2335" s="44" t="s">
        <v>4453</v>
      </c>
      <c r="L2335" s="44" t="s">
        <v>2347</v>
      </c>
      <c r="M2335" s="43">
        <v>26</v>
      </c>
      <c r="N2335" s="113"/>
      <c r="O2335" s="113"/>
      <c r="P2335" s="113"/>
      <c r="Q2335" s="113" t="s">
        <v>1113</v>
      </c>
      <c r="R2335" s="113" t="s">
        <v>1113</v>
      </c>
      <c r="S2335" s="113"/>
      <c r="T2335" s="113"/>
      <c r="U2335" s="113"/>
      <c r="V2335" s="113"/>
      <c r="W2335" s="113"/>
      <c r="X2335" s="113"/>
      <c r="Y2335" s="113"/>
      <c r="Z2335" s="113"/>
      <c r="AA2335" s="113"/>
      <c r="AB2335" s="113"/>
      <c r="AC2335" s="113"/>
      <c r="AD2335" s="113"/>
      <c r="AE2335" s="113"/>
      <c r="AF2335" s="113"/>
      <c r="AG2335" s="113"/>
      <c r="AH2335" s="113"/>
      <c r="AI2335" s="113"/>
      <c r="AJ2335" s="113"/>
      <c r="AK2335" s="113"/>
      <c r="AL2335" s="113" t="s">
        <v>1113</v>
      </c>
      <c r="AM2335" s="113"/>
      <c r="AN2335" s="113"/>
      <c r="AO2335" s="44" t="s">
        <v>2334</v>
      </c>
      <c r="AP2335" s="43"/>
      <c r="AQ2335" s="236" t="str">
        <f>VLOOKUP(Table8[[#This Row],[Instrument]],Def_Targets!$D$73:$E$159,2,FALSE)</f>
        <v>S_Activemobility</v>
      </c>
      <c r="AR2335" s="233" t="str">
        <f>VLOOKUP(Table8[[#This Row],[Country Code]],Table29[],3,FALSE)</f>
        <v>Non-Annex I</v>
      </c>
      <c r="AS2335" s="233" t="str">
        <f>VLOOKUP(Table8[[#This Row],[Country Code]],Table29[],4,FALSE)</f>
        <v>Asia</v>
      </c>
      <c r="AT2335" s="233" t="str">
        <f>VLOOKUP(Table8[[#This Row],[Country Code]],Table29[],5,FALSE)</f>
        <v>High-income</v>
      </c>
      <c r="AU2335" s="233" t="str">
        <f>VLOOKUP(Table8[[#This Row],[Country Code]],Table29[],6,FALSE)</f>
        <v>no</v>
      </c>
      <c r="AV2335" s="233" t="str">
        <f>VLOOKUP(Table8[[#This Row],[Country Code]],Table29[],7,FALSE)</f>
        <v>no</v>
      </c>
      <c r="AW2335" s="233" t="str">
        <f>VLOOKUP(Table8[[#This Row],[Country Code]],Table29[],8,FALSE)</f>
        <v>non-OECD</v>
      </c>
      <c r="AX2335" s="233" t="str">
        <f>VLOOKUP(Table8[[#This Row],[Country Code]],Table29[],9,FALSE)</f>
        <v>no</v>
      </c>
      <c r="AY2335" s="233" t="str">
        <f>VLOOKUP(Table8[[#This Row],[Country Code]],Table29[],10,FALSE)</f>
        <v>MENA</v>
      </c>
      <c r="AZ2335" s="235">
        <f>VLOOKUP(Table8[[#This Row],[Country Code]],Table29[],23,FALSE)</f>
        <v>267.82319378585998</v>
      </c>
      <c r="BA2335" s="235">
        <f>VLOOKUP(Table8[[#This Row],[Country Code]],Table29[],24,FALSE)</f>
        <v>43.860911308351241</v>
      </c>
      <c r="BB2335" s="320"/>
      <c r="BC2335" s="320"/>
    </row>
    <row r="2336" spans="1:55" ht="45" hidden="1" x14ac:dyDescent="0.25">
      <c r="A2336" s="373">
        <v>39455</v>
      </c>
      <c r="B2336" s="233" t="str">
        <f>VLOOKUP(Table8[[#This Row],[Document ID]],Table1[],2,FALSE)</f>
        <v>ARE</v>
      </c>
      <c r="C2336" s="233" t="str">
        <f>VLOOKUP(Table8[[#This Row],[Document ID]],Table1[],3,FALSE)</f>
        <v>United Arab Emirates</v>
      </c>
      <c r="D2336" s="243" t="str">
        <f>VLOOKUP(Table8[[#This Row],[Document ID]],Table1[],5,FALSE)</f>
        <v>NDC</v>
      </c>
      <c r="E2336" s="233" t="str">
        <f>VLOOKUP(Table8[[#This Row],[Document ID]],Table1[],7,FALSE)</f>
        <v>Second NDC updated</v>
      </c>
      <c r="F2336" s="233" t="str">
        <f>VLOOKUP(Table8[[#This Row],[Document ID]],Table1[],8,FALSE)</f>
        <v>NDC 2.2</v>
      </c>
      <c r="G2336" s="233" t="str">
        <f>VLOOKUP(Table8[[#This Row],[Document ID]],Table1[],10,FALSE)</f>
        <v>Archived</v>
      </c>
      <c r="H2336" s="43" t="s">
        <v>2343</v>
      </c>
      <c r="I2336" s="43" t="s">
        <v>2344</v>
      </c>
      <c r="J2336" s="44" t="s">
        <v>2345</v>
      </c>
      <c r="K2336" s="44" t="s">
        <v>4454</v>
      </c>
      <c r="L2336" s="44" t="s">
        <v>2347</v>
      </c>
      <c r="M2336" s="43">
        <v>26</v>
      </c>
      <c r="N2336" s="113"/>
      <c r="O2336" s="113"/>
      <c r="P2336" s="113"/>
      <c r="Q2336" s="113"/>
      <c r="R2336" s="113" t="s">
        <v>1113</v>
      </c>
      <c r="S2336" s="113"/>
      <c r="T2336" s="113"/>
      <c r="U2336" s="113" t="s">
        <v>1113</v>
      </c>
      <c r="V2336" s="113"/>
      <c r="W2336" s="113"/>
      <c r="X2336" s="113"/>
      <c r="Y2336" s="113" t="s">
        <v>1113</v>
      </c>
      <c r="Z2336" s="113"/>
      <c r="AA2336" s="113"/>
      <c r="AB2336" s="113"/>
      <c r="AC2336" s="113"/>
      <c r="AD2336" s="113"/>
      <c r="AE2336" s="113"/>
      <c r="AF2336" s="113"/>
      <c r="AG2336" s="113"/>
      <c r="AH2336" s="113"/>
      <c r="AI2336" s="113"/>
      <c r="AJ2336" s="113"/>
      <c r="AK2336" s="113"/>
      <c r="AL2336" s="113" t="s">
        <v>1113</v>
      </c>
      <c r="AM2336" s="113"/>
      <c r="AN2336" s="113"/>
      <c r="AO2336" s="44" t="s">
        <v>2334</v>
      </c>
      <c r="AP2336" s="43"/>
      <c r="AQ2336" s="236" t="str">
        <f>VLOOKUP(Table8[[#This Row],[Instrument]],Def_Targets!$D$73:$E$159,2,FALSE)</f>
        <v>S_PublicTransport</v>
      </c>
      <c r="AR2336" s="233" t="str">
        <f>VLOOKUP(Table8[[#This Row],[Country Code]],Table29[],3,FALSE)</f>
        <v>Non-Annex I</v>
      </c>
      <c r="AS2336" s="233" t="str">
        <f>VLOOKUP(Table8[[#This Row],[Country Code]],Table29[],4,FALSE)</f>
        <v>Asia</v>
      </c>
      <c r="AT2336" s="233" t="str">
        <f>VLOOKUP(Table8[[#This Row],[Country Code]],Table29[],5,FALSE)</f>
        <v>High-income</v>
      </c>
      <c r="AU2336" s="233" t="str">
        <f>VLOOKUP(Table8[[#This Row],[Country Code]],Table29[],6,FALSE)</f>
        <v>no</v>
      </c>
      <c r="AV2336" s="233" t="str">
        <f>VLOOKUP(Table8[[#This Row],[Country Code]],Table29[],7,FALSE)</f>
        <v>no</v>
      </c>
      <c r="AW2336" s="233" t="str">
        <f>VLOOKUP(Table8[[#This Row],[Country Code]],Table29[],8,FALSE)</f>
        <v>non-OECD</v>
      </c>
      <c r="AX2336" s="233" t="str">
        <f>VLOOKUP(Table8[[#This Row],[Country Code]],Table29[],9,FALSE)</f>
        <v>no</v>
      </c>
      <c r="AY2336" s="233" t="str">
        <f>VLOOKUP(Table8[[#This Row],[Country Code]],Table29[],10,FALSE)</f>
        <v>MENA</v>
      </c>
      <c r="AZ2336" s="235">
        <f>VLOOKUP(Table8[[#This Row],[Country Code]],Table29[],23,FALSE)</f>
        <v>267.82319378585998</v>
      </c>
      <c r="BA2336" s="235">
        <f>VLOOKUP(Table8[[#This Row],[Country Code]],Table29[],24,FALSE)</f>
        <v>43.860911308351241</v>
      </c>
      <c r="BB2336" s="320"/>
      <c r="BC2336" s="320"/>
    </row>
    <row r="2337" spans="1:55" ht="30" hidden="1" x14ac:dyDescent="0.25">
      <c r="A2337" s="373">
        <v>39455</v>
      </c>
      <c r="B2337" s="233" t="str">
        <f>VLOOKUP(Table8[[#This Row],[Document ID]],Table1[],2,FALSE)</f>
        <v>ARE</v>
      </c>
      <c r="C2337" s="233" t="str">
        <f>VLOOKUP(Table8[[#This Row],[Document ID]],Table1[],3,FALSE)</f>
        <v>United Arab Emirates</v>
      </c>
      <c r="D2337" s="243" t="str">
        <f>VLOOKUP(Table8[[#This Row],[Document ID]],Table1[],5,FALSE)</f>
        <v>NDC</v>
      </c>
      <c r="E2337" s="233" t="str">
        <f>VLOOKUP(Table8[[#This Row],[Document ID]],Table1[],7,FALSE)</f>
        <v>Second NDC updated</v>
      </c>
      <c r="F2337" s="233" t="str">
        <f>VLOOKUP(Table8[[#This Row],[Document ID]],Table1[],8,FALSE)</f>
        <v>NDC 2.2</v>
      </c>
      <c r="G2337" s="233" t="str">
        <f>VLOOKUP(Table8[[#This Row],[Document ID]],Table1[],10,FALSE)</f>
        <v>Archived</v>
      </c>
      <c r="H2337" s="43" t="s">
        <v>2350</v>
      </c>
      <c r="I2337" s="43" t="s">
        <v>2456</v>
      </c>
      <c r="J2337" s="44" t="s">
        <v>2643</v>
      </c>
      <c r="K2337" s="44" t="s">
        <v>4455</v>
      </c>
      <c r="L2337" s="44" t="s">
        <v>2347</v>
      </c>
      <c r="M2337" s="43">
        <v>26</v>
      </c>
      <c r="N2337" s="113"/>
      <c r="O2337" s="113"/>
      <c r="P2337" s="113"/>
      <c r="Q2337" s="113" t="s">
        <v>1113</v>
      </c>
      <c r="R2337" s="113"/>
      <c r="S2337" s="113"/>
      <c r="T2337" s="113"/>
      <c r="U2337" s="113"/>
      <c r="V2337" s="113"/>
      <c r="W2337" s="113"/>
      <c r="X2337" s="113"/>
      <c r="Y2337" s="113"/>
      <c r="Z2337" s="113"/>
      <c r="AA2337" s="113"/>
      <c r="AB2337" s="113"/>
      <c r="AC2337" s="113"/>
      <c r="AD2337" s="113"/>
      <c r="AE2337" s="113"/>
      <c r="AF2337" s="113"/>
      <c r="AG2337" s="113"/>
      <c r="AH2337" s="113"/>
      <c r="AI2337" s="113"/>
      <c r="AJ2337" s="113"/>
      <c r="AK2337" s="113"/>
      <c r="AL2337" s="113" t="s">
        <v>1113</v>
      </c>
      <c r="AM2337" s="113"/>
      <c r="AN2337" s="113"/>
      <c r="AO2337" s="44" t="s">
        <v>2334</v>
      </c>
      <c r="AP2337" s="43"/>
      <c r="AQ2337" s="236" t="str">
        <f>VLOOKUP(Table8[[#This Row],[Instrument]],Def_Targets!$D$73:$E$159,2,FALSE)</f>
        <v>S_Intermodality</v>
      </c>
      <c r="AR2337" s="233" t="str">
        <f>VLOOKUP(Table8[[#This Row],[Country Code]],Table29[],3,FALSE)</f>
        <v>Non-Annex I</v>
      </c>
      <c r="AS2337" s="233" t="str">
        <f>VLOOKUP(Table8[[#This Row],[Country Code]],Table29[],4,FALSE)</f>
        <v>Asia</v>
      </c>
      <c r="AT2337" s="233" t="str">
        <f>VLOOKUP(Table8[[#This Row],[Country Code]],Table29[],5,FALSE)</f>
        <v>High-income</v>
      </c>
      <c r="AU2337" s="233" t="str">
        <f>VLOOKUP(Table8[[#This Row],[Country Code]],Table29[],6,FALSE)</f>
        <v>no</v>
      </c>
      <c r="AV2337" s="233" t="str">
        <f>VLOOKUP(Table8[[#This Row],[Country Code]],Table29[],7,FALSE)</f>
        <v>no</v>
      </c>
      <c r="AW2337" s="233" t="str">
        <f>VLOOKUP(Table8[[#This Row],[Country Code]],Table29[],8,FALSE)</f>
        <v>non-OECD</v>
      </c>
      <c r="AX2337" s="233" t="str">
        <f>VLOOKUP(Table8[[#This Row],[Country Code]],Table29[],9,FALSE)</f>
        <v>no</v>
      </c>
      <c r="AY2337" s="233" t="str">
        <f>VLOOKUP(Table8[[#This Row],[Country Code]],Table29[],10,FALSE)</f>
        <v>MENA</v>
      </c>
      <c r="AZ2337" s="235">
        <f>VLOOKUP(Table8[[#This Row],[Country Code]],Table29[],23,FALSE)</f>
        <v>267.82319378585998</v>
      </c>
      <c r="BA2337" s="235">
        <f>VLOOKUP(Table8[[#This Row],[Country Code]],Table29[],24,FALSE)</f>
        <v>43.860911308351241</v>
      </c>
      <c r="BB2337" s="320"/>
      <c r="BC2337" s="320"/>
    </row>
    <row r="2338" spans="1:55" ht="90" hidden="1" x14ac:dyDescent="0.25">
      <c r="A2338" s="373">
        <v>39455</v>
      </c>
      <c r="B2338" s="233" t="str">
        <f>VLOOKUP(Table8[[#This Row],[Document ID]],Table1[],2,FALSE)</f>
        <v>ARE</v>
      </c>
      <c r="C2338" s="233" t="str">
        <f>VLOOKUP(Table8[[#This Row],[Document ID]],Table1[],3,FALSE)</f>
        <v>United Arab Emirates</v>
      </c>
      <c r="D2338" s="243" t="str">
        <f>VLOOKUP(Table8[[#This Row],[Document ID]],Table1[],5,FALSE)</f>
        <v>NDC</v>
      </c>
      <c r="E2338" s="233" t="str">
        <f>VLOOKUP(Table8[[#This Row],[Document ID]],Table1[],7,FALSE)</f>
        <v>Second NDC updated</v>
      </c>
      <c r="F2338" s="233" t="str">
        <f>VLOOKUP(Table8[[#This Row],[Document ID]],Table1[],8,FALSE)</f>
        <v>NDC 2.2</v>
      </c>
      <c r="G2338" s="233" t="str">
        <f>VLOOKUP(Table8[[#This Row],[Document ID]],Table1[],10,FALSE)</f>
        <v>Archived</v>
      </c>
      <c r="H2338" s="43" t="s">
        <v>2343</v>
      </c>
      <c r="I2338" s="43" t="s">
        <v>2344</v>
      </c>
      <c r="J2338" s="44" t="s">
        <v>2405</v>
      </c>
      <c r="K2338" s="44" t="s">
        <v>4456</v>
      </c>
      <c r="L2338" s="44" t="s">
        <v>2347</v>
      </c>
      <c r="M2338" s="43">
        <v>26</v>
      </c>
      <c r="N2338" s="113" t="s">
        <v>1113</v>
      </c>
      <c r="O2338" s="113"/>
      <c r="P2338" s="113"/>
      <c r="Q2338" s="113"/>
      <c r="R2338" s="113"/>
      <c r="S2338" s="113"/>
      <c r="T2338" s="113"/>
      <c r="U2338" s="113"/>
      <c r="V2338" s="113"/>
      <c r="W2338" s="113"/>
      <c r="X2338" s="113"/>
      <c r="Y2338" s="113"/>
      <c r="Z2338" s="113"/>
      <c r="AA2338" s="113"/>
      <c r="AB2338" s="113"/>
      <c r="AC2338" s="113"/>
      <c r="AD2338" s="113"/>
      <c r="AE2338" s="113"/>
      <c r="AF2338" s="113"/>
      <c r="AG2338" s="113"/>
      <c r="AH2338" s="113"/>
      <c r="AI2338" s="113"/>
      <c r="AJ2338" s="113"/>
      <c r="AK2338" s="113" t="s">
        <v>1113</v>
      </c>
      <c r="AL2338" s="113"/>
      <c r="AM2338" s="113"/>
      <c r="AN2338" s="113"/>
      <c r="AO2338" s="44" t="s">
        <v>2334</v>
      </c>
      <c r="AP2338" s="43"/>
      <c r="AQ2338" s="236" t="str">
        <f>VLOOKUP(Table8[[#This Row],[Instrument]],Def_Targets!$D$73:$E$159,2,FALSE)</f>
        <v>S_PTIntegration</v>
      </c>
      <c r="AR2338" s="233" t="str">
        <f>VLOOKUP(Table8[[#This Row],[Country Code]],Table29[],3,FALSE)</f>
        <v>Non-Annex I</v>
      </c>
      <c r="AS2338" s="233" t="str">
        <f>VLOOKUP(Table8[[#This Row],[Country Code]],Table29[],4,FALSE)</f>
        <v>Asia</v>
      </c>
      <c r="AT2338" s="233" t="str">
        <f>VLOOKUP(Table8[[#This Row],[Country Code]],Table29[],5,FALSE)</f>
        <v>High-income</v>
      </c>
      <c r="AU2338" s="233" t="str">
        <f>VLOOKUP(Table8[[#This Row],[Country Code]],Table29[],6,FALSE)</f>
        <v>no</v>
      </c>
      <c r="AV2338" s="233" t="str">
        <f>VLOOKUP(Table8[[#This Row],[Country Code]],Table29[],7,FALSE)</f>
        <v>no</v>
      </c>
      <c r="AW2338" s="233" t="str">
        <f>VLOOKUP(Table8[[#This Row],[Country Code]],Table29[],8,FALSE)</f>
        <v>non-OECD</v>
      </c>
      <c r="AX2338" s="233" t="str">
        <f>VLOOKUP(Table8[[#This Row],[Country Code]],Table29[],9,FALSE)</f>
        <v>no</v>
      </c>
      <c r="AY2338" s="233" t="str">
        <f>VLOOKUP(Table8[[#This Row],[Country Code]],Table29[],10,FALSE)</f>
        <v>MENA</v>
      </c>
      <c r="AZ2338" s="235">
        <f>VLOOKUP(Table8[[#This Row],[Country Code]],Table29[],23,FALSE)</f>
        <v>267.82319378585998</v>
      </c>
      <c r="BA2338" s="235">
        <f>VLOOKUP(Table8[[#This Row],[Country Code]],Table29[],24,FALSE)</f>
        <v>43.860911308351241</v>
      </c>
      <c r="BB2338" s="320"/>
      <c r="BC2338" s="320"/>
    </row>
    <row r="2339" spans="1:55" ht="30" hidden="1" x14ac:dyDescent="0.25">
      <c r="A2339" s="373">
        <v>39455</v>
      </c>
      <c r="B2339" s="233" t="str">
        <f>VLOOKUP(Table8[[#This Row],[Document ID]],Table1[],2,FALSE)</f>
        <v>ARE</v>
      </c>
      <c r="C2339" s="233" t="str">
        <f>VLOOKUP(Table8[[#This Row],[Document ID]],Table1[],3,FALSE)</f>
        <v>United Arab Emirates</v>
      </c>
      <c r="D2339" s="243" t="str">
        <f>VLOOKUP(Table8[[#This Row],[Document ID]],Table1[],5,FALSE)</f>
        <v>NDC</v>
      </c>
      <c r="E2339" s="233" t="str">
        <f>VLOOKUP(Table8[[#This Row],[Document ID]],Table1[],7,FALSE)</f>
        <v>Second NDC updated</v>
      </c>
      <c r="F2339" s="233" t="str">
        <f>VLOOKUP(Table8[[#This Row],[Document ID]],Table1[],8,FALSE)</f>
        <v>NDC 2.2</v>
      </c>
      <c r="G2339" s="233" t="str">
        <f>VLOOKUP(Table8[[#This Row],[Document ID]],Table1[],10,FALSE)</f>
        <v>Archived</v>
      </c>
      <c r="H2339" s="43" t="s">
        <v>2350</v>
      </c>
      <c r="I2339" s="43" t="s">
        <v>2407</v>
      </c>
      <c r="J2339" s="44" t="s">
        <v>2408</v>
      </c>
      <c r="K2339" s="44" t="s">
        <v>4457</v>
      </c>
      <c r="L2339" s="44" t="s">
        <v>2347</v>
      </c>
      <c r="M2339" s="43">
        <v>26</v>
      </c>
      <c r="N2339" s="113" t="s">
        <v>1113</v>
      </c>
      <c r="O2339" s="113"/>
      <c r="P2339" s="113"/>
      <c r="Q2339" s="113"/>
      <c r="R2339" s="113"/>
      <c r="S2339" s="113"/>
      <c r="T2339" s="113"/>
      <c r="U2339" s="113"/>
      <c r="V2339" s="113"/>
      <c r="W2339" s="113"/>
      <c r="X2339" s="113"/>
      <c r="Y2339" s="113"/>
      <c r="Z2339" s="113"/>
      <c r="AA2339" s="113"/>
      <c r="AB2339" s="113"/>
      <c r="AC2339" s="113"/>
      <c r="AD2339" s="113"/>
      <c r="AE2339" s="113"/>
      <c r="AF2339" s="113"/>
      <c r="AG2339" s="113"/>
      <c r="AH2339" s="113"/>
      <c r="AI2339" s="113"/>
      <c r="AJ2339" s="113"/>
      <c r="AK2339" s="113" t="s">
        <v>1113</v>
      </c>
      <c r="AL2339" s="113"/>
      <c r="AM2339" s="113"/>
      <c r="AN2339" s="113"/>
      <c r="AO2339" s="44" t="s">
        <v>2334</v>
      </c>
      <c r="AP2339" s="43"/>
      <c r="AQ2339" s="236" t="str">
        <f>VLOOKUP(Table8[[#This Row],[Instrument]],Def_Targets!$D$73:$E$159,2,FALSE)</f>
        <v>I_Education</v>
      </c>
      <c r="AR2339" s="233" t="str">
        <f>VLOOKUP(Table8[[#This Row],[Country Code]],Table29[],3,FALSE)</f>
        <v>Non-Annex I</v>
      </c>
      <c r="AS2339" s="233" t="str">
        <f>VLOOKUP(Table8[[#This Row],[Country Code]],Table29[],4,FALSE)</f>
        <v>Asia</v>
      </c>
      <c r="AT2339" s="233" t="str">
        <f>VLOOKUP(Table8[[#This Row],[Country Code]],Table29[],5,FALSE)</f>
        <v>High-income</v>
      </c>
      <c r="AU2339" s="233" t="str">
        <f>VLOOKUP(Table8[[#This Row],[Country Code]],Table29[],6,FALSE)</f>
        <v>no</v>
      </c>
      <c r="AV2339" s="233" t="str">
        <f>VLOOKUP(Table8[[#This Row],[Country Code]],Table29[],7,FALSE)</f>
        <v>no</v>
      </c>
      <c r="AW2339" s="233" t="str">
        <f>VLOOKUP(Table8[[#This Row],[Country Code]],Table29[],8,FALSE)</f>
        <v>non-OECD</v>
      </c>
      <c r="AX2339" s="233" t="str">
        <f>VLOOKUP(Table8[[#This Row],[Country Code]],Table29[],9,FALSE)</f>
        <v>no</v>
      </c>
      <c r="AY2339" s="233" t="str">
        <f>VLOOKUP(Table8[[#This Row],[Country Code]],Table29[],10,FALSE)</f>
        <v>MENA</v>
      </c>
      <c r="AZ2339" s="235">
        <f>VLOOKUP(Table8[[#This Row],[Country Code]],Table29[],23,FALSE)</f>
        <v>267.82319378585998</v>
      </c>
      <c r="BA2339" s="235">
        <f>VLOOKUP(Table8[[#This Row],[Country Code]],Table29[],24,FALSE)</f>
        <v>43.860911308351241</v>
      </c>
      <c r="BB2339" s="320"/>
      <c r="BC2339" s="320"/>
    </row>
    <row r="2340" spans="1:55" ht="30" hidden="1" x14ac:dyDescent="0.25">
      <c r="A2340" s="373">
        <v>39455</v>
      </c>
      <c r="B2340" s="233" t="str">
        <f>VLOOKUP(Table8[[#This Row],[Document ID]],Table1[],2,FALSE)</f>
        <v>ARE</v>
      </c>
      <c r="C2340" s="233" t="str">
        <f>VLOOKUP(Table8[[#This Row],[Document ID]],Table1[],3,FALSE)</f>
        <v>United Arab Emirates</v>
      </c>
      <c r="D2340" s="243" t="str">
        <f>VLOOKUP(Table8[[#This Row],[Document ID]],Table1[],5,FALSE)</f>
        <v>NDC</v>
      </c>
      <c r="E2340" s="233" t="str">
        <f>VLOOKUP(Table8[[#This Row],[Document ID]],Table1[],7,FALSE)</f>
        <v>Second NDC updated</v>
      </c>
      <c r="F2340" s="233" t="str">
        <f>VLOOKUP(Table8[[#This Row],[Document ID]],Table1[],8,FALSE)</f>
        <v>NDC 2.2</v>
      </c>
      <c r="G2340" s="233" t="str">
        <f>VLOOKUP(Table8[[#This Row],[Document ID]],Table1[],10,FALSE)</f>
        <v>Archived</v>
      </c>
      <c r="H2340" s="43" t="s">
        <v>2343</v>
      </c>
      <c r="I2340" s="43" t="s">
        <v>2344</v>
      </c>
      <c r="J2340" s="44" t="s">
        <v>2564</v>
      </c>
      <c r="K2340" s="44" t="s">
        <v>4458</v>
      </c>
      <c r="L2340" s="44" t="s">
        <v>2347</v>
      </c>
      <c r="M2340" s="43">
        <v>26</v>
      </c>
      <c r="N2340" s="113"/>
      <c r="O2340" s="113"/>
      <c r="P2340" s="113"/>
      <c r="Q2340" s="113"/>
      <c r="R2340" s="113"/>
      <c r="S2340" s="113"/>
      <c r="T2340" s="113"/>
      <c r="U2340" s="113"/>
      <c r="V2340" s="113"/>
      <c r="W2340" s="113"/>
      <c r="X2340" s="113"/>
      <c r="Y2340" s="113" t="s">
        <v>1113</v>
      </c>
      <c r="Z2340" s="113"/>
      <c r="AA2340" s="113"/>
      <c r="AB2340" s="113"/>
      <c r="AC2340" s="113"/>
      <c r="AD2340" s="113"/>
      <c r="AE2340" s="113"/>
      <c r="AF2340" s="113"/>
      <c r="AG2340" s="113"/>
      <c r="AH2340" s="113"/>
      <c r="AI2340" s="113"/>
      <c r="AJ2340" s="113"/>
      <c r="AK2340" s="113" t="s">
        <v>1113</v>
      </c>
      <c r="AL2340" s="113"/>
      <c r="AM2340" s="113"/>
      <c r="AN2340" s="113"/>
      <c r="AO2340" s="44" t="s">
        <v>2334</v>
      </c>
      <c r="AP2340" s="43"/>
      <c r="AQ2340" s="236" t="str">
        <f>VLOOKUP(Table8[[#This Row],[Instrument]],Def_Targets!$D$73:$E$159,2,FALSE)</f>
        <v>S_PTPriority</v>
      </c>
      <c r="AR2340" s="233" t="str">
        <f>VLOOKUP(Table8[[#This Row],[Country Code]],Table29[],3,FALSE)</f>
        <v>Non-Annex I</v>
      </c>
      <c r="AS2340" s="233" t="str">
        <f>VLOOKUP(Table8[[#This Row],[Country Code]],Table29[],4,FALSE)</f>
        <v>Asia</v>
      </c>
      <c r="AT2340" s="233" t="str">
        <f>VLOOKUP(Table8[[#This Row],[Country Code]],Table29[],5,FALSE)</f>
        <v>High-income</v>
      </c>
      <c r="AU2340" s="233" t="str">
        <f>VLOOKUP(Table8[[#This Row],[Country Code]],Table29[],6,FALSE)</f>
        <v>no</v>
      </c>
      <c r="AV2340" s="233" t="str">
        <f>VLOOKUP(Table8[[#This Row],[Country Code]],Table29[],7,FALSE)</f>
        <v>no</v>
      </c>
      <c r="AW2340" s="233" t="str">
        <f>VLOOKUP(Table8[[#This Row],[Country Code]],Table29[],8,FALSE)</f>
        <v>non-OECD</v>
      </c>
      <c r="AX2340" s="233" t="str">
        <f>VLOOKUP(Table8[[#This Row],[Country Code]],Table29[],9,FALSE)</f>
        <v>no</v>
      </c>
      <c r="AY2340" s="233" t="str">
        <f>VLOOKUP(Table8[[#This Row],[Country Code]],Table29[],10,FALSE)</f>
        <v>MENA</v>
      </c>
      <c r="AZ2340" s="235">
        <f>VLOOKUP(Table8[[#This Row],[Country Code]],Table29[],23,FALSE)</f>
        <v>267.82319378585998</v>
      </c>
      <c r="BA2340" s="235">
        <f>VLOOKUP(Table8[[#This Row],[Country Code]],Table29[],24,FALSE)</f>
        <v>43.860911308351241</v>
      </c>
      <c r="BB2340" s="320"/>
      <c r="BC2340" s="320"/>
    </row>
    <row r="2341" spans="1:55" ht="75" hidden="1" x14ac:dyDescent="0.25">
      <c r="A2341" s="373">
        <v>39455</v>
      </c>
      <c r="B2341" s="233" t="str">
        <f>VLOOKUP(Table8[[#This Row],[Document ID]],Table1[],2,FALSE)</f>
        <v>ARE</v>
      </c>
      <c r="C2341" s="233" t="str">
        <f>VLOOKUP(Table8[[#This Row],[Document ID]],Table1[],3,FALSE)</f>
        <v>United Arab Emirates</v>
      </c>
      <c r="D2341" s="243" t="str">
        <f>VLOOKUP(Table8[[#This Row],[Document ID]],Table1[],5,FALSE)</f>
        <v>NDC</v>
      </c>
      <c r="E2341" s="233" t="str">
        <f>VLOOKUP(Table8[[#This Row],[Document ID]],Table1[],7,FALSE)</f>
        <v>Second NDC updated</v>
      </c>
      <c r="F2341" s="233" t="str">
        <f>VLOOKUP(Table8[[#This Row],[Document ID]],Table1[],8,FALSE)</f>
        <v>NDC 2.2</v>
      </c>
      <c r="G2341" s="233" t="str">
        <f>VLOOKUP(Table8[[#This Row],[Document ID]],Table1[],10,FALSE)</f>
        <v>Archived</v>
      </c>
      <c r="H2341" s="43" t="s">
        <v>2358</v>
      </c>
      <c r="I2341" s="43" t="s">
        <v>2359</v>
      </c>
      <c r="J2341" s="44" t="s">
        <v>2389</v>
      </c>
      <c r="K2341" s="44" t="s">
        <v>4459</v>
      </c>
      <c r="L2341" s="44" t="s">
        <v>2333</v>
      </c>
      <c r="M2341" s="43">
        <v>26</v>
      </c>
      <c r="N2341" s="113"/>
      <c r="O2341" s="113"/>
      <c r="P2341" s="113"/>
      <c r="Q2341" s="113"/>
      <c r="R2341" s="113"/>
      <c r="S2341" s="113" t="s">
        <v>1113</v>
      </c>
      <c r="T2341" s="113"/>
      <c r="U2341" s="113"/>
      <c r="V2341" s="113"/>
      <c r="W2341" s="113"/>
      <c r="X2341" s="113"/>
      <c r="Y2341" s="113"/>
      <c r="Z2341" s="113"/>
      <c r="AA2341" s="113"/>
      <c r="AB2341" s="113"/>
      <c r="AC2341" s="113"/>
      <c r="AD2341" s="113"/>
      <c r="AE2341" s="113"/>
      <c r="AF2341" s="113"/>
      <c r="AG2341" s="113"/>
      <c r="AH2341" s="113"/>
      <c r="AI2341" s="113"/>
      <c r="AJ2341" s="113"/>
      <c r="AK2341" s="113" t="s">
        <v>1113</v>
      </c>
      <c r="AL2341" s="113"/>
      <c r="AM2341" s="113"/>
      <c r="AN2341" s="113"/>
      <c r="AO2341" s="44" t="s">
        <v>2334</v>
      </c>
      <c r="AP2341" s="43"/>
      <c r="AQ2341" s="236" t="str">
        <f>VLOOKUP(Table8[[#This Row],[Instrument]],Def_Targets!$D$73:$E$159,2,FALSE)</f>
        <v>I_Emobilitypurchase</v>
      </c>
      <c r="AR2341" s="233" t="str">
        <f>VLOOKUP(Table8[[#This Row],[Country Code]],Table29[],3,FALSE)</f>
        <v>Non-Annex I</v>
      </c>
      <c r="AS2341" s="233" t="str">
        <f>VLOOKUP(Table8[[#This Row],[Country Code]],Table29[],4,FALSE)</f>
        <v>Asia</v>
      </c>
      <c r="AT2341" s="233" t="str">
        <f>VLOOKUP(Table8[[#This Row],[Country Code]],Table29[],5,FALSE)</f>
        <v>High-income</v>
      </c>
      <c r="AU2341" s="233" t="str">
        <f>VLOOKUP(Table8[[#This Row],[Country Code]],Table29[],6,FALSE)</f>
        <v>no</v>
      </c>
      <c r="AV2341" s="233" t="str">
        <f>VLOOKUP(Table8[[#This Row],[Country Code]],Table29[],7,FALSE)</f>
        <v>no</v>
      </c>
      <c r="AW2341" s="233" t="str">
        <f>VLOOKUP(Table8[[#This Row],[Country Code]],Table29[],8,FALSE)</f>
        <v>non-OECD</v>
      </c>
      <c r="AX2341" s="233" t="str">
        <f>VLOOKUP(Table8[[#This Row],[Country Code]],Table29[],9,FALSE)</f>
        <v>no</v>
      </c>
      <c r="AY2341" s="233" t="str">
        <f>VLOOKUP(Table8[[#This Row],[Country Code]],Table29[],10,FALSE)</f>
        <v>MENA</v>
      </c>
      <c r="AZ2341" s="235">
        <f>VLOOKUP(Table8[[#This Row],[Country Code]],Table29[],23,FALSE)</f>
        <v>267.82319378585998</v>
      </c>
      <c r="BA2341" s="235">
        <f>VLOOKUP(Table8[[#This Row],[Country Code]],Table29[],24,FALSE)</f>
        <v>43.860911308351241</v>
      </c>
      <c r="BB2341" s="320"/>
      <c r="BC2341" s="320"/>
    </row>
    <row r="2342" spans="1:55" ht="75" hidden="1" x14ac:dyDescent="0.25">
      <c r="A2342" s="373">
        <v>39455</v>
      </c>
      <c r="B2342" s="233" t="str">
        <f>VLOOKUP(Table8[[#This Row],[Document ID]],Table1[],2,FALSE)</f>
        <v>ARE</v>
      </c>
      <c r="C2342" s="233" t="str">
        <f>VLOOKUP(Table8[[#This Row],[Document ID]],Table1[],3,FALSE)</f>
        <v>United Arab Emirates</v>
      </c>
      <c r="D2342" s="243" t="str">
        <f>VLOOKUP(Table8[[#This Row],[Document ID]],Table1[],5,FALSE)</f>
        <v>NDC</v>
      </c>
      <c r="E2342" s="233" t="str">
        <f>VLOOKUP(Table8[[#This Row],[Document ID]],Table1[],7,FALSE)</f>
        <v>Second NDC updated</v>
      </c>
      <c r="F2342" s="233" t="str">
        <f>VLOOKUP(Table8[[#This Row],[Document ID]],Table1[],8,FALSE)</f>
        <v>NDC 2.2</v>
      </c>
      <c r="G2342" s="233" t="str">
        <f>VLOOKUP(Table8[[#This Row],[Document ID]],Table1[],10,FALSE)</f>
        <v>Archived</v>
      </c>
      <c r="H2342" s="43" t="s">
        <v>2358</v>
      </c>
      <c r="I2342" s="43" t="s">
        <v>2359</v>
      </c>
      <c r="J2342" s="44" t="s">
        <v>2383</v>
      </c>
      <c r="K2342" s="44" t="s">
        <v>4460</v>
      </c>
      <c r="L2342" s="44" t="s">
        <v>2333</v>
      </c>
      <c r="M2342" s="43" t="s">
        <v>4461</v>
      </c>
      <c r="N2342" s="113"/>
      <c r="O2342" s="113"/>
      <c r="P2342" s="113"/>
      <c r="Q2342" s="113"/>
      <c r="R2342" s="113"/>
      <c r="S2342" s="113" t="s">
        <v>1113</v>
      </c>
      <c r="T2342" s="113"/>
      <c r="U2342" s="113"/>
      <c r="V2342" s="113"/>
      <c r="W2342" s="113"/>
      <c r="X2342" s="113"/>
      <c r="Y2342" s="113"/>
      <c r="Z2342" s="113"/>
      <c r="AA2342" s="113"/>
      <c r="AB2342" s="113"/>
      <c r="AC2342" s="113"/>
      <c r="AD2342" s="113"/>
      <c r="AE2342" s="113"/>
      <c r="AF2342" s="113"/>
      <c r="AG2342" s="113"/>
      <c r="AH2342" s="113"/>
      <c r="AI2342" s="113"/>
      <c r="AJ2342" s="113"/>
      <c r="AK2342" s="113" t="s">
        <v>1113</v>
      </c>
      <c r="AL2342" s="113"/>
      <c r="AM2342" s="113"/>
      <c r="AN2342" s="113"/>
      <c r="AO2342" s="44" t="s">
        <v>2334</v>
      </c>
      <c r="AP2342" s="43"/>
      <c r="AQ2342" s="236" t="str">
        <f>VLOOKUP(Table8[[#This Row],[Instrument]],Def_Targets!$D$73:$E$159,2,FALSE)</f>
        <v>I_Emobilitycharging</v>
      </c>
      <c r="AR2342" s="233" t="str">
        <f>VLOOKUP(Table8[[#This Row],[Country Code]],Table29[],3,FALSE)</f>
        <v>Non-Annex I</v>
      </c>
      <c r="AS2342" s="233" t="str">
        <f>VLOOKUP(Table8[[#This Row],[Country Code]],Table29[],4,FALSE)</f>
        <v>Asia</v>
      </c>
      <c r="AT2342" s="233" t="str">
        <f>VLOOKUP(Table8[[#This Row],[Country Code]],Table29[],5,FALSE)</f>
        <v>High-income</v>
      </c>
      <c r="AU2342" s="233" t="str">
        <f>VLOOKUP(Table8[[#This Row],[Country Code]],Table29[],6,FALSE)</f>
        <v>no</v>
      </c>
      <c r="AV2342" s="233" t="str">
        <f>VLOOKUP(Table8[[#This Row],[Country Code]],Table29[],7,FALSE)</f>
        <v>no</v>
      </c>
      <c r="AW2342" s="233" t="str">
        <f>VLOOKUP(Table8[[#This Row],[Country Code]],Table29[],8,FALSE)</f>
        <v>non-OECD</v>
      </c>
      <c r="AX2342" s="233" t="str">
        <f>VLOOKUP(Table8[[#This Row],[Country Code]],Table29[],9,FALSE)</f>
        <v>no</v>
      </c>
      <c r="AY2342" s="233" t="str">
        <f>VLOOKUP(Table8[[#This Row],[Country Code]],Table29[],10,FALSE)</f>
        <v>MENA</v>
      </c>
      <c r="AZ2342" s="235">
        <f>VLOOKUP(Table8[[#This Row],[Country Code]],Table29[],23,FALSE)</f>
        <v>267.82319378585998</v>
      </c>
      <c r="BA2342" s="235">
        <f>VLOOKUP(Table8[[#This Row],[Country Code]],Table29[],24,FALSE)</f>
        <v>43.860911308351241</v>
      </c>
      <c r="BB2342" s="320"/>
      <c r="BC2342" s="320"/>
    </row>
    <row r="2343" spans="1:55" ht="30" hidden="1" x14ac:dyDescent="0.25">
      <c r="A2343" s="373">
        <v>39455</v>
      </c>
      <c r="B2343" s="233" t="str">
        <f>VLOOKUP(Table8[[#This Row],[Document ID]],Table1[],2,FALSE)</f>
        <v>ARE</v>
      </c>
      <c r="C2343" s="233" t="str">
        <f>VLOOKUP(Table8[[#This Row],[Document ID]],Table1[],3,FALSE)</f>
        <v>United Arab Emirates</v>
      </c>
      <c r="D2343" s="243" t="str">
        <f>VLOOKUP(Table8[[#This Row],[Document ID]],Table1[],5,FALSE)</f>
        <v>NDC</v>
      </c>
      <c r="E2343" s="233" t="str">
        <f>VLOOKUP(Table8[[#This Row],[Document ID]],Table1[],7,FALSE)</f>
        <v>Second NDC updated</v>
      </c>
      <c r="F2343" s="233" t="str">
        <f>VLOOKUP(Table8[[#This Row],[Document ID]],Table1[],8,FALSE)</f>
        <v>NDC 2.2</v>
      </c>
      <c r="G2343" s="233" t="str">
        <f>VLOOKUP(Table8[[#This Row],[Document ID]],Table1[],10,FALSE)</f>
        <v>Archived</v>
      </c>
      <c r="H2343" s="44" t="s">
        <v>2329</v>
      </c>
      <c r="I2343" s="44" t="s">
        <v>2330</v>
      </c>
      <c r="J2343" s="44" t="s">
        <v>2414</v>
      </c>
      <c r="K2343" s="44" t="s">
        <v>4462</v>
      </c>
      <c r="L2343" s="44" t="s">
        <v>2333</v>
      </c>
      <c r="M2343" s="43">
        <v>27</v>
      </c>
      <c r="N2343" s="113"/>
      <c r="O2343" s="113"/>
      <c r="P2343" s="113"/>
      <c r="Q2343" s="113"/>
      <c r="R2343" s="113"/>
      <c r="S2343" s="113" t="s">
        <v>1113</v>
      </c>
      <c r="T2343" s="113"/>
      <c r="U2343" s="113"/>
      <c r="V2343" s="113"/>
      <c r="W2343" s="113"/>
      <c r="X2343" s="113"/>
      <c r="Y2343" s="113"/>
      <c r="Z2343" s="113"/>
      <c r="AA2343" s="113"/>
      <c r="AB2343" s="113"/>
      <c r="AC2343" s="113"/>
      <c r="AD2343" s="113"/>
      <c r="AE2343" s="113"/>
      <c r="AF2343" s="113"/>
      <c r="AG2343" s="113"/>
      <c r="AH2343" s="113"/>
      <c r="AI2343" s="113"/>
      <c r="AJ2343" s="113"/>
      <c r="AK2343" s="113" t="s">
        <v>1113</v>
      </c>
      <c r="AL2343" s="113"/>
      <c r="AM2343" s="113"/>
      <c r="AN2343" s="113"/>
      <c r="AO2343" s="44" t="s">
        <v>2334</v>
      </c>
      <c r="AP2343" s="43"/>
      <c r="AQ2343" s="236" t="str">
        <f>VLOOKUP(Table8[[#This Row],[Instrument]],Def_Targets!$D$73:$E$159,2,FALSE)</f>
        <v>I_ICEdiesel</v>
      </c>
      <c r="AR2343" s="233" t="str">
        <f>VLOOKUP(Table8[[#This Row],[Country Code]],Table29[],3,FALSE)</f>
        <v>Non-Annex I</v>
      </c>
      <c r="AS2343" s="233" t="str">
        <f>VLOOKUP(Table8[[#This Row],[Country Code]],Table29[],4,FALSE)</f>
        <v>Asia</v>
      </c>
      <c r="AT2343" s="233" t="str">
        <f>VLOOKUP(Table8[[#This Row],[Country Code]],Table29[],5,FALSE)</f>
        <v>High-income</v>
      </c>
      <c r="AU2343" s="233" t="str">
        <f>VLOOKUP(Table8[[#This Row],[Country Code]],Table29[],6,FALSE)</f>
        <v>no</v>
      </c>
      <c r="AV2343" s="233" t="str">
        <f>VLOOKUP(Table8[[#This Row],[Country Code]],Table29[],7,FALSE)</f>
        <v>no</v>
      </c>
      <c r="AW2343" s="233" t="str">
        <f>VLOOKUP(Table8[[#This Row],[Country Code]],Table29[],8,FALSE)</f>
        <v>non-OECD</v>
      </c>
      <c r="AX2343" s="233" t="str">
        <f>VLOOKUP(Table8[[#This Row],[Country Code]],Table29[],9,FALSE)</f>
        <v>no</v>
      </c>
      <c r="AY2343" s="233" t="str">
        <f>VLOOKUP(Table8[[#This Row],[Country Code]],Table29[],10,FALSE)</f>
        <v>MENA</v>
      </c>
      <c r="AZ2343" s="235">
        <f>VLOOKUP(Table8[[#This Row],[Country Code]],Table29[],23,FALSE)</f>
        <v>267.82319378585998</v>
      </c>
      <c r="BA2343" s="235">
        <f>VLOOKUP(Table8[[#This Row],[Country Code]],Table29[],24,FALSE)</f>
        <v>43.860911308351241</v>
      </c>
      <c r="BB2343" s="320"/>
      <c r="BC2343" s="320"/>
    </row>
    <row r="2344" spans="1:55" ht="60" hidden="1" x14ac:dyDescent="0.25">
      <c r="A2344" s="373">
        <v>39455</v>
      </c>
      <c r="B2344" s="233" t="str">
        <f>VLOOKUP(Table8[[#This Row],[Document ID]],Table1[],2,FALSE)</f>
        <v>ARE</v>
      </c>
      <c r="C2344" s="233" t="str">
        <f>VLOOKUP(Table8[[#This Row],[Document ID]],Table1[],3,FALSE)</f>
        <v>United Arab Emirates</v>
      </c>
      <c r="D2344" s="243" t="str">
        <f>VLOOKUP(Table8[[#This Row],[Document ID]],Table1[],5,FALSE)</f>
        <v>NDC</v>
      </c>
      <c r="E2344" s="233" t="str">
        <f>VLOOKUP(Table8[[#This Row],[Document ID]],Table1[],7,FALSE)</f>
        <v>Second NDC updated</v>
      </c>
      <c r="F2344" s="233" t="str">
        <f>VLOOKUP(Table8[[#This Row],[Document ID]],Table1[],8,FALSE)</f>
        <v>NDC 2.2</v>
      </c>
      <c r="G2344" s="233" t="str">
        <f>VLOOKUP(Table8[[#This Row],[Document ID]],Table1[],10,FALSE)</f>
        <v>Archived</v>
      </c>
      <c r="H2344" s="43" t="s">
        <v>2358</v>
      </c>
      <c r="I2344" s="43" t="s">
        <v>2359</v>
      </c>
      <c r="J2344" s="44" t="s">
        <v>2383</v>
      </c>
      <c r="K2344" s="44" t="s">
        <v>4463</v>
      </c>
      <c r="L2344" s="44" t="s">
        <v>2333</v>
      </c>
      <c r="M2344" s="43">
        <v>27</v>
      </c>
      <c r="N2344" s="113"/>
      <c r="O2344" s="113"/>
      <c r="P2344" s="113"/>
      <c r="Q2344" s="113"/>
      <c r="R2344" s="113"/>
      <c r="S2344" s="113" t="s">
        <v>1113</v>
      </c>
      <c r="T2344" s="113"/>
      <c r="U2344" s="113"/>
      <c r="V2344" s="113"/>
      <c r="W2344" s="113"/>
      <c r="X2344" s="113"/>
      <c r="Y2344" s="113"/>
      <c r="Z2344" s="113"/>
      <c r="AA2344" s="113"/>
      <c r="AB2344" s="113"/>
      <c r="AC2344" s="113"/>
      <c r="AD2344" s="113"/>
      <c r="AE2344" s="113"/>
      <c r="AF2344" s="113"/>
      <c r="AG2344" s="113"/>
      <c r="AH2344" s="113"/>
      <c r="AI2344" s="113"/>
      <c r="AJ2344" s="113"/>
      <c r="AK2344" s="113" t="s">
        <v>1113</v>
      </c>
      <c r="AL2344" s="113"/>
      <c r="AM2344" s="113"/>
      <c r="AN2344" s="113"/>
      <c r="AO2344" s="44" t="s">
        <v>2334</v>
      </c>
      <c r="AP2344" s="43"/>
      <c r="AQ2344" s="236" t="str">
        <f>VLOOKUP(Table8[[#This Row],[Instrument]],Def_Targets!$D$73:$E$159,2,FALSE)</f>
        <v>I_Emobilitycharging</v>
      </c>
      <c r="AR2344" s="233" t="str">
        <f>VLOOKUP(Table8[[#This Row],[Country Code]],Table29[],3,FALSE)</f>
        <v>Non-Annex I</v>
      </c>
      <c r="AS2344" s="233" t="str">
        <f>VLOOKUP(Table8[[#This Row],[Country Code]],Table29[],4,FALSE)</f>
        <v>Asia</v>
      </c>
      <c r="AT2344" s="233" t="str">
        <f>VLOOKUP(Table8[[#This Row],[Country Code]],Table29[],5,FALSE)</f>
        <v>High-income</v>
      </c>
      <c r="AU2344" s="233" t="str">
        <f>VLOOKUP(Table8[[#This Row],[Country Code]],Table29[],6,FALSE)</f>
        <v>no</v>
      </c>
      <c r="AV2344" s="233" t="str">
        <f>VLOOKUP(Table8[[#This Row],[Country Code]],Table29[],7,FALSE)</f>
        <v>no</v>
      </c>
      <c r="AW2344" s="233" t="str">
        <f>VLOOKUP(Table8[[#This Row],[Country Code]],Table29[],8,FALSE)</f>
        <v>non-OECD</v>
      </c>
      <c r="AX2344" s="233" t="str">
        <f>VLOOKUP(Table8[[#This Row],[Country Code]],Table29[],9,FALSE)</f>
        <v>no</v>
      </c>
      <c r="AY2344" s="233" t="str">
        <f>VLOOKUP(Table8[[#This Row],[Country Code]],Table29[],10,FALSE)</f>
        <v>MENA</v>
      </c>
      <c r="AZ2344" s="235">
        <f>VLOOKUP(Table8[[#This Row],[Country Code]],Table29[],23,FALSE)</f>
        <v>267.82319378585998</v>
      </c>
      <c r="BA2344" s="235">
        <f>VLOOKUP(Table8[[#This Row],[Country Code]],Table29[],24,FALSE)</f>
        <v>43.860911308351241</v>
      </c>
      <c r="BB2344" s="320"/>
      <c r="BC2344" s="320"/>
    </row>
    <row r="2345" spans="1:55" ht="30" hidden="1" x14ac:dyDescent="0.25">
      <c r="A2345" s="373">
        <v>39455</v>
      </c>
      <c r="B2345" s="233" t="str">
        <f>VLOOKUP(Table8[[#This Row],[Document ID]],Table1[],2,FALSE)</f>
        <v>ARE</v>
      </c>
      <c r="C2345" s="233" t="str">
        <f>VLOOKUP(Table8[[#This Row],[Document ID]],Table1[],3,FALSE)</f>
        <v>United Arab Emirates</v>
      </c>
      <c r="D2345" s="243" t="str">
        <f>VLOOKUP(Table8[[#This Row],[Document ID]],Table1[],5,FALSE)</f>
        <v>NDC</v>
      </c>
      <c r="E2345" s="233" t="str">
        <f>VLOOKUP(Table8[[#This Row],[Document ID]],Table1[],7,FALSE)</f>
        <v>Second NDC updated</v>
      </c>
      <c r="F2345" s="233" t="str">
        <f>VLOOKUP(Table8[[#This Row],[Document ID]],Table1[],8,FALSE)</f>
        <v>NDC 2.2</v>
      </c>
      <c r="G2345" s="233" t="str">
        <f>VLOOKUP(Table8[[#This Row],[Document ID]],Table1[],10,FALSE)</f>
        <v>Archived</v>
      </c>
      <c r="H2345" s="43" t="s">
        <v>2358</v>
      </c>
      <c r="I2345" s="43" t="s">
        <v>2359</v>
      </c>
      <c r="J2345" s="44" t="s">
        <v>3094</v>
      </c>
      <c r="K2345" s="44" t="s">
        <v>4464</v>
      </c>
      <c r="L2345" s="44" t="s">
        <v>2333</v>
      </c>
      <c r="M2345" s="43">
        <v>27</v>
      </c>
      <c r="N2345" s="113"/>
      <c r="O2345" s="113"/>
      <c r="P2345" s="113"/>
      <c r="Q2345" s="113"/>
      <c r="R2345" s="113"/>
      <c r="S2345" s="113" t="s">
        <v>1113</v>
      </c>
      <c r="T2345" s="113"/>
      <c r="U2345" s="113"/>
      <c r="V2345" s="113"/>
      <c r="W2345" s="113"/>
      <c r="X2345" s="113"/>
      <c r="Y2345" s="113"/>
      <c r="Z2345" s="113"/>
      <c r="AA2345" s="113"/>
      <c r="AB2345" s="113"/>
      <c r="AC2345" s="113"/>
      <c r="AD2345" s="113"/>
      <c r="AE2345" s="113"/>
      <c r="AF2345" s="113"/>
      <c r="AG2345" s="113"/>
      <c r="AH2345" s="113"/>
      <c r="AI2345" s="113"/>
      <c r="AJ2345" s="113"/>
      <c r="AK2345" s="113" t="s">
        <v>1113</v>
      </c>
      <c r="AL2345" s="113"/>
      <c r="AM2345" s="113"/>
      <c r="AN2345" s="113"/>
      <c r="AO2345" s="44" t="s">
        <v>2334</v>
      </c>
      <c r="AP2345" s="43"/>
      <c r="AQ2345" s="236" t="str">
        <f>VLOOKUP(Table8[[#This Row],[Instrument]],Def_Targets!$D$73:$E$159,2,FALSE)</f>
        <v>I_Smartcharging</v>
      </c>
      <c r="AR2345" s="233" t="str">
        <f>VLOOKUP(Table8[[#This Row],[Country Code]],Table29[],3,FALSE)</f>
        <v>Non-Annex I</v>
      </c>
      <c r="AS2345" s="233" t="str">
        <f>VLOOKUP(Table8[[#This Row],[Country Code]],Table29[],4,FALSE)</f>
        <v>Asia</v>
      </c>
      <c r="AT2345" s="233" t="str">
        <f>VLOOKUP(Table8[[#This Row],[Country Code]],Table29[],5,FALSE)</f>
        <v>High-income</v>
      </c>
      <c r="AU2345" s="233" t="str">
        <f>VLOOKUP(Table8[[#This Row],[Country Code]],Table29[],6,FALSE)</f>
        <v>no</v>
      </c>
      <c r="AV2345" s="233" t="str">
        <f>VLOOKUP(Table8[[#This Row],[Country Code]],Table29[],7,FALSE)</f>
        <v>no</v>
      </c>
      <c r="AW2345" s="233" t="str">
        <f>VLOOKUP(Table8[[#This Row],[Country Code]],Table29[],8,FALSE)</f>
        <v>non-OECD</v>
      </c>
      <c r="AX2345" s="233" t="str">
        <f>VLOOKUP(Table8[[#This Row],[Country Code]],Table29[],9,FALSE)</f>
        <v>no</v>
      </c>
      <c r="AY2345" s="233" t="str">
        <f>VLOOKUP(Table8[[#This Row],[Country Code]],Table29[],10,FALSE)</f>
        <v>MENA</v>
      </c>
      <c r="AZ2345" s="235">
        <f>VLOOKUP(Table8[[#This Row],[Country Code]],Table29[],23,FALSE)</f>
        <v>267.82319378585998</v>
      </c>
      <c r="BA2345" s="235">
        <f>VLOOKUP(Table8[[#This Row],[Country Code]],Table29[],24,FALSE)</f>
        <v>43.860911308351241</v>
      </c>
      <c r="BB2345" s="320"/>
      <c r="BC2345" s="320"/>
    </row>
    <row r="2346" spans="1:55" ht="75" hidden="1" x14ac:dyDescent="0.25">
      <c r="A2346" s="373">
        <v>39455</v>
      </c>
      <c r="B2346" s="233" t="str">
        <f>VLOOKUP(Table8[[#This Row],[Document ID]],Table1[],2,FALSE)</f>
        <v>ARE</v>
      </c>
      <c r="C2346" s="233" t="str">
        <f>VLOOKUP(Table8[[#This Row],[Document ID]],Table1[],3,FALSE)</f>
        <v>United Arab Emirates</v>
      </c>
      <c r="D2346" s="243" t="str">
        <f>VLOOKUP(Table8[[#This Row],[Document ID]],Table1[],5,FALSE)</f>
        <v>NDC</v>
      </c>
      <c r="E2346" s="233" t="str">
        <f>VLOOKUP(Table8[[#This Row],[Document ID]],Table1[],7,FALSE)</f>
        <v>Second NDC updated</v>
      </c>
      <c r="F2346" s="233" t="str">
        <f>VLOOKUP(Table8[[#This Row],[Document ID]],Table1[],8,FALSE)</f>
        <v>NDC 2.2</v>
      </c>
      <c r="G2346" s="233" t="str">
        <f>VLOOKUP(Table8[[#This Row],[Document ID]],Table1[],10,FALSE)</f>
        <v>Archived</v>
      </c>
      <c r="H2346" s="43" t="s">
        <v>2350</v>
      </c>
      <c r="I2346" s="43" t="s">
        <v>2456</v>
      </c>
      <c r="J2346" s="44" t="s">
        <v>2466</v>
      </c>
      <c r="K2346" s="44" t="s">
        <v>4465</v>
      </c>
      <c r="L2346" s="44" t="s">
        <v>2347</v>
      </c>
      <c r="M2346" s="43">
        <v>27</v>
      </c>
      <c r="N2346" s="113"/>
      <c r="O2346" s="113"/>
      <c r="P2346" s="113"/>
      <c r="Q2346" s="113"/>
      <c r="R2346" s="113"/>
      <c r="S2346" s="113"/>
      <c r="T2346" s="113"/>
      <c r="U2346" s="113"/>
      <c r="V2346" s="113"/>
      <c r="W2346" s="113"/>
      <c r="X2346" s="113"/>
      <c r="Y2346" s="113"/>
      <c r="Z2346" s="113" t="s">
        <v>1113</v>
      </c>
      <c r="AA2346" s="113"/>
      <c r="AB2346" s="113"/>
      <c r="AC2346" s="113"/>
      <c r="AD2346" s="113"/>
      <c r="AE2346" s="113"/>
      <c r="AF2346" s="113"/>
      <c r="AG2346" s="113"/>
      <c r="AH2346" s="113"/>
      <c r="AI2346" s="113"/>
      <c r="AJ2346" s="113"/>
      <c r="AK2346" s="113"/>
      <c r="AL2346" s="113"/>
      <c r="AM2346" s="113"/>
      <c r="AN2346" s="113" t="s">
        <v>1113</v>
      </c>
      <c r="AO2346" s="43" t="s">
        <v>2353</v>
      </c>
      <c r="AP2346" s="43"/>
      <c r="AQ2346" s="236" t="str">
        <f>VLOOKUP(Table8[[#This Row],[Instrument]],Def_Targets!$D$73:$E$159,2,FALSE)</f>
        <v>S_Infraexpansion</v>
      </c>
      <c r="AR2346" s="233" t="str">
        <f>VLOOKUP(Table8[[#This Row],[Country Code]],Table29[],3,FALSE)</f>
        <v>Non-Annex I</v>
      </c>
      <c r="AS2346" s="233" t="str">
        <f>VLOOKUP(Table8[[#This Row],[Country Code]],Table29[],4,FALSE)</f>
        <v>Asia</v>
      </c>
      <c r="AT2346" s="233" t="str">
        <f>VLOOKUP(Table8[[#This Row],[Country Code]],Table29[],5,FALSE)</f>
        <v>High-income</v>
      </c>
      <c r="AU2346" s="233" t="str">
        <f>VLOOKUP(Table8[[#This Row],[Country Code]],Table29[],6,FALSE)</f>
        <v>no</v>
      </c>
      <c r="AV2346" s="233" t="str">
        <f>VLOOKUP(Table8[[#This Row],[Country Code]],Table29[],7,FALSE)</f>
        <v>no</v>
      </c>
      <c r="AW2346" s="233" t="str">
        <f>VLOOKUP(Table8[[#This Row],[Country Code]],Table29[],8,FALSE)</f>
        <v>non-OECD</v>
      </c>
      <c r="AX2346" s="233" t="str">
        <f>VLOOKUP(Table8[[#This Row],[Country Code]],Table29[],9,FALSE)</f>
        <v>no</v>
      </c>
      <c r="AY2346" s="233" t="str">
        <f>VLOOKUP(Table8[[#This Row],[Country Code]],Table29[],10,FALSE)</f>
        <v>MENA</v>
      </c>
      <c r="AZ2346" s="235">
        <f>VLOOKUP(Table8[[#This Row],[Country Code]],Table29[],23,FALSE)</f>
        <v>267.82319378585998</v>
      </c>
      <c r="BA2346" s="235">
        <f>VLOOKUP(Table8[[#This Row],[Country Code]],Table29[],24,FALSE)</f>
        <v>43.860911308351241</v>
      </c>
      <c r="BB2346" s="320"/>
      <c r="BC2346" s="320"/>
    </row>
    <row r="2347" spans="1:55" ht="90" hidden="1" x14ac:dyDescent="0.25">
      <c r="A2347" s="373">
        <v>39455</v>
      </c>
      <c r="B2347" s="233" t="str">
        <f>VLOOKUP(Table8[[#This Row],[Document ID]],Table1[],2,FALSE)</f>
        <v>ARE</v>
      </c>
      <c r="C2347" s="233" t="str">
        <f>VLOOKUP(Table8[[#This Row],[Document ID]],Table1[],3,FALSE)</f>
        <v>United Arab Emirates</v>
      </c>
      <c r="D2347" s="243" t="str">
        <f>VLOOKUP(Table8[[#This Row],[Document ID]],Table1[],5,FALSE)</f>
        <v>NDC</v>
      </c>
      <c r="E2347" s="233" t="str">
        <f>VLOOKUP(Table8[[#This Row],[Document ID]],Table1[],7,FALSE)</f>
        <v>Second NDC updated</v>
      </c>
      <c r="F2347" s="233" t="str">
        <f>VLOOKUP(Table8[[#This Row],[Document ID]],Table1[],8,FALSE)</f>
        <v>NDC 2.2</v>
      </c>
      <c r="G2347" s="233" t="str">
        <f>VLOOKUP(Table8[[#This Row],[Document ID]],Table1[],10,FALSE)</f>
        <v>Archived</v>
      </c>
      <c r="H2347" s="43" t="s">
        <v>2350</v>
      </c>
      <c r="I2347" s="43" t="s">
        <v>2456</v>
      </c>
      <c r="J2347" s="44" t="s">
        <v>2466</v>
      </c>
      <c r="K2347" s="44" t="s">
        <v>4466</v>
      </c>
      <c r="L2347" s="44" t="s">
        <v>2347</v>
      </c>
      <c r="M2347" s="43">
        <v>27</v>
      </c>
      <c r="N2347" s="113"/>
      <c r="O2347" s="113"/>
      <c r="P2347" s="113"/>
      <c r="Q2347" s="113"/>
      <c r="R2347" s="113"/>
      <c r="S2347" s="113"/>
      <c r="T2347" s="113"/>
      <c r="U2347" s="113"/>
      <c r="V2347" s="113"/>
      <c r="W2347" s="113"/>
      <c r="X2347" s="113"/>
      <c r="Y2347" s="113"/>
      <c r="Z2347" s="113"/>
      <c r="AA2347" s="113"/>
      <c r="AB2347" s="113"/>
      <c r="AC2347" s="113" t="s">
        <v>1113</v>
      </c>
      <c r="AD2347" s="113"/>
      <c r="AE2347" s="113"/>
      <c r="AF2347" s="113"/>
      <c r="AG2347" s="113"/>
      <c r="AH2347" s="113"/>
      <c r="AI2347" s="113"/>
      <c r="AJ2347" s="113"/>
      <c r="AK2347" s="113"/>
      <c r="AL2347" s="113" t="s">
        <v>1113</v>
      </c>
      <c r="AM2347" s="113"/>
      <c r="AN2347" s="113"/>
      <c r="AO2347" s="43" t="s">
        <v>2348</v>
      </c>
      <c r="AP2347" s="43"/>
      <c r="AQ2347" s="236" t="str">
        <f>VLOOKUP(Table8[[#This Row],[Instrument]],Def_Targets!$D$73:$E$159,2,FALSE)</f>
        <v>S_Infraexpansion</v>
      </c>
      <c r="AR2347" s="233" t="str">
        <f>VLOOKUP(Table8[[#This Row],[Country Code]],Table29[],3,FALSE)</f>
        <v>Non-Annex I</v>
      </c>
      <c r="AS2347" s="233" t="str">
        <f>VLOOKUP(Table8[[#This Row],[Country Code]],Table29[],4,FALSE)</f>
        <v>Asia</v>
      </c>
      <c r="AT2347" s="233" t="str">
        <f>VLOOKUP(Table8[[#This Row],[Country Code]],Table29[],5,FALSE)</f>
        <v>High-income</v>
      </c>
      <c r="AU2347" s="233" t="str">
        <f>VLOOKUP(Table8[[#This Row],[Country Code]],Table29[],6,FALSE)</f>
        <v>no</v>
      </c>
      <c r="AV2347" s="233" t="str">
        <f>VLOOKUP(Table8[[#This Row],[Country Code]],Table29[],7,FALSE)</f>
        <v>no</v>
      </c>
      <c r="AW2347" s="233" t="str">
        <f>VLOOKUP(Table8[[#This Row],[Country Code]],Table29[],8,FALSE)</f>
        <v>non-OECD</v>
      </c>
      <c r="AX2347" s="233" t="str">
        <f>VLOOKUP(Table8[[#This Row],[Country Code]],Table29[],9,FALSE)</f>
        <v>no</v>
      </c>
      <c r="AY2347" s="233" t="str">
        <f>VLOOKUP(Table8[[#This Row],[Country Code]],Table29[],10,FALSE)</f>
        <v>MENA</v>
      </c>
      <c r="AZ2347" s="235">
        <f>VLOOKUP(Table8[[#This Row],[Country Code]],Table29[],23,FALSE)</f>
        <v>267.82319378585998</v>
      </c>
      <c r="BA2347" s="235">
        <f>VLOOKUP(Table8[[#This Row],[Country Code]],Table29[],24,FALSE)</f>
        <v>43.860911308351241</v>
      </c>
      <c r="BB2347" s="320"/>
      <c r="BC2347" s="320"/>
    </row>
    <row r="2348" spans="1:55" ht="45" hidden="1" x14ac:dyDescent="0.25">
      <c r="A2348" s="373">
        <v>39455</v>
      </c>
      <c r="B2348" s="233" t="str">
        <f>VLOOKUP(Table8[[#This Row],[Document ID]],Table1[],2,FALSE)</f>
        <v>ARE</v>
      </c>
      <c r="C2348" s="233" t="str">
        <f>VLOOKUP(Table8[[#This Row],[Document ID]],Table1[],3,FALSE)</f>
        <v>United Arab Emirates</v>
      </c>
      <c r="D2348" s="243" t="str">
        <f>VLOOKUP(Table8[[#This Row],[Document ID]],Table1[],5,FALSE)</f>
        <v>NDC</v>
      </c>
      <c r="E2348" s="233" t="str">
        <f>VLOOKUP(Table8[[#This Row],[Document ID]],Table1[],7,FALSE)</f>
        <v>Second NDC updated</v>
      </c>
      <c r="F2348" s="233" t="str">
        <f>VLOOKUP(Table8[[#This Row],[Document ID]],Table1[],8,FALSE)</f>
        <v>NDC 2.2</v>
      </c>
      <c r="G2348" s="233" t="str">
        <f>VLOOKUP(Table8[[#This Row],[Document ID]],Table1[],10,FALSE)</f>
        <v>Archived</v>
      </c>
      <c r="H2348" s="43" t="s">
        <v>2343</v>
      </c>
      <c r="I2348" s="43" t="s">
        <v>2344</v>
      </c>
      <c r="J2348" s="44" t="s">
        <v>2549</v>
      </c>
      <c r="K2348" s="44" t="s">
        <v>4467</v>
      </c>
      <c r="L2348" s="44" t="s">
        <v>2347</v>
      </c>
      <c r="M2348" s="43">
        <v>27</v>
      </c>
      <c r="N2348" s="113"/>
      <c r="O2348" s="113"/>
      <c r="P2348" s="113"/>
      <c r="Q2348" s="113"/>
      <c r="R2348" s="113"/>
      <c r="S2348" s="113"/>
      <c r="T2348" s="113"/>
      <c r="U2348" s="113"/>
      <c r="V2348" s="113"/>
      <c r="W2348" s="113"/>
      <c r="X2348" s="113"/>
      <c r="Y2348" s="113" t="s">
        <v>1113</v>
      </c>
      <c r="Z2348" s="113"/>
      <c r="AA2348" s="113"/>
      <c r="AB2348" s="113"/>
      <c r="AC2348" s="113"/>
      <c r="AD2348" s="113"/>
      <c r="AE2348" s="113"/>
      <c r="AF2348" s="113"/>
      <c r="AG2348" s="113"/>
      <c r="AH2348" s="113"/>
      <c r="AI2348" s="113"/>
      <c r="AJ2348" s="113"/>
      <c r="AK2348" s="113"/>
      <c r="AL2348" s="113" t="s">
        <v>1113</v>
      </c>
      <c r="AM2348" s="113"/>
      <c r="AN2348" s="113"/>
      <c r="AO2348" s="43" t="s">
        <v>2348</v>
      </c>
      <c r="AP2348" s="43"/>
      <c r="AQ2348" s="236" t="str">
        <f>VLOOKUP(Table8[[#This Row],[Instrument]],Def_Targets!$D$73:$E$159,2,FALSE)</f>
        <v>S_BRT</v>
      </c>
      <c r="AR2348" s="233" t="str">
        <f>VLOOKUP(Table8[[#This Row],[Country Code]],Table29[],3,FALSE)</f>
        <v>Non-Annex I</v>
      </c>
      <c r="AS2348" s="233" t="str">
        <f>VLOOKUP(Table8[[#This Row],[Country Code]],Table29[],4,FALSE)</f>
        <v>Asia</v>
      </c>
      <c r="AT2348" s="233" t="str">
        <f>VLOOKUP(Table8[[#This Row],[Country Code]],Table29[],5,FALSE)</f>
        <v>High-income</v>
      </c>
      <c r="AU2348" s="233" t="str">
        <f>VLOOKUP(Table8[[#This Row],[Country Code]],Table29[],6,FALSE)</f>
        <v>no</v>
      </c>
      <c r="AV2348" s="233" t="str">
        <f>VLOOKUP(Table8[[#This Row],[Country Code]],Table29[],7,FALSE)</f>
        <v>no</v>
      </c>
      <c r="AW2348" s="233" t="str">
        <f>VLOOKUP(Table8[[#This Row],[Country Code]],Table29[],8,FALSE)</f>
        <v>non-OECD</v>
      </c>
      <c r="AX2348" s="233" t="str">
        <f>VLOOKUP(Table8[[#This Row],[Country Code]],Table29[],9,FALSE)</f>
        <v>no</v>
      </c>
      <c r="AY2348" s="233" t="str">
        <f>VLOOKUP(Table8[[#This Row],[Country Code]],Table29[],10,FALSE)</f>
        <v>MENA</v>
      </c>
      <c r="AZ2348" s="235">
        <f>VLOOKUP(Table8[[#This Row],[Country Code]],Table29[],23,FALSE)</f>
        <v>267.82319378585998</v>
      </c>
      <c r="BA2348" s="235">
        <f>VLOOKUP(Table8[[#This Row],[Country Code]],Table29[],24,FALSE)</f>
        <v>43.860911308351241</v>
      </c>
      <c r="BB2348" s="320"/>
      <c r="BC2348" s="320"/>
    </row>
    <row r="2349" spans="1:55" ht="30" hidden="1" x14ac:dyDescent="0.25">
      <c r="A2349" s="373">
        <v>39455</v>
      </c>
      <c r="B2349" s="233" t="str">
        <f>VLOOKUP(Table8[[#This Row],[Document ID]],Table1[],2,FALSE)</f>
        <v>ARE</v>
      </c>
      <c r="C2349" s="233" t="str">
        <f>VLOOKUP(Table8[[#This Row],[Document ID]],Table1[],3,FALSE)</f>
        <v>United Arab Emirates</v>
      </c>
      <c r="D2349" s="243" t="str">
        <f>VLOOKUP(Table8[[#This Row],[Document ID]],Table1[],5,FALSE)</f>
        <v>NDC</v>
      </c>
      <c r="E2349" s="233" t="str">
        <f>VLOOKUP(Table8[[#This Row],[Document ID]],Table1[],7,FALSE)</f>
        <v>Second NDC updated</v>
      </c>
      <c r="F2349" s="233" t="str">
        <f>VLOOKUP(Table8[[#This Row],[Document ID]],Table1[],8,FALSE)</f>
        <v>NDC 2.2</v>
      </c>
      <c r="G2349" s="233" t="str">
        <f>VLOOKUP(Table8[[#This Row],[Document ID]],Table1[],10,FALSE)</f>
        <v>Archived</v>
      </c>
      <c r="H2349" s="43" t="s">
        <v>2343</v>
      </c>
      <c r="I2349" s="43" t="s">
        <v>2361</v>
      </c>
      <c r="J2349" s="44" t="s">
        <v>2463</v>
      </c>
      <c r="K2349" s="44" t="s">
        <v>4468</v>
      </c>
      <c r="L2349" s="44" t="s">
        <v>2347</v>
      </c>
      <c r="M2349" s="43">
        <v>27</v>
      </c>
      <c r="N2349" s="113"/>
      <c r="O2349" s="113"/>
      <c r="P2349" s="113"/>
      <c r="Q2349" s="113" t="s">
        <v>1113</v>
      </c>
      <c r="R2349" s="113"/>
      <c r="S2349" s="113"/>
      <c r="T2349" s="113"/>
      <c r="U2349" s="113"/>
      <c r="V2349" s="113"/>
      <c r="W2349" s="113"/>
      <c r="X2349" s="113"/>
      <c r="Y2349" s="113"/>
      <c r="Z2349" s="113"/>
      <c r="AA2349" s="113"/>
      <c r="AB2349" s="113"/>
      <c r="AC2349" s="113"/>
      <c r="AD2349" s="113"/>
      <c r="AE2349" s="113"/>
      <c r="AF2349" s="113"/>
      <c r="AG2349" s="113"/>
      <c r="AH2349" s="113"/>
      <c r="AI2349" s="113"/>
      <c r="AJ2349" s="113"/>
      <c r="AK2349" s="113"/>
      <c r="AL2349" s="113" t="s">
        <v>1113</v>
      </c>
      <c r="AM2349" s="113"/>
      <c r="AN2349" s="113"/>
      <c r="AO2349" s="44" t="s">
        <v>2334</v>
      </c>
      <c r="AP2349" s="43"/>
      <c r="AQ2349" s="236" t="str">
        <f>VLOOKUP(Table8[[#This Row],[Instrument]],Def_Targets!$D$73:$E$159,2,FALSE)</f>
        <v>S_Walking</v>
      </c>
      <c r="AR2349" s="233" t="str">
        <f>VLOOKUP(Table8[[#This Row],[Country Code]],Table29[],3,FALSE)</f>
        <v>Non-Annex I</v>
      </c>
      <c r="AS2349" s="233" t="str">
        <f>VLOOKUP(Table8[[#This Row],[Country Code]],Table29[],4,FALSE)</f>
        <v>Asia</v>
      </c>
      <c r="AT2349" s="233" t="str">
        <f>VLOOKUP(Table8[[#This Row],[Country Code]],Table29[],5,FALSE)</f>
        <v>High-income</v>
      </c>
      <c r="AU2349" s="233" t="str">
        <f>VLOOKUP(Table8[[#This Row],[Country Code]],Table29[],6,FALSE)</f>
        <v>no</v>
      </c>
      <c r="AV2349" s="233" t="str">
        <f>VLOOKUP(Table8[[#This Row],[Country Code]],Table29[],7,FALSE)</f>
        <v>no</v>
      </c>
      <c r="AW2349" s="233" t="str">
        <f>VLOOKUP(Table8[[#This Row],[Country Code]],Table29[],8,FALSE)</f>
        <v>non-OECD</v>
      </c>
      <c r="AX2349" s="233" t="str">
        <f>VLOOKUP(Table8[[#This Row],[Country Code]],Table29[],9,FALSE)</f>
        <v>no</v>
      </c>
      <c r="AY2349" s="233" t="str">
        <f>VLOOKUP(Table8[[#This Row],[Country Code]],Table29[],10,FALSE)</f>
        <v>MENA</v>
      </c>
      <c r="AZ2349" s="235">
        <f>VLOOKUP(Table8[[#This Row],[Country Code]],Table29[],23,FALSE)</f>
        <v>267.82319378585998</v>
      </c>
      <c r="BA2349" s="235">
        <f>VLOOKUP(Table8[[#This Row],[Country Code]],Table29[],24,FALSE)</f>
        <v>43.860911308351241</v>
      </c>
      <c r="BB2349" s="320"/>
      <c r="BC2349" s="320"/>
    </row>
    <row r="2350" spans="1:55" ht="60" hidden="1" x14ac:dyDescent="0.25">
      <c r="A2350" s="373">
        <v>39455</v>
      </c>
      <c r="B2350" s="233" t="str">
        <f>VLOOKUP(Table8[[#This Row],[Document ID]],Table1[],2,FALSE)</f>
        <v>ARE</v>
      </c>
      <c r="C2350" s="233" t="str">
        <f>VLOOKUP(Table8[[#This Row],[Document ID]],Table1[],3,FALSE)</f>
        <v>United Arab Emirates</v>
      </c>
      <c r="D2350" s="243" t="str">
        <f>VLOOKUP(Table8[[#This Row],[Document ID]],Table1[],5,FALSE)</f>
        <v>NDC</v>
      </c>
      <c r="E2350" s="233" t="str">
        <f>VLOOKUP(Table8[[#This Row],[Document ID]],Table1[],7,FALSE)</f>
        <v>Second NDC updated</v>
      </c>
      <c r="F2350" s="233" t="str">
        <f>VLOOKUP(Table8[[#This Row],[Document ID]],Table1[],8,FALSE)</f>
        <v>NDC 2.2</v>
      </c>
      <c r="G2350" s="233" t="str">
        <f>VLOOKUP(Table8[[#This Row],[Document ID]],Table1[],10,FALSE)</f>
        <v>Archived</v>
      </c>
      <c r="H2350" s="43" t="s">
        <v>2343</v>
      </c>
      <c r="I2350" s="43" t="s">
        <v>2361</v>
      </c>
      <c r="J2350" s="44" t="s">
        <v>2362</v>
      </c>
      <c r="K2350" s="44" t="s">
        <v>4469</v>
      </c>
      <c r="L2350" s="44" t="s">
        <v>2347</v>
      </c>
      <c r="M2350" s="43">
        <v>27</v>
      </c>
      <c r="N2350" s="113"/>
      <c r="O2350" s="113"/>
      <c r="P2350" s="113"/>
      <c r="Q2350" s="113"/>
      <c r="R2350" s="113" t="s">
        <v>1113</v>
      </c>
      <c r="S2350" s="113"/>
      <c r="T2350" s="113"/>
      <c r="U2350" s="113"/>
      <c r="V2350" s="113"/>
      <c r="W2350" s="113"/>
      <c r="X2350" s="113"/>
      <c r="Y2350" s="113"/>
      <c r="Z2350" s="113"/>
      <c r="AA2350" s="113"/>
      <c r="AB2350" s="113"/>
      <c r="AC2350" s="113"/>
      <c r="AD2350" s="113"/>
      <c r="AE2350" s="113"/>
      <c r="AF2350" s="113"/>
      <c r="AG2350" s="113"/>
      <c r="AH2350" s="113"/>
      <c r="AI2350" s="113"/>
      <c r="AJ2350" s="113"/>
      <c r="AK2350" s="113"/>
      <c r="AL2350" s="113" t="s">
        <v>1113</v>
      </c>
      <c r="AM2350" s="113"/>
      <c r="AN2350" s="113"/>
      <c r="AO2350" s="44" t="s">
        <v>2334</v>
      </c>
      <c r="AP2350" s="43"/>
      <c r="AQ2350" s="236" t="str">
        <f>VLOOKUP(Table8[[#This Row],[Instrument]],Def_Targets!$D$73:$E$159,2,FALSE)</f>
        <v>S_Cycling</v>
      </c>
      <c r="AR2350" s="233" t="str">
        <f>VLOOKUP(Table8[[#This Row],[Country Code]],Table29[],3,FALSE)</f>
        <v>Non-Annex I</v>
      </c>
      <c r="AS2350" s="233" t="str">
        <f>VLOOKUP(Table8[[#This Row],[Country Code]],Table29[],4,FALSE)</f>
        <v>Asia</v>
      </c>
      <c r="AT2350" s="233" t="str">
        <f>VLOOKUP(Table8[[#This Row],[Country Code]],Table29[],5,FALSE)</f>
        <v>High-income</v>
      </c>
      <c r="AU2350" s="233" t="str">
        <f>VLOOKUP(Table8[[#This Row],[Country Code]],Table29[],6,FALSE)</f>
        <v>no</v>
      </c>
      <c r="AV2350" s="233" t="str">
        <f>VLOOKUP(Table8[[#This Row],[Country Code]],Table29[],7,FALSE)</f>
        <v>no</v>
      </c>
      <c r="AW2350" s="233" t="str">
        <f>VLOOKUP(Table8[[#This Row],[Country Code]],Table29[],8,FALSE)</f>
        <v>non-OECD</v>
      </c>
      <c r="AX2350" s="233" t="str">
        <f>VLOOKUP(Table8[[#This Row],[Country Code]],Table29[],9,FALSE)</f>
        <v>no</v>
      </c>
      <c r="AY2350" s="233" t="str">
        <f>VLOOKUP(Table8[[#This Row],[Country Code]],Table29[],10,FALSE)</f>
        <v>MENA</v>
      </c>
      <c r="AZ2350" s="235">
        <f>VLOOKUP(Table8[[#This Row],[Country Code]],Table29[],23,FALSE)</f>
        <v>267.82319378585998</v>
      </c>
      <c r="BA2350" s="235">
        <f>VLOOKUP(Table8[[#This Row],[Country Code]],Table29[],24,FALSE)</f>
        <v>43.860911308351241</v>
      </c>
      <c r="BB2350" s="320"/>
      <c r="BC2350" s="320"/>
    </row>
    <row r="2351" spans="1:55" ht="90" hidden="1" x14ac:dyDescent="0.25">
      <c r="A2351" s="373">
        <v>39455</v>
      </c>
      <c r="B2351" s="233" t="str">
        <f>VLOOKUP(Table8[[#This Row],[Document ID]],Table1[],2,FALSE)</f>
        <v>ARE</v>
      </c>
      <c r="C2351" s="233" t="str">
        <f>VLOOKUP(Table8[[#This Row],[Document ID]],Table1[],3,FALSE)</f>
        <v>United Arab Emirates</v>
      </c>
      <c r="D2351" s="243" t="str">
        <f>VLOOKUP(Table8[[#This Row],[Document ID]],Table1[],5,FALSE)</f>
        <v>NDC</v>
      </c>
      <c r="E2351" s="233" t="str">
        <f>VLOOKUP(Table8[[#This Row],[Document ID]],Table1[],7,FALSE)</f>
        <v>Second NDC updated</v>
      </c>
      <c r="F2351" s="233" t="str">
        <f>VLOOKUP(Table8[[#This Row],[Document ID]],Table1[],8,FALSE)</f>
        <v>NDC 2.2</v>
      </c>
      <c r="G2351" s="233" t="str">
        <f>VLOOKUP(Table8[[#This Row],[Document ID]],Table1[],10,FALSE)</f>
        <v>Archived</v>
      </c>
      <c r="H2351" s="43" t="s">
        <v>2358</v>
      </c>
      <c r="I2351" s="43" t="s">
        <v>2359</v>
      </c>
      <c r="J2351" s="44" t="s">
        <v>2360</v>
      </c>
      <c r="K2351" s="44" t="s">
        <v>4470</v>
      </c>
      <c r="L2351" s="44" t="s">
        <v>2347</v>
      </c>
      <c r="M2351" s="43">
        <v>27</v>
      </c>
      <c r="N2351" s="113"/>
      <c r="O2351" s="113"/>
      <c r="P2351" s="113"/>
      <c r="Q2351" s="113"/>
      <c r="R2351" s="113"/>
      <c r="S2351" s="113"/>
      <c r="T2351" s="113"/>
      <c r="U2351" s="113"/>
      <c r="V2351" s="113"/>
      <c r="W2351" s="113" t="s">
        <v>1113</v>
      </c>
      <c r="X2351" s="113"/>
      <c r="Y2351" s="113"/>
      <c r="Z2351" s="113"/>
      <c r="AA2351" s="113"/>
      <c r="AB2351" s="113"/>
      <c r="AC2351" s="113"/>
      <c r="AD2351" s="113" t="s">
        <v>1113</v>
      </c>
      <c r="AE2351" s="113"/>
      <c r="AF2351" s="113"/>
      <c r="AG2351" s="113"/>
      <c r="AH2351" s="113"/>
      <c r="AI2351" s="113"/>
      <c r="AJ2351" s="113"/>
      <c r="AK2351" s="113"/>
      <c r="AL2351" s="113" t="s">
        <v>1113</v>
      </c>
      <c r="AM2351" s="113"/>
      <c r="AN2351" s="113"/>
      <c r="AO2351" s="43" t="s">
        <v>2348</v>
      </c>
      <c r="AP2351" s="43"/>
      <c r="AQ2351" s="236" t="str">
        <f>VLOOKUP(Table8[[#This Row],[Instrument]],Def_Targets!$D$73:$E$159,2,FALSE)</f>
        <v>I_Emobility</v>
      </c>
      <c r="AR2351" s="233" t="str">
        <f>VLOOKUP(Table8[[#This Row],[Country Code]],Table29[],3,FALSE)</f>
        <v>Non-Annex I</v>
      </c>
      <c r="AS2351" s="233" t="str">
        <f>VLOOKUP(Table8[[#This Row],[Country Code]],Table29[],4,FALSE)</f>
        <v>Asia</v>
      </c>
      <c r="AT2351" s="233" t="str">
        <f>VLOOKUP(Table8[[#This Row],[Country Code]],Table29[],5,FALSE)</f>
        <v>High-income</v>
      </c>
      <c r="AU2351" s="233" t="str">
        <f>VLOOKUP(Table8[[#This Row],[Country Code]],Table29[],6,FALSE)</f>
        <v>no</v>
      </c>
      <c r="AV2351" s="233" t="str">
        <f>VLOOKUP(Table8[[#This Row],[Country Code]],Table29[],7,FALSE)</f>
        <v>no</v>
      </c>
      <c r="AW2351" s="233" t="str">
        <f>VLOOKUP(Table8[[#This Row],[Country Code]],Table29[],8,FALSE)</f>
        <v>non-OECD</v>
      </c>
      <c r="AX2351" s="233" t="str">
        <f>VLOOKUP(Table8[[#This Row],[Country Code]],Table29[],9,FALSE)</f>
        <v>no</v>
      </c>
      <c r="AY2351" s="233" t="str">
        <f>VLOOKUP(Table8[[#This Row],[Country Code]],Table29[],10,FALSE)</f>
        <v>MENA</v>
      </c>
      <c r="AZ2351" s="235">
        <f>VLOOKUP(Table8[[#This Row],[Country Code]],Table29[],23,FALSE)</f>
        <v>267.82319378585998</v>
      </c>
      <c r="BA2351" s="235">
        <f>VLOOKUP(Table8[[#This Row],[Country Code]],Table29[],24,FALSE)</f>
        <v>43.860911308351241</v>
      </c>
      <c r="BB2351" s="320"/>
      <c r="BC2351" s="320"/>
    </row>
    <row r="2352" spans="1:55" hidden="1" x14ac:dyDescent="0.25">
      <c r="A2352" s="373">
        <v>17774</v>
      </c>
      <c r="B2352" s="233" t="str">
        <f>VLOOKUP(Table8[[#This Row],[Document ID]],Table1[],2,FALSE)</f>
        <v>GBR</v>
      </c>
      <c r="C2352" s="233" t="str">
        <f>VLOOKUP(Table8[[#This Row],[Document ID]],Table1[],3,FALSE)</f>
        <v>United Kingdom</v>
      </c>
      <c r="D2352" s="243" t="str">
        <f>VLOOKUP(Table8[[#This Row],[Document ID]],Table1[],5,FALSE)</f>
        <v>LTS</v>
      </c>
      <c r="E2352" s="233" t="str">
        <f>VLOOKUP(Table8[[#This Row],[Document ID]],Table1[],7,FALSE)</f>
        <v>Archived LTS 1.0</v>
      </c>
      <c r="F2352" s="233" t="str">
        <f>VLOOKUP(Table8[[#This Row],[Document ID]],Table1[],8,FALSE)</f>
        <v>LTS 1.0</v>
      </c>
      <c r="G2352" s="233" t="str">
        <f>VLOOKUP(Table8[[#This Row],[Document ID]],Table1[],10,FALSE)</f>
        <v>Archived</v>
      </c>
      <c r="H2352" s="44" t="s">
        <v>2329</v>
      </c>
      <c r="I2352" s="44" t="s">
        <v>2330</v>
      </c>
      <c r="J2352" s="44" t="s">
        <v>2414</v>
      </c>
      <c r="K2352" s="44" t="s">
        <v>4471</v>
      </c>
      <c r="L2352" s="44" t="s">
        <v>2333</v>
      </c>
      <c r="M2352" s="43">
        <v>14</v>
      </c>
      <c r="N2352" s="113"/>
      <c r="O2352" s="113"/>
      <c r="P2352" s="113"/>
      <c r="Q2352" s="113"/>
      <c r="R2352" s="113"/>
      <c r="S2352" s="113"/>
      <c r="T2352" s="113"/>
      <c r="U2352" s="113" t="s">
        <v>1113</v>
      </c>
      <c r="V2352" s="113"/>
      <c r="W2352" s="113"/>
      <c r="X2352" s="113"/>
      <c r="Y2352" s="113"/>
      <c r="Z2352" s="113"/>
      <c r="AA2352" s="113"/>
      <c r="AB2352" s="113"/>
      <c r="AC2352" s="113"/>
      <c r="AD2352" s="113"/>
      <c r="AE2352" s="113"/>
      <c r="AF2352" s="113"/>
      <c r="AG2352" s="113"/>
      <c r="AH2352" s="113"/>
      <c r="AI2352" s="113"/>
      <c r="AJ2352" s="113"/>
      <c r="AK2352" s="319" t="s">
        <v>1113</v>
      </c>
      <c r="AL2352" s="319"/>
      <c r="AM2352" s="319"/>
      <c r="AN2352" s="319"/>
      <c r="AO2352" s="44" t="s">
        <v>2334</v>
      </c>
      <c r="AP2352" s="44"/>
      <c r="AQ2352" s="236" t="str">
        <f>VLOOKUP(Table8[[#This Row],[Instrument]],Def_Targets!$D$73:$E$159,2,FALSE)</f>
        <v>I_ICEdiesel</v>
      </c>
      <c r="AR2352" s="233" t="str">
        <f>VLOOKUP(Table8[[#This Row],[Country Code]],Table29[],3,FALSE)</f>
        <v>Annex I</v>
      </c>
      <c r="AS2352" s="233" t="str">
        <f>VLOOKUP(Table8[[#This Row],[Country Code]],Table29[],4,FALSE)</f>
        <v>Europe</v>
      </c>
      <c r="AT2352" s="233" t="str">
        <f>VLOOKUP(Table8[[#This Row],[Country Code]],Table29[],5,FALSE)</f>
        <v>High-income</v>
      </c>
      <c r="AU2352" s="233" t="str">
        <f>VLOOKUP(Table8[[#This Row],[Country Code]],Table29[],6,FALSE)</f>
        <v>G20</v>
      </c>
      <c r="AV2352" s="233" t="str">
        <f>VLOOKUP(Table8[[#This Row],[Country Code]],Table29[],7,FALSE)</f>
        <v>G7</v>
      </c>
      <c r="AW2352" s="233" t="str">
        <f>VLOOKUP(Table8[[#This Row],[Country Code]],Table29[],8,FALSE)</f>
        <v>OECD</v>
      </c>
      <c r="AX2352" s="233" t="str">
        <f>VLOOKUP(Table8[[#This Row],[Country Code]],Table29[],9,FALSE)</f>
        <v>no</v>
      </c>
      <c r="AY2352" s="233" t="str">
        <f>VLOOKUP(Table8[[#This Row],[Country Code]],Table29[],10,FALSE)</f>
        <v>no</v>
      </c>
      <c r="AZ2352" s="235">
        <f>VLOOKUP(Table8[[#This Row],[Country Code]],Table29[],23,FALSE)</f>
        <v>379.31858785213001</v>
      </c>
      <c r="BA2352" s="235">
        <f>VLOOKUP(Table8[[#This Row],[Country Code]],Table29[],24,FALSE)</f>
        <v>109.75048777474809</v>
      </c>
      <c r="BB2352" s="320"/>
      <c r="BC2352" s="320"/>
    </row>
    <row r="2353" spans="1:55" ht="60" hidden="1" x14ac:dyDescent="0.25">
      <c r="A2353" s="373">
        <v>17774</v>
      </c>
      <c r="B2353" s="233" t="str">
        <f>VLOOKUP(Table8[[#This Row],[Document ID]],Table1[],2,FALSE)</f>
        <v>GBR</v>
      </c>
      <c r="C2353" s="233" t="str">
        <f>VLOOKUP(Table8[[#This Row],[Document ID]],Table1[],3,FALSE)</f>
        <v>United Kingdom</v>
      </c>
      <c r="D2353" s="243" t="str">
        <f>VLOOKUP(Table8[[#This Row],[Document ID]],Table1[],5,FALSE)</f>
        <v>LTS</v>
      </c>
      <c r="E2353" s="233" t="str">
        <f>VLOOKUP(Table8[[#This Row],[Document ID]],Table1[],7,FALSE)</f>
        <v>Archived LTS 1.0</v>
      </c>
      <c r="F2353" s="233" t="str">
        <f>VLOOKUP(Table8[[#This Row],[Document ID]],Table1[],8,FALSE)</f>
        <v>LTS 1.0</v>
      </c>
      <c r="G2353" s="233" t="str">
        <f>VLOOKUP(Table8[[#This Row],[Document ID]],Table1[],10,FALSE)</f>
        <v>Archived</v>
      </c>
      <c r="H2353" s="43" t="s">
        <v>2358</v>
      </c>
      <c r="I2353" s="43" t="s">
        <v>2359</v>
      </c>
      <c r="J2353" s="44" t="s">
        <v>2383</v>
      </c>
      <c r="K2353" s="44" t="s">
        <v>4472</v>
      </c>
      <c r="L2353" s="44" t="s">
        <v>2333</v>
      </c>
      <c r="M2353" s="43">
        <v>14</v>
      </c>
      <c r="N2353" s="113"/>
      <c r="O2353" s="113"/>
      <c r="P2353" s="113"/>
      <c r="Q2353" s="113"/>
      <c r="R2353" s="113"/>
      <c r="S2353" s="113" t="s">
        <v>1113</v>
      </c>
      <c r="T2353" s="113"/>
      <c r="U2353" s="113"/>
      <c r="V2353" s="113"/>
      <c r="W2353" s="113"/>
      <c r="X2353" s="113"/>
      <c r="Y2353" s="113"/>
      <c r="Z2353" s="113"/>
      <c r="AA2353" s="113"/>
      <c r="AB2353" s="113"/>
      <c r="AC2353" s="113"/>
      <c r="AD2353" s="113"/>
      <c r="AE2353" s="113"/>
      <c r="AF2353" s="113"/>
      <c r="AG2353" s="113"/>
      <c r="AH2353" s="113"/>
      <c r="AI2353" s="113"/>
      <c r="AJ2353" s="113"/>
      <c r="AK2353" s="319" t="s">
        <v>1113</v>
      </c>
      <c r="AL2353" s="319"/>
      <c r="AM2353" s="319"/>
      <c r="AN2353" s="319"/>
      <c r="AO2353" s="44" t="s">
        <v>2334</v>
      </c>
      <c r="AP2353" s="44"/>
      <c r="AQ2353" s="236" t="str">
        <f>VLOOKUP(Table8[[#This Row],[Instrument]],Def_Targets!$D$73:$E$159,2,FALSE)</f>
        <v>I_Emobilitycharging</v>
      </c>
      <c r="AR2353" s="233" t="str">
        <f>VLOOKUP(Table8[[#This Row],[Country Code]],Table29[],3,FALSE)</f>
        <v>Annex I</v>
      </c>
      <c r="AS2353" s="233" t="str">
        <f>VLOOKUP(Table8[[#This Row],[Country Code]],Table29[],4,FALSE)</f>
        <v>Europe</v>
      </c>
      <c r="AT2353" s="233" t="str">
        <f>VLOOKUP(Table8[[#This Row],[Country Code]],Table29[],5,FALSE)</f>
        <v>High-income</v>
      </c>
      <c r="AU2353" s="233" t="str">
        <f>VLOOKUP(Table8[[#This Row],[Country Code]],Table29[],6,FALSE)</f>
        <v>G20</v>
      </c>
      <c r="AV2353" s="233" t="str">
        <f>VLOOKUP(Table8[[#This Row],[Country Code]],Table29[],7,FALSE)</f>
        <v>G7</v>
      </c>
      <c r="AW2353" s="233" t="str">
        <f>VLOOKUP(Table8[[#This Row],[Country Code]],Table29[],8,FALSE)</f>
        <v>OECD</v>
      </c>
      <c r="AX2353" s="233" t="str">
        <f>VLOOKUP(Table8[[#This Row],[Country Code]],Table29[],9,FALSE)</f>
        <v>no</v>
      </c>
      <c r="AY2353" s="233" t="str">
        <f>VLOOKUP(Table8[[#This Row],[Country Code]],Table29[],10,FALSE)</f>
        <v>no</v>
      </c>
      <c r="AZ2353" s="235">
        <f>VLOOKUP(Table8[[#This Row],[Country Code]],Table29[],23,FALSE)</f>
        <v>379.31858785213001</v>
      </c>
      <c r="BA2353" s="235">
        <f>VLOOKUP(Table8[[#This Row],[Country Code]],Table29[],24,FALSE)</f>
        <v>109.75048777474809</v>
      </c>
      <c r="BB2353" s="320"/>
      <c r="BC2353" s="320"/>
    </row>
    <row r="2354" spans="1:55" ht="105" hidden="1" x14ac:dyDescent="0.25">
      <c r="A2354" s="373">
        <v>17774</v>
      </c>
      <c r="B2354" s="233" t="str">
        <f>VLOOKUP(Table8[[#This Row],[Document ID]],Table1[],2,FALSE)</f>
        <v>GBR</v>
      </c>
      <c r="C2354" s="233" t="str">
        <f>VLOOKUP(Table8[[#This Row],[Document ID]],Table1[],3,FALSE)</f>
        <v>United Kingdom</v>
      </c>
      <c r="D2354" s="243" t="str">
        <f>VLOOKUP(Table8[[#This Row],[Document ID]],Table1[],5,FALSE)</f>
        <v>LTS</v>
      </c>
      <c r="E2354" s="233" t="str">
        <f>VLOOKUP(Table8[[#This Row],[Document ID]],Table1[],7,FALSE)</f>
        <v>Archived LTS 1.0</v>
      </c>
      <c r="F2354" s="233" t="str">
        <f>VLOOKUP(Table8[[#This Row],[Document ID]],Table1[],8,FALSE)</f>
        <v>LTS 1.0</v>
      </c>
      <c r="G2354" s="233" t="str">
        <f>VLOOKUP(Table8[[#This Row],[Document ID]],Table1[],10,FALSE)</f>
        <v>Archived</v>
      </c>
      <c r="H2354" s="43" t="s">
        <v>2358</v>
      </c>
      <c r="I2354" s="43" t="s">
        <v>2359</v>
      </c>
      <c r="J2354" s="44" t="s">
        <v>2389</v>
      </c>
      <c r="K2354" s="44" t="s">
        <v>4473</v>
      </c>
      <c r="L2354" s="44" t="s">
        <v>2333</v>
      </c>
      <c r="M2354" s="43">
        <v>14</v>
      </c>
      <c r="N2354" s="113"/>
      <c r="O2354" s="113"/>
      <c r="P2354" s="113"/>
      <c r="Q2354" s="113"/>
      <c r="R2354" s="113"/>
      <c r="S2354" s="113"/>
      <c r="T2354" s="113"/>
      <c r="U2354" s="113" t="s">
        <v>1113</v>
      </c>
      <c r="V2354" s="113"/>
      <c r="W2354" s="113" t="s">
        <v>1113</v>
      </c>
      <c r="X2354" s="113"/>
      <c r="Y2354" s="113" t="s">
        <v>1113</v>
      </c>
      <c r="Z2354" s="113"/>
      <c r="AA2354" s="113"/>
      <c r="AB2354" s="113"/>
      <c r="AC2354" s="113"/>
      <c r="AD2354" s="113"/>
      <c r="AE2354" s="113"/>
      <c r="AF2354" s="113"/>
      <c r="AG2354" s="113"/>
      <c r="AH2354" s="113"/>
      <c r="AI2354" s="113"/>
      <c r="AJ2354" s="113"/>
      <c r="AK2354" s="319" t="s">
        <v>1113</v>
      </c>
      <c r="AL2354" s="319"/>
      <c r="AM2354" s="319"/>
      <c r="AN2354" s="319"/>
      <c r="AO2354" s="43" t="s">
        <v>2348</v>
      </c>
      <c r="AP2354" s="43"/>
      <c r="AQ2354" s="236" t="str">
        <f>VLOOKUP(Table8[[#This Row],[Instrument]],Def_Targets!$D$73:$E$159,2,FALSE)</f>
        <v>I_Emobilitypurchase</v>
      </c>
      <c r="AR2354" s="233" t="str">
        <f>VLOOKUP(Table8[[#This Row],[Country Code]],Table29[],3,FALSE)</f>
        <v>Annex I</v>
      </c>
      <c r="AS2354" s="233" t="str">
        <f>VLOOKUP(Table8[[#This Row],[Country Code]],Table29[],4,FALSE)</f>
        <v>Europe</v>
      </c>
      <c r="AT2354" s="233" t="str">
        <f>VLOOKUP(Table8[[#This Row],[Country Code]],Table29[],5,FALSE)</f>
        <v>High-income</v>
      </c>
      <c r="AU2354" s="233" t="str">
        <f>VLOOKUP(Table8[[#This Row],[Country Code]],Table29[],6,FALSE)</f>
        <v>G20</v>
      </c>
      <c r="AV2354" s="233" t="str">
        <f>VLOOKUP(Table8[[#This Row],[Country Code]],Table29[],7,FALSE)</f>
        <v>G7</v>
      </c>
      <c r="AW2354" s="233" t="str">
        <f>VLOOKUP(Table8[[#This Row],[Country Code]],Table29[],8,FALSE)</f>
        <v>OECD</v>
      </c>
      <c r="AX2354" s="233" t="str">
        <f>VLOOKUP(Table8[[#This Row],[Country Code]],Table29[],9,FALSE)</f>
        <v>no</v>
      </c>
      <c r="AY2354" s="233" t="str">
        <f>VLOOKUP(Table8[[#This Row],[Country Code]],Table29[],10,FALSE)</f>
        <v>no</v>
      </c>
      <c r="AZ2354" s="235">
        <f>VLOOKUP(Table8[[#This Row],[Country Code]],Table29[],23,FALSE)</f>
        <v>379.31858785213001</v>
      </c>
      <c r="BA2354" s="235">
        <f>VLOOKUP(Table8[[#This Row],[Country Code]],Table29[],24,FALSE)</f>
        <v>109.75048777474809</v>
      </c>
      <c r="BB2354" s="320"/>
      <c r="BC2354" s="320"/>
    </row>
    <row r="2355" spans="1:55" ht="30" hidden="1" x14ac:dyDescent="0.25">
      <c r="A2355" s="373">
        <v>17774</v>
      </c>
      <c r="B2355" s="233" t="str">
        <f>VLOOKUP(Table8[[#This Row],[Document ID]],Table1[],2,FALSE)</f>
        <v>GBR</v>
      </c>
      <c r="C2355" s="233" t="str">
        <f>VLOOKUP(Table8[[#This Row],[Document ID]],Table1[],3,FALSE)</f>
        <v>United Kingdom</v>
      </c>
      <c r="D2355" s="243" t="str">
        <f>VLOOKUP(Table8[[#This Row],[Document ID]],Table1[],5,FALSE)</f>
        <v>LTS</v>
      </c>
      <c r="E2355" s="233" t="str">
        <f>VLOOKUP(Table8[[#This Row],[Document ID]],Table1[],7,FALSE)</f>
        <v>Archived LTS 1.0</v>
      </c>
      <c r="F2355" s="233" t="str">
        <f>VLOOKUP(Table8[[#This Row],[Document ID]],Table1[],8,FALSE)</f>
        <v>LTS 1.0</v>
      </c>
      <c r="G2355" s="233" t="str">
        <f>VLOOKUP(Table8[[#This Row],[Document ID]],Table1[],10,FALSE)</f>
        <v>Archived</v>
      </c>
      <c r="H2355" s="43" t="s">
        <v>2358</v>
      </c>
      <c r="I2355" s="43" t="s">
        <v>2359</v>
      </c>
      <c r="J2355" s="44" t="s">
        <v>2360</v>
      </c>
      <c r="K2355" s="44" t="s">
        <v>4474</v>
      </c>
      <c r="L2355" s="44" t="s">
        <v>2333</v>
      </c>
      <c r="M2355" s="43">
        <v>14</v>
      </c>
      <c r="N2355" s="113" t="s">
        <v>1113</v>
      </c>
      <c r="O2355" s="113"/>
      <c r="P2355" s="113"/>
      <c r="Q2355" s="113"/>
      <c r="R2355" s="113"/>
      <c r="S2355" s="113"/>
      <c r="T2355" s="113"/>
      <c r="U2355" s="113"/>
      <c r="V2355" s="113"/>
      <c r="W2355" s="113"/>
      <c r="X2355" s="113"/>
      <c r="Y2355" s="113"/>
      <c r="Z2355" s="113"/>
      <c r="AA2355" s="113"/>
      <c r="AB2355" s="113"/>
      <c r="AC2355" s="113"/>
      <c r="AD2355" s="113"/>
      <c r="AE2355" s="113"/>
      <c r="AF2355" s="113"/>
      <c r="AG2355" s="113"/>
      <c r="AH2355" s="113"/>
      <c r="AI2355" s="113"/>
      <c r="AJ2355" s="113"/>
      <c r="AK2355" s="319" t="s">
        <v>1113</v>
      </c>
      <c r="AL2355" s="319"/>
      <c r="AM2355" s="319"/>
      <c r="AN2355" s="319"/>
      <c r="AO2355" s="44" t="s">
        <v>2334</v>
      </c>
      <c r="AP2355" s="44"/>
      <c r="AQ2355" s="236" t="str">
        <f>VLOOKUP(Table8[[#This Row],[Instrument]],Def_Targets!$D$73:$E$159,2,FALSE)</f>
        <v>I_Emobility</v>
      </c>
      <c r="AR2355" s="233" t="str">
        <f>VLOOKUP(Table8[[#This Row],[Country Code]],Table29[],3,FALSE)</f>
        <v>Annex I</v>
      </c>
      <c r="AS2355" s="233" t="str">
        <f>VLOOKUP(Table8[[#This Row],[Country Code]],Table29[],4,FALSE)</f>
        <v>Europe</v>
      </c>
      <c r="AT2355" s="233" t="str">
        <f>VLOOKUP(Table8[[#This Row],[Country Code]],Table29[],5,FALSE)</f>
        <v>High-income</v>
      </c>
      <c r="AU2355" s="233" t="str">
        <f>VLOOKUP(Table8[[#This Row],[Country Code]],Table29[],6,FALSE)</f>
        <v>G20</v>
      </c>
      <c r="AV2355" s="233" t="str">
        <f>VLOOKUP(Table8[[#This Row],[Country Code]],Table29[],7,FALSE)</f>
        <v>G7</v>
      </c>
      <c r="AW2355" s="233" t="str">
        <f>VLOOKUP(Table8[[#This Row],[Country Code]],Table29[],8,FALSE)</f>
        <v>OECD</v>
      </c>
      <c r="AX2355" s="233" t="str">
        <f>VLOOKUP(Table8[[#This Row],[Country Code]],Table29[],9,FALSE)</f>
        <v>no</v>
      </c>
      <c r="AY2355" s="233" t="str">
        <f>VLOOKUP(Table8[[#This Row],[Country Code]],Table29[],10,FALSE)</f>
        <v>no</v>
      </c>
      <c r="AZ2355" s="235">
        <f>VLOOKUP(Table8[[#This Row],[Country Code]],Table29[],23,FALSE)</f>
        <v>379.31858785213001</v>
      </c>
      <c r="BA2355" s="235">
        <f>VLOOKUP(Table8[[#This Row],[Country Code]],Table29[],24,FALSE)</f>
        <v>109.75048777474809</v>
      </c>
      <c r="BB2355" s="320"/>
      <c r="BC2355" s="320"/>
    </row>
    <row r="2356" spans="1:55" ht="30" hidden="1" x14ac:dyDescent="0.25">
      <c r="A2356" s="373">
        <v>17774</v>
      </c>
      <c r="B2356" s="233" t="str">
        <f>VLOOKUP(Table8[[#This Row],[Document ID]],Table1[],2,FALSE)</f>
        <v>GBR</v>
      </c>
      <c r="C2356" s="233" t="str">
        <f>VLOOKUP(Table8[[#This Row],[Document ID]],Table1[],3,FALSE)</f>
        <v>United Kingdom</v>
      </c>
      <c r="D2356" s="243" t="str">
        <f>VLOOKUP(Table8[[#This Row],[Document ID]],Table1[],5,FALSE)</f>
        <v>LTS</v>
      </c>
      <c r="E2356" s="233" t="str">
        <f>VLOOKUP(Table8[[#This Row],[Document ID]],Table1[],7,FALSE)</f>
        <v>Archived LTS 1.0</v>
      </c>
      <c r="F2356" s="233" t="str">
        <f>VLOOKUP(Table8[[#This Row],[Document ID]],Table1[],8,FALSE)</f>
        <v>LTS 1.0</v>
      </c>
      <c r="G2356" s="233" t="str">
        <f>VLOOKUP(Table8[[#This Row],[Document ID]],Table1[],10,FALSE)</f>
        <v>Archived</v>
      </c>
      <c r="H2356" s="43" t="s">
        <v>2358</v>
      </c>
      <c r="I2356" s="43" t="s">
        <v>2359</v>
      </c>
      <c r="J2356" s="44" t="s">
        <v>2360</v>
      </c>
      <c r="K2356" s="44" t="s">
        <v>4475</v>
      </c>
      <c r="L2356" s="44" t="s">
        <v>2333</v>
      </c>
      <c r="M2356" s="43">
        <v>14</v>
      </c>
      <c r="N2356" s="113" t="s">
        <v>1113</v>
      </c>
      <c r="O2356" s="113"/>
      <c r="P2356" s="113"/>
      <c r="Q2356" s="113"/>
      <c r="R2356" s="113"/>
      <c r="S2356" s="113"/>
      <c r="T2356" s="113"/>
      <c r="U2356" s="113"/>
      <c r="V2356" s="113"/>
      <c r="W2356" s="113"/>
      <c r="X2356" s="113"/>
      <c r="Y2356" s="113"/>
      <c r="Z2356" s="113"/>
      <c r="AA2356" s="113"/>
      <c r="AB2356" s="113"/>
      <c r="AC2356" s="113"/>
      <c r="AD2356" s="113"/>
      <c r="AE2356" s="113"/>
      <c r="AF2356" s="113"/>
      <c r="AG2356" s="113"/>
      <c r="AH2356" s="113"/>
      <c r="AI2356" s="113"/>
      <c r="AJ2356" s="113"/>
      <c r="AK2356" s="319" t="s">
        <v>1113</v>
      </c>
      <c r="AL2356" s="319"/>
      <c r="AM2356" s="319"/>
      <c r="AN2356" s="319"/>
      <c r="AO2356" s="44" t="s">
        <v>2334</v>
      </c>
      <c r="AP2356" s="44"/>
      <c r="AQ2356" s="236" t="str">
        <f>VLOOKUP(Table8[[#This Row],[Instrument]],Def_Targets!$D$73:$E$159,2,FALSE)</f>
        <v>I_Emobility</v>
      </c>
      <c r="AR2356" s="233" t="str">
        <f>VLOOKUP(Table8[[#This Row],[Country Code]],Table29[],3,FALSE)</f>
        <v>Annex I</v>
      </c>
      <c r="AS2356" s="233" t="str">
        <f>VLOOKUP(Table8[[#This Row],[Country Code]],Table29[],4,FALSE)</f>
        <v>Europe</v>
      </c>
      <c r="AT2356" s="233" t="str">
        <f>VLOOKUP(Table8[[#This Row],[Country Code]],Table29[],5,FALSE)</f>
        <v>High-income</v>
      </c>
      <c r="AU2356" s="233" t="str">
        <f>VLOOKUP(Table8[[#This Row],[Country Code]],Table29[],6,FALSE)</f>
        <v>G20</v>
      </c>
      <c r="AV2356" s="233" t="str">
        <f>VLOOKUP(Table8[[#This Row],[Country Code]],Table29[],7,FALSE)</f>
        <v>G7</v>
      </c>
      <c r="AW2356" s="233" t="str">
        <f>VLOOKUP(Table8[[#This Row],[Country Code]],Table29[],8,FALSE)</f>
        <v>OECD</v>
      </c>
      <c r="AX2356" s="233" t="str">
        <f>VLOOKUP(Table8[[#This Row],[Country Code]],Table29[],9,FALSE)</f>
        <v>no</v>
      </c>
      <c r="AY2356" s="233" t="str">
        <f>VLOOKUP(Table8[[#This Row],[Country Code]],Table29[],10,FALSE)</f>
        <v>no</v>
      </c>
      <c r="AZ2356" s="235">
        <f>VLOOKUP(Table8[[#This Row],[Country Code]],Table29[],23,FALSE)</f>
        <v>379.31858785213001</v>
      </c>
      <c r="BA2356" s="235">
        <f>VLOOKUP(Table8[[#This Row],[Country Code]],Table29[],24,FALSE)</f>
        <v>109.75048777474809</v>
      </c>
      <c r="BB2356" s="320"/>
      <c r="BC2356" s="320"/>
    </row>
    <row r="2357" spans="1:55" hidden="1" x14ac:dyDescent="0.25">
      <c r="A2357" s="373">
        <v>17774</v>
      </c>
      <c r="B2357" s="233" t="str">
        <f>VLOOKUP(Table8[[#This Row],[Document ID]],Table1[],2,FALSE)</f>
        <v>GBR</v>
      </c>
      <c r="C2357" s="233" t="str">
        <f>VLOOKUP(Table8[[#This Row],[Document ID]],Table1[],3,FALSE)</f>
        <v>United Kingdom</v>
      </c>
      <c r="D2357" s="243" t="str">
        <f>VLOOKUP(Table8[[#This Row],[Document ID]],Table1[],5,FALSE)</f>
        <v>LTS</v>
      </c>
      <c r="E2357" s="233" t="str">
        <f>VLOOKUP(Table8[[#This Row],[Document ID]],Table1[],7,FALSE)</f>
        <v>Archived LTS 1.0</v>
      </c>
      <c r="F2357" s="233" t="str">
        <f>VLOOKUP(Table8[[#This Row],[Document ID]],Table1[],8,FALSE)</f>
        <v>LTS 1.0</v>
      </c>
      <c r="G2357" s="233" t="str">
        <f>VLOOKUP(Table8[[#This Row],[Document ID]],Table1[],10,FALSE)</f>
        <v>Archived</v>
      </c>
      <c r="H2357" s="43" t="s">
        <v>2343</v>
      </c>
      <c r="I2357" s="43" t="s">
        <v>2361</v>
      </c>
      <c r="J2357" s="44" t="s">
        <v>2463</v>
      </c>
      <c r="K2357" s="44" t="s">
        <v>4476</v>
      </c>
      <c r="L2357" s="44" t="s">
        <v>2347</v>
      </c>
      <c r="M2357" s="43">
        <v>14</v>
      </c>
      <c r="N2357" s="113"/>
      <c r="O2357" s="113"/>
      <c r="P2357" s="113"/>
      <c r="Q2357" s="113" t="s">
        <v>1113</v>
      </c>
      <c r="R2357" s="113"/>
      <c r="S2357" s="113"/>
      <c r="T2357" s="113"/>
      <c r="U2357" s="113"/>
      <c r="V2357" s="113"/>
      <c r="W2357" s="113"/>
      <c r="X2357" s="113"/>
      <c r="Y2357" s="113"/>
      <c r="Z2357" s="113"/>
      <c r="AA2357" s="113"/>
      <c r="AB2357" s="113"/>
      <c r="AC2357" s="113"/>
      <c r="AD2357" s="113"/>
      <c r="AE2357" s="113"/>
      <c r="AF2357" s="113"/>
      <c r="AG2357" s="113"/>
      <c r="AH2357" s="113"/>
      <c r="AI2357" s="113"/>
      <c r="AJ2357" s="113"/>
      <c r="AK2357" s="319" t="s">
        <v>1113</v>
      </c>
      <c r="AL2357" s="319"/>
      <c r="AM2357" s="319"/>
      <c r="AN2357" s="319"/>
      <c r="AO2357" s="44" t="s">
        <v>2334</v>
      </c>
      <c r="AP2357" s="43"/>
      <c r="AQ2357" s="236" t="str">
        <f>VLOOKUP(Table8[[#This Row],[Instrument]],Def_Targets!$D$73:$E$159,2,FALSE)</f>
        <v>S_Walking</v>
      </c>
      <c r="AR2357" s="233" t="str">
        <f>VLOOKUP(Table8[[#This Row],[Country Code]],Table29[],3,FALSE)</f>
        <v>Annex I</v>
      </c>
      <c r="AS2357" s="233" t="str">
        <f>VLOOKUP(Table8[[#This Row],[Country Code]],Table29[],4,FALSE)</f>
        <v>Europe</v>
      </c>
      <c r="AT2357" s="233" t="str">
        <f>VLOOKUP(Table8[[#This Row],[Country Code]],Table29[],5,FALSE)</f>
        <v>High-income</v>
      </c>
      <c r="AU2357" s="233" t="str">
        <f>VLOOKUP(Table8[[#This Row],[Country Code]],Table29[],6,FALSE)</f>
        <v>G20</v>
      </c>
      <c r="AV2357" s="233" t="str">
        <f>VLOOKUP(Table8[[#This Row],[Country Code]],Table29[],7,FALSE)</f>
        <v>G7</v>
      </c>
      <c r="AW2357" s="233" t="str">
        <f>VLOOKUP(Table8[[#This Row],[Country Code]],Table29[],8,FALSE)</f>
        <v>OECD</v>
      </c>
      <c r="AX2357" s="233" t="str">
        <f>VLOOKUP(Table8[[#This Row],[Country Code]],Table29[],9,FALSE)</f>
        <v>no</v>
      </c>
      <c r="AY2357" s="233" t="str">
        <f>VLOOKUP(Table8[[#This Row],[Country Code]],Table29[],10,FALSE)</f>
        <v>no</v>
      </c>
      <c r="AZ2357" s="235">
        <f>VLOOKUP(Table8[[#This Row],[Country Code]],Table29[],23,FALSE)</f>
        <v>379.31858785213001</v>
      </c>
      <c r="BA2357" s="235">
        <f>VLOOKUP(Table8[[#This Row],[Country Code]],Table29[],24,FALSE)</f>
        <v>109.75048777474809</v>
      </c>
      <c r="BB2357" s="320"/>
      <c r="BC2357" s="320"/>
    </row>
    <row r="2358" spans="1:55" hidden="1" x14ac:dyDescent="0.25">
      <c r="A2358" s="373">
        <v>17774</v>
      </c>
      <c r="B2358" s="233" t="str">
        <f>VLOOKUP(Table8[[#This Row],[Document ID]],Table1[],2,FALSE)</f>
        <v>GBR</v>
      </c>
      <c r="C2358" s="233" t="str">
        <f>VLOOKUP(Table8[[#This Row],[Document ID]],Table1[],3,FALSE)</f>
        <v>United Kingdom</v>
      </c>
      <c r="D2358" s="243" t="str">
        <f>VLOOKUP(Table8[[#This Row],[Document ID]],Table1[],5,FALSE)</f>
        <v>LTS</v>
      </c>
      <c r="E2358" s="233" t="str">
        <f>VLOOKUP(Table8[[#This Row],[Document ID]],Table1[],7,FALSE)</f>
        <v>Archived LTS 1.0</v>
      </c>
      <c r="F2358" s="233" t="str">
        <f>VLOOKUP(Table8[[#This Row],[Document ID]],Table1[],8,FALSE)</f>
        <v>LTS 1.0</v>
      </c>
      <c r="G2358" s="233" t="str">
        <f>VLOOKUP(Table8[[#This Row],[Document ID]],Table1[],10,FALSE)</f>
        <v>Archived</v>
      </c>
      <c r="H2358" s="43" t="s">
        <v>2343</v>
      </c>
      <c r="I2358" s="43" t="s">
        <v>2361</v>
      </c>
      <c r="J2358" s="44" t="s">
        <v>2362</v>
      </c>
      <c r="K2358" s="44" t="s">
        <v>4476</v>
      </c>
      <c r="L2358" s="44" t="s">
        <v>2347</v>
      </c>
      <c r="M2358" s="43">
        <v>14</v>
      </c>
      <c r="N2358" s="113"/>
      <c r="O2358" s="113"/>
      <c r="P2358" s="113"/>
      <c r="Q2358" s="113"/>
      <c r="R2358" s="113" t="s">
        <v>1113</v>
      </c>
      <c r="S2358" s="113"/>
      <c r="T2358" s="113"/>
      <c r="U2358" s="113"/>
      <c r="V2358" s="113"/>
      <c r="W2358" s="113"/>
      <c r="X2358" s="113"/>
      <c r="Y2358" s="113"/>
      <c r="Z2358" s="113"/>
      <c r="AA2358" s="113"/>
      <c r="AB2358" s="113"/>
      <c r="AC2358" s="113"/>
      <c r="AD2358" s="113"/>
      <c r="AE2358" s="113"/>
      <c r="AF2358" s="113"/>
      <c r="AG2358" s="113"/>
      <c r="AH2358" s="113"/>
      <c r="AI2358" s="113"/>
      <c r="AJ2358" s="113"/>
      <c r="AK2358" s="319" t="s">
        <v>1113</v>
      </c>
      <c r="AL2358" s="319"/>
      <c r="AM2358" s="319"/>
      <c r="AN2358" s="319"/>
      <c r="AO2358" s="44" t="s">
        <v>2334</v>
      </c>
      <c r="AP2358" s="43"/>
      <c r="AQ2358" s="236" t="str">
        <f>VLOOKUP(Table8[[#This Row],[Instrument]],Def_Targets!$D$73:$E$159,2,FALSE)</f>
        <v>S_Cycling</v>
      </c>
      <c r="AR2358" s="233" t="str">
        <f>VLOOKUP(Table8[[#This Row],[Country Code]],Table29[],3,FALSE)</f>
        <v>Annex I</v>
      </c>
      <c r="AS2358" s="233" t="str">
        <f>VLOOKUP(Table8[[#This Row],[Country Code]],Table29[],4,FALSE)</f>
        <v>Europe</v>
      </c>
      <c r="AT2358" s="233" t="str">
        <f>VLOOKUP(Table8[[#This Row],[Country Code]],Table29[],5,FALSE)</f>
        <v>High-income</v>
      </c>
      <c r="AU2358" s="233" t="str">
        <f>VLOOKUP(Table8[[#This Row],[Country Code]],Table29[],6,FALSE)</f>
        <v>G20</v>
      </c>
      <c r="AV2358" s="233" t="str">
        <f>VLOOKUP(Table8[[#This Row],[Country Code]],Table29[],7,FALSE)</f>
        <v>G7</v>
      </c>
      <c r="AW2358" s="233" t="str">
        <f>VLOOKUP(Table8[[#This Row],[Country Code]],Table29[],8,FALSE)</f>
        <v>OECD</v>
      </c>
      <c r="AX2358" s="233" t="str">
        <f>VLOOKUP(Table8[[#This Row],[Country Code]],Table29[],9,FALSE)</f>
        <v>no</v>
      </c>
      <c r="AY2358" s="233" t="str">
        <f>VLOOKUP(Table8[[#This Row],[Country Code]],Table29[],10,FALSE)</f>
        <v>no</v>
      </c>
      <c r="AZ2358" s="235">
        <f>VLOOKUP(Table8[[#This Row],[Country Code]],Table29[],23,FALSE)</f>
        <v>379.31858785213001</v>
      </c>
      <c r="BA2358" s="235">
        <f>VLOOKUP(Table8[[#This Row],[Country Code]],Table29[],24,FALSE)</f>
        <v>109.75048777474809</v>
      </c>
      <c r="BB2358" s="320"/>
      <c r="BC2358" s="320"/>
    </row>
    <row r="2359" spans="1:55" ht="45" hidden="1" x14ac:dyDescent="0.25">
      <c r="A2359" s="373">
        <v>17774</v>
      </c>
      <c r="B2359" s="233" t="str">
        <f>VLOOKUP(Table8[[#This Row],[Document ID]],Table1[],2,FALSE)</f>
        <v>GBR</v>
      </c>
      <c r="C2359" s="233" t="str">
        <f>VLOOKUP(Table8[[#This Row],[Document ID]],Table1[],3,FALSE)</f>
        <v>United Kingdom</v>
      </c>
      <c r="D2359" s="243" t="str">
        <f>VLOOKUP(Table8[[#This Row],[Document ID]],Table1[],5,FALSE)</f>
        <v>LTS</v>
      </c>
      <c r="E2359" s="233" t="str">
        <f>VLOOKUP(Table8[[#This Row],[Document ID]],Table1[],7,FALSE)</f>
        <v>Archived LTS 1.0</v>
      </c>
      <c r="F2359" s="233" t="str">
        <f>VLOOKUP(Table8[[#This Row],[Document ID]],Table1[],8,FALSE)</f>
        <v>LTS 1.0</v>
      </c>
      <c r="G2359" s="233" t="str">
        <f>VLOOKUP(Table8[[#This Row],[Document ID]],Table1[],10,FALSE)</f>
        <v>Archived</v>
      </c>
      <c r="H2359" s="43" t="s">
        <v>2350</v>
      </c>
      <c r="I2359" s="43" t="s">
        <v>2351</v>
      </c>
      <c r="J2359" s="44" t="s">
        <v>2352</v>
      </c>
      <c r="K2359" s="44" t="s">
        <v>4477</v>
      </c>
      <c r="L2359" s="44" t="s">
        <v>2471</v>
      </c>
      <c r="M2359" s="43">
        <v>14</v>
      </c>
      <c r="N2359" s="113"/>
      <c r="O2359" s="113"/>
      <c r="P2359" s="113"/>
      <c r="Q2359" s="113"/>
      <c r="R2359" s="113"/>
      <c r="S2359" s="113"/>
      <c r="T2359" s="113"/>
      <c r="U2359" s="113"/>
      <c r="V2359" s="113"/>
      <c r="W2359" s="113"/>
      <c r="X2359" s="113" t="s">
        <v>1113</v>
      </c>
      <c r="Y2359" s="113"/>
      <c r="Z2359" s="113" t="s">
        <v>1113</v>
      </c>
      <c r="AA2359" s="113"/>
      <c r="AB2359" s="113"/>
      <c r="AC2359" s="113"/>
      <c r="AD2359" s="113"/>
      <c r="AE2359" s="113"/>
      <c r="AF2359" s="113"/>
      <c r="AG2359" s="113"/>
      <c r="AH2359" s="113"/>
      <c r="AI2359" s="113"/>
      <c r="AJ2359" s="113"/>
      <c r="AK2359" s="319"/>
      <c r="AL2359" s="113" t="s">
        <v>1113</v>
      </c>
      <c r="AM2359" s="319"/>
      <c r="AN2359" s="319"/>
      <c r="AO2359" s="43" t="s">
        <v>2353</v>
      </c>
      <c r="AP2359" s="44"/>
      <c r="AQ2359" s="236" t="str">
        <f>VLOOKUP(Table8[[#This Row],[Instrument]],Def_Targets!$D$73:$E$159,2,FALSE)</f>
        <v>S_Railfreight</v>
      </c>
      <c r="AR2359" s="233" t="str">
        <f>VLOOKUP(Table8[[#This Row],[Country Code]],Table29[],3,FALSE)</f>
        <v>Annex I</v>
      </c>
      <c r="AS2359" s="233" t="str">
        <f>VLOOKUP(Table8[[#This Row],[Country Code]],Table29[],4,FALSE)</f>
        <v>Europe</v>
      </c>
      <c r="AT2359" s="233" t="str">
        <f>VLOOKUP(Table8[[#This Row],[Country Code]],Table29[],5,FALSE)</f>
        <v>High-income</v>
      </c>
      <c r="AU2359" s="233" t="str">
        <f>VLOOKUP(Table8[[#This Row],[Country Code]],Table29[],6,FALSE)</f>
        <v>G20</v>
      </c>
      <c r="AV2359" s="233" t="str">
        <f>VLOOKUP(Table8[[#This Row],[Country Code]],Table29[],7,FALSE)</f>
        <v>G7</v>
      </c>
      <c r="AW2359" s="233" t="str">
        <f>VLOOKUP(Table8[[#This Row],[Country Code]],Table29[],8,FALSE)</f>
        <v>OECD</v>
      </c>
      <c r="AX2359" s="233" t="str">
        <f>VLOOKUP(Table8[[#This Row],[Country Code]],Table29[],9,FALSE)</f>
        <v>no</v>
      </c>
      <c r="AY2359" s="233" t="str">
        <f>VLOOKUP(Table8[[#This Row],[Country Code]],Table29[],10,FALSE)</f>
        <v>no</v>
      </c>
      <c r="AZ2359" s="235">
        <f>VLOOKUP(Table8[[#This Row],[Country Code]],Table29[],23,FALSE)</f>
        <v>379.31858785213001</v>
      </c>
      <c r="BA2359" s="235">
        <f>VLOOKUP(Table8[[#This Row],[Country Code]],Table29[],24,FALSE)</f>
        <v>109.75048777474809</v>
      </c>
      <c r="BB2359" s="320"/>
      <c r="BC2359" s="320"/>
    </row>
    <row r="2360" spans="1:55" ht="45" hidden="1" x14ac:dyDescent="0.25">
      <c r="A2360" s="373">
        <v>17774</v>
      </c>
      <c r="B2360" s="233" t="str">
        <f>VLOOKUP(Table8[[#This Row],[Document ID]],Table1[],2,FALSE)</f>
        <v>GBR</v>
      </c>
      <c r="C2360" s="233" t="str">
        <f>VLOOKUP(Table8[[#This Row],[Document ID]],Table1[],3,FALSE)</f>
        <v>United Kingdom</v>
      </c>
      <c r="D2360" s="243" t="str">
        <f>VLOOKUP(Table8[[#This Row],[Document ID]],Table1[],5,FALSE)</f>
        <v>LTS</v>
      </c>
      <c r="E2360" s="233" t="str">
        <f>VLOOKUP(Table8[[#This Row],[Document ID]],Table1[],7,FALSE)</f>
        <v>Archived LTS 1.0</v>
      </c>
      <c r="F2360" s="233" t="str">
        <f>VLOOKUP(Table8[[#This Row],[Document ID]],Table1[],8,FALSE)</f>
        <v>LTS 1.0</v>
      </c>
      <c r="G2360" s="233" t="str">
        <f>VLOOKUP(Table8[[#This Row],[Document ID]],Table1[],10,FALSE)</f>
        <v>Archived</v>
      </c>
      <c r="H2360" s="43" t="s">
        <v>2343</v>
      </c>
      <c r="I2360" s="43" t="s">
        <v>2429</v>
      </c>
      <c r="J2360" s="44" t="s">
        <v>2501</v>
      </c>
      <c r="K2360" s="44" t="s">
        <v>4478</v>
      </c>
      <c r="L2360" s="44" t="s">
        <v>2333</v>
      </c>
      <c r="M2360" s="43">
        <v>14</v>
      </c>
      <c r="N2360" s="113" t="s">
        <v>1113</v>
      </c>
      <c r="O2360" s="113"/>
      <c r="P2360" s="113"/>
      <c r="Q2360" s="113"/>
      <c r="R2360" s="113"/>
      <c r="S2360" s="113"/>
      <c r="T2360" s="113"/>
      <c r="U2360" s="113"/>
      <c r="V2360" s="113"/>
      <c r="W2360" s="113"/>
      <c r="X2360" s="113"/>
      <c r="Y2360" s="113"/>
      <c r="Z2360" s="113"/>
      <c r="AA2360" s="113"/>
      <c r="AB2360" s="113"/>
      <c r="AC2360" s="113"/>
      <c r="AD2360" s="113"/>
      <c r="AE2360" s="113"/>
      <c r="AF2360" s="113"/>
      <c r="AG2360" s="113"/>
      <c r="AH2360" s="113"/>
      <c r="AI2360" s="113"/>
      <c r="AJ2360" s="113"/>
      <c r="AK2360" s="319" t="s">
        <v>1113</v>
      </c>
      <c r="AL2360" s="319"/>
      <c r="AM2360" s="319"/>
      <c r="AN2360" s="319"/>
      <c r="AO2360" s="44" t="s">
        <v>2334</v>
      </c>
      <c r="AP2360" s="44"/>
      <c r="AQ2360" s="236" t="str">
        <f>VLOOKUP(Table8[[#This Row],[Instrument]],Def_Targets!$D$73:$E$159,2,FALSE)</f>
        <v>I_Autonomous</v>
      </c>
      <c r="AR2360" s="233" t="str">
        <f>VLOOKUP(Table8[[#This Row],[Country Code]],Table29[],3,FALSE)</f>
        <v>Annex I</v>
      </c>
      <c r="AS2360" s="233" t="str">
        <f>VLOOKUP(Table8[[#This Row],[Country Code]],Table29[],4,FALSE)</f>
        <v>Europe</v>
      </c>
      <c r="AT2360" s="233" t="str">
        <f>VLOOKUP(Table8[[#This Row],[Country Code]],Table29[],5,FALSE)</f>
        <v>High-income</v>
      </c>
      <c r="AU2360" s="233" t="str">
        <f>VLOOKUP(Table8[[#This Row],[Country Code]],Table29[],6,FALSE)</f>
        <v>G20</v>
      </c>
      <c r="AV2360" s="233" t="str">
        <f>VLOOKUP(Table8[[#This Row],[Country Code]],Table29[],7,FALSE)</f>
        <v>G7</v>
      </c>
      <c r="AW2360" s="233" t="str">
        <f>VLOOKUP(Table8[[#This Row],[Country Code]],Table29[],8,FALSE)</f>
        <v>OECD</v>
      </c>
      <c r="AX2360" s="233" t="str">
        <f>VLOOKUP(Table8[[#This Row],[Country Code]],Table29[],9,FALSE)</f>
        <v>no</v>
      </c>
      <c r="AY2360" s="233" t="str">
        <f>VLOOKUP(Table8[[#This Row],[Country Code]],Table29[],10,FALSE)</f>
        <v>no</v>
      </c>
      <c r="AZ2360" s="235">
        <f>VLOOKUP(Table8[[#This Row],[Country Code]],Table29[],23,FALSE)</f>
        <v>379.31858785213001</v>
      </c>
      <c r="BA2360" s="235">
        <f>VLOOKUP(Table8[[#This Row],[Country Code]],Table29[],24,FALSE)</f>
        <v>109.75048777474809</v>
      </c>
      <c r="BB2360" s="320"/>
      <c r="BC2360" s="320"/>
    </row>
    <row r="2361" spans="1:55" ht="60" hidden="1" x14ac:dyDescent="0.25">
      <c r="A2361" s="373">
        <v>17774</v>
      </c>
      <c r="B2361" s="233" t="str">
        <f>VLOOKUP(Table8[[#This Row],[Document ID]],Table1[],2,FALSE)</f>
        <v>GBR</v>
      </c>
      <c r="C2361" s="233" t="str">
        <f>VLOOKUP(Table8[[#This Row],[Document ID]],Table1[],3,FALSE)</f>
        <v>United Kingdom</v>
      </c>
      <c r="D2361" s="243" t="str">
        <f>VLOOKUP(Table8[[#This Row],[Document ID]],Table1[],5,FALSE)</f>
        <v>LTS</v>
      </c>
      <c r="E2361" s="233" t="str">
        <f>VLOOKUP(Table8[[#This Row],[Document ID]],Table1[],7,FALSE)</f>
        <v>Archived LTS 1.0</v>
      </c>
      <c r="F2361" s="233" t="str">
        <f>VLOOKUP(Table8[[#This Row],[Document ID]],Table1[],8,FALSE)</f>
        <v>LTS 1.0</v>
      </c>
      <c r="G2361" s="233" t="str">
        <f>VLOOKUP(Table8[[#This Row],[Document ID]],Table1[],10,FALSE)</f>
        <v>Archived</v>
      </c>
      <c r="H2361" s="43" t="s">
        <v>2343</v>
      </c>
      <c r="I2361" s="43" t="s">
        <v>2429</v>
      </c>
      <c r="J2361" s="44" t="s">
        <v>2472</v>
      </c>
      <c r="K2361" s="44" t="s">
        <v>4479</v>
      </c>
      <c r="L2361" s="44" t="s">
        <v>2333</v>
      </c>
      <c r="M2361" s="43">
        <v>15</v>
      </c>
      <c r="N2361" s="113" t="s">
        <v>1113</v>
      </c>
      <c r="O2361" s="113"/>
      <c r="P2361" s="113"/>
      <c r="Q2361" s="113"/>
      <c r="R2361" s="113"/>
      <c r="S2361" s="113"/>
      <c r="T2361" s="113"/>
      <c r="U2361" s="113"/>
      <c r="V2361" s="113"/>
      <c r="W2361" s="113"/>
      <c r="X2361" s="113"/>
      <c r="Y2361" s="113"/>
      <c r="Z2361" s="113"/>
      <c r="AA2361" s="113"/>
      <c r="AB2361" s="113"/>
      <c r="AC2361" s="113"/>
      <c r="AD2361" s="113"/>
      <c r="AE2361" s="113"/>
      <c r="AF2361" s="113"/>
      <c r="AG2361" s="113"/>
      <c r="AH2361" s="113"/>
      <c r="AI2361" s="113"/>
      <c r="AJ2361" s="113"/>
      <c r="AK2361" s="319" t="s">
        <v>1113</v>
      </c>
      <c r="AL2361" s="319"/>
      <c r="AM2361" s="319"/>
      <c r="AN2361" s="319"/>
      <c r="AO2361" s="44" t="s">
        <v>2334</v>
      </c>
      <c r="AP2361" s="44"/>
      <c r="AQ2361" s="236" t="str">
        <f>VLOOKUP(Table8[[#This Row],[Instrument]],Def_Targets!$D$73:$E$159,2,FALSE)</f>
        <v>I_Other</v>
      </c>
      <c r="AR2361" s="233" t="str">
        <f>VLOOKUP(Table8[[#This Row],[Country Code]],Table29[],3,FALSE)</f>
        <v>Annex I</v>
      </c>
      <c r="AS2361" s="233" t="str">
        <f>VLOOKUP(Table8[[#This Row],[Country Code]],Table29[],4,FALSE)</f>
        <v>Europe</v>
      </c>
      <c r="AT2361" s="233" t="str">
        <f>VLOOKUP(Table8[[#This Row],[Country Code]],Table29[],5,FALSE)</f>
        <v>High-income</v>
      </c>
      <c r="AU2361" s="233" t="str">
        <f>VLOOKUP(Table8[[#This Row],[Country Code]],Table29[],6,FALSE)</f>
        <v>G20</v>
      </c>
      <c r="AV2361" s="233" t="str">
        <f>VLOOKUP(Table8[[#This Row],[Country Code]],Table29[],7,FALSE)</f>
        <v>G7</v>
      </c>
      <c r="AW2361" s="233" t="str">
        <f>VLOOKUP(Table8[[#This Row],[Country Code]],Table29[],8,FALSE)</f>
        <v>OECD</v>
      </c>
      <c r="AX2361" s="233" t="str">
        <f>VLOOKUP(Table8[[#This Row],[Country Code]],Table29[],9,FALSE)</f>
        <v>no</v>
      </c>
      <c r="AY2361" s="233" t="str">
        <f>VLOOKUP(Table8[[#This Row],[Country Code]],Table29[],10,FALSE)</f>
        <v>no</v>
      </c>
      <c r="AZ2361" s="235">
        <f>VLOOKUP(Table8[[#This Row],[Country Code]],Table29[],23,FALSE)</f>
        <v>379.31858785213001</v>
      </c>
      <c r="BA2361" s="235">
        <f>VLOOKUP(Table8[[#This Row],[Country Code]],Table29[],24,FALSE)</f>
        <v>109.75048777474809</v>
      </c>
      <c r="BB2361" s="320"/>
      <c r="BC2361" s="320"/>
    </row>
    <row r="2362" spans="1:55" ht="30" hidden="1" x14ac:dyDescent="0.25">
      <c r="A2362" s="373">
        <v>17774</v>
      </c>
      <c r="B2362" s="233" t="str">
        <f>VLOOKUP(Table8[[#This Row],[Document ID]],Table1[],2,FALSE)</f>
        <v>GBR</v>
      </c>
      <c r="C2362" s="233" t="str">
        <f>VLOOKUP(Table8[[#This Row],[Document ID]],Table1[],3,FALSE)</f>
        <v>United Kingdom</v>
      </c>
      <c r="D2362" s="243" t="str">
        <f>VLOOKUP(Table8[[#This Row],[Document ID]],Table1[],5,FALSE)</f>
        <v>LTS</v>
      </c>
      <c r="E2362" s="233" t="str">
        <f>VLOOKUP(Table8[[#This Row],[Document ID]],Table1[],7,FALSE)</f>
        <v>Archived LTS 1.0</v>
      </c>
      <c r="F2362" s="233" t="str">
        <f>VLOOKUP(Table8[[#This Row],[Document ID]],Table1[],8,FALSE)</f>
        <v>LTS 1.0</v>
      </c>
      <c r="G2362" s="233" t="str">
        <f>VLOOKUP(Table8[[#This Row],[Document ID]],Table1[],10,FALSE)</f>
        <v>Archived</v>
      </c>
      <c r="H2362" s="43" t="s">
        <v>2350</v>
      </c>
      <c r="I2362" s="43" t="s">
        <v>2351</v>
      </c>
      <c r="J2362" s="44" t="s">
        <v>2447</v>
      </c>
      <c r="K2362" s="44" t="s">
        <v>4480</v>
      </c>
      <c r="L2362" s="44" t="s">
        <v>2333</v>
      </c>
      <c r="M2362" s="43">
        <v>15</v>
      </c>
      <c r="N2362" s="113"/>
      <c r="O2362" s="113"/>
      <c r="P2362" s="113"/>
      <c r="Q2362" s="113"/>
      <c r="R2362" s="113"/>
      <c r="S2362" s="113"/>
      <c r="T2362" s="113"/>
      <c r="U2362" s="113"/>
      <c r="V2362" s="113"/>
      <c r="W2362" s="113"/>
      <c r="X2362" s="113" t="s">
        <v>1113</v>
      </c>
      <c r="Y2362" s="113"/>
      <c r="Z2362" s="113"/>
      <c r="AA2362" s="113"/>
      <c r="AB2362" s="113"/>
      <c r="AC2362" s="113"/>
      <c r="AD2362" s="113"/>
      <c r="AE2362" s="113"/>
      <c r="AF2362" s="113"/>
      <c r="AG2362" s="113"/>
      <c r="AH2362" s="113"/>
      <c r="AI2362" s="113"/>
      <c r="AJ2362" s="113"/>
      <c r="AK2362" s="319" t="s">
        <v>1113</v>
      </c>
      <c r="AL2362" s="319"/>
      <c r="AM2362" s="319"/>
      <c r="AN2362" s="319"/>
      <c r="AO2362" s="43" t="s">
        <v>2353</v>
      </c>
      <c r="AP2362" s="43"/>
      <c r="AQ2362" s="236" t="str">
        <f>VLOOKUP(Table8[[#This Row],[Instrument]],Def_Targets!$D$73:$E$159,2,FALSE)</f>
        <v>I_Freighteff</v>
      </c>
      <c r="AR2362" s="233" t="str">
        <f>VLOOKUP(Table8[[#This Row],[Country Code]],Table29[],3,FALSE)</f>
        <v>Annex I</v>
      </c>
      <c r="AS2362" s="233" t="str">
        <f>VLOOKUP(Table8[[#This Row],[Country Code]],Table29[],4,FALSE)</f>
        <v>Europe</v>
      </c>
      <c r="AT2362" s="233" t="str">
        <f>VLOOKUP(Table8[[#This Row],[Country Code]],Table29[],5,FALSE)</f>
        <v>High-income</v>
      </c>
      <c r="AU2362" s="233" t="str">
        <f>VLOOKUP(Table8[[#This Row],[Country Code]],Table29[],6,FALSE)</f>
        <v>G20</v>
      </c>
      <c r="AV2362" s="233" t="str">
        <f>VLOOKUP(Table8[[#This Row],[Country Code]],Table29[],7,FALSE)</f>
        <v>G7</v>
      </c>
      <c r="AW2362" s="233" t="str">
        <f>VLOOKUP(Table8[[#This Row],[Country Code]],Table29[],8,FALSE)</f>
        <v>OECD</v>
      </c>
      <c r="AX2362" s="233" t="str">
        <f>VLOOKUP(Table8[[#This Row],[Country Code]],Table29[],9,FALSE)</f>
        <v>no</v>
      </c>
      <c r="AY2362" s="233" t="str">
        <f>VLOOKUP(Table8[[#This Row],[Country Code]],Table29[],10,FALSE)</f>
        <v>no</v>
      </c>
      <c r="AZ2362" s="235">
        <f>VLOOKUP(Table8[[#This Row],[Country Code]],Table29[],23,FALSE)</f>
        <v>379.31858785213001</v>
      </c>
      <c r="BA2362" s="235">
        <f>VLOOKUP(Table8[[#This Row],[Country Code]],Table29[],24,FALSE)</f>
        <v>109.75048777474809</v>
      </c>
      <c r="BB2362" s="320"/>
      <c r="BC2362" s="320"/>
    </row>
    <row r="2363" spans="1:55" s="17" customFormat="1" ht="45" hidden="1" x14ac:dyDescent="0.25">
      <c r="A2363" s="373">
        <v>32515</v>
      </c>
      <c r="B2363" s="233" t="str">
        <f>VLOOKUP(Table8[[#This Row],[Document ID]],Table1[],2,FALSE)</f>
        <v>SVN</v>
      </c>
      <c r="C2363" s="233" t="str">
        <f>VLOOKUP(Table8[[#This Row],[Document ID]],Table1[],3,FALSE)</f>
        <v>Slovenia</v>
      </c>
      <c r="D2363" s="243" t="str">
        <f>VLOOKUP(Table8[[#This Row],[Document ID]],Table1[],5,FALSE)</f>
        <v>LTS</v>
      </c>
      <c r="E2363" s="233" t="str">
        <f>VLOOKUP(Table8[[#This Row],[Document ID]],Table1[],7,FALSE)</f>
        <v>LTS</v>
      </c>
      <c r="F2363" s="233" t="str">
        <f>VLOOKUP(Table8[[#This Row],[Document ID]],Table1[],8,FALSE)</f>
        <v>LTS 1.0</v>
      </c>
      <c r="G2363" s="233" t="str">
        <f>VLOOKUP(Table8[[#This Row],[Document ID]],Table1[],10,FALSE)</f>
        <v>Active</v>
      </c>
      <c r="H2363" s="44" t="s">
        <v>2329</v>
      </c>
      <c r="I2363" s="44" t="s">
        <v>2330</v>
      </c>
      <c r="J2363" s="44" t="s">
        <v>2363</v>
      </c>
      <c r="K2363" s="44" t="s">
        <v>4430</v>
      </c>
      <c r="L2363" s="44" t="s">
        <v>2333</v>
      </c>
      <c r="M2363" s="43">
        <v>45</v>
      </c>
      <c r="N2363" s="113" t="s">
        <v>1113</v>
      </c>
      <c r="O2363" s="113"/>
      <c r="P2363" s="113"/>
      <c r="Q2363" s="113"/>
      <c r="R2363" s="113"/>
      <c r="S2363" s="113"/>
      <c r="T2363" s="113"/>
      <c r="U2363" s="113"/>
      <c r="V2363" s="113"/>
      <c r="W2363" s="113"/>
      <c r="X2363" s="113"/>
      <c r="Y2363" s="113"/>
      <c r="Z2363" s="113"/>
      <c r="AA2363" s="113"/>
      <c r="AB2363" s="113"/>
      <c r="AC2363" s="113"/>
      <c r="AD2363" s="113"/>
      <c r="AE2363" s="113"/>
      <c r="AF2363" s="113"/>
      <c r="AG2363" s="113"/>
      <c r="AH2363" s="113"/>
      <c r="AI2363" s="113"/>
      <c r="AJ2363" s="113"/>
      <c r="AK2363" s="113" t="s">
        <v>1113</v>
      </c>
      <c r="AL2363" s="113"/>
      <c r="AM2363" s="113"/>
      <c r="AN2363" s="113"/>
      <c r="AO2363" s="44" t="s">
        <v>2334</v>
      </c>
      <c r="AP2363" s="43"/>
      <c r="AQ2363" s="236" t="str">
        <f>VLOOKUP(Table8[[#This Row],[Instrument]],Def_Targets!$D$73:$E$159,2,FALSE)</f>
        <v>I_LPGCNGLNG</v>
      </c>
      <c r="AR2363" s="233" t="str">
        <f>VLOOKUP(Table8[[#This Row],[Country Code]],Table29[],3,FALSE)</f>
        <v>Annex I</v>
      </c>
      <c r="AS2363" s="233" t="str">
        <f>VLOOKUP(Table8[[#This Row],[Country Code]],Table29[],4,FALSE)</f>
        <v>Europe</v>
      </c>
      <c r="AT2363" s="233" t="str">
        <f>VLOOKUP(Table8[[#This Row],[Country Code]],Table29[],5,FALSE)</f>
        <v>High-income</v>
      </c>
      <c r="AU2363" s="233" t="str">
        <f>VLOOKUP(Table8[[#This Row],[Country Code]],Table29[],6,FALSE)</f>
        <v>no</v>
      </c>
      <c r="AV2363" s="233" t="str">
        <f>VLOOKUP(Table8[[#This Row],[Country Code]],Table29[],7,FALSE)</f>
        <v>no</v>
      </c>
      <c r="AW2363" s="233" t="str">
        <f>VLOOKUP(Table8[[#This Row],[Country Code]],Table29[],8,FALSE)</f>
        <v>OECD</v>
      </c>
      <c r="AX2363" s="233" t="str">
        <f>VLOOKUP(Table8[[#This Row],[Country Code]],Table29[],9,FALSE)</f>
        <v>EU27</v>
      </c>
      <c r="AY2363" s="233" t="str">
        <f>VLOOKUP(Table8[[#This Row],[Country Code]],Table29[],10,FALSE)</f>
        <v>no</v>
      </c>
      <c r="AZ2363" s="235">
        <f>VLOOKUP(Table8[[#This Row],[Country Code]],Table29[],23,FALSE)</f>
        <v>15.993517423122</v>
      </c>
      <c r="BA2363" s="235">
        <f>VLOOKUP(Table8[[#This Row],[Country Code]],Table29[],24,FALSE)</f>
        <v>4.830209372200426</v>
      </c>
      <c r="BB2363" s="320"/>
      <c r="BC2363" s="320"/>
    </row>
    <row r="2364" spans="1:55" s="17" customFormat="1" ht="45" hidden="1" x14ac:dyDescent="0.25">
      <c r="A2364" s="373">
        <v>32515</v>
      </c>
      <c r="B2364" s="233" t="str">
        <f>VLOOKUP(Table8[[#This Row],[Document ID]],Table1[],2,FALSE)</f>
        <v>SVN</v>
      </c>
      <c r="C2364" s="233" t="str">
        <f>VLOOKUP(Table8[[#This Row],[Document ID]],Table1[],3,FALSE)</f>
        <v>Slovenia</v>
      </c>
      <c r="D2364" s="243" t="str">
        <f>VLOOKUP(Table8[[#This Row],[Document ID]],Table1[],5,FALSE)</f>
        <v>LTS</v>
      </c>
      <c r="E2364" s="233" t="str">
        <f>VLOOKUP(Table8[[#This Row],[Document ID]],Table1[],7,FALSE)</f>
        <v>LTS</v>
      </c>
      <c r="F2364" s="233" t="str">
        <f>VLOOKUP(Table8[[#This Row],[Document ID]],Table1[],8,FALSE)</f>
        <v>LTS 1.0</v>
      </c>
      <c r="G2364" s="233" t="str">
        <f>VLOOKUP(Table8[[#This Row],[Document ID]],Table1[],10,FALSE)</f>
        <v>Active</v>
      </c>
      <c r="H2364" s="44" t="s">
        <v>2329</v>
      </c>
      <c r="I2364" s="44" t="s">
        <v>2330</v>
      </c>
      <c r="J2364" s="44" t="s">
        <v>2331</v>
      </c>
      <c r="K2364" s="44" t="s">
        <v>4430</v>
      </c>
      <c r="L2364" s="44" t="s">
        <v>2333</v>
      </c>
      <c r="M2364" s="43">
        <v>45</v>
      </c>
      <c r="N2364" s="113" t="s">
        <v>1113</v>
      </c>
      <c r="O2364" s="113"/>
      <c r="P2364" s="113"/>
      <c r="Q2364" s="113"/>
      <c r="R2364" s="113"/>
      <c r="S2364" s="113"/>
      <c r="T2364" s="113"/>
      <c r="U2364" s="113"/>
      <c r="V2364" s="113"/>
      <c r="W2364" s="113"/>
      <c r="X2364" s="113"/>
      <c r="Y2364" s="113"/>
      <c r="Z2364" s="113"/>
      <c r="AA2364" s="113"/>
      <c r="AB2364" s="113"/>
      <c r="AC2364" s="113"/>
      <c r="AD2364" s="113"/>
      <c r="AE2364" s="113"/>
      <c r="AF2364" s="113"/>
      <c r="AG2364" s="113"/>
      <c r="AH2364" s="113"/>
      <c r="AI2364" s="113"/>
      <c r="AJ2364" s="113"/>
      <c r="AK2364" s="113" t="s">
        <v>1113</v>
      </c>
      <c r="AL2364" s="113"/>
      <c r="AM2364" s="113"/>
      <c r="AN2364" s="113"/>
      <c r="AO2364" s="44" t="s">
        <v>2334</v>
      </c>
      <c r="AP2364" s="43"/>
      <c r="AQ2364" s="236" t="str">
        <f>VLOOKUP(Table8[[#This Row],[Instrument]],Def_Targets!$D$73:$E$159,2,FALSE)</f>
        <v>I_Altfuels</v>
      </c>
      <c r="AR2364" s="233" t="str">
        <f>VLOOKUP(Table8[[#This Row],[Country Code]],Table29[],3,FALSE)</f>
        <v>Annex I</v>
      </c>
      <c r="AS2364" s="233" t="str">
        <f>VLOOKUP(Table8[[#This Row],[Country Code]],Table29[],4,FALSE)</f>
        <v>Europe</v>
      </c>
      <c r="AT2364" s="233" t="str">
        <f>VLOOKUP(Table8[[#This Row],[Country Code]],Table29[],5,FALSE)</f>
        <v>High-income</v>
      </c>
      <c r="AU2364" s="233" t="str">
        <f>VLOOKUP(Table8[[#This Row],[Country Code]],Table29[],6,FALSE)</f>
        <v>no</v>
      </c>
      <c r="AV2364" s="233" t="str">
        <f>VLOOKUP(Table8[[#This Row],[Country Code]],Table29[],7,FALSE)</f>
        <v>no</v>
      </c>
      <c r="AW2364" s="233" t="str">
        <f>VLOOKUP(Table8[[#This Row],[Country Code]],Table29[],8,FALSE)</f>
        <v>OECD</v>
      </c>
      <c r="AX2364" s="233" t="str">
        <f>VLOOKUP(Table8[[#This Row],[Country Code]],Table29[],9,FALSE)</f>
        <v>EU27</v>
      </c>
      <c r="AY2364" s="233" t="str">
        <f>VLOOKUP(Table8[[#This Row],[Country Code]],Table29[],10,FALSE)</f>
        <v>no</v>
      </c>
      <c r="AZ2364" s="235">
        <f>VLOOKUP(Table8[[#This Row],[Country Code]],Table29[],23,FALSE)</f>
        <v>15.993517423122</v>
      </c>
      <c r="BA2364" s="235">
        <f>VLOOKUP(Table8[[#This Row],[Country Code]],Table29[],24,FALSE)</f>
        <v>4.830209372200426</v>
      </c>
      <c r="BB2364" s="320"/>
      <c r="BC2364" s="320"/>
    </row>
    <row r="2365" spans="1:55" s="17" customFormat="1" hidden="1" x14ac:dyDescent="0.25">
      <c r="A2365" s="373">
        <v>32515</v>
      </c>
      <c r="B2365" s="233" t="str">
        <f>VLOOKUP(Table8[[#This Row],[Document ID]],Table1[],2,FALSE)</f>
        <v>SVN</v>
      </c>
      <c r="C2365" s="233" t="str">
        <f>VLOOKUP(Table8[[#This Row],[Document ID]],Table1[],3,FALSE)</f>
        <v>Slovenia</v>
      </c>
      <c r="D2365" s="243" t="str">
        <f>VLOOKUP(Table8[[#This Row],[Document ID]],Table1[],5,FALSE)</f>
        <v>LTS</v>
      </c>
      <c r="E2365" s="233" t="str">
        <f>VLOOKUP(Table8[[#This Row],[Document ID]],Table1[],7,FALSE)</f>
        <v>LTS</v>
      </c>
      <c r="F2365" s="233" t="str">
        <f>VLOOKUP(Table8[[#This Row],[Document ID]],Table1[],8,FALSE)</f>
        <v>LTS 1.0</v>
      </c>
      <c r="G2365" s="233" t="str">
        <f>VLOOKUP(Table8[[#This Row],[Document ID]],Table1[],10,FALSE)</f>
        <v>Active</v>
      </c>
      <c r="H2365" s="43" t="s">
        <v>2358</v>
      </c>
      <c r="I2365" s="43" t="s">
        <v>2359</v>
      </c>
      <c r="J2365" s="44" t="s">
        <v>2360</v>
      </c>
      <c r="K2365" s="44" t="s">
        <v>4481</v>
      </c>
      <c r="L2365" s="44" t="s">
        <v>2333</v>
      </c>
      <c r="M2365" s="43">
        <v>45</v>
      </c>
      <c r="N2365" s="113" t="s">
        <v>1113</v>
      </c>
      <c r="O2365" s="113"/>
      <c r="P2365" s="113"/>
      <c r="Q2365" s="113"/>
      <c r="R2365" s="113"/>
      <c r="S2365" s="113"/>
      <c r="T2365" s="113"/>
      <c r="U2365" s="113"/>
      <c r="V2365" s="113"/>
      <c r="W2365" s="113"/>
      <c r="X2365" s="113"/>
      <c r="Y2365" s="113"/>
      <c r="Z2365" s="113"/>
      <c r="AA2365" s="113"/>
      <c r="AB2365" s="113"/>
      <c r="AC2365" s="113"/>
      <c r="AD2365" s="113"/>
      <c r="AE2365" s="113"/>
      <c r="AF2365" s="113"/>
      <c r="AG2365" s="113"/>
      <c r="AH2365" s="113"/>
      <c r="AI2365" s="113"/>
      <c r="AJ2365" s="113"/>
      <c r="AK2365" s="113" t="s">
        <v>1113</v>
      </c>
      <c r="AL2365" s="113"/>
      <c r="AM2365" s="113"/>
      <c r="AN2365" s="113"/>
      <c r="AO2365" s="44" t="s">
        <v>2334</v>
      </c>
      <c r="AP2365" s="43"/>
      <c r="AQ2365" s="236" t="str">
        <f>VLOOKUP(Table8[[#This Row],[Instrument]],Def_Targets!$D$73:$E$159,2,FALSE)</f>
        <v>I_Emobility</v>
      </c>
      <c r="AR2365" s="233" t="str">
        <f>VLOOKUP(Table8[[#This Row],[Country Code]],Table29[],3,FALSE)</f>
        <v>Annex I</v>
      </c>
      <c r="AS2365" s="233" t="str">
        <f>VLOOKUP(Table8[[#This Row],[Country Code]],Table29[],4,FALSE)</f>
        <v>Europe</v>
      </c>
      <c r="AT2365" s="233" t="str">
        <f>VLOOKUP(Table8[[#This Row],[Country Code]],Table29[],5,FALSE)</f>
        <v>High-income</v>
      </c>
      <c r="AU2365" s="233" t="str">
        <f>VLOOKUP(Table8[[#This Row],[Country Code]],Table29[],6,FALSE)</f>
        <v>no</v>
      </c>
      <c r="AV2365" s="233" t="str">
        <f>VLOOKUP(Table8[[#This Row],[Country Code]],Table29[],7,FALSE)</f>
        <v>no</v>
      </c>
      <c r="AW2365" s="233" t="str">
        <f>VLOOKUP(Table8[[#This Row],[Country Code]],Table29[],8,FALSE)</f>
        <v>OECD</v>
      </c>
      <c r="AX2365" s="233" t="str">
        <f>VLOOKUP(Table8[[#This Row],[Country Code]],Table29[],9,FALSE)</f>
        <v>EU27</v>
      </c>
      <c r="AY2365" s="233" t="str">
        <f>VLOOKUP(Table8[[#This Row],[Country Code]],Table29[],10,FALSE)</f>
        <v>no</v>
      </c>
      <c r="AZ2365" s="235">
        <f>VLOOKUP(Table8[[#This Row],[Country Code]],Table29[],23,FALSE)</f>
        <v>15.993517423122</v>
      </c>
      <c r="BA2365" s="235">
        <f>VLOOKUP(Table8[[#This Row],[Country Code]],Table29[],24,FALSE)</f>
        <v>4.830209372200426</v>
      </c>
      <c r="BB2365" s="320"/>
      <c r="BC2365" s="320"/>
    </row>
    <row r="2366" spans="1:55" s="17" customFormat="1" hidden="1" x14ac:dyDescent="0.25">
      <c r="A2366" s="360">
        <v>39448</v>
      </c>
      <c r="B2366" s="233" t="str">
        <f>VLOOKUP(Table8[[#This Row],[Document ID]],Table1[],2,FALSE)</f>
        <v>SLB</v>
      </c>
      <c r="C2366" s="233" t="str">
        <f>VLOOKUP(Table8[[#This Row],[Document ID]],Table1[],3,FALSE)</f>
        <v>Solomon Islands</v>
      </c>
      <c r="D2366" s="233" t="str">
        <f>VLOOKUP(Table8[[#This Row],[Document ID]],Table1[],5,FALSE)</f>
        <v>LTS</v>
      </c>
      <c r="E2366" s="233" t="str">
        <f>VLOOKUP(Table8[[#This Row],[Document ID]],Table1[],7,FALSE)</f>
        <v>LTS</v>
      </c>
      <c r="F2366" s="233" t="str">
        <f>VLOOKUP(Table8[[#This Row],[Document ID]],Table1[],8,FALSE)</f>
        <v>LTS 1.0</v>
      </c>
      <c r="G2366" s="233" t="str">
        <f>VLOOKUP(Table8[[#This Row],[Document ID]],Table1[],10,FALSE)</f>
        <v>Active</v>
      </c>
      <c r="H2366" s="43" t="s">
        <v>2343</v>
      </c>
      <c r="I2366" s="43" t="s">
        <v>2386</v>
      </c>
      <c r="J2366" s="44" t="s">
        <v>2530</v>
      </c>
      <c r="K2366" s="44" t="s">
        <v>4482</v>
      </c>
      <c r="L2366" s="44" t="s">
        <v>2333</v>
      </c>
      <c r="M2366" s="43">
        <v>34</v>
      </c>
      <c r="N2366" s="113"/>
      <c r="O2366" s="113"/>
      <c r="P2366" s="113"/>
      <c r="Q2366" s="113"/>
      <c r="R2366" s="113" t="s">
        <v>1113</v>
      </c>
      <c r="S2366" s="113"/>
      <c r="T2366" s="113"/>
      <c r="U2366" s="113"/>
      <c r="V2366" s="113"/>
      <c r="W2366" s="113"/>
      <c r="X2366" s="113"/>
      <c r="Y2366" s="113"/>
      <c r="Z2366" s="113"/>
      <c r="AA2366" s="113"/>
      <c r="AB2366" s="113"/>
      <c r="AC2366" s="113"/>
      <c r="AD2366" s="113"/>
      <c r="AE2366" s="113"/>
      <c r="AF2366" s="113"/>
      <c r="AG2366" s="113"/>
      <c r="AH2366" s="113"/>
      <c r="AI2366" s="113"/>
      <c r="AJ2366" s="113"/>
      <c r="AK2366" s="113" t="s">
        <v>1113</v>
      </c>
      <c r="AL2366" s="113"/>
      <c r="AM2366" s="113"/>
      <c r="AN2366" s="113"/>
      <c r="AO2366" s="44" t="s">
        <v>2334</v>
      </c>
      <c r="AP2366" s="43"/>
      <c r="AQ2366" s="236" t="str">
        <f>VLOOKUP(Table8[[#This Row],[Instrument]],Def_Targets!$D$73:$E$159,2,FALSE)</f>
        <v>A_Vehicletax</v>
      </c>
      <c r="AR2366" s="233" t="str">
        <f>VLOOKUP(Table8[[#This Row],[Country Code]],Table29[],3,FALSE)</f>
        <v>Non-Annex I</v>
      </c>
      <c r="AS2366" s="233" t="str">
        <f>VLOOKUP(Table8[[#This Row],[Country Code]],Table29[],4,FALSE)</f>
        <v>Oceania</v>
      </c>
      <c r="AT2366" s="233" t="str">
        <f>VLOOKUP(Table8[[#This Row],[Country Code]],Table29[],5,FALSE)</f>
        <v>Middle-income</v>
      </c>
      <c r="AU2366" s="233" t="str">
        <f>VLOOKUP(Table8[[#This Row],[Country Code]],Table29[],6,FALSE)</f>
        <v>no</v>
      </c>
      <c r="AV2366" s="233" t="str">
        <f>VLOOKUP(Table8[[#This Row],[Country Code]],Table29[],7,FALSE)</f>
        <v>no</v>
      </c>
      <c r="AW2366" s="233" t="str">
        <f>VLOOKUP(Table8[[#This Row],[Country Code]],Table29[],8,FALSE)</f>
        <v>non-OECD</v>
      </c>
      <c r="AX2366" s="233" t="str">
        <f>VLOOKUP(Table8[[#This Row],[Country Code]],Table29[],9,FALSE)</f>
        <v>no</v>
      </c>
      <c r="AY2366" s="233" t="str">
        <f>VLOOKUP(Table8[[#This Row],[Country Code]],Table29[],10,FALSE)</f>
        <v>no</v>
      </c>
      <c r="AZ2366" s="235">
        <f>VLOOKUP(Table8[[#This Row],[Country Code]],Table29[],23,FALSE)</f>
        <v>0.72081774636639995</v>
      </c>
      <c r="BA2366" s="235">
        <f>VLOOKUP(Table8[[#This Row],[Country Code]],Table29[],24,FALSE)</f>
        <v>0.21700975961810029</v>
      </c>
      <c r="BB2366" s="320" t="s">
        <v>3133</v>
      </c>
      <c r="BC2366" s="320"/>
    </row>
    <row r="2367" spans="1:55" s="17" customFormat="1" ht="30" hidden="1" x14ac:dyDescent="0.25">
      <c r="A2367" s="373">
        <v>17740</v>
      </c>
      <c r="B2367" s="233" t="str">
        <f>VLOOKUP(Table8[[#This Row],[Document ID]],Table1[],2,FALSE)</f>
        <v>ZAF</v>
      </c>
      <c r="C2367" s="233" t="str">
        <f>VLOOKUP(Table8[[#This Row],[Document ID]],Table1[],3,FALSE)</f>
        <v>South Africa</v>
      </c>
      <c r="D2367" s="243" t="str">
        <f>VLOOKUP(Table8[[#This Row],[Document ID]],Table1[],5,FALSE)</f>
        <v>LTS</v>
      </c>
      <c r="E2367" s="233" t="str">
        <f>VLOOKUP(Table8[[#This Row],[Document ID]],Table1[],7,FALSE)</f>
        <v>LTS</v>
      </c>
      <c r="F2367" s="233" t="str">
        <f>VLOOKUP(Table8[[#This Row],[Document ID]],Table1[],8,FALSE)</f>
        <v>LTS 1.0</v>
      </c>
      <c r="G2367" s="233" t="str">
        <f>VLOOKUP(Table8[[#This Row],[Document ID]],Table1[],10,FALSE)</f>
        <v>Active</v>
      </c>
      <c r="H2367" s="44" t="s">
        <v>2338</v>
      </c>
      <c r="I2367" s="44" t="s">
        <v>2339</v>
      </c>
      <c r="J2367" s="44" t="s">
        <v>2413</v>
      </c>
      <c r="K2367" s="44" t="s">
        <v>4483</v>
      </c>
      <c r="L2367" s="44" t="s">
        <v>2333</v>
      </c>
      <c r="M2367" s="43">
        <v>30</v>
      </c>
      <c r="N2367" s="113"/>
      <c r="O2367" s="113"/>
      <c r="P2367" s="113"/>
      <c r="Q2367" s="113"/>
      <c r="R2367" s="113"/>
      <c r="S2367" s="113" t="s">
        <v>1113</v>
      </c>
      <c r="T2367" s="113"/>
      <c r="U2367" s="113"/>
      <c r="V2367" s="113"/>
      <c r="W2367" s="113"/>
      <c r="X2367" s="113" t="s">
        <v>1113</v>
      </c>
      <c r="Y2367" s="113"/>
      <c r="Z2367" s="113"/>
      <c r="AA2367" s="113"/>
      <c r="AB2367" s="113"/>
      <c r="AC2367" s="113"/>
      <c r="AD2367" s="113"/>
      <c r="AE2367" s="113"/>
      <c r="AF2367" s="113"/>
      <c r="AG2367" s="113"/>
      <c r="AH2367" s="113"/>
      <c r="AI2367" s="113"/>
      <c r="AJ2367" s="113"/>
      <c r="AK2367" s="319" t="s">
        <v>1113</v>
      </c>
      <c r="AL2367" s="113"/>
      <c r="AM2367" s="113"/>
      <c r="AN2367" s="113"/>
      <c r="AO2367" s="44" t="s">
        <v>2334</v>
      </c>
      <c r="AP2367" s="43"/>
      <c r="AQ2367" s="236" t="str">
        <f>VLOOKUP(Table8[[#This Row],[Instrument]],Def_Targets!$D$73:$E$159,2,FALSE)</f>
        <v>I_Vehicleeff</v>
      </c>
      <c r="AR2367" s="233" t="str">
        <f>VLOOKUP(Table8[[#This Row],[Country Code]],Table29[],3,FALSE)</f>
        <v>Non-Annex I</v>
      </c>
      <c r="AS2367" s="233" t="str">
        <f>VLOOKUP(Table8[[#This Row],[Country Code]],Table29[],4,FALSE)</f>
        <v>Africa</v>
      </c>
      <c r="AT2367" s="233" t="str">
        <f>VLOOKUP(Table8[[#This Row],[Country Code]],Table29[],5,FALSE)</f>
        <v>Middle-income</v>
      </c>
      <c r="AU2367" s="233" t="str">
        <f>VLOOKUP(Table8[[#This Row],[Country Code]],Table29[],6,FALSE)</f>
        <v>G20</v>
      </c>
      <c r="AV2367" s="233" t="str">
        <f>VLOOKUP(Table8[[#This Row],[Country Code]],Table29[],7,FALSE)</f>
        <v>no</v>
      </c>
      <c r="AW2367" s="233" t="str">
        <f>VLOOKUP(Table8[[#This Row],[Country Code]],Table29[],8,FALSE)</f>
        <v>non-OECD</v>
      </c>
      <c r="AX2367" s="233" t="str">
        <f>VLOOKUP(Table8[[#This Row],[Country Code]],Table29[],9,FALSE)</f>
        <v>no</v>
      </c>
      <c r="AY2367" s="233" t="str">
        <f>VLOOKUP(Table8[[#This Row],[Country Code]],Table29[],10,FALSE)</f>
        <v>no</v>
      </c>
      <c r="AZ2367" s="235">
        <f>VLOOKUP(Table8[[#This Row],[Country Code]],Table29[],23,FALSE)</f>
        <v>522.11549112330999</v>
      </c>
      <c r="BA2367" s="235">
        <f>VLOOKUP(Table8[[#This Row],[Country Code]],Table29[],24,FALSE)</f>
        <v>50.351995093376694</v>
      </c>
      <c r="BB2367" s="320"/>
      <c r="BC2367" s="320"/>
    </row>
    <row r="2368" spans="1:55" ht="45" hidden="1" x14ac:dyDescent="0.25">
      <c r="A2368" s="373">
        <v>17740</v>
      </c>
      <c r="B2368" s="233" t="str">
        <f>VLOOKUP(Table8[[#This Row],[Document ID]],Table1[],2,FALSE)</f>
        <v>ZAF</v>
      </c>
      <c r="C2368" s="233" t="str">
        <f>VLOOKUP(Table8[[#This Row],[Document ID]],Table1[],3,FALSE)</f>
        <v>South Africa</v>
      </c>
      <c r="D2368" s="243" t="str">
        <f>VLOOKUP(Table8[[#This Row],[Document ID]],Table1[],5,FALSE)</f>
        <v>LTS</v>
      </c>
      <c r="E2368" s="233" t="str">
        <f>VLOOKUP(Table8[[#This Row],[Document ID]],Table1[],7,FALSE)</f>
        <v>LTS</v>
      </c>
      <c r="F2368" s="233" t="str">
        <f>VLOOKUP(Table8[[#This Row],[Document ID]],Table1[],8,FALSE)</f>
        <v>LTS 1.0</v>
      </c>
      <c r="G2368" s="233" t="str">
        <f>VLOOKUP(Table8[[#This Row],[Document ID]],Table1[],10,FALSE)</f>
        <v>Active</v>
      </c>
      <c r="H2368" s="44" t="s">
        <v>2338</v>
      </c>
      <c r="I2368" s="44" t="s">
        <v>2339</v>
      </c>
      <c r="J2368" s="44" t="s">
        <v>2413</v>
      </c>
      <c r="K2368" s="44" t="s">
        <v>4484</v>
      </c>
      <c r="L2368" s="44" t="s">
        <v>2333</v>
      </c>
      <c r="M2368" s="43">
        <v>33</v>
      </c>
      <c r="N2368" s="113" t="s">
        <v>1113</v>
      </c>
      <c r="O2368" s="113"/>
      <c r="P2368" s="113"/>
      <c r="Q2368" s="113"/>
      <c r="R2368" s="113"/>
      <c r="S2368" s="113"/>
      <c r="T2368" s="113"/>
      <c r="U2368" s="113"/>
      <c r="V2368" s="113"/>
      <c r="W2368" s="113"/>
      <c r="X2368" s="113"/>
      <c r="Y2368" s="113"/>
      <c r="Z2368" s="113"/>
      <c r="AA2368" s="113"/>
      <c r="AB2368" s="113"/>
      <c r="AC2368" s="113"/>
      <c r="AD2368" s="113"/>
      <c r="AE2368" s="113"/>
      <c r="AF2368" s="113"/>
      <c r="AG2368" s="113"/>
      <c r="AH2368" s="113"/>
      <c r="AI2368" s="113"/>
      <c r="AJ2368" s="113"/>
      <c r="AK2368" s="319" t="s">
        <v>1113</v>
      </c>
      <c r="AL2368" s="113"/>
      <c r="AM2368" s="113"/>
      <c r="AN2368" s="113"/>
      <c r="AO2368" s="44" t="s">
        <v>2334</v>
      </c>
      <c r="AP2368" s="43"/>
      <c r="AQ2368" s="236" t="str">
        <f>VLOOKUP(Table8[[#This Row],[Instrument]],Def_Targets!$D$73:$E$159,2,FALSE)</f>
        <v>I_Vehicleeff</v>
      </c>
      <c r="AR2368" s="233" t="str">
        <f>VLOOKUP(Table8[[#This Row],[Country Code]],Table29[],3,FALSE)</f>
        <v>Non-Annex I</v>
      </c>
      <c r="AS2368" s="233" t="str">
        <f>VLOOKUP(Table8[[#This Row],[Country Code]],Table29[],4,FALSE)</f>
        <v>Africa</v>
      </c>
      <c r="AT2368" s="233" t="str">
        <f>VLOOKUP(Table8[[#This Row],[Country Code]],Table29[],5,FALSE)</f>
        <v>Middle-income</v>
      </c>
      <c r="AU2368" s="233" t="str">
        <f>VLOOKUP(Table8[[#This Row],[Country Code]],Table29[],6,FALSE)</f>
        <v>G20</v>
      </c>
      <c r="AV2368" s="233" t="str">
        <f>VLOOKUP(Table8[[#This Row],[Country Code]],Table29[],7,FALSE)</f>
        <v>no</v>
      </c>
      <c r="AW2368" s="233" t="str">
        <f>VLOOKUP(Table8[[#This Row],[Country Code]],Table29[],8,FALSE)</f>
        <v>non-OECD</v>
      </c>
      <c r="AX2368" s="233" t="str">
        <f>VLOOKUP(Table8[[#This Row],[Country Code]],Table29[],9,FALSE)</f>
        <v>no</v>
      </c>
      <c r="AY2368" s="233" t="str">
        <f>VLOOKUP(Table8[[#This Row],[Country Code]],Table29[],10,FALSE)</f>
        <v>no</v>
      </c>
      <c r="AZ2368" s="235">
        <f>VLOOKUP(Table8[[#This Row],[Country Code]],Table29[],23,FALSE)</f>
        <v>522.11549112330999</v>
      </c>
      <c r="BA2368" s="235">
        <f>VLOOKUP(Table8[[#This Row],[Country Code]],Table29[],24,FALSE)</f>
        <v>50.351995093376694</v>
      </c>
      <c r="BB2368" s="320"/>
      <c r="BC2368" s="320"/>
    </row>
    <row r="2369" spans="1:55" ht="165" hidden="1" x14ac:dyDescent="0.25">
      <c r="A2369" s="373">
        <v>17740</v>
      </c>
      <c r="B2369" s="233" t="str">
        <f>VLOOKUP(Table8[[#This Row],[Document ID]],Table1[],2,FALSE)</f>
        <v>ZAF</v>
      </c>
      <c r="C2369" s="233" t="str">
        <f>VLOOKUP(Table8[[#This Row],[Document ID]],Table1[],3,FALSE)</f>
        <v>South Africa</v>
      </c>
      <c r="D2369" s="243" t="str">
        <f>VLOOKUP(Table8[[#This Row],[Document ID]],Table1[],5,FALSE)</f>
        <v>LTS</v>
      </c>
      <c r="E2369" s="233" t="str">
        <f>VLOOKUP(Table8[[#This Row],[Document ID]],Table1[],7,FALSE)</f>
        <v>LTS</v>
      </c>
      <c r="F2369" s="233" t="str">
        <f>VLOOKUP(Table8[[#This Row],[Document ID]],Table1[],8,FALSE)</f>
        <v>LTS 1.0</v>
      </c>
      <c r="G2369" s="233" t="str">
        <f>VLOOKUP(Table8[[#This Row],[Document ID]],Table1[],10,FALSE)</f>
        <v>Active</v>
      </c>
      <c r="H2369" s="43" t="s">
        <v>2350</v>
      </c>
      <c r="I2369" s="43" t="s">
        <v>2370</v>
      </c>
      <c r="J2369" s="44" t="s">
        <v>2371</v>
      </c>
      <c r="K2369" s="44" t="s">
        <v>4485</v>
      </c>
      <c r="L2369" s="44" t="s">
        <v>2373</v>
      </c>
      <c r="M2369" s="43">
        <v>30</v>
      </c>
      <c r="N2369" s="113"/>
      <c r="O2369" s="113"/>
      <c r="P2369" s="113"/>
      <c r="Q2369" s="113"/>
      <c r="R2369" s="113"/>
      <c r="S2369" s="113" t="s">
        <v>1113</v>
      </c>
      <c r="T2369" s="113" t="s">
        <v>1113</v>
      </c>
      <c r="U2369" s="113"/>
      <c r="V2369" s="113"/>
      <c r="W2369" s="113"/>
      <c r="X2369" s="113"/>
      <c r="Y2369" s="113"/>
      <c r="Z2369" s="113"/>
      <c r="AA2369" s="113"/>
      <c r="AB2369" s="113"/>
      <c r="AC2369" s="113"/>
      <c r="AD2369" s="113"/>
      <c r="AE2369" s="113"/>
      <c r="AF2369" s="113"/>
      <c r="AG2369" s="113"/>
      <c r="AH2369" s="113"/>
      <c r="AI2369" s="113"/>
      <c r="AJ2369" s="113"/>
      <c r="AK2369" s="319" t="s">
        <v>1113</v>
      </c>
      <c r="AL2369" s="113"/>
      <c r="AM2369" s="113"/>
      <c r="AN2369" s="113"/>
      <c r="AO2369" s="43" t="s">
        <v>2477</v>
      </c>
      <c r="AP2369" s="44"/>
      <c r="AQ2369" s="236" t="str">
        <f>VLOOKUP(Table8[[#This Row],[Instrument]],Def_Targets!$D$73:$E$159,2,FALSE)</f>
        <v>A_Natmobplan</v>
      </c>
      <c r="AR2369" s="233" t="str">
        <f>VLOOKUP(Table8[[#This Row],[Country Code]],Table29[],3,FALSE)</f>
        <v>Non-Annex I</v>
      </c>
      <c r="AS2369" s="233" t="str">
        <f>VLOOKUP(Table8[[#This Row],[Country Code]],Table29[],4,FALSE)</f>
        <v>Africa</v>
      </c>
      <c r="AT2369" s="233" t="str">
        <f>VLOOKUP(Table8[[#This Row],[Country Code]],Table29[],5,FALSE)</f>
        <v>Middle-income</v>
      </c>
      <c r="AU2369" s="233" t="str">
        <f>VLOOKUP(Table8[[#This Row],[Country Code]],Table29[],6,FALSE)</f>
        <v>G20</v>
      </c>
      <c r="AV2369" s="233" t="str">
        <f>VLOOKUP(Table8[[#This Row],[Country Code]],Table29[],7,FALSE)</f>
        <v>no</v>
      </c>
      <c r="AW2369" s="233" t="str">
        <f>VLOOKUP(Table8[[#This Row],[Country Code]],Table29[],8,FALSE)</f>
        <v>non-OECD</v>
      </c>
      <c r="AX2369" s="233" t="str">
        <f>VLOOKUP(Table8[[#This Row],[Country Code]],Table29[],9,FALSE)</f>
        <v>no</v>
      </c>
      <c r="AY2369" s="233" t="str">
        <f>VLOOKUP(Table8[[#This Row],[Country Code]],Table29[],10,FALSE)</f>
        <v>no</v>
      </c>
      <c r="AZ2369" s="235">
        <f>VLOOKUP(Table8[[#This Row],[Country Code]],Table29[],23,FALSE)</f>
        <v>522.11549112330999</v>
      </c>
      <c r="BA2369" s="235">
        <f>VLOOKUP(Table8[[#This Row],[Country Code]],Table29[],24,FALSE)</f>
        <v>50.351995093376694</v>
      </c>
      <c r="BB2369" s="320"/>
      <c r="BC2369" s="320"/>
    </row>
    <row r="2370" spans="1:55" ht="45" hidden="1" x14ac:dyDescent="0.25">
      <c r="A2370" s="373">
        <v>17740</v>
      </c>
      <c r="B2370" s="233" t="str">
        <f>VLOOKUP(Table8[[#This Row],[Document ID]],Table1[],2,FALSE)</f>
        <v>ZAF</v>
      </c>
      <c r="C2370" s="233" t="str">
        <f>VLOOKUP(Table8[[#This Row],[Document ID]],Table1[],3,FALSE)</f>
        <v>South Africa</v>
      </c>
      <c r="D2370" s="243" t="str">
        <f>VLOOKUP(Table8[[#This Row],[Document ID]],Table1[],5,FALSE)</f>
        <v>LTS</v>
      </c>
      <c r="E2370" s="233" t="str">
        <f>VLOOKUP(Table8[[#This Row],[Document ID]],Table1[],7,FALSE)</f>
        <v>LTS</v>
      </c>
      <c r="F2370" s="233" t="str">
        <f>VLOOKUP(Table8[[#This Row],[Document ID]],Table1[],8,FALSE)</f>
        <v>LTS 1.0</v>
      </c>
      <c r="G2370" s="233" t="str">
        <f>VLOOKUP(Table8[[#This Row],[Document ID]],Table1[],10,FALSE)</f>
        <v>Active</v>
      </c>
      <c r="H2370" s="43" t="s">
        <v>2343</v>
      </c>
      <c r="I2370" s="43" t="s">
        <v>2344</v>
      </c>
      <c r="J2370" s="44" t="s">
        <v>2549</v>
      </c>
      <c r="K2370" s="44" t="s">
        <v>4486</v>
      </c>
      <c r="L2370" s="44" t="s">
        <v>2347</v>
      </c>
      <c r="M2370" s="43">
        <v>30</v>
      </c>
      <c r="N2370" s="113"/>
      <c r="O2370" s="113"/>
      <c r="P2370" s="113"/>
      <c r="Q2370" s="113"/>
      <c r="R2370" s="113"/>
      <c r="S2370" s="113"/>
      <c r="T2370" s="113"/>
      <c r="U2370" s="113"/>
      <c r="V2370" s="113"/>
      <c r="W2370" s="113"/>
      <c r="X2370" s="113"/>
      <c r="Y2370" s="113" t="s">
        <v>1113</v>
      </c>
      <c r="Z2370" s="113"/>
      <c r="AA2370" s="113"/>
      <c r="AB2370" s="113"/>
      <c r="AC2370" s="113"/>
      <c r="AD2370" s="113"/>
      <c r="AE2370" s="113"/>
      <c r="AF2370" s="113"/>
      <c r="AG2370" s="113"/>
      <c r="AH2370" s="113"/>
      <c r="AI2370" s="113"/>
      <c r="AJ2370" s="113"/>
      <c r="AK2370" s="113"/>
      <c r="AL2370" s="113" t="s">
        <v>1113</v>
      </c>
      <c r="AM2370" s="113"/>
      <c r="AN2370" s="113"/>
      <c r="AO2370" s="43" t="s">
        <v>2348</v>
      </c>
      <c r="AP2370" s="43"/>
      <c r="AQ2370" s="236" t="str">
        <f>VLOOKUP(Table8[[#This Row],[Instrument]],Def_Targets!$D$73:$E$159,2,FALSE)</f>
        <v>S_BRT</v>
      </c>
      <c r="AR2370" s="233" t="str">
        <f>VLOOKUP(Table8[[#This Row],[Country Code]],Table29[],3,FALSE)</f>
        <v>Non-Annex I</v>
      </c>
      <c r="AS2370" s="233" t="str">
        <f>VLOOKUP(Table8[[#This Row],[Country Code]],Table29[],4,FALSE)</f>
        <v>Africa</v>
      </c>
      <c r="AT2370" s="233" t="str">
        <f>VLOOKUP(Table8[[#This Row],[Country Code]],Table29[],5,FALSE)</f>
        <v>Middle-income</v>
      </c>
      <c r="AU2370" s="233" t="str">
        <f>VLOOKUP(Table8[[#This Row],[Country Code]],Table29[],6,FALSE)</f>
        <v>G20</v>
      </c>
      <c r="AV2370" s="233" t="str">
        <f>VLOOKUP(Table8[[#This Row],[Country Code]],Table29[],7,FALSE)</f>
        <v>no</v>
      </c>
      <c r="AW2370" s="233" t="str">
        <f>VLOOKUP(Table8[[#This Row],[Country Code]],Table29[],8,FALSE)</f>
        <v>non-OECD</v>
      </c>
      <c r="AX2370" s="233" t="str">
        <f>VLOOKUP(Table8[[#This Row],[Country Code]],Table29[],9,FALSE)</f>
        <v>no</v>
      </c>
      <c r="AY2370" s="233" t="str">
        <f>VLOOKUP(Table8[[#This Row],[Country Code]],Table29[],10,FALSE)</f>
        <v>no</v>
      </c>
      <c r="AZ2370" s="235">
        <f>VLOOKUP(Table8[[#This Row],[Country Code]],Table29[],23,FALSE)</f>
        <v>522.11549112330999</v>
      </c>
      <c r="BA2370" s="235">
        <f>VLOOKUP(Table8[[#This Row],[Country Code]],Table29[],24,FALSE)</f>
        <v>50.351995093376694</v>
      </c>
      <c r="BB2370" s="320"/>
      <c r="BC2370" s="320"/>
    </row>
    <row r="2371" spans="1:55" hidden="1" x14ac:dyDescent="0.25">
      <c r="A2371" s="373">
        <v>17740</v>
      </c>
      <c r="B2371" s="233" t="str">
        <f>VLOOKUP(Table8[[#This Row],[Document ID]],Table1[],2,FALSE)</f>
        <v>ZAF</v>
      </c>
      <c r="C2371" s="233" t="str">
        <f>VLOOKUP(Table8[[#This Row],[Document ID]],Table1[],3,FALSE)</f>
        <v>South Africa</v>
      </c>
      <c r="D2371" s="243" t="str">
        <f>VLOOKUP(Table8[[#This Row],[Document ID]],Table1[],5,FALSE)</f>
        <v>LTS</v>
      </c>
      <c r="E2371" s="233" t="str">
        <f>VLOOKUP(Table8[[#This Row],[Document ID]],Table1[],7,FALSE)</f>
        <v>LTS</v>
      </c>
      <c r="F2371" s="233" t="str">
        <f>VLOOKUP(Table8[[#This Row],[Document ID]],Table1[],8,FALSE)</f>
        <v>LTS 1.0</v>
      </c>
      <c r="G2371" s="233" t="str">
        <f>VLOOKUP(Table8[[#This Row],[Document ID]],Table1[],10,FALSE)</f>
        <v>Active</v>
      </c>
      <c r="H2371" s="44" t="s">
        <v>2338</v>
      </c>
      <c r="I2371" s="44" t="s">
        <v>2339</v>
      </c>
      <c r="J2371" s="44" t="s">
        <v>2451</v>
      </c>
      <c r="K2371" s="44" t="s">
        <v>4487</v>
      </c>
      <c r="L2371" s="44" t="s">
        <v>2333</v>
      </c>
      <c r="M2371" s="43">
        <v>30</v>
      </c>
      <c r="N2371" s="113"/>
      <c r="O2371" s="113"/>
      <c r="P2371" s="113"/>
      <c r="Q2371" s="113"/>
      <c r="R2371" s="113"/>
      <c r="S2371" s="113" t="s">
        <v>1113</v>
      </c>
      <c r="T2371" s="113"/>
      <c r="U2371" s="113"/>
      <c r="V2371" s="113"/>
      <c r="W2371" s="113"/>
      <c r="X2371" s="113"/>
      <c r="Y2371" s="113"/>
      <c r="Z2371" s="113"/>
      <c r="AA2371" s="113"/>
      <c r="AB2371" s="113"/>
      <c r="AC2371" s="113"/>
      <c r="AD2371" s="113"/>
      <c r="AE2371" s="113"/>
      <c r="AF2371" s="113"/>
      <c r="AG2371" s="113"/>
      <c r="AH2371" s="113"/>
      <c r="AI2371" s="113"/>
      <c r="AJ2371" s="113"/>
      <c r="AK2371" s="319" t="s">
        <v>1113</v>
      </c>
      <c r="AL2371" s="113"/>
      <c r="AM2371" s="113"/>
      <c r="AN2371" s="113"/>
      <c r="AO2371" s="44" t="s">
        <v>2334</v>
      </c>
      <c r="AP2371" s="43"/>
      <c r="AQ2371" s="236" t="str">
        <f>VLOOKUP(Table8[[#This Row],[Instrument]],Def_Targets!$D$73:$E$159,2,FALSE)</f>
        <v>I_Inspection</v>
      </c>
      <c r="AR2371" s="233" t="str">
        <f>VLOOKUP(Table8[[#This Row],[Country Code]],Table29[],3,FALSE)</f>
        <v>Non-Annex I</v>
      </c>
      <c r="AS2371" s="233" t="str">
        <f>VLOOKUP(Table8[[#This Row],[Country Code]],Table29[],4,FALSE)</f>
        <v>Africa</v>
      </c>
      <c r="AT2371" s="233" t="str">
        <f>VLOOKUP(Table8[[#This Row],[Country Code]],Table29[],5,FALSE)</f>
        <v>Middle-income</v>
      </c>
      <c r="AU2371" s="233" t="str">
        <f>VLOOKUP(Table8[[#This Row],[Country Code]],Table29[],6,FALSE)</f>
        <v>G20</v>
      </c>
      <c r="AV2371" s="233" t="str">
        <f>VLOOKUP(Table8[[#This Row],[Country Code]],Table29[],7,FALSE)</f>
        <v>no</v>
      </c>
      <c r="AW2371" s="233" t="str">
        <f>VLOOKUP(Table8[[#This Row],[Country Code]],Table29[],8,FALSE)</f>
        <v>non-OECD</v>
      </c>
      <c r="AX2371" s="233" t="str">
        <f>VLOOKUP(Table8[[#This Row],[Country Code]],Table29[],9,FALSE)</f>
        <v>no</v>
      </c>
      <c r="AY2371" s="233" t="str">
        <f>VLOOKUP(Table8[[#This Row],[Country Code]],Table29[],10,FALSE)</f>
        <v>no</v>
      </c>
      <c r="AZ2371" s="235">
        <f>VLOOKUP(Table8[[#This Row],[Country Code]],Table29[],23,FALSE)</f>
        <v>522.11549112330999</v>
      </c>
      <c r="BA2371" s="235">
        <f>VLOOKUP(Table8[[#This Row],[Country Code]],Table29[],24,FALSE)</f>
        <v>50.351995093376694</v>
      </c>
      <c r="BB2371" s="320"/>
      <c r="BC2371" s="320"/>
    </row>
    <row r="2372" spans="1:55" ht="60" hidden="1" x14ac:dyDescent="0.25">
      <c r="A2372" s="373">
        <v>17740</v>
      </c>
      <c r="B2372" s="233" t="str">
        <f>VLOOKUP(Table8[[#This Row],[Document ID]],Table1[],2,FALSE)</f>
        <v>ZAF</v>
      </c>
      <c r="C2372" s="233" t="str">
        <f>VLOOKUP(Table8[[#This Row],[Document ID]],Table1[],3,FALSE)</f>
        <v>South Africa</v>
      </c>
      <c r="D2372" s="243" t="str">
        <f>VLOOKUP(Table8[[#This Row],[Document ID]],Table1[],5,FALSE)</f>
        <v>LTS</v>
      </c>
      <c r="E2372" s="233" t="str">
        <f>VLOOKUP(Table8[[#This Row],[Document ID]],Table1[],7,FALSE)</f>
        <v>LTS</v>
      </c>
      <c r="F2372" s="233" t="str">
        <f>VLOOKUP(Table8[[#This Row],[Document ID]],Table1[],8,FALSE)</f>
        <v>LTS 1.0</v>
      </c>
      <c r="G2372" s="233" t="str">
        <f>VLOOKUP(Table8[[#This Row],[Document ID]],Table1[],10,FALSE)</f>
        <v>Active</v>
      </c>
      <c r="H2372" s="43" t="s">
        <v>2343</v>
      </c>
      <c r="I2372" s="43" t="s">
        <v>2429</v>
      </c>
      <c r="J2372" s="44" t="s">
        <v>2610</v>
      </c>
      <c r="K2372" s="44" t="s">
        <v>4488</v>
      </c>
      <c r="L2372" s="44" t="s">
        <v>2373</v>
      </c>
      <c r="M2372" s="43">
        <v>30</v>
      </c>
      <c r="N2372" s="113" t="s">
        <v>1113</v>
      </c>
      <c r="O2372" s="113"/>
      <c r="P2372" s="113"/>
      <c r="Q2372" s="113"/>
      <c r="R2372" s="113"/>
      <c r="S2372" s="113"/>
      <c r="T2372" s="113"/>
      <c r="U2372" s="113"/>
      <c r="V2372" s="113"/>
      <c r="W2372" s="113"/>
      <c r="X2372" s="113"/>
      <c r="Y2372" s="113"/>
      <c r="Z2372" s="113"/>
      <c r="AA2372" s="113"/>
      <c r="AB2372" s="113"/>
      <c r="AC2372" s="113"/>
      <c r="AD2372" s="113"/>
      <c r="AE2372" s="113"/>
      <c r="AF2372" s="113"/>
      <c r="AG2372" s="113"/>
      <c r="AH2372" s="113"/>
      <c r="AI2372" s="113"/>
      <c r="AJ2372" s="113"/>
      <c r="AK2372" s="319" t="s">
        <v>1113</v>
      </c>
      <c r="AL2372" s="113"/>
      <c r="AM2372" s="113"/>
      <c r="AN2372" s="113"/>
      <c r="AO2372" s="44" t="s">
        <v>2334</v>
      </c>
      <c r="AP2372" s="43"/>
      <c r="AQ2372" s="236" t="e">
        <f>VLOOKUP(Table8[[#This Row],[Instrument]],Def_Targets!$D$73:$E$159,2,FALSE)</f>
        <v>#N/A</v>
      </c>
      <c r="AR2372" s="233" t="str">
        <f>VLOOKUP(Table8[[#This Row],[Country Code]],Table29[],3,FALSE)</f>
        <v>Non-Annex I</v>
      </c>
      <c r="AS2372" s="233" t="str">
        <f>VLOOKUP(Table8[[#This Row],[Country Code]],Table29[],4,FALSE)</f>
        <v>Africa</v>
      </c>
      <c r="AT2372" s="233" t="str">
        <f>VLOOKUP(Table8[[#This Row],[Country Code]],Table29[],5,FALSE)</f>
        <v>Middle-income</v>
      </c>
      <c r="AU2372" s="233" t="str">
        <f>VLOOKUP(Table8[[#This Row],[Country Code]],Table29[],6,FALSE)</f>
        <v>G20</v>
      </c>
      <c r="AV2372" s="233" t="str">
        <f>VLOOKUP(Table8[[#This Row],[Country Code]],Table29[],7,FALSE)</f>
        <v>no</v>
      </c>
      <c r="AW2372" s="233" t="str">
        <f>VLOOKUP(Table8[[#This Row],[Country Code]],Table29[],8,FALSE)</f>
        <v>non-OECD</v>
      </c>
      <c r="AX2372" s="233" t="str">
        <f>VLOOKUP(Table8[[#This Row],[Country Code]],Table29[],9,FALSE)</f>
        <v>no</v>
      </c>
      <c r="AY2372" s="233" t="str">
        <f>VLOOKUP(Table8[[#This Row],[Country Code]],Table29[],10,FALSE)</f>
        <v>no</v>
      </c>
      <c r="AZ2372" s="235">
        <f>VLOOKUP(Table8[[#This Row],[Country Code]],Table29[],23,FALSE)</f>
        <v>522.11549112330999</v>
      </c>
      <c r="BA2372" s="235">
        <f>VLOOKUP(Table8[[#This Row],[Country Code]],Table29[],24,FALSE)</f>
        <v>50.351995093376694</v>
      </c>
      <c r="BB2372" s="320"/>
      <c r="BC2372" s="320"/>
    </row>
    <row r="2373" spans="1:55" hidden="1" x14ac:dyDescent="0.25">
      <c r="A2373" s="373">
        <v>17740</v>
      </c>
      <c r="B2373" s="233" t="str">
        <f>VLOOKUP(Table8[[#This Row],[Document ID]],Table1[],2,FALSE)</f>
        <v>ZAF</v>
      </c>
      <c r="C2373" s="233" t="str">
        <f>VLOOKUP(Table8[[#This Row],[Document ID]],Table1[],3,FALSE)</f>
        <v>South Africa</v>
      </c>
      <c r="D2373" s="243" t="str">
        <f>VLOOKUP(Table8[[#This Row],[Document ID]],Table1[],5,FALSE)</f>
        <v>LTS</v>
      </c>
      <c r="E2373" s="233" t="str">
        <f>VLOOKUP(Table8[[#This Row],[Document ID]],Table1[],7,FALSE)</f>
        <v>LTS</v>
      </c>
      <c r="F2373" s="233" t="str">
        <f>VLOOKUP(Table8[[#This Row],[Document ID]],Table1[],8,FALSE)</f>
        <v>LTS 1.0</v>
      </c>
      <c r="G2373" s="233" t="str">
        <f>VLOOKUP(Table8[[#This Row],[Document ID]],Table1[],10,FALSE)</f>
        <v>Active</v>
      </c>
      <c r="H2373" s="43" t="s">
        <v>2358</v>
      </c>
      <c r="I2373" s="43" t="s">
        <v>2359</v>
      </c>
      <c r="J2373" s="44" t="s">
        <v>2360</v>
      </c>
      <c r="K2373" s="44" t="s">
        <v>4489</v>
      </c>
      <c r="L2373" s="44" t="s">
        <v>2333</v>
      </c>
      <c r="M2373" s="43">
        <v>32</v>
      </c>
      <c r="N2373" s="113" t="s">
        <v>1113</v>
      </c>
      <c r="O2373" s="113"/>
      <c r="P2373" s="113"/>
      <c r="Q2373" s="113"/>
      <c r="R2373" s="113"/>
      <c r="S2373" s="113"/>
      <c r="T2373" s="113"/>
      <c r="U2373" s="113"/>
      <c r="V2373" s="113"/>
      <c r="W2373" s="113"/>
      <c r="X2373" s="113"/>
      <c r="Y2373" s="113"/>
      <c r="Z2373" s="113"/>
      <c r="AA2373" s="113"/>
      <c r="AB2373" s="113"/>
      <c r="AC2373" s="113"/>
      <c r="AD2373" s="113"/>
      <c r="AE2373" s="113"/>
      <c r="AF2373" s="113"/>
      <c r="AG2373" s="113"/>
      <c r="AH2373" s="113"/>
      <c r="AI2373" s="113"/>
      <c r="AJ2373" s="113"/>
      <c r="AK2373" s="319" t="s">
        <v>1113</v>
      </c>
      <c r="AL2373" s="113"/>
      <c r="AM2373" s="113"/>
      <c r="AN2373" s="113"/>
      <c r="AO2373" s="44" t="s">
        <v>2334</v>
      </c>
      <c r="AP2373" s="43"/>
      <c r="AQ2373" s="236" t="str">
        <f>VLOOKUP(Table8[[#This Row],[Instrument]],Def_Targets!$D$73:$E$159,2,FALSE)</f>
        <v>I_Emobility</v>
      </c>
      <c r="AR2373" s="233" t="str">
        <f>VLOOKUP(Table8[[#This Row],[Country Code]],Table29[],3,FALSE)</f>
        <v>Non-Annex I</v>
      </c>
      <c r="AS2373" s="233" t="str">
        <f>VLOOKUP(Table8[[#This Row],[Country Code]],Table29[],4,FALSE)</f>
        <v>Africa</v>
      </c>
      <c r="AT2373" s="233" t="str">
        <f>VLOOKUP(Table8[[#This Row],[Country Code]],Table29[],5,FALSE)</f>
        <v>Middle-income</v>
      </c>
      <c r="AU2373" s="233" t="str">
        <f>VLOOKUP(Table8[[#This Row],[Country Code]],Table29[],6,FALSE)</f>
        <v>G20</v>
      </c>
      <c r="AV2373" s="233" t="str">
        <f>VLOOKUP(Table8[[#This Row],[Country Code]],Table29[],7,FALSE)</f>
        <v>no</v>
      </c>
      <c r="AW2373" s="233" t="str">
        <f>VLOOKUP(Table8[[#This Row],[Country Code]],Table29[],8,FALSE)</f>
        <v>non-OECD</v>
      </c>
      <c r="AX2373" s="233" t="str">
        <f>VLOOKUP(Table8[[#This Row],[Country Code]],Table29[],9,FALSE)</f>
        <v>no</v>
      </c>
      <c r="AY2373" s="233" t="str">
        <f>VLOOKUP(Table8[[#This Row],[Country Code]],Table29[],10,FALSE)</f>
        <v>no</v>
      </c>
      <c r="AZ2373" s="235">
        <f>VLOOKUP(Table8[[#This Row],[Country Code]],Table29[],23,FALSE)</f>
        <v>522.11549112330999</v>
      </c>
      <c r="BA2373" s="235">
        <f>VLOOKUP(Table8[[#This Row],[Country Code]],Table29[],24,FALSE)</f>
        <v>50.351995093376694</v>
      </c>
      <c r="BB2373" s="320"/>
      <c r="BC2373" s="320"/>
    </row>
    <row r="2374" spans="1:55" hidden="1" x14ac:dyDescent="0.25">
      <c r="A2374" s="373">
        <v>17740</v>
      </c>
      <c r="B2374" s="233" t="str">
        <f>VLOOKUP(Table8[[#This Row],[Document ID]],Table1[],2,FALSE)</f>
        <v>ZAF</v>
      </c>
      <c r="C2374" s="233" t="str">
        <f>VLOOKUP(Table8[[#This Row],[Document ID]],Table1[],3,FALSE)</f>
        <v>South Africa</v>
      </c>
      <c r="D2374" s="243" t="str">
        <f>VLOOKUP(Table8[[#This Row],[Document ID]],Table1[],5,FALSE)</f>
        <v>LTS</v>
      </c>
      <c r="E2374" s="233" t="str">
        <f>VLOOKUP(Table8[[#This Row],[Document ID]],Table1[],7,FALSE)</f>
        <v>LTS</v>
      </c>
      <c r="F2374" s="233" t="str">
        <f>VLOOKUP(Table8[[#This Row],[Document ID]],Table1[],8,FALSE)</f>
        <v>LTS 1.0</v>
      </c>
      <c r="G2374" s="233" t="str">
        <f>VLOOKUP(Table8[[#This Row],[Document ID]],Table1[],10,FALSE)</f>
        <v>Active</v>
      </c>
      <c r="H2374" s="44" t="s">
        <v>2329</v>
      </c>
      <c r="I2374" s="44" t="s">
        <v>2330</v>
      </c>
      <c r="J2374" s="44" t="s">
        <v>2381</v>
      </c>
      <c r="K2374" s="44" t="s">
        <v>4490</v>
      </c>
      <c r="L2374" s="44" t="s">
        <v>2333</v>
      </c>
      <c r="M2374" s="43">
        <v>32</v>
      </c>
      <c r="N2374" s="113" t="s">
        <v>1113</v>
      </c>
      <c r="O2374" s="113"/>
      <c r="P2374" s="113"/>
      <c r="Q2374" s="113"/>
      <c r="R2374" s="113"/>
      <c r="S2374" s="113"/>
      <c r="T2374" s="113"/>
      <c r="U2374" s="113"/>
      <c r="V2374" s="113"/>
      <c r="W2374" s="113"/>
      <c r="X2374" s="113"/>
      <c r="Y2374" s="113"/>
      <c r="Z2374" s="113"/>
      <c r="AA2374" s="113"/>
      <c r="AB2374" s="113"/>
      <c r="AC2374" s="113"/>
      <c r="AD2374" s="113"/>
      <c r="AE2374" s="113"/>
      <c r="AF2374" s="113"/>
      <c r="AG2374" s="113"/>
      <c r="AH2374" s="113"/>
      <c r="AI2374" s="113"/>
      <c r="AJ2374" s="113"/>
      <c r="AK2374" s="319" t="s">
        <v>1113</v>
      </c>
      <c r="AL2374" s="113"/>
      <c r="AM2374" s="113"/>
      <c r="AN2374" s="113"/>
      <c r="AO2374" s="44" t="s">
        <v>2334</v>
      </c>
      <c r="AP2374" s="43"/>
      <c r="AQ2374" s="236" t="str">
        <f>VLOOKUP(Table8[[#This Row],[Instrument]],Def_Targets!$D$73:$E$159,2,FALSE)</f>
        <v>I_RE</v>
      </c>
      <c r="AR2374" s="233" t="str">
        <f>VLOOKUP(Table8[[#This Row],[Country Code]],Table29[],3,FALSE)</f>
        <v>Non-Annex I</v>
      </c>
      <c r="AS2374" s="233" t="str">
        <f>VLOOKUP(Table8[[#This Row],[Country Code]],Table29[],4,FALSE)</f>
        <v>Africa</v>
      </c>
      <c r="AT2374" s="233" t="str">
        <f>VLOOKUP(Table8[[#This Row],[Country Code]],Table29[],5,FALSE)</f>
        <v>Middle-income</v>
      </c>
      <c r="AU2374" s="233" t="str">
        <f>VLOOKUP(Table8[[#This Row],[Country Code]],Table29[],6,FALSE)</f>
        <v>G20</v>
      </c>
      <c r="AV2374" s="233" t="str">
        <f>VLOOKUP(Table8[[#This Row],[Country Code]],Table29[],7,FALSE)</f>
        <v>no</v>
      </c>
      <c r="AW2374" s="233" t="str">
        <f>VLOOKUP(Table8[[#This Row],[Country Code]],Table29[],8,FALSE)</f>
        <v>non-OECD</v>
      </c>
      <c r="AX2374" s="233" t="str">
        <f>VLOOKUP(Table8[[#This Row],[Country Code]],Table29[],9,FALSE)</f>
        <v>no</v>
      </c>
      <c r="AY2374" s="233" t="str">
        <f>VLOOKUP(Table8[[#This Row],[Country Code]],Table29[],10,FALSE)</f>
        <v>no</v>
      </c>
      <c r="AZ2374" s="235">
        <f>VLOOKUP(Table8[[#This Row],[Country Code]],Table29[],23,FALSE)</f>
        <v>522.11549112330999</v>
      </c>
      <c r="BA2374" s="235">
        <f>VLOOKUP(Table8[[#This Row],[Country Code]],Table29[],24,FALSE)</f>
        <v>50.351995093376694</v>
      </c>
      <c r="BB2374" s="320"/>
      <c r="BC2374" s="320"/>
    </row>
    <row r="2375" spans="1:55" ht="45" hidden="1" x14ac:dyDescent="0.25">
      <c r="A2375" s="373">
        <v>17740</v>
      </c>
      <c r="B2375" s="233" t="str">
        <f>VLOOKUP(Table8[[#This Row],[Document ID]],Table1[],2,FALSE)</f>
        <v>ZAF</v>
      </c>
      <c r="C2375" s="233" t="str">
        <f>VLOOKUP(Table8[[#This Row],[Document ID]],Table1[],3,FALSE)</f>
        <v>South Africa</v>
      </c>
      <c r="D2375" s="243" t="str">
        <f>VLOOKUP(Table8[[#This Row],[Document ID]],Table1[],5,FALSE)</f>
        <v>LTS</v>
      </c>
      <c r="E2375" s="233" t="str">
        <f>VLOOKUP(Table8[[#This Row],[Document ID]],Table1[],7,FALSE)</f>
        <v>LTS</v>
      </c>
      <c r="F2375" s="233" t="str">
        <f>VLOOKUP(Table8[[#This Row],[Document ID]],Table1[],8,FALSE)</f>
        <v>LTS 1.0</v>
      </c>
      <c r="G2375" s="233" t="str">
        <f>VLOOKUP(Table8[[#This Row],[Document ID]],Table1[],10,FALSE)</f>
        <v>Active</v>
      </c>
      <c r="H2375" s="43" t="s">
        <v>2350</v>
      </c>
      <c r="I2375" s="43" t="s">
        <v>2351</v>
      </c>
      <c r="J2375" s="44" t="s">
        <v>2352</v>
      </c>
      <c r="K2375" s="323" t="s">
        <v>4491</v>
      </c>
      <c r="L2375" s="44" t="s">
        <v>2347</v>
      </c>
      <c r="M2375" s="43">
        <v>33</v>
      </c>
      <c r="N2375" s="113"/>
      <c r="O2375" s="113"/>
      <c r="P2375" s="113"/>
      <c r="Q2375" s="113"/>
      <c r="R2375" s="113"/>
      <c r="S2375" s="113"/>
      <c r="T2375" s="113"/>
      <c r="U2375" s="113"/>
      <c r="V2375" s="113"/>
      <c r="W2375" s="113"/>
      <c r="X2375" s="113" t="s">
        <v>1113</v>
      </c>
      <c r="Y2375" s="113"/>
      <c r="Z2375" s="113" t="s">
        <v>1113</v>
      </c>
      <c r="AA2375" s="113"/>
      <c r="AB2375" s="113"/>
      <c r="AC2375" s="113"/>
      <c r="AD2375" s="113"/>
      <c r="AE2375" s="113"/>
      <c r="AF2375" s="113"/>
      <c r="AG2375" s="113"/>
      <c r="AH2375" s="113"/>
      <c r="AI2375" s="113"/>
      <c r="AJ2375" s="113"/>
      <c r="AK2375" s="319" t="s">
        <v>1113</v>
      </c>
      <c r="AL2375" s="113"/>
      <c r="AM2375" s="113"/>
      <c r="AN2375" s="113"/>
      <c r="AO2375" s="43" t="s">
        <v>2353</v>
      </c>
      <c r="AP2375" s="43"/>
      <c r="AQ2375" s="236" t="str">
        <f>VLOOKUP(Table8[[#This Row],[Instrument]],Def_Targets!$D$73:$E$159,2,FALSE)</f>
        <v>S_Railfreight</v>
      </c>
      <c r="AR2375" s="233" t="str">
        <f>VLOOKUP(Table8[[#This Row],[Country Code]],Table29[],3,FALSE)</f>
        <v>Non-Annex I</v>
      </c>
      <c r="AS2375" s="233" t="str">
        <f>VLOOKUP(Table8[[#This Row],[Country Code]],Table29[],4,FALSE)</f>
        <v>Africa</v>
      </c>
      <c r="AT2375" s="233" t="str">
        <f>VLOOKUP(Table8[[#This Row],[Country Code]],Table29[],5,FALSE)</f>
        <v>Middle-income</v>
      </c>
      <c r="AU2375" s="233" t="str">
        <f>VLOOKUP(Table8[[#This Row],[Country Code]],Table29[],6,FALSE)</f>
        <v>G20</v>
      </c>
      <c r="AV2375" s="233" t="str">
        <f>VLOOKUP(Table8[[#This Row],[Country Code]],Table29[],7,FALSE)</f>
        <v>no</v>
      </c>
      <c r="AW2375" s="233" t="str">
        <f>VLOOKUP(Table8[[#This Row],[Country Code]],Table29[],8,FALSE)</f>
        <v>non-OECD</v>
      </c>
      <c r="AX2375" s="233" t="str">
        <f>VLOOKUP(Table8[[#This Row],[Country Code]],Table29[],9,FALSE)</f>
        <v>no</v>
      </c>
      <c r="AY2375" s="233" t="str">
        <f>VLOOKUP(Table8[[#This Row],[Country Code]],Table29[],10,FALSE)</f>
        <v>no</v>
      </c>
      <c r="AZ2375" s="235">
        <f>VLOOKUP(Table8[[#This Row],[Country Code]],Table29[],23,FALSE)</f>
        <v>522.11549112330999</v>
      </c>
      <c r="BA2375" s="235">
        <f>VLOOKUP(Table8[[#This Row],[Country Code]],Table29[],24,FALSE)</f>
        <v>50.351995093376694</v>
      </c>
      <c r="BB2375" s="320"/>
      <c r="BC2375" s="320"/>
    </row>
    <row r="2376" spans="1:55" ht="60" hidden="1" x14ac:dyDescent="0.25">
      <c r="A2376" s="373">
        <v>17740</v>
      </c>
      <c r="B2376" s="233" t="str">
        <f>VLOOKUP(Table8[[#This Row],[Document ID]],Table1[],2,FALSE)</f>
        <v>ZAF</v>
      </c>
      <c r="C2376" s="233" t="str">
        <f>VLOOKUP(Table8[[#This Row],[Document ID]],Table1[],3,FALSE)</f>
        <v>South Africa</v>
      </c>
      <c r="D2376" s="243" t="str">
        <f>VLOOKUP(Table8[[#This Row],[Document ID]],Table1[],5,FALSE)</f>
        <v>LTS</v>
      </c>
      <c r="E2376" s="233" t="str">
        <f>VLOOKUP(Table8[[#This Row],[Document ID]],Table1[],7,FALSE)</f>
        <v>LTS</v>
      </c>
      <c r="F2376" s="233" t="str">
        <f>VLOOKUP(Table8[[#This Row],[Document ID]],Table1[],8,FALSE)</f>
        <v>LTS 1.0</v>
      </c>
      <c r="G2376" s="233" t="str">
        <f>VLOOKUP(Table8[[#This Row],[Document ID]],Table1[],10,FALSE)</f>
        <v>Active</v>
      </c>
      <c r="H2376" s="43" t="s">
        <v>2350</v>
      </c>
      <c r="I2376" s="43" t="s">
        <v>2351</v>
      </c>
      <c r="J2376" s="44" t="s">
        <v>2352</v>
      </c>
      <c r="K2376" s="44" t="s">
        <v>4492</v>
      </c>
      <c r="L2376" s="44" t="s">
        <v>2471</v>
      </c>
      <c r="M2376" s="43">
        <v>33</v>
      </c>
      <c r="N2376" s="113"/>
      <c r="O2376" s="113"/>
      <c r="P2376" s="113"/>
      <c r="Q2376" s="113"/>
      <c r="R2376" s="113"/>
      <c r="S2376" s="113"/>
      <c r="T2376" s="113"/>
      <c r="U2376" s="113"/>
      <c r="V2376" s="113"/>
      <c r="W2376" s="113"/>
      <c r="X2376" s="113" t="s">
        <v>1113</v>
      </c>
      <c r="Y2376" s="113"/>
      <c r="Z2376" s="113" t="s">
        <v>1113</v>
      </c>
      <c r="AA2376" s="113"/>
      <c r="AB2376" s="113"/>
      <c r="AC2376" s="113"/>
      <c r="AD2376" s="113"/>
      <c r="AE2376" s="113"/>
      <c r="AF2376" s="113"/>
      <c r="AG2376" s="113"/>
      <c r="AH2376" s="113"/>
      <c r="AI2376" s="113"/>
      <c r="AJ2376" s="113"/>
      <c r="AK2376" s="319" t="s">
        <v>1113</v>
      </c>
      <c r="AL2376" s="113"/>
      <c r="AM2376" s="113"/>
      <c r="AN2376" s="113"/>
      <c r="AO2376" s="43" t="s">
        <v>2353</v>
      </c>
      <c r="AP2376" s="43"/>
      <c r="AQ2376" s="236" t="str">
        <f>VLOOKUP(Table8[[#This Row],[Instrument]],Def_Targets!$D$73:$E$159,2,FALSE)</f>
        <v>S_Railfreight</v>
      </c>
      <c r="AR2376" s="233" t="str">
        <f>VLOOKUP(Table8[[#This Row],[Country Code]],Table29[],3,FALSE)</f>
        <v>Non-Annex I</v>
      </c>
      <c r="AS2376" s="233" t="str">
        <f>VLOOKUP(Table8[[#This Row],[Country Code]],Table29[],4,FALSE)</f>
        <v>Africa</v>
      </c>
      <c r="AT2376" s="233" t="str">
        <f>VLOOKUP(Table8[[#This Row],[Country Code]],Table29[],5,FALSE)</f>
        <v>Middle-income</v>
      </c>
      <c r="AU2376" s="233" t="str">
        <f>VLOOKUP(Table8[[#This Row],[Country Code]],Table29[],6,FALSE)</f>
        <v>G20</v>
      </c>
      <c r="AV2376" s="233" t="str">
        <f>VLOOKUP(Table8[[#This Row],[Country Code]],Table29[],7,FALSE)</f>
        <v>no</v>
      </c>
      <c r="AW2376" s="233" t="str">
        <f>VLOOKUP(Table8[[#This Row],[Country Code]],Table29[],8,FALSE)</f>
        <v>non-OECD</v>
      </c>
      <c r="AX2376" s="233" t="str">
        <f>VLOOKUP(Table8[[#This Row],[Country Code]],Table29[],9,FALSE)</f>
        <v>no</v>
      </c>
      <c r="AY2376" s="233" t="str">
        <f>VLOOKUP(Table8[[#This Row],[Country Code]],Table29[],10,FALSE)</f>
        <v>no</v>
      </c>
      <c r="AZ2376" s="235">
        <f>VLOOKUP(Table8[[#This Row],[Country Code]],Table29[],23,FALSE)</f>
        <v>522.11549112330999</v>
      </c>
      <c r="BA2376" s="235">
        <f>VLOOKUP(Table8[[#This Row],[Country Code]],Table29[],24,FALSE)</f>
        <v>50.351995093376694</v>
      </c>
      <c r="BB2376" s="320"/>
      <c r="BC2376" s="320"/>
    </row>
    <row r="2377" spans="1:55" ht="28.5" hidden="1" customHeight="1" x14ac:dyDescent="0.25">
      <c r="A2377" s="373">
        <v>17740</v>
      </c>
      <c r="B2377" s="233" t="str">
        <f>VLOOKUP(Table8[[#This Row],[Document ID]],Table1[],2,FALSE)</f>
        <v>ZAF</v>
      </c>
      <c r="C2377" s="233" t="str">
        <f>VLOOKUP(Table8[[#This Row],[Document ID]],Table1[],3,FALSE)</f>
        <v>South Africa</v>
      </c>
      <c r="D2377" s="243" t="str">
        <f>VLOOKUP(Table8[[#This Row],[Document ID]],Table1[],5,FALSE)</f>
        <v>LTS</v>
      </c>
      <c r="E2377" s="233" t="str">
        <f>VLOOKUP(Table8[[#This Row],[Document ID]],Table1[],7,FALSE)</f>
        <v>LTS</v>
      </c>
      <c r="F2377" s="233" t="str">
        <f>VLOOKUP(Table8[[#This Row],[Document ID]],Table1[],8,FALSE)</f>
        <v>LTS 1.0</v>
      </c>
      <c r="G2377" s="233" t="str">
        <f>VLOOKUP(Table8[[#This Row],[Document ID]],Table1[],10,FALSE)</f>
        <v>Active</v>
      </c>
      <c r="H2377" s="43" t="s">
        <v>2343</v>
      </c>
      <c r="I2377" s="43" t="s">
        <v>2386</v>
      </c>
      <c r="J2377" s="44" t="s">
        <v>2530</v>
      </c>
      <c r="K2377" s="44" t="s">
        <v>4493</v>
      </c>
      <c r="L2377" s="44" t="s">
        <v>2380</v>
      </c>
      <c r="M2377" s="43">
        <v>33</v>
      </c>
      <c r="N2377" s="113" t="s">
        <v>1113</v>
      </c>
      <c r="O2377" s="113"/>
      <c r="P2377" s="113"/>
      <c r="Q2377" s="113"/>
      <c r="R2377" s="113"/>
      <c r="S2377" s="113"/>
      <c r="T2377" s="113"/>
      <c r="U2377" s="113"/>
      <c r="V2377" s="113"/>
      <c r="W2377" s="113"/>
      <c r="X2377" s="113"/>
      <c r="Y2377" s="113"/>
      <c r="Z2377" s="113"/>
      <c r="AA2377" s="113"/>
      <c r="AB2377" s="113"/>
      <c r="AC2377" s="113"/>
      <c r="AD2377" s="113"/>
      <c r="AE2377" s="113"/>
      <c r="AF2377" s="113"/>
      <c r="AG2377" s="113"/>
      <c r="AH2377" s="113"/>
      <c r="AI2377" s="113"/>
      <c r="AJ2377" s="113"/>
      <c r="AK2377" s="319" t="s">
        <v>1113</v>
      </c>
      <c r="AL2377" s="113"/>
      <c r="AM2377" s="113"/>
      <c r="AN2377" s="113"/>
      <c r="AO2377" s="44" t="s">
        <v>2334</v>
      </c>
      <c r="AP2377" s="43"/>
      <c r="AQ2377" s="236" t="str">
        <f>VLOOKUP(Table8[[#This Row],[Instrument]],Def_Targets!$D$73:$E$159,2,FALSE)</f>
        <v>A_Vehicletax</v>
      </c>
      <c r="AR2377" s="233" t="str">
        <f>VLOOKUP(Table8[[#This Row],[Country Code]],Table29[],3,FALSE)</f>
        <v>Non-Annex I</v>
      </c>
      <c r="AS2377" s="233" t="str">
        <f>VLOOKUP(Table8[[#This Row],[Country Code]],Table29[],4,FALSE)</f>
        <v>Africa</v>
      </c>
      <c r="AT2377" s="233" t="str">
        <f>VLOOKUP(Table8[[#This Row],[Country Code]],Table29[],5,FALSE)</f>
        <v>Middle-income</v>
      </c>
      <c r="AU2377" s="233" t="str">
        <f>VLOOKUP(Table8[[#This Row],[Country Code]],Table29[],6,FALSE)</f>
        <v>G20</v>
      </c>
      <c r="AV2377" s="233" t="str">
        <f>VLOOKUP(Table8[[#This Row],[Country Code]],Table29[],7,FALSE)</f>
        <v>no</v>
      </c>
      <c r="AW2377" s="233" t="str">
        <f>VLOOKUP(Table8[[#This Row],[Country Code]],Table29[],8,FALSE)</f>
        <v>non-OECD</v>
      </c>
      <c r="AX2377" s="233" t="str">
        <f>VLOOKUP(Table8[[#This Row],[Country Code]],Table29[],9,FALSE)</f>
        <v>no</v>
      </c>
      <c r="AY2377" s="233" t="str">
        <f>VLOOKUP(Table8[[#This Row],[Country Code]],Table29[],10,FALSE)</f>
        <v>no</v>
      </c>
      <c r="AZ2377" s="235">
        <f>VLOOKUP(Table8[[#This Row],[Country Code]],Table29[],23,FALSE)</f>
        <v>522.11549112330999</v>
      </c>
      <c r="BA2377" s="235">
        <f>VLOOKUP(Table8[[#This Row],[Country Code]],Table29[],24,FALSE)</f>
        <v>50.351995093376694</v>
      </c>
      <c r="BB2377" s="320"/>
      <c r="BC2377" s="320"/>
    </row>
    <row r="2378" spans="1:55" ht="51.75" hidden="1" customHeight="1" x14ac:dyDescent="0.25">
      <c r="A2378" s="373">
        <v>17740</v>
      </c>
      <c r="B2378" s="233" t="str">
        <f>VLOOKUP(Table8[[#This Row],[Document ID]],Table1[],2,FALSE)</f>
        <v>ZAF</v>
      </c>
      <c r="C2378" s="233" t="str">
        <f>VLOOKUP(Table8[[#This Row],[Document ID]],Table1[],3,FALSE)</f>
        <v>South Africa</v>
      </c>
      <c r="D2378" s="243" t="str">
        <f>VLOOKUP(Table8[[#This Row],[Document ID]],Table1[],5,FALSE)</f>
        <v>LTS</v>
      </c>
      <c r="E2378" s="233" t="str">
        <f>VLOOKUP(Table8[[#This Row],[Document ID]],Table1[],7,FALSE)</f>
        <v>LTS</v>
      </c>
      <c r="F2378" s="233" t="str">
        <f>VLOOKUP(Table8[[#This Row],[Document ID]],Table1[],8,FALSE)</f>
        <v>LTS 1.0</v>
      </c>
      <c r="G2378" s="233" t="str">
        <f>VLOOKUP(Table8[[#This Row],[Document ID]],Table1[],10,FALSE)</f>
        <v>Active</v>
      </c>
      <c r="H2378" s="44" t="s">
        <v>2329</v>
      </c>
      <c r="I2378" s="44" t="s">
        <v>2330</v>
      </c>
      <c r="J2378" s="44" t="s">
        <v>2391</v>
      </c>
      <c r="K2378" s="44" t="s">
        <v>4494</v>
      </c>
      <c r="L2378" s="44" t="s">
        <v>2333</v>
      </c>
      <c r="M2378" s="43">
        <v>55</v>
      </c>
      <c r="N2378" s="113" t="s">
        <v>1113</v>
      </c>
      <c r="O2378" s="113"/>
      <c r="P2378" s="113"/>
      <c r="Q2378" s="113"/>
      <c r="R2378" s="113"/>
      <c r="S2378" s="113"/>
      <c r="T2378" s="113"/>
      <c r="U2378" s="113"/>
      <c r="V2378" s="113"/>
      <c r="W2378" s="113"/>
      <c r="X2378" s="113"/>
      <c r="Y2378" s="113"/>
      <c r="Z2378" s="113"/>
      <c r="AA2378" s="113"/>
      <c r="AB2378" s="113"/>
      <c r="AC2378" s="113"/>
      <c r="AD2378" s="113"/>
      <c r="AE2378" s="113"/>
      <c r="AF2378" s="113"/>
      <c r="AG2378" s="113"/>
      <c r="AH2378" s="113"/>
      <c r="AI2378" s="113"/>
      <c r="AJ2378" s="113"/>
      <c r="AK2378" s="319" t="s">
        <v>1113</v>
      </c>
      <c r="AL2378" s="113"/>
      <c r="AM2378" s="113"/>
      <c r="AN2378" s="113"/>
      <c r="AO2378" s="44" t="s">
        <v>2334</v>
      </c>
      <c r="AP2378" s="43"/>
      <c r="AQ2378" s="236" t="str">
        <f>VLOOKUP(Table8[[#This Row],[Instrument]],Def_Targets!$D$73:$E$159,2,FALSE)</f>
        <v>I_Hydrogen</v>
      </c>
      <c r="AR2378" s="233" t="str">
        <f>VLOOKUP(Table8[[#This Row],[Country Code]],Table29[],3,FALSE)</f>
        <v>Non-Annex I</v>
      </c>
      <c r="AS2378" s="233" t="str">
        <f>VLOOKUP(Table8[[#This Row],[Country Code]],Table29[],4,FALSE)</f>
        <v>Africa</v>
      </c>
      <c r="AT2378" s="233" t="str">
        <f>VLOOKUP(Table8[[#This Row],[Country Code]],Table29[],5,FALSE)</f>
        <v>Middle-income</v>
      </c>
      <c r="AU2378" s="233" t="str">
        <f>VLOOKUP(Table8[[#This Row],[Country Code]],Table29[],6,FALSE)</f>
        <v>G20</v>
      </c>
      <c r="AV2378" s="233" t="str">
        <f>VLOOKUP(Table8[[#This Row],[Country Code]],Table29[],7,FALSE)</f>
        <v>no</v>
      </c>
      <c r="AW2378" s="233" t="str">
        <f>VLOOKUP(Table8[[#This Row],[Country Code]],Table29[],8,FALSE)</f>
        <v>non-OECD</v>
      </c>
      <c r="AX2378" s="233" t="str">
        <f>VLOOKUP(Table8[[#This Row],[Country Code]],Table29[],9,FALSE)</f>
        <v>no</v>
      </c>
      <c r="AY2378" s="233" t="str">
        <f>VLOOKUP(Table8[[#This Row],[Country Code]],Table29[],10,FALSE)</f>
        <v>no</v>
      </c>
      <c r="AZ2378" s="235">
        <f>VLOOKUP(Table8[[#This Row],[Country Code]],Table29[],23,FALSE)</f>
        <v>522.11549112330999</v>
      </c>
      <c r="BA2378" s="235">
        <f>VLOOKUP(Table8[[#This Row],[Country Code]],Table29[],24,FALSE)</f>
        <v>50.351995093376694</v>
      </c>
      <c r="BB2378" s="320"/>
      <c r="BC2378" s="320"/>
    </row>
    <row r="2379" spans="1:55" ht="15" hidden="1" customHeight="1" x14ac:dyDescent="0.25">
      <c r="A2379" s="373">
        <v>17743</v>
      </c>
      <c r="B2379" s="233" t="str">
        <f>VLOOKUP(Table8[[#This Row],[Document ID]],Table1[],2,FALSE)</f>
        <v>ESP</v>
      </c>
      <c r="C2379" s="233" t="str">
        <f>VLOOKUP(Table8[[#This Row],[Document ID]],Table1[],3,FALSE)</f>
        <v>Spain</v>
      </c>
      <c r="D2379" s="243" t="str">
        <f>VLOOKUP(Table8[[#This Row],[Document ID]],Table1[],5,FALSE)</f>
        <v>LTS</v>
      </c>
      <c r="E2379" s="233" t="str">
        <f>VLOOKUP(Table8[[#This Row],[Document ID]],Table1[],7,FALSE)</f>
        <v>LTS</v>
      </c>
      <c r="F2379" s="233" t="str">
        <f>VLOOKUP(Table8[[#This Row],[Document ID]],Table1[],8,FALSE)</f>
        <v>LTS 1.0</v>
      </c>
      <c r="G2379" s="233" t="str">
        <f>VLOOKUP(Table8[[#This Row],[Document ID]],Table1[],10,FALSE)</f>
        <v>Active</v>
      </c>
      <c r="H2379" s="43" t="s">
        <v>2350</v>
      </c>
      <c r="I2379" s="43" t="s">
        <v>2456</v>
      </c>
      <c r="J2379" s="44" t="s">
        <v>2457</v>
      </c>
      <c r="K2379" s="44" t="s">
        <v>4495</v>
      </c>
      <c r="L2379" s="44" t="s">
        <v>2347</v>
      </c>
      <c r="M2379" s="43">
        <v>37</v>
      </c>
      <c r="N2379" s="113"/>
      <c r="O2379" s="113"/>
      <c r="P2379" s="113"/>
      <c r="Q2379" s="113" t="s">
        <v>1113</v>
      </c>
      <c r="R2379" s="113" t="s">
        <v>1113</v>
      </c>
      <c r="S2379" s="113" t="s">
        <v>1113</v>
      </c>
      <c r="T2379" s="113"/>
      <c r="U2379" s="113"/>
      <c r="V2379" s="113"/>
      <c r="W2379" s="113"/>
      <c r="X2379" s="113"/>
      <c r="Y2379" s="113" t="s">
        <v>1113</v>
      </c>
      <c r="Z2379" s="113"/>
      <c r="AA2379" s="113"/>
      <c r="AB2379" s="113"/>
      <c r="AC2379" s="113" t="s">
        <v>1113</v>
      </c>
      <c r="AD2379" s="113"/>
      <c r="AE2379" s="113"/>
      <c r="AF2379" s="113"/>
      <c r="AG2379" s="113"/>
      <c r="AH2379" s="113"/>
      <c r="AI2379" s="113"/>
      <c r="AJ2379" s="113"/>
      <c r="AK2379" s="319" t="s">
        <v>1113</v>
      </c>
      <c r="AL2379" s="113"/>
      <c r="AM2379" s="113"/>
      <c r="AN2379" s="113"/>
      <c r="AO2379" s="44" t="s">
        <v>2334</v>
      </c>
      <c r="AP2379" s="43"/>
      <c r="AQ2379" s="236" t="str">
        <f>VLOOKUP(Table8[[#This Row],[Instrument]],Def_Targets!$D$73:$E$159,2,FALSE)</f>
        <v>S_Infraimprove</v>
      </c>
      <c r="AR2379" s="233" t="str">
        <f>VLOOKUP(Table8[[#This Row],[Country Code]],Table29[],3,FALSE)</f>
        <v>Annex I</v>
      </c>
      <c r="AS2379" s="233" t="str">
        <f>VLOOKUP(Table8[[#This Row],[Country Code]],Table29[],4,FALSE)</f>
        <v>Europe</v>
      </c>
      <c r="AT2379" s="233" t="str">
        <f>VLOOKUP(Table8[[#This Row],[Country Code]],Table29[],5,FALSE)</f>
        <v>High-income</v>
      </c>
      <c r="AU2379" s="233" t="str">
        <f>VLOOKUP(Table8[[#This Row],[Country Code]],Table29[],6,FALSE)</f>
        <v>no</v>
      </c>
      <c r="AV2379" s="233" t="str">
        <f>VLOOKUP(Table8[[#This Row],[Country Code]],Table29[],7,FALSE)</f>
        <v>no</v>
      </c>
      <c r="AW2379" s="233" t="str">
        <f>VLOOKUP(Table8[[#This Row],[Country Code]],Table29[],8,FALSE)</f>
        <v>OECD</v>
      </c>
      <c r="AX2379" s="233" t="str">
        <f>VLOOKUP(Table8[[#This Row],[Country Code]],Table29[],9,FALSE)</f>
        <v>EU27</v>
      </c>
      <c r="AY2379" s="233" t="str">
        <f>VLOOKUP(Table8[[#This Row],[Country Code]],Table29[],10,FALSE)</f>
        <v>no</v>
      </c>
      <c r="AZ2379" s="235">
        <f>VLOOKUP(Table8[[#This Row],[Country Code]],Table29[],23,FALSE)</f>
        <v>285.38389989719002</v>
      </c>
      <c r="BA2379" s="235">
        <f>VLOOKUP(Table8[[#This Row],[Country Code]],Table29[],24,FALSE)</f>
        <v>93.111859614661455</v>
      </c>
      <c r="BB2379" s="320"/>
      <c r="BC2379" s="320"/>
    </row>
    <row r="2380" spans="1:55" ht="34.5" hidden="1" customHeight="1" x14ac:dyDescent="0.25">
      <c r="A2380" s="373">
        <v>17743</v>
      </c>
      <c r="B2380" s="233" t="str">
        <f>VLOOKUP(Table8[[#This Row],[Document ID]],Table1[],2,FALSE)</f>
        <v>ESP</v>
      </c>
      <c r="C2380" s="233" t="str">
        <f>VLOOKUP(Table8[[#This Row],[Document ID]],Table1[],3,FALSE)</f>
        <v>Spain</v>
      </c>
      <c r="D2380" s="243" t="str">
        <f>VLOOKUP(Table8[[#This Row],[Document ID]],Table1[],5,FALSE)</f>
        <v>LTS</v>
      </c>
      <c r="E2380" s="233" t="str">
        <f>VLOOKUP(Table8[[#This Row],[Document ID]],Table1[],7,FALSE)</f>
        <v>LTS</v>
      </c>
      <c r="F2380" s="233" t="str">
        <f>VLOOKUP(Table8[[#This Row],[Document ID]],Table1[],8,FALSE)</f>
        <v>LTS 1.0</v>
      </c>
      <c r="G2380" s="233" t="str">
        <f>VLOOKUP(Table8[[#This Row],[Document ID]],Table1[],10,FALSE)</f>
        <v>Active</v>
      </c>
      <c r="H2380" s="43" t="s">
        <v>2358</v>
      </c>
      <c r="I2380" s="43" t="s">
        <v>2359</v>
      </c>
      <c r="J2380" s="44" t="s">
        <v>2360</v>
      </c>
      <c r="K2380" s="44" t="s">
        <v>4496</v>
      </c>
      <c r="L2380" s="44" t="s">
        <v>2333</v>
      </c>
      <c r="M2380" s="43">
        <v>37</v>
      </c>
      <c r="N2380" s="113"/>
      <c r="O2380" s="113"/>
      <c r="P2380" s="113"/>
      <c r="Q2380" s="113"/>
      <c r="R2380" s="113"/>
      <c r="S2380" s="113" t="s">
        <v>1113</v>
      </c>
      <c r="T2380" s="113"/>
      <c r="U2380" s="113"/>
      <c r="V2380" s="113"/>
      <c r="W2380" s="113"/>
      <c r="X2380" s="113"/>
      <c r="Y2380" s="113"/>
      <c r="Z2380" s="113"/>
      <c r="AA2380" s="113"/>
      <c r="AB2380" s="113"/>
      <c r="AC2380" s="113"/>
      <c r="AD2380" s="113"/>
      <c r="AE2380" s="113"/>
      <c r="AF2380" s="113"/>
      <c r="AG2380" s="113"/>
      <c r="AH2380" s="113"/>
      <c r="AI2380" s="113"/>
      <c r="AJ2380" s="113"/>
      <c r="AK2380" s="319" t="s">
        <v>1113</v>
      </c>
      <c r="AL2380" s="113"/>
      <c r="AM2380" s="113"/>
      <c r="AN2380" s="113"/>
      <c r="AO2380" s="44" t="s">
        <v>2334</v>
      </c>
      <c r="AP2380" s="43"/>
      <c r="AQ2380" s="236" t="str">
        <f>VLOOKUP(Table8[[#This Row],[Instrument]],Def_Targets!$D$73:$E$159,2,FALSE)</f>
        <v>I_Emobility</v>
      </c>
      <c r="AR2380" s="233" t="str">
        <f>VLOOKUP(Table8[[#This Row],[Country Code]],Table29[],3,FALSE)</f>
        <v>Annex I</v>
      </c>
      <c r="AS2380" s="233" t="str">
        <f>VLOOKUP(Table8[[#This Row],[Country Code]],Table29[],4,FALSE)</f>
        <v>Europe</v>
      </c>
      <c r="AT2380" s="233" t="str">
        <f>VLOOKUP(Table8[[#This Row],[Country Code]],Table29[],5,FALSE)</f>
        <v>High-income</v>
      </c>
      <c r="AU2380" s="233" t="str">
        <f>VLOOKUP(Table8[[#This Row],[Country Code]],Table29[],6,FALSE)</f>
        <v>no</v>
      </c>
      <c r="AV2380" s="233" t="str">
        <f>VLOOKUP(Table8[[#This Row],[Country Code]],Table29[],7,FALSE)</f>
        <v>no</v>
      </c>
      <c r="AW2380" s="233" t="str">
        <f>VLOOKUP(Table8[[#This Row],[Country Code]],Table29[],8,FALSE)</f>
        <v>OECD</v>
      </c>
      <c r="AX2380" s="233" t="str">
        <f>VLOOKUP(Table8[[#This Row],[Country Code]],Table29[],9,FALSE)</f>
        <v>EU27</v>
      </c>
      <c r="AY2380" s="233" t="str">
        <f>VLOOKUP(Table8[[#This Row],[Country Code]],Table29[],10,FALSE)</f>
        <v>no</v>
      </c>
      <c r="AZ2380" s="235">
        <f>VLOOKUP(Table8[[#This Row],[Country Code]],Table29[],23,FALSE)</f>
        <v>285.38389989719002</v>
      </c>
      <c r="BA2380" s="235">
        <f>VLOOKUP(Table8[[#This Row],[Country Code]],Table29[],24,FALSE)</f>
        <v>93.111859614661455</v>
      </c>
      <c r="BB2380" s="320"/>
      <c r="BC2380" s="320"/>
    </row>
    <row r="2381" spans="1:55" ht="40.5" hidden="1" customHeight="1" x14ac:dyDescent="0.25">
      <c r="A2381" s="373">
        <v>17743</v>
      </c>
      <c r="B2381" s="233" t="str">
        <f>VLOOKUP(Table8[[#This Row],[Document ID]],Table1[],2,FALSE)</f>
        <v>ESP</v>
      </c>
      <c r="C2381" s="233" t="str">
        <f>VLOOKUP(Table8[[#This Row],[Document ID]],Table1[],3,FALSE)</f>
        <v>Spain</v>
      </c>
      <c r="D2381" s="243" t="str">
        <f>VLOOKUP(Table8[[#This Row],[Document ID]],Table1[],5,FALSE)</f>
        <v>LTS</v>
      </c>
      <c r="E2381" s="233" t="str">
        <f>VLOOKUP(Table8[[#This Row],[Document ID]],Table1[],7,FALSE)</f>
        <v>LTS</v>
      </c>
      <c r="F2381" s="233" t="str">
        <f>VLOOKUP(Table8[[#This Row],[Document ID]],Table1[],8,FALSE)</f>
        <v>LTS 1.0</v>
      </c>
      <c r="G2381" s="233" t="str">
        <f>VLOOKUP(Table8[[#This Row],[Document ID]],Table1[],10,FALSE)</f>
        <v>Active</v>
      </c>
      <c r="H2381" s="44" t="s">
        <v>2329</v>
      </c>
      <c r="I2381" s="44" t="s">
        <v>2330</v>
      </c>
      <c r="J2381" s="44" t="s">
        <v>2381</v>
      </c>
      <c r="K2381" s="44" t="s">
        <v>4497</v>
      </c>
      <c r="L2381" s="44" t="s">
        <v>2333</v>
      </c>
      <c r="M2381" s="43">
        <v>37</v>
      </c>
      <c r="N2381" s="113"/>
      <c r="O2381" s="113"/>
      <c r="P2381" s="113"/>
      <c r="Q2381" s="113"/>
      <c r="R2381" s="113"/>
      <c r="S2381" s="113"/>
      <c r="T2381" s="113"/>
      <c r="U2381" s="113"/>
      <c r="V2381" s="113"/>
      <c r="W2381" s="113"/>
      <c r="X2381" s="113" t="s">
        <v>1113</v>
      </c>
      <c r="Y2381" s="113"/>
      <c r="Z2381" s="113"/>
      <c r="AA2381" s="113"/>
      <c r="AB2381" s="113"/>
      <c r="AC2381" s="113"/>
      <c r="AD2381" s="113" t="s">
        <v>1113</v>
      </c>
      <c r="AE2381" s="113"/>
      <c r="AF2381" s="113"/>
      <c r="AG2381" s="113"/>
      <c r="AH2381" s="113" t="s">
        <v>1113</v>
      </c>
      <c r="AI2381" s="113"/>
      <c r="AJ2381" s="113"/>
      <c r="AK2381" s="319" t="s">
        <v>1113</v>
      </c>
      <c r="AL2381" s="113"/>
      <c r="AM2381" s="113"/>
      <c r="AN2381" s="113"/>
      <c r="AO2381" s="43" t="s">
        <v>2353</v>
      </c>
      <c r="AP2381" s="43"/>
      <c r="AQ2381" s="236" t="str">
        <f>VLOOKUP(Table8[[#This Row],[Instrument]],Def_Targets!$D$73:$E$159,2,FALSE)</f>
        <v>I_RE</v>
      </c>
      <c r="AR2381" s="233" t="str">
        <f>VLOOKUP(Table8[[#This Row],[Country Code]],Table29[],3,FALSE)</f>
        <v>Annex I</v>
      </c>
      <c r="AS2381" s="233" t="str">
        <f>VLOOKUP(Table8[[#This Row],[Country Code]],Table29[],4,FALSE)</f>
        <v>Europe</v>
      </c>
      <c r="AT2381" s="233" t="str">
        <f>VLOOKUP(Table8[[#This Row],[Country Code]],Table29[],5,FALSE)</f>
        <v>High-income</v>
      </c>
      <c r="AU2381" s="233" t="str">
        <f>VLOOKUP(Table8[[#This Row],[Country Code]],Table29[],6,FALSE)</f>
        <v>no</v>
      </c>
      <c r="AV2381" s="233" t="str">
        <f>VLOOKUP(Table8[[#This Row],[Country Code]],Table29[],7,FALSE)</f>
        <v>no</v>
      </c>
      <c r="AW2381" s="233" t="str">
        <f>VLOOKUP(Table8[[#This Row],[Country Code]],Table29[],8,FALSE)</f>
        <v>OECD</v>
      </c>
      <c r="AX2381" s="233" t="str">
        <f>VLOOKUP(Table8[[#This Row],[Country Code]],Table29[],9,FALSE)</f>
        <v>EU27</v>
      </c>
      <c r="AY2381" s="233" t="str">
        <f>VLOOKUP(Table8[[#This Row],[Country Code]],Table29[],10,FALSE)</f>
        <v>no</v>
      </c>
      <c r="AZ2381" s="235">
        <f>VLOOKUP(Table8[[#This Row],[Country Code]],Table29[],23,FALSE)</f>
        <v>285.38389989719002</v>
      </c>
      <c r="BA2381" s="235">
        <f>VLOOKUP(Table8[[#This Row],[Country Code]],Table29[],24,FALSE)</f>
        <v>93.111859614661455</v>
      </c>
      <c r="BB2381" s="320"/>
      <c r="BC2381" s="320"/>
    </row>
    <row r="2382" spans="1:55" ht="30" hidden="1" x14ac:dyDescent="0.25">
      <c r="A2382" s="373">
        <v>17743</v>
      </c>
      <c r="B2382" s="233" t="str">
        <f>VLOOKUP(Table8[[#This Row],[Document ID]],Table1[],2,FALSE)</f>
        <v>ESP</v>
      </c>
      <c r="C2382" s="233" t="str">
        <f>VLOOKUP(Table8[[#This Row],[Document ID]],Table1[],3,FALSE)</f>
        <v>Spain</v>
      </c>
      <c r="D2382" s="243" t="str">
        <f>VLOOKUP(Table8[[#This Row],[Document ID]],Table1[],5,FALSE)</f>
        <v>LTS</v>
      </c>
      <c r="E2382" s="233" t="str">
        <f>VLOOKUP(Table8[[#This Row],[Document ID]],Table1[],7,FALSE)</f>
        <v>LTS</v>
      </c>
      <c r="F2382" s="233" t="str">
        <f>VLOOKUP(Table8[[#This Row],[Document ID]],Table1[],8,FALSE)</f>
        <v>LTS 1.0</v>
      </c>
      <c r="G2382" s="233" t="str">
        <f>VLOOKUP(Table8[[#This Row],[Document ID]],Table1[],10,FALSE)</f>
        <v>Active</v>
      </c>
      <c r="H2382" s="44" t="s">
        <v>2329</v>
      </c>
      <c r="I2382" s="44" t="s">
        <v>2330</v>
      </c>
      <c r="J2382" s="44" t="s">
        <v>2391</v>
      </c>
      <c r="K2382" s="44" t="s">
        <v>4498</v>
      </c>
      <c r="L2382" s="44" t="s">
        <v>2333</v>
      </c>
      <c r="M2382" s="43">
        <v>37</v>
      </c>
      <c r="N2382" s="113" t="s">
        <v>1113</v>
      </c>
      <c r="O2382" s="113"/>
      <c r="P2382" s="113"/>
      <c r="Q2382" s="113"/>
      <c r="R2382" s="113"/>
      <c r="S2382" s="113"/>
      <c r="T2382" s="113"/>
      <c r="U2382" s="113"/>
      <c r="V2382" s="113"/>
      <c r="W2382" s="113"/>
      <c r="X2382" s="113"/>
      <c r="Y2382" s="113"/>
      <c r="Z2382" s="113"/>
      <c r="AA2382" s="113"/>
      <c r="AB2382" s="113"/>
      <c r="AC2382" s="113"/>
      <c r="AD2382" s="113"/>
      <c r="AE2382" s="113"/>
      <c r="AF2382" s="113"/>
      <c r="AG2382" s="113"/>
      <c r="AH2382" s="113"/>
      <c r="AI2382" s="113"/>
      <c r="AJ2382" s="113"/>
      <c r="AK2382" s="319" t="s">
        <v>1113</v>
      </c>
      <c r="AL2382" s="113"/>
      <c r="AM2382" s="113"/>
      <c r="AN2382" s="113"/>
      <c r="AO2382" s="44" t="s">
        <v>2334</v>
      </c>
      <c r="AP2382" s="43"/>
      <c r="AQ2382" s="236" t="str">
        <f>VLOOKUP(Table8[[#This Row],[Instrument]],Def_Targets!$D$73:$E$159,2,FALSE)</f>
        <v>I_Hydrogen</v>
      </c>
      <c r="AR2382" s="233" t="str">
        <f>VLOOKUP(Table8[[#This Row],[Country Code]],Table29[],3,FALSE)</f>
        <v>Annex I</v>
      </c>
      <c r="AS2382" s="233" t="str">
        <f>VLOOKUP(Table8[[#This Row],[Country Code]],Table29[],4,FALSE)</f>
        <v>Europe</v>
      </c>
      <c r="AT2382" s="233" t="str">
        <f>VLOOKUP(Table8[[#This Row],[Country Code]],Table29[],5,FALSE)</f>
        <v>High-income</v>
      </c>
      <c r="AU2382" s="233" t="str">
        <f>VLOOKUP(Table8[[#This Row],[Country Code]],Table29[],6,FALSE)</f>
        <v>no</v>
      </c>
      <c r="AV2382" s="233" t="str">
        <f>VLOOKUP(Table8[[#This Row],[Country Code]],Table29[],7,FALSE)</f>
        <v>no</v>
      </c>
      <c r="AW2382" s="233" t="str">
        <f>VLOOKUP(Table8[[#This Row],[Country Code]],Table29[],8,FALSE)</f>
        <v>OECD</v>
      </c>
      <c r="AX2382" s="233" t="str">
        <f>VLOOKUP(Table8[[#This Row],[Country Code]],Table29[],9,FALSE)</f>
        <v>EU27</v>
      </c>
      <c r="AY2382" s="233" t="str">
        <f>VLOOKUP(Table8[[#This Row],[Country Code]],Table29[],10,FALSE)</f>
        <v>no</v>
      </c>
      <c r="AZ2382" s="235">
        <f>VLOOKUP(Table8[[#This Row],[Country Code]],Table29[],23,FALSE)</f>
        <v>285.38389989719002</v>
      </c>
      <c r="BA2382" s="235">
        <f>VLOOKUP(Table8[[#This Row],[Country Code]],Table29[],24,FALSE)</f>
        <v>93.111859614661455</v>
      </c>
      <c r="BB2382" s="320"/>
      <c r="BC2382" s="320"/>
    </row>
    <row r="2383" spans="1:55" hidden="1" x14ac:dyDescent="0.25">
      <c r="A2383" s="373">
        <v>17743</v>
      </c>
      <c r="B2383" s="233" t="str">
        <f>VLOOKUP(Table8[[#This Row],[Document ID]],Table1[],2,FALSE)</f>
        <v>ESP</v>
      </c>
      <c r="C2383" s="233" t="str">
        <f>VLOOKUP(Table8[[#This Row],[Document ID]],Table1[],3,FALSE)</f>
        <v>Spain</v>
      </c>
      <c r="D2383" s="243" t="str">
        <f>VLOOKUP(Table8[[#This Row],[Document ID]],Table1[],5,FALSE)</f>
        <v>LTS</v>
      </c>
      <c r="E2383" s="233" t="str">
        <f>VLOOKUP(Table8[[#This Row],[Document ID]],Table1[],7,FALSE)</f>
        <v>LTS</v>
      </c>
      <c r="F2383" s="233" t="str">
        <f>VLOOKUP(Table8[[#This Row],[Document ID]],Table1[],8,FALSE)</f>
        <v>LTS 1.0</v>
      </c>
      <c r="G2383" s="233" t="str">
        <f>VLOOKUP(Table8[[#This Row],[Document ID]],Table1[],10,FALSE)</f>
        <v>Active</v>
      </c>
      <c r="H2383" s="43" t="s">
        <v>2343</v>
      </c>
      <c r="I2383" s="43" t="s">
        <v>2429</v>
      </c>
      <c r="J2383" s="44" t="s">
        <v>2430</v>
      </c>
      <c r="K2383" s="44" t="s">
        <v>4499</v>
      </c>
      <c r="L2383" s="44" t="s">
        <v>2333</v>
      </c>
      <c r="M2383" s="43">
        <v>37</v>
      </c>
      <c r="N2383" s="113" t="s">
        <v>1113</v>
      </c>
      <c r="O2383" s="113"/>
      <c r="P2383" s="113"/>
      <c r="Q2383" s="113"/>
      <c r="R2383" s="113"/>
      <c r="S2383" s="113"/>
      <c r="T2383" s="113"/>
      <c r="U2383" s="113"/>
      <c r="V2383" s="113"/>
      <c r="W2383" s="113"/>
      <c r="X2383" s="113"/>
      <c r="Y2383" s="113"/>
      <c r="Z2383" s="113"/>
      <c r="AA2383" s="113"/>
      <c r="AB2383" s="113"/>
      <c r="AC2383" s="113"/>
      <c r="AD2383" s="113"/>
      <c r="AE2383" s="113"/>
      <c r="AF2383" s="113"/>
      <c r="AG2383" s="113"/>
      <c r="AH2383" s="113"/>
      <c r="AI2383" s="113"/>
      <c r="AJ2383" s="113"/>
      <c r="AK2383" s="319" t="s">
        <v>1113</v>
      </c>
      <c r="AL2383" s="113"/>
      <c r="AM2383" s="113"/>
      <c r="AN2383" s="113"/>
      <c r="AO2383" s="44" t="s">
        <v>2334</v>
      </c>
      <c r="AP2383" s="43"/>
      <c r="AQ2383" s="236" t="str">
        <f>VLOOKUP(Table8[[#This Row],[Instrument]],Def_Targets!$D$73:$E$159,2,FALSE)</f>
        <v>I_ITS</v>
      </c>
      <c r="AR2383" s="233" t="str">
        <f>VLOOKUP(Table8[[#This Row],[Country Code]],Table29[],3,FALSE)</f>
        <v>Annex I</v>
      </c>
      <c r="AS2383" s="233" t="str">
        <f>VLOOKUP(Table8[[#This Row],[Country Code]],Table29[],4,FALSE)</f>
        <v>Europe</v>
      </c>
      <c r="AT2383" s="233" t="str">
        <f>VLOOKUP(Table8[[#This Row],[Country Code]],Table29[],5,FALSE)</f>
        <v>High-income</v>
      </c>
      <c r="AU2383" s="233" t="str">
        <f>VLOOKUP(Table8[[#This Row],[Country Code]],Table29[],6,FALSE)</f>
        <v>no</v>
      </c>
      <c r="AV2383" s="233" t="str">
        <f>VLOOKUP(Table8[[#This Row],[Country Code]],Table29[],7,FALSE)</f>
        <v>no</v>
      </c>
      <c r="AW2383" s="233" t="str">
        <f>VLOOKUP(Table8[[#This Row],[Country Code]],Table29[],8,FALSE)</f>
        <v>OECD</v>
      </c>
      <c r="AX2383" s="233" t="str">
        <f>VLOOKUP(Table8[[#This Row],[Country Code]],Table29[],9,FALSE)</f>
        <v>EU27</v>
      </c>
      <c r="AY2383" s="233" t="str">
        <f>VLOOKUP(Table8[[#This Row],[Country Code]],Table29[],10,FALSE)</f>
        <v>no</v>
      </c>
      <c r="AZ2383" s="235">
        <f>VLOOKUP(Table8[[#This Row],[Country Code]],Table29[],23,FALSE)</f>
        <v>285.38389989719002</v>
      </c>
      <c r="BA2383" s="235">
        <f>VLOOKUP(Table8[[#This Row],[Country Code]],Table29[],24,FALSE)</f>
        <v>93.111859614661455</v>
      </c>
      <c r="BB2383" s="320"/>
      <c r="BC2383" s="320"/>
    </row>
    <row r="2384" spans="1:55" hidden="1" x14ac:dyDescent="0.25">
      <c r="A2384" s="373">
        <v>17743</v>
      </c>
      <c r="B2384" s="233" t="str">
        <f>VLOOKUP(Table8[[#This Row],[Document ID]],Table1[],2,FALSE)</f>
        <v>ESP</v>
      </c>
      <c r="C2384" s="233" t="str">
        <f>VLOOKUP(Table8[[#This Row],[Document ID]],Table1[],3,FALSE)</f>
        <v>Spain</v>
      </c>
      <c r="D2384" s="243" t="str">
        <f>VLOOKUP(Table8[[#This Row],[Document ID]],Table1[],5,FALSE)</f>
        <v>LTS</v>
      </c>
      <c r="E2384" s="233" t="str">
        <f>VLOOKUP(Table8[[#This Row],[Document ID]],Table1[],7,FALSE)</f>
        <v>LTS</v>
      </c>
      <c r="F2384" s="233" t="str">
        <f>VLOOKUP(Table8[[#This Row],[Document ID]],Table1[],8,FALSE)</f>
        <v>LTS 1.0</v>
      </c>
      <c r="G2384" s="233" t="str">
        <f>VLOOKUP(Table8[[#This Row],[Document ID]],Table1[],10,FALSE)</f>
        <v>Active</v>
      </c>
      <c r="H2384" s="43" t="s">
        <v>2350</v>
      </c>
      <c r="I2384" s="43" t="s">
        <v>2370</v>
      </c>
      <c r="J2384" s="44" t="s">
        <v>2418</v>
      </c>
      <c r="K2384" s="44" t="s">
        <v>4500</v>
      </c>
      <c r="L2384" s="44" t="s">
        <v>2396</v>
      </c>
      <c r="M2384" s="43">
        <v>37</v>
      </c>
      <c r="N2384" s="113" t="s">
        <v>1113</v>
      </c>
      <c r="O2384" s="113"/>
      <c r="P2384" s="113"/>
      <c r="Q2384" s="113"/>
      <c r="R2384" s="113"/>
      <c r="S2384" s="113"/>
      <c r="T2384" s="113"/>
      <c r="U2384" s="113"/>
      <c r="V2384" s="113"/>
      <c r="W2384" s="113"/>
      <c r="X2384" s="113"/>
      <c r="Y2384" s="113"/>
      <c r="Z2384" s="113"/>
      <c r="AA2384" s="113"/>
      <c r="AB2384" s="113"/>
      <c r="AC2384" s="113"/>
      <c r="AD2384" s="113"/>
      <c r="AE2384" s="113"/>
      <c r="AF2384" s="113"/>
      <c r="AG2384" s="113"/>
      <c r="AH2384" s="113"/>
      <c r="AI2384" s="113"/>
      <c r="AJ2384" s="113"/>
      <c r="AK2384" s="113"/>
      <c r="AL2384" s="113" t="s">
        <v>1113</v>
      </c>
      <c r="AM2384" s="113"/>
      <c r="AN2384" s="113"/>
      <c r="AO2384" s="44" t="s">
        <v>2334</v>
      </c>
      <c r="AP2384" s="43"/>
      <c r="AQ2384" s="236" t="str">
        <f>VLOOKUP(Table8[[#This Row],[Instrument]],Def_Targets!$D$73:$E$159,2,FALSE)</f>
        <v>A_Complan</v>
      </c>
      <c r="AR2384" s="233" t="str">
        <f>VLOOKUP(Table8[[#This Row],[Country Code]],Table29[],3,FALSE)</f>
        <v>Annex I</v>
      </c>
      <c r="AS2384" s="233" t="str">
        <f>VLOOKUP(Table8[[#This Row],[Country Code]],Table29[],4,FALSE)</f>
        <v>Europe</v>
      </c>
      <c r="AT2384" s="233" t="str">
        <f>VLOOKUP(Table8[[#This Row],[Country Code]],Table29[],5,FALSE)</f>
        <v>High-income</v>
      </c>
      <c r="AU2384" s="233" t="str">
        <f>VLOOKUP(Table8[[#This Row],[Country Code]],Table29[],6,FALSE)</f>
        <v>no</v>
      </c>
      <c r="AV2384" s="233" t="str">
        <f>VLOOKUP(Table8[[#This Row],[Country Code]],Table29[],7,FALSE)</f>
        <v>no</v>
      </c>
      <c r="AW2384" s="233" t="str">
        <f>VLOOKUP(Table8[[#This Row],[Country Code]],Table29[],8,FALSE)</f>
        <v>OECD</v>
      </c>
      <c r="AX2384" s="233" t="str">
        <f>VLOOKUP(Table8[[#This Row],[Country Code]],Table29[],9,FALSE)</f>
        <v>EU27</v>
      </c>
      <c r="AY2384" s="233" t="str">
        <f>VLOOKUP(Table8[[#This Row],[Country Code]],Table29[],10,FALSE)</f>
        <v>no</v>
      </c>
      <c r="AZ2384" s="235">
        <f>VLOOKUP(Table8[[#This Row],[Country Code]],Table29[],23,FALSE)</f>
        <v>285.38389989719002</v>
      </c>
      <c r="BA2384" s="235">
        <f>VLOOKUP(Table8[[#This Row],[Country Code]],Table29[],24,FALSE)</f>
        <v>93.111859614661455</v>
      </c>
      <c r="BB2384" s="320"/>
      <c r="BC2384" s="320"/>
    </row>
    <row r="2385" spans="1:55" ht="45" hidden="1" x14ac:dyDescent="0.25">
      <c r="A2385" s="373">
        <v>39449</v>
      </c>
      <c r="B2385" s="233" t="str">
        <f>VLOOKUP(Table8[[#This Row],[Document ID]],Table1[],2,FALSE)</f>
        <v>LKA</v>
      </c>
      <c r="C2385" s="233" t="str">
        <f>VLOOKUP(Table8[[#This Row],[Document ID]],Table1[],3,FALSE)</f>
        <v>Sri Lanka</v>
      </c>
      <c r="D2385" s="243" t="str">
        <f>VLOOKUP(Table8[[#This Row],[Document ID]],Table1[],5,FALSE)</f>
        <v>LTS</v>
      </c>
      <c r="E2385" s="233" t="str">
        <f>VLOOKUP(Table8[[#This Row],[Document ID]],Table1[],7,FALSE)</f>
        <v>LTS</v>
      </c>
      <c r="F2385" s="233" t="str">
        <f>VLOOKUP(Table8[[#This Row],[Document ID]],Table1[],8,FALSE)</f>
        <v>LTS 1.0</v>
      </c>
      <c r="G2385" s="233" t="str">
        <f>VLOOKUP(Table8[[#This Row],[Document ID]],Table1[],10,FALSE)</f>
        <v>Active</v>
      </c>
      <c r="H2385" s="43" t="s">
        <v>2358</v>
      </c>
      <c r="I2385" s="43" t="s">
        <v>2359</v>
      </c>
      <c r="J2385" s="44" t="s">
        <v>2389</v>
      </c>
      <c r="K2385" s="44" t="s">
        <v>4501</v>
      </c>
      <c r="L2385" s="44" t="s">
        <v>2333</v>
      </c>
      <c r="M2385" s="43">
        <v>40</v>
      </c>
      <c r="N2385" s="113" t="s">
        <v>1113</v>
      </c>
      <c r="O2385" s="113"/>
      <c r="P2385" s="113"/>
      <c r="Q2385" s="113"/>
      <c r="R2385" s="113"/>
      <c r="S2385" s="113"/>
      <c r="T2385" s="113"/>
      <c r="U2385" s="113"/>
      <c r="V2385" s="113"/>
      <c r="W2385" s="113"/>
      <c r="X2385" s="113"/>
      <c r="Y2385" s="113"/>
      <c r="Z2385" s="113"/>
      <c r="AA2385" s="113"/>
      <c r="AB2385" s="113"/>
      <c r="AC2385" s="113"/>
      <c r="AD2385" s="113"/>
      <c r="AE2385" s="113"/>
      <c r="AF2385" s="113"/>
      <c r="AG2385" s="113"/>
      <c r="AH2385" s="113"/>
      <c r="AI2385" s="113"/>
      <c r="AJ2385" s="113"/>
      <c r="AK2385" s="113" t="s">
        <v>1113</v>
      </c>
      <c r="AL2385" s="113"/>
      <c r="AM2385" s="113"/>
      <c r="AN2385" s="113"/>
      <c r="AO2385" s="44" t="s">
        <v>2334</v>
      </c>
      <c r="AP2385" s="43"/>
      <c r="AQ2385" s="236" t="str">
        <f>VLOOKUP(Table8[[#This Row],[Instrument]],Def_Targets!$D$73:$E$159,2,FALSE)</f>
        <v>I_Emobilitypurchase</v>
      </c>
      <c r="AR2385" s="233" t="str">
        <f>VLOOKUP(Table8[[#This Row],[Country Code]],Table29[],3,FALSE)</f>
        <v>Non-Annex I</v>
      </c>
      <c r="AS2385" s="233" t="str">
        <f>VLOOKUP(Table8[[#This Row],[Country Code]],Table29[],4,FALSE)</f>
        <v>Asia</v>
      </c>
      <c r="AT2385" s="233" t="str">
        <f>VLOOKUP(Table8[[#This Row],[Country Code]],Table29[],5,FALSE)</f>
        <v>Middle-income</v>
      </c>
      <c r="AU2385" s="233" t="str">
        <f>VLOOKUP(Table8[[#This Row],[Country Code]],Table29[],6,FALSE)</f>
        <v>no</v>
      </c>
      <c r="AV2385" s="233" t="str">
        <f>VLOOKUP(Table8[[#This Row],[Country Code]],Table29[],7,FALSE)</f>
        <v>no</v>
      </c>
      <c r="AW2385" s="233" t="str">
        <f>VLOOKUP(Table8[[#This Row],[Country Code]],Table29[],8,FALSE)</f>
        <v>non-OECD</v>
      </c>
      <c r="AX2385" s="233" t="str">
        <f>VLOOKUP(Table8[[#This Row],[Country Code]],Table29[],9,FALSE)</f>
        <v>no</v>
      </c>
      <c r="AY2385" s="233" t="str">
        <f>VLOOKUP(Table8[[#This Row],[Country Code]],Table29[],10,FALSE)</f>
        <v>no</v>
      </c>
      <c r="AZ2385" s="235">
        <f>VLOOKUP(Table8[[#This Row],[Country Code]],Table29[],23,FALSE)</f>
        <v>38.403849844142002</v>
      </c>
      <c r="BA2385" s="235">
        <f>VLOOKUP(Table8[[#This Row],[Country Code]],Table29[],24,FALSE)</f>
        <v>9.6330858743096854</v>
      </c>
      <c r="BB2385" s="320"/>
      <c r="BC2385" s="320"/>
    </row>
    <row r="2386" spans="1:55" ht="30" hidden="1" x14ac:dyDescent="0.25">
      <c r="A2386" s="373">
        <v>39449</v>
      </c>
      <c r="B2386" s="233" t="str">
        <f>VLOOKUP(Table8[[#This Row],[Document ID]],Table1[],2,FALSE)</f>
        <v>LKA</v>
      </c>
      <c r="C2386" s="233" t="str">
        <f>VLOOKUP(Table8[[#This Row],[Document ID]],Table1[],3,FALSE)</f>
        <v>Sri Lanka</v>
      </c>
      <c r="D2386" s="243" t="str">
        <f>VLOOKUP(Table8[[#This Row],[Document ID]],Table1[],5,FALSE)</f>
        <v>LTS</v>
      </c>
      <c r="E2386" s="233" t="str">
        <f>VLOOKUP(Table8[[#This Row],[Document ID]],Table1[],7,FALSE)</f>
        <v>LTS</v>
      </c>
      <c r="F2386" s="233" t="str">
        <f>VLOOKUP(Table8[[#This Row],[Document ID]],Table1[],8,FALSE)</f>
        <v>LTS 1.0</v>
      </c>
      <c r="G2386" s="233" t="str">
        <f>VLOOKUP(Table8[[#This Row],[Document ID]],Table1[],10,FALSE)</f>
        <v>Active</v>
      </c>
      <c r="H2386" s="43" t="s">
        <v>2343</v>
      </c>
      <c r="I2386" s="43" t="s">
        <v>2344</v>
      </c>
      <c r="J2386" s="44" t="s">
        <v>2345</v>
      </c>
      <c r="K2386" s="44" t="s">
        <v>4502</v>
      </c>
      <c r="L2386" s="44" t="s">
        <v>2347</v>
      </c>
      <c r="M2386" s="43">
        <v>40</v>
      </c>
      <c r="N2386" s="113"/>
      <c r="O2386" s="113"/>
      <c r="P2386" s="113"/>
      <c r="Q2386" s="113"/>
      <c r="R2386" s="113"/>
      <c r="S2386" s="113"/>
      <c r="T2386" s="113"/>
      <c r="U2386" s="113"/>
      <c r="V2386" s="113"/>
      <c r="W2386" s="113"/>
      <c r="X2386" s="113"/>
      <c r="Y2386" s="113"/>
      <c r="Z2386" s="113"/>
      <c r="AA2386" s="113"/>
      <c r="AB2386" s="113"/>
      <c r="AC2386" s="113" t="s">
        <v>1113</v>
      </c>
      <c r="AD2386" s="113"/>
      <c r="AE2386" s="113"/>
      <c r="AF2386" s="113"/>
      <c r="AG2386" s="113"/>
      <c r="AH2386" s="113"/>
      <c r="AI2386" s="113"/>
      <c r="AJ2386" s="113"/>
      <c r="AK2386" s="113"/>
      <c r="AL2386" s="113" t="s">
        <v>1113</v>
      </c>
      <c r="AM2386" s="113"/>
      <c r="AN2386" s="113"/>
      <c r="AO2386" s="43" t="s">
        <v>2348</v>
      </c>
      <c r="AP2386" s="43"/>
      <c r="AQ2386" s="236" t="str">
        <f>VLOOKUP(Table8[[#This Row],[Instrument]],Def_Targets!$D$73:$E$159,2,FALSE)</f>
        <v>S_PublicTransport</v>
      </c>
      <c r="AR2386" s="233" t="str">
        <f>VLOOKUP(Table8[[#This Row],[Country Code]],Table29[],3,FALSE)</f>
        <v>Non-Annex I</v>
      </c>
      <c r="AS2386" s="233" t="str">
        <f>VLOOKUP(Table8[[#This Row],[Country Code]],Table29[],4,FALSE)</f>
        <v>Asia</v>
      </c>
      <c r="AT2386" s="233" t="str">
        <f>VLOOKUP(Table8[[#This Row],[Country Code]],Table29[],5,FALSE)</f>
        <v>Middle-income</v>
      </c>
      <c r="AU2386" s="233" t="str">
        <f>VLOOKUP(Table8[[#This Row],[Country Code]],Table29[],6,FALSE)</f>
        <v>no</v>
      </c>
      <c r="AV2386" s="233" t="str">
        <f>VLOOKUP(Table8[[#This Row],[Country Code]],Table29[],7,FALSE)</f>
        <v>no</v>
      </c>
      <c r="AW2386" s="233" t="str">
        <f>VLOOKUP(Table8[[#This Row],[Country Code]],Table29[],8,FALSE)</f>
        <v>non-OECD</v>
      </c>
      <c r="AX2386" s="233" t="str">
        <f>VLOOKUP(Table8[[#This Row],[Country Code]],Table29[],9,FALSE)</f>
        <v>no</v>
      </c>
      <c r="AY2386" s="233" t="str">
        <f>VLOOKUP(Table8[[#This Row],[Country Code]],Table29[],10,FALSE)</f>
        <v>no</v>
      </c>
      <c r="AZ2386" s="235">
        <f>VLOOKUP(Table8[[#This Row],[Country Code]],Table29[],23,FALSE)</f>
        <v>38.403849844142002</v>
      </c>
      <c r="BA2386" s="235">
        <f>VLOOKUP(Table8[[#This Row],[Country Code]],Table29[],24,FALSE)</f>
        <v>9.6330858743096854</v>
      </c>
      <c r="BB2386" s="320"/>
      <c r="BC2386" s="320"/>
    </row>
    <row r="2387" spans="1:55" ht="30" hidden="1" x14ac:dyDescent="0.25">
      <c r="A2387" s="373">
        <v>39449</v>
      </c>
      <c r="B2387" s="233" t="str">
        <f>VLOOKUP(Table8[[#This Row],[Document ID]],Table1[],2,FALSE)</f>
        <v>LKA</v>
      </c>
      <c r="C2387" s="233" t="str">
        <f>VLOOKUP(Table8[[#This Row],[Document ID]],Table1[],3,FALSE)</f>
        <v>Sri Lanka</v>
      </c>
      <c r="D2387" s="243" t="str">
        <f>VLOOKUP(Table8[[#This Row],[Document ID]],Table1[],5,FALSE)</f>
        <v>LTS</v>
      </c>
      <c r="E2387" s="233" t="str">
        <f>VLOOKUP(Table8[[#This Row],[Document ID]],Table1[],7,FALSE)</f>
        <v>LTS</v>
      </c>
      <c r="F2387" s="233" t="str">
        <f>VLOOKUP(Table8[[#This Row],[Document ID]],Table1[],8,FALSE)</f>
        <v>LTS 1.0</v>
      </c>
      <c r="G2387" s="233" t="str">
        <f>VLOOKUP(Table8[[#This Row],[Document ID]],Table1[],10,FALSE)</f>
        <v>Active</v>
      </c>
      <c r="H2387" s="43" t="s">
        <v>2343</v>
      </c>
      <c r="I2387" s="43" t="s">
        <v>2361</v>
      </c>
      <c r="J2387" s="44" t="s">
        <v>2362</v>
      </c>
      <c r="K2387" s="44" t="s">
        <v>4503</v>
      </c>
      <c r="L2387" s="44" t="s">
        <v>2347</v>
      </c>
      <c r="M2387" s="43">
        <v>40</v>
      </c>
      <c r="N2387" s="113"/>
      <c r="O2387" s="113"/>
      <c r="P2387" s="113"/>
      <c r="Q2387" s="113"/>
      <c r="R2387" s="113" t="s">
        <v>1113</v>
      </c>
      <c r="S2387" s="113"/>
      <c r="T2387" s="113"/>
      <c r="U2387" s="113"/>
      <c r="V2387" s="113"/>
      <c r="W2387" s="113"/>
      <c r="X2387" s="113"/>
      <c r="Y2387" s="113"/>
      <c r="Z2387" s="113"/>
      <c r="AA2387" s="113"/>
      <c r="AB2387" s="113"/>
      <c r="AC2387" s="113"/>
      <c r="AD2387" s="113"/>
      <c r="AE2387" s="113"/>
      <c r="AF2387" s="113"/>
      <c r="AG2387" s="113"/>
      <c r="AH2387" s="113"/>
      <c r="AI2387" s="113"/>
      <c r="AJ2387" s="113"/>
      <c r="AK2387" s="113" t="s">
        <v>1113</v>
      </c>
      <c r="AL2387" s="113"/>
      <c r="AM2387" s="113"/>
      <c r="AN2387" s="113"/>
      <c r="AO2387" s="44" t="s">
        <v>2334</v>
      </c>
      <c r="AP2387" s="43"/>
      <c r="AQ2387" s="236" t="str">
        <f>VLOOKUP(Table8[[#This Row],[Instrument]],Def_Targets!$D$73:$E$159,2,FALSE)</f>
        <v>S_Cycling</v>
      </c>
      <c r="AR2387" s="233" t="str">
        <f>VLOOKUP(Table8[[#This Row],[Country Code]],Table29[],3,FALSE)</f>
        <v>Non-Annex I</v>
      </c>
      <c r="AS2387" s="233" t="str">
        <f>VLOOKUP(Table8[[#This Row],[Country Code]],Table29[],4,FALSE)</f>
        <v>Asia</v>
      </c>
      <c r="AT2387" s="233" t="str">
        <f>VLOOKUP(Table8[[#This Row],[Country Code]],Table29[],5,FALSE)</f>
        <v>Middle-income</v>
      </c>
      <c r="AU2387" s="233" t="str">
        <f>VLOOKUP(Table8[[#This Row],[Country Code]],Table29[],6,FALSE)</f>
        <v>no</v>
      </c>
      <c r="AV2387" s="233" t="str">
        <f>VLOOKUP(Table8[[#This Row],[Country Code]],Table29[],7,FALSE)</f>
        <v>no</v>
      </c>
      <c r="AW2387" s="233" t="str">
        <f>VLOOKUP(Table8[[#This Row],[Country Code]],Table29[],8,FALSE)</f>
        <v>non-OECD</v>
      </c>
      <c r="AX2387" s="233" t="str">
        <f>VLOOKUP(Table8[[#This Row],[Country Code]],Table29[],9,FALSE)</f>
        <v>no</v>
      </c>
      <c r="AY2387" s="233" t="str">
        <f>VLOOKUP(Table8[[#This Row],[Country Code]],Table29[],10,FALSE)</f>
        <v>no</v>
      </c>
      <c r="AZ2387" s="235">
        <f>VLOOKUP(Table8[[#This Row],[Country Code]],Table29[],23,FALSE)</f>
        <v>38.403849844142002</v>
      </c>
      <c r="BA2387" s="235">
        <f>VLOOKUP(Table8[[#This Row],[Country Code]],Table29[],24,FALSE)</f>
        <v>9.6330858743096854</v>
      </c>
      <c r="BB2387" s="320"/>
      <c r="BC2387" s="320"/>
    </row>
    <row r="2388" spans="1:55" hidden="1" x14ac:dyDescent="0.25">
      <c r="A2388" s="373">
        <v>39449</v>
      </c>
      <c r="B2388" s="233" t="str">
        <f>VLOOKUP(Table8[[#This Row],[Document ID]],Table1[],2,FALSE)</f>
        <v>LKA</v>
      </c>
      <c r="C2388" s="233" t="str">
        <f>VLOOKUP(Table8[[#This Row],[Document ID]],Table1[],3,FALSE)</f>
        <v>Sri Lanka</v>
      </c>
      <c r="D2388" s="243" t="str">
        <f>VLOOKUP(Table8[[#This Row],[Document ID]],Table1[],5,FALSE)</f>
        <v>LTS</v>
      </c>
      <c r="E2388" s="233" t="str">
        <f>VLOOKUP(Table8[[#This Row],[Document ID]],Table1[],7,FALSE)</f>
        <v>LTS</v>
      </c>
      <c r="F2388" s="233" t="str">
        <f>VLOOKUP(Table8[[#This Row],[Document ID]],Table1[],8,FALSE)</f>
        <v>LTS 1.0</v>
      </c>
      <c r="G2388" s="233" t="str">
        <f>VLOOKUP(Table8[[#This Row],[Document ID]],Table1[],10,FALSE)</f>
        <v>Active</v>
      </c>
      <c r="H2388" s="44" t="s">
        <v>2329</v>
      </c>
      <c r="I2388" s="44" t="s">
        <v>2330</v>
      </c>
      <c r="J2388" s="44" t="s">
        <v>2363</v>
      </c>
      <c r="K2388" s="44" t="s">
        <v>4504</v>
      </c>
      <c r="L2388" s="44" t="s">
        <v>2333</v>
      </c>
      <c r="M2388" s="43">
        <v>14</v>
      </c>
      <c r="N2388" s="113" t="s">
        <v>1113</v>
      </c>
      <c r="O2388" s="113"/>
      <c r="P2388" s="113"/>
      <c r="Q2388" s="113"/>
      <c r="R2388" s="113"/>
      <c r="S2388" s="113"/>
      <c r="T2388" s="113"/>
      <c r="U2388" s="113"/>
      <c r="V2388" s="113"/>
      <c r="W2388" s="113"/>
      <c r="X2388" s="113"/>
      <c r="Y2388" s="113"/>
      <c r="Z2388" s="113"/>
      <c r="AA2388" s="113"/>
      <c r="AB2388" s="113"/>
      <c r="AC2388" s="113"/>
      <c r="AD2388" s="113"/>
      <c r="AE2388" s="113"/>
      <c r="AF2388" s="113"/>
      <c r="AG2388" s="113"/>
      <c r="AH2388" s="113"/>
      <c r="AI2388" s="113"/>
      <c r="AJ2388" s="113"/>
      <c r="AK2388" s="113" t="s">
        <v>1113</v>
      </c>
      <c r="AL2388" s="113"/>
      <c r="AM2388" s="113"/>
      <c r="AN2388" s="113"/>
      <c r="AO2388" s="44" t="s">
        <v>2334</v>
      </c>
      <c r="AP2388" s="43"/>
      <c r="AQ2388" s="236" t="str">
        <f>VLOOKUP(Table8[[#This Row],[Instrument]],Def_Targets!$D$73:$E$159,2,FALSE)</f>
        <v>I_LPGCNGLNG</v>
      </c>
      <c r="AR2388" s="233" t="str">
        <f>VLOOKUP(Table8[[#This Row],[Country Code]],Table29[],3,FALSE)</f>
        <v>Non-Annex I</v>
      </c>
      <c r="AS2388" s="233" t="str">
        <f>VLOOKUP(Table8[[#This Row],[Country Code]],Table29[],4,FALSE)</f>
        <v>Asia</v>
      </c>
      <c r="AT2388" s="233" t="str">
        <f>VLOOKUP(Table8[[#This Row],[Country Code]],Table29[],5,FALSE)</f>
        <v>Middle-income</v>
      </c>
      <c r="AU2388" s="233" t="str">
        <f>VLOOKUP(Table8[[#This Row],[Country Code]],Table29[],6,FALSE)</f>
        <v>no</v>
      </c>
      <c r="AV2388" s="233" t="str">
        <f>VLOOKUP(Table8[[#This Row],[Country Code]],Table29[],7,FALSE)</f>
        <v>no</v>
      </c>
      <c r="AW2388" s="233" t="str">
        <f>VLOOKUP(Table8[[#This Row],[Country Code]],Table29[],8,FALSE)</f>
        <v>non-OECD</v>
      </c>
      <c r="AX2388" s="233" t="str">
        <f>VLOOKUP(Table8[[#This Row],[Country Code]],Table29[],9,FALSE)</f>
        <v>no</v>
      </c>
      <c r="AY2388" s="233" t="str">
        <f>VLOOKUP(Table8[[#This Row],[Country Code]],Table29[],10,FALSE)</f>
        <v>no</v>
      </c>
      <c r="AZ2388" s="235">
        <f>VLOOKUP(Table8[[#This Row],[Country Code]],Table29[],23,FALSE)</f>
        <v>38.403849844142002</v>
      </c>
      <c r="BA2388" s="235">
        <f>VLOOKUP(Table8[[#This Row],[Country Code]],Table29[],24,FALSE)</f>
        <v>9.6330858743096854</v>
      </c>
      <c r="BB2388" s="320"/>
      <c r="BC2388" s="320"/>
    </row>
    <row r="2389" spans="1:55" ht="30" hidden="1" x14ac:dyDescent="0.25">
      <c r="A2389" s="373">
        <v>39449</v>
      </c>
      <c r="B2389" s="233" t="str">
        <f>VLOOKUP(Table8[[#This Row],[Document ID]],Table1[],2,FALSE)</f>
        <v>LKA</v>
      </c>
      <c r="C2389" s="233" t="str">
        <f>VLOOKUP(Table8[[#This Row],[Document ID]],Table1[],3,FALSE)</f>
        <v>Sri Lanka</v>
      </c>
      <c r="D2389" s="243" t="str">
        <f>VLOOKUP(Table8[[#This Row],[Document ID]],Table1[],5,FALSE)</f>
        <v>LTS</v>
      </c>
      <c r="E2389" s="233" t="str">
        <f>VLOOKUP(Table8[[#This Row],[Document ID]],Table1[],7,FALSE)</f>
        <v>LTS</v>
      </c>
      <c r="F2389" s="233" t="str">
        <f>VLOOKUP(Table8[[#This Row],[Document ID]],Table1[],8,FALSE)</f>
        <v>LTS 1.0</v>
      </c>
      <c r="G2389" s="233" t="str">
        <f>VLOOKUP(Table8[[#This Row],[Document ID]],Table1[],10,FALSE)</f>
        <v>Active</v>
      </c>
      <c r="H2389" s="44" t="s">
        <v>2329</v>
      </c>
      <c r="I2389" s="44" t="s">
        <v>2330</v>
      </c>
      <c r="J2389" s="44" t="s">
        <v>2381</v>
      </c>
      <c r="K2389" s="44" t="s">
        <v>4505</v>
      </c>
      <c r="L2389" s="44" t="s">
        <v>2333</v>
      </c>
      <c r="M2389" s="43">
        <v>15</v>
      </c>
      <c r="N2389" s="113" t="s">
        <v>1113</v>
      </c>
      <c r="O2389" s="113"/>
      <c r="P2389" s="113"/>
      <c r="Q2389" s="113"/>
      <c r="R2389" s="113"/>
      <c r="S2389" s="113"/>
      <c r="T2389" s="113"/>
      <c r="U2389" s="113"/>
      <c r="V2389" s="113"/>
      <c r="W2389" s="113"/>
      <c r="X2389" s="113"/>
      <c r="Y2389" s="113"/>
      <c r="Z2389" s="113"/>
      <c r="AA2389" s="113"/>
      <c r="AB2389" s="113"/>
      <c r="AC2389" s="113"/>
      <c r="AD2389" s="113"/>
      <c r="AE2389" s="113"/>
      <c r="AF2389" s="113"/>
      <c r="AG2389" s="113"/>
      <c r="AH2389" s="113"/>
      <c r="AI2389" s="113"/>
      <c r="AJ2389" s="113"/>
      <c r="AK2389" s="113" t="s">
        <v>1113</v>
      </c>
      <c r="AL2389" s="113"/>
      <c r="AM2389" s="113"/>
      <c r="AN2389" s="113"/>
      <c r="AO2389" s="44" t="s">
        <v>2334</v>
      </c>
      <c r="AP2389" s="43"/>
      <c r="AQ2389" s="236" t="str">
        <f>VLOOKUP(Table8[[#This Row],[Instrument]],Def_Targets!$D$73:$E$159,2,FALSE)</f>
        <v>I_RE</v>
      </c>
      <c r="AR2389" s="233" t="str">
        <f>VLOOKUP(Table8[[#This Row],[Country Code]],Table29[],3,FALSE)</f>
        <v>Non-Annex I</v>
      </c>
      <c r="AS2389" s="233" t="str">
        <f>VLOOKUP(Table8[[#This Row],[Country Code]],Table29[],4,FALSE)</f>
        <v>Asia</v>
      </c>
      <c r="AT2389" s="233" t="str">
        <f>VLOOKUP(Table8[[#This Row],[Country Code]],Table29[],5,FALSE)</f>
        <v>Middle-income</v>
      </c>
      <c r="AU2389" s="233" t="str">
        <f>VLOOKUP(Table8[[#This Row],[Country Code]],Table29[],6,FALSE)</f>
        <v>no</v>
      </c>
      <c r="AV2389" s="233" t="str">
        <f>VLOOKUP(Table8[[#This Row],[Country Code]],Table29[],7,FALSE)</f>
        <v>no</v>
      </c>
      <c r="AW2389" s="233" t="str">
        <f>VLOOKUP(Table8[[#This Row],[Country Code]],Table29[],8,FALSE)</f>
        <v>non-OECD</v>
      </c>
      <c r="AX2389" s="233" t="str">
        <f>VLOOKUP(Table8[[#This Row],[Country Code]],Table29[],9,FALSE)</f>
        <v>no</v>
      </c>
      <c r="AY2389" s="233" t="str">
        <f>VLOOKUP(Table8[[#This Row],[Country Code]],Table29[],10,FALSE)</f>
        <v>no</v>
      </c>
      <c r="AZ2389" s="235">
        <f>VLOOKUP(Table8[[#This Row],[Country Code]],Table29[],23,FALSE)</f>
        <v>38.403849844142002</v>
      </c>
      <c r="BA2389" s="235">
        <f>VLOOKUP(Table8[[#This Row],[Country Code]],Table29[],24,FALSE)</f>
        <v>9.6330858743096854</v>
      </c>
      <c r="BB2389" s="320"/>
      <c r="BC2389" s="320"/>
    </row>
    <row r="2390" spans="1:55" ht="60" hidden="1" x14ac:dyDescent="0.25">
      <c r="A2390" s="373">
        <v>17750</v>
      </c>
      <c r="B2390" s="233" t="str">
        <f>VLOOKUP(Table8[[#This Row],[Document ID]],Table1[],2,FALSE)</f>
        <v>SWE</v>
      </c>
      <c r="C2390" s="233" t="str">
        <f>VLOOKUP(Table8[[#This Row],[Document ID]],Table1[],3,FALSE)</f>
        <v>Sweden</v>
      </c>
      <c r="D2390" s="243" t="str">
        <f>VLOOKUP(Table8[[#This Row],[Document ID]],Table1[],5,FALSE)</f>
        <v>LTS</v>
      </c>
      <c r="E2390" s="233" t="str">
        <f>VLOOKUP(Table8[[#This Row],[Document ID]],Table1[],7,FALSE)</f>
        <v>LTS</v>
      </c>
      <c r="F2390" s="233" t="str">
        <f>VLOOKUP(Table8[[#This Row],[Document ID]],Table1[],8,FALSE)</f>
        <v>LTS 1.0</v>
      </c>
      <c r="G2390" s="233" t="str">
        <f>VLOOKUP(Table8[[#This Row],[Document ID]],Table1[],10,FALSE)</f>
        <v>Active</v>
      </c>
      <c r="H2390" s="44" t="s">
        <v>2338</v>
      </c>
      <c r="I2390" s="44" t="s">
        <v>2339</v>
      </c>
      <c r="J2390" s="44" t="s">
        <v>2413</v>
      </c>
      <c r="K2390" s="44" t="s">
        <v>4506</v>
      </c>
      <c r="L2390" s="44" t="s">
        <v>2333</v>
      </c>
      <c r="M2390" s="43">
        <v>5</v>
      </c>
      <c r="N2390" s="113"/>
      <c r="O2390" s="113"/>
      <c r="P2390" s="113"/>
      <c r="Q2390" s="113"/>
      <c r="R2390" s="113"/>
      <c r="S2390" s="113"/>
      <c r="T2390" s="113"/>
      <c r="U2390" s="113" t="s">
        <v>1113</v>
      </c>
      <c r="V2390" s="113"/>
      <c r="W2390" s="113"/>
      <c r="X2390" s="113" t="s">
        <v>1113</v>
      </c>
      <c r="Y2390" s="113"/>
      <c r="Z2390" s="113"/>
      <c r="AA2390" s="113"/>
      <c r="AB2390" s="113"/>
      <c r="AC2390" s="113"/>
      <c r="AD2390" s="113"/>
      <c r="AE2390" s="113"/>
      <c r="AF2390" s="113"/>
      <c r="AG2390" s="113"/>
      <c r="AH2390" s="113"/>
      <c r="AI2390" s="113"/>
      <c r="AJ2390" s="113"/>
      <c r="AK2390" s="319" t="s">
        <v>1113</v>
      </c>
      <c r="AL2390" s="113"/>
      <c r="AM2390" s="113"/>
      <c r="AN2390" s="113"/>
      <c r="AO2390" s="44" t="s">
        <v>2334</v>
      </c>
      <c r="AP2390" s="43"/>
      <c r="AQ2390" s="236" t="str">
        <f>VLOOKUP(Table8[[#This Row],[Instrument]],Def_Targets!$D$73:$E$159,2,FALSE)</f>
        <v>I_Vehicleeff</v>
      </c>
      <c r="AR2390" s="233" t="str">
        <f>VLOOKUP(Table8[[#This Row],[Country Code]],Table29[],3,FALSE)</f>
        <v>Annex I</v>
      </c>
      <c r="AS2390" s="233" t="str">
        <f>VLOOKUP(Table8[[#This Row],[Country Code]],Table29[],4,FALSE)</f>
        <v>Europe</v>
      </c>
      <c r="AT2390" s="233" t="str">
        <f>VLOOKUP(Table8[[#This Row],[Country Code]],Table29[],5,FALSE)</f>
        <v>High-income</v>
      </c>
      <c r="AU2390" s="233" t="str">
        <f>VLOOKUP(Table8[[#This Row],[Country Code]],Table29[],6,FALSE)</f>
        <v>no</v>
      </c>
      <c r="AV2390" s="233" t="str">
        <f>VLOOKUP(Table8[[#This Row],[Country Code]],Table29[],7,FALSE)</f>
        <v>no</v>
      </c>
      <c r="AW2390" s="233" t="str">
        <f>VLOOKUP(Table8[[#This Row],[Country Code]],Table29[],8,FALSE)</f>
        <v>OECD</v>
      </c>
      <c r="AX2390" s="233" t="str">
        <f>VLOOKUP(Table8[[#This Row],[Country Code]],Table29[],9,FALSE)</f>
        <v>EU27</v>
      </c>
      <c r="AY2390" s="233" t="str">
        <f>VLOOKUP(Table8[[#This Row],[Country Code]],Table29[],10,FALSE)</f>
        <v>no</v>
      </c>
      <c r="AZ2390" s="235">
        <f>VLOOKUP(Table8[[#This Row],[Country Code]],Table29[],23,FALSE)</f>
        <v>49.118373633418003</v>
      </c>
      <c r="BA2390" s="235">
        <f>VLOOKUP(Table8[[#This Row],[Country Code]],Table29[],24,FALSE)</f>
        <v>13.502992277371289</v>
      </c>
      <c r="BB2390" s="320"/>
      <c r="BC2390" s="320"/>
    </row>
    <row r="2391" spans="1:55" ht="90" hidden="1" x14ac:dyDescent="0.25">
      <c r="A2391" s="373">
        <v>17750</v>
      </c>
      <c r="B2391" s="233" t="str">
        <f>VLOOKUP(Table8[[#This Row],[Document ID]],Table1[],2,FALSE)</f>
        <v>SWE</v>
      </c>
      <c r="C2391" s="233" t="str">
        <f>VLOOKUP(Table8[[#This Row],[Document ID]],Table1[],3,FALSE)</f>
        <v>Sweden</v>
      </c>
      <c r="D2391" s="243" t="str">
        <f>VLOOKUP(Table8[[#This Row],[Document ID]],Table1[],5,FALSE)</f>
        <v>LTS</v>
      </c>
      <c r="E2391" s="233" t="str">
        <f>VLOOKUP(Table8[[#This Row],[Document ID]],Table1[],7,FALSE)</f>
        <v>LTS</v>
      </c>
      <c r="F2391" s="233" t="str">
        <f>VLOOKUP(Table8[[#This Row],[Document ID]],Table1[],8,FALSE)</f>
        <v>LTS 1.0</v>
      </c>
      <c r="G2391" s="233" t="str">
        <f>VLOOKUP(Table8[[#This Row],[Document ID]],Table1[],10,FALSE)</f>
        <v>Active</v>
      </c>
      <c r="H2391" s="44" t="s">
        <v>2338</v>
      </c>
      <c r="I2391" s="44" t="s">
        <v>2339</v>
      </c>
      <c r="J2391" s="44" t="s">
        <v>2340</v>
      </c>
      <c r="K2391" s="44" t="s">
        <v>4507</v>
      </c>
      <c r="L2391" s="44" t="s">
        <v>2333</v>
      </c>
      <c r="M2391" s="43">
        <v>45</v>
      </c>
      <c r="N2391" s="113"/>
      <c r="O2391" s="113"/>
      <c r="P2391" s="113"/>
      <c r="Q2391" s="113"/>
      <c r="R2391" s="113"/>
      <c r="S2391" s="113"/>
      <c r="T2391" s="113"/>
      <c r="U2391" s="113" t="s">
        <v>1113</v>
      </c>
      <c r="V2391" s="113"/>
      <c r="W2391" s="113"/>
      <c r="X2391" s="113"/>
      <c r="Y2391" s="113"/>
      <c r="Z2391" s="113"/>
      <c r="AA2391" s="113"/>
      <c r="AB2391" s="113"/>
      <c r="AC2391" s="113"/>
      <c r="AD2391" s="113" t="s">
        <v>1113</v>
      </c>
      <c r="AE2391" s="113"/>
      <c r="AF2391" s="113"/>
      <c r="AG2391" s="113"/>
      <c r="AH2391" s="113"/>
      <c r="AI2391" s="113"/>
      <c r="AJ2391" s="113"/>
      <c r="AK2391" s="319" t="s">
        <v>1113</v>
      </c>
      <c r="AL2391" s="113"/>
      <c r="AM2391" s="113"/>
      <c r="AN2391" s="113"/>
      <c r="AO2391" s="44" t="s">
        <v>2334</v>
      </c>
      <c r="AP2391" s="43"/>
      <c r="AQ2391" s="236" t="str">
        <f>VLOOKUP(Table8[[#This Row],[Instrument]],Def_Targets!$D$73:$E$159,2,FALSE)</f>
        <v>I_Vehicleimprove</v>
      </c>
      <c r="AR2391" s="233" t="str">
        <f>VLOOKUP(Table8[[#This Row],[Country Code]],Table29[],3,FALSE)</f>
        <v>Annex I</v>
      </c>
      <c r="AS2391" s="233" t="str">
        <f>VLOOKUP(Table8[[#This Row],[Country Code]],Table29[],4,FALSE)</f>
        <v>Europe</v>
      </c>
      <c r="AT2391" s="233" t="str">
        <f>VLOOKUP(Table8[[#This Row],[Country Code]],Table29[],5,FALSE)</f>
        <v>High-income</v>
      </c>
      <c r="AU2391" s="233" t="str">
        <f>VLOOKUP(Table8[[#This Row],[Country Code]],Table29[],6,FALSE)</f>
        <v>no</v>
      </c>
      <c r="AV2391" s="233" t="str">
        <f>VLOOKUP(Table8[[#This Row],[Country Code]],Table29[],7,FALSE)</f>
        <v>no</v>
      </c>
      <c r="AW2391" s="233" t="str">
        <f>VLOOKUP(Table8[[#This Row],[Country Code]],Table29[],8,FALSE)</f>
        <v>OECD</v>
      </c>
      <c r="AX2391" s="233" t="str">
        <f>VLOOKUP(Table8[[#This Row],[Country Code]],Table29[],9,FALSE)</f>
        <v>EU27</v>
      </c>
      <c r="AY2391" s="233" t="str">
        <f>VLOOKUP(Table8[[#This Row],[Country Code]],Table29[],10,FALSE)</f>
        <v>no</v>
      </c>
      <c r="AZ2391" s="235">
        <f>VLOOKUP(Table8[[#This Row],[Country Code]],Table29[],23,FALSE)</f>
        <v>49.118373633418003</v>
      </c>
      <c r="BA2391" s="235">
        <f>VLOOKUP(Table8[[#This Row],[Country Code]],Table29[],24,FALSE)</f>
        <v>13.502992277371289</v>
      </c>
      <c r="BB2391" s="320"/>
      <c r="BC2391" s="320"/>
    </row>
    <row r="2392" spans="1:55" ht="45" hidden="1" x14ac:dyDescent="0.25">
      <c r="A2392" s="373">
        <v>17750</v>
      </c>
      <c r="B2392" s="233" t="str">
        <f>VLOOKUP(Table8[[#This Row],[Document ID]],Table1[],2,FALSE)</f>
        <v>SWE</v>
      </c>
      <c r="C2392" s="233" t="str">
        <f>VLOOKUP(Table8[[#This Row],[Document ID]],Table1[],3,FALSE)</f>
        <v>Sweden</v>
      </c>
      <c r="D2392" s="243" t="str">
        <f>VLOOKUP(Table8[[#This Row],[Document ID]],Table1[],5,FALSE)</f>
        <v>LTS</v>
      </c>
      <c r="E2392" s="233" t="str">
        <f>VLOOKUP(Table8[[#This Row],[Document ID]],Table1[],7,FALSE)</f>
        <v>LTS</v>
      </c>
      <c r="F2392" s="233" t="str">
        <f>VLOOKUP(Table8[[#This Row],[Document ID]],Table1[],8,FALSE)</f>
        <v>LTS 1.0</v>
      </c>
      <c r="G2392" s="233" t="str">
        <f>VLOOKUP(Table8[[#This Row],[Document ID]],Table1[],10,FALSE)</f>
        <v>Active</v>
      </c>
      <c r="H2392" s="44" t="s">
        <v>2329</v>
      </c>
      <c r="I2392" s="44" t="s">
        <v>2330</v>
      </c>
      <c r="J2392" s="44" t="s">
        <v>2331</v>
      </c>
      <c r="K2392" s="44" t="s">
        <v>4508</v>
      </c>
      <c r="L2392" s="44" t="s">
        <v>2333</v>
      </c>
      <c r="M2392" s="43" t="s">
        <v>4509</v>
      </c>
      <c r="N2392" s="113" t="s">
        <v>1113</v>
      </c>
      <c r="O2392" s="113"/>
      <c r="P2392" s="113"/>
      <c r="Q2392" s="113"/>
      <c r="R2392" s="113"/>
      <c r="S2392" s="113"/>
      <c r="T2392" s="113"/>
      <c r="U2392" s="113"/>
      <c r="V2392" s="113"/>
      <c r="W2392" s="113"/>
      <c r="X2392" s="113"/>
      <c r="Y2392" s="113"/>
      <c r="Z2392" s="113"/>
      <c r="AA2392" s="113"/>
      <c r="AB2392" s="113"/>
      <c r="AC2392" s="113"/>
      <c r="AD2392" s="113"/>
      <c r="AE2392" s="113"/>
      <c r="AF2392" s="113"/>
      <c r="AG2392" s="113"/>
      <c r="AH2392" s="113"/>
      <c r="AI2392" s="113"/>
      <c r="AJ2392" s="113"/>
      <c r="AK2392" s="319" t="s">
        <v>1113</v>
      </c>
      <c r="AL2392" s="113"/>
      <c r="AM2392" s="113"/>
      <c r="AN2392" s="113"/>
      <c r="AO2392" s="44" t="s">
        <v>2334</v>
      </c>
      <c r="AP2392" s="43"/>
      <c r="AQ2392" s="236" t="str">
        <f>VLOOKUP(Table8[[#This Row],[Instrument]],Def_Targets!$D$73:$E$159,2,FALSE)</f>
        <v>I_Altfuels</v>
      </c>
      <c r="AR2392" s="233" t="str">
        <f>VLOOKUP(Table8[[#This Row],[Country Code]],Table29[],3,FALSE)</f>
        <v>Annex I</v>
      </c>
      <c r="AS2392" s="233" t="str">
        <f>VLOOKUP(Table8[[#This Row],[Country Code]],Table29[],4,FALSE)</f>
        <v>Europe</v>
      </c>
      <c r="AT2392" s="233" t="str">
        <f>VLOOKUP(Table8[[#This Row],[Country Code]],Table29[],5,FALSE)</f>
        <v>High-income</v>
      </c>
      <c r="AU2392" s="233" t="str">
        <f>VLOOKUP(Table8[[#This Row],[Country Code]],Table29[],6,FALSE)</f>
        <v>no</v>
      </c>
      <c r="AV2392" s="233" t="str">
        <f>VLOOKUP(Table8[[#This Row],[Country Code]],Table29[],7,FALSE)</f>
        <v>no</v>
      </c>
      <c r="AW2392" s="233" t="str">
        <f>VLOOKUP(Table8[[#This Row],[Country Code]],Table29[],8,FALSE)</f>
        <v>OECD</v>
      </c>
      <c r="AX2392" s="233" t="str">
        <f>VLOOKUP(Table8[[#This Row],[Country Code]],Table29[],9,FALSE)</f>
        <v>EU27</v>
      </c>
      <c r="AY2392" s="233" t="str">
        <f>VLOOKUP(Table8[[#This Row],[Country Code]],Table29[],10,FALSE)</f>
        <v>no</v>
      </c>
      <c r="AZ2392" s="235">
        <f>VLOOKUP(Table8[[#This Row],[Country Code]],Table29[],23,FALSE)</f>
        <v>49.118373633418003</v>
      </c>
      <c r="BA2392" s="235">
        <f>VLOOKUP(Table8[[#This Row],[Country Code]],Table29[],24,FALSE)</f>
        <v>13.502992277371289</v>
      </c>
      <c r="BB2392" s="320"/>
      <c r="BC2392" s="320"/>
    </row>
    <row r="2393" spans="1:55" ht="120" hidden="1" x14ac:dyDescent="0.25">
      <c r="A2393" s="373">
        <v>17750</v>
      </c>
      <c r="B2393" s="233" t="str">
        <f>VLOOKUP(Table8[[#This Row],[Document ID]],Table1[],2,FALSE)</f>
        <v>SWE</v>
      </c>
      <c r="C2393" s="233" t="str">
        <f>VLOOKUP(Table8[[#This Row],[Document ID]],Table1[],3,FALSE)</f>
        <v>Sweden</v>
      </c>
      <c r="D2393" s="243" t="str">
        <f>VLOOKUP(Table8[[#This Row],[Document ID]],Table1[],5,FALSE)</f>
        <v>LTS</v>
      </c>
      <c r="E2393" s="233" t="str">
        <f>VLOOKUP(Table8[[#This Row],[Document ID]],Table1[],7,FALSE)</f>
        <v>LTS</v>
      </c>
      <c r="F2393" s="233" t="str">
        <f>VLOOKUP(Table8[[#This Row],[Document ID]],Table1[],8,FALSE)</f>
        <v>LTS 1.0</v>
      </c>
      <c r="G2393" s="233" t="str">
        <f>VLOOKUP(Table8[[#This Row],[Document ID]],Table1[],10,FALSE)</f>
        <v>Active</v>
      </c>
      <c r="H2393" s="43" t="s">
        <v>2343</v>
      </c>
      <c r="I2393" s="43" t="s">
        <v>2386</v>
      </c>
      <c r="J2393" s="44" t="s">
        <v>2530</v>
      </c>
      <c r="K2393" s="44" t="s">
        <v>4510</v>
      </c>
      <c r="L2393" s="44" t="s">
        <v>2333</v>
      </c>
      <c r="M2393" s="43">
        <v>50</v>
      </c>
      <c r="N2393" s="113"/>
      <c r="O2393" s="113"/>
      <c r="P2393" s="113"/>
      <c r="Q2393" s="113"/>
      <c r="R2393" s="113"/>
      <c r="S2393" s="113"/>
      <c r="T2393" s="113"/>
      <c r="U2393" s="113" t="s">
        <v>1113</v>
      </c>
      <c r="V2393" s="113"/>
      <c r="W2393" s="113"/>
      <c r="X2393" s="113"/>
      <c r="Y2393" s="113"/>
      <c r="Z2393" s="113"/>
      <c r="AA2393" s="113"/>
      <c r="AB2393" s="113"/>
      <c r="AC2393" s="113"/>
      <c r="AD2393" s="113"/>
      <c r="AE2393" s="113"/>
      <c r="AF2393" s="113"/>
      <c r="AG2393" s="113"/>
      <c r="AH2393" s="113"/>
      <c r="AI2393" s="113"/>
      <c r="AJ2393" s="113"/>
      <c r="AK2393" s="319" t="s">
        <v>1113</v>
      </c>
      <c r="AL2393" s="113"/>
      <c r="AM2393" s="113"/>
      <c r="AN2393" s="113"/>
      <c r="AO2393" s="43" t="s">
        <v>2348</v>
      </c>
      <c r="AP2393" s="43"/>
      <c r="AQ2393" s="236" t="str">
        <f>VLOOKUP(Table8[[#This Row],[Instrument]],Def_Targets!$D$73:$E$159,2,FALSE)</f>
        <v>A_Vehicletax</v>
      </c>
      <c r="AR2393" s="233" t="str">
        <f>VLOOKUP(Table8[[#This Row],[Country Code]],Table29[],3,FALSE)</f>
        <v>Annex I</v>
      </c>
      <c r="AS2393" s="233" t="str">
        <f>VLOOKUP(Table8[[#This Row],[Country Code]],Table29[],4,FALSE)</f>
        <v>Europe</v>
      </c>
      <c r="AT2393" s="233" t="str">
        <f>VLOOKUP(Table8[[#This Row],[Country Code]],Table29[],5,FALSE)</f>
        <v>High-income</v>
      </c>
      <c r="AU2393" s="233" t="str">
        <f>VLOOKUP(Table8[[#This Row],[Country Code]],Table29[],6,FALSE)</f>
        <v>no</v>
      </c>
      <c r="AV2393" s="233" t="str">
        <f>VLOOKUP(Table8[[#This Row],[Country Code]],Table29[],7,FALSE)</f>
        <v>no</v>
      </c>
      <c r="AW2393" s="233" t="str">
        <f>VLOOKUP(Table8[[#This Row],[Country Code]],Table29[],8,FALSE)</f>
        <v>OECD</v>
      </c>
      <c r="AX2393" s="233" t="str">
        <f>VLOOKUP(Table8[[#This Row],[Country Code]],Table29[],9,FALSE)</f>
        <v>EU27</v>
      </c>
      <c r="AY2393" s="233" t="str">
        <f>VLOOKUP(Table8[[#This Row],[Country Code]],Table29[],10,FALSE)</f>
        <v>no</v>
      </c>
      <c r="AZ2393" s="235">
        <f>VLOOKUP(Table8[[#This Row],[Country Code]],Table29[],23,FALSE)</f>
        <v>49.118373633418003</v>
      </c>
      <c r="BA2393" s="235">
        <f>VLOOKUP(Table8[[#This Row],[Country Code]],Table29[],24,FALSE)</f>
        <v>13.502992277371289</v>
      </c>
      <c r="BB2393" s="320"/>
      <c r="BC2393" s="320"/>
    </row>
    <row r="2394" spans="1:55" ht="135" hidden="1" x14ac:dyDescent="0.25">
      <c r="A2394" s="373">
        <v>17750</v>
      </c>
      <c r="B2394" s="233" t="str">
        <f>VLOOKUP(Table8[[#This Row],[Document ID]],Table1[],2,FALSE)</f>
        <v>SWE</v>
      </c>
      <c r="C2394" s="233" t="str">
        <f>VLOOKUP(Table8[[#This Row],[Document ID]],Table1[],3,FALSE)</f>
        <v>Sweden</v>
      </c>
      <c r="D2394" s="243" t="str">
        <f>VLOOKUP(Table8[[#This Row],[Document ID]],Table1[],5,FALSE)</f>
        <v>LTS</v>
      </c>
      <c r="E2394" s="233" t="str">
        <f>VLOOKUP(Table8[[#This Row],[Document ID]],Table1[],7,FALSE)</f>
        <v>LTS</v>
      </c>
      <c r="F2394" s="233" t="str">
        <f>VLOOKUP(Table8[[#This Row],[Document ID]],Table1[],8,FALSE)</f>
        <v>LTS 1.0</v>
      </c>
      <c r="G2394" s="233" t="str">
        <f>VLOOKUP(Table8[[#This Row],[Document ID]],Table1[],10,FALSE)</f>
        <v>Active</v>
      </c>
      <c r="H2394" s="43" t="s">
        <v>2343</v>
      </c>
      <c r="I2394" s="43" t="s">
        <v>2386</v>
      </c>
      <c r="J2394" s="44" t="s">
        <v>2530</v>
      </c>
      <c r="K2394" s="44" t="s">
        <v>4511</v>
      </c>
      <c r="L2394" s="44" t="s">
        <v>2333</v>
      </c>
      <c r="M2394" s="43">
        <v>50</v>
      </c>
      <c r="N2394" s="113"/>
      <c r="O2394" s="113"/>
      <c r="P2394" s="113"/>
      <c r="Q2394" s="113"/>
      <c r="R2394" s="113"/>
      <c r="S2394" s="113"/>
      <c r="T2394" s="113"/>
      <c r="U2394" s="113" t="s">
        <v>1113</v>
      </c>
      <c r="V2394" s="113"/>
      <c r="W2394" s="113"/>
      <c r="X2394" s="113"/>
      <c r="Y2394" s="113"/>
      <c r="Z2394" s="113"/>
      <c r="AA2394" s="113"/>
      <c r="AB2394" s="113"/>
      <c r="AC2394" s="113"/>
      <c r="AD2394" s="113"/>
      <c r="AE2394" s="113"/>
      <c r="AF2394" s="113"/>
      <c r="AG2394" s="113"/>
      <c r="AH2394" s="113"/>
      <c r="AI2394" s="113"/>
      <c r="AJ2394" s="113"/>
      <c r="AK2394" s="319" t="s">
        <v>1113</v>
      </c>
      <c r="AL2394" s="113"/>
      <c r="AM2394" s="113"/>
      <c r="AN2394" s="113"/>
      <c r="AO2394" s="44" t="s">
        <v>2334</v>
      </c>
      <c r="AP2394" s="43"/>
      <c r="AQ2394" s="236" t="str">
        <f>VLOOKUP(Table8[[#This Row],[Instrument]],Def_Targets!$D$73:$E$159,2,FALSE)</f>
        <v>A_Vehicletax</v>
      </c>
      <c r="AR2394" s="233" t="str">
        <f>VLOOKUP(Table8[[#This Row],[Country Code]],Table29[],3,FALSE)</f>
        <v>Annex I</v>
      </c>
      <c r="AS2394" s="233" t="str">
        <f>VLOOKUP(Table8[[#This Row],[Country Code]],Table29[],4,FALSE)</f>
        <v>Europe</v>
      </c>
      <c r="AT2394" s="233" t="str">
        <f>VLOOKUP(Table8[[#This Row],[Country Code]],Table29[],5,FALSE)</f>
        <v>High-income</v>
      </c>
      <c r="AU2394" s="233" t="str">
        <f>VLOOKUP(Table8[[#This Row],[Country Code]],Table29[],6,FALSE)</f>
        <v>no</v>
      </c>
      <c r="AV2394" s="233" t="str">
        <f>VLOOKUP(Table8[[#This Row],[Country Code]],Table29[],7,FALSE)</f>
        <v>no</v>
      </c>
      <c r="AW2394" s="233" t="str">
        <f>VLOOKUP(Table8[[#This Row],[Country Code]],Table29[],8,FALSE)</f>
        <v>OECD</v>
      </c>
      <c r="AX2394" s="233" t="str">
        <f>VLOOKUP(Table8[[#This Row],[Country Code]],Table29[],9,FALSE)</f>
        <v>EU27</v>
      </c>
      <c r="AY2394" s="233" t="str">
        <f>VLOOKUP(Table8[[#This Row],[Country Code]],Table29[],10,FALSE)</f>
        <v>no</v>
      </c>
      <c r="AZ2394" s="235">
        <f>VLOOKUP(Table8[[#This Row],[Country Code]],Table29[],23,FALSE)</f>
        <v>49.118373633418003</v>
      </c>
      <c r="BA2394" s="235">
        <f>VLOOKUP(Table8[[#This Row],[Country Code]],Table29[],24,FALSE)</f>
        <v>13.502992277371289</v>
      </c>
      <c r="BB2394" s="320"/>
      <c r="BC2394" s="320"/>
    </row>
    <row r="2395" spans="1:55" ht="105" hidden="1" x14ac:dyDescent="0.25">
      <c r="A2395" s="373">
        <v>17750</v>
      </c>
      <c r="B2395" s="233" t="str">
        <f>VLOOKUP(Table8[[#This Row],[Document ID]],Table1[],2,FALSE)</f>
        <v>SWE</v>
      </c>
      <c r="C2395" s="233" t="str">
        <f>VLOOKUP(Table8[[#This Row],[Document ID]],Table1[],3,FALSE)</f>
        <v>Sweden</v>
      </c>
      <c r="D2395" s="243" t="str">
        <f>VLOOKUP(Table8[[#This Row],[Document ID]],Table1[],5,FALSE)</f>
        <v>LTS</v>
      </c>
      <c r="E2395" s="233" t="str">
        <f>VLOOKUP(Table8[[#This Row],[Document ID]],Table1[],7,FALSE)</f>
        <v>LTS</v>
      </c>
      <c r="F2395" s="233" t="str">
        <f>VLOOKUP(Table8[[#This Row],[Document ID]],Table1[],8,FALSE)</f>
        <v>LTS 1.0</v>
      </c>
      <c r="G2395" s="233" t="str">
        <f>VLOOKUP(Table8[[#This Row],[Document ID]],Table1[],10,FALSE)</f>
        <v>Active</v>
      </c>
      <c r="H2395" s="43" t="s">
        <v>2343</v>
      </c>
      <c r="I2395" s="43" t="s">
        <v>2386</v>
      </c>
      <c r="J2395" s="44" t="s">
        <v>2530</v>
      </c>
      <c r="K2395" s="44" t="s">
        <v>4512</v>
      </c>
      <c r="L2395" s="44" t="s">
        <v>2333</v>
      </c>
      <c r="M2395" s="43">
        <v>50</v>
      </c>
      <c r="N2395" s="113"/>
      <c r="O2395" s="113"/>
      <c r="P2395" s="113"/>
      <c r="Q2395" s="113"/>
      <c r="R2395" s="113"/>
      <c r="S2395" s="113"/>
      <c r="T2395" s="113"/>
      <c r="U2395" s="113" t="s">
        <v>1113</v>
      </c>
      <c r="V2395" s="113"/>
      <c r="W2395" s="113"/>
      <c r="X2395" s="113"/>
      <c r="Y2395" s="113"/>
      <c r="Z2395" s="113"/>
      <c r="AA2395" s="113"/>
      <c r="AB2395" s="113"/>
      <c r="AC2395" s="113"/>
      <c r="AD2395" s="113"/>
      <c r="AE2395" s="113"/>
      <c r="AF2395" s="113"/>
      <c r="AG2395" s="113"/>
      <c r="AH2395" s="113"/>
      <c r="AI2395" s="113"/>
      <c r="AJ2395" s="113"/>
      <c r="AK2395" s="319" t="s">
        <v>1113</v>
      </c>
      <c r="AL2395" s="113"/>
      <c r="AM2395" s="113"/>
      <c r="AN2395" s="113"/>
      <c r="AO2395" s="44" t="s">
        <v>2334</v>
      </c>
      <c r="AP2395" s="43"/>
      <c r="AQ2395" s="236" t="str">
        <f>VLOOKUP(Table8[[#This Row],[Instrument]],Def_Targets!$D$73:$E$159,2,FALSE)</f>
        <v>A_Vehicletax</v>
      </c>
      <c r="AR2395" s="233" t="str">
        <f>VLOOKUP(Table8[[#This Row],[Country Code]],Table29[],3,FALSE)</f>
        <v>Annex I</v>
      </c>
      <c r="AS2395" s="233" t="str">
        <f>VLOOKUP(Table8[[#This Row],[Country Code]],Table29[],4,FALSE)</f>
        <v>Europe</v>
      </c>
      <c r="AT2395" s="233" t="str">
        <f>VLOOKUP(Table8[[#This Row],[Country Code]],Table29[],5,FALSE)</f>
        <v>High-income</v>
      </c>
      <c r="AU2395" s="233" t="str">
        <f>VLOOKUP(Table8[[#This Row],[Country Code]],Table29[],6,FALSE)</f>
        <v>no</v>
      </c>
      <c r="AV2395" s="233" t="str">
        <f>VLOOKUP(Table8[[#This Row],[Country Code]],Table29[],7,FALSE)</f>
        <v>no</v>
      </c>
      <c r="AW2395" s="233" t="str">
        <f>VLOOKUP(Table8[[#This Row],[Country Code]],Table29[],8,FALSE)</f>
        <v>OECD</v>
      </c>
      <c r="AX2395" s="233" t="str">
        <f>VLOOKUP(Table8[[#This Row],[Country Code]],Table29[],9,FALSE)</f>
        <v>EU27</v>
      </c>
      <c r="AY2395" s="233" t="str">
        <f>VLOOKUP(Table8[[#This Row],[Country Code]],Table29[],10,FALSE)</f>
        <v>no</v>
      </c>
      <c r="AZ2395" s="235">
        <f>VLOOKUP(Table8[[#This Row],[Country Code]],Table29[],23,FALSE)</f>
        <v>49.118373633418003</v>
      </c>
      <c r="BA2395" s="235">
        <f>VLOOKUP(Table8[[#This Row],[Country Code]],Table29[],24,FALSE)</f>
        <v>13.502992277371289</v>
      </c>
      <c r="BB2395" s="320"/>
      <c r="BC2395" s="320"/>
    </row>
    <row r="2396" spans="1:55" ht="90" hidden="1" x14ac:dyDescent="0.25">
      <c r="A2396" s="373">
        <v>17750</v>
      </c>
      <c r="B2396" s="233" t="str">
        <f>VLOOKUP(Table8[[#This Row],[Document ID]],Table1[],2,FALSE)</f>
        <v>SWE</v>
      </c>
      <c r="C2396" s="233" t="str">
        <f>VLOOKUP(Table8[[#This Row],[Document ID]],Table1[],3,FALSE)</f>
        <v>Sweden</v>
      </c>
      <c r="D2396" s="243" t="str">
        <f>VLOOKUP(Table8[[#This Row],[Document ID]],Table1[],5,FALSE)</f>
        <v>LTS</v>
      </c>
      <c r="E2396" s="233" t="str">
        <f>VLOOKUP(Table8[[#This Row],[Document ID]],Table1[],7,FALSE)</f>
        <v>LTS</v>
      </c>
      <c r="F2396" s="233" t="str">
        <f>VLOOKUP(Table8[[#This Row],[Document ID]],Table1[],8,FALSE)</f>
        <v>LTS 1.0</v>
      </c>
      <c r="G2396" s="233" t="str">
        <f>VLOOKUP(Table8[[#This Row],[Document ID]],Table1[],10,FALSE)</f>
        <v>Active</v>
      </c>
      <c r="H2396" s="43" t="s">
        <v>2343</v>
      </c>
      <c r="I2396" s="43" t="s">
        <v>2386</v>
      </c>
      <c r="J2396" s="44" t="s">
        <v>2397</v>
      </c>
      <c r="K2396" s="44" t="s">
        <v>4513</v>
      </c>
      <c r="L2396" s="44" t="s">
        <v>2396</v>
      </c>
      <c r="M2396" s="43">
        <v>47</v>
      </c>
      <c r="N2396" s="113" t="s">
        <v>1113</v>
      </c>
      <c r="O2396" s="113"/>
      <c r="P2396" s="113"/>
      <c r="Q2396" s="113"/>
      <c r="R2396" s="113"/>
      <c r="S2396" s="113"/>
      <c r="T2396" s="113"/>
      <c r="U2396" s="113"/>
      <c r="V2396" s="113"/>
      <c r="W2396" s="113"/>
      <c r="X2396" s="113"/>
      <c r="Y2396" s="113"/>
      <c r="Z2396" s="113"/>
      <c r="AA2396" s="113"/>
      <c r="AB2396" s="113"/>
      <c r="AC2396" s="113"/>
      <c r="AD2396" s="113"/>
      <c r="AE2396" s="113"/>
      <c r="AF2396" s="113"/>
      <c r="AG2396" s="113"/>
      <c r="AH2396" s="113"/>
      <c r="AI2396" s="113"/>
      <c r="AJ2396" s="113"/>
      <c r="AK2396" s="319" t="s">
        <v>1113</v>
      </c>
      <c r="AL2396" s="113"/>
      <c r="AM2396" s="113"/>
      <c r="AN2396" s="113"/>
      <c r="AO2396" s="44" t="s">
        <v>2334</v>
      </c>
      <c r="AP2396" s="43"/>
      <c r="AQ2396" s="236" t="str">
        <f>VLOOKUP(Table8[[#This Row],[Instrument]],Def_Targets!$D$73:$E$159,2,FALSE)</f>
        <v>A_Finance</v>
      </c>
      <c r="AR2396" s="233" t="str">
        <f>VLOOKUP(Table8[[#This Row],[Country Code]],Table29[],3,FALSE)</f>
        <v>Annex I</v>
      </c>
      <c r="AS2396" s="233" t="str">
        <f>VLOOKUP(Table8[[#This Row],[Country Code]],Table29[],4,FALSE)</f>
        <v>Europe</v>
      </c>
      <c r="AT2396" s="233" t="str">
        <f>VLOOKUP(Table8[[#This Row],[Country Code]],Table29[],5,FALSE)</f>
        <v>High-income</v>
      </c>
      <c r="AU2396" s="233" t="str">
        <f>VLOOKUP(Table8[[#This Row],[Country Code]],Table29[],6,FALSE)</f>
        <v>no</v>
      </c>
      <c r="AV2396" s="233" t="str">
        <f>VLOOKUP(Table8[[#This Row],[Country Code]],Table29[],7,FALSE)</f>
        <v>no</v>
      </c>
      <c r="AW2396" s="233" t="str">
        <f>VLOOKUP(Table8[[#This Row],[Country Code]],Table29[],8,FALSE)</f>
        <v>OECD</v>
      </c>
      <c r="AX2396" s="233" t="str">
        <f>VLOOKUP(Table8[[#This Row],[Country Code]],Table29[],9,FALSE)</f>
        <v>EU27</v>
      </c>
      <c r="AY2396" s="233" t="str">
        <f>VLOOKUP(Table8[[#This Row],[Country Code]],Table29[],10,FALSE)</f>
        <v>no</v>
      </c>
      <c r="AZ2396" s="235">
        <f>VLOOKUP(Table8[[#This Row],[Country Code]],Table29[],23,FALSE)</f>
        <v>49.118373633418003</v>
      </c>
      <c r="BA2396" s="235">
        <f>VLOOKUP(Table8[[#This Row],[Country Code]],Table29[],24,FALSE)</f>
        <v>13.502992277371289</v>
      </c>
      <c r="BB2396" s="320"/>
      <c r="BC2396" s="320"/>
    </row>
    <row r="2397" spans="1:55" ht="195" hidden="1" x14ac:dyDescent="0.25">
      <c r="A2397" s="373">
        <v>17750</v>
      </c>
      <c r="B2397" s="233" t="str">
        <f>VLOOKUP(Table8[[#This Row],[Document ID]],Table1[],2,FALSE)</f>
        <v>SWE</v>
      </c>
      <c r="C2397" s="233" t="str">
        <f>VLOOKUP(Table8[[#This Row],[Document ID]],Table1[],3,FALSE)</f>
        <v>Sweden</v>
      </c>
      <c r="D2397" s="243" t="str">
        <f>VLOOKUP(Table8[[#This Row],[Document ID]],Table1[],5,FALSE)</f>
        <v>LTS</v>
      </c>
      <c r="E2397" s="233" t="str">
        <f>VLOOKUP(Table8[[#This Row],[Document ID]],Table1[],7,FALSE)</f>
        <v>LTS</v>
      </c>
      <c r="F2397" s="233" t="str">
        <f>VLOOKUP(Table8[[#This Row],[Document ID]],Table1[],8,FALSE)</f>
        <v>LTS 1.0</v>
      </c>
      <c r="G2397" s="233" t="str">
        <f>VLOOKUP(Table8[[#This Row],[Document ID]],Table1[],10,FALSE)</f>
        <v>Active</v>
      </c>
      <c r="H2397" s="43" t="s">
        <v>2358</v>
      </c>
      <c r="I2397" s="43" t="s">
        <v>2359</v>
      </c>
      <c r="J2397" s="44" t="s">
        <v>2389</v>
      </c>
      <c r="K2397" s="44" t="s">
        <v>4514</v>
      </c>
      <c r="L2397" s="44" t="s">
        <v>2333</v>
      </c>
      <c r="M2397" s="43">
        <v>51</v>
      </c>
      <c r="N2397" s="113"/>
      <c r="O2397" s="113"/>
      <c r="P2397" s="113"/>
      <c r="Q2397" s="113"/>
      <c r="R2397" s="113"/>
      <c r="S2397" s="113"/>
      <c r="T2397" s="113"/>
      <c r="U2397" s="113"/>
      <c r="V2397" s="113"/>
      <c r="W2397" s="113"/>
      <c r="X2397" s="113"/>
      <c r="Y2397" s="113" t="s">
        <v>1113</v>
      </c>
      <c r="Z2397" s="113"/>
      <c r="AA2397" s="113"/>
      <c r="AB2397" s="113"/>
      <c r="AC2397" s="113"/>
      <c r="AD2397" s="113"/>
      <c r="AE2397" s="113"/>
      <c r="AF2397" s="113"/>
      <c r="AG2397" s="113"/>
      <c r="AH2397" s="113"/>
      <c r="AI2397" s="113"/>
      <c r="AJ2397" s="113"/>
      <c r="AK2397" s="319" t="s">
        <v>1113</v>
      </c>
      <c r="AL2397" s="113"/>
      <c r="AM2397" s="113"/>
      <c r="AN2397" s="113"/>
      <c r="AO2397" s="43" t="s">
        <v>2348</v>
      </c>
      <c r="AP2397" s="43"/>
      <c r="AQ2397" s="236" t="str">
        <f>VLOOKUP(Table8[[#This Row],[Instrument]],Def_Targets!$D$73:$E$159,2,FALSE)</f>
        <v>I_Emobilitypurchase</v>
      </c>
      <c r="AR2397" s="233" t="str">
        <f>VLOOKUP(Table8[[#This Row],[Country Code]],Table29[],3,FALSE)</f>
        <v>Annex I</v>
      </c>
      <c r="AS2397" s="233" t="str">
        <f>VLOOKUP(Table8[[#This Row],[Country Code]],Table29[],4,FALSE)</f>
        <v>Europe</v>
      </c>
      <c r="AT2397" s="233" t="str">
        <f>VLOOKUP(Table8[[#This Row],[Country Code]],Table29[],5,FALSE)</f>
        <v>High-income</v>
      </c>
      <c r="AU2397" s="233" t="str">
        <f>VLOOKUP(Table8[[#This Row],[Country Code]],Table29[],6,FALSE)</f>
        <v>no</v>
      </c>
      <c r="AV2397" s="233" t="str">
        <f>VLOOKUP(Table8[[#This Row],[Country Code]],Table29[],7,FALSE)</f>
        <v>no</v>
      </c>
      <c r="AW2397" s="233" t="str">
        <f>VLOOKUP(Table8[[#This Row],[Country Code]],Table29[],8,FALSE)</f>
        <v>OECD</v>
      </c>
      <c r="AX2397" s="233" t="str">
        <f>VLOOKUP(Table8[[#This Row],[Country Code]],Table29[],9,FALSE)</f>
        <v>EU27</v>
      </c>
      <c r="AY2397" s="233" t="str">
        <f>VLOOKUP(Table8[[#This Row],[Country Code]],Table29[],10,FALSE)</f>
        <v>no</v>
      </c>
      <c r="AZ2397" s="235">
        <f>VLOOKUP(Table8[[#This Row],[Country Code]],Table29[],23,FALSE)</f>
        <v>49.118373633418003</v>
      </c>
      <c r="BA2397" s="235">
        <f>VLOOKUP(Table8[[#This Row],[Country Code]],Table29[],24,FALSE)</f>
        <v>13.502992277371289</v>
      </c>
      <c r="BB2397" s="320"/>
      <c r="BC2397" s="320"/>
    </row>
    <row r="2398" spans="1:55" hidden="1" x14ac:dyDescent="0.25">
      <c r="A2398" s="373">
        <v>17750</v>
      </c>
      <c r="B2398" s="233" t="str">
        <f>VLOOKUP(Table8[[#This Row],[Document ID]],Table1[],2,FALSE)</f>
        <v>SWE</v>
      </c>
      <c r="C2398" s="233" t="str">
        <f>VLOOKUP(Table8[[#This Row],[Document ID]],Table1[],3,FALSE)</f>
        <v>Sweden</v>
      </c>
      <c r="D2398" s="243" t="str">
        <f>VLOOKUP(Table8[[#This Row],[Document ID]],Table1[],5,FALSE)</f>
        <v>LTS</v>
      </c>
      <c r="E2398" s="233" t="str">
        <f>VLOOKUP(Table8[[#This Row],[Document ID]],Table1[],7,FALSE)</f>
        <v>LTS</v>
      </c>
      <c r="F2398" s="233" t="str">
        <f>VLOOKUP(Table8[[#This Row],[Document ID]],Table1[],8,FALSE)</f>
        <v>LTS 1.0</v>
      </c>
      <c r="G2398" s="233" t="str">
        <f>VLOOKUP(Table8[[#This Row],[Document ID]],Table1[],10,FALSE)</f>
        <v>Active</v>
      </c>
      <c r="H2398" s="44" t="s">
        <v>2329</v>
      </c>
      <c r="I2398" s="44" t="s">
        <v>2330</v>
      </c>
      <c r="J2398" s="44" t="s">
        <v>2381</v>
      </c>
      <c r="K2398" s="44" t="s">
        <v>4515</v>
      </c>
      <c r="L2398" s="44" t="s">
        <v>2333</v>
      </c>
      <c r="M2398" s="43">
        <v>5</v>
      </c>
      <c r="N2398" s="113" t="s">
        <v>1113</v>
      </c>
      <c r="O2398" s="113"/>
      <c r="P2398" s="113"/>
      <c r="Q2398" s="113"/>
      <c r="R2398" s="113"/>
      <c r="S2398" s="113"/>
      <c r="T2398" s="113"/>
      <c r="U2398" s="113"/>
      <c r="V2398" s="113"/>
      <c r="W2398" s="113"/>
      <c r="X2398" s="113"/>
      <c r="Y2398" s="113"/>
      <c r="Z2398" s="113"/>
      <c r="AA2398" s="113"/>
      <c r="AB2398" s="113"/>
      <c r="AC2398" s="113"/>
      <c r="AD2398" s="113"/>
      <c r="AE2398" s="113"/>
      <c r="AF2398" s="113"/>
      <c r="AG2398" s="113"/>
      <c r="AH2398" s="113"/>
      <c r="AI2398" s="113"/>
      <c r="AJ2398" s="113"/>
      <c r="AK2398" s="319" t="s">
        <v>1113</v>
      </c>
      <c r="AL2398" s="113"/>
      <c r="AM2398" s="113"/>
      <c r="AN2398" s="113"/>
      <c r="AO2398" s="44" t="s">
        <v>2334</v>
      </c>
      <c r="AP2398" s="43"/>
      <c r="AQ2398" s="236" t="str">
        <f>VLOOKUP(Table8[[#This Row],[Instrument]],Def_Targets!$D$73:$E$159,2,FALSE)</f>
        <v>I_RE</v>
      </c>
      <c r="AR2398" s="233" t="str">
        <f>VLOOKUP(Table8[[#This Row],[Country Code]],Table29[],3,FALSE)</f>
        <v>Annex I</v>
      </c>
      <c r="AS2398" s="233" t="str">
        <f>VLOOKUP(Table8[[#This Row],[Country Code]],Table29[],4,FALSE)</f>
        <v>Europe</v>
      </c>
      <c r="AT2398" s="233" t="str">
        <f>VLOOKUP(Table8[[#This Row],[Country Code]],Table29[],5,FALSE)</f>
        <v>High-income</v>
      </c>
      <c r="AU2398" s="233" t="str">
        <f>VLOOKUP(Table8[[#This Row],[Country Code]],Table29[],6,FALSE)</f>
        <v>no</v>
      </c>
      <c r="AV2398" s="233" t="str">
        <f>VLOOKUP(Table8[[#This Row],[Country Code]],Table29[],7,FALSE)</f>
        <v>no</v>
      </c>
      <c r="AW2398" s="233" t="str">
        <f>VLOOKUP(Table8[[#This Row],[Country Code]],Table29[],8,FALSE)</f>
        <v>OECD</v>
      </c>
      <c r="AX2398" s="233" t="str">
        <f>VLOOKUP(Table8[[#This Row],[Country Code]],Table29[],9,FALSE)</f>
        <v>EU27</v>
      </c>
      <c r="AY2398" s="233" t="str">
        <f>VLOOKUP(Table8[[#This Row],[Country Code]],Table29[],10,FALSE)</f>
        <v>no</v>
      </c>
      <c r="AZ2398" s="235">
        <f>VLOOKUP(Table8[[#This Row],[Country Code]],Table29[],23,FALSE)</f>
        <v>49.118373633418003</v>
      </c>
      <c r="BA2398" s="235">
        <f>VLOOKUP(Table8[[#This Row],[Country Code]],Table29[],24,FALSE)</f>
        <v>13.502992277371289</v>
      </c>
      <c r="BB2398" s="320"/>
      <c r="BC2398" s="320"/>
    </row>
    <row r="2399" spans="1:55" ht="90" hidden="1" x14ac:dyDescent="0.25">
      <c r="A2399" s="373">
        <v>17750</v>
      </c>
      <c r="B2399" s="233" t="str">
        <f>VLOOKUP(Table8[[#This Row],[Document ID]],Table1[],2,FALSE)</f>
        <v>SWE</v>
      </c>
      <c r="C2399" s="233" t="str">
        <f>VLOOKUP(Table8[[#This Row],[Document ID]],Table1[],3,FALSE)</f>
        <v>Sweden</v>
      </c>
      <c r="D2399" s="243" t="str">
        <f>VLOOKUP(Table8[[#This Row],[Document ID]],Table1[],5,FALSE)</f>
        <v>LTS</v>
      </c>
      <c r="E2399" s="233" t="str">
        <f>VLOOKUP(Table8[[#This Row],[Document ID]],Table1[],7,FALSE)</f>
        <v>LTS</v>
      </c>
      <c r="F2399" s="233" t="str">
        <f>VLOOKUP(Table8[[#This Row],[Document ID]],Table1[],8,FALSE)</f>
        <v>LTS 1.0</v>
      </c>
      <c r="G2399" s="233" t="str">
        <f>VLOOKUP(Table8[[#This Row],[Document ID]],Table1[],10,FALSE)</f>
        <v>Active</v>
      </c>
      <c r="H2399" s="43" t="s">
        <v>2350</v>
      </c>
      <c r="I2399" s="43" t="s">
        <v>2370</v>
      </c>
      <c r="J2399" s="44" t="s">
        <v>2581</v>
      </c>
      <c r="K2399" s="44" t="s">
        <v>4516</v>
      </c>
      <c r="L2399" s="44" t="s">
        <v>2396</v>
      </c>
      <c r="M2399" s="43" t="s">
        <v>4517</v>
      </c>
      <c r="N2399" s="113"/>
      <c r="O2399" s="113"/>
      <c r="P2399" s="113"/>
      <c r="Q2399" s="113" t="s">
        <v>1113</v>
      </c>
      <c r="R2399" s="113" t="s">
        <v>1113</v>
      </c>
      <c r="S2399" s="113"/>
      <c r="T2399" s="113"/>
      <c r="U2399" s="113"/>
      <c r="V2399" s="113"/>
      <c r="W2399" s="113"/>
      <c r="X2399" s="113"/>
      <c r="Y2399" s="113" t="s">
        <v>1113</v>
      </c>
      <c r="Z2399" s="113"/>
      <c r="AA2399" s="113"/>
      <c r="AB2399" s="113"/>
      <c r="AC2399" s="113" t="s">
        <v>1113</v>
      </c>
      <c r="AD2399" s="113"/>
      <c r="AE2399" s="113"/>
      <c r="AF2399" s="113"/>
      <c r="AG2399" s="113"/>
      <c r="AH2399" s="113"/>
      <c r="AI2399" s="113"/>
      <c r="AJ2399" s="113"/>
      <c r="AK2399" s="319"/>
      <c r="AL2399" s="113" t="s">
        <v>1113</v>
      </c>
      <c r="AM2399" s="113"/>
      <c r="AN2399" s="113"/>
      <c r="AO2399" s="44" t="s">
        <v>2334</v>
      </c>
      <c r="AP2399" s="43"/>
      <c r="AQ2399" s="236" t="str">
        <f>VLOOKUP(Table8[[#This Row],[Instrument]],Def_Targets!$D$73:$E$159,2,FALSE)</f>
        <v>A_SUMP</v>
      </c>
      <c r="AR2399" s="233" t="str">
        <f>VLOOKUP(Table8[[#This Row],[Country Code]],Table29[],3,FALSE)</f>
        <v>Annex I</v>
      </c>
      <c r="AS2399" s="233" t="str">
        <f>VLOOKUP(Table8[[#This Row],[Country Code]],Table29[],4,FALSE)</f>
        <v>Europe</v>
      </c>
      <c r="AT2399" s="233" t="str">
        <f>VLOOKUP(Table8[[#This Row],[Country Code]],Table29[],5,FALSE)</f>
        <v>High-income</v>
      </c>
      <c r="AU2399" s="233" t="str">
        <f>VLOOKUP(Table8[[#This Row],[Country Code]],Table29[],6,FALSE)</f>
        <v>no</v>
      </c>
      <c r="AV2399" s="233" t="str">
        <f>VLOOKUP(Table8[[#This Row],[Country Code]],Table29[],7,FALSE)</f>
        <v>no</v>
      </c>
      <c r="AW2399" s="233" t="str">
        <f>VLOOKUP(Table8[[#This Row],[Country Code]],Table29[],8,FALSE)</f>
        <v>OECD</v>
      </c>
      <c r="AX2399" s="233" t="str">
        <f>VLOOKUP(Table8[[#This Row],[Country Code]],Table29[],9,FALSE)</f>
        <v>EU27</v>
      </c>
      <c r="AY2399" s="233" t="str">
        <f>VLOOKUP(Table8[[#This Row],[Country Code]],Table29[],10,FALSE)</f>
        <v>no</v>
      </c>
      <c r="AZ2399" s="235">
        <f>VLOOKUP(Table8[[#This Row],[Country Code]],Table29[],23,FALSE)</f>
        <v>49.118373633418003</v>
      </c>
      <c r="BA2399" s="235">
        <f>VLOOKUP(Table8[[#This Row],[Country Code]],Table29[],24,FALSE)</f>
        <v>13.502992277371289</v>
      </c>
      <c r="BB2399" s="320"/>
      <c r="BC2399" s="320"/>
    </row>
    <row r="2400" spans="1:55" ht="45" hidden="1" x14ac:dyDescent="0.25">
      <c r="A2400" s="373">
        <v>17750</v>
      </c>
      <c r="B2400" s="233" t="str">
        <f>VLOOKUP(Table8[[#This Row],[Document ID]],Table1[],2,FALSE)</f>
        <v>SWE</v>
      </c>
      <c r="C2400" s="233" t="str">
        <f>VLOOKUP(Table8[[#This Row],[Document ID]],Table1[],3,FALSE)</f>
        <v>Sweden</v>
      </c>
      <c r="D2400" s="243" t="str">
        <f>VLOOKUP(Table8[[#This Row],[Document ID]],Table1[],5,FALSE)</f>
        <v>LTS</v>
      </c>
      <c r="E2400" s="233" t="str">
        <f>VLOOKUP(Table8[[#This Row],[Document ID]],Table1[],7,FALSE)</f>
        <v>LTS</v>
      </c>
      <c r="F2400" s="233" t="str">
        <f>VLOOKUP(Table8[[#This Row],[Document ID]],Table1[],8,FALSE)</f>
        <v>LTS 1.0</v>
      </c>
      <c r="G2400" s="233" t="str">
        <f>VLOOKUP(Table8[[#This Row],[Document ID]],Table1[],10,FALSE)</f>
        <v>Active</v>
      </c>
      <c r="H2400" s="43" t="s">
        <v>2343</v>
      </c>
      <c r="I2400" s="43" t="s">
        <v>2386</v>
      </c>
      <c r="J2400" s="44" t="s">
        <v>2397</v>
      </c>
      <c r="K2400" s="44" t="s">
        <v>4518</v>
      </c>
      <c r="L2400" s="44" t="s">
        <v>2333</v>
      </c>
      <c r="M2400" s="43">
        <v>48</v>
      </c>
      <c r="N2400" s="113" t="s">
        <v>1113</v>
      </c>
      <c r="O2400" s="113"/>
      <c r="P2400" s="113"/>
      <c r="Q2400" s="113"/>
      <c r="R2400" s="113"/>
      <c r="S2400" s="113"/>
      <c r="T2400" s="113"/>
      <c r="U2400" s="113"/>
      <c r="V2400" s="113"/>
      <c r="W2400" s="113"/>
      <c r="X2400" s="113"/>
      <c r="Y2400" s="113"/>
      <c r="Z2400" s="113"/>
      <c r="AA2400" s="113"/>
      <c r="AB2400" s="113"/>
      <c r="AC2400" s="113"/>
      <c r="AD2400" s="113"/>
      <c r="AE2400" s="113"/>
      <c r="AF2400" s="113"/>
      <c r="AG2400" s="113"/>
      <c r="AH2400" s="113"/>
      <c r="AI2400" s="113"/>
      <c r="AJ2400" s="113"/>
      <c r="AK2400" s="319"/>
      <c r="AL2400" s="113" t="s">
        <v>1113</v>
      </c>
      <c r="AM2400" s="113"/>
      <c r="AN2400" s="113"/>
      <c r="AO2400" s="44" t="s">
        <v>2334</v>
      </c>
      <c r="AP2400" s="43"/>
      <c r="AQ2400" s="236" t="str">
        <f>VLOOKUP(Table8[[#This Row],[Instrument]],Def_Targets!$D$73:$E$159,2,FALSE)</f>
        <v>A_Finance</v>
      </c>
      <c r="AR2400" s="233" t="str">
        <f>VLOOKUP(Table8[[#This Row],[Country Code]],Table29[],3,FALSE)</f>
        <v>Annex I</v>
      </c>
      <c r="AS2400" s="233" t="str">
        <f>VLOOKUP(Table8[[#This Row],[Country Code]],Table29[],4,FALSE)</f>
        <v>Europe</v>
      </c>
      <c r="AT2400" s="233" t="str">
        <f>VLOOKUP(Table8[[#This Row],[Country Code]],Table29[],5,FALSE)</f>
        <v>High-income</v>
      </c>
      <c r="AU2400" s="233" t="str">
        <f>VLOOKUP(Table8[[#This Row],[Country Code]],Table29[],6,FALSE)</f>
        <v>no</v>
      </c>
      <c r="AV2400" s="233" t="str">
        <f>VLOOKUP(Table8[[#This Row],[Country Code]],Table29[],7,FALSE)</f>
        <v>no</v>
      </c>
      <c r="AW2400" s="233" t="str">
        <f>VLOOKUP(Table8[[#This Row],[Country Code]],Table29[],8,FALSE)</f>
        <v>OECD</v>
      </c>
      <c r="AX2400" s="233" t="str">
        <f>VLOOKUP(Table8[[#This Row],[Country Code]],Table29[],9,FALSE)</f>
        <v>EU27</v>
      </c>
      <c r="AY2400" s="233" t="str">
        <f>VLOOKUP(Table8[[#This Row],[Country Code]],Table29[],10,FALSE)</f>
        <v>no</v>
      </c>
      <c r="AZ2400" s="235">
        <f>VLOOKUP(Table8[[#This Row],[Country Code]],Table29[],23,FALSE)</f>
        <v>49.118373633418003</v>
      </c>
      <c r="BA2400" s="235">
        <f>VLOOKUP(Table8[[#This Row],[Country Code]],Table29[],24,FALSE)</f>
        <v>13.502992277371289</v>
      </c>
      <c r="BB2400" s="320"/>
      <c r="BC2400" s="320"/>
    </row>
    <row r="2401" spans="1:55" ht="75" hidden="1" x14ac:dyDescent="0.25">
      <c r="A2401" s="373">
        <v>17750</v>
      </c>
      <c r="B2401" s="233" t="str">
        <f>VLOOKUP(Table8[[#This Row],[Document ID]],Table1[],2,FALSE)</f>
        <v>SWE</v>
      </c>
      <c r="C2401" s="233" t="str">
        <f>VLOOKUP(Table8[[#This Row],[Document ID]],Table1[],3,FALSE)</f>
        <v>Sweden</v>
      </c>
      <c r="D2401" s="243" t="str">
        <f>VLOOKUP(Table8[[#This Row],[Document ID]],Table1[],5,FALSE)</f>
        <v>LTS</v>
      </c>
      <c r="E2401" s="233" t="str">
        <f>VLOOKUP(Table8[[#This Row],[Document ID]],Table1[],7,FALSE)</f>
        <v>LTS</v>
      </c>
      <c r="F2401" s="233" t="str">
        <f>VLOOKUP(Table8[[#This Row],[Document ID]],Table1[],8,FALSE)</f>
        <v>LTS 1.0</v>
      </c>
      <c r="G2401" s="233" t="str">
        <f>VLOOKUP(Table8[[#This Row],[Document ID]],Table1[],10,FALSE)</f>
        <v>Active</v>
      </c>
      <c r="H2401" s="43" t="s">
        <v>2350</v>
      </c>
      <c r="I2401" s="43" t="s">
        <v>2370</v>
      </c>
      <c r="J2401" s="44" t="s">
        <v>2371</v>
      </c>
      <c r="K2401" s="44" t="s">
        <v>4519</v>
      </c>
      <c r="L2401" s="44" t="s">
        <v>2373</v>
      </c>
      <c r="M2401" s="43">
        <v>48</v>
      </c>
      <c r="N2401" s="113" t="s">
        <v>1113</v>
      </c>
      <c r="O2401" s="113"/>
      <c r="P2401" s="113"/>
      <c r="Q2401" s="113"/>
      <c r="R2401" s="113"/>
      <c r="S2401" s="113"/>
      <c r="T2401" s="113"/>
      <c r="U2401" s="113"/>
      <c r="V2401" s="113"/>
      <c r="W2401" s="113"/>
      <c r="X2401" s="113"/>
      <c r="Y2401" s="113"/>
      <c r="Z2401" s="113"/>
      <c r="AA2401" s="113"/>
      <c r="AB2401" s="113"/>
      <c r="AC2401" s="113"/>
      <c r="AD2401" s="113"/>
      <c r="AE2401" s="113"/>
      <c r="AF2401" s="113"/>
      <c r="AG2401" s="113"/>
      <c r="AH2401" s="113"/>
      <c r="AI2401" s="113"/>
      <c r="AJ2401" s="113"/>
      <c r="AK2401" s="319" t="s">
        <v>1113</v>
      </c>
      <c r="AL2401" s="113"/>
      <c r="AM2401" s="113"/>
      <c r="AN2401" s="113"/>
      <c r="AO2401" s="44" t="s">
        <v>2334</v>
      </c>
      <c r="AP2401" s="43"/>
      <c r="AQ2401" s="236" t="str">
        <f>VLOOKUP(Table8[[#This Row],[Instrument]],Def_Targets!$D$73:$E$159,2,FALSE)</f>
        <v>A_Natmobplan</v>
      </c>
      <c r="AR2401" s="233" t="str">
        <f>VLOOKUP(Table8[[#This Row],[Country Code]],Table29[],3,FALSE)</f>
        <v>Annex I</v>
      </c>
      <c r="AS2401" s="233" t="str">
        <f>VLOOKUP(Table8[[#This Row],[Country Code]],Table29[],4,FALSE)</f>
        <v>Europe</v>
      </c>
      <c r="AT2401" s="233" t="str">
        <f>VLOOKUP(Table8[[#This Row],[Country Code]],Table29[],5,FALSE)</f>
        <v>High-income</v>
      </c>
      <c r="AU2401" s="233" t="str">
        <f>VLOOKUP(Table8[[#This Row],[Country Code]],Table29[],6,FALSE)</f>
        <v>no</v>
      </c>
      <c r="AV2401" s="233" t="str">
        <f>VLOOKUP(Table8[[#This Row],[Country Code]],Table29[],7,FALSE)</f>
        <v>no</v>
      </c>
      <c r="AW2401" s="233" t="str">
        <f>VLOOKUP(Table8[[#This Row],[Country Code]],Table29[],8,FALSE)</f>
        <v>OECD</v>
      </c>
      <c r="AX2401" s="233" t="str">
        <f>VLOOKUP(Table8[[#This Row],[Country Code]],Table29[],9,FALSE)</f>
        <v>EU27</v>
      </c>
      <c r="AY2401" s="233" t="str">
        <f>VLOOKUP(Table8[[#This Row],[Country Code]],Table29[],10,FALSE)</f>
        <v>no</v>
      </c>
      <c r="AZ2401" s="235">
        <f>VLOOKUP(Table8[[#This Row],[Country Code]],Table29[],23,FALSE)</f>
        <v>49.118373633418003</v>
      </c>
      <c r="BA2401" s="235">
        <f>VLOOKUP(Table8[[#This Row],[Country Code]],Table29[],24,FALSE)</f>
        <v>13.502992277371289</v>
      </c>
      <c r="BB2401" s="320"/>
      <c r="BC2401" s="320"/>
    </row>
    <row r="2402" spans="1:55" ht="30" hidden="1" x14ac:dyDescent="0.25">
      <c r="A2402" s="373">
        <v>17777</v>
      </c>
      <c r="B2402" s="233" t="str">
        <f>VLOOKUP(Table8[[#This Row],[Document ID]],Table1[],2,FALSE)</f>
        <v>TZA</v>
      </c>
      <c r="C2402" s="233" t="str">
        <f>VLOOKUP(Table8[[#This Row],[Document ID]],Table1[],3,FALSE)</f>
        <v>United Republic of Tanzania</v>
      </c>
      <c r="D2402" s="243" t="str">
        <f>VLOOKUP(Table8[[#This Row],[Document ID]],Table1[],5,FALSE)</f>
        <v>NDC</v>
      </c>
      <c r="E2402" s="233" t="str">
        <f>VLOOKUP(Table8[[#This Row],[Document ID]],Table1[],7,FALSE)</f>
        <v>First NDC</v>
      </c>
      <c r="F2402" s="236" t="str">
        <f>VLOOKUP(Table8[[#This Row],[Document ID]],Table1[],8,FALSE)</f>
        <v>NDC 1.0</v>
      </c>
      <c r="G2402" s="236" t="str">
        <f>VLOOKUP(Table8[[#This Row],[Document ID]],Table1[],10,FALSE)</f>
        <v>Archived</v>
      </c>
      <c r="H2402" s="43" t="s">
        <v>2350</v>
      </c>
      <c r="I2402" s="43" t="s">
        <v>2456</v>
      </c>
      <c r="J2402" s="44" t="s">
        <v>2457</v>
      </c>
      <c r="K2402" s="44" t="s">
        <v>4520</v>
      </c>
      <c r="L2402" s="44" t="s">
        <v>2347</v>
      </c>
      <c r="M2402" s="43"/>
      <c r="N2402" s="113"/>
      <c r="O2402" s="113"/>
      <c r="P2402" s="113"/>
      <c r="Q2402" s="319"/>
      <c r="R2402" s="319"/>
      <c r="S2402" s="319" t="s">
        <v>1113</v>
      </c>
      <c r="T2402" s="319"/>
      <c r="U2402" s="319"/>
      <c r="V2402" s="319"/>
      <c r="W2402" s="319"/>
      <c r="X2402" s="319"/>
      <c r="Y2402" s="113"/>
      <c r="Z2402" s="113" t="s">
        <v>1113</v>
      </c>
      <c r="AA2402" s="319"/>
      <c r="AB2402" s="319"/>
      <c r="AC2402" s="319"/>
      <c r="AD2402" s="319" t="s">
        <v>1113</v>
      </c>
      <c r="AE2402" s="319"/>
      <c r="AF2402" s="319"/>
      <c r="AG2402" s="319"/>
      <c r="AH2402" s="319" t="s">
        <v>1113</v>
      </c>
      <c r="AI2402" s="319"/>
      <c r="AJ2402" s="319"/>
      <c r="AK2402" s="319" t="s">
        <v>1113</v>
      </c>
      <c r="AL2402" s="319"/>
      <c r="AM2402" s="319"/>
      <c r="AN2402" s="319"/>
      <c r="AO2402" s="44" t="s">
        <v>2334</v>
      </c>
      <c r="AP2402" s="44"/>
      <c r="AQ2402" s="236" t="str">
        <f>VLOOKUP(Table8[[#This Row],[Instrument]],Def_Targets!$D$73:$E$159,2,FALSE)</f>
        <v>S_Infraimprove</v>
      </c>
      <c r="AR2402" s="233" t="str">
        <f>VLOOKUP(Table8[[#This Row],[Country Code]],Table29[],3,FALSE)</f>
        <v>Non-Annex I</v>
      </c>
      <c r="AS2402" s="233" t="str">
        <f>VLOOKUP(Table8[[#This Row],[Country Code]],Table29[],4,FALSE)</f>
        <v>Africa</v>
      </c>
      <c r="AT2402" s="233" t="str">
        <f>VLOOKUP(Table8[[#This Row],[Country Code]],Table29[],5,FALSE)</f>
        <v>Middle-income</v>
      </c>
      <c r="AU2402" s="233" t="str">
        <f>VLOOKUP(Table8[[#This Row],[Country Code]],Table29[],6,FALSE)</f>
        <v>no</v>
      </c>
      <c r="AV2402" s="233" t="str">
        <f>VLOOKUP(Table8[[#This Row],[Country Code]],Table29[],7,FALSE)</f>
        <v>no</v>
      </c>
      <c r="AW2402" s="233" t="str">
        <f>VLOOKUP(Table8[[#This Row],[Country Code]],Table29[],8,FALSE)</f>
        <v>non-OECD</v>
      </c>
      <c r="AX2402" s="233" t="str">
        <f>VLOOKUP(Table8[[#This Row],[Country Code]],Table29[],9,FALSE)</f>
        <v>no</v>
      </c>
      <c r="AY2402" s="233" t="str">
        <f>VLOOKUP(Table8[[#This Row],[Country Code]],Table29[],10,FALSE)</f>
        <v>no</v>
      </c>
      <c r="AZ2402" s="235">
        <f>VLOOKUP(Table8[[#This Row],[Country Code]],Table29[],23,FALSE)</f>
        <v>89.815439405641001</v>
      </c>
      <c r="BA2402" s="235">
        <f>VLOOKUP(Table8[[#This Row],[Country Code]],Table29[],24,FALSE)</f>
        <v>9.0665378622625585</v>
      </c>
      <c r="BB2402" s="320"/>
      <c r="BC2402" s="320"/>
    </row>
    <row r="2403" spans="1:55" s="17" customFormat="1" hidden="1" x14ac:dyDescent="0.25">
      <c r="A2403" s="360">
        <v>21267</v>
      </c>
      <c r="B2403" s="233" t="str">
        <f>VLOOKUP(Table8[[#This Row],[Document ID]],Table1[],2,FALSE)</f>
        <v>TZA</v>
      </c>
      <c r="C2403" s="233" t="str">
        <f>VLOOKUP(Table8[[#This Row],[Document ID]],Table1[],3,FALSE)</f>
        <v>United Republic of Tanzania</v>
      </c>
      <c r="D2403" s="233" t="str">
        <f>VLOOKUP(Table8[[#This Row],[Document ID]],Table1[],5,FALSE)</f>
        <v>NDC</v>
      </c>
      <c r="E2403" s="233" t="str">
        <f>VLOOKUP(Table8[[#This Row],[Document ID]],Table1[],7,FALSE)</f>
        <v>First NDC updated</v>
      </c>
      <c r="F2403" s="233" t="str">
        <f>VLOOKUP(Table8[[#This Row],[Document ID]],Table1[],8,FALSE)</f>
        <v>NDC 1.1</v>
      </c>
      <c r="G2403" s="233" t="str">
        <f>VLOOKUP(Table8[[#This Row],[Document ID]],Table1[],10,FALSE)</f>
        <v>Active</v>
      </c>
      <c r="H2403" s="43" t="s">
        <v>2343</v>
      </c>
      <c r="I2403" s="43" t="s">
        <v>2344</v>
      </c>
      <c r="J2403" s="44" t="s">
        <v>2405</v>
      </c>
      <c r="K2403" s="44" t="s">
        <v>4521</v>
      </c>
      <c r="L2403" s="44" t="s">
        <v>2347</v>
      </c>
      <c r="M2403" s="43">
        <v>18</v>
      </c>
      <c r="N2403" s="113"/>
      <c r="O2403" s="113"/>
      <c r="P2403" s="113"/>
      <c r="Q2403" s="113"/>
      <c r="R2403" s="113"/>
      <c r="S2403" s="113"/>
      <c r="T2403" s="113"/>
      <c r="U2403" s="113"/>
      <c r="V2403" s="113"/>
      <c r="W2403" s="113"/>
      <c r="X2403" s="113"/>
      <c r="Y2403" s="113" t="s">
        <v>1113</v>
      </c>
      <c r="Z2403" s="113"/>
      <c r="AA2403" s="113"/>
      <c r="AB2403" s="113"/>
      <c r="AC2403" s="113" t="s">
        <v>1113</v>
      </c>
      <c r="AD2403" s="113"/>
      <c r="AE2403" s="113"/>
      <c r="AF2403" s="113"/>
      <c r="AG2403" s="113"/>
      <c r="AH2403" s="113"/>
      <c r="AI2403" s="113"/>
      <c r="AJ2403" s="113"/>
      <c r="AK2403" s="113" t="s">
        <v>1113</v>
      </c>
      <c r="AL2403" s="113"/>
      <c r="AM2403" s="113"/>
      <c r="AN2403" s="113"/>
      <c r="AO2403" s="43" t="s">
        <v>2348</v>
      </c>
      <c r="AP2403" s="43"/>
      <c r="AQ2403" s="236" t="str">
        <f>VLOOKUP(Table8[[#This Row],[Instrument]],Def_Targets!$D$73:$E$159,2,FALSE)</f>
        <v>S_PTIntegration</v>
      </c>
      <c r="AR2403" s="233" t="str">
        <f>VLOOKUP(Table8[[#This Row],[Country Code]],Table29[],3,FALSE)</f>
        <v>Non-Annex I</v>
      </c>
      <c r="AS2403" s="233" t="str">
        <f>VLOOKUP(Table8[[#This Row],[Country Code]],Table29[],4,FALSE)</f>
        <v>Africa</v>
      </c>
      <c r="AT2403" s="233" t="str">
        <f>VLOOKUP(Table8[[#This Row],[Country Code]],Table29[],5,FALSE)</f>
        <v>Middle-income</v>
      </c>
      <c r="AU2403" s="233" t="str">
        <f>VLOOKUP(Table8[[#This Row],[Country Code]],Table29[],6,FALSE)</f>
        <v>no</v>
      </c>
      <c r="AV2403" s="233" t="str">
        <f>VLOOKUP(Table8[[#This Row],[Country Code]],Table29[],7,FALSE)</f>
        <v>no</v>
      </c>
      <c r="AW2403" s="233" t="str">
        <f>VLOOKUP(Table8[[#This Row],[Country Code]],Table29[],8,FALSE)</f>
        <v>non-OECD</v>
      </c>
      <c r="AX2403" s="233" t="str">
        <f>VLOOKUP(Table8[[#This Row],[Country Code]],Table29[],9,FALSE)</f>
        <v>no</v>
      </c>
      <c r="AY2403" s="233" t="str">
        <f>VLOOKUP(Table8[[#This Row],[Country Code]],Table29[],10,FALSE)</f>
        <v>no</v>
      </c>
      <c r="AZ2403" s="235">
        <f>VLOOKUP(Table8[[#This Row],[Country Code]],Table29[],23,FALSE)</f>
        <v>89.815439405641001</v>
      </c>
      <c r="BA2403" s="235">
        <f>VLOOKUP(Table8[[#This Row],[Country Code]],Table29[],24,FALSE)</f>
        <v>9.0665378622625585</v>
      </c>
      <c r="BB2403" s="320"/>
      <c r="BC2403" s="320"/>
    </row>
    <row r="2404" spans="1:55" s="17" customFormat="1" ht="30" hidden="1" x14ac:dyDescent="0.25">
      <c r="A2404" s="360">
        <v>21267</v>
      </c>
      <c r="B2404" s="233" t="str">
        <f>VLOOKUP(Table8[[#This Row],[Document ID]],Table1[],2,FALSE)</f>
        <v>TZA</v>
      </c>
      <c r="C2404" s="233" t="str">
        <f>VLOOKUP(Table8[[#This Row],[Document ID]],Table1[],3,FALSE)</f>
        <v>United Republic of Tanzania</v>
      </c>
      <c r="D2404" s="233" t="str">
        <f>VLOOKUP(Table8[[#This Row],[Document ID]],Table1[],5,FALSE)</f>
        <v>NDC</v>
      </c>
      <c r="E2404" s="233" t="str">
        <f>VLOOKUP(Table8[[#This Row],[Document ID]],Table1[],7,FALSE)</f>
        <v>First NDC updated</v>
      </c>
      <c r="F2404" s="233" t="str">
        <f>VLOOKUP(Table8[[#This Row],[Document ID]],Table1[],8,FALSE)</f>
        <v>NDC 1.1</v>
      </c>
      <c r="G2404" s="233" t="str">
        <f>VLOOKUP(Table8[[#This Row],[Document ID]],Table1[],10,FALSE)</f>
        <v>Active</v>
      </c>
      <c r="H2404" s="43" t="s">
        <v>2343</v>
      </c>
      <c r="I2404" s="43" t="s">
        <v>2386</v>
      </c>
      <c r="J2404" s="44" t="s">
        <v>2397</v>
      </c>
      <c r="K2404" s="44" t="s">
        <v>4522</v>
      </c>
      <c r="L2404" s="44" t="s">
        <v>2471</v>
      </c>
      <c r="M2404" s="43">
        <v>18</v>
      </c>
      <c r="N2404" s="113"/>
      <c r="O2404" s="113"/>
      <c r="P2404" s="113"/>
      <c r="Q2404" s="113"/>
      <c r="R2404" s="113"/>
      <c r="S2404" s="113" t="s">
        <v>1113</v>
      </c>
      <c r="T2404" s="113"/>
      <c r="U2404" s="113"/>
      <c r="V2404" s="113"/>
      <c r="W2404" s="113"/>
      <c r="X2404" s="113"/>
      <c r="Y2404" s="113"/>
      <c r="Z2404" s="113" t="s">
        <v>1113</v>
      </c>
      <c r="AA2404" s="113"/>
      <c r="AB2404" s="113"/>
      <c r="AC2404" s="113"/>
      <c r="AD2404" s="113"/>
      <c r="AE2404" s="113"/>
      <c r="AF2404" s="113"/>
      <c r="AG2404" s="113"/>
      <c r="AH2404" s="113"/>
      <c r="AI2404" s="113"/>
      <c r="AJ2404" s="113"/>
      <c r="AK2404" s="113" t="s">
        <v>1113</v>
      </c>
      <c r="AL2404" s="113"/>
      <c r="AM2404" s="113"/>
      <c r="AN2404" s="113"/>
      <c r="AO2404" s="44" t="s">
        <v>2334</v>
      </c>
      <c r="AP2404" s="43"/>
      <c r="AQ2404" s="236" t="str">
        <f>VLOOKUP(Table8[[#This Row],[Instrument]],Def_Targets!$D$73:$E$159,2,FALSE)</f>
        <v>A_Finance</v>
      </c>
      <c r="AR2404" s="233" t="str">
        <f>VLOOKUP(Table8[[#This Row],[Country Code]],Table29[],3,FALSE)</f>
        <v>Non-Annex I</v>
      </c>
      <c r="AS2404" s="233" t="str">
        <f>VLOOKUP(Table8[[#This Row],[Country Code]],Table29[],4,FALSE)</f>
        <v>Africa</v>
      </c>
      <c r="AT2404" s="233" t="str">
        <f>VLOOKUP(Table8[[#This Row],[Country Code]],Table29[],5,FALSE)</f>
        <v>Middle-income</v>
      </c>
      <c r="AU2404" s="233" t="str">
        <f>VLOOKUP(Table8[[#This Row],[Country Code]],Table29[],6,FALSE)</f>
        <v>no</v>
      </c>
      <c r="AV2404" s="233" t="str">
        <f>VLOOKUP(Table8[[#This Row],[Country Code]],Table29[],7,FALSE)</f>
        <v>no</v>
      </c>
      <c r="AW2404" s="233" t="str">
        <f>VLOOKUP(Table8[[#This Row],[Country Code]],Table29[],8,FALSE)</f>
        <v>non-OECD</v>
      </c>
      <c r="AX2404" s="233" t="str">
        <f>VLOOKUP(Table8[[#This Row],[Country Code]],Table29[],9,FALSE)</f>
        <v>no</v>
      </c>
      <c r="AY2404" s="233" t="str">
        <f>VLOOKUP(Table8[[#This Row],[Country Code]],Table29[],10,FALSE)</f>
        <v>no</v>
      </c>
      <c r="AZ2404" s="235">
        <f>VLOOKUP(Table8[[#This Row],[Country Code]],Table29[],23,FALSE)</f>
        <v>89.815439405641001</v>
      </c>
      <c r="BA2404" s="235">
        <f>VLOOKUP(Table8[[#This Row],[Country Code]],Table29[],24,FALSE)</f>
        <v>9.0665378622625585</v>
      </c>
      <c r="BB2404" s="320"/>
      <c r="BC2404" s="320"/>
    </row>
    <row r="2405" spans="1:55" s="17" customFormat="1" hidden="1" x14ac:dyDescent="0.25">
      <c r="A2405" s="360">
        <v>21267</v>
      </c>
      <c r="B2405" s="233" t="str">
        <f>VLOOKUP(Table8[[#This Row],[Document ID]],Table1[],2,FALSE)</f>
        <v>TZA</v>
      </c>
      <c r="C2405" s="233" t="str">
        <f>VLOOKUP(Table8[[#This Row],[Document ID]],Table1[],3,FALSE)</f>
        <v>United Republic of Tanzania</v>
      </c>
      <c r="D2405" s="233" t="str">
        <f>VLOOKUP(Table8[[#This Row],[Document ID]],Table1[],5,FALSE)</f>
        <v>NDC</v>
      </c>
      <c r="E2405" s="233" t="str">
        <f>VLOOKUP(Table8[[#This Row],[Document ID]],Table1[],7,FALSE)</f>
        <v>First NDC updated</v>
      </c>
      <c r="F2405" s="233" t="str">
        <f>VLOOKUP(Table8[[#This Row],[Document ID]],Table1[],8,FALSE)</f>
        <v>NDC 1.1</v>
      </c>
      <c r="G2405" s="233" t="str">
        <f>VLOOKUP(Table8[[#This Row],[Document ID]],Table1[],10,FALSE)</f>
        <v>Active</v>
      </c>
      <c r="H2405" s="43" t="s">
        <v>2343</v>
      </c>
      <c r="I2405" s="43" t="s">
        <v>2344</v>
      </c>
      <c r="J2405" s="44" t="s">
        <v>2549</v>
      </c>
      <c r="K2405" s="44" t="s">
        <v>4523</v>
      </c>
      <c r="L2405" s="44" t="s">
        <v>2347</v>
      </c>
      <c r="M2405" s="43">
        <v>18</v>
      </c>
      <c r="N2405" s="113"/>
      <c r="O2405" s="113"/>
      <c r="P2405" s="113"/>
      <c r="Q2405" s="113"/>
      <c r="R2405" s="113"/>
      <c r="S2405" s="113"/>
      <c r="T2405" s="113"/>
      <c r="U2405" s="113"/>
      <c r="V2405" s="113"/>
      <c r="W2405" s="113"/>
      <c r="X2405" s="113"/>
      <c r="Y2405" s="113" t="s">
        <v>1113</v>
      </c>
      <c r="Z2405" s="113"/>
      <c r="AA2405" s="113"/>
      <c r="AB2405" s="113"/>
      <c r="AC2405" s="113"/>
      <c r="AD2405" s="113"/>
      <c r="AE2405" s="113"/>
      <c r="AF2405" s="113"/>
      <c r="AG2405" s="113"/>
      <c r="AH2405" s="113"/>
      <c r="AI2405" s="113"/>
      <c r="AJ2405" s="113"/>
      <c r="AK2405" s="113"/>
      <c r="AL2405" s="113" t="s">
        <v>1113</v>
      </c>
      <c r="AM2405" s="113"/>
      <c r="AN2405" s="113"/>
      <c r="AO2405" s="43" t="s">
        <v>2348</v>
      </c>
      <c r="AP2405" s="43"/>
      <c r="AQ2405" s="236" t="str">
        <f>VLOOKUP(Table8[[#This Row],[Instrument]],Def_Targets!$D$73:$E$159,2,FALSE)</f>
        <v>S_BRT</v>
      </c>
      <c r="AR2405" s="233" t="str">
        <f>VLOOKUP(Table8[[#This Row],[Country Code]],Table29[],3,FALSE)</f>
        <v>Non-Annex I</v>
      </c>
      <c r="AS2405" s="233" t="str">
        <f>VLOOKUP(Table8[[#This Row],[Country Code]],Table29[],4,FALSE)</f>
        <v>Africa</v>
      </c>
      <c r="AT2405" s="233" t="str">
        <f>VLOOKUP(Table8[[#This Row],[Country Code]],Table29[],5,FALSE)</f>
        <v>Middle-income</v>
      </c>
      <c r="AU2405" s="233" t="str">
        <f>VLOOKUP(Table8[[#This Row],[Country Code]],Table29[],6,FALSE)</f>
        <v>no</v>
      </c>
      <c r="AV2405" s="233" t="str">
        <f>VLOOKUP(Table8[[#This Row],[Country Code]],Table29[],7,FALSE)</f>
        <v>no</v>
      </c>
      <c r="AW2405" s="233" t="str">
        <f>VLOOKUP(Table8[[#This Row],[Country Code]],Table29[],8,FALSE)</f>
        <v>non-OECD</v>
      </c>
      <c r="AX2405" s="233" t="str">
        <f>VLOOKUP(Table8[[#This Row],[Country Code]],Table29[],9,FALSE)</f>
        <v>no</v>
      </c>
      <c r="AY2405" s="233" t="str">
        <f>VLOOKUP(Table8[[#This Row],[Country Code]],Table29[],10,FALSE)</f>
        <v>no</v>
      </c>
      <c r="AZ2405" s="235">
        <f>VLOOKUP(Table8[[#This Row],[Country Code]],Table29[],23,FALSE)</f>
        <v>89.815439405641001</v>
      </c>
      <c r="BA2405" s="235">
        <f>VLOOKUP(Table8[[#This Row],[Country Code]],Table29[],24,FALSE)</f>
        <v>9.0665378622625585</v>
      </c>
      <c r="BB2405" s="320"/>
      <c r="BC2405" s="320"/>
    </row>
    <row r="2406" spans="1:55" s="17" customFormat="1" hidden="1" x14ac:dyDescent="0.25">
      <c r="A2406" s="360">
        <v>21267</v>
      </c>
      <c r="B2406" s="233" t="str">
        <f>VLOOKUP(Table8[[#This Row],[Document ID]],Table1[],2,FALSE)</f>
        <v>TZA</v>
      </c>
      <c r="C2406" s="233" t="str">
        <f>VLOOKUP(Table8[[#This Row],[Document ID]],Table1[],3,FALSE)</f>
        <v>United Republic of Tanzania</v>
      </c>
      <c r="D2406" s="233" t="str">
        <f>VLOOKUP(Table8[[#This Row],[Document ID]],Table1[],5,FALSE)</f>
        <v>NDC</v>
      </c>
      <c r="E2406" s="233" t="str">
        <f>VLOOKUP(Table8[[#This Row],[Document ID]],Table1[],7,FALSE)</f>
        <v>First NDC updated</v>
      </c>
      <c r="F2406" s="233" t="str">
        <f>VLOOKUP(Table8[[#This Row],[Document ID]],Table1[],8,FALSE)</f>
        <v>NDC 1.1</v>
      </c>
      <c r="G2406" s="233" t="str">
        <f>VLOOKUP(Table8[[#This Row],[Document ID]],Table1[],10,FALSE)</f>
        <v>Active</v>
      </c>
      <c r="H2406" s="44" t="s">
        <v>2329</v>
      </c>
      <c r="I2406" s="44" t="s">
        <v>2330</v>
      </c>
      <c r="J2406" s="44" t="s">
        <v>2381</v>
      </c>
      <c r="K2406" s="44" t="s">
        <v>4524</v>
      </c>
      <c r="L2406" s="44" t="s">
        <v>2333</v>
      </c>
      <c r="M2406" s="43">
        <v>18</v>
      </c>
      <c r="N2406" s="113" t="s">
        <v>1113</v>
      </c>
      <c r="O2406" s="113"/>
      <c r="P2406" s="113"/>
      <c r="Q2406" s="113"/>
      <c r="R2406" s="113"/>
      <c r="S2406" s="113"/>
      <c r="T2406" s="113"/>
      <c r="U2406" s="113"/>
      <c r="V2406" s="113"/>
      <c r="W2406" s="113"/>
      <c r="X2406" s="113"/>
      <c r="Y2406" s="113"/>
      <c r="Z2406" s="113"/>
      <c r="AA2406" s="113"/>
      <c r="AB2406" s="113"/>
      <c r="AC2406" s="113"/>
      <c r="AD2406" s="113"/>
      <c r="AE2406" s="113"/>
      <c r="AF2406" s="113"/>
      <c r="AG2406" s="113"/>
      <c r="AH2406" s="113"/>
      <c r="AI2406" s="113"/>
      <c r="AJ2406" s="113"/>
      <c r="AK2406" s="113" t="s">
        <v>1113</v>
      </c>
      <c r="AL2406" s="113"/>
      <c r="AM2406" s="113"/>
      <c r="AN2406" s="113"/>
      <c r="AO2406" s="44" t="s">
        <v>2334</v>
      </c>
      <c r="AP2406" s="43"/>
      <c r="AQ2406" s="236" t="str">
        <f>VLOOKUP(Table8[[#This Row],[Instrument]],Def_Targets!$D$73:$E$159,2,FALSE)</f>
        <v>I_RE</v>
      </c>
      <c r="AR2406" s="233" t="str">
        <f>VLOOKUP(Table8[[#This Row],[Country Code]],Table29[],3,FALSE)</f>
        <v>Non-Annex I</v>
      </c>
      <c r="AS2406" s="233" t="str">
        <f>VLOOKUP(Table8[[#This Row],[Country Code]],Table29[],4,FALSE)</f>
        <v>Africa</v>
      </c>
      <c r="AT2406" s="233" t="str">
        <f>VLOOKUP(Table8[[#This Row],[Country Code]],Table29[],5,FALSE)</f>
        <v>Middle-income</v>
      </c>
      <c r="AU2406" s="233" t="str">
        <f>VLOOKUP(Table8[[#This Row],[Country Code]],Table29[],6,FALSE)</f>
        <v>no</v>
      </c>
      <c r="AV2406" s="233" t="str">
        <f>VLOOKUP(Table8[[#This Row],[Country Code]],Table29[],7,FALSE)</f>
        <v>no</v>
      </c>
      <c r="AW2406" s="233" t="str">
        <f>VLOOKUP(Table8[[#This Row],[Country Code]],Table29[],8,FALSE)</f>
        <v>non-OECD</v>
      </c>
      <c r="AX2406" s="233" t="str">
        <f>VLOOKUP(Table8[[#This Row],[Country Code]],Table29[],9,FALSE)</f>
        <v>no</v>
      </c>
      <c r="AY2406" s="233" t="str">
        <f>VLOOKUP(Table8[[#This Row],[Country Code]],Table29[],10,FALSE)</f>
        <v>no</v>
      </c>
      <c r="AZ2406" s="235">
        <f>VLOOKUP(Table8[[#This Row],[Country Code]],Table29[],23,FALSE)</f>
        <v>89.815439405641001</v>
      </c>
      <c r="BA2406" s="235">
        <f>VLOOKUP(Table8[[#This Row],[Country Code]],Table29[],24,FALSE)</f>
        <v>9.0665378622625585</v>
      </c>
      <c r="BB2406" s="320"/>
      <c r="BC2406" s="320"/>
    </row>
    <row r="2407" spans="1:55" s="17" customFormat="1" ht="69" hidden="1" customHeight="1" x14ac:dyDescent="0.25">
      <c r="A2407" s="360">
        <v>21267</v>
      </c>
      <c r="B2407" s="233" t="str">
        <f>VLOOKUP(Table8[[#This Row],[Document ID]],Table1[],2,FALSE)</f>
        <v>TZA</v>
      </c>
      <c r="C2407" s="233" t="str">
        <f>VLOOKUP(Table8[[#This Row],[Document ID]],Table1[],3,FALSE)</f>
        <v>United Republic of Tanzania</v>
      </c>
      <c r="D2407" s="233" t="str">
        <f>VLOOKUP(Table8[[#This Row],[Document ID]],Table1[],5,FALSE)</f>
        <v>NDC</v>
      </c>
      <c r="E2407" s="233" t="str">
        <f>VLOOKUP(Table8[[#This Row],[Document ID]],Table1[],7,FALSE)</f>
        <v>First NDC updated</v>
      </c>
      <c r="F2407" s="233" t="str">
        <f>VLOOKUP(Table8[[#This Row],[Document ID]],Table1[],8,FALSE)</f>
        <v>NDC 1.1</v>
      </c>
      <c r="G2407" s="233" t="str">
        <f>VLOOKUP(Table8[[#This Row],[Document ID]],Table1[],10,FALSE)</f>
        <v>Active</v>
      </c>
      <c r="H2407" s="43" t="s">
        <v>2343</v>
      </c>
      <c r="I2407" s="43" t="s">
        <v>2361</v>
      </c>
      <c r="J2407" s="44" t="s">
        <v>2366</v>
      </c>
      <c r="K2407" s="44" t="s">
        <v>4525</v>
      </c>
      <c r="L2407" s="44" t="s">
        <v>2347</v>
      </c>
      <c r="M2407" s="43">
        <v>18</v>
      </c>
      <c r="N2407" s="113"/>
      <c r="O2407" s="113"/>
      <c r="P2407" s="113" t="s">
        <v>1113</v>
      </c>
      <c r="Q2407" s="113"/>
      <c r="R2407" s="113"/>
      <c r="S2407" s="113"/>
      <c r="T2407" s="113"/>
      <c r="U2407" s="113"/>
      <c r="V2407" s="113"/>
      <c r="W2407" s="113"/>
      <c r="X2407" s="113"/>
      <c r="Y2407" s="113"/>
      <c r="Z2407" s="113"/>
      <c r="AA2407" s="113"/>
      <c r="AB2407" s="113"/>
      <c r="AC2407" s="113"/>
      <c r="AD2407" s="113"/>
      <c r="AE2407" s="113"/>
      <c r="AF2407" s="113"/>
      <c r="AG2407" s="113"/>
      <c r="AH2407" s="113"/>
      <c r="AI2407" s="113"/>
      <c r="AJ2407" s="113"/>
      <c r="AK2407" s="113"/>
      <c r="AL2407" s="113" t="s">
        <v>1113</v>
      </c>
      <c r="AM2407" s="113"/>
      <c r="AN2407" s="113"/>
      <c r="AO2407" s="44" t="s">
        <v>2334</v>
      </c>
      <c r="AP2407" s="43"/>
      <c r="AQ2407" s="236" t="str">
        <f>VLOOKUP(Table8[[#This Row],[Instrument]],Def_Targets!$D$73:$E$159,2,FALSE)</f>
        <v>S_Activemobility</v>
      </c>
      <c r="AR2407" s="233" t="str">
        <f>VLOOKUP(Table8[[#This Row],[Country Code]],Table29[],3,FALSE)</f>
        <v>Non-Annex I</v>
      </c>
      <c r="AS2407" s="233" t="str">
        <f>VLOOKUP(Table8[[#This Row],[Country Code]],Table29[],4,FALSE)</f>
        <v>Africa</v>
      </c>
      <c r="AT2407" s="233" t="str">
        <f>VLOOKUP(Table8[[#This Row],[Country Code]],Table29[],5,FALSE)</f>
        <v>Middle-income</v>
      </c>
      <c r="AU2407" s="233" t="str">
        <f>VLOOKUP(Table8[[#This Row],[Country Code]],Table29[],6,FALSE)</f>
        <v>no</v>
      </c>
      <c r="AV2407" s="233" t="str">
        <f>VLOOKUP(Table8[[#This Row],[Country Code]],Table29[],7,FALSE)</f>
        <v>no</v>
      </c>
      <c r="AW2407" s="233" t="str">
        <f>VLOOKUP(Table8[[#This Row],[Country Code]],Table29[],8,FALSE)</f>
        <v>non-OECD</v>
      </c>
      <c r="AX2407" s="233" t="str">
        <f>VLOOKUP(Table8[[#This Row],[Country Code]],Table29[],9,FALSE)</f>
        <v>no</v>
      </c>
      <c r="AY2407" s="233" t="str">
        <f>VLOOKUP(Table8[[#This Row],[Country Code]],Table29[],10,FALSE)</f>
        <v>no</v>
      </c>
      <c r="AZ2407" s="235">
        <f>VLOOKUP(Table8[[#This Row],[Country Code]],Table29[],23,FALSE)</f>
        <v>89.815439405641001</v>
      </c>
      <c r="BA2407" s="235">
        <f>VLOOKUP(Table8[[#This Row],[Country Code]],Table29[],24,FALSE)</f>
        <v>9.0665378622625585</v>
      </c>
      <c r="BB2407" s="320"/>
      <c r="BC2407" s="320"/>
    </row>
    <row r="2408" spans="1:55" ht="15" hidden="1" customHeight="1" x14ac:dyDescent="0.25">
      <c r="A2408" s="373">
        <v>17778</v>
      </c>
      <c r="B2408" s="233" t="str">
        <f>VLOOKUP(Table8[[#This Row],[Document ID]],Table1[],2,FALSE)</f>
        <v>USA</v>
      </c>
      <c r="C2408" s="233" t="str">
        <f>VLOOKUP(Table8[[#This Row],[Document ID]],Table1[],3,FALSE)</f>
        <v>United States of America</v>
      </c>
      <c r="D2408" s="243" t="str">
        <f>VLOOKUP(Table8[[#This Row],[Document ID]],Table1[],5,FALSE)</f>
        <v>NDC</v>
      </c>
      <c r="E2408" s="233" t="str">
        <f>VLOOKUP(Table8[[#This Row],[Document ID]],Table1[],7,FALSE)</f>
        <v>First NDC</v>
      </c>
      <c r="F2408" s="236" t="str">
        <f>VLOOKUP(Table8[[#This Row],[Document ID]],Table1[],8,FALSE)</f>
        <v>NDC 1.0</v>
      </c>
      <c r="G2408" s="236" t="str">
        <f>VLOOKUP(Table8[[#This Row],[Document ID]],Table1[],10,FALSE)</f>
        <v>Archived</v>
      </c>
      <c r="H2408" s="44" t="s">
        <v>2338</v>
      </c>
      <c r="I2408" s="44" t="s">
        <v>2339</v>
      </c>
      <c r="J2408" s="44" t="s">
        <v>2413</v>
      </c>
      <c r="K2408" s="44" t="s">
        <v>4526</v>
      </c>
      <c r="L2408" s="44" t="s">
        <v>2333</v>
      </c>
      <c r="M2408" s="43"/>
      <c r="N2408" s="113"/>
      <c r="O2408" s="113"/>
      <c r="P2408" s="113"/>
      <c r="Q2408" s="319"/>
      <c r="R2408" s="319"/>
      <c r="S2408" s="319"/>
      <c r="T2408" s="319"/>
      <c r="U2408" s="319" t="s">
        <v>1113</v>
      </c>
      <c r="V2408" s="319"/>
      <c r="W2408" s="319"/>
      <c r="X2408" s="319"/>
      <c r="Y2408" s="113"/>
      <c r="Z2408" s="113"/>
      <c r="AA2408" s="319"/>
      <c r="AB2408" s="319"/>
      <c r="AC2408" s="319"/>
      <c r="AD2408" s="319"/>
      <c r="AE2408" s="319"/>
      <c r="AF2408" s="319"/>
      <c r="AG2408" s="319"/>
      <c r="AH2408" s="319"/>
      <c r="AI2408" s="319"/>
      <c r="AJ2408" s="319"/>
      <c r="AK2408" s="319" t="s">
        <v>1113</v>
      </c>
      <c r="AL2408" s="319"/>
      <c r="AM2408" s="319"/>
      <c r="AN2408" s="319"/>
      <c r="AO2408" s="44" t="s">
        <v>2334</v>
      </c>
      <c r="AP2408" s="44"/>
      <c r="AQ2408" s="236" t="str">
        <f>VLOOKUP(Table8[[#This Row],[Instrument]],Def_Targets!$D$73:$E$159,2,FALSE)</f>
        <v>I_Vehicleeff</v>
      </c>
      <c r="AR2408" s="233" t="str">
        <f>VLOOKUP(Table8[[#This Row],[Country Code]],Table29[],3,FALSE)</f>
        <v>Annex I</v>
      </c>
      <c r="AS2408" s="233" t="str">
        <f>VLOOKUP(Table8[[#This Row],[Country Code]],Table29[],4,FALSE)</f>
        <v>Northern America</v>
      </c>
      <c r="AT2408" s="233" t="str">
        <f>VLOOKUP(Table8[[#This Row],[Country Code]],Table29[],5,FALSE)</f>
        <v>High-income</v>
      </c>
      <c r="AU2408" s="233" t="str">
        <f>VLOOKUP(Table8[[#This Row],[Country Code]],Table29[],6,FALSE)</f>
        <v>G20</v>
      </c>
      <c r="AV2408" s="233" t="str">
        <f>VLOOKUP(Table8[[#This Row],[Country Code]],Table29[],7,FALSE)</f>
        <v>G7</v>
      </c>
      <c r="AW2408" s="233" t="str">
        <f>VLOOKUP(Table8[[#This Row],[Country Code]],Table29[],8,FALSE)</f>
        <v>OECD</v>
      </c>
      <c r="AX2408" s="233" t="str">
        <f>VLOOKUP(Table8[[#This Row],[Country Code]],Table29[],9,FALSE)</f>
        <v>no</v>
      </c>
      <c r="AY2408" s="233" t="str">
        <f>VLOOKUP(Table8[[#This Row],[Country Code]],Table29[],10,FALSE)</f>
        <v>no</v>
      </c>
      <c r="AZ2408" s="235">
        <f>VLOOKUP(Table8[[#This Row],[Country Code]],Table29[],23,FALSE)</f>
        <v>5960.8043799938996</v>
      </c>
      <c r="BA2408" s="235">
        <f>VLOOKUP(Table8[[#This Row],[Country Code]],Table29[],24,FALSE)</f>
        <v>1735.9036371632039</v>
      </c>
      <c r="BB2408" s="320"/>
      <c r="BC2408" s="320"/>
    </row>
    <row r="2409" spans="1:55" ht="135" hidden="1" x14ac:dyDescent="0.25">
      <c r="A2409" s="373">
        <v>17779</v>
      </c>
      <c r="B2409" s="233" t="str">
        <f>VLOOKUP(Table8[[#This Row],[Document ID]],Table1[],2,FALSE)</f>
        <v>USA</v>
      </c>
      <c r="C2409" s="233" t="str">
        <f>VLOOKUP(Table8[[#This Row],[Document ID]],Table1[],3,FALSE)</f>
        <v>United States of America</v>
      </c>
      <c r="D2409" s="243" t="str">
        <f>VLOOKUP(Table8[[#This Row],[Document ID]],Table1[],5,FALSE)</f>
        <v>LTS</v>
      </c>
      <c r="E2409" s="233" t="str">
        <f>VLOOKUP(Table8[[#This Row],[Document ID]],Table1[],7,FALSE)</f>
        <v>Archived LTS 1.0</v>
      </c>
      <c r="F2409" s="236" t="str">
        <f>VLOOKUP(Table8[[#This Row],[Document ID]],Table1[],8,FALSE)</f>
        <v>LTS 1.0</v>
      </c>
      <c r="G2409" s="236" t="str">
        <f>VLOOKUP(Table8[[#This Row],[Document ID]],Table1[],10,FALSE)</f>
        <v>Archived</v>
      </c>
      <c r="H2409" s="44" t="s">
        <v>2338</v>
      </c>
      <c r="I2409" s="44" t="s">
        <v>2339</v>
      </c>
      <c r="J2409" s="44" t="s">
        <v>2340</v>
      </c>
      <c r="K2409" s="44" t="s">
        <v>4527</v>
      </c>
      <c r="L2409" s="44" t="s">
        <v>2333</v>
      </c>
      <c r="M2409" s="43">
        <v>55</v>
      </c>
      <c r="N2409" s="113"/>
      <c r="O2409" s="113"/>
      <c r="P2409" s="113"/>
      <c r="Q2409" s="319"/>
      <c r="R2409" s="319"/>
      <c r="S2409" s="319" t="s">
        <v>1113</v>
      </c>
      <c r="T2409" s="319"/>
      <c r="U2409" s="319"/>
      <c r="V2409" s="319"/>
      <c r="W2409" s="319"/>
      <c r="X2409" s="319" t="s">
        <v>1113</v>
      </c>
      <c r="Y2409" s="319"/>
      <c r="Z2409" s="319"/>
      <c r="AA2409" s="319"/>
      <c r="AB2409" s="319"/>
      <c r="AC2409" s="319"/>
      <c r="AD2409" s="319" t="s">
        <v>1113</v>
      </c>
      <c r="AE2409" s="319"/>
      <c r="AF2409" s="319"/>
      <c r="AG2409" s="319"/>
      <c r="AH2409" s="319" t="s">
        <v>1113</v>
      </c>
      <c r="AI2409" s="319"/>
      <c r="AJ2409" s="319"/>
      <c r="AK2409" s="319" t="s">
        <v>1113</v>
      </c>
      <c r="AL2409" s="319"/>
      <c r="AM2409" s="319"/>
      <c r="AN2409" s="319"/>
      <c r="AO2409" s="44" t="s">
        <v>2334</v>
      </c>
      <c r="AP2409" s="44"/>
      <c r="AQ2409" s="236" t="str">
        <f>VLOOKUP(Table8[[#This Row],[Instrument]],Def_Targets!$D$73:$E$159,2,FALSE)</f>
        <v>I_Vehicleimprove</v>
      </c>
      <c r="AR2409" s="233" t="str">
        <f>VLOOKUP(Table8[[#This Row],[Country Code]],Table29[],3,FALSE)</f>
        <v>Annex I</v>
      </c>
      <c r="AS2409" s="233" t="str">
        <f>VLOOKUP(Table8[[#This Row],[Country Code]],Table29[],4,FALSE)</f>
        <v>Northern America</v>
      </c>
      <c r="AT2409" s="233" t="str">
        <f>VLOOKUP(Table8[[#This Row],[Country Code]],Table29[],5,FALSE)</f>
        <v>High-income</v>
      </c>
      <c r="AU2409" s="233" t="str">
        <f>VLOOKUP(Table8[[#This Row],[Country Code]],Table29[],6,FALSE)</f>
        <v>G20</v>
      </c>
      <c r="AV2409" s="233" t="str">
        <f>VLOOKUP(Table8[[#This Row],[Country Code]],Table29[],7,FALSE)</f>
        <v>G7</v>
      </c>
      <c r="AW2409" s="233" t="str">
        <f>VLOOKUP(Table8[[#This Row],[Country Code]],Table29[],8,FALSE)</f>
        <v>OECD</v>
      </c>
      <c r="AX2409" s="233" t="str">
        <f>VLOOKUP(Table8[[#This Row],[Country Code]],Table29[],9,FALSE)</f>
        <v>no</v>
      </c>
      <c r="AY2409" s="233" t="str">
        <f>VLOOKUP(Table8[[#This Row],[Country Code]],Table29[],10,FALSE)</f>
        <v>no</v>
      </c>
      <c r="AZ2409" s="235">
        <f>VLOOKUP(Table8[[#This Row],[Country Code]],Table29[],23,FALSE)</f>
        <v>5960.8043799938996</v>
      </c>
      <c r="BA2409" s="235">
        <f>VLOOKUP(Table8[[#This Row],[Country Code]],Table29[],24,FALSE)</f>
        <v>1735.9036371632039</v>
      </c>
      <c r="BB2409" s="320"/>
      <c r="BC2409" s="320"/>
    </row>
    <row r="2410" spans="1:55" ht="35.25" hidden="1" customHeight="1" x14ac:dyDescent="0.25">
      <c r="A2410" s="373">
        <v>19930</v>
      </c>
      <c r="B2410" s="233" t="str">
        <f>VLOOKUP(Table8[[#This Row],[Document ID]],Table1[],2,FALSE)</f>
        <v>USA</v>
      </c>
      <c r="C2410" s="233" t="str">
        <f>VLOOKUP(Table8[[#This Row],[Document ID]],Table1[],3,FALSE)</f>
        <v>United States of America</v>
      </c>
      <c r="D2410" s="243" t="str">
        <f>VLOOKUP(Table8[[#This Row],[Document ID]],Table1[],5,FALSE)</f>
        <v>NDC</v>
      </c>
      <c r="E2410" s="233" t="str">
        <f>VLOOKUP(Table8[[#This Row],[Document ID]],Table1[],7,FALSE)</f>
        <v>First NDC updated</v>
      </c>
      <c r="F2410" s="236" t="str">
        <f>VLOOKUP(Table8[[#This Row],[Document ID]],Table1[],8,FALSE)</f>
        <v>NDC 1.1</v>
      </c>
      <c r="G2410" s="236" t="str">
        <f>VLOOKUP(Table8[[#This Row],[Document ID]],Table1[],10,FALSE)</f>
        <v>Archived</v>
      </c>
      <c r="H2410" s="44" t="s">
        <v>2338</v>
      </c>
      <c r="I2410" s="44" t="s">
        <v>2339</v>
      </c>
      <c r="J2410" s="44" t="s">
        <v>2413</v>
      </c>
      <c r="K2410" s="44" t="s">
        <v>4528</v>
      </c>
      <c r="L2410" s="44" t="s">
        <v>2333</v>
      </c>
      <c r="M2410" s="43">
        <v>4</v>
      </c>
      <c r="N2410" s="113" t="s">
        <v>1113</v>
      </c>
      <c r="O2410" s="113"/>
      <c r="P2410" s="113"/>
      <c r="Q2410" s="319"/>
      <c r="R2410" s="319"/>
      <c r="S2410" s="319"/>
      <c r="T2410" s="319"/>
      <c r="U2410" s="319"/>
      <c r="V2410" s="319"/>
      <c r="W2410" s="319"/>
      <c r="X2410" s="319"/>
      <c r="Y2410" s="319"/>
      <c r="Z2410" s="319"/>
      <c r="AA2410" s="319"/>
      <c r="AB2410" s="319"/>
      <c r="AC2410" s="319"/>
      <c r="AD2410" s="319"/>
      <c r="AE2410" s="319"/>
      <c r="AF2410" s="319"/>
      <c r="AG2410" s="319"/>
      <c r="AH2410" s="319"/>
      <c r="AI2410" s="319"/>
      <c r="AJ2410" s="319"/>
      <c r="AK2410" s="319" t="s">
        <v>1113</v>
      </c>
      <c r="AL2410" s="319"/>
      <c r="AM2410" s="319"/>
      <c r="AN2410" s="319"/>
      <c r="AO2410" s="44" t="s">
        <v>2334</v>
      </c>
      <c r="AP2410" s="44"/>
      <c r="AQ2410" s="236" t="str">
        <f>VLOOKUP(Table8[[#This Row],[Instrument]],Def_Targets!$D$73:$E$159,2,FALSE)</f>
        <v>I_Vehicleeff</v>
      </c>
      <c r="AR2410" s="233" t="str">
        <f>VLOOKUP(Table8[[#This Row],[Country Code]],Table29[],3,FALSE)</f>
        <v>Annex I</v>
      </c>
      <c r="AS2410" s="233" t="str">
        <f>VLOOKUP(Table8[[#This Row],[Country Code]],Table29[],4,FALSE)</f>
        <v>Northern America</v>
      </c>
      <c r="AT2410" s="233" t="str">
        <f>VLOOKUP(Table8[[#This Row],[Country Code]],Table29[],5,FALSE)</f>
        <v>High-income</v>
      </c>
      <c r="AU2410" s="233" t="str">
        <f>VLOOKUP(Table8[[#This Row],[Country Code]],Table29[],6,FALSE)</f>
        <v>G20</v>
      </c>
      <c r="AV2410" s="233" t="str">
        <f>VLOOKUP(Table8[[#This Row],[Country Code]],Table29[],7,FALSE)</f>
        <v>G7</v>
      </c>
      <c r="AW2410" s="233" t="str">
        <f>VLOOKUP(Table8[[#This Row],[Country Code]],Table29[],8,FALSE)</f>
        <v>OECD</v>
      </c>
      <c r="AX2410" s="233" t="str">
        <f>VLOOKUP(Table8[[#This Row],[Country Code]],Table29[],9,FALSE)</f>
        <v>no</v>
      </c>
      <c r="AY2410" s="233" t="str">
        <f>VLOOKUP(Table8[[#This Row],[Country Code]],Table29[],10,FALSE)</f>
        <v>no</v>
      </c>
      <c r="AZ2410" s="235">
        <f>VLOOKUP(Table8[[#This Row],[Country Code]],Table29[],23,FALSE)</f>
        <v>5960.8043799938996</v>
      </c>
      <c r="BA2410" s="235">
        <f>VLOOKUP(Table8[[#This Row],[Country Code]],Table29[],24,FALSE)</f>
        <v>1735.9036371632039</v>
      </c>
      <c r="BB2410" s="320"/>
      <c r="BC2410" s="320"/>
    </row>
    <row r="2411" spans="1:55" ht="15" hidden="1" customHeight="1" x14ac:dyDescent="0.25">
      <c r="A2411" s="373">
        <v>17779</v>
      </c>
      <c r="B2411" s="233" t="str">
        <f>VLOOKUP(Table8[[#This Row],[Document ID]],Table1[],2,FALSE)</f>
        <v>USA</v>
      </c>
      <c r="C2411" s="233" t="str">
        <f>VLOOKUP(Table8[[#This Row],[Document ID]],Table1[],3,FALSE)</f>
        <v>United States of America</v>
      </c>
      <c r="D2411" s="243" t="str">
        <f>VLOOKUP(Table8[[#This Row],[Document ID]],Table1[],5,FALSE)</f>
        <v>LTS</v>
      </c>
      <c r="E2411" s="233" t="str">
        <f>VLOOKUP(Table8[[#This Row],[Document ID]],Table1[],7,FALSE)</f>
        <v>Archived LTS 1.0</v>
      </c>
      <c r="F2411" s="236" t="str">
        <f>VLOOKUP(Table8[[#This Row],[Document ID]],Table1[],8,FALSE)</f>
        <v>LTS 1.0</v>
      </c>
      <c r="G2411" s="236" t="str">
        <f>VLOOKUP(Table8[[#This Row],[Document ID]],Table1[],10,FALSE)</f>
        <v>Archived</v>
      </c>
      <c r="H2411" s="43" t="s">
        <v>2358</v>
      </c>
      <c r="I2411" s="43" t="s">
        <v>2359</v>
      </c>
      <c r="J2411" s="44" t="s">
        <v>2360</v>
      </c>
      <c r="K2411" s="44" t="s">
        <v>4529</v>
      </c>
      <c r="L2411" s="44" t="s">
        <v>2333</v>
      </c>
      <c r="M2411" s="43">
        <v>55</v>
      </c>
      <c r="N2411" s="113" t="s">
        <v>1113</v>
      </c>
      <c r="O2411" s="113"/>
      <c r="P2411" s="113"/>
      <c r="Q2411" s="319"/>
      <c r="R2411" s="319"/>
      <c r="S2411" s="319"/>
      <c r="T2411" s="319"/>
      <c r="U2411" s="319"/>
      <c r="V2411" s="319"/>
      <c r="W2411" s="319"/>
      <c r="X2411" s="319"/>
      <c r="Y2411" s="113"/>
      <c r="Z2411" s="113"/>
      <c r="AA2411" s="319"/>
      <c r="AB2411" s="319"/>
      <c r="AC2411" s="319"/>
      <c r="AD2411" s="319"/>
      <c r="AE2411" s="319"/>
      <c r="AF2411" s="319"/>
      <c r="AG2411" s="319"/>
      <c r="AH2411" s="319"/>
      <c r="AI2411" s="319"/>
      <c r="AJ2411" s="319"/>
      <c r="AK2411" s="319" t="s">
        <v>1113</v>
      </c>
      <c r="AL2411" s="319"/>
      <c r="AM2411" s="319"/>
      <c r="AN2411" s="319"/>
      <c r="AO2411" s="44" t="s">
        <v>2334</v>
      </c>
      <c r="AP2411" s="44"/>
      <c r="AQ2411" s="236" t="str">
        <f>VLOOKUP(Table8[[#This Row],[Instrument]],Def_Targets!$D$73:$E$159,2,FALSE)</f>
        <v>I_Emobility</v>
      </c>
      <c r="AR2411" s="233" t="str">
        <f>VLOOKUP(Table8[[#This Row],[Country Code]],Table29[],3,FALSE)</f>
        <v>Annex I</v>
      </c>
      <c r="AS2411" s="233" t="str">
        <f>VLOOKUP(Table8[[#This Row],[Country Code]],Table29[],4,FALSE)</f>
        <v>Northern America</v>
      </c>
      <c r="AT2411" s="233" t="str">
        <f>VLOOKUP(Table8[[#This Row],[Country Code]],Table29[],5,FALSE)</f>
        <v>High-income</v>
      </c>
      <c r="AU2411" s="233" t="str">
        <f>VLOOKUP(Table8[[#This Row],[Country Code]],Table29[],6,FALSE)</f>
        <v>G20</v>
      </c>
      <c r="AV2411" s="233" t="str">
        <f>VLOOKUP(Table8[[#This Row],[Country Code]],Table29[],7,FALSE)</f>
        <v>G7</v>
      </c>
      <c r="AW2411" s="233" t="str">
        <f>VLOOKUP(Table8[[#This Row],[Country Code]],Table29[],8,FALSE)</f>
        <v>OECD</v>
      </c>
      <c r="AX2411" s="233" t="str">
        <f>VLOOKUP(Table8[[#This Row],[Country Code]],Table29[],9,FALSE)</f>
        <v>no</v>
      </c>
      <c r="AY2411" s="233" t="str">
        <f>VLOOKUP(Table8[[#This Row],[Country Code]],Table29[],10,FALSE)</f>
        <v>no</v>
      </c>
      <c r="AZ2411" s="235">
        <f>VLOOKUP(Table8[[#This Row],[Country Code]],Table29[],23,FALSE)</f>
        <v>5960.8043799938996</v>
      </c>
      <c r="BA2411" s="235">
        <f>VLOOKUP(Table8[[#This Row],[Country Code]],Table29[],24,FALSE)</f>
        <v>1735.9036371632039</v>
      </c>
      <c r="BB2411" s="320"/>
      <c r="BC2411" s="320"/>
    </row>
    <row r="2412" spans="1:55" ht="15" hidden="1" customHeight="1" x14ac:dyDescent="0.25">
      <c r="A2412" s="373">
        <v>17779</v>
      </c>
      <c r="B2412" s="233" t="str">
        <f>VLOOKUP(Table8[[#This Row],[Document ID]],Table1[],2,FALSE)</f>
        <v>USA</v>
      </c>
      <c r="C2412" s="233" t="str">
        <f>VLOOKUP(Table8[[#This Row],[Document ID]],Table1[],3,FALSE)</f>
        <v>United States of America</v>
      </c>
      <c r="D2412" s="243" t="str">
        <f>VLOOKUP(Table8[[#This Row],[Document ID]],Table1[],5,FALSE)</f>
        <v>LTS</v>
      </c>
      <c r="E2412" s="233" t="str">
        <f>VLOOKUP(Table8[[#This Row],[Document ID]],Table1[],7,FALSE)</f>
        <v>Archived LTS 1.0</v>
      </c>
      <c r="F2412" s="236" t="str">
        <f>VLOOKUP(Table8[[#This Row],[Document ID]],Table1[],8,FALSE)</f>
        <v>LTS 1.0</v>
      </c>
      <c r="G2412" s="236" t="str">
        <f>VLOOKUP(Table8[[#This Row],[Document ID]],Table1[],10,FALSE)</f>
        <v>Archived</v>
      </c>
      <c r="H2412" s="44" t="s">
        <v>2329</v>
      </c>
      <c r="I2412" s="44" t="s">
        <v>2330</v>
      </c>
      <c r="J2412" s="44" t="s">
        <v>2391</v>
      </c>
      <c r="K2412" s="44" t="s">
        <v>4530</v>
      </c>
      <c r="L2412" s="44" t="s">
        <v>2333</v>
      </c>
      <c r="M2412" s="43">
        <v>55</v>
      </c>
      <c r="N2412" s="113" t="s">
        <v>1113</v>
      </c>
      <c r="O2412" s="113"/>
      <c r="P2412" s="113"/>
      <c r="Q2412" s="319"/>
      <c r="R2412" s="319"/>
      <c r="S2412" s="319"/>
      <c r="T2412" s="319"/>
      <c r="U2412" s="319"/>
      <c r="V2412" s="319"/>
      <c r="W2412" s="319"/>
      <c r="X2412" s="319"/>
      <c r="Y2412" s="319"/>
      <c r="Z2412" s="319"/>
      <c r="AA2412" s="319"/>
      <c r="AB2412" s="319"/>
      <c r="AC2412" s="319"/>
      <c r="AD2412" s="319"/>
      <c r="AE2412" s="319"/>
      <c r="AF2412" s="319"/>
      <c r="AG2412" s="319"/>
      <c r="AH2412" s="319"/>
      <c r="AI2412" s="319"/>
      <c r="AJ2412" s="319"/>
      <c r="AK2412" s="319" t="s">
        <v>1113</v>
      </c>
      <c r="AL2412" s="319"/>
      <c r="AM2412" s="319"/>
      <c r="AN2412" s="319"/>
      <c r="AO2412" s="44" t="s">
        <v>2334</v>
      </c>
      <c r="AP2412" s="44"/>
      <c r="AQ2412" s="236" t="str">
        <f>VLOOKUP(Table8[[#This Row],[Instrument]],Def_Targets!$D$73:$E$159,2,FALSE)</f>
        <v>I_Hydrogen</v>
      </c>
      <c r="AR2412" s="233" t="str">
        <f>VLOOKUP(Table8[[#This Row],[Country Code]],Table29[],3,FALSE)</f>
        <v>Annex I</v>
      </c>
      <c r="AS2412" s="233" t="str">
        <f>VLOOKUP(Table8[[#This Row],[Country Code]],Table29[],4,FALSE)</f>
        <v>Northern America</v>
      </c>
      <c r="AT2412" s="233" t="str">
        <f>VLOOKUP(Table8[[#This Row],[Country Code]],Table29[],5,FALSE)</f>
        <v>High-income</v>
      </c>
      <c r="AU2412" s="233" t="str">
        <f>VLOOKUP(Table8[[#This Row],[Country Code]],Table29[],6,FALSE)</f>
        <v>G20</v>
      </c>
      <c r="AV2412" s="233" t="str">
        <f>VLOOKUP(Table8[[#This Row],[Country Code]],Table29[],7,FALSE)</f>
        <v>G7</v>
      </c>
      <c r="AW2412" s="233" t="str">
        <f>VLOOKUP(Table8[[#This Row],[Country Code]],Table29[],8,FALSE)</f>
        <v>OECD</v>
      </c>
      <c r="AX2412" s="233" t="str">
        <f>VLOOKUP(Table8[[#This Row],[Country Code]],Table29[],9,FALSE)</f>
        <v>no</v>
      </c>
      <c r="AY2412" s="233" t="str">
        <f>VLOOKUP(Table8[[#This Row],[Country Code]],Table29[],10,FALSE)</f>
        <v>no</v>
      </c>
      <c r="AZ2412" s="235">
        <f>VLOOKUP(Table8[[#This Row],[Country Code]],Table29[],23,FALSE)</f>
        <v>5960.8043799938996</v>
      </c>
      <c r="BA2412" s="235">
        <f>VLOOKUP(Table8[[#This Row],[Country Code]],Table29[],24,FALSE)</f>
        <v>1735.9036371632039</v>
      </c>
      <c r="BB2412" s="320"/>
      <c r="BC2412" s="320"/>
    </row>
    <row r="2413" spans="1:55" ht="15" hidden="1" customHeight="1" x14ac:dyDescent="0.25">
      <c r="A2413" s="373">
        <v>17779</v>
      </c>
      <c r="B2413" s="233" t="str">
        <f>VLOOKUP(Table8[[#This Row],[Document ID]],Table1[],2,FALSE)</f>
        <v>USA</v>
      </c>
      <c r="C2413" s="233" t="str">
        <f>VLOOKUP(Table8[[#This Row],[Document ID]],Table1[],3,FALSE)</f>
        <v>United States of America</v>
      </c>
      <c r="D2413" s="243" t="str">
        <f>VLOOKUP(Table8[[#This Row],[Document ID]],Table1[],5,FALSE)</f>
        <v>LTS</v>
      </c>
      <c r="E2413" s="233" t="str">
        <f>VLOOKUP(Table8[[#This Row],[Document ID]],Table1[],7,FALSE)</f>
        <v>Archived LTS 1.0</v>
      </c>
      <c r="F2413" s="236" t="str">
        <f>VLOOKUP(Table8[[#This Row],[Document ID]],Table1[],8,FALSE)</f>
        <v>LTS 1.0</v>
      </c>
      <c r="G2413" s="236" t="str">
        <f>VLOOKUP(Table8[[#This Row],[Document ID]],Table1[],10,FALSE)</f>
        <v>Archived</v>
      </c>
      <c r="H2413" s="44" t="s">
        <v>2329</v>
      </c>
      <c r="I2413" s="44" t="s">
        <v>2330</v>
      </c>
      <c r="J2413" s="44" t="s">
        <v>2357</v>
      </c>
      <c r="K2413" s="44" t="s">
        <v>4531</v>
      </c>
      <c r="L2413" s="44" t="s">
        <v>2333</v>
      </c>
      <c r="M2413" s="43">
        <v>55</v>
      </c>
      <c r="N2413" s="113" t="s">
        <v>1113</v>
      </c>
      <c r="O2413" s="113"/>
      <c r="P2413" s="113"/>
      <c r="Q2413" s="319"/>
      <c r="R2413" s="319"/>
      <c r="S2413" s="319"/>
      <c r="T2413" s="319"/>
      <c r="U2413" s="319"/>
      <c r="V2413" s="319"/>
      <c r="W2413" s="319"/>
      <c r="X2413" s="319"/>
      <c r="Y2413" s="319"/>
      <c r="Z2413" s="319"/>
      <c r="AA2413" s="319"/>
      <c r="AB2413" s="319"/>
      <c r="AC2413" s="319"/>
      <c r="AD2413" s="319"/>
      <c r="AE2413" s="319"/>
      <c r="AF2413" s="319"/>
      <c r="AG2413" s="319"/>
      <c r="AH2413" s="319"/>
      <c r="AI2413" s="319"/>
      <c r="AJ2413" s="319"/>
      <c r="AK2413" s="319" t="s">
        <v>1113</v>
      </c>
      <c r="AL2413" s="319"/>
      <c r="AM2413" s="319"/>
      <c r="AN2413" s="319"/>
      <c r="AO2413" s="44" t="s">
        <v>2334</v>
      </c>
      <c r="AP2413" s="44"/>
      <c r="AQ2413" s="236" t="str">
        <f>VLOOKUP(Table8[[#This Row],[Instrument]],Def_Targets!$D$73:$E$159,2,FALSE)</f>
        <v>I_Biofuel</v>
      </c>
      <c r="AR2413" s="233" t="str">
        <f>VLOOKUP(Table8[[#This Row],[Country Code]],Table29[],3,FALSE)</f>
        <v>Annex I</v>
      </c>
      <c r="AS2413" s="233" t="str">
        <f>VLOOKUP(Table8[[#This Row],[Country Code]],Table29[],4,FALSE)</f>
        <v>Northern America</v>
      </c>
      <c r="AT2413" s="233" t="str">
        <f>VLOOKUP(Table8[[#This Row],[Country Code]],Table29[],5,FALSE)</f>
        <v>High-income</v>
      </c>
      <c r="AU2413" s="233" t="str">
        <f>VLOOKUP(Table8[[#This Row],[Country Code]],Table29[],6,FALSE)</f>
        <v>G20</v>
      </c>
      <c r="AV2413" s="233" t="str">
        <f>VLOOKUP(Table8[[#This Row],[Country Code]],Table29[],7,FALSE)</f>
        <v>G7</v>
      </c>
      <c r="AW2413" s="233" t="str">
        <f>VLOOKUP(Table8[[#This Row],[Country Code]],Table29[],8,FALSE)</f>
        <v>OECD</v>
      </c>
      <c r="AX2413" s="233" t="str">
        <f>VLOOKUP(Table8[[#This Row],[Country Code]],Table29[],9,FALSE)</f>
        <v>no</v>
      </c>
      <c r="AY2413" s="233" t="str">
        <f>VLOOKUP(Table8[[#This Row],[Country Code]],Table29[],10,FALSE)</f>
        <v>no</v>
      </c>
      <c r="AZ2413" s="235">
        <f>VLOOKUP(Table8[[#This Row],[Country Code]],Table29[],23,FALSE)</f>
        <v>5960.8043799938996</v>
      </c>
      <c r="BA2413" s="235">
        <f>VLOOKUP(Table8[[#This Row],[Country Code]],Table29[],24,FALSE)</f>
        <v>1735.9036371632039</v>
      </c>
      <c r="BB2413" s="320"/>
      <c r="BC2413" s="320"/>
    </row>
    <row r="2414" spans="1:55" ht="15" hidden="1" customHeight="1" x14ac:dyDescent="0.25">
      <c r="A2414" s="373">
        <v>17779</v>
      </c>
      <c r="B2414" s="233" t="str">
        <f>VLOOKUP(Table8[[#This Row],[Document ID]],Table1[],2,FALSE)</f>
        <v>USA</v>
      </c>
      <c r="C2414" s="233" t="str">
        <f>VLOOKUP(Table8[[#This Row],[Document ID]],Table1[],3,FALSE)</f>
        <v>United States of America</v>
      </c>
      <c r="D2414" s="243" t="str">
        <f>VLOOKUP(Table8[[#This Row],[Document ID]],Table1[],5,FALSE)</f>
        <v>LTS</v>
      </c>
      <c r="E2414" s="233" t="str">
        <f>VLOOKUP(Table8[[#This Row],[Document ID]],Table1[],7,FALSE)</f>
        <v>Archived LTS 1.0</v>
      </c>
      <c r="F2414" s="236" t="str">
        <f>VLOOKUP(Table8[[#This Row],[Document ID]],Table1[],8,FALSE)</f>
        <v>LTS 1.0</v>
      </c>
      <c r="G2414" s="236" t="str">
        <f>VLOOKUP(Table8[[#This Row],[Document ID]],Table1[],10,FALSE)</f>
        <v>Archived</v>
      </c>
      <c r="H2414" s="43" t="s">
        <v>2343</v>
      </c>
      <c r="I2414" s="43" t="s">
        <v>2344</v>
      </c>
      <c r="J2414" s="44" t="s">
        <v>2345</v>
      </c>
      <c r="K2414" s="44" t="s">
        <v>4532</v>
      </c>
      <c r="L2414" s="44" t="s">
        <v>2347</v>
      </c>
      <c r="M2414" s="43">
        <v>56</v>
      </c>
      <c r="N2414" s="113" t="s">
        <v>1113</v>
      </c>
      <c r="O2414" s="113"/>
      <c r="P2414" s="113"/>
      <c r="Q2414" s="319"/>
      <c r="R2414" s="319"/>
      <c r="S2414" s="319"/>
      <c r="T2414" s="319"/>
      <c r="U2414" s="319"/>
      <c r="V2414" s="319"/>
      <c r="W2414" s="319"/>
      <c r="X2414" s="319"/>
      <c r="Y2414" s="113"/>
      <c r="Z2414" s="113"/>
      <c r="AA2414" s="319"/>
      <c r="AB2414" s="319"/>
      <c r="AC2414" s="319"/>
      <c r="AD2414" s="319"/>
      <c r="AE2414" s="319"/>
      <c r="AF2414" s="319"/>
      <c r="AG2414" s="319"/>
      <c r="AH2414" s="319"/>
      <c r="AI2414" s="319"/>
      <c r="AJ2414" s="319"/>
      <c r="AK2414" s="319" t="s">
        <v>1113</v>
      </c>
      <c r="AL2414" s="319"/>
      <c r="AM2414" s="319"/>
      <c r="AN2414" s="319"/>
      <c r="AO2414" s="43" t="s">
        <v>2348</v>
      </c>
      <c r="AP2414" s="44"/>
      <c r="AQ2414" s="236" t="str">
        <f>VLOOKUP(Table8[[#This Row],[Instrument]],Def_Targets!$D$73:$E$159,2,FALSE)</f>
        <v>S_PublicTransport</v>
      </c>
      <c r="AR2414" s="233" t="str">
        <f>VLOOKUP(Table8[[#This Row],[Country Code]],Table29[],3,FALSE)</f>
        <v>Annex I</v>
      </c>
      <c r="AS2414" s="233" t="str">
        <f>VLOOKUP(Table8[[#This Row],[Country Code]],Table29[],4,FALSE)</f>
        <v>Northern America</v>
      </c>
      <c r="AT2414" s="233" t="str">
        <f>VLOOKUP(Table8[[#This Row],[Country Code]],Table29[],5,FALSE)</f>
        <v>High-income</v>
      </c>
      <c r="AU2414" s="233" t="str">
        <f>VLOOKUP(Table8[[#This Row],[Country Code]],Table29[],6,FALSE)</f>
        <v>G20</v>
      </c>
      <c r="AV2414" s="233" t="str">
        <f>VLOOKUP(Table8[[#This Row],[Country Code]],Table29[],7,FALSE)</f>
        <v>G7</v>
      </c>
      <c r="AW2414" s="233" t="str">
        <f>VLOOKUP(Table8[[#This Row],[Country Code]],Table29[],8,FALSE)</f>
        <v>OECD</v>
      </c>
      <c r="AX2414" s="233" t="str">
        <f>VLOOKUP(Table8[[#This Row],[Country Code]],Table29[],9,FALSE)</f>
        <v>no</v>
      </c>
      <c r="AY2414" s="233" t="str">
        <f>VLOOKUP(Table8[[#This Row],[Country Code]],Table29[],10,FALSE)</f>
        <v>no</v>
      </c>
      <c r="AZ2414" s="235">
        <f>VLOOKUP(Table8[[#This Row],[Country Code]],Table29[],23,FALSE)</f>
        <v>5960.8043799938996</v>
      </c>
      <c r="BA2414" s="235">
        <f>VLOOKUP(Table8[[#This Row],[Country Code]],Table29[],24,FALSE)</f>
        <v>1735.9036371632039</v>
      </c>
      <c r="BB2414" s="320"/>
      <c r="BC2414" s="320"/>
    </row>
    <row r="2415" spans="1:55" ht="15" hidden="1" customHeight="1" x14ac:dyDescent="0.25">
      <c r="A2415" s="373">
        <v>17779</v>
      </c>
      <c r="B2415" s="233" t="str">
        <f>VLOOKUP(Table8[[#This Row],[Document ID]],Table1[],2,FALSE)</f>
        <v>USA</v>
      </c>
      <c r="C2415" s="233" t="str">
        <f>VLOOKUP(Table8[[#This Row],[Document ID]],Table1[],3,FALSE)</f>
        <v>United States of America</v>
      </c>
      <c r="D2415" s="243" t="str">
        <f>VLOOKUP(Table8[[#This Row],[Document ID]],Table1[],5,FALSE)</f>
        <v>LTS</v>
      </c>
      <c r="E2415" s="233" t="str">
        <f>VLOOKUP(Table8[[#This Row],[Document ID]],Table1[],7,FALSE)</f>
        <v>Archived LTS 1.0</v>
      </c>
      <c r="F2415" s="236" t="str">
        <f>VLOOKUP(Table8[[#This Row],[Document ID]],Table1[],8,FALSE)</f>
        <v>LTS 1.0</v>
      </c>
      <c r="G2415" s="236" t="str">
        <f>VLOOKUP(Table8[[#This Row],[Document ID]],Table1[],10,FALSE)</f>
        <v>Archived</v>
      </c>
      <c r="H2415" s="43" t="s">
        <v>2350</v>
      </c>
      <c r="I2415" s="43" t="s">
        <v>2370</v>
      </c>
      <c r="J2415" s="44" t="s">
        <v>2518</v>
      </c>
      <c r="K2415" s="44" t="s">
        <v>4533</v>
      </c>
      <c r="L2415" s="44" t="s">
        <v>2380</v>
      </c>
      <c r="M2415" s="43">
        <v>56</v>
      </c>
      <c r="N2415" s="113" t="s">
        <v>1113</v>
      </c>
      <c r="O2415" s="113"/>
      <c r="P2415" s="113"/>
      <c r="Q2415" s="319"/>
      <c r="R2415" s="319"/>
      <c r="S2415" s="319"/>
      <c r="T2415" s="319"/>
      <c r="U2415" s="319"/>
      <c r="V2415" s="319"/>
      <c r="W2415" s="319"/>
      <c r="X2415" s="319"/>
      <c r="Y2415" s="319"/>
      <c r="Z2415" s="319"/>
      <c r="AA2415" s="319"/>
      <c r="AB2415" s="319"/>
      <c r="AC2415" s="319"/>
      <c r="AD2415" s="319"/>
      <c r="AE2415" s="319"/>
      <c r="AF2415" s="319"/>
      <c r="AG2415" s="319"/>
      <c r="AH2415" s="319"/>
      <c r="AI2415" s="319"/>
      <c r="AJ2415" s="319"/>
      <c r="AK2415" s="319" t="s">
        <v>1113</v>
      </c>
      <c r="AL2415" s="319"/>
      <c r="AM2415" s="319"/>
      <c r="AN2415" s="319"/>
      <c r="AO2415" s="44" t="s">
        <v>2334</v>
      </c>
      <c r="AP2415" s="44"/>
      <c r="AQ2415" s="236" t="str">
        <f>VLOOKUP(Table8[[#This Row],[Instrument]],Def_Targets!$D$73:$E$159,2,FALSE)</f>
        <v>A_Mixuse</v>
      </c>
      <c r="AR2415" s="233" t="str">
        <f>VLOOKUP(Table8[[#This Row],[Country Code]],Table29[],3,FALSE)</f>
        <v>Annex I</v>
      </c>
      <c r="AS2415" s="233" t="str">
        <f>VLOOKUP(Table8[[#This Row],[Country Code]],Table29[],4,FALSE)</f>
        <v>Northern America</v>
      </c>
      <c r="AT2415" s="233" t="str">
        <f>VLOOKUP(Table8[[#This Row],[Country Code]],Table29[],5,FALSE)</f>
        <v>High-income</v>
      </c>
      <c r="AU2415" s="233" t="str">
        <f>VLOOKUP(Table8[[#This Row],[Country Code]],Table29[],6,FALSE)</f>
        <v>G20</v>
      </c>
      <c r="AV2415" s="233" t="str">
        <f>VLOOKUP(Table8[[#This Row],[Country Code]],Table29[],7,FALSE)</f>
        <v>G7</v>
      </c>
      <c r="AW2415" s="233" t="str">
        <f>VLOOKUP(Table8[[#This Row],[Country Code]],Table29[],8,FALSE)</f>
        <v>OECD</v>
      </c>
      <c r="AX2415" s="233" t="str">
        <f>VLOOKUP(Table8[[#This Row],[Country Code]],Table29[],9,FALSE)</f>
        <v>no</v>
      </c>
      <c r="AY2415" s="233" t="str">
        <f>VLOOKUP(Table8[[#This Row],[Country Code]],Table29[],10,FALSE)</f>
        <v>no</v>
      </c>
      <c r="AZ2415" s="235">
        <f>VLOOKUP(Table8[[#This Row],[Country Code]],Table29[],23,FALSE)</f>
        <v>5960.8043799938996</v>
      </c>
      <c r="BA2415" s="235">
        <f>VLOOKUP(Table8[[#This Row],[Country Code]],Table29[],24,FALSE)</f>
        <v>1735.9036371632039</v>
      </c>
      <c r="BB2415" s="320"/>
      <c r="BC2415" s="320"/>
    </row>
    <row r="2416" spans="1:55" ht="15" hidden="1" customHeight="1" x14ac:dyDescent="0.25">
      <c r="A2416" s="373">
        <v>17779</v>
      </c>
      <c r="B2416" s="233" t="str">
        <f>VLOOKUP(Table8[[#This Row],[Document ID]],Table1[],2,FALSE)</f>
        <v>USA</v>
      </c>
      <c r="C2416" s="233" t="str">
        <f>VLOOKUP(Table8[[#This Row],[Document ID]],Table1[],3,FALSE)</f>
        <v>United States of America</v>
      </c>
      <c r="D2416" s="243" t="str">
        <f>VLOOKUP(Table8[[#This Row],[Document ID]],Table1[],5,FALSE)</f>
        <v>LTS</v>
      </c>
      <c r="E2416" s="233" t="str">
        <f>VLOOKUP(Table8[[#This Row],[Document ID]],Table1[],7,FALSE)</f>
        <v>Archived LTS 1.0</v>
      </c>
      <c r="F2416" s="236" t="str">
        <f>VLOOKUP(Table8[[#This Row],[Document ID]],Table1[],8,FALSE)</f>
        <v>LTS 1.0</v>
      </c>
      <c r="G2416" s="236" t="str">
        <f>VLOOKUP(Table8[[#This Row],[Document ID]],Table1[],10,FALSE)</f>
        <v>Archived</v>
      </c>
      <c r="H2416" s="43" t="s">
        <v>2350</v>
      </c>
      <c r="I2416" s="43" t="s">
        <v>2370</v>
      </c>
      <c r="J2416" s="44" t="s">
        <v>2518</v>
      </c>
      <c r="K2416" s="44" t="s">
        <v>4534</v>
      </c>
      <c r="L2416" s="44" t="s">
        <v>2380</v>
      </c>
      <c r="M2416" s="43">
        <v>56</v>
      </c>
      <c r="N2416" s="113" t="s">
        <v>1113</v>
      </c>
      <c r="O2416" s="113"/>
      <c r="P2416" s="113"/>
      <c r="Q2416" s="319"/>
      <c r="R2416" s="319"/>
      <c r="S2416" s="319"/>
      <c r="T2416" s="319"/>
      <c r="U2416" s="319"/>
      <c r="V2416" s="319"/>
      <c r="W2416" s="319"/>
      <c r="X2416" s="319"/>
      <c r="Y2416" s="113"/>
      <c r="Z2416" s="113"/>
      <c r="AA2416" s="319"/>
      <c r="AB2416" s="319"/>
      <c r="AC2416" s="319"/>
      <c r="AD2416" s="319"/>
      <c r="AE2416" s="319"/>
      <c r="AF2416" s="319"/>
      <c r="AG2416" s="319"/>
      <c r="AH2416" s="319"/>
      <c r="AI2416" s="319"/>
      <c r="AJ2416" s="319"/>
      <c r="AK2416" s="319" t="s">
        <v>1113</v>
      </c>
      <c r="AL2416" s="319"/>
      <c r="AM2416" s="319"/>
      <c r="AN2416" s="319"/>
      <c r="AO2416" s="44" t="s">
        <v>2334</v>
      </c>
      <c r="AP2416" s="44"/>
      <c r="AQ2416" s="236" t="str">
        <f>VLOOKUP(Table8[[#This Row],[Instrument]],Def_Targets!$D$73:$E$159,2,FALSE)</f>
        <v>A_Mixuse</v>
      </c>
      <c r="AR2416" s="233" t="str">
        <f>VLOOKUP(Table8[[#This Row],[Country Code]],Table29[],3,FALSE)</f>
        <v>Annex I</v>
      </c>
      <c r="AS2416" s="233" t="str">
        <f>VLOOKUP(Table8[[#This Row],[Country Code]],Table29[],4,FALSE)</f>
        <v>Northern America</v>
      </c>
      <c r="AT2416" s="233" t="str">
        <f>VLOOKUP(Table8[[#This Row],[Country Code]],Table29[],5,FALSE)</f>
        <v>High-income</v>
      </c>
      <c r="AU2416" s="233" t="str">
        <f>VLOOKUP(Table8[[#This Row],[Country Code]],Table29[],6,FALSE)</f>
        <v>G20</v>
      </c>
      <c r="AV2416" s="233" t="str">
        <f>VLOOKUP(Table8[[#This Row],[Country Code]],Table29[],7,FALSE)</f>
        <v>G7</v>
      </c>
      <c r="AW2416" s="233" t="str">
        <f>VLOOKUP(Table8[[#This Row],[Country Code]],Table29[],8,FALSE)</f>
        <v>OECD</v>
      </c>
      <c r="AX2416" s="233" t="str">
        <f>VLOOKUP(Table8[[#This Row],[Country Code]],Table29[],9,FALSE)</f>
        <v>no</v>
      </c>
      <c r="AY2416" s="233" t="str">
        <f>VLOOKUP(Table8[[#This Row],[Country Code]],Table29[],10,FALSE)</f>
        <v>no</v>
      </c>
      <c r="AZ2416" s="235">
        <f>VLOOKUP(Table8[[#This Row],[Country Code]],Table29[],23,FALSE)</f>
        <v>5960.8043799938996</v>
      </c>
      <c r="BA2416" s="235">
        <f>VLOOKUP(Table8[[#This Row],[Country Code]],Table29[],24,FALSE)</f>
        <v>1735.9036371632039</v>
      </c>
      <c r="BB2416" s="320"/>
      <c r="BC2416" s="320"/>
    </row>
    <row r="2417" spans="1:55" ht="15" hidden="1" customHeight="1" x14ac:dyDescent="0.25">
      <c r="A2417" s="373">
        <v>17779</v>
      </c>
      <c r="B2417" s="233" t="str">
        <f>VLOOKUP(Table8[[#This Row],[Document ID]],Table1[],2,FALSE)</f>
        <v>USA</v>
      </c>
      <c r="C2417" s="233" t="str">
        <f>VLOOKUP(Table8[[#This Row],[Document ID]],Table1[],3,FALSE)</f>
        <v>United States of America</v>
      </c>
      <c r="D2417" s="243" t="str">
        <f>VLOOKUP(Table8[[#This Row],[Document ID]],Table1[],5,FALSE)</f>
        <v>LTS</v>
      </c>
      <c r="E2417" s="233" t="str">
        <f>VLOOKUP(Table8[[#This Row],[Document ID]],Table1[],7,FALSE)</f>
        <v>Archived LTS 1.0</v>
      </c>
      <c r="F2417" s="236" t="str">
        <f>VLOOKUP(Table8[[#This Row],[Document ID]],Table1[],8,FALSE)</f>
        <v>LTS 1.0</v>
      </c>
      <c r="G2417" s="236" t="str">
        <f>VLOOKUP(Table8[[#This Row],[Document ID]],Table1[],10,FALSE)</f>
        <v>Archived</v>
      </c>
      <c r="H2417" s="43" t="s">
        <v>2343</v>
      </c>
      <c r="I2417" s="43" t="s">
        <v>2361</v>
      </c>
      <c r="J2417" s="44" t="s">
        <v>2463</v>
      </c>
      <c r="K2417" s="44" t="s">
        <v>4535</v>
      </c>
      <c r="L2417" s="44" t="s">
        <v>2347</v>
      </c>
      <c r="M2417" s="43">
        <v>56</v>
      </c>
      <c r="N2417" s="113"/>
      <c r="O2417" s="113"/>
      <c r="P2417" s="113"/>
      <c r="Q2417" s="319" t="s">
        <v>1113</v>
      </c>
      <c r="R2417" s="319"/>
      <c r="S2417" s="319"/>
      <c r="T2417" s="319"/>
      <c r="U2417" s="319"/>
      <c r="V2417" s="319"/>
      <c r="W2417" s="319"/>
      <c r="X2417" s="319"/>
      <c r="Y2417" s="319"/>
      <c r="Z2417" s="319"/>
      <c r="AA2417" s="319"/>
      <c r="AB2417" s="319"/>
      <c r="AC2417" s="319"/>
      <c r="AD2417" s="319"/>
      <c r="AE2417" s="319"/>
      <c r="AF2417" s="319"/>
      <c r="AG2417" s="319"/>
      <c r="AH2417" s="319"/>
      <c r="AI2417" s="319"/>
      <c r="AJ2417" s="319"/>
      <c r="AK2417" s="319" t="s">
        <v>1113</v>
      </c>
      <c r="AL2417" s="319"/>
      <c r="AM2417" s="319"/>
      <c r="AN2417" s="319"/>
      <c r="AO2417" s="44" t="s">
        <v>2334</v>
      </c>
      <c r="AP2417" s="43"/>
      <c r="AQ2417" s="236" t="str">
        <f>VLOOKUP(Table8[[#This Row],[Instrument]],Def_Targets!$D$73:$E$159,2,FALSE)</f>
        <v>S_Walking</v>
      </c>
      <c r="AR2417" s="233" t="str">
        <f>VLOOKUP(Table8[[#This Row],[Country Code]],Table29[],3,FALSE)</f>
        <v>Annex I</v>
      </c>
      <c r="AS2417" s="233" t="str">
        <f>VLOOKUP(Table8[[#This Row],[Country Code]],Table29[],4,FALSE)</f>
        <v>Northern America</v>
      </c>
      <c r="AT2417" s="233" t="str">
        <f>VLOOKUP(Table8[[#This Row],[Country Code]],Table29[],5,FALSE)</f>
        <v>High-income</v>
      </c>
      <c r="AU2417" s="233" t="str">
        <f>VLOOKUP(Table8[[#This Row],[Country Code]],Table29[],6,FALSE)</f>
        <v>G20</v>
      </c>
      <c r="AV2417" s="233" t="str">
        <f>VLOOKUP(Table8[[#This Row],[Country Code]],Table29[],7,FALSE)</f>
        <v>G7</v>
      </c>
      <c r="AW2417" s="233" t="str">
        <f>VLOOKUP(Table8[[#This Row],[Country Code]],Table29[],8,FALSE)</f>
        <v>OECD</v>
      </c>
      <c r="AX2417" s="233" t="str">
        <f>VLOOKUP(Table8[[#This Row],[Country Code]],Table29[],9,FALSE)</f>
        <v>no</v>
      </c>
      <c r="AY2417" s="233" t="str">
        <f>VLOOKUP(Table8[[#This Row],[Country Code]],Table29[],10,FALSE)</f>
        <v>no</v>
      </c>
      <c r="AZ2417" s="235">
        <f>VLOOKUP(Table8[[#This Row],[Country Code]],Table29[],23,FALSE)</f>
        <v>5960.8043799938996</v>
      </c>
      <c r="BA2417" s="235">
        <f>VLOOKUP(Table8[[#This Row],[Country Code]],Table29[],24,FALSE)</f>
        <v>1735.9036371632039</v>
      </c>
      <c r="BB2417" s="320"/>
      <c r="BC2417" s="320"/>
    </row>
    <row r="2418" spans="1:55" ht="45" hidden="1" customHeight="1" x14ac:dyDescent="0.25">
      <c r="A2418" s="373">
        <v>17779</v>
      </c>
      <c r="B2418" s="233" t="str">
        <f>VLOOKUP(Table8[[#This Row],[Document ID]],Table1[],2,FALSE)</f>
        <v>USA</v>
      </c>
      <c r="C2418" s="233" t="str">
        <f>VLOOKUP(Table8[[#This Row],[Document ID]],Table1[],3,FALSE)</f>
        <v>United States of America</v>
      </c>
      <c r="D2418" s="243" t="str">
        <f>VLOOKUP(Table8[[#This Row],[Document ID]],Table1[],5,FALSE)</f>
        <v>LTS</v>
      </c>
      <c r="E2418" s="233" t="str">
        <f>VLOOKUP(Table8[[#This Row],[Document ID]],Table1[],7,FALSE)</f>
        <v>Archived LTS 1.0</v>
      </c>
      <c r="F2418" s="236" t="str">
        <f>VLOOKUP(Table8[[#This Row],[Document ID]],Table1[],8,FALSE)</f>
        <v>LTS 1.0</v>
      </c>
      <c r="G2418" s="236" t="str">
        <f>VLOOKUP(Table8[[#This Row],[Document ID]],Table1[],10,FALSE)</f>
        <v>Archived</v>
      </c>
      <c r="H2418" s="43" t="s">
        <v>2343</v>
      </c>
      <c r="I2418" s="43" t="s">
        <v>2361</v>
      </c>
      <c r="J2418" s="44" t="s">
        <v>2362</v>
      </c>
      <c r="K2418" s="44" t="s">
        <v>4535</v>
      </c>
      <c r="L2418" s="44" t="s">
        <v>2347</v>
      </c>
      <c r="M2418" s="43">
        <v>56</v>
      </c>
      <c r="N2418" s="113"/>
      <c r="O2418" s="113"/>
      <c r="P2418" s="113"/>
      <c r="Q2418" s="319"/>
      <c r="R2418" s="319" t="s">
        <v>1113</v>
      </c>
      <c r="S2418" s="319"/>
      <c r="T2418" s="319"/>
      <c r="U2418" s="319"/>
      <c r="V2418" s="319"/>
      <c r="W2418" s="319"/>
      <c r="X2418" s="319"/>
      <c r="Y2418" s="113"/>
      <c r="Z2418" s="113"/>
      <c r="AA2418" s="319"/>
      <c r="AB2418" s="319"/>
      <c r="AC2418" s="319"/>
      <c r="AD2418" s="319"/>
      <c r="AE2418" s="319"/>
      <c r="AF2418" s="319"/>
      <c r="AG2418" s="319"/>
      <c r="AH2418" s="319"/>
      <c r="AI2418" s="319"/>
      <c r="AJ2418" s="319"/>
      <c r="AK2418" s="319" t="s">
        <v>1113</v>
      </c>
      <c r="AL2418" s="319"/>
      <c r="AM2418" s="319"/>
      <c r="AN2418" s="319"/>
      <c r="AO2418" s="44" t="s">
        <v>2334</v>
      </c>
      <c r="AP2418" s="43"/>
      <c r="AQ2418" s="236" t="str">
        <f>VLOOKUP(Table8[[#This Row],[Instrument]],Def_Targets!$D$73:$E$159,2,FALSE)</f>
        <v>S_Cycling</v>
      </c>
      <c r="AR2418" s="233" t="str">
        <f>VLOOKUP(Table8[[#This Row],[Country Code]],Table29[],3,FALSE)</f>
        <v>Annex I</v>
      </c>
      <c r="AS2418" s="233" t="str">
        <f>VLOOKUP(Table8[[#This Row],[Country Code]],Table29[],4,FALSE)</f>
        <v>Northern America</v>
      </c>
      <c r="AT2418" s="233" t="str">
        <f>VLOOKUP(Table8[[#This Row],[Country Code]],Table29[],5,FALSE)</f>
        <v>High-income</v>
      </c>
      <c r="AU2418" s="233" t="str">
        <f>VLOOKUP(Table8[[#This Row],[Country Code]],Table29[],6,FALSE)</f>
        <v>G20</v>
      </c>
      <c r="AV2418" s="233" t="str">
        <f>VLOOKUP(Table8[[#This Row],[Country Code]],Table29[],7,FALSE)</f>
        <v>G7</v>
      </c>
      <c r="AW2418" s="233" t="str">
        <f>VLOOKUP(Table8[[#This Row],[Country Code]],Table29[],8,FALSE)</f>
        <v>OECD</v>
      </c>
      <c r="AX2418" s="233" t="str">
        <f>VLOOKUP(Table8[[#This Row],[Country Code]],Table29[],9,FALSE)</f>
        <v>no</v>
      </c>
      <c r="AY2418" s="233" t="str">
        <f>VLOOKUP(Table8[[#This Row],[Country Code]],Table29[],10,FALSE)</f>
        <v>no</v>
      </c>
      <c r="AZ2418" s="235">
        <f>VLOOKUP(Table8[[#This Row],[Country Code]],Table29[],23,FALSE)</f>
        <v>5960.8043799938996</v>
      </c>
      <c r="BA2418" s="235">
        <f>VLOOKUP(Table8[[#This Row],[Country Code]],Table29[],24,FALSE)</f>
        <v>1735.9036371632039</v>
      </c>
      <c r="BB2418" s="320"/>
      <c r="BC2418" s="320"/>
    </row>
    <row r="2419" spans="1:55" ht="15" hidden="1" customHeight="1" x14ac:dyDescent="0.25">
      <c r="A2419" s="373">
        <v>17779</v>
      </c>
      <c r="B2419" s="233" t="str">
        <f>VLOOKUP(Table8[[#This Row],[Document ID]],Table1[],2,FALSE)</f>
        <v>USA</v>
      </c>
      <c r="C2419" s="233" t="str">
        <f>VLOOKUP(Table8[[#This Row],[Document ID]],Table1[],3,FALSE)</f>
        <v>United States of America</v>
      </c>
      <c r="D2419" s="243" t="str">
        <f>VLOOKUP(Table8[[#This Row],[Document ID]],Table1[],5,FALSE)</f>
        <v>LTS</v>
      </c>
      <c r="E2419" s="233" t="str">
        <f>VLOOKUP(Table8[[#This Row],[Document ID]],Table1[],7,FALSE)</f>
        <v>Archived LTS 1.0</v>
      </c>
      <c r="F2419" s="236" t="str">
        <f>VLOOKUP(Table8[[#This Row],[Document ID]],Table1[],8,FALSE)</f>
        <v>LTS 1.0</v>
      </c>
      <c r="G2419" s="236" t="str">
        <f>VLOOKUP(Table8[[#This Row],[Document ID]],Table1[],10,FALSE)</f>
        <v>Archived</v>
      </c>
      <c r="H2419" s="43" t="s">
        <v>2343</v>
      </c>
      <c r="I2419" s="43" t="s">
        <v>2429</v>
      </c>
      <c r="J2419" s="44" t="s">
        <v>2513</v>
      </c>
      <c r="K2419" s="44" t="s">
        <v>4536</v>
      </c>
      <c r="L2419" s="44" t="s">
        <v>2347</v>
      </c>
      <c r="M2419" s="43">
        <v>56</v>
      </c>
      <c r="N2419" s="113" t="s">
        <v>1113</v>
      </c>
      <c r="O2419" s="113"/>
      <c r="P2419" s="113"/>
      <c r="Q2419" s="319"/>
      <c r="R2419" s="319"/>
      <c r="S2419" s="319"/>
      <c r="T2419" s="319"/>
      <c r="U2419" s="319"/>
      <c r="V2419" s="319"/>
      <c r="W2419" s="319"/>
      <c r="X2419" s="319"/>
      <c r="Y2419" s="319"/>
      <c r="Z2419" s="319"/>
      <c r="AA2419" s="319"/>
      <c r="AB2419" s="319"/>
      <c r="AC2419" s="319"/>
      <c r="AD2419" s="319"/>
      <c r="AE2419" s="319"/>
      <c r="AF2419" s="319"/>
      <c r="AG2419" s="319"/>
      <c r="AH2419" s="319"/>
      <c r="AI2419" s="319"/>
      <c r="AJ2419" s="319"/>
      <c r="AK2419" s="319" t="s">
        <v>1113</v>
      </c>
      <c r="AL2419" s="319"/>
      <c r="AM2419" s="319"/>
      <c r="AN2419" s="319"/>
      <c r="AO2419" s="43" t="s">
        <v>2348</v>
      </c>
      <c r="AP2419" s="44"/>
      <c r="AQ2419" s="236" t="str">
        <f>VLOOKUP(Table8[[#This Row],[Instrument]],Def_Targets!$D$73:$E$159,2,FALSE)</f>
        <v>S_Sharedmob</v>
      </c>
      <c r="AR2419" s="233" t="str">
        <f>VLOOKUP(Table8[[#This Row],[Country Code]],Table29[],3,FALSE)</f>
        <v>Annex I</v>
      </c>
      <c r="AS2419" s="233" t="str">
        <f>VLOOKUP(Table8[[#This Row],[Country Code]],Table29[],4,FALSE)</f>
        <v>Northern America</v>
      </c>
      <c r="AT2419" s="233" t="str">
        <f>VLOOKUP(Table8[[#This Row],[Country Code]],Table29[],5,FALSE)</f>
        <v>High-income</v>
      </c>
      <c r="AU2419" s="233" t="str">
        <f>VLOOKUP(Table8[[#This Row],[Country Code]],Table29[],6,FALSE)</f>
        <v>G20</v>
      </c>
      <c r="AV2419" s="233" t="str">
        <f>VLOOKUP(Table8[[#This Row],[Country Code]],Table29[],7,FALSE)</f>
        <v>G7</v>
      </c>
      <c r="AW2419" s="233" t="str">
        <f>VLOOKUP(Table8[[#This Row],[Country Code]],Table29[],8,FALSE)</f>
        <v>OECD</v>
      </c>
      <c r="AX2419" s="233" t="str">
        <f>VLOOKUP(Table8[[#This Row],[Country Code]],Table29[],9,FALSE)</f>
        <v>no</v>
      </c>
      <c r="AY2419" s="233" t="str">
        <f>VLOOKUP(Table8[[#This Row],[Country Code]],Table29[],10,FALSE)</f>
        <v>no</v>
      </c>
      <c r="AZ2419" s="235">
        <f>VLOOKUP(Table8[[#This Row],[Country Code]],Table29[],23,FALSE)</f>
        <v>5960.8043799938996</v>
      </c>
      <c r="BA2419" s="235">
        <f>VLOOKUP(Table8[[#This Row],[Country Code]],Table29[],24,FALSE)</f>
        <v>1735.9036371632039</v>
      </c>
      <c r="BB2419" s="320"/>
      <c r="BC2419" s="320"/>
    </row>
    <row r="2420" spans="1:55" ht="15" hidden="1" customHeight="1" x14ac:dyDescent="0.25">
      <c r="A2420" s="373">
        <v>17779</v>
      </c>
      <c r="B2420" s="233" t="str">
        <f>VLOOKUP(Table8[[#This Row],[Document ID]],Table1[],2,FALSE)</f>
        <v>USA</v>
      </c>
      <c r="C2420" s="233" t="str">
        <f>VLOOKUP(Table8[[#This Row],[Document ID]],Table1[],3,FALSE)</f>
        <v>United States of America</v>
      </c>
      <c r="D2420" s="243" t="str">
        <f>VLOOKUP(Table8[[#This Row],[Document ID]],Table1[],5,FALSE)</f>
        <v>LTS</v>
      </c>
      <c r="E2420" s="233" t="str">
        <f>VLOOKUP(Table8[[#This Row],[Document ID]],Table1[],7,FALSE)</f>
        <v>Archived LTS 1.0</v>
      </c>
      <c r="F2420" s="236" t="str">
        <f>VLOOKUP(Table8[[#This Row],[Document ID]],Table1[],8,FALSE)</f>
        <v>LTS 1.0</v>
      </c>
      <c r="G2420" s="236" t="str">
        <f>VLOOKUP(Table8[[#This Row],[Document ID]],Table1[],10,FALSE)</f>
        <v>Archived</v>
      </c>
      <c r="H2420" s="43" t="s">
        <v>2350</v>
      </c>
      <c r="I2420" s="43" t="s">
        <v>2370</v>
      </c>
      <c r="J2420" s="44" t="s">
        <v>2418</v>
      </c>
      <c r="K2420" s="44" t="s">
        <v>4537</v>
      </c>
      <c r="L2420" s="44" t="s">
        <v>2396</v>
      </c>
      <c r="M2420" s="43">
        <v>56</v>
      </c>
      <c r="N2420" s="113" t="s">
        <v>1113</v>
      </c>
      <c r="O2420" s="113"/>
      <c r="P2420" s="113"/>
      <c r="Q2420" s="319"/>
      <c r="R2420" s="319"/>
      <c r="S2420" s="319"/>
      <c r="T2420" s="319"/>
      <c r="U2420" s="319"/>
      <c r="V2420" s="319"/>
      <c r="W2420" s="319"/>
      <c r="X2420" s="319"/>
      <c r="Y2420" s="113"/>
      <c r="Z2420" s="113"/>
      <c r="AA2420" s="319"/>
      <c r="AB2420" s="319"/>
      <c r="AC2420" s="319"/>
      <c r="AD2420" s="319"/>
      <c r="AE2420" s="319"/>
      <c r="AF2420" s="319"/>
      <c r="AG2420" s="319"/>
      <c r="AH2420" s="319"/>
      <c r="AI2420" s="319"/>
      <c r="AJ2420" s="319"/>
      <c r="AK2420" s="319"/>
      <c r="AL2420" s="319" t="s">
        <v>1113</v>
      </c>
      <c r="AM2420" s="319"/>
      <c r="AN2420" s="319"/>
      <c r="AO2420" s="44" t="s">
        <v>2334</v>
      </c>
      <c r="AP2420" s="44"/>
      <c r="AQ2420" s="236" t="str">
        <f>VLOOKUP(Table8[[#This Row],[Instrument]],Def_Targets!$D$73:$E$159,2,FALSE)</f>
        <v>A_Complan</v>
      </c>
      <c r="AR2420" s="233" t="str">
        <f>VLOOKUP(Table8[[#This Row],[Country Code]],Table29[],3,FALSE)</f>
        <v>Annex I</v>
      </c>
      <c r="AS2420" s="233" t="str">
        <f>VLOOKUP(Table8[[#This Row],[Country Code]],Table29[],4,FALSE)</f>
        <v>Northern America</v>
      </c>
      <c r="AT2420" s="233" t="str">
        <f>VLOOKUP(Table8[[#This Row],[Country Code]],Table29[],5,FALSE)</f>
        <v>High-income</v>
      </c>
      <c r="AU2420" s="233" t="str">
        <f>VLOOKUP(Table8[[#This Row],[Country Code]],Table29[],6,FALSE)</f>
        <v>G20</v>
      </c>
      <c r="AV2420" s="233" t="str">
        <f>VLOOKUP(Table8[[#This Row],[Country Code]],Table29[],7,FALSE)</f>
        <v>G7</v>
      </c>
      <c r="AW2420" s="233" t="str">
        <f>VLOOKUP(Table8[[#This Row],[Country Code]],Table29[],8,FALSE)</f>
        <v>OECD</v>
      </c>
      <c r="AX2420" s="233" t="str">
        <f>VLOOKUP(Table8[[#This Row],[Country Code]],Table29[],9,FALSE)</f>
        <v>no</v>
      </c>
      <c r="AY2420" s="233" t="str">
        <f>VLOOKUP(Table8[[#This Row],[Country Code]],Table29[],10,FALSE)</f>
        <v>no</v>
      </c>
      <c r="AZ2420" s="235">
        <f>VLOOKUP(Table8[[#This Row],[Country Code]],Table29[],23,FALSE)</f>
        <v>5960.8043799938996</v>
      </c>
      <c r="BA2420" s="235">
        <f>VLOOKUP(Table8[[#This Row],[Country Code]],Table29[],24,FALSE)</f>
        <v>1735.9036371632039</v>
      </c>
      <c r="BB2420" s="320"/>
      <c r="BC2420" s="320"/>
    </row>
    <row r="2421" spans="1:55" ht="15" hidden="1" customHeight="1" x14ac:dyDescent="0.25">
      <c r="A2421" s="373">
        <v>17779</v>
      </c>
      <c r="B2421" s="233" t="str">
        <f>VLOOKUP(Table8[[#This Row],[Document ID]],Table1[],2,FALSE)</f>
        <v>USA</v>
      </c>
      <c r="C2421" s="233" t="str">
        <f>VLOOKUP(Table8[[#This Row],[Document ID]],Table1[],3,FALSE)</f>
        <v>United States of America</v>
      </c>
      <c r="D2421" s="243" t="str">
        <f>VLOOKUP(Table8[[#This Row],[Document ID]],Table1[],5,FALSE)</f>
        <v>LTS</v>
      </c>
      <c r="E2421" s="233" t="str">
        <f>VLOOKUP(Table8[[#This Row],[Document ID]],Table1[],7,FALSE)</f>
        <v>Archived LTS 1.0</v>
      </c>
      <c r="F2421" s="233" t="str">
        <f>VLOOKUP(Table8[[#This Row],[Document ID]],Table1[],8,FALSE)</f>
        <v>LTS 1.0</v>
      </c>
      <c r="G2421" s="233" t="str">
        <f>VLOOKUP(Table8[[#This Row],[Document ID]],Table1[],10,FALSE)</f>
        <v>Archived</v>
      </c>
      <c r="H2421" s="43" t="s">
        <v>2350</v>
      </c>
      <c r="I2421" s="43" t="s">
        <v>2351</v>
      </c>
      <c r="J2421" s="44" t="s">
        <v>2352</v>
      </c>
      <c r="K2421" s="44" t="s">
        <v>4538</v>
      </c>
      <c r="L2421" s="44" t="s">
        <v>2396</v>
      </c>
      <c r="M2421" s="43">
        <v>56</v>
      </c>
      <c r="N2421" s="113"/>
      <c r="O2421" s="113"/>
      <c r="P2421" s="113"/>
      <c r="Q2421" s="113"/>
      <c r="R2421" s="113"/>
      <c r="S2421" s="113"/>
      <c r="T2421" s="113"/>
      <c r="U2421" s="113"/>
      <c r="V2421" s="113"/>
      <c r="W2421" s="113"/>
      <c r="X2421" s="113" t="s">
        <v>1113</v>
      </c>
      <c r="Y2421" s="113"/>
      <c r="Z2421" s="113" t="s">
        <v>1113</v>
      </c>
      <c r="AA2421" s="113"/>
      <c r="AB2421" s="113"/>
      <c r="AC2421" s="113"/>
      <c r="AD2421" s="113"/>
      <c r="AE2421" s="113"/>
      <c r="AF2421" s="113"/>
      <c r="AG2421" s="113"/>
      <c r="AH2421" s="113"/>
      <c r="AI2421" s="113"/>
      <c r="AJ2421" s="113"/>
      <c r="AK2421" s="319" t="s">
        <v>1113</v>
      </c>
      <c r="AL2421" s="319"/>
      <c r="AM2421" s="319"/>
      <c r="AN2421" s="319"/>
      <c r="AO2421" s="43" t="s">
        <v>2353</v>
      </c>
      <c r="AP2421" s="43"/>
      <c r="AQ2421" s="236" t="str">
        <f>VLOOKUP(Table8[[#This Row],[Instrument]],Def_Targets!$D$73:$E$159,2,FALSE)</f>
        <v>S_Railfreight</v>
      </c>
      <c r="AR2421" s="233" t="str">
        <f>VLOOKUP(Table8[[#This Row],[Country Code]],Table29[],3,FALSE)</f>
        <v>Annex I</v>
      </c>
      <c r="AS2421" s="233" t="str">
        <f>VLOOKUP(Table8[[#This Row],[Country Code]],Table29[],4,FALSE)</f>
        <v>Northern America</v>
      </c>
      <c r="AT2421" s="233" t="str">
        <f>VLOOKUP(Table8[[#This Row],[Country Code]],Table29[],5,FALSE)</f>
        <v>High-income</v>
      </c>
      <c r="AU2421" s="233" t="str">
        <f>VLOOKUP(Table8[[#This Row],[Country Code]],Table29[],6,FALSE)</f>
        <v>G20</v>
      </c>
      <c r="AV2421" s="233" t="str">
        <f>VLOOKUP(Table8[[#This Row],[Country Code]],Table29[],7,FALSE)</f>
        <v>G7</v>
      </c>
      <c r="AW2421" s="233" t="str">
        <f>VLOOKUP(Table8[[#This Row],[Country Code]],Table29[],8,FALSE)</f>
        <v>OECD</v>
      </c>
      <c r="AX2421" s="233" t="str">
        <f>VLOOKUP(Table8[[#This Row],[Country Code]],Table29[],9,FALSE)</f>
        <v>no</v>
      </c>
      <c r="AY2421" s="233" t="str">
        <f>VLOOKUP(Table8[[#This Row],[Country Code]],Table29[],10,FALSE)</f>
        <v>no</v>
      </c>
      <c r="AZ2421" s="235">
        <f>VLOOKUP(Table8[[#This Row],[Country Code]],Table29[],23,FALSE)</f>
        <v>5960.8043799938996</v>
      </c>
      <c r="BA2421" s="235">
        <f>VLOOKUP(Table8[[#This Row],[Country Code]],Table29[],24,FALSE)</f>
        <v>1735.9036371632039</v>
      </c>
      <c r="BB2421" s="320"/>
      <c r="BC2421" s="320"/>
    </row>
    <row r="2422" spans="1:55" ht="15" hidden="1" customHeight="1" x14ac:dyDescent="0.25">
      <c r="A2422" s="373">
        <v>17779</v>
      </c>
      <c r="B2422" s="233" t="str">
        <f>VLOOKUP(Table8[[#This Row],[Document ID]],Table1[],2,FALSE)</f>
        <v>USA</v>
      </c>
      <c r="C2422" s="233" t="str">
        <f>VLOOKUP(Table8[[#This Row],[Document ID]],Table1[],3,FALSE)</f>
        <v>United States of America</v>
      </c>
      <c r="D2422" s="243" t="str">
        <f>VLOOKUP(Table8[[#This Row],[Document ID]],Table1[],5,FALSE)</f>
        <v>LTS</v>
      </c>
      <c r="E2422" s="233" t="str">
        <f>VLOOKUP(Table8[[#This Row],[Document ID]],Table1[],7,FALSE)</f>
        <v>Archived LTS 1.0</v>
      </c>
      <c r="F2422" s="236" t="str">
        <f>VLOOKUP(Table8[[#This Row],[Document ID]],Table1[],8,FALSE)</f>
        <v>LTS 1.0</v>
      </c>
      <c r="G2422" s="236" t="str">
        <f>VLOOKUP(Table8[[#This Row],[Document ID]],Table1[],10,FALSE)</f>
        <v>Archived</v>
      </c>
      <c r="H2422" s="43" t="s">
        <v>2350</v>
      </c>
      <c r="I2422" s="43" t="s">
        <v>2351</v>
      </c>
      <c r="J2422" s="44" t="s">
        <v>2447</v>
      </c>
      <c r="K2422" s="44" t="s">
        <v>4538</v>
      </c>
      <c r="L2422" s="44" t="s">
        <v>2396</v>
      </c>
      <c r="M2422" s="43">
        <v>56</v>
      </c>
      <c r="N2422" s="113"/>
      <c r="O2422" s="113"/>
      <c r="P2422" s="113"/>
      <c r="Q2422" s="319"/>
      <c r="R2422" s="319"/>
      <c r="S2422" s="319"/>
      <c r="T2422" s="319"/>
      <c r="U2422" s="319"/>
      <c r="V2422" s="319"/>
      <c r="W2422" s="319"/>
      <c r="X2422" s="319" t="s">
        <v>1113</v>
      </c>
      <c r="Y2422" s="319"/>
      <c r="Z2422" s="319" t="s">
        <v>1113</v>
      </c>
      <c r="AA2422" s="319"/>
      <c r="AB2422" s="319"/>
      <c r="AC2422" s="319"/>
      <c r="AD2422" s="319"/>
      <c r="AE2422" s="319"/>
      <c r="AF2422" s="319"/>
      <c r="AG2422" s="319"/>
      <c r="AH2422" s="319"/>
      <c r="AI2422" s="319"/>
      <c r="AJ2422" s="319"/>
      <c r="AK2422" s="319" t="s">
        <v>1113</v>
      </c>
      <c r="AL2422" s="319"/>
      <c r="AM2422" s="319"/>
      <c r="AN2422" s="319"/>
      <c r="AO2422" s="43" t="s">
        <v>2353</v>
      </c>
      <c r="AP2422" s="44"/>
      <c r="AQ2422" s="236" t="str">
        <f>VLOOKUP(Table8[[#This Row],[Instrument]],Def_Targets!$D$73:$E$159,2,FALSE)</f>
        <v>I_Freighteff</v>
      </c>
      <c r="AR2422" s="233" t="str">
        <f>VLOOKUP(Table8[[#This Row],[Country Code]],Table29[],3,FALSE)</f>
        <v>Annex I</v>
      </c>
      <c r="AS2422" s="233" t="str">
        <f>VLOOKUP(Table8[[#This Row],[Country Code]],Table29[],4,FALSE)</f>
        <v>Northern America</v>
      </c>
      <c r="AT2422" s="233" t="str">
        <f>VLOOKUP(Table8[[#This Row],[Country Code]],Table29[],5,FALSE)</f>
        <v>High-income</v>
      </c>
      <c r="AU2422" s="233" t="str">
        <f>VLOOKUP(Table8[[#This Row],[Country Code]],Table29[],6,FALSE)</f>
        <v>G20</v>
      </c>
      <c r="AV2422" s="233" t="str">
        <f>VLOOKUP(Table8[[#This Row],[Country Code]],Table29[],7,FALSE)</f>
        <v>G7</v>
      </c>
      <c r="AW2422" s="233" t="str">
        <f>VLOOKUP(Table8[[#This Row],[Country Code]],Table29[],8,FALSE)</f>
        <v>OECD</v>
      </c>
      <c r="AX2422" s="233" t="str">
        <f>VLOOKUP(Table8[[#This Row],[Country Code]],Table29[],9,FALSE)</f>
        <v>no</v>
      </c>
      <c r="AY2422" s="233" t="str">
        <f>VLOOKUP(Table8[[#This Row],[Country Code]],Table29[],10,FALSE)</f>
        <v>no</v>
      </c>
      <c r="AZ2422" s="235">
        <f>VLOOKUP(Table8[[#This Row],[Country Code]],Table29[],23,FALSE)</f>
        <v>5960.8043799938996</v>
      </c>
      <c r="BA2422" s="235">
        <f>VLOOKUP(Table8[[#This Row],[Country Code]],Table29[],24,FALSE)</f>
        <v>1735.9036371632039</v>
      </c>
      <c r="BB2422" s="320"/>
      <c r="BC2422" s="320"/>
    </row>
    <row r="2423" spans="1:55" ht="15" hidden="1" customHeight="1" x14ac:dyDescent="0.25">
      <c r="A2423" s="373">
        <v>19930</v>
      </c>
      <c r="B2423" s="233" t="str">
        <f>VLOOKUP(Table8[[#This Row],[Document ID]],Table1[],2,FALSE)</f>
        <v>USA</v>
      </c>
      <c r="C2423" s="233" t="str">
        <f>VLOOKUP(Table8[[#This Row],[Document ID]],Table1[],3,FALSE)</f>
        <v>United States of America</v>
      </c>
      <c r="D2423" s="243" t="str">
        <f>VLOOKUP(Table8[[#This Row],[Document ID]],Table1[],5,FALSE)</f>
        <v>NDC</v>
      </c>
      <c r="E2423" s="233" t="str">
        <f>VLOOKUP(Table8[[#This Row],[Document ID]],Table1[],7,FALSE)</f>
        <v>First NDC updated</v>
      </c>
      <c r="F2423" s="236" t="str">
        <f>VLOOKUP(Table8[[#This Row],[Document ID]],Table1[],8,FALSE)</f>
        <v>NDC 1.1</v>
      </c>
      <c r="G2423" s="236" t="str">
        <f>VLOOKUP(Table8[[#This Row],[Document ID]],Table1[],10,FALSE)</f>
        <v>Archived</v>
      </c>
      <c r="H2423" s="43" t="s">
        <v>2358</v>
      </c>
      <c r="I2423" s="43" t="s">
        <v>2359</v>
      </c>
      <c r="J2423" s="44" t="s">
        <v>2389</v>
      </c>
      <c r="K2423" s="44" t="s">
        <v>4539</v>
      </c>
      <c r="L2423" s="44" t="s">
        <v>2333</v>
      </c>
      <c r="M2423" s="43">
        <v>4</v>
      </c>
      <c r="N2423" s="113"/>
      <c r="O2423" s="113"/>
      <c r="P2423" s="113"/>
      <c r="Q2423" s="319"/>
      <c r="R2423" s="319"/>
      <c r="S2423" s="319" t="s">
        <v>1113</v>
      </c>
      <c r="T2423" s="319"/>
      <c r="U2423" s="319"/>
      <c r="V2423" s="319"/>
      <c r="W2423" s="319"/>
      <c r="X2423" s="319"/>
      <c r="Y2423" s="113"/>
      <c r="Z2423" s="113"/>
      <c r="AA2423" s="319"/>
      <c r="AB2423" s="319"/>
      <c r="AC2423" s="319"/>
      <c r="AD2423" s="319"/>
      <c r="AE2423" s="319"/>
      <c r="AF2423" s="319"/>
      <c r="AG2423" s="319"/>
      <c r="AH2423" s="319"/>
      <c r="AI2423" s="319"/>
      <c r="AJ2423" s="319"/>
      <c r="AK2423" s="319" t="s">
        <v>1113</v>
      </c>
      <c r="AL2423" s="319"/>
      <c r="AM2423" s="319"/>
      <c r="AN2423" s="319"/>
      <c r="AO2423" s="43" t="s">
        <v>2348</v>
      </c>
      <c r="AP2423" s="44"/>
      <c r="AQ2423" s="236" t="str">
        <f>VLOOKUP(Table8[[#This Row],[Instrument]],Def_Targets!$D$73:$E$159,2,FALSE)</f>
        <v>I_Emobilitypurchase</v>
      </c>
      <c r="AR2423" s="233" t="str">
        <f>VLOOKUP(Table8[[#This Row],[Country Code]],Table29[],3,FALSE)</f>
        <v>Annex I</v>
      </c>
      <c r="AS2423" s="233" t="str">
        <f>VLOOKUP(Table8[[#This Row],[Country Code]],Table29[],4,FALSE)</f>
        <v>Northern America</v>
      </c>
      <c r="AT2423" s="233" t="str">
        <f>VLOOKUP(Table8[[#This Row],[Country Code]],Table29[],5,FALSE)</f>
        <v>High-income</v>
      </c>
      <c r="AU2423" s="233" t="str">
        <f>VLOOKUP(Table8[[#This Row],[Country Code]],Table29[],6,FALSE)</f>
        <v>G20</v>
      </c>
      <c r="AV2423" s="233" t="str">
        <f>VLOOKUP(Table8[[#This Row],[Country Code]],Table29[],7,FALSE)</f>
        <v>G7</v>
      </c>
      <c r="AW2423" s="233" t="str">
        <f>VLOOKUP(Table8[[#This Row],[Country Code]],Table29[],8,FALSE)</f>
        <v>OECD</v>
      </c>
      <c r="AX2423" s="233" t="str">
        <f>VLOOKUP(Table8[[#This Row],[Country Code]],Table29[],9,FALSE)</f>
        <v>no</v>
      </c>
      <c r="AY2423" s="233" t="str">
        <f>VLOOKUP(Table8[[#This Row],[Country Code]],Table29[],10,FALSE)</f>
        <v>no</v>
      </c>
      <c r="AZ2423" s="235">
        <f>VLOOKUP(Table8[[#This Row],[Country Code]],Table29[],23,FALSE)</f>
        <v>5960.8043799938996</v>
      </c>
      <c r="BA2423" s="235">
        <f>VLOOKUP(Table8[[#This Row],[Country Code]],Table29[],24,FALSE)</f>
        <v>1735.9036371632039</v>
      </c>
      <c r="BB2423" s="320"/>
      <c r="BC2423" s="320"/>
    </row>
    <row r="2424" spans="1:55" ht="15" hidden="1" customHeight="1" x14ac:dyDescent="0.25">
      <c r="A2424" s="373">
        <v>19930</v>
      </c>
      <c r="B2424" s="233" t="str">
        <f>VLOOKUP(Table8[[#This Row],[Document ID]],Table1[],2,FALSE)</f>
        <v>USA</v>
      </c>
      <c r="C2424" s="233" t="str">
        <f>VLOOKUP(Table8[[#This Row],[Document ID]],Table1[],3,FALSE)</f>
        <v>United States of America</v>
      </c>
      <c r="D2424" s="243" t="str">
        <f>VLOOKUP(Table8[[#This Row],[Document ID]],Table1[],5,FALSE)</f>
        <v>NDC</v>
      </c>
      <c r="E2424" s="233" t="str">
        <f>VLOOKUP(Table8[[#This Row],[Document ID]],Table1[],7,FALSE)</f>
        <v>First NDC updated</v>
      </c>
      <c r="F2424" s="236" t="str">
        <f>VLOOKUP(Table8[[#This Row],[Document ID]],Table1[],8,FALSE)</f>
        <v>NDC 1.1</v>
      </c>
      <c r="G2424" s="236" t="str">
        <f>VLOOKUP(Table8[[#This Row],[Document ID]],Table1[],10,FALSE)</f>
        <v>Archived</v>
      </c>
      <c r="H2424" s="43" t="s">
        <v>2358</v>
      </c>
      <c r="I2424" s="43" t="s">
        <v>2359</v>
      </c>
      <c r="J2424" s="44" t="s">
        <v>2383</v>
      </c>
      <c r="K2424" s="44" t="s">
        <v>4540</v>
      </c>
      <c r="L2424" s="44" t="s">
        <v>2333</v>
      </c>
      <c r="M2424" s="43">
        <v>4</v>
      </c>
      <c r="N2424" s="113" t="s">
        <v>1113</v>
      </c>
      <c r="O2424" s="113"/>
      <c r="P2424" s="113"/>
      <c r="Q2424" s="319"/>
      <c r="R2424" s="319"/>
      <c r="S2424" s="319"/>
      <c r="T2424" s="319"/>
      <c r="U2424" s="319"/>
      <c r="V2424" s="319"/>
      <c r="W2424" s="319"/>
      <c r="X2424" s="319"/>
      <c r="Y2424" s="319"/>
      <c r="Z2424" s="319"/>
      <c r="AA2424" s="319"/>
      <c r="AB2424" s="319"/>
      <c r="AC2424" s="319"/>
      <c r="AD2424" s="319"/>
      <c r="AE2424" s="319"/>
      <c r="AF2424" s="319"/>
      <c r="AG2424" s="319"/>
      <c r="AH2424" s="319"/>
      <c r="AI2424" s="319"/>
      <c r="AJ2424" s="319"/>
      <c r="AK2424" s="319" t="s">
        <v>1113</v>
      </c>
      <c r="AL2424" s="319"/>
      <c r="AM2424" s="319"/>
      <c r="AN2424" s="319"/>
      <c r="AO2424" s="44" t="s">
        <v>2334</v>
      </c>
      <c r="AP2424" s="44"/>
      <c r="AQ2424" s="236" t="str">
        <f>VLOOKUP(Table8[[#This Row],[Instrument]],Def_Targets!$D$73:$E$159,2,FALSE)</f>
        <v>I_Emobilitycharging</v>
      </c>
      <c r="AR2424" s="233" t="str">
        <f>VLOOKUP(Table8[[#This Row],[Country Code]],Table29[],3,FALSE)</f>
        <v>Annex I</v>
      </c>
      <c r="AS2424" s="233" t="str">
        <f>VLOOKUP(Table8[[#This Row],[Country Code]],Table29[],4,FALSE)</f>
        <v>Northern America</v>
      </c>
      <c r="AT2424" s="233" t="str">
        <f>VLOOKUP(Table8[[#This Row],[Country Code]],Table29[],5,FALSE)</f>
        <v>High-income</v>
      </c>
      <c r="AU2424" s="233" t="str">
        <f>VLOOKUP(Table8[[#This Row],[Country Code]],Table29[],6,FALSE)</f>
        <v>G20</v>
      </c>
      <c r="AV2424" s="233" t="str">
        <f>VLOOKUP(Table8[[#This Row],[Country Code]],Table29[],7,FALSE)</f>
        <v>G7</v>
      </c>
      <c r="AW2424" s="233" t="str">
        <f>VLOOKUP(Table8[[#This Row],[Country Code]],Table29[],8,FALSE)</f>
        <v>OECD</v>
      </c>
      <c r="AX2424" s="233" t="str">
        <f>VLOOKUP(Table8[[#This Row],[Country Code]],Table29[],9,FALSE)</f>
        <v>no</v>
      </c>
      <c r="AY2424" s="233" t="str">
        <f>VLOOKUP(Table8[[#This Row],[Country Code]],Table29[],10,FALSE)</f>
        <v>no</v>
      </c>
      <c r="AZ2424" s="235">
        <f>VLOOKUP(Table8[[#This Row],[Country Code]],Table29[],23,FALSE)</f>
        <v>5960.8043799938996</v>
      </c>
      <c r="BA2424" s="235">
        <f>VLOOKUP(Table8[[#This Row],[Country Code]],Table29[],24,FALSE)</f>
        <v>1735.9036371632039</v>
      </c>
      <c r="BB2424" s="320"/>
      <c r="BC2424" s="320"/>
    </row>
    <row r="2425" spans="1:55" ht="53.25" hidden="1" customHeight="1" x14ac:dyDescent="0.25">
      <c r="A2425" s="373">
        <v>19930</v>
      </c>
      <c r="B2425" s="233" t="str">
        <f>VLOOKUP(Table8[[#This Row],[Document ID]],Table1[],2,FALSE)</f>
        <v>USA</v>
      </c>
      <c r="C2425" s="233" t="str">
        <f>VLOOKUP(Table8[[#This Row],[Document ID]],Table1[],3,FALSE)</f>
        <v>United States of America</v>
      </c>
      <c r="D2425" s="243" t="str">
        <f>VLOOKUP(Table8[[#This Row],[Document ID]],Table1[],5,FALSE)</f>
        <v>NDC</v>
      </c>
      <c r="E2425" s="233" t="str">
        <f>VLOOKUP(Table8[[#This Row],[Document ID]],Table1[],7,FALSE)</f>
        <v>First NDC updated</v>
      </c>
      <c r="F2425" s="236" t="str">
        <f>VLOOKUP(Table8[[#This Row],[Document ID]],Table1[],8,FALSE)</f>
        <v>NDC 1.1</v>
      </c>
      <c r="G2425" s="236" t="str">
        <f>VLOOKUP(Table8[[#This Row],[Document ID]],Table1[],10,FALSE)</f>
        <v>Archived</v>
      </c>
      <c r="H2425" s="44" t="s">
        <v>2329</v>
      </c>
      <c r="I2425" s="44" t="s">
        <v>2330</v>
      </c>
      <c r="J2425" s="44" t="s">
        <v>2331</v>
      </c>
      <c r="K2425" s="44" t="s">
        <v>4541</v>
      </c>
      <c r="L2425" s="44" t="s">
        <v>2333</v>
      </c>
      <c r="M2425" s="43">
        <v>4</v>
      </c>
      <c r="N2425" s="113"/>
      <c r="O2425" s="113"/>
      <c r="P2425" s="113"/>
      <c r="Q2425" s="319"/>
      <c r="R2425" s="319"/>
      <c r="S2425" s="319"/>
      <c r="T2425" s="319"/>
      <c r="U2425" s="319"/>
      <c r="V2425" s="319"/>
      <c r="W2425" s="319"/>
      <c r="X2425" s="319"/>
      <c r="Y2425" s="113"/>
      <c r="Z2425" s="113"/>
      <c r="AA2425" s="319"/>
      <c r="AB2425" s="319"/>
      <c r="AC2425" s="319"/>
      <c r="AD2425" s="319"/>
      <c r="AE2425" s="319"/>
      <c r="AF2425" s="319"/>
      <c r="AG2425" s="319"/>
      <c r="AH2425" s="319" t="s">
        <v>1113</v>
      </c>
      <c r="AI2425" s="319"/>
      <c r="AJ2425" s="319"/>
      <c r="AK2425" s="319" t="s">
        <v>1113</v>
      </c>
      <c r="AL2425" s="319"/>
      <c r="AM2425" s="319"/>
      <c r="AN2425" s="319"/>
      <c r="AO2425" s="44" t="s">
        <v>2334</v>
      </c>
      <c r="AP2425" s="44"/>
      <c r="AQ2425" s="236" t="str">
        <f>VLOOKUP(Table8[[#This Row],[Instrument]],Def_Targets!$D$73:$E$159,2,FALSE)</f>
        <v>I_Altfuels</v>
      </c>
      <c r="AR2425" s="233" t="str">
        <f>VLOOKUP(Table8[[#This Row],[Country Code]],Table29[],3,FALSE)</f>
        <v>Annex I</v>
      </c>
      <c r="AS2425" s="233" t="str">
        <f>VLOOKUP(Table8[[#This Row],[Country Code]],Table29[],4,FALSE)</f>
        <v>Northern America</v>
      </c>
      <c r="AT2425" s="233" t="str">
        <f>VLOOKUP(Table8[[#This Row],[Country Code]],Table29[],5,FALSE)</f>
        <v>High-income</v>
      </c>
      <c r="AU2425" s="233" t="str">
        <f>VLOOKUP(Table8[[#This Row],[Country Code]],Table29[],6,FALSE)</f>
        <v>G20</v>
      </c>
      <c r="AV2425" s="233" t="str">
        <f>VLOOKUP(Table8[[#This Row],[Country Code]],Table29[],7,FALSE)</f>
        <v>G7</v>
      </c>
      <c r="AW2425" s="233" t="str">
        <f>VLOOKUP(Table8[[#This Row],[Country Code]],Table29[],8,FALSE)</f>
        <v>OECD</v>
      </c>
      <c r="AX2425" s="233" t="str">
        <f>VLOOKUP(Table8[[#This Row],[Country Code]],Table29[],9,FALSE)</f>
        <v>no</v>
      </c>
      <c r="AY2425" s="233" t="str">
        <f>VLOOKUP(Table8[[#This Row],[Country Code]],Table29[],10,FALSE)</f>
        <v>no</v>
      </c>
      <c r="AZ2425" s="235">
        <f>VLOOKUP(Table8[[#This Row],[Country Code]],Table29[],23,FALSE)</f>
        <v>5960.8043799938996</v>
      </c>
      <c r="BA2425" s="235">
        <f>VLOOKUP(Table8[[#This Row],[Country Code]],Table29[],24,FALSE)</f>
        <v>1735.9036371632039</v>
      </c>
      <c r="BB2425" s="320"/>
      <c r="BC2425" s="320"/>
    </row>
    <row r="2426" spans="1:55" ht="34.5" hidden="1" customHeight="1" x14ac:dyDescent="0.25">
      <c r="A2426" s="373">
        <v>19930</v>
      </c>
      <c r="B2426" s="233" t="str">
        <f>VLOOKUP(Table8[[#This Row],[Document ID]],Table1[],2,FALSE)</f>
        <v>USA</v>
      </c>
      <c r="C2426" s="233" t="str">
        <f>VLOOKUP(Table8[[#This Row],[Document ID]],Table1[],3,FALSE)</f>
        <v>United States of America</v>
      </c>
      <c r="D2426" s="243" t="str">
        <f>VLOOKUP(Table8[[#This Row],[Document ID]],Table1[],5,FALSE)</f>
        <v>NDC</v>
      </c>
      <c r="E2426" s="233" t="str">
        <f>VLOOKUP(Table8[[#This Row],[Document ID]],Table1[],7,FALSE)</f>
        <v>First NDC updated</v>
      </c>
      <c r="F2426" s="236" t="str">
        <f>VLOOKUP(Table8[[#This Row],[Document ID]],Table1[],8,FALSE)</f>
        <v>NDC 1.1</v>
      </c>
      <c r="G2426" s="236" t="str">
        <f>VLOOKUP(Table8[[#This Row],[Document ID]],Table1[],10,FALSE)</f>
        <v>Archived</v>
      </c>
      <c r="H2426" s="43" t="s">
        <v>2343</v>
      </c>
      <c r="I2426" s="43" t="s">
        <v>2361</v>
      </c>
      <c r="J2426" s="44" t="s">
        <v>2362</v>
      </c>
      <c r="K2426" s="44" t="s">
        <v>4542</v>
      </c>
      <c r="L2426" s="44" t="s">
        <v>2347</v>
      </c>
      <c r="M2426" s="43">
        <v>4</v>
      </c>
      <c r="N2426" s="113"/>
      <c r="O2426" s="113"/>
      <c r="P2426" s="113"/>
      <c r="Q2426" s="319"/>
      <c r="R2426" s="319" t="s">
        <v>1113</v>
      </c>
      <c r="S2426" s="319"/>
      <c r="T2426" s="319"/>
      <c r="U2426" s="319"/>
      <c r="V2426" s="319"/>
      <c r="W2426" s="319"/>
      <c r="X2426" s="319"/>
      <c r="Y2426" s="319" t="s">
        <v>1113</v>
      </c>
      <c r="Z2426" s="319"/>
      <c r="AA2426" s="319"/>
      <c r="AB2426" s="319"/>
      <c r="AC2426" s="319" t="s">
        <v>1113</v>
      </c>
      <c r="AD2426" s="319"/>
      <c r="AE2426" s="319"/>
      <c r="AF2426" s="319"/>
      <c r="AG2426" s="319"/>
      <c r="AH2426" s="319"/>
      <c r="AI2426" s="319"/>
      <c r="AJ2426" s="319"/>
      <c r="AK2426" s="319" t="s">
        <v>1113</v>
      </c>
      <c r="AL2426" s="319"/>
      <c r="AM2426" s="319"/>
      <c r="AN2426" s="319"/>
      <c r="AO2426" s="44" t="s">
        <v>2334</v>
      </c>
      <c r="AP2426" s="43"/>
      <c r="AQ2426" s="236" t="str">
        <f>VLOOKUP(Table8[[#This Row],[Instrument]],Def_Targets!$D$73:$E$159,2,FALSE)</f>
        <v>S_Cycling</v>
      </c>
      <c r="AR2426" s="233" t="str">
        <f>VLOOKUP(Table8[[#This Row],[Country Code]],Table29[],3,FALSE)</f>
        <v>Annex I</v>
      </c>
      <c r="AS2426" s="233" t="str">
        <f>VLOOKUP(Table8[[#This Row],[Country Code]],Table29[],4,FALSE)</f>
        <v>Northern America</v>
      </c>
      <c r="AT2426" s="233" t="str">
        <f>VLOOKUP(Table8[[#This Row],[Country Code]],Table29[],5,FALSE)</f>
        <v>High-income</v>
      </c>
      <c r="AU2426" s="233" t="str">
        <f>VLOOKUP(Table8[[#This Row],[Country Code]],Table29[],6,FALSE)</f>
        <v>G20</v>
      </c>
      <c r="AV2426" s="233" t="str">
        <f>VLOOKUP(Table8[[#This Row],[Country Code]],Table29[],7,FALSE)</f>
        <v>G7</v>
      </c>
      <c r="AW2426" s="233" t="str">
        <f>VLOOKUP(Table8[[#This Row],[Country Code]],Table29[],8,FALSE)</f>
        <v>OECD</v>
      </c>
      <c r="AX2426" s="233" t="str">
        <f>VLOOKUP(Table8[[#This Row],[Country Code]],Table29[],9,FALSE)</f>
        <v>no</v>
      </c>
      <c r="AY2426" s="233" t="str">
        <f>VLOOKUP(Table8[[#This Row],[Country Code]],Table29[],10,FALSE)</f>
        <v>no</v>
      </c>
      <c r="AZ2426" s="235">
        <f>VLOOKUP(Table8[[#This Row],[Country Code]],Table29[],23,FALSE)</f>
        <v>5960.8043799938996</v>
      </c>
      <c r="BA2426" s="235">
        <f>VLOOKUP(Table8[[#This Row],[Country Code]],Table29[],24,FALSE)</f>
        <v>1735.9036371632039</v>
      </c>
      <c r="BB2426" s="320"/>
      <c r="BC2426" s="320"/>
    </row>
    <row r="2427" spans="1:55" ht="133.5" hidden="1" customHeight="1" x14ac:dyDescent="0.25">
      <c r="A2427" s="373">
        <v>19930</v>
      </c>
      <c r="B2427" s="233" t="str">
        <f>VLOOKUP(Table8[[#This Row],[Document ID]],Table1[],2,FALSE)</f>
        <v>USA</v>
      </c>
      <c r="C2427" s="233" t="str">
        <f>VLOOKUP(Table8[[#This Row],[Document ID]],Table1[],3,FALSE)</f>
        <v>United States of America</v>
      </c>
      <c r="D2427" s="243" t="str">
        <f>VLOOKUP(Table8[[#This Row],[Document ID]],Table1[],5,FALSE)</f>
        <v>NDC</v>
      </c>
      <c r="E2427" s="233" t="str">
        <f>VLOOKUP(Table8[[#This Row],[Document ID]],Table1[],7,FALSE)</f>
        <v>First NDC updated</v>
      </c>
      <c r="F2427" s="236" t="str">
        <f>VLOOKUP(Table8[[#This Row],[Document ID]],Table1[],8,FALSE)</f>
        <v>NDC 1.1</v>
      </c>
      <c r="G2427" s="236" t="str">
        <f>VLOOKUP(Table8[[#This Row],[Document ID]],Table1[],10,FALSE)</f>
        <v>Archived</v>
      </c>
      <c r="H2427" s="43" t="s">
        <v>2343</v>
      </c>
      <c r="I2427" s="43" t="s">
        <v>2361</v>
      </c>
      <c r="J2427" s="44" t="s">
        <v>2463</v>
      </c>
      <c r="K2427" s="44" t="s">
        <v>4542</v>
      </c>
      <c r="L2427" s="44" t="s">
        <v>2347</v>
      </c>
      <c r="M2427" s="43">
        <v>4</v>
      </c>
      <c r="N2427" s="113"/>
      <c r="O2427" s="113"/>
      <c r="P2427" s="113"/>
      <c r="Q2427" s="319" t="s">
        <v>1113</v>
      </c>
      <c r="R2427" s="319"/>
      <c r="S2427" s="319"/>
      <c r="T2427" s="319"/>
      <c r="U2427" s="319"/>
      <c r="V2427" s="319"/>
      <c r="W2427" s="319"/>
      <c r="X2427" s="319"/>
      <c r="Y2427" s="113" t="s">
        <v>1113</v>
      </c>
      <c r="Z2427" s="113"/>
      <c r="AA2427" s="319"/>
      <c r="AB2427" s="319"/>
      <c r="AC2427" s="319" t="s">
        <v>1113</v>
      </c>
      <c r="AD2427" s="319"/>
      <c r="AE2427" s="319"/>
      <c r="AF2427" s="319"/>
      <c r="AG2427" s="319"/>
      <c r="AH2427" s="319"/>
      <c r="AI2427" s="319"/>
      <c r="AJ2427" s="319"/>
      <c r="AK2427" s="319" t="s">
        <v>1113</v>
      </c>
      <c r="AL2427" s="319"/>
      <c r="AM2427" s="319"/>
      <c r="AN2427" s="319"/>
      <c r="AO2427" s="44" t="s">
        <v>2334</v>
      </c>
      <c r="AP2427" s="43"/>
      <c r="AQ2427" s="236" t="str">
        <f>VLOOKUP(Table8[[#This Row],[Instrument]],Def_Targets!$D$73:$E$159,2,FALSE)</f>
        <v>S_Walking</v>
      </c>
      <c r="AR2427" s="233" t="str">
        <f>VLOOKUP(Table8[[#This Row],[Country Code]],Table29[],3,FALSE)</f>
        <v>Annex I</v>
      </c>
      <c r="AS2427" s="233" t="str">
        <f>VLOOKUP(Table8[[#This Row],[Country Code]],Table29[],4,FALSE)</f>
        <v>Northern America</v>
      </c>
      <c r="AT2427" s="233" t="str">
        <f>VLOOKUP(Table8[[#This Row],[Country Code]],Table29[],5,FALSE)</f>
        <v>High-income</v>
      </c>
      <c r="AU2427" s="233" t="str">
        <f>VLOOKUP(Table8[[#This Row],[Country Code]],Table29[],6,FALSE)</f>
        <v>G20</v>
      </c>
      <c r="AV2427" s="233" t="str">
        <f>VLOOKUP(Table8[[#This Row],[Country Code]],Table29[],7,FALSE)</f>
        <v>G7</v>
      </c>
      <c r="AW2427" s="233" t="str">
        <f>VLOOKUP(Table8[[#This Row],[Country Code]],Table29[],8,FALSE)</f>
        <v>OECD</v>
      </c>
      <c r="AX2427" s="233" t="str">
        <f>VLOOKUP(Table8[[#This Row],[Country Code]],Table29[],9,FALSE)</f>
        <v>no</v>
      </c>
      <c r="AY2427" s="233" t="str">
        <f>VLOOKUP(Table8[[#This Row],[Country Code]],Table29[],10,FALSE)</f>
        <v>no</v>
      </c>
      <c r="AZ2427" s="235">
        <f>VLOOKUP(Table8[[#This Row],[Country Code]],Table29[],23,FALSE)</f>
        <v>5960.8043799938996</v>
      </c>
      <c r="BA2427" s="235">
        <f>VLOOKUP(Table8[[#This Row],[Country Code]],Table29[],24,FALSE)</f>
        <v>1735.9036371632039</v>
      </c>
      <c r="BB2427" s="320"/>
      <c r="BC2427" s="320"/>
    </row>
    <row r="2428" spans="1:55" ht="45" hidden="1" x14ac:dyDescent="0.25">
      <c r="A2428" s="373">
        <v>19930</v>
      </c>
      <c r="B2428" s="233" t="str">
        <f>VLOOKUP(Table8[[#This Row],[Document ID]],Table1[],2,FALSE)</f>
        <v>USA</v>
      </c>
      <c r="C2428" s="233" t="str">
        <f>VLOOKUP(Table8[[#This Row],[Document ID]],Table1[],3,FALSE)</f>
        <v>United States of America</v>
      </c>
      <c r="D2428" s="243" t="str">
        <f>VLOOKUP(Table8[[#This Row],[Document ID]],Table1[],5,FALSE)</f>
        <v>NDC</v>
      </c>
      <c r="E2428" s="233" t="str">
        <f>VLOOKUP(Table8[[#This Row],[Document ID]],Table1[],7,FALSE)</f>
        <v>First NDC updated</v>
      </c>
      <c r="F2428" s="236" t="str">
        <f>VLOOKUP(Table8[[#This Row],[Document ID]],Table1[],8,FALSE)</f>
        <v>NDC 1.1</v>
      </c>
      <c r="G2428" s="236" t="str">
        <f>VLOOKUP(Table8[[#This Row],[Document ID]],Table1[],10,FALSE)</f>
        <v>Archived</v>
      </c>
      <c r="H2428" s="43" t="s">
        <v>2350</v>
      </c>
      <c r="I2428" s="43" t="s">
        <v>2456</v>
      </c>
      <c r="J2428" s="44" t="s">
        <v>2457</v>
      </c>
      <c r="K2428" s="44" t="s">
        <v>4542</v>
      </c>
      <c r="L2428" s="44" t="s">
        <v>2396</v>
      </c>
      <c r="M2428" s="43">
        <v>4</v>
      </c>
      <c r="N2428" s="113"/>
      <c r="O2428" s="113"/>
      <c r="P2428" s="113"/>
      <c r="Q2428" s="319" t="s">
        <v>1113</v>
      </c>
      <c r="R2428" s="319" t="s">
        <v>1113</v>
      </c>
      <c r="S2428" s="319"/>
      <c r="T2428" s="319"/>
      <c r="U2428" s="319"/>
      <c r="V2428" s="319"/>
      <c r="W2428" s="319"/>
      <c r="X2428" s="319"/>
      <c r="Y2428" s="319" t="s">
        <v>1113</v>
      </c>
      <c r="Z2428" s="319"/>
      <c r="AA2428" s="319"/>
      <c r="AB2428" s="319"/>
      <c r="AC2428" s="319" t="s">
        <v>1113</v>
      </c>
      <c r="AD2428" s="319"/>
      <c r="AE2428" s="319"/>
      <c r="AF2428" s="319"/>
      <c r="AG2428" s="319"/>
      <c r="AH2428" s="319"/>
      <c r="AI2428" s="319"/>
      <c r="AJ2428" s="319"/>
      <c r="AK2428" s="319" t="s">
        <v>1113</v>
      </c>
      <c r="AL2428" s="319"/>
      <c r="AM2428" s="319"/>
      <c r="AN2428" s="319"/>
      <c r="AO2428" s="44" t="s">
        <v>2334</v>
      </c>
      <c r="AP2428" s="43"/>
      <c r="AQ2428" s="236" t="str">
        <f>VLOOKUP(Table8[[#This Row],[Instrument]],Def_Targets!$D$73:$E$159,2,FALSE)</f>
        <v>S_Infraimprove</v>
      </c>
      <c r="AR2428" s="233" t="str">
        <f>VLOOKUP(Table8[[#This Row],[Country Code]],Table29[],3,FALSE)</f>
        <v>Annex I</v>
      </c>
      <c r="AS2428" s="233" t="str">
        <f>VLOOKUP(Table8[[#This Row],[Country Code]],Table29[],4,FALSE)</f>
        <v>Northern America</v>
      </c>
      <c r="AT2428" s="233" t="str">
        <f>VLOOKUP(Table8[[#This Row],[Country Code]],Table29[],5,FALSE)</f>
        <v>High-income</v>
      </c>
      <c r="AU2428" s="233" t="str">
        <f>VLOOKUP(Table8[[#This Row],[Country Code]],Table29[],6,FALSE)</f>
        <v>G20</v>
      </c>
      <c r="AV2428" s="233" t="str">
        <f>VLOOKUP(Table8[[#This Row],[Country Code]],Table29[],7,FALSE)</f>
        <v>G7</v>
      </c>
      <c r="AW2428" s="233" t="str">
        <f>VLOOKUP(Table8[[#This Row],[Country Code]],Table29[],8,FALSE)</f>
        <v>OECD</v>
      </c>
      <c r="AX2428" s="233" t="str">
        <f>VLOOKUP(Table8[[#This Row],[Country Code]],Table29[],9,FALSE)</f>
        <v>no</v>
      </c>
      <c r="AY2428" s="233" t="str">
        <f>VLOOKUP(Table8[[#This Row],[Country Code]],Table29[],10,FALSE)</f>
        <v>no</v>
      </c>
      <c r="AZ2428" s="235">
        <f>VLOOKUP(Table8[[#This Row],[Country Code]],Table29[],23,FALSE)</f>
        <v>5960.8043799938996</v>
      </c>
      <c r="BA2428" s="235">
        <f>VLOOKUP(Table8[[#This Row],[Country Code]],Table29[],24,FALSE)</f>
        <v>1735.9036371632039</v>
      </c>
      <c r="BB2428" s="320"/>
      <c r="BC2428" s="320"/>
    </row>
    <row r="2429" spans="1:55" ht="15" hidden="1" customHeight="1" x14ac:dyDescent="0.25">
      <c r="A2429" s="373">
        <v>17750</v>
      </c>
      <c r="B2429" s="233" t="str">
        <f>VLOOKUP(Table8[[#This Row],[Document ID]],Table1[],2,FALSE)</f>
        <v>SWE</v>
      </c>
      <c r="C2429" s="233" t="str">
        <f>VLOOKUP(Table8[[#This Row],[Document ID]],Table1[],3,FALSE)</f>
        <v>Sweden</v>
      </c>
      <c r="D2429" s="243" t="str">
        <f>VLOOKUP(Table8[[#This Row],[Document ID]],Table1[],5,FALSE)</f>
        <v>LTS</v>
      </c>
      <c r="E2429" s="233" t="str">
        <f>VLOOKUP(Table8[[#This Row],[Document ID]],Table1[],7,FALSE)</f>
        <v>LTS</v>
      </c>
      <c r="F2429" s="233" t="str">
        <f>VLOOKUP(Table8[[#This Row],[Document ID]],Table1[],8,FALSE)</f>
        <v>LTS 1.0</v>
      </c>
      <c r="G2429" s="233" t="str">
        <f>VLOOKUP(Table8[[#This Row],[Document ID]],Table1[],10,FALSE)</f>
        <v>Active</v>
      </c>
      <c r="H2429" s="43" t="s">
        <v>2343</v>
      </c>
      <c r="I2429" s="43" t="s">
        <v>2386</v>
      </c>
      <c r="J2429" s="44" t="s">
        <v>2397</v>
      </c>
      <c r="K2429" s="44" t="s">
        <v>4543</v>
      </c>
      <c r="L2429" s="44" t="s">
        <v>2347</v>
      </c>
      <c r="M2429" s="43">
        <v>49</v>
      </c>
      <c r="N2429" s="113"/>
      <c r="O2429" s="113"/>
      <c r="P2429" s="113"/>
      <c r="Q2429" s="113"/>
      <c r="R2429" s="113"/>
      <c r="S2429" s="113"/>
      <c r="T2429" s="113"/>
      <c r="U2429" s="113"/>
      <c r="V2429" s="113"/>
      <c r="W2429" s="113"/>
      <c r="X2429" s="113"/>
      <c r="Y2429" s="113"/>
      <c r="Z2429" s="113"/>
      <c r="AA2429" s="113"/>
      <c r="AB2429" s="113"/>
      <c r="AC2429" s="113"/>
      <c r="AD2429" s="113" t="s">
        <v>1113</v>
      </c>
      <c r="AE2429" s="113"/>
      <c r="AF2429" s="113"/>
      <c r="AG2429" s="113"/>
      <c r="AH2429" s="113"/>
      <c r="AI2429" s="113"/>
      <c r="AJ2429" s="113"/>
      <c r="AK2429" s="319" t="s">
        <v>1113</v>
      </c>
      <c r="AL2429" s="113"/>
      <c r="AM2429" s="113"/>
      <c r="AN2429" s="113"/>
      <c r="AO2429" s="43" t="s">
        <v>2353</v>
      </c>
      <c r="AP2429" s="43"/>
      <c r="AQ2429" s="236" t="str">
        <f>VLOOKUP(Table8[[#This Row],[Instrument]],Def_Targets!$D$73:$E$159,2,FALSE)</f>
        <v>A_Finance</v>
      </c>
      <c r="AR2429" s="233" t="str">
        <f>VLOOKUP(Table8[[#This Row],[Country Code]],Table29[],3,FALSE)</f>
        <v>Annex I</v>
      </c>
      <c r="AS2429" s="233" t="str">
        <f>VLOOKUP(Table8[[#This Row],[Country Code]],Table29[],4,FALSE)</f>
        <v>Europe</v>
      </c>
      <c r="AT2429" s="233" t="str">
        <f>VLOOKUP(Table8[[#This Row],[Country Code]],Table29[],5,FALSE)</f>
        <v>High-income</v>
      </c>
      <c r="AU2429" s="233" t="str">
        <f>VLOOKUP(Table8[[#This Row],[Country Code]],Table29[],6,FALSE)</f>
        <v>no</v>
      </c>
      <c r="AV2429" s="233" t="str">
        <f>VLOOKUP(Table8[[#This Row],[Country Code]],Table29[],7,FALSE)</f>
        <v>no</v>
      </c>
      <c r="AW2429" s="233" t="str">
        <f>VLOOKUP(Table8[[#This Row],[Country Code]],Table29[],8,FALSE)</f>
        <v>OECD</v>
      </c>
      <c r="AX2429" s="233" t="str">
        <f>VLOOKUP(Table8[[#This Row],[Country Code]],Table29[],9,FALSE)</f>
        <v>EU27</v>
      </c>
      <c r="AY2429" s="233" t="str">
        <f>VLOOKUP(Table8[[#This Row],[Country Code]],Table29[],10,FALSE)</f>
        <v>no</v>
      </c>
      <c r="AZ2429" s="235">
        <f>VLOOKUP(Table8[[#This Row],[Country Code]],Table29[],23,FALSE)</f>
        <v>49.118373633418003</v>
      </c>
      <c r="BA2429" s="235">
        <f>VLOOKUP(Table8[[#This Row],[Country Code]],Table29[],24,FALSE)</f>
        <v>13.502992277371289</v>
      </c>
      <c r="BB2429" s="320"/>
      <c r="BC2429" s="320"/>
    </row>
    <row r="2430" spans="1:55" s="27" customFormat="1" ht="75" hidden="1" x14ac:dyDescent="0.25">
      <c r="A2430" s="373">
        <v>17750</v>
      </c>
      <c r="B2430" s="233" t="str">
        <f>VLOOKUP(Table8[[#This Row],[Document ID]],Table1[],2,FALSE)</f>
        <v>SWE</v>
      </c>
      <c r="C2430" s="233" t="str">
        <f>VLOOKUP(Table8[[#This Row],[Document ID]],Table1[],3,FALSE)</f>
        <v>Sweden</v>
      </c>
      <c r="D2430" s="243" t="str">
        <f>VLOOKUP(Table8[[#This Row],[Document ID]],Table1[],5,FALSE)</f>
        <v>LTS</v>
      </c>
      <c r="E2430" s="233" t="str">
        <f>VLOOKUP(Table8[[#This Row],[Document ID]],Table1[],7,FALSE)</f>
        <v>LTS</v>
      </c>
      <c r="F2430" s="233" t="str">
        <f>VLOOKUP(Table8[[#This Row],[Document ID]],Table1[],8,FALSE)</f>
        <v>LTS 1.0</v>
      </c>
      <c r="G2430" s="233" t="str">
        <f>VLOOKUP(Table8[[#This Row],[Document ID]],Table1[],10,FALSE)</f>
        <v>Active</v>
      </c>
      <c r="H2430" s="43" t="s">
        <v>2343</v>
      </c>
      <c r="I2430" s="43" t="s">
        <v>2386</v>
      </c>
      <c r="J2430" s="44" t="s">
        <v>2498</v>
      </c>
      <c r="K2430" s="44" t="s">
        <v>4544</v>
      </c>
      <c r="L2430" s="44" t="s">
        <v>2396</v>
      </c>
      <c r="M2430" s="43">
        <v>49</v>
      </c>
      <c r="N2430" s="113"/>
      <c r="O2430" s="113"/>
      <c r="P2430" s="113"/>
      <c r="Q2430" s="113"/>
      <c r="R2430" s="113"/>
      <c r="S2430" s="113"/>
      <c r="T2430" s="113"/>
      <c r="U2430" s="113"/>
      <c r="V2430" s="113"/>
      <c r="W2430" s="113"/>
      <c r="X2430" s="113"/>
      <c r="Y2430" s="113"/>
      <c r="Z2430" s="113"/>
      <c r="AA2430" s="113"/>
      <c r="AB2430" s="113"/>
      <c r="AC2430" s="113"/>
      <c r="AD2430" s="113"/>
      <c r="AE2430" s="113"/>
      <c r="AF2430" s="113"/>
      <c r="AG2430" s="113"/>
      <c r="AH2430" s="113" t="s">
        <v>1113</v>
      </c>
      <c r="AI2430" s="113"/>
      <c r="AJ2430" s="113"/>
      <c r="AK2430" s="319" t="s">
        <v>1113</v>
      </c>
      <c r="AL2430" s="113"/>
      <c r="AM2430" s="113"/>
      <c r="AN2430" s="113"/>
      <c r="AO2430" s="43" t="s">
        <v>2348</v>
      </c>
      <c r="AP2430" s="43"/>
      <c r="AQ2430" s="236" t="str">
        <f>VLOOKUP(Table8[[#This Row],[Instrument]],Def_Targets!$D$73:$E$159,2,FALSE)</f>
        <v>A_Fueltax</v>
      </c>
      <c r="AR2430" s="233" t="str">
        <f>VLOOKUP(Table8[[#This Row],[Country Code]],Table29[],3,FALSE)</f>
        <v>Annex I</v>
      </c>
      <c r="AS2430" s="233" t="str">
        <f>VLOOKUP(Table8[[#This Row],[Country Code]],Table29[],4,FALSE)</f>
        <v>Europe</v>
      </c>
      <c r="AT2430" s="233" t="str">
        <f>VLOOKUP(Table8[[#This Row],[Country Code]],Table29[],5,FALSE)</f>
        <v>High-income</v>
      </c>
      <c r="AU2430" s="233" t="str">
        <f>VLOOKUP(Table8[[#This Row],[Country Code]],Table29[],6,FALSE)</f>
        <v>no</v>
      </c>
      <c r="AV2430" s="233" t="str">
        <f>VLOOKUP(Table8[[#This Row],[Country Code]],Table29[],7,FALSE)</f>
        <v>no</v>
      </c>
      <c r="AW2430" s="233" t="str">
        <f>VLOOKUP(Table8[[#This Row],[Country Code]],Table29[],8,FALSE)</f>
        <v>OECD</v>
      </c>
      <c r="AX2430" s="233" t="str">
        <f>VLOOKUP(Table8[[#This Row],[Country Code]],Table29[],9,FALSE)</f>
        <v>EU27</v>
      </c>
      <c r="AY2430" s="233" t="str">
        <f>VLOOKUP(Table8[[#This Row],[Country Code]],Table29[],10,FALSE)</f>
        <v>no</v>
      </c>
      <c r="AZ2430" s="235">
        <f>VLOOKUP(Table8[[#This Row],[Country Code]],Table29[],23,FALSE)</f>
        <v>49.118373633418003</v>
      </c>
      <c r="BA2430" s="235">
        <f>VLOOKUP(Table8[[#This Row],[Country Code]],Table29[],24,FALSE)</f>
        <v>13.502992277371289</v>
      </c>
      <c r="BB2430" s="320"/>
      <c r="BC2430" s="320"/>
    </row>
    <row r="2431" spans="1:55" s="27" customFormat="1" ht="30" hidden="1" x14ac:dyDescent="0.25">
      <c r="A2431" s="373">
        <v>17750</v>
      </c>
      <c r="B2431" s="233" t="str">
        <f>VLOOKUP(Table8[[#This Row],[Document ID]],Table1[],2,FALSE)</f>
        <v>SWE</v>
      </c>
      <c r="C2431" s="233" t="str">
        <f>VLOOKUP(Table8[[#This Row],[Document ID]],Table1[],3,FALSE)</f>
        <v>Sweden</v>
      </c>
      <c r="D2431" s="243" t="str">
        <f>VLOOKUP(Table8[[#This Row],[Document ID]],Table1[],5,FALSE)</f>
        <v>LTS</v>
      </c>
      <c r="E2431" s="233" t="str">
        <f>VLOOKUP(Table8[[#This Row],[Document ID]],Table1[],7,FALSE)</f>
        <v>LTS</v>
      </c>
      <c r="F2431" s="233" t="str">
        <f>VLOOKUP(Table8[[#This Row],[Document ID]],Table1[],8,FALSE)</f>
        <v>LTS 1.0</v>
      </c>
      <c r="G2431" s="233" t="str">
        <f>VLOOKUP(Table8[[#This Row],[Document ID]],Table1[],10,FALSE)</f>
        <v>Active</v>
      </c>
      <c r="H2431" s="43" t="s">
        <v>2343</v>
      </c>
      <c r="I2431" s="43" t="s">
        <v>2386</v>
      </c>
      <c r="J2431" s="44" t="s">
        <v>3055</v>
      </c>
      <c r="K2431" s="44" t="s">
        <v>4545</v>
      </c>
      <c r="L2431" s="44" t="s">
        <v>2373</v>
      </c>
      <c r="M2431" s="43">
        <v>6</v>
      </c>
      <c r="N2431" s="113"/>
      <c r="O2431" s="113"/>
      <c r="P2431" s="113"/>
      <c r="Q2431" s="113"/>
      <c r="R2431" s="113"/>
      <c r="S2431" s="113"/>
      <c r="T2431" s="113"/>
      <c r="U2431" s="113"/>
      <c r="V2431" s="113"/>
      <c r="W2431" s="113"/>
      <c r="X2431" s="113"/>
      <c r="Y2431" s="113"/>
      <c r="Z2431" s="113"/>
      <c r="AA2431" s="113"/>
      <c r="AB2431" s="113"/>
      <c r="AC2431" s="113"/>
      <c r="AD2431" s="113"/>
      <c r="AE2431" s="113"/>
      <c r="AF2431" s="113"/>
      <c r="AG2431" s="113"/>
      <c r="AH2431" s="113" t="s">
        <v>1113</v>
      </c>
      <c r="AI2431" s="113"/>
      <c r="AJ2431" s="113"/>
      <c r="AK2431" s="319" t="s">
        <v>1113</v>
      </c>
      <c r="AL2431" s="113"/>
      <c r="AM2431" s="113"/>
      <c r="AN2431" s="113"/>
      <c r="AO2431" s="44" t="s">
        <v>2334</v>
      </c>
      <c r="AP2431" s="43"/>
      <c r="AQ2431" s="236" t="str">
        <f>VLOOKUP(Table8[[#This Row],[Instrument]],Def_Targets!$D$73:$E$159,2,FALSE)</f>
        <v>A_Emistrad</v>
      </c>
      <c r="AR2431" s="233" t="str">
        <f>VLOOKUP(Table8[[#This Row],[Country Code]],Table29[],3,FALSE)</f>
        <v>Annex I</v>
      </c>
      <c r="AS2431" s="233" t="str">
        <f>VLOOKUP(Table8[[#This Row],[Country Code]],Table29[],4,FALSE)</f>
        <v>Europe</v>
      </c>
      <c r="AT2431" s="233" t="str">
        <f>VLOOKUP(Table8[[#This Row],[Country Code]],Table29[],5,FALSE)</f>
        <v>High-income</v>
      </c>
      <c r="AU2431" s="233" t="str">
        <f>VLOOKUP(Table8[[#This Row],[Country Code]],Table29[],6,FALSE)</f>
        <v>no</v>
      </c>
      <c r="AV2431" s="233" t="str">
        <f>VLOOKUP(Table8[[#This Row],[Country Code]],Table29[],7,FALSE)</f>
        <v>no</v>
      </c>
      <c r="AW2431" s="233" t="str">
        <f>VLOOKUP(Table8[[#This Row],[Country Code]],Table29[],8,FALSE)</f>
        <v>OECD</v>
      </c>
      <c r="AX2431" s="233" t="str">
        <f>VLOOKUP(Table8[[#This Row],[Country Code]],Table29[],9,FALSE)</f>
        <v>EU27</v>
      </c>
      <c r="AY2431" s="233" t="str">
        <f>VLOOKUP(Table8[[#This Row],[Country Code]],Table29[],10,FALSE)</f>
        <v>no</v>
      </c>
      <c r="AZ2431" s="235">
        <f>VLOOKUP(Table8[[#This Row],[Country Code]],Table29[],23,FALSE)</f>
        <v>49.118373633418003</v>
      </c>
      <c r="BA2431" s="235">
        <f>VLOOKUP(Table8[[#This Row],[Country Code]],Table29[],24,FALSE)</f>
        <v>13.502992277371289</v>
      </c>
      <c r="BB2431" s="320"/>
      <c r="BC2431" s="320"/>
    </row>
    <row r="2432" spans="1:55" ht="60" hidden="1" x14ac:dyDescent="0.25">
      <c r="A2432" s="373">
        <v>17750</v>
      </c>
      <c r="B2432" s="233" t="str">
        <f>VLOOKUP(Table8[[#This Row],[Document ID]],Table1[],2,FALSE)</f>
        <v>SWE</v>
      </c>
      <c r="C2432" s="233" t="str">
        <f>VLOOKUP(Table8[[#This Row],[Document ID]],Table1[],3,FALSE)</f>
        <v>Sweden</v>
      </c>
      <c r="D2432" s="243" t="str">
        <f>VLOOKUP(Table8[[#This Row],[Document ID]],Table1[],5,FALSE)</f>
        <v>LTS</v>
      </c>
      <c r="E2432" s="233" t="str">
        <f>VLOOKUP(Table8[[#This Row],[Document ID]],Table1[],7,FALSE)</f>
        <v>LTS</v>
      </c>
      <c r="F2432" s="233" t="str">
        <f>VLOOKUP(Table8[[#This Row],[Document ID]],Table1[],8,FALSE)</f>
        <v>LTS 1.0</v>
      </c>
      <c r="G2432" s="233" t="str">
        <f>VLOOKUP(Table8[[#This Row],[Document ID]],Table1[],10,FALSE)</f>
        <v>Active</v>
      </c>
      <c r="H2432" s="43" t="s">
        <v>2343</v>
      </c>
      <c r="I2432" s="43" t="s">
        <v>2386</v>
      </c>
      <c r="J2432" s="44" t="s">
        <v>2515</v>
      </c>
      <c r="K2432" s="44" t="s">
        <v>4546</v>
      </c>
      <c r="L2432" s="44" t="s">
        <v>2380</v>
      </c>
      <c r="M2432" s="43">
        <v>6</v>
      </c>
      <c r="N2432" s="113" t="s">
        <v>1113</v>
      </c>
      <c r="O2432" s="113"/>
      <c r="P2432" s="113"/>
      <c r="Q2432" s="113"/>
      <c r="R2432" s="113"/>
      <c r="S2432" s="113"/>
      <c r="T2432" s="113"/>
      <c r="U2432" s="113"/>
      <c r="V2432" s="113"/>
      <c r="W2432" s="113"/>
      <c r="X2432" s="113"/>
      <c r="Y2432" s="113"/>
      <c r="Z2432" s="113"/>
      <c r="AA2432" s="113"/>
      <c r="AB2432" s="113"/>
      <c r="AC2432" s="113"/>
      <c r="AD2432" s="113"/>
      <c r="AE2432" s="113"/>
      <c r="AF2432" s="113"/>
      <c r="AG2432" s="113"/>
      <c r="AH2432" s="113"/>
      <c r="AI2432" s="113"/>
      <c r="AJ2432" s="113"/>
      <c r="AK2432" s="319" t="s">
        <v>1113</v>
      </c>
      <c r="AL2432" s="113"/>
      <c r="AM2432" s="113"/>
      <c r="AN2432" s="113"/>
      <c r="AO2432" s="44" t="s">
        <v>2334</v>
      </c>
      <c r="AP2432" s="43"/>
      <c r="AQ2432" s="236" t="str">
        <f>VLOOKUP(Table8[[#This Row],[Instrument]],Def_Targets!$D$73:$E$159,2,FALSE)</f>
        <v>A_Fossilfuelsubs</v>
      </c>
      <c r="AR2432" s="233" t="str">
        <f>VLOOKUP(Table8[[#This Row],[Country Code]],Table29[],3,FALSE)</f>
        <v>Annex I</v>
      </c>
      <c r="AS2432" s="233" t="str">
        <f>VLOOKUP(Table8[[#This Row],[Country Code]],Table29[],4,FALSE)</f>
        <v>Europe</v>
      </c>
      <c r="AT2432" s="233" t="str">
        <f>VLOOKUP(Table8[[#This Row],[Country Code]],Table29[],5,FALSE)</f>
        <v>High-income</v>
      </c>
      <c r="AU2432" s="233" t="str">
        <f>VLOOKUP(Table8[[#This Row],[Country Code]],Table29[],6,FALSE)</f>
        <v>no</v>
      </c>
      <c r="AV2432" s="233" t="str">
        <f>VLOOKUP(Table8[[#This Row],[Country Code]],Table29[],7,FALSE)</f>
        <v>no</v>
      </c>
      <c r="AW2432" s="233" t="str">
        <f>VLOOKUP(Table8[[#This Row],[Country Code]],Table29[],8,FALSE)</f>
        <v>OECD</v>
      </c>
      <c r="AX2432" s="233" t="str">
        <f>VLOOKUP(Table8[[#This Row],[Country Code]],Table29[],9,FALSE)</f>
        <v>EU27</v>
      </c>
      <c r="AY2432" s="233" t="str">
        <f>VLOOKUP(Table8[[#This Row],[Country Code]],Table29[],10,FALSE)</f>
        <v>no</v>
      </c>
      <c r="AZ2432" s="235">
        <f>VLOOKUP(Table8[[#This Row],[Country Code]],Table29[],23,FALSE)</f>
        <v>49.118373633418003</v>
      </c>
      <c r="BA2432" s="235">
        <f>VLOOKUP(Table8[[#This Row],[Country Code]],Table29[],24,FALSE)</f>
        <v>13.502992277371289</v>
      </c>
      <c r="BB2432" s="320"/>
      <c r="BC2432" s="320"/>
    </row>
    <row r="2433" spans="1:55" ht="75" hidden="1" x14ac:dyDescent="0.25">
      <c r="A2433" s="373">
        <v>17750</v>
      </c>
      <c r="B2433" s="233" t="str">
        <f>VLOOKUP(Table8[[#This Row],[Document ID]],Table1[],2,FALSE)</f>
        <v>SWE</v>
      </c>
      <c r="C2433" s="233" t="str">
        <f>VLOOKUP(Table8[[#This Row],[Document ID]],Table1[],3,FALSE)</f>
        <v>Sweden</v>
      </c>
      <c r="D2433" s="243" t="str">
        <f>VLOOKUP(Table8[[#This Row],[Document ID]],Table1[],5,FALSE)</f>
        <v>LTS</v>
      </c>
      <c r="E2433" s="233" t="str">
        <f>VLOOKUP(Table8[[#This Row],[Document ID]],Table1[],7,FALSE)</f>
        <v>LTS</v>
      </c>
      <c r="F2433" s="233" t="str">
        <f>VLOOKUP(Table8[[#This Row],[Document ID]],Table1[],8,FALSE)</f>
        <v>LTS 1.0</v>
      </c>
      <c r="G2433" s="233" t="str">
        <f>VLOOKUP(Table8[[#This Row],[Document ID]],Table1[],10,FALSE)</f>
        <v>Active</v>
      </c>
      <c r="H2433" s="44" t="s">
        <v>2329</v>
      </c>
      <c r="I2433" s="44" t="s">
        <v>2330</v>
      </c>
      <c r="J2433" s="44" t="s">
        <v>2331</v>
      </c>
      <c r="K2433" s="44" t="s">
        <v>4547</v>
      </c>
      <c r="L2433" s="44" t="s">
        <v>2333</v>
      </c>
      <c r="M2433" s="43" t="s">
        <v>4548</v>
      </c>
      <c r="N2433" s="113" t="s">
        <v>1113</v>
      </c>
      <c r="O2433" s="113"/>
      <c r="P2433" s="113"/>
      <c r="Q2433" s="113"/>
      <c r="R2433" s="113"/>
      <c r="S2433" s="113"/>
      <c r="T2433" s="113"/>
      <c r="U2433" s="113"/>
      <c r="V2433" s="113"/>
      <c r="W2433" s="113"/>
      <c r="X2433" s="113"/>
      <c r="Y2433" s="113"/>
      <c r="Z2433" s="113"/>
      <c r="AA2433" s="113"/>
      <c r="AB2433" s="113"/>
      <c r="AC2433" s="113"/>
      <c r="AD2433" s="113"/>
      <c r="AE2433" s="113"/>
      <c r="AF2433" s="113"/>
      <c r="AG2433" s="113"/>
      <c r="AH2433" s="113"/>
      <c r="AI2433" s="113"/>
      <c r="AJ2433" s="113"/>
      <c r="AK2433" s="319" t="s">
        <v>1113</v>
      </c>
      <c r="AL2433" s="113"/>
      <c r="AM2433" s="113"/>
      <c r="AN2433" s="113"/>
      <c r="AO2433" s="44" t="s">
        <v>2334</v>
      </c>
      <c r="AP2433" s="43"/>
      <c r="AQ2433" s="236" t="str">
        <f>VLOOKUP(Table8[[#This Row],[Instrument]],Def_Targets!$D$73:$E$159,2,FALSE)</f>
        <v>I_Altfuels</v>
      </c>
      <c r="AR2433" s="233" t="str">
        <f>VLOOKUP(Table8[[#This Row],[Country Code]],Table29[],3,FALSE)</f>
        <v>Annex I</v>
      </c>
      <c r="AS2433" s="233" t="str">
        <f>VLOOKUP(Table8[[#This Row],[Country Code]],Table29[],4,FALSE)</f>
        <v>Europe</v>
      </c>
      <c r="AT2433" s="233" t="str">
        <f>VLOOKUP(Table8[[#This Row],[Country Code]],Table29[],5,FALSE)</f>
        <v>High-income</v>
      </c>
      <c r="AU2433" s="233" t="str">
        <f>VLOOKUP(Table8[[#This Row],[Country Code]],Table29[],6,FALSE)</f>
        <v>no</v>
      </c>
      <c r="AV2433" s="233" t="str">
        <f>VLOOKUP(Table8[[#This Row],[Country Code]],Table29[],7,FALSE)</f>
        <v>no</v>
      </c>
      <c r="AW2433" s="233" t="str">
        <f>VLOOKUP(Table8[[#This Row],[Country Code]],Table29[],8,FALSE)</f>
        <v>OECD</v>
      </c>
      <c r="AX2433" s="233" t="str">
        <f>VLOOKUP(Table8[[#This Row],[Country Code]],Table29[],9,FALSE)</f>
        <v>EU27</v>
      </c>
      <c r="AY2433" s="233" t="str">
        <f>VLOOKUP(Table8[[#This Row],[Country Code]],Table29[],10,FALSE)</f>
        <v>no</v>
      </c>
      <c r="AZ2433" s="235">
        <f>VLOOKUP(Table8[[#This Row],[Country Code]],Table29[],23,FALSE)</f>
        <v>49.118373633418003</v>
      </c>
      <c r="BA2433" s="235">
        <f>VLOOKUP(Table8[[#This Row],[Country Code]],Table29[],24,FALSE)</f>
        <v>13.502992277371289</v>
      </c>
      <c r="BB2433" s="320"/>
      <c r="BC2433" s="320"/>
    </row>
    <row r="2434" spans="1:55" ht="15" hidden="1" customHeight="1" x14ac:dyDescent="0.25">
      <c r="A2434" s="373">
        <v>17750</v>
      </c>
      <c r="B2434" s="233" t="str">
        <f>VLOOKUP(Table8[[#This Row],[Document ID]],Table1[],2,FALSE)</f>
        <v>SWE</v>
      </c>
      <c r="C2434" s="233" t="str">
        <f>VLOOKUP(Table8[[#This Row],[Document ID]],Table1[],3,FALSE)</f>
        <v>Sweden</v>
      </c>
      <c r="D2434" s="243" t="str">
        <f>VLOOKUP(Table8[[#This Row],[Document ID]],Table1[],5,FALSE)</f>
        <v>LTS</v>
      </c>
      <c r="E2434" s="233" t="str">
        <f>VLOOKUP(Table8[[#This Row],[Document ID]],Table1[],7,FALSE)</f>
        <v>LTS</v>
      </c>
      <c r="F2434" s="233" t="str">
        <f>VLOOKUP(Table8[[#This Row],[Document ID]],Table1[],8,FALSE)</f>
        <v>LTS 1.0</v>
      </c>
      <c r="G2434" s="233" t="str">
        <f>VLOOKUP(Table8[[#This Row],[Document ID]],Table1[],10,FALSE)</f>
        <v>Active</v>
      </c>
      <c r="H2434" s="43" t="s">
        <v>2343</v>
      </c>
      <c r="I2434" s="43" t="s">
        <v>2429</v>
      </c>
      <c r="J2434" s="44" t="s">
        <v>2472</v>
      </c>
      <c r="K2434" s="44" t="s">
        <v>4549</v>
      </c>
      <c r="L2434" s="44" t="s">
        <v>2333</v>
      </c>
      <c r="M2434" s="43">
        <v>30</v>
      </c>
      <c r="N2434" s="113" t="s">
        <v>1113</v>
      </c>
      <c r="O2434" s="113"/>
      <c r="P2434" s="113"/>
      <c r="Q2434" s="113"/>
      <c r="R2434" s="113"/>
      <c r="S2434" s="113"/>
      <c r="T2434" s="113"/>
      <c r="U2434" s="113"/>
      <c r="V2434" s="113"/>
      <c r="W2434" s="113"/>
      <c r="X2434" s="113"/>
      <c r="Y2434" s="113"/>
      <c r="Z2434" s="113"/>
      <c r="AA2434" s="113"/>
      <c r="AB2434" s="113"/>
      <c r="AC2434" s="113"/>
      <c r="AD2434" s="113"/>
      <c r="AE2434" s="113"/>
      <c r="AF2434" s="113"/>
      <c r="AG2434" s="113"/>
      <c r="AH2434" s="113"/>
      <c r="AI2434" s="113"/>
      <c r="AJ2434" s="113"/>
      <c r="AK2434" s="319" t="s">
        <v>1113</v>
      </c>
      <c r="AL2434" s="113"/>
      <c r="AM2434" s="113"/>
      <c r="AN2434" s="113"/>
      <c r="AO2434" s="44" t="s">
        <v>2334</v>
      </c>
      <c r="AP2434" s="43"/>
      <c r="AQ2434" s="236" t="str">
        <f>VLOOKUP(Table8[[#This Row],[Instrument]],Def_Targets!$D$73:$E$159,2,FALSE)</f>
        <v>I_Other</v>
      </c>
      <c r="AR2434" s="233" t="str">
        <f>VLOOKUP(Table8[[#This Row],[Country Code]],Table29[],3,FALSE)</f>
        <v>Annex I</v>
      </c>
      <c r="AS2434" s="233" t="str">
        <f>VLOOKUP(Table8[[#This Row],[Country Code]],Table29[],4,FALSE)</f>
        <v>Europe</v>
      </c>
      <c r="AT2434" s="233" t="str">
        <f>VLOOKUP(Table8[[#This Row],[Country Code]],Table29[],5,FALSE)</f>
        <v>High-income</v>
      </c>
      <c r="AU2434" s="233" t="str">
        <f>VLOOKUP(Table8[[#This Row],[Country Code]],Table29[],6,FALSE)</f>
        <v>no</v>
      </c>
      <c r="AV2434" s="233" t="str">
        <f>VLOOKUP(Table8[[#This Row],[Country Code]],Table29[],7,FALSE)</f>
        <v>no</v>
      </c>
      <c r="AW2434" s="233" t="str">
        <f>VLOOKUP(Table8[[#This Row],[Country Code]],Table29[],8,FALSE)</f>
        <v>OECD</v>
      </c>
      <c r="AX2434" s="233" t="str">
        <f>VLOOKUP(Table8[[#This Row],[Country Code]],Table29[],9,FALSE)</f>
        <v>EU27</v>
      </c>
      <c r="AY2434" s="233" t="str">
        <f>VLOOKUP(Table8[[#This Row],[Country Code]],Table29[],10,FALSE)</f>
        <v>no</v>
      </c>
      <c r="AZ2434" s="235">
        <f>VLOOKUP(Table8[[#This Row],[Country Code]],Table29[],23,FALSE)</f>
        <v>49.118373633418003</v>
      </c>
      <c r="BA2434" s="235">
        <f>VLOOKUP(Table8[[#This Row],[Country Code]],Table29[],24,FALSE)</f>
        <v>13.502992277371289</v>
      </c>
      <c r="BB2434" s="320"/>
      <c r="BC2434" s="320"/>
    </row>
    <row r="2435" spans="1:55" ht="90" hidden="1" x14ac:dyDescent="0.25">
      <c r="A2435" s="373">
        <v>17750</v>
      </c>
      <c r="B2435" s="233" t="str">
        <f>VLOOKUP(Table8[[#This Row],[Document ID]],Table1[],2,FALSE)</f>
        <v>SWE</v>
      </c>
      <c r="C2435" s="233" t="str">
        <f>VLOOKUP(Table8[[#This Row],[Document ID]],Table1[],3,FALSE)</f>
        <v>Sweden</v>
      </c>
      <c r="D2435" s="243" t="str">
        <f>VLOOKUP(Table8[[#This Row],[Document ID]],Table1[],5,FALSE)</f>
        <v>LTS</v>
      </c>
      <c r="E2435" s="233" t="str">
        <f>VLOOKUP(Table8[[#This Row],[Document ID]],Table1[],7,FALSE)</f>
        <v>LTS</v>
      </c>
      <c r="F2435" s="233" t="str">
        <f>VLOOKUP(Table8[[#This Row],[Document ID]],Table1[],8,FALSE)</f>
        <v>LTS 1.0</v>
      </c>
      <c r="G2435" s="233" t="str">
        <f>VLOOKUP(Table8[[#This Row],[Document ID]],Table1[],10,FALSE)</f>
        <v>Active</v>
      </c>
      <c r="H2435" s="43" t="s">
        <v>2350</v>
      </c>
      <c r="I2435" s="43" t="s">
        <v>2370</v>
      </c>
      <c r="J2435" s="44" t="s">
        <v>2418</v>
      </c>
      <c r="K2435" s="44" t="s">
        <v>4550</v>
      </c>
      <c r="L2435" s="44" t="s">
        <v>2380</v>
      </c>
      <c r="M2435" s="43">
        <v>45</v>
      </c>
      <c r="N2435" s="113" t="s">
        <v>1113</v>
      </c>
      <c r="O2435" s="113"/>
      <c r="P2435" s="113"/>
      <c r="Q2435" s="113"/>
      <c r="R2435" s="113"/>
      <c r="S2435" s="113"/>
      <c r="T2435" s="113"/>
      <c r="U2435" s="113"/>
      <c r="V2435" s="113"/>
      <c r="W2435" s="113"/>
      <c r="X2435" s="113"/>
      <c r="Y2435" s="113"/>
      <c r="Z2435" s="113"/>
      <c r="AA2435" s="113"/>
      <c r="AB2435" s="113"/>
      <c r="AC2435" s="113"/>
      <c r="AD2435" s="113"/>
      <c r="AE2435" s="113"/>
      <c r="AF2435" s="113"/>
      <c r="AG2435" s="113"/>
      <c r="AH2435" s="113"/>
      <c r="AI2435" s="113"/>
      <c r="AJ2435" s="113"/>
      <c r="AK2435" s="319"/>
      <c r="AL2435" s="113" t="s">
        <v>1113</v>
      </c>
      <c r="AM2435" s="113"/>
      <c r="AN2435" s="113"/>
      <c r="AO2435" s="44" t="s">
        <v>2334</v>
      </c>
      <c r="AP2435" s="43"/>
      <c r="AQ2435" s="236" t="str">
        <f>VLOOKUP(Table8[[#This Row],[Instrument]],Def_Targets!$D$73:$E$159,2,FALSE)</f>
        <v>A_Complan</v>
      </c>
      <c r="AR2435" s="233" t="str">
        <f>VLOOKUP(Table8[[#This Row],[Country Code]],Table29[],3,FALSE)</f>
        <v>Annex I</v>
      </c>
      <c r="AS2435" s="233" t="str">
        <f>VLOOKUP(Table8[[#This Row],[Country Code]],Table29[],4,FALSE)</f>
        <v>Europe</v>
      </c>
      <c r="AT2435" s="233" t="str">
        <f>VLOOKUP(Table8[[#This Row],[Country Code]],Table29[],5,FALSE)</f>
        <v>High-income</v>
      </c>
      <c r="AU2435" s="233" t="str">
        <f>VLOOKUP(Table8[[#This Row],[Country Code]],Table29[],6,FALSE)</f>
        <v>no</v>
      </c>
      <c r="AV2435" s="233" t="str">
        <f>VLOOKUP(Table8[[#This Row],[Country Code]],Table29[],7,FALSE)</f>
        <v>no</v>
      </c>
      <c r="AW2435" s="233" t="str">
        <f>VLOOKUP(Table8[[#This Row],[Country Code]],Table29[],8,FALSE)</f>
        <v>OECD</v>
      </c>
      <c r="AX2435" s="233" t="str">
        <f>VLOOKUP(Table8[[#This Row],[Country Code]],Table29[],9,FALSE)</f>
        <v>EU27</v>
      </c>
      <c r="AY2435" s="233" t="str">
        <f>VLOOKUP(Table8[[#This Row],[Country Code]],Table29[],10,FALSE)</f>
        <v>no</v>
      </c>
      <c r="AZ2435" s="235">
        <f>VLOOKUP(Table8[[#This Row],[Country Code]],Table29[],23,FALSE)</f>
        <v>49.118373633418003</v>
      </c>
      <c r="BA2435" s="235">
        <f>VLOOKUP(Table8[[#This Row],[Country Code]],Table29[],24,FALSE)</f>
        <v>13.502992277371289</v>
      </c>
      <c r="BB2435" s="320"/>
      <c r="BC2435" s="320"/>
    </row>
    <row r="2436" spans="1:55" ht="15" hidden="1" customHeight="1" x14ac:dyDescent="0.25">
      <c r="A2436" s="373">
        <v>17750</v>
      </c>
      <c r="B2436" s="233" t="str">
        <f>VLOOKUP(Table8[[#This Row],[Document ID]],Table1[],2,FALSE)</f>
        <v>SWE</v>
      </c>
      <c r="C2436" s="233" t="str">
        <f>VLOOKUP(Table8[[#This Row],[Document ID]],Table1[],3,FALSE)</f>
        <v>Sweden</v>
      </c>
      <c r="D2436" s="243" t="str">
        <f>VLOOKUP(Table8[[#This Row],[Document ID]],Table1[],5,FALSE)</f>
        <v>LTS</v>
      </c>
      <c r="E2436" s="233" t="str">
        <f>VLOOKUP(Table8[[#This Row],[Document ID]],Table1[],7,FALSE)</f>
        <v>LTS</v>
      </c>
      <c r="F2436" s="233" t="str">
        <f>VLOOKUP(Table8[[#This Row],[Document ID]],Table1[],8,FALSE)</f>
        <v>LTS 1.0</v>
      </c>
      <c r="G2436" s="233" t="str">
        <f>VLOOKUP(Table8[[#This Row],[Document ID]],Table1[],10,FALSE)</f>
        <v>Active</v>
      </c>
      <c r="H2436" s="43" t="s">
        <v>2350</v>
      </c>
      <c r="I2436" s="43" t="s">
        <v>2370</v>
      </c>
      <c r="J2436" s="44" t="s">
        <v>2418</v>
      </c>
      <c r="K2436" s="44" t="s">
        <v>4550</v>
      </c>
      <c r="L2436" s="44" t="s">
        <v>2380</v>
      </c>
      <c r="M2436" s="43">
        <v>45</v>
      </c>
      <c r="N2436" s="113" t="s">
        <v>1113</v>
      </c>
      <c r="O2436" s="113"/>
      <c r="P2436" s="113"/>
      <c r="Q2436" s="113"/>
      <c r="R2436" s="113"/>
      <c r="S2436" s="113"/>
      <c r="T2436" s="113"/>
      <c r="U2436" s="113"/>
      <c r="V2436" s="113"/>
      <c r="W2436" s="113"/>
      <c r="X2436" s="113"/>
      <c r="Y2436" s="113"/>
      <c r="Z2436" s="113"/>
      <c r="AA2436" s="113"/>
      <c r="AB2436" s="113"/>
      <c r="AC2436" s="113"/>
      <c r="AD2436" s="113"/>
      <c r="AE2436" s="113"/>
      <c r="AF2436" s="113"/>
      <c r="AG2436" s="113"/>
      <c r="AH2436" s="113"/>
      <c r="AI2436" s="113"/>
      <c r="AJ2436" s="113"/>
      <c r="AK2436" s="319"/>
      <c r="AL2436" s="113" t="s">
        <v>1113</v>
      </c>
      <c r="AM2436" s="113"/>
      <c r="AN2436" s="113"/>
      <c r="AO2436" s="44" t="s">
        <v>2334</v>
      </c>
      <c r="AP2436" s="43"/>
      <c r="AQ2436" s="236" t="str">
        <f>VLOOKUP(Table8[[#This Row],[Instrument]],Def_Targets!$D$73:$E$159,2,FALSE)</f>
        <v>A_Complan</v>
      </c>
      <c r="AR2436" s="233" t="str">
        <f>VLOOKUP(Table8[[#This Row],[Country Code]],Table29[],3,FALSE)</f>
        <v>Annex I</v>
      </c>
      <c r="AS2436" s="233" t="str">
        <f>VLOOKUP(Table8[[#This Row],[Country Code]],Table29[],4,FALSE)</f>
        <v>Europe</v>
      </c>
      <c r="AT2436" s="233" t="str">
        <f>VLOOKUP(Table8[[#This Row],[Country Code]],Table29[],5,FALSE)</f>
        <v>High-income</v>
      </c>
      <c r="AU2436" s="233" t="str">
        <f>VLOOKUP(Table8[[#This Row],[Country Code]],Table29[],6,FALSE)</f>
        <v>no</v>
      </c>
      <c r="AV2436" s="233" t="str">
        <f>VLOOKUP(Table8[[#This Row],[Country Code]],Table29[],7,FALSE)</f>
        <v>no</v>
      </c>
      <c r="AW2436" s="233" t="str">
        <f>VLOOKUP(Table8[[#This Row],[Country Code]],Table29[],8,FALSE)</f>
        <v>OECD</v>
      </c>
      <c r="AX2436" s="233" t="str">
        <f>VLOOKUP(Table8[[#This Row],[Country Code]],Table29[],9,FALSE)</f>
        <v>EU27</v>
      </c>
      <c r="AY2436" s="233" t="str">
        <f>VLOOKUP(Table8[[#This Row],[Country Code]],Table29[],10,FALSE)</f>
        <v>no</v>
      </c>
      <c r="AZ2436" s="235">
        <f>VLOOKUP(Table8[[#This Row],[Country Code]],Table29[],23,FALSE)</f>
        <v>49.118373633418003</v>
      </c>
      <c r="BA2436" s="235">
        <f>VLOOKUP(Table8[[#This Row],[Country Code]],Table29[],24,FALSE)</f>
        <v>13.502992277371289</v>
      </c>
      <c r="BB2436" s="320"/>
      <c r="BC2436" s="320"/>
    </row>
    <row r="2437" spans="1:55" ht="85.5" hidden="1" customHeight="1" x14ac:dyDescent="0.25">
      <c r="A2437" s="373">
        <v>17750</v>
      </c>
      <c r="B2437" s="233" t="str">
        <f>VLOOKUP(Table8[[#This Row],[Document ID]],Table1[],2,FALSE)</f>
        <v>SWE</v>
      </c>
      <c r="C2437" s="233" t="str">
        <f>VLOOKUP(Table8[[#This Row],[Document ID]],Table1[],3,FALSE)</f>
        <v>Sweden</v>
      </c>
      <c r="D2437" s="243" t="str">
        <f>VLOOKUP(Table8[[#This Row],[Document ID]],Table1[],5,FALSE)</f>
        <v>LTS</v>
      </c>
      <c r="E2437" s="233" t="str">
        <f>VLOOKUP(Table8[[#This Row],[Document ID]],Table1[],7,FALSE)</f>
        <v>LTS</v>
      </c>
      <c r="F2437" s="233" t="str">
        <f>VLOOKUP(Table8[[#This Row],[Document ID]],Table1[],8,FALSE)</f>
        <v>LTS 1.0</v>
      </c>
      <c r="G2437" s="233" t="str">
        <f>VLOOKUP(Table8[[#This Row],[Document ID]],Table1[],10,FALSE)</f>
        <v>Active</v>
      </c>
      <c r="H2437" s="43" t="s">
        <v>2350</v>
      </c>
      <c r="I2437" s="43" t="s">
        <v>2370</v>
      </c>
      <c r="J2437" s="44" t="s">
        <v>2518</v>
      </c>
      <c r="K2437" s="44" t="s">
        <v>4551</v>
      </c>
      <c r="L2437" s="44" t="s">
        <v>2380</v>
      </c>
      <c r="M2437" s="43">
        <v>45</v>
      </c>
      <c r="N2437" s="113"/>
      <c r="O2437" s="113"/>
      <c r="P2437" s="113"/>
      <c r="Q2437" s="113" t="s">
        <v>1113</v>
      </c>
      <c r="R2437" s="113" t="s">
        <v>1113</v>
      </c>
      <c r="S2437" s="113"/>
      <c r="T2437" s="113"/>
      <c r="U2437" s="113" t="s">
        <v>1113</v>
      </c>
      <c r="V2437" s="113"/>
      <c r="W2437" s="113"/>
      <c r="X2437" s="113"/>
      <c r="Y2437" s="113" t="s">
        <v>1113</v>
      </c>
      <c r="Z2437" s="113"/>
      <c r="AA2437" s="113"/>
      <c r="AB2437" s="113"/>
      <c r="AC2437" s="113" t="s">
        <v>1113</v>
      </c>
      <c r="AD2437" s="113"/>
      <c r="AE2437" s="113"/>
      <c r="AF2437" s="113"/>
      <c r="AG2437" s="113"/>
      <c r="AH2437" s="113"/>
      <c r="AI2437" s="113"/>
      <c r="AJ2437" s="113"/>
      <c r="AK2437" s="319"/>
      <c r="AL2437" s="113" t="s">
        <v>1113</v>
      </c>
      <c r="AM2437" s="113"/>
      <c r="AN2437" s="113"/>
      <c r="AO2437" s="44" t="s">
        <v>2334</v>
      </c>
      <c r="AP2437" s="43"/>
      <c r="AQ2437" s="236" t="str">
        <f>VLOOKUP(Table8[[#This Row],[Instrument]],Def_Targets!$D$73:$E$159,2,FALSE)</f>
        <v>A_Mixuse</v>
      </c>
      <c r="AR2437" s="233" t="str">
        <f>VLOOKUP(Table8[[#This Row],[Country Code]],Table29[],3,FALSE)</f>
        <v>Annex I</v>
      </c>
      <c r="AS2437" s="233" t="str">
        <f>VLOOKUP(Table8[[#This Row],[Country Code]],Table29[],4,FALSE)</f>
        <v>Europe</v>
      </c>
      <c r="AT2437" s="233" t="str">
        <f>VLOOKUP(Table8[[#This Row],[Country Code]],Table29[],5,FALSE)</f>
        <v>High-income</v>
      </c>
      <c r="AU2437" s="233" t="str">
        <f>VLOOKUP(Table8[[#This Row],[Country Code]],Table29[],6,FALSE)</f>
        <v>no</v>
      </c>
      <c r="AV2437" s="233" t="str">
        <f>VLOOKUP(Table8[[#This Row],[Country Code]],Table29[],7,FALSE)</f>
        <v>no</v>
      </c>
      <c r="AW2437" s="233" t="str">
        <f>VLOOKUP(Table8[[#This Row],[Country Code]],Table29[],8,FALSE)</f>
        <v>OECD</v>
      </c>
      <c r="AX2437" s="233" t="str">
        <f>VLOOKUP(Table8[[#This Row],[Country Code]],Table29[],9,FALSE)</f>
        <v>EU27</v>
      </c>
      <c r="AY2437" s="233" t="str">
        <f>VLOOKUP(Table8[[#This Row],[Country Code]],Table29[],10,FALSE)</f>
        <v>no</v>
      </c>
      <c r="AZ2437" s="235">
        <f>VLOOKUP(Table8[[#This Row],[Country Code]],Table29[],23,FALSE)</f>
        <v>49.118373633418003</v>
      </c>
      <c r="BA2437" s="235">
        <f>VLOOKUP(Table8[[#This Row],[Country Code]],Table29[],24,FALSE)</f>
        <v>13.502992277371289</v>
      </c>
      <c r="BB2437" s="320"/>
      <c r="BC2437" s="320"/>
    </row>
    <row r="2438" spans="1:55" hidden="1" x14ac:dyDescent="0.25">
      <c r="A2438" s="373">
        <v>17750</v>
      </c>
      <c r="B2438" s="233" t="str">
        <f>VLOOKUP(Table8[[#This Row],[Document ID]],Table1[],2,FALSE)</f>
        <v>SWE</v>
      </c>
      <c r="C2438" s="233" t="str">
        <f>VLOOKUP(Table8[[#This Row],[Document ID]],Table1[],3,FALSE)</f>
        <v>Sweden</v>
      </c>
      <c r="D2438" s="243" t="str">
        <f>VLOOKUP(Table8[[#This Row],[Document ID]],Table1[],5,FALSE)</f>
        <v>LTS</v>
      </c>
      <c r="E2438" s="233" t="str">
        <f>VLOOKUP(Table8[[#This Row],[Document ID]],Table1[],7,FALSE)</f>
        <v>LTS</v>
      </c>
      <c r="F2438" s="233" t="str">
        <f>VLOOKUP(Table8[[#This Row],[Document ID]],Table1[],8,FALSE)</f>
        <v>LTS 1.0</v>
      </c>
      <c r="G2438" s="233" t="str">
        <f>VLOOKUP(Table8[[#This Row],[Document ID]],Table1[],10,FALSE)</f>
        <v>Active</v>
      </c>
      <c r="H2438" s="43" t="s">
        <v>2358</v>
      </c>
      <c r="I2438" s="43" t="s">
        <v>2359</v>
      </c>
      <c r="J2438" s="44" t="s">
        <v>2360</v>
      </c>
      <c r="K2438" s="44" t="s">
        <v>4552</v>
      </c>
      <c r="L2438" s="44" t="s">
        <v>2333</v>
      </c>
      <c r="M2438" s="43">
        <v>43</v>
      </c>
      <c r="N2438" s="113" t="s">
        <v>1113</v>
      </c>
      <c r="O2438" s="113"/>
      <c r="P2438" s="113"/>
      <c r="Q2438" s="113"/>
      <c r="R2438" s="113"/>
      <c r="S2438" s="113"/>
      <c r="T2438" s="113"/>
      <c r="U2438" s="113"/>
      <c r="V2438" s="113"/>
      <c r="W2438" s="113"/>
      <c r="X2438" s="113"/>
      <c r="Y2438" s="113"/>
      <c r="Z2438" s="113"/>
      <c r="AA2438" s="113"/>
      <c r="AB2438" s="113"/>
      <c r="AC2438" s="113"/>
      <c r="AD2438" s="113"/>
      <c r="AE2438" s="113"/>
      <c r="AF2438" s="113"/>
      <c r="AG2438" s="113"/>
      <c r="AH2438" s="113"/>
      <c r="AI2438" s="113"/>
      <c r="AJ2438" s="113"/>
      <c r="AK2438" s="319" t="s">
        <v>1113</v>
      </c>
      <c r="AL2438" s="113"/>
      <c r="AM2438" s="113"/>
      <c r="AN2438" s="113"/>
      <c r="AO2438" s="44" t="s">
        <v>2334</v>
      </c>
      <c r="AP2438" s="43"/>
      <c r="AQ2438" s="236" t="str">
        <f>VLOOKUP(Table8[[#This Row],[Instrument]],Def_Targets!$D$73:$E$159,2,FALSE)</f>
        <v>I_Emobility</v>
      </c>
      <c r="AR2438" s="233" t="str">
        <f>VLOOKUP(Table8[[#This Row],[Country Code]],Table29[],3,FALSE)</f>
        <v>Annex I</v>
      </c>
      <c r="AS2438" s="233" t="str">
        <f>VLOOKUP(Table8[[#This Row],[Country Code]],Table29[],4,FALSE)</f>
        <v>Europe</v>
      </c>
      <c r="AT2438" s="233" t="str">
        <f>VLOOKUP(Table8[[#This Row],[Country Code]],Table29[],5,FALSE)</f>
        <v>High-income</v>
      </c>
      <c r="AU2438" s="233" t="str">
        <f>VLOOKUP(Table8[[#This Row],[Country Code]],Table29[],6,FALSE)</f>
        <v>no</v>
      </c>
      <c r="AV2438" s="233" t="str">
        <f>VLOOKUP(Table8[[#This Row],[Country Code]],Table29[],7,FALSE)</f>
        <v>no</v>
      </c>
      <c r="AW2438" s="233" t="str">
        <f>VLOOKUP(Table8[[#This Row],[Country Code]],Table29[],8,FALSE)</f>
        <v>OECD</v>
      </c>
      <c r="AX2438" s="233" t="str">
        <f>VLOOKUP(Table8[[#This Row],[Country Code]],Table29[],9,FALSE)</f>
        <v>EU27</v>
      </c>
      <c r="AY2438" s="233" t="str">
        <f>VLOOKUP(Table8[[#This Row],[Country Code]],Table29[],10,FALSE)</f>
        <v>no</v>
      </c>
      <c r="AZ2438" s="235">
        <f>VLOOKUP(Table8[[#This Row],[Country Code]],Table29[],23,FALSE)</f>
        <v>49.118373633418003</v>
      </c>
      <c r="BA2438" s="235">
        <f>VLOOKUP(Table8[[#This Row],[Country Code]],Table29[],24,FALSE)</f>
        <v>13.502992277371289</v>
      </c>
      <c r="BB2438" s="320"/>
      <c r="BC2438" s="320"/>
    </row>
    <row r="2439" spans="1:55" hidden="1" x14ac:dyDescent="0.25">
      <c r="A2439" s="373">
        <v>17750</v>
      </c>
      <c r="B2439" s="233" t="str">
        <f>VLOOKUP(Table8[[#This Row],[Document ID]],Table1[],2,FALSE)</f>
        <v>SWE</v>
      </c>
      <c r="C2439" s="233" t="str">
        <f>VLOOKUP(Table8[[#This Row],[Document ID]],Table1[],3,FALSE)</f>
        <v>Sweden</v>
      </c>
      <c r="D2439" s="243" t="str">
        <f>VLOOKUP(Table8[[#This Row],[Document ID]],Table1[],5,FALSE)</f>
        <v>LTS</v>
      </c>
      <c r="E2439" s="233" t="str">
        <f>VLOOKUP(Table8[[#This Row],[Document ID]],Table1[],7,FALSE)</f>
        <v>LTS</v>
      </c>
      <c r="F2439" s="233" t="str">
        <f>VLOOKUP(Table8[[#This Row],[Document ID]],Table1[],8,FALSE)</f>
        <v>LTS 1.0</v>
      </c>
      <c r="G2439" s="233" t="str">
        <f>VLOOKUP(Table8[[#This Row],[Document ID]],Table1[],10,FALSE)</f>
        <v>Active</v>
      </c>
      <c r="H2439" s="44" t="s">
        <v>2329</v>
      </c>
      <c r="I2439" s="44" t="s">
        <v>2330</v>
      </c>
      <c r="J2439" s="44" t="s">
        <v>2331</v>
      </c>
      <c r="K2439" s="44" t="s">
        <v>4552</v>
      </c>
      <c r="L2439" s="44" t="s">
        <v>2333</v>
      </c>
      <c r="M2439" s="43">
        <v>43</v>
      </c>
      <c r="N2439" s="113" t="s">
        <v>1113</v>
      </c>
      <c r="O2439" s="113"/>
      <c r="P2439" s="113"/>
      <c r="Q2439" s="113"/>
      <c r="R2439" s="113"/>
      <c r="S2439" s="113"/>
      <c r="T2439" s="113"/>
      <c r="U2439" s="113"/>
      <c r="V2439" s="113"/>
      <c r="W2439" s="113"/>
      <c r="X2439" s="113"/>
      <c r="Y2439" s="113"/>
      <c r="Z2439" s="113"/>
      <c r="AA2439" s="113"/>
      <c r="AB2439" s="113"/>
      <c r="AC2439" s="113"/>
      <c r="AD2439" s="113"/>
      <c r="AE2439" s="113"/>
      <c r="AF2439" s="113"/>
      <c r="AG2439" s="113"/>
      <c r="AH2439" s="113"/>
      <c r="AI2439" s="113"/>
      <c r="AJ2439" s="113"/>
      <c r="AK2439" s="319" t="s">
        <v>1113</v>
      </c>
      <c r="AL2439" s="113"/>
      <c r="AM2439" s="113"/>
      <c r="AN2439" s="113"/>
      <c r="AO2439" s="44" t="s">
        <v>2334</v>
      </c>
      <c r="AP2439" s="43"/>
      <c r="AQ2439" s="236" t="str">
        <f>VLOOKUP(Table8[[#This Row],[Instrument]],Def_Targets!$D$73:$E$159,2,FALSE)</f>
        <v>I_Altfuels</v>
      </c>
      <c r="AR2439" s="233" t="str">
        <f>VLOOKUP(Table8[[#This Row],[Country Code]],Table29[],3,FALSE)</f>
        <v>Annex I</v>
      </c>
      <c r="AS2439" s="233" t="str">
        <f>VLOOKUP(Table8[[#This Row],[Country Code]],Table29[],4,FALSE)</f>
        <v>Europe</v>
      </c>
      <c r="AT2439" s="233" t="str">
        <f>VLOOKUP(Table8[[#This Row],[Country Code]],Table29[],5,FALSE)</f>
        <v>High-income</v>
      </c>
      <c r="AU2439" s="233" t="str">
        <f>VLOOKUP(Table8[[#This Row],[Country Code]],Table29[],6,FALSE)</f>
        <v>no</v>
      </c>
      <c r="AV2439" s="233" t="str">
        <f>VLOOKUP(Table8[[#This Row],[Country Code]],Table29[],7,FALSE)</f>
        <v>no</v>
      </c>
      <c r="AW2439" s="233" t="str">
        <f>VLOOKUP(Table8[[#This Row],[Country Code]],Table29[],8,FALSE)</f>
        <v>OECD</v>
      </c>
      <c r="AX2439" s="233" t="str">
        <f>VLOOKUP(Table8[[#This Row],[Country Code]],Table29[],9,FALSE)</f>
        <v>EU27</v>
      </c>
      <c r="AY2439" s="233" t="str">
        <f>VLOOKUP(Table8[[#This Row],[Country Code]],Table29[],10,FALSE)</f>
        <v>no</v>
      </c>
      <c r="AZ2439" s="235">
        <f>VLOOKUP(Table8[[#This Row],[Country Code]],Table29[],23,FALSE)</f>
        <v>49.118373633418003</v>
      </c>
      <c r="BA2439" s="235">
        <f>VLOOKUP(Table8[[#This Row],[Country Code]],Table29[],24,FALSE)</f>
        <v>13.502992277371289</v>
      </c>
      <c r="BB2439" s="320"/>
      <c r="BC2439" s="320"/>
    </row>
    <row r="2440" spans="1:55" ht="120" hidden="1" x14ac:dyDescent="0.25">
      <c r="A2440" s="373">
        <v>17750</v>
      </c>
      <c r="B2440" s="233" t="str">
        <f>VLOOKUP(Table8[[#This Row],[Document ID]],Table1[],2,FALSE)</f>
        <v>SWE</v>
      </c>
      <c r="C2440" s="233" t="str">
        <f>VLOOKUP(Table8[[#This Row],[Document ID]],Table1[],3,FALSE)</f>
        <v>Sweden</v>
      </c>
      <c r="D2440" s="243" t="str">
        <f>VLOOKUP(Table8[[#This Row],[Document ID]],Table1[],5,FALSE)</f>
        <v>LTS</v>
      </c>
      <c r="E2440" s="233" t="str">
        <f>VLOOKUP(Table8[[#This Row],[Document ID]],Table1[],7,FALSE)</f>
        <v>LTS</v>
      </c>
      <c r="F2440" s="233" t="str">
        <f>VLOOKUP(Table8[[#This Row],[Document ID]],Table1[],8,FALSE)</f>
        <v>LTS 1.0</v>
      </c>
      <c r="G2440" s="233" t="str">
        <f>VLOOKUP(Table8[[#This Row],[Document ID]],Table1[],10,FALSE)</f>
        <v>Active</v>
      </c>
      <c r="H2440" s="44" t="s">
        <v>2338</v>
      </c>
      <c r="I2440" s="44" t="s">
        <v>2339</v>
      </c>
      <c r="J2440" s="44" t="s">
        <v>2340</v>
      </c>
      <c r="K2440" s="44" t="s">
        <v>4553</v>
      </c>
      <c r="L2440" s="44" t="s">
        <v>2333</v>
      </c>
      <c r="M2440" s="43" t="s">
        <v>4554</v>
      </c>
      <c r="N2440" s="113"/>
      <c r="O2440" s="113"/>
      <c r="P2440" s="113"/>
      <c r="Q2440" s="113"/>
      <c r="R2440" s="113"/>
      <c r="S2440" s="113" t="s">
        <v>1113</v>
      </c>
      <c r="T2440" s="113"/>
      <c r="U2440" s="113"/>
      <c r="V2440" s="113"/>
      <c r="W2440" s="113"/>
      <c r="X2440" s="113"/>
      <c r="Y2440" s="113"/>
      <c r="Z2440" s="113" t="s">
        <v>1113</v>
      </c>
      <c r="AA2440" s="113"/>
      <c r="AB2440" s="113"/>
      <c r="AC2440" s="113"/>
      <c r="AD2440" s="113"/>
      <c r="AE2440" s="113"/>
      <c r="AF2440" s="113"/>
      <c r="AG2440" s="113"/>
      <c r="AH2440" s="113"/>
      <c r="AI2440" s="113"/>
      <c r="AJ2440" s="113"/>
      <c r="AK2440" s="319" t="s">
        <v>1113</v>
      </c>
      <c r="AL2440" s="113"/>
      <c r="AM2440" s="113"/>
      <c r="AN2440" s="113"/>
      <c r="AO2440" s="44" t="s">
        <v>2334</v>
      </c>
      <c r="AP2440" s="43"/>
      <c r="AQ2440" s="236" t="str">
        <f>VLOOKUP(Table8[[#This Row],[Instrument]],Def_Targets!$D$73:$E$159,2,FALSE)</f>
        <v>I_Vehicleimprove</v>
      </c>
      <c r="AR2440" s="233" t="str">
        <f>VLOOKUP(Table8[[#This Row],[Country Code]],Table29[],3,FALSE)</f>
        <v>Annex I</v>
      </c>
      <c r="AS2440" s="233" t="str">
        <f>VLOOKUP(Table8[[#This Row],[Country Code]],Table29[],4,FALSE)</f>
        <v>Europe</v>
      </c>
      <c r="AT2440" s="233" t="str">
        <f>VLOOKUP(Table8[[#This Row],[Country Code]],Table29[],5,FALSE)</f>
        <v>High-income</v>
      </c>
      <c r="AU2440" s="233" t="str">
        <f>VLOOKUP(Table8[[#This Row],[Country Code]],Table29[],6,FALSE)</f>
        <v>no</v>
      </c>
      <c r="AV2440" s="233" t="str">
        <f>VLOOKUP(Table8[[#This Row],[Country Code]],Table29[],7,FALSE)</f>
        <v>no</v>
      </c>
      <c r="AW2440" s="233" t="str">
        <f>VLOOKUP(Table8[[#This Row],[Country Code]],Table29[],8,FALSE)</f>
        <v>OECD</v>
      </c>
      <c r="AX2440" s="233" t="str">
        <f>VLOOKUP(Table8[[#This Row],[Country Code]],Table29[],9,FALSE)</f>
        <v>EU27</v>
      </c>
      <c r="AY2440" s="233" t="str">
        <f>VLOOKUP(Table8[[#This Row],[Country Code]],Table29[],10,FALSE)</f>
        <v>no</v>
      </c>
      <c r="AZ2440" s="235">
        <f>VLOOKUP(Table8[[#This Row],[Country Code]],Table29[],23,FALSE)</f>
        <v>49.118373633418003</v>
      </c>
      <c r="BA2440" s="235">
        <f>VLOOKUP(Table8[[#This Row],[Country Code]],Table29[],24,FALSE)</f>
        <v>13.502992277371289</v>
      </c>
      <c r="BB2440" s="320"/>
      <c r="BC2440" s="320"/>
    </row>
    <row r="2441" spans="1:55" ht="135" hidden="1" x14ac:dyDescent="0.25">
      <c r="A2441" s="360">
        <v>17753</v>
      </c>
      <c r="B2441" s="233" t="str">
        <f>VLOOKUP(Table8[[#This Row],[Document ID]],Table1[],2,FALSE)</f>
        <v>CHE</v>
      </c>
      <c r="C2441" s="233" t="str">
        <f>VLOOKUP(Table8[[#This Row],[Document ID]],Table1[],3,FALSE)</f>
        <v>Switzerland</v>
      </c>
      <c r="D2441" s="233" t="str">
        <f>VLOOKUP(Table8[[#This Row],[Document ID]],Table1[],5,FALSE)</f>
        <v>LTS</v>
      </c>
      <c r="E2441" s="233" t="str">
        <f>VLOOKUP(Table8[[#This Row],[Document ID]],Table1[],7,FALSE)</f>
        <v>LTS</v>
      </c>
      <c r="F2441" s="233" t="str">
        <f>VLOOKUP(Table8[[#This Row],[Document ID]],Table1[],8,FALSE)</f>
        <v>LTS 1.0</v>
      </c>
      <c r="G2441" s="233" t="str">
        <f>VLOOKUP(Table8[[#This Row],[Document ID]],Table1[],10,FALSE)</f>
        <v>Active</v>
      </c>
      <c r="H2441" s="44" t="s">
        <v>2338</v>
      </c>
      <c r="I2441" s="44" t="s">
        <v>2339</v>
      </c>
      <c r="J2441" s="44" t="s">
        <v>2413</v>
      </c>
      <c r="K2441" s="44" t="s">
        <v>4555</v>
      </c>
      <c r="L2441" s="44" t="s">
        <v>2333</v>
      </c>
      <c r="M2441" s="43">
        <v>20</v>
      </c>
      <c r="N2441" s="113"/>
      <c r="O2441" s="113"/>
      <c r="P2441" s="113"/>
      <c r="Q2441" s="113"/>
      <c r="R2441" s="113"/>
      <c r="S2441" s="113" t="s">
        <v>1113</v>
      </c>
      <c r="T2441" s="113"/>
      <c r="U2441" s="113" t="s">
        <v>1113</v>
      </c>
      <c r="V2441" s="113"/>
      <c r="W2441" s="113"/>
      <c r="X2441" s="113"/>
      <c r="Y2441" s="113"/>
      <c r="Z2441" s="113"/>
      <c r="AA2441" s="113"/>
      <c r="AB2441" s="113"/>
      <c r="AC2441" s="113"/>
      <c r="AD2441" s="113"/>
      <c r="AE2441" s="113"/>
      <c r="AF2441" s="113"/>
      <c r="AG2441" s="113"/>
      <c r="AH2441" s="113"/>
      <c r="AI2441" s="113"/>
      <c r="AJ2441" s="113"/>
      <c r="AK2441" s="319" t="s">
        <v>1113</v>
      </c>
      <c r="AL2441" s="113"/>
      <c r="AM2441" s="113"/>
      <c r="AN2441" s="113"/>
      <c r="AO2441" s="43" t="s">
        <v>2477</v>
      </c>
      <c r="AP2441" s="43"/>
      <c r="AQ2441" s="236" t="str">
        <f>VLOOKUP(Table8[[#This Row],[Instrument]],Def_Targets!$D$73:$E$159,2,FALSE)</f>
        <v>I_Vehicleeff</v>
      </c>
      <c r="AR2441" s="233" t="str">
        <f>VLOOKUP(Table8[[#This Row],[Country Code]],Table29[],3,FALSE)</f>
        <v>Annex I</v>
      </c>
      <c r="AS2441" s="233" t="str">
        <f>VLOOKUP(Table8[[#This Row],[Country Code]],Table29[],4,FALSE)</f>
        <v>Europe</v>
      </c>
      <c r="AT2441" s="233" t="str">
        <f>VLOOKUP(Table8[[#This Row],[Country Code]],Table29[],5,FALSE)</f>
        <v>High-income</v>
      </c>
      <c r="AU2441" s="233" t="str">
        <f>VLOOKUP(Table8[[#This Row],[Country Code]],Table29[],6,FALSE)</f>
        <v>no</v>
      </c>
      <c r="AV2441" s="233" t="str">
        <f>VLOOKUP(Table8[[#This Row],[Country Code]],Table29[],7,FALSE)</f>
        <v>no</v>
      </c>
      <c r="AW2441" s="233" t="str">
        <f>VLOOKUP(Table8[[#This Row],[Country Code]],Table29[],8,FALSE)</f>
        <v>OECD</v>
      </c>
      <c r="AX2441" s="233" t="str">
        <f>VLOOKUP(Table8[[#This Row],[Country Code]],Table29[],9,FALSE)</f>
        <v>no</v>
      </c>
      <c r="AY2441" s="233" t="str">
        <f>VLOOKUP(Table8[[#This Row],[Country Code]],Table29[],10,FALSE)</f>
        <v>no</v>
      </c>
      <c r="AZ2441" s="235">
        <f>VLOOKUP(Table8[[#This Row],[Country Code]],Table29[],23,FALSE)</f>
        <v>43.446393813877002</v>
      </c>
      <c r="BA2441" s="235">
        <f>VLOOKUP(Table8[[#This Row],[Country Code]],Table29[],24,FALSE)</f>
        <v>14.82381986485206</v>
      </c>
      <c r="BB2441" s="320"/>
      <c r="BC2441" s="320"/>
    </row>
    <row r="2442" spans="1:55" ht="15" hidden="1" customHeight="1" x14ac:dyDescent="0.25">
      <c r="A2442" s="360">
        <v>17753</v>
      </c>
      <c r="B2442" s="233" t="str">
        <f>VLOOKUP(Table8[[#This Row],[Document ID]],Table1[],2,FALSE)</f>
        <v>CHE</v>
      </c>
      <c r="C2442" s="233" t="str">
        <f>VLOOKUP(Table8[[#This Row],[Document ID]],Table1[],3,FALSE)</f>
        <v>Switzerland</v>
      </c>
      <c r="D2442" s="233" t="str">
        <f>VLOOKUP(Table8[[#This Row],[Document ID]],Table1[],5,FALSE)</f>
        <v>LTS</v>
      </c>
      <c r="E2442" s="233" t="str">
        <f>VLOOKUP(Table8[[#This Row],[Document ID]],Table1[],7,FALSE)</f>
        <v>LTS</v>
      </c>
      <c r="F2442" s="233" t="str">
        <f>VLOOKUP(Table8[[#This Row],[Document ID]],Table1[],8,FALSE)</f>
        <v>LTS 1.0</v>
      </c>
      <c r="G2442" s="233" t="str">
        <f>VLOOKUP(Table8[[#This Row],[Document ID]],Table1[],10,FALSE)</f>
        <v>Active</v>
      </c>
      <c r="H2442" s="43" t="s">
        <v>2484</v>
      </c>
      <c r="I2442" s="43" t="s">
        <v>2488</v>
      </c>
      <c r="J2442" s="44" t="s">
        <v>2489</v>
      </c>
      <c r="K2442" s="44" t="s">
        <v>4556</v>
      </c>
      <c r="L2442" s="44" t="s">
        <v>2333</v>
      </c>
      <c r="M2442" s="43">
        <v>13</v>
      </c>
      <c r="N2442" s="113"/>
      <c r="O2442" s="113"/>
      <c r="P2442" s="113"/>
      <c r="Q2442" s="113"/>
      <c r="R2442" s="113"/>
      <c r="S2442" s="113"/>
      <c r="T2442" s="113"/>
      <c r="U2442" s="113"/>
      <c r="V2442" s="113"/>
      <c r="W2442" s="113"/>
      <c r="X2442" s="113"/>
      <c r="Y2442" s="113"/>
      <c r="Z2442" s="113"/>
      <c r="AA2442" s="113"/>
      <c r="AB2442" s="113"/>
      <c r="AC2442" s="113"/>
      <c r="AD2442" s="113" t="s">
        <v>1113</v>
      </c>
      <c r="AE2442" s="113"/>
      <c r="AF2442" s="113"/>
      <c r="AG2442" s="113"/>
      <c r="AH2442" s="113" t="s">
        <v>1113</v>
      </c>
      <c r="AI2442" s="113"/>
      <c r="AJ2442" s="113"/>
      <c r="AK2442" s="319" t="s">
        <v>1113</v>
      </c>
      <c r="AL2442" s="113"/>
      <c r="AM2442" s="113"/>
      <c r="AN2442" s="113"/>
      <c r="AO2442" s="44" t="s">
        <v>2334</v>
      </c>
      <c r="AP2442" s="43"/>
      <c r="AQ2442" s="236" t="str">
        <f>VLOOKUP(Table8[[#This Row],[Instrument]],Def_Targets!$D$73:$E$159,2,FALSE)</f>
        <v>I_Aviation</v>
      </c>
      <c r="AR2442" s="233" t="str">
        <f>VLOOKUP(Table8[[#This Row],[Country Code]],Table29[],3,FALSE)</f>
        <v>Annex I</v>
      </c>
      <c r="AS2442" s="233" t="str">
        <f>VLOOKUP(Table8[[#This Row],[Country Code]],Table29[],4,FALSE)</f>
        <v>Europe</v>
      </c>
      <c r="AT2442" s="233" t="str">
        <f>VLOOKUP(Table8[[#This Row],[Country Code]],Table29[],5,FALSE)</f>
        <v>High-income</v>
      </c>
      <c r="AU2442" s="233" t="str">
        <f>VLOOKUP(Table8[[#This Row],[Country Code]],Table29[],6,FALSE)</f>
        <v>no</v>
      </c>
      <c r="AV2442" s="233" t="str">
        <f>VLOOKUP(Table8[[#This Row],[Country Code]],Table29[],7,FALSE)</f>
        <v>no</v>
      </c>
      <c r="AW2442" s="233" t="str">
        <f>VLOOKUP(Table8[[#This Row],[Country Code]],Table29[],8,FALSE)</f>
        <v>OECD</v>
      </c>
      <c r="AX2442" s="233" t="str">
        <f>VLOOKUP(Table8[[#This Row],[Country Code]],Table29[],9,FALSE)</f>
        <v>no</v>
      </c>
      <c r="AY2442" s="233" t="str">
        <f>VLOOKUP(Table8[[#This Row],[Country Code]],Table29[],10,FALSE)</f>
        <v>no</v>
      </c>
      <c r="AZ2442" s="235">
        <f>VLOOKUP(Table8[[#This Row],[Country Code]],Table29[],23,FALSE)</f>
        <v>43.446393813877002</v>
      </c>
      <c r="BA2442" s="235">
        <f>VLOOKUP(Table8[[#This Row],[Country Code]],Table29[],24,FALSE)</f>
        <v>14.82381986485206</v>
      </c>
      <c r="BB2442" s="320"/>
      <c r="BC2442" s="320"/>
    </row>
    <row r="2443" spans="1:55" ht="75" hidden="1" x14ac:dyDescent="0.25">
      <c r="A2443" s="360">
        <v>17753</v>
      </c>
      <c r="B2443" s="233" t="str">
        <f>VLOOKUP(Table8[[#This Row],[Document ID]],Table1[],2,FALSE)</f>
        <v>CHE</v>
      </c>
      <c r="C2443" s="233" t="str">
        <f>VLOOKUP(Table8[[#This Row],[Document ID]],Table1[],3,FALSE)</f>
        <v>Switzerland</v>
      </c>
      <c r="D2443" s="233" t="str">
        <f>VLOOKUP(Table8[[#This Row],[Document ID]],Table1[],5,FALSE)</f>
        <v>LTS</v>
      </c>
      <c r="E2443" s="233" t="str">
        <f>VLOOKUP(Table8[[#This Row],[Document ID]],Table1[],7,FALSE)</f>
        <v>LTS</v>
      </c>
      <c r="F2443" s="233" t="str">
        <f>VLOOKUP(Table8[[#This Row],[Document ID]],Table1[],8,FALSE)</f>
        <v>LTS 1.0</v>
      </c>
      <c r="G2443" s="233" t="str">
        <f>VLOOKUP(Table8[[#This Row],[Document ID]],Table1[],10,FALSE)</f>
        <v>Active</v>
      </c>
      <c r="H2443" s="43" t="s">
        <v>2343</v>
      </c>
      <c r="I2443" s="43" t="s">
        <v>2386</v>
      </c>
      <c r="J2443" s="44" t="s">
        <v>2397</v>
      </c>
      <c r="K2443" s="44" t="s">
        <v>4557</v>
      </c>
      <c r="L2443" s="44" t="s">
        <v>2471</v>
      </c>
      <c r="M2443" s="43">
        <v>18</v>
      </c>
      <c r="N2443" s="113"/>
      <c r="O2443" s="113"/>
      <c r="P2443" s="113"/>
      <c r="Q2443" s="113"/>
      <c r="R2443" s="113"/>
      <c r="S2443" s="113"/>
      <c r="T2443" s="113"/>
      <c r="U2443" s="113"/>
      <c r="V2443" s="113"/>
      <c r="W2443" s="113"/>
      <c r="X2443" s="113"/>
      <c r="Y2443" s="113"/>
      <c r="Z2443" s="113" t="s">
        <v>1113</v>
      </c>
      <c r="AA2443" s="113"/>
      <c r="AB2443" s="113"/>
      <c r="AC2443" s="113"/>
      <c r="AD2443" s="113"/>
      <c r="AE2443" s="113"/>
      <c r="AF2443" s="113"/>
      <c r="AG2443" s="113"/>
      <c r="AH2443" s="113" t="s">
        <v>1113</v>
      </c>
      <c r="AI2443" s="113"/>
      <c r="AJ2443" s="113"/>
      <c r="AK2443" s="113"/>
      <c r="AL2443" s="113" t="s">
        <v>1113</v>
      </c>
      <c r="AM2443" s="113"/>
      <c r="AN2443" s="113" t="s">
        <v>1113</v>
      </c>
      <c r="AO2443" s="44" t="s">
        <v>2334</v>
      </c>
      <c r="AP2443" s="43"/>
      <c r="AQ2443" s="236" t="str">
        <f>VLOOKUP(Table8[[#This Row],[Instrument]],Def_Targets!$D$73:$E$159,2,FALSE)</f>
        <v>A_Finance</v>
      </c>
      <c r="AR2443" s="233" t="str">
        <f>VLOOKUP(Table8[[#This Row],[Country Code]],Table29[],3,FALSE)</f>
        <v>Annex I</v>
      </c>
      <c r="AS2443" s="233" t="str">
        <f>VLOOKUP(Table8[[#This Row],[Country Code]],Table29[],4,FALSE)</f>
        <v>Europe</v>
      </c>
      <c r="AT2443" s="233" t="str">
        <f>VLOOKUP(Table8[[#This Row],[Country Code]],Table29[],5,FALSE)</f>
        <v>High-income</v>
      </c>
      <c r="AU2443" s="233" t="str">
        <f>VLOOKUP(Table8[[#This Row],[Country Code]],Table29[],6,FALSE)</f>
        <v>no</v>
      </c>
      <c r="AV2443" s="233" t="str">
        <f>VLOOKUP(Table8[[#This Row],[Country Code]],Table29[],7,FALSE)</f>
        <v>no</v>
      </c>
      <c r="AW2443" s="233" t="str">
        <f>VLOOKUP(Table8[[#This Row],[Country Code]],Table29[],8,FALSE)</f>
        <v>OECD</v>
      </c>
      <c r="AX2443" s="233" t="str">
        <f>VLOOKUP(Table8[[#This Row],[Country Code]],Table29[],9,FALSE)</f>
        <v>no</v>
      </c>
      <c r="AY2443" s="233" t="str">
        <f>VLOOKUP(Table8[[#This Row],[Country Code]],Table29[],10,FALSE)</f>
        <v>no</v>
      </c>
      <c r="AZ2443" s="235">
        <f>VLOOKUP(Table8[[#This Row],[Country Code]],Table29[],23,FALSE)</f>
        <v>43.446393813877002</v>
      </c>
      <c r="BA2443" s="235">
        <f>VLOOKUP(Table8[[#This Row],[Country Code]],Table29[],24,FALSE)</f>
        <v>14.82381986485206</v>
      </c>
      <c r="BB2443" s="320"/>
      <c r="BC2443" s="320"/>
    </row>
    <row r="2444" spans="1:55" ht="15" hidden="1" customHeight="1" x14ac:dyDescent="0.25">
      <c r="A2444" s="360">
        <v>17753</v>
      </c>
      <c r="B2444" s="233" t="str">
        <f>VLOOKUP(Table8[[#This Row],[Document ID]],Table1[],2,FALSE)</f>
        <v>CHE</v>
      </c>
      <c r="C2444" s="233" t="str">
        <f>VLOOKUP(Table8[[#This Row],[Document ID]],Table1[],3,FALSE)</f>
        <v>Switzerland</v>
      </c>
      <c r="D2444" s="233" t="str">
        <f>VLOOKUP(Table8[[#This Row],[Document ID]],Table1[],5,FALSE)</f>
        <v>LTS</v>
      </c>
      <c r="E2444" s="233" t="str">
        <f>VLOOKUP(Table8[[#This Row],[Document ID]],Table1[],7,FALSE)</f>
        <v>LTS</v>
      </c>
      <c r="F2444" s="233" t="str">
        <f>VLOOKUP(Table8[[#This Row],[Document ID]],Table1[],8,FALSE)</f>
        <v>LTS 1.0</v>
      </c>
      <c r="G2444" s="233" t="str">
        <f>VLOOKUP(Table8[[#This Row],[Document ID]],Table1[],10,FALSE)</f>
        <v>Active</v>
      </c>
      <c r="H2444" s="44" t="s">
        <v>2329</v>
      </c>
      <c r="I2444" s="44" t="s">
        <v>2330</v>
      </c>
      <c r="J2444" s="44" t="s">
        <v>2357</v>
      </c>
      <c r="K2444" s="44" t="s">
        <v>4558</v>
      </c>
      <c r="L2444" s="44" t="s">
        <v>2333</v>
      </c>
      <c r="M2444" s="43">
        <v>21</v>
      </c>
      <c r="N2444" s="113" t="s">
        <v>1113</v>
      </c>
      <c r="O2444" s="113"/>
      <c r="P2444" s="113"/>
      <c r="Q2444" s="113"/>
      <c r="R2444" s="113"/>
      <c r="S2444" s="113"/>
      <c r="T2444" s="113"/>
      <c r="U2444" s="113"/>
      <c r="V2444" s="113"/>
      <c r="W2444" s="113"/>
      <c r="X2444" s="113"/>
      <c r="Y2444" s="113"/>
      <c r="Z2444" s="113"/>
      <c r="AA2444" s="113"/>
      <c r="AB2444" s="113"/>
      <c r="AC2444" s="113"/>
      <c r="AD2444" s="113"/>
      <c r="AE2444" s="113"/>
      <c r="AF2444" s="113"/>
      <c r="AG2444" s="113"/>
      <c r="AH2444" s="113"/>
      <c r="AI2444" s="113"/>
      <c r="AJ2444" s="113"/>
      <c r="AK2444" s="319" t="s">
        <v>1113</v>
      </c>
      <c r="AL2444" s="113"/>
      <c r="AM2444" s="113"/>
      <c r="AN2444" s="113"/>
      <c r="AO2444" s="44" t="s">
        <v>2334</v>
      </c>
      <c r="AP2444" s="43"/>
      <c r="AQ2444" s="236" t="str">
        <f>VLOOKUP(Table8[[#This Row],[Instrument]],Def_Targets!$D$73:$E$159,2,FALSE)</f>
        <v>I_Biofuel</v>
      </c>
      <c r="AR2444" s="233" t="str">
        <f>VLOOKUP(Table8[[#This Row],[Country Code]],Table29[],3,FALSE)</f>
        <v>Annex I</v>
      </c>
      <c r="AS2444" s="233" t="str">
        <f>VLOOKUP(Table8[[#This Row],[Country Code]],Table29[],4,FALSE)</f>
        <v>Europe</v>
      </c>
      <c r="AT2444" s="233" t="str">
        <f>VLOOKUP(Table8[[#This Row],[Country Code]],Table29[],5,FALSE)</f>
        <v>High-income</v>
      </c>
      <c r="AU2444" s="233" t="str">
        <f>VLOOKUP(Table8[[#This Row],[Country Code]],Table29[],6,FALSE)</f>
        <v>no</v>
      </c>
      <c r="AV2444" s="233" t="str">
        <f>VLOOKUP(Table8[[#This Row],[Country Code]],Table29[],7,FALSE)</f>
        <v>no</v>
      </c>
      <c r="AW2444" s="233" t="str">
        <f>VLOOKUP(Table8[[#This Row],[Country Code]],Table29[],8,FALSE)</f>
        <v>OECD</v>
      </c>
      <c r="AX2444" s="233" t="str">
        <f>VLOOKUP(Table8[[#This Row],[Country Code]],Table29[],9,FALSE)</f>
        <v>no</v>
      </c>
      <c r="AY2444" s="233" t="str">
        <f>VLOOKUP(Table8[[#This Row],[Country Code]],Table29[],10,FALSE)</f>
        <v>no</v>
      </c>
      <c r="AZ2444" s="235">
        <f>VLOOKUP(Table8[[#This Row],[Country Code]],Table29[],23,FALSE)</f>
        <v>43.446393813877002</v>
      </c>
      <c r="BA2444" s="235">
        <f>VLOOKUP(Table8[[#This Row],[Country Code]],Table29[],24,FALSE)</f>
        <v>14.82381986485206</v>
      </c>
      <c r="BB2444" s="320"/>
      <c r="BC2444" s="320"/>
    </row>
    <row r="2445" spans="1:55" ht="15" hidden="1" customHeight="1" x14ac:dyDescent="0.25">
      <c r="A2445" s="360">
        <v>17753</v>
      </c>
      <c r="B2445" s="233" t="str">
        <f>VLOOKUP(Table8[[#This Row],[Document ID]],Table1[],2,FALSE)</f>
        <v>CHE</v>
      </c>
      <c r="C2445" s="233" t="str">
        <f>VLOOKUP(Table8[[#This Row],[Document ID]],Table1[],3,FALSE)</f>
        <v>Switzerland</v>
      </c>
      <c r="D2445" s="233" t="str">
        <f>VLOOKUP(Table8[[#This Row],[Document ID]],Table1[],5,FALSE)</f>
        <v>LTS</v>
      </c>
      <c r="E2445" s="233" t="str">
        <f>VLOOKUP(Table8[[#This Row],[Document ID]],Table1[],7,FALSE)</f>
        <v>LTS</v>
      </c>
      <c r="F2445" s="233" t="str">
        <f>VLOOKUP(Table8[[#This Row],[Document ID]],Table1[],8,FALSE)</f>
        <v>LTS 1.0</v>
      </c>
      <c r="G2445" s="233" t="str">
        <f>VLOOKUP(Table8[[#This Row],[Document ID]],Table1[],10,FALSE)</f>
        <v>Active</v>
      </c>
      <c r="H2445" s="43" t="s">
        <v>2343</v>
      </c>
      <c r="I2445" s="43" t="s">
        <v>2386</v>
      </c>
      <c r="J2445" s="44" t="s">
        <v>2498</v>
      </c>
      <c r="K2445" s="44" t="s">
        <v>4559</v>
      </c>
      <c r="L2445" s="44" t="s">
        <v>2333</v>
      </c>
      <c r="M2445" s="43">
        <v>21</v>
      </c>
      <c r="N2445" s="113" t="s">
        <v>1113</v>
      </c>
      <c r="O2445" s="113"/>
      <c r="P2445" s="113"/>
      <c r="Q2445" s="113"/>
      <c r="R2445" s="113"/>
      <c r="S2445" s="113"/>
      <c r="T2445" s="113"/>
      <c r="U2445" s="113"/>
      <c r="V2445" s="113"/>
      <c r="W2445" s="113"/>
      <c r="X2445" s="113"/>
      <c r="Y2445" s="113"/>
      <c r="Z2445" s="113"/>
      <c r="AA2445" s="113"/>
      <c r="AB2445" s="113"/>
      <c r="AC2445" s="113"/>
      <c r="AD2445" s="113"/>
      <c r="AE2445" s="113"/>
      <c r="AF2445" s="113"/>
      <c r="AG2445" s="113"/>
      <c r="AH2445" s="113"/>
      <c r="AI2445" s="113"/>
      <c r="AJ2445" s="113"/>
      <c r="AK2445" s="319" t="s">
        <v>1113</v>
      </c>
      <c r="AL2445" s="113"/>
      <c r="AM2445" s="113"/>
      <c r="AN2445" s="113"/>
      <c r="AO2445" s="44" t="s">
        <v>2334</v>
      </c>
      <c r="AP2445" s="43"/>
      <c r="AQ2445" s="236" t="str">
        <f>VLOOKUP(Table8[[#This Row],[Instrument]],Def_Targets!$D$73:$E$159,2,FALSE)</f>
        <v>A_Fueltax</v>
      </c>
      <c r="AR2445" s="233" t="str">
        <f>VLOOKUP(Table8[[#This Row],[Country Code]],Table29[],3,FALSE)</f>
        <v>Annex I</v>
      </c>
      <c r="AS2445" s="233" t="str">
        <f>VLOOKUP(Table8[[#This Row],[Country Code]],Table29[],4,FALSE)</f>
        <v>Europe</v>
      </c>
      <c r="AT2445" s="233" t="str">
        <f>VLOOKUP(Table8[[#This Row],[Country Code]],Table29[],5,FALSE)</f>
        <v>High-income</v>
      </c>
      <c r="AU2445" s="233" t="str">
        <f>VLOOKUP(Table8[[#This Row],[Country Code]],Table29[],6,FALSE)</f>
        <v>no</v>
      </c>
      <c r="AV2445" s="233" t="str">
        <f>VLOOKUP(Table8[[#This Row],[Country Code]],Table29[],7,FALSE)</f>
        <v>no</v>
      </c>
      <c r="AW2445" s="233" t="str">
        <f>VLOOKUP(Table8[[#This Row],[Country Code]],Table29[],8,FALSE)</f>
        <v>OECD</v>
      </c>
      <c r="AX2445" s="233" t="str">
        <f>VLOOKUP(Table8[[#This Row],[Country Code]],Table29[],9,FALSE)</f>
        <v>no</v>
      </c>
      <c r="AY2445" s="233" t="str">
        <f>VLOOKUP(Table8[[#This Row],[Country Code]],Table29[],10,FALSE)</f>
        <v>no</v>
      </c>
      <c r="AZ2445" s="235">
        <f>VLOOKUP(Table8[[#This Row],[Country Code]],Table29[],23,FALSE)</f>
        <v>43.446393813877002</v>
      </c>
      <c r="BA2445" s="235">
        <f>VLOOKUP(Table8[[#This Row],[Country Code]],Table29[],24,FALSE)</f>
        <v>14.82381986485206</v>
      </c>
      <c r="BB2445" s="320"/>
      <c r="BC2445" s="320"/>
    </row>
    <row r="2446" spans="1:55" ht="15" hidden="1" customHeight="1" x14ac:dyDescent="0.25">
      <c r="A2446" s="360">
        <v>17753</v>
      </c>
      <c r="B2446" s="233" t="str">
        <f>VLOOKUP(Table8[[#This Row],[Document ID]],Table1[],2,FALSE)</f>
        <v>CHE</v>
      </c>
      <c r="C2446" s="233" t="str">
        <f>VLOOKUP(Table8[[#This Row],[Document ID]],Table1[],3,FALSE)</f>
        <v>Switzerland</v>
      </c>
      <c r="D2446" s="233" t="str">
        <f>VLOOKUP(Table8[[#This Row],[Document ID]],Table1[],5,FALSE)</f>
        <v>LTS</v>
      </c>
      <c r="E2446" s="233" t="str">
        <f>VLOOKUP(Table8[[#This Row],[Document ID]],Table1[],7,FALSE)</f>
        <v>LTS</v>
      </c>
      <c r="F2446" s="233" t="str">
        <f>VLOOKUP(Table8[[#This Row],[Document ID]],Table1[],8,FALSE)</f>
        <v>LTS 1.0</v>
      </c>
      <c r="G2446" s="233" t="str">
        <f>VLOOKUP(Table8[[#This Row],[Document ID]],Table1[],10,FALSE)</f>
        <v>Active</v>
      </c>
      <c r="H2446" s="43" t="s">
        <v>2343</v>
      </c>
      <c r="I2446" s="43" t="s">
        <v>2386</v>
      </c>
      <c r="J2446" s="44" t="s">
        <v>2397</v>
      </c>
      <c r="K2446" s="44" t="s">
        <v>4560</v>
      </c>
      <c r="L2446" s="44" t="s">
        <v>2471</v>
      </c>
      <c r="M2446" s="43">
        <v>21</v>
      </c>
      <c r="N2446" s="113"/>
      <c r="O2446" s="113"/>
      <c r="P2446" s="113"/>
      <c r="Q2446" s="113"/>
      <c r="R2446" s="113"/>
      <c r="S2446" s="113"/>
      <c r="T2446" s="113"/>
      <c r="U2446" s="113"/>
      <c r="V2446" s="113"/>
      <c r="W2446" s="113"/>
      <c r="X2446" s="113"/>
      <c r="Y2446" s="113" t="s">
        <v>1113</v>
      </c>
      <c r="Z2446" s="113"/>
      <c r="AA2446" s="113"/>
      <c r="AB2446" s="113"/>
      <c r="AC2446" s="113"/>
      <c r="AD2446" s="113"/>
      <c r="AE2446" s="113"/>
      <c r="AF2446" s="113"/>
      <c r="AG2446" s="113"/>
      <c r="AH2446" s="113"/>
      <c r="AI2446" s="113"/>
      <c r="AJ2446" s="113"/>
      <c r="AK2446" s="319" t="s">
        <v>1113</v>
      </c>
      <c r="AL2446" s="113"/>
      <c r="AM2446" s="113"/>
      <c r="AN2446" s="113"/>
      <c r="AO2446" s="43" t="s">
        <v>2477</v>
      </c>
      <c r="AP2446" s="43"/>
      <c r="AQ2446" s="236" t="str">
        <f>VLOOKUP(Table8[[#This Row],[Instrument]],Def_Targets!$D$73:$E$159,2,FALSE)</f>
        <v>A_Finance</v>
      </c>
      <c r="AR2446" s="233" t="str">
        <f>VLOOKUP(Table8[[#This Row],[Country Code]],Table29[],3,FALSE)</f>
        <v>Annex I</v>
      </c>
      <c r="AS2446" s="233" t="str">
        <f>VLOOKUP(Table8[[#This Row],[Country Code]],Table29[],4,FALSE)</f>
        <v>Europe</v>
      </c>
      <c r="AT2446" s="233" t="str">
        <f>VLOOKUP(Table8[[#This Row],[Country Code]],Table29[],5,FALSE)</f>
        <v>High-income</v>
      </c>
      <c r="AU2446" s="233" t="str">
        <f>VLOOKUP(Table8[[#This Row],[Country Code]],Table29[],6,FALSE)</f>
        <v>no</v>
      </c>
      <c r="AV2446" s="233" t="str">
        <f>VLOOKUP(Table8[[#This Row],[Country Code]],Table29[],7,FALSE)</f>
        <v>no</v>
      </c>
      <c r="AW2446" s="233" t="str">
        <f>VLOOKUP(Table8[[#This Row],[Country Code]],Table29[],8,FALSE)</f>
        <v>OECD</v>
      </c>
      <c r="AX2446" s="233" t="str">
        <f>VLOOKUP(Table8[[#This Row],[Country Code]],Table29[],9,FALSE)</f>
        <v>no</v>
      </c>
      <c r="AY2446" s="233" t="str">
        <f>VLOOKUP(Table8[[#This Row],[Country Code]],Table29[],10,FALSE)</f>
        <v>no</v>
      </c>
      <c r="AZ2446" s="235">
        <f>VLOOKUP(Table8[[#This Row],[Country Code]],Table29[],23,FALSE)</f>
        <v>43.446393813877002</v>
      </c>
      <c r="BA2446" s="235">
        <f>VLOOKUP(Table8[[#This Row],[Country Code]],Table29[],24,FALSE)</f>
        <v>14.82381986485206</v>
      </c>
      <c r="BB2446" s="320"/>
      <c r="BC2446" s="320"/>
    </row>
    <row r="2447" spans="1:55" s="17" customFormat="1" ht="15" hidden="1" customHeight="1" x14ac:dyDescent="0.25">
      <c r="A2447" s="360">
        <v>17753</v>
      </c>
      <c r="B2447" s="233" t="str">
        <f>VLOOKUP(Table8[[#This Row],[Document ID]],Table1[],2,FALSE)</f>
        <v>CHE</v>
      </c>
      <c r="C2447" s="233" t="str">
        <f>VLOOKUP(Table8[[#This Row],[Document ID]],Table1[],3,FALSE)</f>
        <v>Switzerland</v>
      </c>
      <c r="D2447" s="233" t="str">
        <f>VLOOKUP(Table8[[#This Row],[Document ID]],Table1[],5,FALSE)</f>
        <v>LTS</v>
      </c>
      <c r="E2447" s="233" t="str">
        <f>VLOOKUP(Table8[[#This Row],[Document ID]],Table1[],7,FALSE)</f>
        <v>LTS</v>
      </c>
      <c r="F2447" s="233" t="str">
        <f>VLOOKUP(Table8[[#This Row],[Document ID]],Table1[],8,FALSE)</f>
        <v>LTS 1.0</v>
      </c>
      <c r="G2447" s="233" t="str">
        <f>VLOOKUP(Table8[[#This Row],[Document ID]],Table1[],10,FALSE)</f>
        <v>Active</v>
      </c>
      <c r="H2447" s="43" t="s">
        <v>2343</v>
      </c>
      <c r="I2447" s="43" t="s">
        <v>2386</v>
      </c>
      <c r="J2447" s="44" t="s">
        <v>2412</v>
      </c>
      <c r="K2447" s="44" t="s">
        <v>4561</v>
      </c>
      <c r="L2447" s="44" t="s">
        <v>2333</v>
      </c>
      <c r="M2447" s="43">
        <v>21</v>
      </c>
      <c r="N2447" s="113"/>
      <c r="O2447" s="113"/>
      <c r="P2447" s="113"/>
      <c r="Q2447" s="113"/>
      <c r="R2447" s="113"/>
      <c r="S2447" s="113"/>
      <c r="T2447" s="113"/>
      <c r="U2447" s="113"/>
      <c r="V2447" s="113"/>
      <c r="W2447" s="113"/>
      <c r="X2447" s="113"/>
      <c r="Y2447" s="113"/>
      <c r="Z2447" s="113"/>
      <c r="AA2447" s="113"/>
      <c r="AB2447" s="113"/>
      <c r="AC2447" s="113"/>
      <c r="AD2447" s="113"/>
      <c r="AE2447" s="113"/>
      <c r="AF2447" s="113"/>
      <c r="AG2447" s="113"/>
      <c r="AH2447" s="113" t="s">
        <v>1113</v>
      </c>
      <c r="AI2447" s="113"/>
      <c r="AJ2447" s="113"/>
      <c r="AK2447" s="319" t="s">
        <v>1113</v>
      </c>
      <c r="AL2447" s="113"/>
      <c r="AM2447" s="113"/>
      <c r="AN2447" s="113"/>
      <c r="AO2447" s="44" t="s">
        <v>2334</v>
      </c>
      <c r="AP2447" s="43"/>
      <c r="AQ2447" s="236" t="str">
        <f>VLOOKUP(Table8[[#This Row],[Instrument]],Def_Targets!$D$73:$E$159,2,FALSE)</f>
        <v>A_Economic</v>
      </c>
      <c r="AR2447" s="233" t="str">
        <f>VLOOKUP(Table8[[#This Row],[Country Code]],Table29[],3,FALSE)</f>
        <v>Annex I</v>
      </c>
      <c r="AS2447" s="233" t="str">
        <f>VLOOKUP(Table8[[#This Row],[Country Code]],Table29[],4,FALSE)</f>
        <v>Europe</v>
      </c>
      <c r="AT2447" s="233" t="str">
        <f>VLOOKUP(Table8[[#This Row],[Country Code]],Table29[],5,FALSE)</f>
        <v>High-income</v>
      </c>
      <c r="AU2447" s="233" t="str">
        <f>VLOOKUP(Table8[[#This Row],[Country Code]],Table29[],6,FALSE)</f>
        <v>no</v>
      </c>
      <c r="AV2447" s="233" t="str">
        <f>VLOOKUP(Table8[[#This Row],[Country Code]],Table29[],7,FALSE)</f>
        <v>no</v>
      </c>
      <c r="AW2447" s="233" t="str">
        <f>VLOOKUP(Table8[[#This Row],[Country Code]],Table29[],8,FALSE)</f>
        <v>OECD</v>
      </c>
      <c r="AX2447" s="233" t="str">
        <f>VLOOKUP(Table8[[#This Row],[Country Code]],Table29[],9,FALSE)</f>
        <v>no</v>
      </c>
      <c r="AY2447" s="233" t="str">
        <f>VLOOKUP(Table8[[#This Row],[Country Code]],Table29[],10,FALSE)</f>
        <v>no</v>
      </c>
      <c r="AZ2447" s="235">
        <f>VLOOKUP(Table8[[#This Row],[Country Code]],Table29[],23,FALSE)</f>
        <v>43.446393813877002</v>
      </c>
      <c r="BA2447" s="235">
        <f>VLOOKUP(Table8[[#This Row],[Country Code]],Table29[],24,FALSE)</f>
        <v>14.82381986485206</v>
      </c>
      <c r="BB2447" s="320"/>
      <c r="BC2447" s="320"/>
    </row>
    <row r="2448" spans="1:55" s="17" customFormat="1" ht="15" hidden="1" customHeight="1" x14ac:dyDescent="0.25">
      <c r="A2448" s="360">
        <v>17753</v>
      </c>
      <c r="B2448" s="233" t="str">
        <f>VLOOKUP(Table8[[#This Row],[Document ID]],Table1[],2,FALSE)</f>
        <v>CHE</v>
      </c>
      <c r="C2448" s="233" t="str">
        <f>VLOOKUP(Table8[[#This Row],[Document ID]],Table1[],3,FALSE)</f>
        <v>Switzerland</v>
      </c>
      <c r="D2448" s="233" t="str">
        <f>VLOOKUP(Table8[[#This Row],[Document ID]],Table1[],5,FALSE)</f>
        <v>LTS</v>
      </c>
      <c r="E2448" s="233" t="str">
        <f>VLOOKUP(Table8[[#This Row],[Document ID]],Table1[],7,FALSE)</f>
        <v>LTS</v>
      </c>
      <c r="F2448" s="233" t="str">
        <f>VLOOKUP(Table8[[#This Row],[Document ID]],Table1[],8,FALSE)</f>
        <v>LTS 1.0</v>
      </c>
      <c r="G2448" s="233" t="str">
        <f>VLOOKUP(Table8[[#This Row],[Document ID]],Table1[],10,FALSE)</f>
        <v>Active</v>
      </c>
      <c r="H2448" s="43" t="s">
        <v>2358</v>
      </c>
      <c r="I2448" s="43" t="s">
        <v>2359</v>
      </c>
      <c r="J2448" s="44" t="s">
        <v>2360</v>
      </c>
      <c r="K2448" s="44" t="s">
        <v>4562</v>
      </c>
      <c r="L2448" s="44" t="s">
        <v>2333</v>
      </c>
      <c r="M2448" s="43">
        <v>22</v>
      </c>
      <c r="N2448" s="113"/>
      <c r="O2448" s="113"/>
      <c r="P2448" s="113"/>
      <c r="Q2448" s="113"/>
      <c r="R2448" s="113"/>
      <c r="S2448" s="113"/>
      <c r="T2448" s="113"/>
      <c r="U2448" s="113" t="s">
        <v>1113</v>
      </c>
      <c r="V2448" s="113"/>
      <c r="W2448" s="113"/>
      <c r="X2448" s="113"/>
      <c r="Y2448" s="113"/>
      <c r="Z2448" s="113"/>
      <c r="AA2448" s="113"/>
      <c r="AB2448" s="113"/>
      <c r="AC2448" s="113"/>
      <c r="AD2448" s="113"/>
      <c r="AE2448" s="113"/>
      <c r="AF2448" s="113"/>
      <c r="AG2448" s="113"/>
      <c r="AH2448" s="113"/>
      <c r="AI2448" s="113"/>
      <c r="AJ2448" s="113"/>
      <c r="AK2448" s="319" t="s">
        <v>1113</v>
      </c>
      <c r="AL2448" s="113"/>
      <c r="AM2448" s="113"/>
      <c r="AN2448" s="113"/>
      <c r="AO2448" s="43" t="s">
        <v>2348</v>
      </c>
      <c r="AP2448" s="43"/>
      <c r="AQ2448" s="236" t="str">
        <f>VLOOKUP(Table8[[#This Row],[Instrument]],Def_Targets!$D$73:$E$159,2,FALSE)</f>
        <v>I_Emobility</v>
      </c>
      <c r="AR2448" s="233" t="str">
        <f>VLOOKUP(Table8[[#This Row],[Country Code]],Table29[],3,FALSE)</f>
        <v>Annex I</v>
      </c>
      <c r="AS2448" s="233" t="str">
        <f>VLOOKUP(Table8[[#This Row],[Country Code]],Table29[],4,FALSE)</f>
        <v>Europe</v>
      </c>
      <c r="AT2448" s="233" t="str">
        <f>VLOOKUP(Table8[[#This Row],[Country Code]],Table29[],5,FALSE)</f>
        <v>High-income</v>
      </c>
      <c r="AU2448" s="233" t="str">
        <f>VLOOKUP(Table8[[#This Row],[Country Code]],Table29[],6,FALSE)</f>
        <v>no</v>
      </c>
      <c r="AV2448" s="233" t="str">
        <f>VLOOKUP(Table8[[#This Row],[Country Code]],Table29[],7,FALSE)</f>
        <v>no</v>
      </c>
      <c r="AW2448" s="233" t="str">
        <f>VLOOKUP(Table8[[#This Row],[Country Code]],Table29[],8,FALSE)</f>
        <v>OECD</v>
      </c>
      <c r="AX2448" s="233" t="str">
        <f>VLOOKUP(Table8[[#This Row],[Country Code]],Table29[],9,FALSE)</f>
        <v>no</v>
      </c>
      <c r="AY2448" s="233" t="str">
        <f>VLOOKUP(Table8[[#This Row],[Country Code]],Table29[],10,FALSE)</f>
        <v>no</v>
      </c>
      <c r="AZ2448" s="235">
        <f>VLOOKUP(Table8[[#This Row],[Country Code]],Table29[],23,FALSE)</f>
        <v>43.446393813877002</v>
      </c>
      <c r="BA2448" s="235">
        <f>VLOOKUP(Table8[[#This Row],[Country Code]],Table29[],24,FALSE)</f>
        <v>14.82381986485206</v>
      </c>
      <c r="BB2448" s="320"/>
      <c r="BC2448" s="320"/>
    </row>
    <row r="2449" spans="1:55" s="17" customFormat="1" ht="43.5" hidden="1" customHeight="1" x14ac:dyDescent="0.25">
      <c r="A2449" s="373">
        <v>17753</v>
      </c>
      <c r="B2449" s="233" t="str">
        <f>VLOOKUP(Table8[[#This Row],[Document ID]],Table1[],2,FALSE)</f>
        <v>CHE</v>
      </c>
      <c r="C2449" s="233" t="str">
        <f>VLOOKUP(Table8[[#This Row],[Document ID]],Table1[],3,FALSE)</f>
        <v>Switzerland</v>
      </c>
      <c r="D2449" s="243" t="str">
        <f>VLOOKUP(Table8[[#This Row],[Document ID]],Table1[],5,FALSE)</f>
        <v>LTS</v>
      </c>
      <c r="E2449" s="233" t="str">
        <f>VLOOKUP(Table8[[#This Row],[Document ID]],Table1[],7,FALSE)</f>
        <v>LTS</v>
      </c>
      <c r="F2449" s="233" t="str">
        <f>VLOOKUP(Table8[[#This Row],[Document ID]],Table1[],8,FALSE)</f>
        <v>LTS 1.0</v>
      </c>
      <c r="G2449" s="233" t="str">
        <f>VLOOKUP(Table8[[#This Row],[Document ID]],Table1[],10,FALSE)</f>
        <v>Active</v>
      </c>
      <c r="H2449" s="43" t="s">
        <v>2350</v>
      </c>
      <c r="I2449" s="43" t="s">
        <v>2370</v>
      </c>
      <c r="J2449" s="44" t="s">
        <v>2418</v>
      </c>
      <c r="K2449" s="44" t="s">
        <v>4563</v>
      </c>
      <c r="L2449" s="44" t="s">
        <v>2396</v>
      </c>
      <c r="M2449" s="43">
        <v>22</v>
      </c>
      <c r="N2449" s="113" t="s">
        <v>1113</v>
      </c>
      <c r="O2449" s="113"/>
      <c r="P2449" s="113"/>
      <c r="Q2449" s="113"/>
      <c r="R2449" s="113"/>
      <c r="S2449" s="113"/>
      <c r="T2449" s="113"/>
      <c r="U2449" s="113"/>
      <c r="V2449" s="113"/>
      <c r="W2449" s="113"/>
      <c r="X2449" s="113"/>
      <c r="Y2449" s="113"/>
      <c r="Z2449" s="113"/>
      <c r="AA2449" s="113"/>
      <c r="AB2449" s="113"/>
      <c r="AC2449" s="113"/>
      <c r="AD2449" s="113"/>
      <c r="AE2449" s="113"/>
      <c r="AF2449" s="113"/>
      <c r="AG2449" s="113"/>
      <c r="AH2449" s="113"/>
      <c r="AI2449" s="113"/>
      <c r="AJ2449" s="113"/>
      <c r="AK2449" s="113"/>
      <c r="AL2449" s="113" t="s">
        <v>1113</v>
      </c>
      <c r="AM2449" s="113"/>
      <c r="AN2449" s="113"/>
      <c r="AO2449" s="43" t="s">
        <v>2348</v>
      </c>
      <c r="AP2449" s="43"/>
      <c r="AQ2449" s="236" t="str">
        <f>VLOOKUP(Table8[[#This Row],[Instrument]],Def_Targets!$D$73:$E$159,2,FALSE)</f>
        <v>A_Complan</v>
      </c>
      <c r="AR2449" s="233" t="str">
        <f>VLOOKUP(Table8[[#This Row],[Country Code]],Table29[],3,FALSE)</f>
        <v>Annex I</v>
      </c>
      <c r="AS2449" s="233" t="str">
        <f>VLOOKUP(Table8[[#This Row],[Country Code]],Table29[],4,FALSE)</f>
        <v>Europe</v>
      </c>
      <c r="AT2449" s="233" t="str">
        <f>VLOOKUP(Table8[[#This Row],[Country Code]],Table29[],5,FALSE)</f>
        <v>High-income</v>
      </c>
      <c r="AU2449" s="233" t="str">
        <f>VLOOKUP(Table8[[#This Row],[Country Code]],Table29[],6,FALSE)</f>
        <v>no</v>
      </c>
      <c r="AV2449" s="233" t="str">
        <f>VLOOKUP(Table8[[#This Row],[Country Code]],Table29[],7,FALSE)</f>
        <v>no</v>
      </c>
      <c r="AW2449" s="233" t="str">
        <f>VLOOKUP(Table8[[#This Row],[Country Code]],Table29[],8,FALSE)</f>
        <v>OECD</v>
      </c>
      <c r="AX2449" s="233" t="str">
        <f>VLOOKUP(Table8[[#This Row],[Country Code]],Table29[],9,FALSE)</f>
        <v>no</v>
      </c>
      <c r="AY2449" s="233" t="str">
        <f>VLOOKUP(Table8[[#This Row],[Country Code]],Table29[],10,FALSE)</f>
        <v>no</v>
      </c>
      <c r="AZ2449" s="235">
        <f>VLOOKUP(Table8[[#This Row],[Country Code]],Table29[],23,FALSE)</f>
        <v>43.446393813877002</v>
      </c>
      <c r="BA2449" s="235">
        <f>VLOOKUP(Table8[[#This Row],[Country Code]],Table29[],24,FALSE)</f>
        <v>14.82381986485206</v>
      </c>
      <c r="BB2449" s="320"/>
      <c r="BC2449" s="320"/>
    </row>
    <row r="2450" spans="1:55" s="17" customFormat="1" ht="43.5" hidden="1" customHeight="1" x14ac:dyDescent="0.25">
      <c r="A2450" s="373">
        <v>17753</v>
      </c>
      <c r="B2450" s="233" t="str">
        <f>VLOOKUP(Table8[[#This Row],[Document ID]],Table1[],2,FALSE)</f>
        <v>CHE</v>
      </c>
      <c r="C2450" s="233" t="str">
        <f>VLOOKUP(Table8[[#This Row],[Document ID]],Table1[],3,FALSE)</f>
        <v>Switzerland</v>
      </c>
      <c r="D2450" s="243" t="str">
        <f>VLOOKUP(Table8[[#This Row],[Document ID]],Table1[],5,FALSE)</f>
        <v>LTS</v>
      </c>
      <c r="E2450" s="233" t="str">
        <f>VLOOKUP(Table8[[#This Row],[Document ID]],Table1[],7,FALSE)</f>
        <v>LTS</v>
      </c>
      <c r="F2450" s="233" t="str">
        <f>VLOOKUP(Table8[[#This Row],[Document ID]],Table1[],8,FALSE)</f>
        <v>LTS 1.0</v>
      </c>
      <c r="G2450" s="233" t="str">
        <f>VLOOKUP(Table8[[#This Row],[Document ID]],Table1[],10,FALSE)</f>
        <v>Active</v>
      </c>
      <c r="H2450" s="43" t="s">
        <v>2350</v>
      </c>
      <c r="I2450" s="43" t="s">
        <v>2456</v>
      </c>
      <c r="J2450" s="44" t="s">
        <v>2643</v>
      </c>
      <c r="K2450" s="44" t="s">
        <v>4563</v>
      </c>
      <c r="L2450" s="44" t="s">
        <v>2396</v>
      </c>
      <c r="M2450" s="43">
        <v>22</v>
      </c>
      <c r="N2450" s="113" t="s">
        <v>1113</v>
      </c>
      <c r="O2450" s="113"/>
      <c r="P2450" s="113"/>
      <c r="Q2450" s="113"/>
      <c r="R2450" s="113"/>
      <c r="S2450" s="113"/>
      <c r="T2450" s="113"/>
      <c r="U2450" s="113"/>
      <c r="V2450" s="113"/>
      <c r="W2450" s="113"/>
      <c r="X2450" s="113"/>
      <c r="Y2450" s="113"/>
      <c r="Z2450" s="113"/>
      <c r="AA2450" s="113"/>
      <c r="AB2450" s="113"/>
      <c r="AC2450" s="113"/>
      <c r="AD2450" s="113"/>
      <c r="AE2450" s="113"/>
      <c r="AF2450" s="113"/>
      <c r="AG2450" s="113"/>
      <c r="AH2450" s="113"/>
      <c r="AI2450" s="113"/>
      <c r="AJ2450" s="113"/>
      <c r="AK2450" s="113"/>
      <c r="AL2450" s="113" t="s">
        <v>1113</v>
      </c>
      <c r="AM2450" s="113"/>
      <c r="AN2450" s="113"/>
      <c r="AO2450" s="43" t="s">
        <v>2348</v>
      </c>
      <c r="AP2450" s="43"/>
      <c r="AQ2450" s="236" t="str">
        <f>VLOOKUP(Table8[[#This Row],[Instrument]],Def_Targets!$D$73:$E$159,2,FALSE)</f>
        <v>S_Intermodality</v>
      </c>
      <c r="AR2450" s="233" t="str">
        <f>VLOOKUP(Table8[[#This Row],[Country Code]],Table29[],3,FALSE)</f>
        <v>Annex I</v>
      </c>
      <c r="AS2450" s="233" t="str">
        <f>VLOOKUP(Table8[[#This Row],[Country Code]],Table29[],4,FALSE)</f>
        <v>Europe</v>
      </c>
      <c r="AT2450" s="233" t="str">
        <f>VLOOKUP(Table8[[#This Row],[Country Code]],Table29[],5,FALSE)</f>
        <v>High-income</v>
      </c>
      <c r="AU2450" s="233" t="str">
        <f>VLOOKUP(Table8[[#This Row],[Country Code]],Table29[],6,FALSE)</f>
        <v>no</v>
      </c>
      <c r="AV2450" s="233" t="str">
        <f>VLOOKUP(Table8[[#This Row],[Country Code]],Table29[],7,FALSE)</f>
        <v>no</v>
      </c>
      <c r="AW2450" s="233" t="str">
        <f>VLOOKUP(Table8[[#This Row],[Country Code]],Table29[],8,FALSE)</f>
        <v>OECD</v>
      </c>
      <c r="AX2450" s="233" t="str">
        <f>VLOOKUP(Table8[[#This Row],[Country Code]],Table29[],9,FALSE)</f>
        <v>no</v>
      </c>
      <c r="AY2450" s="233" t="str">
        <f>VLOOKUP(Table8[[#This Row],[Country Code]],Table29[],10,FALSE)</f>
        <v>no</v>
      </c>
      <c r="AZ2450" s="235">
        <f>VLOOKUP(Table8[[#This Row],[Country Code]],Table29[],23,FALSE)</f>
        <v>43.446393813877002</v>
      </c>
      <c r="BA2450" s="235">
        <f>VLOOKUP(Table8[[#This Row],[Country Code]],Table29[],24,FALSE)</f>
        <v>14.82381986485206</v>
      </c>
      <c r="BB2450" s="320"/>
      <c r="BC2450" s="320"/>
    </row>
    <row r="2451" spans="1:55" ht="33" hidden="1" customHeight="1" x14ac:dyDescent="0.25">
      <c r="A2451" s="373">
        <v>17780</v>
      </c>
      <c r="B2451" s="233" t="str">
        <f>VLOOKUP(Table8[[#This Row],[Document ID]],Table1[],2,FALSE)</f>
        <v>URY</v>
      </c>
      <c r="C2451" s="233" t="str">
        <f>VLOOKUP(Table8[[#This Row],[Document ID]],Table1[],3,FALSE)</f>
        <v>Uruguay</v>
      </c>
      <c r="D2451" s="243" t="str">
        <f>VLOOKUP(Table8[[#This Row],[Document ID]],Table1[],5,FALSE)</f>
        <v>NDC</v>
      </c>
      <c r="E2451" s="233" t="str">
        <f>VLOOKUP(Table8[[#This Row],[Document ID]],Table1[],7,FALSE)</f>
        <v>First NDC</v>
      </c>
      <c r="F2451" s="236" t="str">
        <f>VLOOKUP(Table8[[#This Row],[Document ID]],Table1[],8,FALSE)</f>
        <v>NDC 1.0</v>
      </c>
      <c r="G2451" s="236" t="str">
        <f>VLOOKUP(Table8[[#This Row],[Document ID]],Table1[],10,FALSE)</f>
        <v>Archived</v>
      </c>
      <c r="H2451" s="43" t="s">
        <v>2343</v>
      </c>
      <c r="I2451" s="43" t="s">
        <v>2344</v>
      </c>
      <c r="J2451" s="44" t="s">
        <v>2549</v>
      </c>
      <c r="K2451" s="44" t="s">
        <v>4564</v>
      </c>
      <c r="L2451" s="44" t="s">
        <v>2347</v>
      </c>
      <c r="M2451" s="43"/>
      <c r="N2451" s="113"/>
      <c r="O2451" s="113"/>
      <c r="P2451" s="113"/>
      <c r="Q2451" s="319"/>
      <c r="R2451" s="319"/>
      <c r="S2451" s="319"/>
      <c r="T2451" s="319"/>
      <c r="U2451" s="319"/>
      <c r="V2451" s="319"/>
      <c r="W2451" s="319"/>
      <c r="X2451" s="319"/>
      <c r="Y2451" s="319" t="s">
        <v>1113</v>
      </c>
      <c r="Z2451" s="319"/>
      <c r="AA2451" s="319"/>
      <c r="AB2451" s="319"/>
      <c r="AC2451" s="319"/>
      <c r="AD2451" s="319"/>
      <c r="AE2451" s="319"/>
      <c r="AF2451" s="319"/>
      <c r="AG2451" s="319"/>
      <c r="AH2451" s="319"/>
      <c r="AI2451" s="319"/>
      <c r="AJ2451" s="319"/>
      <c r="AK2451" s="319"/>
      <c r="AL2451" s="319" t="s">
        <v>1113</v>
      </c>
      <c r="AM2451" s="319"/>
      <c r="AN2451" s="319"/>
      <c r="AO2451" s="43" t="s">
        <v>2348</v>
      </c>
      <c r="AP2451" s="44"/>
      <c r="AQ2451" s="236" t="str">
        <f>VLOOKUP(Table8[[#This Row],[Instrument]],Def_Targets!$D$73:$E$159,2,FALSE)</f>
        <v>S_BRT</v>
      </c>
      <c r="AR2451" s="233" t="str">
        <f>VLOOKUP(Table8[[#This Row],[Country Code]],Table29[],3,FALSE)</f>
        <v>Non-Annex I</v>
      </c>
      <c r="AS2451" s="233" t="str">
        <f>VLOOKUP(Table8[[#This Row],[Country Code]],Table29[],4,FALSE)</f>
        <v>Latin America and the Caribbean</v>
      </c>
      <c r="AT2451" s="233" t="str">
        <f>VLOOKUP(Table8[[#This Row],[Country Code]],Table29[],5,FALSE)</f>
        <v>High-income</v>
      </c>
      <c r="AU2451" s="233" t="str">
        <f>VLOOKUP(Table8[[#This Row],[Country Code]],Table29[],6,FALSE)</f>
        <v>no</v>
      </c>
      <c r="AV2451" s="233" t="str">
        <f>VLOOKUP(Table8[[#This Row],[Country Code]],Table29[],7,FALSE)</f>
        <v>no</v>
      </c>
      <c r="AW2451" s="233" t="str">
        <f>VLOOKUP(Table8[[#This Row],[Country Code]],Table29[],8,FALSE)</f>
        <v>non-OECD</v>
      </c>
      <c r="AX2451" s="233" t="str">
        <f>VLOOKUP(Table8[[#This Row],[Country Code]],Table29[],9,FALSE)</f>
        <v>no</v>
      </c>
      <c r="AY2451" s="233" t="str">
        <f>VLOOKUP(Table8[[#This Row],[Country Code]],Table29[],10,FALSE)</f>
        <v>no</v>
      </c>
      <c r="AZ2451" s="235">
        <f>VLOOKUP(Table8[[#This Row],[Country Code]],Table29[],23,FALSE)</f>
        <v>41.634111747759</v>
      </c>
      <c r="BA2451" s="235">
        <f>VLOOKUP(Table8[[#This Row],[Country Code]],Table29[],24,FALSE)</f>
        <v>4.0868158944276578</v>
      </c>
      <c r="BB2451" s="320"/>
      <c r="BC2451" s="320"/>
    </row>
    <row r="2452" spans="1:55" ht="49.5" hidden="1" customHeight="1" x14ac:dyDescent="0.25">
      <c r="A2452" s="373">
        <v>17780</v>
      </c>
      <c r="B2452" s="233" t="str">
        <f>VLOOKUP(Table8[[#This Row],[Document ID]],Table1[],2,FALSE)</f>
        <v>URY</v>
      </c>
      <c r="C2452" s="233" t="str">
        <f>VLOOKUP(Table8[[#This Row],[Document ID]],Table1[],3,FALSE)</f>
        <v>Uruguay</v>
      </c>
      <c r="D2452" s="243" t="str">
        <f>VLOOKUP(Table8[[#This Row],[Document ID]],Table1[],5,FALSE)</f>
        <v>NDC</v>
      </c>
      <c r="E2452" s="233" t="str">
        <f>VLOOKUP(Table8[[#This Row],[Document ID]],Table1[],7,FALSE)</f>
        <v>First NDC</v>
      </c>
      <c r="F2452" s="236" t="str">
        <f>VLOOKUP(Table8[[#This Row],[Document ID]],Table1[],8,FALSE)</f>
        <v>NDC 1.0</v>
      </c>
      <c r="G2452" s="236" t="str">
        <f>VLOOKUP(Table8[[#This Row],[Document ID]],Table1[],10,FALSE)</f>
        <v>Archived</v>
      </c>
      <c r="H2452" s="43" t="s">
        <v>2358</v>
      </c>
      <c r="I2452" s="43" t="s">
        <v>2359</v>
      </c>
      <c r="J2452" s="44" t="s">
        <v>2360</v>
      </c>
      <c r="K2452" s="44" t="s">
        <v>4565</v>
      </c>
      <c r="L2452" s="44" t="s">
        <v>2333</v>
      </c>
      <c r="M2452" s="43"/>
      <c r="N2452" s="113" t="s">
        <v>1113</v>
      </c>
      <c r="O2452" s="113"/>
      <c r="P2452" s="113"/>
      <c r="Q2452" s="319"/>
      <c r="R2452" s="319"/>
      <c r="S2452" s="319"/>
      <c r="T2452" s="319"/>
      <c r="U2452" s="319"/>
      <c r="V2452" s="319"/>
      <c r="W2452" s="319"/>
      <c r="X2452" s="319"/>
      <c r="Y2452" s="113"/>
      <c r="Z2452" s="113"/>
      <c r="AA2452" s="319"/>
      <c r="AB2452" s="319"/>
      <c r="AC2452" s="319"/>
      <c r="AD2452" s="319"/>
      <c r="AE2452" s="319"/>
      <c r="AF2452" s="319"/>
      <c r="AG2452" s="319"/>
      <c r="AH2452" s="319"/>
      <c r="AI2452" s="319"/>
      <c r="AJ2452" s="319"/>
      <c r="AK2452" s="319" t="s">
        <v>1113</v>
      </c>
      <c r="AL2452" s="319"/>
      <c r="AM2452" s="319"/>
      <c r="AN2452" s="319"/>
      <c r="AO2452" s="44" t="s">
        <v>2334</v>
      </c>
      <c r="AP2452" s="44"/>
      <c r="AQ2452" s="236" t="str">
        <f>VLOOKUP(Table8[[#This Row],[Instrument]],Def_Targets!$D$73:$E$159,2,FALSE)</f>
        <v>I_Emobility</v>
      </c>
      <c r="AR2452" s="233" t="str">
        <f>VLOOKUP(Table8[[#This Row],[Country Code]],Table29[],3,FALSE)</f>
        <v>Non-Annex I</v>
      </c>
      <c r="AS2452" s="233" t="str">
        <f>VLOOKUP(Table8[[#This Row],[Country Code]],Table29[],4,FALSE)</f>
        <v>Latin America and the Caribbean</v>
      </c>
      <c r="AT2452" s="233" t="str">
        <f>VLOOKUP(Table8[[#This Row],[Country Code]],Table29[],5,FALSE)</f>
        <v>High-income</v>
      </c>
      <c r="AU2452" s="233" t="str">
        <f>VLOOKUP(Table8[[#This Row],[Country Code]],Table29[],6,FALSE)</f>
        <v>no</v>
      </c>
      <c r="AV2452" s="233" t="str">
        <f>VLOOKUP(Table8[[#This Row],[Country Code]],Table29[],7,FALSE)</f>
        <v>no</v>
      </c>
      <c r="AW2452" s="233" t="str">
        <f>VLOOKUP(Table8[[#This Row],[Country Code]],Table29[],8,FALSE)</f>
        <v>non-OECD</v>
      </c>
      <c r="AX2452" s="233" t="str">
        <f>VLOOKUP(Table8[[#This Row],[Country Code]],Table29[],9,FALSE)</f>
        <v>no</v>
      </c>
      <c r="AY2452" s="233" t="str">
        <f>VLOOKUP(Table8[[#This Row],[Country Code]],Table29[],10,FALSE)</f>
        <v>no</v>
      </c>
      <c r="AZ2452" s="235">
        <f>VLOOKUP(Table8[[#This Row],[Country Code]],Table29[],23,FALSE)</f>
        <v>41.634111747759</v>
      </c>
      <c r="BA2452" s="235">
        <f>VLOOKUP(Table8[[#This Row],[Country Code]],Table29[],24,FALSE)</f>
        <v>4.0868158944276578</v>
      </c>
      <c r="BB2452" s="320"/>
      <c r="BC2452" s="320"/>
    </row>
    <row r="2453" spans="1:55" ht="45" hidden="1" x14ac:dyDescent="0.25">
      <c r="A2453" s="373">
        <v>17780</v>
      </c>
      <c r="B2453" s="233" t="str">
        <f>VLOOKUP(Table8[[#This Row],[Document ID]],Table1[],2,FALSE)</f>
        <v>URY</v>
      </c>
      <c r="C2453" s="233" t="str">
        <f>VLOOKUP(Table8[[#This Row],[Document ID]],Table1[],3,FALSE)</f>
        <v>Uruguay</v>
      </c>
      <c r="D2453" s="243" t="str">
        <f>VLOOKUP(Table8[[#This Row],[Document ID]],Table1[],5,FALSE)</f>
        <v>NDC</v>
      </c>
      <c r="E2453" s="233" t="str">
        <f>VLOOKUP(Table8[[#This Row],[Document ID]],Table1[],7,FALSE)</f>
        <v>First NDC</v>
      </c>
      <c r="F2453" s="236" t="str">
        <f>VLOOKUP(Table8[[#This Row],[Document ID]],Table1[],8,FALSE)</f>
        <v>NDC 1.0</v>
      </c>
      <c r="G2453" s="236" t="str">
        <f>VLOOKUP(Table8[[#This Row],[Document ID]],Table1[],10,FALSE)</f>
        <v>Archived</v>
      </c>
      <c r="H2453" s="44" t="s">
        <v>2329</v>
      </c>
      <c r="I2453" s="44" t="s">
        <v>2330</v>
      </c>
      <c r="J2453" s="44" t="s">
        <v>2357</v>
      </c>
      <c r="K2453" s="44" t="s">
        <v>4566</v>
      </c>
      <c r="L2453" s="44" t="s">
        <v>2333</v>
      </c>
      <c r="M2453" s="43"/>
      <c r="N2453" s="113" t="s">
        <v>1113</v>
      </c>
      <c r="O2453" s="113"/>
      <c r="P2453" s="113"/>
      <c r="Q2453" s="319"/>
      <c r="R2453" s="319"/>
      <c r="S2453" s="319"/>
      <c r="T2453" s="319"/>
      <c r="U2453" s="319"/>
      <c r="V2453" s="319"/>
      <c r="W2453" s="319"/>
      <c r="X2453" s="319"/>
      <c r="Y2453" s="319"/>
      <c r="Z2453" s="319"/>
      <c r="AA2453" s="319"/>
      <c r="AB2453" s="319"/>
      <c r="AC2453" s="319"/>
      <c r="AD2453" s="319"/>
      <c r="AE2453" s="319"/>
      <c r="AF2453" s="319"/>
      <c r="AG2453" s="319"/>
      <c r="AH2453" s="319"/>
      <c r="AI2453" s="319"/>
      <c r="AJ2453" s="319"/>
      <c r="AK2453" s="319" t="s">
        <v>1113</v>
      </c>
      <c r="AL2453" s="319"/>
      <c r="AM2453" s="319"/>
      <c r="AN2453" s="319"/>
      <c r="AO2453" s="44" t="s">
        <v>2334</v>
      </c>
      <c r="AP2453" s="44"/>
      <c r="AQ2453" s="236" t="str">
        <f>VLOOKUP(Table8[[#This Row],[Instrument]],Def_Targets!$D$73:$E$159,2,FALSE)</f>
        <v>I_Biofuel</v>
      </c>
      <c r="AR2453" s="233" t="str">
        <f>VLOOKUP(Table8[[#This Row],[Country Code]],Table29[],3,FALSE)</f>
        <v>Non-Annex I</v>
      </c>
      <c r="AS2453" s="233" t="str">
        <f>VLOOKUP(Table8[[#This Row],[Country Code]],Table29[],4,FALSE)</f>
        <v>Latin America and the Caribbean</v>
      </c>
      <c r="AT2453" s="233" t="str">
        <f>VLOOKUP(Table8[[#This Row],[Country Code]],Table29[],5,FALSE)</f>
        <v>High-income</v>
      </c>
      <c r="AU2453" s="233" t="str">
        <f>VLOOKUP(Table8[[#This Row],[Country Code]],Table29[],6,FALSE)</f>
        <v>no</v>
      </c>
      <c r="AV2453" s="233" t="str">
        <f>VLOOKUP(Table8[[#This Row],[Country Code]],Table29[],7,FALSE)</f>
        <v>no</v>
      </c>
      <c r="AW2453" s="233" t="str">
        <f>VLOOKUP(Table8[[#This Row],[Country Code]],Table29[],8,FALSE)</f>
        <v>non-OECD</v>
      </c>
      <c r="AX2453" s="233" t="str">
        <f>VLOOKUP(Table8[[#This Row],[Country Code]],Table29[],9,FALSE)</f>
        <v>no</v>
      </c>
      <c r="AY2453" s="233" t="str">
        <f>VLOOKUP(Table8[[#This Row],[Country Code]],Table29[],10,FALSE)</f>
        <v>no</v>
      </c>
      <c r="AZ2453" s="235">
        <f>VLOOKUP(Table8[[#This Row],[Country Code]],Table29[],23,FALSE)</f>
        <v>41.634111747759</v>
      </c>
      <c r="BA2453" s="235">
        <f>VLOOKUP(Table8[[#This Row],[Country Code]],Table29[],24,FALSE)</f>
        <v>4.0868158944276578</v>
      </c>
      <c r="BB2453" s="320"/>
      <c r="BC2453" s="320"/>
    </row>
    <row r="2454" spans="1:55" ht="15" hidden="1" customHeight="1" x14ac:dyDescent="0.25">
      <c r="A2454" s="373">
        <v>17780</v>
      </c>
      <c r="B2454" s="233" t="str">
        <f>VLOOKUP(Table8[[#This Row],[Document ID]],Table1[],2,FALSE)</f>
        <v>URY</v>
      </c>
      <c r="C2454" s="233" t="str">
        <f>VLOOKUP(Table8[[#This Row],[Document ID]],Table1[],3,FALSE)</f>
        <v>Uruguay</v>
      </c>
      <c r="D2454" s="243" t="str">
        <f>VLOOKUP(Table8[[#This Row],[Document ID]],Table1[],5,FALSE)</f>
        <v>NDC</v>
      </c>
      <c r="E2454" s="233" t="str">
        <f>VLOOKUP(Table8[[#This Row],[Document ID]],Table1[],7,FALSE)</f>
        <v>First NDC</v>
      </c>
      <c r="F2454" s="236" t="str">
        <f>VLOOKUP(Table8[[#This Row],[Document ID]],Table1[],8,FALSE)</f>
        <v>NDC 1.0</v>
      </c>
      <c r="G2454" s="236" t="str">
        <f>VLOOKUP(Table8[[#This Row],[Document ID]],Table1[],10,FALSE)</f>
        <v>Archived</v>
      </c>
      <c r="H2454" s="43" t="s">
        <v>2350</v>
      </c>
      <c r="I2454" s="43" t="s">
        <v>2351</v>
      </c>
      <c r="J2454" s="44" t="s">
        <v>2447</v>
      </c>
      <c r="K2454" s="44" t="s">
        <v>4567</v>
      </c>
      <c r="L2454" s="44" t="s">
        <v>2347</v>
      </c>
      <c r="M2454" s="43"/>
      <c r="N2454" s="113"/>
      <c r="O2454" s="113"/>
      <c r="P2454" s="113"/>
      <c r="Q2454" s="319"/>
      <c r="R2454" s="319"/>
      <c r="S2454" s="319"/>
      <c r="T2454" s="319"/>
      <c r="U2454" s="319"/>
      <c r="V2454" s="319"/>
      <c r="W2454" s="319"/>
      <c r="X2454" s="319"/>
      <c r="Y2454" s="113"/>
      <c r="Z2454" s="113" t="s">
        <v>1113</v>
      </c>
      <c r="AA2454" s="319"/>
      <c r="AB2454" s="319"/>
      <c r="AC2454" s="319"/>
      <c r="AD2454" s="319"/>
      <c r="AE2454" s="319"/>
      <c r="AF2454" s="319" t="s">
        <v>1113</v>
      </c>
      <c r="AG2454" s="319"/>
      <c r="AH2454" s="319"/>
      <c r="AI2454" s="319"/>
      <c r="AJ2454" s="319"/>
      <c r="AK2454" s="319" t="s">
        <v>1113</v>
      </c>
      <c r="AL2454" s="319"/>
      <c r="AM2454" s="319"/>
      <c r="AN2454" s="319"/>
      <c r="AO2454" s="43" t="s">
        <v>2353</v>
      </c>
      <c r="AP2454" s="44"/>
      <c r="AQ2454" s="236" t="str">
        <f>VLOOKUP(Table8[[#This Row],[Instrument]],Def_Targets!$D$73:$E$159,2,FALSE)</f>
        <v>I_Freighteff</v>
      </c>
      <c r="AR2454" s="233" t="str">
        <f>VLOOKUP(Table8[[#This Row],[Country Code]],Table29[],3,FALSE)</f>
        <v>Non-Annex I</v>
      </c>
      <c r="AS2454" s="233" t="str">
        <f>VLOOKUP(Table8[[#This Row],[Country Code]],Table29[],4,FALSE)</f>
        <v>Latin America and the Caribbean</v>
      </c>
      <c r="AT2454" s="233" t="str">
        <f>VLOOKUP(Table8[[#This Row],[Country Code]],Table29[],5,FALSE)</f>
        <v>High-income</v>
      </c>
      <c r="AU2454" s="233" t="str">
        <f>VLOOKUP(Table8[[#This Row],[Country Code]],Table29[],6,FALSE)</f>
        <v>no</v>
      </c>
      <c r="AV2454" s="233" t="str">
        <f>VLOOKUP(Table8[[#This Row],[Country Code]],Table29[],7,FALSE)</f>
        <v>no</v>
      </c>
      <c r="AW2454" s="233" t="str">
        <f>VLOOKUP(Table8[[#This Row],[Country Code]],Table29[],8,FALSE)</f>
        <v>non-OECD</v>
      </c>
      <c r="AX2454" s="233" t="str">
        <f>VLOOKUP(Table8[[#This Row],[Country Code]],Table29[],9,FALSE)</f>
        <v>no</v>
      </c>
      <c r="AY2454" s="233" t="str">
        <f>VLOOKUP(Table8[[#This Row],[Country Code]],Table29[],10,FALSE)</f>
        <v>no</v>
      </c>
      <c r="AZ2454" s="235">
        <f>VLOOKUP(Table8[[#This Row],[Country Code]],Table29[],23,FALSE)</f>
        <v>41.634111747759</v>
      </c>
      <c r="BA2454" s="235">
        <f>VLOOKUP(Table8[[#This Row],[Country Code]],Table29[],24,FALSE)</f>
        <v>4.0868158944276578</v>
      </c>
      <c r="BB2454" s="320"/>
      <c r="BC2454" s="320"/>
    </row>
    <row r="2455" spans="1:55" ht="15" hidden="1" customHeight="1" x14ac:dyDescent="0.25">
      <c r="A2455" s="373">
        <v>17780</v>
      </c>
      <c r="B2455" s="233" t="str">
        <f>VLOOKUP(Table8[[#This Row],[Document ID]],Table1[],2,FALSE)</f>
        <v>URY</v>
      </c>
      <c r="C2455" s="233" t="str">
        <f>VLOOKUP(Table8[[#This Row],[Document ID]],Table1[],3,FALSE)</f>
        <v>Uruguay</v>
      </c>
      <c r="D2455" s="243" t="str">
        <f>VLOOKUP(Table8[[#This Row],[Document ID]],Table1[],5,FALSE)</f>
        <v>NDC</v>
      </c>
      <c r="E2455" s="233" t="str">
        <f>VLOOKUP(Table8[[#This Row],[Document ID]],Table1[],7,FALSE)</f>
        <v>First NDC</v>
      </c>
      <c r="F2455" s="236" t="str">
        <f>VLOOKUP(Table8[[#This Row],[Document ID]],Table1[],8,FALSE)</f>
        <v>NDC 1.0</v>
      </c>
      <c r="G2455" s="236" t="str">
        <f>VLOOKUP(Table8[[#This Row],[Document ID]],Table1[],10,FALSE)</f>
        <v>Archived</v>
      </c>
      <c r="H2455" s="43" t="s">
        <v>2350</v>
      </c>
      <c r="I2455" s="43" t="s">
        <v>2351</v>
      </c>
      <c r="J2455" s="44" t="s">
        <v>2352</v>
      </c>
      <c r="K2455" s="44" t="s">
        <v>4567</v>
      </c>
      <c r="L2455" s="44" t="s">
        <v>2347</v>
      </c>
      <c r="M2455" s="43"/>
      <c r="N2455" s="113"/>
      <c r="O2455" s="113"/>
      <c r="P2455" s="113"/>
      <c r="Q2455" s="319"/>
      <c r="R2455" s="319"/>
      <c r="S2455" s="319"/>
      <c r="T2455" s="319"/>
      <c r="U2455" s="319"/>
      <c r="V2455" s="319"/>
      <c r="W2455" s="319"/>
      <c r="X2455" s="319"/>
      <c r="Y2455" s="319"/>
      <c r="Z2455" s="319" t="s">
        <v>1113</v>
      </c>
      <c r="AA2455" s="319"/>
      <c r="AB2455" s="319"/>
      <c r="AC2455" s="319"/>
      <c r="AD2455" s="319"/>
      <c r="AE2455" s="319"/>
      <c r="AF2455" s="319" t="s">
        <v>1113</v>
      </c>
      <c r="AG2455" s="319"/>
      <c r="AH2455" s="319"/>
      <c r="AI2455" s="319"/>
      <c r="AJ2455" s="319"/>
      <c r="AK2455" s="319" t="s">
        <v>1113</v>
      </c>
      <c r="AL2455" s="319"/>
      <c r="AM2455" s="319"/>
      <c r="AN2455" s="319"/>
      <c r="AO2455" s="43" t="s">
        <v>2353</v>
      </c>
      <c r="AP2455" s="44"/>
      <c r="AQ2455" s="236" t="str">
        <f>VLOOKUP(Table8[[#This Row],[Instrument]],Def_Targets!$D$73:$E$159,2,FALSE)</f>
        <v>S_Railfreight</v>
      </c>
      <c r="AR2455" s="233" t="str">
        <f>VLOOKUP(Table8[[#This Row],[Country Code]],Table29[],3,FALSE)</f>
        <v>Non-Annex I</v>
      </c>
      <c r="AS2455" s="233" t="str">
        <f>VLOOKUP(Table8[[#This Row],[Country Code]],Table29[],4,FALSE)</f>
        <v>Latin America and the Caribbean</v>
      </c>
      <c r="AT2455" s="233" t="str">
        <f>VLOOKUP(Table8[[#This Row],[Country Code]],Table29[],5,FALSE)</f>
        <v>High-income</v>
      </c>
      <c r="AU2455" s="233" t="str">
        <f>VLOOKUP(Table8[[#This Row],[Country Code]],Table29[],6,FALSE)</f>
        <v>no</v>
      </c>
      <c r="AV2455" s="233" t="str">
        <f>VLOOKUP(Table8[[#This Row],[Country Code]],Table29[],7,FALSE)</f>
        <v>no</v>
      </c>
      <c r="AW2455" s="233" t="str">
        <f>VLOOKUP(Table8[[#This Row],[Country Code]],Table29[],8,FALSE)</f>
        <v>non-OECD</v>
      </c>
      <c r="AX2455" s="233" t="str">
        <f>VLOOKUP(Table8[[#This Row],[Country Code]],Table29[],9,FALSE)</f>
        <v>no</v>
      </c>
      <c r="AY2455" s="233" t="str">
        <f>VLOOKUP(Table8[[#This Row],[Country Code]],Table29[],10,FALSE)</f>
        <v>no</v>
      </c>
      <c r="AZ2455" s="235">
        <f>VLOOKUP(Table8[[#This Row],[Country Code]],Table29[],23,FALSE)</f>
        <v>41.634111747759</v>
      </c>
      <c r="BA2455" s="235">
        <f>VLOOKUP(Table8[[#This Row],[Country Code]],Table29[],24,FALSE)</f>
        <v>4.0868158944276578</v>
      </c>
      <c r="BB2455" s="320"/>
      <c r="BC2455" s="320"/>
    </row>
    <row r="2456" spans="1:55" ht="15" hidden="1" customHeight="1" x14ac:dyDescent="0.25">
      <c r="A2456" s="373">
        <v>17780</v>
      </c>
      <c r="B2456" s="233" t="str">
        <f>VLOOKUP(Table8[[#This Row],[Document ID]],Table1[],2,FALSE)</f>
        <v>URY</v>
      </c>
      <c r="C2456" s="233" t="str">
        <f>VLOOKUP(Table8[[#This Row],[Document ID]],Table1[],3,FALSE)</f>
        <v>Uruguay</v>
      </c>
      <c r="D2456" s="243" t="str">
        <f>VLOOKUP(Table8[[#This Row],[Document ID]],Table1[],5,FALSE)</f>
        <v>NDC</v>
      </c>
      <c r="E2456" s="233" t="str">
        <f>VLOOKUP(Table8[[#This Row],[Document ID]],Table1[],7,FALSE)</f>
        <v>First NDC</v>
      </c>
      <c r="F2456" s="236" t="str">
        <f>VLOOKUP(Table8[[#This Row],[Document ID]],Table1[],8,FALSE)</f>
        <v>NDC 1.0</v>
      </c>
      <c r="G2456" s="236" t="str">
        <f>VLOOKUP(Table8[[#This Row],[Document ID]],Table1[],10,FALSE)</f>
        <v>Archived</v>
      </c>
      <c r="H2456" s="44" t="s">
        <v>2338</v>
      </c>
      <c r="I2456" s="44" t="s">
        <v>2339</v>
      </c>
      <c r="J2456" s="44" t="s">
        <v>2413</v>
      </c>
      <c r="K2456" s="44" t="s">
        <v>4568</v>
      </c>
      <c r="L2456" s="44" t="s">
        <v>2333</v>
      </c>
      <c r="M2456" s="43"/>
      <c r="N2456" s="113" t="s">
        <v>1113</v>
      </c>
      <c r="O2456" s="113"/>
      <c r="P2456" s="113"/>
      <c r="Q2456" s="319"/>
      <c r="R2456" s="319"/>
      <c r="S2456" s="319"/>
      <c r="T2456" s="319"/>
      <c r="U2456" s="319"/>
      <c r="V2456" s="319"/>
      <c r="W2456" s="319"/>
      <c r="X2456" s="319"/>
      <c r="Y2456" s="113"/>
      <c r="Z2456" s="113"/>
      <c r="AA2456" s="319"/>
      <c r="AB2456" s="319"/>
      <c r="AC2456" s="319"/>
      <c r="AD2456" s="319"/>
      <c r="AE2456" s="319"/>
      <c r="AF2456" s="319"/>
      <c r="AG2456" s="319"/>
      <c r="AH2456" s="319"/>
      <c r="AI2456" s="319"/>
      <c r="AJ2456" s="319"/>
      <c r="AK2456" s="319" t="s">
        <v>1113</v>
      </c>
      <c r="AL2456" s="319"/>
      <c r="AM2456" s="319"/>
      <c r="AN2456" s="319"/>
      <c r="AO2456" s="44" t="s">
        <v>2334</v>
      </c>
      <c r="AP2456" s="44"/>
      <c r="AQ2456" s="236" t="str">
        <f>VLOOKUP(Table8[[#This Row],[Instrument]],Def_Targets!$D$73:$E$159,2,FALSE)</f>
        <v>I_Vehicleeff</v>
      </c>
      <c r="AR2456" s="233" t="str">
        <f>VLOOKUP(Table8[[#This Row],[Country Code]],Table29[],3,FALSE)</f>
        <v>Non-Annex I</v>
      </c>
      <c r="AS2456" s="233" t="str">
        <f>VLOOKUP(Table8[[#This Row],[Country Code]],Table29[],4,FALSE)</f>
        <v>Latin America and the Caribbean</v>
      </c>
      <c r="AT2456" s="233" t="str">
        <f>VLOOKUP(Table8[[#This Row],[Country Code]],Table29[],5,FALSE)</f>
        <v>High-income</v>
      </c>
      <c r="AU2456" s="233" t="str">
        <f>VLOOKUP(Table8[[#This Row],[Country Code]],Table29[],6,FALSE)</f>
        <v>no</v>
      </c>
      <c r="AV2456" s="233" t="str">
        <f>VLOOKUP(Table8[[#This Row],[Country Code]],Table29[],7,FALSE)</f>
        <v>no</v>
      </c>
      <c r="AW2456" s="233" t="str">
        <f>VLOOKUP(Table8[[#This Row],[Country Code]],Table29[],8,FALSE)</f>
        <v>non-OECD</v>
      </c>
      <c r="AX2456" s="233" t="str">
        <f>VLOOKUP(Table8[[#This Row],[Country Code]],Table29[],9,FALSE)</f>
        <v>no</v>
      </c>
      <c r="AY2456" s="233" t="str">
        <f>VLOOKUP(Table8[[#This Row],[Country Code]],Table29[],10,FALSE)</f>
        <v>no</v>
      </c>
      <c r="AZ2456" s="235">
        <f>VLOOKUP(Table8[[#This Row],[Country Code]],Table29[],23,FALSE)</f>
        <v>41.634111747759</v>
      </c>
      <c r="BA2456" s="235">
        <f>VLOOKUP(Table8[[#This Row],[Country Code]],Table29[],24,FALSE)</f>
        <v>4.0868158944276578</v>
      </c>
      <c r="BB2456" s="320"/>
      <c r="BC2456" s="320"/>
    </row>
    <row r="2457" spans="1:55" ht="15" hidden="1" customHeight="1" x14ac:dyDescent="0.25">
      <c r="A2457" s="373">
        <v>17753</v>
      </c>
      <c r="B2457" s="233" t="str">
        <f>VLOOKUP(Table8[[#This Row],[Document ID]],Table1[],2,FALSE)</f>
        <v>CHE</v>
      </c>
      <c r="C2457" s="233" t="str">
        <f>VLOOKUP(Table8[[#This Row],[Document ID]],Table1[],3,FALSE)</f>
        <v>Switzerland</v>
      </c>
      <c r="D2457" s="243" t="str">
        <f>VLOOKUP(Table8[[#This Row],[Document ID]],Table1[],5,FALSE)</f>
        <v>LTS</v>
      </c>
      <c r="E2457" s="233" t="str">
        <f>VLOOKUP(Table8[[#This Row],[Document ID]],Table1[],7,FALSE)</f>
        <v>LTS</v>
      </c>
      <c r="F2457" s="233" t="str">
        <f>VLOOKUP(Table8[[#This Row],[Document ID]],Table1[],8,FALSE)</f>
        <v>LTS 1.0</v>
      </c>
      <c r="G2457" s="233" t="str">
        <f>VLOOKUP(Table8[[#This Row],[Document ID]],Table1[],10,FALSE)</f>
        <v>Active</v>
      </c>
      <c r="H2457" s="43" t="s">
        <v>2343</v>
      </c>
      <c r="I2457" s="43" t="s">
        <v>2344</v>
      </c>
      <c r="J2457" s="44" t="s">
        <v>2345</v>
      </c>
      <c r="K2457" s="44" t="s">
        <v>4563</v>
      </c>
      <c r="L2457" s="44" t="s">
        <v>2396</v>
      </c>
      <c r="M2457" s="43">
        <v>22</v>
      </c>
      <c r="N2457" s="113" t="s">
        <v>1113</v>
      </c>
      <c r="O2457" s="113"/>
      <c r="P2457" s="113"/>
      <c r="Q2457" s="113"/>
      <c r="R2457" s="113"/>
      <c r="S2457" s="113"/>
      <c r="T2457" s="113"/>
      <c r="U2457" s="113"/>
      <c r="V2457" s="113"/>
      <c r="W2457" s="113"/>
      <c r="X2457" s="113"/>
      <c r="Y2457" s="113"/>
      <c r="Z2457" s="113"/>
      <c r="AA2457" s="113"/>
      <c r="AB2457" s="113"/>
      <c r="AC2457" s="113"/>
      <c r="AD2457" s="113"/>
      <c r="AE2457" s="113"/>
      <c r="AF2457" s="113"/>
      <c r="AG2457" s="113"/>
      <c r="AH2457" s="113"/>
      <c r="AI2457" s="113"/>
      <c r="AJ2457" s="113"/>
      <c r="AK2457" s="113"/>
      <c r="AL2457" s="113" t="s">
        <v>1113</v>
      </c>
      <c r="AM2457" s="113"/>
      <c r="AN2457" s="113"/>
      <c r="AO2457" s="43" t="s">
        <v>2348</v>
      </c>
      <c r="AP2457" s="43"/>
      <c r="AQ2457" s="236" t="str">
        <f>VLOOKUP(Table8[[#This Row],[Instrument]],Def_Targets!$D$73:$E$159,2,FALSE)</f>
        <v>S_PublicTransport</v>
      </c>
      <c r="AR2457" s="233" t="str">
        <f>VLOOKUP(Table8[[#This Row],[Country Code]],Table29[],3,FALSE)</f>
        <v>Annex I</v>
      </c>
      <c r="AS2457" s="233" t="str">
        <f>VLOOKUP(Table8[[#This Row],[Country Code]],Table29[],4,FALSE)</f>
        <v>Europe</v>
      </c>
      <c r="AT2457" s="233" t="str">
        <f>VLOOKUP(Table8[[#This Row],[Country Code]],Table29[],5,FALSE)</f>
        <v>High-income</v>
      </c>
      <c r="AU2457" s="233" t="str">
        <f>VLOOKUP(Table8[[#This Row],[Country Code]],Table29[],6,FALSE)</f>
        <v>no</v>
      </c>
      <c r="AV2457" s="233" t="str">
        <f>VLOOKUP(Table8[[#This Row],[Country Code]],Table29[],7,FALSE)</f>
        <v>no</v>
      </c>
      <c r="AW2457" s="233" t="str">
        <f>VLOOKUP(Table8[[#This Row],[Country Code]],Table29[],8,FALSE)</f>
        <v>OECD</v>
      </c>
      <c r="AX2457" s="233" t="str">
        <f>VLOOKUP(Table8[[#This Row],[Country Code]],Table29[],9,FALSE)</f>
        <v>no</v>
      </c>
      <c r="AY2457" s="233" t="str">
        <f>VLOOKUP(Table8[[#This Row],[Country Code]],Table29[],10,FALSE)</f>
        <v>no</v>
      </c>
      <c r="AZ2457" s="235">
        <f>VLOOKUP(Table8[[#This Row],[Country Code]],Table29[],23,FALSE)</f>
        <v>43.446393813877002</v>
      </c>
      <c r="BA2457" s="235">
        <f>VLOOKUP(Table8[[#This Row],[Country Code]],Table29[],24,FALSE)</f>
        <v>14.82381986485206</v>
      </c>
      <c r="BB2457" s="320"/>
      <c r="BC2457" s="320"/>
    </row>
    <row r="2458" spans="1:55" ht="15" hidden="1" customHeight="1" x14ac:dyDescent="0.25">
      <c r="A2458" s="373">
        <v>17753</v>
      </c>
      <c r="B2458" s="233" t="str">
        <f>VLOOKUP(Table8[[#This Row],[Document ID]],Table1[],2,FALSE)</f>
        <v>CHE</v>
      </c>
      <c r="C2458" s="233" t="str">
        <f>VLOOKUP(Table8[[#This Row],[Document ID]],Table1[],3,FALSE)</f>
        <v>Switzerland</v>
      </c>
      <c r="D2458" s="243" t="str">
        <f>VLOOKUP(Table8[[#This Row],[Document ID]],Table1[],5,FALSE)</f>
        <v>LTS</v>
      </c>
      <c r="E2458" s="233" t="str">
        <f>VLOOKUP(Table8[[#This Row],[Document ID]],Table1[],7,FALSE)</f>
        <v>LTS</v>
      </c>
      <c r="F2458" s="233" t="str">
        <f>VLOOKUP(Table8[[#This Row],[Document ID]],Table1[],8,FALSE)</f>
        <v>LTS 1.0</v>
      </c>
      <c r="G2458" s="233" t="str">
        <f>VLOOKUP(Table8[[#This Row],[Document ID]],Table1[],10,FALSE)</f>
        <v>Active</v>
      </c>
      <c r="H2458" s="43" t="s">
        <v>2350</v>
      </c>
      <c r="I2458" s="43" t="s">
        <v>2370</v>
      </c>
      <c r="J2458" s="44" t="s">
        <v>2418</v>
      </c>
      <c r="K2458" s="44" t="s">
        <v>4563</v>
      </c>
      <c r="L2458" s="44" t="s">
        <v>2396</v>
      </c>
      <c r="M2458" s="43">
        <v>22</v>
      </c>
      <c r="N2458" s="113" t="s">
        <v>1113</v>
      </c>
      <c r="O2458" s="113"/>
      <c r="P2458" s="113"/>
      <c r="Q2458" s="113"/>
      <c r="R2458" s="113"/>
      <c r="S2458" s="113"/>
      <c r="T2458" s="113"/>
      <c r="U2458" s="113"/>
      <c r="V2458" s="113"/>
      <c r="W2458" s="113"/>
      <c r="X2458" s="113"/>
      <c r="Y2458" s="113"/>
      <c r="Z2458" s="113"/>
      <c r="AA2458" s="113"/>
      <c r="AB2458" s="113"/>
      <c r="AC2458" s="113"/>
      <c r="AD2458" s="113"/>
      <c r="AE2458" s="113"/>
      <c r="AF2458" s="113"/>
      <c r="AG2458" s="113"/>
      <c r="AH2458" s="113"/>
      <c r="AI2458" s="113"/>
      <c r="AJ2458" s="113"/>
      <c r="AK2458" s="113"/>
      <c r="AL2458" s="113" t="s">
        <v>1113</v>
      </c>
      <c r="AM2458" s="113"/>
      <c r="AN2458" s="113"/>
      <c r="AO2458" s="43" t="s">
        <v>2348</v>
      </c>
      <c r="AP2458" s="43"/>
      <c r="AQ2458" s="236" t="str">
        <f>VLOOKUP(Table8[[#This Row],[Instrument]],Def_Targets!$D$73:$E$159,2,FALSE)</f>
        <v>A_Complan</v>
      </c>
      <c r="AR2458" s="233" t="str">
        <f>VLOOKUP(Table8[[#This Row],[Country Code]],Table29[],3,FALSE)</f>
        <v>Annex I</v>
      </c>
      <c r="AS2458" s="233" t="str">
        <f>VLOOKUP(Table8[[#This Row],[Country Code]],Table29[],4,FALSE)</f>
        <v>Europe</v>
      </c>
      <c r="AT2458" s="233" t="str">
        <f>VLOOKUP(Table8[[#This Row],[Country Code]],Table29[],5,FALSE)</f>
        <v>High-income</v>
      </c>
      <c r="AU2458" s="233" t="str">
        <f>VLOOKUP(Table8[[#This Row],[Country Code]],Table29[],6,FALSE)</f>
        <v>no</v>
      </c>
      <c r="AV2458" s="233" t="str">
        <f>VLOOKUP(Table8[[#This Row],[Country Code]],Table29[],7,FALSE)</f>
        <v>no</v>
      </c>
      <c r="AW2458" s="233" t="str">
        <f>VLOOKUP(Table8[[#This Row],[Country Code]],Table29[],8,FALSE)</f>
        <v>OECD</v>
      </c>
      <c r="AX2458" s="233" t="str">
        <f>VLOOKUP(Table8[[#This Row],[Country Code]],Table29[],9,FALSE)</f>
        <v>no</v>
      </c>
      <c r="AY2458" s="233" t="str">
        <f>VLOOKUP(Table8[[#This Row],[Country Code]],Table29[],10,FALSE)</f>
        <v>no</v>
      </c>
      <c r="AZ2458" s="235">
        <f>VLOOKUP(Table8[[#This Row],[Country Code]],Table29[],23,FALSE)</f>
        <v>43.446393813877002</v>
      </c>
      <c r="BA2458" s="235">
        <f>VLOOKUP(Table8[[#This Row],[Country Code]],Table29[],24,FALSE)</f>
        <v>14.82381986485206</v>
      </c>
      <c r="BB2458" s="320"/>
      <c r="BC2458" s="320"/>
    </row>
    <row r="2459" spans="1:55" ht="15" hidden="1" customHeight="1" x14ac:dyDescent="0.25">
      <c r="A2459" s="373">
        <v>17753</v>
      </c>
      <c r="B2459" s="233" t="str">
        <f>VLOOKUP(Table8[[#This Row],[Document ID]],Table1[],2,FALSE)</f>
        <v>CHE</v>
      </c>
      <c r="C2459" s="233" t="str">
        <f>VLOOKUP(Table8[[#This Row],[Document ID]],Table1[],3,FALSE)</f>
        <v>Switzerland</v>
      </c>
      <c r="D2459" s="243" t="str">
        <f>VLOOKUP(Table8[[#This Row],[Document ID]],Table1[],5,FALSE)</f>
        <v>LTS</v>
      </c>
      <c r="E2459" s="233" t="str">
        <f>VLOOKUP(Table8[[#This Row],[Document ID]],Table1[],7,FALSE)</f>
        <v>LTS</v>
      </c>
      <c r="F2459" s="233" t="str">
        <f>VLOOKUP(Table8[[#This Row],[Document ID]],Table1[],8,FALSE)</f>
        <v>LTS 1.0</v>
      </c>
      <c r="G2459" s="233" t="str">
        <f>VLOOKUP(Table8[[#This Row],[Document ID]],Table1[],10,FALSE)</f>
        <v>Active</v>
      </c>
      <c r="H2459" s="43" t="s">
        <v>2350</v>
      </c>
      <c r="I2459" s="43" t="s">
        <v>2456</v>
      </c>
      <c r="J2459" s="44" t="s">
        <v>2457</v>
      </c>
      <c r="K2459" s="44" t="s">
        <v>4569</v>
      </c>
      <c r="L2459" s="44" t="s">
        <v>2347</v>
      </c>
      <c r="M2459" s="43">
        <v>22</v>
      </c>
      <c r="N2459" s="113"/>
      <c r="O2459" s="113"/>
      <c r="P2459" s="113"/>
      <c r="Q2459" s="113"/>
      <c r="R2459" s="113" t="s">
        <v>1113</v>
      </c>
      <c r="S2459" s="113"/>
      <c r="T2459" s="113"/>
      <c r="U2459" s="113"/>
      <c r="V2459" s="113"/>
      <c r="W2459" s="113"/>
      <c r="X2459" s="113"/>
      <c r="Y2459" s="113"/>
      <c r="Z2459" s="113"/>
      <c r="AA2459" s="113"/>
      <c r="AB2459" s="113"/>
      <c r="AC2459" s="113"/>
      <c r="AD2459" s="113"/>
      <c r="AE2459" s="113"/>
      <c r="AF2459" s="113"/>
      <c r="AG2459" s="113"/>
      <c r="AH2459" s="113"/>
      <c r="AI2459" s="113"/>
      <c r="AJ2459" s="113"/>
      <c r="AK2459" s="319" t="s">
        <v>1113</v>
      </c>
      <c r="AL2459" s="113"/>
      <c r="AM2459" s="113"/>
      <c r="AN2459" s="113"/>
      <c r="AO2459" s="44" t="s">
        <v>2334</v>
      </c>
      <c r="AP2459" s="43"/>
      <c r="AQ2459" s="236" t="str">
        <f>VLOOKUP(Table8[[#This Row],[Instrument]],Def_Targets!$D$73:$E$159,2,FALSE)</f>
        <v>S_Infraimprove</v>
      </c>
      <c r="AR2459" s="233" t="str">
        <f>VLOOKUP(Table8[[#This Row],[Country Code]],Table29[],3,FALSE)</f>
        <v>Annex I</v>
      </c>
      <c r="AS2459" s="233" t="str">
        <f>VLOOKUP(Table8[[#This Row],[Country Code]],Table29[],4,FALSE)</f>
        <v>Europe</v>
      </c>
      <c r="AT2459" s="233" t="str">
        <f>VLOOKUP(Table8[[#This Row],[Country Code]],Table29[],5,FALSE)</f>
        <v>High-income</v>
      </c>
      <c r="AU2459" s="233" t="str">
        <f>VLOOKUP(Table8[[#This Row],[Country Code]],Table29[],6,FALSE)</f>
        <v>no</v>
      </c>
      <c r="AV2459" s="233" t="str">
        <f>VLOOKUP(Table8[[#This Row],[Country Code]],Table29[],7,FALSE)</f>
        <v>no</v>
      </c>
      <c r="AW2459" s="233" t="str">
        <f>VLOOKUP(Table8[[#This Row],[Country Code]],Table29[],8,FALSE)</f>
        <v>OECD</v>
      </c>
      <c r="AX2459" s="233" t="str">
        <f>VLOOKUP(Table8[[#This Row],[Country Code]],Table29[],9,FALSE)</f>
        <v>no</v>
      </c>
      <c r="AY2459" s="233" t="str">
        <f>VLOOKUP(Table8[[#This Row],[Country Code]],Table29[],10,FALSE)</f>
        <v>no</v>
      </c>
      <c r="AZ2459" s="235">
        <f>VLOOKUP(Table8[[#This Row],[Country Code]],Table29[],23,FALSE)</f>
        <v>43.446393813877002</v>
      </c>
      <c r="BA2459" s="235">
        <f>VLOOKUP(Table8[[#This Row],[Country Code]],Table29[],24,FALSE)</f>
        <v>14.82381986485206</v>
      </c>
      <c r="BB2459" s="320"/>
      <c r="BC2459" s="320"/>
    </row>
    <row r="2460" spans="1:55" ht="15" hidden="1" customHeight="1" x14ac:dyDescent="0.25">
      <c r="A2460" s="373">
        <v>32518</v>
      </c>
      <c r="B2460" s="233" t="str">
        <f>VLOOKUP(Table8[[#This Row],[Document ID]],Table1[],2,FALSE)</f>
        <v>THA</v>
      </c>
      <c r="C2460" s="233" t="str">
        <f>VLOOKUP(Table8[[#This Row],[Document ID]],Table1[],3,FALSE)</f>
        <v>Thailand</v>
      </c>
      <c r="D2460" s="243" t="str">
        <f>VLOOKUP(Table8[[#This Row],[Document ID]],Table1[],5,FALSE)</f>
        <v>LTS</v>
      </c>
      <c r="E2460" s="233" t="str">
        <f>VLOOKUP(Table8[[#This Row],[Document ID]],Table1[],7,FALSE)</f>
        <v>LTS</v>
      </c>
      <c r="F2460" s="233" t="str">
        <f>VLOOKUP(Table8[[#This Row],[Document ID]],Table1[],8,FALSE)</f>
        <v>LTS 1.1</v>
      </c>
      <c r="G2460" s="233" t="str">
        <f>VLOOKUP(Table8[[#This Row],[Document ID]],Table1[],10,FALSE)</f>
        <v>Active</v>
      </c>
      <c r="H2460" s="43" t="s">
        <v>2358</v>
      </c>
      <c r="I2460" s="43" t="s">
        <v>2359</v>
      </c>
      <c r="J2460" s="44" t="s">
        <v>2360</v>
      </c>
      <c r="K2460" s="44" t="s">
        <v>4570</v>
      </c>
      <c r="L2460" s="44" t="s">
        <v>2333</v>
      </c>
      <c r="M2460" s="43">
        <v>26</v>
      </c>
      <c r="N2460" s="113" t="s">
        <v>1113</v>
      </c>
      <c r="O2460" s="113"/>
      <c r="P2460" s="113"/>
      <c r="Q2460" s="113"/>
      <c r="R2460" s="113"/>
      <c r="S2460" s="113"/>
      <c r="T2460" s="113"/>
      <c r="U2460" s="113"/>
      <c r="V2460" s="113"/>
      <c r="W2460" s="113"/>
      <c r="X2460" s="113"/>
      <c r="Y2460" s="113"/>
      <c r="Z2460" s="113"/>
      <c r="AA2460" s="113"/>
      <c r="AB2460" s="113"/>
      <c r="AC2460" s="113"/>
      <c r="AD2460" s="113"/>
      <c r="AE2460" s="113"/>
      <c r="AF2460" s="113"/>
      <c r="AG2460" s="113"/>
      <c r="AH2460" s="113"/>
      <c r="AI2460" s="113"/>
      <c r="AJ2460" s="113"/>
      <c r="AK2460" s="113"/>
      <c r="AL2460" s="113"/>
      <c r="AM2460" s="113"/>
      <c r="AN2460" s="113"/>
      <c r="AO2460" s="44" t="s">
        <v>2334</v>
      </c>
      <c r="AP2460" s="43"/>
      <c r="AQ2460" s="236" t="str">
        <f>VLOOKUP(Table8[[#This Row],[Instrument]],Def_Targets!$D$73:$E$159,2,FALSE)</f>
        <v>I_Emobility</v>
      </c>
      <c r="AR2460" s="233" t="str">
        <f>VLOOKUP(Table8[[#This Row],[Country Code]],Table29[],3,FALSE)</f>
        <v>Non-Annex I</v>
      </c>
      <c r="AS2460" s="233" t="str">
        <f>VLOOKUP(Table8[[#This Row],[Country Code]],Table29[],4,FALSE)</f>
        <v>Asia</v>
      </c>
      <c r="AT2460" s="233" t="str">
        <f>VLOOKUP(Table8[[#This Row],[Country Code]],Table29[],5,FALSE)</f>
        <v>Middle-income</v>
      </c>
      <c r="AU2460" s="233" t="str">
        <f>VLOOKUP(Table8[[#This Row],[Country Code]],Table29[],6,FALSE)</f>
        <v>no</v>
      </c>
      <c r="AV2460" s="233" t="str">
        <f>VLOOKUP(Table8[[#This Row],[Country Code]],Table29[],7,FALSE)</f>
        <v>no</v>
      </c>
      <c r="AW2460" s="233" t="str">
        <f>VLOOKUP(Table8[[#This Row],[Country Code]],Table29[],8,FALSE)</f>
        <v>non-OECD</v>
      </c>
      <c r="AX2460" s="233" t="str">
        <f>VLOOKUP(Table8[[#This Row],[Country Code]],Table29[],9,FALSE)</f>
        <v>no</v>
      </c>
      <c r="AY2460" s="233" t="str">
        <f>VLOOKUP(Table8[[#This Row],[Country Code]],Table29[],10,FALSE)</f>
        <v>no</v>
      </c>
      <c r="AZ2460" s="235">
        <f>VLOOKUP(Table8[[#This Row],[Country Code]],Table29[],23,FALSE)</f>
        <v>440.78301465571002</v>
      </c>
      <c r="BA2460" s="235">
        <f>VLOOKUP(Table8[[#This Row],[Country Code]],Table29[],24,FALSE)</f>
        <v>81.217527676047013</v>
      </c>
      <c r="BB2460" s="320"/>
      <c r="BC2460" s="320"/>
    </row>
    <row r="2461" spans="1:55" ht="15" hidden="1" customHeight="1" x14ac:dyDescent="0.25">
      <c r="A2461" s="373">
        <v>32518</v>
      </c>
      <c r="B2461" s="233" t="str">
        <f>VLOOKUP(Table8[[#This Row],[Document ID]],Table1[],2,FALSE)</f>
        <v>THA</v>
      </c>
      <c r="C2461" s="233" t="str">
        <f>VLOOKUP(Table8[[#This Row],[Document ID]],Table1[],3,FALSE)</f>
        <v>Thailand</v>
      </c>
      <c r="D2461" s="243" t="str">
        <f>VLOOKUP(Table8[[#This Row],[Document ID]],Table1[],5,FALSE)</f>
        <v>LTS</v>
      </c>
      <c r="E2461" s="233" t="str">
        <f>VLOOKUP(Table8[[#This Row],[Document ID]],Table1[],7,FALSE)</f>
        <v>LTS</v>
      </c>
      <c r="F2461" s="233" t="str">
        <f>VLOOKUP(Table8[[#This Row],[Document ID]],Table1[],8,FALSE)</f>
        <v>LTS 1.1</v>
      </c>
      <c r="G2461" s="233" t="str">
        <f>VLOOKUP(Table8[[#This Row],[Document ID]],Table1[],10,FALSE)</f>
        <v>Active</v>
      </c>
      <c r="H2461" s="44" t="s">
        <v>2329</v>
      </c>
      <c r="I2461" s="44" t="s">
        <v>2330</v>
      </c>
      <c r="J2461" s="44" t="s">
        <v>2381</v>
      </c>
      <c r="K2461" s="44" t="s">
        <v>4571</v>
      </c>
      <c r="L2461" s="44" t="s">
        <v>2333</v>
      </c>
      <c r="M2461" s="43">
        <v>26</v>
      </c>
      <c r="N2461" s="113" t="s">
        <v>1113</v>
      </c>
      <c r="O2461" s="113"/>
      <c r="P2461" s="113"/>
      <c r="Q2461" s="113"/>
      <c r="R2461" s="113"/>
      <c r="S2461" s="113"/>
      <c r="T2461" s="113"/>
      <c r="U2461" s="113"/>
      <c r="V2461" s="113"/>
      <c r="W2461" s="113"/>
      <c r="X2461" s="113"/>
      <c r="Y2461" s="113"/>
      <c r="Z2461" s="113"/>
      <c r="AA2461" s="113"/>
      <c r="AB2461" s="113"/>
      <c r="AC2461" s="113"/>
      <c r="AD2461" s="113"/>
      <c r="AE2461" s="113"/>
      <c r="AF2461" s="113"/>
      <c r="AG2461" s="113"/>
      <c r="AH2461" s="113"/>
      <c r="AI2461" s="113"/>
      <c r="AJ2461" s="113"/>
      <c r="AK2461" s="113"/>
      <c r="AL2461" s="113"/>
      <c r="AM2461" s="113"/>
      <c r="AN2461" s="113"/>
      <c r="AO2461" s="44" t="s">
        <v>2334</v>
      </c>
      <c r="AP2461" s="43"/>
      <c r="AQ2461" s="236" t="str">
        <f>VLOOKUP(Table8[[#This Row],[Instrument]],Def_Targets!$D$73:$E$159,2,FALSE)</f>
        <v>I_RE</v>
      </c>
      <c r="AR2461" s="233" t="str">
        <f>VLOOKUP(Table8[[#This Row],[Country Code]],Table29[],3,FALSE)</f>
        <v>Non-Annex I</v>
      </c>
      <c r="AS2461" s="233" t="str">
        <f>VLOOKUP(Table8[[#This Row],[Country Code]],Table29[],4,FALSE)</f>
        <v>Asia</v>
      </c>
      <c r="AT2461" s="233" t="str">
        <f>VLOOKUP(Table8[[#This Row],[Country Code]],Table29[],5,FALSE)</f>
        <v>Middle-income</v>
      </c>
      <c r="AU2461" s="233" t="str">
        <f>VLOOKUP(Table8[[#This Row],[Country Code]],Table29[],6,FALSE)</f>
        <v>no</v>
      </c>
      <c r="AV2461" s="233" t="str">
        <f>VLOOKUP(Table8[[#This Row],[Country Code]],Table29[],7,FALSE)</f>
        <v>no</v>
      </c>
      <c r="AW2461" s="233" t="str">
        <f>VLOOKUP(Table8[[#This Row],[Country Code]],Table29[],8,FALSE)</f>
        <v>non-OECD</v>
      </c>
      <c r="AX2461" s="233" t="str">
        <f>VLOOKUP(Table8[[#This Row],[Country Code]],Table29[],9,FALSE)</f>
        <v>no</v>
      </c>
      <c r="AY2461" s="233" t="str">
        <f>VLOOKUP(Table8[[#This Row],[Country Code]],Table29[],10,FALSE)</f>
        <v>no</v>
      </c>
      <c r="AZ2461" s="235">
        <f>VLOOKUP(Table8[[#This Row],[Country Code]],Table29[],23,FALSE)</f>
        <v>440.78301465571002</v>
      </c>
      <c r="BA2461" s="235">
        <f>VLOOKUP(Table8[[#This Row],[Country Code]],Table29[],24,FALSE)</f>
        <v>81.217527676047013</v>
      </c>
      <c r="BB2461" s="320"/>
      <c r="BC2461" s="320"/>
    </row>
    <row r="2462" spans="1:55" ht="15" hidden="1" customHeight="1" x14ac:dyDescent="0.25">
      <c r="A2462" s="373">
        <v>32518</v>
      </c>
      <c r="B2462" s="233" t="str">
        <f>VLOOKUP(Table8[[#This Row],[Document ID]],Table1[],2,FALSE)</f>
        <v>THA</v>
      </c>
      <c r="C2462" s="233" t="str">
        <f>VLOOKUP(Table8[[#This Row],[Document ID]],Table1[],3,FALSE)</f>
        <v>Thailand</v>
      </c>
      <c r="D2462" s="243" t="str">
        <f>VLOOKUP(Table8[[#This Row],[Document ID]],Table1[],5,FALSE)</f>
        <v>LTS</v>
      </c>
      <c r="E2462" s="233" t="str">
        <f>VLOOKUP(Table8[[#This Row],[Document ID]],Table1[],7,FALSE)</f>
        <v>LTS</v>
      </c>
      <c r="F2462" s="233" t="str">
        <f>VLOOKUP(Table8[[#This Row],[Document ID]],Table1[],8,FALSE)</f>
        <v>LTS 1.1</v>
      </c>
      <c r="G2462" s="233" t="str">
        <f>VLOOKUP(Table8[[#This Row],[Document ID]],Table1[],10,FALSE)</f>
        <v>Active</v>
      </c>
      <c r="H2462" s="44" t="s">
        <v>2338</v>
      </c>
      <c r="I2462" s="44" t="s">
        <v>2339</v>
      </c>
      <c r="J2462" s="44" t="s">
        <v>2425</v>
      </c>
      <c r="K2462" s="44" t="s">
        <v>4572</v>
      </c>
      <c r="L2462" s="44" t="s">
        <v>2333</v>
      </c>
      <c r="M2462" s="43">
        <v>26</v>
      </c>
      <c r="N2462" s="113"/>
      <c r="O2462" s="113"/>
      <c r="P2462" s="113"/>
      <c r="Q2462" s="113"/>
      <c r="R2462" s="113"/>
      <c r="S2462" s="113" t="s">
        <v>1113</v>
      </c>
      <c r="T2462" s="113"/>
      <c r="U2462" s="113"/>
      <c r="V2462" s="113"/>
      <c r="W2462" s="113"/>
      <c r="X2462" s="113"/>
      <c r="Y2462" s="113"/>
      <c r="Z2462" s="113"/>
      <c r="AA2462" s="113"/>
      <c r="AB2462" s="113"/>
      <c r="AC2462" s="113"/>
      <c r="AD2462" s="113"/>
      <c r="AE2462" s="113"/>
      <c r="AF2462" s="113"/>
      <c r="AG2462" s="113"/>
      <c r="AH2462" s="113"/>
      <c r="AI2462" s="113"/>
      <c r="AJ2462" s="113"/>
      <c r="AK2462" s="113"/>
      <c r="AL2462" s="113"/>
      <c r="AM2462" s="113"/>
      <c r="AN2462" s="113"/>
      <c r="AO2462" s="44" t="s">
        <v>2334</v>
      </c>
      <c r="AP2462" s="43"/>
      <c r="AQ2462" s="236" t="str">
        <f>VLOOKUP(Table8[[#This Row],[Instrument]],Def_Targets!$D$73:$E$159,2,FALSE)</f>
        <v>I_Efficiencystd</v>
      </c>
      <c r="AR2462" s="233" t="str">
        <f>VLOOKUP(Table8[[#This Row],[Country Code]],Table29[],3,FALSE)</f>
        <v>Non-Annex I</v>
      </c>
      <c r="AS2462" s="233" t="str">
        <f>VLOOKUP(Table8[[#This Row],[Country Code]],Table29[],4,FALSE)</f>
        <v>Asia</v>
      </c>
      <c r="AT2462" s="233" t="str">
        <f>VLOOKUP(Table8[[#This Row],[Country Code]],Table29[],5,FALSE)</f>
        <v>Middle-income</v>
      </c>
      <c r="AU2462" s="233" t="str">
        <f>VLOOKUP(Table8[[#This Row],[Country Code]],Table29[],6,FALSE)</f>
        <v>no</v>
      </c>
      <c r="AV2462" s="233" t="str">
        <f>VLOOKUP(Table8[[#This Row],[Country Code]],Table29[],7,FALSE)</f>
        <v>no</v>
      </c>
      <c r="AW2462" s="233" t="str">
        <f>VLOOKUP(Table8[[#This Row],[Country Code]],Table29[],8,FALSE)</f>
        <v>non-OECD</v>
      </c>
      <c r="AX2462" s="233" t="str">
        <f>VLOOKUP(Table8[[#This Row],[Country Code]],Table29[],9,FALSE)</f>
        <v>no</v>
      </c>
      <c r="AY2462" s="233" t="str">
        <f>VLOOKUP(Table8[[#This Row],[Country Code]],Table29[],10,FALSE)</f>
        <v>no</v>
      </c>
      <c r="AZ2462" s="235">
        <f>VLOOKUP(Table8[[#This Row],[Country Code]],Table29[],23,FALSE)</f>
        <v>440.78301465571002</v>
      </c>
      <c r="BA2462" s="235">
        <f>VLOOKUP(Table8[[#This Row],[Country Code]],Table29[],24,FALSE)</f>
        <v>81.217527676047013</v>
      </c>
      <c r="BB2462" s="320"/>
      <c r="BC2462" s="320"/>
    </row>
    <row r="2463" spans="1:55" ht="15" hidden="1" customHeight="1" x14ac:dyDescent="0.25">
      <c r="A2463" s="373">
        <v>32524</v>
      </c>
      <c r="B2463" s="233" t="str">
        <f>VLOOKUP(Table8[[#This Row],[Document ID]],Table1[],2,FALSE)</f>
        <v>URY</v>
      </c>
      <c r="C2463" s="233" t="str">
        <f>VLOOKUP(Table8[[#This Row],[Document ID]],Table1[],3,FALSE)</f>
        <v>Uruguay</v>
      </c>
      <c r="D2463" s="243" t="str">
        <f>VLOOKUP(Table8[[#This Row],[Document ID]],Table1[],5,FALSE)</f>
        <v>NDC</v>
      </c>
      <c r="E2463" s="233" t="str">
        <f>VLOOKUP(Table8[[#This Row],[Document ID]],Table1[],7,FALSE)</f>
        <v>Second NDC</v>
      </c>
      <c r="F2463" s="233" t="str">
        <f>VLOOKUP(Table8[[#This Row],[Document ID]],Table1[],8,FALSE)</f>
        <v>NDC 2.0</v>
      </c>
      <c r="G2463" s="233" t="str">
        <f>VLOOKUP(Table8[[#This Row],[Document ID]],Table1[],10,FALSE)</f>
        <v>Archived</v>
      </c>
      <c r="H2463" s="43" t="s">
        <v>2358</v>
      </c>
      <c r="I2463" s="43" t="s">
        <v>2359</v>
      </c>
      <c r="J2463" s="44" t="s">
        <v>2360</v>
      </c>
      <c r="K2463" s="44" t="s">
        <v>4573</v>
      </c>
      <c r="L2463" s="44" t="s">
        <v>2333</v>
      </c>
      <c r="M2463" s="43">
        <v>18</v>
      </c>
      <c r="N2463" s="113"/>
      <c r="O2463" s="113"/>
      <c r="P2463" s="113"/>
      <c r="Q2463" s="113"/>
      <c r="R2463" s="113"/>
      <c r="S2463" s="113"/>
      <c r="T2463" s="113"/>
      <c r="U2463" s="113"/>
      <c r="V2463" s="113"/>
      <c r="W2463" s="113" t="s">
        <v>1113</v>
      </c>
      <c r="X2463" s="113"/>
      <c r="Y2463" s="113" t="s">
        <v>1113</v>
      </c>
      <c r="Z2463" s="113"/>
      <c r="AA2463" s="113"/>
      <c r="AB2463" s="113"/>
      <c r="AC2463" s="113"/>
      <c r="AD2463" s="113"/>
      <c r="AE2463" s="113"/>
      <c r="AF2463" s="113"/>
      <c r="AG2463" s="113"/>
      <c r="AH2463" s="113"/>
      <c r="AI2463" s="113"/>
      <c r="AJ2463" s="113"/>
      <c r="AK2463" s="113" t="s">
        <v>1113</v>
      </c>
      <c r="AL2463" s="113"/>
      <c r="AM2463" s="113"/>
      <c r="AN2463" s="113"/>
      <c r="AO2463" s="44" t="s">
        <v>2334</v>
      </c>
      <c r="AP2463" s="43"/>
      <c r="AQ2463" s="236" t="str">
        <f>VLOOKUP(Table8[[#This Row],[Instrument]],Def_Targets!$D$73:$E$159,2,FALSE)</f>
        <v>I_Emobility</v>
      </c>
      <c r="AR2463" s="233" t="str">
        <f>VLOOKUP(Table8[[#This Row],[Country Code]],Table29[],3,FALSE)</f>
        <v>Non-Annex I</v>
      </c>
      <c r="AS2463" s="233" t="str">
        <f>VLOOKUP(Table8[[#This Row],[Country Code]],Table29[],4,FALSE)</f>
        <v>Latin America and the Caribbean</v>
      </c>
      <c r="AT2463" s="233" t="str">
        <f>VLOOKUP(Table8[[#This Row],[Country Code]],Table29[],5,FALSE)</f>
        <v>High-income</v>
      </c>
      <c r="AU2463" s="233" t="str">
        <f>VLOOKUP(Table8[[#This Row],[Country Code]],Table29[],6,FALSE)</f>
        <v>no</v>
      </c>
      <c r="AV2463" s="233" t="str">
        <f>VLOOKUP(Table8[[#This Row],[Country Code]],Table29[],7,FALSE)</f>
        <v>no</v>
      </c>
      <c r="AW2463" s="233" t="str">
        <f>VLOOKUP(Table8[[#This Row],[Country Code]],Table29[],8,FALSE)</f>
        <v>non-OECD</v>
      </c>
      <c r="AX2463" s="233" t="str">
        <f>VLOOKUP(Table8[[#This Row],[Country Code]],Table29[],9,FALSE)</f>
        <v>no</v>
      </c>
      <c r="AY2463" s="233" t="str">
        <f>VLOOKUP(Table8[[#This Row],[Country Code]],Table29[],10,FALSE)</f>
        <v>no</v>
      </c>
      <c r="AZ2463" s="235">
        <f>VLOOKUP(Table8[[#This Row],[Country Code]],Table29[],23,FALSE)</f>
        <v>41.634111747759</v>
      </c>
      <c r="BA2463" s="235">
        <f>VLOOKUP(Table8[[#This Row],[Country Code]],Table29[],24,FALSE)</f>
        <v>4.0868158944276578</v>
      </c>
      <c r="BB2463" s="320"/>
      <c r="BC2463" s="320"/>
    </row>
    <row r="2464" spans="1:55" ht="15" hidden="1" customHeight="1" x14ac:dyDescent="0.25">
      <c r="A2464" s="373">
        <v>32524</v>
      </c>
      <c r="B2464" s="233" t="str">
        <f>VLOOKUP(Table8[[#This Row],[Document ID]],Table1[],2,FALSE)</f>
        <v>URY</v>
      </c>
      <c r="C2464" s="233" t="str">
        <f>VLOOKUP(Table8[[#This Row],[Document ID]],Table1[],3,FALSE)</f>
        <v>Uruguay</v>
      </c>
      <c r="D2464" s="243" t="str">
        <f>VLOOKUP(Table8[[#This Row],[Document ID]],Table1[],5,FALSE)</f>
        <v>NDC</v>
      </c>
      <c r="E2464" s="233" t="str">
        <f>VLOOKUP(Table8[[#This Row],[Document ID]],Table1[],7,FALSE)</f>
        <v>Second NDC</v>
      </c>
      <c r="F2464" s="233" t="str">
        <f>VLOOKUP(Table8[[#This Row],[Document ID]],Table1[],8,FALSE)</f>
        <v>NDC 2.0</v>
      </c>
      <c r="G2464" s="233" t="str">
        <f>VLOOKUP(Table8[[#This Row],[Document ID]],Table1[],10,FALSE)</f>
        <v>Archived</v>
      </c>
      <c r="H2464" s="43" t="s">
        <v>2358</v>
      </c>
      <c r="I2464" s="43" t="s">
        <v>2359</v>
      </c>
      <c r="J2464" s="44" t="s">
        <v>2360</v>
      </c>
      <c r="K2464" s="44" t="s">
        <v>4573</v>
      </c>
      <c r="L2464" s="44" t="s">
        <v>2333</v>
      </c>
      <c r="M2464" s="43">
        <v>18</v>
      </c>
      <c r="N2464" s="113" t="s">
        <v>1113</v>
      </c>
      <c r="O2464" s="113"/>
      <c r="P2464" s="113"/>
      <c r="Q2464" s="113"/>
      <c r="R2464" s="113"/>
      <c r="S2464" s="113"/>
      <c r="T2464" s="113"/>
      <c r="U2464" s="113"/>
      <c r="V2464" s="113"/>
      <c r="W2464" s="113"/>
      <c r="X2464" s="113"/>
      <c r="Y2464" s="113"/>
      <c r="Z2464" s="113"/>
      <c r="AA2464" s="113"/>
      <c r="AB2464" s="113"/>
      <c r="AC2464" s="113"/>
      <c r="AD2464" s="113"/>
      <c r="AE2464" s="113"/>
      <c r="AF2464" s="113"/>
      <c r="AG2464" s="113"/>
      <c r="AH2464" s="113"/>
      <c r="AI2464" s="113"/>
      <c r="AJ2464" s="113"/>
      <c r="AK2464" s="113" t="s">
        <v>1113</v>
      </c>
      <c r="AL2464" s="113"/>
      <c r="AM2464" s="113"/>
      <c r="AN2464" s="113"/>
      <c r="AO2464" s="43" t="s">
        <v>2477</v>
      </c>
      <c r="AP2464" s="43"/>
      <c r="AQ2464" s="236" t="str">
        <f>VLOOKUP(Table8[[#This Row],[Instrument]],Def_Targets!$D$73:$E$159,2,FALSE)</f>
        <v>I_Emobility</v>
      </c>
      <c r="AR2464" s="233" t="str">
        <f>VLOOKUP(Table8[[#This Row],[Country Code]],Table29[],3,FALSE)</f>
        <v>Non-Annex I</v>
      </c>
      <c r="AS2464" s="233" t="str">
        <f>VLOOKUP(Table8[[#This Row],[Country Code]],Table29[],4,FALSE)</f>
        <v>Latin America and the Caribbean</v>
      </c>
      <c r="AT2464" s="233" t="str">
        <f>VLOOKUP(Table8[[#This Row],[Country Code]],Table29[],5,FALSE)</f>
        <v>High-income</v>
      </c>
      <c r="AU2464" s="233" t="str">
        <f>VLOOKUP(Table8[[#This Row],[Country Code]],Table29[],6,FALSE)</f>
        <v>no</v>
      </c>
      <c r="AV2464" s="233" t="str">
        <f>VLOOKUP(Table8[[#This Row],[Country Code]],Table29[],7,FALSE)</f>
        <v>no</v>
      </c>
      <c r="AW2464" s="233" t="str">
        <f>VLOOKUP(Table8[[#This Row],[Country Code]],Table29[],8,FALSE)</f>
        <v>non-OECD</v>
      </c>
      <c r="AX2464" s="233" t="str">
        <f>VLOOKUP(Table8[[#This Row],[Country Code]],Table29[],9,FALSE)</f>
        <v>no</v>
      </c>
      <c r="AY2464" s="233" t="str">
        <f>VLOOKUP(Table8[[#This Row],[Country Code]],Table29[],10,FALSE)</f>
        <v>no</v>
      </c>
      <c r="AZ2464" s="235">
        <f>VLOOKUP(Table8[[#This Row],[Country Code]],Table29[],23,FALSE)</f>
        <v>41.634111747759</v>
      </c>
      <c r="BA2464" s="235">
        <f>VLOOKUP(Table8[[#This Row],[Country Code]],Table29[],24,FALSE)</f>
        <v>4.0868158944276578</v>
      </c>
      <c r="BB2464" s="320"/>
      <c r="BC2464" s="320"/>
    </row>
    <row r="2465" spans="1:55" ht="45" hidden="1" x14ac:dyDescent="0.25">
      <c r="A2465" s="373">
        <v>32524</v>
      </c>
      <c r="B2465" s="233" t="str">
        <f>VLOOKUP(Table8[[#This Row],[Document ID]],Table1[],2,FALSE)</f>
        <v>URY</v>
      </c>
      <c r="C2465" s="233" t="str">
        <f>VLOOKUP(Table8[[#This Row],[Document ID]],Table1[],3,FALSE)</f>
        <v>Uruguay</v>
      </c>
      <c r="D2465" s="243" t="str">
        <f>VLOOKUP(Table8[[#This Row],[Document ID]],Table1[],5,FALSE)</f>
        <v>NDC</v>
      </c>
      <c r="E2465" s="233" t="str">
        <f>VLOOKUP(Table8[[#This Row],[Document ID]],Table1[],7,FALSE)</f>
        <v>Second NDC</v>
      </c>
      <c r="F2465" s="233" t="str">
        <f>VLOOKUP(Table8[[#This Row],[Document ID]],Table1[],8,FALSE)</f>
        <v>NDC 2.0</v>
      </c>
      <c r="G2465" s="233" t="str">
        <f>VLOOKUP(Table8[[#This Row],[Document ID]],Table1[],10,FALSE)</f>
        <v>Archived</v>
      </c>
      <c r="H2465" s="43" t="s">
        <v>2358</v>
      </c>
      <c r="I2465" s="43" t="s">
        <v>2359</v>
      </c>
      <c r="J2465" s="44" t="s">
        <v>2383</v>
      </c>
      <c r="K2465" s="44" t="s">
        <v>4574</v>
      </c>
      <c r="L2465" s="44" t="s">
        <v>2333</v>
      </c>
      <c r="M2465" s="43">
        <v>18</v>
      </c>
      <c r="N2465" s="113" t="s">
        <v>1113</v>
      </c>
      <c r="O2465" s="113"/>
      <c r="P2465" s="113"/>
      <c r="Q2465" s="113"/>
      <c r="R2465" s="113"/>
      <c r="S2465" s="113"/>
      <c r="T2465" s="113"/>
      <c r="U2465" s="113"/>
      <c r="V2465" s="113"/>
      <c r="W2465" s="113"/>
      <c r="X2465" s="113"/>
      <c r="Y2465" s="113"/>
      <c r="Z2465" s="113"/>
      <c r="AA2465" s="113"/>
      <c r="AB2465" s="113"/>
      <c r="AC2465" s="113"/>
      <c r="AD2465" s="113"/>
      <c r="AE2465" s="113"/>
      <c r="AF2465" s="113"/>
      <c r="AG2465" s="113"/>
      <c r="AH2465" s="113"/>
      <c r="AI2465" s="113"/>
      <c r="AJ2465" s="113"/>
      <c r="AK2465" s="113" t="s">
        <v>1113</v>
      </c>
      <c r="AL2465" s="113"/>
      <c r="AM2465" s="113"/>
      <c r="AN2465" s="113"/>
      <c r="AO2465" s="44" t="s">
        <v>2334</v>
      </c>
      <c r="AP2465" s="43"/>
      <c r="AQ2465" s="236" t="str">
        <f>VLOOKUP(Table8[[#This Row],[Instrument]],Def_Targets!$D$73:$E$159,2,FALSE)</f>
        <v>I_Emobilitycharging</v>
      </c>
      <c r="AR2465" s="233" t="str">
        <f>VLOOKUP(Table8[[#This Row],[Country Code]],Table29[],3,FALSE)</f>
        <v>Non-Annex I</v>
      </c>
      <c r="AS2465" s="233" t="str">
        <f>VLOOKUP(Table8[[#This Row],[Country Code]],Table29[],4,FALSE)</f>
        <v>Latin America and the Caribbean</v>
      </c>
      <c r="AT2465" s="233" t="str">
        <f>VLOOKUP(Table8[[#This Row],[Country Code]],Table29[],5,FALSE)</f>
        <v>High-income</v>
      </c>
      <c r="AU2465" s="233" t="str">
        <f>VLOOKUP(Table8[[#This Row],[Country Code]],Table29[],6,FALSE)</f>
        <v>no</v>
      </c>
      <c r="AV2465" s="233" t="str">
        <f>VLOOKUP(Table8[[#This Row],[Country Code]],Table29[],7,FALSE)</f>
        <v>no</v>
      </c>
      <c r="AW2465" s="233" t="str">
        <f>VLOOKUP(Table8[[#This Row],[Country Code]],Table29[],8,FALSE)</f>
        <v>non-OECD</v>
      </c>
      <c r="AX2465" s="233" t="str">
        <f>VLOOKUP(Table8[[#This Row],[Country Code]],Table29[],9,FALSE)</f>
        <v>no</v>
      </c>
      <c r="AY2465" s="233" t="str">
        <f>VLOOKUP(Table8[[#This Row],[Country Code]],Table29[],10,FALSE)</f>
        <v>no</v>
      </c>
      <c r="AZ2465" s="235">
        <f>VLOOKUP(Table8[[#This Row],[Country Code]],Table29[],23,FALSE)</f>
        <v>41.634111747759</v>
      </c>
      <c r="BA2465" s="235">
        <f>VLOOKUP(Table8[[#This Row],[Country Code]],Table29[],24,FALSE)</f>
        <v>4.0868158944276578</v>
      </c>
      <c r="BB2465" s="320"/>
      <c r="BC2465" s="320"/>
    </row>
    <row r="2466" spans="1:55" ht="15" hidden="1" customHeight="1" x14ac:dyDescent="0.25">
      <c r="A2466" s="373">
        <v>32524</v>
      </c>
      <c r="B2466" s="233" t="str">
        <f>VLOOKUP(Table8[[#This Row],[Document ID]],Table1[],2,FALSE)</f>
        <v>URY</v>
      </c>
      <c r="C2466" s="233" t="str">
        <f>VLOOKUP(Table8[[#This Row],[Document ID]],Table1[],3,FALSE)</f>
        <v>Uruguay</v>
      </c>
      <c r="D2466" s="243" t="str">
        <f>VLOOKUP(Table8[[#This Row],[Document ID]],Table1[],5,FALSE)</f>
        <v>NDC</v>
      </c>
      <c r="E2466" s="233" t="str">
        <f>VLOOKUP(Table8[[#This Row],[Document ID]],Table1[],7,FALSE)</f>
        <v>Second NDC</v>
      </c>
      <c r="F2466" s="233" t="str">
        <f>VLOOKUP(Table8[[#This Row],[Document ID]],Table1[],8,FALSE)</f>
        <v>NDC 2.0</v>
      </c>
      <c r="G2466" s="233" t="str">
        <f>VLOOKUP(Table8[[#This Row],[Document ID]],Table1[],10,FALSE)</f>
        <v>Archived</v>
      </c>
      <c r="H2466" s="43" t="s">
        <v>2350</v>
      </c>
      <c r="I2466" s="43" t="s">
        <v>2370</v>
      </c>
      <c r="J2466" s="44" t="s">
        <v>2581</v>
      </c>
      <c r="K2466" s="44" t="s">
        <v>4575</v>
      </c>
      <c r="L2466" s="44" t="s">
        <v>2373</v>
      </c>
      <c r="M2466" s="43">
        <v>19</v>
      </c>
      <c r="N2466" s="113" t="s">
        <v>1113</v>
      </c>
      <c r="O2466" s="113"/>
      <c r="P2466" s="113"/>
      <c r="Q2466" s="113"/>
      <c r="R2466" s="113"/>
      <c r="S2466" s="113"/>
      <c r="T2466" s="113"/>
      <c r="U2466" s="113"/>
      <c r="V2466" s="113"/>
      <c r="W2466" s="113"/>
      <c r="X2466" s="113"/>
      <c r="Y2466" s="113"/>
      <c r="Z2466" s="113"/>
      <c r="AA2466" s="113"/>
      <c r="AB2466" s="113"/>
      <c r="AC2466" s="113"/>
      <c r="AD2466" s="113"/>
      <c r="AE2466" s="113"/>
      <c r="AF2466" s="113"/>
      <c r="AG2466" s="113"/>
      <c r="AH2466" s="113"/>
      <c r="AI2466" s="113"/>
      <c r="AJ2466" s="113"/>
      <c r="AK2466" s="113"/>
      <c r="AL2466" s="113" t="s">
        <v>1113</v>
      </c>
      <c r="AM2466" s="113"/>
      <c r="AN2466" s="113"/>
      <c r="AO2466" s="44" t="s">
        <v>2334</v>
      </c>
      <c r="AP2466" s="43"/>
      <c r="AQ2466" s="236" t="str">
        <f>VLOOKUP(Table8[[#This Row],[Instrument]],Def_Targets!$D$73:$E$159,2,FALSE)</f>
        <v>A_SUMP</v>
      </c>
      <c r="AR2466" s="233" t="str">
        <f>VLOOKUP(Table8[[#This Row],[Country Code]],Table29[],3,FALSE)</f>
        <v>Non-Annex I</v>
      </c>
      <c r="AS2466" s="233" t="str">
        <f>VLOOKUP(Table8[[#This Row],[Country Code]],Table29[],4,FALSE)</f>
        <v>Latin America and the Caribbean</v>
      </c>
      <c r="AT2466" s="233" t="str">
        <f>VLOOKUP(Table8[[#This Row],[Country Code]],Table29[],5,FALSE)</f>
        <v>High-income</v>
      </c>
      <c r="AU2466" s="233" t="str">
        <f>VLOOKUP(Table8[[#This Row],[Country Code]],Table29[],6,FALSE)</f>
        <v>no</v>
      </c>
      <c r="AV2466" s="233" t="str">
        <f>VLOOKUP(Table8[[#This Row],[Country Code]],Table29[],7,FALSE)</f>
        <v>no</v>
      </c>
      <c r="AW2466" s="233" t="str">
        <f>VLOOKUP(Table8[[#This Row],[Country Code]],Table29[],8,FALSE)</f>
        <v>non-OECD</v>
      </c>
      <c r="AX2466" s="233" t="str">
        <f>VLOOKUP(Table8[[#This Row],[Country Code]],Table29[],9,FALSE)</f>
        <v>no</v>
      </c>
      <c r="AY2466" s="233" t="str">
        <f>VLOOKUP(Table8[[#This Row],[Country Code]],Table29[],10,FALSE)</f>
        <v>no</v>
      </c>
      <c r="AZ2466" s="235">
        <f>VLOOKUP(Table8[[#This Row],[Country Code]],Table29[],23,FALSE)</f>
        <v>41.634111747759</v>
      </c>
      <c r="BA2466" s="235">
        <f>VLOOKUP(Table8[[#This Row],[Country Code]],Table29[],24,FALSE)</f>
        <v>4.0868158944276578</v>
      </c>
      <c r="BB2466" s="320"/>
      <c r="BC2466" s="320"/>
    </row>
    <row r="2467" spans="1:55" ht="15" hidden="1" customHeight="1" x14ac:dyDescent="0.25">
      <c r="A2467" s="373">
        <v>32524</v>
      </c>
      <c r="B2467" s="233" t="str">
        <f>VLOOKUP(Table8[[#This Row],[Document ID]],Table1[],2,FALSE)</f>
        <v>URY</v>
      </c>
      <c r="C2467" s="233" t="str">
        <f>VLOOKUP(Table8[[#This Row],[Document ID]],Table1[],3,FALSE)</f>
        <v>Uruguay</v>
      </c>
      <c r="D2467" s="243" t="str">
        <f>VLOOKUP(Table8[[#This Row],[Document ID]],Table1[],5,FALSE)</f>
        <v>NDC</v>
      </c>
      <c r="E2467" s="233" t="str">
        <f>VLOOKUP(Table8[[#This Row],[Document ID]],Table1[],7,FALSE)</f>
        <v>Second NDC</v>
      </c>
      <c r="F2467" s="233" t="str">
        <f>VLOOKUP(Table8[[#This Row],[Document ID]],Table1[],8,FALSE)</f>
        <v>NDC 2.0</v>
      </c>
      <c r="G2467" s="233" t="str">
        <f>VLOOKUP(Table8[[#This Row],[Document ID]],Table1[],10,FALSE)</f>
        <v>Archived</v>
      </c>
      <c r="H2467" s="43" t="s">
        <v>2343</v>
      </c>
      <c r="I2467" s="43" t="s">
        <v>2344</v>
      </c>
      <c r="J2467" s="44" t="s">
        <v>2345</v>
      </c>
      <c r="K2467" s="44" t="s">
        <v>4576</v>
      </c>
      <c r="L2467" s="44" t="s">
        <v>2373</v>
      </c>
      <c r="M2467" s="43">
        <v>19</v>
      </c>
      <c r="N2467" s="113" t="s">
        <v>1113</v>
      </c>
      <c r="O2467" s="113"/>
      <c r="P2467" s="113"/>
      <c r="Q2467" s="113"/>
      <c r="R2467" s="113"/>
      <c r="S2467" s="113"/>
      <c r="T2467" s="113"/>
      <c r="U2467" s="113"/>
      <c r="V2467" s="113"/>
      <c r="W2467" s="113"/>
      <c r="X2467" s="113"/>
      <c r="Y2467" s="113"/>
      <c r="Z2467" s="113"/>
      <c r="AA2467" s="113"/>
      <c r="AB2467" s="113"/>
      <c r="AC2467" s="113"/>
      <c r="AD2467" s="113"/>
      <c r="AE2467" s="113"/>
      <c r="AF2467" s="113"/>
      <c r="AG2467" s="113"/>
      <c r="AH2467" s="113"/>
      <c r="AI2467" s="113"/>
      <c r="AJ2467" s="113"/>
      <c r="AK2467" s="113"/>
      <c r="AL2467" s="113" t="s">
        <v>1113</v>
      </c>
      <c r="AM2467" s="113"/>
      <c r="AN2467" s="113"/>
      <c r="AO2467" s="44" t="s">
        <v>2334</v>
      </c>
      <c r="AP2467" s="43"/>
      <c r="AQ2467" s="236" t="str">
        <f>VLOOKUP(Table8[[#This Row],[Instrument]],Def_Targets!$D$73:$E$159,2,FALSE)</f>
        <v>S_PublicTransport</v>
      </c>
      <c r="AR2467" s="233" t="str">
        <f>VLOOKUP(Table8[[#This Row],[Country Code]],Table29[],3,FALSE)</f>
        <v>Non-Annex I</v>
      </c>
      <c r="AS2467" s="233" t="str">
        <f>VLOOKUP(Table8[[#This Row],[Country Code]],Table29[],4,FALSE)</f>
        <v>Latin America and the Caribbean</v>
      </c>
      <c r="AT2467" s="233" t="str">
        <f>VLOOKUP(Table8[[#This Row],[Country Code]],Table29[],5,FALSE)</f>
        <v>High-income</v>
      </c>
      <c r="AU2467" s="233" t="str">
        <f>VLOOKUP(Table8[[#This Row],[Country Code]],Table29[],6,FALSE)</f>
        <v>no</v>
      </c>
      <c r="AV2467" s="233" t="str">
        <f>VLOOKUP(Table8[[#This Row],[Country Code]],Table29[],7,FALSE)</f>
        <v>no</v>
      </c>
      <c r="AW2467" s="233" t="str">
        <f>VLOOKUP(Table8[[#This Row],[Country Code]],Table29[],8,FALSE)</f>
        <v>non-OECD</v>
      </c>
      <c r="AX2467" s="233" t="str">
        <f>VLOOKUP(Table8[[#This Row],[Country Code]],Table29[],9,FALSE)</f>
        <v>no</v>
      </c>
      <c r="AY2467" s="233" t="str">
        <f>VLOOKUP(Table8[[#This Row],[Country Code]],Table29[],10,FALSE)</f>
        <v>no</v>
      </c>
      <c r="AZ2467" s="235">
        <f>VLOOKUP(Table8[[#This Row],[Country Code]],Table29[],23,FALSE)</f>
        <v>41.634111747759</v>
      </c>
      <c r="BA2467" s="235">
        <f>VLOOKUP(Table8[[#This Row],[Country Code]],Table29[],24,FALSE)</f>
        <v>4.0868158944276578</v>
      </c>
      <c r="BB2467" s="320"/>
      <c r="BC2467" s="320"/>
    </row>
    <row r="2468" spans="1:55" ht="15" hidden="1" customHeight="1" x14ac:dyDescent="0.25">
      <c r="A2468" s="373">
        <v>32524</v>
      </c>
      <c r="B2468" s="233" t="str">
        <f>VLOOKUP(Table8[[#This Row],[Document ID]],Table1[],2,FALSE)</f>
        <v>URY</v>
      </c>
      <c r="C2468" s="233" t="str">
        <f>VLOOKUP(Table8[[#This Row],[Document ID]],Table1[],3,FALSE)</f>
        <v>Uruguay</v>
      </c>
      <c r="D2468" s="243" t="str">
        <f>VLOOKUP(Table8[[#This Row],[Document ID]],Table1[],5,FALSE)</f>
        <v>NDC</v>
      </c>
      <c r="E2468" s="233" t="str">
        <f>VLOOKUP(Table8[[#This Row],[Document ID]],Table1[],7,FALSE)</f>
        <v>Second NDC</v>
      </c>
      <c r="F2468" s="233" t="str">
        <f>VLOOKUP(Table8[[#This Row],[Document ID]],Table1[],8,FALSE)</f>
        <v>NDC 2.0</v>
      </c>
      <c r="G2468" s="233" t="str">
        <f>VLOOKUP(Table8[[#This Row],[Document ID]],Table1[],10,FALSE)</f>
        <v>Archived</v>
      </c>
      <c r="H2468" s="43" t="s">
        <v>2350</v>
      </c>
      <c r="I2468" s="43" t="s">
        <v>2370</v>
      </c>
      <c r="J2468" s="44" t="s">
        <v>2418</v>
      </c>
      <c r="K2468" s="44" t="s">
        <v>4577</v>
      </c>
      <c r="L2468" s="44" t="s">
        <v>2373</v>
      </c>
      <c r="M2468" s="43">
        <v>19</v>
      </c>
      <c r="N2468" s="113"/>
      <c r="O2468" s="113"/>
      <c r="P2468" s="113"/>
      <c r="Q2468" s="113"/>
      <c r="R2468" s="113"/>
      <c r="S2468" s="113" t="s">
        <v>1113</v>
      </c>
      <c r="T2468" s="113"/>
      <c r="U2468" s="113"/>
      <c r="V2468" s="113"/>
      <c r="W2468" s="113"/>
      <c r="X2468" s="113"/>
      <c r="Y2468" s="113"/>
      <c r="Z2468" s="113"/>
      <c r="AA2468" s="113"/>
      <c r="AB2468" s="113"/>
      <c r="AC2468" s="113"/>
      <c r="AD2468" s="113"/>
      <c r="AE2468" s="113"/>
      <c r="AF2468" s="113"/>
      <c r="AG2468" s="113"/>
      <c r="AH2468" s="113"/>
      <c r="AI2468" s="113"/>
      <c r="AJ2468" s="113"/>
      <c r="AK2468" s="113"/>
      <c r="AL2468" s="113" t="s">
        <v>1113</v>
      </c>
      <c r="AM2468" s="113"/>
      <c r="AN2468" s="113"/>
      <c r="AO2468" s="44" t="s">
        <v>2334</v>
      </c>
      <c r="AP2468" s="43"/>
      <c r="AQ2468" s="236" t="str">
        <f>VLOOKUP(Table8[[#This Row],[Instrument]],Def_Targets!$D$73:$E$159,2,FALSE)</f>
        <v>A_Complan</v>
      </c>
      <c r="AR2468" s="233" t="str">
        <f>VLOOKUP(Table8[[#This Row],[Country Code]],Table29[],3,FALSE)</f>
        <v>Non-Annex I</v>
      </c>
      <c r="AS2468" s="233" t="str">
        <f>VLOOKUP(Table8[[#This Row],[Country Code]],Table29[],4,FALSE)</f>
        <v>Latin America and the Caribbean</v>
      </c>
      <c r="AT2468" s="233" t="str">
        <f>VLOOKUP(Table8[[#This Row],[Country Code]],Table29[],5,FALSE)</f>
        <v>High-income</v>
      </c>
      <c r="AU2468" s="233" t="str">
        <f>VLOOKUP(Table8[[#This Row],[Country Code]],Table29[],6,FALSE)</f>
        <v>no</v>
      </c>
      <c r="AV2468" s="233" t="str">
        <f>VLOOKUP(Table8[[#This Row],[Country Code]],Table29[],7,FALSE)</f>
        <v>no</v>
      </c>
      <c r="AW2468" s="233" t="str">
        <f>VLOOKUP(Table8[[#This Row],[Country Code]],Table29[],8,FALSE)</f>
        <v>non-OECD</v>
      </c>
      <c r="AX2468" s="233" t="str">
        <f>VLOOKUP(Table8[[#This Row],[Country Code]],Table29[],9,FALSE)</f>
        <v>no</v>
      </c>
      <c r="AY2468" s="233" t="str">
        <f>VLOOKUP(Table8[[#This Row],[Country Code]],Table29[],10,FALSE)</f>
        <v>no</v>
      </c>
      <c r="AZ2468" s="235">
        <f>VLOOKUP(Table8[[#This Row],[Country Code]],Table29[],23,FALSE)</f>
        <v>41.634111747759</v>
      </c>
      <c r="BA2468" s="235">
        <f>VLOOKUP(Table8[[#This Row],[Country Code]],Table29[],24,FALSE)</f>
        <v>4.0868158944276578</v>
      </c>
      <c r="BB2468" s="320"/>
      <c r="BC2468" s="320"/>
    </row>
    <row r="2469" spans="1:55" ht="15" hidden="1" customHeight="1" x14ac:dyDescent="0.25">
      <c r="A2469" s="373">
        <v>32524</v>
      </c>
      <c r="B2469" s="233" t="str">
        <f>VLOOKUP(Table8[[#This Row],[Document ID]],Table1[],2,FALSE)</f>
        <v>URY</v>
      </c>
      <c r="C2469" s="233" t="str">
        <f>VLOOKUP(Table8[[#This Row],[Document ID]],Table1[],3,FALSE)</f>
        <v>Uruguay</v>
      </c>
      <c r="D2469" s="243" t="str">
        <f>VLOOKUP(Table8[[#This Row],[Document ID]],Table1[],5,FALSE)</f>
        <v>NDC</v>
      </c>
      <c r="E2469" s="233" t="str">
        <f>VLOOKUP(Table8[[#This Row],[Document ID]],Table1[],7,FALSE)</f>
        <v>Second NDC</v>
      </c>
      <c r="F2469" s="233" t="str">
        <f>VLOOKUP(Table8[[#This Row],[Document ID]],Table1[],8,FALSE)</f>
        <v>NDC 2.0</v>
      </c>
      <c r="G2469" s="233" t="str">
        <f>VLOOKUP(Table8[[#This Row],[Document ID]],Table1[],10,FALSE)</f>
        <v>Archived</v>
      </c>
      <c r="H2469" s="43" t="s">
        <v>2358</v>
      </c>
      <c r="I2469" s="43" t="s">
        <v>2359</v>
      </c>
      <c r="J2469" s="44" t="s">
        <v>2360</v>
      </c>
      <c r="K2469" s="44" t="s">
        <v>4578</v>
      </c>
      <c r="L2469" s="44" t="s">
        <v>2471</v>
      </c>
      <c r="M2469" s="44">
        <v>21</v>
      </c>
      <c r="N2469" s="113" t="s">
        <v>1113</v>
      </c>
      <c r="O2469" s="113"/>
      <c r="P2469" s="113"/>
      <c r="Q2469" s="113"/>
      <c r="R2469" s="113"/>
      <c r="S2469" s="113"/>
      <c r="T2469" s="113"/>
      <c r="U2469" s="113"/>
      <c r="V2469" s="113"/>
      <c r="W2469" s="113"/>
      <c r="X2469" s="113"/>
      <c r="Y2469" s="113"/>
      <c r="Z2469" s="113"/>
      <c r="AA2469" s="113"/>
      <c r="AB2469" s="113"/>
      <c r="AC2469" s="113"/>
      <c r="AD2469" s="161"/>
      <c r="AE2469" s="161"/>
      <c r="AF2469" s="113"/>
      <c r="AG2469" s="113"/>
      <c r="AH2469" s="113"/>
      <c r="AI2469" s="113"/>
      <c r="AJ2469" s="113"/>
      <c r="AK2469" s="113" t="s">
        <v>1113</v>
      </c>
      <c r="AL2469" s="113"/>
      <c r="AM2469" s="113"/>
      <c r="AN2469" s="113"/>
      <c r="AO2469" s="44" t="s">
        <v>2334</v>
      </c>
      <c r="AP2469" s="43"/>
      <c r="AQ2469" s="236" t="str">
        <f>VLOOKUP(Table8[[#This Row],[Instrument]],Def_Targets!$D$73:$E$159,2,FALSE)</f>
        <v>I_Emobility</v>
      </c>
      <c r="AR2469" s="233" t="str">
        <f>VLOOKUP(Table8[[#This Row],[Country Code]],Table29[],3,FALSE)</f>
        <v>Non-Annex I</v>
      </c>
      <c r="AS2469" s="233" t="str">
        <f>VLOOKUP(Table8[[#This Row],[Country Code]],Table29[],4,FALSE)</f>
        <v>Latin America and the Caribbean</v>
      </c>
      <c r="AT2469" s="233" t="str">
        <f>VLOOKUP(Table8[[#This Row],[Country Code]],Table29[],5,FALSE)</f>
        <v>High-income</v>
      </c>
      <c r="AU2469" s="233" t="str">
        <f>VLOOKUP(Table8[[#This Row],[Country Code]],Table29[],6,FALSE)</f>
        <v>no</v>
      </c>
      <c r="AV2469" s="233" t="str">
        <f>VLOOKUP(Table8[[#This Row],[Country Code]],Table29[],7,FALSE)</f>
        <v>no</v>
      </c>
      <c r="AW2469" s="233" t="str">
        <f>VLOOKUP(Table8[[#This Row],[Country Code]],Table29[],8,FALSE)</f>
        <v>non-OECD</v>
      </c>
      <c r="AX2469" s="233" t="str">
        <f>VLOOKUP(Table8[[#This Row],[Country Code]],Table29[],9,FALSE)</f>
        <v>no</v>
      </c>
      <c r="AY2469" s="233" t="str">
        <f>VLOOKUP(Table8[[#This Row],[Country Code]],Table29[],10,FALSE)</f>
        <v>no</v>
      </c>
      <c r="AZ2469" s="235">
        <f>VLOOKUP(Table8[[#This Row],[Country Code]],Table29[],23,FALSE)</f>
        <v>41.634111747759</v>
      </c>
      <c r="BA2469" s="235">
        <f>VLOOKUP(Table8[[#This Row],[Country Code]],Table29[],24,FALSE)</f>
        <v>4.0868158944276578</v>
      </c>
      <c r="BB2469" s="320"/>
      <c r="BC2469" s="320"/>
    </row>
    <row r="2470" spans="1:55" ht="15" hidden="1" customHeight="1" x14ac:dyDescent="0.25">
      <c r="A2470" s="373">
        <v>32524</v>
      </c>
      <c r="B2470" s="233" t="str">
        <f>VLOOKUP(Table8[[#This Row],[Document ID]],Table1[],2,FALSE)</f>
        <v>URY</v>
      </c>
      <c r="C2470" s="233" t="str">
        <f>VLOOKUP(Table8[[#This Row],[Document ID]],Table1[],3,FALSE)</f>
        <v>Uruguay</v>
      </c>
      <c r="D2470" s="243" t="str">
        <f>VLOOKUP(Table8[[#This Row],[Document ID]],Table1[],5,FALSE)</f>
        <v>NDC</v>
      </c>
      <c r="E2470" s="233" t="str">
        <f>VLOOKUP(Table8[[#This Row],[Document ID]],Table1[],7,FALSE)</f>
        <v>Second NDC</v>
      </c>
      <c r="F2470" s="233" t="str">
        <f>VLOOKUP(Table8[[#This Row],[Document ID]],Table1[],8,FALSE)</f>
        <v>NDC 2.0</v>
      </c>
      <c r="G2470" s="233" t="str">
        <f>VLOOKUP(Table8[[#This Row],[Document ID]],Table1[],10,FALSE)</f>
        <v>Archived</v>
      </c>
      <c r="H2470" s="43" t="s">
        <v>2343</v>
      </c>
      <c r="I2470" s="43" t="s">
        <v>2386</v>
      </c>
      <c r="J2470" s="44" t="s">
        <v>2397</v>
      </c>
      <c r="K2470" s="44" t="s">
        <v>4579</v>
      </c>
      <c r="L2470" s="44" t="s">
        <v>2347</v>
      </c>
      <c r="M2470" s="44">
        <v>21</v>
      </c>
      <c r="N2470" s="113" t="s">
        <v>1113</v>
      </c>
      <c r="O2470" s="113"/>
      <c r="P2470" s="113"/>
      <c r="Q2470" s="113"/>
      <c r="R2470" s="113"/>
      <c r="S2470" s="113"/>
      <c r="T2470" s="113"/>
      <c r="U2470" s="113"/>
      <c r="V2470" s="113"/>
      <c r="W2470" s="113"/>
      <c r="X2470" s="113"/>
      <c r="Y2470" s="113"/>
      <c r="Z2470" s="113"/>
      <c r="AA2470" s="113"/>
      <c r="AB2470" s="113"/>
      <c r="AC2470" s="113"/>
      <c r="AD2470" s="161"/>
      <c r="AE2470" s="161"/>
      <c r="AF2470" s="113"/>
      <c r="AG2470" s="113"/>
      <c r="AH2470" s="113"/>
      <c r="AI2470" s="113"/>
      <c r="AJ2470" s="113"/>
      <c r="AK2470" s="113" t="s">
        <v>1113</v>
      </c>
      <c r="AL2470" s="113"/>
      <c r="AM2470" s="113"/>
      <c r="AN2470" s="113"/>
      <c r="AO2470" s="43" t="s">
        <v>2348</v>
      </c>
      <c r="AP2470" s="43"/>
      <c r="AQ2470" s="236" t="str">
        <f>VLOOKUP(Table8[[#This Row],[Instrument]],Def_Targets!$D$73:$E$159,2,FALSE)</f>
        <v>A_Finance</v>
      </c>
      <c r="AR2470" s="233" t="str">
        <f>VLOOKUP(Table8[[#This Row],[Country Code]],Table29[],3,FALSE)</f>
        <v>Non-Annex I</v>
      </c>
      <c r="AS2470" s="233" t="str">
        <f>VLOOKUP(Table8[[#This Row],[Country Code]],Table29[],4,FALSE)</f>
        <v>Latin America and the Caribbean</v>
      </c>
      <c r="AT2470" s="233" t="str">
        <f>VLOOKUP(Table8[[#This Row],[Country Code]],Table29[],5,FALSE)</f>
        <v>High-income</v>
      </c>
      <c r="AU2470" s="233" t="str">
        <f>VLOOKUP(Table8[[#This Row],[Country Code]],Table29[],6,FALSE)</f>
        <v>no</v>
      </c>
      <c r="AV2470" s="233" t="str">
        <f>VLOOKUP(Table8[[#This Row],[Country Code]],Table29[],7,FALSE)</f>
        <v>no</v>
      </c>
      <c r="AW2470" s="233" t="str">
        <f>VLOOKUP(Table8[[#This Row],[Country Code]],Table29[],8,FALSE)</f>
        <v>non-OECD</v>
      </c>
      <c r="AX2470" s="233" t="str">
        <f>VLOOKUP(Table8[[#This Row],[Country Code]],Table29[],9,FALSE)</f>
        <v>no</v>
      </c>
      <c r="AY2470" s="233" t="str">
        <f>VLOOKUP(Table8[[#This Row],[Country Code]],Table29[],10,FALSE)</f>
        <v>no</v>
      </c>
      <c r="AZ2470" s="235">
        <f>VLOOKUP(Table8[[#This Row],[Country Code]],Table29[],23,FALSE)</f>
        <v>41.634111747759</v>
      </c>
      <c r="BA2470" s="235">
        <f>VLOOKUP(Table8[[#This Row],[Country Code]],Table29[],24,FALSE)</f>
        <v>4.0868158944276578</v>
      </c>
      <c r="BB2470" s="320"/>
      <c r="BC2470" s="320"/>
    </row>
    <row r="2471" spans="1:55" ht="15" hidden="1" customHeight="1" x14ac:dyDescent="0.25">
      <c r="A2471" s="373">
        <v>17781</v>
      </c>
      <c r="B2471" s="233" t="str">
        <f>VLOOKUP(Table8[[#This Row],[Document ID]],Table1[],2,FALSE)</f>
        <v>UZB</v>
      </c>
      <c r="C2471" s="233" t="str">
        <f>VLOOKUP(Table8[[#This Row],[Document ID]],Table1[],3,FALSE)</f>
        <v>Uzbekistan</v>
      </c>
      <c r="D2471" s="243" t="str">
        <f>VLOOKUP(Table8[[#This Row],[Document ID]],Table1[],5,FALSE)</f>
        <v>NDC</v>
      </c>
      <c r="E2471" s="233" t="str">
        <f>VLOOKUP(Table8[[#This Row],[Document ID]],Table1[],7,FALSE)</f>
        <v>First NDC</v>
      </c>
      <c r="F2471" s="236" t="str">
        <f>VLOOKUP(Table8[[#This Row],[Document ID]],Table1[],8,FALSE)</f>
        <v>NDC 1.0</v>
      </c>
      <c r="G2471" s="236" t="str">
        <f>VLOOKUP(Table8[[#This Row],[Document ID]],Table1[],10,FALSE)</f>
        <v>Archived</v>
      </c>
      <c r="H2471" s="44" t="s">
        <v>2329</v>
      </c>
      <c r="I2471" s="44" t="s">
        <v>2330</v>
      </c>
      <c r="J2471" s="44" t="s">
        <v>2331</v>
      </c>
      <c r="K2471" s="44" t="s">
        <v>4580</v>
      </c>
      <c r="L2471" s="44" t="s">
        <v>2333</v>
      </c>
      <c r="M2471" s="43"/>
      <c r="N2471" s="113"/>
      <c r="O2471" s="113"/>
      <c r="P2471" s="113"/>
      <c r="Q2471" s="319"/>
      <c r="R2471" s="319"/>
      <c r="S2471" s="319"/>
      <c r="T2471" s="319" t="s">
        <v>1113</v>
      </c>
      <c r="U2471" s="113"/>
      <c r="V2471" s="319"/>
      <c r="W2471" s="319"/>
      <c r="X2471" s="319"/>
      <c r="Y2471" s="113"/>
      <c r="Z2471" s="113"/>
      <c r="AA2471" s="319"/>
      <c r="AB2471" s="319"/>
      <c r="AC2471" s="319"/>
      <c r="AD2471" s="113"/>
      <c r="AE2471" s="319"/>
      <c r="AF2471" s="319"/>
      <c r="AG2471" s="319"/>
      <c r="AH2471" s="319"/>
      <c r="AI2471" s="319"/>
      <c r="AJ2471" s="319"/>
      <c r="AK2471" s="319" t="s">
        <v>1113</v>
      </c>
      <c r="AL2471" s="319"/>
      <c r="AM2471" s="319"/>
      <c r="AN2471" s="319"/>
      <c r="AO2471" s="43" t="s">
        <v>2348</v>
      </c>
      <c r="AP2471" s="44"/>
      <c r="AQ2471" s="236" t="str">
        <f>VLOOKUP(Table8[[#This Row],[Instrument]],Def_Targets!$D$73:$E$159,2,FALSE)</f>
        <v>I_Altfuels</v>
      </c>
      <c r="AR2471" s="233" t="str">
        <f>VLOOKUP(Table8[[#This Row],[Country Code]],Table29[],3,FALSE)</f>
        <v>Non-Annex I</v>
      </c>
      <c r="AS2471" s="233" t="str">
        <f>VLOOKUP(Table8[[#This Row],[Country Code]],Table29[],4,FALSE)</f>
        <v>Asia</v>
      </c>
      <c r="AT2471" s="233" t="str">
        <f>VLOOKUP(Table8[[#This Row],[Country Code]],Table29[],5,FALSE)</f>
        <v>Middle-income</v>
      </c>
      <c r="AU2471" s="233" t="str">
        <f>VLOOKUP(Table8[[#This Row],[Country Code]],Table29[],6,FALSE)</f>
        <v>no</v>
      </c>
      <c r="AV2471" s="233" t="str">
        <f>VLOOKUP(Table8[[#This Row],[Country Code]],Table29[],7,FALSE)</f>
        <v>no</v>
      </c>
      <c r="AW2471" s="233" t="str">
        <f>VLOOKUP(Table8[[#This Row],[Country Code]],Table29[],8,FALSE)</f>
        <v>non-OECD</v>
      </c>
      <c r="AX2471" s="233" t="str">
        <f>VLOOKUP(Table8[[#This Row],[Country Code]],Table29[],9,FALSE)</f>
        <v>no</v>
      </c>
      <c r="AY2471" s="233" t="str">
        <f>VLOOKUP(Table8[[#This Row],[Country Code]],Table29[],10,FALSE)</f>
        <v>no</v>
      </c>
      <c r="AZ2471" s="235">
        <f>VLOOKUP(Table8[[#This Row],[Country Code]],Table29[],23,FALSE)</f>
        <v>214.53138443860999</v>
      </c>
      <c r="BA2471" s="235">
        <f>VLOOKUP(Table8[[#This Row],[Country Code]],Table29[],24,FALSE)</f>
        <v>16.788710012650458</v>
      </c>
      <c r="BB2471" s="320"/>
      <c r="BC2471" s="320"/>
    </row>
    <row r="2472" spans="1:55" ht="30" hidden="1" x14ac:dyDescent="0.25">
      <c r="A2472" s="373">
        <v>17781</v>
      </c>
      <c r="B2472" s="233" t="str">
        <f>VLOOKUP(Table8[[#This Row],[Document ID]],Table1[],2,FALSE)</f>
        <v>UZB</v>
      </c>
      <c r="C2472" s="233" t="str">
        <f>VLOOKUP(Table8[[#This Row],[Document ID]],Table1[],3,FALSE)</f>
        <v>Uzbekistan</v>
      </c>
      <c r="D2472" s="243" t="str">
        <f>VLOOKUP(Table8[[#This Row],[Document ID]],Table1[],5,FALSE)</f>
        <v>NDC</v>
      </c>
      <c r="E2472" s="233" t="str">
        <f>VLOOKUP(Table8[[#This Row],[Document ID]],Table1[],7,FALSE)</f>
        <v>First NDC</v>
      </c>
      <c r="F2472" s="236" t="str">
        <f>VLOOKUP(Table8[[#This Row],[Document ID]],Table1[],8,FALSE)</f>
        <v>NDC 1.0</v>
      </c>
      <c r="G2472" s="236" t="str">
        <f>VLOOKUP(Table8[[#This Row],[Document ID]],Table1[],10,FALSE)</f>
        <v>Archived</v>
      </c>
      <c r="H2472" s="43" t="s">
        <v>2350</v>
      </c>
      <c r="I2472" s="43" t="s">
        <v>2456</v>
      </c>
      <c r="J2472" s="44" t="s">
        <v>2643</v>
      </c>
      <c r="K2472" s="44" t="s">
        <v>4581</v>
      </c>
      <c r="L2472" s="44" t="s">
        <v>2471</v>
      </c>
      <c r="M2472" s="43"/>
      <c r="N2472" s="113" t="s">
        <v>1113</v>
      </c>
      <c r="O2472" s="113"/>
      <c r="P2472" s="113"/>
      <c r="Q2472" s="319"/>
      <c r="R2472" s="319"/>
      <c r="S2472" s="319"/>
      <c r="T2472" s="319"/>
      <c r="U2472" s="113"/>
      <c r="V2472" s="319"/>
      <c r="W2472" s="319"/>
      <c r="X2472" s="319"/>
      <c r="Y2472" s="113"/>
      <c r="Z2472" s="113"/>
      <c r="AA2472" s="319"/>
      <c r="AB2472" s="319"/>
      <c r="AC2472" s="319"/>
      <c r="AD2472" s="113"/>
      <c r="AE2472" s="319"/>
      <c r="AF2472" s="319"/>
      <c r="AG2472" s="319"/>
      <c r="AH2472" s="319"/>
      <c r="AI2472" s="319"/>
      <c r="AJ2472" s="319"/>
      <c r="AK2472" s="319" t="s">
        <v>1113</v>
      </c>
      <c r="AL2472" s="319"/>
      <c r="AM2472" s="319"/>
      <c r="AN2472" s="319"/>
      <c r="AO2472" s="44" t="s">
        <v>2334</v>
      </c>
      <c r="AP2472" s="44"/>
      <c r="AQ2472" s="236" t="str">
        <f>VLOOKUP(Table8[[#This Row],[Instrument]],Def_Targets!$D$73:$E$159,2,FALSE)</f>
        <v>S_Intermodality</v>
      </c>
      <c r="AR2472" s="233" t="str">
        <f>VLOOKUP(Table8[[#This Row],[Country Code]],Table29[],3,FALSE)</f>
        <v>Non-Annex I</v>
      </c>
      <c r="AS2472" s="233" t="str">
        <f>VLOOKUP(Table8[[#This Row],[Country Code]],Table29[],4,FALSE)</f>
        <v>Asia</v>
      </c>
      <c r="AT2472" s="233" t="str">
        <f>VLOOKUP(Table8[[#This Row],[Country Code]],Table29[],5,FALSE)</f>
        <v>Middle-income</v>
      </c>
      <c r="AU2472" s="233" t="str">
        <f>VLOOKUP(Table8[[#This Row],[Country Code]],Table29[],6,FALSE)</f>
        <v>no</v>
      </c>
      <c r="AV2472" s="233" t="str">
        <f>VLOOKUP(Table8[[#This Row],[Country Code]],Table29[],7,FALSE)</f>
        <v>no</v>
      </c>
      <c r="AW2472" s="233" t="str">
        <f>VLOOKUP(Table8[[#This Row],[Country Code]],Table29[],8,FALSE)</f>
        <v>non-OECD</v>
      </c>
      <c r="AX2472" s="233" t="str">
        <f>VLOOKUP(Table8[[#This Row],[Country Code]],Table29[],9,FALSE)</f>
        <v>no</v>
      </c>
      <c r="AY2472" s="233" t="str">
        <f>VLOOKUP(Table8[[#This Row],[Country Code]],Table29[],10,FALSE)</f>
        <v>no</v>
      </c>
      <c r="AZ2472" s="235">
        <f>VLOOKUP(Table8[[#This Row],[Country Code]],Table29[],23,FALSE)</f>
        <v>214.53138443860999</v>
      </c>
      <c r="BA2472" s="235">
        <f>VLOOKUP(Table8[[#This Row],[Country Code]],Table29[],24,FALSE)</f>
        <v>16.788710012650458</v>
      </c>
      <c r="BB2472" s="320"/>
      <c r="BC2472" s="320"/>
    </row>
    <row r="2473" spans="1:55" ht="30" hidden="1" x14ac:dyDescent="0.25">
      <c r="A2473" s="373">
        <v>17781</v>
      </c>
      <c r="B2473" s="233" t="str">
        <f>VLOOKUP(Table8[[#This Row],[Document ID]],Table1[],2,FALSE)</f>
        <v>UZB</v>
      </c>
      <c r="C2473" s="233" t="str">
        <f>VLOOKUP(Table8[[#This Row],[Document ID]],Table1[],3,FALSE)</f>
        <v>Uzbekistan</v>
      </c>
      <c r="D2473" s="243" t="str">
        <f>VLOOKUP(Table8[[#This Row],[Document ID]],Table1[],5,FALSE)</f>
        <v>NDC</v>
      </c>
      <c r="E2473" s="233" t="str">
        <f>VLOOKUP(Table8[[#This Row],[Document ID]],Table1[],7,FALSE)</f>
        <v>First NDC</v>
      </c>
      <c r="F2473" s="236" t="str">
        <f>VLOOKUP(Table8[[#This Row],[Document ID]],Table1[],8,FALSE)</f>
        <v>NDC 1.0</v>
      </c>
      <c r="G2473" s="236" t="str">
        <f>VLOOKUP(Table8[[#This Row],[Document ID]],Table1[],10,FALSE)</f>
        <v>Archived</v>
      </c>
      <c r="H2473" s="43" t="s">
        <v>2350</v>
      </c>
      <c r="I2473" s="43" t="s">
        <v>2456</v>
      </c>
      <c r="J2473" s="44" t="s">
        <v>2457</v>
      </c>
      <c r="K2473" s="44" t="s">
        <v>4581</v>
      </c>
      <c r="L2473" s="44" t="s">
        <v>2347</v>
      </c>
      <c r="M2473" s="43"/>
      <c r="N2473" s="113"/>
      <c r="O2473" s="113"/>
      <c r="P2473" s="113"/>
      <c r="Q2473" s="319"/>
      <c r="R2473" s="319"/>
      <c r="S2473" s="319"/>
      <c r="T2473" s="319" t="s">
        <v>1113</v>
      </c>
      <c r="U2473" s="113"/>
      <c r="V2473" s="319"/>
      <c r="W2473" s="319"/>
      <c r="X2473" s="319"/>
      <c r="Y2473" s="113"/>
      <c r="Z2473" s="113"/>
      <c r="AA2473" s="319"/>
      <c r="AB2473" s="319"/>
      <c r="AC2473" s="319"/>
      <c r="AD2473" s="113"/>
      <c r="AE2473" s="319"/>
      <c r="AF2473" s="319"/>
      <c r="AG2473" s="319"/>
      <c r="AH2473" s="319"/>
      <c r="AI2473" s="319"/>
      <c r="AJ2473" s="319"/>
      <c r="AK2473" s="319" t="s">
        <v>1113</v>
      </c>
      <c r="AL2473" s="319"/>
      <c r="AM2473" s="319"/>
      <c r="AN2473" s="319"/>
      <c r="AO2473" s="44" t="s">
        <v>2334</v>
      </c>
      <c r="AP2473" s="44"/>
      <c r="AQ2473" s="236" t="str">
        <f>VLOOKUP(Table8[[#This Row],[Instrument]],Def_Targets!$D$73:$E$159,2,FALSE)</f>
        <v>S_Infraimprove</v>
      </c>
      <c r="AR2473" s="233" t="str">
        <f>VLOOKUP(Table8[[#This Row],[Country Code]],Table29[],3,FALSE)</f>
        <v>Non-Annex I</v>
      </c>
      <c r="AS2473" s="233" t="str">
        <f>VLOOKUP(Table8[[#This Row],[Country Code]],Table29[],4,FALSE)</f>
        <v>Asia</v>
      </c>
      <c r="AT2473" s="233" t="str">
        <f>VLOOKUP(Table8[[#This Row],[Country Code]],Table29[],5,FALSE)</f>
        <v>Middle-income</v>
      </c>
      <c r="AU2473" s="233" t="str">
        <f>VLOOKUP(Table8[[#This Row],[Country Code]],Table29[],6,FALSE)</f>
        <v>no</v>
      </c>
      <c r="AV2473" s="233" t="str">
        <f>VLOOKUP(Table8[[#This Row],[Country Code]],Table29[],7,FALSE)</f>
        <v>no</v>
      </c>
      <c r="AW2473" s="233" t="str">
        <f>VLOOKUP(Table8[[#This Row],[Country Code]],Table29[],8,FALSE)</f>
        <v>non-OECD</v>
      </c>
      <c r="AX2473" s="233" t="str">
        <f>VLOOKUP(Table8[[#This Row],[Country Code]],Table29[],9,FALSE)</f>
        <v>no</v>
      </c>
      <c r="AY2473" s="233" t="str">
        <f>VLOOKUP(Table8[[#This Row],[Country Code]],Table29[],10,FALSE)</f>
        <v>no</v>
      </c>
      <c r="AZ2473" s="235">
        <f>VLOOKUP(Table8[[#This Row],[Country Code]],Table29[],23,FALSE)</f>
        <v>214.53138443860999</v>
      </c>
      <c r="BA2473" s="235">
        <f>VLOOKUP(Table8[[#This Row],[Country Code]],Table29[],24,FALSE)</f>
        <v>16.788710012650458</v>
      </c>
      <c r="BB2473" s="320"/>
      <c r="BC2473" s="320"/>
    </row>
    <row r="2474" spans="1:55" ht="30" hidden="1" x14ac:dyDescent="0.25">
      <c r="A2474" s="373">
        <v>24785</v>
      </c>
      <c r="B2474" s="233" t="str">
        <f>VLOOKUP(Table8[[#This Row],[Document ID]],Table1[],2,FALSE)</f>
        <v>UZB</v>
      </c>
      <c r="C2474" s="233" t="str">
        <f>VLOOKUP(Table8[[#This Row],[Document ID]],Table1[],3,FALSE)</f>
        <v>Uzbekistan</v>
      </c>
      <c r="D2474" s="243" t="str">
        <f>VLOOKUP(Table8[[#This Row],[Document ID]],Table1[],5,FALSE)</f>
        <v>NDC</v>
      </c>
      <c r="E2474" s="233" t="str">
        <f>VLOOKUP(Table8[[#This Row],[Document ID]],Table1[],7,FALSE)</f>
        <v>First NDC updated</v>
      </c>
      <c r="F2474" s="233" t="str">
        <f>VLOOKUP(Table8[[#This Row],[Document ID]],Table1[],8,FALSE)</f>
        <v>NDC 1.1</v>
      </c>
      <c r="G2474" s="233" t="str">
        <f>VLOOKUP(Table8[[#This Row],[Document ID]],Table1[],10,FALSE)</f>
        <v>Active</v>
      </c>
      <c r="H2474" s="44" t="s">
        <v>2329</v>
      </c>
      <c r="I2474" s="44" t="s">
        <v>2330</v>
      </c>
      <c r="J2474" s="44" t="s">
        <v>2381</v>
      </c>
      <c r="K2474" s="44" t="s">
        <v>4582</v>
      </c>
      <c r="L2474" s="44" t="s">
        <v>2333</v>
      </c>
      <c r="M2474" s="43">
        <v>14</v>
      </c>
      <c r="N2474" s="113"/>
      <c r="O2474" s="113"/>
      <c r="P2474" s="113"/>
      <c r="Q2474" s="113"/>
      <c r="R2474" s="113"/>
      <c r="S2474" s="113"/>
      <c r="T2474" s="113"/>
      <c r="U2474" s="113"/>
      <c r="V2474" s="113"/>
      <c r="W2474" s="113"/>
      <c r="X2474" s="113"/>
      <c r="Y2474" s="113"/>
      <c r="Z2474" s="113"/>
      <c r="AA2474" s="113"/>
      <c r="AB2474" s="113"/>
      <c r="AC2474" s="113"/>
      <c r="AD2474" s="113"/>
      <c r="AE2474" s="113"/>
      <c r="AF2474" s="113"/>
      <c r="AG2474" s="113"/>
      <c r="AH2474" s="113"/>
      <c r="AI2474" s="113"/>
      <c r="AJ2474" s="113"/>
      <c r="AK2474" s="113"/>
      <c r="AL2474" s="113"/>
      <c r="AM2474" s="113"/>
      <c r="AN2474" s="113"/>
      <c r="AO2474" s="44" t="s">
        <v>2334</v>
      </c>
      <c r="AP2474" s="43"/>
      <c r="AQ2474" s="236" t="str">
        <f>VLOOKUP(Table8[[#This Row],[Instrument]],Def_Targets!$D$73:$E$159,2,FALSE)</f>
        <v>I_RE</v>
      </c>
      <c r="AR2474" s="233" t="str">
        <f>VLOOKUP(Table8[[#This Row],[Country Code]],Table29[],3,FALSE)</f>
        <v>Non-Annex I</v>
      </c>
      <c r="AS2474" s="233" t="str">
        <f>VLOOKUP(Table8[[#This Row],[Country Code]],Table29[],4,FALSE)</f>
        <v>Asia</v>
      </c>
      <c r="AT2474" s="233" t="str">
        <f>VLOOKUP(Table8[[#This Row],[Country Code]],Table29[],5,FALSE)</f>
        <v>Middle-income</v>
      </c>
      <c r="AU2474" s="233" t="str">
        <f>VLOOKUP(Table8[[#This Row],[Country Code]],Table29[],6,FALSE)</f>
        <v>no</v>
      </c>
      <c r="AV2474" s="233" t="str">
        <f>VLOOKUP(Table8[[#This Row],[Country Code]],Table29[],7,FALSE)</f>
        <v>no</v>
      </c>
      <c r="AW2474" s="233" t="str">
        <f>VLOOKUP(Table8[[#This Row],[Country Code]],Table29[],8,FALSE)</f>
        <v>non-OECD</v>
      </c>
      <c r="AX2474" s="233" t="str">
        <f>VLOOKUP(Table8[[#This Row],[Country Code]],Table29[],9,FALSE)</f>
        <v>no</v>
      </c>
      <c r="AY2474" s="233" t="str">
        <f>VLOOKUP(Table8[[#This Row],[Country Code]],Table29[],10,FALSE)</f>
        <v>no</v>
      </c>
      <c r="AZ2474" s="235">
        <f>VLOOKUP(Table8[[#This Row],[Country Code]],Table29[],23,FALSE)</f>
        <v>214.53138443860999</v>
      </c>
      <c r="BA2474" s="235">
        <f>VLOOKUP(Table8[[#This Row],[Country Code]],Table29[],24,FALSE)</f>
        <v>16.788710012650458</v>
      </c>
      <c r="BB2474" s="320"/>
      <c r="BC2474" s="320"/>
    </row>
    <row r="2475" spans="1:55" ht="15" hidden="1" customHeight="1" x14ac:dyDescent="0.25">
      <c r="A2475" s="373">
        <v>24785</v>
      </c>
      <c r="B2475" s="233" t="str">
        <f>VLOOKUP(Table8[[#This Row],[Document ID]],Table1[],2,FALSE)</f>
        <v>UZB</v>
      </c>
      <c r="C2475" s="233" t="str">
        <f>VLOOKUP(Table8[[#This Row],[Document ID]],Table1[],3,FALSE)</f>
        <v>Uzbekistan</v>
      </c>
      <c r="D2475" s="243" t="str">
        <f>VLOOKUP(Table8[[#This Row],[Document ID]],Table1[],5,FALSE)</f>
        <v>NDC</v>
      </c>
      <c r="E2475" s="233" t="str">
        <f>VLOOKUP(Table8[[#This Row],[Document ID]],Table1[],7,FALSE)</f>
        <v>First NDC updated</v>
      </c>
      <c r="F2475" s="233" t="str">
        <f>VLOOKUP(Table8[[#This Row],[Document ID]],Table1[],8,FALSE)</f>
        <v>NDC 1.1</v>
      </c>
      <c r="G2475" s="233" t="str">
        <f>VLOOKUP(Table8[[#This Row],[Document ID]],Table1[],10,FALSE)</f>
        <v>Active</v>
      </c>
      <c r="H2475" s="44" t="s">
        <v>2329</v>
      </c>
      <c r="I2475" s="44" t="s">
        <v>2330</v>
      </c>
      <c r="J2475" s="44" t="s">
        <v>2331</v>
      </c>
      <c r="K2475" s="44" t="s">
        <v>4583</v>
      </c>
      <c r="L2475" s="44" t="s">
        <v>2333</v>
      </c>
      <c r="M2475" s="43">
        <v>14</v>
      </c>
      <c r="N2475" s="113" t="s">
        <v>1113</v>
      </c>
      <c r="O2475" s="113"/>
      <c r="P2475" s="113"/>
      <c r="Q2475" s="113"/>
      <c r="R2475" s="113"/>
      <c r="S2475" s="113"/>
      <c r="T2475" s="113"/>
      <c r="U2475" s="113"/>
      <c r="V2475" s="113"/>
      <c r="W2475" s="113"/>
      <c r="X2475" s="113"/>
      <c r="Y2475" s="113"/>
      <c r="Z2475" s="113"/>
      <c r="AA2475" s="113"/>
      <c r="AB2475" s="113"/>
      <c r="AC2475" s="113"/>
      <c r="AD2475" s="113"/>
      <c r="AE2475" s="113"/>
      <c r="AF2475" s="113"/>
      <c r="AG2475" s="113"/>
      <c r="AH2475" s="113"/>
      <c r="AI2475" s="113"/>
      <c r="AJ2475" s="113"/>
      <c r="AK2475" s="113" t="s">
        <v>1113</v>
      </c>
      <c r="AL2475" s="113"/>
      <c r="AM2475" s="113"/>
      <c r="AN2475" s="113"/>
      <c r="AO2475" s="44" t="s">
        <v>2334</v>
      </c>
      <c r="AP2475" s="43"/>
      <c r="AQ2475" s="236" t="str">
        <f>VLOOKUP(Table8[[#This Row],[Instrument]],Def_Targets!$D$73:$E$159,2,FALSE)</f>
        <v>I_Altfuels</v>
      </c>
      <c r="AR2475" s="233" t="str">
        <f>VLOOKUP(Table8[[#This Row],[Country Code]],Table29[],3,FALSE)</f>
        <v>Non-Annex I</v>
      </c>
      <c r="AS2475" s="233" t="str">
        <f>VLOOKUP(Table8[[#This Row],[Country Code]],Table29[],4,FALSE)</f>
        <v>Asia</v>
      </c>
      <c r="AT2475" s="233" t="str">
        <f>VLOOKUP(Table8[[#This Row],[Country Code]],Table29[],5,FALSE)</f>
        <v>Middle-income</v>
      </c>
      <c r="AU2475" s="233" t="str">
        <f>VLOOKUP(Table8[[#This Row],[Country Code]],Table29[],6,FALSE)</f>
        <v>no</v>
      </c>
      <c r="AV2475" s="233" t="str">
        <f>VLOOKUP(Table8[[#This Row],[Country Code]],Table29[],7,FALSE)</f>
        <v>no</v>
      </c>
      <c r="AW2475" s="233" t="str">
        <f>VLOOKUP(Table8[[#This Row],[Country Code]],Table29[],8,FALSE)</f>
        <v>non-OECD</v>
      </c>
      <c r="AX2475" s="233" t="str">
        <f>VLOOKUP(Table8[[#This Row],[Country Code]],Table29[],9,FALSE)</f>
        <v>no</v>
      </c>
      <c r="AY2475" s="233" t="str">
        <f>VLOOKUP(Table8[[#This Row],[Country Code]],Table29[],10,FALSE)</f>
        <v>no</v>
      </c>
      <c r="AZ2475" s="235">
        <f>VLOOKUP(Table8[[#This Row],[Country Code]],Table29[],23,FALSE)</f>
        <v>214.53138443860999</v>
      </c>
      <c r="BA2475" s="235">
        <f>VLOOKUP(Table8[[#This Row],[Country Code]],Table29[],24,FALSE)</f>
        <v>16.788710012650458</v>
      </c>
      <c r="BB2475" s="320"/>
      <c r="BC2475" s="320"/>
    </row>
    <row r="2476" spans="1:55" ht="30" hidden="1" x14ac:dyDescent="0.25">
      <c r="A2476" s="373">
        <v>24785</v>
      </c>
      <c r="B2476" s="233" t="str">
        <f>VLOOKUP(Table8[[#This Row],[Document ID]],Table1[],2,FALSE)</f>
        <v>UZB</v>
      </c>
      <c r="C2476" s="233" t="str">
        <f>VLOOKUP(Table8[[#This Row],[Document ID]],Table1[],3,FALSE)</f>
        <v>Uzbekistan</v>
      </c>
      <c r="D2476" s="243" t="str">
        <f>VLOOKUP(Table8[[#This Row],[Document ID]],Table1[],5,FALSE)</f>
        <v>NDC</v>
      </c>
      <c r="E2476" s="233" t="str">
        <f>VLOOKUP(Table8[[#This Row],[Document ID]],Table1[],7,FALSE)</f>
        <v>First NDC updated</v>
      </c>
      <c r="F2476" s="233" t="str">
        <f>VLOOKUP(Table8[[#This Row],[Document ID]],Table1[],8,FALSE)</f>
        <v>NDC 1.1</v>
      </c>
      <c r="G2476" s="233" t="str">
        <f>VLOOKUP(Table8[[#This Row],[Document ID]],Table1[],10,FALSE)</f>
        <v>Active</v>
      </c>
      <c r="H2476" s="44" t="s">
        <v>2329</v>
      </c>
      <c r="I2476" s="44" t="s">
        <v>2330</v>
      </c>
      <c r="J2476" s="44" t="s">
        <v>2363</v>
      </c>
      <c r="K2476" s="44" t="s">
        <v>4584</v>
      </c>
      <c r="L2476" s="44" t="s">
        <v>2333</v>
      </c>
      <c r="M2476" s="43">
        <v>15</v>
      </c>
      <c r="N2476" s="113"/>
      <c r="O2476" s="113"/>
      <c r="P2476" s="113"/>
      <c r="Q2476" s="113"/>
      <c r="R2476" s="113"/>
      <c r="S2476" s="113" t="s">
        <v>1113</v>
      </c>
      <c r="T2476" s="113"/>
      <c r="U2476" s="113"/>
      <c r="V2476" s="113"/>
      <c r="W2476" s="113"/>
      <c r="X2476" s="113"/>
      <c r="Y2476" s="113"/>
      <c r="Z2476" s="113" t="s">
        <v>1113</v>
      </c>
      <c r="AA2476" s="113"/>
      <c r="AB2476" s="113"/>
      <c r="AC2476" s="113"/>
      <c r="AD2476" s="113"/>
      <c r="AE2476" s="113"/>
      <c r="AF2476" s="113"/>
      <c r="AG2476" s="113"/>
      <c r="AH2476" s="113"/>
      <c r="AI2476" s="113"/>
      <c r="AJ2476" s="113"/>
      <c r="AK2476" s="113" t="s">
        <v>1113</v>
      </c>
      <c r="AL2476" s="113"/>
      <c r="AM2476" s="113"/>
      <c r="AN2476" s="113"/>
      <c r="AO2476" s="43" t="s">
        <v>2348</v>
      </c>
      <c r="AP2476" s="43"/>
      <c r="AQ2476" s="236" t="str">
        <f>VLOOKUP(Table8[[#This Row],[Instrument]],Def_Targets!$D$73:$E$159,2,FALSE)</f>
        <v>I_LPGCNGLNG</v>
      </c>
      <c r="AR2476" s="233" t="str">
        <f>VLOOKUP(Table8[[#This Row],[Country Code]],Table29[],3,FALSE)</f>
        <v>Non-Annex I</v>
      </c>
      <c r="AS2476" s="233" t="str">
        <f>VLOOKUP(Table8[[#This Row],[Country Code]],Table29[],4,FALSE)</f>
        <v>Asia</v>
      </c>
      <c r="AT2476" s="233" t="str">
        <f>VLOOKUP(Table8[[#This Row],[Country Code]],Table29[],5,FALSE)</f>
        <v>Middle-income</v>
      </c>
      <c r="AU2476" s="233" t="str">
        <f>VLOOKUP(Table8[[#This Row],[Country Code]],Table29[],6,FALSE)</f>
        <v>no</v>
      </c>
      <c r="AV2476" s="233" t="str">
        <f>VLOOKUP(Table8[[#This Row],[Country Code]],Table29[],7,FALSE)</f>
        <v>no</v>
      </c>
      <c r="AW2476" s="233" t="str">
        <f>VLOOKUP(Table8[[#This Row],[Country Code]],Table29[],8,FALSE)</f>
        <v>non-OECD</v>
      </c>
      <c r="AX2476" s="233" t="str">
        <f>VLOOKUP(Table8[[#This Row],[Country Code]],Table29[],9,FALSE)</f>
        <v>no</v>
      </c>
      <c r="AY2476" s="233" t="str">
        <f>VLOOKUP(Table8[[#This Row],[Country Code]],Table29[],10,FALSE)</f>
        <v>no</v>
      </c>
      <c r="AZ2476" s="235">
        <f>VLOOKUP(Table8[[#This Row],[Country Code]],Table29[],23,FALSE)</f>
        <v>214.53138443860999</v>
      </c>
      <c r="BA2476" s="235">
        <f>VLOOKUP(Table8[[#This Row],[Country Code]],Table29[],24,FALSE)</f>
        <v>16.788710012650458</v>
      </c>
      <c r="BB2476" s="320"/>
      <c r="BC2476" s="320"/>
    </row>
    <row r="2477" spans="1:55" ht="30" hidden="1" x14ac:dyDescent="0.25">
      <c r="A2477" s="373">
        <v>24785</v>
      </c>
      <c r="B2477" s="233" t="str">
        <f>VLOOKUP(Table8[[#This Row],[Document ID]],Table1[],2,FALSE)</f>
        <v>UZB</v>
      </c>
      <c r="C2477" s="233" t="str">
        <f>VLOOKUP(Table8[[#This Row],[Document ID]],Table1[],3,FALSE)</f>
        <v>Uzbekistan</v>
      </c>
      <c r="D2477" s="243" t="str">
        <f>VLOOKUP(Table8[[#This Row],[Document ID]],Table1[],5,FALSE)</f>
        <v>NDC</v>
      </c>
      <c r="E2477" s="233" t="str">
        <f>VLOOKUP(Table8[[#This Row],[Document ID]],Table1[],7,FALSE)</f>
        <v>First NDC updated</v>
      </c>
      <c r="F2477" s="233" t="str">
        <f>VLOOKUP(Table8[[#This Row],[Document ID]],Table1[],8,FALSE)</f>
        <v>NDC 1.1</v>
      </c>
      <c r="G2477" s="233" t="str">
        <f>VLOOKUP(Table8[[#This Row],[Document ID]],Table1[],10,FALSE)</f>
        <v>Active</v>
      </c>
      <c r="H2477" s="43" t="s">
        <v>2358</v>
      </c>
      <c r="I2477" s="43" t="s">
        <v>2359</v>
      </c>
      <c r="J2477" s="44" t="s">
        <v>2360</v>
      </c>
      <c r="K2477" s="44" t="s">
        <v>4584</v>
      </c>
      <c r="L2477" s="44" t="s">
        <v>2333</v>
      </c>
      <c r="M2477" s="43">
        <v>15</v>
      </c>
      <c r="N2477" s="113"/>
      <c r="O2477" s="113"/>
      <c r="P2477" s="113"/>
      <c r="Q2477" s="113"/>
      <c r="R2477" s="113"/>
      <c r="S2477" s="113" t="s">
        <v>1113</v>
      </c>
      <c r="T2477" s="113"/>
      <c r="U2477" s="113"/>
      <c r="V2477" s="113"/>
      <c r="W2477" s="113"/>
      <c r="X2477" s="113"/>
      <c r="Y2477" s="113"/>
      <c r="Z2477" s="113" t="s">
        <v>1113</v>
      </c>
      <c r="AA2477" s="113"/>
      <c r="AB2477" s="113"/>
      <c r="AC2477" s="113"/>
      <c r="AD2477" s="113"/>
      <c r="AE2477" s="113"/>
      <c r="AF2477" s="113"/>
      <c r="AG2477" s="113"/>
      <c r="AH2477" s="113"/>
      <c r="AI2477" s="113"/>
      <c r="AJ2477" s="113"/>
      <c r="AK2477" s="113" t="s">
        <v>1113</v>
      </c>
      <c r="AL2477" s="113"/>
      <c r="AM2477" s="113"/>
      <c r="AN2477" s="113"/>
      <c r="AO2477" s="43" t="s">
        <v>2348</v>
      </c>
      <c r="AP2477" s="43"/>
      <c r="AQ2477" s="236" t="str">
        <f>VLOOKUP(Table8[[#This Row],[Instrument]],Def_Targets!$D$73:$E$159,2,FALSE)</f>
        <v>I_Emobility</v>
      </c>
      <c r="AR2477" s="233" t="str">
        <f>VLOOKUP(Table8[[#This Row],[Country Code]],Table29[],3,FALSE)</f>
        <v>Non-Annex I</v>
      </c>
      <c r="AS2477" s="233" t="str">
        <f>VLOOKUP(Table8[[#This Row],[Country Code]],Table29[],4,FALSE)</f>
        <v>Asia</v>
      </c>
      <c r="AT2477" s="233" t="str">
        <f>VLOOKUP(Table8[[#This Row],[Country Code]],Table29[],5,FALSE)</f>
        <v>Middle-income</v>
      </c>
      <c r="AU2477" s="233" t="str">
        <f>VLOOKUP(Table8[[#This Row],[Country Code]],Table29[],6,FALSE)</f>
        <v>no</v>
      </c>
      <c r="AV2477" s="233" t="str">
        <f>VLOOKUP(Table8[[#This Row],[Country Code]],Table29[],7,FALSE)</f>
        <v>no</v>
      </c>
      <c r="AW2477" s="233" t="str">
        <f>VLOOKUP(Table8[[#This Row],[Country Code]],Table29[],8,FALSE)</f>
        <v>non-OECD</v>
      </c>
      <c r="AX2477" s="233" t="str">
        <f>VLOOKUP(Table8[[#This Row],[Country Code]],Table29[],9,FALSE)</f>
        <v>no</v>
      </c>
      <c r="AY2477" s="233" t="str">
        <f>VLOOKUP(Table8[[#This Row],[Country Code]],Table29[],10,FALSE)</f>
        <v>no</v>
      </c>
      <c r="AZ2477" s="235">
        <f>VLOOKUP(Table8[[#This Row],[Country Code]],Table29[],23,FALSE)</f>
        <v>214.53138443860999</v>
      </c>
      <c r="BA2477" s="235">
        <f>VLOOKUP(Table8[[#This Row],[Country Code]],Table29[],24,FALSE)</f>
        <v>16.788710012650458</v>
      </c>
      <c r="BB2477" s="320"/>
      <c r="BC2477" s="320"/>
    </row>
    <row r="2478" spans="1:55" ht="45" hidden="1" x14ac:dyDescent="0.25">
      <c r="A2478" s="373">
        <v>24785</v>
      </c>
      <c r="B2478" s="233" t="str">
        <f>VLOOKUP(Table8[[#This Row],[Document ID]],Table1[],2,FALSE)</f>
        <v>UZB</v>
      </c>
      <c r="C2478" s="233" t="str">
        <f>VLOOKUP(Table8[[#This Row],[Document ID]],Table1[],3,FALSE)</f>
        <v>Uzbekistan</v>
      </c>
      <c r="D2478" s="243" t="str">
        <f>VLOOKUP(Table8[[#This Row],[Document ID]],Table1[],5,FALSE)</f>
        <v>NDC</v>
      </c>
      <c r="E2478" s="233" t="str">
        <f>VLOOKUP(Table8[[#This Row],[Document ID]],Table1[],7,FALSE)</f>
        <v>First NDC updated</v>
      </c>
      <c r="F2478" s="233" t="str">
        <f>VLOOKUP(Table8[[#This Row],[Document ID]],Table1[],8,FALSE)</f>
        <v>NDC 1.1</v>
      </c>
      <c r="G2478" s="233" t="str">
        <f>VLOOKUP(Table8[[#This Row],[Document ID]],Table1[],10,FALSE)</f>
        <v>Active</v>
      </c>
      <c r="H2478" s="44" t="s">
        <v>2338</v>
      </c>
      <c r="I2478" s="44" t="s">
        <v>2339</v>
      </c>
      <c r="J2478" s="44" t="s">
        <v>2340</v>
      </c>
      <c r="K2478" s="44" t="s">
        <v>4585</v>
      </c>
      <c r="L2478" s="44" t="s">
        <v>2333</v>
      </c>
      <c r="M2478" s="43">
        <v>15</v>
      </c>
      <c r="N2478" s="113" t="s">
        <v>1113</v>
      </c>
      <c r="O2478" s="113"/>
      <c r="P2478" s="113"/>
      <c r="Q2478" s="113"/>
      <c r="R2478" s="113"/>
      <c r="S2478" s="113"/>
      <c r="T2478" s="113"/>
      <c r="U2478" s="113"/>
      <c r="V2478" s="113"/>
      <c r="W2478" s="113"/>
      <c r="X2478" s="113"/>
      <c r="Y2478" s="113"/>
      <c r="Z2478" s="113"/>
      <c r="AA2478" s="113"/>
      <c r="AB2478" s="113"/>
      <c r="AC2478" s="113"/>
      <c r="AD2478" s="113"/>
      <c r="AE2478" s="113"/>
      <c r="AF2478" s="113"/>
      <c r="AG2478" s="113"/>
      <c r="AH2478" s="113"/>
      <c r="AI2478" s="113"/>
      <c r="AJ2478" s="113"/>
      <c r="AK2478" s="113" t="s">
        <v>1113</v>
      </c>
      <c r="AL2478" s="113"/>
      <c r="AM2478" s="113"/>
      <c r="AN2478" s="113"/>
      <c r="AO2478" s="44" t="s">
        <v>2334</v>
      </c>
      <c r="AP2478" s="43"/>
      <c r="AQ2478" s="236" t="str">
        <f>VLOOKUP(Table8[[#This Row],[Instrument]],Def_Targets!$D$73:$E$159,2,FALSE)</f>
        <v>I_Vehicleimprove</v>
      </c>
      <c r="AR2478" s="233" t="str">
        <f>VLOOKUP(Table8[[#This Row],[Country Code]],Table29[],3,FALSE)</f>
        <v>Non-Annex I</v>
      </c>
      <c r="AS2478" s="233" t="str">
        <f>VLOOKUP(Table8[[#This Row],[Country Code]],Table29[],4,FALSE)</f>
        <v>Asia</v>
      </c>
      <c r="AT2478" s="233" t="str">
        <f>VLOOKUP(Table8[[#This Row],[Country Code]],Table29[],5,FALSE)</f>
        <v>Middle-income</v>
      </c>
      <c r="AU2478" s="233" t="str">
        <f>VLOOKUP(Table8[[#This Row],[Country Code]],Table29[],6,FALSE)</f>
        <v>no</v>
      </c>
      <c r="AV2478" s="233" t="str">
        <f>VLOOKUP(Table8[[#This Row],[Country Code]],Table29[],7,FALSE)</f>
        <v>no</v>
      </c>
      <c r="AW2478" s="233" t="str">
        <f>VLOOKUP(Table8[[#This Row],[Country Code]],Table29[],8,FALSE)</f>
        <v>non-OECD</v>
      </c>
      <c r="AX2478" s="233" t="str">
        <f>VLOOKUP(Table8[[#This Row],[Country Code]],Table29[],9,FALSE)</f>
        <v>no</v>
      </c>
      <c r="AY2478" s="233" t="str">
        <f>VLOOKUP(Table8[[#This Row],[Country Code]],Table29[],10,FALSE)</f>
        <v>no</v>
      </c>
      <c r="AZ2478" s="235">
        <f>VLOOKUP(Table8[[#This Row],[Country Code]],Table29[],23,FALSE)</f>
        <v>214.53138443860999</v>
      </c>
      <c r="BA2478" s="235">
        <f>VLOOKUP(Table8[[#This Row],[Country Code]],Table29[],24,FALSE)</f>
        <v>16.788710012650458</v>
      </c>
      <c r="BB2478" s="320"/>
      <c r="BC2478" s="320"/>
    </row>
    <row r="2479" spans="1:55" ht="15" hidden="1" customHeight="1" x14ac:dyDescent="0.25">
      <c r="A2479" s="373">
        <v>17781</v>
      </c>
      <c r="B2479" s="233" t="str">
        <f>VLOOKUP(Table8[[#This Row],[Document ID]],Table1[],2,FALSE)</f>
        <v>UZB</v>
      </c>
      <c r="C2479" s="233" t="str">
        <f>VLOOKUP(Table8[[#This Row],[Document ID]],Table1[],3,FALSE)</f>
        <v>Uzbekistan</v>
      </c>
      <c r="D2479" s="243" t="str">
        <f>VLOOKUP(Table8[[#This Row],[Document ID]],Table1[],5,FALSE)</f>
        <v>NDC</v>
      </c>
      <c r="E2479" s="233" t="str">
        <f>VLOOKUP(Table8[[#This Row],[Document ID]],Table1[],7,FALSE)</f>
        <v>First NDC</v>
      </c>
      <c r="F2479" s="233" t="str">
        <f>VLOOKUP(Table8[[#This Row],[Document ID]],Table1[],8,FALSE)</f>
        <v>NDC 1.0</v>
      </c>
      <c r="G2479" s="233" t="str">
        <f>VLOOKUP(Table8[[#This Row],[Document ID]],Table1[],10,FALSE)</f>
        <v>Archived</v>
      </c>
      <c r="H2479" s="44" t="s">
        <v>2329</v>
      </c>
      <c r="I2479" s="44" t="s">
        <v>2330</v>
      </c>
      <c r="J2479" s="44" t="s">
        <v>2331</v>
      </c>
      <c r="K2479" s="44" t="s">
        <v>4580</v>
      </c>
      <c r="L2479" s="44" t="s">
        <v>2333</v>
      </c>
      <c r="M2479" s="43"/>
      <c r="N2479" s="113"/>
      <c r="O2479" s="113"/>
      <c r="P2479" s="113"/>
      <c r="Q2479" s="113"/>
      <c r="R2479" s="113"/>
      <c r="S2479" s="113"/>
      <c r="T2479" s="113"/>
      <c r="U2479" s="113" t="s">
        <v>1113</v>
      </c>
      <c r="V2479" s="113"/>
      <c r="W2479" s="113"/>
      <c r="X2479" s="113"/>
      <c r="Y2479" s="113"/>
      <c r="Z2479" s="113"/>
      <c r="AA2479" s="113"/>
      <c r="AB2479" s="113"/>
      <c r="AC2479" s="113"/>
      <c r="AD2479" s="113"/>
      <c r="AE2479" s="113"/>
      <c r="AF2479" s="113"/>
      <c r="AG2479" s="113"/>
      <c r="AH2479" s="113"/>
      <c r="AI2479" s="113"/>
      <c r="AJ2479" s="113"/>
      <c r="AK2479" s="113" t="s">
        <v>1113</v>
      </c>
      <c r="AL2479" s="113"/>
      <c r="AM2479" s="113"/>
      <c r="AN2479" s="113"/>
      <c r="AO2479" s="44" t="s">
        <v>2334</v>
      </c>
      <c r="AP2479" s="43"/>
      <c r="AQ2479" s="236" t="str">
        <f>VLOOKUP(Table8[[#This Row],[Instrument]],Def_Targets!$D$73:$E$159,2,FALSE)</f>
        <v>I_Altfuels</v>
      </c>
      <c r="AR2479" s="233" t="str">
        <f>VLOOKUP(Table8[[#This Row],[Country Code]],Table29[],3,FALSE)</f>
        <v>Non-Annex I</v>
      </c>
      <c r="AS2479" s="233" t="str">
        <f>VLOOKUP(Table8[[#This Row],[Country Code]],Table29[],4,FALSE)</f>
        <v>Asia</v>
      </c>
      <c r="AT2479" s="233" t="str">
        <f>VLOOKUP(Table8[[#This Row],[Country Code]],Table29[],5,FALSE)</f>
        <v>Middle-income</v>
      </c>
      <c r="AU2479" s="233" t="str">
        <f>VLOOKUP(Table8[[#This Row],[Country Code]],Table29[],6,FALSE)</f>
        <v>no</v>
      </c>
      <c r="AV2479" s="233" t="str">
        <f>VLOOKUP(Table8[[#This Row],[Country Code]],Table29[],7,FALSE)</f>
        <v>no</v>
      </c>
      <c r="AW2479" s="233" t="str">
        <f>VLOOKUP(Table8[[#This Row],[Country Code]],Table29[],8,FALSE)</f>
        <v>non-OECD</v>
      </c>
      <c r="AX2479" s="233" t="str">
        <f>VLOOKUP(Table8[[#This Row],[Country Code]],Table29[],9,FALSE)</f>
        <v>no</v>
      </c>
      <c r="AY2479" s="233" t="str">
        <f>VLOOKUP(Table8[[#This Row],[Country Code]],Table29[],10,FALSE)</f>
        <v>no</v>
      </c>
      <c r="AZ2479" s="235">
        <f>VLOOKUP(Table8[[#This Row],[Country Code]],Table29[],23,FALSE)</f>
        <v>214.53138443860999</v>
      </c>
      <c r="BA2479" s="235">
        <f>VLOOKUP(Table8[[#This Row],[Country Code]],Table29[],24,FALSE)</f>
        <v>16.788710012650458</v>
      </c>
      <c r="BB2479" s="320"/>
      <c r="BC2479" s="320"/>
    </row>
    <row r="2480" spans="1:55" ht="31.5" hidden="1" customHeight="1" x14ac:dyDescent="0.25">
      <c r="A2480" s="373">
        <v>17781</v>
      </c>
      <c r="B2480" s="233" t="str">
        <f>VLOOKUP(Table8[[#This Row],[Document ID]],Table1[],2,FALSE)</f>
        <v>UZB</v>
      </c>
      <c r="C2480" s="233" t="str">
        <f>VLOOKUP(Table8[[#This Row],[Document ID]],Table1[],3,FALSE)</f>
        <v>Uzbekistan</v>
      </c>
      <c r="D2480" s="243" t="str">
        <f>VLOOKUP(Table8[[#This Row],[Document ID]],Table1[],5,FALSE)</f>
        <v>NDC</v>
      </c>
      <c r="E2480" s="233" t="str">
        <f>VLOOKUP(Table8[[#This Row],[Document ID]],Table1[],7,FALSE)</f>
        <v>First NDC</v>
      </c>
      <c r="F2480" s="233" t="str">
        <f>VLOOKUP(Table8[[#This Row],[Document ID]],Table1[],8,FALSE)</f>
        <v>NDC 1.0</v>
      </c>
      <c r="G2480" s="233" t="str">
        <f>VLOOKUP(Table8[[#This Row],[Document ID]],Table1[],10,FALSE)</f>
        <v>Archived</v>
      </c>
      <c r="H2480" s="43" t="s">
        <v>2350</v>
      </c>
      <c r="I2480" s="43" t="s">
        <v>2456</v>
      </c>
      <c r="J2480" s="44" t="s">
        <v>2643</v>
      </c>
      <c r="K2480" s="44" t="s">
        <v>4581</v>
      </c>
      <c r="L2480" s="44" t="s">
        <v>2471</v>
      </c>
      <c r="M2480" s="43"/>
      <c r="N2480" s="113"/>
      <c r="O2480" s="113"/>
      <c r="P2480" s="113"/>
      <c r="Q2480" s="113"/>
      <c r="R2480" s="113"/>
      <c r="S2480" s="113"/>
      <c r="T2480" s="113"/>
      <c r="U2480" s="113"/>
      <c r="V2480" s="113"/>
      <c r="W2480" s="113"/>
      <c r="X2480" s="113"/>
      <c r="Y2480" s="113"/>
      <c r="Z2480" s="113"/>
      <c r="AA2480" s="113"/>
      <c r="AB2480" s="113"/>
      <c r="AC2480" s="113"/>
      <c r="AD2480" s="113"/>
      <c r="AE2480" s="113"/>
      <c r="AF2480" s="113"/>
      <c r="AG2480" s="113"/>
      <c r="AH2480" s="113"/>
      <c r="AI2480" s="113"/>
      <c r="AJ2480" s="113"/>
      <c r="AK2480" s="113" t="s">
        <v>1113</v>
      </c>
      <c r="AL2480" s="113"/>
      <c r="AM2480" s="113"/>
      <c r="AN2480" s="113"/>
      <c r="AO2480" s="44" t="s">
        <v>2334</v>
      </c>
      <c r="AP2480" s="43"/>
      <c r="AQ2480" s="236" t="str">
        <f>VLOOKUP(Table8[[#This Row],[Instrument]],Def_Targets!$D$73:$E$159,2,FALSE)</f>
        <v>S_Intermodality</v>
      </c>
      <c r="AR2480" s="233" t="str">
        <f>VLOOKUP(Table8[[#This Row],[Country Code]],Table29[],3,FALSE)</f>
        <v>Non-Annex I</v>
      </c>
      <c r="AS2480" s="233" t="str">
        <f>VLOOKUP(Table8[[#This Row],[Country Code]],Table29[],4,FALSE)</f>
        <v>Asia</v>
      </c>
      <c r="AT2480" s="233" t="str">
        <f>VLOOKUP(Table8[[#This Row],[Country Code]],Table29[],5,FALSE)</f>
        <v>Middle-income</v>
      </c>
      <c r="AU2480" s="233" t="str">
        <f>VLOOKUP(Table8[[#This Row],[Country Code]],Table29[],6,FALSE)</f>
        <v>no</v>
      </c>
      <c r="AV2480" s="233" t="str">
        <f>VLOOKUP(Table8[[#This Row],[Country Code]],Table29[],7,FALSE)</f>
        <v>no</v>
      </c>
      <c r="AW2480" s="233" t="str">
        <f>VLOOKUP(Table8[[#This Row],[Country Code]],Table29[],8,FALSE)</f>
        <v>non-OECD</v>
      </c>
      <c r="AX2480" s="233" t="str">
        <f>VLOOKUP(Table8[[#This Row],[Country Code]],Table29[],9,FALSE)</f>
        <v>no</v>
      </c>
      <c r="AY2480" s="233" t="str">
        <f>VLOOKUP(Table8[[#This Row],[Country Code]],Table29[],10,FALSE)</f>
        <v>no</v>
      </c>
      <c r="AZ2480" s="235">
        <f>VLOOKUP(Table8[[#This Row],[Country Code]],Table29[],23,FALSE)</f>
        <v>214.53138443860999</v>
      </c>
      <c r="BA2480" s="235">
        <f>VLOOKUP(Table8[[#This Row],[Country Code]],Table29[],24,FALSE)</f>
        <v>16.788710012650458</v>
      </c>
      <c r="BB2480" s="320"/>
      <c r="BC2480" s="320"/>
    </row>
    <row r="2481" spans="1:55" ht="30" hidden="1" x14ac:dyDescent="0.25">
      <c r="A2481" s="373">
        <v>17781</v>
      </c>
      <c r="B2481" s="233" t="str">
        <f>VLOOKUP(Table8[[#This Row],[Document ID]],Table1[],2,FALSE)</f>
        <v>UZB</v>
      </c>
      <c r="C2481" s="233" t="str">
        <f>VLOOKUP(Table8[[#This Row],[Document ID]],Table1[],3,FALSE)</f>
        <v>Uzbekistan</v>
      </c>
      <c r="D2481" s="243" t="str">
        <f>VLOOKUP(Table8[[#This Row],[Document ID]],Table1[],5,FALSE)</f>
        <v>NDC</v>
      </c>
      <c r="E2481" s="233" t="str">
        <f>VLOOKUP(Table8[[#This Row],[Document ID]],Table1[],7,FALSE)</f>
        <v>First NDC</v>
      </c>
      <c r="F2481" s="233" t="str">
        <f>VLOOKUP(Table8[[#This Row],[Document ID]],Table1[],8,FALSE)</f>
        <v>NDC 1.0</v>
      </c>
      <c r="G2481" s="233" t="str">
        <f>VLOOKUP(Table8[[#This Row],[Document ID]],Table1[],10,FALSE)</f>
        <v>Archived</v>
      </c>
      <c r="H2481" s="43" t="s">
        <v>2350</v>
      </c>
      <c r="I2481" s="43" t="s">
        <v>2456</v>
      </c>
      <c r="J2481" s="44" t="s">
        <v>2457</v>
      </c>
      <c r="K2481" s="44" t="s">
        <v>4581</v>
      </c>
      <c r="L2481" s="44" t="s">
        <v>2347</v>
      </c>
      <c r="M2481" s="43"/>
      <c r="N2481" s="113"/>
      <c r="O2481" s="113"/>
      <c r="P2481" s="113"/>
      <c r="Q2481" s="113"/>
      <c r="R2481" s="113"/>
      <c r="S2481" s="113" t="s">
        <v>1113</v>
      </c>
      <c r="T2481" s="113"/>
      <c r="U2481" s="113"/>
      <c r="V2481" s="113"/>
      <c r="W2481" s="113"/>
      <c r="X2481" s="113"/>
      <c r="Y2481" s="113"/>
      <c r="Z2481" s="113"/>
      <c r="AA2481" s="113"/>
      <c r="AB2481" s="113"/>
      <c r="AC2481" s="113"/>
      <c r="AD2481" s="113"/>
      <c r="AE2481" s="113"/>
      <c r="AF2481" s="113"/>
      <c r="AG2481" s="113"/>
      <c r="AH2481" s="113"/>
      <c r="AI2481" s="113"/>
      <c r="AJ2481" s="113"/>
      <c r="AK2481" s="113" t="s">
        <v>1113</v>
      </c>
      <c r="AL2481" s="113"/>
      <c r="AM2481" s="113"/>
      <c r="AN2481" s="113"/>
      <c r="AO2481" s="44" t="s">
        <v>2334</v>
      </c>
      <c r="AP2481" s="43"/>
      <c r="AQ2481" s="236" t="str">
        <f>VLOOKUP(Table8[[#This Row],[Instrument]],Def_Targets!$D$73:$E$159,2,FALSE)</f>
        <v>S_Infraimprove</v>
      </c>
      <c r="AR2481" s="233" t="str">
        <f>VLOOKUP(Table8[[#This Row],[Country Code]],Table29[],3,FALSE)</f>
        <v>Non-Annex I</v>
      </c>
      <c r="AS2481" s="233" t="str">
        <f>VLOOKUP(Table8[[#This Row],[Country Code]],Table29[],4,FALSE)</f>
        <v>Asia</v>
      </c>
      <c r="AT2481" s="233" t="str">
        <f>VLOOKUP(Table8[[#This Row],[Country Code]],Table29[],5,FALSE)</f>
        <v>Middle-income</v>
      </c>
      <c r="AU2481" s="233" t="str">
        <f>VLOOKUP(Table8[[#This Row],[Country Code]],Table29[],6,FALSE)</f>
        <v>no</v>
      </c>
      <c r="AV2481" s="233" t="str">
        <f>VLOOKUP(Table8[[#This Row],[Country Code]],Table29[],7,FALSE)</f>
        <v>no</v>
      </c>
      <c r="AW2481" s="233" t="str">
        <f>VLOOKUP(Table8[[#This Row],[Country Code]],Table29[],8,FALSE)</f>
        <v>non-OECD</v>
      </c>
      <c r="AX2481" s="233" t="str">
        <f>VLOOKUP(Table8[[#This Row],[Country Code]],Table29[],9,FALSE)</f>
        <v>no</v>
      </c>
      <c r="AY2481" s="233" t="str">
        <f>VLOOKUP(Table8[[#This Row],[Country Code]],Table29[],10,FALSE)</f>
        <v>no</v>
      </c>
      <c r="AZ2481" s="235">
        <f>VLOOKUP(Table8[[#This Row],[Country Code]],Table29[],23,FALSE)</f>
        <v>214.53138443860999</v>
      </c>
      <c r="BA2481" s="235">
        <f>VLOOKUP(Table8[[#This Row],[Country Code]],Table29[],24,FALSE)</f>
        <v>16.788710012650458</v>
      </c>
      <c r="BB2481" s="320"/>
      <c r="BC2481" s="320"/>
    </row>
    <row r="2482" spans="1:55" ht="30" hidden="1" x14ac:dyDescent="0.25">
      <c r="A2482" s="373">
        <v>29231</v>
      </c>
      <c r="B2482" s="233" t="str">
        <f>VLOOKUP(Table8[[#This Row],[Document ID]],Table1[],2,FALSE)</f>
        <v>VUT</v>
      </c>
      <c r="C2482" s="233" t="str">
        <f>VLOOKUP(Table8[[#This Row],[Document ID]],Table1[],3,FALSE)</f>
        <v>Vanuatu</v>
      </c>
      <c r="D2482" s="243" t="str">
        <f>VLOOKUP(Table8[[#This Row],[Document ID]],Table1[],5,FALSE)</f>
        <v>NDC</v>
      </c>
      <c r="E2482" s="233" t="str">
        <f>VLOOKUP(Table8[[#This Row],[Document ID]],Table1[],7,FALSE)</f>
        <v>First NDC updated</v>
      </c>
      <c r="F2482" s="236" t="str">
        <f>VLOOKUP(Table8[[#This Row],[Document ID]],Table1[],8,FALSE)</f>
        <v>NDC 1.2</v>
      </c>
      <c r="G2482" s="236" t="str">
        <f>VLOOKUP(Table8[[#This Row],[Document ID]],Table1[],10,FALSE)</f>
        <v>Active</v>
      </c>
      <c r="H2482" s="44" t="s">
        <v>2338</v>
      </c>
      <c r="I2482" s="44" t="s">
        <v>2339</v>
      </c>
      <c r="J2482" s="44" t="s">
        <v>2340</v>
      </c>
      <c r="K2482" s="44" t="s">
        <v>4586</v>
      </c>
      <c r="L2482" s="44" t="s">
        <v>2333</v>
      </c>
      <c r="M2482" s="43">
        <v>3</v>
      </c>
      <c r="N2482" s="113"/>
      <c r="O2482" s="113"/>
      <c r="P2482" s="113"/>
      <c r="Q2482" s="319"/>
      <c r="R2482" s="319"/>
      <c r="S2482" s="319" t="s">
        <v>1113</v>
      </c>
      <c r="T2482" s="319"/>
      <c r="U2482" s="319"/>
      <c r="V2482" s="319"/>
      <c r="W2482" s="319"/>
      <c r="X2482" s="319"/>
      <c r="Y2482" s="113"/>
      <c r="Z2482" s="113"/>
      <c r="AA2482" s="319"/>
      <c r="AB2482" s="319"/>
      <c r="AC2482" s="319"/>
      <c r="AD2482" s="319" t="s">
        <v>1113</v>
      </c>
      <c r="AE2482" s="319"/>
      <c r="AF2482" s="319"/>
      <c r="AG2482" s="319"/>
      <c r="AH2482" s="319"/>
      <c r="AI2482" s="319"/>
      <c r="AJ2482" s="319"/>
      <c r="AK2482" s="319" t="s">
        <v>1113</v>
      </c>
      <c r="AL2482" s="319"/>
      <c r="AM2482" s="319"/>
      <c r="AN2482" s="319"/>
      <c r="AO2482" s="44" t="s">
        <v>2334</v>
      </c>
      <c r="AP2482" s="44"/>
      <c r="AQ2482" s="236" t="str">
        <f>VLOOKUP(Table8[[#This Row],[Instrument]],Def_Targets!$D$73:$E$159,2,FALSE)</f>
        <v>I_Vehicleimprove</v>
      </c>
      <c r="AR2482" s="233" t="str">
        <f>VLOOKUP(Table8[[#This Row],[Country Code]],Table29[],3,FALSE)</f>
        <v>Non-Annex I</v>
      </c>
      <c r="AS2482" s="233" t="str">
        <f>VLOOKUP(Table8[[#This Row],[Country Code]],Table29[],4,FALSE)</f>
        <v>Oceania</v>
      </c>
      <c r="AT2482" s="233" t="str">
        <f>VLOOKUP(Table8[[#This Row],[Country Code]],Table29[],5,FALSE)</f>
        <v>Middle-income</v>
      </c>
      <c r="AU2482" s="233" t="str">
        <f>VLOOKUP(Table8[[#This Row],[Country Code]],Table29[],6,FALSE)</f>
        <v>no</v>
      </c>
      <c r="AV2482" s="233" t="str">
        <f>VLOOKUP(Table8[[#This Row],[Country Code]],Table29[],7,FALSE)</f>
        <v>no</v>
      </c>
      <c r="AW2482" s="233" t="str">
        <f>VLOOKUP(Table8[[#This Row],[Country Code]],Table29[],8,FALSE)</f>
        <v>non-OECD</v>
      </c>
      <c r="AX2482" s="233" t="str">
        <f>VLOOKUP(Table8[[#This Row],[Country Code]],Table29[],9,FALSE)</f>
        <v>no</v>
      </c>
      <c r="AY2482" s="233" t="str">
        <f>VLOOKUP(Table8[[#This Row],[Country Code]],Table29[],10,FALSE)</f>
        <v>no</v>
      </c>
      <c r="AZ2482" s="235">
        <f>VLOOKUP(Table8[[#This Row],[Country Code]],Table29[],23,FALSE)</f>
        <v>0.67021230161326995</v>
      </c>
      <c r="BA2482" s="235">
        <f>VLOOKUP(Table8[[#This Row],[Country Code]],Table29[],24,FALSE)</f>
        <v>0.148941723979749</v>
      </c>
      <c r="BB2482" s="320"/>
      <c r="BC2482" s="320"/>
    </row>
    <row r="2483" spans="1:55" hidden="1" x14ac:dyDescent="0.25">
      <c r="A2483" s="373">
        <v>29231</v>
      </c>
      <c r="B2483" s="233" t="str">
        <f>VLOOKUP(Table8[[#This Row],[Document ID]],Table1[],2,FALSE)</f>
        <v>VUT</v>
      </c>
      <c r="C2483" s="233" t="str">
        <f>VLOOKUP(Table8[[#This Row],[Document ID]],Table1[],3,FALSE)</f>
        <v>Vanuatu</v>
      </c>
      <c r="D2483" s="243" t="str">
        <f>VLOOKUP(Table8[[#This Row],[Document ID]],Table1[],5,FALSE)</f>
        <v>NDC</v>
      </c>
      <c r="E2483" s="233" t="str">
        <f>VLOOKUP(Table8[[#This Row],[Document ID]],Table1[],7,FALSE)</f>
        <v>First NDC updated</v>
      </c>
      <c r="F2483" s="236" t="str">
        <f>VLOOKUP(Table8[[#This Row],[Document ID]],Table1[],8,FALSE)</f>
        <v>NDC 1.2</v>
      </c>
      <c r="G2483" s="236" t="str">
        <f>VLOOKUP(Table8[[#This Row],[Document ID]],Table1[],10,FALSE)</f>
        <v>Active</v>
      </c>
      <c r="H2483" s="44" t="s">
        <v>2338</v>
      </c>
      <c r="I2483" s="44" t="s">
        <v>2339</v>
      </c>
      <c r="J2483" s="44" t="s">
        <v>2413</v>
      </c>
      <c r="K2483" s="44" t="s">
        <v>4587</v>
      </c>
      <c r="L2483" s="44" t="s">
        <v>2333</v>
      </c>
      <c r="M2483" s="43">
        <v>7</v>
      </c>
      <c r="N2483" s="113"/>
      <c r="O2483" s="113"/>
      <c r="P2483" s="113"/>
      <c r="Q2483" s="319"/>
      <c r="R2483" s="319"/>
      <c r="S2483" s="319" t="s">
        <v>1113</v>
      </c>
      <c r="T2483" s="319"/>
      <c r="U2483" s="319"/>
      <c r="V2483" s="319"/>
      <c r="W2483" s="319"/>
      <c r="X2483" s="319"/>
      <c r="Y2483" s="319"/>
      <c r="Z2483" s="319"/>
      <c r="AA2483" s="319"/>
      <c r="AB2483" s="319"/>
      <c r="AC2483" s="319"/>
      <c r="AD2483" s="319"/>
      <c r="AE2483" s="319"/>
      <c r="AF2483" s="319"/>
      <c r="AG2483" s="319"/>
      <c r="AH2483" s="319"/>
      <c r="AI2483" s="319"/>
      <c r="AJ2483" s="319"/>
      <c r="AK2483" s="319" t="s">
        <v>1113</v>
      </c>
      <c r="AL2483" s="319"/>
      <c r="AM2483" s="319"/>
      <c r="AN2483" s="319"/>
      <c r="AO2483" s="44" t="s">
        <v>2334</v>
      </c>
      <c r="AP2483" s="44"/>
      <c r="AQ2483" s="236" t="str">
        <f>VLOOKUP(Table8[[#This Row],[Instrument]],Def_Targets!$D$73:$E$159,2,FALSE)</f>
        <v>I_Vehicleeff</v>
      </c>
      <c r="AR2483" s="233" t="str">
        <f>VLOOKUP(Table8[[#This Row],[Country Code]],Table29[],3,FALSE)</f>
        <v>Non-Annex I</v>
      </c>
      <c r="AS2483" s="233" t="str">
        <f>VLOOKUP(Table8[[#This Row],[Country Code]],Table29[],4,FALSE)</f>
        <v>Oceania</v>
      </c>
      <c r="AT2483" s="233" t="str">
        <f>VLOOKUP(Table8[[#This Row],[Country Code]],Table29[],5,FALSE)</f>
        <v>Middle-income</v>
      </c>
      <c r="AU2483" s="233" t="str">
        <f>VLOOKUP(Table8[[#This Row],[Country Code]],Table29[],6,FALSE)</f>
        <v>no</v>
      </c>
      <c r="AV2483" s="233" t="str">
        <f>VLOOKUP(Table8[[#This Row],[Country Code]],Table29[],7,FALSE)</f>
        <v>no</v>
      </c>
      <c r="AW2483" s="233" t="str">
        <f>VLOOKUP(Table8[[#This Row],[Country Code]],Table29[],8,FALSE)</f>
        <v>non-OECD</v>
      </c>
      <c r="AX2483" s="233" t="str">
        <f>VLOOKUP(Table8[[#This Row],[Country Code]],Table29[],9,FALSE)</f>
        <v>no</v>
      </c>
      <c r="AY2483" s="233" t="str">
        <f>VLOOKUP(Table8[[#This Row],[Country Code]],Table29[],10,FALSE)</f>
        <v>no</v>
      </c>
      <c r="AZ2483" s="235">
        <f>VLOOKUP(Table8[[#This Row],[Country Code]],Table29[],23,FALSE)</f>
        <v>0.67021230161326995</v>
      </c>
      <c r="BA2483" s="235">
        <f>VLOOKUP(Table8[[#This Row],[Country Code]],Table29[],24,FALSE)</f>
        <v>0.148941723979749</v>
      </c>
      <c r="BB2483" s="320"/>
      <c r="BC2483" s="320"/>
    </row>
    <row r="2484" spans="1:55" ht="70.349999999999994" hidden="1" customHeight="1" x14ac:dyDescent="0.25">
      <c r="A2484" s="373">
        <v>29231</v>
      </c>
      <c r="B2484" s="233" t="str">
        <f>VLOOKUP(Table8[[#This Row],[Document ID]],Table1[],2,FALSE)</f>
        <v>VUT</v>
      </c>
      <c r="C2484" s="233" t="str">
        <f>VLOOKUP(Table8[[#This Row],[Document ID]],Table1[],3,FALSE)</f>
        <v>Vanuatu</v>
      </c>
      <c r="D2484" s="243" t="str">
        <f>VLOOKUP(Table8[[#This Row],[Document ID]],Table1[],5,FALSE)</f>
        <v>NDC</v>
      </c>
      <c r="E2484" s="233" t="str">
        <f>VLOOKUP(Table8[[#This Row],[Document ID]],Table1[],7,FALSE)</f>
        <v>First NDC updated</v>
      </c>
      <c r="F2484" s="236" t="str">
        <f>VLOOKUP(Table8[[#This Row],[Document ID]],Table1[],8,FALSE)</f>
        <v>NDC 1.2</v>
      </c>
      <c r="G2484" s="236" t="str">
        <f>VLOOKUP(Table8[[#This Row],[Document ID]],Table1[],10,FALSE)</f>
        <v>Active</v>
      </c>
      <c r="H2484" s="43" t="s">
        <v>2358</v>
      </c>
      <c r="I2484" s="43" t="s">
        <v>2359</v>
      </c>
      <c r="J2484" s="44" t="s">
        <v>2360</v>
      </c>
      <c r="K2484" s="44" t="s">
        <v>4588</v>
      </c>
      <c r="L2484" s="44" t="s">
        <v>2333</v>
      </c>
      <c r="M2484" s="43">
        <v>3</v>
      </c>
      <c r="N2484" s="113"/>
      <c r="O2484" s="113"/>
      <c r="P2484" s="113"/>
      <c r="Q2484" s="319"/>
      <c r="R2484" s="319"/>
      <c r="S2484" s="319"/>
      <c r="T2484" s="319" t="s">
        <v>1113</v>
      </c>
      <c r="U2484" s="319" t="s">
        <v>1113</v>
      </c>
      <c r="V2484" s="319"/>
      <c r="W2484" s="319"/>
      <c r="X2484" s="319"/>
      <c r="Y2484" s="113" t="s">
        <v>1113</v>
      </c>
      <c r="Z2484" s="113"/>
      <c r="AA2484" s="319"/>
      <c r="AB2484" s="319"/>
      <c r="AC2484" s="319"/>
      <c r="AD2484" s="319"/>
      <c r="AE2484" s="319"/>
      <c r="AF2484" s="319"/>
      <c r="AG2484" s="319"/>
      <c r="AH2484" s="319"/>
      <c r="AI2484" s="319"/>
      <c r="AJ2484" s="319"/>
      <c r="AK2484" s="319" t="s">
        <v>1113</v>
      </c>
      <c r="AL2484" s="319"/>
      <c r="AM2484" s="319"/>
      <c r="AN2484" s="319"/>
      <c r="AO2484" s="44" t="s">
        <v>2334</v>
      </c>
      <c r="AP2484" s="44"/>
      <c r="AQ2484" s="236" t="str">
        <f>VLOOKUP(Table8[[#This Row],[Instrument]],Def_Targets!$D$73:$E$159,2,FALSE)</f>
        <v>I_Emobility</v>
      </c>
      <c r="AR2484" s="233" t="str">
        <f>VLOOKUP(Table8[[#This Row],[Country Code]],Table29[],3,FALSE)</f>
        <v>Non-Annex I</v>
      </c>
      <c r="AS2484" s="233" t="str">
        <f>VLOOKUP(Table8[[#This Row],[Country Code]],Table29[],4,FALSE)</f>
        <v>Oceania</v>
      </c>
      <c r="AT2484" s="233" t="str">
        <f>VLOOKUP(Table8[[#This Row],[Country Code]],Table29[],5,FALSE)</f>
        <v>Middle-income</v>
      </c>
      <c r="AU2484" s="233" t="str">
        <f>VLOOKUP(Table8[[#This Row],[Country Code]],Table29[],6,FALSE)</f>
        <v>no</v>
      </c>
      <c r="AV2484" s="233" t="str">
        <f>VLOOKUP(Table8[[#This Row],[Country Code]],Table29[],7,FALSE)</f>
        <v>no</v>
      </c>
      <c r="AW2484" s="233" t="str">
        <f>VLOOKUP(Table8[[#This Row],[Country Code]],Table29[],8,FALSE)</f>
        <v>non-OECD</v>
      </c>
      <c r="AX2484" s="233" t="str">
        <f>VLOOKUP(Table8[[#This Row],[Country Code]],Table29[],9,FALSE)</f>
        <v>no</v>
      </c>
      <c r="AY2484" s="233" t="str">
        <f>VLOOKUP(Table8[[#This Row],[Country Code]],Table29[],10,FALSE)</f>
        <v>no</v>
      </c>
      <c r="AZ2484" s="235">
        <f>VLOOKUP(Table8[[#This Row],[Country Code]],Table29[],23,FALSE)</f>
        <v>0.67021230161326995</v>
      </c>
      <c r="BA2484" s="235">
        <f>VLOOKUP(Table8[[#This Row],[Country Code]],Table29[],24,FALSE)</f>
        <v>0.148941723979749</v>
      </c>
      <c r="BB2484" s="320"/>
      <c r="BC2484" s="320"/>
    </row>
    <row r="2485" spans="1:55" hidden="1" x14ac:dyDescent="0.25">
      <c r="A2485" s="373">
        <v>29231</v>
      </c>
      <c r="B2485" s="233" t="str">
        <f>VLOOKUP(Table8[[#This Row],[Document ID]],Table1[],2,FALSE)</f>
        <v>VUT</v>
      </c>
      <c r="C2485" s="233" t="str">
        <f>VLOOKUP(Table8[[#This Row],[Document ID]],Table1[],3,FALSE)</f>
        <v>Vanuatu</v>
      </c>
      <c r="D2485" s="243" t="str">
        <f>VLOOKUP(Table8[[#This Row],[Document ID]],Table1[],5,FALSE)</f>
        <v>NDC</v>
      </c>
      <c r="E2485" s="233" t="str">
        <f>VLOOKUP(Table8[[#This Row],[Document ID]],Table1[],7,FALSE)</f>
        <v>First NDC updated</v>
      </c>
      <c r="F2485" s="233" t="str">
        <f>VLOOKUP(Table8[[#This Row],[Document ID]],Table1[],8,FALSE)</f>
        <v>NDC 1.2</v>
      </c>
      <c r="G2485" s="233" t="str">
        <f>VLOOKUP(Table8[[#This Row],[Document ID]],Table1[],10,FALSE)</f>
        <v>Active</v>
      </c>
      <c r="H2485" s="44" t="s">
        <v>2329</v>
      </c>
      <c r="I2485" s="44" t="s">
        <v>2330</v>
      </c>
      <c r="J2485" s="44" t="s">
        <v>2357</v>
      </c>
      <c r="K2485" s="44" t="s">
        <v>2104</v>
      </c>
      <c r="L2485" s="44" t="s">
        <v>2333</v>
      </c>
      <c r="M2485" s="43">
        <v>3</v>
      </c>
      <c r="N2485" s="113" t="s">
        <v>1113</v>
      </c>
      <c r="O2485" s="113"/>
      <c r="P2485" s="113"/>
      <c r="Q2485" s="113"/>
      <c r="R2485" s="113"/>
      <c r="S2485" s="113"/>
      <c r="T2485" s="113"/>
      <c r="U2485" s="113"/>
      <c r="V2485" s="113"/>
      <c r="W2485" s="113"/>
      <c r="X2485" s="113"/>
      <c r="Y2485" s="113"/>
      <c r="Z2485" s="113"/>
      <c r="AA2485" s="113"/>
      <c r="AB2485" s="113"/>
      <c r="AC2485" s="113"/>
      <c r="AD2485" s="113"/>
      <c r="AE2485" s="113"/>
      <c r="AF2485" s="113"/>
      <c r="AG2485" s="113"/>
      <c r="AH2485" s="113"/>
      <c r="AI2485" s="113"/>
      <c r="AJ2485" s="113"/>
      <c r="AK2485" s="319" t="s">
        <v>1113</v>
      </c>
      <c r="AL2485" s="113"/>
      <c r="AM2485" s="113"/>
      <c r="AN2485" s="113"/>
      <c r="AO2485" s="44" t="s">
        <v>2334</v>
      </c>
      <c r="AP2485" s="43"/>
      <c r="AQ2485" s="236" t="str">
        <f>VLOOKUP(Table8[[#This Row],[Instrument]],Def_Targets!$D$73:$E$159,2,FALSE)</f>
        <v>I_Biofuel</v>
      </c>
      <c r="AR2485" s="233" t="str">
        <f>VLOOKUP(Table8[[#This Row],[Country Code]],Table29[],3,FALSE)</f>
        <v>Non-Annex I</v>
      </c>
      <c r="AS2485" s="233" t="str">
        <f>VLOOKUP(Table8[[#This Row],[Country Code]],Table29[],4,FALSE)</f>
        <v>Oceania</v>
      </c>
      <c r="AT2485" s="233" t="str">
        <f>VLOOKUP(Table8[[#This Row],[Country Code]],Table29[],5,FALSE)</f>
        <v>Middle-income</v>
      </c>
      <c r="AU2485" s="233" t="str">
        <f>VLOOKUP(Table8[[#This Row],[Country Code]],Table29[],6,FALSE)</f>
        <v>no</v>
      </c>
      <c r="AV2485" s="233" t="str">
        <f>VLOOKUP(Table8[[#This Row],[Country Code]],Table29[],7,FALSE)</f>
        <v>no</v>
      </c>
      <c r="AW2485" s="233" t="str">
        <f>VLOOKUP(Table8[[#This Row],[Country Code]],Table29[],8,FALSE)</f>
        <v>non-OECD</v>
      </c>
      <c r="AX2485" s="233" t="str">
        <f>VLOOKUP(Table8[[#This Row],[Country Code]],Table29[],9,FALSE)</f>
        <v>no</v>
      </c>
      <c r="AY2485" s="233" t="str">
        <f>VLOOKUP(Table8[[#This Row],[Country Code]],Table29[],10,FALSE)</f>
        <v>no</v>
      </c>
      <c r="AZ2485" s="235">
        <f>VLOOKUP(Table8[[#This Row],[Country Code]],Table29[],23,FALSE)</f>
        <v>0.67021230161326995</v>
      </c>
      <c r="BA2485" s="235">
        <f>VLOOKUP(Table8[[#This Row],[Country Code]],Table29[],24,FALSE)</f>
        <v>0.148941723979749</v>
      </c>
      <c r="BB2485" s="320"/>
      <c r="BC2485" s="320"/>
    </row>
    <row r="2486" spans="1:55" hidden="1" x14ac:dyDescent="0.25">
      <c r="A2486" s="373">
        <v>32518</v>
      </c>
      <c r="B2486" s="233" t="str">
        <f>VLOOKUP(Table8[[#This Row],[Document ID]],Table1[],2,FALSE)</f>
        <v>THA</v>
      </c>
      <c r="C2486" s="233" t="str">
        <f>VLOOKUP(Table8[[#This Row],[Document ID]],Table1[],3,FALSE)</f>
        <v>Thailand</v>
      </c>
      <c r="D2486" s="243" t="str">
        <f>VLOOKUP(Table8[[#This Row],[Document ID]],Table1[],5,FALSE)</f>
        <v>LTS</v>
      </c>
      <c r="E2486" s="233" t="str">
        <f>VLOOKUP(Table8[[#This Row],[Document ID]],Table1[],7,FALSE)</f>
        <v>LTS</v>
      </c>
      <c r="F2486" s="233" t="str">
        <f>VLOOKUP(Table8[[#This Row],[Document ID]],Table1[],8,FALSE)</f>
        <v>LTS 1.1</v>
      </c>
      <c r="G2486" s="233" t="str">
        <f>VLOOKUP(Table8[[#This Row],[Document ID]],Table1[],10,FALSE)</f>
        <v>Active</v>
      </c>
      <c r="H2486" s="44" t="s">
        <v>2329</v>
      </c>
      <c r="I2486" s="44" t="s">
        <v>2330</v>
      </c>
      <c r="J2486" s="44" t="s">
        <v>2357</v>
      </c>
      <c r="K2486" s="44" t="s">
        <v>4589</v>
      </c>
      <c r="L2486" s="44" t="s">
        <v>2333</v>
      </c>
      <c r="M2486" s="43">
        <v>26</v>
      </c>
      <c r="N2486" s="113" t="s">
        <v>1113</v>
      </c>
      <c r="O2486" s="113"/>
      <c r="P2486" s="113"/>
      <c r="Q2486" s="113"/>
      <c r="R2486" s="113"/>
      <c r="S2486" s="113"/>
      <c r="T2486" s="113"/>
      <c r="U2486" s="113"/>
      <c r="V2486" s="113"/>
      <c r="W2486" s="113"/>
      <c r="X2486" s="113"/>
      <c r="Y2486" s="113"/>
      <c r="Z2486" s="113"/>
      <c r="AA2486" s="113"/>
      <c r="AB2486" s="113"/>
      <c r="AC2486" s="113"/>
      <c r="AD2486" s="113"/>
      <c r="AE2486" s="113"/>
      <c r="AF2486" s="113"/>
      <c r="AG2486" s="113"/>
      <c r="AH2486" s="113"/>
      <c r="AI2486" s="113"/>
      <c r="AJ2486" s="113"/>
      <c r="AK2486" s="113"/>
      <c r="AL2486" s="113"/>
      <c r="AM2486" s="113"/>
      <c r="AN2486" s="113"/>
      <c r="AO2486" s="44" t="s">
        <v>2334</v>
      </c>
      <c r="AP2486" s="43"/>
      <c r="AQ2486" s="236" t="str">
        <f>VLOOKUP(Table8[[#This Row],[Instrument]],Def_Targets!$D$73:$E$159,2,FALSE)</f>
        <v>I_Biofuel</v>
      </c>
      <c r="AR2486" s="233" t="str">
        <f>VLOOKUP(Table8[[#This Row],[Country Code]],Table29[],3,FALSE)</f>
        <v>Non-Annex I</v>
      </c>
      <c r="AS2486" s="233" t="str">
        <f>VLOOKUP(Table8[[#This Row],[Country Code]],Table29[],4,FALSE)</f>
        <v>Asia</v>
      </c>
      <c r="AT2486" s="233" t="str">
        <f>VLOOKUP(Table8[[#This Row],[Country Code]],Table29[],5,FALSE)</f>
        <v>Middle-income</v>
      </c>
      <c r="AU2486" s="233" t="str">
        <f>VLOOKUP(Table8[[#This Row],[Country Code]],Table29[],6,FALSE)</f>
        <v>no</v>
      </c>
      <c r="AV2486" s="233" t="str">
        <f>VLOOKUP(Table8[[#This Row],[Country Code]],Table29[],7,FALSE)</f>
        <v>no</v>
      </c>
      <c r="AW2486" s="233" t="str">
        <f>VLOOKUP(Table8[[#This Row],[Country Code]],Table29[],8,FALSE)</f>
        <v>non-OECD</v>
      </c>
      <c r="AX2486" s="233" t="str">
        <f>VLOOKUP(Table8[[#This Row],[Country Code]],Table29[],9,FALSE)</f>
        <v>no</v>
      </c>
      <c r="AY2486" s="233" t="str">
        <f>VLOOKUP(Table8[[#This Row],[Country Code]],Table29[],10,FALSE)</f>
        <v>no</v>
      </c>
      <c r="AZ2486" s="235">
        <f>VLOOKUP(Table8[[#This Row],[Country Code]],Table29[],23,FALSE)</f>
        <v>440.78301465571002</v>
      </c>
      <c r="BA2486" s="235">
        <f>VLOOKUP(Table8[[#This Row],[Country Code]],Table29[],24,FALSE)</f>
        <v>81.217527676047013</v>
      </c>
      <c r="BB2486" s="320"/>
      <c r="BC2486" s="320"/>
    </row>
    <row r="2487" spans="1:55" hidden="1" x14ac:dyDescent="0.25">
      <c r="A2487" s="373">
        <v>32518</v>
      </c>
      <c r="B2487" s="233" t="str">
        <f>VLOOKUP(Table8[[#This Row],[Document ID]],Table1[],2,FALSE)</f>
        <v>THA</v>
      </c>
      <c r="C2487" s="233" t="str">
        <f>VLOOKUP(Table8[[#This Row],[Document ID]],Table1[],3,FALSE)</f>
        <v>Thailand</v>
      </c>
      <c r="D2487" s="243" t="str">
        <f>VLOOKUP(Table8[[#This Row],[Document ID]],Table1[],5,FALSE)</f>
        <v>LTS</v>
      </c>
      <c r="E2487" s="233" t="str">
        <f>VLOOKUP(Table8[[#This Row],[Document ID]],Table1[],7,FALSE)</f>
        <v>LTS</v>
      </c>
      <c r="F2487" s="233" t="str">
        <f>VLOOKUP(Table8[[#This Row],[Document ID]],Table1[],8,FALSE)</f>
        <v>LTS 1.1</v>
      </c>
      <c r="G2487" s="233" t="str">
        <f>VLOOKUP(Table8[[#This Row],[Document ID]],Table1[],10,FALSE)</f>
        <v>Active</v>
      </c>
      <c r="H2487" s="43" t="s">
        <v>2343</v>
      </c>
      <c r="I2487" s="43" t="s">
        <v>2386</v>
      </c>
      <c r="J2487" s="44" t="s">
        <v>2515</v>
      </c>
      <c r="K2487" s="44" t="s">
        <v>4590</v>
      </c>
      <c r="L2487" s="44" t="s">
        <v>2333</v>
      </c>
      <c r="M2487" s="43">
        <v>26</v>
      </c>
      <c r="N2487" s="113" t="s">
        <v>1113</v>
      </c>
      <c r="O2487" s="113"/>
      <c r="P2487" s="113"/>
      <c r="Q2487" s="113"/>
      <c r="R2487" s="113"/>
      <c r="S2487" s="113"/>
      <c r="T2487" s="113"/>
      <c r="U2487" s="113"/>
      <c r="V2487" s="113"/>
      <c r="W2487" s="113"/>
      <c r="X2487" s="113"/>
      <c r="Y2487" s="113"/>
      <c r="Z2487" s="113"/>
      <c r="AA2487" s="113"/>
      <c r="AB2487" s="113"/>
      <c r="AC2487" s="113"/>
      <c r="AD2487" s="113"/>
      <c r="AE2487" s="113"/>
      <c r="AF2487" s="113"/>
      <c r="AG2487" s="113"/>
      <c r="AH2487" s="113"/>
      <c r="AI2487" s="113"/>
      <c r="AJ2487" s="113"/>
      <c r="AK2487" s="113"/>
      <c r="AL2487" s="113"/>
      <c r="AM2487" s="113"/>
      <c r="AN2487" s="113"/>
      <c r="AO2487" s="44" t="s">
        <v>2334</v>
      </c>
      <c r="AP2487" s="43"/>
      <c r="AQ2487" s="236" t="str">
        <f>VLOOKUP(Table8[[#This Row],[Instrument]],Def_Targets!$D$73:$E$159,2,FALSE)</f>
        <v>A_Fossilfuelsubs</v>
      </c>
      <c r="AR2487" s="233" t="str">
        <f>VLOOKUP(Table8[[#This Row],[Country Code]],Table29[],3,FALSE)</f>
        <v>Non-Annex I</v>
      </c>
      <c r="AS2487" s="233" t="str">
        <f>VLOOKUP(Table8[[#This Row],[Country Code]],Table29[],4,FALSE)</f>
        <v>Asia</v>
      </c>
      <c r="AT2487" s="233" t="str">
        <f>VLOOKUP(Table8[[#This Row],[Country Code]],Table29[],5,FALSE)</f>
        <v>Middle-income</v>
      </c>
      <c r="AU2487" s="233" t="str">
        <f>VLOOKUP(Table8[[#This Row],[Country Code]],Table29[],6,FALSE)</f>
        <v>no</v>
      </c>
      <c r="AV2487" s="233" t="str">
        <f>VLOOKUP(Table8[[#This Row],[Country Code]],Table29[],7,FALSE)</f>
        <v>no</v>
      </c>
      <c r="AW2487" s="233" t="str">
        <f>VLOOKUP(Table8[[#This Row],[Country Code]],Table29[],8,FALSE)</f>
        <v>non-OECD</v>
      </c>
      <c r="AX2487" s="233" t="str">
        <f>VLOOKUP(Table8[[#This Row],[Country Code]],Table29[],9,FALSE)</f>
        <v>no</v>
      </c>
      <c r="AY2487" s="233" t="str">
        <f>VLOOKUP(Table8[[#This Row],[Country Code]],Table29[],10,FALSE)</f>
        <v>no</v>
      </c>
      <c r="AZ2487" s="235">
        <f>VLOOKUP(Table8[[#This Row],[Country Code]],Table29[],23,FALSE)</f>
        <v>440.78301465571002</v>
      </c>
      <c r="BA2487" s="235">
        <f>VLOOKUP(Table8[[#This Row],[Country Code]],Table29[],24,FALSE)</f>
        <v>81.217527676047013</v>
      </c>
      <c r="BB2487" s="320"/>
      <c r="BC2487" s="320"/>
    </row>
    <row r="2488" spans="1:55" hidden="1" x14ac:dyDescent="0.25">
      <c r="A2488" s="373">
        <v>32518</v>
      </c>
      <c r="B2488" s="233" t="str">
        <f>VLOOKUP(Table8[[#This Row],[Document ID]],Table1[],2,FALSE)</f>
        <v>THA</v>
      </c>
      <c r="C2488" s="233" t="str">
        <f>VLOOKUP(Table8[[#This Row],[Document ID]],Table1[],3,FALSE)</f>
        <v>Thailand</v>
      </c>
      <c r="D2488" s="243" t="str">
        <f>VLOOKUP(Table8[[#This Row],[Document ID]],Table1[],5,FALSE)</f>
        <v>LTS</v>
      </c>
      <c r="E2488" s="233" t="str">
        <f>VLOOKUP(Table8[[#This Row],[Document ID]],Table1[],7,FALSE)</f>
        <v>LTS</v>
      </c>
      <c r="F2488" s="233" t="str">
        <f>VLOOKUP(Table8[[#This Row],[Document ID]],Table1[],8,FALSE)</f>
        <v>LTS 1.1</v>
      </c>
      <c r="G2488" s="233" t="str">
        <f>VLOOKUP(Table8[[#This Row],[Document ID]],Table1[],10,FALSE)</f>
        <v>Active</v>
      </c>
      <c r="H2488" s="43" t="s">
        <v>2350</v>
      </c>
      <c r="I2488" s="43" t="s">
        <v>2407</v>
      </c>
      <c r="J2488" s="44" t="s">
        <v>2408</v>
      </c>
      <c r="K2488" s="44" t="s">
        <v>4591</v>
      </c>
      <c r="L2488" s="44" t="s">
        <v>2333</v>
      </c>
      <c r="M2488" s="43">
        <v>26</v>
      </c>
      <c r="N2488" s="113" t="s">
        <v>1113</v>
      </c>
      <c r="O2488" s="113"/>
      <c r="P2488" s="113"/>
      <c r="Q2488" s="113"/>
      <c r="R2488" s="113"/>
      <c r="S2488" s="113"/>
      <c r="T2488" s="113"/>
      <c r="U2488" s="113"/>
      <c r="V2488" s="113"/>
      <c r="W2488" s="113"/>
      <c r="X2488" s="113"/>
      <c r="Y2488" s="113"/>
      <c r="Z2488" s="113"/>
      <c r="AA2488" s="113"/>
      <c r="AB2488" s="113"/>
      <c r="AC2488" s="113"/>
      <c r="AD2488" s="113"/>
      <c r="AE2488" s="113"/>
      <c r="AF2488" s="113"/>
      <c r="AG2488" s="113"/>
      <c r="AH2488" s="113"/>
      <c r="AI2488" s="113"/>
      <c r="AJ2488" s="113"/>
      <c r="AK2488" s="113"/>
      <c r="AL2488" s="113"/>
      <c r="AM2488" s="113"/>
      <c r="AN2488" s="113"/>
      <c r="AO2488" s="44" t="s">
        <v>2334</v>
      </c>
      <c r="AP2488" s="43"/>
      <c r="AQ2488" s="236" t="str">
        <f>VLOOKUP(Table8[[#This Row],[Instrument]],Def_Targets!$D$73:$E$159,2,FALSE)</f>
        <v>I_Education</v>
      </c>
      <c r="AR2488" s="233" t="str">
        <f>VLOOKUP(Table8[[#This Row],[Country Code]],Table29[],3,FALSE)</f>
        <v>Non-Annex I</v>
      </c>
      <c r="AS2488" s="233" t="str">
        <f>VLOOKUP(Table8[[#This Row],[Country Code]],Table29[],4,FALSE)</f>
        <v>Asia</v>
      </c>
      <c r="AT2488" s="233" t="str">
        <f>VLOOKUP(Table8[[#This Row],[Country Code]],Table29[],5,FALSE)</f>
        <v>Middle-income</v>
      </c>
      <c r="AU2488" s="233" t="str">
        <f>VLOOKUP(Table8[[#This Row],[Country Code]],Table29[],6,FALSE)</f>
        <v>no</v>
      </c>
      <c r="AV2488" s="233" t="str">
        <f>VLOOKUP(Table8[[#This Row],[Country Code]],Table29[],7,FALSE)</f>
        <v>no</v>
      </c>
      <c r="AW2488" s="233" t="str">
        <f>VLOOKUP(Table8[[#This Row],[Country Code]],Table29[],8,FALSE)</f>
        <v>non-OECD</v>
      </c>
      <c r="AX2488" s="233" t="str">
        <f>VLOOKUP(Table8[[#This Row],[Country Code]],Table29[],9,FALSE)</f>
        <v>no</v>
      </c>
      <c r="AY2488" s="233" t="str">
        <f>VLOOKUP(Table8[[#This Row],[Country Code]],Table29[],10,FALSE)</f>
        <v>no</v>
      </c>
      <c r="AZ2488" s="235">
        <f>VLOOKUP(Table8[[#This Row],[Country Code]],Table29[],23,FALSE)</f>
        <v>440.78301465571002</v>
      </c>
      <c r="BA2488" s="235">
        <f>VLOOKUP(Table8[[#This Row],[Country Code]],Table29[],24,FALSE)</f>
        <v>81.217527676047013</v>
      </c>
      <c r="BB2488" s="320"/>
      <c r="BC2488" s="320"/>
    </row>
    <row r="2489" spans="1:55" hidden="1" x14ac:dyDescent="0.25">
      <c r="A2489" s="373">
        <v>32518</v>
      </c>
      <c r="B2489" s="233" t="str">
        <f>VLOOKUP(Table8[[#This Row],[Document ID]],Table1[],2,FALSE)</f>
        <v>THA</v>
      </c>
      <c r="C2489" s="233" t="str">
        <f>VLOOKUP(Table8[[#This Row],[Document ID]],Table1[],3,FALSE)</f>
        <v>Thailand</v>
      </c>
      <c r="D2489" s="243" t="str">
        <f>VLOOKUP(Table8[[#This Row],[Document ID]],Table1[],5,FALSE)</f>
        <v>LTS</v>
      </c>
      <c r="E2489" s="233" t="str">
        <f>VLOOKUP(Table8[[#This Row],[Document ID]],Table1[],7,FALSE)</f>
        <v>LTS</v>
      </c>
      <c r="F2489" s="233" t="str">
        <f>VLOOKUP(Table8[[#This Row],[Document ID]],Table1[],8,FALSE)</f>
        <v>LTS 1.1</v>
      </c>
      <c r="G2489" s="233" t="str">
        <f>VLOOKUP(Table8[[#This Row],[Document ID]],Table1[],10,FALSE)</f>
        <v>Active</v>
      </c>
      <c r="H2489" s="43" t="s">
        <v>2350</v>
      </c>
      <c r="I2489" s="43" t="s">
        <v>2456</v>
      </c>
      <c r="J2489" s="44" t="s">
        <v>2457</v>
      </c>
      <c r="K2489" s="44" t="s">
        <v>4592</v>
      </c>
      <c r="L2489" s="44" t="s">
        <v>2333</v>
      </c>
      <c r="M2489" s="43">
        <v>26</v>
      </c>
      <c r="N2489" s="113" t="s">
        <v>1113</v>
      </c>
      <c r="O2489" s="113"/>
      <c r="P2489" s="113"/>
      <c r="Q2489" s="113"/>
      <c r="R2489" s="113"/>
      <c r="S2489" s="113"/>
      <c r="T2489" s="113"/>
      <c r="U2489" s="113"/>
      <c r="V2489" s="113"/>
      <c r="W2489" s="113"/>
      <c r="X2489" s="113"/>
      <c r="Y2489" s="113"/>
      <c r="Z2489" s="113"/>
      <c r="AA2489" s="113"/>
      <c r="AB2489" s="113"/>
      <c r="AC2489" s="113"/>
      <c r="AD2489" s="113"/>
      <c r="AE2489" s="113"/>
      <c r="AF2489" s="113"/>
      <c r="AG2489" s="113"/>
      <c r="AH2489" s="113"/>
      <c r="AI2489" s="113"/>
      <c r="AJ2489" s="113"/>
      <c r="AK2489" s="113"/>
      <c r="AL2489" s="113"/>
      <c r="AM2489" s="113"/>
      <c r="AN2489" s="113"/>
      <c r="AO2489" s="44" t="s">
        <v>2334</v>
      </c>
      <c r="AP2489" s="43"/>
      <c r="AQ2489" s="236" t="str">
        <f>VLOOKUP(Table8[[#This Row],[Instrument]],Def_Targets!$D$73:$E$159,2,FALSE)</f>
        <v>S_Infraimprove</v>
      </c>
      <c r="AR2489" s="233" t="str">
        <f>VLOOKUP(Table8[[#This Row],[Country Code]],Table29[],3,FALSE)</f>
        <v>Non-Annex I</v>
      </c>
      <c r="AS2489" s="233" t="str">
        <f>VLOOKUP(Table8[[#This Row],[Country Code]],Table29[],4,FALSE)</f>
        <v>Asia</v>
      </c>
      <c r="AT2489" s="233" t="str">
        <f>VLOOKUP(Table8[[#This Row],[Country Code]],Table29[],5,FALSE)</f>
        <v>Middle-income</v>
      </c>
      <c r="AU2489" s="233" t="str">
        <f>VLOOKUP(Table8[[#This Row],[Country Code]],Table29[],6,FALSE)</f>
        <v>no</v>
      </c>
      <c r="AV2489" s="233" t="str">
        <f>VLOOKUP(Table8[[#This Row],[Country Code]],Table29[],7,FALSE)</f>
        <v>no</v>
      </c>
      <c r="AW2489" s="233" t="str">
        <f>VLOOKUP(Table8[[#This Row],[Country Code]],Table29[],8,FALSE)</f>
        <v>non-OECD</v>
      </c>
      <c r="AX2489" s="233" t="str">
        <f>VLOOKUP(Table8[[#This Row],[Country Code]],Table29[],9,FALSE)</f>
        <v>no</v>
      </c>
      <c r="AY2489" s="233" t="str">
        <f>VLOOKUP(Table8[[#This Row],[Country Code]],Table29[],10,FALSE)</f>
        <v>no</v>
      </c>
      <c r="AZ2489" s="235">
        <f>VLOOKUP(Table8[[#This Row],[Country Code]],Table29[],23,FALSE)</f>
        <v>440.78301465571002</v>
      </c>
      <c r="BA2489" s="235">
        <f>VLOOKUP(Table8[[#This Row],[Country Code]],Table29[],24,FALSE)</f>
        <v>81.217527676047013</v>
      </c>
      <c r="BB2489" s="320"/>
      <c r="BC2489" s="320"/>
    </row>
    <row r="2490" spans="1:55" ht="75" hidden="1" x14ac:dyDescent="0.25">
      <c r="A2490" s="373">
        <v>24787</v>
      </c>
      <c r="B2490" s="233" t="str">
        <f>VLOOKUP(Table8[[#This Row],[Document ID]],Table1[],2,FALSE)</f>
        <v>VEN</v>
      </c>
      <c r="C2490" s="233" t="str">
        <f>VLOOKUP(Table8[[#This Row],[Document ID]],Table1[],3,FALSE)</f>
        <v>Venezuela, Bolivarian Republic of</v>
      </c>
      <c r="D2490" s="243" t="str">
        <f>VLOOKUP(Table8[[#This Row],[Document ID]],Table1[],5,FALSE)</f>
        <v>NDC</v>
      </c>
      <c r="E2490" s="233" t="str">
        <f>VLOOKUP(Table8[[#This Row],[Document ID]],Table1[],7,FALSE)</f>
        <v>First NDC updated</v>
      </c>
      <c r="F2490" s="233" t="str">
        <f>VLOOKUP(Table8[[#This Row],[Document ID]],Table1[],8,FALSE)</f>
        <v>NDC 1.1</v>
      </c>
      <c r="G2490" s="233" t="str">
        <f>VLOOKUP(Table8[[#This Row],[Document ID]],Table1[],10,FALSE)</f>
        <v>Active</v>
      </c>
      <c r="H2490" s="43" t="s">
        <v>2343</v>
      </c>
      <c r="I2490" s="43" t="s">
        <v>2344</v>
      </c>
      <c r="J2490" s="44" t="s">
        <v>2345</v>
      </c>
      <c r="K2490" s="44" t="s">
        <v>4593</v>
      </c>
      <c r="L2490" s="44" t="s">
        <v>2333</v>
      </c>
      <c r="M2490" s="43">
        <v>58</v>
      </c>
      <c r="N2490" s="113" t="s">
        <v>1113</v>
      </c>
      <c r="O2490" s="113"/>
      <c r="P2490" s="113"/>
      <c r="Q2490" s="113"/>
      <c r="R2490" s="113"/>
      <c r="S2490" s="113"/>
      <c r="T2490" s="113"/>
      <c r="U2490" s="113"/>
      <c r="V2490" s="113"/>
      <c r="W2490" s="113"/>
      <c r="X2490" s="113"/>
      <c r="Y2490" s="113"/>
      <c r="Z2490" s="113"/>
      <c r="AA2490" s="113"/>
      <c r="AB2490" s="113"/>
      <c r="AC2490" s="113"/>
      <c r="AD2490" s="113"/>
      <c r="AE2490" s="113"/>
      <c r="AF2490" s="113"/>
      <c r="AG2490" s="113"/>
      <c r="AH2490" s="113"/>
      <c r="AI2490" s="113"/>
      <c r="AJ2490" s="113"/>
      <c r="AK2490" s="113" t="s">
        <v>1113</v>
      </c>
      <c r="AL2490" s="113"/>
      <c r="AM2490" s="113"/>
      <c r="AN2490" s="113"/>
      <c r="AO2490" s="43" t="s">
        <v>2348</v>
      </c>
      <c r="AP2490" s="43"/>
      <c r="AQ2490" s="236" t="str">
        <f>VLOOKUP(Table8[[#This Row],[Instrument]],Def_Targets!$D$73:$E$159,2,FALSE)</f>
        <v>S_PublicTransport</v>
      </c>
      <c r="AR2490" s="233" t="str">
        <f>VLOOKUP(Table8[[#This Row],[Country Code]],Table29[],3,FALSE)</f>
        <v>Non-Annex I</v>
      </c>
      <c r="AS2490" s="233" t="str">
        <f>VLOOKUP(Table8[[#This Row],[Country Code]],Table29[],4,FALSE)</f>
        <v>Latin America and the Caribbean</v>
      </c>
      <c r="AT2490" s="233" t="str">
        <f>VLOOKUP(Table8[[#This Row],[Country Code]],Table29[],5,FALSE)</f>
        <v>Middle-income</v>
      </c>
      <c r="AU2490" s="233" t="str">
        <f>VLOOKUP(Table8[[#This Row],[Country Code]],Table29[],6,FALSE)</f>
        <v>no</v>
      </c>
      <c r="AV2490" s="233" t="str">
        <f>VLOOKUP(Table8[[#This Row],[Country Code]],Table29[],7,FALSE)</f>
        <v>no</v>
      </c>
      <c r="AW2490" s="233" t="str">
        <f>VLOOKUP(Table8[[#This Row],[Country Code]],Table29[],8,FALSE)</f>
        <v>non-OECD</v>
      </c>
      <c r="AX2490" s="233" t="str">
        <f>VLOOKUP(Table8[[#This Row],[Country Code]],Table29[],9,FALSE)</f>
        <v>no</v>
      </c>
      <c r="AY2490" s="233" t="str">
        <f>VLOOKUP(Table8[[#This Row],[Country Code]],Table29[],10,FALSE)</f>
        <v>no</v>
      </c>
      <c r="AZ2490" s="235">
        <f>VLOOKUP(Table8[[#This Row],[Country Code]],Table29[],23,FALSE)</f>
        <v>152.38992311311</v>
      </c>
      <c r="BA2490" s="235">
        <f>VLOOKUP(Table8[[#This Row],[Country Code]],Table29[],24,FALSE)</f>
        <v>17.908504980816488</v>
      </c>
      <c r="BB2490" s="320"/>
      <c r="BC2490" s="320"/>
    </row>
    <row r="2491" spans="1:55" ht="30" hidden="1" x14ac:dyDescent="0.25">
      <c r="A2491" s="373">
        <v>24787</v>
      </c>
      <c r="B2491" s="233" t="str">
        <f>VLOOKUP(Table8[[#This Row],[Document ID]],Table1[],2,FALSE)</f>
        <v>VEN</v>
      </c>
      <c r="C2491" s="233" t="str">
        <f>VLOOKUP(Table8[[#This Row],[Document ID]],Table1[],3,FALSE)</f>
        <v>Venezuela, Bolivarian Republic of</v>
      </c>
      <c r="D2491" s="243" t="str">
        <f>VLOOKUP(Table8[[#This Row],[Document ID]],Table1[],5,FALSE)</f>
        <v>NDC</v>
      </c>
      <c r="E2491" s="233" t="str">
        <f>VLOOKUP(Table8[[#This Row],[Document ID]],Table1[],7,FALSE)</f>
        <v>First NDC updated</v>
      </c>
      <c r="F2491" s="233" t="str">
        <f>VLOOKUP(Table8[[#This Row],[Document ID]],Table1[],8,FALSE)</f>
        <v>NDC 1.1</v>
      </c>
      <c r="G2491" s="233" t="str">
        <f>VLOOKUP(Table8[[#This Row],[Document ID]],Table1[],10,FALSE)</f>
        <v>Active</v>
      </c>
      <c r="H2491" s="44" t="s">
        <v>2338</v>
      </c>
      <c r="I2491" s="44" t="s">
        <v>2339</v>
      </c>
      <c r="J2491" s="44" t="s">
        <v>2425</v>
      </c>
      <c r="K2491" s="44" t="s">
        <v>4594</v>
      </c>
      <c r="L2491" s="44" t="s">
        <v>2333</v>
      </c>
      <c r="M2491" s="43">
        <v>61</v>
      </c>
      <c r="N2491" s="113"/>
      <c r="O2491" s="113"/>
      <c r="P2491" s="113"/>
      <c r="Q2491" s="113"/>
      <c r="R2491" s="113"/>
      <c r="S2491" s="113"/>
      <c r="T2491" s="113"/>
      <c r="U2491" s="113"/>
      <c r="V2491" s="113"/>
      <c r="W2491" s="113"/>
      <c r="X2491" s="113"/>
      <c r="Y2491" s="113" t="s">
        <v>1113</v>
      </c>
      <c r="Z2491" s="113"/>
      <c r="AA2491" s="113"/>
      <c r="AB2491" s="113"/>
      <c r="AC2491" s="113"/>
      <c r="AD2491" s="113"/>
      <c r="AE2491" s="113"/>
      <c r="AF2491" s="113"/>
      <c r="AG2491" s="113"/>
      <c r="AH2491" s="113"/>
      <c r="AI2491" s="113"/>
      <c r="AJ2491" s="113"/>
      <c r="AK2491" s="113" t="s">
        <v>1113</v>
      </c>
      <c r="AL2491" s="113"/>
      <c r="AM2491" s="113"/>
      <c r="AN2491" s="113"/>
      <c r="AO2491" s="44" t="s">
        <v>2334</v>
      </c>
      <c r="AP2491" s="43"/>
      <c r="AQ2491" s="236" t="str">
        <f>VLOOKUP(Table8[[#This Row],[Instrument]],Def_Targets!$D$73:$E$159,2,FALSE)</f>
        <v>I_Efficiencystd</v>
      </c>
      <c r="AR2491" s="233" t="str">
        <f>VLOOKUP(Table8[[#This Row],[Country Code]],Table29[],3,FALSE)</f>
        <v>Non-Annex I</v>
      </c>
      <c r="AS2491" s="233" t="str">
        <f>VLOOKUP(Table8[[#This Row],[Country Code]],Table29[],4,FALSE)</f>
        <v>Latin America and the Caribbean</v>
      </c>
      <c r="AT2491" s="233" t="str">
        <f>VLOOKUP(Table8[[#This Row],[Country Code]],Table29[],5,FALSE)</f>
        <v>Middle-income</v>
      </c>
      <c r="AU2491" s="233" t="str">
        <f>VLOOKUP(Table8[[#This Row],[Country Code]],Table29[],6,FALSE)</f>
        <v>no</v>
      </c>
      <c r="AV2491" s="233" t="str">
        <f>VLOOKUP(Table8[[#This Row],[Country Code]],Table29[],7,FALSE)</f>
        <v>no</v>
      </c>
      <c r="AW2491" s="233" t="str">
        <f>VLOOKUP(Table8[[#This Row],[Country Code]],Table29[],8,FALSE)</f>
        <v>non-OECD</v>
      </c>
      <c r="AX2491" s="233" t="str">
        <f>VLOOKUP(Table8[[#This Row],[Country Code]],Table29[],9,FALSE)</f>
        <v>no</v>
      </c>
      <c r="AY2491" s="233" t="str">
        <f>VLOOKUP(Table8[[#This Row],[Country Code]],Table29[],10,FALSE)</f>
        <v>no</v>
      </c>
      <c r="AZ2491" s="235">
        <f>VLOOKUP(Table8[[#This Row],[Country Code]],Table29[],23,FALSE)</f>
        <v>152.38992311311</v>
      </c>
      <c r="BA2491" s="235">
        <f>VLOOKUP(Table8[[#This Row],[Country Code]],Table29[],24,FALSE)</f>
        <v>17.908504980816488</v>
      </c>
      <c r="BB2491" s="320"/>
      <c r="BC2491" s="320"/>
    </row>
    <row r="2492" spans="1:55" ht="30" hidden="1" x14ac:dyDescent="0.25">
      <c r="A2492" s="373">
        <v>24787</v>
      </c>
      <c r="B2492" s="233" t="str">
        <f>VLOOKUP(Table8[[#This Row],[Document ID]],Table1[],2,FALSE)</f>
        <v>VEN</v>
      </c>
      <c r="C2492" s="233" t="str">
        <f>VLOOKUP(Table8[[#This Row],[Document ID]],Table1[],3,FALSE)</f>
        <v>Venezuela, Bolivarian Republic of</v>
      </c>
      <c r="D2492" s="243" t="str">
        <f>VLOOKUP(Table8[[#This Row],[Document ID]],Table1[],5,FALSE)</f>
        <v>NDC</v>
      </c>
      <c r="E2492" s="233" t="str">
        <f>VLOOKUP(Table8[[#This Row],[Document ID]],Table1[],7,FALSE)</f>
        <v>First NDC updated</v>
      </c>
      <c r="F2492" s="233" t="str">
        <f>VLOOKUP(Table8[[#This Row],[Document ID]],Table1[],8,FALSE)</f>
        <v>NDC 1.1</v>
      </c>
      <c r="G2492" s="233" t="str">
        <f>VLOOKUP(Table8[[#This Row],[Document ID]],Table1[],10,FALSE)</f>
        <v>Active</v>
      </c>
      <c r="H2492" s="44" t="s">
        <v>2338</v>
      </c>
      <c r="I2492" s="44" t="s">
        <v>2339</v>
      </c>
      <c r="J2492" s="44" t="s">
        <v>2425</v>
      </c>
      <c r="K2492" s="44" t="s">
        <v>4595</v>
      </c>
      <c r="L2492" s="44" t="s">
        <v>2333</v>
      </c>
      <c r="M2492" s="43">
        <v>62</v>
      </c>
      <c r="N2492" s="113" t="s">
        <v>1113</v>
      </c>
      <c r="O2492" s="113"/>
      <c r="P2492" s="113"/>
      <c r="Q2492" s="113"/>
      <c r="R2492" s="113"/>
      <c r="S2492" s="113"/>
      <c r="T2492" s="113"/>
      <c r="U2492" s="113"/>
      <c r="V2492" s="113"/>
      <c r="W2492" s="113"/>
      <c r="X2492" s="113"/>
      <c r="Y2492" s="113"/>
      <c r="Z2492" s="113"/>
      <c r="AA2492" s="113"/>
      <c r="AB2492" s="113"/>
      <c r="AC2492" s="113"/>
      <c r="AD2492" s="113"/>
      <c r="AE2492" s="113"/>
      <c r="AF2492" s="113"/>
      <c r="AG2492" s="113"/>
      <c r="AH2492" s="113"/>
      <c r="AI2492" s="113"/>
      <c r="AJ2492" s="113"/>
      <c r="AK2492" s="113" t="s">
        <v>1113</v>
      </c>
      <c r="AL2492" s="113"/>
      <c r="AM2492" s="113"/>
      <c r="AN2492" s="113"/>
      <c r="AO2492" s="44" t="s">
        <v>2334</v>
      </c>
      <c r="AP2492" s="43"/>
      <c r="AQ2492" s="236" t="str">
        <f>VLOOKUP(Table8[[#This Row],[Instrument]],Def_Targets!$D$73:$E$159,2,FALSE)</f>
        <v>I_Efficiencystd</v>
      </c>
      <c r="AR2492" s="233" t="str">
        <f>VLOOKUP(Table8[[#This Row],[Country Code]],Table29[],3,FALSE)</f>
        <v>Non-Annex I</v>
      </c>
      <c r="AS2492" s="233" t="str">
        <f>VLOOKUP(Table8[[#This Row],[Country Code]],Table29[],4,FALSE)</f>
        <v>Latin America and the Caribbean</v>
      </c>
      <c r="AT2492" s="233" t="str">
        <f>VLOOKUP(Table8[[#This Row],[Country Code]],Table29[],5,FALSE)</f>
        <v>Middle-income</v>
      </c>
      <c r="AU2492" s="233" t="str">
        <f>VLOOKUP(Table8[[#This Row],[Country Code]],Table29[],6,FALSE)</f>
        <v>no</v>
      </c>
      <c r="AV2492" s="233" t="str">
        <f>VLOOKUP(Table8[[#This Row],[Country Code]],Table29[],7,FALSE)</f>
        <v>no</v>
      </c>
      <c r="AW2492" s="233" t="str">
        <f>VLOOKUP(Table8[[#This Row],[Country Code]],Table29[],8,FALSE)</f>
        <v>non-OECD</v>
      </c>
      <c r="AX2492" s="233" t="str">
        <f>VLOOKUP(Table8[[#This Row],[Country Code]],Table29[],9,FALSE)</f>
        <v>no</v>
      </c>
      <c r="AY2492" s="233" t="str">
        <f>VLOOKUP(Table8[[#This Row],[Country Code]],Table29[],10,FALSE)</f>
        <v>no</v>
      </c>
      <c r="AZ2492" s="235">
        <f>VLOOKUP(Table8[[#This Row],[Country Code]],Table29[],23,FALSE)</f>
        <v>152.38992311311</v>
      </c>
      <c r="BA2492" s="235">
        <f>VLOOKUP(Table8[[#This Row],[Country Code]],Table29[],24,FALSE)</f>
        <v>17.908504980816488</v>
      </c>
      <c r="BB2492" s="320"/>
      <c r="BC2492" s="320"/>
    </row>
    <row r="2493" spans="1:55" ht="30" hidden="1" x14ac:dyDescent="0.25">
      <c r="A2493" s="373">
        <v>24787</v>
      </c>
      <c r="B2493" s="233" t="str">
        <f>VLOOKUP(Table8[[#This Row],[Document ID]],Table1[],2,FALSE)</f>
        <v>VEN</v>
      </c>
      <c r="C2493" s="233" t="str">
        <f>VLOOKUP(Table8[[#This Row],[Document ID]],Table1[],3,FALSE)</f>
        <v>Venezuela, Bolivarian Republic of</v>
      </c>
      <c r="D2493" s="243" t="str">
        <f>VLOOKUP(Table8[[#This Row],[Document ID]],Table1[],5,FALSE)</f>
        <v>NDC</v>
      </c>
      <c r="E2493" s="233" t="str">
        <f>VLOOKUP(Table8[[#This Row],[Document ID]],Table1[],7,FALSE)</f>
        <v>First NDC updated</v>
      </c>
      <c r="F2493" s="233" t="str">
        <f>VLOOKUP(Table8[[#This Row],[Document ID]],Table1[],8,FALSE)</f>
        <v>NDC 1.1</v>
      </c>
      <c r="G2493" s="233" t="str">
        <f>VLOOKUP(Table8[[#This Row],[Document ID]],Table1[],10,FALSE)</f>
        <v>Active</v>
      </c>
      <c r="H2493" s="44" t="s">
        <v>2329</v>
      </c>
      <c r="I2493" s="44" t="s">
        <v>2330</v>
      </c>
      <c r="J2493" s="44" t="s">
        <v>2363</v>
      </c>
      <c r="K2493" s="44" t="s">
        <v>4596</v>
      </c>
      <c r="L2493" s="44" t="s">
        <v>2333</v>
      </c>
      <c r="M2493" s="43">
        <v>63</v>
      </c>
      <c r="N2493" s="113" t="s">
        <v>1113</v>
      </c>
      <c r="O2493" s="113"/>
      <c r="P2493" s="113"/>
      <c r="Q2493" s="113"/>
      <c r="R2493" s="113"/>
      <c r="S2493" s="113"/>
      <c r="T2493" s="113"/>
      <c r="U2493" s="113"/>
      <c r="V2493" s="113"/>
      <c r="W2493" s="113"/>
      <c r="X2493" s="113"/>
      <c r="Y2493" s="113"/>
      <c r="Z2493" s="113"/>
      <c r="AA2493" s="113"/>
      <c r="AB2493" s="113"/>
      <c r="AC2493" s="113"/>
      <c r="AD2493" s="113"/>
      <c r="AE2493" s="113"/>
      <c r="AF2493" s="113"/>
      <c r="AG2493" s="113"/>
      <c r="AH2493" s="113"/>
      <c r="AI2493" s="113"/>
      <c r="AJ2493" s="113"/>
      <c r="AK2493" s="113" t="s">
        <v>1113</v>
      </c>
      <c r="AL2493" s="113"/>
      <c r="AM2493" s="113"/>
      <c r="AN2493" s="113"/>
      <c r="AO2493" s="44" t="s">
        <v>2334</v>
      </c>
      <c r="AP2493" s="43"/>
      <c r="AQ2493" s="236" t="str">
        <f>VLOOKUP(Table8[[#This Row],[Instrument]],Def_Targets!$D$73:$E$159,2,FALSE)</f>
        <v>I_LPGCNGLNG</v>
      </c>
      <c r="AR2493" s="233" t="str">
        <f>VLOOKUP(Table8[[#This Row],[Country Code]],Table29[],3,FALSE)</f>
        <v>Non-Annex I</v>
      </c>
      <c r="AS2493" s="233" t="str">
        <f>VLOOKUP(Table8[[#This Row],[Country Code]],Table29[],4,FALSE)</f>
        <v>Latin America and the Caribbean</v>
      </c>
      <c r="AT2493" s="233" t="str">
        <f>VLOOKUP(Table8[[#This Row],[Country Code]],Table29[],5,FALSE)</f>
        <v>Middle-income</v>
      </c>
      <c r="AU2493" s="233" t="str">
        <f>VLOOKUP(Table8[[#This Row],[Country Code]],Table29[],6,FALSE)</f>
        <v>no</v>
      </c>
      <c r="AV2493" s="233" t="str">
        <f>VLOOKUP(Table8[[#This Row],[Country Code]],Table29[],7,FALSE)</f>
        <v>no</v>
      </c>
      <c r="AW2493" s="233" t="str">
        <f>VLOOKUP(Table8[[#This Row],[Country Code]],Table29[],8,FALSE)</f>
        <v>non-OECD</v>
      </c>
      <c r="AX2493" s="233" t="str">
        <f>VLOOKUP(Table8[[#This Row],[Country Code]],Table29[],9,FALSE)</f>
        <v>no</v>
      </c>
      <c r="AY2493" s="233" t="str">
        <f>VLOOKUP(Table8[[#This Row],[Country Code]],Table29[],10,FALSE)</f>
        <v>no</v>
      </c>
      <c r="AZ2493" s="235">
        <f>VLOOKUP(Table8[[#This Row],[Country Code]],Table29[],23,FALSE)</f>
        <v>152.38992311311</v>
      </c>
      <c r="BA2493" s="235">
        <f>VLOOKUP(Table8[[#This Row],[Country Code]],Table29[],24,FALSE)</f>
        <v>17.908504980816488</v>
      </c>
      <c r="BB2493" s="320"/>
      <c r="BC2493" s="320"/>
    </row>
    <row r="2494" spans="1:55" ht="30" hidden="1" x14ac:dyDescent="0.25">
      <c r="A2494" s="373">
        <v>24787</v>
      </c>
      <c r="B2494" s="233" t="str">
        <f>VLOOKUP(Table8[[#This Row],[Document ID]],Table1[],2,FALSE)</f>
        <v>VEN</v>
      </c>
      <c r="C2494" s="233" t="str">
        <f>VLOOKUP(Table8[[#This Row],[Document ID]],Table1[],3,FALSE)</f>
        <v>Venezuela, Bolivarian Republic of</v>
      </c>
      <c r="D2494" s="243" t="str">
        <f>VLOOKUP(Table8[[#This Row],[Document ID]],Table1[],5,FALSE)</f>
        <v>NDC</v>
      </c>
      <c r="E2494" s="233" t="str">
        <f>VLOOKUP(Table8[[#This Row],[Document ID]],Table1[],7,FALSE)</f>
        <v>First NDC updated</v>
      </c>
      <c r="F2494" s="233" t="str">
        <f>VLOOKUP(Table8[[#This Row],[Document ID]],Table1[],8,FALSE)</f>
        <v>NDC 1.1</v>
      </c>
      <c r="G2494" s="233" t="str">
        <f>VLOOKUP(Table8[[#This Row],[Document ID]],Table1[],10,FALSE)</f>
        <v>Active</v>
      </c>
      <c r="H2494" s="43" t="s">
        <v>2343</v>
      </c>
      <c r="I2494" s="43" t="s">
        <v>2344</v>
      </c>
      <c r="J2494" s="44" t="s">
        <v>2549</v>
      </c>
      <c r="K2494" s="44" t="s">
        <v>4597</v>
      </c>
      <c r="L2494" s="44" t="s">
        <v>2347</v>
      </c>
      <c r="M2494" s="43" t="s">
        <v>4598</v>
      </c>
      <c r="N2494" s="113"/>
      <c r="O2494" s="113"/>
      <c r="P2494" s="113"/>
      <c r="Q2494" s="113"/>
      <c r="R2494" s="113"/>
      <c r="S2494" s="113"/>
      <c r="T2494" s="113"/>
      <c r="U2494" s="113"/>
      <c r="V2494" s="113"/>
      <c r="W2494" s="113"/>
      <c r="X2494" s="113"/>
      <c r="Y2494" s="113" t="s">
        <v>1113</v>
      </c>
      <c r="Z2494" s="113"/>
      <c r="AA2494" s="113"/>
      <c r="AB2494" s="113"/>
      <c r="AC2494" s="113"/>
      <c r="AD2494" s="113"/>
      <c r="AE2494" s="113"/>
      <c r="AF2494" s="113"/>
      <c r="AG2494" s="113"/>
      <c r="AH2494" s="113"/>
      <c r="AI2494" s="113"/>
      <c r="AJ2494" s="113"/>
      <c r="AK2494" s="113"/>
      <c r="AL2494" s="113" t="s">
        <v>1113</v>
      </c>
      <c r="AM2494" s="113"/>
      <c r="AN2494" s="113"/>
      <c r="AO2494" s="43" t="s">
        <v>2348</v>
      </c>
      <c r="AP2494" s="43"/>
      <c r="AQ2494" s="236" t="str">
        <f>VLOOKUP(Table8[[#This Row],[Instrument]],Def_Targets!$D$73:$E$159,2,FALSE)</f>
        <v>S_BRT</v>
      </c>
      <c r="AR2494" s="233" t="str">
        <f>VLOOKUP(Table8[[#This Row],[Country Code]],Table29[],3,FALSE)</f>
        <v>Non-Annex I</v>
      </c>
      <c r="AS2494" s="233" t="str">
        <f>VLOOKUP(Table8[[#This Row],[Country Code]],Table29[],4,FALSE)</f>
        <v>Latin America and the Caribbean</v>
      </c>
      <c r="AT2494" s="233" t="str">
        <f>VLOOKUP(Table8[[#This Row],[Country Code]],Table29[],5,FALSE)</f>
        <v>Middle-income</v>
      </c>
      <c r="AU2494" s="233" t="str">
        <f>VLOOKUP(Table8[[#This Row],[Country Code]],Table29[],6,FALSE)</f>
        <v>no</v>
      </c>
      <c r="AV2494" s="233" t="str">
        <f>VLOOKUP(Table8[[#This Row],[Country Code]],Table29[],7,FALSE)</f>
        <v>no</v>
      </c>
      <c r="AW2494" s="233" t="str">
        <f>VLOOKUP(Table8[[#This Row],[Country Code]],Table29[],8,FALSE)</f>
        <v>non-OECD</v>
      </c>
      <c r="AX2494" s="233" t="str">
        <f>VLOOKUP(Table8[[#This Row],[Country Code]],Table29[],9,FALSE)</f>
        <v>no</v>
      </c>
      <c r="AY2494" s="233" t="str">
        <f>VLOOKUP(Table8[[#This Row],[Country Code]],Table29[],10,FALSE)</f>
        <v>no</v>
      </c>
      <c r="AZ2494" s="235">
        <f>VLOOKUP(Table8[[#This Row],[Country Code]],Table29[],23,FALSE)</f>
        <v>152.38992311311</v>
      </c>
      <c r="BA2494" s="235">
        <f>VLOOKUP(Table8[[#This Row],[Country Code]],Table29[],24,FALSE)</f>
        <v>17.908504980816488</v>
      </c>
      <c r="BB2494" s="320"/>
      <c r="BC2494" s="320"/>
    </row>
    <row r="2495" spans="1:55" ht="45" hidden="1" x14ac:dyDescent="0.25">
      <c r="A2495" s="373">
        <v>24787</v>
      </c>
      <c r="B2495" s="233" t="str">
        <f>VLOOKUP(Table8[[#This Row],[Document ID]],Table1[],2,FALSE)</f>
        <v>VEN</v>
      </c>
      <c r="C2495" s="233" t="str">
        <f>VLOOKUP(Table8[[#This Row],[Document ID]],Table1[],3,FALSE)</f>
        <v>Venezuela, Bolivarian Republic of</v>
      </c>
      <c r="D2495" s="243" t="str">
        <f>VLOOKUP(Table8[[#This Row],[Document ID]],Table1[],5,FALSE)</f>
        <v>NDC</v>
      </c>
      <c r="E2495" s="233" t="str">
        <f>VLOOKUP(Table8[[#This Row],[Document ID]],Table1[],7,FALSE)</f>
        <v>First NDC updated</v>
      </c>
      <c r="F2495" s="233" t="str">
        <f>VLOOKUP(Table8[[#This Row],[Document ID]],Table1[],8,FALSE)</f>
        <v>NDC 1.1</v>
      </c>
      <c r="G2495" s="233" t="str">
        <f>VLOOKUP(Table8[[#This Row],[Document ID]],Table1[],10,FALSE)</f>
        <v>Active</v>
      </c>
      <c r="H2495" s="43" t="s">
        <v>2343</v>
      </c>
      <c r="I2495" s="43" t="s">
        <v>2344</v>
      </c>
      <c r="J2495" s="44" t="s">
        <v>2405</v>
      </c>
      <c r="K2495" s="44" t="s">
        <v>4599</v>
      </c>
      <c r="L2495" s="44" t="s">
        <v>2347</v>
      </c>
      <c r="M2495" s="43">
        <v>65</v>
      </c>
      <c r="N2495" s="113"/>
      <c r="O2495" s="113"/>
      <c r="P2495" s="113"/>
      <c r="Q2495" s="113"/>
      <c r="R2495" s="113"/>
      <c r="S2495" s="113"/>
      <c r="T2495" s="113"/>
      <c r="U2495" s="113"/>
      <c r="V2495" s="113"/>
      <c r="W2495" s="113"/>
      <c r="X2495" s="113"/>
      <c r="Y2495" s="113"/>
      <c r="Z2495" s="113" t="s">
        <v>1113</v>
      </c>
      <c r="AA2495" s="113"/>
      <c r="AB2495" s="113"/>
      <c r="AC2495" s="113" t="s">
        <v>1113</v>
      </c>
      <c r="AD2495" s="113"/>
      <c r="AE2495" s="113"/>
      <c r="AF2495" s="113"/>
      <c r="AG2495" s="113"/>
      <c r="AH2495" s="113"/>
      <c r="AI2495" s="113"/>
      <c r="AJ2495" s="113"/>
      <c r="AK2495" s="113"/>
      <c r="AL2495" s="113" t="s">
        <v>1113</v>
      </c>
      <c r="AM2495" s="113"/>
      <c r="AN2495" s="113"/>
      <c r="AO2495" s="43" t="s">
        <v>2348</v>
      </c>
      <c r="AP2495" s="43"/>
      <c r="AQ2495" s="236" t="str">
        <f>VLOOKUP(Table8[[#This Row],[Instrument]],Def_Targets!$D$73:$E$159,2,FALSE)</f>
        <v>S_PTIntegration</v>
      </c>
      <c r="AR2495" s="233" t="str">
        <f>VLOOKUP(Table8[[#This Row],[Country Code]],Table29[],3,FALSE)</f>
        <v>Non-Annex I</v>
      </c>
      <c r="AS2495" s="233" t="str">
        <f>VLOOKUP(Table8[[#This Row],[Country Code]],Table29[],4,FALSE)</f>
        <v>Latin America and the Caribbean</v>
      </c>
      <c r="AT2495" s="233" t="str">
        <f>VLOOKUP(Table8[[#This Row],[Country Code]],Table29[],5,FALSE)</f>
        <v>Middle-income</v>
      </c>
      <c r="AU2495" s="233" t="str">
        <f>VLOOKUP(Table8[[#This Row],[Country Code]],Table29[],6,FALSE)</f>
        <v>no</v>
      </c>
      <c r="AV2495" s="233" t="str">
        <f>VLOOKUP(Table8[[#This Row],[Country Code]],Table29[],7,FALSE)</f>
        <v>no</v>
      </c>
      <c r="AW2495" s="233" t="str">
        <f>VLOOKUP(Table8[[#This Row],[Country Code]],Table29[],8,FALSE)</f>
        <v>non-OECD</v>
      </c>
      <c r="AX2495" s="233" t="str">
        <f>VLOOKUP(Table8[[#This Row],[Country Code]],Table29[],9,FALSE)</f>
        <v>no</v>
      </c>
      <c r="AY2495" s="233" t="str">
        <f>VLOOKUP(Table8[[#This Row],[Country Code]],Table29[],10,FALSE)</f>
        <v>no</v>
      </c>
      <c r="AZ2495" s="235">
        <f>VLOOKUP(Table8[[#This Row],[Country Code]],Table29[],23,FALSE)</f>
        <v>152.38992311311</v>
      </c>
      <c r="BA2495" s="235">
        <f>VLOOKUP(Table8[[#This Row],[Country Code]],Table29[],24,FALSE)</f>
        <v>17.908504980816488</v>
      </c>
      <c r="BB2495" s="320"/>
      <c r="BC2495" s="320"/>
    </row>
    <row r="2496" spans="1:55" s="17" customFormat="1" ht="15" hidden="1" customHeight="1" x14ac:dyDescent="0.25">
      <c r="A2496" s="373">
        <v>24787</v>
      </c>
      <c r="B2496" s="233" t="str">
        <f>VLOOKUP(Table8[[#This Row],[Document ID]],Table1[],2,FALSE)</f>
        <v>VEN</v>
      </c>
      <c r="C2496" s="233" t="str">
        <f>VLOOKUP(Table8[[#This Row],[Document ID]],Table1[],3,FALSE)</f>
        <v>Venezuela, Bolivarian Republic of</v>
      </c>
      <c r="D2496" s="243" t="str">
        <f>VLOOKUP(Table8[[#This Row],[Document ID]],Table1[],5,FALSE)</f>
        <v>NDC</v>
      </c>
      <c r="E2496" s="233" t="str">
        <f>VLOOKUP(Table8[[#This Row],[Document ID]],Table1[],7,FALSE)</f>
        <v>First NDC updated</v>
      </c>
      <c r="F2496" s="233" t="str">
        <f>VLOOKUP(Table8[[#This Row],[Document ID]],Table1[],8,FALSE)</f>
        <v>NDC 1.1</v>
      </c>
      <c r="G2496" s="233" t="str">
        <f>VLOOKUP(Table8[[#This Row],[Document ID]],Table1[],10,FALSE)</f>
        <v>Active</v>
      </c>
      <c r="H2496" s="43" t="s">
        <v>2343</v>
      </c>
      <c r="I2496" s="43" t="s">
        <v>2344</v>
      </c>
      <c r="J2496" s="44" t="s">
        <v>2405</v>
      </c>
      <c r="K2496" s="44" t="s">
        <v>4600</v>
      </c>
      <c r="L2496" s="44" t="s">
        <v>2347</v>
      </c>
      <c r="M2496" s="43" t="s">
        <v>2801</v>
      </c>
      <c r="N2496" s="113"/>
      <c r="O2496" s="113"/>
      <c r="P2496" s="113"/>
      <c r="Q2496" s="113"/>
      <c r="R2496" s="113"/>
      <c r="S2496" s="113"/>
      <c r="T2496" s="113"/>
      <c r="U2496" s="113"/>
      <c r="V2496" s="113"/>
      <c r="W2496" s="113"/>
      <c r="X2496" s="113"/>
      <c r="Y2496" s="113"/>
      <c r="Z2496" s="113" t="s">
        <v>1113</v>
      </c>
      <c r="AA2496" s="113"/>
      <c r="AB2496" s="113"/>
      <c r="AC2496" s="113"/>
      <c r="AD2496" s="113"/>
      <c r="AE2496" s="113"/>
      <c r="AF2496" s="113"/>
      <c r="AG2496" s="113"/>
      <c r="AH2496" s="113"/>
      <c r="AI2496" s="113"/>
      <c r="AJ2496" s="113"/>
      <c r="AK2496" s="113"/>
      <c r="AL2496" s="113" t="s">
        <v>1113</v>
      </c>
      <c r="AM2496" s="113"/>
      <c r="AN2496" s="113"/>
      <c r="AO2496" s="43" t="s">
        <v>2348</v>
      </c>
      <c r="AP2496" s="43"/>
      <c r="AQ2496" s="236" t="str">
        <f>VLOOKUP(Table8[[#This Row],[Instrument]],Def_Targets!$D$73:$E$159,2,FALSE)</f>
        <v>S_PTIntegration</v>
      </c>
      <c r="AR2496" s="233" t="str">
        <f>VLOOKUP(Table8[[#This Row],[Country Code]],Table29[],3,FALSE)</f>
        <v>Non-Annex I</v>
      </c>
      <c r="AS2496" s="233" t="str">
        <f>VLOOKUP(Table8[[#This Row],[Country Code]],Table29[],4,FALSE)</f>
        <v>Latin America and the Caribbean</v>
      </c>
      <c r="AT2496" s="233" t="str">
        <f>VLOOKUP(Table8[[#This Row],[Country Code]],Table29[],5,FALSE)</f>
        <v>Middle-income</v>
      </c>
      <c r="AU2496" s="233" t="str">
        <f>VLOOKUP(Table8[[#This Row],[Country Code]],Table29[],6,FALSE)</f>
        <v>no</v>
      </c>
      <c r="AV2496" s="233" t="str">
        <f>VLOOKUP(Table8[[#This Row],[Country Code]],Table29[],7,FALSE)</f>
        <v>no</v>
      </c>
      <c r="AW2496" s="233" t="str">
        <f>VLOOKUP(Table8[[#This Row],[Country Code]],Table29[],8,FALSE)</f>
        <v>non-OECD</v>
      </c>
      <c r="AX2496" s="233" t="str">
        <f>VLOOKUP(Table8[[#This Row],[Country Code]],Table29[],9,FALSE)</f>
        <v>no</v>
      </c>
      <c r="AY2496" s="233" t="str">
        <f>VLOOKUP(Table8[[#This Row],[Country Code]],Table29[],10,FALSE)</f>
        <v>no</v>
      </c>
      <c r="AZ2496" s="235">
        <f>VLOOKUP(Table8[[#This Row],[Country Code]],Table29[],23,FALSE)</f>
        <v>152.38992311311</v>
      </c>
      <c r="BA2496" s="235">
        <f>VLOOKUP(Table8[[#This Row],[Country Code]],Table29[],24,FALSE)</f>
        <v>17.908504980816488</v>
      </c>
      <c r="BB2496" s="320"/>
      <c r="BC2496" s="320"/>
    </row>
    <row r="2497" spans="1:55" ht="15" hidden="1" customHeight="1" x14ac:dyDescent="0.25">
      <c r="A2497" s="373">
        <v>24787</v>
      </c>
      <c r="B2497" s="233" t="str">
        <f>VLOOKUP(Table8[[#This Row],[Document ID]],Table1[],2,FALSE)</f>
        <v>VEN</v>
      </c>
      <c r="C2497" s="233" t="str">
        <f>VLOOKUP(Table8[[#This Row],[Document ID]],Table1[],3,FALSE)</f>
        <v>Venezuela, Bolivarian Republic of</v>
      </c>
      <c r="D2497" s="243" t="str">
        <f>VLOOKUP(Table8[[#This Row],[Document ID]],Table1[],5,FALSE)</f>
        <v>NDC</v>
      </c>
      <c r="E2497" s="233" t="str">
        <f>VLOOKUP(Table8[[#This Row],[Document ID]],Table1[],7,FALSE)</f>
        <v>First NDC updated</v>
      </c>
      <c r="F2497" s="233" t="str">
        <f>VLOOKUP(Table8[[#This Row],[Document ID]],Table1[],8,FALSE)</f>
        <v>NDC 1.1</v>
      </c>
      <c r="G2497" s="233" t="str">
        <f>VLOOKUP(Table8[[#This Row],[Document ID]],Table1[],10,FALSE)</f>
        <v>Active</v>
      </c>
      <c r="H2497" s="43" t="s">
        <v>2484</v>
      </c>
      <c r="I2497" s="43" t="s">
        <v>2488</v>
      </c>
      <c r="J2497" s="44" t="s">
        <v>3207</v>
      </c>
      <c r="K2497" s="44" t="s">
        <v>4601</v>
      </c>
      <c r="L2497" s="44" t="s">
        <v>2347</v>
      </c>
      <c r="M2497" s="43">
        <v>69</v>
      </c>
      <c r="N2497" s="113"/>
      <c r="O2497" s="113"/>
      <c r="P2497" s="113"/>
      <c r="Q2497" s="113"/>
      <c r="R2497" s="113"/>
      <c r="S2497" s="113"/>
      <c r="T2497" s="113"/>
      <c r="U2497" s="113"/>
      <c r="V2497" s="113"/>
      <c r="W2497" s="113"/>
      <c r="X2497" s="113"/>
      <c r="Y2497" s="113"/>
      <c r="Z2497" s="113"/>
      <c r="AA2497" s="113"/>
      <c r="AB2497" s="113"/>
      <c r="AC2497" s="113"/>
      <c r="AD2497" s="113"/>
      <c r="AE2497" s="113"/>
      <c r="AF2497" s="113"/>
      <c r="AG2497" s="113"/>
      <c r="AH2497" s="113" t="s">
        <v>1113</v>
      </c>
      <c r="AI2497" s="113"/>
      <c r="AJ2497" s="113"/>
      <c r="AK2497" s="113" t="s">
        <v>1113</v>
      </c>
      <c r="AL2497" s="113"/>
      <c r="AM2497" s="113"/>
      <c r="AN2497" s="113"/>
      <c r="AO2497" s="44" t="s">
        <v>2334</v>
      </c>
      <c r="AP2497" s="43"/>
      <c r="AQ2497" s="236" t="str">
        <f>VLOOKUP(Table8[[#This Row],[Instrument]],Def_Targets!$D$73:$E$159,2,FALSE)</f>
        <v>I_Aircraftfleet</v>
      </c>
      <c r="AR2497" s="233" t="str">
        <f>VLOOKUP(Table8[[#This Row],[Country Code]],Table29[],3,FALSE)</f>
        <v>Non-Annex I</v>
      </c>
      <c r="AS2497" s="233" t="str">
        <f>VLOOKUP(Table8[[#This Row],[Country Code]],Table29[],4,FALSE)</f>
        <v>Latin America and the Caribbean</v>
      </c>
      <c r="AT2497" s="233" t="str">
        <f>VLOOKUP(Table8[[#This Row],[Country Code]],Table29[],5,FALSE)</f>
        <v>Middle-income</v>
      </c>
      <c r="AU2497" s="233" t="str">
        <f>VLOOKUP(Table8[[#This Row],[Country Code]],Table29[],6,FALSE)</f>
        <v>no</v>
      </c>
      <c r="AV2497" s="233" t="str">
        <f>VLOOKUP(Table8[[#This Row],[Country Code]],Table29[],7,FALSE)</f>
        <v>no</v>
      </c>
      <c r="AW2497" s="233" t="str">
        <f>VLOOKUP(Table8[[#This Row],[Country Code]],Table29[],8,FALSE)</f>
        <v>non-OECD</v>
      </c>
      <c r="AX2497" s="233" t="str">
        <f>VLOOKUP(Table8[[#This Row],[Country Code]],Table29[],9,FALSE)</f>
        <v>no</v>
      </c>
      <c r="AY2497" s="233" t="str">
        <f>VLOOKUP(Table8[[#This Row],[Country Code]],Table29[],10,FALSE)</f>
        <v>no</v>
      </c>
      <c r="AZ2497" s="235">
        <f>VLOOKUP(Table8[[#This Row],[Country Code]],Table29[],23,FALSE)</f>
        <v>152.38992311311</v>
      </c>
      <c r="BA2497" s="235">
        <f>VLOOKUP(Table8[[#This Row],[Country Code]],Table29[],24,FALSE)</f>
        <v>17.908504980816488</v>
      </c>
      <c r="BB2497" s="320"/>
      <c r="BC2497" s="320"/>
    </row>
    <row r="2498" spans="1:55" ht="15" hidden="1" customHeight="1" x14ac:dyDescent="0.25">
      <c r="A2498" s="360">
        <v>24787</v>
      </c>
      <c r="B2498" s="233" t="str">
        <f>VLOOKUP(Table8[[#This Row],[Document ID]],Table1[],2,FALSE)</f>
        <v>VEN</v>
      </c>
      <c r="C2498" s="233" t="str">
        <f>VLOOKUP(Table8[[#This Row],[Document ID]],Table1[],3,FALSE)</f>
        <v>Venezuela, Bolivarian Republic of</v>
      </c>
      <c r="D2498" s="233" t="str">
        <f>VLOOKUP(Table8[[#This Row],[Document ID]],Table1[],5,FALSE)</f>
        <v>NDC</v>
      </c>
      <c r="E2498" s="233" t="str">
        <f>VLOOKUP(Table8[[#This Row],[Document ID]],Table1[],7,FALSE)</f>
        <v>First NDC updated</v>
      </c>
      <c r="F2498" s="233" t="str">
        <f>VLOOKUP(Table8[[#This Row],[Document ID]],Table1[],8,FALSE)</f>
        <v>NDC 1.1</v>
      </c>
      <c r="G2498" s="233" t="str">
        <f>VLOOKUP(Table8[[#This Row],[Document ID]],Table1[],10,FALSE)</f>
        <v>Active</v>
      </c>
      <c r="H2498" s="43" t="s">
        <v>2484</v>
      </c>
      <c r="I2498" s="43" t="s">
        <v>2485</v>
      </c>
      <c r="J2498" s="44" t="s">
        <v>2486</v>
      </c>
      <c r="K2498" s="44" t="s">
        <v>4602</v>
      </c>
      <c r="L2498" s="44" t="s">
        <v>2333</v>
      </c>
      <c r="M2498" s="43">
        <v>66</v>
      </c>
      <c r="N2498" s="113"/>
      <c r="O2498" s="113"/>
      <c r="P2498" s="113"/>
      <c r="Q2498" s="113"/>
      <c r="R2498" s="113"/>
      <c r="S2498" s="113"/>
      <c r="T2498" s="113"/>
      <c r="U2498" s="113"/>
      <c r="V2498" s="113"/>
      <c r="W2498" s="113"/>
      <c r="X2498" s="113"/>
      <c r="Y2498" s="113"/>
      <c r="Z2498" s="113"/>
      <c r="AA2498" s="113"/>
      <c r="AB2498" s="113"/>
      <c r="AC2498" s="113"/>
      <c r="AD2498" s="113" t="s">
        <v>1113</v>
      </c>
      <c r="AE2498" s="113"/>
      <c r="AF2498" s="113"/>
      <c r="AG2498" s="113"/>
      <c r="AH2498" s="113"/>
      <c r="AI2498" s="113"/>
      <c r="AJ2498" s="113"/>
      <c r="AK2498" s="113" t="s">
        <v>1113</v>
      </c>
      <c r="AL2498" s="113"/>
      <c r="AM2498" s="113"/>
      <c r="AN2498" s="113"/>
      <c r="AO2498" s="44" t="s">
        <v>2334</v>
      </c>
      <c r="AP2498" s="43"/>
      <c r="AQ2498" s="236" t="str">
        <f>VLOOKUP(Table8[[#This Row],[Instrument]],Def_Targets!$D$73:$E$159,2,FALSE)</f>
        <v>I_Shipping</v>
      </c>
      <c r="AR2498" s="233" t="str">
        <f>VLOOKUP(Table8[[#This Row],[Country Code]],Table29[],3,FALSE)</f>
        <v>Non-Annex I</v>
      </c>
      <c r="AS2498" s="233" t="str">
        <f>VLOOKUP(Table8[[#This Row],[Country Code]],Table29[],4,FALSE)</f>
        <v>Latin America and the Caribbean</v>
      </c>
      <c r="AT2498" s="233" t="str">
        <f>VLOOKUP(Table8[[#This Row],[Country Code]],Table29[],5,FALSE)</f>
        <v>Middle-income</v>
      </c>
      <c r="AU2498" s="233" t="str">
        <f>VLOOKUP(Table8[[#This Row],[Country Code]],Table29[],6,FALSE)</f>
        <v>no</v>
      </c>
      <c r="AV2498" s="233" t="str">
        <f>VLOOKUP(Table8[[#This Row],[Country Code]],Table29[],7,FALSE)</f>
        <v>no</v>
      </c>
      <c r="AW2498" s="233" t="str">
        <f>VLOOKUP(Table8[[#This Row],[Country Code]],Table29[],8,FALSE)</f>
        <v>non-OECD</v>
      </c>
      <c r="AX2498" s="233" t="str">
        <f>VLOOKUP(Table8[[#This Row],[Country Code]],Table29[],9,FALSE)</f>
        <v>no</v>
      </c>
      <c r="AY2498" s="233" t="str">
        <f>VLOOKUP(Table8[[#This Row],[Country Code]],Table29[],10,FALSE)</f>
        <v>no</v>
      </c>
      <c r="AZ2498" s="235">
        <f>VLOOKUP(Table8[[#This Row],[Country Code]],Table29[],23,FALSE)</f>
        <v>152.38992311311</v>
      </c>
      <c r="BA2498" s="235">
        <f>VLOOKUP(Table8[[#This Row],[Country Code]],Table29[],24,FALSE)</f>
        <v>17.908504980816488</v>
      </c>
      <c r="BB2498" s="320"/>
      <c r="BC2498" s="320"/>
    </row>
    <row r="2499" spans="1:55" ht="15" hidden="1" customHeight="1" x14ac:dyDescent="0.25">
      <c r="A2499" s="360">
        <v>24787</v>
      </c>
      <c r="B2499" s="233" t="str">
        <f>VLOOKUP(Table8[[#This Row],[Document ID]],Table1[],2,FALSE)</f>
        <v>VEN</v>
      </c>
      <c r="C2499" s="233" t="str">
        <f>VLOOKUP(Table8[[#This Row],[Document ID]],Table1[],3,FALSE)</f>
        <v>Venezuela, Bolivarian Republic of</v>
      </c>
      <c r="D2499" s="233" t="str">
        <f>VLOOKUP(Table8[[#This Row],[Document ID]],Table1[],5,FALSE)</f>
        <v>NDC</v>
      </c>
      <c r="E2499" s="233" t="str">
        <f>VLOOKUP(Table8[[#This Row],[Document ID]],Table1[],7,FALSE)</f>
        <v>First NDC updated</v>
      </c>
      <c r="F2499" s="233" t="str">
        <f>VLOOKUP(Table8[[#This Row],[Document ID]],Table1[],8,FALSE)</f>
        <v>NDC 1.1</v>
      </c>
      <c r="G2499" s="233" t="str">
        <f>VLOOKUP(Table8[[#This Row],[Document ID]],Table1[],10,FALSE)</f>
        <v>Active</v>
      </c>
      <c r="H2499" s="43" t="s">
        <v>2484</v>
      </c>
      <c r="I2499" s="43" t="s">
        <v>2485</v>
      </c>
      <c r="J2499" s="44" t="s">
        <v>2775</v>
      </c>
      <c r="K2499" s="44" t="s">
        <v>4603</v>
      </c>
      <c r="L2499" s="44" t="s">
        <v>2333</v>
      </c>
      <c r="M2499" s="43">
        <v>66</v>
      </c>
      <c r="N2499" s="113"/>
      <c r="O2499" s="113"/>
      <c r="P2499" s="113"/>
      <c r="Q2499" s="113"/>
      <c r="R2499" s="113"/>
      <c r="S2499" s="113"/>
      <c r="T2499" s="113"/>
      <c r="U2499" s="113"/>
      <c r="V2499" s="113"/>
      <c r="W2499" s="113"/>
      <c r="X2499" s="113"/>
      <c r="Y2499" s="113"/>
      <c r="Z2499" s="113"/>
      <c r="AA2499" s="113"/>
      <c r="AB2499" s="113"/>
      <c r="AC2499" s="113"/>
      <c r="AD2499" s="113" t="s">
        <v>1113</v>
      </c>
      <c r="AE2499" s="113"/>
      <c r="AF2499" s="113"/>
      <c r="AG2499" s="113"/>
      <c r="AH2499" s="113"/>
      <c r="AI2499" s="113"/>
      <c r="AJ2499" s="113"/>
      <c r="AK2499" s="113" t="s">
        <v>1113</v>
      </c>
      <c r="AL2499" s="113"/>
      <c r="AM2499" s="113"/>
      <c r="AN2499" s="113"/>
      <c r="AO2499" s="44" t="s">
        <v>2334</v>
      </c>
      <c r="AP2499" s="43"/>
      <c r="AQ2499" s="236" t="str">
        <f>VLOOKUP(Table8[[#This Row],[Instrument]],Def_Targets!$D$73:$E$159,2,FALSE)</f>
        <v>I_Onshorepower</v>
      </c>
      <c r="AR2499" s="233" t="str">
        <f>VLOOKUP(Table8[[#This Row],[Country Code]],Table29[],3,FALSE)</f>
        <v>Non-Annex I</v>
      </c>
      <c r="AS2499" s="233" t="str">
        <f>VLOOKUP(Table8[[#This Row],[Country Code]],Table29[],4,FALSE)</f>
        <v>Latin America and the Caribbean</v>
      </c>
      <c r="AT2499" s="233" t="str">
        <f>VLOOKUP(Table8[[#This Row],[Country Code]],Table29[],5,FALSE)</f>
        <v>Middle-income</v>
      </c>
      <c r="AU2499" s="233" t="str">
        <f>VLOOKUP(Table8[[#This Row],[Country Code]],Table29[],6,FALSE)</f>
        <v>no</v>
      </c>
      <c r="AV2499" s="233" t="str">
        <f>VLOOKUP(Table8[[#This Row],[Country Code]],Table29[],7,FALSE)</f>
        <v>no</v>
      </c>
      <c r="AW2499" s="233" t="str">
        <f>VLOOKUP(Table8[[#This Row],[Country Code]],Table29[],8,FALSE)</f>
        <v>non-OECD</v>
      </c>
      <c r="AX2499" s="233" t="str">
        <f>VLOOKUP(Table8[[#This Row],[Country Code]],Table29[],9,FALSE)</f>
        <v>no</v>
      </c>
      <c r="AY2499" s="233" t="str">
        <f>VLOOKUP(Table8[[#This Row],[Country Code]],Table29[],10,FALSE)</f>
        <v>no</v>
      </c>
      <c r="AZ2499" s="235">
        <f>VLOOKUP(Table8[[#This Row],[Country Code]],Table29[],23,FALSE)</f>
        <v>152.38992311311</v>
      </c>
      <c r="BA2499" s="235">
        <f>VLOOKUP(Table8[[#This Row],[Country Code]],Table29[],24,FALSE)</f>
        <v>17.908504980816488</v>
      </c>
      <c r="BB2499" s="320"/>
      <c r="BC2499" s="320"/>
    </row>
    <row r="2500" spans="1:55" ht="30" hidden="1" x14ac:dyDescent="0.25">
      <c r="A2500" s="360">
        <v>24787</v>
      </c>
      <c r="B2500" s="233" t="str">
        <f>VLOOKUP(Table8[[#This Row],[Document ID]],Table1[],2,FALSE)</f>
        <v>VEN</v>
      </c>
      <c r="C2500" s="233" t="str">
        <f>VLOOKUP(Table8[[#This Row],[Document ID]],Table1[],3,FALSE)</f>
        <v>Venezuela, Bolivarian Republic of</v>
      </c>
      <c r="D2500" s="233" t="str">
        <f>VLOOKUP(Table8[[#This Row],[Document ID]],Table1[],5,FALSE)</f>
        <v>NDC</v>
      </c>
      <c r="E2500" s="233" t="str">
        <f>VLOOKUP(Table8[[#This Row],[Document ID]],Table1[],7,FALSE)</f>
        <v>First NDC updated</v>
      </c>
      <c r="F2500" s="233" t="str">
        <f>VLOOKUP(Table8[[#This Row],[Document ID]],Table1[],8,FALSE)</f>
        <v>NDC 1.1</v>
      </c>
      <c r="G2500" s="233" t="str">
        <f>VLOOKUP(Table8[[#This Row],[Document ID]],Table1[],10,FALSE)</f>
        <v>Active</v>
      </c>
      <c r="H2500" s="44" t="s">
        <v>2329</v>
      </c>
      <c r="I2500" s="44" t="s">
        <v>2330</v>
      </c>
      <c r="J2500" s="44" t="s">
        <v>2331</v>
      </c>
      <c r="K2500" s="44" t="s">
        <v>4604</v>
      </c>
      <c r="L2500" s="44" t="s">
        <v>2333</v>
      </c>
      <c r="M2500" s="43">
        <v>66</v>
      </c>
      <c r="N2500" s="113"/>
      <c r="O2500" s="113"/>
      <c r="P2500" s="113"/>
      <c r="Q2500" s="113"/>
      <c r="R2500" s="113"/>
      <c r="S2500" s="113"/>
      <c r="T2500" s="113"/>
      <c r="U2500" s="113"/>
      <c r="V2500" s="113"/>
      <c r="W2500" s="113"/>
      <c r="X2500" s="113"/>
      <c r="Y2500" s="113"/>
      <c r="Z2500" s="113"/>
      <c r="AA2500" s="113"/>
      <c r="AB2500" s="113"/>
      <c r="AC2500" s="113"/>
      <c r="AD2500" s="113" t="s">
        <v>1113</v>
      </c>
      <c r="AE2500" s="113"/>
      <c r="AF2500" s="113"/>
      <c r="AG2500" s="113"/>
      <c r="AH2500" s="113"/>
      <c r="AI2500" s="113"/>
      <c r="AJ2500" s="113"/>
      <c r="AK2500" s="113" t="s">
        <v>1113</v>
      </c>
      <c r="AL2500" s="113"/>
      <c r="AM2500" s="113"/>
      <c r="AN2500" s="113"/>
      <c r="AO2500" s="44" t="s">
        <v>2334</v>
      </c>
      <c r="AP2500" s="43"/>
      <c r="AQ2500" s="236" t="str">
        <f>VLOOKUP(Table8[[#This Row],[Instrument]],Def_Targets!$D$73:$E$159,2,FALSE)</f>
        <v>I_Altfuels</v>
      </c>
      <c r="AR2500" s="233" t="str">
        <f>VLOOKUP(Table8[[#This Row],[Country Code]],Table29[],3,FALSE)</f>
        <v>Non-Annex I</v>
      </c>
      <c r="AS2500" s="233" t="str">
        <f>VLOOKUP(Table8[[#This Row],[Country Code]],Table29[],4,FALSE)</f>
        <v>Latin America and the Caribbean</v>
      </c>
      <c r="AT2500" s="233" t="str">
        <f>VLOOKUP(Table8[[#This Row],[Country Code]],Table29[],5,FALSE)</f>
        <v>Middle-income</v>
      </c>
      <c r="AU2500" s="233" t="str">
        <f>VLOOKUP(Table8[[#This Row],[Country Code]],Table29[],6,FALSE)</f>
        <v>no</v>
      </c>
      <c r="AV2500" s="233" t="str">
        <f>VLOOKUP(Table8[[#This Row],[Country Code]],Table29[],7,FALSE)</f>
        <v>no</v>
      </c>
      <c r="AW2500" s="233" t="str">
        <f>VLOOKUP(Table8[[#This Row],[Country Code]],Table29[],8,FALSE)</f>
        <v>non-OECD</v>
      </c>
      <c r="AX2500" s="233" t="str">
        <f>VLOOKUP(Table8[[#This Row],[Country Code]],Table29[],9,FALSE)</f>
        <v>no</v>
      </c>
      <c r="AY2500" s="233" t="str">
        <f>VLOOKUP(Table8[[#This Row],[Country Code]],Table29[],10,FALSE)</f>
        <v>no</v>
      </c>
      <c r="AZ2500" s="235">
        <f>VLOOKUP(Table8[[#This Row],[Country Code]],Table29[],23,FALSE)</f>
        <v>152.38992311311</v>
      </c>
      <c r="BA2500" s="235">
        <f>VLOOKUP(Table8[[#This Row],[Country Code]],Table29[],24,FALSE)</f>
        <v>17.908504980816488</v>
      </c>
      <c r="BB2500" s="320"/>
      <c r="BC2500" s="320"/>
    </row>
    <row r="2501" spans="1:55" ht="45" hidden="1" x14ac:dyDescent="0.25">
      <c r="A2501" s="360">
        <v>24787</v>
      </c>
      <c r="B2501" s="233" t="str">
        <f>VLOOKUP(Table8[[#This Row],[Document ID]],Table1[],2,FALSE)</f>
        <v>VEN</v>
      </c>
      <c r="C2501" s="233" t="str">
        <f>VLOOKUP(Table8[[#This Row],[Document ID]],Table1[],3,FALSE)</f>
        <v>Venezuela, Bolivarian Republic of</v>
      </c>
      <c r="D2501" s="233" t="str">
        <f>VLOOKUP(Table8[[#This Row],[Document ID]],Table1[],5,FALSE)</f>
        <v>NDC</v>
      </c>
      <c r="E2501" s="233" t="str">
        <f>VLOOKUP(Table8[[#This Row],[Document ID]],Table1[],7,FALSE)</f>
        <v>First NDC updated</v>
      </c>
      <c r="F2501" s="233" t="str">
        <f>VLOOKUP(Table8[[#This Row],[Document ID]],Table1[],8,FALSE)</f>
        <v>NDC 1.1</v>
      </c>
      <c r="G2501" s="233" t="str">
        <f>VLOOKUP(Table8[[#This Row],[Document ID]],Table1[],10,FALSE)</f>
        <v>Active</v>
      </c>
      <c r="H2501" s="43" t="s">
        <v>2484</v>
      </c>
      <c r="I2501" s="43" t="s">
        <v>2485</v>
      </c>
      <c r="J2501" s="44" t="s">
        <v>2669</v>
      </c>
      <c r="K2501" s="44" t="s">
        <v>4605</v>
      </c>
      <c r="L2501" s="44" t="s">
        <v>2333</v>
      </c>
      <c r="M2501" s="43">
        <v>66</v>
      </c>
      <c r="N2501" s="113"/>
      <c r="O2501" s="113"/>
      <c r="P2501" s="113"/>
      <c r="Q2501" s="113"/>
      <c r="R2501" s="113"/>
      <c r="S2501" s="113"/>
      <c r="T2501" s="113"/>
      <c r="U2501" s="113"/>
      <c r="V2501" s="113"/>
      <c r="W2501" s="113"/>
      <c r="X2501" s="113"/>
      <c r="Y2501" s="113"/>
      <c r="Z2501" s="113"/>
      <c r="AA2501" s="113"/>
      <c r="AB2501" s="113"/>
      <c r="AC2501" s="113"/>
      <c r="AD2501" s="113" t="s">
        <v>1113</v>
      </c>
      <c r="AE2501" s="113"/>
      <c r="AF2501" s="113"/>
      <c r="AG2501" s="113"/>
      <c r="AH2501" s="113"/>
      <c r="AI2501" s="113"/>
      <c r="AJ2501" s="113"/>
      <c r="AK2501" s="113" t="s">
        <v>1113</v>
      </c>
      <c r="AL2501" s="113"/>
      <c r="AM2501" s="113"/>
      <c r="AN2501" s="113"/>
      <c r="AO2501" s="44" t="s">
        <v>2334</v>
      </c>
      <c r="AP2501" s="43"/>
      <c r="AQ2501" s="236" t="str">
        <f>VLOOKUP(Table8[[#This Row],[Instrument]],Def_Targets!$D$73:$E$159,2,FALSE)</f>
        <v>I_Shipefficiency</v>
      </c>
      <c r="AR2501" s="233" t="str">
        <f>VLOOKUP(Table8[[#This Row],[Country Code]],Table29[],3,FALSE)</f>
        <v>Non-Annex I</v>
      </c>
      <c r="AS2501" s="233" t="str">
        <f>VLOOKUP(Table8[[#This Row],[Country Code]],Table29[],4,FALSE)</f>
        <v>Latin America and the Caribbean</v>
      </c>
      <c r="AT2501" s="233" t="str">
        <f>VLOOKUP(Table8[[#This Row],[Country Code]],Table29[],5,FALSE)</f>
        <v>Middle-income</v>
      </c>
      <c r="AU2501" s="233" t="str">
        <f>VLOOKUP(Table8[[#This Row],[Country Code]],Table29[],6,FALSE)</f>
        <v>no</v>
      </c>
      <c r="AV2501" s="233" t="str">
        <f>VLOOKUP(Table8[[#This Row],[Country Code]],Table29[],7,FALSE)</f>
        <v>no</v>
      </c>
      <c r="AW2501" s="233" t="str">
        <f>VLOOKUP(Table8[[#This Row],[Country Code]],Table29[],8,FALSE)</f>
        <v>non-OECD</v>
      </c>
      <c r="AX2501" s="233" t="str">
        <f>VLOOKUP(Table8[[#This Row],[Country Code]],Table29[],9,FALSE)</f>
        <v>no</v>
      </c>
      <c r="AY2501" s="233" t="str">
        <f>VLOOKUP(Table8[[#This Row],[Country Code]],Table29[],10,FALSE)</f>
        <v>no</v>
      </c>
      <c r="AZ2501" s="235">
        <f>VLOOKUP(Table8[[#This Row],[Country Code]],Table29[],23,FALSE)</f>
        <v>152.38992311311</v>
      </c>
      <c r="BA2501" s="235">
        <f>VLOOKUP(Table8[[#This Row],[Country Code]],Table29[],24,FALSE)</f>
        <v>17.908504980816488</v>
      </c>
      <c r="BB2501" s="320"/>
      <c r="BC2501" s="320"/>
    </row>
    <row r="2502" spans="1:55" ht="60" hidden="1" x14ac:dyDescent="0.25">
      <c r="A2502" s="360">
        <v>24787</v>
      </c>
      <c r="B2502" s="233" t="str">
        <f>VLOOKUP(Table8[[#This Row],[Document ID]],Table1[],2,FALSE)</f>
        <v>VEN</v>
      </c>
      <c r="C2502" s="233" t="str">
        <f>VLOOKUP(Table8[[#This Row],[Document ID]],Table1[],3,FALSE)</f>
        <v>Venezuela, Bolivarian Republic of</v>
      </c>
      <c r="D2502" s="233" t="str">
        <f>VLOOKUP(Table8[[#This Row],[Document ID]],Table1[],5,FALSE)</f>
        <v>NDC</v>
      </c>
      <c r="E2502" s="233" t="str">
        <f>VLOOKUP(Table8[[#This Row],[Document ID]],Table1[],7,FALSE)</f>
        <v>First NDC updated</v>
      </c>
      <c r="F2502" s="233" t="str">
        <f>VLOOKUP(Table8[[#This Row],[Document ID]],Table1[],8,FALSE)</f>
        <v>NDC 1.1</v>
      </c>
      <c r="G2502" s="233" t="str">
        <f>VLOOKUP(Table8[[#This Row],[Document ID]],Table1[],10,FALSE)</f>
        <v>Active</v>
      </c>
      <c r="H2502" s="44" t="s">
        <v>2329</v>
      </c>
      <c r="I2502" s="44" t="s">
        <v>2330</v>
      </c>
      <c r="J2502" s="44" t="s">
        <v>2357</v>
      </c>
      <c r="K2502" s="44" t="s">
        <v>4606</v>
      </c>
      <c r="L2502" s="44" t="s">
        <v>2333</v>
      </c>
      <c r="M2502" s="43">
        <v>66</v>
      </c>
      <c r="N2502" s="113"/>
      <c r="O2502" s="113"/>
      <c r="P2502" s="113"/>
      <c r="Q2502" s="113"/>
      <c r="R2502" s="113"/>
      <c r="S2502" s="113"/>
      <c r="T2502" s="113"/>
      <c r="U2502" s="113"/>
      <c r="V2502" s="113"/>
      <c r="W2502" s="113"/>
      <c r="X2502" s="113"/>
      <c r="Y2502" s="113"/>
      <c r="Z2502" s="113"/>
      <c r="AA2502" s="113"/>
      <c r="AB2502" s="113"/>
      <c r="AC2502" s="113"/>
      <c r="AD2502" s="113" t="s">
        <v>1113</v>
      </c>
      <c r="AE2502" s="113"/>
      <c r="AF2502" s="113"/>
      <c r="AG2502" s="113"/>
      <c r="AH2502" s="113"/>
      <c r="AI2502" s="113"/>
      <c r="AJ2502" s="113"/>
      <c r="AK2502" s="113" t="s">
        <v>1113</v>
      </c>
      <c r="AL2502" s="113"/>
      <c r="AM2502" s="113"/>
      <c r="AN2502" s="113"/>
      <c r="AO2502" s="44" t="s">
        <v>2334</v>
      </c>
      <c r="AP2502" s="43"/>
      <c r="AQ2502" s="236" t="str">
        <f>VLOOKUP(Table8[[#This Row],[Instrument]],Def_Targets!$D$73:$E$159,2,FALSE)</f>
        <v>I_Biofuel</v>
      </c>
      <c r="AR2502" s="233" t="str">
        <f>VLOOKUP(Table8[[#This Row],[Country Code]],Table29[],3,FALSE)</f>
        <v>Non-Annex I</v>
      </c>
      <c r="AS2502" s="233" t="str">
        <f>VLOOKUP(Table8[[#This Row],[Country Code]],Table29[],4,FALSE)</f>
        <v>Latin America and the Caribbean</v>
      </c>
      <c r="AT2502" s="233" t="str">
        <f>VLOOKUP(Table8[[#This Row],[Country Code]],Table29[],5,FALSE)</f>
        <v>Middle-income</v>
      </c>
      <c r="AU2502" s="233" t="str">
        <f>VLOOKUP(Table8[[#This Row],[Country Code]],Table29[],6,FALSE)</f>
        <v>no</v>
      </c>
      <c r="AV2502" s="233" t="str">
        <f>VLOOKUP(Table8[[#This Row],[Country Code]],Table29[],7,FALSE)</f>
        <v>no</v>
      </c>
      <c r="AW2502" s="233" t="str">
        <f>VLOOKUP(Table8[[#This Row],[Country Code]],Table29[],8,FALSE)</f>
        <v>non-OECD</v>
      </c>
      <c r="AX2502" s="233" t="str">
        <f>VLOOKUP(Table8[[#This Row],[Country Code]],Table29[],9,FALSE)</f>
        <v>no</v>
      </c>
      <c r="AY2502" s="233" t="str">
        <f>VLOOKUP(Table8[[#This Row],[Country Code]],Table29[],10,FALSE)</f>
        <v>no</v>
      </c>
      <c r="AZ2502" s="235">
        <f>VLOOKUP(Table8[[#This Row],[Country Code]],Table29[],23,FALSE)</f>
        <v>152.38992311311</v>
      </c>
      <c r="BA2502" s="235">
        <f>VLOOKUP(Table8[[#This Row],[Country Code]],Table29[],24,FALSE)</f>
        <v>17.908504980816488</v>
      </c>
      <c r="BB2502" s="320"/>
      <c r="BC2502" s="320"/>
    </row>
    <row r="2503" spans="1:55" ht="30" hidden="1" x14ac:dyDescent="0.25">
      <c r="A2503" s="360">
        <v>24787</v>
      </c>
      <c r="B2503" s="233" t="str">
        <f>VLOOKUP(Table8[[#This Row],[Document ID]],Table1[],2,FALSE)</f>
        <v>VEN</v>
      </c>
      <c r="C2503" s="233" t="str">
        <f>VLOOKUP(Table8[[#This Row],[Document ID]],Table1[],3,FALSE)</f>
        <v>Venezuela, Bolivarian Republic of</v>
      </c>
      <c r="D2503" s="233" t="str">
        <f>VLOOKUP(Table8[[#This Row],[Document ID]],Table1[],5,FALSE)</f>
        <v>NDC</v>
      </c>
      <c r="E2503" s="233" t="str">
        <f>VLOOKUP(Table8[[#This Row],[Document ID]],Table1[],7,FALSE)</f>
        <v>First NDC updated</v>
      </c>
      <c r="F2503" s="233" t="str">
        <f>VLOOKUP(Table8[[#This Row],[Document ID]],Table1[],8,FALSE)</f>
        <v>NDC 1.1</v>
      </c>
      <c r="G2503" s="233" t="str">
        <f>VLOOKUP(Table8[[#This Row],[Document ID]],Table1[],10,FALSE)</f>
        <v>Active</v>
      </c>
      <c r="H2503" s="44" t="s">
        <v>2338</v>
      </c>
      <c r="I2503" s="44" t="s">
        <v>2339</v>
      </c>
      <c r="J2503" s="44" t="s">
        <v>2556</v>
      </c>
      <c r="K2503" s="44" t="s">
        <v>4607</v>
      </c>
      <c r="L2503" s="44" t="s">
        <v>2333</v>
      </c>
      <c r="M2503" s="43">
        <v>67</v>
      </c>
      <c r="N2503" s="113"/>
      <c r="O2503" s="113"/>
      <c r="P2503" s="113"/>
      <c r="Q2503" s="113"/>
      <c r="R2503" s="113"/>
      <c r="S2503" s="113"/>
      <c r="T2503" s="113"/>
      <c r="U2503" s="113"/>
      <c r="V2503" s="113"/>
      <c r="W2503" s="113"/>
      <c r="X2503" s="113"/>
      <c r="Y2503" s="113"/>
      <c r="Z2503" s="113"/>
      <c r="AA2503" s="113"/>
      <c r="AB2503" s="113"/>
      <c r="AC2503" s="113"/>
      <c r="AD2503" s="113" t="s">
        <v>1113</v>
      </c>
      <c r="AE2503" s="113"/>
      <c r="AF2503" s="113"/>
      <c r="AG2503" s="113"/>
      <c r="AH2503" s="113"/>
      <c r="AI2503" s="113"/>
      <c r="AJ2503" s="113"/>
      <c r="AK2503" s="113" t="s">
        <v>1113</v>
      </c>
      <c r="AL2503" s="113"/>
      <c r="AM2503" s="113"/>
      <c r="AN2503" s="113"/>
      <c r="AO2503" s="44" t="s">
        <v>2334</v>
      </c>
      <c r="AP2503" s="43"/>
      <c r="AQ2503" s="236" t="str">
        <f>VLOOKUP(Table8[[#This Row],[Instrument]],Def_Targets!$D$73:$E$159,2,FALSE)</f>
        <v>I_Fuelqualimprove</v>
      </c>
      <c r="AR2503" s="233" t="str">
        <f>VLOOKUP(Table8[[#This Row],[Country Code]],Table29[],3,FALSE)</f>
        <v>Non-Annex I</v>
      </c>
      <c r="AS2503" s="233" t="str">
        <f>VLOOKUP(Table8[[#This Row],[Country Code]],Table29[],4,FALSE)</f>
        <v>Latin America and the Caribbean</v>
      </c>
      <c r="AT2503" s="233" t="str">
        <f>VLOOKUP(Table8[[#This Row],[Country Code]],Table29[],5,FALSE)</f>
        <v>Middle-income</v>
      </c>
      <c r="AU2503" s="233" t="str">
        <f>VLOOKUP(Table8[[#This Row],[Country Code]],Table29[],6,FALSE)</f>
        <v>no</v>
      </c>
      <c r="AV2503" s="233" t="str">
        <f>VLOOKUP(Table8[[#This Row],[Country Code]],Table29[],7,FALSE)</f>
        <v>no</v>
      </c>
      <c r="AW2503" s="233" t="str">
        <f>VLOOKUP(Table8[[#This Row],[Country Code]],Table29[],8,FALSE)</f>
        <v>non-OECD</v>
      </c>
      <c r="AX2503" s="233" t="str">
        <f>VLOOKUP(Table8[[#This Row],[Country Code]],Table29[],9,FALSE)</f>
        <v>no</v>
      </c>
      <c r="AY2503" s="233" t="str">
        <f>VLOOKUP(Table8[[#This Row],[Country Code]],Table29[],10,FALSE)</f>
        <v>no</v>
      </c>
      <c r="AZ2503" s="235">
        <f>VLOOKUP(Table8[[#This Row],[Country Code]],Table29[],23,FALSE)</f>
        <v>152.38992311311</v>
      </c>
      <c r="BA2503" s="235">
        <f>VLOOKUP(Table8[[#This Row],[Country Code]],Table29[],24,FALSE)</f>
        <v>17.908504980816488</v>
      </c>
      <c r="BB2503" s="320"/>
      <c r="BC2503" s="320"/>
    </row>
    <row r="2504" spans="1:55" hidden="1" x14ac:dyDescent="0.25">
      <c r="A2504" s="373">
        <v>17786</v>
      </c>
      <c r="B2504" s="233" t="str">
        <f>VLOOKUP(Table8[[#This Row],[Document ID]],Table1[],2,FALSE)</f>
        <v>VNM</v>
      </c>
      <c r="C2504" s="233" t="str">
        <f>VLOOKUP(Table8[[#This Row],[Document ID]],Table1[],3,FALSE)</f>
        <v>Viet Nam</v>
      </c>
      <c r="D2504" s="243" t="str">
        <f>VLOOKUP(Table8[[#This Row],[Document ID]],Table1[],5,FALSE)</f>
        <v>NDC</v>
      </c>
      <c r="E2504" s="233" t="str">
        <f>VLOOKUP(Table8[[#This Row],[Document ID]],Table1[],7,FALSE)</f>
        <v>First NDC updated</v>
      </c>
      <c r="F2504" s="236" t="str">
        <f>VLOOKUP(Table8[[#This Row],[Document ID]],Table1[],8,FALSE)</f>
        <v>NDC 1.1</v>
      </c>
      <c r="G2504" s="236" t="str">
        <f>VLOOKUP(Table8[[#This Row],[Document ID]],Table1[],10,FALSE)</f>
        <v>Archived</v>
      </c>
      <c r="H2504" s="44" t="s">
        <v>2338</v>
      </c>
      <c r="I2504" s="44" t="s">
        <v>2339</v>
      </c>
      <c r="J2504" s="44" t="s">
        <v>2340</v>
      </c>
      <c r="K2504" s="44" t="s">
        <v>4608</v>
      </c>
      <c r="L2504" s="44" t="s">
        <v>2333</v>
      </c>
      <c r="M2504" s="43">
        <v>10</v>
      </c>
      <c r="N2504" s="113" t="s">
        <v>1113</v>
      </c>
      <c r="O2504" s="113"/>
      <c r="P2504" s="113"/>
      <c r="Q2504" s="319"/>
      <c r="R2504" s="319"/>
      <c r="S2504" s="319"/>
      <c r="T2504" s="319"/>
      <c r="U2504" s="319"/>
      <c r="V2504" s="319"/>
      <c r="W2504" s="319"/>
      <c r="X2504" s="319"/>
      <c r="Y2504" s="113"/>
      <c r="Z2504" s="113"/>
      <c r="AA2504" s="319"/>
      <c r="AB2504" s="319"/>
      <c r="AC2504" s="319"/>
      <c r="AD2504" s="319"/>
      <c r="AE2504" s="319"/>
      <c r="AF2504" s="319"/>
      <c r="AG2504" s="319"/>
      <c r="AH2504" s="319"/>
      <c r="AI2504" s="319"/>
      <c r="AJ2504" s="319"/>
      <c r="AK2504" s="319" t="s">
        <v>1113</v>
      </c>
      <c r="AL2504" s="319"/>
      <c r="AM2504" s="319"/>
      <c r="AN2504" s="319"/>
      <c r="AO2504" s="44" t="s">
        <v>2334</v>
      </c>
      <c r="AP2504" s="44"/>
      <c r="AQ2504" s="236" t="str">
        <f>VLOOKUP(Table8[[#This Row],[Instrument]],Def_Targets!$D$73:$E$159,2,FALSE)</f>
        <v>I_Vehicleimprove</v>
      </c>
      <c r="AR2504" s="233" t="str">
        <f>VLOOKUP(Table8[[#This Row],[Country Code]],Table29[],3,FALSE)</f>
        <v>Non-Annex I</v>
      </c>
      <c r="AS2504" s="233" t="str">
        <f>VLOOKUP(Table8[[#This Row],[Country Code]],Table29[],4,FALSE)</f>
        <v>Asia</v>
      </c>
      <c r="AT2504" s="233" t="str">
        <f>VLOOKUP(Table8[[#This Row],[Country Code]],Table29[],5,FALSE)</f>
        <v>Middle-income</v>
      </c>
      <c r="AU2504" s="233" t="str">
        <f>VLOOKUP(Table8[[#This Row],[Country Code]],Table29[],6,FALSE)</f>
        <v>no</v>
      </c>
      <c r="AV2504" s="233" t="str">
        <f>VLOOKUP(Table8[[#This Row],[Country Code]],Table29[],7,FALSE)</f>
        <v>no</v>
      </c>
      <c r="AW2504" s="233" t="str">
        <f>VLOOKUP(Table8[[#This Row],[Country Code]],Table29[],8,FALSE)</f>
        <v>non-OECD</v>
      </c>
      <c r="AX2504" s="233" t="str">
        <f>VLOOKUP(Table8[[#This Row],[Country Code]],Table29[],9,FALSE)</f>
        <v>no</v>
      </c>
      <c r="AY2504" s="233" t="str">
        <f>VLOOKUP(Table8[[#This Row],[Country Code]],Table29[],10,FALSE)</f>
        <v>no</v>
      </c>
      <c r="AZ2504" s="235">
        <f>VLOOKUP(Table8[[#This Row],[Country Code]],Table29[],23,FALSE)</f>
        <v>524.13346380418</v>
      </c>
      <c r="BA2504" s="235">
        <f>VLOOKUP(Table8[[#This Row],[Country Code]],Table29[],24,FALSE)</f>
        <v>39.884378531634049</v>
      </c>
      <c r="BB2504" s="320"/>
      <c r="BC2504" s="320"/>
    </row>
    <row r="2505" spans="1:55" hidden="1" x14ac:dyDescent="0.25">
      <c r="A2505" s="373">
        <v>17786</v>
      </c>
      <c r="B2505" s="233" t="str">
        <f>VLOOKUP(Table8[[#This Row],[Document ID]],Table1[],2,FALSE)</f>
        <v>VNM</v>
      </c>
      <c r="C2505" s="233" t="str">
        <f>VLOOKUP(Table8[[#This Row],[Document ID]],Table1[],3,FALSE)</f>
        <v>Viet Nam</v>
      </c>
      <c r="D2505" s="243" t="str">
        <f>VLOOKUP(Table8[[#This Row],[Document ID]],Table1[],5,FALSE)</f>
        <v>NDC</v>
      </c>
      <c r="E2505" s="233" t="str">
        <f>VLOOKUP(Table8[[#This Row],[Document ID]],Table1[],7,FALSE)</f>
        <v>First NDC updated</v>
      </c>
      <c r="F2505" s="236" t="str">
        <f>VLOOKUP(Table8[[#This Row],[Document ID]],Table1[],8,FALSE)</f>
        <v>NDC 1.1</v>
      </c>
      <c r="G2505" s="236" t="str">
        <f>VLOOKUP(Table8[[#This Row],[Document ID]],Table1[],10,FALSE)</f>
        <v>Archived</v>
      </c>
      <c r="H2505" s="43" t="s">
        <v>2350</v>
      </c>
      <c r="I2505" s="43" t="s">
        <v>2351</v>
      </c>
      <c r="J2505" s="44" t="s">
        <v>2447</v>
      </c>
      <c r="K2505" s="44" t="s">
        <v>4609</v>
      </c>
      <c r="L2505" s="44" t="s">
        <v>2396</v>
      </c>
      <c r="M2505" s="43">
        <v>10</v>
      </c>
      <c r="N2505" s="113" t="s">
        <v>1113</v>
      </c>
      <c r="O2505" s="113"/>
      <c r="P2505" s="113"/>
      <c r="Q2505" s="319"/>
      <c r="R2505" s="319"/>
      <c r="S2505" s="319"/>
      <c r="T2505" s="319"/>
      <c r="U2505" s="319"/>
      <c r="V2505" s="319"/>
      <c r="W2505" s="319"/>
      <c r="X2505" s="319"/>
      <c r="Y2505" s="319"/>
      <c r="Z2505" s="319"/>
      <c r="AA2505" s="319"/>
      <c r="AB2505" s="319"/>
      <c r="AC2505" s="319"/>
      <c r="AD2505" s="319"/>
      <c r="AE2505" s="319"/>
      <c r="AF2505" s="319"/>
      <c r="AG2505" s="319"/>
      <c r="AH2505" s="319"/>
      <c r="AI2505" s="319"/>
      <c r="AJ2505" s="319"/>
      <c r="AK2505" s="319" t="s">
        <v>1113</v>
      </c>
      <c r="AL2505" s="319"/>
      <c r="AM2505" s="319"/>
      <c r="AN2505" s="319"/>
      <c r="AO2505" s="43" t="s">
        <v>2353</v>
      </c>
      <c r="AP2505" s="44"/>
      <c r="AQ2505" s="236" t="str">
        <f>VLOOKUP(Table8[[#This Row],[Instrument]],Def_Targets!$D$73:$E$159,2,FALSE)</f>
        <v>I_Freighteff</v>
      </c>
      <c r="AR2505" s="233" t="str">
        <f>VLOOKUP(Table8[[#This Row],[Country Code]],Table29[],3,FALSE)</f>
        <v>Non-Annex I</v>
      </c>
      <c r="AS2505" s="233" t="str">
        <f>VLOOKUP(Table8[[#This Row],[Country Code]],Table29[],4,FALSE)</f>
        <v>Asia</v>
      </c>
      <c r="AT2505" s="233" t="str">
        <f>VLOOKUP(Table8[[#This Row],[Country Code]],Table29[],5,FALSE)</f>
        <v>Middle-income</v>
      </c>
      <c r="AU2505" s="233" t="str">
        <f>VLOOKUP(Table8[[#This Row],[Country Code]],Table29[],6,FALSE)</f>
        <v>no</v>
      </c>
      <c r="AV2505" s="233" t="str">
        <f>VLOOKUP(Table8[[#This Row],[Country Code]],Table29[],7,FALSE)</f>
        <v>no</v>
      </c>
      <c r="AW2505" s="233" t="str">
        <f>VLOOKUP(Table8[[#This Row],[Country Code]],Table29[],8,FALSE)</f>
        <v>non-OECD</v>
      </c>
      <c r="AX2505" s="233" t="str">
        <f>VLOOKUP(Table8[[#This Row],[Country Code]],Table29[],9,FALSE)</f>
        <v>no</v>
      </c>
      <c r="AY2505" s="233" t="str">
        <f>VLOOKUP(Table8[[#This Row],[Country Code]],Table29[],10,FALSE)</f>
        <v>no</v>
      </c>
      <c r="AZ2505" s="235">
        <f>VLOOKUP(Table8[[#This Row],[Country Code]],Table29[],23,FALSE)</f>
        <v>524.13346380418</v>
      </c>
      <c r="BA2505" s="235">
        <f>VLOOKUP(Table8[[#This Row],[Country Code]],Table29[],24,FALSE)</f>
        <v>39.884378531634049</v>
      </c>
      <c r="BB2505" s="320"/>
      <c r="BC2505" s="320"/>
    </row>
    <row r="2506" spans="1:55" hidden="1" x14ac:dyDescent="0.25">
      <c r="A2506" s="373">
        <v>17786</v>
      </c>
      <c r="B2506" s="233" t="str">
        <f>VLOOKUP(Table8[[#This Row],[Document ID]],Table1[],2,FALSE)</f>
        <v>VNM</v>
      </c>
      <c r="C2506" s="233" t="str">
        <f>VLOOKUP(Table8[[#This Row],[Document ID]],Table1[],3,FALSE)</f>
        <v>Viet Nam</v>
      </c>
      <c r="D2506" s="243" t="str">
        <f>VLOOKUP(Table8[[#This Row],[Document ID]],Table1[],5,FALSE)</f>
        <v>NDC</v>
      </c>
      <c r="E2506" s="233" t="str">
        <f>VLOOKUP(Table8[[#This Row],[Document ID]],Table1[],7,FALSE)</f>
        <v>First NDC updated</v>
      </c>
      <c r="F2506" s="236" t="str">
        <f>VLOOKUP(Table8[[#This Row],[Document ID]],Table1[],8,FALSE)</f>
        <v>NDC 1.1</v>
      </c>
      <c r="G2506" s="236" t="str">
        <f>VLOOKUP(Table8[[#This Row],[Document ID]],Table1[],10,FALSE)</f>
        <v>Archived</v>
      </c>
      <c r="H2506" s="43" t="s">
        <v>2343</v>
      </c>
      <c r="I2506" s="43" t="s">
        <v>2344</v>
      </c>
      <c r="J2506" s="44" t="s">
        <v>2345</v>
      </c>
      <c r="K2506" s="44" t="s">
        <v>4610</v>
      </c>
      <c r="L2506" s="44" t="s">
        <v>2347</v>
      </c>
      <c r="M2506" s="43">
        <v>10</v>
      </c>
      <c r="N2506" s="113" t="s">
        <v>1113</v>
      </c>
      <c r="O2506" s="113"/>
      <c r="P2506" s="113"/>
      <c r="Q2506" s="319"/>
      <c r="R2506" s="319"/>
      <c r="S2506" s="319"/>
      <c r="T2506" s="319"/>
      <c r="U2506" s="319"/>
      <c r="V2506" s="319"/>
      <c r="W2506" s="319"/>
      <c r="X2506" s="319"/>
      <c r="Y2506" s="113"/>
      <c r="Z2506" s="113"/>
      <c r="AA2506" s="319"/>
      <c r="AB2506" s="319"/>
      <c r="AC2506" s="319"/>
      <c r="AD2506" s="319"/>
      <c r="AE2506" s="319"/>
      <c r="AF2506" s="319"/>
      <c r="AG2506" s="319"/>
      <c r="AH2506" s="319"/>
      <c r="AI2506" s="319"/>
      <c r="AJ2506" s="319"/>
      <c r="AK2506" s="319" t="s">
        <v>1113</v>
      </c>
      <c r="AL2506" s="319"/>
      <c r="AM2506" s="319"/>
      <c r="AN2506" s="319"/>
      <c r="AO2506" s="43" t="s">
        <v>2348</v>
      </c>
      <c r="AP2506" s="44"/>
      <c r="AQ2506" s="236" t="str">
        <f>VLOOKUP(Table8[[#This Row],[Instrument]],Def_Targets!$D$73:$E$159,2,FALSE)</f>
        <v>S_PublicTransport</v>
      </c>
      <c r="AR2506" s="233" t="str">
        <f>VLOOKUP(Table8[[#This Row],[Country Code]],Table29[],3,FALSE)</f>
        <v>Non-Annex I</v>
      </c>
      <c r="AS2506" s="233" t="str">
        <f>VLOOKUP(Table8[[#This Row],[Country Code]],Table29[],4,FALSE)</f>
        <v>Asia</v>
      </c>
      <c r="AT2506" s="233" t="str">
        <f>VLOOKUP(Table8[[#This Row],[Country Code]],Table29[],5,FALSE)</f>
        <v>Middle-income</v>
      </c>
      <c r="AU2506" s="233" t="str">
        <f>VLOOKUP(Table8[[#This Row],[Country Code]],Table29[],6,FALSE)</f>
        <v>no</v>
      </c>
      <c r="AV2506" s="233" t="str">
        <f>VLOOKUP(Table8[[#This Row],[Country Code]],Table29[],7,FALSE)</f>
        <v>no</v>
      </c>
      <c r="AW2506" s="233" t="str">
        <f>VLOOKUP(Table8[[#This Row],[Country Code]],Table29[],8,FALSE)</f>
        <v>non-OECD</v>
      </c>
      <c r="AX2506" s="233" t="str">
        <f>VLOOKUP(Table8[[#This Row],[Country Code]],Table29[],9,FALSE)</f>
        <v>no</v>
      </c>
      <c r="AY2506" s="233" t="str">
        <f>VLOOKUP(Table8[[#This Row],[Country Code]],Table29[],10,FALSE)</f>
        <v>no</v>
      </c>
      <c r="AZ2506" s="235">
        <f>VLOOKUP(Table8[[#This Row],[Country Code]],Table29[],23,FALSE)</f>
        <v>524.13346380418</v>
      </c>
      <c r="BA2506" s="235">
        <f>VLOOKUP(Table8[[#This Row],[Country Code]],Table29[],24,FALSE)</f>
        <v>39.884378531634049</v>
      </c>
      <c r="BB2506" s="320"/>
      <c r="BC2506" s="320"/>
    </row>
    <row r="2507" spans="1:55" hidden="1" x14ac:dyDescent="0.25">
      <c r="A2507" s="373">
        <v>17786</v>
      </c>
      <c r="B2507" s="233" t="str">
        <f>VLOOKUP(Table8[[#This Row],[Document ID]],Table1[],2,FALSE)</f>
        <v>VNM</v>
      </c>
      <c r="C2507" s="233" t="str">
        <f>VLOOKUP(Table8[[#This Row],[Document ID]],Table1[],3,FALSE)</f>
        <v>Viet Nam</v>
      </c>
      <c r="D2507" s="243" t="str">
        <f>VLOOKUP(Table8[[#This Row],[Document ID]],Table1[],5,FALSE)</f>
        <v>NDC</v>
      </c>
      <c r="E2507" s="233" t="str">
        <f>VLOOKUP(Table8[[#This Row],[Document ID]],Table1[],7,FALSE)</f>
        <v>First NDC updated</v>
      </c>
      <c r="F2507" s="236" t="str">
        <f>VLOOKUP(Table8[[#This Row],[Document ID]],Table1[],8,FALSE)</f>
        <v>NDC 1.1</v>
      </c>
      <c r="G2507" s="236" t="str">
        <f>VLOOKUP(Table8[[#This Row],[Document ID]],Table1[],10,FALSE)</f>
        <v>Archived</v>
      </c>
      <c r="H2507" s="44" t="s">
        <v>2329</v>
      </c>
      <c r="I2507" s="44" t="s">
        <v>2330</v>
      </c>
      <c r="J2507" s="44" t="s">
        <v>2363</v>
      </c>
      <c r="K2507" s="44" t="s">
        <v>4611</v>
      </c>
      <c r="L2507" s="44" t="s">
        <v>2333</v>
      </c>
      <c r="M2507" s="43">
        <v>10</v>
      </c>
      <c r="N2507" s="113" t="s">
        <v>1113</v>
      </c>
      <c r="O2507" s="113"/>
      <c r="P2507" s="113"/>
      <c r="Q2507" s="319"/>
      <c r="R2507" s="319"/>
      <c r="S2507" s="319"/>
      <c r="T2507" s="319"/>
      <c r="U2507" s="319"/>
      <c r="V2507" s="319"/>
      <c r="W2507" s="319"/>
      <c r="X2507" s="319"/>
      <c r="Y2507" s="319"/>
      <c r="Z2507" s="319"/>
      <c r="AA2507" s="319"/>
      <c r="AB2507" s="319"/>
      <c r="AC2507" s="319"/>
      <c r="AD2507" s="319"/>
      <c r="AE2507" s="319"/>
      <c r="AF2507" s="319"/>
      <c r="AG2507" s="319"/>
      <c r="AH2507" s="319"/>
      <c r="AI2507" s="319"/>
      <c r="AJ2507" s="319"/>
      <c r="AK2507" s="319" t="s">
        <v>1113</v>
      </c>
      <c r="AL2507" s="319"/>
      <c r="AM2507" s="319"/>
      <c r="AN2507" s="319"/>
      <c r="AO2507" s="44" t="s">
        <v>2334</v>
      </c>
      <c r="AP2507" s="44"/>
      <c r="AQ2507" s="236" t="str">
        <f>VLOOKUP(Table8[[#This Row],[Instrument]],Def_Targets!$D$73:$E$159,2,FALSE)</f>
        <v>I_LPGCNGLNG</v>
      </c>
      <c r="AR2507" s="233" t="str">
        <f>VLOOKUP(Table8[[#This Row],[Country Code]],Table29[],3,FALSE)</f>
        <v>Non-Annex I</v>
      </c>
      <c r="AS2507" s="233" t="str">
        <f>VLOOKUP(Table8[[#This Row],[Country Code]],Table29[],4,FALSE)</f>
        <v>Asia</v>
      </c>
      <c r="AT2507" s="233" t="str">
        <f>VLOOKUP(Table8[[#This Row],[Country Code]],Table29[],5,FALSE)</f>
        <v>Middle-income</v>
      </c>
      <c r="AU2507" s="233" t="str">
        <f>VLOOKUP(Table8[[#This Row],[Country Code]],Table29[],6,FALSE)</f>
        <v>no</v>
      </c>
      <c r="AV2507" s="233" t="str">
        <f>VLOOKUP(Table8[[#This Row],[Country Code]],Table29[],7,FALSE)</f>
        <v>no</v>
      </c>
      <c r="AW2507" s="233" t="str">
        <f>VLOOKUP(Table8[[#This Row],[Country Code]],Table29[],8,FALSE)</f>
        <v>non-OECD</v>
      </c>
      <c r="AX2507" s="233" t="str">
        <f>VLOOKUP(Table8[[#This Row],[Country Code]],Table29[],9,FALSE)</f>
        <v>no</v>
      </c>
      <c r="AY2507" s="233" t="str">
        <f>VLOOKUP(Table8[[#This Row],[Country Code]],Table29[],10,FALSE)</f>
        <v>no</v>
      </c>
      <c r="AZ2507" s="235">
        <f>VLOOKUP(Table8[[#This Row],[Country Code]],Table29[],23,FALSE)</f>
        <v>524.13346380418</v>
      </c>
      <c r="BA2507" s="235">
        <f>VLOOKUP(Table8[[#This Row],[Country Code]],Table29[],24,FALSE)</f>
        <v>39.884378531634049</v>
      </c>
      <c r="BB2507" s="320"/>
      <c r="BC2507" s="320"/>
    </row>
    <row r="2508" spans="1:55" hidden="1" x14ac:dyDescent="0.25">
      <c r="A2508" s="373">
        <v>17786</v>
      </c>
      <c r="B2508" s="233" t="str">
        <f>VLOOKUP(Table8[[#This Row],[Document ID]],Table1[],2,FALSE)</f>
        <v>VNM</v>
      </c>
      <c r="C2508" s="233" t="str">
        <f>VLOOKUP(Table8[[#This Row],[Document ID]],Table1[],3,FALSE)</f>
        <v>Viet Nam</v>
      </c>
      <c r="D2508" s="243" t="str">
        <f>VLOOKUP(Table8[[#This Row],[Document ID]],Table1[],5,FALSE)</f>
        <v>NDC</v>
      </c>
      <c r="E2508" s="233" t="str">
        <f>VLOOKUP(Table8[[#This Row],[Document ID]],Table1[],7,FALSE)</f>
        <v>First NDC updated</v>
      </c>
      <c r="F2508" s="236" t="str">
        <f>VLOOKUP(Table8[[#This Row],[Document ID]],Table1[],8,FALSE)</f>
        <v>NDC 1.1</v>
      </c>
      <c r="G2508" s="236" t="str">
        <f>VLOOKUP(Table8[[#This Row],[Document ID]],Table1[],10,FALSE)</f>
        <v>Archived</v>
      </c>
      <c r="H2508" s="43" t="s">
        <v>2358</v>
      </c>
      <c r="I2508" s="43" t="s">
        <v>2359</v>
      </c>
      <c r="J2508" s="44" t="s">
        <v>2360</v>
      </c>
      <c r="K2508" s="44" t="s">
        <v>4611</v>
      </c>
      <c r="L2508" s="44" t="s">
        <v>2333</v>
      </c>
      <c r="M2508" s="43">
        <v>10</v>
      </c>
      <c r="N2508" s="113" t="s">
        <v>1113</v>
      </c>
      <c r="O2508" s="113"/>
      <c r="P2508" s="113"/>
      <c r="Q2508" s="319"/>
      <c r="R2508" s="319"/>
      <c r="S2508" s="319"/>
      <c r="T2508" s="319"/>
      <c r="U2508" s="319"/>
      <c r="V2508" s="319"/>
      <c r="W2508" s="319"/>
      <c r="X2508" s="319"/>
      <c r="Y2508" s="113"/>
      <c r="Z2508" s="113"/>
      <c r="AA2508" s="319"/>
      <c r="AB2508" s="319"/>
      <c r="AC2508" s="319"/>
      <c r="AD2508" s="319"/>
      <c r="AE2508" s="319"/>
      <c r="AF2508" s="319"/>
      <c r="AG2508" s="319"/>
      <c r="AH2508" s="319"/>
      <c r="AI2508" s="319"/>
      <c r="AJ2508" s="319"/>
      <c r="AK2508" s="319" t="s">
        <v>1113</v>
      </c>
      <c r="AL2508" s="319"/>
      <c r="AM2508" s="319"/>
      <c r="AN2508" s="319"/>
      <c r="AO2508" s="44" t="s">
        <v>2334</v>
      </c>
      <c r="AP2508" s="44"/>
      <c r="AQ2508" s="236" t="str">
        <f>VLOOKUP(Table8[[#This Row],[Instrument]],Def_Targets!$D$73:$E$159,2,FALSE)</f>
        <v>I_Emobility</v>
      </c>
      <c r="AR2508" s="233" t="str">
        <f>VLOOKUP(Table8[[#This Row],[Country Code]],Table29[],3,FALSE)</f>
        <v>Non-Annex I</v>
      </c>
      <c r="AS2508" s="233" t="str">
        <f>VLOOKUP(Table8[[#This Row],[Country Code]],Table29[],4,FALSE)</f>
        <v>Asia</v>
      </c>
      <c r="AT2508" s="233" t="str">
        <f>VLOOKUP(Table8[[#This Row],[Country Code]],Table29[],5,FALSE)</f>
        <v>Middle-income</v>
      </c>
      <c r="AU2508" s="233" t="str">
        <f>VLOOKUP(Table8[[#This Row],[Country Code]],Table29[],6,FALSE)</f>
        <v>no</v>
      </c>
      <c r="AV2508" s="233" t="str">
        <f>VLOOKUP(Table8[[#This Row],[Country Code]],Table29[],7,FALSE)</f>
        <v>no</v>
      </c>
      <c r="AW2508" s="233" t="str">
        <f>VLOOKUP(Table8[[#This Row],[Country Code]],Table29[],8,FALSE)</f>
        <v>non-OECD</v>
      </c>
      <c r="AX2508" s="233" t="str">
        <f>VLOOKUP(Table8[[#This Row],[Country Code]],Table29[],9,FALSE)</f>
        <v>no</v>
      </c>
      <c r="AY2508" s="233" t="str">
        <f>VLOOKUP(Table8[[#This Row],[Country Code]],Table29[],10,FALSE)</f>
        <v>no</v>
      </c>
      <c r="AZ2508" s="235">
        <f>VLOOKUP(Table8[[#This Row],[Country Code]],Table29[],23,FALSE)</f>
        <v>524.13346380418</v>
      </c>
      <c r="BA2508" s="235">
        <f>VLOOKUP(Table8[[#This Row],[Country Code]],Table29[],24,FALSE)</f>
        <v>39.884378531634049</v>
      </c>
      <c r="BB2508" s="320"/>
      <c r="BC2508" s="320"/>
    </row>
    <row r="2509" spans="1:55" hidden="1" x14ac:dyDescent="0.25">
      <c r="A2509" s="373">
        <v>17786</v>
      </c>
      <c r="B2509" s="233" t="str">
        <f>VLOOKUP(Table8[[#This Row],[Document ID]],Table1[],2,FALSE)</f>
        <v>VNM</v>
      </c>
      <c r="C2509" s="233" t="str">
        <f>VLOOKUP(Table8[[#This Row],[Document ID]],Table1[],3,FALSE)</f>
        <v>Viet Nam</v>
      </c>
      <c r="D2509" s="243" t="str">
        <f>VLOOKUP(Table8[[#This Row],[Document ID]],Table1[],5,FALSE)</f>
        <v>NDC</v>
      </c>
      <c r="E2509" s="233" t="str">
        <f>VLOOKUP(Table8[[#This Row],[Document ID]],Table1[],7,FALSE)</f>
        <v>First NDC updated</v>
      </c>
      <c r="F2509" s="236" t="str">
        <f>VLOOKUP(Table8[[#This Row],[Document ID]],Table1[],8,FALSE)</f>
        <v>NDC 1.1</v>
      </c>
      <c r="G2509" s="236" t="str">
        <f>VLOOKUP(Table8[[#This Row],[Document ID]],Table1[],10,FALSE)</f>
        <v>Archived</v>
      </c>
      <c r="H2509" s="44" t="s">
        <v>2329</v>
      </c>
      <c r="I2509" s="44" t="s">
        <v>2330</v>
      </c>
      <c r="J2509" s="44" t="s">
        <v>2357</v>
      </c>
      <c r="K2509" s="44" t="s">
        <v>4611</v>
      </c>
      <c r="L2509" s="44" t="s">
        <v>2333</v>
      </c>
      <c r="M2509" s="43">
        <v>10</v>
      </c>
      <c r="N2509" s="113" t="s">
        <v>1113</v>
      </c>
      <c r="O2509" s="113"/>
      <c r="P2509" s="113"/>
      <c r="Q2509" s="319"/>
      <c r="R2509" s="319"/>
      <c r="S2509" s="319"/>
      <c r="T2509" s="319"/>
      <c r="U2509" s="319"/>
      <c r="V2509" s="319"/>
      <c r="W2509" s="319"/>
      <c r="X2509" s="319"/>
      <c r="Y2509" s="319"/>
      <c r="Z2509" s="319"/>
      <c r="AA2509" s="319"/>
      <c r="AB2509" s="319"/>
      <c r="AC2509" s="319"/>
      <c r="AD2509" s="319"/>
      <c r="AE2509" s="319"/>
      <c r="AF2509" s="319"/>
      <c r="AG2509" s="319"/>
      <c r="AH2509" s="319"/>
      <c r="AI2509" s="319"/>
      <c r="AJ2509" s="319"/>
      <c r="AK2509" s="319" t="s">
        <v>1113</v>
      </c>
      <c r="AL2509" s="319"/>
      <c r="AM2509" s="319"/>
      <c r="AN2509" s="319"/>
      <c r="AO2509" s="44" t="s">
        <v>2334</v>
      </c>
      <c r="AP2509" s="44"/>
      <c r="AQ2509" s="236" t="str">
        <f>VLOOKUP(Table8[[#This Row],[Instrument]],Def_Targets!$D$73:$E$159,2,FALSE)</f>
        <v>I_Biofuel</v>
      </c>
      <c r="AR2509" s="233" t="str">
        <f>VLOOKUP(Table8[[#This Row],[Country Code]],Table29[],3,FALSE)</f>
        <v>Non-Annex I</v>
      </c>
      <c r="AS2509" s="233" t="str">
        <f>VLOOKUP(Table8[[#This Row],[Country Code]],Table29[],4,FALSE)</f>
        <v>Asia</v>
      </c>
      <c r="AT2509" s="233" t="str">
        <f>VLOOKUP(Table8[[#This Row],[Country Code]],Table29[],5,FALSE)</f>
        <v>Middle-income</v>
      </c>
      <c r="AU2509" s="233" t="str">
        <f>VLOOKUP(Table8[[#This Row],[Country Code]],Table29[],6,FALSE)</f>
        <v>no</v>
      </c>
      <c r="AV2509" s="233" t="str">
        <f>VLOOKUP(Table8[[#This Row],[Country Code]],Table29[],7,FALSE)</f>
        <v>no</v>
      </c>
      <c r="AW2509" s="233" t="str">
        <f>VLOOKUP(Table8[[#This Row],[Country Code]],Table29[],8,FALSE)</f>
        <v>non-OECD</v>
      </c>
      <c r="AX2509" s="233" t="str">
        <f>VLOOKUP(Table8[[#This Row],[Country Code]],Table29[],9,FALSE)</f>
        <v>no</v>
      </c>
      <c r="AY2509" s="233" t="str">
        <f>VLOOKUP(Table8[[#This Row],[Country Code]],Table29[],10,FALSE)</f>
        <v>no</v>
      </c>
      <c r="AZ2509" s="235">
        <f>VLOOKUP(Table8[[#This Row],[Country Code]],Table29[],23,FALSE)</f>
        <v>524.13346380418</v>
      </c>
      <c r="BA2509" s="235">
        <f>VLOOKUP(Table8[[#This Row],[Country Code]],Table29[],24,FALSE)</f>
        <v>39.884378531634049</v>
      </c>
      <c r="BB2509" s="320"/>
      <c r="BC2509" s="320"/>
    </row>
    <row r="2510" spans="1:55" hidden="1" x14ac:dyDescent="0.25">
      <c r="A2510" s="373">
        <v>17786</v>
      </c>
      <c r="B2510" s="233" t="str">
        <f>VLOOKUP(Table8[[#This Row],[Document ID]],Table1[],2,FALSE)</f>
        <v>VNM</v>
      </c>
      <c r="C2510" s="233" t="str">
        <f>VLOOKUP(Table8[[#This Row],[Document ID]],Table1[],3,FALSE)</f>
        <v>Viet Nam</v>
      </c>
      <c r="D2510" s="243" t="str">
        <f>VLOOKUP(Table8[[#This Row],[Document ID]],Table1[],5,FALSE)</f>
        <v>NDC</v>
      </c>
      <c r="E2510" s="233" t="str">
        <f>VLOOKUP(Table8[[#This Row],[Document ID]],Table1[],7,FALSE)</f>
        <v>First NDC updated</v>
      </c>
      <c r="F2510" s="236" t="str">
        <f>VLOOKUP(Table8[[#This Row],[Document ID]],Table1[],8,FALSE)</f>
        <v>NDC 1.1</v>
      </c>
      <c r="G2510" s="236" t="str">
        <f>VLOOKUP(Table8[[#This Row],[Document ID]],Table1[],10,FALSE)</f>
        <v>Archived</v>
      </c>
      <c r="H2510" s="43" t="s">
        <v>2358</v>
      </c>
      <c r="I2510" s="43" t="s">
        <v>2359</v>
      </c>
      <c r="J2510" s="44" t="s">
        <v>2360</v>
      </c>
      <c r="K2510" s="44" t="s">
        <v>4612</v>
      </c>
      <c r="L2510" s="44" t="s">
        <v>2333</v>
      </c>
      <c r="M2510" s="43">
        <v>10</v>
      </c>
      <c r="N2510" s="113" t="s">
        <v>1113</v>
      </c>
      <c r="O2510" s="113"/>
      <c r="P2510" s="113"/>
      <c r="Q2510" s="319"/>
      <c r="R2510" s="319"/>
      <c r="S2510" s="319"/>
      <c r="T2510" s="319"/>
      <c r="U2510" s="319"/>
      <c r="V2510" s="319"/>
      <c r="W2510" s="319"/>
      <c r="X2510" s="319"/>
      <c r="Y2510" s="113"/>
      <c r="Z2510" s="113"/>
      <c r="AA2510" s="319"/>
      <c r="AB2510" s="319"/>
      <c r="AC2510" s="319"/>
      <c r="AD2510" s="319"/>
      <c r="AE2510" s="319"/>
      <c r="AF2510" s="319"/>
      <c r="AG2510" s="319"/>
      <c r="AH2510" s="319"/>
      <c r="AI2510" s="319"/>
      <c r="AJ2510" s="319"/>
      <c r="AK2510" s="319" t="s">
        <v>1113</v>
      </c>
      <c r="AL2510" s="319"/>
      <c r="AM2510" s="319"/>
      <c r="AN2510" s="319"/>
      <c r="AO2510" s="44" t="s">
        <v>2334</v>
      </c>
      <c r="AP2510" s="44"/>
      <c r="AQ2510" s="236" t="str">
        <f>VLOOKUP(Table8[[#This Row],[Instrument]],Def_Targets!$D$73:$E$159,2,FALSE)</f>
        <v>I_Emobility</v>
      </c>
      <c r="AR2510" s="233" t="str">
        <f>VLOOKUP(Table8[[#This Row],[Country Code]],Table29[],3,FALSE)</f>
        <v>Non-Annex I</v>
      </c>
      <c r="AS2510" s="233" t="str">
        <f>VLOOKUP(Table8[[#This Row],[Country Code]],Table29[],4,FALSE)</f>
        <v>Asia</v>
      </c>
      <c r="AT2510" s="233" t="str">
        <f>VLOOKUP(Table8[[#This Row],[Country Code]],Table29[],5,FALSE)</f>
        <v>Middle-income</v>
      </c>
      <c r="AU2510" s="233" t="str">
        <f>VLOOKUP(Table8[[#This Row],[Country Code]],Table29[],6,FALSE)</f>
        <v>no</v>
      </c>
      <c r="AV2510" s="233" t="str">
        <f>VLOOKUP(Table8[[#This Row],[Country Code]],Table29[],7,FALSE)</f>
        <v>no</v>
      </c>
      <c r="AW2510" s="233" t="str">
        <f>VLOOKUP(Table8[[#This Row],[Country Code]],Table29[],8,FALSE)</f>
        <v>non-OECD</v>
      </c>
      <c r="AX2510" s="233" t="str">
        <f>VLOOKUP(Table8[[#This Row],[Country Code]],Table29[],9,FALSE)</f>
        <v>no</v>
      </c>
      <c r="AY2510" s="233" t="str">
        <f>VLOOKUP(Table8[[#This Row],[Country Code]],Table29[],10,FALSE)</f>
        <v>no</v>
      </c>
      <c r="AZ2510" s="235">
        <f>VLOOKUP(Table8[[#This Row],[Country Code]],Table29[],23,FALSE)</f>
        <v>524.13346380418</v>
      </c>
      <c r="BA2510" s="235">
        <f>VLOOKUP(Table8[[#This Row],[Country Code]],Table29[],24,FALSE)</f>
        <v>39.884378531634049</v>
      </c>
      <c r="BB2510" s="320"/>
      <c r="BC2510" s="320"/>
    </row>
    <row r="2511" spans="1:55" hidden="1" x14ac:dyDescent="0.25">
      <c r="A2511" s="373">
        <v>17786</v>
      </c>
      <c r="B2511" s="233" t="str">
        <f>VLOOKUP(Table8[[#This Row],[Document ID]],Table1[],2,FALSE)</f>
        <v>VNM</v>
      </c>
      <c r="C2511" s="233" t="str">
        <f>VLOOKUP(Table8[[#This Row],[Document ID]],Table1[],3,FALSE)</f>
        <v>Viet Nam</v>
      </c>
      <c r="D2511" s="243" t="str">
        <f>VLOOKUP(Table8[[#This Row],[Document ID]],Table1[],5,FALSE)</f>
        <v>NDC</v>
      </c>
      <c r="E2511" s="233" t="str">
        <f>VLOOKUP(Table8[[#This Row],[Document ID]],Table1[],7,FALSE)</f>
        <v>First NDC updated</v>
      </c>
      <c r="F2511" s="236" t="str">
        <f>VLOOKUP(Table8[[#This Row],[Document ID]],Table1[],8,FALSE)</f>
        <v>NDC 1.1</v>
      </c>
      <c r="G2511" s="236" t="str">
        <f>VLOOKUP(Table8[[#This Row],[Document ID]],Table1[],10,FALSE)</f>
        <v>Archived</v>
      </c>
      <c r="H2511" s="44" t="s">
        <v>2338</v>
      </c>
      <c r="I2511" s="44" t="s">
        <v>2339</v>
      </c>
      <c r="J2511" s="44" t="s">
        <v>2413</v>
      </c>
      <c r="K2511" s="44" t="s">
        <v>4613</v>
      </c>
      <c r="L2511" s="44" t="s">
        <v>2333</v>
      </c>
      <c r="M2511" s="43">
        <v>10</v>
      </c>
      <c r="N2511" s="113" t="s">
        <v>1113</v>
      </c>
      <c r="O2511" s="113"/>
      <c r="P2511" s="113"/>
      <c r="Q2511" s="319"/>
      <c r="R2511" s="319"/>
      <c r="S2511" s="319"/>
      <c r="T2511" s="319"/>
      <c r="U2511" s="319"/>
      <c r="V2511" s="319"/>
      <c r="W2511" s="319"/>
      <c r="X2511" s="319"/>
      <c r="Y2511" s="113"/>
      <c r="Z2511" s="113"/>
      <c r="AA2511" s="319"/>
      <c r="AB2511" s="319"/>
      <c r="AC2511" s="319"/>
      <c r="AD2511" s="319"/>
      <c r="AE2511" s="319"/>
      <c r="AF2511" s="319"/>
      <c r="AG2511" s="319"/>
      <c r="AH2511" s="319"/>
      <c r="AI2511" s="319"/>
      <c r="AJ2511" s="319"/>
      <c r="AK2511" s="319" t="s">
        <v>1113</v>
      </c>
      <c r="AL2511" s="319"/>
      <c r="AM2511" s="319"/>
      <c r="AN2511" s="319"/>
      <c r="AO2511" s="44" t="s">
        <v>2334</v>
      </c>
      <c r="AP2511" s="44"/>
      <c r="AQ2511" s="236" t="str">
        <f>VLOOKUP(Table8[[#This Row],[Instrument]],Def_Targets!$D$73:$E$159,2,FALSE)</f>
        <v>I_Vehicleeff</v>
      </c>
      <c r="AR2511" s="233" t="str">
        <f>VLOOKUP(Table8[[#This Row],[Country Code]],Table29[],3,FALSE)</f>
        <v>Non-Annex I</v>
      </c>
      <c r="AS2511" s="233" t="str">
        <f>VLOOKUP(Table8[[#This Row],[Country Code]],Table29[],4,FALSE)</f>
        <v>Asia</v>
      </c>
      <c r="AT2511" s="233" t="str">
        <f>VLOOKUP(Table8[[#This Row],[Country Code]],Table29[],5,FALSE)</f>
        <v>Middle-income</v>
      </c>
      <c r="AU2511" s="233" t="str">
        <f>VLOOKUP(Table8[[#This Row],[Country Code]],Table29[],6,FALSE)</f>
        <v>no</v>
      </c>
      <c r="AV2511" s="233" t="str">
        <f>VLOOKUP(Table8[[#This Row],[Country Code]],Table29[],7,FALSE)</f>
        <v>no</v>
      </c>
      <c r="AW2511" s="233" t="str">
        <f>VLOOKUP(Table8[[#This Row],[Country Code]],Table29[],8,FALSE)</f>
        <v>non-OECD</v>
      </c>
      <c r="AX2511" s="233" t="str">
        <f>VLOOKUP(Table8[[#This Row],[Country Code]],Table29[],9,FALSE)</f>
        <v>no</v>
      </c>
      <c r="AY2511" s="233" t="str">
        <f>VLOOKUP(Table8[[#This Row],[Country Code]],Table29[],10,FALSE)</f>
        <v>no</v>
      </c>
      <c r="AZ2511" s="235">
        <f>VLOOKUP(Table8[[#This Row],[Country Code]],Table29[],23,FALSE)</f>
        <v>524.13346380418</v>
      </c>
      <c r="BA2511" s="235">
        <f>VLOOKUP(Table8[[#This Row],[Country Code]],Table29[],24,FALSE)</f>
        <v>39.884378531634049</v>
      </c>
      <c r="BB2511" s="320"/>
      <c r="BC2511" s="320"/>
    </row>
    <row r="2512" spans="1:55" hidden="1" x14ac:dyDescent="0.25">
      <c r="A2512" s="373">
        <v>17785</v>
      </c>
      <c r="B2512" s="233" t="str">
        <f>VLOOKUP(Table8[[#This Row],[Document ID]],Table1[],2,FALSE)</f>
        <v>VNM</v>
      </c>
      <c r="C2512" s="233" t="str">
        <f>VLOOKUP(Table8[[#This Row],[Document ID]],Table1[],3,FALSE)</f>
        <v>Viet Nam</v>
      </c>
      <c r="D2512" s="243" t="str">
        <f>VLOOKUP(Table8[[#This Row],[Document ID]],Table1[],5,FALSE)</f>
        <v>NDC</v>
      </c>
      <c r="E2512" s="233" t="str">
        <f>VLOOKUP(Table8[[#This Row],[Document ID]],Table1[],7,FALSE)</f>
        <v>First NDC</v>
      </c>
      <c r="F2512" s="236" t="str">
        <f>VLOOKUP(Table8[[#This Row],[Document ID]],Table1[],8,FALSE)</f>
        <v>NDC 1.0</v>
      </c>
      <c r="G2512" s="236" t="str">
        <f>VLOOKUP(Table8[[#This Row],[Document ID]],Table1[],10,FALSE)</f>
        <v>Archived</v>
      </c>
      <c r="H2512" s="44" t="s">
        <v>2338</v>
      </c>
      <c r="I2512" s="44" t="s">
        <v>2339</v>
      </c>
      <c r="J2512" s="44" t="s">
        <v>2340</v>
      </c>
      <c r="K2512" s="44" t="s">
        <v>4614</v>
      </c>
      <c r="L2512" s="44" t="s">
        <v>2333</v>
      </c>
      <c r="M2512" s="43"/>
      <c r="N2512" s="113" t="s">
        <v>1113</v>
      </c>
      <c r="O2512" s="113"/>
      <c r="P2512" s="113"/>
      <c r="Q2512" s="319"/>
      <c r="R2512" s="319"/>
      <c r="S2512" s="319"/>
      <c r="T2512" s="319"/>
      <c r="U2512" s="319"/>
      <c r="V2512" s="319"/>
      <c r="W2512" s="319"/>
      <c r="X2512" s="319"/>
      <c r="Y2512" s="319"/>
      <c r="Z2512" s="319"/>
      <c r="AA2512" s="319"/>
      <c r="AB2512" s="319"/>
      <c r="AC2512" s="319"/>
      <c r="AD2512" s="319"/>
      <c r="AE2512" s="319"/>
      <c r="AF2512" s="319"/>
      <c r="AG2512" s="319"/>
      <c r="AH2512" s="319"/>
      <c r="AI2512" s="319"/>
      <c r="AJ2512" s="319"/>
      <c r="AK2512" s="319" t="s">
        <v>1113</v>
      </c>
      <c r="AL2512" s="319"/>
      <c r="AM2512" s="319"/>
      <c r="AN2512" s="319"/>
      <c r="AO2512" s="44" t="s">
        <v>2334</v>
      </c>
      <c r="AP2512" s="44"/>
      <c r="AQ2512" s="236" t="str">
        <f>VLOOKUP(Table8[[#This Row],[Instrument]],Def_Targets!$D$73:$E$159,2,FALSE)</f>
        <v>I_Vehicleimprove</v>
      </c>
      <c r="AR2512" s="233" t="str">
        <f>VLOOKUP(Table8[[#This Row],[Country Code]],Table29[],3,FALSE)</f>
        <v>Non-Annex I</v>
      </c>
      <c r="AS2512" s="233" t="str">
        <f>VLOOKUP(Table8[[#This Row],[Country Code]],Table29[],4,FALSE)</f>
        <v>Asia</v>
      </c>
      <c r="AT2512" s="233" t="str">
        <f>VLOOKUP(Table8[[#This Row],[Country Code]],Table29[],5,FALSE)</f>
        <v>Middle-income</v>
      </c>
      <c r="AU2512" s="233" t="str">
        <f>VLOOKUP(Table8[[#This Row],[Country Code]],Table29[],6,FALSE)</f>
        <v>no</v>
      </c>
      <c r="AV2512" s="233" t="str">
        <f>VLOOKUP(Table8[[#This Row],[Country Code]],Table29[],7,FALSE)</f>
        <v>no</v>
      </c>
      <c r="AW2512" s="233" t="str">
        <f>VLOOKUP(Table8[[#This Row],[Country Code]],Table29[],8,FALSE)</f>
        <v>non-OECD</v>
      </c>
      <c r="AX2512" s="233" t="str">
        <f>VLOOKUP(Table8[[#This Row],[Country Code]],Table29[],9,FALSE)</f>
        <v>no</v>
      </c>
      <c r="AY2512" s="233" t="str">
        <f>VLOOKUP(Table8[[#This Row],[Country Code]],Table29[],10,FALSE)</f>
        <v>no</v>
      </c>
      <c r="AZ2512" s="235">
        <f>VLOOKUP(Table8[[#This Row],[Country Code]],Table29[],23,FALSE)</f>
        <v>524.13346380418</v>
      </c>
      <c r="BA2512" s="235">
        <f>VLOOKUP(Table8[[#This Row],[Country Code]],Table29[],24,FALSE)</f>
        <v>39.884378531634049</v>
      </c>
      <c r="BB2512" s="320"/>
      <c r="BC2512" s="320"/>
    </row>
    <row r="2513" spans="1:55" ht="30" hidden="1" x14ac:dyDescent="0.25">
      <c r="A2513" s="373">
        <v>17785</v>
      </c>
      <c r="B2513" s="233" t="str">
        <f>VLOOKUP(Table8[[#This Row],[Document ID]],Table1[],2,FALSE)</f>
        <v>VNM</v>
      </c>
      <c r="C2513" s="233" t="str">
        <f>VLOOKUP(Table8[[#This Row],[Document ID]],Table1[],3,FALSE)</f>
        <v>Viet Nam</v>
      </c>
      <c r="D2513" s="243" t="str">
        <f>VLOOKUP(Table8[[#This Row],[Document ID]],Table1[],5,FALSE)</f>
        <v>NDC</v>
      </c>
      <c r="E2513" s="233" t="str">
        <f>VLOOKUP(Table8[[#This Row],[Document ID]],Table1[],7,FALSE)</f>
        <v>First NDC</v>
      </c>
      <c r="F2513" s="236" t="str">
        <f>VLOOKUP(Table8[[#This Row],[Document ID]],Table1[],8,FALSE)</f>
        <v>NDC 1.0</v>
      </c>
      <c r="G2513" s="236" t="str">
        <f>VLOOKUP(Table8[[#This Row],[Document ID]],Table1[],10,FALSE)</f>
        <v>Archived</v>
      </c>
      <c r="H2513" s="43" t="s">
        <v>2350</v>
      </c>
      <c r="I2513" s="43" t="s">
        <v>2351</v>
      </c>
      <c r="J2513" s="44" t="s">
        <v>2352</v>
      </c>
      <c r="K2513" s="44" t="s">
        <v>4615</v>
      </c>
      <c r="L2513" s="44" t="s">
        <v>2347</v>
      </c>
      <c r="M2513" s="43"/>
      <c r="N2513" s="113"/>
      <c r="O2513" s="113"/>
      <c r="P2513" s="113"/>
      <c r="Q2513" s="319"/>
      <c r="R2513" s="319"/>
      <c r="S2513" s="319" t="s">
        <v>1113</v>
      </c>
      <c r="T2513" s="319"/>
      <c r="U2513" s="319"/>
      <c r="V2513" s="319"/>
      <c r="W2513" s="319"/>
      <c r="X2513" s="319"/>
      <c r="Y2513" s="319"/>
      <c r="Z2513" s="319" t="s">
        <v>1113</v>
      </c>
      <c r="AA2513" s="319"/>
      <c r="AB2513" s="319"/>
      <c r="AC2513" s="319"/>
      <c r="AD2513" s="319"/>
      <c r="AE2513" s="319"/>
      <c r="AF2513" s="319" t="s">
        <v>1113</v>
      </c>
      <c r="AG2513" s="319"/>
      <c r="AH2513" s="319"/>
      <c r="AI2513" s="319"/>
      <c r="AJ2513" s="319"/>
      <c r="AK2513" s="319" t="s">
        <v>1113</v>
      </c>
      <c r="AL2513" s="319"/>
      <c r="AM2513" s="319"/>
      <c r="AN2513" s="319"/>
      <c r="AO2513" s="43" t="s">
        <v>2353</v>
      </c>
      <c r="AP2513" s="44"/>
      <c r="AQ2513" s="236" t="str">
        <f>VLOOKUP(Table8[[#This Row],[Instrument]],Def_Targets!$D$73:$E$159,2,FALSE)</f>
        <v>S_Railfreight</v>
      </c>
      <c r="AR2513" s="233" t="str">
        <f>VLOOKUP(Table8[[#This Row],[Country Code]],Table29[],3,FALSE)</f>
        <v>Non-Annex I</v>
      </c>
      <c r="AS2513" s="233" t="str">
        <f>VLOOKUP(Table8[[#This Row],[Country Code]],Table29[],4,FALSE)</f>
        <v>Asia</v>
      </c>
      <c r="AT2513" s="233" t="str">
        <f>VLOOKUP(Table8[[#This Row],[Country Code]],Table29[],5,FALSE)</f>
        <v>Middle-income</v>
      </c>
      <c r="AU2513" s="233" t="str">
        <f>VLOOKUP(Table8[[#This Row],[Country Code]],Table29[],6,FALSE)</f>
        <v>no</v>
      </c>
      <c r="AV2513" s="233" t="str">
        <f>VLOOKUP(Table8[[#This Row],[Country Code]],Table29[],7,FALSE)</f>
        <v>no</v>
      </c>
      <c r="AW2513" s="233" t="str">
        <f>VLOOKUP(Table8[[#This Row],[Country Code]],Table29[],8,FALSE)</f>
        <v>non-OECD</v>
      </c>
      <c r="AX2513" s="233" t="str">
        <f>VLOOKUP(Table8[[#This Row],[Country Code]],Table29[],9,FALSE)</f>
        <v>no</v>
      </c>
      <c r="AY2513" s="233" t="str">
        <f>VLOOKUP(Table8[[#This Row],[Country Code]],Table29[],10,FALSE)</f>
        <v>no</v>
      </c>
      <c r="AZ2513" s="235">
        <f>VLOOKUP(Table8[[#This Row],[Country Code]],Table29[],23,FALSE)</f>
        <v>524.13346380418</v>
      </c>
      <c r="BA2513" s="235">
        <f>VLOOKUP(Table8[[#This Row],[Country Code]],Table29[],24,FALSE)</f>
        <v>39.884378531634049</v>
      </c>
      <c r="BB2513" s="320"/>
      <c r="BC2513" s="320"/>
    </row>
    <row r="2514" spans="1:55" hidden="1" x14ac:dyDescent="0.25">
      <c r="A2514" s="373">
        <v>17785</v>
      </c>
      <c r="B2514" s="233" t="str">
        <f>VLOOKUP(Table8[[#This Row],[Document ID]],Table1[],2,FALSE)</f>
        <v>VNM</v>
      </c>
      <c r="C2514" s="233" t="str">
        <f>VLOOKUP(Table8[[#This Row],[Document ID]],Table1[],3,FALSE)</f>
        <v>Viet Nam</v>
      </c>
      <c r="D2514" s="243" t="str">
        <f>VLOOKUP(Table8[[#This Row],[Document ID]],Table1[],5,FALSE)</f>
        <v>NDC</v>
      </c>
      <c r="E2514" s="233" t="str">
        <f>VLOOKUP(Table8[[#This Row],[Document ID]],Table1[],7,FALSE)</f>
        <v>First NDC</v>
      </c>
      <c r="F2514" s="236" t="str">
        <f>VLOOKUP(Table8[[#This Row],[Document ID]],Table1[],8,FALSE)</f>
        <v>NDC 1.0</v>
      </c>
      <c r="G2514" s="236" t="str">
        <f>VLOOKUP(Table8[[#This Row],[Document ID]],Table1[],10,FALSE)</f>
        <v>Archived</v>
      </c>
      <c r="H2514" s="44" t="s">
        <v>2329</v>
      </c>
      <c r="I2514" s="44" t="s">
        <v>2330</v>
      </c>
      <c r="J2514" s="44" t="s">
        <v>2363</v>
      </c>
      <c r="K2514" s="44" t="s">
        <v>4616</v>
      </c>
      <c r="L2514" s="44" t="s">
        <v>2333</v>
      </c>
      <c r="M2514" s="43"/>
      <c r="N2514" s="113"/>
      <c r="O2514" s="113"/>
      <c r="P2514" s="113"/>
      <c r="Q2514" s="319"/>
      <c r="R2514" s="319"/>
      <c r="S2514" s="319"/>
      <c r="T2514" s="319"/>
      <c r="U2514" s="319"/>
      <c r="V2514" s="319"/>
      <c r="W2514" s="319" t="s">
        <v>1113</v>
      </c>
      <c r="X2514" s="319"/>
      <c r="Y2514" s="113" t="s">
        <v>1113</v>
      </c>
      <c r="Z2514" s="113"/>
      <c r="AA2514" s="319"/>
      <c r="AB2514" s="319"/>
      <c r="AC2514" s="319"/>
      <c r="AD2514" s="319"/>
      <c r="AE2514" s="319"/>
      <c r="AF2514" s="319"/>
      <c r="AG2514" s="319"/>
      <c r="AH2514" s="319"/>
      <c r="AI2514" s="319"/>
      <c r="AJ2514" s="319"/>
      <c r="AK2514" s="319" t="s">
        <v>1113</v>
      </c>
      <c r="AL2514" s="319"/>
      <c r="AM2514" s="319"/>
      <c r="AN2514" s="319"/>
      <c r="AO2514" s="43" t="s">
        <v>2348</v>
      </c>
      <c r="AP2514" s="44"/>
      <c r="AQ2514" s="236" t="str">
        <f>VLOOKUP(Table8[[#This Row],[Instrument]],Def_Targets!$D$73:$E$159,2,FALSE)</f>
        <v>I_LPGCNGLNG</v>
      </c>
      <c r="AR2514" s="233" t="str">
        <f>VLOOKUP(Table8[[#This Row],[Country Code]],Table29[],3,FALSE)</f>
        <v>Non-Annex I</v>
      </c>
      <c r="AS2514" s="233" t="str">
        <f>VLOOKUP(Table8[[#This Row],[Country Code]],Table29[],4,FALSE)</f>
        <v>Asia</v>
      </c>
      <c r="AT2514" s="233" t="str">
        <f>VLOOKUP(Table8[[#This Row],[Country Code]],Table29[],5,FALSE)</f>
        <v>Middle-income</v>
      </c>
      <c r="AU2514" s="233" t="str">
        <f>VLOOKUP(Table8[[#This Row],[Country Code]],Table29[],6,FALSE)</f>
        <v>no</v>
      </c>
      <c r="AV2514" s="233" t="str">
        <f>VLOOKUP(Table8[[#This Row],[Country Code]],Table29[],7,FALSE)</f>
        <v>no</v>
      </c>
      <c r="AW2514" s="233" t="str">
        <f>VLOOKUP(Table8[[#This Row],[Country Code]],Table29[],8,FALSE)</f>
        <v>non-OECD</v>
      </c>
      <c r="AX2514" s="233" t="str">
        <f>VLOOKUP(Table8[[#This Row],[Country Code]],Table29[],9,FALSE)</f>
        <v>no</v>
      </c>
      <c r="AY2514" s="233" t="str">
        <f>VLOOKUP(Table8[[#This Row],[Country Code]],Table29[],10,FALSE)</f>
        <v>no</v>
      </c>
      <c r="AZ2514" s="235">
        <f>VLOOKUP(Table8[[#This Row],[Country Code]],Table29[],23,FALSE)</f>
        <v>524.13346380418</v>
      </c>
      <c r="BA2514" s="235">
        <f>VLOOKUP(Table8[[#This Row],[Country Code]],Table29[],24,FALSE)</f>
        <v>39.884378531634049</v>
      </c>
      <c r="BB2514" s="320"/>
      <c r="BC2514" s="320"/>
    </row>
    <row r="2515" spans="1:55" hidden="1" x14ac:dyDescent="0.25">
      <c r="A2515" s="373">
        <v>17785</v>
      </c>
      <c r="B2515" s="233" t="str">
        <f>VLOOKUP(Table8[[#This Row],[Document ID]],Table1[],2,FALSE)</f>
        <v>VNM</v>
      </c>
      <c r="C2515" s="233" t="str">
        <f>VLOOKUP(Table8[[#This Row],[Document ID]],Table1[],3,FALSE)</f>
        <v>Viet Nam</v>
      </c>
      <c r="D2515" s="243" t="str">
        <f>VLOOKUP(Table8[[#This Row],[Document ID]],Table1[],5,FALSE)</f>
        <v>NDC</v>
      </c>
      <c r="E2515" s="233" t="str">
        <f>VLOOKUP(Table8[[#This Row],[Document ID]],Table1[],7,FALSE)</f>
        <v>First NDC</v>
      </c>
      <c r="F2515" s="236" t="str">
        <f>VLOOKUP(Table8[[#This Row],[Document ID]],Table1[],8,FALSE)</f>
        <v>NDC 1.0</v>
      </c>
      <c r="G2515" s="236" t="str">
        <f>VLOOKUP(Table8[[#This Row],[Document ID]],Table1[],10,FALSE)</f>
        <v>Archived</v>
      </c>
      <c r="H2515" s="44" t="s">
        <v>2338</v>
      </c>
      <c r="I2515" s="44" t="s">
        <v>2339</v>
      </c>
      <c r="J2515" s="44" t="s">
        <v>2556</v>
      </c>
      <c r="K2515" s="44" t="s">
        <v>4614</v>
      </c>
      <c r="L2515" s="44" t="s">
        <v>2333</v>
      </c>
      <c r="M2515" s="43"/>
      <c r="N2515" s="113" t="s">
        <v>1113</v>
      </c>
      <c r="O2515" s="113"/>
      <c r="P2515" s="113"/>
      <c r="Q2515" s="319"/>
      <c r="R2515" s="319"/>
      <c r="S2515" s="319"/>
      <c r="T2515" s="319"/>
      <c r="U2515" s="319"/>
      <c r="V2515" s="319"/>
      <c r="W2515" s="319"/>
      <c r="X2515" s="319"/>
      <c r="Y2515" s="319"/>
      <c r="Z2515" s="319"/>
      <c r="AA2515" s="319"/>
      <c r="AB2515" s="319"/>
      <c r="AC2515" s="319"/>
      <c r="AD2515" s="319"/>
      <c r="AE2515" s="319"/>
      <c r="AF2515" s="319"/>
      <c r="AG2515" s="319"/>
      <c r="AH2515" s="319"/>
      <c r="AI2515" s="319"/>
      <c r="AJ2515" s="319"/>
      <c r="AK2515" s="319" t="s">
        <v>1113</v>
      </c>
      <c r="AL2515" s="319"/>
      <c r="AM2515" s="319"/>
      <c r="AN2515" s="319"/>
      <c r="AO2515" s="44" t="s">
        <v>2334</v>
      </c>
      <c r="AP2515" s="44"/>
      <c r="AQ2515" s="236" t="str">
        <f>VLOOKUP(Table8[[#This Row],[Instrument]],Def_Targets!$D$73:$E$159,2,FALSE)</f>
        <v>I_Fuelqualimprove</v>
      </c>
      <c r="AR2515" s="233" t="str">
        <f>VLOOKUP(Table8[[#This Row],[Country Code]],Table29[],3,FALSE)</f>
        <v>Non-Annex I</v>
      </c>
      <c r="AS2515" s="233" t="str">
        <f>VLOOKUP(Table8[[#This Row],[Country Code]],Table29[],4,FALSE)</f>
        <v>Asia</v>
      </c>
      <c r="AT2515" s="233" t="str">
        <f>VLOOKUP(Table8[[#This Row],[Country Code]],Table29[],5,FALSE)</f>
        <v>Middle-income</v>
      </c>
      <c r="AU2515" s="233" t="str">
        <f>VLOOKUP(Table8[[#This Row],[Country Code]],Table29[],6,FALSE)</f>
        <v>no</v>
      </c>
      <c r="AV2515" s="233" t="str">
        <f>VLOOKUP(Table8[[#This Row],[Country Code]],Table29[],7,FALSE)</f>
        <v>no</v>
      </c>
      <c r="AW2515" s="233" t="str">
        <f>VLOOKUP(Table8[[#This Row],[Country Code]],Table29[],8,FALSE)</f>
        <v>non-OECD</v>
      </c>
      <c r="AX2515" s="233" t="str">
        <f>VLOOKUP(Table8[[#This Row],[Country Code]],Table29[],9,FALSE)</f>
        <v>no</v>
      </c>
      <c r="AY2515" s="233" t="str">
        <f>VLOOKUP(Table8[[#This Row],[Country Code]],Table29[],10,FALSE)</f>
        <v>no</v>
      </c>
      <c r="AZ2515" s="235">
        <f>VLOOKUP(Table8[[#This Row],[Country Code]],Table29[],23,FALSE)</f>
        <v>524.13346380418</v>
      </c>
      <c r="BA2515" s="235">
        <f>VLOOKUP(Table8[[#This Row],[Country Code]],Table29[],24,FALSE)</f>
        <v>39.884378531634049</v>
      </c>
      <c r="BB2515" s="320"/>
      <c r="BC2515" s="320"/>
    </row>
    <row r="2516" spans="1:55" hidden="1" x14ac:dyDescent="0.25">
      <c r="A2516" s="373">
        <v>17785</v>
      </c>
      <c r="B2516" s="233" t="str">
        <f>VLOOKUP(Table8[[#This Row],[Document ID]],Table1[],2,FALSE)</f>
        <v>VNM</v>
      </c>
      <c r="C2516" s="233" t="str">
        <f>VLOOKUP(Table8[[#This Row],[Document ID]],Table1[],3,FALSE)</f>
        <v>Viet Nam</v>
      </c>
      <c r="D2516" s="243" t="str">
        <f>VLOOKUP(Table8[[#This Row],[Document ID]],Table1[],5,FALSE)</f>
        <v>NDC</v>
      </c>
      <c r="E2516" s="233" t="str">
        <f>VLOOKUP(Table8[[#This Row],[Document ID]],Table1[],7,FALSE)</f>
        <v>First NDC</v>
      </c>
      <c r="F2516" s="236" t="str">
        <f>VLOOKUP(Table8[[#This Row],[Document ID]],Table1[],8,FALSE)</f>
        <v>NDC 1.0</v>
      </c>
      <c r="G2516" s="236" t="str">
        <f>VLOOKUP(Table8[[#This Row],[Document ID]],Table1[],10,FALSE)</f>
        <v>Archived</v>
      </c>
      <c r="H2516" s="44" t="s">
        <v>2338</v>
      </c>
      <c r="I2516" s="44" t="s">
        <v>2339</v>
      </c>
      <c r="J2516" s="44" t="s">
        <v>2451</v>
      </c>
      <c r="K2516" s="44" t="s">
        <v>4614</v>
      </c>
      <c r="L2516" s="44" t="s">
        <v>2333</v>
      </c>
      <c r="M2516" s="43"/>
      <c r="N2516" s="113" t="s">
        <v>1113</v>
      </c>
      <c r="O2516" s="113"/>
      <c r="P2516" s="113"/>
      <c r="Q2516" s="319"/>
      <c r="R2516" s="319"/>
      <c r="S2516" s="319"/>
      <c r="T2516" s="319"/>
      <c r="U2516" s="319"/>
      <c r="V2516" s="319"/>
      <c r="W2516" s="319"/>
      <c r="X2516" s="319"/>
      <c r="Y2516" s="113"/>
      <c r="Z2516" s="113"/>
      <c r="AA2516" s="319"/>
      <c r="AB2516" s="319"/>
      <c r="AC2516" s="319"/>
      <c r="AD2516" s="319"/>
      <c r="AE2516" s="319"/>
      <c r="AF2516" s="319"/>
      <c r="AG2516" s="319"/>
      <c r="AH2516" s="319"/>
      <c r="AI2516" s="319"/>
      <c r="AJ2516" s="319"/>
      <c r="AK2516" s="319" t="s">
        <v>1113</v>
      </c>
      <c r="AL2516" s="319"/>
      <c r="AM2516" s="319"/>
      <c r="AN2516" s="319"/>
      <c r="AO2516" s="44" t="s">
        <v>2334</v>
      </c>
      <c r="AP2516" s="44"/>
      <c r="AQ2516" s="236" t="str">
        <f>VLOOKUP(Table8[[#This Row],[Instrument]],Def_Targets!$D$73:$E$159,2,FALSE)</f>
        <v>I_Inspection</v>
      </c>
      <c r="AR2516" s="233" t="str">
        <f>VLOOKUP(Table8[[#This Row],[Country Code]],Table29[],3,FALSE)</f>
        <v>Non-Annex I</v>
      </c>
      <c r="AS2516" s="233" t="str">
        <f>VLOOKUP(Table8[[#This Row],[Country Code]],Table29[],4,FALSE)</f>
        <v>Asia</v>
      </c>
      <c r="AT2516" s="233" t="str">
        <f>VLOOKUP(Table8[[#This Row],[Country Code]],Table29[],5,FALSE)</f>
        <v>Middle-income</v>
      </c>
      <c r="AU2516" s="233" t="str">
        <f>VLOOKUP(Table8[[#This Row],[Country Code]],Table29[],6,FALSE)</f>
        <v>no</v>
      </c>
      <c r="AV2516" s="233" t="str">
        <f>VLOOKUP(Table8[[#This Row],[Country Code]],Table29[],7,FALSE)</f>
        <v>no</v>
      </c>
      <c r="AW2516" s="233" t="str">
        <f>VLOOKUP(Table8[[#This Row],[Country Code]],Table29[],8,FALSE)</f>
        <v>non-OECD</v>
      </c>
      <c r="AX2516" s="233" t="str">
        <f>VLOOKUP(Table8[[#This Row],[Country Code]],Table29[],9,FALSE)</f>
        <v>no</v>
      </c>
      <c r="AY2516" s="233" t="str">
        <f>VLOOKUP(Table8[[#This Row],[Country Code]],Table29[],10,FALSE)</f>
        <v>no</v>
      </c>
      <c r="AZ2516" s="235">
        <f>VLOOKUP(Table8[[#This Row],[Country Code]],Table29[],23,FALSE)</f>
        <v>524.13346380418</v>
      </c>
      <c r="BA2516" s="235">
        <f>VLOOKUP(Table8[[#This Row],[Country Code]],Table29[],24,FALSE)</f>
        <v>39.884378531634049</v>
      </c>
      <c r="BB2516" s="320"/>
      <c r="BC2516" s="320"/>
    </row>
    <row r="2517" spans="1:55" hidden="1" x14ac:dyDescent="0.25">
      <c r="A2517" s="373">
        <v>17785</v>
      </c>
      <c r="B2517" s="233" t="str">
        <f>VLOOKUP(Table8[[#This Row],[Document ID]],Table1[],2,FALSE)</f>
        <v>VNM</v>
      </c>
      <c r="C2517" s="233" t="str">
        <f>VLOOKUP(Table8[[#This Row],[Document ID]],Table1[],3,FALSE)</f>
        <v>Viet Nam</v>
      </c>
      <c r="D2517" s="243" t="str">
        <f>VLOOKUP(Table8[[#This Row],[Document ID]],Table1[],5,FALSE)</f>
        <v>NDC</v>
      </c>
      <c r="E2517" s="233" t="str">
        <f>VLOOKUP(Table8[[#This Row],[Document ID]],Table1[],7,FALSE)</f>
        <v>First NDC</v>
      </c>
      <c r="F2517" s="236" t="str">
        <f>VLOOKUP(Table8[[#This Row],[Document ID]],Table1[],8,FALSE)</f>
        <v>NDC 1.0</v>
      </c>
      <c r="G2517" s="236" t="str">
        <f>VLOOKUP(Table8[[#This Row],[Document ID]],Table1[],10,FALSE)</f>
        <v>Archived</v>
      </c>
      <c r="H2517" s="43" t="s">
        <v>2343</v>
      </c>
      <c r="I2517" s="43" t="s">
        <v>2344</v>
      </c>
      <c r="J2517" s="44" t="s">
        <v>2405</v>
      </c>
      <c r="K2517" s="44" t="s">
        <v>4617</v>
      </c>
      <c r="L2517" s="44" t="s">
        <v>2347</v>
      </c>
      <c r="M2517" s="43"/>
      <c r="N2517" s="113"/>
      <c r="O2517" s="113"/>
      <c r="P2517" s="113"/>
      <c r="Q2517" s="319"/>
      <c r="R2517" s="319"/>
      <c r="S2517" s="319"/>
      <c r="T2517" s="319"/>
      <c r="U2517" s="319"/>
      <c r="V2517" s="319"/>
      <c r="W2517" s="319"/>
      <c r="X2517" s="319"/>
      <c r="Y2517" s="319" t="s">
        <v>1113</v>
      </c>
      <c r="Z2517" s="319"/>
      <c r="AA2517" s="319"/>
      <c r="AB2517" s="319"/>
      <c r="AC2517" s="319" t="s">
        <v>1113</v>
      </c>
      <c r="AD2517" s="319"/>
      <c r="AE2517" s="319"/>
      <c r="AF2517" s="319"/>
      <c r="AG2517" s="319"/>
      <c r="AH2517" s="319"/>
      <c r="AI2517" s="319"/>
      <c r="AJ2517" s="319"/>
      <c r="AK2517" s="319"/>
      <c r="AL2517" s="319" t="s">
        <v>1113</v>
      </c>
      <c r="AM2517" s="319"/>
      <c r="AN2517" s="319"/>
      <c r="AO2517" s="43" t="s">
        <v>2348</v>
      </c>
      <c r="AP2517" s="44"/>
      <c r="AQ2517" s="236" t="str">
        <f>VLOOKUP(Table8[[#This Row],[Instrument]],Def_Targets!$D$73:$E$159,2,FALSE)</f>
        <v>S_PTIntegration</v>
      </c>
      <c r="AR2517" s="233" t="str">
        <f>VLOOKUP(Table8[[#This Row],[Country Code]],Table29[],3,FALSE)</f>
        <v>Non-Annex I</v>
      </c>
      <c r="AS2517" s="233" t="str">
        <f>VLOOKUP(Table8[[#This Row],[Country Code]],Table29[],4,FALSE)</f>
        <v>Asia</v>
      </c>
      <c r="AT2517" s="233" t="str">
        <f>VLOOKUP(Table8[[#This Row],[Country Code]],Table29[],5,FALSE)</f>
        <v>Middle-income</v>
      </c>
      <c r="AU2517" s="233" t="str">
        <f>VLOOKUP(Table8[[#This Row],[Country Code]],Table29[],6,FALSE)</f>
        <v>no</v>
      </c>
      <c r="AV2517" s="233" t="str">
        <f>VLOOKUP(Table8[[#This Row],[Country Code]],Table29[],7,FALSE)</f>
        <v>no</v>
      </c>
      <c r="AW2517" s="233" t="str">
        <f>VLOOKUP(Table8[[#This Row],[Country Code]],Table29[],8,FALSE)</f>
        <v>non-OECD</v>
      </c>
      <c r="AX2517" s="233" t="str">
        <f>VLOOKUP(Table8[[#This Row],[Country Code]],Table29[],9,FALSE)</f>
        <v>no</v>
      </c>
      <c r="AY2517" s="233" t="str">
        <f>VLOOKUP(Table8[[#This Row],[Country Code]],Table29[],10,FALSE)</f>
        <v>no</v>
      </c>
      <c r="AZ2517" s="235">
        <f>VLOOKUP(Table8[[#This Row],[Country Code]],Table29[],23,FALSE)</f>
        <v>524.13346380418</v>
      </c>
      <c r="BA2517" s="235">
        <f>VLOOKUP(Table8[[#This Row],[Country Code]],Table29[],24,FALSE)</f>
        <v>39.884378531634049</v>
      </c>
      <c r="BB2517" s="320"/>
      <c r="BC2517" s="320"/>
    </row>
    <row r="2518" spans="1:55" ht="30" hidden="1" x14ac:dyDescent="0.25">
      <c r="A2518" s="373">
        <v>32525</v>
      </c>
      <c r="B2518" s="233" t="str">
        <f>VLOOKUP(Table8[[#This Row],[Document ID]],Table1[],2,FALSE)</f>
        <v>VNM</v>
      </c>
      <c r="C2518" s="233" t="str">
        <f>VLOOKUP(Table8[[#This Row],[Document ID]],Table1[],3,FALSE)</f>
        <v>Viet Nam</v>
      </c>
      <c r="D2518" s="243" t="str">
        <f>VLOOKUP(Table8[[#This Row],[Document ID]],Table1[],5,FALSE)</f>
        <v>NDC</v>
      </c>
      <c r="E2518" s="233" t="str">
        <f>VLOOKUP(Table8[[#This Row],[Document ID]],Table1[],7,FALSE)</f>
        <v>First NDC updated</v>
      </c>
      <c r="F2518" s="233" t="str">
        <f>VLOOKUP(Table8[[#This Row],[Document ID]],Table1[],8,FALSE)</f>
        <v>NDC 1.2</v>
      </c>
      <c r="G2518" s="233" t="str">
        <f>VLOOKUP(Table8[[#This Row],[Document ID]],Table1[],10,FALSE)</f>
        <v>Active</v>
      </c>
      <c r="H2518" s="43" t="s">
        <v>2350</v>
      </c>
      <c r="I2518" s="43" t="s">
        <v>2370</v>
      </c>
      <c r="J2518" s="44" t="s">
        <v>2418</v>
      </c>
      <c r="K2518" s="44" t="s">
        <v>4618</v>
      </c>
      <c r="L2518" s="44" t="s">
        <v>2373</v>
      </c>
      <c r="M2518" s="43">
        <v>5</v>
      </c>
      <c r="N2518" s="113" t="s">
        <v>1113</v>
      </c>
      <c r="O2518" s="113"/>
      <c r="P2518" s="113"/>
      <c r="Q2518" s="113"/>
      <c r="R2518" s="113"/>
      <c r="S2518" s="113"/>
      <c r="T2518" s="113"/>
      <c r="U2518" s="113"/>
      <c r="V2518" s="113"/>
      <c r="W2518" s="113"/>
      <c r="X2518" s="113"/>
      <c r="Y2518" s="113"/>
      <c r="Z2518" s="113"/>
      <c r="AA2518" s="113"/>
      <c r="AB2518" s="113"/>
      <c r="AC2518" s="113"/>
      <c r="AD2518" s="113"/>
      <c r="AE2518" s="113"/>
      <c r="AF2518" s="113"/>
      <c r="AG2518" s="113"/>
      <c r="AH2518" s="113"/>
      <c r="AI2518" s="113"/>
      <c r="AJ2518" s="113"/>
      <c r="AK2518" s="113" t="s">
        <v>1113</v>
      </c>
      <c r="AL2518" s="113"/>
      <c r="AM2518" s="113"/>
      <c r="AN2518" s="113"/>
      <c r="AO2518" s="44" t="s">
        <v>2334</v>
      </c>
      <c r="AP2518" s="43"/>
      <c r="AQ2518" s="236" t="str">
        <f>VLOOKUP(Table8[[#This Row],[Instrument]],Def_Targets!$D$73:$E$159,2,FALSE)</f>
        <v>A_Complan</v>
      </c>
      <c r="AR2518" s="233" t="str">
        <f>VLOOKUP(Table8[[#This Row],[Country Code]],Table29[],3,FALSE)</f>
        <v>Non-Annex I</v>
      </c>
      <c r="AS2518" s="233" t="str">
        <f>VLOOKUP(Table8[[#This Row],[Country Code]],Table29[],4,FALSE)</f>
        <v>Asia</v>
      </c>
      <c r="AT2518" s="233" t="str">
        <f>VLOOKUP(Table8[[#This Row],[Country Code]],Table29[],5,FALSE)</f>
        <v>Middle-income</v>
      </c>
      <c r="AU2518" s="233" t="str">
        <f>VLOOKUP(Table8[[#This Row],[Country Code]],Table29[],6,FALSE)</f>
        <v>no</v>
      </c>
      <c r="AV2518" s="233" t="str">
        <f>VLOOKUP(Table8[[#This Row],[Country Code]],Table29[],7,FALSE)</f>
        <v>no</v>
      </c>
      <c r="AW2518" s="233" t="str">
        <f>VLOOKUP(Table8[[#This Row],[Country Code]],Table29[],8,FALSE)</f>
        <v>non-OECD</v>
      </c>
      <c r="AX2518" s="233" t="str">
        <f>VLOOKUP(Table8[[#This Row],[Country Code]],Table29[],9,FALSE)</f>
        <v>no</v>
      </c>
      <c r="AY2518" s="233" t="str">
        <f>VLOOKUP(Table8[[#This Row],[Country Code]],Table29[],10,FALSE)</f>
        <v>no</v>
      </c>
      <c r="AZ2518" s="235">
        <f>VLOOKUP(Table8[[#This Row],[Country Code]],Table29[],23,FALSE)</f>
        <v>524.13346380418</v>
      </c>
      <c r="BA2518" s="235">
        <f>VLOOKUP(Table8[[#This Row],[Country Code]],Table29[],24,FALSE)</f>
        <v>39.884378531634049</v>
      </c>
      <c r="BB2518" s="320"/>
      <c r="BC2518" s="320"/>
    </row>
    <row r="2519" spans="1:55" ht="30" hidden="1" x14ac:dyDescent="0.25">
      <c r="A2519" s="373">
        <v>32525</v>
      </c>
      <c r="B2519" s="233" t="str">
        <f>VLOOKUP(Table8[[#This Row],[Document ID]],Table1[],2,FALSE)</f>
        <v>VNM</v>
      </c>
      <c r="C2519" s="233" t="str">
        <f>VLOOKUP(Table8[[#This Row],[Document ID]],Table1[],3,FALSE)</f>
        <v>Viet Nam</v>
      </c>
      <c r="D2519" s="243" t="str">
        <f>VLOOKUP(Table8[[#This Row],[Document ID]],Table1[],5,FALSE)</f>
        <v>NDC</v>
      </c>
      <c r="E2519" s="233" t="str">
        <f>VLOOKUP(Table8[[#This Row],[Document ID]],Table1[],7,FALSE)</f>
        <v>First NDC updated</v>
      </c>
      <c r="F2519" s="233" t="str">
        <f>VLOOKUP(Table8[[#This Row],[Document ID]],Table1[],8,FALSE)</f>
        <v>NDC 1.2</v>
      </c>
      <c r="G2519" s="233" t="str">
        <f>VLOOKUP(Table8[[#This Row],[Document ID]],Table1[],10,FALSE)</f>
        <v>Active</v>
      </c>
      <c r="H2519" s="43" t="s">
        <v>2350</v>
      </c>
      <c r="I2519" s="43" t="s">
        <v>2370</v>
      </c>
      <c r="J2519" s="44" t="s">
        <v>2371</v>
      </c>
      <c r="K2519" s="44" t="s">
        <v>4619</v>
      </c>
      <c r="L2519" s="44" t="s">
        <v>2373</v>
      </c>
      <c r="M2519" s="43">
        <v>5</v>
      </c>
      <c r="N2519" s="113" t="s">
        <v>1113</v>
      </c>
      <c r="O2519" s="113"/>
      <c r="P2519" s="113"/>
      <c r="Q2519" s="113"/>
      <c r="R2519" s="113"/>
      <c r="S2519" s="113"/>
      <c r="T2519" s="113"/>
      <c r="U2519" s="113"/>
      <c r="V2519" s="113"/>
      <c r="W2519" s="113"/>
      <c r="X2519" s="113"/>
      <c r="Y2519" s="113"/>
      <c r="Z2519" s="113"/>
      <c r="AA2519" s="113"/>
      <c r="AB2519" s="113"/>
      <c r="AC2519" s="113"/>
      <c r="AD2519" s="113"/>
      <c r="AE2519" s="113"/>
      <c r="AF2519" s="113"/>
      <c r="AG2519" s="113"/>
      <c r="AH2519" s="113"/>
      <c r="AI2519" s="113"/>
      <c r="AJ2519" s="113"/>
      <c r="AK2519" s="113" t="s">
        <v>1113</v>
      </c>
      <c r="AL2519" s="113"/>
      <c r="AM2519" s="113"/>
      <c r="AN2519" s="113"/>
      <c r="AO2519" s="44" t="s">
        <v>2334</v>
      </c>
      <c r="AP2519" s="43"/>
      <c r="AQ2519" s="236" t="str">
        <f>VLOOKUP(Table8[[#This Row],[Instrument]],Def_Targets!$D$73:$E$159,2,FALSE)</f>
        <v>A_Natmobplan</v>
      </c>
      <c r="AR2519" s="233" t="str">
        <f>VLOOKUP(Table8[[#This Row],[Country Code]],Table29[],3,FALSE)</f>
        <v>Non-Annex I</v>
      </c>
      <c r="AS2519" s="233" t="str">
        <f>VLOOKUP(Table8[[#This Row],[Country Code]],Table29[],4,FALSE)</f>
        <v>Asia</v>
      </c>
      <c r="AT2519" s="233" t="str">
        <f>VLOOKUP(Table8[[#This Row],[Country Code]],Table29[],5,FALSE)</f>
        <v>Middle-income</v>
      </c>
      <c r="AU2519" s="233" t="str">
        <f>VLOOKUP(Table8[[#This Row],[Country Code]],Table29[],6,FALSE)</f>
        <v>no</v>
      </c>
      <c r="AV2519" s="233" t="str">
        <f>VLOOKUP(Table8[[#This Row],[Country Code]],Table29[],7,FALSE)</f>
        <v>no</v>
      </c>
      <c r="AW2519" s="233" t="str">
        <f>VLOOKUP(Table8[[#This Row],[Country Code]],Table29[],8,FALSE)</f>
        <v>non-OECD</v>
      </c>
      <c r="AX2519" s="233" t="str">
        <f>VLOOKUP(Table8[[#This Row],[Country Code]],Table29[],9,FALSE)</f>
        <v>no</v>
      </c>
      <c r="AY2519" s="233" t="str">
        <f>VLOOKUP(Table8[[#This Row],[Country Code]],Table29[],10,FALSE)</f>
        <v>no</v>
      </c>
      <c r="AZ2519" s="235">
        <f>VLOOKUP(Table8[[#This Row],[Country Code]],Table29[],23,FALSE)</f>
        <v>524.13346380418</v>
      </c>
      <c r="BA2519" s="235">
        <f>VLOOKUP(Table8[[#This Row],[Country Code]],Table29[],24,FALSE)</f>
        <v>39.884378531634049</v>
      </c>
      <c r="BB2519" s="320"/>
      <c r="BC2519" s="320"/>
    </row>
    <row r="2520" spans="1:55" hidden="1" x14ac:dyDescent="0.25">
      <c r="A2520" s="373">
        <v>32525</v>
      </c>
      <c r="B2520" s="233" t="str">
        <f>VLOOKUP(Table8[[#This Row],[Document ID]],Table1[],2,FALSE)</f>
        <v>VNM</v>
      </c>
      <c r="C2520" s="233" t="str">
        <f>VLOOKUP(Table8[[#This Row],[Document ID]],Table1[],3,FALSE)</f>
        <v>Viet Nam</v>
      </c>
      <c r="D2520" s="243" t="str">
        <f>VLOOKUP(Table8[[#This Row],[Document ID]],Table1[],5,FALSE)</f>
        <v>NDC</v>
      </c>
      <c r="E2520" s="233" t="str">
        <f>VLOOKUP(Table8[[#This Row],[Document ID]],Table1[],7,FALSE)</f>
        <v>First NDC updated</v>
      </c>
      <c r="F2520" s="233" t="str">
        <f>VLOOKUP(Table8[[#This Row],[Document ID]],Table1[],8,FALSE)</f>
        <v>NDC 1.2</v>
      </c>
      <c r="G2520" s="233" t="str">
        <f>VLOOKUP(Table8[[#This Row],[Document ID]],Table1[],10,FALSE)</f>
        <v>Active</v>
      </c>
      <c r="H2520" s="44" t="s">
        <v>2338</v>
      </c>
      <c r="I2520" s="44" t="s">
        <v>2339</v>
      </c>
      <c r="J2520" s="44" t="s">
        <v>2340</v>
      </c>
      <c r="K2520" s="44" t="s">
        <v>4620</v>
      </c>
      <c r="L2520" s="44" t="s">
        <v>2333</v>
      </c>
      <c r="M2520" s="43">
        <v>7</v>
      </c>
      <c r="N2520" s="113" t="s">
        <v>1113</v>
      </c>
      <c r="O2520" s="113"/>
      <c r="P2520" s="113"/>
      <c r="Q2520" s="113"/>
      <c r="R2520" s="113"/>
      <c r="S2520" s="113"/>
      <c r="T2520" s="113"/>
      <c r="U2520" s="113"/>
      <c r="V2520" s="113"/>
      <c r="W2520" s="113"/>
      <c r="X2520" s="113"/>
      <c r="Y2520" s="113"/>
      <c r="Z2520" s="113"/>
      <c r="AA2520" s="113"/>
      <c r="AB2520" s="113"/>
      <c r="AC2520" s="113"/>
      <c r="AD2520" s="113"/>
      <c r="AE2520" s="113"/>
      <c r="AF2520" s="113"/>
      <c r="AG2520" s="113"/>
      <c r="AH2520" s="113"/>
      <c r="AI2520" s="113"/>
      <c r="AJ2520" s="113"/>
      <c r="AK2520" s="113" t="s">
        <v>1113</v>
      </c>
      <c r="AL2520" s="113"/>
      <c r="AM2520" s="113"/>
      <c r="AN2520" s="113"/>
      <c r="AO2520" s="44" t="s">
        <v>2334</v>
      </c>
      <c r="AP2520" s="43"/>
      <c r="AQ2520" s="236" t="str">
        <f>VLOOKUP(Table8[[#This Row],[Instrument]],Def_Targets!$D$73:$E$159,2,FALSE)</f>
        <v>I_Vehicleimprove</v>
      </c>
      <c r="AR2520" s="233" t="str">
        <f>VLOOKUP(Table8[[#This Row],[Country Code]],Table29[],3,FALSE)</f>
        <v>Non-Annex I</v>
      </c>
      <c r="AS2520" s="233" t="str">
        <f>VLOOKUP(Table8[[#This Row],[Country Code]],Table29[],4,FALSE)</f>
        <v>Asia</v>
      </c>
      <c r="AT2520" s="233" t="str">
        <f>VLOOKUP(Table8[[#This Row],[Country Code]],Table29[],5,FALSE)</f>
        <v>Middle-income</v>
      </c>
      <c r="AU2520" s="233" t="str">
        <f>VLOOKUP(Table8[[#This Row],[Country Code]],Table29[],6,FALSE)</f>
        <v>no</v>
      </c>
      <c r="AV2520" s="233" t="str">
        <f>VLOOKUP(Table8[[#This Row],[Country Code]],Table29[],7,FALSE)</f>
        <v>no</v>
      </c>
      <c r="AW2520" s="233" t="str">
        <f>VLOOKUP(Table8[[#This Row],[Country Code]],Table29[],8,FALSE)</f>
        <v>non-OECD</v>
      </c>
      <c r="AX2520" s="233" t="str">
        <f>VLOOKUP(Table8[[#This Row],[Country Code]],Table29[],9,FALSE)</f>
        <v>no</v>
      </c>
      <c r="AY2520" s="233" t="str">
        <f>VLOOKUP(Table8[[#This Row],[Country Code]],Table29[],10,FALSE)</f>
        <v>no</v>
      </c>
      <c r="AZ2520" s="235">
        <f>VLOOKUP(Table8[[#This Row],[Country Code]],Table29[],23,FALSE)</f>
        <v>524.13346380418</v>
      </c>
      <c r="BA2520" s="235">
        <f>VLOOKUP(Table8[[#This Row],[Country Code]],Table29[],24,FALSE)</f>
        <v>39.884378531634049</v>
      </c>
      <c r="BB2520" s="320"/>
      <c r="BC2520" s="320"/>
    </row>
    <row r="2521" spans="1:55" hidden="1" x14ac:dyDescent="0.25">
      <c r="A2521" s="373">
        <v>32525</v>
      </c>
      <c r="B2521" s="233" t="str">
        <f>VLOOKUP(Table8[[#This Row],[Document ID]],Table1[],2,FALSE)</f>
        <v>VNM</v>
      </c>
      <c r="C2521" s="233" t="str">
        <f>VLOOKUP(Table8[[#This Row],[Document ID]],Table1[],3,FALSE)</f>
        <v>Viet Nam</v>
      </c>
      <c r="D2521" s="243" t="str">
        <f>VLOOKUP(Table8[[#This Row],[Document ID]],Table1[],5,FALSE)</f>
        <v>NDC</v>
      </c>
      <c r="E2521" s="233" t="str">
        <f>VLOOKUP(Table8[[#This Row],[Document ID]],Table1[],7,FALSE)</f>
        <v>First NDC updated</v>
      </c>
      <c r="F2521" s="233" t="str">
        <f>VLOOKUP(Table8[[#This Row],[Document ID]],Table1[],8,FALSE)</f>
        <v>NDC 1.2</v>
      </c>
      <c r="G2521" s="233" t="str">
        <f>VLOOKUP(Table8[[#This Row],[Document ID]],Table1[],10,FALSE)</f>
        <v>Active</v>
      </c>
      <c r="H2521" s="44" t="s">
        <v>2338</v>
      </c>
      <c r="I2521" s="44" t="s">
        <v>2339</v>
      </c>
      <c r="J2521" s="44" t="s">
        <v>2413</v>
      </c>
      <c r="K2521" s="44" t="s">
        <v>4621</v>
      </c>
      <c r="L2521" s="44" t="s">
        <v>2333</v>
      </c>
      <c r="M2521" s="43">
        <v>7</v>
      </c>
      <c r="N2521" s="113" t="s">
        <v>1113</v>
      </c>
      <c r="O2521" s="113"/>
      <c r="P2521" s="113"/>
      <c r="Q2521" s="113"/>
      <c r="R2521" s="113"/>
      <c r="S2521" s="113"/>
      <c r="T2521" s="113"/>
      <c r="U2521" s="113"/>
      <c r="V2521" s="113"/>
      <c r="W2521" s="113"/>
      <c r="X2521" s="113"/>
      <c r="Y2521" s="113"/>
      <c r="Z2521" s="113"/>
      <c r="AA2521" s="113"/>
      <c r="AB2521" s="113"/>
      <c r="AC2521" s="113"/>
      <c r="AD2521" s="113"/>
      <c r="AE2521" s="113"/>
      <c r="AF2521" s="113"/>
      <c r="AG2521" s="113"/>
      <c r="AH2521" s="113"/>
      <c r="AI2521" s="113"/>
      <c r="AJ2521" s="113"/>
      <c r="AK2521" s="113" t="s">
        <v>1113</v>
      </c>
      <c r="AL2521" s="113"/>
      <c r="AM2521" s="113"/>
      <c r="AN2521" s="113"/>
      <c r="AO2521" s="44" t="s">
        <v>2334</v>
      </c>
      <c r="AP2521" s="43"/>
      <c r="AQ2521" s="236" t="str">
        <f>VLOOKUP(Table8[[#This Row],[Instrument]],Def_Targets!$D$73:$E$159,2,FALSE)</f>
        <v>I_Vehicleeff</v>
      </c>
      <c r="AR2521" s="233" t="str">
        <f>VLOOKUP(Table8[[#This Row],[Country Code]],Table29[],3,FALSE)</f>
        <v>Non-Annex I</v>
      </c>
      <c r="AS2521" s="233" t="str">
        <f>VLOOKUP(Table8[[#This Row],[Country Code]],Table29[],4,FALSE)</f>
        <v>Asia</v>
      </c>
      <c r="AT2521" s="233" t="str">
        <f>VLOOKUP(Table8[[#This Row],[Country Code]],Table29[],5,FALSE)</f>
        <v>Middle-income</v>
      </c>
      <c r="AU2521" s="233" t="str">
        <f>VLOOKUP(Table8[[#This Row],[Country Code]],Table29[],6,FALSE)</f>
        <v>no</v>
      </c>
      <c r="AV2521" s="233" t="str">
        <f>VLOOKUP(Table8[[#This Row],[Country Code]],Table29[],7,FALSE)</f>
        <v>no</v>
      </c>
      <c r="AW2521" s="233" t="str">
        <f>VLOOKUP(Table8[[#This Row],[Country Code]],Table29[],8,FALSE)</f>
        <v>non-OECD</v>
      </c>
      <c r="AX2521" s="233" t="str">
        <f>VLOOKUP(Table8[[#This Row],[Country Code]],Table29[],9,FALSE)</f>
        <v>no</v>
      </c>
      <c r="AY2521" s="233" t="str">
        <f>VLOOKUP(Table8[[#This Row],[Country Code]],Table29[],10,FALSE)</f>
        <v>no</v>
      </c>
      <c r="AZ2521" s="235">
        <f>VLOOKUP(Table8[[#This Row],[Country Code]],Table29[],23,FALSE)</f>
        <v>524.13346380418</v>
      </c>
      <c r="BA2521" s="235">
        <f>VLOOKUP(Table8[[#This Row],[Country Code]],Table29[],24,FALSE)</f>
        <v>39.884378531634049</v>
      </c>
      <c r="BB2521" s="320"/>
      <c r="BC2521" s="320"/>
    </row>
    <row r="2522" spans="1:55" hidden="1" x14ac:dyDescent="0.25">
      <c r="A2522" s="373">
        <v>32525</v>
      </c>
      <c r="B2522" s="233" t="str">
        <f>VLOOKUP(Table8[[#This Row],[Document ID]],Table1[],2,FALSE)</f>
        <v>VNM</v>
      </c>
      <c r="C2522" s="233" t="str">
        <f>VLOOKUP(Table8[[#This Row],[Document ID]],Table1[],3,FALSE)</f>
        <v>Viet Nam</v>
      </c>
      <c r="D2522" s="243" t="str">
        <f>VLOOKUP(Table8[[#This Row],[Document ID]],Table1[],5,FALSE)</f>
        <v>NDC</v>
      </c>
      <c r="E2522" s="233" t="str">
        <f>VLOOKUP(Table8[[#This Row],[Document ID]],Table1[],7,FALSE)</f>
        <v>First NDC updated</v>
      </c>
      <c r="F2522" s="233" t="str">
        <f>VLOOKUP(Table8[[#This Row],[Document ID]],Table1[],8,FALSE)</f>
        <v>NDC 1.2</v>
      </c>
      <c r="G2522" s="233" t="str">
        <f>VLOOKUP(Table8[[#This Row],[Document ID]],Table1[],10,FALSE)</f>
        <v>Active</v>
      </c>
      <c r="H2522" s="43" t="s">
        <v>2343</v>
      </c>
      <c r="I2522" s="43" t="s">
        <v>2377</v>
      </c>
      <c r="J2522" s="44" t="s">
        <v>2394</v>
      </c>
      <c r="K2522" s="44" t="s">
        <v>4622</v>
      </c>
      <c r="L2522" s="44" t="s">
        <v>2347</v>
      </c>
      <c r="M2522" s="43">
        <v>7</v>
      </c>
      <c r="N2522" s="113" t="s">
        <v>1113</v>
      </c>
      <c r="O2522" s="113"/>
      <c r="P2522" s="113"/>
      <c r="Q2522" s="113"/>
      <c r="R2522" s="113"/>
      <c r="S2522" s="113"/>
      <c r="T2522" s="113"/>
      <c r="U2522" s="113"/>
      <c r="V2522" s="113"/>
      <c r="W2522" s="113"/>
      <c r="X2522" s="113"/>
      <c r="Y2522" s="113"/>
      <c r="Z2522" s="113"/>
      <c r="AA2522" s="113"/>
      <c r="AB2522" s="113"/>
      <c r="AC2522" s="113"/>
      <c r="AD2522" s="113"/>
      <c r="AE2522" s="113"/>
      <c r="AF2522" s="113"/>
      <c r="AG2522" s="113"/>
      <c r="AH2522" s="113"/>
      <c r="AI2522" s="113"/>
      <c r="AJ2522" s="113"/>
      <c r="AK2522" s="113" t="s">
        <v>1113</v>
      </c>
      <c r="AL2522" s="113"/>
      <c r="AM2522" s="113"/>
      <c r="AN2522" s="113"/>
      <c r="AO2522" s="44" t="s">
        <v>2334</v>
      </c>
      <c r="AP2522" s="43"/>
      <c r="AQ2522" s="236" t="str">
        <f>VLOOKUP(Table8[[#This Row],[Instrument]],Def_Targets!$D$73:$E$159,2,FALSE)</f>
        <v>A_TDM</v>
      </c>
      <c r="AR2522" s="233" t="str">
        <f>VLOOKUP(Table8[[#This Row],[Country Code]],Table29[],3,FALSE)</f>
        <v>Non-Annex I</v>
      </c>
      <c r="AS2522" s="233" t="str">
        <f>VLOOKUP(Table8[[#This Row],[Country Code]],Table29[],4,FALSE)</f>
        <v>Asia</v>
      </c>
      <c r="AT2522" s="233" t="str">
        <f>VLOOKUP(Table8[[#This Row],[Country Code]],Table29[],5,FALSE)</f>
        <v>Middle-income</v>
      </c>
      <c r="AU2522" s="233" t="str">
        <f>VLOOKUP(Table8[[#This Row],[Country Code]],Table29[],6,FALSE)</f>
        <v>no</v>
      </c>
      <c r="AV2522" s="233" t="str">
        <f>VLOOKUP(Table8[[#This Row],[Country Code]],Table29[],7,FALSE)</f>
        <v>no</v>
      </c>
      <c r="AW2522" s="233" t="str">
        <f>VLOOKUP(Table8[[#This Row],[Country Code]],Table29[],8,FALSE)</f>
        <v>non-OECD</v>
      </c>
      <c r="AX2522" s="233" t="str">
        <f>VLOOKUP(Table8[[#This Row],[Country Code]],Table29[],9,FALSE)</f>
        <v>no</v>
      </c>
      <c r="AY2522" s="233" t="str">
        <f>VLOOKUP(Table8[[#This Row],[Country Code]],Table29[],10,FALSE)</f>
        <v>no</v>
      </c>
      <c r="AZ2522" s="235">
        <f>VLOOKUP(Table8[[#This Row],[Country Code]],Table29[],23,FALSE)</f>
        <v>524.13346380418</v>
      </c>
      <c r="BA2522" s="235">
        <f>VLOOKUP(Table8[[#This Row],[Country Code]],Table29[],24,FALSE)</f>
        <v>39.884378531634049</v>
      </c>
      <c r="BB2522" s="320"/>
      <c r="BC2522" s="320"/>
    </row>
    <row r="2523" spans="1:55" hidden="1" x14ac:dyDescent="0.25">
      <c r="A2523" s="373">
        <v>32525</v>
      </c>
      <c r="B2523" s="233" t="str">
        <f>VLOOKUP(Table8[[#This Row],[Document ID]],Table1[],2,FALSE)</f>
        <v>VNM</v>
      </c>
      <c r="C2523" s="233" t="str">
        <f>VLOOKUP(Table8[[#This Row],[Document ID]],Table1[],3,FALSE)</f>
        <v>Viet Nam</v>
      </c>
      <c r="D2523" s="243" t="str">
        <f>VLOOKUP(Table8[[#This Row],[Document ID]],Table1[],5,FALSE)</f>
        <v>NDC</v>
      </c>
      <c r="E2523" s="233" t="str">
        <f>VLOOKUP(Table8[[#This Row],[Document ID]],Table1[],7,FALSE)</f>
        <v>First NDC updated</v>
      </c>
      <c r="F2523" s="233" t="str">
        <f>VLOOKUP(Table8[[#This Row],[Document ID]],Table1[],8,FALSE)</f>
        <v>NDC 1.2</v>
      </c>
      <c r="G2523" s="233" t="str">
        <f>VLOOKUP(Table8[[#This Row],[Document ID]],Table1[],10,FALSE)</f>
        <v>Active</v>
      </c>
      <c r="H2523" s="43" t="s">
        <v>2350</v>
      </c>
      <c r="I2523" s="43" t="s">
        <v>2351</v>
      </c>
      <c r="J2523" s="44" t="s">
        <v>2427</v>
      </c>
      <c r="K2523" s="44" t="s">
        <v>4623</v>
      </c>
      <c r="L2523" s="44" t="s">
        <v>2333</v>
      </c>
      <c r="M2523" s="43">
        <v>7</v>
      </c>
      <c r="N2523" s="113"/>
      <c r="O2523" s="113"/>
      <c r="P2523" s="113"/>
      <c r="Q2523" s="113"/>
      <c r="R2523" s="113"/>
      <c r="S2523" s="113"/>
      <c r="T2523" s="113"/>
      <c r="U2523" s="113" t="s">
        <v>1113</v>
      </c>
      <c r="V2523" s="113"/>
      <c r="W2523" s="113"/>
      <c r="X2523" s="113"/>
      <c r="Y2523" s="113"/>
      <c r="Z2523" s="113"/>
      <c r="AA2523" s="113"/>
      <c r="AB2523" s="113"/>
      <c r="AC2523" s="113"/>
      <c r="AD2523" s="113"/>
      <c r="AE2523" s="113"/>
      <c r="AF2523" s="113"/>
      <c r="AG2523" s="113"/>
      <c r="AH2523" s="113"/>
      <c r="AI2523" s="113"/>
      <c r="AJ2523" s="113"/>
      <c r="AK2523" s="113" t="s">
        <v>1113</v>
      </c>
      <c r="AL2523" s="113"/>
      <c r="AM2523" s="113"/>
      <c r="AN2523" s="113"/>
      <c r="AO2523" s="44" t="s">
        <v>2334</v>
      </c>
      <c r="AP2523" s="43"/>
      <c r="AQ2523" s="236" t="str">
        <f>VLOOKUP(Table8[[#This Row],[Instrument]],Def_Targets!$D$73:$E$159,2,FALSE)</f>
        <v>I_Load</v>
      </c>
      <c r="AR2523" s="233" t="str">
        <f>VLOOKUP(Table8[[#This Row],[Country Code]],Table29[],3,FALSE)</f>
        <v>Non-Annex I</v>
      </c>
      <c r="AS2523" s="233" t="str">
        <f>VLOOKUP(Table8[[#This Row],[Country Code]],Table29[],4,FALSE)</f>
        <v>Asia</v>
      </c>
      <c r="AT2523" s="233" t="str">
        <f>VLOOKUP(Table8[[#This Row],[Country Code]],Table29[],5,FALSE)</f>
        <v>Middle-income</v>
      </c>
      <c r="AU2523" s="233" t="str">
        <f>VLOOKUP(Table8[[#This Row],[Country Code]],Table29[],6,FALSE)</f>
        <v>no</v>
      </c>
      <c r="AV2523" s="233" t="str">
        <f>VLOOKUP(Table8[[#This Row],[Country Code]],Table29[],7,FALSE)</f>
        <v>no</v>
      </c>
      <c r="AW2523" s="233" t="str">
        <f>VLOOKUP(Table8[[#This Row],[Country Code]],Table29[],8,FALSE)</f>
        <v>non-OECD</v>
      </c>
      <c r="AX2523" s="233" t="str">
        <f>VLOOKUP(Table8[[#This Row],[Country Code]],Table29[],9,FALSE)</f>
        <v>no</v>
      </c>
      <c r="AY2523" s="233" t="str">
        <f>VLOOKUP(Table8[[#This Row],[Country Code]],Table29[],10,FALSE)</f>
        <v>no</v>
      </c>
      <c r="AZ2523" s="235">
        <f>VLOOKUP(Table8[[#This Row],[Country Code]],Table29[],23,FALSE)</f>
        <v>524.13346380418</v>
      </c>
      <c r="BA2523" s="235">
        <f>VLOOKUP(Table8[[#This Row],[Country Code]],Table29[],24,FALSE)</f>
        <v>39.884378531634049</v>
      </c>
      <c r="BB2523" s="320"/>
      <c r="BC2523" s="320"/>
    </row>
    <row r="2524" spans="1:55" hidden="1" x14ac:dyDescent="0.25">
      <c r="A2524" s="373">
        <v>32525</v>
      </c>
      <c r="B2524" s="233" t="str">
        <f>VLOOKUP(Table8[[#This Row],[Document ID]],Table1[],2,FALSE)</f>
        <v>VNM</v>
      </c>
      <c r="C2524" s="233" t="str">
        <f>VLOOKUP(Table8[[#This Row],[Document ID]],Table1[],3,FALSE)</f>
        <v>Viet Nam</v>
      </c>
      <c r="D2524" s="243" t="str">
        <f>VLOOKUP(Table8[[#This Row],[Document ID]],Table1[],5,FALSE)</f>
        <v>NDC</v>
      </c>
      <c r="E2524" s="233" t="str">
        <f>VLOOKUP(Table8[[#This Row],[Document ID]],Table1[],7,FALSE)</f>
        <v>First NDC updated</v>
      </c>
      <c r="F2524" s="233" t="str">
        <f>VLOOKUP(Table8[[#This Row],[Document ID]],Table1[],8,FALSE)</f>
        <v>NDC 1.2</v>
      </c>
      <c r="G2524" s="233" t="str">
        <f>VLOOKUP(Table8[[#This Row],[Document ID]],Table1[],10,FALSE)</f>
        <v>Active</v>
      </c>
      <c r="H2524" s="44" t="s">
        <v>2329</v>
      </c>
      <c r="I2524" s="44" t="s">
        <v>2330</v>
      </c>
      <c r="J2524" s="44" t="s">
        <v>2363</v>
      </c>
      <c r="K2524" s="44" t="s">
        <v>4624</v>
      </c>
      <c r="L2524" s="44" t="s">
        <v>2333</v>
      </c>
      <c r="M2524" s="43">
        <v>7</v>
      </c>
      <c r="N2524" s="113" t="s">
        <v>1113</v>
      </c>
      <c r="O2524" s="113"/>
      <c r="P2524" s="113"/>
      <c r="Q2524" s="113"/>
      <c r="R2524" s="113"/>
      <c r="S2524" s="113"/>
      <c r="T2524" s="113"/>
      <c r="U2524" s="113"/>
      <c r="V2524" s="113"/>
      <c r="W2524" s="113"/>
      <c r="X2524" s="113"/>
      <c r="Y2524" s="113"/>
      <c r="Z2524" s="113"/>
      <c r="AA2524" s="113"/>
      <c r="AB2524" s="113"/>
      <c r="AC2524" s="113"/>
      <c r="AD2524" s="113"/>
      <c r="AE2524" s="113"/>
      <c r="AF2524" s="113"/>
      <c r="AG2524" s="113"/>
      <c r="AH2524" s="113"/>
      <c r="AI2524" s="113"/>
      <c r="AJ2524" s="113"/>
      <c r="AK2524" s="113" t="s">
        <v>1113</v>
      </c>
      <c r="AL2524" s="113"/>
      <c r="AM2524" s="113"/>
      <c r="AN2524" s="113"/>
      <c r="AO2524" s="44" t="s">
        <v>2334</v>
      </c>
      <c r="AP2524" s="43"/>
      <c r="AQ2524" s="236" t="str">
        <f>VLOOKUP(Table8[[#This Row],[Instrument]],Def_Targets!$D$73:$E$159,2,FALSE)</f>
        <v>I_LPGCNGLNG</v>
      </c>
      <c r="AR2524" s="233" t="str">
        <f>VLOOKUP(Table8[[#This Row],[Country Code]],Table29[],3,FALSE)</f>
        <v>Non-Annex I</v>
      </c>
      <c r="AS2524" s="233" t="str">
        <f>VLOOKUP(Table8[[#This Row],[Country Code]],Table29[],4,FALSE)</f>
        <v>Asia</v>
      </c>
      <c r="AT2524" s="233" t="str">
        <f>VLOOKUP(Table8[[#This Row],[Country Code]],Table29[],5,FALSE)</f>
        <v>Middle-income</v>
      </c>
      <c r="AU2524" s="233" t="str">
        <f>VLOOKUP(Table8[[#This Row],[Country Code]],Table29[],6,FALSE)</f>
        <v>no</v>
      </c>
      <c r="AV2524" s="233" t="str">
        <f>VLOOKUP(Table8[[#This Row],[Country Code]],Table29[],7,FALSE)</f>
        <v>no</v>
      </c>
      <c r="AW2524" s="233" t="str">
        <f>VLOOKUP(Table8[[#This Row],[Country Code]],Table29[],8,FALSE)</f>
        <v>non-OECD</v>
      </c>
      <c r="AX2524" s="233" t="str">
        <f>VLOOKUP(Table8[[#This Row],[Country Code]],Table29[],9,FALSE)</f>
        <v>no</v>
      </c>
      <c r="AY2524" s="233" t="str">
        <f>VLOOKUP(Table8[[#This Row],[Country Code]],Table29[],10,FALSE)</f>
        <v>no</v>
      </c>
      <c r="AZ2524" s="235">
        <f>VLOOKUP(Table8[[#This Row],[Country Code]],Table29[],23,FALSE)</f>
        <v>524.13346380418</v>
      </c>
      <c r="BA2524" s="235">
        <f>VLOOKUP(Table8[[#This Row],[Country Code]],Table29[],24,FALSE)</f>
        <v>39.884378531634049</v>
      </c>
      <c r="BB2524" s="320"/>
      <c r="BC2524" s="320"/>
    </row>
    <row r="2525" spans="1:55" hidden="1" x14ac:dyDescent="0.25">
      <c r="A2525" s="373">
        <v>32525</v>
      </c>
      <c r="B2525" s="233" t="str">
        <f>VLOOKUP(Table8[[#This Row],[Document ID]],Table1[],2,FALSE)</f>
        <v>VNM</v>
      </c>
      <c r="C2525" s="233" t="str">
        <f>VLOOKUP(Table8[[#This Row],[Document ID]],Table1[],3,FALSE)</f>
        <v>Viet Nam</v>
      </c>
      <c r="D2525" s="243" t="str">
        <f>VLOOKUP(Table8[[#This Row],[Document ID]],Table1[],5,FALSE)</f>
        <v>NDC</v>
      </c>
      <c r="E2525" s="233" t="str">
        <f>VLOOKUP(Table8[[#This Row],[Document ID]],Table1[],7,FALSE)</f>
        <v>First NDC updated</v>
      </c>
      <c r="F2525" s="233" t="str">
        <f>VLOOKUP(Table8[[#This Row],[Document ID]],Table1[],8,FALSE)</f>
        <v>NDC 1.2</v>
      </c>
      <c r="G2525" s="233" t="str">
        <f>VLOOKUP(Table8[[#This Row],[Document ID]],Table1[],10,FALSE)</f>
        <v>Active</v>
      </c>
      <c r="H2525" s="44" t="s">
        <v>2329</v>
      </c>
      <c r="I2525" s="44" t="s">
        <v>2330</v>
      </c>
      <c r="J2525" s="44" t="s">
        <v>2357</v>
      </c>
      <c r="K2525" s="44" t="s">
        <v>4625</v>
      </c>
      <c r="L2525" s="44" t="s">
        <v>2333</v>
      </c>
      <c r="M2525" s="43">
        <v>7</v>
      </c>
      <c r="N2525" s="113" t="s">
        <v>1113</v>
      </c>
      <c r="O2525" s="113"/>
      <c r="P2525" s="113"/>
      <c r="Q2525" s="113"/>
      <c r="R2525" s="113"/>
      <c r="S2525" s="113"/>
      <c r="T2525" s="113"/>
      <c r="U2525" s="113"/>
      <c r="V2525" s="113"/>
      <c r="W2525" s="113"/>
      <c r="X2525" s="113"/>
      <c r="Y2525" s="113"/>
      <c r="Z2525" s="113"/>
      <c r="AA2525" s="113"/>
      <c r="AB2525" s="113"/>
      <c r="AC2525" s="113"/>
      <c r="AD2525" s="113"/>
      <c r="AE2525" s="113"/>
      <c r="AF2525" s="113"/>
      <c r="AG2525" s="113"/>
      <c r="AH2525" s="113"/>
      <c r="AI2525" s="113"/>
      <c r="AJ2525" s="113"/>
      <c r="AK2525" s="113" t="s">
        <v>1113</v>
      </c>
      <c r="AL2525" s="113"/>
      <c r="AM2525" s="113"/>
      <c r="AN2525" s="113"/>
      <c r="AO2525" s="44" t="s">
        <v>2334</v>
      </c>
      <c r="AP2525" s="43"/>
      <c r="AQ2525" s="236" t="str">
        <f>VLOOKUP(Table8[[#This Row],[Instrument]],Def_Targets!$D$73:$E$159,2,FALSE)</f>
        <v>I_Biofuel</v>
      </c>
      <c r="AR2525" s="233" t="str">
        <f>VLOOKUP(Table8[[#This Row],[Country Code]],Table29[],3,FALSE)</f>
        <v>Non-Annex I</v>
      </c>
      <c r="AS2525" s="233" t="str">
        <f>VLOOKUP(Table8[[#This Row],[Country Code]],Table29[],4,FALSE)</f>
        <v>Asia</v>
      </c>
      <c r="AT2525" s="233" t="str">
        <f>VLOOKUP(Table8[[#This Row],[Country Code]],Table29[],5,FALSE)</f>
        <v>Middle-income</v>
      </c>
      <c r="AU2525" s="233" t="str">
        <f>VLOOKUP(Table8[[#This Row],[Country Code]],Table29[],6,FALSE)</f>
        <v>no</v>
      </c>
      <c r="AV2525" s="233" t="str">
        <f>VLOOKUP(Table8[[#This Row],[Country Code]],Table29[],7,FALSE)</f>
        <v>no</v>
      </c>
      <c r="AW2525" s="233" t="str">
        <f>VLOOKUP(Table8[[#This Row],[Country Code]],Table29[],8,FALSE)</f>
        <v>non-OECD</v>
      </c>
      <c r="AX2525" s="233" t="str">
        <f>VLOOKUP(Table8[[#This Row],[Country Code]],Table29[],9,FALSE)</f>
        <v>no</v>
      </c>
      <c r="AY2525" s="233" t="str">
        <f>VLOOKUP(Table8[[#This Row],[Country Code]],Table29[],10,FALSE)</f>
        <v>no</v>
      </c>
      <c r="AZ2525" s="235">
        <f>VLOOKUP(Table8[[#This Row],[Country Code]],Table29[],23,FALSE)</f>
        <v>524.13346380418</v>
      </c>
      <c r="BA2525" s="235">
        <f>VLOOKUP(Table8[[#This Row],[Country Code]],Table29[],24,FALSE)</f>
        <v>39.884378531634049</v>
      </c>
      <c r="BB2525" s="320"/>
      <c r="BC2525" s="320"/>
    </row>
    <row r="2526" spans="1:55" hidden="1" x14ac:dyDescent="0.25">
      <c r="A2526" s="373">
        <v>32525</v>
      </c>
      <c r="B2526" s="233" t="str">
        <f>VLOOKUP(Table8[[#This Row],[Document ID]],Table1[],2,FALSE)</f>
        <v>VNM</v>
      </c>
      <c r="C2526" s="233" t="str">
        <f>VLOOKUP(Table8[[#This Row],[Document ID]],Table1[],3,FALSE)</f>
        <v>Viet Nam</v>
      </c>
      <c r="D2526" s="243" t="str">
        <f>VLOOKUP(Table8[[#This Row],[Document ID]],Table1[],5,FALSE)</f>
        <v>NDC</v>
      </c>
      <c r="E2526" s="233" t="str">
        <f>VLOOKUP(Table8[[#This Row],[Document ID]],Table1[],7,FALSE)</f>
        <v>First NDC updated</v>
      </c>
      <c r="F2526" s="233" t="str">
        <f>VLOOKUP(Table8[[#This Row],[Document ID]],Table1[],8,FALSE)</f>
        <v>NDC 1.2</v>
      </c>
      <c r="G2526" s="233" t="str">
        <f>VLOOKUP(Table8[[#This Row],[Document ID]],Table1[],10,FALSE)</f>
        <v>Active</v>
      </c>
      <c r="H2526" s="43" t="s">
        <v>2358</v>
      </c>
      <c r="I2526" s="43" t="s">
        <v>2359</v>
      </c>
      <c r="J2526" s="44" t="s">
        <v>2360</v>
      </c>
      <c r="K2526" s="44" t="s">
        <v>4626</v>
      </c>
      <c r="L2526" s="44" t="s">
        <v>2333</v>
      </c>
      <c r="M2526" s="43">
        <v>7</v>
      </c>
      <c r="N2526" s="113"/>
      <c r="O2526" s="113"/>
      <c r="P2526" s="113"/>
      <c r="Q2526" s="113"/>
      <c r="R2526" s="113"/>
      <c r="S2526" s="113"/>
      <c r="T2526" s="113" t="s">
        <v>1113</v>
      </c>
      <c r="U2526" s="113" t="s">
        <v>1113</v>
      </c>
      <c r="V2526" s="113"/>
      <c r="W2526" s="113"/>
      <c r="X2526" s="113"/>
      <c r="Y2526" s="113" t="s">
        <v>1113</v>
      </c>
      <c r="Z2526" s="113"/>
      <c r="AA2526" s="113"/>
      <c r="AB2526" s="113"/>
      <c r="AC2526" s="113"/>
      <c r="AD2526" s="113"/>
      <c r="AE2526" s="113"/>
      <c r="AF2526" s="113"/>
      <c r="AG2526" s="113"/>
      <c r="AH2526" s="113"/>
      <c r="AI2526" s="113"/>
      <c r="AJ2526" s="113"/>
      <c r="AK2526" s="113" t="s">
        <v>1113</v>
      </c>
      <c r="AL2526" s="113"/>
      <c r="AM2526" s="113"/>
      <c r="AN2526" s="113"/>
      <c r="AO2526" s="44" t="s">
        <v>2334</v>
      </c>
      <c r="AP2526" s="43"/>
      <c r="AQ2526" s="236" t="str">
        <f>VLOOKUP(Table8[[#This Row],[Instrument]],Def_Targets!$D$73:$E$159,2,FALSE)</f>
        <v>I_Emobility</v>
      </c>
      <c r="AR2526" s="233" t="str">
        <f>VLOOKUP(Table8[[#This Row],[Country Code]],Table29[],3,FALSE)</f>
        <v>Non-Annex I</v>
      </c>
      <c r="AS2526" s="233" t="str">
        <f>VLOOKUP(Table8[[#This Row],[Country Code]],Table29[],4,FALSE)</f>
        <v>Asia</v>
      </c>
      <c r="AT2526" s="233" t="str">
        <f>VLOOKUP(Table8[[#This Row],[Country Code]],Table29[],5,FALSE)</f>
        <v>Middle-income</v>
      </c>
      <c r="AU2526" s="233" t="str">
        <f>VLOOKUP(Table8[[#This Row],[Country Code]],Table29[],6,FALSE)</f>
        <v>no</v>
      </c>
      <c r="AV2526" s="233" t="str">
        <f>VLOOKUP(Table8[[#This Row],[Country Code]],Table29[],7,FALSE)</f>
        <v>no</v>
      </c>
      <c r="AW2526" s="233" t="str">
        <f>VLOOKUP(Table8[[#This Row],[Country Code]],Table29[],8,FALSE)</f>
        <v>non-OECD</v>
      </c>
      <c r="AX2526" s="233" t="str">
        <f>VLOOKUP(Table8[[#This Row],[Country Code]],Table29[],9,FALSE)</f>
        <v>no</v>
      </c>
      <c r="AY2526" s="233" t="str">
        <f>VLOOKUP(Table8[[#This Row],[Country Code]],Table29[],10,FALSE)</f>
        <v>no</v>
      </c>
      <c r="AZ2526" s="235">
        <f>VLOOKUP(Table8[[#This Row],[Country Code]],Table29[],23,FALSE)</f>
        <v>524.13346380418</v>
      </c>
      <c r="BA2526" s="235">
        <f>VLOOKUP(Table8[[#This Row],[Country Code]],Table29[],24,FALSE)</f>
        <v>39.884378531634049</v>
      </c>
      <c r="BB2526" s="320"/>
      <c r="BC2526" s="320"/>
    </row>
    <row r="2527" spans="1:55" hidden="1" x14ac:dyDescent="0.25">
      <c r="A2527" s="373">
        <v>17787</v>
      </c>
      <c r="B2527" s="233" t="str">
        <f>VLOOKUP(Table8[[#This Row],[Document ID]],Table1[],2,FALSE)</f>
        <v>YEM</v>
      </c>
      <c r="C2527" s="233" t="str">
        <f>VLOOKUP(Table8[[#This Row],[Document ID]],Table1[],3,FALSE)</f>
        <v>Yemen</v>
      </c>
      <c r="D2527" s="243" t="str">
        <f>VLOOKUP(Table8[[#This Row],[Document ID]],Table1[],5,FALSE)</f>
        <v>NDC</v>
      </c>
      <c r="E2527" s="233" t="str">
        <f>VLOOKUP(Table8[[#This Row],[Document ID]],Table1[],7,FALSE)</f>
        <v>First NDC</v>
      </c>
      <c r="F2527" s="236" t="str">
        <f>VLOOKUP(Table8[[#This Row],[Document ID]],Table1[],8,FALSE)</f>
        <v>NDC 1.0</v>
      </c>
      <c r="G2527" s="236" t="str">
        <f>VLOOKUP(Table8[[#This Row],[Document ID]],Table1[],10,FALSE)</f>
        <v>Active</v>
      </c>
      <c r="H2527" s="44" t="s">
        <v>2338</v>
      </c>
      <c r="I2527" s="44" t="s">
        <v>2339</v>
      </c>
      <c r="J2527" s="44" t="s">
        <v>2340</v>
      </c>
      <c r="K2527" s="44" t="s">
        <v>4627</v>
      </c>
      <c r="L2527" s="44" t="s">
        <v>2333</v>
      </c>
      <c r="M2527" s="43"/>
      <c r="N2527" s="113" t="s">
        <v>1113</v>
      </c>
      <c r="O2527" s="113"/>
      <c r="P2527" s="113"/>
      <c r="Q2527" s="319"/>
      <c r="R2527" s="319"/>
      <c r="S2527" s="319"/>
      <c r="T2527" s="319"/>
      <c r="U2527" s="319"/>
      <c r="V2527" s="319"/>
      <c r="W2527" s="319"/>
      <c r="X2527" s="319"/>
      <c r="Y2527" s="319"/>
      <c r="Z2527" s="319"/>
      <c r="AA2527" s="319"/>
      <c r="AB2527" s="319"/>
      <c r="AC2527" s="319"/>
      <c r="AD2527" s="319"/>
      <c r="AE2527" s="319"/>
      <c r="AF2527" s="319"/>
      <c r="AG2527" s="319"/>
      <c r="AH2527" s="319"/>
      <c r="AI2527" s="319"/>
      <c r="AJ2527" s="319"/>
      <c r="AK2527" s="319" t="s">
        <v>1113</v>
      </c>
      <c r="AL2527" s="319"/>
      <c r="AM2527" s="319"/>
      <c r="AN2527" s="319"/>
      <c r="AO2527" s="44" t="s">
        <v>2334</v>
      </c>
      <c r="AP2527" s="44"/>
      <c r="AQ2527" s="236" t="str">
        <f>VLOOKUP(Table8[[#This Row],[Instrument]],Def_Targets!$D$73:$E$159,2,FALSE)</f>
        <v>I_Vehicleimprove</v>
      </c>
      <c r="AR2527" s="233" t="str">
        <f>VLOOKUP(Table8[[#This Row],[Country Code]],Table29[],3,FALSE)</f>
        <v>Non-Annex I</v>
      </c>
      <c r="AS2527" s="233" t="str">
        <f>VLOOKUP(Table8[[#This Row],[Country Code]],Table29[],4,FALSE)</f>
        <v>Asia</v>
      </c>
      <c r="AT2527" s="233" t="str">
        <f>VLOOKUP(Table8[[#This Row],[Country Code]],Table29[],5,FALSE)</f>
        <v>Low-income</v>
      </c>
      <c r="AU2527" s="233" t="str">
        <f>VLOOKUP(Table8[[#This Row],[Country Code]],Table29[],6,FALSE)</f>
        <v>no</v>
      </c>
      <c r="AV2527" s="233" t="str">
        <f>VLOOKUP(Table8[[#This Row],[Country Code]],Table29[],7,FALSE)</f>
        <v>no</v>
      </c>
      <c r="AW2527" s="233" t="str">
        <f>VLOOKUP(Table8[[#This Row],[Country Code]],Table29[],8,FALSE)</f>
        <v>non-OECD</v>
      </c>
      <c r="AX2527" s="233" t="str">
        <f>VLOOKUP(Table8[[#This Row],[Country Code]],Table29[],9,FALSE)</f>
        <v>no</v>
      </c>
      <c r="AY2527" s="233" t="str">
        <f>VLOOKUP(Table8[[#This Row],[Country Code]],Table29[],10,FALSE)</f>
        <v>MENA</v>
      </c>
      <c r="AZ2527" s="235">
        <f>VLOOKUP(Table8[[#This Row],[Country Code]],Table29[],23,FALSE)</f>
        <v>32.242871779425002</v>
      </c>
      <c r="BA2527" s="235">
        <f>VLOOKUP(Table8[[#This Row],[Country Code]],Table29[],24,FALSE)</f>
        <v>2.672974321150595</v>
      </c>
      <c r="BB2527" s="320"/>
      <c r="BC2527" s="320"/>
    </row>
    <row r="2528" spans="1:55" hidden="1" x14ac:dyDescent="0.25">
      <c r="A2528" s="373">
        <v>17788</v>
      </c>
      <c r="B2528" s="233" t="str">
        <f>VLOOKUP(Table8[[#This Row],[Document ID]],Table1[],2,FALSE)</f>
        <v>ZMB</v>
      </c>
      <c r="C2528" s="233" t="str">
        <f>VLOOKUP(Table8[[#This Row],[Document ID]],Table1[],3,FALSE)</f>
        <v>Zambia</v>
      </c>
      <c r="D2528" s="243" t="str">
        <f>VLOOKUP(Table8[[#This Row],[Document ID]],Table1[],5,FALSE)</f>
        <v>NDC</v>
      </c>
      <c r="E2528" s="233" t="str">
        <f>VLOOKUP(Table8[[#This Row],[Document ID]],Table1[],7,FALSE)</f>
        <v>First NDC</v>
      </c>
      <c r="F2528" s="236" t="str">
        <f>VLOOKUP(Table8[[#This Row],[Document ID]],Table1[],8,FALSE)</f>
        <v>NDC 1.0</v>
      </c>
      <c r="G2528" s="236" t="str">
        <f>VLOOKUP(Table8[[#This Row],[Document ID]],Table1[],10,FALSE)</f>
        <v>Archived</v>
      </c>
      <c r="H2528" s="44" t="s">
        <v>2329</v>
      </c>
      <c r="I2528" s="44" t="s">
        <v>2330</v>
      </c>
      <c r="J2528" s="44" t="s">
        <v>2357</v>
      </c>
      <c r="K2528" s="44" t="s">
        <v>4628</v>
      </c>
      <c r="L2528" s="44" t="s">
        <v>2333</v>
      </c>
      <c r="M2528" s="43"/>
      <c r="N2528" s="113" t="s">
        <v>1113</v>
      </c>
      <c r="O2528" s="113"/>
      <c r="P2528" s="113"/>
      <c r="Q2528" s="319"/>
      <c r="R2528" s="319"/>
      <c r="S2528" s="319"/>
      <c r="T2528" s="319"/>
      <c r="U2528" s="319"/>
      <c r="V2528" s="319"/>
      <c r="W2528" s="319"/>
      <c r="X2528" s="319"/>
      <c r="Y2528" s="319"/>
      <c r="Z2528" s="319"/>
      <c r="AA2528" s="319"/>
      <c r="AB2528" s="319"/>
      <c r="AC2528" s="319"/>
      <c r="AD2528" s="319"/>
      <c r="AE2528" s="319"/>
      <c r="AF2528" s="319"/>
      <c r="AG2528" s="319"/>
      <c r="AH2528" s="319"/>
      <c r="AI2528" s="319"/>
      <c r="AJ2528" s="319"/>
      <c r="AK2528" s="319" t="s">
        <v>1113</v>
      </c>
      <c r="AL2528" s="319"/>
      <c r="AM2528" s="319"/>
      <c r="AN2528" s="319"/>
      <c r="AO2528" s="44" t="s">
        <v>2334</v>
      </c>
      <c r="AP2528" s="44"/>
      <c r="AQ2528" s="236" t="str">
        <f>VLOOKUP(Table8[[#This Row],[Instrument]],Def_Targets!$D$73:$E$159,2,FALSE)</f>
        <v>I_Biofuel</v>
      </c>
      <c r="AR2528" s="233" t="str">
        <f>VLOOKUP(Table8[[#This Row],[Country Code]],Table29[],3,FALSE)</f>
        <v>Non-Annex I</v>
      </c>
      <c r="AS2528" s="233" t="str">
        <f>VLOOKUP(Table8[[#This Row],[Country Code]],Table29[],4,FALSE)</f>
        <v>Africa</v>
      </c>
      <c r="AT2528" s="233" t="str">
        <f>VLOOKUP(Table8[[#This Row],[Country Code]],Table29[],5,FALSE)</f>
        <v>Middle-income</v>
      </c>
      <c r="AU2528" s="233" t="str">
        <f>VLOOKUP(Table8[[#This Row],[Country Code]],Table29[],6,FALSE)</f>
        <v>no</v>
      </c>
      <c r="AV2528" s="233" t="str">
        <f>VLOOKUP(Table8[[#This Row],[Country Code]],Table29[],7,FALSE)</f>
        <v>no</v>
      </c>
      <c r="AW2528" s="233" t="str">
        <f>VLOOKUP(Table8[[#This Row],[Country Code]],Table29[],8,FALSE)</f>
        <v>non-OECD</v>
      </c>
      <c r="AX2528" s="233" t="str">
        <f>VLOOKUP(Table8[[#This Row],[Country Code]],Table29[],9,FALSE)</f>
        <v>no</v>
      </c>
      <c r="AY2528" s="233" t="str">
        <f>VLOOKUP(Table8[[#This Row],[Country Code]],Table29[],10,FALSE)</f>
        <v>no</v>
      </c>
      <c r="AZ2528" s="235">
        <f>VLOOKUP(Table8[[#This Row],[Country Code]],Table29[],23,FALSE)</f>
        <v>30.484449374284001</v>
      </c>
      <c r="BA2528" s="235">
        <f>VLOOKUP(Table8[[#This Row],[Country Code]],Table29[],24,FALSE)</f>
        <v>2.3997242322457328</v>
      </c>
      <c r="BB2528" s="320"/>
      <c r="BC2528" s="320"/>
    </row>
    <row r="2529" spans="1:55" hidden="1" x14ac:dyDescent="0.25">
      <c r="A2529" s="373">
        <v>17790</v>
      </c>
      <c r="B2529" s="233" t="str">
        <f>VLOOKUP(Table8[[#This Row],[Document ID]],Table1[],2,FALSE)</f>
        <v>ZWE</v>
      </c>
      <c r="C2529" s="233" t="str">
        <f>VLOOKUP(Table8[[#This Row],[Document ID]],Table1[],3,FALSE)</f>
        <v>Zimbabwe</v>
      </c>
      <c r="D2529" s="243" t="str">
        <f>VLOOKUP(Table8[[#This Row],[Document ID]],Table1[],5,FALSE)</f>
        <v>NDC</v>
      </c>
      <c r="E2529" s="233" t="str">
        <f>VLOOKUP(Table8[[#This Row],[Document ID]],Table1[],7,FALSE)</f>
        <v>First NDC</v>
      </c>
      <c r="F2529" s="236" t="str">
        <f>VLOOKUP(Table8[[#This Row],[Document ID]],Table1[],8,FALSE)</f>
        <v>NDC 1.0</v>
      </c>
      <c r="G2529" s="236" t="str">
        <f>VLOOKUP(Table8[[#This Row],[Document ID]],Table1[],10,FALSE)</f>
        <v>Archived</v>
      </c>
      <c r="H2529" s="43" t="s">
        <v>2358</v>
      </c>
      <c r="I2529" s="43" t="s">
        <v>2359</v>
      </c>
      <c r="J2529" s="44" t="s">
        <v>2360</v>
      </c>
      <c r="K2529" s="44" t="s">
        <v>4629</v>
      </c>
      <c r="L2529" s="44" t="s">
        <v>2333</v>
      </c>
      <c r="M2529" s="43"/>
      <c r="N2529" s="113"/>
      <c r="O2529" s="113"/>
      <c r="P2529" s="113"/>
      <c r="Q2529" s="319"/>
      <c r="R2529" s="319"/>
      <c r="S2529" s="319"/>
      <c r="T2529" s="319"/>
      <c r="U2529" s="319"/>
      <c r="V2529" s="319"/>
      <c r="W2529" s="319"/>
      <c r="X2529" s="319"/>
      <c r="Y2529" s="319"/>
      <c r="Z2529" s="113" t="s">
        <v>1113</v>
      </c>
      <c r="AA2529" s="319"/>
      <c r="AB2529" s="319"/>
      <c r="AC2529" s="319"/>
      <c r="AD2529" s="319"/>
      <c r="AE2529" s="319"/>
      <c r="AF2529" s="319"/>
      <c r="AG2529" s="319"/>
      <c r="AH2529" s="319"/>
      <c r="AI2529" s="319"/>
      <c r="AJ2529" s="319"/>
      <c r="AK2529" s="319" t="s">
        <v>1113</v>
      </c>
      <c r="AL2529" s="319"/>
      <c r="AM2529" s="319"/>
      <c r="AN2529" s="319"/>
      <c r="AO2529" s="44" t="s">
        <v>2334</v>
      </c>
      <c r="AP2529" s="44"/>
      <c r="AQ2529" s="236" t="str">
        <f>VLOOKUP(Table8[[#This Row],[Instrument]],Def_Targets!$D$73:$E$159,2,FALSE)</f>
        <v>I_Emobility</v>
      </c>
      <c r="AR2529" s="233" t="str">
        <f>VLOOKUP(Table8[[#This Row],[Country Code]],Table29[],3,FALSE)</f>
        <v>Non-Annex I</v>
      </c>
      <c r="AS2529" s="233" t="str">
        <f>VLOOKUP(Table8[[#This Row],[Country Code]],Table29[],4,FALSE)</f>
        <v>Africa</v>
      </c>
      <c r="AT2529" s="233" t="str">
        <f>VLOOKUP(Table8[[#This Row],[Country Code]],Table29[],5,FALSE)</f>
        <v>Middle-income</v>
      </c>
      <c r="AU2529" s="233" t="str">
        <f>VLOOKUP(Table8[[#This Row],[Country Code]],Table29[],6,FALSE)</f>
        <v>no</v>
      </c>
      <c r="AV2529" s="233" t="str">
        <f>VLOOKUP(Table8[[#This Row],[Country Code]],Table29[],7,FALSE)</f>
        <v>no</v>
      </c>
      <c r="AW2529" s="233" t="str">
        <f>VLOOKUP(Table8[[#This Row],[Country Code]],Table29[],8,FALSE)</f>
        <v>non-OECD</v>
      </c>
      <c r="AX2529" s="233" t="str">
        <f>VLOOKUP(Table8[[#This Row],[Country Code]],Table29[],9,FALSE)</f>
        <v>no</v>
      </c>
      <c r="AY2529" s="233" t="str">
        <f>VLOOKUP(Table8[[#This Row],[Country Code]],Table29[],10,FALSE)</f>
        <v>no</v>
      </c>
      <c r="AZ2529" s="235">
        <f>VLOOKUP(Table8[[#This Row],[Country Code]],Table29[],23,FALSE)</f>
        <v>31.019306383581998</v>
      </c>
      <c r="BA2529" s="235">
        <f>VLOOKUP(Table8[[#This Row],[Country Code]],Table29[],24,FALSE)</f>
        <v>1.5180453178171209</v>
      </c>
      <c r="BB2529" s="320"/>
      <c r="BC2529" s="320"/>
    </row>
    <row r="2530" spans="1:55" ht="30" hidden="1" x14ac:dyDescent="0.25">
      <c r="A2530" s="373">
        <v>22274</v>
      </c>
      <c r="B2530" s="233" t="str">
        <f>VLOOKUP(Table8[[#This Row],[Document ID]],Table1[],2,FALSE)</f>
        <v>ZWE</v>
      </c>
      <c r="C2530" s="233" t="str">
        <f>VLOOKUP(Table8[[#This Row],[Document ID]],Table1[],3,FALSE)</f>
        <v>Zimbabwe</v>
      </c>
      <c r="D2530" s="243" t="str">
        <f>VLOOKUP(Table8[[#This Row],[Document ID]],Table1[],5,FALSE)</f>
        <v>NDC</v>
      </c>
      <c r="E2530" s="233" t="str">
        <f>VLOOKUP(Table8[[#This Row],[Document ID]],Table1[],7,FALSE)</f>
        <v>First NDC updated</v>
      </c>
      <c r="F2530" s="233" t="str">
        <f>VLOOKUP(Table8[[#This Row],[Document ID]],Table1[],8,FALSE)</f>
        <v>NDC 1.1</v>
      </c>
      <c r="G2530" s="233" t="str">
        <f>VLOOKUP(Table8[[#This Row],[Document ID]],Table1[],10,FALSE)</f>
        <v>Archived</v>
      </c>
      <c r="H2530" s="44" t="s">
        <v>2338</v>
      </c>
      <c r="I2530" s="44" t="s">
        <v>2339</v>
      </c>
      <c r="J2530" s="44" t="s">
        <v>2340</v>
      </c>
      <c r="K2530" s="44" t="s">
        <v>2186</v>
      </c>
      <c r="L2530" s="44" t="s">
        <v>2333</v>
      </c>
      <c r="M2530" s="43">
        <v>24</v>
      </c>
      <c r="N2530" s="113"/>
      <c r="O2530" s="113"/>
      <c r="P2530" s="113"/>
      <c r="Q2530" s="113"/>
      <c r="R2530" s="113"/>
      <c r="S2530" s="113"/>
      <c r="T2530" s="113" t="s">
        <v>1113</v>
      </c>
      <c r="U2530" s="113" t="s">
        <v>1113</v>
      </c>
      <c r="V2530" s="113"/>
      <c r="W2530" s="113"/>
      <c r="X2530" s="113" t="s">
        <v>1113</v>
      </c>
      <c r="Y2530" s="113" t="s">
        <v>1113</v>
      </c>
      <c r="Z2530" s="113"/>
      <c r="AA2530" s="113"/>
      <c r="AB2530" s="113"/>
      <c r="AC2530" s="113"/>
      <c r="AD2530" s="113"/>
      <c r="AE2530" s="113"/>
      <c r="AF2530" s="113"/>
      <c r="AG2530" s="113"/>
      <c r="AH2530" s="113"/>
      <c r="AI2530" s="113"/>
      <c r="AJ2530" s="113"/>
      <c r="AK2530" s="113" t="s">
        <v>1113</v>
      </c>
      <c r="AL2530" s="113"/>
      <c r="AM2530" s="113"/>
      <c r="AN2530" s="113"/>
      <c r="AO2530" s="44" t="s">
        <v>2334</v>
      </c>
      <c r="AP2530" s="43"/>
      <c r="AQ2530" s="236" t="str">
        <f>VLOOKUP(Table8[[#This Row],[Instrument]],Def_Targets!$D$73:$E$159,2,FALSE)</f>
        <v>I_Vehicleimprove</v>
      </c>
      <c r="AR2530" s="233" t="str">
        <f>VLOOKUP(Table8[[#This Row],[Country Code]],Table29[],3,FALSE)</f>
        <v>Non-Annex I</v>
      </c>
      <c r="AS2530" s="233" t="str">
        <f>VLOOKUP(Table8[[#This Row],[Country Code]],Table29[],4,FALSE)</f>
        <v>Africa</v>
      </c>
      <c r="AT2530" s="233" t="str">
        <f>VLOOKUP(Table8[[#This Row],[Country Code]],Table29[],5,FALSE)</f>
        <v>Middle-income</v>
      </c>
      <c r="AU2530" s="233" t="str">
        <f>VLOOKUP(Table8[[#This Row],[Country Code]],Table29[],6,FALSE)</f>
        <v>no</v>
      </c>
      <c r="AV2530" s="233" t="str">
        <f>VLOOKUP(Table8[[#This Row],[Country Code]],Table29[],7,FALSE)</f>
        <v>no</v>
      </c>
      <c r="AW2530" s="233" t="str">
        <f>VLOOKUP(Table8[[#This Row],[Country Code]],Table29[],8,FALSE)</f>
        <v>non-OECD</v>
      </c>
      <c r="AX2530" s="233" t="str">
        <f>VLOOKUP(Table8[[#This Row],[Country Code]],Table29[],9,FALSE)</f>
        <v>no</v>
      </c>
      <c r="AY2530" s="233" t="str">
        <f>VLOOKUP(Table8[[#This Row],[Country Code]],Table29[],10,FALSE)</f>
        <v>no</v>
      </c>
      <c r="AZ2530" s="235">
        <f>VLOOKUP(Table8[[#This Row],[Country Code]],Table29[],23,FALSE)</f>
        <v>31.019306383581998</v>
      </c>
      <c r="BA2530" s="235">
        <f>VLOOKUP(Table8[[#This Row],[Country Code]],Table29[],24,FALSE)</f>
        <v>1.5180453178171209</v>
      </c>
      <c r="BB2530" s="320"/>
      <c r="BC2530" s="320"/>
    </row>
    <row r="2531" spans="1:55" hidden="1" x14ac:dyDescent="0.25">
      <c r="A2531" s="373">
        <v>22274</v>
      </c>
      <c r="B2531" s="233" t="str">
        <f>VLOOKUP(Table8[[#This Row],[Document ID]],Table1[],2,FALSE)</f>
        <v>ZWE</v>
      </c>
      <c r="C2531" s="233" t="str">
        <f>VLOOKUP(Table8[[#This Row],[Document ID]],Table1[],3,FALSE)</f>
        <v>Zimbabwe</v>
      </c>
      <c r="D2531" s="243" t="str">
        <f>VLOOKUP(Table8[[#This Row],[Document ID]],Table1[],5,FALSE)</f>
        <v>NDC</v>
      </c>
      <c r="E2531" s="233" t="str">
        <f>VLOOKUP(Table8[[#This Row],[Document ID]],Table1[],7,FALSE)</f>
        <v>First NDC updated</v>
      </c>
      <c r="F2531" s="233" t="str">
        <f>VLOOKUP(Table8[[#This Row],[Document ID]],Table1[],8,FALSE)</f>
        <v>NDC 1.1</v>
      </c>
      <c r="G2531" s="233" t="str">
        <f>VLOOKUP(Table8[[#This Row],[Document ID]],Table1[],10,FALSE)</f>
        <v>Archived</v>
      </c>
      <c r="H2531" s="43" t="s">
        <v>2343</v>
      </c>
      <c r="I2531" s="43" t="s">
        <v>2344</v>
      </c>
      <c r="J2531" s="44" t="s">
        <v>2345</v>
      </c>
      <c r="K2531" s="44" t="s">
        <v>2192</v>
      </c>
      <c r="L2531" s="44" t="s">
        <v>2347</v>
      </c>
      <c r="M2531" s="43">
        <v>24</v>
      </c>
      <c r="N2531" s="113" t="s">
        <v>1113</v>
      </c>
      <c r="O2531" s="113"/>
      <c r="P2531" s="113"/>
      <c r="Q2531" s="113"/>
      <c r="R2531" s="113"/>
      <c r="S2531" s="113"/>
      <c r="T2531" s="113"/>
      <c r="U2531" s="113"/>
      <c r="V2531" s="113"/>
      <c r="W2531" s="113"/>
      <c r="X2531" s="113"/>
      <c r="Y2531" s="113"/>
      <c r="Z2531" s="113"/>
      <c r="AA2531" s="113"/>
      <c r="AB2531" s="113"/>
      <c r="AC2531" s="113"/>
      <c r="AD2531" s="113"/>
      <c r="AE2531" s="113"/>
      <c r="AF2531" s="113"/>
      <c r="AG2531" s="113"/>
      <c r="AH2531" s="113"/>
      <c r="AI2531" s="113"/>
      <c r="AJ2531" s="113"/>
      <c r="AK2531" s="113" t="s">
        <v>1113</v>
      </c>
      <c r="AL2531" s="113"/>
      <c r="AM2531" s="113"/>
      <c r="AN2531" s="113"/>
      <c r="AO2531" s="43" t="s">
        <v>2348</v>
      </c>
      <c r="AP2531" s="43"/>
      <c r="AQ2531" s="236" t="str">
        <f>VLOOKUP(Table8[[#This Row],[Instrument]],Def_Targets!$D$73:$E$159,2,FALSE)</f>
        <v>S_PublicTransport</v>
      </c>
      <c r="AR2531" s="233" t="str">
        <f>VLOOKUP(Table8[[#This Row],[Country Code]],Table29[],3,FALSE)</f>
        <v>Non-Annex I</v>
      </c>
      <c r="AS2531" s="233" t="str">
        <f>VLOOKUP(Table8[[#This Row],[Country Code]],Table29[],4,FALSE)</f>
        <v>Africa</v>
      </c>
      <c r="AT2531" s="233" t="str">
        <f>VLOOKUP(Table8[[#This Row],[Country Code]],Table29[],5,FALSE)</f>
        <v>Middle-income</v>
      </c>
      <c r="AU2531" s="233" t="str">
        <f>VLOOKUP(Table8[[#This Row],[Country Code]],Table29[],6,FALSE)</f>
        <v>no</v>
      </c>
      <c r="AV2531" s="233" t="str">
        <f>VLOOKUP(Table8[[#This Row],[Country Code]],Table29[],7,FALSE)</f>
        <v>no</v>
      </c>
      <c r="AW2531" s="233" t="str">
        <f>VLOOKUP(Table8[[#This Row],[Country Code]],Table29[],8,FALSE)</f>
        <v>non-OECD</v>
      </c>
      <c r="AX2531" s="233" t="str">
        <f>VLOOKUP(Table8[[#This Row],[Country Code]],Table29[],9,FALSE)</f>
        <v>no</v>
      </c>
      <c r="AY2531" s="233" t="str">
        <f>VLOOKUP(Table8[[#This Row],[Country Code]],Table29[],10,FALSE)</f>
        <v>no</v>
      </c>
      <c r="AZ2531" s="235">
        <f>VLOOKUP(Table8[[#This Row],[Country Code]],Table29[],23,FALSE)</f>
        <v>31.019306383581998</v>
      </c>
      <c r="BA2531" s="235">
        <f>VLOOKUP(Table8[[#This Row],[Country Code]],Table29[],24,FALSE)</f>
        <v>1.5180453178171209</v>
      </c>
      <c r="BB2531" s="320"/>
      <c r="BC2531" s="320"/>
    </row>
    <row r="2532" spans="1:55" hidden="1" x14ac:dyDescent="0.25">
      <c r="A2532" s="373">
        <v>22274</v>
      </c>
      <c r="B2532" s="233" t="str">
        <f>VLOOKUP(Table8[[#This Row],[Document ID]],Table1[],2,FALSE)</f>
        <v>ZWE</v>
      </c>
      <c r="C2532" s="233" t="str">
        <f>VLOOKUP(Table8[[#This Row],[Document ID]],Table1[],3,FALSE)</f>
        <v>Zimbabwe</v>
      </c>
      <c r="D2532" s="243" t="str">
        <f>VLOOKUP(Table8[[#This Row],[Document ID]],Table1[],5,FALSE)</f>
        <v>NDC</v>
      </c>
      <c r="E2532" s="233" t="str">
        <f>VLOOKUP(Table8[[#This Row],[Document ID]],Table1[],7,FALSE)</f>
        <v>First NDC updated</v>
      </c>
      <c r="F2532" s="233" t="str">
        <f>VLOOKUP(Table8[[#This Row],[Document ID]],Table1[],8,FALSE)</f>
        <v>NDC 1.1</v>
      </c>
      <c r="G2532" s="233" t="str">
        <f>VLOOKUP(Table8[[#This Row],[Document ID]],Table1[],10,FALSE)</f>
        <v>Archived</v>
      </c>
      <c r="H2532" s="44" t="s">
        <v>2329</v>
      </c>
      <c r="I2532" s="44" t="s">
        <v>2330</v>
      </c>
      <c r="J2532" s="44" t="s">
        <v>2357</v>
      </c>
      <c r="K2532" s="44" t="s">
        <v>4630</v>
      </c>
      <c r="L2532" s="44" t="s">
        <v>2333</v>
      </c>
      <c r="M2532" s="43">
        <v>24</v>
      </c>
      <c r="N2532" s="113" t="s">
        <v>1113</v>
      </c>
      <c r="O2532" s="113"/>
      <c r="P2532" s="113"/>
      <c r="Q2532" s="113"/>
      <c r="R2532" s="113"/>
      <c r="S2532" s="113"/>
      <c r="T2532" s="113"/>
      <c r="U2532" s="113"/>
      <c r="V2532" s="113"/>
      <c r="W2532" s="113"/>
      <c r="X2532" s="113"/>
      <c r="Y2532" s="113"/>
      <c r="Z2532" s="113"/>
      <c r="AA2532" s="113"/>
      <c r="AB2532" s="113"/>
      <c r="AC2532" s="113"/>
      <c r="AD2532" s="113"/>
      <c r="AE2532" s="113"/>
      <c r="AF2532" s="113"/>
      <c r="AG2532" s="113"/>
      <c r="AH2532" s="113"/>
      <c r="AI2532" s="113"/>
      <c r="AJ2532" s="113"/>
      <c r="AK2532" s="113" t="s">
        <v>1113</v>
      </c>
      <c r="AL2532" s="113"/>
      <c r="AM2532" s="113"/>
      <c r="AN2532" s="113"/>
      <c r="AO2532" s="44" t="s">
        <v>2334</v>
      </c>
      <c r="AP2532" s="43"/>
      <c r="AQ2532" s="236" t="str">
        <f>VLOOKUP(Table8[[#This Row],[Instrument]],Def_Targets!$D$73:$E$159,2,FALSE)</f>
        <v>I_Biofuel</v>
      </c>
      <c r="AR2532" s="233" t="str">
        <f>VLOOKUP(Table8[[#This Row],[Country Code]],Table29[],3,FALSE)</f>
        <v>Non-Annex I</v>
      </c>
      <c r="AS2532" s="233" t="str">
        <f>VLOOKUP(Table8[[#This Row],[Country Code]],Table29[],4,FALSE)</f>
        <v>Africa</v>
      </c>
      <c r="AT2532" s="233" t="str">
        <f>VLOOKUP(Table8[[#This Row],[Country Code]],Table29[],5,FALSE)</f>
        <v>Middle-income</v>
      </c>
      <c r="AU2532" s="233" t="str">
        <f>VLOOKUP(Table8[[#This Row],[Country Code]],Table29[],6,FALSE)</f>
        <v>no</v>
      </c>
      <c r="AV2532" s="233" t="str">
        <f>VLOOKUP(Table8[[#This Row],[Country Code]],Table29[],7,FALSE)</f>
        <v>no</v>
      </c>
      <c r="AW2532" s="233" t="str">
        <f>VLOOKUP(Table8[[#This Row],[Country Code]],Table29[],8,FALSE)</f>
        <v>non-OECD</v>
      </c>
      <c r="AX2532" s="233" t="str">
        <f>VLOOKUP(Table8[[#This Row],[Country Code]],Table29[],9,FALSE)</f>
        <v>no</v>
      </c>
      <c r="AY2532" s="233" t="str">
        <f>VLOOKUP(Table8[[#This Row],[Country Code]],Table29[],10,FALSE)</f>
        <v>no</v>
      </c>
      <c r="AZ2532" s="235">
        <f>VLOOKUP(Table8[[#This Row],[Country Code]],Table29[],23,FALSE)</f>
        <v>31.019306383581998</v>
      </c>
      <c r="BA2532" s="235">
        <f>VLOOKUP(Table8[[#This Row],[Country Code]],Table29[],24,FALSE)</f>
        <v>1.5180453178171209</v>
      </c>
      <c r="BB2532" s="320"/>
      <c r="BC2532" s="320"/>
    </row>
    <row r="2533" spans="1:55" hidden="1" x14ac:dyDescent="0.25">
      <c r="A2533" s="373">
        <v>32518</v>
      </c>
      <c r="B2533" s="233" t="str">
        <f>VLOOKUP(Table8[[#This Row],[Document ID]],Table1[],2,FALSE)</f>
        <v>THA</v>
      </c>
      <c r="C2533" s="233" t="str">
        <f>VLOOKUP(Table8[[#This Row],[Document ID]],Table1[],3,FALSE)</f>
        <v>Thailand</v>
      </c>
      <c r="D2533" s="243" t="str">
        <f>VLOOKUP(Table8[[#This Row],[Document ID]],Table1[],5,FALSE)</f>
        <v>LTS</v>
      </c>
      <c r="E2533" s="233" t="str">
        <f>VLOOKUP(Table8[[#This Row],[Document ID]],Table1[],7,FALSE)</f>
        <v>LTS</v>
      </c>
      <c r="F2533" s="233" t="str">
        <f>VLOOKUP(Table8[[#This Row],[Document ID]],Table1[],8,FALSE)</f>
        <v>LTS 1.1</v>
      </c>
      <c r="G2533" s="233" t="str">
        <f>VLOOKUP(Table8[[#This Row],[Document ID]],Table1[],10,FALSE)</f>
        <v>Active</v>
      </c>
      <c r="H2533" s="44" t="s">
        <v>2338</v>
      </c>
      <c r="I2533" s="44" t="s">
        <v>2339</v>
      </c>
      <c r="J2533" s="44" t="s">
        <v>2340</v>
      </c>
      <c r="K2533" s="44" t="s">
        <v>4631</v>
      </c>
      <c r="L2533" s="44" t="s">
        <v>2333</v>
      </c>
      <c r="M2533" s="43">
        <v>26</v>
      </c>
      <c r="N2533" s="113" t="s">
        <v>1113</v>
      </c>
      <c r="O2533" s="113"/>
      <c r="P2533" s="113"/>
      <c r="Q2533" s="113"/>
      <c r="R2533" s="113"/>
      <c r="S2533" s="113"/>
      <c r="T2533" s="113"/>
      <c r="U2533" s="113"/>
      <c r="V2533" s="113"/>
      <c r="W2533" s="113"/>
      <c r="X2533" s="113"/>
      <c r="Y2533" s="113"/>
      <c r="Z2533" s="113"/>
      <c r="AA2533" s="113"/>
      <c r="AB2533" s="113"/>
      <c r="AC2533" s="113"/>
      <c r="AD2533" s="113"/>
      <c r="AE2533" s="113"/>
      <c r="AF2533" s="113"/>
      <c r="AG2533" s="113"/>
      <c r="AH2533" s="113"/>
      <c r="AI2533" s="113"/>
      <c r="AJ2533" s="113"/>
      <c r="AK2533" s="113"/>
      <c r="AL2533" s="113"/>
      <c r="AM2533" s="113"/>
      <c r="AN2533" s="113"/>
      <c r="AO2533" s="44" t="s">
        <v>2334</v>
      </c>
      <c r="AP2533" s="43"/>
      <c r="AQ2533" s="236" t="str">
        <f>VLOOKUP(Table8[[#This Row],[Instrument]],Def_Targets!$D$73:$E$159,2,FALSE)</f>
        <v>I_Vehicleimprove</v>
      </c>
      <c r="AR2533" s="233" t="str">
        <f>VLOOKUP(Table8[[#This Row],[Country Code]],Table29[],3,FALSE)</f>
        <v>Non-Annex I</v>
      </c>
      <c r="AS2533" s="233" t="str">
        <f>VLOOKUP(Table8[[#This Row],[Country Code]],Table29[],4,FALSE)</f>
        <v>Asia</v>
      </c>
      <c r="AT2533" s="233" t="str">
        <f>VLOOKUP(Table8[[#This Row],[Country Code]],Table29[],5,FALSE)</f>
        <v>Middle-income</v>
      </c>
      <c r="AU2533" s="233" t="str">
        <f>VLOOKUP(Table8[[#This Row],[Country Code]],Table29[],6,FALSE)</f>
        <v>no</v>
      </c>
      <c r="AV2533" s="233" t="str">
        <f>VLOOKUP(Table8[[#This Row],[Country Code]],Table29[],7,FALSE)</f>
        <v>no</v>
      </c>
      <c r="AW2533" s="233" t="str">
        <f>VLOOKUP(Table8[[#This Row],[Country Code]],Table29[],8,FALSE)</f>
        <v>non-OECD</v>
      </c>
      <c r="AX2533" s="233" t="str">
        <f>VLOOKUP(Table8[[#This Row],[Country Code]],Table29[],9,FALSE)</f>
        <v>no</v>
      </c>
      <c r="AY2533" s="233" t="str">
        <f>VLOOKUP(Table8[[#This Row],[Country Code]],Table29[],10,FALSE)</f>
        <v>no</v>
      </c>
      <c r="AZ2533" s="235">
        <f>VLOOKUP(Table8[[#This Row],[Country Code]],Table29[],23,FALSE)</f>
        <v>440.78301465571002</v>
      </c>
      <c r="BA2533" s="235">
        <f>VLOOKUP(Table8[[#This Row],[Country Code]],Table29[],24,FALSE)</f>
        <v>81.217527676047013</v>
      </c>
      <c r="BB2533" s="320"/>
      <c r="BC2533" s="320"/>
    </row>
    <row r="2534" spans="1:55" hidden="1" x14ac:dyDescent="0.25">
      <c r="A2534" s="373">
        <v>32518</v>
      </c>
      <c r="B2534" s="233" t="str">
        <f>VLOOKUP(Table8[[#This Row],[Document ID]],Table1[],2,FALSE)</f>
        <v>THA</v>
      </c>
      <c r="C2534" s="233" t="str">
        <f>VLOOKUP(Table8[[#This Row],[Document ID]],Table1[],3,FALSE)</f>
        <v>Thailand</v>
      </c>
      <c r="D2534" s="243" t="str">
        <f>VLOOKUP(Table8[[#This Row],[Document ID]],Table1[],5,FALSE)</f>
        <v>LTS</v>
      </c>
      <c r="E2534" s="233" t="str">
        <f>VLOOKUP(Table8[[#This Row],[Document ID]],Table1[],7,FALSE)</f>
        <v>LTS</v>
      </c>
      <c r="F2534" s="233" t="str">
        <f>VLOOKUP(Table8[[#This Row],[Document ID]],Table1[],8,FALSE)</f>
        <v>LTS 1.1</v>
      </c>
      <c r="G2534" s="233" t="str">
        <f>VLOOKUP(Table8[[#This Row],[Document ID]],Table1[],10,FALSE)</f>
        <v>Active</v>
      </c>
      <c r="H2534" s="44" t="s">
        <v>2329</v>
      </c>
      <c r="I2534" s="44" t="s">
        <v>2330</v>
      </c>
      <c r="J2534" s="44" t="s">
        <v>2357</v>
      </c>
      <c r="K2534" s="44" t="s">
        <v>4632</v>
      </c>
      <c r="L2534" s="44" t="s">
        <v>2333</v>
      </c>
      <c r="M2534" s="43">
        <v>26</v>
      </c>
      <c r="N2534" s="113" t="s">
        <v>1113</v>
      </c>
      <c r="O2534" s="113"/>
      <c r="P2534" s="113"/>
      <c r="Q2534" s="113"/>
      <c r="R2534" s="113"/>
      <c r="S2534" s="113"/>
      <c r="T2534" s="113"/>
      <c r="U2534" s="113"/>
      <c r="V2534" s="113"/>
      <c r="W2534" s="113"/>
      <c r="X2534" s="113"/>
      <c r="Y2534" s="113"/>
      <c r="Z2534" s="113"/>
      <c r="AA2534" s="113"/>
      <c r="AB2534" s="113"/>
      <c r="AC2534" s="113"/>
      <c r="AD2534" s="113"/>
      <c r="AE2534" s="113"/>
      <c r="AF2534" s="113"/>
      <c r="AG2534" s="113"/>
      <c r="AH2534" s="113"/>
      <c r="AI2534" s="113"/>
      <c r="AJ2534" s="113"/>
      <c r="AK2534" s="113"/>
      <c r="AL2534" s="113"/>
      <c r="AM2534" s="113"/>
      <c r="AN2534" s="113"/>
      <c r="AO2534" s="44" t="s">
        <v>2334</v>
      </c>
      <c r="AP2534" s="43"/>
      <c r="AQ2534" s="236" t="str">
        <f>VLOOKUP(Table8[[#This Row],[Instrument]],Def_Targets!$D$73:$E$159,2,FALSE)</f>
        <v>I_Biofuel</v>
      </c>
      <c r="AR2534" s="233" t="str">
        <f>VLOOKUP(Table8[[#This Row],[Country Code]],Table29[],3,FALSE)</f>
        <v>Non-Annex I</v>
      </c>
      <c r="AS2534" s="233" t="str">
        <f>VLOOKUP(Table8[[#This Row],[Country Code]],Table29[],4,FALSE)</f>
        <v>Asia</v>
      </c>
      <c r="AT2534" s="233" t="str">
        <f>VLOOKUP(Table8[[#This Row],[Country Code]],Table29[],5,FALSE)</f>
        <v>Middle-income</v>
      </c>
      <c r="AU2534" s="233" t="str">
        <f>VLOOKUP(Table8[[#This Row],[Country Code]],Table29[],6,FALSE)</f>
        <v>no</v>
      </c>
      <c r="AV2534" s="233" t="str">
        <f>VLOOKUP(Table8[[#This Row],[Country Code]],Table29[],7,FALSE)</f>
        <v>no</v>
      </c>
      <c r="AW2534" s="233" t="str">
        <f>VLOOKUP(Table8[[#This Row],[Country Code]],Table29[],8,FALSE)</f>
        <v>non-OECD</v>
      </c>
      <c r="AX2534" s="233" t="str">
        <f>VLOOKUP(Table8[[#This Row],[Country Code]],Table29[],9,FALSE)</f>
        <v>no</v>
      </c>
      <c r="AY2534" s="233" t="str">
        <f>VLOOKUP(Table8[[#This Row],[Country Code]],Table29[],10,FALSE)</f>
        <v>no</v>
      </c>
      <c r="AZ2534" s="235">
        <f>VLOOKUP(Table8[[#This Row],[Country Code]],Table29[],23,FALSE)</f>
        <v>440.78301465571002</v>
      </c>
      <c r="BA2534" s="235">
        <f>VLOOKUP(Table8[[#This Row],[Country Code]],Table29[],24,FALSE)</f>
        <v>81.217527676047013</v>
      </c>
      <c r="BB2534" s="320"/>
      <c r="BC2534" s="320"/>
    </row>
    <row r="2535" spans="1:55" ht="30" hidden="1" x14ac:dyDescent="0.25">
      <c r="A2535" s="373">
        <v>32518</v>
      </c>
      <c r="B2535" s="233" t="str">
        <f>VLOOKUP(Table8[[#This Row],[Document ID]],Table1[],2,FALSE)</f>
        <v>THA</v>
      </c>
      <c r="C2535" s="233" t="str">
        <f>VLOOKUP(Table8[[#This Row],[Document ID]],Table1[],3,FALSE)</f>
        <v>Thailand</v>
      </c>
      <c r="D2535" s="243" t="str">
        <f>VLOOKUP(Table8[[#This Row],[Document ID]],Table1[],5,FALSE)</f>
        <v>LTS</v>
      </c>
      <c r="E2535" s="233" t="str">
        <f>VLOOKUP(Table8[[#This Row],[Document ID]],Table1[],7,FALSE)</f>
        <v>LTS</v>
      </c>
      <c r="F2535" s="233" t="str">
        <f>VLOOKUP(Table8[[#This Row],[Document ID]],Table1[],8,FALSE)</f>
        <v>LTS 1.1</v>
      </c>
      <c r="G2535" s="233" t="str">
        <f>VLOOKUP(Table8[[#This Row],[Document ID]],Table1[],10,FALSE)</f>
        <v>Active</v>
      </c>
      <c r="H2535" s="43" t="s">
        <v>2343</v>
      </c>
      <c r="I2535" s="43" t="s">
        <v>2377</v>
      </c>
      <c r="J2535" s="44" t="s">
        <v>2394</v>
      </c>
      <c r="K2535" s="44" t="s">
        <v>4633</v>
      </c>
      <c r="L2535" s="44" t="s">
        <v>2347</v>
      </c>
      <c r="M2535" s="43">
        <v>26</v>
      </c>
      <c r="N2535" s="113" t="s">
        <v>1113</v>
      </c>
      <c r="O2535" s="113"/>
      <c r="P2535" s="113"/>
      <c r="Q2535" s="113"/>
      <c r="R2535" s="113"/>
      <c r="S2535" s="113"/>
      <c r="T2535" s="113"/>
      <c r="U2535" s="113"/>
      <c r="V2535" s="113"/>
      <c r="W2535" s="113"/>
      <c r="X2535" s="113"/>
      <c r="Y2535" s="113"/>
      <c r="Z2535" s="113"/>
      <c r="AA2535" s="113"/>
      <c r="AB2535" s="113"/>
      <c r="AC2535" s="113"/>
      <c r="AD2535" s="113"/>
      <c r="AE2535" s="113"/>
      <c r="AF2535" s="113"/>
      <c r="AG2535" s="113"/>
      <c r="AH2535" s="113"/>
      <c r="AI2535" s="113"/>
      <c r="AJ2535" s="113"/>
      <c r="AK2535" s="113"/>
      <c r="AL2535" s="113"/>
      <c r="AM2535" s="113"/>
      <c r="AN2535" s="113"/>
      <c r="AO2535" s="44" t="s">
        <v>2334</v>
      </c>
      <c r="AP2535" s="43"/>
      <c r="AQ2535" s="236" t="str">
        <f>VLOOKUP(Table8[[#This Row],[Instrument]],Def_Targets!$D$73:$E$159,2,FALSE)</f>
        <v>A_TDM</v>
      </c>
      <c r="AR2535" s="233" t="str">
        <f>VLOOKUP(Table8[[#This Row],[Country Code]],Table29[],3,FALSE)</f>
        <v>Non-Annex I</v>
      </c>
      <c r="AS2535" s="233" t="str">
        <f>VLOOKUP(Table8[[#This Row],[Country Code]],Table29[],4,FALSE)</f>
        <v>Asia</v>
      </c>
      <c r="AT2535" s="233" t="str">
        <f>VLOOKUP(Table8[[#This Row],[Country Code]],Table29[],5,FALSE)</f>
        <v>Middle-income</v>
      </c>
      <c r="AU2535" s="233" t="str">
        <f>VLOOKUP(Table8[[#This Row],[Country Code]],Table29[],6,FALSE)</f>
        <v>no</v>
      </c>
      <c r="AV2535" s="233" t="str">
        <f>VLOOKUP(Table8[[#This Row],[Country Code]],Table29[],7,FALSE)</f>
        <v>no</v>
      </c>
      <c r="AW2535" s="233" t="str">
        <f>VLOOKUP(Table8[[#This Row],[Country Code]],Table29[],8,FALSE)</f>
        <v>non-OECD</v>
      </c>
      <c r="AX2535" s="233" t="str">
        <f>VLOOKUP(Table8[[#This Row],[Country Code]],Table29[],9,FALSE)</f>
        <v>no</v>
      </c>
      <c r="AY2535" s="233" t="str">
        <f>VLOOKUP(Table8[[#This Row],[Country Code]],Table29[],10,FALSE)</f>
        <v>no</v>
      </c>
      <c r="AZ2535" s="235">
        <f>VLOOKUP(Table8[[#This Row],[Country Code]],Table29[],23,FALSE)</f>
        <v>440.78301465571002</v>
      </c>
      <c r="BA2535" s="235">
        <f>VLOOKUP(Table8[[#This Row],[Country Code]],Table29[],24,FALSE)</f>
        <v>81.217527676047013</v>
      </c>
      <c r="BB2535" s="320"/>
      <c r="BC2535" s="320"/>
    </row>
    <row r="2536" spans="1:55" hidden="1" x14ac:dyDescent="0.25">
      <c r="A2536" s="373">
        <v>32518</v>
      </c>
      <c r="B2536" s="233" t="str">
        <f>VLOOKUP(Table8[[#This Row],[Document ID]],Table1[],2,FALSE)</f>
        <v>THA</v>
      </c>
      <c r="C2536" s="233" t="str">
        <f>VLOOKUP(Table8[[#This Row],[Document ID]],Table1[],3,FALSE)</f>
        <v>Thailand</v>
      </c>
      <c r="D2536" s="243" t="str">
        <f>VLOOKUP(Table8[[#This Row],[Document ID]],Table1[],5,FALSE)</f>
        <v>LTS</v>
      </c>
      <c r="E2536" s="233" t="str">
        <f>VLOOKUP(Table8[[#This Row],[Document ID]],Table1[],7,FALSE)</f>
        <v>LTS</v>
      </c>
      <c r="F2536" s="233" t="str">
        <f>VLOOKUP(Table8[[#This Row],[Document ID]],Table1[],8,FALSE)</f>
        <v>LTS 1.1</v>
      </c>
      <c r="G2536" s="233" t="str">
        <f>VLOOKUP(Table8[[#This Row],[Document ID]],Table1[],10,FALSE)</f>
        <v>Active</v>
      </c>
      <c r="H2536" s="43" t="s">
        <v>2350</v>
      </c>
      <c r="I2536" s="43" t="s">
        <v>2456</v>
      </c>
      <c r="J2536" s="44" t="s">
        <v>2466</v>
      </c>
      <c r="K2536" s="44" t="s">
        <v>4634</v>
      </c>
      <c r="L2536" s="44" t="s">
        <v>2333</v>
      </c>
      <c r="M2536" s="43">
        <v>26</v>
      </c>
      <c r="N2536" s="113"/>
      <c r="O2536" s="113"/>
      <c r="P2536" s="113"/>
      <c r="Q2536" s="113"/>
      <c r="R2536" s="113"/>
      <c r="S2536" s="113"/>
      <c r="T2536" s="113"/>
      <c r="U2536" s="113"/>
      <c r="V2536" s="113"/>
      <c r="W2536" s="113"/>
      <c r="X2536" s="113"/>
      <c r="Y2536" s="113"/>
      <c r="Z2536" s="113" t="s">
        <v>1113</v>
      </c>
      <c r="AA2536" s="113"/>
      <c r="AB2536" s="113"/>
      <c r="AC2536" s="113"/>
      <c r="AD2536" s="113"/>
      <c r="AE2536" s="113"/>
      <c r="AF2536" s="113"/>
      <c r="AG2536" s="113"/>
      <c r="AH2536" s="113"/>
      <c r="AI2536" s="113"/>
      <c r="AJ2536" s="113"/>
      <c r="AK2536" s="113"/>
      <c r="AL2536" s="113"/>
      <c r="AM2536" s="113"/>
      <c r="AN2536" s="113"/>
      <c r="AO2536" s="44" t="s">
        <v>2334</v>
      </c>
      <c r="AP2536" s="43"/>
      <c r="AQ2536" s="236" t="str">
        <f>VLOOKUP(Table8[[#This Row],[Instrument]],Def_Targets!$D$73:$E$159,2,FALSE)</f>
        <v>S_Infraexpansion</v>
      </c>
      <c r="AR2536" s="233" t="str">
        <f>VLOOKUP(Table8[[#This Row],[Country Code]],Table29[],3,FALSE)</f>
        <v>Non-Annex I</v>
      </c>
      <c r="AS2536" s="233" t="str">
        <f>VLOOKUP(Table8[[#This Row],[Country Code]],Table29[],4,FALSE)</f>
        <v>Asia</v>
      </c>
      <c r="AT2536" s="233" t="str">
        <f>VLOOKUP(Table8[[#This Row],[Country Code]],Table29[],5,FALSE)</f>
        <v>Middle-income</v>
      </c>
      <c r="AU2536" s="233" t="str">
        <f>VLOOKUP(Table8[[#This Row],[Country Code]],Table29[],6,FALSE)</f>
        <v>no</v>
      </c>
      <c r="AV2536" s="233" t="str">
        <f>VLOOKUP(Table8[[#This Row],[Country Code]],Table29[],7,FALSE)</f>
        <v>no</v>
      </c>
      <c r="AW2536" s="233" t="str">
        <f>VLOOKUP(Table8[[#This Row],[Country Code]],Table29[],8,FALSE)</f>
        <v>non-OECD</v>
      </c>
      <c r="AX2536" s="233" t="str">
        <f>VLOOKUP(Table8[[#This Row],[Country Code]],Table29[],9,FALSE)</f>
        <v>no</v>
      </c>
      <c r="AY2536" s="233" t="str">
        <f>VLOOKUP(Table8[[#This Row],[Country Code]],Table29[],10,FALSE)</f>
        <v>no</v>
      </c>
      <c r="AZ2536" s="235">
        <f>VLOOKUP(Table8[[#This Row],[Country Code]],Table29[],23,FALSE)</f>
        <v>440.78301465571002</v>
      </c>
      <c r="BA2536" s="235">
        <f>VLOOKUP(Table8[[#This Row],[Country Code]],Table29[],24,FALSE)</f>
        <v>81.217527676047013</v>
      </c>
      <c r="BB2536" s="320"/>
      <c r="BC2536" s="320"/>
    </row>
    <row r="2537" spans="1:55" ht="30" hidden="1" x14ac:dyDescent="0.25">
      <c r="A2537" s="373">
        <v>32518</v>
      </c>
      <c r="B2537" s="233" t="str">
        <f>VLOOKUP(Table8[[#This Row],[Document ID]],Table1[],2,FALSE)</f>
        <v>THA</v>
      </c>
      <c r="C2537" s="233" t="str">
        <f>VLOOKUP(Table8[[#This Row],[Document ID]],Table1[],3,FALSE)</f>
        <v>Thailand</v>
      </c>
      <c r="D2537" s="243" t="str">
        <f>VLOOKUP(Table8[[#This Row],[Document ID]],Table1[],5,FALSE)</f>
        <v>LTS</v>
      </c>
      <c r="E2537" s="233" t="str">
        <f>VLOOKUP(Table8[[#This Row],[Document ID]],Table1[],7,FALSE)</f>
        <v>LTS</v>
      </c>
      <c r="F2537" s="233" t="str">
        <f>VLOOKUP(Table8[[#This Row],[Document ID]],Table1[],8,FALSE)</f>
        <v>LTS 1.1</v>
      </c>
      <c r="G2537" s="233" t="str">
        <f>VLOOKUP(Table8[[#This Row],[Document ID]],Table1[],10,FALSE)</f>
        <v>Active</v>
      </c>
      <c r="H2537" s="43" t="s">
        <v>2343</v>
      </c>
      <c r="I2537" s="43" t="s">
        <v>2344</v>
      </c>
      <c r="J2537" s="44" t="s">
        <v>2405</v>
      </c>
      <c r="K2537" s="44" t="s">
        <v>4635</v>
      </c>
      <c r="L2537" s="44" t="s">
        <v>2471</v>
      </c>
      <c r="M2537" s="43">
        <v>26</v>
      </c>
      <c r="N2537" s="113"/>
      <c r="O2537" s="113"/>
      <c r="P2537" s="113"/>
      <c r="Q2537" s="113"/>
      <c r="R2537" s="113"/>
      <c r="S2537" s="113"/>
      <c r="T2537" s="113"/>
      <c r="U2537" s="113"/>
      <c r="V2537" s="113"/>
      <c r="W2537" s="113"/>
      <c r="X2537" s="113"/>
      <c r="Y2537" s="113"/>
      <c r="Z2537" s="113"/>
      <c r="AA2537" s="113"/>
      <c r="AB2537" s="113"/>
      <c r="AC2537" s="113" t="s">
        <v>1113</v>
      </c>
      <c r="AD2537" s="113"/>
      <c r="AE2537" s="113"/>
      <c r="AF2537" s="113"/>
      <c r="AG2537" s="113"/>
      <c r="AH2537" s="113"/>
      <c r="AI2537" s="113"/>
      <c r="AJ2537" s="113"/>
      <c r="AK2537" s="113"/>
      <c r="AL2537" s="113"/>
      <c r="AM2537" s="113"/>
      <c r="AN2537" s="113"/>
      <c r="AO2537" s="44" t="s">
        <v>2334</v>
      </c>
      <c r="AP2537" s="43"/>
      <c r="AQ2537" s="236" t="str">
        <f>VLOOKUP(Table8[[#This Row],[Instrument]],Def_Targets!$D$73:$E$159,2,FALSE)</f>
        <v>S_PTIntegration</v>
      </c>
      <c r="AR2537" s="233" t="str">
        <f>VLOOKUP(Table8[[#This Row],[Country Code]],Table29[],3,FALSE)</f>
        <v>Non-Annex I</v>
      </c>
      <c r="AS2537" s="233" t="str">
        <f>VLOOKUP(Table8[[#This Row],[Country Code]],Table29[],4,FALSE)</f>
        <v>Asia</v>
      </c>
      <c r="AT2537" s="233" t="str">
        <f>VLOOKUP(Table8[[#This Row],[Country Code]],Table29[],5,FALSE)</f>
        <v>Middle-income</v>
      </c>
      <c r="AU2537" s="233" t="str">
        <f>VLOOKUP(Table8[[#This Row],[Country Code]],Table29[],6,FALSE)</f>
        <v>no</v>
      </c>
      <c r="AV2537" s="233" t="str">
        <f>VLOOKUP(Table8[[#This Row],[Country Code]],Table29[],7,FALSE)</f>
        <v>no</v>
      </c>
      <c r="AW2537" s="233" t="str">
        <f>VLOOKUP(Table8[[#This Row],[Country Code]],Table29[],8,FALSE)</f>
        <v>non-OECD</v>
      </c>
      <c r="AX2537" s="233" t="str">
        <f>VLOOKUP(Table8[[#This Row],[Country Code]],Table29[],9,FALSE)</f>
        <v>no</v>
      </c>
      <c r="AY2537" s="233" t="str">
        <f>VLOOKUP(Table8[[#This Row],[Country Code]],Table29[],10,FALSE)</f>
        <v>no</v>
      </c>
      <c r="AZ2537" s="235">
        <f>VLOOKUP(Table8[[#This Row],[Country Code]],Table29[],23,FALSE)</f>
        <v>440.78301465571002</v>
      </c>
      <c r="BA2537" s="235">
        <f>VLOOKUP(Table8[[#This Row],[Country Code]],Table29[],24,FALSE)</f>
        <v>81.217527676047013</v>
      </c>
      <c r="BB2537" s="320"/>
      <c r="BC2537" s="320"/>
    </row>
    <row r="2538" spans="1:55" hidden="1" x14ac:dyDescent="0.25">
      <c r="A2538" s="373">
        <v>32518</v>
      </c>
      <c r="B2538" s="233" t="str">
        <f>VLOOKUP(Table8[[#This Row],[Document ID]],Table1[],2,FALSE)</f>
        <v>THA</v>
      </c>
      <c r="C2538" s="233" t="str">
        <f>VLOOKUP(Table8[[#This Row],[Document ID]],Table1[],3,FALSE)</f>
        <v>Thailand</v>
      </c>
      <c r="D2538" s="243" t="str">
        <f>VLOOKUP(Table8[[#This Row],[Document ID]],Table1[],5,FALSE)</f>
        <v>LTS</v>
      </c>
      <c r="E2538" s="233" t="str">
        <f>VLOOKUP(Table8[[#This Row],[Document ID]],Table1[],7,FALSE)</f>
        <v>LTS</v>
      </c>
      <c r="F2538" s="233" t="str">
        <f>VLOOKUP(Table8[[#This Row],[Document ID]],Table1[],8,FALSE)</f>
        <v>LTS 1.1</v>
      </c>
      <c r="G2538" s="233" t="str">
        <f>VLOOKUP(Table8[[#This Row],[Document ID]],Table1[],10,FALSE)</f>
        <v>Active</v>
      </c>
      <c r="H2538" s="43" t="s">
        <v>2350</v>
      </c>
      <c r="I2538" s="43" t="s">
        <v>2456</v>
      </c>
      <c r="J2538" s="44" t="s">
        <v>2466</v>
      </c>
      <c r="K2538" s="44" t="s">
        <v>4636</v>
      </c>
      <c r="L2538" s="44" t="s">
        <v>2347</v>
      </c>
      <c r="M2538" s="43">
        <v>26</v>
      </c>
      <c r="N2538" s="113"/>
      <c r="O2538" s="113"/>
      <c r="P2538" s="113"/>
      <c r="Q2538" s="113"/>
      <c r="R2538" s="113"/>
      <c r="S2538" s="113"/>
      <c r="T2538" s="113"/>
      <c r="U2538" s="113"/>
      <c r="V2538" s="113"/>
      <c r="W2538" s="113"/>
      <c r="X2538" s="113"/>
      <c r="Y2538" s="113"/>
      <c r="Z2538" s="113"/>
      <c r="AA2538" s="113"/>
      <c r="AB2538" s="113" t="s">
        <v>1113</v>
      </c>
      <c r="AC2538" s="113"/>
      <c r="AD2538" s="113"/>
      <c r="AE2538" s="113"/>
      <c r="AF2538" s="113"/>
      <c r="AG2538" s="113"/>
      <c r="AH2538" s="113"/>
      <c r="AI2538" s="113"/>
      <c r="AJ2538" s="113"/>
      <c r="AK2538" s="113"/>
      <c r="AL2538" s="113"/>
      <c r="AM2538" s="113"/>
      <c r="AN2538" s="113"/>
      <c r="AO2538" s="43" t="s">
        <v>2348</v>
      </c>
      <c r="AP2538" s="43"/>
      <c r="AQ2538" s="236" t="str">
        <f>VLOOKUP(Table8[[#This Row],[Instrument]],Def_Targets!$D$73:$E$159,2,FALSE)</f>
        <v>S_Infraexpansion</v>
      </c>
      <c r="AR2538" s="233" t="str">
        <f>VLOOKUP(Table8[[#This Row],[Country Code]],Table29[],3,FALSE)</f>
        <v>Non-Annex I</v>
      </c>
      <c r="AS2538" s="233" t="str">
        <f>VLOOKUP(Table8[[#This Row],[Country Code]],Table29[],4,FALSE)</f>
        <v>Asia</v>
      </c>
      <c r="AT2538" s="233" t="str">
        <f>VLOOKUP(Table8[[#This Row],[Country Code]],Table29[],5,FALSE)</f>
        <v>Middle-income</v>
      </c>
      <c r="AU2538" s="233" t="str">
        <f>VLOOKUP(Table8[[#This Row],[Country Code]],Table29[],6,FALSE)</f>
        <v>no</v>
      </c>
      <c r="AV2538" s="233" t="str">
        <f>VLOOKUP(Table8[[#This Row],[Country Code]],Table29[],7,FALSE)</f>
        <v>no</v>
      </c>
      <c r="AW2538" s="233" t="str">
        <f>VLOOKUP(Table8[[#This Row],[Country Code]],Table29[],8,FALSE)</f>
        <v>non-OECD</v>
      </c>
      <c r="AX2538" s="233" t="str">
        <f>VLOOKUP(Table8[[#This Row],[Country Code]],Table29[],9,FALSE)</f>
        <v>no</v>
      </c>
      <c r="AY2538" s="233" t="str">
        <f>VLOOKUP(Table8[[#This Row],[Country Code]],Table29[],10,FALSE)</f>
        <v>no</v>
      </c>
      <c r="AZ2538" s="235">
        <f>VLOOKUP(Table8[[#This Row],[Country Code]],Table29[],23,FALSE)</f>
        <v>440.78301465571002</v>
      </c>
      <c r="BA2538" s="235">
        <f>VLOOKUP(Table8[[#This Row],[Country Code]],Table29[],24,FALSE)</f>
        <v>81.217527676047013</v>
      </c>
      <c r="BB2538" s="320"/>
      <c r="BC2538" s="320"/>
    </row>
    <row r="2539" spans="1:55" ht="30" hidden="1" x14ac:dyDescent="0.25">
      <c r="A2539" s="373">
        <v>32518</v>
      </c>
      <c r="B2539" s="233" t="str">
        <f>VLOOKUP(Table8[[#This Row],[Document ID]],Table1[],2,FALSE)</f>
        <v>THA</v>
      </c>
      <c r="C2539" s="233" t="str">
        <f>VLOOKUP(Table8[[#This Row],[Document ID]],Table1[],3,FALSE)</f>
        <v>Thailand</v>
      </c>
      <c r="D2539" s="243" t="str">
        <f>VLOOKUP(Table8[[#This Row],[Document ID]],Table1[],5,FALSE)</f>
        <v>LTS</v>
      </c>
      <c r="E2539" s="233" t="str">
        <f>VLOOKUP(Table8[[#This Row],[Document ID]],Table1[],7,FALSE)</f>
        <v>LTS</v>
      </c>
      <c r="F2539" s="233" t="str">
        <f>VLOOKUP(Table8[[#This Row],[Document ID]],Table1[],8,FALSE)</f>
        <v>LTS 1.1</v>
      </c>
      <c r="G2539" s="233" t="str">
        <f>VLOOKUP(Table8[[#This Row],[Document ID]],Table1[],10,FALSE)</f>
        <v>Active</v>
      </c>
      <c r="H2539" s="43" t="s">
        <v>2350</v>
      </c>
      <c r="I2539" s="43" t="s">
        <v>2351</v>
      </c>
      <c r="J2539" s="44" t="s">
        <v>2352</v>
      </c>
      <c r="K2539" s="44" t="s">
        <v>4637</v>
      </c>
      <c r="L2539" s="44" t="s">
        <v>2347</v>
      </c>
      <c r="M2539" s="43">
        <v>26</v>
      </c>
      <c r="N2539" s="113"/>
      <c r="O2539" s="113"/>
      <c r="P2539" s="113"/>
      <c r="Q2539" s="113"/>
      <c r="R2539" s="113"/>
      <c r="S2539" s="113"/>
      <c r="T2539" s="113"/>
      <c r="U2539" s="113"/>
      <c r="V2539" s="113"/>
      <c r="W2539" s="113"/>
      <c r="X2539" s="113"/>
      <c r="Y2539" s="113"/>
      <c r="Z2539" s="113" t="s">
        <v>1113</v>
      </c>
      <c r="AA2539" s="113"/>
      <c r="AB2539" s="113"/>
      <c r="AC2539" s="113"/>
      <c r="AD2539" s="113"/>
      <c r="AE2539" s="113"/>
      <c r="AF2539" s="113"/>
      <c r="AG2539" s="113"/>
      <c r="AH2539" s="113"/>
      <c r="AI2539" s="113"/>
      <c r="AJ2539" s="113"/>
      <c r="AK2539" s="113"/>
      <c r="AL2539" s="113"/>
      <c r="AM2539" s="113"/>
      <c r="AN2539" s="113"/>
      <c r="AO2539" s="44" t="s">
        <v>2334</v>
      </c>
      <c r="AP2539" s="43"/>
      <c r="AQ2539" s="236" t="str">
        <f>VLOOKUP(Table8[[#This Row],[Instrument]],Def_Targets!$D$73:$E$159,2,FALSE)</f>
        <v>S_Railfreight</v>
      </c>
      <c r="AR2539" s="233" t="str">
        <f>VLOOKUP(Table8[[#This Row],[Country Code]],Table29[],3,FALSE)</f>
        <v>Non-Annex I</v>
      </c>
      <c r="AS2539" s="233" t="str">
        <f>VLOOKUP(Table8[[#This Row],[Country Code]],Table29[],4,FALSE)</f>
        <v>Asia</v>
      </c>
      <c r="AT2539" s="233" t="str">
        <f>VLOOKUP(Table8[[#This Row],[Country Code]],Table29[],5,FALSE)</f>
        <v>Middle-income</v>
      </c>
      <c r="AU2539" s="233" t="str">
        <f>VLOOKUP(Table8[[#This Row],[Country Code]],Table29[],6,FALSE)</f>
        <v>no</v>
      </c>
      <c r="AV2539" s="233" t="str">
        <f>VLOOKUP(Table8[[#This Row],[Country Code]],Table29[],7,FALSE)</f>
        <v>no</v>
      </c>
      <c r="AW2539" s="233" t="str">
        <f>VLOOKUP(Table8[[#This Row],[Country Code]],Table29[],8,FALSE)</f>
        <v>non-OECD</v>
      </c>
      <c r="AX2539" s="233" t="str">
        <f>VLOOKUP(Table8[[#This Row],[Country Code]],Table29[],9,FALSE)</f>
        <v>no</v>
      </c>
      <c r="AY2539" s="233" t="str">
        <f>VLOOKUP(Table8[[#This Row],[Country Code]],Table29[],10,FALSE)</f>
        <v>no</v>
      </c>
      <c r="AZ2539" s="235">
        <f>VLOOKUP(Table8[[#This Row],[Country Code]],Table29[],23,FALSE)</f>
        <v>440.78301465571002</v>
      </c>
      <c r="BA2539" s="235">
        <f>VLOOKUP(Table8[[#This Row],[Country Code]],Table29[],24,FALSE)</f>
        <v>81.217527676047013</v>
      </c>
      <c r="BB2539" s="320"/>
      <c r="BC2539" s="320"/>
    </row>
    <row r="2540" spans="1:55" hidden="1" x14ac:dyDescent="0.25">
      <c r="A2540" s="373">
        <v>32518</v>
      </c>
      <c r="B2540" s="233" t="str">
        <f>VLOOKUP(Table8[[#This Row],[Document ID]],Table1[],2,FALSE)</f>
        <v>THA</v>
      </c>
      <c r="C2540" s="233" t="str">
        <f>VLOOKUP(Table8[[#This Row],[Document ID]],Table1[],3,FALSE)</f>
        <v>Thailand</v>
      </c>
      <c r="D2540" s="243" t="str">
        <f>VLOOKUP(Table8[[#This Row],[Document ID]],Table1[],5,FALSE)</f>
        <v>LTS</v>
      </c>
      <c r="E2540" s="233" t="str">
        <f>VLOOKUP(Table8[[#This Row],[Document ID]],Table1[],7,FALSE)</f>
        <v>LTS</v>
      </c>
      <c r="F2540" s="233" t="str">
        <f>VLOOKUP(Table8[[#This Row],[Document ID]],Table1[],8,FALSE)</f>
        <v>LTS 1.1</v>
      </c>
      <c r="G2540" s="233" t="str">
        <f>VLOOKUP(Table8[[#This Row],[Document ID]],Table1[],10,FALSE)</f>
        <v>Active</v>
      </c>
      <c r="H2540" s="43" t="s">
        <v>2350</v>
      </c>
      <c r="I2540" s="43" t="s">
        <v>2351</v>
      </c>
      <c r="J2540" s="44" t="s">
        <v>2447</v>
      </c>
      <c r="K2540" s="44" t="s">
        <v>4638</v>
      </c>
      <c r="L2540" s="44" t="s">
        <v>2333</v>
      </c>
      <c r="M2540" s="43">
        <v>26</v>
      </c>
      <c r="N2540" s="113"/>
      <c r="O2540" s="113"/>
      <c r="P2540" s="113"/>
      <c r="Q2540" s="113"/>
      <c r="R2540" s="113"/>
      <c r="S2540" s="113"/>
      <c r="T2540" s="113"/>
      <c r="U2540" s="113"/>
      <c r="V2540" s="113"/>
      <c r="W2540" s="113"/>
      <c r="X2540" s="113"/>
      <c r="Y2540" s="113"/>
      <c r="Z2540" s="113"/>
      <c r="AA2540" s="113"/>
      <c r="AB2540" s="113"/>
      <c r="AC2540" s="113"/>
      <c r="AD2540" s="113"/>
      <c r="AE2540" s="113"/>
      <c r="AF2540" s="113" t="s">
        <v>1113</v>
      </c>
      <c r="AG2540" s="113"/>
      <c r="AH2540" s="113"/>
      <c r="AI2540" s="113"/>
      <c r="AJ2540" s="113"/>
      <c r="AK2540" s="113" t="s">
        <v>1113</v>
      </c>
      <c r="AL2540" s="113"/>
      <c r="AM2540" s="113"/>
      <c r="AN2540" s="113"/>
      <c r="AO2540" s="43" t="s">
        <v>2353</v>
      </c>
      <c r="AP2540" s="43"/>
      <c r="AQ2540" s="236" t="str">
        <f>VLOOKUP(Table8[[#This Row],[Instrument]],Def_Targets!$D$73:$E$159,2,FALSE)</f>
        <v>I_Freighteff</v>
      </c>
      <c r="AR2540" s="233" t="str">
        <f>VLOOKUP(Table8[[#This Row],[Country Code]],Table29[],3,FALSE)</f>
        <v>Non-Annex I</v>
      </c>
      <c r="AS2540" s="233" t="str">
        <f>VLOOKUP(Table8[[#This Row],[Country Code]],Table29[],4,FALSE)</f>
        <v>Asia</v>
      </c>
      <c r="AT2540" s="233" t="str">
        <f>VLOOKUP(Table8[[#This Row],[Country Code]],Table29[],5,FALSE)</f>
        <v>Middle-income</v>
      </c>
      <c r="AU2540" s="233" t="str">
        <f>VLOOKUP(Table8[[#This Row],[Country Code]],Table29[],6,FALSE)</f>
        <v>no</v>
      </c>
      <c r="AV2540" s="233" t="str">
        <f>VLOOKUP(Table8[[#This Row],[Country Code]],Table29[],7,FALSE)</f>
        <v>no</v>
      </c>
      <c r="AW2540" s="233" t="str">
        <f>VLOOKUP(Table8[[#This Row],[Country Code]],Table29[],8,FALSE)</f>
        <v>non-OECD</v>
      </c>
      <c r="AX2540" s="233" t="str">
        <f>VLOOKUP(Table8[[#This Row],[Country Code]],Table29[],9,FALSE)</f>
        <v>no</v>
      </c>
      <c r="AY2540" s="233" t="str">
        <f>VLOOKUP(Table8[[#This Row],[Country Code]],Table29[],10,FALSE)</f>
        <v>no</v>
      </c>
      <c r="AZ2540" s="235">
        <f>VLOOKUP(Table8[[#This Row],[Country Code]],Table29[],23,FALSE)</f>
        <v>440.78301465571002</v>
      </c>
      <c r="BA2540" s="235">
        <f>VLOOKUP(Table8[[#This Row],[Country Code]],Table29[],24,FALSE)</f>
        <v>81.217527676047013</v>
      </c>
      <c r="BB2540" s="320"/>
      <c r="BC2540" s="320"/>
    </row>
    <row r="2541" spans="1:55" hidden="1" x14ac:dyDescent="0.25">
      <c r="A2541" s="373">
        <v>32518</v>
      </c>
      <c r="B2541" s="233" t="str">
        <f>VLOOKUP(Table8[[#This Row],[Document ID]],Table1[],2,FALSE)</f>
        <v>THA</v>
      </c>
      <c r="C2541" s="233" t="str">
        <f>VLOOKUP(Table8[[#This Row],[Document ID]],Table1[],3,FALSE)</f>
        <v>Thailand</v>
      </c>
      <c r="D2541" s="243" t="str">
        <f>VLOOKUP(Table8[[#This Row],[Document ID]],Table1[],5,FALSE)</f>
        <v>LTS</v>
      </c>
      <c r="E2541" s="233" t="str">
        <f>VLOOKUP(Table8[[#This Row],[Document ID]],Table1[],7,FALSE)</f>
        <v>LTS</v>
      </c>
      <c r="F2541" s="233" t="str">
        <f>VLOOKUP(Table8[[#This Row],[Document ID]],Table1[],8,FALSE)</f>
        <v>LTS 1.1</v>
      </c>
      <c r="G2541" s="233" t="str">
        <f>VLOOKUP(Table8[[#This Row],[Document ID]],Table1[],10,FALSE)</f>
        <v>Active</v>
      </c>
      <c r="H2541" s="43" t="s">
        <v>2484</v>
      </c>
      <c r="I2541" s="43" t="s">
        <v>2485</v>
      </c>
      <c r="J2541" s="44" t="s">
        <v>2486</v>
      </c>
      <c r="K2541" s="44" t="s">
        <v>4639</v>
      </c>
      <c r="L2541" s="44" t="s">
        <v>2347</v>
      </c>
      <c r="M2541" s="43">
        <v>26</v>
      </c>
      <c r="N2541" s="113"/>
      <c r="O2541" s="113"/>
      <c r="P2541" s="113"/>
      <c r="Q2541" s="113"/>
      <c r="R2541" s="113"/>
      <c r="S2541" s="113"/>
      <c r="T2541" s="113"/>
      <c r="U2541" s="113"/>
      <c r="V2541" s="113"/>
      <c r="W2541" s="113"/>
      <c r="X2541" s="113"/>
      <c r="Y2541" s="113"/>
      <c r="Z2541" s="113"/>
      <c r="AA2541" s="113"/>
      <c r="AB2541" s="113"/>
      <c r="AC2541" s="113"/>
      <c r="AD2541" s="113" t="s">
        <v>1113</v>
      </c>
      <c r="AE2541" s="113"/>
      <c r="AF2541" s="113"/>
      <c r="AG2541" s="113"/>
      <c r="AH2541" s="113"/>
      <c r="AI2541" s="113"/>
      <c r="AJ2541" s="113"/>
      <c r="AK2541" s="113"/>
      <c r="AL2541" s="113"/>
      <c r="AM2541" s="113"/>
      <c r="AN2541" s="113" t="s">
        <v>1113</v>
      </c>
      <c r="AO2541" s="44" t="s">
        <v>2334</v>
      </c>
      <c r="AP2541" s="43"/>
      <c r="AQ2541" s="236" t="str">
        <f>VLOOKUP(Table8[[#This Row],[Instrument]],Def_Targets!$D$73:$E$159,2,FALSE)</f>
        <v>I_Shipping</v>
      </c>
      <c r="AR2541" s="233" t="str">
        <f>VLOOKUP(Table8[[#This Row],[Country Code]],Table29[],3,FALSE)</f>
        <v>Non-Annex I</v>
      </c>
      <c r="AS2541" s="233" t="str">
        <f>VLOOKUP(Table8[[#This Row],[Country Code]],Table29[],4,FALSE)</f>
        <v>Asia</v>
      </c>
      <c r="AT2541" s="233" t="str">
        <f>VLOOKUP(Table8[[#This Row],[Country Code]],Table29[],5,FALSE)</f>
        <v>Middle-income</v>
      </c>
      <c r="AU2541" s="233" t="str">
        <f>VLOOKUP(Table8[[#This Row],[Country Code]],Table29[],6,FALSE)</f>
        <v>no</v>
      </c>
      <c r="AV2541" s="233" t="str">
        <f>VLOOKUP(Table8[[#This Row],[Country Code]],Table29[],7,FALSE)</f>
        <v>no</v>
      </c>
      <c r="AW2541" s="233" t="str">
        <f>VLOOKUP(Table8[[#This Row],[Country Code]],Table29[],8,FALSE)</f>
        <v>non-OECD</v>
      </c>
      <c r="AX2541" s="233" t="str">
        <f>VLOOKUP(Table8[[#This Row],[Country Code]],Table29[],9,FALSE)</f>
        <v>no</v>
      </c>
      <c r="AY2541" s="233" t="str">
        <f>VLOOKUP(Table8[[#This Row],[Country Code]],Table29[],10,FALSE)</f>
        <v>no</v>
      </c>
      <c r="AZ2541" s="235">
        <f>VLOOKUP(Table8[[#This Row],[Country Code]],Table29[],23,FALSE)</f>
        <v>440.78301465571002</v>
      </c>
      <c r="BA2541" s="235">
        <f>VLOOKUP(Table8[[#This Row],[Country Code]],Table29[],24,FALSE)</f>
        <v>81.217527676047013</v>
      </c>
      <c r="BB2541" s="320"/>
      <c r="BC2541" s="320"/>
    </row>
    <row r="2542" spans="1:55" hidden="1" x14ac:dyDescent="0.25">
      <c r="A2542" s="373">
        <v>32518</v>
      </c>
      <c r="B2542" s="233" t="str">
        <f>VLOOKUP(Table8[[#This Row],[Document ID]],Table1[],2,FALSE)</f>
        <v>THA</v>
      </c>
      <c r="C2542" s="233" t="str">
        <f>VLOOKUP(Table8[[#This Row],[Document ID]],Table1[],3,FALSE)</f>
        <v>Thailand</v>
      </c>
      <c r="D2542" s="243" t="str">
        <f>VLOOKUP(Table8[[#This Row],[Document ID]],Table1[],5,FALSE)</f>
        <v>LTS</v>
      </c>
      <c r="E2542" s="233" t="str">
        <f>VLOOKUP(Table8[[#This Row],[Document ID]],Table1[],7,FALSE)</f>
        <v>LTS</v>
      </c>
      <c r="F2542" s="233" t="str">
        <f>VLOOKUP(Table8[[#This Row],[Document ID]],Table1[],8,FALSE)</f>
        <v>LTS 1.1</v>
      </c>
      <c r="G2542" s="233" t="str">
        <f>VLOOKUP(Table8[[#This Row],[Document ID]],Table1[],10,FALSE)</f>
        <v>Active</v>
      </c>
      <c r="H2542" s="43" t="s">
        <v>2343</v>
      </c>
      <c r="I2542" s="43" t="s">
        <v>2386</v>
      </c>
      <c r="J2542" s="44" t="s">
        <v>2530</v>
      </c>
      <c r="K2542" s="44" t="s">
        <v>4640</v>
      </c>
      <c r="L2542" s="44" t="s">
        <v>2333</v>
      </c>
      <c r="M2542" s="43">
        <v>26</v>
      </c>
      <c r="N2542" s="113" t="s">
        <v>1113</v>
      </c>
      <c r="O2542" s="113"/>
      <c r="P2542" s="113"/>
      <c r="Q2542" s="113"/>
      <c r="R2542" s="113"/>
      <c r="S2542" s="113"/>
      <c r="T2542" s="113"/>
      <c r="U2542" s="113"/>
      <c r="V2542" s="113"/>
      <c r="W2542" s="113"/>
      <c r="X2542" s="113"/>
      <c r="Y2542" s="113"/>
      <c r="Z2542" s="113"/>
      <c r="AA2542" s="113"/>
      <c r="AB2542" s="113"/>
      <c r="AC2542" s="113"/>
      <c r="AD2542" s="113"/>
      <c r="AE2542" s="113"/>
      <c r="AF2542" s="113"/>
      <c r="AG2542" s="113"/>
      <c r="AH2542" s="113"/>
      <c r="AI2542" s="113"/>
      <c r="AJ2542" s="113"/>
      <c r="AK2542" s="113"/>
      <c r="AL2542" s="113"/>
      <c r="AM2542" s="113"/>
      <c r="AN2542" s="113"/>
      <c r="AO2542" s="44" t="s">
        <v>2334</v>
      </c>
      <c r="AP2542" s="43"/>
      <c r="AQ2542" s="236" t="str">
        <f>VLOOKUP(Table8[[#This Row],[Instrument]],Def_Targets!$D$73:$E$159,2,FALSE)</f>
        <v>A_Vehicletax</v>
      </c>
      <c r="AR2542" s="233" t="str">
        <f>VLOOKUP(Table8[[#This Row],[Country Code]],Table29[],3,FALSE)</f>
        <v>Non-Annex I</v>
      </c>
      <c r="AS2542" s="233" t="str">
        <f>VLOOKUP(Table8[[#This Row],[Country Code]],Table29[],4,FALSE)</f>
        <v>Asia</v>
      </c>
      <c r="AT2542" s="233" t="str">
        <f>VLOOKUP(Table8[[#This Row],[Country Code]],Table29[],5,FALSE)</f>
        <v>Middle-income</v>
      </c>
      <c r="AU2542" s="233" t="str">
        <f>VLOOKUP(Table8[[#This Row],[Country Code]],Table29[],6,FALSE)</f>
        <v>no</v>
      </c>
      <c r="AV2542" s="233" t="str">
        <f>VLOOKUP(Table8[[#This Row],[Country Code]],Table29[],7,FALSE)</f>
        <v>no</v>
      </c>
      <c r="AW2542" s="233" t="str">
        <f>VLOOKUP(Table8[[#This Row],[Country Code]],Table29[],8,FALSE)</f>
        <v>non-OECD</v>
      </c>
      <c r="AX2542" s="233" t="str">
        <f>VLOOKUP(Table8[[#This Row],[Country Code]],Table29[],9,FALSE)</f>
        <v>no</v>
      </c>
      <c r="AY2542" s="233" t="str">
        <f>VLOOKUP(Table8[[#This Row],[Country Code]],Table29[],10,FALSE)</f>
        <v>no</v>
      </c>
      <c r="AZ2542" s="235">
        <f>VLOOKUP(Table8[[#This Row],[Country Code]],Table29[],23,FALSE)</f>
        <v>440.78301465571002</v>
      </c>
      <c r="BA2542" s="235">
        <f>VLOOKUP(Table8[[#This Row],[Country Code]],Table29[],24,FALSE)</f>
        <v>81.217527676047013</v>
      </c>
      <c r="BB2542" s="320"/>
      <c r="BC2542" s="320"/>
    </row>
    <row r="2543" spans="1:55" ht="30" hidden="1" x14ac:dyDescent="0.25">
      <c r="A2543" s="373">
        <v>32518</v>
      </c>
      <c r="B2543" s="233" t="str">
        <f>VLOOKUP(Table8[[#This Row],[Document ID]],Table1[],2,FALSE)</f>
        <v>THA</v>
      </c>
      <c r="C2543" s="233" t="str">
        <f>VLOOKUP(Table8[[#This Row],[Document ID]],Table1[],3,FALSE)</f>
        <v>Thailand</v>
      </c>
      <c r="D2543" s="243" t="str">
        <f>VLOOKUP(Table8[[#This Row],[Document ID]],Table1[],5,FALSE)</f>
        <v>LTS</v>
      </c>
      <c r="E2543" s="233" t="str">
        <f>VLOOKUP(Table8[[#This Row],[Document ID]],Table1[],7,FALSE)</f>
        <v>LTS</v>
      </c>
      <c r="F2543" s="233" t="str">
        <f>VLOOKUP(Table8[[#This Row],[Document ID]],Table1[],8,FALSE)</f>
        <v>LTS 1.1</v>
      </c>
      <c r="G2543" s="233" t="str">
        <f>VLOOKUP(Table8[[#This Row],[Document ID]],Table1[],10,FALSE)</f>
        <v>Active</v>
      </c>
      <c r="H2543" s="43" t="s">
        <v>2358</v>
      </c>
      <c r="I2543" s="43" t="s">
        <v>2359</v>
      </c>
      <c r="J2543" s="44" t="s">
        <v>2360</v>
      </c>
      <c r="K2543" s="44" t="s">
        <v>4641</v>
      </c>
      <c r="L2543" s="44" t="s">
        <v>2333</v>
      </c>
      <c r="M2543" s="43">
        <v>26</v>
      </c>
      <c r="N2543" s="113"/>
      <c r="O2543" s="113"/>
      <c r="P2543" s="113"/>
      <c r="Q2543" s="113"/>
      <c r="R2543" s="113"/>
      <c r="S2543" s="113"/>
      <c r="T2543" s="113" t="s">
        <v>1113</v>
      </c>
      <c r="U2543" s="113"/>
      <c r="V2543" s="113"/>
      <c r="W2543" s="113"/>
      <c r="X2543" s="113"/>
      <c r="Y2543" s="113" t="s">
        <v>1113</v>
      </c>
      <c r="Z2543" s="113"/>
      <c r="AA2543" s="113"/>
      <c r="AB2543" s="113"/>
      <c r="AC2543" s="113"/>
      <c r="AD2543" s="113"/>
      <c r="AE2543" s="113"/>
      <c r="AF2543" s="113"/>
      <c r="AG2543" s="113"/>
      <c r="AH2543" s="113"/>
      <c r="AI2543" s="113"/>
      <c r="AJ2543" s="113"/>
      <c r="AK2543" s="113"/>
      <c r="AL2543" s="113"/>
      <c r="AM2543" s="113"/>
      <c r="AN2543" s="113"/>
      <c r="AO2543" s="43" t="s">
        <v>2477</v>
      </c>
      <c r="AP2543" s="43"/>
      <c r="AQ2543" s="236" t="str">
        <f>VLOOKUP(Table8[[#This Row],[Instrument]],Def_Targets!$D$73:$E$159,2,FALSE)</f>
        <v>I_Emobility</v>
      </c>
      <c r="AR2543" s="233" t="str">
        <f>VLOOKUP(Table8[[#This Row],[Country Code]],Table29[],3,FALSE)</f>
        <v>Non-Annex I</v>
      </c>
      <c r="AS2543" s="233" t="str">
        <f>VLOOKUP(Table8[[#This Row],[Country Code]],Table29[],4,FALSE)</f>
        <v>Asia</v>
      </c>
      <c r="AT2543" s="233" t="str">
        <f>VLOOKUP(Table8[[#This Row],[Country Code]],Table29[],5,FALSE)</f>
        <v>Middle-income</v>
      </c>
      <c r="AU2543" s="233" t="str">
        <f>VLOOKUP(Table8[[#This Row],[Country Code]],Table29[],6,FALSE)</f>
        <v>no</v>
      </c>
      <c r="AV2543" s="233" t="str">
        <f>VLOOKUP(Table8[[#This Row],[Country Code]],Table29[],7,FALSE)</f>
        <v>no</v>
      </c>
      <c r="AW2543" s="233" t="str">
        <f>VLOOKUP(Table8[[#This Row],[Country Code]],Table29[],8,FALSE)</f>
        <v>non-OECD</v>
      </c>
      <c r="AX2543" s="233" t="str">
        <f>VLOOKUP(Table8[[#This Row],[Country Code]],Table29[],9,FALSE)</f>
        <v>no</v>
      </c>
      <c r="AY2543" s="233" t="str">
        <f>VLOOKUP(Table8[[#This Row],[Country Code]],Table29[],10,FALSE)</f>
        <v>no</v>
      </c>
      <c r="AZ2543" s="235">
        <f>VLOOKUP(Table8[[#This Row],[Country Code]],Table29[],23,FALSE)</f>
        <v>440.78301465571002</v>
      </c>
      <c r="BA2543" s="235">
        <f>VLOOKUP(Table8[[#This Row],[Country Code]],Table29[],24,FALSE)</f>
        <v>81.217527676047013</v>
      </c>
      <c r="BB2543" s="320"/>
      <c r="BC2543" s="320"/>
    </row>
    <row r="2544" spans="1:55" ht="165" hidden="1" x14ac:dyDescent="0.25">
      <c r="A2544" s="373">
        <v>32518</v>
      </c>
      <c r="B2544" s="233" t="str">
        <f>VLOOKUP(Table8[[#This Row],[Document ID]],Table1[],2,FALSE)</f>
        <v>THA</v>
      </c>
      <c r="C2544" s="233" t="str">
        <f>VLOOKUP(Table8[[#This Row],[Document ID]],Table1[],3,FALSE)</f>
        <v>Thailand</v>
      </c>
      <c r="D2544" s="243" t="str">
        <f>VLOOKUP(Table8[[#This Row],[Document ID]],Table1[],5,FALSE)</f>
        <v>LTS</v>
      </c>
      <c r="E2544" s="233" t="str">
        <f>VLOOKUP(Table8[[#This Row],[Document ID]],Table1[],7,FALSE)</f>
        <v>LTS</v>
      </c>
      <c r="F2544" s="233" t="str">
        <f>VLOOKUP(Table8[[#This Row],[Document ID]],Table1[],8,FALSE)</f>
        <v>LTS 1.1</v>
      </c>
      <c r="G2544" s="233" t="str">
        <f>VLOOKUP(Table8[[#This Row],[Document ID]],Table1[],10,FALSE)</f>
        <v>Active</v>
      </c>
      <c r="H2544" s="43" t="s">
        <v>2358</v>
      </c>
      <c r="I2544" s="43" t="s">
        <v>2359</v>
      </c>
      <c r="J2544" s="44" t="s">
        <v>2360</v>
      </c>
      <c r="K2544" s="44" t="s">
        <v>4642</v>
      </c>
      <c r="L2544" s="44" t="s">
        <v>2333</v>
      </c>
      <c r="M2544" s="43">
        <v>27</v>
      </c>
      <c r="N2544" s="113"/>
      <c r="O2544" s="113"/>
      <c r="P2544" s="113"/>
      <c r="Q2544" s="113"/>
      <c r="R2544" s="113"/>
      <c r="S2544" s="113"/>
      <c r="T2544" s="113" t="s">
        <v>1113</v>
      </c>
      <c r="U2544" s="113" t="s">
        <v>1113</v>
      </c>
      <c r="V2544" s="113"/>
      <c r="W2544" s="113"/>
      <c r="X2544" s="113" t="s">
        <v>1113</v>
      </c>
      <c r="Y2544" s="113" t="s">
        <v>1113</v>
      </c>
      <c r="Z2544" s="113"/>
      <c r="AA2544" s="113"/>
      <c r="AB2544" s="113"/>
      <c r="AC2544" s="113"/>
      <c r="AD2544" s="113"/>
      <c r="AE2544" s="113"/>
      <c r="AF2544" s="113"/>
      <c r="AG2544" s="113"/>
      <c r="AH2544" s="113"/>
      <c r="AI2544" s="113"/>
      <c r="AJ2544" s="113"/>
      <c r="AK2544" s="113"/>
      <c r="AL2544" s="113"/>
      <c r="AM2544" s="113"/>
      <c r="AN2544" s="113"/>
      <c r="AO2544" s="44" t="s">
        <v>2334</v>
      </c>
      <c r="AP2544" s="43"/>
      <c r="AQ2544" s="236" t="str">
        <f>VLOOKUP(Table8[[#This Row],[Instrument]],Def_Targets!$D$73:$E$159,2,FALSE)</f>
        <v>I_Emobility</v>
      </c>
      <c r="AR2544" s="233" t="str">
        <f>VLOOKUP(Table8[[#This Row],[Country Code]],Table29[],3,FALSE)</f>
        <v>Non-Annex I</v>
      </c>
      <c r="AS2544" s="233" t="str">
        <f>VLOOKUP(Table8[[#This Row],[Country Code]],Table29[],4,FALSE)</f>
        <v>Asia</v>
      </c>
      <c r="AT2544" s="233" t="str">
        <f>VLOOKUP(Table8[[#This Row],[Country Code]],Table29[],5,FALSE)</f>
        <v>Middle-income</v>
      </c>
      <c r="AU2544" s="233" t="str">
        <f>VLOOKUP(Table8[[#This Row],[Country Code]],Table29[],6,FALSE)</f>
        <v>no</v>
      </c>
      <c r="AV2544" s="233" t="str">
        <f>VLOOKUP(Table8[[#This Row],[Country Code]],Table29[],7,FALSE)</f>
        <v>no</v>
      </c>
      <c r="AW2544" s="233" t="str">
        <f>VLOOKUP(Table8[[#This Row],[Country Code]],Table29[],8,FALSE)</f>
        <v>non-OECD</v>
      </c>
      <c r="AX2544" s="233" t="str">
        <f>VLOOKUP(Table8[[#This Row],[Country Code]],Table29[],9,FALSE)</f>
        <v>no</v>
      </c>
      <c r="AY2544" s="233" t="str">
        <f>VLOOKUP(Table8[[#This Row],[Country Code]],Table29[],10,FALSE)</f>
        <v>no</v>
      </c>
      <c r="AZ2544" s="235">
        <f>VLOOKUP(Table8[[#This Row],[Country Code]],Table29[],23,FALSE)</f>
        <v>440.78301465571002</v>
      </c>
      <c r="BA2544" s="235">
        <f>VLOOKUP(Table8[[#This Row],[Country Code]],Table29[],24,FALSE)</f>
        <v>81.217527676047013</v>
      </c>
      <c r="BB2544" s="320"/>
      <c r="BC2544" s="320"/>
    </row>
    <row r="2545" spans="1:55" ht="60" hidden="1" x14ac:dyDescent="0.25">
      <c r="A2545" s="373">
        <v>26791</v>
      </c>
      <c r="B2545" s="233" t="str">
        <f>VLOOKUP(Table8[[#This Row],[Document ID]],Table1[],2,FALSE)</f>
        <v>TON</v>
      </c>
      <c r="C2545" s="233" t="str">
        <f>VLOOKUP(Table8[[#This Row],[Document ID]],Table1[],3,FALSE)</f>
        <v>Tonga</v>
      </c>
      <c r="D2545" s="243" t="str">
        <f>VLOOKUP(Table8[[#This Row],[Document ID]],Table1[],5,FALSE)</f>
        <v>LTS</v>
      </c>
      <c r="E2545" s="233" t="str">
        <f>VLOOKUP(Table8[[#This Row],[Document ID]],Table1[],7,FALSE)</f>
        <v>LTS</v>
      </c>
      <c r="F2545" s="233" t="str">
        <f>VLOOKUP(Table8[[#This Row],[Document ID]],Table1[],8,FALSE)</f>
        <v>LTS 1.0</v>
      </c>
      <c r="G2545" s="233" t="str">
        <f>VLOOKUP(Table8[[#This Row],[Document ID]],Table1[],10,FALSE)</f>
        <v>Active</v>
      </c>
      <c r="H2545" s="43" t="s">
        <v>2343</v>
      </c>
      <c r="I2545" s="43" t="s">
        <v>2429</v>
      </c>
      <c r="J2545" s="44" t="s">
        <v>2610</v>
      </c>
      <c r="K2545" s="44" t="s">
        <v>4643</v>
      </c>
      <c r="L2545" s="44" t="s">
        <v>2373</v>
      </c>
      <c r="M2545" s="43">
        <v>43</v>
      </c>
      <c r="N2545" s="113" t="s">
        <v>1113</v>
      </c>
      <c r="O2545" s="113"/>
      <c r="P2545" s="113"/>
      <c r="Q2545" s="113"/>
      <c r="R2545" s="113"/>
      <c r="S2545" s="113"/>
      <c r="T2545" s="113"/>
      <c r="U2545" s="113"/>
      <c r="V2545" s="113"/>
      <c r="W2545" s="113"/>
      <c r="X2545" s="113"/>
      <c r="Y2545" s="113"/>
      <c r="Z2545" s="113"/>
      <c r="AA2545" s="113"/>
      <c r="AB2545" s="113"/>
      <c r="AC2545" s="113"/>
      <c r="AD2545" s="113"/>
      <c r="AE2545" s="113"/>
      <c r="AF2545" s="113"/>
      <c r="AG2545" s="113"/>
      <c r="AH2545" s="113"/>
      <c r="AI2545" s="113"/>
      <c r="AJ2545" s="113"/>
      <c r="AK2545" s="113" t="s">
        <v>1113</v>
      </c>
      <c r="AL2545" s="113"/>
      <c r="AM2545" s="113"/>
      <c r="AN2545" s="113"/>
      <c r="AO2545" s="44" t="s">
        <v>2334</v>
      </c>
      <c r="AP2545" s="43"/>
      <c r="AQ2545" s="236" t="e">
        <f>VLOOKUP(Table8[[#This Row],[Instrument]],Def_Targets!$D$73:$E$159,2,FALSE)</f>
        <v>#N/A</v>
      </c>
      <c r="AR2545" s="233" t="str">
        <f>VLOOKUP(Table8[[#This Row],[Country Code]],Table29[],3,FALSE)</f>
        <v>Non-Annex I</v>
      </c>
      <c r="AS2545" s="233" t="str">
        <f>VLOOKUP(Table8[[#This Row],[Country Code]],Table29[],4,FALSE)</f>
        <v>Oceania</v>
      </c>
      <c r="AT2545" s="233" t="str">
        <f>VLOOKUP(Table8[[#This Row],[Country Code]],Table29[],5,FALSE)</f>
        <v>Middle-income</v>
      </c>
      <c r="AU2545" s="233" t="str">
        <f>VLOOKUP(Table8[[#This Row],[Country Code]],Table29[],6,FALSE)</f>
        <v>no</v>
      </c>
      <c r="AV2545" s="233" t="str">
        <f>VLOOKUP(Table8[[#This Row],[Country Code]],Table29[],7,FALSE)</f>
        <v>no</v>
      </c>
      <c r="AW2545" s="233" t="str">
        <f>VLOOKUP(Table8[[#This Row],[Country Code]],Table29[],8,FALSE)</f>
        <v>non-OECD</v>
      </c>
      <c r="AX2545" s="233" t="str">
        <f>VLOOKUP(Table8[[#This Row],[Country Code]],Table29[],9,FALSE)</f>
        <v>no</v>
      </c>
      <c r="AY2545" s="233" t="str">
        <f>VLOOKUP(Table8[[#This Row],[Country Code]],Table29[],10,FALSE)</f>
        <v>no</v>
      </c>
      <c r="AZ2545" s="235">
        <f>VLOOKUP(Table8[[#This Row],[Country Code]],Table29[],23,FALSE)</f>
        <v>0.34210672521812002</v>
      </c>
      <c r="BA2545" s="235">
        <f>VLOOKUP(Table8[[#This Row],[Country Code]],Table29[],24,FALSE)</f>
        <v>0.1141760738354758</v>
      </c>
      <c r="BB2545" s="320"/>
      <c r="BC2545" s="320"/>
    </row>
    <row r="2546" spans="1:55" ht="30" hidden="1" x14ac:dyDescent="0.25">
      <c r="A2546" s="373">
        <v>26791</v>
      </c>
      <c r="B2546" s="233" t="str">
        <f>VLOOKUP(Table8[[#This Row],[Document ID]],Table1[],2,FALSE)</f>
        <v>TON</v>
      </c>
      <c r="C2546" s="233" t="str">
        <f>VLOOKUP(Table8[[#This Row],[Document ID]],Table1[],3,FALSE)</f>
        <v>Tonga</v>
      </c>
      <c r="D2546" s="243" t="str">
        <f>VLOOKUP(Table8[[#This Row],[Document ID]],Table1[],5,FALSE)</f>
        <v>LTS</v>
      </c>
      <c r="E2546" s="233" t="str">
        <f>VLOOKUP(Table8[[#This Row],[Document ID]],Table1[],7,FALSE)</f>
        <v>LTS</v>
      </c>
      <c r="F2546" s="233" t="str">
        <f>VLOOKUP(Table8[[#This Row],[Document ID]],Table1[],8,FALSE)</f>
        <v>LTS 1.0</v>
      </c>
      <c r="G2546" s="233" t="str">
        <f>VLOOKUP(Table8[[#This Row],[Document ID]],Table1[],10,FALSE)</f>
        <v>Active</v>
      </c>
      <c r="H2546" s="44" t="s">
        <v>2338</v>
      </c>
      <c r="I2546" s="44" t="s">
        <v>2339</v>
      </c>
      <c r="J2546" s="44" t="s">
        <v>2410</v>
      </c>
      <c r="K2546" s="44" t="s">
        <v>4644</v>
      </c>
      <c r="L2546" s="44" t="s">
        <v>2333</v>
      </c>
      <c r="M2546" s="43">
        <v>44</v>
      </c>
      <c r="N2546" s="113" t="s">
        <v>1113</v>
      </c>
      <c r="O2546" s="113"/>
      <c r="P2546" s="113"/>
      <c r="Q2546" s="113"/>
      <c r="R2546" s="113"/>
      <c r="S2546" s="113"/>
      <c r="T2546" s="113"/>
      <c r="U2546" s="113"/>
      <c r="V2546" s="113"/>
      <c r="W2546" s="113"/>
      <c r="X2546" s="113"/>
      <c r="Y2546" s="113"/>
      <c r="Z2546" s="113"/>
      <c r="AA2546" s="113"/>
      <c r="AB2546" s="113"/>
      <c r="AC2546" s="113"/>
      <c r="AD2546" s="113"/>
      <c r="AE2546" s="113"/>
      <c r="AF2546" s="113"/>
      <c r="AG2546" s="113"/>
      <c r="AH2546" s="113"/>
      <c r="AI2546" s="113"/>
      <c r="AJ2546" s="113"/>
      <c r="AK2546" s="113" t="s">
        <v>1113</v>
      </c>
      <c r="AL2546" s="113"/>
      <c r="AM2546" s="113"/>
      <c r="AN2546" s="113"/>
      <c r="AO2546" s="44" t="s">
        <v>2334</v>
      </c>
      <c r="AP2546" s="43"/>
      <c r="AQ2546" s="236" t="str">
        <f>VLOOKUP(Table8[[#This Row],[Instrument]],Def_Targets!$D$73:$E$159,2,FALSE)</f>
        <v>I_VehicleRestrictions</v>
      </c>
      <c r="AR2546" s="233" t="str">
        <f>VLOOKUP(Table8[[#This Row],[Country Code]],Table29[],3,FALSE)</f>
        <v>Non-Annex I</v>
      </c>
      <c r="AS2546" s="233" t="str">
        <f>VLOOKUP(Table8[[#This Row],[Country Code]],Table29[],4,FALSE)</f>
        <v>Oceania</v>
      </c>
      <c r="AT2546" s="233" t="str">
        <f>VLOOKUP(Table8[[#This Row],[Country Code]],Table29[],5,FALSE)</f>
        <v>Middle-income</v>
      </c>
      <c r="AU2546" s="233" t="str">
        <f>VLOOKUP(Table8[[#This Row],[Country Code]],Table29[],6,FALSE)</f>
        <v>no</v>
      </c>
      <c r="AV2546" s="233" t="str">
        <f>VLOOKUP(Table8[[#This Row],[Country Code]],Table29[],7,FALSE)</f>
        <v>no</v>
      </c>
      <c r="AW2546" s="233" t="str">
        <f>VLOOKUP(Table8[[#This Row],[Country Code]],Table29[],8,FALSE)</f>
        <v>non-OECD</v>
      </c>
      <c r="AX2546" s="233" t="str">
        <f>VLOOKUP(Table8[[#This Row],[Country Code]],Table29[],9,FALSE)</f>
        <v>no</v>
      </c>
      <c r="AY2546" s="233" t="str">
        <f>VLOOKUP(Table8[[#This Row],[Country Code]],Table29[],10,FALSE)</f>
        <v>no</v>
      </c>
      <c r="AZ2546" s="235">
        <f>VLOOKUP(Table8[[#This Row],[Country Code]],Table29[],23,FALSE)</f>
        <v>0.34210672521812002</v>
      </c>
      <c r="BA2546" s="235">
        <f>VLOOKUP(Table8[[#This Row],[Country Code]],Table29[],24,FALSE)</f>
        <v>0.1141760738354758</v>
      </c>
      <c r="BB2546" s="320"/>
      <c r="BC2546" s="320"/>
    </row>
    <row r="2547" spans="1:55" hidden="1" x14ac:dyDescent="0.25">
      <c r="A2547" s="373">
        <v>26791</v>
      </c>
      <c r="B2547" s="233" t="str">
        <f>VLOOKUP(Table8[[#This Row],[Document ID]],Table1[],2,FALSE)</f>
        <v>TON</v>
      </c>
      <c r="C2547" s="233" t="str">
        <f>VLOOKUP(Table8[[#This Row],[Document ID]],Table1[],3,FALSE)</f>
        <v>Tonga</v>
      </c>
      <c r="D2547" s="243" t="str">
        <f>VLOOKUP(Table8[[#This Row],[Document ID]],Table1[],5,FALSE)</f>
        <v>LTS</v>
      </c>
      <c r="E2547" s="233" t="str">
        <f>VLOOKUP(Table8[[#This Row],[Document ID]],Table1[],7,FALSE)</f>
        <v>LTS</v>
      </c>
      <c r="F2547" s="233" t="str">
        <f>VLOOKUP(Table8[[#This Row],[Document ID]],Table1[],8,FALSE)</f>
        <v>LTS 1.0</v>
      </c>
      <c r="G2547" s="233" t="str">
        <f>VLOOKUP(Table8[[#This Row],[Document ID]],Table1[],10,FALSE)</f>
        <v>Active</v>
      </c>
      <c r="H2547" s="44" t="s">
        <v>2338</v>
      </c>
      <c r="I2547" s="44" t="s">
        <v>2339</v>
      </c>
      <c r="J2547" s="44" t="s">
        <v>2425</v>
      </c>
      <c r="K2547" s="44" t="s">
        <v>4645</v>
      </c>
      <c r="L2547" s="44" t="s">
        <v>2333</v>
      </c>
      <c r="M2547" s="43">
        <v>44</v>
      </c>
      <c r="N2547" s="113" t="s">
        <v>1113</v>
      </c>
      <c r="O2547" s="113"/>
      <c r="P2547" s="113"/>
      <c r="Q2547" s="113"/>
      <c r="R2547" s="113"/>
      <c r="S2547" s="113"/>
      <c r="T2547" s="113"/>
      <c r="U2547" s="113"/>
      <c r="V2547" s="113"/>
      <c r="W2547" s="113"/>
      <c r="X2547" s="113"/>
      <c r="Y2547" s="113"/>
      <c r="Z2547" s="113"/>
      <c r="AA2547" s="113"/>
      <c r="AB2547" s="113"/>
      <c r="AC2547" s="113"/>
      <c r="AD2547" s="113"/>
      <c r="AE2547" s="113"/>
      <c r="AF2547" s="113"/>
      <c r="AG2547" s="113"/>
      <c r="AH2547" s="113"/>
      <c r="AI2547" s="113"/>
      <c r="AJ2547" s="113"/>
      <c r="AK2547" s="113" t="s">
        <v>1113</v>
      </c>
      <c r="AL2547" s="113"/>
      <c r="AM2547" s="113"/>
      <c r="AN2547" s="113"/>
      <c r="AO2547" s="44" t="s">
        <v>2334</v>
      </c>
      <c r="AP2547" s="43"/>
      <c r="AQ2547" s="236" t="str">
        <f>VLOOKUP(Table8[[#This Row],[Instrument]],Def_Targets!$D$73:$E$159,2,FALSE)</f>
        <v>I_Efficiencystd</v>
      </c>
      <c r="AR2547" s="233" t="str">
        <f>VLOOKUP(Table8[[#This Row],[Country Code]],Table29[],3,FALSE)</f>
        <v>Non-Annex I</v>
      </c>
      <c r="AS2547" s="233" t="str">
        <f>VLOOKUP(Table8[[#This Row],[Country Code]],Table29[],4,FALSE)</f>
        <v>Oceania</v>
      </c>
      <c r="AT2547" s="233" t="str">
        <f>VLOOKUP(Table8[[#This Row],[Country Code]],Table29[],5,FALSE)</f>
        <v>Middle-income</v>
      </c>
      <c r="AU2547" s="233" t="str">
        <f>VLOOKUP(Table8[[#This Row],[Country Code]],Table29[],6,FALSE)</f>
        <v>no</v>
      </c>
      <c r="AV2547" s="233" t="str">
        <f>VLOOKUP(Table8[[#This Row],[Country Code]],Table29[],7,FALSE)</f>
        <v>no</v>
      </c>
      <c r="AW2547" s="233" t="str">
        <f>VLOOKUP(Table8[[#This Row],[Country Code]],Table29[],8,FALSE)</f>
        <v>non-OECD</v>
      </c>
      <c r="AX2547" s="233" t="str">
        <f>VLOOKUP(Table8[[#This Row],[Country Code]],Table29[],9,FALSE)</f>
        <v>no</v>
      </c>
      <c r="AY2547" s="233" t="str">
        <f>VLOOKUP(Table8[[#This Row],[Country Code]],Table29[],10,FALSE)</f>
        <v>no</v>
      </c>
      <c r="AZ2547" s="235">
        <f>VLOOKUP(Table8[[#This Row],[Country Code]],Table29[],23,FALSE)</f>
        <v>0.34210672521812002</v>
      </c>
      <c r="BA2547" s="235">
        <f>VLOOKUP(Table8[[#This Row],[Country Code]],Table29[],24,FALSE)</f>
        <v>0.1141760738354758</v>
      </c>
      <c r="BB2547" s="320"/>
      <c r="BC2547" s="320"/>
    </row>
    <row r="2548" spans="1:55" hidden="1" x14ac:dyDescent="0.25">
      <c r="A2548" s="373">
        <v>26791</v>
      </c>
      <c r="B2548" s="233" t="str">
        <f>VLOOKUP(Table8[[#This Row],[Document ID]],Table1[],2,FALSE)</f>
        <v>TON</v>
      </c>
      <c r="C2548" s="233" t="str">
        <f>VLOOKUP(Table8[[#This Row],[Document ID]],Table1[],3,FALSE)</f>
        <v>Tonga</v>
      </c>
      <c r="D2548" s="243" t="str">
        <f>VLOOKUP(Table8[[#This Row],[Document ID]],Table1[],5,FALSE)</f>
        <v>LTS</v>
      </c>
      <c r="E2548" s="233" t="str">
        <f>VLOOKUP(Table8[[#This Row],[Document ID]],Table1[],7,FALSE)</f>
        <v>LTS</v>
      </c>
      <c r="F2548" s="233" t="str">
        <f>VLOOKUP(Table8[[#This Row],[Document ID]],Table1[],8,FALSE)</f>
        <v>LTS 1.0</v>
      </c>
      <c r="G2548" s="233" t="str">
        <f>VLOOKUP(Table8[[#This Row],[Document ID]],Table1[],10,FALSE)</f>
        <v>Active</v>
      </c>
      <c r="H2548" s="43" t="s">
        <v>2343</v>
      </c>
      <c r="I2548" s="43" t="s">
        <v>2386</v>
      </c>
      <c r="J2548" s="44" t="s">
        <v>2530</v>
      </c>
      <c r="K2548" s="44" t="s">
        <v>4646</v>
      </c>
      <c r="L2548" s="44" t="s">
        <v>2333</v>
      </c>
      <c r="M2548" s="43">
        <v>44</v>
      </c>
      <c r="N2548" s="113" t="s">
        <v>1113</v>
      </c>
      <c r="O2548" s="113"/>
      <c r="P2548" s="113"/>
      <c r="Q2548" s="113"/>
      <c r="R2548" s="113"/>
      <c r="S2548" s="113"/>
      <c r="T2548" s="113"/>
      <c r="U2548" s="113"/>
      <c r="V2548" s="113"/>
      <c r="W2548" s="113"/>
      <c r="X2548" s="113"/>
      <c r="Y2548" s="113"/>
      <c r="Z2548" s="113"/>
      <c r="AA2548" s="113"/>
      <c r="AB2548" s="113"/>
      <c r="AC2548" s="113"/>
      <c r="AD2548" s="113"/>
      <c r="AE2548" s="113"/>
      <c r="AF2548" s="113"/>
      <c r="AG2548" s="113"/>
      <c r="AH2548" s="113"/>
      <c r="AI2548" s="113"/>
      <c r="AJ2548" s="113"/>
      <c r="AK2548" s="113" t="s">
        <v>1113</v>
      </c>
      <c r="AL2548" s="113"/>
      <c r="AM2548" s="113"/>
      <c r="AN2548" s="113"/>
      <c r="AO2548" s="44" t="s">
        <v>2334</v>
      </c>
      <c r="AP2548" s="43"/>
      <c r="AQ2548" s="236" t="str">
        <f>VLOOKUP(Table8[[#This Row],[Instrument]],Def_Targets!$D$73:$E$159,2,FALSE)</f>
        <v>A_Vehicletax</v>
      </c>
      <c r="AR2548" s="233" t="str">
        <f>VLOOKUP(Table8[[#This Row],[Country Code]],Table29[],3,FALSE)</f>
        <v>Non-Annex I</v>
      </c>
      <c r="AS2548" s="233" t="str">
        <f>VLOOKUP(Table8[[#This Row],[Country Code]],Table29[],4,FALSE)</f>
        <v>Oceania</v>
      </c>
      <c r="AT2548" s="233" t="str">
        <f>VLOOKUP(Table8[[#This Row],[Country Code]],Table29[],5,FALSE)</f>
        <v>Middle-income</v>
      </c>
      <c r="AU2548" s="233" t="str">
        <f>VLOOKUP(Table8[[#This Row],[Country Code]],Table29[],6,FALSE)</f>
        <v>no</v>
      </c>
      <c r="AV2548" s="233" t="str">
        <f>VLOOKUP(Table8[[#This Row],[Country Code]],Table29[],7,FALSE)</f>
        <v>no</v>
      </c>
      <c r="AW2548" s="233" t="str">
        <f>VLOOKUP(Table8[[#This Row],[Country Code]],Table29[],8,FALSE)</f>
        <v>non-OECD</v>
      </c>
      <c r="AX2548" s="233" t="str">
        <f>VLOOKUP(Table8[[#This Row],[Country Code]],Table29[],9,FALSE)</f>
        <v>no</v>
      </c>
      <c r="AY2548" s="233" t="str">
        <f>VLOOKUP(Table8[[#This Row],[Country Code]],Table29[],10,FALSE)</f>
        <v>no</v>
      </c>
      <c r="AZ2548" s="235">
        <f>VLOOKUP(Table8[[#This Row],[Country Code]],Table29[],23,FALSE)</f>
        <v>0.34210672521812002</v>
      </c>
      <c r="BA2548" s="235">
        <f>VLOOKUP(Table8[[#This Row],[Country Code]],Table29[],24,FALSE)</f>
        <v>0.1141760738354758</v>
      </c>
      <c r="BB2548" s="320"/>
      <c r="BC2548" s="320"/>
    </row>
    <row r="2549" spans="1:55" ht="30" hidden="1" x14ac:dyDescent="0.25">
      <c r="A2549" s="373">
        <v>26791</v>
      </c>
      <c r="B2549" s="233" t="str">
        <f>VLOOKUP(Table8[[#This Row],[Document ID]],Table1[],2,FALSE)</f>
        <v>TON</v>
      </c>
      <c r="C2549" s="233" t="str">
        <f>VLOOKUP(Table8[[#This Row],[Document ID]],Table1[],3,FALSE)</f>
        <v>Tonga</v>
      </c>
      <c r="D2549" s="243" t="str">
        <f>VLOOKUP(Table8[[#This Row],[Document ID]],Table1[],5,FALSE)</f>
        <v>LTS</v>
      </c>
      <c r="E2549" s="233" t="str">
        <f>VLOOKUP(Table8[[#This Row],[Document ID]],Table1[],7,FALSE)</f>
        <v>LTS</v>
      </c>
      <c r="F2549" s="233" t="str">
        <f>VLOOKUP(Table8[[#This Row],[Document ID]],Table1[],8,FALSE)</f>
        <v>LTS 1.0</v>
      </c>
      <c r="G2549" s="233" t="str">
        <f>VLOOKUP(Table8[[#This Row],[Document ID]],Table1[],10,FALSE)</f>
        <v>Active</v>
      </c>
      <c r="H2549" s="44" t="s">
        <v>2338</v>
      </c>
      <c r="I2549" s="44" t="s">
        <v>2339</v>
      </c>
      <c r="J2549" s="44" t="s">
        <v>2410</v>
      </c>
      <c r="K2549" s="44" t="s">
        <v>4647</v>
      </c>
      <c r="L2549" s="44" t="s">
        <v>2333</v>
      </c>
      <c r="M2549" s="43">
        <v>44</v>
      </c>
      <c r="N2549" s="113" t="s">
        <v>1113</v>
      </c>
      <c r="O2549" s="113"/>
      <c r="P2549" s="113"/>
      <c r="Q2549" s="113"/>
      <c r="R2549" s="113"/>
      <c r="S2549" s="113"/>
      <c r="T2549" s="113"/>
      <c r="U2549" s="113"/>
      <c r="V2549" s="113"/>
      <c r="W2549" s="113"/>
      <c r="X2549" s="113"/>
      <c r="Y2549" s="113"/>
      <c r="Z2549" s="113"/>
      <c r="AA2549" s="113"/>
      <c r="AB2549" s="113"/>
      <c r="AC2549" s="113"/>
      <c r="AD2549" s="113"/>
      <c r="AE2549" s="113"/>
      <c r="AF2549" s="113"/>
      <c r="AG2549" s="113"/>
      <c r="AH2549" s="113"/>
      <c r="AI2549" s="113"/>
      <c r="AJ2549" s="113"/>
      <c r="AK2549" s="113" t="s">
        <v>1113</v>
      </c>
      <c r="AL2549" s="113"/>
      <c r="AM2549" s="113"/>
      <c r="AN2549" s="113"/>
      <c r="AO2549" s="44" t="s">
        <v>2334</v>
      </c>
      <c r="AP2549" s="43"/>
      <c r="AQ2549" s="236" t="str">
        <f>VLOOKUP(Table8[[#This Row],[Instrument]],Def_Targets!$D$73:$E$159,2,FALSE)</f>
        <v>I_VehicleRestrictions</v>
      </c>
      <c r="AR2549" s="233" t="str">
        <f>VLOOKUP(Table8[[#This Row],[Country Code]],Table29[],3,FALSE)</f>
        <v>Non-Annex I</v>
      </c>
      <c r="AS2549" s="233" t="str">
        <f>VLOOKUP(Table8[[#This Row],[Country Code]],Table29[],4,FALSE)</f>
        <v>Oceania</v>
      </c>
      <c r="AT2549" s="233" t="str">
        <f>VLOOKUP(Table8[[#This Row],[Country Code]],Table29[],5,FALSE)</f>
        <v>Middle-income</v>
      </c>
      <c r="AU2549" s="233" t="str">
        <f>VLOOKUP(Table8[[#This Row],[Country Code]],Table29[],6,FALSE)</f>
        <v>no</v>
      </c>
      <c r="AV2549" s="233" t="str">
        <f>VLOOKUP(Table8[[#This Row],[Country Code]],Table29[],7,FALSE)</f>
        <v>no</v>
      </c>
      <c r="AW2549" s="233" t="str">
        <f>VLOOKUP(Table8[[#This Row],[Country Code]],Table29[],8,FALSE)</f>
        <v>non-OECD</v>
      </c>
      <c r="AX2549" s="233" t="str">
        <f>VLOOKUP(Table8[[#This Row],[Country Code]],Table29[],9,FALSE)</f>
        <v>no</v>
      </c>
      <c r="AY2549" s="233" t="str">
        <f>VLOOKUP(Table8[[#This Row],[Country Code]],Table29[],10,FALSE)</f>
        <v>no</v>
      </c>
      <c r="AZ2549" s="235">
        <f>VLOOKUP(Table8[[#This Row],[Country Code]],Table29[],23,FALSE)</f>
        <v>0.34210672521812002</v>
      </c>
      <c r="BA2549" s="235">
        <f>VLOOKUP(Table8[[#This Row],[Country Code]],Table29[],24,FALSE)</f>
        <v>0.1141760738354758</v>
      </c>
      <c r="BB2549" s="320"/>
      <c r="BC2549" s="320"/>
    </row>
    <row r="2550" spans="1:55" ht="30" hidden="1" x14ac:dyDescent="0.25">
      <c r="A2550" s="373">
        <v>26791</v>
      </c>
      <c r="B2550" s="233" t="str">
        <f>VLOOKUP(Table8[[#This Row],[Document ID]],Table1[],2,FALSE)</f>
        <v>TON</v>
      </c>
      <c r="C2550" s="233" t="str">
        <f>VLOOKUP(Table8[[#This Row],[Document ID]],Table1[],3,FALSE)</f>
        <v>Tonga</v>
      </c>
      <c r="D2550" s="243" t="str">
        <f>VLOOKUP(Table8[[#This Row],[Document ID]],Table1[],5,FALSE)</f>
        <v>LTS</v>
      </c>
      <c r="E2550" s="233" t="str">
        <f>VLOOKUP(Table8[[#This Row],[Document ID]],Table1[],7,FALSE)</f>
        <v>LTS</v>
      </c>
      <c r="F2550" s="233" t="str">
        <f>VLOOKUP(Table8[[#This Row],[Document ID]],Table1[],8,FALSE)</f>
        <v>LTS 1.0</v>
      </c>
      <c r="G2550" s="233" t="str">
        <f>VLOOKUP(Table8[[#This Row],[Document ID]],Table1[],10,FALSE)</f>
        <v>Active</v>
      </c>
      <c r="H2550" s="43" t="s">
        <v>2350</v>
      </c>
      <c r="I2550" s="43" t="s">
        <v>2407</v>
      </c>
      <c r="J2550" s="44" t="s">
        <v>2408</v>
      </c>
      <c r="K2550" s="44" t="s">
        <v>4648</v>
      </c>
      <c r="L2550" s="44" t="s">
        <v>2333</v>
      </c>
      <c r="M2550" s="43">
        <v>44</v>
      </c>
      <c r="N2550" s="113" t="s">
        <v>1113</v>
      </c>
      <c r="O2550" s="113"/>
      <c r="P2550" s="113"/>
      <c r="Q2550" s="113"/>
      <c r="R2550" s="113"/>
      <c r="S2550" s="113"/>
      <c r="T2550" s="113"/>
      <c r="U2550" s="113"/>
      <c r="V2550" s="113"/>
      <c r="W2550" s="113"/>
      <c r="X2550" s="113"/>
      <c r="Y2550" s="113"/>
      <c r="Z2550" s="113"/>
      <c r="AA2550" s="113"/>
      <c r="AB2550" s="113"/>
      <c r="AC2550" s="113"/>
      <c r="AD2550" s="113"/>
      <c r="AE2550" s="113"/>
      <c r="AF2550" s="113"/>
      <c r="AG2550" s="113"/>
      <c r="AH2550" s="113"/>
      <c r="AI2550" s="113"/>
      <c r="AJ2550" s="113"/>
      <c r="AK2550" s="113" t="s">
        <v>1113</v>
      </c>
      <c r="AL2550" s="113"/>
      <c r="AM2550" s="113"/>
      <c r="AN2550" s="113"/>
      <c r="AO2550" s="44" t="s">
        <v>2334</v>
      </c>
      <c r="AP2550" s="43"/>
      <c r="AQ2550" s="236" t="str">
        <f>VLOOKUP(Table8[[#This Row],[Instrument]],Def_Targets!$D$73:$E$159,2,FALSE)</f>
        <v>I_Education</v>
      </c>
      <c r="AR2550" s="233" t="str">
        <f>VLOOKUP(Table8[[#This Row],[Country Code]],Table29[],3,FALSE)</f>
        <v>Non-Annex I</v>
      </c>
      <c r="AS2550" s="233" t="str">
        <f>VLOOKUP(Table8[[#This Row],[Country Code]],Table29[],4,FALSE)</f>
        <v>Oceania</v>
      </c>
      <c r="AT2550" s="233" t="str">
        <f>VLOOKUP(Table8[[#This Row],[Country Code]],Table29[],5,FALSE)</f>
        <v>Middle-income</v>
      </c>
      <c r="AU2550" s="233" t="str">
        <f>VLOOKUP(Table8[[#This Row],[Country Code]],Table29[],6,FALSE)</f>
        <v>no</v>
      </c>
      <c r="AV2550" s="233" t="str">
        <f>VLOOKUP(Table8[[#This Row],[Country Code]],Table29[],7,FALSE)</f>
        <v>no</v>
      </c>
      <c r="AW2550" s="233" t="str">
        <f>VLOOKUP(Table8[[#This Row],[Country Code]],Table29[],8,FALSE)</f>
        <v>non-OECD</v>
      </c>
      <c r="AX2550" s="233" t="str">
        <f>VLOOKUP(Table8[[#This Row],[Country Code]],Table29[],9,FALSE)</f>
        <v>no</v>
      </c>
      <c r="AY2550" s="233" t="str">
        <f>VLOOKUP(Table8[[#This Row],[Country Code]],Table29[],10,FALSE)</f>
        <v>no</v>
      </c>
      <c r="AZ2550" s="235">
        <f>VLOOKUP(Table8[[#This Row],[Country Code]],Table29[],23,FALSE)</f>
        <v>0.34210672521812002</v>
      </c>
      <c r="BA2550" s="235">
        <f>VLOOKUP(Table8[[#This Row],[Country Code]],Table29[],24,FALSE)</f>
        <v>0.1141760738354758</v>
      </c>
      <c r="BB2550" s="320"/>
      <c r="BC2550" s="320"/>
    </row>
    <row r="2551" spans="1:55" hidden="1" x14ac:dyDescent="0.25">
      <c r="A2551" s="373">
        <v>26791</v>
      </c>
      <c r="B2551" s="233" t="str">
        <f>VLOOKUP(Table8[[#This Row],[Document ID]],Table1[],2,FALSE)</f>
        <v>TON</v>
      </c>
      <c r="C2551" s="233" t="str">
        <f>VLOOKUP(Table8[[#This Row],[Document ID]],Table1[],3,FALSE)</f>
        <v>Tonga</v>
      </c>
      <c r="D2551" s="243" t="str">
        <f>VLOOKUP(Table8[[#This Row],[Document ID]],Table1[],5,FALSE)</f>
        <v>LTS</v>
      </c>
      <c r="E2551" s="233" t="str">
        <f>VLOOKUP(Table8[[#This Row],[Document ID]],Table1[],7,FALSE)</f>
        <v>LTS</v>
      </c>
      <c r="F2551" s="233" t="str">
        <f>VLOOKUP(Table8[[#This Row],[Document ID]],Table1[],8,FALSE)</f>
        <v>LTS 1.0</v>
      </c>
      <c r="G2551" s="233" t="str">
        <f>VLOOKUP(Table8[[#This Row],[Document ID]],Table1[],10,FALSE)</f>
        <v>Active</v>
      </c>
      <c r="H2551" s="43" t="s">
        <v>2350</v>
      </c>
      <c r="I2551" s="43" t="s">
        <v>2456</v>
      </c>
      <c r="J2551" s="44" t="s">
        <v>2457</v>
      </c>
      <c r="K2551" s="44" t="s">
        <v>4649</v>
      </c>
      <c r="L2551" s="44" t="s">
        <v>2333</v>
      </c>
      <c r="M2551" s="43">
        <v>44</v>
      </c>
      <c r="N2551" s="113"/>
      <c r="O2551" s="113"/>
      <c r="P2551" s="113"/>
      <c r="Q2551" s="113"/>
      <c r="R2551" s="113"/>
      <c r="S2551" s="113" t="s">
        <v>1113</v>
      </c>
      <c r="T2551" s="113" t="s">
        <v>1113</v>
      </c>
      <c r="U2551" s="113"/>
      <c r="V2551" s="113"/>
      <c r="W2551" s="113"/>
      <c r="X2551" s="113"/>
      <c r="Y2551" s="113"/>
      <c r="Z2551" s="113"/>
      <c r="AA2551" s="113"/>
      <c r="AB2551" s="113"/>
      <c r="AC2551" s="113"/>
      <c r="AD2551" s="113"/>
      <c r="AE2551" s="113"/>
      <c r="AF2551" s="113"/>
      <c r="AG2551" s="113"/>
      <c r="AH2551" s="113"/>
      <c r="AI2551" s="113"/>
      <c r="AJ2551" s="113"/>
      <c r="AK2551" s="113" t="s">
        <v>1113</v>
      </c>
      <c r="AL2551" s="113"/>
      <c r="AM2551" s="113"/>
      <c r="AN2551" s="113"/>
      <c r="AO2551" s="44" t="s">
        <v>2334</v>
      </c>
      <c r="AP2551" s="43"/>
      <c r="AQ2551" s="236" t="str">
        <f>VLOOKUP(Table8[[#This Row],[Instrument]],Def_Targets!$D$73:$E$159,2,FALSE)</f>
        <v>S_Infraimprove</v>
      </c>
      <c r="AR2551" s="233" t="str">
        <f>VLOOKUP(Table8[[#This Row],[Country Code]],Table29[],3,FALSE)</f>
        <v>Non-Annex I</v>
      </c>
      <c r="AS2551" s="233" t="str">
        <f>VLOOKUP(Table8[[#This Row],[Country Code]],Table29[],4,FALSE)</f>
        <v>Oceania</v>
      </c>
      <c r="AT2551" s="233" t="str">
        <f>VLOOKUP(Table8[[#This Row],[Country Code]],Table29[],5,FALSE)</f>
        <v>Middle-income</v>
      </c>
      <c r="AU2551" s="233" t="str">
        <f>VLOOKUP(Table8[[#This Row],[Country Code]],Table29[],6,FALSE)</f>
        <v>no</v>
      </c>
      <c r="AV2551" s="233" t="str">
        <f>VLOOKUP(Table8[[#This Row],[Country Code]],Table29[],7,FALSE)</f>
        <v>no</v>
      </c>
      <c r="AW2551" s="233" t="str">
        <f>VLOOKUP(Table8[[#This Row],[Country Code]],Table29[],8,FALSE)</f>
        <v>non-OECD</v>
      </c>
      <c r="AX2551" s="233" t="str">
        <f>VLOOKUP(Table8[[#This Row],[Country Code]],Table29[],9,FALSE)</f>
        <v>no</v>
      </c>
      <c r="AY2551" s="233" t="str">
        <f>VLOOKUP(Table8[[#This Row],[Country Code]],Table29[],10,FALSE)</f>
        <v>no</v>
      </c>
      <c r="AZ2551" s="235">
        <f>VLOOKUP(Table8[[#This Row],[Country Code]],Table29[],23,FALSE)</f>
        <v>0.34210672521812002</v>
      </c>
      <c r="BA2551" s="235">
        <f>VLOOKUP(Table8[[#This Row],[Country Code]],Table29[],24,FALSE)</f>
        <v>0.1141760738354758</v>
      </c>
      <c r="BB2551" s="320"/>
      <c r="BC2551" s="320"/>
    </row>
    <row r="2552" spans="1:55" ht="30" hidden="1" x14ac:dyDescent="0.25">
      <c r="A2552" s="373">
        <v>26791</v>
      </c>
      <c r="B2552" s="233" t="str">
        <f>VLOOKUP(Table8[[#This Row],[Document ID]],Table1[],2,FALSE)</f>
        <v>TON</v>
      </c>
      <c r="C2552" s="233" t="str">
        <f>VLOOKUP(Table8[[#This Row],[Document ID]],Table1[],3,FALSE)</f>
        <v>Tonga</v>
      </c>
      <c r="D2552" s="243" t="str">
        <f>VLOOKUP(Table8[[#This Row],[Document ID]],Table1[],5,FALSE)</f>
        <v>LTS</v>
      </c>
      <c r="E2552" s="233" t="str">
        <f>VLOOKUP(Table8[[#This Row],[Document ID]],Table1[],7,FALSE)</f>
        <v>LTS</v>
      </c>
      <c r="F2552" s="233" t="str">
        <f>VLOOKUP(Table8[[#This Row],[Document ID]],Table1[],8,FALSE)</f>
        <v>LTS 1.0</v>
      </c>
      <c r="G2552" s="233" t="str">
        <f>VLOOKUP(Table8[[#This Row],[Document ID]],Table1[],10,FALSE)</f>
        <v>Active</v>
      </c>
      <c r="H2552" s="43" t="s">
        <v>2350</v>
      </c>
      <c r="I2552" s="43" t="s">
        <v>2370</v>
      </c>
      <c r="J2552" s="44" t="s">
        <v>2418</v>
      </c>
      <c r="K2552" s="44" t="s">
        <v>4650</v>
      </c>
      <c r="L2552" s="44" t="s">
        <v>2333</v>
      </c>
      <c r="M2552" s="43">
        <v>44</v>
      </c>
      <c r="N2552" s="113" t="s">
        <v>1113</v>
      </c>
      <c r="O2552" s="113"/>
      <c r="P2552" s="113"/>
      <c r="Q2552" s="113"/>
      <c r="R2552" s="113"/>
      <c r="S2552" s="113"/>
      <c r="T2552" s="113"/>
      <c r="U2552" s="113"/>
      <c r="V2552" s="113"/>
      <c r="W2552" s="113"/>
      <c r="X2552" s="113"/>
      <c r="Y2552" s="113"/>
      <c r="Z2552" s="113"/>
      <c r="AA2552" s="113"/>
      <c r="AB2552" s="113"/>
      <c r="AC2552" s="113"/>
      <c r="AD2552" s="113"/>
      <c r="AE2552" s="113"/>
      <c r="AF2552" s="113"/>
      <c r="AG2552" s="113"/>
      <c r="AH2552" s="113"/>
      <c r="AI2552" s="113"/>
      <c r="AJ2552" s="113"/>
      <c r="AK2552" s="113" t="s">
        <v>1113</v>
      </c>
      <c r="AL2552" s="113"/>
      <c r="AM2552" s="113"/>
      <c r="AN2552" s="113"/>
      <c r="AO2552" s="44" t="s">
        <v>2334</v>
      </c>
      <c r="AP2552" s="43"/>
      <c r="AQ2552" s="236" t="str">
        <f>VLOOKUP(Table8[[#This Row],[Instrument]],Def_Targets!$D$73:$E$159,2,FALSE)</f>
        <v>A_Complan</v>
      </c>
      <c r="AR2552" s="233" t="str">
        <f>VLOOKUP(Table8[[#This Row],[Country Code]],Table29[],3,FALSE)</f>
        <v>Non-Annex I</v>
      </c>
      <c r="AS2552" s="233" t="str">
        <f>VLOOKUP(Table8[[#This Row],[Country Code]],Table29[],4,FALSE)</f>
        <v>Oceania</v>
      </c>
      <c r="AT2552" s="233" t="str">
        <f>VLOOKUP(Table8[[#This Row],[Country Code]],Table29[],5,FALSE)</f>
        <v>Middle-income</v>
      </c>
      <c r="AU2552" s="233" t="str">
        <f>VLOOKUP(Table8[[#This Row],[Country Code]],Table29[],6,FALSE)</f>
        <v>no</v>
      </c>
      <c r="AV2552" s="233" t="str">
        <f>VLOOKUP(Table8[[#This Row],[Country Code]],Table29[],7,FALSE)</f>
        <v>no</v>
      </c>
      <c r="AW2552" s="233" t="str">
        <f>VLOOKUP(Table8[[#This Row],[Country Code]],Table29[],8,FALSE)</f>
        <v>non-OECD</v>
      </c>
      <c r="AX2552" s="233" t="str">
        <f>VLOOKUP(Table8[[#This Row],[Country Code]],Table29[],9,FALSE)</f>
        <v>no</v>
      </c>
      <c r="AY2552" s="233" t="str">
        <f>VLOOKUP(Table8[[#This Row],[Country Code]],Table29[],10,FALSE)</f>
        <v>no</v>
      </c>
      <c r="AZ2552" s="235">
        <f>VLOOKUP(Table8[[#This Row],[Country Code]],Table29[],23,FALSE)</f>
        <v>0.34210672521812002</v>
      </c>
      <c r="BA2552" s="235">
        <f>VLOOKUP(Table8[[#This Row],[Country Code]],Table29[],24,FALSE)</f>
        <v>0.1141760738354758</v>
      </c>
      <c r="BB2552" s="320"/>
      <c r="BC2552" s="320"/>
    </row>
    <row r="2553" spans="1:55" ht="30" hidden="1" x14ac:dyDescent="0.25">
      <c r="A2553" s="373">
        <v>26791</v>
      </c>
      <c r="B2553" s="233" t="str">
        <f>VLOOKUP(Table8[[#This Row],[Document ID]],Table1[],2,FALSE)</f>
        <v>TON</v>
      </c>
      <c r="C2553" s="233" t="str">
        <f>VLOOKUP(Table8[[#This Row],[Document ID]],Table1[],3,FALSE)</f>
        <v>Tonga</v>
      </c>
      <c r="D2553" s="243" t="str">
        <f>VLOOKUP(Table8[[#This Row],[Document ID]],Table1[],5,FALSE)</f>
        <v>LTS</v>
      </c>
      <c r="E2553" s="233" t="str">
        <f>VLOOKUP(Table8[[#This Row],[Document ID]],Table1[],7,FALSE)</f>
        <v>LTS</v>
      </c>
      <c r="F2553" s="233" t="str">
        <f>VLOOKUP(Table8[[#This Row],[Document ID]],Table1[],8,FALSE)</f>
        <v>LTS 1.0</v>
      </c>
      <c r="G2553" s="233" t="str">
        <f>VLOOKUP(Table8[[#This Row],[Document ID]],Table1[],10,FALSE)</f>
        <v>Active</v>
      </c>
      <c r="H2553" s="44" t="s">
        <v>2338</v>
      </c>
      <c r="I2553" s="44" t="s">
        <v>2339</v>
      </c>
      <c r="J2553" s="44" t="s">
        <v>2413</v>
      </c>
      <c r="K2553" s="44" t="s">
        <v>4651</v>
      </c>
      <c r="L2553" s="44" t="s">
        <v>2333</v>
      </c>
      <c r="M2553" s="43">
        <v>45</v>
      </c>
      <c r="N2553" s="113"/>
      <c r="O2553" s="113"/>
      <c r="P2553" s="113"/>
      <c r="Q2553" s="113"/>
      <c r="R2553" s="113"/>
      <c r="S2553" s="113"/>
      <c r="T2553" s="113"/>
      <c r="U2553" s="113" t="s">
        <v>1113</v>
      </c>
      <c r="V2553" s="113" t="s">
        <v>1113</v>
      </c>
      <c r="W2553" s="113" t="s">
        <v>1113</v>
      </c>
      <c r="X2553" s="113"/>
      <c r="Y2553" s="113"/>
      <c r="Z2553" s="113"/>
      <c r="AA2553" s="113"/>
      <c r="AB2553" s="113"/>
      <c r="AC2553" s="113"/>
      <c r="AD2553" s="113"/>
      <c r="AE2553" s="113"/>
      <c r="AF2553" s="113"/>
      <c r="AG2553" s="113"/>
      <c r="AH2553" s="113"/>
      <c r="AI2553" s="113"/>
      <c r="AJ2553" s="113"/>
      <c r="AK2553" s="113" t="s">
        <v>1113</v>
      </c>
      <c r="AL2553" s="113"/>
      <c r="AM2553" s="113"/>
      <c r="AN2553" s="113"/>
      <c r="AO2553" s="44" t="s">
        <v>2334</v>
      </c>
      <c r="AP2553" s="43"/>
      <c r="AQ2553" s="236" t="str">
        <f>VLOOKUP(Table8[[#This Row],[Instrument]],Def_Targets!$D$73:$E$159,2,FALSE)</f>
        <v>I_Vehicleeff</v>
      </c>
      <c r="AR2553" s="233" t="str">
        <f>VLOOKUP(Table8[[#This Row],[Country Code]],Table29[],3,FALSE)</f>
        <v>Non-Annex I</v>
      </c>
      <c r="AS2553" s="233" t="str">
        <f>VLOOKUP(Table8[[#This Row],[Country Code]],Table29[],4,FALSE)</f>
        <v>Oceania</v>
      </c>
      <c r="AT2553" s="233" t="str">
        <f>VLOOKUP(Table8[[#This Row],[Country Code]],Table29[],5,FALSE)</f>
        <v>Middle-income</v>
      </c>
      <c r="AU2553" s="233" t="str">
        <f>VLOOKUP(Table8[[#This Row],[Country Code]],Table29[],6,FALSE)</f>
        <v>no</v>
      </c>
      <c r="AV2553" s="233" t="str">
        <f>VLOOKUP(Table8[[#This Row],[Country Code]],Table29[],7,FALSE)</f>
        <v>no</v>
      </c>
      <c r="AW2553" s="233" t="str">
        <f>VLOOKUP(Table8[[#This Row],[Country Code]],Table29[],8,FALSE)</f>
        <v>non-OECD</v>
      </c>
      <c r="AX2553" s="233" t="str">
        <f>VLOOKUP(Table8[[#This Row],[Country Code]],Table29[],9,FALSE)</f>
        <v>no</v>
      </c>
      <c r="AY2553" s="233" t="str">
        <f>VLOOKUP(Table8[[#This Row],[Country Code]],Table29[],10,FALSE)</f>
        <v>no</v>
      </c>
      <c r="AZ2553" s="235">
        <f>VLOOKUP(Table8[[#This Row],[Country Code]],Table29[],23,FALSE)</f>
        <v>0.34210672521812002</v>
      </c>
      <c r="BA2553" s="235">
        <f>VLOOKUP(Table8[[#This Row],[Country Code]],Table29[],24,FALSE)</f>
        <v>0.1141760738354758</v>
      </c>
      <c r="BB2553" s="320"/>
      <c r="BC2553" s="320"/>
    </row>
    <row r="2554" spans="1:55" hidden="1" x14ac:dyDescent="0.25">
      <c r="A2554" s="373">
        <v>26791</v>
      </c>
      <c r="B2554" s="233" t="str">
        <f>VLOOKUP(Table8[[#This Row],[Document ID]],Table1[],2,FALSE)</f>
        <v>TON</v>
      </c>
      <c r="C2554" s="233" t="str">
        <f>VLOOKUP(Table8[[#This Row],[Document ID]],Table1[],3,FALSE)</f>
        <v>Tonga</v>
      </c>
      <c r="D2554" s="243" t="str">
        <f>VLOOKUP(Table8[[#This Row],[Document ID]],Table1[],5,FALSE)</f>
        <v>LTS</v>
      </c>
      <c r="E2554" s="233" t="str">
        <f>VLOOKUP(Table8[[#This Row],[Document ID]],Table1[],7,FALSE)</f>
        <v>LTS</v>
      </c>
      <c r="F2554" s="233" t="str">
        <f>VLOOKUP(Table8[[#This Row],[Document ID]],Table1[],8,FALSE)</f>
        <v>LTS 1.0</v>
      </c>
      <c r="G2554" s="233" t="str">
        <f>VLOOKUP(Table8[[#This Row],[Document ID]],Table1[],10,FALSE)</f>
        <v>Active</v>
      </c>
      <c r="H2554" s="43" t="s">
        <v>2343</v>
      </c>
      <c r="I2554" s="43" t="s">
        <v>2386</v>
      </c>
      <c r="J2554" s="44" t="s">
        <v>2387</v>
      </c>
      <c r="K2554" s="44" t="s">
        <v>4652</v>
      </c>
      <c r="L2554" s="44" t="s">
        <v>2333</v>
      </c>
      <c r="M2554" s="43">
        <v>46</v>
      </c>
      <c r="N2554" s="113" t="s">
        <v>1113</v>
      </c>
      <c r="O2554" s="113"/>
      <c r="P2554" s="113"/>
      <c r="Q2554" s="113"/>
      <c r="R2554" s="113"/>
      <c r="S2554" s="113"/>
      <c r="T2554" s="113"/>
      <c r="U2554" s="113"/>
      <c r="V2554" s="113"/>
      <c r="W2554" s="113"/>
      <c r="X2554" s="113"/>
      <c r="Y2554" s="113"/>
      <c r="Z2554" s="113"/>
      <c r="AA2554" s="113"/>
      <c r="AB2554" s="113"/>
      <c r="AC2554" s="113"/>
      <c r="AD2554" s="113"/>
      <c r="AE2554" s="113"/>
      <c r="AF2554" s="113"/>
      <c r="AG2554" s="113"/>
      <c r="AH2554" s="113"/>
      <c r="AI2554" s="113"/>
      <c r="AJ2554" s="113"/>
      <c r="AK2554" s="113" t="s">
        <v>1113</v>
      </c>
      <c r="AL2554" s="113"/>
      <c r="AM2554" s="113"/>
      <c r="AN2554" s="113"/>
      <c r="AO2554" s="44" t="s">
        <v>2334</v>
      </c>
      <c r="AP2554" s="43"/>
      <c r="AQ2554" s="236" t="str">
        <f>VLOOKUP(Table8[[#This Row],[Instrument]],Def_Targets!$D$73:$E$159,2,FALSE)</f>
        <v>A_Procurement</v>
      </c>
      <c r="AR2554" s="233" t="str">
        <f>VLOOKUP(Table8[[#This Row],[Country Code]],Table29[],3,FALSE)</f>
        <v>Non-Annex I</v>
      </c>
      <c r="AS2554" s="233" t="str">
        <f>VLOOKUP(Table8[[#This Row],[Country Code]],Table29[],4,FALSE)</f>
        <v>Oceania</v>
      </c>
      <c r="AT2554" s="233" t="str">
        <f>VLOOKUP(Table8[[#This Row],[Country Code]],Table29[],5,FALSE)</f>
        <v>Middle-income</v>
      </c>
      <c r="AU2554" s="233" t="str">
        <f>VLOOKUP(Table8[[#This Row],[Country Code]],Table29[],6,FALSE)</f>
        <v>no</v>
      </c>
      <c r="AV2554" s="233" t="str">
        <f>VLOOKUP(Table8[[#This Row],[Country Code]],Table29[],7,FALSE)</f>
        <v>no</v>
      </c>
      <c r="AW2554" s="233" t="str">
        <f>VLOOKUP(Table8[[#This Row],[Country Code]],Table29[],8,FALSE)</f>
        <v>non-OECD</v>
      </c>
      <c r="AX2554" s="233" t="str">
        <f>VLOOKUP(Table8[[#This Row],[Country Code]],Table29[],9,FALSE)</f>
        <v>no</v>
      </c>
      <c r="AY2554" s="233" t="str">
        <f>VLOOKUP(Table8[[#This Row],[Country Code]],Table29[],10,FALSE)</f>
        <v>no</v>
      </c>
      <c r="AZ2554" s="235">
        <f>VLOOKUP(Table8[[#This Row],[Country Code]],Table29[],23,FALSE)</f>
        <v>0.34210672521812002</v>
      </c>
      <c r="BA2554" s="235">
        <f>VLOOKUP(Table8[[#This Row],[Country Code]],Table29[],24,FALSE)</f>
        <v>0.1141760738354758</v>
      </c>
      <c r="BB2554" s="320"/>
      <c r="BC2554" s="320"/>
    </row>
    <row r="2555" spans="1:55" ht="30" hidden="1" x14ac:dyDescent="0.25">
      <c r="A2555" s="373">
        <v>26791</v>
      </c>
      <c r="B2555" s="233" t="str">
        <f>VLOOKUP(Table8[[#This Row],[Document ID]],Table1[],2,FALSE)</f>
        <v>TON</v>
      </c>
      <c r="C2555" s="233" t="str">
        <f>VLOOKUP(Table8[[#This Row],[Document ID]],Table1[],3,FALSE)</f>
        <v>Tonga</v>
      </c>
      <c r="D2555" s="243" t="str">
        <f>VLOOKUP(Table8[[#This Row],[Document ID]],Table1[],5,FALSE)</f>
        <v>LTS</v>
      </c>
      <c r="E2555" s="233" t="str">
        <f>VLOOKUP(Table8[[#This Row],[Document ID]],Table1[],7,FALSE)</f>
        <v>LTS</v>
      </c>
      <c r="F2555" s="233" t="str">
        <f>VLOOKUP(Table8[[#This Row],[Document ID]],Table1[],8,FALSE)</f>
        <v>LTS 1.0</v>
      </c>
      <c r="G2555" s="233" t="str">
        <f>VLOOKUP(Table8[[#This Row],[Document ID]],Table1[],10,FALSE)</f>
        <v>Active</v>
      </c>
      <c r="H2555" s="44" t="s">
        <v>2338</v>
      </c>
      <c r="I2555" s="44" t="s">
        <v>2339</v>
      </c>
      <c r="J2555" s="44" t="s">
        <v>2451</v>
      </c>
      <c r="K2555" s="44" t="s">
        <v>4653</v>
      </c>
      <c r="L2555" s="44" t="s">
        <v>2333</v>
      </c>
      <c r="M2555" s="43">
        <v>46</v>
      </c>
      <c r="N2555" s="113" t="s">
        <v>1113</v>
      </c>
      <c r="O2555" s="113"/>
      <c r="P2555" s="113"/>
      <c r="Q2555" s="113"/>
      <c r="R2555" s="113"/>
      <c r="S2555" s="113"/>
      <c r="T2555" s="113"/>
      <c r="U2555" s="113"/>
      <c r="V2555" s="113"/>
      <c r="W2555" s="113"/>
      <c r="X2555" s="113"/>
      <c r="Y2555" s="113"/>
      <c r="Z2555" s="113"/>
      <c r="AA2555" s="113"/>
      <c r="AB2555" s="113"/>
      <c r="AC2555" s="113"/>
      <c r="AD2555" s="113"/>
      <c r="AE2555" s="113"/>
      <c r="AF2555" s="113"/>
      <c r="AG2555" s="113"/>
      <c r="AH2555" s="113"/>
      <c r="AI2555" s="113"/>
      <c r="AJ2555" s="113"/>
      <c r="AK2555" s="113" t="s">
        <v>1113</v>
      </c>
      <c r="AL2555" s="113"/>
      <c r="AM2555" s="113"/>
      <c r="AN2555" s="113"/>
      <c r="AO2555" s="44" t="s">
        <v>2334</v>
      </c>
      <c r="AP2555" s="43"/>
      <c r="AQ2555" s="236" t="str">
        <f>VLOOKUP(Table8[[#This Row],[Instrument]],Def_Targets!$D$73:$E$159,2,FALSE)</f>
        <v>I_Inspection</v>
      </c>
      <c r="AR2555" s="233" t="str">
        <f>VLOOKUP(Table8[[#This Row],[Country Code]],Table29[],3,FALSE)</f>
        <v>Non-Annex I</v>
      </c>
      <c r="AS2555" s="233" t="str">
        <f>VLOOKUP(Table8[[#This Row],[Country Code]],Table29[],4,FALSE)</f>
        <v>Oceania</v>
      </c>
      <c r="AT2555" s="233" t="str">
        <f>VLOOKUP(Table8[[#This Row],[Country Code]],Table29[],5,FALSE)</f>
        <v>Middle-income</v>
      </c>
      <c r="AU2555" s="233" t="str">
        <f>VLOOKUP(Table8[[#This Row],[Country Code]],Table29[],6,FALSE)</f>
        <v>no</v>
      </c>
      <c r="AV2555" s="233" t="str">
        <f>VLOOKUP(Table8[[#This Row],[Country Code]],Table29[],7,FALSE)</f>
        <v>no</v>
      </c>
      <c r="AW2555" s="233" t="str">
        <f>VLOOKUP(Table8[[#This Row],[Country Code]],Table29[],8,FALSE)</f>
        <v>non-OECD</v>
      </c>
      <c r="AX2555" s="233" t="str">
        <f>VLOOKUP(Table8[[#This Row],[Country Code]],Table29[],9,FALSE)</f>
        <v>no</v>
      </c>
      <c r="AY2555" s="233" t="str">
        <f>VLOOKUP(Table8[[#This Row],[Country Code]],Table29[],10,FALSE)</f>
        <v>no</v>
      </c>
      <c r="AZ2555" s="235">
        <f>VLOOKUP(Table8[[#This Row],[Country Code]],Table29[],23,FALSE)</f>
        <v>0.34210672521812002</v>
      </c>
      <c r="BA2555" s="235">
        <f>VLOOKUP(Table8[[#This Row],[Country Code]],Table29[],24,FALSE)</f>
        <v>0.1141760738354758</v>
      </c>
      <c r="BB2555" s="320"/>
      <c r="BC2555" s="320"/>
    </row>
    <row r="2556" spans="1:55" ht="90" hidden="1" x14ac:dyDescent="0.25">
      <c r="A2556" s="373">
        <v>26791</v>
      </c>
      <c r="B2556" s="233" t="str">
        <f>VLOOKUP(Table8[[#This Row],[Document ID]],Table1[],2,FALSE)</f>
        <v>TON</v>
      </c>
      <c r="C2556" s="233" t="str">
        <f>VLOOKUP(Table8[[#This Row],[Document ID]],Table1[],3,FALSE)</f>
        <v>Tonga</v>
      </c>
      <c r="D2556" s="243" t="str">
        <f>VLOOKUP(Table8[[#This Row],[Document ID]],Table1[],5,FALSE)</f>
        <v>LTS</v>
      </c>
      <c r="E2556" s="233" t="str">
        <f>VLOOKUP(Table8[[#This Row],[Document ID]],Table1[],7,FALSE)</f>
        <v>LTS</v>
      </c>
      <c r="F2556" s="233" t="str">
        <f>VLOOKUP(Table8[[#This Row],[Document ID]],Table1[],8,FALSE)</f>
        <v>LTS 1.0</v>
      </c>
      <c r="G2556" s="233" t="str">
        <f>VLOOKUP(Table8[[#This Row],[Document ID]],Table1[],10,FALSE)</f>
        <v>Active</v>
      </c>
      <c r="H2556" s="43" t="s">
        <v>2350</v>
      </c>
      <c r="I2556" s="43" t="s">
        <v>2456</v>
      </c>
      <c r="J2556" s="44" t="s">
        <v>2466</v>
      </c>
      <c r="K2556" s="44" t="s">
        <v>4654</v>
      </c>
      <c r="L2556" s="44" t="s">
        <v>2396</v>
      </c>
      <c r="M2556" s="43">
        <v>47</v>
      </c>
      <c r="N2556" s="113"/>
      <c r="O2556" s="113"/>
      <c r="P2556" s="113"/>
      <c r="Q2556" s="113" t="s">
        <v>1113</v>
      </c>
      <c r="R2556" s="113" t="s">
        <v>1113</v>
      </c>
      <c r="S2556" s="113"/>
      <c r="T2556" s="113"/>
      <c r="U2556" s="113"/>
      <c r="V2556" s="113"/>
      <c r="W2556" s="113"/>
      <c r="X2556" s="113"/>
      <c r="Y2556" s="113"/>
      <c r="Z2556" s="113"/>
      <c r="AA2556" s="113"/>
      <c r="AB2556" s="113"/>
      <c r="AC2556" s="113"/>
      <c r="AD2556" s="113"/>
      <c r="AE2556" s="113"/>
      <c r="AF2556" s="113"/>
      <c r="AG2556" s="113"/>
      <c r="AH2556" s="113"/>
      <c r="AI2556" s="113"/>
      <c r="AJ2556" s="113"/>
      <c r="AK2556" s="113"/>
      <c r="AL2556" s="113" t="s">
        <v>1113</v>
      </c>
      <c r="AM2556" s="113"/>
      <c r="AN2556" s="113"/>
      <c r="AO2556" s="44" t="s">
        <v>2334</v>
      </c>
      <c r="AP2556" s="43"/>
      <c r="AQ2556" s="236" t="str">
        <f>VLOOKUP(Table8[[#This Row],[Instrument]],Def_Targets!$D$73:$E$159,2,FALSE)</f>
        <v>S_Infraexpansion</v>
      </c>
      <c r="AR2556" s="233" t="str">
        <f>VLOOKUP(Table8[[#This Row],[Country Code]],Table29[],3,FALSE)</f>
        <v>Non-Annex I</v>
      </c>
      <c r="AS2556" s="233" t="str">
        <f>VLOOKUP(Table8[[#This Row],[Country Code]],Table29[],4,FALSE)</f>
        <v>Oceania</v>
      </c>
      <c r="AT2556" s="233" t="str">
        <f>VLOOKUP(Table8[[#This Row],[Country Code]],Table29[],5,FALSE)</f>
        <v>Middle-income</v>
      </c>
      <c r="AU2556" s="233" t="str">
        <f>VLOOKUP(Table8[[#This Row],[Country Code]],Table29[],6,FALSE)</f>
        <v>no</v>
      </c>
      <c r="AV2556" s="233" t="str">
        <f>VLOOKUP(Table8[[#This Row],[Country Code]],Table29[],7,FALSE)</f>
        <v>no</v>
      </c>
      <c r="AW2556" s="233" t="str">
        <f>VLOOKUP(Table8[[#This Row],[Country Code]],Table29[],8,FALSE)</f>
        <v>non-OECD</v>
      </c>
      <c r="AX2556" s="233" t="str">
        <f>VLOOKUP(Table8[[#This Row],[Country Code]],Table29[],9,FALSE)</f>
        <v>no</v>
      </c>
      <c r="AY2556" s="233" t="str">
        <f>VLOOKUP(Table8[[#This Row],[Country Code]],Table29[],10,FALSE)</f>
        <v>no</v>
      </c>
      <c r="AZ2556" s="235">
        <f>VLOOKUP(Table8[[#This Row],[Country Code]],Table29[],23,FALSE)</f>
        <v>0.34210672521812002</v>
      </c>
      <c r="BA2556" s="235">
        <f>VLOOKUP(Table8[[#This Row],[Country Code]],Table29[],24,FALSE)</f>
        <v>0.1141760738354758</v>
      </c>
      <c r="BB2556" s="320"/>
      <c r="BC2556" s="320"/>
    </row>
    <row r="2557" spans="1:55" hidden="1" x14ac:dyDescent="0.25">
      <c r="A2557" s="373">
        <v>26791</v>
      </c>
      <c r="B2557" s="233" t="str">
        <f>VLOOKUP(Table8[[#This Row],[Document ID]],Table1[],2,FALSE)</f>
        <v>TON</v>
      </c>
      <c r="C2557" s="233" t="str">
        <f>VLOOKUP(Table8[[#This Row],[Document ID]],Table1[],3,FALSE)</f>
        <v>Tonga</v>
      </c>
      <c r="D2557" s="243" t="str">
        <f>VLOOKUP(Table8[[#This Row],[Document ID]],Table1[],5,FALSE)</f>
        <v>LTS</v>
      </c>
      <c r="E2557" s="233" t="str">
        <f>VLOOKUP(Table8[[#This Row],[Document ID]],Table1[],7,FALSE)</f>
        <v>LTS</v>
      </c>
      <c r="F2557" s="233" t="str">
        <f>VLOOKUP(Table8[[#This Row],[Document ID]],Table1[],8,FALSE)</f>
        <v>LTS 1.0</v>
      </c>
      <c r="G2557" s="233" t="str">
        <f>VLOOKUP(Table8[[#This Row],[Document ID]],Table1[],10,FALSE)</f>
        <v>Active</v>
      </c>
      <c r="H2557" s="43" t="s">
        <v>2350</v>
      </c>
      <c r="I2557" s="43" t="s">
        <v>2370</v>
      </c>
      <c r="J2557" s="44" t="s">
        <v>2418</v>
      </c>
      <c r="K2557" s="44" t="s">
        <v>4655</v>
      </c>
      <c r="L2557" s="44" t="s">
        <v>2396</v>
      </c>
      <c r="M2557" s="43">
        <v>47</v>
      </c>
      <c r="N2557" s="113"/>
      <c r="O2557" s="113"/>
      <c r="P2557" s="113"/>
      <c r="Q2557" s="113" t="s">
        <v>1113</v>
      </c>
      <c r="R2557" s="113" t="s">
        <v>1113</v>
      </c>
      <c r="S2557" s="113"/>
      <c r="T2557" s="113"/>
      <c r="U2557" s="113"/>
      <c r="V2557" s="113"/>
      <c r="W2557" s="113"/>
      <c r="X2557" s="113"/>
      <c r="Y2557" s="113"/>
      <c r="Z2557" s="113"/>
      <c r="AA2557" s="113"/>
      <c r="AB2557" s="113"/>
      <c r="AC2557" s="113"/>
      <c r="AD2557" s="113"/>
      <c r="AE2557" s="113"/>
      <c r="AF2557" s="113"/>
      <c r="AG2557" s="113"/>
      <c r="AH2557" s="113"/>
      <c r="AI2557" s="113"/>
      <c r="AJ2557" s="113"/>
      <c r="AK2557" s="113"/>
      <c r="AL2557" s="113" t="s">
        <v>1113</v>
      </c>
      <c r="AM2557" s="113"/>
      <c r="AN2557" s="113"/>
      <c r="AO2557" s="44" t="s">
        <v>2334</v>
      </c>
      <c r="AP2557" s="43"/>
      <c r="AQ2557" s="236" t="str">
        <f>VLOOKUP(Table8[[#This Row],[Instrument]],Def_Targets!$D$73:$E$159,2,FALSE)</f>
        <v>A_Complan</v>
      </c>
      <c r="AR2557" s="233" t="str">
        <f>VLOOKUP(Table8[[#This Row],[Country Code]],Table29[],3,FALSE)</f>
        <v>Non-Annex I</v>
      </c>
      <c r="AS2557" s="233" t="str">
        <f>VLOOKUP(Table8[[#This Row],[Country Code]],Table29[],4,FALSE)</f>
        <v>Oceania</v>
      </c>
      <c r="AT2557" s="233" t="str">
        <f>VLOOKUP(Table8[[#This Row],[Country Code]],Table29[],5,FALSE)</f>
        <v>Middle-income</v>
      </c>
      <c r="AU2557" s="233" t="str">
        <f>VLOOKUP(Table8[[#This Row],[Country Code]],Table29[],6,FALSE)</f>
        <v>no</v>
      </c>
      <c r="AV2557" s="233" t="str">
        <f>VLOOKUP(Table8[[#This Row],[Country Code]],Table29[],7,FALSE)</f>
        <v>no</v>
      </c>
      <c r="AW2557" s="233" t="str">
        <f>VLOOKUP(Table8[[#This Row],[Country Code]],Table29[],8,FALSE)</f>
        <v>non-OECD</v>
      </c>
      <c r="AX2557" s="233" t="str">
        <f>VLOOKUP(Table8[[#This Row],[Country Code]],Table29[],9,FALSE)</f>
        <v>no</v>
      </c>
      <c r="AY2557" s="233" t="str">
        <f>VLOOKUP(Table8[[#This Row],[Country Code]],Table29[],10,FALSE)</f>
        <v>no</v>
      </c>
      <c r="AZ2557" s="235">
        <f>VLOOKUP(Table8[[#This Row],[Country Code]],Table29[],23,FALSE)</f>
        <v>0.34210672521812002</v>
      </c>
      <c r="BA2557" s="235">
        <f>VLOOKUP(Table8[[#This Row],[Country Code]],Table29[],24,FALSE)</f>
        <v>0.1141760738354758</v>
      </c>
      <c r="BB2557" s="320"/>
      <c r="BC2557" s="320"/>
    </row>
    <row r="2558" spans="1:55" hidden="1" x14ac:dyDescent="0.25">
      <c r="A2558" s="373">
        <v>26791</v>
      </c>
      <c r="B2558" s="233" t="str">
        <f>VLOOKUP(Table8[[#This Row],[Document ID]],Table1[],2,FALSE)</f>
        <v>TON</v>
      </c>
      <c r="C2558" s="233" t="str">
        <f>VLOOKUP(Table8[[#This Row],[Document ID]],Table1[],3,FALSE)</f>
        <v>Tonga</v>
      </c>
      <c r="D2558" s="243" t="str">
        <f>VLOOKUP(Table8[[#This Row],[Document ID]],Table1[],5,FALSE)</f>
        <v>LTS</v>
      </c>
      <c r="E2558" s="233" t="str">
        <f>VLOOKUP(Table8[[#This Row],[Document ID]],Table1[],7,FALSE)</f>
        <v>LTS</v>
      </c>
      <c r="F2558" s="233" t="str">
        <f>VLOOKUP(Table8[[#This Row],[Document ID]],Table1[],8,FALSE)</f>
        <v>LTS 1.0</v>
      </c>
      <c r="G2558" s="233" t="str">
        <f>VLOOKUP(Table8[[#This Row],[Document ID]],Table1[],10,FALSE)</f>
        <v>Active</v>
      </c>
      <c r="H2558" s="43" t="s">
        <v>2343</v>
      </c>
      <c r="I2558" s="43" t="s">
        <v>2344</v>
      </c>
      <c r="J2558" s="44" t="s">
        <v>2564</v>
      </c>
      <c r="K2558" s="44" t="s">
        <v>4656</v>
      </c>
      <c r="L2558" s="44" t="s">
        <v>2347</v>
      </c>
      <c r="M2558" s="43">
        <v>47</v>
      </c>
      <c r="N2558" s="113"/>
      <c r="O2558" s="113"/>
      <c r="P2558" s="113"/>
      <c r="Q2558" s="113"/>
      <c r="R2558" s="113" t="s">
        <v>1113</v>
      </c>
      <c r="S2558" s="113"/>
      <c r="T2558" s="113"/>
      <c r="U2558" s="113"/>
      <c r="V2558" s="113"/>
      <c r="W2558" s="113"/>
      <c r="X2558" s="113"/>
      <c r="Y2558" s="113"/>
      <c r="Z2558" s="113"/>
      <c r="AA2558" s="113"/>
      <c r="AB2558" s="113"/>
      <c r="AC2558" s="113"/>
      <c r="AD2558" s="113"/>
      <c r="AE2558" s="113"/>
      <c r="AF2558" s="113"/>
      <c r="AG2558" s="113"/>
      <c r="AH2558" s="113"/>
      <c r="AI2558" s="113"/>
      <c r="AJ2558" s="113"/>
      <c r="AK2558" s="113"/>
      <c r="AL2558" s="113" t="s">
        <v>1113</v>
      </c>
      <c r="AM2558" s="113"/>
      <c r="AN2558" s="113"/>
      <c r="AO2558" s="44" t="s">
        <v>2334</v>
      </c>
      <c r="AP2558" s="43"/>
      <c r="AQ2558" s="236" t="str">
        <f>VLOOKUP(Table8[[#This Row],[Instrument]],Def_Targets!$D$73:$E$159,2,FALSE)</f>
        <v>S_PTPriority</v>
      </c>
      <c r="AR2558" s="233" t="str">
        <f>VLOOKUP(Table8[[#This Row],[Country Code]],Table29[],3,FALSE)</f>
        <v>Non-Annex I</v>
      </c>
      <c r="AS2558" s="233" t="str">
        <f>VLOOKUP(Table8[[#This Row],[Country Code]],Table29[],4,FALSE)</f>
        <v>Oceania</v>
      </c>
      <c r="AT2558" s="233" t="str">
        <f>VLOOKUP(Table8[[#This Row],[Country Code]],Table29[],5,FALSE)</f>
        <v>Middle-income</v>
      </c>
      <c r="AU2558" s="233" t="str">
        <f>VLOOKUP(Table8[[#This Row],[Country Code]],Table29[],6,FALSE)</f>
        <v>no</v>
      </c>
      <c r="AV2558" s="233" t="str">
        <f>VLOOKUP(Table8[[#This Row],[Country Code]],Table29[],7,FALSE)</f>
        <v>no</v>
      </c>
      <c r="AW2558" s="233" t="str">
        <f>VLOOKUP(Table8[[#This Row],[Country Code]],Table29[],8,FALSE)</f>
        <v>non-OECD</v>
      </c>
      <c r="AX2558" s="233" t="str">
        <f>VLOOKUP(Table8[[#This Row],[Country Code]],Table29[],9,FALSE)</f>
        <v>no</v>
      </c>
      <c r="AY2558" s="233" t="str">
        <f>VLOOKUP(Table8[[#This Row],[Country Code]],Table29[],10,FALSE)</f>
        <v>no</v>
      </c>
      <c r="AZ2558" s="235">
        <f>VLOOKUP(Table8[[#This Row],[Country Code]],Table29[],23,FALSE)</f>
        <v>0.34210672521812002</v>
      </c>
      <c r="BA2558" s="235">
        <f>VLOOKUP(Table8[[#This Row],[Country Code]],Table29[],24,FALSE)</f>
        <v>0.1141760738354758</v>
      </c>
      <c r="BB2558" s="320"/>
      <c r="BC2558" s="320"/>
    </row>
    <row r="2559" spans="1:55" hidden="1" x14ac:dyDescent="0.25">
      <c r="A2559" s="373">
        <v>26791</v>
      </c>
      <c r="B2559" s="233" t="str">
        <f>VLOOKUP(Table8[[#This Row],[Document ID]],Table1[],2,FALSE)</f>
        <v>TON</v>
      </c>
      <c r="C2559" s="233" t="str">
        <f>VLOOKUP(Table8[[#This Row],[Document ID]],Table1[],3,FALSE)</f>
        <v>Tonga</v>
      </c>
      <c r="D2559" s="243" t="str">
        <f>VLOOKUP(Table8[[#This Row],[Document ID]],Table1[],5,FALSE)</f>
        <v>LTS</v>
      </c>
      <c r="E2559" s="233" t="str">
        <f>VLOOKUP(Table8[[#This Row],[Document ID]],Table1[],7,FALSE)</f>
        <v>LTS</v>
      </c>
      <c r="F2559" s="233" t="str">
        <f>VLOOKUP(Table8[[#This Row],[Document ID]],Table1[],8,FALSE)</f>
        <v>LTS 1.0</v>
      </c>
      <c r="G2559" s="233" t="str">
        <f>VLOOKUP(Table8[[#This Row],[Document ID]],Table1[],10,FALSE)</f>
        <v>Active</v>
      </c>
      <c r="H2559" s="43" t="s">
        <v>2343</v>
      </c>
      <c r="I2559" s="43" t="s">
        <v>2377</v>
      </c>
      <c r="J2559" s="44" t="s">
        <v>2521</v>
      </c>
      <c r="K2559" s="44" t="s">
        <v>4657</v>
      </c>
      <c r="L2559" s="44" t="s">
        <v>2347</v>
      </c>
      <c r="M2559" s="43">
        <v>47</v>
      </c>
      <c r="N2559" s="113"/>
      <c r="O2559" s="113"/>
      <c r="P2559" s="113"/>
      <c r="Q2559" s="113" t="s">
        <v>1113</v>
      </c>
      <c r="R2559" s="113" t="s">
        <v>1113</v>
      </c>
      <c r="S2559" s="113"/>
      <c r="T2559" s="113"/>
      <c r="U2559" s="113"/>
      <c r="V2559" s="113"/>
      <c r="W2559" s="113"/>
      <c r="X2559" s="113"/>
      <c r="Y2559" s="113"/>
      <c r="Z2559" s="113"/>
      <c r="AA2559" s="113"/>
      <c r="AB2559" s="113"/>
      <c r="AC2559" s="113"/>
      <c r="AD2559" s="113"/>
      <c r="AE2559" s="113"/>
      <c r="AF2559" s="113"/>
      <c r="AG2559" s="113"/>
      <c r="AH2559" s="113"/>
      <c r="AI2559" s="113"/>
      <c r="AJ2559" s="113"/>
      <c r="AK2559" s="113"/>
      <c r="AL2559" s="113" t="s">
        <v>1113</v>
      </c>
      <c r="AM2559" s="113"/>
      <c r="AN2559" s="113"/>
      <c r="AO2559" s="44" t="s">
        <v>2334</v>
      </c>
      <c r="AP2559" s="43"/>
      <c r="AQ2559" s="236" t="str">
        <f>VLOOKUP(Table8[[#This Row],[Instrument]],Def_Targets!$D$73:$E$159,2,FALSE)</f>
        <v>A_Caraccess</v>
      </c>
      <c r="AR2559" s="233" t="str">
        <f>VLOOKUP(Table8[[#This Row],[Country Code]],Table29[],3,FALSE)</f>
        <v>Non-Annex I</v>
      </c>
      <c r="AS2559" s="233" t="str">
        <f>VLOOKUP(Table8[[#This Row],[Country Code]],Table29[],4,FALSE)</f>
        <v>Oceania</v>
      </c>
      <c r="AT2559" s="233" t="str">
        <f>VLOOKUP(Table8[[#This Row],[Country Code]],Table29[],5,FALSE)</f>
        <v>Middle-income</v>
      </c>
      <c r="AU2559" s="233" t="str">
        <f>VLOOKUP(Table8[[#This Row],[Country Code]],Table29[],6,FALSE)</f>
        <v>no</v>
      </c>
      <c r="AV2559" s="233" t="str">
        <f>VLOOKUP(Table8[[#This Row],[Country Code]],Table29[],7,FALSE)</f>
        <v>no</v>
      </c>
      <c r="AW2559" s="233" t="str">
        <f>VLOOKUP(Table8[[#This Row],[Country Code]],Table29[],8,FALSE)</f>
        <v>non-OECD</v>
      </c>
      <c r="AX2559" s="233" t="str">
        <f>VLOOKUP(Table8[[#This Row],[Country Code]],Table29[],9,FALSE)</f>
        <v>no</v>
      </c>
      <c r="AY2559" s="233" t="str">
        <f>VLOOKUP(Table8[[#This Row],[Country Code]],Table29[],10,FALSE)</f>
        <v>no</v>
      </c>
      <c r="AZ2559" s="235">
        <f>VLOOKUP(Table8[[#This Row],[Country Code]],Table29[],23,FALSE)</f>
        <v>0.34210672521812002</v>
      </c>
      <c r="BA2559" s="235">
        <f>VLOOKUP(Table8[[#This Row],[Country Code]],Table29[],24,FALSE)</f>
        <v>0.1141760738354758</v>
      </c>
      <c r="BB2559" s="320"/>
      <c r="BC2559" s="320"/>
    </row>
    <row r="2560" spans="1:55" hidden="1" x14ac:dyDescent="0.25">
      <c r="A2560" s="373">
        <v>26791</v>
      </c>
      <c r="B2560" s="233" t="str">
        <f>VLOOKUP(Table8[[#This Row],[Document ID]],Table1[],2,FALSE)</f>
        <v>TON</v>
      </c>
      <c r="C2560" s="233" t="str">
        <f>VLOOKUP(Table8[[#This Row],[Document ID]],Table1[],3,FALSE)</f>
        <v>Tonga</v>
      </c>
      <c r="D2560" s="243" t="str">
        <f>VLOOKUP(Table8[[#This Row],[Document ID]],Table1[],5,FALSE)</f>
        <v>LTS</v>
      </c>
      <c r="E2560" s="233" t="str">
        <f>VLOOKUP(Table8[[#This Row],[Document ID]],Table1[],7,FALSE)</f>
        <v>LTS</v>
      </c>
      <c r="F2560" s="233" t="str">
        <f>VLOOKUP(Table8[[#This Row],[Document ID]],Table1[],8,FALSE)</f>
        <v>LTS 1.0</v>
      </c>
      <c r="G2560" s="233" t="str">
        <f>VLOOKUP(Table8[[#This Row],[Document ID]],Table1[],10,FALSE)</f>
        <v>Active</v>
      </c>
      <c r="H2560" s="43" t="s">
        <v>2343</v>
      </c>
      <c r="I2560" s="43" t="s">
        <v>2386</v>
      </c>
      <c r="J2560" s="44" t="s">
        <v>2412</v>
      </c>
      <c r="K2560" s="44" t="s">
        <v>4658</v>
      </c>
      <c r="L2560" s="44" t="s">
        <v>2347</v>
      </c>
      <c r="M2560" s="43">
        <v>47</v>
      </c>
      <c r="N2560" s="113"/>
      <c r="O2560" s="113"/>
      <c r="P2560" s="113"/>
      <c r="Q2560" s="113"/>
      <c r="R2560" s="113" t="s">
        <v>1113</v>
      </c>
      <c r="S2560" s="113"/>
      <c r="T2560" s="113"/>
      <c r="U2560" s="113"/>
      <c r="V2560" s="113"/>
      <c r="W2560" s="113"/>
      <c r="X2560" s="113"/>
      <c r="Y2560" s="113"/>
      <c r="Z2560" s="113"/>
      <c r="AA2560" s="113"/>
      <c r="AB2560" s="113"/>
      <c r="AC2560" s="113"/>
      <c r="AD2560" s="113"/>
      <c r="AE2560" s="113"/>
      <c r="AF2560" s="113"/>
      <c r="AG2560" s="113"/>
      <c r="AH2560" s="113"/>
      <c r="AI2560" s="113"/>
      <c r="AJ2560" s="113"/>
      <c r="AK2560" s="113"/>
      <c r="AL2560" s="113" t="s">
        <v>1113</v>
      </c>
      <c r="AM2560" s="113"/>
      <c r="AN2560" s="113"/>
      <c r="AO2560" s="44" t="s">
        <v>2334</v>
      </c>
      <c r="AP2560" s="43"/>
      <c r="AQ2560" s="236" t="str">
        <f>VLOOKUP(Table8[[#This Row],[Instrument]],Def_Targets!$D$73:$E$159,2,FALSE)</f>
        <v>A_Economic</v>
      </c>
      <c r="AR2560" s="233" t="str">
        <f>VLOOKUP(Table8[[#This Row],[Country Code]],Table29[],3,FALSE)</f>
        <v>Non-Annex I</v>
      </c>
      <c r="AS2560" s="233" t="str">
        <f>VLOOKUP(Table8[[#This Row],[Country Code]],Table29[],4,FALSE)</f>
        <v>Oceania</v>
      </c>
      <c r="AT2560" s="233" t="str">
        <f>VLOOKUP(Table8[[#This Row],[Country Code]],Table29[],5,FALSE)</f>
        <v>Middle-income</v>
      </c>
      <c r="AU2560" s="233" t="str">
        <f>VLOOKUP(Table8[[#This Row],[Country Code]],Table29[],6,FALSE)</f>
        <v>no</v>
      </c>
      <c r="AV2560" s="233" t="str">
        <f>VLOOKUP(Table8[[#This Row],[Country Code]],Table29[],7,FALSE)</f>
        <v>no</v>
      </c>
      <c r="AW2560" s="233" t="str">
        <f>VLOOKUP(Table8[[#This Row],[Country Code]],Table29[],8,FALSE)</f>
        <v>non-OECD</v>
      </c>
      <c r="AX2560" s="233" t="str">
        <f>VLOOKUP(Table8[[#This Row],[Country Code]],Table29[],9,FALSE)</f>
        <v>no</v>
      </c>
      <c r="AY2560" s="233" t="str">
        <f>VLOOKUP(Table8[[#This Row],[Country Code]],Table29[],10,FALSE)</f>
        <v>no</v>
      </c>
      <c r="AZ2560" s="235">
        <f>VLOOKUP(Table8[[#This Row],[Country Code]],Table29[],23,FALSE)</f>
        <v>0.34210672521812002</v>
      </c>
      <c r="BA2560" s="235">
        <f>VLOOKUP(Table8[[#This Row],[Country Code]],Table29[],24,FALSE)</f>
        <v>0.1141760738354758</v>
      </c>
      <c r="BB2560" s="320"/>
      <c r="BC2560" s="320"/>
    </row>
    <row r="2561" spans="1:55" ht="30" hidden="1" x14ac:dyDescent="0.25">
      <c r="A2561" s="373">
        <v>26791</v>
      </c>
      <c r="B2561" s="233" t="str">
        <f>VLOOKUP(Table8[[#This Row],[Document ID]],Table1[],2,FALSE)</f>
        <v>TON</v>
      </c>
      <c r="C2561" s="233" t="str">
        <f>VLOOKUP(Table8[[#This Row],[Document ID]],Table1[],3,FALSE)</f>
        <v>Tonga</v>
      </c>
      <c r="D2561" s="243" t="str">
        <f>VLOOKUP(Table8[[#This Row],[Document ID]],Table1[],5,FALSE)</f>
        <v>LTS</v>
      </c>
      <c r="E2561" s="233" t="str">
        <f>VLOOKUP(Table8[[#This Row],[Document ID]],Table1[],7,FALSE)</f>
        <v>LTS</v>
      </c>
      <c r="F2561" s="233" t="str">
        <f>VLOOKUP(Table8[[#This Row],[Document ID]],Table1[],8,FALSE)</f>
        <v>LTS 1.0</v>
      </c>
      <c r="G2561" s="233" t="str">
        <f>VLOOKUP(Table8[[#This Row],[Document ID]],Table1[],10,FALSE)</f>
        <v>Active</v>
      </c>
      <c r="H2561" s="43" t="s">
        <v>2350</v>
      </c>
      <c r="I2561" s="43" t="s">
        <v>2370</v>
      </c>
      <c r="J2561" s="44" t="s">
        <v>2581</v>
      </c>
      <c r="K2561" s="44" t="s">
        <v>4659</v>
      </c>
      <c r="L2561" s="44" t="s">
        <v>2347</v>
      </c>
      <c r="M2561" s="43">
        <v>47</v>
      </c>
      <c r="N2561" s="113"/>
      <c r="O2561" s="113"/>
      <c r="P2561" s="113"/>
      <c r="Q2561" s="113"/>
      <c r="R2561" s="113" t="s">
        <v>1113</v>
      </c>
      <c r="S2561" s="113"/>
      <c r="T2561" s="113"/>
      <c r="U2561" s="113"/>
      <c r="V2561" s="113"/>
      <c r="W2561" s="113"/>
      <c r="X2561" s="113"/>
      <c r="Y2561" s="113"/>
      <c r="Z2561" s="113"/>
      <c r="AA2561" s="113"/>
      <c r="AB2561" s="113"/>
      <c r="AC2561" s="113"/>
      <c r="AD2561" s="113"/>
      <c r="AE2561" s="113"/>
      <c r="AF2561" s="113"/>
      <c r="AG2561" s="113"/>
      <c r="AH2561" s="113"/>
      <c r="AI2561" s="113"/>
      <c r="AJ2561" s="113"/>
      <c r="AK2561" s="113"/>
      <c r="AL2561" s="113" t="s">
        <v>1113</v>
      </c>
      <c r="AM2561" s="113"/>
      <c r="AN2561" s="113"/>
      <c r="AO2561" s="44" t="s">
        <v>2334</v>
      </c>
      <c r="AP2561" s="43"/>
      <c r="AQ2561" s="236" t="str">
        <f>VLOOKUP(Table8[[#This Row],[Instrument]],Def_Targets!$D$73:$E$159,2,FALSE)</f>
        <v>A_SUMP</v>
      </c>
      <c r="AR2561" s="233" t="str">
        <f>VLOOKUP(Table8[[#This Row],[Country Code]],Table29[],3,FALSE)</f>
        <v>Non-Annex I</v>
      </c>
      <c r="AS2561" s="233" t="str">
        <f>VLOOKUP(Table8[[#This Row],[Country Code]],Table29[],4,FALSE)</f>
        <v>Oceania</v>
      </c>
      <c r="AT2561" s="233" t="str">
        <f>VLOOKUP(Table8[[#This Row],[Country Code]],Table29[],5,FALSE)</f>
        <v>Middle-income</v>
      </c>
      <c r="AU2561" s="233" t="str">
        <f>VLOOKUP(Table8[[#This Row],[Country Code]],Table29[],6,FALSE)</f>
        <v>no</v>
      </c>
      <c r="AV2561" s="233" t="str">
        <f>VLOOKUP(Table8[[#This Row],[Country Code]],Table29[],7,FALSE)</f>
        <v>no</v>
      </c>
      <c r="AW2561" s="233" t="str">
        <f>VLOOKUP(Table8[[#This Row],[Country Code]],Table29[],8,FALSE)</f>
        <v>non-OECD</v>
      </c>
      <c r="AX2561" s="233" t="str">
        <f>VLOOKUP(Table8[[#This Row],[Country Code]],Table29[],9,FALSE)</f>
        <v>no</v>
      </c>
      <c r="AY2561" s="233" t="str">
        <f>VLOOKUP(Table8[[#This Row],[Country Code]],Table29[],10,FALSE)</f>
        <v>no</v>
      </c>
      <c r="AZ2561" s="235">
        <f>VLOOKUP(Table8[[#This Row],[Country Code]],Table29[],23,FALSE)</f>
        <v>0.34210672521812002</v>
      </c>
      <c r="BA2561" s="235">
        <f>VLOOKUP(Table8[[#This Row],[Country Code]],Table29[],24,FALSE)</f>
        <v>0.1141760738354758</v>
      </c>
      <c r="BB2561" s="320"/>
      <c r="BC2561" s="320"/>
    </row>
    <row r="2562" spans="1:55" ht="30" hidden="1" x14ac:dyDescent="0.25">
      <c r="A2562" s="373">
        <v>26791</v>
      </c>
      <c r="B2562" s="233" t="str">
        <f>VLOOKUP(Table8[[#This Row],[Document ID]],Table1[],2,FALSE)</f>
        <v>TON</v>
      </c>
      <c r="C2562" s="233" t="str">
        <f>VLOOKUP(Table8[[#This Row],[Document ID]],Table1[],3,FALSE)</f>
        <v>Tonga</v>
      </c>
      <c r="D2562" s="243" t="str">
        <f>VLOOKUP(Table8[[#This Row],[Document ID]],Table1[],5,FALSE)</f>
        <v>LTS</v>
      </c>
      <c r="E2562" s="233" t="str">
        <f>VLOOKUP(Table8[[#This Row],[Document ID]],Table1[],7,FALSE)</f>
        <v>LTS</v>
      </c>
      <c r="F2562" s="233" t="str">
        <f>VLOOKUP(Table8[[#This Row],[Document ID]],Table1[],8,FALSE)</f>
        <v>LTS 1.0</v>
      </c>
      <c r="G2562" s="233" t="str">
        <f>VLOOKUP(Table8[[#This Row],[Document ID]],Table1[],10,FALSE)</f>
        <v>Active</v>
      </c>
      <c r="H2562" s="43" t="s">
        <v>2350</v>
      </c>
      <c r="I2562" s="43" t="s">
        <v>2407</v>
      </c>
      <c r="J2562" s="44" t="s">
        <v>2408</v>
      </c>
      <c r="K2562" s="44" t="s">
        <v>4659</v>
      </c>
      <c r="L2562" s="44" t="s">
        <v>2347</v>
      </c>
      <c r="M2562" s="43">
        <v>47</v>
      </c>
      <c r="N2562" s="113"/>
      <c r="O2562" s="113"/>
      <c r="P2562" s="113"/>
      <c r="Q2562" s="113"/>
      <c r="R2562" s="113" t="s">
        <v>1113</v>
      </c>
      <c r="S2562" s="113"/>
      <c r="T2562" s="113"/>
      <c r="U2562" s="113"/>
      <c r="V2562" s="113"/>
      <c r="W2562" s="113"/>
      <c r="X2562" s="113"/>
      <c r="Y2562" s="113"/>
      <c r="Z2562" s="113"/>
      <c r="AA2562" s="113"/>
      <c r="AB2562" s="113"/>
      <c r="AC2562" s="113"/>
      <c r="AD2562" s="113"/>
      <c r="AE2562" s="113"/>
      <c r="AF2562" s="113"/>
      <c r="AG2562" s="113"/>
      <c r="AH2562" s="113"/>
      <c r="AI2562" s="113"/>
      <c r="AJ2562" s="113"/>
      <c r="AK2562" s="113"/>
      <c r="AL2562" s="113" t="s">
        <v>1113</v>
      </c>
      <c r="AM2562" s="113"/>
      <c r="AN2562" s="113"/>
      <c r="AO2562" s="44" t="s">
        <v>2334</v>
      </c>
      <c r="AP2562" s="43"/>
      <c r="AQ2562" s="236" t="str">
        <f>VLOOKUP(Table8[[#This Row],[Instrument]],Def_Targets!$D$73:$E$159,2,FALSE)</f>
        <v>I_Education</v>
      </c>
      <c r="AR2562" s="233" t="str">
        <f>VLOOKUP(Table8[[#This Row],[Country Code]],Table29[],3,FALSE)</f>
        <v>Non-Annex I</v>
      </c>
      <c r="AS2562" s="233" t="str">
        <f>VLOOKUP(Table8[[#This Row],[Country Code]],Table29[],4,FALSE)</f>
        <v>Oceania</v>
      </c>
      <c r="AT2562" s="233" t="str">
        <f>VLOOKUP(Table8[[#This Row],[Country Code]],Table29[],5,FALSE)</f>
        <v>Middle-income</v>
      </c>
      <c r="AU2562" s="233" t="str">
        <f>VLOOKUP(Table8[[#This Row],[Country Code]],Table29[],6,FALSE)</f>
        <v>no</v>
      </c>
      <c r="AV2562" s="233" t="str">
        <f>VLOOKUP(Table8[[#This Row],[Country Code]],Table29[],7,FALSE)</f>
        <v>no</v>
      </c>
      <c r="AW2562" s="233" t="str">
        <f>VLOOKUP(Table8[[#This Row],[Country Code]],Table29[],8,FALSE)</f>
        <v>non-OECD</v>
      </c>
      <c r="AX2562" s="233" t="str">
        <f>VLOOKUP(Table8[[#This Row],[Country Code]],Table29[],9,FALSE)</f>
        <v>no</v>
      </c>
      <c r="AY2562" s="233" t="str">
        <f>VLOOKUP(Table8[[#This Row],[Country Code]],Table29[],10,FALSE)</f>
        <v>no</v>
      </c>
      <c r="AZ2562" s="235">
        <f>VLOOKUP(Table8[[#This Row],[Country Code]],Table29[],23,FALSE)</f>
        <v>0.34210672521812002</v>
      </c>
      <c r="BA2562" s="235">
        <f>VLOOKUP(Table8[[#This Row],[Country Code]],Table29[],24,FALSE)</f>
        <v>0.1141760738354758</v>
      </c>
      <c r="BB2562" s="320"/>
      <c r="BC2562" s="320"/>
    </row>
    <row r="2563" spans="1:55" ht="30" hidden="1" x14ac:dyDescent="0.25">
      <c r="A2563" s="373">
        <v>26791</v>
      </c>
      <c r="B2563" s="233" t="str">
        <f>VLOOKUP(Table8[[#This Row],[Document ID]],Table1[],2,FALSE)</f>
        <v>TON</v>
      </c>
      <c r="C2563" s="233" t="str">
        <f>VLOOKUP(Table8[[#This Row],[Document ID]],Table1[],3,FALSE)</f>
        <v>Tonga</v>
      </c>
      <c r="D2563" s="243" t="str">
        <f>VLOOKUP(Table8[[#This Row],[Document ID]],Table1[],5,FALSE)</f>
        <v>LTS</v>
      </c>
      <c r="E2563" s="233" t="str">
        <f>VLOOKUP(Table8[[#This Row],[Document ID]],Table1[],7,FALSE)</f>
        <v>LTS</v>
      </c>
      <c r="F2563" s="233" t="str">
        <f>VLOOKUP(Table8[[#This Row],[Document ID]],Table1[],8,FALSE)</f>
        <v>LTS 1.0</v>
      </c>
      <c r="G2563" s="233" t="str">
        <f>VLOOKUP(Table8[[#This Row],[Document ID]],Table1[],10,FALSE)</f>
        <v>Active</v>
      </c>
      <c r="H2563" s="44" t="s">
        <v>2329</v>
      </c>
      <c r="I2563" s="44" t="s">
        <v>2330</v>
      </c>
      <c r="J2563" s="44" t="s">
        <v>2381</v>
      </c>
      <c r="K2563" s="44" t="s">
        <v>4660</v>
      </c>
      <c r="L2563" s="44" t="s">
        <v>2333</v>
      </c>
      <c r="M2563" s="43">
        <v>48</v>
      </c>
      <c r="N2563" s="113" t="s">
        <v>1113</v>
      </c>
      <c r="O2563" s="113"/>
      <c r="P2563" s="113"/>
      <c r="Q2563" s="113"/>
      <c r="R2563" s="113"/>
      <c r="S2563" s="113"/>
      <c r="T2563" s="113"/>
      <c r="U2563" s="113"/>
      <c r="V2563" s="113"/>
      <c r="W2563" s="113"/>
      <c r="X2563" s="113"/>
      <c r="Y2563" s="113"/>
      <c r="Z2563" s="113"/>
      <c r="AA2563" s="113"/>
      <c r="AB2563" s="113"/>
      <c r="AC2563" s="113"/>
      <c r="AD2563" s="113"/>
      <c r="AE2563" s="113"/>
      <c r="AF2563" s="113"/>
      <c r="AG2563" s="113"/>
      <c r="AH2563" s="113"/>
      <c r="AI2563" s="113"/>
      <c r="AJ2563" s="113"/>
      <c r="AK2563" s="113" t="s">
        <v>1113</v>
      </c>
      <c r="AL2563" s="113"/>
      <c r="AM2563" s="113"/>
      <c r="AN2563" s="113"/>
      <c r="AO2563" s="44" t="s">
        <v>2334</v>
      </c>
      <c r="AP2563" s="43"/>
      <c r="AQ2563" s="236" t="str">
        <f>VLOOKUP(Table8[[#This Row],[Instrument]],Def_Targets!$D$73:$E$159,2,FALSE)</f>
        <v>I_RE</v>
      </c>
      <c r="AR2563" s="233" t="str">
        <f>VLOOKUP(Table8[[#This Row],[Country Code]],Table29[],3,FALSE)</f>
        <v>Non-Annex I</v>
      </c>
      <c r="AS2563" s="233" t="str">
        <f>VLOOKUP(Table8[[#This Row],[Country Code]],Table29[],4,FALSE)</f>
        <v>Oceania</v>
      </c>
      <c r="AT2563" s="233" t="str">
        <f>VLOOKUP(Table8[[#This Row],[Country Code]],Table29[],5,FALSE)</f>
        <v>Middle-income</v>
      </c>
      <c r="AU2563" s="233" t="str">
        <f>VLOOKUP(Table8[[#This Row],[Country Code]],Table29[],6,FALSE)</f>
        <v>no</v>
      </c>
      <c r="AV2563" s="233" t="str">
        <f>VLOOKUP(Table8[[#This Row],[Country Code]],Table29[],7,FALSE)</f>
        <v>no</v>
      </c>
      <c r="AW2563" s="233" t="str">
        <f>VLOOKUP(Table8[[#This Row],[Country Code]],Table29[],8,FALSE)</f>
        <v>non-OECD</v>
      </c>
      <c r="AX2563" s="233" t="str">
        <f>VLOOKUP(Table8[[#This Row],[Country Code]],Table29[],9,FALSE)</f>
        <v>no</v>
      </c>
      <c r="AY2563" s="233" t="str">
        <f>VLOOKUP(Table8[[#This Row],[Country Code]],Table29[],10,FALSE)</f>
        <v>no</v>
      </c>
      <c r="AZ2563" s="235">
        <f>VLOOKUP(Table8[[#This Row],[Country Code]],Table29[],23,FALSE)</f>
        <v>0.34210672521812002</v>
      </c>
      <c r="BA2563" s="235">
        <f>VLOOKUP(Table8[[#This Row],[Country Code]],Table29[],24,FALSE)</f>
        <v>0.1141760738354758</v>
      </c>
      <c r="BB2563" s="320"/>
      <c r="BC2563" s="320"/>
    </row>
    <row r="2564" spans="1:55" ht="30" hidden="1" x14ac:dyDescent="0.25">
      <c r="A2564" s="368">
        <v>32521</v>
      </c>
      <c r="B2564" s="233" t="str">
        <f>VLOOKUP(Table8[[#This Row],[Document ID]],Table1[],2,FALSE)</f>
        <v>TUN</v>
      </c>
      <c r="C2564" s="233" t="str">
        <f>VLOOKUP(Table8[[#This Row],[Document ID]],Table1[],3,FALSE)</f>
        <v>Tunisia</v>
      </c>
      <c r="D2564" s="241" t="str">
        <f>VLOOKUP(Table8[[#This Row],[Document ID]],Table1[],5,FALSE)</f>
        <v>LTS</v>
      </c>
      <c r="E2564" s="233" t="str">
        <f>VLOOKUP(Table8[[#This Row],[Document ID]],Table1[],7,FALSE)</f>
        <v>LTS</v>
      </c>
      <c r="F2564" s="241" t="str">
        <f>VLOOKUP(Table8[[#This Row],[Document ID]],Table1[],8,FALSE)</f>
        <v>LTS 1.0</v>
      </c>
      <c r="G2564" s="241" t="str">
        <f>VLOOKUP(Table8[[#This Row],[Document ID]],Table1[],10,FALSE)</f>
        <v>Active</v>
      </c>
      <c r="H2564" s="44" t="s">
        <v>2338</v>
      </c>
      <c r="I2564" s="44" t="s">
        <v>2339</v>
      </c>
      <c r="J2564" s="44" t="s">
        <v>2413</v>
      </c>
      <c r="K2564" s="44" t="s">
        <v>4661</v>
      </c>
      <c r="L2564" s="44" t="s">
        <v>2333</v>
      </c>
      <c r="M2564" s="43">
        <v>41</v>
      </c>
      <c r="N2564" s="113"/>
      <c r="O2564" s="113"/>
      <c r="P2564" s="113"/>
      <c r="Q2564" s="113"/>
      <c r="R2564" s="113"/>
      <c r="S2564" s="113" t="s">
        <v>1113</v>
      </c>
      <c r="T2564" s="113"/>
      <c r="U2564" s="113"/>
      <c r="V2564" s="113"/>
      <c r="W2564" s="113"/>
      <c r="X2564" s="113"/>
      <c r="Y2564" s="113"/>
      <c r="Z2564" s="113"/>
      <c r="AA2564" s="113"/>
      <c r="AB2564" s="113"/>
      <c r="AC2564" s="113"/>
      <c r="AD2564" s="113"/>
      <c r="AE2564" s="113"/>
      <c r="AF2564" s="113"/>
      <c r="AG2564" s="113"/>
      <c r="AH2564" s="113"/>
      <c r="AI2564" s="113"/>
      <c r="AJ2564" s="113"/>
      <c r="AK2564" s="113" t="s">
        <v>1113</v>
      </c>
      <c r="AL2564" s="113"/>
      <c r="AM2564" s="113"/>
      <c r="AN2564" s="113"/>
      <c r="AO2564" s="44" t="s">
        <v>2334</v>
      </c>
      <c r="AP2564" s="43"/>
      <c r="AQ2564" s="236" t="str">
        <f>VLOOKUP(Table8[[#This Row],[Instrument]],Def_Targets!$D$73:$E$159,2,FALSE)</f>
        <v>I_Vehicleeff</v>
      </c>
      <c r="AR2564" s="233" t="str">
        <f>VLOOKUP(Table8[[#This Row],[Country Code]],Table29[],3,FALSE)</f>
        <v>Non-Annex I</v>
      </c>
      <c r="AS2564" s="233" t="str">
        <f>VLOOKUP(Table8[[#This Row],[Country Code]],Table29[],4,FALSE)</f>
        <v>Africa</v>
      </c>
      <c r="AT2564" s="233" t="str">
        <f>VLOOKUP(Table8[[#This Row],[Country Code]],Table29[],5,FALSE)</f>
        <v>Middle-income</v>
      </c>
      <c r="AU2564" s="233" t="str">
        <f>VLOOKUP(Table8[[#This Row],[Country Code]],Table29[],6,FALSE)</f>
        <v>no</v>
      </c>
      <c r="AV2564" s="233" t="str">
        <f>VLOOKUP(Table8[[#This Row],[Country Code]],Table29[],7,FALSE)</f>
        <v>no</v>
      </c>
      <c r="AW2564" s="233" t="str">
        <f>VLOOKUP(Table8[[#This Row],[Country Code]],Table29[],8,FALSE)</f>
        <v>non-OECD</v>
      </c>
      <c r="AX2564" s="233" t="str">
        <f>VLOOKUP(Table8[[#This Row],[Country Code]],Table29[],9,FALSE)</f>
        <v>no</v>
      </c>
      <c r="AY2564" s="233" t="str">
        <f>VLOOKUP(Table8[[#This Row],[Country Code]],Table29[],10,FALSE)</f>
        <v>MENA</v>
      </c>
      <c r="AZ2564" s="235">
        <f>VLOOKUP(Table8[[#This Row],[Country Code]],Table29[],23,FALSE)</f>
        <v>43.578530969543998</v>
      </c>
      <c r="BA2564" s="235">
        <f>VLOOKUP(Table8[[#This Row],[Country Code]],Table29[],24,FALSE)</f>
        <v>8.2824682143968626</v>
      </c>
      <c r="BB2564" s="320"/>
      <c r="BC2564" s="320"/>
    </row>
    <row r="2565" spans="1:55" ht="30" hidden="1" x14ac:dyDescent="0.25">
      <c r="A2565" s="368">
        <v>32521</v>
      </c>
      <c r="B2565" s="233" t="str">
        <f>VLOOKUP(Table8[[#This Row],[Document ID]],Table1[],2,FALSE)</f>
        <v>TUN</v>
      </c>
      <c r="C2565" s="233" t="str">
        <f>VLOOKUP(Table8[[#This Row],[Document ID]],Table1[],3,FALSE)</f>
        <v>Tunisia</v>
      </c>
      <c r="D2565" s="241" t="str">
        <f>VLOOKUP(Table8[[#This Row],[Document ID]],Table1[],5,FALSE)</f>
        <v>LTS</v>
      </c>
      <c r="E2565" s="233" t="str">
        <f>VLOOKUP(Table8[[#This Row],[Document ID]],Table1[],7,FALSE)</f>
        <v>LTS</v>
      </c>
      <c r="F2565" s="241" t="str">
        <f>VLOOKUP(Table8[[#This Row],[Document ID]],Table1[],8,FALSE)</f>
        <v>LTS 1.0</v>
      </c>
      <c r="G2565" s="241" t="str">
        <f>VLOOKUP(Table8[[#This Row],[Document ID]],Table1[],10,FALSE)</f>
        <v>Active</v>
      </c>
      <c r="H2565" s="43" t="s">
        <v>2358</v>
      </c>
      <c r="I2565" s="43" t="s">
        <v>2359</v>
      </c>
      <c r="J2565" s="44" t="s">
        <v>2360</v>
      </c>
      <c r="K2565" s="44" t="s">
        <v>4661</v>
      </c>
      <c r="L2565" s="44" t="s">
        <v>2333</v>
      </c>
      <c r="M2565" s="43">
        <v>41</v>
      </c>
      <c r="N2565" s="113"/>
      <c r="O2565" s="113"/>
      <c r="P2565" s="113"/>
      <c r="Q2565" s="113"/>
      <c r="R2565" s="113"/>
      <c r="S2565" s="113" t="s">
        <v>1113</v>
      </c>
      <c r="T2565" s="113"/>
      <c r="U2565" s="113"/>
      <c r="V2565" s="113"/>
      <c r="W2565" s="113"/>
      <c r="X2565" s="113"/>
      <c r="Y2565" s="113"/>
      <c r="Z2565" s="113"/>
      <c r="AA2565" s="113"/>
      <c r="AB2565" s="113"/>
      <c r="AC2565" s="113"/>
      <c r="AD2565" s="113"/>
      <c r="AE2565" s="113"/>
      <c r="AF2565" s="113"/>
      <c r="AG2565" s="113"/>
      <c r="AH2565" s="113"/>
      <c r="AI2565" s="113"/>
      <c r="AJ2565" s="113"/>
      <c r="AK2565" s="113" t="s">
        <v>1113</v>
      </c>
      <c r="AL2565" s="113"/>
      <c r="AM2565" s="113"/>
      <c r="AN2565" s="113"/>
      <c r="AO2565" s="44" t="s">
        <v>2334</v>
      </c>
      <c r="AP2565" s="43"/>
      <c r="AQ2565" s="236" t="str">
        <f>VLOOKUP(Table8[[#This Row],[Instrument]],Def_Targets!$D$73:$E$159,2,FALSE)</f>
        <v>I_Emobility</v>
      </c>
      <c r="AR2565" s="233" t="str">
        <f>VLOOKUP(Table8[[#This Row],[Country Code]],Table29[],3,FALSE)</f>
        <v>Non-Annex I</v>
      </c>
      <c r="AS2565" s="233" t="str">
        <f>VLOOKUP(Table8[[#This Row],[Country Code]],Table29[],4,FALSE)</f>
        <v>Africa</v>
      </c>
      <c r="AT2565" s="233" t="str">
        <f>VLOOKUP(Table8[[#This Row],[Country Code]],Table29[],5,FALSE)</f>
        <v>Middle-income</v>
      </c>
      <c r="AU2565" s="233" t="str">
        <f>VLOOKUP(Table8[[#This Row],[Country Code]],Table29[],6,FALSE)</f>
        <v>no</v>
      </c>
      <c r="AV2565" s="233" t="str">
        <f>VLOOKUP(Table8[[#This Row],[Country Code]],Table29[],7,FALSE)</f>
        <v>no</v>
      </c>
      <c r="AW2565" s="233" t="str">
        <f>VLOOKUP(Table8[[#This Row],[Country Code]],Table29[],8,FALSE)</f>
        <v>non-OECD</v>
      </c>
      <c r="AX2565" s="233" t="str">
        <f>VLOOKUP(Table8[[#This Row],[Country Code]],Table29[],9,FALSE)</f>
        <v>no</v>
      </c>
      <c r="AY2565" s="233" t="str">
        <f>VLOOKUP(Table8[[#This Row],[Country Code]],Table29[],10,FALSE)</f>
        <v>MENA</v>
      </c>
      <c r="AZ2565" s="235">
        <f>VLOOKUP(Table8[[#This Row],[Country Code]],Table29[],23,FALSE)</f>
        <v>43.578530969543998</v>
      </c>
      <c r="BA2565" s="235">
        <f>VLOOKUP(Table8[[#This Row],[Country Code]],Table29[],24,FALSE)</f>
        <v>8.2824682143968626</v>
      </c>
      <c r="BB2565" s="320"/>
      <c r="BC2565" s="320"/>
    </row>
    <row r="2566" spans="1:55" ht="30" hidden="1" x14ac:dyDescent="0.25">
      <c r="A2566" s="368">
        <v>32521</v>
      </c>
      <c r="B2566" s="233" t="str">
        <f>VLOOKUP(Table8[[#This Row],[Document ID]],Table1[],2,FALSE)</f>
        <v>TUN</v>
      </c>
      <c r="C2566" s="233" t="str">
        <f>VLOOKUP(Table8[[#This Row],[Document ID]],Table1[],3,FALSE)</f>
        <v>Tunisia</v>
      </c>
      <c r="D2566" s="241" t="str">
        <f>VLOOKUP(Table8[[#This Row],[Document ID]],Table1[],5,FALSE)</f>
        <v>LTS</v>
      </c>
      <c r="E2566" s="233" t="str">
        <f>VLOOKUP(Table8[[#This Row],[Document ID]],Table1[],7,FALSE)</f>
        <v>LTS</v>
      </c>
      <c r="F2566" s="241" t="str">
        <f>VLOOKUP(Table8[[#This Row],[Document ID]],Table1[],8,FALSE)</f>
        <v>LTS 1.0</v>
      </c>
      <c r="G2566" s="241" t="str">
        <f>VLOOKUP(Table8[[#This Row],[Document ID]],Table1[],10,FALSE)</f>
        <v>Active</v>
      </c>
      <c r="H2566" s="43" t="s">
        <v>2350</v>
      </c>
      <c r="I2566" s="43" t="s">
        <v>2370</v>
      </c>
      <c r="J2566" s="44" t="s">
        <v>2418</v>
      </c>
      <c r="K2566" s="44" t="s">
        <v>4662</v>
      </c>
      <c r="L2566" s="44" t="s">
        <v>2471</v>
      </c>
      <c r="M2566" s="43">
        <v>41</v>
      </c>
      <c r="N2566" s="113" t="s">
        <v>1113</v>
      </c>
      <c r="O2566" s="113"/>
      <c r="P2566" s="113"/>
      <c r="Q2566" s="113"/>
      <c r="R2566" s="113"/>
      <c r="S2566" s="113"/>
      <c r="T2566" s="113"/>
      <c r="U2566" s="113"/>
      <c r="V2566" s="113"/>
      <c r="W2566" s="113"/>
      <c r="X2566" s="113"/>
      <c r="Y2566" s="113"/>
      <c r="Z2566" s="113"/>
      <c r="AA2566" s="113"/>
      <c r="AB2566" s="113"/>
      <c r="AC2566" s="113"/>
      <c r="AD2566" s="113"/>
      <c r="AE2566" s="113"/>
      <c r="AF2566" s="113"/>
      <c r="AG2566" s="113"/>
      <c r="AH2566" s="113"/>
      <c r="AI2566" s="113"/>
      <c r="AJ2566" s="113"/>
      <c r="AK2566" s="113" t="s">
        <v>1113</v>
      </c>
      <c r="AL2566" s="113"/>
      <c r="AM2566" s="113"/>
      <c r="AN2566" s="113"/>
      <c r="AO2566" s="44" t="s">
        <v>2334</v>
      </c>
      <c r="AP2566" s="43"/>
      <c r="AQ2566" s="236" t="str">
        <f>VLOOKUP(Table8[[#This Row],[Instrument]],Def_Targets!$D$73:$E$159,2,FALSE)</f>
        <v>A_Complan</v>
      </c>
      <c r="AR2566" s="233" t="str">
        <f>VLOOKUP(Table8[[#This Row],[Country Code]],Table29[],3,FALSE)</f>
        <v>Non-Annex I</v>
      </c>
      <c r="AS2566" s="233" t="str">
        <f>VLOOKUP(Table8[[#This Row],[Country Code]],Table29[],4,FALSE)</f>
        <v>Africa</v>
      </c>
      <c r="AT2566" s="233" t="str">
        <f>VLOOKUP(Table8[[#This Row],[Country Code]],Table29[],5,FALSE)</f>
        <v>Middle-income</v>
      </c>
      <c r="AU2566" s="233" t="str">
        <f>VLOOKUP(Table8[[#This Row],[Country Code]],Table29[],6,FALSE)</f>
        <v>no</v>
      </c>
      <c r="AV2566" s="233" t="str">
        <f>VLOOKUP(Table8[[#This Row],[Country Code]],Table29[],7,FALSE)</f>
        <v>no</v>
      </c>
      <c r="AW2566" s="233" t="str">
        <f>VLOOKUP(Table8[[#This Row],[Country Code]],Table29[],8,FALSE)</f>
        <v>non-OECD</v>
      </c>
      <c r="AX2566" s="233" t="str">
        <f>VLOOKUP(Table8[[#This Row],[Country Code]],Table29[],9,FALSE)</f>
        <v>no</v>
      </c>
      <c r="AY2566" s="233" t="str">
        <f>VLOOKUP(Table8[[#This Row],[Country Code]],Table29[],10,FALSE)</f>
        <v>MENA</v>
      </c>
      <c r="AZ2566" s="235">
        <f>VLOOKUP(Table8[[#This Row],[Country Code]],Table29[],23,FALSE)</f>
        <v>43.578530969543998</v>
      </c>
      <c r="BA2566" s="235">
        <f>VLOOKUP(Table8[[#This Row],[Country Code]],Table29[],24,FALSE)</f>
        <v>8.2824682143968626</v>
      </c>
      <c r="BB2566" s="320"/>
      <c r="BC2566" s="320"/>
    </row>
    <row r="2567" spans="1:55" ht="15" hidden="1" customHeight="1" x14ac:dyDescent="0.25">
      <c r="A2567" s="368">
        <v>32521</v>
      </c>
      <c r="B2567" s="233" t="str">
        <f>VLOOKUP(Table8[[#This Row],[Document ID]],Table1[],2,FALSE)</f>
        <v>TUN</v>
      </c>
      <c r="C2567" s="233" t="str">
        <f>VLOOKUP(Table8[[#This Row],[Document ID]],Table1[],3,FALSE)</f>
        <v>Tunisia</v>
      </c>
      <c r="D2567" s="241" t="str">
        <f>VLOOKUP(Table8[[#This Row],[Document ID]],Table1[],5,FALSE)</f>
        <v>LTS</v>
      </c>
      <c r="E2567" s="233" t="str">
        <f>VLOOKUP(Table8[[#This Row],[Document ID]],Table1[],7,FALSE)</f>
        <v>LTS</v>
      </c>
      <c r="F2567" s="241" t="str">
        <f>VLOOKUP(Table8[[#This Row],[Document ID]],Table1[],8,FALSE)</f>
        <v>LTS 1.0</v>
      </c>
      <c r="G2567" s="241" t="str">
        <f>VLOOKUP(Table8[[#This Row],[Document ID]],Table1[],10,FALSE)</f>
        <v>Active</v>
      </c>
      <c r="H2567" s="43" t="s">
        <v>2343</v>
      </c>
      <c r="I2567" s="43" t="s">
        <v>2344</v>
      </c>
      <c r="J2567" s="44" t="s">
        <v>2345</v>
      </c>
      <c r="K2567" s="44" t="s">
        <v>4663</v>
      </c>
      <c r="L2567" s="44" t="s">
        <v>2347</v>
      </c>
      <c r="M2567" s="43">
        <v>41</v>
      </c>
      <c r="N2567" s="113" t="s">
        <v>1113</v>
      </c>
      <c r="O2567" s="113"/>
      <c r="P2567" s="113"/>
      <c r="Q2567" s="113"/>
      <c r="R2567" s="113"/>
      <c r="S2567" s="113"/>
      <c r="T2567" s="113"/>
      <c r="U2567" s="113"/>
      <c r="V2567" s="113"/>
      <c r="W2567" s="113"/>
      <c r="X2567" s="113"/>
      <c r="Y2567" s="113"/>
      <c r="Z2567" s="113"/>
      <c r="AA2567" s="113"/>
      <c r="AB2567" s="113"/>
      <c r="AC2567" s="113"/>
      <c r="AD2567" s="113"/>
      <c r="AE2567" s="113"/>
      <c r="AF2567" s="113"/>
      <c r="AG2567" s="113"/>
      <c r="AH2567" s="113"/>
      <c r="AI2567" s="113"/>
      <c r="AJ2567" s="113"/>
      <c r="AK2567" s="113" t="s">
        <v>1291</v>
      </c>
      <c r="AL2567" s="113"/>
      <c r="AM2567" s="113"/>
      <c r="AN2567" s="113"/>
      <c r="AO2567" s="43" t="s">
        <v>2348</v>
      </c>
      <c r="AP2567" s="43"/>
      <c r="AQ2567" s="236" t="str">
        <f>VLOOKUP(Table8[[#This Row],[Instrument]],Def_Targets!$D$73:$E$159,2,FALSE)</f>
        <v>S_PublicTransport</v>
      </c>
      <c r="AR2567" s="233" t="str">
        <f>VLOOKUP(Table8[[#This Row],[Country Code]],Table29[],3,FALSE)</f>
        <v>Non-Annex I</v>
      </c>
      <c r="AS2567" s="233" t="str">
        <f>VLOOKUP(Table8[[#This Row],[Country Code]],Table29[],4,FALSE)</f>
        <v>Africa</v>
      </c>
      <c r="AT2567" s="233" t="str">
        <f>VLOOKUP(Table8[[#This Row],[Country Code]],Table29[],5,FALSE)</f>
        <v>Middle-income</v>
      </c>
      <c r="AU2567" s="233" t="str">
        <f>VLOOKUP(Table8[[#This Row],[Country Code]],Table29[],6,FALSE)</f>
        <v>no</v>
      </c>
      <c r="AV2567" s="233" t="str">
        <f>VLOOKUP(Table8[[#This Row],[Country Code]],Table29[],7,FALSE)</f>
        <v>no</v>
      </c>
      <c r="AW2567" s="233" t="str">
        <f>VLOOKUP(Table8[[#This Row],[Country Code]],Table29[],8,FALSE)</f>
        <v>non-OECD</v>
      </c>
      <c r="AX2567" s="233" t="str">
        <f>VLOOKUP(Table8[[#This Row],[Country Code]],Table29[],9,FALSE)</f>
        <v>no</v>
      </c>
      <c r="AY2567" s="233" t="str">
        <f>VLOOKUP(Table8[[#This Row],[Country Code]],Table29[],10,FALSE)</f>
        <v>MENA</v>
      </c>
      <c r="AZ2567" s="235">
        <f>VLOOKUP(Table8[[#This Row],[Country Code]],Table29[],23,FALSE)</f>
        <v>43.578530969543998</v>
      </c>
      <c r="BA2567" s="235">
        <f>VLOOKUP(Table8[[#This Row],[Country Code]],Table29[],24,FALSE)</f>
        <v>8.2824682143968626</v>
      </c>
      <c r="BB2567" s="320"/>
      <c r="BC2567" s="320"/>
    </row>
    <row r="2568" spans="1:55" ht="30" hidden="1" x14ac:dyDescent="0.25">
      <c r="A2568" s="373">
        <v>17771</v>
      </c>
      <c r="B2568" s="233" t="str">
        <f>VLOOKUP(Table8[[#This Row],[Document ID]],Table1[],2,FALSE)</f>
        <v>UKR</v>
      </c>
      <c r="C2568" s="233" t="str">
        <f>VLOOKUP(Table8[[#This Row],[Document ID]],Table1[],3,FALSE)</f>
        <v>Ukraine</v>
      </c>
      <c r="D2568" s="243" t="str">
        <f>VLOOKUP(Table8[[#This Row],[Document ID]],Table1[],5,FALSE)</f>
        <v>LTS</v>
      </c>
      <c r="E2568" s="233" t="str">
        <f>VLOOKUP(Table8[[#This Row],[Document ID]],Table1[],7,FALSE)</f>
        <v>LTS</v>
      </c>
      <c r="F2568" s="236" t="str">
        <f>VLOOKUP(Table8[[#This Row],[Document ID]],Table1[],8,FALSE)</f>
        <v>LTS 1.0</v>
      </c>
      <c r="G2568" s="236" t="str">
        <f>VLOOKUP(Table8[[#This Row],[Document ID]],Table1[],10,FALSE)</f>
        <v>Active</v>
      </c>
      <c r="H2568" s="44" t="s">
        <v>2329</v>
      </c>
      <c r="I2568" s="44" t="s">
        <v>2330</v>
      </c>
      <c r="J2568" s="44" t="s">
        <v>2357</v>
      </c>
      <c r="K2568" s="44" t="s">
        <v>4664</v>
      </c>
      <c r="L2568" s="44" t="s">
        <v>2333</v>
      </c>
      <c r="M2568" s="43">
        <v>47</v>
      </c>
      <c r="N2568" s="113"/>
      <c r="O2568" s="113"/>
      <c r="P2568" s="113"/>
      <c r="Q2568" s="319"/>
      <c r="R2568" s="319"/>
      <c r="S2568" s="319" t="s">
        <v>1113</v>
      </c>
      <c r="T2568" s="319"/>
      <c r="U2568" s="319"/>
      <c r="V2568" s="319"/>
      <c r="W2568" s="319"/>
      <c r="X2568" s="319"/>
      <c r="Y2568" s="319"/>
      <c r="Z2568" s="319"/>
      <c r="AA2568" s="319"/>
      <c r="AB2568" s="319"/>
      <c r="AC2568" s="319"/>
      <c r="AD2568" s="319"/>
      <c r="AE2568" s="319"/>
      <c r="AF2568" s="319"/>
      <c r="AG2568" s="319"/>
      <c r="AH2568" s="319"/>
      <c r="AI2568" s="319"/>
      <c r="AJ2568" s="319"/>
      <c r="AK2568" s="319" t="s">
        <v>1113</v>
      </c>
      <c r="AL2568" s="319"/>
      <c r="AM2568" s="319"/>
      <c r="AN2568" s="319"/>
      <c r="AO2568" s="44" t="s">
        <v>2334</v>
      </c>
      <c r="AP2568" s="44"/>
      <c r="AQ2568" s="236" t="str">
        <f>VLOOKUP(Table8[[#This Row],[Instrument]],Def_Targets!$D$73:$E$159,2,FALSE)</f>
        <v>I_Biofuel</v>
      </c>
      <c r="AR2568" s="233" t="str">
        <f>VLOOKUP(Table8[[#This Row],[Country Code]],Table29[],3,FALSE)</f>
        <v>Annex I</v>
      </c>
      <c r="AS2568" s="233" t="str">
        <f>VLOOKUP(Table8[[#This Row],[Country Code]],Table29[],4,FALSE)</f>
        <v>Europe</v>
      </c>
      <c r="AT2568" s="233" t="str">
        <f>VLOOKUP(Table8[[#This Row],[Country Code]],Table29[],5,FALSE)</f>
        <v>Middle-income</v>
      </c>
      <c r="AU2568" s="233" t="str">
        <f>VLOOKUP(Table8[[#This Row],[Country Code]],Table29[],6,FALSE)</f>
        <v>no</v>
      </c>
      <c r="AV2568" s="233" t="str">
        <f>VLOOKUP(Table8[[#This Row],[Country Code]],Table29[],7,FALSE)</f>
        <v>no</v>
      </c>
      <c r="AW2568" s="233" t="str">
        <f>VLOOKUP(Table8[[#This Row],[Country Code]],Table29[],8,FALSE)</f>
        <v>non-OECD</v>
      </c>
      <c r="AX2568" s="233" t="str">
        <f>VLOOKUP(Table8[[#This Row],[Country Code]],Table29[],9,FALSE)</f>
        <v>no</v>
      </c>
      <c r="AY2568" s="233" t="str">
        <f>VLOOKUP(Table8[[#This Row],[Country Code]],Table29[],10,FALSE)</f>
        <v>no</v>
      </c>
      <c r="AZ2568" s="235">
        <f>VLOOKUP(Table8[[#This Row],[Country Code]],Table29[],23,FALSE)</f>
        <v>216.09280539526</v>
      </c>
      <c r="BA2568" s="235">
        <f>VLOOKUP(Table8[[#This Row],[Country Code]],Table29[],24,FALSE)</f>
        <v>22.57062743711105</v>
      </c>
      <c r="BB2568" s="320"/>
      <c r="BC2568" s="320"/>
    </row>
    <row r="2569" spans="1:55" ht="15" hidden="1" customHeight="1" x14ac:dyDescent="0.25">
      <c r="A2569" s="373">
        <v>17771</v>
      </c>
      <c r="B2569" s="233" t="str">
        <f>VLOOKUP(Table8[[#This Row],[Document ID]],Table1[],2,FALSE)</f>
        <v>UKR</v>
      </c>
      <c r="C2569" s="233" t="str">
        <f>VLOOKUP(Table8[[#This Row],[Document ID]],Table1[],3,FALSE)</f>
        <v>Ukraine</v>
      </c>
      <c r="D2569" s="243" t="str">
        <f>VLOOKUP(Table8[[#This Row],[Document ID]],Table1[],5,FALSE)</f>
        <v>LTS</v>
      </c>
      <c r="E2569" s="233" t="str">
        <f>VLOOKUP(Table8[[#This Row],[Document ID]],Table1[],7,FALSE)</f>
        <v>LTS</v>
      </c>
      <c r="F2569" s="236" t="str">
        <f>VLOOKUP(Table8[[#This Row],[Document ID]],Table1[],8,FALSE)</f>
        <v>LTS 1.0</v>
      </c>
      <c r="G2569" s="236" t="str">
        <f>VLOOKUP(Table8[[#This Row],[Document ID]],Table1[],10,FALSE)</f>
        <v>Active</v>
      </c>
      <c r="H2569" s="43" t="s">
        <v>2358</v>
      </c>
      <c r="I2569" s="43" t="s">
        <v>2359</v>
      </c>
      <c r="J2569" s="44" t="s">
        <v>2360</v>
      </c>
      <c r="K2569" s="44" t="s">
        <v>4665</v>
      </c>
      <c r="L2569" s="44" t="s">
        <v>2333</v>
      </c>
      <c r="M2569" s="43">
        <v>47</v>
      </c>
      <c r="N2569" s="113"/>
      <c r="O2569" s="113"/>
      <c r="P2569" s="113"/>
      <c r="Q2569" s="319"/>
      <c r="R2569" s="319"/>
      <c r="S2569" s="319" t="s">
        <v>1113</v>
      </c>
      <c r="T2569" s="319"/>
      <c r="U2569" s="319"/>
      <c r="V2569" s="319"/>
      <c r="W2569" s="319"/>
      <c r="X2569" s="319"/>
      <c r="Y2569" s="113"/>
      <c r="Z2569" s="113"/>
      <c r="AA2569" s="319"/>
      <c r="AB2569" s="319"/>
      <c r="AC2569" s="319"/>
      <c r="AD2569" s="319"/>
      <c r="AE2569" s="319"/>
      <c r="AF2569" s="319"/>
      <c r="AG2569" s="319"/>
      <c r="AH2569" s="319"/>
      <c r="AI2569" s="319"/>
      <c r="AJ2569" s="319"/>
      <c r="AK2569" s="319" t="s">
        <v>1113</v>
      </c>
      <c r="AL2569" s="319"/>
      <c r="AM2569" s="319"/>
      <c r="AN2569" s="319"/>
      <c r="AO2569" s="44" t="s">
        <v>2334</v>
      </c>
      <c r="AP2569" s="44"/>
      <c r="AQ2569" s="236" t="str">
        <f>VLOOKUP(Table8[[#This Row],[Instrument]],Def_Targets!$D$73:$E$159,2,FALSE)</f>
        <v>I_Emobility</v>
      </c>
      <c r="AR2569" s="233" t="str">
        <f>VLOOKUP(Table8[[#This Row],[Country Code]],Table29[],3,FALSE)</f>
        <v>Annex I</v>
      </c>
      <c r="AS2569" s="233" t="str">
        <f>VLOOKUP(Table8[[#This Row],[Country Code]],Table29[],4,FALSE)</f>
        <v>Europe</v>
      </c>
      <c r="AT2569" s="233" t="str">
        <f>VLOOKUP(Table8[[#This Row],[Country Code]],Table29[],5,FALSE)</f>
        <v>Middle-income</v>
      </c>
      <c r="AU2569" s="233" t="str">
        <f>VLOOKUP(Table8[[#This Row],[Country Code]],Table29[],6,FALSE)</f>
        <v>no</v>
      </c>
      <c r="AV2569" s="233" t="str">
        <f>VLOOKUP(Table8[[#This Row],[Country Code]],Table29[],7,FALSE)</f>
        <v>no</v>
      </c>
      <c r="AW2569" s="233" t="str">
        <f>VLOOKUP(Table8[[#This Row],[Country Code]],Table29[],8,FALSE)</f>
        <v>non-OECD</v>
      </c>
      <c r="AX2569" s="233" t="str">
        <f>VLOOKUP(Table8[[#This Row],[Country Code]],Table29[],9,FALSE)</f>
        <v>no</v>
      </c>
      <c r="AY2569" s="233" t="str">
        <f>VLOOKUP(Table8[[#This Row],[Country Code]],Table29[],10,FALSE)</f>
        <v>no</v>
      </c>
      <c r="AZ2569" s="235">
        <f>VLOOKUP(Table8[[#This Row],[Country Code]],Table29[],23,FALSE)</f>
        <v>216.09280539526</v>
      </c>
      <c r="BA2569" s="235">
        <f>VLOOKUP(Table8[[#This Row],[Country Code]],Table29[],24,FALSE)</f>
        <v>22.57062743711105</v>
      </c>
      <c r="BB2569" s="320"/>
      <c r="BC2569" s="320"/>
    </row>
    <row r="2570" spans="1:55" ht="15" hidden="1" customHeight="1" x14ac:dyDescent="0.25">
      <c r="A2570" s="373">
        <v>17771</v>
      </c>
      <c r="B2570" s="233" t="str">
        <f>VLOOKUP(Table8[[#This Row],[Document ID]],Table1[],2,FALSE)</f>
        <v>UKR</v>
      </c>
      <c r="C2570" s="233" t="str">
        <f>VLOOKUP(Table8[[#This Row],[Document ID]],Table1[],3,FALSE)</f>
        <v>Ukraine</v>
      </c>
      <c r="D2570" s="243" t="str">
        <f>VLOOKUP(Table8[[#This Row],[Document ID]],Table1[],5,FALSE)</f>
        <v>LTS</v>
      </c>
      <c r="E2570" s="233" t="str">
        <f>VLOOKUP(Table8[[#This Row],[Document ID]],Table1[],7,FALSE)</f>
        <v>LTS</v>
      </c>
      <c r="F2570" s="236" t="str">
        <f>VLOOKUP(Table8[[#This Row],[Document ID]],Table1[],8,FALSE)</f>
        <v>LTS 1.0</v>
      </c>
      <c r="G2570" s="236" t="str">
        <f>VLOOKUP(Table8[[#This Row],[Document ID]],Table1[],10,FALSE)</f>
        <v>Active</v>
      </c>
      <c r="H2570" s="44" t="s">
        <v>2329</v>
      </c>
      <c r="I2570" s="44" t="s">
        <v>2330</v>
      </c>
      <c r="J2570" s="44" t="s">
        <v>2391</v>
      </c>
      <c r="K2570" s="44" t="s">
        <v>4666</v>
      </c>
      <c r="L2570" s="44" t="s">
        <v>2333</v>
      </c>
      <c r="M2570" s="43">
        <v>47</v>
      </c>
      <c r="N2570" s="113"/>
      <c r="O2570" s="113"/>
      <c r="P2570" s="113"/>
      <c r="Q2570" s="319"/>
      <c r="R2570" s="319"/>
      <c r="S2570" s="319" t="s">
        <v>1113</v>
      </c>
      <c r="T2570" s="319"/>
      <c r="U2570" s="319"/>
      <c r="V2570" s="319"/>
      <c r="W2570" s="319"/>
      <c r="X2570" s="319"/>
      <c r="Y2570" s="319"/>
      <c r="Z2570" s="319"/>
      <c r="AA2570" s="319"/>
      <c r="AB2570" s="319"/>
      <c r="AC2570" s="319"/>
      <c r="AD2570" s="319"/>
      <c r="AE2570" s="319"/>
      <c r="AF2570" s="319"/>
      <c r="AG2570" s="319"/>
      <c r="AH2570" s="319"/>
      <c r="AI2570" s="319"/>
      <c r="AJ2570" s="319"/>
      <c r="AK2570" s="319" t="s">
        <v>1113</v>
      </c>
      <c r="AL2570" s="319"/>
      <c r="AM2570" s="319"/>
      <c r="AN2570" s="319"/>
      <c r="AO2570" s="44" t="s">
        <v>2334</v>
      </c>
      <c r="AP2570" s="44"/>
      <c r="AQ2570" s="236" t="str">
        <f>VLOOKUP(Table8[[#This Row],[Instrument]],Def_Targets!$D$73:$E$159,2,FALSE)</f>
        <v>I_Hydrogen</v>
      </c>
      <c r="AR2570" s="233" t="str">
        <f>VLOOKUP(Table8[[#This Row],[Country Code]],Table29[],3,FALSE)</f>
        <v>Annex I</v>
      </c>
      <c r="AS2570" s="233" t="str">
        <f>VLOOKUP(Table8[[#This Row],[Country Code]],Table29[],4,FALSE)</f>
        <v>Europe</v>
      </c>
      <c r="AT2570" s="233" t="str">
        <f>VLOOKUP(Table8[[#This Row],[Country Code]],Table29[],5,FALSE)</f>
        <v>Middle-income</v>
      </c>
      <c r="AU2570" s="233" t="str">
        <f>VLOOKUP(Table8[[#This Row],[Country Code]],Table29[],6,FALSE)</f>
        <v>no</v>
      </c>
      <c r="AV2570" s="233" t="str">
        <f>VLOOKUP(Table8[[#This Row],[Country Code]],Table29[],7,FALSE)</f>
        <v>no</v>
      </c>
      <c r="AW2570" s="233" t="str">
        <f>VLOOKUP(Table8[[#This Row],[Country Code]],Table29[],8,FALSE)</f>
        <v>non-OECD</v>
      </c>
      <c r="AX2570" s="233" t="str">
        <f>VLOOKUP(Table8[[#This Row],[Country Code]],Table29[],9,FALSE)</f>
        <v>no</v>
      </c>
      <c r="AY2570" s="233" t="str">
        <f>VLOOKUP(Table8[[#This Row],[Country Code]],Table29[],10,FALSE)</f>
        <v>no</v>
      </c>
      <c r="AZ2570" s="235">
        <f>VLOOKUP(Table8[[#This Row],[Country Code]],Table29[],23,FALSE)</f>
        <v>216.09280539526</v>
      </c>
      <c r="BA2570" s="235">
        <f>VLOOKUP(Table8[[#This Row],[Country Code]],Table29[],24,FALSE)</f>
        <v>22.57062743711105</v>
      </c>
      <c r="BB2570" s="320"/>
      <c r="BC2570" s="320"/>
    </row>
    <row r="2571" spans="1:55" ht="15" hidden="1" customHeight="1" x14ac:dyDescent="0.25">
      <c r="A2571" s="373">
        <v>17771</v>
      </c>
      <c r="B2571" s="233" t="str">
        <f>VLOOKUP(Table8[[#This Row],[Document ID]],Table1[],2,FALSE)</f>
        <v>UKR</v>
      </c>
      <c r="C2571" s="233" t="str">
        <f>VLOOKUP(Table8[[#This Row],[Document ID]],Table1[],3,FALSE)</f>
        <v>Ukraine</v>
      </c>
      <c r="D2571" s="243" t="str">
        <f>VLOOKUP(Table8[[#This Row],[Document ID]],Table1[],5,FALSE)</f>
        <v>LTS</v>
      </c>
      <c r="E2571" s="233" t="str">
        <f>VLOOKUP(Table8[[#This Row],[Document ID]],Table1[],7,FALSE)</f>
        <v>LTS</v>
      </c>
      <c r="F2571" s="236" t="str">
        <f>VLOOKUP(Table8[[#This Row],[Document ID]],Table1[],8,FALSE)</f>
        <v>LTS 1.0</v>
      </c>
      <c r="G2571" s="236" t="str">
        <f>VLOOKUP(Table8[[#This Row],[Document ID]],Table1[],10,FALSE)</f>
        <v>Active</v>
      </c>
      <c r="H2571" s="43" t="s">
        <v>2358</v>
      </c>
      <c r="I2571" s="43" t="s">
        <v>2359</v>
      </c>
      <c r="J2571" s="44" t="s">
        <v>2360</v>
      </c>
      <c r="K2571" s="44" t="s">
        <v>4667</v>
      </c>
      <c r="L2571" s="44" t="s">
        <v>2333</v>
      </c>
      <c r="M2571" s="43">
        <v>47</v>
      </c>
      <c r="N2571" s="113"/>
      <c r="O2571" s="113"/>
      <c r="P2571" s="113"/>
      <c r="Q2571" s="319"/>
      <c r="R2571" s="319"/>
      <c r="S2571" s="319"/>
      <c r="T2571" s="319"/>
      <c r="U2571" s="319"/>
      <c r="V2571" s="319"/>
      <c r="W2571" s="319"/>
      <c r="X2571" s="319"/>
      <c r="Y2571" s="319" t="s">
        <v>1113</v>
      </c>
      <c r="Z2571" s="319"/>
      <c r="AA2571" s="319"/>
      <c r="AB2571" s="319"/>
      <c r="AC2571" s="319" t="s">
        <v>1113</v>
      </c>
      <c r="AD2571" s="319"/>
      <c r="AE2571" s="319"/>
      <c r="AF2571" s="319"/>
      <c r="AG2571" s="319"/>
      <c r="AH2571" s="319"/>
      <c r="AI2571" s="319"/>
      <c r="AJ2571" s="319"/>
      <c r="AK2571" s="319" t="s">
        <v>1113</v>
      </c>
      <c r="AL2571" s="319"/>
      <c r="AM2571" s="319"/>
      <c r="AN2571" s="319"/>
      <c r="AO2571" s="43" t="s">
        <v>2348</v>
      </c>
      <c r="AP2571" s="44"/>
      <c r="AQ2571" s="236" t="str">
        <f>VLOOKUP(Table8[[#This Row],[Instrument]],Def_Targets!$D$73:$E$159,2,FALSE)</f>
        <v>I_Emobility</v>
      </c>
      <c r="AR2571" s="233" t="str">
        <f>VLOOKUP(Table8[[#This Row],[Country Code]],Table29[],3,FALSE)</f>
        <v>Annex I</v>
      </c>
      <c r="AS2571" s="233" t="str">
        <f>VLOOKUP(Table8[[#This Row],[Country Code]],Table29[],4,FALSE)</f>
        <v>Europe</v>
      </c>
      <c r="AT2571" s="233" t="str">
        <f>VLOOKUP(Table8[[#This Row],[Country Code]],Table29[],5,FALSE)</f>
        <v>Middle-income</v>
      </c>
      <c r="AU2571" s="233" t="str">
        <f>VLOOKUP(Table8[[#This Row],[Country Code]],Table29[],6,FALSE)</f>
        <v>no</v>
      </c>
      <c r="AV2571" s="233" t="str">
        <f>VLOOKUP(Table8[[#This Row],[Country Code]],Table29[],7,FALSE)</f>
        <v>no</v>
      </c>
      <c r="AW2571" s="233" t="str">
        <f>VLOOKUP(Table8[[#This Row],[Country Code]],Table29[],8,FALSE)</f>
        <v>non-OECD</v>
      </c>
      <c r="AX2571" s="233" t="str">
        <f>VLOOKUP(Table8[[#This Row],[Country Code]],Table29[],9,FALSE)</f>
        <v>no</v>
      </c>
      <c r="AY2571" s="233" t="str">
        <f>VLOOKUP(Table8[[#This Row],[Country Code]],Table29[],10,FALSE)</f>
        <v>no</v>
      </c>
      <c r="AZ2571" s="235">
        <f>VLOOKUP(Table8[[#This Row],[Country Code]],Table29[],23,FALSE)</f>
        <v>216.09280539526</v>
      </c>
      <c r="BA2571" s="235">
        <f>VLOOKUP(Table8[[#This Row],[Country Code]],Table29[],24,FALSE)</f>
        <v>22.57062743711105</v>
      </c>
      <c r="BB2571" s="320"/>
      <c r="BC2571" s="320"/>
    </row>
    <row r="2572" spans="1:55" ht="30" hidden="1" x14ac:dyDescent="0.25">
      <c r="A2572" s="373">
        <v>17771</v>
      </c>
      <c r="B2572" s="233" t="str">
        <f>VLOOKUP(Table8[[#This Row],[Document ID]],Table1[],2,FALSE)</f>
        <v>UKR</v>
      </c>
      <c r="C2572" s="233" t="str">
        <f>VLOOKUP(Table8[[#This Row],[Document ID]],Table1[],3,FALSE)</f>
        <v>Ukraine</v>
      </c>
      <c r="D2572" s="243" t="str">
        <f>VLOOKUP(Table8[[#This Row],[Document ID]],Table1[],5,FALSE)</f>
        <v>LTS</v>
      </c>
      <c r="E2572" s="233" t="str">
        <f>VLOOKUP(Table8[[#This Row],[Document ID]],Table1[],7,FALSE)</f>
        <v>LTS</v>
      </c>
      <c r="F2572" s="236" t="str">
        <f>VLOOKUP(Table8[[#This Row],[Document ID]],Table1[],8,FALSE)</f>
        <v>LTS 1.0</v>
      </c>
      <c r="G2572" s="236" t="str">
        <f>VLOOKUP(Table8[[#This Row],[Document ID]],Table1[],10,FALSE)</f>
        <v>Active</v>
      </c>
      <c r="H2572" s="44" t="s">
        <v>2338</v>
      </c>
      <c r="I2572" s="44" t="s">
        <v>2339</v>
      </c>
      <c r="J2572" s="44" t="s">
        <v>2410</v>
      </c>
      <c r="K2572" s="44" t="s">
        <v>4668</v>
      </c>
      <c r="L2572" s="44" t="s">
        <v>2333</v>
      </c>
      <c r="M2572" s="43">
        <v>47</v>
      </c>
      <c r="N2572" s="113"/>
      <c r="O2572" s="113"/>
      <c r="P2572" s="113"/>
      <c r="Q2572" s="319"/>
      <c r="R2572" s="319"/>
      <c r="S2572" s="319" t="s">
        <v>1113</v>
      </c>
      <c r="T2572" s="319"/>
      <c r="U2572" s="319"/>
      <c r="V2572" s="319"/>
      <c r="W2572" s="319"/>
      <c r="X2572" s="319"/>
      <c r="Y2572" s="113"/>
      <c r="Z2572" s="113"/>
      <c r="AA2572" s="319"/>
      <c r="AB2572" s="319"/>
      <c r="AC2572" s="319"/>
      <c r="AD2572" s="319"/>
      <c r="AE2572" s="319"/>
      <c r="AF2572" s="319"/>
      <c r="AG2572" s="319"/>
      <c r="AH2572" s="319"/>
      <c r="AI2572" s="319"/>
      <c r="AJ2572" s="319"/>
      <c r="AK2572" s="319" t="s">
        <v>1113</v>
      </c>
      <c r="AL2572" s="319"/>
      <c r="AM2572" s="319"/>
      <c r="AN2572" s="319"/>
      <c r="AO2572" s="44" t="s">
        <v>2334</v>
      </c>
      <c r="AP2572" s="44"/>
      <c r="AQ2572" s="236" t="str">
        <f>VLOOKUP(Table8[[#This Row],[Instrument]],Def_Targets!$D$73:$E$159,2,FALSE)</f>
        <v>I_VehicleRestrictions</v>
      </c>
      <c r="AR2572" s="233" t="str">
        <f>VLOOKUP(Table8[[#This Row],[Country Code]],Table29[],3,FALSE)</f>
        <v>Annex I</v>
      </c>
      <c r="AS2572" s="233" t="str">
        <f>VLOOKUP(Table8[[#This Row],[Country Code]],Table29[],4,FALSE)</f>
        <v>Europe</v>
      </c>
      <c r="AT2572" s="233" t="str">
        <f>VLOOKUP(Table8[[#This Row],[Country Code]],Table29[],5,FALSE)</f>
        <v>Middle-income</v>
      </c>
      <c r="AU2572" s="233" t="str">
        <f>VLOOKUP(Table8[[#This Row],[Country Code]],Table29[],6,FALSE)</f>
        <v>no</v>
      </c>
      <c r="AV2572" s="233" t="str">
        <f>VLOOKUP(Table8[[#This Row],[Country Code]],Table29[],7,FALSE)</f>
        <v>no</v>
      </c>
      <c r="AW2572" s="233" t="str">
        <f>VLOOKUP(Table8[[#This Row],[Country Code]],Table29[],8,FALSE)</f>
        <v>non-OECD</v>
      </c>
      <c r="AX2572" s="233" t="str">
        <f>VLOOKUP(Table8[[#This Row],[Country Code]],Table29[],9,FALSE)</f>
        <v>no</v>
      </c>
      <c r="AY2572" s="233" t="str">
        <f>VLOOKUP(Table8[[#This Row],[Country Code]],Table29[],10,FALSE)</f>
        <v>no</v>
      </c>
      <c r="AZ2572" s="235">
        <f>VLOOKUP(Table8[[#This Row],[Country Code]],Table29[],23,FALSE)</f>
        <v>216.09280539526</v>
      </c>
      <c r="BA2572" s="235">
        <f>VLOOKUP(Table8[[#This Row],[Country Code]],Table29[],24,FALSE)</f>
        <v>22.57062743711105</v>
      </c>
      <c r="BB2572" s="320"/>
      <c r="BC2572" s="320"/>
    </row>
    <row r="2573" spans="1:55" ht="15" hidden="1" customHeight="1" x14ac:dyDescent="0.25">
      <c r="A2573" s="373">
        <v>17771</v>
      </c>
      <c r="B2573" s="233" t="str">
        <f>VLOOKUP(Table8[[#This Row],[Document ID]],Table1[],2,FALSE)</f>
        <v>UKR</v>
      </c>
      <c r="C2573" s="233" t="str">
        <f>VLOOKUP(Table8[[#This Row],[Document ID]],Table1[],3,FALSE)</f>
        <v>Ukraine</v>
      </c>
      <c r="D2573" s="243" t="str">
        <f>VLOOKUP(Table8[[#This Row],[Document ID]],Table1[],5,FALSE)</f>
        <v>LTS</v>
      </c>
      <c r="E2573" s="233" t="str">
        <f>VLOOKUP(Table8[[#This Row],[Document ID]],Table1[],7,FALSE)</f>
        <v>LTS</v>
      </c>
      <c r="F2573" s="236" t="str">
        <f>VLOOKUP(Table8[[#This Row],[Document ID]],Table1[],8,FALSE)</f>
        <v>LTS 1.0</v>
      </c>
      <c r="G2573" s="236" t="str">
        <f>VLOOKUP(Table8[[#This Row],[Document ID]],Table1[],10,FALSE)</f>
        <v>Active</v>
      </c>
      <c r="H2573" s="43" t="s">
        <v>2350</v>
      </c>
      <c r="I2573" s="43" t="s">
        <v>2456</v>
      </c>
      <c r="J2573" s="44" t="s">
        <v>2466</v>
      </c>
      <c r="K2573" s="44" t="s">
        <v>4669</v>
      </c>
      <c r="L2573" s="44" t="s">
        <v>2471</v>
      </c>
      <c r="M2573" s="43">
        <v>47</v>
      </c>
      <c r="N2573" s="113"/>
      <c r="O2573" s="113"/>
      <c r="P2573" s="113"/>
      <c r="Q2573" s="319"/>
      <c r="R2573" s="319"/>
      <c r="S2573" s="319"/>
      <c r="T2573" s="319"/>
      <c r="U2573" s="319"/>
      <c r="V2573" s="319"/>
      <c r="W2573" s="319"/>
      <c r="X2573" s="319"/>
      <c r="Y2573" s="319"/>
      <c r="Z2573" s="319"/>
      <c r="AA2573" s="319"/>
      <c r="AB2573" s="319" t="s">
        <v>1113</v>
      </c>
      <c r="AC2573" s="319"/>
      <c r="AD2573" s="319"/>
      <c r="AE2573" s="319"/>
      <c r="AF2573" s="319"/>
      <c r="AG2573" s="319"/>
      <c r="AH2573" s="319"/>
      <c r="AI2573" s="319"/>
      <c r="AJ2573" s="319"/>
      <c r="AK2573" s="319" t="s">
        <v>1113</v>
      </c>
      <c r="AL2573" s="319"/>
      <c r="AM2573" s="319"/>
      <c r="AN2573" s="319"/>
      <c r="AO2573" s="44" t="s">
        <v>2334</v>
      </c>
      <c r="AP2573" s="44"/>
      <c r="AQ2573" s="236" t="str">
        <f>VLOOKUP(Table8[[#This Row],[Instrument]],Def_Targets!$D$73:$E$159,2,FALSE)</f>
        <v>S_Infraexpansion</v>
      </c>
      <c r="AR2573" s="233" t="str">
        <f>VLOOKUP(Table8[[#This Row],[Country Code]],Table29[],3,FALSE)</f>
        <v>Annex I</v>
      </c>
      <c r="AS2573" s="233" t="str">
        <f>VLOOKUP(Table8[[#This Row],[Country Code]],Table29[],4,FALSE)</f>
        <v>Europe</v>
      </c>
      <c r="AT2573" s="233" t="str">
        <f>VLOOKUP(Table8[[#This Row],[Country Code]],Table29[],5,FALSE)</f>
        <v>Middle-income</v>
      </c>
      <c r="AU2573" s="233" t="str">
        <f>VLOOKUP(Table8[[#This Row],[Country Code]],Table29[],6,FALSE)</f>
        <v>no</v>
      </c>
      <c r="AV2573" s="233" t="str">
        <f>VLOOKUP(Table8[[#This Row],[Country Code]],Table29[],7,FALSE)</f>
        <v>no</v>
      </c>
      <c r="AW2573" s="233" t="str">
        <f>VLOOKUP(Table8[[#This Row],[Country Code]],Table29[],8,FALSE)</f>
        <v>non-OECD</v>
      </c>
      <c r="AX2573" s="233" t="str">
        <f>VLOOKUP(Table8[[#This Row],[Country Code]],Table29[],9,FALSE)</f>
        <v>no</v>
      </c>
      <c r="AY2573" s="233" t="str">
        <f>VLOOKUP(Table8[[#This Row],[Country Code]],Table29[],10,FALSE)</f>
        <v>no</v>
      </c>
      <c r="AZ2573" s="235">
        <f>VLOOKUP(Table8[[#This Row],[Country Code]],Table29[],23,FALSE)</f>
        <v>216.09280539526</v>
      </c>
      <c r="BA2573" s="235">
        <f>VLOOKUP(Table8[[#This Row],[Country Code]],Table29[],24,FALSE)</f>
        <v>22.57062743711105</v>
      </c>
      <c r="BB2573" s="320"/>
      <c r="BC2573" s="320"/>
    </row>
    <row r="2574" spans="1:55" ht="45" hidden="1" x14ac:dyDescent="0.25">
      <c r="A2574" s="373">
        <v>17771</v>
      </c>
      <c r="B2574" s="233" t="str">
        <f>VLOOKUP(Table8[[#This Row],[Document ID]],Table1[],2,FALSE)</f>
        <v>UKR</v>
      </c>
      <c r="C2574" s="233" t="str">
        <f>VLOOKUP(Table8[[#This Row],[Document ID]],Table1[],3,FALSE)</f>
        <v>Ukraine</v>
      </c>
      <c r="D2574" s="243" t="str">
        <f>VLOOKUP(Table8[[#This Row],[Document ID]],Table1[],5,FALSE)</f>
        <v>LTS</v>
      </c>
      <c r="E2574" s="233" t="str">
        <f>VLOOKUP(Table8[[#This Row],[Document ID]],Table1[],7,FALSE)</f>
        <v>LTS</v>
      </c>
      <c r="F2574" s="236" t="str">
        <f>VLOOKUP(Table8[[#This Row],[Document ID]],Table1[],8,FALSE)</f>
        <v>LTS 1.0</v>
      </c>
      <c r="G2574" s="236" t="str">
        <f>VLOOKUP(Table8[[#This Row],[Document ID]],Table1[],10,FALSE)</f>
        <v>Active</v>
      </c>
      <c r="H2574" s="43" t="s">
        <v>2343</v>
      </c>
      <c r="I2574" s="43" t="s">
        <v>2344</v>
      </c>
      <c r="J2574" s="44" t="s">
        <v>2345</v>
      </c>
      <c r="K2574" s="44" t="s">
        <v>4670</v>
      </c>
      <c r="L2574" s="44" t="s">
        <v>2471</v>
      </c>
      <c r="M2574" s="43">
        <v>47</v>
      </c>
      <c r="N2574" s="113"/>
      <c r="O2574" s="113"/>
      <c r="P2574" s="113"/>
      <c r="Q2574" s="319"/>
      <c r="R2574" s="319"/>
      <c r="S2574" s="319"/>
      <c r="T2574" s="319"/>
      <c r="U2574" s="319"/>
      <c r="V2574" s="319"/>
      <c r="W2574" s="319"/>
      <c r="X2574" s="319"/>
      <c r="Y2574" s="113" t="s">
        <v>1113</v>
      </c>
      <c r="Z2574" s="113"/>
      <c r="AA2574" s="319"/>
      <c r="AB2574" s="319"/>
      <c r="AC2574" s="319" t="s">
        <v>1113</v>
      </c>
      <c r="AD2574" s="319"/>
      <c r="AE2574" s="319"/>
      <c r="AF2574" s="319"/>
      <c r="AG2574" s="319"/>
      <c r="AH2574" s="319"/>
      <c r="AI2574" s="319"/>
      <c r="AJ2574" s="319"/>
      <c r="AK2574" s="319" t="s">
        <v>1113</v>
      </c>
      <c r="AL2574" s="319"/>
      <c r="AM2574" s="319"/>
      <c r="AN2574" s="319"/>
      <c r="AO2574" s="43" t="s">
        <v>2348</v>
      </c>
      <c r="AP2574" s="44"/>
      <c r="AQ2574" s="236" t="str">
        <f>VLOOKUP(Table8[[#This Row],[Instrument]],Def_Targets!$D$73:$E$159,2,FALSE)</f>
        <v>S_PublicTransport</v>
      </c>
      <c r="AR2574" s="233" t="str">
        <f>VLOOKUP(Table8[[#This Row],[Country Code]],Table29[],3,FALSE)</f>
        <v>Annex I</v>
      </c>
      <c r="AS2574" s="233" t="str">
        <f>VLOOKUP(Table8[[#This Row],[Country Code]],Table29[],4,FALSE)</f>
        <v>Europe</v>
      </c>
      <c r="AT2574" s="233" t="str">
        <f>VLOOKUP(Table8[[#This Row],[Country Code]],Table29[],5,FALSE)</f>
        <v>Middle-income</v>
      </c>
      <c r="AU2574" s="233" t="str">
        <f>VLOOKUP(Table8[[#This Row],[Country Code]],Table29[],6,FALSE)</f>
        <v>no</v>
      </c>
      <c r="AV2574" s="233" t="str">
        <f>VLOOKUP(Table8[[#This Row],[Country Code]],Table29[],7,FALSE)</f>
        <v>no</v>
      </c>
      <c r="AW2574" s="233" t="str">
        <f>VLOOKUP(Table8[[#This Row],[Country Code]],Table29[],8,FALSE)</f>
        <v>non-OECD</v>
      </c>
      <c r="AX2574" s="233" t="str">
        <f>VLOOKUP(Table8[[#This Row],[Country Code]],Table29[],9,FALSE)</f>
        <v>no</v>
      </c>
      <c r="AY2574" s="233" t="str">
        <f>VLOOKUP(Table8[[#This Row],[Country Code]],Table29[],10,FALSE)</f>
        <v>no</v>
      </c>
      <c r="AZ2574" s="235">
        <f>VLOOKUP(Table8[[#This Row],[Country Code]],Table29[],23,FALSE)</f>
        <v>216.09280539526</v>
      </c>
      <c r="BA2574" s="235">
        <f>VLOOKUP(Table8[[#This Row],[Country Code]],Table29[],24,FALSE)</f>
        <v>22.57062743711105</v>
      </c>
      <c r="BB2574" s="320"/>
      <c r="BC2574" s="320"/>
    </row>
    <row r="2575" spans="1:55" ht="15" hidden="1" customHeight="1" x14ac:dyDescent="0.25">
      <c r="A2575" s="373">
        <v>17771</v>
      </c>
      <c r="B2575" s="233" t="str">
        <f>VLOOKUP(Table8[[#This Row],[Document ID]],Table1[],2,FALSE)</f>
        <v>UKR</v>
      </c>
      <c r="C2575" s="233" t="str">
        <f>VLOOKUP(Table8[[#This Row],[Document ID]],Table1[],3,FALSE)</f>
        <v>Ukraine</v>
      </c>
      <c r="D2575" s="243" t="str">
        <f>VLOOKUP(Table8[[#This Row],[Document ID]],Table1[],5,FALSE)</f>
        <v>LTS</v>
      </c>
      <c r="E2575" s="233" t="str">
        <f>VLOOKUP(Table8[[#This Row],[Document ID]],Table1[],7,FALSE)</f>
        <v>LTS</v>
      </c>
      <c r="F2575" s="236" t="str">
        <f>VLOOKUP(Table8[[#This Row],[Document ID]],Table1[],8,FALSE)</f>
        <v>LTS 1.0</v>
      </c>
      <c r="G2575" s="236" t="str">
        <f>VLOOKUP(Table8[[#This Row],[Document ID]],Table1[],10,FALSE)</f>
        <v>Active</v>
      </c>
      <c r="H2575" s="43" t="s">
        <v>2350</v>
      </c>
      <c r="I2575" s="43" t="s">
        <v>2456</v>
      </c>
      <c r="J2575" s="44" t="s">
        <v>2643</v>
      </c>
      <c r="K2575" s="44" t="s">
        <v>4671</v>
      </c>
      <c r="L2575" s="44" t="s">
        <v>2347</v>
      </c>
      <c r="M2575" s="43">
        <v>47</v>
      </c>
      <c r="N2575" s="113"/>
      <c r="O2575" s="113"/>
      <c r="P2575" s="113"/>
      <c r="Q2575" s="319"/>
      <c r="R2575" s="319"/>
      <c r="S2575" s="319"/>
      <c r="T2575" s="319"/>
      <c r="U2575" s="319"/>
      <c r="V2575" s="319"/>
      <c r="W2575" s="319"/>
      <c r="X2575" s="319"/>
      <c r="Y2575" s="319"/>
      <c r="Z2575" s="319" t="s">
        <v>1113</v>
      </c>
      <c r="AA2575" s="319"/>
      <c r="AB2575" s="319"/>
      <c r="AC2575" s="319"/>
      <c r="AD2575" s="319"/>
      <c r="AE2575" s="319"/>
      <c r="AF2575" s="319"/>
      <c r="AG2575" s="319"/>
      <c r="AH2575" s="319"/>
      <c r="AI2575" s="319"/>
      <c r="AJ2575" s="319"/>
      <c r="AK2575" s="319" t="s">
        <v>1113</v>
      </c>
      <c r="AL2575" s="319"/>
      <c r="AM2575" s="319"/>
      <c r="AN2575" s="319"/>
      <c r="AO2575" s="43" t="s">
        <v>2353</v>
      </c>
      <c r="AP2575" s="44"/>
      <c r="AQ2575" s="236" t="str">
        <f>VLOOKUP(Table8[[#This Row],[Instrument]],Def_Targets!$D$73:$E$159,2,FALSE)</f>
        <v>S_Intermodality</v>
      </c>
      <c r="AR2575" s="233" t="str">
        <f>VLOOKUP(Table8[[#This Row],[Country Code]],Table29[],3,FALSE)</f>
        <v>Annex I</v>
      </c>
      <c r="AS2575" s="233" t="str">
        <f>VLOOKUP(Table8[[#This Row],[Country Code]],Table29[],4,FALSE)</f>
        <v>Europe</v>
      </c>
      <c r="AT2575" s="233" t="str">
        <f>VLOOKUP(Table8[[#This Row],[Country Code]],Table29[],5,FALSE)</f>
        <v>Middle-income</v>
      </c>
      <c r="AU2575" s="233" t="str">
        <f>VLOOKUP(Table8[[#This Row],[Country Code]],Table29[],6,FALSE)</f>
        <v>no</v>
      </c>
      <c r="AV2575" s="233" t="str">
        <f>VLOOKUP(Table8[[#This Row],[Country Code]],Table29[],7,FALSE)</f>
        <v>no</v>
      </c>
      <c r="AW2575" s="233" t="str">
        <f>VLOOKUP(Table8[[#This Row],[Country Code]],Table29[],8,FALSE)</f>
        <v>non-OECD</v>
      </c>
      <c r="AX2575" s="233" t="str">
        <f>VLOOKUP(Table8[[#This Row],[Country Code]],Table29[],9,FALSE)</f>
        <v>no</v>
      </c>
      <c r="AY2575" s="233" t="str">
        <f>VLOOKUP(Table8[[#This Row],[Country Code]],Table29[],10,FALSE)</f>
        <v>no</v>
      </c>
      <c r="AZ2575" s="235">
        <f>VLOOKUP(Table8[[#This Row],[Country Code]],Table29[],23,FALSE)</f>
        <v>216.09280539526</v>
      </c>
      <c r="BA2575" s="235">
        <f>VLOOKUP(Table8[[#This Row],[Country Code]],Table29[],24,FALSE)</f>
        <v>22.57062743711105</v>
      </c>
      <c r="BB2575" s="320"/>
      <c r="BC2575" s="320"/>
    </row>
    <row r="2576" spans="1:55" ht="15" hidden="1" customHeight="1" x14ac:dyDescent="0.25">
      <c r="A2576" s="373">
        <v>17771</v>
      </c>
      <c r="B2576" s="233" t="str">
        <f>VLOOKUP(Table8[[#This Row],[Document ID]],Table1[],2,FALSE)</f>
        <v>UKR</v>
      </c>
      <c r="C2576" s="233" t="str">
        <f>VLOOKUP(Table8[[#This Row],[Document ID]],Table1[],3,FALSE)</f>
        <v>Ukraine</v>
      </c>
      <c r="D2576" s="243" t="str">
        <f>VLOOKUP(Table8[[#This Row],[Document ID]],Table1[],5,FALSE)</f>
        <v>LTS</v>
      </c>
      <c r="E2576" s="233" t="str">
        <f>VLOOKUP(Table8[[#This Row],[Document ID]],Table1[],7,FALSE)</f>
        <v>LTS</v>
      </c>
      <c r="F2576" s="236" t="str">
        <f>VLOOKUP(Table8[[#This Row],[Document ID]],Table1[],8,FALSE)</f>
        <v>LTS 1.0</v>
      </c>
      <c r="G2576" s="236" t="str">
        <f>VLOOKUP(Table8[[#This Row],[Document ID]],Table1[],10,FALSE)</f>
        <v>Active</v>
      </c>
      <c r="H2576" s="43" t="s">
        <v>2350</v>
      </c>
      <c r="I2576" s="43" t="s">
        <v>2351</v>
      </c>
      <c r="J2576" s="44" t="s">
        <v>2447</v>
      </c>
      <c r="K2576" s="44" t="s">
        <v>4672</v>
      </c>
      <c r="L2576" s="44" t="s">
        <v>2333</v>
      </c>
      <c r="M2576" s="43">
        <v>47</v>
      </c>
      <c r="N2576" s="113"/>
      <c r="O2576" s="113"/>
      <c r="P2576" s="113"/>
      <c r="Q2576" s="319"/>
      <c r="R2576" s="319"/>
      <c r="S2576" s="319"/>
      <c r="T2576" s="319"/>
      <c r="U2576" s="319"/>
      <c r="V2576" s="319"/>
      <c r="W2576" s="319"/>
      <c r="X2576" s="319"/>
      <c r="Y2576" s="113"/>
      <c r="Z2576" s="113"/>
      <c r="AA2576" s="319"/>
      <c r="AB2576" s="319"/>
      <c r="AC2576" s="319"/>
      <c r="AD2576" s="319" t="s">
        <v>1113</v>
      </c>
      <c r="AE2576" s="319"/>
      <c r="AF2576" s="319"/>
      <c r="AG2576" s="319"/>
      <c r="AH2576" s="319"/>
      <c r="AI2576" s="319"/>
      <c r="AJ2576" s="319"/>
      <c r="AK2576" s="319" t="s">
        <v>1113</v>
      </c>
      <c r="AL2576" s="319"/>
      <c r="AM2576" s="319"/>
      <c r="AN2576" s="319"/>
      <c r="AO2576" s="43" t="s">
        <v>2353</v>
      </c>
      <c r="AP2576" s="44"/>
      <c r="AQ2576" s="236" t="str">
        <f>VLOOKUP(Table8[[#This Row],[Instrument]],Def_Targets!$D$73:$E$159,2,FALSE)</f>
        <v>I_Freighteff</v>
      </c>
      <c r="AR2576" s="233" t="str">
        <f>VLOOKUP(Table8[[#This Row],[Country Code]],Table29[],3,FALSE)</f>
        <v>Annex I</v>
      </c>
      <c r="AS2576" s="233" t="str">
        <f>VLOOKUP(Table8[[#This Row],[Country Code]],Table29[],4,FALSE)</f>
        <v>Europe</v>
      </c>
      <c r="AT2576" s="233" t="str">
        <f>VLOOKUP(Table8[[#This Row],[Country Code]],Table29[],5,FALSE)</f>
        <v>Middle-income</v>
      </c>
      <c r="AU2576" s="233" t="str">
        <f>VLOOKUP(Table8[[#This Row],[Country Code]],Table29[],6,FALSE)</f>
        <v>no</v>
      </c>
      <c r="AV2576" s="233" t="str">
        <f>VLOOKUP(Table8[[#This Row],[Country Code]],Table29[],7,FALSE)</f>
        <v>no</v>
      </c>
      <c r="AW2576" s="233" t="str">
        <f>VLOOKUP(Table8[[#This Row],[Country Code]],Table29[],8,FALSE)</f>
        <v>non-OECD</v>
      </c>
      <c r="AX2576" s="233" t="str">
        <f>VLOOKUP(Table8[[#This Row],[Country Code]],Table29[],9,FALSE)</f>
        <v>no</v>
      </c>
      <c r="AY2576" s="233" t="str">
        <f>VLOOKUP(Table8[[#This Row],[Country Code]],Table29[],10,FALSE)</f>
        <v>no</v>
      </c>
      <c r="AZ2576" s="235">
        <f>VLOOKUP(Table8[[#This Row],[Country Code]],Table29[],23,FALSE)</f>
        <v>216.09280539526</v>
      </c>
      <c r="BA2576" s="235">
        <f>VLOOKUP(Table8[[#This Row],[Country Code]],Table29[],24,FALSE)</f>
        <v>22.57062743711105</v>
      </c>
      <c r="BB2576" s="320"/>
      <c r="BC2576" s="320"/>
    </row>
    <row r="2577" spans="1:55" ht="15" hidden="1" customHeight="1" x14ac:dyDescent="0.25">
      <c r="A2577" s="373">
        <v>17771</v>
      </c>
      <c r="B2577" s="233" t="str">
        <f>VLOOKUP(Table8[[#This Row],[Document ID]],Table1[],2,FALSE)</f>
        <v>UKR</v>
      </c>
      <c r="C2577" s="233" t="str">
        <f>VLOOKUP(Table8[[#This Row],[Document ID]],Table1[],3,FALSE)</f>
        <v>Ukraine</v>
      </c>
      <c r="D2577" s="243" t="str">
        <f>VLOOKUP(Table8[[#This Row],[Document ID]],Table1[],5,FALSE)</f>
        <v>LTS</v>
      </c>
      <c r="E2577" s="233" t="str">
        <f>VLOOKUP(Table8[[#This Row],[Document ID]],Table1[],7,FALSE)</f>
        <v>LTS</v>
      </c>
      <c r="F2577" s="236" t="str">
        <f>VLOOKUP(Table8[[#This Row],[Document ID]],Table1[],8,FALSE)</f>
        <v>LTS 1.0</v>
      </c>
      <c r="G2577" s="236" t="str">
        <f>VLOOKUP(Table8[[#This Row],[Document ID]],Table1[],10,FALSE)</f>
        <v>Active</v>
      </c>
      <c r="H2577" s="43" t="s">
        <v>2343</v>
      </c>
      <c r="I2577" s="43" t="s">
        <v>2377</v>
      </c>
      <c r="J2577" s="44" t="s">
        <v>2378</v>
      </c>
      <c r="K2577" s="44" t="s">
        <v>4673</v>
      </c>
      <c r="L2577" s="44" t="s">
        <v>2396</v>
      </c>
      <c r="M2577" s="43">
        <v>47</v>
      </c>
      <c r="N2577" s="113" t="s">
        <v>1113</v>
      </c>
      <c r="O2577" s="113"/>
      <c r="P2577" s="113"/>
      <c r="Q2577" s="319"/>
      <c r="R2577" s="319"/>
      <c r="S2577" s="319"/>
      <c r="T2577" s="319"/>
      <c r="U2577" s="319"/>
      <c r="V2577" s="319"/>
      <c r="W2577" s="319"/>
      <c r="X2577" s="319"/>
      <c r="Y2577" s="319"/>
      <c r="Z2577" s="319"/>
      <c r="AA2577" s="319"/>
      <c r="AB2577" s="319"/>
      <c r="AC2577" s="319"/>
      <c r="AD2577" s="319"/>
      <c r="AE2577" s="319"/>
      <c r="AF2577" s="319"/>
      <c r="AG2577" s="319"/>
      <c r="AH2577" s="319"/>
      <c r="AI2577" s="319"/>
      <c r="AJ2577" s="319"/>
      <c r="AK2577" s="319" t="s">
        <v>1113</v>
      </c>
      <c r="AL2577" s="319"/>
      <c r="AM2577" s="319"/>
      <c r="AN2577" s="319"/>
      <c r="AO2577" s="44" t="s">
        <v>2334</v>
      </c>
      <c r="AP2577" s="44"/>
      <c r="AQ2577" s="236" t="str">
        <f>VLOOKUP(Table8[[#This Row],[Instrument]],Def_Targets!$D$73:$E$159,2,FALSE)</f>
        <v>A_Commute</v>
      </c>
      <c r="AR2577" s="233" t="str">
        <f>VLOOKUP(Table8[[#This Row],[Country Code]],Table29[],3,FALSE)</f>
        <v>Annex I</v>
      </c>
      <c r="AS2577" s="233" t="str">
        <f>VLOOKUP(Table8[[#This Row],[Country Code]],Table29[],4,FALSE)</f>
        <v>Europe</v>
      </c>
      <c r="AT2577" s="233" t="str">
        <f>VLOOKUP(Table8[[#This Row],[Country Code]],Table29[],5,FALSE)</f>
        <v>Middle-income</v>
      </c>
      <c r="AU2577" s="233" t="str">
        <f>VLOOKUP(Table8[[#This Row],[Country Code]],Table29[],6,FALSE)</f>
        <v>no</v>
      </c>
      <c r="AV2577" s="233" t="str">
        <f>VLOOKUP(Table8[[#This Row],[Country Code]],Table29[],7,FALSE)</f>
        <v>no</v>
      </c>
      <c r="AW2577" s="233" t="str">
        <f>VLOOKUP(Table8[[#This Row],[Country Code]],Table29[],8,FALSE)</f>
        <v>non-OECD</v>
      </c>
      <c r="AX2577" s="233" t="str">
        <f>VLOOKUP(Table8[[#This Row],[Country Code]],Table29[],9,FALSE)</f>
        <v>no</v>
      </c>
      <c r="AY2577" s="233" t="str">
        <f>VLOOKUP(Table8[[#This Row],[Country Code]],Table29[],10,FALSE)</f>
        <v>no</v>
      </c>
      <c r="AZ2577" s="235">
        <f>VLOOKUP(Table8[[#This Row],[Country Code]],Table29[],23,FALSE)</f>
        <v>216.09280539526</v>
      </c>
      <c r="BA2577" s="235">
        <f>VLOOKUP(Table8[[#This Row],[Country Code]],Table29[],24,FALSE)</f>
        <v>22.57062743711105</v>
      </c>
      <c r="BB2577" s="320"/>
      <c r="BC2577" s="320"/>
    </row>
    <row r="2578" spans="1:55" ht="15" hidden="1" customHeight="1" x14ac:dyDescent="0.25">
      <c r="A2578" s="373">
        <v>17771</v>
      </c>
      <c r="B2578" s="233" t="str">
        <f>VLOOKUP(Table8[[#This Row],[Document ID]],Table1[],2,FALSE)</f>
        <v>UKR</v>
      </c>
      <c r="C2578" s="233" t="str">
        <f>VLOOKUP(Table8[[#This Row],[Document ID]],Table1[],3,FALSE)</f>
        <v>Ukraine</v>
      </c>
      <c r="D2578" s="243" t="str">
        <f>VLOOKUP(Table8[[#This Row],[Document ID]],Table1[],5,FALSE)</f>
        <v>LTS</v>
      </c>
      <c r="E2578" s="233" t="str">
        <f>VLOOKUP(Table8[[#This Row],[Document ID]],Table1[],7,FALSE)</f>
        <v>LTS</v>
      </c>
      <c r="F2578" s="236" t="str">
        <f>VLOOKUP(Table8[[#This Row],[Document ID]],Table1[],8,FALSE)</f>
        <v>LTS 1.0</v>
      </c>
      <c r="G2578" s="236" t="str">
        <f>VLOOKUP(Table8[[#This Row],[Document ID]],Table1[],10,FALSE)</f>
        <v>Active</v>
      </c>
      <c r="H2578" s="44" t="s">
        <v>2338</v>
      </c>
      <c r="I2578" s="44" t="s">
        <v>2339</v>
      </c>
      <c r="J2578" s="44" t="s">
        <v>2340</v>
      </c>
      <c r="K2578" s="44" t="s">
        <v>4674</v>
      </c>
      <c r="L2578" s="44" t="s">
        <v>2333</v>
      </c>
      <c r="M2578" s="43">
        <v>47</v>
      </c>
      <c r="N2578" s="113"/>
      <c r="O2578" s="113"/>
      <c r="P2578" s="113"/>
      <c r="Q2578" s="319"/>
      <c r="R2578" s="319"/>
      <c r="S2578" s="319" t="s">
        <v>1113</v>
      </c>
      <c r="T2578" s="319"/>
      <c r="U2578" s="319"/>
      <c r="V2578" s="319"/>
      <c r="W2578" s="319"/>
      <c r="X2578" s="319"/>
      <c r="Y2578" s="113"/>
      <c r="Z2578" s="113"/>
      <c r="AA2578" s="319"/>
      <c r="AB2578" s="319"/>
      <c r="AC2578" s="319"/>
      <c r="AD2578" s="319"/>
      <c r="AE2578" s="319"/>
      <c r="AF2578" s="319"/>
      <c r="AG2578" s="319"/>
      <c r="AH2578" s="319"/>
      <c r="AI2578" s="319"/>
      <c r="AJ2578" s="319"/>
      <c r="AK2578" s="319" t="s">
        <v>1113</v>
      </c>
      <c r="AL2578" s="319"/>
      <c r="AM2578" s="319"/>
      <c r="AN2578" s="319"/>
      <c r="AO2578" s="44" t="s">
        <v>2334</v>
      </c>
      <c r="AP2578" s="44"/>
      <c r="AQ2578" s="236" t="str">
        <f>VLOOKUP(Table8[[#This Row],[Instrument]],Def_Targets!$D$73:$E$159,2,FALSE)</f>
        <v>I_Vehicleimprove</v>
      </c>
      <c r="AR2578" s="233" t="str">
        <f>VLOOKUP(Table8[[#This Row],[Country Code]],Table29[],3,FALSE)</f>
        <v>Annex I</v>
      </c>
      <c r="AS2578" s="233" t="str">
        <f>VLOOKUP(Table8[[#This Row],[Country Code]],Table29[],4,FALSE)</f>
        <v>Europe</v>
      </c>
      <c r="AT2578" s="233" t="str">
        <f>VLOOKUP(Table8[[#This Row],[Country Code]],Table29[],5,FALSE)</f>
        <v>Middle-income</v>
      </c>
      <c r="AU2578" s="233" t="str">
        <f>VLOOKUP(Table8[[#This Row],[Country Code]],Table29[],6,FALSE)</f>
        <v>no</v>
      </c>
      <c r="AV2578" s="233" t="str">
        <f>VLOOKUP(Table8[[#This Row],[Country Code]],Table29[],7,FALSE)</f>
        <v>no</v>
      </c>
      <c r="AW2578" s="233" t="str">
        <f>VLOOKUP(Table8[[#This Row],[Country Code]],Table29[],8,FALSE)</f>
        <v>non-OECD</v>
      </c>
      <c r="AX2578" s="233" t="str">
        <f>VLOOKUP(Table8[[#This Row],[Country Code]],Table29[],9,FALSE)</f>
        <v>no</v>
      </c>
      <c r="AY2578" s="233" t="str">
        <f>VLOOKUP(Table8[[#This Row],[Country Code]],Table29[],10,FALSE)</f>
        <v>no</v>
      </c>
      <c r="AZ2578" s="235">
        <f>VLOOKUP(Table8[[#This Row],[Country Code]],Table29[],23,FALSE)</f>
        <v>216.09280539526</v>
      </c>
      <c r="BA2578" s="235">
        <f>VLOOKUP(Table8[[#This Row],[Country Code]],Table29[],24,FALSE)</f>
        <v>22.57062743711105</v>
      </c>
      <c r="BB2578" s="320"/>
      <c r="BC2578" s="320"/>
    </row>
    <row r="2579" spans="1:55" ht="15" hidden="1" customHeight="1" x14ac:dyDescent="0.25">
      <c r="A2579" s="373">
        <v>41741</v>
      </c>
      <c r="B2579" s="233" t="str">
        <f>VLOOKUP(Table8[[#This Row],[Document ID]],Table1[],2,FALSE)</f>
        <v>ARE</v>
      </c>
      <c r="C2579" s="233" t="str">
        <f>VLOOKUP(Table8[[#This Row],[Document ID]],Table1[],3,FALSE)</f>
        <v>United Arab Emirates</v>
      </c>
      <c r="D2579" s="243" t="str">
        <f>VLOOKUP(Table8[[#This Row],[Document ID]],Table1[],5,FALSE)</f>
        <v>LTS</v>
      </c>
      <c r="E2579" s="233" t="str">
        <f>VLOOKUP(Table8[[#This Row],[Document ID]],Table1[],7,FALSE)</f>
        <v>LTS</v>
      </c>
      <c r="F2579" s="233" t="str">
        <f>VLOOKUP(Table8[[#This Row],[Document ID]],Table1[],8,FALSE)</f>
        <v>LTS 1.0</v>
      </c>
      <c r="G2579" s="233" t="str">
        <f>VLOOKUP(Table8[[#This Row],[Document ID]],Table1[],10,FALSE)</f>
        <v>Active</v>
      </c>
      <c r="H2579" s="43" t="s">
        <v>2350</v>
      </c>
      <c r="I2579" s="43" t="s">
        <v>2370</v>
      </c>
      <c r="J2579" s="44" t="s">
        <v>2518</v>
      </c>
      <c r="K2579" s="44" t="s">
        <v>4675</v>
      </c>
      <c r="L2579" s="44" t="s">
        <v>2380</v>
      </c>
      <c r="M2579" s="43">
        <v>68</v>
      </c>
      <c r="N2579" s="113" t="s">
        <v>1113</v>
      </c>
      <c r="O2579" s="113"/>
      <c r="P2579" s="113"/>
      <c r="Q2579" s="113"/>
      <c r="R2579" s="113"/>
      <c r="S2579" s="113"/>
      <c r="T2579" s="113"/>
      <c r="U2579" s="113"/>
      <c r="V2579" s="113"/>
      <c r="W2579" s="113"/>
      <c r="X2579" s="113"/>
      <c r="Y2579" s="113"/>
      <c r="Z2579" s="113"/>
      <c r="AA2579" s="113"/>
      <c r="AB2579" s="113"/>
      <c r="AC2579" s="113"/>
      <c r="AD2579" s="113"/>
      <c r="AE2579" s="113"/>
      <c r="AF2579" s="113"/>
      <c r="AG2579" s="113"/>
      <c r="AH2579" s="113"/>
      <c r="AI2579" s="113"/>
      <c r="AJ2579" s="113"/>
      <c r="AK2579" s="113" t="s">
        <v>1113</v>
      </c>
      <c r="AL2579" s="113"/>
      <c r="AM2579" s="113"/>
      <c r="AN2579" s="113"/>
      <c r="AO2579" s="43" t="s">
        <v>2348</v>
      </c>
      <c r="AP2579" s="43"/>
      <c r="AQ2579" s="236" t="str">
        <f>VLOOKUP(Table8[[#This Row],[Instrument]],Def_Targets!$D$73:$E$159,2,FALSE)</f>
        <v>A_Mixuse</v>
      </c>
      <c r="AR2579" s="233" t="str">
        <f>VLOOKUP(Table8[[#This Row],[Country Code]],Table29[],3,FALSE)</f>
        <v>Non-Annex I</v>
      </c>
      <c r="AS2579" s="233" t="str">
        <f>VLOOKUP(Table8[[#This Row],[Country Code]],Table29[],4,FALSE)</f>
        <v>Asia</v>
      </c>
      <c r="AT2579" s="233" t="str">
        <f>VLOOKUP(Table8[[#This Row],[Country Code]],Table29[],5,FALSE)</f>
        <v>High-income</v>
      </c>
      <c r="AU2579" s="233" t="str">
        <f>VLOOKUP(Table8[[#This Row],[Country Code]],Table29[],6,FALSE)</f>
        <v>no</v>
      </c>
      <c r="AV2579" s="233" t="str">
        <f>VLOOKUP(Table8[[#This Row],[Country Code]],Table29[],7,FALSE)</f>
        <v>no</v>
      </c>
      <c r="AW2579" s="233" t="str">
        <f>VLOOKUP(Table8[[#This Row],[Country Code]],Table29[],8,FALSE)</f>
        <v>non-OECD</v>
      </c>
      <c r="AX2579" s="233" t="str">
        <f>VLOOKUP(Table8[[#This Row],[Country Code]],Table29[],9,FALSE)</f>
        <v>no</v>
      </c>
      <c r="AY2579" s="233" t="str">
        <f>VLOOKUP(Table8[[#This Row],[Country Code]],Table29[],10,FALSE)</f>
        <v>MENA</v>
      </c>
      <c r="AZ2579" s="235">
        <f>VLOOKUP(Table8[[#This Row],[Country Code]],Table29[],23,FALSE)</f>
        <v>267.82319378585998</v>
      </c>
      <c r="BA2579" s="235">
        <f>VLOOKUP(Table8[[#This Row],[Country Code]],Table29[],24,FALSE)</f>
        <v>43.860911308351241</v>
      </c>
      <c r="BB2579" s="320"/>
      <c r="BC2579" s="320"/>
    </row>
    <row r="2580" spans="1:55" ht="15" hidden="1" customHeight="1" x14ac:dyDescent="0.25">
      <c r="A2580" s="373">
        <v>41741</v>
      </c>
      <c r="B2580" s="233" t="str">
        <f>VLOOKUP(Table8[[#This Row],[Document ID]],Table1[],2,FALSE)</f>
        <v>ARE</v>
      </c>
      <c r="C2580" s="233" t="str">
        <f>VLOOKUP(Table8[[#This Row],[Document ID]],Table1[],3,FALSE)</f>
        <v>United Arab Emirates</v>
      </c>
      <c r="D2580" s="243" t="str">
        <f>VLOOKUP(Table8[[#This Row],[Document ID]],Table1[],5,FALSE)</f>
        <v>LTS</v>
      </c>
      <c r="E2580" s="233" t="str">
        <f>VLOOKUP(Table8[[#This Row],[Document ID]],Table1[],7,FALSE)</f>
        <v>LTS</v>
      </c>
      <c r="F2580" s="233" t="str">
        <f>VLOOKUP(Table8[[#This Row],[Document ID]],Table1[],8,FALSE)</f>
        <v>LTS 1.0</v>
      </c>
      <c r="G2580" s="233" t="str">
        <f>VLOOKUP(Table8[[#This Row],[Document ID]],Table1[],10,FALSE)</f>
        <v>Active</v>
      </c>
      <c r="H2580" s="43" t="s">
        <v>2343</v>
      </c>
      <c r="I2580" s="43" t="s">
        <v>2361</v>
      </c>
      <c r="J2580" s="44" t="s">
        <v>2366</v>
      </c>
      <c r="K2580" s="44" t="s">
        <v>4676</v>
      </c>
      <c r="L2580" s="44" t="s">
        <v>2380</v>
      </c>
      <c r="M2580" s="43">
        <v>68</v>
      </c>
      <c r="N2580" s="113"/>
      <c r="O2580" s="113"/>
      <c r="P2580" s="113"/>
      <c r="Q2580" s="113" t="s">
        <v>1113</v>
      </c>
      <c r="R2580" s="113" t="s">
        <v>1113</v>
      </c>
      <c r="S2580" s="113"/>
      <c r="T2580" s="113"/>
      <c r="U2580" s="113"/>
      <c r="V2580" s="113"/>
      <c r="W2580" s="113"/>
      <c r="X2580" s="113"/>
      <c r="Y2580" s="113"/>
      <c r="Z2580" s="113"/>
      <c r="AA2580" s="113"/>
      <c r="AB2580" s="113"/>
      <c r="AC2580" s="113"/>
      <c r="AD2580" s="113"/>
      <c r="AE2580" s="113"/>
      <c r="AF2580" s="113"/>
      <c r="AG2580" s="113"/>
      <c r="AH2580" s="113"/>
      <c r="AI2580" s="113"/>
      <c r="AJ2580" s="113"/>
      <c r="AK2580" s="113" t="s">
        <v>1113</v>
      </c>
      <c r="AL2580" s="113"/>
      <c r="AM2580" s="113"/>
      <c r="AN2580" s="113"/>
      <c r="AO2580" s="43" t="s">
        <v>2348</v>
      </c>
      <c r="AP2580" s="43"/>
      <c r="AQ2580" s="236" t="str">
        <f>VLOOKUP(Table8[[#This Row],[Instrument]],Def_Targets!$D$73:$E$159,2,FALSE)</f>
        <v>S_Activemobility</v>
      </c>
      <c r="AR2580" s="233" t="str">
        <f>VLOOKUP(Table8[[#This Row],[Country Code]],Table29[],3,FALSE)</f>
        <v>Non-Annex I</v>
      </c>
      <c r="AS2580" s="233" t="str">
        <f>VLOOKUP(Table8[[#This Row],[Country Code]],Table29[],4,FALSE)</f>
        <v>Asia</v>
      </c>
      <c r="AT2580" s="233" t="str">
        <f>VLOOKUP(Table8[[#This Row],[Country Code]],Table29[],5,FALSE)</f>
        <v>High-income</v>
      </c>
      <c r="AU2580" s="233" t="str">
        <f>VLOOKUP(Table8[[#This Row],[Country Code]],Table29[],6,FALSE)</f>
        <v>no</v>
      </c>
      <c r="AV2580" s="233" t="str">
        <f>VLOOKUP(Table8[[#This Row],[Country Code]],Table29[],7,FALSE)</f>
        <v>no</v>
      </c>
      <c r="AW2580" s="233" t="str">
        <f>VLOOKUP(Table8[[#This Row],[Country Code]],Table29[],8,FALSE)</f>
        <v>non-OECD</v>
      </c>
      <c r="AX2580" s="233" t="str">
        <f>VLOOKUP(Table8[[#This Row],[Country Code]],Table29[],9,FALSE)</f>
        <v>no</v>
      </c>
      <c r="AY2580" s="233" t="str">
        <f>VLOOKUP(Table8[[#This Row],[Country Code]],Table29[],10,FALSE)</f>
        <v>MENA</v>
      </c>
      <c r="AZ2580" s="235">
        <f>VLOOKUP(Table8[[#This Row],[Country Code]],Table29[],23,FALSE)</f>
        <v>267.82319378585998</v>
      </c>
      <c r="BA2580" s="235">
        <f>VLOOKUP(Table8[[#This Row],[Country Code]],Table29[],24,FALSE)</f>
        <v>43.860911308351241</v>
      </c>
      <c r="BB2580" s="320"/>
      <c r="BC2580" s="320"/>
    </row>
    <row r="2581" spans="1:55" ht="15" hidden="1" customHeight="1" x14ac:dyDescent="0.25">
      <c r="A2581" s="373">
        <v>41741</v>
      </c>
      <c r="B2581" s="233" t="str">
        <f>VLOOKUP(Table8[[#This Row],[Document ID]],Table1[],2,FALSE)</f>
        <v>ARE</v>
      </c>
      <c r="C2581" s="233" t="str">
        <f>VLOOKUP(Table8[[#This Row],[Document ID]],Table1[],3,FALSE)</f>
        <v>United Arab Emirates</v>
      </c>
      <c r="D2581" s="243" t="str">
        <f>VLOOKUP(Table8[[#This Row],[Document ID]],Table1[],5,FALSE)</f>
        <v>LTS</v>
      </c>
      <c r="E2581" s="233" t="str">
        <f>VLOOKUP(Table8[[#This Row],[Document ID]],Table1[],7,FALSE)</f>
        <v>LTS</v>
      </c>
      <c r="F2581" s="233" t="str">
        <f>VLOOKUP(Table8[[#This Row],[Document ID]],Table1[],8,FALSE)</f>
        <v>LTS 1.0</v>
      </c>
      <c r="G2581" s="233" t="str">
        <f>VLOOKUP(Table8[[#This Row],[Document ID]],Table1[],10,FALSE)</f>
        <v>Active</v>
      </c>
      <c r="H2581" s="43" t="s">
        <v>2343</v>
      </c>
      <c r="I2581" s="43" t="s">
        <v>2429</v>
      </c>
      <c r="J2581" s="44" t="s">
        <v>2513</v>
      </c>
      <c r="K2581" s="44" t="s">
        <v>4677</v>
      </c>
      <c r="L2581" s="44" t="s">
        <v>2347</v>
      </c>
      <c r="M2581" s="43">
        <v>69</v>
      </c>
      <c r="N2581" s="113" t="s">
        <v>1113</v>
      </c>
      <c r="O2581" s="113"/>
      <c r="P2581" s="113"/>
      <c r="Q2581" s="113"/>
      <c r="R2581" s="113"/>
      <c r="S2581" s="113"/>
      <c r="T2581" s="113"/>
      <c r="U2581" s="113"/>
      <c r="V2581" s="113"/>
      <c r="W2581" s="113"/>
      <c r="X2581" s="113"/>
      <c r="Y2581" s="113"/>
      <c r="Z2581" s="113"/>
      <c r="AA2581" s="113"/>
      <c r="AB2581" s="113"/>
      <c r="AC2581" s="113"/>
      <c r="AD2581" s="113"/>
      <c r="AE2581" s="113"/>
      <c r="AF2581" s="113"/>
      <c r="AG2581" s="113"/>
      <c r="AH2581" s="113"/>
      <c r="AI2581" s="113"/>
      <c r="AJ2581" s="113"/>
      <c r="AK2581" s="113" t="s">
        <v>1113</v>
      </c>
      <c r="AL2581" s="113"/>
      <c r="AM2581" s="113"/>
      <c r="AN2581" s="113"/>
      <c r="AO2581" s="43" t="s">
        <v>2348</v>
      </c>
      <c r="AP2581" s="43"/>
      <c r="AQ2581" s="236" t="str">
        <f>VLOOKUP(Table8[[#This Row],[Instrument]],Def_Targets!$D$73:$E$159,2,FALSE)</f>
        <v>S_Sharedmob</v>
      </c>
      <c r="AR2581" s="233" t="str">
        <f>VLOOKUP(Table8[[#This Row],[Country Code]],Table29[],3,FALSE)</f>
        <v>Non-Annex I</v>
      </c>
      <c r="AS2581" s="233" t="str">
        <f>VLOOKUP(Table8[[#This Row],[Country Code]],Table29[],4,FALSE)</f>
        <v>Asia</v>
      </c>
      <c r="AT2581" s="233" t="str">
        <f>VLOOKUP(Table8[[#This Row],[Country Code]],Table29[],5,FALSE)</f>
        <v>High-income</v>
      </c>
      <c r="AU2581" s="233" t="str">
        <f>VLOOKUP(Table8[[#This Row],[Country Code]],Table29[],6,FALSE)</f>
        <v>no</v>
      </c>
      <c r="AV2581" s="233" t="str">
        <f>VLOOKUP(Table8[[#This Row],[Country Code]],Table29[],7,FALSE)</f>
        <v>no</v>
      </c>
      <c r="AW2581" s="233" t="str">
        <f>VLOOKUP(Table8[[#This Row],[Country Code]],Table29[],8,FALSE)</f>
        <v>non-OECD</v>
      </c>
      <c r="AX2581" s="233" t="str">
        <f>VLOOKUP(Table8[[#This Row],[Country Code]],Table29[],9,FALSE)</f>
        <v>no</v>
      </c>
      <c r="AY2581" s="233" t="str">
        <f>VLOOKUP(Table8[[#This Row],[Country Code]],Table29[],10,FALSE)</f>
        <v>MENA</v>
      </c>
      <c r="AZ2581" s="235">
        <f>VLOOKUP(Table8[[#This Row],[Country Code]],Table29[],23,FALSE)</f>
        <v>267.82319378585998</v>
      </c>
      <c r="BA2581" s="235">
        <f>VLOOKUP(Table8[[#This Row],[Country Code]],Table29[],24,FALSE)</f>
        <v>43.860911308351241</v>
      </c>
      <c r="BB2581" s="320"/>
      <c r="BC2581" s="320"/>
    </row>
    <row r="2582" spans="1:55" ht="15" hidden="1" customHeight="1" x14ac:dyDescent="0.25">
      <c r="A2582" s="373">
        <v>41741</v>
      </c>
      <c r="B2582" s="233" t="str">
        <f>VLOOKUP(Table8[[#This Row],[Document ID]],Table1[],2,FALSE)</f>
        <v>ARE</v>
      </c>
      <c r="C2582" s="233" t="str">
        <f>VLOOKUP(Table8[[#This Row],[Document ID]],Table1[],3,FALSE)</f>
        <v>United Arab Emirates</v>
      </c>
      <c r="D2582" s="243" t="str">
        <f>VLOOKUP(Table8[[#This Row],[Document ID]],Table1[],5,FALSE)</f>
        <v>LTS</v>
      </c>
      <c r="E2582" s="233" t="str">
        <f>VLOOKUP(Table8[[#This Row],[Document ID]],Table1[],7,FALSE)</f>
        <v>LTS</v>
      </c>
      <c r="F2582" s="233" t="str">
        <f>VLOOKUP(Table8[[#This Row],[Document ID]],Table1[],8,FALSE)</f>
        <v>LTS 1.0</v>
      </c>
      <c r="G2582" s="233" t="str">
        <f>VLOOKUP(Table8[[#This Row],[Document ID]],Table1[],10,FALSE)</f>
        <v>Active</v>
      </c>
      <c r="H2582" s="43" t="s">
        <v>2343</v>
      </c>
      <c r="I2582" s="43" t="s">
        <v>2344</v>
      </c>
      <c r="J2582" s="44" t="s">
        <v>2345</v>
      </c>
      <c r="K2582" s="44" t="s">
        <v>4678</v>
      </c>
      <c r="L2582" s="44" t="s">
        <v>2347</v>
      </c>
      <c r="M2582" s="43">
        <v>69</v>
      </c>
      <c r="N2582" s="113"/>
      <c r="O2582" s="113"/>
      <c r="P2582" s="113"/>
      <c r="Q2582" s="113"/>
      <c r="R2582" s="113"/>
      <c r="S2582" s="113"/>
      <c r="T2582" s="113"/>
      <c r="U2582" s="113"/>
      <c r="V2582" s="113"/>
      <c r="W2582" s="113"/>
      <c r="X2582" s="113"/>
      <c r="Y2582" s="113" t="s">
        <v>1113</v>
      </c>
      <c r="Z2582" s="113"/>
      <c r="AA2582" s="113"/>
      <c r="AB2582" s="113"/>
      <c r="AC2582" s="113" t="s">
        <v>1113</v>
      </c>
      <c r="AD2582" s="113"/>
      <c r="AE2582" s="113"/>
      <c r="AF2582" s="113"/>
      <c r="AG2582" s="113"/>
      <c r="AH2582" s="113"/>
      <c r="AI2582" s="113"/>
      <c r="AJ2582" s="113"/>
      <c r="AK2582" s="113" t="s">
        <v>1113</v>
      </c>
      <c r="AL2582" s="113"/>
      <c r="AM2582" s="113"/>
      <c r="AN2582" s="113"/>
      <c r="AO2582" s="43" t="s">
        <v>2348</v>
      </c>
      <c r="AP2582" s="43"/>
      <c r="AQ2582" s="236" t="str">
        <f>VLOOKUP(Table8[[#This Row],[Instrument]],Def_Targets!$D$73:$E$159,2,FALSE)</f>
        <v>S_PublicTransport</v>
      </c>
      <c r="AR2582" s="233" t="str">
        <f>VLOOKUP(Table8[[#This Row],[Country Code]],Table29[],3,FALSE)</f>
        <v>Non-Annex I</v>
      </c>
      <c r="AS2582" s="233" t="str">
        <f>VLOOKUP(Table8[[#This Row],[Country Code]],Table29[],4,FALSE)</f>
        <v>Asia</v>
      </c>
      <c r="AT2582" s="233" t="str">
        <f>VLOOKUP(Table8[[#This Row],[Country Code]],Table29[],5,FALSE)</f>
        <v>High-income</v>
      </c>
      <c r="AU2582" s="233" t="str">
        <f>VLOOKUP(Table8[[#This Row],[Country Code]],Table29[],6,FALSE)</f>
        <v>no</v>
      </c>
      <c r="AV2582" s="233" t="str">
        <f>VLOOKUP(Table8[[#This Row],[Country Code]],Table29[],7,FALSE)</f>
        <v>no</v>
      </c>
      <c r="AW2582" s="233" t="str">
        <f>VLOOKUP(Table8[[#This Row],[Country Code]],Table29[],8,FALSE)</f>
        <v>non-OECD</v>
      </c>
      <c r="AX2582" s="233" t="str">
        <f>VLOOKUP(Table8[[#This Row],[Country Code]],Table29[],9,FALSE)</f>
        <v>no</v>
      </c>
      <c r="AY2582" s="233" t="str">
        <f>VLOOKUP(Table8[[#This Row],[Country Code]],Table29[],10,FALSE)</f>
        <v>MENA</v>
      </c>
      <c r="AZ2582" s="235">
        <f>VLOOKUP(Table8[[#This Row],[Country Code]],Table29[],23,FALSE)</f>
        <v>267.82319378585998</v>
      </c>
      <c r="BA2582" s="235">
        <f>VLOOKUP(Table8[[#This Row],[Country Code]],Table29[],24,FALSE)</f>
        <v>43.860911308351241</v>
      </c>
      <c r="BB2582" s="320"/>
      <c r="BC2582" s="320"/>
    </row>
    <row r="2583" spans="1:55" ht="15" hidden="1" customHeight="1" x14ac:dyDescent="0.25">
      <c r="A2583" s="373">
        <v>41741</v>
      </c>
      <c r="B2583" s="233" t="str">
        <f>VLOOKUP(Table8[[#This Row],[Document ID]],Table1[],2,FALSE)</f>
        <v>ARE</v>
      </c>
      <c r="C2583" s="233" t="str">
        <f>VLOOKUP(Table8[[#This Row],[Document ID]],Table1[],3,FALSE)</f>
        <v>United Arab Emirates</v>
      </c>
      <c r="D2583" s="243" t="str">
        <f>VLOOKUP(Table8[[#This Row],[Document ID]],Table1[],5,FALSE)</f>
        <v>LTS</v>
      </c>
      <c r="E2583" s="233" t="str">
        <f>VLOOKUP(Table8[[#This Row],[Document ID]],Table1[],7,FALSE)</f>
        <v>LTS</v>
      </c>
      <c r="F2583" s="233" t="str">
        <f>VLOOKUP(Table8[[#This Row],[Document ID]],Table1[],8,FALSE)</f>
        <v>LTS 1.0</v>
      </c>
      <c r="G2583" s="233" t="str">
        <f>VLOOKUP(Table8[[#This Row],[Document ID]],Table1[],10,FALSE)</f>
        <v>Active</v>
      </c>
      <c r="H2583" s="43" t="s">
        <v>2350</v>
      </c>
      <c r="I2583" s="43" t="s">
        <v>2456</v>
      </c>
      <c r="J2583" s="44" t="s">
        <v>2466</v>
      </c>
      <c r="K2583" s="44" t="s">
        <v>4679</v>
      </c>
      <c r="L2583" s="44" t="s">
        <v>2347</v>
      </c>
      <c r="M2583" s="43">
        <v>69</v>
      </c>
      <c r="N2583" s="113"/>
      <c r="O2583" s="113"/>
      <c r="P2583" s="113"/>
      <c r="Q2583" s="113"/>
      <c r="R2583" s="113"/>
      <c r="S2583" s="113"/>
      <c r="T2583" s="113"/>
      <c r="U2583" s="113"/>
      <c r="V2583" s="113"/>
      <c r="W2583" s="113"/>
      <c r="X2583" s="113"/>
      <c r="Y2583" s="113"/>
      <c r="Z2583" s="113" t="s">
        <v>1113</v>
      </c>
      <c r="AA2583" s="113"/>
      <c r="AB2583" s="113"/>
      <c r="AC2583" s="113"/>
      <c r="AD2583" s="113"/>
      <c r="AE2583" s="113"/>
      <c r="AF2583" s="113"/>
      <c r="AG2583" s="113"/>
      <c r="AH2583" s="113"/>
      <c r="AI2583" s="113"/>
      <c r="AJ2583" s="113"/>
      <c r="AK2583" s="113" t="s">
        <v>1113</v>
      </c>
      <c r="AL2583" s="113"/>
      <c r="AM2583" s="113"/>
      <c r="AN2583" s="113"/>
      <c r="AO2583" s="43" t="s">
        <v>2348</v>
      </c>
      <c r="AP2583" s="43"/>
      <c r="AQ2583" s="236" t="str">
        <f>VLOOKUP(Table8[[#This Row],[Instrument]],Def_Targets!$D$73:$E$159,2,FALSE)</f>
        <v>S_Infraexpansion</v>
      </c>
      <c r="AR2583" s="233" t="str">
        <f>VLOOKUP(Table8[[#This Row],[Country Code]],Table29[],3,FALSE)</f>
        <v>Non-Annex I</v>
      </c>
      <c r="AS2583" s="233" t="str">
        <f>VLOOKUP(Table8[[#This Row],[Country Code]],Table29[],4,FALSE)</f>
        <v>Asia</v>
      </c>
      <c r="AT2583" s="233" t="str">
        <f>VLOOKUP(Table8[[#This Row],[Country Code]],Table29[],5,FALSE)</f>
        <v>High-income</v>
      </c>
      <c r="AU2583" s="233" t="str">
        <f>VLOOKUP(Table8[[#This Row],[Country Code]],Table29[],6,FALSE)</f>
        <v>no</v>
      </c>
      <c r="AV2583" s="233" t="str">
        <f>VLOOKUP(Table8[[#This Row],[Country Code]],Table29[],7,FALSE)</f>
        <v>no</v>
      </c>
      <c r="AW2583" s="233" t="str">
        <f>VLOOKUP(Table8[[#This Row],[Country Code]],Table29[],8,FALSE)</f>
        <v>non-OECD</v>
      </c>
      <c r="AX2583" s="233" t="str">
        <f>VLOOKUP(Table8[[#This Row],[Country Code]],Table29[],9,FALSE)</f>
        <v>no</v>
      </c>
      <c r="AY2583" s="233" t="str">
        <f>VLOOKUP(Table8[[#This Row],[Country Code]],Table29[],10,FALSE)</f>
        <v>MENA</v>
      </c>
      <c r="AZ2583" s="235">
        <f>VLOOKUP(Table8[[#This Row],[Country Code]],Table29[],23,FALSE)</f>
        <v>267.82319378585998</v>
      </c>
      <c r="BA2583" s="235">
        <f>VLOOKUP(Table8[[#This Row],[Country Code]],Table29[],24,FALSE)</f>
        <v>43.860911308351241</v>
      </c>
      <c r="BB2583" s="320"/>
      <c r="BC2583" s="320"/>
    </row>
    <row r="2584" spans="1:55" ht="43.35" hidden="1" customHeight="1" x14ac:dyDescent="0.25">
      <c r="A2584" s="373">
        <v>41741</v>
      </c>
      <c r="B2584" s="233" t="str">
        <f>VLOOKUP(Table8[[#This Row],[Document ID]],Table1[],2,FALSE)</f>
        <v>ARE</v>
      </c>
      <c r="C2584" s="233" t="str">
        <f>VLOOKUP(Table8[[#This Row],[Document ID]],Table1[],3,FALSE)</f>
        <v>United Arab Emirates</v>
      </c>
      <c r="D2584" s="243" t="str">
        <f>VLOOKUP(Table8[[#This Row],[Document ID]],Table1[],5,FALSE)</f>
        <v>LTS</v>
      </c>
      <c r="E2584" s="233" t="str">
        <f>VLOOKUP(Table8[[#This Row],[Document ID]],Table1[],7,FALSE)</f>
        <v>LTS</v>
      </c>
      <c r="F2584" s="233" t="str">
        <f>VLOOKUP(Table8[[#This Row],[Document ID]],Table1[],8,FALSE)</f>
        <v>LTS 1.0</v>
      </c>
      <c r="G2584" s="233" t="str">
        <f>VLOOKUP(Table8[[#This Row],[Document ID]],Table1[],10,FALSE)</f>
        <v>Active</v>
      </c>
      <c r="H2584" s="43" t="s">
        <v>2358</v>
      </c>
      <c r="I2584" s="43" t="s">
        <v>2359</v>
      </c>
      <c r="J2584" s="44" t="s">
        <v>2360</v>
      </c>
      <c r="K2584" s="44" t="s">
        <v>4680</v>
      </c>
      <c r="L2584" s="44" t="s">
        <v>2333</v>
      </c>
      <c r="M2584" s="43">
        <v>69</v>
      </c>
      <c r="N2584" s="113"/>
      <c r="O2584" s="113"/>
      <c r="P2584" s="113"/>
      <c r="Q2584" s="113"/>
      <c r="R2584" s="113"/>
      <c r="S2584" s="113"/>
      <c r="T2584" s="113"/>
      <c r="U2584" s="113" t="s">
        <v>1113</v>
      </c>
      <c r="V2584" s="113"/>
      <c r="W2584" s="113"/>
      <c r="X2584" s="113"/>
      <c r="Y2584" s="113"/>
      <c r="Z2584" s="113"/>
      <c r="AA2584" s="113"/>
      <c r="AB2584" s="113"/>
      <c r="AC2584" s="113"/>
      <c r="AD2584" s="113"/>
      <c r="AE2584" s="113"/>
      <c r="AF2584" s="113"/>
      <c r="AG2584" s="113"/>
      <c r="AH2584" s="113"/>
      <c r="AI2584" s="113"/>
      <c r="AJ2584" s="113"/>
      <c r="AK2584" s="113" t="s">
        <v>1113</v>
      </c>
      <c r="AL2584" s="113"/>
      <c r="AM2584" s="113"/>
      <c r="AN2584" s="113"/>
      <c r="AO2584" s="43" t="s">
        <v>2348</v>
      </c>
      <c r="AP2584" s="43"/>
      <c r="AQ2584" s="236" t="str">
        <f>VLOOKUP(Table8[[#This Row],[Instrument]],Def_Targets!$D$73:$E$159,2,FALSE)</f>
        <v>I_Emobility</v>
      </c>
      <c r="AR2584" s="233" t="str">
        <f>VLOOKUP(Table8[[#This Row],[Country Code]],Table29[],3,FALSE)</f>
        <v>Non-Annex I</v>
      </c>
      <c r="AS2584" s="233" t="str">
        <f>VLOOKUP(Table8[[#This Row],[Country Code]],Table29[],4,FALSE)</f>
        <v>Asia</v>
      </c>
      <c r="AT2584" s="233" t="str">
        <f>VLOOKUP(Table8[[#This Row],[Country Code]],Table29[],5,FALSE)</f>
        <v>High-income</v>
      </c>
      <c r="AU2584" s="233" t="str">
        <f>VLOOKUP(Table8[[#This Row],[Country Code]],Table29[],6,FALSE)</f>
        <v>no</v>
      </c>
      <c r="AV2584" s="233" t="str">
        <f>VLOOKUP(Table8[[#This Row],[Country Code]],Table29[],7,FALSE)</f>
        <v>no</v>
      </c>
      <c r="AW2584" s="233" t="str">
        <f>VLOOKUP(Table8[[#This Row],[Country Code]],Table29[],8,FALSE)</f>
        <v>non-OECD</v>
      </c>
      <c r="AX2584" s="233" t="str">
        <f>VLOOKUP(Table8[[#This Row],[Country Code]],Table29[],9,FALSE)</f>
        <v>no</v>
      </c>
      <c r="AY2584" s="233" t="str">
        <f>VLOOKUP(Table8[[#This Row],[Country Code]],Table29[],10,FALSE)</f>
        <v>MENA</v>
      </c>
      <c r="AZ2584" s="235">
        <f>VLOOKUP(Table8[[#This Row],[Country Code]],Table29[],23,FALSE)</f>
        <v>267.82319378585998</v>
      </c>
      <c r="BA2584" s="235">
        <f>VLOOKUP(Table8[[#This Row],[Country Code]],Table29[],24,FALSE)</f>
        <v>43.860911308351241</v>
      </c>
      <c r="BB2584" s="320"/>
      <c r="BC2584" s="320"/>
    </row>
    <row r="2585" spans="1:55" ht="45" hidden="1" x14ac:dyDescent="0.25">
      <c r="A2585" s="373">
        <v>41741</v>
      </c>
      <c r="B2585" s="233" t="str">
        <f>VLOOKUP(Table8[[#This Row],[Document ID]],Table1[],2,FALSE)</f>
        <v>ARE</v>
      </c>
      <c r="C2585" s="233" t="str">
        <f>VLOOKUP(Table8[[#This Row],[Document ID]],Table1[],3,FALSE)</f>
        <v>United Arab Emirates</v>
      </c>
      <c r="D2585" s="243" t="str">
        <f>VLOOKUP(Table8[[#This Row],[Document ID]],Table1[],5,FALSE)</f>
        <v>LTS</v>
      </c>
      <c r="E2585" s="233" t="str">
        <f>VLOOKUP(Table8[[#This Row],[Document ID]],Table1[],7,FALSE)</f>
        <v>LTS</v>
      </c>
      <c r="F2585" s="233" t="str">
        <f>VLOOKUP(Table8[[#This Row],[Document ID]],Table1[],8,FALSE)</f>
        <v>LTS 1.0</v>
      </c>
      <c r="G2585" s="233" t="str">
        <f>VLOOKUP(Table8[[#This Row],[Document ID]],Table1[],10,FALSE)</f>
        <v>Active</v>
      </c>
      <c r="H2585" s="43" t="s">
        <v>2358</v>
      </c>
      <c r="I2585" s="43" t="s">
        <v>2359</v>
      </c>
      <c r="J2585" s="44" t="s">
        <v>2360</v>
      </c>
      <c r="K2585" s="44" t="s">
        <v>4681</v>
      </c>
      <c r="L2585" s="44" t="s">
        <v>2333</v>
      </c>
      <c r="M2585" s="43">
        <v>69</v>
      </c>
      <c r="N2585" s="113"/>
      <c r="O2585" s="113"/>
      <c r="P2585" s="113"/>
      <c r="Q2585" s="113"/>
      <c r="R2585" s="113"/>
      <c r="S2585" s="113"/>
      <c r="T2585" s="113"/>
      <c r="U2585" s="113"/>
      <c r="V2585" s="113"/>
      <c r="W2585" s="113" t="s">
        <v>1113</v>
      </c>
      <c r="X2585" s="113"/>
      <c r="Y2585" s="113"/>
      <c r="Z2585" s="113"/>
      <c r="AA2585" s="113"/>
      <c r="AB2585" s="113"/>
      <c r="AC2585" s="113"/>
      <c r="AD2585" s="113"/>
      <c r="AE2585" s="113"/>
      <c r="AF2585" s="113"/>
      <c r="AG2585" s="113"/>
      <c r="AH2585" s="113"/>
      <c r="AI2585" s="113"/>
      <c r="AJ2585" s="113"/>
      <c r="AK2585" s="113" t="s">
        <v>1113</v>
      </c>
      <c r="AL2585" s="113"/>
      <c r="AM2585" s="113"/>
      <c r="AN2585" s="113"/>
      <c r="AO2585" s="43" t="s">
        <v>2348</v>
      </c>
      <c r="AP2585" s="43"/>
      <c r="AQ2585" s="236" t="str">
        <f>VLOOKUP(Table8[[#This Row],[Instrument]],Def_Targets!$D$73:$E$159,2,FALSE)</f>
        <v>I_Emobility</v>
      </c>
      <c r="AR2585" s="233" t="str">
        <f>VLOOKUP(Table8[[#This Row],[Country Code]],Table29[],3,FALSE)</f>
        <v>Non-Annex I</v>
      </c>
      <c r="AS2585" s="233" t="str">
        <f>VLOOKUP(Table8[[#This Row],[Country Code]],Table29[],4,FALSE)</f>
        <v>Asia</v>
      </c>
      <c r="AT2585" s="233" t="str">
        <f>VLOOKUP(Table8[[#This Row],[Country Code]],Table29[],5,FALSE)</f>
        <v>High-income</v>
      </c>
      <c r="AU2585" s="233" t="str">
        <f>VLOOKUP(Table8[[#This Row],[Country Code]],Table29[],6,FALSE)</f>
        <v>no</v>
      </c>
      <c r="AV2585" s="233" t="str">
        <f>VLOOKUP(Table8[[#This Row],[Country Code]],Table29[],7,FALSE)</f>
        <v>no</v>
      </c>
      <c r="AW2585" s="233" t="str">
        <f>VLOOKUP(Table8[[#This Row],[Country Code]],Table29[],8,FALSE)</f>
        <v>non-OECD</v>
      </c>
      <c r="AX2585" s="233" t="str">
        <f>VLOOKUP(Table8[[#This Row],[Country Code]],Table29[],9,FALSE)</f>
        <v>no</v>
      </c>
      <c r="AY2585" s="233" t="str">
        <f>VLOOKUP(Table8[[#This Row],[Country Code]],Table29[],10,FALSE)</f>
        <v>MENA</v>
      </c>
      <c r="AZ2585" s="235">
        <f>VLOOKUP(Table8[[#This Row],[Country Code]],Table29[],23,FALSE)</f>
        <v>267.82319378585998</v>
      </c>
      <c r="BA2585" s="235">
        <f>VLOOKUP(Table8[[#This Row],[Country Code]],Table29[],24,FALSE)</f>
        <v>43.860911308351241</v>
      </c>
      <c r="BB2585" s="320"/>
      <c r="BC2585" s="320"/>
    </row>
    <row r="2586" spans="1:55" ht="105" hidden="1" x14ac:dyDescent="0.25">
      <c r="A2586" s="373">
        <v>41741</v>
      </c>
      <c r="B2586" s="233" t="str">
        <f>VLOOKUP(Table8[[#This Row],[Document ID]],Table1[],2,FALSE)</f>
        <v>ARE</v>
      </c>
      <c r="C2586" s="233" t="str">
        <f>VLOOKUP(Table8[[#This Row],[Document ID]],Table1[],3,FALSE)</f>
        <v>United Arab Emirates</v>
      </c>
      <c r="D2586" s="243" t="str">
        <f>VLOOKUP(Table8[[#This Row],[Document ID]],Table1[],5,FALSE)</f>
        <v>LTS</v>
      </c>
      <c r="E2586" s="233" t="str">
        <f>VLOOKUP(Table8[[#This Row],[Document ID]],Table1[],7,FALSE)</f>
        <v>LTS</v>
      </c>
      <c r="F2586" s="233" t="str">
        <f>VLOOKUP(Table8[[#This Row],[Document ID]],Table1[],8,FALSE)</f>
        <v>LTS 1.0</v>
      </c>
      <c r="G2586" s="233" t="str">
        <f>VLOOKUP(Table8[[#This Row],[Document ID]],Table1[],10,FALSE)</f>
        <v>Active</v>
      </c>
      <c r="H2586" s="43" t="s">
        <v>2358</v>
      </c>
      <c r="I2586" s="43" t="s">
        <v>2359</v>
      </c>
      <c r="J2586" s="44" t="s">
        <v>2360</v>
      </c>
      <c r="K2586" s="44" t="s">
        <v>4682</v>
      </c>
      <c r="L2586" s="44" t="s">
        <v>2333</v>
      </c>
      <c r="M2586" s="43">
        <v>70</v>
      </c>
      <c r="N2586" s="113"/>
      <c r="O2586" s="113"/>
      <c r="P2586" s="113"/>
      <c r="Q2586" s="113"/>
      <c r="R2586" s="113"/>
      <c r="S2586" s="113"/>
      <c r="T2586" s="113"/>
      <c r="U2586" s="113"/>
      <c r="V2586" s="113"/>
      <c r="W2586" s="113"/>
      <c r="X2586" s="113"/>
      <c r="Y2586" s="113" t="s">
        <v>1113</v>
      </c>
      <c r="Z2586" s="113"/>
      <c r="AA2586" s="113"/>
      <c r="AB2586" s="113"/>
      <c r="AC2586" s="113"/>
      <c r="AD2586" s="113"/>
      <c r="AE2586" s="113"/>
      <c r="AF2586" s="113"/>
      <c r="AG2586" s="113"/>
      <c r="AH2586" s="113"/>
      <c r="AI2586" s="113"/>
      <c r="AJ2586" s="113"/>
      <c r="AK2586" s="113" t="s">
        <v>1113</v>
      </c>
      <c r="AL2586" s="113"/>
      <c r="AM2586" s="113"/>
      <c r="AN2586" s="113"/>
      <c r="AO2586" s="43" t="s">
        <v>2348</v>
      </c>
      <c r="AP2586" s="43"/>
      <c r="AQ2586" s="236" t="str">
        <f>VLOOKUP(Table8[[#This Row],[Instrument]],Def_Targets!$D$73:$E$159,2,FALSE)</f>
        <v>I_Emobility</v>
      </c>
      <c r="AR2586" s="233" t="str">
        <f>VLOOKUP(Table8[[#This Row],[Country Code]],Table29[],3,FALSE)</f>
        <v>Non-Annex I</v>
      </c>
      <c r="AS2586" s="233" t="str">
        <f>VLOOKUP(Table8[[#This Row],[Country Code]],Table29[],4,FALSE)</f>
        <v>Asia</v>
      </c>
      <c r="AT2586" s="233" t="str">
        <f>VLOOKUP(Table8[[#This Row],[Country Code]],Table29[],5,FALSE)</f>
        <v>High-income</v>
      </c>
      <c r="AU2586" s="233" t="str">
        <f>VLOOKUP(Table8[[#This Row],[Country Code]],Table29[],6,FALSE)</f>
        <v>no</v>
      </c>
      <c r="AV2586" s="233" t="str">
        <f>VLOOKUP(Table8[[#This Row],[Country Code]],Table29[],7,FALSE)</f>
        <v>no</v>
      </c>
      <c r="AW2586" s="233" t="str">
        <f>VLOOKUP(Table8[[#This Row],[Country Code]],Table29[],8,FALSE)</f>
        <v>non-OECD</v>
      </c>
      <c r="AX2586" s="233" t="str">
        <f>VLOOKUP(Table8[[#This Row],[Country Code]],Table29[],9,FALSE)</f>
        <v>no</v>
      </c>
      <c r="AY2586" s="233" t="str">
        <f>VLOOKUP(Table8[[#This Row],[Country Code]],Table29[],10,FALSE)</f>
        <v>MENA</v>
      </c>
      <c r="AZ2586" s="235">
        <f>VLOOKUP(Table8[[#This Row],[Country Code]],Table29[],23,FALSE)</f>
        <v>267.82319378585998</v>
      </c>
      <c r="BA2586" s="235">
        <f>VLOOKUP(Table8[[#This Row],[Country Code]],Table29[],24,FALSE)</f>
        <v>43.860911308351241</v>
      </c>
      <c r="BB2586" s="320"/>
      <c r="BC2586" s="320"/>
    </row>
    <row r="2587" spans="1:55" ht="75" hidden="1" x14ac:dyDescent="0.25">
      <c r="A2587" s="373">
        <v>41741</v>
      </c>
      <c r="B2587" s="233" t="str">
        <f>VLOOKUP(Table8[[#This Row],[Document ID]],Table1[],2,FALSE)</f>
        <v>ARE</v>
      </c>
      <c r="C2587" s="233" t="str">
        <f>VLOOKUP(Table8[[#This Row],[Document ID]],Table1[],3,FALSE)</f>
        <v>United Arab Emirates</v>
      </c>
      <c r="D2587" s="243" t="str">
        <f>VLOOKUP(Table8[[#This Row],[Document ID]],Table1[],5,FALSE)</f>
        <v>LTS</v>
      </c>
      <c r="E2587" s="233" t="str">
        <f>VLOOKUP(Table8[[#This Row],[Document ID]],Table1[],7,FALSE)</f>
        <v>LTS</v>
      </c>
      <c r="F2587" s="233" t="str">
        <f>VLOOKUP(Table8[[#This Row],[Document ID]],Table1[],8,FALSE)</f>
        <v>LTS 1.0</v>
      </c>
      <c r="G2587" s="233" t="str">
        <f>VLOOKUP(Table8[[#This Row],[Document ID]],Table1[],10,FALSE)</f>
        <v>Active</v>
      </c>
      <c r="H2587" s="44" t="s">
        <v>2329</v>
      </c>
      <c r="I2587" s="44" t="s">
        <v>2330</v>
      </c>
      <c r="J2587" s="44" t="s">
        <v>2391</v>
      </c>
      <c r="K2587" s="44" t="s">
        <v>4680</v>
      </c>
      <c r="L2587" s="44" t="s">
        <v>2333</v>
      </c>
      <c r="M2587" s="43">
        <v>69</v>
      </c>
      <c r="N2587" s="113"/>
      <c r="O2587" s="113"/>
      <c r="P2587" s="113"/>
      <c r="Q2587" s="113"/>
      <c r="R2587" s="113"/>
      <c r="S2587" s="113"/>
      <c r="T2587" s="113"/>
      <c r="U2587" s="113" t="s">
        <v>1113</v>
      </c>
      <c r="V2587" s="113"/>
      <c r="W2587" s="113"/>
      <c r="X2587" s="113"/>
      <c r="Y2587" s="113"/>
      <c r="Z2587" s="113"/>
      <c r="AA2587" s="113"/>
      <c r="AB2587" s="113"/>
      <c r="AC2587" s="113"/>
      <c r="AD2587" s="113"/>
      <c r="AE2587" s="113"/>
      <c r="AF2587" s="113"/>
      <c r="AG2587" s="113"/>
      <c r="AH2587" s="113"/>
      <c r="AI2587" s="113"/>
      <c r="AJ2587" s="113"/>
      <c r="AK2587" s="113" t="s">
        <v>1113</v>
      </c>
      <c r="AL2587" s="113"/>
      <c r="AM2587" s="113"/>
      <c r="AN2587" s="113"/>
      <c r="AO2587" s="43" t="s">
        <v>2348</v>
      </c>
      <c r="AP2587" s="43"/>
      <c r="AQ2587" s="236" t="str">
        <f>VLOOKUP(Table8[[#This Row],[Instrument]],Def_Targets!$D$73:$E$159,2,FALSE)</f>
        <v>I_Hydrogen</v>
      </c>
      <c r="AR2587" s="233" t="str">
        <f>VLOOKUP(Table8[[#This Row],[Country Code]],Table29[],3,FALSE)</f>
        <v>Non-Annex I</v>
      </c>
      <c r="AS2587" s="233" t="str">
        <f>VLOOKUP(Table8[[#This Row],[Country Code]],Table29[],4,FALSE)</f>
        <v>Asia</v>
      </c>
      <c r="AT2587" s="233" t="str">
        <f>VLOOKUP(Table8[[#This Row],[Country Code]],Table29[],5,FALSE)</f>
        <v>High-income</v>
      </c>
      <c r="AU2587" s="233" t="str">
        <f>VLOOKUP(Table8[[#This Row],[Country Code]],Table29[],6,FALSE)</f>
        <v>no</v>
      </c>
      <c r="AV2587" s="233" t="str">
        <f>VLOOKUP(Table8[[#This Row],[Country Code]],Table29[],7,FALSE)</f>
        <v>no</v>
      </c>
      <c r="AW2587" s="233" t="str">
        <f>VLOOKUP(Table8[[#This Row],[Country Code]],Table29[],8,FALSE)</f>
        <v>non-OECD</v>
      </c>
      <c r="AX2587" s="233" t="str">
        <f>VLOOKUP(Table8[[#This Row],[Country Code]],Table29[],9,FALSE)</f>
        <v>no</v>
      </c>
      <c r="AY2587" s="233" t="str">
        <f>VLOOKUP(Table8[[#This Row],[Country Code]],Table29[],10,FALSE)</f>
        <v>MENA</v>
      </c>
      <c r="AZ2587" s="235">
        <f>VLOOKUP(Table8[[#This Row],[Country Code]],Table29[],23,FALSE)</f>
        <v>267.82319378585998</v>
      </c>
      <c r="BA2587" s="235">
        <f>VLOOKUP(Table8[[#This Row],[Country Code]],Table29[],24,FALSE)</f>
        <v>43.860911308351241</v>
      </c>
      <c r="BB2587" s="320"/>
      <c r="BC2587" s="320"/>
    </row>
    <row r="2588" spans="1:55" ht="45" hidden="1" x14ac:dyDescent="0.25">
      <c r="A2588" s="373">
        <v>41741</v>
      </c>
      <c r="B2588" s="233" t="str">
        <f>VLOOKUP(Table8[[#This Row],[Document ID]],Table1[],2,FALSE)</f>
        <v>ARE</v>
      </c>
      <c r="C2588" s="233" t="str">
        <f>VLOOKUP(Table8[[#This Row],[Document ID]],Table1[],3,FALSE)</f>
        <v>United Arab Emirates</v>
      </c>
      <c r="D2588" s="243" t="str">
        <f>VLOOKUP(Table8[[#This Row],[Document ID]],Table1[],5,FALSE)</f>
        <v>LTS</v>
      </c>
      <c r="E2588" s="233" t="str">
        <f>VLOOKUP(Table8[[#This Row],[Document ID]],Table1[],7,FALSE)</f>
        <v>LTS</v>
      </c>
      <c r="F2588" s="233" t="str">
        <f>VLOOKUP(Table8[[#This Row],[Document ID]],Table1[],8,FALSE)</f>
        <v>LTS 1.0</v>
      </c>
      <c r="G2588" s="233" t="str">
        <f>VLOOKUP(Table8[[#This Row],[Document ID]],Table1[],10,FALSE)</f>
        <v>Active</v>
      </c>
      <c r="H2588" s="44" t="s">
        <v>2329</v>
      </c>
      <c r="I2588" s="44" t="s">
        <v>2330</v>
      </c>
      <c r="J2588" s="44" t="s">
        <v>2391</v>
      </c>
      <c r="K2588" s="44" t="s">
        <v>4681</v>
      </c>
      <c r="L2588" s="44" t="s">
        <v>2333</v>
      </c>
      <c r="M2588" s="43">
        <v>69</v>
      </c>
      <c r="N2588" s="113"/>
      <c r="O2588" s="113"/>
      <c r="P2588" s="113"/>
      <c r="Q2588" s="113"/>
      <c r="R2588" s="113"/>
      <c r="S2588" s="113"/>
      <c r="T2588" s="113"/>
      <c r="U2588" s="113"/>
      <c r="V2588" s="113"/>
      <c r="W2588" s="113" t="s">
        <v>1113</v>
      </c>
      <c r="X2588" s="113"/>
      <c r="Y2588" s="113"/>
      <c r="Z2588" s="113"/>
      <c r="AA2588" s="113"/>
      <c r="AB2588" s="113"/>
      <c r="AC2588" s="113"/>
      <c r="AD2588" s="113"/>
      <c r="AE2588" s="113"/>
      <c r="AF2588" s="113"/>
      <c r="AG2588" s="113"/>
      <c r="AH2588" s="113"/>
      <c r="AI2588" s="113"/>
      <c r="AJ2588" s="113"/>
      <c r="AK2588" s="113" t="s">
        <v>1113</v>
      </c>
      <c r="AL2588" s="113"/>
      <c r="AM2588" s="113"/>
      <c r="AN2588" s="113"/>
      <c r="AO2588" s="43" t="s">
        <v>2348</v>
      </c>
      <c r="AP2588" s="43"/>
      <c r="AQ2588" s="236" t="str">
        <f>VLOOKUP(Table8[[#This Row],[Instrument]],Def_Targets!$D$73:$E$159,2,FALSE)</f>
        <v>I_Hydrogen</v>
      </c>
      <c r="AR2588" s="233" t="str">
        <f>VLOOKUP(Table8[[#This Row],[Country Code]],Table29[],3,FALSE)</f>
        <v>Non-Annex I</v>
      </c>
      <c r="AS2588" s="233" t="str">
        <f>VLOOKUP(Table8[[#This Row],[Country Code]],Table29[],4,FALSE)</f>
        <v>Asia</v>
      </c>
      <c r="AT2588" s="233" t="str">
        <f>VLOOKUP(Table8[[#This Row],[Country Code]],Table29[],5,FALSE)</f>
        <v>High-income</v>
      </c>
      <c r="AU2588" s="233" t="str">
        <f>VLOOKUP(Table8[[#This Row],[Country Code]],Table29[],6,FALSE)</f>
        <v>no</v>
      </c>
      <c r="AV2588" s="233" t="str">
        <f>VLOOKUP(Table8[[#This Row],[Country Code]],Table29[],7,FALSE)</f>
        <v>no</v>
      </c>
      <c r="AW2588" s="233" t="str">
        <f>VLOOKUP(Table8[[#This Row],[Country Code]],Table29[],8,FALSE)</f>
        <v>non-OECD</v>
      </c>
      <c r="AX2588" s="233" t="str">
        <f>VLOOKUP(Table8[[#This Row],[Country Code]],Table29[],9,FALSE)</f>
        <v>no</v>
      </c>
      <c r="AY2588" s="233" t="str">
        <f>VLOOKUP(Table8[[#This Row],[Country Code]],Table29[],10,FALSE)</f>
        <v>MENA</v>
      </c>
      <c r="AZ2588" s="235">
        <f>VLOOKUP(Table8[[#This Row],[Country Code]],Table29[],23,FALSE)</f>
        <v>267.82319378585998</v>
      </c>
      <c r="BA2588" s="235">
        <f>VLOOKUP(Table8[[#This Row],[Country Code]],Table29[],24,FALSE)</f>
        <v>43.860911308351241</v>
      </c>
      <c r="BB2588" s="320"/>
      <c r="BC2588" s="320"/>
    </row>
    <row r="2589" spans="1:55" ht="105" hidden="1" x14ac:dyDescent="0.25">
      <c r="A2589" s="373">
        <v>41741</v>
      </c>
      <c r="B2589" s="233" t="str">
        <f>VLOOKUP(Table8[[#This Row],[Document ID]],Table1[],2,FALSE)</f>
        <v>ARE</v>
      </c>
      <c r="C2589" s="233" t="str">
        <f>VLOOKUP(Table8[[#This Row],[Document ID]],Table1[],3,FALSE)</f>
        <v>United Arab Emirates</v>
      </c>
      <c r="D2589" s="243" t="str">
        <f>VLOOKUP(Table8[[#This Row],[Document ID]],Table1[],5,FALSE)</f>
        <v>LTS</v>
      </c>
      <c r="E2589" s="233" t="str">
        <f>VLOOKUP(Table8[[#This Row],[Document ID]],Table1[],7,FALSE)</f>
        <v>LTS</v>
      </c>
      <c r="F2589" s="233" t="str">
        <f>VLOOKUP(Table8[[#This Row],[Document ID]],Table1[],8,FALSE)</f>
        <v>LTS 1.0</v>
      </c>
      <c r="G2589" s="233" t="str">
        <f>VLOOKUP(Table8[[#This Row],[Document ID]],Table1[],10,FALSE)</f>
        <v>Active</v>
      </c>
      <c r="H2589" s="44" t="s">
        <v>2329</v>
      </c>
      <c r="I2589" s="44" t="s">
        <v>2330</v>
      </c>
      <c r="J2589" s="44" t="s">
        <v>2391</v>
      </c>
      <c r="K2589" s="44" t="s">
        <v>4682</v>
      </c>
      <c r="L2589" s="44" t="s">
        <v>2333</v>
      </c>
      <c r="M2589" s="43">
        <v>70</v>
      </c>
      <c r="N2589" s="113"/>
      <c r="O2589" s="113"/>
      <c r="P2589" s="113"/>
      <c r="Q2589" s="113"/>
      <c r="R2589" s="113"/>
      <c r="S2589" s="113"/>
      <c r="T2589" s="113"/>
      <c r="U2589" s="113"/>
      <c r="V2589" s="113"/>
      <c r="W2589" s="113"/>
      <c r="X2589" s="113"/>
      <c r="Y2589" s="113" t="s">
        <v>1113</v>
      </c>
      <c r="Z2589" s="113"/>
      <c r="AA2589" s="113"/>
      <c r="AB2589" s="113"/>
      <c r="AC2589" s="113"/>
      <c r="AD2589" s="113"/>
      <c r="AE2589" s="113"/>
      <c r="AF2589" s="113"/>
      <c r="AG2589" s="113"/>
      <c r="AH2589" s="113"/>
      <c r="AI2589" s="113"/>
      <c r="AJ2589" s="113"/>
      <c r="AK2589" s="113" t="s">
        <v>1113</v>
      </c>
      <c r="AL2589" s="113"/>
      <c r="AM2589" s="113"/>
      <c r="AN2589" s="113"/>
      <c r="AO2589" s="43" t="s">
        <v>2348</v>
      </c>
      <c r="AP2589" s="43"/>
      <c r="AQ2589" s="236" t="str">
        <f>VLOOKUP(Table8[[#This Row],[Instrument]],Def_Targets!$D$73:$E$159,2,FALSE)</f>
        <v>I_Hydrogen</v>
      </c>
      <c r="AR2589" s="233" t="str">
        <f>VLOOKUP(Table8[[#This Row],[Country Code]],Table29[],3,FALSE)</f>
        <v>Non-Annex I</v>
      </c>
      <c r="AS2589" s="233" t="str">
        <f>VLOOKUP(Table8[[#This Row],[Country Code]],Table29[],4,FALSE)</f>
        <v>Asia</v>
      </c>
      <c r="AT2589" s="233" t="str">
        <f>VLOOKUP(Table8[[#This Row],[Country Code]],Table29[],5,FALSE)</f>
        <v>High-income</v>
      </c>
      <c r="AU2589" s="233" t="str">
        <f>VLOOKUP(Table8[[#This Row],[Country Code]],Table29[],6,FALSE)</f>
        <v>no</v>
      </c>
      <c r="AV2589" s="233" t="str">
        <f>VLOOKUP(Table8[[#This Row],[Country Code]],Table29[],7,FALSE)</f>
        <v>no</v>
      </c>
      <c r="AW2589" s="233" t="str">
        <f>VLOOKUP(Table8[[#This Row],[Country Code]],Table29[],8,FALSE)</f>
        <v>non-OECD</v>
      </c>
      <c r="AX2589" s="233" t="str">
        <f>VLOOKUP(Table8[[#This Row],[Country Code]],Table29[],9,FALSE)</f>
        <v>no</v>
      </c>
      <c r="AY2589" s="233" t="str">
        <f>VLOOKUP(Table8[[#This Row],[Country Code]],Table29[],10,FALSE)</f>
        <v>MENA</v>
      </c>
      <c r="AZ2589" s="235">
        <f>VLOOKUP(Table8[[#This Row],[Country Code]],Table29[],23,FALSE)</f>
        <v>267.82319378585998</v>
      </c>
      <c r="BA2589" s="235">
        <f>VLOOKUP(Table8[[#This Row],[Country Code]],Table29[],24,FALSE)</f>
        <v>43.860911308351241</v>
      </c>
      <c r="BB2589" s="320"/>
      <c r="BC2589" s="320"/>
    </row>
    <row r="2590" spans="1:55" ht="45" hidden="1" x14ac:dyDescent="0.25">
      <c r="A2590" s="373">
        <v>41741</v>
      </c>
      <c r="B2590" s="233" t="str">
        <f>VLOOKUP(Table8[[#This Row],[Document ID]],Table1[],2,FALSE)</f>
        <v>ARE</v>
      </c>
      <c r="C2590" s="233" t="str">
        <f>VLOOKUP(Table8[[#This Row],[Document ID]],Table1[],3,FALSE)</f>
        <v>United Arab Emirates</v>
      </c>
      <c r="D2590" s="243" t="str">
        <f>VLOOKUP(Table8[[#This Row],[Document ID]],Table1[],5,FALSE)</f>
        <v>LTS</v>
      </c>
      <c r="E2590" s="233" t="str">
        <f>VLOOKUP(Table8[[#This Row],[Document ID]],Table1[],7,FALSE)</f>
        <v>LTS</v>
      </c>
      <c r="F2590" s="233" t="str">
        <f>VLOOKUP(Table8[[#This Row],[Document ID]],Table1[],8,FALSE)</f>
        <v>LTS 1.0</v>
      </c>
      <c r="G2590" s="233" t="str">
        <f>VLOOKUP(Table8[[#This Row],[Document ID]],Table1[],10,FALSE)</f>
        <v>Active</v>
      </c>
      <c r="H2590" s="43" t="s">
        <v>2358</v>
      </c>
      <c r="I2590" s="43" t="s">
        <v>2359</v>
      </c>
      <c r="J2590" s="44" t="s">
        <v>2360</v>
      </c>
      <c r="K2590" s="44" t="s">
        <v>4683</v>
      </c>
      <c r="L2590" s="44" t="s">
        <v>2333</v>
      </c>
      <c r="M2590" s="43">
        <v>70</v>
      </c>
      <c r="N2590" s="113"/>
      <c r="O2590" s="113"/>
      <c r="P2590" s="113"/>
      <c r="Q2590" s="113"/>
      <c r="R2590" s="113"/>
      <c r="S2590" s="113"/>
      <c r="T2590" s="113" t="s">
        <v>1113</v>
      </c>
      <c r="U2590" s="113"/>
      <c r="V2590" s="113"/>
      <c r="W2590" s="113"/>
      <c r="X2590" s="113"/>
      <c r="Y2590" s="113"/>
      <c r="Z2590" s="113"/>
      <c r="AA2590" s="113"/>
      <c r="AB2590" s="113"/>
      <c r="AC2590" s="113"/>
      <c r="AD2590" s="113"/>
      <c r="AE2590" s="113"/>
      <c r="AF2590" s="113"/>
      <c r="AG2590" s="113"/>
      <c r="AH2590" s="113"/>
      <c r="AI2590" s="113"/>
      <c r="AJ2590" s="113"/>
      <c r="AK2590" s="113" t="s">
        <v>1113</v>
      </c>
      <c r="AL2590" s="113"/>
      <c r="AM2590" s="113"/>
      <c r="AN2590" s="113"/>
      <c r="AO2590" s="43" t="s">
        <v>2348</v>
      </c>
      <c r="AP2590" s="43"/>
      <c r="AQ2590" s="236" t="str">
        <f>VLOOKUP(Table8[[#This Row],[Instrument]],Def_Targets!$D$73:$E$159,2,FALSE)</f>
        <v>I_Emobility</v>
      </c>
      <c r="AR2590" s="233" t="str">
        <f>VLOOKUP(Table8[[#This Row],[Country Code]],Table29[],3,FALSE)</f>
        <v>Non-Annex I</v>
      </c>
      <c r="AS2590" s="233" t="str">
        <f>VLOOKUP(Table8[[#This Row],[Country Code]],Table29[],4,FALSE)</f>
        <v>Asia</v>
      </c>
      <c r="AT2590" s="233" t="str">
        <f>VLOOKUP(Table8[[#This Row],[Country Code]],Table29[],5,FALSE)</f>
        <v>High-income</v>
      </c>
      <c r="AU2590" s="233" t="str">
        <f>VLOOKUP(Table8[[#This Row],[Country Code]],Table29[],6,FALSE)</f>
        <v>no</v>
      </c>
      <c r="AV2590" s="233" t="str">
        <f>VLOOKUP(Table8[[#This Row],[Country Code]],Table29[],7,FALSE)</f>
        <v>no</v>
      </c>
      <c r="AW2590" s="233" t="str">
        <f>VLOOKUP(Table8[[#This Row],[Country Code]],Table29[],8,FALSE)</f>
        <v>non-OECD</v>
      </c>
      <c r="AX2590" s="233" t="str">
        <f>VLOOKUP(Table8[[#This Row],[Country Code]],Table29[],9,FALSE)</f>
        <v>no</v>
      </c>
      <c r="AY2590" s="233" t="str">
        <f>VLOOKUP(Table8[[#This Row],[Country Code]],Table29[],10,FALSE)</f>
        <v>MENA</v>
      </c>
      <c r="AZ2590" s="235">
        <f>VLOOKUP(Table8[[#This Row],[Country Code]],Table29[],23,FALSE)</f>
        <v>267.82319378585998</v>
      </c>
      <c r="BA2590" s="235">
        <f>VLOOKUP(Table8[[#This Row],[Country Code]],Table29[],24,FALSE)</f>
        <v>43.860911308351241</v>
      </c>
      <c r="BB2590" s="320"/>
      <c r="BC2590" s="320"/>
    </row>
    <row r="2591" spans="1:55" ht="60" hidden="1" x14ac:dyDescent="0.25">
      <c r="A2591" s="373">
        <v>41741</v>
      </c>
      <c r="B2591" s="233" t="str">
        <f>VLOOKUP(Table8[[#This Row],[Document ID]],Table1[],2,FALSE)</f>
        <v>ARE</v>
      </c>
      <c r="C2591" s="233" t="str">
        <f>VLOOKUP(Table8[[#This Row],[Document ID]],Table1[],3,FALSE)</f>
        <v>United Arab Emirates</v>
      </c>
      <c r="D2591" s="243" t="str">
        <f>VLOOKUP(Table8[[#This Row],[Document ID]],Table1[],5,FALSE)</f>
        <v>LTS</v>
      </c>
      <c r="E2591" s="233" t="str">
        <f>VLOOKUP(Table8[[#This Row],[Document ID]],Table1[],7,FALSE)</f>
        <v>LTS</v>
      </c>
      <c r="F2591" s="233" t="str">
        <f>VLOOKUP(Table8[[#This Row],[Document ID]],Table1[],8,FALSE)</f>
        <v>LTS 1.0</v>
      </c>
      <c r="G2591" s="233" t="str">
        <f>VLOOKUP(Table8[[#This Row],[Document ID]],Table1[],10,FALSE)</f>
        <v>Active</v>
      </c>
      <c r="H2591" s="43" t="s">
        <v>2358</v>
      </c>
      <c r="I2591" s="43" t="s">
        <v>2359</v>
      </c>
      <c r="J2591" s="44" t="s">
        <v>2360</v>
      </c>
      <c r="K2591" s="44" t="s">
        <v>4684</v>
      </c>
      <c r="L2591" s="44" t="s">
        <v>2333</v>
      </c>
      <c r="M2591" s="43">
        <v>70</v>
      </c>
      <c r="N2591" s="113"/>
      <c r="O2591" s="113"/>
      <c r="P2591" s="113"/>
      <c r="Q2591" s="113"/>
      <c r="R2591" s="113"/>
      <c r="S2591" s="113"/>
      <c r="T2591" s="113"/>
      <c r="U2591" s="113"/>
      <c r="V2591" s="113"/>
      <c r="W2591" s="113"/>
      <c r="X2591" s="113"/>
      <c r="Y2591" s="113"/>
      <c r="Z2591" s="113" t="s">
        <v>1113</v>
      </c>
      <c r="AA2591" s="113"/>
      <c r="AB2591" s="113"/>
      <c r="AC2591" s="113"/>
      <c r="AD2591" s="113"/>
      <c r="AE2591" s="113"/>
      <c r="AF2591" s="113"/>
      <c r="AG2591" s="113"/>
      <c r="AH2591" s="113"/>
      <c r="AI2591" s="113"/>
      <c r="AJ2591" s="113"/>
      <c r="AK2591" s="113" t="s">
        <v>1113</v>
      </c>
      <c r="AL2591" s="113"/>
      <c r="AM2591" s="113"/>
      <c r="AN2591" s="113"/>
      <c r="AO2591" s="43" t="s">
        <v>2348</v>
      </c>
      <c r="AP2591" s="43"/>
      <c r="AQ2591" s="236" t="str">
        <f>VLOOKUP(Table8[[#This Row],[Instrument]],Def_Targets!$D$73:$E$159,2,FALSE)</f>
        <v>I_Emobility</v>
      </c>
      <c r="AR2591" s="233" t="str">
        <f>VLOOKUP(Table8[[#This Row],[Country Code]],Table29[],3,FALSE)</f>
        <v>Non-Annex I</v>
      </c>
      <c r="AS2591" s="233" t="str">
        <f>VLOOKUP(Table8[[#This Row],[Country Code]],Table29[],4,FALSE)</f>
        <v>Asia</v>
      </c>
      <c r="AT2591" s="233" t="str">
        <f>VLOOKUP(Table8[[#This Row],[Country Code]],Table29[],5,FALSE)</f>
        <v>High-income</v>
      </c>
      <c r="AU2591" s="233" t="str">
        <f>VLOOKUP(Table8[[#This Row],[Country Code]],Table29[],6,FALSE)</f>
        <v>no</v>
      </c>
      <c r="AV2591" s="233" t="str">
        <f>VLOOKUP(Table8[[#This Row],[Country Code]],Table29[],7,FALSE)</f>
        <v>no</v>
      </c>
      <c r="AW2591" s="233" t="str">
        <f>VLOOKUP(Table8[[#This Row],[Country Code]],Table29[],8,FALSE)</f>
        <v>non-OECD</v>
      </c>
      <c r="AX2591" s="233" t="str">
        <f>VLOOKUP(Table8[[#This Row],[Country Code]],Table29[],9,FALSE)</f>
        <v>no</v>
      </c>
      <c r="AY2591" s="233" t="str">
        <f>VLOOKUP(Table8[[#This Row],[Country Code]],Table29[],10,FALSE)</f>
        <v>MENA</v>
      </c>
      <c r="AZ2591" s="235">
        <f>VLOOKUP(Table8[[#This Row],[Country Code]],Table29[],23,FALSE)</f>
        <v>267.82319378585998</v>
      </c>
      <c r="BA2591" s="235">
        <f>VLOOKUP(Table8[[#This Row],[Country Code]],Table29[],24,FALSE)</f>
        <v>43.860911308351241</v>
      </c>
      <c r="BB2591" s="320"/>
      <c r="BC2591" s="320"/>
    </row>
    <row r="2592" spans="1:55" ht="60" hidden="1" x14ac:dyDescent="0.25">
      <c r="A2592" s="373">
        <v>41741</v>
      </c>
      <c r="B2592" s="233" t="str">
        <f>VLOOKUP(Table8[[#This Row],[Document ID]],Table1[],2,FALSE)</f>
        <v>ARE</v>
      </c>
      <c r="C2592" s="233" t="str">
        <f>VLOOKUP(Table8[[#This Row],[Document ID]],Table1[],3,FALSE)</f>
        <v>United Arab Emirates</v>
      </c>
      <c r="D2592" s="243" t="str">
        <f>VLOOKUP(Table8[[#This Row],[Document ID]],Table1[],5,FALSE)</f>
        <v>LTS</v>
      </c>
      <c r="E2592" s="233" t="str">
        <f>VLOOKUP(Table8[[#This Row],[Document ID]],Table1[],7,FALSE)</f>
        <v>LTS</v>
      </c>
      <c r="F2592" s="233" t="str">
        <f>VLOOKUP(Table8[[#This Row],[Document ID]],Table1[],8,FALSE)</f>
        <v>LTS 1.0</v>
      </c>
      <c r="G2592" s="233" t="str">
        <f>VLOOKUP(Table8[[#This Row],[Document ID]],Table1[],10,FALSE)</f>
        <v>Active</v>
      </c>
      <c r="H2592" s="44" t="s">
        <v>2329</v>
      </c>
      <c r="I2592" s="44" t="s">
        <v>2330</v>
      </c>
      <c r="J2592" s="44" t="s">
        <v>2391</v>
      </c>
      <c r="K2592" s="44" t="s">
        <v>4684</v>
      </c>
      <c r="L2592" s="44" t="s">
        <v>2333</v>
      </c>
      <c r="M2592" s="43">
        <v>70</v>
      </c>
      <c r="N2592" s="113"/>
      <c r="O2592" s="113"/>
      <c r="P2592" s="113"/>
      <c r="Q2592" s="113"/>
      <c r="R2592" s="113"/>
      <c r="S2592" s="113"/>
      <c r="T2592" s="113"/>
      <c r="U2592" s="113"/>
      <c r="V2592" s="113"/>
      <c r="W2592" s="113"/>
      <c r="X2592" s="113"/>
      <c r="Y2592" s="113"/>
      <c r="Z2592" s="113" t="s">
        <v>1113</v>
      </c>
      <c r="AA2592" s="113"/>
      <c r="AB2592" s="113"/>
      <c r="AC2592" s="113"/>
      <c r="AD2592" s="113"/>
      <c r="AE2592" s="113"/>
      <c r="AF2592" s="113"/>
      <c r="AG2592" s="113"/>
      <c r="AH2592" s="113"/>
      <c r="AI2592" s="113"/>
      <c r="AJ2592" s="113"/>
      <c r="AK2592" s="113" t="s">
        <v>1113</v>
      </c>
      <c r="AL2592" s="113"/>
      <c r="AM2592" s="113"/>
      <c r="AN2592" s="113"/>
      <c r="AO2592" s="43" t="s">
        <v>2348</v>
      </c>
      <c r="AP2592" s="43"/>
      <c r="AQ2592" s="236" t="str">
        <f>VLOOKUP(Table8[[#This Row],[Instrument]],Def_Targets!$D$73:$E$159,2,FALSE)</f>
        <v>I_Hydrogen</v>
      </c>
      <c r="AR2592" s="233" t="str">
        <f>VLOOKUP(Table8[[#This Row],[Country Code]],Table29[],3,FALSE)</f>
        <v>Non-Annex I</v>
      </c>
      <c r="AS2592" s="233" t="str">
        <f>VLOOKUP(Table8[[#This Row],[Country Code]],Table29[],4,FALSE)</f>
        <v>Asia</v>
      </c>
      <c r="AT2592" s="233" t="str">
        <f>VLOOKUP(Table8[[#This Row],[Country Code]],Table29[],5,FALSE)</f>
        <v>High-income</v>
      </c>
      <c r="AU2592" s="233" t="str">
        <f>VLOOKUP(Table8[[#This Row],[Country Code]],Table29[],6,FALSE)</f>
        <v>no</v>
      </c>
      <c r="AV2592" s="233" t="str">
        <f>VLOOKUP(Table8[[#This Row],[Country Code]],Table29[],7,FALSE)</f>
        <v>no</v>
      </c>
      <c r="AW2592" s="233" t="str">
        <f>VLOOKUP(Table8[[#This Row],[Country Code]],Table29[],8,FALSE)</f>
        <v>non-OECD</v>
      </c>
      <c r="AX2592" s="233" t="str">
        <f>VLOOKUP(Table8[[#This Row],[Country Code]],Table29[],9,FALSE)</f>
        <v>no</v>
      </c>
      <c r="AY2592" s="233" t="str">
        <f>VLOOKUP(Table8[[#This Row],[Country Code]],Table29[],10,FALSE)</f>
        <v>MENA</v>
      </c>
      <c r="AZ2592" s="235">
        <f>VLOOKUP(Table8[[#This Row],[Country Code]],Table29[],23,FALSE)</f>
        <v>267.82319378585998</v>
      </c>
      <c r="BA2592" s="235">
        <f>VLOOKUP(Table8[[#This Row],[Country Code]],Table29[],24,FALSE)</f>
        <v>43.860911308351241</v>
      </c>
      <c r="BB2592" s="320"/>
      <c r="BC2592" s="320"/>
    </row>
    <row r="2593" spans="1:55" ht="90" hidden="1" x14ac:dyDescent="0.25">
      <c r="A2593" s="373">
        <v>41741</v>
      </c>
      <c r="B2593" s="233" t="str">
        <f>VLOOKUP(Table8[[#This Row],[Document ID]],Table1[],2,FALSE)</f>
        <v>ARE</v>
      </c>
      <c r="C2593" s="233" t="str">
        <f>VLOOKUP(Table8[[#This Row],[Document ID]],Table1[],3,FALSE)</f>
        <v>United Arab Emirates</v>
      </c>
      <c r="D2593" s="243" t="str">
        <f>VLOOKUP(Table8[[#This Row],[Document ID]],Table1[],5,FALSE)</f>
        <v>LTS</v>
      </c>
      <c r="E2593" s="233" t="str">
        <f>VLOOKUP(Table8[[#This Row],[Document ID]],Table1[],7,FALSE)</f>
        <v>LTS</v>
      </c>
      <c r="F2593" s="233" t="str">
        <f>VLOOKUP(Table8[[#This Row],[Document ID]],Table1[],8,FALSE)</f>
        <v>LTS 1.0</v>
      </c>
      <c r="G2593" s="233" t="str">
        <f>VLOOKUP(Table8[[#This Row],[Document ID]],Table1[],10,FALSE)</f>
        <v>Active</v>
      </c>
      <c r="H2593" s="43" t="s">
        <v>2350</v>
      </c>
      <c r="I2593" s="43" t="s">
        <v>2351</v>
      </c>
      <c r="J2593" s="44" t="s">
        <v>2352</v>
      </c>
      <c r="K2593" s="44" t="s">
        <v>4685</v>
      </c>
      <c r="L2593" s="44" t="s">
        <v>2347</v>
      </c>
      <c r="M2593" s="43">
        <v>71</v>
      </c>
      <c r="N2593" s="113" t="s">
        <v>1113</v>
      </c>
      <c r="O2593" s="113"/>
      <c r="P2593" s="113"/>
      <c r="Q2593" s="113"/>
      <c r="R2593" s="113"/>
      <c r="S2593" s="113"/>
      <c r="T2593" s="113"/>
      <c r="U2593" s="113"/>
      <c r="V2593" s="113"/>
      <c r="W2593" s="113"/>
      <c r="X2593" s="113"/>
      <c r="Y2593" s="113"/>
      <c r="Z2593" s="113"/>
      <c r="AA2593" s="113"/>
      <c r="AB2593" s="113"/>
      <c r="AC2593" s="113"/>
      <c r="AD2593" s="113"/>
      <c r="AE2593" s="113"/>
      <c r="AF2593" s="113"/>
      <c r="AG2593" s="113"/>
      <c r="AH2593" s="113"/>
      <c r="AI2593" s="113"/>
      <c r="AJ2593" s="113"/>
      <c r="AK2593" s="113" t="s">
        <v>1113</v>
      </c>
      <c r="AL2593" s="113"/>
      <c r="AM2593" s="113"/>
      <c r="AN2593" s="113"/>
      <c r="AO2593" s="43" t="s">
        <v>2353</v>
      </c>
      <c r="AP2593" s="43"/>
      <c r="AQ2593" s="236" t="str">
        <f>VLOOKUP(Table8[[#This Row],[Instrument]],Def_Targets!$D$73:$E$159,2,FALSE)</f>
        <v>S_Railfreight</v>
      </c>
      <c r="AR2593" s="233" t="str">
        <f>VLOOKUP(Table8[[#This Row],[Country Code]],Table29[],3,FALSE)</f>
        <v>Non-Annex I</v>
      </c>
      <c r="AS2593" s="233" t="str">
        <f>VLOOKUP(Table8[[#This Row],[Country Code]],Table29[],4,FALSE)</f>
        <v>Asia</v>
      </c>
      <c r="AT2593" s="233" t="str">
        <f>VLOOKUP(Table8[[#This Row],[Country Code]],Table29[],5,FALSE)</f>
        <v>High-income</v>
      </c>
      <c r="AU2593" s="233" t="str">
        <f>VLOOKUP(Table8[[#This Row],[Country Code]],Table29[],6,FALSE)</f>
        <v>no</v>
      </c>
      <c r="AV2593" s="233" t="str">
        <f>VLOOKUP(Table8[[#This Row],[Country Code]],Table29[],7,FALSE)</f>
        <v>no</v>
      </c>
      <c r="AW2593" s="233" t="str">
        <f>VLOOKUP(Table8[[#This Row],[Country Code]],Table29[],8,FALSE)</f>
        <v>non-OECD</v>
      </c>
      <c r="AX2593" s="233" t="str">
        <f>VLOOKUP(Table8[[#This Row],[Country Code]],Table29[],9,FALSE)</f>
        <v>no</v>
      </c>
      <c r="AY2593" s="233" t="str">
        <f>VLOOKUP(Table8[[#This Row],[Country Code]],Table29[],10,FALSE)</f>
        <v>MENA</v>
      </c>
      <c r="AZ2593" s="235">
        <f>VLOOKUP(Table8[[#This Row],[Country Code]],Table29[],23,FALSE)</f>
        <v>267.82319378585998</v>
      </c>
      <c r="BA2593" s="235">
        <f>VLOOKUP(Table8[[#This Row],[Country Code]],Table29[],24,FALSE)</f>
        <v>43.860911308351241</v>
      </c>
      <c r="BB2593" s="320"/>
      <c r="BC2593" s="320"/>
    </row>
    <row r="2594" spans="1:55" ht="90" hidden="1" x14ac:dyDescent="0.25">
      <c r="A2594" s="373">
        <v>41741</v>
      </c>
      <c r="B2594" s="233" t="str">
        <f>VLOOKUP(Table8[[#This Row],[Document ID]],Table1[],2,FALSE)</f>
        <v>ARE</v>
      </c>
      <c r="C2594" s="233" t="str">
        <f>VLOOKUP(Table8[[#This Row],[Document ID]],Table1[],3,FALSE)</f>
        <v>United Arab Emirates</v>
      </c>
      <c r="D2594" s="243" t="str">
        <f>VLOOKUP(Table8[[#This Row],[Document ID]],Table1[],5,FALSE)</f>
        <v>LTS</v>
      </c>
      <c r="E2594" s="233" t="str">
        <f>VLOOKUP(Table8[[#This Row],[Document ID]],Table1[],7,FALSE)</f>
        <v>LTS</v>
      </c>
      <c r="F2594" s="233" t="str">
        <f>VLOOKUP(Table8[[#This Row],[Document ID]],Table1[],8,FALSE)</f>
        <v>LTS 1.0</v>
      </c>
      <c r="G2594" s="233" t="str">
        <f>VLOOKUP(Table8[[#This Row],[Document ID]],Table1[],10,FALSE)</f>
        <v>Active</v>
      </c>
      <c r="H2594" s="43" t="s">
        <v>2358</v>
      </c>
      <c r="I2594" s="43" t="s">
        <v>2359</v>
      </c>
      <c r="J2594" s="44" t="s">
        <v>2360</v>
      </c>
      <c r="K2594" s="44" t="s">
        <v>4686</v>
      </c>
      <c r="L2594" s="44" t="s">
        <v>2333</v>
      </c>
      <c r="M2594" s="43">
        <v>71</v>
      </c>
      <c r="N2594" s="113"/>
      <c r="O2594" s="113"/>
      <c r="P2594" s="113"/>
      <c r="Q2594" s="113"/>
      <c r="R2594" s="113"/>
      <c r="S2594" s="113"/>
      <c r="T2594" s="113"/>
      <c r="U2594" s="113"/>
      <c r="V2594" s="113"/>
      <c r="W2594" s="113"/>
      <c r="X2594" s="113" t="s">
        <v>1113</v>
      </c>
      <c r="Y2594" s="113"/>
      <c r="Z2594" s="113"/>
      <c r="AA2594" s="113"/>
      <c r="AB2594" s="113"/>
      <c r="AC2594" s="113"/>
      <c r="AD2594" s="113"/>
      <c r="AE2594" s="113"/>
      <c r="AF2594" s="113"/>
      <c r="AG2594" s="113"/>
      <c r="AH2594" s="113"/>
      <c r="AI2594" s="113"/>
      <c r="AJ2594" s="113"/>
      <c r="AK2594" s="113" t="s">
        <v>1113</v>
      </c>
      <c r="AL2594" s="113"/>
      <c r="AM2594" s="113"/>
      <c r="AN2594" s="113"/>
      <c r="AO2594" s="43" t="s">
        <v>2353</v>
      </c>
      <c r="AP2594" s="43"/>
      <c r="AQ2594" s="236" t="str">
        <f>VLOOKUP(Table8[[#This Row],[Instrument]],Def_Targets!$D$73:$E$159,2,FALSE)</f>
        <v>I_Emobility</v>
      </c>
      <c r="AR2594" s="233" t="str">
        <f>VLOOKUP(Table8[[#This Row],[Country Code]],Table29[],3,FALSE)</f>
        <v>Non-Annex I</v>
      </c>
      <c r="AS2594" s="233" t="str">
        <f>VLOOKUP(Table8[[#This Row],[Country Code]],Table29[],4,FALSE)</f>
        <v>Asia</v>
      </c>
      <c r="AT2594" s="233" t="str">
        <f>VLOOKUP(Table8[[#This Row],[Country Code]],Table29[],5,FALSE)</f>
        <v>High-income</v>
      </c>
      <c r="AU2594" s="233" t="str">
        <f>VLOOKUP(Table8[[#This Row],[Country Code]],Table29[],6,FALSE)</f>
        <v>no</v>
      </c>
      <c r="AV2594" s="233" t="str">
        <f>VLOOKUP(Table8[[#This Row],[Country Code]],Table29[],7,FALSE)</f>
        <v>no</v>
      </c>
      <c r="AW2594" s="233" t="str">
        <f>VLOOKUP(Table8[[#This Row],[Country Code]],Table29[],8,FALSE)</f>
        <v>non-OECD</v>
      </c>
      <c r="AX2594" s="233" t="str">
        <f>VLOOKUP(Table8[[#This Row],[Country Code]],Table29[],9,FALSE)</f>
        <v>no</v>
      </c>
      <c r="AY2594" s="233" t="str">
        <f>VLOOKUP(Table8[[#This Row],[Country Code]],Table29[],10,FALSE)</f>
        <v>MENA</v>
      </c>
      <c r="AZ2594" s="235">
        <f>VLOOKUP(Table8[[#This Row],[Country Code]],Table29[],23,FALSE)</f>
        <v>267.82319378585998</v>
      </c>
      <c r="BA2594" s="235">
        <f>VLOOKUP(Table8[[#This Row],[Country Code]],Table29[],24,FALSE)</f>
        <v>43.860911308351241</v>
      </c>
      <c r="BB2594" s="320"/>
      <c r="BC2594" s="320"/>
    </row>
    <row r="2595" spans="1:55" ht="60" hidden="1" x14ac:dyDescent="0.25">
      <c r="A2595" s="367">
        <v>39438</v>
      </c>
      <c r="B2595" s="233" t="str">
        <f>VLOOKUP(Table8[[#This Row],[Document ID]],Table1[],2,FALSE)</f>
        <v>AZE</v>
      </c>
      <c r="C2595" s="233" t="str">
        <f>VLOOKUP(Table8[[#This Row],[Document ID]],Table1[],3,FALSE)</f>
        <v>Azerbaijan</v>
      </c>
      <c r="D2595" s="254" t="str">
        <f>VLOOKUP(Table8[[#This Row],[Document ID]],Table1[],5,FALSE)</f>
        <v>NDC</v>
      </c>
      <c r="E2595" s="233" t="str">
        <f>VLOOKUP(Table8[[#This Row],[Document ID]],Table1[],7,FALSE)</f>
        <v>Second NDC</v>
      </c>
      <c r="F2595" s="241" t="str">
        <f>VLOOKUP(Table8[[#This Row],[Document ID]],Table1[],8,FALSE)</f>
        <v>NDC 2.0</v>
      </c>
      <c r="G2595" s="241" t="str">
        <f>VLOOKUP(Table8[[#This Row],[Document ID]],Table1[],10,FALSE)</f>
        <v>Active</v>
      </c>
      <c r="H2595" s="44" t="s">
        <v>2329</v>
      </c>
      <c r="I2595" s="44" t="s">
        <v>2330</v>
      </c>
      <c r="J2595" s="44" t="s">
        <v>2381</v>
      </c>
      <c r="K2595" s="44" t="s">
        <v>4687</v>
      </c>
      <c r="L2595" s="44" t="s">
        <v>2333</v>
      </c>
      <c r="M2595" s="43">
        <v>13</v>
      </c>
      <c r="N2595" s="113" t="s">
        <v>1113</v>
      </c>
      <c r="O2595" s="113"/>
      <c r="P2595" s="113"/>
      <c r="Q2595" s="113"/>
      <c r="R2595" s="113"/>
      <c r="S2595" s="113"/>
      <c r="T2595" s="113"/>
      <c r="U2595" s="113"/>
      <c r="V2595" s="113"/>
      <c r="W2595" s="113"/>
      <c r="X2595" s="113"/>
      <c r="Y2595" s="113"/>
      <c r="Z2595" s="113"/>
      <c r="AA2595" s="113"/>
      <c r="AB2595" s="113"/>
      <c r="AC2595" s="113"/>
      <c r="AD2595" s="113"/>
      <c r="AE2595" s="113"/>
      <c r="AF2595" s="113"/>
      <c r="AG2595" s="113"/>
      <c r="AH2595" s="113"/>
      <c r="AI2595" s="113"/>
      <c r="AJ2595" s="113"/>
      <c r="AK2595" s="113" t="s">
        <v>1113</v>
      </c>
      <c r="AL2595" s="113"/>
      <c r="AM2595" s="113"/>
      <c r="AN2595" s="113"/>
      <c r="AO2595" s="44" t="s">
        <v>2334</v>
      </c>
      <c r="AP2595" s="43"/>
      <c r="AQ2595" s="236" t="str">
        <f>VLOOKUP(Table8[[#This Row],[Instrument]],Def_Targets!$D$73:$E$159,2,FALSE)</f>
        <v>I_RE</v>
      </c>
      <c r="AR2595" s="233" t="str">
        <f>VLOOKUP(Table8[[#This Row],[Country Code]],Table29[],3,FALSE)</f>
        <v>Non-Annex I</v>
      </c>
      <c r="AS2595" s="233" t="str">
        <f>VLOOKUP(Table8[[#This Row],[Country Code]],Table29[],4,FALSE)</f>
        <v>Asia</v>
      </c>
      <c r="AT2595" s="233" t="str">
        <f>VLOOKUP(Table8[[#This Row],[Country Code]],Table29[],5,FALSE)</f>
        <v>Middle-income</v>
      </c>
      <c r="AU2595" s="233" t="str">
        <f>VLOOKUP(Table8[[#This Row],[Country Code]],Table29[],6,FALSE)</f>
        <v>no</v>
      </c>
      <c r="AV2595" s="233" t="str">
        <f>VLOOKUP(Table8[[#This Row],[Country Code]],Table29[],7,FALSE)</f>
        <v>no</v>
      </c>
      <c r="AW2595" s="233" t="str">
        <f>VLOOKUP(Table8[[#This Row],[Country Code]],Table29[],8,FALSE)</f>
        <v>non-OECD</v>
      </c>
      <c r="AX2595" s="233" t="str">
        <f>VLOOKUP(Table8[[#This Row],[Country Code]],Table29[],9,FALSE)</f>
        <v>no</v>
      </c>
      <c r="AY2595" s="233" t="str">
        <f>VLOOKUP(Table8[[#This Row],[Country Code]],Table29[],10,FALSE)</f>
        <v>no</v>
      </c>
      <c r="AZ2595" s="235">
        <f>VLOOKUP(Table8[[#This Row],[Country Code]],Table29[],23,FALSE)</f>
        <v>62.550294041306003</v>
      </c>
      <c r="BA2595" s="235">
        <f>VLOOKUP(Table8[[#This Row],[Country Code]],Table29[],24,FALSE)</f>
        <v>8.4493328883147889</v>
      </c>
      <c r="BB2595" s="320"/>
      <c r="BC2595" s="320"/>
    </row>
    <row r="2596" spans="1:55" hidden="1" x14ac:dyDescent="0.25">
      <c r="A2596" s="373">
        <v>39438</v>
      </c>
      <c r="B2596" s="233" t="str">
        <f>VLOOKUP(Table8[[#This Row],[Document ID]],Table1[],2,FALSE)</f>
        <v>AZE</v>
      </c>
      <c r="C2596" s="233" t="str">
        <f>VLOOKUP(Table8[[#This Row],[Document ID]],Table1[],3,FALSE)</f>
        <v>Azerbaijan</v>
      </c>
      <c r="D2596" s="243" t="str">
        <f>VLOOKUP(Table8[[#This Row],[Document ID]],Table1[],5,FALSE)</f>
        <v>NDC</v>
      </c>
      <c r="E2596" s="233" t="str">
        <f>VLOOKUP(Table8[[#This Row],[Document ID]],Table1[],7,FALSE)</f>
        <v>Second NDC</v>
      </c>
      <c r="F2596" s="233" t="str">
        <f>VLOOKUP(Table8[[#This Row],[Document ID]],Table1[],8,FALSE)</f>
        <v>NDC 2.0</v>
      </c>
      <c r="G2596" s="233" t="str">
        <f>VLOOKUP(Table8[[#This Row],[Document ID]],Table1[],10,FALSE)</f>
        <v>Active</v>
      </c>
      <c r="H2596" s="43" t="s">
        <v>2350</v>
      </c>
      <c r="I2596" s="43" t="s">
        <v>2456</v>
      </c>
      <c r="J2596" s="44" t="s">
        <v>2466</v>
      </c>
      <c r="K2596" s="44" t="s">
        <v>4688</v>
      </c>
      <c r="L2596" s="44" t="s">
        <v>2347</v>
      </c>
      <c r="M2596" s="43">
        <v>15</v>
      </c>
      <c r="N2596" s="113" t="s">
        <v>1113</v>
      </c>
      <c r="O2596" s="113"/>
      <c r="P2596" s="113"/>
      <c r="Q2596" s="113"/>
      <c r="R2596" s="113"/>
      <c r="S2596" s="113"/>
      <c r="T2596" s="113"/>
      <c r="U2596" s="113"/>
      <c r="V2596" s="113"/>
      <c r="W2596" s="113"/>
      <c r="X2596" s="113"/>
      <c r="Y2596" s="113"/>
      <c r="Z2596" s="113"/>
      <c r="AA2596" s="113"/>
      <c r="AB2596" s="113"/>
      <c r="AC2596" s="113"/>
      <c r="AD2596" s="113"/>
      <c r="AE2596" s="113"/>
      <c r="AF2596" s="113"/>
      <c r="AG2596" s="113"/>
      <c r="AH2596" s="113"/>
      <c r="AI2596" s="113"/>
      <c r="AJ2596" s="113"/>
      <c r="AK2596" s="113" t="s">
        <v>1113</v>
      </c>
      <c r="AL2596" s="113"/>
      <c r="AM2596" s="113"/>
      <c r="AN2596" s="113"/>
      <c r="AO2596" s="44" t="s">
        <v>2334</v>
      </c>
      <c r="AP2596" s="43"/>
      <c r="AQ2596" s="236" t="str">
        <f>VLOOKUP(Table8[[#This Row],[Instrument]],Def_Targets!$D$73:$E$159,2,FALSE)</f>
        <v>S_Infraexpansion</v>
      </c>
      <c r="AR2596" s="233" t="str">
        <f>VLOOKUP(Table8[[#This Row],[Country Code]],Table29[],3,FALSE)</f>
        <v>Non-Annex I</v>
      </c>
      <c r="AS2596" s="233" t="str">
        <f>VLOOKUP(Table8[[#This Row],[Country Code]],Table29[],4,FALSE)</f>
        <v>Asia</v>
      </c>
      <c r="AT2596" s="233" t="str">
        <f>VLOOKUP(Table8[[#This Row],[Country Code]],Table29[],5,FALSE)</f>
        <v>Middle-income</v>
      </c>
      <c r="AU2596" s="233" t="str">
        <f>VLOOKUP(Table8[[#This Row],[Country Code]],Table29[],6,FALSE)</f>
        <v>no</v>
      </c>
      <c r="AV2596" s="233" t="str">
        <f>VLOOKUP(Table8[[#This Row],[Country Code]],Table29[],7,FALSE)</f>
        <v>no</v>
      </c>
      <c r="AW2596" s="233" t="str">
        <f>VLOOKUP(Table8[[#This Row],[Country Code]],Table29[],8,FALSE)</f>
        <v>non-OECD</v>
      </c>
      <c r="AX2596" s="233" t="str">
        <f>VLOOKUP(Table8[[#This Row],[Country Code]],Table29[],9,FALSE)</f>
        <v>no</v>
      </c>
      <c r="AY2596" s="233" t="str">
        <f>VLOOKUP(Table8[[#This Row],[Country Code]],Table29[],10,FALSE)</f>
        <v>no</v>
      </c>
      <c r="AZ2596" s="235">
        <f>VLOOKUP(Table8[[#This Row],[Country Code]],Table29[],23,FALSE)</f>
        <v>62.550294041306003</v>
      </c>
      <c r="BA2596" s="235">
        <f>VLOOKUP(Table8[[#This Row],[Country Code]],Table29[],24,FALSE)</f>
        <v>8.4493328883147889</v>
      </c>
      <c r="BB2596" s="320"/>
      <c r="BC2596" s="320"/>
    </row>
    <row r="2597" spans="1:55" ht="15" hidden="1" customHeight="1" x14ac:dyDescent="0.25">
      <c r="A2597" s="373">
        <v>39438</v>
      </c>
      <c r="B2597" s="233" t="str">
        <f>VLOOKUP(Table8[[#This Row],[Document ID]],Table1[],2,FALSE)</f>
        <v>AZE</v>
      </c>
      <c r="C2597" s="233" t="str">
        <f>VLOOKUP(Table8[[#This Row],[Document ID]],Table1[],3,FALSE)</f>
        <v>Azerbaijan</v>
      </c>
      <c r="D2597" s="243" t="str">
        <f>VLOOKUP(Table8[[#This Row],[Document ID]],Table1[],5,FALSE)</f>
        <v>NDC</v>
      </c>
      <c r="E2597" s="233" t="str">
        <f>VLOOKUP(Table8[[#This Row],[Document ID]],Table1[],7,FALSE)</f>
        <v>Second NDC</v>
      </c>
      <c r="F2597" s="233" t="str">
        <f>VLOOKUP(Table8[[#This Row],[Document ID]],Table1[],8,FALSE)</f>
        <v>NDC 2.0</v>
      </c>
      <c r="G2597" s="233" t="str">
        <f>VLOOKUP(Table8[[#This Row],[Document ID]],Table1[],10,FALSE)</f>
        <v>Active</v>
      </c>
      <c r="H2597" s="43" t="s">
        <v>2343</v>
      </c>
      <c r="I2597" s="43" t="s">
        <v>2429</v>
      </c>
      <c r="J2597" s="44" t="s">
        <v>2430</v>
      </c>
      <c r="K2597" s="44" t="s">
        <v>4689</v>
      </c>
      <c r="L2597" s="44" t="s">
        <v>2333</v>
      </c>
      <c r="M2597" s="43">
        <v>15</v>
      </c>
      <c r="N2597" s="113" t="s">
        <v>1113</v>
      </c>
      <c r="O2597" s="113"/>
      <c r="P2597" s="113"/>
      <c r="Q2597" s="113"/>
      <c r="R2597" s="113"/>
      <c r="S2597" s="113"/>
      <c r="T2597" s="113"/>
      <c r="U2597" s="113"/>
      <c r="V2597" s="113"/>
      <c r="W2597" s="113"/>
      <c r="X2597" s="113"/>
      <c r="Y2597" s="113"/>
      <c r="Z2597" s="113"/>
      <c r="AA2597" s="113"/>
      <c r="AB2597" s="113"/>
      <c r="AC2597" s="113"/>
      <c r="AD2597" s="113"/>
      <c r="AE2597" s="113"/>
      <c r="AF2597" s="113"/>
      <c r="AG2597" s="113"/>
      <c r="AH2597" s="113"/>
      <c r="AI2597" s="113"/>
      <c r="AJ2597" s="113"/>
      <c r="AK2597" s="113" t="s">
        <v>1113</v>
      </c>
      <c r="AL2597" s="113"/>
      <c r="AM2597" s="113"/>
      <c r="AN2597" s="113"/>
      <c r="AO2597" s="44" t="s">
        <v>2334</v>
      </c>
      <c r="AP2597" s="43"/>
      <c r="AQ2597" s="236" t="str">
        <f>VLOOKUP(Table8[[#This Row],[Instrument]],Def_Targets!$D$73:$E$159,2,FALSE)</f>
        <v>I_ITS</v>
      </c>
      <c r="AR2597" s="233" t="str">
        <f>VLOOKUP(Table8[[#This Row],[Country Code]],Table29[],3,FALSE)</f>
        <v>Non-Annex I</v>
      </c>
      <c r="AS2597" s="233" t="str">
        <f>VLOOKUP(Table8[[#This Row],[Country Code]],Table29[],4,FALSE)</f>
        <v>Asia</v>
      </c>
      <c r="AT2597" s="233" t="str">
        <f>VLOOKUP(Table8[[#This Row],[Country Code]],Table29[],5,FALSE)</f>
        <v>Middle-income</v>
      </c>
      <c r="AU2597" s="233" t="str">
        <f>VLOOKUP(Table8[[#This Row],[Country Code]],Table29[],6,FALSE)</f>
        <v>no</v>
      </c>
      <c r="AV2597" s="233" t="str">
        <f>VLOOKUP(Table8[[#This Row],[Country Code]],Table29[],7,FALSE)</f>
        <v>no</v>
      </c>
      <c r="AW2597" s="233" t="str">
        <f>VLOOKUP(Table8[[#This Row],[Country Code]],Table29[],8,FALSE)</f>
        <v>non-OECD</v>
      </c>
      <c r="AX2597" s="233" t="str">
        <f>VLOOKUP(Table8[[#This Row],[Country Code]],Table29[],9,FALSE)</f>
        <v>no</v>
      </c>
      <c r="AY2597" s="233" t="str">
        <f>VLOOKUP(Table8[[#This Row],[Country Code]],Table29[],10,FALSE)</f>
        <v>no</v>
      </c>
      <c r="AZ2597" s="235">
        <f>VLOOKUP(Table8[[#This Row],[Country Code]],Table29[],23,FALSE)</f>
        <v>62.550294041306003</v>
      </c>
      <c r="BA2597" s="235">
        <f>VLOOKUP(Table8[[#This Row],[Country Code]],Table29[],24,FALSE)</f>
        <v>8.4493328883147889</v>
      </c>
      <c r="BB2597" s="320"/>
      <c r="BC2597" s="320"/>
    </row>
    <row r="2598" spans="1:55" ht="15" hidden="1" customHeight="1" x14ac:dyDescent="0.25">
      <c r="A2598" s="373">
        <v>39438</v>
      </c>
      <c r="B2598" s="233" t="str">
        <f>VLOOKUP(Table8[[#This Row],[Document ID]],Table1[],2,FALSE)</f>
        <v>AZE</v>
      </c>
      <c r="C2598" s="233" t="str">
        <f>VLOOKUP(Table8[[#This Row],[Document ID]],Table1[],3,FALSE)</f>
        <v>Azerbaijan</v>
      </c>
      <c r="D2598" s="243" t="str">
        <f>VLOOKUP(Table8[[#This Row],[Document ID]],Table1[],5,FALSE)</f>
        <v>NDC</v>
      </c>
      <c r="E2598" s="233" t="str">
        <f>VLOOKUP(Table8[[#This Row],[Document ID]],Table1[],7,FALSE)</f>
        <v>Second NDC</v>
      </c>
      <c r="F2598" s="233" t="str">
        <f>VLOOKUP(Table8[[#This Row],[Document ID]],Table1[],8,FALSE)</f>
        <v>NDC 2.0</v>
      </c>
      <c r="G2598" s="233" t="str">
        <f>VLOOKUP(Table8[[#This Row],[Document ID]],Table1[],10,FALSE)</f>
        <v>Active</v>
      </c>
      <c r="H2598" s="43" t="s">
        <v>2343</v>
      </c>
      <c r="I2598" s="43" t="s">
        <v>2344</v>
      </c>
      <c r="J2598" s="44" t="s">
        <v>2345</v>
      </c>
      <c r="K2598" s="44" t="s">
        <v>4690</v>
      </c>
      <c r="L2598" s="44" t="s">
        <v>2471</v>
      </c>
      <c r="M2598" s="43">
        <v>15</v>
      </c>
      <c r="N2598" s="113" t="s">
        <v>1113</v>
      </c>
      <c r="O2598" s="113"/>
      <c r="P2598" s="113"/>
      <c r="Q2598" s="113"/>
      <c r="R2598" s="113"/>
      <c r="S2598" s="113"/>
      <c r="T2598" s="113"/>
      <c r="U2598" s="113"/>
      <c r="V2598" s="113"/>
      <c r="W2598" s="113"/>
      <c r="X2598" s="113"/>
      <c r="Y2598" s="113"/>
      <c r="Z2598" s="113"/>
      <c r="AA2598" s="113"/>
      <c r="AB2598" s="113"/>
      <c r="AC2598" s="113"/>
      <c r="AD2598" s="113"/>
      <c r="AE2598" s="113"/>
      <c r="AF2598" s="113"/>
      <c r="AG2598" s="113"/>
      <c r="AH2598" s="113"/>
      <c r="AI2598" s="113"/>
      <c r="AJ2598" s="113"/>
      <c r="AK2598" s="113" t="s">
        <v>1113</v>
      </c>
      <c r="AL2598" s="113"/>
      <c r="AM2598" s="113"/>
      <c r="AN2598" s="113"/>
      <c r="AO2598" s="43" t="s">
        <v>2348</v>
      </c>
      <c r="AP2598" s="43"/>
      <c r="AQ2598" s="236" t="str">
        <f>VLOOKUP(Table8[[#This Row],[Instrument]],Def_Targets!$D$73:$E$159,2,FALSE)</f>
        <v>S_PublicTransport</v>
      </c>
      <c r="AR2598" s="233" t="str">
        <f>VLOOKUP(Table8[[#This Row],[Country Code]],Table29[],3,FALSE)</f>
        <v>Non-Annex I</v>
      </c>
      <c r="AS2598" s="233" t="str">
        <f>VLOOKUP(Table8[[#This Row],[Country Code]],Table29[],4,FALSE)</f>
        <v>Asia</v>
      </c>
      <c r="AT2598" s="233" t="str">
        <f>VLOOKUP(Table8[[#This Row],[Country Code]],Table29[],5,FALSE)</f>
        <v>Middle-income</v>
      </c>
      <c r="AU2598" s="233" t="str">
        <f>VLOOKUP(Table8[[#This Row],[Country Code]],Table29[],6,FALSE)</f>
        <v>no</v>
      </c>
      <c r="AV2598" s="233" t="str">
        <f>VLOOKUP(Table8[[#This Row],[Country Code]],Table29[],7,FALSE)</f>
        <v>no</v>
      </c>
      <c r="AW2598" s="233" t="str">
        <f>VLOOKUP(Table8[[#This Row],[Country Code]],Table29[],8,FALSE)</f>
        <v>non-OECD</v>
      </c>
      <c r="AX2598" s="233" t="str">
        <f>VLOOKUP(Table8[[#This Row],[Country Code]],Table29[],9,FALSE)</f>
        <v>no</v>
      </c>
      <c r="AY2598" s="233" t="str">
        <f>VLOOKUP(Table8[[#This Row],[Country Code]],Table29[],10,FALSE)</f>
        <v>no</v>
      </c>
      <c r="AZ2598" s="235">
        <f>VLOOKUP(Table8[[#This Row],[Country Code]],Table29[],23,FALSE)</f>
        <v>62.550294041306003</v>
      </c>
      <c r="BA2598" s="235">
        <f>VLOOKUP(Table8[[#This Row],[Country Code]],Table29[],24,FALSE)</f>
        <v>8.4493328883147889</v>
      </c>
      <c r="BB2598" s="320"/>
      <c r="BC2598" s="320"/>
    </row>
    <row r="2599" spans="1:55" ht="60" hidden="1" x14ac:dyDescent="0.25">
      <c r="A2599" s="373">
        <v>39438</v>
      </c>
      <c r="B2599" s="233" t="str">
        <f>VLOOKUP(Table8[[#This Row],[Document ID]],Table1[],2,FALSE)</f>
        <v>AZE</v>
      </c>
      <c r="C2599" s="233" t="str">
        <f>VLOOKUP(Table8[[#This Row],[Document ID]],Table1[],3,FALSE)</f>
        <v>Azerbaijan</v>
      </c>
      <c r="D2599" s="243" t="str">
        <f>VLOOKUP(Table8[[#This Row],[Document ID]],Table1[],5,FALSE)</f>
        <v>NDC</v>
      </c>
      <c r="E2599" s="233" t="str">
        <f>VLOOKUP(Table8[[#This Row],[Document ID]],Table1[],7,FALSE)</f>
        <v>Second NDC</v>
      </c>
      <c r="F2599" s="233" t="str">
        <f>VLOOKUP(Table8[[#This Row],[Document ID]],Table1[],8,FALSE)</f>
        <v>NDC 2.0</v>
      </c>
      <c r="G2599" s="233" t="str">
        <f>VLOOKUP(Table8[[#This Row],[Document ID]],Table1[],10,FALSE)</f>
        <v>Active</v>
      </c>
      <c r="H2599" s="43" t="s">
        <v>2350</v>
      </c>
      <c r="I2599" s="43" t="s">
        <v>2456</v>
      </c>
      <c r="J2599" s="44" t="s">
        <v>2457</v>
      </c>
      <c r="K2599" s="44" t="s">
        <v>4691</v>
      </c>
      <c r="L2599" s="44" t="s">
        <v>2333</v>
      </c>
      <c r="M2599" s="43">
        <v>16</v>
      </c>
      <c r="N2599" s="113"/>
      <c r="O2599" s="113"/>
      <c r="P2599" s="113"/>
      <c r="Q2599" s="113"/>
      <c r="R2599" s="113"/>
      <c r="S2599" s="113" t="s">
        <v>1113</v>
      </c>
      <c r="T2599" s="113"/>
      <c r="U2599" s="113"/>
      <c r="V2599" s="113"/>
      <c r="W2599" s="113"/>
      <c r="X2599" s="113"/>
      <c r="Y2599" s="113"/>
      <c r="Z2599" s="113" t="s">
        <v>1113</v>
      </c>
      <c r="AA2599" s="113"/>
      <c r="AB2599" s="113"/>
      <c r="AC2599" s="113"/>
      <c r="AD2599" s="113"/>
      <c r="AE2599" s="113"/>
      <c r="AF2599" s="113"/>
      <c r="AG2599" s="113"/>
      <c r="AH2599" s="113"/>
      <c r="AI2599" s="113"/>
      <c r="AJ2599" s="113"/>
      <c r="AK2599" s="113"/>
      <c r="AL2599" s="113"/>
      <c r="AM2599" s="113"/>
      <c r="AN2599" s="113" t="s">
        <v>1113</v>
      </c>
      <c r="AO2599" s="43" t="s">
        <v>2477</v>
      </c>
      <c r="AP2599" s="43"/>
      <c r="AQ2599" s="236" t="str">
        <f>VLOOKUP(Table8[[#This Row],[Instrument]],Def_Targets!$D$73:$E$159,2,FALSE)</f>
        <v>S_Infraimprove</v>
      </c>
      <c r="AR2599" s="233" t="str">
        <f>VLOOKUP(Table8[[#This Row],[Country Code]],Table29[],3,FALSE)</f>
        <v>Non-Annex I</v>
      </c>
      <c r="AS2599" s="233" t="str">
        <f>VLOOKUP(Table8[[#This Row],[Country Code]],Table29[],4,FALSE)</f>
        <v>Asia</v>
      </c>
      <c r="AT2599" s="233" t="str">
        <f>VLOOKUP(Table8[[#This Row],[Country Code]],Table29[],5,FALSE)</f>
        <v>Middle-income</v>
      </c>
      <c r="AU2599" s="233" t="str">
        <f>VLOOKUP(Table8[[#This Row],[Country Code]],Table29[],6,FALSE)</f>
        <v>no</v>
      </c>
      <c r="AV2599" s="233" t="str">
        <f>VLOOKUP(Table8[[#This Row],[Country Code]],Table29[],7,FALSE)</f>
        <v>no</v>
      </c>
      <c r="AW2599" s="233" t="str">
        <f>VLOOKUP(Table8[[#This Row],[Country Code]],Table29[],8,FALSE)</f>
        <v>non-OECD</v>
      </c>
      <c r="AX2599" s="233" t="str">
        <f>VLOOKUP(Table8[[#This Row],[Country Code]],Table29[],9,FALSE)</f>
        <v>no</v>
      </c>
      <c r="AY2599" s="233" t="str">
        <f>VLOOKUP(Table8[[#This Row],[Country Code]],Table29[],10,FALSE)</f>
        <v>no</v>
      </c>
      <c r="AZ2599" s="235">
        <f>VLOOKUP(Table8[[#This Row],[Country Code]],Table29[],23,FALSE)</f>
        <v>62.550294041306003</v>
      </c>
      <c r="BA2599" s="235">
        <f>VLOOKUP(Table8[[#This Row],[Country Code]],Table29[],24,FALSE)</f>
        <v>8.4493328883147889</v>
      </c>
      <c r="BB2599" s="320"/>
      <c r="BC2599" s="320"/>
    </row>
    <row r="2600" spans="1:55" ht="45" hidden="1" x14ac:dyDescent="0.25">
      <c r="A2600" s="373">
        <v>39438</v>
      </c>
      <c r="B2600" s="233" t="str">
        <f>VLOOKUP(Table8[[#This Row],[Document ID]],Table1[],2,FALSE)</f>
        <v>AZE</v>
      </c>
      <c r="C2600" s="233" t="str">
        <f>VLOOKUP(Table8[[#This Row],[Document ID]],Table1[],3,FALSE)</f>
        <v>Azerbaijan</v>
      </c>
      <c r="D2600" s="243" t="str">
        <f>VLOOKUP(Table8[[#This Row],[Document ID]],Table1[],5,FALSE)</f>
        <v>NDC</v>
      </c>
      <c r="E2600" s="233" t="str">
        <f>VLOOKUP(Table8[[#This Row],[Document ID]],Table1[],7,FALSE)</f>
        <v>Second NDC</v>
      </c>
      <c r="F2600" s="233" t="str">
        <f>VLOOKUP(Table8[[#This Row],[Document ID]],Table1[],8,FALSE)</f>
        <v>NDC 2.0</v>
      </c>
      <c r="G2600" s="233" t="str">
        <f>VLOOKUP(Table8[[#This Row],[Document ID]],Table1[],10,FALSE)</f>
        <v>Active</v>
      </c>
      <c r="H2600" s="43" t="s">
        <v>2484</v>
      </c>
      <c r="I2600" s="43" t="s">
        <v>2485</v>
      </c>
      <c r="J2600" s="44" t="s">
        <v>2978</v>
      </c>
      <c r="K2600" s="44" t="s">
        <v>4692</v>
      </c>
      <c r="L2600" s="44" t="s">
        <v>2347</v>
      </c>
      <c r="M2600" s="43">
        <v>16</v>
      </c>
      <c r="N2600" s="113"/>
      <c r="O2600" s="113"/>
      <c r="P2600" s="113"/>
      <c r="Q2600" s="113"/>
      <c r="R2600" s="113"/>
      <c r="S2600" s="113"/>
      <c r="T2600" s="113"/>
      <c r="U2600" s="113"/>
      <c r="V2600" s="113"/>
      <c r="W2600" s="113"/>
      <c r="X2600" s="113"/>
      <c r="Y2600" s="113"/>
      <c r="Z2600" s="113"/>
      <c r="AA2600" s="113"/>
      <c r="AB2600" s="113"/>
      <c r="AC2600" s="113"/>
      <c r="AD2600" s="113" t="s">
        <v>1113</v>
      </c>
      <c r="AE2600" s="113"/>
      <c r="AF2600" s="113"/>
      <c r="AG2600" s="113"/>
      <c r="AH2600" s="113"/>
      <c r="AI2600" s="113"/>
      <c r="AJ2600" s="113"/>
      <c r="AK2600" s="113" t="s">
        <v>1113</v>
      </c>
      <c r="AL2600" s="113"/>
      <c r="AM2600" s="113"/>
      <c r="AN2600" s="113"/>
      <c r="AO2600" s="43" t="s">
        <v>2353</v>
      </c>
      <c r="AP2600" s="43"/>
      <c r="AQ2600" s="236" t="str">
        <f>VLOOKUP(Table8[[#This Row],[Instrument]],Def_Targets!$D$73:$E$159,2,FALSE)</f>
        <v>I_PortInfra</v>
      </c>
      <c r="AR2600" s="233" t="str">
        <f>VLOOKUP(Table8[[#This Row],[Country Code]],Table29[],3,FALSE)</f>
        <v>Non-Annex I</v>
      </c>
      <c r="AS2600" s="233" t="str">
        <f>VLOOKUP(Table8[[#This Row],[Country Code]],Table29[],4,FALSE)</f>
        <v>Asia</v>
      </c>
      <c r="AT2600" s="233" t="str">
        <f>VLOOKUP(Table8[[#This Row],[Country Code]],Table29[],5,FALSE)</f>
        <v>Middle-income</v>
      </c>
      <c r="AU2600" s="233" t="str">
        <f>VLOOKUP(Table8[[#This Row],[Country Code]],Table29[],6,FALSE)</f>
        <v>no</v>
      </c>
      <c r="AV2600" s="233" t="str">
        <f>VLOOKUP(Table8[[#This Row],[Country Code]],Table29[],7,FALSE)</f>
        <v>no</v>
      </c>
      <c r="AW2600" s="233" t="str">
        <f>VLOOKUP(Table8[[#This Row],[Country Code]],Table29[],8,FALSE)</f>
        <v>non-OECD</v>
      </c>
      <c r="AX2600" s="233" t="str">
        <f>VLOOKUP(Table8[[#This Row],[Country Code]],Table29[],9,FALSE)</f>
        <v>no</v>
      </c>
      <c r="AY2600" s="233" t="str">
        <f>VLOOKUP(Table8[[#This Row],[Country Code]],Table29[],10,FALSE)</f>
        <v>no</v>
      </c>
      <c r="AZ2600" s="235">
        <f>VLOOKUP(Table8[[#This Row],[Country Code]],Table29[],23,FALSE)</f>
        <v>62.550294041306003</v>
      </c>
      <c r="BA2600" s="235">
        <f>VLOOKUP(Table8[[#This Row],[Country Code]],Table29[],24,FALSE)</f>
        <v>8.4493328883147889</v>
      </c>
      <c r="BB2600" s="320"/>
      <c r="BC2600" s="320"/>
    </row>
    <row r="2601" spans="1:55" hidden="1" x14ac:dyDescent="0.25">
      <c r="A2601" s="373">
        <v>39438</v>
      </c>
      <c r="B2601" s="233" t="str">
        <f>VLOOKUP(Table8[[#This Row],[Document ID]],Table1[],2,FALSE)</f>
        <v>AZE</v>
      </c>
      <c r="C2601" s="233" t="str">
        <f>VLOOKUP(Table8[[#This Row],[Document ID]],Table1[],3,FALSE)</f>
        <v>Azerbaijan</v>
      </c>
      <c r="D2601" s="243" t="str">
        <f>VLOOKUP(Table8[[#This Row],[Document ID]],Table1[],5,FALSE)</f>
        <v>NDC</v>
      </c>
      <c r="E2601" s="233" t="str">
        <f>VLOOKUP(Table8[[#This Row],[Document ID]],Table1[],7,FALSE)</f>
        <v>Second NDC</v>
      </c>
      <c r="F2601" s="233" t="str">
        <f>VLOOKUP(Table8[[#This Row],[Document ID]],Table1[],8,FALSE)</f>
        <v>NDC 2.0</v>
      </c>
      <c r="G2601" s="233" t="str">
        <f>VLOOKUP(Table8[[#This Row],[Document ID]],Table1[],10,FALSE)</f>
        <v>Active</v>
      </c>
      <c r="H2601" s="44" t="s">
        <v>2338</v>
      </c>
      <c r="I2601" s="44" t="s">
        <v>2339</v>
      </c>
      <c r="J2601" s="44" t="s">
        <v>2355</v>
      </c>
      <c r="K2601" s="44" t="s">
        <v>4693</v>
      </c>
      <c r="L2601" s="44" t="s">
        <v>2333</v>
      </c>
      <c r="M2601" s="43">
        <v>16</v>
      </c>
      <c r="N2601" s="113"/>
      <c r="O2601" s="113"/>
      <c r="P2601" s="113"/>
      <c r="Q2601" s="113"/>
      <c r="R2601" s="113"/>
      <c r="S2601" s="113"/>
      <c r="T2601" s="113"/>
      <c r="U2601" s="113"/>
      <c r="V2601" s="113"/>
      <c r="W2601" s="113"/>
      <c r="X2601" s="113"/>
      <c r="Y2601" s="113"/>
      <c r="Z2601" s="113"/>
      <c r="AA2601" s="113"/>
      <c r="AB2601" s="113"/>
      <c r="AC2601" s="113"/>
      <c r="AD2601" s="113" t="s">
        <v>1113</v>
      </c>
      <c r="AE2601" s="113"/>
      <c r="AF2601" s="113"/>
      <c r="AG2601" s="113"/>
      <c r="AH2601" s="113"/>
      <c r="AI2601" s="113"/>
      <c r="AJ2601" s="113"/>
      <c r="AK2601" s="113" t="s">
        <v>1113</v>
      </c>
      <c r="AL2601" s="113"/>
      <c r="AM2601" s="113"/>
      <c r="AN2601" s="113"/>
      <c r="AO2601" s="43" t="s">
        <v>2353</v>
      </c>
      <c r="AP2601" s="43"/>
      <c r="AQ2601" s="236" t="str">
        <f>VLOOKUP(Table8[[#This Row],[Instrument]],Def_Targets!$D$73:$E$159,2,FALSE)</f>
        <v>I_Vehiclelabel</v>
      </c>
      <c r="AR2601" s="233" t="str">
        <f>VLOOKUP(Table8[[#This Row],[Country Code]],Table29[],3,FALSE)</f>
        <v>Non-Annex I</v>
      </c>
      <c r="AS2601" s="233" t="str">
        <f>VLOOKUP(Table8[[#This Row],[Country Code]],Table29[],4,FALSE)</f>
        <v>Asia</v>
      </c>
      <c r="AT2601" s="233" t="str">
        <f>VLOOKUP(Table8[[#This Row],[Country Code]],Table29[],5,FALSE)</f>
        <v>Middle-income</v>
      </c>
      <c r="AU2601" s="233" t="str">
        <f>VLOOKUP(Table8[[#This Row],[Country Code]],Table29[],6,FALSE)</f>
        <v>no</v>
      </c>
      <c r="AV2601" s="233" t="str">
        <f>VLOOKUP(Table8[[#This Row],[Country Code]],Table29[],7,FALSE)</f>
        <v>no</v>
      </c>
      <c r="AW2601" s="233" t="str">
        <f>VLOOKUP(Table8[[#This Row],[Country Code]],Table29[],8,FALSE)</f>
        <v>non-OECD</v>
      </c>
      <c r="AX2601" s="233" t="str">
        <f>VLOOKUP(Table8[[#This Row],[Country Code]],Table29[],9,FALSE)</f>
        <v>no</v>
      </c>
      <c r="AY2601" s="233" t="str">
        <f>VLOOKUP(Table8[[#This Row],[Country Code]],Table29[],10,FALSE)</f>
        <v>no</v>
      </c>
      <c r="AZ2601" s="235">
        <f>VLOOKUP(Table8[[#This Row],[Country Code]],Table29[],23,FALSE)</f>
        <v>62.550294041306003</v>
      </c>
      <c r="BA2601" s="235">
        <f>VLOOKUP(Table8[[#This Row],[Country Code]],Table29[],24,FALSE)</f>
        <v>8.4493328883147889</v>
      </c>
      <c r="BB2601" s="320"/>
      <c r="BC2601" s="320"/>
    </row>
    <row r="2602" spans="1:55" ht="30" hidden="1" x14ac:dyDescent="0.25">
      <c r="A2602" s="373">
        <v>39438</v>
      </c>
      <c r="B2602" s="233" t="str">
        <f>VLOOKUP(Table8[[#This Row],[Document ID]],Table1[],2,FALSE)</f>
        <v>AZE</v>
      </c>
      <c r="C2602" s="233" t="str">
        <f>VLOOKUP(Table8[[#This Row],[Document ID]],Table1[],3,FALSE)</f>
        <v>Azerbaijan</v>
      </c>
      <c r="D2602" s="243" t="str">
        <f>VLOOKUP(Table8[[#This Row],[Document ID]],Table1[],5,FALSE)</f>
        <v>NDC</v>
      </c>
      <c r="E2602" s="233" t="str">
        <f>VLOOKUP(Table8[[#This Row],[Document ID]],Table1[],7,FALSE)</f>
        <v>Second NDC</v>
      </c>
      <c r="F2602" s="233" t="str">
        <f>VLOOKUP(Table8[[#This Row],[Document ID]],Table1[],8,FALSE)</f>
        <v>NDC 2.0</v>
      </c>
      <c r="G2602" s="233" t="str">
        <f>VLOOKUP(Table8[[#This Row],[Document ID]],Table1[],10,FALSE)</f>
        <v>Active</v>
      </c>
      <c r="H2602" s="44" t="s">
        <v>2329</v>
      </c>
      <c r="I2602" s="44" t="s">
        <v>2330</v>
      </c>
      <c r="J2602" s="44" t="s">
        <v>2363</v>
      </c>
      <c r="K2602" s="44" t="s">
        <v>4694</v>
      </c>
      <c r="L2602" s="44" t="s">
        <v>2333</v>
      </c>
      <c r="M2602" s="43">
        <v>16</v>
      </c>
      <c r="N2602" s="113"/>
      <c r="O2602" s="113"/>
      <c r="P2602" s="113"/>
      <c r="Q2602" s="113"/>
      <c r="R2602" s="113"/>
      <c r="S2602" s="113"/>
      <c r="T2602" s="113"/>
      <c r="U2602" s="113"/>
      <c r="V2602" s="113"/>
      <c r="W2602" s="113"/>
      <c r="X2602" s="113"/>
      <c r="Y2602" s="113" t="s">
        <v>1113</v>
      </c>
      <c r="Z2602" s="113"/>
      <c r="AA2602" s="113"/>
      <c r="AB2602" s="113"/>
      <c r="AC2602" s="113"/>
      <c r="AD2602" s="113"/>
      <c r="AE2602" s="113"/>
      <c r="AF2602" s="113"/>
      <c r="AG2602" s="113"/>
      <c r="AH2602" s="113"/>
      <c r="AI2602" s="113"/>
      <c r="AJ2602" s="113"/>
      <c r="AK2602" s="113"/>
      <c r="AL2602" s="113" t="s">
        <v>1113</v>
      </c>
      <c r="AM2602" s="113"/>
      <c r="AN2602" s="113"/>
      <c r="AO2602" s="43" t="s">
        <v>2348</v>
      </c>
      <c r="AP2602" s="43"/>
      <c r="AQ2602" s="236" t="str">
        <f>VLOOKUP(Table8[[#This Row],[Instrument]],Def_Targets!$D$73:$E$159,2,FALSE)</f>
        <v>I_LPGCNGLNG</v>
      </c>
      <c r="AR2602" s="233" t="str">
        <f>VLOOKUP(Table8[[#This Row],[Country Code]],Table29[],3,FALSE)</f>
        <v>Non-Annex I</v>
      </c>
      <c r="AS2602" s="233" t="str">
        <f>VLOOKUP(Table8[[#This Row],[Country Code]],Table29[],4,FALSE)</f>
        <v>Asia</v>
      </c>
      <c r="AT2602" s="233" t="str">
        <f>VLOOKUP(Table8[[#This Row],[Country Code]],Table29[],5,FALSE)</f>
        <v>Middle-income</v>
      </c>
      <c r="AU2602" s="233" t="str">
        <f>VLOOKUP(Table8[[#This Row],[Country Code]],Table29[],6,FALSE)</f>
        <v>no</v>
      </c>
      <c r="AV2602" s="233" t="str">
        <f>VLOOKUP(Table8[[#This Row],[Country Code]],Table29[],7,FALSE)</f>
        <v>no</v>
      </c>
      <c r="AW2602" s="233" t="str">
        <f>VLOOKUP(Table8[[#This Row],[Country Code]],Table29[],8,FALSE)</f>
        <v>non-OECD</v>
      </c>
      <c r="AX2602" s="233" t="str">
        <f>VLOOKUP(Table8[[#This Row],[Country Code]],Table29[],9,FALSE)</f>
        <v>no</v>
      </c>
      <c r="AY2602" s="233" t="str">
        <f>VLOOKUP(Table8[[#This Row],[Country Code]],Table29[],10,FALSE)</f>
        <v>no</v>
      </c>
      <c r="AZ2602" s="235">
        <f>VLOOKUP(Table8[[#This Row],[Country Code]],Table29[],23,FALSE)</f>
        <v>62.550294041306003</v>
      </c>
      <c r="BA2602" s="235">
        <f>VLOOKUP(Table8[[#This Row],[Country Code]],Table29[],24,FALSE)</f>
        <v>8.4493328883147889</v>
      </c>
      <c r="BB2602" s="320"/>
      <c r="BC2602" s="320"/>
    </row>
    <row r="2603" spans="1:55" ht="30" hidden="1" x14ac:dyDescent="0.25">
      <c r="A2603" s="373">
        <v>39438</v>
      </c>
      <c r="B2603" s="233" t="str">
        <f>VLOOKUP(Table8[[#This Row],[Document ID]],Table1[],2,FALSE)</f>
        <v>AZE</v>
      </c>
      <c r="C2603" s="233" t="str">
        <f>VLOOKUP(Table8[[#This Row],[Document ID]],Table1[],3,FALSE)</f>
        <v>Azerbaijan</v>
      </c>
      <c r="D2603" s="243" t="str">
        <f>VLOOKUP(Table8[[#This Row],[Document ID]],Table1[],5,FALSE)</f>
        <v>NDC</v>
      </c>
      <c r="E2603" s="233" t="str">
        <f>VLOOKUP(Table8[[#This Row],[Document ID]],Table1[],7,FALSE)</f>
        <v>Second NDC</v>
      </c>
      <c r="F2603" s="233" t="str">
        <f>VLOOKUP(Table8[[#This Row],[Document ID]],Table1[],8,FALSE)</f>
        <v>NDC 2.0</v>
      </c>
      <c r="G2603" s="233" t="str">
        <f>VLOOKUP(Table8[[#This Row],[Document ID]],Table1[],10,FALSE)</f>
        <v>Active</v>
      </c>
      <c r="H2603" s="43" t="s">
        <v>2358</v>
      </c>
      <c r="I2603" s="43" t="s">
        <v>2359</v>
      </c>
      <c r="J2603" s="44" t="s">
        <v>2360</v>
      </c>
      <c r="K2603" s="44" t="s">
        <v>4694</v>
      </c>
      <c r="L2603" s="44" t="s">
        <v>2333</v>
      </c>
      <c r="M2603" s="43">
        <v>16</v>
      </c>
      <c r="N2603" s="113"/>
      <c r="O2603" s="113"/>
      <c r="P2603" s="113"/>
      <c r="Q2603" s="113"/>
      <c r="R2603" s="113"/>
      <c r="S2603" s="113"/>
      <c r="T2603" s="113"/>
      <c r="U2603" s="113"/>
      <c r="V2603" s="113"/>
      <c r="W2603" s="113" t="s">
        <v>1113</v>
      </c>
      <c r="X2603" s="113"/>
      <c r="Y2603" s="113"/>
      <c r="Z2603" s="113"/>
      <c r="AA2603" s="113"/>
      <c r="AB2603" s="113"/>
      <c r="AC2603" s="113"/>
      <c r="AD2603" s="113"/>
      <c r="AE2603" s="113"/>
      <c r="AF2603" s="113"/>
      <c r="AG2603" s="113"/>
      <c r="AH2603" s="113"/>
      <c r="AI2603" s="113"/>
      <c r="AJ2603" s="113"/>
      <c r="AK2603" s="113"/>
      <c r="AL2603" s="113" t="s">
        <v>1113</v>
      </c>
      <c r="AM2603" s="113"/>
      <c r="AN2603" s="113"/>
      <c r="AO2603" s="43" t="s">
        <v>2348</v>
      </c>
      <c r="AP2603" s="43"/>
      <c r="AQ2603" s="236" t="str">
        <f>VLOOKUP(Table8[[#This Row],[Instrument]],Def_Targets!$D$73:$E$159,2,FALSE)</f>
        <v>I_Emobility</v>
      </c>
      <c r="AR2603" s="233" t="str">
        <f>VLOOKUP(Table8[[#This Row],[Country Code]],Table29[],3,FALSE)</f>
        <v>Non-Annex I</v>
      </c>
      <c r="AS2603" s="233" t="str">
        <f>VLOOKUP(Table8[[#This Row],[Country Code]],Table29[],4,FALSE)</f>
        <v>Asia</v>
      </c>
      <c r="AT2603" s="233" t="str">
        <f>VLOOKUP(Table8[[#This Row],[Country Code]],Table29[],5,FALSE)</f>
        <v>Middle-income</v>
      </c>
      <c r="AU2603" s="233" t="str">
        <f>VLOOKUP(Table8[[#This Row],[Country Code]],Table29[],6,FALSE)</f>
        <v>no</v>
      </c>
      <c r="AV2603" s="233" t="str">
        <f>VLOOKUP(Table8[[#This Row],[Country Code]],Table29[],7,FALSE)</f>
        <v>no</v>
      </c>
      <c r="AW2603" s="233" t="str">
        <f>VLOOKUP(Table8[[#This Row],[Country Code]],Table29[],8,FALSE)</f>
        <v>non-OECD</v>
      </c>
      <c r="AX2603" s="233" t="str">
        <f>VLOOKUP(Table8[[#This Row],[Country Code]],Table29[],9,FALSE)</f>
        <v>no</v>
      </c>
      <c r="AY2603" s="233" t="str">
        <f>VLOOKUP(Table8[[#This Row],[Country Code]],Table29[],10,FALSE)</f>
        <v>no</v>
      </c>
      <c r="AZ2603" s="235">
        <f>VLOOKUP(Table8[[#This Row],[Country Code]],Table29[],23,FALSE)</f>
        <v>62.550294041306003</v>
      </c>
      <c r="BA2603" s="235">
        <f>VLOOKUP(Table8[[#This Row],[Country Code]],Table29[],24,FALSE)</f>
        <v>8.4493328883147889</v>
      </c>
      <c r="BB2603" s="320"/>
      <c r="BC2603" s="320"/>
    </row>
    <row r="2604" spans="1:55" ht="30" hidden="1" x14ac:dyDescent="0.25">
      <c r="A2604" s="373">
        <v>39438</v>
      </c>
      <c r="B2604" s="233" t="str">
        <f>VLOOKUP(Table8[[#This Row],[Document ID]],Table1[],2,FALSE)</f>
        <v>AZE</v>
      </c>
      <c r="C2604" s="233" t="str">
        <f>VLOOKUP(Table8[[#This Row],[Document ID]],Table1[],3,FALSE)</f>
        <v>Azerbaijan</v>
      </c>
      <c r="D2604" s="243" t="str">
        <f>VLOOKUP(Table8[[#This Row],[Document ID]],Table1[],5,FALSE)</f>
        <v>NDC</v>
      </c>
      <c r="E2604" s="233" t="str">
        <f>VLOOKUP(Table8[[#This Row],[Document ID]],Table1[],7,FALSE)</f>
        <v>Second NDC</v>
      </c>
      <c r="F2604" s="233" t="str">
        <f>VLOOKUP(Table8[[#This Row],[Document ID]],Table1[],8,FALSE)</f>
        <v>NDC 2.0</v>
      </c>
      <c r="G2604" s="233" t="str">
        <f>VLOOKUP(Table8[[#This Row],[Document ID]],Table1[],10,FALSE)</f>
        <v>Active</v>
      </c>
      <c r="H2604" s="43" t="s">
        <v>2343</v>
      </c>
      <c r="I2604" s="43" t="s">
        <v>2344</v>
      </c>
      <c r="J2604" s="44" t="s">
        <v>2405</v>
      </c>
      <c r="K2604" s="44" t="s">
        <v>4695</v>
      </c>
      <c r="L2604" s="44" t="s">
        <v>2347</v>
      </c>
      <c r="M2604" s="43">
        <v>16</v>
      </c>
      <c r="N2604" s="113"/>
      <c r="O2604" s="113"/>
      <c r="P2604" s="113"/>
      <c r="Q2604" s="113"/>
      <c r="R2604" s="113" t="s">
        <v>1113</v>
      </c>
      <c r="S2604" s="113"/>
      <c r="T2604" s="113"/>
      <c r="U2604" s="113"/>
      <c r="V2604" s="113"/>
      <c r="W2604" s="113"/>
      <c r="X2604" s="113"/>
      <c r="Y2604" s="113" t="s">
        <v>1113</v>
      </c>
      <c r="Z2604" s="113"/>
      <c r="AA2604" s="113"/>
      <c r="AB2604" s="113"/>
      <c r="AC2604" s="113"/>
      <c r="AD2604" s="113"/>
      <c r="AE2604" s="113"/>
      <c r="AF2604" s="113"/>
      <c r="AG2604" s="113"/>
      <c r="AH2604" s="113"/>
      <c r="AI2604" s="113"/>
      <c r="AJ2604" s="113"/>
      <c r="AK2604" s="113"/>
      <c r="AL2604" s="113" t="s">
        <v>1113</v>
      </c>
      <c r="AM2604" s="113"/>
      <c r="AN2604" s="113"/>
      <c r="AO2604" s="43" t="s">
        <v>2348</v>
      </c>
      <c r="AP2604" s="43"/>
      <c r="AQ2604" s="236" t="str">
        <f>VLOOKUP(Table8[[#This Row],[Instrument]],Def_Targets!$D$73:$E$159,2,FALSE)</f>
        <v>S_PTIntegration</v>
      </c>
      <c r="AR2604" s="233" t="str">
        <f>VLOOKUP(Table8[[#This Row],[Country Code]],Table29[],3,FALSE)</f>
        <v>Non-Annex I</v>
      </c>
      <c r="AS2604" s="233" t="str">
        <f>VLOOKUP(Table8[[#This Row],[Country Code]],Table29[],4,FALSE)</f>
        <v>Asia</v>
      </c>
      <c r="AT2604" s="233" t="str">
        <f>VLOOKUP(Table8[[#This Row],[Country Code]],Table29[],5,FALSE)</f>
        <v>Middle-income</v>
      </c>
      <c r="AU2604" s="233" t="str">
        <f>VLOOKUP(Table8[[#This Row],[Country Code]],Table29[],6,FALSE)</f>
        <v>no</v>
      </c>
      <c r="AV2604" s="233" t="str">
        <f>VLOOKUP(Table8[[#This Row],[Country Code]],Table29[],7,FALSE)</f>
        <v>no</v>
      </c>
      <c r="AW2604" s="233" t="str">
        <f>VLOOKUP(Table8[[#This Row],[Country Code]],Table29[],8,FALSE)</f>
        <v>non-OECD</v>
      </c>
      <c r="AX2604" s="233" t="str">
        <f>VLOOKUP(Table8[[#This Row],[Country Code]],Table29[],9,FALSE)</f>
        <v>no</v>
      </c>
      <c r="AY2604" s="233" t="str">
        <f>VLOOKUP(Table8[[#This Row],[Country Code]],Table29[],10,FALSE)</f>
        <v>no</v>
      </c>
      <c r="AZ2604" s="235">
        <f>VLOOKUP(Table8[[#This Row],[Country Code]],Table29[],23,FALSE)</f>
        <v>62.550294041306003</v>
      </c>
      <c r="BA2604" s="235">
        <f>VLOOKUP(Table8[[#This Row],[Country Code]],Table29[],24,FALSE)</f>
        <v>8.4493328883147889</v>
      </c>
      <c r="BB2604" s="320"/>
      <c r="BC2604" s="320"/>
    </row>
    <row r="2605" spans="1:55" ht="45" hidden="1" x14ac:dyDescent="0.25">
      <c r="A2605" s="373">
        <v>39438</v>
      </c>
      <c r="B2605" s="233" t="str">
        <f>VLOOKUP(Table8[[#This Row],[Document ID]],Table1[],2,FALSE)</f>
        <v>AZE</v>
      </c>
      <c r="C2605" s="233" t="str">
        <f>VLOOKUP(Table8[[#This Row],[Document ID]],Table1[],3,FALSE)</f>
        <v>Azerbaijan</v>
      </c>
      <c r="D2605" s="243" t="str">
        <f>VLOOKUP(Table8[[#This Row],[Document ID]],Table1[],5,FALSE)</f>
        <v>NDC</v>
      </c>
      <c r="E2605" s="233" t="str">
        <f>VLOOKUP(Table8[[#This Row],[Document ID]],Table1[],7,FALSE)</f>
        <v>Second NDC</v>
      </c>
      <c r="F2605" s="233" t="str">
        <f>VLOOKUP(Table8[[#This Row],[Document ID]],Table1[],8,FALSE)</f>
        <v>NDC 2.0</v>
      </c>
      <c r="G2605" s="233" t="str">
        <f>VLOOKUP(Table8[[#This Row],[Document ID]],Table1[],10,FALSE)</f>
        <v>Active</v>
      </c>
      <c r="H2605" s="43" t="s">
        <v>2343</v>
      </c>
      <c r="I2605" s="43" t="s">
        <v>2386</v>
      </c>
      <c r="J2605" s="44" t="s">
        <v>2387</v>
      </c>
      <c r="K2605" s="44" t="s">
        <v>4696</v>
      </c>
      <c r="L2605" s="44" t="s">
        <v>2471</v>
      </c>
      <c r="M2605" s="43">
        <v>16</v>
      </c>
      <c r="N2605" s="113"/>
      <c r="O2605" s="113"/>
      <c r="P2605" s="113"/>
      <c r="Q2605" s="113"/>
      <c r="R2605" s="113"/>
      <c r="S2605" s="113"/>
      <c r="T2605" s="113"/>
      <c r="U2605" s="113"/>
      <c r="V2605" s="113"/>
      <c r="W2605" s="113"/>
      <c r="X2605" s="113"/>
      <c r="Y2605" s="113" t="s">
        <v>1113</v>
      </c>
      <c r="Z2605" s="113"/>
      <c r="AA2605" s="113"/>
      <c r="AB2605" s="113"/>
      <c r="AC2605" s="113"/>
      <c r="AD2605" s="113"/>
      <c r="AE2605" s="113"/>
      <c r="AF2605" s="113"/>
      <c r="AG2605" s="113"/>
      <c r="AH2605" s="113"/>
      <c r="AI2605" s="113"/>
      <c r="AJ2605" s="113"/>
      <c r="AK2605" s="113"/>
      <c r="AL2605" s="113" t="s">
        <v>1113</v>
      </c>
      <c r="AM2605" s="113"/>
      <c r="AN2605" s="113"/>
      <c r="AO2605" s="43" t="s">
        <v>2348</v>
      </c>
      <c r="AP2605" s="43"/>
      <c r="AQ2605" s="236" t="str">
        <f>VLOOKUP(Table8[[#This Row],[Instrument]],Def_Targets!$D$73:$E$159,2,FALSE)</f>
        <v>A_Procurement</v>
      </c>
      <c r="AR2605" s="233" t="str">
        <f>VLOOKUP(Table8[[#This Row],[Country Code]],Table29[],3,FALSE)</f>
        <v>Non-Annex I</v>
      </c>
      <c r="AS2605" s="233" t="str">
        <f>VLOOKUP(Table8[[#This Row],[Country Code]],Table29[],4,FALSE)</f>
        <v>Asia</v>
      </c>
      <c r="AT2605" s="233" t="str">
        <f>VLOOKUP(Table8[[#This Row],[Country Code]],Table29[],5,FALSE)</f>
        <v>Middle-income</v>
      </c>
      <c r="AU2605" s="233" t="str">
        <f>VLOOKUP(Table8[[#This Row],[Country Code]],Table29[],6,FALSE)</f>
        <v>no</v>
      </c>
      <c r="AV2605" s="233" t="str">
        <f>VLOOKUP(Table8[[#This Row],[Country Code]],Table29[],7,FALSE)</f>
        <v>no</v>
      </c>
      <c r="AW2605" s="233" t="str">
        <f>VLOOKUP(Table8[[#This Row],[Country Code]],Table29[],8,FALSE)</f>
        <v>non-OECD</v>
      </c>
      <c r="AX2605" s="233" t="str">
        <f>VLOOKUP(Table8[[#This Row],[Country Code]],Table29[],9,FALSE)</f>
        <v>no</v>
      </c>
      <c r="AY2605" s="233" t="str">
        <f>VLOOKUP(Table8[[#This Row],[Country Code]],Table29[],10,FALSE)</f>
        <v>no</v>
      </c>
      <c r="AZ2605" s="235">
        <f>VLOOKUP(Table8[[#This Row],[Country Code]],Table29[],23,FALSE)</f>
        <v>62.550294041306003</v>
      </c>
      <c r="BA2605" s="235">
        <f>VLOOKUP(Table8[[#This Row],[Country Code]],Table29[],24,FALSE)</f>
        <v>8.4493328883147889</v>
      </c>
      <c r="BB2605" s="320"/>
      <c r="BC2605" s="320"/>
    </row>
    <row r="2606" spans="1:55" ht="135" hidden="1" x14ac:dyDescent="0.25">
      <c r="A2606" s="373">
        <v>39438</v>
      </c>
      <c r="B2606" s="233" t="str">
        <f>VLOOKUP(Table8[[#This Row],[Document ID]],Table1[],2,FALSE)</f>
        <v>AZE</v>
      </c>
      <c r="C2606" s="233" t="str">
        <f>VLOOKUP(Table8[[#This Row],[Document ID]],Table1[],3,FALSE)</f>
        <v>Azerbaijan</v>
      </c>
      <c r="D2606" s="243" t="str">
        <f>VLOOKUP(Table8[[#This Row],[Document ID]],Table1[],5,FALSE)</f>
        <v>NDC</v>
      </c>
      <c r="E2606" s="233" t="str">
        <f>VLOOKUP(Table8[[#This Row],[Document ID]],Table1[],7,FALSE)</f>
        <v>Second NDC</v>
      </c>
      <c r="F2606" s="233" t="str">
        <f>VLOOKUP(Table8[[#This Row],[Document ID]],Table1[],8,FALSE)</f>
        <v>NDC 2.0</v>
      </c>
      <c r="G2606" s="233" t="str">
        <f>VLOOKUP(Table8[[#This Row],[Document ID]],Table1[],10,FALSE)</f>
        <v>Active</v>
      </c>
      <c r="H2606" s="43" t="s">
        <v>2343</v>
      </c>
      <c r="I2606" s="43" t="s">
        <v>2386</v>
      </c>
      <c r="J2606" s="44" t="s">
        <v>2530</v>
      </c>
      <c r="K2606" s="44" t="s">
        <v>4697</v>
      </c>
      <c r="L2606" s="44" t="s">
        <v>2333</v>
      </c>
      <c r="M2606" s="43">
        <v>16</v>
      </c>
      <c r="N2606" s="113"/>
      <c r="O2606" s="113"/>
      <c r="P2606" s="113"/>
      <c r="Q2606" s="113"/>
      <c r="R2606" s="113"/>
      <c r="S2606" s="113"/>
      <c r="T2606" s="113"/>
      <c r="U2606" s="113" t="s">
        <v>1113</v>
      </c>
      <c r="V2606" s="113"/>
      <c r="W2606" s="113"/>
      <c r="X2606" s="113"/>
      <c r="Y2606" s="113"/>
      <c r="Z2606" s="113"/>
      <c r="AA2606" s="113"/>
      <c r="AB2606" s="113"/>
      <c r="AC2606" s="113"/>
      <c r="AD2606" s="113"/>
      <c r="AE2606" s="113"/>
      <c r="AF2606" s="113"/>
      <c r="AG2606" s="113"/>
      <c r="AH2606" s="113"/>
      <c r="AI2606" s="113"/>
      <c r="AJ2606" s="113"/>
      <c r="AK2606" s="113" t="s">
        <v>1113</v>
      </c>
      <c r="AL2606" s="113"/>
      <c r="AM2606" s="113"/>
      <c r="AN2606" s="113"/>
      <c r="AO2606" s="44" t="s">
        <v>2334</v>
      </c>
      <c r="AP2606" s="43"/>
      <c r="AQ2606" s="236" t="str">
        <f>VLOOKUP(Table8[[#This Row],[Instrument]],Def_Targets!$D$73:$E$159,2,FALSE)</f>
        <v>A_Vehicletax</v>
      </c>
      <c r="AR2606" s="233" t="str">
        <f>VLOOKUP(Table8[[#This Row],[Country Code]],Table29[],3,FALSE)</f>
        <v>Non-Annex I</v>
      </c>
      <c r="AS2606" s="233" t="str">
        <f>VLOOKUP(Table8[[#This Row],[Country Code]],Table29[],4,FALSE)</f>
        <v>Asia</v>
      </c>
      <c r="AT2606" s="233" t="str">
        <f>VLOOKUP(Table8[[#This Row],[Country Code]],Table29[],5,FALSE)</f>
        <v>Middle-income</v>
      </c>
      <c r="AU2606" s="233" t="str">
        <f>VLOOKUP(Table8[[#This Row],[Country Code]],Table29[],6,FALSE)</f>
        <v>no</v>
      </c>
      <c r="AV2606" s="233" t="str">
        <f>VLOOKUP(Table8[[#This Row],[Country Code]],Table29[],7,FALSE)</f>
        <v>no</v>
      </c>
      <c r="AW2606" s="233" t="str">
        <f>VLOOKUP(Table8[[#This Row],[Country Code]],Table29[],8,FALSE)</f>
        <v>non-OECD</v>
      </c>
      <c r="AX2606" s="233" t="str">
        <f>VLOOKUP(Table8[[#This Row],[Country Code]],Table29[],9,FALSE)</f>
        <v>no</v>
      </c>
      <c r="AY2606" s="233" t="str">
        <f>VLOOKUP(Table8[[#This Row],[Country Code]],Table29[],10,FALSE)</f>
        <v>no</v>
      </c>
      <c r="AZ2606" s="235">
        <f>VLOOKUP(Table8[[#This Row],[Country Code]],Table29[],23,FALSE)</f>
        <v>62.550294041306003</v>
      </c>
      <c r="BA2606" s="235">
        <f>VLOOKUP(Table8[[#This Row],[Country Code]],Table29[],24,FALSE)</f>
        <v>8.4493328883147889</v>
      </c>
      <c r="BB2606" s="320"/>
      <c r="BC2606" s="320"/>
    </row>
    <row r="2607" spans="1:55" ht="30" hidden="1" x14ac:dyDescent="0.25">
      <c r="A2607" s="373">
        <v>39438</v>
      </c>
      <c r="B2607" s="233" t="str">
        <f>VLOOKUP(Table8[[#This Row],[Document ID]],Table1[],2,FALSE)</f>
        <v>AZE</v>
      </c>
      <c r="C2607" s="233" t="str">
        <f>VLOOKUP(Table8[[#This Row],[Document ID]],Table1[],3,FALSE)</f>
        <v>Azerbaijan</v>
      </c>
      <c r="D2607" s="243" t="str">
        <f>VLOOKUP(Table8[[#This Row],[Document ID]],Table1[],5,FALSE)</f>
        <v>NDC</v>
      </c>
      <c r="E2607" s="233" t="str">
        <f>VLOOKUP(Table8[[#This Row],[Document ID]],Table1[],7,FALSE)</f>
        <v>Second NDC</v>
      </c>
      <c r="F2607" s="233" t="str">
        <f>VLOOKUP(Table8[[#This Row],[Document ID]],Table1[],8,FALSE)</f>
        <v>NDC 2.0</v>
      </c>
      <c r="G2607" s="233" t="str">
        <f>VLOOKUP(Table8[[#This Row],[Document ID]],Table1[],10,FALSE)</f>
        <v>Active</v>
      </c>
      <c r="H2607" s="44" t="s">
        <v>2338</v>
      </c>
      <c r="I2607" s="44" t="s">
        <v>2339</v>
      </c>
      <c r="J2607" s="44" t="s">
        <v>2410</v>
      </c>
      <c r="K2607" s="44" t="s">
        <v>4698</v>
      </c>
      <c r="L2607" s="44" t="s">
        <v>2333</v>
      </c>
      <c r="M2607" s="43">
        <v>16</v>
      </c>
      <c r="N2607" s="113"/>
      <c r="O2607" s="113"/>
      <c r="P2607" s="113"/>
      <c r="Q2607" s="113"/>
      <c r="R2607" s="113"/>
      <c r="S2607" s="113"/>
      <c r="T2607" s="113"/>
      <c r="U2607" s="113" t="s">
        <v>1113</v>
      </c>
      <c r="V2607" s="113"/>
      <c r="W2607" s="113"/>
      <c r="X2607" s="113"/>
      <c r="Y2607" s="113"/>
      <c r="Z2607" s="113"/>
      <c r="AA2607" s="113"/>
      <c r="AB2607" s="113"/>
      <c r="AC2607" s="113"/>
      <c r="AD2607" s="113"/>
      <c r="AE2607" s="113"/>
      <c r="AF2607" s="113"/>
      <c r="AG2607" s="113"/>
      <c r="AH2607" s="113"/>
      <c r="AI2607" s="113"/>
      <c r="AJ2607" s="113"/>
      <c r="AK2607" s="113" t="s">
        <v>1113</v>
      </c>
      <c r="AL2607" s="113"/>
      <c r="AM2607" s="113"/>
      <c r="AN2607" s="113"/>
      <c r="AO2607" s="43" t="s">
        <v>2348</v>
      </c>
      <c r="AP2607" s="43"/>
      <c r="AQ2607" s="236" t="str">
        <f>VLOOKUP(Table8[[#This Row],[Instrument]],Def_Targets!$D$73:$E$159,2,FALSE)</f>
        <v>I_VehicleRestrictions</v>
      </c>
      <c r="AR2607" s="233" t="str">
        <f>VLOOKUP(Table8[[#This Row],[Country Code]],Table29[],3,FALSE)</f>
        <v>Non-Annex I</v>
      </c>
      <c r="AS2607" s="233" t="str">
        <f>VLOOKUP(Table8[[#This Row],[Country Code]],Table29[],4,FALSE)</f>
        <v>Asia</v>
      </c>
      <c r="AT2607" s="233" t="str">
        <f>VLOOKUP(Table8[[#This Row],[Country Code]],Table29[],5,FALSE)</f>
        <v>Middle-income</v>
      </c>
      <c r="AU2607" s="233" t="str">
        <f>VLOOKUP(Table8[[#This Row],[Country Code]],Table29[],6,FALSE)</f>
        <v>no</v>
      </c>
      <c r="AV2607" s="233" t="str">
        <f>VLOOKUP(Table8[[#This Row],[Country Code]],Table29[],7,FALSE)</f>
        <v>no</v>
      </c>
      <c r="AW2607" s="233" t="str">
        <f>VLOOKUP(Table8[[#This Row],[Country Code]],Table29[],8,FALSE)</f>
        <v>non-OECD</v>
      </c>
      <c r="AX2607" s="233" t="str">
        <f>VLOOKUP(Table8[[#This Row],[Country Code]],Table29[],9,FALSE)</f>
        <v>no</v>
      </c>
      <c r="AY2607" s="233" t="str">
        <f>VLOOKUP(Table8[[#This Row],[Country Code]],Table29[],10,FALSE)</f>
        <v>no</v>
      </c>
      <c r="AZ2607" s="235">
        <f>VLOOKUP(Table8[[#This Row],[Country Code]],Table29[],23,FALSE)</f>
        <v>62.550294041306003</v>
      </c>
      <c r="BA2607" s="235">
        <f>VLOOKUP(Table8[[#This Row],[Country Code]],Table29[],24,FALSE)</f>
        <v>8.4493328883147889</v>
      </c>
      <c r="BB2607" s="320"/>
      <c r="BC2607" s="320"/>
    </row>
    <row r="2608" spans="1:55" ht="30" hidden="1" x14ac:dyDescent="0.25">
      <c r="A2608" s="373">
        <v>39438</v>
      </c>
      <c r="B2608" s="233" t="str">
        <f>VLOOKUP(Table8[[#This Row],[Document ID]],Table1[],2,FALSE)</f>
        <v>AZE</v>
      </c>
      <c r="C2608" s="233" t="str">
        <f>VLOOKUP(Table8[[#This Row],[Document ID]],Table1[],3,FALSE)</f>
        <v>Azerbaijan</v>
      </c>
      <c r="D2608" s="243" t="str">
        <f>VLOOKUP(Table8[[#This Row],[Document ID]],Table1[],5,FALSE)</f>
        <v>NDC</v>
      </c>
      <c r="E2608" s="233" t="str">
        <f>VLOOKUP(Table8[[#This Row],[Document ID]],Table1[],7,FALSE)</f>
        <v>Second NDC</v>
      </c>
      <c r="F2608" s="233" t="str">
        <f>VLOOKUP(Table8[[#This Row],[Document ID]],Table1[],8,FALSE)</f>
        <v>NDC 2.0</v>
      </c>
      <c r="G2608" s="233" t="str">
        <f>VLOOKUP(Table8[[#This Row],[Document ID]],Table1[],10,FALSE)</f>
        <v>Active</v>
      </c>
      <c r="H2608" s="43" t="s">
        <v>2350</v>
      </c>
      <c r="I2608" s="43" t="s">
        <v>2407</v>
      </c>
      <c r="J2608" s="44" t="s">
        <v>2408</v>
      </c>
      <c r="K2608" s="44" t="s">
        <v>4699</v>
      </c>
      <c r="L2608" s="44" t="s">
        <v>2333</v>
      </c>
      <c r="M2608" s="43">
        <v>16</v>
      </c>
      <c r="N2608" s="113" t="s">
        <v>1113</v>
      </c>
      <c r="O2608" s="113"/>
      <c r="P2608" s="113"/>
      <c r="Q2608" s="113"/>
      <c r="R2608" s="113"/>
      <c r="S2608" s="113"/>
      <c r="T2608" s="113"/>
      <c r="U2608" s="113"/>
      <c r="V2608" s="113"/>
      <c r="W2608" s="113"/>
      <c r="X2608" s="113"/>
      <c r="Y2608" s="113"/>
      <c r="Z2608" s="113"/>
      <c r="AA2608" s="113"/>
      <c r="AB2608" s="113"/>
      <c r="AC2608" s="113"/>
      <c r="AD2608" s="113"/>
      <c r="AE2608" s="113"/>
      <c r="AF2608" s="113"/>
      <c r="AG2608" s="113"/>
      <c r="AH2608" s="113"/>
      <c r="AI2608" s="113"/>
      <c r="AJ2608" s="113"/>
      <c r="AK2608" s="113" t="s">
        <v>1113</v>
      </c>
      <c r="AL2608" s="113"/>
      <c r="AM2608" s="113"/>
      <c r="AN2608" s="113"/>
      <c r="AO2608" s="44" t="s">
        <v>2334</v>
      </c>
      <c r="AP2608" s="43"/>
      <c r="AQ2608" s="236" t="str">
        <f>VLOOKUP(Table8[[#This Row],[Instrument]],Def_Targets!$D$73:$E$159,2,FALSE)</f>
        <v>I_Education</v>
      </c>
      <c r="AR2608" s="233" t="str">
        <f>VLOOKUP(Table8[[#This Row],[Country Code]],Table29[],3,FALSE)</f>
        <v>Non-Annex I</v>
      </c>
      <c r="AS2608" s="233" t="str">
        <f>VLOOKUP(Table8[[#This Row],[Country Code]],Table29[],4,FALSE)</f>
        <v>Asia</v>
      </c>
      <c r="AT2608" s="233" t="str">
        <f>VLOOKUP(Table8[[#This Row],[Country Code]],Table29[],5,FALSE)</f>
        <v>Middle-income</v>
      </c>
      <c r="AU2608" s="233" t="str">
        <f>VLOOKUP(Table8[[#This Row],[Country Code]],Table29[],6,FALSE)</f>
        <v>no</v>
      </c>
      <c r="AV2608" s="233" t="str">
        <f>VLOOKUP(Table8[[#This Row],[Country Code]],Table29[],7,FALSE)</f>
        <v>no</v>
      </c>
      <c r="AW2608" s="233" t="str">
        <f>VLOOKUP(Table8[[#This Row],[Country Code]],Table29[],8,FALSE)</f>
        <v>non-OECD</v>
      </c>
      <c r="AX2608" s="233" t="str">
        <f>VLOOKUP(Table8[[#This Row],[Country Code]],Table29[],9,FALSE)</f>
        <v>no</v>
      </c>
      <c r="AY2608" s="233" t="str">
        <f>VLOOKUP(Table8[[#This Row],[Country Code]],Table29[],10,FALSE)</f>
        <v>no</v>
      </c>
      <c r="AZ2608" s="235">
        <f>VLOOKUP(Table8[[#This Row],[Country Code]],Table29[],23,FALSE)</f>
        <v>62.550294041306003</v>
      </c>
      <c r="BA2608" s="235">
        <f>VLOOKUP(Table8[[#This Row],[Country Code]],Table29[],24,FALSE)</f>
        <v>8.4493328883147889</v>
      </c>
      <c r="BB2608" s="320"/>
      <c r="BC2608" s="320"/>
    </row>
    <row r="2609" spans="1:55" ht="60" hidden="1" x14ac:dyDescent="0.25">
      <c r="A2609" s="373">
        <v>39438</v>
      </c>
      <c r="B2609" s="233" t="str">
        <f>VLOOKUP(Table8[[#This Row],[Document ID]],Table1[],2,FALSE)</f>
        <v>AZE</v>
      </c>
      <c r="C2609" s="233" t="str">
        <f>VLOOKUP(Table8[[#This Row],[Document ID]],Table1[],3,FALSE)</f>
        <v>Azerbaijan</v>
      </c>
      <c r="D2609" s="243" t="str">
        <f>VLOOKUP(Table8[[#This Row],[Document ID]],Table1[],5,FALSE)</f>
        <v>NDC</v>
      </c>
      <c r="E2609" s="233" t="str">
        <f>VLOOKUP(Table8[[#This Row],[Document ID]],Table1[],7,FALSE)</f>
        <v>Second NDC</v>
      </c>
      <c r="F2609" s="233" t="str">
        <f>VLOOKUP(Table8[[#This Row],[Document ID]],Table1[],8,FALSE)</f>
        <v>NDC 2.0</v>
      </c>
      <c r="G2609" s="233" t="str">
        <f>VLOOKUP(Table8[[#This Row],[Document ID]],Table1[],10,FALSE)</f>
        <v>Active</v>
      </c>
      <c r="H2609" s="43" t="s">
        <v>2350</v>
      </c>
      <c r="I2609" s="43" t="s">
        <v>2370</v>
      </c>
      <c r="J2609" s="44" t="s">
        <v>2418</v>
      </c>
      <c r="K2609" s="44" t="s">
        <v>4700</v>
      </c>
      <c r="L2609" s="44" t="s">
        <v>2333</v>
      </c>
      <c r="M2609" s="43">
        <v>16</v>
      </c>
      <c r="N2609" s="113"/>
      <c r="O2609" s="113"/>
      <c r="P2609" s="113"/>
      <c r="Q2609" s="113"/>
      <c r="R2609" s="113"/>
      <c r="S2609" s="113"/>
      <c r="T2609" s="113"/>
      <c r="U2609" s="113" t="s">
        <v>1113</v>
      </c>
      <c r="V2609" s="113"/>
      <c r="W2609" s="113"/>
      <c r="X2609" s="113"/>
      <c r="Y2609" s="113" t="s">
        <v>1113</v>
      </c>
      <c r="Z2609" s="113"/>
      <c r="AA2609" s="113"/>
      <c r="AB2609" s="113"/>
      <c r="AC2609" s="113"/>
      <c r="AD2609" s="113"/>
      <c r="AE2609" s="113"/>
      <c r="AF2609" s="113"/>
      <c r="AG2609" s="113"/>
      <c r="AH2609" s="113"/>
      <c r="AI2609" s="113"/>
      <c r="AJ2609" s="113"/>
      <c r="AK2609" s="113" t="s">
        <v>1113</v>
      </c>
      <c r="AL2609" s="113"/>
      <c r="AM2609" s="113"/>
      <c r="AN2609" s="113"/>
      <c r="AO2609" s="44" t="s">
        <v>2334</v>
      </c>
      <c r="AP2609" s="43"/>
      <c r="AQ2609" s="236" t="str">
        <f>VLOOKUP(Table8[[#This Row],[Instrument]],Def_Targets!$D$73:$E$159,2,FALSE)</f>
        <v>A_Complan</v>
      </c>
      <c r="AR2609" s="233" t="str">
        <f>VLOOKUP(Table8[[#This Row],[Country Code]],Table29[],3,FALSE)</f>
        <v>Non-Annex I</v>
      </c>
      <c r="AS2609" s="233" t="str">
        <f>VLOOKUP(Table8[[#This Row],[Country Code]],Table29[],4,FALSE)</f>
        <v>Asia</v>
      </c>
      <c r="AT2609" s="233" t="str">
        <f>VLOOKUP(Table8[[#This Row],[Country Code]],Table29[],5,FALSE)</f>
        <v>Middle-income</v>
      </c>
      <c r="AU2609" s="233" t="str">
        <f>VLOOKUP(Table8[[#This Row],[Country Code]],Table29[],6,FALSE)</f>
        <v>no</v>
      </c>
      <c r="AV2609" s="233" t="str">
        <f>VLOOKUP(Table8[[#This Row],[Country Code]],Table29[],7,FALSE)</f>
        <v>no</v>
      </c>
      <c r="AW2609" s="233" t="str">
        <f>VLOOKUP(Table8[[#This Row],[Country Code]],Table29[],8,FALSE)</f>
        <v>non-OECD</v>
      </c>
      <c r="AX2609" s="233" t="str">
        <f>VLOOKUP(Table8[[#This Row],[Country Code]],Table29[],9,FALSE)</f>
        <v>no</v>
      </c>
      <c r="AY2609" s="233" t="str">
        <f>VLOOKUP(Table8[[#This Row],[Country Code]],Table29[],10,FALSE)</f>
        <v>no</v>
      </c>
      <c r="AZ2609" s="235">
        <f>VLOOKUP(Table8[[#This Row],[Country Code]],Table29[],23,FALSE)</f>
        <v>62.550294041306003</v>
      </c>
      <c r="BA2609" s="235">
        <f>VLOOKUP(Table8[[#This Row],[Country Code]],Table29[],24,FALSE)</f>
        <v>8.4493328883147889</v>
      </c>
      <c r="BB2609" s="320"/>
      <c r="BC2609" s="320"/>
    </row>
    <row r="2610" spans="1:55" ht="90" hidden="1" x14ac:dyDescent="0.25">
      <c r="A2610" s="373">
        <v>39438</v>
      </c>
      <c r="B2610" s="233" t="str">
        <f>VLOOKUP(Table8[[#This Row],[Document ID]],Table1[],2,FALSE)</f>
        <v>AZE</v>
      </c>
      <c r="C2610" s="233" t="str">
        <f>VLOOKUP(Table8[[#This Row],[Document ID]],Table1[],3,FALSE)</f>
        <v>Azerbaijan</v>
      </c>
      <c r="D2610" s="243" t="str">
        <f>VLOOKUP(Table8[[#This Row],[Document ID]],Table1[],5,FALSE)</f>
        <v>NDC</v>
      </c>
      <c r="E2610" s="233" t="str">
        <f>VLOOKUP(Table8[[#This Row],[Document ID]],Table1[],7,FALSE)</f>
        <v>Second NDC</v>
      </c>
      <c r="F2610" s="233" t="str">
        <f>VLOOKUP(Table8[[#This Row],[Document ID]],Table1[],8,FALSE)</f>
        <v>NDC 2.0</v>
      </c>
      <c r="G2610" s="233" t="str">
        <f>VLOOKUP(Table8[[#This Row],[Document ID]],Table1[],10,FALSE)</f>
        <v>Active</v>
      </c>
      <c r="H2610" s="44" t="s">
        <v>2338</v>
      </c>
      <c r="I2610" s="44" t="s">
        <v>2339</v>
      </c>
      <c r="J2610" s="44" t="s">
        <v>2556</v>
      </c>
      <c r="K2610" s="44" t="s">
        <v>4701</v>
      </c>
      <c r="L2610" s="44" t="s">
        <v>2333</v>
      </c>
      <c r="M2610" s="43">
        <v>16</v>
      </c>
      <c r="N2610" s="113" t="s">
        <v>1113</v>
      </c>
      <c r="O2610" s="113"/>
      <c r="P2610" s="113"/>
      <c r="Q2610" s="113"/>
      <c r="R2610" s="113"/>
      <c r="S2610" s="113"/>
      <c r="T2610" s="113"/>
      <c r="U2610" s="113"/>
      <c r="V2610" s="113"/>
      <c r="W2610" s="113"/>
      <c r="X2610" s="113"/>
      <c r="Y2610" s="113"/>
      <c r="Z2610" s="113"/>
      <c r="AA2610" s="113"/>
      <c r="AB2610" s="113"/>
      <c r="AC2610" s="113"/>
      <c r="AD2610" s="113"/>
      <c r="AE2610" s="113"/>
      <c r="AF2610" s="113"/>
      <c r="AG2610" s="113"/>
      <c r="AH2610" s="113"/>
      <c r="AI2610" s="113"/>
      <c r="AJ2610" s="113"/>
      <c r="AK2610" s="113" t="s">
        <v>1113</v>
      </c>
      <c r="AL2610" s="113"/>
      <c r="AM2610" s="113"/>
      <c r="AN2610" s="113"/>
      <c r="AO2610" s="44" t="s">
        <v>2334</v>
      </c>
      <c r="AP2610" s="43"/>
      <c r="AQ2610" s="236" t="str">
        <f>VLOOKUP(Table8[[#This Row],[Instrument]],Def_Targets!$D$73:$E$159,2,FALSE)</f>
        <v>I_Fuelqualimprove</v>
      </c>
      <c r="AR2610" s="233" t="str">
        <f>VLOOKUP(Table8[[#This Row],[Country Code]],Table29[],3,FALSE)</f>
        <v>Non-Annex I</v>
      </c>
      <c r="AS2610" s="233" t="str">
        <f>VLOOKUP(Table8[[#This Row],[Country Code]],Table29[],4,FALSE)</f>
        <v>Asia</v>
      </c>
      <c r="AT2610" s="233" t="str">
        <f>VLOOKUP(Table8[[#This Row],[Country Code]],Table29[],5,FALSE)</f>
        <v>Middle-income</v>
      </c>
      <c r="AU2610" s="233" t="str">
        <f>VLOOKUP(Table8[[#This Row],[Country Code]],Table29[],6,FALSE)</f>
        <v>no</v>
      </c>
      <c r="AV2610" s="233" t="str">
        <f>VLOOKUP(Table8[[#This Row],[Country Code]],Table29[],7,FALSE)</f>
        <v>no</v>
      </c>
      <c r="AW2610" s="233" t="str">
        <f>VLOOKUP(Table8[[#This Row],[Country Code]],Table29[],8,FALSE)</f>
        <v>non-OECD</v>
      </c>
      <c r="AX2610" s="233" t="str">
        <f>VLOOKUP(Table8[[#This Row],[Country Code]],Table29[],9,FALSE)</f>
        <v>no</v>
      </c>
      <c r="AY2610" s="233" t="str">
        <f>VLOOKUP(Table8[[#This Row],[Country Code]],Table29[],10,FALSE)</f>
        <v>no</v>
      </c>
      <c r="AZ2610" s="235">
        <f>VLOOKUP(Table8[[#This Row],[Country Code]],Table29[],23,FALSE)</f>
        <v>62.550294041306003</v>
      </c>
      <c r="BA2610" s="235">
        <f>VLOOKUP(Table8[[#This Row],[Country Code]],Table29[],24,FALSE)</f>
        <v>8.4493328883147889</v>
      </c>
      <c r="BB2610" s="320"/>
      <c r="BC2610" s="320"/>
    </row>
    <row r="2611" spans="1:55" hidden="1" x14ac:dyDescent="0.25">
      <c r="A2611" s="373">
        <v>39438</v>
      </c>
      <c r="B2611" s="233" t="str">
        <f>VLOOKUP(Table8[[#This Row],[Document ID]],Table1[],2,FALSE)</f>
        <v>AZE</v>
      </c>
      <c r="C2611" s="233" t="str">
        <f>VLOOKUP(Table8[[#This Row],[Document ID]],Table1[],3,FALSE)</f>
        <v>Azerbaijan</v>
      </c>
      <c r="D2611" s="243" t="str">
        <f>VLOOKUP(Table8[[#This Row],[Document ID]],Table1[],5,FALSE)</f>
        <v>NDC</v>
      </c>
      <c r="E2611" s="233" t="str">
        <f>VLOOKUP(Table8[[#This Row],[Document ID]],Table1[],7,FALSE)</f>
        <v>Second NDC</v>
      </c>
      <c r="F2611" s="233" t="str">
        <f>VLOOKUP(Table8[[#This Row],[Document ID]],Table1[],8,FALSE)</f>
        <v>NDC 2.0</v>
      </c>
      <c r="G2611" s="233" t="str">
        <f>VLOOKUP(Table8[[#This Row],[Document ID]],Table1[],10,FALSE)</f>
        <v>Active</v>
      </c>
      <c r="H2611" s="44" t="s">
        <v>2338</v>
      </c>
      <c r="I2611" s="44" t="s">
        <v>2339</v>
      </c>
      <c r="J2611" s="44" t="s">
        <v>2425</v>
      </c>
      <c r="K2611" s="316" t="s">
        <v>4702</v>
      </c>
      <c r="L2611" s="44" t="s">
        <v>2333</v>
      </c>
      <c r="M2611" s="43">
        <v>16</v>
      </c>
      <c r="N2611" s="113"/>
      <c r="O2611" s="113"/>
      <c r="P2611" s="113"/>
      <c r="Q2611" s="113"/>
      <c r="R2611" s="113"/>
      <c r="S2611" s="113" t="s">
        <v>1113</v>
      </c>
      <c r="T2611" s="113"/>
      <c r="U2611" s="113"/>
      <c r="V2611" s="113"/>
      <c r="W2611" s="113"/>
      <c r="X2611" s="113"/>
      <c r="Y2611" s="113"/>
      <c r="Z2611" s="113"/>
      <c r="AA2611" s="113"/>
      <c r="AB2611" s="113"/>
      <c r="AC2611" s="113"/>
      <c r="AD2611" s="113"/>
      <c r="AE2611" s="113"/>
      <c r="AF2611" s="113"/>
      <c r="AG2611" s="113"/>
      <c r="AH2611" s="113"/>
      <c r="AI2611" s="113"/>
      <c r="AJ2611" s="113"/>
      <c r="AK2611" s="113" t="s">
        <v>1113</v>
      </c>
      <c r="AL2611" s="113"/>
      <c r="AM2611" s="113"/>
      <c r="AN2611" s="113"/>
      <c r="AO2611" s="44" t="s">
        <v>2334</v>
      </c>
      <c r="AP2611" s="43"/>
      <c r="AQ2611" s="236" t="str">
        <f>VLOOKUP(Table8[[#This Row],[Instrument]],Def_Targets!$D$73:$E$159,2,FALSE)</f>
        <v>I_Efficiencystd</v>
      </c>
      <c r="AR2611" s="233" t="str">
        <f>VLOOKUP(Table8[[#This Row],[Country Code]],Table29[],3,FALSE)</f>
        <v>Non-Annex I</v>
      </c>
      <c r="AS2611" s="233" t="str">
        <f>VLOOKUP(Table8[[#This Row],[Country Code]],Table29[],4,FALSE)</f>
        <v>Asia</v>
      </c>
      <c r="AT2611" s="233" t="str">
        <f>VLOOKUP(Table8[[#This Row],[Country Code]],Table29[],5,FALSE)</f>
        <v>Middle-income</v>
      </c>
      <c r="AU2611" s="233" t="str">
        <f>VLOOKUP(Table8[[#This Row],[Country Code]],Table29[],6,FALSE)</f>
        <v>no</v>
      </c>
      <c r="AV2611" s="233" t="str">
        <f>VLOOKUP(Table8[[#This Row],[Country Code]],Table29[],7,FALSE)</f>
        <v>no</v>
      </c>
      <c r="AW2611" s="233" t="str">
        <f>VLOOKUP(Table8[[#This Row],[Country Code]],Table29[],8,FALSE)</f>
        <v>non-OECD</v>
      </c>
      <c r="AX2611" s="233" t="str">
        <f>VLOOKUP(Table8[[#This Row],[Country Code]],Table29[],9,FALSE)</f>
        <v>no</v>
      </c>
      <c r="AY2611" s="233" t="str">
        <f>VLOOKUP(Table8[[#This Row],[Country Code]],Table29[],10,FALSE)</f>
        <v>no</v>
      </c>
      <c r="AZ2611" s="235">
        <f>VLOOKUP(Table8[[#This Row],[Country Code]],Table29[],23,FALSE)</f>
        <v>62.550294041306003</v>
      </c>
      <c r="BA2611" s="235">
        <f>VLOOKUP(Table8[[#This Row],[Country Code]],Table29[],24,FALSE)</f>
        <v>8.4493328883147889</v>
      </c>
      <c r="BB2611" s="320"/>
      <c r="BC2611" s="320"/>
    </row>
    <row r="2612" spans="1:55" hidden="1" x14ac:dyDescent="0.25">
      <c r="A2612" s="373">
        <v>39438</v>
      </c>
      <c r="B2612" s="233" t="str">
        <f>VLOOKUP(Table8[[#This Row],[Document ID]],Table1[],2,FALSE)</f>
        <v>AZE</v>
      </c>
      <c r="C2612" s="233" t="str">
        <f>VLOOKUP(Table8[[#This Row],[Document ID]],Table1[],3,FALSE)</f>
        <v>Azerbaijan</v>
      </c>
      <c r="D2612" s="243" t="str">
        <f>VLOOKUP(Table8[[#This Row],[Document ID]],Table1[],5,FALSE)</f>
        <v>NDC</v>
      </c>
      <c r="E2612" s="233" t="str">
        <f>VLOOKUP(Table8[[#This Row],[Document ID]],Table1[],7,FALSE)</f>
        <v>Second NDC</v>
      </c>
      <c r="F2612" s="233" t="str">
        <f>VLOOKUP(Table8[[#This Row],[Document ID]],Table1[],8,FALSE)</f>
        <v>NDC 2.0</v>
      </c>
      <c r="G2612" s="233" t="str">
        <f>VLOOKUP(Table8[[#This Row],[Document ID]],Table1[],10,FALSE)</f>
        <v>Active</v>
      </c>
      <c r="H2612" s="43" t="s">
        <v>2343</v>
      </c>
      <c r="I2612" s="43" t="s">
        <v>2344</v>
      </c>
      <c r="J2612" s="44" t="s">
        <v>2345</v>
      </c>
      <c r="K2612" s="44" t="s">
        <v>4703</v>
      </c>
      <c r="L2612" s="44" t="s">
        <v>2347</v>
      </c>
      <c r="M2612" s="43">
        <v>17</v>
      </c>
      <c r="N2612" s="113" t="s">
        <v>1113</v>
      </c>
      <c r="O2612" s="113"/>
      <c r="P2612" s="113"/>
      <c r="Q2612" s="113"/>
      <c r="R2612" s="113"/>
      <c r="S2612" s="113"/>
      <c r="T2612" s="113"/>
      <c r="U2612" s="113"/>
      <c r="V2612" s="113"/>
      <c r="W2612" s="113"/>
      <c r="X2612" s="113"/>
      <c r="Y2612" s="113"/>
      <c r="Z2612" s="113"/>
      <c r="AA2612" s="113"/>
      <c r="AB2612" s="113"/>
      <c r="AC2612" s="113"/>
      <c r="AD2612" s="113"/>
      <c r="AE2612" s="113"/>
      <c r="AF2612" s="113"/>
      <c r="AG2612" s="113"/>
      <c r="AH2612" s="113"/>
      <c r="AI2612" s="113"/>
      <c r="AJ2612" s="113"/>
      <c r="AK2612" s="113" t="s">
        <v>1113</v>
      </c>
      <c r="AL2612" s="113"/>
      <c r="AM2612" s="113"/>
      <c r="AN2612" s="113"/>
      <c r="AO2612" s="44" t="s">
        <v>2334</v>
      </c>
      <c r="AP2612" s="43"/>
      <c r="AQ2612" s="236" t="str">
        <f>VLOOKUP(Table8[[#This Row],[Instrument]],Def_Targets!$D$73:$E$159,2,FALSE)</f>
        <v>S_PublicTransport</v>
      </c>
      <c r="AR2612" s="233" t="str">
        <f>VLOOKUP(Table8[[#This Row],[Country Code]],Table29[],3,FALSE)</f>
        <v>Non-Annex I</v>
      </c>
      <c r="AS2612" s="233" t="str">
        <f>VLOOKUP(Table8[[#This Row],[Country Code]],Table29[],4,FALSE)</f>
        <v>Asia</v>
      </c>
      <c r="AT2612" s="233" t="str">
        <f>VLOOKUP(Table8[[#This Row],[Country Code]],Table29[],5,FALSE)</f>
        <v>Middle-income</v>
      </c>
      <c r="AU2612" s="233" t="str">
        <f>VLOOKUP(Table8[[#This Row],[Country Code]],Table29[],6,FALSE)</f>
        <v>no</v>
      </c>
      <c r="AV2612" s="233" t="str">
        <f>VLOOKUP(Table8[[#This Row],[Country Code]],Table29[],7,FALSE)</f>
        <v>no</v>
      </c>
      <c r="AW2612" s="233" t="str">
        <f>VLOOKUP(Table8[[#This Row],[Country Code]],Table29[],8,FALSE)</f>
        <v>non-OECD</v>
      </c>
      <c r="AX2612" s="233" t="str">
        <f>VLOOKUP(Table8[[#This Row],[Country Code]],Table29[],9,FALSE)</f>
        <v>no</v>
      </c>
      <c r="AY2612" s="233" t="str">
        <f>VLOOKUP(Table8[[#This Row],[Country Code]],Table29[],10,FALSE)</f>
        <v>no</v>
      </c>
      <c r="AZ2612" s="235">
        <f>VLOOKUP(Table8[[#This Row],[Country Code]],Table29[],23,FALSE)</f>
        <v>62.550294041306003</v>
      </c>
      <c r="BA2612" s="235">
        <f>VLOOKUP(Table8[[#This Row],[Country Code]],Table29[],24,FALSE)</f>
        <v>8.4493328883147889</v>
      </c>
      <c r="BB2612" s="320"/>
      <c r="BC2612" s="320"/>
    </row>
    <row r="2613" spans="1:55" hidden="1" x14ac:dyDescent="0.25">
      <c r="A2613" s="373">
        <v>39438</v>
      </c>
      <c r="B2613" s="233" t="str">
        <f>VLOOKUP(Table8[[#This Row],[Document ID]],Table1[],2,FALSE)</f>
        <v>AZE</v>
      </c>
      <c r="C2613" s="233" t="str">
        <f>VLOOKUP(Table8[[#This Row],[Document ID]],Table1[],3,FALSE)</f>
        <v>Azerbaijan</v>
      </c>
      <c r="D2613" s="243" t="str">
        <f>VLOOKUP(Table8[[#This Row],[Document ID]],Table1[],5,FALSE)</f>
        <v>NDC</v>
      </c>
      <c r="E2613" s="233" t="str">
        <f>VLOOKUP(Table8[[#This Row],[Document ID]],Table1[],7,FALSE)</f>
        <v>Second NDC</v>
      </c>
      <c r="F2613" s="233" t="str">
        <f>VLOOKUP(Table8[[#This Row],[Document ID]],Table1[],8,FALSE)</f>
        <v>NDC 2.0</v>
      </c>
      <c r="G2613" s="233" t="str">
        <f>VLOOKUP(Table8[[#This Row],[Document ID]],Table1[],10,FALSE)</f>
        <v>Active</v>
      </c>
      <c r="H2613" s="43" t="s">
        <v>2358</v>
      </c>
      <c r="I2613" s="43" t="s">
        <v>2359</v>
      </c>
      <c r="J2613" s="44" t="s">
        <v>2360</v>
      </c>
      <c r="K2613" s="44" t="s">
        <v>4704</v>
      </c>
      <c r="L2613" s="44" t="s">
        <v>2333</v>
      </c>
      <c r="M2613" s="43">
        <v>17</v>
      </c>
      <c r="N2613" s="113"/>
      <c r="O2613" s="113"/>
      <c r="P2613" s="113"/>
      <c r="Q2613" s="113"/>
      <c r="R2613" s="113"/>
      <c r="S2613" s="113"/>
      <c r="T2613" s="113"/>
      <c r="U2613" s="113"/>
      <c r="V2613" s="113"/>
      <c r="W2613" s="113"/>
      <c r="X2613" s="113"/>
      <c r="Y2613" s="113"/>
      <c r="Z2613" s="113" t="s">
        <v>1113</v>
      </c>
      <c r="AA2613" s="113"/>
      <c r="AB2613" s="113"/>
      <c r="AC2613" s="113"/>
      <c r="AD2613" s="113"/>
      <c r="AE2613" s="113"/>
      <c r="AF2613" s="113"/>
      <c r="AG2613" s="113"/>
      <c r="AH2613" s="113"/>
      <c r="AI2613" s="113"/>
      <c r="AJ2613" s="113"/>
      <c r="AK2613" s="113" t="s">
        <v>1113</v>
      </c>
      <c r="AL2613" s="113"/>
      <c r="AM2613" s="113"/>
      <c r="AN2613" s="113"/>
      <c r="AO2613" s="44" t="s">
        <v>2334</v>
      </c>
      <c r="AP2613" s="43"/>
      <c r="AQ2613" s="236" t="str">
        <f>VLOOKUP(Table8[[#This Row],[Instrument]],Def_Targets!$D$73:$E$159,2,FALSE)</f>
        <v>I_Emobility</v>
      </c>
      <c r="AR2613" s="233" t="str">
        <f>VLOOKUP(Table8[[#This Row],[Country Code]],Table29[],3,FALSE)</f>
        <v>Non-Annex I</v>
      </c>
      <c r="AS2613" s="233" t="str">
        <f>VLOOKUP(Table8[[#This Row],[Country Code]],Table29[],4,FALSE)</f>
        <v>Asia</v>
      </c>
      <c r="AT2613" s="233" t="str">
        <f>VLOOKUP(Table8[[#This Row],[Country Code]],Table29[],5,FALSE)</f>
        <v>Middle-income</v>
      </c>
      <c r="AU2613" s="233" t="str">
        <f>VLOOKUP(Table8[[#This Row],[Country Code]],Table29[],6,FALSE)</f>
        <v>no</v>
      </c>
      <c r="AV2613" s="233" t="str">
        <f>VLOOKUP(Table8[[#This Row],[Country Code]],Table29[],7,FALSE)</f>
        <v>no</v>
      </c>
      <c r="AW2613" s="233" t="str">
        <f>VLOOKUP(Table8[[#This Row],[Country Code]],Table29[],8,FALSE)</f>
        <v>non-OECD</v>
      </c>
      <c r="AX2613" s="233" t="str">
        <f>VLOOKUP(Table8[[#This Row],[Country Code]],Table29[],9,FALSE)</f>
        <v>no</v>
      </c>
      <c r="AY2613" s="233" t="str">
        <f>VLOOKUP(Table8[[#This Row],[Country Code]],Table29[],10,FALSE)</f>
        <v>no</v>
      </c>
      <c r="AZ2613" s="235">
        <f>VLOOKUP(Table8[[#This Row],[Country Code]],Table29[],23,FALSE)</f>
        <v>62.550294041306003</v>
      </c>
      <c r="BA2613" s="235">
        <f>VLOOKUP(Table8[[#This Row],[Country Code]],Table29[],24,FALSE)</f>
        <v>8.4493328883147889</v>
      </c>
      <c r="BB2613" s="320"/>
      <c r="BC2613" s="320"/>
    </row>
    <row r="2614" spans="1:55" ht="15" hidden="1" customHeight="1" x14ac:dyDescent="0.25">
      <c r="A2614" s="373">
        <v>39438</v>
      </c>
      <c r="B2614" s="233" t="str">
        <f>VLOOKUP(Table8[[#This Row],[Document ID]],Table1[],2,FALSE)</f>
        <v>AZE</v>
      </c>
      <c r="C2614" s="233" t="str">
        <f>VLOOKUP(Table8[[#This Row],[Document ID]],Table1[],3,FALSE)</f>
        <v>Azerbaijan</v>
      </c>
      <c r="D2614" s="243" t="str">
        <f>VLOOKUP(Table8[[#This Row],[Document ID]],Table1[],5,FALSE)</f>
        <v>NDC</v>
      </c>
      <c r="E2614" s="233" t="str">
        <f>VLOOKUP(Table8[[#This Row],[Document ID]],Table1[],7,FALSE)</f>
        <v>Second NDC</v>
      </c>
      <c r="F2614" s="233" t="str">
        <f>VLOOKUP(Table8[[#This Row],[Document ID]],Table1[],8,FALSE)</f>
        <v>NDC 2.0</v>
      </c>
      <c r="G2614" s="233" t="str">
        <f>VLOOKUP(Table8[[#This Row],[Document ID]],Table1[],10,FALSE)</f>
        <v>Active</v>
      </c>
      <c r="H2614" s="43" t="s">
        <v>2343</v>
      </c>
      <c r="I2614" s="43" t="s">
        <v>2429</v>
      </c>
      <c r="J2614" s="44" t="s">
        <v>2430</v>
      </c>
      <c r="K2614" s="44" t="s">
        <v>4705</v>
      </c>
      <c r="L2614" s="44" t="s">
        <v>2333</v>
      </c>
      <c r="M2614" s="43">
        <v>17</v>
      </c>
      <c r="N2614" s="113" t="s">
        <v>1113</v>
      </c>
      <c r="O2614" s="113"/>
      <c r="P2614" s="113"/>
      <c r="Q2614" s="113"/>
      <c r="R2614" s="113"/>
      <c r="S2614" s="113"/>
      <c r="T2614" s="113"/>
      <c r="U2614" s="113"/>
      <c r="V2614" s="113"/>
      <c r="W2614" s="113"/>
      <c r="X2614" s="113"/>
      <c r="Y2614" s="113"/>
      <c r="Z2614" s="113"/>
      <c r="AA2614" s="113"/>
      <c r="AB2614" s="113"/>
      <c r="AC2614" s="113"/>
      <c r="AD2614" s="113"/>
      <c r="AE2614" s="113"/>
      <c r="AF2614" s="113"/>
      <c r="AG2614" s="113"/>
      <c r="AH2614" s="113"/>
      <c r="AI2614" s="113"/>
      <c r="AJ2614" s="113"/>
      <c r="AK2614" s="113" t="s">
        <v>1113</v>
      </c>
      <c r="AL2614" s="113"/>
      <c r="AM2614" s="113"/>
      <c r="AN2614" s="113"/>
      <c r="AO2614" s="44" t="s">
        <v>2334</v>
      </c>
      <c r="AP2614" s="43"/>
      <c r="AQ2614" s="236" t="str">
        <f>VLOOKUP(Table8[[#This Row],[Instrument]],Def_Targets!$D$73:$E$159,2,FALSE)</f>
        <v>I_ITS</v>
      </c>
      <c r="AR2614" s="233" t="str">
        <f>VLOOKUP(Table8[[#This Row],[Country Code]],Table29[],3,FALSE)</f>
        <v>Non-Annex I</v>
      </c>
      <c r="AS2614" s="233" t="str">
        <f>VLOOKUP(Table8[[#This Row],[Country Code]],Table29[],4,FALSE)</f>
        <v>Asia</v>
      </c>
      <c r="AT2614" s="233" t="str">
        <f>VLOOKUP(Table8[[#This Row],[Country Code]],Table29[],5,FALSE)</f>
        <v>Middle-income</v>
      </c>
      <c r="AU2614" s="233" t="str">
        <f>VLOOKUP(Table8[[#This Row],[Country Code]],Table29[],6,FALSE)</f>
        <v>no</v>
      </c>
      <c r="AV2614" s="233" t="str">
        <f>VLOOKUP(Table8[[#This Row],[Country Code]],Table29[],7,FALSE)</f>
        <v>no</v>
      </c>
      <c r="AW2614" s="233" t="str">
        <f>VLOOKUP(Table8[[#This Row],[Country Code]],Table29[],8,FALSE)</f>
        <v>non-OECD</v>
      </c>
      <c r="AX2614" s="233" t="str">
        <f>VLOOKUP(Table8[[#This Row],[Country Code]],Table29[],9,FALSE)</f>
        <v>no</v>
      </c>
      <c r="AY2614" s="233" t="str">
        <f>VLOOKUP(Table8[[#This Row],[Country Code]],Table29[],10,FALSE)</f>
        <v>no</v>
      </c>
      <c r="AZ2614" s="235">
        <f>VLOOKUP(Table8[[#This Row],[Country Code]],Table29[],23,FALSE)</f>
        <v>62.550294041306003</v>
      </c>
      <c r="BA2614" s="235">
        <f>VLOOKUP(Table8[[#This Row],[Country Code]],Table29[],24,FALSE)</f>
        <v>8.4493328883147889</v>
      </c>
      <c r="BB2614" s="320"/>
      <c r="BC2614" s="320"/>
    </row>
    <row r="2615" spans="1:55" ht="30" hidden="1" x14ac:dyDescent="0.25">
      <c r="A2615" s="373">
        <v>39438</v>
      </c>
      <c r="B2615" s="233" t="str">
        <f>VLOOKUP(Table8[[#This Row],[Document ID]],Table1[],2,FALSE)</f>
        <v>AZE</v>
      </c>
      <c r="C2615" s="233" t="str">
        <f>VLOOKUP(Table8[[#This Row],[Document ID]],Table1[],3,FALSE)</f>
        <v>Azerbaijan</v>
      </c>
      <c r="D2615" s="243" t="str">
        <f>VLOOKUP(Table8[[#This Row],[Document ID]],Table1[],5,FALSE)</f>
        <v>NDC</v>
      </c>
      <c r="E2615" s="233" t="str">
        <f>VLOOKUP(Table8[[#This Row],[Document ID]],Table1[],7,FALSE)</f>
        <v>Second NDC</v>
      </c>
      <c r="F2615" s="233" t="str">
        <f>VLOOKUP(Table8[[#This Row],[Document ID]],Table1[],8,FALSE)</f>
        <v>NDC 2.0</v>
      </c>
      <c r="G2615" s="233" t="str">
        <f>VLOOKUP(Table8[[#This Row],[Document ID]],Table1[],10,FALSE)</f>
        <v>Active</v>
      </c>
      <c r="H2615" s="43" t="s">
        <v>2343</v>
      </c>
      <c r="I2615" s="43" t="s">
        <v>2344</v>
      </c>
      <c r="J2615" s="44" t="s">
        <v>2345</v>
      </c>
      <c r="K2615" s="44" t="s">
        <v>4706</v>
      </c>
      <c r="L2615" s="44" t="s">
        <v>2347</v>
      </c>
      <c r="M2615" s="43">
        <v>17</v>
      </c>
      <c r="N2615" s="113"/>
      <c r="O2615" s="113"/>
      <c r="P2615" s="113"/>
      <c r="Q2615" s="113"/>
      <c r="R2615" s="113"/>
      <c r="S2615" s="113"/>
      <c r="T2615" s="113"/>
      <c r="U2615" s="113"/>
      <c r="V2615" s="113"/>
      <c r="W2615" s="113"/>
      <c r="X2615" s="113"/>
      <c r="Y2615" s="113"/>
      <c r="Z2615" s="113"/>
      <c r="AA2615" s="113"/>
      <c r="AB2615" s="113"/>
      <c r="AC2615" s="113" t="s">
        <v>1113</v>
      </c>
      <c r="AD2615" s="113"/>
      <c r="AE2615" s="113"/>
      <c r="AF2615" s="113"/>
      <c r="AG2615" s="113"/>
      <c r="AH2615" s="113"/>
      <c r="AI2615" s="113"/>
      <c r="AJ2615" s="113"/>
      <c r="AK2615" s="113" t="s">
        <v>1113</v>
      </c>
      <c r="AL2615" s="113"/>
      <c r="AM2615" s="113"/>
      <c r="AN2615" s="113"/>
      <c r="AO2615" s="43" t="s">
        <v>2348</v>
      </c>
      <c r="AP2615" s="43"/>
      <c r="AQ2615" s="236" t="str">
        <f>VLOOKUP(Table8[[#This Row],[Instrument]],Def_Targets!$D$73:$E$159,2,FALSE)</f>
        <v>S_PublicTransport</v>
      </c>
      <c r="AR2615" s="233" t="str">
        <f>VLOOKUP(Table8[[#This Row],[Country Code]],Table29[],3,FALSE)</f>
        <v>Non-Annex I</v>
      </c>
      <c r="AS2615" s="233" t="str">
        <f>VLOOKUP(Table8[[#This Row],[Country Code]],Table29[],4,FALSE)</f>
        <v>Asia</v>
      </c>
      <c r="AT2615" s="233" t="str">
        <f>VLOOKUP(Table8[[#This Row],[Country Code]],Table29[],5,FALSE)</f>
        <v>Middle-income</v>
      </c>
      <c r="AU2615" s="233" t="str">
        <f>VLOOKUP(Table8[[#This Row],[Country Code]],Table29[],6,FALSE)</f>
        <v>no</v>
      </c>
      <c r="AV2615" s="233" t="str">
        <f>VLOOKUP(Table8[[#This Row],[Country Code]],Table29[],7,FALSE)</f>
        <v>no</v>
      </c>
      <c r="AW2615" s="233" t="str">
        <f>VLOOKUP(Table8[[#This Row],[Country Code]],Table29[],8,FALSE)</f>
        <v>non-OECD</v>
      </c>
      <c r="AX2615" s="233" t="str">
        <f>VLOOKUP(Table8[[#This Row],[Country Code]],Table29[],9,FALSE)</f>
        <v>no</v>
      </c>
      <c r="AY2615" s="233" t="str">
        <f>VLOOKUP(Table8[[#This Row],[Country Code]],Table29[],10,FALSE)</f>
        <v>no</v>
      </c>
      <c r="AZ2615" s="235">
        <f>VLOOKUP(Table8[[#This Row],[Country Code]],Table29[],23,FALSE)</f>
        <v>62.550294041306003</v>
      </c>
      <c r="BA2615" s="235">
        <f>VLOOKUP(Table8[[#This Row],[Country Code]],Table29[],24,FALSE)</f>
        <v>8.4493328883147889</v>
      </c>
      <c r="BB2615" s="320"/>
      <c r="BC2615" s="320"/>
    </row>
    <row r="2616" spans="1:55" hidden="1" x14ac:dyDescent="0.25">
      <c r="A2616" s="373">
        <v>39438</v>
      </c>
      <c r="B2616" s="233" t="str">
        <f>VLOOKUP(Table8[[#This Row],[Document ID]],Table1[],2,FALSE)</f>
        <v>AZE</v>
      </c>
      <c r="C2616" s="233" t="str">
        <f>VLOOKUP(Table8[[#This Row],[Document ID]],Table1[],3,FALSE)</f>
        <v>Azerbaijan</v>
      </c>
      <c r="D2616" s="243" t="str">
        <f>VLOOKUP(Table8[[#This Row],[Document ID]],Table1[],5,FALSE)</f>
        <v>NDC</v>
      </c>
      <c r="E2616" s="233" t="str">
        <f>VLOOKUP(Table8[[#This Row],[Document ID]],Table1[],7,FALSE)</f>
        <v>Second NDC</v>
      </c>
      <c r="F2616" s="233" t="str">
        <f>VLOOKUP(Table8[[#This Row],[Document ID]],Table1[],8,FALSE)</f>
        <v>NDC 2.0</v>
      </c>
      <c r="G2616" s="233" t="str">
        <f>VLOOKUP(Table8[[#This Row],[Document ID]],Table1[],10,FALSE)</f>
        <v>Active</v>
      </c>
      <c r="H2616" s="43" t="s">
        <v>2350</v>
      </c>
      <c r="I2616" s="43" t="s">
        <v>2456</v>
      </c>
      <c r="J2616" s="44" t="s">
        <v>2457</v>
      </c>
      <c r="K2616" s="44" t="s">
        <v>4707</v>
      </c>
      <c r="L2616" s="44" t="s">
        <v>2333</v>
      </c>
      <c r="M2616" s="43">
        <v>17</v>
      </c>
      <c r="N2616" s="113"/>
      <c r="O2616" s="113"/>
      <c r="P2616" s="113"/>
      <c r="Q2616" s="113"/>
      <c r="R2616" s="113"/>
      <c r="S2616" s="113" t="s">
        <v>1113</v>
      </c>
      <c r="T2616" s="113"/>
      <c r="U2616" s="113"/>
      <c r="V2616" s="113"/>
      <c r="W2616" s="113"/>
      <c r="X2616" s="113"/>
      <c r="Y2616" s="113"/>
      <c r="Z2616" s="113"/>
      <c r="AA2616" s="113"/>
      <c r="AB2616" s="113"/>
      <c r="AC2616" s="113"/>
      <c r="AD2616" s="113"/>
      <c r="AE2616" s="113"/>
      <c r="AF2616" s="113"/>
      <c r="AG2616" s="113"/>
      <c r="AH2616" s="113"/>
      <c r="AI2616" s="113"/>
      <c r="AJ2616" s="113"/>
      <c r="AK2616" s="113" t="s">
        <v>1113</v>
      </c>
      <c r="AL2616" s="113"/>
      <c r="AM2616" s="113"/>
      <c r="AN2616" s="113"/>
      <c r="AO2616" s="44" t="s">
        <v>2334</v>
      </c>
      <c r="AP2616" s="43"/>
      <c r="AQ2616" s="236" t="str">
        <f>VLOOKUP(Table8[[#This Row],[Instrument]],Def_Targets!$D$73:$E$159,2,FALSE)</f>
        <v>S_Infraimprove</v>
      </c>
      <c r="AR2616" s="233" t="str">
        <f>VLOOKUP(Table8[[#This Row],[Country Code]],Table29[],3,FALSE)</f>
        <v>Non-Annex I</v>
      </c>
      <c r="AS2616" s="233" t="str">
        <f>VLOOKUP(Table8[[#This Row],[Country Code]],Table29[],4,FALSE)</f>
        <v>Asia</v>
      </c>
      <c r="AT2616" s="233" t="str">
        <f>VLOOKUP(Table8[[#This Row],[Country Code]],Table29[],5,FALSE)</f>
        <v>Middle-income</v>
      </c>
      <c r="AU2616" s="233" t="str">
        <f>VLOOKUP(Table8[[#This Row],[Country Code]],Table29[],6,FALSE)</f>
        <v>no</v>
      </c>
      <c r="AV2616" s="233" t="str">
        <f>VLOOKUP(Table8[[#This Row],[Country Code]],Table29[],7,FALSE)</f>
        <v>no</v>
      </c>
      <c r="AW2616" s="233" t="str">
        <f>VLOOKUP(Table8[[#This Row],[Country Code]],Table29[],8,FALSE)</f>
        <v>non-OECD</v>
      </c>
      <c r="AX2616" s="233" t="str">
        <f>VLOOKUP(Table8[[#This Row],[Country Code]],Table29[],9,FALSE)</f>
        <v>no</v>
      </c>
      <c r="AY2616" s="233" t="str">
        <f>VLOOKUP(Table8[[#This Row],[Country Code]],Table29[],10,FALSE)</f>
        <v>no</v>
      </c>
      <c r="AZ2616" s="235">
        <f>VLOOKUP(Table8[[#This Row],[Country Code]],Table29[],23,FALSE)</f>
        <v>62.550294041306003</v>
      </c>
      <c r="BA2616" s="235">
        <f>VLOOKUP(Table8[[#This Row],[Country Code]],Table29[],24,FALSE)</f>
        <v>8.4493328883147889</v>
      </c>
      <c r="BB2616" s="320"/>
      <c r="BC2616" s="320"/>
    </row>
    <row r="2617" spans="1:55" ht="30" hidden="1" x14ac:dyDescent="0.25">
      <c r="A2617" s="373">
        <v>39438</v>
      </c>
      <c r="B2617" s="233" t="str">
        <f>VLOOKUP(Table8[[#This Row],[Document ID]],Table1[],2,FALSE)</f>
        <v>AZE</v>
      </c>
      <c r="C2617" s="233" t="str">
        <f>VLOOKUP(Table8[[#This Row],[Document ID]],Table1[],3,FALSE)</f>
        <v>Azerbaijan</v>
      </c>
      <c r="D2617" s="243" t="str">
        <f>VLOOKUP(Table8[[#This Row],[Document ID]],Table1[],5,FALSE)</f>
        <v>NDC</v>
      </c>
      <c r="E2617" s="233" t="str">
        <f>VLOOKUP(Table8[[#This Row],[Document ID]],Table1[],7,FALSE)</f>
        <v>Second NDC</v>
      </c>
      <c r="F2617" s="233" t="str">
        <f>VLOOKUP(Table8[[#This Row],[Document ID]],Table1[],8,FALSE)</f>
        <v>NDC 2.0</v>
      </c>
      <c r="G2617" s="233" t="str">
        <f>VLOOKUP(Table8[[#This Row],[Document ID]],Table1[],10,FALSE)</f>
        <v>Active</v>
      </c>
      <c r="H2617" s="43" t="s">
        <v>2343</v>
      </c>
      <c r="I2617" s="43" t="s">
        <v>2361</v>
      </c>
      <c r="J2617" s="44" t="s">
        <v>2366</v>
      </c>
      <c r="K2617" s="44" t="s">
        <v>4708</v>
      </c>
      <c r="L2617" s="44" t="s">
        <v>2347</v>
      </c>
      <c r="M2617" s="43">
        <v>17</v>
      </c>
      <c r="N2617" s="113"/>
      <c r="O2617" s="113"/>
      <c r="P2617" s="113"/>
      <c r="Q2617" s="113" t="s">
        <v>1113</v>
      </c>
      <c r="R2617" s="113" t="s">
        <v>1113</v>
      </c>
      <c r="S2617" s="113"/>
      <c r="T2617" s="113"/>
      <c r="U2617" s="113"/>
      <c r="V2617" s="113"/>
      <c r="W2617" s="113"/>
      <c r="X2617" s="113"/>
      <c r="Y2617" s="113"/>
      <c r="Z2617" s="113"/>
      <c r="AA2617" s="113"/>
      <c r="AB2617" s="113"/>
      <c r="AC2617" s="113"/>
      <c r="AD2617" s="113"/>
      <c r="AE2617" s="113"/>
      <c r="AF2617" s="113"/>
      <c r="AG2617" s="113"/>
      <c r="AH2617" s="113"/>
      <c r="AI2617" s="113"/>
      <c r="AJ2617" s="113"/>
      <c r="AK2617" s="113" t="s">
        <v>1113</v>
      </c>
      <c r="AL2617" s="113"/>
      <c r="AM2617" s="113"/>
      <c r="AN2617" s="113"/>
      <c r="AO2617" s="43" t="s">
        <v>2348</v>
      </c>
      <c r="AP2617" s="43"/>
      <c r="AQ2617" s="236" t="str">
        <f>VLOOKUP(Table8[[#This Row],[Instrument]],Def_Targets!$D$73:$E$159,2,FALSE)</f>
        <v>S_Activemobility</v>
      </c>
      <c r="AR2617" s="233" t="str">
        <f>VLOOKUP(Table8[[#This Row],[Country Code]],Table29[],3,FALSE)</f>
        <v>Non-Annex I</v>
      </c>
      <c r="AS2617" s="233" t="str">
        <f>VLOOKUP(Table8[[#This Row],[Country Code]],Table29[],4,FALSE)</f>
        <v>Asia</v>
      </c>
      <c r="AT2617" s="233" t="str">
        <f>VLOOKUP(Table8[[#This Row],[Country Code]],Table29[],5,FALSE)</f>
        <v>Middle-income</v>
      </c>
      <c r="AU2617" s="233" t="str">
        <f>VLOOKUP(Table8[[#This Row],[Country Code]],Table29[],6,FALSE)</f>
        <v>no</v>
      </c>
      <c r="AV2617" s="233" t="str">
        <f>VLOOKUP(Table8[[#This Row],[Country Code]],Table29[],7,FALSE)</f>
        <v>no</v>
      </c>
      <c r="AW2617" s="233" t="str">
        <f>VLOOKUP(Table8[[#This Row],[Country Code]],Table29[],8,FALSE)</f>
        <v>non-OECD</v>
      </c>
      <c r="AX2617" s="233" t="str">
        <f>VLOOKUP(Table8[[#This Row],[Country Code]],Table29[],9,FALSE)</f>
        <v>no</v>
      </c>
      <c r="AY2617" s="233" t="str">
        <f>VLOOKUP(Table8[[#This Row],[Country Code]],Table29[],10,FALSE)</f>
        <v>no</v>
      </c>
      <c r="AZ2617" s="235">
        <f>VLOOKUP(Table8[[#This Row],[Country Code]],Table29[],23,FALSE)</f>
        <v>62.550294041306003</v>
      </c>
      <c r="BA2617" s="235">
        <f>VLOOKUP(Table8[[#This Row],[Country Code]],Table29[],24,FALSE)</f>
        <v>8.4493328883147889</v>
      </c>
      <c r="BB2617" s="320"/>
      <c r="BC2617" s="320"/>
    </row>
    <row r="2618" spans="1:55" ht="15" hidden="1" customHeight="1" x14ac:dyDescent="0.25">
      <c r="A2618" s="373">
        <v>41741</v>
      </c>
      <c r="B2618" s="233" t="str">
        <f>VLOOKUP(Table8[[#This Row],[Document ID]],Table1[],2,FALSE)</f>
        <v>ARE</v>
      </c>
      <c r="C2618" s="233" t="str">
        <f>VLOOKUP(Table8[[#This Row],[Document ID]],Table1[],3,FALSE)</f>
        <v>United Arab Emirates</v>
      </c>
      <c r="D2618" s="243" t="str">
        <f>VLOOKUP(Table8[[#This Row],[Document ID]],Table1[],5,FALSE)</f>
        <v>LTS</v>
      </c>
      <c r="E2618" s="233" t="str">
        <f>VLOOKUP(Table8[[#This Row],[Document ID]],Table1[],7,FALSE)</f>
        <v>LTS</v>
      </c>
      <c r="F2618" s="233" t="str">
        <f>VLOOKUP(Table8[[#This Row],[Document ID]],Table1[],8,FALSE)</f>
        <v>LTS 1.0</v>
      </c>
      <c r="G2618" s="233" t="str">
        <f>VLOOKUP(Table8[[#This Row],[Document ID]],Table1[],10,FALSE)</f>
        <v>Active</v>
      </c>
      <c r="H2618" s="44" t="s">
        <v>2329</v>
      </c>
      <c r="I2618" s="44" t="s">
        <v>2330</v>
      </c>
      <c r="J2618" s="44" t="s">
        <v>2391</v>
      </c>
      <c r="K2618" s="44" t="s">
        <v>4686</v>
      </c>
      <c r="L2618" s="44" t="s">
        <v>2333</v>
      </c>
      <c r="M2618" s="43">
        <v>71</v>
      </c>
      <c r="N2618" s="113"/>
      <c r="O2618" s="113"/>
      <c r="P2618" s="113"/>
      <c r="Q2618" s="113"/>
      <c r="R2618" s="113"/>
      <c r="S2618" s="113"/>
      <c r="T2618" s="113"/>
      <c r="U2618" s="113"/>
      <c r="V2618" s="113"/>
      <c r="W2618" s="113"/>
      <c r="X2618" s="113" t="s">
        <v>1113</v>
      </c>
      <c r="Y2618" s="113"/>
      <c r="Z2618" s="113"/>
      <c r="AA2618" s="113"/>
      <c r="AB2618" s="113"/>
      <c r="AC2618" s="113"/>
      <c r="AD2618" s="113"/>
      <c r="AE2618" s="113"/>
      <c r="AF2618" s="113"/>
      <c r="AG2618" s="113"/>
      <c r="AH2618" s="113"/>
      <c r="AI2618" s="113"/>
      <c r="AJ2618" s="113"/>
      <c r="AK2618" s="113" t="s">
        <v>1113</v>
      </c>
      <c r="AL2618" s="113"/>
      <c r="AM2618" s="113"/>
      <c r="AN2618" s="113"/>
      <c r="AO2618" s="43" t="s">
        <v>2353</v>
      </c>
      <c r="AP2618" s="43"/>
      <c r="AQ2618" s="236" t="str">
        <f>VLOOKUP(Table8[[#This Row],[Instrument]],Def_Targets!$D$73:$E$159,2,FALSE)</f>
        <v>I_Hydrogen</v>
      </c>
      <c r="AR2618" s="233" t="str">
        <f>VLOOKUP(Table8[[#This Row],[Country Code]],Table29[],3,FALSE)</f>
        <v>Non-Annex I</v>
      </c>
      <c r="AS2618" s="233" t="str">
        <f>VLOOKUP(Table8[[#This Row],[Country Code]],Table29[],4,FALSE)</f>
        <v>Asia</v>
      </c>
      <c r="AT2618" s="233" t="str">
        <f>VLOOKUP(Table8[[#This Row],[Country Code]],Table29[],5,FALSE)</f>
        <v>High-income</v>
      </c>
      <c r="AU2618" s="233" t="str">
        <f>VLOOKUP(Table8[[#This Row],[Country Code]],Table29[],6,FALSE)</f>
        <v>no</v>
      </c>
      <c r="AV2618" s="233" t="str">
        <f>VLOOKUP(Table8[[#This Row],[Country Code]],Table29[],7,FALSE)</f>
        <v>no</v>
      </c>
      <c r="AW2618" s="233" t="str">
        <f>VLOOKUP(Table8[[#This Row],[Country Code]],Table29[],8,FALSE)</f>
        <v>non-OECD</v>
      </c>
      <c r="AX2618" s="233" t="str">
        <f>VLOOKUP(Table8[[#This Row],[Country Code]],Table29[],9,FALSE)</f>
        <v>no</v>
      </c>
      <c r="AY2618" s="233" t="str">
        <f>VLOOKUP(Table8[[#This Row],[Country Code]],Table29[],10,FALSE)</f>
        <v>MENA</v>
      </c>
      <c r="AZ2618" s="235">
        <f>VLOOKUP(Table8[[#This Row],[Country Code]],Table29[],23,FALSE)</f>
        <v>267.82319378585998</v>
      </c>
      <c r="BA2618" s="235">
        <f>VLOOKUP(Table8[[#This Row],[Country Code]],Table29[],24,FALSE)</f>
        <v>43.860911308351241</v>
      </c>
      <c r="BB2618" s="320"/>
      <c r="BC2618" s="320"/>
    </row>
    <row r="2619" spans="1:55" ht="15" hidden="1" customHeight="1" x14ac:dyDescent="0.25">
      <c r="A2619" s="373">
        <v>41741</v>
      </c>
      <c r="B2619" s="233" t="str">
        <f>VLOOKUP(Table8[[#This Row],[Document ID]],Table1[],2,FALSE)</f>
        <v>ARE</v>
      </c>
      <c r="C2619" s="233" t="str">
        <f>VLOOKUP(Table8[[#This Row],[Document ID]],Table1[],3,FALSE)</f>
        <v>United Arab Emirates</v>
      </c>
      <c r="D2619" s="243" t="str">
        <f>VLOOKUP(Table8[[#This Row],[Document ID]],Table1[],5,FALSE)</f>
        <v>LTS</v>
      </c>
      <c r="E2619" s="233" t="str">
        <f>VLOOKUP(Table8[[#This Row],[Document ID]],Table1[],7,FALSE)</f>
        <v>LTS</v>
      </c>
      <c r="F2619" s="233" t="str">
        <f>VLOOKUP(Table8[[#This Row],[Document ID]],Table1[],8,FALSE)</f>
        <v>LTS 1.0</v>
      </c>
      <c r="G2619" s="233" t="str">
        <f>VLOOKUP(Table8[[#This Row],[Document ID]],Table1[],10,FALSE)</f>
        <v>Active</v>
      </c>
      <c r="H2619" s="44" t="s">
        <v>2329</v>
      </c>
      <c r="I2619" s="44" t="s">
        <v>2330</v>
      </c>
      <c r="J2619" s="44" t="s">
        <v>2391</v>
      </c>
      <c r="K2619" s="44" t="s">
        <v>4709</v>
      </c>
      <c r="L2619" s="44" t="s">
        <v>2333</v>
      </c>
      <c r="M2619" s="43">
        <v>71</v>
      </c>
      <c r="N2619" s="113"/>
      <c r="O2619" s="113"/>
      <c r="P2619" s="113"/>
      <c r="Q2619" s="113"/>
      <c r="R2619" s="113"/>
      <c r="S2619" s="113"/>
      <c r="T2619" s="113"/>
      <c r="U2619" s="113"/>
      <c r="V2619" s="113"/>
      <c r="W2619" s="113"/>
      <c r="X2619" s="113"/>
      <c r="Y2619" s="113"/>
      <c r="Z2619" s="113" t="s">
        <v>1113</v>
      </c>
      <c r="AA2619" s="113"/>
      <c r="AB2619" s="113"/>
      <c r="AC2619" s="113"/>
      <c r="AD2619" s="113"/>
      <c r="AE2619" s="113"/>
      <c r="AF2619" s="113"/>
      <c r="AG2619" s="113"/>
      <c r="AH2619" s="113"/>
      <c r="AI2619" s="113"/>
      <c r="AJ2619" s="113"/>
      <c r="AK2619" s="113" t="s">
        <v>1113</v>
      </c>
      <c r="AL2619" s="113"/>
      <c r="AM2619" s="113"/>
      <c r="AN2619" s="113"/>
      <c r="AO2619" s="43" t="s">
        <v>2353</v>
      </c>
      <c r="AP2619" s="43"/>
      <c r="AQ2619" s="236" t="str">
        <f>VLOOKUP(Table8[[#This Row],[Instrument]],Def_Targets!$D$73:$E$159,2,FALSE)</f>
        <v>I_Hydrogen</v>
      </c>
      <c r="AR2619" s="233" t="str">
        <f>VLOOKUP(Table8[[#This Row],[Country Code]],Table29[],3,FALSE)</f>
        <v>Non-Annex I</v>
      </c>
      <c r="AS2619" s="233" t="str">
        <f>VLOOKUP(Table8[[#This Row],[Country Code]],Table29[],4,FALSE)</f>
        <v>Asia</v>
      </c>
      <c r="AT2619" s="233" t="str">
        <f>VLOOKUP(Table8[[#This Row],[Country Code]],Table29[],5,FALSE)</f>
        <v>High-income</v>
      </c>
      <c r="AU2619" s="233" t="str">
        <f>VLOOKUP(Table8[[#This Row],[Country Code]],Table29[],6,FALSE)</f>
        <v>no</v>
      </c>
      <c r="AV2619" s="233" t="str">
        <f>VLOOKUP(Table8[[#This Row],[Country Code]],Table29[],7,FALSE)</f>
        <v>no</v>
      </c>
      <c r="AW2619" s="233" t="str">
        <f>VLOOKUP(Table8[[#This Row],[Country Code]],Table29[],8,FALSE)</f>
        <v>non-OECD</v>
      </c>
      <c r="AX2619" s="233" t="str">
        <f>VLOOKUP(Table8[[#This Row],[Country Code]],Table29[],9,FALSE)</f>
        <v>no</v>
      </c>
      <c r="AY2619" s="233" t="str">
        <f>VLOOKUP(Table8[[#This Row],[Country Code]],Table29[],10,FALSE)</f>
        <v>MENA</v>
      </c>
      <c r="AZ2619" s="235">
        <f>VLOOKUP(Table8[[#This Row],[Country Code]],Table29[],23,FALSE)</f>
        <v>267.82319378585998</v>
      </c>
      <c r="BA2619" s="235">
        <f>VLOOKUP(Table8[[#This Row],[Country Code]],Table29[],24,FALSE)</f>
        <v>43.860911308351241</v>
      </c>
      <c r="BB2619" s="320"/>
      <c r="BC2619" s="320"/>
    </row>
    <row r="2620" spans="1:55" ht="75" hidden="1" x14ac:dyDescent="0.25">
      <c r="A2620" s="373">
        <v>41741</v>
      </c>
      <c r="B2620" s="233" t="str">
        <f>VLOOKUP(Table8[[#This Row],[Document ID]],Table1[],2,FALSE)</f>
        <v>ARE</v>
      </c>
      <c r="C2620" s="233" t="str">
        <f>VLOOKUP(Table8[[#This Row],[Document ID]],Table1[],3,FALSE)</f>
        <v>United Arab Emirates</v>
      </c>
      <c r="D2620" s="243" t="str">
        <f>VLOOKUP(Table8[[#This Row],[Document ID]],Table1[],5,FALSE)</f>
        <v>LTS</v>
      </c>
      <c r="E2620" s="233" t="str">
        <f>VLOOKUP(Table8[[#This Row],[Document ID]],Table1[],7,FALSE)</f>
        <v>LTS</v>
      </c>
      <c r="F2620" s="233" t="str">
        <f>VLOOKUP(Table8[[#This Row],[Document ID]],Table1[],8,FALSE)</f>
        <v>LTS 1.0</v>
      </c>
      <c r="G2620" s="233" t="str">
        <f>VLOOKUP(Table8[[#This Row],[Document ID]],Table1[],10,FALSE)</f>
        <v>Active</v>
      </c>
      <c r="H2620" s="43" t="s">
        <v>2358</v>
      </c>
      <c r="I2620" s="43" t="s">
        <v>2359</v>
      </c>
      <c r="J2620" s="44" t="s">
        <v>2360</v>
      </c>
      <c r="K2620" s="44" t="s">
        <v>4710</v>
      </c>
      <c r="L2620" s="44" t="s">
        <v>2333</v>
      </c>
      <c r="M2620" s="43">
        <v>71</v>
      </c>
      <c r="N2620" s="113"/>
      <c r="O2620" s="113"/>
      <c r="P2620" s="113"/>
      <c r="Q2620" s="113"/>
      <c r="R2620" s="113"/>
      <c r="S2620" s="113" t="s">
        <v>1113</v>
      </c>
      <c r="T2620" s="113"/>
      <c r="U2620" s="113"/>
      <c r="V2620" s="113"/>
      <c r="W2620" s="113"/>
      <c r="X2620" s="113"/>
      <c r="Y2620" s="113"/>
      <c r="Z2620" s="113"/>
      <c r="AA2620" s="113"/>
      <c r="AB2620" s="113"/>
      <c r="AC2620" s="113"/>
      <c r="AD2620" s="113"/>
      <c r="AE2620" s="113"/>
      <c r="AF2620" s="113"/>
      <c r="AG2620" s="113"/>
      <c r="AH2620" s="113"/>
      <c r="AI2620" s="113"/>
      <c r="AJ2620" s="113"/>
      <c r="AK2620" s="113" t="s">
        <v>1113</v>
      </c>
      <c r="AL2620" s="113"/>
      <c r="AM2620" s="113"/>
      <c r="AN2620" s="113"/>
      <c r="AO2620" s="44" t="s">
        <v>2334</v>
      </c>
      <c r="AP2620" s="43"/>
      <c r="AQ2620" s="236" t="str">
        <f>VLOOKUP(Table8[[#This Row],[Instrument]],Def_Targets!$D$73:$E$159,2,FALSE)</f>
        <v>I_Emobility</v>
      </c>
      <c r="AR2620" s="233" t="str">
        <f>VLOOKUP(Table8[[#This Row],[Country Code]],Table29[],3,FALSE)</f>
        <v>Non-Annex I</v>
      </c>
      <c r="AS2620" s="233" t="str">
        <f>VLOOKUP(Table8[[#This Row],[Country Code]],Table29[],4,FALSE)</f>
        <v>Asia</v>
      </c>
      <c r="AT2620" s="233" t="str">
        <f>VLOOKUP(Table8[[#This Row],[Country Code]],Table29[],5,FALSE)</f>
        <v>High-income</v>
      </c>
      <c r="AU2620" s="233" t="str">
        <f>VLOOKUP(Table8[[#This Row],[Country Code]],Table29[],6,FALSE)</f>
        <v>no</v>
      </c>
      <c r="AV2620" s="233" t="str">
        <f>VLOOKUP(Table8[[#This Row],[Country Code]],Table29[],7,FALSE)</f>
        <v>no</v>
      </c>
      <c r="AW2620" s="233" t="str">
        <f>VLOOKUP(Table8[[#This Row],[Country Code]],Table29[],8,FALSE)</f>
        <v>non-OECD</v>
      </c>
      <c r="AX2620" s="233" t="str">
        <f>VLOOKUP(Table8[[#This Row],[Country Code]],Table29[],9,FALSE)</f>
        <v>no</v>
      </c>
      <c r="AY2620" s="233" t="str">
        <f>VLOOKUP(Table8[[#This Row],[Country Code]],Table29[],10,FALSE)</f>
        <v>MENA</v>
      </c>
      <c r="AZ2620" s="235">
        <f>VLOOKUP(Table8[[#This Row],[Country Code]],Table29[],23,FALSE)</f>
        <v>267.82319378585998</v>
      </c>
      <c r="BA2620" s="235">
        <f>VLOOKUP(Table8[[#This Row],[Country Code]],Table29[],24,FALSE)</f>
        <v>43.860911308351241</v>
      </c>
      <c r="BB2620" s="320"/>
      <c r="BC2620" s="320"/>
    </row>
    <row r="2621" spans="1:55" ht="45" hidden="1" x14ac:dyDescent="0.25">
      <c r="A2621" s="373">
        <v>41741</v>
      </c>
      <c r="B2621" s="233" t="str">
        <f>VLOOKUP(Table8[[#This Row],[Document ID]],Table1[],2,FALSE)</f>
        <v>ARE</v>
      </c>
      <c r="C2621" s="233" t="str">
        <f>VLOOKUP(Table8[[#This Row],[Document ID]],Table1[],3,FALSE)</f>
        <v>United Arab Emirates</v>
      </c>
      <c r="D2621" s="243" t="str">
        <f>VLOOKUP(Table8[[#This Row],[Document ID]],Table1[],5,FALSE)</f>
        <v>LTS</v>
      </c>
      <c r="E2621" s="233" t="str">
        <f>VLOOKUP(Table8[[#This Row],[Document ID]],Table1[],7,FALSE)</f>
        <v>LTS</v>
      </c>
      <c r="F2621" s="233" t="str">
        <f>VLOOKUP(Table8[[#This Row],[Document ID]],Table1[],8,FALSE)</f>
        <v>LTS 1.0</v>
      </c>
      <c r="G2621" s="233" t="str">
        <f>VLOOKUP(Table8[[#This Row],[Document ID]],Table1[],10,FALSE)</f>
        <v>Active</v>
      </c>
      <c r="H2621" s="43" t="s">
        <v>2358</v>
      </c>
      <c r="I2621" s="43" t="s">
        <v>2359</v>
      </c>
      <c r="J2621" s="44" t="s">
        <v>2360</v>
      </c>
      <c r="K2621" s="44" t="s">
        <v>4711</v>
      </c>
      <c r="L2621" s="44" t="s">
        <v>2333</v>
      </c>
      <c r="M2621" s="43">
        <v>71</v>
      </c>
      <c r="N2621" s="113"/>
      <c r="O2621" s="113"/>
      <c r="P2621" s="113"/>
      <c r="Q2621" s="113"/>
      <c r="R2621" s="113"/>
      <c r="S2621" s="113" t="s">
        <v>1113</v>
      </c>
      <c r="T2621" s="113"/>
      <c r="U2621" s="113"/>
      <c r="V2621" s="113"/>
      <c r="W2621" s="113"/>
      <c r="X2621" s="113"/>
      <c r="Y2621" s="113"/>
      <c r="Z2621" s="113"/>
      <c r="AA2621" s="113"/>
      <c r="AB2621" s="113"/>
      <c r="AC2621" s="113"/>
      <c r="AD2621" s="113"/>
      <c r="AE2621" s="113"/>
      <c r="AF2621" s="113"/>
      <c r="AG2621" s="113"/>
      <c r="AH2621" s="113"/>
      <c r="AI2621" s="113"/>
      <c r="AJ2621" s="113"/>
      <c r="AK2621" s="113" t="s">
        <v>1113</v>
      </c>
      <c r="AL2621" s="113"/>
      <c r="AM2621" s="113"/>
      <c r="AN2621" s="113"/>
      <c r="AO2621" s="44" t="s">
        <v>2334</v>
      </c>
      <c r="AP2621" s="43"/>
      <c r="AQ2621" s="236" t="str">
        <f>VLOOKUP(Table8[[#This Row],[Instrument]],Def_Targets!$D$73:$E$159,2,FALSE)</f>
        <v>I_Emobility</v>
      </c>
      <c r="AR2621" s="233" t="str">
        <f>VLOOKUP(Table8[[#This Row],[Country Code]],Table29[],3,FALSE)</f>
        <v>Non-Annex I</v>
      </c>
      <c r="AS2621" s="233" t="str">
        <f>VLOOKUP(Table8[[#This Row],[Country Code]],Table29[],4,FALSE)</f>
        <v>Asia</v>
      </c>
      <c r="AT2621" s="233" t="str">
        <f>VLOOKUP(Table8[[#This Row],[Country Code]],Table29[],5,FALSE)</f>
        <v>High-income</v>
      </c>
      <c r="AU2621" s="233" t="str">
        <f>VLOOKUP(Table8[[#This Row],[Country Code]],Table29[],6,FALSE)</f>
        <v>no</v>
      </c>
      <c r="AV2621" s="233" t="str">
        <f>VLOOKUP(Table8[[#This Row],[Country Code]],Table29[],7,FALSE)</f>
        <v>no</v>
      </c>
      <c r="AW2621" s="233" t="str">
        <f>VLOOKUP(Table8[[#This Row],[Country Code]],Table29[],8,FALSE)</f>
        <v>non-OECD</v>
      </c>
      <c r="AX2621" s="233" t="str">
        <f>VLOOKUP(Table8[[#This Row],[Country Code]],Table29[],9,FALSE)</f>
        <v>no</v>
      </c>
      <c r="AY2621" s="233" t="str">
        <f>VLOOKUP(Table8[[#This Row],[Country Code]],Table29[],10,FALSE)</f>
        <v>MENA</v>
      </c>
      <c r="AZ2621" s="235">
        <f>VLOOKUP(Table8[[#This Row],[Country Code]],Table29[],23,FALSE)</f>
        <v>267.82319378585998</v>
      </c>
      <c r="BA2621" s="235">
        <f>VLOOKUP(Table8[[#This Row],[Country Code]],Table29[],24,FALSE)</f>
        <v>43.860911308351241</v>
      </c>
      <c r="BB2621" s="320"/>
      <c r="BC2621" s="320"/>
    </row>
    <row r="2622" spans="1:55" ht="15" hidden="1" customHeight="1" x14ac:dyDescent="0.25">
      <c r="A2622" s="373">
        <v>41741</v>
      </c>
      <c r="B2622" s="233" t="str">
        <f>VLOOKUP(Table8[[#This Row],[Document ID]],Table1[],2,FALSE)</f>
        <v>ARE</v>
      </c>
      <c r="C2622" s="233" t="str">
        <f>VLOOKUP(Table8[[#This Row],[Document ID]],Table1[],3,FALSE)</f>
        <v>United Arab Emirates</v>
      </c>
      <c r="D2622" s="243" t="str">
        <f>VLOOKUP(Table8[[#This Row],[Document ID]],Table1[],5,FALSE)</f>
        <v>LTS</v>
      </c>
      <c r="E2622" s="233" t="str">
        <f>VLOOKUP(Table8[[#This Row],[Document ID]],Table1[],7,FALSE)</f>
        <v>LTS</v>
      </c>
      <c r="F2622" s="233" t="str">
        <f>VLOOKUP(Table8[[#This Row],[Document ID]],Table1[],8,FALSE)</f>
        <v>LTS 1.0</v>
      </c>
      <c r="G2622" s="233" t="str">
        <f>VLOOKUP(Table8[[#This Row],[Document ID]],Table1[],10,FALSE)</f>
        <v>Active</v>
      </c>
      <c r="H2622" s="44" t="s">
        <v>2329</v>
      </c>
      <c r="I2622" s="44" t="s">
        <v>2330</v>
      </c>
      <c r="J2622" s="44" t="s">
        <v>2391</v>
      </c>
      <c r="K2622" s="44" t="s">
        <v>4710</v>
      </c>
      <c r="L2622" s="44" t="s">
        <v>2333</v>
      </c>
      <c r="M2622" s="43">
        <v>71</v>
      </c>
      <c r="N2622" s="113"/>
      <c r="O2622" s="113"/>
      <c r="P2622" s="113"/>
      <c r="Q2622" s="113"/>
      <c r="R2622" s="113"/>
      <c r="S2622" s="113" t="s">
        <v>1113</v>
      </c>
      <c r="T2622" s="113"/>
      <c r="U2622" s="113"/>
      <c r="V2622" s="113"/>
      <c r="W2622" s="113"/>
      <c r="X2622" s="113"/>
      <c r="Y2622" s="113"/>
      <c r="Z2622" s="113"/>
      <c r="AA2622" s="113"/>
      <c r="AB2622" s="113"/>
      <c r="AC2622" s="113"/>
      <c r="AD2622" s="113"/>
      <c r="AE2622" s="113"/>
      <c r="AF2622" s="113"/>
      <c r="AG2622" s="113"/>
      <c r="AH2622" s="113"/>
      <c r="AI2622" s="113"/>
      <c r="AJ2622" s="113"/>
      <c r="AK2622" s="113" t="s">
        <v>1113</v>
      </c>
      <c r="AL2622" s="113"/>
      <c r="AM2622" s="113"/>
      <c r="AN2622" s="113"/>
      <c r="AO2622" s="44" t="s">
        <v>2334</v>
      </c>
      <c r="AP2622" s="43"/>
      <c r="AQ2622" s="236" t="str">
        <f>VLOOKUP(Table8[[#This Row],[Instrument]],Def_Targets!$D$73:$E$159,2,FALSE)</f>
        <v>I_Hydrogen</v>
      </c>
      <c r="AR2622" s="233" t="str">
        <f>VLOOKUP(Table8[[#This Row],[Country Code]],Table29[],3,FALSE)</f>
        <v>Non-Annex I</v>
      </c>
      <c r="AS2622" s="233" t="str">
        <f>VLOOKUP(Table8[[#This Row],[Country Code]],Table29[],4,FALSE)</f>
        <v>Asia</v>
      </c>
      <c r="AT2622" s="233" t="str">
        <f>VLOOKUP(Table8[[#This Row],[Country Code]],Table29[],5,FALSE)</f>
        <v>High-income</v>
      </c>
      <c r="AU2622" s="233" t="str">
        <f>VLOOKUP(Table8[[#This Row],[Country Code]],Table29[],6,FALSE)</f>
        <v>no</v>
      </c>
      <c r="AV2622" s="233" t="str">
        <f>VLOOKUP(Table8[[#This Row],[Country Code]],Table29[],7,FALSE)</f>
        <v>no</v>
      </c>
      <c r="AW2622" s="233" t="str">
        <f>VLOOKUP(Table8[[#This Row],[Country Code]],Table29[],8,FALSE)</f>
        <v>non-OECD</v>
      </c>
      <c r="AX2622" s="233" t="str">
        <f>VLOOKUP(Table8[[#This Row],[Country Code]],Table29[],9,FALSE)</f>
        <v>no</v>
      </c>
      <c r="AY2622" s="233" t="str">
        <f>VLOOKUP(Table8[[#This Row],[Country Code]],Table29[],10,FALSE)</f>
        <v>MENA</v>
      </c>
      <c r="AZ2622" s="235">
        <f>VLOOKUP(Table8[[#This Row],[Country Code]],Table29[],23,FALSE)</f>
        <v>267.82319378585998</v>
      </c>
      <c r="BA2622" s="235">
        <f>VLOOKUP(Table8[[#This Row],[Country Code]],Table29[],24,FALSE)</f>
        <v>43.860911308351241</v>
      </c>
      <c r="BB2622" s="320"/>
      <c r="BC2622" s="320"/>
    </row>
    <row r="2623" spans="1:55" ht="15" hidden="1" customHeight="1" x14ac:dyDescent="0.25">
      <c r="A2623" s="373">
        <v>41741</v>
      </c>
      <c r="B2623" s="233" t="str">
        <f>VLOOKUP(Table8[[#This Row],[Document ID]],Table1[],2,FALSE)</f>
        <v>ARE</v>
      </c>
      <c r="C2623" s="233" t="str">
        <f>VLOOKUP(Table8[[#This Row],[Document ID]],Table1[],3,FALSE)</f>
        <v>United Arab Emirates</v>
      </c>
      <c r="D2623" s="243" t="str">
        <f>VLOOKUP(Table8[[#This Row],[Document ID]],Table1[],5,FALSE)</f>
        <v>LTS</v>
      </c>
      <c r="E2623" s="233" t="str">
        <f>VLOOKUP(Table8[[#This Row],[Document ID]],Table1[],7,FALSE)</f>
        <v>LTS</v>
      </c>
      <c r="F2623" s="233" t="str">
        <f>VLOOKUP(Table8[[#This Row],[Document ID]],Table1[],8,FALSE)</f>
        <v>LTS 1.0</v>
      </c>
      <c r="G2623" s="233" t="str">
        <f>VLOOKUP(Table8[[#This Row],[Document ID]],Table1[],10,FALSE)</f>
        <v>Active</v>
      </c>
      <c r="H2623" s="44" t="s">
        <v>2329</v>
      </c>
      <c r="I2623" s="44" t="s">
        <v>2330</v>
      </c>
      <c r="J2623" s="44" t="s">
        <v>2391</v>
      </c>
      <c r="K2623" s="44" t="s">
        <v>4711</v>
      </c>
      <c r="L2623" s="44" t="s">
        <v>2333</v>
      </c>
      <c r="M2623" s="43">
        <v>71</v>
      </c>
      <c r="N2623" s="113"/>
      <c r="O2623" s="113"/>
      <c r="P2623" s="113"/>
      <c r="Q2623" s="113"/>
      <c r="R2623" s="113"/>
      <c r="S2623" s="113" t="s">
        <v>1113</v>
      </c>
      <c r="T2623" s="113"/>
      <c r="U2623" s="113"/>
      <c r="V2623" s="113"/>
      <c r="W2623" s="113"/>
      <c r="X2623" s="113"/>
      <c r="Y2623" s="113"/>
      <c r="Z2623" s="113"/>
      <c r="AA2623" s="113"/>
      <c r="AB2623" s="113"/>
      <c r="AC2623" s="113"/>
      <c r="AD2623" s="113"/>
      <c r="AE2623" s="113"/>
      <c r="AF2623" s="113"/>
      <c r="AG2623" s="113"/>
      <c r="AH2623" s="113"/>
      <c r="AI2623" s="113"/>
      <c r="AJ2623" s="113"/>
      <c r="AK2623" s="113" t="s">
        <v>1113</v>
      </c>
      <c r="AL2623" s="113"/>
      <c r="AM2623" s="113"/>
      <c r="AN2623" s="113"/>
      <c r="AO2623" s="44" t="s">
        <v>2334</v>
      </c>
      <c r="AP2623" s="43"/>
      <c r="AQ2623" s="236" t="str">
        <f>VLOOKUP(Table8[[#This Row],[Instrument]],Def_Targets!$D$73:$E$159,2,FALSE)</f>
        <v>I_Hydrogen</v>
      </c>
      <c r="AR2623" s="233" t="str">
        <f>VLOOKUP(Table8[[#This Row],[Country Code]],Table29[],3,FALSE)</f>
        <v>Non-Annex I</v>
      </c>
      <c r="AS2623" s="233" t="str">
        <f>VLOOKUP(Table8[[#This Row],[Country Code]],Table29[],4,FALSE)</f>
        <v>Asia</v>
      </c>
      <c r="AT2623" s="233" t="str">
        <f>VLOOKUP(Table8[[#This Row],[Country Code]],Table29[],5,FALSE)</f>
        <v>High-income</v>
      </c>
      <c r="AU2623" s="233" t="str">
        <f>VLOOKUP(Table8[[#This Row],[Country Code]],Table29[],6,FALSE)</f>
        <v>no</v>
      </c>
      <c r="AV2623" s="233" t="str">
        <f>VLOOKUP(Table8[[#This Row],[Country Code]],Table29[],7,FALSE)</f>
        <v>no</v>
      </c>
      <c r="AW2623" s="233" t="str">
        <f>VLOOKUP(Table8[[#This Row],[Country Code]],Table29[],8,FALSE)</f>
        <v>non-OECD</v>
      </c>
      <c r="AX2623" s="233" t="str">
        <f>VLOOKUP(Table8[[#This Row],[Country Code]],Table29[],9,FALSE)</f>
        <v>no</v>
      </c>
      <c r="AY2623" s="233" t="str">
        <f>VLOOKUP(Table8[[#This Row],[Country Code]],Table29[],10,FALSE)</f>
        <v>MENA</v>
      </c>
      <c r="AZ2623" s="235">
        <f>VLOOKUP(Table8[[#This Row],[Country Code]],Table29[],23,FALSE)</f>
        <v>267.82319378585998</v>
      </c>
      <c r="BA2623" s="235">
        <f>VLOOKUP(Table8[[#This Row],[Country Code]],Table29[],24,FALSE)</f>
        <v>43.860911308351241</v>
      </c>
      <c r="BB2623" s="320"/>
      <c r="BC2623" s="320"/>
    </row>
    <row r="2624" spans="1:55" ht="15" hidden="1" customHeight="1" x14ac:dyDescent="0.25">
      <c r="A2624" s="373">
        <v>41741</v>
      </c>
      <c r="B2624" s="233" t="str">
        <f>VLOOKUP(Table8[[#This Row],[Document ID]],Table1[],2,FALSE)</f>
        <v>ARE</v>
      </c>
      <c r="C2624" s="233" t="str">
        <f>VLOOKUP(Table8[[#This Row],[Document ID]],Table1[],3,FALSE)</f>
        <v>United Arab Emirates</v>
      </c>
      <c r="D2624" s="243" t="str">
        <f>VLOOKUP(Table8[[#This Row],[Document ID]],Table1[],5,FALSE)</f>
        <v>LTS</v>
      </c>
      <c r="E2624" s="233" t="str">
        <f>VLOOKUP(Table8[[#This Row],[Document ID]],Table1[],7,FALSE)</f>
        <v>LTS</v>
      </c>
      <c r="F2624" s="233" t="str">
        <f>VLOOKUP(Table8[[#This Row],[Document ID]],Table1[],8,FALSE)</f>
        <v>LTS 1.0</v>
      </c>
      <c r="G2624" s="233" t="str">
        <f>VLOOKUP(Table8[[#This Row],[Document ID]],Table1[],10,FALSE)</f>
        <v>Active</v>
      </c>
      <c r="H2624" s="43" t="s">
        <v>2358</v>
      </c>
      <c r="I2624" s="43" t="s">
        <v>2359</v>
      </c>
      <c r="J2624" s="44" t="s">
        <v>2360</v>
      </c>
      <c r="K2624" s="44" t="s">
        <v>4712</v>
      </c>
      <c r="L2624" s="44" t="s">
        <v>2333</v>
      </c>
      <c r="M2624" s="43">
        <v>71</v>
      </c>
      <c r="N2624" s="113"/>
      <c r="O2624" s="113"/>
      <c r="P2624" s="113"/>
      <c r="Q2624" s="113"/>
      <c r="R2624" s="113"/>
      <c r="S2624" s="113"/>
      <c r="T2624" s="113"/>
      <c r="U2624" s="113"/>
      <c r="V2624" s="113"/>
      <c r="W2624" s="113"/>
      <c r="X2624" s="113"/>
      <c r="Y2624" s="113"/>
      <c r="Z2624" s="113"/>
      <c r="AA2624" s="113"/>
      <c r="AB2624" s="113"/>
      <c r="AC2624" s="113"/>
      <c r="AD2624" s="113"/>
      <c r="AE2624" s="113"/>
      <c r="AF2624" s="113" t="s">
        <v>1113</v>
      </c>
      <c r="AG2624" s="113"/>
      <c r="AH2624" s="113"/>
      <c r="AI2624" s="113"/>
      <c r="AJ2624" s="113"/>
      <c r="AK2624" s="113" t="s">
        <v>1113</v>
      </c>
      <c r="AL2624" s="113"/>
      <c r="AM2624" s="113"/>
      <c r="AN2624" s="113"/>
      <c r="AO2624" s="44" t="s">
        <v>2334</v>
      </c>
      <c r="AP2624" s="43"/>
      <c r="AQ2624" s="236" t="str">
        <f>VLOOKUP(Table8[[#This Row],[Instrument]],Def_Targets!$D$73:$E$159,2,FALSE)</f>
        <v>I_Emobility</v>
      </c>
      <c r="AR2624" s="233" t="str">
        <f>VLOOKUP(Table8[[#This Row],[Country Code]],Table29[],3,FALSE)</f>
        <v>Non-Annex I</v>
      </c>
      <c r="AS2624" s="233" t="str">
        <f>VLOOKUP(Table8[[#This Row],[Country Code]],Table29[],4,FALSE)</f>
        <v>Asia</v>
      </c>
      <c r="AT2624" s="233" t="str">
        <f>VLOOKUP(Table8[[#This Row],[Country Code]],Table29[],5,FALSE)</f>
        <v>High-income</v>
      </c>
      <c r="AU2624" s="233" t="str">
        <f>VLOOKUP(Table8[[#This Row],[Country Code]],Table29[],6,FALSE)</f>
        <v>no</v>
      </c>
      <c r="AV2624" s="233" t="str">
        <f>VLOOKUP(Table8[[#This Row],[Country Code]],Table29[],7,FALSE)</f>
        <v>no</v>
      </c>
      <c r="AW2624" s="233" t="str">
        <f>VLOOKUP(Table8[[#This Row],[Country Code]],Table29[],8,FALSE)</f>
        <v>non-OECD</v>
      </c>
      <c r="AX2624" s="233" t="str">
        <f>VLOOKUP(Table8[[#This Row],[Country Code]],Table29[],9,FALSE)</f>
        <v>no</v>
      </c>
      <c r="AY2624" s="233" t="str">
        <f>VLOOKUP(Table8[[#This Row],[Country Code]],Table29[],10,FALSE)</f>
        <v>MENA</v>
      </c>
      <c r="AZ2624" s="235">
        <f>VLOOKUP(Table8[[#This Row],[Country Code]],Table29[],23,FALSE)</f>
        <v>267.82319378585998</v>
      </c>
      <c r="BA2624" s="235">
        <f>VLOOKUP(Table8[[#This Row],[Country Code]],Table29[],24,FALSE)</f>
        <v>43.860911308351241</v>
      </c>
      <c r="BB2624" s="320"/>
      <c r="BC2624" s="320"/>
    </row>
    <row r="2625" spans="1:55" ht="15" hidden="1" customHeight="1" x14ac:dyDescent="0.25">
      <c r="A2625" s="373">
        <v>41741</v>
      </c>
      <c r="B2625" s="233" t="str">
        <f>VLOOKUP(Table8[[#This Row],[Document ID]],Table1[],2,FALSE)</f>
        <v>ARE</v>
      </c>
      <c r="C2625" s="233" t="str">
        <f>VLOOKUP(Table8[[#This Row],[Document ID]],Table1[],3,FALSE)</f>
        <v>United Arab Emirates</v>
      </c>
      <c r="D2625" s="243" t="str">
        <f>VLOOKUP(Table8[[#This Row],[Document ID]],Table1[],5,FALSE)</f>
        <v>LTS</v>
      </c>
      <c r="E2625" s="233" t="str">
        <f>VLOOKUP(Table8[[#This Row],[Document ID]],Table1[],7,FALSE)</f>
        <v>LTS</v>
      </c>
      <c r="F2625" s="233" t="str">
        <f>VLOOKUP(Table8[[#This Row],[Document ID]],Table1[],8,FALSE)</f>
        <v>LTS 1.0</v>
      </c>
      <c r="G2625" s="233" t="str">
        <f>VLOOKUP(Table8[[#This Row],[Document ID]],Table1[],10,FALSE)</f>
        <v>Active</v>
      </c>
      <c r="H2625" s="43" t="s">
        <v>2358</v>
      </c>
      <c r="I2625" s="43" t="s">
        <v>2359</v>
      </c>
      <c r="J2625" s="44" t="s">
        <v>2360</v>
      </c>
      <c r="K2625" s="44" t="s">
        <v>4713</v>
      </c>
      <c r="L2625" s="44" t="s">
        <v>2333</v>
      </c>
      <c r="M2625" s="43">
        <v>71</v>
      </c>
      <c r="N2625" s="113"/>
      <c r="O2625" s="113"/>
      <c r="P2625" s="113"/>
      <c r="Q2625" s="113"/>
      <c r="R2625" s="113"/>
      <c r="S2625" s="113"/>
      <c r="T2625" s="113"/>
      <c r="U2625" s="113"/>
      <c r="V2625" s="113"/>
      <c r="W2625" s="113"/>
      <c r="X2625" s="113"/>
      <c r="Y2625" s="113"/>
      <c r="Z2625" s="113"/>
      <c r="AA2625" s="113"/>
      <c r="AB2625" s="113"/>
      <c r="AC2625" s="113"/>
      <c r="AD2625" s="113"/>
      <c r="AE2625" s="113"/>
      <c r="AF2625" s="113" t="s">
        <v>1113</v>
      </c>
      <c r="AG2625" s="113"/>
      <c r="AH2625" s="113"/>
      <c r="AI2625" s="113"/>
      <c r="AJ2625" s="113"/>
      <c r="AK2625" s="113" t="s">
        <v>1113</v>
      </c>
      <c r="AL2625" s="113"/>
      <c r="AM2625" s="113"/>
      <c r="AN2625" s="113"/>
      <c r="AO2625" s="44" t="s">
        <v>2334</v>
      </c>
      <c r="AP2625" s="43"/>
      <c r="AQ2625" s="236" t="str">
        <f>VLOOKUP(Table8[[#This Row],[Instrument]],Def_Targets!$D$73:$E$159,2,FALSE)</f>
        <v>I_Emobility</v>
      </c>
      <c r="AR2625" s="233" t="str">
        <f>VLOOKUP(Table8[[#This Row],[Country Code]],Table29[],3,FALSE)</f>
        <v>Non-Annex I</v>
      </c>
      <c r="AS2625" s="233" t="str">
        <f>VLOOKUP(Table8[[#This Row],[Country Code]],Table29[],4,FALSE)</f>
        <v>Asia</v>
      </c>
      <c r="AT2625" s="233" t="str">
        <f>VLOOKUP(Table8[[#This Row],[Country Code]],Table29[],5,FALSE)</f>
        <v>High-income</v>
      </c>
      <c r="AU2625" s="233" t="str">
        <f>VLOOKUP(Table8[[#This Row],[Country Code]],Table29[],6,FALSE)</f>
        <v>no</v>
      </c>
      <c r="AV2625" s="233" t="str">
        <f>VLOOKUP(Table8[[#This Row],[Country Code]],Table29[],7,FALSE)</f>
        <v>no</v>
      </c>
      <c r="AW2625" s="233" t="str">
        <f>VLOOKUP(Table8[[#This Row],[Country Code]],Table29[],8,FALSE)</f>
        <v>non-OECD</v>
      </c>
      <c r="AX2625" s="233" t="str">
        <f>VLOOKUP(Table8[[#This Row],[Country Code]],Table29[],9,FALSE)</f>
        <v>no</v>
      </c>
      <c r="AY2625" s="233" t="str">
        <f>VLOOKUP(Table8[[#This Row],[Country Code]],Table29[],10,FALSE)</f>
        <v>MENA</v>
      </c>
      <c r="AZ2625" s="235">
        <f>VLOOKUP(Table8[[#This Row],[Country Code]],Table29[],23,FALSE)</f>
        <v>267.82319378585998</v>
      </c>
      <c r="BA2625" s="235">
        <f>VLOOKUP(Table8[[#This Row],[Country Code]],Table29[],24,FALSE)</f>
        <v>43.860911308351241</v>
      </c>
      <c r="BB2625" s="320"/>
      <c r="BC2625" s="320"/>
    </row>
    <row r="2626" spans="1:55" ht="15" hidden="1" customHeight="1" x14ac:dyDescent="0.25">
      <c r="A2626" s="373">
        <v>41741</v>
      </c>
      <c r="B2626" s="233" t="str">
        <f>VLOOKUP(Table8[[#This Row],[Document ID]],Table1[],2,FALSE)</f>
        <v>ARE</v>
      </c>
      <c r="C2626" s="233" t="str">
        <f>VLOOKUP(Table8[[#This Row],[Document ID]],Table1[],3,FALSE)</f>
        <v>United Arab Emirates</v>
      </c>
      <c r="D2626" s="243" t="str">
        <f>VLOOKUP(Table8[[#This Row],[Document ID]],Table1[],5,FALSE)</f>
        <v>LTS</v>
      </c>
      <c r="E2626" s="233" t="str">
        <f>VLOOKUP(Table8[[#This Row],[Document ID]],Table1[],7,FALSE)</f>
        <v>LTS</v>
      </c>
      <c r="F2626" s="233" t="str">
        <f>VLOOKUP(Table8[[#This Row],[Document ID]],Table1[],8,FALSE)</f>
        <v>LTS 1.0</v>
      </c>
      <c r="G2626" s="233" t="str">
        <f>VLOOKUP(Table8[[#This Row],[Document ID]],Table1[],10,FALSE)</f>
        <v>Active</v>
      </c>
      <c r="H2626" s="44" t="s">
        <v>2329</v>
      </c>
      <c r="I2626" s="44" t="s">
        <v>2330</v>
      </c>
      <c r="J2626" s="44" t="s">
        <v>2331</v>
      </c>
      <c r="K2626" s="44" t="s">
        <v>4714</v>
      </c>
      <c r="L2626" s="44" t="s">
        <v>2333</v>
      </c>
      <c r="M2626" s="43">
        <v>71</v>
      </c>
      <c r="N2626" s="113"/>
      <c r="O2626" s="113"/>
      <c r="P2626" s="113"/>
      <c r="Q2626" s="113"/>
      <c r="R2626" s="113"/>
      <c r="S2626" s="113"/>
      <c r="T2626" s="113"/>
      <c r="U2626" s="113"/>
      <c r="V2626" s="113"/>
      <c r="W2626" s="113"/>
      <c r="X2626" s="113"/>
      <c r="Y2626" s="113"/>
      <c r="Z2626" s="113"/>
      <c r="AA2626" s="113"/>
      <c r="AB2626" s="113"/>
      <c r="AC2626" s="113"/>
      <c r="AD2626" s="113"/>
      <c r="AE2626" s="113"/>
      <c r="AF2626" s="113" t="s">
        <v>1113</v>
      </c>
      <c r="AG2626" s="113"/>
      <c r="AH2626" s="113"/>
      <c r="AI2626" s="113"/>
      <c r="AJ2626" s="113"/>
      <c r="AK2626" s="113" t="s">
        <v>1113</v>
      </c>
      <c r="AL2626" s="113"/>
      <c r="AM2626" s="113"/>
      <c r="AN2626" s="113"/>
      <c r="AO2626" s="44" t="s">
        <v>2334</v>
      </c>
      <c r="AP2626" s="43"/>
      <c r="AQ2626" s="236" t="str">
        <f>VLOOKUP(Table8[[#This Row],[Instrument]],Def_Targets!$D$73:$E$159,2,FALSE)</f>
        <v>I_Altfuels</v>
      </c>
      <c r="AR2626" s="233" t="str">
        <f>VLOOKUP(Table8[[#This Row],[Country Code]],Table29[],3,FALSE)</f>
        <v>Non-Annex I</v>
      </c>
      <c r="AS2626" s="233" t="str">
        <f>VLOOKUP(Table8[[#This Row],[Country Code]],Table29[],4,FALSE)</f>
        <v>Asia</v>
      </c>
      <c r="AT2626" s="233" t="str">
        <f>VLOOKUP(Table8[[#This Row],[Country Code]],Table29[],5,FALSE)</f>
        <v>High-income</v>
      </c>
      <c r="AU2626" s="233" t="str">
        <f>VLOOKUP(Table8[[#This Row],[Country Code]],Table29[],6,FALSE)</f>
        <v>no</v>
      </c>
      <c r="AV2626" s="233" t="str">
        <f>VLOOKUP(Table8[[#This Row],[Country Code]],Table29[],7,FALSE)</f>
        <v>no</v>
      </c>
      <c r="AW2626" s="233" t="str">
        <f>VLOOKUP(Table8[[#This Row],[Country Code]],Table29[],8,FALSE)</f>
        <v>non-OECD</v>
      </c>
      <c r="AX2626" s="233" t="str">
        <f>VLOOKUP(Table8[[#This Row],[Country Code]],Table29[],9,FALSE)</f>
        <v>no</v>
      </c>
      <c r="AY2626" s="233" t="str">
        <f>VLOOKUP(Table8[[#This Row],[Country Code]],Table29[],10,FALSE)</f>
        <v>MENA</v>
      </c>
      <c r="AZ2626" s="235">
        <f>VLOOKUP(Table8[[#This Row],[Country Code]],Table29[],23,FALSE)</f>
        <v>267.82319378585998</v>
      </c>
      <c r="BA2626" s="235">
        <f>VLOOKUP(Table8[[#This Row],[Country Code]],Table29[],24,FALSE)</f>
        <v>43.860911308351241</v>
      </c>
      <c r="BB2626" s="320"/>
      <c r="BC2626" s="320"/>
    </row>
    <row r="2627" spans="1:55" ht="15" hidden="1" customHeight="1" x14ac:dyDescent="0.25">
      <c r="A2627" s="373">
        <v>41741</v>
      </c>
      <c r="B2627" s="233" t="str">
        <f>VLOOKUP(Table8[[#This Row],[Document ID]],Table1[],2,FALSE)</f>
        <v>ARE</v>
      </c>
      <c r="C2627" s="233" t="str">
        <f>VLOOKUP(Table8[[#This Row],[Document ID]],Table1[],3,FALSE)</f>
        <v>United Arab Emirates</v>
      </c>
      <c r="D2627" s="243" t="str">
        <f>VLOOKUP(Table8[[#This Row],[Document ID]],Table1[],5,FALSE)</f>
        <v>LTS</v>
      </c>
      <c r="E2627" s="233" t="str">
        <f>VLOOKUP(Table8[[#This Row],[Document ID]],Table1[],7,FALSE)</f>
        <v>LTS</v>
      </c>
      <c r="F2627" s="233" t="str">
        <f>VLOOKUP(Table8[[#This Row],[Document ID]],Table1[],8,FALSE)</f>
        <v>LTS 1.0</v>
      </c>
      <c r="G2627" s="233" t="str">
        <f>VLOOKUP(Table8[[#This Row],[Document ID]],Table1[],10,FALSE)</f>
        <v>Active</v>
      </c>
      <c r="H2627" s="43" t="s">
        <v>2358</v>
      </c>
      <c r="I2627" s="43" t="s">
        <v>2359</v>
      </c>
      <c r="J2627" s="44" t="s">
        <v>2360</v>
      </c>
      <c r="K2627" s="44" t="s">
        <v>4715</v>
      </c>
      <c r="L2627" s="44" t="s">
        <v>2333</v>
      </c>
      <c r="M2627" s="43">
        <v>71</v>
      </c>
      <c r="N2627" s="113"/>
      <c r="O2627" s="113"/>
      <c r="P2627" s="113"/>
      <c r="Q2627" s="113"/>
      <c r="R2627" s="113"/>
      <c r="S2627" s="113"/>
      <c r="T2627" s="113"/>
      <c r="U2627" s="113"/>
      <c r="V2627" s="113"/>
      <c r="W2627" s="113"/>
      <c r="X2627" s="113"/>
      <c r="Y2627" s="113"/>
      <c r="Z2627" s="113"/>
      <c r="AA2627" s="113"/>
      <c r="AB2627" s="113"/>
      <c r="AC2627" s="113"/>
      <c r="AD2627" s="113"/>
      <c r="AE2627" s="113"/>
      <c r="AF2627" s="113"/>
      <c r="AG2627" s="113"/>
      <c r="AH2627" s="113" t="s">
        <v>1113</v>
      </c>
      <c r="AI2627" s="113"/>
      <c r="AJ2627" s="113"/>
      <c r="AK2627" s="113" t="s">
        <v>1113</v>
      </c>
      <c r="AL2627" s="113"/>
      <c r="AM2627" s="113"/>
      <c r="AN2627" s="113"/>
      <c r="AO2627" s="44" t="s">
        <v>2334</v>
      </c>
      <c r="AP2627" s="43"/>
      <c r="AQ2627" s="236" t="str">
        <f>VLOOKUP(Table8[[#This Row],[Instrument]],Def_Targets!$D$73:$E$159,2,FALSE)</f>
        <v>I_Emobility</v>
      </c>
      <c r="AR2627" s="233" t="str">
        <f>VLOOKUP(Table8[[#This Row],[Country Code]],Table29[],3,FALSE)</f>
        <v>Non-Annex I</v>
      </c>
      <c r="AS2627" s="233" t="str">
        <f>VLOOKUP(Table8[[#This Row],[Country Code]],Table29[],4,FALSE)</f>
        <v>Asia</v>
      </c>
      <c r="AT2627" s="233" t="str">
        <f>VLOOKUP(Table8[[#This Row],[Country Code]],Table29[],5,FALSE)</f>
        <v>High-income</v>
      </c>
      <c r="AU2627" s="233" t="str">
        <f>VLOOKUP(Table8[[#This Row],[Country Code]],Table29[],6,FALSE)</f>
        <v>no</v>
      </c>
      <c r="AV2627" s="233" t="str">
        <f>VLOOKUP(Table8[[#This Row],[Country Code]],Table29[],7,FALSE)</f>
        <v>no</v>
      </c>
      <c r="AW2627" s="233" t="str">
        <f>VLOOKUP(Table8[[#This Row],[Country Code]],Table29[],8,FALSE)</f>
        <v>non-OECD</v>
      </c>
      <c r="AX2627" s="233" t="str">
        <f>VLOOKUP(Table8[[#This Row],[Country Code]],Table29[],9,FALSE)</f>
        <v>no</v>
      </c>
      <c r="AY2627" s="233" t="str">
        <f>VLOOKUP(Table8[[#This Row],[Country Code]],Table29[],10,FALSE)</f>
        <v>MENA</v>
      </c>
      <c r="AZ2627" s="235">
        <f>VLOOKUP(Table8[[#This Row],[Country Code]],Table29[],23,FALSE)</f>
        <v>267.82319378585998</v>
      </c>
      <c r="BA2627" s="235">
        <f>VLOOKUP(Table8[[#This Row],[Country Code]],Table29[],24,FALSE)</f>
        <v>43.860911308351241</v>
      </c>
      <c r="BB2627" s="320"/>
      <c r="BC2627" s="320"/>
    </row>
    <row r="2628" spans="1:55" ht="15" hidden="1" customHeight="1" x14ac:dyDescent="0.25">
      <c r="A2628" s="373">
        <v>41741</v>
      </c>
      <c r="B2628" s="233" t="str">
        <f>VLOOKUP(Table8[[#This Row],[Document ID]],Table1[],2,FALSE)</f>
        <v>ARE</v>
      </c>
      <c r="C2628" s="233" t="str">
        <f>VLOOKUP(Table8[[#This Row],[Document ID]],Table1[],3,FALSE)</f>
        <v>United Arab Emirates</v>
      </c>
      <c r="D2628" s="243" t="str">
        <f>VLOOKUP(Table8[[#This Row],[Document ID]],Table1[],5,FALSE)</f>
        <v>LTS</v>
      </c>
      <c r="E2628" s="233" t="str">
        <f>VLOOKUP(Table8[[#This Row],[Document ID]],Table1[],7,FALSE)</f>
        <v>LTS</v>
      </c>
      <c r="F2628" s="233" t="str">
        <f>VLOOKUP(Table8[[#This Row],[Document ID]],Table1[],8,FALSE)</f>
        <v>LTS 1.0</v>
      </c>
      <c r="G2628" s="233" t="str">
        <f>VLOOKUP(Table8[[#This Row],[Document ID]],Table1[],10,FALSE)</f>
        <v>Active</v>
      </c>
      <c r="H2628" s="43" t="s">
        <v>2484</v>
      </c>
      <c r="I2628" s="43" t="s">
        <v>2488</v>
      </c>
      <c r="J2628" s="44" t="s">
        <v>2684</v>
      </c>
      <c r="K2628" s="44" t="s">
        <v>4716</v>
      </c>
      <c r="L2628" s="44" t="s">
        <v>2333</v>
      </c>
      <c r="M2628" s="43">
        <v>71</v>
      </c>
      <c r="N2628" s="113"/>
      <c r="O2628" s="113"/>
      <c r="P2628" s="113"/>
      <c r="Q2628" s="113"/>
      <c r="R2628" s="113"/>
      <c r="S2628" s="113"/>
      <c r="T2628" s="113"/>
      <c r="U2628" s="113"/>
      <c r="V2628" s="113"/>
      <c r="W2628" s="113"/>
      <c r="X2628" s="113"/>
      <c r="Y2628" s="113"/>
      <c r="Z2628" s="113"/>
      <c r="AA2628" s="113"/>
      <c r="AB2628" s="113"/>
      <c r="AC2628" s="113"/>
      <c r="AD2628" s="113"/>
      <c r="AE2628" s="113"/>
      <c r="AF2628" s="113"/>
      <c r="AG2628" s="113"/>
      <c r="AH2628" s="113" t="s">
        <v>1113</v>
      </c>
      <c r="AI2628" s="113"/>
      <c r="AJ2628" s="113"/>
      <c r="AK2628" s="113" t="s">
        <v>1113</v>
      </c>
      <c r="AL2628" s="113"/>
      <c r="AM2628" s="113"/>
      <c r="AN2628" s="113"/>
      <c r="AO2628" s="44" t="s">
        <v>2334</v>
      </c>
      <c r="AP2628" s="43"/>
      <c r="AQ2628" s="236" t="str">
        <f>VLOOKUP(Table8[[#This Row],[Instrument]],Def_Targets!$D$73:$E$159,2,FALSE)</f>
        <v>I_Jetfuel</v>
      </c>
      <c r="AR2628" s="233" t="str">
        <f>VLOOKUP(Table8[[#This Row],[Country Code]],Table29[],3,FALSE)</f>
        <v>Non-Annex I</v>
      </c>
      <c r="AS2628" s="233" t="str">
        <f>VLOOKUP(Table8[[#This Row],[Country Code]],Table29[],4,FALSE)</f>
        <v>Asia</v>
      </c>
      <c r="AT2628" s="233" t="str">
        <f>VLOOKUP(Table8[[#This Row],[Country Code]],Table29[],5,FALSE)</f>
        <v>High-income</v>
      </c>
      <c r="AU2628" s="233" t="str">
        <f>VLOOKUP(Table8[[#This Row],[Country Code]],Table29[],6,FALSE)</f>
        <v>no</v>
      </c>
      <c r="AV2628" s="233" t="str">
        <f>VLOOKUP(Table8[[#This Row],[Country Code]],Table29[],7,FALSE)</f>
        <v>no</v>
      </c>
      <c r="AW2628" s="233" t="str">
        <f>VLOOKUP(Table8[[#This Row],[Country Code]],Table29[],8,FALSE)</f>
        <v>non-OECD</v>
      </c>
      <c r="AX2628" s="233" t="str">
        <f>VLOOKUP(Table8[[#This Row],[Country Code]],Table29[],9,FALSE)</f>
        <v>no</v>
      </c>
      <c r="AY2628" s="233" t="str">
        <f>VLOOKUP(Table8[[#This Row],[Country Code]],Table29[],10,FALSE)</f>
        <v>MENA</v>
      </c>
      <c r="AZ2628" s="235">
        <f>VLOOKUP(Table8[[#This Row],[Country Code]],Table29[],23,FALSE)</f>
        <v>267.82319378585998</v>
      </c>
      <c r="BA2628" s="235">
        <f>VLOOKUP(Table8[[#This Row],[Country Code]],Table29[],24,FALSE)</f>
        <v>43.860911308351241</v>
      </c>
      <c r="BB2628" s="320"/>
      <c r="BC2628" s="320"/>
    </row>
    <row r="2629" spans="1:55" ht="15" hidden="1" customHeight="1" x14ac:dyDescent="0.25">
      <c r="A2629" s="373">
        <v>41741</v>
      </c>
      <c r="B2629" s="233" t="str">
        <f>VLOOKUP(Table8[[#This Row],[Document ID]],Table1[],2,FALSE)</f>
        <v>ARE</v>
      </c>
      <c r="C2629" s="233" t="str">
        <f>VLOOKUP(Table8[[#This Row],[Document ID]],Table1[],3,FALSE)</f>
        <v>United Arab Emirates</v>
      </c>
      <c r="D2629" s="243" t="str">
        <f>VLOOKUP(Table8[[#This Row],[Document ID]],Table1[],5,FALSE)</f>
        <v>LTS</v>
      </c>
      <c r="E2629" s="233" t="str">
        <f>VLOOKUP(Table8[[#This Row],[Document ID]],Table1[],7,FALSE)</f>
        <v>LTS</v>
      </c>
      <c r="F2629" s="233" t="str">
        <f>VLOOKUP(Table8[[#This Row],[Document ID]],Table1[],8,FALSE)</f>
        <v>LTS 1.0</v>
      </c>
      <c r="G2629" s="233" t="str">
        <f>VLOOKUP(Table8[[#This Row],[Document ID]],Table1[],10,FALSE)</f>
        <v>Active</v>
      </c>
      <c r="H2629" s="44" t="s">
        <v>2329</v>
      </c>
      <c r="I2629" s="44" t="s">
        <v>2330</v>
      </c>
      <c r="J2629" s="44" t="s">
        <v>2414</v>
      </c>
      <c r="K2629" s="44" t="s">
        <v>4717</v>
      </c>
      <c r="L2629" s="44" t="s">
        <v>2333</v>
      </c>
      <c r="M2629" s="43">
        <v>72</v>
      </c>
      <c r="N2629" s="113"/>
      <c r="O2629" s="113"/>
      <c r="P2629" s="113"/>
      <c r="Q2629" s="113"/>
      <c r="R2629" s="113"/>
      <c r="S2629" s="113" t="s">
        <v>1113</v>
      </c>
      <c r="T2629" s="113"/>
      <c r="U2629" s="113"/>
      <c r="V2629" s="113"/>
      <c r="W2629" s="113"/>
      <c r="X2629" s="113"/>
      <c r="Y2629" s="113"/>
      <c r="Z2629" s="113"/>
      <c r="AA2629" s="113"/>
      <c r="AB2629" s="113"/>
      <c r="AC2629" s="113"/>
      <c r="AD2629" s="113"/>
      <c r="AE2629" s="113"/>
      <c r="AF2629" s="113"/>
      <c r="AG2629" s="113"/>
      <c r="AH2629" s="113"/>
      <c r="AI2629" s="113"/>
      <c r="AJ2629" s="113"/>
      <c r="AK2629" s="113" t="s">
        <v>1113</v>
      </c>
      <c r="AL2629" s="113"/>
      <c r="AM2629" s="113"/>
      <c r="AN2629" s="113"/>
      <c r="AO2629" s="44" t="s">
        <v>2334</v>
      </c>
      <c r="AP2629" s="43"/>
      <c r="AQ2629" s="236" t="str">
        <f>VLOOKUP(Table8[[#This Row],[Instrument]],Def_Targets!$D$73:$E$159,2,FALSE)</f>
        <v>I_ICEdiesel</v>
      </c>
      <c r="AR2629" s="233" t="str">
        <f>VLOOKUP(Table8[[#This Row],[Country Code]],Table29[],3,FALSE)</f>
        <v>Non-Annex I</v>
      </c>
      <c r="AS2629" s="233" t="str">
        <f>VLOOKUP(Table8[[#This Row],[Country Code]],Table29[],4,FALSE)</f>
        <v>Asia</v>
      </c>
      <c r="AT2629" s="233" t="str">
        <f>VLOOKUP(Table8[[#This Row],[Country Code]],Table29[],5,FALSE)</f>
        <v>High-income</v>
      </c>
      <c r="AU2629" s="233" t="str">
        <f>VLOOKUP(Table8[[#This Row],[Country Code]],Table29[],6,FALSE)</f>
        <v>no</v>
      </c>
      <c r="AV2629" s="233" t="str">
        <f>VLOOKUP(Table8[[#This Row],[Country Code]],Table29[],7,FALSE)</f>
        <v>no</v>
      </c>
      <c r="AW2629" s="233" t="str">
        <f>VLOOKUP(Table8[[#This Row],[Country Code]],Table29[],8,FALSE)</f>
        <v>non-OECD</v>
      </c>
      <c r="AX2629" s="233" t="str">
        <f>VLOOKUP(Table8[[#This Row],[Country Code]],Table29[],9,FALSE)</f>
        <v>no</v>
      </c>
      <c r="AY2629" s="233" t="str">
        <f>VLOOKUP(Table8[[#This Row],[Country Code]],Table29[],10,FALSE)</f>
        <v>MENA</v>
      </c>
      <c r="AZ2629" s="235">
        <f>VLOOKUP(Table8[[#This Row],[Country Code]],Table29[],23,FALSE)</f>
        <v>267.82319378585998</v>
      </c>
      <c r="BA2629" s="235">
        <f>VLOOKUP(Table8[[#This Row],[Country Code]],Table29[],24,FALSE)</f>
        <v>43.860911308351241</v>
      </c>
      <c r="BB2629" s="320"/>
      <c r="BC2629" s="320"/>
    </row>
    <row r="2630" spans="1:55" ht="15" hidden="1" customHeight="1" x14ac:dyDescent="0.25">
      <c r="A2630" s="373">
        <v>41741</v>
      </c>
      <c r="B2630" s="233" t="str">
        <f>VLOOKUP(Table8[[#This Row],[Document ID]],Table1[],2,FALSE)</f>
        <v>ARE</v>
      </c>
      <c r="C2630" s="233" t="str">
        <f>VLOOKUP(Table8[[#This Row],[Document ID]],Table1[],3,FALSE)</f>
        <v>United Arab Emirates</v>
      </c>
      <c r="D2630" s="243" t="str">
        <f>VLOOKUP(Table8[[#This Row],[Document ID]],Table1[],5,FALSE)</f>
        <v>LTS</v>
      </c>
      <c r="E2630" s="233" t="str">
        <f>VLOOKUP(Table8[[#This Row],[Document ID]],Table1[],7,FALSE)</f>
        <v>LTS</v>
      </c>
      <c r="F2630" s="233" t="str">
        <f>VLOOKUP(Table8[[#This Row],[Document ID]],Table1[],8,FALSE)</f>
        <v>LTS 1.0</v>
      </c>
      <c r="G2630" s="233" t="str">
        <f>VLOOKUP(Table8[[#This Row],[Document ID]],Table1[],10,FALSE)</f>
        <v>Active</v>
      </c>
      <c r="H2630" s="43" t="s">
        <v>2343</v>
      </c>
      <c r="I2630" s="43" t="s">
        <v>2386</v>
      </c>
      <c r="J2630" s="44" t="s">
        <v>2412</v>
      </c>
      <c r="K2630" s="44" t="s">
        <v>4718</v>
      </c>
      <c r="L2630" s="44" t="s">
        <v>2333</v>
      </c>
      <c r="M2630" s="43" t="s">
        <v>4719</v>
      </c>
      <c r="N2630" s="113"/>
      <c r="O2630" s="113"/>
      <c r="P2630" s="113"/>
      <c r="Q2630" s="113"/>
      <c r="R2630" s="113"/>
      <c r="S2630" s="113" t="s">
        <v>1113</v>
      </c>
      <c r="T2630" s="113"/>
      <c r="U2630" s="113"/>
      <c r="V2630" s="113"/>
      <c r="W2630" s="113"/>
      <c r="X2630" s="113"/>
      <c r="Y2630" s="113"/>
      <c r="Z2630" s="113"/>
      <c r="AA2630" s="113"/>
      <c r="AB2630" s="113"/>
      <c r="AC2630" s="113"/>
      <c r="AD2630" s="113"/>
      <c r="AE2630" s="113"/>
      <c r="AF2630" s="113"/>
      <c r="AG2630" s="113"/>
      <c r="AH2630" s="113"/>
      <c r="AI2630" s="113"/>
      <c r="AJ2630" s="113"/>
      <c r="AK2630" s="113" t="s">
        <v>1113</v>
      </c>
      <c r="AL2630" s="113"/>
      <c r="AM2630" s="113"/>
      <c r="AN2630" s="113"/>
      <c r="AO2630" s="44" t="s">
        <v>2334</v>
      </c>
      <c r="AP2630" s="43"/>
      <c r="AQ2630" s="236" t="str">
        <f>VLOOKUP(Table8[[#This Row],[Instrument]],Def_Targets!$D$73:$E$159,2,FALSE)</f>
        <v>A_Economic</v>
      </c>
      <c r="AR2630" s="233" t="str">
        <f>VLOOKUP(Table8[[#This Row],[Country Code]],Table29[],3,FALSE)</f>
        <v>Non-Annex I</v>
      </c>
      <c r="AS2630" s="233" t="str">
        <f>VLOOKUP(Table8[[#This Row],[Country Code]],Table29[],4,FALSE)</f>
        <v>Asia</v>
      </c>
      <c r="AT2630" s="233" t="str">
        <f>VLOOKUP(Table8[[#This Row],[Country Code]],Table29[],5,FALSE)</f>
        <v>High-income</v>
      </c>
      <c r="AU2630" s="233" t="str">
        <f>VLOOKUP(Table8[[#This Row],[Country Code]],Table29[],6,FALSE)</f>
        <v>no</v>
      </c>
      <c r="AV2630" s="233" t="str">
        <f>VLOOKUP(Table8[[#This Row],[Country Code]],Table29[],7,FALSE)</f>
        <v>no</v>
      </c>
      <c r="AW2630" s="233" t="str">
        <f>VLOOKUP(Table8[[#This Row],[Country Code]],Table29[],8,FALSE)</f>
        <v>non-OECD</v>
      </c>
      <c r="AX2630" s="233" t="str">
        <f>VLOOKUP(Table8[[#This Row],[Country Code]],Table29[],9,FALSE)</f>
        <v>no</v>
      </c>
      <c r="AY2630" s="233" t="str">
        <f>VLOOKUP(Table8[[#This Row],[Country Code]],Table29[],10,FALSE)</f>
        <v>MENA</v>
      </c>
      <c r="AZ2630" s="235">
        <f>VLOOKUP(Table8[[#This Row],[Country Code]],Table29[],23,FALSE)</f>
        <v>267.82319378585998</v>
      </c>
      <c r="BA2630" s="235">
        <f>VLOOKUP(Table8[[#This Row],[Country Code]],Table29[],24,FALSE)</f>
        <v>43.860911308351241</v>
      </c>
      <c r="BB2630" s="320"/>
      <c r="BC2630" s="320"/>
    </row>
    <row r="2631" spans="1:55" ht="15" hidden="1" customHeight="1" x14ac:dyDescent="0.25">
      <c r="A2631" s="373">
        <v>41741</v>
      </c>
      <c r="B2631" s="233" t="str">
        <f>VLOOKUP(Table8[[#This Row],[Document ID]],Table1[],2,FALSE)</f>
        <v>ARE</v>
      </c>
      <c r="C2631" s="233" t="str">
        <f>VLOOKUP(Table8[[#This Row],[Document ID]],Table1[],3,FALSE)</f>
        <v>United Arab Emirates</v>
      </c>
      <c r="D2631" s="243" t="str">
        <f>VLOOKUP(Table8[[#This Row],[Document ID]],Table1[],5,FALSE)</f>
        <v>LTS</v>
      </c>
      <c r="E2631" s="233" t="str">
        <f>VLOOKUP(Table8[[#This Row],[Document ID]],Table1[],7,FALSE)</f>
        <v>LTS</v>
      </c>
      <c r="F2631" s="233" t="str">
        <f>VLOOKUP(Table8[[#This Row],[Document ID]],Table1[],8,FALSE)</f>
        <v>LTS 1.0</v>
      </c>
      <c r="G2631" s="233" t="str">
        <f>VLOOKUP(Table8[[#This Row],[Document ID]],Table1[],10,FALSE)</f>
        <v>Active</v>
      </c>
      <c r="H2631" s="43" t="s">
        <v>2358</v>
      </c>
      <c r="I2631" s="43" t="s">
        <v>2359</v>
      </c>
      <c r="J2631" s="44" t="s">
        <v>2360</v>
      </c>
      <c r="K2631" s="44" t="s">
        <v>4720</v>
      </c>
      <c r="L2631" s="44" t="s">
        <v>2333</v>
      </c>
      <c r="M2631" s="43">
        <v>73</v>
      </c>
      <c r="N2631" s="113"/>
      <c r="O2631" s="113"/>
      <c r="P2631" s="113"/>
      <c r="Q2631" s="113"/>
      <c r="R2631" s="113"/>
      <c r="S2631" s="113" t="s">
        <v>1113</v>
      </c>
      <c r="T2631" s="113"/>
      <c r="U2631" s="113"/>
      <c r="V2631" s="113"/>
      <c r="W2631" s="113"/>
      <c r="X2631" s="113"/>
      <c r="Y2631" s="113"/>
      <c r="Z2631" s="113"/>
      <c r="AA2631" s="113"/>
      <c r="AB2631" s="113"/>
      <c r="AC2631" s="113"/>
      <c r="AD2631" s="113"/>
      <c r="AE2631" s="113"/>
      <c r="AF2631" s="113"/>
      <c r="AG2631" s="113"/>
      <c r="AH2631" s="113"/>
      <c r="AI2631" s="113"/>
      <c r="AJ2631" s="113"/>
      <c r="AK2631" s="113" t="s">
        <v>1113</v>
      </c>
      <c r="AL2631" s="113"/>
      <c r="AM2631" s="113"/>
      <c r="AN2631" s="113"/>
      <c r="AO2631" s="44" t="s">
        <v>2334</v>
      </c>
      <c r="AP2631" s="43"/>
      <c r="AQ2631" s="236" t="str">
        <f>VLOOKUP(Table8[[#This Row],[Instrument]],Def_Targets!$D$73:$E$159,2,FALSE)</f>
        <v>I_Emobility</v>
      </c>
      <c r="AR2631" s="233" t="str">
        <f>VLOOKUP(Table8[[#This Row],[Country Code]],Table29[],3,FALSE)</f>
        <v>Non-Annex I</v>
      </c>
      <c r="AS2631" s="233" t="str">
        <f>VLOOKUP(Table8[[#This Row],[Country Code]],Table29[],4,FALSE)</f>
        <v>Asia</v>
      </c>
      <c r="AT2631" s="233" t="str">
        <f>VLOOKUP(Table8[[#This Row],[Country Code]],Table29[],5,FALSE)</f>
        <v>High-income</v>
      </c>
      <c r="AU2631" s="233" t="str">
        <f>VLOOKUP(Table8[[#This Row],[Country Code]],Table29[],6,FALSE)</f>
        <v>no</v>
      </c>
      <c r="AV2631" s="233" t="str">
        <f>VLOOKUP(Table8[[#This Row],[Country Code]],Table29[],7,FALSE)</f>
        <v>no</v>
      </c>
      <c r="AW2631" s="233" t="str">
        <f>VLOOKUP(Table8[[#This Row],[Country Code]],Table29[],8,FALSE)</f>
        <v>non-OECD</v>
      </c>
      <c r="AX2631" s="233" t="str">
        <f>VLOOKUP(Table8[[#This Row],[Country Code]],Table29[],9,FALSE)</f>
        <v>no</v>
      </c>
      <c r="AY2631" s="233" t="str">
        <f>VLOOKUP(Table8[[#This Row],[Country Code]],Table29[],10,FALSE)</f>
        <v>MENA</v>
      </c>
      <c r="AZ2631" s="235">
        <f>VLOOKUP(Table8[[#This Row],[Country Code]],Table29[],23,FALSE)</f>
        <v>267.82319378585998</v>
      </c>
      <c r="BA2631" s="235">
        <f>VLOOKUP(Table8[[#This Row],[Country Code]],Table29[],24,FALSE)</f>
        <v>43.860911308351241</v>
      </c>
      <c r="BB2631" s="320"/>
      <c r="BC2631" s="320"/>
    </row>
    <row r="2632" spans="1:55" ht="15" hidden="1" customHeight="1" x14ac:dyDescent="0.25">
      <c r="A2632" s="373">
        <v>41744</v>
      </c>
      <c r="B2632" s="233" t="str">
        <f>VLOOKUP(Table8[[#This Row],[Document ID]],Table1[],2,FALSE)</f>
        <v>MDG</v>
      </c>
      <c r="C2632" s="233" t="str">
        <f>VLOOKUP(Table8[[#This Row],[Document ID]],Table1[],3,FALSE)</f>
        <v>Madagascar</v>
      </c>
      <c r="D2632" s="243" t="str">
        <f>VLOOKUP(Table8[[#This Row],[Document ID]],Table1[],5,FALSE)</f>
        <v>NDC</v>
      </c>
      <c r="E2632" s="233" t="str">
        <f>VLOOKUP(Table8[[#This Row],[Document ID]],Table1[],7,FALSE)</f>
        <v>Second NDC</v>
      </c>
      <c r="F2632" s="233" t="str">
        <f>VLOOKUP(Table8[[#This Row],[Document ID]],Table1[],8,FALSE)</f>
        <v>NDC 2.0</v>
      </c>
      <c r="G2632" s="233" t="str">
        <f>VLOOKUP(Table8[[#This Row],[Document ID]],Table1[],10,FALSE)</f>
        <v>Active</v>
      </c>
      <c r="H2632" s="43" t="s">
        <v>2350</v>
      </c>
      <c r="I2632" s="43" t="s">
        <v>2370</v>
      </c>
      <c r="J2632" s="44" t="s">
        <v>2371</v>
      </c>
      <c r="K2632" s="44" t="s">
        <v>4721</v>
      </c>
      <c r="L2632" s="44" t="s">
        <v>2373</v>
      </c>
      <c r="M2632" s="43">
        <v>17</v>
      </c>
      <c r="N2632" s="113" t="s">
        <v>1113</v>
      </c>
      <c r="O2632" s="113"/>
      <c r="P2632" s="113"/>
      <c r="Q2632" s="113"/>
      <c r="R2632" s="113"/>
      <c r="S2632" s="113"/>
      <c r="T2632" s="113"/>
      <c r="U2632" s="113"/>
      <c r="V2632" s="113"/>
      <c r="W2632" s="113"/>
      <c r="X2632" s="113"/>
      <c r="Y2632" s="113"/>
      <c r="Z2632" s="113"/>
      <c r="AA2632" s="113"/>
      <c r="AB2632" s="113"/>
      <c r="AC2632" s="113"/>
      <c r="AD2632" s="113"/>
      <c r="AE2632" s="113"/>
      <c r="AF2632" s="113"/>
      <c r="AG2632" s="113"/>
      <c r="AH2632" s="113"/>
      <c r="AI2632" s="113"/>
      <c r="AJ2632" s="113"/>
      <c r="AK2632" s="113" t="s">
        <v>1113</v>
      </c>
      <c r="AL2632" s="113"/>
      <c r="AM2632" s="113"/>
      <c r="AN2632" s="113"/>
      <c r="AO2632" s="44" t="s">
        <v>2334</v>
      </c>
      <c r="AP2632" s="43"/>
      <c r="AQ2632" s="236" t="str">
        <f>VLOOKUP(Table8[[#This Row],[Instrument]],Def_Targets!$D$73:$E$159,2,FALSE)</f>
        <v>A_Natmobplan</v>
      </c>
      <c r="AR2632" s="233" t="str">
        <f>VLOOKUP(Table8[[#This Row],[Country Code]],Table29[],3,FALSE)</f>
        <v>Non-Annex I</v>
      </c>
      <c r="AS2632" s="233" t="str">
        <f>VLOOKUP(Table8[[#This Row],[Country Code]],Table29[],4,FALSE)</f>
        <v>Africa</v>
      </c>
      <c r="AT2632" s="233" t="str">
        <f>VLOOKUP(Table8[[#This Row],[Country Code]],Table29[],5,FALSE)</f>
        <v>Low-income</v>
      </c>
      <c r="AU2632" s="233" t="str">
        <f>VLOOKUP(Table8[[#This Row],[Country Code]],Table29[],6,FALSE)</f>
        <v>no</v>
      </c>
      <c r="AV2632" s="233" t="str">
        <f>VLOOKUP(Table8[[#This Row],[Country Code]],Table29[],7,FALSE)</f>
        <v>no</v>
      </c>
      <c r="AW2632" s="233" t="str">
        <f>VLOOKUP(Table8[[#This Row],[Country Code]],Table29[],8,FALSE)</f>
        <v>non-OECD</v>
      </c>
      <c r="AX2632" s="233" t="str">
        <f>VLOOKUP(Table8[[#This Row],[Country Code]],Table29[],9,FALSE)</f>
        <v>no</v>
      </c>
      <c r="AY2632" s="233" t="str">
        <f>VLOOKUP(Table8[[#This Row],[Country Code]],Table29[],10,FALSE)</f>
        <v>no</v>
      </c>
      <c r="AZ2632" s="235">
        <f>VLOOKUP(Table8[[#This Row],[Country Code]],Table29[],23,FALSE)</f>
        <v>33.150776404127001</v>
      </c>
      <c r="BA2632" s="235">
        <f>VLOOKUP(Table8[[#This Row],[Country Code]],Table29[],24,FALSE)</f>
        <v>1.378876889046607</v>
      </c>
      <c r="BB2632" s="320"/>
      <c r="BC2632" s="320"/>
    </row>
    <row r="2633" spans="1:55" ht="15" hidden="1" customHeight="1" x14ac:dyDescent="0.25">
      <c r="A2633" s="373">
        <v>41744</v>
      </c>
      <c r="B2633" s="233" t="str">
        <f>VLOOKUP(Table8[[#This Row],[Document ID]],Table1[],2,FALSE)</f>
        <v>MDG</v>
      </c>
      <c r="C2633" s="233" t="str">
        <f>VLOOKUP(Table8[[#This Row],[Document ID]],Table1[],3,FALSE)</f>
        <v>Madagascar</v>
      </c>
      <c r="D2633" s="243" t="str">
        <f>VLOOKUP(Table8[[#This Row],[Document ID]],Table1[],5,FALSE)</f>
        <v>NDC</v>
      </c>
      <c r="E2633" s="233" t="str">
        <f>VLOOKUP(Table8[[#This Row],[Document ID]],Table1[],7,FALSE)</f>
        <v>Second NDC</v>
      </c>
      <c r="F2633" s="233" t="str">
        <f>VLOOKUP(Table8[[#This Row],[Document ID]],Table1[],8,FALSE)</f>
        <v>NDC 2.0</v>
      </c>
      <c r="G2633" s="233" t="str">
        <f>VLOOKUP(Table8[[#This Row],[Document ID]],Table1[],10,FALSE)</f>
        <v>Active</v>
      </c>
      <c r="H2633" s="43" t="s">
        <v>2350</v>
      </c>
      <c r="I2633" s="43" t="s">
        <v>2370</v>
      </c>
      <c r="J2633" s="44" t="s">
        <v>2371</v>
      </c>
      <c r="K2633" s="44" t="s">
        <v>4722</v>
      </c>
      <c r="L2633" s="44" t="s">
        <v>2373</v>
      </c>
      <c r="M2633" s="43">
        <v>17</v>
      </c>
      <c r="N2633" s="113" t="s">
        <v>1113</v>
      </c>
      <c r="O2633" s="113"/>
      <c r="P2633" s="113"/>
      <c r="Q2633" s="113"/>
      <c r="R2633" s="113"/>
      <c r="S2633" s="113"/>
      <c r="T2633" s="113"/>
      <c r="U2633" s="113"/>
      <c r="V2633" s="113"/>
      <c r="W2633" s="113"/>
      <c r="X2633" s="113"/>
      <c r="Y2633" s="113"/>
      <c r="Z2633" s="113"/>
      <c r="AA2633" s="113"/>
      <c r="AB2633" s="113"/>
      <c r="AC2633" s="113"/>
      <c r="AD2633" s="113"/>
      <c r="AE2633" s="113"/>
      <c r="AF2633" s="113"/>
      <c r="AG2633" s="113"/>
      <c r="AH2633" s="113"/>
      <c r="AI2633" s="113"/>
      <c r="AJ2633" s="113"/>
      <c r="AK2633" s="113"/>
      <c r="AL2633" s="113" t="s">
        <v>1113</v>
      </c>
      <c r="AM2633" s="113"/>
      <c r="AN2633" s="113"/>
      <c r="AO2633" s="44" t="s">
        <v>2334</v>
      </c>
      <c r="AP2633" s="43"/>
      <c r="AQ2633" s="236" t="str">
        <f>VLOOKUP(Table8[[#This Row],[Instrument]],Def_Targets!$D$73:$E$159,2,FALSE)</f>
        <v>A_Natmobplan</v>
      </c>
      <c r="AR2633" s="233" t="str">
        <f>VLOOKUP(Table8[[#This Row],[Country Code]],Table29[],3,FALSE)</f>
        <v>Non-Annex I</v>
      </c>
      <c r="AS2633" s="233" t="str">
        <f>VLOOKUP(Table8[[#This Row],[Country Code]],Table29[],4,FALSE)</f>
        <v>Africa</v>
      </c>
      <c r="AT2633" s="233" t="str">
        <f>VLOOKUP(Table8[[#This Row],[Country Code]],Table29[],5,FALSE)</f>
        <v>Low-income</v>
      </c>
      <c r="AU2633" s="233" t="str">
        <f>VLOOKUP(Table8[[#This Row],[Country Code]],Table29[],6,FALSE)</f>
        <v>no</v>
      </c>
      <c r="AV2633" s="233" t="str">
        <f>VLOOKUP(Table8[[#This Row],[Country Code]],Table29[],7,FALSE)</f>
        <v>no</v>
      </c>
      <c r="AW2633" s="233" t="str">
        <f>VLOOKUP(Table8[[#This Row],[Country Code]],Table29[],8,FALSE)</f>
        <v>non-OECD</v>
      </c>
      <c r="AX2633" s="233" t="str">
        <f>VLOOKUP(Table8[[#This Row],[Country Code]],Table29[],9,FALSE)</f>
        <v>no</v>
      </c>
      <c r="AY2633" s="233" t="str">
        <f>VLOOKUP(Table8[[#This Row],[Country Code]],Table29[],10,FALSE)</f>
        <v>no</v>
      </c>
      <c r="AZ2633" s="235">
        <f>VLOOKUP(Table8[[#This Row],[Country Code]],Table29[],23,FALSE)</f>
        <v>33.150776404127001</v>
      </c>
      <c r="BA2633" s="235">
        <f>VLOOKUP(Table8[[#This Row],[Country Code]],Table29[],24,FALSE)</f>
        <v>1.378876889046607</v>
      </c>
      <c r="BB2633" s="320"/>
      <c r="BC2633" s="320"/>
    </row>
    <row r="2634" spans="1:55" ht="15" hidden="1" customHeight="1" x14ac:dyDescent="0.25">
      <c r="A2634" s="373">
        <v>41744</v>
      </c>
      <c r="B2634" s="233" t="str">
        <f>VLOOKUP(Table8[[#This Row],[Document ID]],Table1[],2,FALSE)</f>
        <v>MDG</v>
      </c>
      <c r="C2634" s="233" t="str">
        <f>VLOOKUP(Table8[[#This Row],[Document ID]],Table1[],3,FALSE)</f>
        <v>Madagascar</v>
      </c>
      <c r="D2634" s="243" t="str">
        <f>VLOOKUP(Table8[[#This Row],[Document ID]],Table1[],5,FALSE)</f>
        <v>NDC</v>
      </c>
      <c r="E2634" s="233" t="str">
        <f>VLOOKUP(Table8[[#This Row],[Document ID]],Table1[],7,FALSE)</f>
        <v>Second NDC</v>
      </c>
      <c r="F2634" s="233" t="str">
        <f>VLOOKUP(Table8[[#This Row],[Document ID]],Table1[],8,FALSE)</f>
        <v>NDC 2.0</v>
      </c>
      <c r="G2634" s="233" t="str">
        <f>VLOOKUP(Table8[[#This Row],[Document ID]],Table1[],10,FALSE)</f>
        <v>Active</v>
      </c>
      <c r="H2634" s="43" t="s">
        <v>2358</v>
      </c>
      <c r="I2634" s="43" t="s">
        <v>2359</v>
      </c>
      <c r="J2634" s="44" t="s">
        <v>2360</v>
      </c>
      <c r="K2634" s="44" t="s">
        <v>4723</v>
      </c>
      <c r="L2634" s="44" t="s">
        <v>2333</v>
      </c>
      <c r="M2634" s="43">
        <v>17</v>
      </c>
      <c r="N2634" s="113"/>
      <c r="O2634" s="113"/>
      <c r="P2634" s="113"/>
      <c r="Q2634" s="113"/>
      <c r="R2634" s="113"/>
      <c r="S2634" s="113"/>
      <c r="T2634" s="113"/>
      <c r="U2634" s="113" t="s">
        <v>1113</v>
      </c>
      <c r="V2634" s="113"/>
      <c r="W2634" s="113"/>
      <c r="X2634" s="113"/>
      <c r="Y2634" s="113"/>
      <c r="Z2634" s="113"/>
      <c r="AA2634" s="113"/>
      <c r="AB2634" s="113"/>
      <c r="AC2634" s="113"/>
      <c r="AD2634" s="113"/>
      <c r="AE2634" s="113"/>
      <c r="AF2634" s="113"/>
      <c r="AG2634" s="113"/>
      <c r="AH2634" s="113"/>
      <c r="AI2634" s="113"/>
      <c r="AJ2634" s="113"/>
      <c r="AK2634" s="113" t="s">
        <v>1113</v>
      </c>
      <c r="AL2634" s="113"/>
      <c r="AM2634" s="113"/>
      <c r="AN2634" s="113"/>
      <c r="AO2634" s="44" t="s">
        <v>2334</v>
      </c>
      <c r="AP2634" s="43"/>
      <c r="AQ2634" s="236" t="str">
        <f>VLOOKUP(Table8[[#This Row],[Instrument]],Def_Targets!$D$73:$E$159,2,FALSE)</f>
        <v>I_Emobility</v>
      </c>
      <c r="AR2634" s="233" t="str">
        <f>VLOOKUP(Table8[[#This Row],[Country Code]],Table29[],3,FALSE)</f>
        <v>Non-Annex I</v>
      </c>
      <c r="AS2634" s="233" t="str">
        <f>VLOOKUP(Table8[[#This Row],[Country Code]],Table29[],4,FALSE)</f>
        <v>Africa</v>
      </c>
      <c r="AT2634" s="233" t="str">
        <f>VLOOKUP(Table8[[#This Row],[Country Code]],Table29[],5,FALSE)</f>
        <v>Low-income</v>
      </c>
      <c r="AU2634" s="233" t="str">
        <f>VLOOKUP(Table8[[#This Row],[Country Code]],Table29[],6,FALSE)</f>
        <v>no</v>
      </c>
      <c r="AV2634" s="233" t="str">
        <f>VLOOKUP(Table8[[#This Row],[Country Code]],Table29[],7,FALSE)</f>
        <v>no</v>
      </c>
      <c r="AW2634" s="233" t="str">
        <f>VLOOKUP(Table8[[#This Row],[Country Code]],Table29[],8,FALSE)</f>
        <v>non-OECD</v>
      </c>
      <c r="AX2634" s="233" t="str">
        <f>VLOOKUP(Table8[[#This Row],[Country Code]],Table29[],9,FALSE)</f>
        <v>no</v>
      </c>
      <c r="AY2634" s="233" t="str">
        <f>VLOOKUP(Table8[[#This Row],[Country Code]],Table29[],10,FALSE)</f>
        <v>no</v>
      </c>
      <c r="AZ2634" s="235">
        <f>VLOOKUP(Table8[[#This Row],[Country Code]],Table29[],23,FALSE)</f>
        <v>33.150776404127001</v>
      </c>
      <c r="BA2634" s="235">
        <f>VLOOKUP(Table8[[#This Row],[Country Code]],Table29[],24,FALSE)</f>
        <v>1.378876889046607</v>
      </c>
      <c r="BB2634" s="320"/>
      <c r="BC2634" s="320"/>
    </row>
    <row r="2635" spans="1:55" ht="15" hidden="1" customHeight="1" x14ac:dyDescent="0.25">
      <c r="A2635" s="373">
        <v>41744</v>
      </c>
      <c r="B2635" s="233" t="str">
        <f>VLOOKUP(Table8[[#This Row],[Document ID]],Table1[],2,FALSE)</f>
        <v>MDG</v>
      </c>
      <c r="C2635" s="233" t="str">
        <f>VLOOKUP(Table8[[#This Row],[Document ID]],Table1[],3,FALSE)</f>
        <v>Madagascar</v>
      </c>
      <c r="D2635" s="243" t="str">
        <f>VLOOKUP(Table8[[#This Row],[Document ID]],Table1[],5,FALSE)</f>
        <v>NDC</v>
      </c>
      <c r="E2635" s="233" t="str">
        <f>VLOOKUP(Table8[[#This Row],[Document ID]],Table1[],7,FALSE)</f>
        <v>Second NDC</v>
      </c>
      <c r="F2635" s="233" t="str">
        <f>VLOOKUP(Table8[[#This Row],[Document ID]],Table1[],8,FALSE)</f>
        <v>NDC 2.0</v>
      </c>
      <c r="G2635" s="233" t="str">
        <f>VLOOKUP(Table8[[#This Row],[Document ID]],Table1[],10,FALSE)</f>
        <v>Active</v>
      </c>
      <c r="H2635" s="43" t="s">
        <v>2343</v>
      </c>
      <c r="I2635" s="43" t="s">
        <v>2429</v>
      </c>
      <c r="J2635" s="44" t="s">
        <v>2472</v>
      </c>
      <c r="K2635" s="44" t="s">
        <v>4724</v>
      </c>
      <c r="L2635" s="44" t="s">
        <v>2333</v>
      </c>
      <c r="M2635" s="43">
        <v>17</v>
      </c>
      <c r="N2635" s="113" t="s">
        <v>1113</v>
      </c>
      <c r="O2635" s="113"/>
      <c r="P2635" s="113"/>
      <c r="Q2635" s="113"/>
      <c r="R2635" s="113"/>
      <c r="S2635" s="113"/>
      <c r="T2635" s="113"/>
      <c r="U2635" s="113"/>
      <c r="V2635" s="113"/>
      <c r="W2635" s="113"/>
      <c r="X2635" s="113"/>
      <c r="Y2635" s="113"/>
      <c r="Z2635" s="113"/>
      <c r="AA2635" s="113"/>
      <c r="AB2635" s="113"/>
      <c r="AC2635" s="113" t="s">
        <v>1113</v>
      </c>
      <c r="AD2635" s="113"/>
      <c r="AE2635" s="113"/>
      <c r="AF2635" s="113"/>
      <c r="AG2635" s="113"/>
      <c r="AH2635" s="113"/>
      <c r="AI2635" s="113"/>
      <c r="AJ2635" s="113"/>
      <c r="AK2635" s="113" t="s">
        <v>1113</v>
      </c>
      <c r="AL2635" s="113"/>
      <c r="AM2635" s="113"/>
      <c r="AN2635" s="113"/>
      <c r="AO2635" s="44" t="s">
        <v>2334</v>
      </c>
      <c r="AP2635" s="43"/>
      <c r="AQ2635" s="236" t="str">
        <f>VLOOKUP(Table8[[#This Row],[Instrument]],Def_Targets!$D$73:$E$159,2,FALSE)</f>
        <v>I_Other</v>
      </c>
      <c r="AR2635" s="233" t="str">
        <f>VLOOKUP(Table8[[#This Row],[Country Code]],Table29[],3,FALSE)</f>
        <v>Non-Annex I</v>
      </c>
      <c r="AS2635" s="233" t="str">
        <f>VLOOKUP(Table8[[#This Row],[Country Code]],Table29[],4,FALSE)</f>
        <v>Africa</v>
      </c>
      <c r="AT2635" s="233" t="str">
        <f>VLOOKUP(Table8[[#This Row],[Country Code]],Table29[],5,FALSE)</f>
        <v>Low-income</v>
      </c>
      <c r="AU2635" s="233" t="str">
        <f>VLOOKUP(Table8[[#This Row],[Country Code]],Table29[],6,FALSE)</f>
        <v>no</v>
      </c>
      <c r="AV2635" s="233" t="str">
        <f>VLOOKUP(Table8[[#This Row],[Country Code]],Table29[],7,FALSE)</f>
        <v>no</v>
      </c>
      <c r="AW2635" s="233" t="str">
        <f>VLOOKUP(Table8[[#This Row],[Country Code]],Table29[],8,FALSE)</f>
        <v>non-OECD</v>
      </c>
      <c r="AX2635" s="233" t="str">
        <f>VLOOKUP(Table8[[#This Row],[Country Code]],Table29[],9,FALSE)</f>
        <v>no</v>
      </c>
      <c r="AY2635" s="233" t="str">
        <f>VLOOKUP(Table8[[#This Row],[Country Code]],Table29[],10,FALSE)</f>
        <v>no</v>
      </c>
      <c r="AZ2635" s="235">
        <f>VLOOKUP(Table8[[#This Row],[Country Code]],Table29[],23,FALSE)</f>
        <v>33.150776404127001</v>
      </c>
      <c r="BA2635" s="235">
        <f>VLOOKUP(Table8[[#This Row],[Country Code]],Table29[],24,FALSE)</f>
        <v>1.378876889046607</v>
      </c>
      <c r="BB2635" s="320"/>
      <c r="BC2635" s="320"/>
    </row>
    <row r="2636" spans="1:55" ht="34.5" hidden="1" customHeight="1" x14ac:dyDescent="0.25">
      <c r="A2636" s="373">
        <v>41739</v>
      </c>
      <c r="B2636" s="233" t="str">
        <f>VLOOKUP(Table8[[#This Row],[Document ID]],Table1[],2,FALSE)</f>
        <v>BRA</v>
      </c>
      <c r="C2636" s="233" t="str">
        <f>VLOOKUP(Table8[[#This Row],[Document ID]],Table1[],3,FALSE)</f>
        <v>Brazil</v>
      </c>
      <c r="D2636" s="243" t="str">
        <f>VLOOKUP(Table8[[#This Row],[Document ID]],Table1[],5,FALSE)</f>
        <v>NDC</v>
      </c>
      <c r="E2636" s="233" t="str">
        <f>VLOOKUP(Table8[[#This Row],[Document ID]],Table1[],7,FALSE)</f>
        <v>First NDC updated</v>
      </c>
      <c r="F2636" s="233" t="str">
        <f>VLOOKUP(Table8[[#This Row],[Document ID]],Table1[],8,FALSE)</f>
        <v>NDC 1.3</v>
      </c>
      <c r="G2636" s="233" t="str">
        <f>VLOOKUP(Table8[[#This Row],[Document ID]],Table1[],10,FALSE)</f>
        <v>Archived</v>
      </c>
      <c r="H2636" s="44" t="s">
        <v>2329</v>
      </c>
      <c r="I2636" s="44" t="s">
        <v>2330</v>
      </c>
      <c r="J2636" s="44" t="s">
        <v>2357</v>
      </c>
      <c r="K2636" s="44" t="s">
        <v>4725</v>
      </c>
      <c r="L2636" s="44" t="s">
        <v>2333</v>
      </c>
      <c r="M2636" s="43">
        <v>9</v>
      </c>
      <c r="N2636" s="113" t="s">
        <v>1113</v>
      </c>
      <c r="O2636" s="113"/>
      <c r="P2636" s="113"/>
      <c r="Q2636" s="113"/>
      <c r="R2636" s="113"/>
      <c r="S2636" s="113"/>
      <c r="T2636" s="113"/>
      <c r="U2636" s="113"/>
      <c r="V2636" s="113"/>
      <c r="W2636" s="113"/>
      <c r="X2636" s="113"/>
      <c r="Y2636" s="113"/>
      <c r="Z2636" s="113"/>
      <c r="AA2636" s="113"/>
      <c r="AB2636" s="113"/>
      <c r="AC2636" s="113"/>
      <c r="AD2636" s="113"/>
      <c r="AE2636" s="113"/>
      <c r="AF2636" s="113"/>
      <c r="AG2636" s="113"/>
      <c r="AH2636" s="113"/>
      <c r="AI2636" s="113"/>
      <c r="AJ2636" s="113"/>
      <c r="AK2636" s="113" t="s">
        <v>1113</v>
      </c>
      <c r="AL2636" s="113"/>
      <c r="AM2636" s="113"/>
      <c r="AN2636" s="113"/>
      <c r="AO2636" s="44" t="s">
        <v>2334</v>
      </c>
      <c r="AP2636" s="43"/>
      <c r="AQ2636" s="236" t="str">
        <f>VLOOKUP(Table8[[#This Row],[Instrument]],Def_Targets!$D$73:$E$159,2,FALSE)</f>
        <v>I_Biofuel</v>
      </c>
      <c r="AR2636" s="233" t="str">
        <f>VLOOKUP(Table8[[#This Row],[Country Code]],Table29[],3,FALSE)</f>
        <v>Non-Annex I</v>
      </c>
      <c r="AS2636" s="233" t="str">
        <f>VLOOKUP(Table8[[#This Row],[Country Code]],Table29[],4,FALSE)</f>
        <v>Latin America and the Caribbean</v>
      </c>
      <c r="AT2636" s="233" t="str">
        <f>VLOOKUP(Table8[[#This Row],[Country Code]],Table29[],5,FALSE)</f>
        <v>Middle-income</v>
      </c>
      <c r="AU2636" s="233" t="str">
        <f>VLOOKUP(Table8[[#This Row],[Country Code]],Table29[],6,FALSE)</f>
        <v>G20</v>
      </c>
      <c r="AV2636" s="233" t="str">
        <f>VLOOKUP(Table8[[#This Row],[Country Code]],Table29[],7,FALSE)</f>
        <v>no</v>
      </c>
      <c r="AW2636" s="233" t="str">
        <f>VLOOKUP(Table8[[#This Row],[Country Code]],Table29[],8,FALSE)</f>
        <v>non-OECD</v>
      </c>
      <c r="AX2636" s="233" t="str">
        <f>VLOOKUP(Table8[[#This Row],[Country Code]],Table29[],9,FALSE)</f>
        <v>no</v>
      </c>
      <c r="AY2636" s="233" t="str">
        <f>VLOOKUP(Table8[[#This Row],[Country Code]],Table29[],10,FALSE)</f>
        <v>no</v>
      </c>
      <c r="AZ2636" s="235">
        <f>VLOOKUP(Table8[[#This Row],[Country Code]],Table29[],23,FALSE)</f>
        <v>1300.1688666752</v>
      </c>
      <c r="BA2636" s="235">
        <f>VLOOKUP(Table8[[#This Row],[Country Code]],Table29[],24,FALSE)</f>
        <v>221.12609205884911</v>
      </c>
      <c r="BB2636" s="320"/>
      <c r="BC2636" s="320"/>
    </row>
    <row r="2637" spans="1:55" ht="15" hidden="1" customHeight="1" x14ac:dyDescent="0.25">
      <c r="A2637" s="373">
        <v>41740</v>
      </c>
      <c r="B2637" s="233" t="str">
        <f>VLOOKUP(Table8[[#This Row],[Document ID]],Table1[],2,FALSE)</f>
        <v>OMN</v>
      </c>
      <c r="C2637" s="233" t="str">
        <f>VLOOKUP(Table8[[#This Row],[Document ID]],Table1[],3,FALSE)</f>
        <v>Oman</v>
      </c>
      <c r="D2637" s="243" t="str">
        <f>VLOOKUP(Table8[[#This Row],[Document ID]],Table1[],5,FALSE)</f>
        <v>NDC</v>
      </c>
      <c r="E2637" s="233" t="str">
        <f>VLOOKUP(Table8[[#This Row],[Document ID]],Table1[],7,FALSE)</f>
        <v>Second NDC updated</v>
      </c>
      <c r="F2637" s="233" t="str">
        <f>VLOOKUP(Table8[[#This Row],[Document ID]],Table1[],8,FALSE)</f>
        <v>NDC 2.1</v>
      </c>
      <c r="G2637" s="233" t="str">
        <f>VLOOKUP(Table8[[#This Row],[Document ID]],Table1[],10,FALSE)</f>
        <v>Active</v>
      </c>
      <c r="H2637" s="43" t="s">
        <v>2343</v>
      </c>
      <c r="I2637" s="43" t="s">
        <v>2344</v>
      </c>
      <c r="J2637" s="44" t="s">
        <v>2345</v>
      </c>
      <c r="K2637" s="44" t="s">
        <v>4726</v>
      </c>
      <c r="L2637" s="44" t="s">
        <v>2347</v>
      </c>
      <c r="M2637" s="43">
        <v>27</v>
      </c>
      <c r="N2637" s="113" t="s">
        <v>1113</v>
      </c>
      <c r="O2637" s="113"/>
      <c r="P2637" s="113"/>
      <c r="Q2637" s="113"/>
      <c r="R2637" s="113"/>
      <c r="S2637" s="113"/>
      <c r="T2637" s="113"/>
      <c r="U2637" s="113"/>
      <c r="V2637" s="113"/>
      <c r="W2637" s="113"/>
      <c r="X2637" s="113"/>
      <c r="Y2637" s="113"/>
      <c r="Z2637" s="113"/>
      <c r="AA2637" s="113"/>
      <c r="AB2637" s="113"/>
      <c r="AC2637" s="113"/>
      <c r="AD2637" s="113"/>
      <c r="AE2637" s="113"/>
      <c r="AF2637" s="113"/>
      <c r="AG2637" s="113"/>
      <c r="AH2637" s="113"/>
      <c r="AI2637" s="113"/>
      <c r="AJ2637" s="113"/>
      <c r="AK2637" s="113" t="s">
        <v>1113</v>
      </c>
      <c r="AL2637" s="113"/>
      <c r="AM2637" s="113"/>
      <c r="AN2637" s="113"/>
      <c r="AO2637" s="44" t="s">
        <v>2334</v>
      </c>
      <c r="AP2637" s="43"/>
      <c r="AQ2637" s="236" t="str">
        <f>VLOOKUP(Table8[[#This Row],[Instrument]],Def_Targets!$D$73:$E$159,2,FALSE)</f>
        <v>S_PublicTransport</v>
      </c>
      <c r="AR2637" s="233" t="str">
        <f>VLOOKUP(Table8[[#This Row],[Country Code]],Table29[],3,FALSE)</f>
        <v>Non-Annex I</v>
      </c>
      <c r="AS2637" s="233" t="str">
        <f>VLOOKUP(Table8[[#This Row],[Country Code]],Table29[],4,FALSE)</f>
        <v>Asia</v>
      </c>
      <c r="AT2637" s="233" t="str">
        <f>VLOOKUP(Table8[[#This Row],[Country Code]],Table29[],5,FALSE)</f>
        <v>High-income</v>
      </c>
      <c r="AU2637" s="233" t="str">
        <f>VLOOKUP(Table8[[#This Row],[Country Code]],Table29[],6,FALSE)</f>
        <v>no</v>
      </c>
      <c r="AV2637" s="233" t="str">
        <f>VLOOKUP(Table8[[#This Row],[Country Code]],Table29[],7,FALSE)</f>
        <v>no</v>
      </c>
      <c r="AW2637" s="233" t="str">
        <f>VLOOKUP(Table8[[#This Row],[Country Code]],Table29[],8,FALSE)</f>
        <v>non-OECD</v>
      </c>
      <c r="AX2637" s="233" t="str">
        <f>VLOOKUP(Table8[[#This Row],[Country Code]],Table29[],9,FALSE)</f>
        <v>no</v>
      </c>
      <c r="AY2637" s="233" t="str">
        <f>VLOOKUP(Table8[[#This Row],[Country Code]],Table29[],10,FALSE)</f>
        <v>MENA</v>
      </c>
      <c r="AZ2637" s="235">
        <f>VLOOKUP(Table8[[#This Row],[Country Code]],Table29[],23,FALSE)</f>
        <v>127.44302070563</v>
      </c>
      <c r="BA2637" s="235">
        <f>VLOOKUP(Table8[[#This Row],[Country Code]],Table29[],24,FALSE)</f>
        <v>12.3539911460556</v>
      </c>
      <c r="BB2637" s="320"/>
      <c r="BC2637" s="320"/>
    </row>
    <row r="2638" spans="1:55" ht="15" hidden="1" customHeight="1" x14ac:dyDescent="0.25">
      <c r="A2638" s="373">
        <v>41740</v>
      </c>
      <c r="B2638" s="233" t="str">
        <f>VLOOKUP(Table8[[#This Row],[Document ID]],Table1[],2,FALSE)</f>
        <v>OMN</v>
      </c>
      <c r="C2638" s="233" t="str">
        <f>VLOOKUP(Table8[[#This Row],[Document ID]],Table1[],3,FALSE)</f>
        <v>Oman</v>
      </c>
      <c r="D2638" s="243" t="str">
        <f>VLOOKUP(Table8[[#This Row],[Document ID]],Table1[],5,FALSE)</f>
        <v>NDC</v>
      </c>
      <c r="E2638" s="233" t="str">
        <f>VLOOKUP(Table8[[#This Row],[Document ID]],Table1[],7,FALSE)</f>
        <v>Second NDC updated</v>
      </c>
      <c r="F2638" s="233" t="str">
        <f>VLOOKUP(Table8[[#This Row],[Document ID]],Table1[],8,FALSE)</f>
        <v>NDC 2.1</v>
      </c>
      <c r="G2638" s="233" t="str">
        <f>VLOOKUP(Table8[[#This Row],[Document ID]],Table1[],10,FALSE)</f>
        <v>Active</v>
      </c>
      <c r="H2638" s="43" t="s">
        <v>2358</v>
      </c>
      <c r="I2638" s="43" t="s">
        <v>2359</v>
      </c>
      <c r="J2638" s="44" t="s">
        <v>2360</v>
      </c>
      <c r="K2638" s="44" t="s">
        <v>4727</v>
      </c>
      <c r="L2638" s="44" t="s">
        <v>2333</v>
      </c>
      <c r="M2638" s="43">
        <v>27</v>
      </c>
      <c r="N2638" s="113" t="s">
        <v>1113</v>
      </c>
      <c r="O2638" s="113"/>
      <c r="P2638" s="113"/>
      <c r="Q2638" s="113"/>
      <c r="R2638" s="113"/>
      <c r="S2638" s="113"/>
      <c r="T2638" s="113"/>
      <c r="U2638" s="113"/>
      <c r="V2638" s="113"/>
      <c r="W2638" s="113"/>
      <c r="X2638" s="113"/>
      <c r="Y2638" s="113"/>
      <c r="Z2638" s="113"/>
      <c r="AA2638" s="113"/>
      <c r="AB2638" s="113"/>
      <c r="AC2638" s="113"/>
      <c r="AD2638" s="113"/>
      <c r="AE2638" s="113"/>
      <c r="AF2638" s="113"/>
      <c r="AG2638" s="113"/>
      <c r="AH2638" s="113"/>
      <c r="AI2638" s="113"/>
      <c r="AJ2638" s="113"/>
      <c r="AK2638" s="113" t="s">
        <v>1113</v>
      </c>
      <c r="AL2638" s="113"/>
      <c r="AM2638" s="113"/>
      <c r="AN2638" s="113"/>
      <c r="AO2638" s="44" t="s">
        <v>2334</v>
      </c>
      <c r="AP2638" s="43"/>
      <c r="AQ2638" s="236" t="str">
        <f>VLOOKUP(Table8[[#This Row],[Instrument]],Def_Targets!$D$73:$E$159,2,FALSE)</f>
        <v>I_Emobility</v>
      </c>
      <c r="AR2638" s="233" t="str">
        <f>VLOOKUP(Table8[[#This Row],[Country Code]],Table29[],3,FALSE)</f>
        <v>Non-Annex I</v>
      </c>
      <c r="AS2638" s="233" t="str">
        <f>VLOOKUP(Table8[[#This Row],[Country Code]],Table29[],4,FALSE)</f>
        <v>Asia</v>
      </c>
      <c r="AT2638" s="233" t="str">
        <f>VLOOKUP(Table8[[#This Row],[Country Code]],Table29[],5,FALSE)</f>
        <v>High-income</v>
      </c>
      <c r="AU2638" s="233" t="str">
        <f>VLOOKUP(Table8[[#This Row],[Country Code]],Table29[],6,FALSE)</f>
        <v>no</v>
      </c>
      <c r="AV2638" s="233" t="str">
        <f>VLOOKUP(Table8[[#This Row],[Country Code]],Table29[],7,FALSE)</f>
        <v>no</v>
      </c>
      <c r="AW2638" s="233" t="str">
        <f>VLOOKUP(Table8[[#This Row],[Country Code]],Table29[],8,FALSE)</f>
        <v>non-OECD</v>
      </c>
      <c r="AX2638" s="233" t="str">
        <f>VLOOKUP(Table8[[#This Row],[Country Code]],Table29[],9,FALSE)</f>
        <v>no</v>
      </c>
      <c r="AY2638" s="233" t="str">
        <f>VLOOKUP(Table8[[#This Row],[Country Code]],Table29[],10,FALSE)</f>
        <v>MENA</v>
      </c>
      <c r="AZ2638" s="235">
        <f>VLOOKUP(Table8[[#This Row],[Country Code]],Table29[],23,FALSE)</f>
        <v>127.44302070563</v>
      </c>
      <c r="BA2638" s="235">
        <f>VLOOKUP(Table8[[#This Row],[Country Code]],Table29[],24,FALSE)</f>
        <v>12.3539911460556</v>
      </c>
      <c r="BB2638" s="320"/>
      <c r="BC2638" s="320"/>
    </row>
    <row r="2639" spans="1:55" ht="15" hidden="1" customHeight="1" x14ac:dyDescent="0.25">
      <c r="A2639" s="373">
        <v>41740</v>
      </c>
      <c r="B2639" s="233" t="str">
        <f>VLOOKUP(Table8[[#This Row],[Document ID]],Table1[],2,FALSE)</f>
        <v>OMN</v>
      </c>
      <c r="C2639" s="233" t="str">
        <f>VLOOKUP(Table8[[#This Row],[Document ID]],Table1[],3,FALSE)</f>
        <v>Oman</v>
      </c>
      <c r="D2639" s="243" t="str">
        <f>VLOOKUP(Table8[[#This Row],[Document ID]],Table1[],5,FALSE)</f>
        <v>NDC</v>
      </c>
      <c r="E2639" s="233" t="str">
        <f>VLOOKUP(Table8[[#This Row],[Document ID]],Table1[],7,FALSE)</f>
        <v>Second NDC updated</v>
      </c>
      <c r="F2639" s="233" t="str">
        <f>VLOOKUP(Table8[[#This Row],[Document ID]],Table1[],8,FALSE)</f>
        <v>NDC 2.1</v>
      </c>
      <c r="G2639" s="233" t="str">
        <f>VLOOKUP(Table8[[#This Row],[Document ID]],Table1[],10,FALSE)</f>
        <v>Active</v>
      </c>
      <c r="H2639" s="43" t="s">
        <v>2343</v>
      </c>
      <c r="I2639" s="43" t="s">
        <v>2344</v>
      </c>
      <c r="J2639" s="44" t="s">
        <v>2564</v>
      </c>
      <c r="K2639" s="44" t="s">
        <v>4728</v>
      </c>
      <c r="L2639" s="44" t="s">
        <v>2347</v>
      </c>
      <c r="M2639" s="43">
        <v>27</v>
      </c>
      <c r="N2639" s="113"/>
      <c r="O2639" s="113"/>
      <c r="P2639" s="113"/>
      <c r="Q2639" s="113"/>
      <c r="R2639" s="113"/>
      <c r="S2639" s="113"/>
      <c r="T2639" s="113"/>
      <c r="U2639" s="113"/>
      <c r="V2639" s="113"/>
      <c r="W2639" s="113"/>
      <c r="X2639" s="113"/>
      <c r="Y2639" s="113" t="s">
        <v>1113</v>
      </c>
      <c r="Z2639" s="113"/>
      <c r="AA2639" s="113"/>
      <c r="AB2639" s="113"/>
      <c r="AC2639" s="113"/>
      <c r="AD2639" s="113"/>
      <c r="AE2639" s="113"/>
      <c r="AF2639" s="113"/>
      <c r="AG2639" s="113"/>
      <c r="AH2639" s="113"/>
      <c r="AI2639" s="113"/>
      <c r="AJ2639" s="113"/>
      <c r="AK2639" s="113" t="s">
        <v>1113</v>
      </c>
      <c r="AL2639" s="113"/>
      <c r="AM2639" s="113"/>
      <c r="AN2639" s="113"/>
      <c r="AO2639" s="43" t="s">
        <v>2348</v>
      </c>
      <c r="AP2639" s="43"/>
      <c r="AQ2639" s="236" t="str">
        <f>VLOOKUP(Table8[[#This Row],[Instrument]],Def_Targets!$D$73:$E$159,2,FALSE)</f>
        <v>S_PTPriority</v>
      </c>
      <c r="AR2639" s="233" t="str">
        <f>VLOOKUP(Table8[[#This Row],[Country Code]],Table29[],3,FALSE)</f>
        <v>Non-Annex I</v>
      </c>
      <c r="AS2639" s="233" t="str">
        <f>VLOOKUP(Table8[[#This Row],[Country Code]],Table29[],4,FALSE)</f>
        <v>Asia</v>
      </c>
      <c r="AT2639" s="233" t="str">
        <f>VLOOKUP(Table8[[#This Row],[Country Code]],Table29[],5,FALSE)</f>
        <v>High-income</v>
      </c>
      <c r="AU2639" s="233" t="str">
        <f>VLOOKUP(Table8[[#This Row],[Country Code]],Table29[],6,FALSE)</f>
        <v>no</v>
      </c>
      <c r="AV2639" s="233" t="str">
        <f>VLOOKUP(Table8[[#This Row],[Country Code]],Table29[],7,FALSE)</f>
        <v>no</v>
      </c>
      <c r="AW2639" s="233" t="str">
        <f>VLOOKUP(Table8[[#This Row],[Country Code]],Table29[],8,FALSE)</f>
        <v>non-OECD</v>
      </c>
      <c r="AX2639" s="233" t="str">
        <f>VLOOKUP(Table8[[#This Row],[Country Code]],Table29[],9,FALSE)</f>
        <v>no</v>
      </c>
      <c r="AY2639" s="233" t="str">
        <f>VLOOKUP(Table8[[#This Row],[Country Code]],Table29[],10,FALSE)</f>
        <v>MENA</v>
      </c>
      <c r="AZ2639" s="235">
        <f>VLOOKUP(Table8[[#This Row],[Country Code]],Table29[],23,FALSE)</f>
        <v>127.44302070563</v>
      </c>
      <c r="BA2639" s="235">
        <f>VLOOKUP(Table8[[#This Row],[Country Code]],Table29[],24,FALSE)</f>
        <v>12.3539911460556</v>
      </c>
      <c r="BB2639" s="320"/>
      <c r="BC2639" s="320"/>
    </row>
    <row r="2640" spans="1:55" ht="15" hidden="1" customHeight="1" x14ac:dyDescent="0.25">
      <c r="A2640" s="373">
        <v>41740</v>
      </c>
      <c r="B2640" s="233" t="str">
        <f>VLOOKUP(Table8[[#This Row],[Document ID]],Table1[],2,FALSE)</f>
        <v>OMN</v>
      </c>
      <c r="C2640" s="233" t="str">
        <f>VLOOKUP(Table8[[#This Row],[Document ID]],Table1[],3,FALSE)</f>
        <v>Oman</v>
      </c>
      <c r="D2640" s="243" t="str">
        <f>VLOOKUP(Table8[[#This Row],[Document ID]],Table1[],5,FALSE)</f>
        <v>NDC</v>
      </c>
      <c r="E2640" s="233" t="str">
        <f>VLOOKUP(Table8[[#This Row],[Document ID]],Table1[],7,FALSE)</f>
        <v>Second NDC updated</v>
      </c>
      <c r="F2640" s="233" t="str">
        <f>VLOOKUP(Table8[[#This Row],[Document ID]],Table1[],8,FALSE)</f>
        <v>NDC 2.1</v>
      </c>
      <c r="G2640" s="233" t="str">
        <f>VLOOKUP(Table8[[#This Row],[Document ID]],Table1[],10,FALSE)</f>
        <v>Active</v>
      </c>
      <c r="H2640" s="44" t="s">
        <v>2329</v>
      </c>
      <c r="I2640" s="44" t="s">
        <v>2330</v>
      </c>
      <c r="J2640" s="44" t="s">
        <v>2381</v>
      </c>
      <c r="K2640" s="44" t="s">
        <v>4729</v>
      </c>
      <c r="L2640" s="44" t="s">
        <v>2333</v>
      </c>
      <c r="M2640" s="43">
        <v>27</v>
      </c>
      <c r="N2640" s="113"/>
      <c r="O2640" s="113"/>
      <c r="P2640" s="113"/>
      <c r="Q2640" s="113"/>
      <c r="R2640" s="113"/>
      <c r="S2640" s="113"/>
      <c r="T2640" s="113"/>
      <c r="U2640" s="113"/>
      <c r="V2640" s="113"/>
      <c r="W2640" s="113"/>
      <c r="X2640" s="113"/>
      <c r="Y2640" s="113"/>
      <c r="Z2640" s="113"/>
      <c r="AA2640" s="113"/>
      <c r="AB2640" s="113"/>
      <c r="AC2640" s="113"/>
      <c r="AD2640" s="113" t="s">
        <v>1113</v>
      </c>
      <c r="AE2640" s="113"/>
      <c r="AF2640" s="113"/>
      <c r="AG2640" s="113"/>
      <c r="AH2640" s="113" t="s">
        <v>1113</v>
      </c>
      <c r="AI2640" s="113"/>
      <c r="AJ2640" s="113"/>
      <c r="AK2640" s="113" t="s">
        <v>1113</v>
      </c>
      <c r="AL2640" s="113"/>
      <c r="AM2640" s="113"/>
      <c r="AN2640" s="113"/>
      <c r="AO2640" s="44" t="s">
        <v>2334</v>
      </c>
      <c r="AP2640" s="43"/>
      <c r="AQ2640" s="236" t="str">
        <f>VLOOKUP(Table8[[#This Row],[Instrument]],Def_Targets!$D$73:$E$159,2,FALSE)</f>
        <v>I_RE</v>
      </c>
      <c r="AR2640" s="233" t="str">
        <f>VLOOKUP(Table8[[#This Row],[Country Code]],Table29[],3,FALSE)</f>
        <v>Non-Annex I</v>
      </c>
      <c r="AS2640" s="233" t="str">
        <f>VLOOKUP(Table8[[#This Row],[Country Code]],Table29[],4,FALSE)</f>
        <v>Asia</v>
      </c>
      <c r="AT2640" s="233" t="str">
        <f>VLOOKUP(Table8[[#This Row],[Country Code]],Table29[],5,FALSE)</f>
        <v>High-income</v>
      </c>
      <c r="AU2640" s="233" t="str">
        <f>VLOOKUP(Table8[[#This Row],[Country Code]],Table29[],6,FALSE)</f>
        <v>no</v>
      </c>
      <c r="AV2640" s="233" t="str">
        <f>VLOOKUP(Table8[[#This Row],[Country Code]],Table29[],7,FALSE)</f>
        <v>no</v>
      </c>
      <c r="AW2640" s="233" t="str">
        <f>VLOOKUP(Table8[[#This Row],[Country Code]],Table29[],8,FALSE)</f>
        <v>non-OECD</v>
      </c>
      <c r="AX2640" s="233" t="str">
        <f>VLOOKUP(Table8[[#This Row],[Country Code]],Table29[],9,FALSE)</f>
        <v>no</v>
      </c>
      <c r="AY2640" s="233" t="str">
        <f>VLOOKUP(Table8[[#This Row],[Country Code]],Table29[],10,FALSE)</f>
        <v>MENA</v>
      </c>
      <c r="AZ2640" s="235">
        <f>VLOOKUP(Table8[[#This Row],[Country Code]],Table29[],23,FALSE)</f>
        <v>127.44302070563</v>
      </c>
      <c r="BA2640" s="235">
        <f>VLOOKUP(Table8[[#This Row],[Country Code]],Table29[],24,FALSE)</f>
        <v>12.3539911460556</v>
      </c>
      <c r="BB2640" s="320"/>
      <c r="BC2640" s="320"/>
    </row>
    <row r="2641" spans="1:55" ht="15" hidden="1" customHeight="1" x14ac:dyDescent="0.25">
      <c r="A2641" s="373">
        <v>41740</v>
      </c>
      <c r="B2641" s="233" t="str">
        <f>VLOOKUP(Table8[[#This Row],[Document ID]],Table1[],2,FALSE)</f>
        <v>OMN</v>
      </c>
      <c r="C2641" s="233" t="str">
        <f>VLOOKUP(Table8[[#This Row],[Document ID]],Table1[],3,FALSE)</f>
        <v>Oman</v>
      </c>
      <c r="D2641" s="243" t="str">
        <f>VLOOKUP(Table8[[#This Row],[Document ID]],Table1[],5,FALSE)</f>
        <v>NDC</v>
      </c>
      <c r="E2641" s="233" t="str">
        <f>VLOOKUP(Table8[[#This Row],[Document ID]],Table1[],7,FALSE)</f>
        <v>Second NDC updated</v>
      </c>
      <c r="F2641" s="233" t="str">
        <f>VLOOKUP(Table8[[#This Row],[Document ID]],Table1[],8,FALSE)</f>
        <v>NDC 2.1</v>
      </c>
      <c r="G2641" s="233" t="str">
        <f>VLOOKUP(Table8[[#This Row],[Document ID]],Table1[],10,FALSE)</f>
        <v>Active</v>
      </c>
      <c r="H2641" s="43" t="s">
        <v>2358</v>
      </c>
      <c r="I2641" s="43" t="s">
        <v>2359</v>
      </c>
      <c r="J2641" s="44" t="s">
        <v>2383</v>
      </c>
      <c r="K2641" s="44" t="s">
        <v>4730</v>
      </c>
      <c r="L2641" s="44" t="s">
        <v>2333</v>
      </c>
      <c r="M2641" s="43">
        <v>27</v>
      </c>
      <c r="N2641" s="113" t="s">
        <v>1113</v>
      </c>
      <c r="O2641" s="113"/>
      <c r="P2641" s="113"/>
      <c r="Q2641" s="113"/>
      <c r="R2641" s="113"/>
      <c r="S2641" s="113"/>
      <c r="T2641" s="113"/>
      <c r="U2641" s="113"/>
      <c r="V2641" s="113"/>
      <c r="W2641" s="113"/>
      <c r="X2641" s="113"/>
      <c r="Y2641" s="113"/>
      <c r="Z2641" s="113"/>
      <c r="AA2641" s="113"/>
      <c r="AB2641" s="113"/>
      <c r="AC2641" s="113"/>
      <c r="AD2641" s="113"/>
      <c r="AE2641" s="113"/>
      <c r="AF2641" s="113"/>
      <c r="AG2641" s="113"/>
      <c r="AH2641" s="113"/>
      <c r="AI2641" s="113"/>
      <c r="AJ2641" s="113"/>
      <c r="AK2641" s="113" t="s">
        <v>1113</v>
      </c>
      <c r="AL2641" s="113"/>
      <c r="AM2641" s="113"/>
      <c r="AN2641" s="113"/>
      <c r="AO2641" s="44" t="s">
        <v>2334</v>
      </c>
      <c r="AP2641" s="43"/>
      <c r="AQ2641" s="236" t="str">
        <f>VLOOKUP(Table8[[#This Row],[Instrument]],Def_Targets!$D$73:$E$159,2,FALSE)</f>
        <v>I_Emobilitycharging</v>
      </c>
      <c r="AR2641" s="233" t="str">
        <f>VLOOKUP(Table8[[#This Row],[Country Code]],Table29[],3,FALSE)</f>
        <v>Non-Annex I</v>
      </c>
      <c r="AS2641" s="233" t="str">
        <f>VLOOKUP(Table8[[#This Row],[Country Code]],Table29[],4,FALSE)</f>
        <v>Asia</v>
      </c>
      <c r="AT2641" s="233" t="str">
        <f>VLOOKUP(Table8[[#This Row],[Country Code]],Table29[],5,FALSE)</f>
        <v>High-income</v>
      </c>
      <c r="AU2641" s="233" t="str">
        <f>VLOOKUP(Table8[[#This Row],[Country Code]],Table29[],6,FALSE)</f>
        <v>no</v>
      </c>
      <c r="AV2641" s="233" t="str">
        <f>VLOOKUP(Table8[[#This Row],[Country Code]],Table29[],7,FALSE)</f>
        <v>no</v>
      </c>
      <c r="AW2641" s="233" t="str">
        <f>VLOOKUP(Table8[[#This Row],[Country Code]],Table29[],8,FALSE)</f>
        <v>non-OECD</v>
      </c>
      <c r="AX2641" s="233" t="str">
        <f>VLOOKUP(Table8[[#This Row],[Country Code]],Table29[],9,FALSE)</f>
        <v>no</v>
      </c>
      <c r="AY2641" s="233" t="str">
        <f>VLOOKUP(Table8[[#This Row],[Country Code]],Table29[],10,FALSE)</f>
        <v>MENA</v>
      </c>
      <c r="AZ2641" s="235">
        <f>VLOOKUP(Table8[[#This Row],[Country Code]],Table29[],23,FALSE)</f>
        <v>127.44302070563</v>
      </c>
      <c r="BA2641" s="235">
        <f>VLOOKUP(Table8[[#This Row],[Country Code]],Table29[],24,FALSE)</f>
        <v>12.3539911460556</v>
      </c>
      <c r="BB2641" s="320"/>
      <c r="BC2641" s="320"/>
    </row>
    <row r="2642" spans="1:55" ht="15" hidden="1" customHeight="1" x14ac:dyDescent="0.25">
      <c r="A2642" s="373">
        <v>41740</v>
      </c>
      <c r="B2642" s="233" t="str">
        <f>VLOOKUP(Table8[[#This Row],[Document ID]],Table1[],2,FALSE)</f>
        <v>OMN</v>
      </c>
      <c r="C2642" s="233" t="str">
        <f>VLOOKUP(Table8[[#This Row],[Document ID]],Table1[],3,FALSE)</f>
        <v>Oman</v>
      </c>
      <c r="D2642" s="243" t="str">
        <f>VLOOKUP(Table8[[#This Row],[Document ID]],Table1[],5,FALSE)</f>
        <v>NDC</v>
      </c>
      <c r="E2642" s="233" t="str">
        <f>VLOOKUP(Table8[[#This Row],[Document ID]],Table1[],7,FALSE)</f>
        <v>Second NDC updated</v>
      </c>
      <c r="F2642" s="233" t="str">
        <f>VLOOKUP(Table8[[#This Row],[Document ID]],Table1[],8,FALSE)</f>
        <v>NDC 2.1</v>
      </c>
      <c r="G2642" s="233" t="str">
        <f>VLOOKUP(Table8[[#This Row],[Document ID]],Table1[],10,FALSE)</f>
        <v>Active</v>
      </c>
      <c r="H2642" s="44" t="s">
        <v>2329</v>
      </c>
      <c r="I2642" s="44" t="s">
        <v>2330</v>
      </c>
      <c r="J2642" s="44" t="s">
        <v>2357</v>
      </c>
      <c r="K2642" s="44" t="s">
        <v>4731</v>
      </c>
      <c r="L2642" s="44" t="s">
        <v>2333</v>
      </c>
      <c r="M2642" s="43">
        <v>27</v>
      </c>
      <c r="N2642" s="113" t="s">
        <v>1113</v>
      </c>
      <c r="O2642" s="113"/>
      <c r="P2642" s="113"/>
      <c r="Q2642" s="113"/>
      <c r="R2642" s="113"/>
      <c r="S2642" s="113"/>
      <c r="T2642" s="113"/>
      <c r="U2642" s="113"/>
      <c r="V2642" s="113"/>
      <c r="W2642" s="113"/>
      <c r="X2642" s="113"/>
      <c r="Y2642" s="113"/>
      <c r="Z2642" s="113"/>
      <c r="AA2642" s="113"/>
      <c r="AB2642" s="113"/>
      <c r="AC2642" s="113"/>
      <c r="AD2642" s="113"/>
      <c r="AE2642" s="113"/>
      <c r="AF2642" s="113"/>
      <c r="AG2642" s="113"/>
      <c r="AH2642" s="113"/>
      <c r="AI2642" s="113"/>
      <c r="AJ2642" s="113"/>
      <c r="AK2642" s="113" t="s">
        <v>1113</v>
      </c>
      <c r="AL2642" s="113"/>
      <c r="AM2642" s="113"/>
      <c r="AN2642" s="113"/>
      <c r="AO2642" s="44" t="s">
        <v>2334</v>
      </c>
      <c r="AP2642" s="43"/>
      <c r="AQ2642" s="236" t="str">
        <f>VLOOKUP(Table8[[#This Row],[Instrument]],Def_Targets!$D$73:$E$159,2,FALSE)</f>
        <v>I_Biofuel</v>
      </c>
      <c r="AR2642" s="233" t="str">
        <f>VLOOKUP(Table8[[#This Row],[Country Code]],Table29[],3,FALSE)</f>
        <v>Non-Annex I</v>
      </c>
      <c r="AS2642" s="233" t="str">
        <f>VLOOKUP(Table8[[#This Row],[Country Code]],Table29[],4,FALSE)</f>
        <v>Asia</v>
      </c>
      <c r="AT2642" s="233" t="str">
        <f>VLOOKUP(Table8[[#This Row],[Country Code]],Table29[],5,FALSE)</f>
        <v>High-income</v>
      </c>
      <c r="AU2642" s="233" t="str">
        <f>VLOOKUP(Table8[[#This Row],[Country Code]],Table29[],6,FALSE)</f>
        <v>no</v>
      </c>
      <c r="AV2642" s="233" t="str">
        <f>VLOOKUP(Table8[[#This Row],[Country Code]],Table29[],7,FALSE)</f>
        <v>no</v>
      </c>
      <c r="AW2642" s="233" t="str">
        <f>VLOOKUP(Table8[[#This Row],[Country Code]],Table29[],8,FALSE)</f>
        <v>non-OECD</v>
      </c>
      <c r="AX2642" s="233" t="str">
        <f>VLOOKUP(Table8[[#This Row],[Country Code]],Table29[],9,FALSE)</f>
        <v>no</v>
      </c>
      <c r="AY2642" s="233" t="str">
        <f>VLOOKUP(Table8[[#This Row],[Country Code]],Table29[],10,FALSE)</f>
        <v>MENA</v>
      </c>
      <c r="AZ2642" s="235">
        <f>VLOOKUP(Table8[[#This Row],[Country Code]],Table29[],23,FALSE)</f>
        <v>127.44302070563</v>
      </c>
      <c r="BA2642" s="235">
        <f>VLOOKUP(Table8[[#This Row],[Country Code]],Table29[],24,FALSE)</f>
        <v>12.3539911460556</v>
      </c>
      <c r="BB2642" s="320"/>
      <c r="BC2642" s="320"/>
    </row>
    <row r="2643" spans="1:55" ht="15" hidden="1" customHeight="1" x14ac:dyDescent="0.25">
      <c r="A2643" s="373">
        <v>41740</v>
      </c>
      <c r="B2643" s="233" t="str">
        <f>VLOOKUP(Table8[[#This Row],[Document ID]],Table1[],2,FALSE)</f>
        <v>OMN</v>
      </c>
      <c r="C2643" s="233" t="str">
        <f>VLOOKUP(Table8[[#This Row],[Document ID]],Table1[],3,FALSE)</f>
        <v>Oman</v>
      </c>
      <c r="D2643" s="243" t="str">
        <f>VLOOKUP(Table8[[#This Row],[Document ID]],Table1[],5,FALSE)</f>
        <v>NDC</v>
      </c>
      <c r="E2643" s="233" t="str">
        <f>VLOOKUP(Table8[[#This Row],[Document ID]],Table1[],7,FALSE)</f>
        <v>Second NDC updated</v>
      </c>
      <c r="F2643" s="233" t="str">
        <f>VLOOKUP(Table8[[#This Row],[Document ID]],Table1[],8,FALSE)</f>
        <v>NDC 2.1</v>
      </c>
      <c r="G2643" s="233" t="str">
        <f>VLOOKUP(Table8[[#This Row],[Document ID]],Table1[],10,FALSE)</f>
        <v>Active</v>
      </c>
      <c r="H2643" s="43" t="s">
        <v>2358</v>
      </c>
      <c r="I2643" s="43" t="s">
        <v>2359</v>
      </c>
      <c r="J2643" s="44" t="s">
        <v>2360</v>
      </c>
      <c r="K2643" s="44" t="s">
        <v>4732</v>
      </c>
      <c r="L2643" s="44" t="s">
        <v>2333</v>
      </c>
      <c r="M2643" s="43">
        <v>27</v>
      </c>
      <c r="N2643" s="113" t="s">
        <v>1113</v>
      </c>
      <c r="O2643" s="113"/>
      <c r="P2643" s="113"/>
      <c r="Q2643" s="113"/>
      <c r="R2643" s="113"/>
      <c r="S2643" s="113"/>
      <c r="T2643" s="113"/>
      <c r="U2643" s="113"/>
      <c r="V2643" s="113"/>
      <c r="W2643" s="113"/>
      <c r="X2643" s="113"/>
      <c r="Y2643" s="113"/>
      <c r="Z2643" s="113"/>
      <c r="AA2643" s="113"/>
      <c r="AB2643" s="113"/>
      <c r="AC2643" s="113"/>
      <c r="AD2643" s="113"/>
      <c r="AE2643" s="113"/>
      <c r="AF2643" s="113"/>
      <c r="AG2643" s="113"/>
      <c r="AH2643" s="113"/>
      <c r="AI2643" s="113"/>
      <c r="AJ2643" s="113"/>
      <c r="AK2643" s="113" t="s">
        <v>1113</v>
      </c>
      <c r="AL2643" s="113"/>
      <c r="AM2643" s="113"/>
      <c r="AN2643" s="113"/>
      <c r="AO2643" s="44" t="s">
        <v>2334</v>
      </c>
      <c r="AP2643" s="43"/>
      <c r="AQ2643" s="236" t="str">
        <f>VLOOKUP(Table8[[#This Row],[Instrument]],Def_Targets!$D$73:$E$159,2,FALSE)</f>
        <v>I_Emobility</v>
      </c>
      <c r="AR2643" s="233" t="str">
        <f>VLOOKUP(Table8[[#This Row],[Country Code]],Table29[],3,FALSE)</f>
        <v>Non-Annex I</v>
      </c>
      <c r="AS2643" s="233" t="str">
        <f>VLOOKUP(Table8[[#This Row],[Country Code]],Table29[],4,FALSE)</f>
        <v>Asia</v>
      </c>
      <c r="AT2643" s="233" t="str">
        <f>VLOOKUP(Table8[[#This Row],[Country Code]],Table29[],5,FALSE)</f>
        <v>High-income</v>
      </c>
      <c r="AU2643" s="233" t="str">
        <f>VLOOKUP(Table8[[#This Row],[Country Code]],Table29[],6,FALSE)</f>
        <v>no</v>
      </c>
      <c r="AV2643" s="233" t="str">
        <f>VLOOKUP(Table8[[#This Row],[Country Code]],Table29[],7,FALSE)</f>
        <v>no</v>
      </c>
      <c r="AW2643" s="233" t="str">
        <f>VLOOKUP(Table8[[#This Row],[Country Code]],Table29[],8,FALSE)</f>
        <v>non-OECD</v>
      </c>
      <c r="AX2643" s="233" t="str">
        <f>VLOOKUP(Table8[[#This Row],[Country Code]],Table29[],9,FALSE)</f>
        <v>no</v>
      </c>
      <c r="AY2643" s="233" t="str">
        <f>VLOOKUP(Table8[[#This Row],[Country Code]],Table29[],10,FALSE)</f>
        <v>MENA</v>
      </c>
      <c r="AZ2643" s="235">
        <f>VLOOKUP(Table8[[#This Row],[Country Code]],Table29[],23,FALSE)</f>
        <v>127.44302070563</v>
      </c>
      <c r="BA2643" s="235">
        <f>VLOOKUP(Table8[[#This Row],[Country Code]],Table29[],24,FALSE)</f>
        <v>12.3539911460556</v>
      </c>
      <c r="BB2643" s="320"/>
      <c r="BC2643" s="320"/>
    </row>
    <row r="2644" spans="1:55" ht="15" hidden="1" customHeight="1" x14ac:dyDescent="0.25">
      <c r="A2644" s="373">
        <v>41740</v>
      </c>
      <c r="B2644" s="233" t="str">
        <f>VLOOKUP(Table8[[#This Row],[Document ID]],Table1[],2,FALSE)</f>
        <v>OMN</v>
      </c>
      <c r="C2644" s="233" t="str">
        <f>VLOOKUP(Table8[[#This Row],[Document ID]],Table1[],3,FALSE)</f>
        <v>Oman</v>
      </c>
      <c r="D2644" s="243" t="str">
        <f>VLOOKUP(Table8[[#This Row],[Document ID]],Table1[],5,FALSE)</f>
        <v>NDC</v>
      </c>
      <c r="E2644" s="233" t="str">
        <f>VLOOKUP(Table8[[#This Row],[Document ID]],Table1[],7,FALSE)</f>
        <v>Second NDC updated</v>
      </c>
      <c r="F2644" s="233" t="str">
        <f>VLOOKUP(Table8[[#This Row],[Document ID]],Table1[],8,FALSE)</f>
        <v>NDC 2.1</v>
      </c>
      <c r="G2644" s="233" t="str">
        <f>VLOOKUP(Table8[[#This Row],[Document ID]],Table1[],10,FALSE)</f>
        <v>Active</v>
      </c>
      <c r="H2644" s="44" t="s">
        <v>2338</v>
      </c>
      <c r="I2644" s="44" t="s">
        <v>2339</v>
      </c>
      <c r="J2644" s="44" t="s">
        <v>2410</v>
      </c>
      <c r="K2644" s="44" t="s">
        <v>4733</v>
      </c>
      <c r="L2644" s="44" t="s">
        <v>2333</v>
      </c>
      <c r="M2644" s="43">
        <v>27</v>
      </c>
      <c r="N2644" s="113" t="s">
        <v>1113</v>
      </c>
      <c r="O2644" s="113"/>
      <c r="P2644" s="113"/>
      <c r="Q2644" s="113"/>
      <c r="R2644" s="113"/>
      <c r="S2644" s="113"/>
      <c r="T2644" s="113"/>
      <c r="U2644" s="113"/>
      <c r="V2644" s="113"/>
      <c r="W2644" s="113"/>
      <c r="X2644" s="113"/>
      <c r="Y2644" s="113"/>
      <c r="Z2644" s="113"/>
      <c r="AA2644" s="113"/>
      <c r="AB2644" s="113"/>
      <c r="AC2644" s="113"/>
      <c r="AD2644" s="113"/>
      <c r="AE2644" s="113"/>
      <c r="AF2644" s="113"/>
      <c r="AG2644" s="113"/>
      <c r="AH2644" s="113"/>
      <c r="AI2644" s="113"/>
      <c r="AJ2644" s="113"/>
      <c r="AK2644" s="113" t="s">
        <v>1113</v>
      </c>
      <c r="AL2644" s="113"/>
      <c r="AM2644" s="113"/>
      <c r="AN2644" s="113"/>
      <c r="AO2644" s="44" t="s">
        <v>2334</v>
      </c>
      <c r="AP2644" s="43"/>
      <c r="AQ2644" s="236" t="str">
        <f>VLOOKUP(Table8[[#This Row],[Instrument]],Def_Targets!$D$73:$E$159,2,FALSE)</f>
        <v>I_VehicleRestrictions</v>
      </c>
      <c r="AR2644" s="233" t="str">
        <f>VLOOKUP(Table8[[#This Row],[Country Code]],Table29[],3,FALSE)</f>
        <v>Non-Annex I</v>
      </c>
      <c r="AS2644" s="233" t="str">
        <f>VLOOKUP(Table8[[#This Row],[Country Code]],Table29[],4,FALSE)</f>
        <v>Asia</v>
      </c>
      <c r="AT2644" s="233" t="str">
        <f>VLOOKUP(Table8[[#This Row],[Country Code]],Table29[],5,FALSE)</f>
        <v>High-income</v>
      </c>
      <c r="AU2644" s="233" t="str">
        <f>VLOOKUP(Table8[[#This Row],[Country Code]],Table29[],6,FALSE)</f>
        <v>no</v>
      </c>
      <c r="AV2644" s="233" t="str">
        <f>VLOOKUP(Table8[[#This Row],[Country Code]],Table29[],7,FALSE)</f>
        <v>no</v>
      </c>
      <c r="AW2644" s="233" t="str">
        <f>VLOOKUP(Table8[[#This Row],[Country Code]],Table29[],8,FALSE)</f>
        <v>non-OECD</v>
      </c>
      <c r="AX2644" s="233" t="str">
        <f>VLOOKUP(Table8[[#This Row],[Country Code]],Table29[],9,FALSE)</f>
        <v>no</v>
      </c>
      <c r="AY2644" s="233" t="str">
        <f>VLOOKUP(Table8[[#This Row],[Country Code]],Table29[],10,FALSE)</f>
        <v>MENA</v>
      </c>
      <c r="AZ2644" s="235">
        <f>VLOOKUP(Table8[[#This Row],[Country Code]],Table29[],23,FALSE)</f>
        <v>127.44302070563</v>
      </c>
      <c r="BA2644" s="235">
        <f>VLOOKUP(Table8[[#This Row],[Country Code]],Table29[],24,FALSE)</f>
        <v>12.3539911460556</v>
      </c>
      <c r="BB2644" s="320"/>
      <c r="BC2644" s="320"/>
    </row>
    <row r="2645" spans="1:55" ht="15" hidden="1" customHeight="1" x14ac:dyDescent="0.25">
      <c r="A2645" s="373">
        <v>41740</v>
      </c>
      <c r="B2645" s="233" t="str">
        <f>VLOOKUP(Table8[[#This Row],[Document ID]],Table1[],2,FALSE)</f>
        <v>OMN</v>
      </c>
      <c r="C2645" s="233" t="str">
        <f>VLOOKUP(Table8[[#This Row],[Document ID]],Table1[],3,FALSE)</f>
        <v>Oman</v>
      </c>
      <c r="D2645" s="243" t="str">
        <f>VLOOKUP(Table8[[#This Row],[Document ID]],Table1[],5,FALSE)</f>
        <v>NDC</v>
      </c>
      <c r="E2645" s="233" t="str">
        <f>VLOOKUP(Table8[[#This Row],[Document ID]],Table1[],7,FALSE)</f>
        <v>Second NDC updated</v>
      </c>
      <c r="F2645" s="233" t="str">
        <f>VLOOKUP(Table8[[#This Row],[Document ID]],Table1[],8,FALSE)</f>
        <v>NDC 2.1</v>
      </c>
      <c r="G2645" s="233" t="str">
        <f>VLOOKUP(Table8[[#This Row],[Document ID]],Table1[],10,FALSE)</f>
        <v>Active</v>
      </c>
      <c r="H2645" s="43" t="s">
        <v>2484</v>
      </c>
      <c r="I2645" s="43" t="s">
        <v>2488</v>
      </c>
      <c r="J2645" s="44" t="s">
        <v>2684</v>
      </c>
      <c r="K2645" s="44" t="s">
        <v>4734</v>
      </c>
      <c r="L2645" s="44" t="s">
        <v>2333</v>
      </c>
      <c r="M2645" s="43">
        <v>27</v>
      </c>
      <c r="N2645" s="113"/>
      <c r="O2645" s="113"/>
      <c r="P2645" s="113"/>
      <c r="Q2645" s="113"/>
      <c r="R2645" s="113"/>
      <c r="S2645" s="113"/>
      <c r="T2645" s="113"/>
      <c r="U2645" s="113"/>
      <c r="V2645" s="113"/>
      <c r="W2645" s="113"/>
      <c r="X2645" s="113"/>
      <c r="Y2645" s="113"/>
      <c r="Z2645" s="113"/>
      <c r="AA2645" s="113"/>
      <c r="AB2645" s="113"/>
      <c r="AC2645" s="113"/>
      <c r="AD2645" s="113"/>
      <c r="AE2645" s="113"/>
      <c r="AF2645" s="113"/>
      <c r="AG2645" s="113"/>
      <c r="AH2645" s="113" t="s">
        <v>1113</v>
      </c>
      <c r="AI2645" s="113"/>
      <c r="AJ2645" s="113"/>
      <c r="AK2645" s="113" t="s">
        <v>1113</v>
      </c>
      <c r="AL2645" s="113"/>
      <c r="AM2645" s="113"/>
      <c r="AN2645" s="113"/>
      <c r="AO2645" s="44" t="s">
        <v>2334</v>
      </c>
      <c r="AP2645" s="43"/>
      <c r="AQ2645" s="236" t="str">
        <f>VLOOKUP(Table8[[#This Row],[Instrument]],Def_Targets!$D$73:$E$159,2,FALSE)</f>
        <v>I_Jetfuel</v>
      </c>
      <c r="AR2645" s="233" t="str">
        <f>VLOOKUP(Table8[[#This Row],[Country Code]],Table29[],3,FALSE)</f>
        <v>Non-Annex I</v>
      </c>
      <c r="AS2645" s="233" t="str">
        <f>VLOOKUP(Table8[[#This Row],[Country Code]],Table29[],4,FALSE)</f>
        <v>Asia</v>
      </c>
      <c r="AT2645" s="233" t="str">
        <f>VLOOKUP(Table8[[#This Row],[Country Code]],Table29[],5,FALSE)</f>
        <v>High-income</v>
      </c>
      <c r="AU2645" s="233" t="str">
        <f>VLOOKUP(Table8[[#This Row],[Country Code]],Table29[],6,FALSE)</f>
        <v>no</v>
      </c>
      <c r="AV2645" s="233" t="str">
        <f>VLOOKUP(Table8[[#This Row],[Country Code]],Table29[],7,FALSE)</f>
        <v>no</v>
      </c>
      <c r="AW2645" s="233" t="str">
        <f>VLOOKUP(Table8[[#This Row],[Country Code]],Table29[],8,FALSE)</f>
        <v>non-OECD</v>
      </c>
      <c r="AX2645" s="233" t="str">
        <f>VLOOKUP(Table8[[#This Row],[Country Code]],Table29[],9,FALSE)</f>
        <v>no</v>
      </c>
      <c r="AY2645" s="233" t="str">
        <f>VLOOKUP(Table8[[#This Row],[Country Code]],Table29[],10,FALSE)</f>
        <v>MENA</v>
      </c>
      <c r="AZ2645" s="235">
        <f>VLOOKUP(Table8[[#This Row],[Country Code]],Table29[],23,FALSE)</f>
        <v>127.44302070563</v>
      </c>
      <c r="BA2645" s="235">
        <f>VLOOKUP(Table8[[#This Row],[Country Code]],Table29[],24,FALSE)</f>
        <v>12.3539911460556</v>
      </c>
      <c r="BB2645" s="320"/>
      <c r="BC2645" s="320"/>
    </row>
    <row r="2646" spans="1:55" ht="15" hidden="1" customHeight="1" x14ac:dyDescent="0.25">
      <c r="A2646" s="373">
        <v>41740</v>
      </c>
      <c r="B2646" s="233" t="str">
        <f>VLOOKUP(Table8[[#This Row],[Document ID]],Table1[],2,FALSE)</f>
        <v>OMN</v>
      </c>
      <c r="C2646" s="233" t="str">
        <f>VLOOKUP(Table8[[#This Row],[Document ID]],Table1[],3,FALSE)</f>
        <v>Oman</v>
      </c>
      <c r="D2646" s="243" t="str">
        <f>VLOOKUP(Table8[[#This Row],[Document ID]],Table1[],5,FALSE)</f>
        <v>NDC</v>
      </c>
      <c r="E2646" s="233" t="str">
        <f>VLOOKUP(Table8[[#This Row],[Document ID]],Table1[],7,FALSE)</f>
        <v>Second NDC updated</v>
      </c>
      <c r="F2646" s="233" t="str">
        <f>VLOOKUP(Table8[[#This Row],[Document ID]],Table1[],8,FALSE)</f>
        <v>NDC 2.1</v>
      </c>
      <c r="G2646" s="233" t="str">
        <f>VLOOKUP(Table8[[#This Row],[Document ID]],Table1[],10,FALSE)</f>
        <v>Active</v>
      </c>
      <c r="H2646" s="44" t="s">
        <v>2329</v>
      </c>
      <c r="I2646" s="44" t="s">
        <v>2330</v>
      </c>
      <c r="J2646" s="44" t="s">
        <v>2357</v>
      </c>
      <c r="K2646" s="44" t="s">
        <v>4735</v>
      </c>
      <c r="L2646" s="44" t="s">
        <v>2333</v>
      </c>
      <c r="M2646" s="43">
        <v>27</v>
      </c>
      <c r="N2646" s="113" t="s">
        <v>1113</v>
      </c>
      <c r="O2646" s="113"/>
      <c r="P2646" s="113"/>
      <c r="Q2646" s="113"/>
      <c r="R2646" s="113"/>
      <c r="S2646" s="113"/>
      <c r="T2646" s="113"/>
      <c r="U2646" s="113"/>
      <c r="V2646" s="113"/>
      <c r="W2646" s="113"/>
      <c r="X2646" s="113"/>
      <c r="Y2646" s="113"/>
      <c r="Z2646" s="113"/>
      <c r="AA2646" s="113"/>
      <c r="AB2646" s="113"/>
      <c r="AC2646" s="113"/>
      <c r="AD2646" s="113"/>
      <c r="AE2646" s="113"/>
      <c r="AF2646" s="113"/>
      <c r="AG2646" s="113"/>
      <c r="AH2646" s="113"/>
      <c r="AI2646" s="113"/>
      <c r="AJ2646" s="113"/>
      <c r="AK2646" s="113" t="s">
        <v>1113</v>
      </c>
      <c r="AL2646" s="113"/>
      <c r="AM2646" s="113"/>
      <c r="AN2646" s="113"/>
      <c r="AO2646" s="44" t="s">
        <v>2334</v>
      </c>
      <c r="AP2646" s="43"/>
      <c r="AQ2646" s="236" t="str">
        <f>VLOOKUP(Table8[[#This Row],[Instrument]],Def_Targets!$D$73:$E$159,2,FALSE)</f>
        <v>I_Biofuel</v>
      </c>
      <c r="AR2646" s="233" t="str">
        <f>VLOOKUP(Table8[[#This Row],[Country Code]],Table29[],3,FALSE)</f>
        <v>Non-Annex I</v>
      </c>
      <c r="AS2646" s="233" t="str">
        <f>VLOOKUP(Table8[[#This Row],[Country Code]],Table29[],4,FALSE)</f>
        <v>Asia</v>
      </c>
      <c r="AT2646" s="233" t="str">
        <f>VLOOKUP(Table8[[#This Row],[Country Code]],Table29[],5,FALSE)</f>
        <v>High-income</v>
      </c>
      <c r="AU2646" s="233" t="str">
        <f>VLOOKUP(Table8[[#This Row],[Country Code]],Table29[],6,FALSE)</f>
        <v>no</v>
      </c>
      <c r="AV2646" s="233" t="str">
        <f>VLOOKUP(Table8[[#This Row],[Country Code]],Table29[],7,FALSE)</f>
        <v>no</v>
      </c>
      <c r="AW2646" s="233" t="str">
        <f>VLOOKUP(Table8[[#This Row],[Country Code]],Table29[],8,FALSE)</f>
        <v>non-OECD</v>
      </c>
      <c r="AX2646" s="233" t="str">
        <f>VLOOKUP(Table8[[#This Row],[Country Code]],Table29[],9,FALSE)</f>
        <v>no</v>
      </c>
      <c r="AY2646" s="233" t="str">
        <f>VLOOKUP(Table8[[#This Row],[Country Code]],Table29[],10,FALSE)</f>
        <v>MENA</v>
      </c>
      <c r="AZ2646" s="235">
        <f>VLOOKUP(Table8[[#This Row],[Country Code]],Table29[],23,FALSE)</f>
        <v>127.44302070563</v>
      </c>
      <c r="BA2646" s="235">
        <f>VLOOKUP(Table8[[#This Row],[Country Code]],Table29[],24,FALSE)</f>
        <v>12.3539911460556</v>
      </c>
      <c r="BB2646" s="320"/>
      <c r="BC2646" s="320"/>
    </row>
    <row r="2647" spans="1:55" ht="15" hidden="1" customHeight="1" x14ac:dyDescent="0.25">
      <c r="A2647" s="373">
        <v>41740</v>
      </c>
      <c r="B2647" s="233" t="str">
        <f>VLOOKUP(Table8[[#This Row],[Document ID]],Table1[],2,FALSE)</f>
        <v>OMN</v>
      </c>
      <c r="C2647" s="233" t="str">
        <f>VLOOKUP(Table8[[#This Row],[Document ID]],Table1[],3,FALSE)</f>
        <v>Oman</v>
      </c>
      <c r="D2647" s="243" t="str">
        <f>VLOOKUP(Table8[[#This Row],[Document ID]],Table1[],5,FALSE)</f>
        <v>NDC</v>
      </c>
      <c r="E2647" s="233" t="str">
        <f>VLOOKUP(Table8[[#This Row],[Document ID]],Table1[],7,FALSE)</f>
        <v>Second NDC updated</v>
      </c>
      <c r="F2647" s="233" t="str">
        <f>VLOOKUP(Table8[[#This Row],[Document ID]],Table1[],8,FALSE)</f>
        <v>NDC 2.1</v>
      </c>
      <c r="G2647" s="233" t="str">
        <f>VLOOKUP(Table8[[#This Row],[Document ID]],Table1[],10,FALSE)</f>
        <v>Active</v>
      </c>
      <c r="H2647" s="44" t="s">
        <v>2329</v>
      </c>
      <c r="I2647" s="44" t="s">
        <v>2330</v>
      </c>
      <c r="J2647" s="44" t="s">
        <v>2391</v>
      </c>
      <c r="K2647" s="44" t="s">
        <v>4736</v>
      </c>
      <c r="L2647" s="44" t="s">
        <v>2333</v>
      </c>
      <c r="M2647" s="43">
        <v>21</v>
      </c>
      <c r="N2647" s="113"/>
      <c r="O2647" s="113"/>
      <c r="P2647" s="113"/>
      <c r="Q2647" s="113"/>
      <c r="R2647" s="113"/>
      <c r="S2647" s="113"/>
      <c r="T2647" s="113"/>
      <c r="U2647" s="113"/>
      <c r="V2647" s="113"/>
      <c r="W2647" s="113"/>
      <c r="X2647" s="113" t="s">
        <v>1113</v>
      </c>
      <c r="Y2647" s="113" t="s">
        <v>1113</v>
      </c>
      <c r="Z2647" s="113"/>
      <c r="AA2647" s="113"/>
      <c r="AB2647" s="113"/>
      <c r="AC2647" s="113"/>
      <c r="AD2647" s="113"/>
      <c r="AE2647" s="113"/>
      <c r="AF2647" s="113"/>
      <c r="AG2647" s="113"/>
      <c r="AH2647" s="113"/>
      <c r="AI2647" s="113"/>
      <c r="AJ2647" s="113"/>
      <c r="AK2647" s="113" t="s">
        <v>1113</v>
      </c>
      <c r="AL2647" s="113"/>
      <c r="AM2647" s="113"/>
      <c r="AN2647" s="113"/>
      <c r="AO2647" s="43" t="s">
        <v>2477</v>
      </c>
      <c r="AP2647" s="43"/>
      <c r="AQ2647" s="236" t="str">
        <f>VLOOKUP(Table8[[#This Row],[Instrument]],Def_Targets!$D$73:$E$159,2,FALSE)</f>
        <v>I_Hydrogen</v>
      </c>
      <c r="AR2647" s="233" t="str">
        <f>VLOOKUP(Table8[[#This Row],[Country Code]],Table29[],3,FALSE)</f>
        <v>Non-Annex I</v>
      </c>
      <c r="AS2647" s="233" t="str">
        <f>VLOOKUP(Table8[[#This Row],[Country Code]],Table29[],4,FALSE)</f>
        <v>Asia</v>
      </c>
      <c r="AT2647" s="233" t="str">
        <f>VLOOKUP(Table8[[#This Row],[Country Code]],Table29[],5,FALSE)</f>
        <v>High-income</v>
      </c>
      <c r="AU2647" s="233" t="str">
        <f>VLOOKUP(Table8[[#This Row],[Country Code]],Table29[],6,FALSE)</f>
        <v>no</v>
      </c>
      <c r="AV2647" s="233" t="str">
        <f>VLOOKUP(Table8[[#This Row],[Country Code]],Table29[],7,FALSE)</f>
        <v>no</v>
      </c>
      <c r="AW2647" s="233" t="str">
        <f>VLOOKUP(Table8[[#This Row],[Country Code]],Table29[],8,FALSE)</f>
        <v>non-OECD</v>
      </c>
      <c r="AX2647" s="233" t="str">
        <f>VLOOKUP(Table8[[#This Row],[Country Code]],Table29[],9,FALSE)</f>
        <v>no</v>
      </c>
      <c r="AY2647" s="233" t="str">
        <f>VLOOKUP(Table8[[#This Row],[Country Code]],Table29[],10,FALSE)</f>
        <v>MENA</v>
      </c>
      <c r="AZ2647" s="235">
        <f>VLOOKUP(Table8[[#This Row],[Country Code]],Table29[],23,FALSE)</f>
        <v>127.44302070563</v>
      </c>
      <c r="BA2647" s="235">
        <f>VLOOKUP(Table8[[#This Row],[Country Code]],Table29[],24,FALSE)</f>
        <v>12.3539911460556</v>
      </c>
      <c r="BB2647" s="320"/>
      <c r="BC2647" s="320"/>
    </row>
    <row r="2648" spans="1:55" ht="15" hidden="1" customHeight="1" x14ac:dyDescent="0.25">
      <c r="A2648" s="373">
        <v>41743</v>
      </c>
      <c r="B2648" s="233" t="str">
        <f>VLOOKUP(Table8[[#This Row],[Document ID]],Table1[],2,FALSE)</f>
        <v>NAM</v>
      </c>
      <c r="C2648" s="233" t="str">
        <f>VLOOKUP(Table8[[#This Row],[Document ID]],Table1[],3,FALSE)</f>
        <v>Namibia</v>
      </c>
      <c r="D2648" s="243" t="str">
        <f>VLOOKUP(Table8[[#This Row],[Document ID]],Table1[],5,FALSE)</f>
        <v>NDC</v>
      </c>
      <c r="E2648" s="233" t="str">
        <f>VLOOKUP(Table8[[#This Row],[Document ID]],Table1[],7,FALSE)</f>
        <v>First NDC updated</v>
      </c>
      <c r="F2648" s="233" t="str">
        <f>VLOOKUP(Table8[[#This Row],[Document ID]],Table1[],8,FALSE)</f>
        <v>NDC 1.2</v>
      </c>
      <c r="G2648" s="233" t="str">
        <f>VLOOKUP(Table8[[#This Row],[Document ID]],Table1[],10,FALSE)</f>
        <v>Active</v>
      </c>
      <c r="H2648" s="43" t="s">
        <v>2358</v>
      </c>
      <c r="I2648" s="43" t="s">
        <v>2359</v>
      </c>
      <c r="J2648" s="44" t="s">
        <v>2360</v>
      </c>
      <c r="K2648" s="44" t="s">
        <v>4737</v>
      </c>
      <c r="L2648" s="44" t="s">
        <v>2333</v>
      </c>
      <c r="M2648" s="43">
        <v>26</v>
      </c>
      <c r="N2648" s="113"/>
      <c r="O2648" s="113"/>
      <c r="P2648" s="113"/>
      <c r="Q2648" s="113"/>
      <c r="R2648" s="113"/>
      <c r="S2648" s="113"/>
      <c r="T2648" s="113"/>
      <c r="U2648" s="113" t="s">
        <v>1113</v>
      </c>
      <c r="V2648" s="113"/>
      <c r="W2648" s="113"/>
      <c r="X2648" s="113"/>
      <c r="Y2648" s="113"/>
      <c r="Z2648" s="113"/>
      <c r="AA2648" s="113"/>
      <c r="AB2648" s="113"/>
      <c r="AC2648" s="113"/>
      <c r="AD2648" s="113"/>
      <c r="AE2648" s="113"/>
      <c r="AF2648" s="113"/>
      <c r="AG2648" s="113"/>
      <c r="AH2648" s="113"/>
      <c r="AI2648" s="113"/>
      <c r="AJ2648" s="113"/>
      <c r="AK2648" s="113" t="s">
        <v>1113</v>
      </c>
      <c r="AL2648" s="113"/>
      <c r="AM2648" s="113"/>
      <c r="AN2648" s="113"/>
      <c r="AO2648" s="44" t="s">
        <v>2334</v>
      </c>
      <c r="AP2648" s="43"/>
      <c r="AQ2648" s="236" t="str">
        <f>VLOOKUP(Table8[[#This Row],[Instrument]],Def_Targets!$D$73:$E$159,2,FALSE)</f>
        <v>I_Emobility</v>
      </c>
      <c r="AR2648" s="233" t="str">
        <f>VLOOKUP(Table8[[#This Row],[Country Code]],Table29[],3,FALSE)</f>
        <v>Non-Annex I</v>
      </c>
      <c r="AS2648" s="233" t="str">
        <f>VLOOKUP(Table8[[#This Row],[Country Code]],Table29[],4,FALSE)</f>
        <v>Africa</v>
      </c>
      <c r="AT2648" s="233" t="str">
        <f>VLOOKUP(Table8[[#This Row],[Country Code]],Table29[],5,FALSE)</f>
        <v>Middle-income</v>
      </c>
      <c r="AU2648" s="233" t="str">
        <f>VLOOKUP(Table8[[#This Row],[Country Code]],Table29[],6,FALSE)</f>
        <v>no</v>
      </c>
      <c r="AV2648" s="233" t="str">
        <f>VLOOKUP(Table8[[#This Row],[Country Code]],Table29[],7,FALSE)</f>
        <v>no</v>
      </c>
      <c r="AW2648" s="233" t="str">
        <f>VLOOKUP(Table8[[#This Row],[Country Code]],Table29[],8,FALSE)</f>
        <v>non-OECD</v>
      </c>
      <c r="AX2648" s="233" t="str">
        <f>VLOOKUP(Table8[[#This Row],[Country Code]],Table29[],9,FALSE)</f>
        <v>no</v>
      </c>
      <c r="AY2648" s="233" t="str">
        <f>VLOOKUP(Table8[[#This Row],[Country Code]],Table29[],10,FALSE)</f>
        <v>no</v>
      </c>
      <c r="AZ2648" s="235">
        <f>VLOOKUP(Table8[[#This Row],[Country Code]],Table29[],23,FALSE)</f>
        <v>12.885675050293001</v>
      </c>
      <c r="BA2648" s="235">
        <f>VLOOKUP(Table8[[#This Row],[Country Code]],Table29[],24,FALSE)</f>
        <v>2.1850282301150679</v>
      </c>
      <c r="BB2648" s="320"/>
      <c r="BC2648" s="320"/>
    </row>
    <row r="2649" spans="1:55" ht="15" hidden="1" customHeight="1" x14ac:dyDescent="0.25">
      <c r="A2649" s="373">
        <v>41743</v>
      </c>
      <c r="B2649" s="233" t="str">
        <f>VLOOKUP(Table8[[#This Row],[Document ID]],Table1[],2,FALSE)</f>
        <v>NAM</v>
      </c>
      <c r="C2649" s="233" t="str">
        <f>VLOOKUP(Table8[[#This Row],[Document ID]],Table1[],3,FALSE)</f>
        <v>Namibia</v>
      </c>
      <c r="D2649" s="243" t="str">
        <f>VLOOKUP(Table8[[#This Row],[Document ID]],Table1[],5,FALSE)</f>
        <v>NDC</v>
      </c>
      <c r="E2649" s="233" t="str">
        <f>VLOOKUP(Table8[[#This Row],[Document ID]],Table1[],7,FALSE)</f>
        <v>First NDC updated</v>
      </c>
      <c r="F2649" s="233" t="str">
        <f>VLOOKUP(Table8[[#This Row],[Document ID]],Table1[],8,FALSE)</f>
        <v>NDC 1.2</v>
      </c>
      <c r="G2649" s="233" t="str">
        <f>VLOOKUP(Table8[[#This Row],[Document ID]],Table1[],10,FALSE)</f>
        <v>Active</v>
      </c>
      <c r="H2649" s="43" t="s">
        <v>2358</v>
      </c>
      <c r="I2649" s="43" t="s">
        <v>2359</v>
      </c>
      <c r="J2649" s="44" t="s">
        <v>2360</v>
      </c>
      <c r="K2649" s="44" t="s">
        <v>4738</v>
      </c>
      <c r="L2649" s="44" t="s">
        <v>2333</v>
      </c>
      <c r="M2649" s="43">
        <v>26</v>
      </c>
      <c r="N2649" s="113"/>
      <c r="O2649" s="113"/>
      <c r="P2649" s="113"/>
      <c r="Q2649" s="113"/>
      <c r="R2649" s="113"/>
      <c r="S2649" s="113"/>
      <c r="T2649" s="113"/>
      <c r="U2649" s="113"/>
      <c r="V2649" s="113"/>
      <c r="W2649" s="113"/>
      <c r="X2649" s="113" t="s">
        <v>1113</v>
      </c>
      <c r="Y2649" s="113"/>
      <c r="Z2649" s="113"/>
      <c r="AA2649" s="113"/>
      <c r="AB2649" s="113"/>
      <c r="AC2649" s="113"/>
      <c r="AD2649" s="113"/>
      <c r="AE2649" s="113"/>
      <c r="AF2649" s="113"/>
      <c r="AG2649" s="113"/>
      <c r="AH2649" s="113"/>
      <c r="AI2649" s="113"/>
      <c r="AJ2649" s="113"/>
      <c r="AK2649" s="113" t="s">
        <v>1113</v>
      </c>
      <c r="AL2649" s="113"/>
      <c r="AM2649" s="113"/>
      <c r="AN2649" s="113"/>
      <c r="AO2649" s="44" t="s">
        <v>2334</v>
      </c>
      <c r="AP2649" s="43"/>
      <c r="AQ2649" s="236" t="str">
        <f>VLOOKUP(Table8[[#This Row],[Instrument]],Def_Targets!$D$73:$E$159,2,FALSE)</f>
        <v>I_Emobility</v>
      </c>
      <c r="AR2649" s="233" t="str">
        <f>VLOOKUP(Table8[[#This Row],[Country Code]],Table29[],3,FALSE)</f>
        <v>Non-Annex I</v>
      </c>
      <c r="AS2649" s="233" t="str">
        <f>VLOOKUP(Table8[[#This Row],[Country Code]],Table29[],4,FALSE)</f>
        <v>Africa</v>
      </c>
      <c r="AT2649" s="233" t="str">
        <f>VLOOKUP(Table8[[#This Row],[Country Code]],Table29[],5,FALSE)</f>
        <v>Middle-income</v>
      </c>
      <c r="AU2649" s="233" t="str">
        <f>VLOOKUP(Table8[[#This Row],[Country Code]],Table29[],6,FALSE)</f>
        <v>no</v>
      </c>
      <c r="AV2649" s="233" t="str">
        <f>VLOOKUP(Table8[[#This Row],[Country Code]],Table29[],7,FALSE)</f>
        <v>no</v>
      </c>
      <c r="AW2649" s="233" t="str">
        <f>VLOOKUP(Table8[[#This Row],[Country Code]],Table29[],8,FALSE)</f>
        <v>non-OECD</v>
      </c>
      <c r="AX2649" s="233" t="str">
        <f>VLOOKUP(Table8[[#This Row],[Country Code]],Table29[],9,FALSE)</f>
        <v>no</v>
      </c>
      <c r="AY2649" s="233" t="str">
        <f>VLOOKUP(Table8[[#This Row],[Country Code]],Table29[],10,FALSE)</f>
        <v>no</v>
      </c>
      <c r="AZ2649" s="235">
        <f>VLOOKUP(Table8[[#This Row],[Country Code]],Table29[],23,FALSE)</f>
        <v>12.885675050293001</v>
      </c>
      <c r="BA2649" s="235">
        <f>VLOOKUP(Table8[[#This Row],[Country Code]],Table29[],24,FALSE)</f>
        <v>2.1850282301150679</v>
      </c>
      <c r="BB2649" s="320"/>
      <c r="BC2649" s="320"/>
    </row>
    <row r="2650" spans="1:55" ht="15" hidden="1" customHeight="1" x14ac:dyDescent="0.25">
      <c r="A2650" s="373">
        <v>41743</v>
      </c>
      <c r="B2650" s="233" t="str">
        <f>VLOOKUP(Table8[[#This Row],[Document ID]],Table1[],2,FALSE)</f>
        <v>NAM</v>
      </c>
      <c r="C2650" s="233" t="str">
        <f>VLOOKUP(Table8[[#This Row],[Document ID]],Table1[],3,FALSE)</f>
        <v>Namibia</v>
      </c>
      <c r="D2650" s="243" t="str">
        <f>VLOOKUP(Table8[[#This Row],[Document ID]],Table1[],5,FALSE)</f>
        <v>NDC</v>
      </c>
      <c r="E2650" s="233" t="str">
        <f>VLOOKUP(Table8[[#This Row],[Document ID]],Table1[],7,FALSE)</f>
        <v>First NDC updated</v>
      </c>
      <c r="F2650" s="233" t="str">
        <f>VLOOKUP(Table8[[#This Row],[Document ID]],Table1[],8,FALSE)</f>
        <v>NDC 1.2</v>
      </c>
      <c r="G2650" s="233" t="str">
        <f>VLOOKUP(Table8[[#This Row],[Document ID]],Table1[],10,FALSE)</f>
        <v>Active</v>
      </c>
      <c r="H2650" s="44" t="s">
        <v>2329</v>
      </c>
      <c r="I2650" s="44" t="s">
        <v>2330</v>
      </c>
      <c r="J2650" s="44" t="s">
        <v>2391</v>
      </c>
      <c r="K2650" s="44" t="s">
        <v>4739</v>
      </c>
      <c r="L2650" s="44" t="s">
        <v>2333</v>
      </c>
      <c r="M2650" s="43">
        <v>26</v>
      </c>
      <c r="N2650" s="113"/>
      <c r="O2650" s="113"/>
      <c r="P2650" s="113"/>
      <c r="Q2650" s="113"/>
      <c r="R2650" s="113"/>
      <c r="S2650" s="113"/>
      <c r="T2650" s="113"/>
      <c r="U2650" s="113" t="s">
        <v>1113</v>
      </c>
      <c r="V2650" s="113"/>
      <c r="W2650" s="113"/>
      <c r="X2650" s="113"/>
      <c r="Y2650" s="113"/>
      <c r="Z2650" s="113"/>
      <c r="AA2650" s="113"/>
      <c r="AB2650" s="113"/>
      <c r="AC2650" s="113"/>
      <c r="AD2650" s="113"/>
      <c r="AE2650" s="113"/>
      <c r="AF2650" s="113"/>
      <c r="AG2650" s="113"/>
      <c r="AH2650" s="113"/>
      <c r="AI2650" s="113"/>
      <c r="AJ2650" s="113"/>
      <c r="AK2650" s="113" t="s">
        <v>1113</v>
      </c>
      <c r="AL2650" s="113"/>
      <c r="AM2650" s="113"/>
      <c r="AN2650" s="113"/>
      <c r="AO2650" s="44" t="s">
        <v>2334</v>
      </c>
      <c r="AP2650" s="43"/>
      <c r="AQ2650" s="236" t="str">
        <f>VLOOKUP(Table8[[#This Row],[Instrument]],Def_Targets!$D$73:$E$159,2,FALSE)</f>
        <v>I_Hydrogen</v>
      </c>
      <c r="AR2650" s="233" t="str">
        <f>VLOOKUP(Table8[[#This Row],[Country Code]],Table29[],3,FALSE)</f>
        <v>Non-Annex I</v>
      </c>
      <c r="AS2650" s="233" t="str">
        <f>VLOOKUP(Table8[[#This Row],[Country Code]],Table29[],4,FALSE)</f>
        <v>Africa</v>
      </c>
      <c r="AT2650" s="233" t="str">
        <f>VLOOKUP(Table8[[#This Row],[Country Code]],Table29[],5,FALSE)</f>
        <v>Middle-income</v>
      </c>
      <c r="AU2650" s="233" t="str">
        <f>VLOOKUP(Table8[[#This Row],[Country Code]],Table29[],6,FALSE)</f>
        <v>no</v>
      </c>
      <c r="AV2650" s="233" t="str">
        <f>VLOOKUP(Table8[[#This Row],[Country Code]],Table29[],7,FALSE)</f>
        <v>no</v>
      </c>
      <c r="AW2650" s="233" t="str">
        <f>VLOOKUP(Table8[[#This Row],[Country Code]],Table29[],8,FALSE)</f>
        <v>non-OECD</v>
      </c>
      <c r="AX2650" s="233" t="str">
        <f>VLOOKUP(Table8[[#This Row],[Country Code]],Table29[],9,FALSE)</f>
        <v>no</v>
      </c>
      <c r="AY2650" s="233" t="str">
        <f>VLOOKUP(Table8[[#This Row],[Country Code]],Table29[],10,FALSE)</f>
        <v>no</v>
      </c>
      <c r="AZ2650" s="235">
        <f>VLOOKUP(Table8[[#This Row],[Country Code]],Table29[],23,FALSE)</f>
        <v>12.885675050293001</v>
      </c>
      <c r="BA2650" s="235">
        <f>VLOOKUP(Table8[[#This Row],[Country Code]],Table29[],24,FALSE)</f>
        <v>2.1850282301150679</v>
      </c>
      <c r="BB2650" s="320"/>
      <c r="BC2650" s="320"/>
    </row>
    <row r="2651" spans="1:55" ht="15" hidden="1" customHeight="1" x14ac:dyDescent="0.25">
      <c r="A2651" s="373">
        <v>41743</v>
      </c>
      <c r="B2651" s="233" t="str">
        <f>VLOOKUP(Table8[[#This Row],[Document ID]],Table1[],2,FALSE)</f>
        <v>NAM</v>
      </c>
      <c r="C2651" s="233" t="str">
        <f>VLOOKUP(Table8[[#This Row],[Document ID]],Table1[],3,FALSE)</f>
        <v>Namibia</v>
      </c>
      <c r="D2651" s="243" t="str">
        <f>VLOOKUP(Table8[[#This Row],[Document ID]],Table1[],5,FALSE)</f>
        <v>NDC</v>
      </c>
      <c r="E2651" s="233" t="str">
        <f>VLOOKUP(Table8[[#This Row],[Document ID]],Table1[],7,FALSE)</f>
        <v>First NDC updated</v>
      </c>
      <c r="F2651" s="233" t="str">
        <f>VLOOKUP(Table8[[#This Row],[Document ID]],Table1[],8,FALSE)</f>
        <v>NDC 1.2</v>
      </c>
      <c r="G2651" s="233" t="str">
        <f>VLOOKUP(Table8[[#This Row],[Document ID]],Table1[],10,FALSE)</f>
        <v>Active</v>
      </c>
      <c r="H2651" s="44" t="s">
        <v>2329</v>
      </c>
      <c r="I2651" s="44" t="s">
        <v>2330</v>
      </c>
      <c r="J2651" s="44" t="s">
        <v>2391</v>
      </c>
      <c r="K2651" s="44" t="s">
        <v>4740</v>
      </c>
      <c r="L2651" s="44" t="s">
        <v>2333</v>
      </c>
      <c r="M2651" s="43">
        <v>26</v>
      </c>
      <c r="N2651" s="113"/>
      <c r="O2651" s="113"/>
      <c r="P2651" s="113"/>
      <c r="Q2651" s="113"/>
      <c r="R2651" s="113"/>
      <c r="S2651" s="113"/>
      <c r="T2651" s="113"/>
      <c r="U2651" s="113"/>
      <c r="V2651" s="113"/>
      <c r="W2651" s="113"/>
      <c r="X2651" s="113" t="s">
        <v>1113</v>
      </c>
      <c r="Y2651" s="113"/>
      <c r="Z2651" s="113"/>
      <c r="AA2651" s="113"/>
      <c r="AB2651" s="113"/>
      <c r="AC2651" s="113"/>
      <c r="AD2651" s="113"/>
      <c r="AE2651" s="113"/>
      <c r="AF2651" s="113"/>
      <c r="AG2651" s="113"/>
      <c r="AH2651" s="113"/>
      <c r="AI2651" s="113"/>
      <c r="AJ2651" s="113"/>
      <c r="AK2651" s="113" t="s">
        <v>1113</v>
      </c>
      <c r="AL2651" s="113"/>
      <c r="AM2651" s="113"/>
      <c r="AN2651" s="113"/>
      <c r="AO2651" s="44" t="s">
        <v>2334</v>
      </c>
      <c r="AP2651" s="43"/>
      <c r="AQ2651" s="236" t="str">
        <f>VLOOKUP(Table8[[#This Row],[Instrument]],Def_Targets!$D$73:$E$159,2,FALSE)</f>
        <v>I_Hydrogen</v>
      </c>
      <c r="AR2651" s="233" t="str">
        <f>VLOOKUP(Table8[[#This Row],[Country Code]],Table29[],3,FALSE)</f>
        <v>Non-Annex I</v>
      </c>
      <c r="AS2651" s="233" t="str">
        <f>VLOOKUP(Table8[[#This Row],[Country Code]],Table29[],4,FALSE)</f>
        <v>Africa</v>
      </c>
      <c r="AT2651" s="233" t="str">
        <f>VLOOKUP(Table8[[#This Row],[Country Code]],Table29[],5,FALSE)</f>
        <v>Middle-income</v>
      </c>
      <c r="AU2651" s="233" t="str">
        <f>VLOOKUP(Table8[[#This Row],[Country Code]],Table29[],6,FALSE)</f>
        <v>no</v>
      </c>
      <c r="AV2651" s="233" t="str">
        <f>VLOOKUP(Table8[[#This Row],[Country Code]],Table29[],7,FALSE)</f>
        <v>no</v>
      </c>
      <c r="AW2651" s="233" t="str">
        <f>VLOOKUP(Table8[[#This Row],[Country Code]],Table29[],8,FALSE)</f>
        <v>non-OECD</v>
      </c>
      <c r="AX2651" s="233" t="str">
        <f>VLOOKUP(Table8[[#This Row],[Country Code]],Table29[],9,FALSE)</f>
        <v>no</v>
      </c>
      <c r="AY2651" s="233" t="str">
        <f>VLOOKUP(Table8[[#This Row],[Country Code]],Table29[],10,FALSE)</f>
        <v>no</v>
      </c>
      <c r="AZ2651" s="235">
        <f>VLOOKUP(Table8[[#This Row],[Country Code]],Table29[],23,FALSE)</f>
        <v>12.885675050293001</v>
      </c>
      <c r="BA2651" s="235">
        <f>VLOOKUP(Table8[[#This Row],[Country Code]],Table29[],24,FALSE)</f>
        <v>2.1850282301150679</v>
      </c>
      <c r="BB2651" s="320"/>
      <c r="BC2651" s="320"/>
    </row>
    <row r="2652" spans="1:55" ht="15" hidden="1" customHeight="1" x14ac:dyDescent="0.25">
      <c r="A2652" s="373">
        <v>41743</v>
      </c>
      <c r="B2652" s="233" t="str">
        <f>VLOOKUP(Table8[[#This Row],[Document ID]],Table1[],2,FALSE)</f>
        <v>NAM</v>
      </c>
      <c r="C2652" s="233" t="str">
        <f>VLOOKUP(Table8[[#This Row],[Document ID]],Table1[],3,FALSE)</f>
        <v>Namibia</v>
      </c>
      <c r="D2652" s="243" t="str">
        <f>VLOOKUP(Table8[[#This Row],[Document ID]],Table1[],5,FALSE)</f>
        <v>NDC</v>
      </c>
      <c r="E2652" s="233" t="str">
        <f>VLOOKUP(Table8[[#This Row],[Document ID]],Table1[],7,FALSE)</f>
        <v>First NDC updated</v>
      </c>
      <c r="F2652" s="233" t="str">
        <f>VLOOKUP(Table8[[#This Row],[Document ID]],Table1[],8,FALSE)</f>
        <v>NDC 1.2</v>
      </c>
      <c r="G2652" s="233" t="str">
        <f>VLOOKUP(Table8[[#This Row],[Document ID]],Table1[],10,FALSE)</f>
        <v>Active</v>
      </c>
      <c r="H2652" s="44" t="s">
        <v>2329</v>
      </c>
      <c r="I2652" s="44" t="s">
        <v>2330</v>
      </c>
      <c r="J2652" s="44" t="s">
        <v>2391</v>
      </c>
      <c r="K2652" s="44" t="s">
        <v>4741</v>
      </c>
      <c r="L2652" s="44" t="s">
        <v>2333</v>
      </c>
      <c r="M2652" s="43">
        <v>26</v>
      </c>
      <c r="N2652" s="113"/>
      <c r="O2652" s="113"/>
      <c r="P2652" s="113"/>
      <c r="Q2652" s="113"/>
      <c r="R2652" s="113"/>
      <c r="S2652" s="113"/>
      <c r="T2652" s="113"/>
      <c r="U2652" s="113"/>
      <c r="V2652" s="113"/>
      <c r="W2652" s="113"/>
      <c r="X2652" s="113"/>
      <c r="Y2652" s="113"/>
      <c r="Z2652" s="113" t="s">
        <v>1113</v>
      </c>
      <c r="AA2652" s="113"/>
      <c r="AB2652" s="113"/>
      <c r="AC2652" s="113"/>
      <c r="AD2652" s="113"/>
      <c r="AE2652" s="113"/>
      <c r="AF2652" s="113"/>
      <c r="AG2652" s="113"/>
      <c r="AH2652" s="113"/>
      <c r="AI2652" s="113"/>
      <c r="AJ2652" s="113"/>
      <c r="AK2652" s="113" t="s">
        <v>1113</v>
      </c>
      <c r="AL2652" s="113"/>
      <c r="AM2652" s="113"/>
      <c r="AN2652" s="113"/>
      <c r="AO2652" s="44" t="s">
        <v>2334</v>
      </c>
      <c r="AP2652" s="43"/>
      <c r="AQ2652" s="236" t="str">
        <f>VLOOKUP(Table8[[#This Row],[Instrument]],Def_Targets!$D$73:$E$159,2,FALSE)</f>
        <v>I_Hydrogen</v>
      </c>
      <c r="AR2652" s="233" t="str">
        <f>VLOOKUP(Table8[[#This Row],[Country Code]],Table29[],3,FALSE)</f>
        <v>Non-Annex I</v>
      </c>
      <c r="AS2652" s="233" t="str">
        <f>VLOOKUP(Table8[[#This Row],[Country Code]],Table29[],4,FALSE)</f>
        <v>Africa</v>
      </c>
      <c r="AT2652" s="233" t="str">
        <f>VLOOKUP(Table8[[#This Row],[Country Code]],Table29[],5,FALSE)</f>
        <v>Middle-income</v>
      </c>
      <c r="AU2652" s="233" t="str">
        <f>VLOOKUP(Table8[[#This Row],[Country Code]],Table29[],6,FALSE)</f>
        <v>no</v>
      </c>
      <c r="AV2652" s="233" t="str">
        <f>VLOOKUP(Table8[[#This Row],[Country Code]],Table29[],7,FALSE)</f>
        <v>no</v>
      </c>
      <c r="AW2652" s="233" t="str">
        <f>VLOOKUP(Table8[[#This Row],[Country Code]],Table29[],8,FALSE)</f>
        <v>non-OECD</v>
      </c>
      <c r="AX2652" s="233" t="str">
        <f>VLOOKUP(Table8[[#This Row],[Country Code]],Table29[],9,FALSE)</f>
        <v>no</v>
      </c>
      <c r="AY2652" s="233" t="str">
        <f>VLOOKUP(Table8[[#This Row],[Country Code]],Table29[],10,FALSE)</f>
        <v>no</v>
      </c>
      <c r="AZ2652" s="235">
        <f>VLOOKUP(Table8[[#This Row],[Country Code]],Table29[],23,FALSE)</f>
        <v>12.885675050293001</v>
      </c>
      <c r="BA2652" s="235">
        <f>VLOOKUP(Table8[[#This Row],[Country Code]],Table29[],24,FALSE)</f>
        <v>2.1850282301150679</v>
      </c>
      <c r="BB2652" s="320"/>
      <c r="BC2652" s="320"/>
    </row>
    <row r="2653" spans="1:55" ht="15" hidden="1" customHeight="1" x14ac:dyDescent="0.25">
      <c r="A2653" s="373">
        <v>41743</v>
      </c>
      <c r="B2653" s="233" t="str">
        <f>VLOOKUP(Table8[[#This Row],[Document ID]],Table1[],2,FALSE)</f>
        <v>NAM</v>
      </c>
      <c r="C2653" s="233" t="str">
        <f>VLOOKUP(Table8[[#This Row],[Document ID]],Table1[],3,FALSE)</f>
        <v>Namibia</v>
      </c>
      <c r="D2653" s="243" t="str">
        <f>VLOOKUP(Table8[[#This Row],[Document ID]],Table1[],5,FALSE)</f>
        <v>NDC</v>
      </c>
      <c r="E2653" s="233" t="str">
        <f>VLOOKUP(Table8[[#This Row],[Document ID]],Table1[],7,FALSE)</f>
        <v>First NDC updated</v>
      </c>
      <c r="F2653" s="233" t="str">
        <f>VLOOKUP(Table8[[#This Row],[Document ID]],Table1[],8,FALSE)</f>
        <v>NDC 1.2</v>
      </c>
      <c r="G2653" s="233" t="str">
        <f>VLOOKUP(Table8[[#This Row],[Document ID]],Table1[],10,FALSE)</f>
        <v>Active</v>
      </c>
      <c r="H2653" s="44" t="s">
        <v>2329</v>
      </c>
      <c r="I2653" s="44" t="s">
        <v>2330</v>
      </c>
      <c r="J2653" s="44" t="s">
        <v>2381</v>
      </c>
      <c r="K2653" s="44" t="s">
        <v>4742</v>
      </c>
      <c r="L2653" s="44" t="s">
        <v>2333</v>
      </c>
      <c r="M2653" s="43">
        <v>27</v>
      </c>
      <c r="N2653" s="113" t="s">
        <v>1113</v>
      </c>
      <c r="O2653" s="113"/>
      <c r="P2653" s="113"/>
      <c r="Q2653" s="113"/>
      <c r="R2653" s="113"/>
      <c r="S2653" s="113"/>
      <c r="T2653" s="113"/>
      <c r="U2653" s="113"/>
      <c r="V2653" s="113"/>
      <c r="W2653" s="113"/>
      <c r="X2653" s="113"/>
      <c r="Y2653" s="113"/>
      <c r="Z2653" s="113"/>
      <c r="AA2653" s="113"/>
      <c r="AB2653" s="113"/>
      <c r="AC2653" s="113"/>
      <c r="AD2653" s="113"/>
      <c r="AE2653" s="113"/>
      <c r="AF2653" s="113"/>
      <c r="AG2653" s="113"/>
      <c r="AH2653" s="113"/>
      <c r="AI2653" s="113"/>
      <c r="AJ2653" s="113"/>
      <c r="AK2653" s="113" t="s">
        <v>1113</v>
      </c>
      <c r="AL2653" s="113"/>
      <c r="AM2653" s="113"/>
      <c r="AN2653" s="113"/>
      <c r="AO2653" s="44" t="s">
        <v>2334</v>
      </c>
      <c r="AP2653" s="43"/>
      <c r="AQ2653" s="236" t="str">
        <f>VLOOKUP(Table8[[#This Row],[Instrument]],Def_Targets!$D$73:$E$159,2,FALSE)</f>
        <v>I_RE</v>
      </c>
      <c r="AR2653" s="233" t="str">
        <f>VLOOKUP(Table8[[#This Row],[Country Code]],Table29[],3,FALSE)</f>
        <v>Non-Annex I</v>
      </c>
      <c r="AS2653" s="233" t="str">
        <f>VLOOKUP(Table8[[#This Row],[Country Code]],Table29[],4,FALSE)</f>
        <v>Africa</v>
      </c>
      <c r="AT2653" s="233" t="str">
        <f>VLOOKUP(Table8[[#This Row],[Country Code]],Table29[],5,FALSE)</f>
        <v>Middle-income</v>
      </c>
      <c r="AU2653" s="233" t="str">
        <f>VLOOKUP(Table8[[#This Row],[Country Code]],Table29[],6,FALSE)</f>
        <v>no</v>
      </c>
      <c r="AV2653" s="233" t="str">
        <f>VLOOKUP(Table8[[#This Row],[Country Code]],Table29[],7,FALSE)</f>
        <v>no</v>
      </c>
      <c r="AW2653" s="233" t="str">
        <f>VLOOKUP(Table8[[#This Row],[Country Code]],Table29[],8,FALSE)</f>
        <v>non-OECD</v>
      </c>
      <c r="AX2653" s="233" t="str">
        <f>VLOOKUP(Table8[[#This Row],[Country Code]],Table29[],9,FALSE)</f>
        <v>no</v>
      </c>
      <c r="AY2653" s="233" t="str">
        <f>VLOOKUP(Table8[[#This Row],[Country Code]],Table29[],10,FALSE)</f>
        <v>no</v>
      </c>
      <c r="AZ2653" s="235">
        <f>VLOOKUP(Table8[[#This Row],[Country Code]],Table29[],23,FALSE)</f>
        <v>12.885675050293001</v>
      </c>
      <c r="BA2653" s="235">
        <f>VLOOKUP(Table8[[#This Row],[Country Code]],Table29[],24,FALSE)</f>
        <v>2.1850282301150679</v>
      </c>
      <c r="BB2653" s="320"/>
      <c r="BC2653" s="320"/>
    </row>
    <row r="2654" spans="1:55" ht="15" hidden="1" customHeight="1" x14ac:dyDescent="0.25">
      <c r="A2654" s="373">
        <v>41743</v>
      </c>
      <c r="B2654" s="233" t="str">
        <f>VLOOKUP(Table8[[#This Row],[Document ID]],Table1[],2,FALSE)</f>
        <v>NAM</v>
      </c>
      <c r="C2654" s="233" t="str">
        <f>VLOOKUP(Table8[[#This Row],[Document ID]],Table1[],3,FALSE)</f>
        <v>Namibia</v>
      </c>
      <c r="D2654" s="243" t="str">
        <f>VLOOKUP(Table8[[#This Row],[Document ID]],Table1[],5,FALSE)</f>
        <v>NDC</v>
      </c>
      <c r="E2654" s="233" t="str">
        <f>VLOOKUP(Table8[[#This Row],[Document ID]],Table1[],7,FALSE)</f>
        <v>First NDC updated</v>
      </c>
      <c r="F2654" s="233" t="str">
        <f>VLOOKUP(Table8[[#This Row],[Document ID]],Table1[],8,FALSE)</f>
        <v>NDC 1.2</v>
      </c>
      <c r="G2654" s="233" t="str">
        <f>VLOOKUP(Table8[[#This Row],[Document ID]],Table1[],10,FALSE)</f>
        <v>Active</v>
      </c>
      <c r="H2654" s="44" t="s">
        <v>2329</v>
      </c>
      <c r="I2654" s="44" t="s">
        <v>2330</v>
      </c>
      <c r="J2654" s="44" t="s">
        <v>2391</v>
      </c>
      <c r="K2654" s="44" t="s">
        <v>4743</v>
      </c>
      <c r="L2654" s="44" t="s">
        <v>2333</v>
      </c>
      <c r="M2654" s="43">
        <v>27</v>
      </c>
      <c r="N2654" s="113"/>
      <c r="O2654" s="113"/>
      <c r="P2654" s="113"/>
      <c r="Q2654" s="113"/>
      <c r="R2654" s="113"/>
      <c r="S2654" s="113"/>
      <c r="T2654" s="113"/>
      <c r="U2654" s="113"/>
      <c r="V2654" s="113"/>
      <c r="W2654" s="113"/>
      <c r="X2654" s="113"/>
      <c r="Y2654" s="113"/>
      <c r="Z2654" s="113"/>
      <c r="AA2654" s="113"/>
      <c r="AB2654" s="113"/>
      <c r="AC2654" s="113"/>
      <c r="AD2654" s="113" t="s">
        <v>1113</v>
      </c>
      <c r="AE2654" s="113"/>
      <c r="AF2654" s="113"/>
      <c r="AG2654" s="113"/>
      <c r="AH2654" s="113"/>
      <c r="AI2654" s="113"/>
      <c r="AJ2654" s="113"/>
      <c r="AK2654" s="113" t="s">
        <v>1113</v>
      </c>
      <c r="AL2654" s="113"/>
      <c r="AM2654" s="113"/>
      <c r="AN2654" s="113"/>
      <c r="AO2654" s="44" t="s">
        <v>2334</v>
      </c>
      <c r="AP2654" s="43"/>
      <c r="AQ2654" s="236" t="str">
        <f>VLOOKUP(Table8[[#This Row],[Instrument]],Def_Targets!$D$73:$E$159,2,FALSE)</f>
        <v>I_Hydrogen</v>
      </c>
      <c r="AR2654" s="233" t="str">
        <f>VLOOKUP(Table8[[#This Row],[Country Code]],Table29[],3,FALSE)</f>
        <v>Non-Annex I</v>
      </c>
      <c r="AS2654" s="233" t="str">
        <f>VLOOKUP(Table8[[#This Row],[Country Code]],Table29[],4,FALSE)</f>
        <v>Africa</v>
      </c>
      <c r="AT2654" s="233" t="str">
        <f>VLOOKUP(Table8[[#This Row],[Country Code]],Table29[],5,FALSE)</f>
        <v>Middle-income</v>
      </c>
      <c r="AU2654" s="233" t="str">
        <f>VLOOKUP(Table8[[#This Row],[Country Code]],Table29[],6,FALSE)</f>
        <v>no</v>
      </c>
      <c r="AV2654" s="233" t="str">
        <f>VLOOKUP(Table8[[#This Row],[Country Code]],Table29[],7,FALSE)</f>
        <v>no</v>
      </c>
      <c r="AW2654" s="233" t="str">
        <f>VLOOKUP(Table8[[#This Row],[Country Code]],Table29[],8,FALSE)</f>
        <v>non-OECD</v>
      </c>
      <c r="AX2654" s="233" t="str">
        <f>VLOOKUP(Table8[[#This Row],[Country Code]],Table29[],9,FALSE)</f>
        <v>no</v>
      </c>
      <c r="AY2654" s="233" t="str">
        <f>VLOOKUP(Table8[[#This Row],[Country Code]],Table29[],10,FALSE)</f>
        <v>no</v>
      </c>
      <c r="AZ2654" s="235">
        <f>VLOOKUP(Table8[[#This Row],[Country Code]],Table29[],23,FALSE)</f>
        <v>12.885675050293001</v>
      </c>
      <c r="BA2654" s="235">
        <f>VLOOKUP(Table8[[#This Row],[Country Code]],Table29[],24,FALSE)</f>
        <v>2.1850282301150679</v>
      </c>
      <c r="BB2654" s="320"/>
      <c r="BC2654" s="320"/>
    </row>
    <row r="2655" spans="1:55" ht="15" hidden="1" customHeight="1" x14ac:dyDescent="0.25">
      <c r="A2655" s="373">
        <v>41743</v>
      </c>
      <c r="B2655" s="233" t="str">
        <f>VLOOKUP(Table8[[#This Row],[Document ID]],Table1[],2,FALSE)</f>
        <v>NAM</v>
      </c>
      <c r="C2655" s="233" t="str">
        <f>VLOOKUP(Table8[[#This Row],[Document ID]],Table1[],3,FALSE)</f>
        <v>Namibia</v>
      </c>
      <c r="D2655" s="243" t="str">
        <f>VLOOKUP(Table8[[#This Row],[Document ID]],Table1[],5,FALSE)</f>
        <v>NDC</v>
      </c>
      <c r="E2655" s="233" t="str">
        <f>VLOOKUP(Table8[[#This Row],[Document ID]],Table1[],7,FALSE)</f>
        <v>First NDC updated</v>
      </c>
      <c r="F2655" s="233" t="str">
        <f>VLOOKUP(Table8[[#This Row],[Document ID]],Table1[],8,FALSE)</f>
        <v>NDC 1.2</v>
      </c>
      <c r="G2655" s="233" t="str">
        <f>VLOOKUP(Table8[[#This Row],[Document ID]],Table1[],10,FALSE)</f>
        <v>Active</v>
      </c>
      <c r="H2655" s="43" t="s">
        <v>2343</v>
      </c>
      <c r="I2655" s="43" t="s">
        <v>2386</v>
      </c>
      <c r="J2655" s="44" t="s">
        <v>2530</v>
      </c>
      <c r="K2655" s="44" t="s">
        <v>4744</v>
      </c>
      <c r="L2655" s="44" t="s">
        <v>2380</v>
      </c>
      <c r="M2655" s="43">
        <v>25</v>
      </c>
      <c r="N2655" s="113"/>
      <c r="O2655" s="113"/>
      <c r="P2655" s="113"/>
      <c r="Q2655" s="113"/>
      <c r="R2655" s="113"/>
      <c r="S2655" s="113" t="s">
        <v>1113</v>
      </c>
      <c r="T2655" s="113"/>
      <c r="U2655" s="113"/>
      <c r="V2655" s="113"/>
      <c r="W2655" s="113"/>
      <c r="X2655" s="113"/>
      <c r="Y2655" s="113"/>
      <c r="Z2655" s="113"/>
      <c r="AA2655" s="113"/>
      <c r="AB2655" s="113"/>
      <c r="AC2655" s="113"/>
      <c r="AD2655" s="113"/>
      <c r="AE2655" s="113"/>
      <c r="AF2655" s="113"/>
      <c r="AG2655" s="113"/>
      <c r="AH2655" s="113"/>
      <c r="AI2655" s="113"/>
      <c r="AJ2655" s="113"/>
      <c r="AK2655" s="113" t="s">
        <v>1113</v>
      </c>
      <c r="AL2655" s="113"/>
      <c r="AM2655" s="113"/>
      <c r="AN2655" s="113"/>
      <c r="AO2655" s="44" t="s">
        <v>2334</v>
      </c>
      <c r="AP2655" s="43"/>
      <c r="AQ2655" s="236" t="str">
        <f>VLOOKUP(Table8[[#This Row],[Instrument]],Def_Targets!$D$73:$E$159,2,FALSE)</f>
        <v>A_Vehicletax</v>
      </c>
      <c r="AR2655" s="233" t="str">
        <f>VLOOKUP(Table8[[#This Row],[Country Code]],Table29[],3,FALSE)</f>
        <v>Non-Annex I</v>
      </c>
      <c r="AS2655" s="233" t="str">
        <f>VLOOKUP(Table8[[#This Row],[Country Code]],Table29[],4,FALSE)</f>
        <v>Africa</v>
      </c>
      <c r="AT2655" s="233" t="str">
        <f>VLOOKUP(Table8[[#This Row],[Country Code]],Table29[],5,FALSE)</f>
        <v>Middle-income</v>
      </c>
      <c r="AU2655" s="233" t="str">
        <f>VLOOKUP(Table8[[#This Row],[Country Code]],Table29[],6,FALSE)</f>
        <v>no</v>
      </c>
      <c r="AV2655" s="233" t="str">
        <f>VLOOKUP(Table8[[#This Row],[Country Code]],Table29[],7,FALSE)</f>
        <v>no</v>
      </c>
      <c r="AW2655" s="233" t="str">
        <f>VLOOKUP(Table8[[#This Row],[Country Code]],Table29[],8,FALSE)</f>
        <v>non-OECD</v>
      </c>
      <c r="AX2655" s="233" t="str">
        <f>VLOOKUP(Table8[[#This Row],[Country Code]],Table29[],9,FALSE)</f>
        <v>no</v>
      </c>
      <c r="AY2655" s="233" t="str">
        <f>VLOOKUP(Table8[[#This Row],[Country Code]],Table29[],10,FALSE)</f>
        <v>no</v>
      </c>
      <c r="AZ2655" s="235">
        <f>VLOOKUP(Table8[[#This Row],[Country Code]],Table29[],23,FALSE)</f>
        <v>12.885675050293001</v>
      </c>
      <c r="BA2655" s="235">
        <f>VLOOKUP(Table8[[#This Row],[Country Code]],Table29[],24,FALSE)</f>
        <v>2.1850282301150679</v>
      </c>
      <c r="BB2655" s="320"/>
      <c r="BC2655" s="320"/>
    </row>
    <row r="2656" spans="1:55" ht="15" hidden="1" customHeight="1" x14ac:dyDescent="0.25">
      <c r="A2656" s="373">
        <v>41741</v>
      </c>
      <c r="B2656" s="233" t="str">
        <f>VLOOKUP(Table8[[#This Row],[Document ID]],Table1[],2,FALSE)</f>
        <v>ARE</v>
      </c>
      <c r="C2656" s="233" t="str">
        <f>VLOOKUP(Table8[[#This Row],[Document ID]],Table1[],3,FALSE)</f>
        <v>United Arab Emirates</v>
      </c>
      <c r="D2656" s="243" t="str">
        <f>VLOOKUP(Table8[[#This Row],[Document ID]],Table1[],5,FALSE)</f>
        <v>LTS</v>
      </c>
      <c r="E2656" s="233" t="str">
        <f>VLOOKUP(Table8[[#This Row],[Document ID]],Table1[],7,FALSE)</f>
        <v>LTS</v>
      </c>
      <c r="F2656" s="233" t="str">
        <f>VLOOKUP(Table8[[#This Row],[Document ID]],Table1[],8,FALSE)</f>
        <v>LTS 1.0</v>
      </c>
      <c r="G2656" s="233" t="str">
        <f>VLOOKUP(Table8[[#This Row],[Document ID]],Table1[],10,FALSE)</f>
        <v>Active</v>
      </c>
      <c r="H2656" s="43" t="s">
        <v>2358</v>
      </c>
      <c r="I2656" s="43" t="s">
        <v>2359</v>
      </c>
      <c r="J2656" s="44" t="s">
        <v>2383</v>
      </c>
      <c r="K2656" s="44" t="s">
        <v>4745</v>
      </c>
      <c r="L2656" s="44" t="s">
        <v>2333</v>
      </c>
      <c r="M2656" s="43">
        <v>73</v>
      </c>
      <c r="N2656" s="113"/>
      <c r="O2656" s="113"/>
      <c r="P2656" s="113"/>
      <c r="Q2656" s="113"/>
      <c r="R2656" s="113"/>
      <c r="S2656" s="113" t="s">
        <v>1113</v>
      </c>
      <c r="T2656" s="113"/>
      <c r="U2656" s="113"/>
      <c r="V2656" s="113"/>
      <c r="W2656" s="113"/>
      <c r="X2656" s="113"/>
      <c r="Y2656" s="113"/>
      <c r="Z2656" s="113"/>
      <c r="AA2656" s="113"/>
      <c r="AB2656" s="113"/>
      <c r="AC2656" s="113"/>
      <c r="AD2656" s="113"/>
      <c r="AE2656" s="113"/>
      <c r="AF2656" s="113"/>
      <c r="AG2656" s="113"/>
      <c r="AH2656" s="113"/>
      <c r="AI2656" s="113"/>
      <c r="AJ2656" s="113"/>
      <c r="AK2656" s="113" t="s">
        <v>1113</v>
      </c>
      <c r="AL2656" s="113"/>
      <c r="AM2656" s="113"/>
      <c r="AN2656" s="113"/>
      <c r="AO2656" s="44" t="s">
        <v>2334</v>
      </c>
      <c r="AP2656" s="43"/>
      <c r="AQ2656" s="236" t="str">
        <f>VLOOKUP(Table8[[#This Row],[Instrument]],Def_Targets!$D$73:$E$159,2,FALSE)</f>
        <v>I_Emobilitycharging</v>
      </c>
      <c r="AR2656" s="233" t="str">
        <f>VLOOKUP(Table8[[#This Row],[Country Code]],Table29[],3,FALSE)</f>
        <v>Non-Annex I</v>
      </c>
      <c r="AS2656" s="233" t="str">
        <f>VLOOKUP(Table8[[#This Row],[Country Code]],Table29[],4,FALSE)</f>
        <v>Asia</v>
      </c>
      <c r="AT2656" s="233" t="str">
        <f>VLOOKUP(Table8[[#This Row],[Country Code]],Table29[],5,FALSE)</f>
        <v>High-income</v>
      </c>
      <c r="AU2656" s="233" t="str">
        <f>VLOOKUP(Table8[[#This Row],[Country Code]],Table29[],6,FALSE)</f>
        <v>no</v>
      </c>
      <c r="AV2656" s="233" t="str">
        <f>VLOOKUP(Table8[[#This Row],[Country Code]],Table29[],7,FALSE)</f>
        <v>no</v>
      </c>
      <c r="AW2656" s="233" t="str">
        <f>VLOOKUP(Table8[[#This Row],[Country Code]],Table29[],8,FALSE)</f>
        <v>non-OECD</v>
      </c>
      <c r="AX2656" s="233" t="str">
        <f>VLOOKUP(Table8[[#This Row],[Country Code]],Table29[],9,FALSE)</f>
        <v>no</v>
      </c>
      <c r="AY2656" s="233" t="str">
        <f>VLOOKUP(Table8[[#This Row],[Country Code]],Table29[],10,FALSE)</f>
        <v>MENA</v>
      </c>
      <c r="AZ2656" s="235">
        <f>VLOOKUP(Table8[[#This Row],[Country Code]],Table29[],23,FALSE)</f>
        <v>267.82319378585998</v>
      </c>
      <c r="BA2656" s="235">
        <f>VLOOKUP(Table8[[#This Row],[Country Code]],Table29[],24,FALSE)</f>
        <v>43.860911308351241</v>
      </c>
      <c r="BB2656" s="320"/>
      <c r="BC2656" s="320"/>
    </row>
    <row r="2657" spans="1:55" ht="15" hidden="1" customHeight="1" x14ac:dyDescent="0.25">
      <c r="A2657" s="373">
        <v>41741</v>
      </c>
      <c r="B2657" s="233" t="str">
        <f>VLOOKUP(Table8[[#This Row],[Document ID]],Table1[],2,FALSE)</f>
        <v>ARE</v>
      </c>
      <c r="C2657" s="233" t="str">
        <f>VLOOKUP(Table8[[#This Row],[Document ID]],Table1[],3,FALSE)</f>
        <v>United Arab Emirates</v>
      </c>
      <c r="D2657" s="243" t="str">
        <f>VLOOKUP(Table8[[#This Row],[Document ID]],Table1[],5,FALSE)</f>
        <v>LTS</v>
      </c>
      <c r="E2657" s="233" t="str">
        <f>VLOOKUP(Table8[[#This Row],[Document ID]],Table1[],7,FALSE)</f>
        <v>LTS</v>
      </c>
      <c r="F2657" s="233" t="str">
        <f>VLOOKUP(Table8[[#This Row],[Document ID]],Table1[],8,FALSE)</f>
        <v>LTS 1.0</v>
      </c>
      <c r="G2657" s="233" t="str">
        <f>VLOOKUP(Table8[[#This Row],[Document ID]],Table1[],10,FALSE)</f>
        <v>Active</v>
      </c>
      <c r="H2657" s="43" t="s">
        <v>2358</v>
      </c>
      <c r="I2657" s="43" t="s">
        <v>2359</v>
      </c>
      <c r="J2657" s="44" t="s">
        <v>2360</v>
      </c>
      <c r="K2657" s="44" t="s">
        <v>4746</v>
      </c>
      <c r="L2657" s="44" t="s">
        <v>2333</v>
      </c>
      <c r="M2657" s="43">
        <v>73</v>
      </c>
      <c r="N2657" s="113"/>
      <c r="O2657" s="113"/>
      <c r="P2657" s="113"/>
      <c r="Q2657" s="113"/>
      <c r="R2657" s="113"/>
      <c r="S2657" s="113"/>
      <c r="T2657" s="113"/>
      <c r="U2657" s="113"/>
      <c r="V2657" s="113"/>
      <c r="W2657" s="113"/>
      <c r="X2657" s="113" t="s">
        <v>1113</v>
      </c>
      <c r="Y2657" s="113"/>
      <c r="Z2657" s="113"/>
      <c r="AA2657" s="113"/>
      <c r="AB2657" s="113"/>
      <c r="AC2657" s="113"/>
      <c r="AD2657" s="113"/>
      <c r="AE2657" s="113"/>
      <c r="AF2657" s="113"/>
      <c r="AG2657" s="113"/>
      <c r="AH2657" s="113"/>
      <c r="AI2657" s="113"/>
      <c r="AJ2657" s="113"/>
      <c r="AK2657" s="113" t="s">
        <v>1113</v>
      </c>
      <c r="AL2657" s="113"/>
      <c r="AM2657" s="113"/>
      <c r="AN2657" s="113"/>
      <c r="AO2657" s="43" t="s">
        <v>2353</v>
      </c>
      <c r="AP2657" s="43"/>
      <c r="AQ2657" s="236" t="str">
        <f>VLOOKUP(Table8[[#This Row],[Instrument]],Def_Targets!$D$73:$E$159,2,FALSE)</f>
        <v>I_Emobility</v>
      </c>
      <c r="AR2657" s="233" t="str">
        <f>VLOOKUP(Table8[[#This Row],[Country Code]],Table29[],3,FALSE)</f>
        <v>Non-Annex I</v>
      </c>
      <c r="AS2657" s="233" t="str">
        <f>VLOOKUP(Table8[[#This Row],[Country Code]],Table29[],4,FALSE)</f>
        <v>Asia</v>
      </c>
      <c r="AT2657" s="233" t="str">
        <f>VLOOKUP(Table8[[#This Row],[Country Code]],Table29[],5,FALSE)</f>
        <v>High-income</v>
      </c>
      <c r="AU2657" s="233" t="str">
        <f>VLOOKUP(Table8[[#This Row],[Country Code]],Table29[],6,FALSE)</f>
        <v>no</v>
      </c>
      <c r="AV2657" s="233" t="str">
        <f>VLOOKUP(Table8[[#This Row],[Country Code]],Table29[],7,FALSE)</f>
        <v>no</v>
      </c>
      <c r="AW2657" s="233" t="str">
        <f>VLOOKUP(Table8[[#This Row],[Country Code]],Table29[],8,FALSE)</f>
        <v>non-OECD</v>
      </c>
      <c r="AX2657" s="233" t="str">
        <f>VLOOKUP(Table8[[#This Row],[Country Code]],Table29[],9,FALSE)</f>
        <v>no</v>
      </c>
      <c r="AY2657" s="233" t="str">
        <f>VLOOKUP(Table8[[#This Row],[Country Code]],Table29[],10,FALSE)</f>
        <v>MENA</v>
      </c>
      <c r="AZ2657" s="235">
        <f>VLOOKUP(Table8[[#This Row],[Country Code]],Table29[],23,FALSE)</f>
        <v>267.82319378585998</v>
      </c>
      <c r="BA2657" s="235">
        <f>VLOOKUP(Table8[[#This Row],[Country Code]],Table29[],24,FALSE)</f>
        <v>43.860911308351241</v>
      </c>
      <c r="BB2657" s="320"/>
      <c r="BC2657" s="320"/>
    </row>
    <row r="2658" spans="1:55" ht="15" hidden="1" customHeight="1" x14ac:dyDescent="0.25">
      <c r="A2658" s="373">
        <v>41741</v>
      </c>
      <c r="B2658" s="233" t="str">
        <f>VLOOKUP(Table8[[#This Row],[Document ID]],Table1[],2,FALSE)</f>
        <v>ARE</v>
      </c>
      <c r="C2658" s="233" t="str">
        <f>VLOOKUP(Table8[[#This Row],[Document ID]],Table1[],3,FALSE)</f>
        <v>United Arab Emirates</v>
      </c>
      <c r="D2658" s="243" t="str">
        <f>VLOOKUP(Table8[[#This Row],[Document ID]],Table1[],5,FALSE)</f>
        <v>LTS</v>
      </c>
      <c r="E2658" s="233" t="str">
        <f>VLOOKUP(Table8[[#This Row],[Document ID]],Table1[],7,FALSE)</f>
        <v>LTS</v>
      </c>
      <c r="F2658" s="233" t="str">
        <f>VLOOKUP(Table8[[#This Row],[Document ID]],Table1[],8,FALSE)</f>
        <v>LTS 1.0</v>
      </c>
      <c r="G2658" s="233" t="str">
        <f>VLOOKUP(Table8[[#This Row],[Document ID]],Table1[],10,FALSE)</f>
        <v>Active</v>
      </c>
      <c r="H2658" s="43" t="s">
        <v>2358</v>
      </c>
      <c r="I2658" s="43" t="s">
        <v>2359</v>
      </c>
      <c r="J2658" s="44" t="s">
        <v>2383</v>
      </c>
      <c r="K2658" s="44" t="s">
        <v>4747</v>
      </c>
      <c r="L2658" s="44" t="s">
        <v>2333</v>
      </c>
      <c r="M2658" s="43">
        <v>73</v>
      </c>
      <c r="N2658" s="113" t="s">
        <v>1113</v>
      </c>
      <c r="O2658" s="113"/>
      <c r="P2658" s="113"/>
      <c r="Q2658" s="113"/>
      <c r="R2658" s="113"/>
      <c r="S2658" s="113"/>
      <c r="T2658" s="113"/>
      <c r="U2658" s="113"/>
      <c r="V2658" s="113"/>
      <c r="W2658" s="113"/>
      <c r="X2658" s="113"/>
      <c r="Y2658" s="113"/>
      <c r="Z2658" s="113"/>
      <c r="AA2658" s="113"/>
      <c r="AB2658" s="113"/>
      <c r="AC2658" s="113"/>
      <c r="AD2658" s="113"/>
      <c r="AE2658" s="113"/>
      <c r="AF2658" s="113"/>
      <c r="AG2658" s="113"/>
      <c r="AH2658" s="113"/>
      <c r="AI2658" s="113"/>
      <c r="AJ2658" s="113"/>
      <c r="AK2658" s="113" t="s">
        <v>1113</v>
      </c>
      <c r="AL2658" s="113"/>
      <c r="AM2658" s="113"/>
      <c r="AN2658" s="113"/>
      <c r="AO2658" s="44" t="s">
        <v>2334</v>
      </c>
      <c r="AP2658" s="43"/>
      <c r="AQ2658" s="236" t="str">
        <f>VLOOKUP(Table8[[#This Row],[Instrument]],Def_Targets!$D$73:$E$159,2,FALSE)</f>
        <v>I_Emobilitycharging</v>
      </c>
      <c r="AR2658" s="233" t="str">
        <f>VLOOKUP(Table8[[#This Row],[Country Code]],Table29[],3,FALSE)</f>
        <v>Non-Annex I</v>
      </c>
      <c r="AS2658" s="233" t="str">
        <f>VLOOKUP(Table8[[#This Row],[Country Code]],Table29[],4,FALSE)</f>
        <v>Asia</v>
      </c>
      <c r="AT2658" s="233" t="str">
        <f>VLOOKUP(Table8[[#This Row],[Country Code]],Table29[],5,FALSE)</f>
        <v>High-income</v>
      </c>
      <c r="AU2658" s="233" t="str">
        <f>VLOOKUP(Table8[[#This Row],[Country Code]],Table29[],6,FALSE)</f>
        <v>no</v>
      </c>
      <c r="AV2658" s="233" t="str">
        <f>VLOOKUP(Table8[[#This Row],[Country Code]],Table29[],7,FALSE)</f>
        <v>no</v>
      </c>
      <c r="AW2658" s="233" t="str">
        <f>VLOOKUP(Table8[[#This Row],[Country Code]],Table29[],8,FALSE)</f>
        <v>non-OECD</v>
      </c>
      <c r="AX2658" s="233" t="str">
        <f>VLOOKUP(Table8[[#This Row],[Country Code]],Table29[],9,FALSE)</f>
        <v>no</v>
      </c>
      <c r="AY2658" s="233" t="str">
        <f>VLOOKUP(Table8[[#This Row],[Country Code]],Table29[],10,FALSE)</f>
        <v>MENA</v>
      </c>
      <c r="AZ2658" s="235">
        <f>VLOOKUP(Table8[[#This Row],[Country Code]],Table29[],23,FALSE)</f>
        <v>267.82319378585998</v>
      </c>
      <c r="BA2658" s="235">
        <f>VLOOKUP(Table8[[#This Row],[Country Code]],Table29[],24,FALSE)</f>
        <v>43.860911308351241</v>
      </c>
      <c r="BB2658" s="320"/>
      <c r="BC2658" s="320"/>
    </row>
    <row r="2659" spans="1:55" ht="15" hidden="1" customHeight="1" x14ac:dyDescent="0.25">
      <c r="A2659" s="373">
        <v>41741</v>
      </c>
      <c r="B2659" s="233" t="str">
        <f>VLOOKUP(Table8[[#This Row],[Document ID]],Table1[],2,FALSE)</f>
        <v>ARE</v>
      </c>
      <c r="C2659" s="233" t="str">
        <f>VLOOKUP(Table8[[#This Row],[Document ID]],Table1[],3,FALSE)</f>
        <v>United Arab Emirates</v>
      </c>
      <c r="D2659" s="243" t="str">
        <f>VLOOKUP(Table8[[#This Row],[Document ID]],Table1[],5,FALSE)</f>
        <v>LTS</v>
      </c>
      <c r="E2659" s="233" t="str">
        <f>VLOOKUP(Table8[[#This Row],[Document ID]],Table1[],7,FALSE)</f>
        <v>LTS</v>
      </c>
      <c r="F2659" s="233" t="str">
        <f>VLOOKUP(Table8[[#This Row],[Document ID]],Table1[],8,FALSE)</f>
        <v>LTS 1.0</v>
      </c>
      <c r="G2659" s="233" t="str">
        <f>VLOOKUP(Table8[[#This Row],[Document ID]],Table1[],10,FALSE)</f>
        <v>Active</v>
      </c>
      <c r="H2659" s="43" t="s">
        <v>2358</v>
      </c>
      <c r="I2659" s="43" t="s">
        <v>2359</v>
      </c>
      <c r="J2659" s="44" t="s">
        <v>2360</v>
      </c>
      <c r="K2659" s="44" t="s">
        <v>4748</v>
      </c>
      <c r="L2659" s="44" t="s">
        <v>2333</v>
      </c>
      <c r="M2659" s="43">
        <v>73</v>
      </c>
      <c r="N2659" s="113"/>
      <c r="O2659" s="113"/>
      <c r="P2659" s="113"/>
      <c r="Q2659" s="113"/>
      <c r="R2659" s="113"/>
      <c r="S2659" s="113" t="s">
        <v>1113</v>
      </c>
      <c r="T2659" s="113"/>
      <c r="U2659" s="113"/>
      <c r="V2659" s="113"/>
      <c r="W2659" s="113"/>
      <c r="X2659" s="113"/>
      <c r="Y2659" s="113"/>
      <c r="Z2659" s="113"/>
      <c r="AA2659" s="113"/>
      <c r="AB2659" s="113"/>
      <c r="AC2659" s="113"/>
      <c r="AD2659" s="113"/>
      <c r="AE2659" s="113"/>
      <c r="AF2659" s="113"/>
      <c r="AG2659" s="113"/>
      <c r="AH2659" s="113"/>
      <c r="AI2659" s="113"/>
      <c r="AJ2659" s="113"/>
      <c r="AK2659" s="113" t="s">
        <v>1113</v>
      </c>
      <c r="AL2659" s="113"/>
      <c r="AM2659" s="113"/>
      <c r="AN2659" s="113"/>
      <c r="AO2659" s="44" t="s">
        <v>2334</v>
      </c>
      <c r="AP2659" s="43"/>
      <c r="AQ2659" s="236" t="str">
        <f>VLOOKUP(Table8[[#This Row],[Instrument]],Def_Targets!$D$73:$E$159,2,FALSE)</f>
        <v>I_Emobility</v>
      </c>
      <c r="AR2659" s="233" t="str">
        <f>VLOOKUP(Table8[[#This Row],[Country Code]],Table29[],3,FALSE)</f>
        <v>Non-Annex I</v>
      </c>
      <c r="AS2659" s="233" t="str">
        <f>VLOOKUP(Table8[[#This Row],[Country Code]],Table29[],4,FALSE)</f>
        <v>Asia</v>
      </c>
      <c r="AT2659" s="233" t="str">
        <f>VLOOKUP(Table8[[#This Row],[Country Code]],Table29[],5,FALSE)</f>
        <v>High-income</v>
      </c>
      <c r="AU2659" s="233" t="str">
        <f>VLOOKUP(Table8[[#This Row],[Country Code]],Table29[],6,FALSE)</f>
        <v>no</v>
      </c>
      <c r="AV2659" s="233" t="str">
        <f>VLOOKUP(Table8[[#This Row],[Country Code]],Table29[],7,FALSE)</f>
        <v>no</v>
      </c>
      <c r="AW2659" s="233" t="str">
        <f>VLOOKUP(Table8[[#This Row],[Country Code]],Table29[],8,FALSE)</f>
        <v>non-OECD</v>
      </c>
      <c r="AX2659" s="233" t="str">
        <f>VLOOKUP(Table8[[#This Row],[Country Code]],Table29[],9,FALSE)</f>
        <v>no</v>
      </c>
      <c r="AY2659" s="233" t="str">
        <f>VLOOKUP(Table8[[#This Row],[Country Code]],Table29[],10,FALSE)</f>
        <v>MENA</v>
      </c>
      <c r="AZ2659" s="235">
        <f>VLOOKUP(Table8[[#This Row],[Country Code]],Table29[],23,FALSE)</f>
        <v>267.82319378585998</v>
      </c>
      <c r="BA2659" s="235">
        <f>VLOOKUP(Table8[[#This Row],[Country Code]],Table29[],24,FALSE)</f>
        <v>43.860911308351241</v>
      </c>
      <c r="BB2659" s="320"/>
      <c r="BC2659" s="320"/>
    </row>
    <row r="2660" spans="1:55" ht="15" hidden="1" customHeight="1" x14ac:dyDescent="0.25">
      <c r="A2660" s="373">
        <v>41741</v>
      </c>
      <c r="B2660" s="233" t="str">
        <f>VLOOKUP(Table8[[#This Row],[Document ID]],Table1[],2,FALSE)</f>
        <v>ARE</v>
      </c>
      <c r="C2660" s="233" t="str">
        <f>VLOOKUP(Table8[[#This Row],[Document ID]],Table1[],3,FALSE)</f>
        <v>United Arab Emirates</v>
      </c>
      <c r="D2660" s="243" t="str">
        <f>VLOOKUP(Table8[[#This Row],[Document ID]],Table1[],5,FALSE)</f>
        <v>LTS</v>
      </c>
      <c r="E2660" s="233" t="str">
        <f>VLOOKUP(Table8[[#This Row],[Document ID]],Table1[],7,FALSE)</f>
        <v>LTS</v>
      </c>
      <c r="F2660" s="233" t="str">
        <f>VLOOKUP(Table8[[#This Row],[Document ID]],Table1[],8,FALSE)</f>
        <v>LTS 1.0</v>
      </c>
      <c r="G2660" s="233" t="str">
        <f>VLOOKUP(Table8[[#This Row],[Document ID]],Table1[],10,FALSE)</f>
        <v>Active</v>
      </c>
      <c r="H2660" s="43" t="s">
        <v>2343</v>
      </c>
      <c r="I2660" s="43" t="s">
        <v>2344</v>
      </c>
      <c r="J2660" s="44" t="s">
        <v>2564</v>
      </c>
      <c r="K2660" s="44" t="s">
        <v>4749</v>
      </c>
      <c r="L2660" s="44" t="s">
        <v>2471</v>
      </c>
      <c r="M2660" s="43">
        <v>73</v>
      </c>
      <c r="N2660" s="113"/>
      <c r="O2660" s="113"/>
      <c r="P2660" s="113"/>
      <c r="Q2660" s="113"/>
      <c r="R2660" s="113"/>
      <c r="S2660" s="113"/>
      <c r="T2660" s="113"/>
      <c r="U2660" s="113"/>
      <c r="V2660" s="113"/>
      <c r="W2660" s="113"/>
      <c r="X2660" s="113"/>
      <c r="Y2660" s="113" t="s">
        <v>1113</v>
      </c>
      <c r="Z2660" s="113"/>
      <c r="AA2660" s="113"/>
      <c r="AB2660" s="113"/>
      <c r="AC2660" s="113"/>
      <c r="AD2660" s="113"/>
      <c r="AE2660" s="113"/>
      <c r="AF2660" s="113"/>
      <c r="AG2660" s="113"/>
      <c r="AH2660" s="113"/>
      <c r="AI2660" s="113"/>
      <c r="AJ2660" s="113"/>
      <c r="AK2660" s="113" t="s">
        <v>1113</v>
      </c>
      <c r="AL2660" s="113"/>
      <c r="AM2660" s="113"/>
      <c r="AN2660" s="113"/>
      <c r="AO2660" s="43" t="s">
        <v>2348</v>
      </c>
      <c r="AP2660" s="43"/>
      <c r="AQ2660" s="236" t="str">
        <f>VLOOKUP(Table8[[#This Row],[Instrument]],Def_Targets!$D$73:$E$159,2,FALSE)</f>
        <v>S_PTPriority</v>
      </c>
      <c r="AR2660" s="233" t="str">
        <f>VLOOKUP(Table8[[#This Row],[Country Code]],Table29[],3,FALSE)</f>
        <v>Non-Annex I</v>
      </c>
      <c r="AS2660" s="233" t="str">
        <f>VLOOKUP(Table8[[#This Row],[Country Code]],Table29[],4,FALSE)</f>
        <v>Asia</v>
      </c>
      <c r="AT2660" s="233" t="str">
        <f>VLOOKUP(Table8[[#This Row],[Country Code]],Table29[],5,FALSE)</f>
        <v>High-income</v>
      </c>
      <c r="AU2660" s="233" t="str">
        <f>VLOOKUP(Table8[[#This Row],[Country Code]],Table29[],6,FALSE)</f>
        <v>no</v>
      </c>
      <c r="AV2660" s="233" t="str">
        <f>VLOOKUP(Table8[[#This Row],[Country Code]],Table29[],7,FALSE)</f>
        <v>no</v>
      </c>
      <c r="AW2660" s="233" t="str">
        <f>VLOOKUP(Table8[[#This Row],[Country Code]],Table29[],8,FALSE)</f>
        <v>non-OECD</v>
      </c>
      <c r="AX2660" s="233" t="str">
        <f>VLOOKUP(Table8[[#This Row],[Country Code]],Table29[],9,FALSE)</f>
        <v>no</v>
      </c>
      <c r="AY2660" s="233" t="str">
        <f>VLOOKUP(Table8[[#This Row],[Country Code]],Table29[],10,FALSE)</f>
        <v>MENA</v>
      </c>
      <c r="AZ2660" s="235">
        <f>VLOOKUP(Table8[[#This Row],[Country Code]],Table29[],23,FALSE)</f>
        <v>267.82319378585998</v>
      </c>
      <c r="BA2660" s="235">
        <f>VLOOKUP(Table8[[#This Row],[Country Code]],Table29[],24,FALSE)</f>
        <v>43.860911308351241</v>
      </c>
      <c r="BB2660" s="320"/>
      <c r="BC2660" s="320"/>
    </row>
    <row r="2661" spans="1:55" ht="15" hidden="1" customHeight="1" x14ac:dyDescent="0.25">
      <c r="A2661" s="373">
        <v>41741</v>
      </c>
      <c r="B2661" s="233" t="str">
        <f>VLOOKUP(Table8[[#This Row],[Document ID]],Table1[],2,FALSE)</f>
        <v>ARE</v>
      </c>
      <c r="C2661" s="233" t="str">
        <f>VLOOKUP(Table8[[#This Row],[Document ID]],Table1[],3,FALSE)</f>
        <v>United Arab Emirates</v>
      </c>
      <c r="D2661" s="243" t="str">
        <f>VLOOKUP(Table8[[#This Row],[Document ID]],Table1[],5,FALSE)</f>
        <v>LTS</v>
      </c>
      <c r="E2661" s="233" t="str">
        <f>VLOOKUP(Table8[[#This Row],[Document ID]],Table1[],7,FALSE)</f>
        <v>LTS</v>
      </c>
      <c r="F2661" s="233" t="str">
        <f>VLOOKUP(Table8[[#This Row],[Document ID]],Table1[],8,FALSE)</f>
        <v>LTS 1.0</v>
      </c>
      <c r="G2661" s="233" t="str">
        <f>VLOOKUP(Table8[[#This Row],[Document ID]],Table1[],10,FALSE)</f>
        <v>Active</v>
      </c>
      <c r="H2661" s="43" t="s">
        <v>2350</v>
      </c>
      <c r="I2661" s="43" t="s">
        <v>2456</v>
      </c>
      <c r="J2661" s="44" t="s">
        <v>2643</v>
      </c>
      <c r="K2661" s="44" t="s">
        <v>4750</v>
      </c>
      <c r="L2661" s="44" t="s">
        <v>2333</v>
      </c>
      <c r="M2661" s="43">
        <v>73</v>
      </c>
      <c r="N2661" s="113"/>
      <c r="O2661" s="113"/>
      <c r="P2661" s="113"/>
      <c r="Q2661" s="113"/>
      <c r="R2661" s="113"/>
      <c r="S2661" s="113"/>
      <c r="T2661" s="113" t="s">
        <v>1113</v>
      </c>
      <c r="U2661" s="113"/>
      <c r="V2661" s="113"/>
      <c r="W2661" s="113"/>
      <c r="X2661" s="113"/>
      <c r="Y2661" s="113" t="s">
        <v>1113</v>
      </c>
      <c r="Z2661" s="113" t="s">
        <v>1113</v>
      </c>
      <c r="AA2661" s="113"/>
      <c r="AB2661" s="113"/>
      <c r="AC2661" s="113" t="s">
        <v>1113</v>
      </c>
      <c r="AD2661" s="113"/>
      <c r="AE2661" s="113"/>
      <c r="AF2661" s="113"/>
      <c r="AG2661" s="113"/>
      <c r="AH2661" s="113"/>
      <c r="AI2661" s="113"/>
      <c r="AJ2661" s="113"/>
      <c r="AK2661" s="113" t="s">
        <v>1113</v>
      </c>
      <c r="AL2661" s="113"/>
      <c r="AM2661" s="113"/>
      <c r="AN2661" s="113"/>
      <c r="AO2661" s="43" t="s">
        <v>2348</v>
      </c>
      <c r="AP2661" s="43"/>
      <c r="AQ2661" s="236" t="str">
        <f>VLOOKUP(Table8[[#This Row],[Instrument]],Def_Targets!$D$73:$E$159,2,FALSE)</f>
        <v>S_Intermodality</v>
      </c>
      <c r="AR2661" s="233" t="str">
        <f>VLOOKUP(Table8[[#This Row],[Country Code]],Table29[],3,FALSE)</f>
        <v>Non-Annex I</v>
      </c>
      <c r="AS2661" s="233" t="str">
        <f>VLOOKUP(Table8[[#This Row],[Country Code]],Table29[],4,FALSE)</f>
        <v>Asia</v>
      </c>
      <c r="AT2661" s="233" t="str">
        <f>VLOOKUP(Table8[[#This Row],[Country Code]],Table29[],5,FALSE)</f>
        <v>High-income</v>
      </c>
      <c r="AU2661" s="233" t="str">
        <f>VLOOKUP(Table8[[#This Row],[Country Code]],Table29[],6,FALSE)</f>
        <v>no</v>
      </c>
      <c r="AV2661" s="233" t="str">
        <f>VLOOKUP(Table8[[#This Row],[Country Code]],Table29[],7,FALSE)</f>
        <v>no</v>
      </c>
      <c r="AW2661" s="233" t="str">
        <f>VLOOKUP(Table8[[#This Row],[Country Code]],Table29[],8,FALSE)</f>
        <v>non-OECD</v>
      </c>
      <c r="AX2661" s="233" t="str">
        <f>VLOOKUP(Table8[[#This Row],[Country Code]],Table29[],9,FALSE)</f>
        <v>no</v>
      </c>
      <c r="AY2661" s="233" t="str">
        <f>VLOOKUP(Table8[[#This Row],[Country Code]],Table29[],10,FALSE)</f>
        <v>MENA</v>
      </c>
      <c r="AZ2661" s="235">
        <f>VLOOKUP(Table8[[#This Row],[Country Code]],Table29[],23,FALSE)</f>
        <v>267.82319378585998</v>
      </c>
      <c r="BA2661" s="235">
        <f>VLOOKUP(Table8[[#This Row],[Country Code]],Table29[],24,FALSE)</f>
        <v>43.860911308351241</v>
      </c>
      <c r="BB2661" s="320"/>
      <c r="BC2661" s="320"/>
    </row>
    <row r="2662" spans="1:55" ht="15" hidden="1" customHeight="1" x14ac:dyDescent="0.25">
      <c r="A2662" s="373">
        <v>41741</v>
      </c>
      <c r="B2662" s="233" t="str">
        <f>VLOOKUP(Table8[[#This Row],[Document ID]],Table1[],2,FALSE)</f>
        <v>ARE</v>
      </c>
      <c r="C2662" s="233" t="str">
        <f>VLOOKUP(Table8[[#This Row],[Document ID]],Table1[],3,FALSE)</f>
        <v>United Arab Emirates</v>
      </c>
      <c r="D2662" s="243" t="str">
        <f>VLOOKUP(Table8[[#This Row],[Document ID]],Table1[],5,FALSE)</f>
        <v>LTS</v>
      </c>
      <c r="E2662" s="233" t="str">
        <f>VLOOKUP(Table8[[#This Row],[Document ID]],Table1[],7,FALSE)</f>
        <v>LTS</v>
      </c>
      <c r="F2662" s="233" t="str">
        <f>VLOOKUP(Table8[[#This Row],[Document ID]],Table1[],8,FALSE)</f>
        <v>LTS 1.0</v>
      </c>
      <c r="G2662" s="233" t="str">
        <f>VLOOKUP(Table8[[#This Row],[Document ID]],Table1[],10,FALSE)</f>
        <v>Active</v>
      </c>
      <c r="H2662" s="43" t="s">
        <v>2350</v>
      </c>
      <c r="I2662" s="43" t="s">
        <v>2407</v>
      </c>
      <c r="J2662" s="44" t="s">
        <v>2408</v>
      </c>
      <c r="K2662" s="44" t="s">
        <v>4751</v>
      </c>
      <c r="L2662" s="44" t="s">
        <v>2333</v>
      </c>
      <c r="M2662" s="43">
        <v>74</v>
      </c>
      <c r="N2662" s="113" t="s">
        <v>1113</v>
      </c>
      <c r="O2662" s="113"/>
      <c r="P2662" s="113"/>
      <c r="Q2662" s="113"/>
      <c r="R2662" s="113"/>
      <c r="S2662" s="113"/>
      <c r="T2662" s="113"/>
      <c r="U2662" s="113"/>
      <c r="V2662" s="113"/>
      <c r="W2662" s="113"/>
      <c r="X2662" s="113"/>
      <c r="Y2662" s="113"/>
      <c r="Z2662" s="113"/>
      <c r="AA2662" s="113"/>
      <c r="AB2662" s="113"/>
      <c r="AC2662" s="113"/>
      <c r="AD2662" s="113"/>
      <c r="AE2662" s="113"/>
      <c r="AF2662" s="113"/>
      <c r="AG2662" s="113"/>
      <c r="AH2662" s="113"/>
      <c r="AI2662" s="113"/>
      <c r="AJ2662" s="113"/>
      <c r="AK2662" s="113" t="s">
        <v>1113</v>
      </c>
      <c r="AL2662" s="113"/>
      <c r="AM2662" s="113"/>
      <c r="AN2662" s="113"/>
      <c r="AO2662" s="43" t="s">
        <v>2348</v>
      </c>
      <c r="AP2662" s="43"/>
      <c r="AQ2662" s="236" t="str">
        <f>VLOOKUP(Table8[[#This Row],[Instrument]],Def_Targets!$D$73:$E$159,2,FALSE)</f>
        <v>I_Education</v>
      </c>
      <c r="AR2662" s="233" t="str">
        <f>VLOOKUP(Table8[[#This Row],[Country Code]],Table29[],3,FALSE)</f>
        <v>Non-Annex I</v>
      </c>
      <c r="AS2662" s="233" t="str">
        <f>VLOOKUP(Table8[[#This Row],[Country Code]],Table29[],4,FALSE)</f>
        <v>Asia</v>
      </c>
      <c r="AT2662" s="233" t="str">
        <f>VLOOKUP(Table8[[#This Row],[Country Code]],Table29[],5,FALSE)</f>
        <v>High-income</v>
      </c>
      <c r="AU2662" s="233" t="str">
        <f>VLOOKUP(Table8[[#This Row],[Country Code]],Table29[],6,FALSE)</f>
        <v>no</v>
      </c>
      <c r="AV2662" s="233" t="str">
        <f>VLOOKUP(Table8[[#This Row],[Country Code]],Table29[],7,FALSE)</f>
        <v>no</v>
      </c>
      <c r="AW2662" s="233" t="str">
        <f>VLOOKUP(Table8[[#This Row],[Country Code]],Table29[],8,FALSE)</f>
        <v>non-OECD</v>
      </c>
      <c r="AX2662" s="233" t="str">
        <f>VLOOKUP(Table8[[#This Row],[Country Code]],Table29[],9,FALSE)</f>
        <v>no</v>
      </c>
      <c r="AY2662" s="233" t="str">
        <f>VLOOKUP(Table8[[#This Row],[Country Code]],Table29[],10,FALSE)</f>
        <v>MENA</v>
      </c>
      <c r="AZ2662" s="235">
        <f>VLOOKUP(Table8[[#This Row],[Country Code]],Table29[],23,FALSE)</f>
        <v>267.82319378585998</v>
      </c>
      <c r="BA2662" s="235">
        <f>VLOOKUP(Table8[[#This Row],[Country Code]],Table29[],24,FALSE)</f>
        <v>43.860911308351241</v>
      </c>
      <c r="BB2662" s="320"/>
      <c r="BC2662" s="320"/>
    </row>
    <row r="2663" spans="1:55" ht="15" hidden="1" customHeight="1" x14ac:dyDescent="0.25">
      <c r="A2663" s="373">
        <v>41741</v>
      </c>
      <c r="B2663" s="233" t="str">
        <f>VLOOKUP(Table8[[#This Row],[Document ID]],Table1[],2,FALSE)</f>
        <v>ARE</v>
      </c>
      <c r="C2663" s="233" t="str">
        <f>VLOOKUP(Table8[[#This Row],[Document ID]],Table1[],3,FALSE)</f>
        <v>United Arab Emirates</v>
      </c>
      <c r="D2663" s="243" t="str">
        <f>VLOOKUP(Table8[[#This Row],[Document ID]],Table1[],5,FALSE)</f>
        <v>LTS</v>
      </c>
      <c r="E2663" s="233" t="str">
        <f>VLOOKUP(Table8[[#This Row],[Document ID]],Table1[],7,FALSE)</f>
        <v>LTS</v>
      </c>
      <c r="F2663" s="233" t="str">
        <f>VLOOKUP(Table8[[#This Row],[Document ID]],Table1[],8,FALSE)</f>
        <v>LTS 1.0</v>
      </c>
      <c r="G2663" s="233" t="str">
        <f>VLOOKUP(Table8[[#This Row],[Document ID]],Table1[],10,FALSE)</f>
        <v>Active</v>
      </c>
      <c r="H2663" s="43" t="s">
        <v>2350</v>
      </c>
      <c r="I2663" s="43" t="s">
        <v>2456</v>
      </c>
      <c r="J2663" s="44" t="s">
        <v>2466</v>
      </c>
      <c r="K2663" s="44" t="s">
        <v>4752</v>
      </c>
      <c r="L2663" s="44" t="s">
        <v>2333</v>
      </c>
      <c r="M2663" s="43">
        <v>74</v>
      </c>
      <c r="N2663" s="113"/>
      <c r="O2663" s="113"/>
      <c r="P2663" s="113"/>
      <c r="Q2663" s="113"/>
      <c r="R2663" s="113"/>
      <c r="S2663" s="113"/>
      <c r="T2663" s="113"/>
      <c r="U2663" s="113"/>
      <c r="V2663" s="113"/>
      <c r="W2663" s="113"/>
      <c r="X2663" s="113"/>
      <c r="Y2663" s="113"/>
      <c r="Z2663" s="113" t="s">
        <v>1113</v>
      </c>
      <c r="AA2663" s="113"/>
      <c r="AB2663" s="113"/>
      <c r="AC2663" s="113"/>
      <c r="AD2663" s="113"/>
      <c r="AE2663" s="113"/>
      <c r="AF2663" s="113"/>
      <c r="AG2663" s="113"/>
      <c r="AH2663" s="113"/>
      <c r="AI2663" s="113"/>
      <c r="AJ2663" s="113"/>
      <c r="AK2663" s="113"/>
      <c r="AL2663" s="113"/>
      <c r="AM2663" s="113"/>
      <c r="AN2663" s="113" t="s">
        <v>1113</v>
      </c>
      <c r="AO2663" s="43" t="s">
        <v>2353</v>
      </c>
      <c r="AP2663" s="43"/>
      <c r="AQ2663" s="236" t="str">
        <f>VLOOKUP(Table8[[#This Row],[Instrument]],Def_Targets!$D$73:$E$159,2,FALSE)</f>
        <v>S_Infraexpansion</v>
      </c>
      <c r="AR2663" s="233" t="str">
        <f>VLOOKUP(Table8[[#This Row],[Country Code]],Table29[],3,FALSE)</f>
        <v>Non-Annex I</v>
      </c>
      <c r="AS2663" s="233" t="str">
        <f>VLOOKUP(Table8[[#This Row],[Country Code]],Table29[],4,FALSE)</f>
        <v>Asia</v>
      </c>
      <c r="AT2663" s="233" t="str">
        <f>VLOOKUP(Table8[[#This Row],[Country Code]],Table29[],5,FALSE)</f>
        <v>High-income</v>
      </c>
      <c r="AU2663" s="233" t="str">
        <f>VLOOKUP(Table8[[#This Row],[Country Code]],Table29[],6,FALSE)</f>
        <v>no</v>
      </c>
      <c r="AV2663" s="233" t="str">
        <f>VLOOKUP(Table8[[#This Row],[Country Code]],Table29[],7,FALSE)</f>
        <v>no</v>
      </c>
      <c r="AW2663" s="233" t="str">
        <f>VLOOKUP(Table8[[#This Row],[Country Code]],Table29[],8,FALSE)</f>
        <v>non-OECD</v>
      </c>
      <c r="AX2663" s="233" t="str">
        <f>VLOOKUP(Table8[[#This Row],[Country Code]],Table29[],9,FALSE)</f>
        <v>no</v>
      </c>
      <c r="AY2663" s="233" t="str">
        <f>VLOOKUP(Table8[[#This Row],[Country Code]],Table29[],10,FALSE)</f>
        <v>MENA</v>
      </c>
      <c r="AZ2663" s="235">
        <f>VLOOKUP(Table8[[#This Row],[Country Code]],Table29[],23,FALSE)</f>
        <v>267.82319378585998</v>
      </c>
      <c r="BA2663" s="235">
        <f>VLOOKUP(Table8[[#This Row],[Country Code]],Table29[],24,FALSE)</f>
        <v>43.860911308351241</v>
      </c>
      <c r="BB2663" s="320"/>
      <c r="BC2663" s="320"/>
    </row>
    <row r="2664" spans="1:55" ht="15" hidden="1" customHeight="1" x14ac:dyDescent="0.25">
      <c r="A2664" s="373">
        <v>41741</v>
      </c>
      <c r="B2664" s="233" t="str">
        <f>VLOOKUP(Table8[[#This Row],[Document ID]],Table1[],2,FALSE)</f>
        <v>ARE</v>
      </c>
      <c r="C2664" s="233" t="str">
        <f>VLOOKUP(Table8[[#This Row],[Document ID]],Table1[],3,FALSE)</f>
        <v>United Arab Emirates</v>
      </c>
      <c r="D2664" s="243" t="str">
        <f>VLOOKUP(Table8[[#This Row],[Document ID]],Table1[],5,FALSE)</f>
        <v>LTS</v>
      </c>
      <c r="E2664" s="233" t="str">
        <f>VLOOKUP(Table8[[#This Row],[Document ID]],Table1[],7,FALSE)</f>
        <v>LTS</v>
      </c>
      <c r="F2664" s="233" t="str">
        <f>VLOOKUP(Table8[[#This Row],[Document ID]],Table1[],8,FALSE)</f>
        <v>LTS 1.0</v>
      </c>
      <c r="G2664" s="233" t="str">
        <f>VLOOKUP(Table8[[#This Row],[Document ID]],Table1[],10,FALSE)</f>
        <v>Active</v>
      </c>
      <c r="H2664" s="43" t="s">
        <v>2343</v>
      </c>
      <c r="I2664" s="43" t="s">
        <v>2344</v>
      </c>
      <c r="J2664" s="44" t="s">
        <v>2405</v>
      </c>
      <c r="K2664" s="44" t="s">
        <v>4753</v>
      </c>
      <c r="L2664" s="44" t="s">
        <v>2347</v>
      </c>
      <c r="M2664" s="43">
        <v>74</v>
      </c>
      <c r="N2664" s="113"/>
      <c r="O2664" s="113"/>
      <c r="P2664" s="113"/>
      <c r="Q2664" s="113"/>
      <c r="R2664" s="113"/>
      <c r="S2664" s="113"/>
      <c r="T2664" s="113"/>
      <c r="U2664" s="113"/>
      <c r="V2664" s="113"/>
      <c r="W2664" s="113"/>
      <c r="X2664" s="113"/>
      <c r="Y2664" s="113"/>
      <c r="Z2664" s="113"/>
      <c r="AA2664" s="113"/>
      <c r="AB2664" s="113"/>
      <c r="AC2664" s="113" t="s">
        <v>1113</v>
      </c>
      <c r="AD2664" s="113"/>
      <c r="AE2664" s="113"/>
      <c r="AF2664" s="113"/>
      <c r="AG2664" s="113"/>
      <c r="AH2664" s="113"/>
      <c r="AI2664" s="113"/>
      <c r="AJ2664" s="113"/>
      <c r="AK2664" s="113"/>
      <c r="AL2664" s="113" t="s">
        <v>1113</v>
      </c>
      <c r="AM2664" s="113"/>
      <c r="AN2664" s="113"/>
      <c r="AO2664" s="43" t="s">
        <v>2348</v>
      </c>
      <c r="AP2664" s="43"/>
      <c r="AQ2664" s="236" t="str">
        <f>VLOOKUP(Table8[[#This Row],[Instrument]],Def_Targets!$D$73:$E$159,2,FALSE)</f>
        <v>S_PTIntegration</v>
      </c>
      <c r="AR2664" s="233" t="str">
        <f>VLOOKUP(Table8[[#This Row],[Country Code]],Table29[],3,FALSE)</f>
        <v>Non-Annex I</v>
      </c>
      <c r="AS2664" s="233" t="str">
        <f>VLOOKUP(Table8[[#This Row],[Country Code]],Table29[],4,FALSE)</f>
        <v>Asia</v>
      </c>
      <c r="AT2664" s="233" t="str">
        <f>VLOOKUP(Table8[[#This Row],[Country Code]],Table29[],5,FALSE)</f>
        <v>High-income</v>
      </c>
      <c r="AU2664" s="233" t="str">
        <f>VLOOKUP(Table8[[#This Row],[Country Code]],Table29[],6,FALSE)</f>
        <v>no</v>
      </c>
      <c r="AV2664" s="233" t="str">
        <f>VLOOKUP(Table8[[#This Row],[Country Code]],Table29[],7,FALSE)</f>
        <v>no</v>
      </c>
      <c r="AW2664" s="233" t="str">
        <f>VLOOKUP(Table8[[#This Row],[Country Code]],Table29[],8,FALSE)</f>
        <v>non-OECD</v>
      </c>
      <c r="AX2664" s="233" t="str">
        <f>VLOOKUP(Table8[[#This Row],[Country Code]],Table29[],9,FALSE)</f>
        <v>no</v>
      </c>
      <c r="AY2664" s="233" t="str">
        <f>VLOOKUP(Table8[[#This Row],[Country Code]],Table29[],10,FALSE)</f>
        <v>MENA</v>
      </c>
      <c r="AZ2664" s="235">
        <f>VLOOKUP(Table8[[#This Row],[Country Code]],Table29[],23,FALSE)</f>
        <v>267.82319378585998</v>
      </c>
      <c r="BA2664" s="235">
        <f>VLOOKUP(Table8[[#This Row],[Country Code]],Table29[],24,FALSE)</f>
        <v>43.860911308351241</v>
      </c>
      <c r="BB2664" s="320"/>
      <c r="BC2664" s="320"/>
    </row>
    <row r="2665" spans="1:55" ht="15" hidden="1" customHeight="1" x14ac:dyDescent="0.25">
      <c r="A2665" s="373">
        <v>41741</v>
      </c>
      <c r="B2665" s="233" t="str">
        <f>VLOOKUP(Table8[[#This Row],[Document ID]],Table1[],2,FALSE)</f>
        <v>ARE</v>
      </c>
      <c r="C2665" s="233" t="str">
        <f>VLOOKUP(Table8[[#This Row],[Document ID]],Table1[],3,FALSE)</f>
        <v>United Arab Emirates</v>
      </c>
      <c r="D2665" s="243" t="str">
        <f>VLOOKUP(Table8[[#This Row],[Document ID]],Table1[],5,FALSE)</f>
        <v>LTS</v>
      </c>
      <c r="E2665" s="233" t="str">
        <f>VLOOKUP(Table8[[#This Row],[Document ID]],Table1[],7,FALSE)</f>
        <v>LTS</v>
      </c>
      <c r="F2665" s="233" t="str">
        <f>VLOOKUP(Table8[[#This Row],[Document ID]],Table1[],8,FALSE)</f>
        <v>LTS 1.0</v>
      </c>
      <c r="G2665" s="233" t="str">
        <f>VLOOKUP(Table8[[#This Row],[Document ID]],Table1[],10,FALSE)</f>
        <v>Active</v>
      </c>
      <c r="H2665" s="43" t="s">
        <v>2358</v>
      </c>
      <c r="I2665" s="43" t="s">
        <v>2359</v>
      </c>
      <c r="J2665" s="44" t="s">
        <v>2360</v>
      </c>
      <c r="K2665" s="44" t="s">
        <v>4754</v>
      </c>
      <c r="L2665" s="44" t="s">
        <v>2333</v>
      </c>
      <c r="M2665" s="43">
        <v>74</v>
      </c>
      <c r="N2665" s="113"/>
      <c r="O2665" s="113"/>
      <c r="P2665" s="113"/>
      <c r="Q2665" s="113"/>
      <c r="R2665" s="113"/>
      <c r="S2665" s="113"/>
      <c r="T2665" s="113"/>
      <c r="U2665" s="113"/>
      <c r="V2665" s="113"/>
      <c r="W2665" s="113" t="s">
        <v>1113</v>
      </c>
      <c r="X2665" s="113"/>
      <c r="Y2665" s="113"/>
      <c r="Z2665" s="113"/>
      <c r="AA2665" s="113"/>
      <c r="AB2665" s="113"/>
      <c r="AC2665" s="113"/>
      <c r="AD2665" s="113"/>
      <c r="AE2665" s="113"/>
      <c r="AF2665" s="113"/>
      <c r="AG2665" s="113"/>
      <c r="AH2665" s="113"/>
      <c r="AI2665" s="113"/>
      <c r="AJ2665" s="113"/>
      <c r="AK2665" s="113"/>
      <c r="AL2665" s="113"/>
      <c r="AM2665" s="113" t="s">
        <v>1113</v>
      </c>
      <c r="AN2665" s="113"/>
      <c r="AO2665" s="43" t="s">
        <v>2348</v>
      </c>
      <c r="AP2665" s="43"/>
      <c r="AQ2665" s="236" t="str">
        <f>VLOOKUP(Table8[[#This Row],[Instrument]],Def_Targets!$D$73:$E$159,2,FALSE)</f>
        <v>I_Emobility</v>
      </c>
      <c r="AR2665" s="233" t="str">
        <f>VLOOKUP(Table8[[#This Row],[Country Code]],Table29[],3,FALSE)</f>
        <v>Non-Annex I</v>
      </c>
      <c r="AS2665" s="233" t="str">
        <f>VLOOKUP(Table8[[#This Row],[Country Code]],Table29[],4,FALSE)</f>
        <v>Asia</v>
      </c>
      <c r="AT2665" s="233" t="str">
        <f>VLOOKUP(Table8[[#This Row],[Country Code]],Table29[],5,FALSE)</f>
        <v>High-income</v>
      </c>
      <c r="AU2665" s="233" t="str">
        <f>VLOOKUP(Table8[[#This Row],[Country Code]],Table29[],6,FALSE)</f>
        <v>no</v>
      </c>
      <c r="AV2665" s="233" t="str">
        <f>VLOOKUP(Table8[[#This Row],[Country Code]],Table29[],7,FALSE)</f>
        <v>no</v>
      </c>
      <c r="AW2665" s="233" t="str">
        <f>VLOOKUP(Table8[[#This Row],[Country Code]],Table29[],8,FALSE)</f>
        <v>non-OECD</v>
      </c>
      <c r="AX2665" s="233" t="str">
        <f>VLOOKUP(Table8[[#This Row],[Country Code]],Table29[],9,FALSE)</f>
        <v>no</v>
      </c>
      <c r="AY2665" s="233" t="str">
        <f>VLOOKUP(Table8[[#This Row],[Country Code]],Table29[],10,FALSE)</f>
        <v>MENA</v>
      </c>
      <c r="AZ2665" s="235">
        <f>VLOOKUP(Table8[[#This Row],[Country Code]],Table29[],23,FALSE)</f>
        <v>267.82319378585998</v>
      </c>
      <c r="BA2665" s="235">
        <f>VLOOKUP(Table8[[#This Row],[Country Code]],Table29[],24,FALSE)</f>
        <v>43.860911308351241</v>
      </c>
      <c r="BB2665" s="320"/>
      <c r="BC2665" s="320"/>
    </row>
    <row r="2666" spans="1:55" ht="15" hidden="1" customHeight="1" x14ac:dyDescent="0.25">
      <c r="A2666" s="373">
        <v>41741</v>
      </c>
      <c r="B2666" s="233" t="str">
        <f>VLOOKUP(Table8[[#This Row],[Document ID]],Table1[],2,FALSE)</f>
        <v>ARE</v>
      </c>
      <c r="C2666" s="233" t="str">
        <f>VLOOKUP(Table8[[#This Row],[Document ID]],Table1[],3,FALSE)</f>
        <v>United Arab Emirates</v>
      </c>
      <c r="D2666" s="243" t="str">
        <f>VLOOKUP(Table8[[#This Row],[Document ID]],Table1[],5,FALSE)</f>
        <v>LTS</v>
      </c>
      <c r="E2666" s="233" t="str">
        <f>VLOOKUP(Table8[[#This Row],[Document ID]],Table1[],7,FALSE)</f>
        <v>LTS</v>
      </c>
      <c r="F2666" s="233" t="str">
        <f>VLOOKUP(Table8[[#This Row],[Document ID]],Table1[],8,FALSE)</f>
        <v>LTS 1.0</v>
      </c>
      <c r="G2666" s="233" t="str">
        <f>VLOOKUP(Table8[[#This Row],[Document ID]],Table1[],10,FALSE)</f>
        <v>Active</v>
      </c>
      <c r="H2666" s="43" t="s">
        <v>2358</v>
      </c>
      <c r="I2666" s="43" t="s">
        <v>2359</v>
      </c>
      <c r="J2666" s="44" t="s">
        <v>2383</v>
      </c>
      <c r="K2666" s="44" t="s">
        <v>4755</v>
      </c>
      <c r="L2666" s="44" t="s">
        <v>2333</v>
      </c>
      <c r="M2666" s="43">
        <v>74</v>
      </c>
      <c r="N2666" s="113" t="s">
        <v>1113</v>
      </c>
      <c r="O2666" s="113"/>
      <c r="P2666" s="113"/>
      <c r="Q2666" s="113"/>
      <c r="R2666" s="113"/>
      <c r="S2666" s="113"/>
      <c r="T2666" s="113"/>
      <c r="U2666" s="113"/>
      <c r="V2666" s="113"/>
      <c r="W2666" s="113"/>
      <c r="X2666" s="113"/>
      <c r="Y2666" s="113"/>
      <c r="Z2666" s="113"/>
      <c r="AA2666" s="113"/>
      <c r="AB2666" s="113"/>
      <c r="AC2666" s="113"/>
      <c r="AD2666" s="113"/>
      <c r="AE2666" s="113"/>
      <c r="AF2666" s="113"/>
      <c r="AG2666" s="113"/>
      <c r="AH2666" s="113"/>
      <c r="AI2666" s="113"/>
      <c r="AJ2666" s="113"/>
      <c r="AK2666" s="113" t="s">
        <v>1113</v>
      </c>
      <c r="AL2666" s="113"/>
      <c r="AM2666" s="113"/>
      <c r="AN2666" s="113"/>
      <c r="AO2666" s="44" t="s">
        <v>2334</v>
      </c>
      <c r="AP2666" s="43"/>
      <c r="AQ2666" s="236" t="str">
        <f>VLOOKUP(Table8[[#This Row],[Instrument]],Def_Targets!$D$73:$E$159,2,FALSE)</f>
        <v>I_Emobilitycharging</v>
      </c>
      <c r="AR2666" s="233" t="str">
        <f>VLOOKUP(Table8[[#This Row],[Country Code]],Table29[],3,FALSE)</f>
        <v>Non-Annex I</v>
      </c>
      <c r="AS2666" s="233" t="str">
        <f>VLOOKUP(Table8[[#This Row],[Country Code]],Table29[],4,FALSE)</f>
        <v>Asia</v>
      </c>
      <c r="AT2666" s="233" t="str">
        <f>VLOOKUP(Table8[[#This Row],[Country Code]],Table29[],5,FALSE)</f>
        <v>High-income</v>
      </c>
      <c r="AU2666" s="233" t="str">
        <f>VLOOKUP(Table8[[#This Row],[Country Code]],Table29[],6,FALSE)</f>
        <v>no</v>
      </c>
      <c r="AV2666" s="233" t="str">
        <f>VLOOKUP(Table8[[#This Row],[Country Code]],Table29[],7,FALSE)</f>
        <v>no</v>
      </c>
      <c r="AW2666" s="233" t="str">
        <f>VLOOKUP(Table8[[#This Row],[Country Code]],Table29[],8,FALSE)</f>
        <v>non-OECD</v>
      </c>
      <c r="AX2666" s="233" t="str">
        <f>VLOOKUP(Table8[[#This Row],[Country Code]],Table29[],9,FALSE)</f>
        <v>no</v>
      </c>
      <c r="AY2666" s="233" t="str">
        <f>VLOOKUP(Table8[[#This Row],[Country Code]],Table29[],10,FALSE)</f>
        <v>MENA</v>
      </c>
      <c r="AZ2666" s="235">
        <f>VLOOKUP(Table8[[#This Row],[Country Code]],Table29[],23,FALSE)</f>
        <v>267.82319378585998</v>
      </c>
      <c r="BA2666" s="235">
        <f>VLOOKUP(Table8[[#This Row],[Country Code]],Table29[],24,FALSE)</f>
        <v>43.860911308351241</v>
      </c>
      <c r="BB2666" s="320"/>
      <c r="BC2666" s="320"/>
    </row>
    <row r="2667" spans="1:55" ht="15" hidden="1" customHeight="1" x14ac:dyDescent="0.25">
      <c r="A2667" s="373">
        <v>41741</v>
      </c>
      <c r="B2667" s="233" t="str">
        <f>VLOOKUP(Table8[[#This Row],[Document ID]],Table1[],2,FALSE)</f>
        <v>ARE</v>
      </c>
      <c r="C2667" s="233" t="str">
        <f>VLOOKUP(Table8[[#This Row],[Document ID]],Table1[],3,FALSE)</f>
        <v>United Arab Emirates</v>
      </c>
      <c r="D2667" s="243" t="str">
        <f>VLOOKUP(Table8[[#This Row],[Document ID]],Table1[],5,FALSE)</f>
        <v>LTS</v>
      </c>
      <c r="E2667" s="233" t="str">
        <f>VLOOKUP(Table8[[#This Row],[Document ID]],Table1[],7,FALSE)</f>
        <v>LTS</v>
      </c>
      <c r="F2667" s="233" t="str">
        <f>VLOOKUP(Table8[[#This Row],[Document ID]],Table1[],8,FALSE)</f>
        <v>LTS 1.0</v>
      </c>
      <c r="G2667" s="233" t="str">
        <f>VLOOKUP(Table8[[#This Row],[Document ID]],Table1[],10,FALSE)</f>
        <v>Active</v>
      </c>
      <c r="H2667" s="43" t="s">
        <v>2343</v>
      </c>
      <c r="I2667" s="43" t="s">
        <v>2429</v>
      </c>
      <c r="J2667" s="44" t="s">
        <v>2472</v>
      </c>
      <c r="K2667" s="44" t="s">
        <v>4756</v>
      </c>
      <c r="L2667" s="44" t="s">
        <v>2333</v>
      </c>
      <c r="M2667" s="43">
        <v>114</v>
      </c>
      <c r="N2667" s="113" t="s">
        <v>1113</v>
      </c>
      <c r="O2667" s="113"/>
      <c r="P2667" s="113"/>
      <c r="Q2667" s="113"/>
      <c r="R2667" s="113"/>
      <c r="S2667" s="113"/>
      <c r="T2667" s="113"/>
      <c r="U2667" s="113"/>
      <c r="V2667" s="113"/>
      <c r="W2667" s="113"/>
      <c r="X2667" s="113"/>
      <c r="Y2667" s="113"/>
      <c r="Z2667" s="113"/>
      <c r="AA2667" s="113"/>
      <c r="AB2667" s="113"/>
      <c r="AC2667" s="113"/>
      <c r="AD2667" s="113"/>
      <c r="AE2667" s="113"/>
      <c r="AF2667" s="113"/>
      <c r="AG2667" s="113"/>
      <c r="AH2667" s="113"/>
      <c r="AI2667" s="113"/>
      <c r="AJ2667" s="113"/>
      <c r="AK2667" s="113" t="s">
        <v>1113</v>
      </c>
      <c r="AL2667" s="113"/>
      <c r="AM2667" s="113"/>
      <c r="AN2667" s="113"/>
      <c r="AO2667" s="43" t="s">
        <v>2353</v>
      </c>
      <c r="AP2667" s="43"/>
      <c r="AQ2667" s="236" t="str">
        <f>VLOOKUP(Table8[[#This Row],[Instrument]],Def_Targets!$D$73:$E$159,2,FALSE)</f>
        <v>I_Other</v>
      </c>
      <c r="AR2667" s="233" t="str">
        <f>VLOOKUP(Table8[[#This Row],[Country Code]],Table29[],3,FALSE)</f>
        <v>Non-Annex I</v>
      </c>
      <c r="AS2667" s="233" t="str">
        <f>VLOOKUP(Table8[[#This Row],[Country Code]],Table29[],4,FALSE)</f>
        <v>Asia</v>
      </c>
      <c r="AT2667" s="233" t="str">
        <f>VLOOKUP(Table8[[#This Row],[Country Code]],Table29[],5,FALSE)</f>
        <v>High-income</v>
      </c>
      <c r="AU2667" s="233" t="str">
        <f>VLOOKUP(Table8[[#This Row],[Country Code]],Table29[],6,FALSE)</f>
        <v>no</v>
      </c>
      <c r="AV2667" s="233" t="str">
        <f>VLOOKUP(Table8[[#This Row],[Country Code]],Table29[],7,FALSE)</f>
        <v>no</v>
      </c>
      <c r="AW2667" s="233" t="str">
        <f>VLOOKUP(Table8[[#This Row],[Country Code]],Table29[],8,FALSE)</f>
        <v>non-OECD</v>
      </c>
      <c r="AX2667" s="233" t="str">
        <f>VLOOKUP(Table8[[#This Row],[Country Code]],Table29[],9,FALSE)</f>
        <v>no</v>
      </c>
      <c r="AY2667" s="233" t="str">
        <f>VLOOKUP(Table8[[#This Row],[Country Code]],Table29[],10,FALSE)</f>
        <v>MENA</v>
      </c>
      <c r="AZ2667" s="235">
        <f>VLOOKUP(Table8[[#This Row],[Country Code]],Table29[],23,FALSE)</f>
        <v>267.82319378585998</v>
      </c>
      <c r="BA2667" s="235">
        <f>VLOOKUP(Table8[[#This Row],[Country Code]],Table29[],24,FALSE)</f>
        <v>43.860911308351241</v>
      </c>
      <c r="BB2667" s="320"/>
      <c r="BC2667" s="320"/>
    </row>
    <row r="2668" spans="1:55" ht="15" hidden="1" customHeight="1" x14ac:dyDescent="0.25">
      <c r="A2668" s="373">
        <v>41741</v>
      </c>
      <c r="B2668" s="233" t="str">
        <f>VLOOKUP(Table8[[#This Row],[Document ID]],Table1[],2,FALSE)</f>
        <v>ARE</v>
      </c>
      <c r="C2668" s="233" t="str">
        <f>VLOOKUP(Table8[[#This Row],[Document ID]],Table1[],3,FALSE)</f>
        <v>United Arab Emirates</v>
      </c>
      <c r="D2668" s="243" t="str">
        <f>VLOOKUP(Table8[[#This Row],[Document ID]],Table1[],5,FALSE)</f>
        <v>LTS</v>
      </c>
      <c r="E2668" s="233" t="str">
        <f>VLOOKUP(Table8[[#This Row],[Document ID]],Table1[],7,FALSE)</f>
        <v>LTS</v>
      </c>
      <c r="F2668" s="233" t="str">
        <f>VLOOKUP(Table8[[#This Row],[Document ID]],Table1[],8,FALSE)</f>
        <v>LTS 1.0</v>
      </c>
      <c r="G2668" s="233" t="str">
        <f>VLOOKUP(Table8[[#This Row],[Document ID]],Table1[],10,FALSE)</f>
        <v>Active</v>
      </c>
      <c r="H2668" s="43" t="s">
        <v>2343</v>
      </c>
      <c r="I2668" s="43" t="s">
        <v>2429</v>
      </c>
      <c r="J2668" s="44" t="s">
        <v>2501</v>
      </c>
      <c r="K2668" s="44" t="s">
        <v>4757</v>
      </c>
      <c r="L2668" s="44" t="s">
        <v>2333</v>
      </c>
      <c r="M2668" s="43">
        <v>115</v>
      </c>
      <c r="N2668" s="113" t="s">
        <v>1113</v>
      </c>
      <c r="O2668" s="113"/>
      <c r="P2668" s="113"/>
      <c r="Q2668" s="113"/>
      <c r="R2668" s="113"/>
      <c r="S2668" s="113"/>
      <c r="T2668" s="113"/>
      <c r="U2668" s="113"/>
      <c r="V2668" s="113"/>
      <c r="W2668" s="113"/>
      <c r="X2668" s="113"/>
      <c r="Y2668" s="113"/>
      <c r="Z2668" s="113"/>
      <c r="AA2668" s="113"/>
      <c r="AB2668" s="113"/>
      <c r="AC2668" s="113"/>
      <c r="AD2668" s="113"/>
      <c r="AE2668" s="113"/>
      <c r="AF2668" s="113"/>
      <c r="AG2668" s="113"/>
      <c r="AH2668" s="113"/>
      <c r="AI2668" s="113"/>
      <c r="AJ2668" s="113"/>
      <c r="AK2668" s="113" t="s">
        <v>1113</v>
      </c>
      <c r="AL2668" s="113"/>
      <c r="AM2668" s="113"/>
      <c r="AN2668" s="113"/>
      <c r="AO2668" s="44" t="s">
        <v>2334</v>
      </c>
      <c r="AP2668" s="43"/>
      <c r="AQ2668" s="236" t="str">
        <f>VLOOKUP(Table8[[#This Row],[Instrument]],Def_Targets!$D$73:$E$159,2,FALSE)</f>
        <v>I_Autonomous</v>
      </c>
      <c r="AR2668" s="233" t="str">
        <f>VLOOKUP(Table8[[#This Row],[Country Code]],Table29[],3,FALSE)</f>
        <v>Non-Annex I</v>
      </c>
      <c r="AS2668" s="233" t="str">
        <f>VLOOKUP(Table8[[#This Row],[Country Code]],Table29[],4,FALSE)</f>
        <v>Asia</v>
      </c>
      <c r="AT2668" s="233" t="str">
        <f>VLOOKUP(Table8[[#This Row],[Country Code]],Table29[],5,FALSE)</f>
        <v>High-income</v>
      </c>
      <c r="AU2668" s="233" t="str">
        <f>VLOOKUP(Table8[[#This Row],[Country Code]],Table29[],6,FALSE)</f>
        <v>no</v>
      </c>
      <c r="AV2668" s="233" t="str">
        <f>VLOOKUP(Table8[[#This Row],[Country Code]],Table29[],7,FALSE)</f>
        <v>no</v>
      </c>
      <c r="AW2668" s="233" t="str">
        <f>VLOOKUP(Table8[[#This Row],[Country Code]],Table29[],8,FALSE)</f>
        <v>non-OECD</v>
      </c>
      <c r="AX2668" s="233" t="str">
        <f>VLOOKUP(Table8[[#This Row],[Country Code]],Table29[],9,FALSE)</f>
        <v>no</v>
      </c>
      <c r="AY2668" s="233" t="str">
        <f>VLOOKUP(Table8[[#This Row],[Country Code]],Table29[],10,FALSE)</f>
        <v>MENA</v>
      </c>
      <c r="AZ2668" s="235">
        <f>VLOOKUP(Table8[[#This Row],[Country Code]],Table29[],23,FALSE)</f>
        <v>267.82319378585998</v>
      </c>
      <c r="BA2668" s="235">
        <f>VLOOKUP(Table8[[#This Row],[Country Code]],Table29[],24,FALSE)</f>
        <v>43.860911308351241</v>
      </c>
      <c r="BB2668" s="320"/>
      <c r="BC2668" s="320"/>
    </row>
    <row r="2669" spans="1:55" ht="15" hidden="1" customHeight="1" x14ac:dyDescent="0.25">
      <c r="A2669" s="373">
        <v>41741</v>
      </c>
      <c r="B2669" s="233" t="str">
        <f>VLOOKUP(Table8[[#This Row],[Document ID]],Table1[],2,FALSE)</f>
        <v>ARE</v>
      </c>
      <c r="C2669" s="233" t="str">
        <f>VLOOKUP(Table8[[#This Row],[Document ID]],Table1[],3,FALSE)</f>
        <v>United Arab Emirates</v>
      </c>
      <c r="D2669" s="243" t="str">
        <f>VLOOKUP(Table8[[#This Row],[Document ID]],Table1[],5,FALSE)</f>
        <v>LTS</v>
      </c>
      <c r="E2669" s="233" t="str">
        <f>VLOOKUP(Table8[[#This Row],[Document ID]],Table1[],7,FALSE)</f>
        <v>LTS</v>
      </c>
      <c r="F2669" s="233" t="str">
        <f>VLOOKUP(Table8[[#This Row],[Document ID]],Table1[],8,FALSE)</f>
        <v>LTS 1.0</v>
      </c>
      <c r="G2669" s="233" t="str">
        <f>VLOOKUP(Table8[[#This Row],[Document ID]],Table1[],10,FALSE)</f>
        <v>Active</v>
      </c>
      <c r="H2669" s="43" t="s">
        <v>2343</v>
      </c>
      <c r="I2669" s="43" t="s">
        <v>2429</v>
      </c>
      <c r="J2669" s="44" t="s">
        <v>2501</v>
      </c>
      <c r="K2669" s="44" t="s">
        <v>4758</v>
      </c>
      <c r="L2669" s="44" t="s">
        <v>2333</v>
      </c>
      <c r="M2669" s="43">
        <v>115</v>
      </c>
      <c r="N2669" s="113"/>
      <c r="O2669" s="113"/>
      <c r="P2669" s="113"/>
      <c r="Q2669" s="113"/>
      <c r="R2669" s="113"/>
      <c r="S2669" s="113" t="s">
        <v>1113</v>
      </c>
      <c r="T2669" s="113"/>
      <c r="U2669" s="113"/>
      <c r="V2669" s="113"/>
      <c r="W2669" s="113"/>
      <c r="X2669" s="113"/>
      <c r="Y2669" s="113"/>
      <c r="Z2669" s="113"/>
      <c r="AA2669" s="113"/>
      <c r="AB2669" s="113"/>
      <c r="AC2669" s="113"/>
      <c r="AD2669" s="113"/>
      <c r="AE2669" s="113"/>
      <c r="AF2669" s="113"/>
      <c r="AG2669" s="113"/>
      <c r="AH2669" s="113"/>
      <c r="AI2669" s="113"/>
      <c r="AJ2669" s="113"/>
      <c r="AK2669" s="113" t="s">
        <v>1113</v>
      </c>
      <c r="AL2669" s="113"/>
      <c r="AM2669" s="113"/>
      <c r="AN2669" s="113"/>
      <c r="AO2669" s="44" t="s">
        <v>2334</v>
      </c>
      <c r="AP2669" s="43"/>
      <c r="AQ2669" s="236" t="str">
        <f>VLOOKUP(Table8[[#This Row],[Instrument]],Def_Targets!$D$73:$E$159,2,FALSE)</f>
        <v>I_Autonomous</v>
      </c>
      <c r="AR2669" s="233" t="str">
        <f>VLOOKUP(Table8[[#This Row],[Country Code]],Table29[],3,FALSE)</f>
        <v>Non-Annex I</v>
      </c>
      <c r="AS2669" s="233" t="str">
        <f>VLOOKUP(Table8[[#This Row],[Country Code]],Table29[],4,FALSE)</f>
        <v>Asia</v>
      </c>
      <c r="AT2669" s="233" t="str">
        <f>VLOOKUP(Table8[[#This Row],[Country Code]],Table29[],5,FALSE)</f>
        <v>High-income</v>
      </c>
      <c r="AU2669" s="233" t="str">
        <f>VLOOKUP(Table8[[#This Row],[Country Code]],Table29[],6,FALSE)</f>
        <v>no</v>
      </c>
      <c r="AV2669" s="233" t="str">
        <f>VLOOKUP(Table8[[#This Row],[Country Code]],Table29[],7,FALSE)</f>
        <v>no</v>
      </c>
      <c r="AW2669" s="233" t="str">
        <f>VLOOKUP(Table8[[#This Row],[Country Code]],Table29[],8,FALSE)</f>
        <v>non-OECD</v>
      </c>
      <c r="AX2669" s="233" t="str">
        <f>VLOOKUP(Table8[[#This Row],[Country Code]],Table29[],9,FALSE)</f>
        <v>no</v>
      </c>
      <c r="AY2669" s="233" t="str">
        <f>VLOOKUP(Table8[[#This Row],[Country Code]],Table29[],10,FALSE)</f>
        <v>MENA</v>
      </c>
      <c r="AZ2669" s="235">
        <f>VLOOKUP(Table8[[#This Row],[Country Code]],Table29[],23,FALSE)</f>
        <v>267.82319378585998</v>
      </c>
      <c r="BA2669" s="235">
        <f>VLOOKUP(Table8[[#This Row],[Country Code]],Table29[],24,FALSE)</f>
        <v>43.860911308351241</v>
      </c>
      <c r="BB2669" s="320"/>
      <c r="BC2669" s="320"/>
    </row>
    <row r="2670" spans="1:55" ht="15" hidden="1" customHeight="1" x14ac:dyDescent="0.25">
      <c r="A2670" s="373">
        <v>41741</v>
      </c>
      <c r="B2670" s="233" t="str">
        <f>VLOOKUP(Table8[[#This Row],[Document ID]],Table1[],2,FALSE)</f>
        <v>ARE</v>
      </c>
      <c r="C2670" s="233" t="str">
        <f>VLOOKUP(Table8[[#This Row],[Document ID]],Table1[],3,FALSE)</f>
        <v>United Arab Emirates</v>
      </c>
      <c r="D2670" s="243" t="str">
        <f>VLOOKUP(Table8[[#This Row],[Document ID]],Table1[],5,FALSE)</f>
        <v>LTS</v>
      </c>
      <c r="E2670" s="233" t="str">
        <f>VLOOKUP(Table8[[#This Row],[Document ID]],Table1[],7,FALSE)</f>
        <v>LTS</v>
      </c>
      <c r="F2670" s="233" t="str">
        <f>VLOOKUP(Table8[[#This Row],[Document ID]],Table1[],8,FALSE)</f>
        <v>LTS 1.0</v>
      </c>
      <c r="G2670" s="233" t="str">
        <f>VLOOKUP(Table8[[#This Row],[Document ID]],Table1[],10,FALSE)</f>
        <v>Active</v>
      </c>
      <c r="H2670" s="43" t="s">
        <v>2343</v>
      </c>
      <c r="I2670" s="43" t="s">
        <v>2344</v>
      </c>
      <c r="J2670" s="44" t="s">
        <v>2345</v>
      </c>
      <c r="K2670" s="44" t="s">
        <v>4759</v>
      </c>
      <c r="L2670" s="44" t="s">
        <v>2347</v>
      </c>
      <c r="M2670" s="43">
        <v>115</v>
      </c>
      <c r="N2670" s="113"/>
      <c r="O2670" s="113"/>
      <c r="P2670" s="113"/>
      <c r="Q2670" s="113"/>
      <c r="R2670" s="113"/>
      <c r="S2670" s="113"/>
      <c r="T2670" s="113"/>
      <c r="U2670" s="113"/>
      <c r="V2670" s="113"/>
      <c r="W2670" s="113"/>
      <c r="X2670" s="113"/>
      <c r="Y2670" s="113"/>
      <c r="Z2670" s="113" t="s">
        <v>1113</v>
      </c>
      <c r="AA2670" s="113"/>
      <c r="AB2670" s="113"/>
      <c r="AC2670" s="113"/>
      <c r="AD2670" s="113"/>
      <c r="AE2670" s="113"/>
      <c r="AF2670" s="113"/>
      <c r="AG2670" s="113"/>
      <c r="AH2670" s="113"/>
      <c r="AI2670" s="113"/>
      <c r="AJ2670" s="113"/>
      <c r="AK2670" s="113"/>
      <c r="AL2670" s="113"/>
      <c r="AM2670" s="113"/>
      <c r="AN2670" s="113" t="s">
        <v>1113</v>
      </c>
      <c r="AO2670" s="43" t="s">
        <v>2348</v>
      </c>
      <c r="AP2670" s="43"/>
      <c r="AQ2670" s="236" t="str">
        <f>VLOOKUP(Table8[[#This Row],[Instrument]],Def_Targets!$D$73:$E$159,2,FALSE)</f>
        <v>S_PublicTransport</v>
      </c>
      <c r="AR2670" s="233" t="str">
        <f>VLOOKUP(Table8[[#This Row],[Country Code]],Table29[],3,FALSE)</f>
        <v>Non-Annex I</v>
      </c>
      <c r="AS2670" s="233" t="str">
        <f>VLOOKUP(Table8[[#This Row],[Country Code]],Table29[],4,FALSE)</f>
        <v>Asia</v>
      </c>
      <c r="AT2670" s="233" t="str">
        <f>VLOOKUP(Table8[[#This Row],[Country Code]],Table29[],5,FALSE)</f>
        <v>High-income</v>
      </c>
      <c r="AU2670" s="233" t="str">
        <f>VLOOKUP(Table8[[#This Row],[Country Code]],Table29[],6,FALSE)</f>
        <v>no</v>
      </c>
      <c r="AV2670" s="233" t="str">
        <f>VLOOKUP(Table8[[#This Row],[Country Code]],Table29[],7,FALSE)</f>
        <v>no</v>
      </c>
      <c r="AW2670" s="233" t="str">
        <f>VLOOKUP(Table8[[#This Row],[Country Code]],Table29[],8,FALSE)</f>
        <v>non-OECD</v>
      </c>
      <c r="AX2670" s="233" t="str">
        <f>VLOOKUP(Table8[[#This Row],[Country Code]],Table29[],9,FALSE)</f>
        <v>no</v>
      </c>
      <c r="AY2670" s="233" t="str">
        <f>VLOOKUP(Table8[[#This Row],[Country Code]],Table29[],10,FALSE)</f>
        <v>MENA</v>
      </c>
      <c r="AZ2670" s="235">
        <f>VLOOKUP(Table8[[#This Row],[Country Code]],Table29[],23,FALSE)</f>
        <v>267.82319378585998</v>
      </c>
      <c r="BA2670" s="235">
        <f>VLOOKUP(Table8[[#This Row],[Country Code]],Table29[],24,FALSE)</f>
        <v>43.860911308351241</v>
      </c>
      <c r="BB2670" s="320"/>
      <c r="BC2670" s="320"/>
    </row>
    <row r="2671" spans="1:55" ht="15" hidden="1" customHeight="1" x14ac:dyDescent="0.25">
      <c r="A2671" s="373">
        <v>41741</v>
      </c>
      <c r="B2671" s="233" t="str">
        <f>VLOOKUP(Table8[[#This Row],[Document ID]],Table1[],2,FALSE)</f>
        <v>ARE</v>
      </c>
      <c r="C2671" s="233" t="str">
        <f>VLOOKUP(Table8[[#This Row],[Document ID]],Table1[],3,FALSE)</f>
        <v>United Arab Emirates</v>
      </c>
      <c r="D2671" s="243" t="str">
        <f>VLOOKUP(Table8[[#This Row],[Document ID]],Table1[],5,FALSE)</f>
        <v>LTS</v>
      </c>
      <c r="E2671" s="233" t="str">
        <f>VLOOKUP(Table8[[#This Row],[Document ID]],Table1[],7,FALSE)</f>
        <v>LTS</v>
      </c>
      <c r="F2671" s="233" t="str">
        <f>VLOOKUP(Table8[[#This Row],[Document ID]],Table1[],8,FALSE)</f>
        <v>LTS 1.0</v>
      </c>
      <c r="G2671" s="233" t="str">
        <f>VLOOKUP(Table8[[#This Row],[Document ID]],Table1[],10,FALSE)</f>
        <v>Active</v>
      </c>
      <c r="H2671" s="43" t="s">
        <v>2343</v>
      </c>
      <c r="I2671" s="43" t="s">
        <v>2429</v>
      </c>
      <c r="J2671" s="44" t="s">
        <v>2472</v>
      </c>
      <c r="K2671" s="44" t="s">
        <v>4760</v>
      </c>
      <c r="L2671" s="44" t="s">
        <v>2396</v>
      </c>
      <c r="M2671" s="43">
        <v>115</v>
      </c>
      <c r="N2671" s="113"/>
      <c r="O2671" s="113"/>
      <c r="P2671" s="113"/>
      <c r="Q2671" s="113"/>
      <c r="R2671" s="113"/>
      <c r="S2671" s="113"/>
      <c r="T2671" s="113"/>
      <c r="U2671" s="113"/>
      <c r="V2671" s="113"/>
      <c r="W2671" s="113"/>
      <c r="X2671" s="113"/>
      <c r="Y2671" s="113"/>
      <c r="Z2671" s="113"/>
      <c r="AA2671" s="113"/>
      <c r="AB2671" s="113"/>
      <c r="AC2671" s="113"/>
      <c r="AD2671" s="113"/>
      <c r="AE2671" s="113"/>
      <c r="AF2671" s="113"/>
      <c r="AG2671" s="113"/>
      <c r="AH2671" s="113" t="s">
        <v>1113</v>
      </c>
      <c r="AI2671" s="113"/>
      <c r="AJ2671" s="113"/>
      <c r="AK2671" s="113" t="s">
        <v>1113</v>
      </c>
      <c r="AL2671" s="113"/>
      <c r="AM2671" s="113"/>
      <c r="AN2671" s="113"/>
      <c r="AO2671" s="43" t="s">
        <v>2348</v>
      </c>
      <c r="AP2671" s="43"/>
      <c r="AQ2671" s="236" t="str">
        <f>VLOOKUP(Table8[[#This Row],[Instrument]],Def_Targets!$D$73:$E$159,2,FALSE)</f>
        <v>I_Other</v>
      </c>
      <c r="AR2671" s="233" t="str">
        <f>VLOOKUP(Table8[[#This Row],[Country Code]],Table29[],3,FALSE)</f>
        <v>Non-Annex I</v>
      </c>
      <c r="AS2671" s="233" t="str">
        <f>VLOOKUP(Table8[[#This Row],[Country Code]],Table29[],4,FALSE)</f>
        <v>Asia</v>
      </c>
      <c r="AT2671" s="233" t="str">
        <f>VLOOKUP(Table8[[#This Row],[Country Code]],Table29[],5,FALSE)</f>
        <v>High-income</v>
      </c>
      <c r="AU2671" s="233" t="str">
        <f>VLOOKUP(Table8[[#This Row],[Country Code]],Table29[],6,FALSE)</f>
        <v>no</v>
      </c>
      <c r="AV2671" s="233" t="str">
        <f>VLOOKUP(Table8[[#This Row],[Country Code]],Table29[],7,FALSE)</f>
        <v>no</v>
      </c>
      <c r="AW2671" s="233" t="str">
        <f>VLOOKUP(Table8[[#This Row],[Country Code]],Table29[],8,FALSE)</f>
        <v>non-OECD</v>
      </c>
      <c r="AX2671" s="233" t="str">
        <f>VLOOKUP(Table8[[#This Row],[Country Code]],Table29[],9,FALSE)</f>
        <v>no</v>
      </c>
      <c r="AY2671" s="233" t="str">
        <f>VLOOKUP(Table8[[#This Row],[Country Code]],Table29[],10,FALSE)</f>
        <v>MENA</v>
      </c>
      <c r="AZ2671" s="235">
        <f>VLOOKUP(Table8[[#This Row],[Country Code]],Table29[],23,FALSE)</f>
        <v>267.82319378585998</v>
      </c>
      <c r="BA2671" s="235">
        <f>VLOOKUP(Table8[[#This Row],[Country Code]],Table29[],24,FALSE)</f>
        <v>43.860911308351241</v>
      </c>
      <c r="BB2671" s="320"/>
      <c r="BC2671" s="320"/>
    </row>
    <row r="2672" spans="1:55" ht="15" hidden="1" customHeight="1" x14ac:dyDescent="0.25">
      <c r="A2672" s="373">
        <v>41741</v>
      </c>
      <c r="B2672" s="233" t="str">
        <f>VLOOKUP(Table8[[#This Row],[Document ID]],Table1[],2,FALSE)</f>
        <v>ARE</v>
      </c>
      <c r="C2672" s="233" t="str">
        <f>VLOOKUP(Table8[[#This Row],[Document ID]],Table1[],3,FALSE)</f>
        <v>United Arab Emirates</v>
      </c>
      <c r="D2672" s="243" t="str">
        <f>VLOOKUP(Table8[[#This Row],[Document ID]],Table1[],5,FALSE)</f>
        <v>LTS</v>
      </c>
      <c r="E2672" s="233" t="str">
        <f>VLOOKUP(Table8[[#This Row],[Document ID]],Table1[],7,FALSE)</f>
        <v>LTS</v>
      </c>
      <c r="F2672" s="233" t="str">
        <f>VLOOKUP(Table8[[#This Row],[Document ID]],Table1[],8,FALSE)</f>
        <v>LTS 1.0</v>
      </c>
      <c r="G2672" s="233" t="str">
        <f>VLOOKUP(Table8[[#This Row],[Document ID]],Table1[],10,FALSE)</f>
        <v>Active</v>
      </c>
      <c r="H2672" s="43" t="s">
        <v>2343</v>
      </c>
      <c r="I2672" s="43" t="s">
        <v>2429</v>
      </c>
      <c r="J2672" s="44" t="s">
        <v>2501</v>
      </c>
      <c r="K2672" s="44" t="s">
        <v>4761</v>
      </c>
      <c r="L2672" s="44" t="s">
        <v>2347</v>
      </c>
      <c r="M2672" s="43">
        <v>115</v>
      </c>
      <c r="N2672" s="113" t="s">
        <v>1113</v>
      </c>
      <c r="O2672" s="113"/>
      <c r="P2672" s="113"/>
      <c r="Q2672" s="113"/>
      <c r="R2672" s="113"/>
      <c r="S2672" s="113"/>
      <c r="T2672" s="113"/>
      <c r="U2672" s="113"/>
      <c r="V2672" s="113"/>
      <c r="W2672" s="113"/>
      <c r="X2672" s="113"/>
      <c r="Y2672" s="113"/>
      <c r="Z2672" s="113"/>
      <c r="AA2672" s="113"/>
      <c r="AB2672" s="113"/>
      <c r="AC2672" s="113"/>
      <c r="AD2672" s="113"/>
      <c r="AE2672" s="113"/>
      <c r="AF2672" s="113"/>
      <c r="AG2672" s="113"/>
      <c r="AH2672" s="113"/>
      <c r="AI2672" s="113"/>
      <c r="AJ2672" s="113"/>
      <c r="AK2672" s="113"/>
      <c r="AL2672" s="113" t="s">
        <v>1113</v>
      </c>
      <c r="AM2672" s="113"/>
      <c r="AN2672" s="113"/>
      <c r="AO2672" s="43" t="s">
        <v>2348</v>
      </c>
      <c r="AP2672" s="43"/>
      <c r="AQ2672" s="236" t="str">
        <f>VLOOKUP(Table8[[#This Row],[Instrument]],Def_Targets!$D$73:$E$159,2,FALSE)</f>
        <v>I_Autonomous</v>
      </c>
      <c r="AR2672" s="233" t="str">
        <f>VLOOKUP(Table8[[#This Row],[Country Code]],Table29[],3,FALSE)</f>
        <v>Non-Annex I</v>
      </c>
      <c r="AS2672" s="233" t="str">
        <f>VLOOKUP(Table8[[#This Row],[Country Code]],Table29[],4,FALSE)</f>
        <v>Asia</v>
      </c>
      <c r="AT2672" s="233" t="str">
        <f>VLOOKUP(Table8[[#This Row],[Country Code]],Table29[],5,FALSE)</f>
        <v>High-income</v>
      </c>
      <c r="AU2672" s="233" t="str">
        <f>VLOOKUP(Table8[[#This Row],[Country Code]],Table29[],6,FALSE)</f>
        <v>no</v>
      </c>
      <c r="AV2672" s="233" t="str">
        <f>VLOOKUP(Table8[[#This Row],[Country Code]],Table29[],7,FALSE)</f>
        <v>no</v>
      </c>
      <c r="AW2672" s="233" t="str">
        <f>VLOOKUP(Table8[[#This Row],[Country Code]],Table29[],8,FALSE)</f>
        <v>non-OECD</v>
      </c>
      <c r="AX2672" s="233" t="str">
        <f>VLOOKUP(Table8[[#This Row],[Country Code]],Table29[],9,FALSE)</f>
        <v>no</v>
      </c>
      <c r="AY2672" s="233" t="str">
        <f>VLOOKUP(Table8[[#This Row],[Country Code]],Table29[],10,FALSE)</f>
        <v>MENA</v>
      </c>
      <c r="AZ2672" s="235">
        <f>VLOOKUP(Table8[[#This Row],[Country Code]],Table29[],23,FALSE)</f>
        <v>267.82319378585998</v>
      </c>
      <c r="BA2672" s="235">
        <f>VLOOKUP(Table8[[#This Row],[Country Code]],Table29[],24,FALSE)</f>
        <v>43.860911308351241</v>
      </c>
      <c r="BB2672" s="320"/>
      <c r="BC2672" s="320"/>
    </row>
    <row r="2673" spans="1:55" ht="15" hidden="1" customHeight="1" x14ac:dyDescent="0.25">
      <c r="A2673" s="373">
        <v>41741</v>
      </c>
      <c r="B2673" s="233" t="str">
        <f>VLOOKUP(Table8[[#This Row],[Document ID]],Table1[],2,FALSE)</f>
        <v>ARE</v>
      </c>
      <c r="C2673" s="233" t="str">
        <f>VLOOKUP(Table8[[#This Row],[Document ID]],Table1[],3,FALSE)</f>
        <v>United Arab Emirates</v>
      </c>
      <c r="D2673" s="243" t="str">
        <f>VLOOKUP(Table8[[#This Row],[Document ID]],Table1[],5,FALSE)</f>
        <v>LTS</v>
      </c>
      <c r="E2673" s="233" t="str">
        <f>VLOOKUP(Table8[[#This Row],[Document ID]],Table1[],7,FALSE)</f>
        <v>LTS</v>
      </c>
      <c r="F2673" s="233" t="str">
        <f>VLOOKUP(Table8[[#This Row],[Document ID]],Table1[],8,FALSE)</f>
        <v>LTS 1.0</v>
      </c>
      <c r="G2673" s="233" t="str">
        <f>VLOOKUP(Table8[[#This Row],[Document ID]],Table1[],10,FALSE)</f>
        <v>Active</v>
      </c>
      <c r="H2673" s="43" t="s">
        <v>2350</v>
      </c>
      <c r="I2673" s="43" t="s">
        <v>2456</v>
      </c>
      <c r="J2673" s="44" t="s">
        <v>2466</v>
      </c>
      <c r="K2673" s="44" t="s">
        <v>4762</v>
      </c>
      <c r="L2673" s="44" t="s">
        <v>2333</v>
      </c>
      <c r="M2673" s="43" t="s">
        <v>4763</v>
      </c>
      <c r="N2673" s="113"/>
      <c r="O2673" s="113"/>
      <c r="P2673" s="113"/>
      <c r="Q2673" s="113"/>
      <c r="R2673" s="113"/>
      <c r="S2673" s="113"/>
      <c r="T2673" s="113"/>
      <c r="U2673" s="113"/>
      <c r="V2673" s="113"/>
      <c r="W2673" s="113"/>
      <c r="X2673" s="113"/>
      <c r="Y2673" s="113"/>
      <c r="Z2673" s="113" t="s">
        <v>1113</v>
      </c>
      <c r="AA2673" s="113"/>
      <c r="AB2673" s="113"/>
      <c r="AC2673" s="113"/>
      <c r="AD2673" s="113"/>
      <c r="AE2673" s="113"/>
      <c r="AF2673" s="113"/>
      <c r="AG2673" s="113"/>
      <c r="AH2673" s="113"/>
      <c r="AI2673" s="113"/>
      <c r="AJ2673" s="113"/>
      <c r="AK2673" s="113"/>
      <c r="AL2673" s="113" t="s">
        <v>1113</v>
      </c>
      <c r="AM2673" s="113"/>
      <c r="AN2673" s="113"/>
      <c r="AO2673" s="43" t="s">
        <v>2477</v>
      </c>
      <c r="AP2673" s="43"/>
      <c r="AQ2673" s="236" t="str">
        <f>VLOOKUP(Table8[[#This Row],[Instrument]],Def_Targets!$D$73:$E$159,2,FALSE)</f>
        <v>S_Infraexpansion</v>
      </c>
      <c r="AR2673" s="233" t="str">
        <f>VLOOKUP(Table8[[#This Row],[Country Code]],Table29[],3,FALSE)</f>
        <v>Non-Annex I</v>
      </c>
      <c r="AS2673" s="233" t="str">
        <f>VLOOKUP(Table8[[#This Row],[Country Code]],Table29[],4,FALSE)</f>
        <v>Asia</v>
      </c>
      <c r="AT2673" s="233" t="str">
        <f>VLOOKUP(Table8[[#This Row],[Country Code]],Table29[],5,FALSE)</f>
        <v>High-income</v>
      </c>
      <c r="AU2673" s="233" t="str">
        <f>VLOOKUP(Table8[[#This Row],[Country Code]],Table29[],6,FALSE)</f>
        <v>no</v>
      </c>
      <c r="AV2673" s="233" t="str">
        <f>VLOOKUP(Table8[[#This Row],[Country Code]],Table29[],7,FALSE)</f>
        <v>no</v>
      </c>
      <c r="AW2673" s="233" t="str">
        <f>VLOOKUP(Table8[[#This Row],[Country Code]],Table29[],8,FALSE)</f>
        <v>non-OECD</v>
      </c>
      <c r="AX2673" s="233" t="str">
        <f>VLOOKUP(Table8[[#This Row],[Country Code]],Table29[],9,FALSE)</f>
        <v>no</v>
      </c>
      <c r="AY2673" s="233" t="str">
        <f>VLOOKUP(Table8[[#This Row],[Country Code]],Table29[],10,FALSE)</f>
        <v>MENA</v>
      </c>
      <c r="AZ2673" s="235">
        <f>VLOOKUP(Table8[[#This Row],[Country Code]],Table29[],23,FALSE)</f>
        <v>267.82319378585998</v>
      </c>
      <c r="BA2673" s="235">
        <f>VLOOKUP(Table8[[#This Row],[Country Code]],Table29[],24,FALSE)</f>
        <v>43.860911308351241</v>
      </c>
      <c r="BB2673" s="320"/>
      <c r="BC2673" s="320"/>
    </row>
    <row r="2674" spans="1:55" ht="15" hidden="1" customHeight="1" x14ac:dyDescent="0.25">
      <c r="A2674" s="373">
        <v>26792</v>
      </c>
      <c r="B2674" s="233" t="str">
        <f>VLOOKUP(Table8[[#This Row],[Document ID]],Table1[],2,FALSE)</f>
        <v>GBR</v>
      </c>
      <c r="C2674" s="233" t="str">
        <f>VLOOKUP(Table8[[#This Row],[Document ID]],Table1[],3,FALSE)</f>
        <v>United Kingdom</v>
      </c>
      <c r="D2674" s="243" t="str">
        <f>VLOOKUP(Table8[[#This Row],[Document ID]],Table1[],5,FALSE)</f>
        <v>LTS</v>
      </c>
      <c r="E2674" s="233" t="str">
        <f>VLOOKUP(Table8[[#This Row],[Document ID]],Table1[],7,FALSE)</f>
        <v>LTS</v>
      </c>
      <c r="F2674" s="233" t="str">
        <f>VLOOKUP(Table8[[#This Row],[Document ID]],Table1[],8,FALSE)</f>
        <v>LTS 1.1</v>
      </c>
      <c r="G2674" s="233" t="str">
        <f>VLOOKUP(Table8[[#This Row],[Document ID]],Table1[],10,FALSE)</f>
        <v>Active</v>
      </c>
      <c r="H2674" s="43" t="s">
        <v>2358</v>
      </c>
      <c r="I2674" s="43" t="s">
        <v>2359</v>
      </c>
      <c r="J2674" s="44" t="s">
        <v>2383</v>
      </c>
      <c r="K2674" s="44" t="s">
        <v>4764</v>
      </c>
      <c r="L2674" s="44" t="s">
        <v>2333</v>
      </c>
      <c r="M2674" s="43">
        <v>152</v>
      </c>
      <c r="N2674" s="113" t="s">
        <v>1113</v>
      </c>
      <c r="O2674" s="113"/>
      <c r="P2674" s="113"/>
      <c r="Q2674" s="113"/>
      <c r="R2674" s="113"/>
      <c r="S2674" s="113"/>
      <c r="T2674" s="113"/>
      <c r="U2674" s="113"/>
      <c r="V2674" s="113"/>
      <c r="W2674" s="113"/>
      <c r="X2674" s="113"/>
      <c r="Y2674" s="113"/>
      <c r="Z2674" s="113"/>
      <c r="AA2674" s="113"/>
      <c r="AB2674" s="113"/>
      <c r="AC2674" s="113"/>
      <c r="AD2674" s="113"/>
      <c r="AE2674" s="113"/>
      <c r="AF2674" s="113"/>
      <c r="AG2674" s="113"/>
      <c r="AH2674" s="113"/>
      <c r="AI2674" s="113"/>
      <c r="AJ2674" s="113"/>
      <c r="AK2674" s="113" t="s">
        <v>1113</v>
      </c>
      <c r="AL2674" s="113"/>
      <c r="AM2674" s="113"/>
      <c r="AN2674" s="113"/>
      <c r="AO2674" s="44" t="s">
        <v>2334</v>
      </c>
      <c r="AP2674" s="43"/>
      <c r="AQ2674" s="236" t="str">
        <f>VLOOKUP(Table8[[#This Row],[Instrument]],Def_Targets!$D$73:$E$159,2,FALSE)</f>
        <v>I_Emobilitycharging</v>
      </c>
      <c r="AR2674" s="233" t="str">
        <f>VLOOKUP(Table8[[#This Row],[Country Code]],Table29[],3,FALSE)</f>
        <v>Annex I</v>
      </c>
      <c r="AS2674" s="233" t="str">
        <f>VLOOKUP(Table8[[#This Row],[Country Code]],Table29[],4,FALSE)</f>
        <v>Europe</v>
      </c>
      <c r="AT2674" s="233" t="str">
        <f>VLOOKUP(Table8[[#This Row],[Country Code]],Table29[],5,FALSE)</f>
        <v>High-income</v>
      </c>
      <c r="AU2674" s="233" t="str">
        <f>VLOOKUP(Table8[[#This Row],[Country Code]],Table29[],6,FALSE)</f>
        <v>G20</v>
      </c>
      <c r="AV2674" s="233" t="str">
        <f>VLOOKUP(Table8[[#This Row],[Country Code]],Table29[],7,FALSE)</f>
        <v>G7</v>
      </c>
      <c r="AW2674" s="233" t="str">
        <f>VLOOKUP(Table8[[#This Row],[Country Code]],Table29[],8,FALSE)</f>
        <v>OECD</v>
      </c>
      <c r="AX2674" s="233" t="str">
        <f>VLOOKUP(Table8[[#This Row],[Country Code]],Table29[],9,FALSE)</f>
        <v>no</v>
      </c>
      <c r="AY2674" s="233" t="str">
        <f>VLOOKUP(Table8[[#This Row],[Country Code]],Table29[],10,FALSE)</f>
        <v>no</v>
      </c>
      <c r="AZ2674" s="235">
        <f>VLOOKUP(Table8[[#This Row],[Country Code]],Table29[],23,FALSE)</f>
        <v>379.31858785213001</v>
      </c>
      <c r="BA2674" s="235">
        <f>VLOOKUP(Table8[[#This Row],[Country Code]],Table29[],24,FALSE)</f>
        <v>109.75048777474809</v>
      </c>
      <c r="BB2674" s="320"/>
      <c r="BC2674" s="320"/>
    </row>
    <row r="2675" spans="1:55" ht="15" hidden="1" customHeight="1" x14ac:dyDescent="0.25">
      <c r="A2675" s="373">
        <v>26792</v>
      </c>
      <c r="B2675" s="233" t="str">
        <f>VLOOKUP(Table8[[#This Row],[Document ID]],Table1[],2,FALSE)</f>
        <v>GBR</v>
      </c>
      <c r="C2675" s="233" t="str">
        <f>VLOOKUP(Table8[[#This Row],[Document ID]],Table1[],3,FALSE)</f>
        <v>United Kingdom</v>
      </c>
      <c r="D2675" s="243" t="str">
        <f>VLOOKUP(Table8[[#This Row],[Document ID]],Table1[],5,FALSE)</f>
        <v>LTS</v>
      </c>
      <c r="E2675" s="233" t="str">
        <f>VLOOKUP(Table8[[#This Row],[Document ID]],Table1[],7,FALSE)</f>
        <v>LTS</v>
      </c>
      <c r="F2675" s="233" t="str">
        <f>VLOOKUP(Table8[[#This Row],[Document ID]],Table1[],8,FALSE)</f>
        <v>LTS 1.1</v>
      </c>
      <c r="G2675" s="233" t="str">
        <f>VLOOKUP(Table8[[#This Row],[Document ID]],Table1[],10,FALSE)</f>
        <v>Active</v>
      </c>
      <c r="H2675" s="43" t="s">
        <v>2358</v>
      </c>
      <c r="I2675" s="43" t="s">
        <v>2359</v>
      </c>
      <c r="J2675" s="44" t="s">
        <v>2360</v>
      </c>
      <c r="K2675" s="44" t="s">
        <v>4765</v>
      </c>
      <c r="L2675" s="44" t="s">
        <v>2333</v>
      </c>
      <c r="M2675" s="43">
        <v>152</v>
      </c>
      <c r="N2675" s="113" t="s">
        <v>1113</v>
      </c>
      <c r="O2675" s="113"/>
      <c r="P2675" s="113"/>
      <c r="Q2675" s="113"/>
      <c r="R2675" s="113"/>
      <c r="S2675" s="113"/>
      <c r="T2675" s="113"/>
      <c r="U2675" s="113"/>
      <c r="V2675" s="113"/>
      <c r="W2675" s="113"/>
      <c r="X2675" s="113"/>
      <c r="Y2675" s="113"/>
      <c r="Z2675" s="113"/>
      <c r="AA2675" s="113"/>
      <c r="AB2675" s="113"/>
      <c r="AC2675" s="113"/>
      <c r="AD2675" s="113"/>
      <c r="AE2675" s="113"/>
      <c r="AF2675" s="113"/>
      <c r="AG2675" s="113"/>
      <c r="AH2675" s="113"/>
      <c r="AI2675" s="113"/>
      <c r="AJ2675" s="113"/>
      <c r="AK2675" s="113" t="s">
        <v>1113</v>
      </c>
      <c r="AL2675" s="113"/>
      <c r="AM2675" s="113"/>
      <c r="AN2675" s="113"/>
      <c r="AO2675" s="44" t="s">
        <v>2334</v>
      </c>
      <c r="AP2675" s="43"/>
      <c r="AQ2675" s="236" t="str">
        <f>VLOOKUP(Table8[[#This Row],[Instrument]],Def_Targets!$D$73:$E$159,2,FALSE)</f>
        <v>I_Emobility</v>
      </c>
      <c r="AR2675" s="233" t="str">
        <f>VLOOKUP(Table8[[#This Row],[Country Code]],Table29[],3,FALSE)</f>
        <v>Annex I</v>
      </c>
      <c r="AS2675" s="233" t="str">
        <f>VLOOKUP(Table8[[#This Row],[Country Code]],Table29[],4,FALSE)</f>
        <v>Europe</v>
      </c>
      <c r="AT2675" s="233" t="str">
        <f>VLOOKUP(Table8[[#This Row],[Country Code]],Table29[],5,FALSE)</f>
        <v>High-income</v>
      </c>
      <c r="AU2675" s="233" t="str">
        <f>VLOOKUP(Table8[[#This Row],[Country Code]],Table29[],6,FALSE)</f>
        <v>G20</v>
      </c>
      <c r="AV2675" s="233" t="str">
        <f>VLOOKUP(Table8[[#This Row],[Country Code]],Table29[],7,FALSE)</f>
        <v>G7</v>
      </c>
      <c r="AW2675" s="233" t="str">
        <f>VLOOKUP(Table8[[#This Row],[Country Code]],Table29[],8,FALSE)</f>
        <v>OECD</v>
      </c>
      <c r="AX2675" s="233" t="str">
        <f>VLOOKUP(Table8[[#This Row],[Country Code]],Table29[],9,FALSE)</f>
        <v>no</v>
      </c>
      <c r="AY2675" s="233" t="str">
        <f>VLOOKUP(Table8[[#This Row],[Country Code]],Table29[],10,FALSE)</f>
        <v>no</v>
      </c>
      <c r="AZ2675" s="235">
        <f>VLOOKUP(Table8[[#This Row],[Country Code]],Table29[],23,FALSE)</f>
        <v>379.31858785213001</v>
      </c>
      <c r="BA2675" s="235">
        <f>VLOOKUP(Table8[[#This Row],[Country Code]],Table29[],24,FALSE)</f>
        <v>109.75048777474809</v>
      </c>
      <c r="BB2675" s="320"/>
      <c r="BC2675" s="320"/>
    </row>
    <row r="2676" spans="1:55" ht="15" hidden="1" customHeight="1" x14ac:dyDescent="0.25">
      <c r="A2676" s="373">
        <v>26792</v>
      </c>
      <c r="B2676" s="233" t="str">
        <f>VLOOKUP(Table8[[#This Row],[Document ID]],Table1[],2,FALSE)</f>
        <v>GBR</v>
      </c>
      <c r="C2676" s="233" t="str">
        <f>VLOOKUP(Table8[[#This Row],[Document ID]],Table1[],3,FALSE)</f>
        <v>United Kingdom</v>
      </c>
      <c r="D2676" s="243" t="str">
        <f>VLOOKUP(Table8[[#This Row],[Document ID]],Table1[],5,FALSE)</f>
        <v>LTS</v>
      </c>
      <c r="E2676" s="233" t="str">
        <f>VLOOKUP(Table8[[#This Row],[Document ID]],Table1[],7,FALSE)</f>
        <v>LTS</v>
      </c>
      <c r="F2676" s="233" t="str">
        <f>VLOOKUP(Table8[[#This Row],[Document ID]],Table1[],8,FALSE)</f>
        <v>LTS 1.1</v>
      </c>
      <c r="G2676" s="233" t="str">
        <f>VLOOKUP(Table8[[#This Row],[Document ID]],Table1[],10,FALSE)</f>
        <v>Active</v>
      </c>
      <c r="H2676" s="43" t="s">
        <v>2343</v>
      </c>
      <c r="I2676" s="43" t="s">
        <v>2377</v>
      </c>
      <c r="J2676" s="44" t="s">
        <v>2394</v>
      </c>
      <c r="K2676" s="44" t="s">
        <v>4766</v>
      </c>
      <c r="L2676" s="44" t="s">
        <v>2333</v>
      </c>
      <c r="M2676" s="43">
        <v>152</v>
      </c>
      <c r="N2676" s="113"/>
      <c r="O2676" s="113"/>
      <c r="P2676" s="113"/>
      <c r="Q2676" s="113"/>
      <c r="R2676" s="113"/>
      <c r="S2676" s="113"/>
      <c r="T2676" s="113" t="s">
        <v>1113</v>
      </c>
      <c r="U2676" s="113"/>
      <c r="V2676" s="113"/>
      <c r="W2676" s="113"/>
      <c r="X2676" s="113"/>
      <c r="Y2676" s="113"/>
      <c r="Z2676" s="113"/>
      <c r="AA2676" s="113"/>
      <c r="AB2676" s="113"/>
      <c r="AC2676" s="113"/>
      <c r="AD2676" s="113"/>
      <c r="AE2676" s="113"/>
      <c r="AF2676" s="113"/>
      <c r="AG2676" s="113"/>
      <c r="AH2676" s="113"/>
      <c r="AI2676" s="113"/>
      <c r="AJ2676" s="113"/>
      <c r="AK2676" s="113" t="s">
        <v>1113</v>
      </c>
      <c r="AL2676" s="113"/>
      <c r="AM2676" s="113"/>
      <c r="AN2676" s="113"/>
      <c r="AO2676" s="44" t="s">
        <v>2334</v>
      </c>
      <c r="AP2676" s="43"/>
      <c r="AQ2676" s="236" t="str">
        <f>VLOOKUP(Table8[[#This Row],[Instrument]],Def_Targets!$D$73:$E$159,2,FALSE)</f>
        <v>A_TDM</v>
      </c>
      <c r="AR2676" s="233" t="str">
        <f>VLOOKUP(Table8[[#This Row],[Country Code]],Table29[],3,FALSE)</f>
        <v>Annex I</v>
      </c>
      <c r="AS2676" s="233" t="str">
        <f>VLOOKUP(Table8[[#This Row],[Country Code]],Table29[],4,FALSE)</f>
        <v>Europe</v>
      </c>
      <c r="AT2676" s="233" t="str">
        <f>VLOOKUP(Table8[[#This Row],[Country Code]],Table29[],5,FALSE)</f>
        <v>High-income</v>
      </c>
      <c r="AU2676" s="233" t="str">
        <f>VLOOKUP(Table8[[#This Row],[Country Code]],Table29[],6,FALSE)</f>
        <v>G20</v>
      </c>
      <c r="AV2676" s="233" t="str">
        <f>VLOOKUP(Table8[[#This Row],[Country Code]],Table29[],7,FALSE)</f>
        <v>G7</v>
      </c>
      <c r="AW2676" s="233" t="str">
        <f>VLOOKUP(Table8[[#This Row],[Country Code]],Table29[],8,FALSE)</f>
        <v>OECD</v>
      </c>
      <c r="AX2676" s="233" t="str">
        <f>VLOOKUP(Table8[[#This Row],[Country Code]],Table29[],9,FALSE)</f>
        <v>no</v>
      </c>
      <c r="AY2676" s="233" t="str">
        <f>VLOOKUP(Table8[[#This Row],[Country Code]],Table29[],10,FALSE)</f>
        <v>no</v>
      </c>
      <c r="AZ2676" s="235">
        <f>VLOOKUP(Table8[[#This Row],[Country Code]],Table29[],23,FALSE)</f>
        <v>379.31858785213001</v>
      </c>
      <c r="BA2676" s="235">
        <f>VLOOKUP(Table8[[#This Row],[Country Code]],Table29[],24,FALSE)</f>
        <v>109.75048777474809</v>
      </c>
      <c r="BB2676" s="320"/>
      <c r="BC2676" s="320"/>
    </row>
    <row r="2677" spans="1:55" ht="15" hidden="1" customHeight="1" x14ac:dyDescent="0.25">
      <c r="A2677" s="373">
        <v>26792</v>
      </c>
      <c r="B2677" s="233" t="str">
        <f>VLOOKUP(Table8[[#This Row],[Document ID]],Table1[],2,FALSE)</f>
        <v>GBR</v>
      </c>
      <c r="C2677" s="233" t="str">
        <f>VLOOKUP(Table8[[#This Row],[Document ID]],Table1[],3,FALSE)</f>
        <v>United Kingdom</v>
      </c>
      <c r="D2677" s="243" t="str">
        <f>VLOOKUP(Table8[[#This Row],[Document ID]],Table1[],5,FALSE)</f>
        <v>LTS</v>
      </c>
      <c r="E2677" s="233" t="str">
        <f>VLOOKUP(Table8[[#This Row],[Document ID]],Table1[],7,FALSE)</f>
        <v>LTS</v>
      </c>
      <c r="F2677" s="233" t="str">
        <f>VLOOKUP(Table8[[#This Row],[Document ID]],Table1[],8,FALSE)</f>
        <v>LTS 1.1</v>
      </c>
      <c r="G2677" s="233" t="str">
        <f>VLOOKUP(Table8[[#This Row],[Document ID]],Table1[],10,FALSE)</f>
        <v>Active</v>
      </c>
      <c r="H2677" s="43" t="s">
        <v>2343</v>
      </c>
      <c r="I2677" s="43" t="s">
        <v>2429</v>
      </c>
      <c r="J2677" s="44" t="s">
        <v>2610</v>
      </c>
      <c r="K2677" s="44" t="s">
        <v>4767</v>
      </c>
      <c r="L2677" s="44" t="s">
        <v>2373</v>
      </c>
      <c r="M2677" s="43">
        <v>152</v>
      </c>
      <c r="N2677" s="113" t="s">
        <v>1113</v>
      </c>
      <c r="O2677" s="113"/>
      <c r="P2677" s="113"/>
      <c r="Q2677" s="113"/>
      <c r="R2677" s="113"/>
      <c r="S2677" s="113"/>
      <c r="T2677" s="113"/>
      <c r="U2677" s="113"/>
      <c r="V2677" s="113"/>
      <c r="W2677" s="113"/>
      <c r="X2677" s="113"/>
      <c r="Y2677" s="113"/>
      <c r="Z2677" s="113"/>
      <c r="AA2677" s="113"/>
      <c r="AB2677" s="113"/>
      <c r="AC2677" s="113"/>
      <c r="AD2677" s="113"/>
      <c r="AE2677" s="113"/>
      <c r="AF2677" s="113"/>
      <c r="AG2677" s="113"/>
      <c r="AH2677" s="113"/>
      <c r="AI2677" s="113"/>
      <c r="AJ2677" s="113"/>
      <c r="AK2677" s="113" t="s">
        <v>1113</v>
      </c>
      <c r="AL2677" s="113"/>
      <c r="AM2677" s="113"/>
      <c r="AN2677" s="113"/>
      <c r="AO2677" s="44" t="s">
        <v>2334</v>
      </c>
      <c r="AP2677" s="43"/>
      <c r="AQ2677" s="236" t="e">
        <f>VLOOKUP(Table8[[#This Row],[Instrument]],Def_Targets!$D$73:$E$159,2,FALSE)</f>
        <v>#N/A</v>
      </c>
      <c r="AR2677" s="233" t="str">
        <f>VLOOKUP(Table8[[#This Row],[Country Code]],Table29[],3,FALSE)</f>
        <v>Annex I</v>
      </c>
      <c r="AS2677" s="233" t="str">
        <f>VLOOKUP(Table8[[#This Row],[Country Code]],Table29[],4,FALSE)</f>
        <v>Europe</v>
      </c>
      <c r="AT2677" s="233" t="str">
        <f>VLOOKUP(Table8[[#This Row],[Country Code]],Table29[],5,FALSE)</f>
        <v>High-income</v>
      </c>
      <c r="AU2677" s="233" t="str">
        <f>VLOOKUP(Table8[[#This Row],[Country Code]],Table29[],6,FALSE)</f>
        <v>G20</v>
      </c>
      <c r="AV2677" s="233" t="str">
        <f>VLOOKUP(Table8[[#This Row],[Country Code]],Table29[],7,FALSE)</f>
        <v>G7</v>
      </c>
      <c r="AW2677" s="233" t="str">
        <f>VLOOKUP(Table8[[#This Row],[Country Code]],Table29[],8,FALSE)</f>
        <v>OECD</v>
      </c>
      <c r="AX2677" s="233" t="str">
        <f>VLOOKUP(Table8[[#This Row],[Country Code]],Table29[],9,FALSE)</f>
        <v>no</v>
      </c>
      <c r="AY2677" s="233" t="str">
        <f>VLOOKUP(Table8[[#This Row],[Country Code]],Table29[],10,FALSE)</f>
        <v>no</v>
      </c>
      <c r="AZ2677" s="235">
        <f>VLOOKUP(Table8[[#This Row],[Country Code]],Table29[],23,FALSE)</f>
        <v>379.31858785213001</v>
      </c>
      <c r="BA2677" s="235">
        <f>VLOOKUP(Table8[[#This Row],[Country Code]],Table29[],24,FALSE)</f>
        <v>109.75048777474809</v>
      </c>
      <c r="BB2677" s="320"/>
      <c r="BC2677" s="320"/>
    </row>
    <row r="2678" spans="1:55" ht="15" hidden="1" customHeight="1" x14ac:dyDescent="0.25">
      <c r="A2678" s="373">
        <v>26792</v>
      </c>
      <c r="B2678" s="233" t="str">
        <f>VLOOKUP(Table8[[#This Row],[Document ID]],Table1[],2,FALSE)</f>
        <v>GBR</v>
      </c>
      <c r="C2678" s="233" t="str">
        <f>VLOOKUP(Table8[[#This Row],[Document ID]],Table1[],3,FALSE)</f>
        <v>United Kingdom</v>
      </c>
      <c r="D2678" s="243" t="str">
        <f>VLOOKUP(Table8[[#This Row],[Document ID]],Table1[],5,FALSE)</f>
        <v>LTS</v>
      </c>
      <c r="E2678" s="233" t="str">
        <f>VLOOKUP(Table8[[#This Row],[Document ID]],Table1[],7,FALSE)</f>
        <v>LTS</v>
      </c>
      <c r="F2678" s="233" t="str">
        <f>VLOOKUP(Table8[[#This Row],[Document ID]],Table1[],8,FALSE)</f>
        <v>LTS 1.1</v>
      </c>
      <c r="G2678" s="233" t="str">
        <f>VLOOKUP(Table8[[#This Row],[Document ID]],Table1[],10,FALSE)</f>
        <v>Active</v>
      </c>
      <c r="H2678" s="44" t="s">
        <v>2329</v>
      </c>
      <c r="I2678" s="44" t="s">
        <v>2330</v>
      </c>
      <c r="J2678" s="44" t="s">
        <v>2381</v>
      </c>
      <c r="K2678" s="44" t="s">
        <v>4768</v>
      </c>
      <c r="L2678" s="44" t="s">
        <v>2333</v>
      </c>
      <c r="M2678" s="43">
        <v>152</v>
      </c>
      <c r="N2678" s="113" t="s">
        <v>1113</v>
      </c>
      <c r="O2678" s="113"/>
      <c r="P2678" s="113"/>
      <c r="Q2678" s="113"/>
      <c r="R2678" s="113"/>
      <c r="S2678" s="113"/>
      <c r="T2678" s="113"/>
      <c r="U2678" s="113"/>
      <c r="V2678" s="113"/>
      <c r="W2678" s="113"/>
      <c r="X2678" s="113"/>
      <c r="Y2678" s="113"/>
      <c r="Z2678" s="113"/>
      <c r="AA2678" s="113"/>
      <c r="AB2678" s="113"/>
      <c r="AC2678" s="113"/>
      <c r="AD2678" s="113"/>
      <c r="AE2678" s="113"/>
      <c r="AF2678" s="113"/>
      <c r="AG2678" s="113"/>
      <c r="AH2678" s="113"/>
      <c r="AI2678" s="113"/>
      <c r="AJ2678" s="113"/>
      <c r="AK2678" s="113" t="s">
        <v>1113</v>
      </c>
      <c r="AL2678" s="113"/>
      <c r="AM2678" s="113"/>
      <c r="AN2678" s="113"/>
      <c r="AO2678" s="44" t="s">
        <v>2334</v>
      </c>
      <c r="AP2678" s="43"/>
      <c r="AQ2678" s="236" t="str">
        <f>VLOOKUP(Table8[[#This Row],[Instrument]],Def_Targets!$D$73:$E$159,2,FALSE)</f>
        <v>I_RE</v>
      </c>
      <c r="AR2678" s="233" t="str">
        <f>VLOOKUP(Table8[[#This Row],[Country Code]],Table29[],3,FALSE)</f>
        <v>Annex I</v>
      </c>
      <c r="AS2678" s="233" t="str">
        <f>VLOOKUP(Table8[[#This Row],[Country Code]],Table29[],4,FALSE)</f>
        <v>Europe</v>
      </c>
      <c r="AT2678" s="233" t="str">
        <f>VLOOKUP(Table8[[#This Row],[Country Code]],Table29[],5,FALSE)</f>
        <v>High-income</v>
      </c>
      <c r="AU2678" s="233" t="str">
        <f>VLOOKUP(Table8[[#This Row],[Country Code]],Table29[],6,FALSE)</f>
        <v>G20</v>
      </c>
      <c r="AV2678" s="233" t="str">
        <f>VLOOKUP(Table8[[#This Row],[Country Code]],Table29[],7,FALSE)</f>
        <v>G7</v>
      </c>
      <c r="AW2678" s="233" t="str">
        <f>VLOOKUP(Table8[[#This Row],[Country Code]],Table29[],8,FALSE)</f>
        <v>OECD</v>
      </c>
      <c r="AX2678" s="233" t="str">
        <f>VLOOKUP(Table8[[#This Row],[Country Code]],Table29[],9,FALSE)</f>
        <v>no</v>
      </c>
      <c r="AY2678" s="233" t="str">
        <f>VLOOKUP(Table8[[#This Row],[Country Code]],Table29[],10,FALSE)</f>
        <v>no</v>
      </c>
      <c r="AZ2678" s="235">
        <f>VLOOKUP(Table8[[#This Row],[Country Code]],Table29[],23,FALSE)</f>
        <v>379.31858785213001</v>
      </c>
      <c r="BA2678" s="235">
        <f>VLOOKUP(Table8[[#This Row],[Country Code]],Table29[],24,FALSE)</f>
        <v>109.75048777474809</v>
      </c>
      <c r="BB2678" s="320"/>
      <c r="BC2678" s="320"/>
    </row>
    <row r="2679" spans="1:55" ht="15" hidden="1" customHeight="1" x14ac:dyDescent="0.25">
      <c r="A2679" s="373">
        <v>26792</v>
      </c>
      <c r="B2679" s="233" t="str">
        <f>VLOOKUP(Table8[[#This Row],[Document ID]],Table1[],2,FALSE)</f>
        <v>GBR</v>
      </c>
      <c r="C2679" s="233" t="str">
        <f>VLOOKUP(Table8[[#This Row],[Document ID]],Table1[],3,FALSE)</f>
        <v>United Kingdom</v>
      </c>
      <c r="D2679" s="243" t="str">
        <f>VLOOKUP(Table8[[#This Row],[Document ID]],Table1[],5,FALSE)</f>
        <v>LTS</v>
      </c>
      <c r="E2679" s="233" t="str">
        <f>VLOOKUP(Table8[[#This Row],[Document ID]],Table1[],7,FALSE)</f>
        <v>LTS</v>
      </c>
      <c r="F2679" s="233" t="str">
        <f>VLOOKUP(Table8[[#This Row],[Document ID]],Table1[],8,FALSE)</f>
        <v>LTS 1.1</v>
      </c>
      <c r="G2679" s="233" t="str">
        <f>VLOOKUP(Table8[[#This Row],[Document ID]],Table1[],10,FALSE)</f>
        <v>Active</v>
      </c>
      <c r="H2679" s="43" t="s">
        <v>2343</v>
      </c>
      <c r="I2679" s="43" t="s">
        <v>2344</v>
      </c>
      <c r="J2679" s="44" t="s">
        <v>2345</v>
      </c>
      <c r="K2679" s="44" t="s">
        <v>4769</v>
      </c>
      <c r="L2679" s="44" t="s">
        <v>2347</v>
      </c>
      <c r="M2679" s="43">
        <v>152</v>
      </c>
      <c r="N2679" s="113" t="s">
        <v>1113</v>
      </c>
      <c r="O2679" s="113"/>
      <c r="P2679" s="113"/>
      <c r="Q2679" s="113"/>
      <c r="R2679" s="113"/>
      <c r="S2679" s="113"/>
      <c r="T2679" s="113"/>
      <c r="U2679" s="113"/>
      <c r="V2679" s="113"/>
      <c r="W2679" s="113"/>
      <c r="X2679" s="113"/>
      <c r="Y2679" s="113"/>
      <c r="Z2679" s="113"/>
      <c r="AA2679" s="113"/>
      <c r="AB2679" s="113"/>
      <c r="AC2679" s="113"/>
      <c r="AD2679" s="113"/>
      <c r="AE2679" s="113"/>
      <c r="AF2679" s="113"/>
      <c r="AG2679" s="113"/>
      <c r="AH2679" s="113"/>
      <c r="AI2679" s="113"/>
      <c r="AJ2679" s="113"/>
      <c r="AK2679" s="113" t="s">
        <v>1113</v>
      </c>
      <c r="AL2679" s="113"/>
      <c r="AM2679" s="113"/>
      <c r="AN2679" s="113"/>
      <c r="AO2679" s="44" t="s">
        <v>2334</v>
      </c>
      <c r="AP2679" s="44"/>
      <c r="AQ2679" s="236" t="str">
        <f>VLOOKUP(Table8[[#This Row],[Instrument]],Def_Targets!$D$73:$E$159,2,FALSE)</f>
        <v>S_PublicTransport</v>
      </c>
      <c r="AR2679" s="233" t="str">
        <f>VLOOKUP(Table8[[#This Row],[Country Code]],Table29[],3,FALSE)</f>
        <v>Annex I</v>
      </c>
      <c r="AS2679" s="233" t="str">
        <f>VLOOKUP(Table8[[#This Row],[Country Code]],Table29[],4,FALSE)</f>
        <v>Europe</v>
      </c>
      <c r="AT2679" s="233" t="str">
        <f>VLOOKUP(Table8[[#This Row],[Country Code]],Table29[],5,FALSE)</f>
        <v>High-income</v>
      </c>
      <c r="AU2679" s="233" t="str">
        <f>VLOOKUP(Table8[[#This Row],[Country Code]],Table29[],6,FALSE)</f>
        <v>G20</v>
      </c>
      <c r="AV2679" s="233" t="str">
        <f>VLOOKUP(Table8[[#This Row],[Country Code]],Table29[],7,FALSE)</f>
        <v>G7</v>
      </c>
      <c r="AW2679" s="233" t="str">
        <f>VLOOKUP(Table8[[#This Row],[Country Code]],Table29[],8,FALSE)</f>
        <v>OECD</v>
      </c>
      <c r="AX2679" s="233" t="str">
        <f>VLOOKUP(Table8[[#This Row],[Country Code]],Table29[],9,FALSE)</f>
        <v>no</v>
      </c>
      <c r="AY2679" s="233" t="str">
        <f>VLOOKUP(Table8[[#This Row],[Country Code]],Table29[],10,FALSE)</f>
        <v>no</v>
      </c>
      <c r="AZ2679" s="235">
        <f>VLOOKUP(Table8[[#This Row],[Country Code]],Table29[],23,FALSE)</f>
        <v>379.31858785213001</v>
      </c>
      <c r="BA2679" s="235">
        <f>VLOOKUP(Table8[[#This Row],[Country Code]],Table29[],24,FALSE)</f>
        <v>109.75048777474809</v>
      </c>
      <c r="BB2679" s="320"/>
      <c r="BC2679" s="320"/>
    </row>
    <row r="2680" spans="1:55" ht="15" hidden="1" customHeight="1" x14ac:dyDescent="0.25">
      <c r="A2680" s="373">
        <v>26792</v>
      </c>
      <c r="B2680" s="233" t="str">
        <f>VLOOKUP(Table8[[#This Row],[Document ID]],Table1[],2,FALSE)</f>
        <v>GBR</v>
      </c>
      <c r="C2680" s="233" t="str">
        <f>VLOOKUP(Table8[[#This Row],[Document ID]],Table1[],3,FALSE)</f>
        <v>United Kingdom</v>
      </c>
      <c r="D2680" s="243" t="str">
        <f>VLOOKUP(Table8[[#This Row],[Document ID]],Table1[],5,FALSE)</f>
        <v>LTS</v>
      </c>
      <c r="E2680" s="233" t="str">
        <f>VLOOKUP(Table8[[#This Row],[Document ID]],Table1[],7,FALSE)</f>
        <v>LTS</v>
      </c>
      <c r="F2680" s="233" t="str">
        <f>VLOOKUP(Table8[[#This Row],[Document ID]],Table1[],8,FALSE)</f>
        <v>LTS 1.1</v>
      </c>
      <c r="G2680" s="233" t="str">
        <f>VLOOKUP(Table8[[#This Row],[Document ID]],Table1[],10,FALSE)</f>
        <v>Active</v>
      </c>
      <c r="H2680" s="43" t="s">
        <v>2343</v>
      </c>
      <c r="I2680" s="43" t="s">
        <v>2361</v>
      </c>
      <c r="J2680" s="44" t="s">
        <v>2366</v>
      </c>
      <c r="K2680" s="44" t="s">
        <v>4769</v>
      </c>
      <c r="L2680" s="44" t="s">
        <v>2347</v>
      </c>
      <c r="M2680" s="43">
        <v>152</v>
      </c>
      <c r="N2680" s="113"/>
      <c r="O2680" s="113"/>
      <c r="P2680" s="113" t="s">
        <v>1113</v>
      </c>
      <c r="Q2680" s="113" t="s">
        <v>1113</v>
      </c>
      <c r="R2680" s="113" t="s">
        <v>1113</v>
      </c>
      <c r="S2680" s="113"/>
      <c r="T2680" s="113"/>
      <c r="U2680" s="113"/>
      <c r="V2680" s="113"/>
      <c r="W2680" s="113"/>
      <c r="X2680" s="113"/>
      <c r="Y2680" s="113"/>
      <c r="Z2680" s="113"/>
      <c r="AA2680" s="113"/>
      <c r="AB2680" s="113"/>
      <c r="AC2680" s="113"/>
      <c r="AD2680" s="113"/>
      <c r="AE2680" s="113"/>
      <c r="AF2680" s="113"/>
      <c r="AG2680" s="113"/>
      <c r="AH2680" s="113"/>
      <c r="AI2680" s="113"/>
      <c r="AJ2680" s="113"/>
      <c r="AK2680" s="113" t="s">
        <v>1113</v>
      </c>
      <c r="AL2680" s="113"/>
      <c r="AM2680" s="113"/>
      <c r="AN2680" s="113"/>
      <c r="AO2680" s="44" t="s">
        <v>2334</v>
      </c>
      <c r="AP2680" s="44"/>
      <c r="AQ2680" s="236" t="str">
        <f>VLOOKUP(Table8[[#This Row],[Instrument]],Def_Targets!$D$73:$E$159,2,FALSE)</f>
        <v>S_Activemobility</v>
      </c>
      <c r="AR2680" s="233" t="str">
        <f>VLOOKUP(Table8[[#This Row],[Country Code]],Table29[],3,FALSE)</f>
        <v>Annex I</v>
      </c>
      <c r="AS2680" s="233" t="str">
        <f>VLOOKUP(Table8[[#This Row],[Country Code]],Table29[],4,FALSE)</f>
        <v>Europe</v>
      </c>
      <c r="AT2680" s="233" t="str">
        <f>VLOOKUP(Table8[[#This Row],[Country Code]],Table29[],5,FALSE)</f>
        <v>High-income</v>
      </c>
      <c r="AU2680" s="233" t="str">
        <f>VLOOKUP(Table8[[#This Row],[Country Code]],Table29[],6,FALSE)</f>
        <v>G20</v>
      </c>
      <c r="AV2680" s="233" t="str">
        <f>VLOOKUP(Table8[[#This Row],[Country Code]],Table29[],7,FALSE)</f>
        <v>G7</v>
      </c>
      <c r="AW2680" s="233" t="str">
        <f>VLOOKUP(Table8[[#This Row],[Country Code]],Table29[],8,FALSE)</f>
        <v>OECD</v>
      </c>
      <c r="AX2680" s="233" t="str">
        <f>VLOOKUP(Table8[[#This Row],[Country Code]],Table29[],9,FALSE)</f>
        <v>no</v>
      </c>
      <c r="AY2680" s="233" t="str">
        <f>VLOOKUP(Table8[[#This Row],[Country Code]],Table29[],10,FALSE)</f>
        <v>no</v>
      </c>
      <c r="AZ2680" s="235">
        <f>VLOOKUP(Table8[[#This Row],[Country Code]],Table29[],23,FALSE)</f>
        <v>379.31858785213001</v>
      </c>
      <c r="BA2680" s="235">
        <f>VLOOKUP(Table8[[#This Row],[Country Code]],Table29[],24,FALSE)</f>
        <v>109.75048777474809</v>
      </c>
      <c r="BB2680" s="320"/>
      <c r="BC2680" s="320"/>
    </row>
    <row r="2681" spans="1:55" ht="15" hidden="1" customHeight="1" x14ac:dyDescent="0.25">
      <c r="A2681" s="373">
        <v>26792</v>
      </c>
      <c r="B2681" s="233" t="str">
        <f>VLOOKUP(Table8[[#This Row],[Document ID]],Table1[],2,FALSE)</f>
        <v>GBR</v>
      </c>
      <c r="C2681" s="233" t="str">
        <f>VLOOKUP(Table8[[#This Row],[Document ID]],Table1[],3,FALSE)</f>
        <v>United Kingdom</v>
      </c>
      <c r="D2681" s="243" t="str">
        <f>VLOOKUP(Table8[[#This Row],[Document ID]],Table1[],5,FALSE)</f>
        <v>LTS</v>
      </c>
      <c r="E2681" s="233" t="str">
        <f>VLOOKUP(Table8[[#This Row],[Document ID]],Table1[],7,FALSE)</f>
        <v>LTS</v>
      </c>
      <c r="F2681" s="233" t="str">
        <f>VLOOKUP(Table8[[#This Row],[Document ID]],Table1[],8,FALSE)</f>
        <v>LTS 1.1</v>
      </c>
      <c r="G2681" s="233" t="str">
        <f>VLOOKUP(Table8[[#This Row],[Document ID]],Table1[],10,FALSE)</f>
        <v>Active</v>
      </c>
      <c r="H2681" s="43" t="s">
        <v>2343</v>
      </c>
      <c r="I2681" s="43" t="s">
        <v>2344</v>
      </c>
      <c r="J2681" s="44" t="s">
        <v>2564</v>
      </c>
      <c r="K2681" s="44" t="s">
        <v>4770</v>
      </c>
      <c r="L2681" s="44" t="s">
        <v>2347</v>
      </c>
      <c r="M2681" s="43">
        <v>152</v>
      </c>
      <c r="N2681" s="113"/>
      <c r="O2681" s="113"/>
      <c r="P2681" s="113"/>
      <c r="Q2681" s="113" t="s">
        <v>1113</v>
      </c>
      <c r="R2681" s="113" t="s">
        <v>1113</v>
      </c>
      <c r="S2681" s="113"/>
      <c r="T2681" s="113"/>
      <c r="U2681" s="113"/>
      <c r="V2681" s="113"/>
      <c r="W2681" s="113"/>
      <c r="X2681" s="113"/>
      <c r="Y2681" s="113"/>
      <c r="Z2681" s="113"/>
      <c r="AA2681" s="113"/>
      <c r="AB2681" s="113"/>
      <c r="AC2681" s="113"/>
      <c r="AD2681" s="113"/>
      <c r="AE2681" s="113"/>
      <c r="AF2681" s="113"/>
      <c r="AG2681" s="113"/>
      <c r="AH2681" s="113"/>
      <c r="AI2681" s="113"/>
      <c r="AJ2681" s="113"/>
      <c r="AK2681" s="113" t="s">
        <v>1113</v>
      </c>
      <c r="AL2681" s="113"/>
      <c r="AM2681" s="113"/>
      <c r="AN2681" s="113"/>
      <c r="AO2681" s="44" t="s">
        <v>2334</v>
      </c>
      <c r="AP2681" s="44"/>
      <c r="AQ2681" s="236" t="str">
        <f>VLOOKUP(Table8[[#This Row],[Instrument]],Def_Targets!$D$73:$E$159,2,FALSE)</f>
        <v>S_PTPriority</v>
      </c>
      <c r="AR2681" s="233" t="str">
        <f>VLOOKUP(Table8[[#This Row],[Country Code]],Table29[],3,FALSE)</f>
        <v>Annex I</v>
      </c>
      <c r="AS2681" s="233" t="str">
        <f>VLOOKUP(Table8[[#This Row],[Country Code]],Table29[],4,FALSE)</f>
        <v>Europe</v>
      </c>
      <c r="AT2681" s="233" t="str">
        <f>VLOOKUP(Table8[[#This Row],[Country Code]],Table29[],5,FALSE)</f>
        <v>High-income</v>
      </c>
      <c r="AU2681" s="233" t="str">
        <f>VLOOKUP(Table8[[#This Row],[Country Code]],Table29[],6,FALSE)</f>
        <v>G20</v>
      </c>
      <c r="AV2681" s="233" t="str">
        <f>VLOOKUP(Table8[[#This Row],[Country Code]],Table29[],7,FALSE)</f>
        <v>G7</v>
      </c>
      <c r="AW2681" s="233" t="str">
        <f>VLOOKUP(Table8[[#This Row],[Country Code]],Table29[],8,FALSE)</f>
        <v>OECD</v>
      </c>
      <c r="AX2681" s="233" t="str">
        <f>VLOOKUP(Table8[[#This Row],[Country Code]],Table29[],9,FALSE)</f>
        <v>no</v>
      </c>
      <c r="AY2681" s="233" t="str">
        <f>VLOOKUP(Table8[[#This Row],[Country Code]],Table29[],10,FALSE)</f>
        <v>no</v>
      </c>
      <c r="AZ2681" s="235">
        <f>VLOOKUP(Table8[[#This Row],[Country Code]],Table29[],23,FALSE)</f>
        <v>379.31858785213001</v>
      </c>
      <c r="BA2681" s="235">
        <f>VLOOKUP(Table8[[#This Row],[Country Code]],Table29[],24,FALSE)</f>
        <v>109.75048777474809</v>
      </c>
      <c r="BB2681" s="320"/>
      <c r="BC2681" s="320"/>
    </row>
    <row r="2682" spans="1:55" ht="15" hidden="1" customHeight="1" x14ac:dyDescent="0.25">
      <c r="A2682" s="373">
        <v>26792</v>
      </c>
      <c r="B2682" s="233" t="str">
        <f>VLOOKUP(Table8[[#This Row],[Document ID]],Table1[],2,FALSE)</f>
        <v>GBR</v>
      </c>
      <c r="C2682" s="233" t="str">
        <f>VLOOKUP(Table8[[#This Row],[Document ID]],Table1[],3,FALSE)</f>
        <v>United Kingdom</v>
      </c>
      <c r="D2682" s="243" t="str">
        <f>VLOOKUP(Table8[[#This Row],[Document ID]],Table1[],5,FALSE)</f>
        <v>LTS</v>
      </c>
      <c r="E2682" s="233" t="str">
        <f>VLOOKUP(Table8[[#This Row],[Document ID]],Table1[],7,FALSE)</f>
        <v>LTS</v>
      </c>
      <c r="F2682" s="233" t="str">
        <f>VLOOKUP(Table8[[#This Row],[Document ID]],Table1[],8,FALSE)</f>
        <v>LTS 1.1</v>
      </c>
      <c r="G2682" s="233" t="str">
        <f>VLOOKUP(Table8[[#This Row],[Document ID]],Table1[],10,FALSE)</f>
        <v>Active</v>
      </c>
      <c r="H2682" s="43" t="s">
        <v>2343</v>
      </c>
      <c r="I2682" s="43" t="s">
        <v>2344</v>
      </c>
      <c r="J2682" s="44" t="s">
        <v>2345</v>
      </c>
      <c r="K2682" s="44" t="s">
        <v>4771</v>
      </c>
      <c r="L2682" s="44" t="s">
        <v>2347</v>
      </c>
      <c r="M2682" s="43">
        <v>153</v>
      </c>
      <c r="N2682" s="113"/>
      <c r="O2682" s="113"/>
      <c r="P2682" s="113"/>
      <c r="Q2682" s="113"/>
      <c r="R2682" s="113"/>
      <c r="S2682" s="113"/>
      <c r="T2682" s="113"/>
      <c r="U2682" s="113"/>
      <c r="V2682" s="113"/>
      <c r="W2682" s="113"/>
      <c r="X2682" s="113"/>
      <c r="Y2682" s="113" t="s">
        <v>1113</v>
      </c>
      <c r="Z2682" s="113"/>
      <c r="AA2682" s="113"/>
      <c r="AB2682" s="113"/>
      <c r="AC2682" s="113"/>
      <c r="AD2682" s="113"/>
      <c r="AE2682" s="113"/>
      <c r="AF2682" s="113"/>
      <c r="AG2682" s="113"/>
      <c r="AH2682" s="113"/>
      <c r="AI2682" s="113"/>
      <c r="AJ2682" s="113"/>
      <c r="AK2682" s="113" t="s">
        <v>1113</v>
      </c>
      <c r="AL2682" s="113"/>
      <c r="AM2682" s="113"/>
      <c r="AN2682" s="113"/>
      <c r="AO2682" s="44" t="s">
        <v>2334</v>
      </c>
      <c r="AP2682" s="44"/>
      <c r="AQ2682" s="236" t="str">
        <f>VLOOKUP(Table8[[#This Row],[Instrument]],Def_Targets!$D$73:$E$159,2,FALSE)</f>
        <v>S_PublicTransport</v>
      </c>
      <c r="AR2682" s="233" t="str">
        <f>VLOOKUP(Table8[[#This Row],[Country Code]],Table29[],3,FALSE)</f>
        <v>Annex I</v>
      </c>
      <c r="AS2682" s="233" t="str">
        <f>VLOOKUP(Table8[[#This Row],[Country Code]],Table29[],4,FALSE)</f>
        <v>Europe</v>
      </c>
      <c r="AT2682" s="233" t="str">
        <f>VLOOKUP(Table8[[#This Row],[Country Code]],Table29[],5,FALSE)</f>
        <v>High-income</v>
      </c>
      <c r="AU2682" s="233" t="str">
        <f>VLOOKUP(Table8[[#This Row],[Country Code]],Table29[],6,FALSE)</f>
        <v>G20</v>
      </c>
      <c r="AV2682" s="233" t="str">
        <f>VLOOKUP(Table8[[#This Row],[Country Code]],Table29[],7,FALSE)</f>
        <v>G7</v>
      </c>
      <c r="AW2682" s="233" t="str">
        <f>VLOOKUP(Table8[[#This Row],[Country Code]],Table29[],8,FALSE)</f>
        <v>OECD</v>
      </c>
      <c r="AX2682" s="233" t="str">
        <f>VLOOKUP(Table8[[#This Row],[Country Code]],Table29[],9,FALSE)</f>
        <v>no</v>
      </c>
      <c r="AY2682" s="233" t="str">
        <f>VLOOKUP(Table8[[#This Row],[Country Code]],Table29[],10,FALSE)</f>
        <v>no</v>
      </c>
      <c r="AZ2682" s="235">
        <f>VLOOKUP(Table8[[#This Row],[Country Code]],Table29[],23,FALSE)</f>
        <v>379.31858785213001</v>
      </c>
      <c r="BA2682" s="235">
        <f>VLOOKUP(Table8[[#This Row],[Country Code]],Table29[],24,FALSE)</f>
        <v>109.75048777474809</v>
      </c>
      <c r="BB2682" s="320"/>
      <c r="BC2682" s="320"/>
    </row>
    <row r="2683" spans="1:55" ht="15" hidden="1" customHeight="1" x14ac:dyDescent="0.25">
      <c r="A2683" s="373">
        <v>26792</v>
      </c>
      <c r="B2683" s="233" t="str">
        <f>VLOOKUP(Table8[[#This Row],[Document ID]],Table1[],2,FALSE)</f>
        <v>GBR</v>
      </c>
      <c r="C2683" s="233" t="str">
        <f>VLOOKUP(Table8[[#This Row],[Document ID]],Table1[],3,FALSE)</f>
        <v>United Kingdom</v>
      </c>
      <c r="D2683" s="243" t="str">
        <f>VLOOKUP(Table8[[#This Row],[Document ID]],Table1[],5,FALSE)</f>
        <v>LTS</v>
      </c>
      <c r="E2683" s="233" t="str">
        <f>VLOOKUP(Table8[[#This Row],[Document ID]],Table1[],7,FALSE)</f>
        <v>LTS</v>
      </c>
      <c r="F2683" s="233" t="str">
        <f>VLOOKUP(Table8[[#This Row],[Document ID]],Table1[],8,FALSE)</f>
        <v>LTS 1.1</v>
      </c>
      <c r="G2683" s="233" t="str">
        <f>VLOOKUP(Table8[[#This Row],[Document ID]],Table1[],10,FALSE)</f>
        <v>Active</v>
      </c>
      <c r="H2683" s="43" t="s">
        <v>2343</v>
      </c>
      <c r="I2683" s="43" t="s">
        <v>2344</v>
      </c>
      <c r="J2683" s="44" t="s">
        <v>2564</v>
      </c>
      <c r="K2683" s="44" t="s">
        <v>4771</v>
      </c>
      <c r="L2683" s="44" t="s">
        <v>2347</v>
      </c>
      <c r="M2683" s="43">
        <v>153</v>
      </c>
      <c r="N2683" s="113"/>
      <c r="O2683" s="113"/>
      <c r="P2683" s="113"/>
      <c r="Q2683" s="113"/>
      <c r="R2683" s="113"/>
      <c r="S2683" s="113"/>
      <c r="T2683" s="113"/>
      <c r="U2683" s="113"/>
      <c r="V2683" s="113"/>
      <c r="W2683" s="113"/>
      <c r="X2683" s="113"/>
      <c r="Y2683" s="113" t="s">
        <v>1113</v>
      </c>
      <c r="Z2683" s="113"/>
      <c r="AA2683" s="113"/>
      <c r="AB2683" s="113"/>
      <c r="AC2683" s="113"/>
      <c r="AD2683" s="113"/>
      <c r="AE2683" s="113"/>
      <c r="AF2683" s="113"/>
      <c r="AG2683" s="113"/>
      <c r="AH2683" s="113"/>
      <c r="AI2683" s="113"/>
      <c r="AJ2683" s="113"/>
      <c r="AK2683" s="113" t="s">
        <v>1113</v>
      </c>
      <c r="AL2683" s="113"/>
      <c r="AM2683" s="113"/>
      <c r="AN2683" s="113"/>
      <c r="AO2683" s="44" t="s">
        <v>2334</v>
      </c>
      <c r="AP2683" s="44"/>
      <c r="AQ2683" s="236" t="str">
        <f>VLOOKUP(Table8[[#This Row],[Instrument]],Def_Targets!$D$73:$E$159,2,FALSE)</f>
        <v>S_PTPriority</v>
      </c>
      <c r="AR2683" s="233" t="str">
        <f>VLOOKUP(Table8[[#This Row],[Country Code]],Table29[],3,FALSE)</f>
        <v>Annex I</v>
      </c>
      <c r="AS2683" s="233" t="str">
        <f>VLOOKUP(Table8[[#This Row],[Country Code]],Table29[],4,FALSE)</f>
        <v>Europe</v>
      </c>
      <c r="AT2683" s="233" t="str">
        <f>VLOOKUP(Table8[[#This Row],[Country Code]],Table29[],5,FALSE)</f>
        <v>High-income</v>
      </c>
      <c r="AU2683" s="233" t="str">
        <f>VLOOKUP(Table8[[#This Row],[Country Code]],Table29[],6,FALSE)</f>
        <v>G20</v>
      </c>
      <c r="AV2683" s="233" t="str">
        <f>VLOOKUP(Table8[[#This Row],[Country Code]],Table29[],7,FALSE)</f>
        <v>G7</v>
      </c>
      <c r="AW2683" s="233" t="str">
        <f>VLOOKUP(Table8[[#This Row],[Country Code]],Table29[],8,FALSE)</f>
        <v>OECD</v>
      </c>
      <c r="AX2683" s="233" t="str">
        <f>VLOOKUP(Table8[[#This Row],[Country Code]],Table29[],9,FALSE)</f>
        <v>no</v>
      </c>
      <c r="AY2683" s="233" t="str">
        <f>VLOOKUP(Table8[[#This Row],[Country Code]],Table29[],10,FALSE)</f>
        <v>no</v>
      </c>
      <c r="AZ2683" s="235">
        <f>VLOOKUP(Table8[[#This Row],[Country Code]],Table29[],23,FALSE)</f>
        <v>379.31858785213001</v>
      </c>
      <c r="BA2683" s="235">
        <f>VLOOKUP(Table8[[#This Row],[Country Code]],Table29[],24,FALSE)</f>
        <v>109.75048777474809</v>
      </c>
      <c r="BB2683" s="320"/>
      <c r="BC2683" s="320"/>
    </row>
    <row r="2684" spans="1:55" ht="15" hidden="1" customHeight="1" x14ac:dyDescent="0.25">
      <c r="A2684" s="373">
        <v>26792</v>
      </c>
      <c r="B2684" s="233" t="str">
        <f>VLOOKUP(Table8[[#This Row],[Document ID]],Table1[],2,FALSE)</f>
        <v>GBR</v>
      </c>
      <c r="C2684" s="233" t="str">
        <f>VLOOKUP(Table8[[#This Row],[Document ID]],Table1[],3,FALSE)</f>
        <v>United Kingdom</v>
      </c>
      <c r="D2684" s="243" t="str">
        <f>VLOOKUP(Table8[[#This Row],[Document ID]],Table1[],5,FALSE)</f>
        <v>LTS</v>
      </c>
      <c r="E2684" s="233" t="str">
        <f>VLOOKUP(Table8[[#This Row],[Document ID]],Table1[],7,FALSE)</f>
        <v>LTS</v>
      </c>
      <c r="F2684" s="233" t="str">
        <f>VLOOKUP(Table8[[#This Row],[Document ID]],Table1[],8,FALSE)</f>
        <v>LTS 1.1</v>
      </c>
      <c r="G2684" s="233" t="str">
        <f>VLOOKUP(Table8[[#This Row],[Document ID]],Table1[],10,FALSE)</f>
        <v>Active</v>
      </c>
      <c r="H2684" s="43" t="s">
        <v>2358</v>
      </c>
      <c r="I2684" s="43" t="s">
        <v>2359</v>
      </c>
      <c r="J2684" s="44" t="s">
        <v>2360</v>
      </c>
      <c r="K2684" s="44" t="s">
        <v>4771</v>
      </c>
      <c r="L2684" s="44" t="s">
        <v>2347</v>
      </c>
      <c r="M2684" s="43">
        <v>153</v>
      </c>
      <c r="N2684" s="113"/>
      <c r="O2684" s="113"/>
      <c r="P2684" s="113"/>
      <c r="Q2684" s="113"/>
      <c r="R2684" s="113"/>
      <c r="S2684" s="113"/>
      <c r="T2684" s="113"/>
      <c r="U2684" s="113"/>
      <c r="V2684" s="113"/>
      <c r="W2684" s="113"/>
      <c r="X2684" s="113"/>
      <c r="Y2684" s="113" t="s">
        <v>1113</v>
      </c>
      <c r="Z2684" s="113"/>
      <c r="AA2684" s="113"/>
      <c r="AB2684" s="113"/>
      <c r="AC2684" s="113"/>
      <c r="AD2684" s="113"/>
      <c r="AE2684" s="113"/>
      <c r="AF2684" s="113"/>
      <c r="AG2684" s="113"/>
      <c r="AH2684" s="113"/>
      <c r="AI2684" s="113"/>
      <c r="AJ2684" s="113"/>
      <c r="AK2684" s="113" t="s">
        <v>1113</v>
      </c>
      <c r="AL2684" s="113"/>
      <c r="AM2684" s="113"/>
      <c r="AN2684" s="113"/>
      <c r="AO2684" s="44" t="s">
        <v>2334</v>
      </c>
      <c r="AP2684" s="44"/>
      <c r="AQ2684" s="236" t="str">
        <f>VLOOKUP(Table8[[#This Row],[Instrument]],Def_Targets!$D$73:$E$159,2,FALSE)</f>
        <v>I_Emobility</v>
      </c>
      <c r="AR2684" s="233" t="str">
        <f>VLOOKUP(Table8[[#This Row],[Country Code]],Table29[],3,FALSE)</f>
        <v>Annex I</v>
      </c>
      <c r="AS2684" s="233" t="str">
        <f>VLOOKUP(Table8[[#This Row],[Country Code]],Table29[],4,FALSE)</f>
        <v>Europe</v>
      </c>
      <c r="AT2684" s="233" t="str">
        <f>VLOOKUP(Table8[[#This Row],[Country Code]],Table29[],5,FALSE)</f>
        <v>High-income</v>
      </c>
      <c r="AU2684" s="233" t="str">
        <f>VLOOKUP(Table8[[#This Row],[Country Code]],Table29[],6,FALSE)</f>
        <v>G20</v>
      </c>
      <c r="AV2684" s="233" t="str">
        <f>VLOOKUP(Table8[[#This Row],[Country Code]],Table29[],7,FALSE)</f>
        <v>G7</v>
      </c>
      <c r="AW2684" s="233" t="str">
        <f>VLOOKUP(Table8[[#This Row],[Country Code]],Table29[],8,FALSE)</f>
        <v>OECD</v>
      </c>
      <c r="AX2684" s="233" t="str">
        <f>VLOOKUP(Table8[[#This Row],[Country Code]],Table29[],9,FALSE)</f>
        <v>no</v>
      </c>
      <c r="AY2684" s="233" t="str">
        <f>VLOOKUP(Table8[[#This Row],[Country Code]],Table29[],10,FALSE)</f>
        <v>no</v>
      </c>
      <c r="AZ2684" s="235">
        <f>VLOOKUP(Table8[[#This Row],[Country Code]],Table29[],23,FALSE)</f>
        <v>379.31858785213001</v>
      </c>
      <c r="BA2684" s="235">
        <f>VLOOKUP(Table8[[#This Row],[Country Code]],Table29[],24,FALSE)</f>
        <v>109.75048777474809</v>
      </c>
      <c r="BB2684" s="320"/>
      <c r="BC2684" s="320"/>
    </row>
    <row r="2685" spans="1:55" ht="15" hidden="1" customHeight="1" x14ac:dyDescent="0.25">
      <c r="A2685" s="373">
        <v>26792</v>
      </c>
      <c r="B2685" s="233" t="str">
        <f>VLOOKUP(Table8[[#This Row],[Document ID]],Table1[],2,FALSE)</f>
        <v>GBR</v>
      </c>
      <c r="C2685" s="233" t="str">
        <f>VLOOKUP(Table8[[#This Row],[Document ID]],Table1[],3,FALSE)</f>
        <v>United Kingdom</v>
      </c>
      <c r="D2685" s="243" t="str">
        <f>VLOOKUP(Table8[[#This Row],[Document ID]],Table1[],5,FALSE)</f>
        <v>LTS</v>
      </c>
      <c r="E2685" s="233" t="str">
        <f>VLOOKUP(Table8[[#This Row],[Document ID]],Table1[],7,FALSE)</f>
        <v>LTS</v>
      </c>
      <c r="F2685" s="233" t="str">
        <f>VLOOKUP(Table8[[#This Row],[Document ID]],Table1[],8,FALSE)</f>
        <v>LTS 1.1</v>
      </c>
      <c r="G2685" s="233" t="str">
        <f>VLOOKUP(Table8[[#This Row],[Document ID]],Table1[],10,FALSE)</f>
        <v>Active</v>
      </c>
      <c r="H2685" s="43" t="s">
        <v>2358</v>
      </c>
      <c r="I2685" s="43" t="s">
        <v>2359</v>
      </c>
      <c r="J2685" s="44" t="s">
        <v>2383</v>
      </c>
      <c r="K2685" s="44" t="s">
        <v>4771</v>
      </c>
      <c r="L2685" s="44" t="s">
        <v>2347</v>
      </c>
      <c r="M2685" s="43">
        <v>153</v>
      </c>
      <c r="N2685" s="113"/>
      <c r="O2685" s="113"/>
      <c r="P2685" s="113"/>
      <c r="Q2685" s="113"/>
      <c r="R2685" s="113"/>
      <c r="S2685" s="113"/>
      <c r="T2685" s="113"/>
      <c r="U2685" s="113"/>
      <c r="V2685" s="113"/>
      <c r="W2685" s="113"/>
      <c r="X2685" s="113"/>
      <c r="Y2685" s="113" t="s">
        <v>1113</v>
      </c>
      <c r="Z2685" s="113"/>
      <c r="AA2685" s="113"/>
      <c r="AB2685" s="113"/>
      <c r="AC2685" s="113"/>
      <c r="AD2685" s="113"/>
      <c r="AE2685" s="113"/>
      <c r="AF2685" s="113"/>
      <c r="AG2685" s="113"/>
      <c r="AH2685" s="113"/>
      <c r="AI2685" s="113"/>
      <c r="AJ2685" s="113"/>
      <c r="AK2685" s="113" t="s">
        <v>1113</v>
      </c>
      <c r="AL2685" s="113"/>
      <c r="AM2685" s="113"/>
      <c r="AN2685" s="113"/>
      <c r="AO2685" s="44" t="s">
        <v>2334</v>
      </c>
      <c r="AP2685" s="44"/>
      <c r="AQ2685" s="236" t="str">
        <f>VLOOKUP(Table8[[#This Row],[Instrument]],Def_Targets!$D$73:$E$159,2,FALSE)</f>
        <v>I_Emobilitycharging</v>
      </c>
      <c r="AR2685" s="233" t="str">
        <f>VLOOKUP(Table8[[#This Row],[Country Code]],Table29[],3,FALSE)</f>
        <v>Annex I</v>
      </c>
      <c r="AS2685" s="233" t="str">
        <f>VLOOKUP(Table8[[#This Row],[Country Code]],Table29[],4,FALSE)</f>
        <v>Europe</v>
      </c>
      <c r="AT2685" s="233" t="str">
        <f>VLOOKUP(Table8[[#This Row],[Country Code]],Table29[],5,FALSE)</f>
        <v>High-income</v>
      </c>
      <c r="AU2685" s="233" t="str">
        <f>VLOOKUP(Table8[[#This Row],[Country Code]],Table29[],6,FALSE)</f>
        <v>G20</v>
      </c>
      <c r="AV2685" s="233" t="str">
        <f>VLOOKUP(Table8[[#This Row],[Country Code]],Table29[],7,FALSE)</f>
        <v>G7</v>
      </c>
      <c r="AW2685" s="233" t="str">
        <f>VLOOKUP(Table8[[#This Row],[Country Code]],Table29[],8,FALSE)</f>
        <v>OECD</v>
      </c>
      <c r="AX2685" s="233" t="str">
        <f>VLOOKUP(Table8[[#This Row],[Country Code]],Table29[],9,FALSE)</f>
        <v>no</v>
      </c>
      <c r="AY2685" s="233" t="str">
        <f>VLOOKUP(Table8[[#This Row],[Country Code]],Table29[],10,FALSE)</f>
        <v>no</v>
      </c>
      <c r="AZ2685" s="235">
        <f>VLOOKUP(Table8[[#This Row],[Country Code]],Table29[],23,FALSE)</f>
        <v>379.31858785213001</v>
      </c>
      <c r="BA2685" s="235">
        <f>VLOOKUP(Table8[[#This Row],[Country Code]],Table29[],24,FALSE)</f>
        <v>109.75048777474809</v>
      </c>
      <c r="BB2685" s="320"/>
      <c r="BC2685" s="320"/>
    </row>
    <row r="2686" spans="1:55" ht="15" hidden="1" customHeight="1" x14ac:dyDescent="0.25">
      <c r="A2686" s="373">
        <v>26792</v>
      </c>
      <c r="B2686" s="233" t="str">
        <f>VLOOKUP(Table8[[#This Row],[Document ID]],Table1[],2,FALSE)</f>
        <v>GBR</v>
      </c>
      <c r="C2686" s="233" t="str">
        <f>VLOOKUP(Table8[[#This Row],[Document ID]],Table1[],3,FALSE)</f>
        <v>United Kingdom</v>
      </c>
      <c r="D2686" s="243" t="str">
        <f>VLOOKUP(Table8[[#This Row],[Document ID]],Table1[],5,FALSE)</f>
        <v>LTS</v>
      </c>
      <c r="E2686" s="233" t="str">
        <f>VLOOKUP(Table8[[#This Row],[Document ID]],Table1[],7,FALSE)</f>
        <v>LTS</v>
      </c>
      <c r="F2686" s="233" t="str">
        <f>VLOOKUP(Table8[[#This Row],[Document ID]],Table1[],8,FALSE)</f>
        <v>LTS 1.1</v>
      </c>
      <c r="G2686" s="233" t="str">
        <f>VLOOKUP(Table8[[#This Row],[Document ID]],Table1[],10,FALSE)</f>
        <v>Active</v>
      </c>
      <c r="H2686" s="43" t="s">
        <v>2358</v>
      </c>
      <c r="I2686" s="43" t="s">
        <v>2359</v>
      </c>
      <c r="J2686" s="44" t="s">
        <v>2360</v>
      </c>
      <c r="K2686" s="44" t="s">
        <v>1564</v>
      </c>
      <c r="L2686" s="44" t="s">
        <v>2347</v>
      </c>
      <c r="M2686" s="43">
        <v>153</v>
      </c>
      <c r="N2686" s="113"/>
      <c r="O2686" s="113"/>
      <c r="P2686" s="113"/>
      <c r="Q2686" s="113"/>
      <c r="R2686" s="113"/>
      <c r="S2686" s="113"/>
      <c r="T2686" s="113"/>
      <c r="U2686" s="113"/>
      <c r="V2686" s="113"/>
      <c r="W2686" s="113"/>
      <c r="X2686" s="113"/>
      <c r="Y2686" s="113"/>
      <c r="Z2686" s="113" t="s">
        <v>1113</v>
      </c>
      <c r="AA2686" s="113"/>
      <c r="AB2686" s="113"/>
      <c r="AC2686" s="113"/>
      <c r="AD2686" s="113"/>
      <c r="AE2686" s="113"/>
      <c r="AF2686" s="113"/>
      <c r="AG2686" s="113"/>
      <c r="AH2686" s="113"/>
      <c r="AI2686" s="113"/>
      <c r="AJ2686" s="113"/>
      <c r="AK2686" s="113" t="s">
        <v>1113</v>
      </c>
      <c r="AL2686" s="113"/>
      <c r="AM2686" s="113"/>
      <c r="AN2686" s="113"/>
      <c r="AO2686" s="44" t="s">
        <v>2334</v>
      </c>
      <c r="AP2686" s="44"/>
      <c r="AQ2686" s="236" t="str">
        <f>VLOOKUP(Table8[[#This Row],[Instrument]],Def_Targets!$D$73:$E$159,2,FALSE)</f>
        <v>I_Emobility</v>
      </c>
      <c r="AR2686" s="233" t="str">
        <f>VLOOKUP(Table8[[#This Row],[Country Code]],Table29[],3,FALSE)</f>
        <v>Annex I</v>
      </c>
      <c r="AS2686" s="233" t="str">
        <f>VLOOKUP(Table8[[#This Row],[Country Code]],Table29[],4,FALSE)</f>
        <v>Europe</v>
      </c>
      <c r="AT2686" s="233" t="str">
        <f>VLOOKUP(Table8[[#This Row],[Country Code]],Table29[],5,FALSE)</f>
        <v>High-income</v>
      </c>
      <c r="AU2686" s="233" t="str">
        <f>VLOOKUP(Table8[[#This Row],[Country Code]],Table29[],6,FALSE)</f>
        <v>G20</v>
      </c>
      <c r="AV2686" s="233" t="str">
        <f>VLOOKUP(Table8[[#This Row],[Country Code]],Table29[],7,FALSE)</f>
        <v>G7</v>
      </c>
      <c r="AW2686" s="233" t="str">
        <f>VLOOKUP(Table8[[#This Row],[Country Code]],Table29[],8,FALSE)</f>
        <v>OECD</v>
      </c>
      <c r="AX2686" s="233" t="str">
        <f>VLOOKUP(Table8[[#This Row],[Country Code]],Table29[],9,FALSE)</f>
        <v>no</v>
      </c>
      <c r="AY2686" s="233" t="str">
        <f>VLOOKUP(Table8[[#This Row],[Country Code]],Table29[],10,FALSE)</f>
        <v>no</v>
      </c>
      <c r="AZ2686" s="235">
        <f>VLOOKUP(Table8[[#This Row],[Country Code]],Table29[],23,FALSE)</f>
        <v>379.31858785213001</v>
      </c>
      <c r="BA2686" s="235">
        <f>VLOOKUP(Table8[[#This Row],[Country Code]],Table29[],24,FALSE)</f>
        <v>109.75048777474809</v>
      </c>
      <c r="BB2686" s="320"/>
      <c r="BC2686" s="320"/>
    </row>
    <row r="2687" spans="1:55" ht="15" hidden="1" customHeight="1" x14ac:dyDescent="0.25">
      <c r="A2687" s="373">
        <v>26792</v>
      </c>
      <c r="B2687" s="233" t="str">
        <f>VLOOKUP(Table8[[#This Row],[Document ID]],Table1[],2,FALSE)</f>
        <v>GBR</v>
      </c>
      <c r="C2687" s="233" t="str">
        <f>VLOOKUP(Table8[[#This Row],[Document ID]],Table1[],3,FALSE)</f>
        <v>United Kingdom</v>
      </c>
      <c r="D2687" s="243" t="str">
        <f>VLOOKUP(Table8[[#This Row],[Document ID]],Table1[],5,FALSE)</f>
        <v>LTS</v>
      </c>
      <c r="E2687" s="233" t="str">
        <f>VLOOKUP(Table8[[#This Row],[Document ID]],Table1[],7,FALSE)</f>
        <v>LTS</v>
      </c>
      <c r="F2687" s="233" t="str">
        <f>VLOOKUP(Table8[[#This Row],[Document ID]],Table1[],8,FALSE)</f>
        <v>LTS 1.1</v>
      </c>
      <c r="G2687" s="233" t="str">
        <f>VLOOKUP(Table8[[#This Row],[Document ID]],Table1[],10,FALSE)</f>
        <v>Active</v>
      </c>
      <c r="H2687" s="43" t="s">
        <v>2358</v>
      </c>
      <c r="I2687" s="43" t="s">
        <v>2359</v>
      </c>
      <c r="J2687" s="44" t="s">
        <v>2360</v>
      </c>
      <c r="K2687" s="44" t="s">
        <v>4772</v>
      </c>
      <c r="L2687" s="44" t="s">
        <v>2333</v>
      </c>
      <c r="M2687" s="43">
        <v>153</v>
      </c>
      <c r="N2687" s="113"/>
      <c r="O2687" s="113"/>
      <c r="P2687" s="113"/>
      <c r="Q2687" s="113"/>
      <c r="R2687" s="113"/>
      <c r="S2687" s="113"/>
      <c r="T2687" s="113"/>
      <c r="U2687" s="113"/>
      <c r="V2687" s="113"/>
      <c r="W2687" s="113"/>
      <c r="X2687" s="113"/>
      <c r="Y2687" s="113"/>
      <c r="Z2687" s="113"/>
      <c r="AA2687" s="113"/>
      <c r="AB2687" s="113"/>
      <c r="AC2687" s="113"/>
      <c r="AD2687" s="113" t="s">
        <v>1113</v>
      </c>
      <c r="AE2687" s="113"/>
      <c r="AF2687" s="113"/>
      <c r="AG2687" s="113"/>
      <c r="AH2687" s="113"/>
      <c r="AI2687" s="113"/>
      <c r="AJ2687" s="113"/>
      <c r="AK2687" s="113" t="s">
        <v>1113</v>
      </c>
      <c r="AL2687" s="113"/>
      <c r="AM2687" s="113"/>
      <c r="AN2687" s="113"/>
      <c r="AO2687" s="44" t="s">
        <v>2334</v>
      </c>
      <c r="AP2687" s="44"/>
      <c r="AQ2687" s="236" t="str">
        <f>VLOOKUP(Table8[[#This Row],[Instrument]],Def_Targets!$D$73:$E$159,2,FALSE)</f>
        <v>I_Emobility</v>
      </c>
      <c r="AR2687" s="233" t="str">
        <f>VLOOKUP(Table8[[#This Row],[Country Code]],Table29[],3,FALSE)</f>
        <v>Annex I</v>
      </c>
      <c r="AS2687" s="233" t="str">
        <f>VLOOKUP(Table8[[#This Row],[Country Code]],Table29[],4,FALSE)</f>
        <v>Europe</v>
      </c>
      <c r="AT2687" s="233" t="str">
        <f>VLOOKUP(Table8[[#This Row],[Country Code]],Table29[],5,FALSE)</f>
        <v>High-income</v>
      </c>
      <c r="AU2687" s="233" t="str">
        <f>VLOOKUP(Table8[[#This Row],[Country Code]],Table29[],6,FALSE)</f>
        <v>G20</v>
      </c>
      <c r="AV2687" s="233" t="str">
        <f>VLOOKUP(Table8[[#This Row],[Country Code]],Table29[],7,FALSE)</f>
        <v>G7</v>
      </c>
      <c r="AW2687" s="233" t="str">
        <f>VLOOKUP(Table8[[#This Row],[Country Code]],Table29[],8,FALSE)</f>
        <v>OECD</v>
      </c>
      <c r="AX2687" s="233" t="str">
        <f>VLOOKUP(Table8[[#This Row],[Country Code]],Table29[],9,FALSE)</f>
        <v>no</v>
      </c>
      <c r="AY2687" s="233" t="str">
        <f>VLOOKUP(Table8[[#This Row],[Country Code]],Table29[],10,FALSE)</f>
        <v>no</v>
      </c>
      <c r="AZ2687" s="235">
        <f>VLOOKUP(Table8[[#This Row],[Country Code]],Table29[],23,FALSE)</f>
        <v>379.31858785213001</v>
      </c>
      <c r="BA2687" s="235">
        <f>VLOOKUP(Table8[[#This Row],[Country Code]],Table29[],24,FALSE)</f>
        <v>109.75048777474809</v>
      </c>
      <c r="BB2687" s="320"/>
      <c r="BC2687" s="320"/>
    </row>
    <row r="2688" spans="1:55" ht="15" hidden="1" customHeight="1" x14ac:dyDescent="0.25">
      <c r="A2688" s="373">
        <v>26792</v>
      </c>
      <c r="B2688" s="233" t="str">
        <f>VLOOKUP(Table8[[#This Row],[Document ID]],Table1[],2,FALSE)</f>
        <v>GBR</v>
      </c>
      <c r="C2688" s="233" t="str">
        <f>VLOOKUP(Table8[[#This Row],[Document ID]],Table1[],3,FALSE)</f>
        <v>United Kingdom</v>
      </c>
      <c r="D2688" s="243" t="str">
        <f>VLOOKUP(Table8[[#This Row],[Document ID]],Table1[],5,FALSE)</f>
        <v>LTS</v>
      </c>
      <c r="E2688" s="233" t="str">
        <f>VLOOKUP(Table8[[#This Row],[Document ID]],Table1[],7,FALSE)</f>
        <v>LTS</v>
      </c>
      <c r="F2688" s="233" t="str">
        <f>VLOOKUP(Table8[[#This Row],[Document ID]],Table1[],8,FALSE)</f>
        <v>LTS 1.1</v>
      </c>
      <c r="G2688" s="233" t="str">
        <f>VLOOKUP(Table8[[#This Row],[Document ID]],Table1[],10,FALSE)</f>
        <v>Active</v>
      </c>
      <c r="H2688" s="43" t="s">
        <v>2484</v>
      </c>
      <c r="I2688" s="43" t="s">
        <v>2485</v>
      </c>
      <c r="J2688" s="44" t="s">
        <v>2669</v>
      </c>
      <c r="K2688" s="44" t="s">
        <v>4772</v>
      </c>
      <c r="L2688" s="44" t="s">
        <v>4773</v>
      </c>
      <c r="M2688" s="43">
        <v>153</v>
      </c>
      <c r="N2688" s="113"/>
      <c r="O2688" s="113"/>
      <c r="P2688" s="113"/>
      <c r="Q2688" s="113"/>
      <c r="R2688" s="113"/>
      <c r="S2688" s="113"/>
      <c r="T2688" s="113"/>
      <c r="U2688" s="113"/>
      <c r="V2688" s="113"/>
      <c r="W2688" s="113"/>
      <c r="X2688" s="113"/>
      <c r="Y2688" s="113"/>
      <c r="Z2688" s="113"/>
      <c r="AA2688" s="113"/>
      <c r="AB2688" s="113"/>
      <c r="AC2688" s="113"/>
      <c r="AD2688" s="113" t="s">
        <v>1113</v>
      </c>
      <c r="AE2688" s="113"/>
      <c r="AF2688" s="113"/>
      <c r="AG2688" s="113"/>
      <c r="AH2688" s="113"/>
      <c r="AI2688" s="113"/>
      <c r="AJ2688" s="113"/>
      <c r="AK2688" s="113" t="s">
        <v>1113</v>
      </c>
      <c r="AL2688" s="113"/>
      <c r="AM2688" s="113"/>
      <c r="AN2688" s="113"/>
      <c r="AO2688" s="44" t="s">
        <v>2334</v>
      </c>
      <c r="AP2688" s="44"/>
      <c r="AQ2688" s="236" t="str">
        <f>VLOOKUP(Table8[[#This Row],[Instrument]],Def_Targets!$D$73:$E$159,2,FALSE)</f>
        <v>I_Shipefficiency</v>
      </c>
      <c r="AR2688" s="233" t="str">
        <f>VLOOKUP(Table8[[#This Row],[Country Code]],Table29[],3,FALSE)</f>
        <v>Annex I</v>
      </c>
      <c r="AS2688" s="233" t="str">
        <f>VLOOKUP(Table8[[#This Row],[Country Code]],Table29[],4,FALSE)</f>
        <v>Europe</v>
      </c>
      <c r="AT2688" s="233" t="str">
        <f>VLOOKUP(Table8[[#This Row],[Country Code]],Table29[],5,FALSE)</f>
        <v>High-income</v>
      </c>
      <c r="AU2688" s="233" t="str">
        <f>VLOOKUP(Table8[[#This Row],[Country Code]],Table29[],6,FALSE)</f>
        <v>G20</v>
      </c>
      <c r="AV2688" s="233" t="str">
        <f>VLOOKUP(Table8[[#This Row],[Country Code]],Table29[],7,FALSE)</f>
        <v>G7</v>
      </c>
      <c r="AW2688" s="233" t="str">
        <f>VLOOKUP(Table8[[#This Row],[Country Code]],Table29[],8,FALSE)</f>
        <v>OECD</v>
      </c>
      <c r="AX2688" s="233" t="str">
        <f>VLOOKUP(Table8[[#This Row],[Country Code]],Table29[],9,FALSE)</f>
        <v>no</v>
      </c>
      <c r="AY2688" s="233" t="str">
        <f>VLOOKUP(Table8[[#This Row],[Country Code]],Table29[],10,FALSE)</f>
        <v>no</v>
      </c>
      <c r="AZ2688" s="235">
        <f>VLOOKUP(Table8[[#This Row],[Country Code]],Table29[],23,FALSE)</f>
        <v>379.31858785213001</v>
      </c>
      <c r="BA2688" s="235">
        <f>VLOOKUP(Table8[[#This Row],[Country Code]],Table29[],24,FALSE)</f>
        <v>109.75048777474809</v>
      </c>
      <c r="BB2688" s="320"/>
      <c r="BC2688" s="320"/>
    </row>
    <row r="2689" spans="1:55" ht="15" hidden="1" customHeight="1" x14ac:dyDescent="0.25">
      <c r="A2689" s="373">
        <v>26792</v>
      </c>
      <c r="B2689" s="233" t="str">
        <f>VLOOKUP(Table8[[#This Row],[Document ID]],Table1[],2,FALSE)</f>
        <v>GBR</v>
      </c>
      <c r="C2689" s="233" t="str">
        <f>VLOOKUP(Table8[[#This Row],[Document ID]],Table1[],3,FALSE)</f>
        <v>United Kingdom</v>
      </c>
      <c r="D2689" s="243" t="str">
        <f>VLOOKUP(Table8[[#This Row],[Document ID]],Table1[],5,FALSE)</f>
        <v>LTS</v>
      </c>
      <c r="E2689" s="233" t="str">
        <f>VLOOKUP(Table8[[#This Row],[Document ID]],Table1[],7,FALSE)</f>
        <v>LTS</v>
      </c>
      <c r="F2689" s="233" t="str">
        <f>VLOOKUP(Table8[[#This Row],[Document ID]],Table1[],8,FALSE)</f>
        <v>LTS 1.1</v>
      </c>
      <c r="G2689" s="233" t="str">
        <f>VLOOKUP(Table8[[#This Row],[Document ID]],Table1[],10,FALSE)</f>
        <v>Active</v>
      </c>
      <c r="H2689" s="44" t="s">
        <v>2329</v>
      </c>
      <c r="I2689" s="44" t="s">
        <v>2330</v>
      </c>
      <c r="J2689" s="44" t="s">
        <v>2331</v>
      </c>
      <c r="K2689" s="44" t="s">
        <v>4774</v>
      </c>
      <c r="L2689" s="44" t="s">
        <v>2333</v>
      </c>
      <c r="M2689" s="43">
        <v>153</v>
      </c>
      <c r="N2689" s="113"/>
      <c r="O2689" s="113"/>
      <c r="P2689" s="113"/>
      <c r="Q2689" s="113"/>
      <c r="R2689" s="113"/>
      <c r="S2689" s="113"/>
      <c r="T2689" s="113"/>
      <c r="U2689" s="113"/>
      <c r="V2689" s="113"/>
      <c r="W2689" s="113"/>
      <c r="X2689" s="113"/>
      <c r="Y2689" s="113"/>
      <c r="Z2689" s="113"/>
      <c r="AA2689" s="113"/>
      <c r="AB2689" s="113"/>
      <c r="AC2689" s="113"/>
      <c r="AD2689" s="113"/>
      <c r="AE2689" s="113"/>
      <c r="AF2689" s="113"/>
      <c r="AG2689" s="113"/>
      <c r="AH2689" s="113" t="s">
        <v>1113</v>
      </c>
      <c r="AI2689" s="113"/>
      <c r="AJ2689" s="113"/>
      <c r="AK2689" s="113" t="s">
        <v>1113</v>
      </c>
      <c r="AL2689" s="113"/>
      <c r="AM2689" s="113"/>
      <c r="AN2689" s="113"/>
      <c r="AO2689" s="44" t="s">
        <v>2334</v>
      </c>
      <c r="AP2689" s="44"/>
      <c r="AQ2689" s="236" t="str">
        <f>VLOOKUP(Table8[[#This Row],[Instrument]],Def_Targets!$D$73:$E$159,2,FALSE)</f>
        <v>I_Altfuels</v>
      </c>
      <c r="AR2689" s="233" t="str">
        <f>VLOOKUP(Table8[[#This Row],[Country Code]],Table29[],3,FALSE)</f>
        <v>Annex I</v>
      </c>
      <c r="AS2689" s="233" t="str">
        <f>VLOOKUP(Table8[[#This Row],[Country Code]],Table29[],4,FALSE)</f>
        <v>Europe</v>
      </c>
      <c r="AT2689" s="233" t="str">
        <f>VLOOKUP(Table8[[#This Row],[Country Code]],Table29[],5,FALSE)</f>
        <v>High-income</v>
      </c>
      <c r="AU2689" s="233" t="str">
        <f>VLOOKUP(Table8[[#This Row],[Country Code]],Table29[],6,FALSE)</f>
        <v>G20</v>
      </c>
      <c r="AV2689" s="233" t="str">
        <f>VLOOKUP(Table8[[#This Row],[Country Code]],Table29[],7,FALSE)</f>
        <v>G7</v>
      </c>
      <c r="AW2689" s="233" t="str">
        <f>VLOOKUP(Table8[[#This Row],[Country Code]],Table29[],8,FALSE)</f>
        <v>OECD</v>
      </c>
      <c r="AX2689" s="233" t="str">
        <f>VLOOKUP(Table8[[#This Row],[Country Code]],Table29[],9,FALSE)</f>
        <v>no</v>
      </c>
      <c r="AY2689" s="233" t="str">
        <f>VLOOKUP(Table8[[#This Row],[Country Code]],Table29[],10,FALSE)</f>
        <v>no</v>
      </c>
      <c r="AZ2689" s="235">
        <f>VLOOKUP(Table8[[#This Row],[Country Code]],Table29[],23,FALSE)</f>
        <v>379.31858785213001</v>
      </c>
      <c r="BA2689" s="235">
        <f>VLOOKUP(Table8[[#This Row],[Country Code]],Table29[],24,FALSE)</f>
        <v>109.75048777474809</v>
      </c>
      <c r="BB2689" s="320"/>
      <c r="BC2689" s="320"/>
    </row>
    <row r="2690" spans="1:55" ht="15" hidden="1" customHeight="1" x14ac:dyDescent="0.25">
      <c r="A2690" s="373">
        <v>26792</v>
      </c>
      <c r="B2690" s="233" t="str">
        <f>VLOOKUP(Table8[[#This Row],[Document ID]],Table1[],2,FALSE)</f>
        <v>GBR</v>
      </c>
      <c r="C2690" s="233" t="str">
        <f>VLOOKUP(Table8[[#This Row],[Document ID]],Table1[],3,FALSE)</f>
        <v>United Kingdom</v>
      </c>
      <c r="D2690" s="243" t="str">
        <f>VLOOKUP(Table8[[#This Row],[Document ID]],Table1[],5,FALSE)</f>
        <v>LTS</v>
      </c>
      <c r="E2690" s="233" t="str">
        <f>VLOOKUP(Table8[[#This Row],[Document ID]],Table1[],7,FALSE)</f>
        <v>LTS</v>
      </c>
      <c r="F2690" s="233" t="str">
        <f>VLOOKUP(Table8[[#This Row],[Document ID]],Table1[],8,FALSE)</f>
        <v>LTS 1.1</v>
      </c>
      <c r="G2690" s="233" t="str">
        <f>VLOOKUP(Table8[[#This Row],[Document ID]],Table1[],10,FALSE)</f>
        <v>Active</v>
      </c>
      <c r="H2690" s="44" t="s">
        <v>2329</v>
      </c>
      <c r="I2690" s="44" t="s">
        <v>2330</v>
      </c>
      <c r="J2690" s="44" t="s">
        <v>2381</v>
      </c>
      <c r="K2690" s="44" t="s">
        <v>4775</v>
      </c>
      <c r="L2690" s="44" t="s">
        <v>2333</v>
      </c>
      <c r="M2690" s="43">
        <v>155</v>
      </c>
      <c r="N2690" s="113" t="s">
        <v>1113</v>
      </c>
      <c r="O2690" s="113"/>
      <c r="P2690" s="113"/>
      <c r="Q2690" s="113"/>
      <c r="R2690" s="113"/>
      <c r="S2690" s="113"/>
      <c r="T2690" s="113"/>
      <c r="U2690" s="113"/>
      <c r="V2690" s="113"/>
      <c r="W2690" s="113"/>
      <c r="X2690" s="113"/>
      <c r="Y2690" s="113"/>
      <c r="Z2690" s="113"/>
      <c r="AA2690" s="113"/>
      <c r="AB2690" s="113"/>
      <c r="AC2690" s="113"/>
      <c r="AD2690" s="113"/>
      <c r="AE2690" s="113"/>
      <c r="AF2690" s="113"/>
      <c r="AG2690" s="113"/>
      <c r="AH2690" s="113"/>
      <c r="AI2690" s="113"/>
      <c r="AJ2690" s="113"/>
      <c r="AK2690" s="113" t="s">
        <v>1113</v>
      </c>
      <c r="AL2690" s="113"/>
      <c r="AM2690" s="113"/>
      <c r="AN2690" s="113"/>
      <c r="AO2690" s="44" t="s">
        <v>2334</v>
      </c>
      <c r="AP2690" s="44"/>
      <c r="AQ2690" s="236" t="str">
        <f>VLOOKUP(Table8[[#This Row],[Instrument]],Def_Targets!$D$73:$E$159,2,FALSE)</f>
        <v>I_RE</v>
      </c>
      <c r="AR2690" s="233" t="str">
        <f>VLOOKUP(Table8[[#This Row],[Country Code]],Table29[],3,FALSE)</f>
        <v>Annex I</v>
      </c>
      <c r="AS2690" s="233" t="str">
        <f>VLOOKUP(Table8[[#This Row],[Country Code]],Table29[],4,FALSE)</f>
        <v>Europe</v>
      </c>
      <c r="AT2690" s="233" t="str">
        <f>VLOOKUP(Table8[[#This Row],[Country Code]],Table29[],5,FALSE)</f>
        <v>High-income</v>
      </c>
      <c r="AU2690" s="233" t="str">
        <f>VLOOKUP(Table8[[#This Row],[Country Code]],Table29[],6,FALSE)</f>
        <v>G20</v>
      </c>
      <c r="AV2690" s="233" t="str">
        <f>VLOOKUP(Table8[[#This Row],[Country Code]],Table29[],7,FALSE)</f>
        <v>G7</v>
      </c>
      <c r="AW2690" s="233" t="str">
        <f>VLOOKUP(Table8[[#This Row],[Country Code]],Table29[],8,FALSE)</f>
        <v>OECD</v>
      </c>
      <c r="AX2690" s="233" t="str">
        <f>VLOOKUP(Table8[[#This Row],[Country Code]],Table29[],9,FALSE)</f>
        <v>no</v>
      </c>
      <c r="AY2690" s="233" t="str">
        <f>VLOOKUP(Table8[[#This Row],[Country Code]],Table29[],10,FALSE)</f>
        <v>no</v>
      </c>
      <c r="AZ2690" s="235">
        <f>VLOOKUP(Table8[[#This Row],[Country Code]],Table29[],23,FALSE)</f>
        <v>379.31858785213001</v>
      </c>
      <c r="BA2690" s="235">
        <f>VLOOKUP(Table8[[#This Row],[Country Code]],Table29[],24,FALSE)</f>
        <v>109.75048777474809</v>
      </c>
      <c r="BB2690" s="320"/>
      <c r="BC2690" s="320"/>
    </row>
    <row r="2691" spans="1:55" ht="15" hidden="1" customHeight="1" x14ac:dyDescent="0.25">
      <c r="A2691" s="373">
        <v>26792</v>
      </c>
      <c r="B2691" s="233" t="str">
        <f>VLOOKUP(Table8[[#This Row],[Document ID]],Table1[],2,FALSE)</f>
        <v>GBR</v>
      </c>
      <c r="C2691" s="233" t="str">
        <f>VLOOKUP(Table8[[#This Row],[Document ID]],Table1[],3,FALSE)</f>
        <v>United Kingdom</v>
      </c>
      <c r="D2691" s="243" t="str">
        <f>VLOOKUP(Table8[[#This Row],[Document ID]],Table1[],5,FALSE)</f>
        <v>LTS</v>
      </c>
      <c r="E2691" s="233" t="str">
        <f>VLOOKUP(Table8[[#This Row],[Document ID]],Table1[],7,FALSE)</f>
        <v>LTS</v>
      </c>
      <c r="F2691" s="233" t="str">
        <f>VLOOKUP(Table8[[#This Row],[Document ID]],Table1[],8,FALSE)</f>
        <v>LTS 1.1</v>
      </c>
      <c r="G2691" s="233" t="str">
        <f>VLOOKUP(Table8[[#This Row],[Document ID]],Table1[],10,FALSE)</f>
        <v>Active</v>
      </c>
      <c r="H2691" s="44" t="s">
        <v>2329</v>
      </c>
      <c r="I2691" s="44" t="s">
        <v>2330</v>
      </c>
      <c r="J2691" s="44" t="s">
        <v>2391</v>
      </c>
      <c r="K2691" s="44" t="s">
        <v>4776</v>
      </c>
      <c r="L2691" s="44" t="s">
        <v>2333</v>
      </c>
      <c r="M2691" s="43">
        <v>156</v>
      </c>
      <c r="N2691" s="113"/>
      <c r="O2691" s="113"/>
      <c r="P2691" s="113"/>
      <c r="Q2691" s="113"/>
      <c r="R2691" s="113"/>
      <c r="S2691" s="113"/>
      <c r="T2691" s="113"/>
      <c r="U2691" s="113"/>
      <c r="V2691" s="113"/>
      <c r="W2691" s="113"/>
      <c r="X2691" s="113" t="s">
        <v>1113</v>
      </c>
      <c r="Y2691" s="113"/>
      <c r="Z2691" s="113"/>
      <c r="AA2691" s="113"/>
      <c r="AB2691" s="113"/>
      <c r="AC2691" s="113"/>
      <c r="AD2691" s="113"/>
      <c r="AE2691" s="113"/>
      <c r="AF2691" s="113"/>
      <c r="AG2691" s="113"/>
      <c r="AH2691" s="113"/>
      <c r="AI2691" s="113"/>
      <c r="AJ2691" s="113"/>
      <c r="AK2691" s="113" t="s">
        <v>1113</v>
      </c>
      <c r="AL2691" s="113"/>
      <c r="AM2691" s="113"/>
      <c r="AN2691" s="113"/>
      <c r="AO2691" s="43" t="s">
        <v>2353</v>
      </c>
      <c r="AP2691" s="43"/>
      <c r="AQ2691" s="236" t="str">
        <f>VLOOKUP(Table8[[#This Row],[Instrument]],Def_Targets!$D$73:$E$159,2,FALSE)</f>
        <v>I_Hydrogen</v>
      </c>
      <c r="AR2691" s="233" t="str">
        <f>VLOOKUP(Table8[[#This Row],[Country Code]],Table29[],3,FALSE)</f>
        <v>Annex I</v>
      </c>
      <c r="AS2691" s="233" t="str">
        <f>VLOOKUP(Table8[[#This Row],[Country Code]],Table29[],4,FALSE)</f>
        <v>Europe</v>
      </c>
      <c r="AT2691" s="233" t="str">
        <f>VLOOKUP(Table8[[#This Row],[Country Code]],Table29[],5,FALSE)</f>
        <v>High-income</v>
      </c>
      <c r="AU2691" s="233" t="str">
        <f>VLOOKUP(Table8[[#This Row],[Country Code]],Table29[],6,FALSE)</f>
        <v>G20</v>
      </c>
      <c r="AV2691" s="233" t="str">
        <f>VLOOKUP(Table8[[#This Row],[Country Code]],Table29[],7,FALSE)</f>
        <v>G7</v>
      </c>
      <c r="AW2691" s="233" t="str">
        <f>VLOOKUP(Table8[[#This Row],[Country Code]],Table29[],8,FALSE)</f>
        <v>OECD</v>
      </c>
      <c r="AX2691" s="233" t="str">
        <f>VLOOKUP(Table8[[#This Row],[Country Code]],Table29[],9,FALSE)</f>
        <v>no</v>
      </c>
      <c r="AY2691" s="233" t="str">
        <f>VLOOKUP(Table8[[#This Row],[Country Code]],Table29[],10,FALSE)</f>
        <v>no</v>
      </c>
      <c r="AZ2691" s="235">
        <f>VLOOKUP(Table8[[#This Row],[Country Code]],Table29[],23,FALSE)</f>
        <v>379.31858785213001</v>
      </c>
      <c r="BA2691" s="235">
        <f>VLOOKUP(Table8[[#This Row],[Country Code]],Table29[],24,FALSE)</f>
        <v>109.75048777474809</v>
      </c>
      <c r="BB2691" s="320"/>
      <c r="BC2691" s="320"/>
    </row>
    <row r="2692" spans="1:55" ht="15" hidden="1" customHeight="1" x14ac:dyDescent="0.25">
      <c r="A2692" s="373">
        <v>26792</v>
      </c>
      <c r="B2692" s="233" t="str">
        <f>VLOOKUP(Table8[[#This Row],[Document ID]],Table1[],2,FALSE)</f>
        <v>GBR</v>
      </c>
      <c r="C2692" s="233" t="str">
        <f>VLOOKUP(Table8[[#This Row],[Document ID]],Table1[],3,FALSE)</f>
        <v>United Kingdom</v>
      </c>
      <c r="D2692" s="243" t="str">
        <f>VLOOKUP(Table8[[#This Row],[Document ID]],Table1[],5,FALSE)</f>
        <v>LTS</v>
      </c>
      <c r="E2692" s="233" t="str">
        <f>VLOOKUP(Table8[[#This Row],[Document ID]],Table1[],7,FALSE)</f>
        <v>LTS</v>
      </c>
      <c r="F2692" s="233" t="str">
        <f>VLOOKUP(Table8[[#This Row],[Document ID]],Table1[],8,FALSE)</f>
        <v>LTS 1.1</v>
      </c>
      <c r="G2692" s="233" t="str">
        <f>VLOOKUP(Table8[[#This Row],[Document ID]],Table1[],10,FALSE)</f>
        <v>Active</v>
      </c>
      <c r="H2692" s="43" t="s">
        <v>2350</v>
      </c>
      <c r="I2692" s="43" t="s">
        <v>2351</v>
      </c>
      <c r="J2692" s="44" t="s">
        <v>2352</v>
      </c>
      <c r="K2692" s="44" t="s">
        <v>4777</v>
      </c>
      <c r="L2692" s="44" t="s">
        <v>2333</v>
      </c>
      <c r="M2692" s="43">
        <v>156</v>
      </c>
      <c r="N2692" s="113"/>
      <c r="O2692" s="113"/>
      <c r="P2692" s="113"/>
      <c r="Q2692" s="113"/>
      <c r="R2692" s="113" t="s">
        <v>1113</v>
      </c>
      <c r="S2692" s="113"/>
      <c r="T2692" s="113" t="s">
        <v>1113</v>
      </c>
      <c r="U2692" s="113"/>
      <c r="V2692" s="113"/>
      <c r="W2692" s="113"/>
      <c r="X2692" s="113"/>
      <c r="Y2692" s="113"/>
      <c r="Z2692" s="113"/>
      <c r="AA2692" s="113" t="s">
        <v>1113</v>
      </c>
      <c r="AB2692" s="113"/>
      <c r="AC2692" s="113"/>
      <c r="AD2692" s="113"/>
      <c r="AE2692" s="113"/>
      <c r="AF2692" s="113" t="s">
        <v>1113</v>
      </c>
      <c r="AG2692" s="113"/>
      <c r="AH2692" s="113"/>
      <c r="AI2692" s="113"/>
      <c r="AJ2692" s="113"/>
      <c r="AK2692" s="113" t="s">
        <v>1113</v>
      </c>
      <c r="AL2692" s="113"/>
      <c r="AM2692" s="113"/>
      <c r="AN2692" s="113"/>
      <c r="AO2692" s="43" t="s">
        <v>2353</v>
      </c>
      <c r="AP2692" s="43"/>
      <c r="AQ2692" s="236" t="str">
        <f>VLOOKUP(Table8[[#This Row],[Instrument]],Def_Targets!$D$73:$E$159,2,FALSE)</f>
        <v>S_Railfreight</v>
      </c>
      <c r="AR2692" s="233" t="str">
        <f>VLOOKUP(Table8[[#This Row],[Country Code]],Table29[],3,FALSE)</f>
        <v>Annex I</v>
      </c>
      <c r="AS2692" s="233" t="str">
        <f>VLOOKUP(Table8[[#This Row],[Country Code]],Table29[],4,FALSE)</f>
        <v>Europe</v>
      </c>
      <c r="AT2692" s="233" t="str">
        <f>VLOOKUP(Table8[[#This Row],[Country Code]],Table29[],5,FALSE)</f>
        <v>High-income</v>
      </c>
      <c r="AU2692" s="233" t="str">
        <f>VLOOKUP(Table8[[#This Row],[Country Code]],Table29[],6,FALSE)</f>
        <v>G20</v>
      </c>
      <c r="AV2692" s="233" t="str">
        <f>VLOOKUP(Table8[[#This Row],[Country Code]],Table29[],7,FALSE)</f>
        <v>G7</v>
      </c>
      <c r="AW2692" s="233" t="str">
        <f>VLOOKUP(Table8[[#This Row],[Country Code]],Table29[],8,FALSE)</f>
        <v>OECD</v>
      </c>
      <c r="AX2692" s="233" t="str">
        <f>VLOOKUP(Table8[[#This Row],[Country Code]],Table29[],9,FALSE)</f>
        <v>no</v>
      </c>
      <c r="AY2692" s="233" t="str">
        <f>VLOOKUP(Table8[[#This Row],[Country Code]],Table29[],10,FALSE)</f>
        <v>no</v>
      </c>
      <c r="AZ2692" s="235">
        <f>VLOOKUP(Table8[[#This Row],[Country Code]],Table29[],23,FALSE)</f>
        <v>379.31858785213001</v>
      </c>
      <c r="BA2692" s="235">
        <f>VLOOKUP(Table8[[#This Row],[Country Code]],Table29[],24,FALSE)</f>
        <v>109.75048777474809</v>
      </c>
      <c r="BB2692" s="320"/>
      <c r="BC2692" s="320"/>
    </row>
    <row r="2693" spans="1:55" ht="15" hidden="1" customHeight="1" x14ac:dyDescent="0.25">
      <c r="A2693" s="373">
        <v>26792</v>
      </c>
      <c r="B2693" s="233" t="str">
        <f>VLOOKUP(Table8[[#This Row],[Document ID]],Table1[],2,FALSE)</f>
        <v>GBR</v>
      </c>
      <c r="C2693" s="233" t="str">
        <f>VLOOKUP(Table8[[#This Row],[Document ID]],Table1[],3,FALSE)</f>
        <v>United Kingdom</v>
      </c>
      <c r="D2693" s="243" t="str">
        <f>VLOOKUP(Table8[[#This Row],[Document ID]],Table1[],5,FALSE)</f>
        <v>LTS</v>
      </c>
      <c r="E2693" s="233" t="str">
        <f>VLOOKUP(Table8[[#This Row],[Document ID]],Table1[],7,FALSE)</f>
        <v>LTS</v>
      </c>
      <c r="F2693" s="233" t="str">
        <f>VLOOKUP(Table8[[#This Row],[Document ID]],Table1[],8,FALSE)</f>
        <v>LTS 1.1</v>
      </c>
      <c r="G2693" s="233" t="str">
        <f>VLOOKUP(Table8[[#This Row],[Document ID]],Table1[],10,FALSE)</f>
        <v>Active</v>
      </c>
      <c r="H2693" s="43" t="s">
        <v>2343</v>
      </c>
      <c r="I2693" s="43" t="s">
        <v>2429</v>
      </c>
      <c r="J2693" s="44" t="s">
        <v>2472</v>
      </c>
      <c r="K2693" s="44" t="s">
        <v>4778</v>
      </c>
      <c r="L2693" s="44" t="s">
        <v>2333</v>
      </c>
      <c r="M2693" s="43">
        <v>156</v>
      </c>
      <c r="N2693" s="113"/>
      <c r="O2693" s="113"/>
      <c r="P2693" s="113"/>
      <c r="Q2693" s="113"/>
      <c r="R2693" s="113"/>
      <c r="S2693" s="113"/>
      <c r="T2693" s="113"/>
      <c r="U2693" s="113"/>
      <c r="V2693" s="113"/>
      <c r="W2693" s="113"/>
      <c r="X2693" s="113" t="s">
        <v>1113</v>
      </c>
      <c r="Y2693" s="113"/>
      <c r="Z2693" s="113"/>
      <c r="AA2693" s="113"/>
      <c r="AB2693" s="113"/>
      <c r="AC2693" s="113"/>
      <c r="AD2693" s="113"/>
      <c r="AE2693" s="113"/>
      <c r="AF2693" s="113"/>
      <c r="AG2693" s="113"/>
      <c r="AH2693" s="113"/>
      <c r="AI2693" s="113"/>
      <c r="AJ2693" s="113"/>
      <c r="AK2693" s="113" t="s">
        <v>1113</v>
      </c>
      <c r="AL2693" s="113"/>
      <c r="AM2693" s="113"/>
      <c r="AN2693" s="113"/>
      <c r="AO2693" s="43" t="s">
        <v>2353</v>
      </c>
      <c r="AP2693" s="43"/>
      <c r="AQ2693" s="236" t="str">
        <f>VLOOKUP(Table8[[#This Row],[Instrument]],Def_Targets!$D$73:$E$159,2,FALSE)</f>
        <v>I_Other</v>
      </c>
      <c r="AR2693" s="233" t="str">
        <f>VLOOKUP(Table8[[#This Row],[Country Code]],Table29[],3,FALSE)</f>
        <v>Annex I</v>
      </c>
      <c r="AS2693" s="233" t="str">
        <f>VLOOKUP(Table8[[#This Row],[Country Code]],Table29[],4,FALSE)</f>
        <v>Europe</v>
      </c>
      <c r="AT2693" s="233" t="str">
        <f>VLOOKUP(Table8[[#This Row],[Country Code]],Table29[],5,FALSE)</f>
        <v>High-income</v>
      </c>
      <c r="AU2693" s="233" t="str">
        <f>VLOOKUP(Table8[[#This Row],[Country Code]],Table29[],6,FALSE)</f>
        <v>G20</v>
      </c>
      <c r="AV2693" s="233" t="str">
        <f>VLOOKUP(Table8[[#This Row],[Country Code]],Table29[],7,FALSE)</f>
        <v>G7</v>
      </c>
      <c r="AW2693" s="233" t="str">
        <f>VLOOKUP(Table8[[#This Row],[Country Code]],Table29[],8,FALSE)</f>
        <v>OECD</v>
      </c>
      <c r="AX2693" s="233" t="str">
        <f>VLOOKUP(Table8[[#This Row],[Country Code]],Table29[],9,FALSE)</f>
        <v>no</v>
      </c>
      <c r="AY2693" s="233" t="str">
        <f>VLOOKUP(Table8[[#This Row],[Country Code]],Table29[],10,FALSE)</f>
        <v>no</v>
      </c>
      <c r="AZ2693" s="235">
        <f>VLOOKUP(Table8[[#This Row],[Country Code]],Table29[],23,FALSE)</f>
        <v>379.31858785213001</v>
      </c>
      <c r="BA2693" s="235">
        <f>VLOOKUP(Table8[[#This Row],[Country Code]],Table29[],24,FALSE)</f>
        <v>109.75048777474809</v>
      </c>
      <c r="BB2693" s="320"/>
      <c r="BC2693" s="320"/>
    </row>
    <row r="2694" spans="1:55" ht="15" hidden="1" customHeight="1" x14ac:dyDescent="0.25">
      <c r="A2694" s="373">
        <v>26792</v>
      </c>
      <c r="B2694" s="233" t="str">
        <f>VLOOKUP(Table8[[#This Row],[Document ID]],Table1[],2,FALSE)</f>
        <v>GBR</v>
      </c>
      <c r="C2694" s="233" t="str">
        <f>VLOOKUP(Table8[[#This Row],[Document ID]],Table1[],3,FALSE)</f>
        <v>United Kingdom</v>
      </c>
      <c r="D2694" s="243" t="str">
        <f>VLOOKUP(Table8[[#This Row],[Document ID]],Table1[],5,FALSE)</f>
        <v>LTS</v>
      </c>
      <c r="E2694" s="233" t="str">
        <f>VLOOKUP(Table8[[#This Row],[Document ID]],Table1[],7,FALSE)</f>
        <v>LTS</v>
      </c>
      <c r="F2694" s="233" t="str">
        <f>VLOOKUP(Table8[[#This Row],[Document ID]],Table1[],8,FALSE)</f>
        <v>LTS 1.1</v>
      </c>
      <c r="G2694" s="233" t="str">
        <f>VLOOKUP(Table8[[#This Row],[Document ID]],Table1[],10,FALSE)</f>
        <v>Active</v>
      </c>
      <c r="H2694" s="43" t="s">
        <v>2343</v>
      </c>
      <c r="I2694" s="43" t="s">
        <v>2429</v>
      </c>
      <c r="J2694" s="44" t="s">
        <v>2430</v>
      </c>
      <c r="K2694" s="44" t="s">
        <v>4779</v>
      </c>
      <c r="L2694" s="44" t="s">
        <v>2333</v>
      </c>
      <c r="M2694" s="43">
        <v>156</v>
      </c>
      <c r="N2694" s="113"/>
      <c r="O2694" s="113"/>
      <c r="P2694" s="113"/>
      <c r="Q2694" s="113"/>
      <c r="R2694" s="113"/>
      <c r="S2694" s="113"/>
      <c r="T2694" s="113"/>
      <c r="U2694" s="113"/>
      <c r="V2694" s="113"/>
      <c r="W2694" s="113"/>
      <c r="X2694" s="113" t="s">
        <v>1113</v>
      </c>
      <c r="Y2694" s="113"/>
      <c r="Z2694" s="113"/>
      <c r="AA2694" s="113"/>
      <c r="AB2694" s="113"/>
      <c r="AC2694" s="113"/>
      <c r="AD2694" s="113"/>
      <c r="AE2694" s="113"/>
      <c r="AF2694" s="113"/>
      <c r="AG2694" s="113"/>
      <c r="AH2694" s="113"/>
      <c r="AI2694" s="113"/>
      <c r="AJ2694" s="113"/>
      <c r="AK2694" s="113" t="s">
        <v>1113</v>
      </c>
      <c r="AL2694" s="113"/>
      <c r="AM2694" s="113"/>
      <c r="AN2694" s="113"/>
      <c r="AO2694" s="43" t="s">
        <v>2353</v>
      </c>
      <c r="AP2694" s="43"/>
      <c r="AQ2694" s="236" t="str">
        <f>VLOOKUP(Table8[[#This Row],[Instrument]],Def_Targets!$D$73:$E$159,2,FALSE)</f>
        <v>I_ITS</v>
      </c>
      <c r="AR2694" s="233" t="str">
        <f>VLOOKUP(Table8[[#This Row],[Country Code]],Table29[],3,FALSE)</f>
        <v>Annex I</v>
      </c>
      <c r="AS2694" s="233" t="str">
        <f>VLOOKUP(Table8[[#This Row],[Country Code]],Table29[],4,FALSE)</f>
        <v>Europe</v>
      </c>
      <c r="AT2694" s="233" t="str">
        <f>VLOOKUP(Table8[[#This Row],[Country Code]],Table29[],5,FALSE)</f>
        <v>High-income</v>
      </c>
      <c r="AU2694" s="233" t="str">
        <f>VLOOKUP(Table8[[#This Row],[Country Code]],Table29[],6,FALSE)</f>
        <v>G20</v>
      </c>
      <c r="AV2694" s="233" t="str">
        <f>VLOOKUP(Table8[[#This Row],[Country Code]],Table29[],7,FALSE)</f>
        <v>G7</v>
      </c>
      <c r="AW2694" s="233" t="str">
        <f>VLOOKUP(Table8[[#This Row],[Country Code]],Table29[],8,FALSE)</f>
        <v>OECD</v>
      </c>
      <c r="AX2694" s="233" t="str">
        <f>VLOOKUP(Table8[[#This Row],[Country Code]],Table29[],9,FALSE)</f>
        <v>no</v>
      </c>
      <c r="AY2694" s="233" t="str">
        <f>VLOOKUP(Table8[[#This Row],[Country Code]],Table29[],10,FALSE)</f>
        <v>no</v>
      </c>
      <c r="AZ2694" s="235">
        <f>VLOOKUP(Table8[[#This Row],[Country Code]],Table29[],23,FALSE)</f>
        <v>379.31858785213001</v>
      </c>
      <c r="BA2694" s="235">
        <f>VLOOKUP(Table8[[#This Row],[Country Code]],Table29[],24,FALSE)</f>
        <v>109.75048777474809</v>
      </c>
      <c r="BB2694" s="320"/>
      <c r="BC2694" s="320"/>
    </row>
    <row r="2695" spans="1:55" ht="15" hidden="1" customHeight="1" x14ac:dyDescent="0.25">
      <c r="A2695" s="373">
        <v>26792</v>
      </c>
      <c r="B2695" s="233" t="str">
        <f>VLOOKUP(Table8[[#This Row],[Document ID]],Table1[],2,FALSE)</f>
        <v>GBR</v>
      </c>
      <c r="C2695" s="233" t="str">
        <f>VLOOKUP(Table8[[#This Row],[Document ID]],Table1[],3,FALSE)</f>
        <v>United Kingdom</v>
      </c>
      <c r="D2695" s="243" t="str">
        <f>VLOOKUP(Table8[[#This Row],[Document ID]],Table1[],5,FALSE)</f>
        <v>LTS</v>
      </c>
      <c r="E2695" s="233" t="str">
        <f>VLOOKUP(Table8[[#This Row],[Document ID]],Table1[],7,FALSE)</f>
        <v>LTS</v>
      </c>
      <c r="F2695" s="233" t="str">
        <f>VLOOKUP(Table8[[#This Row],[Document ID]],Table1[],8,FALSE)</f>
        <v>LTS 1.1</v>
      </c>
      <c r="G2695" s="233" t="str">
        <f>VLOOKUP(Table8[[#This Row],[Document ID]],Table1[],10,FALSE)</f>
        <v>Active</v>
      </c>
      <c r="H2695" s="44" t="s">
        <v>2329</v>
      </c>
      <c r="I2695" s="44" t="s">
        <v>2330</v>
      </c>
      <c r="J2695" s="44" t="s">
        <v>2391</v>
      </c>
      <c r="K2695" s="44" t="s">
        <v>4780</v>
      </c>
      <c r="L2695" s="44" t="s">
        <v>2333</v>
      </c>
      <c r="M2695" s="43">
        <v>156</v>
      </c>
      <c r="N2695" s="113"/>
      <c r="O2695" s="113"/>
      <c r="P2695" s="113"/>
      <c r="Q2695" s="113"/>
      <c r="R2695" s="113"/>
      <c r="S2695" s="113"/>
      <c r="T2695" s="113"/>
      <c r="U2695" s="113"/>
      <c r="V2695" s="113"/>
      <c r="W2695" s="113"/>
      <c r="X2695" s="113"/>
      <c r="Y2695" s="113"/>
      <c r="Z2695" s="113" t="s">
        <v>1113</v>
      </c>
      <c r="AA2695" s="113"/>
      <c r="AB2695" s="113"/>
      <c r="AC2695" s="113"/>
      <c r="AD2695" s="113"/>
      <c r="AE2695" s="113"/>
      <c r="AF2695" s="113"/>
      <c r="AG2695" s="113"/>
      <c r="AH2695" s="113"/>
      <c r="AI2695" s="113"/>
      <c r="AJ2695" s="113"/>
      <c r="AK2695" s="113" t="s">
        <v>1113</v>
      </c>
      <c r="AL2695" s="113"/>
      <c r="AM2695" s="113"/>
      <c r="AN2695" s="113"/>
      <c r="AO2695" s="44" t="s">
        <v>2334</v>
      </c>
      <c r="AP2695" s="43"/>
      <c r="AQ2695" s="236" t="str">
        <f>VLOOKUP(Table8[[#This Row],[Instrument]],Def_Targets!$D$73:$E$159,2,FALSE)</f>
        <v>I_Hydrogen</v>
      </c>
      <c r="AR2695" s="233" t="str">
        <f>VLOOKUP(Table8[[#This Row],[Country Code]],Table29[],3,FALSE)</f>
        <v>Annex I</v>
      </c>
      <c r="AS2695" s="233" t="str">
        <f>VLOOKUP(Table8[[#This Row],[Country Code]],Table29[],4,FALSE)</f>
        <v>Europe</v>
      </c>
      <c r="AT2695" s="233" t="str">
        <f>VLOOKUP(Table8[[#This Row],[Country Code]],Table29[],5,FALSE)</f>
        <v>High-income</v>
      </c>
      <c r="AU2695" s="233" t="str">
        <f>VLOOKUP(Table8[[#This Row],[Country Code]],Table29[],6,FALSE)</f>
        <v>G20</v>
      </c>
      <c r="AV2695" s="233" t="str">
        <f>VLOOKUP(Table8[[#This Row],[Country Code]],Table29[],7,FALSE)</f>
        <v>G7</v>
      </c>
      <c r="AW2695" s="233" t="str">
        <f>VLOOKUP(Table8[[#This Row],[Country Code]],Table29[],8,FALSE)</f>
        <v>OECD</v>
      </c>
      <c r="AX2695" s="233" t="str">
        <f>VLOOKUP(Table8[[#This Row],[Country Code]],Table29[],9,FALSE)</f>
        <v>no</v>
      </c>
      <c r="AY2695" s="233" t="str">
        <f>VLOOKUP(Table8[[#This Row],[Country Code]],Table29[],10,FALSE)</f>
        <v>no</v>
      </c>
      <c r="AZ2695" s="235">
        <f>VLOOKUP(Table8[[#This Row],[Country Code]],Table29[],23,FALSE)</f>
        <v>379.31858785213001</v>
      </c>
      <c r="BA2695" s="235">
        <f>VLOOKUP(Table8[[#This Row],[Country Code]],Table29[],24,FALSE)</f>
        <v>109.75048777474809</v>
      </c>
      <c r="BB2695" s="320"/>
      <c r="BC2695" s="320"/>
    </row>
    <row r="2696" spans="1:55" ht="15" hidden="1" customHeight="1" x14ac:dyDescent="0.25">
      <c r="A2696" s="373">
        <v>26792</v>
      </c>
      <c r="B2696" s="233" t="str">
        <f>VLOOKUP(Table8[[#This Row],[Document ID]],Table1[],2,FALSE)</f>
        <v>GBR</v>
      </c>
      <c r="C2696" s="233" t="str">
        <f>VLOOKUP(Table8[[#This Row],[Document ID]],Table1[],3,FALSE)</f>
        <v>United Kingdom</v>
      </c>
      <c r="D2696" s="243" t="str">
        <f>VLOOKUP(Table8[[#This Row],[Document ID]],Table1[],5,FALSE)</f>
        <v>LTS</v>
      </c>
      <c r="E2696" s="233" t="str">
        <f>VLOOKUP(Table8[[#This Row],[Document ID]],Table1[],7,FALSE)</f>
        <v>LTS</v>
      </c>
      <c r="F2696" s="233" t="str">
        <f>VLOOKUP(Table8[[#This Row],[Document ID]],Table1[],8,FALSE)</f>
        <v>LTS 1.1</v>
      </c>
      <c r="G2696" s="233" t="str">
        <f>VLOOKUP(Table8[[#This Row],[Document ID]],Table1[],10,FALSE)</f>
        <v>Active</v>
      </c>
      <c r="H2696" s="43" t="s">
        <v>2358</v>
      </c>
      <c r="I2696" s="43" t="s">
        <v>2359</v>
      </c>
      <c r="J2696" s="44" t="s">
        <v>2360</v>
      </c>
      <c r="K2696" s="44" t="s">
        <v>4781</v>
      </c>
      <c r="L2696" s="44" t="s">
        <v>2333</v>
      </c>
      <c r="M2696" s="43">
        <v>156</v>
      </c>
      <c r="N2696" s="113"/>
      <c r="O2696" s="113"/>
      <c r="P2696" s="113"/>
      <c r="Q2696" s="113"/>
      <c r="R2696" s="113"/>
      <c r="S2696" s="113"/>
      <c r="T2696" s="113"/>
      <c r="U2696" s="113"/>
      <c r="V2696" s="113"/>
      <c r="W2696" s="113"/>
      <c r="X2696" s="113"/>
      <c r="Y2696" s="113"/>
      <c r="Z2696" s="113"/>
      <c r="AA2696" s="113"/>
      <c r="AB2696" s="113"/>
      <c r="AC2696" s="113"/>
      <c r="AD2696" s="113"/>
      <c r="AE2696" s="113"/>
      <c r="AF2696" s="113"/>
      <c r="AG2696" s="113"/>
      <c r="AH2696" s="113" t="s">
        <v>1113</v>
      </c>
      <c r="AI2696" s="113"/>
      <c r="AJ2696" s="113"/>
      <c r="AK2696" s="113" t="s">
        <v>1113</v>
      </c>
      <c r="AL2696" s="113"/>
      <c r="AM2696" s="113"/>
      <c r="AN2696" s="113"/>
      <c r="AO2696" s="44" t="s">
        <v>2334</v>
      </c>
      <c r="AP2696" s="43"/>
      <c r="AQ2696" s="236" t="str">
        <f>VLOOKUP(Table8[[#This Row],[Instrument]],Def_Targets!$D$73:$E$159,2,FALSE)</f>
        <v>I_Emobility</v>
      </c>
      <c r="AR2696" s="233" t="str">
        <f>VLOOKUP(Table8[[#This Row],[Country Code]],Table29[],3,FALSE)</f>
        <v>Annex I</v>
      </c>
      <c r="AS2696" s="233" t="str">
        <f>VLOOKUP(Table8[[#This Row],[Country Code]],Table29[],4,FALSE)</f>
        <v>Europe</v>
      </c>
      <c r="AT2696" s="233" t="str">
        <f>VLOOKUP(Table8[[#This Row],[Country Code]],Table29[],5,FALSE)</f>
        <v>High-income</v>
      </c>
      <c r="AU2696" s="233" t="str">
        <f>VLOOKUP(Table8[[#This Row],[Country Code]],Table29[],6,FALSE)</f>
        <v>G20</v>
      </c>
      <c r="AV2696" s="233" t="str">
        <f>VLOOKUP(Table8[[#This Row],[Country Code]],Table29[],7,FALSE)</f>
        <v>G7</v>
      </c>
      <c r="AW2696" s="233" t="str">
        <f>VLOOKUP(Table8[[#This Row],[Country Code]],Table29[],8,FALSE)</f>
        <v>OECD</v>
      </c>
      <c r="AX2696" s="233" t="str">
        <f>VLOOKUP(Table8[[#This Row],[Country Code]],Table29[],9,FALSE)</f>
        <v>no</v>
      </c>
      <c r="AY2696" s="233" t="str">
        <f>VLOOKUP(Table8[[#This Row],[Country Code]],Table29[],10,FALSE)</f>
        <v>no</v>
      </c>
      <c r="AZ2696" s="235">
        <f>VLOOKUP(Table8[[#This Row],[Country Code]],Table29[],23,FALSE)</f>
        <v>379.31858785213001</v>
      </c>
      <c r="BA2696" s="235">
        <f>VLOOKUP(Table8[[#This Row],[Country Code]],Table29[],24,FALSE)</f>
        <v>109.75048777474809</v>
      </c>
      <c r="BB2696" s="320"/>
      <c r="BC2696" s="320"/>
    </row>
    <row r="2697" spans="1:55" ht="15" hidden="1" customHeight="1" x14ac:dyDescent="0.25">
      <c r="A2697" s="373">
        <v>26792</v>
      </c>
      <c r="B2697" s="233" t="str">
        <f>VLOOKUP(Table8[[#This Row],[Document ID]],Table1[],2,FALSE)</f>
        <v>GBR</v>
      </c>
      <c r="C2697" s="233" t="str">
        <f>VLOOKUP(Table8[[#This Row],[Document ID]],Table1[],3,FALSE)</f>
        <v>United Kingdom</v>
      </c>
      <c r="D2697" s="243" t="str">
        <f>VLOOKUP(Table8[[#This Row],[Document ID]],Table1[],5,FALSE)</f>
        <v>LTS</v>
      </c>
      <c r="E2697" s="233" t="str">
        <f>VLOOKUP(Table8[[#This Row],[Document ID]],Table1[],7,FALSE)</f>
        <v>LTS</v>
      </c>
      <c r="F2697" s="233" t="str">
        <f>VLOOKUP(Table8[[#This Row],[Document ID]],Table1[],8,FALSE)</f>
        <v>LTS 1.1</v>
      </c>
      <c r="G2697" s="233" t="str">
        <f>VLOOKUP(Table8[[#This Row],[Document ID]],Table1[],10,FALSE)</f>
        <v>Active</v>
      </c>
      <c r="H2697" s="44" t="s">
        <v>2329</v>
      </c>
      <c r="I2697" s="44" t="s">
        <v>2330</v>
      </c>
      <c r="J2697" s="44" t="s">
        <v>2391</v>
      </c>
      <c r="K2697" s="44" t="s">
        <v>4782</v>
      </c>
      <c r="L2697" s="44" t="s">
        <v>2333</v>
      </c>
      <c r="M2697" s="43">
        <v>156</v>
      </c>
      <c r="N2697" s="113"/>
      <c r="O2697" s="113"/>
      <c r="P2697" s="113"/>
      <c r="Q2697" s="113"/>
      <c r="R2697" s="113"/>
      <c r="S2697" s="113"/>
      <c r="T2697" s="113"/>
      <c r="U2697" s="113"/>
      <c r="V2697" s="113"/>
      <c r="W2697" s="113"/>
      <c r="X2697" s="113"/>
      <c r="Y2697" s="113"/>
      <c r="Z2697" s="113"/>
      <c r="AA2697" s="113"/>
      <c r="AB2697" s="113"/>
      <c r="AC2697" s="113"/>
      <c r="AD2697" s="113"/>
      <c r="AE2697" s="113"/>
      <c r="AF2697" s="113"/>
      <c r="AG2697" s="113"/>
      <c r="AH2697" s="113" t="s">
        <v>1113</v>
      </c>
      <c r="AI2697" s="113"/>
      <c r="AJ2697" s="113"/>
      <c r="AK2697" s="113" t="s">
        <v>1113</v>
      </c>
      <c r="AL2697" s="113"/>
      <c r="AM2697" s="113"/>
      <c r="AN2697" s="113"/>
      <c r="AO2697" s="44" t="s">
        <v>2334</v>
      </c>
      <c r="AP2697" s="43"/>
      <c r="AQ2697" s="236" t="str">
        <f>VLOOKUP(Table8[[#This Row],[Instrument]],Def_Targets!$D$73:$E$159,2,FALSE)</f>
        <v>I_Hydrogen</v>
      </c>
      <c r="AR2697" s="233" t="str">
        <f>VLOOKUP(Table8[[#This Row],[Country Code]],Table29[],3,FALSE)</f>
        <v>Annex I</v>
      </c>
      <c r="AS2697" s="233" t="str">
        <f>VLOOKUP(Table8[[#This Row],[Country Code]],Table29[],4,FALSE)</f>
        <v>Europe</v>
      </c>
      <c r="AT2697" s="233" t="str">
        <f>VLOOKUP(Table8[[#This Row],[Country Code]],Table29[],5,FALSE)</f>
        <v>High-income</v>
      </c>
      <c r="AU2697" s="233" t="str">
        <f>VLOOKUP(Table8[[#This Row],[Country Code]],Table29[],6,FALSE)</f>
        <v>G20</v>
      </c>
      <c r="AV2697" s="233" t="str">
        <f>VLOOKUP(Table8[[#This Row],[Country Code]],Table29[],7,FALSE)</f>
        <v>G7</v>
      </c>
      <c r="AW2697" s="233" t="str">
        <f>VLOOKUP(Table8[[#This Row],[Country Code]],Table29[],8,FALSE)</f>
        <v>OECD</v>
      </c>
      <c r="AX2697" s="233" t="str">
        <f>VLOOKUP(Table8[[#This Row],[Country Code]],Table29[],9,FALSE)</f>
        <v>no</v>
      </c>
      <c r="AY2697" s="233" t="str">
        <f>VLOOKUP(Table8[[#This Row],[Country Code]],Table29[],10,FALSE)</f>
        <v>no</v>
      </c>
      <c r="AZ2697" s="235">
        <f>VLOOKUP(Table8[[#This Row],[Country Code]],Table29[],23,FALSE)</f>
        <v>379.31858785213001</v>
      </c>
      <c r="BA2697" s="235">
        <f>VLOOKUP(Table8[[#This Row],[Country Code]],Table29[],24,FALSE)</f>
        <v>109.75048777474809</v>
      </c>
      <c r="BB2697" s="320"/>
      <c r="BC2697" s="320"/>
    </row>
    <row r="2698" spans="1:55" ht="15" hidden="1" customHeight="1" x14ac:dyDescent="0.25">
      <c r="A2698" s="373">
        <v>26792</v>
      </c>
      <c r="B2698" s="233" t="str">
        <f>VLOOKUP(Table8[[#This Row],[Document ID]],Table1[],2,FALSE)</f>
        <v>GBR</v>
      </c>
      <c r="C2698" s="233" t="str">
        <f>VLOOKUP(Table8[[#This Row],[Document ID]],Table1[],3,FALSE)</f>
        <v>United Kingdom</v>
      </c>
      <c r="D2698" s="243" t="str">
        <f>VLOOKUP(Table8[[#This Row],[Document ID]],Table1[],5,FALSE)</f>
        <v>LTS</v>
      </c>
      <c r="E2698" s="233" t="str">
        <f>VLOOKUP(Table8[[#This Row],[Document ID]],Table1[],7,FALSE)</f>
        <v>LTS</v>
      </c>
      <c r="F2698" s="233" t="str">
        <f>VLOOKUP(Table8[[#This Row],[Document ID]],Table1[],8,FALSE)</f>
        <v>LTS 1.1</v>
      </c>
      <c r="G2698" s="233" t="str">
        <f>VLOOKUP(Table8[[#This Row],[Document ID]],Table1[],10,FALSE)</f>
        <v>Active</v>
      </c>
      <c r="H2698" s="44" t="s">
        <v>2329</v>
      </c>
      <c r="I2698" s="44" t="s">
        <v>2330</v>
      </c>
      <c r="J2698" s="44" t="s">
        <v>2331</v>
      </c>
      <c r="K2698" s="44" t="s">
        <v>4783</v>
      </c>
      <c r="L2698" s="44" t="s">
        <v>2333</v>
      </c>
      <c r="M2698" s="43">
        <v>156</v>
      </c>
      <c r="N2698" s="113"/>
      <c r="O2698" s="113"/>
      <c r="P2698" s="113"/>
      <c r="Q2698" s="113"/>
      <c r="R2698" s="113"/>
      <c r="S2698" s="113"/>
      <c r="T2698" s="113"/>
      <c r="U2698" s="113"/>
      <c r="V2698" s="113"/>
      <c r="W2698" s="113"/>
      <c r="X2698" s="113"/>
      <c r="Y2698" s="113"/>
      <c r="Z2698" s="113"/>
      <c r="AA2698" s="113"/>
      <c r="AB2698" s="113"/>
      <c r="AC2698" s="113"/>
      <c r="AD2698" s="113"/>
      <c r="AE2698" s="113"/>
      <c r="AF2698" s="113"/>
      <c r="AG2698" s="113"/>
      <c r="AH2698" s="113" t="s">
        <v>1113</v>
      </c>
      <c r="AI2698" s="113"/>
      <c r="AJ2698" s="113"/>
      <c r="AK2698" s="113" t="s">
        <v>1113</v>
      </c>
      <c r="AL2698" s="113"/>
      <c r="AM2698" s="113"/>
      <c r="AN2698" s="113"/>
      <c r="AO2698" s="44" t="s">
        <v>2334</v>
      </c>
      <c r="AP2698" s="43"/>
      <c r="AQ2698" s="236" t="str">
        <f>VLOOKUP(Table8[[#This Row],[Instrument]],Def_Targets!$D$73:$E$159,2,FALSE)</f>
        <v>I_Altfuels</v>
      </c>
      <c r="AR2698" s="233" t="str">
        <f>VLOOKUP(Table8[[#This Row],[Country Code]],Table29[],3,FALSE)</f>
        <v>Annex I</v>
      </c>
      <c r="AS2698" s="233" t="str">
        <f>VLOOKUP(Table8[[#This Row],[Country Code]],Table29[],4,FALSE)</f>
        <v>Europe</v>
      </c>
      <c r="AT2698" s="233" t="str">
        <f>VLOOKUP(Table8[[#This Row],[Country Code]],Table29[],5,FALSE)</f>
        <v>High-income</v>
      </c>
      <c r="AU2698" s="233" t="str">
        <f>VLOOKUP(Table8[[#This Row],[Country Code]],Table29[],6,FALSE)</f>
        <v>G20</v>
      </c>
      <c r="AV2698" s="233" t="str">
        <f>VLOOKUP(Table8[[#This Row],[Country Code]],Table29[],7,FALSE)</f>
        <v>G7</v>
      </c>
      <c r="AW2698" s="233" t="str">
        <f>VLOOKUP(Table8[[#This Row],[Country Code]],Table29[],8,FALSE)</f>
        <v>OECD</v>
      </c>
      <c r="AX2698" s="233" t="str">
        <f>VLOOKUP(Table8[[#This Row],[Country Code]],Table29[],9,FALSE)</f>
        <v>no</v>
      </c>
      <c r="AY2698" s="233" t="str">
        <f>VLOOKUP(Table8[[#This Row],[Country Code]],Table29[],10,FALSE)</f>
        <v>no</v>
      </c>
      <c r="AZ2698" s="235">
        <f>VLOOKUP(Table8[[#This Row],[Country Code]],Table29[],23,FALSE)</f>
        <v>379.31858785213001</v>
      </c>
      <c r="BA2698" s="235">
        <f>VLOOKUP(Table8[[#This Row],[Country Code]],Table29[],24,FALSE)</f>
        <v>109.75048777474809</v>
      </c>
      <c r="BB2698" s="320"/>
      <c r="BC2698" s="320"/>
    </row>
    <row r="2699" spans="1:55" ht="15" hidden="1" customHeight="1" x14ac:dyDescent="0.25">
      <c r="A2699" s="373">
        <v>26792</v>
      </c>
      <c r="B2699" s="233" t="str">
        <f>VLOOKUP(Table8[[#This Row],[Document ID]],Table1[],2,FALSE)</f>
        <v>GBR</v>
      </c>
      <c r="C2699" s="233" t="str">
        <f>VLOOKUP(Table8[[#This Row],[Document ID]],Table1[],3,FALSE)</f>
        <v>United Kingdom</v>
      </c>
      <c r="D2699" s="243" t="str">
        <f>VLOOKUP(Table8[[#This Row],[Document ID]],Table1[],5,FALSE)</f>
        <v>LTS</v>
      </c>
      <c r="E2699" s="233" t="str">
        <f>VLOOKUP(Table8[[#This Row],[Document ID]],Table1[],7,FALSE)</f>
        <v>LTS</v>
      </c>
      <c r="F2699" s="233" t="str">
        <f>VLOOKUP(Table8[[#This Row],[Document ID]],Table1[],8,FALSE)</f>
        <v>LTS 1.1</v>
      </c>
      <c r="G2699" s="233" t="str">
        <f>VLOOKUP(Table8[[#This Row],[Document ID]],Table1[],10,FALSE)</f>
        <v>Active</v>
      </c>
      <c r="H2699" s="43" t="s">
        <v>2484</v>
      </c>
      <c r="I2699" s="43" t="s">
        <v>2488</v>
      </c>
      <c r="J2699" s="44" t="s">
        <v>2489</v>
      </c>
      <c r="K2699" s="44" t="s">
        <v>4781</v>
      </c>
      <c r="L2699" s="44" t="s">
        <v>2333</v>
      </c>
      <c r="M2699" s="43">
        <v>156</v>
      </c>
      <c r="N2699" s="113"/>
      <c r="O2699" s="113"/>
      <c r="P2699" s="113"/>
      <c r="Q2699" s="113"/>
      <c r="R2699" s="113"/>
      <c r="S2699" s="113"/>
      <c r="T2699" s="113"/>
      <c r="U2699" s="113"/>
      <c r="V2699" s="113"/>
      <c r="W2699" s="113"/>
      <c r="X2699" s="113"/>
      <c r="Y2699" s="113"/>
      <c r="Z2699" s="113"/>
      <c r="AA2699" s="113"/>
      <c r="AB2699" s="113"/>
      <c r="AC2699" s="113"/>
      <c r="AD2699" s="113"/>
      <c r="AE2699" s="113"/>
      <c r="AF2699" s="113"/>
      <c r="AG2699" s="113"/>
      <c r="AH2699" s="113" t="s">
        <v>1113</v>
      </c>
      <c r="AI2699" s="113"/>
      <c r="AJ2699" s="113"/>
      <c r="AK2699" s="113" t="s">
        <v>1113</v>
      </c>
      <c r="AL2699" s="113"/>
      <c r="AM2699" s="113"/>
      <c r="AN2699" s="113"/>
      <c r="AO2699" s="44" t="s">
        <v>2334</v>
      </c>
      <c r="AP2699" s="43"/>
      <c r="AQ2699" s="236" t="str">
        <f>VLOOKUP(Table8[[#This Row],[Instrument]],Def_Targets!$D$73:$E$159,2,FALSE)</f>
        <v>I_Aviation</v>
      </c>
      <c r="AR2699" s="233" t="str">
        <f>VLOOKUP(Table8[[#This Row],[Country Code]],Table29[],3,FALSE)</f>
        <v>Annex I</v>
      </c>
      <c r="AS2699" s="233" t="str">
        <f>VLOOKUP(Table8[[#This Row],[Country Code]],Table29[],4,FALSE)</f>
        <v>Europe</v>
      </c>
      <c r="AT2699" s="233" t="str">
        <f>VLOOKUP(Table8[[#This Row],[Country Code]],Table29[],5,FALSE)</f>
        <v>High-income</v>
      </c>
      <c r="AU2699" s="233" t="str">
        <f>VLOOKUP(Table8[[#This Row],[Country Code]],Table29[],6,FALSE)</f>
        <v>G20</v>
      </c>
      <c r="AV2699" s="233" t="str">
        <f>VLOOKUP(Table8[[#This Row],[Country Code]],Table29[],7,FALSE)</f>
        <v>G7</v>
      </c>
      <c r="AW2699" s="233" t="str">
        <f>VLOOKUP(Table8[[#This Row],[Country Code]],Table29[],8,FALSE)</f>
        <v>OECD</v>
      </c>
      <c r="AX2699" s="233" t="str">
        <f>VLOOKUP(Table8[[#This Row],[Country Code]],Table29[],9,FALSE)</f>
        <v>no</v>
      </c>
      <c r="AY2699" s="233" t="str">
        <f>VLOOKUP(Table8[[#This Row],[Country Code]],Table29[],10,FALSE)</f>
        <v>no</v>
      </c>
      <c r="AZ2699" s="235">
        <f>VLOOKUP(Table8[[#This Row],[Country Code]],Table29[],23,FALSE)</f>
        <v>379.31858785213001</v>
      </c>
      <c r="BA2699" s="235">
        <f>VLOOKUP(Table8[[#This Row],[Country Code]],Table29[],24,FALSE)</f>
        <v>109.75048777474809</v>
      </c>
      <c r="BB2699" s="320"/>
      <c r="BC2699" s="320"/>
    </row>
    <row r="2700" spans="1:55" ht="15" hidden="1" customHeight="1" x14ac:dyDescent="0.25">
      <c r="A2700" s="373">
        <v>26792</v>
      </c>
      <c r="B2700" s="233" t="str">
        <f>VLOOKUP(Table8[[#This Row],[Document ID]],Table1[],2,FALSE)</f>
        <v>GBR</v>
      </c>
      <c r="C2700" s="233" t="str">
        <f>VLOOKUP(Table8[[#This Row],[Document ID]],Table1[],3,FALSE)</f>
        <v>United Kingdom</v>
      </c>
      <c r="D2700" s="243" t="str">
        <f>VLOOKUP(Table8[[#This Row],[Document ID]],Table1[],5,FALSE)</f>
        <v>LTS</v>
      </c>
      <c r="E2700" s="233" t="str">
        <f>VLOOKUP(Table8[[#This Row],[Document ID]],Table1[],7,FALSE)</f>
        <v>LTS</v>
      </c>
      <c r="F2700" s="233" t="str">
        <f>VLOOKUP(Table8[[#This Row],[Document ID]],Table1[],8,FALSE)</f>
        <v>LTS 1.1</v>
      </c>
      <c r="G2700" s="233" t="str">
        <f>VLOOKUP(Table8[[#This Row],[Document ID]],Table1[],10,FALSE)</f>
        <v>Active</v>
      </c>
      <c r="H2700" s="43" t="s">
        <v>2343</v>
      </c>
      <c r="I2700" s="43" t="s">
        <v>2386</v>
      </c>
      <c r="J2700" s="44" t="s">
        <v>2412</v>
      </c>
      <c r="K2700" s="44" t="s">
        <v>4781</v>
      </c>
      <c r="L2700" s="44" t="s">
        <v>2333</v>
      </c>
      <c r="M2700" s="43">
        <v>156</v>
      </c>
      <c r="N2700" s="113"/>
      <c r="O2700" s="113"/>
      <c r="P2700" s="113"/>
      <c r="Q2700" s="113"/>
      <c r="R2700" s="113"/>
      <c r="S2700" s="113"/>
      <c r="T2700" s="113"/>
      <c r="U2700" s="113"/>
      <c r="V2700" s="113"/>
      <c r="W2700" s="113"/>
      <c r="X2700" s="113"/>
      <c r="Y2700" s="113"/>
      <c r="Z2700" s="113"/>
      <c r="AA2700" s="113"/>
      <c r="AB2700" s="113"/>
      <c r="AC2700" s="113"/>
      <c r="AD2700" s="113"/>
      <c r="AE2700" s="113"/>
      <c r="AF2700" s="113"/>
      <c r="AG2700" s="113"/>
      <c r="AH2700" s="113" t="s">
        <v>1113</v>
      </c>
      <c r="AI2700" s="113"/>
      <c r="AJ2700" s="113"/>
      <c r="AK2700" s="113" t="s">
        <v>1113</v>
      </c>
      <c r="AL2700" s="113"/>
      <c r="AM2700" s="113"/>
      <c r="AN2700" s="113"/>
      <c r="AO2700" s="44" t="s">
        <v>2334</v>
      </c>
      <c r="AP2700" s="43"/>
      <c r="AQ2700" s="236" t="str">
        <f>VLOOKUP(Table8[[#This Row],[Instrument]],Def_Targets!$D$73:$E$159,2,FALSE)</f>
        <v>A_Economic</v>
      </c>
      <c r="AR2700" s="233" t="str">
        <f>VLOOKUP(Table8[[#This Row],[Country Code]],Table29[],3,FALSE)</f>
        <v>Annex I</v>
      </c>
      <c r="AS2700" s="233" t="str">
        <f>VLOOKUP(Table8[[#This Row],[Country Code]],Table29[],4,FALSE)</f>
        <v>Europe</v>
      </c>
      <c r="AT2700" s="233" t="str">
        <f>VLOOKUP(Table8[[#This Row],[Country Code]],Table29[],5,FALSE)</f>
        <v>High-income</v>
      </c>
      <c r="AU2700" s="233" t="str">
        <f>VLOOKUP(Table8[[#This Row],[Country Code]],Table29[],6,FALSE)</f>
        <v>G20</v>
      </c>
      <c r="AV2700" s="233" t="str">
        <f>VLOOKUP(Table8[[#This Row],[Country Code]],Table29[],7,FALSE)</f>
        <v>G7</v>
      </c>
      <c r="AW2700" s="233" t="str">
        <f>VLOOKUP(Table8[[#This Row],[Country Code]],Table29[],8,FALSE)</f>
        <v>OECD</v>
      </c>
      <c r="AX2700" s="233" t="str">
        <f>VLOOKUP(Table8[[#This Row],[Country Code]],Table29[],9,FALSE)</f>
        <v>no</v>
      </c>
      <c r="AY2700" s="233" t="str">
        <f>VLOOKUP(Table8[[#This Row],[Country Code]],Table29[],10,FALSE)</f>
        <v>no</v>
      </c>
      <c r="AZ2700" s="235">
        <f>VLOOKUP(Table8[[#This Row],[Country Code]],Table29[],23,FALSE)</f>
        <v>379.31858785213001</v>
      </c>
      <c r="BA2700" s="235">
        <f>VLOOKUP(Table8[[#This Row],[Country Code]],Table29[],24,FALSE)</f>
        <v>109.75048777474809</v>
      </c>
      <c r="BB2700" s="320"/>
      <c r="BC2700" s="320"/>
    </row>
    <row r="2701" spans="1:55" ht="15" hidden="1" customHeight="1" x14ac:dyDescent="0.25">
      <c r="A2701" s="373">
        <v>26792</v>
      </c>
      <c r="B2701" s="233" t="str">
        <f>VLOOKUP(Table8[[#This Row],[Document ID]],Table1[],2,FALSE)</f>
        <v>GBR</v>
      </c>
      <c r="C2701" s="233" t="str">
        <f>VLOOKUP(Table8[[#This Row],[Document ID]],Table1[],3,FALSE)</f>
        <v>United Kingdom</v>
      </c>
      <c r="D2701" s="243" t="str">
        <f>VLOOKUP(Table8[[#This Row],[Document ID]],Table1[],5,FALSE)</f>
        <v>LTS</v>
      </c>
      <c r="E2701" s="233" t="str">
        <f>VLOOKUP(Table8[[#This Row],[Document ID]],Table1[],7,FALSE)</f>
        <v>LTS</v>
      </c>
      <c r="F2701" s="233" t="str">
        <f>VLOOKUP(Table8[[#This Row],[Document ID]],Table1[],8,FALSE)</f>
        <v>LTS 1.1</v>
      </c>
      <c r="G2701" s="233" t="str">
        <f>VLOOKUP(Table8[[#This Row],[Document ID]],Table1[],10,FALSE)</f>
        <v>Active</v>
      </c>
      <c r="H2701" s="44" t="s">
        <v>2329</v>
      </c>
      <c r="I2701" s="44" t="s">
        <v>2330</v>
      </c>
      <c r="J2701" s="44" t="s">
        <v>2331</v>
      </c>
      <c r="K2701" s="44" t="s">
        <v>4784</v>
      </c>
      <c r="L2701" s="44" t="s">
        <v>2333</v>
      </c>
      <c r="M2701" s="43">
        <v>156</v>
      </c>
      <c r="N2701" s="113"/>
      <c r="O2701" s="113"/>
      <c r="P2701" s="113"/>
      <c r="Q2701" s="113"/>
      <c r="R2701" s="113"/>
      <c r="S2701" s="113"/>
      <c r="T2701" s="113"/>
      <c r="U2701" s="113"/>
      <c r="V2701" s="113"/>
      <c r="W2701" s="113"/>
      <c r="X2701" s="113"/>
      <c r="Y2701" s="113"/>
      <c r="Z2701" s="113"/>
      <c r="AA2701" s="113"/>
      <c r="AB2701" s="113"/>
      <c r="AC2701" s="113"/>
      <c r="AD2701" s="113" t="s">
        <v>1113</v>
      </c>
      <c r="AE2701" s="113"/>
      <c r="AF2701" s="113"/>
      <c r="AG2701" s="113"/>
      <c r="AH2701" s="113"/>
      <c r="AI2701" s="113"/>
      <c r="AJ2701" s="113"/>
      <c r="AK2701" s="113" t="s">
        <v>1113</v>
      </c>
      <c r="AL2701" s="113"/>
      <c r="AM2701" s="113"/>
      <c r="AN2701" s="113"/>
      <c r="AO2701" s="44" t="s">
        <v>2334</v>
      </c>
      <c r="AP2701" s="43"/>
      <c r="AQ2701" s="236" t="str">
        <f>VLOOKUP(Table8[[#This Row],[Instrument]],Def_Targets!$D$73:$E$159,2,FALSE)</f>
        <v>I_Altfuels</v>
      </c>
      <c r="AR2701" s="233" t="str">
        <f>VLOOKUP(Table8[[#This Row],[Country Code]],Table29[],3,FALSE)</f>
        <v>Annex I</v>
      </c>
      <c r="AS2701" s="233" t="str">
        <f>VLOOKUP(Table8[[#This Row],[Country Code]],Table29[],4,FALSE)</f>
        <v>Europe</v>
      </c>
      <c r="AT2701" s="233" t="str">
        <f>VLOOKUP(Table8[[#This Row],[Country Code]],Table29[],5,FALSE)</f>
        <v>High-income</v>
      </c>
      <c r="AU2701" s="233" t="str">
        <f>VLOOKUP(Table8[[#This Row],[Country Code]],Table29[],6,FALSE)</f>
        <v>G20</v>
      </c>
      <c r="AV2701" s="233" t="str">
        <f>VLOOKUP(Table8[[#This Row],[Country Code]],Table29[],7,FALSE)</f>
        <v>G7</v>
      </c>
      <c r="AW2701" s="233" t="str">
        <f>VLOOKUP(Table8[[#This Row],[Country Code]],Table29[],8,FALSE)</f>
        <v>OECD</v>
      </c>
      <c r="AX2701" s="233" t="str">
        <f>VLOOKUP(Table8[[#This Row],[Country Code]],Table29[],9,FALSE)</f>
        <v>no</v>
      </c>
      <c r="AY2701" s="233" t="str">
        <f>VLOOKUP(Table8[[#This Row],[Country Code]],Table29[],10,FALSE)</f>
        <v>no</v>
      </c>
      <c r="AZ2701" s="235">
        <f>VLOOKUP(Table8[[#This Row],[Country Code]],Table29[],23,FALSE)</f>
        <v>379.31858785213001</v>
      </c>
      <c r="BA2701" s="235">
        <f>VLOOKUP(Table8[[#This Row],[Country Code]],Table29[],24,FALSE)</f>
        <v>109.75048777474809</v>
      </c>
      <c r="BB2701" s="320"/>
      <c r="BC2701" s="320"/>
    </row>
    <row r="2702" spans="1:55" ht="15" hidden="1" customHeight="1" x14ac:dyDescent="0.25">
      <c r="A2702" s="373">
        <v>26792</v>
      </c>
      <c r="B2702" s="233" t="str">
        <f>VLOOKUP(Table8[[#This Row],[Document ID]],Table1[],2,FALSE)</f>
        <v>GBR</v>
      </c>
      <c r="C2702" s="233" t="str">
        <f>VLOOKUP(Table8[[#This Row],[Document ID]],Table1[],3,FALSE)</f>
        <v>United Kingdom</v>
      </c>
      <c r="D2702" s="243" t="str">
        <f>VLOOKUP(Table8[[#This Row],[Document ID]],Table1[],5,FALSE)</f>
        <v>LTS</v>
      </c>
      <c r="E2702" s="233" t="str">
        <f>VLOOKUP(Table8[[#This Row],[Document ID]],Table1[],7,FALSE)</f>
        <v>LTS</v>
      </c>
      <c r="F2702" s="233" t="str">
        <f>VLOOKUP(Table8[[#This Row],[Document ID]],Table1[],8,FALSE)</f>
        <v>LTS 1.1</v>
      </c>
      <c r="G2702" s="233" t="str">
        <f>VLOOKUP(Table8[[#This Row],[Document ID]],Table1[],10,FALSE)</f>
        <v>Active</v>
      </c>
      <c r="H2702" s="44" t="s">
        <v>2329</v>
      </c>
      <c r="I2702" s="44" t="s">
        <v>2330</v>
      </c>
      <c r="J2702" s="44" t="s">
        <v>2391</v>
      </c>
      <c r="K2702" s="44" t="s">
        <v>4784</v>
      </c>
      <c r="L2702" s="44" t="s">
        <v>2333</v>
      </c>
      <c r="M2702" s="43">
        <v>156</v>
      </c>
      <c r="N2702" s="113"/>
      <c r="O2702" s="113"/>
      <c r="P2702" s="113"/>
      <c r="Q2702" s="113"/>
      <c r="R2702" s="113"/>
      <c r="S2702" s="113"/>
      <c r="T2702" s="113"/>
      <c r="U2702" s="113"/>
      <c r="V2702" s="113"/>
      <c r="W2702" s="113"/>
      <c r="X2702" s="113"/>
      <c r="Y2702" s="113"/>
      <c r="Z2702" s="113"/>
      <c r="AA2702" s="113"/>
      <c r="AB2702" s="113"/>
      <c r="AC2702" s="113"/>
      <c r="AD2702" s="113" t="s">
        <v>1113</v>
      </c>
      <c r="AE2702" s="113"/>
      <c r="AF2702" s="113"/>
      <c r="AG2702" s="113"/>
      <c r="AH2702" s="113"/>
      <c r="AI2702" s="113"/>
      <c r="AJ2702" s="113"/>
      <c r="AK2702" s="113" t="s">
        <v>1113</v>
      </c>
      <c r="AL2702" s="113"/>
      <c r="AM2702" s="113"/>
      <c r="AN2702" s="113"/>
      <c r="AO2702" s="44" t="s">
        <v>2334</v>
      </c>
      <c r="AP2702" s="43"/>
      <c r="AQ2702" s="236" t="str">
        <f>VLOOKUP(Table8[[#This Row],[Instrument]],Def_Targets!$D$73:$E$159,2,FALSE)</f>
        <v>I_Hydrogen</v>
      </c>
      <c r="AR2702" s="233" t="str">
        <f>VLOOKUP(Table8[[#This Row],[Country Code]],Table29[],3,FALSE)</f>
        <v>Annex I</v>
      </c>
      <c r="AS2702" s="233" t="str">
        <f>VLOOKUP(Table8[[#This Row],[Country Code]],Table29[],4,FALSE)</f>
        <v>Europe</v>
      </c>
      <c r="AT2702" s="233" t="str">
        <f>VLOOKUP(Table8[[#This Row],[Country Code]],Table29[],5,FALSE)</f>
        <v>High-income</v>
      </c>
      <c r="AU2702" s="233" t="str">
        <f>VLOOKUP(Table8[[#This Row],[Country Code]],Table29[],6,FALSE)</f>
        <v>G20</v>
      </c>
      <c r="AV2702" s="233" t="str">
        <f>VLOOKUP(Table8[[#This Row],[Country Code]],Table29[],7,FALSE)</f>
        <v>G7</v>
      </c>
      <c r="AW2702" s="233" t="str">
        <f>VLOOKUP(Table8[[#This Row],[Country Code]],Table29[],8,FALSE)</f>
        <v>OECD</v>
      </c>
      <c r="AX2702" s="233" t="str">
        <f>VLOOKUP(Table8[[#This Row],[Country Code]],Table29[],9,FALSE)</f>
        <v>no</v>
      </c>
      <c r="AY2702" s="233" t="str">
        <f>VLOOKUP(Table8[[#This Row],[Country Code]],Table29[],10,FALSE)</f>
        <v>no</v>
      </c>
      <c r="AZ2702" s="235">
        <f>VLOOKUP(Table8[[#This Row],[Country Code]],Table29[],23,FALSE)</f>
        <v>379.31858785213001</v>
      </c>
      <c r="BA2702" s="235">
        <f>VLOOKUP(Table8[[#This Row],[Country Code]],Table29[],24,FALSE)</f>
        <v>109.75048777474809</v>
      </c>
      <c r="BB2702" s="320"/>
      <c r="BC2702" s="320"/>
    </row>
    <row r="2703" spans="1:55" ht="15" hidden="1" customHeight="1" x14ac:dyDescent="0.25">
      <c r="A2703" s="373">
        <v>26792</v>
      </c>
      <c r="B2703" s="233" t="str">
        <f>VLOOKUP(Table8[[#This Row],[Document ID]],Table1[],2,FALSE)</f>
        <v>GBR</v>
      </c>
      <c r="C2703" s="233" t="str">
        <f>VLOOKUP(Table8[[#This Row],[Document ID]],Table1[],3,FALSE)</f>
        <v>United Kingdom</v>
      </c>
      <c r="D2703" s="243" t="str">
        <f>VLOOKUP(Table8[[#This Row],[Document ID]],Table1[],5,FALSE)</f>
        <v>LTS</v>
      </c>
      <c r="E2703" s="233" t="str">
        <f>VLOOKUP(Table8[[#This Row],[Document ID]],Table1[],7,FALSE)</f>
        <v>LTS</v>
      </c>
      <c r="F2703" s="233" t="str">
        <f>VLOOKUP(Table8[[#This Row],[Document ID]],Table1[],8,FALSE)</f>
        <v>LTS 1.1</v>
      </c>
      <c r="G2703" s="233" t="str">
        <f>VLOOKUP(Table8[[#This Row],[Document ID]],Table1[],10,FALSE)</f>
        <v>Active</v>
      </c>
      <c r="H2703" s="43" t="s">
        <v>2343</v>
      </c>
      <c r="I2703" s="43" t="s">
        <v>2386</v>
      </c>
      <c r="J2703" s="44" t="s">
        <v>2397</v>
      </c>
      <c r="K2703" s="44" t="s">
        <v>4785</v>
      </c>
      <c r="L2703" s="44" t="s">
        <v>2333</v>
      </c>
      <c r="M2703" s="43">
        <v>156</v>
      </c>
      <c r="N2703" s="113" t="s">
        <v>1113</v>
      </c>
      <c r="O2703" s="113"/>
      <c r="P2703" s="113"/>
      <c r="Q2703" s="113"/>
      <c r="R2703" s="113"/>
      <c r="S2703" s="113"/>
      <c r="T2703" s="113"/>
      <c r="U2703" s="113"/>
      <c r="V2703" s="113"/>
      <c r="W2703" s="113"/>
      <c r="X2703" s="113"/>
      <c r="Y2703" s="113"/>
      <c r="Z2703" s="113"/>
      <c r="AA2703" s="113"/>
      <c r="AB2703" s="113"/>
      <c r="AC2703" s="113"/>
      <c r="AD2703" s="113"/>
      <c r="AE2703" s="113"/>
      <c r="AF2703" s="113"/>
      <c r="AG2703" s="113"/>
      <c r="AH2703" s="113"/>
      <c r="AI2703" s="113"/>
      <c r="AJ2703" s="113"/>
      <c r="AK2703" s="113" t="s">
        <v>1113</v>
      </c>
      <c r="AL2703" s="113"/>
      <c r="AM2703" s="113"/>
      <c r="AN2703" s="113"/>
      <c r="AO2703" s="44" t="s">
        <v>2334</v>
      </c>
      <c r="AP2703" s="43"/>
      <c r="AQ2703" s="236" t="str">
        <f>VLOOKUP(Table8[[#This Row],[Instrument]],Def_Targets!$D$73:$E$159,2,FALSE)</f>
        <v>A_Finance</v>
      </c>
      <c r="AR2703" s="233" t="str">
        <f>VLOOKUP(Table8[[#This Row],[Country Code]],Table29[],3,FALSE)</f>
        <v>Annex I</v>
      </c>
      <c r="AS2703" s="233" t="str">
        <f>VLOOKUP(Table8[[#This Row],[Country Code]],Table29[],4,FALSE)</f>
        <v>Europe</v>
      </c>
      <c r="AT2703" s="233" t="str">
        <f>VLOOKUP(Table8[[#This Row],[Country Code]],Table29[],5,FALSE)</f>
        <v>High-income</v>
      </c>
      <c r="AU2703" s="233" t="str">
        <f>VLOOKUP(Table8[[#This Row],[Country Code]],Table29[],6,FALSE)</f>
        <v>G20</v>
      </c>
      <c r="AV2703" s="233" t="str">
        <f>VLOOKUP(Table8[[#This Row],[Country Code]],Table29[],7,FALSE)</f>
        <v>G7</v>
      </c>
      <c r="AW2703" s="233" t="str">
        <f>VLOOKUP(Table8[[#This Row],[Country Code]],Table29[],8,FALSE)</f>
        <v>OECD</v>
      </c>
      <c r="AX2703" s="233" t="str">
        <f>VLOOKUP(Table8[[#This Row],[Country Code]],Table29[],9,FALSE)</f>
        <v>no</v>
      </c>
      <c r="AY2703" s="233" t="str">
        <f>VLOOKUP(Table8[[#This Row],[Country Code]],Table29[],10,FALSE)</f>
        <v>no</v>
      </c>
      <c r="AZ2703" s="235">
        <f>VLOOKUP(Table8[[#This Row],[Country Code]],Table29[],23,FALSE)</f>
        <v>379.31858785213001</v>
      </c>
      <c r="BA2703" s="235">
        <f>VLOOKUP(Table8[[#This Row],[Country Code]],Table29[],24,FALSE)</f>
        <v>109.75048777474809</v>
      </c>
      <c r="BB2703" s="320"/>
      <c r="BC2703" s="320"/>
    </row>
    <row r="2704" spans="1:55" ht="30" hidden="1" x14ac:dyDescent="0.25">
      <c r="A2704" s="373">
        <v>26792</v>
      </c>
      <c r="B2704" s="233" t="str">
        <f>VLOOKUP(Table8[[#This Row],[Document ID]],Table1[],2,FALSE)</f>
        <v>GBR</v>
      </c>
      <c r="C2704" s="233" t="str">
        <f>VLOOKUP(Table8[[#This Row],[Document ID]],Table1[],3,FALSE)</f>
        <v>United Kingdom</v>
      </c>
      <c r="D2704" s="243" t="str">
        <f>VLOOKUP(Table8[[#This Row],[Document ID]],Table1[],5,FALSE)</f>
        <v>LTS</v>
      </c>
      <c r="E2704" s="233" t="str">
        <f>VLOOKUP(Table8[[#This Row],[Document ID]],Table1[],7,FALSE)</f>
        <v>LTS</v>
      </c>
      <c r="F2704" s="233" t="str">
        <f>VLOOKUP(Table8[[#This Row],[Document ID]],Table1[],8,FALSE)</f>
        <v>LTS 1.1</v>
      </c>
      <c r="G2704" s="233" t="str">
        <f>VLOOKUP(Table8[[#This Row],[Document ID]],Table1[],10,FALSE)</f>
        <v>Active</v>
      </c>
      <c r="H2704" s="43" t="s">
        <v>2343</v>
      </c>
      <c r="I2704" s="43" t="s">
        <v>2344</v>
      </c>
      <c r="J2704" s="44" t="s">
        <v>2405</v>
      </c>
      <c r="K2704" s="44" t="s">
        <v>4786</v>
      </c>
      <c r="L2704" s="44" t="s">
        <v>2347</v>
      </c>
      <c r="M2704" s="43">
        <v>159</v>
      </c>
      <c r="N2704" s="113"/>
      <c r="O2704" s="113"/>
      <c r="P2704" s="113"/>
      <c r="Q2704" s="113"/>
      <c r="R2704" s="113"/>
      <c r="S2704" s="113"/>
      <c r="T2704" s="113"/>
      <c r="U2704" s="113"/>
      <c r="V2704" s="113"/>
      <c r="W2704" s="113"/>
      <c r="X2704" s="113"/>
      <c r="Y2704" s="113"/>
      <c r="Z2704" s="113" t="s">
        <v>1113</v>
      </c>
      <c r="AA2704" s="113"/>
      <c r="AB2704" s="113"/>
      <c r="AC2704" s="113"/>
      <c r="AD2704" s="113"/>
      <c r="AE2704" s="113"/>
      <c r="AF2704" s="113"/>
      <c r="AG2704" s="113"/>
      <c r="AH2704" s="113"/>
      <c r="AI2704" s="113"/>
      <c r="AJ2704" s="113"/>
      <c r="AK2704" s="113" t="s">
        <v>1113</v>
      </c>
      <c r="AL2704" s="113"/>
      <c r="AM2704" s="113"/>
      <c r="AN2704" s="113"/>
      <c r="AO2704" s="43" t="s">
        <v>2477</v>
      </c>
      <c r="AP2704" s="43"/>
      <c r="AQ2704" s="236" t="str">
        <f>VLOOKUP(Table8[[#This Row],[Instrument]],Def_Targets!$D$73:$E$159,2,FALSE)</f>
        <v>S_PTIntegration</v>
      </c>
      <c r="AR2704" s="233" t="str">
        <f>VLOOKUP(Table8[[#This Row],[Country Code]],Table29[],3,FALSE)</f>
        <v>Annex I</v>
      </c>
      <c r="AS2704" s="233" t="str">
        <f>VLOOKUP(Table8[[#This Row],[Country Code]],Table29[],4,FALSE)</f>
        <v>Europe</v>
      </c>
      <c r="AT2704" s="233" t="str">
        <f>VLOOKUP(Table8[[#This Row],[Country Code]],Table29[],5,FALSE)</f>
        <v>High-income</v>
      </c>
      <c r="AU2704" s="233" t="str">
        <f>VLOOKUP(Table8[[#This Row],[Country Code]],Table29[],6,FALSE)</f>
        <v>G20</v>
      </c>
      <c r="AV2704" s="233" t="str">
        <f>VLOOKUP(Table8[[#This Row],[Country Code]],Table29[],7,FALSE)</f>
        <v>G7</v>
      </c>
      <c r="AW2704" s="233" t="str">
        <f>VLOOKUP(Table8[[#This Row],[Country Code]],Table29[],8,FALSE)</f>
        <v>OECD</v>
      </c>
      <c r="AX2704" s="233" t="str">
        <f>VLOOKUP(Table8[[#This Row],[Country Code]],Table29[],9,FALSE)</f>
        <v>no</v>
      </c>
      <c r="AY2704" s="233" t="str">
        <f>VLOOKUP(Table8[[#This Row],[Country Code]],Table29[],10,FALSE)</f>
        <v>no</v>
      </c>
      <c r="AZ2704" s="235">
        <f>VLOOKUP(Table8[[#This Row],[Country Code]],Table29[],23,FALSE)</f>
        <v>379.31858785213001</v>
      </c>
      <c r="BA2704" s="235">
        <f>VLOOKUP(Table8[[#This Row],[Country Code]],Table29[],24,FALSE)</f>
        <v>109.75048777474809</v>
      </c>
      <c r="BB2704" s="320"/>
      <c r="BC2704" s="320"/>
    </row>
    <row r="2705" spans="1:55" ht="15" hidden="1" customHeight="1" x14ac:dyDescent="0.25">
      <c r="A2705" s="373">
        <v>26792</v>
      </c>
      <c r="B2705" s="233" t="str">
        <f>VLOOKUP(Table8[[#This Row],[Document ID]],Table1[],2,FALSE)</f>
        <v>GBR</v>
      </c>
      <c r="C2705" s="233" t="str">
        <f>VLOOKUP(Table8[[#This Row],[Document ID]],Table1[],3,FALSE)</f>
        <v>United Kingdom</v>
      </c>
      <c r="D2705" s="243" t="str">
        <f>VLOOKUP(Table8[[#This Row],[Document ID]],Table1[],5,FALSE)</f>
        <v>LTS</v>
      </c>
      <c r="E2705" s="233" t="str">
        <f>VLOOKUP(Table8[[#This Row],[Document ID]],Table1[],7,FALSE)</f>
        <v>LTS</v>
      </c>
      <c r="F2705" s="233" t="str">
        <f>VLOOKUP(Table8[[#This Row],[Document ID]],Table1[],8,FALSE)</f>
        <v>LTS 1.1</v>
      </c>
      <c r="G2705" s="233" t="str">
        <f>VLOOKUP(Table8[[#This Row],[Document ID]],Table1[],10,FALSE)</f>
        <v>Active</v>
      </c>
      <c r="H2705" s="43" t="s">
        <v>2343</v>
      </c>
      <c r="I2705" s="43" t="s">
        <v>2344</v>
      </c>
      <c r="J2705" s="44" t="s">
        <v>2405</v>
      </c>
      <c r="K2705" s="44" t="s">
        <v>4787</v>
      </c>
      <c r="L2705" s="44" t="s">
        <v>2347</v>
      </c>
      <c r="M2705" s="43">
        <v>159</v>
      </c>
      <c r="N2705" s="113"/>
      <c r="O2705" s="113"/>
      <c r="P2705" s="113"/>
      <c r="Q2705" s="113"/>
      <c r="R2705" s="113"/>
      <c r="S2705" s="113"/>
      <c r="T2705" s="113"/>
      <c r="U2705" s="113"/>
      <c r="V2705" s="113"/>
      <c r="W2705" s="113"/>
      <c r="X2705" s="113"/>
      <c r="Y2705" s="113"/>
      <c r="Z2705" s="113"/>
      <c r="AA2705" s="113"/>
      <c r="AB2705" s="113" t="s">
        <v>1113</v>
      </c>
      <c r="AC2705" s="113"/>
      <c r="AD2705" s="113"/>
      <c r="AE2705" s="113"/>
      <c r="AF2705" s="113"/>
      <c r="AG2705" s="113"/>
      <c r="AH2705" s="113"/>
      <c r="AI2705" s="113"/>
      <c r="AJ2705" s="113"/>
      <c r="AK2705" s="113" t="s">
        <v>1113</v>
      </c>
      <c r="AL2705" s="113"/>
      <c r="AM2705" s="113"/>
      <c r="AN2705" s="113"/>
      <c r="AO2705" s="43" t="s">
        <v>2477</v>
      </c>
      <c r="AP2705" s="43"/>
      <c r="AQ2705" s="236" t="str">
        <f>VLOOKUP(Table8[[#This Row],[Instrument]],Def_Targets!$D$73:$E$159,2,FALSE)</f>
        <v>S_PTIntegration</v>
      </c>
      <c r="AR2705" s="233" t="str">
        <f>VLOOKUP(Table8[[#This Row],[Country Code]],Table29[],3,FALSE)</f>
        <v>Annex I</v>
      </c>
      <c r="AS2705" s="233" t="str">
        <f>VLOOKUP(Table8[[#This Row],[Country Code]],Table29[],4,FALSE)</f>
        <v>Europe</v>
      </c>
      <c r="AT2705" s="233" t="str">
        <f>VLOOKUP(Table8[[#This Row],[Country Code]],Table29[],5,FALSE)</f>
        <v>High-income</v>
      </c>
      <c r="AU2705" s="233" t="str">
        <f>VLOOKUP(Table8[[#This Row],[Country Code]],Table29[],6,FALSE)</f>
        <v>G20</v>
      </c>
      <c r="AV2705" s="233" t="str">
        <f>VLOOKUP(Table8[[#This Row],[Country Code]],Table29[],7,FALSE)</f>
        <v>G7</v>
      </c>
      <c r="AW2705" s="233" t="str">
        <f>VLOOKUP(Table8[[#This Row],[Country Code]],Table29[],8,FALSE)</f>
        <v>OECD</v>
      </c>
      <c r="AX2705" s="233" t="str">
        <f>VLOOKUP(Table8[[#This Row],[Country Code]],Table29[],9,FALSE)</f>
        <v>no</v>
      </c>
      <c r="AY2705" s="233" t="str">
        <f>VLOOKUP(Table8[[#This Row],[Country Code]],Table29[],10,FALSE)</f>
        <v>no</v>
      </c>
      <c r="AZ2705" s="235">
        <f>VLOOKUP(Table8[[#This Row],[Country Code]],Table29[],23,FALSE)</f>
        <v>379.31858785213001</v>
      </c>
      <c r="BA2705" s="235">
        <f>VLOOKUP(Table8[[#This Row],[Country Code]],Table29[],24,FALSE)</f>
        <v>109.75048777474809</v>
      </c>
      <c r="BB2705" s="320"/>
      <c r="BC2705" s="320"/>
    </row>
    <row r="2706" spans="1:55" ht="15" hidden="1" customHeight="1" x14ac:dyDescent="0.25">
      <c r="A2706" s="373">
        <v>26792</v>
      </c>
      <c r="B2706" s="233" t="str">
        <f>VLOOKUP(Table8[[#This Row],[Document ID]],Table1[],2,FALSE)</f>
        <v>GBR</v>
      </c>
      <c r="C2706" s="233" t="str">
        <f>VLOOKUP(Table8[[#This Row],[Document ID]],Table1[],3,FALSE)</f>
        <v>United Kingdom</v>
      </c>
      <c r="D2706" s="243" t="str">
        <f>VLOOKUP(Table8[[#This Row],[Document ID]],Table1[],5,FALSE)</f>
        <v>LTS</v>
      </c>
      <c r="E2706" s="233" t="str">
        <f>VLOOKUP(Table8[[#This Row],[Document ID]],Table1[],7,FALSE)</f>
        <v>LTS</v>
      </c>
      <c r="F2706" s="233" t="str">
        <f>VLOOKUP(Table8[[#This Row],[Document ID]],Table1[],8,FALSE)</f>
        <v>LTS 1.1</v>
      </c>
      <c r="G2706" s="233" t="str">
        <f>VLOOKUP(Table8[[#This Row],[Document ID]],Table1[],10,FALSE)</f>
        <v>Active</v>
      </c>
      <c r="H2706" s="43" t="s">
        <v>2343</v>
      </c>
      <c r="I2706" s="43" t="s">
        <v>2344</v>
      </c>
      <c r="J2706" s="44" t="s">
        <v>2345</v>
      </c>
      <c r="K2706" s="44" t="s">
        <v>4788</v>
      </c>
      <c r="L2706" s="44" t="s">
        <v>2347</v>
      </c>
      <c r="M2706" s="43">
        <v>159</v>
      </c>
      <c r="N2706" s="113" t="s">
        <v>1113</v>
      </c>
      <c r="O2706" s="113"/>
      <c r="P2706" s="113"/>
      <c r="Q2706" s="113"/>
      <c r="R2706" s="113"/>
      <c r="S2706" s="113"/>
      <c r="T2706" s="113"/>
      <c r="U2706" s="113"/>
      <c r="V2706" s="113"/>
      <c r="W2706" s="113"/>
      <c r="X2706" s="113"/>
      <c r="Y2706" s="113"/>
      <c r="Z2706" s="113"/>
      <c r="AA2706" s="113"/>
      <c r="AB2706" s="113"/>
      <c r="AC2706" s="113"/>
      <c r="AD2706" s="113"/>
      <c r="AE2706" s="113"/>
      <c r="AF2706" s="113"/>
      <c r="AG2706" s="113"/>
      <c r="AH2706" s="113"/>
      <c r="AI2706" s="113"/>
      <c r="AJ2706" s="113"/>
      <c r="AK2706" s="113"/>
      <c r="AL2706" s="113" t="s">
        <v>1113</v>
      </c>
      <c r="AM2706" s="113"/>
      <c r="AN2706" s="113"/>
      <c r="AO2706" s="43" t="s">
        <v>2348</v>
      </c>
      <c r="AP2706" s="43"/>
      <c r="AQ2706" s="236" t="str">
        <f>VLOOKUP(Table8[[#This Row],[Instrument]],Def_Targets!$D$73:$E$159,2,FALSE)</f>
        <v>S_PublicTransport</v>
      </c>
      <c r="AR2706" s="233" t="str">
        <f>VLOOKUP(Table8[[#This Row],[Country Code]],Table29[],3,FALSE)</f>
        <v>Annex I</v>
      </c>
      <c r="AS2706" s="233" t="str">
        <f>VLOOKUP(Table8[[#This Row],[Country Code]],Table29[],4,FALSE)</f>
        <v>Europe</v>
      </c>
      <c r="AT2706" s="233" t="str">
        <f>VLOOKUP(Table8[[#This Row],[Country Code]],Table29[],5,FALSE)</f>
        <v>High-income</v>
      </c>
      <c r="AU2706" s="233" t="str">
        <f>VLOOKUP(Table8[[#This Row],[Country Code]],Table29[],6,FALSE)</f>
        <v>G20</v>
      </c>
      <c r="AV2706" s="233" t="str">
        <f>VLOOKUP(Table8[[#This Row],[Country Code]],Table29[],7,FALSE)</f>
        <v>G7</v>
      </c>
      <c r="AW2706" s="233" t="str">
        <f>VLOOKUP(Table8[[#This Row],[Country Code]],Table29[],8,FALSE)</f>
        <v>OECD</v>
      </c>
      <c r="AX2706" s="233" t="str">
        <f>VLOOKUP(Table8[[#This Row],[Country Code]],Table29[],9,FALSE)</f>
        <v>no</v>
      </c>
      <c r="AY2706" s="233" t="str">
        <f>VLOOKUP(Table8[[#This Row],[Country Code]],Table29[],10,FALSE)</f>
        <v>no</v>
      </c>
      <c r="AZ2706" s="235">
        <f>VLOOKUP(Table8[[#This Row],[Country Code]],Table29[],23,FALSE)</f>
        <v>379.31858785213001</v>
      </c>
      <c r="BA2706" s="235">
        <f>VLOOKUP(Table8[[#This Row],[Country Code]],Table29[],24,FALSE)</f>
        <v>109.75048777474809</v>
      </c>
      <c r="BB2706" s="320"/>
      <c r="BC2706" s="320"/>
    </row>
    <row r="2707" spans="1:55" ht="15" hidden="1" customHeight="1" x14ac:dyDescent="0.25">
      <c r="A2707" s="373">
        <v>26792</v>
      </c>
      <c r="B2707" s="233" t="str">
        <f>VLOOKUP(Table8[[#This Row],[Document ID]],Table1[],2,FALSE)</f>
        <v>GBR</v>
      </c>
      <c r="C2707" s="233" t="str">
        <f>VLOOKUP(Table8[[#This Row],[Document ID]],Table1[],3,FALSE)</f>
        <v>United Kingdom</v>
      </c>
      <c r="D2707" s="243" t="str">
        <f>VLOOKUP(Table8[[#This Row],[Document ID]],Table1[],5,FALSE)</f>
        <v>LTS</v>
      </c>
      <c r="E2707" s="233" t="str">
        <f>VLOOKUP(Table8[[#This Row],[Document ID]],Table1[],7,FALSE)</f>
        <v>LTS</v>
      </c>
      <c r="F2707" s="233" t="str">
        <f>VLOOKUP(Table8[[#This Row],[Document ID]],Table1[],8,FALSE)</f>
        <v>LTS 1.1</v>
      </c>
      <c r="G2707" s="233" t="str">
        <f>VLOOKUP(Table8[[#This Row],[Document ID]],Table1[],10,FALSE)</f>
        <v>Active</v>
      </c>
      <c r="H2707" s="43" t="s">
        <v>2343</v>
      </c>
      <c r="I2707" s="43" t="s">
        <v>2344</v>
      </c>
      <c r="J2707" s="44" t="s">
        <v>2345</v>
      </c>
      <c r="K2707" s="44" t="s">
        <v>4789</v>
      </c>
      <c r="L2707" s="44" t="s">
        <v>2347</v>
      </c>
      <c r="M2707" s="43">
        <v>159</v>
      </c>
      <c r="N2707" s="113"/>
      <c r="O2707" s="113"/>
      <c r="P2707" s="113"/>
      <c r="Q2707" s="113"/>
      <c r="R2707" s="113"/>
      <c r="S2707" s="113"/>
      <c r="T2707" s="113"/>
      <c r="U2707" s="113"/>
      <c r="V2707" s="113"/>
      <c r="W2707" s="113"/>
      <c r="X2707" s="113"/>
      <c r="Y2707" s="113"/>
      <c r="Z2707" s="113" t="s">
        <v>1113</v>
      </c>
      <c r="AA2707" s="113"/>
      <c r="AB2707" s="113"/>
      <c r="AC2707" s="113"/>
      <c r="AD2707" s="113"/>
      <c r="AE2707" s="113"/>
      <c r="AF2707" s="113"/>
      <c r="AG2707" s="113"/>
      <c r="AH2707" s="113"/>
      <c r="AI2707" s="113"/>
      <c r="AJ2707" s="113"/>
      <c r="AK2707" s="113" t="s">
        <v>1113</v>
      </c>
      <c r="AL2707" s="113"/>
      <c r="AM2707" s="113"/>
      <c r="AN2707" s="113"/>
      <c r="AO2707" s="43" t="s">
        <v>2348</v>
      </c>
      <c r="AP2707" s="43"/>
      <c r="AQ2707" s="236" t="str">
        <f>VLOOKUP(Table8[[#This Row],[Instrument]],Def_Targets!$D$73:$E$159,2,FALSE)</f>
        <v>S_PublicTransport</v>
      </c>
      <c r="AR2707" s="233" t="str">
        <f>VLOOKUP(Table8[[#This Row],[Country Code]],Table29[],3,FALSE)</f>
        <v>Annex I</v>
      </c>
      <c r="AS2707" s="233" t="str">
        <f>VLOOKUP(Table8[[#This Row],[Country Code]],Table29[],4,FALSE)</f>
        <v>Europe</v>
      </c>
      <c r="AT2707" s="233" t="str">
        <f>VLOOKUP(Table8[[#This Row],[Country Code]],Table29[],5,FALSE)</f>
        <v>High-income</v>
      </c>
      <c r="AU2707" s="233" t="str">
        <f>VLOOKUP(Table8[[#This Row],[Country Code]],Table29[],6,FALSE)</f>
        <v>G20</v>
      </c>
      <c r="AV2707" s="233" t="str">
        <f>VLOOKUP(Table8[[#This Row],[Country Code]],Table29[],7,FALSE)</f>
        <v>G7</v>
      </c>
      <c r="AW2707" s="233" t="str">
        <f>VLOOKUP(Table8[[#This Row],[Country Code]],Table29[],8,FALSE)</f>
        <v>OECD</v>
      </c>
      <c r="AX2707" s="233" t="str">
        <f>VLOOKUP(Table8[[#This Row],[Country Code]],Table29[],9,FALSE)</f>
        <v>no</v>
      </c>
      <c r="AY2707" s="233" t="str">
        <f>VLOOKUP(Table8[[#This Row],[Country Code]],Table29[],10,FALSE)</f>
        <v>no</v>
      </c>
      <c r="AZ2707" s="235">
        <f>VLOOKUP(Table8[[#This Row],[Country Code]],Table29[],23,FALSE)</f>
        <v>379.31858785213001</v>
      </c>
      <c r="BA2707" s="235">
        <f>VLOOKUP(Table8[[#This Row],[Country Code]],Table29[],24,FALSE)</f>
        <v>109.75048777474809</v>
      </c>
      <c r="BB2707" s="320"/>
      <c r="BC2707" s="320"/>
    </row>
    <row r="2708" spans="1:55" ht="15" hidden="1" customHeight="1" x14ac:dyDescent="0.25">
      <c r="A2708" s="373">
        <v>26792</v>
      </c>
      <c r="B2708" s="233" t="str">
        <f>VLOOKUP(Table8[[#This Row],[Document ID]],Table1[],2,FALSE)</f>
        <v>GBR</v>
      </c>
      <c r="C2708" s="233" t="str">
        <f>VLOOKUP(Table8[[#This Row],[Document ID]],Table1[],3,FALSE)</f>
        <v>United Kingdom</v>
      </c>
      <c r="D2708" s="243" t="str">
        <f>VLOOKUP(Table8[[#This Row],[Document ID]],Table1[],5,FALSE)</f>
        <v>LTS</v>
      </c>
      <c r="E2708" s="233" t="str">
        <f>VLOOKUP(Table8[[#This Row],[Document ID]],Table1[],7,FALSE)</f>
        <v>LTS</v>
      </c>
      <c r="F2708" s="233" t="str">
        <f>VLOOKUP(Table8[[#This Row],[Document ID]],Table1[],8,FALSE)</f>
        <v>LTS 1.1</v>
      </c>
      <c r="G2708" s="233" t="str">
        <f>VLOOKUP(Table8[[#This Row],[Document ID]],Table1[],10,FALSE)</f>
        <v>Active</v>
      </c>
      <c r="H2708" s="43" t="s">
        <v>2350</v>
      </c>
      <c r="I2708" s="43" t="s">
        <v>2456</v>
      </c>
      <c r="J2708" s="44" t="s">
        <v>2643</v>
      </c>
      <c r="K2708" s="44" t="s">
        <v>4790</v>
      </c>
      <c r="L2708" s="44" t="s">
        <v>2347</v>
      </c>
      <c r="M2708" s="43">
        <v>159</v>
      </c>
      <c r="N2708" s="113"/>
      <c r="O2708" s="113"/>
      <c r="P2708" s="113"/>
      <c r="Q2708" s="113" t="s">
        <v>1113</v>
      </c>
      <c r="R2708" s="113" t="s">
        <v>1113</v>
      </c>
      <c r="S2708" s="113"/>
      <c r="T2708" s="113"/>
      <c r="U2708" s="113"/>
      <c r="V2708" s="113"/>
      <c r="W2708" s="113"/>
      <c r="X2708" s="113"/>
      <c r="Y2708" s="113"/>
      <c r="Z2708" s="113"/>
      <c r="AA2708" s="113"/>
      <c r="AB2708" s="113"/>
      <c r="AC2708" s="113"/>
      <c r="AD2708" s="113"/>
      <c r="AE2708" s="113"/>
      <c r="AF2708" s="113"/>
      <c r="AG2708" s="113"/>
      <c r="AH2708" s="113"/>
      <c r="AI2708" s="113"/>
      <c r="AJ2708" s="113"/>
      <c r="AK2708" s="113" t="s">
        <v>1113</v>
      </c>
      <c r="AL2708" s="113"/>
      <c r="AM2708" s="113"/>
      <c r="AN2708" s="113"/>
      <c r="AO2708" s="44" t="s">
        <v>2334</v>
      </c>
      <c r="AP2708" s="43"/>
      <c r="AQ2708" s="236" t="str">
        <f>VLOOKUP(Table8[[#This Row],[Instrument]],Def_Targets!$D$73:$E$159,2,FALSE)</f>
        <v>S_Intermodality</v>
      </c>
      <c r="AR2708" s="233" t="str">
        <f>VLOOKUP(Table8[[#This Row],[Country Code]],Table29[],3,FALSE)</f>
        <v>Annex I</v>
      </c>
      <c r="AS2708" s="233" t="str">
        <f>VLOOKUP(Table8[[#This Row],[Country Code]],Table29[],4,FALSE)</f>
        <v>Europe</v>
      </c>
      <c r="AT2708" s="233" t="str">
        <f>VLOOKUP(Table8[[#This Row],[Country Code]],Table29[],5,FALSE)</f>
        <v>High-income</v>
      </c>
      <c r="AU2708" s="233" t="str">
        <f>VLOOKUP(Table8[[#This Row],[Country Code]],Table29[],6,FALSE)</f>
        <v>G20</v>
      </c>
      <c r="AV2708" s="233" t="str">
        <f>VLOOKUP(Table8[[#This Row],[Country Code]],Table29[],7,FALSE)</f>
        <v>G7</v>
      </c>
      <c r="AW2708" s="233" t="str">
        <f>VLOOKUP(Table8[[#This Row],[Country Code]],Table29[],8,FALSE)</f>
        <v>OECD</v>
      </c>
      <c r="AX2708" s="233" t="str">
        <f>VLOOKUP(Table8[[#This Row],[Country Code]],Table29[],9,FALSE)</f>
        <v>no</v>
      </c>
      <c r="AY2708" s="233" t="str">
        <f>VLOOKUP(Table8[[#This Row],[Country Code]],Table29[],10,FALSE)</f>
        <v>no</v>
      </c>
      <c r="AZ2708" s="235">
        <f>VLOOKUP(Table8[[#This Row],[Country Code]],Table29[],23,FALSE)</f>
        <v>379.31858785213001</v>
      </c>
      <c r="BA2708" s="235">
        <f>VLOOKUP(Table8[[#This Row],[Country Code]],Table29[],24,FALSE)</f>
        <v>109.75048777474809</v>
      </c>
      <c r="BB2708" s="320"/>
      <c r="BC2708" s="320"/>
    </row>
    <row r="2709" spans="1:55" ht="15" hidden="1" customHeight="1" x14ac:dyDescent="0.25">
      <c r="A2709" s="373">
        <v>26792</v>
      </c>
      <c r="B2709" s="233" t="str">
        <f>VLOOKUP(Table8[[#This Row],[Document ID]],Table1[],2,FALSE)</f>
        <v>GBR</v>
      </c>
      <c r="C2709" s="233" t="str">
        <f>VLOOKUP(Table8[[#This Row],[Document ID]],Table1[],3,FALSE)</f>
        <v>United Kingdom</v>
      </c>
      <c r="D2709" s="243" t="str">
        <f>VLOOKUP(Table8[[#This Row],[Document ID]],Table1[],5,FALSE)</f>
        <v>LTS</v>
      </c>
      <c r="E2709" s="233" t="str">
        <f>VLOOKUP(Table8[[#This Row],[Document ID]],Table1[],7,FALSE)</f>
        <v>LTS</v>
      </c>
      <c r="F2709" s="233" t="str">
        <f>VLOOKUP(Table8[[#This Row],[Document ID]],Table1[],8,FALSE)</f>
        <v>LTS 1.1</v>
      </c>
      <c r="G2709" s="233" t="str">
        <f>VLOOKUP(Table8[[#This Row],[Document ID]],Table1[],10,FALSE)</f>
        <v>Active</v>
      </c>
      <c r="H2709" s="43" t="s">
        <v>2358</v>
      </c>
      <c r="I2709" s="43" t="s">
        <v>2359</v>
      </c>
      <c r="J2709" s="44" t="s">
        <v>2360</v>
      </c>
      <c r="K2709" s="44" t="s">
        <v>4791</v>
      </c>
      <c r="L2709" s="44" t="s">
        <v>2333</v>
      </c>
      <c r="M2709" s="43">
        <v>160</v>
      </c>
      <c r="N2709" s="113"/>
      <c r="O2709" s="113"/>
      <c r="P2709" s="113"/>
      <c r="Q2709" s="113"/>
      <c r="R2709" s="113"/>
      <c r="S2709" s="113"/>
      <c r="T2709" s="113"/>
      <c r="U2709" s="113" t="s">
        <v>1113</v>
      </c>
      <c r="V2709" s="113"/>
      <c r="W2709" s="113"/>
      <c r="X2709" s="113"/>
      <c r="Y2709" s="113"/>
      <c r="Z2709" s="113"/>
      <c r="AA2709" s="113"/>
      <c r="AB2709" s="113"/>
      <c r="AC2709" s="113"/>
      <c r="AD2709" s="113"/>
      <c r="AE2709" s="113"/>
      <c r="AF2709" s="113"/>
      <c r="AG2709" s="113"/>
      <c r="AH2709" s="113"/>
      <c r="AI2709" s="113"/>
      <c r="AJ2709" s="113"/>
      <c r="AK2709" s="113" t="s">
        <v>1113</v>
      </c>
      <c r="AL2709" s="113"/>
      <c r="AM2709" s="113"/>
      <c r="AN2709" s="113"/>
      <c r="AO2709" s="44" t="s">
        <v>2334</v>
      </c>
      <c r="AP2709" s="43"/>
      <c r="AQ2709" s="236" t="str">
        <f>VLOOKUP(Table8[[#This Row],[Instrument]],Def_Targets!$D$73:$E$159,2,FALSE)</f>
        <v>I_Emobility</v>
      </c>
      <c r="AR2709" s="233" t="str">
        <f>VLOOKUP(Table8[[#This Row],[Country Code]],Table29[],3,FALSE)</f>
        <v>Annex I</v>
      </c>
      <c r="AS2709" s="233" t="str">
        <f>VLOOKUP(Table8[[#This Row],[Country Code]],Table29[],4,FALSE)</f>
        <v>Europe</v>
      </c>
      <c r="AT2709" s="233" t="str">
        <f>VLOOKUP(Table8[[#This Row],[Country Code]],Table29[],5,FALSE)</f>
        <v>High-income</v>
      </c>
      <c r="AU2709" s="233" t="str">
        <f>VLOOKUP(Table8[[#This Row],[Country Code]],Table29[],6,FALSE)</f>
        <v>G20</v>
      </c>
      <c r="AV2709" s="233" t="str">
        <f>VLOOKUP(Table8[[#This Row],[Country Code]],Table29[],7,FALSE)</f>
        <v>G7</v>
      </c>
      <c r="AW2709" s="233" t="str">
        <f>VLOOKUP(Table8[[#This Row],[Country Code]],Table29[],8,FALSE)</f>
        <v>OECD</v>
      </c>
      <c r="AX2709" s="233" t="str">
        <f>VLOOKUP(Table8[[#This Row],[Country Code]],Table29[],9,FALSE)</f>
        <v>no</v>
      </c>
      <c r="AY2709" s="233" t="str">
        <f>VLOOKUP(Table8[[#This Row],[Country Code]],Table29[],10,FALSE)</f>
        <v>no</v>
      </c>
      <c r="AZ2709" s="235">
        <f>VLOOKUP(Table8[[#This Row],[Country Code]],Table29[],23,FALSE)</f>
        <v>379.31858785213001</v>
      </c>
      <c r="BA2709" s="235">
        <f>VLOOKUP(Table8[[#This Row],[Country Code]],Table29[],24,FALSE)</f>
        <v>109.75048777474809</v>
      </c>
      <c r="BB2709" s="320"/>
      <c r="BC2709" s="320"/>
    </row>
    <row r="2710" spans="1:55" ht="15" hidden="1" customHeight="1" x14ac:dyDescent="0.25">
      <c r="A2710" s="373">
        <v>26792</v>
      </c>
      <c r="B2710" s="233" t="str">
        <f>VLOOKUP(Table8[[#This Row],[Document ID]],Table1[],2,FALSE)</f>
        <v>GBR</v>
      </c>
      <c r="C2710" s="233" t="str">
        <f>VLOOKUP(Table8[[#This Row],[Document ID]],Table1[],3,FALSE)</f>
        <v>United Kingdom</v>
      </c>
      <c r="D2710" s="243" t="str">
        <f>VLOOKUP(Table8[[#This Row],[Document ID]],Table1[],5,FALSE)</f>
        <v>LTS</v>
      </c>
      <c r="E2710" s="233" t="str">
        <f>VLOOKUP(Table8[[#This Row],[Document ID]],Table1[],7,FALSE)</f>
        <v>LTS</v>
      </c>
      <c r="F2710" s="233" t="str">
        <f>VLOOKUP(Table8[[#This Row],[Document ID]],Table1[],8,FALSE)</f>
        <v>LTS 1.1</v>
      </c>
      <c r="G2710" s="233" t="str">
        <f>VLOOKUP(Table8[[#This Row],[Document ID]],Table1[],10,FALSE)</f>
        <v>Active</v>
      </c>
      <c r="H2710" s="43" t="s">
        <v>2358</v>
      </c>
      <c r="I2710" s="43" t="s">
        <v>2359</v>
      </c>
      <c r="J2710" s="44" t="s">
        <v>2360</v>
      </c>
      <c r="K2710" s="44" t="s">
        <v>4792</v>
      </c>
      <c r="L2710" s="44" t="s">
        <v>2333</v>
      </c>
      <c r="M2710" s="43">
        <v>160</v>
      </c>
      <c r="N2710" s="113" t="s">
        <v>1113</v>
      </c>
      <c r="O2710" s="113"/>
      <c r="P2710" s="113"/>
      <c r="Q2710" s="113"/>
      <c r="R2710" s="113"/>
      <c r="S2710" s="113"/>
      <c r="T2710" s="113"/>
      <c r="U2710" s="113"/>
      <c r="V2710" s="113"/>
      <c r="W2710" s="113"/>
      <c r="X2710" s="113"/>
      <c r="Y2710" s="113"/>
      <c r="Z2710" s="113"/>
      <c r="AA2710" s="113"/>
      <c r="AB2710" s="113"/>
      <c r="AC2710" s="113"/>
      <c r="AD2710" s="113"/>
      <c r="AE2710" s="113"/>
      <c r="AF2710" s="113"/>
      <c r="AG2710" s="113"/>
      <c r="AH2710" s="113"/>
      <c r="AI2710" s="113"/>
      <c r="AJ2710" s="113"/>
      <c r="AK2710" s="113" t="s">
        <v>1113</v>
      </c>
      <c r="AL2710" s="113"/>
      <c r="AM2710" s="113"/>
      <c r="AN2710" s="113"/>
      <c r="AO2710" s="44" t="s">
        <v>2334</v>
      </c>
      <c r="AP2710" s="43"/>
      <c r="AQ2710" s="236" t="str">
        <f>VLOOKUP(Table8[[#This Row],[Instrument]],Def_Targets!$D$73:$E$159,2,FALSE)</f>
        <v>I_Emobility</v>
      </c>
      <c r="AR2710" s="233" t="str">
        <f>VLOOKUP(Table8[[#This Row],[Country Code]],Table29[],3,FALSE)</f>
        <v>Annex I</v>
      </c>
      <c r="AS2710" s="233" t="str">
        <f>VLOOKUP(Table8[[#This Row],[Country Code]],Table29[],4,FALSE)</f>
        <v>Europe</v>
      </c>
      <c r="AT2710" s="233" t="str">
        <f>VLOOKUP(Table8[[#This Row],[Country Code]],Table29[],5,FALSE)</f>
        <v>High-income</v>
      </c>
      <c r="AU2710" s="233" t="str">
        <f>VLOOKUP(Table8[[#This Row],[Country Code]],Table29[],6,FALSE)</f>
        <v>G20</v>
      </c>
      <c r="AV2710" s="233" t="str">
        <f>VLOOKUP(Table8[[#This Row],[Country Code]],Table29[],7,FALSE)</f>
        <v>G7</v>
      </c>
      <c r="AW2710" s="233" t="str">
        <f>VLOOKUP(Table8[[#This Row],[Country Code]],Table29[],8,FALSE)</f>
        <v>OECD</v>
      </c>
      <c r="AX2710" s="233" t="str">
        <f>VLOOKUP(Table8[[#This Row],[Country Code]],Table29[],9,FALSE)</f>
        <v>no</v>
      </c>
      <c r="AY2710" s="233" t="str">
        <f>VLOOKUP(Table8[[#This Row],[Country Code]],Table29[],10,FALSE)</f>
        <v>no</v>
      </c>
      <c r="AZ2710" s="235">
        <f>VLOOKUP(Table8[[#This Row],[Country Code]],Table29[],23,FALSE)</f>
        <v>379.31858785213001</v>
      </c>
      <c r="BA2710" s="235">
        <f>VLOOKUP(Table8[[#This Row],[Country Code]],Table29[],24,FALSE)</f>
        <v>109.75048777474809</v>
      </c>
      <c r="BB2710" s="320"/>
      <c r="BC2710" s="320"/>
    </row>
    <row r="2711" spans="1:55" ht="15" hidden="1" customHeight="1" x14ac:dyDescent="0.25">
      <c r="A2711" s="373">
        <v>26792</v>
      </c>
      <c r="B2711" s="233" t="str">
        <f>VLOOKUP(Table8[[#This Row],[Document ID]],Table1[],2,FALSE)</f>
        <v>GBR</v>
      </c>
      <c r="C2711" s="233" t="str">
        <f>VLOOKUP(Table8[[#This Row],[Document ID]],Table1[],3,FALSE)</f>
        <v>United Kingdom</v>
      </c>
      <c r="D2711" s="243" t="str">
        <f>VLOOKUP(Table8[[#This Row],[Document ID]],Table1[],5,FALSE)</f>
        <v>LTS</v>
      </c>
      <c r="E2711" s="233" t="str">
        <f>VLOOKUP(Table8[[#This Row],[Document ID]],Table1[],7,FALSE)</f>
        <v>LTS</v>
      </c>
      <c r="F2711" s="233" t="str">
        <f>VLOOKUP(Table8[[#This Row],[Document ID]],Table1[],8,FALSE)</f>
        <v>LTS 1.1</v>
      </c>
      <c r="G2711" s="233" t="str">
        <f>VLOOKUP(Table8[[#This Row],[Document ID]],Table1[],10,FALSE)</f>
        <v>Active</v>
      </c>
      <c r="H2711" s="44" t="s">
        <v>2329</v>
      </c>
      <c r="I2711" s="44" t="s">
        <v>2330</v>
      </c>
      <c r="J2711" s="44" t="s">
        <v>2381</v>
      </c>
      <c r="K2711" s="44" t="s">
        <v>4793</v>
      </c>
      <c r="L2711" s="44" t="s">
        <v>2333</v>
      </c>
      <c r="M2711" s="43">
        <v>161</v>
      </c>
      <c r="N2711" s="113"/>
      <c r="O2711" s="113"/>
      <c r="P2711" s="113"/>
      <c r="Q2711" s="113"/>
      <c r="R2711" s="113"/>
      <c r="S2711" s="113"/>
      <c r="T2711" s="113"/>
      <c r="U2711" s="113"/>
      <c r="V2711" s="113"/>
      <c r="W2711" s="113"/>
      <c r="X2711" s="113"/>
      <c r="Y2711" s="113"/>
      <c r="Z2711" s="113"/>
      <c r="AA2711" s="113"/>
      <c r="AB2711" s="113"/>
      <c r="AC2711" s="113"/>
      <c r="AD2711" s="113" t="s">
        <v>1113</v>
      </c>
      <c r="AE2711" s="113"/>
      <c r="AF2711" s="113"/>
      <c r="AG2711" s="113"/>
      <c r="AH2711" s="113"/>
      <c r="AI2711" s="113"/>
      <c r="AJ2711" s="113"/>
      <c r="AK2711" s="113" t="s">
        <v>1113</v>
      </c>
      <c r="AL2711" s="113"/>
      <c r="AM2711" s="113"/>
      <c r="AN2711" s="113"/>
      <c r="AO2711" s="44" t="s">
        <v>2334</v>
      </c>
      <c r="AP2711" s="43"/>
      <c r="AQ2711" s="236" t="str">
        <f>VLOOKUP(Table8[[#This Row],[Instrument]],Def_Targets!$D$73:$E$159,2,FALSE)</f>
        <v>I_RE</v>
      </c>
      <c r="AR2711" s="233" t="str">
        <f>VLOOKUP(Table8[[#This Row],[Country Code]],Table29[],3,FALSE)</f>
        <v>Annex I</v>
      </c>
      <c r="AS2711" s="233" t="str">
        <f>VLOOKUP(Table8[[#This Row],[Country Code]],Table29[],4,FALSE)</f>
        <v>Europe</v>
      </c>
      <c r="AT2711" s="233" t="str">
        <f>VLOOKUP(Table8[[#This Row],[Country Code]],Table29[],5,FALSE)</f>
        <v>High-income</v>
      </c>
      <c r="AU2711" s="233" t="str">
        <f>VLOOKUP(Table8[[#This Row],[Country Code]],Table29[],6,FALSE)</f>
        <v>G20</v>
      </c>
      <c r="AV2711" s="233" t="str">
        <f>VLOOKUP(Table8[[#This Row],[Country Code]],Table29[],7,FALSE)</f>
        <v>G7</v>
      </c>
      <c r="AW2711" s="233" t="str">
        <f>VLOOKUP(Table8[[#This Row],[Country Code]],Table29[],8,FALSE)</f>
        <v>OECD</v>
      </c>
      <c r="AX2711" s="233" t="str">
        <f>VLOOKUP(Table8[[#This Row],[Country Code]],Table29[],9,FALSE)</f>
        <v>no</v>
      </c>
      <c r="AY2711" s="233" t="str">
        <f>VLOOKUP(Table8[[#This Row],[Country Code]],Table29[],10,FALSE)</f>
        <v>no</v>
      </c>
      <c r="AZ2711" s="235">
        <f>VLOOKUP(Table8[[#This Row],[Country Code]],Table29[],23,FALSE)</f>
        <v>379.31858785213001</v>
      </c>
      <c r="BA2711" s="235">
        <f>VLOOKUP(Table8[[#This Row],[Country Code]],Table29[],24,FALSE)</f>
        <v>109.75048777474809</v>
      </c>
      <c r="BB2711" s="320"/>
      <c r="BC2711" s="320"/>
    </row>
    <row r="2712" spans="1:55" ht="15" hidden="1" customHeight="1" x14ac:dyDescent="0.25">
      <c r="A2712" s="373">
        <v>26792</v>
      </c>
      <c r="B2712" s="233" t="str">
        <f>VLOOKUP(Table8[[#This Row],[Document ID]],Table1[],2,FALSE)</f>
        <v>GBR</v>
      </c>
      <c r="C2712" s="233" t="str">
        <f>VLOOKUP(Table8[[#This Row],[Document ID]],Table1[],3,FALSE)</f>
        <v>United Kingdom</v>
      </c>
      <c r="D2712" s="243" t="str">
        <f>VLOOKUP(Table8[[#This Row],[Document ID]],Table1[],5,FALSE)</f>
        <v>LTS</v>
      </c>
      <c r="E2712" s="233" t="str">
        <f>VLOOKUP(Table8[[#This Row],[Document ID]],Table1[],7,FALSE)</f>
        <v>LTS</v>
      </c>
      <c r="F2712" s="233" t="str">
        <f>VLOOKUP(Table8[[#This Row],[Document ID]],Table1[],8,FALSE)</f>
        <v>LTS 1.1</v>
      </c>
      <c r="G2712" s="233" t="str">
        <f>VLOOKUP(Table8[[#This Row],[Document ID]],Table1[],10,FALSE)</f>
        <v>Active</v>
      </c>
      <c r="H2712" s="43" t="s">
        <v>2350</v>
      </c>
      <c r="I2712" s="43" t="s">
        <v>2370</v>
      </c>
      <c r="J2712" s="44" t="s">
        <v>2418</v>
      </c>
      <c r="K2712" s="44" t="s">
        <v>4794</v>
      </c>
      <c r="L2712" s="44" t="s">
        <v>2373</v>
      </c>
      <c r="M2712" s="43">
        <v>162</v>
      </c>
      <c r="N2712" s="113" t="s">
        <v>1113</v>
      </c>
      <c r="O2712" s="113"/>
      <c r="P2712" s="113"/>
      <c r="Q2712" s="113"/>
      <c r="R2712" s="113"/>
      <c r="S2712" s="113"/>
      <c r="T2712" s="113"/>
      <c r="U2712" s="113"/>
      <c r="V2712" s="113"/>
      <c r="W2712" s="113"/>
      <c r="X2712" s="113"/>
      <c r="Y2712" s="113"/>
      <c r="Z2712" s="113"/>
      <c r="AA2712" s="113"/>
      <c r="AB2712" s="113"/>
      <c r="AC2712" s="113"/>
      <c r="AD2712" s="113"/>
      <c r="AE2712" s="113"/>
      <c r="AF2712" s="113"/>
      <c r="AG2712" s="113"/>
      <c r="AH2712" s="113"/>
      <c r="AI2712" s="113"/>
      <c r="AJ2712" s="113"/>
      <c r="AK2712" s="113" t="s">
        <v>1113</v>
      </c>
      <c r="AL2712" s="113"/>
      <c r="AM2712" s="113"/>
      <c r="AN2712" s="113"/>
      <c r="AO2712" s="44" t="s">
        <v>2334</v>
      </c>
      <c r="AP2712" s="43"/>
      <c r="AQ2712" s="236" t="str">
        <f>VLOOKUP(Table8[[#This Row],[Instrument]],Def_Targets!$D$73:$E$159,2,FALSE)</f>
        <v>A_Complan</v>
      </c>
      <c r="AR2712" s="233" t="str">
        <f>VLOOKUP(Table8[[#This Row],[Country Code]],Table29[],3,FALSE)</f>
        <v>Annex I</v>
      </c>
      <c r="AS2712" s="233" t="str">
        <f>VLOOKUP(Table8[[#This Row],[Country Code]],Table29[],4,FALSE)</f>
        <v>Europe</v>
      </c>
      <c r="AT2712" s="233" t="str">
        <f>VLOOKUP(Table8[[#This Row],[Country Code]],Table29[],5,FALSE)</f>
        <v>High-income</v>
      </c>
      <c r="AU2712" s="233" t="str">
        <f>VLOOKUP(Table8[[#This Row],[Country Code]],Table29[],6,FALSE)</f>
        <v>G20</v>
      </c>
      <c r="AV2712" s="233" t="str">
        <f>VLOOKUP(Table8[[#This Row],[Country Code]],Table29[],7,FALSE)</f>
        <v>G7</v>
      </c>
      <c r="AW2712" s="233" t="str">
        <f>VLOOKUP(Table8[[#This Row],[Country Code]],Table29[],8,FALSE)</f>
        <v>OECD</v>
      </c>
      <c r="AX2712" s="233" t="str">
        <f>VLOOKUP(Table8[[#This Row],[Country Code]],Table29[],9,FALSE)</f>
        <v>no</v>
      </c>
      <c r="AY2712" s="233" t="str">
        <f>VLOOKUP(Table8[[#This Row],[Country Code]],Table29[],10,FALSE)</f>
        <v>no</v>
      </c>
      <c r="AZ2712" s="235">
        <f>VLOOKUP(Table8[[#This Row],[Country Code]],Table29[],23,FALSE)</f>
        <v>379.31858785213001</v>
      </c>
      <c r="BA2712" s="235">
        <f>VLOOKUP(Table8[[#This Row],[Country Code]],Table29[],24,FALSE)</f>
        <v>109.75048777474809</v>
      </c>
      <c r="BB2712" s="320"/>
      <c r="BC2712" s="320"/>
    </row>
    <row r="2713" spans="1:55" ht="15" hidden="1" customHeight="1" x14ac:dyDescent="0.25">
      <c r="A2713" s="360">
        <v>26793</v>
      </c>
      <c r="B2713" s="233" t="str">
        <f>VLOOKUP(Table8[[#This Row],[Document ID]],Table1[],2,FALSE)</f>
        <v>USA</v>
      </c>
      <c r="C2713" s="233" t="str">
        <f>VLOOKUP(Table8[[#This Row],[Document ID]],Table1[],3,FALSE)</f>
        <v>United States of America</v>
      </c>
      <c r="D2713" s="233" t="str">
        <f>VLOOKUP(Table8[[#This Row],[Document ID]],Table1[],5,FALSE)</f>
        <v>LTS</v>
      </c>
      <c r="E2713" s="233" t="str">
        <f>VLOOKUP(Table8[[#This Row],[Document ID]],Table1[],7,FALSE)</f>
        <v>LTS</v>
      </c>
      <c r="F2713" s="233" t="str">
        <f>VLOOKUP(Table8[[#This Row],[Document ID]],Table1[],8,FALSE)</f>
        <v>LTS 1.1</v>
      </c>
      <c r="G2713" s="233" t="str">
        <f>VLOOKUP(Table8[[#This Row],[Document ID]],Table1[],10,FALSE)</f>
        <v>Active</v>
      </c>
      <c r="H2713" s="43" t="s">
        <v>2358</v>
      </c>
      <c r="I2713" s="43" t="s">
        <v>2359</v>
      </c>
      <c r="J2713" s="44" t="s">
        <v>2360</v>
      </c>
      <c r="K2713" s="44" t="s">
        <v>4795</v>
      </c>
      <c r="L2713" s="44" t="s">
        <v>2333</v>
      </c>
      <c r="M2713" s="43">
        <v>5</v>
      </c>
      <c r="N2713" s="113"/>
      <c r="O2713" s="113"/>
      <c r="P2713" s="113"/>
      <c r="Q2713" s="113"/>
      <c r="R2713" s="113"/>
      <c r="S2713" s="113"/>
      <c r="T2713" s="113"/>
      <c r="U2713" s="113" t="s">
        <v>1113</v>
      </c>
      <c r="V2713" s="113"/>
      <c r="W2713" s="113"/>
      <c r="X2713" s="113"/>
      <c r="Y2713" s="113"/>
      <c r="Z2713" s="113"/>
      <c r="AA2713" s="113"/>
      <c r="AB2713" s="113"/>
      <c r="AC2713" s="113"/>
      <c r="AD2713" s="113"/>
      <c r="AE2713" s="113"/>
      <c r="AF2713" s="113"/>
      <c r="AG2713" s="113"/>
      <c r="AH2713" s="113"/>
      <c r="AI2713" s="113"/>
      <c r="AJ2713" s="113"/>
      <c r="AK2713" s="113" t="s">
        <v>1291</v>
      </c>
      <c r="AL2713" s="113"/>
      <c r="AM2713" s="113"/>
      <c r="AN2713" s="113"/>
      <c r="AO2713" s="44" t="s">
        <v>2334</v>
      </c>
      <c r="AP2713" s="43"/>
      <c r="AQ2713" s="236" t="str">
        <f>VLOOKUP(Table8[[#This Row],[Instrument]],Def_Targets!$D$73:$E$159,2,FALSE)</f>
        <v>I_Emobility</v>
      </c>
      <c r="AR2713" s="233" t="str">
        <f>VLOOKUP(Table8[[#This Row],[Country Code]],Table29[],3,FALSE)</f>
        <v>Annex I</v>
      </c>
      <c r="AS2713" s="233" t="str">
        <f>VLOOKUP(Table8[[#This Row],[Country Code]],Table29[],4,FALSE)</f>
        <v>Northern America</v>
      </c>
      <c r="AT2713" s="233" t="str">
        <f>VLOOKUP(Table8[[#This Row],[Country Code]],Table29[],5,FALSE)</f>
        <v>High-income</v>
      </c>
      <c r="AU2713" s="233" t="str">
        <f>VLOOKUP(Table8[[#This Row],[Country Code]],Table29[],6,FALSE)</f>
        <v>G20</v>
      </c>
      <c r="AV2713" s="233" t="str">
        <f>VLOOKUP(Table8[[#This Row],[Country Code]],Table29[],7,FALSE)</f>
        <v>G7</v>
      </c>
      <c r="AW2713" s="233" t="str">
        <f>VLOOKUP(Table8[[#This Row],[Country Code]],Table29[],8,FALSE)</f>
        <v>OECD</v>
      </c>
      <c r="AX2713" s="233" t="str">
        <f>VLOOKUP(Table8[[#This Row],[Country Code]],Table29[],9,FALSE)</f>
        <v>no</v>
      </c>
      <c r="AY2713" s="233" t="str">
        <f>VLOOKUP(Table8[[#This Row],[Country Code]],Table29[],10,FALSE)</f>
        <v>no</v>
      </c>
      <c r="AZ2713" s="235">
        <f>VLOOKUP(Table8[[#This Row],[Country Code]],Table29[],23,FALSE)</f>
        <v>5960.8043799938996</v>
      </c>
      <c r="BA2713" s="235">
        <f>VLOOKUP(Table8[[#This Row],[Country Code]],Table29[],24,FALSE)</f>
        <v>1735.9036371632039</v>
      </c>
      <c r="BB2713" s="320"/>
      <c r="BC2713" s="320"/>
    </row>
    <row r="2714" spans="1:55" ht="45" hidden="1" x14ac:dyDescent="0.25">
      <c r="A2714" s="373">
        <v>26793</v>
      </c>
      <c r="B2714" s="233" t="str">
        <f>VLOOKUP(Table8[[#This Row],[Document ID]],Table1[],2,FALSE)</f>
        <v>USA</v>
      </c>
      <c r="C2714" s="233" t="str">
        <f>VLOOKUP(Table8[[#This Row],[Document ID]],Table1[],3,FALSE)</f>
        <v>United States of America</v>
      </c>
      <c r="D2714" s="243" t="str">
        <f>VLOOKUP(Table8[[#This Row],[Document ID]],Table1[],5,FALSE)</f>
        <v>LTS</v>
      </c>
      <c r="E2714" s="233" t="str">
        <f>VLOOKUP(Table8[[#This Row],[Document ID]],Table1[],7,FALSE)</f>
        <v>LTS</v>
      </c>
      <c r="F2714" s="233" t="str">
        <f>VLOOKUP(Table8[[#This Row],[Document ID]],Table1[],8,FALSE)</f>
        <v>LTS 1.1</v>
      </c>
      <c r="G2714" s="233" t="str">
        <f>VLOOKUP(Table8[[#This Row],[Document ID]],Table1[],10,FALSE)</f>
        <v>Active</v>
      </c>
      <c r="H2714" s="44" t="s">
        <v>2329</v>
      </c>
      <c r="I2714" s="44" t="s">
        <v>2330</v>
      </c>
      <c r="J2714" s="44" t="s">
        <v>2391</v>
      </c>
      <c r="K2714" s="44" t="s">
        <v>4796</v>
      </c>
      <c r="L2714" s="44" t="s">
        <v>2333</v>
      </c>
      <c r="M2714" s="43">
        <v>5</v>
      </c>
      <c r="N2714" s="113"/>
      <c r="O2714" s="113"/>
      <c r="P2714" s="113"/>
      <c r="Q2714" s="113"/>
      <c r="R2714" s="113"/>
      <c r="S2714" s="113"/>
      <c r="T2714" s="113"/>
      <c r="U2714" s="113"/>
      <c r="V2714" s="113"/>
      <c r="W2714" s="113"/>
      <c r="X2714" s="113"/>
      <c r="Y2714" s="113"/>
      <c r="Z2714" s="113"/>
      <c r="AA2714" s="113"/>
      <c r="AB2714" s="113"/>
      <c r="AC2714" s="113"/>
      <c r="AD2714" s="113" t="s">
        <v>1291</v>
      </c>
      <c r="AE2714" s="113"/>
      <c r="AF2714" s="113"/>
      <c r="AG2714" s="113"/>
      <c r="AH2714" s="113"/>
      <c r="AI2714" s="113"/>
      <c r="AJ2714" s="113"/>
      <c r="AK2714" s="113" t="s">
        <v>1291</v>
      </c>
      <c r="AL2714" s="113"/>
      <c r="AM2714" s="113"/>
      <c r="AN2714" s="113"/>
      <c r="AO2714" s="44" t="s">
        <v>2334</v>
      </c>
      <c r="AP2714" s="43"/>
      <c r="AQ2714" s="236" t="str">
        <f>VLOOKUP(Table8[[#This Row],[Instrument]],Def_Targets!$D$73:$E$159,2,FALSE)</f>
        <v>I_Hydrogen</v>
      </c>
      <c r="AR2714" s="233" t="str">
        <f>VLOOKUP(Table8[[#This Row],[Country Code]],Table29[],3,FALSE)</f>
        <v>Annex I</v>
      </c>
      <c r="AS2714" s="233" t="str">
        <f>VLOOKUP(Table8[[#This Row],[Country Code]],Table29[],4,FALSE)</f>
        <v>Northern America</v>
      </c>
      <c r="AT2714" s="233" t="str">
        <f>VLOOKUP(Table8[[#This Row],[Country Code]],Table29[],5,FALSE)</f>
        <v>High-income</v>
      </c>
      <c r="AU2714" s="233" t="str">
        <f>VLOOKUP(Table8[[#This Row],[Country Code]],Table29[],6,FALSE)</f>
        <v>G20</v>
      </c>
      <c r="AV2714" s="233" t="str">
        <f>VLOOKUP(Table8[[#This Row],[Country Code]],Table29[],7,FALSE)</f>
        <v>G7</v>
      </c>
      <c r="AW2714" s="233" t="str">
        <f>VLOOKUP(Table8[[#This Row],[Country Code]],Table29[],8,FALSE)</f>
        <v>OECD</v>
      </c>
      <c r="AX2714" s="233" t="str">
        <f>VLOOKUP(Table8[[#This Row],[Country Code]],Table29[],9,FALSE)</f>
        <v>no</v>
      </c>
      <c r="AY2714" s="233" t="str">
        <f>VLOOKUP(Table8[[#This Row],[Country Code]],Table29[],10,FALSE)</f>
        <v>no</v>
      </c>
      <c r="AZ2714" s="235">
        <f>VLOOKUP(Table8[[#This Row],[Country Code]],Table29[],23,FALSE)</f>
        <v>5960.8043799938996</v>
      </c>
      <c r="BA2714" s="235">
        <f>VLOOKUP(Table8[[#This Row],[Country Code]],Table29[],24,FALSE)</f>
        <v>1735.9036371632039</v>
      </c>
      <c r="BB2714" s="320"/>
      <c r="BC2714" s="320"/>
    </row>
    <row r="2715" spans="1:55" ht="30" hidden="1" x14ac:dyDescent="0.25">
      <c r="A2715" s="360">
        <v>26793</v>
      </c>
      <c r="B2715" s="233" t="str">
        <f>VLOOKUP(Table8[[#This Row],[Document ID]],Table1[],2,FALSE)</f>
        <v>USA</v>
      </c>
      <c r="C2715" s="233" t="str">
        <f>VLOOKUP(Table8[[#This Row],[Document ID]],Table1[],3,FALSE)</f>
        <v>United States of America</v>
      </c>
      <c r="D2715" s="233" t="str">
        <f>VLOOKUP(Table8[[#This Row],[Document ID]],Table1[],5,FALSE)</f>
        <v>LTS</v>
      </c>
      <c r="E2715" s="233" t="str">
        <f>VLOOKUP(Table8[[#This Row],[Document ID]],Table1[],7,FALSE)</f>
        <v>LTS</v>
      </c>
      <c r="F2715" s="233" t="str">
        <f>VLOOKUP(Table8[[#This Row],[Document ID]],Table1[],8,FALSE)</f>
        <v>LTS 1.1</v>
      </c>
      <c r="G2715" s="233" t="str">
        <f>VLOOKUP(Table8[[#This Row],[Document ID]],Table1[],10,FALSE)</f>
        <v>Active</v>
      </c>
      <c r="H2715" s="44" t="s">
        <v>2329</v>
      </c>
      <c r="I2715" s="44" t="s">
        <v>2330</v>
      </c>
      <c r="J2715" s="44" t="s">
        <v>2357</v>
      </c>
      <c r="K2715" s="44" t="s">
        <v>4797</v>
      </c>
      <c r="L2715" s="44" t="s">
        <v>2333</v>
      </c>
      <c r="M2715" s="43">
        <v>15</v>
      </c>
      <c r="N2715" s="113"/>
      <c r="O2715" s="113"/>
      <c r="P2715" s="113"/>
      <c r="Q2715" s="113"/>
      <c r="R2715" s="113"/>
      <c r="S2715" s="113"/>
      <c r="T2715" s="113"/>
      <c r="U2715" s="113"/>
      <c r="V2715" s="113"/>
      <c r="W2715" s="113"/>
      <c r="X2715" s="113"/>
      <c r="Y2715" s="113"/>
      <c r="Z2715" s="113"/>
      <c r="AA2715" s="113"/>
      <c r="AB2715" s="113"/>
      <c r="AC2715" s="113"/>
      <c r="AD2715" s="113" t="s">
        <v>1291</v>
      </c>
      <c r="AE2715" s="113"/>
      <c r="AF2715" s="113"/>
      <c r="AG2715" s="113"/>
      <c r="AH2715" s="113"/>
      <c r="AI2715" s="113"/>
      <c r="AJ2715" s="113"/>
      <c r="AK2715" s="113" t="s">
        <v>1291</v>
      </c>
      <c r="AL2715" s="113"/>
      <c r="AM2715" s="113"/>
      <c r="AN2715" s="113"/>
      <c r="AO2715" s="44" t="s">
        <v>2334</v>
      </c>
      <c r="AP2715" s="43"/>
      <c r="AQ2715" s="236" t="str">
        <f>VLOOKUP(Table8[[#This Row],[Instrument]],Def_Targets!$D$73:$E$159,2,FALSE)</f>
        <v>I_Biofuel</v>
      </c>
      <c r="AR2715" s="233" t="str">
        <f>VLOOKUP(Table8[[#This Row],[Country Code]],Table29[],3,FALSE)</f>
        <v>Annex I</v>
      </c>
      <c r="AS2715" s="233" t="str">
        <f>VLOOKUP(Table8[[#This Row],[Country Code]],Table29[],4,FALSE)</f>
        <v>Northern America</v>
      </c>
      <c r="AT2715" s="233" t="str">
        <f>VLOOKUP(Table8[[#This Row],[Country Code]],Table29[],5,FALSE)</f>
        <v>High-income</v>
      </c>
      <c r="AU2715" s="233" t="str">
        <f>VLOOKUP(Table8[[#This Row],[Country Code]],Table29[],6,FALSE)</f>
        <v>G20</v>
      </c>
      <c r="AV2715" s="233" t="str">
        <f>VLOOKUP(Table8[[#This Row],[Country Code]],Table29[],7,FALSE)</f>
        <v>G7</v>
      </c>
      <c r="AW2715" s="233" t="str">
        <f>VLOOKUP(Table8[[#This Row],[Country Code]],Table29[],8,FALSE)</f>
        <v>OECD</v>
      </c>
      <c r="AX2715" s="233" t="str">
        <f>VLOOKUP(Table8[[#This Row],[Country Code]],Table29[],9,FALSE)</f>
        <v>no</v>
      </c>
      <c r="AY2715" s="233" t="str">
        <f>VLOOKUP(Table8[[#This Row],[Country Code]],Table29[],10,FALSE)</f>
        <v>no</v>
      </c>
      <c r="AZ2715" s="235">
        <f>VLOOKUP(Table8[[#This Row],[Country Code]],Table29[],23,FALSE)</f>
        <v>5960.8043799938996</v>
      </c>
      <c r="BA2715" s="235">
        <f>VLOOKUP(Table8[[#This Row],[Country Code]],Table29[],24,FALSE)</f>
        <v>1735.9036371632039</v>
      </c>
      <c r="BB2715" s="320"/>
      <c r="BC2715" s="320"/>
    </row>
    <row r="2716" spans="1:55" ht="15" hidden="1" customHeight="1" x14ac:dyDescent="0.25">
      <c r="A2716" s="360">
        <v>26793</v>
      </c>
      <c r="B2716" s="233" t="str">
        <f>VLOOKUP(Table8[[#This Row],[Document ID]],Table1[],2,FALSE)</f>
        <v>USA</v>
      </c>
      <c r="C2716" s="233" t="str">
        <f>VLOOKUP(Table8[[#This Row],[Document ID]],Table1[],3,FALSE)</f>
        <v>United States of America</v>
      </c>
      <c r="D2716" s="233" t="str">
        <f>VLOOKUP(Table8[[#This Row],[Document ID]],Table1[],5,FALSE)</f>
        <v>LTS</v>
      </c>
      <c r="E2716" s="233" t="str">
        <f>VLOOKUP(Table8[[#This Row],[Document ID]],Table1[],7,FALSE)</f>
        <v>LTS</v>
      </c>
      <c r="F2716" s="233" t="str">
        <f>VLOOKUP(Table8[[#This Row],[Document ID]],Table1[],8,FALSE)</f>
        <v>LTS 1.1</v>
      </c>
      <c r="G2716" s="233" t="str">
        <f>VLOOKUP(Table8[[#This Row],[Document ID]],Table1[],10,FALSE)</f>
        <v>Active</v>
      </c>
      <c r="H2716" s="44" t="s">
        <v>2329</v>
      </c>
      <c r="I2716" s="44" t="s">
        <v>2330</v>
      </c>
      <c r="J2716" s="44" t="s">
        <v>2331</v>
      </c>
      <c r="K2716" s="44" t="s">
        <v>2101</v>
      </c>
      <c r="L2716" s="44" t="s">
        <v>2333</v>
      </c>
      <c r="M2716" s="43">
        <v>15</v>
      </c>
      <c r="N2716" s="113"/>
      <c r="O2716" s="113"/>
      <c r="P2716" s="113"/>
      <c r="Q2716" s="113"/>
      <c r="R2716" s="113"/>
      <c r="S2716" s="113"/>
      <c r="T2716" s="113"/>
      <c r="U2716" s="113" t="s">
        <v>1113</v>
      </c>
      <c r="V2716" s="113"/>
      <c r="W2716" s="113"/>
      <c r="X2716" s="113"/>
      <c r="Y2716" s="113"/>
      <c r="Z2716" s="113"/>
      <c r="AA2716" s="113"/>
      <c r="AB2716" s="113"/>
      <c r="AC2716" s="113"/>
      <c r="AD2716" s="113"/>
      <c r="AE2716" s="113"/>
      <c r="AF2716" s="113"/>
      <c r="AG2716" s="113"/>
      <c r="AH2716" s="113"/>
      <c r="AI2716" s="113"/>
      <c r="AJ2716" s="113"/>
      <c r="AK2716" s="113" t="s">
        <v>1113</v>
      </c>
      <c r="AL2716" s="113"/>
      <c r="AM2716" s="113"/>
      <c r="AN2716" s="113"/>
      <c r="AO2716" s="44" t="s">
        <v>2334</v>
      </c>
      <c r="AP2716" s="43"/>
      <c r="AQ2716" s="236" t="str">
        <f>VLOOKUP(Table8[[#This Row],[Instrument]],Def_Targets!$D$73:$E$159,2,FALSE)</f>
        <v>I_Altfuels</v>
      </c>
      <c r="AR2716" s="233" t="str">
        <f>VLOOKUP(Table8[[#This Row],[Country Code]],Table29[],3,FALSE)</f>
        <v>Annex I</v>
      </c>
      <c r="AS2716" s="233" t="str">
        <f>VLOOKUP(Table8[[#This Row],[Country Code]],Table29[],4,FALSE)</f>
        <v>Northern America</v>
      </c>
      <c r="AT2716" s="233" t="str">
        <f>VLOOKUP(Table8[[#This Row],[Country Code]],Table29[],5,FALSE)</f>
        <v>High-income</v>
      </c>
      <c r="AU2716" s="233" t="str">
        <f>VLOOKUP(Table8[[#This Row],[Country Code]],Table29[],6,FALSE)</f>
        <v>G20</v>
      </c>
      <c r="AV2716" s="233" t="str">
        <f>VLOOKUP(Table8[[#This Row],[Country Code]],Table29[],7,FALSE)</f>
        <v>G7</v>
      </c>
      <c r="AW2716" s="233" t="str">
        <f>VLOOKUP(Table8[[#This Row],[Country Code]],Table29[],8,FALSE)</f>
        <v>OECD</v>
      </c>
      <c r="AX2716" s="233" t="str">
        <f>VLOOKUP(Table8[[#This Row],[Country Code]],Table29[],9,FALSE)</f>
        <v>no</v>
      </c>
      <c r="AY2716" s="233" t="str">
        <f>VLOOKUP(Table8[[#This Row],[Country Code]],Table29[],10,FALSE)</f>
        <v>no</v>
      </c>
      <c r="AZ2716" s="235">
        <f>VLOOKUP(Table8[[#This Row],[Country Code]],Table29[],23,FALSE)</f>
        <v>5960.8043799938996</v>
      </c>
      <c r="BA2716" s="235">
        <f>VLOOKUP(Table8[[#This Row],[Country Code]],Table29[],24,FALSE)</f>
        <v>1735.9036371632039</v>
      </c>
      <c r="BB2716" s="320"/>
      <c r="BC2716" s="320"/>
    </row>
    <row r="2717" spans="1:55" ht="15" hidden="1" customHeight="1" x14ac:dyDescent="0.25">
      <c r="A2717" s="360">
        <v>26793</v>
      </c>
      <c r="B2717" s="233" t="str">
        <f>VLOOKUP(Table8[[#This Row],[Document ID]],Table1[],2,FALSE)</f>
        <v>USA</v>
      </c>
      <c r="C2717" s="233" t="str">
        <f>VLOOKUP(Table8[[#This Row],[Document ID]],Table1[],3,FALSE)</f>
        <v>United States of America</v>
      </c>
      <c r="D2717" s="233" t="str">
        <f>VLOOKUP(Table8[[#This Row],[Document ID]],Table1[],5,FALSE)</f>
        <v>LTS</v>
      </c>
      <c r="E2717" s="233" t="str">
        <f>VLOOKUP(Table8[[#This Row],[Document ID]],Table1[],7,FALSE)</f>
        <v>LTS</v>
      </c>
      <c r="F2717" s="233" t="str">
        <f>VLOOKUP(Table8[[#This Row],[Document ID]],Table1[],8,FALSE)</f>
        <v>LTS 1.1</v>
      </c>
      <c r="G2717" s="233" t="str">
        <f>VLOOKUP(Table8[[#This Row],[Document ID]],Table1[],10,FALSE)</f>
        <v>Active</v>
      </c>
      <c r="H2717" s="44" t="s">
        <v>2329</v>
      </c>
      <c r="I2717" s="44" t="s">
        <v>2330</v>
      </c>
      <c r="J2717" s="44" t="s">
        <v>2331</v>
      </c>
      <c r="K2717" s="44" t="s">
        <v>4798</v>
      </c>
      <c r="L2717" s="44" t="s">
        <v>2333</v>
      </c>
      <c r="M2717" s="43">
        <v>15</v>
      </c>
      <c r="N2717" s="113"/>
      <c r="O2717" s="113"/>
      <c r="P2717" s="113"/>
      <c r="Q2717" s="113"/>
      <c r="R2717" s="113"/>
      <c r="S2717" s="113"/>
      <c r="T2717" s="113"/>
      <c r="U2717" s="113"/>
      <c r="V2717" s="113"/>
      <c r="W2717" s="113"/>
      <c r="X2717" s="113"/>
      <c r="Y2717" s="113"/>
      <c r="Z2717" s="113"/>
      <c r="AA2717" s="113"/>
      <c r="AB2717" s="113"/>
      <c r="AC2717" s="113"/>
      <c r="AD2717" s="113"/>
      <c r="AE2717" s="113"/>
      <c r="AF2717" s="113"/>
      <c r="AG2717" s="113"/>
      <c r="AH2717" s="113"/>
      <c r="AI2717" s="113"/>
      <c r="AJ2717" s="113"/>
      <c r="AK2717" s="113" t="s">
        <v>1113</v>
      </c>
      <c r="AL2717" s="113"/>
      <c r="AM2717" s="113"/>
      <c r="AN2717" s="113"/>
      <c r="AO2717" s="44" t="s">
        <v>2334</v>
      </c>
      <c r="AP2717" s="43"/>
      <c r="AQ2717" s="236" t="str">
        <f>VLOOKUP(Table8[[#This Row],[Instrument]],Def_Targets!$D$73:$E$159,2,FALSE)</f>
        <v>I_Altfuels</v>
      </c>
      <c r="AR2717" s="233" t="str">
        <f>VLOOKUP(Table8[[#This Row],[Country Code]],Table29[],3,FALSE)</f>
        <v>Annex I</v>
      </c>
      <c r="AS2717" s="233" t="str">
        <f>VLOOKUP(Table8[[#This Row],[Country Code]],Table29[],4,FALSE)</f>
        <v>Northern America</v>
      </c>
      <c r="AT2717" s="233" t="str">
        <f>VLOOKUP(Table8[[#This Row],[Country Code]],Table29[],5,FALSE)</f>
        <v>High-income</v>
      </c>
      <c r="AU2717" s="233" t="str">
        <f>VLOOKUP(Table8[[#This Row],[Country Code]],Table29[],6,FALSE)</f>
        <v>G20</v>
      </c>
      <c r="AV2717" s="233" t="str">
        <f>VLOOKUP(Table8[[#This Row],[Country Code]],Table29[],7,FALSE)</f>
        <v>G7</v>
      </c>
      <c r="AW2717" s="233" t="str">
        <f>VLOOKUP(Table8[[#This Row],[Country Code]],Table29[],8,FALSE)</f>
        <v>OECD</v>
      </c>
      <c r="AX2717" s="233" t="str">
        <f>VLOOKUP(Table8[[#This Row],[Country Code]],Table29[],9,FALSE)</f>
        <v>no</v>
      </c>
      <c r="AY2717" s="233" t="str">
        <f>VLOOKUP(Table8[[#This Row],[Country Code]],Table29[],10,FALSE)</f>
        <v>no</v>
      </c>
      <c r="AZ2717" s="235">
        <f>VLOOKUP(Table8[[#This Row],[Country Code]],Table29[],23,FALSE)</f>
        <v>5960.8043799938996</v>
      </c>
      <c r="BA2717" s="235">
        <f>VLOOKUP(Table8[[#This Row],[Country Code]],Table29[],24,FALSE)</f>
        <v>1735.9036371632039</v>
      </c>
      <c r="BB2717" s="320"/>
      <c r="BC2717" s="320"/>
    </row>
    <row r="2718" spans="1:55" ht="30" hidden="1" x14ac:dyDescent="0.25">
      <c r="A2718" s="360">
        <v>26793</v>
      </c>
      <c r="B2718" s="233" t="str">
        <f>VLOOKUP(Table8[[#This Row],[Document ID]],Table1[],2,FALSE)</f>
        <v>USA</v>
      </c>
      <c r="C2718" s="233" t="str">
        <f>VLOOKUP(Table8[[#This Row],[Document ID]],Table1[],3,FALSE)</f>
        <v>United States of America</v>
      </c>
      <c r="D2718" s="233" t="str">
        <f>VLOOKUP(Table8[[#This Row],[Document ID]],Table1[],5,FALSE)</f>
        <v>LTS</v>
      </c>
      <c r="E2718" s="233" t="str">
        <f>VLOOKUP(Table8[[#This Row],[Document ID]],Table1[],7,FALSE)</f>
        <v>LTS</v>
      </c>
      <c r="F2718" s="233" t="str">
        <f>VLOOKUP(Table8[[#This Row],[Document ID]],Table1[],8,FALSE)</f>
        <v>LTS 1.1</v>
      </c>
      <c r="G2718" s="233" t="str">
        <f>VLOOKUP(Table8[[#This Row],[Document ID]],Table1[],10,FALSE)</f>
        <v>Active</v>
      </c>
      <c r="H2718" s="43" t="s">
        <v>2343</v>
      </c>
      <c r="I2718" s="43" t="s">
        <v>2386</v>
      </c>
      <c r="J2718" s="44" t="s">
        <v>2412</v>
      </c>
      <c r="K2718" s="44" t="s">
        <v>4799</v>
      </c>
      <c r="L2718" s="44" t="s">
        <v>2333</v>
      </c>
      <c r="M2718" s="43">
        <v>15</v>
      </c>
      <c r="N2718" s="113"/>
      <c r="O2718" s="113"/>
      <c r="P2718" s="113"/>
      <c r="Q2718" s="113"/>
      <c r="R2718" s="113"/>
      <c r="S2718" s="113"/>
      <c r="T2718" s="113"/>
      <c r="U2718" s="113"/>
      <c r="V2718" s="113"/>
      <c r="W2718" s="113"/>
      <c r="X2718" s="113"/>
      <c r="Y2718" s="113"/>
      <c r="Z2718" s="113"/>
      <c r="AA2718" s="113"/>
      <c r="AB2718" s="113"/>
      <c r="AC2718" s="113"/>
      <c r="AD2718" s="113"/>
      <c r="AE2718" s="113"/>
      <c r="AF2718" s="113"/>
      <c r="AG2718" s="113"/>
      <c r="AH2718" s="113"/>
      <c r="AI2718" s="113"/>
      <c r="AJ2718" s="113"/>
      <c r="AK2718" s="113"/>
      <c r="AL2718" s="113"/>
      <c r="AM2718" s="113"/>
      <c r="AN2718" s="113"/>
      <c r="AO2718" s="44" t="s">
        <v>2334</v>
      </c>
      <c r="AP2718" s="43"/>
      <c r="AQ2718" s="236" t="str">
        <f>VLOOKUP(Table8[[#This Row],[Instrument]],Def_Targets!$D$73:$E$159,2,FALSE)</f>
        <v>A_Economic</v>
      </c>
      <c r="AR2718" s="233" t="str">
        <f>VLOOKUP(Table8[[#This Row],[Country Code]],Table29[],3,FALSE)</f>
        <v>Annex I</v>
      </c>
      <c r="AS2718" s="233" t="str">
        <f>VLOOKUP(Table8[[#This Row],[Country Code]],Table29[],4,FALSE)</f>
        <v>Northern America</v>
      </c>
      <c r="AT2718" s="233" t="str">
        <f>VLOOKUP(Table8[[#This Row],[Country Code]],Table29[],5,FALSE)</f>
        <v>High-income</v>
      </c>
      <c r="AU2718" s="233" t="str">
        <f>VLOOKUP(Table8[[#This Row],[Country Code]],Table29[],6,FALSE)</f>
        <v>G20</v>
      </c>
      <c r="AV2718" s="233" t="str">
        <f>VLOOKUP(Table8[[#This Row],[Country Code]],Table29[],7,FALSE)</f>
        <v>G7</v>
      </c>
      <c r="AW2718" s="233" t="str">
        <f>VLOOKUP(Table8[[#This Row],[Country Code]],Table29[],8,FALSE)</f>
        <v>OECD</v>
      </c>
      <c r="AX2718" s="233" t="str">
        <f>VLOOKUP(Table8[[#This Row],[Country Code]],Table29[],9,FALSE)</f>
        <v>no</v>
      </c>
      <c r="AY2718" s="233" t="str">
        <f>VLOOKUP(Table8[[#This Row],[Country Code]],Table29[],10,FALSE)</f>
        <v>no</v>
      </c>
      <c r="AZ2718" s="235">
        <f>VLOOKUP(Table8[[#This Row],[Country Code]],Table29[],23,FALSE)</f>
        <v>5960.8043799938996</v>
      </c>
      <c r="BA2718" s="235">
        <f>VLOOKUP(Table8[[#This Row],[Country Code]],Table29[],24,FALSE)</f>
        <v>1735.9036371632039</v>
      </c>
      <c r="BB2718" s="320"/>
      <c r="BC2718" s="320"/>
    </row>
    <row r="2719" spans="1:55" ht="15" hidden="1" customHeight="1" x14ac:dyDescent="0.25">
      <c r="A2719" s="360">
        <v>26793</v>
      </c>
      <c r="B2719" s="233" t="str">
        <f>VLOOKUP(Table8[[#This Row],[Document ID]],Table1[],2,FALSE)</f>
        <v>USA</v>
      </c>
      <c r="C2719" s="233" t="str">
        <f>VLOOKUP(Table8[[#This Row],[Document ID]],Table1[],3,FALSE)</f>
        <v>United States of America</v>
      </c>
      <c r="D2719" s="233" t="str">
        <f>VLOOKUP(Table8[[#This Row],[Document ID]],Table1[],5,FALSE)</f>
        <v>LTS</v>
      </c>
      <c r="E2719" s="233" t="str">
        <f>VLOOKUP(Table8[[#This Row],[Document ID]],Table1[],7,FALSE)</f>
        <v>LTS</v>
      </c>
      <c r="F2719" s="233" t="str">
        <f>VLOOKUP(Table8[[#This Row],[Document ID]],Table1[],8,FALSE)</f>
        <v>LTS 1.1</v>
      </c>
      <c r="G2719" s="233" t="str">
        <f>VLOOKUP(Table8[[#This Row],[Document ID]],Table1[],10,FALSE)</f>
        <v>Active</v>
      </c>
      <c r="H2719" s="44" t="s">
        <v>2338</v>
      </c>
      <c r="I2719" s="44" t="s">
        <v>2339</v>
      </c>
      <c r="J2719" s="44" t="s">
        <v>2413</v>
      </c>
      <c r="K2719" s="44" t="s">
        <v>4800</v>
      </c>
      <c r="L2719" s="44" t="s">
        <v>2333</v>
      </c>
      <c r="M2719" s="43">
        <v>15</v>
      </c>
      <c r="N2719" s="113"/>
      <c r="O2719" s="113"/>
      <c r="P2719" s="113"/>
      <c r="Q2719" s="113"/>
      <c r="R2719" s="113"/>
      <c r="S2719" s="113"/>
      <c r="T2719" s="113"/>
      <c r="U2719" s="113" t="s">
        <v>1113</v>
      </c>
      <c r="V2719" s="113"/>
      <c r="W2719" s="113"/>
      <c r="X2719" s="113" t="s">
        <v>1113</v>
      </c>
      <c r="Y2719" s="113" t="s">
        <v>1113</v>
      </c>
      <c r="Z2719" s="113"/>
      <c r="AA2719" s="113"/>
      <c r="AB2719" s="113"/>
      <c r="AC2719" s="113"/>
      <c r="AD2719" s="113"/>
      <c r="AE2719" s="113"/>
      <c r="AF2719" s="113"/>
      <c r="AG2719" s="113"/>
      <c r="AH2719" s="113"/>
      <c r="AI2719" s="113"/>
      <c r="AJ2719" s="113"/>
      <c r="AK2719" s="113" t="s">
        <v>1113</v>
      </c>
      <c r="AL2719" s="113"/>
      <c r="AM2719" s="113"/>
      <c r="AN2719" s="113"/>
      <c r="AO2719" s="44" t="s">
        <v>2334</v>
      </c>
      <c r="AP2719" s="43"/>
      <c r="AQ2719" s="236" t="str">
        <f>VLOOKUP(Table8[[#This Row],[Instrument]],Def_Targets!$D$73:$E$159,2,FALSE)</f>
        <v>I_Vehicleeff</v>
      </c>
      <c r="AR2719" s="233" t="str">
        <f>VLOOKUP(Table8[[#This Row],[Country Code]],Table29[],3,FALSE)</f>
        <v>Annex I</v>
      </c>
      <c r="AS2719" s="233" t="str">
        <f>VLOOKUP(Table8[[#This Row],[Country Code]],Table29[],4,FALSE)</f>
        <v>Northern America</v>
      </c>
      <c r="AT2719" s="233" t="str">
        <f>VLOOKUP(Table8[[#This Row],[Country Code]],Table29[],5,FALSE)</f>
        <v>High-income</v>
      </c>
      <c r="AU2719" s="233" t="str">
        <f>VLOOKUP(Table8[[#This Row],[Country Code]],Table29[],6,FALSE)</f>
        <v>G20</v>
      </c>
      <c r="AV2719" s="233" t="str">
        <f>VLOOKUP(Table8[[#This Row],[Country Code]],Table29[],7,FALSE)</f>
        <v>G7</v>
      </c>
      <c r="AW2719" s="233" t="str">
        <f>VLOOKUP(Table8[[#This Row],[Country Code]],Table29[],8,FALSE)</f>
        <v>OECD</v>
      </c>
      <c r="AX2719" s="233" t="str">
        <f>VLOOKUP(Table8[[#This Row],[Country Code]],Table29[],9,FALSE)</f>
        <v>no</v>
      </c>
      <c r="AY2719" s="233" t="str">
        <f>VLOOKUP(Table8[[#This Row],[Country Code]],Table29[],10,FALSE)</f>
        <v>no</v>
      </c>
      <c r="AZ2719" s="235">
        <f>VLOOKUP(Table8[[#This Row],[Country Code]],Table29[],23,FALSE)</f>
        <v>5960.8043799938996</v>
      </c>
      <c r="BA2719" s="235">
        <f>VLOOKUP(Table8[[#This Row],[Country Code]],Table29[],24,FALSE)</f>
        <v>1735.9036371632039</v>
      </c>
      <c r="BB2719" s="320"/>
      <c r="BC2719" s="320"/>
    </row>
    <row r="2720" spans="1:55" ht="15" hidden="1" customHeight="1" x14ac:dyDescent="0.25">
      <c r="A2720" s="360">
        <v>26793</v>
      </c>
      <c r="B2720" s="233" t="str">
        <f>VLOOKUP(Table8[[#This Row],[Document ID]],Table1[],2,FALSE)</f>
        <v>USA</v>
      </c>
      <c r="C2720" s="233" t="str">
        <f>VLOOKUP(Table8[[#This Row],[Document ID]],Table1[],3,FALSE)</f>
        <v>United States of America</v>
      </c>
      <c r="D2720" s="233" t="str">
        <f>VLOOKUP(Table8[[#This Row],[Document ID]],Table1[],5,FALSE)</f>
        <v>LTS</v>
      </c>
      <c r="E2720" s="233" t="str">
        <f>VLOOKUP(Table8[[#This Row],[Document ID]],Table1[],7,FALSE)</f>
        <v>LTS</v>
      </c>
      <c r="F2720" s="233" t="str">
        <f>VLOOKUP(Table8[[#This Row],[Document ID]],Table1[],8,FALSE)</f>
        <v>LTS 1.1</v>
      </c>
      <c r="G2720" s="233" t="str">
        <f>VLOOKUP(Table8[[#This Row],[Document ID]],Table1[],10,FALSE)</f>
        <v>Active</v>
      </c>
      <c r="H2720" s="44" t="s">
        <v>2338</v>
      </c>
      <c r="I2720" s="44" t="s">
        <v>2339</v>
      </c>
      <c r="J2720" s="44" t="s">
        <v>2413</v>
      </c>
      <c r="K2720" s="44" t="s">
        <v>4800</v>
      </c>
      <c r="L2720" s="44" t="s">
        <v>2333</v>
      </c>
      <c r="M2720" s="43">
        <v>15</v>
      </c>
      <c r="N2720" s="113"/>
      <c r="O2720" s="113"/>
      <c r="P2720" s="113"/>
      <c r="Q2720" s="113"/>
      <c r="R2720" s="113"/>
      <c r="S2720" s="113"/>
      <c r="T2720" s="113"/>
      <c r="U2720" s="113" t="s">
        <v>1113</v>
      </c>
      <c r="V2720" s="113"/>
      <c r="W2720" s="113"/>
      <c r="X2720" s="113" t="s">
        <v>1113</v>
      </c>
      <c r="Y2720" s="113" t="s">
        <v>1113</v>
      </c>
      <c r="Z2720" s="113"/>
      <c r="AA2720" s="113"/>
      <c r="AB2720" s="113"/>
      <c r="AC2720" s="113"/>
      <c r="AD2720" s="113"/>
      <c r="AE2720" s="113"/>
      <c r="AF2720" s="113"/>
      <c r="AG2720" s="113"/>
      <c r="AH2720" s="113"/>
      <c r="AI2720" s="113"/>
      <c r="AJ2720" s="113"/>
      <c r="AK2720" s="113" t="s">
        <v>1113</v>
      </c>
      <c r="AL2720" s="113"/>
      <c r="AM2720" s="113"/>
      <c r="AN2720" s="113"/>
      <c r="AO2720" s="44" t="s">
        <v>2334</v>
      </c>
      <c r="AP2720" s="43"/>
      <c r="AQ2720" s="236" t="str">
        <f>VLOOKUP(Table8[[#This Row],[Instrument]],Def_Targets!$D$73:$E$159,2,FALSE)</f>
        <v>I_Vehicleeff</v>
      </c>
      <c r="AR2720" s="233" t="str">
        <f>VLOOKUP(Table8[[#This Row],[Country Code]],Table29[],3,FALSE)</f>
        <v>Annex I</v>
      </c>
      <c r="AS2720" s="233" t="str">
        <f>VLOOKUP(Table8[[#This Row],[Country Code]],Table29[],4,FALSE)</f>
        <v>Northern America</v>
      </c>
      <c r="AT2720" s="233" t="str">
        <f>VLOOKUP(Table8[[#This Row],[Country Code]],Table29[],5,FALSE)</f>
        <v>High-income</v>
      </c>
      <c r="AU2720" s="233" t="str">
        <f>VLOOKUP(Table8[[#This Row],[Country Code]],Table29[],6,FALSE)</f>
        <v>G20</v>
      </c>
      <c r="AV2720" s="233" t="str">
        <f>VLOOKUP(Table8[[#This Row],[Country Code]],Table29[],7,FALSE)</f>
        <v>G7</v>
      </c>
      <c r="AW2720" s="233" t="str">
        <f>VLOOKUP(Table8[[#This Row],[Country Code]],Table29[],8,FALSE)</f>
        <v>OECD</v>
      </c>
      <c r="AX2720" s="233" t="str">
        <f>VLOOKUP(Table8[[#This Row],[Country Code]],Table29[],9,FALSE)</f>
        <v>no</v>
      </c>
      <c r="AY2720" s="233" t="str">
        <f>VLOOKUP(Table8[[#This Row],[Country Code]],Table29[],10,FALSE)</f>
        <v>no</v>
      </c>
      <c r="AZ2720" s="235">
        <f>VLOOKUP(Table8[[#This Row],[Country Code]],Table29[],23,FALSE)</f>
        <v>5960.8043799938996</v>
      </c>
      <c r="BA2720" s="235">
        <f>VLOOKUP(Table8[[#This Row],[Country Code]],Table29[],24,FALSE)</f>
        <v>1735.9036371632039</v>
      </c>
      <c r="BB2720" s="320"/>
      <c r="BC2720" s="320"/>
    </row>
    <row r="2721" spans="1:55" ht="15" hidden="1" customHeight="1" x14ac:dyDescent="0.25">
      <c r="A2721" s="360">
        <v>26793</v>
      </c>
      <c r="B2721" s="233" t="str">
        <f>VLOOKUP(Table8[[#This Row],[Document ID]],Table1[],2,FALSE)</f>
        <v>USA</v>
      </c>
      <c r="C2721" s="233" t="str">
        <f>VLOOKUP(Table8[[#This Row],[Document ID]],Table1[],3,FALSE)</f>
        <v>United States of America</v>
      </c>
      <c r="D2721" s="233" t="str">
        <f>VLOOKUP(Table8[[#This Row],[Document ID]],Table1[],5,FALSE)</f>
        <v>LTS</v>
      </c>
      <c r="E2721" s="233" t="str">
        <f>VLOOKUP(Table8[[#This Row],[Document ID]],Table1[],7,FALSE)</f>
        <v>LTS</v>
      </c>
      <c r="F2721" s="233" t="str">
        <f>VLOOKUP(Table8[[#This Row],[Document ID]],Table1[],8,FALSE)</f>
        <v>LTS 1.1</v>
      </c>
      <c r="G2721" s="233" t="str">
        <f>VLOOKUP(Table8[[#This Row],[Document ID]],Table1[],10,FALSE)</f>
        <v>Active</v>
      </c>
      <c r="H2721" s="44" t="s">
        <v>2329</v>
      </c>
      <c r="I2721" s="44" t="s">
        <v>2330</v>
      </c>
      <c r="J2721" s="44" t="s">
        <v>2331</v>
      </c>
      <c r="K2721" s="44" t="s">
        <v>4801</v>
      </c>
      <c r="L2721" s="44" t="s">
        <v>2333</v>
      </c>
      <c r="M2721" s="43">
        <v>15</v>
      </c>
      <c r="N2721" s="113"/>
      <c r="O2721" s="113"/>
      <c r="P2721" s="113"/>
      <c r="Q2721" s="113"/>
      <c r="R2721" s="113"/>
      <c r="S2721" s="113"/>
      <c r="T2721" s="113"/>
      <c r="U2721" s="113"/>
      <c r="V2721" s="113"/>
      <c r="W2721" s="113"/>
      <c r="X2721" s="113"/>
      <c r="Y2721" s="113"/>
      <c r="Z2721" s="113"/>
      <c r="AA2721" s="113"/>
      <c r="AB2721" s="113"/>
      <c r="AC2721" s="113"/>
      <c r="AD2721" s="113"/>
      <c r="AE2721" s="113"/>
      <c r="AF2721" s="113"/>
      <c r="AG2721" s="113"/>
      <c r="AH2721" s="113"/>
      <c r="AI2721" s="113"/>
      <c r="AJ2721" s="113"/>
      <c r="AK2721" s="113" t="s">
        <v>1113</v>
      </c>
      <c r="AL2721" s="113"/>
      <c r="AM2721" s="113"/>
      <c r="AN2721" s="113"/>
      <c r="AO2721" s="44" t="s">
        <v>2334</v>
      </c>
      <c r="AP2721" s="43"/>
      <c r="AQ2721" s="236" t="str">
        <f>VLOOKUP(Table8[[#This Row],[Instrument]],Def_Targets!$D$73:$E$159,2,FALSE)</f>
        <v>I_Altfuels</v>
      </c>
      <c r="AR2721" s="233" t="str">
        <f>VLOOKUP(Table8[[#This Row],[Country Code]],Table29[],3,FALSE)</f>
        <v>Annex I</v>
      </c>
      <c r="AS2721" s="233" t="str">
        <f>VLOOKUP(Table8[[#This Row],[Country Code]],Table29[],4,FALSE)</f>
        <v>Northern America</v>
      </c>
      <c r="AT2721" s="233" t="str">
        <f>VLOOKUP(Table8[[#This Row],[Country Code]],Table29[],5,FALSE)</f>
        <v>High-income</v>
      </c>
      <c r="AU2721" s="233" t="str">
        <f>VLOOKUP(Table8[[#This Row],[Country Code]],Table29[],6,FALSE)</f>
        <v>G20</v>
      </c>
      <c r="AV2721" s="233" t="str">
        <f>VLOOKUP(Table8[[#This Row],[Country Code]],Table29[],7,FALSE)</f>
        <v>G7</v>
      </c>
      <c r="AW2721" s="233" t="str">
        <f>VLOOKUP(Table8[[#This Row],[Country Code]],Table29[],8,FALSE)</f>
        <v>OECD</v>
      </c>
      <c r="AX2721" s="233" t="str">
        <f>VLOOKUP(Table8[[#This Row],[Country Code]],Table29[],9,FALSE)</f>
        <v>no</v>
      </c>
      <c r="AY2721" s="233" t="str">
        <f>VLOOKUP(Table8[[#This Row],[Country Code]],Table29[],10,FALSE)</f>
        <v>no</v>
      </c>
      <c r="AZ2721" s="235">
        <f>VLOOKUP(Table8[[#This Row],[Country Code]],Table29[],23,FALSE)</f>
        <v>5960.8043799938996</v>
      </c>
      <c r="BA2721" s="235">
        <f>VLOOKUP(Table8[[#This Row],[Country Code]],Table29[],24,FALSE)</f>
        <v>1735.9036371632039</v>
      </c>
      <c r="BB2721" s="320"/>
      <c r="BC2721" s="320"/>
    </row>
    <row r="2722" spans="1:55" ht="15" hidden="1" customHeight="1" x14ac:dyDescent="0.25">
      <c r="A2722" s="360">
        <v>26793</v>
      </c>
      <c r="B2722" s="233" t="str">
        <f>VLOOKUP(Table8[[#This Row],[Document ID]],Table1[],2,FALSE)</f>
        <v>USA</v>
      </c>
      <c r="C2722" s="233" t="str">
        <f>VLOOKUP(Table8[[#This Row],[Document ID]],Table1[],3,FALSE)</f>
        <v>United States of America</v>
      </c>
      <c r="D2722" s="233" t="str">
        <f>VLOOKUP(Table8[[#This Row],[Document ID]],Table1[],5,FALSE)</f>
        <v>LTS</v>
      </c>
      <c r="E2722" s="233" t="str">
        <f>VLOOKUP(Table8[[#This Row],[Document ID]],Table1[],7,FALSE)</f>
        <v>LTS</v>
      </c>
      <c r="F2722" s="233" t="str">
        <f>VLOOKUP(Table8[[#This Row],[Document ID]],Table1[],8,FALSE)</f>
        <v>LTS 1.1</v>
      </c>
      <c r="G2722" s="233" t="str">
        <f>VLOOKUP(Table8[[#This Row],[Document ID]],Table1[],10,FALSE)</f>
        <v>Active</v>
      </c>
      <c r="H2722" s="43" t="s">
        <v>2358</v>
      </c>
      <c r="I2722" s="43" t="s">
        <v>2359</v>
      </c>
      <c r="J2722" s="44" t="s">
        <v>2383</v>
      </c>
      <c r="K2722" s="44" t="s">
        <v>4802</v>
      </c>
      <c r="L2722" s="44" t="s">
        <v>2333</v>
      </c>
      <c r="M2722" s="43">
        <v>15</v>
      </c>
      <c r="N2722" s="113"/>
      <c r="O2722" s="113"/>
      <c r="P2722" s="113"/>
      <c r="Q2722" s="113"/>
      <c r="R2722" s="113"/>
      <c r="S2722" s="113"/>
      <c r="T2722" s="113"/>
      <c r="U2722" s="113"/>
      <c r="V2722" s="113"/>
      <c r="W2722" s="113"/>
      <c r="X2722" s="113"/>
      <c r="Y2722" s="113"/>
      <c r="Z2722" s="113"/>
      <c r="AA2722" s="113"/>
      <c r="AB2722" s="113"/>
      <c r="AC2722" s="113"/>
      <c r="AD2722" s="113"/>
      <c r="AE2722" s="113"/>
      <c r="AF2722" s="113"/>
      <c r="AG2722" s="113"/>
      <c r="AH2722" s="113"/>
      <c r="AI2722" s="113"/>
      <c r="AJ2722" s="113"/>
      <c r="AK2722" s="113" t="s">
        <v>1113</v>
      </c>
      <c r="AL2722" s="113"/>
      <c r="AM2722" s="113"/>
      <c r="AN2722" s="113"/>
      <c r="AO2722" s="44" t="s">
        <v>2334</v>
      </c>
      <c r="AP2722" s="43"/>
      <c r="AQ2722" s="236" t="str">
        <f>VLOOKUP(Table8[[#This Row],[Instrument]],Def_Targets!$D$73:$E$159,2,FALSE)</f>
        <v>I_Emobilitycharging</v>
      </c>
      <c r="AR2722" s="233" t="str">
        <f>VLOOKUP(Table8[[#This Row],[Country Code]],Table29[],3,FALSE)</f>
        <v>Annex I</v>
      </c>
      <c r="AS2722" s="233" t="str">
        <f>VLOOKUP(Table8[[#This Row],[Country Code]],Table29[],4,FALSE)</f>
        <v>Northern America</v>
      </c>
      <c r="AT2722" s="233" t="str">
        <f>VLOOKUP(Table8[[#This Row],[Country Code]],Table29[],5,FALSE)</f>
        <v>High-income</v>
      </c>
      <c r="AU2722" s="233" t="str">
        <f>VLOOKUP(Table8[[#This Row],[Country Code]],Table29[],6,FALSE)</f>
        <v>G20</v>
      </c>
      <c r="AV2722" s="233" t="str">
        <f>VLOOKUP(Table8[[#This Row],[Country Code]],Table29[],7,FALSE)</f>
        <v>G7</v>
      </c>
      <c r="AW2722" s="233" t="str">
        <f>VLOOKUP(Table8[[#This Row],[Country Code]],Table29[],8,FALSE)</f>
        <v>OECD</v>
      </c>
      <c r="AX2722" s="233" t="str">
        <f>VLOOKUP(Table8[[#This Row],[Country Code]],Table29[],9,FALSE)</f>
        <v>no</v>
      </c>
      <c r="AY2722" s="233" t="str">
        <f>VLOOKUP(Table8[[#This Row],[Country Code]],Table29[],10,FALSE)</f>
        <v>no</v>
      </c>
      <c r="AZ2722" s="235">
        <f>VLOOKUP(Table8[[#This Row],[Country Code]],Table29[],23,FALSE)</f>
        <v>5960.8043799938996</v>
      </c>
      <c r="BA2722" s="235">
        <f>VLOOKUP(Table8[[#This Row],[Country Code]],Table29[],24,FALSE)</f>
        <v>1735.9036371632039</v>
      </c>
      <c r="BB2722" s="320"/>
      <c r="BC2722" s="320"/>
    </row>
    <row r="2723" spans="1:55" ht="15" hidden="1" customHeight="1" x14ac:dyDescent="0.25">
      <c r="A2723" s="360">
        <v>26793</v>
      </c>
      <c r="B2723" s="233" t="str">
        <f>VLOOKUP(Table8[[#This Row],[Document ID]],Table1[],2,FALSE)</f>
        <v>USA</v>
      </c>
      <c r="C2723" s="233" t="str">
        <f>VLOOKUP(Table8[[#This Row],[Document ID]],Table1[],3,FALSE)</f>
        <v>United States of America</v>
      </c>
      <c r="D2723" s="233" t="str">
        <f>VLOOKUP(Table8[[#This Row],[Document ID]],Table1[],5,FALSE)</f>
        <v>LTS</v>
      </c>
      <c r="E2723" s="233" t="str">
        <f>VLOOKUP(Table8[[#This Row],[Document ID]],Table1[],7,FALSE)</f>
        <v>LTS</v>
      </c>
      <c r="F2723" s="233" t="str">
        <f>VLOOKUP(Table8[[#This Row],[Document ID]],Table1[],8,FALSE)</f>
        <v>LTS 1.1</v>
      </c>
      <c r="G2723" s="233" t="str">
        <f>VLOOKUP(Table8[[#This Row],[Document ID]],Table1[],10,FALSE)</f>
        <v>Active</v>
      </c>
      <c r="H2723" s="44" t="s">
        <v>2329</v>
      </c>
      <c r="I2723" s="44" t="s">
        <v>2330</v>
      </c>
      <c r="J2723" s="44" t="s">
        <v>2357</v>
      </c>
      <c r="K2723" s="44" t="s">
        <v>4803</v>
      </c>
      <c r="L2723" s="44" t="s">
        <v>2333</v>
      </c>
      <c r="M2723" s="43">
        <v>15</v>
      </c>
      <c r="N2723" s="113"/>
      <c r="O2723" s="113"/>
      <c r="P2723" s="113"/>
      <c r="Q2723" s="113"/>
      <c r="R2723" s="113"/>
      <c r="S2723" s="113"/>
      <c r="T2723" s="113"/>
      <c r="U2723" s="113"/>
      <c r="V2723" s="113"/>
      <c r="W2723" s="113"/>
      <c r="X2723" s="113"/>
      <c r="Y2723" s="113"/>
      <c r="Z2723" s="113"/>
      <c r="AA2723" s="113"/>
      <c r="AB2723" s="113"/>
      <c r="AC2723" s="113"/>
      <c r="AD2723" s="113"/>
      <c r="AE2723" s="113"/>
      <c r="AF2723" s="113"/>
      <c r="AG2723" s="113"/>
      <c r="AH2723" s="113"/>
      <c r="AI2723" s="113"/>
      <c r="AJ2723" s="113"/>
      <c r="AK2723" s="113" t="s">
        <v>1113</v>
      </c>
      <c r="AL2723" s="113"/>
      <c r="AM2723" s="113"/>
      <c r="AN2723" s="113"/>
      <c r="AO2723" s="44" t="s">
        <v>2334</v>
      </c>
      <c r="AP2723" s="43"/>
      <c r="AQ2723" s="236" t="str">
        <f>VLOOKUP(Table8[[#This Row],[Instrument]],Def_Targets!$D$73:$E$159,2,FALSE)</f>
        <v>I_Biofuel</v>
      </c>
      <c r="AR2723" s="233" t="str">
        <f>VLOOKUP(Table8[[#This Row],[Country Code]],Table29[],3,FALSE)</f>
        <v>Annex I</v>
      </c>
      <c r="AS2723" s="233" t="str">
        <f>VLOOKUP(Table8[[#This Row],[Country Code]],Table29[],4,FALSE)</f>
        <v>Northern America</v>
      </c>
      <c r="AT2723" s="233" t="str">
        <f>VLOOKUP(Table8[[#This Row],[Country Code]],Table29[],5,FALSE)</f>
        <v>High-income</v>
      </c>
      <c r="AU2723" s="233" t="str">
        <f>VLOOKUP(Table8[[#This Row],[Country Code]],Table29[],6,FALSE)</f>
        <v>G20</v>
      </c>
      <c r="AV2723" s="233" t="str">
        <f>VLOOKUP(Table8[[#This Row],[Country Code]],Table29[],7,FALSE)</f>
        <v>G7</v>
      </c>
      <c r="AW2723" s="233" t="str">
        <f>VLOOKUP(Table8[[#This Row],[Country Code]],Table29[],8,FALSE)</f>
        <v>OECD</v>
      </c>
      <c r="AX2723" s="233" t="str">
        <f>VLOOKUP(Table8[[#This Row],[Country Code]],Table29[],9,FALSE)</f>
        <v>no</v>
      </c>
      <c r="AY2723" s="233" t="str">
        <f>VLOOKUP(Table8[[#This Row],[Country Code]],Table29[],10,FALSE)</f>
        <v>no</v>
      </c>
      <c r="AZ2723" s="235">
        <f>VLOOKUP(Table8[[#This Row],[Country Code]],Table29[],23,FALSE)</f>
        <v>5960.8043799938996</v>
      </c>
      <c r="BA2723" s="235">
        <f>VLOOKUP(Table8[[#This Row],[Country Code]],Table29[],24,FALSE)</f>
        <v>1735.9036371632039</v>
      </c>
      <c r="BB2723" s="320"/>
      <c r="BC2723" s="320"/>
    </row>
    <row r="2724" spans="1:55" ht="15" hidden="1" customHeight="1" x14ac:dyDescent="0.25">
      <c r="A2724" s="360">
        <v>26793</v>
      </c>
      <c r="B2724" s="233" t="str">
        <f>VLOOKUP(Table8[[#This Row],[Document ID]],Table1[],2,FALSE)</f>
        <v>USA</v>
      </c>
      <c r="C2724" s="233" t="str">
        <f>VLOOKUP(Table8[[#This Row],[Document ID]],Table1[],3,FALSE)</f>
        <v>United States of America</v>
      </c>
      <c r="D2724" s="233" t="str">
        <f>VLOOKUP(Table8[[#This Row],[Document ID]],Table1[],5,FALSE)</f>
        <v>LTS</v>
      </c>
      <c r="E2724" s="233" t="str">
        <f>VLOOKUP(Table8[[#This Row],[Document ID]],Table1[],7,FALSE)</f>
        <v>LTS</v>
      </c>
      <c r="F2724" s="233" t="str">
        <f>VLOOKUP(Table8[[#This Row],[Document ID]],Table1[],8,FALSE)</f>
        <v>LTS 1.1</v>
      </c>
      <c r="G2724" s="233" t="str">
        <f>VLOOKUP(Table8[[#This Row],[Document ID]],Table1[],10,FALSE)</f>
        <v>Active</v>
      </c>
      <c r="H2724" s="44" t="s">
        <v>2329</v>
      </c>
      <c r="I2724" s="44" t="s">
        <v>2330</v>
      </c>
      <c r="J2724" s="44" t="s">
        <v>2391</v>
      </c>
      <c r="K2724" s="44" t="s">
        <v>4804</v>
      </c>
      <c r="L2724" s="44" t="s">
        <v>2333</v>
      </c>
      <c r="M2724" s="43">
        <v>15</v>
      </c>
      <c r="N2724" s="113"/>
      <c r="O2724" s="113"/>
      <c r="P2724" s="113"/>
      <c r="Q2724" s="113"/>
      <c r="R2724" s="113"/>
      <c r="S2724" s="113"/>
      <c r="T2724" s="113"/>
      <c r="U2724" s="113"/>
      <c r="V2724" s="113"/>
      <c r="W2724" s="113"/>
      <c r="X2724" s="113"/>
      <c r="Y2724" s="113"/>
      <c r="Z2724" s="113"/>
      <c r="AA2724" s="113"/>
      <c r="AB2724" s="113"/>
      <c r="AC2724" s="113"/>
      <c r="AD2724" s="113"/>
      <c r="AE2724" s="113"/>
      <c r="AF2724" s="113"/>
      <c r="AG2724" s="113"/>
      <c r="AH2724" s="113"/>
      <c r="AI2724" s="113"/>
      <c r="AJ2724" s="113"/>
      <c r="AK2724" s="113" t="s">
        <v>1113</v>
      </c>
      <c r="AL2724" s="113"/>
      <c r="AM2724" s="113"/>
      <c r="AN2724" s="113"/>
      <c r="AO2724" s="44" t="s">
        <v>2334</v>
      </c>
      <c r="AP2724" s="43"/>
      <c r="AQ2724" s="236" t="str">
        <f>VLOOKUP(Table8[[#This Row],[Instrument]],Def_Targets!$D$73:$E$159,2,FALSE)</f>
        <v>I_Hydrogen</v>
      </c>
      <c r="AR2724" s="233" t="str">
        <f>VLOOKUP(Table8[[#This Row],[Country Code]],Table29[],3,FALSE)</f>
        <v>Annex I</v>
      </c>
      <c r="AS2724" s="233" t="str">
        <f>VLOOKUP(Table8[[#This Row],[Country Code]],Table29[],4,FALSE)</f>
        <v>Northern America</v>
      </c>
      <c r="AT2724" s="233" t="str">
        <f>VLOOKUP(Table8[[#This Row],[Country Code]],Table29[],5,FALSE)</f>
        <v>High-income</v>
      </c>
      <c r="AU2724" s="233" t="str">
        <f>VLOOKUP(Table8[[#This Row],[Country Code]],Table29[],6,FALSE)</f>
        <v>G20</v>
      </c>
      <c r="AV2724" s="233" t="str">
        <f>VLOOKUP(Table8[[#This Row],[Country Code]],Table29[],7,FALSE)</f>
        <v>G7</v>
      </c>
      <c r="AW2724" s="233" t="str">
        <f>VLOOKUP(Table8[[#This Row],[Country Code]],Table29[],8,FALSE)</f>
        <v>OECD</v>
      </c>
      <c r="AX2724" s="233" t="str">
        <f>VLOOKUP(Table8[[#This Row],[Country Code]],Table29[],9,FALSE)</f>
        <v>no</v>
      </c>
      <c r="AY2724" s="233" t="str">
        <f>VLOOKUP(Table8[[#This Row],[Country Code]],Table29[],10,FALSE)</f>
        <v>no</v>
      </c>
      <c r="AZ2724" s="235">
        <f>VLOOKUP(Table8[[#This Row],[Country Code]],Table29[],23,FALSE)</f>
        <v>5960.8043799938996</v>
      </c>
      <c r="BA2724" s="235">
        <f>VLOOKUP(Table8[[#This Row],[Country Code]],Table29[],24,FALSE)</f>
        <v>1735.9036371632039</v>
      </c>
      <c r="BB2724" s="320"/>
      <c r="BC2724" s="320"/>
    </row>
    <row r="2725" spans="1:55" ht="15" hidden="1" customHeight="1" x14ac:dyDescent="0.25">
      <c r="A2725" s="360">
        <v>26793</v>
      </c>
      <c r="B2725" s="233" t="str">
        <f>VLOOKUP(Table8[[#This Row],[Document ID]],Table1[],2,FALSE)</f>
        <v>USA</v>
      </c>
      <c r="C2725" s="233" t="str">
        <f>VLOOKUP(Table8[[#This Row],[Document ID]],Table1[],3,FALSE)</f>
        <v>United States of America</v>
      </c>
      <c r="D2725" s="233" t="str">
        <f>VLOOKUP(Table8[[#This Row],[Document ID]],Table1[],5,FALSE)</f>
        <v>LTS</v>
      </c>
      <c r="E2725" s="233" t="str">
        <f>VLOOKUP(Table8[[#This Row],[Document ID]],Table1[],7,FALSE)</f>
        <v>LTS</v>
      </c>
      <c r="F2725" s="233" t="str">
        <f>VLOOKUP(Table8[[#This Row],[Document ID]],Table1[],8,FALSE)</f>
        <v>LTS 1.1</v>
      </c>
      <c r="G2725" s="233" t="str">
        <f>VLOOKUP(Table8[[#This Row],[Document ID]],Table1[],10,FALSE)</f>
        <v>Active</v>
      </c>
      <c r="H2725" s="43" t="s">
        <v>2350</v>
      </c>
      <c r="I2725" s="43" t="s">
        <v>2456</v>
      </c>
      <c r="J2725" s="44" t="s">
        <v>2466</v>
      </c>
      <c r="K2725" s="44" t="s">
        <v>4805</v>
      </c>
      <c r="L2725" s="44" t="s">
        <v>2347</v>
      </c>
      <c r="M2725" s="43">
        <v>15</v>
      </c>
      <c r="N2725" s="113"/>
      <c r="O2725" s="113"/>
      <c r="P2725" s="113" t="s">
        <v>1113</v>
      </c>
      <c r="Q2725" s="113" t="s">
        <v>1113</v>
      </c>
      <c r="R2725" s="113" t="s">
        <v>1113</v>
      </c>
      <c r="S2725" s="113"/>
      <c r="T2725" s="113"/>
      <c r="U2725" s="113"/>
      <c r="V2725" s="113"/>
      <c r="W2725" s="113"/>
      <c r="X2725" s="113"/>
      <c r="Y2725" s="113"/>
      <c r="Z2725" s="113"/>
      <c r="AA2725" s="113"/>
      <c r="AB2725" s="113"/>
      <c r="AC2725" s="113" t="s">
        <v>1113</v>
      </c>
      <c r="AD2725" s="113"/>
      <c r="AE2725" s="113"/>
      <c r="AF2725" s="113"/>
      <c r="AG2725" s="113"/>
      <c r="AH2725" s="113"/>
      <c r="AI2725" s="113"/>
      <c r="AJ2725" s="113"/>
      <c r="AK2725" s="113" t="s">
        <v>1113</v>
      </c>
      <c r="AL2725" s="113"/>
      <c r="AM2725" s="113"/>
      <c r="AN2725" s="113"/>
      <c r="AO2725" s="44" t="s">
        <v>2334</v>
      </c>
      <c r="AP2725" s="43"/>
      <c r="AQ2725" s="236" t="str">
        <f>VLOOKUP(Table8[[#This Row],[Instrument]],Def_Targets!$D$73:$E$159,2,FALSE)</f>
        <v>S_Infraexpansion</v>
      </c>
      <c r="AR2725" s="233" t="str">
        <f>VLOOKUP(Table8[[#This Row],[Country Code]],Table29[],3,FALSE)</f>
        <v>Annex I</v>
      </c>
      <c r="AS2725" s="233" t="str">
        <f>VLOOKUP(Table8[[#This Row],[Country Code]],Table29[],4,FALSE)</f>
        <v>Northern America</v>
      </c>
      <c r="AT2725" s="233" t="str">
        <f>VLOOKUP(Table8[[#This Row],[Country Code]],Table29[],5,FALSE)</f>
        <v>High-income</v>
      </c>
      <c r="AU2725" s="233" t="str">
        <f>VLOOKUP(Table8[[#This Row],[Country Code]],Table29[],6,FALSE)</f>
        <v>G20</v>
      </c>
      <c r="AV2725" s="233" t="str">
        <f>VLOOKUP(Table8[[#This Row],[Country Code]],Table29[],7,FALSE)</f>
        <v>G7</v>
      </c>
      <c r="AW2725" s="233" t="str">
        <f>VLOOKUP(Table8[[#This Row],[Country Code]],Table29[],8,FALSE)</f>
        <v>OECD</v>
      </c>
      <c r="AX2725" s="233" t="str">
        <f>VLOOKUP(Table8[[#This Row],[Country Code]],Table29[],9,FALSE)</f>
        <v>no</v>
      </c>
      <c r="AY2725" s="233" t="str">
        <f>VLOOKUP(Table8[[#This Row],[Country Code]],Table29[],10,FALSE)</f>
        <v>no</v>
      </c>
      <c r="AZ2725" s="235">
        <f>VLOOKUP(Table8[[#This Row],[Country Code]],Table29[],23,FALSE)</f>
        <v>5960.8043799938996</v>
      </c>
      <c r="BA2725" s="235">
        <f>VLOOKUP(Table8[[#This Row],[Country Code]],Table29[],24,FALSE)</f>
        <v>1735.9036371632039</v>
      </c>
      <c r="BB2725" s="320"/>
      <c r="BC2725" s="320"/>
    </row>
    <row r="2726" spans="1:55" ht="15" hidden="1" customHeight="1" x14ac:dyDescent="0.25">
      <c r="A2726" s="360">
        <v>26793</v>
      </c>
      <c r="B2726" s="233" t="str">
        <f>VLOOKUP(Table8[[#This Row],[Document ID]],Table1[],2,FALSE)</f>
        <v>USA</v>
      </c>
      <c r="C2726" s="233" t="str">
        <f>VLOOKUP(Table8[[#This Row],[Document ID]],Table1[],3,FALSE)</f>
        <v>United States of America</v>
      </c>
      <c r="D2726" s="233" t="str">
        <f>VLOOKUP(Table8[[#This Row],[Document ID]],Table1[],5,FALSE)</f>
        <v>LTS</v>
      </c>
      <c r="E2726" s="233" t="str">
        <f>VLOOKUP(Table8[[#This Row],[Document ID]],Table1[],7,FALSE)</f>
        <v>LTS</v>
      </c>
      <c r="F2726" s="233" t="str">
        <f>VLOOKUP(Table8[[#This Row],[Document ID]],Table1[],8,FALSE)</f>
        <v>LTS 1.1</v>
      </c>
      <c r="G2726" s="233" t="str">
        <f>VLOOKUP(Table8[[#This Row],[Document ID]],Table1[],10,FALSE)</f>
        <v>Active</v>
      </c>
      <c r="H2726" s="44" t="s">
        <v>2329</v>
      </c>
      <c r="I2726" s="44" t="s">
        <v>2330</v>
      </c>
      <c r="J2726" s="44" t="s">
        <v>2331</v>
      </c>
      <c r="K2726" s="44" t="s">
        <v>4806</v>
      </c>
      <c r="L2726" s="44" t="s">
        <v>2333</v>
      </c>
      <c r="M2726" s="43">
        <v>15</v>
      </c>
      <c r="N2726" s="113"/>
      <c r="O2726" s="113"/>
      <c r="P2726" s="113"/>
      <c r="Q2726" s="113"/>
      <c r="R2726" s="113"/>
      <c r="S2726" s="113"/>
      <c r="T2726" s="113"/>
      <c r="U2726" s="113"/>
      <c r="V2726" s="113"/>
      <c r="W2726" s="113"/>
      <c r="X2726" s="113"/>
      <c r="Y2726" s="113"/>
      <c r="Z2726" s="113"/>
      <c r="AA2726" s="113"/>
      <c r="AB2726" s="113"/>
      <c r="AC2726" s="113"/>
      <c r="AD2726" s="113" t="s">
        <v>1113</v>
      </c>
      <c r="AE2726" s="113"/>
      <c r="AF2726" s="113"/>
      <c r="AG2726" s="113"/>
      <c r="AH2726" s="113"/>
      <c r="AI2726" s="113"/>
      <c r="AJ2726" s="113"/>
      <c r="AK2726" s="113" t="s">
        <v>1113</v>
      </c>
      <c r="AL2726" s="113"/>
      <c r="AM2726" s="113"/>
      <c r="AN2726" s="113"/>
      <c r="AO2726" s="44" t="s">
        <v>2334</v>
      </c>
      <c r="AP2726" s="43"/>
      <c r="AQ2726" s="236" t="str">
        <f>VLOOKUP(Table8[[#This Row],[Instrument]],Def_Targets!$D$73:$E$159,2,FALSE)</f>
        <v>I_Altfuels</v>
      </c>
      <c r="AR2726" s="233" t="str">
        <f>VLOOKUP(Table8[[#This Row],[Country Code]],Table29[],3,FALSE)</f>
        <v>Annex I</v>
      </c>
      <c r="AS2726" s="233" t="str">
        <f>VLOOKUP(Table8[[#This Row],[Country Code]],Table29[],4,FALSE)</f>
        <v>Northern America</v>
      </c>
      <c r="AT2726" s="233" t="str">
        <f>VLOOKUP(Table8[[#This Row],[Country Code]],Table29[],5,FALSE)</f>
        <v>High-income</v>
      </c>
      <c r="AU2726" s="233" t="str">
        <f>VLOOKUP(Table8[[#This Row],[Country Code]],Table29[],6,FALSE)</f>
        <v>G20</v>
      </c>
      <c r="AV2726" s="233" t="str">
        <f>VLOOKUP(Table8[[#This Row],[Country Code]],Table29[],7,FALSE)</f>
        <v>G7</v>
      </c>
      <c r="AW2726" s="233" t="str">
        <f>VLOOKUP(Table8[[#This Row],[Country Code]],Table29[],8,FALSE)</f>
        <v>OECD</v>
      </c>
      <c r="AX2726" s="233" t="str">
        <f>VLOOKUP(Table8[[#This Row],[Country Code]],Table29[],9,FALSE)</f>
        <v>no</v>
      </c>
      <c r="AY2726" s="233" t="str">
        <f>VLOOKUP(Table8[[#This Row],[Country Code]],Table29[],10,FALSE)</f>
        <v>no</v>
      </c>
      <c r="AZ2726" s="235">
        <f>VLOOKUP(Table8[[#This Row],[Country Code]],Table29[],23,FALSE)</f>
        <v>5960.8043799938996</v>
      </c>
      <c r="BA2726" s="235">
        <f>VLOOKUP(Table8[[#This Row],[Country Code]],Table29[],24,FALSE)</f>
        <v>1735.9036371632039</v>
      </c>
      <c r="BB2726" s="320"/>
      <c r="BC2726" s="320"/>
    </row>
    <row r="2727" spans="1:55" ht="30" hidden="1" x14ac:dyDescent="0.25">
      <c r="A2727" s="360">
        <v>26793</v>
      </c>
      <c r="B2727" s="233" t="str">
        <f>VLOOKUP(Table8[[#This Row],[Document ID]],Table1[],2,FALSE)</f>
        <v>USA</v>
      </c>
      <c r="C2727" s="233" t="str">
        <f>VLOOKUP(Table8[[#This Row],[Document ID]],Table1[],3,FALSE)</f>
        <v>United States of America</v>
      </c>
      <c r="D2727" s="233" t="str">
        <f>VLOOKUP(Table8[[#This Row],[Document ID]],Table1[],5,FALSE)</f>
        <v>LTS</v>
      </c>
      <c r="E2727" s="233" t="str">
        <f>VLOOKUP(Table8[[#This Row],[Document ID]],Table1[],7,FALSE)</f>
        <v>LTS</v>
      </c>
      <c r="F2727" s="233" t="str">
        <f>VLOOKUP(Table8[[#This Row],[Document ID]],Table1[],8,FALSE)</f>
        <v>LTS 1.1</v>
      </c>
      <c r="G2727" s="233" t="str">
        <f>VLOOKUP(Table8[[#This Row],[Document ID]],Table1[],10,FALSE)</f>
        <v>Active</v>
      </c>
      <c r="H2727" s="43" t="s">
        <v>2358</v>
      </c>
      <c r="I2727" s="43" t="s">
        <v>2359</v>
      </c>
      <c r="J2727" s="44" t="s">
        <v>2360</v>
      </c>
      <c r="K2727" s="44" t="s">
        <v>4807</v>
      </c>
      <c r="L2727" s="44" t="s">
        <v>2333</v>
      </c>
      <c r="M2727" s="43">
        <v>30</v>
      </c>
      <c r="N2727" s="113"/>
      <c r="O2727" s="113"/>
      <c r="P2727" s="113"/>
      <c r="Q2727" s="113"/>
      <c r="R2727" s="113"/>
      <c r="S2727" s="113"/>
      <c r="T2727" s="113"/>
      <c r="U2727" s="113"/>
      <c r="V2727" s="113"/>
      <c r="W2727" s="113"/>
      <c r="X2727" s="113"/>
      <c r="Y2727" s="113"/>
      <c r="Z2727" s="113"/>
      <c r="AA2727" s="113"/>
      <c r="AB2727" s="113"/>
      <c r="AC2727" s="113"/>
      <c r="AD2727" s="113"/>
      <c r="AE2727" s="113"/>
      <c r="AF2727" s="113"/>
      <c r="AG2727" s="113"/>
      <c r="AH2727" s="113"/>
      <c r="AI2727" s="113"/>
      <c r="AJ2727" s="113"/>
      <c r="AK2727" s="113"/>
      <c r="AL2727" s="113"/>
      <c r="AM2727" s="113"/>
      <c r="AN2727" s="113"/>
      <c r="AO2727" s="44" t="s">
        <v>2334</v>
      </c>
      <c r="AP2727" s="43"/>
      <c r="AQ2727" s="236" t="str">
        <f>VLOOKUP(Table8[[#This Row],[Instrument]],Def_Targets!$D$73:$E$159,2,FALSE)</f>
        <v>I_Emobility</v>
      </c>
      <c r="AR2727" s="233" t="str">
        <f>VLOOKUP(Table8[[#This Row],[Country Code]],Table29[],3,FALSE)</f>
        <v>Annex I</v>
      </c>
      <c r="AS2727" s="233" t="str">
        <f>VLOOKUP(Table8[[#This Row],[Country Code]],Table29[],4,FALSE)</f>
        <v>Northern America</v>
      </c>
      <c r="AT2727" s="233" t="str">
        <f>VLOOKUP(Table8[[#This Row],[Country Code]],Table29[],5,FALSE)</f>
        <v>High-income</v>
      </c>
      <c r="AU2727" s="233" t="str">
        <f>VLOOKUP(Table8[[#This Row],[Country Code]],Table29[],6,FALSE)</f>
        <v>G20</v>
      </c>
      <c r="AV2727" s="233" t="str">
        <f>VLOOKUP(Table8[[#This Row],[Country Code]],Table29[],7,FALSE)</f>
        <v>G7</v>
      </c>
      <c r="AW2727" s="233" t="str">
        <f>VLOOKUP(Table8[[#This Row],[Country Code]],Table29[],8,FALSE)</f>
        <v>OECD</v>
      </c>
      <c r="AX2727" s="233" t="str">
        <f>VLOOKUP(Table8[[#This Row],[Country Code]],Table29[],9,FALSE)</f>
        <v>no</v>
      </c>
      <c r="AY2727" s="233" t="str">
        <f>VLOOKUP(Table8[[#This Row],[Country Code]],Table29[],10,FALSE)</f>
        <v>no</v>
      </c>
      <c r="AZ2727" s="235">
        <f>VLOOKUP(Table8[[#This Row],[Country Code]],Table29[],23,FALSE)</f>
        <v>5960.8043799938996</v>
      </c>
      <c r="BA2727" s="235">
        <f>VLOOKUP(Table8[[#This Row],[Country Code]],Table29[],24,FALSE)</f>
        <v>1735.9036371632039</v>
      </c>
      <c r="BB2727" s="320"/>
      <c r="BC2727" s="320"/>
    </row>
    <row r="2728" spans="1:55" ht="30" hidden="1" x14ac:dyDescent="0.25">
      <c r="A2728" s="360">
        <v>26793</v>
      </c>
      <c r="B2728" s="233" t="str">
        <f>VLOOKUP(Table8[[#This Row],[Document ID]],Table1[],2,FALSE)</f>
        <v>USA</v>
      </c>
      <c r="C2728" s="233" t="str">
        <f>VLOOKUP(Table8[[#This Row],[Document ID]],Table1[],3,FALSE)</f>
        <v>United States of America</v>
      </c>
      <c r="D2728" s="233" t="str">
        <f>VLOOKUP(Table8[[#This Row],[Document ID]],Table1[],5,FALSE)</f>
        <v>LTS</v>
      </c>
      <c r="E2728" s="233" t="str">
        <f>VLOOKUP(Table8[[#This Row],[Document ID]],Table1[],7,FALSE)</f>
        <v>LTS</v>
      </c>
      <c r="F2728" s="233" t="str">
        <f>VLOOKUP(Table8[[#This Row],[Document ID]],Table1[],8,FALSE)</f>
        <v>LTS 1.1</v>
      </c>
      <c r="G2728" s="233" t="str">
        <f>VLOOKUP(Table8[[#This Row],[Document ID]],Table1[],10,FALSE)</f>
        <v>Active</v>
      </c>
      <c r="H2728" s="44" t="s">
        <v>2329</v>
      </c>
      <c r="I2728" s="44" t="s">
        <v>2330</v>
      </c>
      <c r="J2728" s="44" t="s">
        <v>2331</v>
      </c>
      <c r="K2728" s="44" t="s">
        <v>4807</v>
      </c>
      <c r="L2728" s="44" t="s">
        <v>2333</v>
      </c>
      <c r="M2728" s="43">
        <v>30</v>
      </c>
      <c r="N2728" s="113"/>
      <c r="O2728" s="113"/>
      <c r="P2728" s="113"/>
      <c r="Q2728" s="113"/>
      <c r="R2728" s="113"/>
      <c r="S2728" s="113"/>
      <c r="T2728" s="113"/>
      <c r="U2728" s="113"/>
      <c r="V2728" s="113"/>
      <c r="W2728" s="113"/>
      <c r="X2728" s="113"/>
      <c r="Y2728" s="113"/>
      <c r="Z2728" s="113"/>
      <c r="AA2728" s="113"/>
      <c r="AB2728" s="113"/>
      <c r="AC2728" s="113"/>
      <c r="AD2728" s="113"/>
      <c r="AE2728" s="113"/>
      <c r="AF2728" s="113"/>
      <c r="AG2728" s="113"/>
      <c r="AH2728" s="113"/>
      <c r="AI2728" s="113"/>
      <c r="AJ2728" s="113"/>
      <c r="AK2728" s="113"/>
      <c r="AL2728" s="113"/>
      <c r="AM2728" s="113"/>
      <c r="AN2728" s="113"/>
      <c r="AO2728" s="44" t="s">
        <v>2334</v>
      </c>
      <c r="AP2728" s="43"/>
      <c r="AQ2728" s="236" t="str">
        <f>VLOOKUP(Table8[[#This Row],[Instrument]],Def_Targets!$D$73:$E$159,2,FALSE)</f>
        <v>I_Altfuels</v>
      </c>
      <c r="AR2728" s="233" t="str">
        <f>VLOOKUP(Table8[[#This Row],[Country Code]],Table29[],3,FALSE)</f>
        <v>Annex I</v>
      </c>
      <c r="AS2728" s="233" t="str">
        <f>VLOOKUP(Table8[[#This Row],[Country Code]],Table29[],4,FALSE)</f>
        <v>Northern America</v>
      </c>
      <c r="AT2728" s="233" t="str">
        <f>VLOOKUP(Table8[[#This Row],[Country Code]],Table29[],5,FALSE)</f>
        <v>High-income</v>
      </c>
      <c r="AU2728" s="233" t="str">
        <f>VLOOKUP(Table8[[#This Row],[Country Code]],Table29[],6,FALSE)</f>
        <v>G20</v>
      </c>
      <c r="AV2728" s="233" t="str">
        <f>VLOOKUP(Table8[[#This Row],[Country Code]],Table29[],7,FALSE)</f>
        <v>G7</v>
      </c>
      <c r="AW2728" s="233" t="str">
        <f>VLOOKUP(Table8[[#This Row],[Country Code]],Table29[],8,FALSE)</f>
        <v>OECD</v>
      </c>
      <c r="AX2728" s="233" t="str">
        <f>VLOOKUP(Table8[[#This Row],[Country Code]],Table29[],9,FALSE)</f>
        <v>no</v>
      </c>
      <c r="AY2728" s="233" t="str">
        <f>VLOOKUP(Table8[[#This Row],[Country Code]],Table29[],10,FALSE)</f>
        <v>no</v>
      </c>
      <c r="AZ2728" s="235">
        <f>VLOOKUP(Table8[[#This Row],[Country Code]],Table29[],23,FALSE)</f>
        <v>5960.8043799938996</v>
      </c>
      <c r="BA2728" s="235">
        <f>VLOOKUP(Table8[[#This Row],[Country Code]],Table29[],24,FALSE)</f>
        <v>1735.9036371632039</v>
      </c>
      <c r="BB2728" s="320"/>
      <c r="BC2728" s="320"/>
    </row>
    <row r="2729" spans="1:55" ht="15" hidden="1" customHeight="1" x14ac:dyDescent="0.25">
      <c r="A2729" s="360">
        <v>26793</v>
      </c>
      <c r="B2729" s="233" t="str">
        <f>VLOOKUP(Table8[[#This Row],[Document ID]],Table1[],2,FALSE)</f>
        <v>USA</v>
      </c>
      <c r="C2729" s="233" t="str">
        <f>VLOOKUP(Table8[[#This Row],[Document ID]],Table1[],3,FALSE)</f>
        <v>United States of America</v>
      </c>
      <c r="D2729" s="233" t="str">
        <f>VLOOKUP(Table8[[#This Row],[Document ID]],Table1[],5,FALSE)</f>
        <v>LTS</v>
      </c>
      <c r="E2729" s="233" t="str">
        <f>VLOOKUP(Table8[[#This Row],[Document ID]],Table1[],7,FALSE)</f>
        <v>LTS</v>
      </c>
      <c r="F2729" s="233" t="str">
        <f>VLOOKUP(Table8[[#This Row],[Document ID]],Table1[],8,FALSE)</f>
        <v>LTS 1.1</v>
      </c>
      <c r="G2729" s="233" t="str">
        <f>VLOOKUP(Table8[[#This Row],[Document ID]],Table1[],10,FALSE)</f>
        <v>Active</v>
      </c>
      <c r="H2729" s="44" t="s">
        <v>2329</v>
      </c>
      <c r="I2729" s="44" t="s">
        <v>2330</v>
      </c>
      <c r="J2729" s="44" t="s">
        <v>2357</v>
      </c>
      <c r="K2729" s="44" t="s">
        <v>4808</v>
      </c>
      <c r="L2729" s="44" t="s">
        <v>2333</v>
      </c>
      <c r="M2729" s="43">
        <v>30</v>
      </c>
      <c r="N2729" s="113"/>
      <c r="O2729" s="113"/>
      <c r="P2729" s="113"/>
      <c r="Q2729" s="113"/>
      <c r="R2729" s="113"/>
      <c r="S2729" s="113"/>
      <c r="T2729" s="113"/>
      <c r="U2729" s="113"/>
      <c r="V2729" s="113"/>
      <c r="W2729" s="113"/>
      <c r="X2729" s="113"/>
      <c r="Y2729" s="113"/>
      <c r="Z2729" s="113"/>
      <c r="AA2729" s="113"/>
      <c r="AB2729" s="113"/>
      <c r="AC2729" s="113"/>
      <c r="AD2729" s="113"/>
      <c r="AE2729" s="113"/>
      <c r="AF2729" s="113"/>
      <c r="AG2729" s="113"/>
      <c r="AH2729" s="113"/>
      <c r="AI2729" s="113"/>
      <c r="AJ2729" s="113"/>
      <c r="AK2729" s="113"/>
      <c r="AL2729" s="113"/>
      <c r="AM2729" s="113"/>
      <c r="AN2729" s="113"/>
      <c r="AO2729" s="44" t="s">
        <v>2334</v>
      </c>
      <c r="AP2729" s="43"/>
      <c r="AQ2729" s="236" t="str">
        <f>VLOOKUP(Table8[[#This Row],[Instrument]],Def_Targets!$D$73:$E$159,2,FALSE)</f>
        <v>I_Biofuel</v>
      </c>
      <c r="AR2729" s="233" t="str">
        <f>VLOOKUP(Table8[[#This Row],[Country Code]],Table29[],3,FALSE)</f>
        <v>Annex I</v>
      </c>
      <c r="AS2729" s="233" t="str">
        <f>VLOOKUP(Table8[[#This Row],[Country Code]],Table29[],4,FALSE)</f>
        <v>Northern America</v>
      </c>
      <c r="AT2729" s="233" t="str">
        <f>VLOOKUP(Table8[[#This Row],[Country Code]],Table29[],5,FALSE)</f>
        <v>High-income</v>
      </c>
      <c r="AU2729" s="233" t="str">
        <f>VLOOKUP(Table8[[#This Row],[Country Code]],Table29[],6,FALSE)</f>
        <v>G20</v>
      </c>
      <c r="AV2729" s="233" t="str">
        <f>VLOOKUP(Table8[[#This Row],[Country Code]],Table29[],7,FALSE)</f>
        <v>G7</v>
      </c>
      <c r="AW2729" s="233" t="str">
        <f>VLOOKUP(Table8[[#This Row],[Country Code]],Table29[],8,FALSE)</f>
        <v>OECD</v>
      </c>
      <c r="AX2729" s="233" t="str">
        <f>VLOOKUP(Table8[[#This Row],[Country Code]],Table29[],9,FALSE)</f>
        <v>no</v>
      </c>
      <c r="AY2729" s="233" t="str">
        <f>VLOOKUP(Table8[[#This Row],[Country Code]],Table29[],10,FALSE)</f>
        <v>no</v>
      </c>
      <c r="AZ2729" s="235">
        <f>VLOOKUP(Table8[[#This Row],[Country Code]],Table29[],23,FALSE)</f>
        <v>5960.8043799938996</v>
      </c>
      <c r="BA2729" s="235">
        <f>VLOOKUP(Table8[[#This Row],[Country Code]],Table29[],24,FALSE)</f>
        <v>1735.9036371632039</v>
      </c>
      <c r="BB2729" s="320"/>
      <c r="BC2729" s="320"/>
    </row>
    <row r="2730" spans="1:55" hidden="1" x14ac:dyDescent="0.25">
      <c r="A2730" s="385">
        <v>26793</v>
      </c>
      <c r="B2730" s="233" t="str">
        <f>VLOOKUP(Table8[[#This Row],[Document ID]],Table1[],2,FALSE)</f>
        <v>USA</v>
      </c>
      <c r="C2730" s="233" t="str">
        <f>VLOOKUP(Table8[[#This Row],[Document ID]],Table1[],3,FALSE)</f>
        <v>United States of America</v>
      </c>
      <c r="D2730" s="233" t="str">
        <f>VLOOKUP(Table8[[#This Row],[Document ID]],Table1[],5,FALSE)</f>
        <v>LTS</v>
      </c>
      <c r="E2730" s="233" t="str">
        <f>VLOOKUP(Table8[[#This Row],[Document ID]],Table1[],7,FALSE)</f>
        <v>LTS</v>
      </c>
      <c r="F2730" s="233" t="str">
        <f>VLOOKUP(Table8[[#This Row],[Document ID]],Table1[],8,FALSE)</f>
        <v>LTS 1.1</v>
      </c>
      <c r="G2730" s="233" t="str">
        <f>VLOOKUP(Table8[[#This Row],[Document ID]],Table1[],10,FALSE)</f>
        <v>Active</v>
      </c>
      <c r="H2730" s="44" t="s">
        <v>2329</v>
      </c>
      <c r="I2730" s="44" t="s">
        <v>2330</v>
      </c>
      <c r="J2730" s="44" t="s">
        <v>2391</v>
      </c>
      <c r="K2730" s="44" t="s">
        <v>4808</v>
      </c>
      <c r="L2730" s="44" t="s">
        <v>2333</v>
      </c>
      <c r="M2730" s="43">
        <v>30</v>
      </c>
      <c r="N2730" s="113"/>
      <c r="O2730" s="113"/>
      <c r="P2730" s="113"/>
      <c r="Q2730" s="113"/>
      <c r="R2730" s="113"/>
      <c r="S2730" s="113"/>
      <c r="T2730" s="113"/>
      <c r="U2730" s="113"/>
      <c r="V2730" s="113"/>
      <c r="W2730" s="113"/>
      <c r="X2730" s="113"/>
      <c r="Y2730" s="113"/>
      <c r="Z2730" s="113"/>
      <c r="AA2730" s="113"/>
      <c r="AB2730" s="113"/>
      <c r="AC2730" s="113"/>
      <c r="AD2730" s="113"/>
      <c r="AE2730" s="113"/>
      <c r="AF2730" s="113"/>
      <c r="AG2730" s="113"/>
      <c r="AH2730" s="113"/>
      <c r="AI2730" s="113"/>
      <c r="AJ2730" s="113"/>
      <c r="AK2730" s="113"/>
      <c r="AL2730" s="113"/>
      <c r="AM2730" s="113"/>
      <c r="AN2730" s="113"/>
      <c r="AO2730" s="44" t="s">
        <v>2334</v>
      </c>
      <c r="AP2730" s="43"/>
      <c r="AQ2730" s="236" t="str">
        <f>VLOOKUP(Table8[[#This Row],[Instrument]],Def_Targets!$D$73:$E$159,2,FALSE)</f>
        <v>I_Hydrogen</v>
      </c>
      <c r="AR2730" s="233" t="str">
        <f>VLOOKUP(Table8[[#This Row],[Country Code]],Table29[],3,FALSE)</f>
        <v>Annex I</v>
      </c>
      <c r="AS2730" s="233" t="str">
        <f>VLOOKUP(Table8[[#This Row],[Country Code]],Table29[],4,FALSE)</f>
        <v>Northern America</v>
      </c>
      <c r="AT2730" s="233" t="str">
        <f>VLOOKUP(Table8[[#This Row],[Country Code]],Table29[],5,FALSE)</f>
        <v>High-income</v>
      </c>
      <c r="AU2730" s="233" t="str">
        <f>VLOOKUP(Table8[[#This Row],[Country Code]],Table29[],6,FALSE)</f>
        <v>G20</v>
      </c>
      <c r="AV2730" s="233" t="str">
        <f>VLOOKUP(Table8[[#This Row],[Country Code]],Table29[],7,FALSE)</f>
        <v>G7</v>
      </c>
      <c r="AW2730" s="233" t="str">
        <f>VLOOKUP(Table8[[#This Row],[Country Code]],Table29[],8,FALSE)</f>
        <v>OECD</v>
      </c>
      <c r="AX2730" s="233" t="str">
        <f>VLOOKUP(Table8[[#This Row],[Country Code]],Table29[],9,FALSE)</f>
        <v>no</v>
      </c>
      <c r="AY2730" s="233" t="str">
        <f>VLOOKUP(Table8[[#This Row],[Country Code]],Table29[],10,FALSE)</f>
        <v>no</v>
      </c>
      <c r="AZ2730" s="235">
        <f>VLOOKUP(Table8[[#This Row],[Country Code]],Table29[],23,FALSE)</f>
        <v>5960.8043799938996</v>
      </c>
      <c r="BA2730" s="235">
        <f>VLOOKUP(Table8[[#This Row],[Country Code]],Table29[],24,FALSE)</f>
        <v>1735.9036371632039</v>
      </c>
      <c r="BB2730" s="320"/>
      <c r="BC2730" s="320"/>
    </row>
    <row r="2731" spans="1:55" ht="30" hidden="1" x14ac:dyDescent="0.25">
      <c r="A2731" s="386">
        <v>26793</v>
      </c>
      <c r="B2731" s="233" t="str">
        <f>VLOOKUP(Table8[[#This Row],[Document ID]],Table1[],2,FALSE)</f>
        <v>USA</v>
      </c>
      <c r="C2731" s="233" t="str">
        <f>VLOOKUP(Table8[[#This Row],[Document ID]],Table1[],3,FALSE)</f>
        <v>United States of America</v>
      </c>
      <c r="D2731" s="243" t="str">
        <f>VLOOKUP(Table8[[#This Row],[Document ID]],Table1[],5,FALSE)</f>
        <v>LTS</v>
      </c>
      <c r="E2731" s="233" t="str">
        <f>VLOOKUP(Table8[[#This Row],[Document ID]],Table1[],7,FALSE)</f>
        <v>LTS</v>
      </c>
      <c r="F2731" s="236" t="str">
        <f>VLOOKUP(Table8[[#This Row],[Document ID]],Table1[],8,FALSE)</f>
        <v>LTS 1.1</v>
      </c>
      <c r="G2731" s="236" t="str">
        <f>VLOOKUP(Table8[[#This Row],[Document ID]],Table1[],10,FALSE)</f>
        <v>Active</v>
      </c>
      <c r="H2731" s="43" t="s">
        <v>2343</v>
      </c>
      <c r="I2731" s="43" t="s">
        <v>2344</v>
      </c>
      <c r="J2731" s="44" t="s">
        <v>2405</v>
      </c>
      <c r="K2731" s="44" t="s">
        <v>4809</v>
      </c>
      <c r="L2731" s="44" t="s">
        <v>2347</v>
      </c>
      <c r="M2731" s="43">
        <v>31</v>
      </c>
      <c r="N2731" s="113" t="s">
        <v>1113</v>
      </c>
      <c r="O2731" s="113"/>
      <c r="P2731" s="113"/>
      <c r="Q2731" s="113"/>
      <c r="R2731" s="113"/>
      <c r="S2731" s="113"/>
      <c r="T2731" s="113"/>
      <c r="U2731" s="113"/>
      <c r="V2731" s="113"/>
      <c r="W2731" s="113"/>
      <c r="X2731" s="113"/>
      <c r="Y2731" s="113"/>
      <c r="Z2731" s="113"/>
      <c r="AA2731" s="113"/>
      <c r="AB2731" s="113"/>
      <c r="AC2731" s="113"/>
      <c r="AD2731" s="113"/>
      <c r="AE2731" s="113"/>
      <c r="AF2731" s="113"/>
      <c r="AG2731" s="113"/>
      <c r="AH2731" s="113"/>
      <c r="AI2731" s="113"/>
      <c r="AJ2731" s="113"/>
      <c r="AK2731" s="113"/>
      <c r="AL2731" s="113" t="s">
        <v>1113</v>
      </c>
      <c r="AM2731" s="113"/>
      <c r="AN2731" s="113"/>
      <c r="AO2731" s="43" t="s">
        <v>2348</v>
      </c>
      <c r="AP2731" s="43"/>
      <c r="AQ2731" s="236" t="str">
        <f>VLOOKUP(Table8[[#This Row],[Instrument]],Def_Targets!$D$73:$E$159,2,FALSE)</f>
        <v>S_PTIntegration</v>
      </c>
      <c r="AR2731" s="233" t="str">
        <f>VLOOKUP(Table8[[#This Row],[Country Code]],Table29[],3,FALSE)</f>
        <v>Annex I</v>
      </c>
      <c r="AS2731" s="233" t="str">
        <f>VLOOKUP(Table8[[#This Row],[Country Code]],Table29[],4,FALSE)</f>
        <v>Northern America</v>
      </c>
      <c r="AT2731" s="233" t="str">
        <f>VLOOKUP(Table8[[#This Row],[Country Code]],Table29[],5,FALSE)</f>
        <v>High-income</v>
      </c>
      <c r="AU2731" s="233" t="str">
        <f>VLOOKUP(Table8[[#This Row],[Country Code]],Table29[],6,FALSE)</f>
        <v>G20</v>
      </c>
      <c r="AV2731" s="233" t="str">
        <f>VLOOKUP(Table8[[#This Row],[Country Code]],Table29[],7,FALSE)</f>
        <v>G7</v>
      </c>
      <c r="AW2731" s="233" t="str">
        <f>VLOOKUP(Table8[[#This Row],[Country Code]],Table29[],8,FALSE)</f>
        <v>OECD</v>
      </c>
      <c r="AX2731" s="233" t="str">
        <f>VLOOKUP(Table8[[#This Row],[Country Code]],Table29[],9,FALSE)</f>
        <v>no</v>
      </c>
      <c r="AY2731" s="233" t="str">
        <f>VLOOKUP(Table8[[#This Row],[Country Code]],Table29[],10,FALSE)</f>
        <v>no</v>
      </c>
      <c r="AZ2731" s="235">
        <f>VLOOKUP(Table8[[#This Row],[Country Code]],Table29[],23,FALSE)</f>
        <v>5960.8043799938996</v>
      </c>
      <c r="BA2731" s="235">
        <f>VLOOKUP(Table8[[#This Row],[Country Code]],Table29[],24,FALSE)</f>
        <v>1735.9036371632039</v>
      </c>
      <c r="BB2731" s="320"/>
      <c r="BC2731" s="320"/>
    </row>
    <row r="2732" spans="1:55" ht="30" hidden="1" x14ac:dyDescent="0.25">
      <c r="A2732" s="386">
        <v>26793</v>
      </c>
      <c r="B2732" s="233" t="str">
        <f>VLOOKUP(Table8[[#This Row],[Document ID]],Table1[],2,FALSE)</f>
        <v>USA</v>
      </c>
      <c r="C2732" s="233" t="str">
        <f>VLOOKUP(Table8[[#This Row],[Document ID]],Table1[],3,FALSE)</f>
        <v>United States of America</v>
      </c>
      <c r="D2732" s="243" t="str">
        <f>VLOOKUP(Table8[[#This Row],[Document ID]],Table1[],5,FALSE)</f>
        <v>LTS</v>
      </c>
      <c r="E2732" s="233" t="str">
        <f>VLOOKUP(Table8[[#This Row],[Document ID]],Table1[],7,FALSE)</f>
        <v>LTS</v>
      </c>
      <c r="F2732" s="233" t="str">
        <f>VLOOKUP(Table8[[#This Row],[Document ID]],Table1[],8,FALSE)</f>
        <v>LTS 1.1</v>
      </c>
      <c r="G2732" s="233" t="str">
        <f>VLOOKUP(Table8[[#This Row],[Document ID]],Table1[],10,FALSE)</f>
        <v>Active</v>
      </c>
      <c r="H2732" s="43" t="s">
        <v>2358</v>
      </c>
      <c r="I2732" s="43" t="s">
        <v>2359</v>
      </c>
      <c r="J2732" s="44" t="s">
        <v>2360</v>
      </c>
      <c r="K2732" s="44" t="s">
        <v>4810</v>
      </c>
      <c r="L2732" s="44" t="s">
        <v>2333</v>
      </c>
      <c r="M2732" s="43">
        <v>31</v>
      </c>
      <c r="N2732" s="113"/>
      <c r="O2732" s="113"/>
      <c r="P2732" s="113"/>
      <c r="Q2732" s="113"/>
      <c r="R2732" s="113"/>
      <c r="S2732" s="113"/>
      <c r="T2732" s="113"/>
      <c r="U2732" s="113"/>
      <c r="V2732" s="113"/>
      <c r="W2732" s="113"/>
      <c r="X2732" s="113"/>
      <c r="Y2732" s="113"/>
      <c r="Z2732" s="113" t="s">
        <v>1113</v>
      </c>
      <c r="AA2732" s="113"/>
      <c r="AB2732" s="113"/>
      <c r="AC2732" s="113"/>
      <c r="AD2732" s="113"/>
      <c r="AE2732" s="113"/>
      <c r="AF2732" s="113"/>
      <c r="AG2732" s="113"/>
      <c r="AH2732" s="113"/>
      <c r="AI2732" s="113"/>
      <c r="AJ2732" s="113"/>
      <c r="AK2732" s="113" t="s">
        <v>1113</v>
      </c>
      <c r="AL2732" s="113"/>
      <c r="AM2732" s="113"/>
      <c r="AN2732" s="113"/>
      <c r="AO2732" s="44" t="s">
        <v>2334</v>
      </c>
      <c r="AP2732" s="43"/>
      <c r="AQ2732" s="236" t="str">
        <f>VLOOKUP(Table8[[#This Row],[Instrument]],Def_Targets!$D$73:$E$159,2,FALSE)</f>
        <v>I_Emobility</v>
      </c>
      <c r="AR2732" s="233" t="str">
        <f>VLOOKUP(Table8[[#This Row],[Country Code]],Table29[],3,FALSE)</f>
        <v>Annex I</v>
      </c>
      <c r="AS2732" s="233" t="str">
        <f>VLOOKUP(Table8[[#This Row],[Country Code]],Table29[],4,FALSE)</f>
        <v>Northern America</v>
      </c>
      <c r="AT2732" s="233" t="str">
        <f>VLOOKUP(Table8[[#This Row],[Country Code]],Table29[],5,FALSE)</f>
        <v>High-income</v>
      </c>
      <c r="AU2732" s="233" t="str">
        <f>VLOOKUP(Table8[[#This Row],[Country Code]],Table29[],6,FALSE)</f>
        <v>G20</v>
      </c>
      <c r="AV2732" s="233" t="str">
        <f>VLOOKUP(Table8[[#This Row],[Country Code]],Table29[],7,FALSE)</f>
        <v>G7</v>
      </c>
      <c r="AW2732" s="233" t="str">
        <f>VLOOKUP(Table8[[#This Row],[Country Code]],Table29[],8,FALSE)</f>
        <v>OECD</v>
      </c>
      <c r="AX2732" s="233" t="str">
        <f>VLOOKUP(Table8[[#This Row],[Country Code]],Table29[],9,FALSE)</f>
        <v>no</v>
      </c>
      <c r="AY2732" s="233" t="str">
        <f>VLOOKUP(Table8[[#This Row],[Country Code]],Table29[],10,FALSE)</f>
        <v>no</v>
      </c>
      <c r="AZ2732" s="235">
        <f>VLOOKUP(Table8[[#This Row],[Country Code]],Table29[],23,FALSE)</f>
        <v>5960.8043799938996</v>
      </c>
      <c r="BA2732" s="235">
        <f>VLOOKUP(Table8[[#This Row],[Country Code]],Table29[],24,FALSE)</f>
        <v>1735.9036371632039</v>
      </c>
      <c r="BB2732" s="320"/>
      <c r="BC2732" s="320"/>
    </row>
    <row r="2733" spans="1:55" hidden="1" x14ac:dyDescent="0.25">
      <c r="A2733" s="386">
        <v>26793</v>
      </c>
      <c r="B2733" s="233" t="str">
        <f>VLOOKUP(Table8[[#This Row],[Document ID]],Table1[],2,FALSE)</f>
        <v>USA</v>
      </c>
      <c r="C2733" s="233" t="str">
        <f>VLOOKUP(Table8[[#This Row],[Document ID]],Table1[],3,FALSE)</f>
        <v>United States of America</v>
      </c>
      <c r="D2733" s="243" t="str">
        <f>VLOOKUP(Table8[[#This Row],[Document ID]],Table1[],5,FALSE)</f>
        <v>LTS</v>
      </c>
      <c r="E2733" s="233" t="str">
        <f>VLOOKUP(Table8[[#This Row],[Document ID]],Table1[],7,FALSE)</f>
        <v>LTS</v>
      </c>
      <c r="F2733" s="233" t="str">
        <f>VLOOKUP(Table8[[#This Row],[Document ID]],Table1[],8,FALSE)</f>
        <v>LTS 1.1</v>
      </c>
      <c r="G2733" s="233" t="str">
        <f>VLOOKUP(Table8[[#This Row],[Document ID]],Table1[],10,FALSE)</f>
        <v>Active</v>
      </c>
      <c r="H2733" s="43" t="s">
        <v>2358</v>
      </c>
      <c r="I2733" s="43" t="s">
        <v>2359</v>
      </c>
      <c r="J2733" s="44" t="s">
        <v>2383</v>
      </c>
      <c r="K2733" s="44" t="s">
        <v>4811</v>
      </c>
      <c r="L2733" s="44" t="s">
        <v>2333</v>
      </c>
      <c r="M2733" s="43">
        <v>31</v>
      </c>
      <c r="N2733" s="113"/>
      <c r="O2733" s="113"/>
      <c r="P2733" s="113"/>
      <c r="Q2733" s="113"/>
      <c r="R2733" s="113"/>
      <c r="S2733" s="113"/>
      <c r="T2733" s="113"/>
      <c r="U2733" s="113"/>
      <c r="V2733" s="113"/>
      <c r="W2733" s="113"/>
      <c r="X2733" s="113"/>
      <c r="Y2733" s="113"/>
      <c r="Z2733" s="113"/>
      <c r="AA2733" s="113"/>
      <c r="AB2733" s="113"/>
      <c r="AC2733" s="113"/>
      <c r="AD2733" s="113"/>
      <c r="AE2733" s="113"/>
      <c r="AF2733" s="113"/>
      <c r="AG2733" s="113"/>
      <c r="AH2733" s="113"/>
      <c r="AI2733" s="113"/>
      <c r="AJ2733" s="113"/>
      <c r="AK2733" s="113"/>
      <c r="AL2733" s="113"/>
      <c r="AM2733" s="113"/>
      <c r="AN2733" s="113"/>
      <c r="AO2733" s="44" t="s">
        <v>2334</v>
      </c>
      <c r="AP2733" s="43"/>
      <c r="AQ2733" s="236" t="str">
        <f>VLOOKUP(Table8[[#This Row],[Instrument]],Def_Targets!$D$73:$E$159,2,FALSE)</f>
        <v>I_Emobilitycharging</v>
      </c>
      <c r="AR2733" s="233" t="str">
        <f>VLOOKUP(Table8[[#This Row],[Country Code]],Table29[],3,FALSE)</f>
        <v>Annex I</v>
      </c>
      <c r="AS2733" s="233" t="str">
        <f>VLOOKUP(Table8[[#This Row],[Country Code]],Table29[],4,FALSE)</f>
        <v>Northern America</v>
      </c>
      <c r="AT2733" s="233" t="str">
        <f>VLOOKUP(Table8[[#This Row],[Country Code]],Table29[],5,FALSE)</f>
        <v>High-income</v>
      </c>
      <c r="AU2733" s="233" t="str">
        <f>VLOOKUP(Table8[[#This Row],[Country Code]],Table29[],6,FALSE)</f>
        <v>G20</v>
      </c>
      <c r="AV2733" s="233" t="str">
        <f>VLOOKUP(Table8[[#This Row],[Country Code]],Table29[],7,FALSE)</f>
        <v>G7</v>
      </c>
      <c r="AW2733" s="233" t="str">
        <f>VLOOKUP(Table8[[#This Row],[Country Code]],Table29[],8,FALSE)</f>
        <v>OECD</v>
      </c>
      <c r="AX2733" s="233" t="str">
        <f>VLOOKUP(Table8[[#This Row],[Country Code]],Table29[],9,FALSE)</f>
        <v>no</v>
      </c>
      <c r="AY2733" s="233" t="str">
        <f>VLOOKUP(Table8[[#This Row],[Country Code]],Table29[],10,FALSE)</f>
        <v>no</v>
      </c>
      <c r="AZ2733" s="235">
        <f>VLOOKUP(Table8[[#This Row],[Country Code]],Table29[],23,FALSE)</f>
        <v>5960.8043799938996</v>
      </c>
      <c r="BA2733" s="235">
        <f>VLOOKUP(Table8[[#This Row],[Country Code]],Table29[],24,FALSE)</f>
        <v>1735.9036371632039</v>
      </c>
      <c r="BB2733" s="320"/>
      <c r="BC2733" s="320"/>
    </row>
    <row r="2734" spans="1:55" ht="60" hidden="1" x14ac:dyDescent="0.25">
      <c r="A2734" s="386">
        <v>26793</v>
      </c>
      <c r="B2734" s="233" t="str">
        <f>VLOOKUP(Table8[[#This Row],[Document ID]],Table1[],2,FALSE)</f>
        <v>USA</v>
      </c>
      <c r="C2734" s="233" t="str">
        <f>VLOOKUP(Table8[[#This Row],[Document ID]],Table1[],3,FALSE)</f>
        <v>United States of America</v>
      </c>
      <c r="D2734" s="243" t="str">
        <f>VLOOKUP(Table8[[#This Row],[Document ID]],Table1[],5,FALSE)</f>
        <v>LTS</v>
      </c>
      <c r="E2734" s="233" t="str">
        <f>VLOOKUP(Table8[[#This Row],[Document ID]],Table1[],7,FALSE)</f>
        <v>LTS</v>
      </c>
      <c r="F2734" s="233" t="str">
        <f>VLOOKUP(Table8[[#This Row],[Document ID]],Table1[],8,FALSE)</f>
        <v>LTS 1.1</v>
      </c>
      <c r="G2734" s="233" t="str">
        <f>VLOOKUP(Table8[[#This Row],[Document ID]],Table1[],10,FALSE)</f>
        <v>Active</v>
      </c>
      <c r="H2734" s="43" t="s">
        <v>2343</v>
      </c>
      <c r="I2734" s="43" t="s">
        <v>2429</v>
      </c>
      <c r="J2734" s="44" t="s">
        <v>2472</v>
      </c>
      <c r="K2734" s="44" t="s">
        <v>4812</v>
      </c>
      <c r="L2734" s="44" t="s">
        <v>2333</v>
      </c>
      <c r="M2734" s="43">
        <v>31</v>
      </c>
      <c r="N2734" s="113"/>
      <c r="O2734" s="113"/>
      <c r="P2734" s="113"/>
      <c r="Q2734" s="113"/>
      <c r="R2734" s="113"/>
      <c r="S2734" s="113"/>
      <c r="T2734" s="113"/>
      <c r="U2734" s="113"/>
      <c r="V2734" s="113"/>
      <c r="W2734" s="113"/>
      <c r="X2734" s="113" t="s">
        <v>1113</v>
      </c>
      <c r="Y2734" s="113"/>
      <c r="Z2734" s="113"/>
      <c r="AA2734" s="113"/>
      <c r="AB2734" s="113"/>
      <c r="AC2734" s="113"/>
      <c r="AD2734" s="113" t="s">
        <v>1113</v>
      </c>
      <c r="AE2734" s="113"/>
      <c r="AF2734" s="113"/>
      <c r="AG2734" s="113"/>
      <c r="AH2734" s="113" t="s">
        <v>1113</v>
      </c>
      <c r="AI2734" s="113"/>
      <c r="AJ2734" s="113"/>
      <c r="AK2734" s="113" t="s">
        <v>1113</v>
      </c>
      <c r="AL2734" s="113"/>
      <c r="AM2734" s="113"/>
      <c r="AN2734" s="113"/>
      <c r="AO2734" s="43" t="s">
        <v>2477</v>
      </c>
      <c r="AP2734" s="43"/>
      <c r="AQ2734" s="236" t="str">
        <f>VLOOKUP(Table8[[#This Row],[Instrument]],Def_Targets!$D$73:$E$159,2,FALSE)</f>
        <v>I_Other</v>
      </c>
      <c r="AR2734" s="233" t="str">
        <f>VLOOKUP(Table8[[#This Row],[Country Code]],Table29[],3,FALSE)</f>
        <v>Annex I</v>
      </c>
      <c r="AS2734" s="233" t="str">
        <f>VLOOKUP(Table8[[#This Row],[Country Code]],Table29[],4,FALSE)</f>
        <v>Northern America</v>
      </c>
      <c r="AT2734" s="233" t="str">
        <f>VLOOKUP(Table8[[#This Row],[Country Code]],Table29[],5,FALSE)</f>
        <v>High-income</v>
      </c>
      <c r="AU2734" s="233" t="str">
        <f>VLOOKUP(Table8[[#This Row],[Country Code]],Table29[],6,FALSE)</f>
        <v>G20</v>
      </c>
      <c r="AV2734" s="233" t="str">
        <f>VLOOKUP(Table8[[#This Row],[Country Code]],Table29[],7,FALSE)</f>
        <v>G7</v>
      </c>
      <c r="AW2734" s="233" t="str">
        <f>VLOOKUP(Table8[[#This Row],[Country Code]],Table29[],8,FALSE)</f>
        <v>OECD</v>
      </c>
      <c r="AX2734" s="233" t="str">
        <f>VLOOKUP(Table8[[#This Row],[Country Code]],Table29[],9,FALSE)</f>
        <v>no</v>
      </c>
      <c r="AY2734" s="233" t="str">
        <f>VLOOKUP(Table8[[#This Row],[Country Code]],Table29[],10,FALSE)</f>
        <v>no</v>
      </c>
      <c r="AZ2734" s="235">
        <f>VLOOKUP(Table8[[#This Row],[Country Code]],Table29[],23,FALSE)</f>
        <v>5960.8043799938996</v>
      </c>
      <c r="BA2734" s="235">
        <f>VLOOKUP(Table8[[#This Row],[Country Code]],Table29[],24,FALSE)</f>
        <v>1735.9036371632039</v>
      </c>
      <c r="BB2734" s="320"/>
      <c r="BC2734" s="320"/>
    </row>
    <row r="2735" spans="1:55" ht="30" hidden="1" x14ac:dyDescent="0.25">
      <c r="A2735" s="386">
        <v>26821</v>
      </c>
      <c r="B2735" s="233" t="str">
        <f>VLOOKUP(Table8[[#This Row],[Document ID]],Table1[],2,FALSE)</f>
        <v>URY</v>
      </c>
      <c r="C2735" s="233" t="str">
        <f>VLOOKUP(Table8[[#This Row],[Document ID]],Table1[],3,FALSE)</f>
        <v>Uruguay</v>
      </c>
      <c r="D2735" s="243" t="str">
        <f>VLOOKUP(Table8[[#This Row],[Document ID]],Table1[],5,FALSE)</f>
        <v>LTS</v>
      </c>
      <c r="E2735" s="233" t="str">
        <f>VLOOKUP(Table8[[#This Row],[Document ID]],Table1[],7,FALSE)</f>
        <v>LTS</v>
      </c>
      <c r="F2735" s="233" t="str">
        <f>VLOOKUP(Table8[[#This Row],[Document ID]],Table1[],8,FALSE)</f>
        <v>LTS 1.0</v>
      </c>
      <c r="G2735" s="233" t="str">
        <f>VLOOKUP(Table8[[#This Row],[Document ID]],Table1[],10,FALSE)</f>
        <v>Active</v>
      </c>
      <c r="H2735" s="44" t="s">
        <v>2329</v>
      </c>
      <c r="I2735" s="44" t="s">
        <v>2330</v>
      </c>
      <c r="J2735" s="44" t="s">
        <v>2391</v>
      </c>
      <c r="K2735" s="44" t="s">
        <v>4813</v>
      </c>
      <c r="L2735" s="44" t="s">
        <v>2333</v>
      </c>
      <c r="M2735" s="43">
        <v>40</v>
      </c>
      <c r="N2735" s="113"/>
      <c r="O2735" s="113"/>
      <c r="P2735" s="113"/>
      <c r="Q2735" s="113"/>
      <c r="R2735" s="113"/>
      <c r="S2735" s="113"/>
      <c r="T2735" s="113"/>
      <c r="U2735" s="113"/>
      <c r="V2735" s="113"/>
      <c r="W2735" s="113"/>
      <c r="X2735" s="113" t="s">
        <v>1113</v>
      </c>
      <c r="Y2735" s="113" t="s">
        <v>1113</v>
      </c>
      <c r="Z2735" s="113"/>
      <c r="AA2735" s="113"/>
      <c r="AB2735" s="113"/>
      <c r="AC2735" s="113"/>
      <c r="AD2735" s="113"/>
      <c r="AE2735" s="113"/>
      <c r="AF2735" s="113"/>
      <c r="AG2735" s="113"/>
      <c r="AH2735" s="113"/>
      <c r="AI2735" s="113"/>
      <c r="AJ2735" s="113"/>
      <c r="AK2735" s="113" t="s">
        <v>1113</v>
      </c>
      <c r="AL2735" s="113"/>
      <c r="AM2735" s="113"/>
      <c r="AN2735" s="113" t="s">
        <v>1113</v>
      </c>
      <c r="AO2735" s="43" t="s">
        <v>2477</v>
      </c>
      <c r="AP2735" s="43"/>
      <c r="AQ2735" s="236" t="str">
        <f>VLOOKUP(Table8[[#This Row],[Instrument]],Def_Targets!$D$73:$E$159,2,FALSE)</f>
        <v>I_Hydrogen</v>
      </c>
      <c r="AR2735" s="233" t="str">
        <f>VLOOKUP(Table8[[#This Row],[Country Code]],Table29[],3,FALSE)</f>
        <v>Non-Annex I</v>
      </c>
      <c r="AS2735" s="233" t="str">
        <f>VLOOKUP(Table8[[#This Row],[Country Code]],Table29[],4,FALSE)</f>
        <v>Latin America and the Caribbean</v>
      </c>
      <c r="AT2735" s="233" t="str">
        <f>VLOOKUP(Table8[[#This Row],[Country Code]],Table29[],5,FALSE)</f>
        <v>High-income</v>
      </c>
      <c r="AU2735" s="233" t="str">
        <f>VLOOKUP(Table8[[#This Row],[Country Code]],Table29[],6,FALSE)</f>
        <v>no</v>
      </c>
      <c r="AV2735" s="233" t="str">
        <f>VLOOKUP(Table8[[#This Row],[Country Code]],Table29[],7,FALSE)</f>
        <v>no</v>
      </c>
      <c r="AW2735" s="233" t="str">
        <f>VLOOKUP(Table8[[#This Row],[Country Code]],Table29[],8,FALSE)</f>
        <v>non-OECD</v>
      </c>
      <c r="AX2735" s="233" t="str">
        <f>VLOOKUP(Table8[[#This Row],[Country Code]],Table29[],9,FALSE)</f>
        <v>no</v>
      </c>
      <c r="AY2735" s="233" t="str">
        <f>VLOOKUP(Table8[[#This Row],[Country Code]],Table29[],10,FALSE)</f>
        <v>no</v>
      </c>
      <c r="AZ2735" s="235">
        <f>VLOOKUP(Table8[[#This Row],[Country Code]],Table29[],23,FALSE)</f>
        <v>41.634111747759</v>
      </c>
      <c r="BA2735" s="235">
        <f>VLOOKUP(Table8[[#This Row],[Country Code]],Table29[],24,FALSE)</f>
        <v>4.0868158944276578</v>
      </c>
      <c r="BB2735" s="320"/>
      <c r="BC2735" s="320"/>
    </row>
    <row r="2736" spans="1:55" ht="30" hidden="1" x14ac:dyDescent="0.25">
      <c r="A2736" s="386">
        <v>26821</v>
      </c>
      <c r="B2736" s="233" t="str">
        <f>VLOOKUP(Table8[[#This Row],[Document ID]],Table1[],2,FALSE)</f>
        <v>URY</v>
      </c>
      <c r="C2736" s="233" t="str">
        <f>VLOOKUP(Table8[[#This Row],[Document ID]],Table1[],3,FALSE)</f>
        <v>Uruguay</v>
      </c>
      <c r="D2736" s="243" t="str">
        <f>VLOOKUP(Table8[[#This Row],[Document ID]],Table1[],5,FALSE)</f>
        <v>LTS</v>
      </c>
      <c r="E2736" s="233" t="str">
        <f>VLOOKUP(Table8[[#This Row],[Document ID]],Table1[],7,FALSE)</f>
        <v>LTS</v>
      </c>
      <c r="F2736" s="233" t="str">
        <f>VLOOKUP(Table8[[#This Row],[Document ID]],Table1[],8,FALSE)</f>
        <v>LTS 1.0</v>
      </c>
      <c r="G2736" s="233" t="str">
        <f>VLOOKUP(Table8[[#This Row],[Document ID]],Table1[],10,FALSE)</f>
        <v>Active</v>
      </c>
      <c r="H2736" s="43" t="s">
        <v>2343</v>
      </c>
      <c r="I2736" s="43" t="s">
        <v>2361</v>
      </c>
      <c r="J2736" s="44" t="s">
        <v>2366</v>
      </c>
      <c r="K2736" s="44" t="s">
        <v>4814</v>
      </c>
      <c r="L2736" s="44" t="s">
        <v>2347</v>
      </c>
      <c r="M2736" s="43">
        <v>41</v>
      </c>
      <c r="N2736" s="113"/>
      <c r="O2736" s="113"/>
      <c r="P2736" s="113" t="s">
        <v>1113</v>
      </c>
      <c r="Q2736" s="113"/>
      <c r="R2736" s="113"/>
      <c r="S2736" s="113"/>
      <c r="T2736" s="113"/>
      <c r="U2736" s="113"/>
      <c r="V2736" s="113"/>
      <c r="W2736" s="113"/>
      <c r="X2736" s="113"/>
      <c r="Y2736" s="113"/>
      <c r="Z2736" s="113"/>
      <c r="AA2736" s="113"/>
      <c r="AB2736" s="113"/>
      <c r="AC2736" s="113"/>
      <c r="AD2736" s="113"/>
      <c r="AE2736" s="113"/>
      <c r="AF2736" s="113"/>
      <c r="AG2736" s="113"/>
      <c r="AH2736" s="113"/>
      <c r="AI2736" s="113"/>
      <c r="AJ2736" s="113"/>
      <c r="AK2736" s="113" t="s">
        <v>1113</v>
      </c>
      <c r="AL2736" s="113"/>
      <c r="AM2736" s="113"/>
      <c r="AN2736" s="113"/>
      <c r="AO2736" s="44" t="s">
        <v>2334</v>
      </c>
      <c r="AP2736" s="43"/>
      <c r="AQ2736" s="236" t="str">
        <f>VLOOKUP(Table8[[#This Row],[Instrument]],Def_Targets!$D$73:$E$159,2,FALSE)</f>
        <v>S_Activemobility</v>
      </c>
      <c r="AR2736" s="233" t="str">
        <f>VLOOKUP(Table8[[#This Row],[Country Code]],Table29[],3,FALSE)</f>
        <v>Non-Annex I</v>
      </c>
      <c r="AS2736" s="233" t="str">
        <f>VLOOKUP(Table8[[#This Row],[Country Code]],Table29[],4,FALSE)</f>
        <v>Latin America and the Caribbean</v>
      </c>
      <c r="AT2736" s="233" t="str">
        <f>VLOOKUP(Table8[[#This Row],[Country Code]],Table29[],5,FALSE)</f>
        <v>High-income</v>
      </c>
      <c r="AU2736" s="233" t="str">
        <f>VLOOKUP(Table8[[#This Row],[Country Code]],Table29[],6,FALSE)</f>
        <v>no</v>
      </c>
      <c r="AV2736" s="233" t="str">
        <f>VLOOKUP(Table8[[#This Row],[Country Code]],Table29[],7,FALSE)</f>
        <v>no</v>
      </c>
      <c r="AW2736" s="233" t="str">
        <f>VLOOKUP(Table8[[#This Row],[Country Code]],Table29[],8,FALSE)</f>
        <v>non-OECD</v>
      </c>
      <c r="AX2736" s="233" t="str">
        <f>VLOOKUP(Table8[[#This Row],[Country Code]],Table29[],9,FALSE)</f>
        <v>no</v>
      </c>
      <c r="AY2736" s="233" t="str">
        <f>VLOOKUP(Table8[[#This Row],[Country Code]],Table29[],10,FALSE)</f>
        <v>no</v>
      </c>
      <c r="AZ2736" s="235">
        <f>VLOOKUP(Table8[[#This Row],[Country Code]],Table29[],23,FALSE)</f>
        <v>41.634111747759</v>
      </c>
      <c r="BA2736" s="235">
        <f>VLOOKUP(Table8[[#This Row],[Country Code]],Table29[],24,FALSE)</f>
        <v>4.0868158944276578</v>
      </c>
      <c r="BB2736" s="320"/>
      <c r="BC2736" s="320"/>
    </row>
    <row r="2737" spans="1:55" ht="30" hidden="1" x14ac:dyDescent="0.25">
      <c r="A2737" s="386">
        <v>26821</v>
      </c>
      <c r="B2737" s="233" t="str">
        <f>VLOOKUP(Table8[[#This Row],[Document ID]],Table1[],2,FALSE)</f>
        <v>URY</v>
      </c>
      <c r="C2737" s="233" t="str">
        <f>VLOOKUP(Table8[[#This Row],[Document ID]],Table1[],3,FALSE)</f>
        <v>Uruguay</v>
      </c>
      <c r="D2737" s="243" t="str">
        <f>VLOOKUP(Table8[[#This Row],[Document ID]],Table1[],5,FALSE)</f>
        <v>LTS</v>
      </c>
      <c r="E2737" s="233" t="str">
        <f>VLOOKUP(Table8[[#This Row],[Document ID]],Table1[],7,FALSE)</f>
        <v>LTS</v>
      </c>
      <c r="F2737" s="233" t="str">
        <f>VLOOKUP(Table8[[#This Row],[Document ID]],Table1[],8,FALSE)</f>
        <v>LTS 1.0</v>
      </c>
      <c r="G2737" s="233" t="str">
        <f>VLOOKUP(Table8[[#This Row],[Document ID]],Table1[],10,FALSE)</f>
        <v>Active</v>
      </c>
      <c r="H2737" s="43" t="s">
        <v>2343</v>
      </c>
      <c r="I2737" s="43" t="s">
        <v>2344</v>
      </c>
      <c r="J2737" s="44" t="s">
        <v>2345</v>
      </c>
      <c r="K2737" s="44" t="s">
        <v>4814</v>
      </c>
      <c r="L2737" s="44" t="s">
        <v>2347</v>
      </c>
      <c r="M2737" s="43">
        <v>41</v>
      </c>
      <c r="N2737" s="113" t="s">
        <v>1113</v>
      </c>
      <c r="O2737" s="113"/>
      <c r="P2737" s="113"/>
      <c r="Q2737" s="113"/>
      <c r="R2737" s="113"/>
      <c r="S2737" s="113"/>
      <c r="T2737" s="113"/>
      <c r="U2737" s="113"/>
      <c r="V2737" s="113"/>
      <c r="W2737" s="113"/>
      <c r="X2737" s="113"/>
      <c r="Y2737" s="113"/>
      <c r="Z2737" s="113"/>
      <c r="AA2737" s="113"/>
      <c r="AB2737" s="113"/>
      <c r="AC2737" s="113"/>
      <c r="AD2737" s="113"/>
      <c r="AE2737" s="113"/>
      <c r="AF2737" s="113"/>
      <c r="AG2737" s="113"/>
      <c r="AH2737" s="113"/>
      <c r="AI2737" s="113"/>
      <c r="AJ2737" s="113"/>
      <c r="AK2737" s="113" t="s">
        <v>1113</v>
      </c>
      <c r="AL2737" s="113"/>
      <c r="AM2737" s="113"/>
      <c r="AN2737" s="113"/>
      <c r="AO2737" s="43" t="s">
        <v>2348</v>
      </c>
      <c r="AP2737" s="43"/>
      <c r="AQ2737" s="236" t="str">
        <f>VLOOKUP(Table8[[#This Row],[Instrument]],Def_Targets!$D$73:$E$159,2,FALSE)</f>
        <v>S_PublicTransport</v>
      </c>
      <c r="AR2737" s="233" t="str">
        <f>VLOOKUP(Table8[[#This Row],[Country Code]],Table29[],3,FALSE)</f>
        <v>Non-Annex I</v>
      </c>
      <c r="AS2737" s="233" t="str">
        <f>VLOOKUP(Table8[[#This Row],[Country Code]],Table29[],4,FALSE)</f>
        <v>Latin America and the Caribbean</v>
      </c>
      <c r="AT2737" s="233" t="str">
        <f>VLOOKUP(Table8[[#This Row],[Country Code]],Table29[],5,FALSE)</f>
        <v>High-income</v>
      </c>
      <c r="AU2737" s="233" t="str">
        <f>VLOOKUP(Table8[[#This Row],[Country Code]],Table29[],6,FALSE)</f>
        <v>no</v>
      </c>
      <c r="AV2737" s="233" t="str">
        <f>VLOOKUP(Table8[[#This Row],[Country Code]],Table29[],7,FALSE)</f>
        <v>no</v>
      </c>
      <c r="AW2737" s="233" t="str">
        <f>VLOOKUP(Table8[[#This Row],[Country Code]],Table29[],8,FALSE)</f>
        <v>non-OECD</v>
      </c>
      <c r="AX2737" s="233" t="str">
        <f>VLOOKUP(Table8[[#This Row],[Country Code]],Table29[],9,FALSE)</f>
        <v>no</v>
      </c>
      <c r="AY2737" s="233" t="str">
        <f>VLOOKUP(Table8[[#This Row],[Country Code]],Table29[],10,FALSE)</f>
        <v>no</v>
      </c>
      <c r="AZ2737" s="235">
        <f>VLOOKUP(Table8[[#This Row],[Country Code]],Table29[],23,FALSE)</f>
        <v>41.634111747759</v>
      </c>
      <c r="BA2737" s="235">
        <f>VLOOKUP(Table8[[#This Row],[Country Code]],Table29[],24,FALSE)</f>
        <v>4.0868158944276578</v>
      </c>
      <c r="BB2737" s="320"/>
      <c r="BC2737" s="320"/>
    </row>
    <row r="2738" spans="1:55" ht="30" hidden="1" x14ac:dyDescent="0.25">
      <c r="A2738" s="386">
        <v>26821</v>
      </c>
      <c r="B2738" s="233" t="str">
        <f>VLOOKUP(Table8[[#This Row],[Document ID]],Table1[],2,FALSE)</f>
        <v>URY</v>
      </c>
      <c r="C2738" s="233" t="str">
        <f>VLOOKUP(Table8[[#This Row],[Document ID]],Table1[],3,FALSE)</f>
        <v>Uruguay</v>
      </c>
      <c r="D2738" s="243" t="str">
        <f>VLOOKUP(Table8[[#This Row],[Document ID]],Table1[],5,FALSE)</f>
        <v>LTS</v>
      </c>
      <c r="E2738" s="233" t="str">
        <f>VLOOKUP(Table8[[#This Row],[Document ID]],Table1[],7,FALSE)</f>
        <v>LTS</v>
      </c>
      <c r="F2738" s="233" t="str">
        <f>VLOOKUP(Table8[[#This Row],[Document ID]],Table1[],8,FALSE)</f>
        <v>LTS 1.0</v>
      </c>
      <c r="G2738" s="233" t="str">
        <f>VLOOKUP(Table8[[#This Row],[Document ID]],Table1[],10,FALSE)</f>
        <v>Active</v>
      </c>
      <c r="H2738" s="43" t="s">
        <v>2358</v>
      </c>
      <c r="I2738" s="43" t="s">
        <v>2359</v>
      </c>
      <c r="J2738" s="44" t="s">
        <v>2360</v>
      </c>
      <c r="K2738" s="44" t="s">
        <v>4814</v>
      </c>
      <c r="L2738" s="44" t="s">
        <v>2333</v>
      </c>
      <c r="M2738" s="43">
        <v>41</v>
      </c>
      <c r="N2738" s="113" t="s">
        <v>1113</v>
      </c>
      <c r="O2738" s="113"/>
      <c r="P2738" s="113"/>
      <c r="Q2738" s="113"/>
      <c r="R2738" s="113"/>
      <c r="S2738" s="113"/>
      <c r="T2738" s="113"/>
      <c r="U2738" s="113"/>
      <c r="V2738" s="113"/>
      <c r="W2738" s="113"/>
      <c r="X2738" s="113"/>
      <c r="Y2738" s="113"/>
      <c r="Z2738" s="113"/>
      <c r="AA2738" s="113"/>
      <c r="AB2738" s="113"/>
      <c r="AC2738" s="113"/>
      <c r="AD2738" s="113"/>
      <c r="AE2738" s="113"/>
      <c r="AF2738" s="113"/>
      <c r="AG2738" s="113"/>
      <c r="AH2738" s="113"/>
      <c r="AI2738" s="113"/>
      <c r="AJ2738" s="113"/>
      <c r="AK2738" s="113" t="s">
        <v>1113</v>
      </c>
      <c r="AL2738" s="113"/>
      <c r="AM2738" s="113"/>
      <c r="AN2738" s="113"/>
      <c r="AO2738" s="44" t="s">
        <v>2334</v>
      </c>
      <c r="AP2738" s="43"/>
      <c r="AQ2738" s="236" t="str">
        <f>VLOOKUP(Table8[[#This Row],[Instrument]],Def_Targets!$D$73:$E$159,2,FALSE)</f>
        <v>I_Emobility</v>
      </c>
      <c r="AR2738" s="233" t="str">
        <f>VLOOKUP(Table8[[#This Row],[Country Code]],Table29[],3,FALSE)</f>
        <v>Non-Annex I</v>
      </c>
      <c r="AS2738" s="233" t="str">
        <f>VLOOKUP(Table8[[#This Row],[Country Code]],Table29[],4,FALSE)</f>
        <v>Latin America and the Caribbean</v>
      </c>
      <c r="AT2738" s="233" t="str">
        <f>VLOOKUP(Table8[[#This Row],[Country Code]],Table29[],5,FALSE)</f>
        <v>High-income</v>
      </c>
      <c r="AU2738" s="233" t="str">
        <f>VLOOKUP(Table8[[#This Row],[Country Code]],Table29[],6,FALSE)</f>
        <v>no</v>
      </c>
      <c r="AV2738" s="233" t="str">
        <f>VLOOKUP(Table8[[#This Row],[Country Code]],Table29[],7,FALSE)</f>
        <v>no</v>
      </c>
      <c r="AW2738" s="233" t="str">
        <f>VLOOKUP(Table8[[#This Row],[Country Code]],Table29[],8,FALSE)</f>
        <v>non-OECD</v>
      </c>
      <c r="AX2738" s="233" t="str">
        <f>VLOOKUP(Table8[[#This Row],[Country Code]],Table29[],9,FALSE)</f>
        <v>no</v>
      </c>
      <c r="AY2738" s="233" t="str">
        <f>VLOOKUP(Table8[[#This Row],[Country Code]],Table29[],10,FALSE)</f>
        <v>no</v>
      </c>
      <c r="AZ2738" s="235">
        <f>VLOOKUP(Table8[[#This Row],[Country Code]],Table29[],23,FALSE)</f>
        <v>41.634111747759</v>
      </c>
      <c r="BA2738" s="235">
        <f>VLOOKUP(Table8[[#This Row],[Country Code]],Table29[],24,FALSE)</f>
        <v>4.0868158944276578</v>
      </c>
      <c r="BB2738" s="320"/>
      <c r="BC2738" s="320"/>
    </row>
    <row r="2739" spans="1:55" ht="30" hidden="1" x14ac:dyDescent="0.25">
      <c r="A2739" s="386">
        <v>26821</v>
      </c>
      <c r="B2739" s="233" t="str">
        <f>VLOOKUP(Table8[[#This Row],[Document ID]],Table1[],2,FALSE)</f>
        <v>URY</v>
      </c>
      <c r="C2739" s="233" t="str">
        <f>VLOOKUP(Table8[[#This Row],[Document ID]],Table1[],3,FALSE)</f>
        <v>Uruguay</v>
      </c>
      <c r="D2739" s="243" t="str">
        <f>VLOOKUP(Table8[[#This Row],[Document ID]],Table1[],5,FALSE)</f>
        <v>LTS</v>
      </c>
      <c r="E2739" s="233" t="str">
        <f>VLOOKUP(Table8[[#This Row],[Document ID]],Table1[],7,FALSE)</f>
        <v>LTS</v>
      </c>
      <c r="F2739" s="233" t="str">
        <f>VLOOKUP(Table8[[#This Row],[Document ID]],Table1[],8,FALSE)</f>
        <v>LTS 1.0</v>
      </c>
      <c r="G2739" s="233" t="str">
        <f>VLOOKUP(Table8[[#This Row],[Document ID]],Table1[],10,FALSE)</f>
        <v>Active</v>
      </c>
      <c r="H2739" s="44" t="s">
        <v>2329</v>
      </c>
      <c r="I2739" s="44" t="s">
        <v>2330</v>
      </c>
      <c r="J2739" s="44" t="s">
        <v>2391</v>
      </c>
      <c r="K2739" s="44" t="s">
        <v>4815</v>
      </c>
      <c r="L2739" s="44" t="s">
        <v>2333</v>
      </c>
      <c r="M2739" s="43">
        <v>48</v>
      </c>
      <c r="N2739" s="113" t="s">
        <v>1113</v>
      </c>
      <c r="O2739" s="113"/>
      <c r="P2739" s="113"/>
      <c r="Q2739" s="113"/>
      <c r="R2739" s="113"/>
      <c r="S2739" s="113"/>
      <c r="T2739" s="113"/>
      <c r="U2739" s="113"/>
      <c r="V2739" s="113"/>
      <c r="W2739" s="113"/>
      <c r="X2739" s="113"/>
      <c r="Y2739" s="113"/>
      <c r="Z2739" s="113"/>
      <c r="AA2739" s="113"/>
      <c r="AB2739" s="113"/>
      <c r="AC2739" s="113"/>
      <c r="AD2739" s="113"/>
      <c r="AE2739" s="113"/>
      <c r="AF2739" s="113"/>
      <c r="AG2739" s="113"/>
      <c r="AH2739" s="113"/>
      <c r="AI2739" s="113"/>
      <c r="AJ2739" s="113"/>
      <c r="AK2739" s="113" t="s">
        <v>1113</v>
      </c>
      <c r="AL2739" s="113"/>
      <c r="AM2739" s="113"/>
      <c r="AN2739" s="113"/>
      <c r="AO2739" s="44" t="s">
        <v>2334</v>
      </c>
      <c r="AP2739" s="43"/>
      <c r="AQ2739" s="236" t="str">
        <f>VLOOKUP(Table8[[#This Row],[Instrument]],Def_Targets!$D$73:$E$159,2,FALSE)</f>
        <v>I_Hydrogen</v>
      </c>
      <c r="AR2739" s="233" t="str">
        <f>VLOOKUP(Table8[[#This Row],[Country Code]],Table29[],3,FALSE)</f>
        <v>Non-Annex I</v>
      </c>
      <c r="AS2739" s="233" t="str">
        <f>VLOOKUP(Table8[[#This Row],[Country Code]],Table29[],4,FALSE)</f>
        <v>Latin America and the Caribbean</v>
      </c>
      <c r="AT2739" s="233" t="str">
        <f>VLOOKUP(Table8[[#This Row],[Country Code]],Table29[],5,FALSE)</f>
        <v>High-income</v>
      </c>
      <c r="AU2739" s="233" t="str">
        <f>VLOOKUP(Table8[[#This Row],[Country Code]],Table29[],6,FALSE)</f>
        <v>no</v>
      </c>
      <c r="AV2739" s="233" t="str">
        <f>VLOOKUP(Table8[[#This Row],[Country Code]],Table29[],7,FALSE)</f>
        <v>no</v>
      </c>
      <c r="AW2739" s="233" t="str">
        <f>VLOOKUP(Table8[[#This Row],[Country Code]],Table29[],8,FALSE)</f>
        <v>non-OECD</v>
      </c>
      <c r="AX2739" s="233" t="str">
        <f>VLOOKUP(Table8[[#This Row],[Country Code]],Table29[],9,FALSE)</f>
        <v>no</v>
      </c>
      <c r="AY2739" s="233" t="str">
        <f>VLOOKUP(Table8[[#This Row],[Country Code]],Table29[],10,FALSE)</f>
        <v>no</v>
      </c>
      <c r="AZ2739" s="235">
        <f>VLOOKUP(Table8[[#This Row],[Country Code]],Table29[],23,FALSE)</f>
        <v>41.634111747759</v>
      </c>
      <c r="BA2739" s="235">
        <f>VLOOKUP(Table8[[#This Row],[Country Code]],Table29[],24,FALSE)</f>
        <v>4.0868158944276578</v>
      </c>
      <c r="BB2739" s="320"/>
      <c r="BC2739" s="320"/>
    </row>
    <row r="2740" spans="1:55" ht="30" hidden="1" x14ac:dyDescent="0.25">
      <c r="A2740" s="398">
        <v>26821</v>
      </c>
      <c r="B2740" s="233" t="str">
        <f>VLOOKUP(Table8[[#This Row],[Document ID]],Table1[],2,FALSE)</f>
        <v>URY</v>
      </c>
      <c r="C2740" s="233" t="str">
        <f>VLOOKUP(Table8[[#This Row],[Document ID]],Table1[],3,FALSE)</f>
        <v>Uruguay</v>
      </c>
      <c r="D2740" s="243" t="str">
        <f>VLOOKUP(Table8[[#This Row],[Document ID]],Table1[],5,FALSE)</f>
        <v>LTS</v>
      </c>
      <c r="E2740" s="233" t="str">
        <f>VLOOKUP(Table8[[#This Row],[Document ID]],Table1[],7,FALSE)</f>
        <v>LTS</v>
      </c>
      <c r="F2740" s="233" t="str">
        <f>VLOOKUP(Table8[[#This Row],[Document ID]],Table1[],8,FALSE)</f>
        <v>LTS 1.0</v>
      </c>
      <c r="G2740" s="233" t="str">
        <f>VLOOKUP(Table8[[#This Row],[Document ID]],Table1[],10,FALSE)</f>
        <v>Active</v>
      </c>
      <c r="H2740" s="43" t="s">
        <v>2350</v>
      </c>
      <c r="I2740" s="43" t="s">
        <v>2456</v>
      </c>
      <c r="J2740" s="44" t="s">
        <v>2466</v>
      </c>
      <c r="K2740" s="44" t="s">
        <v>4816</v>
      </c>
      <c r="L2740" s="44" t="s">
        <v>2347</v>
      </c>
      <c r="M2740" s="43">
        <v>87</v>
      </c>
      <c r="N2740" s="113"/>
      <c r="O2740" s="113"/>
      <c r="P2740" s="113"/>
      <c r="Q2740" s="113"/>
      <c r="R2740" s="113"/>
      <c r="S2740" s="113"/>
      <c r="T2740" s="113"/>
      <c r="U2740" s="113"/>
      <c r="V2740" s="113"/>
      <c r="W2740" s="113"/>
      <c r="X2740" s="113"/>
      <c r="Y2740" s="113"/>
      <c r="Z2740" s="113" t="s">
        <v>1113</v>
      </c>
      <c r="AA2740" s="113"/>
      <c r="AB2740" s="113"/>
      <c r="AC2740" s="113"/>
      <c r="AD2740" s="113"/>
      <c r="AE2740" s="113"/>
      <c r="AF2740" s="113"/>
      <c r="AG2740" s="113"/>
      <c r="AH2740" s="113"/>
      <c r="AI2740" s="113"/>
      <c r="AJ2740" s="113"/>
      <c r="AK2740" s="113" t="s">
        <v>1113</v>
      </c>
      <c r="AL2740" s="113"/>
      <c r="AM2740" s="113"/>
      <c r="AN2740" s="113"/>
      <c r="AO2740" s="44" t="s">
        <v>2334</v>
      </c>
      <c r="AP2740" s="43"/>
      <c r="AQ2740" s="236" t="str">
        <f>VLOOKUP(Table8[[#This Row],[Instrument]],Def_Targets!$D$73:$E$159,2,FALSE)</f>
        <v>S_Infraexpansion</v>
      </c>
      <c r="AR2740" s="233" t="str">
        <f>VLOOKUP(Table8[[#This Row],[Country Code]],Table29[],3,FALSE)</f>
        <v>Non-Annex I</v>
      </c>
      <c r="AS2740" s="233" t="str">
        <f>VLOOKUP(Table8[[#This Row],[Country Code]],Table29[],4,FALSE)</f>
        <v>Latin America and the Caribbean</v>
      </c>
      <c r="AT2740" s="233" t="str">
        <f>VLOOKUP(Table8[[#This Row],[Country Code]],Table29[],5,FALSE)</f>
        <v>High-income</v>
      </c>
      <c r="AU2740" s="233" t="str">
        <f>VLOOKUP(Table8[[#This Row],[Country Code]],Table29[],6,FALSE)</f>
        <v>no</v>
      </c>
      <c r="AV2740" s="233" t="str">
        <f>VLOOKUP(Table8[[#This Row],[Country Code]],Table29[],7,FALSE)</f>
        <v>no</v>
      </c>
      <c r="AW2740" s="233" t="str">
        <f>VLOOKUP(Table8[[#This Row],[Country Code]],Table29[],8,FALSE)</f>
        <v>non-OECD</v>
      </c>
      <c r="AX2740" s="233" t="str">
        <f>VLOOKUP(Table8[[#This Row],[Country Code]],Table29[],9,FALSE)</f>
        <v>no</v>
      </c>
      <c r="AY2740" s="233" t="str">
        <f>VLOOKUP(Table8[[#This Row],[Country Code]],Table29[],10,FALSE)</f>
        <v>no</v>
      </c>
      <c r="AZ2740" s="235">
        <f>VLOOKUP(Table8[[#This Row],[Country Code]],Table29[],23,FALSE)</f>
        <v>41.634111747759</v>
      </c>
      <c r="BA2740" s="235">
        <f>VLOOKUP(Table8[[#This Row],[Country Code]],Table29[],24,FALSE)</f>
        <v>4.0868158944276578</v>
      </c>
      <c r="BB2740" s="320"/>
      <c r="BC2740" s="320"/>
    </row>
    <row r="2741" spans="1:55" hidden="1" x14ac:dyDescent="0.25">
      <c r="A2741" s="373">
        <v>39450</v>
      </c>
      <c r="B2741" s="233" t="str">
        <f>VLOOKUP(Table8[[#This Row],[Document ID]],Table1[],2,FALSE)</f>
        <v>VUT</v>
      </c>
      <c r="C2741" s="233" t="str">
        <f>VLOOKUP(Table8[[#This Row],[Document ID]],Table1[],3,FALSE)</f>
        <v>Vanuatu</v>
      </c>
      <c r="D2741" s="243" t="str">
        <f>VLOOKUP(Table8[[#This Row],[Document ID]],Table1[],5,FALSE)</f>
        <v>LTS</v>
      </c>
      <c r="E2741" s="233" t="str">
        <f>VLOOKUP(Table8[[#This Row],[Document ID]],Table1[],7,FALSE)</f>
        <v>LTS</v>
      </c>
      <c r="F2741" s="233" t="str">
        <f>VLOOKUP(Table8[[#This Row],[Document ID]],Table1[],8,FALSE)</f>
        <v>LTS 1.0</v>
      </c>
      <c r="G2741" s="233" t="str">
        <f>VLOOKUP(Table8[[#This Row],[Document ID]],Table1[],10,FALSE)</f>
        <v>Active</v>
      </c>
      <c r="H2741" s="44" t="s">
        <v>2338</v>
      </c>
      <c r="I2741" s="44" t="s">
        <v>2339</v>
      </c>
      <c r="J2741" s="44" t="s">
        <v>2425</v>
      </c>
      <c r="K2741" s="44" t="s">
        <v>4817</v>
      </c>
      <c r="L2741" s="44" t="s">
        <v>2333</v>
      </c>
      <c r="M2741" s="43">
        <v>63</v>
      </c>
      <c r="N2741" s="113"/>
      <c r="O2741" s="113"/>
      <c r="P2741" s="113"/>
      <c r="Q2741" s="113"/>
      <c r="R2741" s="113"/>
      <c r="S2741" s="113" t="s">
        <v>1113</v>
      </c>
      <c r="T2741" s="113"/>
      <c r="U2741" s="113"/>
      <c r="V2741" s="113"/>
      <c r="W2741" s="113"/>
      <c r="X2741" s="113"/>
      <c r="Y2741" s="113"/>
      <c r="Z2741" s="113"/>
      <c r="AA2741" s="113"/>
      <c r="AB2741" s="113"/>
      <c r="AC2741" s="113"/>
      <c r="AD2741" s="113"/>
      <c r="AE2741" s="113"/>
      <c r="AF2741" s="113"/>
      <c r="AG2741" s="113"/>
      <c r="AH2741" s="113"/>
      <c r="AI2741" s="113"/>
      <c r="AJ2741" s="113"/>
      <c r="AK2741" s="319" t="s">
        <v>1113</v>
      </c>
      <c r="AL2741" s="113"/>
      <c r="AM2741" s="113"/>
      <c r="AN2741" s="113"/>
      <c r="AO2741" s="44" t="s">
        <v>2334</v>
      </c>
      <c r="AP2741" s="43"/>
      <c r="AQ2741" s="236" t="str">
        <f>VLOOKUP(Table8[[#This Row],[Instrument]],Def_Targets!$D$73:$E$159,2,FALSE)</f>
        <v>I_Efficiencystd</v>
      </c>
      <c r="AR2741" s="233" t="str">
        <f>VLOOKUP(Table8[[#This Row],[Country Code]],Table29[],3,FALSE)</f>
        <v>Non-Annex I</v>
      </c>
      <c r="AS2741" s="233" t="str">
        <f>VLOOKUP(Table8[[#This Row],[Country Code]],Table29[],4,FALSE)</f>
        <v>Oceania</v>
      </c>
      <c r="AT2741" s="233" t="str">
        <f>VLOOKUP(Table8[[#This Row],[Country Code]],Table29[],5,FALSE)</f>
        <v>Middle-income</v>
      </c>
      <c r="AU2741" s="233" t="str">
        <f>VLOOKUP(Table8[[#This Row],[Country Code]],Table29[],6,FALSE)</f>
        <v>no</v>
      </c>
      <c r="AV2741" s="233" t="str">
        <f>VLOOKUP(Table8[[#This Row],[Country Code]],Table29[],7,FALSE)</f>
        <v>no</v>
      </c>
      <c r="AW2741" s="233" t="str">
        <f>VLOOKUP(Table8[[#This Row],[Country Code]],Table29[],8,FALSE)</f>
        <v>non-OECD</v>
      </c>
      <c r="AX2741" s="233" t="str">
        <f>VLOOKUP(Table8[[#This Row],[Country Code]],Table29[],9,FALSE)</f>
        <v>no</v>
      </c>
      <c r="AY2741" s="233" t="str">
        <f>VLOOKUP(Table8[[#This Row],[Country Code]],Table29[],10,FALSE)</f>
        <v>no</v>
      </c>
      <c r="AZ2741" s="235">
        <f>VLOOKUP(Table8[[#This Row],[Country Code]],Table29[],23,FALSE)</f>
        <v>0.67021230161326995</v>
      </c>
      <c r="BA2741" s="235">
        <f>VLOOKUP(Table8[[#This Row],[Country Code]],Table29[],24,FALSE)</f>
        <v>0.148941723979749</v>
      </c>
      <c r="BB2741" s="320"/>
      <c r="BC2741" s="320"/>
    </row>
    <row r="2742" spans="1:55" ht="30" hidden="1" x14ac:dyDescent="0.25">
      <c r="A2742" s="373">
        <v>39450</v>
      </c>
      <c r="B2742" s="233" t="str">
        <f>VLOOKUP(Table8[[#This Row],[Document ID]],Table1[],2,FALSE)</f>
        <v>VUT</v>
      </c>
      <c r="C2742" s="233" t="str">
        <f>VLOOKUP(Table8[[#This Row],[Document ID]],Table1[],3,FALSE)</f>
        <v>Vanuatu</v>
      </c>
      <c r="D2742" s="243" t="str">
        <f>VLOOKUP(Table8[[#This Row],[Document ID]],Table1[],5,FALSE)</f>
        <v>LTS</v>
      </c>
      <c r="E2742" s="233" t="str">
        <f>VLOOKUP(Table8[[#This Row],[Document ID]],Table1[],7,FALSE)</f>
        <v>LTS</v>
      </c>
      <c r="F2742" s="233" t="str">
        <f>VLOOKUP(Table8[[#This Row],[Document ID]],Table1[],8,FALSE)</f>
        <v>LTS 1.0</v>
      </c>
      <c r="G2742" s="233" t="str">
        <f>VLOOKUP(Table8[[#This Row],[Document ID]],Table1[],10,FALSE)</f>
        <v>Active</v>
      </c>
      <c r="H2742" s="43" t="s">
        <v>2350</v>
      </c>
      <c r="I2742" s="43" t="s">
        <v>2370</v>
      </c>
      <c r="J2742" s="44" t="s">
        <v>2418</v>
      </c>
      <c r="K2742" s="44" t="s">
        <v>4818</v>
      </c>
      <c r="L2742" s="44" t="s">
        <v>2373</v>
      </c>
      <c r="M2742" s="43">
        <v>63</v>
      </c>
      <c r="N2742" s="113" t="s">
        <v>1113</v>
      </c>
      <c r="O2742" s="113"/>
      <c r="P2742" s="113"/>
      <c r="Q2742" s="113"/>
      <c r="R2742" s="113"/>
      <c r="S2742" s="113"/>
      <c r="T2742" s="113"/>
      <c r="U2742" s="113"/>
      <c r="V2742" s="113"/>
      <c r="W2742" s="113"/>
      <c r="X2742" s="113"/>
      <c r="Y2742" s="113"/>
      <c r="Z2742" s="113"/>
      <c r="AA2742" s="113"/>
      <c r="AB2742" s="113"/>
      <c r="AC2742" s="113"/>
      <c r="AD2742" s="113"/>
      <c r="AE2742" s="113"/>
      <c r="AF2742" s="113"/>
      <c r="AG2742" s="113"/>
      <c r="AH2742" s="113"/>
      <c r="AI2742" s="113"/>
      <c r="AJ2742" s="113"/>
      <c r="AK2742" s="319" t="s">
        <v>1113</v>
      </c>
      <c r="AL2742" s="113"/>
      <c r="AM2742" s="113"/>
      <c r="AN2742" s="113"/>
      <c r="AO2742" s="44" t="s">
        <v>2334</v>
      </c>
      <c r="AP2742" s="43"/>
      <c r="AQ2742" s="236" t="str">
        <f>VLOOKUP(Table8[[#This Row],[Instrument]],Def_Targets!$D$73:$E$159,2,FALSE)</f>
        <v>A_Complan</v>
      </c>
      <c r="AR2742" s="233" t="str">
        <f>VLOOKUP(Table8[[#This Row],[Country Code]],Table29[],3,FALSE)</f>
        <v>Non-Annex I</v>
      </c>
      <c r="AS2742" s="233" t="str">
        <f>VLOOKUP(Table8[[#This Row],[Country Code]],Table29[],4,FALSE)</f>
        <v>Oceania</v>
      </c>
      <c r="AT2742" s="233" t="str">
        <f>VLOOKUP(Table8[[#This Row],[Country Code]],Table29[],5,FALSE)</f>
        <v>Middle-income</v>
      </c>
      <c r="AU2742" s="233" t="str">
        <f>VLOOKUP(Table8[[#This Row],[Country Code]],Table29[],6,FALSE)</f>
        <v>no</v>
      </c>
      <c r="AV2742" s="233" t="str">
        <f>VLOOKUP(Table8[[#This Row],[Country Code]],Table29[],7,FALSE)</f>
        <v>no</v>
      </c>
      <c r="AW2742" s="233" t="str">
        <f>VLOOKUP(Table8[[#This Row],[Country Code]],Table29[],8,FALSE)</f>
        <v>non-OECD</v>
      </c>
      <c r="AX2742" s="233" t="str">
        <f>VLOOKUP(Table8[[#This Row],[Country Code]],Table29[],9,FALSE)</f>
        <v>no</v>
      </c>
      <c r="AY2742" s="233" t="str">
        <f>VLOOKUP(Table8[[#This Row],[Country Code]],Table29[],10,FALSE)</f>
        <v>no</v>
      </c>
      <c r="AZ2742" s="235">
        <f>VLOOKUP(Table8[[#This Row],[Country Code]],Table29[],23,FALSE)</f>
        <v>0.67021230161326995</v>
      </c>
      <c r="BA2742" s="235">
        <f>VLOOKUP(Table8[[#This Row],[Country Code]],Table29[],24,FALSE)</f>
        <v>0.148941723979749</v>
      </c>
      <c r="BB2742" s="320"/>
      <c r="BC2742" s="320"/>
    </row>
    <row r="2743" spans="1:55" hidden="1" x14ac:dyDescent="0.25">
      <c r="A2743" s="373">
        <v>39450</v>
      </c>
      <c r="B2743" s="233" t="str">
        <f>VLOOKUP(Table8[[#This Row],[Document ID]],Table1[],2,FALSE)</f>
        <v>VUT</v>
      </c>
      <c r="C2743" s="233" t="str">
        <f>VLOOKUP(Table8[[#This Row],[Document ID]],Table1[],3,FALSE)</f>
        <v>Vanuatu</v>
      </c>
      <c r="D2743" s="243" t="str">
        <f>VLOOKUP(Table8[[#This Row],[Document ID]],Table1[],5,FALSE)</f>
        <v>LTS</v>
      </c>
      <c r="E2743" s="233" t="str">
        <f>VLOOKUP(Table8[[#This Row],[Document ID]],Table1[],7,FALSE)</f>
        <v>LTS</v>
      </c>
      <c r="F2743" s="233" t="str">
        <f>VLOOKUP(Table8[[#This Row],[Document ID]],Table1[],8,FALSE)</f>
        <v>LTS 1.0</v>
      </c>
      <c r="G2743" s="233" t="str">
        <f>VLOOKUP(Table8[[#This Row],[Document ID]],Table1[],10,FALSE)</f>
        <v>Active</v>
      </c>
      <c r="H2743" s="43" t="s">
        <v>2358</v>
      </c>
      <c r="I2743" s="43" t="s">
        <v>2359</v>
      </c>
      <c r="J2743" s="44" t="s">
        <v>2360</v>
      </c>
      <c r="K2743" s="44" t="s">
        <v>4819</v>
      </c>
      <c r="L2743" s="44" t="s">
        <v>2333</v>
      </c>
      <c r="M2743" s="43">
        <v>63</v>
      </c>
      <c r="N2743" s="113"/>
      <c r="O2743" s="113"/>
      <c r="P2743" s="113"/>
      <c r="Q2743" s="113"/>
      <c r="R2743" s="113"/>
      <c r="S2743" s="113" t="s">
        <v>1113</v>
      </c>
      <c r="T2743" s="113"/>
      <c r="U2743" s="113"/>
      <c r="V2743" s="113"/>
      <c r="W2743" s="113"/>
      <c r="X2743" s="113"/>
      <c r="Y2743" s="113"/>
      <c r="Z2743" s="113"/>
      <c r="AA2743" s="113"/>
      <c r="AB2743" s="113"/>
      <c r="AC2743" s="113"/>
      <c r="AD2743" s="113"/>
      <c r="AE2743" s="113"/>
      <c r="AF2743" s="113"/>
      <c r="AG2743" s="113"/>
      <c r="AH2743" s="113"/>
      <c r="AI2743" s="113"/>
      <c r="AJ2743" s="113"/>
      <c r="AK2743" s="319" t="s">
        <v>1113</v>
      </c>
      <c r="AL2743" s="113"/>
      <c r="AM2743" s="113"/>
      <c r="AN2743" s="113"/>
      <c r="AO2743" s="44" t="s">
        <v>2334</v>
      </c>
      <c r="AP2743" s="43"/>
      <c r="AQ2743" s="236" t="str">
        <f>VLOOKUP(Table8[[#This Row],[Instrument]],Def_Targets!$D$73:$E$159,2,FALSE)</f>
        <v>I_Emobility</v>
      </c>
      <c r="AR2743" s="233" t="str">
        <f>VLOOKUP(Table8[[#This Row],[Country Code]],Table29[],3,FALSE)</f>
        <v>Non-Annex I</v>
      </c>
      <c r="AS2743" s="233" t="str">
        <f>VLOOKUP(Table8[[#This Row],[Country Code]],Table29[],4,FALSE)</f>
        <v>Oceania</v>
      </c>
      <c r="AT2743" s="233" t="str">
        <f>VLOOKUP(Table8[[#This Row],[Country Code]],Table29[],5,FALSE)</f>
        <v>Middle-income</v>
      </c>
      <c r="AU2743" s="233" t="str">
        <f>VLOOKUP(Table8[[#This Row],[Country Code]],Table29[],6,FALSE)</f>
        <v>no</v>
      </c>
      <c r="AV2743" s="233" t="str">
        <f>VLOOKUP(Table8[[#This Row],[Country Code]],Table29[],7,FALSE)</f>
        <v>no</v>
      </c>
      <c r="AW2743" s="233" t="str">
        <f>VLOOKUP(Table8[[#This Row],[Country Code]],Table29[],8,FALSE)</f>
        <v>non-OECD</v>
      </c>
      <c r="AX2743" s="233" t="str">
        <f>VLOOKUP(Table8[[#This Row],[Country Code]],Table29[],9,FALSE)</f>
        <v>no</v>
      </c>
      <c r="AY2743" s="233" t="str">
        <f>VLOOKUP(Table8[[#This Row],[Country Code]],Table29[],10,FALSE)</f>
        <v>no</v>
      </c>
      <c r="AZ2743" s="235">
        <f>VLOOKUP(Table8[[#This Row],[Country Code]],Table29[],23,FALSE)</f>
        <v>0.67021230161326995</v>
      </c>
      <c r="BA2743" s="235">
        <f>VLOOKUP(Table8[[#This Row],[Country Code]],Table29[],24,FALSE)</f>
        <v>0.148941723979749</v>
      </c>
      <c r="BB2743" s="320"/>
      <c r="BC2743" s="320"/>
    </row>
    <row r="2744" spans="1:55" hidden="1" x14ac:dyDescent="0.25">
      <c r="A2744" s="373">
        <v>39450</v>
      </c>
      <c r="B2744" s="233" t="str">
        <f>VLOOKUP(Table8[[#This Row],[Document ID]],Table1[],2,FALSE)</f>
        <v>VUT</v>
      </c>
      <c r="C2744" s="233" t="str">
        <f>VLOOKUP(Table8[[#This Row],[Document ID]],Table1[],3,FALSE)</f>
        <v>Vanuatu</v>
      </c>
      <c r="D2744" s="243" t="str">
        <f>VLOOKUP(Table8[[#This Row],[Document ID]],Table1[],5,FALSE)</f>
        <v>LTS</v>
      </c>
      <c r="E2744" s="233" t="str">
        <f>VLOOKUP(Table8[[#This Row],[Document ID]],Table1[],7,FALSE)</f>
        <v>LTS</v>
      </c>
      <c r="F2744" s="233" t="str">
        <f>VLOOKUP(Table8[[#This Row],[Document ID]],Table1[],8,FALSE)</f>
        <v>LTS 1.0</v>
      </c>
      <c r="G2744" s="233" t="str">
        <f>VLOOKUP(Table8[[#This Row],[Document ID]],Table1[],10,FALSE)</f>
        <v>Active</v>
      </c>
      <c r="H2744" s="43" t="s">
        <v>2358</v>
      </c>
      <c r="I2744" s="43" t="s">
        <v>2359</v>
      </c>
      <c r="J2744" s="44" t="s">
        <v>2360</v>
      </c>
      <c r="K2744" s="44" t="s">
        <v>4820</v>
      </c>
      <c r="L2744" s="44" t="s">
        <v>2333</v>
      </c>
      <c r="M2744" s="43">
        <v>63</v>
      </c>
      <c r="N2744" s="113"/>
      <c r="O2744" s="113"/>
      <c r="P2744" s="113"/>
      <c r="Q2744" s="113"/>
      <c r="R2744" s="113"/>
      <c r="S2744" s="113" t="s">
        <v>1113</v>
      </c>
      <c r="T2744" s="113"/>
      <c r="U2744" s="113"/>
      <c r="V2744" s="113"/>
      <c r="W2744" s="113"/>
      <c r="X2744" s="113"/>
      <c r="Y2744" s="113"/>
      <c r="Z2744" s="113"/>
      <c r="AA2744" s="113"/>
      <c r="AB2744" s="113"/>
      <c r="AC2744" s="113"/>
      <c r="AD2744" s="113"/>
      <c r="AE2744" s="113"/>
      <c r="AF2744" s="113"/>
      <c r="AG2744" s="113"/>
      <c r="AH2744" s="113"/>
      <c r="AI2744" s="113"/>
      <c r="AJ2744" s="113"/>
      <c r="AK2744" s="319" t="s">
        <v>1113</v>
      </c>
      <c r="AL2744" s="113"/>
      <c r="AM2744" s="113"/>
      <c r="AN2744" s="113"/>
      <c r="AO2744" s="44" t="s">
        <v>2334</v>
      </c>
      <c r="AP2744" s="43"/>
      <c r="AQ2744" s="236" t="str">
        <f>VLOOKUP(Table8[[#This Row],[Instrument]],Def_Targets!$D$73:$E$159,2,FALSE)</f>
        <v>I_Emobility</v>
      </c>
      <c r="AR2744" s="233" t="str">
        <f>VLOOKUP(Table8[[#This Row],[Country Code]],Table29[],3,FALSE)</f>
        <v>Non-Annex I</v>
      </c>
      <c r="AS2744" s="233" t="str">
        <f>VLOOKUP(Table8[[#This Row],[Country Code]],Table29[],4,FALSE)</f>
        <v>Oceania</v>
      </c>
      <c r="AT2744" s="233" t="str">
        <f>VLOOKUP(Table8[[#This Row],[Country Code]],Table29[],5,FALSE)</f>
        <v>Middle-income</v>
      </c>
      <c r="AU2744" s="233" t="str">
        <f>VLOOKUP(Table8[[#This Row],[Country Code]],Table29[],6,FALSE)</f>
        <v>no</v>
      </c>
      <c r="AV2744" s="233" t="str">
        <f>VLOOKUP(Table8[[#This Row],[Country Code]],Table29[],7,FALSE)</f>
        <v>no</v>
      </c>
      <c r="AW2744" s="233" t="str">
        <f>VLOOKUP(Table8[[#This Row],[Country Code]],Table29[],8,FALSE)</f>
        <v>non-OECD</v>
      </c>
      <c r="AX2744" s="233" t="str">
        <f>VLOOKUP(Table8[[#This Row],[Country Code]],Table29[],9,FALSE)</f>
        <v>no</v>
      </c>
      <c r="AY2744" s="233" t="str">
        <f>VLOOKUP(Table8[[#This Row],[Country Code]],Table29[],10,FALSE)</f>
        <v>no</v>
      </c>
      <c r="AZ2744" s="235">
        <f>VLOOKUP(Table8[[#This Row],[Country Code]],Table29[],23,FALSE)</f>
        <v>0.67021230161326995</v>
      </c>
      <c r="BA2744" s="235">
        <f>VLOOKUP(Table8[[#This Row],[Country Code]],Table29[],24,FALSE)</f>
        <v>0.148941723979749</v>
      </c>
      <c r="BB2744" s="320"/>
      <c r="BC2744" s="320"/>
    </row>
    <row r="2745" spans="1:55" hidden="1" x14ac:dyDescent="0.25">
      <c r="A2745" s="400">
        <v>32526</v>
      </c>
      <c r="B2745" s="233" t="str">
        <f>VLOOKUP(Table8[[#This Row],[Document ID]],Table1[],2,FALSE)</f>
        <v>ZWE</v>
      </c>
      <c r="C2745" s="233" t="str">
        <f>VLOOKUP(Table8[[#This Row],[Document ID]],Table1[],3,FALSE)</f>
        <v>Zimbabwe</v>
      </c>
      <c r="D2745" s="243" t="str">
        <f>VLOOKUP(Table8[[#This Row],[Document ID]],Table1[],5,FALSE)</f>
        <v>LTS</v>
      </c>
      <c r="E2745" s="233" t="str">
        <f>VLOOKUP(Table8[[#This Row],[Document ID]],Table1[],7,FALSE)</f>
        <v>LTS</v>
      </c>
      <c r="F2745" s="233" t="str">
        <f>VLOOKUP(Table8[[#This Row],[Document ID]],Table1[],8,FALSE)</f>
        <v>LTS 1.0</v>
      </c>
      <c r="G2745" s="233" t="str">
        <f>VLOOKUP(Table8[[#This Row],[Document ID]],Table1[],10,FALSE)</f>
        <v>Active</v>
      </c>
      <c r="H2745" s="44" t="s">
        <v>2329</v>
      </c>
      <c r="I2745" s="44" t="s">
        <v>2330</v>
      </c>
      <c r="J2745" s="44" t="s">
        <v>2357</v>
      </c>
      <c r="K2745" s="44" t="s">
        <v>4821</v>
      </c>
      <c r="L2745" s="44" t="s">
        <v>2333</v>
      </c>
      <c r="M2745" s="43">
        <v>7</v>
      </c>
      <c r="N2745" s="113" t="s">
        <v>1113</v>
      </c>
      <c r="O2745" s="113"/>
      <c r="P2745" s="113"/>
      <c r="Q2745" s="113"/>
      <c r="R2745" s="113"/>
      <c r="S2745" s="113"/>
      <c r="T2745" s="113"/>
      <c r="U2745" s="113"/>
      <c r="V2745" s="113"/>
      <c r="W2745" s="113"/>
      <c r="X2745" s="113"/>
      <c r="Y2745" s="113"/>
      <c r="Z2745" s="113"/>
      <c r="AA2745" s="113"/>
      <c r="AB2745" s="113"/>
      <c r="AC2745" s="113"/>
      <c r="AD2745" s="113"/>
      <c r="AE2745" s="113"/>
      <c r="AF2745" s="113"/>
      <c r="AG2745" s="113"/>
      <c r="AH2745" s="113"/>
      <c r="AI2745" s="113"/>
      <c r="AJ2745" s="113"/>
      <c r="AK2745" s="113" t="s">
        <v>1113</v>
      </c>
      <c r="AL2745" s="113"/>
      <c r="AM2745" s="113"/>
      <c r="AN2745" s="113"/>
      <c r="AO2745" s="44" t="s">
        <v>2334</v>
      </c>
      <c r="AP2745" s="43"/>
      <c r="AQ2745" s="236" t="str">
        <f>VLOOKUP(Table8[[#This Row],[Instrument]],Def_Targets!$D$73:$E$159,2,FALSE)</f>
        <v>I_Biofuel</v>
      </c>
      <c r="AR2745" s="233" t="str">
        <f>VLOOKUP(Table8[[#This Row],[Country Code]],Table29[],3,FALSE)</f>
        <v>Non-Annex I</v>
      </c>
      <c r="AS2745" s="233" t="str">
        <f>VLOOKUP(Table8[[#This Row],[Country Code]],Table29[],4,FALSE)</f>
        <v>Africa</v>
      </c>
      <c r="AT2745" s="233" t="str">
        <f>VLOOKUP(Table8[[#This Row],[Country Code]],Table29[],5,FALSE)</f>
        <v>Middle-income</v>
      </c>
      <c r="AU2745" s="233" t="str">
        <f>VLOOKUP(Table8[[#This Row],[Country Code]],Table29[],6,FALSE)</f>
        <v>no</v>
      </c>
      <c r="AV2745" s="233" t="str">
        <f>VLOOKUP(Table8[[#This Row],[Country Code]],Table29[],7,FALSE)</f>
        <v>no</v>
      </c>
      <c r="AW2745" s="233" t="str">
        <f>VLOOKUP(Table8[[#This Row],[Country Code]],Table29[],8,FALSE)</f>
        <v>non-OECD</v>
      </c>
      <c r="AX2745" s="233" t="str">
        <f>VLOOKUP(Table8[[#This Row],[Country Code]],Table29[],9,FALSE)</f>
        <v>no</v>
      </c>
      <c r="AY2745" s="233" t="str">
        <f>VLOOKUP(Table8[[#This Row],[Country Code]],Table29[],10,FALSE)</f>
        <v>no</v>
      </c>
      <c r="AZ2745" s="235">
        <f>VLOOKUP(Table8[[#This Row],[Country Code]],Table29[],23,FALSE)</f>
        <v>31.019306383581998</v>
      </c>
      <c r="BA2745" s="235">
        <f>VLOOKUP(Table8[[#This Row],[Country Code]],Table29[],24,FALSE)</f>
        <v>1.5180453178171209</v>
      </c>
      <c r="BB2745" s="320"/>
      <c r="BC2745" s="320"/>
    </row>
    <row r="2746" spans="1:55" hidden="1" x14ac:dyDescent="0.25">
      <c r="A2746" s="386">
        <v>32526</v>
      </c>
      <c r="B2746" s="233" t="str">
        <f>VLOOKUP(Table8[[#This Row],[Document ID]],Table1[],2,FALSE)</f>
        <v>ZWE</v>
      </c>
      <c r="C2746" s="233" t="str">
        <f>VLOOKUP(Table8[[#This Row],[Document ID]],Table1[],3,FALSE)</f>
        <v>Zimbabwe</v>
      </c>
      <c r="D2746" s="243" t="str">
        <f>VLOOKUP(Table8[[#This Row],[Document ID]],Table1[],5,FALSE)</f>
        <v>LTS</v>
      </c>
      <c r="E2746" s="233" t="str">
        <f>VLOOKUP(Table8[[#This Row],[Document ID]],Table1[],7,FALSE)</f>
        <v>LTS</v>
      </c>
      <c r="F2746" s="233" t="str">
        <f>VLOOKUP(Table8[[#This Row],[Document ID]],Table1[],8,FALSE)</f>
        <v>LTS 1.0</v>
      </c>
      <c r="G2746" s="233" t="str">
        <f>VLOOKUP(Table8[[#This Row],[Document ID]],Table1[],10,FALSE)</f>
        <v>Active</v>
      </c>
      <c r="H2746" s="44" t="s">
        <v>2338</v>
      </c>
      <c r="I2746" s="44" t="s">
        <v>2339</v>
      </c>
      <c r="J2746" s="44" t="s">
        <v>2413</v>
      </c>
      <c r="K2746" s="44" t="s">
        <v>4822</v>
      </c>
      <c r="L2746" s="44" t="s">
        <v>2333</v>
      </c>
      <c r="M2746" s="43">
        <v>7</v>
      </c>
      <c r="N2746" s="113" t="s">
        <v>1113</v>
      </c>
      <c r="O2746" s="113"/>
      <c r="P2746" s="113"/>
      <c r="Q2746" s="113"/>
      <c r="R2746" s="113"/>
      <c r="S2746" s="113"/>
      <c r="T2746" s="113"/>
      <c r="U2746" s="113"/>
      <c r="V2746" s="113"/>
      <c r="W2746" s="113"/>
      <c r="X2746" s="113"/>
      <c r="Y2746" s="113"/>
      <c r="Z2746" s="113"/>
      <c r="AA2746" s="113"/>
      <c r="AB2746" s="113"/>
      <c r="AC2746" s="113"/>
      <c r="AD2746" s="113"/>
      <c r="AE2746" s="113"/>
      <c r="AF2746" s="113"/>
      <c r="AG2746" s="113"/>
      <c r="AH2746" s="113"/>
      <c r="AI2746" s="113"/>
      <c r="AJ2746" s="113"/>
      <c r="AK2746" s="113" t="s">
        <v>1113</v>
      </c>
      <c r="AL2746" s="113"/>
      <c r="AM2746" s="113"/>
      <c r="AN2746" s="113"/>
      <c r="AO2746" s="44" t="s">
        <v>2334</v>
      </c>
      <c r="AP2746" s="43"/>
      <c r="AQ2746" s="236" t="str">
        <f>VLOOKUP(Table8[[#This Row],[Instrument]],Def_Targets!$D$73:$E$159,2,FALSE)</f>
        <v>I_Vehicleeff</v>
      </c>
      <c r="AR2746" s="233" t="str">
        <f>VLOOKUP(Table8[[#This Row],[Country Code]],Table29[],3,FALSE)</f>
        <v>Non-Annex I</v>
      </c>
      <c r="AS2746" s="233" t="str">
        <f>VLOOKUP(Table8[[#This Row],[Country Code]],Table29[],4,FALSE)</f>
        <v>Africa</v>
      </c>
      <c r="AT2746" s="233" t="str">
        <f>VLOOKUP(Table8[[#This Row],[Country Code]],Table29[],5,FALSE)</f>
        <v>Middle-income</v>
      </c>
      <c r="AU2746" s="233" t="str">
        <f>VLOOKUP(Table8[[#This Row],[Country Code]],Table29[],6,FALSE)</f>
        <v>no</v>
      </c>
      <c r="AV2746" s="233" t="str">
        <f>VLOOKUP(Table8[[#This Row],[Country Code]],Table29[],7,FALSE)</f>
        <v>no</v>
      </c>
      <c r="AW2746" s="233" t="str">
        <f>VLOOKUP(Table8[[#This Row],[Country Code]],Table29[],8,FALSE)</f>
        <v>non-OECD</v>
      </c>
      <c r="AX2746" s="233" t="str">
        <f>VLOOKUP(Table8[[#This Row],[Country Code]],Table29[],9,FALSE)</f>
        <v>no</v>
      </c>
      <c r="AY2746" s="233" t="str">
        <f>VLOOKUP(Table8[[#This Row],[Country Code]],Table29[],10,FALSE)</f>
        <v>no</v>
      </c>
      <c r="AZ2746" s="235">
        <f>VLOOKUP(Table8[[#This Row],[Country Code]],Table29[],23,FALSE)</f>
        <v>31.019306383581998</v>
      </c>
      <c r="BA2746" s="235">
        <f>VLOOKUP(Table8[[#This Row],[Country Code]],Table29[],24,FALSE)</f>
        <v>1.5180453178171209</v>
      </c>
      <c r="BB2746" s="320"/>
      <c r="BC2746" s="320"/>
    </row>
    <row r="2747" spans="1:55" ht="30" hidden="1" x14ac:dyDescent="0.25">
      <c r="A2747" s="386">
        <v>32526</v>
      </c>
      <c r="B2747" s="233" t="str">
        <f>VLOOKUP(Table8[[#This Row],[Document ID]],Table1[],2,FALSE)</f>
        <v>ZWE</v>
      </c>
      <c r="C2747" s="233" t="str">
        <f>VLOOKUP(Table8[[#This Row],[Document ID]],Table1[],3,FALSE)</f>
        <v>Zimbabwe</v>
      </c>
      <c r="D2747" s="243" t="str">
        <f>VLOOKUP(Table8[[#This Row],[Document ID]],Table1[],5,FALSE)</f>
        <v>LTS</v>
      </c>
      <c r="E2747" s="233" t="str">
        <f>VLOOKUP(Table8[[#This Row],[Document ID]],Table1[],7,FALSE)</f>
        <v>LTS</v>
      </c>
      <c r="F2747" s="233" t="str">
        <f>VLOOKUP(Table8[[#This Row],[Document ID]],Table1[],8,FALSE)</f>
        <v>LTS 1.0</v>
      </c>
      <c r="G2747" s="233" t="str">
        <f>VLOOKUP(Table8[[#This Row],[Document ID]],Table1[],10,FALSE)</f>
        <v>Active</v>
      </c>
      <c r="H2747" s="43" t="s">
        <v>2358</v>
      </c>
      <c r="I2747" s="43" t="s">
        <v>2359</v>
      </c>
      <c r="J2747" s="44" t="s">
        <v>2360</v>
      </c>
      <c r="K2747" s="44" t="s">
        <v>4823</v>
      </c>
      <c r="L2747" s="44" t="s">
        <v>2333</v>
      </c>
      <c r="M2747" s="43">
        <v>7</v>
      </c>
      <c r="N2747" s="113" t="s">
        <v>1113</v>
      </c>
      <c r="O2747" s="113"/>
      <c r="P2747" s="113"/>
      <c r="Q2747" s="113"/>
      <c r="R2747" s="113"/>
      <c r="S2747" s="113"/>
      <c r="T2747" s="113"/>
      <c r="U2747" s="113"/>
      <c r="V2747" s="113"/>
      <c r="W2747" s="113"/>
      <c r="X2747" s="113"/>
      <c r="Y2747" s="113"/>
      <c r="Z2747" s="113"/>
      <c r="AA2747" s="113"/>
      <c r="AB2747" s="113"/>
      <c r="AC2747" s="113"/>
      <c r="AD2747" s="113"/>
      <c r="AE2747" s="113"/>
      <c r="AF2747" s="113"/>
      <c r="AG2747" s="113"/>
      <c r="AH2747" s="113"/>
      <c r="AI2747" s="113"/>
      <c r="AJ2747" s="113"/>
      <c r="AK2747" s="113" t="s">
        <v>1113</v>
      </c>
      <c r="AL2747" s="113"/>
      <c r="AM2747" s="113"/>
      <c r="AN2747" s="113"/>
      <c r="AO2747" s="44" t="s">
        <v>2334</v>
      </c>
      <c r="AP2747" s="43"/>
      <c r="AQ2747" s="236" t="str">
        <f>VLOOKUP(Table8[[#This Row],[Instrument]],Def_Targets!$D$73:$E$159,2,FALSE)</f>
        <v>I_Emobility</v>
      </c>
      <c r="AR2747" s="233" t="str">
        <f>VLOOKUP(Table8[[#This Row],[Country Code]],Table29[],3,FALSE)</f>
        <v>Non-Annex I</v>
      </c>
      <c r="AS2747" s="233" t="str">
        <f>VLOOKUP(Table8[[#This Row],[Country Code]],Table29[],4,FALSE)</f>
        <v>Africa</v>
      </c>
      <c r="AT2747" s="233" t="str">
        <f>VLOOKUP(Table8[[#This Row],[Country Code]],Table29[],5,FALSE)</f>
        <v>Middle-income</v>
      </c>
      <c r="AU2747" s="233" t="str">
        <f>VLOOKUP(Table8[[#This Row],[Country Code]],Table29[],6,FALSE)</f>
        <v>no</v>
      </c>
      <c r="AV2747" s="233" t="str">
        <f>VLOOKUP(Table8[[#This Row],[Country Code]],Table29[],7,FALSE)</f>
        <v>no</v>
      </c>
      <c r="AW2747" s="233" t="str">
        <f>VLOOKUP(Table8[[#This Row],[Country Code]],Table29[],8,FALSE)</f>
        <v>non-OECD</v>
      </c>
      <c r="AX2747" s="233" t="str">
        <f>VLOOKUP(Table8[[#This Row],[Country Code]],Table29[],9,FALSE)</f>
        <v>no</v>
      </c>
      <c r="AY2747" s="233" t="str">
        <f>VLOOKUP(Table8[[#This Row],[Country Code]],Table29[],10,FALSE)</f>
        <v>no</v>
      </c>
      <c r="AZ2747" s="235">
        <f>VLOOKUP(Table8[[#This Row],[Country Code]],Table29[],23,FALSE)</f>
        <v>31.019306383581998</v>
      </c>
      <c r="BA2747" s="235">
        <f>VLOOKUP(Table8[[#This Row],[Country Code]],Table29[],24,FALSE)</f>
        <v>1.5180453178171209</v>
      </c>
      <c r="BB2747" s="320"/>
      <c r="BC2747" s="320"/>
    </row>
    <row r="2748" spans="1:55" ht="30" hidden="1" x14ac:dyDescent="0.25">
      <c r="A2748" s="386">
        <v>32526</v>
      </c>
      <c r="B2748" s="233" t="str">
        <f>VLOOKUP(Table8[[#This Row],[Document ID]],Table1[],2,FALSE)</f>
        <v>ZWE</v>
      </c>
      <c r="C2748" s="233" t="str">
        <f>VLOOKUP(Table8[[#This Row],[Document ID]],Table1[],3,FALSE)</f>
        <v>Zimbabwe</v>
      </c>
      <c r="D2748" s="243" t="str">
        <f>VLOOKUP(Table8[[#This Row],[Document ID]],Table1[],5,FALSE)</f>
        <v>LTS</v>
      </c>
      <c r="E2748" s="233" t="str">
        <f>VLOOKUP(Table8[[#This Row],[Document ID]],Table1[],7,FALSE)</f>
        <v>LTS</v>
      </c>
      <c r="F2748" s="233" t="str">
        <f>VLOOKUP(Table8[[#This Row],[Document ID]],Table1[],8,FALSE)</f>
        <v>LTS 1.0</v>
      </c>
      <c r="G2748" s="233" t="str">
        <f>VLOOKUP(Table8[[#This Row],[Document ID]],Table1[],10,FALSE)</f>
        <v>Active</v>
      </c>
      <c r="H2748" s="43" t="s">
        <v>2343</v>
      </c>
      <c r="I2748" s="43" t="s">
        <v>2344</v>
      </c>
      <c r="J2748" s="44" t="s">
        <v>2345</v>
      </c>
      <c r="K2748" s="44" t="s">
        <v>4824</v>
      </c>
      <c r="L2748" s="44" t="s">
        <v>2347</v>
      </c>
      <c r="M2748" s="43">
        <v>7</v>
      </c>
      <c r="N2748" s="113" t="s">
        <v>1113</v>
      </c>
      <c r="O2748" s="113"/>
      <c r="P2748" s="113"/>
      <c r="Q2748" s="113"/>
      <c r="R2748" s="113"/>
      <c r="S2748" s="113"/>
      <c r="T2748" s="113"/>
      <c r="U2748" s="113"/>
      <c r="V2748" s="113"/>
      <c r="W2748" s="113"/>
      <c r="X2748" s="113"/>
      <c r="Y2748" s="113"/>
      <c r="Z2748" s="113"/>
      <c r="AA2748" s="113"/>
      <c r="AB2748" s="113"/>
      <c r="AC2748" s="113"/>
      <c r="AD2748" s="113"/>
      <c r="AE2748" s="113"/>
      <c r="AF2748" s="113"/>
      <c r="AG2748" s="113"/>
      <c r="AH2748" s="113"/>
      <c r="AI2748" s="113"/>
      <c r="AJ2748" s="113"/>
      <c r="AK2748" s="113" t="s">
        <v>1113</v>
      </c>
      <c r="AL2748" s="113"/>
      <c r="AM2748" s="113"/>
      <c r="AN2748" s="113"/>
      <c r="AO2748" s="43" t="s">
        <v>2348</v>
      </c>
      <c r="AP2748" s="43"/>
      <c r="AQ2748" s="236" t="str">
        <f>VLOOKUP(Table8[[#This Row],[Instrument]],Def_Targets!$D$73:$E$159,2,FALSE)</f>
        <v>S_PublicTransport</v>
      </c>
      <c r="AR2748" s="233" t="str">
        <f>VLOOKUP(Table8[[#This Row],[Country Code]],Table29[],3,FALSE)</f>
        <v>Non-Annex I</v>
      </c>
      <c r="AS2748" s="233" t="str">
        <f>VLOOKUP(Table8[[#This Row],[Country Code]],Table29[],4,FALSE)</f>
        <v>Africa</v>
      </c>
      <c r="AT2748" s="233" t="str">
        <f>VLOOKUP(Table8[[#This Row],[Country Code]],Table29[],5,FALSE)</f>
        <v>Middle-income</v>
      </c>
      <c r="AU2748" s="233" t="str">
        <f>VLOOKUP(Table8[[#This Row],[Country Code]],Table29[],6,FALSE)</f>
        <v>no</v>
      </c>
      <c r="AV2748" s="233" t="str">
        <f>VLOOKUP(Table8[[#This Row],[Country Code]],Table29[],7,FALSE)</f>
        <v>no</v>
      </c>
      <c r="AW2748" s="233" t="str">
        <f>VLOOKUP(Table8[[#This Row],[Country Code]],Table29[],8,FALSE)</f>
        <v>non-OECD</v>
      </c>
      <c r="AX2748" s="233" t="str">
        <f>VLOOKUP(Table8[[#This Row],[Country Code]],Table29[],9,FALSE)</f>
        <v>no</v>
      </c>
      <c r="AY2748" s="233" t="str">
        <f>VLOOKUP(Table8[[#This Row],[Country Code]],Table29[],10,FALSE)</f>
        <v>no</v>
      </c>
      <c r="AZ2748" s="235">
        <f>VLOOKUP(Table8[[#This Row],[Country Code]],Table29[],23,FALSE)</f>
        <v>31.019306383581998</v>
      </c>
      <c r="BA2748" s="235">
        <f>VLOOKUP(Table8[[#This Row],[Country Code]],Table29[],24,FALSE)</f>
        <v>1.5180453178171209</v>
      </c>
      <c r="BB2748" s="320"/>
      <c r="BC2748" s="320"/>
    </row>
    <row r="2749" spans="1:55" ht="30" hidden="1" x14ac:dyDescent="0.25">
      <c r="A2749" s="386">
        <v>32526</v>
      </c>
      <c r="B2749" s="233" t="str">
        <f>VLOOKUP(Table8[[#This Row],[Document ID]],Table1[],2,FALSE)</f>
        <v>ZWE</v>
      </c>
      <c r="C2749" s="233" t="str">
        <f>VLOOKUP(Table8[[#This Row],[Document ID]],Table1[],3,FALSE)</f>
        <v>Zimbabwe</v>
      </c>
      <c r="D2749" s="243" t="str">
        <f>VLOOKUP(Table8[[#This Row],[Document ID]],Table1[],5,FALSE)</f>
        <v>LTS</v>
      </c>
      <c r="E2749" s="233" t="str">
        <f>VLOOKUP(Table8[[#This Row],[Document ID]],Table1[],7,FALSE)</f>
        <v>LTS</v>
      </c>
      <c r="F2749" s="233" t="str">
        <f>VLOOKUP(Table8[[#This Row],[Document ID]],Table1[],8,FALSE)</f>
        <v>LTS 1.0</v>
      </c>
      <c r="G2749" s="233" t="str">
        <f>VLOOKUP(Table8[[#This Row],[Document ID]],Table1[],10,FALSE)</f>
        <v>Active</v>
      </c>
      <c r="H2749" s="43" t="s">
        <v>2343</v>
      </c>
      <c r="I2749" s="43" t="s">
        <v>2361</v>
      </c>
      <c r="J2749" s="44" t="s">
        <v>2366</v>
      </c>
      <c r="K2749" s="44" t="s">
        <v>4824</v>
      </c>
      <c r="L2749" s="44" t="s">
        <v>2347</v>
      </c>
      <c r="M2749" s="43">
        <v>7</v>
      </c>
      <c r="N2749" s="113"/>
      <c r="O2749" s="113"/>
      <c r="P2749" s="113" t="s">
        <v>1113</v>
      </c>
      <c r="Q2749" s="113"/>
      <c r="R2749" s="113"/>
      <c r="S2749" s="113"/>
      <c r="T2749" s="113"/>
      <c r="U2749" s="113"/>
      <c r="V2749" s="113"/>
      <c r="W2749" s="113"/>
      <c r="X2749" s="113"/>
      <c r="Y2749" s="113"/>
      <c r="Z2749" s="113"/>
      <c r="AA2749" s="113"/>
      <c r="AB2749" s="113"/>
      <c r="AC2749" s="113"/>
      <c r="AD2749" s="113"/>
      <c r="AE2749" s="113"/>
      <c r="AF2749" s="113"/>
      <c r="AG2749" s="113"/>
      <c r="AH2749" s="113"/>
      <c r="AI2749" s="113"/>
      <c r="AJ2749" s="113"/>
      <c r="AK2749" s="113" t="s">
        <v>1113</v>
      </c>
      <c r="AL2749" s="113"/>
      <c r="AM2749" s="113"/>
      <c r="AN2749" s="113"/>
      <c r="AO2749" s="44" t="s">
        <v>2334</v>
      </c>
      <c r="AP2749" s="43"/>
      <c r="AQ2749" s="236" t="str">
        <f>VLOOKUP(Table8[[#This Row],[Instrument]],Def_Targets!$D$73:$E$159,2,FALSE)</f>
        <v>S_Activemobility</v>
      </c>
      <c r="AR2749" s="233" t="str">
        <f>VLOOKUP(Table8[[#This Row],[Country Code]],Table29[],3,FALSE)</f>
        <v>Non-Annex I</v>
      </c>
      <c r="AS2749" s="233" t="str">
        <f>VLOOKUP(Table8[[#This Row],[Country Code]],Table29[],4,FALSE)</f>
        <v>Africa</v>
      </c>
      <c r="AT2749" s="233" t="str">
        <f>VLOOKUP(Table8[[#This Row],[Country Code]],Table29[],5,FALSE)</f>
        <v>Middle-income</v>
      </c>
      <c r="AU2749" s="233" t="str">
        <f>VLOOKUP(Table8[[#This Row],[Country Code]],Table29[],6,FALSE)</f>
        <v>no</v>
      </c>
      <c r="AV2749" s="233" t="str">
        <f>VLOOKUP(Table8[[#This Row],[Country Code]],Table29[],7,FALSE)</f>
        <v>no</v>
      </c>
      <c r="AW2749" s="233" t="str">
        <f>VLOOKUP(Table8[[#This Row],[Country Code]],Table29[],8,FALSE)</f>
        <v>non-OECD</v>
      </c>
      <c r="AX2749" s="233" t="str">
        <f>VLOOKUP(Table8[[#This Row],[Country Code]],Table29[],9,FALSE)</f>
        <v>no</v>
      </c>
      <c r="AY2749" s="233" t="str">
        <f>VLOOKUP(Table8[[#This Row],[Country Code]],Table29[],10,FALSE)</f>
        <v>no</v>
      </c>
      <c r="AZ2749" s="235">
        <f>VLOOKUP(Table8[[#This Row],[Country Code]],Table29[],23,FALSE)</f>
        <v>31.019306383581998</v>
      </c>
      <c r="BA2749" s="235">
        <f>VLOOKUP(Table8[[#This Row],[Country Code]],Table29[],24,FALSE)</f>
        <v>1.5180453178171209</v>
      </c>
      <c r="BB2749" s="320"/>
      <c r="BC2749" s="320"/>
    </row>
    <row r="2750" spans="1:55" ht="30" hidden="1" x14ac:dyDescent="0.25">
      <c r="A2750" s="398">
        <v>32526</v>
      </c>
      <c r="B2750" s="233" t="str">
        <f>VLOOKUP(Table8[[#This Row],[Document ID]],Table1[],2,FALSE)</f>
        <v>ZWE</v>
      </c>
      <c r="C2750" s="233" t="str">
        <f>VLOOKUP(Table8[[#This Row],[Document ID]],Table1[],3,FALSE)</f>
        <v>Zimbabwe</v>
      </c>
      <c r="D2750" s="243" t="str">
        <f>VLOOKUP(Table8[[#This Row],[Document ID]],Table1[],5,FALSE)</f>
        <v>LTS</v>
      </c>
      <c r="E2750" s="233" t="str">
        <f>VLOOKUP(Table8[[#This Row],[Document ID]],Table1[],7,FALSE)</f>
        <v>LTS</v>
      </c>
      <c r="F2750" s="233" t="str">
        <f>VLOOKUP(Table8[[#This Row],[Document ID]],Table1[],8,FALSE)</f>
        <v>LTS 1.0</v>
      </c>
      <c r="G2750" s="233" t="str">
        <f>VLOOKUP(Table8[[#This Row],[Document ID]],Table1[],10,FALSE)</f>
        <v>Active</v>
      </c>
      <c r="H2750" s="43" t="s">
        <v>2350</v>
      </c>
      <c r="I2750" s="43" t="s">
        <v>2456</v>
      </c>
      <c r="J2750" s="44" t="s">
        <v>2457</v>
      </c>
      <c r="K2750" s="44" t="s">
        <v>4825</v>
      </c>
      <c r="L2750" s="44" t="s">
        <v>2333</v>
      </c>
      <c r="M2750" s="43">
        <v>7</v>
      </c>
      <c r="N2750" s="113" t="s">
        <v>1113</v>
      </c>
      <c r="O2750" s="113"/>
      <c r="P2750" s="113"/>
      <c r="Q2750" s="113"/>
      <c r="R2750" s="113"/>
      <c r="S2750" s="113"/>
      <c r="T2750" s="113"/>
      <c r="U2750" s="113"/>
      <c r="V2750" s="113"/>
      <c r="W2750" s="113"/>
      <c r="X2750" s="113"/>
      <c r="Y2750" s="113"/>
      <c r="Z2750" s="113"/>
      <c r="AA2750" s="113"/>
      <c r="AB2750" s="113"/>
      <c r="AC2750" s="113"/>
      <c r="AD2750" s="113"/>
      <c r="AE2750" s="113"/>
      <c r="AF2750" s="113"/>
      <c r="AG2750" s="113"/>
      <c r="AH2750" s="113"/>
      <c r="AI2750" s="113"/>
      <c r="AJ2750" s="113"/>
      <c r="AK2750" s="113" t="s">
        <v>1113</v>
      </c>
      <c r="AL2750" s="113"/>
      <c r="AM2750" s="113"/>
      <c r="AN2750" s="113"/>
      <c r="AO2750" s="44" t="s">
        <v>2334</v>
      </c>
      <c r="AP2750" s="43"/>
      <c r="AQ2750" s="236" t="str">
        <f>VLOOKUP(Table8[[#This Row],[Instrument]],Def_Targets!$D$73:$E$159,2,FALSE)</f>
        <v>S_Infraimprove</v>
      </c>
      <c r="AR2750" s="233" t="str">
        <f>VLOOKUP(Table8[[#This Row],[Country Code]],Table29[],3,FALSE)</f>
        <v>Non-Annex I</v>
      </c>
      <c r="AS2750" s="233" t="str">
        <f>VLOOKUP(Table8[[#This Row],[Country Code]],Table29[],4,FALSE)</f>
        <v>Africa</v>
      </c>
      <c r="AT2750" s="233" t="str">
        <f>VLOOKUP(Table8[[#This Row],[Country Code]],Table29[],5,FALSE)</f>
        <v>Middle-income</v>
      </c>
      <c r="AU2750" s="233" t="str">
        <f>VLOOKUP(Table8[[#This Row],[Country Code]],Table29[],6,FALSE)</f>
        <v>no</v>
      </c>
      <c r="AV2750" s="233" t="str">
        <f>VLOOKUP(Table8[[#This Row],[Country Code]],Table29[],7,FALSE)</f>
        <v>no</v>
      </c>
      <c r="AW2750" s="233" t="str">
        <f>VLOOKUP(Table8[[#This Row],[Country Code]],Table29[],8,FALSE)</f>
        <v>non-OECD</v>
      </c>
      <c r="AX2750" s="233" t="str">
        <f>VLOOKUP(Table8[[#This Row],[Country Code]],Table29[],9,FALSE)</f>
        <v>no</v>
      </c>
      <c r="AY2750" s="233" t="str">
        <f>VLOOKUP(Table8[[#This Row],[Country Code]],Table29[],10,FALSE)</f>
        <v>no</v>
      </c>
      <c r="AZ2750" s="235">
        <f>VLOOKUP(Table8[[#This Row],[Country Code]],Table29[],23,FALSE)</f>
        <v>31.019306383581998</v>
      </c>
      <c r="BA2750" s="235">
        <f>VLOOKUP(Table8[[#This Row],[Country Code]],Table29[],24,FALSE)</f>
        <v>1.5180453178171209</v>
      </c>
      <c r="BB2750" s="320"/>
      <c r="BC2750" s="320"/>
    </row>
    <row r="2751" spans="1:55" ht="28.35" hidden="1" customHeight="1" x14ac:dyDescent="0.25">
      <c r="A2751" s="373">
        <v>41738</v>
      </c>
      <c r="B2751" s="233" t="str">
        <f>VLOOKUP(Table8[[#This Row],[Document ID]],Table1[],2,FALSE)</f>
        <v>GNQ</v>
      </c>
      <c r="C2751" s="233" t="str">
        <f>VLOOKUP(Table8[[#This Row],[Document ID]],Table1[],3,FALSE)</f>
        <v>Equatorial Guinea</v>
      </c>
      <c r="D2751" s="243" t="str">
        <f>VLOOKUP(Table8[[#This Row],[Document ID]],Table1[],5,FALSE)</f>
        <v>LTS</v>
      </c>
      <c r="E2751" s="233" t="str">
        <f>VLOOKUP(Table8[[#This Row],[Document ID]],Table1[],7,FALSE)</f>
        <v>LTS</v>
      </c>
      <c r="F2751" s="233" t="str">
        <f>VLOOKUP(Table8[[#This Row],[Document ID]],Table1[],8,FALSE)</f>
        <v>LTS 1.0</v>
      </c>
      <c r="G2751" s="233" t="str">
        <f>VLOOKUP(Table8[[#This Row],[Document ID]],Table1[],10,FALSE)</f>
        <v>Active</v>
      </c>
      <c r="H2751" s="43" t="s">
        <v>2484</v>
      </c>
      <c r="I2751" s="43" t="s">
        <v>2488</v>
      </c>
      <c r="J2751" s="44" t="s">
        <v>2489</v>
      </c>
      <c r="K2751" s="44" t="s">
        <v>4826</v>
      </c>
      <c r="L2751" s="44" t="s">
        <v>2333</v>
      </c>
      <c r="M2751" s="43">
        <v>28</v>
      </c>
      <c r="N2751" s="113"/>
      <c r="O2751" s="113"/>
      <c r="P2751" s="113"/>
      <c r="Q2751" s="113"/>
      <c r="R2751" s="113"/>
      <c r="S2751" s="113"/>
      <c r="T2751" s="113"/>
      <c r="U2751" s="113"/>
      <c r="V2751" s="113"/>
      <c r="W2751" s="113"/>
      <c r="X2751" s="113"/>
      <c r="Y2751" s="113"/>
      <c r="Z2751" s="113"/>
      <c r="AA2751" s="113"/>
      <c r="AB2751" s="113"/>
      <c r="AC2751" s="113"/>
      <c r="AD2751" s="113"/>
      <c r="AE2751" s="113"/>
      <c r="AF2751" s="113"/>
      <c r="AG2751" s="113"/>
      <c r="AH2751" s="113" t="s">
        <v>1113</v>
      </c>
      <c r="AI2751" s="113"/>
      <c r="AJ2751" s="113"/>
      <c r="AK2751" s="113" t="s">
        <v>1113</v>
      </c>
      <c r="AL2751" s="113"/>
      <c r="AM2751" s="113"/>
      <c r="AN2751" s="113"/>
      <c r="AO2751" s="43" t="s">
        <v>2477</v>
      </c>
      <c r="AP2751" s="43"/>
      <c r="AQ2751" s="236" t="str">
        <f>VLOOKUP(Table8[[#This Row],[Instrument]],Def_Targets!$D$73:$E$159,2,FALSE)</f>
        <v>I_Aviation</v>
      </c>
      <c r="AR2751" s="233" t="str">
        <f>VLOOKUP(Table8[[#This Row],[Country Code]],Table29[],3,FALSE)</f>
        <v>Non-Annex I</v>
      </c>
      <c r="AS2751" s="233" t="str">
        <f>VLOOKUP(Table8[[#This Row],[Country Code]],Table29[],4,FALSE)</f>
        <v>Africa</v>
      </c>
      <c r="AT2751" s="233" t="str">
        <f>VLOOKUP(Table8[[#This Row],[Country Code]],Table29[],5,FALSE)</f>
        <v>Middle-income</v>
      </c>
      <c r="AU2751" s="233" t="str">
        <f>VLOOKUP(Table8[[#This Row],[Country Code]],Table29[],6,FALSE)</f>
        <v>no</v>
      </c>
      <c r="AV2751" s="233" t="str">
        <f>VLOOKUP(Table8[[#This Row],[Country Code]],Table29[],7,FALSE)</f>
        <v>no</v>
      </c>
      <c r="AW2751" s="233" t="str">
        <f>VLOOKUP(Table8[[#This Row],[Country Code]],Table29[],8,FALSE)</f>
        <v>non-OECD</v>
      </c>
      <c r="AX2751" s="233" t="str">
        <f>VLOOKUP(Table8[[#This Row],[Country Code]],Table29[],9,FALSE)</f>
        <v>no</v>
      </c>
      <c r="AY2751" s="233" t="str">
        <f>VLOOKUP(Table8[[#This Row],[Country Code]],Table29[],10,FALSE)</f>
        <v>no</v>
      </c>
      <c r="AZ2751" s="235">
        <f>VLOOKUP(Table8[[#This Row],[Country Code]],Table29[],23,FALSE)</f>
        <v>6.9820980789903002</v>
      </c>
      <c r="BA2751" s="235">
        <f>VLOOKUP(Table8[[#This Row],[Country Code]],Table29[],24,FALSE)</f>
        <v>0.54145530040743117</v>
      </c>
      <c r="BB2751" s="320"/>
      <c r="BC2751" s="320"/>
    </row>
    <row r="2752" spans="1:55" ht="29.85" hidden="1" customHeight="1" x14ac:dyDescent="0.25">
      <c r="A2752" s="373">
        <v>41738</v>
      </c>
      <c r="B2752" s="233" t="str">
        <f>VLOOKUP(Table8[[#This Row],[Document ID]],Table1[],2,FALSE)</f>
        <v>GNQ</v>
      </c>
      <c r="C2752" s="233" t="str">
        <f>VLOOKUP(Table8[[#This Row],[Document ID]],Table1[],3,FALSE)</f>
        <v>Equatorial Guinea</v>
      </c>
      <c r="D2752" s="243" t="str">
        <f>VLOOKUP(Table8[[#This Row],[Document ID]],Table1[],5,FALSE)</f>
        <v>LTS</v>
      </c>
      <c r="E2752" s="233" t="str">
        <f>VLOOKUP(Table8[[#This Row],[Document ID]],Table1[],7,FALSE)</f>
        <v>LTS</v>
      </c>
      <c r="F2752" s="233" t="str">
        <f>VLOOKUP(Table8[[#This Row],[Document ID]],Table1[],8,FALSE)</f>
        <v>LTS 1.0</v>
      </c>
      <c r="G2752" s="233" t="str">
        <f>VLOOKUP(Table8[[#This Row],[Document ID]],Table1[],10,FALSE)</f>
        <v>Active</v>
      </c>
      <c r="H2752" s="43" t="s">
        <v>2484</v>
      </c>
      <c r="I2752" s="43" t="s">
        <v>2485</v>
      </c>
      <c r="J2752" s="44" t="s">
        <v>2669</v>
      </c>
      <c r="K2752" s="44" t="s">
        <v>4827</v>
      </c>
      <c r="L2752" s="44" t="s">
        <v>2333</v>
      </c>
      <c r="M2752" s="43">
        <v>28</v>
      </c>
      <c r="N2752" s="113"/>
      <c r="O2752" s="113"/>
      <c r="P2752" s="113"/>
      <c r="Q2752" s="113"/>
      <c r="R2752" s="113"/>
      <c r="S2752" s="113"/>
      <c r="T2752" s="113"/>
      <c r="U2752" s="113"/>
      <c r="V2752" s="113"/>
      <c r="W2752" s="113"/>
      <c r="X2752" s="113"/>
      <c r="Y2752" s="113"/>
      <c r="Z2752" s="113"/>
      <c r="AA2752" s="113"/>
      <c r="AB2752" s="113"/>
      <c r="AC2752" s="113"/>
      <c r="AD2752" s="113"/>
      <c r="AE2752" s="113"/>
      <c r="AF2752" s="113"/>
      <c r="AG2752" s="113" t="s">
        <v>1113</v>
      </c>
      <c r="AH2752" s="113"/>
      <c r="AI2752" s="113"/>
      <c r="AJ2752" s="113"/>
      <c r="AK2752" s="113" t="s">
        <v>1113</v>
      </c>
      <c r="AL2752" s="113"/>
      <c r="AM2752" s="113"/>
      <c r="AN2752" s="113"/>
      <c r="AO2752" s="44" t="s">
        <v>2334</v>
      </c>
      <c r="AP2752" s="43"/>
      <c r="AQ2752" s="236" t="str">
        <f>VLOOKUP(Table8[[#This Row],[Instrument]],Def_Targets!$D$73:$E$159,2,FALSE)</f>
        <v>I_Shipefficiency</v>
      </c>
      <c r="AR2752" s="233" t="str">
        <f>VLOOKUP(Table8[[#This Row],[Country Code]],Table29[],3,FALSE)</f>
        <v>Non-Annex I</v>
      </c>
      <c r="AS2752" s="233" t="str">
        <f>VLOOKUP(Table8[[#This Row],[Country Code]],Table29[],4,FALSE)</f>
        <v>Africa</v>
      </c>
      <c r="AT2752" s="233" t="str">
        <f>VLOOKUP(Table8[[#This Row],[Country Code]],Table29[],5,FALSE)</f>
        <v>Middle-income</v>
      </c>
      <c r="AU2752" s="233" t="str">
        <f>VLOOKUP(Table8[[#This Row],[Country Code]],Table29[],6,FALSE)</f>
        <v>no</v>
      </c>
      <c r="AV2752" s="233" t="str">
        <f>VLOOKUP(Table8[[#This Row],[Country Code]],Table29[],7,FALSE)</f>
        <v>no</v>
      </c>
      <c r="AW2752" s="233" t="str">
        <f>VLOOKUP(Table8[[#This Row],[Country Code]],Table29[],8,FALSE)</f>
        <v>non-OECD</v>
      </c>
      <c r="AX2752" s="233" t="str">
        <f>VLOOKUP(Table8[[#This Row],[Country Code]],Table29[],9,FALSE)</f>
        <v>no</v>
      </c>
      <c r="AY2752" s="233" t="str">
        <f>VLOOKUP(Table8[[#This Row],[Country Code]],Table29[],10,FALSE)</f>
        <v>no</v>
      </c>
      <c r="AZ2752" s="235">
        <f>VLOOKUP(Table8[[#This Row],[Country Code]],Table29[],23,FALSE)</f>
        <v>6.9820980789903002</v>
      </c>
      <c r="BA2752" s="235">
        <f>VLOOKUP(Table8[[#This Row],[Country Code]],Table29[],24,FALSE)</f>
        <v>0.54145530040743117</v>
      </c>
      <c r="BB2752" s="320"/>
      <c r="BC2752" s="320"/>
    </row>
    <row r="2753" spans="1:55" ht="29.85" hidden="1" customHeight="1" x14ac:dyDescent="0.25">
      <c r="A2753" s="373">
        <v>41738</v>
      </c>
      <c r="B2753" s="233" t="str">
        <f>VLOOKUP(Table8[[#This Row],[Document ID]],Table1[],2,FALSE)</f>
        <v>GNQ</v>
      </c>
      <c r="C2753" s="233" t="str">
        <f>VLOOKUP(Table8[[#This Row],[Document ID]],Table1[],3,FALSE)</f>
        <v>Equatorial Guinea</v>
      </c>
      <c r="D2753" s="243" t="str">
        <f>VLOOKUP(Table8[[#This Row],[Document ID]],Table1[],5,FALSE)</f>
        <v>LTS</v>
      </c>
      <c r="E2753" s="233" t="str">
        <f>VLOOKUP(Table8[[#This Row],[Document ID]],Table1[],7,FALSE)</f>
        <v>LTS</v>
      </c>
      <c r="F2753" s="233" t="str">
        <f>VLOOKUP(Table8[[#This Row],[Document ID]],Table1[],8,FALSE)</f>
        <v>LTS 1.0</v>
      </c>
      <c r="G2753" s="233" t="str">
        <f>VLOOKUP(Table8[[#This Row],[Document ID]],Table1[],10,FALSE)</f>
        <v>Active</v>
      </c>
      <c r="H2753" s="44" t="s">
        <v>2338</v>
      </c>
      <c r="I2753" s="44" t="s">
        <v>2339</v>
      </c>
      <c r="J2753" s="44" t="s">
        <v>2340</v>
      </c>
      <c r="K2753" s="44" t="s">
        <v>4827</v>
      </c>
      <c r="L2753" s="44" t="s">
        <v>2333</v>
      </c>
      <c r="M2753" s="43">
        <v>28</v>
      </c>
      <c r="N2753" s="113"/>
      <c r="O2753" s="113"/>
      <c r="P2753" s="113"/>
      <c r="Q2753" s="113"/>
      <c r="R2753" s="113"/>
      <c r="S2753" s="113"/>
      <c r="T2753" s="113" t="s">
        <v>1113</v>
      </c>
      <c r="U2753" s="113" t="s">
        <v>1113</v>
      </c>
      <c r="V2753" s="113"/>
      <c r="W2753" s="113"/>
      <c r="X2753" s="113" t="s">
        <v>1113</v>
      </c>
      <c r="Y2753" s="113"/>
      <c r="Z2753" s="113"/>
      <c r="AA2753" s="113"/>
      <c r="AB2753" s="113"/>
      <c r="AC2753" s="113"/>
      <c r="AD2753" s="113"/>
      <c r="AE2753" s="113"/>
      <c r="AF2753" s="113"/>
      <c r="AG2753" s="113"/>
      <c r="AH2753" s="113"/>
      <c r="AI2753" s="113"/>
      <c r="AJ2753" s="113"/>
      <c r="AK2753" s="113" t="s">
        <v>1113</v>
      </c>
      <c r="AL2753" s="113"/>
      <c r="AM2753" s="113"/>
      <c r="AN2753" s="113"/>
      <c r="AO2753" s="44" t="s">
        <v>2334</v>
      </c>
      <c r="AP2753" s="43"/>
      <c r="AQ2753" s="236" t="str">
        <f>VLOOKUP(Table8[[#This Row],[Instrument]],Def_Targets!$D$73:$E$159,2,FALSE)</f>
        <v>I_Vehicleimprove</v>
      </c>
      <c r="AR2753" s="233" t="str">
        <f>VLOOKUP(Table8[[#This Row],[Country Code]],Table29[],3,FALSE)</f>
        <v>Non-Annex I</v>
      </c>
      <c r="AS2753" s="233" t="str">
        <f>VLOOKUP(Table8[[#This Row],[Country Code]],Table29[],4,FALSE)</f>
        <v>Africa</v>
      </c>
      <c r="AT2753" s="233" t="str">
        <f>VLOOKUP(Table8[[#This Row],[Country Code]],Table29[],5,FALSE)</f>
        <v>Middle-income</v>
      </c>
      <c r="AU2753" s="233" t="str">
        <f>VLOOKUP(Table8[[#This Row],[Country Code]],Table29[],6,FALSE)</f>
        <v>no</v>
      </c>
      <c r="AV2753" s="233" t="str">
        <f>VLOOKUP(Table8[[#This Row],[Country Code]],Table29[],7,FALSE)</f>
        <v>no</v>
      </c>
      <c r="AW2753" s="233" t="str">
        <f>VLOOKUP(Table8[[#This Row],[Country Code]],Table29[],8,FALSE)</f>
        <v>non-OECD</v>
      </c>
      <c r="AX2753" s="233" t="str">
        <f>VLOOKUP(Table8[[#This Row],[Country Code]],Table29[],9,FALSE)</f>
        <v>no</v>
      </c>
      <c r="AY2753" s="233" t="str">
        <f>VLOOKUP(Table8[[#This Row],[Country Code]],Table29[],10,FALSE)</f>
        <v>no</v>
      </c>
      <c r="AZ2753" s="235">
        <f>VLOOKUP(Table8[[#This Row],[Country Code]],Table29[],23,FALSE)</f>
        <v>6.9820980789903002</v>
      </c>
      <c r="BA2753" s="235">
        <f>VLOOKUP(Table8[[#This Row],[Country Code]],Table29[],24,FALSE)</f>
        <v>0.54145530040743117</v>
      </c>
      <c r="BB2753" s="320"/>
      <c r="BC2753" s="320"/>
    </row>
    <row r="2754" spans="1:55" ht="15" hidden="1" customHeight="1" x14ac:dyDescent="0.25">
      <c r="A2754" s="373">
        <v>41738</v>
      </c>
      <c r="B2754" s="233" t="str">
        <f>VLOOKUP(Table8[[#This Row],[Document ID]],Table1[],2,FALSE)</f>
        <v>GNQ</v>
      </c>
      <c r="C2754" s="233" t="str">
        <f>VLOOKUP(Table8[[#This Row],[Document ID]],Table1[],3,FALSE)</f>
        <v>Equatorial Guinea</v>
      </c>
      <c r="D2754" s="243" t="str">
        <f>VLOOKUP(Table8[[#This Row],[Document ID]],Table1[],5,FALSE)</f>
        <v>LTS</v>
      </c>
      <c r="E2754" s="233" t="str">
        <f>VLOOKUP(Table8[[#This Row],[Document ID]],Table1[],7,FALSE)</f>
        <v>LTS</v>
      </c>
      <c r="F2754" s="233" t="str">
        <f>VLOOKUP(Table8[[#This Row],[Document ID]],Table1[],8,FALSE)</f>
        <v>LTS 1.0</v>
      </c>
      <c r="G2754" s="233" t="str">
        <f>VLOOKUP(Table8[[#This Row],[Document ID]],Table1[],10,FALSE)</f>
        <v>Active</v>
      </c>
      <c r="H2754" s="44" t="s">
        <v>2338</v>
      </c>
      <c r="I2754" s="44" t="s">
        <v>2339</v>
      </c>
      <c r="J2754" s="44" t="s">
        <v>2425</v>
      </c>
      <c r="K2754" s="44" t="s">
        <v>4828</v>
      </c>
      <c r="L2754" s="44" t="s">
        <v>2333</v>
      </c>
      <c r="M2754" s="43">
        <v>28</v>
      </c>
      <c r="N2754" s="113"/>
      <c r="O2754" s="113"/>
      <c r="P2754" s="113"/>
      <c r="Q2754" s="113"/>
      <c r="R2754" s="113"/>
      <c r="S2754" s="113"/>
      <c r="T2754" s="113" t="s">
        <v>1113</v>
      </c>
      <c r="U2754" s="113" t="s">
        <v>1113</v>
      </c>
      <c r="V2754" s="113"/>
      <c r="W2754" s="113"/>
      <c r="X2754" s="113" t="s">
        <v>1113</v>
      </c>
      <c r="Y2754" s="113"/>
      <c r="Z2754" s="113"/>
      <c r="AA2754" s="113"/>
      <c r="AB2754" s="113"/>
      <c r="AC2754" s="113"/>
      <c r="AD2754" s="113"/>
      <c r="AE2754" s="113"/>
      <c r="AF2754" s="113"/>
      <c r="AG2754" s="113"/>
      <c r="AH2754" s="113"/>
      <c r="AI2754" s="113"/>
      <c r="AJ2754" s="113"/>
      <c r="AK2754" s="113" t="s">
        <v>1113</v>
      </c>
      <c r="AL2754" s="113"/>
      <c r="AM2754" s="113"/>
      <c r="AN2754" s="113"/>
      <c r="AO2754" s="44" t="s">
        <v>2334</v>
      </c>
      <c r="AP2754" s="43"/>
      <c r="AQ2754" s="236" t="str">
        <f>VLOOKUP(Table8[[#This Row],[Instrument]],Def_Targets!$D$73:$E$159,2,FALSE)</f>
        <v>I_Efficiencystd</v>
      </c>
      <c r="AR2754" s="233" t="str">
        <f>VLOOKUP(Table8[[#This Row],[Country Code]],Table29[],3,FALSE)</f>
        <v>Non-Annex I</v>
      </c>
      <c r="AS2754" s="233" t="str">
        <f>VLOOKUP(Table8[[#This Row],[Country Code]],Table29[],4,FALSE)</f>
        <v>Africa</v>
      </c>
      <c r="AT2754" s="233" t="str">
        <f>VLOOKUP(Table8[[#This Row],[Country Code]],Table29[],5,FALSE)</f>
        <v>Middle-income</v>
      </c>
      <c r="AU2754" s="233" t="str">
        <f>VLOOKUP(Table8[[#This Row],[Country Code]],Table29[],6,FALSE)</f>
        <v>no</v>
      </c>
      <c r="AV2754" s="233" t="str">
        <f>VLOOKUP(Table8[[#This Row],[Country Code]],Table29[],7,FALSE)</f>
        <v>no</v>
      </c>
      <c r="AW2754" s="233" t="str">
        <f>VLOOKUP(Table8[[#This Row],[Country Code]],Table29[],8,FALSE)</f>
        <v>non-OECD</v>
      </c>
      <c r="AX2754" s="233" t="str">
        <f>VLOOKUP(Table8[[#This Row],[Country Code]],Table29[],9,FALSE)</f>
        <v>no</v>
      </c>
      <c r="AY2754" s="233" t="str">
        <f>VLOOKUP(Table8[[#This Row],[Country Code]],Table29[],10,FALSE)</f>
        <v>no</v>
      </c>
      <c r="AZ2754" s="235">
        <f>VLOOKUP(Table8[[#This Row],[Country Code]],Table29[],23,FALSE)</f>
        <v>6.9820980789903002</v>
      </c>
      <c r="BA2754" s="235">
        <f>VLOOKUP(Table8[[#This Row],[Country Code]],Table29[],24,FALSE)</f>
        <v>0.54145530040743117</v>
      </c>
      <c r="BB2754" s="320"/>
      <c r="BC2754" s="320"/>
    </row>
    <row r="2755" spans="1:55" ht="15" hidden="1" customHeight="1" x14ac:dyDescent="0.25">
      <c r="A2755" s="373">
        <v>41738</v>
      </c>
      <c r="B2755" s="233" t="str">
        <f>VLOOKUP(Table8[[#This Row],[Document ID]],Table1[],2,FALSE)</f>
        <v>GNQ</v>
      </c>
      <c r="C2755" s="233" t="str">
        <f>VLOOKUP(Table8[[#This Row],[Document ID]],Table1[],3,FALSE)</f>
        <v>Equatorial Guinea</v>
      </c>
      <c r="D2755" s="243" t="str">
        <f>VLOOKUP(Table8[[#This Row],[Document ID]],Table1[],5,FALSE)</f>
        <v>LTS</v>
      </c>
      <c r="E2755" s="233" t="str">
        <f>VLOOKUP(Table8[[#This Row],[Document ID]],Table1[],7,FALSE)</f>
        <v>LTS</v>
      </c>
      <c r="F2755" s="233" t="str">
        <f>VLOOKUP(Table8[[#This Row],[Document ID]],Table1[],8,FALSE)</f>
        <v>LTS 1.0</v>
      </c>
      <c r="G2755" s="233" t="str">
        <f>VLOOKUP(Table8[[#This Row],[Document ID]],Table1[],10,FALSE)</f>
        <v>Active</v>
      </c>
      <c r="H2755" s="44" t="s">
        <v>2338</v>
      </c>
      <c r="I2755" s="44" t="s">
        <v>2339</v>
      </c>
      <c r="J2755" s="44" t="s">
        <v>2425</v>
      </c>
      <c r="K2755" s="44" t="s">
        <v>4828</v>
      </c>
      <c r="L2755" s="44" t="s">
        <v>2333</v>
      </c>
      <c r="M2755" s="43">
        <v>28</v>
      </c>
      <c r="N2755" s="113"/>
      <c r="O2755" s="113"/>
      <c r="P2755" s="113"/>
      <c r="Q2755" s="113"/>
      <c r="R2755" s="113"/>
      <c r="S2755" s="113"/>
      <c r="T2755" s="113" t="s">
        <v>1113</v>
      </c>
      <c r="U2755" s="113" t="s">
        <v>1113</v>
      </c>
      <c r="V2755" s="113"/>
      <c r="W2755" s="113"/>
      <c r="X2755" s="113" t="s">
        <v>1113</v>
      </c>
      <c r="Y2755" s="113"/>
      <c r="Z2755" s="113"/>
      <c r="AA2755" s="113"/>
      <c r="AB2755" s="113"/>
      <c r="AC2755" s="113"/>
      <c r="AD2755" s="113"/>
      <c r="AE2755" s="113"/>
      <c r="AF2755" s="113"/>
      <c r="AG2755" s="113"/>
      <c r="AH2755" s="113"/>
      <c r="AI2755" s="113"/>
      <c r="AJ2755" s="113"/>
      <c r="AK2755" s="113" t="s">
        <v>1113</v>
      </c>
      <c r="AL2755" s="113"/>
      <c r="AM2755" s="113"/>
      <c r="AN2755" s="113"/>
      <c r="AO2755" s="44" t="s">
        <v>2334</v>
      </c>
      <c r="AP2755" s="43"/>
      <c r="AQ2755" s="236" t="str">
        <f>VLOOKUP(Table8[[#This Row],[Instrument]],Def_Targets!$D$73:$E$159,2,FALSE)</f>
        <v>I_Efficiencystd</v>
      </c>
      <c r="AR2755" s="233" t="str">
        <f>VLOOKUP(Table8[[#This Row],[Country Code]],Table29[],3,FALSE)</f>
        <v>Non-Annex I</v>
      </c>
      <c r="AS2755" s="233" t="str">
        <f>VLOOKUP(Table8[[#This Row],[Country Code]],Table29[],4,FALSE)</f>
        <v>Africa</v>
      </c>
      <c r="AT2755" s="233" t="str">
        <f>VLOOKUP(Table8[[#This Row],[Country Code]],Table29[],5,FALSE)</f>
        <v>Middle-income</v>
      </c>
      <c r="AU2755" s="233" t="str">
        <f>VLOOKUP(Table8[[#This Row],[Country Code]],Table29[],6,FALSE)</f>
        <v>no</v>
      </c>
      <c r="AV2755" s="233" t="str">
        <f>VLOOKUP(Table8[[#This Row],[Country Code]],Table29[],7,FALSE)</f>
        <v>no</v>
      </c>
      <c r="AW2755" s="233" t="str">
        <f>VLOOKUP(Table8[[#This Row],[Country Code]],Table29[],8,FALSE)</f>
        <v>non-OECD</v>
      </c>
      <c r="AX2755" s="233" t="str">
        <f>VLOOKUP(Table8[[#This Row],[Country Code]],Table29[],9,FALSE)</f>
        <v>no</v>
      </c>
      <c r="AY2755" s="233" t="str">
        <f>VLOOKUP(Table8[[#This Row],[Country Code]],Table29[],10,FALSE)</f>
        <v>no</v>
      </c>
      <c r="AZ2755" s="235">
        <f>VLOOKUP(Table8[[#This Row],[Country Code]],Table29[],23,FALSE)</f>
        <v>6.9820980789903002</v>
      </c>
      <c r="BA2755" s="235">
        <f>VLOOKUP(Table8[[#This Row],[Country Code]],Table29[],24,FALSE)</f>
        <v>0.54145530040743117</v>
      </c>
      <c r="BB2755" s="320"/>
      <c r="BC2755" s="320"/>
    </row>
    <row r="2756" spans="1:55" ht="29.85" hidden="1" customHeight="1" x14ac:dyDescent="0.25">
      <c r="A2756" s="373">
        <v>41738</v>
      </c>
      <c r="B2756" s="233" t="str">
        <f>VLOOKUP(Table8[[#This Row],[Document ID]],Table1[],2,FALSE)</f>
        <v>GNQ</v>
      </c>
      <c r="C2756" s="233" t="str">
        <f>VLOOKUP(Table8[[#This Row],[Document ID]],Table1[],3,FALSE)</f>
        <v>Equatorial Guinea</v>
      </c>
      <c r="D2756" s="243" t="str">
        <f>VLOOKUP(Table8[[#This Row],[Document ID]],Table1[],5,FALSE)</f>
        <v>LTS</v>
      </c>
      <c r="E2756" s="233" t="str">
        <f>VLOOKUP(Table8[[#This Row],[Document ID]],Table1[],7,FALSE)</f>
        <v>LTS</v>
      </c>
      <c r="F2756" s="233" t="str">
        <f>VLOOKUP(Table8[[#This Row],[Document ID]],Table1[],8,FALSE)</f>
        <v>LTS 1.0</v>
      </c>
      <c r="G2756" s="233" t="str">
        <f>VLOOKUP(Table8[[#This Row],[Document ID]],Table1[],10,FALSE)</f>
        <v>Active</v>
      </c>
      <c r="H2756" s="43" t="s">
        <v>2343</v>
      </c>
      <c r="I2756" s="43" t="s">
        <v>2344</v>
      </c>
      <c r="J2756" s="44" t="s">
        <v>2345</v>
      </c>
      <c r="K2756" s="44" t="s">
        <v>4829</v>
      </c>
      <c r="L2756" s="44" t="s">
        <v>2333</v>
      </c>
      <c r="M2756" s="43">
        <v>29</v>
      </c>
      <c r="N2756" s="113" t="s">
        <v>1113</v>
      </c>
      <c r="O2756" s="113"/>
      <c r="P2756" s="113"/>
      <c r="Q2756" s="113"/>
      <c r="R2756" s="113"/>
      <c r="S2756" s="113"/>
      <c r="T2756" s="113"/>
      <c r="U2756" s="113"/>
      <c r="V2756" s="113"/>
      <c r="W2756" s="113"/>
      <c r="X2756" s="113"/>
      <c r="Y2756" s="113"/>
      <c r="Z2756" s="113"/>
      <c r="AA2756" s="113"/>
      <c r="AB2756" s="113"/>
      <c r="AC2756" s="113"/>
      <c r="AD2756" s="113"/>
      <c r="AE2756" s="113"/>
      <c r="AF2756" s="113"/>
      <c r="AG2756" s="113"/>
      <c r="AH2756" s="113"/>
      <c r="AI2756" s="113"/>
      <c r="AJ2756" s="113"/>
      <c r="AK2756" s="113"/>
      <c r="AL2756" s="113" t="s">
        <v>1113</v>
      </c>
      <c r="AM2756" s="113"/>
      <c r="AN2756" s="113"/>
      <c r="AO2756" s="43" t="s">
        <v>2348</v>
      </c>
      <c r="AP2756" s="43"/>
      <c r="AQ2756" s="236" t="str">
        <f>VLOOKUP(Table8[[#This Row],[Instrument]],Def_Targets!$D$73:$E$159,2,FALSE)</f>
        <v>S_PublicTransport</v>
      </c>
      <c r="AR2756" s="233" t="str">
        <f>VLOOKUP(Table8[[#This Row],[Country Code]],Table29[],3,FALSE)</f>
        <v>Non-Annex I</v>
      </c>
      <c r="AS2756" s="233" t="str">
        <f>VLOOKUP(Table8[[#This Row],[Country Code]],Table29[],4,FALSE)</f>
        <v>Africa</v>
      </c>
      <c r="AT2756" s="233" t="str">
        <f>VLOOKUP(Table8[[#This Row],[Country Code]],Table29[],5,FALSE)</f>
        <v>Middle-income</v>
      </c>
      <c r="AU2756" s="233" t="str">
        <f>VLOOKUP(Table8[[#This Row],[Country Code]],Table29[],6,FALSE)</f>
        <v>no</v>
      </c>
      <c r="AV2756" s="233" t="str">
        <f>VLOOKUP(Table8[[#This Row],[Country Code]],Table29[],7,FALSE)</f>
        <v>no</v>
      </c>
      <c r="AW2756" s="233" t="str">
        <f>VLOOKUP(Table8[[#This Row],[Country Code]],Table29[],8,FALSE)</f>
        <v>non-OECD</v>
      </c>
      <c r="AX2756" s="233" t="str">
        <f>VLOOKUP(Table8[[#This Row],[Country Code]],Table29[],9,FALSE)</f>
        <v>no</v>
      </c>
      <c r="AY2756" s="233" t="str">
        <f>VLOOKUP(Table8[[#This Row],[Country Code]],Table29[],10,FALSE)</f>
        <v>no</v>
      </c>
      <c r="AZ2756" s="235">
        <f>VLOOKUP(Table8[[#This Row],[Country Code]],Table29[],23,FALSE)</f>
        <v>6.9820980789903002</v>
      </c>
      <c r="BA2756" s="235">
        <f>VLOOKUP(Table8[[#This Row],[Country Code]],Table29[],24,FALSE)</f>
        <v>0.54145530040743117</v>
      </c>
      <c r="BB2756" s="320"/>
      <c r="BC2756" s="320"/>
    </row>
    <row r="2757" spans="1:55" ht="18.600000000000001" hidden="1" customHeight="1" x14ac:dyDescent="0.25">
      <c r="A2757" s="373">
        <v>41738</v>
      </c>
      <c r="B2757" s="233" t="str">
        <f>VLOOKUP(Table8[[#This Row],[Document ID]],Table1[],2,FALSE)</f>
        <v>GNQ</v>
      </c>
      <c r="C2757" s="233" t="str">
        <f>VLOOKUP(Table8[[#This Row],[Document ID]],Table1[],3,FALSE)</f>
        <v>Equatorial Guinea</v>
      </c>
      <c r="D2757" s="243" t="str">
        <f>VLOOKUP(Table8[[#This Row],[Document ID]],Table1[],5,FALSE)</f>
        <v>LTS</v>
      </c>
      <c r="E2757" s="233" t="str">
        <f>VLOOKUP(Table8[[#This Row],[Document ID]],Table1[],7,FALSE)</f>
        <v>LTS</v>
      </c>
      <c r="F2757" s="233" t="str">
        <f>VLOOKUP(Table8[[#This Row],[Document ID]],Table1[],8,FALSE)</f>
        <v>LTS 1.0</v>
      </c>
      <c r="G2757" s="233" t="str">
        <f>VLOOKUP(Table8[[#This Row],[Document ID]],Table1[],10,FALSE)</f>
        <v>Active</v>
      </c>
      <c r="H2757" s="43" t="s">
        <v>2343</v>
      </c>
      <c r="I2757" s="43" t="s">
        <v>2386</v>
      </c>
      <c r="J2757" s="44" t="s">
        <v>3055</v>
      </c>
      <c r="K2757" s="44" t="s">
        <v>4830</v>
      </c>
      <c r="L2757" s="44" t="s">
        <v>2373</v>
      </c>
      <c r="M2757" s="43">
        <v>29</v>
      </c>
      <c r="N2757" s="113" t="s">
        <v>1113</v>
      </c>
      <c r="O2757" s="113"/>
      <c r="P2757" s="113"/>
      <c r="Q2757" s="113"/>
      <c r="R2757" s="113"/>
      <c r="S2757" s="113"/>
      <c r="T2757" s="113"/>
      <c r="U2757" s="113"/>
      <c r="V2757" s="113"/>
      <c r="W2757" s="113"/>
      <c r="X2757" s="113"/>
      <c r="Y2757" s="113"/>
      <c r="Z2757" s="113"/>
      <c r="AA2757" s="113"/>
      <c r="AB2757" s="113"/>
      <c r="AC2757" s="113"/>
      <c r="AD2757" s="113"/>
      <c r="AE2757" s="113"/>
      <c r="AF2757" s="113"/>
      <c r="AG2757" s="113"/>
      <c r="AH2757" s="113"/>
      <c r="AI2757" s="113"/>
      <c r="AJ2757" s="113"/>
      <c r="AK2757" s="113" t="s">
        <v>1113</v>
      </c>
      <c r="AL2757" s="113"/>
      <c r="AM2757" s="113"/>
      <c r="AN2757" s="113"/>
      <c r="AO2757" s="44" t="s">
        <v>2334</v>
      </c>
      <c r="AP2757" s="43"/>
      <c r="AQ2757" s="236" t="str">
        <f>VLOOKUP(Table8[[#This Row],[Instrument]],Def_Targets!$D$73:$E$159,2,FALSE)</f>
        <v>A_Emistrad</v>
      </c>
      <c r="AR2757" s="233" t="str">
        <f>VLOOKUP(Table8[[#This Row],[Country Code]],Table29[],3,FALSE)</f>
        <v>Non-Annex I</v>
      </c>
      <c r="AS2757" s="233" t="str">
        <f>VLOOKUP(Table8[[#This Row],[Country Code]],Table29[],4,FALSE)</f>
        <v>Africa</v>
      </c>
      <c r="AT2757" s="233" t="str">
        <f>VLOOKUP(Table8[[#This Row],[Country Code]],Table29[],5,FALSE)</f>
        <v>Middle-income</v>
      </c>
      <c r="AU2757" s="233" t="str">
        <f>VLOOKUP(Table8[[#This Row],[Country Code]],Table29[],6,FALSE)</f>
        <v>no</v>
      </c>
      <c r="AV2757" s="233" t="str">
        <f>VLOOKUP(Table8[[#This Row],[Country Code]],Table29[],7,FALSE)</f>
        <v>no</v>
      </c>
      <c r="AW2757" s="233" t="str">
        <f>VLOOKUP(Table8[[#This Row],[Country Code]],Table29[],8,FALSE)</f>
        <v>non-OECD</v>
      </c>
      <c r="AX2757" s="233" t="str">
        <f>VLOOKUP(Table8[[#This Row],[Country Code]],Table29[],9,FALSE)</f>
        <v>no</v>
      </c>
      <c r="AY2757" s="233" t="str">
        <f>VLOOKUP(Table8[[#This Row],[Country Code]],Table29[],10,FALSE)</f>
        <v>no</v>
      </c>
      <c r="AZ2757" s="235">
        <f>VLOOKUP(Table8[[#This Row],[Country Code]],Table29[],23,FALSE)</f>
        <v>6.9820980789903002</v>
      </c>
      <c r="BA2757" s="235">
        <f>VLOOKUP(Table8[[#This Row],[Country Code]],Table29[],24,FALSE)</f>
        <v>0.54145530040743117</v>
      </c>
      <c r="BB2757" s="320"/>
      <c r="BC2757" s="320"/>
    </row>
    <row r="2758" spans="1:55" ht="15" hidden="1" customHeight="1" x14ac:dyDescent="0.25">
      <c r="A2758" s="373">
        <v>41738</v>
      </c>
      <c r="B2758" s="233" t="str">
        <f>VLOOKUP(Table8[[#This Row],[Document ID]],Table1[],2,FALSE)</f>
        <v>GNQ</v>
      </c>
      <c r="C2758" s="233" t="str">
        <f>VLOOKUP(Table8[[#This Row],[Document ID]],Table1[],3,FALSE)</f>
        <v>Equatorial Guinea</v>
      </c>
      <c r="D2758" s="243" t="str">
        <f>VLOOKUP(Table8[[#This Row],[Document ID]],Table1[],5,FALSE)</f>
        <v>LTS</v>
      </c>
      <c r="E2758" s="233" t="str">
        <f>VLOOKUP(Table8[[#This Row],[Document ID]],Table1[],7,FALSE)</f>
        <v>LTS</v>
      </c>
      <c r="F2758" s="233" t="str">
        <f>VLOOKUP(Table8[[#This Row],[Document ID]],Table1[],8,FALSE)</f>
        <v>LTS 1.0</v>
      </c>
      <c r="G2758" s="233" t="str">
        <f>VLOOKUP(Table8[[#This Row],[Document ID]],Table1[],10,FALSE)</f>
        <v>Active</v>
      </c>
      <c r="H2758" s="43" t="s">
        <v>2343</v>
      </c>
      <c r="I2758" s="43" t="s">
        <v>2361</v>
      </c>
      <c r="J2758" s="44" t="s">
        <v>2366</v>
      </c>
      <c r="K2758" s="44" t="s">
        <v>4831</v>
      </c>
      <c r="L2758" s="44" t="s">
        <v>2347</v>
      </c>
      <c r="M2758" s="43">
        <v>29</v>
      </c>
      <c r="N2758" s="113"/>
      <c r="O2758" s="113"/>
      <c r="P2758" s="113" t="s">
        <v>1113</v>
      </c>
      <c r="Q2758" s="113"/>
      <c r="R2758" s="113"/>
      <c r="S2758" s="113"/>
      <c r="T2758" s="113"/>
      <c r="U2758" s="113"/>
      <c r="V2758" s="113"/>
      <c r="W2758" s="113"/>
      <c r="X2758" s="113"/>
      <c r="Y2758" s="113"/>
      <c r="Z2758" s="113"/>
      <c r="AA2758" s="113"/>
      <c r="AB2758" s="113"/>
      <c r="AC2758" s="113"/>
      <c r="AD2758" s="113"/>
      <c r="AE2758" s="113"/>
      <c r="AF2758" s="113"/>
      <c r="AG2758" s="113"/>
      <c r="AH2758" s="113"/>
      <c r="AI2758" s="113"/>
      <c r="AJ2758" s="113"/>
      <c r="AK2758" s="113" t="s">
        <v>1113</v>
      </c>
      <c r="AL2758" s="113"/>
      <c r="AM2758" s="113"/>
      <c r="AN2758" s="113"/>
      <c r="AO2758" s="43" t="s">
        <v>2348</v>
      </c>
      <c r="AP2758" s="43"/>
      <c r="AQ2758" s="236" t="str">
        <f>VLOOKUP(Table8[[#This Row],[Instrument]],Def_Targets!$D$73:$E$159,2,FALSE)</f>
        <v>S_Activemobility</v>
      </c>
      <c r="AR2758" s="233" t="str">
        <f>VLOOKUP(Table8[[#This Row],[Country Code]],Table29[],3,FALSE)</f>
        <v>Non-Annex I</v>
      </c>
      <c r="AS2758" s="233" t="str">
        <f>VLOOKUP(Table8[[#This Row],[Country Code]],Table29[],4,FALSE)</f>
        <v>Africa</v>
      </c>
      <c r="AT2758" s="233" t="str">
        <f>VLOOKUP(Table8[[#This Row],[Country Code]],Table29[],5,FALSE)</f>
        <v>Middle-income</v>
      </c>
      <c r="AU2758" s="233" t="str">
        <f>VLOOKUP(Table8[[#This Row],[Country Code]],Table29[],6,FALSE)</f>
        <v>no</v>
      </c>
      <c r="AV2758" s="233" t="str">
        <f>VLOOKUP(Table8[[#This Row],[Country Code]],Table29[],7,FALSE)</f>
        <v>no</v>
      </c>
      <c r="AW2758" s="233" t="str">
        <f>VLOOKUP(Table8[[#This Row],[Country Code]],Table29[],8,FALSE)</f>
        <v>non-OECD</v>
      </c>
      <c r="AX2758" s="233" t="str">
        <f>VLOOKUP(Table8[[#This Row],[Country Code]],Table29[],9,FALSE)</f>
        <v>no</v>
      </c>
      <c r="AY2758" s="233" t="str">
        <f>VLOOKUP(Table8[[#This Row],[Country Code]],Table29[],10,FALSE)</f>
        <v>no</v>
      </c>
      <c r="AZ2758" s="235">
        <f>VLOOKUP(Table8[[#This Row],[Country Code]],Table29[],23,FALSE)</f>
        <v>6.9820980789903002</v>
      </c>
      <c r="BA2758" s="235">
        <f>VLOOKUP(Table8[[#This Row],[Country Code]],Table29[],24,FALSE)</f>
        <v>0.54145530040743117</v>
      </c>
      <c r="BB2758" s="320"/>
      <c r="BC2758" s="320"/>
    </row>
    <row r="2759" spans="1:55" ht="15" hidden="1" customHeight="1" x14ac:dyDescent="0.25">
      <c r="A2759" s="373">
        <v>41738</v>
      </c>
      <c r="B2759" s="233" t="str">
        <f>VLOOKUP(Table8[[#This Row],[Document ID]],Table1[],2,FALSE)</f>
        <v>GNQ</v>
      </c>
      <c r="C2759" s="233" t="str">
        <f>VLOOKUP(Table8[[#This Row],[Document ID]],Table1[],3,FALSE)</f>
        <v>Equatorial Guinea</v>
      </c>
      <c r="D2759" s="243" t="str">
        <f>VLOOKUP(Table8[[#This Row],[Document ID]],Table1[],5,FALSE)</f>
        <v>LTS</v>
      </c>
      <c r="E2759" s="233" t="str">
        <f>VLOOKUP(Table8[[#This Row],[Document ID]],Table1[],7,FALSE)</f>
        <v>LTS</v>
      </c>
      <c r="F2759" s="233" t="str">
        <f>VLOOKUP(Table8[[#This Row],[Document ID]],Table1[],8,FALSE)</f>
        <v>LTS 1.0</v>
      </c>
      <c r="G2759" s="233" t="str">
        <f>VLOOKUP(Table8[[#This Row],[Document ID]],Table1[],10,FALSE)</f>
        <v>Active</v>
      </c>
      <c r="H2759" s="43" t="s">
        <v>2343</v>
      </c>
      <c r="I2759" s="43" t="s">
        <v>2344</v>
      </c>
      <c r="J2759" s="44" t="s">
        <v>2345</v>
      </c>
      <c r="K2759" s="44" t="s">
        <v>4832</v>
      </c>
      <c r="L2759" s="44" t="s">
        <v>2347</v>
      </c>
      <c r="M2759" s="43">
        <v>28</v>
      </c>
      <c r="N2759" s="113"/>
      <c r="O2759" s="113"/>
      <c r="P2759" s="113"/>
      <c r="Q2759" s="113"/>
      <c r="R2759" s="113"/>
      <c r="S2759" s="113"/>
      <c r="T2759" s="113"/>
      <c r="U2759" s="113"/>
      <c r="V2759" s="113"/>
      <c r="W2759" s="113"/>
      <c r="X2759" s="113"/>
      <c r="Y2759" s="113" t="s">
        <v>1113</v>
      </c>
      <c r="Z2759" s="113"/>
      <c r="AA2759" s="113"/>
      <c r="AB2759" s="113"/>
      <c r="AC2759" s="113"/>
      <c r="AD2759" s="113"/>
      <c r="AE2759" s="113"/>
      <c r="AF2759" s="113"/>
      <c r="AG2759" s="113"/>
      <c r="AH2759" s="113"/>
      <c r="AI2759" s="113"/>
      <c r="AJ2759" s="113"/>
      <c r="AK2759" s="113"/>
      <c r="AL2759" s="113" t="s">
        <v>1113</v>
      </c>
      <c r="AM2759" s="113"/>
      <c r="AN2759" s="113" t="s">
        <v>1113</v>
      </c>
      <c r="AO2759" s="43" t="s">
        <v>2348</v>
      </c>
      <c r="AP2759" s="43"/>
      <c r="AQ2759" s="236" t="str">
        <f>VLOOKUP(Table8[[#This Row],[Instrument]],Def_Targets!$D$73:$E$159,2,FALSE)</f>
        <v>S_PublicTransport</v>
      </c>
      <c r="AR2759" s="233" t="str">
        <f>VLOOKUP(Table8[[#This Row],[Country Code]],Table29[],3,FALSE)</f>
        <v>Non-Annex I</v>
      </c>
      <c r="AS2759" s="233" t="str">
        <f>VLOOKUP(Table8[[#This Row],[Country Code]],Table29[],4,FALSE)</f>
        <v>Africa</v>
      </c>
      <c r="AT2759" s="233" t="str">
        <f>VLOOKUP(Table8[[#This Row],[Country Code]],Table29[],5,FALSE)</f>
        <v>Middle-income</v>
      </c>
      <c r="AU2759" s="233" t="str">
        <f>VLOOKUP(Table8[[#This Row],[Country Code]],Table29[],6,FALSE)</f>
        <v>no</v>
      </c>
      <c r="AV2759" s="233" t="str">
        <f>VLOOKUP(Table8[[#This Row],[Country Code]],Table29[],7,FALSE)</f>
        <v>no</v>
      </c>
      <c r="AW2759" s="233" t="str">
        <f>VLOOKUP(Table8[[#This Row],[Country Code]],Table29[],8,FALSE)</f>
        <v>non-OECD</v>
      </c>
      <c r="AX2759" s="233" t="str">
        <f>VLOOKUP(Table8[[#This Row],[Country Code]],Table29[],9,FALSE)</f>
        <v>no</v>
      </c>
      <c r="AY2759" s="233" t="str">
        <f>VLOOKUP(Table8[[#This Row],[Country Code]],Table29[],10,FALSE)</f>
        <v>no</v>
      </c>
      <c r="AZ2759" s="235">
        <f>VLOOKUP(Table8[[#This Row],[Country Code]],Table29[],23,FALSE)</f>
        <v>6.9820980789903002</v>
      </c>
      <c r="BA2759" s="235">
        <f>VLOOKUP(Table8[[#This Row],[Country Code]],Table29[],24,FALSE)</f>
        <v>0.54145530040743117</v>
      </c>
      <c r="BB2759" s="320"/>
      <c r="BC2759" s="320"/>
    </row>
    <row r="2760" spans="1:55" ht="15" hidden="1" customHeight="1" x14ac:dyDescent="0.25">
      <c r="A2760" s="373">
        <v>41748</v>
      </c>
      <c r="B2760" s="233" t="str">
        <f>VLOOKUP(Table8[[#This Row],[Document ID]],Table1[],2,FALSE)</f>
        <v>NGA</v>
      </c>
      <c r="C2760" s="233" t="str">
        <f>VLOOKUP(Table8[[#This Row],[Document ID]],Table1[],3,FALSE)</f>
        <v>Nigeria</v>
      </c>
      <c r="D2760" s="243" t="str">
        <f>VLOOKUP(Table8[[#This Row],[Document ID]],Table1[],5,FALSE)</f>
        <v>LTS</v>
      </c>
      <c r="E2760" s="233" t="str">
        <f>VLOOKUP(Table8[[#This Row],[Document ID]],Table1[],7,FALSE)</f>
        <v>LTS</v>
      </c>
      <c r="F2760" s="233" t="str">
        <f>VLOOKUP(Table8[[#This Row],[Document ID]],Table1[],8,FALSE)</f>
        <v>LTS 2.0</v>
      </c>
      <c r="G2760" s="233" t="str">
        <f>VLOOKUP(Table8[[#This Row],[Document ID]],Table1[],10,FALSE)</f>
        <v>Active</v>
      </c>
      <c r="H2760" s="43" t="s">
        <v>2358</v>
      </c>
      <c r="I2760" s="43" t="s">
        <v>2359</v>
      </c>
      <c r="J2760" s="44" t="s">
        <v>2360</v>
      </c>
      <c r="K2760" s="44" t="s">
        <v>4833</v>
      </c>
      <c r="L2760" s="44" t="s">
        <v>2333</v>
      </c>
      <c r="M2760" s="43">
        <v>20</v>
      </c>
      <c r="N2760" s="113"/>
      <c r="O2760" s="113"/>
      <c r="P2760" s="113"/>
      <c r="Q2760" s="113"/>
      <c r="R2760" s="113"/>
      <c r="S2760" s="113"/>
      <c r="T2760" s="113" t="s">
        <v>1113</v>
      </c>
      <c r="U2760" s="113" t="s">
        <v>1113</v>
      </c>
      <c r="V2760" s="113" t="s">
        <v>1113</v>
      </c>
      <c r="W2760" s="113" t="s">
        <v>1113</v>
      </c>
      <c r="X2760" s="113" t="s">
        <v>1113</v>
      </c>
      <c r="Y2760" s="113" t="s">
        <v>1113</v>
      </c>
      <c r="Z2760" s="113"/>
      <c r="AA2760" s="113"/>
      <c r="AB2760" s="113"/>
      <c r="AC2760" s="113"/>
      <c r="AD2760" s="113"/>
      <c r="AE2760" s="113"/>
      <c r="AF2760" s="113"/>
      <c r="AG2760" s="113"/>
      <c r="AH2760" s="113"/>
      <c r="AI2760" s="113"/>
      <c r="AJ2760" s="113"/>
      <c r="AK2760" s="113" t="s">
        <v>1113</v>
      </c>
      <c r="AL2760" s="113"/>
      <c r="AM2760" s="113"/>
      <c r="AN2760" s="113"/>
      <c r="AO2760" s="44" t="s">
        <v>2334</v>
      </c>
      <c r="AP2760" s="43"/>
      <c r="AQ2760" s="236" t="str">
        <f>VLOOKUP(Table8[[#This Row],[Instrument]],Def_Targets!$D$73:$E$159,2,FALSE)</f>
        <v>I_Emobility</v>
      </c>
      <c r="AR2760" s="233" t="str">
        <f>VLOOKUP(Table8[[#This Row],[Country Code]],Table29[],3,FALSE)</f>
        <v>Non-Annex I</v>
      </c>
      <c r="AS2760" s="233" t="str">
        <f>VLOOKUP(Table8[[#This Row],[Country Code]],Table29[],4,FALSE)</f>
        <v>Africa</v>
      </c>
      <c r="AT2760" s="233" t="str">
        <f>VLOOKUP(Table8[[#This Row],[Country Code]],Table29[],5,FALSE)</f>
        <v>Middle-income</v>
      </c>
      <c r="AU2760" s="233" t="str">
        <f>VLOOKUP(Table8[[#This Row],[Country Code]],Table29[],6,FALSE)</f>
        <v>no</v>
      </c>
      <c r="AV2760" s="233" t="str">
        <f>VLOOKUP(Table8[[#This Row],[Country Code]],Table29[],7,FALSE)</f>
        <v>no</v>
      </c>
      <c r="AW2760" s="233" t="str">
        <f>VLOOKUP(Table8[[#This Row],[Country Code]],Table29[],8,FALSE)</f>
        <v>non-OECD</v>
      </c>
      <c r="AX2760" s="233" t="str">
        <f>VLOOKUP(Table8[[#This Row],[Country Code]],Table29[],9,FALSE)</f>
        <v>no</v>
      </c>
      <c r="AY2760" s="233" t="str">
        <f>VLOOKUP(Table8[[#This Row],[Country Code]],Table29[],10,FALSE)</f>
        <v>no</v>
      </c>
      <c r="AZ2760" s="235">
        <f>VLOOKUP(Table8[[#This Row],[Country Code]],Table29[],23,FALSE)</f>
        <v>385.11288377147002</v>
      </c>
      <c r="BA2760" s="235">
        <f>VLOOKUP(Table8[[#This Row],[Country Code]],Table29[],24,FALSE)</f>
        <v>58.971195919965467</v>
      </c>
      <c r="BB2760" s="320"/>
      <c r="BC2760" s="320"/>
    </row>
    <row r="2761" spans="1:55" ht="15" hidden="1" customHeight="1" x14ac:dyDescent="0.25">
      <c r="A2761" s="373">
        <v>41748</v>
      </c>
      <c r="B2761" s="233" t="str">
        <f>VLOOKUP(Table8[[#This Row],[Document ID]],Table1[],2,FALSE)</f>
        <v>NGA</v>
      </c>
      <c r="C2761" s="233" t="str">
        <f>VLOOKUP(Table8[[#This Row],[Document ID]],Table1[],3,FALSE)</f>
        <v>Nigeria</v>
      </c>
      <c r="D2761" s="243" t="str">
        <f>VLOOKUP(Table8[[#This Row],[Document ID]],Table1[],5,FALSE)</f>
        <v>LTS</v>
      </c>
      <c r="E2761" s="233" t="str">
        <f>VLOOKUP(Table8[[#This Row],[Document ID]],Table1[],7,FALSE)</f>
        <v>LTS</v>
      </c>
      <c r="F2761" s="233" t="str">
        <f>VLOOKUP(Table8[[#This Row],[Document ID]],Table1[],8,FALSE)</f>
        <v>LTS 2.0</v>
      </c>
      <c r="G2761" s="233" t="str">
        <f>VLOOKUP(Table8[[#This Row],[Document ID]],Table1[],10,FALSE)</f>
        <v>Active</v>
      </c>
      <c r="H2761" s="44" t="s">
        <v>2329</v>
      </c>
      <c r="I2761" s="44" t="s">
        <v>2330</v>
      </c>
      <c r="J2761" s="44" t="s">
        <v>2357</v>
      </c>
      <c r="K2761" s="44" t="s">
        <v>4833</v>
      </c>
      <c r="L2761" s="44" t="s">
        <v>2333</v>
      </c>
      <c r="M2761" s="43">
        <v>20</v>
      </c>
      <c r="N2761" s="113"/>
      <c r="O2761" s="113"/>
      <c r="P2761" s="113"/>
      <c r="Q2761" s="113"/>
      <c r="R2761" s="113"/>
      <c r="S2761" s="113"/>
      <c r="T2761" s="113" t="s">
        <v>1113</v>
      </c>
      <c r="U2761" s="113" t="s">
        <v>1113</v>
      </c>
      <c r="V2761" s="113" t="s">
        <v>1113</v>
      </c>
      <c r="W2761" s="113" t="s">
        <v>1113</v>
      </c>
      <c r="X2761" s="113" t="s">
        <v>1113</v>
      </c>
      <c r="Y2761" s="113" t="s">
        <v>1113</v>
      </c>
      <c r="Z2761" s="113"/>
      <c r="AA2761" s="113"/>
      <c r="AB2761" s="113"/>
      <c r="AC2761" s="113"/>
      <c r="AD2761" s="113"/>
      <c r="AE2761" s="113"/>
      <c r="AF2761" s="113"/>
      <c r="AG2761" s="113"/>
      <c r="AH2761" s="113"/>
      <c r="AI2761" s="113"/>
      <c r="AJ2761" s="113"/>
      <c r="AK2761" s="113" t="s">
        <v>1113</v>
      </c>
      <c r="AL2761" s="113"/>
      <c r="AM2761" s="113"/>
      <c r="AN2761" s="113"/>
      <c r="AO2761" s="44" t="s">
        <v>2334</v>
      </c>
      <c r="AP2761" s="43"/>
      <c r="AQ2761" s="236" t="str">
        <f>VLOOKUP(Table8[[#This Row],[Instrument]],Def_Targets!$D$73:$E$159,2,FALSE)</f>
        <v>I_Biofuel</v>
      </c>
      <c r="AR2761" s="233" t="str">
        <f>VLOOKUP(Table8[[#This Row],[Country Code]],Table29[],3,FALSE)</f>
        <v>Non-Annex I</v>
      </c>
      <c r="AS2761" s="233" t="str">
        <f>VLOOKUP(Table8[[#This Row],[Country Code]],Table29[],4,FALSE)</f>
        <v>Africa</v>
      </c>
      <c r="AT2761" s="233" t="str">
        <f>VLOOKUP(Table8[[#This Row],[Country Code]],Table29[],5,FALSE)</f>
        <v>Middle-income</v>
      </c>
      <c r="AU2761" s="233" t="str">
        <f>VLOOKUP(Table8[[#This Row],[Country Code]],Table29[],6,FALSE)</f>
        <v>no</v>
      </c>
      <c r="AV2761" s="233" t="str">
        <f>VLOOKUP(Table8[[#This Row],[Country Code]],Table29[],7,FALSE)</f>
        <v>no</v>
      </c>
      <c r="AW2761" s="233" t="str">
        <f>VLOOKUP(Table8[[#This Row],[Country Code]],Table29[],8,FALSE)</f>
        <v>non-OECD</v>
      </c>
      <c r="AX2761" s="233" t="str">
        <f>VLOOKUP(Table8[[#This Row],[Country Code]],Table29[],9,FALSE)</f>
        <v>no</v>
      </c>
      <c r="AY2761" s="233" t="str">
        <f>VLOOKUP(Table8[[#This Row],[Country Code]],Table29[],10,FALSE)</f>
        <v>no</v>
      </c>
      <c r="AZ2761" s="235">
        <f>VLOOKUP(Table8[[#This Row],[Country Code]],Table29[],23,FALSE)</f>
        <v>385.11288377147002</v>
      </c>
      <c r="BA2761" s="235">
        <f>VLOOKUP(Table8[[#This Row],[Country Code]],Table29[],24,FALSE)</f>
        <v>58.971195919965467</v>
      </c>
      <c r="BB2761" s="320"/>
      <c r="BC2761" s="320"/>
    </row>
    <row r="2762" spans="1:55" ht="15" hidden="1" customHeight="1" x14ac:dyDescent="0.25">
      <c r="A2762" s="373">
        <v>41748</v>
      </c>
      <c r="B2762" s="233" t="str">
        <f>VLOOKUP(Table8[[#This Row],[Document ID]],Table1[],2,FALSE)</f>
        <v>NGA</v>
      </c>
      <c r="C2762" s="233" t="str">
        <f>VLOOKUP(Table8[[#This Row],[Document ID]],Table1[],3,FALSE)</f>
        <v>Nigeria</v>
      </c>
      <c r="D2762" s="243" t="str">
        <f>VLOOKUP(Table8[[#This Row],[Document ID]],Table1[],5,FALSE)</f>
        <v>LTS</v>
      </c>
      <c r="E2762" s="233" t="str">
        <f>VLOOKUP(Table8[[#This Row],[Document ID]],Table1[],7,FALSE)</f>
        <v>LTS</v>
      </c>
      <c r="F2762" s="233" t="str">
        <f>VLOOKUP(Table8[[#This Row],[Document ID]],Table1[],8,FALSE)</f>
        <v>LTS 2.0</v>
      </c>
      <c r="G2762" s="233" t="str">
        <f>VLOOKUP(Table8[[#This Row],[Document ID]],Table1[],10,FALSE)</f>
        <v>Active</v>
      </c>
      <c r="H2762" s="44" t="s">
        <v>2329</v>
      </c>
      <c r="I2762" s="44" t="s">
        <v>2330</v>
      </c>
      <c r="J2762" s="44" t="s">
        <v>2363</v>
      </c>
      <c r="K2762" s="44" t="s">
        <v>4834</v>
      </c>
      <c r="L2762" s="44" t="s">
        <v>2333</v>
      </c>
      <c r="M2762" s="43">
        <v>20</v>
      </c>
      <c r="N2762" s="113" t="s">
        <v>1113</v>
      </c>
      <c r="O2762" s="113"/>
      <c r="P2762" s="113"/>
      <c r="Q2762" s="113"/>
      <c r="R2762" s="113"/>
      <c r="S2762" s="113"/>
      <c r="T2762" s="113"/>
      <c r="U2762" s="113"/>
      <c r="V2762" s="113"/>
      <c r="W2762" s="113"/>
      <c r="X2762" s="113"/>
      <c r="Y2762" s="113"/>
      <c r="Z2762" s="113"/>
      <c r="AA2762" s="113"/>
      <c r="AB2762" s="113"/>
      <c r="AC2762" s="113"/>
      <c r="AD2762" s="113"/>
      <c r="AE2762" s="113"/>
      <c r="AF2762" s="113"/>
      <c r="AG2762" s="113"/>
      <c r="AH2762" s="113"/>
      <c r="AI2762" s="113"/>
      <c r="AJ2762" s="113"/>
      <c r="AK2762" s="113" t="s">
        <v>1113</v>
      </c>
      <c r="AL2762" s="113"/>
      <c r="AM2762" s="113"/>
      <c r="AN2762" s="113"/>
      <c r="AO2762" s="44" t="s">
        <v>2334</v>
      </c>
      <c r="AP2762" s="43"/>
      <c r="AQ2762" s="236" t="str">
        <f>VLOOKUP(Table8[[#This Row],[Instrument]],Def_Targets!$D$73:$E$159,2,FALSE)</f>
        <v>I_LPGCNGLNG</v>
      </c>
      <c r="AR2762" s="233" t="str">
        <f>VLOOKUP(Table8[[#This Row],[Country Code]],Table29[],3,FALSE)</f>
        <v>Non-Annex I</v>
      </c>
      <c r="AS2762" s="233" t="str">
        <f>VLOOKUP(Table8[[#This Row],[Country Code]],Table29[],4,FALSE)</f>
        <v>Africa</v>
      </c>
      <c r="AT2762" s="233" t="str">
        <f>VLOOKUP(Table8[[#This Row],[Country Code]],Table29[],5,FALSE)</f>
        <v>Middle-income</v>
      </c>
      <c r="AU2762" s="233" t="str">
        <f>VLOOKUP(Table8[[#This Row],[Country Code]],Table29[],6,FALSE)</f>
        <v>no</v>
      </c>
      <c r="AV2762" s="233" t="str">
        <f>VLOOKUP(Table8[[#This Row],[Country Code]],Table29[],7,FALSE)</f>
        <v>no</v>
      </c>
      <c r="AW2762" s="233" t="str">
        <f>VLOOKUP(Table8[[#This Row],[Country Code]],Table29[],8,FALSE)</f>
        <v>non-OECD</v>
      </c>
      <c r="AX2762" s="233" t="str">
        <f>VLOOKUP(Table8[[#This Row],[Country Code]],Table29[],9,FALSE)</f>
        <v>no</v>
      </c>
      <c r="AY2762" s="233" t="str">
        <f>VLOOKUP(Table8[[#This Row],[Country Code]],Table29[],10,FALSE)</f>
        <v>no</v>
      </c>
      <c r="AZ2762" s="235">
        <f>VLOOKUP(Table8[[#This Row],[Country Code]],Table29[],23,FALSE)</f>
        <v>385.11288377147002</v>
      </c>
      <c r="BA2762" s="235">
        <f>VLOOKUP(Table8[[#This Row],[Country Code]],Table29[],24,FALSE)</f>
        <v>58.971195919965467</v>
      </c>
      <c r="BB2762" s="320"/>
      <c r="BC2762" s="320"/>
    </row>
    <row r="2763" spans="1:55" ht="15" hidden="1" customHeight="1" x14ac:dyDescent="0.25">
      <c r="A2763" s="373">
        <v>41748</v>
      </c>
      <c r="B2763" s="233" t="str">
        <f>VLOOKUP(Table8[[#This Row],[Document ID]],Table1[],2,FALSE)</f>
        <v>NGA</v>
      </c>
      <c r="C2763" s="233" t="str">
        <f>VLOOKUP(Table8[[#This Row],[Document ID]],Table1[],3,FALSE)</f>
        <v>Nigeria</v>
      </c>
      <c r="D2763" s="243" t="str">
        <f>VLOOKUP(Table8[[#This Row],[Document ID]],Table1[],5,FALSE)</f>
        <v>LTS</v>
      </c>
      <c r="E2763" s="233" t="str">
        <f>VLOOKUP(Table8[[#This Row],[Document ID]],Table1[],7,FALSE)</f>
        <v>LTS</v>
      </c>
      <c r="F2763" s="233" t="str">
        <f>VLOOKUP(Table8[[#This Row],[Document ID]],Table1[],8,FALSE)</f>
        <v>LTS 2.0</v>
      </c>
      <c r="G2763" s="233" t="str">
        <f>VLOOKUP(Table8[[#This Row],[Document ID]],Table1[],10,FALSE)</f>
        <v>Active</v>
      </c>
      <c r="H2763" s="43" t="s">
        <v>2343</v>
      </c>
      <c r="I2763" s="43" t="s">
        <v>2377</v>
      </c>
      <c r="J2763" s="44" t="s">
        <v>2394</v>
      </c>
      <c r="K2763" s="44" t="s">
        <v>4835</v>
      </c>
      <c r="L2763" s="44" t="s">
        <v>2380</v>
      </c>
      <c r="M2763" s="43">
        <v>20</v>
      </c>
      <c r="N2763" s="113" t="s">
        <v>1113</v>
      </c>
      <c r="O2763" s="113"/>
      <c r="P2763" s="113"/>
      <c r="Q2763" s="113"/>
      <c r="R2763" s="113"/>
      <c r="S2763" s="113"/>
      <c r="T2763" s="113"/>
      <c r="U2763" s="113"/>
      <c r="V2763" s="113"/>
      <c r="W2763" s="113"/>
      <c r="X2763" s="113"/>
      <c r="Y2763" s="113"/>
      <c r="Z2763" s="113"/>
      <c r="AA2763" s="113"/>
      <c r="AB2763" s="113"/>
      <c r="AC2763" s="113"/>
      <c r="AD2763" s="113"/>
      <c r="AE2763" s="113"/>
      <c r="AF2763" s="113"/>
      <c r="AG2763" s="113"/>
      <c r="AH2763" s="113"/>
      <c r="AI2763" s="113"/>
      <c r="AJ2763" s="113"/>
      <c r="AK2763" s="113" t="s">
        <v>1113</v>
      </c>
      <c r="AL2763" s="113"/>
      <c r="AM2763" s="113"/>
      <c r="AN2763" s="113"/>
      <c r="AO2763" s="44" t="s">
        <v>2334</v>
      </c>
      <c r="AP2763" s="43"/>
      <c r="AQ2763" s="236" t="str">
        <f>VLOOKUP(Table8[[#This Row],[Instrument]],Def_Targets!$D$73:$E$159,2,FALSE)</f>
        <v>A_TDM</v>
      </c>
      <c r="AR2763" s="233" t="str">
        <f>VLOOKUP(Table8[[#This Row],[Country Code]],Table29[],3,FALSE)</f>
        <v>Non-Annex I</v>
      </c>
      <c r="AS2763" s="233" t="str">
        <f>VLOOKUP(Table8[[#This Row],[Country Code]],Table29[],4,FALSE)</f>
        <v>Africa</v>
      </c>
      <c r="AT2763" s="233" t="str">
        <f>VLOOKUP(Table8[[#This Row],[Country Code]],Table29[],5,FALSE)</f>
        <v>Middle-income</v>
      </c>
      <c r="AU2763" s="233" t="str">
        <f>VLOOKUP(Table8[[#This Row],[Country Code]],Table29[],6,FALSE)</f>
        <v>no</v>
      </c>
      <c r="AV2763" s="233" t="str">
        <f>VLOOKUP(Table8[[#This Row],[Country Code]],Table29[],7,FALSE)</f>
        <v>no</v>
      </c>
      <c r="AW2763" s="233" t="str">
        <f>VLOOKUP(Table8[[#This Row],[Country Code]],Table29[],8,FALSE)</f>
        <v>non-OECD</v>
      </c>
      <c r="AX2763" s="233" t="str">
        <f>VLOOKUP(Table8[[#This Row],[Country Code]],Table29[],9,FALSE)</f>
        <v>no</v>
      </c>
      <c r="AY2763" s="233" t="str">
        <f>VLOOKUP(Table8[[#This Row],[Country Code]],Table29[],10,FALSE)</f>
        <v>no</v>
      </c>
      <c r="AZ2763" s="235">
        <f>VLOOKUP(Table8[[#This Row],[Country Code]],Table29[],23,FALSE)</f>
        <v>385.11288377147002</v>
      </c>
      <c r="BA2763" s="235">
        <f>VLOOKUP(Table8[[#This Row],[Country Code]],Table29[],24,FALSE)</f>
        <v>58.971195919965467</v>
      </c>
      <c r="BB2763" s="320"/>
      <c r="BC2763" s="320"/>
    </row>
    <row r="2764" spans="1:55" ht="15" hidden="1" customHeight="1" x14ac:dyDescent="0.25">
      <c r="A2764" s="373">
        <v>41748</v>
      </c>
      <c r="B2764" s="233" t="str">
        <f>VLOOKUP(Table8[[#This Row],[Document ID]],Table1[],2,FALSE)</f>
        <v>NGA</v>
      </c>
      <c r="C2764" s="233" t="str">
        <f>VLOOKUP(Table8[[#This Row],[Document ID]],Table1[],3,FALSE)</f>
        <v>Nigeria</v>
      </c>
      <c r="D2764" s="243" t="str">
        <f>VLOOKUP(Table8[[#This Row],[Document ID]],Table1[],5,FALSE)</f>
        <v>LTS</v>
      </c>
      <c r="E2764" s="233" t="str">
        <f>VLOOKUP(Table8[[#This Row],[Document ID]],Table1[],7,FALSE)</f>
        <v>LTS</v>
      </c>
      <c r="F2764" s="233" t="str">
        <f>VLOOKUP(Table8[[#This Row],[Document ID]],Table1[],8,FALSE)</f>
        <v>LTS 2.0</v>
      </c>
      <c r="G2764" s="233" t="str">
        <f>VLOOKUP(Table8[[#This Row],[Document ID]],Table1[],10,FALSE)</f>
        <v>Active</v>
      </c>
      <c r="H2764" s="43" t="s">
        <v>2350</v>
      </c>
      <c r="I2764" s="43" t="s">
        <v>2407</v>
      </c>
      <c r="J2764" s="44" t="s">
        <v>2408</v>
      </c>
      <c r="K2764" s="44" t="s">
        <v>4836</v>
      </c>
      <c r="L2764" s="44" t="s">
        <v>2347</v>
      </c>
      <c r="M2764" s="43">
        <v>20</v>
      </c>
      <c r="N2764" s="113" t="s">
        <v>1113</v>
      </c>
      <c r="O2764" s="113"/>
      <c r="P2764" s="113"/>
      <c r="Q2764" s="113"/>
      <c r="R2764" s="113"/>
      <c r="S2764" s="113"/>
      <c r="T2764" s="113"/>
      <c r="U2764" s="113"/>
      <c r="V2764" s="113"/>
      <c r="W2764" s="113"/>
      <c r="X2764" s="113"/>
      <c r="Y2764" s="113"/>
      <c r="Z2764" s="113"/>
      <c r="AA2764" s="113"/>
      <c r="AB2764" s="113"/>
      <c r="AC2764" s="113"/>
      <c r="AD2764" s="113"/>
      <c r="AE2764" s="113"/>
      <c r="AF2764" s="113"/>
      <c r="AG2764" s="113"/>
      <c r="AH2764" s="113"/>
      <c r="AI2764" s="113"/>
      <c r="AJ2764" s="113"/>
      <c r="AK2764" s="113" t="s">
        <v>1113</v>
      </c>
      <c r="AL2764" s="113"/>
      <c r="AM2764" s="113"/>
      <c r="AN2764" s="113"/>
      <c r="AO2764" s="44" t="s">
        <v>2334</v>
      </c>
      <c r="AP2764" s="43"/>
      <c r="AQ2764" s="236" t="str">
        <f>VLOOKUP(Table8[[#This Row],[Instrument]],Def_Targets!$D$73:$E$159,2,FALSE)</f>
        <v>I_Education</v>
      </c>
      <c r="AR2764" s="233" t="str">
        <f>VLOOKUP(Table8[[#This Row],[Country Code]],Table29[],3,FALSE)</f>
        <v>Non-Annex I</v>
      </c>
      <c r="AS2764" s="233" t="str">
        <f>VLOOKUP(Table8[[#This Row],[Country Code]],Table29[],4,FALSE)</f>
        <v>Africa</v>
      </c>
      <c r="AT2764" s="233" t="str">
        <f>VLOOKUP(Table8[[#This Row],[Country Code]],Table29[],5,FALSE)</f>
        <v>Middle-income</v>
      </c>
      <c r="AU2764" s="233" t="str">
        <f>VLOOKUP(Table8[[#This Row],[Country Code]],Table29[],6,FALSE)</f>
        <v>no</v>
      </c>
      <c r="AV2764" s="233" t="str">
        <f>VLOOKUP(Table8[[#This Row],[Country Code]],Table29[],7,FALSE)</f>
        <v>no</v>
      </c>
      <c r="AW2764" s="233" t="str">
        <f>VLOOKUP(Table8[[#This Row],[Country Code]],Table29[],8,FALSE)</f>
        <v>non-OECD</v>
      </c>
      <c r="AX2764" s="233" t="str">
        <f>VLOOKUP(Table8[[#This Row],[Country Code]],Table29[],9,FALSE)</f>
        <v>no</v>
      </c>
      <c r="AY2764" s="233" t="str">
        <f>VLOOKUP(Table8[[#This Row],[Country Code]],Table29[],10,FALSE)</f>
        <v>no</v>
      </c>
      <c r="AZ2764" s="235">
        <f>VLOOKUP(Table8[[#This Row],[Country Code]],Table29[],23,FALSE)</f>
        <v>385.11288377147002</v>
      </c>
      <c r="BA2764" s="235">
        <f>VLOOKUP(Table8[[#This Row],[Country Code]],Table29[],24,FALSE)</f>
        <v>58.971195919965467</v>
      </c>
      <c r="BB2764" s="320"/>
      <c r="BC2764" s="320"/>
    </row>
    <row r="2765" spans="1:55" ht="15" hidden="1" customHeight="1" x14ac:dyDescent="0.25">
      <c r="A2765" s="373">
        <v>41748</v>
      </c>
      <c r="B2765" s="233" t="str">
        <f>VLOOKUP(Table8[[#This Row],[Document ID]],Table1[],2,FALSE)</f>
        <v>NGA</v>
      </c>
      <c r="C2765" s="233" t="str">
        <f>VLOOKUP(Table8[[#This Row],[Document ID]],Table1[],3,FALSE)</f>
        <v>Nigeria</v>
      </c>
      <c r="D2765" s="243" t="str">
        <f>VLOOKUP(Table8[[#This Row],[Document ID]],Table1[],5,FALSE)</f>
        <v>LTS</v>
      </c>
      <c r="E2765" s="233" t="str">
        <f>VLOOKUP(Table8[[#This Row],[Document ID]],Table1[],7,FALSE)</f>
        <v>LTS</v>
      </c>
      <c r="F2765" s="233" t="str">
        <f>VLOOKUP(Table8[[#This Row],[Document ID]],Table1[],8,FALSE)</f>
        <v>LTS 2.0</v>
      </c>
      <c r="G2765" s="233" t="str">
        <f>VLOOKUP(Table8[[#This Row],[Document ID]],Table1[],10,FALSE)</f>
        <v>Active</v>
      </c>
      <c r="H2765" s="44" t="s">
        <v>2338</v>
      </c>
      <c r="I2765" s="44" t="s">
        <v>2339</v>
      </c>
      <c r="J2765" s="44" t="s">
        <v>2425</v>
      </c>
      <c r="K2765" s="44" t="s">
        <v>1933</v>
      </c>
      <c r="L2765" s="44" t="s">
        <v>2333</v>
      </c>
      <c r="M2765" s="43">
        <v>20</v>
      </c>
      <c r="N2765" s="113"/>
      <c r="O2765" s="113"/>
      <c r="P2765" s="113"/>
      <c r="Q2765" s="113"/>
      <c r="R2765" s="113"/>
      <c r="S2765" s="113"/>
      <c r="T2765" s="113" t="s">
        <v>1113</v>
      </c>
      <c r="U2765" s="113" t="s">
        <v>1113</v>
      </c>
      <c r="V2765" s="113" t="s">
        <v>1113</v>
      </c>
      <c r="W2765" s="113" t="s">
        <v>1113</v>
      </c>
      <c r="X2765" s="113" t="s">
        <v>1113</v>
      </c>
      <c r="Y2765" s="113" t="s">
        <v>1113</v>
      </c>
      <c r="Z2765" s="113"/>
      <c r="AA2765" s="113"/>
      <c r="AB2765" s="113"/>
      <c r="AC2765" s="113"/>
      <c r="AD2765" s="113"/>
      <c r="AE2765" s="113"/>
      <c r="AF2765" s="113"/>
      <c r="AG2765" s="113"/>
      <c r="AH2765" s="113"/>
      <c r="AI2765" s="113"/>
      <c r="AJ2765" s="113"/>
      <c r="AK2765" s="113" t="s">
        <v>1113</v>
      </c>
      <c r="AL2765" s="113"/>
      <c r="AM2765" s="113"/>
      <c r="AN2765" s="113"/>
      <c r="AO2765" s="44" t="s">
        <v>2334</v>
      </c>
      <c r="AP2765" s="43"/>
      <c r="AQ2765" s="236" t="str">
        <f>VLOOKUP(Table8[[#This Row],[Instrument]],Def_Targets!$D$73:$E$159,2,FALSE)</f>
        <v>I_Efficiencystd</v>
      </c>
      <c r="AR2765" s="233" t="str">
        <f>VLOOKUP(Table8[[#This Row],[Country Code]],Table29[],3,FALSE)</f>
        <v>Non-Annex I</v>
      </c>
      <c r="AS2765" s="233" t="str">
        <f>VLOOKUP(Table8[[#This Row],[Country Code]],Table29[],4,FALSE)</f>
        <v>Africa</v>
      </c>
      <c r="AT2765" s="233" t="str">
        <f>VLOOKUP(Table8[[#This Row],[Country Code]],Table29[],5,FALSE)</f>
        <v>Middle-income</v>
      </c>
      <c r="AU2765" s="233" t="str">
        <f>VLOOKUP(Table8[[#This Row],[Country Code]],Table29[],6,FALSE)</f>
        <v>no</v>
      </c>
      <c r="AV2765" s="233" t="str">
        <f>VLOOKUP(Table8[[#This Row],[Country Code]],Table29[],7,FALSE)</f>
        <v>no</v>
      </c>
      <c r="AW2765" s="233" t="str">
        <f>VLOOKUP(Table8[[#This Row],[Country Code]],Table29[],8,FALSE)</f>
        <v>non-OECD</v>
      </c>
      <c r="AX2765" s="233" t="str">
        <f>VLOOKUP(Table8[[#This Row],[Country Code]],Table29[],9,FALSE)</f>
        <v>no</v>
      </c>
      <c r="AY2765" s="233" t="str">
        <f>VLOOKUP(Table8[[#This Row],[Country Code]],Table29[],10,FALSE)</f>
        <v>no</v>
      </c>
      <c r="AZ2765" s="235">
        <f>VLOOKUP(Table8[[#This Row],[Country Code]],Table29[],23,FALSE)</f>
        <v>385.11288377147002</v>
      </c>
      <c r="BA2765" s="235">
        <f>VLOOKUP(Table8[[#This Row],[Country Code]],Table29[],24,FALSE)</f>
        <v>58.971195919965467</v>
      </c>
      <c r="BB2765" s="320"/>
      <c r="BC2765" s="320"/>
    </row>
    <row r="2766" spans="1:55" ht="45" hidden="1" customHeight="1" x14ac:dyDescent="0.25">
      <c r="A2766" s="373">
        <v>41748</v>
      </c>
      <c r="B2766" s="233" t="str">
        <f>VLOOKUP(Table8[[#This Row],[Document ID]],Table1[],2,FALSE)</f>
        <v>NGA</v>
      </c>
      <c r="C2766" s="233" t="str">
        <f>VLOOKUP(Table8[[#This Row],[Document ID]],Table1[],3,FALSE)</f>
        <v>Nigeria</v>
      </c>
      <c r="D2766" s="243" t="str">
        <f>VLOOKUP(Table8[[#This Row],[Document ID]],Table1[],5,FALSE)</f>
        <v>LTS</v>
      </c>
      <c r="E2766" s="233" t="str">
        <f>VLOOKUP(Table8[[#This Row],[Document ID]],Table1[],7,FALSE)</f>
        <v>LTS</v>
      </c>
      <c r="F2766" s="233" t="str">
        <f>VLOOKUP(Table8[[#This Row],[Document ID]],Table1[],8,FALSE)</f>
        <v>LTS 2.0</v>
      </c>
      <c r="G2766" s="233" t="str">
        <f>VLOOKUP(Table8[[#This Row],[Document ID]],Table1[],10,FALSE)</f>
        <v>Active</v>
      </c>
      <c r="H2766" s="43" t="s">
        <v>2343</v>
      </c>
      <c r="I2766" s="43" t="s">
        <v>2429</v>
      </c>
      <c r="J2766" s="44" t="s">
        <v>2472</v>
      </c>
      <c r="K2766" s="44" t="s">
        <v>4837</v>
      </c>
      <c r="L2766" s="44" t="s">
        <v>2373</v>
      </c>
      <c r="M2766" s="43">
        <v>20</v>
      </c>
      <c r="N2766" s="113" t="s">
        <v>1113</v>
      </c>
      <c r="O2766" s="113"/>
      <c r="P2766" s="113"/>
      <c r="Q2766" s="113"/>
      <c r="R2766" s="113"/>
      <c r="S2766" s="113"/>
      <c r="T2766" s="113"/>
      <c r="U2766" s="113"/>
      <c r="V2766" s="113"/>
      <c r="W2766" s="113"/>
      <c r="X2766" s="113"/>
      <c r="Y2766" s="113"/>
      <c r="Z2766" s="113"/>
      <c r="AA2766" s="113"/>
      <c r="AB2766" s="113"/>
      <c r="AC2766" s="113"/>
      <c r="AD2766" s="113"/>
      <c r="AE2766" s="113"/>
      <c r="AF2766" s="113"/>
      <c r="AG2766" s="113"/>
      <c r="AH2766" s="113"/>
      <c r="AI2766" s="113"/>
      <c r="AJ2766" s="113"/>
      <c r="AK2766" s="113" t="s">
        <v>1113</v>
      </c>
      <c r="AL2766" s="113"/>
      <c r="AM2766" s="113"/>
      <c r="AN2766" s="113"/>
      <c r="AO2766" s="44" t="s">
        <v>2334</v>
      </c>
      <c r="AP2766" s="43"/>
      <c r="AQ2766" s="236" t="str">
        <f>VLOOKUP(Table8[[#This Row],[Instrument]],Def_Targets!$D$73:$E$159,2,FALSE)</f>
        <v>I_Other</v>
      </c>
      <c r="AR2766" s="233" t="str">
        <f>VLOOKUP(Table8[[#This Row],[Country Code]],Table29[],3,FALSE)</f>
        <v>Non-Annex I</v>
      </c>
      <c r="AS2766" s="233" t="str">
        <f>VLOOKUP(Table8[[#This Row],[Country Code]],Table29[],4,FALSE)</f>
        <v>Africa</v>
      </c>
      <c r="AT2766" s="233" t="str">
        <f>VLOOKUP(Table8[[#This Row],[Country Code]],Table29[],5,FALSE)</f>
        <v>Middle-income</v>
      </c>
      <c r="AU2766" s="233" t="str">
        <f>VLOOKUP(Table8[[#This Row],[Country Code]],Table29[],6,FALSE)</f>
        <v>no</v>
      </c>
      <c r="AV2766" s="233" t="str">
        <f>VLOOKUP(Table8[[#This Row],[Country Code]],Table29[],7,FALSE)</f>
        <v>no</v>
      </c>
      <c r="AW2766" s="233" t="str">
        <f>VLOOKUP(Table8[[#This Row],[Country Code]],Table29[],8,FALSE)</f>
        <v>non-OECD</v>
      </c>
      <c r="AX2766" s="233" t="str">
        <f>VLOOKUP(Table8[[#This Row],[Country Code]],Table29[],9,FALSE)</f>
        <v>no</v>
      </c>
      <c r="AY2766" s="233" t="str">
        <f>VLOOKUP(Table8[[#This Row],[Country Code]],Table29[],10,FALSE)</f>
        <v>no</v>
      </c>
      <c r="AZ2766" s="235">
        <f>VLOOKUP(Table8[[#This Row],[Country Code]],Table29[],23,FALSE)</f>
        <v>385.11288377147002</v>
      </c>
      <c r="BA2766" s="235">
        <f>VLOOKUP(Table8[[#This Row],[Country Code]],Table29[],24,FALSE)</f>
        <v>58.971195919965467</v>
      </c>
      <c r="BB2766" s="320"/>
      <c r="BC2766" s="320"/>
    </row>
    <row r="2767" spans="1:55" ht="45" hidden="1" customHeight="1" x14ac:dyDescent="0.25">
      <c r="A2767" s="373">
        <v>41748</v>
      </c>
      <c r="B2767" s="233" t="str">
        <f>VLOOKUP(Table8[[#This Row],[Document ID]],Table1[],2,FALSE)</f>
        <v>NGA</v>
      </c>
      <c r="C2767" s="233" t="str">
        <f>VLOOKUP(Table8[[#This Row],[Document ID]],Table1[],3,FALSE)</f>
        <v>Nigeria</v>
      </c>
      <c r="D2767" s="243" t="str">
        <f>VLOOKUP(Table8[[#This Row],[Document ID]],Table1[],5,FALSE)</f>
        <v>LTS</v>
      </c>
      <c r="E2767" s="233" t="str">
        <f>VLOOKUP(Table8[[#This Row],[Document ID]],Table1[],7,FALSE)</f>
        <v>LTS</v>
      </c>
      <c r="F2767" s="233" t="str">
        <f>VLOOKUP(Table8[[#This Row],[Document ID]],Table1[],8,FALSE)</f>
        <v>LTS 2.0</v>
      </c>
      <c r="G2767" s="233" t="str">
        <f>VLOOKUP(Table8[[#This Row],[Document ID]],Table1[],10,FALSE)</f>
        <v>Active</v>
      </c>
      <c r="H2767" s="43" t="s">
        <v>2343</v>
      </c>
      <c r="I2767" s="43" t="s">
        <v>2429</v>
      </c>
      <c r="J2767" s="44" t="s">
        <v>2513</v>
      </c>
      <c r="K2767" s="44" t="s">
        <v>4838</v>
      </c>
      <c r="L2767" s="44" t="s">
        <v>2347</v>
      </c>
      <c r="M2767" s="43">
        <v>20</v>
      </c>
      <c r="N2767" s="113" t="s">
        <v>1113</v>
      </c>
      <c r="O2767" s="113"/>
      <c r="P2767" s="113"/>
      <c r="Q2767" s="113"/>
      <c r="R2767" s="113"/>
      <c r="S2767" s="113"/>
      <c r="T2767" s="113"/>
      <c r="U2767" s="113"/>
      <c r="V2767" s="113"/>
      <c r="W2767" s="113"/>
      <c r="X2767" s="113"/>
      <c r="Y2767" s="113"/>
      <c r="Z2767" s="113"/>
      <c r="AA2767" s="113"/>
      <c r="AB2767" s="113"/>
      <c r="AC2767" s="113"/>
      <c r="AD2767" s="113"/>
      <c r="AE2767" s="113"/>
      <c r="AF2767" s="113"/>
      <c r="AG2767" s="113"/>
      <c r="AH2767" s="113"/>
      <c r="AI2767" s="113"/>
      <c r="AJ2767" s="113"/>
      <c r="AK2767" s="113" t="s">
        <v>1113</v>
      </c>
      <c r="AL2767" s="113"/>
      <c r="AM2767" s="113"/>
      <c r="AN2767" s="113"/>
      <c r="AO2767" s="44" t="s">
        <v>2334</v>
      </c>
      <c r="AP2767" s="43"/>
      <c r="AQ2767" s="236" t="str">
        <f>VLOOKUP(Table8[[#This Row],[Instrument]],Def_Targets!$D$73:$E$159,2,FALSE)</f>
        <v>S_Sharedmob</v>
      </c>
      <c r="AR2767" s="233" t="str">
        <f>VLOOKUP(Table8[[#This Row],[Country Code]],Table29[],3,FALSE)</f>
        <v>Non-Annex I</v>
      </c>
      <c r="AS2767" s="233" t="str">
        <f>VLOOKUP(Table8[[#This Row],[Country Code]],Table29[],4,FALSE)</f>
        <v>Africa</v>
      </c>
      <c r="AT2767" s="233" t="str">
        <f>VLOOKUP(Table8[[#This Row],[Country Code]],Table29[],5,FALSE)</f>
        <v>Middle-income</v>
      </c>
      <c r="AU2767" s="233" t="str">
        <f>VLOOKUP(Table8[[#This Row],[Country Code]],Table29[],6,FALSE)</f>
        <v>no</v>
      </c>
      <c r="AV2767" s="233" t="str">
        <f>VLOOKUP(Table8[[#This Row],[Country Code]],Table29[],7,FALSE)</f>
        <v>no</v>
      </c>
      <c r="AW2767" s="233" t="str">
        <f>VLOOKUP(Table8[[#This Row],[Country Code]],Table29[],8,FALSE)</f>
        <v>non-OECD</v>
      </c>
      <c r="AX2767" s="233" t="str">
        <f>VLOOKUP(Table8[[#This Row],[Country Code]],Table29[],9,FALSE)</f>
        <v>no</v>
      </c>
      <c r="AY2767" s="233" t="str">
        <f>VLOOKUP(Table8[[#This Row],[Country Code]],Table29[],10,FALSE)</f>
        <v>no</v>
      </c>
      <c r="AZ2767" s="235">
        <f>VLOOKUP(Table8[[#This Row],[Country Code]],Table29[],23,FALSE)</f>
        <v>385.11288377147002</v>
      </c>
      <c r="BA2767" s="235">
        <f>VLOOKUP(Table8[[#This Row],[Country Code]],Table29[],24,FALSE)</f>
        <v>58.971195919965467</v>
      </c>
      <c r="BB2767" s="320"/>
      <c r="BC2767" s="320"/>
    </row>
    <row r="2768" spans="1:55" ht="31.35" hidden="1" customHeight="1" x14ac:dyDescent="0.25">
      <c r="A2768" s="373">
        <v>41748</v>
      </c>
      <c r="B2768" s="233" t="str">
        <f>VLOOKUP(Table8[[#This Row],[Document ID]],Table1[],2,FALSE)</f>
        <v>NGA</v>
      </c>
      <c r="C2768" s="233" t="str">
        <f>VLOOKUP(Table8[[#This Row],[Document ID]],Table1[],3,FALSE)</f>
        <v>Nigeria</v>
      </c>
      <c r="D2768" s="243" t="str">
        <f>VLOOKUP(Table8[[#This Row],[Document ID]],Table1[],5,FALSE)</f>
        <v>LTS</v>
      </c>
      <c r="E2768" s="233" t="str">
        <f>VLOOKUP(Table8[[#This Row],[Document ID]],Table1[],7,FALSE)</f>
        <v>LTS</v>
      </c>
      <c r="F2768" s="233" t="str">
        <f>VLOOKUP(Table8[[#This Row],[Document ID]],Table1[],8,FALSE)</f>
        <v>LTS 2.0</v>
      </c>
      <c r="G2768" s="233" t="str">
        <f>VLOOKUP(Table8[[#This Row],[Document ID]],Table1[],10,FALSE)</f>
        <v>Active</v>
      </c>
      <c r="H2768" s="43" t="s">
        <v>2350</v>
      </c>
      <c r="I2768" s="43" t="s">
        <v>2370</v>
      </c>
      <c r="J2768" s="44" t="s">
        <v>2371</v>
      </c>
      <c r="K2768" s="44" t="s">
        <v>4839</v>
      </c>
      <c r="L2768" s="44" t="s">
        <v>2333</v>
      </c>
      <c r="M2768" s="43">
        <v>85</v>
      </c>
      <c r="N2768" s="113" t="s">
        <v>1113</v>
      </c>
      <c r="O2768" s="113"/>
      <c r="P2768" s="113"/>
      <c r="Q2768" s="113"/>
      <c r="R2768" s="113"/>
      <c r="S2768" s="113"/>
      <c r="T2768" s="113"/>
      <c r="U2768" s="113"/>
      <c r="V2768" s="113"/>
      <c r="W2768" s="113"/>
      <c r="X2768" s="113"/>
      <c r="Y2768" s="113"/>
      <c r="Z2768" s="113"/>
      <c r="AA2768" s="113"/>
      <c r="AB2768" s="113"/>
      <c r="AC2768" s="113"/>
      <c r="AD2768" s="113"/>
      <c r="AE2768" s="113"/>
      <c r="AF2768" s="113"/>
      <c r="AG2768" s="113"/>
      <c r="AH2768" s="113"/>
      <c r="AI2768" s="113"/>
      <c r="AJ2768" s="113"/>
      <c r="AK2768" s="113" t="s">
        <v>1113</v>
      </c>
      <c r="AL2768" s="113"/>
      <c r="AM2768" s="113"/>
      <c r="AN2768" s="113"/>
      <c r="AO2768" s="44" t="s">
        <v>2334</v>
      </c>
      <c r="AP2768" s="43"/>
      <c r="AQ2768" s="236" t="str">
        <f>VLOOKUP(Table8[[#This Row],[Instrument]],Def_Targets!$D$73:$E$159,2,FALSE)</f>
        <v>A_Natmobplan</v>
      </c>
      <c r="AR2768" s="233" t="str">
        <f>VLOOKUP(Table8[[#This Row],[Country Code]],Table29[],3,FALSE)</f>
        <v>Non-Annex I</v>
      </c>
      <c r="AS2768" s="233" t="str">
        <f>VLOOKUP(Table8[[#This Row],[Country Code]],Table29[],4,FALSE)</f>
        <v>Africa</v>
      </c>
      <c r="AT2768" s="233" t="str">
        <f>VLOOKUP(Table8[[#This Row],[Country Code]],Table29[],5,FALSE)</f>
        <v>Middle-income</v>
      </c>
      <c r="AU2768" s="233" t="str">
        <f>VLOOKUP(Table8[[#This Row],[Country Code]],Table29[],6,FALSE)</f>
        <v>no</v>
      </c>
      <c r="AV2768" s="233" t="str">
        <f>VLOOKUP(Table8[[#This Row],[Country Code]],Table29[],7,FALSE)</f>
        <v>no</v>
      </c>
      <c r="AW2768" s="233" t="str">
        <f>VLOOKUP(Table8[[#This Row],[Country Code]],Table29[],8,FALSE)</f>
        <v>non-OECD</v>
      </c>
      <c r="AX2768" s="233" t="str">
        <f>VLOOKUP(Table8[[#This Row],[Country Code]],Table29[],9,FALSE)</f>
        <v>no</v>
      </c>
      <c r="AY2768" s="233" t="str">
        <f>VLOOKUP(Table8[[#This Row],[Country Code]],Table29[],10,FALSE)</f>
        <v>no</v>
      </c>
      <c r="AZ2768" s="235">
        <f>VLOOKUP(Table8[[#This Row],[Country Code]],Table29[],23,FALSE)</f>
        <v>385.11288377147002</v>
      </c>
      <c r="BA2768" s="235">
        <f>VLOOKUP(Table8[[#This Row],[Country Code]],Table29[],24,FALSE)</f>
        <v>58.971195919965467</v>
      </c>
      <c r="BB2768" s="320"/>
      <c r="BC2768" s="320"/>
    </row>
    <row r="2769" spans="1:55" ht="28.35" hidden="1" customHeight="1" x14ac:dyDescent="0.25">
      <c r="A2769" s="373">
        <v>41748</v>
      </c>
      <c r="B2769" s="233" t="str">
        <f>VLOOKUP(Table8[[#This Row],[Document ID]],Table1[],2,FALSE)</f>
        <v>NGA</v>
      </c>
      <c r="C2769" s="233" t="str">
        <f>VLOOKUP(Table8[[#This Row],[Document ID]],Table1[],3,FALSE)</f>
        <v>Nigeria</v>
      </c>
      <c r="D2769" s="243" t="str">
        <f>VLOOKUP(Table8[[#This Row],[Document ID]],Table1[],5,FALSE)</f>
        <v>LTS</v>
      </c>
      <c r="E2769" s="233" t="str">
        <f>VLOOKUP(Table8[[#This Row],[Document ID]],Table1[],7,FALSE)</f>
        <v>LTS</v>
      </c>
      <c r="F2769" s="233" t="str">
        <f>VLOOKUP(Table8[[#This Row],[Document ID]],Table1[],8,FALSE)</f>
        <v>LTS 2.0</v>
      </c>
      <c r="G2769" s="233" t="str">
        <f>VLOOKUP(Table8[[#This Row],[Document ID]],Table1[],10,FALSE)</f>
        <v>Active</v>
      </c>
      <c r="H2769" s="44" t="s">
        <v>2329</v>
      </c>
      <c r="I2769" s="44" t="s">
        <v>2330</v>
      </c>
      <c r="J2769" s="44" t="s">
        <v>2357</v>
      </c>
      <c r="K2769" s="44" t="s">
        <v>4840</v>
      </c>
      <c r="L2769" s="44" t="s">
        <v>2333</v>
      </c>
      <c r="M2769" s="43">
        <v>85</v>
      </c>
      <c r="N2769" s="113" t="s">
        <v>1113</v>
      </c>
      <c r="O2769" s="113"/>
      <c r="P2769" s="113"/>
      <c r="Q2769" s="113"/>
      <c r="R2769" s="113"/>
      <c r="S2769" s="113"/>
      <c r="T2769" s="113"/>
      <c r="U2769" s="113"/>
      <c r="V2769" s="113"/>
      <c r="W2769" s="113"/>
      <c r="X2769" s="113"/>
      <c r="Y2769" s="113"/>
      <c r="Z2769" s="113"/>
      <c r="AA2769" s="113"/>
      <c r="AB2769" s="113"/>
      <c r="AC2769" s="113"/>
      <c r="AD2769" s="113"/>
      <c r="AE2769" s="113"/>
      <c r="AF2769" s="113"/>
      <c r="AG2769" s="113"/>
      <c r="AH2769" s="113"/>
      <c r="AI2769" s="113"/>
      <c r="AJ2769" s="113"/>
      <c r="AK2769" s="113" t="s">
        <v>1113</v>
      </c>
      <c r="AL2769" s="113"/>
      <c r="AM2769" s="113"/>
      <c r="AN2769" s="113"/>
      <c r="AO2769" s="44" t="s">
        <v>2334</v>
      </c>
      <c r="AP2769" s="43"/>
      <c r="AQ2769" s="236" t="str">
        <f>VLOOKUP(Table8[[#This Row],[Instrument]],Def_Targets!$D$73:$E$159,2,FALSE)</f>
        <v>I_Biofuel</v>
      </c>
      <c r="AR2769" s="233" t="str">
        <f>VLOOKUP(Table8[[#This Row],[Country Code]],Table29[],3,FALSE)</f>
        <v>Non-Annex I</v>
      </c>
      <c r="AS2769" s="233" t="str">
        <f>VLOOKUP(Table8[[#This Row],[Country Code]],Table29[],4,FALSE)</f>
        <v>Africa</v>
      </c>
      <c r="AT2769" s="233" t="str">
        <f>VLOOKUP(Table8[[#This Row],[Country Code]],Table29[],5,FALSE)</f>
        <v>Middle-income</v>
      </c>
      <c r="AU2769" s="233" t="str">
        <f>VLOOKUP(Table8[[#This Row],[Country Code]],Table29[],6,FALSE)</f>
        <v>no</v>
      </c>
      <c r="AV2769" s="233" t="str">
        <f>VLOOKUP(Table8[[#This Row],[Country Code]],Table29[],7,FALSE)</f>
        <v>no</v>
      </c>
      <c r="AW2769" s="233" t="str">
        <f>VLOOKUP(Table8[[#This Row],[Country Code]],Table29[],8,FALSE)</f>
        <v>non-OECD</v>
      </c>
      <c r="AX2769" s="233" t="str">
        <f>VLOOKUP(Table8[[#This Row],[Country Code]],Table29[],9,FALSE)</f>
        <v>no</v>
      </c>
      <c r="AY2769" s="233" t="str">
        <f>VLOOKUP(Table8[[#This Row],[Country Code]],Table29[],10,FALSE)</f>
        <v>no</v>
      </c>
      <c r="AZ2769" s="235">
        <f>VLOOKUP(Table8[[#This Row],[Country Code]],Table29[],23,FALSE)</f>
        <v>385.11288377147002</v>
      </c>
      <c r="BA2769" s="235">
        <f>VLOOKUP(Table8[[#This Row],[Country Code]],Table29[],24,FALSE)</f>
        <v>58.971195919965467</v>
      </c>
      <c r="BB2769" s="320"/>
      <c r="BC2769" s="320"/>
    </row>
    <row r="2770" spans="1:55" ht="15" hidden="1" customHeight="1" x14ac:dyDescent="0.25">
      <c r="A2770" s="373">
        <v>41748</v>
      </c>
      <c r="B2770" s="233" t="str">
        <f>VLOOKUP(Table8[[#This Row],[Document ID]],Table1[],2,FALSE)</f>
        <v>NGA</v>
      </c>
      <c r="C2770" s="233" t="str">
        <f>VLOOKUP(Table8[[#This Row],[Document ID]],Table1[],3,FALSE)</f>
        <v>Nigeria</v>
      </c>
      <c r="D2770" s="243" t="str">
        <f>VLOOKUP(Table8[[#This Row],[Document ID]],Table1[],5,FALSE)</f>
        <v>LTS</v>
      </c>
      <c r="E2770" s="233" t="str">
        <f>VLOOKUP(Table8[[#This Row],[Document ID]],Table1[],7,FALSE)</f>
        <v>LTS</v>
      </c>
      <c r="F2770" s="233" t="str">
        <f>VLOOKUP(Table8[[#This Row],[Document ID]],Table1[],8,FALSE)</f>
        <v>LTS 2.0</v>
      </c>
      <c r="G2770" s="233" t="str">
        <f>VLOOKUP(Table8[[#This Row],[Document ID]],Table1[],10,FALSE)</f>
        <v>Active</v>
      </c>
      <c r="H2770" s="43" t="s">
        <v>2358</v>
      </c>
      <c r="I2770" s="43" t="s">
        <v>2359</v>
      </c>
      <c r="J2770" s="44" t="s">
        <v>2383</v>
      </c>
      <c r="K2770" s="44" t="s">
        <v>4841</v>
      </c>
      <c r="L2770" s="44" t="s">
        <v>2333</v>
      </c>
      <c r="M2770" s="43">
        <v>85</v>
      </c>
      <c r="N2770" s="113"/>
      <c r="O2770" s="113"/>
      <c r="P2770" s="113"/>
      <c r="Q2770" s="113"/>
      <c r="R2770" s="113"/>
      <c r="S2770" s="113" t="s">
        <v>1113</v>
      </c>
      <c r="T2770" s="113"/>
      <c r="U2770" s="113"/>
      <c r="V2770" s="113"/>
      <c r="W2770" s="113"/>
      <c r="X2770" s="113"/>
      <c r="Y2770" s="113"/>
      <c r="Z2770" s="113"/>
      <c r="AA2770" s="113"/>
      <c r="AB2770" s="113"/>
      <c r="AC2770" s="113"/>
      <c r="AD2770" s="113"/>
      <c r="AE2770" s="113"/>
      <c r="AF2770" s="113"/>
      <c r="AG2770" s="113"/>
      <c r="AH2770" s="113"/>
      <c r="AI2770" s="113"/>
      <c r="AJ2770" s="113"/>
      <c r="AK2770" s="113" t="s">
        <v>1113</v>
      </c>
      <c r="AL2770" s="113"/>
      <c r="AM2770" s="113"/>
      <c r="AN2770" s="113"/>
      <c r="AO2770" s="44" t="s">
        <v>2334</v>
      </c>
      <c r="AP2770" s="43"/>
      <c r="AQ2770" s="236" t="str">
        <f>VLOOKUP(Table8[[#This Row],[Instrument]],Def_Targets!$D$73:$E$159,2,FALSE)</f>
        <v>I_Emobilitycharging</v>
      </c>
      <c r="AR2770" s="233" t="str">
        <f>VLOOKUP(Table8[[#This Row],[Country Code]],Table29[],3,FALSE)</f>
        <v>Non-Annex I</v>
      </c>
      <c r="AS2770" s="233" t="str">
        <f>VLOOKUP(Table8[[#This Row],[Country Code]],Table29[],4,FALSE)</f>
        <v>Africa</v>
      </c>
      <c r="AT2770" s="233" t="str">
        <f>VLOOKUP(Table8[[#This Row],[Country Code]],Table29[],5,FALSE)</f>
        <v>Middle-income</v>
      </c>
      <c r="AU2770" s="233" t="str">
        <f>VLOOKUP(Table8[[#This Row],[Country Code]],Table29[],6,FALSE)</f>
        <v>no</v>
      </c>
      <c r="AV2770" s="233" t="str">
        <f>VLOOKUP(Table8[[#This Row],[Country Code]],Table29[],7,FALSE)</f>
        <v>no</v>
      </c>
      <c r="AW2770" s="233" t="str">
        <f>VLOOKUP(Table8[[#This Row],[Country Code]],Table29[],8,FALSE)</f>
        <v>non-OECD</v>
      </c>
      <c r="AX2770" s="233" t="str">
        <f>VLOOKUP(Table8[[#This Row],[Country Code]],Table29[],9,FALSE)</f>
        <v>no</v>
      </c>
      <c r="AY2770" s="233" t="str">
        <f>VLOOKUP(Table8[[#This Row],[Country Code]],Table29[],10,FALSE)</f>
        <v>no</v>
      </c>
      <c r="AZ2770" s="235">
        <f>VLOOKUP(Table8[[#This Row],[Country Code]],Table29[],23,FALSE)</f>
        <v>385.11288377147002</v>
      </c>
      <c r="BA2770" s="235">
        <f>VLOOKUP(Table8[[#This Row],[Country Code]],Table29[],24,FALSE)</f>
        <v>58.971195919965467</v>
      </c>
      <c r="BB2770" s="320"/>
      <c r="BC2770" s="320"/>
    </row>
    <row r="2771" spans="1:55" ht="15" hidden="1" customHeight="1" x14ac:dyDescent="0.25">
      <c r="A2771" s="373">
        <v>41748</v>
      </c>
      <c r="B2771" s="233" t="str">
        <f>VLOOKUP(Table8[[#This Row],[Document ID]],Table1[],2,FALSE)</f>
        <v>NGA</v>
      </c>
      <c r="C2771" s="233" t="str">
        <f>VLOOKUP(Table8[[#This Row],[Document ID]],Table1[],3,FALSE)</f>
        <v>Nigeria</v>
      </c>
      <c r="D2771" s="243" t="str">
        <f>VLOOKUP(Table8[[#This Row],[Document ID]],Table1[],5,FALSE)</f>
        <v>LTS</v>
      </c>
      <c r="E2771" s="233" t="str">
        <f>VLOOKUP(Table8[[#This Row],[Document ID]],Table1[],7,FALSE)</f>
        <v>LTS</v>
      </c>
      <c r="F2771" s="233" t="str">
        <f>VLOOKUP(Table8[[#This Row],[Document ID]],Table1[],8,FALSE)</f>
        <v>LTS 2.0</v>
      </c>
      <c r="G2771" s="233" t="str">
        <f>VLOOKUP(Table8[[#This Row],[Document ID]],Table1[],10,FALSE)</f>
        <v>Active</v>
      </c>
      <c r="H2771" s="43" t="s">
        <v>2358</v>
      </c>
      <c r="I2771" s="43" t="s">
        <v>2359</v>
      </c>
      <c r="J2771" s="44" t="s">
        <v>2389</v>
      </c>
      <c r="K2771" s="44" t="s">
        <v>4842</v>
      </c>
      <c r="L2771" s="44" t="s">
        <v>2333</v>
      </c>
      <c r="M2771" s="43">
        <v>85</v>
      </c>
      <c r="N2771" s="113" t="s">
        <v>1113</v>
      </c>
      <c r="O2771" s="113"/>
      <c r="P2771" s="113"/>
      <c r="Q2771" s="113"/>
      <c r="R2771" s="113"/>
      <c r="S2771" s="113"/>
      <c r="T2771" s="113"/>
      <c r="U2771" s="113"/>
      <c r="V2771" s="113"/>
      <c r="W2771" s="113"/>
      <c r="X2771" s="113"/>
      <c r="Y2771" s="113"/>
      <c r="Z2771" s="113"/>
      <c r="AA2771" s="113"/>
      <c r="AB2771" s="113"/>
      <c r="AC2771" s="113"/>
      <c r="AD2771" s="113"/>
      <c r="AE2771" s="113"/>
      <c r="AF2771" s="113"/>
      <c r="AG2771" s="113"/>
      <c r="AH2771" s="113"/>
      <c r="AI2771" s="113"/>
      <c r="AJ2771" s="113"/>
      <c r="AK2771" s="113" t="s">
        <v>1113</v>
      </c>
      <c r="AL2771" s="113"/>
      <c r="AM2771" s="113"/>
      <c r="AN2771" s="113"/>
      <c r="AO2771" s="44" t="s">
        <v>2334</v>
      </c>
      <c r="AP2771" s="43"/>
      <c r="AQ2771" s="236" t="str">
        <f>VLOOKUP(Table8[[#This Row],[Instrument]],Def_Targets!$D$73:$E$159,2,FALSE)</f>
        <v>I_Emobilitypurchase</v>
      </c>
      <c r="AR2771" s="233" t="str">
        <f>VLOOKUP(Table8[[#This Row],[Country Code]],Table29[],3,FALSE)</f>
        <v>Non-Annex I</v>
      </c>
      <c r="AS2771" s="233" t="str">
        <f>VLOOKUP(Table8[[#This Row],[Country Code]],Table29[],4,FALSE)</f>
        <v>Africa</v>
      </c>
      <c r="AT2771" s="233" t="str">
        <f>VLOOKUP(Table8[[#This Row],[Country Code]],Table29[],5,FALSE)</f>
        <v>Middle-income</v>
      </c>
      <c r="AU2771" s="233" t="str">
        <f>VLOOKUP(Table8[[#This Row],[Country Code]],Table29[],6,FALSE)</f>
        <v>no</v>
      </c>
      <c r="AV2771" s="233" t="str">
        <f>VLOOKUP(Table8[[#This Row],[Country Code]],Table29[],7,FALSE)</f>
        <v>no</v>
      </c>
      <c r="AW2771" s="233" t="str">
        <f>VLOOKUP(Table8[[#This Row],[Country Code]],Table29[],8,FALSE)</f>
        <v>non-OECD</v>
      </c>
      <c r="AX2771" s="233" t="str">
        <f>VLOOKUP(Table8[[#This Row],[Country Code]],Table29[],9,FALSE)</f>
        <v>no</v>
      </c>
      <c r="AY2771" s="233" t="str">
        <f>VLOOKUP(Table8[[#This Row],[Country Code]],Table29[],10,FALSE)</f>
        <v>no</v>
      </c>
      <c r="AZ2771" s="235">
        <f>VLOOKUP(Table8[[#This Row],[Country Code]],Table29[],23,FALSE)</f>
        <v>385.11288377147002</v>
      </c>
      <c r="BA2771" s="235">
        <f>VLOOKUP(Table8[[#This Row],[Country Code]],Table29[],24,FALSE)</f>
        <v>58.971195919965467</v>
      </c>
      <c r="BB2771" s="320"/>
      <c r="BC2771" s="320"/>
    </row>
    <row r="2772" spans="1:55" ht="31.5" hidden="1" customHeight="1" x14ac:dyDescent="0.25">
      <c r="A2772" s="373">
        <v>41748</v>
      </c>
      <c r="B2772" s="233" t="str">
        <f>VLOOKUP(Table8[[#This Row],[Document ID]],Table1[],2,FALSE)</f>
        <v>NGA</v>
      </c>
      <c r="C2772" s="233" t="str">
        <f>VLOOKUP(Table8[[#This Row],[Document ID]],Table1[],3,FALSE)</f>
        <v>Nigeria</v>
      </c>
      <c r="D2772" s="243" t="str">
        <f>VLOOKUP(Table8[[#This Row],[Document ID]],Table1[],5,FALSE)</f>
        <v>LTS</v>
      </c>
      <c r="E2772" s="233" t="str">
        <f>VLOOKUP(Table8[[#This Row],[Document ID]],Table1[],7,FALSE)</f>
        <v>LTS</v>
      </c>
      <c r="F2772" s="233" t="str">
        <f>VLOOKUP(Table8[[#This Row],[Document ID]],Table1[],8,FALSE)</f>
        <v>LTS 2.0</v>
      </c>
      <c r="G2772" s="233" t="str">
        <f>VLOOKUP(Table8[[#This Row],[Document ID]],Table1[],10,FALSE)</f>
        <v>Active</v>
      </c>
      <c r="H2772" s="43" t="s">
        <v>2350</v>
      </c>
      <c r="I2772" s="43" t="s">
        <v>2370</v>
      </c>
      <c r="J2772" s="44" t="s">
        <v>2418</v>
      </c>
      <c r="K2772" s="44" t="s">
        <v>4843</v>
      </c>
      <c r="L2772" s="44" t="s">
        <v>2347</v>
      </c>
      <c r="M2772" s="43">
        <v>85</v>
      </c>
      <c r="N2772" s="113"/>
      <c r="O2772" s="113"/>
      <c r="P2772" s="113"/>
      <c r="Q2772" s="113"/>
      <c r="R2772" s="113"/>
      <c r="S2772" s="113"/>
      <c r="T2772" s="113"/>
      <c r="U2772" s="113"/>
      <c r="V2772" s="113"/>
      <c r="W2772" s="113"/>
      <c r="X2772" s="113"/>
      <c r="Y2772" s="113"/>
      <c r="Z2772" s="113" t="s">
        <v>1113</v>
      </c>
      <c r="AA2772" s="113"/>
      <c r="AB2772" s="113"/>
      <c r="AC2772" s="113"/>
      <c r="AD2772" s="113" t="s">
        <v>1113</v>
      </c>
      <c r="AE2772" s="113"/>
      <c r="AF2772" s="113"/>
      <c r="AG2772" s="113"/>
      <c r="AH2772" s="113" t="s">
        <v>1113</v>
      </c>
      <c r="AI2772" s="113"/>
      <c r="AJ2772" s="113"/>
      <c r="AK2772" s="113"/>
      <c r="AL2772" s="113"/>
      <c r="AM2772" s="113"/>
      <c r="AN2772" s="113"/>
      <c r="AO2772" s="44" t="s">
        <v>2334</v>
      </c>
      <c r="AP2772" s="43"/>
      <c r="AQ2772" s="236" t="str">
        <f>VLOOKUP(Table8[[#This Row],[Instrument]],Def_Targets!$D$73:$E$159,2,FALSE)</f>
        <v>A_Complan</v>
      </c>
      <c r="AR2772" s="233" t="str">
        <f>VLOOKUP(Table8[[#This Row],[Country Code]],Table29[],3,FALSE)</f>
        <v>Non-Annex I</v>
      </c>
      <c r="AS2772" s="233" t="str">
        <f>VLOOKUP(Table8[[#This Row],[Country Code]],Table29[],4,FALSE)</f>
        <v>Africa</v>
      </c>
      <c r="AT2772" s="233" t="str">
        <f>VLOOKUP(Table8[[#This Row],[Country Code]],Table29[],5,FALSE)</f>
        <v>Middle-income</v>
      </c>
      <c r="AU2772" s="233" t="str">
        <f>VLOOKUP(Table8[[#This Row],[Country Code]],Table29[],6,FALSE)</f>
        <v>no</v>
      </c>
      <c r="AV2772" s="233" t="str">
        <f>VLOOKUP(Table8[[#This Row],[Country Code]],Table29[],7,FALSE)</f>
        <v>no</v>
      </c>
      <c r="AW2772" s="233" t="str">
        <f>VLOOKUP(Table8[[#This Row],[Country Code]],Table29[],8,FALSE)</f>
        <v>non-OECD</v>
      </c>
      <c r="AX2772" s="233" t="str">
        <f>VLOOKUP(Table8[[#This Row],[Country Code]],Table29[],9,FALSE)</f>
        <v>no</v>
      </c>
      <c r="AY2772" s="233" t="str">
        <f>VLOOKUP(Table8[[#This Row],[Country Code]],Table29[],10,FALSE)</f>
        <v>no</v>
      </c>
      <c r="AZ2772" s="235">
        <f>VLOOKUP(Table8[[#This Row],[Country Code]],Table29[],23,FALSE)</f>
        <v>385.11288377147002</v>
      </c>
      <c r="BA2772" s="235">
        <f>VLOOKUP(Table8[[#This Row],[Country Code]],Table29[],24,FALSE)</f>
        <v>58.971195919965467</v>
      </c>
      <c r="BB2772" s="320"/>
      <c r="BC2772" s="320"/>
    </row>
    <row r="2773" spans="1:55" ht="42" hidden="1" customHeight="1" x14ac:dyDescent="0.25">
      <c r="A2773" s="373">
        <v>41748</v>
      </c>
      <c r="B2773" s="233" t="str">
        <f>VLOOKUP(Table8[[#This Row],[Document ID]],Table1[],2,FALSE)</f>
        <v>NGA</v>
      </c>
      <c r="C2773" s="233" t="str">
        <f>VLOOKUP(Table8[[#This Row],[Document ID]],Table1[],3,FALSE)</f>
        <v>Nigeria</v>
      </c>
      <c r="D2773" s="243" t="str">
        <f>VLOOKUP(Table8[[#This Row],[Document ID]],Table1[],5,FALSE)</f>
        <v>LTS</v>
      </c>
      <c r="E2773" s="233" t="str">
        <f>VLOOKUP(Table8[[#This Row],[Document ID]],Table1[],7,FALSE)</f>
        <v>LTS</v>
      </c>
      <c r="F2773" s="233" t="str">
        <f>VLOOKUP(Table8[[#This Row],[Document ID]],Table1[],8,FALSE)</f>
        <v>LTS 2.0</v>
      </c>
      <c r="G2773" s="233" t="str">
        <f>VLOOKUP(Table8[[#This Row],[Document ID]],Table1[],10,FALSE)</f>
        <v>Active</v>
      </c>
      <c r="H2773" s="43" t="s">
        <v>2350</v>
      </c>
      <c r="I2773" s="43" t="s">
        <v>2370</v>
      </c>
      <c r="J2773" s="44" t="s">
        <v>2418</v>
      </c>
      <c r="K2773" s="44" t="s">
        <v>4844</v>
      </c>
      <c r="L2773" s="44" t="s">
        <v>2347</v>
      </c>
      <c r="M2773" s="43">
        <v>85</v>
      </c>
      <c r="N2773" s="113" t="s">
        <v>1113</v>
      </c>
      <c r="O2773" s="113"/>
      <c r="P2773" s="113"/>
      <c r="Q2773" s="113"/>
      <c r="R2773" s="113"/>
      <c r="S2773" s="113"/>
      <c r="T2773" s="113"/>
      <c r="U2773" s="113"/>
      <c r="V2773" s="113"/>
      <c r="W2773" s="113"/>
      <c r="X2773" s="113"/>
      <c r="Y2773" s="113"/>
      <c r="Z2773" s="113"/>
      <c r="AA2773" s="113"/>
      <c r="AB2773" s="113"/>
      <c r="AC2773" s="113"/>
      <c r="AD2773" s="113"/>
      <c r="AE2773" s="113"/>
      <c r="AF2773" s="113"/>
      <c r="AG2773" s="113"/>
      <c r="AH2773" s="113"/>
      <c r="AI2773" s="113"/>
      <c r="AJ2773" s="113"/>
      <c r="AK2773" s="113"/>
      <c r="AL2773" s="113"/>
      <c r="AM2773" s="113" t="s">
        <v>1113</v>
      </c>
      <c r="AN2773" s="113"/>
      <c r="AO2773" s="44" t="s">
        <v>2334</v>
      </c>
      <c r="AP2773" s="43"/>
      <c r="AQ2773" s="236" t="str">
        <f>VLOOKUP(Table8[[#This Row],[Instrument]],Def_Targets!$D$73:$E$159,2,FALSE)</f>
        <v>A_Complan</v>
      </c>
      <c r="AR2773" s="233" t="str">
        <f>VLOOKUP(Table8[[#This Row],[Country Code]],Table29[],3,FALSE)</f>
        <v>Non-Annex I</v>
      </c>
      <c r="AS2773" s="233" t="str">
        <f>VLOOKUP(Table8[[#This Row],[Country Code]],Table29[],4,FALSE)</f>
        <v>Africa</v>
      </c>
      <c r="AT2773" s="233" t="str">
        <f>VLOOKUP(Table8[[#This Row],[Country Code]],Table29[],5,FALSE)</f>
        <v>Middle-income</v>
      </c>
      <c r="AU2773" s="233" t="str">
        <f>VLOOKUP(Table8[[#This Row],[Country Code]],Table29[],6,FALSE)</f>
        <v>no</v>
      </c>
      <c r="AV2773" s="233" t="str">
        <f>VLOOKUP(Table8[[#This Row],[Country Code]],Table29[],7,FALSE)</f>
        <v>no</v>
      </c>
      <c r="AW2773" s="233" t="str">
        <f>VLOOKUP(Table8[[#This Row],[Country Code]],Table29[],8,FALSE)</f>
        <v>non-OECD</v>
      </c>
      <c r="AX2773" s="233" t="str">
        <f>VLOOKUP(Table8[[#This Row],[Country Code]],Table29[],9,FALSE)</f>
        <v>no</v>
      </c>
      <c r="AY2773" s="233" t="str">
        <f>VLOOKUP(Table8[[#This Row],[Country Code]],Table29[],10,FALSE)</f>
        <v>no</v>
      </c>
      <c r="AZ2773" s="235">
        <f>VLOOKUP(Table8[[#This Row],[Country Code]],Table29[],23,FALSE)</f>
        <v>385.11288377147002</v>
      </c>
      <c r="BA2773" s="235">
        <f>VLOOKUP(Table8[[#This Row],[Country Code]],Table29[],24,FALSE)</f>
        <v>58.971195919965467</v>
      </c>
      <c r="BB2773" s="320"/>
      <c r="BC2773" s="320"/>
    </row>
    <row r="2774" spans="1:55" ht="28.5" hidden="1" customHeight="1" x14ac:dyDescent="0.25">
      <c r="A2774" s="373">
        <v>41748</v>
      </c>
      <c r="B2774" s="233" t="str">
        <f>VLOOKUP(Table8[[#This Row],[Document ID]],Table1[],2,FALSE)</f>
        <v>NGA</v>
      </c>
      <c r="C2774" s="233" t="str">
        <f>VLOOKUP(Table8[[#This Row],[Document ID]],Table1[],3,FALSE)</f>
        <v>Nigeria</v>
      </c>
      <c r="D2774" s="243" t="str">
        <f>VLOOKUP(Table8[[#This Row],[Document ID]],Table1[],5,FALSE)</f>
        <v>LTS</v>
      </c>
      <c r="E2774" s="233" t="str">
        <f>VLOOKUP(Table8[[#This Row],[Document ID]],Table1[],7,FALSE)</f>
        <v>LTS</v>
      </c>
      <c r="F2774" s="233" t="str">
        <f>VLOOKUP(Table8[[#This Row],[Document ID]],Table1[],8,FALSE)</f>
        <v>LTS 2.0</v>
      </c>
      <c r="G2774" s="233" t="str">
        <f>VLOOKUP(Table8[[#This Row],[Document ID]],Table1[],10,FALSE)</f>
        <v>Active</v>
      </c>
      <c r="H2774" s="43" t="s">
        <v>2343</v>
      </c>
      <c r="I2774" s="43" t="s">
        <v>2361</v>
      </c>
      <c r="J2774" s="44" t="s">
        <v>2362</v>
      </c>
      <c r="K2774" s="44" t="s">
        <v>4845</v>
      </c>
      <c r="L2774" s="44" t="s">
        <v>2347</v>
      </c>
      <c r="M2774" s="43">
        <v>85</v>
      </c>
      <c r="N2774" s="113"/>
      <c r="O2774" s="113"/>
      <c r="P2774" s="113"/>
      <c r="Q2774" s="113"/>
      <c r="R2774" s="113" t="s">
        <v>1113</v>
      </c>
      <c r="S2774" s="113"/>
      <c r="T2774" s="113"/>
      <c r="U2774" s="113"/>
      <c r="V2774" s="113"/>
      <c r="W2774" s="113"/>
      <c r="X2774" s="113"/>
      <c r="Y2774" s="113"/>
      <c r="Z2774" s="113"/>
      <c r="AA2774" s="113"/>
      <c r="AB2774" s="113"/>
      <c r="AC2774" s="113"/>
      <c r="AD2774" s="113"/>
      <c r="AE2774" s="113"/>
      <c r="AF2774" s="113"/>
      <c r="AG2774" s="113"/>
      <c r="AH2774" s="113"/>
      <c r="AI2774" s="113"/>
      <c r="AJ2774" s="113"/>
      <c r="AK2774" s="113"/>
      <c r="AL2774" s="113" t="s">
        <v>1113</v>
      </c>
      <c r="AM2774" s="113"/>
      <c r="AN2774" s="113"/>
      <c r="AO2774" s="44" t="s">
        <v>2334</v>
      </c>
      <c r="AP2774" s="43"/>
      <c r="AQ2774" s="236" t="str">
        <f>VLOOKUP(Table8[[#This Row],[Instrument]],Def_Targets!$D$73:$E$159,2,FALSE)</f>
        <v>S_Cycling</v>
      </c>
      <c r="AR2774" s="233" t="str">
        <f>VLOOKUP(Table8[[#This Row],[Country Code]],Table29[],3,FALSE)</f>
        <v>Non-Annex I</v>
      </c>
      <c r="AS2774" s="233" t="str">
        <f>VLOOKUP(Table8[[#This Row],[Country Code]],Table29[],4,FALSE)</f>
        <v>Africa</v>
      </c>
      <c r="AT2774" s="233" t="str">
        <f>VLOOKUP(Table8[[#This Row],[Country Code]],Table29[],5,FALSE)</f>
        <v>Middle-income</v>
      </c>
      <c r="AU2774" s="233" t="str">
        <f>VLOOKUP(Table8[[#This Row],[Country Code]],Table29[],6,FALSE)</f>
        <v>no</v>
      </c>
      <c r="AV2774" s="233" t="str">
        <f>VLOOKUP(Table8[[#This Row],[Country Code]],Table29[],7,FALSE)</f>
        <v>no</v>
      </c>
      <c r="AW2774" s="233" t="str">
        <f>VLOOKUP(Table8[[#This Row],[Country Code]],Table29[],8,FALSE)</f>
        <v>non-OECD</v>
      </c>
      <c r="AX2774" s="233" t="str">
        <f>VLOOKUP(Table8[[#This Row],[Country Code]],Table29[],9,FALSE)</f>
        <v>no</v>
      </c>
      <c r="AY2774" s="233" t="str">
        <f>VLOOKUP(Table8[[#This Row],[Country Code]],Table29[],10,FALSE)</f>
        <v>no</v>
      </c>
      <c r="AZ2774" s="235">
        <f>VLOOKUP(Table8[[#This Row],[Country Code]],Table29[],23,FALSE)</f>
        <v>385.11288377147002</v>
      </c>
      <c r="BA2774" s="235">
        <f>VLOOKUP(Table8[[#This Row],[Country Code]],Table29[],24,FALSE)</f>
        <v>58.971195919965467</v>
      </c>
      <c r="BB2774" s="320"/>
      <c r="BC2774" s="320"/>
    </row>
    <row r="2775" spans="1:55" ht="32.85" hidden="1" customHeight="1" x14ac:dyDescent="0.25">
      <c r="A2775" s="373">
        <v>41748</v>
      </c>
      <c r="B2775" s="233" t="str">
        <f>VLOOKUP(Table8[[#This Row],[Document ID]],Table1[],2,FALSE)</f>
        <v>NGA</v>
      </c>
      <c r="C2775" s="233" t="str">
        <f>VLOOKUP(Table8[[#This Row],[Document ID]],Table1[],3,FALSE)</f>
        <v>Nigeria</v>
      </c>
      <c r="D2775" s="243" t="str">
        <f>VLOOKUP(Table8[[#This Row],[Document ID]],Table1[],5,FALSE)</f>
        <v>LTS</v>
      </c>
      <c r="E2775" s="233" t="str">
        <f>VLOOKUP(Table8[[#This Row],[Document ID]],Table1[],7,FALSE)</f>
        <v>LTS</v>
      </c>
      <c r="F2775" s="233" t="str">
        <f>VLOOKUP(Table8[[#This Row],[Document ID]],Table1[],8,FALSE)</f>
        <v>LTS 2.0</v>
      </c>
      <c r="G2775" s="233" t="str">
        <f>VLOOKUP(Table8[[#This Row],[Document ID]],Table1[],10,FALSE)</f>
        <v>Active</v>
      </c>
      <c r="H2775" s="44" t="s">
        <v>2338</v>
      </c>
      <c r="I2775" s="44" t="s">
        <v>2339</v>
      </c>
      <c r="J2775" s="44" t="s">
        <v>2451</v>
      </c>
      <c r="K2775" s="44" t="s">
        <v>4846</v>
      </c>
      <c r="L2775" s="44" t="s">
        <v>2333</v>
      </c>
      <c r="M2775" s="43">
        <v>85</v>
      </c>
      <c r="N2775" s="113" t="s">
        <v>1113</v>
      </c>
      <c r="O2775" s="113"/>
      <c r="P2775" s="113"/>
      <c r="Q2775" s="113"/>
      <c r="R2775" s="113"/>
      <c r="S2775" s="113"/>
      <c r="T2775" s="113"/>
      <c r="U2775" s="113"/>
      <c r="V2775" s="113"/>
      <c r="W2775" s="113"/>
      <c r="X2775" s="113"/>
      <c r="Y2775" s="113"/>
      <c r="Z2775" s="113"/>
      <c r="AA2775" s="113"/>
      <c r="AB2775" s="113"/>
      <c r="AC2775" s="113"/>
      <c r="AD2775" s="113"/>
      <c r="AE2775" s="113"/>
      <c r="AF2775" s="113"/>
      <c r="AG2775" s="113"/>
      <c r="AH2775" s="113"/>
      <c r="AI2775" s="113"/>
      <c r="AJ2775" s="113"/>
      <c r="AK2775" s="113" t="s">
        <v>1113</v>
      </c>
      <c r="AL2775" s="113"/>
      <c r="AM2775" s="113"/>
      <c r="AN2775" s="113"/>
      <c r="AO2775" s="44" t="s">
        <v>2334</v>
      </c>
      <c r="AP2775" s="43"/>
      <c r="AQ2775" s="236" t="str">
        <f>VLOOKUP(Table8[[#This Row],[Instrument]],Def_Targets!$D$73:$E$159,2,FALSE)</f>
        <v>I_Inspection</v>
      </c>
      <c r="AR2775" s="233" t="str">
        <f>VLOOKUP(Table8[[#This Row],[Country Code]],Table29[],3,FALSE)</f>
        <v>Non-Annex I</v>
      </c>
      <c r="AS2775" s="233" t="str">
        <f>VLOOKUP(Table8[[#This Row],[Country Code]],Table29[],4,FALSE)</f>
        <v>Africa</v>
      </c>
      <c r="AT2775" s="233" t="str">
        <f>VLOOKUP(Table8[[#This Row],[Country Code]],Table29[],5,FALSE)</f>
        <v>Middle-income</v>
      </c>
      <c r="AU2775" s="233" t="str">
        <f>VLOOKUP(Table8[[#This Row],[Country Code]],Table29[],6,FALSE)</f>
        <v>no</v>
      </c>
      <c r="AV2775" s="233" t="str">
        <f>VLOOKUP(Table8[[#This Row],[Country Code]],Table29[],7,FALSE)</f>
        <v>no</v>
      </c>
      <c r="AW2775" s="233" t="str">
        <f>VLOOKUP(Table8[[#This Row],[Country Code]],Table29[],8,FALSE)</f>
        <v>non-OECD</v>
      </c>
      <c r="AX2775" s="233" t="str">
        <f>VLOOKUP(Table8[[#This Row],[Country Code]],Table29[],9,FALSE)</f>
        <v>no</v>
      </c>
      <c r="AY2775" s="233" t="str">
        <f>VLOOKUP(Table8[[#This Row],[Country Code]],Table29[],10,FALSE)</f>
        <v>no</v>
      </c>
      <c r="AZ2775" s="235">
        <f>VLOOKUP(Table8[[#This Row],[Country Code]],Table29[],23,FALSE)</f>
        <v>385.11288377147002</v>
      </c>
      <c r="BA2775" s="235">
        <f>VLOOKUP(Table8[[#This Row],[Country Code]],Table29[],24,FALSE)</f>
        <v>58.971195919965467</v>
      </c>
      <c r="BB2775" s="320"/>
      <c r="BC2775" s="320"/>
    </row>
    <row r="2776" spans="1:55" ht="31.5" hidden="1" customHeight="1" x14ac:dyDescent="0.25">
      <c r="A2776" s="373">
        <v>41748</v>
      </c>
      <c r="B2776" s="233" t="str">
        <f>VLOOKUP(Table8[[#This Row],[Document ID]],Table1[],2,FALSE)</f>
        <v>NGA</v>
      </c>
      <c r="C2776" s="233" t="str">
        <f>VLOOKUP(Table8[[#This Row],[Document ID]],Table1[],3,FALSE)</f>
        <v>Nigeria</v>
      </c>
      <c r="D2776" s="243" t="str">
        <f>VLOOKUP(Table8[[#This Row],[Document ID]],Table1[],5,FALSE)</f>
        <v>LTS</v>
      </c>
      <c r="E2776" s="233" t="str">
        <f>VLOOKUP(Table8[[#This Row],[Document ID]],Table1[],7,FALSE)</f>
        <v>LTS</v>
      </c>
      <c r="F2776" s="233" t="str">
        <f>VLOOKUP(Table8[[#This Row],[Document ID]],Table1[],8,FALSE)</f>
        <v>LTS 2.0</v>
      </c>
      <c r="G2776" s="233" t="str">
        <f>VLOOKUP(Table8[[#This Row],[Document ID]],Table1[],10,FALSE)</f>
        <v>Active</v>
      </c>
      <c r="H2776" s="43" t="s">
        <v>2343</v>
      </c>
      <c r="I2776" s="43" t="s">
        <v>2386</v>
      </c>
      <c r="J2776" s="44" t="s">
        <v>3055</v>
      </c>
      <c r="K2776" s="44" t="s">
        <v>4847</v>
      </c>
      <c r="L2776" s="44" t="s">
        <v>2373</v>
      </c>
      <c r="M2776" s="43">
        <v>138</v>
      </c>
      <c r="N2776" s="113" t="s">
        <v>1113</v>
      </c>
      <c r="O2776" s="113"/>
      <c r="P2776" s="113"/>
      <c r="Q2776" s="113"/>
      <c r="R2776" s="113"/>
      <c r="S2776" s="113"/>
      <c r="T2776" s="113"/>
      <c r="U2776" s="113"/>
      <c r="V2776" s="113"/>
      <c r="W2776" s="113"/>
      <c r="X2776" s="113"/>
      <c r="Y2776" s="113"/>
      <c r="Z2776" s="113"/>
      <c r="AA2776" s="113"/>
      <c r="AB2776" s="113"/>
      <c r="AC2776" s="113"/>
      <c r="AD2776" s="113"/>
      <c r="AE2776" s="113"/>
      <c r="AF2776" s="113"/>
      <c r="AG2776" s="113"/>
      <c r="AH2776" s="113"/>
      <c r="AI2776" s="113"/>
      <c r="AJ2776" s="113"/>
      <c r="AK2776" s="113" t="s">
        <v>1113</v>
      </c>
      <c r="AL2776" s="113"/>
      <c r="AM2776" s="113"/>
      <c r="AN2776" s="113"/>
      <c r="AO2776" s="44" t="s">
        <v>2334</v>
      </c>
      <c r="AP2776" s="43"/>
      <c r="AQ2776" s="236" t="str">
        <f>VLOOKUP(Table8[[#This Row],[Instrument]],Def_Targets!$D$73:$E$159,2,FALSE)</f>
        <v>A_Emistrad</v>
      </c>
      <c r="AR2776" s="233" t="str">
        <f>VLOOKUP(Table8[[#This Row],[Country Code]],Table29[],3,FALSE)</f>
        <v>Non-Annex I</v>
      </c>
      <c r="AS2776" s="233" t="str">
        <f>VLOOKUP(Table8[[#This Row],[Country Code]],Table29[],4,FALSE)</f>
        <v>Africa</v>
      </c>
      <c r="AT2776" s="233" t="str">
        <f>VLOOKUP(Table8[[#This Row],[Country Code]],Table29[],5,FALSE)</f>
        <v>Middle-income</v>
      </c>
      <c r="AU2776" s="233" t="str">
        <f>VLOOKUP(Table8[[#This Row],[Country Code]],Table29[],6,FALSE)</f>
        <v>no</v>
      </c>
      <c r="AV2776" s="233" t="str">
        <f>VLOOKUP(Table8[[#This Row],[Country Code]],Table29[],7,FALSE)</f>
        <v>no</v>
      </c>
      <c r="AW2776" s="233" t="str">
        <f>VLOOKUP(Table8[[#This Row],[Country Code]],Table29[],8,FALSE)</f>
        <v>non-OECD</v>
      </c>
      <c r="AX2776" s="233" t="str">
        <f>VLOOKUP(Table8[[#This Row],[Country Code]],Table29[],9,FALSE)</f>
        <v>no</v>
      </c>
      <c r="AY2776" s="233" t="str">
        <f>VLOOKUP(Table8[[#This Row],[Country Code]],Table29[],10,FALSE)</f>
        <v>no</v>
      </c>
      <c r="AZ2776" s="235">
        <f>VLOOKUP(Table8[[#This Row],[Country Code]],Table29[],23,FALSE)</f>
        <v>385.11288377147002</v>
      </c>
      <c r="BA2776" s="235">
        <f>VLOOKUP(Table8[[#This Row],[Country Code]],Table29[],24,FALSE)</f>
        <v>58.971195919965467</v>
      </c>
      <c r="BB2776" s="320"/>
      <c r="BC2776" s="320"/>
    </row>
    <row r="2777" spans="1:55" ht="46.5" hidden="1" customHeight="1" x14ac:dyDescent="0.25">
      <c r="A2777" s="373">
        <v>41748</v>
      </c>
      <c r="B2777" s="233" t="str">
        <f>VLOOKUP(Table8[[#This Row],[Document ID]],Table1[],2,FALSE)</f>
        <v>NGA</v>
      </c>
      <c r="C2777" s="233" t="str">
        <f>VLOOKUP(Table8[[#This Row],[Document ID]],Table1[],3,FALSE)</f>
        <v>Nigeria</v>
      </c>
      <c r="D2777" s="243" t="str">
        <f>VLOOKUP(Table8[[#This Row],[Document ID]],Table1[],5,FALSE)</f>
        <v>LTS</v>
      </c>
      <c r="E2777" s="233" t="str">
        <f>VLOOKUP(Table8[[#This Row],[Document ID]],Table1[],7,FALSE)</f>
        <v>LTS</v>
      </c>
      <c r="F2777" s="233" t="str">
        <f>VLOOKUP(Table8[[#This Row],[Document ID]],Table1[],8,FALSE)</f>
        <v>LTS 2.0</v>
      </c>
      <c r="G2777" s="233" t="str">
        <f>VLOOKUP(Table8[[#This Row],[Document ID]],Table1[],10,FALSE)</f>
        <v>Active</v>
      </c>
      <c r="H2777" s="43" t="s">
        <v>2343</v>
      </c>
      <c r="I2777" s="43" t="s">
        <v>2344</v>
      </c>
      <c r="J2777" s="44" t="s">
        <v>2345</v>
      </c>
      <c r="K2777" s="44" t="s">
        <v>4848</v>
      </c>
      <c r="L2777" s="44" t="s">
        <v>2347</v>
      </c>
      <c r="M2777" s="43">
        <v>133</v>
      </c>
      <c r="N2777" s="113" t="s">
        <v>1113</v>
      </c>
      <c r="O2777" s="113"/>
      <c r="P2777" s="113"/>
      <c r="Q2777" s="113"/>
      <c r="R2777" s="113"/>
      <c r="S2777" s="113"/>
      <c r="T2777" s="113"/>
      <c r="U2777" s="113"/>
      <c r="V2777" s="113"/>
      <c r="W2777" s="113"/>
      <c r="X2777" s="113"/>
      <c r="Y2777" s="113"/>
      <c r="Z2777" s="113"/>
      <c r="AA2777" s="113"/>
      <c r="AB2777" s="113"/>
      <c r="AC2777" s="113"/>
      <c r="AD2777" s="113"/>
      <c r="AE2777" s="113"/>
      <c r="AF2777" s="113"/>
      <c r="AG2777" s="113"/>
      <c r="AH2777" s="113"/>
      <c r="AI2777" s="113"/>
      <c r="AJ2777" s="113"/>
      <c r="AK2777" s="113" t="s">
        <v>1113</v>
      </c>
      <c r="AL2777" s="113"/>
      <c r="AM2777" s="113"/>
      <c r="AN2777" s="113"/>
      <c r="AO2777" s="44" t="s">
        <v>2334</v>
      </c>
      <c r="AP2777" s="43"/>
      <c r="AQ2777" s="236" t="str">
        <f>VLOOKUP(Table8[[#This Row],[Instrument]],Def_Targets!$D$73:$E$159,2,FALSE)</f>
        <v>S_PublicTransport</v>
      </c>
      <c r="AR2777" s="233" t="str">
        <f>VLOOKUP(Table8[[#This Row],[Country Code]],Table29[],3,FALSE)</f>
        <v>Non-Annex I</v>
      </c>
      <c r="AS2777" s="233" t="str">
        <f>VLOOKUP(Table8[[#This Row],[Country Code]],Table29[],4,FALSE)</f>
        <v>Africa</v>
      </c>
      <c r="AT2777" s="233" t="str">
        <f>VLOOKUP(Table8[[#This Row],[Country Code]],Table29[],5,FALSE)</f>
        <v>Middle-income</v>
      </c>
      <c r="AU2777" s="233" t="str">
        <f>VLOOKUP(Table8[[#This Row],[Country Code]],Table29[],6,FALSE)</f>
        <v>no</v>
      </c>
      <c r="AV2777" s="233" t="str">
        <f>VLOOKUP(Table8[[#This Row],[Country Code]],Table29[],7,FALSE)</f>
        <v>no</v>
      </c>
      <c r="AW2777" s="233" t="str">
        <f>VLOOKUP(Table8[[#This Row],[Country Code]],Table29[],8,FALSE)</f>
        <v>non-OECD</v>
      </c>
      <c r="AX2777" s="233" t="str">
        <f>VLOOKUP(Table8[[#This Row],[Country Code]],Table29[],9,FALSE)</f>
        <v>no</v>
      </c>
      <c r="AY2777" s="233" t="str">
        <f>VLOOKUP(Table8[[#This Row],[Country Code]],Table29[],10,FALSE)</f>
        <v>no</v>
      </c>
      <c r="AZ2777" s="235">
        <f>VLOOKUP(Table8[[#This Row],[Country Code]],Table29[],23,FALSE)</f>
        <v>385.11288377147002</v>
      </c>
      <c r="BA2777" s="235">
        <f>VLOOKUP(Table8[[#This Row],[Country Code]],Table29[],24,FALSE)</f>
        <v>58.971195919965467</v>
      </c>
      <c r="BB2777" s="320"/>
      <c r="BC2777" s="320"/>
    </row>
    <row r="2778" spans="1:55" ht="30" hidden="1" x14ac:dyDescent="0.25">
      <c r="A2778" s="373">
        <v>43377</v>
      </c>
      <c r="B2778" s="243" t="s">
        <v>344</v>
      </c>
      <c r="C2778" s="243" t="str">
        <f>VLOOKUP(Table8[[#This Row],[Document ID]],Table1[],3,FALSE)</f>
        <v>Panama</v>
      </c>
      <c r="D2778" s="243" t="str">
        <f>VLOOKUP(Table8[[#This Row],[Document ID]],Table1[],5,FALSE)</f>
        <v>NDC</v>
      </c>
      <c r="E2778" s="233" t="str">
        <f>VLOOKUP(Table8[[#This Row],[Document ID]],Table1[],7,FALSE)</f>
        <v>Second NDC</v>
      </c>
      <c r="F2778" s="233" t="str">
        <f>VLOOKUP(Table8[[#This Row],[Document ID]],Table1[],8,FALSE)</f>
        <v>NDC 2.0</v>
      </c>
      <c r="G2778" s="233" t="str">
        <f>VLOOKUP(Table8[[#This Row],[Document ID]],Table1[],10,FALSE)</f>
        <v>Active</v>
      </c>
      <c r="H2778" s="43" t="s">
        <v>2358</v>
      </c>
      <c r="I2778" s="43" t="s">
        <v>2359</v>
      </c>
      <c r="J2778" s="43" t="s">
        <v>2360</v>
      </c>
      <c r="K2778" s="44" t="s">
        <v>4849</v>
      </c>
      <c r="L2778" s="44" t="s">
        <v>2333</v>
      </c>
      <c r="M2778" s="43">
        <v>56</v>
      </c>
      <c r="N2778" s="113"/>
      <c r="O2778" s="113"/>
      <c r="P2778" s="113"/>
      <c r="Q2778" s="113"/>
      <c r="R2778" s="113"/>
      <c r="S2778" s="113"/>
      <c r="T2778" s="113"/>
      <c r="U2778" s="113"/>
      <c r="V2778" s="113" t="s">
        <v>1113</v>
      </c>
      <c r="W2778" s="113"/>
      <c r="X2778" s="113"/>
      <c r="Y2778" s="113"/>
      <c r="Z2778" s="113"/>
      <c r="AA2778" s="113"/>
      <c r="AB2778" s="113"/>
      <c r="AC2778" s="113"/>
      <c r="AD2778" s="113"/>
      <c r="AE2778" s="113"/>
      <c r="AF2778" s="113"/>
      <c r="AG2778" s="113"/>
      <c r="AH2778" s="113"/>
      <c r="AI2778" s="113"/>
      <c r="AJ2778" s="113"/>
      <c r="AK2778" s="113" t="s">
        <v>1113</v>
      </c>
      <c r="AL2778" s="113"/>
      <c r="AM2778" s="113"/>
      <c r="AN2778" s="113"/>
      <c r="AO2778" s="43" t="s">
        <v>2334</v>
      </c>
      <c r="AP2778" s="43" t="s">
        <v>4850</v>
      </c>
      <c r="AQ2778" s="233" t="str">
        <f>VLOOKUP(Table8[[#This Row],[Instrument]],Def_Targets!$D$73:$E$159,2,FALSE)</f>
        <v>I_Emobility</v>
      </c>
      <c r="AR2778" s="242" t="str">
        <f>VLOOKUP(Table8[[#This Row],[Country Code]],Table29[],3,FALSE)</f>
        <v>Non-Annex I</v>
      </c>
      <c r="AS2778" s="242" t="str">
        <f>VLOOKUP(Table8[[#This Row],[Country Code]],Table29[],4,FALSE)</f>
        <v>Latin America and the Caribbean</v>
      </c>
      <c r="AT2778" s="242" t="str">
        <f>VLOOKUP(Table8[[#This Row],[Country Code]],Table29[],5,FALSE)</f>
        <v>Middle-income</v>
      </c>
      <c r="AU2778" s="242" t="str">
        <f>VLOOKUP(Table8[[#This Row],[Country Code]],Table29[],6,FALSE)</f>
        <v>no</v>
      </c>
      <c r="AV2778" s="242" t="str">
        <f>VLOOKUP(Table8[[#This Row],[Country Code]],Table29[],7,FALSE)</f>
        <v>no</v>
      </c>
      <c r="AW2778" s="242" t="str">
        <f>VLOOKUP(Table8[[#This Row],[Country Code]],Table29[],8,FALSE)</f>
        <v>non-OECD</v>
      </c>
      <c r="AX2778" s="242" t="str">
        <f>VLOOKUP(Table8[[#This Row],[Country Code]],Table29[],9,FALSE)</f>
        <v>no</v>
      </c>
      <c r="AY2778" s="242" t="str">
        <f>VLOOKUP(Table8[[#This Row],[Country Code]],Table29[],10,FALSE)</f>
        <v>no</v>
      </c>
      <c r="AZ2778" s="242">
        <f>VLOOKUP(Table8[[#This Row],[Country Code]],Table29[],23,FALSE)</f>
        <v>21.281689073780999</v>
      </c>
      <c r="BA2778" s="242">
        <f>VLOOKUP(Table8[[#This Row],[Country Code]],Table29[],24,FALSE)</f>
        <v>5.7357943404010889</v>
      </c>
      <c r="BB2778" s="320"/>
      <c r="BC2778" s="320"/>
    </row>
    <row r="2779" spans="1:55" ht="60" hidden="1" x14ac:dyDescent="0.25">
      <c r="A2779" s="373">
        <v>43377</v>
      </c>
      <c r="B2779" s="243" t="str">
        <f>VLOOKUP(Table8[[#This Row],[Document ID]],Table1[],2,FALSE)</f>
        <v>PAN</v>
      </c>
      <c r="C2779" s="243" t="str">
        <f>VLOOKUP(Table8[[#This Row],[Document ID]],Table1[],3,FALSE)</f>
        <v>Panama</v>
      </c>
      <c r="D2779" s="243" t="str">
        <f>VLOOKUP(Table8[[#This Row],[Document ID]],Table1[],5,FALSE)</f>
        <v>NDC</v>
      </c>
      <c r="E2779" s="233" t="str">
        <f>VLOOKUP(Table8[[#This Row],[Document ID]],Table1[],7,FALSE)</f>
        <v>Second NDC</v>
      </c>
      <c r="F2779" s="233" t="str">
        <f>VLOOKUP(Table8[[#This Row],[Document ID]],Table1[],8,FALSE)</f>
        <v>NDC 2.0</v>
      </c>
      <c r="G2779" s="233" t="str">
        <f>VLOOKUP(Table8[[#This Row],[Document ID]],Table1[],10,FALSE)</f>
        <v>Active</v>
      </c>
      <c r="H2779" s="43" t="s">
        <v>2358</v>
      </c>
      <c r="I2779" s="43" t="s">
        <v>2359</v>
      </c>
      <c r="J2779" s="43" t="s">
        <v>2360</v>
      </c>
      <c r="K2779" s="44" t="s">
        <v>4851</v>
      </c>
      <c r="L2779" s="44" t="s">
        <v>2333</v>
      </c>
      <c r="M2779" s="43">
        <v>56</v>
      </c>
      <c r="N2779" s="113"/>
      <c r="O2779" s="113"/>
      <c r="P2779" s="113"/>
      <c r="Q2779" s="113"/>
      <c r="R2779" s="113"/>
      <c r="S2779" s="113"/>
      <c r="T2779" s="113"/>
      <c r="U2779" s="113"/>
      <c r="V2779" s="113" t="s">
        <v>1113</v>
      </c>
      <c r="W2779" s="113"/>
      <c r="X2779" s="113"/>
      <c r="Y2779" s="113"/>
      <c r="Z2779" s="113"/>
      <c r="AA2779" s="113"/>
      <c r="AB2779" s="113"/>
      <c r="AC2779" s="113"/>
      <c r="AD2779" s="113"/>
      <c r="AE2779" s="113"/>
      <c r="AF2779" s="113"/>
      <c r="AG2779" s="113"/>
      <c r="AH2779" s="113"/>
      <c r="AI2779" s="113"/>
      <c r="AJ2779" s="113"/>
      <c r="AK2779" s="113" t="s">
        <v>1113</v>
      </c>
      <c r="AL2779" s="113"/>
      <c r="AM2779" s="113"/>
      <c r="AN2779" s="113"/>
      <c r="AO2779" s="43" t="s">
        <v>2334</v>
      </c>
      <c r="AP2779" s="43" t="s">
        <v>4850</v>
      </c>
      <c r="AQ2779" s="233" t="str">
        <f>VLOOKUP(Table8[[#This Row],[Instrument]],Def_Targets!$D$73:$E$159,2,FALSE)</f>
        <v>I_Emobility</v>
      </c>
      <c r="AR2779" s="242" t="str">
        <f>VLOOKUP(Table8[[#This Row],[Country Code]],Table29[],3,FALSE)</f>
        <v>Non-Annex I</v>
      </c>
      <c r="AS2779" s="242" t="str">
        <f>VLOOKUP(Table8[[#This Row],[Country Code]],Table29[],4,FALSE)</f>
        <v>Latin America and the Caribbean</v>
      </c>
      <c r="AT2779" s="242" t="str">
        <f>VLOOKUP(Table8[[#This Row],[Country Code]],Table29[],5,FALSE)</f>
        <v>Middle-income</v>
      </c>
      <c r="AU2779" s="242" t="str">
        <f>VLOOKUP(Table8[[#This Row],[Country Code]],Table29[],6,FALSE)</f>
        <v>no</v>
      </c>
      <c r="AV2779" s="242" t="str">
        <f>VLOOKUP(Table8[[#This Row],[Country Code]],Table29[],7,FALSE)</f>
        <v>no</v>
      </c>
      <c r="AW2779" s="242" t="str">
        <f>VLOOKUP(Table8[[#This Row],[Country Code]],Table29[],8,FALSE)</f>
        <v>non-OECD</v>
      </c>
      <c r="AX2779" s="242" t="str">
        <f>VLOOKUP(Table8[[#This Row],[Country Code]],Table29[],9,FALSE)</f>
        <v>no</v>
      </c>
      <c r="AY2779" s="242" t="str">
        <f>VLOOKUP(Table8[[#This Row],[Country Code]],Table29[],10,FALSE)</f>
        <v>no</v>
      </c>
      <c r="AZ2779" s="242">
        <f>VLOOKUP(Table8[[#This Row],[Country Code]],Table29[],23,FALSE)</f>
        <v>21.281689073780999</v>
      </c>
      <c r="BA2779" s="242">
        <f>VLOOKUP(Table8[[#This Row],[Country Code]],Table29[],24,FALSE)</f>
        <v>5.7357943404010889</v>
      </c>
      <c r="BB2779" s="320"/>
      <c r="BC2779" s="320"/>
    </row>
    <row r="2780" spans="1:55" ht="60" hidden="1" x14ac:dyDescent="0.25">
      <c r="A2780" s="373">
        <v>43377</v>
      </c>
      <c r="B2780" s="243" t="str">
        <f>VLOOKUP(Table8[[#This Row],[Document ID]],Table1[],2,FALSE)</f>
        <v>PAN</v>
      </c>
      <c r="C2780" s="243" t="str">
        <f>VLOOKUP(Table8[[#This Row],[Document ID]],Table1[],3,FALSE)</f>
        <v>Panama</v>
      </c>
      <c r="D2780" s="243" t="str">
        <f>VLOOKUP(Table8[[#This Row],[Document ID]],Table1[],5,FALSE)</f>
        <v>NDC</v>
      </c>
      <c r="E2780" s="233" t="str">
        <f>VLOOKUP(Table8[[#This Row],[Document ID]],Table1[],7,FALSE)</f>
        <v>Second NDC</v>
      </c>
      <c r="F2780" s="233" t="str">
        <f>VLOOKUP(Table8[[#This Row],[Document ID]],Table1[],8,FALSE)</f>
        <v>NDC 2.0</v>
      </c>
      <c r="G2780" s="233" t="str">
        <f>VLOOKUP(Table8[[#This Row],[Document ID]],Table1[],10,FALSE)</f>
        <v>Active</v>
      </c>
      <c r="H2780" s="43" t="s">
        <v>2358</v>
      </c>
      <c r="I2780" s="43" t="s">
        <v>2359</v>
      </c>
      <c r="J2780" s="43" t="s">
        <v>2360</v>
      </c>
      <c r="K2780" s="44" t="s">
        <v>4852</v>
      </c>
      <c r="L2780" s="44" t="s">
        <v>2333</v>
      </c>
      <c r="M2780" s="43">
        <v>56</v>
      </c>
      <c r="N2780" s="113"/>
      <c r="O2780" s="113"/>
      <c r="P2780" s="113"/>
      <c r="Q2780" s="113"/>
      <c r="R2780" s="113"/>
      <c r="S2780" s="113"/>
      <c r="T2780" s="113"/>
      <c r="U2780" s="113"/>
      <c r="V2780" s="113"/>
      <c r="W2780" s="113"/>
      <c r="X2780" s="113"/>
      <c r="Y2780" s="113" t="s">
        <v>1113</v>
      </c>
      <c r="Z2780" s="113"/>
      <c r="AA2780" s="113"/>
      <c r="AB2780" s="113"/>
      <c r="AC2780" s="113"/>
      <c r="AD2780" s="113"/>
      <c r="AE2780" s="113"/>
      <c r="AF2780" s="113"/>
      <c r="AG2780" s="113"/>
      <c r="AH2780" s="113"/>
      <c r="AI2780" s="113"/>
      <c r="AJ2780" s="113"/>
      <c r="AK2780" s="113" t="s">
        <v>1113</v>
      </c>
      <c r="AL2780" s="113"/>
      <c r="AM2780" s="113"/>
      <c r="AN2780" s="113"/>
      <c r="AO2780" s="43" t="s">
        <v>2348</v>
      </c>
      <c r="AP2780" s="43" t="s">
        <v>4850</v>
      </c>
      <c r="AQ2780" s="233" t="str">
        <f>VLOOKUP(Table8[[#This Row],[Instrument]],Def_Targets!$D$73:$E$159,2,FALSE)</f>
        <v>I_Emobility</v>
      </c>
      <c r="AR2780" s="242" t="str">
        <f>VLOOKUP(Table8[[#This Row],[Country Code]],Table29[],3,FALSE)</f>
        <v>Non-Annex I</v>
      </c>
      <c r="AS2780" s="242" t="str">
        <f>VLOOKUP(Table8[[#This Row],[Country Code]],Table29[],4,FALSE)</f>
        <v>Latin America and the Caribbean</v>
      </c>
      <c r="AT2780" s="242" t="str">
        <f>VLOOKUP(Table8[[#This Row],[Country Code]],Table29[],5,FALSE)</f>
        <v>Middle-income</v>
      </c>
      <c r="AU2780" s="242" t="str">
        <f>VLOOKUP(Table8[[#This Row],[Country Code]],Table29[],6,FALSE)</f>
        <v>no</v>
      </c>
      <c r="AV2780" s="242" t="str">
        <f>VLOOKUP(Table8[[#This Row],[Country Code]],Table29[],7,FALSE)</f>
        <v>no</v>
      </c>
      <c r="AW2780" s="242" t="str">
        <f>VLOOKUP(Table8[[#This Row],[Country Code]],Table29[],8,FALSE)</f>
        <v>non-OECD</v>
      </c>
      <c r="AX2780" s="242" t="str">
        <f>VLOOKUP(Table8[[#This Row],[Country Code]],Table29[],9,FALSE)</f>
        <v>no</v>
      </c>
      <c r="AY2780" s="242" t="str">
        <f>VLOOKUP(Table8[[#This Row],[Country Code]],Table29[],10,FALSE)</f>
        <v>no</v>
      </c>
      <c r="AZ2780" s="242">
        <f>VLOOKUP(Table8[[#This Row],[Country Code]],Table29[],23,FALSE)</f>
        <v>21.281689073780999</v>
      </c>
      <c r="BA2780" s="242">
        <f>VLOOKUP(Table8[[#This Row],[Country Code]],Table29[],24,FALSE)</f>
        <v>5.7357943404010889</v>
      </c>
      <c r="BB2780" s="320"/>
      <c r="BC2780" s="320"/>
    </row>
    <row r="2781" spans="1:55" ht="60" hidden="1" x14ac:dyDescent="0.25">
      <c r="A2781" s="373">
        <v>43377</v>
      </c>
      <c r="B2781" s="243" t="str">
        <f>VLOOKUP(Table8[[#This Row],[Document ID]],Table1[],2,FALSE)</f>
        <v>PAN</v>
      </c>
      <c r="C2781" s="243" t="str">
        <f>VLOOKUP(Table8[[#This Row],[Document ID]],Table1[],3,FALSE)</f>
        <v>Panama</v>
      </c>
      <c r="D2781" s="243" t="str">
        <f>VLOOKUP(Table8[[#This Row],[Document ID]],Table1[],5,FALSE)</f>
        <v>NDC</v>
      </c>
      <c r="E2781" s="233" t="str">
        <f>VLOOKUP(Table8[[#This Row],[Document ID]],Table1[],7,FALSE)</f>
        <v>Second NDC</v>
      </c>
      <c r="F2781" s="233" t="str">
        <f>VLOOKUP(Table8[[#This Row],[Document ID]],Table1[],8,FALSE)</f>
        <v>NDC 2.0</v>
      </c>
      <c r="G2781" s="233" t="str">
        <f>VLOOKUP(Table8[[#This Row],[Document ID]],Table1[],10,FALSE)</f>
        <v>Active</v>
      </c>
      <c r="H2781" s="43" t="s">
        <v>2358</v>
      </c>
      <c r="I2781" s="43" t="s">
        <v>2359</v>
      </c>
      <c r="J2781" s="43" t="s">
        <v>2360</v>
      </c>
      <c r="K2781" s="44" t="s">
        <v>4853</v>
      </c>
      <c r="L2781" s="44" t="s">
        <v>2333</v>
      </c>
      <c r="M2781" s="43">
        <v>56</v>
      </c>
      <c r="N2781" s="113" t="s">
        <v>1113</v>
      </c>
      <c r="O2781" s="113"/>
      <c r="P2781" s="113"/>
      <c r="Q2781" s="113"/>
      <c r="R2781" s="113"/>
      <c r="S2781" s="113"/>
      <c r="T2781" s="113"/>
      <c r="U2781" s="113"/>
      <c r="V2781" s="113"/>
      <c r="W2781" s="113"/>
      <c r="X2781" s="113"/>
      <c r="Y2781" s="113"/>
      <c r="Z2781" s="113"/>
      <c r="AA2781" s="113"/>
      <c r="AB2781" s="113"/>
      <c r="AC2781" s="113"/>
      <c r="AD2781" s="113"/>
      <c r="AE2781" s="113"/>
      <c r="AF2781" s="113"/>
      <c r="AG2781" s="113"/>
      <c r="AH2781" s="113"/>
      <c r="AI2781" s="113"/>
      <c r="AJ2781" s="113"/>
      <c r="AK2781" s="113" t="s">
        <v>1113</v>
      </c>
      <c r="AL2781" s="113"/>
      <c r="AM2781" s="113"/>
      <c r="AN2781" s="113"/>
      <c r="AO2781" s="43" t="s">
        <v>2334</v>
      </c>
      <c r="AP2781" s="43" t="s">
        <v>4850</v>
      </c>
      <c r="AQ2781" s="233" t="str">
        <f>VLOOKUP(Table8[[#This Row],[Instrument]],Def_Targets!$D$73:$E$159,2,FALSE)</f>
        <v>I_Emobility</v>
      </c>
      <c r="AR2781" s="242" t="str">
        <f>VLOOKUP(Table8[[#This Row],[Country Code]],Table29[],3,FALSE)</f>
        <v>Non-Annex I</v>
      </c>
      <c r="AS2781" s="242" t="str">
        <f>VLOOKUP(Table8[[#This Row],[Country Code]],Table29[],4,FALSE)</f>
        <v>Latin America and the Caribbean</v>
      </c>
      <c r="AT2781" s="242" t="str">
        <f>VLOOKUP(Table8[[#This Row],[Country Code]],Table29[],5,FALSE)</f>
        <v>Middle-income</v>
      </c>
      <c r="AU2781" s="242" t="str">
        <f>VLOOKUP(Table8[[#This Row],[Country Code]],Table29[],6,FALSE)</f>
        <v>no</v>
      </c>
      <c r="AV2781" s="242" t="str">
        <f>VLOOKUP(Table8[[#This Row],[Country Code]],Table29[],7,FALSE)</f>
        <v>no</v>
      </c>
      <c r="AW2781" s="242" t="str">
        <f>VLOOKUP(Table8[[#This Row],[Country Code]],Table29[],8,FALSE)</f>
        <v>non-OECD</v>
      </c>
      <c r="AX2781" s="242" t="str">
        <f>VLOOKUP(Table8[[#This Row],[Country Code]],Table29[],9,FALSE)</f>
        <v>no</v>
      </c>
      <c r="AY2781" s="242" t="str">
        <f>VLOOKUP(Table8[[#This Row],[Country Code]],Table29[],10,FALSE)</f>
        <v>no</v>
      </c>
      <c r="AZ2781" s="242">
        <f>VLOOKUP(Table8[[#This Row],[Country Code]],Table29[],23,FALSE)</f>
        <v>21.281689073780999</v>
      </c>
      <c r="BA2781" s="242">
        <f>VLOOKUP(Table8[[#This Row],[Country Code]],Table29[],24,FALSE)</f>
        <v>5.7357943404010889</v>
      </c>
      <c r="BB2781" s="320"/>
      <c r="BC2781" s="320"/>
    </row>
    <row r="2782" spans="1:55" ht="15" hidden="1" customHeight="1" x14ac:dyDescent="0.25">
      <c r="A2782" s="373">
        <v>43377</v>
      </c>
      <c r="B2782" s="243" t="str">
        <f>VLOOKUP(Table8[[#This Row],[Document ID]],Table1[],2,FALSE)</f>
        <v>PAN</v>
      </c>
      <c r="C2782" s="243" t="str">
        <f>VLOOKUP(Table8[[#This Row],[Document ID]],Table1[],3,FALSE)</f>
        <v>Panama</v>
      </c>
      <c r="D2782" s="243" t="str">
        <f>VLOOKUP(Table8[[#This Row],[Document ID]],Table1[],5,FALSE)</f>
        <v>NDC</v>
      </c>
      <c r="E2782" s="233" t="str">
        <f>VLOOKUP(Table8[[#This Row],[Document ID]],Table1[],7,FALSE)</f>
        <v>Second NDC</v>
      </c>
      <c r="F2782" s="233" t="str">
        <f>VLOOKUP(Table8[[#This Row],[Document ID]],Table1[],8,FALSE)</f>
        <v>NDC 2.0</v>
      </c>
      <c r="G2782" s="233" t="str">
        <f>VLOOKUP(Table8[[#This Row],[Document ID]],Table1[],10,FALSE)</f>
        <v>Active</v>
      </c>
      <c r="H2782" s="43" t="s">
        <v>2329</v>
      </c>
      <c r="I2782" s="43" t="s">
        <v>2330</v>
      </c>
      <c r="J2782" s="43" t="s">
        <v>2391</v>
      </c>
      <c r="K2782" s="44" t="s">
        <v>4854</v>
      </c>
      <c r="L2782" s="44" t="s">
        <v>2333</v>
      </c>
      <c r="M2782" s="43">
        <v>164</v>
      </c>
      <c r="N2782" s="113"/>
      <c r="O2782" s="113"/>
      <c r="P2782" s="113"/>
      <c r="Q2782" s="113"/>
      <c r="R2782" s="113"/>
      <c r="S2782" s="113"/>
      <c r="T2782" s="113"/>
      <c r="U2782" s="113"/>
      <c r="V2782" s="113"/>
      <c r="W2782" s="113"/>
      <c r="X2782" s="113" t="s">
        <v>1113</v>
      </c>
      <c r="Y2782" s="113"/>
      <c r="Z2782" s="113"/>
      <c r="AA2782" s="113"/>
      <c r="AB2782" s="113"/>
      <c r="AC2782" s="113"/>
      <c r="AD2782" s="113"/>
      <c r="AE2782" s="113"/>
      <c r="AF2782" s="113"/>
      <c r="AG2782" s="113"/>
      <c r="AH2782" s="113"/>
      <c r="AI2782" s="113"/>
      <c r="AJ2782" s="113"/>
      <c r="AK2782" s="113" t="s">
        <v>1113</v>
      </c>
      <c r="AL2782" s="113"/>
      <c r="AM2782" s="113"/>
      <c r="AN2782" s="113"/>
      <c r="AO2782" s="43" t="s">
        <v>2353</v>
      </c>
      <c r="AP2782" s="43" t="s">
        <v>4850</v>
      </c>
      <c r="AQ2782" s="233" t="str">
        <f>VLOOKUP(Table8[[#This Row],[Instrument]],Def_Targets!$D$73:$E$159,2,FALSE)</f>
        <v>I_Hydrogen</v>
      </c>
      <c r="AR2782" s="242" t="str">
        <f>VLOOKUP(Table8[[#This Row],[Country Code]],Table29[],3,FALSE)</f>
        <v>Non-Annex I</v>
      </c>
      <c r="AS2782" s="242" t="str">
        <f>VLOOKUP(Table8[[#This Row],[Country Code]],Table29[],4,FALSE)</f>
        <v>Latin America and the Caribbean</v>
      </c>
      <c r="AT2782" s="242" t="str">
        <f>VLOOKUP(Table8[[#This Row],[Country Code]],Table29[],5,FALSE)</f>
        <v>Middle-income</v>
      </c>
      <c r="AU2782" s="242" t="str">
        <f>VLOOKUP(Table8[[#This Row],[Country Code]],Table29[],6,FALSE)</f>
        <v>no</v>
      </c>
      <c r="AV2782" s="242" t="str">
        <f>VLOOKUP(Table8[[#This Row],[Country Code]],Table29[],7,FALSE)</f>
        <v>no</v>
      </c>
      <c r="AW2782" s="242" t="str">
        <f>VLOOKUP(Table8[[#This Row],[Country Code]],Table29[],8,FALSE)</f>
        <v>non-OECD</v>
      </c>
      <c r="AX2782" s="242" t="str">
        <f>VLOOKUP(Table8[[#This Row],[Country Code]],Table29[],9,FALSE)</f>
        <v>no</v>
      </c>
      <c r="AY2782" s="242" t="str">
        <f>VLOOKUP(Table8[[#This Row],[Country Code]],Table29[],10,FALSE)</f>
        <v>no</v>
      </c>
      <c r="AZ2782" s="242">
        <f>VLOOKUP(Table8[[#This Row],[Country Code]],Table29[],23,FALSE)</f>
        <v>21.281689073780999</v>
      </c>
      <c r="BA2782" s="242">
        <f>VLOOKUP(Table8[[#This Row],[Country Code]],Table29[],24,FALSE)</f>
        <v>5.7357943404010889</v>
      </c>
      <c r="BB2782" s="320"/>
      <c r="BC2782" s="320"/>
    </row>
    <row r="2783" spans="1:55" ht="30" x14ac:dyDescent="0.25">
      <c r="A2783" s="398">
        <v>43716</v>
      </c>
      <c r="B2783" s="243" t="str">
        <f>VLOOKUP(Table8[[#This Row],[Document ID]],Table1[],2,FALSE)</f>
        <v>BWA</v>
      </c>
      <c r="C2783" s="243" t="str">
        <f>VLOOKUP(Table8[[#This Row],[Document ID]],Table1[],3,FALSE)</f>
        <v>Botswana</v>
      </c>
      <c r="D2783" s="243" t="str">
        <f>VLOOKUP(Table8[[#This Row],[Document ID]],Table1[],5,FALSE)</f>
        <v>NDC</v>
      </c>
      <c r="E2783" s="233" t="str">
        <f>VLOOKUP(Table8[[#This Row],[Document ID]],Table1[],7,FALSE)</f>
        <v>Third NDC</v>
      </c>
      <c r="F2783" s="233" t="str">
        <f>VLOOKUP(Table8[[#This Row],[Document ID]],Table1[],8,FALSE)</f>
        <v>NDC 3.0</v>
      </c>
      <c r="G2783" s="233" t="str">
        <f>VLOOKUP(Table8[[#This Row],[Document ID]],Table1[],10,FALSE)</f>
        <v>Active</v>
      </c>
      <c r="H2783" s="43" t="s">
        <v>2329</v>
      </c>
      <c r="I2783" s="43" t="s">
        <v>2330</v>
      </c>
      <c r="J2783" s="43" t="s">
        <v>2381</v>
      </c>
      <c r="K2783" s="44" t="s">
        <v>4855</v>
      </c>
      <c r="L2783" s="44" t="s">
        <v>2333</v>
      </c>
      <c r="M2783" s="43">
        <v>18</v>
      </c>
      <c r="N2783" s="113" t="s">
        <v>1113</v>
      </c>
      <c r="O2783" s="113"/>
      <c r="P2783" s="113"/>
      <c r="Q2783" s="113"/>
      <c r="R2783" s="113"/>
      <c r="S2783" s="113"/>
      <c r="T2783" s="113"/>
      <c r="U2783" s="113"/>
      <c r="V2783" s="113"/>
      <c r="W2783" s="113"/>
      <c r="X2783" s="113"/>
      <c r="Y2783" s="113"/>
      <c r="Z2783" s="113"/>
      <c r="AA2783" s="113"/>
      <c r="AB2783" s="113"/>
      <c r="AC2783" s="113"/>
      <c r="AD2783" s="113"/>
      <c r="AE2783" s="113"/>
      <c r="AF2783" s="113"/>
      <c r="AG2783" s="113"/>
      <c r="AH2783" s="113"/>
      <c r="AI2783" s="113"/>
      <c r="AJ2783" s="113"/>
      <c r="AK2783" s="113" t="s">
        <v>1113</v>
      </c>
      <c r="AL2783" s="113"/>
      <c r="AM2783" s="113"/>
      <c r="AN2783" s="113"/>
      <c r="AO2783" s="43" t="s">
        <v>2334</v>
      </c>
      <c r="AP2783" s="43"/>
      <c r="AQ2783" s="233" t="str">
        <f>VLOOKUP(Table8[[#This Row],[Instrument]],Def_Targets!$D$73:$E$159,2,FALSE)</f>
        <v>I_RE</v>
      </c>
      <c r="AR2783" s="242" t="str">
        <f>VLOOKUP(Table8[[#This Row],[Country Code]],Table29[],3,FALSE)</f>
        <v>Non-Annex I</v>
      </c>
      <c r="AS2783" s="242" t="str">
        <f>VLOOKUP(Table8[[#This Row],[Country Code]],Table29[],4,FALSE)</f>
        <v>Africa</v>
      </c>
      <c r="AT2783" s="242" t="str">
        <f>VLOOKUP(Table8[[#This Row],[Country Code]],Table29[],5,FALSE)</f>
        <v>Middle-income</v>
      </c>
      <c r="AU2783" s="242" t="str">
        <f>VLOOKUP(Table8[[#This Row],[Country Code]],Table29[],6,FALSE)</f>
        <v>no</v>
      </c>
      <c r="AV2783" s="242" t="str">
        <f>VLOOKUP(Table8[[#This Row],[Country Code]],Table29[],7,FALSE)</f>
        <v>no</v>
      </c>
      <c r="AW2783" s="242" t="str">
        <f>VLOOKUP(Table8[[#This Row],[Country Code]],Table29[],8,FALSE)</f>
        <v>non-OECD</v>
      </c>
      <c r="AX2783" s="242" t="str">
        <f>VLOOKUP(Table8[[#This Row],[Country Code]],Table29[],9,FALSE)</f>
        <v>no</v>
      </c>
      <c r="AY2783" s="242" t="str">
        <f>VLOOKUP(Table8[[#This Row],[Country Code]],Table29[],10,FALSE)</f>
        <v>no</v>
      </c>
      <c r="AZ2783" s="242">
        <f>VLOOKUP(Table8[[#This Row],[Country Code]],Table29[],23,FALSE)</f>
        <v>12.712755146957001</v>
      </c>
      <c r="BA2783" s="242">
        <f>VLOOKUP(Table8[[#This Row],[Country Code]],Table29[],24,FALSE)</f>
        <v>2.440731678856535</v>
      </c>
      <c r="BB2783" s="320"/>
      <c r="BC2783" s="320"/>
    </row>
    <row r="2784" spans="1:55" ht="30" x14ac:dyDescent="0.25">
      <c r="A2784" s="398">
        <v>43700</v>
      </c>
      <c r="B2784" s="243" t="str">
        <f>VLOOKUP(Table8[[#This Row],[Document ID]],Table1[],2,FALSE)</f>
        <v>BRA</v>
      </c>
      <c r="C2784" s="243" t="str">
        <f>VLOOKUP(Table8[[#This Row],[Document ID]],Table1[],3,FALSE)</f>
        <v>Brazil</v>
      </c>
      <c r="D2784" s="243" t="str">
        <f>VLOOKUP(Table8[[#This Row],[Document ID]],Table1[],5,FALSE)</f>
        <v>NDC</v>
      </c>
      <c r="E2784" s="233" t="str">
        <f>VLOOKUP(Table8[[#This Row],[Document ID]],Table1[],7,FALSE)</f>
        <v>Third NDC</v>
      </c>
      <c r="F2784" s="233" t="str">
        <f>VLOOKUP(Table8[[#This Row],[Document ID]],Table1[],8,FALSE)</f>
        <v>NDC 3.0</v>
      </c>
      <c r="G2784" s="233" t="str">
        <f>VLOOKUP(Table8[[#This Row],[Document ID]],Table1[],10,FALSE)</f>
        <v>Active</v>
      </c>
      <c r="H2784" s="43" t="s">
        <v>2329</v>
      </c>
      <c r="I2784" s="43" t="s">
        <v>2330</v>
      </c>
      <c r="J2784" s="43" t="s">
        <v>2357</v>
      </c>
      <c r="K2784" s="44" t="s">
        <v>4856</v>
      </c>
      <c r="L2784" s="44" t="s">
        <v>2333</v>
      </c>
      <c r="M2784" s="43">
        <v>16</v>
      </c>
      <c r="N2784" s="113" t="s">
        <v>1113</v>
      </c>
      <c r="O2784" s="113"/>
      <c r="P2784" s="113"/>
      <c r="Q2784" s="113"/>
      <c r="R2784" s="113"/>
      <c r="S2784" s="113"/>
      <c r="T2784" s="113"/>
      <c r="U2784" s="113"/>
      <c r="V2784" s="113"/>
      <c r="W2784" s="113"/>
      <c r="X2784" s="113"/>
      <c r="Y2784" s="113"/>
      <c r="Z2784" s="113"/>
      <c r="AA2784" s="113"/>
      <c r="AB2784" s="113"/>
      <c r="AC2784" s="113"/>
      <c r="AD2784" s="113"/>
      <c r="AE2784" s="113"/>
      <c r="AF2784" s="113"/>
      <c r="AG2784" s="113"/>
      <c r="AH2784" s="113"/>
      <c r="AI2784" s="113"/>
      <c r="AJ2784" s="113"/>
      <c r="AK2784" s="113"/>
      <c r="AL2784" s="113" t="s">
        <v>1113</v>
      </c>
      <c r="AM2784" s="113"/>
      <c r="AN2784" s="113"/>
      <c r="AO2784" s="43" t="s">
        <v>2334</v>
      </c>
      <c r="AP2784" s="43" t="s">
        <v>4850</v>
      </c>
      <c r="AQ2784" s="233" t="str">
        <f>VLOOKUP(Table8[[#This Row],[Instrument]],Def_Targets!$D$73:$E$159,2,FALSE)</f>
        <v>I_Biofuel</v>
      </c>
      <c r="AR2784" s="242" t="str">
        <f>VLOOKUP(Table8[[#This Row],[Country Code]],Table29[],3,FALSE)</f>
        <v>Non-Annex I</v>
      </c>
      <c r="AS2784" s="242" t="str">
        <f>VLOOKUP(Table8[[#This Row],[Country Code]],Table29[],4,FALSE)</f>
        <v>Latin America and the Caribbean</v>
      </c>
      <c r="AT2784" s="242" t="str">
        <f>VLOOKUP(Table8[[#This Row],[Country Code]],Table29[],5,FALSE)</f>
        <v>Middle-income</v>
      </c>
      <c r="AU2784" s="242" t="str">
        <f>VLOOKUP(Table8[[#This Row],[Country Code]],Table29[],6,FALSE)</f>
        <v>G20</v>
      </c>
      <c r="AV2784" s="242" t="str">
        <f>VLOOKUP(Table8[[#This Row],[Country Code]],Table29[],7,FALSE)</f>
        <v>no</v>
      </c>
      <c r="AW2784" s="242" t="str">
        <f>VLOOKUP(Table8[[#This Row],[Country Code]],Table29[],8,FALSE)</f>
        <v>non-OECD</v>
      </c>
      <c r="AX2784" s="242" t="str">
        <f>VLOOKUP(Table8[[#This Row],[Country Code]],Table29[],9,FALSE)</f>
        <v>no</v>
      </c>
      <c r="AY2784" s="242" t="str">
        <f>VLOOKUP(Table8[[#This Row],[Country Code]],Table29[],10,FALSE)</f>
        <v>no</v>
      </c>
      <c r="AZ2784" s="242">
        <f>VLOOKUP(Table8[[#This Row],[Country Code]],Table29[],23,FALSE)</f>
        <v>1300.1688666752</v>
      </c>
      <c r="BA2784" s="242">
        <f>VLOOKUP(Table8[[#This Row],[Country Code]],Table29[],24,FALSE)</f>
        <v>221.12609205884911</v>
      </c>
      <c r="BB2784" s="320"/>
      <c r="BC2784" s="320"/>
    </row>
    <row r="2785" spans="1:55" ht="30" x14ac:dyDescent="0.25">
      <c r="A2785" s="398">
        <v>43700</v>
      </c>
      <c r="B2785" s="243" t="str">
        <f>VLOOKUP(Table8[[#This Row],[Document ID]],Table1[],2,FALSE)</f>
        <v>BRA</v>
      </c>
      <c r="C2785" s="243" t="str">
        <f>VLOOKUP(Table8[[#This Row],[Document ID]],Table1[],3,FALSE)</f>
        <v>Brazil</v>
      </c>
      <c r="D2785" s="243" t="str">
        <f>VLOOKUP(Table8[[#This Row],[Document ID]],Table1[],5,FALSE)</f>
        <v>NDC</v>
      </c>
      <c r="E2785" s="233" t="str">
        <f>VLOOKUP(Table8[[#This Row],[Document ID]],Table1[],7,FALSE)</f>
        <v>Third NDC</v>
      </c>
      <c r="F2785" s="233" t="str">
        <f>VLOOKUP(Table8[[#This Row],[Document ID]],Table1[],8,FALSE)</f>
        <v>NDC 3.0</v>
      </c>
      <c r="G2785" s="233" t="str">
        <f>VLOOKUP(Table8[[#This Row],[Document ID]],Table1[],10,FALSE)</f>
        <v>Active</v>
      </c>
      <c r="H2785" s="43" t="s">
        <v>2329</v>
      </c>
      <c r="I2785" s="43" t="s">
        <v>2330</v>
      </c>
      <c r="J2785" s="43" t="s">
        <v>2391</v>
      </c>
      <c r="K2785" s="44" t="s">
        <v>4857</v>
      </c>
      <c r="L2785" s="44" t="s">
        <v>2333</v>
      </c>
      <c r="M2785" s="43">
        <v>16</v>
      </c>
      <c r="N2785" s="113" t="s">
        <v>1113</v>
      </c>
      <c r="O2785" s="113"/>
      <c r="P2785" s="113"/>
      <c r="Q2785" s="113"/>
      <c r="R2785" s="113"/>
      <c r="S2785" s="113"/>
      <c r="T2785" s="113"/>
      <c r="U2785" s="113"/>
      <c r="V2785" s="113"/>
      <c r="W2785" s="113"/>
      <c r="X2785" s="113"/>
      <c r="Y2785" s="113"/>
      <c r="Z2785" s="113"/>
      <c r="AA2785" s="113"/>
      <c r="AB2785" s="113"/>
      <c r="AC2785" s="113"/>
      <c r="AD2785" s="113"/>
      <c r="AE2785" s="113"/>
      <c r="AF2785" s="113"/>
      <c r="AG2785" s="113"/>
      <c r="AH2785" s="113"/>
      <c r="AI2785" s="113"/>
      <c r="AJ2785" s="113"/>
      <c r="AK2785" s="113"/>
      <c r="AL2785" s="113" t="s">
        <v>1113</v>
      </c>
      <c r="AM2785" s="113"/>
      <c r="AN2785" s="113"/>
      <c r="AO2785" s="43" t="s">
        <v>2334</v>
      </c>
      <c r="AP2785" s="43" t="s">
        <v>4850</v>
      </c>
      <c r="AQ2785" s="233" t="str">
        <f>VLOOKUP(Table8[[#This Row],[Instrument]],Def_Targets!$D$73:$E$159,2,FALSE)</f>
        <v>I_Hydrogen</v>
      </c>
      <c r="AR2785" s="242" t="str">
        <f>VLOOKUP(Table8[[#This Row],[Country Code]],Table29[],3,FALSE)</f>
        <v>Non-Annex I</v>
      </c>
      <c r="AS2785" s="242" t="str">
        <f>VLOOKUP(Table8[[#This Row],[Country Code]],Table29[],4,FALSE)</f>
        <v>Latin America and the Caribbean</v>
      </c>
      <c r="AT2785" s="242" t="str">
        <f>VLOOKUP(Table8[[#This Row],[Country Code]],Table29[],5,FALSE)</f>
        <v>Middle-income</v>
      </c>
      <c r="AU2785" s="242" t="str">
        <f>VLOOKUP(Table8[[#This Row],[Country Code]],Table29[],6,FALSE)</f>
        <v>G20</v>
      </c>
      <c r="AV2785" s="242" t="str">
        <f>VLOOKUP(Table8[[#This Row],[Country Code]],Table29[],7,FALSE)</f>
        <v>no</v>
      </c>
      <c r="AW2785" s="242" t="str">
        <f>VLOOKUP(Table8[[#This Row],[Country Code]],Table29[],8,FALSE)</f>
        <v>non-OECD</v>
      </c>
      <c r="AX2785" s="242" t="str">
        <f>VLOOKUP(Table8[[#This Row],[Country Code]],Table29[],9,FALSE)</f>
        <v>no</v>
      </c>
      <c r="AY2785" s="242" t="str">
        <f>VLOOKUP(Table8[[#This Row],[Country Code]],Table29[],10,FALSE)</f>
        <v>no</v>
      </c>
      <c r="AZ2785" s="242">
        <f>VLOOKUP(Table8[[#This Row],[Country Code]],Table29[],23,FALSE)</f>
        <v>1300.1688666752</v>
      </c>
      <c r="BA2785" s="242">
        <f>VLOOKUP(Table8[[#This Row],[Country Code]],Table29[],24,FALSE)</f>
        <v>221.12609205884911</v>
      </c>
      <c r="BB2785" s="320"/>
      <c r="BC2785" s="320"/>
    </row>
    <row r="2786" spans="1:55" ht="30" x14ac:dyDescent="0.25">
      <c r="A2786" s="398">
        <v>43700</v>
      </c>
      <c r="B2786" s="243" t="str">
        <f>VLOOKUP(Table8[[#This Row],[Document ID]],Table1[],2,FALSE)</f>
        <v>BRA</v>
      </c>
      <c r="C2786" s="243" t="str">
        <f>VLOOKUP(Table8[[#This Row],[Document ID]],Table1[],3,FALSE)</f>
        <v>Brazil</v>
      </c>
      <c r="D2786" s="243" t="str">
        <f>VLOOKUP(Table8[[#This Row],[Document ID]],Table1[],5,FALSE)</f>
        <v>NDC</v>
      </c>
      <c r="E2786" s="233" t="str">
        <f>VLOOKUP(Table8[[#This Row],[Document ID]],Table1[],7,FALSE)</f>
        <v>Third NDC</v>
      </c>
      <c r="F2786" s="233" t="str">
        <f>VLOOKUP(Table8[[#This Row],[Document ID]],Table1[],8,FALSE)</f>
        <v>NDC 3.0</v>
      </c>
      <c r="G2786" s="233" t="str">
        <f>VLOOKUP(Table8[[#This Row],[Document ID]],Table1[],10,FALSE)</f>
        <v>Active</v>
      </c>
      <c r="H2786" s="43" t="s">
        <v>2329</v>
      </c>
      <c r="I2786" s="43" t="s">
        <v>2330</v>
      </c>
      <c r="J2786" s="43" t="s">
        <v>2331</v>
      </c>
      <c r="K2786" s="44" t="s">
        <v>4858</v>
      </c>
      <c r="L2786" s="44" t="s">
        <v>2333</v>
      </c>
      <c r="M2786" s="43">
        <v>16</v>
      </c>
      <c r="N2786" s="113" t="s">
        <v>1113</v>
      </c>
      <c r="O2786" s="113"/>
      <c r="P2786" s="113"/>
      <c r="Q2786" s="113"/>
      <c r="R2786" s="113"/>
      <c r="S2786" s="113"/>
      <c r="T2786" s="113"/>
      <c r="U2786" s="113"/>
      <c r="V2786" s="113"/>
      <c r="W2786" s="113"/>
      <c r="X2786" s="113"/>
      <c r="Y2786" s="113"/>
      <c r="Z2786" s="113"/>
      <c r="AA2786" s="113"/>
      <c r="AB2786" s="113"/>
      <c r="AC2786" s="113"/>
      <c r="AD2786" s="113"/>
      <c r="AE2786" s="113"/>
      <c r="AF2786" s="113"/>
      <c r="AG2786" s="113"/>
      <c r="AH2786" s="113"/>
      <c r="AI2786" s="113"/>
      <c r="AJ2786" s="113"/>
      <c r="AK2786" s="113"/>
      <c r="AL2786" s="113"/>
      <c r="AM2786" s="113"/>
      <c r="AN2786" s="113" t="s">
        <v>1113</v>
      </c>
      <c r="AO2786" s="43" t="s">
        <v>2477</v>
      </c>
      <c r="AP2786" s="43" t="s">
        <v>4850</v>
      </c>
      <c r="AQ2786" s="233" t="str">
        <f>VLOOKUP(Table8[[#This Row],[Instrument]],Def_Targets!$D$73:$E$159,2,FALSE)</f>
        <v>I_Altfuels</v>
      </c>
      <c r="AR2786" s="242" t="str">
        <f>VLOOKUP(Table8[[#This Row],[Country Code]],Table29[],3,FALSE)</f>
        <v>Non-Annex I</v>
      </c>
      <c r="AS2786" s="242" t="str">
        <f>VLOOKUP(Table8[[#This Row],[Country Code]],Table29[],4,FALSE)</f>
        <v>Latin America and the Caribbean</v>
      </c>
      <c r="AT2786" s="242" t="str">
        <f>VLOOKUP(Table8[[#This Row],[Country Code]],Table29[],5,FALSE)</f>
        <v>Middle-income</v>
      </c>
      <c r="AU2786" s="242" t="str">
        <f>VLOOKUP(Table8[[#This Row],[Country Code]],Table29[],6,FALSE)</f>
        <v>G20</v>
      </c>
      <c r="AV2786" s="242" t="str">
        <f>VLOOKUP(Table8[[#This Row],[Country Code]],Table29[],7,FALSE)</f>
        <v>no</v>
      </c>
      <c r="AW2786" s="242" t="str">
        <f>VLOOKUP(Table8[[#This Row],[Country Code]],Table29[],8,FALSE)</f>
        <v>non-OECD</v>
      </c>
      <c r="AX2786" s="242" t="str">
        <f>VLOOKUP(Table8[[#This Row],[Country Code]],Table29[],9,FALSE)</f>
        <v>no</v>
      </c>
      <c r="AY2786" s="242" t="str">
        <f>VLOOKUP(Table8[[#This Row],[Country Code]],Table29[],10,FALSE)</f>
        <v>no</v>
      </c>
      <c r="AZ2786" s="242">
        <f>VLOOKUP(Table8[[#This Row],[Country Code]],Table29[],23,FALSE)</f>
        <v>1300.1688666752</v>
      </c>
      <c r="BA2786" s="242">
        <f>VLOOKUP(Table8[[#This Row],[Country Code]],Table29[],24,FALSE)</f>
        <v>221.12609205884911</v>
      </c>
      <c r="BB2786" s="320"/>
      <c r="BC2786" s="320"/>
    </row>
    <row r="2787" spans="1:55" ht="30" x14ac:dyDescent="0.25">
      <c r="A2787" s="398">
        <v>43700</v>
      </c>
      <c r="B2787" s="243" t="str">
        <f>VLOOKUP(Table8[[#This Row],[Document ID]],Table1[],2,FALSE)</f>
        <v>BRA</v>
      </c>
      <c r="C2787" s="243" t="str">
        <f>VLOOKUP(Table8[[#This Row],[Document ID]],Table1[],3,FALSE)</f>
        <v>Brazil</v>
      </c>
      <c r="D2787" s="243" t="str">
        <f>VLOOKUP(Table8[[#This Row],[Document ID]],Table1[],5,FALSE)</f>
        <v>NDC</v>
      </c>
      <c r="E2787" s="233" t="str">
        <f>VLOOKUP(Table8[[#This Row],[Document ID]],Table1[],7,FALSE)</f>
        <v>Third NDC</v>
      </c>
      <c r="F2787" s="233" t="str">
        <f>VLOOKUP(Table8[[#This Row],[Document ID]],Table1[],8,FALSE)</f>
        <v>NDC 3.0</v>
      </c>
      <c r="G2787" s="233" t="str">
        <f>VLOOKUP(Table8[[#This Row],[Document ID]],Table1[],10,FALSE)</f>
        <v>Active</v>
      </c>
      <c r="H2787" s="43" t="s">
        <v>2329</v>
      </c>
      <c r="I2787" s="43" t="s">
        <v>2330</v>
      </c>
      <c r="J2787" s="43" t="s">
        <v>2331</v>
      </c>
      <c r="K2787" s="44" t="s">
        <v>4859</v>
      </c>
      <c r="L2787" s="44" t="s">
        <v>2333</v>
      </c>
      <c r="M2787" s="43">
        <v>16</v>
      </c>
      <c r="N2787" s="113"/>
      <c r="O2787" s="113"/>
      <c r="P2787" s="113" t="s">
        <v>1113</v>
      </c>
      <c r="Q2787" s="113"/>
      <c r="R2787" s="113"/>
      <c r="S2787" s="113"/>
      <c r="T2787" s="113"/>
      <c r="U2787" s="113"/>
      <c r="V2787" s="113"/>
      <c r="W2787" s="113"/>
      <c r="X2787" s="113"/>
      <c r="Y2787" s="113" t="s">
        <v>1113</v>
      </c>
      <c r="Z2787" s="113"/>
      <c r="AA2787" s="113"/>
      <c r="AB2787" s="113"/>
      <c r="AC2787" s="113" t="s">
        <v>1113</v>
      </c>
      <c r="AD2787" s="113"/>
      <c r="AE2787" s="113"/>
      <c r="AF2787" s="113"/>
      <c r="AG2787" s="113"/>
      <c r="AH2787" s="113"/>
      <c r="AI2787" s="113"/>
      <c r="AJ2787" s="113"/>
      <c r="AK2787" s="113"/>
      <c r="AL2787" s="113" t="s">
        <v>1113</v>
      </c>
      <c r="AM2787" s="113"/>
      <c r="AN2787" s="113"/>
      <c r="AO2787" s="43" t="s">
        <v>2334</v>
      </c>
      <c r="AP2787" s="43" t="s">
        <v>4850</v>
      </c>
      <c r="AQ2787" s="233" t="str">
        <f>VLOOKUP(Table8[[#This Row],[Instrument]],Def_Targets!$D$73:$E$159,2,FALSE)</f>
        <v>I_Altfuels</v>
      </c>
      <c r="AR2787" s="242" t="str">
        <f>VLOOKUP(Table8[[#This Row],[Country Code]],Table29[],3,FALSE)</f>
        <v>Non-Annex I</v>
      </c>
      <c r="AS2787" s="242" t="str">
        <f>VLOOKUP(Table8[[#This Row],[Country Code]],Table29[],4,FALSE)</f>
        <v>Latin America and the Caribbean</v>
      </c>
      <c r="AT2787" s="242" t="str">
        <f>VLOOKUP(Table8[[#This Row],[Country Code]],Table29[],5,FALSE)</f>
        <v>Middle-income</v>
      </c>
      <c r="AU2787" s="242" t="str">
        <f>VLOOKUP(Table8[[#This Row],[Country Code]],Table29[],6,FALSE)</f>
        <v>G20</v>
      </c>
      <c r="AV2787" s="242" t="str">
        <f>VLOOKUP(Table8[[#This Row],[Country Code]],Table29[],7,FALSE)</f>
        <v>no</v>
      </c>
      <c r="AW2787" s="242" t="str">
        <f>VLOOKUP(Table8[[#This Row],[Country Code]],Table29[],8,FALSE)</f>
        <v>non-OECD</v>
      </c>
      <c r="AX2787" s="242" t="str">
        <f>VLOOKUP(Table8[[#This Row],[Country Code]],Table29[],9,FALSE)</f>
        <v>no</v>
      </c>
      <c r="AY2787" s="242" t="str">
        <f>VLOOKUP(Table8[[#This Row],[Country Code]],Table29[],10,FALSE)</f>
        <v>no</v>
      </c>
      <c r="AZ2787" s="242">
        <f>VLOOKUP(Table8[[#This Row],[Country Code]],Table29[],23,FALSE)</f>
        <v>1300.1688666752</v>
      </c>
      <c r="BA2787" s="242">
        <f>VLOOKUP(Table8[[#This Row],[Country Code]],Table29[],24,FALSE)</f>
        <v>221.12609205884911</v>
      </c>
      <c r="BB2787" s="320"/>
      <c r="BC2787" s="320"/>
    </row>
    <row r="2788" spans="1:55" ht="105" x14ac:dyDescent="0.25">
      <c r="A2788" s="398">
        <v>43700</v>
      </c>
      <c r="B2788" s="243" t="str">
        <f>VLOOKUP(Table8[[#This Row],[Document ID]],Table1[],2,FALSE)</f>
        <v>BRA</v>
      </c>
      <c r="C2788" s="243" t="str">
        <f>VLOOKUP(Table8[[#This Row],[Document ID]],Table1[],3,FALSE)</f>
        <v>Brazil</v>
      </c>
      <c r="D2788" s="243" t="str">
        <f>VLOOKUP(Table8[[#This Row],[Document ID]],Table1[],5,FALSE)</f>
        <v>NDC</v>
      </c>
      <c r="E2788" s="233" t="str">
        <f>VLOOKUP(Table8[[#This Row],[Document ID]],Table1[],7,FALSE)</f>
        <v>Third NDC</v>
      </c>
      <c r="F2788" s="233" t="str">
        <f>VLOOKUP(Table8[[#This Row],[Document ID]],Table1[],8,FALSE)</f>
        <v>NDC 3.0</v>
      </c>
      <c r="G2788" s="233" t="str">
        <f>VLOOKUP(Table8[[#This Row],[Document ID]],Table1[],10,FALSE)</f>
        <v>Active</v>
      </c>
      <c r="H2788" s="43" t="s">
        <v>2329</v>
      </c>
      <c r="I2788" s="43" t="s">
        <v>2330</v>
      </c>
      <c r="J2788" s="43" t="s">
        <v>2391</v>
      </c>
      <c r="K2788" s="44" t="s">
        <v>4860</v>
      </c>
      <c r="L2788" s="44" t="s">
        <v>2333</v>
      </c>
      <c r="M2788" s="43">
        <v>31</v>
      </c>
      <c r="N2788" s="113" t="s">
        <v>1113</v>
      </c>
      <c r="O2788" s="113"/>
      <c r="P2788" s="113"/>
      <c r="Q2788" s="113"/>
      <c r="R2788" s="113"/>
      <c r="S2788" s="113"/>
      <c r="T2788" s="113"/>
      <c r="U2788" s="113"/>
      <c r="V2788" s="113"/>
      <c r="W2788" s="113"/>
      <c r="X2788" s="113"/>
      <c r="Y2788" s="113"/>
      <c r="Z2788" s="113"/>
      <c r="AA2788" s="113"/>
      <c r="AB2788" s="113"/>
      <c r="AC2788" s="113"/>
      <c r="AD2788" s="113"/>
      <c r="AE2788" s="113"/>
      <c r="AF2788" s="113"/>
      <c r="AG2788" s="113"/>
      <c r="AH2788" s="113"/>
      <c r="AI2788" s="113"/>
      <c r="AJ2788" s="113"/>
      <c r="AK2788" s="113" t="s">
        <v>1113</v>
      </c>
      <c r="AL2788" s="113"/>
      <c r="AM2788" s="113"/>
      <c r="AN2788" s="113"/>
      <c r="AO2788" s="43" t="s">
        <v>2334</v>
      </c>
      <c r="AP2788" s="43" t="s">
        <v>4861</v>
      </c>
      <c r="AQ2788" s="233" t="str">
        <f>VLOOKUP(Table8[[#This Row],[Instrument]],Def_Targets!$D$73:$E$159,2,FALSE)</f>
        <v>I_Hydrogen</v>
      </c>
      <c r="AR2788" s="242" t="str">
        <f>VLOOKUP(Table8[[#This Row],[Country Code]],Table29[],3,FALSE)</f>
        <v>Non-Annex I</v>
      </c>
      <c r="AS2788" s="242" t="str">
        <f>VLOOKUP(Table8[[#This Row],[Country Code]],Table29[],4,FALSE)</f>
        <v>Latin America and the Caribbean</v>
      </c>
      <c r="AT2788" s="242" t="str">
        <f>VLOOKUP(Table8[[#This Row],[Country Code]],Table29[],5,FALSE)</f>
        <v>Middle-income</v>
      </c>
      <c r="AU2788" s="242" t="str">
        <f>VLOOKUP(Table8[[#This Row],[Country Code]],Table29[],6,FALSE)</f>
        <v>G20</v>
      </c>
      <c r="AV2788" s="242" t="str">
        <f>VLOOKUP(Table8[[#This Row],[Country Code]],Table29[],7,FALSE)</f>
        <v>no</v>
      </c>
      <c r="AW2788" s="242" t="str">
        <f>VLOOKUP(Table8[[#This Row],[Country Code]],Table29[],8,FALSE)</f>
        <v>non-OECD</v>
      </c>
      <c r="AX2788" s="242" t="str">
        <f>VLOOKUP(Table8[[#This Row],[Country Code]],Table29[],9,FALSE)</f>
        <v>no</v>
      </c>
      <c r="AY2788" s="242" t="str">
        <f>VLOOKUP(Table8[[#This Row],[Country Code]],Table29[],10,FALSE)</f>
        <v>no</v>
      </c>
      <c r="AZ2788" s="242">
        <f>VLOOKUP(Table8[[#This Row],[Country Code]],Table29[],23,FALSE)</f>
        <v>1300.1688666752</v>
      </c>
      <c r="BA2788" s="242">
        <f>VLOOKUP(Table8[[#This Row],[Country Code]],Table29[],24,FALSE)</f>
        <v>221.12609205884911</v>
      </c>
      <c r="BB2788" s="320"/>
      <c r="BC2788" s="320"/>
    </row>
    <row r="2789" spans="1:55" ht="105" x14ac:dyDescent="0.25">
      <c r="A2789" s="398">
        <v>43700</v>
      </c>
      <c r="B2789" s="243" t="str">
        <f>VLOOKUP(Table8[[#This Row],[Document ID]],Table1[],2,FALSE)</f>
        <v>BRA</v>
      </c>
      <c r="C2789" s="243" t="str">
        <f>VLOOKUP(Table8[[#This Row],[Document ID]],Table1[],3,FALSE)</f>
        <v>Brazil</v>
      </c>
      <c r="D2789" s="243" t="str">
        <f>VLOOKUP(Table8[[#This Row],[Document ID]],Table1[],5,FALSE)</f>
        <v>NDC</v>
      </c>
      <c r="E2789" s="233" t="str">
        <f>VLOOKUP(Table8[[#This Row],[Document ID]],Table1[],7,FALSE)</f>
        <v>Third NDC</v>
      </c>
      <c r="F2789" s="233" t="str">
        <f>VLOOKUP(Table8[[#This Row],[Document ID]],Table1[],8,FALSE)</f>
        <v>NDC 3.0</v>
      </c>
      <c r="G2789" s="233" t="str">
        <f>VLOOKUP(Table8[[#This Row],[Document ID]],Table1[],10,FALSE)</f>
        <v>Active</v>
      </c>
      <c r="H2789" s="43" t="s">
        <v>2329</v>
      </c>
      <c r="I2789" s="43" t="s">
        <v>2330</v>
      </c>
      <c r="J2789" s="43" t="s">
        <v>2331</v>
      </c>
      <c r="K2789" s="44" t="s">
        <v>4862</v>
      </c>
      <c r="L2789" s="44" t="s">
        <v>2333</v>
      </c>
      <c r="M2789" s="43" t="s">
        <v>4863</v>
      </c>
      <c r="N2789" s="113"/>
      <c r="O2789" s="113"/>
      <c r="P2789" s="113"/>
      <c r="Q2789" s="113"/>
      <c r="R2789" s="113"/>
      <c r="S2789" s="113" t="s">
        <v>1113</v>
      </c>
      <c r="T2789" s="113"/>
      <c r="U2789" s="113"/>
      <c r="V2789" s="113"/>
      <c r="W2789" s="113"/>
      <c r="X2789" s="113"/>
      <c r="Y2789" s="113"/>
      <c r="Z2789" s="113"/>
      <c r="AA2789" s="113"/>
      <c r="AB2789" s="113"/>
      <c r="AC2789" s="113"/>
      <c r="AD2789" s="113"/>
      <c r="AE2789" s="113"/>
      <c r="AF2789" s="113"/>
      <c r="AG2789" s="113"/>
      <c r="AH2789" s="113" t="s">
        <v>1113</v>
      </c>
      <c r="AI2789" s="113"/>
      <c r="AJ2789" s="113"/>
      <c r="AK2789" s="113" t="s">
        <v>1113</v>
      </c>
      <c r="AL2789" s="113"/>
      <c r="AM2789" s="113"/>
      <c r="AN2789" s="113"/>
      <c r="AO2789" s="43" t="s">
        <v>2334</v>
      </c>
      <c r="AP2789" s="43" t="s">
        <v>4861</v>
      </c>
      <c r="AQ2789" s="233" t="str">
        <f>VLOOKUP(Table8[[#This Row],[Instrument]],Def_Targets!$D$73:$E$159,2,FALSE)</f>
        <v>I_Altfuels</v>
      </c>
      <c r="AR2789" s="242" t="str">
        <f>VLOOKUP(Table8[[#This Row],[Country Code]],Table29[],3,FALSE)</f>
        <v>Non-Annex I</v>
      </c>
      <c r="AS2789" s="242" t="str">
        <f>VLOOKUP(Table8[[#This Row],[Country Code]],Table29[],4,FALSE)</f>
        <v>Latin America and the Caribbean</v>
      </c>
      <c r="AT2789" s="242" t="str">
        <f>VLOOKUP(Table8[[#This Row],[Country Code]],Table29[],5,FALSE)</f>
        <v>Middle-income</v>
      </c>
      <c r="AU2789" s="242" t="str">
        <f>VLOOKUP(Table8[[#This Row],[Country Code]],Table29[],6,FALSE)</f>
        <v>G20</v>
      </c>
      <c r="AV2789" s="242" t="str">
        <f>VLOOKUP(Table8[[#This Row],[Country Code]],Table29[],7,FALSE)</f>
        <v>no</v>
      </c>
      <c r="AW2789" s="242" t="str">
        <f>VLOOKUP(Table8[[#This Row],[Country Code]],Table29[],8,FALSE)</f>
        <v>non-OECD</v>
      </c>
      <c r="AX2789" s="242" t="str">
        <f>VLOOKUP(Table8[[#This Row],[Country Code]],Table29[],9,FALSE)</f>
        <v>no</v>
      </c>
      <c r="AY2789" s="242" t="str">
        <f>VLOOKUP(Table8[[#This Row],[Country Code]],Table29[],10,FALSE)</f>
        <v>no</v>
      </c>
      <c r="AZ2789" s="242">
        <f>VLOOKUP(Table8[[#This Row],[Country Code]],Table29[],23,FALSE)</f>
        <v>1300.1688666752</v>
      </c>
      <c r="BA2789" s="242">
        <f>VLOOKUP(Table8[[#This Row],[Country Code]],Table29[],24,FALSE)</f>
        <v>221.12609205884911</v>
      </c>
      <c r="BB2789" s="320"/>
      <c r="BC2789" s="320"/>
    </row>
    <row r="2790" spans="1:55" ht="30" x14ac:dyDescent="0.25">
      <c r="A2790" s="398">
        <v>43987</v>
      </c>
      <c r="B2790" s="243" t="str">
        <f>VLOOKUP(Table8[[#This Row],[Document ID]],Table1[],2,FALSE)</f>
        <v>CAN</v>
      </c>
      <c r="C2790" s="243" t="str">
        <f>VLOOKUP(Table8[[#This Row],[Document ID]],Table1[],3,FALSE)</f>
        <v>Canada</v>
      </c>
      <c r="D2790" s="243" t="str">
        <f>VLOOKUP(Table8[[#This Row],[Document ID]],Table1[],5,FALSE)</f>
        <v>NDC</v>
      </c>
      <c r="E2790" s="233" t="str">
        <f>VLOOKUP(Table8[[#This Row],[Document ID]],Table1[],7,FALSE)</f>
        <v>Third NDC</v>
      </c>
      <c r="F2790" s="233" t="str">
        <f>VLOOKUP(Table8[[#This Row],[Document ID]],Table1[],8,FALSE)</f>
        <v>NDC 3.0</v>
      </c>
      <c r="G2790" s="233" t="str">
        <f>VLOOKUP(Table8[[#This Row],[Document ID]],Table1[],10,FALSE)</f>
        <v>Active</v>
      </c>
      <c r="H2790" s="43" t="s">
        <v>2329</v>
      </c>
      <c r="I2790" s="43" t="s">
        <v>2330</v>
      </c>
      <c r="J2790" s="43" t="s">
        <v>2331</v>
      </c>
      <c r="K2790" s="44" t="s">
        <v>4864</v>
      </c>
      <c r="L2790" s="44" t="s">
        <v>2333</v>
      </c>
      <c r="M2790" s="43">
        <v>6</v>
      </c>
      <c r="N2790" s="113" t="s">
        <v>1113</v>
      </c>
      <c r="O2790" s="113"/>
      <c r="P2790" s="113"/>
      <c r="Q2790" s="113"/>
      <c r="R2790" s="113"/>
      <c r="S2790" s="113"/>
      <c r="T2790" s="113"/>
      <c r="U2790" s="113"/>
      <c r="V2790" s="113"/>
      <c r="W2790" s="113"/>
      <c r="X2790" s="113"/>
      <c r="Y2790" s="113"/>
      <c r="Z2790" s="113"/>
      <c r="AA2790" s="113"/>
      <c r="AB2790" s="113"/>
      <c r="AC2790" s="113"/>
      <c r="AD2790" s="113"/>
      <c r="AE2790" s="113"/>
      <c r="AF2790" s="113"/>
      <c r="AG2790" s="113"/>
      <c r="AH2790" s="113"/>
      <c r="AI2790" s="113"/>
      <c r="AJ2790" s="113"/>
      <c r="AK2790" s="113" t="s">
        <v>1113</v>
      </c>
      <c r="AL2790" s="113"/>
      <c r="AM2790" s="113"/>
      <c r="AN2790" s="113"/>
      <c r="AO2790" s="44" t="s">
        <v>2334</v>
      </c>
      <c r="AP2790" s="43" t="s">
        <v>4850</v>
      </c>
      <c r="AQ2790" s="233" t="str">
        <f>VLOOKUP(Table8[[#This Row],[Instrument]],Def_Targets!$D$73:$E$159,2,FALSE)</f>
        <v>I_Altfuels</v>
      </c>
      <c r="AR2790" s="242" t="str">
        <f>VLOOKUP(Table8[[#This Row],[Country Code]],Table29[],3,FALSE)</f>
        <v>Annex I</v>
      </c>
      <c r="AS2790" s="242" t="str">
        <f>VLOOKUP(Table8[[#This Row],[Country Code]],Table29[],4,FALSE)</f>
        <v>Northern America</v>
      </c>
      <c r="AT2790" s="242" t="str">
        <f>VLOOKUP(Table8[[#This Row],[Country Code]],Table29[],5,FALSE)</f>
        <v>High-income</v>
      </c>
      <c r="AU2790" s="242" t="str">
        <f>VLOOKUP(Table8[[#This Row],[Country Code]],Table29[],6,FALSE)</f>
        <v>G20</v>
      </c>
      <c r="AV2790" s="242" t="str">
        <f>VLOOKUP(Table8[[#This Row],[Country Code]],Table29[],7,FALSE)</f>
        <v>G7</v>
      </c>
      <c r="AW2790" s="242" t="str">
        <f>VLOOKUP(Table8[[#This Row],[Country Code]],Table29[],8,FALSE)</f>
        <v>OECD</v>
      </c>
      <c r="AX2790" s="242" t="str">
        <f>VLOOKUP(Table8[[#This Row],[Country Code]],Table29[],9,FALSE)</f>
        <v>no</v>
      </c>
      <c r="AY2790" s="242" t="str">
        <f>VLOOKUP(Table8[[#This Row],[Country Code]],Table29[],10,FALSE)</f>
        <v>no</v>
      </c>
      <c r="AZ2790" s="242">
        <f>VLOOKUP(Table8[[#This Row],[Country Code]],Table29[],23,FALSE)</f>
        <v>747.67802680902003</v>
      </c>
      <c r="BA2790" s="242">
        <f>VLOOKUP(Table8[[#This Row],[Country Code]],Table29[],24,FALSE)</f>
        <v>169.021169926607</v>
      </c>
      <c r="BB2790" s="320"/>
      <c r="BC2790" s="320"/>
    </row>
    <row r="2791" spans="1:55" ht="45" x14ac:dyDescent="0.25">
      <c r="A2791" s="398">
        <v>43987</v>
      </c>
      <c r="B2791" s="243" t="str">
        <f>VLOOKUP(Table8[[#This Row],[Document ID]],Table1[],2,FALSE)</f>
        <v>CAN</v>
      </c>
      <c r="C2791" s="243" t="str">
        <f>VLOOKUP(Table8[[#This Row],[Document ID]],Table1[],3,FALSE)</f>
        <v>Canada</v>
      </c>
      <c r="D2791" s="243" t="str">
        <f>VLOOKUP(Table8[[#This Row],[Document ID]],Table1[],5,FALSE)</f>
        <v>NDC</v>
      </c>
      <c r="E2791" s="233" t="str">
        <f>VLOOKUP(Table8[[#This Row],[Document ID]],Table1[],7,FALSE)</f>
        <v>Third NDC</v>
      </c>
      <c r="F2791" s="233" t="str">
        <f>VLOOKUP(Table8[[#This Row],[Document ID]],Table1[],8,FALSE)</f>
        <v>NDC 3.0</v>
      </c>
      <c r="G2791" s="233" t="str">
        <f>VLOOKUP(Table8[[#This Row],[Document ID]],Table1[],10,FALSE)</f>
        <v>Active</v>
      </c>
      <c r="H2791" s="43" t="s">
        <v>2329</v>
      </c>
      <c r="I2791" s="43" t="s">
        <v>2330</v>
      </c>
      <c r="J2791" s="43" t="s">
        <v>2331</v>
      </c>
      <c r="K2791" s="44" t="s">
        <v>4865</v>
      </c>
      <c r="L2791" s="44" t="s">
        <v>2333</v>
      </c>
      <c r="M2791" s="43">
        <v>24</v>
      </c>
      <c r="N2791" s="113"/>
      <c r="O2791" s="113"/>
      <c r="P2791" s="113"/>
      <c r="Q2791" s="113"/>
      <c r="R2791" s="113"/>
      <c r="S2791" s="113" t="s">
        <v>1113</v>
      </c>
      <c r="T2791" s="113"/>
      <c r="U2791" s="113"/>
      <c r="V2791" s="113"/>
      <c r="W2791" s="113"/>
      <c r="X2791" s="113"/>
      <c r="Y2791" s="113"/>
      <c r="Z2791" s="113" t="s">
        <v>1113</v>
      </c>
      <c r="AA2791" s="113"/>
      <c r="AB2791" s="113"/>
      <c r="AC2791" s="113"/>
      <c r="AD2791" s="113" t="s">
        <v>1113</v>
      </c>
      <c r="AE2791" s="113"/>
      <c r="AF2791" s="113"/>
      <c r="AG2791" s="113"/>
      <c r="AH2791" s="113" t="s">
        <v>1113</v>
      </c>
      <c r="AI2791" s="113"/>
      <c r="AJ2791" s="113"/>
      <c r="AK2791" s="113" t="s">
        <v>1113</v>
      </c>
      <c r="AL2791" s="113"/>
      <c r="AM2791" s="113"/>
      <c r="AN2791" s="113"/>
      <c r="AO2791" s="44" t="s">
        <v>2334</v>
      </c>
      <c r="AP2791" s="43" t="s">
        <v>4850</v>
      </c>
      <c r="AQ2791" s="233" t="str">
        <f>VLOOKUP(Table8[[#This Row],[Instrument]],Def_Targets!$D$73:$E$159,2,FALSE)</f>
        <v>I_Altfuels</v>
      </c>
      <c r="AR2791" s="242" t="str">
        <f>VLOOKUP(Table8[[#This Row],[Country Code]],Table29[],3,FALSE)</f>
        <v>Annex I</v>
      </c>
      <c r="AS2791" s="242" t="str">
        <f>VLOOKUP(Table8[[#This Row],[Country Code]],Table29[],4,FALSE)</f>
        <v>Northern America</v>
      </c>
      <c r="AT2791" s="242" t="str">
        <f>VLOOKUP(Table8[[#This Row],[Country Code]],Table29[],5,FALSE)</f>
        <v>High-income</v>
      </c>
      <c r="AU2791" s="242" t="str">
        <f>VLOOKUP(Table8[[#This Row],[Country Code]],Table29[],6,FALSE)</f>
        <v>G20</v>
      </c>
      <c r="AV2791" s="242" t="str">
        <f>VLOOKUP(Table8[[#This Row],[Country Code]],Table29[],7,FALSE)</f>
        <v>G7</v>
      </c>
      <c r="AW2791" s="242" t="str">
        <f>VLOOKUP(Table8[[#This Row],[Country Code]],Table29[],8,FALSE)</f>
        <v>OECD</v>
      </c>
      <c r="AX2791" s="242" t="str">
        <f>VLOOKUP(Table8[[#This Row],[Country Code]],Table29[],9,FALSE)</f>
        <v>no</v>
      </c>
      <c r="AY2791" s="242" t="str">
        <f>VLOOKUP(Table8[[#This Row],[Country Code]],Table29[],10,FALSE)</f>
        <v>no</v>
      </c>
      <c r="AZ2791" s="242">
        <f>VLOOKUP(Table8[[#This Row],[Country Code]],Table29[],23,FALSE)</f>
        <v>747.67802680902003</v>
      </c>
      <c r="BA2791" s="242">
        <f>VLOOKUP(Table8[[#This Row],[Country Code]],Table29[],24,FALSE)</f>
        <v>169.021169926607</v>
      </c>
      <c r="BB2791" s="320"/>
      <c r="BC2791" s="320"/>
    </row>
    <row r="2792" spans="1:55" ht="30" x14ac:dyDescent="0.25">
      <c r="A2792" s="398">
        <v>43987</v>
      </c>
      <c r="B2792" s="243" t="str">
        <f>VLOOKUP(Table8[[#This Row],[Document ID]],Table1[],2,FALSE)</f>
        <v>CAN</v>
      </c>
      <c r="C2792" s="243" t="str">
        <f>VLOOKUP(Table8[[#This Row],[Document ID]],Table1[],3,FALSE)</f>
        <v>Canada</v>
      </c>
      <c r="D2792" s="243" t="str">
        <f>VLOOKUP(Table8[[#This Row],[Document ID]],Table1[],5,FALSE)</f>
        <v>NDC</v>
      </c>
      <c r="E2792" s="233" t="str">
        <f>VLOOKUP(Table8[[#This Row],[Document ID]],Table1[],7,FALSE)</f>
        <v>Third NDC</v>
      </c>
      <c r="F2792" s="233" t="str">
        <f>VLOOKUP(Table8[[#This Row],[Document ID]],Table1[],8,FALSE)</f>
        <v>NDC 3.0</v>
      </c>
      <c r="G2792" s="233" t="str">
        <f>VLOOKUP(Table8[[#This Row],[Document ID]],Table1[],10,FALSE)</f>
        <v>Active</v>
      </c>
      <c r="H2792" s="43" t="s">
        <v>2329</v>
      </c>
      <c r="I2792" s="43" t="s">
        <v>2330</v>
      </c>
      <c r="J2792" s="43" t="s">
        <v>2391</v>
      </c>
      <c r="K2792" s="44" t="s">
        <v>4866</v>
      </c>
      <c r="L2792" s="44" t="s">
        <v>2333</v>
      </c>
      <c r="M2792" s="43">
        <v>43</v>
      </c>
      <c r="N2792" s="113" t="s">
        <v>1113</v>
      </c>
      <c r="O2792" s="113"/>
      <c r="P2792" s="113"/>
      <c r="Q2792" s="113"/>
      <c r="R2792" s="113"/>
      <c r="S2792" s="113"/>
      <c r="T2792" s="113"/>
      <c r="U2792" s="113"/>
      <c r="V2792" s="113"/>
      <c r="W2792" s="113"/>
      <c r="X2792" s="113"/>
      <c r="Y2792" s="113"/>
      <c r="Z2792" s="113"/>
      <c r="AA2792" s="113"/>
      <c r="AB2792" s="113"/>
      <c r="AC2792" s="113"/>
      <c r="AD2792" s="113"/>
      <c r="AE2792" s="113"/>
      <c r="AF2792" s="113"/>
      <c r="AG2792" s="113"/>
      <c r="AH2792" s="113"/>
      <c r="AI2792" s="113"/>
      <c r="AJ2792" s="113"/>
      <c r="AK2792" s="113" t="s">
        <v>1113</v>
      </c>
      <c r="AL2792" s="113"/>
      <c r="AM2792" s="113"/>
      <c r="AN2792" s="113"/>
      <c r="AO2792" s="43" t="s">
        <v>2334</v>
      </c>
      <c r="AP2792" s="43" t="s">
        <v>4850</v>
      </c>
      <c r="AQ2792" s="233" t="str">
        <f>VLOOKUP(Table8[[#This Row],[Instrument]],Def_Targets!$D$73:$E$159,2,FALSE)</f>
        <v>I_Hydrogen</v>
      </c>
      <c r="AR2792" s="242" t="str">
        <f>VLOOKUP(Table8[[#This Row],[Country Code]],Table29[],3,FALSE)</f>
        <v>Annex I</v>
      </c>
      <c r="AS2792" s="242" t="str">
        <f>VLOOKUP(Table8[[#This Row],[Country Code]],Table29[],4,FALSE)</f>
        <v>Northern America</v>
      </c>
      <c r="AT2792" s="242" t="str">
        <f>VLOOKUP(Table8[[#This Row],[Country Code]],Table29[],5,FALSE)</f>
        <v>High-income</v>
      </c>
      <c r="AU2792" s="242" t="str">
        <f>VLOOKUP(Table8[[#This Row],[Country Code]],Table29[],6,FALSE)</f>
        <v>G20</v>
      </c>
      <c r="AV2792" s="242" t="str">
        <f>VLOOKUP(Table8[[#This Row],[Country Code]],Table29[],7,FALSE)</f>
        <v>G7</v>
      </c>
      <c r="AW2792" s="242" t="str">
        <f>VLOOKUP(Table8[[#This Row],[Country Code]],Table29[],8,FALSE)</f>
        <v>OECD</v>
      </c>
      <c r="AX2792" s="242" t="str">
        <f>VLOOKUP(Table8[[#This Row],[Country Code]],Table29[],9,FALSE)</f>
        <v>no</v>
      </c>
      <c r="AY2792" s="242" t="str">
        <f>VLOOKUP(Table8[[#This Row],[Country Code]],Table29[],10,FALSE)</f>
        <v>no</v>
      </c>
      <c r="AZ2792" s="242">
        <f>VLOOKUP(Table8[[#This Row],[Country Code]],Table29[],23,FALSE)</f>
        <v>747.67802680902003</v>
      </c>
      <c r="BA2792" s="242">
        <f>VLOOKUP(Table8[[#This Row],[Country Code]],Table29[],24,FALSE)</f>
        <v>169.021169926607</v>
      </c>
      <c r="BB2792" s="320"/>
      <c r="BC2792" s="320"/>
    </row>
    <row r="2793" spans="1:55" ht="90" x14ac:dyDescent="0.25">
      <c r="A2793" s="398">
        <v>43987</v>
      </c>
      <c r="B2793" s="243" t="str">
        <f>VLOOKUP(Table8[[#This Row],[Document ID]],Table1[],2,FALSE)</f>
        <v>CAN</v>
      </c>
      <c r="C2793" s="243" t="str">
        <f>VLOOKUP(Table8[[#This Row],[Document ID]],Table1[],3,FALSE)</f>
        <v>Canada</v>
      </c>
      <c r="D2793" s="243" t="str">
        <f>VLOOKUP(Table8[[#This Row],[Document ID]],Table1[],5,FALSE)</f>
        <v>NDC</v>
      </c>
      <c r="E2793" s="233" t="str">
        <f>VLOOKUP(Table8[[#This Row],[Document ID]],Table1[],7,FALSE)</f>
        <v>Third NDC</v>
      </c>
      <c r="F2793" s="233" t="str">
        <f>VLOOKUP(Table8[[#This Row],[Document ID]],Table1[],8,FALSE)</f>
        <v>NDC 3.0</v>
      </c>
      <c r="G2793" s="233" t="str">
        <f>VLOOKUP(Table8[[#This Row],[Document ID]],Table1[],10,FALSE)</f>
        <v>Active</v>
      </c>
      <c r="H2793" s="43" t="s">
        <v>2329</v>
      </c>
      <c r="I2793" s="43" t="s">
        <v>2330</v>
      </c>
      <c r="J2793" s="43" t="s">
        <v>2391</v>
      </c>
      <c r="K2793" s="44" t="s">
        <v>4867</v>
      </c>
      <c r="L2793" s="44" t="s">
        <v>2333</v>
      </c>
      <c r="M2793" s="43">
        <v>49</v>
      </c>
      <c r="N2793" s="113" t="s">
        <v>1113</v>
      </c>
      <c r="O2793" s="113"/>
      <c r="P2793" s="113"/>
      <c r="Q2793" s="113"/>
      <c r="R2793" s="113"/>
      <c r="S2793" s="113"/>
      <c r="T2793" s="113"/>
      <c r="U2793" s="113"/>
      <c r="V2793" s="113"/>
      <c r="W2793" s="113"/>
      <c r="X2793" s="113"/>
      <c r="Y2793" s="113"/>
      <c r="Z2793" s="113"/>
      <c r="AA2793" s="113"/>
      <c r="AB2793" s="113"/>
      <c r="AC2793" s="113"/>
      <c r="AD2793" s="113"/>
      <c r="AE2793" s="113"/>
      <c r="AF2793" s="113"/>
      <c r="AG2793" s="113"/>
      <c r="AH2793" s="113"/>
      <c r="AI2793" s="113"/>
      <c r="AJ2793" s="113"/>
      <c r="AK2793" s="113" t="s">
        <v>1113</v>
      </c>
      <c r="AL2793" s="113"/>
      <c r="AM2793" s="113"/>
      <c r="AN2793" s="113"/>
      <c r="AO2793" s="43" t="s">
        <v>2334</v>
      </c>
      <c r="AP2793" s="43" t="s">
        <v>4850</v>
      </c>
      <c r="AQ2793" s="233" t="str">
        <f>VLOOKUP(Table8[[#This Row],[Instrument]],Def_Targets!$D$73:$E$159,2,FALSE)</f>
        <v>I_Hydrogen</v>
      </c>
      <c r="AR2793" s="242" t="str">
        <f>VLOOKUP(Table8[[#This Row],[Country Code]],Table29[],3,FALSE)</f>
        <v>Annex I</v>
      </c>
      <c r="AS2793" s="242" t="str">
        <f>VLOOKUP(Table8[[#This Row],[Country Code]],Table29[],4,FALSE)</f>
        <v>Northern America</v>
      </c>
      <c r="AT2793" s="242" t="str">
        <f>VLOOKUP(Table8[[#This Row],[Country Code]],Table29[],5,FALSE)</f>
        <v>High-income</v>
      </c>
      <c r="AU2793" s="242" t="str">
        <f>VLOOKUP(Table8[[#This Row],[Country Code]],Table29[],6,FALSE)</f>
        <v>G20</v>
      </c>
      <c r="AV2793" s="242" t="str">
        <f>VLOOKUP(Table8[[#This Row],[Country Code]],Table29[],7,FALSE)</f>
        <v>G7</v>
      </c>
      <c r="AW2793" s="242" t="str">
        <f>VLOOKUP(Table8[[#This Row],[Country Code]],Table29[],8,FALSE)</f>
        <v>OECD</v>
      </c>
      <c r="AX2793" s="242" t="str">
        <f>VLOOKUP(Table8[[#This Row],[Country Code]],Table29[],9,FALSE)</f>
        <v>no</v>
      </c>
      <c r="AY2793" s="242" t="str">
        <f>VLOOKUP(Table8[[#This Row],[Country Code]],Table29[],10,FALSE)</f>
        <v>no</v>
      </c>
      <c r="AZ2793" s="242">
        <f>VLOOKUP(Table8[[#This Row],[Country Code]],Table29[],23,FALSE)</f>
        <v>747.67802680902003</v>
      </c>
      <c r="BA2793" s="242">
        <f>VLOOKUP(Table8[[#This Row],[Country Code]],Table29[],24,FALSE)</f>
        <v>169.021169926607</v>
      </c>
      <c r="BB2793" s="320"/>
      <c r="BC2793" s="320"/>
    </row>
    <row r="2794" spans="1:55" ht="30" x14ac:dyDescent="0.25">
      <c r="A2794" s="398">
        <v>43987</v>
      </c>
      <c r="B2794" s="243" t="str">
        <f>VLOOKUP(Table8[[#This Row],[Document ID]],Table1[],2,FALSE)</f>
        <v>CAN</v>
      </c>
      <c r="C2794" s="243" t="str">
        <f>VLOOKUP(Table8[[#This Row],[Document ID]],Table1[],3,FALSE)</f>
        <v>Canada</v>
      </c>
      <c r="D2794" s="243" t="str">
        <f>VLOOKUP(Table8[[#This Row],[Document ID]],Table1[],5,FALSE)</f>
        <v>NDC</v>
      </c>
      <c r="E2794" s="233" t="str">
        <f>VLOOKUP(Table8[[#This Row],[Document ID]],Table1[],7,FALSE)</f>
        <v>Third NDC</v>
      </c>
      <c r="F2794" s="233" t="str">
        <f>VLOOKUP(Table8[[#This Row],[Document ID]],Table1[],8,FALSE)</f>
        <v>NDC 3.0</v>
      </c>
      <c r="G2794" s="233" t="str">
        <f>VLOOKUP(Table8[[#This Row],[Document ID]],Table1[],10,FALSE)</f>
        <v>Active</v>
      </c>
      <c r="H2794" s="43" t="s">
        <v>2329</v>
      </c>
      <c r="I2794" s="43" t="s">
        <v>2330</v>
      </c>
      <c r="J2794" s="43" t="s">
        <v>2357</v>
      </c>
      <c r="K2794" s="44" t="s">
        <v>4868</v>
      </c>
      <c r="L2794" s="44" t="s">
        <v>2333</v>
      </c>
      <c r="M2794" s="43">
        <v>90</v>
      </c>
      <c r="N2794" s="113"/>
      <c r="O2794" s="113"/>
      <c r="P2794" s="113"/>
      <c r="Q2794" s="113"/>
      <c r="R2794" s="113"/>
      <c r="S2794" s="113"/>
      <c r="T2794" s="113"/>
      <c r="U2794" s="113"/>
      <c r="V2794" s="113"/>
      <c r="W2794" s="113"/>
      <c r="X2794" s="113" t="s">
        <v>1113</v>
      </c>
      <c r="Y2794" s="113"/>
      <c r="Z2794" s="113"/>
      <c r="AA2794" s="113"/>
      <c r="AB2794" s="113"/>
      <c r="AC2794" s="113"/>
      <c r="AD2794" s="113"/>
      <c r="AE2794" s="113"/>
      <c r="AF2794" s="113"/>
      <c r="AG2794" s="113"/>
      <c r="AH2794" s="113"/>
      <c r="AI2794" s="113"/>
      <c r="AJ2794" s="113"/>
      <c r="AK2794" s="113"/>
      <c r="AL2794" s="113"/>
      <c r="AM2794" s="113"/>
      <c r="AN2794" s="113"/>
      <c r="AO2794" s="43" t="s">
        <v>2353</v>
      </c>
      <c r="AP2794" s="43" t="s">
        <v>4850</v>
      </c>
      <c r="AQ2794" s="233" t="str">
        <f>VLOOKUP(Table8[[#This Row],[Instrument]],Def_Targets!$D$73:$E$159,2,FALSE)</f>
        <v>I_Biofuel</v>
      </c>
      <c r="AR2794" s="242" t="str">
        <f>VLOOKUP(Table8[[#This Row],[Country Code]],Table29[],3,FALSE)</f>
        <v>Annex I</v>
      </c>
      <c r="AS2794" s="242" t="str">
        <f>VLOOKUP(Table8[[#This Row],[Country Code]],Table29[],4,FALSE)</f>
        <v>Northern America</v>
      </c>
      <c r="AT2794" s="242" t="str">
        <f>VLOOKUP(Table8[[#This Row],[Country Code]],Table29[],5,FALSE)</f>
        <v>High-income</v>
      </c>
      <c r="AU2794" s="242" t="str">
        <f>VLOOKUP(Table8[[#This Row],[Country Code]],Table29[],6,FALSE)</f>
        <v>G20</v>
      </c>
      <c r="AV2794" s="242" t="str">
        <f>VLOOKUP(Table8[[#This Row],[Country Code]],Table29[],7,FALSE)</f>
        <v>G7</v>
      </c>
      <c r="AW2794" s="242" t="str">
        <f>VLOOKUP(Table8[[#This Row],[Country Code]],Table29[],8,FALSE)</f>
        <v>OECD</v>
      </c>
      <c r="AX2794" s="242" t="str">
        <f>VLOOKUP(Table8[[#This Row],[Country Code]],Table29[],9,FALSE)</f>
        <v>no</v>
      </c>
      <c r="AY2794" s="242" t="str">
        <f>VLOOKUP(Table8[[#This Row],[Country Code]],Table29[],10,FALSE)</f>
        <v>no</v>
      </c>
      <c r="AZ2794" s="242">
        <f>VLOOKUP(Table8[[#This Row],[Country Code]],Table29[],23,FALSE)</f>
        <v>747.67802680902003</v>
      </c>
      <c r="BA2794" s="242">
        <f>VLOOKUP(Table8[[#This Row],[Country Code]],Table29[],24,FALSE)</f>
        <v>169.021169926607</v>
      </c>
      <c r="BB2794" s="320"/>
      <c r="BC2794" s="320"/>
    </row>
    <row r="2795" spans="1:55" ht="75" x14ac:dyDescent="0.25">
      <c r="A2795" s="398">
        <v>43987</v>
      </c>
      <c r="B2795" s="243" t="str">
        <f>VLOOKUP(Table8[[#This Row],[Document ID]],Table1[],2,FALSE)</f>
        <v>CAN</v>
      </c>
      <c r="C2795" s="243" t="str">
        <f>VLOOKUP(Table8[[#This Row],[Document ID]],Table1[],3,FALSE)</f>
        <v>Canada</v>
      </c>
      <c r="D2795" s="243" t="str">
        <f>VLOOKUP(Table8[[#This Row],[Document ID]],Table1[],5,FALSE)</f>
        <v>NDC</v>
      </c>
      <c r="E2795" s="233" t="str">
        <f>VLOOKUP(Table8[[#This Row],[Document ID]],Table1[],7,FALSE)</f>
        <v>Third NDC</v>
      </c>
      <c r="F2795" s="233" t="str">
        <f>VLOOKUP(Table8[[#This Row],[Document ID]],Table1[],8,FALSE)</f>
        <v>NDC 3.0</v>
      </c>
      <c r="G2795" s="233" t="str">
        <f>VLOOKUP(Table8[[#This Row],[Document ID]],Table1[],10,FALSE)</f>
        <v>Active</v>
      </c>
      <c r="H2795" s="43" t="s">
        <v>2329</v>
      </c>
      <c r="I2795" s="43" t="s">
        <v>2330</v>
      </c>
      <c r="J2795" s="43" t="s">
        <v>2381</v>
      </c>
      <c r="K2795" s="44" t="s">
        <v>4869</v>
      </c>
      <c r="L2795" s="44" t="s">
        <v>2333</v>
      </c>
      <c r="M2795" s="43">
        <v>92</v>
      </c>
      <c r="N2795" s="113"/>
      <c r="O2795" s="113"/>
      <c r="P2795" s="113"/>
      <c r="Q2795" s="113"/>
      <c r="R2795" s="113"/>
      <c r="S2795" s="113"/>
      <c r="T2795" s="113"/>
      <c r="U2795" s="113"/>
      <c r="V2795" s="113"/>
      <c r="W2795" s="113"/>
      <c r="X2795" s="113" t="s">
        <v>1113</v>
      </c>
      <c r="Y2795" s="113"/>
      <c r="Z2795" s="113"/>
      <c r="AA2795" s="113"/>
      <c r="AB2795" s="113"/>
      <c r="AC2795" s="113"/>
      <c r="AD2795" s="113" t="s">
        <v>1113</v>
      </c>
      <c r="AE2795" s="113"/>
      <c r="AF2795" s="113"/>
      <c r="AG2795" s="113"/>
      <c r="AH2795" s="113" t="s">
        <v>1113</v>
      </c>
      <c r="AI2795" s="113"/>
      <c r="AJ2795" s="113"/>
      <c r="AK2795" s="113"/>
      <c r="AL2795" s="113"/>
      <c r="AM2795" s="113"/>
      <c r="AN2795" s="113"/>
      <c r="AO2795" s="43" t="s">
        <v>2353</v>
      </c>
      <c r="AP2795" s="43" t="s">
        <v>4850</v>
      </c>
      <c r="AQ2795" s="233" t="str">
        <f>VLOOKUP(Table8[[#This Row],[Instrument]],Def_Targets!$D$73:$E$159,2,FALSE)</f>
        <v>I_RE</v>
      </c>
      <c r="AR2795" s="242" t="str">
        <f>VLOOKUP(Table8[[#This Row],[Country Code]],Table29[],3,FALSE)</f>
        <v>Annex I</v>
      </c>
      <c r="AS2795" s="242" t="str">
        <f>VLOOKUP(Table8[[#This Row],[Country Code]],Table29[],4,FALSE)</f>
        <v>Northern America</v>
      </c>
      <c r="AT2795" s="242" t="str">
        <f>VLOOKUP(Table8[[#This Row],[Country Code]],Table29[],5,FALSE)</f>
        <v>High-income</v>
      </c>
      <c r="AU2795" s="242" t="str">
        <f>VLOOKUP(Table8[[#This Row],[Country Code]],Table29[],6,FALSE)</f>
        <v>G20</v>
      </c>
      <c r="AV2795" s="242" t="str">
        <f>VLOOKUP(Table8[[#This Row],[Country Code]],Table29[],7,FALSE)</f>
        <v>G7</v>
      </c>
      <c r="AW2795" s="242" t="str">
        <f>VLOOKUP(Table8[[#This Row],[Country Code]],Table29[],8,FALSE)</f>
        <v>OECD</v>
      </c>
      <c r="AX2795" s="242" t="str">
        <f>VLOOKUP(Table8[[#This Row],[Country Code]],Table29[],9,FALSE)</f>
        <v>no</v>
      </c>
      <c r="AY2795" s="242" t="str">
        <f>VLOOKUP(Table8[[#This Row],[Country Code]],Table29[],10,FALSE)</f>
        <v>no</v>
      </c>
      <c r="AZ2795" s="242">
        <f>VLOOKUP(Table8[[#This Row],[Country Code]],Table29[],23,FALSE)</f>
        <v>747.67802680902003</v>
      </c>
      <c r="BA2795" s="242">
        <f>VLOOKUP(Table8[[#This Row],[Country Code]],Table29[],24,FALSE)</f>
        <v>169.021169926607</v>
      </c>
      <c r="BB2795" s="320"/>
      <c r="BC2795" s="320"/>
    </row>
    <row r="2796" spans="1:55" ht="75" x14ac:dyDescent="0.25">
      <c r="A2796" s="398">
        <v>43952</v>
      </c>
      <c r="B2796" s="243" t="str">
        <f>VLOOKUP(Table8[[#This Row],[Document ID]],Table1[],2,FALSE)</f>
        <v>ECU</v>
      </c>
      <c r="C2796" s="243" t="str">
        <f>VLOOKUP(Table8[[#This Row],[Document ID]],Table1[],3,FALSE)</f>
        <v>Ecuador</v>
      </c>
      <c r="D2796" s="243" t="str">
        <f>VLOOKUP(Table8[[#This Row],[Document ID]],Table1[],5,FALSE)</f>
        <v>NDC</v>
      </c>
      <c r="E2796" s="233" t="str">
        <f>VLOOKUP(Table8[[#This Row],[Document ID]],Table1[],7,FALSE)</f>
        <v>Third NDC</v>
      </c>
      <c r="F2796" s="233" t="str">
        <f>VLOOKUP(Table8[[#This Row],[Document ID]],Table1[],8,FALSE)</f>
        <v>NDC 3.0</v>
      </c>
      <c r="G2796" s="233" t="str">
        <f>VLOOKUP(Table8[[#This Row],[Document ID]],Table1[],10,FALSE)</f>
        <v>Active</v>
      </c>
      <c r="H2796" s="43" t="s">
        <v>2329</v>
      </c>
      <c r="I2796" s="43" t="s">
        <v>2330</v>
      </c>
      <c r="J2796" s="43" t="s">
        <v>2331</v>
      </c>
      <c r="K2796" s="44" t="s">
        <v>4870</v>
      </c>
      <c r="L2796" s="44" t="s">
        <v>3939</v>
      </c>
      <c r="M2796" s="43">
        <v>44</v>
      </c>
      <c r="N2796" s="113" t="s">
        <v>1113</v>
      </c>
      <c r="O2796" s="113"/>
      <c r="P2796" s="113"/>
      <c r="Q2796" s="113"/>
      <c r="R2796" s="113"/>
      <c r="S2796" s="113"/>
      <c r="T2796" s="113"/>
      <c r="U2796" s="113"/>
      <c r="V2796" s="113"/>
      <c r="W2796" s="113"/>
      <c r="X2796" s="113"/>
      <c r="Y2796" s="113"/>
      <c r="Z2796" s="113"/>
      <c r="AA2796" s="113"/>
      <c r="AB2796" s="113"/>
      <c r="AC2796" s="113"/>
      <c r="AD2796" s="113"/>
      <c r="AE2796" s="113"/>
      <c r="AF2796" s="113"/>
      <c r="AG2796" s="113"/>
      <c r="AH2796" s="113"/>
      <c r="AI2796" s="113"/>
      <c r="AJ2796" s="113"/>
      <c r="AK2796" s="113" t="s">
        <v>1113</v>
      </c>
      <c r="AL2796" s="113"/>
      <c r="AM2796" s="113"/>
      <c r="AN2796" s="113"/>
      <c r="AO2796" s="43" t="s">
        <v>2334</v>
      </c>
      <c r="AP2796" s="43" t="s">
        <v>4850</v>
      </c>
      <c r="AQ2796" s="233" t="str">
        <f>VLOOKUP(Table8[[#This Row],[Instrument]],Def_Targets!$D$73:$E$159,2,FALSE)</f>
        <v>I_Altfuels</v>
      </c>
      <c r="AR2796" s="242" t="str">
        <f>VLOOKUP(Table8[[#This Row],[Country Code]],Table29[],3,FALSE)</f>
        <v>Non-Annex I</v>
      </c>
      <c r="AS2796" s="242" t="str">
        <f>VLOOKUP(Table8[[#This Row],[Country Code]],Table29[],4,FALSE)</f>
        <v>Latin America and the Caribbean</v>
      </c>
      <c r="AT2796" s="242" t="str">
        <f>VLOOKUP(Table8[[#This Row],[Country Code]],Table29[],5,FALSE)</f>
        <v>Middle-income</v>
      </c>
      <c r="AU2796" s="242" t="str">
        <f>VLOOKUP(Table8[[#This Row],[Country Code]],Table29[],6,FALSE)</f>
        <v>no</v>
      </c>
      <c r="AV2796" s="242" t="str">
        <f>VLOOKUP(Table8[[#This Row],[Country Code]],Table29[],7,FALSE)</f>
        <v>no</v>
      </c>
      <c r="AW2796" s="242" t="str">
        <f>VLOOKUP(Table8[[#This Row],[Country Code]],Table29[],8,FALSE)</f>
        <v>non-OECD</v>
      </c>
      <c r="AX2796" s="242" t="str">
        <f>VLOOKUP(Table8[[#This Row],[Country Code]],Table29[],9,FALSE)</f>
        <v>no</v>
      </c>
      <c r="AY2796" s="242" t="str">
        <f>VLOOKUP(Table8[[#This Row],[Country Code]],Table29[],10,FALSE)</f>
        <v>no</v>
      </c>
      <c r="AZ2796" s="242">
        <f>VLOOKUP(Table8[[#This Row],[Country Code]],Table29[],23,FALSE)</f>
        <v>73.604607615068005</v>
      </c>
      <c r="BA2796" s="242">
        <f>VLOOKUP(Table8[[#This Row],[Country Code]],Table29[],24,FALSE)</f>
        <v>22.250312638556871</v>
      </c>
      <c r="BB2796" s="320"/>
      <c r="BC2796" s="320"/>
    </row>
    <row r="2797" spans="1:55" ht="30" x14ac:dyDescent="0.25">
      <c r="A2797" s="398">
        <v>44085</v>
      </c>
      <c r="B2797" s="243" t="str">
        <f>VLOOKUP(Table8[[#This Row],[Document ID]],Table1[],2,FALSE)</f>
        <v>MNE</v>
      </c>
      <c r="C2797" s="243" t="str">
        <f>VLOOKUP(Table8[[#This Row],[Document ID]],Table1[],3,FALSE)</f>
        <v>Montenegro</v>
      </c>
      <c r="D2797" s="243" t="str">
        <f>VLOOKUP(Table8[[#This Row],[Document ID]],Table1[],5,FALSE)</f>
        <v>NDC</v>
      </c>
      <c r="E2797" s="233" t="str">
        <f>VLOOKUP(Table8[[#This Row],[Document ID]],Table1[],7,FALSE)</f>
        <v>Third NDC</v>
      </c>
      <c r="F2797" s="233" t="str">
        <f>VLOOKUP(Table8[[#This Row],[Document ID]],Table1[],8,FALSE)</f>
        <v>NDC 3.0</v>
      </c>
      <c r="G2797" s="233" t="str">
        <f>VLOOKUP(Table8[[#This Row],[Document ID]],Table1[],10,FALSE)</f>
        <v>Active</v>
      </c>
      <c r="H2797" s="43" t="s">
        <v>2329</v>
      </c>
      <c r="I2797" s="43" t="s">
        <v>2330</v>
      </c>
      <c r="J2797" s="43" t="s">
        <v>2331</v>
      </c>
      <c r="K2797" s="44" t="s">
        <v>4871</v>
      </c>
      <c r="L2797" s="44" t="s">
        <v>2333</v>
      </c>
      <c r="M2797" s="43">
        <v>10</v>
      </c>
      <c r="N2797" s="113" t="s">
        <v>1113</v>
      </c>
      <c r="O2797" s="113"/>
      <c r="P2797" s="113"/>
      <c r="Q2797" s="113"/>
      <c r="R2797" s="113"/>
      <c r="S2797" s="113"/>
      <c r="T2797" s="113"/>
      <c r="U2797" s="113"/>
      <c r="V2797" s="113"/>
      <c r="W2797" s="113"/>
      <c r="X2797" s="113"/>
      <c r="Y2797" s="113"/>
      <c r="Z2797" s="113"/>
      <c r="AA2797" s="113"/>
      <c r="AB2797" s="113"/>
      <c r="AC2797" s="113"/>
      <c r="AD2797" s="113"/>
      <c r="AE2797" s="113"/>
      <c r="AF2797" s="113"/>
      <c r="AG2797" s="113"/>
      <c r="AH2797" s="113"/>
      <c r="AI2797" s="113"/>
      <c r="AJ2797" s="113"/>
      <c r="AK2797" s="113" t="s">
        <v>1113</v>
      </c>
      <c r="AL2797" s="113"/>
      <c r="AM2797" s="113"/>
      <c r="AN2797" s="113"/>
      <c r="AO2797" s="44" t="s">
        <v>2334</v>
      </c>
      <c r="AP2797" s="43" t="s">
        <v>4850</v>
      </c>
      <c r="AQ2797" s="233" t="str">
        <f>VLOOKUP(Table8[[#This Row],[Instrument]],Def_Targets!$D$73:$E$159,2,FALSE)</f>
        <v>I_Altfuels</v>
      </c>
      <c r="AR2797" s="242" t="str">
        <f>VLOOKUP(Table8[[#This Row],[Country Code]],Table29[],3,FALSE)</f>
        <v>Non-Annex I</v>
      </c>
      <c r="AS2797" s="242" t="str">
        <f>VLOOKUP(Table8[[#This Row],[Country Code]],Table29[],4,FALSE)</f>
        <v>Europe</v>
      </c>
      <c r="AT2797" s="242" t="str">
        <f>VLOOKUP(Table8[[#This Row],[Country Code]],Table29[],5,FALSE)</f>
        <v>Middle-income</v>
      </c>
      <c r="AU2797" s="242" t="str">
        <f>VLOOKUP(Table8[[#This Row],[Country Code]],Table29[],6,FALSE)</f>
        <v>no</v>
      </c>
      <c r="AV2797" s="242" t="str">
        <f>VLOOKUP(Table8[[#This Row],[Country Code]],Table29[],7,FALSE)</f>
        <v>no</v>
      </c>
      <c r="AW2797" s="242" t="str">
        <f>VLOOKUP(Table8[[#This Row],[Country Code]],Table29[],8,FALSE)</f>
        <v>non-OECD</v>
      </c>
      <c r="AX2797" s="242" t="str">
        <f>VLOOKUP(Table8[[#This Row],[Country Code]],Table29[],9,FALSE)</f>
        <v>no</v>
      </c>
      <c r="AY2797" s="242" t="str">
        <f>VLOOKUP(Table8[[#This Row],[Country Code]],Table29[],10,FALSE)</f>
        <v>no</v>
      </c>
      <c r="AZ2797" s="242">
        <f>VLOOKUP(Table8[[#This Row],[Country Code]],Table29[],23,FALSE)</f>
        <v>0</v>
      </c>
      <c r="BA2797" s="242">
        <f>VLOOKUP(Table8[[#This Row],[Country Code]],Table29[],24,FALSE)</f>
        <v>0</v>
      </c>
      <c r="BB2797" s="320"/>
      <c r="BC2797" s="320"/>
    </row>
    <row r="2798" spans="1:55" ht="45" x14ac:dyDescent="0.25">
      <c r="A2798" s="398">
        <v>43921</v>
      </c>
      <c r="B2798" s="243" t="str">
        <f>VLOOKUP(Table8[[#This Row],[Document ID]],Table1[],2,FALSE)</f>
        <v>LCA</v>
      </c>
      <c r="C2798" s="243" t="str">
        <f>VLOOKUP(Table8[[#This Row],[Document ID]],Table1[],3,FALSE)</f>
        <v>Saint Lucia</v>
      </c>
      <c r="D2798" s="243" t="str">
        <f>VLOOKUP(Table8[[#This Row],[Document ID]],Table1[],5,FALSE)</f>
        <v>NDC</v>
      </c>
      <c r="E2798" s="233" t="str">
        <f>VLOOKUP(Table8[[#This Row],[Document ID]],Table1[],7,FALSE)</f>
        <v>Third NDC</v>
      </c>
      <c r="F2798" s="233" t="str">
        <f>VLOOKUP(Table8[[#This Row],[Document ID]],Table1[],8,FALSE)</f>
        <v>NDC 3.0</v>
      </c>
      <c r="G2798" s="233" t="str">
        <f>VLOOKUP(Table8[[#This Row],[Document ID]],Table1[],10,FALSE)</f>
        <v>Active</v>
      </c>
      <c r="H2798" s="43" t="s">
        <v>2329</v>
      </c>
      <c r="I2798" s="43" t="s">
        <v>2330</v>
      </c>
      <c r="J2798" s="43" t="s">
        <v>2381</v>
      </c>
      <c r="K2798" s="44" t="s">
        <v>4872</v>
      </c>
      <c r="L2798" s="44" t="s">
        <v>2333</v>
      </c>
      <c r="M2798" s="43">
        <v>8</v>
      </c>
      <c r="N2798" s="113" t="s">
        <v>1113</v>
      </c>
      <c r="O2798" s="113"/>
      <c r="P2798" s="113"/>
      <c r="Q2798" s="113"/>
      <c r="R2798" s="113"/>
      <c r="S2798" s="113"/>
      <c r="T2798" s="113"/>
      <c r="U2798" s="113"/>
      <c r="V2798" s="113"/>
      <c r="W2798" s="113"/>
      <c r="X2798" s="113"/>
      <c r="Y2798" s="113"/>
      <c r="Z2798" s="113"/>
      <c r="AA2798" s="113"/>
      <c r="AB2798" s="113"/>
      <c r="AC2798" s="113"/>
      <c r="AD2798" s="113"/>
      <c r="AE2798" s="113"/>
      <c r="AF2798" s="113"/>
      <c r="AG2798" s="113"/>
      <c r="AH2798" s="113"/>
      <c r="AI2798" s="113"/>
      <c r="AJ2798" s="113"/>
      <c r="AK2798" s="113" t="s">
        <v>1113</v>
      </c>
      <c r="AL2798" s="113"/>
      <c r="AM2798" s="113"/>
      <c r="AN2798" s="113"/>
      <c r="AO2798" s="43" t="s">
        <v>2334</v>
      </c>
      <c r="AP2798" s="43" t="s">
        <v>4873</v>
      </c>
      <c r="AQ2798" s="233" t="str">
        <f>VLOOKUP(Table8[[#This Row],[Instrument]],Def_Targets!$D$73:$E$159,2,FALSE)</f>
        <v>I_RE</v>
      </c>
      <c r="AR2798" s="242" t="str">
        <f>VLOOKUP(Table8[[#This Row],[Country Code]],Table29[],3,FALSE)</f>
        <v>Non-Annex I</v>
      </c>
      <c r="AS2798" s="242" t="str">
        <f>VLOOKUP(Table8[[#This Row],[Country Code]],Table29[],4,FALSE)</f>
        <v>Latin America and the Caribbean</v>
      </c>
      <c r="AT2798" s="242" t="str">
        <f>VLOOKUP(Table8[[#This Row],[Country Code]],Table29[],5,FALSE)</f>
        <v>Middle-income</v>
      </c>
      <c r="AU2798" s="242" t="str">
        <f>VLOOKUP(Table8[[#This Row],[Country Code]],Table29[],6,FALSE)</f>
        <v>no</v>
      </c>
      <c r="AV2798" s="242" t="str">
        <f>VLOOKUP(Table8[[#This Row],[Country Code]],Table29[],7,FALSE)</f>
        <v>no</v>
      </c>
      <c r="AW2798" s="242" t="str">
        <f>VLOOKUP(Table8[[#This Row],[Country Code]],Table29[],8,FALSE)</f>
        <v>non-OECD</v>
      </c>
      <c r="AX2798" s="242" t="str">
        <f>VLOOKUP(Table8[[#This Row],[Country Code]],Table29[],9,FALSE)</f>
        <v>no</v>
      </c>
      <c r="AY2798" s="242" t="str">
        <f>VLOOKUP(Table8[[#This Row],[Country Code]],Table29[],10,FALSE)</f>
        <v>no</v>
      </c>
      <c r="AZ2798" s="242">
        <f>VLOOKUP(Table8[[#This Row],[Country Code]],Table29[],23,FALSE)</f>
        <v>0.45126691251345002</v>
      </c>
      <c r="BA2798" s="242">
        <f>VLOOKUP(Table8[[#This Row],[Country Code]],Table29[],24,FALSE)</f>
        <v>0.10561796037965671</v>
      </c>
      <c r="BB2798" s="320"/>
      <c r="BC2798" s="320"/>
    </row>
    <row r="2799" spans="1:55" ht="90" x14ac:dyDescent="0.25">
      <c r="A2799" s="398">
        <v>43950</v>
      </c>
      <c r="B2799" s="243" t="str">
        <f>VLOOKUP(Table8[[#This Row],[Document ID]],Table1[],2,FALSE)</f>
        <v>SGP</v>
      </c>
      <c r="C2799" s="243" t="str">
        <f>VLOOKUP(Table8[[#This Row],[Document ID]],Table1[],3,FALSE)</f>
        <v>Singapore</v>
      </c>
      <c r="D2799" s="243" t="str">
        <f>VLOOKUP(Table8[[#This Row],[Document ID]],Table1[],5,FALSE)</f>
        <v>NDC</v>
      </c>
      <c r="E2799" s="233" t="str">
        <f>VLOOKUP(Table8[[#This Row],[Document ID]],Table1[],7,FALSE)</f>
        <v>Third NDC</v>
      </c>
      <c r="F2799" s="233" t="str">
        <f>VLOOKUP(Table8[[#This Row],[Document ID]],Table1[],8,FALSE)</f>
        <v>NDC 3.0</v>
      </c>
      <c r="G2799" s="233" t="str">
        <f>VLOOKUP(Table8[[#This Row],[Document ID]],Table1[],10,FALSE)</f>
        <v>Active</v>
      </c>
      <c r="H2799" s="43" t="s">
        <v>2329</v>
      </c>
      <c r="I2799" s="43" t="s">
        <v>2330</v>
      </c>
      <c r="J2799" s="43" t="s">
        <v>2391</v>
      </c>
      <c r="K2799" s="44" t="s">
        <v>4874</v>
      </c>
      <c r="L2799" s="44" t="s">
        <v>2333</v>
      </c>
      <c r="M2799" s="43">
        <v>13</v>
      </c>
      <c r="N2799" s="113" t="s">
        <v>1113</v>
      </c>
      <c r="O2799" s="113"/>
      <c r="P2799" s="113"/>
      <c r="Q2799" s="113"/>
      <c r="R2799" s="113"/>
      <c r="S2799" s="113"/>
      <c r="T2799" s="113"/>
      <c r="U2799" s="113"/>
      <c r="V2799" s="113"/>
      <c r="W2799" s="113"/>
      <c r="X2799" s="113"/>
      <c r="Y2799" s="113"/>
      <c r="Z2799" s="113"/>
      <c r="AA2799" s="113"/>
      <c r="AB2799" s="113"/>
      <c r="AC2799" s="113"/>
      <c r="AD2799" s="113"/>
      <c r="AE2799" s="113"/>
      <c r="AF2799" s="113"/>
      <c r="AG2799" s="113"/>
      <c r="AH2799" s="113"/>
      <c r="AI2799" s="113"/>
      <c r="AJ2799" s="113"/>
      <c r="AK2799" s="113" t="s">
        <v>1113</v>
      </c>
      <c r="AL2799" s="113"/>
      <c r="AM2799" s="113"/>
      <c r="AN2799" s="113"/>
      <c r="AO2799" s="43" t="s">
        <v>2334</v>
      </c>
      <c r="AP2799" s="43" t="s">
        <v>4861</v>
      </c>
      <c r="AQ2799" s="233" t="str">
        <f>VLOOKUP(Table8[[#This Row],[Instrument]],Def_Targets!$D$73:$E$159,2,FALSE)</f>
        <v>I_Hydrogen</v>
      </c>
      <c r="AR2799" s="242" t="str">
        <f>VLOOKUP(Table8[[#This Row],[Country Code]],Table29[],3,FALSE)</f>
        <v>Non-Annex I</v>
      </c>
      <c r="AS2799" s="242" t="str">
        <f>VLOOKUP(Table8[[#This Row],[Country Code]],Table29[],4,FALSE)</f>
        <v>Asia</v>
      </c>
      <c r="AT2799" s="242" t="str">
        <f>VLOOKUP(Table8[[#This Row],[Country Code]],Table29[],5,FALSE)</f>
        <v>High-income</v>
      </c>
      <c r="AU2799" s="242" t="str">
        <f>VLOOKUP(Table8[[#This Row],[Country Code]],Table29[],6,FALSE)</f>
        <v>no</v>
      </c>
      <c r="AV2799" s="242" t="str">
        <f>VLOOKUP(Table8[[#This Row],[Country Code]],Table29[],7,FALSE)</f>
        <v>no</v>
      </c>
      <c r="AW2799" s="242" t="str">
        <f>VLOOKUP(Table8[[#This Row],[Country Code]],Table29[],8,FALSE)</f>
        <v>non-OECD</v>
      </c>
      <c r="AX2799" s="242" t="str">
        <f>VLOOKUP(Table8[[#This Row],[Country Code]],Table29[],9,FALSE)</f>
        <v>no</v>
      </c>
      <c r="AY2799" s="242" t="str">
        <f>VLOOKUP(Table8[[#This Row],[Country Code]],Table29[],10,FALSE)</f>
        <v>no</v>
      </c>
      <c r="AZ2799" s="242">
        <f>VLOOKUP(Table8[[#This Row],[Country Code]],Table29[],23,FALSE)</f>
        <v>74.290132466078006</v>
      </c>
      <c r="BA2799" s="242">
        <f>VLOOKUP(Table8[[#This Row],[Country Code]],Table29[],24,FALSE)</f>
        <v>6.8133364043247093</v>
      </c>
      <c r="BB2799" s="320"/>
      <c r="BC2799" s="320"/>
    </row>
    <row r="2800" spans="1:55" ht="45" x14ac:dyDescent="0.25">
      <c r="A2800" s="373">
        <v>43950</v>
      </c>
      <c r="B2800" s="243" t="str">
        <f>VLOOKUP(Table8[[#This Row],[Document ID]],Table1[],2,FALSE)</f>
        <v>SGP</v>
      </c>
      <c r="C2800" s="243" t="str">
        <f>VLOOKUP(Table8[[#This Row],[Document ID]],Table1[],3,FALSE)</f>
        <v>Singapore</v>
      </c>
      <c r="D2800" s="243" t="str">
        <f>VLOOKUP(Table8[[#This Row],[Document ID]],Table1[],5,FALSE)</f>
        <v>NDC</v>
      </c>
      <c r="E2800" s="233" t="str">
        <f>VLOOKUP(Table8[[#This Row],[Document ID]],Table1[],7,FALSE)</f>
        <v>Third NDC</v>
      </c>
      <c r="F2800" s="233" t="str">
        <f>VLOOKUP(Table8[[#This Row],[Document ID]],Table1[],8,FALSE)</f>
        <v>NDC 3.0</v>
      </c>
      <c r="G2800" s="233" t="str">
        <f>VLOOKUP(Table8[[#This Row],[Document ID]],Table1[],10,FALSE)</f>
        <v>Active</v>
      </c>
      <c r="H2800" s="43" t="s">
        <v>2329</v>
      </c>
      <c r="I2800" s="43" t="s">
        <v>2330</v>
      </c>
      <c r="J2800" s="43" t="s">
        <v>2414</v>
      </c>
      <c r="K2800" s="44" t="s">
        <v>4875</v>
      </c>
      <c r="L2800" s="44" t="s">
        <v>2333</v>
      </c>
      <c r="M2800" s="43">
        <v>15</v>
      </c>
      <c r="N2800" s="113"/>
      <c r="O2800" s="113"/>
      <c r="P2800" s="113"/>
      <c r="Q2800" s="113"/>
      <c r="R2800" s="113"/>
      <c r="S2800" s="113" t="s">
        <v>1113</v>
      </c>
      <c r="T2800" s="113"/>
      <c r="U2800" s="113"/>
      <c r="V2800" s="113"/>
      <c r="W2800" s="113"/>
      <c r="X2800" s="113"/>
      <c r="Y2800" s="113"/>
      <c r="Z2800" s="113"/>
      <c r="AA2800" s="113"/>
      <c r="AB2800" s="113"/>
      <c r="AC2800" s="113"/>
      <c r="AD2800" s="113"/>
      <c r="AE2800" s="113"/>
      <c r="AF2800" s="113"/>
      <c r="AG2800" s="113"/>
      <c r="AH2800" s="113"/>
      <c r="AI2800" s="113"/>
      <c r="AJ2800" s="113"/>
      <c r="AK2800" s="113" t="s">
        <v>1113</v>
      </c>
      <c r="AL2800" s="113"/>
      <c r="AM2800" s="113"/>
      <c r="AN2800" s="113"/>
      <c r="AO2800" s="43" t="s">
        <v>2334</v>
      </c>
      <c r="AP2800" s="43" t="s">
        <v>4850</v>
      </c>
      <c r="AQ2800" s="233" t="str">
        <f>VLOOKUP(Table8[[#This Row],[Instrument]],Def_Targets!$D$73:$E$159,2,FALSE)</f>
        <v>I_ICEdiesel</v>
      </c>
      <c r="AR2800" s="242" t="str">
        <f>VLOOKUP(Table8[[#This Row],[Country Code]],Table29[],3,FALSE)</f>
        <v>Non-Annex I</v>
      </c>
      <c r="AS2800" s="242" t="str">
        <f>VLOOKUP(Table8[[#This Row],[Country Code]],Table29[],4,FALSE)</f>
        <v>Asia</v>
      </c>
      <c r="AT2800" s="242" t="str">
        <f>VLOOKUP(Table8[[#This Row],[Country Code]],Table29[],5,FALSE)</f>
        <v>High-income</v>
      </c>
      <c r="AU2800" s="242" t="str">
        <f>VLOOKUP(Table8[[#This Row],[Country Code]],Table29[],6,FALSE)</f>
        <v>no</v>
      </c>
      <c r="AV2800" s="242" t="str">
        <f>VLOOKUP(Table8[[#This Row],[Country Code]],Table29[],7,FALSE)</f>
        <v>no</v>
      </c>
      <c r="AW2800" s="242" t="str">
        <f>VLOOKUP(Table8[[#This Row],[Country Code]],Table29[],8,FALSE)</f>
        <v>non-OECD</v>
      </c>
      <c r="AX2800" s="242" t="str">
        <f>VLOOKUP(Table8[[#This Row],[Country Code]],Table29[],9,FALSE)</f>
        <v>no</v>
      </c>
      <c r="AY2800" s="242" t="str">
        <f>VLOOKUP(Table8[[#This Row],[Country Code]],Table29[],10,FALSE)</f>
        <v>no</v>
      </c>
      <c r="AZ2800" s="242">
        <f>VLOOKUP(Table8[[#This Row],[Country Code]],Table29[],23,FALSE)</f>
        <v>74.290132466078006</v>
      </c>
      <c r="BA2800" s="242">
        <f>VLOOKUP(Table8[[#This Row],[Country Code]],Table29[],24,FALSE)</f>
        <v>6.8133364043247093</v>
      </c>
      <c r="BB2800" s="320"/>
      <c r="BC2800" s="320"/>
    </row>
    <row r="2801" spans="1:55" ht="45" x14ac:dyDescent="0.25">
      <c r="A2801" s="373">
        <v>43950</v>
      </c>
      <c r="B2801" s="243" t="str">
        <f>VLOOKUP(Table8[[#This Row],[Document ID]],Table1[],2,FALSE)</f>
        <v>SGP</v>
      </c>
      <c r="C2801" s="243" t="str">
        <f>VLOOKUP(Table8[[#This Row],[Document ID]],Table1[],3,FALSE)</f>
        <v>Singapore</v>
      </c>
      <c r="D2801" s="243" t="str">
        <f>VLOOKUP(Table8[[#This Row],[Document ID]],Table1[],5,FALSE)</f>
        <v>NDC</v>
      </c>
      <c r="E2801" s="233" t="str">
        <f>VLOOKUP(Table8[[#This Row],[Document ID]],Table1[],7,FALSE)</f>
        <v>Third NDC</v>
      </c>
      <c r="F2801" s="233" t="str">
        <f>VLOOKUP(Table8[[#This Row],[Document ID]],Table1[],8,FALSE)</f>
        <v>NDC 3.0</v>
      </c>
      <c r="G2801" s="233" t="str">
        <f>VLOOKUP(Table8[[#This Row],[Document ID]],Table1[],10,FALSE)</f>
        <v>Active</v>
      </c>
      <c r="H2801" s="43" t="s">
        <v>2329</v>
      </c>
      <c r="I2801" s="43" t="s">
        <v>2330</v>
      </c>
      <c r="J2801" s="43" t="s">
        <v>2414</v>
      </c>
      <c r="K2801" s="44" t="s">
        <v>4875</v>
      </c>
      <c r="L2801" s="44" t="s">
        <v>2333</v>
      </c>
      <c r="M2801" s="43">
        <v>15</v>
      </c>
      <c r="N2801" s="113"/>
      <c r="O2801" s="113"/>
      <c r="P2801" s="113"/>
      <c r="Q2801" s="113"/>
      <c r="R2801" s="113"/>
      <c r="S2801" s="113"/>
      <c r="T2801" s="113"/>
      <c r="U2801" s="113"/>
      <c r="V2801" s="113"/>
      <c r="W2801" s="113"/>
      <c r="X2801" s="113"/>
      <c r="Y2801" s="113" t="s">
        <v>1113</v>
      </c>
      <c r="Z2801" s="113"/>
      <c r="AA2801" s="113"/>
      <c r="AB2801" s="113"/>
      <c r="AC2801" s="113"/>
      <c r="AD2801" s="113"/>
      <c r="AE2801" s="113"/>
      <c r="AF2801" s="113"/>
      <c r="AG2801" s="113"/>
      <c r="AH2801" s="113"/>
      <c r="AI2801" s="113"/>
      <c r="AJ2801" s="113"/>
      <c r="AK2801" s="113" t="s">
        <v>1113</v>
      </c>
      <c r="AL2801" s="113"/>
      <c r="AM2801" s="113"/>
      <c r="AN2801" s="113"/>
      <c r="AO2801" s="43" t="s">
        <v>2348</v>
      </c>
      <c r="AP2801" s="43" t="s">
        <v>4861</v>
      </c>
      <c r="AQ2801" s="233" t="str">
        <f>VLOOKUP(Table8[[#This Row],[Instrument]],Def_Targets!$D$73:$E$159,2,FALSE)</f>
        <v>I_ICEdiesel</v>
      </c>
      <c r="AR2801" s="242" t="str">
        <f>VLOOKUP(Table8[[#This Row],[Country Code]],Table29[],3,FALSE)</f>
        <v>Non-Annex I</v>
      </c>
      <c r="AS2801" s="242" t="str">
        <f>VLOOKUP(Table8[[#This Row],[Country Code]],Table29[],4,FALSE)</f>
        <v>Asia</v>
      </c>
      <c r="AT2801" s="242" t="str">
        <f>VLOOKUP(Table8[[#This Row],[Country Code]],Table29[],5,FALSE)</f>
        <v>High-income</v>
      </c>
      <c r="AU2801" s="242" t="str">
        <f>VLOOKUP(Table8[[#This Row],[Country Code]],Table29[],6,FALSE)</f>
        <v>no</v>
      </c>
      <c r="AV2801" s="242" t="str">
        <f>VLOOKUP(Table8[[#This Row],[Country Code]],Table29[],7,FALSE)</f>
        <v>no</v>
      </c>
      <c r="AW2801" s="242" t="str">
        <f>VLOOKUP(Table8[[#This Row],[Country Code]],Table29[],8,FALSE)</f>
        <v>non-OECD</v>
      </c>
      <c r="AX2801" s="242" t="str">
        <f>VLOOKUP(Table8[[#This Row],[Country Code]],Table29[],9,FALSE)</f>
        <v>no</v>
      </c>
      <c r="AY2801" s="242" t="str">
        <f>VLOOKUP(Table8[[#This Row],[Country Code]],Table29[],10,FALSE)</f>
        <v>no</v>
      </c>
      <c r="AZ2801" s="242">
        <f>VLOOKUP(Table8[[#This Row],[Country Code]],Table29[],23,FALSE)</f>
        <v>74.290132466078006</v>
      </c>
      <c r="BA2801" s="242">
        <f>VLOOKUP(Table8[[#This Row],[Country Code]],Table29[],24,FALSE)</f>
        <v>6.8133364043247093</v>
      </c>
      <c r="BB2801" s="320"/>
      <c r="BC2801" s="320"/>
    </row>
    <row r="2802" spans="1:55" ht="135" x14ac:dyDescent="0.25">
      <c r="A2802" s="373">
        <v>43699</v>
      </c>
      <c r="B2802" s="243" t="str">
        <f>VLOOKUP(Table8[[#This Row],[Document ID]],Table1[],2,FALSE)</f>
        <v>ARE</v>
      </c>
      <c r="C2802" s="243" t="str">
        <f>VLOOKUP(Table8[[#This Row],[Document ID]],Table1[],3,FALSE)</f>
        <v>United Arab Emirates</v>
      </c>
      <c r="D2802" s="243" t="str">
        <f>VLOOKUP(Table8[[#This Row],[Document ID]],Table1[],5,FALSE)</f>
        <v>NDC</v>
      </c>
      <c r="E2802" s="233" t="str">
        <f>VLOOKUP(Table8[[#This Row],[Document ID]],Table1[],7,FALSE)</f>
        <v>Third NDC</v>
      </c>
      <c r="F2802" s="233" t="str">
        <f>VLOOKUP(Table8[[#This Row],[Document ID]],Table1[],8,FALSE)</f>
        <v>NDC 3.0</v>
      </c>
      <c r="G2802" s="233" t="str">
        <f>VLOOKUP(Table8[[#This Row],[Document ID]],Table1[],10,FALSE)</f>
        <v>Active</v>
      </c>
      <c r="H2802" s="43" t="s">
        <v>2329</v>
      </c>
      <c r="I2802" s="43" t="s">
        <v>2330</v>
      </c>
      <c r="J2802" s="43" t="s">
        <v>2357</v>
      </c>
      <c r="K2802" s="44" t="s">
        <v>4876</v>
      </c>
      <c r="L2802" s="44" t="s">
        <v>2333</v>
      </c>
      <c r="M2802" s="43">
        <v>29</v>
      </c>
      <c r="N2802" s="113"/>
      <c r="O2802" s="113"/>
      <c r="P2802" s="113"/>
      <c r="Q2802" s="113"/>
      <c r="R2802" s="113"/>
      <c r="S2802" s="113" t="s">
        <v>1113</v>
      </c>
      <c r="T2802" s="113"/>
      <c r="U2802" s="113"/>
      <c r="V2802" s="113"/>
      <c r="W2802" s="113"/>
      <c r="X2802" s="113"/>
      <c r="Y2802" s="113"/>
      <c r="Z2802" s="113"/>
      <c r="AA2802" s="113"/>
      <c r="AB2802" s="113"/>
      <c r="AC2802" s="113"/>
      <c r="AD2802" s="113"/>
      <c r="AE2802" s="113"/>
      <c r="AF2802" s="113"/>
      <c r="AG2802" s="113"/>
      <c r="AH2802" s="113"/>
      <c r="AI2802" s="113"/>
      <c r="AJ2802" s="113"/>
      <c r="AK2802" s="113" t="s">
        <v>1113</v>
      </c>
      <c r="AL2802" s="113"/>
      <c r="AM2802" s="113"/>
      <c r="AN2802" s="113"/>
      <c r="AO2802" s="43" t="s">
        <v>2334</v>
      </c>
      <c r="AP2802" s="43" t="s">
        <v>4850</v>
      </c>
      <c r="AQ2802" s="233" t="str">
        <f>VLOOKUP(Table8[[#This Row],[Instrument]],Def_Targets!$D$73:$E$159,2,FALSE)</f>
        <v>I_Biofuel</v>
      </c>
      <c r="AR2802" s="242" t="str">
        <f>VLOOKUP(Table8[[#This Row],[Country Code]],Table29[],3,FALSE)</f>
        <v>Non-Annex I</v>
      </c>
      <c r="AS2802" s="242" t="str">
        <f>VLOOKUP(Table8[[#This Row],[Country Code]],Table29[],4,FALSE)</f>
        <v>Asia</v>
      </c>
      <c r="AT2802" s="242" t="str">
        <f>VLOOKUP(Table8[[#This Row],[Country Code]],Table29[],5,FALSE)</f>
        <v>High-income</v>
      </c>
      <c r="AU2802" s="242" t="str">
        <f>VLOOKUP(Table8[[#This Row],[Country Code]],Table29[],6,FALSE)</f>
        <v>no</v>
      </c>
      <c r="AV2802" s="242" t="str">
        <f>VLOOKUP(Table8[[#This Row],[Country Code]],Table29[],7,FALSE)</f>
        <v>no</v>
      </c>
      <c r="AW2802" s="242" t="str">
        <f>VLOOKUP(Table8[[#This Row],[Country Code]],Table29[],8,FALSE)</f>
        <v>non-OECD</v>
      </c>
      <c r="AX2802" s="242" t="str">
        <f>VLOOKUP(Table8[[#This Row],[Country Code]],Table29[],9,FALSE)</f>
        <v>no</v>
      </c>
      <c r="AY2802" s="242" t="str">
        <f>VLOOKUP(Table8[[#This Row],[Country Code]],Table29[],10,FALSE)</f>
        <v>MENA</v>
      </c>
      <c r="AZ2802" s="242">
        <f>VLOOKUP(Table8[[#This Row],[Country Code]],Table29[],23,FALSE)</f>
        <v>267.82319378585998</v>
      </c>
      <c r="BA2802" s="242">
        <f>VLOOKUP(Table8[[#This Row],[Country Code]],Table29[],24,FALSE)</f>
        <v>43.860911308351241</v>
      </c>
      <c r="BB2802" s="320"/>
      <c r="BC2802" s="320"/>
    </row>
    <row r="2803" spans="1:55" ht="45" x14ac:dyDescent="0.25">
      <c r="A2803" s="373">
        <v>43857</v>
      </c>
      <c r="B2803" s="243" t="str">
        <f>VLOOKUP(Table8[[#This Row],[Document ID]],Table1[],2,FALSE)</f>
        <v>GBR</v>
      </c>
      <c r="C2803" s="243" t="str">
        <f>VLOOKUP(Table8[[#This Row],[Document ID]],Table1[],3,FALSE)</f>
        <v>United Kingdom</v>
      </c>
      <c r="D2803" s="243" t="str">
        <f>VLOOKUP(Table8[[#This Row],[Document ID]],Table1[],5,FALSE)</f>
        <v>NDC</v>
      </c>
      <c r="E2803" s="233" t="str">
        <f>VLOOKUP(Table8[[#This Row],[Document ID]],Table1[],7,FALSE)</f>
        <v>Third NDC</v>
      </c>
      <c r="F2803" s="233" t="str">
        <f>VLOOKUP(Table8[[#This Row],[Document ID]],Table1[],8,FALSE)</f>
        <v>NDC 3.0</v>
      </c>
      <c r="G2803" s="233" t="str">
        <f>VLOOKUP(Table8[[#This Row],[Document ID]],Table1[],10,FALSE)</f>
        <v>Active</v>
      </c>
      <c r="H2803" s="43" t="s">
        <v>2329</v>
      </c>
      <c r="I2803" s="43" t="s">
        <v>2330</v>
      </c>
      <c r="J2803" s="43" t="s">
        <v>2414</v>
      </c>
      <c r="K2803" s="44" t="s">
        <v>4877</v>
      </c>
      <c r="L2803" s="44" t="s">
        <v>2333</v>
      </c>
      <c r="M2803" s="43">
        <v>14</v>
      </c>
      <c r="N2803" s="113"/>
      <c r="O2803" s="113"/>
      <c r="P2803" s="113"/>
      <c r="Q2803" s="113"/>
      <c r="R2803" s="113"/>
      <c r="S2803" s="113"/>
      <c r="T2803" s="113"/>
      <c r="U2803" s="113" t="s">
        <v>1113</v>
      </c>
      <c r="V2803" s="113"/>
      <c r="W2803" s="113"/>
      <c r="X2803" s="113"/>
      <c r="Y2803" s="113"/>
      <c r="Z2803" s="113"/>
      <c r="AA2803" s="113"/>
      <c r="AB2803" s="113"/>
      <c r="AC2803" s="113"/>
      <c r="AD2803" s="113"/>
      <c r="AE2803" s="113"/>
      <c r="AF2803" s="113"/>
      <c r="AG2803" s="113"/>
      <c r="AH2803" s="113"/>
      <c r="AI2803" s="113"/>
      <c r="AJ2803" s="113"/>
      <c r="AK2803" s="113" t="s">
        <v>1113</v>
      </c>
      <c r="AL2803" s="113"/>
      <c r="AM2803" s="113"/>
      <c r="AN2803" s="113"/>
      <c r="AO2803" s="43" t="s">
        <v>2334</v>
      </c>
      <c r="AP2803" s="43" t="s">
        <v>4873</v>
      </c>
      <c r="AQ2803" s="233" t="str">
        <f>VLOOKUP(Table8[[#This Row],[Instrument]],Def_Targets!$D$73:$E$159,2,FALSE)</f>
        <v>I_ICEdiesel</v>
      </c>
      <c r="AR2803" s="242" t="str">
        <f>VLOOKUP(Table8[[#This Row],[Country Code]],Table29[],3,FALSE)</f>
        <v>Annex I</v>
      </c>
      <c r="AS2803" s="242" t="str">
        <f>VLOOKUP(Table8[[#This Row],[Country Code]],Table29[],4,FALSE)</f>
        <v>Europe</v>
      </c>
      <c r="AT2803" s="242" t="str">
        <f>VLOOKUP(Table8[[#This Row],[Country Code]],Table29[],5,FALSE)</f>
        <v>High-income</v>
      </c>
      <c r="AU2803" s="242" t="str">
        <f>VLOOKUP(Table8[[#This Row],[Country Code]],Table29[],6,FALSE)</f>
        <v>G20</v>
      </c>
      <c r="AV2803" s="242" t="str">
        <f>VLOOKUP(Table8[[#This Row],[Country Code]],Table29[],7,FALSE)</f>
        <v>G7</v>
      </c>
      <c r="AW2803" s="242" t="str">
        <f>VLOOKUP(Table8[[#This Row],[Country Code]],Table29[],8,FALSE)</f>
        <v>OECD</v>
      </c>
      <c r="AX2803" s="242" t="str">
        <f>VLOOKUP(Table8[[#This Row],[Country Code]],Table29[],9,FALSE)</f>
        <v>no</v>
      </c>
      <c r="AY2803" s="242" t="str">
        <f>VLOOKUP(Table8[[#This Row],[Country Code]],Table29[],10,FALSE)</f>
        <v>no</v>
      </c>
      <c r="AZ2803" s="242">
        <f>VLOOKUP(Table8[[#This Row],[Country Code]],Table29[],23,FALSE)</f>
        <v>379.31858785213001</v>
      </c>
      <c r="BA2803" s="242">
        <f>VLOOKUP(Table8[[#This Row],[Country Code]],Table29[],24,FALSE)</f>
        <v>109.75048777474809</v>
      </c>
      <c r="BB2803" s="320"/>
      <c r="BC2803" s="320"/>
    </row>
    <row r="2804" spans="1:55" ht="45" x14ac:dyDescent="0.25">
      <c r="A2804" s="373">
        <v>43857</v>
      </c>
      <c r="B2804" s="243" t="str">
        <f>VLOOKUP(Table8[[#This Row],[Document ID]],Table1[],2,FALSE)</f>
        <v>GBR</v>
      </c>
      <c r="C2804" s="243" t="str">
        <f>VLOOKUP(Table8[[#This Row],[Document ID]],Table1[],3,FALSE)</f>
        <v>United Kingdom</v>
      </c>
      <c r="D2804" s="243" t="str">
        <f>VLOOKUP(Table8[[#This Row],[Document ID]],Table1[],5,FALSE)</f>
        <v>NDC</v>
      </c>
      <c r="E2804" s="233" t="str">
        <f>VLOOKUP(Table8[[#This Row],[Document ID]],Table1[],7,FALSE)</f>
        <v>Third NDC</v>
      </c>
      <c r="F2804" s="233" t="str">
        <f>VLOOKUP(Table8[[#This Row],[Document ID]],Table1[],8,FALSE)</f>
        <v>NDC 3.0</v>
      </c>
      <c r="G2804" s="233" t="str">
        <f>VLOOKUP(Table8[[#This Row],[Document ID]],Table1[],10,FALSE)</f>
        <v>Active</v>
      </c>
      <c r="H2804" s="43" t="s">
        <v>2329</v>
      </c>
      <c r="I2804" s="43" t="s">
        <v>2330</v>
      </c>
      <c r="J2804" s="43" t="s">
        <v>2414</v>
      </c>
      <c r="K2804" s="44" t="s">
        <v>4878</v>
      </c>
      <c r="L2804" s="44" t="s">
        <v>4879</v>
      </c>
      <c r="M2804" s="43">
        <v>23</v>
      </c>
      <c r="N2804" s="113" t="s">
        <v>1113</v>
      </c>
      <c r="O2804" s="113"/>
      <c r="P2804" s="113"/>
      <c r="Q2804" s="113"/>
      <c r="R2804" s="113"/>
      <c r="S2804" s="113"/>
      <c r="T2804" s="113"/>
      <c r="U2804" s="113"/>
      <c r="V2804" s="113"/>
      <c r="W2804" s="113"/>
      <c r="X2804" s="113"/>
      <c r="Y2804" s="113"/>
      <c r="Z2804" s="113"/>
      <c r="AA2804" s="113"/>
      <c r="AB2804" s="113"/>
      <c r="AC2804" s="113"/>
      <c r="AD2804" s="113"/>
      <c r="AE2804" s="113"/>
      <c r="AF2804" s="113"/>
      <c r="AG2804" s="113"/>
      <c r="AH2804" s="113"/>
      <c r="AI2804" s="113"/>
      <c r="AJ2804" s="113"/>
      <c r="AK2804" s="113" t="s">
        <v>1113</v>
      </c>
      <c r="AL2804" s="113"/>
      <c r="AM2804" s="113"/>
      <c r="AN2804" s="113"/>
      <c r="AO2804" s="43" t="s">
        <v>2334</v>
      </c>
      <c r="AP2804" s="43" t="s">
        <v>4873</v>
      </c>
      <c r="AQ2804" s="233" t="str">
        <f>VLOOKUP(Table8[[#This Row],[Instrument]],Def_Targets!$D$73:$E$159,2,FALSE)</f>
        <v>I_ICEdiesel</v>
      </c>
      <c r="AR2804" s="242" t="str">
        <f>VLOOKUP(Table8[[#This Row],[Country Code]],Table29[],3,FALSE)</f>
        <v>Annex I</v>
      </c>
      <c r="AS2804" s="242" t="str">
        <f>VLOOKUP(Table8[[#This Row],[Country Code]],Table29[],4,FALSE)</f>
        <v>Europe</v>
      </c>
      <c r="AT2804" s="242" t="str">
        <f>VLOOKUP(Table8[[#This Row],[Country Code]],Table29[],5,FALSE)</f>
        <v>High-income</v>
      </c>
      <c r="AU2804" s="242" t="str">
        <f>VLOOKUP(Table8[[#This Row],[Country Code]],Table29[],6,FALSE)</f>
        <v>G20</v>
      </c>
      <c r="AV2804" s="242" t="str">
        <f>VLOOKUP(Table8[[#This Row],[Country Code]],Table29[],7,FALSE)</f>
        <v>G7</v>
      </c>
      <c r="AW2804" s="242" t="str">
        <f>VLOOKUP(Table8[[#This Row],[Country Code]],Table29[],8,FALSE)</f>
        <v>OECD</v>
      </c>
      <c r="AX2804" s="242" t="str">
        <f>VLOOKUP(Table8[[#This Row],[Country Code]],Table29[],9,FALSE)</f>
        <v>no</v>
      </c>
      <c r="AY2804" s="242" t="str">
        <f>VLOOKUP(Table8[[#This Row],[Country Code]],Table29[],10,FALSE)</f>
        <v>no</v>
      </c>
      <c r="AZ2804" s="242">
        <f>VLOOKUP(Table8[[#This Row],[Country Code]],Table29[],23,FALSE)</f>
        <v>379.31858785213001</v>
      </c>
      <c r="BA2804" s="242">
        <f>VLOOKUP(Table8[[#This Row],[Country Code]],Table29[],24,FALSE)</f>
        <v>109.75048777474809</v>
      </c>
      <c r="BB2804" s="320"/>
      <c r="BC2804" s="320"/>
    </row>
    <row r="2805" spans="1:55" ht="30" x14ac:dyDescent="0.25">
      <c r="A2805" s="373">
        <v>43701</v>
      </c>
      <c r="B2805" s="243" t="str">
        <f>VLOOKUP(Table8[[#This Row],[Document ID]],Table1[],2,FALSE)</f>
        <v>USA</v>
      </c>
      <c r="C2805" s="243" t="str">
        <f>VLOOKUP(Table8[[#This Row],[Document ID]],Table1[],3,FALSE)</f>
        <v>United States of America</v>
      </c>
      <c r="D2805" s="243" t="str">
        <f>VLOOKUP(Table8[[#This Row],[Document ID]],Table1[],5,FALSE)</f>
        <v>NDC</v>
      </c>
      <c r="E2805" s="233" t="str">
        <f>VLOOKUP(Table8[[#This Row],[Document ID]],Table1[],7,FALSE)</f>
        <v>Third NDC</v>
      </c>
      <c r="F2805" s="233" t="str">
        <f>VLOOKUP(Table8[[#This Row],[Document ID]],Table1[],8,FALSE)</f>
        <v>NDC 3.0</v>
      </c>
      <c r="G2805" s="233" t="str">
        <f>VLOOKUP(Table8[[#This Row],[Document ID]],Table1[],10,FALSE)</f>
        <v>Active</v>
      </c>
      <c r="H2805" s="43" t="s">
        <v>2329</v>
      </c>
      <c r="I2805" s="43" t="s">
        <v>2330</v>
      </c>
      <c r="J2805" s="43" t="s">
        <v>2391</v>
      </c>
      <c r="K2805" s="44" t="s">
        <v>4880</v>
      </c>
      <c r="L2805" s="44" t="s">
        <v>2333</v>
      </c>
      <c r="M2805" s="43">
        <v>8</v>
      </c>
      <c r="N2805" s="113" t="s">
        <v>1113</v>
      </c>
      <c r="O2805" s="113"/>
      <c r="P2805" s="113"/>
      <c r="Q2805" s="113"/>
      <c r="R2805" s="113"/>
      <c r="S2805" s="113"/>
      <c r="T2805" s="113"/>
      <c r="U2805" s="113"/>
      <c r="V2805" s="113"/>
      <c r="W2805" s="113"/>
      <c r="X2805" s="113"/>
      <c r="Y2805" s="113"/>
      <c r="Z2805" s="113"/>
      <c r="AA2805" s="113"/>
      <c r="AB2805" s="113"/>
      <c r="AC2805" s="113"/>
      <c r="AD2805" s="113"/>
      <c r="AE2805" s="113"/>
      <c r="AF2805" s="113"/>
      <c r="AG2805" s="113"/>
      <c r="AH2805" s="113"/>
      <c r="AI2805" s="113"/>
      <c r="AJ2805" s="113"/>
      <c r="AK2805" s="113" t="s">
        <v>1113</v>
      </c>
      <c r="AL2805" s="113"/>
      <c r="AM2805" s="113"/>
      <c r="AN2805" s="113"/>
      <c r="AO2805" s="43" t="s">
        <v>2334</v>
      </c>
      <c r="AP2805" s="43" t="s">
        <v>4850</v>
      </c>
      <c r="AQ2805" s="233" t="str">
        <f>VLOOKUP(Table8[[#This Row],[Instrument]],Def_Targets!$D$73:$E$159,2,FALSE)</f>
        <v>I_Hydrogen</v>
      </c>
      <c r="AR2805" s="242" t="str">
        <f>VLOOKUP(Table8[[#This Row],[Country Code]],Table29[],3,FALSE)</f>
        <v>Annex I</v>
      </c>
      <c r="AS2805" s="242" t="str">
        <f>VLOOKUP(Table8[[#This Row],[Country Code]],Table29[],4,FALSE)</f>
        <v>Northern America</v>
      </c>
      <c r="AT2805" s="242" t="str">
        <f>VLOOKUP(Table8[[#This Row],[Country Code]],Table29[],5,FALSE)</f>
        <v>High-income</v>
      </c>
      <c r="AU2805" s="242" t="str">
        <f>VLOOKUP(Table8[[#This Row],[Country Code]],Table29[],6,FALSE)</f>
        <v>G20</v>
      </c>
      <c r="AV2805" s="242" t="str">
        <f>VLOOKUP(Table8[[#This Row],[Country Code]],Table29[],7,FALSE)</f>
        <v>G7</v>
      </c>
      <c r="AW2805" s="242" t="str">
        <f>VLOOKUP(Table8[[#This Row],[Country Code]],Table29[],8,FALSE)</f>
        <v>OECD</v>
      </c>
      <c r="AX2805" s="242" t="str">
        <f>VLOOKUP(Table8[[#This Row],[Country Code]],Table29[],9,FALSE)</f>
        <v>no</v>
      </c>
      <c r="AY2805" s="242" t="str">
        <f>VLOOKUP(Table8[[#This Row],[Country Code]],Table29[],10,FALSE)</f>
        <v>no</v>
      </c>
      <c r="AZ2805" s="242">
        <f>VLOOKUP(Table8[[#This Row],[Country Code]],Table29[],23,FALSE)</f>
        <v>5960.8043799938996</v>
      </c>
      <c r="BA2805" s="242">
        <f>VLOOKUP(Table8[[#This Row],[Country Code]],Table29[],24,FALSE)</f>
        <v>1735.9036371632039</v>
      </c>
      <c r="BB2805" s="320"/>
      <c r="BC2805" s="320"/>
    </row>
    <row r="2806" spans="1:55" ht="30" x14ac:dyDescent="0.25">
      <c r="A2806" s="373">
        <v>43764</v>
      </c>
      <c r="B2806" s="243" t="str">
        <f>VLOOKUP(Table8[[#This Row],[Document ID]],Table1[],2,FALSE)</f>
        <v>URY</v>
      </c>
      <c r="C2806" s="243" t="str">
        <f>VLOOKUP(Table8[[#This Row],[Document ID]],Table1[],3,FALSE)</f>
        <v>Uruguay</v>
      </c>
      <c r="D2806" s="243" t="str">
        <f>VLOOKUP(Table8[[#This Row],[Document ID]],Table1[],5,FALSE)</f>
        <v>NDC</v>
      </c>
      <c r="E2806" s="233" t="str">
        <f>VLOOKUP(Table8[[#This Row],[Document ID]],Table1[],7,FALSE)</f>
        <v>Third NDC</v>
      </c>
      <c r="F2806" s="233" t="str">
        <f>VLOOKUP(Table8[[#This Row],[Document ID]],Table1[],8,FALSE)</f>
        <v>NDC 3.0</v>
      </c>
      <c r="G2806" s="233" t="str">
        <f>VLOOKUP(Table8[[#This Row],[Document ID]],Table1[],10,FALSE)</f>
        <v>Active</v>
      </c>
      <c r="H2806" s="43" t="s">
        <v>2329</v>
      </c>
      <c r="I2806" s="43" t="s">
        <v>2330</v>
      </c>
      <c r="J2806" s="43" t="s">
        <v>2381</v>
      </c>
      <c r="K2806" s="44" t="s">
        <v>4881</v>
      </c>
      <c r="L2806" s="44" t="s">
        <v>2333</v>
      </c>
      <c r="M2806" s="43">
        <v>48</v>
      </c>
      <c r="N2806" s="113"/>
      <c r="O2806" s="113"/>
      <c r="P2806" s="113"/>
      <c r="Q2806" s="113"/>
      <c r="R2806" s="113"/>
      <c r="S2806" s="113"/>
      <c r="T2806" s="113"/>
      <c r="U2806" s="113" t="s">
        <v>1113</v>
      </c>
      <c r="V2806" s="113"/>
      <c r="W2806" s="113"/>
      <c r="X2806" s="113"/>
      <c r="Y2806" s="113"/>
      <c r="Z2806" s="113"/>
      <c r="AA2806" s="113"/>
      <c r="AB2806" s="113"/>
      <c r="AC2806" s="113"/>
      <c r="AD2806" s="113"/>
      <c r="AE2806" s="113"/>
      <c r="AF2806" s="113"/>
      <c r="AG2806" s="113"/>
      <c r="AH2806" s="113"/>
      <c r="AI2806" s="113"/>
      <c r="AJ2806" s="113"/>
      <c r="AK2806" s="113" t="s">
        <v>1113</v>
      </c>
      <c r="AL2806" s="113"/>
      <c r="AM2806" s="113"/>
      <c r="AN2806" s="113"/>
      <c r="AO2806" s="43" t="s">
        <v>2334</v>
      </c>
      <c r="AP2806" s="43" t="s">
        <v>4850</v>
      </c>
      <c r="AQ2806" s="233" t="str">
        <f>VLOOKUP(Table8[[#This Row],[Instrument]],Def_Targets!$D$73:$E$159,2,FALSE)</f>
        <v>I_RE</v>
      </c>
      <c r="AR2806" s="242" t="str">
        <f>VLOOKUP(Table8[[#This Row],[Country Code]],Table29[],3,FALSE)</f>
        <v>Non-Annex I</v>
      </c>
      <c r="AS2806" s="242" t="str">
        <f>VLOOKUP(Table8[[#This Row],[Country Code]],Table29[],4,FALSE)</f>
        <v>Latin America and the Caribbean</v>
      </c>
      <c r="AT2806" s="242" t="str">
        <f>VLOOKUP(Table8[[#This Row],[Country Code]],Table29[],5,FALSE)</f>
        <v>High-income</v>
      </c>
      <c r="AU2806" s="242" t="str">
        <f>VLOOKUP(Table8[[#This Row],[Country Code]],Table29[],6,FALSE)</f>
        <v>no</v>
      </c>
      <c r="AV2806" s="242" t="str">
        <f>VLOOKUP(Table8[[#This Row],[Country Code]],Table29[],7,FALSE)</f>
        <v>no</v>
      </c>
      <c r="AW2806" s="242" t="str">
        <f>VLOOKUP(Table8[[#This Row],[Country Code]],Table29[],8,FALSE)</f>
        <v>non-OECD</v>
      </c>
      <c r="AX2806" s="242" t="str">
        <f>VLOOKUP(Table8[[#This Row],[Country Code]],Table29[],9,FALSE)</f>
        <v>no</v>
      </c>
      <c r="AY2806" s="242" t="str">
        <f>VLOOKUP(Table8[[#This Row],[Country Code]],Table29[],10,FALSE)</f>
        <v>no</v>
      </c>
      <c r="AZ2806" s="242">
        <f>VLOOKUP(Table8[[#This Row],[Country Code]],Table29[],23,FALSE)</f>
        <v>41.634111747759</v>
      </c>
      <c r="BA2806" s="242">
        <f>VLOOKUP(Table8[[#This Row],[Country Code]],Table29[],24,FALSE)</f>
        <v>4.0868158944276578</v>
      </c>
      <c r="BB2806" s="320"/>
      <c r="BC2806" s="320"/>
    </row>
    <row r="2807" spans="1:55" ht="30" x14ac:dyDescent="0.25">
      <c r="A2807" s="373">
        <v>43764</v>
      </c>
      <c r="B2807" s="243" t="str">
        <f>VLOOKUP(Table8[[#This Row],[Document ID]],Table1[],2,FALSE)</f>
        <v>URY</v>
      </c>
      <c r="C2807" s="243" t="str">
        <f>VLOOKUP(Table8[[#This Row],[Document ID]],Table1[],3,FALSE)</f>
        <v>Uruguay</v>
      </c>
      <c r="D2807" s="243" t="str">
        <f>VLOOKUP(Table8[[#This Row],[Document ID]],Table1[],5,FALSE)</f>
        <v>NDC</v>
      </c>
      <c r="E2807" s="233" t="str">
        <f>VLOOKUP(Table8[[#This Row],[Document ID]],Table1[],7,FALSE)</f>
        <v>Third NDC</v>
      </c>
      <c r="F2807" s="233" t="str">
        <f>VLOOKUP(Table8[[#This Row],[Document ID]],Table1[],8,FALSE)</f>
        <v>NDC 3.0</v>
      </c>
      <c r="G2807" s="233" t="str">
        <f>VLOOKUP(Table8[[#This Row],[Document ID]],Table1[],10,FALSE)</f>
        <v>Active</v>
      </c>
      <c r="H2807" s="43" t="s">
        <v>2329</v>
      </c>
      <c r="I2807" s="43" t="s">
        <v>2330</v>
      </c>
      <c r="J2807" s="43" t="s">
        <v>2331</v>
      </c>
      <c r="K2807" s="44" t="s">
        <v>4882</v>
      </c>
      <c r="L2807" s="44" t="s">
        <v>2333</v>
      </c>
      <c r="M2807" s="43">
        <v>48</v>
      </c>
      <c r="N2807" s="113" t="s">
        <v>1113</v>
      </c>
      <c r="O2807" s="113"/>
      <c r="P2807" s="113"/>
      <c r="Q2807" s="113"/>
      <c r="R2807" s="113"/>
      <c r="S2807" s="113"/>
      <c r="T2807" s="113"/>
      <c r="U2807" s="113"/>
      <c r="V2807" s="113"/>
      <c r="W2807" s="113"/>
      <c r="X2807" s="113"/>
      <c r="Y2807" s="113"/>
      <c r="Z2807" s="113"/>
      <c r="AA2807" s="113"/>
      <c r="AB2807" s="113"/>
      <c r="AC2807" s="113"/>
      <c r="AD2807" s="113"/>
      <c r="AE2807" s="113"/>
      <c r="AF2807" s="113"/>
      <c r="AG2807" s="113"/>
      <c r="AH2807" s="113"/>
      <c r="AI2807" s="113"/>
      <c r="AJ2807" s="113"/>
      <c r="AK2807" s="113" t="s">
        <v>1113</v>
      </c>
      <c r="AL2807" s="113"/>
      <c r="AM2807" s="113"/>
      <c r="AN2807" s="113"/>
      <c r="AO2807" s="43" t="s">
        <v>2334</v>
      </c>
      <c r="AP2807" s="43" t="s">
        <v>4850</v>
      </c>
      <c r="AQ2807" s="233" t="str">
        <f>VLOOKUP(Table8[[#This Row],[Instrument]],Def_Targets!$D$73:$E$159,2,FALSE)</f>
        <v>I_Altfuels</v>
      </c>
      <c r="AR2807" s="242" t="str">
        <f>VLOOKUP(Table8[[#This Row],[Country Code]],Table29[],3,FALSE)</f>
        <v>Non-Annex I</v>
      </c>
      <c r="AS2807" s="242" t="str">
        <f>VLOOKUP(Table8[[#This Row],[Country Code]],Table29[],4,FALSE)</f>
        <v>Latin America and the Caribbean</v>
      </c>
      <c r="AT2807" s="242" t="str">
        <f>VLOOKUP(Table8[[#This Row],[Country Code]],Table29[],5,FALSE)</f>
        <v>High-income</v>
      </c>
      <c r="AU2807" s="242" t="str">
        <f>VLOOKUP(Table8[[#This Row],[Country Code]],Table29[],6,FALSE)</f>
        <v>no</v>
      </c>
      <c r="AV2807" s="242" t="str">
        <f>VLOOKUP(Table8[[#This Row],[Country Code]],Table29[],7,FALSE)</f>
        <v>no</v>
      </c>
      <c r="AW2807" s="242" t="str">
        <f>VLOOKUP(Table8[[#This Row],[Country Code]],Table29[],8,FALSE)</f>
        <v>non-OECD</v>
      </c>
      <c r="AX2807" s="242" t="str">
        <f>VLOOKUP(Table8[[#This Row],[Country Code]],Table29[],9,FALSE)</f>
        <v>no</v>
      </c>
      <c r="AY2807" s="242" t="str">
        <f>VLOOKUP(Table8[[#This Row],[Country Code]],Table29[],10,FALSE)</f>
        <v>no</v>
      </c>
      <c r="AZ2807" s="242">
        <f>VLOOKUP(Table8[[#This Row],[Country Code]],Table29[],23,FALSE)</f>
        <v>41.634111747759</v>
      </c>
      <c r="BA2807" s="242">
        <f>VLOOKUP(Table8[[#This Row],[Country Code]],Table29[],24,FALSE)</f>
        <v>4.0868158944276578</v>
      </c>
      <c r="BB2807" s="320"/>
      <c r="BC2807" s="320"/>
    </row>
    <row r="2808" spans="1:55" ht="30" x14ac:dyDescent="0.25">
      <c r="A2808" s="373">
        <v>43764</v>
      </c>
      <c r="B2808" s="243" t="str">
        <f>VLOOKUP(Table8[[#This Row],[Document ID]],Table1[],2,FALSE)</f>
        <v>URY</v>
      </c>
      <c r="C2808" s="243" t="str">
        <f>VLOOKUP(Table8[[#This Row],[Document ID]],Table1[],3,FALSE)</f>
        <v>Uruguay</v>
      </c>
      <c r="D2808" s="243" t="str">
        <f>VLOOKUP(Table8[[#This Row],[Document ID]],Table1[],5,FALSE)</f>
        <v>NDC</v>
      </c>
      <c r="E2808" s="233" t="str">
        <f>VLOOKUP(Table8[[#This Row],[Document ID]],Table1[],7,FALSE)</f>
        <v>Third NDC</v>
      </c>
      <c r="F2808" s="233" t="str">
        <f>VLOOKUP(Table8[[#This Row],[Document ID]],Table1[],8,FALSE)</f>
        <v>NDC 3.0</v>
      </c>
      <c r="G2808" s="233" t="str">
        <f>VLOOKUP(Table8[[#This Row],[Document ID]],Table1[],10,FALSE)</f>
        <v>Active</v>
      </c>
      <c r="H2808" s="43" t="s">
        <v>2329</v>
      </c>
      <c r="I2808" s="43" t="s">
        <v>2330</v>
      </c>
      <c r="J2808" s="43" t="s">
        <v>2357</v>
      </c>
      <c r="K2808" s="44" t="s">
        <v>4882</v>
      </c>
      <c r="L2808" s="44" t="s">
        <v>2333</v>
      </c>
      <c r="M2808" s="43">
        <v>48</v>
      </c>
      <c r="N2808" s="113" t="s">
        <v>1113</v>
      </c>
      <c r="O2808" s="113"/>
      <c r="P2808" s="113"/>
      <c r="Q2808" s="113"/>
      <c r="R2808" s="113"/>
      <c r="S2808" s="113"/>
      <c r="T2808" s="113"/>
      <c r="U2808" s="113"/>
      <c r="V2808" s="113"/>
      <c r="W2808" s="113"/>
      <c r="X2808" s="113"/>
      <c r="Y2808" s="113"/>
      <c r="Z2808" s="113"/>
      <c r="AA2808" s="113"/>
      <c r="AB2808" s="113"/>
      <c r="AC2808" s="113"/>
      <c r="AD2808" s="113"/>
      <c r="AE2808" s="113"/>
      <c r="AF2808" s="113"/>
      <c r="AG2808" s="113"/>
      <c r="AH2808" s="113"/>
      <c r="AI2808" s="113"/>
      <c r="AJ2808" s="113"/>
      <c r="AK2808" s="113" t="s">
        <v>1113</v>
      </c>
      <c r="AL2808" s="113"/>
      <c r="AM2808" s="113"/>
      <c r="AN2808" s="113"/>
      <c r="AO2808" s="43" t="s">
        <v>2334</v>
      </c>
      <c r="AP2808" s="43" t="s">
        <v>4850</v>
      </c>
      <c r="AQ2808" s="233" t="str">
        <f>VLOOKUP(Table8[[#This Row],[Instrument]],Def_Targets!$D$73:$E$159,2,FALSE)</f>
        <v>I_Biofuel</v>
      </c>
      <c r="AR2808" s="242" t="str">
        <f>VLOOKUP(Table8[[#This Row],[Country Code]],Table29[],3,FALSE)</f>
        <v>Non-Annex I</v>
      </c>
      <c r="AS2808" s="242" t="str">
        <f>VLOOKUP(Table8[[#This Row],[Country Code]],Table29[],4,FALSE)</f>
        <v>Latin America and the Caribbean</v>
      </c>
      <c r="AT2808" s="242" t="str">
        <f>VLOOKUP(Table8[[#This Row],[Country Code]],Table29[],5,FALSE)</f>
        <v>High-income</v>
      </c>
      <c r="AU2808" s="242" t="str">
        <f>VLOOKUP(Table8[[#This Row],[Country Code]],Table29[],6,FALSE)</f>
        <v>no</v>
      </c>
      <c r="AV2808" s="242" t="str">
        <f>VLOOKUP(Table8[[#This Row],[Country Code]],Table29[],7,FALSE)</f>
        <v>no</v>
      </c>
      <c r="AW2808" s="242" t="str">
        <f>VLOOKUP(Table8[[#This Row],[Country Code]],Table29[],8,FALSE)</f>
        <v>non-OECD</v>
      </c>
      <c r="AX2808" s="242" t="str">
        <f>VLOOKUP(Table8[[#This Row],[Country Code]],Table29[],9,FALSE)</f>
        <v>no</v>
      </c>
      <c r="AY2808" s="242" t="str">
        <f>VLOOKUP(Table8[[#This Row],[Country Code]],Table29[],10,FALSE)</f>
        <v>no</v>
      </c>
      <c r="AZ2808" s="242">
        <f>VLOOKUP(Table8[[#This Row],[Country Code]],Table29[],23,FALSE)</f>
        <v>41.634111747759</v>
      </c>
      <c r="BA2808" s="242">
        <f>VLOOKUP(Table8[[#This Row],[Country Code]],Table29[],24,FALSE)</f>
        <v>4.0868158944276578</v>
      </c>
      <c r="BB2808" s="320"/>
      <c r="BC2808" s="320"/>
    </row>
    <row r="2809" spans="1:55" ht="30" x14ac:dyDescent="0.25">
      <c r="A2809" s="373">
        <v>43764</v>
      </c>
      <c r="B2809" s="243" t="str">
        <f>VLOOKUP(Table8[[#This Row],[Document ID]],Table1[],2,FALSE)</f>
        <v>URY</v>
      </c>
      <c r="C2809" s="243" t="str">
        <f>VLOOKUP(Table8[[#This Row],[Document ID]],Table1[],3,FALSE)</f>
        <v>Uruguay</v>
      </c>
      <c r="D2809" s="243" t="str">
        <f>VLOOKUP(Table8[[#This Row],[Document ID]],Table1[],5,FALSE)</f>
        <v>NDC</v>
      </c>
      <c r="E2809" s="233" t="str">
        <f>VLOOKUP(Table8[[#This Row],[Document ID]],Table1[],7,FALSE)</f>
        <v>Third NDC</v>
      </c>
      <c r="F2809" s="233" t="str">
        <f>VLOOKUP(Table8[[#This Row],[Document ID]],Table1[],8,FALSE)</f>
        <v>NDC 3.0</v>
      </c>
      <c r="G2809" s="233" t="str">
        <f>VLOOKUP(Table8[[#This Row],[Document ID]],Table1[],10,FALSE)</f>
        <v>Active</v>
      </c>
      <c r="H2809" s="43" t="s">
        <v>2329</v>
      </c>
      <c r="I2809" s="43" t="s">
        <v>2330</v>
      </c>
      <c r="J2809" s="43" t="s">
        <v>2391</v>
      </c>
      <c r="K2809" s="44" t="s">
        <v>4882</v>
      </c>
      <c r="L2809" s="44" t="s">
        <v>2333</v>
      </c>
      <c r="M2809" s="43">
        <v>48</v>
      </c>
      <c r="N2809" s="113" t="s">
        <v>1113</v>
      </c>
      <c r="O2809" s="113"/>
      <c r="P2809" s="113"/>
      <c r="Q2809" s="113"/>
      <c r="R2809" s="113"/>
      <c r="S2809" s="113"/>
      <c r="T2809" s="113"/>
      <c r="U2809" s="113"/>
      <c r="V2809" s="113"/>
      <c r="W2809" s="113"/>
      <c r="X2809" s="113"/>
      <c r="Y2809" s="113"/>
      <c r="Z2809" s="113"/>
      <c r="AA2809" s="113"/>
      <c r="AB2809" s="113"/>
      <c r="AC2809" s="113"/>
      <c r="AD2809" s="113"/>
      <c r="AE2809" s="113"/>
      <c r="AF2809" s="113"/>
      <c r="AG2809" s="113"/>
      <c r="AH2809" s="113"/>
      <c r="AI2809" s="113"/>
      <c r="AJ2809" s="113"/>
      <c r="AK2809" s="113" t="s">
        <v>1113</v>
      </c>
      <c r="AL2809" s="113"/>
      <c r="AM2809" s="113"/>
      <c r="AN2809" s="113"/>
      <c r="AO2809" s="43" t="s">
        <v>2334</v>
      </c>
      <c r="AP2809" s="43" t="s">
        <v>4850</v>
      </c>
      <c r="AQ2809" s="233" t="str">
        <f>VLOOKUP(Table8[[#This Row],[Instrument]],Def_Targets!$D$73:$E$159,2,FALSE)</f>
        <v>I_Hydrogen</v>
      </c>
      <c r="AR2809" s="242" t="str">
        <f>VLOOKUP(Table8[[#This Row],[Country Code]],Table29[],3,FALSE)</f>
        <v>Non-Annex I</v>
      </c>
      <c r="AS2809" s="242" t="str">
        <f>VLOOKUP(Table8[[#This Row],[Country Code]],Table29[],4,FALSE)</f>
        <v>Latin America and the Caribbean</v>
      </c>
      <c r="AT2809" s="242" t="str">
        <f>VLOOKUP(Table8[[#This Row],[Country Code]],Table29[],5,FALSE)</f>
        <v>High-income</v>
      </c>
      <c r="AU2809" s="242" t="str">
        <f>VLOOKUP(Table8[[#This Row],[Country Code]],Table29[],6,FALSE)</f>
        <v>no</v>
      </c>
      <c r="AV2809" s="242" t="str">
        <f>VLOOKUP(Table8[[#This Row],[Country Code]],Table29[],7,FALSE)</f>
        <v>no</v>
      </c>
      <c r="AW2809" s="242" t="str">
        <f>VLOOKUP(Table8[[#This Row],[Country Code]],Table29[],8,FALSE)</f>
        <v>non-OECD</v>
      </c>
      <c r="AX2809" s="242" t="str">
        <f>VLOOKUP(Table8[[#This Row],[Country Code]],Table29[],9,FALSE)</f>
        <v>no</v>
      </c>
      <c r="AY2809" s="242" t="str">
        <f>VLOOKUP(Table8[[#This Row],[Country Code]],Table29[],10,FALSE)</f>
        <v>no</v>
      </c>
      <c r="AZ2809" s="242">
        <f>VLOOKUP(Table8[[#This Row],[Country Code]],Table29[],23,FALSE)</f>
        <v>41.634111747759</v>
      </c>
      <c r="BA2809" s="242">
        <f>VLOOKUP(Table8[[#This Row],[Country Code]],Table29[],24,FALSE)</f>
        <v>4.0868158944276578</v>
      </c>
      <c r="BB2809" s="320"/>
      <c r="BC2809" s="320"/>
    </row>
    <row r="2810" spans="1:55" ht="75" x14ac:dyDescent="0.25">
      <c r="A2810" s="373">
        <v>43987</v>
      </c>
      <c r="B2810" s="243" t="str">
        <f>VLOOKUP(Table8[[#This Row],[Document ID]],Table1[],2,FALSE)</f>
        <v>CAN</v>
      </c>
      <c r="C2810" s="243" t="str">
        <f>VLOOKUP(Table8[[#This Row],[Document ID]],Table1[],3,FALSE)</f>
        <v>Canada</v>
      </c>
      <c r="D2810" s="243" t="str">
        <f>VLOOKUP(Table8[[#This Row],[Document ID]],Table1[],5,FALSE)</f>
        <v>NDC</v>
      </c>
      <c r="E2810" s="233" t="str">
        <f>VLOOKUP(Table8[[#This Row],[Document ID]],Table1[],7,FALSE)</f>
        <v>Third NDC</v>
      </c>
      <c r="F2810" s="233" t="str">
        <f>VLOOKUP(Table8[[#This Row],[Document ID]],Table1[],8,FALSE)</f>
        <v>NDC 3.0</v>
      </c>
      <c r="G2810" s="233" t="str">
        <f>VLOOKUP(Table8[[#This Row],[Document ID]],Table1[],10,FALSE)</f>
        <v>Active</v>
      </c>
      <c r="H2810" s="43" t="s">
        <v>2484</v>
      </c>
      <c r="I2810" s="43" t="s">
        <v>2488</v>
      </c>
      <c r="J2810" s="43" t="s">
        <v>2684</v>
      </c>
      <c r="K2810" s="44" t="s">
        <v>4869</v>
      </c>
      <c r="L2810" s="44" t="s">
        <v>2333</v>
      </c>
      <c r="M2810" s="43">
        <v>92</v>
      </c>
      <c r="N2810" s="113"/>
      <c r="O2810" s="113"/>
      <c r="P2810" s="113"/>
      <c r="Q2810" s="113"/>
      <c r="R2810" s="113"/>
      <c r="S2810" s="113"/>
      <c r="T2810" s="113"/>
      <c r="U2810" s="113"/>
      <c r="V2810" s="113"/>
      <c r="W2810" s="113"/>
      <c r="X2810" s="113"/>
      <c r="Y2810" s="113"/>
      <c r="Z2810" s="113"/>
      <c r="AA2810" s="113"/>
      <c r="AB2810" s="113"/>
      <c r="AC2810" s="113"/>
      <c r="AD2810" s="113"/>
      <c r="AE2810" s="113"/>
      <c r="AF2810" s="113"/>
      <c r="AG2810" s="113"/>
      <c r="AH2810" s="113"/>
      <c r="AI2810" s="113"/>
      <c r="AJ2810" s="113"/>
      <c r="AK2810" s="113" t="s">
        <v>1113</v>
      </c>
      <c r="AL2810" s="113"/>
      <c r="AM2810" s="113"/>
      <c r="AN2810" s="113"/>
      <c r="AO2810" s="43" t="s">
        <v>2334</v>
      </c>
      <c r="AP2810" s="43" t="s">
        <v>4850</v>
      </c>
      <c r="AQ2810" s="233" t="str">
        <f>VLOOKUP(Table8[[#This Row],[Instrument]],Def_Targets!$D$73:$E$159,2,FALSE)</f>
        <v>I_Jetfuel</v>
      </c>
      <c r="AR2810" s="242" t="str">
        <f>VLOOKUP(Table8[[#This Row],[Country Code]],Table29[],3,FALSE)</f>
        <v>Annex I</v>
      </c>
      <c r="AS2810" s="242" t="str">
        <f>VLOOKUP(Table8[[#This Row],[Country Code]],Table29[],4,FALSE)</f>
        <v>Northern America</v>
      </c>
      <c r="AT2810" s="242" t="str">
        <f>VLOOKUP(Table8[[#This Row],[Country Code]],Table29[],5,FALSE)</f>
        <v>High-income</v>
      </c>
      <c r="AU2810" s="242" t="str">
        <f>VLOOKUP(Table8[[#This Row],[Country Code]],Table29[],6,FALSE)</f>
        <v>G20</v>
      </c>
      <c r="AV2810" s="242" t="str">
        <f>VLOOKUP(Table8[[#This Row],[Country Code]],Table29[],7,FALSE)</f>
        <v>G7</v>
      </c>
      <c r="AW2810" s="242" t="str">
        <f>VLOOKUP(Table8[[#This Row],[Country Code]],Table29[],8,FALSE)</f>
        <v>OECD</v>
      </c>
      <c r="AX2810" s="242" t="str">
        <f>VLOOKUP(Table8[[#This Row],[Country Code]],Table29[],9,FALSE)</f>
        <v>no</v>
      </c>
      <c r="AY2810" s="242" t="str">
        <f>VLOOKUP(Table8[[#This Row],[Country Code]],Table29[],10,FALSE)</f>
        <v>no</v>
      </c>
      <c r="AZ2810" s="242">
        <f>VLOOKUP(Table8[[#This Row],[Country Code]],Table29[],23,FALSE)</f>
        <v>747.67802680902003</v>
      </c>
      <c r="BA2810" s="242">
        <f>VLOOKUP(Table8[[#This Row],[Country Code]],Table29[],24,FALSE)</f>
        <v>169.021169926607</v>
      </c>
      <c r="BB2810" s="320"/>
      <c r="BC2810" s="320"/>
    </row>
    <row r="2811" spans="1:55" ht="120" x14ac:dyDescent="0.25">
      <c r="A2811" s="373">
        <v>43949</v>
      </c>
      <c r="B2811" s="243" t="str">
        <f>VLOOKUP(Table8[[#This Row],[Document ID]],Table1[],2,FALSE)</f>
        <v>MHL</v>
      </c>
      <c r="C2811" s="243" t="str">
        <f>VLOOKUP(Table8[[#This Row],[Document ID]],Table1[],3,FALSE)</f>
        <v>Marshall Islands</v>
      </c>
      <c r="D2811" s="243" t="str">
        <f>VLOOKUP(Table8[[#This Row],[Document ID]],Table1[],5,FALSE)</f>
        <v>NDC</v>
      </c>
      <c r="E2811" s="233" t="str">
        <f>VLOOKUP(Table8[[#This Row],[Document ID]],Table1[],7,FALSE)</f>
        <v>Third NDC</v>
      </c>
      <c r="F2811" s="233" t="str">
        <f>VLOOKUP(Table8[[#This Row],[Document ID]],Table1[],8,FALSE)</f>
        <v>NDC 3.0</v>
      </c>
      <c r="G2811" s="233" t="str">
        <f>VLOOKUP(Table8[[#This Row],[Document ID]],Table1[],10,FALSE)</f>
        <v>Active</v>
      </c>
      <c r="H2811" s="43" t="s">
        <v>2484</v>
      </c>
      <c r="I2811" s="43" t="s">
        <v>2485</v>
      </c>
      <c r="J2811" s="43" t="s">
        <v>2669</v>
      </c>
      <c r="K2811" s="44" t="s">
        <v>4883</v>
      </c>
      <c r="L2811" s="44" t="s">
        <v>2333</v>
      </c>
      <c r="M2811" s="43">
        <v>6</v>
      </c>
      <c r="N2811" s="113"/>
      <c r="O2811" s="113"/>
      <c r="P2811" s="113"/>
      <c r="Q2811" s="113"/>
      <c r="R2811" s="113"/>
      <c r="S2811" s="113"/>
      <c r="T2811" s="113"/>
      <c r="U2811" s="113"/>
      <c r="V2811" s="113"/>
      <c r="W2811" s="113"/>
      <c r="X2811" s="113"/>
      <c r="Y2811" s="113"/>
      <c r="Z2811" s="113"/>
      <c r="AA2811" s="113"/>
      <c r="AB2811" s="113"/>
      <c r="AC2811" s="113"/>
      <c r="AD2811" s="113" t="s">
        <v>1113</v>
      </c>
      <c r="AE2811" s="113" t="s">
        <v>1113</v>
      </c>
      <c r="AF2811" s="113" t="s">
        <v>1113</v>
      </c>
      <c r="AG2811" s="113" t="s">
        <v>1113</v>
      </c>
      <c r="AH2811" s="113"/>
      <c r="AI2811" s="113"/>
      <c r="AJ2811" s="113"/>
      <c r="AK2811" s="113" t="s">
        <v>1113</v>
      </c>
      <c r="AL2811" s="113"/>
      <c r="AM2811" s="113"/>
      <c r="AN2811" s="113"/>
      <c r="AO2811" s="43" t="s">
        <v>2334</v>
      </c>
      <c r="AP2811" s="43" t="s">
        <v>4861</v>
      </c>
      <c r="AQ2811" s="233" t="str">
        <f>VLOOKUP(Table8[[#This Row],[Instrument]],Def_Targets!$D$73:$E$159,2,FALSE)</f>
        <v>I_Shipefficiency</v>
      </c>
      <c r="AR2811" s="242" t="str">
        <f>VLOOKUP(Table8[[#This Row],[Country Code]],Table29[],3,FALSE)</f>
        <v>Non-Annex I</v>
      </c>
      <c r="AS2811" s="242" t="str">
        <f>VLOOKUP(Table8[[#This Row],[Country Code]],Table29[],4,FALSE)</f>
        <v>Oceania</v>
      </c>
      <c r="AT2811" s="242" t="str">
        <f>VLOOKUP(Table8[[#This Row],[Country Code]],Table29[],5,FALSE)</f>
        <v>Middle-income</v>
      </c>
      <c r="AU2811" s="242" t="str">
        <f>VLOOKUP(Table8[[#This Row],[Country Code]],Table29[],6,FALSE)</f>
        <v>no</v>
      </c>
      <c r="AV2811" s="242" t="str">
        <f>VLOOKUP(Table8[[#This Row],[Country Code]],Table29[],7,FALSE)</f>
        <v>no</v>
      </c>
      <c r="AW2811" s="242" t="str">
        <f>VLOOKUP(Table8[[#This Row],[Country Code]],Table29[],8,FALSE)</f>
        <v>non-OECD</v>
      </c>
      <c r="AX2811" s="242" t="str">
        <f>VLOOKUP(Table8[[#This Row],[Country Code]],Table29[],9,FALSE)</f>
        <v>no</v>
      </c>
      <c r="AY2811" s="242" t="str">
        <f>VLOOKUP(Table8[[#This Row],[Country Code]],Table29[],10,FALSE)</f>
        <v>no</v>
      </c>
      <c r="AZ2811" s="242">
        <f>VLOOKUP(Table8[[#This Row],[Country Code]],Table29[],23,FALSE)</f>
        <v>0</v>
      </c>
      <c r="BA2811" s="242">
        <f>VLOOKUP(Table8[[#This Row],[Country Code]],Table29[],24,FALSE)</f>
        <v>0</v>
      </c>
      <c r="BB2811" s="320"/>
      <c r="BC2811" s="320"/>
    </row>
    <row r="2812" spans="1:55" ht="90" x14ac:dyDescent="0.25">
      <c r="A2812" s="373">
        <v>43949</v>
      </c>
      <c r="B2812" s="243" t="str">
        <f>VLOOKUP(Table8[[#This Row],[Document ID]],Table1[],2,FALSE)</f>
        <v>MHL</v>
      </c>
      <c r="C2812" s="243" t="str">
        <f>VLOOKUP(Table8[[#This Row],[Document ID]],Table1[],3,FALSE)</f>
        <v>Marshall Islands</v>
      </c>
      <c r="D2812" s="243" t="str">
        <f>VLOOKUP(Table8[[#This Row],[Document ID]],Table1[],5,FALSE)</f>
        <v>NDC</v>
      </c>
      <c r="E2812" s="233" t="str">
        <f>VLOOKUP(Table8[[#This Row],[Document ID]],Table1[],7,FALSE)</f>
        <v>Third NDC</v>
      </c>
      <c r="F2812" s="233" t="str">
        <f>VLOOKUP(Table8[[#This Row],[Document ID]],Table1[],8,FALSE)</f>
        <v>NDC 3.0</v>
      </c>
      <c r="G2812" s="233" t="str">
        <f>VLOOKUP(Table8[[#This Row],[Document ID]],Table1[],10,FALSE)</f>
        <v>Active</v>
      </c>
      <c r="H2812" s="43" t="s">
        <v>2484</v>
      </c>
      <c r="I2812" s="43" t="s">
        <v>2485</v>
      </c>
      <c r="J2812" s="43" t="s">
        <v>2669</v>
      </c>
      <c r="K2812" s="44" t="s">
        <v>4884</v>
      </c>
      <c r="L2812" s="44" t="s">
        <v>2333</v>
      </c>
      <c r="M2812" s="43">
        <v>6</v>
      </c>
      <c r="N2812" s="113"/>
      <c r="O2812" s="113"/>
      <c r="P2812" s="113"/>
      <c r="Q2812" s="113"/>
      <c r="R2812" s="113"/>
      <c r="S2812" s="113"/>
      <c r="T2812" s="113"/>
      <c r="U2812" s="113"/>
      <c r="V2812" s="113"/>
      <c r="W2812" s="113"/>
      <c r="X2812" s="113"/>
      <c r="Y2812" s="113"/>
      <c r="Z2812" s="113"/>
      <c r="AA2812" s="113"/>
      <c r="AB2812" s="113"/>
      <c r="AC2812" s="113"/>
      <c r="AD2812" s="113" t="s">
        <v>1113</v>
      </c>
      <c r="AE2812" s="113"/>
      <c r="AF2812" s="113" t="s">
        <v>1113</v>
      </c>
      <c r="AG2812" s="113"/>
      <c r="AH2812" s="113"/>
      <c r="AI2812" s="113"/>
      <c r="AJ2812" s="113"/>
      <c r="AK2812" s="113" t="s">
        <v>1113</v>
      </c>
      <c r="AL2812" s="113"/>
      <c r="AM2812" s="113"/>
      <c r="AN2812" s="113"/>
      <c r="AO2812" s="43" t="s">
        <v>2334</v>
      </c>
      <c r="AP2812" s="43" t="s">
        <v>4861</v>
      </c>
      <c r="AQ2812" s="233" t="str">
        <f>VLOOKUP(Table8[[#This Row],[Instrument]],Def_Targets!$D$73:$E$159,2,FALSE)</f>
        <v>I_Shipefficiency</v>
      </c>
      <c r="AR2812" s="242" t="str">
        <f>VLOOKUP(Table8[[#This Row],[Country Code]],Table29[],3,FALSE)</f>
        <v>Non-Annex I</v>
      </c>
      <c r="AS2812" s="242" t="str">
        <f>VLOOKUP(Table8[[#This Row],[Country Code]],Table29[],4,FALSE)</f>
        <v>Oceania</v>
      </c>
      <c r="AT2812" s="242" t="str">
        <f>VLOOKUP(Table8[[#This Row],[Country Code]],Table29[],5,FALSE)</f>
        <v>Middle-income</v>
      </c>
      <c r="AU2812" s="242" t="str">
        <f>VLOOKUP(Table8[[#This Row],[Country Code]],Table29[],6,FALSE)</f>
        <v>no</v>
      </c>
      <c r="AV2812" s="242" t="str">
        <f>VLOOKUP(Table8[[#This Row],[Country Code]],Table29[],7,FALSE)</f>
        <v>no</v>
      </c>
      <c r="AW2812" s="242" t="str">
        <f>VLOOKUP(Table8[[#This Row],[Country Code]],Table29[],8,FALSE)</f>
        <v>non-OECD</v>
      </c>
      <c r="AX2812" s="242" t="str">
        <f>VLOOKUP(Table8[[#This Row],[Country Code]],Table29[],9,FALSE)</f>
        <v>no</v>
      </c>
      <c r="AY2812" s="242" t="str">
        <f>VLOOKUP(Table8[[#This Row],[Country Code]],Table29[],10,FALSE)</f>
        <v>no</v>
      </c>
      <c r="AZ2812" s="242">
        <f>VLOOKUP(Table8[[#This Row],[Country Code]],Table29[],23,FALSE)</f>
        <v>0</v>
      </c>
      <c r="BA2812" s="242">
        <f>VLOOKUP(Table8[[#This Row],[Country Code]],Table29[],24,FALSE)</f>
        <v>0</v>
      </c>
      <c r="BB2812" s="320"/>
      <c r="BC2812" s="320"/>
    </row>
    <row r="2813" spans="1:55" ht="195" x14ac:dyDescent="0.25">
      <c r="A2813" s="373">
        <v>43857</v>
      </c>
      <c r="B2813" s="243" t="str">
        <f>VLOOKUP(Table8[[#This Row],[Document ID]],Table1[],2,FALSE)</f>
        <v>GBR</v>
      </c>
      <c r="C2813" s="243" t="str">
        <f>VLOOKUP(Table8[[#This Row],[Document ID]],Table1[],3,FALSE)</f>
        <v>United Kingdom</v>
      </c>
      <c r="D2813" s="243" t="str">
        <f>VLOOKUP(Table8[[#This Row],[Document ID]],Table1[],5,FALSE)</f>
        <v>NDC</v>
      </c>
      <c r="E2813" s="233" t="str">
        <f>VLOOKUP(Table8[[#This Row],[Document ID]],Table1[],7,FALSE)</f>
        <v>Third NDC</v>
      </c>
      <c r="F2813" s="233" t="str">
        <f>VLOOKUP(Table8[[#This Row],[Document ID]],Table1[],8,FALSE)</f>
        <v>NDC 3.0</v>
      </c>
      <c r="G2813" s="233" t="str">
        <f>VLOOKUP(Table8[[#This Row],[Document ID]],Table1[],10,FALSE)</f>
        <v>Active</v>
      </c>
      <c r="H2813" s="43" t="s">
        <v>2484</v>
      </c>
      <c r="I2813" s="43" t="s">
        <v>2488</v>
      </c>
      <c r="J2813" s="43" t="s">
        <v>2489</v>
      </c>
      <c r="K2813" s="44" t="s">
        <v>4885</v>
      </c>
      <c r="L2813" s="44" t="s">
        <v>2333</v>
      </c>
      <c r="M2813" s="43">
        <v>6</v>
      </c>
      <c r="N2813" s="113"/>
      <c r="O2813" s="113"/>
      <c r="P2813" s="113"/>
      <c r="Q2813" s="113"/>
      <c r="R2813" s="113"/>
      <c r="S2813" s="113"/>
      <c r="T2813" s="113"/>
      <c r="U2813" s="113"/>
      <c r="V2813" s="113"/>
      <c r="W2813" s="113"/>
      <c r="X2813" s="113"/>
      <c r="Y2813" s="113"/>
      <c r="Z2813" s="113"/>
      <c r="AA2813" s="113"/>
      <c r="AB2813" s="113"/>
      <c r="AC2813" s="113"/>
      <c r="AD2813" s="113"/>
      <c r="AE2813" s="113"/>
      <c r="AF2813" s="113"/>
      <c r="AG2813" s="113"/>
      <c r="AH2813" s="113" t="s">
        <v>1113</v>
      </c>
      <c r="AI2813" s="113"/>
      <c r="AJ2813" s="113"/>
      <c r="AK2813" s="113" t="s">
        <v>1113</v>
      </c>
      <c r="AL2813" s="113"/>
      <c r="AM2813" s="113"/>
      <c r="AN2813" s="113"/>
      <c r="AO2813" s="43" t="s">
        <v>2334</v>
      </c>
      <c r="AP2813" s="43" t="s">
        <v>4873</v>
      </c>
      <c r="AQ2813" s="233" t="str">
        <f>VLOOKUP(Table8[[#This Row],[Instrument]],Def_Targets!$D$73:$E$159,2,FALSE)</f>
        <v>I_Aviation</v>
      </c>
      <c r="AR2813" s="242" t="str">
        <f>VLOOKUP(Table8[[#This Row],[Country Code]],Table29[],3,FALSE)</f>
        <v>Annex I</v>
      </c>
      <c r="AS2813" s="242" t="str">
        <f>VLOOKUP(Table8[[#This Row],[Country Code]],Table29[],4,FALSE)</f>
        <v>Europe</v>
      </c>
      <c r="AT2813" s="242" t="str">
        <f>VLOOKUP(Table8[[#This Row],[Country Code]],Table29[],5,FALSE)</f>
        <v>High-income</v>
      </c>
      <c r="AU2813" s="242" t="str">
        <f>VLOOKUP(Table8[[#This Row],[Country Code]],Table29[],6,FALSE)</f>
        <v>G20</v>
      </c>
      <c r="AV2813" s="242" t="str">
        <f>VLOOKUP(Table8[[#This Row],[Country Code]],Table29[],7,FALSE)</f>
        <v>G7</v>
      </c>
      <c r="AW2813" s="242" t="str">
        <f>VLOOKUP(Table8[[#This Row],[Country Code]],Table29[],8,FALSE)</f>
        <v>OECD</v>
      </c>
      <c r="AX2813" s="242" t="str">
        <f>VLOOKUP(Table8[[#This Row],[Country Code]],Table29[],9,FALSE)</f>
        <v>no</v>
      </c>
      <c r="AY2813" s="242" t="str">
        <f>VLOOKUP(Table8[[#This Row],[Country Code]],Table29[],10,FALSE)</f>
        <v>no</v>
      </c>
      <c r="AZ2813" s="242">
        <f>VLOOKUP(Table8[[#This Row],[Country Code]],Table29[],23,FALSE)</f>
        <v>379.31858785213001</v>
      </c>
      <c r="BA2813" s="242">
        <f>VLOOKUP(Table8[[#This Row],[Country Code]],Table29[],24,FALSE)</f>
        <v>109.75048777474809</v>
      </c>
      <c r="BB2813" s="320"/>
      <c r="BC2813" s="320"/>
    </row>
    <row r="2814" spans="1:55" ht="195" x14ac:dyDescent="0.25">
      <c r="A2814" s="373">
        <v>43857</v>
      </c>
      <c r="B2814" s="243" t="str">
        <f>VLOOKUP(Table8[[#This Row],[Document ID]],Table1[],2,FALSE)</f>
        <v>GBR</v>
      </c>
      <c r="C2814" s="243" t="str">
        <f>VLOOKUP(Table8[[#This Row],[Document ID]],Table1[],3,FALSE)</f>
        <v>United Kingdom</v>
      </c>
      <c r="D2814" s="243" t="str">
        <f>VLOOKUP(Table8[[#This Row],[Document ID]],Table1[],5,FALSE)</f>
        <v>NDC</v>
      </c>
      <c r="E2814" s="233" t="str">
        <f>VLOOKUP(Table8[[#This Row],[Document ID]],Table1[],7,FALSE)</f>
        <v>Third NDC</v>
      </c>
      <c r="F2814" s="233" t="str">
        <f>VLOOKUP(Table8[[#This Row],[Document ID]],Table1[],8,FALSE)</f>
        <v>NDC 3.0</v>
      </c>
      <c r="G2814" s="233" t="str">
        <f>VLOOKUP(Table8[[#This Row],[Document ID]],Table1[],10,FALSE)</f>
        <v>Active</v>
      </c>
      <c r="H2814" s="43" t="s">
        <v>2484</v>
      </c>
      <c r="I2814" s="43" t="s">
        <v>2485</v>
      </c>
      <c r="J2814" s="43" t="s">
        <v>2486</v>
      </c>
      <c r="K2814" s="44" t="s">
        <v>4885</v>
      </c>
      <c r="L2814" s="44" t="s">
        <v>2333</v>
      </c>
      <c r="M2814" s="43">
        <v>6</v>
      </c>
      <c r="N2814" s="113"/>
      <c r="O2814" s="113"/>
      <c r="P2814" s="113"/>
      <c r="Q2814" s="113"/>
      <c r="R2814" s="113"/>
      <c r="S2814" s="113"/>
      <c r="T2814" s="113"/>
      <c r="U2814" s="113"/>
      <c r="V2814" s="113"/>
      <c r="W2814" s="113"/>
      <c r="X2814" s="113"/>
      <c r="Y2814" s="113"/>
      <c r="Z2814" s="113"/>
      <c r="AA2814" s="113"/>
      <c r="AB2814" s="113"/>
      <c r="AC2814" s="113"/>
      <c r="AD2814" s="113" t="s">
        <v>1113</v>
      </c>
      <c r="AE2814" s="113"/>
      <c r="AF2814" s="113"/>
      <c r="AG2814" s="113"/>
      <c r="AH2814" s="113"/>
      <c r="AI2814" s="113"/>
      <c r="AJ2814" s="113"/>
      <c r="AK2814" s="113" t="s">
        <v>1113</v>
      </c>
      <c r="AL2814" s="113"/>
      <c r="AM2814" s="113"/>
      <c r="AN2814" s="113"/>
      <c r="AO2814" s="43" t="s">
        <v>2334</v>
      </c>
      <c r="AP2814" s="43" t="s">
        <v>4873</v>
      </c>
      <c r="AQ2814" s="233" t="str">
        <f>VLOOKUP(Table8[[#This Row],[Instrument]],Def_Targets!$D$73:$E$159,2,FALSE)</f>
        <v>I_Shipping</v>
      </c>
      <c r="AR2814" s="242" t="str">
        <f>VLOOKUP(Table8[[#This Row],[Country Code]],Table29[],3,FALSE)</f>
        <v>Annex I</v>
      </c>
      <c r="AS2814" s="242" t="str">
        <f>VLOOKUP(Table8[[#This Row],[Country Code]],Table29[],4,FALSE)</f>
        <v>Europe</v>
      </c>
      <c r="AT2814" s="242" t="str">
        <f>VLOOKUP(Table8[[#This Row],[Country Code]],Table29[],5,FALSE)</f>
        <v>High-income</v>
      </c>
      <c r="AU2814" s="242" t="str">
        <f>VLOOKUP(Table8[[#This Row],[Country Code]],Table29[],6,FALSE)</f>
        <v>G20</v>
      </c>
      <c r="AV2814" s="242" t="str">
        <f>VLOOKUP(Table8[[#This Row],[Country Code]],Table29[],7,FALSE)</f>
        <v>G7</v>
      </c>
      <c r="AW2814" s="242" t="str">
        <f>VLOOKUP(Table8[[#This Row],[Country Code]],Table29[],8,FALSE)</f>
        <v>OECD</v>
      </c>
      <c r="AX2814" s="242" t="str">
        <f>VLOOKUP(Table8[[#This Row],[Country Code]],Table29[],9,FALSE)</f>
        <v>no</v>
      </c>
      <c r="AY2814" s="242" t="str">
        <f>VLOOKUP(Table8[[#This Row],[Country Code]],Table29[],10,FALSE)</f>
        <v>no</v>
      </c>
      <c r="AZ2814" s="242">
        <f>VLOOKUP(Table8[[#This Row],[Country Code]],Table29[],23,FALSE)</f>
        <v>379.31858785213001</v>
      </c>
      <c r="BA2814" s="242">
        <f>VLOOKUP(Table8[[#This Row],[Country Code]],Table29[],24,FALSE)</f>
        <v>109.75048777474809</v>
      </c>
      <c r="BB2814" s="320"/>
      <c r="BC2814" s="320"/>
    </row>
    <row r="2815" spans="1:55" ht="30" x14ac:dyDescent="0.25">
      <c r="A2815" s="373">
        <v>43701</v>
      </c>
      <c r="B2815" s="243" t="str">
        <f>VLOOKUP(Table8[[#This Row],[Document ID]],Table1[],2,FALSE)</f>
        <v>USA</v>
      </c>
      <c r="C2815" s="243" t="str">
        <f>VLOOKUP(Table8[[#This Row],[Document ID]],Table1[],3,FALSE)</f>
        <v>United States of America</v>
      </c>
      <c r="D2815" s="243" t="str">
        <f>VLOOKUP(Table8[[#This Row],[Document ID]],Table1[],5,FALSE)</f>
        <v>NDC</v>
      </c>
      <c r="E2815" s="233" t="str">
        <f>VLOOKUP(Table8[[#This Row],[Document ID]],Table1[],7,FALSE)</f>
        <v>Third NDC</v>
      </c>
      <c r="F2815" s="233" t="str">
        <f>VLOOKUP(Table8[[#This Row],[Document ID]],Table1[],8,FALSE)</f>
        <v>NDC 3.0</v>
      </c>
      <c r="G2815" s="233" t="str">
        <f>VLOOKUP(Table8[[#This Row],[Document ID]],Table1[],10,FALSE)</f>
        <v>Active</v>
      </c>
      <c r="H2815" s="43" t="s">
        <v>2484</v>
      </c>
      <c r="I2815" s="43" t="s">
        <v>2488</v>
      </c>
      <c r="J2815" s="43" t="s">
        <v>2684</v>
      </c>
      <c r="K2815" s="44" t="s">
        <v>4886</v>
      </c>
      <c r="L2815" s="44" t="s">
        <v>2333</v>
      </c>
      <c r="M2815" s="43">
        <v>8</v>
      </c>
      <c r="N2815" s="113"/>
      <c r="O2815" s="113"/>
      <c r="P2815" s="113"/>
      <c r="Q2815" s="113"/>
      <c r="R2815" s="113"/>
      <c r="S2815" s="113"/>
      <c r="T2815" s="113"/>
      <c r="U2815" s="113"/>
      <c r="V2815" s="113"/>
      <c r="W2815" s="113"/>
      <c r="X2815" s="113"/>
      <c r="Y2815" s="113"/>
      <c r="Z2815" s="113"/>
      <c r="AA2815" s="113"/>
      <c r="AB2815" s="113"/>
      <c r="AC2815" s="113"/>
      <c r="AD2815" s="113"/>
      <c r="AE2815" s="113"/>
      <c r="AF2815" s="113"/>
      <c r="AG2815" s="113"/>
      <c r="AH2815" s="113" t="s">
        <v>1113</v>
      </c>
      <c r="AI2815" s="113"/>
      <c r="AJ2815" s="113"/>
      <c r="AK2815" s="113" t="s">
        <v>1113</v>
      </c>
      <c r="AL2815" s="113"/>
      <c r="AM2815" s="113"/>
      <c r="AN2815" s="113"/>
      <c r="AO2815" s="43" t="s">
        <v>2334</v>
      </c>
      <c r="AP2815" s="43" t="s">
        <v>4850</v>
      </c>
      <c r="AQ2815" s="233" t="str">
        <f>VLOOKUP(Table8[[#This Row],[Instrument]],Def_Targets!$D$73:$E$159,2,FALSE)</f>
        <v>I_Jetfuel</v>
      </c>
      <c r="AR2815" s="242" t="str">
        <f>VLOOKUP(Table8[[#This Row],[Country Code]],Table29[],3,FALSE)</f>
        <v>Annex I</v>
      </c>
      <c r="AS2815" s="242" t="str">
        <f>VLOOKUP(Table8[[#This Row],[Country Code]],Table29[],4,FALSE)</f>
        <v>Northern America</v>
      </c>
      <c r="AT2815" s="242" t="str">
        <f>VLOOKUP(Table8[[#This Row],[Country Code]],Table29[],5,FALSE)</f>
        <v>High-income</v>
      </c>
      <c r="AU2815" s="242" t="str">
        <f>VLOOKUP(Table8[[#This Row],[Country Code]],Table29[],6,FALSE)</f>
        <v>G20</v>
      </c>
      <c r="AV2815" s="242" t="str">
        <f>VLOOKUP(Table8[[#This Row],[Country Code]],Table29[],7,FALSE)</f>
        <v>G7</v>
      </c>
      <c r="AW2815" s="242" t="str">
        <f>VLOOKUP(Table8[[#This Row],[Country Code]],Table29[],8,FALSE)</f>
        <v>OECD</v>
      </c>
      <c r="AX2815" s="242" t="str">
        <f>VLOOKUP(Table8[[#This Row],[Country Code]],Table29[],9,FALSE)</f>
        <v>no</v>
      </c>
      <c r="AY2815" s="242" t="str">
        <f>VLOOKUP(Table8[[#This Row],[Country Code]],Table29[],10,FALSE)</f>
        <v>no</v>
      </c>
      <c r="AZ2815" s="242">
        <f>VLOOKUP(Table8[[#This Row],[Country Code]],Table29[],23,FALSE)</f>
        <v>5960.8043799938996</v>
      </c>
      <c r="BA2815" s="242">
        <f>VLOOKUP(Table8[[#This Row],[Country Code]],Table29[],24,FALSE)</f>
        <v>1735.9036371632039</v>
      </c>
      <c r="BB2815" s="320"/>
      <c r="BC2815" s="320"/>
    </row>
    <row r="2816" spans="1:55" ht="30" x14ac:dyDescent="0.25">
      <c r="A2816" s="373">
        <v>43701</v>
      </c>
      <c r="B2816" s="243" t="str">
        <f>VLOOKUP(Table8[[#This Row],[Document ID]],Table1[],2,FALSE)</f>
        <v>USA</v>
      </c>
      <c r="C2816" s="243" t="str">
        <f>VLOOKUP(Table8[[#This Row],[Document ID]],Table1[],3,FALSE)</f>
        <v>United States of America</v>
      </c>
      <c r="D2816" s="243" t="str">
        <f>VLOOKUP(Table8[[#This Row],[Document ID]],Table1[],5,FALSE)</f>
        <v>NDC</v>
      </c>
      <c r="E2816" s="233" t="str">
        <f>VLOOKUP(Table8[[#This Row],[Document ID]],Table1[],7,FALSE)</f>
        <v>Third NDC</v>
      </c>
      <c r="F2816" s="233" t="str">
        <f>VLOOKUP(Table8[[#This Row],[Document ID]],Table1[],8,FALSE)</f>
        <v>NDC 3.0</v>
      </c>
      <c r="G2816" s="233" t="str">
        <f>VLOOKUP(Table8[[#This Row],[Document ID]],Table1[],10,FALSE)</f>
        <v>Active</v>
      </c>
      <c r="H2816" s="43" t="s">
        <v>2484</v>
      </c>
      <c r="I2816" s="43" t="s">
        <v>2485</v>
      </c>
      <c r="J2816" s="43" t="s">
        <v>2486</v>
      </c>
      <c r="K2816" s="44" t="s">
        <v>4886</v>
      </c>
      <c r="L2816" s="44" t="s">
        <v>2333</v>
      </c>
      <c r="M2816" s="43">
        <v>8</v>
      </c>
      <c r="N2816" s="113"/>
      <c r="O2816" s="113"/>
      <c r="P2816" s="113"/>
      <c r="Q2816" s="113"/>
      <c r="R2816" s="113"/>
      <c r="S2816" s="113"/>
      <c r="T2816" s="113"/>
      <c r="U2816" s="113"/>
      <c r="V2816" s="113"/>
      <c r="W2816" s="113"/>
      <c r="X2816" s="113"/>
      <c r="Y2816" s="113"/>
      <c r="Z2816" s="113"/>
      <c r="AA2816" s="113"/>
      <c r="AB2816" s="113"/>
      <c r="AC2816" s="113"/>
      <c r="AD2816" s="113" t="s">
        <v>1113</v>
      </c>
      <c r="AE2816" s="113"/>
      <c r="AF2816" s="113"/>
      <c r="AG2816" s="113"/>
      <c r="AH2816" s="113"/>
      <c r="AI2816" s="113"/>
      <c r="AJ2816" s="113"/>
      <c r="AK2816" s="113" t="s">
        <v>1113</v>
      </c>
      <c r="AL2816" s="113"/>
      <c r="AM2816" s="113"/>
      <c r="AN2816" s="113"/>
      <c r="AO2816" s="43" t="s">
        <v>2334</v>
      </c>
      <c r="AP2816" s="43" t="s">
        <v>4850</v>
      </c>
      <c r="AQ2816" s="233" t="str">
        <f>VLOOKUP(Table8[[#This Row],[Instrument]],Def_Targets!$D$73:$E$159,2,FALSE)</f>
        <v>I_Shipping</v>
      </c>
      <c r="AR2816" s="242" t="str">
        <f>VLOOKUP(Table8[[#This Row],[Country Code]],Table29[],3,FALSE)</f>
        <v>Annex I</v>
      </c>
      <c r="AS2816" s="242" t="str">
        <f>VLOOKUP(Table8[[#This Row],[Country Code]],Table29[],4,FALSE)</f>
        <v>Northern America</v>
      </c>
      <c r="AT2816" s="242" t="str">
        <f>VLOOKUP(Table8[[#This Row],[Country Code]],Table29[],5,FALSE)</f>
        <v>High-income</v>
      </c>
      <c r="AU2816" s="242" t="str">
        <f>VLOOKUP(Table8[[#This Row],[Country Code]],Table29[],6,FALSE)</f>
        <v>G20</v>
      </c>
      <c r="AV2816" s="242" t="str">
        <f>VLOOKUP(Table8[[#This Row],[Country Code]],Table29[],7,FALSE)</f>
        <v>G7</v>
      </c>
      <c r="AW2816" s="242" t="str">
        <f>VLOOKUP(Table8[[#This Row],[Country Code]],Table29[],8,FALSE)</f>
        <v>OECD</v>
      </c>
      <c r="AX2816" s="242" t="str">
        <f>VLOOKUP(Table8[[#This Row],[Country Code]],Table29[],9,FALSE)</f>
        <v>no</v>
      </c>
      <c r="AY2816" s="242" t="str">
        <f>VLOOKUP(Table8[[#This Row],[Country Code]],Table29[],10,FALSE)</f>
        <v>no</v>
      </c>
      <c r="AZ2816" s="242">
        <f>VLOOKUP(Table8[[#This Row],[Country Code]],Table29[],23,FALSE)</f>
        <v>5960.8043799938996</v>
      </c>
      <c r="BA2816" s="242">
        <f>VLOOKUP(Table8[[#This Row],[Country Code]],Table29[],24,FALSE)</f>
        <v>1735.9036371632039</v>
      </c>
      <c r="BB2816" s="320"/>
      <c r="BC2816" s="320"/>
    </row>
    <row r="2817" spans="1:55" ht="30" x14ac:dyDescent="0.25">
      <c r="A2817" s="373">
        <v>43701</v>
      </c>
      <c r="B2817" s="243" t="str">
        <f>VLOOKUP(Table8[[#This Row],[Document ID]],Table1[],2,FALSE)</f>
        <v>USA</v>
      </c>
      <c r="C2817" s="243" t="str">
        <f>VLOOKUP(Table8[[#This Row],[Document ID]],Table1[],3,FALSE)</f>
        <v>United States of America</v>
      </c>
      <c r="D2817" s="243" t="str">
        <f>VLOOKUP(Table8[[#This Row],[Document ID]],Table1[],5,FALSE)</f>
        <v>NDC</v>
      </c>
      <c r="E2817" s="233" t="str">
        <f>VLOOKUP(Table8[[#This Row],[Document ID]],Table1[],7,FALSE)</f>
        <v>Third NDC</v>
      </c>
      <c r="F2817" s="233" t="str">
        <f>VLOOKUP(Table8[[#This Row],[Document ID]],Table1[],8,FALSE)</f>
        <v>NDC 3.0</v>
      </c>
      <c r="G2817" s="233" t="str">
        <f>VLOOKUP(Table8[[#This Row],[Document ID]],Table1[],10,FALSE)</f>
        <v>Active</v>
      </c>
      <c r="H2817" s="43" t="s">
        <v>2484</v>
      </c>
      <c r="I2817" s="43" t="s">
        <v>2485</v>
      </c>
      <c r="J2817" s="43" t="s">
        <v>2978</v>
      </c>
      <c r="K2817" s="44" t="s">
        <v>4887</v>
      </c>
      <c r="L2817" s="44" t="s">
        <v>2333</v>
      </c>
      <c r="M2817" s="43">
        <v>8</v>
      </c>
      <c r="N2817" s="113"/>
      <c r="O2817" s="113"/>
      <c r="P2817" s="113"/>
      <c r="Q2817" s="113"/>
      <c r="R2817" s="113"/>
      <c r="S2817" s="113"/>
      <c r="T2817" s="113"/>
      <c r="U2817" s="113"/>
      <c r="V2817" s="113"/>
      <c r="W2817" s="113"/>
      <c r="X2817" s="113"/>
      <c r="Y2817" s="113"/>
      <c r="Z2817" s="113"/>
      <c r="AA2817" s="113"/>
      <c r="AB2817" s="113"/>
      <c r="AC2817" s="113"/>
      <c r="AD2817" s="113" t="s">
        <v>1113</v>
      </c>
      <c r="AE2817" s="113"/>
      <c r="AF2817" s="113"/>
      <c r="AG2817" s="113"/>
      <c r="AH2817" s="113"/>
      <c r="AI2817" s="113"/>
      <c r="AJ2817" s="113"/>
      <c r="AK2817" s="113" t="s">
        <v>1113</v>
      </c>
      <c r="AL2817" s="113"/>
      <c r="AM2817" s="113"/>
      <c r="AN2817" s="113"/>
      <c r="AO2817" s="43" t="s">
        <v>2334</v>
      </c>
      <c r="AP2817" s="43" t="s">
        <v>4850</v>
      </c>
      <c r="AQ2817" s="233" t="str">
        <f>VLOOKUP(Table8[[#This Row],[Instrument]],Def_Targets!$D$73:$E$159,2,FALSE)</f>
        <v>I_PortInfra</v>
      </c>
      <c r="AR2817" s="242" t="str">
        <f>VLOOKUP(Table8[[#This Row],[Country Code]],Table29[],3,FALSE)</f>
        <v>Annex I</v>
      </c>
      <c r="AS2817" s="242" t="str">
        <f>VLOOKUP(Table8[[#This Row],[Country Code]],Table29[],4,FALSE)</f>
        <v>Northern America</v>
      </c>
      <c r="AT2817" s="242" t="str">
        <f>VLOOKUP(Table8[[#This Row],[Country Code]],Table29[],5,FALSE)</f>
        <v>High-income</v>
      </c>
      <c r="AU2817" s="242" t="str">
        <f>VLOOKUP(Table8[[#This Row],[Country Code]],Table29[],6,FALSE)</f>
        <v>G20</v>
      </c>
      <c r="AV2817" s="242" t="str">
        <f>VLOOKUP(Table8[[#This Row],[Country Code]],Table29[],7,FALSE)</f>
        <v>G7</v>
      </c>
      <c r="AW2817" s="242" t="str">
        <f>VLOOKUP(Table8[[#This Row],[Country Code]],Table29[],8,FALSE)</f>
        <v>OECD</v>
      </c>
      <c r="AX2817" s="242" t="str">
        <f>VLOOKUP(Table8[[#This Row],[Country Code]],Table29[],9,FALSE)</f>
        <v>no</v>
      </c>
      <c r="AY2817" s="242" t="str">
        <f>VLOOKUP(Table8[[#This Row],[Country Code]],Table29[],10,FALSE)</f>
        <v>no</v>
      </c>
      <c r="AZ2817" s="242">
        <f>VLOOKUP(Table8[[#This Row],[Country Code]],Table29[],23,FALSE)</f>
        <v>5960.8043799938996</v>
      </c>
      <c r="BA2817" s="242">
        <f>VLOOKUP(Table8[[#This Row],[Country Code]],Table29[],24,FALSE)</f>
        <v>1735.9036371632039</v>
      </c>
      <c r="BB2817" s="320"/>
      <c r="BC2817" s="320"/>
    </row>
    <row r="2818" spans="1:55" ht="45" x14ac:dyDescent="0.25">
      <c r="A2818" s="373">
        <v>43947</v>
      </c>
      <c r="B2818" s="243" t="str">
        <f>VLOOKUP(Table8[[#This Row],[Document ID]],Table1[],2,FALSE)</f>
        <v>AND</v>
      </c>
      <c r="C2818" s="243" t="str">
        <f>VLOOKUP(Table8[[#This Row],[Document ID]],Table1[],3,FALSE)</f>
        <v>Andorra</v>
      </c>
      <c r="D2818" s="243" t="str">
        <f>VLOOKUP(Table8[[#This Row],[Document ID]],Table1[],5,FALSE)</f>
        <v>NDC</v>
      </c>
      <c r="E2818" s="233" t="str">
        <f>VLOOKUP(Table8[[#This Row],[Document ID]],Table1[],7,FALSE)</f>
        <v>Third NDC</v>
      </c>
      <c r="F2818" s="233" t="str">
        <f>VLOOKUP(Table8[[#This Row],[Document ID]],Table1[],8,FALSE)</f>
        <v>NDC 3.0</v>
      </c>
      <c r="G2818" s="233" t="str">
        <f>VLOOKUP(Table8[[#This Row],[Document ID]],Table1[],10,FALSE)</f>
        <v>Active</v>
      </c>
      <c r="H2818" s="43" t="s">
        <v>2358</v>
      </c>
      <c r="I2818" s="43" t="s">
        <v>2359</v>
      </c>
      <c r="J2818" s="43" t="s">
        <v>2389</v>
      </c>
      <c r="K2818" s="44" t="s">
        <v>4888</v>
      </c>
      <c r="L2818" s="44" t="s">
        <v>2333</v>
      </c>
      <c r="M2818" s="43">
        <v>19</v>
      </c>
      <c r="N2818" s="113"/>
      <c r="O2818" s="113"/>
      <c r="P2818" s="113"/>
      <c r="Q2818" s="113"/>
      <c r="R2818" s="113"/>
      <c r="S2818" s="113"/>
      <c r="T2818" s="113"/>
      <c r="U2818" s="113" t="s">
        <v>1113</v>
      </c>
      <c r="V2818" s="113"/>
      <c r="W2818" s="113"/>
      <c r="X2818" s="113"/>
      <c r="Y2818" s="113"/>
      <c r="Z2818" s="113"/>
      <c r="AA2818" s="113"/>
      <c r="AB2818" s="113"/>
      <c r="AC2818" s="113"/>
      <c r="AD2818" s="113"/>
      <c r="AE2818" s="113"/>
      <c r="AF2818" s="113"/>
      <c r="AG2818" s="113"/>
      <c r="AH2818" s="113"/>
      <c r="AI2818" s="113"/>
      <c r="AJ2818" s="113"/>
      <c r="AK2818" s="113" t="s">
        <v>1113</v>
      </c>
      <c r="AL2818" s="113"/>
      <c r="AM2818" s="113"/>
      <c r="AN2818" s="113"/>
      <c r="AO2818" s="43" t="s">
        <v>2348</v>
      </c>
      <c r="AP2818" s="43" t="s">
        <v>4861</v>
      </c>
      <c r="AQ2818" s="233" t="str">
        <f>VLOOKUP(Table8[[#This Row],[Instrument]],Def_Targets!$D$73:$E$159,2,FALSE)</f>
        <v>I_Emobilitypurchase</v>
      </c>
      <c r="AR2818" s="242" t="str">
        <f>VLOOKUP(Table8[[#This Row],[Country Code]],Table29[],3,FALSE)</f>
        <v>Non-Annex I</v>
      </c>
      <c r="AS2818" s="242" t="str">
        <f>VLOOKUP(Table8[[#This Row],[Country Code]],Table29[],4,FALSE)</f>
        <v>Europe</v>
      </c>
      <c r="AT2818" s="242" t="str">
        <f>VLOOKUP(Table8[[#This Row],[Country Code]],Table29[],5,FALSE)</f>
        <v>High-income</v>
      </c>
      <c r="AU2818" s="242" t="str">
        <f>VLOOKUP(Table8[[#This Row],[Country Code]],Table29[],6,FALSE)</f>
        <v>no</v>
      </c>
      <c r="AV2818" s="242" t="str">
        <f>VLOOKUP(Table8[[#This Row],[Country Code]],Table29[],7,FALSE)</f>
        <v>no</v>
      </c>
      <c r="AW2818" s="242" t="str">
        <f>VLOOKUP(Table8[[#This Row],[Country Code]],Table29[],8,FALSE)</f>
        <v>non-OECD</v>
      </c>
      <c r="AX2818" s="242" t="str">
        <f>VLOOKUP(Table8[[#This Row],[Country Code]],Table29[],9,FALSE)</f>
        <v>no</v>
      </c>
      <c r="AY2818" s="242" t="str">
        <f>VLOOKUP(Table8[[#This Row],[Country Code]],Table29[],10,FALSE)</f>
        <v>no</v>
      </c>
      <c r="AZ2818" s="242">
        <f>VLOOKUP(Table8[[#This Row],[Country Code]],Table29[],23,FALSE)</f>
        <v>0</v>
      </c>
      <c r="BA2818" s="242">
        <f>VLOOKUP(Table8[[#This Row],[Country Code]],Table29[],24,FALSE)</f>
        <v>0</v>
      </c>
      <c r="BB2818" s="320"/>
      <c r="BC2818" s="320"/>
    </row>
    <row r="2819" spans="1:55" ht="15" customHeight="1" x14ac:dyDescent="0.25">
      <c r="A2819" s="373">
        <v>43716</v>
      </c>
      <c r="B2819" s="243" t="str">
        <f>VLOOKUP(Table8[[#This Row],[Document ID]],Table1[],2,FALSE)</f>
        <v>BWA</v>
      </c>
      <c r="C2819" s="243" t="str">
        <f>VLOOKUP(Table8[[#This Row],[Document ID]],Table1[],3,FALSE)</f>
        <v>Botswana</v>
      </c>
      <c r="D2819" s="243" t="str">
        <f>VLOOKUP(Table8[[#This Row],[Document ID]],Table1[],5,FALSE)</f>
        <v>NDC</v>
      </c>
      <c r="E2819" s="233" t="str">
        <f>VLOOKUP(Table8[[#This Row],[Document ID]],Table1[],7,FALSE)</f>
        <v>Third NDC</v>
      </c>
      <c r="F2819" s="233" t="str">
        <f>VLOOKUP(Table8[[#This Row],[Document ID]],Table1[],8,FALSE)</f>
        <v>NDC 3.0</v>
      </c>
      <c r="G2819" s="233" t="str">
        <f>VLOOKUP(Table8[[#This Row],[Document ID]],Table1[],10,FALSE)</f>
        <v>Active</v>
      </c>
      <c r="H2819" s="43" t="s">
        <v>2358</v>
      </c>
      <c r="I2819" s="43" t="s">
        <v>2359</v>
      </c>
      <c r="J2819" s="43" t="s">
        <v>2360</v>
      </c>
      <c r="K2819" s="44" t="s">
        <v>4889</v>
      </c>
      <c r="L2819" s="44" t="s">
        <v>2333</v>
      </c>
      <c r="M2819" s="43">
        <v>20</v>
      </c>
      <c r="N2819" s="113"/>
      <c r="O2819" s="113"/>
      <c r="P2819" s="113"/>
      <c r="Q2819" s="113"/>
      <c r="R2819" s="113"/>
      <c r="S2819" s="113"/>
      <c r="T2819" s="113"/>
      <c r="U2819" s="113"/>
      <c r="V2819" s="113"/>
      <c r="W2819" s="113"/>
      <c r="X2819" s="113"/>
      <c r="Y2819" s="113"/>
      <c r="Z2819" s="113" t="s">
        <v>1113</v>
      </c>
      <c r="AA2819" s="113"/>
      <c r="AB2819" s="113"/>
      <c r="AC2819" s="113"/>
      <c r="AD2819" s="113"/>
      <c r="AE2819" s="113"/>
      <c r="AF2819" s="113"/>
      <c r="AG2819" s="113"/>
      <c r="AH2819" s="113"/>
      <c r="AI2819" s="113"/>
      <c r="AJ2819" s="113"/>
      <c r="AK2819" s="113" t="s">
        <v>1113</v>
      </c>
      <c r="AL2819" s="113"/>
      <c r="AM2819" s="113"/>
      <c r="AN2819" s="113"/>
      <c r="AO2819" s="43" t="s">
        <v>2334</v>
      </c>
      <c r="AP2819" s="43"/>
      <c r="AQ2819" s="233" t="str">
        <f>VLOOKUP(Table8[[#This Row],[Instrument]],Def_Targets!$D$73:$E$159,2,FALSE)</f>
        <v>I_Emobility</v>
      </c>
      <c r="AR2819" s="242" t="str">
        <f>VLOOKUP(Table8[[#This Row],[Country Code]],Table29[],3,FALSE)</f>
        <v>Non-Annex I</v>
      </c>
      <c r="AS2819" s="242" t="str">
        <f>VLOOKUP(Table8[[#This Row],[Country Code]],Table29[],4,FALSE)</f>
        <v>Africa</v>
      </c>
      <c r="AT2819" s="242" t="str">
        <f>VLOOKUP(Table8[[#This Row],[Country Code]],Table29[],5,FALSE)</f>
        <v>Middle-income</v>
      </c>
      <c r="AU2819" s="242" t="str">
        <f>VLOOKUP(Table8[[#This Row],[Country Code]],Table29[],6,FALSE)</f>
        <v>no</v>
      </c>
      <c r="AV2819" s="242" t="str">
        <f>VLOOKUP(Table8[[#This Row],[Country Code]],Table29[],7,FALSE)</f>
        <v>no</v>
      </c>
      <c r="AW2819" s="242" t="str">
        <f>VLOOKUP(Table8[[#This Row],[Country Code]],Table29[],8,FALSE)</f>
        <v>non-OECD</v>
      </c>
      <c r="AX2819" s="242" t="str">
        <f>VLOOKUP(Table8[[#This Row],[Country Code]],Table29[],9,FALSE)</f>
        <v>no</v>
      </c>
      <c r="AY2819" s="242" t="str">
        <f>VLOOKUP(Table8[[#This Row],[Country Code]],Table29[],10,FALSE)</f>
        <v>no</v>
      </c>
      <c r="AZ2819" s="242">
        <f>VLOOKUP(Table8[[#This Row],[Country Code]],Table29[],23,FALSE)</f>
        <v>12.712755146957001</v>
      </c>
      <c r="BA2819" s="242">
        <f>VLOOKUP(Table8[[#This Row],[Country Code]],Table29[],24,FALSE)</f>
        <v>2.440731678856535</v>
      </c>
      <c r="BB2819" s="320"/>
      <c r="BC2819" s="320"/>
    </row>
    <row r="2820" spans="1:55" ht="30" x14ac:dyDescent="0.25">
      <c r="A2820" s="373">
        <v>43700</v>
      </c>
      <c r="B2820" s="243" t="str">
        <f>VLOOKUP(Table8[[#This Row],[Document ID]],Table1[],2,FALSE)</f>
        <v>BRA</v>
      </c>
      <c r="C2820" s="243" t="str">
        <f>VLOOKUP(Table8[[#This Row],[Document ID]],Table1[],3,FALSE)</f>
        <v>Brazil</v>
      </c>
      <c r="D2820" s="243" t="str">
        <f>VLOOKUP(Table8[[#This Row],[Document ID]],Table1[],5,FALSE)</f>
        <v>NDC</v>
      </c>
      <c r="E2820" s="233" t="str">
        <f>VLOOKUP(Table8[[#This Row],[Document ID]],Table1[],7,FALSE)</f>
        <v>Third NDC</v>
      </c>
      <c r="F2820" s="233" t="str">
        <f>VLOOKUP(Table8[[#This Row],[Document ID]],Table1[],8,FALSE)</f>
        <v>NDC 3.0</v>
      </c>
      <c r="G2820" s="233" t="str">
        <f>VLOOKUP(Table8[[#This Row],[Document ID]],Table1[],10,FALSE)</f>
        <v>Active</v>
      </c>
      <c r="H2820" s="43" t="s">
        <v>2358</v>
      </c>
      <c r="I2820" s="43" t="s">
        <v>2359</v>
      </c>
      <c r="J2820" s="43" t="s">
        <v>2360</v>
      </c>
      <c r="K2820" s="44" t="s">
        <v>4856</v>
      </c>
      <c r="L2820" s="44" t="s">
        <v>2333</v>
      </c>
      <c r="M2820" s="43">
        <v>16</v>
      </c>
      <c r="N2820" s="113" t="s">
        <v>1113</v>
      </c>
      <c r="O2820" s="113"/>
      <c r="P2820" s="113"/>
      <c r="Q2820" s="113"/>
      <c r="R2820" s="113"/>
      <c r="S2820" s="113"/>
      <c r="T2820" s="113"/>
      <c r="U2820" s="113"/>
      <c r="V2820" s="113"/>
      <c r="W2820" s="113"/>
      <c r="X2820" s="113"/>
      <c r="Y2820" s="113"/>
      <c r="Z2820" s="113"/>
      <c r="AA2820" s="113"/>
      <c r="AB2820" s="113"/>
      <c r="AC2820" s="113"/>
      <c r="AD2820" s="113"/>
      <c r="AE2820" s="113"/>
      <c r="AF2820" s="113"/>
      <c r="AG2820" s="113"/>
      <c r="AH2820" s="113"/>
      <c r="AI2820" s="113"/>
      <c r="AJ2820" s="113"/>
      <c r="AK2820" s="113"/>
      <c r="AL2820" s="113" t="s">
        <v>1113</v>
      </c>
      <c r="AM2820" s="113"/>
      <c r="AN2820" s="113"/>
      <c r="AO2820" s="43" t="s">
        <v>2334</v>
      </c>
      <c r="AP2820" s="43" t="s">
        <v>4850</v>
      </c>
      <c r="AQ2820" s="233" t="str">
        <f>VLOOKUP(Table8[[#This Row],[Instrument]],Def_Targets!$D$73:$E$159,2,FALSE)</f>
        <v>I_Emobility</v>
      </c>
      <c r="AR2820" s="242" t="str">
        <f>VLOOKUP(Table8[[#This Row],[Country Code]],Table29[],3,FALSE)</f>
        <v>Non-Annex I</v>
      </c>
      <c r="AS2820" s="242" t="str">
        <f>VLOOKUP(Table8[[#This Row],[Country Code]],Table29[],4,FALSE)</f>
        <v>Latin America and the Caribbean</v>
      </c>
      <c r="AT2820" s="242" t="str">
        <f>VLOOKUP(Table8[[#This Row],[Country Code]],Table29[],5,FALSE)</f>
        <v>Middle-income</v>
      </c>
      <c r="AU2820" s="242" t="str">
        <f>VLOOKUP(Table8[[#This Row],[Country Code]],Table29[],6,FALSE)</f>
        <v>G20</v>
      </c>
      <c r="AV2820" s="242" t="str">
        <f>VLOOKUP(Table8[[#This Row],[Country Code]],Table29[],7,FALSE)</f>
        <v>no</v>
      </c>
      <c r="AW2820" s="242" t="str">
        <f>VLOOKUP(Table8[[#This Row],[Country Code]],Table29[],8,FALSE)</f>
        <v>non-OECD</v>
      </c>
      <c r="AX2820" s="242" t="str">
        <f>VLOOKUP(Table8[[#This Row],[Country Code]],Table29[],9,FALSE)</f>
        <v>no</v>
      </c>
      <c r="AY2820" s="242" t="str">
        <f>VLOOKUP(Table8[[#This Row],[Country Code]],Table29[],10,FALSE)</f>
        <v>no</v>
      </c>
      <c r="AZ2820" s="242">
        <f>VLOOKUP(Table8[[#This Row],[Country Code]],Table29[],23,FALSE)</f>
        <v>1300.1688666752</v>
      </c>
      <c r="BA2820" s="242">
        <f>VLOOKUP(Table8[[#This Row],[Country Code]],Table29[],24,FALSE)</f>
        <v>221.12609205884911</v>
      </c>
      <c r="BB2820" s="320"/>
      <c r="BC2820" s="320"/>
    </row>
    <row r="2821" spans="1:55" ht="15" customHeight="1" x14ac:dyDescent="0.25">
      <c r="A2821" s="373">
        <v>43700</v>
      </c>
      <c r="B2821" s="243" t="str">
        <f>VLOOKUP(Table8[[#This Row],[Document ID]],Table1[],2,FALSE)</f>
        <v>BRA</v>
      </c>
      <c r="C2821" s="243" t="str">
        <f>VLOOKUP(Table8[[#This Row],[Document ID]],Table1[],3,FALSE)</f>
        <v>Brazil</v>
      </c>
      <c r="D2821" s="243" t="str">
        <f>VLOOKUP(Table8[[#This Row],[Document ID]],Table1[],5,FALSE)</f>
        <v>NDC</v>
      </c>
      <c r="E2821" s="233" t="str">
        <f>VLOOKUP(Table8[[#This Row],[Document ID]],Table1[],7,FALSE)</f>
        <v>Third NDC</v>
      </c>
      <c r="F2821" s="233" t="str">
        <f>VLOOKUP(Table8[[#This Row],[Document ID]],Table1[],8,FALSE)</f>
        <v>NDC 3.0</v>
      </c>
      <c r="G2821" s="233" t="str">
        <f>VLOOKUP(Table8[[#This Row],[Document ID]],Table1[],10,FALSE)</f>
        <v>Active</v>
      </c>
      <c r="H2821" s="43" t="s">
        <v>2358</v>
      </c>
      <c r="I2821" s="43" t="s">
        <v>2359</v>
      </c>
      <c r="J2821" s="43" t="s">
        <v>2383</v>
      </c>
      <c r="K2821" s="44" t="s">
        <v>4890</v>
      </c>
      <c r="L2821" s="44" t="s">
        <v>2333</v>
      </c>
      <c r="M2821" s="43">
        <v>16</v>
      </c>
      <c r="N2821" s="113" t="s">
        <v>1113</v>
      </c>
      <c r="O2821" s="113"/>
      <c r="P2821" s="113"/>
      <c r="Q2821" s="113"/>
      <c r="R2821" s="113"/>
      <c r="S2821" s="113"/>
      <c r="T2821" s="113"/>
      <c r="U2821" s="113"/>
      <c r="V2821" s="113"/>
      <c r="W2821" s="113"/>
      <c r="X2821" s="113"/>
      <c r="Y2821" s="113"/>
      <c r="Z2821" s="113"/>
      <c r="AA2821" s="113"/>
      <c r="AB2821" s="113"/>
      <c r="AC2821" s="113"/>
      <c r="AD2821" s="113"/>
      <c r="AE2821" s="113"/>
      <c r="AF2821" s="113"/>
      <c r="AG2821" s="113"/>
      <c r="AH2821" s="113"/>
      <c r="AI2821" s="113"/>
      <c r="AJ2821" s="113"/>
      <c r="AK2821" s="113"/>
      <c r="AL2821" s="113" t="s">
        <v>1113</v>
      </c>
      <c r="AM2821" s="113"/>
      <c r="AN2821" s="113"/>
      <c r="AO2821" s="43" t="s">
        <v>2334</v>
      </c>
      <c r="AP2821" s="43" t="s">
        <v>4850</v>
      </c>
      <c r="AQ2821" s="233" t="str">
        <f>VLOOKUP(Table8[[#This Row],[Instrument]],Def_Targets!$D$73:$E$159,2,FALSE)</f>
        <v>I_Emobilitycharging</v>
      </c>
      <c r="AR2821" s="242" t="str">
        <f>VLOOKUP(Table8[[#This Row],[Country Code]],Table29[],3,FALSE)</f>
        <v>Non-Annex I</v>
      </c>
      <c r="AS2821" s="242" t="str">
        <f>VLOOKUP(Table8[[#This Row],[Country Code]],Table29[],4,FALSE)</f>
        <v>Latin America and the Caribbean</v>
      </c>
      <c r="AT2821" s="242" t="str">
        <f>VLOOKUP(Table8[[#This Row],[Country Code]],Table29[],5,FALSE)</f>
        <v>Middle-income</v>
      </c>
      <c r="AU2821" s="242" t="str">
        <f>VLOOKUP(Table8[[#This Row],[Country Code]],Table29[],6,FALSE)</f>
        <v>G20</v>
      </c>
      <c r="AV2821" s="242" t="str">
        <f>VLOOKUP(Table8[[#This Row],[Country Code]],Table29[],7,FALSE)</f>
        <v>no</v>
      </c>
      <c r="AW2821" s="242" t="str">
        <f>VLOOKUP(Table8[[#This Row],[Country Code]],Table29[],8,FALSE)</f>
        <v>non-OECD</v>
      </c>
      <c r="AX2821" s="242" t="str">
        <f>VLOOKUP(Table8[[#This Row],[Country Code]],Table29[],9,FALSE)</f>
        <v>no</v>
      </c>
      <c r="AY2821" s="242" t="str">
        <f>VLOOKUP(Table8[[#This Row],[Country Code]],Table29[],10,FALSE)</f>
        <v>no</v>
      </c>
      <c r="AZ2821" s="242">
        <f>VLOOKUP(Table8[[#This Row],[Country Code]],Table29[],23,FALSE)</f>
        <v>1300.1688666752</v>
      </c>
      <c r="BA2821" s="242">
        <f>VLOOKUP(Table8[[#This Row],[Country Code]],Table29[],24,FALSE)</f>
        <v>221.12609205884911</v>
      </c>
      <c r="BB2821" s="320"/>
      <c r="BC2821" s="320"/>
    </row>
    <row r="2822" spans="1:55" ht="30" x14ac:dyDescent="0.25">
      <c r="A2822" s="373">
        <v>43700</v>
      </c>
      <c r="B2822" s="243" t="str">
        <f>VLOOKUP(Table8[[#This Row],[Document ID]],Table1[],2,FALSE)</f>
        <v>BRA</v>
      </c>
      <c r="C2822" s="243" t="str">
        <f>VLOOKUP(Table8[[#This Row],[Document ID]],Table1[],3,FALSE)</f>
        <v>Brazil</v>
      </c>
      <c r="D2822" s="243" t="str">
        <f>VLOOKUP(Table8[[#This Row],[Document ID]],Table1[],5,FALSE)</f>
        <v>NDC</v>
      </c>
      <c r="E2822" s="233" t="str">
        <f>VLOOKUP(Table8[[#This Row],[Document ID]],Table1[],7,FALSE)</f>
        <v>Third NDC</v>
      </c>
      <c r="F2822" s="233" t="str">
        <f>VLOOKUP(Table8[[#This Row],[Document ID]],Table1[],8,FALSE)</f>
        <v>NDC 3.0</v>
      </c>
      <c r="G2822" s="233" t="str">
        <f>VLOOKUP(Table8[[#This Row],[Document ID]],Table1[],10,FALSE)</f>
        <v>Active</v>
      </c>
      <c r="H2822" s="43" t="s">
        <v>2358</v>
      </c>
      <c r="I2822" s="43" t="s">
        <v>2359</v>
      </c>
      <c r="J2822" s="43" t="s">
        <v>2360</v>
      </c>
      <c r="K2822" s="44" t="s">
        <v>4859</v>
      </c>
      <c r="L2822" s="44" t="s">
        <v>2333</v>
      </c>
      <c r="M2822" s="43">
        <v>16</v>
      </c>
      <c r="N2822" s="113"/>
      <c r="O2822" s="113"/>
      <c r="P2822" s="113" t="s">
        <v>1113</v>
      </c>
      <c r="Q2822" s="113"/>
      <c r="R2822" s="113"/>
      <c r="S2822" s="113"/>
      <c r="T2822" s="113"/>
      <c r="U2822" s="113"/>
      <c r="V2822" s="113"/>
      <c r="W2822" s="113"/>
      <c r="X2822" s="113"/>
      <c r="Y2822" s="113" t="s">
        <v>1113</v>
      </c>
      <c r="Z2822" s="113"/>
      <c r="AA2822" s="113"/>
      <c r="AB2822" s="113"/>
      <c r="AC2822" s="113" t="s">
        <v>1113</v>
      </c>
      <c r="AD2822" s="113"/>
      <c r="AE2822" s="113"/>
      <c r="AF2822" s="113"/>
      <c r="AG2822" s="113"/>
      <c r="AH2822" s="113"/>
      <c r="AI2822" s="113"/>
      <c r="AJ2822" s="113"/>
      <c r="AK2822" s="113"/>
      <c r="AL2822" s="113" t="s">
        <v>1113</v>
      </c>
      <c r="AM2822" s="113"/>
      <c r="AN2822" s="113"/>
      <c r="AO2822" s="43" t="s">
        <v>2334</v>
      </c>
      <c r="AP2822" s="43" t="s">
        <v>4850</v>
      </c>
      <c r="AQ2822" s="233" t="str">
        <f>VLOOKUP(Table8[[#This Row],[Instrument]],Def_Targets!$D$73:$E$159,2,FALSE)</f>
        <v>I_Emobility</v>
      </c>
      <c r="AR2822" s="242" t="str">
        <f>VLOOKUP(Table8[[#This Row],[Country Code]],Table29[],3,FALSE)</f>
        <v>Non-Annex I</v>
      </c>
      <c r="AS2822" s="242" t="str">
        <f>VLOOKUP(Table8[[#This Row],[Country Code]],Table29[],4,FALSE)</f>
        <v>Latin America and the Caribbean</v>
      </c>
      <c r="AT2822" s="242" t="str">
        <f>VLOOKUP(Table8[[#This Row],[Country Code]],Table29[],5,FALSE)</f>
        <v>Middle-income</v>
      </c>
      <c r="AU2822" s="242" t="str">
        <f>VLOOKUP(Table8[[#This Row],[Country Code]],Table29[],6,FALSE)</f>
        <v>G20</v>
      </c>
      <c r="AV2822" s="242" t="str">
        <f>VLOOKUP(Table8[[#This Row],[Country Code]],Table29[],7,FALSE)</f>
        <v>no</v>
      </c>
      <c r="AW2822" s="242" t="str">
        <f>VLOOKUP(Table8[[#This Row],[Country Code]],Table29[],8,FALSE)</f>
        <v>non-OECD</v>
      </c>
      <c r="AX2822" s="242" t="str">
        <f>VLOOKUP(Table8[[#This Row],[Country Code]],Table29[],9,FALSE)</f>
        <v>no</v>
      </c>
      <c r="AY2822" s="242" t="str">
        <f>VLOOKUP(Table8[[#This Row],[Country Code]],Table29[],10,FALSE)</f>
        <v>no</v>
      </c>
      <c r="AZ2822" s="242">
        <f>VLOOKUP(Table8[[#This Row],[Country Code]],Table29[],23,FALSE)</f>
        <v>1300.1688666752</v>
      </c>
      <c r="BA2822" s="242">
        <f>VLOOKUP(Table8[[#This Row],[Country Code]],Table29[],24,FALSE)</f>
        <v>221.12609205884911</v>
      </c>
      <c r="BB2822" s="320"/>
      <c r="BC2822" s="320"/>
    </row>
    <row r="2823" spans="1:55" ht="15" customHeight="1" x14ac:dyDescent="0.25">
      <c r="A2823" s="373">
        <v>43987</v>
      </c>
      <c r="B2823" s="243" t="str">
        <f>VLOOKUP(Table8[[#This Row],[Document ID]],Table1[],2,FALSE)</f>
        <v>CAN</v>
      </c>
      <c r="C2823" s="243" t="str">
        <f>VLOOKUP(Table8[[#This Row],[Document ID]],Table1[],3,FALSE)</f>
        <v>Canada</v>
      </c>
      <c r="D2823" s="243" t="str">
        <f>VLOOKUP(Table8[[#This Row],[Document ID]],Table1[],5,FALSE)</f>
        <v>NDC</v>
      </c>
      <c r="E2823" s="233" t="str">
        <f>VLOOKUP(Table8[[#This Row],[Document ID]],Table1[],7,FALSE)</f>
        <v>Third NDC</v>
      </c>
      <c r="F2823" s="233" t="str">
        <f>VLOOKUP(Table8[[#This Row],[Document ID]],Table1[],8,FALSE)</f>
        <v>NDC 3.0</v>
      </c>
      <c r="G2823" s="233" t="str">
        <f>VLOOKUP(Table8[[#This Row],[Document ID]],Table1[],10,FALSE)</f>
        <v>Active</v>
      </c>
      <c r="H2823" s="43" t="s">
        <v>2358</v>
      </c>
      <c r="I2823" s="43" t="s">
        <v>2359</v>
      </c>
      <c r="J2823" s="43" t="s">
        <v>2360</v>
      </c>
      <c r="K2823" s="44" t="s">
        <v>4891</v>
      </c>
      <c r="L2823" s="44" t="s">
        <v>2333</v>
      </c>
      <c r="M2823" s="43">
        <v>6</v>
      </c>
      <c r="N2823" s="113" t="s">
        <v>1113</v>
      </c>
      <c r="O2823" s="113"/>
      <c r="P2823" s="113"/>
      <c r="Q2823" s="113"/>
      <c r="R2823" s="113"/>
      <c r="S2823" s="113"/>
      <c r="T2823" s="113"/>
      <c r="U2823" s="113"/>
      <c r="V2823" s="113"/>
      <c r="W2823" s="113"/>
      <c r="X2823" s="113"/>
      <c r="Y2823" s="113"/>
      <c r="Z2823" s="113"/>
      <c r="AA2823" s="113"/>
      <c r="AB2823" s="113"/>
      <c r="AC2823" s="113"/>
      <c r="AD2823" s="113"/>
      <c r="AE2823" s="113"/>
      <c r="AF2823" s="113"/>
      <c r="AG2823" s="113"/>
      <c r="AH2823" s="113"/>
      <c r="AI2823" s="113"/>
      <c r="AJ2823" s="113"/>
      <c r="AK2823" s="113" t="s">
        <v>1113</v>
      </c>
      <c r="AL2823" s="113"/>
      <c r="AM2823" s="113"/>
      <c r="AN2823" s="113"/>
      <c r="AO2823" s="44" t="s">
        <v>2334</v>
      </c>
      <c r="AP2823" s="43" t="s">
        <v>4850</v>
      </c>
      <c r="AQ2823" s="233" t="str">
        <f>VLOOKUP(Table8[[#This Row],[Instrument]],Def_Targets!$D$73:$E$159,2,FALSE)</f>
        <v>I_Emobility</v>
      </c>
      <c r="AR2823" s="242" t="str">
        <f>VLOOKUP(Table8[[#This Row],[Country Code]],Table29[],3,FALSE)</f>
        <v>Annex I</v>
      </c>
      <c r="AS2823" s="242" t="str">
        <f>VLOOKUP(Table8[[#This Row],[Country Code]],Table29[],4,FALSE)</f>
        <v>Northern America</v>
      </c>
      <c r="AT2823" s="242" t="str">
        <f>VLOOKUP(Table8[[#This Row],[Country Code]],Table29[],5,FALSE)</f>
        <v>High-income</v>
      </c>
      <c r="AU2823" s="242" t="str">
        <f>VLOOKUP(Table8[[#This Row],[Country Code]],Table29[],6,FALSE)</f>
        <v>G20</v>
      </c>
      <c r="AV2823" s="242" t="str">
        <f>VLOOKUP(Table8[[#This Row],[Country Code]],Table29[],7,FALSE)</f>
        <v>G7</v>
      </c>
      <c r="AW2823" s="242" t="str">
        <f>VLOOKUP(Table8[[#This Row],[Country Code]],Table29[],8,FALSE)</f>
        <v>OECD</v>
      </c>
      <c r="AX2823" s="242" t="str">
        <f>VLOOKUP(Table8[[#This Row],[Country Code]],Table29[],9,FALSE)</f>
        <v>no</v>
      </c>
      <c r="AY2823" s="242" t="str">
        <f>VLOOKUP(Table8[[#This Row],[Country Code]],Table29[],10,FALSE)</f>
        <v>no</v>
      </c>
      <c r="AZ2823" s="242">
        <f>VLOOKUP(Table8[[#This Row],[Country Code]],Table29[],23,FALSE)</f>
        <v>747.67802680902003</v>
      </c>
      <c r="BA2823" s="242">
        <f>VLOOKUP(Table8[[#This Row],[Country Code]],Table29[],24,FALSE)</f>
        <v>169.021169926607</v>
      </c>
      <c r="BB2823" s="320"/>
      <c r="BC2823" s="320"/>
    </row>
    <row r="2824" spans="1:55" ht="75" x14ac:dyDescent="0.25">
      <c r="A2824" s="373">
        <v>43987</v>
      </c>
      <c r="B2824" s="243" t="str">
        <f>VLOOKUP(Table8[[#This Row],[Document ID]],Table1[],2,FALSE)</f>
        <v>CAN</v>
      </c>
      <c r="C2824" s="243" t="str">
        <f>VLOOKUP(Table8[[#This Row],[Document ID]],Table1[],3,FALSE)</f>
        <v>Canada</v>
      </c>
      <c r="D2824" s="243" t="str">
        <f>VLOOKUP(Table8[[#This Row],[Document ID]],Table1[],5,FALSE)</f>
        <v>NDC</v>
      </c>
      <c r="E2824" s="233" t="str">
        <f>VLOOKUP(Table8[[#This Row],[Document ID]],Table1[],7,FALSE)</f>
        <v>Third NDC</v>
      </c>
      <c r="F2824" s="233" t="str">
        <f>VLOOKUP(Table8[[#This Row],[Document ID]],Table1[],8,FALSE)</f>
        <v>NDC 3.0</v>
      </c>
      <c r="G2824" s="233" t="str">
        <f>VLOOKUP(Table8[[#This Row],[Document ID]],Table1[],10,FALSE)</f>
        <v>Active</v>
      </c>
      <c r="H2824" s="43" t="s">
        <v>2358</v>
      </c>
      <c r="I2824" s="43" t="s">
        <v>2359</v>
      </c>
      <c r="J2824" s="43" t="s">
        <v>2389</v>
      </c>
      <c r="K2824" s="44" t="s">
        <v>4892</v>
      </c>
      <c r="L2824" s="44" t="s">
        <v>2333</v>
      </c>
      <c r="M2824" s="43">
        <v>6</v>
      </c>
      <c r="N2824" s="113"/>
      <c r="O2824" s="113"/>
      <c r="P2824" s="113"/>
      <c r="Q2824" s="113"/>
      <c r="R2824" s="113"/>
      <c r="S2824" s="113" t="s">
        <v>1113</v>
      </c>
      <c r="T2824" s="113"/>
      <c r="U2824" s="113"/>
      <c r="V2824" s="113"/>
      <c r="W2824" s="113"/>
      <c r="X2824" s="113" t="s">
        <v>1113</v>
      </c>
      <c r="Y2824" s="113" t="s">
        <v>1113</v>
      </c>
      <c r="Z2824" s="113"/>
      <c r="AA2824" s="113"/>
      <c r="AB2824" s="113"/>
      <c r="AC2824" s="113"/>
      <c r="AD2824" s="113"/>
      <c r="AE2824" s="113"/>
      <c r="AF2824" s="113"/>
      <c r="AG2824" s="113"/>
      <c r="AH2824" s="113"/>
      <c r="AI2824" s="113"/>
      <c r="AJ2824" s="113"/>
      <c r="AK2824" s="113" t="s">
        <v>1113</v>
      </c>
      <c r="AL2824" s="113"/>
      <c r="AM2824" s="113"/>
      <c r="AN2824" s="113"/>
      <c r="AO2824" s="43" t="s">
        <v>2477</v>
      </c>
      <c r="AP2824" s="43" t="s">
        <v>4850</v>
      </c>
      <c r="AQ2824" s="233" t="str">
        <f>VLOOKUP(Table8[[#This Row],[Instrument]],Def_Targets!$D$73:$E$159,2,FALSE)</f>
        <v>I_Emobilitypurchase</v>
      </c>
      <c r="AR2824" s="242" t="str">
        <f>VLOOKUP(Table8[[#This Row],[Country Code]],Table29[],3,FALSE)</f>
        <v>Annex I</v>
      </c>
      <c r="AS2824" s="242" t="str">
        <f>VLOOKUP(Table8[[#This Row],[Country Code]],Table29[],4,FALSE)</f>
        <v>Northern America</v>
      </c>
      <c r="AT2824" s="242" t="str">
        <f>VLOOKUP(Table8[[#This Row],[Country Code]],Table29[],5,FALSE)</f>
        <v>High-income</v>
      </c>
      <c r="AU2824" s="242" t="str">
        <f>VLOOKUP(Table8[[#This Row],[Country Code]],Table29[],6,FALSE)</f>
        <v>G20</v>
      </c>
      <c r="AV2824" s="242" t="str">
        <f>VLOOKUP(Table8[[#This Row],[Country Code]],Table29[],7,FALSE)</f>
        <v>G7</v>
      </c>
      <c r="AW2824" s="242" t="str">
        <f>VLOOKUP(Table8[[#This Row],[Country Code]],Table29[],8,FALSE)</f>
        <v>OECD</v>
      </c>
      <c r="AX2824" s="242" t="str">
        <f>VLOOKUP(Table8[[#This Row],[Country Code]],Table29[],9,FALSE)</f>
        <v>no</v>
      </c>
      <c r="AY2824" s="242" t="str">
        <f>VLOOKUP(Table8[[#This Row],[Country Code]],Table29[],10,FALSE)</f>
        <v>no</v>
      </c>
      <c r="AZ2824" s="242">
        <f>VLOOKUP(Table8[[#This Row],[Country Code]],Table29[],23,FALSE)</f>
        <v>747.67802680902003</v>
      </c>
      <c r="BA2824" s="242">
        <f>VLOOKUP(Table8[[#This Row],[Country Code]],Table29[],24,FALSE)</f>
        <v>169.021169926607</v>
      </c>
      <c r="BB2824" s="320"/>
      <c r="BC2824" s="320"/>
    </row>
    <row r="2825" spans="1:55" ht="15" customHeight="1" x14ac:dyDescent="0.25">
      <c r="A2825" s="373">
        <v>43987</v>
      </c>
      <c r="B2825" s="243" t="str">
        <f>VLOOKUP(Table8[[#This Row],[Document ID]],Table1[],2,FALSE)</f>
        <v>CAN</v>
      </c>
      <c r="C2825" s="243" t="str">
        <f>VLOOKUP(Table8[[#This Row],[Document ID]],Table1[],3,FALSE)</f>
        <v>Canada</v>
      </c>
      <c r="D2825" s="243" t="str">
        <f>VLOOKUP(Table8[[#This Row],[Document ID]],Table1[],5,FALSE)</f>
        <v>NDC</v>
      </c>
      <c r="E2825" s="233" t="str">
        <f>VLOOKUP(Table8[[#This Row],[Document ID]],Table1[],7,FALSE)</f>
        <v>Third NDC</v>
      </c>
      <c r="F2825" s="233" t="str">
        <f>VLOOKUP(Table8[[#This Row],[Document ID]],Table1[],8,FALSE)</f>
        <v>NDC 3.0</v>
      </c>
      <c r="G2825" s="233" t="str">
        <f>VLOOKUP(Table8[[#This Row],[Document ID]],Table1[],10,FALSE)</f>
        <v>Active</v>
      </c>
      <c r="H2825" s="43" t="s">
        <v>2358</v>
      </c>
      <c r="I2825" s="43" t="s">
        <v>2359</v>
      </c>
      <c r="J2825" s="43" t="s">
        <v>2360</v>
      </c>
      <c r="K2825" s="44" t="s">
        <v>4893</v>
      </c>
      <c r="L2825" s="44" t="s">
        <v>2333</v>
      </c>
      <c r="M2825" s="43">
        <v>43</v>
      </c>
      <c r="N2825" s="113"/>
      <c r="O2825" s="113"/>
      <c r="P2825" s="113"/>
      <c r="Q2825" s="113"/>
      <c r="R2825" s="113"/>
      <c r="S2825" s="113"/>
      <c r="T2825" s="113"/>
      <c r="U2825" s="113"/>
      <c r="V2825" s="113"/>
      <c r="W2825" s="113"/>
      <c r="X2825" s="113" t="s">
        <v>1113</v>
      </c>
      <c r="Y2825" s="113"/>
      <c r="Z2825" s="113"/>
      <c r="AA2825" s="113"/>
      <c r="AB2825" s="113"/>
      <c r="AC2825" s="113"/>
      <c r="AD2825" s="113"/>
      <c r="AE2825" s="113"/>
      <c r="AF2825" s="113"/>
      <c r="AG2825" s="113"/>
      <c r="AH2825" s="113"/>
      <c r="AI2825" s="113"/>
      <c r="AJ2825" s="113"/>
      <c r="AK2825" s="113" t="s">
        <v>1113</v>
      </c>
      <c r="AL2825" s="113"/>
      <c r="AM2825" s="113"/>
      <c r="AN2825" s="113"/>
      <c r="AO2825" s="44" t="s">
        <v>2334</v>
      </c>
      <c r="AP2825" s="43" t="s">
        <v>4850</v>
      </c>
      <c r="AQ2825" s="233" t="str">
        <f>VLOOKUP(Table8[[#This Row],[Instrument]],Def_Targets!$D$73:$E$159,2,FALSE)</f>
        <v>I_Emobility</v>
      </c>
      <c r="AR2825" s="242" t="str">
        <f>VLOOKUP(Table8[[#This Row],[Country Code]],Table29[],3,FALSE)</f>
        <v>Annex I</v>
      </c>
      <c r="AS2825" s="242" t="str">
        <f>VLOOKUP(Table8[[#This Row],[Country Code]],Table29[],4,FALSE)</f>
        <v>Northern America</v>
      </c>
      <c r="AT2825" s="242" t="str">
        <f>VLOOKUP(Table8[[#This Row],[Country Code]],Table29[],5,FALSE)</f>
        <v>High-income</v>
      </c>
      <c r="AU2825" s="242" t="str">
        <f>VLOOKUP(Table8[[#This Row],[Country Code]],Table29[],6,FALSE)</f>
        <v>G20</v>
      </c>
      <c r="AV2825" s="242" t="str">
        <f>VLOOKUP(Table8[[#This Row],[Country Code]],Table29[],7,FALSE)</f>
        <v>G7</v>
      </c>
      <c r="AW2825" s="242" t="str">
        <f>VLOOKUP(Table8[[#This Row],[Country Code]],Table29[],8,FALSE)</f>
        <v>OECD</v>
      </c>
      <c r="AX2825" s="242" t="str">
        <f>VLOOKUP(Table8[[#This Row],[Country Code]],Table29[],9,FALSE)</f>
        <v>no</v>
      </c>
      <c r="AY2825" s="242" t="str">
        <f>VLOOKUP(Table8[[#This Row],[Country Code]],Table29[],10,FALSE)</f>
        <v>no</v>
      </c>
      <c r="AZ2825" s="242">
        <f>VLOOKUP(Table8[[#This Row],[Country Code]],Table29[],23,FALSE)</f>
        <v>747.67802680902003</v>
      </c>
      <c r="BA2825" s="242">
        <f>VLOOKUP(Table8[[#This Row],[Country Code]],Table29[],24,FALSE)</f>
        <v>169.021169926607</v>
      </c>
      <c r="BB2825" s="320"/>
      <c r="BC2825" s="320"/>
    </row>
    <row r="2826" spans="1:55" ht="15" customHeight="1" x14ac:dyDescent="0.25">
      <c r="A2826" s="373">
        <v>43987</v>
      </c>
      <c r="B2826" s="243" t="str">
        <f>VLOOKUP(Table8[[#This Row],[Document ID]],Table1[],2,FALSE)</f>
        <v>CAN</v>
      </c>
      <c r="C2826" s="243" t="str">
        <f>VLOOKUP(Table8[[#This Row],[Document ID]],Table1[],3,FALSE)</f>
        <v>Canada</v>
      </c>
      <c r="D2826" s="243" t="str">
        <f>VLOOKUP(Table8[[#This Row],[Document ID]],Table1[],5,FALSE)</f>
        <v>NDC</v>
      </c>
      <c r="E2826" s="233" t="str">
        <f>VLOOKUP(Table8[[#This Row],[Document ID]],Table1[],7,FALSE)</f>
        <v>Third NDC</v>
      </c>
      <c r="F2826" s="233" t="str">
        <f>VLOOKUP(Table8[[#This Row],[Document ID]],Table1[],8,FALSE)</f>
        <v>NDC 3.0</v>
      </c>
      <c r="G2826" s="233" t="str">
        <f>VLOOKUP(Table8[[#This Row],[Document ID]],Table1[],10,FALSE)</f>
        <v>Active</v>
      </c>
      <c r="H2826" s="43" t="s">
        <v>2358</v>
      </c>
      <c r="I2826" s="43" t="s">
        <v>2359</v>
      </c>
      <c r="J2826" s="43" t="s">
        <v>2360</v>
      </c>
      <c r="K2826" s="44" t="s">
        <v>4894</v>
      </c>
      <c r="L2826" s="44" t="s">
        <v>2333</v>
      </c>
      <c r="M2826" s="43">
        <v>43</v>
      </c>
      <c r="N2826" s="113"/>
      <c r="O2826" s="113"/>
      <c r="P2826" s="113"/>
      <c r="Q2826" s="113"/>
      <c r="R2826" s="113"/>
      <c r="S2826" s="113"/>
      <c r="T2826" s="113"/>
      <c r="U2826" s="113"/>
      <c r="V2826" s="113"/>
      <c r="W2826" s="113"/>
      <c r="X2826" s="113" t="s">
        <v>1113</v>
      </c>
      <c r="Y2826" s="113" t="s">
        <v>1113</v>
      </c>
      <c r="Z2826" s="113"/>
      <c r="AA2826" s="113"/>
      <c r="AB2826" s="113"/>
      <c r="AC2826" s="113"/>
      <c r="AD2826" s="113"/>
      <c r="AE2826" s="113"/>
      <c r="AF2826" s="113"/>
      <c r="AG2826" s="113"/>
      <c r="AH2826" s="113"/>
      <c r="AI2826" s="113"/>
      <c r="AJ2826" s="113"/>
      <c r="AK2826" s="113" t="s">
        <v>1113</v>
      </c>
      <c r="AL2826" s="113"/>
      <c r="AM2826" s="113"/>
      <c r="AN2826" s="113"/>
      <c r="AO2826" s="43" t="s">
        <v>2477</v>
      </c>
      <c r="AP2826" s="43" t="s">
        <v>4850</v>
      </c>
      <c r="AQ2826" s="233" t="str">
        <f>VLOOKUP(Table8[[#This Row],[Instrument]],Def_Targets!$D$73:$E$159,2,FALSE)</f>
        <v>I_Emobility</v>
      </c>
      <c r="AR2826" s="242" t="str">
        <f>VLOOKUP(Table8[[#This Row],[Country Code]],Table29[],3,FALSE)</f>
        <v>Annex I</v>
      </c>
      <c r="AS2826" s="242" t="str">
        <f>VLOOKUP(Table8[[#This Row],[Country Code]],Table29[],4,FALSE)</f>
        <v>Northern America</v>
      </c>
      <c r="AT2826" s="242" t="str">
        <f>VLOOKUP(Table8[[#This Row],[Country Code]],Table29[],5,FALSE)</f>
        <v>High-income</v>
      </c>
      <c r="AU2826" s="242" t="str">
        <f>VLOOKUP(Table8[[#This Row],[Country Code]],Table29[],6,FALSE)</f>
        <v>G20</v>
      </c>
      <c r="AV2826" s="242" t="str">
        <f>VLOOKUP(Table8[[#This Row],[Country Code]],Table29[],7,FALSE)</f>
        <v>G7</v>
      </c>
      <c r="AW2826" s="242" t="str">
        <f>VLOOKUP(Table8[[#This Row],[Country Code]],Table29[],8,FALSE)</f>
        <v>OECD</v>
      </c>
      <c r="AX2826" s="242" t="str">
        <f>VLOOKUP(Table8[[#This Row],[Country Code]],Table29[],9,FALSE)</f>
        <v>no</v>
      </c>
      <c r="AY2826" s="242" t="str">
        <f>VLOOKUP(Table8[[#This Row],[Country Code]],Table29[],10,FALSE)</f>
        <v>no</v>
      </c>
      <c r="AZ2826" s="242">
        <f>VLOOKUP(Table8[[#This Row],[Country Code]],Table29[],23,FALSE)</f>
        <v>747.67802680902003</v>
      </c>
      <c r="BA2826" s="242">
        <f>VLOOKUP(Table8[[#This Row],[Country Code]],Table29[],24,FALSE)</f>
        <v>169.021169926607</v>
      </c>
      <c r="BB2826" s="320"/>
      <c r="BC2826" s="320"/>
    </row>
    <row r="2827" spans="1:55" ht="30" x14ac:dyDescent="0.25">
      <c r="A2827" s="373">
        <v>43987</v>
      </c>
      <c r="B2827" s="243" t="str">
        <f>VLOOKUP(Table8[[#This Row],[Document ID]],Table1[],2,FALSE)</f>
        <v>CAN</v>
      </c>
      <c r="C2827" s="243" t="str">
        <f>VLOOKUP(Table8[[#This Row],[Document ID]],Table1[],3,FALSE)</f>
        <v>Canada</v>
      </c>
      <c r="D2827" s="243" t="str">
        <f>VLOOKUP(Table8[[#This Row],[Document ID]],Table1[],5,FALSE)</f>
        <v>NDC</v>
      </c>
      <c r="E2827" s="233" t="str">
        <f>VLOOKUP(Table8[[#This Row],[Document ID]],Table1[],7,FALSE)</f>
        <v>Third NDC</v>
      </c>
      <c r="F2827" s="233" t="str">
        <f>VLOOKUP(Table8[[#This Row],[Document ID]],Table1[],8,FALSE)</f>
        <v>NDC 3.0</v>
      </c>
      <c r="G2827" s="233" t="str">
        <f>VLOOKUP(Table8[[#This Row],[Document ID]],Table1[],10,FALSE)</f>
        <v>Active</v>
      </c>
      <c r="H2827" s="43" t="s">
        <v>2358</v>
      </c>
      <c r="I2827" s="43" t="s">
        <v>2359</v>
      </c>
      <c r="J2827" s="43" t="s">
        <v>2383</v>
      </c>
      <c r="K2827" s="44" t="s">
        <v>4866</v>
      </c>
      <c r="L2827" s="44" t="s">
        <v>2333</v>
      </c>
      <c r="M2827" s="43">
        <v>43</v>
      </c>
      <c r="N2827" s="113" t="s">
        <v>1113</v>
      </c>
      <c r="O2827" s="113"/>
      <c r="P2827" s="113"/>
      <c r="Q2827" s="113"/>
      <c r="R2827" s="113"/>
      <c r="S2827" s="113"/>
      <c r="T2827" s="113"/>
      <c r="U2827" s="113"/>
      <c r="V2827" s="113"/>
      <c r="W2827" s="113"/>
      <c r="X2827" s="113"/>
      <c r="Y2827" s="113"/>
      <c r="Z2827" s="113"/>
      <c r="AA2827" s="113"/>
      <c r="AB2827" s="113"/>
      <c r="AC2827" s="113"/>
      <c r="AD2827" s="113"/>
      <c r="AE2827" s="113"/>
      <c r="AF2827" s="113"/>
      <c r="AG2827" s="113"/>
      <c r="AH2827" s="113"/>
      <c r="AI2827" s="113"/>
      <c r="AJ2827" s="113"/>
      <c r="AK2827" s="113" t="s">
        <v>1113</v>
      </c>
      <c r="AL2827" s="113"/>
      <c r="AM2827" s="113"/>
      <c r="AN2827" s="113"/>
      <c r="AO2827" s="43" t="s">
        <v>2334</v>
      </c>
      <c r="AP2827" s="43" t="s">
        <v>4850</v>
      </c>
      <c r="AQ2827" s="233" t="str">
        <f>VLOOKUP(Table8[[#This Row],[Instrument]],Def_Targets!$D$73:$E$159,2,FALSE)</f>
        <v>I_Emobilitycharging</v>
      </c>
      <c r="AR2827" s="242" t="str">
        <f>VLOOKUP(Table8[[#This Row],[Country Code]],Table29[],3,FALSE)</f>
        <v>Annex I</v>
      </c>
      <c r="AS2827" s="242" t="str">
        <f>VLOOKUP(Table8[[#This Row],[Country Code]],Table29[],4,FALSE)</f>
        <v>Northern America</v>
      </c>
      <c r="AT2827" s="242" t="str">
        <f>VLOOKUP(Table8[[#This Row],[Country Code]],Table29[],5,FALSE)</f>
        <v>High-income</v>
      </c>
      <c r="AU2827" s="242" t="str">
        <f>VLOOKUP(Table8[[#This Row],[Country Code]],Table29[],6,FALSE)</f>
        <v>G20</v>
      </c>
      <c r="AV2827" s="242" t="str">
        <f>VLOOKUP(Table8[[#This Row],[Country Code]],Table29[],7,FALSE)</f>
        <v>G7</v>
      </c>
      <c r="AW2827" s="242" t="str">
        <f>VLOOKUP(Table8[[#This Row],[Country Code]],Table29[],8,FALSE)</f>
        <v>OECD</v>
      </c>
      <c r="AX2827" s="242" t="str">
        <f>VLOOKUP(Table8[[#This Row],[Country Code]],Table29[],9,FALSE)</f>
        <v>no</v>
      </c>
      <c r="AY2827" s="242" t="str">
        <f>VLOOKUP(Table8[[#This Row],[Country Code]],Table29[],10,FALSE)</f>
        <v>no</v>
      </c>
      <c r="AZ2827" s="242">
        <f>VLOOKUP(Table8[[#This Row],[Country Code]],Table29[],23,FALSE)</f>
        <v>747.67802680902003</v>
      </c>
      <c r="BA2827" s="242">
        <f>VLOOKUP(Table8[[#This Row],[Country Code]],Table29[],24,FALSE)</f>
        <v>169.021169926607</v>
      </c>
      <c r="BB2827" s="320"/>
      <c r="BC2827" s="320"/>
    </row>
    <row r="2828" spans="1:55" x14ac:dyDescent="0.25">
      <c r="A2828" s="373">
        <v>43987</v>
      </c>
      <c r="B2828" s="243" t="str">
        <f>VLOOKUP(Table8[[#This Row],[Document ID]],Table1[],2,FALSE)</f>
        <v>CAN</v>
      </c>
      <c r="C2828" s="243" t="str">
        <f>VLOOKUP(Table8[[#This Row],[Document ID]],Table1[],3,FALSE)</f>
        <v>Canada</v>
      </c>
      <c r="D2828" s="243" t="str">
        <f>VLOOKUP(Table8[[#This Row],[Document ID]],Table1[],5,FALSE)</f>
        <v>NDC</v>
      </c>
      <c r="E2828" s="233" t="str">
        <f>VLOOKUP(Table8[[#This Row],[Document ID]],Table1[],7,FALSE)</f>
        <v>Third NDC</v>
      </c>
      <c r="F2828" s="233" t="str">
        <f>VLOOKUP(Table8[[#This Row],[Document ID]],Table1[],8,FALSE)</f>
        <v>NDC 3.0</v>
      </c>
      <c r="G2828" s="233" t="str">
        <f>VLOOKUP(Table8[[#This Row],[Document ID]],Table1[],10,FALSE)</f>
        <v>Active</v>
      </c>
      <c r="H2828" s="43" t="s">
        <v>2358</v>
      </c>
      <c r="I2828" s="43" t="s">
        <v>2359</v>
      </c>
      <c r="J2828" s="43" t="s">
        <v>2383</v>
      </c>
      <c r="K2828" s="44" t="s">
        <v>4895</v>
      </c>
      <c r="L2828" s="44" t="s">
        <v>2333</v>
      </c>
      <c r="M2828" s="43">
        <v>44</v>
      </c>
      <c r="N2828" s="113"/>
      <c r="O2828" s="113"/>
      <c r="P2828" s="113"/>
      <c r="Q2828" s="113"/>
      <c r="R2828" s="113"/>
      <c r="S2828" s="113"/>
      <c r="T2828" s="113"/>
      <c r="U2828" s="113"/>
      <c r="V2828" s="113"/>
      <c r="W2828" s="113"/>
      <c r="X2828" s="113"/>
      <c r="Y2828" s="113"/>
      <c r="Z2828" s="113"/>
      <c r="AA2828" s="113"/>
      <c r="AB2828" s="113"/>
      <c r="AC2828" s="113"/>
      <c r="AD2828" s="113"/>
      <c r="AE2828" s="113"/>
      <c r="AF2828" s="113"/>
      <c r="AG2828" s="113"/>
      <c r="AH2828" s="113"/>
      <c r="AI2828" s="113"/>
      <c r="AJ2828" s="113"/>
      <c r="AK2828" s="113"/>
      <c r="AL2828" s="113"/>
      <c r="AM2828" s="113" t="s">
        <v>1113</v>
      </c>
      <c r="AN2828" s="113"/>
      <c r="AO2828" s="43" t="s">
        <v>2334</v>
      </c>
      <c r="AP2828" s="43" t="s">
        <v>4850</v>
      </c>
      <c r="AQ2828" s="233" t="str">
        <f>VLOOKUP(Table8[[#This Row],[Instrument]],Def_Targets!$D$73:$E$159,2,FALSE)</f>
        <v>I_Emobilitycharging</v>
      </c>
      <c r="AR2828" s="242" t="str">
        <f>VLOOKUP(Table8[[#This Row],[Country Code]],Table29[],3,FALSE)</f>
        <v>Annex I</v>
      </c>
      <c r="AS2828" s="242" t="str">
        <f>VLOOKUP(Table8[[#This Row],[Country Code]],Table29[],4,FALSE)</f>
        <v>Northern America</v>
      </c>
      <c r="AT2828" s="242" t="str">
        <f>VLOOKUP(Table8[[#This Row],[Country Code]],Table29[],5,FALSE)</f>
        <v>High-income</v>
      </c>
      <c r="AU2828" s="242" t="str">
        <f>VLOOKUP(Table8[[#This Row],[Country Code]],Table29[],6,FALSE)</f>
        <v>G20</v>
      </c>
      <c r="AV2828" s="242" t="str">
        <f>VLOOKUP(Table8[[#This Row],[Country Code]],Table29[],7,FALSE)</f>
        <v>G7</v>
      </c>
      <c r="AW2828" s="242" t="str">
        <f>VLOOKUP(Table8[[#This Row],[Country Code]],Table29[],8,FALSE)</f>
        <v>OECD</v>
      </c>
      <c r="AX2828" s="242" t="str">
        <f>VLOOKUP(Table8[[#This Row],[Country Code]],Table29[],9,FALSE)</f>
        <v>no</v>
      </c>
      <c r="AY2828" s="242" t="str">
        <f>VLOOKUP(Table8[[#This Row],[Country Code]],Table29[],10,FALSE)</f>
        <v>no</v>
      </c>
      <c r="AZ2828" s="242">
        <f>VLOOKUP(Table8[[#This Row],[Country Code]],Table29[],23,FALSE)</f>
        <v>747.67802680902003</v>
      </c>
      <c r="BA2828" s="242">
        <f>VLOOKUP(Table8[[#This Row],[Country Code]],Table29[],24,FALSE)</f>
        <v>169.021169926607</v>
      </c>
      <c r="BB2828" s="320"/>
      <c r="BC2828" s="320"/>
    </row>
    <row r="2829" spans="1:55" ht="30" x14ac:dyDescent="0.25">
      <c r="A2829" s="373">
        <v>43987</v>
      </c>
      <c r="B2829" s="243" t="str">
        <f>VLOOKUP(Table8[[#This Row],[Document ID]],Table1[],2,FALSE)</f>
        <v>CAN</v>
      </c>
      <c r="C2829" s="243" t="str">
        <f>VLOOKUP(Table8[[#This Row],[Document ID]],Table1[],3,FALSE)</f>
        <v>Canada</v>
      </c>
      <c r="D2829" s="243" t="str">
        <f>VLOOKUP(Table8[[#This Row],[Document ID]],Table1[],5,FALSE)</f>
        <v>NDC</v>
      </c>
      <c r="E2829" s="233" t="str">
        <f>VLOOKUP(Table8[[#This Row],[Document ID]],Table1[],7,FALSE)</f>
        <v>Third NDC</v>
      </c>
      <c r="F2829" s="233" t="str">
        <f>VLOOKUP(Table8[[#This Row],[Document ID]],Table1[],8,FALSE)</f>
        <v>NDC 3.0</v>
      </c>
      <c r="G2829" s="233" t="str">
        <f>VLOOKUP(Table8[[#This Row],[Document ID]],Table1[],10,FALSE)</f>
        <v>Active</v>
      </c>
      <c r="H2829" s="43" t="s">
        <v>2358</v>
      </c>
      <c r="I2829" s="43" t="s">
        <v>2359</v>
      </c>
      <c r="J2829" s="43" t="s">
        <v>2360</v>
      </c>
      <c r="K2829" s="44" t="s">
        <v>4896</v>
      </c>
      <c r="L2829" s="44" t="s">
        <v>2333</v>
      </c>
      <c r="M2829" s="43">
        <v>49</v>
      </c>
      <c r="N2829" s="113"/>
      <c r="O2829" s="113"/>
      <c r="P2829" s="113"/>
      <c r="Q2829" s="113"/>
      <c r="R2829" s="113"/>
      <c r="S2829" s="113"/>
      <c r="T2829" s="113"/>
      <c r="U2829" s="113" t="s">
        <v>1113</v>
      </c>
      <c r="V2829" s="113"/>
      <c r="W2829" s="113"/>
      <c r="X2829" s="113" t="s">
        <v>1113</v>
      </c>
      <c r="Y2829" s="113"/>
      <c r="Z2829" s="113" t="s">
        <v>1113</v>
      </c>
      <c r="AA2829" s="113"/>
      <c r="AB2829" s="113"/>
      <c r="AC2829" s="113"/>
      <c r="AD2829" s="113" t="s">
        <v>1113</v>
      </c>
      <c r="AE2829" s="113"/>
      <c r="AF2829" s="113"/>
      <c r="AG2829" s="113"/>
      <c r="AH2829" s="113" t="s">
        <v>1113</v>
      </c>
      <c r="AI2829" s="113"/>
      <c r="AJ2829" s="113"/>
      <c r="AK2829" s="113" t="s">
        <v>1113</v>
      </c>
      <c r="AL2829" s="113"/>
      <c r="AM2829" s="113"/>
      <c r="AN2829" s="113"/>
      <c r="AO2829" s="43" t="s">
        <v>2477</v>
      </c>
      <c r="AP2829" s="43" t="s">
        <v>4850</v>
      </c>
      <c r="AQ2829" s="233" t="str">
        <f>VLOOKUP(Table8[[#This Row],[Instrument]],Def_Targets!$D$73:$E$159,2,FALSE)</f>
        <v>I_Emobility</v>
      </c>
      <c r="AR2829" s="242" t="str">
        <f>VLOOKUP(Table8[[#This Row],[Country Code]],Table29[],3,FALSE)</f>
        <v>Annex I</v>
      </c>
      <c r="AS2829" s="242" t="str">
        <f>VLOOKUP(Table8[[#This Row],[Country Code]],Table29[],4,FALSE)</f>
        <v>Northern America</v>
      </c>
      <c r="AT2829" s="242" t="str">
        <f>VLOOKUP(Table8[[#This Row],[Country Code]],Table29[],5,FALSE)</f>
        <v>High-income</v>
      </c>
      <c r="AU2829" s="242" t="str">
        <f>VLOOKUP(Table8[[#This Row],[Country Code]],Table29[],6,FALSE)</f>
        <v>G20</v>
      </c>
      <c r="AV2829" s="242" t="str">
        <f>VLOOKUP(Table8[[#This Row],[Country Code]],Table29[],7,FALSE)</f>
        <v>G7</v>
      </c>
      <c r="AW2829" s="242" t="str">
        <f>VLOOKUP(Table8[[#This Row],[Country Code]],Table29[],8,FALSE)</f>
        <v>OECD</v>
      </c>
      <c r="AX2829" s="242" t="str">
        <f>VLOOKUP(Table8[[#This Row],[Country Code]],Table29[],9,FALSE)</f>
        <v>no</v>
      </c>
      <c r="AY2829" s="242" t="str">
        <f>VLOOKUP(Table8[[#This Row],[Country Code]],Table29[],10,FALSE)</f>
        <v>no</v>
      </c>
      <c r="AZ2829" s="242">
        <f>VLOOKUP(Table8[[#This Row],[Country Code]],Table29[],23,FALSE)</f>
        <v>747.67802680902003</v>
      </c>
      <c r="BA2829" s="242">
        <f>VLOOKUP(Table8[[#This Row],[Country Code]],Table29[],24,FALSE)</f>
        <v>169.021169926607</v>
      </c>
      <c r="BB2829" s="320"/>
      <c r="BC2829" s="320"/>
    </row>
    <row r="2830" spans="1:55" ht="90" x14ac:dyDescent="0.25">
      <c r="A2830" s="373">
        <v>43987</v>
      </c>
      <c r="B2830" s="243" t="str">
        <f>VLOOKUP(Table8[[#This Row],[Document ID]],Table1[],2,FALSE)</f>
        <v>CAN</v>
      </c>
      <c r="C2830" s="243" t="str">
        <f>VLOOKUP(Table8[[#This Row],[Document ID]],Table1[],3,FALSE)</f>
        <v>Canada</v>
      </c>
      <c r="D2830" s="243" t="str">
        <f>VLOOKUP(Table8[[#This Row],[Document ID]],Table1[],5,FALSE)</f>
        <v>NDC</v>
      </c>
      <c r="E2830" s="233" t="str">
        <f>VLOOKUP(Table8[[#This Row],[Document ID]],Table1[],7,FALSE)</f>
        <v>Third NDC</v>
      </c>
      <c r="F2830" s="233" t="str">
        <f>VLOOKUP(Table8[[#This Row],[Document ID]],Table1[],8,FALSE)</f>
        <v>NDC 3.0</v>
      </c>
      <c r="G2830" s="233" t="str">
        <f>VLOOKUP(Table8[[#This Row],[Document ID]],Table1[],10,FALSE)</f>
        <v>Active</v>
      </c>
      <c r="H2830" s="43" t="s">
        <v>2358</v>
      </c>
      <c r="I2830" s="43" t="s">
        <v>2359</v>
      </c>
      <c r="J2830" s="43" t="s">
        <v>2383</v>
      </c>
      <c r="K2830" s="44" t="s">
        <v>4867</v>
      </c>
      <c r="L2830" s="44" t="s">
        <v>2333</v>
      </c>
      <c r="M2830" s="43">
        <v>49</v>
      </c>
      <c r="N2830" s="113" t="s">
        <v>1113</v>
      </c>
      <c r="O2830" s="113"/>
      <c r="P2830" s="113"/>
      <c r="Q2830" s="113"/>
      <c r="R2830" s="113"/>
      <c r="S2830" s="113"/>
      <c r="T2830" s="113"/>
      <c r="U2830" s="113"/>
      <c r="V2830" s="113"/>
      <c r="W2830" s="113"/>
      <c r="X2830" s="113"/>
      <c r="Y2830" s="113"/>
      <c r="Z2830" s="113"/>
      <c r="AA2830" s="113"/>
      <c r="AB2830" s="113"/>
      <c r="AC2830" s="113"/>
      <c r="AD2830" s="113"/>
      <c r="AE2830" s="113"/>
      <c r="AF2830" s="113"/>
      <c r="AG2830" s="113"/>
      <c r="AH2830" s="113"/>
      <c r="AI2830" s="113"/>
      <c r="AJ2830" s="113"/>
      <c r="AK2830" s="113" t="s">
        <v>1113</v>
      </c>
      <c r="AL2830" s="113"/>
      <c r="AM2830" s="113"/>
      <c r="AN2830" s="113"/>
      <c r="AO2830" s="43" t="s">
        <v>2334</v>
      </c>
      <c r="AP2830" s="43" t="s">
        <v>4850</v>
      </c>
      <c r="AQ2830" s="233" t="str">
        <f>VLOOKUP(Table8[[#This Row],[Instrument]],Def_Targets!$D$73:$E$159,2,FALSE)</f>
        <v>I_Emobilitycharging</v>
      </c>
      <c r="AR2830" s="242" t="str">
        <f>VLOOKUP(Table8[[#This Row],[Country Code]],Table29[],3,FALSE)</f>
        <v>Annex I</v>
      </c>
      <c r="AS2830" s="242" t="str">
        <f>VLOOKUP(Table8[[#This Row],[Country Code]],Table29[],4,FALSE)</f>
        <v>Northern America</v>
      </c>
      <c r="AT2830" s="242" t="str">
        <f>VLOOKUP(Table8[[#This Row],[Country Code]],Table29[],5,FALSE)</f>
        <v>High-income</v>
      </c>
      <c r="AU2830" s="242" t="str">
        <f>VLOOKUP(Table8[[#This Row],[Country Code]],Table29[],6,FALSE)</f>
        <v>G20</v>
      </c>
      <c r="AV2830" s="242" t="str">
        <f>VLOOKUP(Table8[[#This Row],[Country Code]],Table29[],7,FALSE)</f>
        <v>G7</v>
      </c>
      <c r="AW2830" s="242" t="str">
        <f>VLOOKUP(Table8[[#This Row],[Country Code]],Table29[],8,FALSE)</f>
        <v>OECD</v>
      </c>
      <c r="AX2830" s="242" t="str">
        <f>VLOOKUP(Table8[[#This Row],[Country Code]],Table29[],9,FALSE)</f>
        <v>no</v>
      </c>
      <c r="AY2830" s="242" t="str">
        <f>VLOOKUP(Table8[[#This Row],[Country Code]],Table29[],10,FALSE)</f>
        <v>no</v>
      </c>
      <c r="AZ2830" s="242">
        <f>VLOOKUP(Table8[[#This Row],[Country Code]],Table29[],23,FALSE)</f>
        <v>747.67802680902003</v>
      </c>
      <c r="BA2830" s="242">
        <f>VLOOKUP(Table8[[#This Row],[Country Code]],Table29[],24,FALSE)</f>
        <v>169.021169926607</v>
      </c>
      <c r="BB2830" s="320"/>
      <c r="BC2830" s="320"/>
    </row>
    <row r="2831" spans="1:55" ht="30" x14ac:dyDescent="0.25">
      <c r="A2831" s="373">
        <v>43987</v>
      </c>
      <c r="B2831" s="243" t="str">
        <f>VLOOKUP(Table8[[#This Row],[Document ID]],Table1[],2,FALSE)</f>
        <v>CAN</v>
      </c>
      <c r="C2831" s="243" t="str">
        <f>VLOOKUP(Table8[[#This Row],[Document ID]],Table1[],3,FALSE)</f>
        <v>Canada</v>
      </c>
      <c r="D2831" s="243" t="str">
        <f>VLOOKUP(Table8[[#This Row],[Document ID]],Table1[],5,FALSE)</f>
        <v>NDC</v>
      </c>
      <c r="E2831" s="233" t="str">
        <f>VLOOKUP(Table8[[#This Row],[Document ID]],Table1[],7,FALSE)</f>
        <v>Third NDC</v>
      </c>
      <c r="F2831" s="233" t="str">
        <f>VLOOKUP(Table8[[#This Row],[Document ID]],Table1[],8,FALSE)</f>
        <v>NDC 3.0</v>
      </c>
      <c r="G2831" s="233" t="str">
        <f>VLOOKUP(Table8[[#This Row],[Document ID]],Table1[],10,FALSE)</f>
        <v>Active</v>
      </c>
      <c r="H2831" s="43" t="s">
        <v>2358</v>
      </c>
      <c r="I2831" s="43" t="s">
        <v>2359</v>
      </c>
      <c r="J2831" s="43" t="s">
        <v>2360</v>
      </c>
      <c r="K2831" s="44" t="s">
        <v>4897</v>
      </c>
      <c r="L2831" s="44" t="s">
        <v>3939</v>
      </c>
      <c r="M2831" s="43">
        <v>68</v>
      </c>
      <c r="N2831" s="113"/>
      <c r="O2831" s="113"/>
      <c r="P2831" s="113"/>
      <c r="Q2831" s="113"/>
      <c r="R2831" s="113"/>
      <c r="S2831" s="113"/>
      <c r="T2831" s="113"/>
      <c r="U2831" s="113"/>
      <c r="V2831" s="113"/>
      <c r="W2831" s="113"/>
      <c r="X2831" s="113"/>
      <c r="Y2831" s="113" t="s">
        <v>1113</v>
      </c>
      <c r="Z2831" s="113"/>
      <c r="AA2831" s="113"/>
      <c r="AB2831" s="113"/>
      <c r="AC2831" s="113"/>
      <c r="AD2831" s="113"/>
      <c r="AE2831" s="113"/>
      <c r="AF2831" s="113"/>
      <c r="AG2831" s="113"/>
      <c r="AH2831" s="113"/>
      <c r="AI2831" s="113"/>
      <c r="AJ2831" s="113"/>
      <c r="AK2831" s="113"/>
      <c r="AL2831" s="113"/>
      <c r="AM2831" s="113"/>
      <c r="AN2831" s="113"/>
      <c r="AO2831" s="43"/>
      <c r="AP2831" s="43"/>
      <c r="AQ2831" s="233" t="str">
        <f>VLOOKUP(Table8[[#This Row],[Instrument]],Def_Targets!$D$73:$E$159,2,FALSE)</f>
        <v>I_Emobility</v>
      </c>
      <c r="AR2831" s="242" t="str">
        <f>VLOOKUP(Table8[[#This Row],[Country Code]],Table29[],3,FALSE)</f>
        <v>Annex I</v>
      </c>
      <c r="AS2831" s="242" t="str">
        <f>VLOOKUP(Table8[[#This Row],[Country Code]],Table29[],4,FALSE)</f>
        <v>Northern America</v>
      </c>
      <c r="AT2831" s="242" t="str">
        <f>VLOOKUP(Table8[[#This Row],[Country Code]],Table29[],5,FALSE)</f>
        <v>High-income</v>
      </c>
      <c r="AU2831" s="242" t="str">
        <f>VLOOKUP(Table8[[#This Row],[Country Code]],Table29[],6,FALSE)</f>
        <v>G20</v>
      </c>
      <c r="AV2831" s="242" t="str">
        <f>VLOOKUP(Table8[[#This Row],[Country Code]],Table29[],7,FALSE)</f>
        <v>G7</v>
      </c>
      <c r="AW2831" s="242" t="str">
        <f>VLOOKUP(Table8[[#This Row],[Country Code]],Table29[],8,FALSE)</f>
        <v>OECD</v>
      </c>
      <c r="AX2831" s="242" t="str">
        <f>VLOOKUP(Table8[[#This Row],[Country Code]],Table29[],9,FALSE)</f>
        <v>no</v>
      </c>
      <c r="AY2831" s="242" t="str">
        <f>VLOOKUP(Table8[[#This Row],[Country Code]],Table29[],10,FALSE)</f>
        <v>no</v>
      </c>
      <c r="AZ2831" s="242">
        <f>VLOOKUP(Table8[[#This Row],[Country Code]],Table29[],23,FALSE)</f>
        <v>747.67802680902003</v>
      </c>
      <c r="BA2831" s="242">
        <f>VLOOKUP(Table8[[#This Row],[Country Code]],Table29[],24,FALSE)</f>
        <v>169.021169926607</v>
      </c>
      <c r="BB2831" s="320"/>
      <c r="BC2831" s="320"/>
    </row>
    <row r="2832" spans="1:55" ht="15" customHeight="1" x14ac:dyDescent="0.25">
      <c r="A2832" s="373">
        <v>43987</v>
      </c>
      <c r="B2832" s="243" t="str">
        <f>VLOOKUP(Table8[[#This Row],[Document ID]],Table1[],2,FALSE)</f>
        <v>CAN</v>
      </c>
      <c r="C2832" s="243" t="str">
        <f>VLOOKUP(Table8[[#This Row],[Document ID]],Table1[],3,FALSE)</f>
        <v>Canada</v>
      </c>
      <c r="D2832" s="243" t="str">
        <f>VLOOKUP(Table8[[#This Row],[Document ID]],Table1[],5,FALSE)</f>
        <v>NDC</v>
      </c>
      <c r="E2832" s="233" t="str">
        <f>VLOOKUP(Table8[[#This Row],[Document ID]],Table1[],7,FALSE)</f>
        <v>Third NDC</v>
      </c>
      <c r="F2832" s="233" t="str">
        <f>VLOOKUP(Table8[[#This Row],[Document ID]],Table1[],8,FALSE)</f>
        <v>NDC 3.0</v>
      </c>
      <c r="G2832" s="233" t="str">
        <f>VLOOKUP(Table8[[#This Row],[Document ID]],Table1[],10,FALSE)</f>
        <v>Active</v>
      </c>
      <c r="H2832" s="43" t="s">
        <v>2358</v>
      </c>
      <c r="I2832" s="43" t="s">
        <v>2359</v>
      </c>
      <c r="J2832" s="43" t="s">
        <v>2389</v>
      </c>
      <c r="K2832" s="44" t="s">
        <v>4898</v>
      </c>
      <c r="L2832" s="44" t="s">
        <v>2333</v>
      </c>
      <c r="M2832" s="43">
        <v>68</v>
      </c>
      <c r="N2832" s="113" t="s">
        <v>1113</v>
      </c>
      <c r="O2832" s="113"/>
      <c r="P2832" s="113"/>
      <c r="Q2832" s="113"/>
      <c r="R2832" s="113"/>
      <c r="S2832" s="113"/>
      <c r="T2832" s="113"/>
      <c r="U2832" s="113"/>
      <c r="V2832" s="113"/>
      <c r="W2832" s="113"/>
      <c r="X2832" s="113"/>
      <c r="Y2832" s="113"/>
      <c r="Z2832" s="113"/>
      <c r="AA2832" s="113"/>
      <c r="AB2832" s="113"/>
      <c r="AC2832" s="113"/>
      <c r="AD2832" s="113"/>
      <c r="AE2832" s="113"/>
      <c r="AF2832" s="113"/>
      <c r="AG2832" s="113"/>
      <c r="AH2832" s="113"/>
      <c r="AI2832" s="113"/>
      <c r="AJ2832" s="113"/>
      <c r="AK2832" s="113" t="s">
        <v>1113</v>
      </c>
      <c r="AL2832" s="113"/>
      <c r="AM2832" s="113"/>
      <c r="AN2832" s="113"/>
      <c r="AO2832" s="43" t="s">
        <v>2334</v>
      </c>
      <c r="AP2832" s="43" t="s">
        <v>4850</v>
      </c>
      <c r="AQ2832" s="233" t="str">
        <f>VLOOKUP(Table8[[#This Row],[Instrument]],Def_Targets!$D$73:$E$159,2,FALSE)</f>
        <v>I_Emobilitypurchase</v>
      </c>
      <c r="AR2832" s="242" t="str">
        <f>VLOOKUP(Table8[[#This Row],[Country Code]],Table29[],3,FALSE)</f>
        <v>Annex I</v>
      </c>
      <c r="AS2832" s="242" t="str">
        <f>VLOOKUP(Table8[[#This Row],[Country Code]],Table29[],4,FALSE)</f>
        <v>Northern America</v>
      </c>
      <c r="AT2832" s="242" t="str">
        <f>VLOOKUP(Table8[[#This Row],[Country Code]],Table29[],5,FALSE)</f>
        <v>High-income</v>
      </c>
      <c r="AU2832" s="242" t="str">
        <f>VLOOKUP(Table8[[#This Row],[Country Code]],Table29[],6,FALSE)</f>
        <v>G20</v>
      </c>
      <c r="AV2832" s="242" t="str">
        <f>VLOOKUP(Table8[[#This Row],[Country Code]],Table29[],7,FALSE)</f>
        <v>G7</v>
      </c>
      <c r="AW2832" s="242" t="str">
        <f>VLOOKUP(Table8[[#This Row],[Country Code]],Table29[],8,FALSE)</f>
        <v>OECD</v>
      </c>
      <c r="AX2832" s="242" t="str">
        <f>VLOOKUP(Table8[[#This Row],[Country Code]],Table29[],9,FALSE)</f>
        <v>no</v>
      </c>
      <c r="AY2832" s="242" t="str">
        <f>VLOOKUP(Table8[[#This Row],[Country Code]],Table29[],10,FALSE)</f>
        <v>no</v>
      </c>
      <c r="AZ2832" s="242">
        <f>VLOOKUP(Table8[[#This Row],[Country Code]],Table29[],23,FALSE)</f>
        <v>747.67802680902003</v>
      </c>
      <c r="BA2832" s="242">
        <f>VLOOKUP(Table8[[#This Row],[Country Code]],Table29[],24,FALSE)</f>
        <v>169.021169926607</v>
      </c>
      <c r="BB2832" s="320"/>
      <c r="BC2832" s="320"/>
    </row>
    <row r="2833" spans="1:55" ht="30" x14ac:dyDescent="0.25">
      <c r="A2833" s="373">
        <v>43987</v>
      </c>
      <c r="B2833" s="243" t="str">
        <f>VLOOKUP(Table8[[#This Row],[Document ID]],Table1[],2,FALSE)</f>
        <v>CAN</v>
      </c>
      <c r="C2833" s="243" t="str">
        <f>VLOOKUP(Table8[[#This Row],[Document ID]],Table1[],3,FALSE)</f>
        <v>Canada</v>
      </c>
      <c r="D2833" s="243" t="str">
        <f>VLOOKUP(Table8[[#This Row],[Document ID]],Table1[],5,FALSE)</f>
        <v>NDC</v>
      </c>
      <c r="E2833" s="233" t="str">
        <f>VLOOKUP(Table8[[#This Row],[Document ID]],Table1[],7,FALSE)</f>
        <v>Third NDC</v>
      </c>
      <c r="F2833" s="233" t="str">
        <f>VLOOKUP(Table8[[#This Row],[Document ID]],Table1[],8,FALSE)</f>
        <v>NDC 3.0</v>
      </c>
      <c r="G2833" s="233" t="str">
        <f>VLOOKUP(Table8[[#This Row],[Document ID]],Table1[],10,FALSE)</f>
        <v>Active</v>
      </c>
      <c r="H2833" s="43" t="s">
        <v>2358</v>
      </c>
      <c r="I2833" s="43" t="s">
        <v>2359</v>
      </c>
      <c r="J2833" s="43" t="s">
        <v>2383</v>
      </c>
      <c r="K2833" s="44" t="s">
        <v>4898</v>
      </c>
      <c r="L2833" s="44" t="s">
        <v>2333</v>
      </c>
      <c r="M2833" s="43">
        <v>68</v>
      </c>
      <c r="N2833" s="113" t="s">
        <v>1113</v>
      </c>
      <c r="O2833" s="113"/>
      <c r="P2833" s="113"/>
      <c r="Q2833" s="113"/>
      <c r="R2833" s="113"/>
      <c r="S2833" s="113"/>
      <c r="T2833" s="113"/>
      <c r="U2833" s="113"/>
      <c r="V2833" s="113"/>
      <c r="W2833" s="113"/>
      <c r="X2833" s="113"/>
      <c r="Y2833" s="113"/>
      <c r="Z2833" s="113"/>
      <c r="AA2833" s="113"/>
      <c r="AB2833" s="113"/>
      <c r="AC2833" s="113"/>
      <c r="AD2833" s="113"/>
      <c r="AE2833" s="113"/>
      <c r="AF2833" s="113"/>
      <c r="AG2833" s="113"/>
      <c r="AH2833" s="113"/>
      <c r="AI2833" s="113"/>
      <c r="AJ2833" s="113"/>
      <c r="AK2833" s="113" t="s">
        <v>1113</v>
      </c>
      <c r="AL2833" s="113"/>
      <c r="AM2833" s="113"/>
      <c r="AN2833" s="113"/>
      <c r="AO2833" s="43" t="s">
        <v>2334</v>
      </c>
      <c r="AP2833" s="43" t="s">
        <v>4850</v>
      </c>
      <c r="AQ2833" s="233" t="str">
        <f>VLOOKUP(Table8[[#This Row],[Instrument]],Def_Targets!$D$73:$E$159,2,FALSE)</f>
        <v>I_Emobilitycharging</v>
      </c>
      <c r="AR2833" s="242" t="str">
        <f>VLOOKUP(Table8[[#This Row],[Country Code]],Table29[],3,FALSE)</f>
        <v>Annex I</v>
      </c>
      <c r="AS2833" s="242" t="str">
        <f>VLOOKUP(Table8[[#This Row],[Country Code]],Table29[],4,FALSE)</f>
        <v>Northern America</v>
      </c>
      <c r="AT2833" s="242" t="str">
        <f>VLOOKUP(Table8[[#This Row],[Country Code]],Table29[],5,FALSE)</f>
        <v>High-income</v>
      </c>
      <c r="AU2833" s="242" t="str">
        <f>VLOOKUP(Table8[[#This Row],[Country Code]],Table29[],6,FALSE)</f>
        <v>G20</v>
      </c>
      <c r="AV2833" s="242" t="str">
        <f>VLOOKUP(Table8[[#This Row],[Country Code]],Table29[],7,FALSE)</f>
        <v>G7</v>
      </c>
      <c r="AW2833" s="242" t="str">
        <f>VLOOKUP(Table8[[#This Row],[Country Code]],Table29[],8,FALSE)</f>
        <v>OECD</v>
      </c>
      <c r="AX2833" s="242" t="str">
        <f>VLOOKUP(Table8[[#This Row],[Country Code]],Table29[],9,FALSE)</f>
        <v>no</v>
      </c>
      <c r="AY2833" s="242" t="str">
        <f>VLOOKUP(Table8[[#This Row],[Country Code]],Table29[],10,FALSE)</f>
        <v>no</v>
      </c>
      <c r="AZ2833" s="242">
        <f>VLOOKUP(Table8[[#This Row],[Country Code]],Table29[],23,FALSE)</f>
        <v>747.67802680902003</v>
      </c>
      <c r="BA2833" s="242">
        <f>VLOOKUP(Table8[[#This Row],[Country Code]],Table29[],24,FALSE)</f>
        <v>169.021169926607</v>
      </c>
      <c r="BB2833" s="320"/>
      <c r="BC2833" s="320"/>
    </row>
    <row r="2834" spans="1:55" ht="30" x14ac:dyDescent="0.25">
      <c r="A2834" s="373">
        <v>43987</v>
      </c>
      <c r="B2834" s="243" t="str">
        <f>VLOOKUP(Table8[[#This Row],[Document ID]],Table1[],2,FALSE)</f>
        <v>CAN</v>
      </c>
      <c r="C2834" s="243" t="str">
        <f>VLOOKUP(Table8[[#This Row],[Document ID]],Table1[],3,FALSE)</f>
        <v>Canada</v>
      </c>
      <c r="D2834" s="243" t="str">
        <f>VLOOKUP(Table8[[#This Row],[Document ID]],Table1[],5,FALSE)</f>
        <v>NDC</v>
      </c>
      <c r="E2834" s="233" t="str">
        <f>VLOOKUP(Table8[[#This Row],[Document ID]],Table1[],7,FALSE)</f>
        <v>Third NDC</v>
      </c>
      <c r="F2834" s="233" t="str">
        <f>VLOOKUP(Table8[[#This Row],[Document ID]],Table1[],8,FALSE)</f>
        <v>NDC 3.0</v>
      </c>
      <c r="G2834" s="233" t="str">
        <f>VLOOKUP(Table8[[#This Row],[Document ID]],Table1[],10,FALSE)</f>
        <v>Active</v>
      </c>
      <c r="H2834" s="43" t="s">
        <v>2358</v>
      </c>
      <c r="I2834" s="43" t="s">
        <v>2359</v>
      </c>
      <c r="J2834" s="43" t="s">
        <v>2389</v>
      </c>
      <c r="K2834" s="44" t="s">
        <v>4899</v>
      </c>
      <c r="L2834" s="44" t="s">
        <v>2333</v>
      </c>
      <c r="M2834" s="43">
        <v>68</v>
      </c>
      <c r="N2834" s="113"/>
      <c r="O2834" s="113"/>
      <c r="P2834" s="113"/>
      <c r="Q2834" s="113"/>
      <c r="R2834" s="113"/>
      <c r="S2834" s="113"/>
      <c r="T2834" s="113"/>
      <c r="U2834" s="113"/>
      <c r="V2834" s="113"/>
      <c r="W2834" s="113"/>
      <c r="X2834" s="113" t="s">
        <v>1113</v>
      </c>
      <c r="Y2834" s="113"/>
      <c r="Z2834" s="113"/>
      <c r="AA2834" s="113"/>
      <c r="AB2834" s="113"/>
      <c r="AC2834" s="113"/>
      <c r="AD2834" s="113"/>
      <c r="AE2834" s="113"/>
      <c r="AF2834" s="113"/>
      <c r="AG2834" s="113"/>
      <c r="AH2834" s="113"/>
      <c r="AI2834" s="113"/>
      <c r="AJ2834" s="113"/>
      <c r="AK2834" s="113"/>
      <c r="AL2834" s="113"/>
      <c r="AM2834" s="113"/>
      <c r="AN2834" s="113"/>
      <c r="AO2834" s="43" t="s">
        <v>2353</v>
      </c>
      <c r="AP2834" s="43" t="s">
        <v>4850</v>
      </c>
      <c r="AQ2834" s="233" t="str">
        <f>VLOOKUP(Table8[[#This Row],[Instrument]],Def_Targets!$D$73:$E$159,2,FALSE)</f>
        <v>I_Emobilitypurchase</v>
      </c>
      <c r="AR2834" s="242" t="str">
        <f>VLOOKUP(Table8[[#This Row],[Country Code]],Table29[],3,FALSE)</f>
        <v>Annex I</v>
      </c>
      <c r="AS2834" s="242" t="str">
        <f>VLOOKUP(Table8[[#This Row],[Country Code]],Table29[],4,FALSE)</f>
        <v>Northern America</v>
      </c>
      <c r="AT2834" s="242" t="str">
        <f>VLOOKUP(Table8[[#This Row],[Country Code]],Table29[],5,FALSE)</f>
        <v>High-income</v>
      </c>
      <c r="AU2834" s="242" t="str">
        <f>VLOOKUP(Table8[[#This Row],[Country Code]],Table29[],6,FALSE)</f>
        <v>G20</v>
      </c>
      <c r="AV2834" s="242" t="str">
        <f>VLOOKUP(Table8[[#This Row],[Country Code]],Table29[],7,FALSE)</f>
        <v>G7</v>
      </c>
      <c r="AW2834" s="242" t="str">
        <f>VLOOKUP(Table8[[#This Row],[Country Code]],Table29[],8,FALSE)</f>
        <v>OECD</v>
      </c>
      <c r="AX2834" s="242" t="str">
        <f>VLOOKUP(Table8[[#This Row],[Country Code]],Table29[],9,FALSE)</f>
        <v>no</v>
      </c>
      <c r="AY2834" s="242" t="str">
        <f>VLOOKUP(Table8[[#This Row],[Country Code]],Table29[],10,FALSE)</f>
        <v>no</v>
      </c>
      <c r="AZ2834" s="242">
        <f>VLOOKUP(Table8[[#This Row],[Country Code]],Table29[],23,FALSE)</f>
        <v>747.67802680902003</v>
      </c>
      <c r="BA2834" s="242">
        <f>VLOOKUP(Table8[[#This Row],[Country Code]],Table29[],24,FALSE)</f>
        <v>169.021169926607</v>
      </c>
      <c r="BB2834" s="320"/>
      <c r="BC2834" s="320"/>
    </row>
    <row r="2835" spans="1:55" ht="30" x14ac:dyDescent="0.25">
      <c r="A2835" s="373">
        <v>43987</v>
      </c>
      <c r="B2835" s="243" t="str">
        <f>VLOOKUP(Table8[[#This Row],[Document ID]],Table1[],2,FALSE)</f>
        <v>CAN</v>
      </c>
      <c r="C2835" s="243" t="str">
        <f>VLOOKUP(Table8[[#This Row],[Document ID]],Table1[],3,FALSE)</f>
        <v>Canada</v>
      </c>
      <c r="D2835" s="243" t="str">
        <f>VLOOKUP(Table8[[#This Row],[Document ID]],Table1[],5,FALSE)</f>
        <v>NDC</v>
      </c>
      <c r="E2835" s="233" t="str">
        <f>VLOOKUP(Table8[[#This Row],[Document ID]],Table1[],7,FALSE)</f>
        <v>Third NDC</v>
      </c>
      <c r="F2835" s="233" t="str">
        <f>VLOOKUP(Table8[[#This Row],[Document ID]],Table1[],8,FALSE)</f>
        <v>NDC 3.0</v>
      </c>
      <c r="G2835" s="233" t="str">
        <f>VLOOKUP(Table8[[#This Row],[Document ID]],Table1[],10,FALSE)</f>
        <v>Active</v>
      </c>
      <c r="H2835" s="43" t="s">
        <v>2358</v>
      </c>
      <c r="I2835" s="43" t="s">
        <v>2359</v>
      </c>
      <c r="J2835" s="43" t="s">
        <v>2383</v>
      </c>
      <c r="K2835" s="44" t="s">
        <v>4900</v>
      </c>
      <c r="L2835" s="44" t="s">
        <v>2333</v>
      </c>
      <c r="M2835" s="43">
        <v>85</v>
      </c>
      <c r="N2835" s="113" t="s">
        <v>1113</v>
      </c>
      <c r="O2835" s="113"/>
      <c r="P2835" s="113"/>
      <c r="Q2835" s="113"/>
      <c r="R2835" s="113"/>
      <c r="S2835" s="113"/>
      <c r="T2835" s="113"/>
      <c r="U2835" s="113"/>
      <c r="V2835" s="113"/>
      <c r="W2835" s="113"/>
      <c r="X2835" s="113"/>
      <c r="Y2835" s="113"/>
      <c r="Z2835" s="113"/>
      <c r="AA2835" s="113"/>
      <c r="AB2835" s="113"/>
      <c r="AC2835" s="113"/>
      <c r="AD2835" s="113"/>
      <c r="AE2835" s="113"/>
      <c r="AF2835" s="113"/>
      <c r="AG2835" s="113"/>
      <c r="AH2835" s="113"/>
      <c r="AI2835" s="113"/>
      <c r="AJ2835" s="113"/>
      <c r="AK2835" s="113"/>
      <c r="AL2835" s="113"/>
      <c r="AM2835" s="113"/>
      <c r="AN2835" s="113"/>
      <c r="AO2835" s="43" t="s">
        <v>2334</v>
      </c>
      <c r="AP2835" s="43" t="s">
        <v>4850</v>
      </c>
      <c r="AQ2835" s="233" t="str">
        <f>VLOOKUP(Table8[[#This Row],[Instrument]],Def_Targets!$D$73:$E$159,2,FALSE)</f>
        <v>I_Emobilitycharging</v>
      </c>
      <c r="AR2835" s="242" t="str">
        <f>VLOOKUP(Table8[[#This Row],[Country Code]],Table29[],3,FALSE)</f>
        <v>Annex I</v>
      </c>
      <c r="AS2835" s="242" t="str">
        <f>VLOOKUP(Table8[[#This Row],[Country Code]],Table29[],4,FALSE)</f>
        <v>Northern America</v>
      </c>
      <c r="AT2835" s="242" t="str">
        <f>VLOOKUP(Table8[[#This Row],[Country Code]],Table29[],5,FALSE)</f>
        <v>High-income</v>
      </c>
      <c r="AU2835" s="242" t="str">
        <f>VLOOKUP(Table8[[#This Row],[Country Code]],Table29[],6,FALSE)</f>
        <v>G20</v>
      </c>
      <c r="AV2835" s="242" t="str">
        <f>VLOOKUP(Table8[[#This Row],[Country Code]],Table29[],7,FALSE)</f>
        <v>G7</v>
      </c>
      <c r="AW2835" s="242" t="str">
        <f>VLOOKUP(Table8[[#This Row],[Country Code]],Table29[],8,FALSE)</f>
        <v>OECD</v>
      </c>
      <c r="AX2835" s="242" t="str">
        <f>VLOOKUP(Table8[[#This Row],[Country Code]],Table29[],9,FALSE)</f>
        <v>no</v>
      </c>
      <c r="AY2835" s="242" t="str">
        <f>VLOOKUP(Table8[[#This Row],[Country Code]],Table29[],10,FALSE)</f>
        <v>no</v>
      </c>
      <c r="AZ2835" s="242">
        <f>VLOOKUP(Table8[[#This Row],[Country Code]],Table29[],23,FALSE)</f>
        <v>747.67802680902003</v>
      </c>
      <c r="BA2835" s="242">
        <f>VLOOKUP(Table8[[#This Row],[Country Code]],Table29[],24,FALSE)</f>
        <v>169.021169926607</v>
      </c>
      <c r="BB2835" s="320"/>
      <c r="BC2835" s="320"/>
    </row>
    <row r="2836" spans="1:55" ht="15" customHeight="1" x14ac:dyDescent="0.25">
      <c r="A2836" s="373">
        <v>43987</v>
      </c>
      <c r="B2836" s="243" t="str">
        <f>VLOOKUP(Table8[[#This Row],[Document ID]],Table1[],2,FALSE)</f>
        <v>CAN</v>
      </c>
      <c r="C2836" s="243" t="str">
        <f>VLOOKUP(Table8[[#This Row],[Document ID]],Table1[],3,FALSE)</f>
        <v>Canada</v>
      </c>
      <c r="D2836" s="243" t="str">
        <f>VLOOKUP(Table8[[#This Row],[Document ID]],Table1[],5,FALSE)</f>
        <v>NDC</v>
      </c>
      <c r="E2836" s="233" t="str">
        <f>VLOOKUP(Table8[[#This Row],[Document ID]],Table1[],7,FALSE)</f>
        <v>Third NDC</v>
      </c>
      <c r="F2836" s="233" t="str">
        <f>VLOOKUP(Table8[[#This Row],[Document ID]],Table1[],8,FALSE)</f>
        <v>NDC 3.0</v>
      </c>
      <c r="G2836" s="233" t="str">
        <f>VLOOKUP(Table8[[#This Row],[Document ID]],Table1[],10,FALSE)</f>
        <v>Active</v>
      </c>
      <c r="H2836" s="43" t="s">
        <v>2358</v>
      </c>
      <c r="I2836" s="43" t="s">
        <v>2359</v>
      </c>
      <c r="J2836" s="43" t="s">
        <v>2360</v>
      </c>
      <c r="K2836" s="44" t="s">
        <v>4901</v>
      </c>
      <c r="L2836" s="44" t="s">
        <v>2333</v>
      </c>
      <c r="M2836" s="43">
        <v>90</v>
      </c>
      <c r="N2836" s="113" t="s">
        <v>1113</v>
      </c>
      <c r="O2836" s="113"/>
      <c r="P2836" s="113"/>
      <c r="Q2836" s="113"/>
      <c r="R2836" s="113"/>
      <c r="S2836" s="113"/>
      <c r="T2836" s="113"/>
      <c r="U2836" s="113"/>
      <c r="V2836" s="113"/>
      <c r="W2836" s="113"/>
      <c r="X2836" s="113"/>
      <c r="Y2836" s="113"/>
      <c r="Z2836" s="113"/>
      <c r="AA2836" s="113"/>
      <c r="AB2836" s="113"/>
      <c r="AC2836" s="113"/>
      <c r="AD2836" s="113"/>
      <c r="AE2836" s="113"/>
      <c r="AF2836" s="113"/>
      <c r="AG2836" s="113"/>
      <c r="AH2836" s="113"/>
      <c r="AI2836" s="113"/>
      <c r="AJ2836" s="113"/>
      <c r="AK2836" s="113"/>
      <c r="AL2836" s="113"/>
      <c r="AM2836" s="113"/>
      <c r="AN2836" s="113"/>
      <c r="AO2836" s="43" t="s">
        <v>2334</v>
      </c>
      <c r="AP2836" s="43" t="s">
        <v>4850</v>
      </c>
      <c r="AQ2836" s="233" t="str">
        <f>VLOOKUP(Table8[[#This Row],[Instrument]],Def_Targets!$D$73:$E$159,2,FALSE)</f>
        <v>I_Emobility</v>
      </c>
      <c r="AR2836" s="242" t="str">
        <f>VLOOKUP(Table8[[#This Row],[Country Code]],Table29[],3,FALSE)</f>
        <v>Annex I</v>
      </c>
      <c r="AS2836" s="242" t="str">
        <f>VLOOKUP(Table8[[#This Row],[Country Code]],Table29[],4,FALSE)</f>
        <v>Northern America</v>
      </c>
      <c r="AT2836" s="242" t="str">
        <f>VLOOKUP(Table8[[#This Row],[Country Code]],Table29[],5,FALSE)</f>
        <v>High-income</v>
      </c>
      <c r="AU2836" s="242" t="str">
        <f>VLOOKUP(Table8[[#This Row],[Country Code]],Table29[],6,FALSE)</f>
        <v>G20</v>
      </c>
      <c r="AV2836" s="242" t="str">
        <f>VLOOKUP(Table8[[#This Row],[Country Code]],Table29[],7,FALSE)</f>
        <v>G7</v>
      </c>
      <c r="AW2836" s="242" t="str">
        <f>VLOOKUP(Table8[[#This Row],[Country Code]],Table29[],8,FALSE)</f>
        <v>OECD</v>
      </c>
      <c r="AX2836" s="242" t="str">
        <f>VLOOKUP(Table8[[#This Row],[Country Code]],Table29[],9,FALSE)</f>
        <v>no</v>
      </c>
      <c r="AY2836" s="242" t="str">
        <f>VLOOKUP(Table8[[#This Row],[Country Code]],Table29[],10,FALSE)</f>
        <v>no</v>
      </c>
      <c r="AZ2836" s="242">
        <f>VLOOKUP(Table8[[#This Row],[Country Code]],Table29[],23,FALSE)</f>
        <v>747.67802680902003</v>
      </c>
      <c r="BA2836" s="242">
        <f>VLOOKUP(Table8[[#This Row],[Country Code]],Table29[],24,FALSE)</f>
        <v>169.021169926607</v>
      </c>
      <c r="BB2836" s="320"/>
      <c r="BC2836" s="320"/>
    </row>
    <row r="2837" spans="1:55" ht="15" customHeight="1" x14ac:dyDescent="0.25">
      <c r="A2837" s="373">
        <v>43987</v>
      </c>
      <c r="B2837" s="243" t="str">
        <f>VLOOKUP(Table8[[#This Row],[Document ID]],Table1[],2,FALSE)</f>
        <v>CAN</v>
      </c>
      <c r="C2837" s="243" t="str">
        <f>VLOOKUP(Table8[[#This Row],[Document ID]],Table1[],3,FALSE)</f>
        <v>Canada</v>
      </c>
      <c r="D2837" s="243" t="str">
        <f>VLOOKUP(Table8[[#This Row],[Document ID]],Table1[],5,FALSE)</f>
        <v>NDC</v>
      </c>
      <c r="E2837" s="233" t="str">
        <f>VLOOKUP(Table8[[#This Row],[Document ID]],Table1[],7,FALSE)</f>
        <v>Third NDC</v>
      </c>
      <c r="F2837" s="233" t="str">
        <f>VLOOKUP(Table8[[#This Row],[Document ID]],Table1[],8,FALSE)</f>
        <v>NDC 3.0</v>
      </c>
      <c r="G2837" s="233" t="str">
        <f>VLOOKUP(Table8[[#This Row],[Document ID]],Table1[],10,FALSE)</f>
        <v>Active</v>
      </c>
      <c r="H2837" s="43" t="s">
        <v>2358</v>
      </c>
      <c r="I2837" s="43" t="s">
        <v>2359</v>
      </c>
      <c r="J2837" s="43" t="s">
        <v>2383</v>
      </c>
      <c r="K2837" s="44" t="s">
        <v>4902</v>
      </c>
      <c r="L2837" s="44" t="s">
        <v>2333</v>
      </c>
      <c r="M2837" s="43">
        <v>92</v>
      </c>
      <c r="N2837" s="113" t="s">
        <v>1113</v>
      </c>
      <c r="O2837" s="113"/>
      <c r="P2837" s="113"/>
      <c r="Q2837" s="113"/>
      <c r="R2837" s="113"/>
      <c r="S2837" s="113"/>
      <c r="T2837" s="113"/>
      <c r="U2837" s="113"/>
      <c r="V2837" s="113"/>
      <c r="W2837" s="113"/>
      <c r="X2837" s="113"/>
      <c r="Y2837" s="113"/>
      <c r="Z2837" s="113"/>
      <c r="AA2837" s="113"/>
      <c r="AB2837" s="113"/>
      <c r="AC2837" s="113"/>
      <c r="AD2837" s="113"/>
      <c r="AE2837" s="113"/>
      <c r="AF2837" s="113"/>
      <c r="AG2837" s="113"/>
      <c r="AH2837" s="113"/>
      <c r="AI2837" s="113"/>
      <c r="AJ2837" s="113"/>
      <c r="AK2837" s="113"/>
      <c r="AL2837" s="113"/>
      <c r="AM2837" s="113"/>
      <c r="AN2837" s="113"/>
      <c r="AO2837" s="43" t="s">
        <v>2334</v>
      </c>
      <c r="AP2837" s="43" t="s">
        <v>4850</v>
      </c>
      <c r="AQ2837" s="233" t="str">
        <f>VLOOKUP(Table8[[#This Row],[Instrument]],Def_Targets!$D$73:$E$159,2,FALSE)</f>
        <v>I_Emobilitycharging</v>
      </c>
      <c r="AR2837" s="242" t="str">
        <f>VLOOKUP(Table8[[#This Row],[Country Code]],Table29[],3,FALSE)</f>
        <v>Annex I</v>
      </c>
      <c r="AS2837" s="242" t="str">
        <f>VLOOKUP(Table8[[#This Row],[Country Code]],Table29[],4,FALSE)</f>
        <v>Northern America</v>
      </c>
      <c r="AT2837" s="242" t="str">
        <f>VLOOKUP(Table8[[#This Row],[Country Code]],Table29[],5,FALSE)</f>
        <v>High-income</v>
      </c>
      <c r="AU2837" s="242" t="str">
        <f>VLOOKUP(Table8[[#This Row],[Country Code]],Table29[],6,FALSE)</f>
        <v>G20</v>
      </c>
      <c r="AV2837" s="242" t="str">
        <f>VLOOKUP(Table8[[#This Row],[Country Code]],Table29[],7,FALSE)</f>
        <v>G7</v>
      </c>
      <c r="AW2837" s="242" t="str">
        <f>VLOOKUP(Table8[[#This Row],[Country Code]],Table29[],8,FALSE)</f>
        <v>OECD</v>
      </c>
      <c r="AX2837" s="242" t="str">
        <f>VLOOKUP(Table8[[#This Row],[Country Code]],Table29[],9,FALSE)</f>
        <v>no</v>
      </c>
      <c r="AY2837" s="242" t="str">
        <f>VLOOKUP(Table8[[#This Row],[Country Code]],Table29[],10,FALSE)</f>
        <v>no</v>
      </c>
      <c r="AZ2837" s="242">
        <f>VLOOKUP(Table8[[#This Row],[Country Code]],Table29[],23,FALSE)</f>
        <v>747.67802680902003</v>
      </c>
      <c r="BA2837" s="242">
        <f>VLOOKUP(Table8[[#This Row],[Country Code]],Table29[],24,FALSE)</f>
        <v>169.021169926607</v>
      </c>
      <c r="BB2837" s="320"/>
      <c r="BC2837" s="320"/>
    </row>
    <row r="2838" spans="1:55" ht="30" x14ac:dyDescent="0.25">
      <c r="A2838" s="373">
        <v>44171</v>
      </c>
      <c r="B2838" s="243" t="str">
        <f>VLOOKUP(Table8[[#This Row],[Document ID]],Table1[],2,FALSE)</f>
        <v>CUB</v>
      </c>
      <c r="C2838" s="243" t="str">
        <f>VLOOKUP(Table8[[#This Row],[Document ID]],Table1[],3,FALSE)</f>
        <v>Cuba</v>
      </c>
      <c r="D2838" s="243" t="str">
        <f>VLOOKUP(Table8[[#This Row],[Document ID]],Table1[],5,FALSE)</f>
        <v>NDC</v>
      </c>
      <c r="E2838" s="233" t="str">
        <f>VLOOKUP(Table8[[#This Row],[Document ID]],Table1[],7,FALSE)</f>
        <v>Third NDC</v>
      </c>
      <c r="F2838" s="233" t="str">
        <f>VLOOKUP(Table8[[#This Row],[Document ID]],Table1[],8,FALSE)</f>
        <v>NDC 3.0</v>
      </c>
      <c r="G2838" s="233" t="str">
        <f>VLOOKUP(Table8[[#This Row],[Document ID]],Table1[],10,FALSE)</f>
        <v>Active</v>
      </c>
      <c r="H2838" s="43" t="s">
        <v>2358</v>
      </c>
      <c r="I2838" s="43" t="s">
        <v>2359</v>
      </c>
      <c r="J2838" s="43" t="s">
        <v>2389</v>
      </c>
      <c r="K2838" s="44" t="s">
        <v>4903</v>
      </c>
      <c r="L2838" s="44" t="s">
        <v>2333</v>
      </c>
      <c r="M2838" s="43">
        <v>22</v>
      </c>
      <c r="N2838" s="113" t="s">
        <v>1113</v>
      </c>
      <c r="O2838" s="113"/>
      <c r="P2838" s="113"/>
      <c r="Q2838" s="113"/>
      <c r="R2838" s="113"/>
      <c r="S2838" s="113"/>
      <c r="T2838" s="113"/>
      <c r="U2838" s="113"/>
      <c r="V2838" s="113"/>
      <c r="W2838" s="113"/>
      <c r="X2838" s="113"/>
      <c r="Y2838" s="113"/>
      <c r="Z2838" s="113"/>
      <c r="AA2838" s="113"/>
      <c r="AB2838" s="113"/>
      <c r="AC2838" s="113"/>
      <c r="AD2838" s="113"/>
      <c r="AE2838" s="113"/>
      <c r="AF2838" s="113"/>
      <c r="AG2838" s="113"/>
      <c r="AH2838" s="113"/>
      <c r="AI2838" s="113"/>
      <c r="AJ2838" s="113"/>
      <c r="AK2838" s="113" t="s">
        <v>1113</v>
      </c>
      <c r="AL2838" s="113"/>
      <c r="AM2838" s="113"/>
      <c r="AN2838" s="113"/>
      <c r="AO2838" s="43" t="s">
        <v>2334</v>
      </c>
      <c r="AP2838" s="43" t="s">
        <v>4850</v>
      </c>
      <c r="AQ2838" s="233" t="str">
        <f>VLOOKUP(Table8[[#This Row],[Instrument]],Def_Targets!$D$73:$E$159,2,FALSE)</f>
        <v>I_Emobilitypurchase</v>
      </c>
      <c r="AR2838" s="242" t="str">
        <f>VLOOKUP(Table8[[#This Row],[Country Code]],Table29[],3,FALSE)</f>
        <v>Non-Annex I</v>
      </c>
      <c r="AS2838" s="242" t="str">
        <f>VLOOKUP(Table8[[#This Row],[Country Code]],Table29[],4,FALSE)</f>
        <v>Latin America and the Caribbean</v>
      </c>
      <c r="AT2838" s="242" t="str">
        <f>VLOOKUP(Table8[[#This Row],[Country Code]],Table29[],5,FALSE)</f>
        <v>Middle-income</v>
      </c>
      <c r="AU2838" s="242" t="str">
        <f>VLOOKUP(Table8[[#This Row],[Country Code]],Table29[],6,FALSE)</f>
        <v>no</v>
      </c>
      <c r="AV2838" s="242" t="str">
        <f>VLOOKUP(Table8[[#This Row],[Country Code]],Table29[],7,FALSE)</f>
        <v>no</v>
      </c>
      <c r="AW2838" s="242" t="str">
        <f>VLOOKUP(Table8[[#This Row],[Country Code]],Table29[],8,FALSE)</f>
        <v>non-OECD</v>
      </c>
      <c r="AX2838" s="242" t="str">
        <f>VLOOKUP(Table8[[#This Row],[Country Code]],Table29[],9,FALSE)</f>
        <v>no</v>
      </c>
      <c r="AY2838" s="242" t="str">
        <f>VLOOKUP(Table8[[#This Row],[Country Code]],Table29[],10,FALSE)</f>
        <v>no</v>
      </c>
      <c r="AZ2838" s="242">
        <f>VLOOKUP(Table8[[#This Row],[Country Code]],Table29[],23,FALSE)</f>
        <v>39.400331633766001</v>
      </c>
      <c r="BA2838" s="242">
        <f>VLOOKUP(Table8[[#This Row],[Country Code]],Table29[],24,FALSE)</f>
        <v>1.240586761635627</v>
      </c>
      <c r="BB2838" s="320"/>
      <c r="BC2838" s="320"/>
    </row>
    <row r="2839" spans="1:55" ht="30" x14ac:dyDescent="0.25">
      <c r="A2839" s="373">
        <v>44171</v>
      </c>
      <c r="B2839" s="243" t="str">
        <f>VLOOKUP(Table8[[#This Row],[Document ID]],Table1[],2,FALSE)</f>
        <v>CUB</v>
      </c>
      <c r="C2839" s="243" t="str">
        <f>VLOOKUP(Table8[[#This Row],[Document ID]],Table1[],3,FALSE)</f>
        <v>Cuba</v>
      </c>
      <c r="D2839" s="243" t="str">
        <f>VLOOKUP(Table8[[#This Row],[Document ID]],Table1[],5,FALSE)</f>
        <v>NDC</v>
      </c>
      <c r="E2839" s="233" t="str">
        <f>VLOOKUP(Table8[[#This Row],[Document ID]],Table1[],7,FALSE)</f>
        <v>Third NDC</v>
      </c>
      <c r="F2839" s="233" t="str">
        <f>VLOOKUP(Table8[[#This Row],[Document ID]],Table1[],8,FALSE)</f>
        <v>NDC 3.0</v>
      </c>
      <c r="G2839" s="233" t="str">
        <f>VLOOKUP(Table8[[#This Row],[Document ID]],Table1[],10,FALSE)</f>
        <v>Active</v>
      </c>
      <c r="H2839" s="43" t="s">
        <v>2358</v>
      </c>
      <c r="I2839" s="43" t="s">
        <v>2359</v>
      </c>
      <c r="J2839" s="43" t="s">
        <v>2360</v>
      </c>
      <c r="K2839" s="44" t="s">
        <v>4904</v>
      </c>
      <c r="L2839" s="44" t="s">
        <v>2333</v>
      </c>
      <c r="M2839" s="43">
        <v>22</v>
      </c>
      <c r="N2839" s="113" t="s">
        <v>1113</v>
      </c>
      <c r="O2839" s="113"/>
      <c r="P2839" s="113"/>
      <c r="Q2839" s="113"/>
      <c r="R2839" s="113"/>
      <c r="S2839" s="113"/>
      <c r="T2839" s="113"/>
      <c r="U2839" s="113"/>
      <c r="V2839" s="113"/>
      <c r="W2839" s="113"/>
      <c r="X2839" s="113"/>
      <c r="Y2839" s="113"/>
      <c r="Z2839" s="113"/>
      <c r="AA2839" s="113"/>
      <c r="AB2839" s="113"/>
      <c r="AC2839" s="113"/>
      <c r="AD2839" s="113"/>
      <c r="AE2839" s="113"/>
      <c r="AF2839" s="113"/>
      <c r="AG2839" s="113"/>
      <c r="AH2839" s="113"/>
      <c r="AI2839" s="113"/>
      <c r="AJ2839" s="113"/>
      <c r="AK2839" s="113" t="s">
        <v>1113</v>
      </c>
      <c r="AL2839" s="113"/>
      <c r="AM2839" s="113"/>
      <c r="AN2839" s="113"/>
      <c r="AO2839" s="43" t="s">
        <v>2334</v>
      </c>
      <c r="AP2839" s="43" t="s">
        <v>4850</v>
      </c>
      <c r="AQ2839" s="233" t="str">
        <f>VLOOKUP(Table8[[#This Row],[Instrument]],Def_Targets!$D$73:$E$159,2,FALSE)</f>
        <v>I_Emobility</v>
      </c>
      <c r="AR2839" s="242" t="str">
        <f>VLOOKUP(Table8[[#This Row],[Country Code]],Table29[],3,FALSE)</f>
        <v>Non-Annex I</v>
      </c>
      <c r="AS2839" s="242" t="str">
        <f>VLOOKUP(Table8[[#This Row],[Country Code]],Table29[],4,FALSE)</f>
        <v>Latin America and the Caribbean</v>
      </c>
      <c r="AT2839" s="242" t="str">
        <f>VLOOKUP(Table8[[#This Row],[Country Code]],Table29[],5,FALSE)</f>
        <v>Middle-income</v>
      </c>
      <c r="AU2839" s="242" t="str">
        <f>VLOOKUP(Table8[[#This Row],[Country Code]],Table29[],6,FALSE)</f>
        <v>no</v>
      </c>
      <c r="AV2839" s="242" t="str">
        <f>VLOOKUP(Table8[[#This Row],[Country Code]],Table29[],7,FALSE)</f>
        <v>no</v>
      </c>
      <c r="AW2839" s="242" t="str">
        <f>VLOOKUP(Table8[[#This Row],[Country Code]],Table29[],8,FALSE)</f>
        <v>non-OECD</v>
      </c>
      <c r="AX2839" s="242" t="str">
        <f>VLOOKUP(Table8[[#This Row],[Country Code]],Table29[],9,FALSE)</f>
        <v>no</v>
      </c>
      <c r="AY2839" s="242" t="str">
        <f>VLOOKUP(Table8[[#This Row],[Country Code]],Table29[],10,FALSE)</f>
        <v>no</v>
      </c>
      <c r="AZ2839" s="242">
        <f>VLOOKUP(Table8[[#This Row],[Country Code]],Table29[],23,FALSE)</f>
        <v>39.400331633766001</v>
      </c>
      <c r="BA2839" s="242">
        <f>VLOOKUP(Table8[[#This Row],[Country Code]],Table29[],24,FALSE)</f>
        <v>1.240586761635627</v>
      </c>
      <c r="BB2839" s="320"/>
      <c r="BC2839" s="320"/>
    </row>
    <row r="2840" spans="1:55" ht="30" hidden="1" x14ac:dyDescent="0.25">
      <c r="A2840" s="373">
        <v>43717</v>
      </c>
      <c r="B2840" s="243" t="str">
        <f>VLOOKUP(Table8[[#This Row],[Document ID]],Table1[],2,FALSE)</f>
        <v>KAZ</v>
      </c>
      <c r="C2840" s="243" t="str">
        <f>VLOOKUP(Table8[[#This Row],[Document ID]],Table1[],3,FALSE)</f>
        <v>Kazakhstan</v>
      </c>
      <c r="D2840" s="243" t="str">
        <f>VLOOKUP(Table8[[#This Row],[Document ID]],Table1[],5,FALSE)</f>
        <v>LTS</v>
      </c>
      <c r="E2840" s="233" t="str">
        <f>VLOOKUP(Table8[[#This Row],[Document ID]],Table1[],7,FALSE)</f>
        <v>LTS</v>
      </c>
      <c r="F2840" s="233" t="str">
        <f>VLOOKUP(Table8[[#This Row],[Document ID]],Table1[],8,FALSE)</f>
        <v>LTS 1.0</v>
      </c>
      <c r="G2840" s="233" t="str">
        <f>VLOOKUP(Table8[[#This Row],[Document ID]],Table1[],10,FALSE)</f>
        <v>Active</v>
      </c>
      <c r="H2840" s="43" t="s">
        <v>2350</v>
      </c>
      <c r="I2840" s="43" t="s">
        <v>2370</v>
      </c>
      <c r="J2840" s="43" t="s">
        <v>2418</v>
      </c>
      <c r="K2840" s="44" t="s">
        <v>4905</v>
      </c>
      <c r="L2840" s="44" t="s">
        <v>2380</v>
      </c>
      <c r="M2840" s="43">
        <v>26</v>
      </c>
      <c r="N2840" s="113" t="s">
        <v>1113</v>
      </c>
      <c r="O2840" s="113"/>
      <c r="P2840" s="113"/>
      <c r="Q2840" s="113"/>
      <c r="R2840" s="113"/>
      <c r="S2840" s="113"/>
      <c r="T2840" s="113"/>
      <c r="U2840" s="113"/>
      <c r="V2840" s="113"/>
      <c r="W2840" s="113"/>
      <c r="X2840" s="113"/>
      <c r="Y2840" s="113"/>
      <c r="Z2840" s="113"/>
      <c r="AA2840" s="113"/>
      <c r="AB2840" s="113"/>
      <c r="AC2840" s="113"/>
      <c r="AD2840" s="113"/>
      <c r="AE2840" s="113"/>
      <c r="AF2840" s="113"/>
      <c r="AG2840" s="113"/>
      <c r="AH2840" s="113"/>
      <c r="AI2840" s="113"/>
      <c r="AJ2840" s="113"/>
      <c r="AK2840" s="113"/>
      <c r="AL2840" s="113" t="s">
        <v>1113</v>
      </c>
      <c r="AM2840" s="113"/>
      <c r="AN2840" s="113"/>
      <c r="AO2840" s="43" t="s">
        <v>2334</v>
      </c>
      <c r="AP2840" s="43"/>
      <c r="AQ2840" s="233" t="str">
        <f>VLOOKUP(Table8[[#This Row],[Instrument]],Def_Targets!$D$73:$E$159,2,FALSE)</f>
        <v>A_Complan</v>
      </c>
      <c r="AR2840" s="242" t="str">
        <f>VLOOKUP(Table8[[#This Row],[Country Code]],Table29[],3,FALSE)</f>
        <v>Non-Annex I</v>
      </c>
      <c r="AS2840" s="242" t="str">
        <f>VLOOKUP(Table8[[#This Row],[Country Code]],Table29[],4,FALSE)</f>
        <v>Asia</v>
      </c>
      <c r="AT2840" s="242" t="str">
        <f>VLOOKUP(Table8[[#This Row],[Country Code]],Table29[],5,FALSE)</f>
        <v>Middle-income</v>
      </c>
      <c r="AU2840" s="242" t="str">
        <f>VLOOKUP(Table8[[#This Row],[Country Code]],Table29[],6,FALSE)</f>
        <v>no</v>
      </c>
      <c r="AV2840" s="242" t="str">
        <f>VLOOKUP(Table8[[#This Row],[Country Code]],Table29[],7,FALSE)</f>
        <v>no</v>
      </c>
      <c r="AW2840" s="242" t="str">
        <f>VLOOKUP(Table8[[#This Row],[Country Code]],Table29[],8,FALSE)</f>
        <v>non-OECD</v>
      </c>
      <c r="AX2840" s="242" t="str">
        <f>VLOOKUP(Table8[[#This Row],[Country Code]],Table29[],9,FALSE)</f>
        <v>no</v>
      </c>
      <c r="AY2840" s="242" t="str">
        <f>VLOOKUP(Table8[[#This Row],[Country Code]],Table29[],10,FALSE)</f>
        <v>no</v>
      </c>
      <c r="AZ2840" s="242">
        <f>VLOOKUP(Table8[[#This Row],[Country Code]],Table29[],23,FALSE)</f>
        <v>320.34998496393001</v>
      </c>
      <c r="BA2840" s="242">
        <f>VLOOKUP(Table8[[#This Row],[Country Code]],Table29[],24,FALSE)</f>
        <v>24.00450259503398</v>
      </c>
      <c r="BB2840" s="320"/>
      <c r="BC2840" s="320"/>
    </row>
    <row r="2841" spans="1:55" ht="30" hidden="1" x14ac:dyDescent="0.25">
      <c r="A2841" s="373">
        <v>43717</v>
      </c>
      <c r="B2841" s="243" t="str">
        <f>VLOOKUP(Table8[[#This Row],[Document ID]],Table1[],2,FALSE)</f>
        <v>KAZ</v>
      </c>
      <c r="C2841" s="243" t="str">
        <f>VLOOKUP(Table8[[#This Row],[Document ID]],Table1[],3,FALSE)</f>
        <v>Kazakhstan</v>
      </c>
      <c r="D2841" s="243" t="str">
        <f>VLOOKUP(Table8[[#This Row],[Document ID]],Table1[],5,FALSE)</f>
        <v>LTS</v>
      </c>
      <c r="E2841" s="233" t="str">
        <f>VLOOKUP(Table8[[#This Row],[Document ID]],Table1[],7,FALSE)</f>
        <v>LTS</v>
      </c>
      <c r="F2841" s="233" t="str">
        <f>VLOOKUP(Table8[[#This Row],[Document ID]],Table1[],8,FALSE)</f>
        <v>LTS 1.0</v>
      </c>
      <c r="G2841" s="233" t="str">
        <f>VLOOKUP(Table8[[#This Row],[Document ID]],Table1[],10,FALSE)</f>
        <v>Active</v>
      </c>
      <c r="H2841" s="43" t="s">
        <v>2343</v>
      </c>
      <c r="I2841" s="43" t="s">
        <v>2344</v>
      </c>
      <c r="J2841" s="43" t="s">
        <v>2345</v>
      </c>
      <c r="K2841" s="44" t="s">
        <v>4906</v>
      </c>
      <c r="L2841" s="44" t="s">
        <v>2347</v>
      </c>
      <c r="M2841" s="43">
        <v>26</v>
      </c>
      <c r="N2841" s="113"/>
      <c r="O2841" s="113"/>
      <c r="P2841" s="113"/>
      <c r="Q2841" s="113"/>
      <c r="R2841" s="113"/>
      <c r="S2841" s="113"/>
      <c r="T2841" s="113"/>
      <c r="U2841" s="113"/>
      <c r="V2841" s="113"/>
      <c r="W2841" s="113"/>
      <c r="X2841" s="113"/>
      <c r="Y2841" s="113" t="s">
        <v>1113</v>
      </c>
      <c r="Z2841" s="113"/>
      <c r="AA2841" s="113"/>
      <c r="AB2841" s="113"/>
      <c r="AC2841" s="113" t="s">
        <v>1113</v>
      </c>
      <c r="AD2841" s="113"/>
      <c r="AE2841" s="113"/>
      <c r="AF2841" s="113"/>
      <c r="AG2841" s="113"/>
      <c r="AH2841" s="113"/>
      <c r="AI2841" s="113"/>
      <c r="AJ2841" s="113"/>
      <c r="AK2841" s="113"/>
      <c r="AL2841" s="113" t="s">
        <v>1113</v>
      </c>
      <c r="AM2841" s="113"/>
      <c r="AN2841" s="113"/>
      <c r="AO2841" s="43" t="s">
        <v>2348</v>
      </c>
      <c r="AP2841" s="43"/>
      <c r="AQ2841" s="233" t="str">
        <f>VLOOKUP(Table8[[#This Row],[Instrument]],Def_Targets!$D$73:$E$159,2,FALSE)</f>
        <v>S_PublicTransport</v>
      </c>
      <c r="AR2841" s="242" t="str">
        <f>VLOOKUP(Table8[[#This Row],[Country Code]],Table29[],3,FALSE)</f>
        <v>Non-Annex I</v>
      </c>
      <c r="AS2841" s="242" t="str">
        <f>VLOOKUP(Table8[[#This Row],[Country Code]],Table29[],4,FALSE)</f>
        <v>Asia</v>
      </c>
      <c r="AT2841" s="242" t="str">
        <f>VLOOKUP(Table8[[#This Row],[Country Code]],Table29[],5,FALSE)</f>
        <v>Middle-income</v>
      </c>
      <c r="AU2841" s="242" t="str">
        <f>VLOOKUP(Table8[[#This Row],[Country Code]],Table29[],6,FALSE)</f>
        <v>no</v>
      </c>
      <c r="AV2841" s="242" t="str">
        <f>VLOOKUP(Table8[[#This Row],[Country Code]],Table29[],7,FALSE)</f>
        <v>no</v>
      </c>
      <c r="AW2841" s="242" t="str">
        <f>VLOOKUP(Table8[[#This Row],[Country Code]],Table29[],8,FALSE)</f>
        <v>non-OECD</v>
      </c>
      <c r="AX2841" s="242" t="str">
        <f>VLOOKUP(Table8[[#This Row],[Country Code]],Table29[],9,FALSE)</f>
        <v>no</v>
      </c>
      <c r="AY2841" s="242" t="str">
        <f>VLOOKUP(Table8[[#This Row],[Country Code]],Table29[],10,FALSE)</f>
        <v>no</v>
      </c>
      <c r="AZ2841" s="242">
        <f>VLOOKUP(Table8[[#This Row],[Country Code]],Table29[],23,FALSE)</f>
        <v>320.34998496393001</v>
      </c>
      <c r="BA2841" s="242">
        <f>VLOOKUP(Table8[[#This Row],[Country Code]],Table29[],24,FALSE)</f>
        <v>24.00450259503398</v>
      </c>
      <c r="BB2841" s="320"/>
      <c r="BC2841" s="320"/>
    </row>
    <row r="2842" spans="1:55" ht="30" hidden="1" x14ac:dyDescent="0.25">
      <c r="A2842" s="373">
        <v>43717</v>
      </c>
      <c r="B2842" s="243" t="str">
        <f>VLOOKUP(Table8[[#This Row],[Document ID]],Table1[],2,FALSE)</f>
        <v>KAZ</v>
      </c>
      <c r="C2842" s="243" t="str">
        <f>VLOOKUP(Table8[[#This Row],[Document ID]],Table1[],3,FALSE)</f>
        <v>Kazakhstan</v>
      </c>
      <c r="D2842" s="243" t="str">
        <f>VLOOKUP(Table8[[#This Row],[Document ID]],Table1[],5,FALSE)</f>
        <v>LTS</v>
      </c>
      <c r="E2842" s="233" t="str">
        <f>VLOOKUP(Table8[[#This Row],[Document ID]],Table1[],7,FALSE)</f>
        <v>LTS</v>
      </c>
      <c r="F2842" s="233" t="str">
        <f>VLOOKUP(Table8[[#This Row],[Document ID]],Table1[],8,FALSE)</f>
        <v>LTS 1.0</v>
      </c>
      <c r="G2842" s="233" t="str">
        <f>VLOOKUP(Table8[[#This Row],[Document ID]],Table1[],10,FALSE)</f>
        <v>Active</v>
      </c>
      <c r="H2842" s="43" t="s">
        <v>2358</v>
      </c>
      <c r="I2842" s="43" t="s">
        <v>2359</v>
      </c>
      <c r="J2842" s="43" t="s">
        <v>2360</v>
      </c>
      <c r="K2842" s="44" t="s">
        <v>4906</v>
      </c>
      <c r="L2842" s="44" t="s">
        <v>2347</v>
      </c>
      <c r="M2842" s="43">
        <v>26</v>
      </c>
      <c r="N2842" s="113"/>
      <c r="O2842" s="113"/>
      <c r="P2842" s="113"/>
      <c r="Q2842" s="113"/>
      <c r="R2842" s="113"/>
      <c r="S2842" s="113"/>
      <c r="T2842" s="113"/>
      <c r="U2842" s="113"/>
      <c r="V2842" s="113"/>
      <c r="W2842" s="113"/>
      <c r="X2842" s="113"/>
      <c r="Y2842" s="113" t="s">
        <v>1113</v>
      </c>
      <c r="Z2842" s="113"/>
      <c r="AA2842" s="113"/>
      <c r="AB2842" s="113"/>
      <c r="AC2842" s="113" t="s">
        <v>1113</v>
      </c>
      <c r="AD2842" s="113"/>
      <c r="AE2842" s="113"/>
      <c r="AF2842" s="113"/>
      <c r="AG2842" s="113"/>
      <c r="AH2842" s="113"/>
      <c r="AI2842" s="113"/>
      <c r="AJ2842" s="113"/>
      <c r="AK2842" s="113"/>
      <c r="AL2842" s="113" t="s">
        <v>1113</v>
      </c>
      <c r="AM2842" s="113"/>
      <c r="AN2842" s="113"/>
      <c r="AO2842" s="43" t="s">
        <v>2348</v>
      </c>
      <c r="AP2842" s="43"/>
      <c r="AQ2842" s="233" t="str">
        <f>VLOOKUP(Table8[[#This Row],[Instrument]],Def_Targets!$D$73:$E$159,2,FALSE)</f>
        <v>I_Emobility</v>
      </c>
      <c r="AR2842" s="242" t="str">
        <f>VLOOKUP(Table8[[#This Row],[Country Code]],Table29[],3,FALSE)</f>
        <v>Non-Annex I</v>
      </c>
      <c r="AS2842" s="242" t="str">
        <f>VLOOKUP(Table8[[#This Row],[Country Code]],Table29[],4,FALSE)</f>
        <v>Asia</v>
      </c>
      <c r="AT2842" s="242" t="str">
        <f>VLOOKUP(Table8[[#This Row],[Country Code]],Table29[],5,FALSE)</f>
        <v>Middle-income</v>
      </c>
      <c r="AU2842" s="242" t="str">
        <f>VLOOKUP(Table8[[#This Row],[Country Code]],Table29[],6,FALSE)</f>
        <v>no</v>
      </c>
      <c r="AV2842" s="242" t="str">
        <f>VLOOKUP(Table8[[#This Row],[Country Code]],Table29[],7,FALSE)</f>
        <v>no</v>
      </c>
      <c r="AW2842" s="242" t="str">
        <f>VLOOKUP(Table8[[#This Row],[Country Code]],Table29[],8,FALSE)</f>
        <v>non-OECD</v>
      </c>
      <c r="AX2842" s="242" t="str">
        <f>VLOOKUP(Table8[[#This Row],[Country Code]],Table29[],9,FALSE)</f>
        <v>no</v>
      </c>
      <c r="AY2842" s="242" t="str">
        <f>VLOOKUP(Table8[[#This Row],[Country Code]],Table29[],10,FALSE)</f>
        <v>no</v>
      </c>
      <c r="AZ2842" s="242">
        <f>VLOOKUP(Table8[[#This Row],[Country Code]],Table29[],23,FALSE)</f>
        <v>320.34998496393001</v>
      </c>
      <c r="BA2842" s="242">
        <f>VLOOKUP(Table8[[#This Row],[Country Code]],Table29[],24,FALSE)</f>
        <v>24.00450259503398</v>
      </c>
      <c r="BB2842" s="320"/>
      <c r="BC2842" s="320"/>
    </row>
    <row r="2843" spans="1:55" ht="15" hidden="1" customHeight="1" x14ac:dyDescent="0.25">
      <c r="A2843" s="373">
        <v>43717</v>
      </c>
      <c r="B2843" s="243" t="str">
        <f>VLOOKUP(Table8[[#This Row],[Document ID]],Table1[],2,FALSE)</f>
        <v>KAZ</v>
      </c>
      <c r="C2843" s="243" t="str">
        <f>VLOOKUP(Table8[[#This Row],[Document ID]],Table1[],3,FALSE)</f>
        <v>Kazakhstan</v>
      </c>
      <c r="D2843" s="243" t="str">
        <f>VLOOKUP(Table8[[#This Row],[Document ID]],Table1[],5,FALSE)</f>
        <v>LTS</v>
      </c>
      <c r="E2843" s="233" t="str">
        <f>VLOOKUP(Table8[[#This Row],[Document ID]],Table1[],7,FALSE)</f>
        <v>LTS</v>
      </c>
      <c r="F2843" s="233" t="str">
        <f>VLOOKUP(Table8[[#This Row],[Document ID]],Table1[],8,FALSE)</f>
        <v>LTS 1.0</v>
      </c>
      <c r="G2843" s="233" t="str">
        <f>VLOOKUP(Table8[[#This Row],[Document ID]],Table1[],10,FALSE)</f>
        <v>Active</v>
      </c>
      <c r="H2843" s="43" t="s">
        <v>2350</v>
      </c>
      <c r="I2843" s="43" t="s">
        <v>2351</v>
      </c>
      <c r="J2843" s="43" t="s">
        <v>2447</v>
      </c>
      <c r="K2843" s="44" t="s">
        <v>4907</v>
      </c>
      <c r="L2843" s="44" t="s">
        <v>2347</v>
      </c>
      <c r="M2843" s="43">
        <v>26</v>
      </c>
      <c r="N2843" s="113"/>
      <c r="O2843" s="113"/>
      <c r="P2843" s="113"/>
      <c r="Q2843" s="113"/>
      <c r="R2843" s="113"/>
      <c r="S2843" s="113"/>
      <c r="T2843" s="113"/>
      <c r="U2843" s="113"/>
      <c r="V2843" s="113"/>
      <c r="W2843" s="113"/>
      <c r="X2843" s="113"/>
      <c r="Y2843" s="113"/>
      <c r="Z2843" s="113" t="s">
        <v>1113</v>
      </c>
      <c r="AA2843" s="113"/>
      <c r="AB2843" s="113"/>
      <c r="AC2843" s="113"/>
      <c r="AD2843" s="113"/>
      <c r="AE2843" s="113"/>
      <c r="AF2843" s="113"/>
      <c r="AG2843" s="113"/>
      <c r="AH2843" s="113"/>
      <c r="AI2843" s="113"/>
      <c r="AJ2843" s="113"/>
      <c r="AK2843" s="113" t="s">
        <v>1113</v>
      </c>
      <c r="AL2843" s="113"/>
      <c r="AM2843" s="113"/>
      <c r="AN2843" s="113"/>
      <c r="AO2843" s="43" t="s">
        <v>2353</v>
      </c>
      <c r="AP2843" s="43"/>
      <c r="AQ2843" s="233" t="str">
        <f>VLOOKUP(Table8[[#This Row],[Instrument]],Def_Targets!$D$73:$E$159,2,FALSE)</f>
        <v>I_Freighteff</v>
      </c>
      <c r="AR2843" s="242" t="str">
        <f>VLOOKUP(Table8[[#This Row],[Country Code]],Table29[],3,FALSE)</f>
        <v>Non-Annex I</v>
      </c>
      <c r="AS2843" s="242" t="str">
        <f>VLOOKUP(Table8[[#This Row],[Country Code]],Table29[],4,FALSE)</f>
        <v>Asia</v>
      </c>
      <c r="AT2843" s="242" t="str">
        <f>VLOOKUP(Table8[[#This Row],[Country Code]],Table29[],5,FALSE)</f>
        <v>Middle-income</v>
      </c>
      <c r="AU2843" s="242" t="str">
        <f>VLOOKUP(Table8[[#This Row],[Country Code]],Table29[],6,FALSE)</f>
        <v>no</v>
      </c>
      <c r="AV2843" s="242" t="str">
        <f>VLOOKUP(Table8[[#This Row],[Country Code]],Table29[],7,FALSE)</f>
        <v>no</v>
      </c>
      <c r="AW2843" s="242" t="str">
        <f>VLOOKUP(Table8[[#This Row],[Country Code]],Table29[],8,FALSE)</f>
        <v>non-OECD</v>
      </c>
      <c r="AX2843" s="242" t="str">
        <f>VLOOKUP(Table8[[#This Row],[Country Code]],Table29[],9,FALSE)</f>
        <v>no</v>
      </c>
      <c r="AY2843" s="242" t="str">
        <f>VLOOKUP(Table8[[#This Row],[Country Code]],Table29[],10,FALSE)</f>
        <v>no</v>
      </c>
      <c r="AZ2843" s="242">
        <f>VLOOKUP(Table8[[#This Row],[Country Code]],Table29[],23,FALSE)</f>
        <v>320.34998496393001</v>
      </c>
      <c r="BA2843" s="242">
        <f>VLOOKUP(Table8[[#This Row],[Country Code]],Table29[],24,FALSE)</f>
        <v>24.00450259503398</v>
      </c>
      <c r="BB2843" s="320"/>
      <c r="BC2843" s="320"/>
    </row>
    <row r="2844" spans="1:55" ht="15" hidden="1" customHeight="1" x14ac:dyDescent="0.25">
      <c r="A2844" s="373">
        <v>43717</v>
      </c>
      <c r="B2844" s="243" t="str">
        <f>VLOOKUP(Table8[[#This Row],[Document ID]],Table1[],2,FALSE)</f>
        <v>KAZ</v>
      </c>
      <c r="C2844" s="243" t="str">
        <f>VLOOKUP(Table8[[#This Row],[Document ID]],Table1[],3,FALSE)</f>
        <v>Kazakhstan</v>
      </c>
      <c r="D2844" s="243" t="str">
        <f>VLOOKUP(Table8[[#This Row],[Document ID]],Table1[],5,FALSE)</f>
        <v>LTS</v>
      </c>
      <c r="E2844" s="233" t="str">
        <f>VLOOKUP(Table8[[#This Row],[Document ID]],Table1[],7,FALSE)</f>
        <v>LTS</v>
      </c>
      <c r="F2844" s="233" t="str">
        <f>VLOOKUP(Table8[[#This Row],[Document ID]],Table1[],8,FALSE)</f>
        <v>LTS 1.0</v>
      </c>
      <c r="G2844" s="233" t="str">
        <f>VLOOKUP(Table8[[#This Row],[Document ID]],Table1[],10,FALSE)</f>
        <v>Active</v>
      </c>
      <c r="H2844" s="43" t="s">
        <v>2358</v>
      </c>
      <c r="I2844" s="43" t="s">
        <v>2359</v>
      </c>
      <c r="J2844" s="43" t="s">
        <v>2360</v>
      </c>
      <c r="K2844" s="44" t="s">
        <v>4907</v>
      </c>
      <c r="L2844" s="44" t="s">
        <v>2347</v>
      </c>
      <c r="M2844" s="43">
        <v>26</v>
      </c>
      <c r="N2844" s="113"/>
      <c r="O2844" s="113"/>
      <c r="P2844" s="113"/>
      <c r="Q2844" s="113"/>
      <c r="R2844" s="113"/>
      <c r="S2844" s="113"/>
      <c r="T2844" s="113"/>
      <c r="U2844" s="113"/>
      <c r="V2844" s="113"/>
      <c r="W2844" s="113"/>
      <c r="X2844" s="113"/>
      <c r="Y2844" s="113"/>
      <c r="Z2844" s="113" t="s">
        <v>1113</v>
      </c>
      <c r="AA2844" s="113"/>
      <c r="AB2844" s="113"/>
      <c r="AC2844" s="113"/>
      <c r="AD2844" s="113"/>
      <c r="AE2844" s="113"/>
      <c r="AF2844" s="113"/>
      <c r="AG2844" s="113"/>
      <c r="AH2844" s="113"/>
      <c r="AI2844" s="113"/>
      <c r="AJ2844" s="113"/>
      <c r="AK2844" s="113" t="s">
        <v>1113</v>
      </c>
      <c r="AL2844" s="113"/>
      <c r="AM2844" s="113"/>
      <c r="AN2844" s="113"/>
      <c r="AO2844" s="43" t="s">
        <v>2353</v>
      </c>
      <c r="AP2844" s="43"/>
      <c r="AQ2844" s="233" t="str">
        <f>VLOOKUP(Table8[[#This Row],[Instrument]],Def_Targets!$D$73:$E$159,2,FALSE)</f>
        <v>I_Emobility</v>
      </c>
      <c r="AR2844" s="242" t="str">
        <f>VLOOKUP(Table8[[#This Row],[Country Code]],Table29[],3,FALSE)</f>
        <v>Non-Annex I</v>
      </c>
      <c r="AS2844" s="242" t="str">
        <f>VLOOKUP(Table8[[#This Row],[Country Code]],Table29[],4,FALSE)</f>
        <v>Asia</v>
      </c>
      <c r="AT2844" s="242" t="str">
        <f>VLOOKUP(Table8[[#This Row],[Country Code]],Table29[],5,FALSE)</f>
        <v>Middle-income</v>
      </c>
      <c r="AU2844" s="242" t="str">
        <f>VLOOKUP(Table8[[#This Row],[Country Code]],Table29[],6,FALSE)</f>
        <v>no</v>
      </c>
      <c r="AV2844" s="242" t="str">
        <f>VLOOKUP(Table8[[#This Row],[Country Code]],Table29[],7,FALSE)</f>
        <v>no</v>
      </c>
      <c r="AW2844" s="242" t="str">
        <f>VLOOKUP(Table8[[#This Row],[Country Code]],Table29[],8,FALSE)</f>
        <v>non-OECD</v>
      </c>
      <c r="AX2844" s="242" t="str">
        <f>VLOOKUP(Table8[[#This Row],[Country Code]],Table29[],9,FALSE)</f>
        <v>no</v>
      </c>
      <c r="AY2844" s="242" t="str">
        <f>VLOOKUP(Table8[[#This Row],[Country Code]],Table29[],10,FALSE)</f>
        <v>no</v>
      </c>
      <c r="AZ2844" s="242">
        <f>VLOOKUP(Table8[[#This Row],[Country Code]],Table29[],23,FALSE)</f>
        <v>320.34998496393001</v>
      </c>
      <c r="BA2844" s="242">
        <f>VLOOKUP(Table8[[#This Row],[Country Code]],Table29[],24,FALSE)</f>
        <v>24.00450259503398</v>
      </c>
      <c r="BB2844" s="320"/>
      <c r="BC2844" s="320"/>
    </row>
    <row r="2845" spans="1:55" ht="30" hidden="1" x14ac:dyDescent="0.25">
      <c r="A2845" s="373">
        <v>43717</v>
      </c>
      <c r="B2845" s="243" t="str">
        <f>VLOOKUP(Table8[[#This Row],[Document ID]],Table1[],2,FALSE)</f>
        <v>KAZ</v>
      </c>
      <c r="C2845" s="243" t="str">
        <f>VLOOKUP(Table8[[#This Row],[Document ID]],Table1[],3,FALSE)</f>
        <v>Kazakhstan</v>
      </c>
      <c r="D2845" s="243" t="str">
        <f>VLOOKUP(Table8[[#This Row],[Document ID]],Table1[],5,FALSE)</f>
        <v>LTS</v>
      </c>
      <c r="E2845" s="233" t="str">
        <f>VLOOKUP(Table8[[#This Row],[Document ID]],Table1[],7,FALSE)</f>
        <v>LTS</v>
      </c>
      <c r="F2845" s="233" t="str">
        <f>VLOOKUP(Table8[[#This Row],[Document ID]],Table1[],8,FALSE)</f>
        <v>LTS 1.0</v>
      </c>
      <c r="G2845" s="233" t="str">
        <f>VLOOKUP(Table8[[#This Row],[Document ID]],Table1[],10,FALSE)</f>
        <v>Active</v>
      </c>
      <c r="H2845" s="43" t="s">
        <v>2329</v>
      </c>
      <c r="I2845" s="43" t="s">
        <v>2330</v>
      </c>
      <c r="J2845" s="43" t="s">
        <v>2331</v>
      </c>
      <c r="K2845" s="44" t="s">
        <v>4908</v>
      </c>
      <c r="L2845" s="44" t="s">
        <v>2347</v>
      </c>
      <c r="M2845" s="43">
        <v>26</v>
      </c>
      <c r="N2845" s="113" t="s">
        <v>1113</v>
      </c>
      <c r="O2845" s="113"/>
      <c r="P2845" s="113"/>
      <c r="Q2845" s="113"/>
      <c r="R2845" s="113"/>
      <c r="S2845" s="113"/>
      <c r="T2845" s="113"/>
      <c r="U2845" s="113"/>
      <c r="V2845" s="113"/>
      <c r="W2845" s="113"/>
      <c r="X2845" s="113"/>
      <c r="Y2845" s="113"/>
      <c r="Z2845" s="113"/>
      <c r="AA2845" s="113"/>
      <c r="AB2845" s="113"/>
      <c r="AC2845" s="113"/>
      <c r="AD2845" s="113"/>
      <c r="AE2845" s="113"/>
      <c r="AF2845" s="113"/>
      <c r="AG2845" s="113"/>
      <c r="AH2845" s="113"/>
      <c r="AI2845" s="113"/>
      <c r="AJ2845" s="113"/>
      <c r="AK2845" s="113" t="s">
        <v>1113</v>
      </c>
      <c r="AL2845" s="113"/>
      <c r="AM2845" s="113"/>
      <c r="AN2845" s="113"/>
      <c r="AO2845" s="43" t="s">
        <v>2334</v>
      </c>
      <c r="AP2845" s="43"/>
      <c r="AQ2845" s="233" t="str">
        <f>VLOOKUP(Table8[[#This Row],[Instrument]],Def_Targets!$D$73:$E$159,2,FALSE)</f>
        <v>I_Altfuels</v>
      </c>
      <c r="AR2845" s="242" t="str">
        <f>VLOOKUP(Table8[[#This Row],[Country Code]],Table29[],3,FALSE)</f>
        <v>Non-Annex I</v>
      </c>
      <c r="AS2845" s="242" t="str">
        <f>VLOOKUP(Table8[[#This Row],[Country Code]],Table29[],4,FALSE)</f>
        <v>Asia</v>
      </c>
      <c r="AT2845" s="242" t="str">
        <f>VLOOKUP(Table8[[#This Row],[Country Code]],Table29[],5,FALSE)</f>
        <v>Middle-income</v>
      </c>
      <c r="AU2845" s="242" t="str">
        <f>VLOOKUP(Table8[[#This Row],[Country Code]],Table29[],6,FALSE)</f>
        <v>no</v>
      </c>
      <c r="AV2845" s="242" t="str">
        <f>VLOOKUP(Table8[[#This Row],[Country Code]],Table29[],7,FALSE)</f>
        <v>no</v>
      </c>
      <c r="AW2845" s="242" t="str">
        <f>VLOOKUP(Table8[[#This Row],[Country Code]],Table29[],8,FALSE)</f>
        <v>non-OECD</v>
      </c>
      <c r="AX2845" s="242" t="str">
        <f>VLOOKUP(Table8[[#This Row],[Country Code]],Table29[],9,FALSE)</f>
        <v>no</v>
      </c>
      <c r="AY2845" s="242" t="str">
        <f>VLOOKUP(Table8[[#This Row],[Country Code]],Table29[],10,FALSE)</f>
        <v>no</v>
      </c>
      <c r="AZ2845" s="242">
        <f>VLOOKUP(Table8[[#This Row],[Country Code]],Table29[],23,FALSE)</f>
        <v>320.34998496393001</v>
      </c>
      <c r="BA2845" s="242">
        <f>VLOOKUP(Table8[[#This Row],[Country Code]],Table29[],24,FALSE)</f>
        <v>24.00450259503398</v>
      </c>
      <c r="BB2845" s="320"/>
      <c r="BC2845" s="320"/>
    </row>
    <row r="2846" spans="1:55" ht="30" hidden="1" x14ac:dyDescent="0.25">
      <c r="A2846" s="373">
        <v>43717</v>
      </c>
      <c r="B2846" s="243" t="str">
        <f>VLOOKUP(Table8[[#This Row],[Document ID]],Table1[],2,FALSE)</f>
        <v>KAZ</v>
      </c>
      <c r="C2846" s="243" t="str">
        <f>VLOOKUP(Table8[[#This Row],[Document ID]],Table1[],3,FALSE)</f>
        <v>Kazakhstan</v>
      </c>
      <c r="D2846" s="243" t="str">
        <f>VLOOKUP(Table8[[#This Row],[Document ID]],Table1[],5,FALSE)</f>
        <v>LTS</v>
      </c>
      <c r="E2846" s="233" t="str">
        <f>VLOOKUP(Table8[[#This Row],[Document ID]],Table1[],7,FALSE)</f>
        <v>LTS</v>
      </c>
      <c r="F2846" s="233" t="str">
        <f>VLOOKUP(Table8[[#This Row],[Document ID]],Table1[],8,FALSE)</f>
        <v>LTS 1.0</v>
      </c>
      <c r="G2846" s="233" t="str">
        <f>VLOOKUP(Table8[[#This Row],[Document ID]],Table1[],10,FALSE)</f>
        <v>Active</v>
      </c>
      <c r="H2846" s="43" t="s">
        <v>2329</v>
      </c>
      <c r="I2846" s="43" t="s">
        <v>2330</v>
      </c>
      <c r="J2846" s="43" t="s">
        <v>2381</v>
      </c>
      <c r="K2846" s="44" t="s">
        <v>4908</v>
      </c>
      <c r="L2846" s="44" t="s">
        <v>2347</v>
      </c>
      <c r="M2846" s="43">
        <v>26</v>
      </c>
      <c r="N2846" s="113" t="s">
        <v>1113</v>
      </c>
      <c r="O2846" s="113"/>
      <c r="P2846" s="113"/>
      <c r="Q2846" s="113"/>
      <c r="R2846" s="113"/>
      <c r="S2846" s="113"/>
      <c r="T2846" s="113"/>
      <c r="U2846" s="113"/>
      <c r="V2846" s="113"/>
      <c r="W2846" s="113"/>
      <c r="X2846" s="113"/>
      <c r="Y2846" s="113"/>
      <c r="Z2846" s="113"/>
      <c r="AA2846" s="113"/>
      <c r="AB2846" s="113"/>
      <c r="AC2846" s="113"/>
      <c r="AD2846" s="113"/>
      <c r="AE2846" s="113"/>
      <c r="AF2846" s="113"/>
      <c r="AG2846" s="113"/>
      <c r="AH2846" s="113"/>
      <c r="AI2846" s="113"/>
      <c r="AJ2846" s="113"/>
      <c r="AK2846" s="113" t="s">
        <v>1113</v>
      </c>
      <c r="AL2846" s="113"/>
      <c r="AM2846" s="113"/>
      <c r="AN2846" s="113"/>
      <c r="AO2846" s="43" t="s">
        <v>2334</v>
      </c>
      <c r="AP2846" s="43"/>
      <c r="AQ2846" s="233" t="str">
        <f>VLOOKUP(Table8[[#This Row],[Instrument]],Def_Targets!$D$73:$E$159,2,FALSE)</f>
        <v>I_RE</v>
      </c>
      <c r="AR2846" s="242" t="str">
        <f>VLOOKUP(Table8[[#This Row],[Country Code]],Table29[],3,FALSE)</f>
        <v>Non-Annex I</v>
      </c>
      <c r="AS2846" s="242" t="str">
        <f>VLOOKUP(Table8[[#This Row],[Country Code]],Table29[],4,FALSE)</f>
        <v>Asia</v>
      </c>
      <c r="AT2846" s="242" t="str">
        <f>VLOOKUP(Table8[[#This Row],[Country Code]],Table29[],5,FALSE)</f>
        <v>Middle-income</v>
      </c>
      <c r="AU2846" s="242" t="str">
        <f>VLOOKUP(Table8[[#This Row],[Country Code]],Table29[],6,FALSE)</f>
        <v>no</v>
      </c>
      <c r="AV2846" s="242" t="str">
        <f>VLOOKUP(Table8[[#This Row],[Country Code]],Table29[],7,FALSE)</f>
        <v>no</v>
      </c>
      <c r="AW2846" s="242" t="str">
        <f>VLOOKUP(Table8[[#This Row],[Country Code]],Table29[],8,FALSE)</f>
        <v>non-OECD</v>
      </c>
      <c r="AX2846" s="242" t="str">
        <f>VLOOKUP(Table8[[#This Row],[Country Code]],Table29[],9,FALSE)</f>
        <v>no</v>
      </c>
      <c r="AY2846" s="242" t="str">
        <f>VLOOKUP(Table8[[#This Row],[Country Code]],Table29[],10,FALSE)</f>
        <v>no</v>
      </c>
      <c r="AZ2846" s="242">
        <f>VLOOKUP(Table8[[#This Row],[Country Code]],Table29[],23,FALSE)</f>
        <v>320.34998496393001</v>
      </c>
      <c r="BA2846" s="242">
        <f>VLOOKUP(Table8[[#This Row],[Country Code]],Table29[],24,FALSE)</f>
        <v>24.00450259503398</v>
      </c>
      <c r="BB2846" s="320"/>
      <c r="BC2846" s="320"/>
    </row>
    <row r="2847" spans="1:55" ht="30" hidden="1" x14ac:dyDescent="0.25">
      <c r="A2847" s="373">
        <v>43717</v>
      </c>
      <c r="B2847" s="243" t="str">
        <f>VLOOKUP(Table8[[#This Row],[Document ID]],Table1[],2,FALSE)</f>
        <v>KAZ</v>
      </c>
      <c r="C2847" s="243" t="str">
        <f>VLOOKUP(Table8[[#This Row],[Document ID]],Table1[],3,FALSE)</f>
        <v>Kazakhstan</v>
      </c>
      <c r="D2847" s="243" t="str">
        <f>VLOOKUP(Table8[[#This Row],[Document ID]],Table1[],5,FALSE)</f>
        <v>LTS</v>
      </c>
      <c r="E2847" s="233" t="str">
        <f>VLOOKUP(Table8[[#This Row],[Document ID]],Table1[],7,FALSE)</f>
        <v>LTS</v>
      </c>
      <c r="F2847" s="233" t="str">
        <f>VLOOKUP(Table8[[#This Row],[Document ID]],Table1[],8,FALSE)</f>
        <v>LTS 1.0</v>
      </c>
      <c r="G2847" s="233" t="str">
        <f>VLOOKUP(Table8[[#This Row],[Document ID]],Table1[],10,FALSE)</f>
        <v>Active</v>
      </c>
      <c r="H2847" s="43" t="s">
        <v>2329</v>
      </c>
      <c r="I2847" s="43" t="s">
        <v>2330</v>
      </c>
      <c r="J2847" s="43" t="s">
        <v>2331</v>
      </c>
      <c r="K2847" s="44" t="s">
        <v>4909</v>
      </c>
      <c r="L2847" s="44" t="s">
        <v>2333</v>
      </c>
      <c r="M2847" s="43">
        <v>26</v>
      </c>
      <c r="N2847" s="113" t="s">
        <v>1113</v>
      </c>
      <c r="O2847" s="113"/>
      <c r="P2847" s="113"/>
      <c r="Q2847" s="113"/>
      <c r="R2847" s="113"/>
      <c r="S2847" s="113"/>
      <c r="T2847" s="113"/>
      <c r="U2847" s="113"/>
      <c r="V2847" s="113"/>
      <c r="W2847" s="113"/>
      <c r="X2847" s="113"/>
      <c r="Y2847" s="113"/>
      <c r="Z2847" s="113"/>
      <c r="AA2847" s="113"/>
      <c r="AB2847" s="113"/>
      <c r="AC2847" s="113"/>
      <c r="AD2847" s="113"/>
      <c r="AE2847" s="113"/>
      <c r="AF2847" s="113"/>
      <c r="AG2847" s="113"/>
      <c r="AH2847" s="113"/>
      <c r="AI2847" s="113"/>
      <c r="AJ2847" s="113"/>
      <c r="AK2847" s="113" t="s">
        <v>1113</v>
      </c>
      <c r="AL2847" s="113"/>
      <c r="AM2847" s="113"/>
      <c r="AN2847" s="113"/>
      <c r="AO2847" s="43" t="s">
        <v>2334</v>
      </c>
      <c r="AP2847" s="43"/>
      <c r="AQ2847" s="233" t="str">
        <f>VLOOKUP(Table8[[#This Row],[Instrument]],Def_Targets!$D$73:$E$159,2,FALSE)</f>
        <v>I_Altfuels</v>
      </c>
      <c r="AR2847" s="242" t="str">
        <f>VLOOKUP(Table8[[#This Row],[Country Code]],Table29[],3,FALSE)</f>
        <v>Non-Annex I</v>
      </c>
      <c r="AS2847" s="242" t="str">
        <f>VLOOKUP(Table8[[#This Row],[Country Code]],Table29[],4,FALSE)</f>
        <v>Asia</v>
      </c>
      <c r="AT2847" s="242" t="str">
        <f>VLOOKUP(Table8[[#This Row],[Country Code]],Table29[],5,FALSE)</f>
        <v>Middle-income</v>
      </c>
      <c r="AU2847" s="242" t="str">
        <f>VLOOKUP(Table8[[#This Row],[Country Code]],Table29[],6,FALSE)</f>
        <v>no</v>
      </c>
      <c r="AV2847" s="242" t="str">
        <f>VLOOKUP(Table8[[#This Row],[Country Code]],Table29[],7,FALSE)</f>
        <v>no</v>
      </c>
      <c r="AW2847" s="242" t="str">
        <f>VLOOKUP(Table8[[#This Row],[Country Code]],Table29[],8,FALSE)</f>
        <v>non-OECD</v>
      </c>
      <c r="AX2847" s="242" t="str">
        <f>VLOOKUP(Table8[[#This Row],[Country Code]],Table29[],9,FALSE)</f>
        <v>no</v>
      </c>
      <c r="AY2847" s="242" t="str">
        <f>VLOOKUP(Table8[[#This Row],[Country Code]],Table29[],10,FALSE)</f>
        <v>no</v>
      </c>
      <c r="AZ2847" s="242">
        <f>VLOOKUP(Table8[[#This Row],[Country Code]],Table29[],23,FALSE)</f>
        <v>320.34998496393001</v>
      </c>
      <c r="BA2847" s="242">
        <f>VLOOKUP(Table8[[#This Row],[Country Code]],Table29[],24,FALSE)</f>
        <v>24.00450259503398</v>
      </c>
      <c r="BB2847" s="320"/>
      <c r="BC2847" s="320"/>
    </row>
    <row r="2848" spans="1:55" ht="30" hidden="1" x14ac:dyDescent="0.25">
      <c r="A2848" s="373">
        <v>43717</v>
      </c>
      <c r="B2848" s="243" t="str">
        <f>VLOOKUP(Table8[[#This Row],[Document ID]],Table1[],2,FALSE)</f>
        <v>KAZ</v>
      </c>
      <c r="C2848" s="243" t="str">
        <f>VLOOKUP(Table8[[#This Row],[Document ID]],Table1[],3,FALSE)</f>
        <v>Kazakhstan</v>
      </c>
      <c r="D2848" s="243" t="str">
        <f>VLOOKUP(Table8[[#This Row],[Document ID]],Table1[],5,FALSE)</f>
        <v>LTS</v>
      </c>
      <c r="E2848" s="233" t="str">
        <f>VLOOKUP(Table8[[#This Row],[Document ID]],Table1[],7,FALSE)</f>
        <v>LTS</v>
      </c>
      <c r="F2848" s="233" t="str">
        <f>VLOOKUP(Table8[[#This Row],[Document ID]],Table1[],8,FALSE)</f>
        <v>LTS 1.0</v>
      </c>
      <c r="G2848" s="233" t="str">
        <f>VLOOKUP(Table8[[#This Row],[Document ID]],Table1[],10,FALSE)</f>
        <v>Active</v>
      </c>
      <c r="H2848" s="43" t="s">
        <v>2329</v>
      </c>
      <c r="I2848" s="43" t="s">
        <v>2330</v>
      </c>
      <c r="J2848" s="43" t="s">
        <v>2381</v>
      </c>
      <c r="K2848" s="44" t="s">
        <v>4909</v>
      </c>
      <c r="L2848" s="44" t="s">
        <v>2333</v>
      </c>
      <c r="M2848" s="43">
        <v>26</v>
      </c>
      <c r="N2848" s="113" t="s">
        <v>1113</v>
      </c>
      <c r="O2848" s="113"/>
      <c r="P2848" s="113"/>
      <c r="Q2848" s="113"/>
      <c r="R2848" s="113"/>
      <c r="S2848" s="113"/>
      <c r="T2848" s="113"/>
      <c r="U2848" s="113"/>
      <c r="V2848" s="113"/>
      <c r="W2848" s="113"/>
      <c r="X2848" s="113"/>
      <c r="Y2848" s="113"/>
      <c r="Z2848" s="113"/>
      <c r="AA2848" s="113"/>
      <c r="AB2848" s="113"/>
      <c r="AC2848" s="113"/>
      <c r="AD2848" s="113"/>
      <c r="AE2848" s="113"/>
      <c r="AF2848" s="113"/>
      <c r="AG2848" s="113"/>
      <c r="AH2848" s="113"/>
      <c r="AI2848" s="113"/>
      <c r="AJ2848" s="113"/>
      <c r="AK2848" s="113" t="s">
        <v>1113</v>
      </c>
      <c r="AL2848" s="113"/>
      <c r="AM2848" s="113"/>
      <c r="AN2848" s="113"/>
      <c r="AO2848" s="43" t="s">
        <v>2334</v>
      </c>
      <c r="AP2848" s="43"/>
      <c r="AQ2848" s="233" t="str">
        <f>VLOOKUP(Table8[[#This Row],[Instrument]],Def_Targets!$D$73:$E$159,2,FALSE)</f>
        <v>I_RE</v>
      </c>
      <c r="AR2848" s="242" t="str">
        <f>VLOOKUP(Table8[[#This Row],[Country Code]],Table29[],3,FALSE)</f>
        <v>Non-Annex I</v>
      </c>
      <c r="AS2848" s="242" t="str">
        <f>VLOOKUP(Table8[[#This Row],[Country Code]],Table29[],4,FALSE)</f>
        <v>Asia</v>
      </c>
      <c r="AT2848" s="242" t="str">
        <f>VLOOKUP(Table8[[#This Row],[Country Code]],Table29[],5,FALSE)</f>
        <v>Middle-income</v>
      </c>
      <c r="AU2848" s="242" t="str">
        <f>VLOOKUP(Table8[[#This Row],[Country Code]],Table29[],6,FALSE)</f>
        <v>no</v>
      </c>
      <c r="AV2848" s="242" t="str">
        <f>VLOOKUP(Table8[[#This Row],[Country Code]],Table29[],7,FALSE)</f>
        <v>no</v>
      </c>
      <c r="AW2848" s="242" t="str">
        <f>VLOOKUP(Table8[[#This Row],[Country Code]],Table29[],8,FALSE)</f>
        <v>non-OECD</v>
      </c>
      <c r="AX2848" s="242" t="str">
        <f>VLOOKUP(Table8[[#This Row],[Country Code]],Table29[],9,FALSE)</f>
        <v>no</v>
      </c>
      <c r="AY2848" s="242" t="str">
        <f>VLOOKUP(Table8[[#This Row],[Country Code]],Table29[],10,FALSE)</f>
        <v>no</v>
      </c>
      <c r="AZ2848" s="242">
        <f>VLOOKUP(Table8[[#This Row],[Country Code]],Table29[],23,FALSE)</f>
        <v>320.34998496393001</v>
      </c>
      <c r="BA2848" s="242">
        <f>VLOOKUP(Table8[[#This Row],[Country Code]],Table29[],24,FALSE)</f>
        <v>24.00450259503398</v>
      </c>
      <c r="BB2848" s="320"/>
      <c r="BC2848" s="320"/>
    </row>
    <row r="2849" spans="1:55" ht="15" hidden="1" customHeight="1" x14ac:dyDescent="0.25">
      <c r="A2849" s="373">
        <v>43717</v>
      </c>
      <c r="B2849" s="243" t="str">
        <f>VLOOKUP(Table8[[#This Row],[Document ID]],Table1[],2,FALSE)</f>
        <v>KAZ</v>
      </c>
      <c r="C2849" s="243" t="str">
        <f>VLOOKUP(Table8[[#This Row],[Document ID]],Table1[],3,FALSE)</f>
        <v>Kazakhstan</v>
      </c>
      <c r="D2849" s="243" t="str">
        <f>VLOOKUP(Table8[[#This Row],[Document ID]],Table1[],5,FALSE)</f>
        <v>LTS</v>
      </c>
      <c r="E2849" s="233" t="str">
        <f>VLOOKUP(Table8[[#This Row],[Document ID]],Table1[],7,FALSE)</f>
        <v>LTS</v>
      </c>
      <c r="F2849" s="233" t="str">
        <f>VLOOKUP(Table8[[#This Row],[Document ID]],Table1[],8,FALSE)</f>
        <v>LTS 1.0</v>
      </c>
      <c r="G2849" s="233" t="str">
        <f>VLOOKUP(Table8[[#This Row],[Document ID]],Table1[],10,FALSE)</f>
        <v>Active</v>
      </c>
      <c r="H2849" s="43" t="s">
        <v>2350</v>
      </c>
      <c r="I2849" s="43" t="s">
        <v>2407</v>
      </c>
      <c r="J2849" s="43" t="s">
        <v>2408</v>
      </c>
      <c r="K2849" s="44" t="s">
        <v>4910</v>
      </c>
      <c r="L2849" s="44" t="s">
        <v>2333</v>
      </c>
      <c r="M2849" s="43">
        <v>26</v>
      </c>
      <c r="N2849" s="113" t="s">
        <v>1113</v>
      </c>
      <c r="O2849" s="113"/>
      <c r="P2849" s="113"/>
      <c r="Q2849" s="113"/>
      <c r="R2849" s="113"/>
      <c r="S2849" s="113"/>
      <c r="T2849" s="113"/>
      <c r="U2849" s="113"/>
      <c r="V2849" s="113"/>
      <c r="W2849" s="113"/>
      <c r="X2849" s="113"/>
      <c r="Y2849" s="113"/>
      <c r="Z2849" s="113"/>
      <c r="AA2849" s="113"/>
      <c r="AB2849" s="113"/>
      <c r="AC2849" s="113"/>
      <c r="AD2849" s="113"/>
      <c r="AE2849" s="113"/>
      <c r="AF2849" s="113"/>
      <c r="AG2849" s="113"/>
      <c r="AH2849" s="113"/>
      <c r="AI2849" s="113"/>
      <c r="AJ2849" s="113"/>
      <c r="AK2849" s="113" t="s">
        <v>1113</v>
      </c>
      <c r="AL2849" s="113"/>
      <c r="AM2849" s="113"/>
      <c r="AN2849" s="113"/>
      <c r="AO2849" s="43" t="s">
        <v>2334</v>
      </c>
      <c r="AP2849" s="43"/>
      <c r="AQ2849" s="233" t="str">
        <f>VLOOKUP(Table8[[#This Row],[Instrument]],Def_Targets!$D$73:$E$159,2,FALSE)</f>
        <v>I_Education</v>
      </c>
      <c r="AR2849" s="242" t="str">
        <f>VLOOKUP(Table8[[#This Row],[Country Code]],Table29[],3,FALSE)</f>
        <v>Non-Annex I</v>
      </c>
      <c r="AS2849" s="242" t="str">
        <f>VLOOKUP(Table8[[#This Row],[Country Code]],Table29[],4,FALSE)</f>
        <v>Asia</v>
      </c>
      <c r="AT2849" s="242" t="str">
        <f>VLOOKUP(Table8[[#This Row],[Country Code]],Table29[],5,FALSE)</f>
        <v>Middle-income</v>
      </c>
      <c r="AU2849" s="242" t="str">
        <f>VLOOKUP(Table8[[#This Row],[Country Code]],Table29[],6,FALSE)</f>
        <v>no</v>
      </c>
      <c r="AV2849" s="242" t="str">
        <f>VLOOKUP(Table8[[#This Row],[Country Code]],Table29[],7,FALSE)</f>
        <v>no</v>
      </c>
      <c r="AW2849" s="242" t="str">
        <f>VLOOKUP(Table8[[#This Row],[Country Code]],Table29[],8,FALSE)</f>
        <v>non-OECD</v>
      </c>
      <c r="AX2849" s="242" t="str">
        <f>VLOOKUP(Table8[[#This Row],[Country Code]],Table29[],9,FALSE)</f>
        <v>no</v>
      </c>
      <c r="AY2849" s="242" t="str">
        <f>VLOOKUP(Table8[[#This Row],[Country Code]],Table29[],10,FALSE)</f>
        <v>no</v>
      </c>
      <c r="AZ2849" s="242">
        <f>VLOOKUP(Table8[[#This Row],[Country Code]],Table29[],23,FALSE)</f>
        <v>320.34998496393001</v>
      </c>
      <c r="BA2849" s="242">
        <f>VLOOKUP(Table8[[#This Row],[Country Code]],Table29[],24,FALSE)</f>
        <v>24.00450259503398</v>
      </c>
      <c r="BB2849" s="320"/>
      <c r="BC2849" s="320"/>
    </row>
    <row r="2850" spans="1:55" ht="45" hidden="1" x14ac:dyDescent="0.25">
      <c r="A2850" s="373">
        <v>43717</v>
      </c>
      <c r="B2850" s="243" t="str">
        <f>VLOOKUP(Table8[[#This Row],[Document ID]],Table1[],2,FALSE)</f>
        <v>KAZ</v>
      </c>
      <c r="C2850" s="243" t="str">
        <f>VLOOKUP(Table8[[#This Row],[Document ID]],Table1[],3,FALSE)</f>
        <v>Kazakhstan</v>
      </c>
      <c r="D2850" s="243" t="str">
        <f>VLOOKUP(Table8[[#This Row],[Document ID]],Table1[],5,FALSE)</f>
        <v>LTS</v>
      </c>
      <c r="E2850" s="233" t="str">
        <f>VLOOKUP(Table8[[#This Row],[Document ID]],Table1[],7,FALSE)</f>
        <v>LTS</v>
      </c>
      <c r="F2850" s="233" t="str">
        <f>VLOOKUP(Table8[[#This Row],[Document ID]],Table1[],8,FALSE)</f>
        <v>LTS 1.0</v>
      </c>
      <c r="G2850" s="233" t="str">
        <f>VLOOKUP(Table8[[#This Row],[Document ID]],Table1[],10,FALSE)</f>
        <v>Active</v>
      </c>
      <c r="H2850" s="43" t="s">
        <v>2343</v>
      </c>
      <c r="I2850" s="43" t="s">
        <v>2386</v>
      </c>
      <c r="J2850" s="43" t="s">
        <v>2397</v>
      </c>
      <c r="K2850" s="44" t="s">
        <v>4911</v>
      </c>
      <c r="L2850" s="44" t="s">
        <v>4912</v>
      </c>
      <c r="M2850" s="43">
        <v>33</v>
      </c>
      <c r="N2850" s="113" t="s">
        <v>1113</v>
      </c>
      <c r="O2850" s="113"/>
      <c r="P2850" s="113"/>
      <c r="Q2850" s="113"/>
      <c r="R2850" s="113"/>
      <c r="S2850" s="113"/>
      <c r="T2850" s="113"/>
      <c r="U2850" s="113"/>
      <c r="V2850" s="113"/>
      <c r="W2850" s="113"/>
      <c r="X2850" s="113"/>
      <c r="Y2850" s="113"/>
      <c r="Z2850" s="113"/>
      <c r="AA2850" s="113"/>
      <c r="AB2850" s="113"/>
      <c r="AC2850" s="113"/>
      <c r="AD2850" s="113"/>
      <c r="AE2850" s="113"/>
      <c r="AF2850" s="113"/>
      <c r="AG2850" s="113"/>
      <c r="AH2850" s="113"/>
      <c r="AI2850" s="113"/>
      <c r="AJ2850" s="113"/>
      <c r="AK2850" s="113" t="s">
        <v>1113</v>
      </c>
      <c r="AL2850" s="113"/>
      <c r="AM2850" s="113"/>
      <c r="AN2850" s="113"/>
      <c r="AO2850" s="43" t="s">
        <v>2334</v>
      </c>
      <c r="AP2850" s="43"/>
      <c r="AQ2850" s="233" t="str">
        <f>VLOOKUP(Table8[[#This Row],[Instrument]],Def_Targets!$D$73:$E$159,2,FALSE)</f>
        <v>A_Finance</v>
      </c>
      <c r="AR2850" s="242" t="str">
        <f>VLOOKUP(Table8[[#This Row],[Country Code]],Table29[],3,FALSE)</f>
        <v>Non-Annex I</v>
      </c>
      <c r="AS2850" s="242" t="str">
        <f>VLOOKUP(Table8[[#This Row],[Country Code]],Table29[],4,FALSE)</f>
        <v>Asia</v>
      </c>
      <c r="AT2850" s="242" t="str">
        <f>VLOOKUP(Table8[[#This Row],[Country Code]],Table29[],5,FALSE)</f>
        <v>Middle-income</v>
      </c>
      <c r="AU2850" s="242" t="str">
        <f>VLOOKUP(Table8[[#This Row],[Country Code]],Table29[],6,FALSE)</f>
        <v>no</v>
      </c>
      <c r="AV2850" s="242" t="str">
        <f>VLOOKUP(Table8[[#This Row],[Country Code]],Table29[],7,FALSE)</f>
        <v>no</v>
      </c>
      <c r="AW2850" s="242" t="str">
        <f>VLOOKUP(Table8[[#This Row],[Country Code]],Table29[],8,FALSE)</f>
        <v>non-OECD</v>
      </c>
      <c r="AX2850" s="242" t="str">
        <f>VLOOKUP(Table8[[#This Row],[Country Code]],Table29[],9,FALSE)</f>
        <v>no</v>
      </c>
      <c r="AY2850" s="242" t="str">
        <f>VLOOKUP(Table8[[#This Row],[Country Code]],Table29[],10,FALSE)</f>
        <v>no</v>
      </c>
      <c r="AZ2850" s="242">
        <f>VLOOKUP(Table8[[#This Row],[Country Code]],Table29[],23,FALSE)</f>
        <v>320.34998496393001</v>
      </c>
      <c r="BA2850" s="242">
        <f>VLOOKUP(Table8[[#This Row],[Country Code]],Table29[],24,FALSE)</f>
        <v>24.00450259503398</v>
      </c>
      <c r="BB2850" s="320"/>
      <c r="BC2850" s="320"/>
    </row>
    <row r="2851" spans="1:55" ht="30" hidden="1" x14ac:dyDescent="0.25">
      <c r="A2851" s="373">
        <v>43717</v>
      </c>
      <c r="B2851" s="243" t="str">
        <f>VLOOKUP(Table8[[#This Row],[Document ID]],Table1[],2,FALSE)</f>
        <v>KAZ</v>
      </c>
      <c r="C2851" s="243" t="str">
        <f>VLOOKUP(Table8[[#This Row],[Document ID]],Table1[],3,FALSE)</f>
        <v>Kazakhstan</v>
      </c>
      <c r="D2851" s="243" t="str">
        <f>VLOOKUP(Table8[[#This Row],[Document ID]],Table1[],5,FALSE)</f>
        <v>LTS</v>
      </c>
      <c r="E2851" s="233" t="str">
        <f>VLOOKUP(Table8[[#This Row],[Document ID]],Table1[],7,FALSE)</f>
        <v>LTS</v>
      </c>
      <c r="F2851" s="233" t="str">
        <f>VLOOKUP(Table8[[#This Row],[Document ID]],Table1[],8,FALSE)</f>
        <v>LTS 1.0</v>
      </c>
      <c r="G2851" s="233" t="str">
        <f>VLOOKUP(Table8[[#This Row],[Document ID]],Table1[],10,FALSE)</f>
        <v>Active</v>
      </c>
      <c r="H2851" s="43" t="s">
        <v>2329</v>
      </c>
      <c r="I2851" s="43" t="s">
        <v>2330</v>
      </c>
      <c r="J2851" s="43" t="s">
        <v>2357</v>
      </c>
      <c r="K2851" s="44" t="s">
        <v>4913</v>
      </c>
      <c r="L2851" s="44" t="s">
        <v>2333</v>
      </c>
      <c r="M2851" s="43">
        <v>41</v>
      </c>
      <c r="N2851" s="113"/>
      <c r="O2851" s="113"/>
      <c r="P2851" s="113"/>
      <c r="Q2851" s="113"/>
      <c r="R2851" s="113"/>
      <c r="S2851" s="113"/>
      <c r="T2851" s="113"/>
      <c r="U2851" s="113"/>
      <c r="V2851" s="113"/>
      <c r="W2851" s="113"/>
      <c r="X2851" s="113"/>
      <c r="Y2851" s="113"/>
      <c r="Z2851" s="113"/>
      <c r="AA2851" s="113"/>
      <c r="AB2851" s="113"/>
      <c r="AC2851" s="113"/>
      <c r="AD2851" s="113" t="s">
        <v>1113</v>
      </c>
      <c r="AE2851" s="113"/>
      <c r="AF2851" s="113"/>
      <c r="AG2851" s="113"/>
      <c r="AH2851" s="113" t="s">
        <v>1113</v>
      </c>
      <c r="AI2851" s="113"/>
      <c r="AJ2851" s="113"/>
      <c r="AK2851" s="113" t="s">
        <v>1113</v>
      </c>
      <c r="AL2851" s="113"/>
      <c r="AM2851" s="113"/>
      <c r="AN2851" s="113"/>
      <c r="AO2851" s="43" t="s">
        <v>2334</v>
      </c>
      <c r="AP2851" s="43"/>
      <c r="AQ2851" s="233" t="str">
        <f>VLOOKUP(Table8[[#This Row],[Instrument]],Def_Targets!$D$73:$E$159,2,FALSE)</f>
        <v>I_Biofuel</v>
      </c>
      <c r="AR2851" s="242" t="str">
        <f>VLOOKUP(Table8[[#This Row],[Country Code]],Table29[],3,FALSE)</f>
        <v>Non-Annex I</v>
      </c>
      <c r="AS2851" s="242" t="str">
        <f>VLOOKUP(Table8[[#This Row],[Country Code]],Table29[],4,FALSE)</f>
        <v>Asia</v>
      </c>
      <c r="AT2851" s="242" t="str">
        <f>VLOOKUP(Table8[[#This Row],[Country Code]],Table29[],5,FALSE)</f>
        <v>Middle-income</v>
      </c>
      <c r="AU2851" s="242" t="str">
        <f>VLOOKUP(Table8[[#This Row],[Country Code]],Table29[],6,FALSE)</f>
        <v>no</v>
      </c>
      <c r="AV2851" s="242" t="str">
        <f>VLOOKUP(Table8[[#This Row],[Country Code]],Table29[],7,FALSE)</f>
        <v>no</v>
      </c>
      <c r="AW2851" s="242" t="str">
        <f>VLOOKUP(Table8[[#This Row],[Country Code]],Table29[],8,FALSE)</f>
        <v>non-OECD</v>
      </c>
      <c r="AX2851" s="242" t="str">
        <f>VLOOKUP(Table8[[#This Row],[Country Code]],Table29[],9,FALSE)</f>
        <v>no</v>
      </c>
      <c r="AY2851" s="242" t="str">
        <f>VLOOKUP(Table8[[#This Row],[Country Code]],Table29[],10,FALSE)</f>
        <v>no</v>
      </c>
      <c r="AZ2851" s="242">
        <f>VLOOKUP(Table8[[#This Row],[Country Code]],Table29[],23,FALSE)</f>
        <v>320.34998496393001</v>
      </c>
      <c r="BA2851" s="242">
        <f>VLOOKUP(Table8[[#This Row],[Country Code]],Table29[],24,FALSE)</f>
        <v>24.00450259503398</v>
      </c>
      <c r="BB2851" s="320"/>
      <c r="BC2851" s="320"/>
    </row>
    <row r="2852" spans="1:55" ht="30" hidden="1" x14ac:dyDescent="0.25">
      <c r="A2852" s="373">
        <v>43717</v>
      </c>
      <c r="B2852" s="243" t="str">
        <f>VLOOKUP(Table8[[#This Row],[Document ID]],Table1[],2,FALSE)</f>
        <v>KAZ</v>
      </c>
      <c r="C2852" s="243" t="str">
        <f>VLOOKUP(Table8[[#This Row],[Document ID]],Table1[],3,FALSE)</f>
        <v>Kazakhstan</v>
      </c>
      <c r="D2852" s="243" t="str">
        <f>VLOOKUP(Table8[[#This Row],[Document ID]],Table1[],5,FALSE)</f>
        <v>LTS</v>
      </c>
      <c r="E2852" s="233" t="str">
        <f>VLOOKUP(Table8[[#This Row],[Document ID]],Table1[],7,FALSE)</f>
        <v>LTS</v>
      </c>
      <c r="F2852" s="233" t="str">
        <f>VLOOKUP(Table8[[#This Row],[Document ID]],Table1[],8,FALSE)</f>
        <v>LTS 1.0</v>
      </c>
      <c r="G2852" s="233" t="str">
        <f>VLOOKUP(Table8[[#This Row],[Document ID]],Table1[],10,FALSE)</f>
        <v>Active</v>
      </c>
      <c r="H2852" s="43" t="s">
        <v>2329</v>
      </c>
      <c r="I2852" s="43" t="s">
        <v>2330</v>
      </c>
      <c r="J2852" s="43" t="s">
        <v>2391</v>
      </c>
      <c r="K2852" s="44" t="s">
        <v>4913</v>
      </c>
      <c r="L2852" s="44" t="s">
        <v>2333</v>
      </c>
      <c r="M2852" s="43">
        <v>41</v>
      </c>
      <c r="N2852" s="113"/>
      <c r="O2852" s="113"/>
      <c r="P2852" s="113"/>
      <c r="Q2852" s="113"/>
      <c r="R2852" s="113"/>
      <c r="S2852" s="113"/>
      <c r="T2852" s="113"/>
      <c r="U2852" s="113"/>
      <c r="V2852" s="113"/>
      <c r="W2852" s="113"/>
      <c r="X2852" s="113"/>
      <c r="Y2852" s="113"/>
      <c r="Z2852" s="113"/>
      <c r="AA2852" s="113"/>
      <c r="AB2852" s="113"/>
      <c r="AC2852" s="113"/>
      <c r="AD2852" s="113" t="s">
        <v>1113</v>
      </c>
      <c r="AE2852" s="113"/>
      <c r="AF2852" s="113"/>
      <c r="AG2852" s="113"/>
      <c r="AH2852" s="113" t="s">
        <v>1113</v>
      </c>
      <c r="AI2852" s="113"/>
      <c r="AJ2852" s="113"/>
      <c r="AK2852" s="113" t="s">
        <v>1113</v>
      </c>
      <c r="AL2852" s="113"/>
      <c r="AM2852" s="113"/>
      <c r="AN2852" s="113"/>
      <c r="AO2852" s="43" t="s">
        <v>2334</v>
      </c>
      <c r="AP2852" s="43"/>
      <c r="AQ2852" s="233" t="str">
        <f>VLOOKUP(Table8[[#This Row],[Instrument]],Def_Targets!$D$73:$E$159,2,FALSE)</f>
        <v>I_Hydrogen</v>
      </c>
      <c r="AR2852" s="242" t="str">
        <f>VLOOKUP(Table8[[#This Row],[Country Code]],Table29[],3,FALSE)</f>
        <v>Non-Annex I</v>
      </c>
      <c r="AS2852" s="242" t="str">
        <f>VLOOKUP(Table8[[#This Row],[Country Code]],Table29[],4,FALSE)</f>
        <v>Asia</v>
      </c>
      <c r="AT2852" s="242" t="str">
        <f>VLOOKUP(Table8[[#This Row],[Country Code]],Table29[],5,FALSE)</f>
        <v>Middle-income</v>
      </c>
      <c r="AU2852" s="242" t="str">
        <f>VLOOKUP(Table8[[#This Row],[Country Code]],Table29[],6,FALSE)</f>
        <v>no</v>
      </c>
      <c r="AV2852" s="242" t="str">
        <f>VLOOKUP(Table8[[#This Row],[Country Code]],Table29[],7,FALSE)</f>
        <v>no</v>
      </c>
      <c r="AW2852" s="242" t="str">
        <f>VLOOKUP(Table8[[#This Row],[Country Code]],Table29[],8,FALSE)</f>
        <v>non-OECD</v>
      </c>
      <c r="AX2852" s="242" t="str">
        <f>VLOOKUP(Table8[[#This Row],[Country Code]],Table29[],9,FALSE)</f>
        <v>no</v>
      </c>
      <c r="AY2852" s="242" t="str">
        <f>VLOOKUP(Table8[[#This Row],[Country Code]],Table29[],10,FALSE)</f>
        <v>no</v>
      </c>
      <c r="AZ2852" s="242">
        <f>VLOOKUP(Table8[[#This Row],[Country Code]],Table29[],23,FALSE)</f>
        <v>320.34998496393001</v>
      </c>
      <c r="BA2852" s="242">
        <f>VLOOKUP(Table8[[#This Row],[Country Code]],Table29[],24,FALSE)</f>
        <v>24.00450259503398</v>
      </c>
      <c r="BB2852" s="320"/>
      <c r="BC2852" s="320"/>
    </row>
    <row r="2853" spans="1:55" ht="15" hidden="1" customHeight="1" x14ac:dyDescent="0.25">
      <c r="A2853" s="373">
        <v>43718</v>
      </c>
      <c r="B2853" s="243" t="str">
        <f>VLOOKUP(Table8[[#This Row],[Document ID]],Table1[],2,FALSE)</f>
        <v>THA</v>
      </c>
      <c r="C2853" s="243" t="str">
        <f>VLOOKUP(Table8[[#This Row],[Document ID]],Table1[],3,FALSE)</f>
        <v>Thailand</v>
      </c>
      <c r="D2853" s="243" t="str">
        <f>VLOOKUP(Table8[[#This Row],[Document ID]],Table1[],5,FALSE)</f>
        <v>NDC</v>
      </c>
      <c r="E2853" s="233" t="str">
        <f>VLOOKUP(Table8[[#This Row],[Document ID]],Table1[],7,FALSE)</f>
        <v>Second NDC</v>
      </c>
      <c r="F2853" s="233" t="str">
        <f>VLOOKUP(Table8[[#This Row],[Document ID]],Table1[],8,FALSE)</f>
        <v>NDC 2.0</v>
      </c>
      <c r="G2853" s="233" t="str">
        <f>VLOOKUP(Table8[[#This Row],[Document ID]],Table1[],10,FALSE)</f>
        <v>Active</v>
      </c>
      <c r="H2853" s="43" t="s">
        <v>2343</v>
      </c>
      <c r="I2853" s="43" t="s">
        <v>2344</v>
      </c>
      <c r="J2853" s="43" t="s">
        <v>2345</v>
      </c>
      <c r="K2853" s="44" t="s">
        <v>4914</v>
      </c>
      <c r="L2853" s="44" t="s">
        <v>2347</v>
      </c>
      <c r="M2853" s="43">
        <v>3</v>
      </c>
      <c r="N2853" s="113"/>
      <c r="O2853" s="113"/>
      <c r="P2853" s="113"/>
      <c r="Q2853" s="113"/>
      <c r="R2853" s="113"/>
      <c r="S2853" s="113" t="s">
        <v>1113</v>
      </c>
      <c r="T2853" s="113"/>
      <c r="U2853" s="113"/>
      <c r="V2853" s="113"/>
      <c r="W2853" s="113"/>
      <c r="X2853" s="113"/>
      <c r="Y2853" s="113"/>
      <c r="Z2853" s="113" t="s">
        <v>1113</v>
      </c>
      <c r="AA2853" s="113"/>
      <c r="AB2853" s="113"/>
      <c r="AC2853" s="113"/>
      <c r="AD2853" s="113"/>
      <c r="AE2853" s="113"/>
      <c r="AF2853" s="113"/>
      <c r="AG2853" s="113"/>
      <c r="AH2853" s="113"/>
      <c r="AI2853" s="113"/>
      <c r="AJ2853" s="113"/>
      <c r="AK2853" s="113" t="s">
        <v>1113</v>
      </c>
      <c r="AL2853" s="113"/>
      <c r="AM2853" s="113"/>
      <c r="AN2853" s="113"/>
      <c r="AO2853" s="43" t="s">
        <v>2477</v>
      </c>
      <c r="AP2853" s="43" t="s">
        <v>4873</v>
      </c>
      <c r="AQ2853" s="233" t="str">
        <f>VLOOKUP(Table8[[#This Row],[Instrument]],Def_Targets!$D$73:$E$159,2,FALSE)</f>
        <v>S_PublicTransport</v>
      </c>
      <c r="AR2853" s="242" t="str">
        <f>VLOOKUP(Table8[[#This Row],[Country Code]],Table29[],3,FALSE)</f>
        <v>Non-Annex I</v>
      </c>
      <c r="AS2853" s="242" t="str">
        <f>VLOOKUP(Table8[[#This Row],[Country Code]],Table29[],4,FALSE)</f>
        <v>Asia</v>
      </c>
      <c r="AT2853" s="242" t="str">
        <f>VLOOKUP(Table8[[#This Row],[Country Code]],Table29[],5,FALSE)</f>
        <v>Middle-income</v>
      </c>
      <c r="AU2853" s="242" t="str">
        <f>VLOOKUP(Table8[[#This Row],[Country Code]],Table29[],6,FALSE)</f>
        <v>no</v>
      </c>
      <c r="AV2853" s="242" t="str">
        <f>VLOOKUP(Table8[[#This Row],[Country Code]],Table29[],7,FALSE)</f>
        <v>no</v>
      </c>
      <c r="AW2853" s="242" t="str">
        <f>VLOOKUP(Table8[[#This Row],[Country Code]],Table29[],8,FALSE)</f>
        <v>non-OECD</v>
      </c>
      <c r="AX2853" s="242" t="str">
        <f>VLOOKUP(Table8[[#This Row],[Country Code]],Table29[],9,FALSE)</f>
        <v>no</v>
      </c>
      <c r="AY2853" s="242" t="str">
        <f>VLOOKUP(Table8[[#This Row],[Country Code]],Table29[],10,FALSE)</f>
        <v>no</v>
      </c>
      <c r="AZ2853" s="242">
        <f>VLOOKUP(Table8[[#This Row],[Country Code]],Table29[],23,FALSE)</f>
        <v>440.78301465571002</v>
      </c>
      <c r="BA2853" s="242">
        <f>VLOOKUP(Table8[[#This Row],[Country Code]],Table29[],24,FALSE)</f>
        <v>81.217527676047013</v>
      </c>
      <c r="BB2853" s="320"/>
      <c r="BC2853" s="320"/>
    </row>
    <row r="2854" spans="1:55" ht="15" hidden="1" customHeight="1" x14ac:dyDescent="0.25">
      <c r="A2854" s="373">
        <v>43718</v>
      </c>
      <c r="B2854" s="243" t="str">
        <f>VLOOKUP(Table8[[#This Row],[Document ID]],Table1[],2,FALSE)</f>
        <v>THA</v>
      </c>
      <c r="C2854" s="243" t="str">
        <f>VLOOKUP(Table8[[#This Row],[Document ID]],Table1[],3,FALSE)</f>
        <v>Thailand</v>
      </c>
      <c r="D2854" s="243" t="str">
        <f>VLOOKUP(Table8[[#This Row],[Document ID]],Table1[],5,FALSE)</f>
        <v>NDC</v>
      </c>
      <c r="E2854" s="233" t="str">
        <f>VLOOKUP(Table8[[#This Row],[Document ID]],Table1[],7,FALSE)</f>
        <v>Second NDC</v>
      </c>
      <c r="F2854" s="233" t="str">
        <f>VLOOKUP(Table8[[#This Row],[Document ID]],Table1[],8,FALSE)</f>
        <v>NDC 2.0</v>
      </c>
      <c r="G2854" s="233" t="str">
        <f>VLOOKUP(Table8[[#This Row],[Document ID]],Table1[],10,FALSE)</f>
        <v>Active</v>
      </c>
      <c r="H2854" s="43" t="s">
        <v>2343</v>
      </c>
      <c r="I2854" s="43" t="s">
        <v>2386</v>
      </c>
      <c r="J2854" s="43" t="s">
        <v>2498</v>
      </c>
      <c r="K2854" s="44" t="s">
        <v>4915</v>
      </c>
      <c r="L2854" s="44" t="s">
        <v>2347</v>
      </c>
      <c r="M2854" s="43">
        <v>3</v>
      </c>
      <c r="N2854" s="113"/>
      <c r="O2854" s="113"/>
      <c r="P2854" s="113"/>
      <c r="Q2854" s="113"/>
      <c r="R2854" s="113"/>
      <c r="S2854" s="113"/>
      <c r="T2854" s="113"/>
      <c r="U2854" s="113" t="s">
        <v>1113</v>
      </c>
      <c r="V2854" s="113"/>
      <c r="W2854" s="113"/>
      <c r="X2854" s="113"/>
      <c r="Y2854" s="113"/>
      <c r="Z2854" s="113"/>
      <c r="AA2854" s="113"/>
      <c r="AB2854" s="113"/>
      <c r="AC2854" s="113"/>
      <c r="AD2854" s="113"/>
      <c r="AE2854" s="113"/>
      <c r="AF2854" s="113"/>
      <c r="AG2854" s="113"/>
      <c r="AH2854" s="113"/>
      <c r="AI2854" s="113"/>
      <c r="AJ2854" s="113"/>
      <c r="AK2854" s="113" t="s">
        <v>1113</v>
      </c>
      <c r="AL2854" s="113"/>
      <c r="AM2854" s="113"/>
      <c r="AN2854" s="113"/>
      <c r="AO2854" s="43" t="s">
        <v>2348</v>
      </c>
      <c r="AP2854" s="43" t="s">
        <v>4861</v>
      </c>
      <c r="AQ2854" s="233" t="str">
        <f>VLOOKUP(Table8[[#This Row],[Instrument]],Def_Targets!$D$73:$E$159,2,FALSE)</f>
        <v>A_Fueltax</v>
      </c>
      <c r="AR2854" s="242" t="str">
        <f>VLOOKUP(Table8[[#This Row],[Country Code]],Table29[],3,FALSE)</f>
        <v>Non-Annex I</v>
      </c>
      <c r="AS2854" s="242" t="str">
        <f>VLOOKUP(Table8[[#This Row],[Country Code]],Table29[],4,FALSE)</f>
        <v>Asia</v>
      </c>
      <c r="AT2854" s="242" t="str">
        <f>VLOOKUP(Table8[[#This Row],[Country Code]],Table29[],5,FALSE)</f>
        <v>Middle-income</v>
      </c>
      <c r="AU2854" s="242" t="str">
        <f>VLOOKUP(Table8[[#This Row],[Country Code]],Table29[],6,FALSE)</f>
        <v>no</v>
      </c>
      <c r="AV2854" s="242" t="str">
        <f>VLOOKUP(Table8[[#This Row],[Country Code]],Table29[],7,FALSE)</f>
        <v>no</v>
      </c>
      <c r="AW2854" s="242" t="str">
        <f>VLOOKUP(Table8[[#This Row],[Country Code]],Table29[],8,FALSE)</f>
        <v>non-OECD</v>
      </c>
      <c r="AX2854" s="242" t="str">
        <f>VLOOKUP(Table8[[#This Row],[Country Code]],Table29[],9,FALSE)</f>
        <v>no</v>
      </c>
      <c r="AY2854" s="242" t="str">
        <f>VLOOKUP(Table8[[#This Row],[Country Code]],Table29[],10,FALSE)</f>
        <v>no</v>
      </c>
      <c r="AZ2854" s="242">
        <f>VLOOKUP(Table8[[#This Row],[Country Code]],Table29[],23,FALSE)</f>
        <v>440.78301465571002</v>
      </c>
      <c r="BA2854" s="242">
        <f>VLOOKUP(Table8[[#This Row],[Country Code]],Table29[],24,FALSE)</f>
        <v>81.217527676047013</v>
      </c>
      <c r="BB2854" s="320"/>
      <c r="BC2854" s="320"/>
    </row>
    <row r="2855" spans="1:55" ht="15" hidden="1" customHeight="1" x14ac:dyDescent="0.25">
      <c r="A2855" s="373">
        <v>43718</v>
      </c>
      <c r="B2855" s="243" t="str">
        <f>VLOOKUP(Table8[[#This Row],[Document ID]],Table1[],2,FALSE)</f>
        <v>THA</v>
      </c>
      <c r="C2855" s="243" t="str">
        <f>VLOOKUP(Table8[[#This Row],[Document ID]],Table1[],3,FALSE)</f>
        <v>Thailand</v>
      </c>
      <c r="D2855" s="243" t="str">
        <f>VLOOKUP(Table8[[#This Row],[Document ID]],Table1[],5,FALSE)</f>
        <v>NDC</v>
      </c>
      <c r="E2855" s="233" t="str">
        <f>VLOOKUP(Table8[[#This Row],[Document ID]],Table1[],7,FALSE)</f>
        <v>Second NDC</v>
      </c>
      <c r="F2855" s="233" t="str">
        <f>VLOOKUP(Table8[[#This Row],[Document ID]],Table1[],8,FALSE)</f>
        <v>NDC 2.0</v>
      </c>
      <c r="G2855" s="233" t="str">
        <f>VLOOKUP(Table8[[#This Row],[Document ID]],Table1[],10,FALSE)</f>
        <v>Active</v>
      </c>
      <c r="H2855" s="43" t="s">
        <v>2358</v>
      </c>
      <c r="I2855" s="43" t="s">
        <v>2359</v>
      </c>
      <c r="J2855" s="43" t="s">
        <v>2360</v>
      </c>
      <c r="K2855" s="44" t="s">
        <v>4916</v>
      </c>
      <c r="L2855" s="44" t="s">
        <v>2333</v>
      </c>
      <c r="M2855" s="43">
        <v>7</v>
      </c>
      <c r="N2855" s="113"/>
      <c r="O2855" s="113"/>
      <c r="P2855" s="113"/>
      <c r="Q2855" s="113"/>
      <c r="R2855" s="113"/>
      <c r="S2855" s="113" t="s">
        <v>1113</v>
      </c>
      <c r="T2855" s="113"/>
      <c r="U2855" s="113"/>
      <c r="V2855" s="113"/>
      <c r="W2855" s="113"/>
      <c r="X2855" s="113"/>
      <c r="Y2855" s="113"/>
      <c r="Z2855" s="113"/>
      <c r="AA2855" s="113"/>
      <c r="AB2855" s="113"/>
      <c r="AC2855" s="113"/>
      <c r="AD2855" s="113"/>
      <c r="AE2855" s="113"/>
      <c r="AF2855" s="113"/>
      <c r="AG2855" s="113"/>
      <c r="AH2855" s="113"/>
      <c r="AI2855" s="113"/>
      <c r="AJ2855" s="113"/>
      <c r="AK2855" s="113" t="s">
        <v>1113</v>
      </c>
      <c r="AL2855" s="113"/>
      <c r="AM2855" s="113"/>
      <c r="AN2855" s="113"/>
      <c r="AO2855" s="43" t="s">
        <v>2334</v>
      </c>
      <c r="AP2855" s="43" t="s">
        <v>4873</v>
      </c>
      <c r="AQ2855" s="233" t="str">
        <f>VLOOKUP(Table8[[#This Row],[Instrument]],Def_Targets!$D$73:$E$159,2,FALSE)</f>
        <v>I_Emobility</v>
      </c>
      <c r="AR2855" s="242" t="str">
        <f>VLOOKUP(Table8[[#This Row],[Country Code]],Table29[],3,FALSE)</f>
        <v>Non-Annex I</v>
      </c>
      <c r="AS2855" s="242" t="str">
        <f>VLOOKUP(Table8[[#This Row],[Country Code]],Table29[],4,FALSE)</f>
        <v>Asia</v>
      </c>
      <c r="AT2855" s="242" t="str">
        <f>VLOOKUP(Table8[[#This Row],[Country Code]],Table29[],5,FALSE)</f>
        <v>Middle-income</v>
      </c>
      <c r="AU2855" s="242" t="str">
        <f>VLOOKUP(Table8[[#This Row],[Country Code]],Table29[],6,FALSE)</f>
        <v>no</v>
      </c>
      <c r="AV2855" s="242" t="str">
        <f>VLOOKUP(Table8[[#This Row],[Country Code]],Table29[],7,FALSE)</f>
        <v>no</v>
      </c>
      <c r="AW2855" s="242" t="str">
        <f>VLOOKUP(Table8[[#This Row],[Country Code]],Table29[],8,FALSE)</f>
        <v>non-OECD</v>
      </c>
      <c r="AX2855" s="242" t="str">
        <f>VLOOKUP(Table8[[#This Row],[Country Code]],Table29[],9,FALSE)</f>
        <v>no</v>
      </c>
      <c r="AY2855" s="242" t="str">
        <f>VLOOKUP(Table8[[#This Row],[Country Code]],Table29[],10,FALSE)</f>
        <v>no</v>
      </c>
      <c r="AZ2855" s="242">
        <f>VLOOKUP(Table8[[#This Row],[Country Code]],Table29[],23,FALSE)</f>
        <v>440.78301465571002</v>
      </c>
      <c r="BA2855" s="242">
        <f>VLOOKUP(Table8[[#This Row],[Country Code]],Table29[],24,FALSE)</f>
        <v>81.217527676047013</v>
      </c>
      <c r="BB2855" s="320"/>
      <c r="BC2855" s="320"/>
    </row>
    <row r="2856" spans="1:55" ht="15" hidden="1" customHeight="1" x14ac:dyDescent="0.25">
      <c r="A2856" s="373">
        <v>43718</v>
      </c>
      <c r="B2856" s="243" t="str">
        <f>VLOOKUP(Table8[[#This Row],[Document ID]],Table1[],2,FALSE)</f>
        <v>THA</v>
      </c>
      <c r="C2856" s="243" t="str">
        <f>VLOOKUP(Table8[[#This Row],[Document ID]],Table1[],3,FALSE)</f>
        <v>Thailand</v>
      </c>
      <c r="D2856" s="243" t="str">
        <f>VLOOKUP(Table8[[#This Row],[Document ID]],Table1[],5,FALSE)</f>
        <v>NDC</v>
      </c>
      <c r="E2856" s="233" t="str">
        <f>VLOOKUP(Table8[[#This Row],[Document ID]],Table1[],7,FALSE)</f>
        <v>Second NDC</v>
      </c>
      <c r="F2856" s="233" t="str">
        <f>VLOOKUP(Table8[[#This Row],[Document ID]],Table1[],8,FALSE)</f>
        <v>NDC 2.0</v>
      </c>
      <c r="G2856" s="233" t="str">
        <f>VLOOKUP(Table8[[#This Row],[Document ID]],Table1[],10,FALSE)</f>
        <v>Active</v>
      </c>
      <c r="H2856" s="43" t="s">
        <v>2358</v>
      </c>
      <c r="I2856" s="43" t="s">
        <v>2359</v>
      </c>
      <c r="J2856" s="43" t="s">
        <v>2383</v>
      </c>
      <c r="K2856" s="44" t="s">
        <v>4916</v>
      </c>
      <c r="L2856" s="44" t="s">
        <v>2333</v>
      </c>
      <c r="M2856" s="43">
        <v>7</v>
      </c>
      <c r="N2856" s="113"/>
      <c r="O2856" s="113"/>
      <c r="P2856" s="113"/>
      <c r="Q2856" s="113"/>
      <c r="R2856" s="113"/>
      <c r="S2856" s="113" t="s">
        <v>1113</v>
      </c>
      <c r="T2856" s="113"/>
      <c r="U2856" s="113"/>
      <c r="V2856" s="113"/>
      <c r="W2856" s="113"/>
      <c r="X2856" s="113"/>
      <c r="Y2856" s="113"/>
      <c r="Z2856" s="113"/>
      <c r="AA2856" s="113"/>
      <c r="AB2856" s="113"/>
      <c r="AC2856" s="113"/>
      <c r="AD2856" s="113"/>
      <c r="AE2856" s="113"/>
      <c r="AF2856" s="113"/>
      <c r="AG2856" s="113"/>
      <c r="AH2856" s="113"/>
      <c r="AI2856" s="113"/>
      <c r="AJ2856" s="113"/>
      <c r="AK2856" s="113" t="s">
        <v>1113</v>
      </c>
      <c r="AL2856" s="113"/>
      <c r="AM2856" s="113"/>
      <c r="AN2856" s="113"/>
      <c r="AO2856" s="43" t="s">
        <v>2334</v>
      </c>
      <c r="AP2856" s="43" t="s">
        <v>4873</v>
      </c>
      <c r="AQ2856" s="233" t="str">
        <f>VLOOKUP(Table8[[#This Row],[Instrument]],Def_Targets!$D$73:$E$159,2,FALSE)</f>
        <v>I_Emobilitycharging</v>
      </c>
      <c r="AR2856" s="242" t="str">
        <f>VLOOKUP(Table8[[#This Row],[Country Code]],Table29[],3,FALSE)</f>
        <v>Non-Annex I</v>
      </c>
      <c r="AS2856" s="242" t="str">
        <f>VLOOKUP(Table8[[#This Row],[Country Code]],Table29[],4,FALSE)</f>
        <v>Asia</v>
      </c>
      <c r="AT2856" s="242" t="str">
        <f>VLOOKUP(Table8[[#This Row],[Country Code]],Table29[],5,FALSE)</f>
        <v>Middle-income</v>
      </c>
      <c r="AU2856" s="242" t="str">
        <f>VLOOKUP(Table8[[#This Row],[Country Code]],Table29[],6,FALSE)</f>
        <v>no</v>
      </c>
      <c r="AV2856" s="242" t="str">
        <f>VLOOKUP(Table8[[#This Row],[Country Code]],Table29[],7,FALSE)</f>
        <v>no</v>
      </c>
      <c r="AW2856" s="242" t="str">
        <f>VLOOKUP(Table8[[#This Row],[Country Code]],Table29[],8,FALSE)</f>
        <v>non-OECD</v>
      </c>
      <c r="AX2856" s="242" t="str">
        <f>VLOOKUP(Table8[[#This Row],[Country Code]],Table29[],9,FALSE)</f>
        <v>no</v>
      </c>
      <c r="AY2856" s="242" t="str">
        <f>VLOOKUP(Table8[[#This Row],[Country Code]],Table29[],10,FALSE)</f>
        <v>no</v>
      </c>
      <c r="AZ2856" s="242">
        <f>VLOOKUP(Table8[[#This Row],[Country Code]],Table29[],23,FALSE)</f>
        <v>440.78301465571002</v>
      </c>
      <c r="BA2856" s="242">
        <f>VLOOKUP(Table8[[#This Row],[Country Code]],Table29[],24,FALSE)</f>
        <v>81.217527676047013</v>
      </c>
      <c r="BB2856" s="320"/>
      <c r="BC2856" s="320"/>
    </row>
    <row r="2857" spans="1:55" ht="15" hidden="1" customHeight="1" x14ac:dyDescent="0.25">
      <c r="A2857" s="373">
        <v>43719</v>
      </c>
      <c r="B2857" s="243" t="str">
        <f>VLOOKUP(Table8[[#This Row],[Document ID]],Table1[],2,FALSE)</f>
        <v>BEN</v>
      </c>
      <c r="C2857" s="243" t="str">
        <f>VLOOKUP(Table8[[#This Row],[Document ID]],Table1[],3,FALSE)</f>
        <v>Benin</v>
      </c>
      <c r="D2857" s="243" t="str">
        <f>VLOOKUP(Table8[[#This Row],[Document ID]],Table1[],5,FALSE)</f>
        <v>NDC</v>
      </c>
      <c r="E2857" s="233" t="str">
        <f>VLOOKUP(Table8[[#This Row],[Document ID]],Table1[],7,FALSE)</f>
        <v>Second NDC</v>
      </c>
      <c r="F2857" s="233" t="str">
        <f>VLOOKUP(Table8[[#This Row],[Document ID]],Table1[],8,FALSE)</f>
        <v>NDC 2.0</v>
      </c>
      <c r="G2857" s="233" t="str">
        <f>VLOOKUP(Table8[[#This Row],[Document ID]],Table1[],10,FALSE)</f>
        <v>Active</v>
      </c>
      <c r="H2857" s="43" t="s">
        <v>2350</v>
      </c>
      <c r="I2857" s="43" t="s">
        <v>2370</v>
      </c>
      <c r="J2857" s="43" t="s">
        <v>2418</v>
      </c>
      <c r="K2857" s="44" t="s">
        <v>4917</v>
      </c>
      <c r="L2857" s="44" t="s">
        <v>2333</v>
      </c>
      <c r="M2857" s="43">
        <v>50</v>
      </c>
      <c r="N2857" s="113"/>
      <c r="O2857" s="113"/>
      <c r="P2857" s="113"/>
      <c r="Q2857" s="113"/>
      <c r="R2857" s="113"/>
      <c r="S2857" s="113" t="s">
        <v>1113</v>
      </c>
      <c r="T2857" s="113"/>
      <c r="U2857" s="113"/>
      <c r="V2857" s="113"/>
      <c r="W2857" s="113"/>
      <c r="X2857" s="113"/>
      <c r="Y2857" s="113"/>
      <c r="Z2857" s="113"/>
      <c r="AA2857" s="113"/>
      <c r="AB2857" s="113"/>
      <c r="AC2857" s="113"/>
      <c r="AD2857" s="113"/>
      <c r="AE2857" s="113"/>
      <c r="AF2857" s="113"/>
      <c r="AG2857" s="113"/>
      <c r="AH2857" s="113"/>
      <c r="AI2857" s="113"/>
      <c r="AJ2857" s="113"/>
      <c r="AK2857" s="113"/>
      <c r="AL2857" s="113"/>
      <c r="AM2857" s="113"/>
      <c r="AN2857" s="113" t="s">
        <v>1113</v>
      </c>
      <c r="AO2857" s="43" t="s">
        <v>2334</v>
      </c>
      <c r="AP2857" s="43" t="s">
        <v>4850</v>
      </c>
      <c r="AQ2857" s="233" t="str">
        <f>VLOOKUP(Table8[[#This Row],[Instrument]],Def_Targets!$D$73:$E$159,2,FALSE)</f>
        <v>A_Complan</v>
      </c>
      <c r="AR2857" s="242" t="str">
        <f>VLOOKUP(Table8[[#This Row],[Country Code]],Table29[],3,FALSE)</f>
        <v>Non-Annex I</v>
      </c>
      <c r="AS2857" s="242" t="str">
        <f>VLOOKUP(Table8[[#This Row],[Country Code]],Table29[],4,FALSE)</f>
        <v>Africa</v>
      </c>
      <c r="AT2857" s="242" t="str">
        <f>VLOOKUP(Table8[[#This Row],[Country Code]],Table29[],5,FALSE)</f>
        <v>Middle-income</v>
      </c>
      <c r="AU2857" s="242" t="str">
        <f>VLOOKUP(Table8[[#This Row],[Country Code]],Table29[],6,FALSE)</f>
        <v>no</v>
      </c>
      <c r="AV2857" s="242" t="str">
        <f>VLOOKUP(Table8[[#This Row],[Country Code]],Table29[],7,FALSE)</f>
        <v>no</v>
      </c>
      <c r="AW2857" s="242" t="str">
        <f>VLOOKUP(Table8[[#This Row],[Country Code]],Table29[],8,FALSE)</f>
        <v>non-OECD</v>
      </c>
      <c r="AX2857" s="242" t="str">
        <f>VLOOKUP(Table8[[#This Row],[Country Code]],Table29[],9,FALSE)</f>
        <v>no</v>
      </c>
      <c r="AY2857" s="242" t="str">
        <f>VLOOKUP(Table8[[#This Row],[Country Code]],Table29[],10,FALSE)</f>
        <v>no</v>
      </c>
      <c r="AZ2857" s="242">
        <f>VLOOKUP(Table8[[#This Row],[Country Code]],Table29[],23,FALSE)</f>
        <v>16.699491601106999</v>
      </c>
      <c r="BA2857" s="242">
        <f>VLOOKUP(Table8[[#This Row],[Country Code]],Table29[],24,FALSE)</f>
        <v>4.358789566933627</v>
      </c>
      <c r="BB2857" s="320"/>
      <c r="BC2857" s="320"/>
    </row>
    <row r="2858" spans="1:55" ht="15" hidden="1" customHeight="1" x14ac:dyDescent="0.25">
      <c r="A2858" s="373">
        <v>43719</v>
      </c>
      <c r="B2858" s="243" t="str">
        <f>VLOOKUP(Table8[[#This Row],[Document ID]],Table1[],2,FALSE)</f>
        <v>BEN</v>
      </c>
      <c r="C2858" s="243" t="str">
        <f>VLOOKUP(Table8[[#This Row],[Document ID]],Table1[],3,FALSE)</f>
        <v>Benin</v>
      </c>
      <c r="D2858" s="243" t="str">
        <f>VLOOKUP(Table8[[#This Row],[Document ID]],Table1[],5,FALSE)</f>
        <v>NDC</v>
      </c>
      <c r="E2858" s="233" t="str">
        <f>VLOOKUP(Table8[[#This Row],[Document ID]],Table1[],7,FALSE)</f>
        <v>Second NDC</v>
      </c>
      <c r="F2858" s="233" t="str">
        <f>VLOOKUP(Table8[[#This Row],[Document ID]],Table1[],8,FALSE)</f>
        <v>NDC 2.0</v>
      </c>
      <c r="G2858" s="233" t="str">
        <f>VLOOKUP(Table8[[#This Row],[Document ID]],Table1[],10,FALSE)</f>
        <v>Active</v>
      </c>
      <c r="H2858" s="43" t="s">
        <v>2343</v>
      </c>
      <c r="I2858" s="43" t="s">
        <v>2344</v>
      </c>
      <c r="J2858" s="44" t="s">
        <v>2405</v>
      </c>
      <c r="K2858" s="44" t="s">
        <v>4918</v>
      </c>
      <c r="L2858" s="44" t="s">
        <v>2347</v>
      </c>
      <c r="M2858" s="43">
        <v>41</v>
      </c>
      <c r="N2858" s="113"/>
      <c r="O2858" s="113"/>
      <c r="P2858" s="113"/>
      <c r="Q2858" s="113"/>
      <c r="R2858" s="113"/>
      <c r="S2858" s="113"/>
      <c r="T2858" s="113"/>
      <c r="U2858" s="113"/>
      <c r="V2858" s="113"/>
      <c r="W2858" s="113"/>
      <c r="X2858" s="113"/>
      <c r="Y2858" s="113"/>
      <c r="Z2858" s="113"/>
      <c r="AA2858" s="113"/>
      <c r="AB2858" s="113"/>
      <c r="AC2858" s="113"/>
      <c r="AD2858" s="113" t="s">
        <v>1113</v>
      </c>
      <c r="AE2858" s="113"/>
      <c r="AF2858" s="113" t="s">
        <v>1113</v>
      </c>
      <c r="AG2858" s="113"/>
      <c r="AH2858" s="113"/>
      <c r="AI2858" s="113"/>
      <c r="AJ2858" s="113"/>
      <c r="AK2858" s="113" t="s">
        <v>1113</v>
      </c>
      <c r="AL2858" s="113"/>
      <c r="AM2858" s="113"/>
      <c r="AN2858" s="113"/>
      <c r="AO2858" s="43" t="s">
        <v>2348</v>
      </c>
      <c r="AP2858" s="43" t="s">
        <v>4850</v>
      </c>
      <c r="AQ2858" s="233" t="str">
        <f>VLOOKUP(Table8[[#This Row],[Instrument]],Def_Targets!$D$73:$E$159,2,FALSE)</f>
        <v>S_PTIntegration</v>
      </c>
      <c r="AR2858" s="242" t="str">
        <f>VLOOKUP(Table8[[#This Row],[Country Code]],Table29[],3,FALSE)</f>
        <v>Non-Annex I</v>
      </c>
      <c r="AS2858" s="242" t="str">
        <f>VLOOKUP(Table8[[#This Row],[Country Code]],Table29[],4,FALSE)</f>
        <v>Africa</v>
      </c>
      <c r="AT2858" s="242" t="str">
        <f>VLOOKUP(Table8[[#This Row],[Country Code]],Table29[],5,FALSE)</f>
        <v>Middle-income</v>
      </c>
      <c r="AU2858" s="242" t="str">
        <f>VLOOKUP(Table8[[#This Row],[Country Code]],Table29[],6,FALSE)</f>
        <v>no</v>
      </c>
      <c r="AV2858" s="242" t="str">
        <f>VLOOKUP(Table8[[#This Row],[Country Code]],Table29[],7,FALSE)</f>
        <v>no</v>
      </c>
      <c r="AW2858" s="242" t="str">
        <f>VLOOKUP(Table8[[#This Row],[Country Code]],Table29[],8,FALSE)</f>
        <v>non-OECD</v>
      </c>
      <c r="AX2858" s="242" t="str">
        <f>VLOOKUP(Table8[[#This Row],[Country Code]],Table29[],9,FALSE)</f>
        <v>no</v>
      </c>
      <c r="AY2858" s="242" t="str">
        <f>VLOOKUP(Table8[[#This Row],[Country Code]],Table29[],10,FALSE)</f>
        <v>no</v>
      </c>
      <c r="AZ2858" s="242">
        <f>VLOOKUP(Table8[[#This Row],[Country Code]],Table29[],23,FALSE)</f>
        <v>16.699491601106999</v>
      </c>
      <c r="BA2858" s="242">
        <f>VLOOKUP(Table8[[#This Row],[Country Code]],Table29[],24,FALSE)</f>
        <v>4.358789566933627</v>
      </c>
      <c r="BB2858" s="320"/>
      <c r="BC2858" s="320"/>
    </row>
    <row r="2859" spans="1:55" ht="15" hidden="1" customHeight="1" x14ac:dyDescent="0.25">
      <c r="A2859" s="373">
        <v>43719</v>
      </c>
      <c r="B2859" s="243" t="str">
        <f>VLOOKUP(Table8[[#This Row],[Document ID]],Table1[],2,FALSE)</f>
        <v>BEN</v>
      </c>
      <c r="C2859" s="243" t="str">
        <f>VLOOKUP(Table8[[#This Row],[Document ID]],Table1[],3,FALSE)</f>
        <v>Benin</v>
      </c>
      <c r="D2859" s="243" t="str">
        <f>VLOOKUP(Table8[[#This Row],[Document ID]],Table1[],5,FALSE)</f>
        <v>NDC</v>
      </c>
      <c r="E2859" s="233" t="str">
        <f>VLOOKUP(Table8[[#This Row],[Document ID]],Table1[],7,FALSE)</f>
        <v>Second NDC</v>
      </c>
      <c r="F2859" s="233" t="str">
        <f>VLOOKUP(Table8[[#This Row],[Document ID]],Table1[],8,FALSE)</f>
        <v>NDC 2.0</v>
      </c>
      <c r="G2859" s="233" t="str">
        <f>VLOOKUP(Table8[[#This Row],[Document ID]],Table1[],10,FALSE)</f>
        <v>Active</v>
      </c>
      <c r="H2859" s="43" t="s">
        <v>2343</v>
      </c>
      <c r="I2859" s="43" t="s">
        <v>2344</v>
      </c>
      <c r="J2859" s="44" t="s">
        <v>2405</v>
      </c>
      <c r="K2859" s="44" t="s">
        <v>4919</v>
      </c>
      <c r="L2859" s="44" t="s">
        <v>2347</v>
      </c>
      <c r="M2859" s="43">
        <v>41</v>
      </c>
      <c r="N2859" s="113"/>
      <c r="O2859" s="113"/>
      <c r="P2859" s="113"/>
      <c r="Q2859" s="113"/>
      <c r="R2859" s="113"/>
      <c r="S2859" s="113"/>
      <c r="T2859" s="113"/>
      <c r="U2859" s="113"/>
      <c r="V2859" s="113"/>
      <c r="W2859" s="113"/>
      <c r="X2859" s="113"/>
      <c r="Y2859" s="113"/>
      <c r="Z2859" s="113" t="s">
        <v>1113</v>
      </c>
      <c r="AA2859" s="113"/>
      <c r="AB2859" s="113"/>
      <c r="AC2859" s="113" t="s">
        <v>1113</v>
      </c>
      <c r="AD2859" s="113"/>
      <c r="AE2859" s="113"/>
      <c r="AF2859" s="113"/>
      <c r="AG2859" s="113"/>
      <c r="AH2859" s="113"/>
      <c r="AI2859" s="113"/>
      <c r="AJ2859" s="113"/>
      <c r="AK2859" s="113"/>
      <c r="AL2859" s="113"/>
      <c r="AM2859" s="113"/>
      <c r="AN2859" s="113" t="s">
        <v>1113</v>
      </c>
      <c r="AO2859" s="43" t="s">
        <v>2348</v>
      </c>
      <c r="AP2859" s="43" t="s">
        <v>4850</v>
      </c>
      <c r="AQ2859" s="233" t="str">
        <f>VLOOKUP(Table8[[#This Row],[Instrument]],Def_Targets!$D$73:$E$159,2,FALSE)</f>
        <v>S_PTIntegration</v>
      </c>
      <c r="AR2859" s="242" t="str">
        <f>VLOOKUP(Table8[[#This Row],[Country Code]],Table29[],3,FALSE)</f>
        <v>Non-Annex I</v>
      </c>
      <c r="AS2859" s="242" t="str">
        <f>VLOOKUP(Table8[[#This Row],[Country Code]],Table29[],4,FALSE)</f>
        <v>Africa</v>
      </c>
      <c r="AT2859" s="242" t="str">
        <f>VLOOKUP(Table8[[#This Row],[Country Code]],Table29[],5,FALSE)</f>
        <v>Middle-income</v>
      </c>
      <c r="AU2859" s="242" t="str">
        <f>VLOOKUP(Table8[[#This Row],[Country Code]],Table29[],6,FALSE)</f>
        <v>no</v>
      </c>
      <c r="AV2859" s="242" t="str">
        <f>VLOOKUP(Table8[[#This Row],[Country Code]],Table29[],7,FALSE)</f>
        <v>no</v>
      </c>
      <c r="AW2859" s="242" t="str">
        <f>VLOOKUP(Table8[[#This Row],[Country Code]],Table29[],8,FALSE)</f>
        <v>non-OECD</v>
      </c>
      <c r="AX2859" s="242" t="str">
        <f>VLOOKUP(Table8[[#This Row],[Country Code]],Table29[],9,FALSE)</f>
        <v>no</v>
      </c>
      <c r="AY2859" s="242" t="str">
        <f>VLOOKUP(Table8[[#This Row],[Country Code]],Table29[],10,FALSE)</f>
        <v>no</v>
      </c>
      <c r="AZ2859" s="242">
        <f>VLOOKUP(Table8[[#This Row],[Country Code]],Table29[],23,FALSE)</f>
        <v>16.699491601106999</v>
      </c>
      <c r="BA2859" s="242">
        <f>VLOOKUP(Table8[[#This Row],[Country Code]],Table29[],24,FALSE)</f>
        <v>4.358789566933627</v>
      </c>
      <c r="BB2859" s="320"/>
      <c r="BC2859" s="320"/>
    </row>
    <row r="2860" spans="1:55" ht="15" customHeight="1" x14ac:dyDescent="0.25">
      <c r="A2860" s="373">
        <v>43920</v>
      </c>
      <c r="B2860" s="243" t="str">
        <f>VLOOKUP(Table8[[#This Row],[Document ID]],Table1[],2,FALSE)</f>
        <v>LSO</v>
      </c>
      <c r="C2860" s="243" t="str">
        <f>VLOOKUP(Table8[[#This Row],[Document ID]],Table1[],3,FALSE)</f>
        <v>Lesotho</v>
      </c>
      <c r="D2860" s="243" t="str">
        <f>VLOOKUP(Table8[[#This Row],[Document ID]],Table1[],5,FALSE)</f>
        <v>NDC</v>
      </c>
      <c r="E2860" s="233" t="str">
        <f>VLOOKUP(Table8[[#This Row],[Document ID]],Table1[],7,FALSE)</f>
        <v>Third NDC</v>
      </c>
      <c r="F2860" s="233" t="str">
        <f>VLOOKUP(Table8[[#This Row],[Document ID]],Table1[],8,FALSE)</f>
        <v>NDC 3.0</v>
      </c>
      <c r="G2860" s="233" t="str">
        <f>VLOOKUP(Table8[[#This Row],[Document ID]],Table1[],10,FALSE)</f>
        <v>Active</v>
      </c>
      <c r="H2860" s="43" t="s">
        <v>2358</v>
      </c>
      <c r="I2860" s="43" t="s">
        <v>2359</v>
      </c>
      <c r="J2860" s="43" t="s">
        <v>2360</v>
      </c>
      <c r="K2860" s="44" t="s">
        <v>4920</v>
      </c>
      <c r="L2860" s="44" t="s">
        <v>2333</v>
      </c>
      <c r="M2860" s="43">
        <v>52</v>
      </c>
      <c r="N2860" s="113"/>
      <c r="O2860" s="113"/>
      <c r="P2860" s="113"/>
      <c r="Q2860" s="113"/>
      <c r="R2860" s="113"/>
      <c r="S2860" s="113"/>
      <c r="T2860" s="113" t="s">
        <v>1113</v>
      </c>
      <c r="U2860" s="113"/>
      <c r="V2860" s="113"/>
      <c r="W2860" s="113"/>
      <c r="X2860" s="113"/>
      <c r="Y2860" s="113"/>
      <c r="Z2860" s="113"/>
      <c r="AA2860" s="113"/>
      <c r="AB2860" s="113"/>
      <c r="AC2860" s="113"/>
      <c r="AD2860" s="113"/>
      <c r="AE2860" s="113"/>
      <c r="AF2860" s="113"/>
      <c r="AG2860" s="113"/>
      <c r="AH2860" s="113"/>
      <c r="AI2860" s="113"/>
      <c r="AJ2860" s="113"/>
      <c r="AK2860" s="113" t="s">
        <v>1113</v>
      </c>
      <c r="AL2860" s="113"/>
      <c r="AM2860" s="113"/>
      <c r="AN2860" s="113"/>
      <c r="AO2860" s="43" t="s">
        <v>2334</v>
      </c>
      <c r="AP2860" s="43" t="s">
        <v>4873</v>
      </c>
      <c r="AQ2860" s="233" t="str">
        <f>VLOOKUP(Table8[[#This Row],[Instrument]],Def_Targets!$D$73:$E$159,2,FALSE)</f>
        <v>I_Emobility</v>
      </c>
      <c r="AR2860" s="242" t="str">
        <f>VLOOKUP(Table8[[#This Row],[Country Code]],Table29[],3,FALSE)</f>
        <v>Non-Annex I</v>
      </c>
      <c r="AS2860" s="242" t="str">
        <f>VLOOKUP(Table8[[#This Row],[Country Code]],Table29[],4,FALSE)</f>
        <v>Africa</v>
      </c>
      <c r="AT2860" s="242" t="str">
        <f>VLOOKUP(Table8[[#This Row],[Country Code]],Table29[],5,FALSE)</f>
        <v>Middle-income</v>
      </c>
      <c r="AU2860" s="242" t="str">
        <f>VLOOKUP(Table8[[#This Row],[Country Code]],Table29[],6,FALSE)</f>
        <v>no</v>
      </c>
      <c r="AV2860" s="242" t="str">
        <f>VLOOKUP(Table8[[#This Row],[Country Code]],Table29[],7,FALSE)</f>
        <v>no</v>
      </c>
      <c r="AW2860" s="242" t="str">
        <f>VLOOKUP(Table8[[#This Row],[Country Code]],Table29[],8,FALSE)</f>
        <v>non-OECD</v>
      </c>
      <c r="AX2860" s="242" t="str">
        <f>VLOOKUP(Table8[[#This Row],[Country Code]],Table29[],9,FALSE)</f>
        <v>no</v>
      </c>
      <c r="AY2860" s="242" t="str">
        <f>VLOOKUP(Table8[[#This Row],[Country Code]],Table29[],10,FALSE)</f>
        <v>no</v>
      </c>
      <c r="AZ2860" s="242">
        <f>VLOOKUP(Table8[[#This Row],[Country Code]],Table29[],23,FALSE)</f>
        <v>2.6019212840000998</v>
      </c>
      <c r="BA2860" s="242">
        <f>VLOOKUP(Table8[[#This Row],[Country Code]],Table29[],24,FALSE)</f>
        <v>0.50992867306348366</v>
      </c>
      <c r="BB2860" s="320"/>
      <c r="BC2860" s="320"/>
    </row>
    <row r="2861" spans="1:55" ht="15" customHeight="1" x14ac:dyDescent="0.25">
      <c r="A2861" s="373">
        <v>44170</v>
      </c>
      <c r="B2861" s="243" t="str">
        <f>VLOOKUP(Table8[[#This Row],[Document ID]],Table1[],2,FALSE)</f>
        <v>MDV</v>
      </c>
      <c r="C2861" s="243" t="str">
        <f>VLOOKUP(Table8[[#This Row],[Document ID]],Table1[],3,FALSE)</f>
        <v>Maldives</v>
      </c>
      <c r="D2861" s="243" t="str">
        <f>VLOOKUP(Table8[[#This Row],[Document ID]],Table1[],5,FALSE)</f>
        <v>NDC</v>
      </c>
      <c r="E2861" s="233" t="str">
        <f>VLOOKUP(Table8[[#This Row],[Document ID]],Table1[],7,FALSE)</f>
        <v>Third NDC</v>
      </c>
      <c r="F2861" s="233" t="str">
        <f>VLOOKUP(Table8[[#This Row],[Document ID]],Table1[],8,FALSE)</f>
        <v>NDC 3.0</v>
      </c>
      <c r="G2861" s="233" t="str">
        <f>VLOOKUP(Table8[[#This Row],[Document ID]],Table1[],10,FALSE)</f>
        <v>Active</v>
      </c>
      <c r="H2861" s="43" t="s">
        <v>2358</v>
      </c>
      <c r="I2861" s="43" t="s">
        <v>2359</v>
      </c>
      <c r="J2861" s="43" t="s">
        <v>2389</v>
      </c>
      <c r="K2861" s="44" t="s">
        <v>4921</v>
      </c>
      <c r="L2861" s="44" t="s">
        <v>2333</v>
      </c>
      <c r="M2861" s="43">
        <v>12</v>
      </c>
      <c r="N2861" s="113" t="s">
        <v>1113</v>
      </c>
      <c r="O2861" s="113"/>
      <c r="P2861" s="113"/>
      <c r="Q2861" s="113"/>
      <c r="R2861" s="113"/>
      <c r="S2861" s="113"/>
      <c r="T2861" s="113"/>
      <c r="U2861" s="113"/>
      <c r="V2861" s="113"/>
      <c r="W2861" s="113"/>
      <c r="X2861" s="113"/>
      <c r="Y2861" s="113"/>
      <c r="Z2861" s="113"/>
      <c r="AA2861" s="113"/>
      <c r="AB2861" s="113"/>
      <c r="AC2861" s="113"/>
      <c r="AD2861" s="113"/>
      <c r="AE2861" s="113"/>
      <c r="AF2861" s="113"/>
      <c r="AG2861" s="113"/>
      <c r="AH2861" s="113"/>
      <c r="AI2861" s="113"/>
      <c r="AJ2861" s="113"/>
      <c r="AK2861" s="113" t="s">
        <v>1113</v>
      </c>
      <c r="AL2861" s="113"/>
      <c r="AM2861" s="113"/>
      <c r="AN2861" s="113"/>
      <c r="AO2861" s="43" t="s">
        <v>2334</v>
      </c>
      <c r="AP2861" s="43" t="s">
        <v>4850</v>
      </c>
      <c r="AQ2861" s="233" t="str">
        <f>VLOOKUP(Table8[[#This Row],[Instrument]],Def_Targets!$D$73:$E$159,2,FALSE)</f>
        <v>I_Emobilitypurchase</v>
      </c>
      <c r="AR2861" s="242" t="str">
        <f>VLOOKUP(Table8[[#This Row],[Country Code]],Table29[],3,FALSE)</f>
        <v>Non-Annex I</v>
      </c>
      <c r="AS2861" s="242" t="str">
        <f>VLOOKUP(Table8[[#This Row],[Country Code]],Table29[],4,FALSE)</f>
        <v>Asia</v>
      </c>
      <c r="AT2861" s="242" t="str">
        <f>VLOOKUP(Table8[[#This Row],[Country Code]],Table29[],5,FALSE)</f>
        <v>Middle-income</v>
      </c>
      <c r="AU2861" s="242" t="str">
        <f>VLOOKUP(Table8[[#This Row],[Country Code]],Table29[],6,FALSE)</f>
        <v>no</v>
      </c>
      <c r="AV2861" s="242" t="str">
        <f>VLOOKUP(Table8[[#This Row],[Country Code]],Table29[],7,FALSE)</f>
        <v>no</v>
      </c>
      <c r="AW2861" s="242" t="str">
        <f>VLOOKUP(Table8[[#This Row],[Country Code]],Table29[],8,FALSE)</f>
        <v>non-OECD</v>
      </c>
      <c r="AX2861" s="242" t="str">
        <f>VLOOKUP(Table8[[#This Row],[Country Code]],Table29[],9,FALSE)</f>
        <v>no</v>
      </c>
      <c r="AY2861" s="242" t="str">
        <f>VLOOKUP(Table8[[#This Row],[Country Code]],Table29[],10,FALSE)</f>
        <v>no</v>
      </c>
      <c r="AZ2861" s="242">
        <f>VLOOKUP(Table8[[#This Row],[Country Code]],Table29[],23,FALSE)</f>
        <v>3.0879519663505</v>
      </c>
      <c r="BA2861" s="242">
        <f>VLOOKUP(Table8[[#This Row],[Country Code]],Table29[],24,FALSE)</f>
        <v>1.4972669707005819</v>
      </c>
      <c r="BB2861" s="320"/>
      <c r="BC2861" s="320"/>
    </row>
    <row r="2862" spans="1:55" ht="15" customHeight="1" x14ac:dyDescent="0.25">
      <c r="A2862" s="373">
        <v>44170</v>
      </c>
      <c r="B2862" s="243" t="str">
        <f>VLOOKUP(Table8[[#This Row],[Document ID]],Table1[],2,FALSE)</f>
        <v>MDV</v>
      </c>
      <c r="C2862" s="243" t="str">
        <f>VLOOKUP(Table8[[#This Row],[Document ID]],Table1[],3,FALSE)</f>
        <v>Maldives</v>
      </c>
      <c r="D2862" s="243" t="str">
        <f>VLOOKUP(Table8[[#This Row],[Document ID]],Table1[],5,FALSE)</f>
        <v>NDC</v>
      </c>
      <c r="E2862" s="233" t="str">
        <f>VLOOKUP(Table8[[#This Row],[Document ID]],Table1[],7,FALSE)</f>
        <v>Third NDC</v>
      </c>
      <c r="F2862" s="233" t="str">
        <f>VLOOKUP(Table8[[#This Row],[Document ID]],Table1[],8,FALSE)</f>
        <v>NDC 3.0</v>
      </c>
      <c r="G2862" s="233" t="str">
        <f>VLOOKUP(Table8[[#This Row],[Document ID]],Table1[],10,FALSE)</f>
        <v>Active</v>
      </c>
      <c r="H2862" s="43" t="s">
        <v>2358</v>
      </c>
      <c r="I2862" s="43" t="s">
        <v>2359</v>
      </c>
      <c r="J2862" s="43" t="s">
        <v>2383</v>
      </c>
      <c r="K2862" s="44" t="s">
        <v>4922</v>
      </c>
      <c r="L2862" s="44" t="s">
        <v>2333</v>
      </c>
      <c r="M2862" s="43">
        <v>44</v>
      </c>
      <c r="N2862" s="113" t="s">
        <v>1113</v>
      </c>
      <c r="O2862" s="113"/>
      <c r="P2862" s="113"/>
      <c r="Q2862" s="113"/>
      <c r="R2862" s="113"/>
      <c r="S2862" s="113"/>
      <c r="T2862" s="113"/>
      <c r="U2862" s="113"/>
      <c r="V2862" s="113"/>
      <c r="W2862" s="113"/>
      <c r="X2862" s="113"/>
      <c r="Y2862" s="113"/>
      <c r="Z2862" s="113"/>
      <c r="AA2862" s="113"/>
      <c r="AB2862" s="113"/>
      <c r="AC2862" s="113"/>
      <c r="AD2862" s="113"/>
      <c r="AE2862" s="113"/>
      <c r="AF2862" s="113"/>
      <c r="AG2862" s="113"/>
      <c r="AH2862" s="113"/>
      <c r="AI2862" s="113"/>
      <c r="AJ2862" s="113"/>
      <c r="AK2862" s="113" t="s">
        <v>1113</v>
      </c>
      <c r="AL2862" s="113"/>
      <c r="AM2862" s="113"/>
      <c r="AN2862" s="113"/>
      <c r="AO2862" s="43" t="s">
        <v>2334</v>
      </c>
      <c r="AP2862" s="43" t="s">
        <v>4850</v>
      </c>
      <c r="AQ2862" s="233" t="str">
        <f>VLOOKUP(Table8[[#This Row],[Instrument]],Def_Targets!$D$73:$E$159,2,FALSE)</f>
        <v>I_Emobilitycharging</v>
      </c>
      <c r="AR2862" s="242" t="str">
        <f>VLOOKUP(Table8[[#This Row],[Country Code]],Table29[],3,FALSE)</f>
        <v>Non-Annex I</v>
      </c>
      <c r="AS2862" s="242" t="str">
        <f>VLOOKUP(Table8[[#This Row],[Country Code]],Table29[],4,FALSE)</f>
        <v>Asia</v>
      </c>
      <c r="AT2862" s="242" t="str">
        <f>VLOOKUP(Table8[[#This Row],[Country Code]],Table29[],5,FALSE)</f>
        <v>Middle-income</v>
      </c>
      <c r="AU2862" s="242" t="str">
        <f>VLOOKUP(Table8[[#This Row],[Country Code]],Table29[],6,FALSE)</f>
        <v>no</v>
      </c>
      <c r="AV2862" s="242" t="str">
        <f>VLOOKUP(Table8[[#This Row],[Country Code]],Table29[],7,FALSE)</f>
        <v>no</v>
      </c>
      <c r="AW2862" s="242" t="str">
        <f>VLOOKUP(Table8[[#This Row],[Country Code]],Table29[],8,FALSE)</f>
        <v>non-OECD</v>
      </c>
      <c r="AX2862" s="242" t="str">
        <f>VLOOKUP(Table8[[#This Row],[Country Code]],Table29[],9,FALSE)</f>
        <v>no</v>
      </c>
      <c r="AY2862" s="242" t="str">
        <f>VLOOKUP(Table8[[#This Row],[Country Code]],Table29[],10,FALSE)</f>
        <v>no</v>
      </c>
      <c r="AZ2862" s="242">
        <f>VLOOKUP(Table8[[#This Row],[Country Code]],Table29[],23,FALSE)</f>
        <v>3.0879519663505</v>
      </c>
      <c r="BA2862" s="242">
        <f>VLOOKUP(Table8[[#This Row],[Country Code]],Table29[],24,FALSE)</f>
        <v>1.4972669707005819</v>
      </c>
      <c r="BB2862" s="320"/>
      <c r="BC2862" s="320"/>
    </row>
    <row r="2863" spans="1:55" ht="15" customHeight="1" x14ac:dyDescent="0.25">
      <c r="A2863" s="373">
        <v>43949</v>
      </c>
      <c r="B2863" s="243" t="str">
        <f>VLOOKUP(Table8[[#This Row],[Document ID]],Table1[],2,FALSE)</f>
        <v>MHL</v>
      </c>
      <c r="C2863" s="243" t="str">
        <f>VLOOKUP(Table8[[#This Row],[Document ID]],Table1[],3,FALSE)</f>
        <v>Marshall Islands</v>
      </c>
      <c r="D2863" s="243" t="str">
        <f>VLOOKUP(Table8[[#This Row],[Document ID]],Table1[],5,FALSE)</f>
        <v>NDC</v>
      </c>
      <c r="E2863" s="233" t="str">
        <f>VLOOKUP(Table8[[#This Row],[Document ID]],Table1[],7,FALSE)</f>
        <v>Third NDC</v>
      </c>
      <c r="F2863" s="233" t="str">
        <f>VLOOKUP(Table8[[#This Row],[Document ID]],Table1[],8,FALSE)</f>
        <v>NDC 3.0</v>
      </c>
      <c r="G2863" s="233" t="str">
        <f>VLOOKUP(Table8[[#This Row],[Document ID]],Table1[],10,FALSE)</f>
        <v>Active</v>
      </c>
      <c r="H2863" s="43" t="s">
        <v>2358</v>
      </c>
      <c r="I2863" s="43" t="s">
        <v>2359</v>
      </c>
      <c r="J2863" s="43" t="s">
        <v>2360</v>
      </c>
      <c r="K2863" s="44" t="s">
        <v>4923</v>
      </c>
      <c r="L2863" s="44" t="s">
        <v>2333</v>
      </c>
      <c r="M2863" s="43">
        <v>7</v>
      </c>
      <c r="N2863" s="113"/>
      <c r="O2863" s="113"/>
      <c r="P2863" s="113"/>
      <c r="Q2863" s="113"/>
      <c r="R2863" s="113"/>
      <c r="S2863" s="113" t="s">
        <v>1113</v>
      </c>
      <c r="T2863" s="113"/>
      <c r="U2863" s="113"/>
      <c r="V2863" s="113"/>
      <c r="W2863" s="113"/>
      <c r="X2863" s="113"/>
      <c r="Y2863" s="113"/>
      <c r="Z2863" s="113"/>
      <c r="AA2863" s="113"/>
      <c r="AB2863" s="113"/>
      <c r="AC2863" s="113"/>
      <c r="AD2863" s="113"/>
      <c r="AE2863" s="113"/>
      <c r="AF2863" s="113"/>
      <c r="AG2863" s="113"/>
      <c r="AH2863" s="113"/>
      <c r="AI2863" s="113"/>
      <c r="AJ2863" s="113"/>
      <c r="AK2863" s="113" t="s">
        <v>1113</v>
      </c>
      <c r="AL2863" s="113"/>
      <c r="AM2863" s="113"/>
      <c r="AN2863" s="113"/>
      <c r="AO2863" s="43" t="s">
        <v>2334</v>
      </c>
      <c r="AP2863" s="43" t="s">
        <v>4873</v>
      </c>
      <c r="AQ2863" s="233" t="str">
        <f>VLOOKUP(Table8[[#This Row],[Instrument]],Def_Targets!$D$73:$E$159,2,FALSE)</f>
        <v>I_Emobility</v>
      </c>
      <c r="AR2863" s="242" t="str">
        <f>VLOOKUP(Table8[[#This Row],[Country Code]],Table29[],3,FALSE)</f>
        <v>Non-Annex I</v>
      </c>
      <c r="AS2863" s="242" t="str">
        <f>VLOOKUP(Table8[[#This Row],[Country Code]],Table29[],4,FALSE)</f>
        <v>Oceania</v>
      </c>
      <c r="AT2863" s="242" t="str">
        <f>VLOOKUP(Table8[[#This Row],[Country Code]],Table29[],5,FALSE)</f>
        <v>Middle-income</v>
      </c>
      <c r="AU2863" s="242" t="str">
        <f>VLOOKUP(Table8[[#This Row],[Country Code]],Table29[],6,FALSE)</f>
        <v>no</v>
      </c>
      <c r="AV2863" s="242" t="str">
        <f>VLOOKUP(Table8[[#This Row],[Country Code]],Table29[],7,FALSE)</f>
        <v>no</v>
      </c>
      <c r="AW2863" s="242" t="str">
        <f>VLOOKUP(Table8[[#This Row],[Country Code]],Table29[],8,FALSE)</f>
        <v>non-OECD</v>
      </c>
      <c r="AX2863" s="242" t="str">
        <f>VLOOKUP(Table8[[#This Row],[Country Code]],Table29[],9,FALSE)</f>
        <v>no</v>
      </c>
      <c r="AY2863" s="242" t="str">
        <f>VLOOKUP(Table8[[#This Row],[Country Code]],Table29[],10,FALSE)</f>
        <v>no</v>
      </c>
      <c r="AZ2863" s="242">
        <f>VLOOKUP(Table8[[#This Row],[Country Code]],Table29[],23,FALSE)</f>
        <v>0</v>
      </c>
      <c r="BA2863" s="242">
        <f>VLOOKUP(Table8[[#This Row],[Country Code]],Table29[],24,FALSE)</f>
        <v>0</v>
      </c>
      <c r="BB2863" s="320"/>
      <c r="BC2863" s="320"/>
    </row>
    <row r="2864" spans="1:55" ht="15" customHeight="1" x14ac:dyDescent="0.25">
      <c r="A2864" s="373">
        <v>44085</v>
      </c>
      <c r="B2864" s="243" t="str">
        <f>VLOOKUP(Table8[[#This Row],[Document ID]],Table1[],2,FALSE)</f>
        <v>MNE</v>
      </c>
      <c r="C2864" s="243" t="str">
        <f>VLOOKUP(Table8[[#This Row],[Document ID]],Table1[],3,FALSE)</f>
        <v>Montenegro</v>
      </c>
      <c r="D2864" s="243" t="str">
        <f>VLOOKUP(Table8[[#This Row],[Document ID]],Table1[],5,FALSE)</f>
        <v>NDC</v>
      </c>
      <c r="E2864" s="233" t="str">
        <f>VLOOKUP(Table8[[#This Row],[Document ID]],Table1[],7,FALSE)</f>
        <v>Third NDC</v>
      </c>
      <c r="F2864" s="233" t="str">
        <f>VLOOKUP(Table8[[#This Row],[Document ID]],Table1[],8,FALSE)</f>
        <v>NDC 3.0</v>
      </c>
      <c r="G2864" s="233" t="str">
        <f>VLOOKUP(Table8[[#This Row],[Document ID]],Table1[],10,FALSE)</f>
        <v>Active</v>
      </c>
      <c r="H2864" s="43" t="s">
        <v>2358</v>
      </c>
      <c r="I2864" s="43" t="s">
        <v>2359</v>
      </c>
      <c r="J2864" s="43" t="s">
        <v>2389</v>
      </c>
      <c r="K2864" s="44" t="s">
        <v>4924</v>
      </c>
      <c r="L2864" s="44" t="s">
        <v>2333</v>
      </c>
      <c r="M2864" s="43">
        <v>10</v>
      </c>
      <c r="N2864" s="113" t="s">
        <v>1113</v>
      </c>
      <c r="O2864" s="113"/>
      <c r="P2864" s="113"/>
      <c r="Q2864" s="113"/>
      <c r="R2864" s="113"/>
      <c r="S2864" s="113"/>
      <c r="T2864" s="113"/>
      <c r="U2864" s="113"/>
      <c r="V2864" s="113"/>
      <c r="W2864" s="113"/>
      <c r="X2864" s="113"/>
      <c r="Y2864" s="113"/>
      <c r="Z2864" s="113"/>
      <c r="AA2864" s="113"/>
      <c r="AB2864" s="113"/>
      <c r="AC2864" s="113"/>
      <c r="AD2864" s="113"/>
      <c r="AE2864" s="113"/>
      <c r="AF2864" s="113"/>
      <c r="AG2864" s="113"/>
      <c r="AH2864" s="113"/>
      <c r="AI2864" s="113"/>
      <c r="AJ2864" s="113"/>
      <c r="AK2864" s="113" t="s">
        <v>1113</v>
      </c>
      <c r="AL2864" s="113"/>
      <c r="AM2864" s="113"/>
      <c r="AN2864" s="113"/>
      <c r="AO2864" s="43" t="s">
        <v>2477</v>
      </c>
      <c r="AP2864" s="43" t="s">
        <v>4850</v>
      </c>
      <c r="AQ2864" s="233" t="str">
        <f>VLOOKUP(Table8[[#This Row],[Instrument]],Def_Targets!$D$73:$E$159,2,FALSE)</f>
        <v>I_Emobilitypurchase</v>
      </c>
      <c r="AR2864" s="242" t="str">
        <f>VLOOKUP(Table8[[#This Row],[Country Code]],Table29[],3,FALSE)</f>
        <v>Non-Annex I</v>
      </c>
      <c r="AS2864" s="242" t="str">
        <f>VLOOKUP(Table8[[#This Row],[Country Code]],Table29[],4,FALSE)</f>
        <v>Europe</v>
      </c>
      <c r="AT2864" s="242" t="str">
        <f>VLOOKUP(Table8[[#This Row],[Country Code]],Table29[],5,FALSE)</f>
        <v>Middle-income</v>
      </c>
      <c r="AU2864" s="242" t="str">
        <f>VLOOKUP(Table8[[#This Row],[Country Code]],Table29[],6,FALSE)</f>
        <v>no</v>
      </c>
      <c r="AV2864" s="242" t="str">
        <f>VLOOKUP(Table8[[#This Row],[Country Code]],Table29[],7,FALSE)</f>
        <v>no</v>
      </c>
      <c r="AW2864" s="242" t="str">
        <f>VLOOKUP(Table8[[#This Row],[Country Code]],Table29[],8,FALSE)</f>
        <v>non-OECD</v>
      </c>
      <c r="AX2864" s="242" t="str">
        <f>VLOOKUP(Table8[[#This Row],[Country Code]],Table29[],9,FALSE)</f>
        <v>no</v>
      </c>
      <c r="AY2864" s="242" t="str">
        <f>VLOOKUP(Table8[[#This Row],[Country Code]],Table29[],10,FALSE)</f>
        <v>no</v>
      </c>
      <c r="AZ2864" s="242">
        <f>VLOOKUP(Table8[[#This Row],[Country Code]],Table29[],23,FALSE)</f>
        <v>0</v>
      </c>
      <c r="BA2864" s="242">
        <f>VLOOKUP(Table8[[#This Row],[Country Code]],Table29[],24,FALSE)</f>
        <v>0</v>
      </c>
      <c r="BB2864" s="320"/>
      <c r="BC2864" s="320"/>
    </row>
    <row r="2865" spans="1:55" ht="15" customHeight="1" x14ac:dyDescent="0.25">
      <c r="A2865" s="373">
        <v>43921</v>
      </c>
      <c r="B2865" s="243" t="str">
        <f>VLOOKUP(Table8[[#This Row],[Document ID]],Table1[],2,FALSE)</f>
        <v>LCA</v>
      </c>
      <c r="C2865" s="243" t="str">
        <f>VLOOKUP(Table8[[#This Row],[Document ID]],Table1[],3,FALSE)</f>
        <v>Saint Lucia</v>
      </c>
      <c r="D2865" s="243" t="str">
        <f>VLOOKUP(Table8[[#This Row],[Document ID]],Table1[],5,FALSE)</f>
        <v>NDC</v>
      </c>
      <c r="E2865" s="233" t="str">
        <f>VLOOKUP(Table8[[#This Row],[Document ID]],Table1[],7,FALSE)</f>
        <v>Third NDC</v>
      </c>
      <c r="F2865" s="233" t="str">
        <f>VLOOKUP(Table8[[#This Row],[Document ID]],Table1[],8,FALSE)</f>
        <v>NDC 3.0</v>
      </c>
      <c r="G2865" s="233" t="str">
        <f>VLOOKUP(Table8[[#This Row],[Document ID]],Table1[],10,FALSE)</f>
        <v>Active</v>
      </c>
      <c r="H2865" s="43" t="s">
        <v>2358</v>
      </c>
      <c r="I2865" s="43" t="s">
        <v>2359</v>
      </c>
      <c r="J2865" s="43" t="s">
        <v>2360</v>
      </c>
      <c r="K2865" s="44" t="s">
        <v>4925</v>
      </c>
      <c r="L2865" s="44" t="s">
        <v>2333</v>
      </c>
      <c r="M2865" s="43">
        <v>3</v>
      </c>
      <c r="N2865" s="113" t="s">
        <v>1113</v>
      </c>
      <c r="O2865" s="113"/>
      <c r="P2865" s="113"/>
      <c r="Q2865" s="113"/>
      <c r="R2865" s="113"/>
      <c r="S2865" s="113"/>
      <c r="T2865" s="113"/>
      <c r="U2865" s="113"/>
      <c r="V2865" s="113"/>
      <c r="W2865" s="113"/>
      <c r="X2865" s="113"/>
      <c r="Y2865" s="113"/>
      <c r="Z2865" s="113"/>
      <c r="AA2865" s="113"/>
      <c r="AB2865" s="113"/>
      <c r="AC2865" s="113"/>
      <c r="AD2865" s="113"/>
      <c r="AE2865" s="113"/>
      <c r="AF2865" s="113"/>
      <c r="AG2865" s="113"/>
      <c r="AH2865" s="113"/>
      <c r="AI2865" s="113"/>
      <c r="AJ2865" s="113"/>
      <c r="AK2865" s="113" t="s">
        <v>1113</v>
      </c>
      <c r="AL2865" s="113"/>
      <c r="AM2865" s="113"/>
      <c r="AN2865" s="113"/>
      <c r="AO2865" s="43" t="s">
        <v>2334</v>
      </c>
      <c r="AP2865" s="43" t="s">
        <v>4873</v>
      </c>
      <c r="AQ2865" s="233" t="str">
        <f>VLOOKUP(Table8[[#This Row],[Instrument]],Def_Targets!$D$73:$E$159,2,FALSE)</f>
        <v>I_Emobility</v>
      </c>
      <c r="AR2865" s="242" t="str">
        <f>VLOOKUP(Table8[[#This Row],[Country Code]],Table29[],3,FALSE)</f>
        <v>Non-Annex I</v>
      </c>
      <c r="AS2865" s="242" t="str">
        <f>VLOOKUP(Table8[[#This Row],[Country Code]],Table29[],4,FALSE)</f>
        <v>Latin America and the Caribbean</v>
      </c>
      <c r="AT2865" s="242" t="str">
        <f>VLOOKUP(Table8[[#This Row],[Country Code]],Table29[],5,FALSE)</f>
        <v>Middle-income</v>
      </c>
      <c r="AU2865" s="242" t="str">
        <f>VLOOKUP(Table8[[#This Row],[Country Code]],Table29[],6,FALSE)</f>
        <v>no</v>
      </c>
      <c r="AV2865" s="242" t="str">
        <f>VLOOKUP(Table8[[#This Row],[Country Code]],Table29[],7,FALSE)</f>
        <v>no</v>
      </c>
      <c r="AW2865" s="242" t="str">
        <f>VLOOKUP(Table8[[#This Row],[Country Code]],Table29[],8,FALSE)</f>
        <v>non-OECD</v>
      </c>
      <c r="AX2865" s="242" t="str">
        <f>VLOOKUP(Table8[[#This Row],[Country Code]],Table29[],9,FALSE)</f>
        <v>no</v>
      </c>
      <c r="AY2865" s="242" t="str">
        <f>VLOOKUP(Table8[[#This Row],[Country Code]],Table29[],10,FALSE)</f>
        <v>no</v>
      </c>
      <c r="AZ2865" s="242">
        <f>VLOOKUP(Table8[[#This Row],[Country Code]],Table29[],23,FALSE)</f>
        <v>0.45126691251345002</v>
      </c>
      <c r="BA2865" s="242">
        <f>VLOOKUP(Table8[[#This Row],[Country Code]],Table29[],24,FALSE)</f>
        <v>0.10561796037965671</v>
      </c>
      <c r="BB2865" s="320"/>
      <c r="BC2865" s="320"/>
    </row>
    <row r="2866" spans="1:55" ht="15" customHeight="1" x14ac:dyDescent="0.25">
      <c r="A2866" s="373">
        <v>43921</v>
      </c>
      <c r="B2866" s="243" t="str">
        <f>VLOOKUP(Table8[[#This Row],[Document ID]],Table1[],2,FALSE)</f>
        <v>LCA</v>
      </c>
      <c r="C2866" s="243" t="str">
        <f>VLOOKUP(Table8[[#This Row],[Document ID]],Table1[],3,FALSE)</f>
        <v>Saint Lucia</v>
      </c>
      <c r="D2866" s="243" t="str">
        <f>VLOOKUP(Table8[[#This Row],[Document ID]],Table1[],5,FALSE)</f>
        <v>NDC</v>
      </c>
      <c r="E2866" s="233" t="str">
        <f>VLOOKUP(Table8[[#This Row],[Document ID]],Table1[],7,FALSE)</f>
        <v>Third NDC</v>
      </c>
      <c r="F2866" s="233" t="str">
        <f>VLOOKUP(Table8[[#This Row],[Document ID]],Table1[],8,FALSE)</f>
        <v>NDC 3.0</v>
      </c>
      <c r="G2866" s="233" t="str">
        <f>VLOOKUP(Table8[[#This Row],[Document ID]],Table1[],10,FALSE)</f>
        <v>Active</v>
      </c>
      <c r="H2866" s="43" t="s">
        <v>2358</v>
      </c>
      <c r="I2866" s="43" t="s">
        <v>2359</v>
      </c>
      <c r="J2866" s="43" t="s">
        <v>2383</v>
      </c>
      <c r="K2866" s="44" t="s">
        <v>4926</v>
      </c>
      <c r="L2866" s="44" t="s">
        <v>2333</v>
      </c>
      <c r="M2866" s="43">
        <v>8</v>
      </c>
      <c r="N2866" s="113" t="s">
        <v>1113</v>
      </c>
      <c r="O2866" s="113"/>
      <c r="P2866" s="113"/>
      <c r="Q2866" s="113"/>
      <c r="R2866" s="113"/>
      <c r="S2866" s="113"/>
      <c r="T2866" s="113"/>
      <c r="U2866" s="113"/>
      <c r="V2866" s="113"/>
      <c r="W2866" s="113"/>
      <c r="X2866" s="113"/>
      <c r="Y2866" s="113"/>
      <c r="Z2866" s="113"/>
      <c r="AA2866" s="113"/>
      <c r="AB2866" s="113"/>
      <c r="AC2866" s="113"/>
      <c r="AD2866" s="113"/>
      <c r="AE2866" s="113"/>
      <c r="AF2866" s="113"/>
      <c r="AG2866" s="113"/>
      <c r="AH2866" s="113"/>
      <c r="AI2866" s="113"/>
      <c r="AJ2866" s="113"/>
      <c r="AK2866" s="113" t="s">
        <v>1113</v>
      </c>
      <c r="AL2866" s="113"/>
      <c r="AM2866" s="113"/>
      <c r="AN2866" s="113"/>
      <c r="AO2866" s="43" t="s">
        <v>2334</v>
      </c>
      <c r="AP2866" s="43" t="s">
        <v>4873</v>
      </c>
      <c r="AQ2866" s="233" t="str">
        <f>VLOOKUP(Table8[[#This Row],[Instrument]],Def_Targets!$D$73:$E$159,2,FALSE)</f>
        <v>I_Emobilitycharging</v>
      </c>
      <c r="AR2866" s="242" t="str">
        <f>VLOOKUP(Table8[[#This Row],[Country Code]],Table29[],3,FALSE)</f>
        <v>Non-Annex I</v>
      </c>
      <c r="AS2866" s="242" t="str">
        <f>VLOOKUP(Table8[[#This Row],[Country Code]],Table29[],4,FALSE)</f>
        <v>Latin America and the Caribbean</v>
      </c>
      <c r="AT2866" s="242" t="str">
        <f>VLOOKUP(Table8[[#This Row],[Country Code]],Table29[],5,FALSE)</f>
        <v>Middle-income</v>
      </c>
      <c r="AU2866" s="242" t="str">
        <f>VLOOKUP(Table8[[#This Row],[Country Code]],Table29[],6,FALSE)</f>
        <v>no</v>
      </c>
      <c r="AV2866" s="242" t="str">
        <f>VLOOKUP(Table8[[#This Row],[Country Code]],Table29[],7,FALSE)</f>
        <v>no</v>
      </c>
      <c r="AW2866" s="242" t="str">
        <f>VLOOKUP(Table8[[#This Row],[Country Code]],Table29[],8,FALSE)</f>
        <v>non-OECD</v>
      </c>
      <c r="AX2866" s="242" t="str">
        <f>VLOOKUP(Table8[[#This Row],[Country Code]],Table29[],9,FALSE)</f>
        <v>no</v>
      </c>
      <c r="AY2866" s="242" t="str">
        <f>VLOOKUP(Table8[[#This Row],[Country Code]],Table29[],10,FALSE)</f>
        <v>no</v>
      </c>
      <c r="AZ2866" s="242">
        <f>VLOOKUP(Table8[[#This Row],[Country Code]],Table29[],23,FALSE)</f>
        <v>0.45126691251345002</v>
      </c>
      <c r="BA2866" s="242">
        <f>VLOOKUP(Table8[[#This Row],[Country Code]],Table29[],24,FALSE)</f>
        <v>0.10561796037965671</v>
      </c>
      <c r="BB2866" s="320"/>
      <c r="BC2866" s="320"/>
    </row>
    <row r="2867" spans="1:55" ht="15" customHeight="1" x14ac:dyDescent="0.25">
      <c r="A2867" s="373">
        <v>43921</v>
      </c>
      <c r="B2867" s="243" t="str">
        <f>VLOOKUP(Table8[[#This Row],[Document ID]],Table1[],2,FALSE)</f>
        <v>LCA</v>
      </c>
      <c r="C2867" s="243" t="str">
        <f>VLOOKUP(Table8[[#This Row],[Document ID]],Table1[],3,FALSE)</f>
        <v>Saint Lucia</v>
      </c>
      <c r="D2867" s="243" t="str">
        <f>VLOOKUP(Table8[[#This Row],[Document ID]],Table1[],5,FALSE)</f>
        <v>NDC</v>
      </c>
      <c r="E2867" s="233" t="str">
        <f>VLOOKUP(Table8[[#This Row],[Document ID]],Table1[],7,FALSE)</f>
        <v>Third NDC</v>
      </c>
      <c r="F2867" s="233" t="str">
        <f>VLOOKUP(Table8[[#This Row],[Document ID]],Table1[],8,FALSE)</f>
        <v>NDC 3.0</v>
      </c>
      <c r="G2867" s="233" t="str">
        <f>VLOOKUP(Table8[[#This Row],[Document ID]],Table1[],10,FALSE)</f>
        <v>Active</v>
      </c>
      <c r="H2867" s="43" t="s">
        <v>2358</v>
      </c>
      <c r="I2867" s="43" t="s">
        <v>2359</v>
      </c>
      <c r="J2867" s="43" t="s">
        <v>2389</v>
      </c>
      <c r="K2867" s="44" t="s">
        <v>4926</v>
      </c>
      <c r="L2867" s="44" t="s">
        <v>2333</v>
      </c>
      <c r="M2867" s="43">
        <v>8</v>
      </c>
      <c r="N2867" s="113" t="s">
        <v>1113</v>
      </c>
      <c r="O2867" s="113"/>
      <c r="P2867" s="113"/>
      <c r="Q2867" s="113"/>
      <c r="R2867" s="113"/>
      <c r="S2867" s="113"/>
      <c r="T2867" s="113"/>
      <c r="U2867" s="113"/>
      <c r="V2867" s="113"/>
      <c r="W2867" s="113"/>
      <c r="X2867" s="113"/>
      <c r="Y2867" s="113"/>
      <c r="Z2867" s="113"/>
      <c r="AA2867" s="113"/>
      <c r="AB2867" s="113"/>
      <c r="AC2867" s="113"/>
      <c r="AD2867" s="113"/>
      <c r="AE2867" s="113"/>
      <c r="AF2867" s="113"/>
      <c r="AG2867" s="113"/>
      <c r="AH2867" s="113"/>
      <c r="AI2867" s="113"/>
      <c r="AJ2867" s="113"/>
      <c r="AK2867" s="113" t="s">
        <v>1113</v>
      </c>
      <c r="AL2867" s="113"/>
      <c r="AM2867" s="113"/>
      <c r="AN2867" s="113"/>
      <c r="AO2867" s="43" t="s">
        <v>2334</v>
      </c>
      <c r="AP2867" s="43" t="s">
        <v>4873</v>
      </c>
      <c r="AQ2867" s="233" t="str">
        <f>VLOOKUP(Table8[[#This Row],[Instrument]],Def_Targets!$D$73:$E$159,2,FALSE)</f>
        <v>I_Emobilitypurchase</v>
      </c>
      <c r="AR2867" s="242" t="str">
        <f>VLOOKUP(Table8[[#This Row],[Country Code]],Table29[],3,FALSE)</f>
        <v>Non-Annex I</v>
      </c>
      <c r="AS2867" s="242" t="str">
        <f>VLOOKUP(Table8[[#This Row],[Country Code]],Table29[],4,FALSE)</f>
        <v>Latin America and the Caribbean</v>
      </c>
      <c r="AT2867" s="242" t="str">
        <f>VLOOKUP(Table8[[#This Row],[Country Code]],Table29[],5,FALSE)</f>
        <v>Middle-income</v>
      </c>
      <c r="AU2867" s="242" t="str">
        <f>VLOOKUP(Table8[[#This Row],[Country Code]],Table29[],6,FALSE)</f>
        <v>no</v>
      </c>
      <c r="AV2867" s="242" t="str">
        <f>VLOOKUP(Table8[[#This Row],[Country Code]],Table29[],7,FALSE)</f>
        <v>no</v>
      </c>
      <c r="AW2867" s="242" t="str">
        <f>VLOOKUP(Table8[[#This Row],[Country Code]],Table29[],8,FALSE)</f>
        <v>non-OECD</v>
      </c>
      <c r="AX2867" s="242" t="str">
        <f>VLOOKUP(Table8[[#This Row],[Country Code]],Table29[],9,FALSE)</f>
        <v>no</v>
      </c>
      <c r="AY2867" s="242" t="str">
        <f>VLOOKUP(Table8[[#This Row],[Country Code]],Table29[],10,FALSE)</f>
        <v>no</v>
      </c>
      <c r="AZ2867" s="242">
        <f>VLOOKUP(Table8[[#This Row],[Country Code]],Table29[],23,FALSE)</f>
        <v>0.45126691251345002</v>
      </c>
      <c r="BA2867" s="242">
        <f>VLOOKUP(Table8[[#This Row],[Country Code]],Table29[],24,FALSE)</f>
        <v>0.10561796037965671</v>
      </c>
      <c r="BB2867" s="320"/>
      <c r="BC2867" s="320"/>
    </row>
    <row r="2868" spans="1:55" ht="15" customHeight="1" x14ac:dyDescent="0.25">
      <c r="A2868" s="373">
        <v>43950</v>
      </c>
      <c r="B2868" s="243" t="str">
        <f>VLOOKUP(Table8[[#This Row],[Document ID]],Table1[],2,FALSE)</f>
        <v>SGP</v>
      </c>
      <c r="C2868" s="243" t="str">
        <f>VLOOKUP(Table8[[#This Row],[Document ID]],Table1[],3,FALSE)</f>
        <v>Singapore</v>
      </c>
      <c r="D2868" s="243" t="str">
        <f>VLOOKUP(Table8[[#This Row],[Document ID]],Table1[],5,FALSE)</f>
        <v>NDC</v>
      </c>
      <c r="E2868" s="233" t="str">
        <f>VLOOKUP(Table8[[#This Row],[Document ID]],Table1[],7,FALSE)</f>
        <v>Third NDC</v>
      </c>
      <c r="F2868" s="233" t="str">
        <f>VLOOKUP(Table8[[#This Row],[Document ID]],Table1[],8,FALSE)</f>
        <v>NDC 3.0</v>
      </c>
      <c r="G2868" s="233" t="str">
        <f>VLOOKUP(Table8[[#This Row],[Document ID]],Table1[],10,FALSE)</f>
        <v>Active</v>
      </c>
      <c r="H2868" s="43" t="s">
        <v>2358</v>
      </c>
      <c r="I2868" s="43" t="s">
        <v>2359</v>
      </c>
      <c r="J2868" s="43" t="s">
        <v>2360</v>
      </c>
      <c r="K2868" s="44" t="s">
        <v>4927</v>
      </c>
      <c r="L2868" s="44" t="s">
        <v>2333</v>
      </c>
      <c r="M2868" s="43">
        <v>14</v>
      </c>
      <c r="N2868" s="113"/>
      <c r="O2868" s="113"/>
      <c r="P2868" s="113"/>
      <c r="Q2868" s="113"/>
      <c r="R2868" s="113"/>
      <c r="S2868" s="113" t="s">
        <v>1113</v>
      </c>
      <c r="T2868" s="113"/>
      <c r="U2868" s="113"/>
      <c r="V2868" s="113"/>
      <c r="W2868" s="113"/>
      <c r="X2868" s="113"/>
      <c r="Y2868" s="113"/>
      <c r="Z2868" s="113"/>
      <c r="AA2868" s="113"/>
      <c r="AB2868" s="113"/>
      <c r="AC2868" s="113"/>
      <c r="AD2868" s="113"/>
      <c r="AE2868" s="113"/>
      <c r="AF2868" s="113"/>
      <c r="AG2868" s="113"/>
      <c r="AH2868" s="113"/>
      <c r="AI2868" s="113"/>
      <c r="AJ2868" s="113"/>
      <c r="AK2868" s="113" t="s">
        <v>1113</v>
      </c>
      <c r="AL2868" s="113"/>
      <c r="AM2868" s="113"/>
      <c r="AN2868" s="113"/>
      <c r="AO2868" s="43" t="s">
        <v>2334</v>
      </c>
      <c r="AP2868" s="43" t="s">
        <v>4873</v>
      </c>
      <c r="AQ2868" s="233" t="str">
        <f>VLOOKUP(Table8[[#This Row],[Instrument]],Def_Targets!$D$73:$E$159,2,FALSE)</f>
        <v>I_Emobility</v>
      </c>
      <c r="AR2868" s="242" t="str">
        <f>VLOOKUP(Table8[[#This Row],[Country Code]],Table29[],3,FALSE)</f>
        <v>Non-Annex I</v>
      </c>
      <c r="AS2868" s="242" t="str">
        <f>VLOOKUP(Table8[[#This Row],[Country Code]],Table29[],4,FALSE)</f>
        <v>Asia</v>
      </c>
      <c r="AT2868" s="242" t="str">
        <f>VLOOKUP(Table8[[#This Row],[Country Code]],Table29[],5,FALSE)</f>
        <v>High-income</v>
      </c>
      <c r="AU2868" s="242" t="str">
        <f>VLOOKUP(Table8[[#This Row],[Country Code]],Table29[],6,FALSE)</f>
        <v>no</v>
      </c>
      <c r="AV2868" s="242" t="str">
        <f>VLOOKUP(Table8[[#This Row],[Country Code]],Table29[],7,FALSE)</f>
        <v>no</v>
      </c>
      <c r="AW2868" s="242" t="str">
        <f>VLOOKUP(Table8[[#This Row],[Country Code]],Table29[],8,FALSE)</f>
        <v>non-OECD</v>
      </c>
      <c r="AX2868" s="242" t="str">
        <f>VLOOKUP(Table8[[#This Row],[Country Code]],Table29[],9,FALSE)</f>
        <v>no</v>
      </c>
      <c r="AY2868" s="242" t="str">
        <f>VLOOKUP(Table8[[#This Row],[Country Code]],Table29[],10,FALSE)</f>
        <v>no</v>
      </c>
      <c r="AZ2868" s="242">
        <f>VLOOKUP(Table8[[#This Row],[Country Code]],Table29[],23,FALSE)</f>
        <v>74.290132466078006</v>
      </c>
      <c r="BA2868" s="242">
        <f>VLOOKUP(Table8[[#This Row],[Country Code]],Table29[],24,FALSE)</f>
        <v>6.8133364043247093</v>
      </c>
      <c r="BB2868" s="320"/>
      <c r="BC2868" s="320"/>
    </row>
    <row r="2869" spans="1:55" ht="15" customHeight="1" x14ac:dyDescent="0.25">
      <c r="A2869" s="373">
        <v>43699</v>
      </c>
      <c r="B2869" s="243" t="str">
        <f>VLOOKUP(Table8[[#This Row],[Document ID]],Table1[],2,FALSE)</f>
        <v>ARE</v>
      </c>
      <c r="C2869" s="243" t="str">
        <f>VLOOKUP(Table8[[#This Row],[Document ID]],Table1[],3,FALSE)</f>
        <v>United Arab Emirates</v>
      </c>
      <c r="D2869" s="243" t="str">
        <f>VLOOKUP(Table8[[#This Row],[Document ID]],Table1[],5,FALSE)</f>
        <v>NDC</v>
      </c>
      <c r="E2869" s="233" t="str">
        <f>VLOOKUP(Table8[[#This Row],[Document ID]],Table1[],7,FALSE)</f>
        <v>Third NDC</v>
      </c>
      <c r="F2869" s="233" t="str">
        <f>VLOOKUP(Table8[[#This Row],[Document ID]],Table1[],8,FALSE)</f>
        <v>NDC 3.0</v>
      </c>
      <c r="G2869" s="233" t="str">
        <f>VLOOKUP(Table8[[#This Row],[Document ID]],Table1[],10,FALSE)</f>
        <v>Active</v>
      </c>
      <c r="H2869" s="43" t="s">
        <v>2358</v>
      </c>
      <c r="I2869" s="43" t="s">
        <v>2359</v>
      </c>
      <c r="J2869" s="43" t="s">
        <v>2383</v>
      </c>
      <c r="K2869" s="44" t="s">
        <v>4928</v>
      </c>
      <c r="L2869" s="44" t="s">
        <v>2333</v>
      </c>
      <c r="M2869" s="43">
        <v>28</v>
      </c>
      <c r="N2869" s="113" t="s">
        <v>1113</v>
      </c>
      <c r="O2869" s="113"/>
      <c r="P2869" s="113"/>
      <c r="Q2869" s="113"/>
      <c r="R2869" s="113"/>
      <c r="S2869" s="113"/>
      <c r="T2869" s="113"/>
      <c r="U2869" s="113"/>
      <c r="V2869" s="113"/>
      <c r="W2869" s="113"/>
      <c r="X2869" s="113"/>
      <c r="Y2869" s="113"/>
      <c r="Z2869" s="113"/>
      <c r="AA2869" s="113"/>
      <c r="AB2869" s="113"/>
      <c r="AC2869" s="113"/>
      <c r="AD2869" s="113"/>
      <c r="AE2869" s="113"/>
      <c r="AF2869" s="113"/>
      <c r="AG2869" s="113"/>
      <c r="AH2869" s="113"/>
      <c r="AI2869" s="113"/>
      <c r="AJ2869" s="113"/>
      <c r="AK2869" s="113" t="s">
        <v>1113</v>
      </c>
      <c r="AL2869" s="113"/>
      <c r="AM2869" s="113"/>
      <c r="AN2869" s="113"/>
      <c r="AO2869" s="43" t="s">
        <v>2334</v>
      </c>
      <c r="AP2869" s="43" t="s">
        <v>4850</v>
      </c>
      <c r="AQ2869" s="233" t="str">
        <f>VLOOKUP(Table8[[#This Row],[Instrument]],Def_Targets!$D$73:$E$159,2,FALSE)</f>
        <v>I_Emobilitycharging</v>
      </c>
      <c r="AR2869" s="242" t="str">
        <f>VLOOKUP(Table8[[#This Row],[Country Code]],Table29[],3,FALSE)</f>
        <v>Non-Annex I</v>
      </c>
      <c r="AS2869" s="242" t="str">
        <f>VLOOKUP(Table8[[#This Row],[Country Code]],Table29[],4,FALSE)</f>
        <v>Asia</v>
      </c>
      <c r="AT2869" s="242" t="str">
        <f>VLOOKUP(Table8[[#This Row],[Country Code]],Table29[],5,FALSE)</f>
        <v>High-income</v>
      </c>
      <c r="AU2869" s="242" t="str">
        <f>VLOOKUP(Table8[[#This Row],[Country Code]],Table29[],6,FALSE)</f>
        <v>no</v>
      </c>
      <c r="AV2869" s="242" t="str">
        <f>VLOOKUP(Table8[[#This Row],[Country Code]],Table29[],7,FALSE)</f>
        <v>no</v>
      </c>
      <c r="AW2869" s="242" t="str">
        <f>VLOOKUP(Table8[[#This Row],[Country Code]],Table29[],8,FALSE)</f>
        <v>non-OECD</v>
      </c>
      <c r="AX2869" s="242" t="str">
        <f>VLOOKUP(Table8[[#This Row],[Country Code]],Table29[],9,FALSE)</f>
        <v>no</v>
      </c>
      <c r="AY2869" s="242" t="str">
        <f>VLOOKUP(Table8[[#This Row],[Country Code]],Table29[],10,FALSE)</f>
        <v>MENA</v>
      </c>
      <c r="AZ2869" s="242">
        <f>VLOOKUP(Table8[[#This Row],[Country Code]],Table29[],23,FALSE)</f>
        <v>267.82319378585998</v>
      </c>
      <c r="BA2869" s="242">
        <f>VLOOKUP(Table8[[#This Row],[Country Code]],Table29[],24,FALSE)</f>
        <v>43.860911308351241</v>
      </c>
      <c r="BB2869" s="320"/>
      <c r="BC2869" s="320"/>
    </row>
    <row r="2870" spans="1:55" ht="15" customHeight="1" x14ac:dyDescent="0.25">
      <c r="A2870" s="373">
        <v>43699</v>
      </c>
      <c r="B2870" s="243" t="str">
        <f>VLOOKUP(Table8[[#This Row],[Document ID]],Table1[],2,FALSE)</f>
        <v>ARE</v>
      </c>
      <c r="C2870" s="243" t="str">
        <f>VLOOKUP(Table8[[#This Row],[Document ID]],Table1[],3,FALSE)</f>
        <v>United Arab Emirates</v>
      </c>
      <c r="D2870" s="243" t="str">
        <f>VLOOKUP(Table8[[#This Row],[Document ID]],Table1[],5,FALSE)</f>
        <v>NDC</v>
      </c>
      <c r="E2870" s="233" t="str">
        <f>VLOOKUP(Table8[[#This Row],[Document ID]],Table1[],7,FALSE)</f>
        <v>Third NDC</v>
      </c>
      <c r="F2870" s="233" t="str">
        <f>VLOOKUP(Table8[[#This Row],[Document ID]],Table1[],8,FALSE)</f>
        <v>NDC 3.0</v>
      </c>
      <c r="G2870" s="233" t="str">
        <f>VLOOKUP(Table8[[#This Row],[Document ID]],Table1[],10,FALSE)</f>
        <v>Active</v>
      </c>
      <c r="H2870" s="43" t="s">
        <v>2358</v>
      </c>
      <c r="I2870" s="43" t="s">
        <v>2359</v>
      </c>
      <c r="J2870" s="43" t="s">
        <v>2360</v>
      </c>
      <c r="K2870" s="44" t="s">
        <v>4929</v>
      </c>
      <c r="L2870" s="44" t="s">
        <v>3939</v>
      </c>
      <c r="M2870" s="43">
        <v>28</v>
      </c>
      <c r="N2870" s="113"/>
      <c r="O2870" s="113"/>
      <c r="P2870" s="113"/>
      <c r="Q2870" s="113"/>
      <c r="R2870" s="113"/>
      <c r="S2870" s="113"/>
      <c r="T2870" s="113"/>
      <c r="U2870" s="113" t="s">
        <v>1113</v>
      </c>
      <c r="V2870" s="113"/>
      <c r="W2870" s="113"/>
      <c r="X2870" s="113"/>
      <c r="Y2870" s="113"/>
      <c r="Z2870" s="113"/>
      <c r="AA2870" s="113"/>
      <c r="AB2870" s="113"/>
      <c r="AC2870" s="113"/>
      <c r="AD2870" s="113"/>
      <c r="AE2870" s="113"/>
      <c r="AF2870" s="113"/>
      <c r="AG2870" s="113"/>
      <c r="AH2870" s="113"/>
      <c r="AI2870" s="113"/>
      <c r="AJ2870" s="113"/>
      <c r="AK2870" s="113" t="s">
        <v>1113</v>
      </c>
      <c r="AL2870" s="113"/>
      <c r="AM2870" s="113"/>
      <c r="AN2870" s="113"/>
      <c r="AO2870" s="43" t="s">
        <v>2348</v>
      </c>
      <c r="AP2870" s="43" t="s">
        <v>4850</v>
      </c>
      <c r="AQ2870" s="233" t="str">
        <f>VLOOKUP(Table8[[#This Row],[Instrument]],Def_Targets!$D$73:$E$159,2,FALSE)</f>
        <v>I_Emobility</v>
      </c>
      <c r="AR2870" s="242" t="str">
        <f>VLOOKUP(Table8[[#This Row],[Country Code]],Table29[],3,FALSE)</f>
        <v>Non-Annex I</v>
      </c>
      <c r="AS2870" s="242" t="str">
        <f>VLOOKUP(Table8[[#This Row],[Country Code]],Table29[],4,FALSE)</f>
        <v>Asia</v>
      </c>
      <c r="AT2870" s="242" t="str">
        <f>VLOOKUP(Table8[[#This Row],[Country Code]],Table29[],5,FALSE)</f>
        <v>High-income</v>
      </c>
      <c r="AU2870" s="242" t="str">
        <f>VLOOKUP(Table8[[#This Row],[Country Code]],Table29[],6,FALSE)</f>
        <v>no</v>
      </c>
      <c r="AV2870" s="242" t="str">
        <f>VLOOKUP(Table8[[#This Row],[Country Code]],Table29[],7,FALSE)</f>
        <v>no</v>
      </c>
      <c r="AW2870" s="242" t="str">
        <f>VLOOKUP(Table8[[#This Row],[Country Code]],Table29[],8,FALSE)</f>
        <v>non-OECD</v>
      </c>
      <c r="AX2870" s="242" t="str">
        <f>VLOOKUP(Table8[[#This Row],[Country Code]],Table29[],9,FALSE)</f>
        <v>no</v>
      </c>
      <c r="AY2870" s="242" t="str">
        <f>VLOOKUP(Table8[[#This Row],[Country Code]],Table29[],10,FALSE)</f>
        <v>MENA</v>
      </c>
      <c r="AZ2870" s="242">
        <f>VLOOKUP(Table8[[#This Row],[Country Code]],Table29[],23,FALSE)</f>
        <v>267.82319378585998</v>
      </c>
      <c r="BA2870" s="242">
        <f>VLOOKUP(Table8[[#This Row],[Country Code]],Table29[],24,FALSE)</f>
        <v>43.860911308351241</v>
      </c>
      <c r="BB2870" s="320"/>
      <c r="BC2870" s="320"/>
    </row>
    <row r="2871" spans="1:55" ht="15" customHeight="1" x14ac:dyDescent="0.25">
      <c r="A2871" s="373">
        <v>43699</v>
      </c>
      <c r="B2871" s="243" t="str">
        <f>VLOOKUP(Table8[[#This Row],[Document ID]],Table1[],2,FALSE)</f>
        <v>ARE</v>
      </c>
      <c r="C2871" s="243" t="str">
        <f>VLOOKUP(Table8[[#This Row],[Document ID]],Table1[],3,FALSE)</f>
        <v>United Arab Emirates</v>
      </c>
      <c r="D2871" s="243" t="str">
        <f>VLOOKUP(Table8[[#This Row],[Document ID]],Table1[],5,FALSE)</f>
        <v>NDC</v>
      </c>
      <c r="E2871" s="233" t="str">
        <f>VLOOKUP(Table8[[#This Row],[Document ID]],Table1[],7,FALSE)</f>
        <v>Third NDC</v>
      </c>
      <c r="F2871" s="233" t="str">
        <f>VLOOKUP(Table8[[#This Row],[Document ID]],Table1[],8,FALSE)</f>
        <v>NDC 3.0</v>
      </c>
      <c r="G2871" s="233" t="str">
        <f>VLOOKUP(Table8[[#This Row],[Document ID]],Table1[],10,FALSE)</f>
        <v>Active</v>
      </c>
      <c r="H2871" s="43" t="s">
        <v>2358</v>
      </c>
      <c r="I2871" s="43" t="s">
        <v>2359</v>
      </c>
      <c r="J2871" s="43" t="s">
        <v>3094</v>
      </c>
      <c r="K2871" s="44" t="s">
        <v>4930</v>
      </c>
      <c r="L2871" s="44" t="s">
        <v>2333</v>
      </c>
      <c r="M2871" s="43">
        <v>28</v>
      </c>
      <c r="N2871" s="113" t="s">
        <v>1113</v>
      </c>
      <c r="O2871" s="113"/>
      <c r="P2871" s="113"/>
      <c r="Q2871" s="113"/>
      <c r="R2871" s="113"/>
      <c r="S2871" s="113"/>
      <c r="T2871" s="113"/>
      <c r="U2871" s="113"/>
      <c r="V2871" s="113"/>
      <c r="W2871" s="113"/>
      <c r="X2871" s="113"/>
      <c r="Y2871" s="113"/>
      <c r="Z2871" s="113"/>
      <c r="AA2871" s="113"/>
      <c r="AB2871" s="113"/>
      <c r="AC2871" s="113"/>
      <c r="AD2871" s="113"/>
      <c r="AE2871" s="113"/>
      <c r="AF2871" s="113"/>
      <c r="AG2871" s="113"/>
      <c r="AH2871" s="113"/>
      <c r="AI2871" s="113"/>
      <c r="AJ2871" s="113"/>
      <c r="AK2871" s="113" t="s">
        <v>1113</v>
      </c>
      <c r="AL2871" s="113"/>
      <c r="AM2871" s="113"/>
      <c r="AN2871" s="113"/>
      <c r="AO2871" s="43" t="s">
        <v>2334</v>
      </c>
      <c r="AP2871" s="43" t="s">
        <v>4850</v>
      </c>
      <c r="AQ2871" s="233" t="str">
        <f>VLOOKUP(Table8[[#This Row],[Instrument]],Def_Targets!$D$73:$E$159,2,FALSE)</f>
        <v>I_Smartcharging</v>
      </c>
      <c r="AR2871" s="242" t="str">
        <f>VLOOKUP(Table8[[#This Row],[Country Code]],Table29[],3,FALSE)</f>
        <v>Non-Annex I</v>
      </c>
      <c r="AS2871" s="242" t="str">
        <f>VLOOKUP(Table8[[#This Row],[Country Code]],Table29[],4,FALSE)</f>
        <v>Asia</v>
      </c>
      <c r="AT2871" s="242" t="str">
        <f>VLOOKUP(Table8[[#This Row],[Country Code]],Table29[],5,FALSE)</f>
        <v>High-income</v>
      </c>
      <c r="AU2871" s="242" t="str">
        <f>VLOOKUP(Table8[[#This Row],[Country Code]],Table29[],6,FALSE)</f>
        <v>no</v>
      </c>
      <c r="AV2871" s="242" t="str">
        <f>VLOOKUP(Table8[[#This Row],[Country Code]],Table29[],7,FALSE)</f>
        <v>no</v>
      </c>
      <c r="AW2871" s="242" t="str">
        <f>VLOOKUP(Table8[[#This Row],[Country Code]],Table29[],8,FALSE)</f>
        <v>non-OECD</v>
      </c>
      <c r="AX2871" s="242" t="str">
        <f>VLOOKUP(Table8[[#This Row],[Country Code]],Table29[],9,FALSE)</f>
        <v>no</v>
      </c>
      <c r="AY2871" s="242" t="str">
        <f>VLOOKUP(Table8[[#This Row],[Country Code]],Table29[],10,FALSE)</f>
        <v>MENA</v>
      </c>
      <c r="AZ2871" s="242">
        <f>VLOOKUP(Table8[[#This Row],[Country Code]],Table29[],23,FALSE)</f>
        <v>267.82319378585998</v>
      </c>
      <c r="BA2871" s="242">
        <f>VLOOKUP(Table8[[#This Row],[Country Code]],Table29[],24,FALSE)</f>
        <v>43.860911308351241</v>
      </c>
      <c r="BB2871" s="320"/>
      <c r="BC2871" s="320"/>
    </row>
    <row r="2872" spans="1:55" ht="135" x14ac:dyDescent="0.25">
      <c r="A2872" s="373">
        <v>43699</v>
      </c>
      <c r="B2872" s="243" t="str">
        <f>VLOOKUP(Table8[[#This Row],[Document ID]],Table1[],2,FALSE)</f>
        <v>ARE</v>
      </c>
      <c r="C2872" s="243" t="str">
        <f>VLOOKUP(Table8[[#This Row],[Document ID]],Table1[],3,FALSE)</f>
        <v>United Arab Emirates</v>
      </c>
      <c r="D2872" s="243" t="str">
        <f>VLOOKUP(Table8[[#This Row],[Document ID]],Table1[],5,FALSE)</f>
        <v>NDC</v>
      </c>
      <c r="E2872" s="233" t="str">
        <f>VLOOKUP(Table8[[#This Row],[Document ID]],Table1[],7,FALSE)</f>
        <v>Third NDC</v>
      </c>
      <c r="F2872" s="233" t="str">
        <f>VLOOKUP(Table8[[#This Row],[Document ID]],Table1[],8,FALSE)</f>
        <v>NDC 3.0</v>
      </c>
      <c r="G2872" s="233" t="str">
        <f>VLOOKUP(Table8[[#This Row],[Document ID]],Table1[],10,FALSE)</f>
        <v>Active</v>
      </c>
      <c r="H2872" s="43" t="s">
        <v>2358</v>
      </c>
      <c r="I2872" s="43" t="s">
        <v>2359</v>
      </c>
      <c r="J2872" s="43" t="s">
        <v>2360</v>
      </c>
      <c r="K2872" s="535" t="s">
        <v>4931</v>
      </c>
      <c r="L2872" s="44" t="s">
        <v>2333</v>
      </c>
      <c r="M2872" s="43">
        <v>29</v>
      </c>
      <c r="N2872" s="113"/>
      <c r="O2872" s="113"/>
      <c r="P2872" s="113"/>
      <c r="Q2872" s="113"/>
      <c r="R2872" s="113"/>
      <c r="S2872" s="113" t="s">
        <v>1113</v>
      </c>
      <c r="T2872" s="113"/>
      <c r="U2872" s="113"/>
      <c r="V2872" s="113"/>
      <c r="W2872" s="113"/>
      <c r="X2872" s="113"/>
      <c r="Y2872" s="113"/>
      <c r="Z2872" s="113"/>
      <c r="AA2872" s="113"/>
      <c r="AB2872" s="113"/>
      <c r="AC2872" s="113"/>
      <c r="AD2872" s="113"/>
      <c r="AE2872" s="113"/>
      <c r="AF2872" s="113"/>
      <c r="AG2872" s="113"/>
      <c r="AH2872" s="113"/>
      <c r="AI2872" s="113"/>
      <c r="AJ2872" s="113"/>
      <c r="AK2872" s="113" t="s">
        <v>4932</v>
      </c>
      <c r="AL2872" s="113"/>
      <c r="AM2872" s="113"/>
      <c r="AN2872" s="113"/>
      <c r="AO2872" s="43" t="s">
        <v>2334</v>
      </c>
      <c r="AP2872" s="43" t="s">
        <v>4850</v>
      </c>
      <c r="AQ2872" s="233" t="str">
        <f>VLOOKUP(Table8[[#This Row],[Instrument]],Def_Targets!$D$73:$E$159,2,FALSE)</f>
        <v>I_Emobility</v>
      </c>
      <c r="AR2872" s="242" t="str">
        <f>VLOOKUP(Table8[[#This Row],[Country Code]],Table29[],3,FALSE)</f>
        <v>Non-Annex I</v>
      </c>
      <c r="AS2872" s="242" t="str">
        <f>VLOOKUP(Table8[[#This Row],[Country Code]],Table29[],4,FALSE)</f>
        <v>Asia</v>
      </c>
      <c r="AT2872" s="242" t="str">
        <f>VLOOKUP(Table8[[#This Row],[Country Code]],Table29[],5,FALSE)</f>
        <v>High-income</v>
      </c>
      <c r="AU2872" s="242" t="str">
        <f>VLOOKUP(Table8[[#This Row],[Country Code]],Table29[],6,FALSE)</f>
        <v>no</v>
      </c>
      <c r="AV2872" s="242" t="str">
        <f>VLOOKUP(Table8[[#This Row],[Country Code]],Table29[],7,FALSE)</f>
        <v>no</v>
      </c>
      <c r="AW2872" s="242" t="str">
        <f>VLOOKUP(Table8[[#This Row],[Country Code]],Table29[],8,FALSE)</f>
        <v>non-OECD</v>
      </c>
      <c r="AX2872" s="242" t="str">
        <f>VLOOKUP(Table8[[#This Row],[Country Code]],Table29[],9,FALSE)</f>
        <v>no</v>
      </c>
      <c r="AY2872" s="242" t="str">
        <f>VLOOKUP(Table8[[#This Row],[Country Code]],Table29[],10,FALSE)</f>
        <v>MENA</v>
      </c>
      <c r="AZ2872" s="242">
        <f>VLOOKUP(Table8[[#This Row],[Country Code]],Table29[],23,FALSE)</f>
        <v>267.82319378585998</v>
      </c>
      <c r="BA2872" s="242">
        <f>VLOOKUP(Table8[[#This Row],[Country Code]],Table29[],24,FALSE)</f>
        <v>43.860911308351241</v>
      </c>
      <c r="BB2872" s="320"/>
      <c r="BC2872" s="320"/>
    </row>
    <row r="2873" spans="1:55" ht="90" x14ac:dyDescent="0.25">
      <c r="A2873" s="373">
        <v>43699</v>
      </c>
      <c r="B2873" s="243" t="str">
        <f>VLOOKUP(Table8[[#This Row],[Document ID]],Table1[],2,FALSE)</f>
        <v>ARE</v>
      </c>
      <c r="C2873" s="243" t="str">
        <f>VLOOKUP(Table8[[#This Row],[Document ID]],Table1[],3,FALSE)</f>
        <v>United Arab Emirates</v>
      </c>
      <c r="D2873" s="243" t="str">
        <f>VLOOKUP(Table8[[#This Row],[Document ID]],Table1[],5,FALSE)</f>
        <v>NDC</v>
      </c>
      <c r="E2873" s="233" t="str">
        <f>VLOOKUP(Table8[[#This Row],[Document ID]],Table1[],7,FALSE)</f>
        <v>Third NDC</v>
      </c>
      <c r="F2873" s="233" t="str">
        <f>VLOOKUP(Table8[[#This Row],[Document ID]],Table1[],8,FALSE)</f>
        <v>NDC 3.0</v>
      </c>
      <c r="G2873" s="233" t="str">
        <f>VLOOKUP(Table8[[#This Row],[Document ID]],Table1[],10,FALSE)</f>
        <v>Active</v>
      </c>
      <c r="H2873" s="43" t="s">
        <v>2358</v>
      </c>
      <c r="I2873" s="43" t="s">
        <v>2359</v>
      </c>
      <c r="J2873" s="43" t="s">
        <v>2360</v>
      </c>
      <c r="K2873" s="535" t="s">
        <v>4933</v>
      </c>
      <c r="L2873" s="44" t="s">
        <v>2333</v>
      </c>
      <c r="M2873" s="43">
        <v>29</v>
      </c>
      <c r="N2873" s="113"/>
      <c r="O2873" s="113"/>
      <c r="P2873" s="113"/>
      <c r="Q2873" s="113"/>
      <c r="R2873" s="113"/>
      <c r="S2873" s="113" t="s">
        <v>1113</v>
      </c>
      <c r="T2873" s="113"/>
      <c r="U2873" s="113"/>
      <c r="V2873" s="113"/>
      <c r="W2873" s="113"/>
      <c r="X2873" s="113"/>
      <c r="Y2873" s="113"/>
      <c r="Z2873" s="113"/>
      <c r="AA2873" s="113"/>
      <c r="AB2873" s="113"/>
      <c r="AC2873" s="113"/>
      <c r="AD2873" s="113"/>
      <c r="AE2873" s="113"/>
      <c r="AF2873" s="113"/>
      <c r="AG2873" s="113"/>
      <c r="AH2873" s="113"/>
      <c r="AI2873" s="113"/>
      <c r="AJ2873" s="113"/>
      <c r="AK2873" s="113" t="s">
        <v>1113</v>
      </c>
      <c r="AL2873" s="113"/>
      <c r="AM2873" s="113"/>
      <c r="AN2873" s="113"/>
      <c r="AO2873" s="43" t="s">
        <v>2334</v>
      </c>
      <c r="AP2873" s="43" t="s">
        <v>4861</v>
      </c>
      <c r="AQ2873" s="233" t="str">
        <f>VLOOKUP(Table8[[#This Row],[Instrument]],Def_Targets!$D$73:$E$159,2,FALSE)</f>
        <v>I_Emobility</v>
      </c>
      <c r="AR2873" s="242" t="str">
        <f>VLOOKUP(Table8[[#This Row],[Country Code]],Table29[],3,FALSE)</f>
        <v>Non-Annex I</v>
      </c>
      <c r="AS2873" s="242" t="str">
        <f>VLOOKUP(Table8[[#This Row],[Country Code]],Table29[],4,FALSE)</f>
        <v>Asia</v>
      </c>
      <c r="AT2873" s="242" t="str">
        <f>VLOOKUP(Table8[[#This Row],[Country Code]],Table29[],5,FALSE)</f>
        <v>High-income</v>
      </c>
      <c r="AU2873" s="242" t="str">
        <f>VLOOKUP(Table8[[#This Row],[Country Code]],Table29[],6,FALSE)</f>
        <v>no</v>
      </c>
      <c r="AV2873" s="242" t="str">
        <f>VLOOKUP(Table8[[#This Row],[Country Code]],Table29[],7,FALSE)</f>
        <v>no</v>
      </c>
      <c r="AW2873" s="242" t="str">
        <f>VLOOKUP(Table8[[#This Row],[Country Code]],Table29[],8,FALSE)</f>
        <v>non-OECD</v>
      </c>
      <c r="AX2873" s="242" t="str">
        <f>VLOOKUP(Table8[[#This Row],[Country Code]],Table29[],9,FALSE)</f>
        <v>no</v>
      </c>
      <c r="AY2873" s="242" t="str">
        <f>VLOOKUP(Table8[[#This Row],[Country Code]],Table29[],10,FALSE)</f>
        <v>MENA</v>
      </c>
      <c r="AZ2873" s="242">
        <f>VLOOKUP(Table8[[#This Row],[Country Code]],Table29[],23,FALSE)</f>
        <v>267.82319378585998</v>
      </c>
      <c r="BA2873" s="242">
        <f>VLOOKUP(Table8[[#This Row],[Country Code]],Table29[],24,FALSE)</f>
        <v>43.860911308351241</v>
      </c>
      <c r="BB2873" s="320"/>
      <c r="BC2873" s="320"/>
    </row>
    <row r="2874" spans="1:55" ht="75" x14ac:dyDescent="0.25">
      <c r="A2874" s="373">
        <v>43699</v>
      </c>
      <c r="B2874" s="243" t="str">
        <f>VLOOKUP(Table8[[#This Row],[Document ID]],Table1[],2,FALSE)</f>
        <v>ARE</v>
      </c>
      <c r="C2874" s="243" t="str">
        <f>VLOOKUP(Table8[[#This Row],[Document ID]],Table1[],3,FALSE)</f>
        <v>United Arab Emirates</v>
      </c>
      <c r="D2874" s="243" t="str">
        <f>VLOOKUP(Table8[[#This Row],[Document ID]],Table1[],5,FALSE)</f>
        <v>NDC</v>
      </c>
      <c r="E2874" s="233" t="str">
        <f>VLOOKUP(Table8[[#This Row],[Document ID]],Table1[],7,FALSE)</f>
        <v>Third NDC</v>
      </c>
      <c r="F2874" s="233" t="str">
        <f>VLOOKUP(Table8[[#This Row],[Document ID]],Table1[],8,FALSE)</f>
        <v>NDC 3.0</v>
      </c>
      <c r="G2874" s="233" t="str">
        <f>VLOOKUP(Table8[[#This Row],[Document ID]],Table1[],10,FALSE)</f>
        <v>Active</v>
      </c>
      <c r="H2874" s="43" t="s">
        <v>2358</v>
      </c>
      <c r="I2874" s="43" t="s">
        <v>2359</v>
      </c>
      <c r="J2874" s="43" t="s">
        <v>2360</v>
      </c>
      <c r="K2874" s="44" t="s">
        <v>4934</v>
      </c>
      <c r="L2874" s="44" t="s">
        <v>3939</v>
      </c>
      <c r="M2874" s="43">
        <v>29</v>
      </c>
      <c r="N2874" s="113"/>
      <c r="O2874" s="113"/>
      <c r="P2874" s="113"/>
      <c r="Q2874" s="113"/>
      <c r="R2874" s="113"/>
      <c r="S2874" s="113"/>
      <c r="T2874" s="113"/>
      <c r="U2874" s="113"/>
      <c r="V2874" s="113"/>
      <c r="W2874" s="113" t="s">
        <v>1113</v>
      </c>
      <c r="X2874" s="113"/>
      <c r="Y2874" s="113" t="s">
        <v>1113</v>
      </c>
      <c r="Z2874" s="113"/>
      <c r="AA2874" s="113"/>
      <c r="AB2874" s="113"/>
      <c r="AC2874" s="113"/>
      <c r="AD2874" s="113"/>
      <c r="AE2874" s="113"/>
      <c r="AF2874" s="113"/>
      <c r="AG2874" s="113"/>
      <c r="AH2874" s="113"/>
      <c r="AI2874" s="113"/>
      <c r="AJ2874" s="113"/>
      <c r="AK2874" s="113"/>
      <c r="AL2874" s="113" t="s">
        <v>1113</v>
      </c>
      <c r="AM2874" s="113"/>
      <c r="AN2874" s="113"/>
      <c r="AO2874" s="43" t="s">
        <v>2348</v>
      </c>
      <c r="AP2874" s="43" t="s">
        <v>4850</v>
      </c>
      <c r="AQ2874" s="233" t="str">
        <f>VLOOKUP(Table8[[#This Row],[Instrument]],Def_Targets!$D$73:$E$159,2,FALSE)</f>
        <v>I_Emobility</v>
      </c>
      <c r="AR2874" s="242" t="str">
        <f>VLOOKUP(Table8[[#This Row],[Country Code]],Table29[],3,FALSE)</f>
        <v>Non-Annex I</v>
      </c>
      <c r="AS2874" s="242" t="str">
        <f>VLOOKUP(Table8[[#This Row],[Country Code]],Table29[],4,FALSE)</f>
        <v>Asia</v>
      </c>
      <c r="AT2874" s="242" t="str">
        <f>VLOOKUP(Table8[[#This Row],[Country Code]],Table29[],5,FALSE)</f>
        <v>High-income</v>
      </c>
      <c r="AU2874" s="242" t="str">
        <f>VLOOKUP(Table8[[#This Row],[Country Code]],Table29[],6,FALSE)</f>
        <v>no</v>
      </c>
      <c r="AV2874" s="242" t="str">
        <f>VLOOKUP(Table8[[#This Row],[Country Code]],Table29[],7,FALSE)</f>
        <v>no</v>
      </c>
      <c r="AW2874" s="242" t="str">
        <f>VLOOKUP(Table8[[#This Row],[Country Code]],Table29[],8,FALSE)</f>
        <v>non-OECD</v>
      </c>
      <c r="AX2874" s="242" t="str">
        <f>VLOOKUP(Table8[[#This Row],[Country Code]],Table29[],9,FALSE)</f>
        <v>no</v>
      </c>
      <c r="AY2874" s="242" t="str">
        <f>VLOOKUP(Table8[[#This Row],[Country Code]],Table29[],10,FALSE)</f>
        <v>MENA</v>
      </c>
      <c r="AZ2874" s="242">
        <f>VLOOKUP(Table8[[#This Row],[Country Code]],Table29[],23,FALSE)</f>
        <v>267.82319378585998</v>
      </c>
      <c r="BA2874" s="242">
        <f>VLOOKUP(Table8[[#This Row],[Country Code]],Table29[],24,FALSE)</f>
        <v>43.860911308351241</v>
      </c>
      <c r="BB2874" s="320"/>
      <c r="BC2874" s="320"/>
    </row>
    <row r="2875" spans="1:55" ht="15" hidden="1" customHeight="1" x14ac:dyDescent="0.25">
      <c r="A2875" s="373">
        <v>17685</v>
      </c>
      <c r="B2875" s="243" t="str">
        <f>VLOOKUP(Table8[[#This Row],[Document ID]],Table1[],2,FALSE)</f>
        <v>NIU</v>
      </c>
      <c r="C2875" s="243" t="str">
        <f>VLOOKUP(Table8[[#This Row],[Document ID]],Table1[],3,FALSE)</f>
        <v>Niue</v>
      </c>
      <c r="D2875" s="243" t="str">
        <f>VLOOKUP(Table8[[#This Row],[Document ID]],Table1[],5,FALSE)</f>
        <v>NDC</v>
      </c>
      <c r="E2875" s="233" t="str">
        <f>VLOOKUP(Table8[[#This Row],[Document ID]],Table1[],7,FALSE)</f>
        <v>First NDC</v>
      </c>
      <c r="F2875" s="233" t="str">
        <f>VLOOKUP(Table8[[#This Row],[Document ID]],Table1[],8,FALSE)</f>
        <v>NDC 1.0</v>
      </c>
      <c r="G2875" s="233" t="str">
        <f>VLOOKUP(Table8[[#This Row],[Document ID]],Table1[],10,FALSE)</f>
        <v>Active</v>
      </c>
      <c r="H2875" s="43" t="s">
        <v>2338</v>
      </c>
      <c r="I2875" s="43" t="s">
        <v>2339</v>
      </c>
      <c r="J2875" s="43" t="s">
        <v>2340</v>
      </c>
      <c r="K2875" s="44" t="s">
        <v>4935</v>
      </c>
      <c r="L2875" s="44" t="s">
        <v>2333</v>
      </c>
      <c r="M2875" s="43">
        <v>10</v>
      </c>
      <c r="N2875" s="113" t="s">
        <v>1113</v>
      </c>
      <c r="O2875" s="113"/>
      <c r="P2875" s="113"/>
      <c r="Q2875" s="113"/>
      <c r="R2875" s="113"/>
      <c r="S2875" s="113"/>
      <c r="T2875" s="113"/>
      <c r="U2875" s="113"/>
      <c r="V2875" s="113"/>
      <c r="W2875" s="113"/>
      <c r="X2875" s="113"/>
      <c r="Y2875" s="113"/>
      <c r="Z2875" s="113"/>
      <c r="AA2875" s="113"/>
      <c r="AB2875" s="113"/>
      <c r="AC2875" s="113"/>
      <c r="AD2875" s="113"/>
      <c r="AE2875" s="113"/>
      <c r="AF2875" s="113"/>
      <c r="AG2875" s="113"/>
      <c r="AH2875" s="113"/>
      <c r="AI2875" s="113"/>
      <c r="AJ2875" s="113"/>
      <c r="AK2875" s="113" t="s">
        <v>1113</v>
      </c>
      <c r="AL2875" s="113"/>
      <c r="AM2875" s="113"/>
      <c r="AN2875" s="113"/>
      <c r="AO2875" s="43" t="s">
        <v>2334</v>
      </c>
      <c r="AP2875" s="43" t="s">
        <v>4873</v>
      </c>
      <c r="AQ2875" s="233" t="str">
        <f>VLOOKUP(Table8[[#This Row],[Instrument]],Def_Targets!$D$73:$E$159,2,FALSE)</f>
        <v>I_Vehicleimprove</v>
      </c>
      <c r="AR2875" s="242" t="str">
        <f>VLOOKUP(Table8[[#This Row],[Country Code]],Table29[],3,FALSE)</f>
        <v>Non-Annex I</v>
      </c>
      <c r="AS2875" s="242" t="str">
        <f>VLOOKUP(Table8[[#This Row],[Country Code]],Table29[],4,FALSE)</f>
        <v>Oceania</v>
      </c>
      <c r="AT2875" s="242" t="str">
        <f>VLOOKUP(Table8[[#This Row],[Country Code]],Table29[],5,FALSE)</f>
        <v>Low-income</v>
      </c>
      <c r="AU2875" s="242" t="str">
        <f>VLOOKUP(Table8[[#This Row],[Country Code]],Table29[],6,FALSE)</f>
        <v>no</v>
      </c>
      <c r="AV2875" s="242" t="str">
        <f>VLOOKUP(Table8[[#This Row],[Country Code]],Table29[],7,FALSE)</f>
        <v>no</v>
      </c>
      <c r="AW2875" s="242" t="str">
        <f>VLOOKUP(Table8[[#This Row],[Country Code]],Table29[],8,FALSE)</f>
        <v>non-OECD</v>
      </c>
      <c r="AX2875" s="242" t="str">
        <f>VLOOKUP(Table8[[#This Row],[Country Code]],Table29[],9,FALSE)</f>
        <v>no</v>
      </c>
      <c r="AY2875" s="242" t="str">
        <f>VLOOKUP(Table8[[#This Row],[Country Code]],Table29[],10,FALSE)</f>
        <v>no</v>
      </c>
      <c r="AZ2875" s="242" t="e">
        <f>VLOOKUP(Table8[[#This Row],[Country Code]],Table29[],23,FALSE)</f>
        <v>#N/A</v>
      </c>
      <c r="BA2875" s="242" t="e">
        <f>VLOOKUP(Table8[[#This Row],[Country Code]],Table29[],24,FALSE)</f>
        <v>#N/A</v>
      </c>
      <c r="BB2875" s="320"/>
      <c r="BC2875" s="320"/>
    </row>
    <row r="2876" spans="1:55" ht="15" hidden="1" customHeight="1" x14ac:dyDescent="0.25">
      <c r="A2876" s="373">
        <v>17685</v>
      </c>
      <c r="B2876" s="243" t="str">
        <f>VLOOKUP(Table8[[#This Row],[Document ID]],Table1[],2,FALSE)</f>
        <v>NIU</v>
      </c>
      <c r="C2876" s="243" t="str">
        <f>VLOOKUP(Table8[[#This Row],[Document ID]],Table1[],3,FALSE)</f>
        <v>Niue</v>
      </c>
      <c r="D2876" s="243" t="str">
        <f>VLOOKUP(Table8[[#This Row],[Document ID]],Table1[],5,FALSE)</f>
        <v>NDC</v>
      </c>
      <c r="E2876" s="233" t="str">
        <f>VLOOKUP(Table8[[#This Row],[Document ID]],Table1[],7,FALSE)</f>
        <v>First NDC</v>
      </c>
      <c r="F2876" s="233" t="str">
        <f>VLOOKUP(Table8[[#This Row],[Document ID]],Table1[],8,FALSE)</f>
        <v>NDC 1.0</v>
      </c>
      <c r="G2876" s="233" t="str">
        <f>VLOOKUP(Table8[[#This Row],[Document ID]],Table1[],10,FALSE)</f>
        <v>Active</v>
      </c>
      <c r="H2876" s="43" t="s">
        <v>2329</v>
      </c>
      <c r="I2876" s="43" t="s">
        <v>2330</v>
      </c>
      <c r="J2876" s="43" t="s">
        <v>2331</v>
      </c>
      <c r="K2876" s="44" t="s">
        <v>4936</v>
      </c>
      <c r="L2876" s="44" t="s">
        <v>2333</v>
      </c>
      <c r="M2876" s="43">
        <v>10</v>
      </c>
      <c r="N2876" s="113" t="s">
        <v>1113</v>
      </c>
      <c r="O2876" s="113"/>
      <c r="P2876" s="113"/>
      <c r="Q2876" s="113"/>
      <c r="R2876" s="113"/>
      <c r="S2876" s="113"/>
      <c r="T2876" s="113"/>
      <c r="U2876" s="113"/>
      <c r="V2876" s="113"/>
      <c r="W2876" s="113"/>
      <c r="X2876" s="113"/>
      <c r="Y2876" s="113"/>
      <c r="Z2876" s="113"/>
      <c r="AA2876" s="113"/>
      <c r="AB2876" s="113"/>
      <c r="AC2876" s="113"/>
      <c r="AD2876" s="113"/>
      <c r="AE2876" s="113"/>
      <c r="AF2876" s="113"/>
      <c r="AG2876" s="113"/>
      <c r="AH2876" s="113"/>
      <c r="AI2876" s="113"/>
      <c r="AJ2876" s="113"/>
      <c r="AK2876" s="113" t="s">
        <v>1113</v>
      </c>
      <c r="AL2876" s="113"/>
      <c r="AM2876" s="113"/>
      <c r="AN2876" s="113"/>
      <c r="AO2876" s="43" t="s">
        <v>2334</v>
      </c>
      <c r="AP2876" s="43" t="s">
        <v>4873</v>
      </c>
      <c r="AQ2876" s="233" t="str">
        <f>VLOOKUP(Table8[[#This Row],[Instrument]],Def_Targets!$D$73:$E$159,2,FALSE)</f>
        <v>I_Altfuels</v>
      </c>
      <c r="AR2876" s="242" t="str">
        <f>VLOOKUP(Table8[[#This Row],[Country Code]],Table29[],3,FALSE)</f>
        <v>Non-Annex I</v>
      </c>
      <c r="AS2876" s="242" t="str">
        <f>VLOOKUP(Table8[[#This Row],[Country Code]],Table29[],4,FALSE)</f>
        <v>Oceania</v>
      </c>
      <c r="AT2876" s="242" t="str">
        <f>VLOOKUP(Table8[[#This Row],[Country Code]],Table29[],5,FALSE)</f>
        <v>Low-income</v>
      </c>
      <c r="AU2876" s="242" t="str">
        <f>VLOOKUP(Table8[[#This Row],[Country Code]],Table29[],6,FALSE)</f>
        <v>no</v>
      </c>
      <c r="AV2876" s="242" t="str">
        <f>VLOOKUP(Table8[[#This Row],[Country Code]],Table29[],7,FALSE)</f>
        <v>no</v>
      </c>
      <c r="AW2876" s="242" t="str">
        <f>VLOOKUP(Table8[[#This Row],[Country Code]],Table29[],8,FALSE)</f>
        <v>non-OECD</v>
      </c>
      <c r="AX2876" s="242" t="str">
        <f>VLOOKUP(Table8[[#This Row],[Country Code]],Table29[],9,FALSE)</f>
        <v>no</v>
      </c>
      <c r="AY2876" s="242" t="str">
        <f>VLOOKUP(Table8[[#This Row],[Country Code]],Table29[],10,FALSE)</f>
        <v>no</v>
      </c>
      <c r="AZ2876" s="242" t="e">
        <f>VLOOKUP(Table8[[#This Row],[Country Code]],Table29[],23,FALSE)</f>
        <v>#N/A</v>
      </c>
      <c r="BA2876" s="242" t="e">
        <f>VLOOKUP(Table8[[#This Row],[Country Code]],Table29[],24,FALSE)</f>
        <v>#N/A</v>
      </c>
      <c r="BB2876" s="320"/>
      <c r="BC2876" s="320"/>
    </row>
    <row r="2877" spans="1:55" ht="15" hidden="1" customHeight="1" x14ac:dyDescent="0.25">
      <c r="A2877" s="373">
        <v>17656</v>
      </c>
      <c r="B2877" s="243" t="str">
        <f>VLOOKUP(Table8[[#This Row],[Document ID]],Table1[],2,FALSE)</f>
        <v>MHL</v>
      </c>
      <c r="C2877" s="243" t="str">
        <f>VLOOKUP(Table8[[#This Row],[Document ID]],Table1[],3,FALSE)</f>
        <v>Marshall Islands</v>
      </c>
      <c r="D2877" s="243" t="str">
        <f>VLOOKUP(Table8[[#This Row],[Document ID]],Table1[],5,FALSE)</f>
        <v>NDC</v>
      </c>
      <c r="E2877" s="233" t="str">
        <f>VLOOKUP(Table8[[#This Row],[Document ID]],Table1[],7,FALSE)</f>
        <v>Second NDC</v>
      </c>
      <c r="F2877" s="233" t="str">
        <f>VLOOKUP(Table8[[#This Row],[Document ID]],Table1[],8,FALSE)</f>
        <v>NDC 2.0</v>
      </c>
      <c r="G2877" s="233" t="str">
        <f>VLOOKUP(Table8[[#This Row],[Document ID]],Table1[],10,FALSE)</f>
        <v>Archived</v>
      </c>
      <c r="H2877" s="43" t="s">
        <v>2350</v>
      </c>
      <c r="I2877" s="43" t="s">
        <v>2370</v>
      </c>
      <c r="J2877" s="43" t="s">
        <v>2418</v>
      </c>
      <c r="K2877" s="44" t="s">
        <v>4937</v>
      </c>
      <c r="L2877" s="44" t="s">
        <v>2333</v>
      </c>
      <c r="M2877" s="43">
        <v>3</v>
      </c>
      <c r="N2877" s="113" t="s">
        <v>1113</v>
      </c>
      <c r="O2877" s="113"/>
      <c r="P2877" s="113"/>
      <c r="Q2877" s="113"/>
      <c r="R2877" s="113"/>
      <c r="S2877" s="113"/>
      <c r="T2877" s="113"/>
      <c r="U2877" s="113"/>
      <c r="V2877" s="113"/>
      <c r="W2877" s="113"/>
      <c r="X2877" s="113"/>
      <c r="Y2877" s="113"/>
      <c r="Z2877" s="113"/>
      <c r="AA2877" s="113"/>
      <c r="AB2877" s="113"/>
      <c r="AC2877" s="113"/>
      <c r="AD2877" s="113"/>
      <c r="AE2877" s="113"/>
      <c r="AF2877" s="113"/>
      <c r="AG2877" s="113"/>
      <c r="AH2877" s="113"/>
      <c r="AI2877" s="113"/>
      <c r="AJ2877" s="113"/>
      <c r="AK2877" s="113" t="s">
        <v>1113</v>
      </c>
      <c r="AL2877" s="113"/>
      <c r="AM2877" s="113"/>
      <c r="AN2877" s="113"/>
      <c r="AO2877" s="43" t="s">
        <v>2334</v>
      </c>
      <c r="AP2877" s="43" t="s">
        <v>4873</v>
      </c>
      <c r="AQ2877" s="233" t="str">
        <f>VLOOKUP(Table8[[#This Row],[Instrument]],Def_Targets!$D$73:$E$159,2,FALSE)</f>
        <v>A_Complan</v>
      </c>
      <c r="AR2877" s="242" t="str">
        <f>VLOOKUP(Table8[[#This Row],[Country Code]],Table29[],3,FALSE)</f>
        <v>Non-Annex I</v>
      </c>
      <c r="AS2877" s="242" t="str">
        <f>VLOOKUP(Table8[[#This Row],[Country Code]],Table29[],4,FALSE)</f>
        <v>Oceania</v>
      </c>
      <c r="AT2877" s="242" t="str">
        <f>VLOOKUP(Table8[[#This Row],[Country Code]],Table29[],5,FALSE)</f>
        <v>Middle-income</v>
      </c>
      <c r="AU2877" s="242" t="str">
        <f>VLOOKUP(Table8[[#This Row],[Country Code]],Table29[],6,FALSE)</f>
        <v>no</v>
      </c>
      <c r="AV2877" s="242" t="str">
        <f>VLOOKUP(Table8[[#This Row],[Country Code]],Table29[],7,FALSE)</f>
        <v>no</v>
      </c>
      <c r="AW2877" s="242" t="str">
        <f>VLOOKUP(Table8[[#This Row],[Country Code]],Table29[],8,FALSE)</f>
        <v>non-OECD</v>
      </c>
      <c r="AX2877" s="242" t="str">
        <f>VLOOKUP(Table8[[#This Row],[Country Code]],Table29[],9,FALSE)</f>
        <v>no</v>
      </c>
      <c r="AY2877" s="242" t="str">
        <f>VLOOKUP(Table8[[#This Row],[Country Code]],Table29[],10,FALSE)</f>
        <v>no</v>
      </c>
      <c r="AZ2877" s="242">
        <f>VLOOKUP(Table8[[#This Row],[Country Code]],Table29[],23,FALSE)</f>
        <v>0</v>
      </c>
      <c r="BA2877" s="242">
        <f>VLOOKUP(Table8[[#This Row],[Country Code]],Table29[],24,FALSE)</f>
        <v>0</v>
      </c>
      <c r="BB2877" s="320"/>
      <c r="BC2877" s="320"/>
    </row>
    <row r="2878" spans="1:55" ht="15" hidden="1" customHeight="1" x14ac:dyDescent="0.25">
      <c r="A2878" s="373">
        <v>32523</v>
      </c>
      <c r="B2878" s="243" t="str">
        <f>VLOOKUP(Table8[[#This Row],[Document ID]],Table1[],2,FALSE)</f>
        <v>GBR</v>
      </c>
      <c r="C2878" s="243" t="str">
        <f>VLOOKUP(Table8[[#This Row],[Document ID]],Table1[],3,FALSE)</f>
        <v>United Kingdom</v>
      </c>
      <c r="D2878" s="243" t="str">
        <f>VLOOKUP(Table8[[#This Row],[Document ID]],Table1[],5,FALSE)</f>
        <v>NDC</v>
      </c>
      <c r="E2878" s="233" t="str">
        <f>VLOOKUP(Table8[[#This Row],[Document ID]],Table1[],7,FALSE)</f>
        <v>First NDC updated</v>
      </c>
      <c r="F2878" s="233" t="str">
        <f>VLOOKUP(Table8[[#This Row],[Document ID]],Table1[],8,FALSE)</f>
        <v>NDC 1.2</v>
      </c>
      <c r="G2878" s="233" t="str">
        <f>VLOOKUP(Table8[[#This Row],[Document ID]],Table1[],10,FALSE)</f>
        <v>Archived</v>
      </c>
      <c r="H2878" s="43" t="s">
        <v>2358</v>
      </c>
      <c r="I2878" s="43" t="s">
        <v>2359</v>
      </c>
      <c r="J2878" s="43" t="s">
        <v>2360</v>
      </c>
      <c r="K2878" s="44" t="s">
        <v>4938</v>
      </c>
      <c r="L2878" s="44" t="s">
        <v>2333</v>
      </c>
      <c r="M2878" s="43">
        <v>13</v>
      </c>
      <c r="N2878" s="113"/>
      <c r="O2878" s="113"/>
      <c r="P2878" s="113"/>
      <c r="Q2878" s="113"/>
      <c r="R2878" s="113"/>
      <c r="S2878" s="113"/>
      <c r="T2878" s="113"/>
      <c r="U2878" s="113" t="s">
        <v>1113</v>
      </c>
      <c r="V2878" s="113" t="s">
        <v>1113</v>
      </c>
      <c r="W2878" s="113"/>
      <c r="X2878" s="113"/>
      <c r="Y2878" s="113"/>
      <c r="Z2878" s="113"/>
      <c r="AA2878" s="113"/>
      <c r="AB2878" s="113"/>
      <c r="AC2878" s="113"/>
      <c r="AD2878" s="113"/>
      <c r="AE2878" s="113"/>
      <c r="AF2878" s="113"/>
      <c r="AG2878" s="113"/>
      <c r="AH2878" s="113"/>
      <c r="AI2878" s="113"/>
      <c r="AJ2878" s="113"/>
      <c r="AK2878" s="113" t="s">
        <v>1113</v>
      </c>
      <c r="AL2878" s="113"/>
      <c r="AM2878" s="113"/>
      <c r="AN2878" s="113"/>
      <c r="AO2878" s="43" t="s">
        <v>2334</v>
      </c>
      <c r="AP2878" s="43" t="s">
        <v>4850</v>
      </c>
      <c r="AQ2878" s="233" t="str">
        <f>VLOOKUP(Table8[[#This Row],[Instrument]],Def_Targets!$D$73:$E$159,2,FALSE)</f>
        <v>I_Emobility</v>
      </c>
      <c r="AR2878" s="242" t="str">
        <f>VLOOKUP(Table8[[#This Row],[Country Code]],Table29[],3,FALSE)</f>
        <v>Annex I</v>
      </c>
      <c r="AS2878" s="242" t="str">
        <f>VLOOKUP(Table8[[#This Row],[Country Code]],Table29[],4,FALSE)</f>
        <v>Europe</v>
      </c>
      <c r="AT2878" s="242" t="str">
        <f>VLOOKUP(Table8[[#This Row],[Country Code]],Table29[],5,FALSE)</f>
        <v>High-income</v>
      </c>
      <c r="AU2878" s="242" t="str">
        <f>VLOOKUP(Table8[[#This Row],[Country Code]],Table29[],6,FALSE)</f>
        <v>G20</v>
      </c>
      <c r="AV2878" s="242" t="str">
        <f>VLOOKUP(Table8[[#This Row],[Country Code]],Table29[],7,FALSE)</f>
        <v>G7</v>
      </c>
      <c r="AW2878" s="242" t="str">
        <f>VLOOKUP(Table8[[#This Row],[Country Code]],Table29[],8,FALSE)</f>
        <v>OECD</v>
      </c>
      <c r="AX2878" s="242" t="str">
        <f>VLOOKUP(Table8[[#This Row],[Country Code]],Table29[],9,FALSE)</f>
        <v>no</v>
      </c>
      <c r="AY2878" s="242" t="str">
        <f>VLOOKUP(Table8[[#This Row],[Country Code]],Table29[],10,FALSE)</f>
        <v>no</v>
      </c>
      <c r="AZ2878" s="242">
        <f>VLOOKUP(Table8[[#This Row],[Country Code]],Table29[],23,FALSE)</f>
        <v>379.31858785213001</v>
      </c>
      <c r="BA2878" s="242">
        <f>VLOOKUP(Table8[[#This Row],[Country Code]],Table29[],24,FALSE)</f>
        <v>109.75048777474809</v>
      </c>
      <c r="BB2878" s="320"/>
      <c r="BC2878" s="320"/>
    </row>
    <row r="2879" spans="1:55" ht="15" hidden="1" customHeight="1" x14ac:dyDescent="0.25">
      <c r="A2879" s="373">
        <v>24784</v>
      </c>
      <c r="B2879" s="243" t="str">
        <f>VLOOKUP(Table8[[#This Row],[Document ID]],Table1[],2,FALSE)</f>
        <v>SAU</v>
      </c>
      <c r="C2879" s="243" t="str">
        <f>VLOOKUP(Table8[[#This Row],[Document ID]],Table1[],3,FALSE)</f>
        <v>Saudi Arabia</v>
      </c>
      <c r="D2879" s="243" t="str">
        <f>VLOOKUP(Table8[[#This Row],[Document ID]],Table1[],5,FALSE)</f>
        <v>NDC</v>
      </c>
      <c r="E2879" s="233" t="str">
        <f>VLOOKUP(Table8[[#This Row],[Document ID]],Table1[],7,FALSE)</f>
        <v>First NDC updated</v>
      </c>
      <c r="F2879" s="233" t="str">
        <f>VLOOKUP(Table8[[#This Row],[Document ID]],Table1[],8,FALSE)</f>
        <v>NDC 1.1</v>
      </c>
      <c r="G2879" s="233" t="str">
        <f>VLOOKUP(Table8[[#This Row],[Document ID]],Table1[],10,FALSE)</f>
        <v>Active</v>
      </c>
      <c r="H2879" s="43" t="s">
        <v>2338</v>
      </c>
      <c r="I2879" s="43" t="s">
        <v>2339</v>
      </c>
      <c r="J2879" s="43" t="s">
        <v>2425</v>
      </c>
      <c r="K2879" s="44" t="s">
        <v>4939</v>
      </c>
      <c r="L2879" s="44" t="s">
        <v>2333</v>
      </c>
      <c r="M2879" s="43">
        <v>4</v>
      </c>
      <c r="N2879" s="113" t="s">
        <v>1113</v>
      </c>
      <c r="O2879" s="113"/>
      <c r="P2879" s="113"/>
      <c r="Q2879" s="113"/>
      <c r="R2879" s="113"/>
      <c r="S2879" s="113"/>
      <c r="T2879" s="113"/>
      <c r="U2879" s="113"/>
      <c r="V2879" s="113"/>
      <c r="W2879" s="113"/>
      <c r="X2879" s="113"/>
      <c r="Y2879" s="113"/>
      <c r="Z2879" s="113"/>
      <c r="AA2879" s="113"/>
      <c r="AB2879" s="113"/>
      <c r="AC2879" s="113"/>
      <c r="AD2879" s="113"/>
      <c r="AE2879" s="113"/>
      <c r="AF2879" s="113"/>
      <c r="AG2879" s="113"/>
      <c r="AH2879" s="113"/>
      <c r="AI2879" s="113"/>
      <c r="AJ2879" s="113"/>
      <c r="AK2879" s="113" t="s">
        <v>1113</v>
      </c>
      <c r="AL2879" s="113"/>
      <c r="AM2879" s="113"/>
      <c r="AN2879" s="113"/>
      <c r="AO2879" s="43" t="s">
        <v>2334</v>
      </c>
      <c r="AP2879" s="43" t="s">
        <v>4873</v>
      </c>
      <c r="AQ2879" s="233" t="str">
        <f>VLOOKUP(Table8[[#This Row],[Instrument]],Def_Targets!$D$73:$E$159,2,FALSE)</f>
        <v>I_Efficiencystd</v>
      </c>
      <c r="AR2879" s="242" t="str">
        <f>VLOOKUP(Table8[[#This Row],[Country Code]],Table29[],3,FALSE)</f>
        <v>Non-Annex I</v>
      </c>
      <c r="AS2879" s="242" t="str">
        <f>VLOOKUP(Table8[[#This Row],[Country Code]],Table29[],4,FALSE)</f>
        <v>Asia</v>
      </c>
      <c r="AT2879" s="242" t="str">
        <f>VLOOKUP(Table8[[#This Row],[Country Code]],Table29[],5,FALSE)</f>
        <v>High-income</v>
      </c>
      <c r="AU2879" s="242" t="str">
        <f>VLOOKUP(Table8[[#This Row],[Country Code]],Table29[],6,FALSE)</f>
        <v>G20</v>
      </c>
      <c r="AV2879" s="242" t="str">
        <f>VLOOKUP(Table8[[#This Row],[Country Code]],Table29[],7,FALSE)</f>
        <v>no</v>
      </c>
      <c r="AW2879" s="242" t="str">
        <f>VLOOKUP(Table8[[#This Row],[Country Code]],Table29[],8,FALSE)</f>
        <v>non-OECD</v>
      </c>
      <c r="AX2879" s="242" t="str">
        <f>VLOOKUP(Table8[[#This Row],[Country Code]],Table29[],9,FALSE)</f>
        <v>no</v>
      </c>
      <c r="AY2879" s="242" t="str">
        <f>VLOOKUP(Table8[[#This Row],[Country Code]],Table29[],10,FALSE)</f>
        <v>MENA</v>
      </c>
      <c r="AZ2879" s="242">
        <f>VLOOKUP(Table8[[#This Row],[Country Code]],Table29[],23,FALSE)</f>
        <v>805.15810845823</v>
      </c>
      <c r="BA2879" s="242">
        <f>VLOOKUP(Table8[[#This Row],[Country Code]],Table29[],24,FALSE)</f>
        <v>147.5856941379987</v>
      </c>
      <c r="BB2879" s="320"/>
      <c r="BC2879" s="320"/>
    </row>
    <row r="2880" spans="1:55" ht="15" hidden="1" customHeight="1" x14ac:dyDescent="0.25">
      <c r="A2880" s="373">
        <v>24784</v>
      </c>
      <c r="B2880" s="243" t="str">
        <f>VLOOKUP(Table8[[#This Row],[Document ID]],Table1[],2,FALSE)</f>
        <v>SAU</v>
      </c>
      <c r="C2880" s="243" t="str">
        <f>VLOOKUP(Table8[[#This Row],[Document ID]],Table1[],3,FALSE)</f>
        <v>Saudi Arabia</v>
      </c>
      <c r="D2880" s="243" t="str">
        <f>VLOOKUP(Table8[[#This Row],[Document ID]],Table1[],5,FALSE)</f>
        <v>NDC</v>
      </c>
      <c r="E2880" s="233" t="str">
        <f>VLOOKUP(Table8[[#This Row],[Document ID]],Table1[],7,FALSE)</f>
        <v>First NDC updated</v>
      </c>
      <c r="F2880" s="233" t="str">
        <f>VLOOKUP(Table8[[#This Row],[Document ID]],Table1[],8,FALSE)</f>
        <v>NDC 1.1</v>
      </c>
      <c r="G2880" s="233" t="str">
        <f>VLOOKUP(Table8[[#This Row],[Document ID]],Table1[],10,FALSE)</f>
        <v>Active</v>
      </c>
      <c r="H2880" s="43" t="s">
        <v>2338</v>
      </c>
      <c r="I2880" s="43" t="s">
        <v>2339</v>
      </c>
      <c r="J2880" s="43" t="s">
        <v>2413</v>
      </c>
      <c r="K2880" s="44" t="s">
        <v>4940</v>
      </c>
      <c r="L2880" s="44" t="s">
        <v>2333</v>
      </c>
      <c r="M2880" s="43">
        <v>4</v>
      </c>
      <c r="N2880" s="113"/>
      <c r="O2880" s="113"/>
      <c r="P2880" s="113"/>
      <c r="Q2880" s="113"/>
      <c r="R2880" s="113"/>
      <c r="S2880" s="113"/>
      <c r="T2880" s="113"/>
      <c r="U2880" s="113" t="s">
        <v>1113</v>
      </c>
      <c r="V2880" s="113"/>
      <c r="W2880" s="113"/>
      <c r="X2880" s="113"/>
      <c r="Y2880" s="113"/>
      <c r="Z2880" s="113"/>
      <c r="AA2880" s="113"/>
      <c r="AB2880" s="113"/>
      <c r="AC2880" s="113"/>
      <c r="AD2880" s="113"/>
      <c r="AE2880" s="113"/>
      <c r="AF2880" s="113"/>
      <c r="AG2880" s="113"/>
      <c r="AH2880" s="113"/>
      <c r="AI2880" s="113"/>
      <c r="AJ2880" s="113"/>
      <c r="AK2880" s="113" t="s">
        <v>1113</v>
      </c>
      <c r="AL2880" s="113"/>
      <c r="AM2880" s="113"/>
      <c r="AN2880" s="113"/>
      <c r="AO2880" s="43" t="s">
        <v>2334</v>
      </c>
      <c r="AP2880" s="43" t="s">
        <v>4873</v>
      </c>
      <c r="AQ2880" s="233" t="str">
        <f>VLOOKUP(Table8[[#This Row],[Instrument]],Def_Targets!$D$73:$E$159,2,FALSE)</f>
        <v>I_Vehicleeff</v>
      </c>
      <c r="AR2880" s="242" t="str">
        <f>VLOOKUP(Table8[[#This Row],[Country Code]],Table29[],3,FALSE)</f>
        <v>Non-Annex I</v>
      </c>
      <c r="AS2880" s="242" t="str">
        <f>VLOOKUP(Table8[[#This Row],[Country Code]],Table29[],4,FALSE)</f>
        <v>Asia</v>
      </c>
      <c r="AT2880" s="242" t="str">
        <f>VLOOKUP(Table8[[#This Row],[Country Code]],Table29[],5,FALSE)</f>
        <v>High-income</v>
      </c>
      <c r="AU2880" s="242" t="str">
        <f>VLOOKUP(Table8[[#This Row],[Country Code]],Table29[],6,FALSE)</f>
        <v>G20</v>
      </c>
      <c r="AV2880" s="242" t="str">
        <f>VLOOKUP(Table8[[#This Row],[Country Code]],Table29[],7,FALSE)</f>
        <v>no</v>
      </c>
      <c r="AW2880" s="242" t="str">
        <f>VLOOKUP(Table8[[#This Row],[Country Code]],Table29[],8,FALSE)</f>
        <v>non-OECD</v>
      </c>
      <c r="AX2880" s="242" t="str">
        <f>VLOOKUP(Table8[[#This Row],[Country Code]],Table29[],9,FALSE)</f>
        <v>no</v>
      </c>
      <c r="AY2880" s="242" t="str">
        <f>VLOOKUP(Table8[[#This Row],[Country Code]],Table29[],10,FALSE)</f>
        <v>MENA</v>
      </c>
      <c r="AZ2880" s="242">
        <f>VLOOKUP(Table8[[#This Row],[Country Code]],Table29[],23,FALSE)</f>
        <v>805.15810845823</v>
      </c>
      <c r="BA2880" s="242">
        <f>VLOOKUP(Table8[[#This Row],[Country Code]],Table29[],24,FALSE)</f>
        <v>147.5856941379987</v>
      </c>
      <c r="BB2880" s="320"/>
      <c r="BC2880" s="320"/>
    </row>
    <row r="2881" spans="1:55" ht="15" hidden="1" customHeight="1" x14ac:dyDescent="0.25">
      <c r="A2881" s="373">
        <v>24784</v>
      </c>
      <c r="B2881" s="243" t="str">
        <f>VLOOKUP(Table8[[#This Row],[Document ID]],Table1[],2,FALSE)</f>
        <v>SAU</v>
      </c>
      <c r="C2881" s="243" t="str">
        <f>VLOOKUP(Table8[[#This Row],[Document ID]],Table1[],3,FALSE)</f>
        <v>Saudi Arabia</v>
      </c>
      <c r="D2881" s="243" t="str">
        <f>VLOOKUP(Table8[[#This Row],[Document ID]],Table1[],5,FALSE)</f>
        <v>NDC</v>
      </c>
      <c r="E2881" s="233" t="str">
        <f>VLOOKUP(Table8[[#This Row],[Document ID]],Table1[],7,FALSE)</f>
        <v>First NDC updated</v>
      </c>
      <c r="F2881" s="233" t="str">
        <f>VLOOKUP(Table8[[#This Row],[Document ID]],Table1[],8,FALSE)</f>
        <v>NDC 1.1</v>
      </c>
      <c r="G2881" s="233" t="str">
        <f>VLOOKUP(Table8[[#This Row],[Document ID]],Table1[],10,FALSE)</f>
        <v>Active</v>
      </c>
      <c r="H2881" s="43" t="s">
        <v>2338</v>
      </c>
      <c r="I2881" s="43" t="s">
        <v>2339</v>
      </c>
      <c r="J2881" s="43" t="s">
        <v>2340</v>
      </c>
      <c r="K2881" s="44" t="s">
        <v>4941</v>
      </c>
      <c r="L2881" s="44" t="s">
        <v>2333</v>
      </c>
      <c r="M2881" s="43">
        <v>4</v>
      </c>
      <c r="N2881" s="113"/>
      <c r="O2881" s="113"/>
      <c r="P2881" s="113"/>
      <c r="Q2881" s="113"/>
      <c r="R2881" s="113"/>
      <c r="S2881" s="113"/>
      <c r="T2881" s="113"/>
      <c r="U2881" s="113"/>
      <c r="V2881" s="113"/>
      <c r="W2881" s="113"/>
      <c r="X2881" s="113" t="s">
        <v>1113</v>
      </c>
      <c r="Y2881" s="113"/>
      <c r="Z2881" s="113"/>
      <c r="AA2881" s="113"/>
      <c r="AB2881" s="113"/>
      <c r="AC2881" s="113"/>
      <c r="AD2881" s="113"/>
      <c r="AE2881" s="113"/>
      <c r="AF2881" s="113"/>
      <c r="AG2881" s="113"/>
      <c r="AH2881" s="113"/>
      <c r="AI2881" s="113"/>
      <c r="AJ2881" s="113"/>
      <c r="AK2881" s="113" t="s">
        <v>1113</v>
      </c>
      <c r="AL2881" s="113"/>
      <c r="AM2881" s="113"/>
      <c r="AN2881" s="113"/>
      <c r="AO2881" s="43" t="s">
        <v>2353</v>
      </c>
      <c r="AP2881" s="43" t="s">
        <v>4873</v>
      </c>
      <c r="AQ2881" s="233" t="str">
        <f>VLOOKUP(Table8[[#This Row],[Instrument]],Def_Targets!$D$73:$E$159,2,FALSE)</f>
        <v>I_Vehicleimprove</v>
      </c>
      <c r="AR2881" s="242" t="str">
        <f>VLOOKUP(Table8[[#This Row],[Country Code]],Table29[],3,FALSE)</f>
        <v>Non-Annex I</v>
      </c>
      <c r="AS2881" s="242" t="str">
        <f>VLOOKUP(Table8[[#This Row],[Country Code]],Table29[],4,FALSE)</f>
        <v>Asia</v>
      </c>
      <c r="AT2881" s="242" t="str">
        <f>VLOOKUP(Table8[[#This Row],[Country Code]],Table29[],5,FALSE)</f>
        <v>High-income</v>
      </c>
      <c r="AU2881" s="242" t="str">
        <f>VLOOKUP(Table8[[#This Row],[Country Code]],Table29[],6,FALSE)</f>
        <v>G20</v>
      </c>
      <c r="AV2881" s="242" t="str">
        <f>VLOOKUP(Table8[[#This Row],[Country Code]],Table29[],7,FALSE)</f>
        <v>no</v>
      </c>
      <c r="AW2881" s="242" t="str">
        <f>VLOOKUP(Table8[[#This Row],[Country Code]],Table29[],8,FALSE)</f>
        <v>non-OECD</v>
      </c>
      <c r="AX2881" s="242" t="str">
        <f>VLOOKUP(Table8[[#This Row],[Country Code]],Table29[],9,FALSE)</f>
        <v>no</v>
      </c>
      <c r="AY2881" s="242" t="str">
        <f>VLOOKUP(Table8[[#This Row],[Country Code]],Table29[],10,FALSE)</f>
        <v>MENA</v>
      </c>
      <c r="AZ2881" s="242">
        <f>VLOOKUP(Table8[[#This Row],[Country Code]],Table29[],23,FALSE)</f>
        <v>805.15810845823</v>
      </c>
      <c r="BA2881" s="242">
        <f>VLOOKUP(Table8[[#This Row],[Country Code]],Table29[],24,FALSE)</f>
        <v>147.5856941379987</v>
      </c>
      <c r="BB2881" s="320"/>
      <c r="BC2881" s="320"/>
    </row>
    <row r="2882" spans="1:55" ht="15" hidden="1" customHeight="1" x14ac:dyDescent="0.25">
      <c r="A2882" s="373">
        <v>24784</v>
      </c>
      <c r="B2882" s="243" t="str">
        <f>VLOOKUP(Table8[[#This Row],[Document ID]],Table1[],2,FALSE)</f>
        <v>SAU</v>
      </c>
      <c r="C2882" s="243" t="str">
        <f>VLOOKUP(Table8[[#This Row],[Document ID]],Table1[],3,FALSE)</f>
        <v>Saudi Arabia</v>
      </c>
      <c r="D2882" s="243" t="str">
        <f>VLOOKUP(Table8[[#This Row],[Document ID]],Table1[],5,FALSE)</f>
        <v>NDC</v>
      </c>
      <c r="E2882" s="233" t="str">
        <f>VLOOKUP(Table8[[#This Row],[Document ID]],Table1[],7,FALSE)</f>
        <v>First NDC updated</v>
      </c>
      <c r="F2882" s="233" t="str">
        <f>VLOOKUP(Table8[[#This Row],[Document ID]],Table1[],8,FALSE)</f>
        <v>NDC 1.1</v>
      </c>
      <c r="G2882" s="233" t="str">
        <f>VLOOKUP(Table8[[#This Row],[Document ID]],Table1[],10,FALSE)</f>
        <v>Active</v>
      </c>
      <c r="H2882" s="43" t="s">
        <v>2350</v>
      </c>
      <c r="I2882" s="43" t="s">
        <v>2456</v>
      </c>
      <c r="J2882" s="43" t="s">
        <v>2466</v>
      </c>
      <c r="K2882" s="44" t="s">
        <v>4942</v>
      </c>
      <c r="L2882" s="44" t="s">
        <v>2347</v>
      </c>
      <c r="M2882" s="43">
        <v>7</v>
      </c>
      <c r="N2882" s="113"/>
      <c r="O2882" s="113"/>
      <c r="P2882" s="113"/>
      <c r="Q2882" s="113"/>
      <c r="R2882" s="113"/>
      <c r="S2882" s="113"/>
      <c r="T2882" s="113"/>
      <c r="U2882" s="113"/>
      <c r="V2882" s="113"/>
      <c r="W2882" s="113"/>
      <c r="X2882" s="113"/>
      <c r="Y2882" s="113"/>
      <c r="Z2882" s="113"/>
      <c r="AA2882" s="113"/>
      <c r="AB2882" s="113"/>
      <c r="AC2882" s="113" t="s">
        <v>1113</v>
      </c>
      <c r="AD2882" s="113"/>
      <c r="AE2882" s="113"/>
      <c r="AF2882" s="113"/>
      <c r="AG2882" s="113"/>
      <c r="AH2882" s="113"/>
      <c r="AI2882" s="113"/>
      <c r="AJ2882" s="113"/>
      <c r="AK2882" s="113" t="s">
        <v>1113</v>
      </c>
      <c r="AL2882" s="113"/>
      <c r="AM2882" s="113"/>
      <c r="AN2882" s="113"/>
      <c r="AO2882" s="43" t="s">
        <v>2348</v>
      </c>
      <c r="AP2882" s="43" t="s">
        <v>4873</v>
      </c>
      <c r="AQ2882" s="233" t="str">
        <f>VLOOKUP(Table8[[#This Row],[Instrument]],Def_Targets!$D$73:$E$159,2,FALSE)</f>
        <v>S_Infraexpansion</v>
      </c>
      <c r="AR2882" s="242" t="str">
        <f>VLOOKUP(Table8[[#This Row],[Country Code]],Table29[],3,FALSE)</f>
        <v>Non-Annex I</v>
      </c>
      <c r="AS2882" s="242" t="str">
        <f>VLOOKUP(Table8[[#This Row],[Country Code]],Table29[],4,FALSE)</f>
        <v>Asia</v>
      </c>
      <c r="AT2882" s="242" t="str">
        <f>VLOOKUP(Table8[[#This Row],[Country Code]],Table29[],5,FALSE)</f>
        <v>High-income</v>
      </c>
      <c r="AU2882" s="242" t="str">
        <f>VLOOKUP(Table8[[#This Row],[Country Code]],Table29[],6,FALSE)</f>
        <v>G20</v>
      </c>
      <c r="AV2882" s="242" t="str">
        <f>VLOOKUP(Table8[[#This Row],[Country Code]],Table29[],7,FALSE)</f>
        <v>no</v>
      </c>
      <c r="AW2882" s="242" t="str">
        <f>VLOOKUP(Table8[[#This Row],[Country Code]],Table29[],8,FALSE)</f>
        <v>non-OECD</v>
      </c>
      <c r="AX2882" s="242" t="str">
        <f>VLOOKUP(Table8[[#This Row],[Country Code]],Table29[],9,FALSE)</f>
        <v>no</v>
      </c>
      <c r="AY2882" s="242" t="str">
        <f>VLOOKUP(Table8[[#This Row],[Country Code]],Table29[],10,FALSE)</f>
        <v>MENA</v>
      </c>
      <c r="AZ2882" s="242">
        <f>VLOOKUP(Table8[[#This Row],[Country Code]],Table29[],23,FALSE)</f>
        <v>805.15810845823</v>
      </c>
      <c r="BA2882" s="242">
        <f>VLOOKUP(Table8[[#This Row],[Country Code]],Table29[],24,FALSE)</f>
        <v>147.5856941379987</v>
      </c>
      <c r="BB2882" s="320"/>
      <c r="BC2882" s="320"/>
    </row>
    <row r="2883" spans="1:55" ht="15" hidden="1" customHeight="1" x14ac:dyDescent="0.25">
      <c r="A2883" s="373">
        <v>24784</v>
      </c>
      <c r="B2883" s="243" t="str">
        <f>VLOOKUP(Table8[[#This Row],[Document ID]],Table1[],2,FALSE)</f>
        <v>SAU</v>
      </c>
      <c r="C2883" s="243" t="str">
        <f>VLOOKUP(Table8[[#This Row],[Document ID]],Table1[],3,FALSE)</f>
        <v>Saudi Arabia</v>
      </c>
      <c r="D2883" s="243" t="str">
        <f>VLOOKUP(Table8[[#This Row],[Document ID]],Table1[],5,FALSE)</f>
        <v>NDC</v>
      </c>
      <c r="E2883" s="233" t="str">
        <f>VLOOKUP(Table8[[#This Row],[Document ID]],Table1[],7,FALSE)</f>
        <v>First NDC updated</v>
      </c>
      <c r="F2883" s="233" t="str">
        <f>VLOOKUP(Table8[[#This Row],[Document ID]],Table1[],8,FALSE)</f>
        <v>NDC 1.1</v>
      </c>
      <c r="G2883" s="233" t="str">
        <f>VLOOKUP(Table8[[#This Row],[Document ID]],Table1[],10,FALSE)</f>
        <v>Active</v>
      </c>
      <c r="H2883" s="43" t="s">
        <v>2350</v>
      </c>
      <c r="I2883" s="43" t="s">
        <v>2456</v>
      </c>
      <c r="J2883" s="43" t="s">
        <v>2466</v>
      </c>
      <c r="K2883" s="44" t="s">
        <v>4943</v>
      </c>
      <c r="L2883" s="44" t="s">
        <v>2347</v>
      </c>
      <c r="M2883" s="43">
        <v>7</v>
      </c>
      <c r="N2883" s="113"/>
      <c r="O2883" s="113"/>
      <c r="P2883" s="113"/>
      <c r="Q2883" s="113"/>
      <c r="R2883" s="113"/>
      <c r="S2883" s="113"/>
      <c r="T2883" s="113"/>
      <c r="U2883" s="113"/>
      <c r="V2883" s="113"/>
      <c r="W2883" s="113"/>
      <c r="X2883" s="113"/>
      <c r="Y2883" s="113"/>
      <c r="Z2883" s="113" t="s">
        <v>1113</v>
      </c>
      <c r="AA2883" s="113"/>
      <c r="AB2883" s="113"/>
      <c r="AC2883" s="113"/>
      <c r="AD2883" s="113"/>
      <c r="AE2883" s="113"/>
      <c r="AF2883" s="113"/>
      <c r="AG2883" s="113"/>
      <c r="AH2883" s="113"/>
      <c r="AI2883" s="113"/>
      <c r="AJ2883" s="113"/>
      <c r="AK2883" s="113" t="s">
        <v>1113</v>
      </c>
      <c r="AL2883" s="113"/>
      <c r="AM2883" s="113"/>
      <c r="AN2883" s="113"/>
      <c r="AO2883" s="43" t="s">
        <v>2348</v>
      </c>
      <c r="AP2883" s="43" t="s">
        <v>4873</v>
      </c>
      <c r="AQ2883" s="233" t="str">
        <f>VLOOKUP(Table8[[#This Row],[Instrument]],Def_Targets!$D$73:$E$159,2,FALSE)</f>
        <v>S_Infraexpansion</v>
      </c>
      <c r="AR2883" s="242" t="str">
        <f>VLOOKUP(Table8[[#This Row],[Country Code]],Table29[],3,FALSE)</f>
        <v>Non-Annex I</v>
      </c>
      <c r="AS2883" s="242" t="str">
        <f>VLOOKUP(Table8[[#This Row],[Country Code]],Table29[],4,FALSE)</f>
        <v>Asia</v>
      </c>
      <c r="AT2883" s="242" t="str">
        <f>VLOOKUP(Table8[[#This Row],[Country Code]],Table29[],5,FALSE)</f>
        <v>High-income</v>
      </c>
      <c r="AU2883" s="242" t="str">
        <f>VLOOKUP(Table8[[#This Row],[Country Code]],Table29[],6,FALSE)</f>
        <v>G20</v>
      </c>
      <c r="AV2883" s="242" t="str">
        <f>VLOOKUP(Table8[[#This Row],[Country Code]],Table29[],7,FALSE)</f>
        <v>no</v>
      </c>
      <c r="AW2883" s="242" t="str">
        <f>VLOOKUP(Table8[[#This Row],[Country Code]],Table29[],8,FALSE)</f>
        <v>non-OECD</v>
      </c>
      <c r="AX2883" s="242" t="str">
        <f>VLOOKUP(Table8[[#This Row],[Country Code]],Table29[],9,FALSE)</f>
        <v>no</v>
      </c>
      <c r="AY2883" s="242" t="str">
        <f>VLOOKUP(Table8[[#This Row],[Country Code]],Table29[],10,FALSE)</f>
        <v>MENA</v>
      </c>
      <c r="AZ2883" s="242">
        <f>VLOOKUP(Table8[[#This Row],[Country Code]],Table29[],23,FALSE)</f>
        <v>805.15810845823</v>
      </c>
      <c r="BA2883" s="242">
        <f>VLOOKUP(Table8[[#This Row],[Country Code]],Table29[],24,FALSE)</f>
        <v>147.5856941379987</v>
      </c>
      <c r="BB2883" s="320"/>
      <c r="BC2883" s="320"/>
    </row>
    <row r="2884" spans="1:55" ht="45" hidden="1" x14ac:dyDescent="0.25">
      <c r="A2884" s="373">
        <v>43788</v>
      </c>
      <c r="B2884" s="243" t="str">
        <f>VLOOKUP(Table8[[#This Row],[Document ID]],Table1[],2,FALSE)</f>
        <v>TUR</v>
      </c>
      <c r="C2884" s="243" t="str">
        <f>VLOOKUP(Table8[[#This Row],[Document ID]],Table1[],3,FALSE)</f>
        <v>Türkiye</v>
      </c>
      <c r="D2884" s="243" t="str">
        <f>VLOOKUP(Table8[[#This Row],[Document ID]],Table1[],5,FALSE)</f>
        <v>LTS</v>
      </c>
      <c r="E2884" s="233" t="str">
        <f>VLOOKUP(Table8[[#This Row],[Document ID]],Table1[],7,FALSE)</f>
        <v>LTS</v>
      </c>
      <c r="F2884" s="233" t="str">
        <f>VLOOKUP(Table8[[#This Row],[Document ID]],Table1[],8,FALSE)</f>
        <v>LTS 1.0</v>
      </c>
      <c r="G2884" s="233" t="str">
        <f>VLOOKUP(Table8[[#This Row],[Document ID]],Table1[],10,FALSE)</f>
        <v>Active</v>
      </c>
      <c r="H2884" s="43" t="s">
        <v>2350</v>
      </c>
      <c r="I2884" s="43" t="s">
        <v>2456</v>
      </c>
      <c r="J2884" s="43" t="s">
        <v>2457</v>
      </c>
      <c r="K2884" s="44" t="s">
        <v>4944</v>
      </c>
      <c r="L2884" s="44" t="s">
        <v>2347</v>
      </c>
      <c r="M2884" s="43">
        <v>36</v>
      </c>
      <c r="N2884" s="113"/>
      <c r="O2884" s="113"/>
      <c r="P2884" s="113"/>
      <c r="Q2884" s="113"/>
      <c r="R2884" s="113"/>
      <c r="S2884" s="113"/>
      <c r="T2884" s="113"/>
      <c r="U2884" s="113"/>
      <c r="V2884" s="113"/>
      <c r="W2884" s="113"/>
      <c r="X2884" s="113"/>
      <c r="Y2884" s="113"/>
      <c r="Z2884" s="113" t="s">
        <v>1113</v>
      </c>
      <c r="AA2884" s="113"/>
      <c r="AB2884" s="113"/>
      <c r="AC2884" s="113"/>
      <c r="AD2884" s="113" t="s">
        <v>1113</v>
      </c>
      <c r="AE2884" s="113"/>
      <c r="AF2884" s="113"/>
      <c r="AG2884" s="113"/>
      <c r="AH2884" s="113"/>
      <c r="AI2884" s="113"/>
      <c r="AJ2884" s="113"/>
      <c r="AK2884" s="113" t="s">
        <v>1113</v>
      </c>
      <c r="AL2884" s="113"/>
      <c r="AM2884" s="113"/>
      <c r="AN2884" s="113"/>
      <c r="AO2884" s="43" t="s">
        <v>2334</v>
      </c>
      <c r="AP2884" s="43" t="s">
        <v>4850</v>
      </c>
      <c r="AQ2884" s="233" t="str">
        <f>VLOOKUP(Table8[[#This Row],[Instrument]],Def_Targets!$D$73:$E$159,2,FALSE)</f>
        <v>S_Infraimprove</v>
      </c>
      <c r="AR2884" s="242" t="str">
        <f>VLOOKUP(Table8[[#This Row],[Country Code]],Table29[],3,FALSE)</f>
        <v>Annex I</v>
      </c>
      <c r="AS2884" s="242" t="str">
        <f>VLOOKUP(Table8[[#This Row],[Country Code]],Table29[],4,FALSE)</f>
        <v>Asia</v>
      </c>
      <c r="AT2884" s="242" t="str">
        <f>VLOOKUP(Table8[[#This Row],[Country Code]],Table29[],5,FALSE)</f>
        <v>Middle-income</v>
      </c>
      <c r="AU2884" s="242" t="str">
        <f>VLOOKUP(Table8[[#This Row],[Country Code]],Table29[],6,FALSE)</f>
        <v>G20</v>
      </c>
      <c r="AV2884" s="242" t="str">
        <f>VLOOKUP(Table8[[#This Row],[Country Code]],Table29[],7,FALSE)</f>
        <v>no</v>
      </c>
      <c r="AW2884" s="242" t="str">
        <f>VLOOKUP(Table8[[#This Row],[Country Code]],Table29[],8,FALSE)</f>
        <v>OECD</v>
      </c>
      <c r="AX2884" s="242" t="str">
        <f>VLOOKUP(Table8[[#This Row],[Country Code]],Table29[],9,FALSE)</f>
        <v>no</v>
      </c>
      <c r="AY2884" s="242" t="str">
        <f>VLOOKUP(Table8[[#This Row],[Country Code]],Table29[],10,FALSE)</f>
        <v>no</v>
      </c>
      <c r="AZ2884" s="242">
        <f>VLOOKUP(Table8[[#This Row],[Country Code]],Table29[],23,FALSE)</f>
        <v>606.42985584790995</v>
      </c>
      <c r="BA2884" s="242">
        <f>VLOOKUP(Table8[[#This Row],[Country Code]],Table29[],24,FALSE)</f>
        <v>95.92080354160332</v>
      </c>
      <c r="BB2884" s="320"/>
      <c r="BC2884" s="320"/>
    </row>
    <row r="2885" spans="1:55" ht="60" hidden="1" x14ac:dyDescent="0.25">
      <c r="A2885" s="373">
        <v>43788</v>
      </c>
      <c r="B2885" s="243" t="str">
        <f>VLOOKUP(Table8[[#This Row],[Document ID]],Table1[],2,FALSE)</f>
        <v>TUR</v>
      </c>
      <c r="C2885" s="243" t="str">
        <f>VLOOKUP(Table8[[#This Row],[Document ID]],Table1[],3,FALSE)</f>
        <v>Türkiye</v>
      </c>
      <c r="D2885" s="243" t="str">
        <f>VLOOKUP(Table8[[#This Row],[Document ID]],Table1[],5,FALSE)</f>
        <v>LTS</v>
      </c>
      <c r="E2885" s="233" t="str">
        <f>VLOOKUP(Table8[[#This Row],[Document ID]],Table1[],7,FALSE)</f>
        <v>LTS</v>
      </c>
      <c r="F2885" s="233" t="str">
        <f>VLOOKUP(Table8[[#This Row],[Document ID]],Table1[],8,FALSE)</f>
        <v>LTS 1.0</v>
      </c>
      <c r="G2885" s="233" t="str">
        <f>VLOOKUP(Table8[[#This Row],[Document ID]],Table1[],10,FALSE)</f>
        <v>Active</v>
      </c>
      <c r="H2885" s="43" t="s">
        <v>2350</v>
      </c>
      <c r="I2885" s="43" t="s">
        <v>2456</v>
      </c>
      <c r="J2885" s="43" t="s">
        <v>2466</v>
      </c>
      <c r="K2885" s="44" t="s">
        <v>4945</v>
      </c>
      <c r="L2885" s="44" t="s">
        <v>2347</v>
      </c>
      <c r="M2885" s="43">
        <v>36</v>
      </c>
      <c r="N2885" s="113"/>
      <c r="O2885" s="113"/>
      <c r="P2885" s="113"/>
      <c r="Q2885" s="113"/>
      <c r="R2885" s="113"/>
      <c r="S2885" s="113"/>
      <c r="T2885" s="113"/>
      <c r="U2885" s="113"/>
      <c r="V2885" s="113"/>
      <c r="W2885" s="113"/>
      <c r="X2885" s="113"/>
      <c r="Y2885" s="113"/>
      <c r="Z2885" s="113" t="s">
        <v>1113</v>
      </c>
      <c r="AA2885" s="113" t="s">
        <v>1113</v>
      </c>
      <c r="AB2885" s="113" t="s">
        <v>1113</v>
      </c>
      <c r="AC2885" s="113"/>
      <c r="AD2885" s="113"/>
      <c r="AE2885" s="113"/>
      <c r="AF2885" s="113"/>
      <c r="AG2885" s="113"/>
      <c r="AH2885" s="113"/>
      <c r="AI2885" s="113"/>
      <c r="AJ2885" s="113"/>
      <c r="AK2885" s="113" t="s">
        <v>1113</v>
      </c>
      <c r="AL2885" s="113"/>
      <c r="AM2885" s="113"/>
      <c r="AN2885" s="113"/>
      <c r="AO2885" s="43" t="s">
        <v>2348</v>
      </c>
      <c r="AP2885" s="43" t="s">
        <v>4850</v>
      </c>
      <c r="AQ2885" s="233" t="str">
        <f>VLOOKUP(Table8[[#This Row],[Instrument]],Def_Targets!$D$73:$E$159,2,FALSE)</f>
        <v>S_Infraexpansion</v>
      </c>
      <c r="AR2885" s="242" t="str">
        <f>VLOOKUP(Table8[[#This Row],[Country Code]],Table29[],3,FALSE)</f>
        <v>Annex I</v>
      </c>
      <c r="AS2885" s="242" t="str">
        <f>VLOOKUP(Table8[[#This Row],[Country Code]],Table29[],4,FALSE)</f>
        <v>Asia</v>
      </c>
      <c r="AT2885" s="242" t="str">
        <f>VLOOKUP(Table8[[#This Row],[Country Code]],Table29[],5,FALSE)</f>
        <v>Middle-income</v>
      </c>
      <c r="AU2885" s="242" t="str">
        <f>VLOOKUP(Table8[[#This Row],[Country Code]],Table29[],6,FALSE)</f>
        <v>G20</v>
      </c>
      <c r="AV2885" s="242" t="str">
        <f>VLOOKUP(Table8[[#This Row],[Country Code]],Table29[],7,FALSE)</f>
        <v>no</v>
      </c>
      <c r="AW2885" s="242" t="str">
        <f>VLOOKUP(Table8[[#This Row],[Country Code]],Table29[],8,FALSE)</f>
        <v>OECD</v>
      </c>
      <c r="AX2885" s="242" t="str">
        <f>VLOOKUP(Table8[[#This Row],[Country Code]],Table29[],9,FALSE)</f>
        <v>no</v>
      </c>
      <c r="AY2885" s="242" t="str">
        <f>VLOOKUP(Table8[[#This Row],[Country Code]],Table29[],10,FALSE)</f>
        <v>no</v>
      </c>
      <c r="AZ2885" s="242">
        <f>VLOOKUP(Table8[[#This Row],[Country Code]],Table29[],23,FALSE)</f>
        <v>606.42985584790995</v>
      </c>
      <c r="BA2885" s="242">
        <f>VLOOKUP(Table8[[#This Row],[Country Code]],Table29[],24,FALSE)</f>
        <v>95.92080354160332</v>
      </c>
      <c r="BB2885" s="320"/>
      <c r="BC2885" s="320"/>
    </row>
    <row r="2886" spans="1:55" ht="30" hidden="1" x14ac:dyDescent="0.25">
      <c r="A2886" s="373">
        <v>43788</v>
      </c>
      <c r="B2886" s="243" t="str">
        <f>VLOOKUP(Table8[[#This Row],[Document ID]],Table1[],2,FALSE)</f>
        <v>TUR</v>
      </c>
      <c r="C2886" s="243" t="str">
        <f>VLOOKUP(Table8[[#This Row],[Document ID]],Table1[],3,FALSE)</f>
        <v>Türkiye</v>
      </c>
      <c r="D2886" s="243" t="str">
        <f>VLOOKUP(Table8[[#This Row],[Document ID]],Table1[],5,FALSE)</f>
        <v>LTS</v>
      </c>
      <c r="E2886" s="233" t="str">
        <f>VLOOKUP(Table8[[#This Row],[Document ID]],Table1[],7,FALSE)</f>
        <v>LTS</v>
      </c>
      <c r="F2886" s="233" t="str">
        <f>VLOOKUP(Table8[[#This Row],[Document ID]],Table1[],8,FALSE)</f>
        <v>LTS 1.0</v>
      </c>
      <c r="G2886" s="233" t="str">
        <f>VLOOKUP(Table8[[#This Row],[Document ID]],Table1[],10,FALSE)</f>
        <v>Active</v>
      </c>
      <c r="H2886" s="43" t="s">
        <v>2350</v>
      </c>
      <c r="I2886" s="43" t="s">
        <v>2456</v>
      </c>
      <c r="J2886" s="43" t="s">
        <v>2466</v>
      </c>
      <c r="K2886" s="44" t="s">
        <v>4946</v>
      </c>
      <c r="L2886" s="44" t="s">
        <v>2347</v>
      </c>
      <c r="M2886" s="43">
        <v>36</v>
      </c>
      <c r="N2886" s="113"/>
      <c r="O2886" s="113"/>
      <c r="P2886" s="113"/>
      <c r="Q2886" s="113"/>
      <c r="R2886" s="113"/>
      <c r="S2886" s="113"/>
      <c r="T2886" s="113"/>
      <c r="U2886" s="113"/>
      <c r="V2886" s="113"/>
      <c r="W2886" s="113"/>
      <c r="X2886" s="113"/>
      <c r="Y2886" s="113"/>
      <c r="Z2886" s="113" t="s">
        <v>1113</v>
      </c>
      <c r="AA2886" s="113"/>
      <c r="AB2886" s="113"/>
      <c r="AC2886" s="113"/>
      <c r="AD2886" s="113" t="s">
        <v>1113</v>
      </c>
      <c r="AE2886" s="113"/>
      <c r="AF2886" s="113"/>
      <c r="AG2886" s="113"/>
      <c r="AH2886" s="113"/>
      <c r="AI2886" s="113"/>
      <c r="AJ2886" s="113"/>
      <c r="AK2886" s="113" t="s">
        <v>1113</v>
      </c>
      <c r="AL2886" s="113"/>
      <c r="AM2886" s="113"/>
      <c r="AN2886" s="113"/>
      <c r="AO2886" s="43" t="s">
        <v>2334</v>
      </c>
      <c r="AP2886" s="43" t="s">
        <v>4850</v>
      </c>
      <c r="AQ2886" s="233" t="str">
        <f>VLOOKUP(Table8[[#This Row],[Instrument]],Def_Targets!$D$73:$E$159,2,FALSE)</f>
        <v>S_Infraexpansion</v>
      </c>
      <c r="AR2886" s="242" t="str">
        <f>VLOOKUP(Table8[[#This Row],[Country Code]],Table29[],3,FALSE)</f>
        <v>Annex I</v>
      </c>
      <c r="AS2886" s="242" t="str">
        <f>VLOOKUP(Table8[[#This Row],[Country Code]],Table29[],4,FALSE)</f>
        <v>Asia</v>
      </c>
      <c r="AT2886" s="242" t="str">
        <f>VLOOKUP(Table8[[#This Row],[Country Code]],Table29[],5,FALSE)</f>
        <v>Middle-income</v>
      </c>
      <c r="AU2886" s="242" t="str">
        <f>VLOOKUP(Table8[[#This Row],[Country Code]],Table29[],6,FALSE)</f>
        <v>G20</v>
      </c>
      <c r="AV2886" s="242" t="str">
        <f>VLOOKUP(Table8[[#This Row],[Country Code]],Table29[],7,FALSE)</f>
        <v>no</v>
      </c>
      <c r="AW2886" s="242" t="str">
        <f>VLOOKUP(Table8[[#This Row],[Country Code]],Table29[],8,FALSE)</f>
        <v>OECD</v>
      </c>
      <c r="AX2886" s="242" t="str">
        <f>VLOOKUP(Table8[[#This Row],[Country Code]],Table29[],9,FALSE)</f>
        <v>no</v>
      </c>
      <c r="AY2886" s="242" t="str">
        <f>VLOOKUP(Table8[[#This Row],[Country Code]],Table29[],10,FALSE)</f>
        <v>no</v>
      </c>
      <c r="AZ2886" s="242">
        <f>VLOOKUP(Table8[[#This Row],[Country Code]],Table29[],23,FALSE)</f>
        <v>606.42985584790995</v>
      </c>
      <c r="BA2886" s="242">
        <f>VLOOKUP(Table8[[#This Row],[Country Code]],Table29[],24,FALSE)</f>
        <v>95.92080354160332</v>
      </c>
      <c r="BB2886" s="320"/>
      <c r="BC2886" s="320"/>
    </row>
    <row r="2887" spans="1:55" ht="75" hidden="1" x14ac:dyDescent="0.25">
      <c r="A2887" s="373">
        <v>43788</v>
      </c>
      <c r="B2887" s="243" t="str">
        <f>VLOOKUP(Table8[[#This Row],[Document ID]],Table1[],2,FALSE)</f>
        <v>TUR</v>
      </c>
      <c r="C2887" s="243" t="str">
        <f>VLOOKUP(Table8[[#This Row],[Document ID]],Table1[],3,FALSE)</f>
        <v>Türkiye</v>
      </c>
      <c r="D2887" s="243" t="str">
        <f>VLOOKUP(Table8[[#This Row],[Document ID]],Table1[],5,FALSE)</f>
        <v>LTS</v>
      </c>
      <c r="E2887" s="233" t="str">
        <f>VLOOKUP(Table8[[#This Row],[Document ID]],Table1[],7,FALSE)</f>
        <v>LTS</v>
      </c>
      <c r="F2887" s="233" t="str">
        <f>VLOOKUP(Table8[[#This Row],[Document ID]],Table1[],8,FALSE)</f>
        <v>LTS 1.0</v>
      </c>
      <c r="G2887" s="233" t="str">
        <f>VLOOKUP(Table8[[#This Row],[Document ID]],Table1[],10,FALSE)</f>
        <v>Active</v>
      </c>
      <c r="H2887" s="43" t="s">
        <v>2343</v>
      </c>
      <c r="I2887" s="43" t="s">
        <v>2386</v>
      </c>
      <c r="J2887" s="43" t="s">
        <v>2412</v>
      </c>
      <c r="K2887" s="44" t="s">
        <v>4947</v>
      </c>
      <c r="L2887" s="44" t="s">
        <v>2347</v>
      </c>
      <c r="M2887" s="43">
        <v>36</v>
      </c>
      <c r="N2887" s="113"/>
      <c r="O2887" s="113"/>
      <c r="P2887" s="113"/>
      <c r="Q2887" s="113"/>
      <c r="R2887" s="113"/>
      <c r="S2887" s="113"/>
      <c r="T2887" s="113"/>
      <c r="U2887" s="113"/>
      <c r="V2887" s="113"/>
      <c r="W2887" s="113"/>
      <c r="X2887" s="113"/>
      <c r="Y2887" s="113"/>
      <c r="Z2887" s="113"/>
      <c r="AA2887" s="113"/>
      <c r="AB2887" s="113" t="s">
        <v>1113</v>
      </c>
      <c r="AC2887" s="113"/>
      <c r="AD2887" s="113" t="s">
        <v>1113</v>
      </c>
      <c r="AE2887" s="113"/>
      <c r="AF2887" s="113"/>
      <c r="AG2887" s="113"/>
      <c r="AH2887" s="113"/>
      <c r="AI2887" s="113"/>
      <c r="AJ2887" s="113"/>
      <c r="AK2887" s="113" t="s">
        <v>1113</v>
      </c>
      <c r="AL2887" s="113"/>
      <c r="AM2887" s="113"/>
      <c r="AN2887" s="113"/>
      <c r="AO2887" s="43" t="s">
        <v>2477</v>
      </c>
      <c r="AP2887" s="43" t="s">
        <v>4850</v>
      </c>
      <c r="AQ2887" s="233" t="str">
        <f>VLOOKUP(Table8[[#This Row],[Instrument]],Def_Targets!$D$73:$E$159,2,FALSE)</f>
        <v>A_Economic</v>
      </c>
      <c r="AR2887" s="242" t="str">
        <f>VLOOKUP(Table8[[#This Row],[Country Code]],Table29[],3,FALSE)</f>
        <v>Annex I</v>
      </c>
      <c r="AS2887" s="242" t="str">
        <f>VLOOKUP(Table8[[#This Row],[Country Code]],Table29[],4,FALSE)</f>
        <v>Asia</v>
      </c>
      <c r="AT2887" s="242" t="str">
        <f>VLOOKUP(Table8[[#This Row],[Country Code]],Table29[],5,FALSE)</f>
        <v>Middle-income</v>
      </c>
      <c r="AU2887" s="242" t="str">
        <f>VLOOKUP(Table8[[#This Row],[Country Code]],Table29[],6,FALSE)</f>
        <v>G20</v>
      </c>
      <c r="AV2887" s="242" t="str">
        <f>VLOOKUP(Table8[[#This Row],[Country Code]],Table29[],7,FALSE)</f>
        <v>no</v>
      </c>
      <c r="AW2887" s="242" t="str">
        <f>VLOOKUP(Table8[[#This Row],[Country Code]],Table29[],8,FALSE)</f>
        <v>OECD</v>
      </c>
      <c r="AX2887" s="242" t="str">
        <f>VLOOKUP(Table8[[#This Row],[Country Code]],Table29[],9,FALSE)</f>
        <v>no</v>
      </c>
      <c r="AY2887" s="242" t="str">
        <f>VLOOKUP(Table8[[#This Row],[Country Code]],Table29[],10,FALSE)</f>
        <v>no</v>
      </c>
      <c r="AZ2887" s="242">
        <f>VLOOKUP(Table8[[#This Row],[Country Code]],Table29[],23,FALSE)</f>
        <v>606.42985584790995</v>
      </c>
      <c r="BA2887" s="242">
        <f>VLOOKUP(Table8[[#This Row],[Country Code]],Table29[],24,FALSE)</f>
        <v>95.92080354160332</v>
      </c>
      <c r="BB2887" s="320"/>
      <c r="BC2887" s="320"/>
    </row>
    <row r="2888" spans="1:55" ht="30" hidden="1" x14ac:dyDescent="0.25">
      <c r="A2888" s="373">
        <v>43788</v>
      </c>
      <c r="B2888" s="243" t="str">
        <f>VLOOKUP(Table8[[#This Row],[Document ID]],Table1[],2,FALSE)</f>
        <v>TUR</v>
      </c>
      <c r="C2888" s="243" t="str">
        <f>VLOOKUP(Table8[[#This Row],[Document ID]],Table1[],3,FALSE)</f>
        <v>Türkiye</v>
      </c>
      <c r="D2888" s="243" t="str">
        <f>VLOOKUP(Table8[[#This Row],[Document ID]],Table1[],5,FALSE)</f>
        <v>LTS</v>
      </c>
      <c r="E2888" s="233" t="str">
        <f>VLOOKUP(Table8[[#This Row],[Document ID]],Table1[],7,FALSE)</f>
        <v>LTS</v>
      </c>
      <c r="F2888" s="233" t="str">
        <f>VLOOKUP(Table8[[#This Row],[Document ID]],Table1[],8,FALSE)</f>
        <v>LTS 1.0</v>
      </c>
      <c r="G2888" s="233" t="str">
        <f>VLOOKUP(Table8[[#This Row],[Document ID]],Table1[],10,FALSE)</f>
        <v>Active</v>
      </c>
      <c r="H2888" s="43" t="s">
        <v>2350</v>
      </c>
      <c r="I2888" s="43" t="s">
        <v>2351</v>
      </c>
      <c r="J2888" s="43" t="s">
        <v>2447</v>
      </c>
      <c r="K2888" s="44" t="s">
        <v>4948</v>
      </c>
      <c r="L2888" s="44" t="s">
        <v>2347</v>
      </c>
      <c r="M2888" s="43">
        <v>36</v>
      </c>
      <c r="N2888" s="113"/>
      <c r="O2888" s="113"/>
      <c r="P2888" s="113"/>
      <c r="Q2888" s="113"/>
      <c r="R2888" s="113"/>
      <c r="S2888" s="113"/>
      <c r="T2888" s="113"/>
      <c r="U2888" s="113"/>
      <c r="V2888" s="113"/>
      <c r="W2888" s="113"/>
      <c r="X2888" s="113"/>
      <c r="Y2888" s="113"/>
      <c r="Z2888" s="113"/>
      <c r="AA2888" s="113"/>
      <c r="AB2888" s="113" t="s">
        <v>1113</v>
      </c>
      <c r="AC2888" s="113"/>
      <c r="AD2888" s="113" t="s">
        <v>1113</v>
      </c>
      <c r="AE2888" s="113"/>
      <c r="AF2888" s="113"/>
      <c r="AG2888" s="113"/>
      <c r="AH2888" s="113"/>
      <c r="AI2888" s="113"/>
      <c r="AJ2888" s="113"/>
      <c r="AK2888" s="113" t="s">
        <v>1113</v>
      </c>
      <c r="AL2888" s="113"/>
      <c r="AM2888" s="113"/>
      <c r="AN2888" s="113"/>
      <c r="AO2888" s="43" t="s">
        <v>2353</v>
      </c>
      <c r="AP2888" s="43" t="s">
        <v>4850</v>
      </c>
      <c r="AQ2888" s="233" t="str">
        <f>VLOOKUP(Table8[[#This Row],[Instrument]],Def_Targets!$D$73:$E$159,2,FALSE)</f>
        <v>I_Freighteff</v>
      </c>
      <c r="AR2888" s="242" t="str">
        <f>VLOOKUP(Table8[[#This Row],[Country Code]],Table29[],3,FALSE)</f>
        <v>Annex I</v>
      </c>
      <c r="AS2888" s="242" t="str">
        <f>VLOOKUP(Table8[[#This Row],[Country Code]],Table29[],4,FALSE)</f>
        <v>Asia</v>
      </c>
      <c r="AT2888" s="242" t="str">
        <f>VLOOKUP(Table8[[#This Row],[Country Code]],Table29[],5,FALSE)</f>
        <v>Middle-income</v>
      </c>
      <c r="AU2888" s="242" t="str">
        <f>VLOOKUP(Table8[[#This Row],[Country Code]],Table29[],6,FALSE)</f>
        <v>G20</v>
      </c>
      <c r="AV2888" s="242" t="str">
        <f>VLOOKUP(Table8[[#This Row],[Country Code]],Table29[],7,FALSE)</f>
        <v>no</v>
      </c>
      <c r="AW2888" s="242" t="str">
        <f>VLOOKUP(Table8[[#This Row],[Country Code]],Table29[],8,FALSE)</f>
        <v>OECD</v>
      </c>
      <c r="AX2888" s="242" t="str">
        <f>VLOOKUP(Table8[[#This Row],[Country Code]],Table29[],9,FALSE)</f>
        <v>no</v>
      </c>
      <c r="AY2888" s="242" t="str">
        <f>VLOOKUP(Table8[[#This Row],[Country Code]],Table29[],10,FALSE)</f>
        <v>no</v>
      </c>
      <c r="AZ2888" s="242">
        <f>VLOOKUP(Table8[[#This Row],[Country Code]],Table29[],23,FALSE)</f>
        <v>606.42985584790995</v>
      </c>
      <c r="BA2888" s="242">
        <f>VLOOKUP(Table8[[#This Row],[Country Code]],Table29[],24,FALSE)</f>
        <v>95.92080354160332</v>
      </c>
      <c r="BB2888" s="320"/>
      <c r="BC2888" s="320"/>
    </row>
    <row r="2889" spans="1:55" ht="30" hidden="1" x14ac:dyDescent="0.25">
      <c r="A2889" s="373">
        <v>43788</v>
      </c>
      <c r="B2889" s="243" t="str">
        <f>VLOOKUP(Table8[[#This Row],[Document ID]],Table1[],2,FALSE)</f>
        <v>TUR</v>
      </c>
      <c r="C2889" s="243" t="str">
        <f>VLOOKUP(Table8[[#This Row],[Document ID]],Table1[],3,FALSE)</f>
        <v>Türkiye</v>
      </c>
      <c r="D2889" s="243" t="str">
        <f>VLOOKUP(Table8[[#This Row],[Document ID]],Table1[],5,FALSE)</f>
        <v>LTS</v>
      </c>
      <c r="E2889" s="233" t="str">
        <f>VLOOKUP(Table8[[#This Row],[Document ID]],Table1[],7,FALSE)</f>
        <v>LTS</v>
      </c>
      <c r="F2889" s="233" t="str">
        <f>VLOOKUP(Table8[[#This Row],[Document ID]],Table1[],8,FALSE)</f>
        <v>LTS 1.0</v>
      </c>
      <c r="G2889" s="233" t="str">
        <f>VLOOKUP(Table8[[#This Row],[Document ID]],Table1[],10,FALSE)</f>
        <v>Active</v>
      </c>
      <c r="H2889" s="43" t="s">
        <v>2484</v>
      </c>
      <c r="I2889" s="43" t="s">
        <v>2485</v>
      </c>
      <c r="J2889" s="43" t="s">
        <v>2978</v>
      </c>
      <c r="K2889" s="44" t="s">
        <v>4949</v>
      </c>
      <c r="L2889" s="44" t="s">
        <v>2347</v>
      </c>
      <c r="M2889" s="43">
        <v>36</v>
      </c>
      <c r="N2889" s="113"/>
      <c r="O2889" s="113"/>
      <c r="P2889" s="113"/>
      <c r="Q2889" s="113"/>
      <c r="R2889" s="113"/>
      <c r="S2889" s="113"/>
      <c r="T2889" s="113"/>
      <c r="U2889" s="113"/>
      <c r="V2889" s="113"/>
      <c r="W2889" s="113"/>
      <c r="X2889" s="113"/>
      <c r="Y2889" s="113"/>
      <c r="Z2889" s="113"/>
      <c r="AA2889" s="113"/>
      <c r="AB2889" s="113"/>
      <c r="AC2889" s="113"/>
      <c r="AD2889" s="113" t="s">
        <v>1113</v>
      </c>
      <c r="AE2889" s="113"/>
      <c r="AF2889" s="113"/>
      <c r="AG2889" s="113"/>
      <c r="AH2889" s="113"/>
      <c r="AI2889" s="113"/>
      <c r="AJ2889" s="113"/>
      <c r="AK2889" s="113" t="s">
        <v>1113</v>
      </c>
      <c r="AL2889" s="113"/>
      <c r="AM2889" s="113"/>
      <c r="AN2889" s="113"/>
      <c r="AO2889" s="43" t="s">
        <v>2353</v>
      </c>
      <c r="AP2889" s="43" t="s">
        <v>4850</v>
      </c>
      <c r="AQ2889" s="233" t="str">
        <f>VLOOKUP(Table8[[#This Row],[Instrument]],Def_Targets!$D$73:$E$159,2,FALSE)</f>
        <v>I_PortInfra</v>
      </c>
      <c r="AR2889" s="242" t="str">
        <f>VLOOKUP(Table8[[#This Row],[Country Code]],Table29[],3,FALSE)</f>
        <v>Annex I</v>
      </c>
      <c r="AS2889" s="242" t="str">
        <f>VLOOKUP(Table8[[#This Row],[Country Code]],Table29[],4,FALSE)</f>
        <v>Asia</v>
      </c>
      <c r="AT2889" s="242" t="str">
        <f>VLOOKUP(Table8[[#This Row],[Country Code]],Table29[],5,FALSE)</f>
        <v>Middle-income</v>
      </c>
      <c r="AU2889" s="242" t="str">
        <f>VLOOKUP(Table8[[#This Row],[Country Code]],Table29[],6,FALSE)</f>
        <v>G20</v>
      </c>
      <c r="AV2889" s="242" t="str">
        <f>VLOOKUP(Table8[[#This Row],[Country Code]],Table29[],7,FALSE)</f>
        <v>no</v>
      </c>
      <c r="AW2889" s="242" t="str">
        <f>VLOOKUP(Table8[[#This Row],[Country Code]],Table29[],8,FALSE)</f>
        <v>OECD</v>
      </c>
      <c r="AX2889" s="242" t="str">
        <f>VLOOKUP(Table8[[#This Row],[Country Code]],Table29[],9,FALSE)</f>
        <v>no</v>
      </c>
      <c r="AY2889" s="242" t="str">
        <f>VLOOKUP(Table8[[#This Row],[Country Code]],Table29[],10,FALSE)</f>
        <v>no</v>
      </c>
      <c r="AZ2889" s="242">
        <f>VLOOKUP(Table8[[#This Row],[Country Code]],Table29[],23,FALSE)</f>
        <v>606.42985584790995</v>
      </c>
      <c r="BA2889" s="242">
        <f>VLOOKUP(Table8[[#This Row],[Country Code]],Table29[],24,FALSE)</f>
        <v>95.92080354160332</v>
      </c>
      <c r="BB2889" s="320"/>
      <c r="BC2889" s="320"/>
    </row>
    <row r="2890" spans="1:55" ht="45" hidden="1" x14ac:dyDescent="0.25">
      <c r="A2890" s="373">
        <v>43788</v>
      </c>
      <c r="B2890" s="243" t="str">
        <f>VLOOKUP(Table8[[#This Row],[Document ID]],Table1[],2,FALSE)</f>
        <v>TUR</v>
      </c>
      <c r="C2890" s="243" t="str">
        <f>VLOOKUP(Table8[[#This Row],[Document ID]],Table1[],3,FALSE)</f>
        <v>Türkiye</v>
      </c>
      <c r="D2890" s="243" t="str">
        <f>VLOOKUP(Table8[[#This Row],[Document ID]],Table1[],5,FALSE)</f>
        <v>LTS</v>
      </c>
      <c r="E2890" s="233" t="str">
        <f>VLOOKUP(Table8[[#This Row],[Document ID]],Table1[],7,FALSE)</f>
        <v>LTS</v>
      </c>
      <c r="F2890" s="233" t="str">
        <f>VLOOKUP(Table8[[#This Row],[Document ID]],Table1[],8,FALSE)</f>
        <v>LTS 1.0</v>
      </c>
      <c r="G2890" s="233" t="str">
        <f>VLOOKUP(Table8[[#This Row],[Document ID]],Table1[],10,FALSE)</f>
        <v>Active</v>
      </c>
      <c r="H2890" s="43" t="s">
        <v>2343</v>
      </c>
      <c r="I2890" s="43" t="s">
        <v>2344</v>
      </c>
      <c r="J2890" s="43" t="s">
        <v>2345</v>
      </c>
      <c r="K2890" s="44" t="s">
        <v>4950</v>
      </c>
      <c r="L2890" s="44" t="s">
        <v>2347</v>
      </c>
      <c r="M2890" s="43">
        <v>36</v>
      </c>
      <c r="N2890" s="113"/>
      <c r="O2890" s="113"/>
      <c r="P2890" s="113"/>
      <c r="Q2890" s="113"/>
      <c r="R2890" s="113"/>
      <c r="S2890" s="113"/>
      <c r="T2890" s="113"/>
      <c r="U2890" s="113"/>
      <c r="V2890" s="113"/>
      <c r="W2890" s="113"/>
      <c r="X2890" s="113"/>
      <c r="Y2890" s="113" t="s">
        <v>1113</v>
      </c>
      <c r="Z2890" s="113" t="s">
        <v>1113</v>
      </c>
      <c r="AA2890" s="113"/>
      <c r="AB2890" s="113"/>
      <c r="AC2890" s="113" t="s">
        <v>1113</v>
      </c>
      <c r="AD2890" s="113"/>
      <c r="AE2890" s="113"/>
      <c r="AF2890" s="113"/>
      <c r="AG2890" s="113"/>
      <c r="AH2890" s="113"/>
      <c r="AI2890" s="113"/>
      <c r="AJ2890" s="113"/>
      <c r="AK2890" s="113"/>
      <c r="AL2890" s="113" t="s">
        <v>1113</v>
      </c>
      <c r="AM2890" s="113"/>
      <c r="AN2890" s="113"/>
      <c r="AO2890" s="43" t="s">
        <v>2348</v>
      </c>
      <c r="AP2890" s="43" t="s">
        <v>4850</v>
      </c>
      <c r="AQ2890" s="233" t="str">
        <f>VLOOKUP(Table8[[#This Row],[Instrument]],Def_Targets!$D$73:$E$159,2,FALSE)</f>
        <v>S_PublicTransport</v>
      </c>
      <c r="AR2890" s="242" t="str">
        <f>VLOOKUP(Table8[[#This Row],[Country Code]],Table29[],3,FALSE)</f>
        <v>Annex I</v>
      </c>
      <c r="AS2890" s="242" t="str">
        <f>VLOOKUP(Table8[[#This Row],[Country Code]],Table29[],4,FALSE)</f>
        <v>Asia</v>
      </c>
      <c r="AT2890" s="242" t="str">
        <f>VLOOKUP(Table8[[#This Row],[Country Code]],Table29[],5,FALSE)</f>
        <v>Middle-income</v>
      </c>
      <c r="AU2890" s="242" t="str">
        <f>VLOOKUP(Table8[[#This Row],[Country Code]],Table29[],6,FALSE)</f>
        <v>G20</v>
      </c>
      <c r="AV2890" s="242" t="str">
        <f>VLOOKUP(Table8[[#This Row],[Country Code]],Table29[],7,FALSE)</f>
        <v>no</v>
      </c>
      <c r="AW2890" s="242" t="str">
        <f>VLOOKUP(Table8[[#This Row],[Country Code]],Table29[],8,FALSE)</f>
        <v>OECD</v>
      </c>
      <c r="AX2890" s="242" t="str">
        <f>VLOOKUP(Table8[[#This Row],[Country Code]],Table29[],9,FALSE)</f>
        <v>no</v>
      </c>
      <c r="AY2890" s="242" t="str">
        <f>VLOOKUP(Table8[[#This Row],[Country Code]],Table29[],10,FALSE)</f>
        <v>no</v>
      </c>
      <c r="AZ2890" s="242">
        <f>VLOOKUP(Table8[[#This Row],[Country Code]],Table29[],23,FALSE)</f>
        <v>606.42985584790995</v>
      </c>
      <c r="BA2890" s="242">
        <f>VLOOKUP(Table8[[#This Row],[Country Code]],Table29[],24,FALSE)</f>
        <v>95.92080354160332</v>
      </c>
      <c r="BB2890" s="320"/>
      <c r="BC2890" s="320"/>
    </row>
    <row r="2891" spans="1:55" ht="30" hidden="1" x14ac:dyDescent="0.25">
      <c r="A2891" s="373">
        <v>43788</v>
      </c>
      <c r="B2891" s="243" t="str">
        <f>VLOOKUP(Table8[[#This Row],[Document ID]],Table1[],2,FALSE)</f>
        <v>TUR</v>
      </c>
      <c r="C2891" s="243" t="str">
        <f>VLOOKUP(Table8[[#This Row],[Document ID]],Table1[],3,FALSE)</f>
        <v>Türkiye</v>
      </c>
      <c r="D2891" s="243" t="str">
        <f>VLOOKUP(Table8[[#This Row],[Document ID]],Table1[],5,FALSE)</f>
        <v>LTS</v>
      </c>
      <c r="E2891" s="233" t="str">
        <f>VLOOKUP(Table8[[#This Row],[Document ID]],Table1[],7,FALSE)</f>
        <v>LTS</v>
      </c>
      <c r="F2891" s="233" t="str">
        <f>VLOOKUP(Table8[[#This Row],[Document ID]],Table1[],8,FALSE)</f>
        <v>LTS 1.0</v>
      </c>
      <c r="G2891" s="233" t="str">
        <f>VLOOKUP(Table8[[#This Row],[Document ID]],Table1[],10,FALSE)</f>
        <v>Active</v>
      </c>
      <c r="H2891" s="43" t="s">
        <v>2343</v>
      </c>
      <c r="I2891" s="43" t="s">
        <v>2344</v>
      </c>
      <c r="J2891" s="43" t="s">
        <v>2405</v>
      </c>
      <c r="K2891" s="44" t="s">
        <v>4951</v>
      </c>
      <c r="L2891" s="44" t="s">
        <v>2347</v>
      </c>
      <c r="M2891" s="43">
        <v>36</v>
      </c>
      <c r="N2891" s="113"/>
      <c r="O2891" s="113"/>
      <c r="P2891" s="113"/>
      <c r="Q2891" s="113"/>
      <c r="R2891" s="113"/>
      <c r="S2891" s="113"/>
      <c r="T2891" s="113"/>
      <c r="U2891" s="113"/>
      <c r="V2891" s="113"/>
      <c r="W2891" s="113"/>
      <c r="X2891" s="113"/>
      <c r="Y2891" s="113" t="s">
        <v>1113</v>
      </c>
      <c r="Z2891" s="113"/>
      <c r="AA2891" s="113"/>
      <c r="AB2891" s="113"/>
      <c r="AC2891" s="113" t="s">
        <v>1113</v>
      </c>
      <c r="AD2891" s="113" t="s">
        <v>1113</v>
      </c>
      <c r="AE2891" s="113"/>
      <c r="AF2891" s="113"/>
      <c r="AG2891" s="113"/>
      <c r="AH2891" s="113"/>
      <c r="AI2891" s="113"/>
      <c r="AJ2891" s="113"/>
      <c r="AK2891" s="113"/>
      <c r="AL2891" s="113" t="s">
        <v>1113</v>
      </c>
      <c r="AM2891" s="113"/>
      <c r="AN2891" s="113"/>
      <c r="AO2891" s="43" t="s">
        <v>2348</v>
      </c>
      <c r="AP2891" s="43" t="s">
        <v>4850</v>
      </c>
      <c r="AQ2891" s="233" t="str">
        <f>VLOOKUP(Table8[[#This Row],[Instrument]],Def_Targets!$D$73:$E$159,2,FALSE)</f>
        <v>S_PTIntegration</v>
      </c>
      <c r="AR2891" s="242" t="str">
        <f>VLOOKUP(Table8[[#This Row],[Country Code]],Table29[],3,FALSE)</f>
        <v>Annex I</v>
      </c>
      <c r="AS2891" s="242" t="str">
        <f>VLOOKUP(Table8[[#This Row],[Country Code]],Table29[],4,FALSE)</f>
        <v>Asia</v>
      </c>
      <c r="AT2891" s="242" t="str">
        <f>VLOOKUP(Table8[[#This Row],[Country Code]],Table29[],5,FALSE)</f>
        <v>Middle-income</v>
      </c>
      <c r="AU2891" s="242" t="str">
        <f>VLOOKUP(Table8[[#This Row],[Country Code]],Table29[],6,FALSE)</f>
        <v>G20</v>
      </c>
      <c r="AV2891" s="242" t="str">
        <f>VLOOKUP(Table8[[#This Row],[Country Code]],Table29[],7,FALSE)</f>
        <v>no</v>
      </c>
      <c r="AW2891" s="242" t="str">
        <f>VLOOKUP(Table8[[#This Row],[Country Code]],Table29[],8,FALSE)</f>
        <v>OECD</v>
      </c>
      <c r="AX2891" s="242" t="str">
        <f>VLOOKUP(Table8[[#This Row],[Country Code]],Table29[],9,FALSE)</f>
        <v>no</v>
      </c>
      <c r="AY2891" s="242" t="str">
        <f>VLOOKUP(Table8[[#This Row],[Country Code]],Table29[],10,FALSE)</f>
        <v>no</v>
      </c>
      <c r="AZ2891" s="242">
        <f>VLOOKUP(Table8[[#This Row],[Country Code]],Table29[],23,FALSE)</f>
        <v>606.42985584790995</v>
      </c>
      <c r="BA2891" s="242">
        <f>VLOOKUP(Table8[[#This Row],[Country Code]],Table29[],24,FALSE)</f>
        <v>95.92080354160332</v>
      </c>
      <c r="BB2891" s="320"/>
      <c r="BC2891" s="320"/>
    </row>
    <row r="2892" spans="1:55" ht="45" hidden="1" x14ac:dyDescent="0.25">
      <c r="A2892" s="373">
        <v>43788</v>
      </c>
      <c r="B2892" s="243" t="str">
        <f>VLOOKUP(Table8[[#This Row],[Document ID]],Table1[],2,FALSE)</f>
        <v>TUR</v>
      </c>
      <c r="C2892" s="243" t="str">
        <f>VLOOKUP(Table8[[#This Row],[Document ID]],Table1[],3,FALSE)</f>
        <v>Türkiye</v>
      </c>
      <c r="D2892" s="243" t="str">
        <f>VLOOKUP(Table8[[#This Row],[Document ID]],Table1[],5,FALSE)</f>
        <v>LTS</v>
      </c>
      <c r="E2892" s="233" t="str">
        <f>VLOOKUP(Table8[[#This Row],[Document ID]],Table1[],7,FALSE)</f>
        <v>LTS</v>
      </c>
      <c r="F2892" s="233" t="str">
        <f>VLOOKUP(Table8[[#This Row],[Document ID]],Table1[],8,FALSE)</f>
        <v>LTS 1.0</v>
      </c>
      <c r="G2892" s="233" t="str">
        <f>VLOOKUP(Table8[[#This Row],[Document ID]],Table1[],10,FALSE)</f>
        <v>Active</v>
      </c>
      <c r="H2892" s="43" t="s">
        <v>2343</v>
      </c>
      <c r="I2892" s="43" t="s">
        <v>2377</v>
      </c>
      <c r="J2892" s="43" t="s">
        <v>2394</v>
      </c>
      <c r="K2892" s="44" t="s">
        <v>4952</v>
      </c>
      <c r="L2892" s="44" t="s">
        <v>2333</v>
      </c>
      <c r="M2892" s="43">
        <v>36</v>
      </c>
      <c r="N2892" s="113"/>
      <c r="O2892" s="113"/>
      <c r="P2892" s="113"/>
      <c r="Q2892" s="113"/>
      <c r="R2892" s="113"/>
      <c r="S2892" s="113" t="s">
        <v>1113</v>
      </c>
      <c r="T2892" s="113"/>
      <c r="U2892" s="113"/>
      <c r="V2892" s="113"/>
      <c r="W2892" s="113"/>
      <c r="X2892" s="113"/>
      <c r="Y2892" s="113"/>
      <c r="Z2892" s="113"/>
      <c r="AA2892" s="113"/>
      <c r="AB2892" s="113"/>
      <c r="AC2892" s="113"/>
      <c r="AD2892" s="113"/>
      <c r="AE2892" s="113"/>
      <c r="AF2892" s="113"/>
      <c r="AG2892" s="113"/>
      <c r="AH2892" s="113"/>
      <c r="AI2892" s="113"/>
      <c r="AJ2892" s="113"/>
      <c r="AK2892" s="113" t="s">
        <v>1113</v>
      </c>
      <c r="AL2892" s="113"/>
      <c r="AM2892" s="113"/>
      <c r="AN2892" s="113"/>
      <c r="AO2892" s="43"/>
      <c r="AP2892" s="43"/>
      <c r="AQ2892" s="233" t="str">
        <f>VLOOKUP(Table8[[#This Row],[Instrument]],Def_Targets!$D$73:$E$159,2,FALSE)</f>
        <v>A_TDM</v>
      </c>
      <c r="AR2892" s="242" t="str">
        <f>VLOOKUP(Table8[[#This Row],[Country Code]],Table29[],3,FALSE)</f>
        <v>Annex I</v>
      </c>
      <c r="AS2892" s="242" t="str">
        <f>VLOOKUP(Table8[[#This Row],[Country Code]],Table29[],4,FALSE)</f>
        <v>Asia</v>
      </c>
      <c r="AT2892" s="242" t="str">
        <f>VLOOKUP(Table8[[#This Row],[Country Code]],Table29[],5,FALSE)</f>
        <v>Middle-income</v>
      </c>
      <c r="AU2892" s="242" t="str">
        <f>VLOOKUP(Table8[[#This Row],[Country Code]],Table29[],6,FALSE)</f>
        <v>G20</v>
      </c>
      <c r="AV2892" s="242" t="str">
        <f>VLOOKUP(Table8[[#This Row],[Country Code]],Table29[],7,FALSE)</f>
        <v>no</v>
      </c>
      <c r="AW2892" s="242" t="str">
        <f>VLOOKUP(Table8[[#This Row],[Country Code]],Table29[],8,FALSE)</f>
        <v>OECD</v>
      </c>
      <c r="AX2892" s="242" t="str">
        <f>VLOOKUP(Table8[[#This Row],[Country Code]],Table29[],9,FALSE)</f>
        <v>no</v>
      </c>
      <c r="AY2892" s="242" t="str">
        <f>VLOOKUP(Table8[[#This Row],[Country Code]],Table29[],10,FALSE)</f>
        <v>no</v>
      </c>
      <c r="AZ2892" s="242">
        <f>VLOOKUP(Table8[[#This Row],[Country Code]],Table29[],23,FALSE)</f>
        <v>606.42985584790995</v>
      </c>
      <c r="BA2892" s="242">
        <f>VLOOKUP(Table8[[#This Row],[Country Code]],Table29[],24,FALSE)</f>
        <v>95.92080354160332</v>
      </c>
      <c r="BB2892" s="320"/>
      <c r="BC2892" s="320"/>
    </row>
    <row r="2893" spans="1:55" ht="45" hidden="1" x14ac:dyDescent="0.25">
      <c r="A2893" s="373">
        <v>43788</v>
      </c>
      <c r="B2893" s="243" t="str">
        <f>VLOOKUP(Table8[[#This Row],[Document ID]],Table1[],2,FALSE)</f>
        <v>TUR</v>
      </c>
      <c r="C2893" s="243" t="str">
        <f>VLOOKUP(Table8[[#This Row],[Document ID]],Table1[],3,FALSE)</f>
        <v>Türkiye</v>
      </c>
      <c r="D2893" s="243" t="str">
        <f>VLOOKUP(Table8[[#This Row],[Document ID]],Table1[],5,FALSE)</f>
        <v>LTS</v>
      </c>
      <c r="E2893" s="233" t="str">
        <f>VLOOKUP(Table8[[#This Row],[Document ID]],Table1[],7,FALSE)</f>
        <v>LTS</v>
      </c>
      <c r="F2893" s="233" t="str">
        <f>VLOOKUP(Table8[[#This Row],[Document ID]],Table1[],8,FALSE)</f>
        <v>LTS 1.0</v>
      </c>
      <c r="G2893" s="233" t="str">
        <f>VLOOKUP(Table8[[#This Row],[Document ID]],Table1[],10,FALSE)</f>
        <v>Active</v>
      </c>
      <c r="H2893" s="43" t="s">
        <v>2350</v>
      </c>
      <c r="I2893" s="43" t="s">
        <v>2351</v>
      </c>
      <c r="J2893" s="43" t="s">
        <v>2427</v>
      </c>
      <c r="K2893" s="44" t="s">
        <v>4952</v>
      </c>
      <c r="L2893" s="44" t="s">
        <v>2333</v>
      </c>
      <c r="M2893" s="43">
        <v>36</v>
      </c>
      <c r="N2893" s="113"/>
      <c r="O2893" s="113"/>
      <c r="P2893" s="113"/>
      <c r="Q2893" s="113"/>
      <c r="R2893" s="113"/>
      <c r="S2893" s="113" t="s">
        <v>1113</v>
      </c>
      <c r="T2893" s="113"/>
      <c r="U2893" s="113"/>
      <c r="V2893" s="113"/>
      <c r="W2893" s="113"/>
      <c r="X2893" s="113"/>
      <c r="Y2893" s="113"/>
      <c r="Z2893" s="113"/>
      <c r="AA2893" s="113"/>
      <c r="AB2893" s="113"/>
      <c r="AC2893" s="113"/>
      <c r="AD2893" s="113"/>
      <c r="AE2893" s="113"/>
      <c r="AF2893" s="113"/>
      <c r="AG2893" s="113"/>
      <c r="AH2893" s="113"/>
      <c r="AI2893" s="113"/>
      <c r="AJ2893" s="113"/>
      <c r="AK2893" s="113" t="s">
        <v>1113</v>
      </c>
      <c r="AL2893" s="113"/>
      <c r="AM2893" s="113"/>
      <c r="AN2893" s="113"/>
      <c r="AO2893" s="43" t="s">
        <v>2353</v>
      </c>
      <c r="AP2893" s="43" t="s">
        <v>4850</v>
      </c>
      <c r="AQ2893" s="233" t="str">
        <f>VLOOKUP(Table8[[#This Row],[Instrument]],Def_Targets!$D$73:$E$159,2,FALSE)</f>
        <v>I_Load</v>
      </c>
      <c r="AR2893" s="242" t="str">
        <f>VLOOKUP(Table8[[#This Row],[Country Code]],Table29[],3,FALSE)</f>
        <v>Annex I</v>
      </c>
      <c r="AS2893" s="242" t="str">
        <f>VLOOKUP(Table8[[#This Row],[Country Code]],Table29[],4,FALSE)</f>
        <v>Asia</v>
      </c>
      <c r="AT2893" s="242" t="str">
        <f>VLOOKUP(Table8[[#This Row],[Country Code]],Table29[],5,FALSE)</f>
        <v>Middle-income</v>
      </c>
      <c r="AU2893" s="242" t="str">
        <f>VLOOKUP(Table8[[#This Row],[Country Code]],Table29[],6,FALSE)</f>
        <v>G20</v>
      </c>
      <c r="AV2893" s="242" t="str">
        <f>VLOOKUP(Table8[[#This Row],[Country Code]],Table29[],7,FALSE)</f>
        <v>no</v>
      </c>
      <c r="AW2893" s="242" t="str">
        <f>VLOOKUP(Table8[[#This Row],[Country Code]],Table29[],8,FALSE)</f>
        <v>OECD</v>
      </c>
      <c r="AX2893" s="242" t="str">
        <f>VLOOKUP(Table8[[#This Row],[Country Code]],Table29[],9,FALSE)</f>
        <v>no</v>
      </c>
      <c r="AY2893" s="242" t="str">
        <f>VLOOKUP(Table8[[#This Row],[Country Code]],Table29[],10,FALSE)</f>
        <v>no</v>
      </c>
      <c r="AZ2893" s="242">
        <f>VLOOKUP(Table8[[#This Row],[Country Code]],Table29[],23,FALSE)</f>
        <v>606.42985584790995</v>
      </c>
      <c r="BA2893" s="242">
        <f>VLOOKUP(Table8[[#This Row],[Country Code]],Table29[],24,FALSE)</f>
        <v>95.92080354160332</v>
      </c>
      <c r="BB2893" s="320"/>
      <c r="BC2893" s="320"/>
    </row>
    <row r="2894" spans="1:55" ht="45" hidden="1" x14ac:dyDescent="0.25">
      <c r="A2894" s="373">
        <v>43788</v>
      </c>
      <c r="B2894" s="243" t="str">
        <f>VLOOKUP(Table8[[#This Row],[Document ID]],Table1[],2,FALSE)</f>
        <v>TUR</v>
      </c>
      <c r="C2894" s="243" t="str">
        <f>VLOOKUP(Table8[[#This Row],[Document ID]],Table1[],3,FALSE)</f>
        <v>Türkiye</v>
      </c>
      <c r="D2894" s="243" t="str">
        <f>VLOOKUP(Table8[[#This Row],[Document ID]],Table1[],5,FALSE)</f>
        <v>LTS</v>
      </c>
      <c r="E2894" s="233" t="str">
        <f>VLOOKUP(Table8[[#This Row],[Document ID]],Table1[],7,FALSE)</f>
        <v>LTS</v>
      </c>
      <c r="F2894" s="233" t="str">
        <f>VLOOKUP(Table8[[#This Row],[Document ID]],Table1[],8,FALSE)</f>
        <v>LTS 1.0</v>
      </c>
      <c r="G2894" s="233" t="str">
        <f>VLOOKUP(Table8[[#This Row],[Document ID]],Table1[],10,FALSE)</f>
        <v>Active</v>
      </c>
      <c r="H2894" s="43" t="s">
        <v>2343</v>
      </c>
      <c r="I2894" s="43" t="s">
        <v>2344</v>
      </c>
      <c r="J2894" s="43" t="s">
        <v>2405</v>
      </c>
      <c r="K2894" s="44" t="s">
        <v>4953</v>
      </c>
      <c r="L2894" s="44" t="s">
        <v>2333</v>
      </c>
      <c r="M2894" s="43">
        <v>36</v>
      </c>
      <c r="N2894" s="113"/>
      <c r="O2894" s="113"/>
      <c r="P2894" s="113"/>
      <c r="Q2894" s="113"/>
      <c r="R2894" s="113"/>
      <c r="S2894" s="113"/>
      <c r="T2894" s="113"/>
      <c r="U2894" s="113"/>
      <c r="V2894" s="113"/>
      <c r="W2894" s="113"/>
      <c r="X2894" s="113"/>
      <c r="Y2894" s="113" t="s">
        <v>1113</v>
      </c>
      <c r="Z2894" s="113"/>
      <c r="AA2894" s="113"/>
      <c r="AB2894" s="113"/>
      <c r="AC2894" s="113" t="s">
        <v>1113</v>
      </c>
      <c r="AD2894" s="113"/>
      <c r="AE2894" s="113"/>
      <c r="AF2894" s="113"/>
      <c r="AG2894" s="113"/>
      <c r="AH2894" s="113"/>
      <c r="AI2894" s="113"/>
      <c r="AJ2894" s="113"/>
      <c r="AK2894" s="113"/>
      <c r="AL2894" s="113" t="s">
        <v>1113</v>
      </c>
      <c r="AM2894" s="113"/>
      <c r="AN2894" s="113"/>
      <c r="AO2894" s="43" t="s">
        <v>2348</v>
      </c>
      <c r="AP2894" s="43" t="s">
        <v>4850</v>
      </c>
      <c r="AQ2894" s="233" t="str">
        <f>VLOOKUP(Table8[[#This Row],[Instrument]],Def_Targets!$D$73:$E$159,2,FALSE)</f>
        <v>S_PTIntegration</v>
      </c>
      <c r="AR2894" s="242" t="str">
        <f>VLOOKUP(Table8[[#This Row],[Country Code]],Table29[],3,FALSE)</f>
        <v>Annex I</v>
      </c>
      <c r="AS2894" s="242" t="str">
        <f>VLOOKUP(Table8[[#This Row],[Country Code]],Table29[],4,FALSE)</f>
        <v>Asia</v>
      </c>
      <c r="AT2894" s="242" t="str">
        <f>VLOOKUP(Table8[[#This Row],[Country Code]],Table29[],5,FALSE)</f>
        <v>Middle-income</v>
      </c>
      <c r="AU2894" s="242" t="str">
        <f>VLOOKUP(Table8[[#This Row],[Country Code]],Table29[],6,FALSE)</f>
        <v>G20</v>
      </c>
      <c r="AV2894" s="242" t="str">
        <f>VLOOKUP(Table8[[#This Row],[Country Code]],Table29[],7,FALSE)</f>
        <v>no</v>
      </c>
      <c r="AW2894" s="242" t="str">
        <f>VLOOKUP(Table8[[#This Row],[Country Code]],Table29[],8,FALSE)</f>
        <v>OECD</v>
      </c>
      <c r="AX2894" s="242" t="str">
        <f>VLOOKUP(Table8[[#This Row],[Country Code]],Table29[],9,FALSE)</f>
        <v>no</v>
      </c>
      <c r="AY2894" s="242" t="str">
        <f>VLOOKUP(Table8[[#This Row],[Country Code]],Table29[],10,FALSE)</f>
        <v>no</v>
      </c>
      <c r="AZ2894" s="242">
        <f>VLOOKUP(Table8[[#This Row],[Country Code]],Table29[],23,FALSE)</f>
        <v>606.42985584790995</v>
      </c>
      <c r="BA2894" s="242">
        <f>VLOOKUP(Table8[[#This Row],[Country Code]],Table29[],24,FALSE)</f>
        <v>95.92080354160332</v>
      </c>
      <c r="BB2894" s="320"/>
      <c r="BC2894" s="320"/>
    </row>
    <row r="2895" spans="1:55" ht="30" hidden="1" x14ac:dyDescent="0.25">
      <c r="A2895" s="373">
        <v>43788</v>
      </c>
      <c r="B2895" s="243" t="str">
        <f>VLOOKUP(Table8[[#This Row],[Document ID]],Table1[],2,FALSE)</f>
        <v>TUR</v>
      </c>
      <c r="C2895" s="243" t="str">
        <f>VLOOKUP(Table8[[#This Row],[Document ID]],Table1[],3,FALSE)</f>
        <v>Türkiye</v>
      </c>
      <c r="D2895" s="243" t="str">
        <f>VLOOKUP(Table8[[#This Row],[Document ID]],Table1[],5,FALSE)</f>
        <v>LTS</v>
      </c>
      <c r="E2895" s="233" t="str">
        <f>VLOOKUP(Table8[[#This Row],[Document ID]],Table1[],7,FALSE)</f>
        <v>LTS</v>
      </c>
      <c r="F2895" s="233" t="str">
        <f>VLOOKUP(Table8[[#This Row],[Document ID]],Table1[],8,FALSE)</f>
        <v>LTS 1.0</v>
      </c>
      <c r="G2895" s="233" t="str">
        <f>VLOOKUP(Table8[[#This Row],[Document ID]],Table1[],10,FALSE)</f>
        <v>Active</v>
      </c>
      <c r="H2895" s="43" t="s">
        <v>2343</v>
      </c>
      <c r="I2895" s="43" t="s">
        <v>2429</v>
      </c>
      <c r="J2895" s="43" t="s">
        <v>2513</v>
      </c>
      <c r="K2895" s="44" t="s">
        <v>4954</v>
      </c>
      <c r="L2895" s="44" t="s">
        <v>2333</v>
      </c>
      <c r="M2895" s="43" t="s">
        <v>4955</v>
      </c>
      <c r="N2895" s="113"/>
      <c r="O2895" s="113"/>
      <c r="P2895" s="113"/>
      <c r="Q2895" s="113"/>
      <c r="R2895" s="113"/>
      <c r="S2895" s="113"/>
      <c r="T2895" s="113"/>
      <c r="U2895" s="113" t="s">
        <v>1113</v>
      </c>
      <c r="V2895" s="113"/>
      <c r="W2895" s="113"/>
      <c r="X2895" s="113"/>
      <c r="Y2895" s="113"/>
      <c r="Z2895" s="113"/>
      <c r="AA2895" s="113"/>
      <c r="AB2895" s="113"/>
      <c r="AC2895" s="113"/>
      <c r="AD2895" s="113"/>
      <c r="AE2895" s="113"/>
      <c r="AF2895" s="113"/>
      <c r="AG2895" s="113"/>
      <c r="AH2895" s="113"/>
      <c r="AI2895" s="113"/>
      <c r="AJ2895" s="113"/>
      <c r="AK2895" s="113" t="s">
        <v>1113</v>
      </c>
      <c r="AL2895" s="113"/>
      <c r="AM2895" s="113"/>
      <c r="AN2895" s="113"/>
      <c r="AO2895" s="43" t="s">
        <v>2348</v>
      </c>
      <c r="AP2895" s="43" t="s">
        <v>4850</v>
      </c>
      <c r="AQ2895" s="233" t="str">
        <f>VLOOKUP(Table8[[#This Row],[Instrument]],Def_Targets!$D$73:$E$159,2,FALSE)</f>
        <v>S_Sharedmob</v>
      </c>
      <c r="AR2895" s="242" t="str">
        <f>VLOOKUP(Table8[[#This Row],[Country Code]],Table29[],3,FALSE)</f>
        <v>Annex I</v>
      </c>
      <c r="AS2895" s="242" t="str">
        <f>VLOOKUP(Table8[[#This Row],[Country Code]],Table29[],4,FALSE)</f>
        <v>Asia</v>
      </c>
      <c r="AT2895" s="242" t="str">
        <f>VLOOKUP(Table8[[#This Row],[Country Code]],Table29[],5,FALSE)</f>
        <v>Middle-income</v>
      </c>
      <c r="AU2895" s="242" t="str">
        <f>VLOOKUP(Table8[[#This Row],[Country Code]],Table29[],6,FALSE)</f>
        <v>G20</v>
      </c>
      <c r="AV2895" s="242" t="str">
        <f>VLOOKUP(Table8[[#This Row],[Country Code]],Table29[],7,FALSE)</f>
        <v>no</v>
      </c>
      <c r="AW2895" s="242" t="str">
        <f>VLOOKUP(Table8[[#This Row],[Country Code]],Table29[],8,FALSE)</f>
        <v>OECD</v>
      </c>
      <c r="AX2895" s="242" t="str">
        <f>VLOOKUP(Table8[[#This Row],[Country Code]],Table29[],9,FALSE)</f>
        <v>no</v>
      </c>
      <c r="AY2895" s="242" t="str">
        <f>VLOOKUP(Table8[[#This Row],[Country Code]],Table29[],10,FALSE)</f>
        <v>no</v>
      </c>
      <c r="AZ2895" s="242">
        <f>VLOOKUP(Table8[[#This Row],[Country Code]],Table29[],23,FALSE)</f>
        <v>606.42985584790995</v>
      </c>
      <c r="BA2895" s="242">
        <f>VLOOKUP(Table8[[#This Row],[Country Code]],Table29[],24,FALSE)</f>
        <v>95.92080354160332</v>
      </c>
      <c r="BB2895" s="320"/>
      <c r="BC2895" s="320"/>
    </row>
    <row r="2896" spans="1:55" ht="45" hidden="1" x14ac:dyDescent="0.25">
      <c r="A2896" s="373">
        <v>43788</v>
      </c>
      <c r="B2896" s="243" t="str">
        <f>VLOOKUP(Table8[[#This Row],[Document ID]],Table1[],2,FALSE)</f>
        <v>TUR</v>
      </c>
      <c r="C2896" s="243" t="str">
        <f>VLOOKUP(Table8[[#This Row],[Document ID]],Table1[],3,FALSE)</f>
        <v>Türkiye</v>
      </c>
      <c r="D2896" s="243" t="str">
        <f>VLOOKUP(Table8[[#This Row],[Document ID]],Table1[],5,FALSE)</f>
        <v>LTS</v>
      </c>
      <c r="E2896" s="233" t="str">
        <f>VLOOKUP(Table8[[#This Row],[Document ID]],Table1[],7,FALSE)</f>
        <v>LTS</v>
      </c>
      <c r="F2896" s="233" t="str">
        <f>VLOOKUP(Table8[[#This Row],[Document ID]],Table1[],8,FALSE)</f>
        <v>LTS 1.0</v>
      </c>
      <c r="G2896" s="233" t="str">
        <f>VLOOKUP(Table8[[#This Row],[Document ID]],Table1[],10,FALSE)</f>
        <v>Active</v>
      </c>
      <c r="H2896" s="43" t="s">
        <v>2343</v>
      </c>
      <c r="I2896" s="43" t="s">
        <v>2429</v>
      </c>
      <c r="J2896" s="43" t="s">
        <v>2430</v>
      </c>
      <c r="K2896" s="44" t="s">
        <v>4956</v>
      </c>
      <c r="L2896" s="44" t="s">
        <v>2333</v>
      </c>
      <c r="M2896" s="43">
        <v>37</v>
      </c>
      <c r="N2896" s="113" t="s">
        <v>1113</v>
      </c>
      <c r="O2896" s="113"/>
      <c r="P2896" s="113"/>
      <c r="Q2896" s="113"/>
      <c r="R2896" s="113"/>
      <c r="S2896" s="113"/>
      <c r="T2896" s="113"/>
      <c r="U2896" s="113"/>
      <c r="V2896" s="113"/>
      <c r="W2896" s="113"/>
      <c r="X2896" s="113"/>
      <c r="Y2896" s="113"/>
      <c r="Z2896" s="113"/>
      <c r="AA2896" s="113"/>
      <c r="AB2896" s="113"/>
      <c r="AC2896" s="113"/>
      <c r="AD2896" s="113"/>
      <c r="AE2896" s="113"/>
      <c r="AF2896" s="113"/>
      <c r="AG2896" s="113"/>
      <c r="AH2896" s="113"/>
      <c r="AI2896" s="113"/>
      <c r="AJ2896" s="113"/>
      <c r="AK2896" s="113" t="s">
        <v>1113</v>
      </c>
      <c r="AL2896" s="113"/>
      <c r="AM2896" s="113"/>
      <c r="AN2896" s="113"/>
      <c r="AO2896" s="43" t="s">
        <v>2334</v>
      </c>
      <c r="AP2896" s="43" t="s">
        <v>4850</v>
      </c>
      <c r="AQ2896" s="233" t="str">
        <f>VLOOKUP(Table8[[#This Row],[Instrument]],Def_Targets!$D$73:$E$159,2,FALSE)</f>
        <v>I_ITS</v>
      </c>
      <c r="AR2896" s="242" t="str">
        <f>VLOOKUP(Table8[[#This Row],[Country Code]],Table29[],3,FALSE)</f>
        <v>Annex I</v>
      </c>
      <c r="AS2896" s="242" t="str">
        <f>VLOOKUP(Table8[[#This Row],[Country Code]],Table29[],4,FALSE)</f>
        <v>Asia</v>
      </c>
      <c r="AT2896" s="242" t="str">
        <f>VLOOKUP(Table8[[#This Row],[Country Code]],Table29[],5,FALSE)</f>
        <v>Middle-income</v>
      </c>
      <c r="AU2896" s="242" t="str">
        <f>VLOOKUP(Table8[[#This Row],[Country Code]],Table29[],6,FALSE)</f>
        <v>G20</v>
      </c>
      <c r="AV2896" s="242" t="str">
        <f>VLOOKUP(Table8[[#This Row],[Country Code]],Table29[],7,FALSE)</f>
        <v>no</v>
      </c>
      <c r="AW2896" s="242" t="str">
        <f>VLOOKUP(Table8[[#This Row],[Country Code]],Table29[],8,FALSE)</f>
        <v>OECD</v>
      </c>
      <c r="AX2896" s="242" t="str">
        <f>VLOOKUP(Table8[[#This Row],[Country Code]],Table29[],9,FALSE)</f>
        <v>no</v>
      </c>
      <c r="AY2896" s="242" t="str">
        <f>VLOOKUP(Table8[[#This Row],[Country Code]],Table29[],10,FALSE)</f>
        <v>no</v>
      </c>
      <c r="AZ2896" s="242">
        <f>VLOOKUP(Table8[[#This Row],[Country Code]],Table29[],23,FALSE)</f>
        <v>606.42985584790995</v>
      </c>
      <c r="BA2896" s="242">
        <f>VLOOKUP(Table8[[#This Row],[Country Code]],Table29[],24,FALSE)</f>
        <v>95.92080354160332</v>
      </c>
      <c r="BB2896" s="320"/>
      <c r="BC2896" s="320"/>
    </row>
    <row r="2897" spans="1:55" ht="30" hidden="1" x14ac:dyDescent="0.25">
      <c r="A2897" s="373">
        <v>43788</v>
      </c>
      <c r="B2897" s="243" t="str">
        <f>VLOOKUP(Table8[[#This Row],[Document ID]],Table1[],2,FALSE)</f>
        <v>TUR</v>
      </c>
      <c r="C2897" s="243" t="str">
        <f>VLOOKUP(Table8[[#This Row],[Document ID]],Table1[],3,FALSE)</f>
        <v>Türkiye</v>
      </c>
      <c r="D2897" s="243" t="str">
        <f>VLOOKUP(Table8[[#This Row],[Document ID]],Table1[],5,FALSE)</f>
        <v>LTS</v>
      </c>
      <c r="E2897" s="233" t="str">
        <f>VLOOKUP(Table8[[#This Row],[Document ID]],Table1[],7,FALSE)</f>
        <v>LTS</v>
      </c>
      <c r="F2897" s="233" t="str">
        <f>VLOOKUP(Table8[[#This Row],[Document ID]],Table1[],8,FALSE)</f>
        <v>LTS 1.0</v>
      </c>
      <c r="G2897" s="233" t="str">
        <f>VLOOKUP(Table8[[#This Row],[Document ID]],Table1[],10,FALSE)</f>
        <v>Active</v>
      </c>
      <c r="H2897" s="43" t="s">
        <v>2350</v>
      </c>
      <c r="I2897" s="43" t="s">
        <v>2407</v>
      </c>
      <c r="J2897" s="43" t="s">
        <v>2592</v>
      </c>
      <c r="K2897" s="44" t="s">
        <v>4957</v>
      </c>
      <c r="L2897" s="44" t="s">
        <v>2333</v>
      </c>
      <c r="M2897" s="43">
        <v>37</v>
      </c>
      <c r="N2897" s="113"/>
      <c r="O2897" s="113"/>
      <c r="P2897" s="113"/>
      <c r="Q2897" s="113"/>
      <c r="R2897" s="113"/>
      <c r="S2897" s="113"/>
      <c r="T2897" s="113"/>
      <c r="U2897" s="113"/>
      <c r="V2897" s="113"/>
      <c r="W2897" s="113"/>
      <c r="X2897" s="113"/>
      <c r="Y2897" s="113"/>
      <c r="Z2897" s="113" t="s">
        <v>1113</v>
      </c>
      <c r="AA2897" s="113"/>
      <c r="AB2897" s="113"/>
      <c r="AC2897" s="113"/>
      <c r="AD2897" s="113"/>
      <c r="AE2897" s="113"/>
      <c r="AF2897" s="113"/>
      <c r="AG2897" s="113"/>
      <c r="AH2897" s="113"/>
      <c r="AI2897" s="113"/>
      <c r="AJ2897" s="113"/>
      <c r="AK2897" s="113" t="s">
        <v>1113</v>
      </c>
      <c r="AL2897" s="113"/>
      <c r="AM2897" s="113"/>
      <c r="AN2897" s="113"/>
      <c r="AO2897" s="43" t="s">
        <v>2334</v>
      </c>
      <c r="AP2897" s="43" t="s">
        <v>4850</v>
      </c>
      <c r="AQ2897" s="233" t="str">
        <f>VLOOKUP(Table8[[#This Row],[Instrument]],Def_Targets!$D$73:$E$159,2,FALSE)</f>
        <v>I_Ecodriving</v>
      </c>
      <c r="AR2897" s="242" t="str">
        <f>VLOOKUP(Table8[[#This Row],[Country Code]],Table29[],3,FALSE)</f>
        <v>Annex I</v>
      </c>
      <c r="AS2897" s="242" t="str">
        <f>VLOOKUP(Table8[[#This Row],[Country Code]],Table29[],4,FALSE)</f>
        <v>Asia</v>
      </c>
      <c r="AT2897" s="242" t="str">
        <f>VLOOKUP(Table8[[#This Row],[Country Code]],Table29[],5,FALSE)</f>
        <v>Middle-income</v>
      </c>
      <c r="AU2897" s="242" t="str">
        <f>VLOOKUP(Table8[[#This Row],[Country Code]],Table29[],6,FALSE)</f>
        <v>G20</v>
      </c>
      <c r="AV2897" s="242" t="str">
        <f>VLOOKUP(Table8[[#This Row],[Country Code]],Table29[],7,FALSE)</f>
        <v>no</v>
      </c>
      <c r="AW2897" s="242" t="str">
        <f>VLOOKUP(Table8[[#This Row],[Country Code]],Table29[],8,FALSE)</f>
        <v>OECD</v>
      </c>
      <c r="AX2897" s="242" t="str">
        <f>VLOOKUP(Table8[[#This Row],[Country Code]],Table29[],9,FALSE)</f>
        <v>no</v>
      </c>
      <c r="AY2897" s="242" t="str">
        <f>VLOOKUP(Table8[[#This Row],[Country Code]],Table29[],10,FALSE)</f>
        <v>no</v>
      </c>
      <c r="AZ2897" s="242">
        <f>VLOOKUP(Table8[[#This Row],[Country Code]],Table29[],23,FALSE)</f>
        <v>606.42985584790995</v>
      </c>
      <c r="BA2897" s="242">
        <f>VLOOKUP(Table8[[#This Row],[Country Code]],Table29[],24,FALSE)</f>
        <v>95.92080354160332</v>
      </c>
      <c r="BB2897" s="320"/>
      <c r="BC2897" s="320"/>
    </row>
    <row r="2898" spans="1:55" ht="60" hidden="1" x14ac:dyDescent="0.25">
      <c r="A2898" s="373">
        <v>43788</v>
      </c>
      <c r="B2898" s="243" t="str">
        <f>VLOOKUP(Table8[[#This Row],[Document ID]],Table1[],2,FALSE)</f>
        <v>TUR</v>
      </c>
      <c r="C2898" s="243" t="str">
        <f>VLOOKUP(Table8[[#This Row],[Document ID]],Table1[],3,FALSE)</f>
        <v>Türkiye</v>
      </c>
      <c r="D2898" s="243" t="str">
        <f>VLOOKUP(Table8[[#This Row],[Document ID]],Table1[],5,FALSE)</f>
        <v>LTS</v>
      </c>
      <c r="E2898" s="233" t="str">
        <f>VLOOKUP(Table8[[#This Row],[Document ID]],Table1[],7,FALSE)</f>
        <v>LTS</v>
      </c>
      <c r="F2898" s="233" t="str">
        <f>VLOOKUP(Table8[[#This Row],[Document ID]],Table1[],8,FALSE)</f>
        <v>LTS 1.0</v>
      </c>
      <c r="G2898" s="233" t="str">
        <f>VLOOKUP(Table8[[#This Row],[Document ID]],Table1[],10,FALSE)</f>
        <v>Active</v>
      </c>
      <c r="H2898" s="43" t="s">
        <v>2350</v>
      </c>
      <c r="I2898" s="43" t="s">
        <v>2370</v>
      </c>
      <c r="J2898" s="43" t="s">
        <v>2418</v>
      </c>
      <c r="K2898" s="44" t="s">
        <v>4958</v>
      </c>
      <c r="L2898" s="44" t="s">
        <v>2333</v>
      </c>
      <c r="M2898" s="43">
        <v>37</v>
      </c>
      <c r="N2898" s="113"/>
      <c r="O2898" s="113"/>
      <c r="P2898" s="113"/>
      <c r="Q2898" s="113" t="s">
        <v>1113</v>
      </c>
      <c r="R2898" s="113" t="s">
        <v>1113</v>
      </c>
      <c r="S2898" s="113"/>
      <c r="T2898" s="113"/>
      <c r="U2898" s="113"/>
      <c r="V2898" s="113"/>
      <c r="W2898" s="113"/>
      <c r="X2898" s="113"/>
      <c r="Y2898" s="113" t="s">
        <v>1113</v>
      </c>
      <c r="Z2898" s="113"/>
      <c r="AA2898" s="113"/>
      <c r="AB2898" s="113"/>
      <c r="AC2898" s="113" t="s">
        <v>1113</v>
      </c>
      <c r="AD2898" s="113"/>
      <c r="AE2898" s="113"/>
      <c r="AF2898" s="113"/>
      <c r="AG2898" s="113"/>
      <c r="AH2898" s="113"/>
      <c r="AI2898" s="113"/>
      <c r="AJ2898" s="113"/>
      <c r="AK2898" s="113"/>
      <c r="AL2898" s="113" t="s">
        <v>1113</v>
      </c>
      <c r="AM2898" s="113"/>
      <c r="AN2898" s="113"/>
      <c r="AO2898" s="43"/>
      <c r="AP2898" s="43"/>
      <c r="AQ2898" s="233" t="str">
        <f>VLOOKUP(Table8[[#This Row],[Instrument]],Def_Targets!$D$73:$E$159,2,FALSE)</f>
        <v>A_Complan</v>
      </c>
      <c r="AR2898" s="242" t="str">
        <f>VLOOKUP(Table8[[#This Row],[Country Code]],Table29[],3,FALSE)</f>
        <v>Annex I</v>
      </c>
      <c r="AS2898" s="242" t="str">
        <f>VLOOKUP(Table8[[#This Row],[Country Code]],Table29[],4,FALSE)</f>
        <v>Asia</v>
      </c>
      <c r="AT2898" s="242" t="str">
        <f>VLOOKUP(Table8[[#This Row],[Country Code]],Table29[],5,FALSE)</f>
        <v>Middle-income</v>
      </c>
      <c r="AU2898" s="242" t="str">
        <f>VLOOKUP(Table8[[#This Row],[Country Code]],Table29[],6,FALSE)</f>
        <v>G20</v>
      </c>
      <c r="AV2898" s="242" t="str">
        <f>VLOOKUP(Table8[[#This Row],[Country Code]],Table29[],7,FALSE)</f>
        <v>no</v>
      </c>
      <c r="AW2898" s="242" t="str">
        <f>VLOOKUP(Table8[[#This Row],[Country Code]],Table29[],8,FALSE)</f>
        <v>OECD</v>
      </c>
      <c r="AX2898" s="242" t="str">
        <f>VLOOKUP(Table8[[#This Row],[Country Code]],Table29[],9,FALSE)</f>
        <v>no</v>
      </c>
      <c r="AY2898" s="242" t="str">
        <f>VLOOKUP(Table8[[#This Row],[Country Code]],Table29[],10,FALSE)</f>
        <v>no</v>
      </c>
      <c r="AZ2898" s="242">
        <f>VLOOKUP(Table8[[#This Row],[Country Code]],Table29[],23,FALSE)</f>
        <v>606.42985584790995</v>
      </c>
      <c r="BA2898" s="242">
        <f>VLOOKUP(Table8[[#This Row],[Country Code]],Table29[],24,FALSE)</f>
        <v>95.92080354160332</v>
      </c>
      <c r="BB2898" s="320"/>
      <c r="BC2898" s="320"/>
    </row>
    <row r="2899" spans="1:55" ht="30" hidden="1" x14ac:dyDescent="0.25">
      <c r="A2899" s="373">
        <v>43788</v>
      </c>
      <c r="B2899" s="243" t="str">
        <f>VLOOKUP(Table8[[#This Row],[Document ID]],Table1[],2,FALSE)</f>
        <v>TUR</v>
      </c>
      <c r="C2899" s="243" t="str">
        <f>VLOOKUP(Table8[[#This Row],[Document ID]],Table1[],3,FALSE)</f>
        <v>Türkiye</v>
      </c>
      <c r="D2899" s="243" t="str">
        <f>VLOOKUP(Table8[[#This Row],[Document ID]],Table1[],5,FALSE)</f>
        <v>LTS</v>
      </c>
      <c r="E2899" s="233" t="str">
        <f>VLOOKUP(Table8[[#This Row],[Document ID]],Table1[],7,FALSE)</f>
        <v>LTS</v>
      </c>
      <c r="F2899" s="233" t="str">
        <f>VLOOKUP(Table8[[#This Row],[Document ID]],Table1[],8,FALSE)</f>
        <v>LTS 1.0</v>
      </c>
      <c r="G2899" s="233" t="str">
        <f>VLOOKUP(Table8[[#This Row],[Document ID]],Table1[],10,FALSE)</f>
        <v>Active</v>
      </c>
      <c r="H2899" s="43" t="s">
        <v>2484</v>
      </c>
      <c r="I2899" s="43" t="s">
        <v>2488</v>
      </c>
      <c r="J2899" s="43" t="s">
        <v>3207</v>
      </c>
      <c r="K2899" s="44" t="s">
        <v>4959</v>
      </c>
      <c r="L2899" s="44" t="s">
        <v>2333</v>
      </c>
      <c r="M2899" s="43">
        <v>37</v>
      </c>
      <c r="N2899" s="113"/>
      <c r="O2899" s="113"/>
      <c r="P2899" s="113"/>
      <c r="Q2899" s="113"/>
      <c r="R2899" s="113"/>
      <c r="S2899" s="113"/>
      <c r="T2899" s="113"/>
      <c r="U2899" s="113"/>
      <c r="V2899" s="113"/>
      <c r="W2899" s="113"/>
      <c r="X2899" s="113"/>
      <c r="Y2899" s="113"/>
      <c r="Z2899" s="113"/>
      <c r="AA2899" s="113"/>
      <c r="AB2899" s="113"/>
      <c r="AC2899" s="113"/>
      <c r="AD2899" s="113"/>
      <c r="AE2899" s="113"/>
      <c r="AF2899" s="113"/>
      <c r="AG2899" s="113"/>
      <c r="AH2899" s="113" t="s">
        <v>1113</v>
      </c>
      <c r="AI2899" s="113"/>
      <c r="AJ2899" s="113"/>
      <c r="AK2899" s="113" t="s">
        <v>1113</v>
      </c>
      <c r="AL2899" s="113"/>
      <c r="AM2899" s="113"/>
      <c r="AN2899" s="113"/>
      <c r="AO2899" s="43" t="s">
        <v>2334</v>
      </c>
      <c r="AP2899" s="43" t="s">
        <v>4850</v>
      </c>
      <c r="AQ2899" s="233" t="str">
        <f>VLOOKUP(Table8[[#This Row],[Instrument]],Def_Targets!$D$73:$E$159,2,FALSE)</f>
        <v>I_Aircraftfleet</v>
      </c>
      <c r="AR2899" s="242" t="str">
        <f>VLOOKUP(Table8[[#This Row],[Country Code]],Table29[],3,FALSE)</f>
        <v>Annex I</v>
      </c>
      <c r="AS2899" s="242" t="str">
        <f>VLOOKUP(Table8[[#This Row],[Country Code]],Table29[],4,FALSE)</f>
        <v>Asia</v>
      </c>
      <c r="AT2899" s="242" t="str">
        <f>VLOOKUP(Table8[[#This Row],[Country Code]],Table29[],5,FALSE)</f>
        <v>Middle-income</v>
      </c>
      <c r="AU2899" s="242" t="str">
        <f>VLOOKUP(Table8[[#This Row],[Country Code]],Table29[],6,FALSE)</f>
        <v>G20</v>
      </c>
      <c r="AV2899" s="242" t="str">
        <f>VLOOKUP(Table8[[#This Row],[Country Code]],Table29[],7,FALSE)</f>
        <v>no</v>
      </c>
      <c r="AW2899" s="242" t="str">
        <f>VLOOKUP(Table8[[#This Row],[Country Code]],Table29[],8,FALSE)</f>
        <v>OECD</v>
      </c>
      <c r="AX2899" s="242" t="str">
        <f>VLOOKUP(Table8[[#This Row],[Country Code]],Table29[],9,FALSE)</f>
        <v>no</v>
      </c>
      <c r="AY2899" s="242" t="str">
        <f>VLOOKUP(Table8[[#This Row],[Country Code]],Table29[],10,FALSE)</f>
        <v>no</v>
      </c>
      <c r="AZ2899" s="242">
        <f>VLOOKUP(Table8[[#This Row],[Country Code]],Table29[],23,FALSE)</f>
        <v>606.42985584790995</v>
      </c>
      <c r="BA2899" s="242">
        <f>VLOOKUP(Table8[[#This Row],[Country Code]],Table29[],24,FALSE)</f>
        <v>95.92080354160332</v>
      </c>
      <c r="BB2899" s="320"/>
      <c r="BC2899" s="320"/>
    </row>
    <row r="2900" spans="1:55" ht="30" hidden="1" x14ac:dyDescent="0.25">
      <c r="A2900" s="373">
        <v>43788</v>
      </c>
      <c r="B2900" s="243" t="str">
        <f>VLOOKUP(Table8[[#This Row],[Document ID]],Table1[],2,FALSE)</f>
        <v>TUR</v>
      </c>
      <c r="C2900" s="243" t="str">
        <f>VLOOKUP(Table8[[#This Row],[Document ID]],Table1[],3,FALSE)</f>
        <v>Türkiye</v>
      </c>
      <c r="D2900" s="243" t="str">
        <f>VLOOKUP(Table8[[#This Row],[Document ID]],Table1[],5,FALSE)</f>
        <v>LTS</v>
      </c>
      <c r="E2900" s="233" t="str">
        <f>VLOOKUP(Table8[[#This Row],[Document ID]],Table1[],7,FALSE)</f>
        <v>LTS</v>
      </c>
      <c r="F2900" s="233" t="str">
        <f>VLOOKUP(Table8[[#This Row],[Document ID]],Table1[],8,FALSE)</f>
        <v>LTS 1.0</v>
      </c>
      <c r="G2900" s="233" t="str">
        <f>VLOOKUP(Table8[[#This Row],[Document ID]],Table1[],10,FALSE)</f>
        <v>Active</v>
      </c>
      <c r="H2900" s="43" t="s">
        <v>2484</v>
      </c>
      <c r="I2900" s="43" t="s">
        <v>2485</v>
      </c>
      <c r="J2900" s="43" t="s">
        <v>2486</v>
      </c>
      <c r="K2900" s="44" t="s">
        <v>4960</v>
      </c>
      <c r="L2900" s="44" t="s">
        <v>2333</v>
      </c>
      <c r="M2900" s="43">
        <v>37</v>
      </c>
      <c r="N2900" s="113"/>
      <c r="O2900" s="113"/>
      <c r="P2900" s="113"/>
      <c r="Q2900" s="113"/>
      <c r="R2900" s="113"/>
      <c r="S2900" s="113"/>
      <c r="T2900" s="113"/>
      <c r="U2900" s="113"/>
      <c r="V2900" s="113"/>
      <c r="W2900" s="113"/>
      <c r="X2900" s="113"/>
      <c r="Y2900" s="113"/>
      <c r="Z2900" s="113"/>
      <c r="AA2900" s="113"/>
      <c r="AB2900" s="113"/>
      <c r="AC2900" s="113"/>
      <c r="AD2900" s="113" t="s">
        <v>1113</v>
      </c>
      <c r="AE2900" s="113"/>
      <c r="AF2900" s="113"/>
      <c r="AG2900" s="113"/>
      <c r="AH2900" s="113"/>
      <c r="AI2900" s="113"/>
      <c r="AJ2900" s="113"/>
      <c r="AK2900" s="113"/>
      <c r="AL2900" s="113"/>
      <c r="AM2900" s="113"/>
      <c r="AN2900" s="113"/>
      <c r="AO2900" s="43" t="s">
        <v>2334</v>
      </c>
      <c r="AP2900" s="43" t="s">
        <v>4850</v>
      </c>
      <c r="AQ2900" s="233" t="str">
        <f>VLOOKUP(Table8[[#This Row],[Instrument]],Def_Targets!$D$73:$E$159,2,FALSE)</f>
        <v>I_Shipping</v>
      </c>
      <c r="AR2900" s="242" t="str">
        <f>VLOOKUP(Table8[[#This Row],[Country Code]],Table29[],3,FALSE)</f>
        <v>Annex I</v>
      </c>
      <c r="AS2900" s="242" t="str">
        <f>VLOOKUP(Table8[[#This Row],[Country Code]],Table29[],4,FALSE)</f>
        <v>Asia</v>
      </c>
      <c r="AT2900" s="242" t="str">
        <f>VLOOKUP(Table8[[#This Row],[Country Code]],Table29[],5,FALSE)</f>
        <v>Middle-income</v>
      </c>
      <c r="AU2900" s="242" t="str">
        <f>VLOOKUP(Table8[[#This Row],[Country Code]],Table29[],6,FALSE)</f>
        <v>G20</v>
      </c>
      <c r="AV2900" s="242" t="str">
        <f>VLOOKUP(Table8[[#This Row],[Country Code]],Table29[],7,FALSE)</f>
        <v>no</v>
      </c>
      <c r="AW2900" s="242" t="str">
        <f>VLOOKUP(Table8[[#This Row],[Country Code]],Table29[],8,FALSE)</f>
        <v>OECD</v>
      </c>
      <c r="AX2900" s="242" t="str">
        <f>VLOOKUP(Table8[[#This Row],[Country Code]],Table29[],9,FALSE)</f>
        <v>no</v>
      </c>
      <c r="AY2900" s="242" t="str">
        <f>VLOOKUP(Table8[[#This Row],[Country Code]],Table29[],10,FALSE)</f>
        <v>no</v>
      </c>
      <c r="AZ2900" s="242">
        <f>VLOOKUP(Table8[[#This Row],[Country Code]],Table29[],23,FALSE)</f>
        <v>606.42985584790995</v>
      </c>
      <c r="BA2900" s="242">
        <f>VLOOKUP(Table8[[#This Row],[Country Code]],Table29[],24,FALSE)</f>
        <v>95.92080354160332</v>
      </c>
      <c r="BB2900" s="320"/>
      <c r="BC2900" s="320"/>
    </row>
    <row r="2901" spans="1:55" ht="30" hidden="1" x14ac:dyDescent="0.25">
      <c r="A2901" s="373">
        <v>43788</v>
      </c>
      <c r="B2901" s="243" t="str">
        <f>VLOOKUP(Table8[[#This Row],[Document ID]],Table1[],2,FALSE)</f>
        <v>TUR</v>
      </c>
      <c r="C2901" s="243" t="str">
        <f>VLOOKUP(Table8[[#This Row],[Document ID]],Table1[],3,FALSE)</f>
        <v>Türkiye</v>
      </c>
      <c r="D2901" s="243" t="str">
        <f>VLOOKUP(Table8[[#This Row],[Document ID]],Table1[],5,FALSE)</f>
        <v>LTS</v>
      </c>
      <c r="E2901" s="233" t="str">
        <f>VLOOKUP(Table8[[#This Row],[Document ID]],Table1[],7,FALSE)</f>
        <v>LTS</v>
      </c>
      <c r="F2901" s="233" t="str">
        <f>VLOOKUP(Table8[[#This Row],[Document ID]],Table1[],8,FALSE)</f>
        <v>LTS 1.0</v>
      </c>
      <c r="G2901" s="233" t="str">
        <f>VLOOKUP(Table8[[#This Row],[Document ID]],Table1[],10,FALSE)</f>
        <v>Active</v>
      </c>
      <c r="H2901" s="43" t="s">
        <v>2343</v>
      </c>
      <c r="I2901" s="43" t="s">
        <v>2429</v>
      </c>
      <c r="J2901" s="43" t="s">
        <v>2472</v>
      </c>
      <c r="K2901" s="44" t="s">
        <v>4960</v>
      </c>
      <c r="L2901" s="44" t="s">
        <v>2333</v>
      </c>
      <c r="M2901" s="43">
        <v>37</v>
      </c>
      <c r="N2901" s="113"/>
      <c r="O2901" s="113"/>
      <c r="P2901" s="113"/>
      <c r="Q2901" s="113"/>
      <c r="R2901" s="113"/>
      <c r="S2901" s="113" t="s">
        <v>1113</v>
      </c>
      <c r="T2901" s="113"/>
      <c r="U2901" s="113"/>
      <c r="V2901" s="113"/>
      <c r="W2901" s="113"/>
      <c r="X2901" s="113"/>
      <c r="Y2901" s="113"/>
      <c r="Z2901" s="113"/>
      <c r="AA2901" s="113"/>
      <c r="AB2901" s="113"/>
      <c r="AC2901" s="113"/>
      <c r="AD2901" s="113"/>
      <c r="AE2901" s="113"/>
      <c r="AF2901" s="113"/>
      <c r="AG2901" s="113"/>
      <c r="AH2901" s="113"/>
      <c r="AI2901" s="113"/>
      <c r="AJ2901" s="113"/>
      <c r="AK2901" s="113"/>
      <c r="AL2901" s="113"/>
      <c r="AM2901" s="113"/>
      <c r="AN2901" s="113"/>
      <c r="AO2901" s="43" t="s">
        <v>2334</v>
      </c>
      <c r="AP2901" s="43" t="s">
        <v>4850</v>
      </c>
      <c r="AQ2901" s="233" t="str">
        <f>VLOOKUP(Table8[[#This Row],[Instrument]],Def_Targets!$D$73:$E$159,2,FALSE)</f>
        <v>I_Other</v>
      </c>
      <c r="AR2901" s="242" t="str">
        <f>VLOOKUP(Table8[[#This Row],[Country Code]],Table29[],3,FALSE)</f>
        <v>Annex I</v>
      </c>
      <c r="AS2901" s="242" t="str">
        <f>VLOOKUP(Table8[[#This Row],[Country Code]],Table29[],4,FALSE)</f>
        <v>Asia</v>
      </c>
      <c r="AT2901" s="242" t="str">
        <f>VLOOKUP(Table8[[#This Row],[Country Code]],Table29[],5,FALSE)</f>
        <v>Middle-income</v>
      </c>
      <c r="AU2901" s="242" t="str">
        <f>VLOOKUP(Table8[[#This Row],[Country Code]],Table29[],6,FALSE)</f>
        <v>G20</v>
      </c>
      <c r="AV2901" s="242" t="str">
        <f>VLOOKUP(Table8[[#This Row],[Country Code]],Table29[],7,FALSE)</f>
        <v>no</v>
      </c>
      <c r="AW2901" s="242" t="str">
        <f>VLOOKUP(Table8[[#This Row],[Country Code]],Table29[],8,FALSE)</f>
        <v>OECD</v>
      </c>
      <c r="AX2901" s="242" t="str">
        <f>VLOOKUP(Table8[[#This Row],[Country Code]],Table29[],9,FALSE)</f>
        <v>no</v>
      </c>
      <c r="AY2901" s="242" t="str">
        <f>VLOOKUP(Table8[[#This Row],[Country Code]],Table29[],10,FALSE)</f>
        <v>no</v>
      </c>
      <c r="AZ2901" s="242">
        <f>VLOOKUP(Table8[[#This Row],[Country Code]],Table29[],23,FALSE)</f>
        <v>606.42985584790995</v>
      </c>
      <c r="BA2901" s="242">
        <f>VLOOKUP(Table8[[#This Row],[Country Code]],Table29[],24,FALSE)</f>
        <v>95.92080354160332</v>
      </c>
      <c r="BB2901" s="320"/>
      <c r="BC2901" s="320"/>
    </row>
    <row r="2902" spans="1:55" ht="75" hidden="1" x14ac:dyDescent="0.25">
      <c r="A2902" s="373">
        <v>43788</v>
      </c>
      <c r="B2902" s="243" t="str">
        <f>VLOOKUP(Table8[[#This Row],[Document ID]],Table1[],2,FALSE)</f>
        <v>TUR</v>
      </c>
      <c r="C2902" s="243" t="str">
        <f>VLOOKUP(Table8[[#This Row],[Document ID]],Table1[],3,FALSE)</f>
        <v>Türkiye</v>
      </c>
      <c r="D2902" s="243" t="str">
        <f>VLOOKUP(Table8[[#This Row],[Document ID]],Table1[],5,FALSE)</f>
        <v>LTS</v>
      </c>
      <c r="E2902" s="233" t="str">
        <f>VLOOKUP(Table8[[#This Row],[Document ID]],Table1[],7,FALSE)</f>
        <v>LTS</v>
      </c>
      <c r="F2902" s="233" t="str">
        <f>VLOOKUP(Table8[[#This Row],[Document ID]],Table1[],8,FALSE)</f>
        <v>LTS 1.0</v>
      </c>
      <c r="G2902" s="233" t="str">
        <f>VLOOKUP(Table8[[#This Row],[Document ID]],Table1[],10,FALSE)</f>
        <v>Active</v>
      </c>
      <c r="H2902" s="43" t="s">
        <v>2358</v>
      </c>
      <c r="I2902" s="43" t="s">
        <v>2359</v>
      </c>
      <c r="J2902" s="43" t="s">
        <v>2360</v>
      </c>
      <c r="K2902" s="44" t="s">
        <v>4961</v>
      </c>
      <c r="L2902" s="44" t="s">
        <v>2333</v>
      </c>
      <c r="M2902" s="43">
        <v>37</v>
      </c>
      <c r="N2902" s="113" t="s">
        <v>1113</v>
      </c>
      <c r="O2902" s="113"/>
      <c r="P2902" s="113"/>
      <c r="Q2902" s="113"/>
      <c r="R2902" s="113"/>
      <c r="S2902" s="113"/>
      <c r="T2902" s="113"/>
      <c r="U2902" s="113"/>
      <c r="V2902" s="113"/>
      <c r="W2902" s="113"/>
      <c r="X2902" s="113"/>
      <c r="Y2902" s="113"/>
      <c r="Z2902" s="113"/>
      <c r="AA2902" s="113"/>
      <c r="AB2902" s="113"/>
      <c r="AC2902" s="113"/>
      <c r="AD2902" s="113"/>
      <c r="AE2902" s="113"/>
      <c r="AF2902" s="113"/>
      <c r="AG2902" s="113"/>
      <c r="AH2902" s="113"/>
      <c r="AI2902" s="113"/>
      <c r="AJ2902" s="113"/>
      <c r="AK2902" s="113" t="s">
        <v>1113</v>
      </c>
      <c r="AL2902" s="113"/>
      <c r="AM2902" s="113"/>
      <c r="AN2902" s="113"/>
      <c r="AO2902" s="43" t="s">
        <v>2334</v>
      </c>
      <c r="AP2902" s="43" t="s">
        <v>4850</v>
      </c>
      <c r="AQ2902" s="233" t="str">
        <f>VLOOKUP(Table8[[#This Row],[Instrument]],Def_Targets!$D$73:$E$159,2,FALSE)</f>
        <v>I_Emobility</v>
      </c>
      <c r="AR2902" s="242" t="str">
        <f>VLOOKUP(Table8[[#This Row],[Country Code]],Table29[],3,FALSE)</f>
        <v>Annex I</v>
      </c>
      <c r="AS2902" s="242" t="str">
        <f>VLOOKUP(Table8[[#This Row],[Country Code]],Table29[],4,FALSE)</f>
        <v>Asia</v>
      </c>
      <c r="AT2902" s="242" t="str">
        <f>VLOOKUP(Table8[[#This Row],[Country Code]],Table29[],5,FALSE)</f>
        <v>Middle-income</v>
      </c>
      <c r="AU2902" s="242" t="str">
        <f>VLOOKUP(Table8[[#This Row],[Country Code]],Table29[],6,FALSE)</f>
        <v>G20</v>
      </c>
      <c r="AV2902" s="242" t="str">
        <f>VLOOKUP(Table8[[#This Row],[Country Code]],Table29[],7,FALSE)</f>
        <v>no</v>
      </c>
      <c r="AW2902" s="242" t="str">
        <f>VLOOKUP(Table8[[#This Row],[Country Code]],Table29[],8,FALSE)</f>
        <v>OECD</v>
      </c>
      <c r="AX2902" s="242" t="str">
        <f>VLOOKUP(Table8[[#This Row],[Country Code]],Table29[],9,FALSE)</f>
        <v>no</v>
      </c>
      <c r="AY2902" s="242" t="str">
        <f>VLOOKUP(Table8[[#This Row],[Country Code]],Table29[],10,FALSE)</f>
        <v>no</v>
      </c>
      <c r="AZ2902" s="242">
        <f>VLOOKUP(Table8[[#This Row],[Country Code]],Table29[],23,FALSE)</f>
        <v>606.42985584790995</v>
      </c>
      <c r="BA2902" s="242">
        <f>VLOOKUP(Table8[[#This Row],[Country Code]],Table29[],24,FALSE)</f>
        <v>95.92080354160332</v>
      </c>
      <c r="BB2902" s="320"/>
      <c r="BC2902" s="320"/>
    </row>
    <row r="2903" spans="1:55" ht="120" hidden="1" x14ac:dyDescent="0.25">
      <c r="A2903" s="373">
        <v>43788</v>
      </c>
      <c r="B2903" s="243" t="str">
        <f>VLOOKUP(Table8[[#This Row],[Document ID]],Table1[],2,FALSE)</f>
        <v>TUR</v>
      </c>
      <c r="C2903" s="243" t="str">
        <f>VLOOKUP(Table8[[#This Row],[Document ID]],Table1[],3,FALSE)</f>
        <v>Türkiye</v>
      </c>
      <c r="D2903" s="243" t="str">
        <f>VLOOKUP(Table8[[#This Row],[Document ID]],Table1[],5,FALSE)</f>
        <v>LTS</v>
      </c>
      <c r="E2903" s="233" t="str">
        <f>VLOOKUP(Table8[[#This Row],[Document ID]],Table1[],7,FALSE)</f>
        <v>LTS</v>
      </c>
      <c r="F2903" s="233" t="str">
        <f>VLOOKUP(Table8[[#This Row],[Document ID]],Table1[],8,FALSE)</f>
        <v>LTS 1.0</v>
      </c>
      <c r="G2903" s="233" t="str">
        <f>VLOOKUP(Table8[[#This Row],[Document ID]],Table1[],10,FALSE)</f>
        <v>Active</v>
      </c>
      <c r="H2903" s="43" t="s">
        <v>2358</v>
      </c>
      <c r="I2903" s="43" t="s">
        <v>2359</v>
      </c>
      <c r="J2903" s="43" t="s">
        <v>2383</v>
      </c>
      <c r="K2903" s="44" t="s">
        <v>4962</v>
      </c>
      <c r="L2903" s="44" t="s">
        <v>2333</v>
      </c>
      <c r="M2903" s="43">
        <v>37</v>
      </c>
      <c r="N2903" s="113" t="s">
        <v>1113</v>
      </c>
      <c r="O2903" s="113"/>
      <c r="P2903" s="113"/>
      <c r="Q2903" s="113"/>
      <c r="R2903" s="113"/>
      <c r="S2903" s="113"/>
      <c r="T2903" s="113"/>
      <c r="U2903" s="113"/>
      <c r="V2903" s="113"/>
      <c r="W2903" s="113"/>
      <c r="X2903" s="113"/>
      <c r="Y2903" s="113"/>
      <c r="Z2903" s="113"/>
      <c r="AA2903" s="113"/>
      <c r="AB2903" s="113"/>
      <c r="AC2903" s="113"/>
      <c r="AD2903" s="113"/>
      <c r="AE2903" s="113"/>
      <c r="AF2903" s="113"/>
      <c r="AG2903" s="113"/>
      <c r="AH2903" s="113"/>
      <c r="AI2903" s="113"/>
      <c r="AJ2903" s="113"/>
      <c r="AK2903" s="113"/>
      <c r="AL2903" s="113" t="s">
        <v>1113</v>
      </c>
      <c r="AM2903" s="113" t="s">
        <v>1113</v>
      </c>
      <c r="AN2903" s="113" t="s">
        <v>1113</v>
      </c>
      <c r="AO2903" s="43" t="s">
        <v>2334</v>
      </c>
      <c r="AP2903" s="43" t="s">
        <v>4850</v>
      </c>
      <c r="AQ2903" s="233" t="str">
        <f>VLOOKUP(Table8[[#This Row],[Instrument]],Def_Targets!$D$73:$E$159,2,FALSE)</f>
        <v>I_Emobilitycharging</v>
      </c>
      <c r="AR2903" s="242" t="str">
        <f>VLOOKUP(Table8[[#This Row],[Country Code]],Table29[],3,FALSE)</f>
        <v>Annex I</v>
      </c>
      <c r="AS2903" s="242" t="str">
        <f>VLOOKUP(Table8[[#This Row],[Country Code]],Table29[],4,FALSE)</f>
        <v>Asia</v>
      </c>
      <c r="AT2903" s="242" t="str">
        <f>VLOOKUP(Table8[[#This Row],[Country Code]],Table29[],5,FALSE)</f>
        <v>Middle-income</v>
      </c>
      <c r="AU2903" s="242" t="str">
        <f>VLOOKUP(Table8[[#This Row],[Country Code]],Table29[],6,FALSE)</f>
        <v>G20</v>
      </c>
      <c r="AV2903" s="242" t="str">
        <f>VLOOKUP(Table8[[#This Row],[Country Code]],Table29[],7,FALSE)</f>
        <v>no</v>
      </c>
      <c r="AW2903" s="242" t="str">
        <f>VLOOKUP(Table8[[#This Row],[Country Code]],Table29[],8,FALSE)</f>
        <v>OECD</v>
      </c>
      <c r="AX2903" s="242" t="str">
        <f>VLOOKUP(Table8[[#This Row],[Country Code]],Table29[],9,FALSE)</f>
        <v>no</v>
      </c>
      <c r="AY2903" s="242" t="str">
        <f>VLOOKUP(Table8[[#This Row],[Country Code]],Table29[],10,FALSE)</f>
        <v>no</v>
      </c>
      <c r="AZ2903" s="242">
        <f>VLOOKUP(Table8[[#This Row],[Country Code]],Table29[],23,FALSE)</f>
        <v>606.42985584790995</v>
      </c>
      <c r="BA2903" s="242">
        <f>VLOOKUP(Table8[[#This Row],[Country Code]],Table29[],24,FALSE)</f>
        <v>95.92080354160332</v>
      </c>
      <c r="BB2903" s="320"/>
      <c r="BC2903" s="320"/>
    </row>
    <row r="2904" spans="1:55" ht="45" hidden="1" x14ac:dyDescent="0.25">
      <c r="A2904" s="373">
        <v>43788</v>
      </c>
      <c r="B2904" s="243" t="str">
        <f>VLOOKUP(Table8[[#This Row],[Document ID]],Table1[],2,FALSE)</f>
        <v>TUR</v>
      </c>
      <c r="C2904" s="243" t="str">
        <f>VLOOKUP(Table8[[#This Row],[Document ID]],Table1[],3,FALSE)</f>
        <v>Türkiye</v>
      </c>
      <c r="D2904" s="243" t="str">
        <f>VLOOKUP(Table8[[#This Row],[Document ID]],Table1[],5,FALSE)</f>
        <v>LTS</v>
      </c>
      <c r="E2904" s="233" t="str">
        <f>VLOOKUP(Table8[[#This Row],[Document ID]],Table1[],7,FALSE)</f>
        <v>LTS</v>
      </c>
      <c r="F2904" s="233" t="str">
        <f>VLOOKUP(Table8[[#This Row],[Document ID]],Table1[],8,FALSE)</f>
        <v>LTS 1.0</v>
      </c>
      <c r="G2904" s="233" t="str">
        <f>VLOOKUP(Table8[[#This Row],[Document ID]],Table1[],10,FALSE)</f>
        <v>Active</v>
      </c>
      <c r="H2904" s="43" t="s">
        <v>2358</v>
      </c>
      <c r="I2904" s="43" t="s">
        <v>2359</v>
      </c>
      <c r="J2904" s="43" t="s">
        <v>2383</v>
      </c>
      <c r="K2904" s="44" t="s">
        <v>4963</v>
      </c>
      <c r="L2904" s="44" t="s">
        <v>2333</v>
      </c>
      <c r="M2904" s="43">
        <v>37</v>
      </c>
      <c r="N2904" s="113"/>
      <c r="O2904" s="113"/>
      <c r="P2904" s="113"/>
      <c r="Q2904" s="113"/>
      <c r="R2904" s="113"/>
      <c r="S2904" s="113"/>
      <c r="T2904" s="113"/>
      <c r="U2904" s="113"/>
      <c r="V2904" s="113"/>
      <c r="W2904" s="113"/>
      <c r="X2904" s="113" t="s">
        <v>1113</v>
      </c>
      <c r="Y2904" s="113"/>
      <c r="Z2904" s="113"/>
      <c r="AA2904" s="113"/>
      <c r="AB2904" s="113"/>
      <c r="AC2904" s="113"/>
      <c r="AD2904" s="113"/>
      <c r="AE2904" s="113"/>
      <c r="AF2904" s="113"/>
      <c r="AG2904" s="113"/>
      <c r="AH2904" s="113"/>
      <c r="AI2904" s="113"/>
      <c r="AJ2904" s="113"/>
      <c r="AK2904" s="113" t="s">
        <v>1113</v>
      </c>
      <c r="AL2904" s="113"/>
      <c r="AM2904" s="113"/>
      <c r="AN2904" s="113"/>
      <c r="AO2904" s="43" t="s">
        <v>2334</v>
      </c>
      <c r="AP2904" s="43" t="s">
        <v>4850</v>
      </c>
      <c r="AQ2904" s="233" t="str">
        <f>VLOOKUP(Table8[[#This Row],[Instrument]],Def_Targets!$D$73:$E$159,2,FALSE)</f>
        <v>I_Emobilitycharging</v>
      </c>
      <c r="AR2904" s="242" t="str">
        <f>VLOOKUP(Table8[[#This Row],[Country Code]],Table29[],3,FALSE)</f>
        <v>Annex I</v>
      </c>
      <c r="AS2904" s="242" t="str">
        <f>VLOOKUP(Table8[[#This Row],[Country Code]],Table29[],4,FALSE)</f>
        <v>Asia</v>
      </c>
      <c r="AT2904" s="242" t="str">
        <f>VLOOKUP(Table8[[#This Row],[Country Code]],Table29[],5,FALSE)</f>
        <v>Middle-income</v>
      </c>
      <c r="AU2904" s="242" t="str">
        <f>VLOOKUP(Table8[[#This Row],[Country Code]],Table29[],6,FALSE)</f>
        <v>G20</v>
      </c>
      <c r="AV2904" s="242" t="str">
        <f>VLOOKUP(Table8[[#This Row],[Country Code]],Table29[],7,FALSE)</f>
        <v>no</v>
      </c>
      <c r="AW2904" s="242" t="str">
        <f>VLOOKUP(Table8[[#This Row],[Country Code]],Table29[],8,FALSE)</f>
        <v>OECD</v>
      </c>
      <c r="AX2904" s="242" t="str">
        <f>VLOOKUP(Table8[[#This Row],[Country Code]],Table29[],9,FALSE)</f>
        <v>no</v>
      </c>
      <c r="AY2904" s="242" t="str">
        <f>VLOOKUP(Table8[[#This Row],[Country Code]],Table29[],10,FALSE)</f>
        <v>no</v>
      </c>
      <c r="AZ2904" s="242">
        <f>VLOOKUP(Table8[[#This Row],[Country Code]],Table29[],23,FALSE)</f>
        <v>606.42985584790995</v>
      </c>
      <c r="BA2904" s="242">
        <f>VLOOKUP(Table8[[#This Row],[Country Code]],Table29[],24,FALSE)</f>
        <v>95.92080354160332</v>
      </c>
      <c r="BB2904" s="320"/>
      <c r="BC2904" s="320"/>
    </row>
    <row r="2905" spans="1:55" ht="30" hidden="1" x14ac:dyDescent="0.25">
      <c r="A2905" s="373">
        <v>43788</v>
      </c>
      <c r="B2905" s="243" t="str">
        <f>VLOOKUP(Table8[[#This Row],[Document ID]],Table1[],2,FALSE)</f>
        <v>TUR</v>
      </c>
      <c r="C2905" s="243" t="str">
        <f>VLOOKUP(Table8[[#This Row],[Document ID]],Table1[],3,FALSE)</f>
        <v>Türkiye</v>
      </c>
      <c r="D2905" s="243" t="str">
        <f>VLOOKUP(Table8[[#This Row],[Document ID]],Table1[],5,FALSE)</f>
        <v>LTS</v>
      </c>
      <c r="E2905" s="233" t="str">
        <f>VLOOKUP(Table8[[#This Row],[Document ID]],Table1[],7,FALSE)</f>
        <v>LTS</v>
      </c>
      <c r="F2905" s="233" t="str">
        <f>VLOOKUP(Table8[[#This Row],[Document ID]],Table1[],8,FALSE)</f>
        <v>LTS 1.0</v>
      </c>
      <c r="G2905" s="233" t="str">
        <f>VLOOKUP(Table8[[#This Row],[Document ID]],Table1[],10,FALSE)</f>
        <v>Active</v>
      </c>
      <c r="H2905" s="43" t="s">
        <v>2358</v>
      </c>
      <c r="I2905" s="43" t="s">
        <v>2359</v>
      </c>
      <c r="J2905" s="43" t="s">
        <v>2360</v>
      </c>
      <c r="K2905" s="44" t="s">
        <v>4964</v>
      </c>
      <c r="L2905" s="44" t="s">
        <v>2333</v>
      </c>
      <c r="M2905" s="43">
        <v>37</v>
      </c>
      <c r="N2905" s="113"/>
      <c r="O2905" s="113"/>
      <c r="P2905" s="113"/>
      <c r="Q2905" s="113"/>
      <c r="R2905" s="113"/>
      <c r="S2905" s="113"/>
      <c r="T2905" s="113"/>
      <c r="U2905" s="113"/>
      <c r="V2905" s="113"/>
      <c r="W2905" s="113"/>
      <c r="X2905" s="113"/>
      <c r="Y2905" s="113"/>
      <c r="Z2905" s="113"/>
      <c r="AA2905" s="113"/>
      <c r="AB2905" s="113"/>
      <c r="AC2905" s="113"/>
      <c r="AD2905" s="113"/>
      <c r="AE2905" s="113"/>
      <c r="AF2905" s="113"/>
      <c r="AG2905" s="113"/>
      <c r="AH2905" s="113"/>
      <c r="AI2905" s="113"/>
      <c r="AJ2905" s="113"/>
      <c r="AK2905" s="113" t="s">
        <v>1113</v>
      </c>
      <c r="AL2905" s="113"/>
      <c r="AM2905" s="113"/>
      <c r="AN2905" s="113"/>
      <c r="AO2905" s="43" t="s">
        <v>2334</v>
      </c>
      <c r="AP2905" s="43" t="s">
        <v>4850</v>
      </c>
      <c r="AQ2905" s="233" t="str">
        <f>VLOOKUP(Table8[[#This Row],[Instrument]],Def_Targets!$D$73:$E$159,2,FALSE)</f>
        <v>I_Emobility</v>
      </c>
      <c r="AR2905" s="242" t="str">
        <f>VLOOKUP(Table8[[#This Row],[Country Code]],Table29[],3,FALSE)</f>
        <v>Annex I</v>
      </c>
      <c r="AS2905" s="242" t="str">
        <f>VLOOKUP(Table8[[#This Row],[Country Code]],Table29[],4,FALSE)</f>
        <v>Asia</v>
      </c>
      <c r="AT2905" s="242" t="str">
        <f>VLOOKUP(Table8[[#This Row],[Country Code]],Table29[],5,FALSE)</f>
        <v>Middle-income</v>
      </c>
      <c r="AU2905" s="242" t="str">
        <f>VLOOKUP(Table8[[#This Row],[Country Code]],Table29[],6,FALSE)</f>
        <v>G20</v>
      </c>
      <c r="AV2905" s="242" t="str">
        <f>VLOOKUP(Table8[[#This Row],[Country Code]],Table29[],7,FALSE)</f>
        <v>no</v>
      </c>
      <c r="AW2905" s="242" t="str">
        <f>VLOOKUP(Table8[[#This Row],[Country Code]],Table29[],8,FALSE)</f>
        <v>OECD</v>
      </c>
      <c r="AX2905" s="242" t="str">
        <f>VLOOKUP(Table8[[#This Row],[Country Code]],Table29[],9,FALSE)</f>
        <v>no</v>
      </c>
      <c r="AY2905" s="242" t="str">
        <f>VLOOKUP(Table8[[#This Row],[Country Code]],Table29[],10,FALSE)</f>
        <v>no</v>
      </c>
      <c r="AZ2905" s="242">
        <f>VLOOKUP(Table8[[#This Row],[Country Code]],Table29[],23,FALSE)</f>
        <v>606.42985584790995</v>
      </c>
      <c r="BA2905" s="242">
        <f>VLOOKUP(Table8[[#This Row],[Country Code]],Table29[],24,FALSE)</f>
        <v>95.92080354160332</v>
      </c>
      <c r="BB2905" s="320"/>
      <c r="BC2905" s="320"/>
    </row>
    <row r="2906" spans="1:55" ht="45" hidden="1" x14ac:dyDescent="0.25">
      <c r="A2906" s="373">
        <v>43788</v>
      </c>
      <c r="B2906" s="243" t="str">
        <f>VLOOKUP(Table8[[#This Row],[Document ID]],Table1[],2,FALSE)</f>
        <v>TUR</v>
      </c>
      <c r="C2906" s="243" t="str">
        <f>VLOOKUP(Table8[[#This Row],[Document ID]],Table1[],3,FALSE)</f>
        <v>Türkiye</v>
      </c>
      <c r="D2906" s="243" t="str">
        <f>VLOOKUP(Table8[[#This Row],[Document ID]],Table1[],5,FALSE)</f>
        <v>LTS</v>
      </c>
      <c r="E2906" s="233" t="str">
        <f>VLOOKUP(Table8[[#This Row],[Document ID]],Table1[],7,FALSE)</f>
        <v>LTS</v>
      </c>
      <c r="F2906" s="233" t="str">
        <f>VLOOKUP(Table8[[#This Row],[Document ID]],Table1[],8,FALSE)</f>
        <v>LTS 1.0</v>
      </c>
      <c r="G2906" s="233" t="str">
        <f>VLOOKUP(Table8[[#This Row],[Document ID]],Table1[],10,FALSE)</f>
        <v>Active</v>
      </c>
      <c r="H2906" s="43" t="s">
        <v>2358</v>
      </c>
      <c r="I2906" s="43" t="s">
        <v>2359</v>
      </c>
      <c r="J2906" s="43" t="s">
        <v>2383</v>
      </c>
      <c r="K2906" s="44" t="s">
        <v>4965</v>
      </c>
      <c r="L2906" s="44" t="s">
        <v>2333</v>
      </c>
      <c r="M2906" s="43">
        <v>37</v>
      </c>
      <c r="N2906" s="113"/>
      <c r="O2906" s="113"/>
      <c r="P2906" s="113"/>
      <c r="Q2906" s="113"/>
      <c r="R2906" s="113"/>
      <c r="S2906" s="113"/>
      <c r="T2906" s="113"/>
      <c r="U2906" s="113"/>
      <c r="V2906" s="113"/>
      <c r="W2906" s="113"/>
      <c r="X2906" s="113"/>
      <c r="Y2906" s="113"/>
      <c r="Z2906" s="113" t="s">
        <v>1113</v>
      </c>
      <c r="AA2906" s="113"/>
      <c r="AB2906" s="113"/>
      <c r="AC2906" s="113"/>
      <c r="AD2906" s="113"/>
      <c r="AE2906" s="113"/>
      <c r="AF2906" s="113"/>
      <c r="AG2906" s="113"/>
      <c r="AH2906" s="113"/>
      <c r="AI2906" s="113"/>
      <c r="AJ2906" s="113"/>
      <c r="AK2906" s="113" t="s">
        <v>1113</v>
      </c>
      <c r="AL2906" s="113"/>
      <c r="AM2906" s="113"/>
      <c r="AN2906" s="113"/>
      <c r="AO2906" s="43" t="s">
        <v>2334</v>
      </c>
      <c r="AP2906" s="43" t="s">
        <v>4850</v>
      </c>
      <c r="AQ2906" s="233" t="str">
        <f>VLOOKUP(Table8[[#This Row],[Instrument]],Def_Targets!$D$73:$E$159,2,FALSE)</f>
        <v>I_Emobilitycharging</v>
      </c>
      <c r="AR2906" s="242" t="str">
        <f>VLOOKUP(Table8[[#This Row],[Country Code]],Table29[],3,FALSE)</f>
        <v>Annex I</v>
      </c>
      <c r="AS2906" s="242" t="str">
        <f>VLOOKUP(Table8[[#This Row],[Country Code]],Table29[],4,FALSE)</f>
        <v>Asia</v>
      </c>
      <c r="AT2906" s="242" t="str">
        <f>VLOOKUP(Table8[[#This Row],[Country Code]],Table29[],5,FALSE)</f>
        <v>Middle-income</v>
      </c>
      <c r="AU2906" s="242" t="str">
        <f>VLOOKUP(Table8[[#This Row],[Country Code]],Table29[],6,FALSE)</f>
        <v>G20</v>
      </c>
      <c r="AV2906" s="242" t="str">
        <f>VLOOKUP(Table8[[#This Row],[Country Code]],Table29[],7,FALSE)</f>
        <v>no</v>
      </c>
      <c r="AW2906" s="242" t="str">
        <f>VLOOKUP(Table8[[#This Row],[Country Code]],Table29[],8,FALSE)</f>
        <v>OECD</v>
      </c>
      <c r="AX2906" s="242" t="str">
        <f>VLOOKUP(Table8[[#This Row],[Country Code]],Table29[],9,FALSE)</f>
        <v>no</v>
      </c>
      <c r="AY2906" s="242" t="str">
        <f>VLOOKUP(Table8[[#This Row],[Country Code]],Table29[],10,FALSE)</f>
        <v>no</v>
      </c>
      <c r="AZ2906" s="242">
        <f>VLOOKUP(Table8[[#This Row],[Country Code]],Table29[],23,FALSE)</f>
        <v>606.42985584790995</v>
      </c>
      <c r="BA2906" s="242">
        <f>VLOOKUP(Table8[[#This Row],[Country Code]],Table29[],24,FALSE)</f>
        <v>95.92080354160332</v>
      </c>
      <c r="BB2906" s="320"/>
      <c r="BC2906" s="320"/>
    </row>
    <row r="2907" spans="1:55" ht="45" hidden="1" x14ac:dyDescent="0.25">
      <c r="A2907" s="373">
        <v>43788</v>
      </c>
      <c r="B2907" s="243" t="str">
        <f>VLOOKUP(Table8[[#This Row],[Document ID]],Table1[],2,FALSE)</f>
        <v>TUR</v>
      </c>
      <c r="C2907" s="243" t="str">
        <f>VLOOKUP(Table8[[#This Row],[Document ID]],Table1[],3,FALSE)</f>
        <v>Türkiye</v>
      </c>
      <c r="D2907" s="243" t="str">
        <f>VLOOKUP(Table8[[#This Row],[Document ID]],Table1[],5,FALSE)</f>
        <v>LTS</v>
      </c>
      <c r="E2907" s="233" t="str">
        <f>VLOOKUP(Table8[[#This Row],[Document ID]],Table1[],7,FALSE)</f>
        <v>LTS</v>
      </c>
      <c r="F2907" s="233" t="str">
        <f>VLOOKUP(Table8[[#This Row],[Document ID]],Table1[],8,FALSE)</f>
        <v>LTS 1.0</v>
      </c>
      <c r="G2907" s="233" t="str">
        <f>VLOOKUP(Table8[[#This Row],[Document ID]],Table1[],10,FALSE)</f>
        <v>Active</v>
      </c>
      <c r="H2907" s="43" t="s">
        <v>2484</v>
      </c>
      <c r="I2907" s="43" t="s">
        <v>2488</v>
      </c>
      <c r="J2907" s="43" t="s">
        <v>2489</v>
      </c>
      <c r="K2907" s="44" t="s">
        <v>4965</v>
      </c>
      <c r="L2907" s="44" t="s">
        <v>2333</v>
      </c>
      <c r="M2907" s="43">
        <v>37</v>
      </c>
      <c r="N2907" s="113"/>
      <c r="O2907" s="113"/>
      <c r="P2907" s="113"/>
      <c r="Q2907" s="113"/>
      <c r="R2907" s="113"/>
      <c r="S2907" s="113"/>
      <c r="T2907" s="113"/>
      <c r="U2907" s="113"/>
      <c r="V2907" s="113"/>
      <c r="W2907" s="113"/>
      <c r="X2907" s="113"/>
      <c r="Y2907" s="113"/>
      <c r="Z2907" s="113"/>
      <c r="AA2907" s="113"/>
      <c r="AB2907" s="113"/>
      <c r="AC2907" s="113"/>
      <c r="AD2907" s="113"/>
      <c r="AE2907" s="113"/>
      <c r="AF2907" s="113"/>
      <c r="AG2907" s="113"/>
      <c r="AH2907" s="113" t="s">
        <v>1113</v>
      </c>
      <c r="AI2907" s="113"/>
      <c r="AJ2907" s="113"/>
      <c r="AK2907" s="113" t="s">
        <v>1113</v>
      </c>
      <c r="AL2907" s="113"/>
      <c r="AM2907" s="113"/>
      <c r="AN2907" s="113"/>
      <c r="AO2907" s="43" t="s">
        <v>2334</v>
      </c>
      <c r="AP2907" s="43" t="s">
        <v>4850</v>
      </c>
      <c r="AQ2907" s="233" t="str">
        <f>VLOOKUP(Table8[[#This Row],[Instrument]],Def_Targets!$D$73:$E$159,2,FALSE)</f>
        <v>I_Aviation</v>
      </c>
      <c r="AR2907" s="242" t="str">
        <f>VLOOKUP(Table8[[#This Row],[Country Code]],Table29[],3,FALSE)</f>
        <v>Annex I</v>
      </c>
      <c r="AS2907" s="242" t="str">
        <f>VLOOKUP(Table8[[#This Row],[Country Code]],Table29[],4,FALSE)</f>
        <v>Asia</v>
      </c>
      <c r="AT2907" s="242" t="str">
        <f>VLOOKUP(Table8[[#This Row],[Country Code]],Table29[],5,FALSE)</f>
        <v>Middle-income</v>
      </c>
      <c r="AU2907" s="242" t="str">
        <f>VLOOKUP(Table8[[#This Row],[Country Code]],Table29[],6,FALSE)</f>
        <v>G20</v>
      </c>
      <c r="AV2907" s="242" t="str">
        <f>VLOOKUP(Table8[[#This Row],[Country Code]],Table29[],7,FALSE)</f>
        <v>no</v>
      </c>
      <c r="AW2907" s="242" t="str">
        <f>VLOOKUP(Table8[[#This Row],[Country Code]],Table29[],8,FALSE)</f>
        <v>OECD</v>
      </c>
      <c r="AX2907" s="242" t="str">
        <f>VLOOKUP(Table8[[#This Row],[Country Code]],Table29[],9,FALSE)</f>
        <v>no</v>
      </c>
      <c r="AY2907" s="242" t="str">
        <f>VLOOKUP(Table8[[#This Row],[Country Code]],Table29[],10,FALSE)</f>
        <v>no</v>
      </c>
      <c r="AZ2907" s="242">
        <f>VLOOKUP(Table8[[#This Row],[Country Code]],Table29[],23,FALSE)</f>
        <v>606.42985584790995</v>
      </c>
      <c r="BA2907" s="242">
        <f>VLOOKUP(Table8[[#This Row],[Country Code]],Table29[],24,FALSE)</f>
        <v>95.92080354160332</v>
      </c>
      <c r="BB2907" s="320"/>
      <c r="BC2907" s="320"/>
    </row>
    <row r="2908" spans="1:55" ht="45" hidden="1" x14ac:dyDescent="0.25">
      <c r="A2908" s="373">
        <v>43788</v>
      </c>
      <c r="B2908" s="243" t="str">
        <f>VLOOKUP(Table8[[#This Row],[Document ID]],Table1[],2,FALSE)</f>
        <v>TUR</v>
      </c>
      <c r="C2908" s="243" t="str">
        <f>VLOOKUP(Table8[[#This Row],[Document ID]],Table1[],3,FALSE)</f>
        <v>Türkiye</v>
      </c>
      <c r="D2908" s="243" t="str">
        <f>VLOOKUP(Table8[[#This Row],[Document ID]],Table1[],5,FALSE)</f>
        <v>LTS</v>
      </c>
      <c r="E2908" s="233" t="str">
        <f>VLOOKUP(Table8[[#This Row],[Document ID]],Table1[],7,FALSE)</f>
        <v>LTS</v>
      </c>
      <c r="F2908" s="233" t="str">
        <f>VLOOKUP(Table8[[#This Row],[Document ID]],Table1[],8,FALSE)</f>
        <v>LTS 1.0</v>
      </c>
      <c r="G2908" s="233" t="str">
        <f>VLOOKUP(Table8[[#This Row],[Document ID]],Table1[],10,FALSE)</f>
        <v>Active</v>
      </c>
      <c r="H2908" s="43" t="s">
        <v>2484</v>
      </c>
      <c r="I2908" s="43" t="s">
        <v>2485</v>
      </c>
      <c r="J2908" s="43" t="s">
        <v>2775</v>
      </c>
      <c r="K2908" s="44" t="s">
        <v>4965</v>
      </c>
      <c r="L2908" s="44" t="s">
        <v>2333</v>
      </c>
      <c r="M2908" s="43">
        <v>37</v>
      </c>
      <c r="N2908" s="113"/>
      <c r="O2908" s="113"/>
      <c r="P2908" s="113"/>
      <c r="Q2908" s="113"/>
      <c r="R2908" s="113"/>
      <c r="S2908" s="113"/>
      <c r="T2908" s="113"/>
      <c r="U2908" s="113"/>
      <c r="V2908" s="113"/>
      <c r="W2908" s="113"/>
      <c r="X2908" s="113"/>
      <c r="Y2908" s="113"/>
      <c r="Z2908" s="113"/>
      <c r="AA2908" s="113"/>
      <c r="AB2908" s="113"/>
      <c r="AC2908" s="113"/>
      <c r="AD2908" s="113" t="s">
        <v>1113</v>
      </c>
      <c r="AE2908" s="113"/>
      <c r="AF2908" s="113"/>
      <c r="AG2908" s="113"/>
      <c r="AH2908" s="113"/>
      <c r="AI2908" s="113"/>
      <c r="AJ2908" s="113"/>
      <c r="AK2908" s="113" t="s">
        <v>1113</v>
      </c>
      <c r="AL2908" s="113"/>
      <c r="AM2908" s="113"/>
      <c r="AN2908" s="113"/>
      <c r="AO2908" s="43" t="s">
        <v>2334</v>
      </c>
      <c r="AP2908" s="43" t="s">
        <v>4850</v>
      </c>
      <c r="AQ2908" s="233" t="str">
        <f>VLOOKUP(Table8[[#This Row],[Instrument]],Def_Targets!$D$73:$E$159,2,FALSE)</f>
        <v>I_Onshorepower</v>
      </c>
      <c r="AR2908" s="242" t="str">
        <f>VLOOKUP(Table8[[#This Row],[Country Code]],Table29[],3,FALSE)</f>
        <v>Annex I</v>
      </c>
      <c r="AS2908" s="242" t="str">
        <f>VLOOKUP(Table8[[#This Row],[Country Code]],Table29[],4,FALSE)</f>
        <v>Asia</v>
      </c>
      <c r="AT2908" s="242" t="str">
        <f>VLOOKUP(Table8[[#This Row],[Country Code]],Table29[],5,FALSE)</f>
        <v>Middle-income</v>
      </c>
      <c r="AU2908" s="242" t="str">
        <f>VLOOKUP(Table8[[#This Row],[Country Code]],Table29[],6,FALSE)</f>
        <v>G20</v>
      </c>
      <c r="AV2908" s="242" t="str">
        <f>VLOOKUP(Table8[[#This Row],[Country Code]],Table29[],7,FALSE)</f>
        <v>no</v>
      </c>
      <c r="AW2908" s="242" t="str">
        <f>VLOOKUP(Table8[[#This Row],[Country Code]],Table29[],8,FALSE)</f>
        <v>OECD</v>
      </c>
      <c r="AX2908" s="242" t="str">
        <f>VLOOKUP(Table8[[#This Row],[Country Code]],Table29[],9,FALSE)</f>
        <v>no</v>
      </c>
      <c r="AY2908" s="242" t="str">
        <f>VLOOKUP(Table8[[#This Row],[Country Code]],Table29[],10,FALSE)</f>
        <v>no</v>
      </c>
      <c r="AZ2908" s="242">
        <f>VLOOKUP(Table8[[#This Row],[Country Code]],Table29[],23,FALSE)</f>
        <v>606.42985584790995</v>
      </c>
      <c r="BA2908" s="242">
        <f>VLOOKUP(Table8[[#This Row],[Country Code]],Table29[],24,FALSE)</f>
        <v>95.92080354160332</v>
      </c>
      <c r="BB2908" s="320"/>
      <c r="BC2908" s="320"/>
    </row>
    <row r="2909" spans="1:55" ht="105" hidden="1" x14ac:dyDescent="0.25">
      <c r="A2909" s="373">
        <v>43788</v>
      </c>
      <c r="B2909" s="243" t="str">
        <f>VLOOKUP(Table8[[#This Row],[Document ID]],Table1[],2,FALSE)</f>
        <v>TUR</v>
      </c>
      <c r="C2909" s="243" t="str">
        <f>VLOOKUP(Table8[[#This Row],[Document ID]],Table1[],3,FALSE)</f>
        <v>Türkiye</v>
      </c>
      <c r="D2909" s="243" t="str">
        <f>VLOOKUP(Table8[[#This Row],[Document ID]],Table1[],5,FALSE)</f>
        <v>LTS</v>
      </c>
      <c r="E2909" s="233" t="str">
        <f>VLOOKUP(Table8[[#This Row],[Document ID]],Table1[],7,FALSE)</f>
        <v>LTS</v>
      </c>
      <c r="F2909" s="233" t="str">
        <f>VLOOKUP(Table8[[#This Row],[Document ID]],Table1[],8,FALSE)</f>
        <v>LTS 1.0</v>
      </c>
      <c r="G2909" s="233" t="str">
        <f>VLOOKUP(Table8[[#This Row],[Document ID]],Table1[],10,FALSE)</f>
        <v>Active</v>
      </c>
      <c r="H2909" s="43" t="s">
        <v>2329</v>
      </c>
      <c r="I2909" s="43" t="s">
        <v>2330</v>
      </c>
      <c r="J2909" s="43" t="s">
        <v>2381</v>
      </c>
      <c r="K2909" s="44" t="s">
        <v>4966</v>
      </c>
      <c r="L2909" s="44" t="s">
        <v>2333</v>
      </c>
      <c r="M2909" s="43">
        <v>38</v>
      </c>
      <c r="N2909" s="113" t="s">
        <v>1113</v>
      </c>
      <c r="O2909" s="113"/>
      <c r="P2909" s="113"/>
      <c r="Q2909" s="113"/>
      <c r="R2909" s="113"/>
      <c r="S2909" s="113"/>
      <c r="T2909" s="113"/>
      <c r="U2909" s="113"/>
      <c r="V2909" s="113"/>
      <c r="W2909" s="113"/>
      <c r="X2909" s="113"/>
      <c r="Y2909" s="113"/>
      <c r="Z2909" s="113"/>
      <c r="AA2909" s="113"/>
      <c r="AB2909" s="113"/>
      <c r="AC2909" s="113"/>
      <c r="AD2909" s="113"/>
      <c r="AE2909" s="113"/>
      <c r="AF2909" s="113"/>
      <c r="AG2909" s="113"/>
      <c r="AH2909" s="113"/>
      <c r="AI2909" s="113"/>
      <c r="AJ2909" s="113"/>
      <c r="AK2909" s="113" t="s">
        <v>1113</v>
      </c>
      <c r="AL2909" s="113"/>
      <c r="AM2909" s="113"/>
      <c r="AN2909" s="113"/>
      <c r="AO2909" s="43" t="s">
        <v>2334</v>
      </c>
      <c r="AP2909" s="43" t="s">
        <v>4850</v>
      </c>
      <c r="AQ2909" s="233" t="str">
        <f>VLOOKUP(Table8[[#This Row],[Instrument]],Def_Targets!$D$73:$E$159,2,FALSE)</f>
        <v>I_RE</v>
      </c>
      <c r="AR2909" s="242" t="str">
        <f>VLOOKUP(Table8[[#This Row],[Country Code]],Table29[],3,FALSE)</f>
        <v>Annex I</v>
      </c>
      <c r="AS2909" s="242" t="str">
        <f>VLOOKUP(Table8[[#This Row],[Country Code]],Table29[],4,FALSE)</f>
        <v>Asia</v>
      </c>
      <c r="AT2909" s="242" t="str">
        <f>VLOOKUP(Table8[[#This Row],[Country Code]],Table29[],5,FALSE)</f>
        <v>Middle-income</v>
      </c>
      <c r="AU2909" s="242" t="str">
        <f>VLOOKUP(Table8[[#This Row],[Country Code]],Table29[],6,FALSE)</f>
        <v>G20</v>
      </c>
      <c r="AV2909" s="242" t="str">
        <f>VLOOKUP(Table8[[#This Row],[Country Code]],Table29[],7,FALSE)</f>
        <v>no</v>
      </c>
      <c r="AW2909" s="242" t="str">
        <f>VLOOKUP(Table8[[#This Row],[Country Code]],Table29[],8,FALSE)</f>
        <v>OECD</v>
      </c>
      <c r="AX2909" s="242" t="str">
        <f>VLOOKUP(Table8[[#This Row],[Country Code]],Table29[],9,FALSE)</f>
        <v>no</v>
      </c>
      <c r="AY2909" s="242" t="str">
        <f>VLOOKUP(Table8[[#This Row],[Country Code]],Table29[],10,FALSE)</f>
        <v>no</v>
      </c>
      <c r="AZ2909" s="242">
        <f>VLOOKUP(Table8[[#This Row],[Country Code]],Table29[],23,FALSE)</f>
        <v>606.42985584790995</v>
      </c>
      <c r="BA2909" s="242">
        <f>VLOOKUP(Table8[[#This Row],[Country Code]],Table29[],24,FALSE)</f>
        <v>95.92080354160332</v>
      </c>
      <c r="BB2909" s="320"/>
      <c r="BC2909" s="320"/>
    </row>
    <row r="2910" spans="1:55" ht="30" hidden="1" x14ac:dyDescent="0.25">
      <c r="A2910" s="373">
        <v>43788</v>
      </c>
      <c r="B2910" s="243" t="str">
        <f>VLOOKUP(Table8[[#This Row],[Document ID]],Table1[],2,FALSE)</f>
        <v>TUR</v>
      </c>
      <c r="C2910" s="243" t="str">
        <f>VLOOKUP(Table8[[#This Row],[Document ID]],Table1[],3,FALSE)</f>
        <v>Türkiye</v>
      </c>
      <c r="D2910" s="243" t="str">
        <f>VLOOKUP(Table8[[#This Row],[Document ID]],Table1[],5,FALSE)</f>
        <v>LTS</v>
      </c>
      <c r="E2910" s="233" t="str">
        <f>VLOOKUP(Table8[[#This Row],[Document ID]],Table1[],7,FALSE)</f>
        <v>LTS</v>
      </c>
      <c r="F2910" s="233" t="str">
        <f>VLOOKUP(Table8[[#This Row],[Document ID]],Table1[],8,FALSE)</f>
        <v>LTS 1.0</v>
      </c>
      <c r="G2910" s="233" t="str">
        <f>VLOOKUP(Table8[[#This Row],[Document ID]],Table1[],10,FALSE)</f>
        <v>Active</v>
      </c>
      <c r="H2910" s="43" t="s">
        <v>2329</v>
      </c>
      <c r="I2910" s="43" t="s">
        <v>2330</v>
      </c>
      <c r="J2910" s="43" t="s">
        <v>2391</v>
      </c>
      <c r="K2910" s="44" t="s">
        <v>4967</v>
      </c>
      <c r="L2910" s="44" t="s">
        <v>2333</v>
      </c>
      <c r="M2910" s="43">
        <v>38</v>
      </c>
      <c r="N2910" s="113"/>
      <c r="O2910" s="113"/>
      <c r="P2910" s="113"/>
      <c r="Q2910" s="113"/>
      <c r="R2910" s="113"/>
      <c r="S2910" s="113"/>
      <c r="T2910" s="113"/>
      <c r="U2910" s="113"/>
      <c r="V2910" s="113"/>
      <c r="W2910" s="113"/>
      <c r="X2910" s="113" t="s">
        <v>1113</v>
      </c>
      <c r="Y2910" s="113" t="s">
        <v>1113</v>
      </c>
      <c r="Z2910" s="113"/>
      <c r="AA2910" s="113"/>
      <c r="AB2910" s="113"/>
      <c r="AC2910" s="113"/>
      <c r="AD2910" s="113"/>
      <c r="AE2910" s="113"/>
      <c r="AF2910" s="113"/>
      <c r="AG2910" s="113"/>
      <c r="AH2910" s="113"/>
      <c r="AI2910" s="113"/>
      <c r="AJ2910" s="113"/>
      <c r="AK2910" s="113" t="s">
        <v>1113</v>
      </c>
      <c r="AL2910" s="113"/>
      <c r="AM2910" s="113"/>
      <c r="AN2910" s="113"/>
      <c r="AO2910" s="43" t="s">
        <v>2334</v>
      </c>
      <c r="AP2910" s="43" t="s">
        <v>4850</v>
      </c>
      <c r="AQ2910" s="233" t="str">
        <f>VLOOKUP(Table8[[#This Row],[Instrument]],Def_Targets!$D$73:$E$159,2,FALSE)</f>
        <v>I_Hydrogen</v>
      </c>
      <c r="AR2910" s="242" t="str">
        <f>VLOOKUP(Table8[[#This Row],[Country Code]],Table29[],3,FALSE)</f>
        <v>Annex I</v>
      </c>
      <c r="AS2910" s="242" t="str">
        <f>VLOOKUP(Table8[[#This Row],[Country Code]],Table29[],4,FALSE)</f>
        <v>Asia</v>
      </c>
      <c r="AT2910" s="242" t="str">
        <f>VLOOKUP(Table8[[#This Row],[Country Code]],Table29[],5,FALSE)</f>
        <v>Middle-income</v>
      </c>
      <c r="AU2910" s="242" t="str">
        <f>VLOOKUP(Table8[[#This Row],[Country Code]],Table29[],6,FALSE)</f>
        <v>G20</v>
      </c>
      <c r="AV2910" s="242" t="str">
        <f>VLOOKUP(Table8[[#This Row],[Country Code]],Table29[],7,FALSE)</f>
        <v>no</v>
      </c>
      <c r="AW2910" s="242" t="str">
        <f>VLOOKUP(Table8[[#This Row],[Country Code]],Table29[],8,FALSE)</f>
        <v>OECD</v>
      </c>
      <c r="AX2910" s="242" t="str">
        <f>VLOOKUP(Table8[[#This Row],[Country Code]],Table29[],9,FALSE)</f>
        <v>no</v>
      </c>
      <c r="AY2910" s="242" t="str">
        <f>VLOOKUP(Table8[[#This Row],[Country Code]],Table29[],10,FALSE)</f>
        <v>no</v>
      </c>
      <c r="AZ2910" s="242">
        <f>VLOOKUP(Table8[[#This Row],[Country Code]],Table29[],23,FALSE)</f>
        <v>606.42985584790995</v>
      </c>
      <c r="BA2910" s="242">
        <f>VLOOKUP(Table8[[#This Row],[Country Code]],Table29[],24,FALSE)</f>
        <v>95.92080354160332</v>
      </c>
      <c r="BB2910" s="320"/>
      <c r="BC2910" s="320"/>
    </row>
    <row r="2911" spans="1:55" ht="60" hidden="1" x14ac:dyDescent="0.25">
      <c r="A2911" s="373">
        <v>43788</v>
      </c>
      <c r="B2911" s="243" t="str">
        <f>VLOOKUP(Table8[[#This Row],[Document ID]],Table1[],2,FALSE)</f>
        <v>TUR</v>
      </c>
      <c r="C2911" s="243" t="str">
        <f>VLOOKUP(Table8[[#This Row],[Document ID]],Table1[],3,FALSE)</f>
        <v>Türkiye</v>
      </c>
      <c r="D2911" s="243" t="str">
        <f>VLOOKUP(Table8[[#This Row],[Document ID]],Table1[],5,FALSE)</f>
        <v>LTS</v>
      </c>
      <c r="E2911" s="233" t="str">
        <f>VLOOKUP(Table8[[#This Row],[Document ID]],Table1[],7,FALSE)</f>
        <v>LTS</v>
      </c>
      <c r="F2911" s="233" t="str">
        <f>VLOOKUP(Table8[[#This Row],[Document ID]],Table1[],8,FALSE)</f>
        <v>LTS 1.0</v>
      </c>
      <c r="G2911" s="233" t="str">
        <f>VLOOKUP(Table8[[#This Row],[Document ID]],Table1[],10,FALSE)</f>
        <v>Active</v>
      </c>
      <c r="H2911" s="43" t="s">
        <v>2484</v>
      </c>
      <c r="I2911" s="43" t="s">
        <v>2488</v>
      </c>
      <c r="J2911" s="43" t="s">
        <v>2684</v>
      </c>
      <c r="K2911" s="44" t="s">
        <v>4968</v>
      </c>
      <c r="L2911" s="44" t="s">
        <v>2333</v>
      </c>
      <c r="M2911" s="43">
        <v>38</v>
      </c>
      <c r="N2911" s="113"/>
      <c r="O2911" s="113"/>
      <c r="P2911" s="113"/>
      <c r="Q2911" s="113"/>
      <c r="R2911" s="113"/>
      <c r="S2911" s="113"/>
      <c r="T2911" s="113"/>
      <c r="U2911" s="113"/>
      <c r="V2911" s="113"/>
      <c r="W2911" s="113"/>
      <c r="X2911" s="113"/>
      <c r="Y2911" s="113"/>
      <c r="Z2911" s="113"/>
      <c r="AA2911" s="113"/>
      <c r="AB2911" s="113"/>
      <c r="AC2911" s="113"/>
      <c r="AD2911" s="113"/>
      <c r="AE2911" s="113"/>
      <c r="AF2911" s="113"/>
      <c r="AG2911" s="113"/>
      <c r="AH2911" s="113" t="s">
        <v>1113</v>
      </c>
      <c r="AI2911" s="113"/>
      <c r="AJ2911" s="113"/>
      <c r="AK2911" s="113" t="s">
        <v>1113</v>
      </c>
      <c r="AL2911" s="113"/>
      <c r="AM2911" s="113"/>
      <c r="AN2911" s="113"/>
      <c r="AO2911" s="43" t="s">
        <v>2334</v>
      </c>
      <c r="AP2911" s="43" t="s">
        <v>4850</v>
      </c>
      <c r="AQ2911" s="233" t="str">
        <f>VLOOKUP(Table8[[#This Row],[Instrument]],Def_Targets!$D$73:$E$159,2,FALSE)</f>
        <v>I_Jetfuel</v>
      </c>
      <c r="AR2911" s="242" t="str">
        <f>VLOOKUP(Table8[[#This Row],[Country Code]],Table29[],3,FALSE)</f>
        <v>Annex I</v>
      </c>
      <c r="AS2911" s="242" t="str">
        <f>VLOOKUP(Table8[[#This Row],[Country Code]],Table29[],4,FALSE)</f>
        <v>Asia</v>
      </c>
      <c r="AT2911" s="242" t="str">
        <f>VLOOKUP(Table8[[#This Row],[Country Code]],Table29[],5,FALSE)</f>
        <v>Middle-income</v>
      </c>
      <c r="AU2911" s="242" t="str">
        <f>VLOOKUP(Table8[[#This Row],[Country Code]],Table29[],6,FALSE)</f>
        <v>G20</v>
      </c>
      <c r="AV2911" s="242" t="str">
        <f>VLOOKUP(Table8[[#This Row],[Country Code]],Table29[],7,FALSE)</f>
        <v>no</v>
      </c>
      <c r="AW2911" s="242" t="str">
        <f>VLOOKUP(Table8[[#This Row],[Country Code]],Table29[],8,FALSE)</f>
        <v>OECD</v>
      </c>
      <c r="AX2911" s="242" t="str">
        <f>VLOOKUP(Table8[[#This Row],[Country Code]],Table29[],9,FALSE)</f>
        <v>no</v>
      </c>
      <c r="AY2911" s="242" t="str">
        <f>VLOOKUP(Table8[[#This Row],[Country Code]],Table29[],10,FALSE)</f>
        <v>no</v>
      </c>
      <c r="AZ2911" s="242">
        <f>VLOOKUP(Table8[[#This Row],[Country Code]],Table29[],23,FALSE)</f>
        <v>606.42985584790995</v>
      </c>
      <c r="BA2911" s="242">
        <f>VLOOKUP(Table8[[#This Row],[Country Code]],Table29[],24,FALSE)</f>
        <v>95.92080354160332</v>
      </c>
      <c r="BB2911" s="320"/>
      <c r="BC2911" s="320"/>
    </row>
    <row r="2912" spans="1:55" ht="60" hidden="1" x14ac:dyDescent="0.25">
      <c r="A2912" s="373">
        <v>43788</v>
      </c>
      <c r="B2912" s="243" t="str">
        <f>VLOOKUP(Table8[[#This Row],[Document ID]],Table1[],2,FALSE)</f>
        <v>TUR</v>
      </c>
      <c r="C2912" s="243" t="str">
        <f>VLOOKUP(Table8[[#This Row],[Document ID]],Table1[],3,FALSE)</f>
        <v>Türkiye</v>
      </c>
      <c r="D2912" s="243" t="str">
        <f>VLOOKUP(Table8[[#This Row],[Document ID]],Table1[],5,FALSE)</f>
        <v>LTS</v>
      </c>
      <c r="E2912" s="233" t="str">
        <f>VLOOKUP(Table8[[#This Row],[Document ID]],Table1[],7,FALSE)</f>
        <v>LTS</v>
      </c>
      <c r="F2912" s="233" t="str">
        <f>VLOOKUP(Table8[[#This Row],[Document ID]],Table1[],8,FALSE)</f>
        <v>LTS 1.0</v>
      </c>
      <c r="G2912" s="233" t="str">
        <f>VLOOKUP(Table8[[#This Row],[Document ID]],Table1[],10,FALSE)</f>
        <v>Active</v>
      </c>
      <c r="H2912" s="43" t="s">
        <v>2343</v>
      </c>
      <c r="I2912" s="43" t="s">
        <v>2429</v>
      </c>
      <c r="J2912" s="44" t="s">
        <v>2610</v>
      </c>
      <c r="K2912" s="44" t="s">
        <v>4969</v>
      </c>
      <c r="L2912" s="44" t="s">
        <v>2333</v>
      </c>
      <c r="M2912" s="43">
        <v>38</v>
      </c>
      <c r="N2912" s="113"/>
      <c r="O2912" s="113"/>
      <c r="P2912" s="113"/>
      <c r="Q2912" s="113"/>
      <c r="R2912" s="113"/>
      <c r="S2912" s="113" t="s">
        <v>1113</v>
      </c>
      <c r="T2912" s="113"/>
      <c r="U2912" s="113"/>
      <c r="V2912" s="113"/>
      <c r="W2912" s="113"/>
      <c r="X2912" s="113"/>
      <c r="Y2912" s="113"/>
      <c r="Z2912" s="113" t="s">
        <v>1113</v>
      </c>
      <c r="AA2912" s="113"/>
      <c r="AB2912" s="113"/>
      <c r="AC2912" s="113"/>
      <c r="AD2912" s="113" t="s">
        <v>1113</v>
      </c>
      <c r="AE2912" s="113"/>
      <c r="AF2912" s="113"/>
      <c r="AG2912" s="113"/>
      <c r="AH2912" s="113" t="s">
        <v>1113</v>
      </c>
      <c r="AI2912" s="113"/>
      <c r="AJ2912" s="113"/>
      <c r="AK2912" s="113" t="s">
        <v>1113</v>
      </c>
      <c r="AL2912" s="113"/>
      <c r="AM2912" s="113"/>
      <c r="AN2912" s="113"/>
      <c r="AO2912" s="43" t="s">
        <v>2477</v>
      </c>
      <c r="AP2912" s="43" t="s">
        <v>4850</v>
      </c>
      <c r="AQ2912" s="233" t="e">
        <f>VLOOKUP(Table8[[#This Row],[Instrument]],Def_Targets!$D$73:$E$159,2,FALSE)</f>
        <v>#N/A</v>
      </c>
      <c r="AR2912" s="242" t="str">
        <f>VLOOKUP(Table8[[#This Row],[Country Code]],Table29[],3,FALSE)</f>
        <v>Annex I</v>
      </c>
      <c r="AS2912" s="242" t="str">
        <f>VLOOKUP(Table8[[#This Row],[Country Code]],Table29[],4,FALSE)</f>
        <v>Asia</v>
      </c>
      <c r="AT2912" s="242" t="str">
        <f>VLOOKUP(Table8[[#This Row],[Country Code]],Table29[],5,FALSE)</f>
        <v>Middle-income</v>
      </c>
      <c r="AU2912" s="242" t="str">
        <f>VLOOKUP(Table8[[#This Row],[Country Code]],Table29[],6,FALSE)</f>
        <v>G20</v>
      </c>
      <c r="AV2912" s="242" t="str">
        <f>VLOOKUP(Table8[[#This Row],[Country Code]],Table29[],7,FALSE)</f>
        <v>no</v>
      </c>
      <c r="AW2912" s="242" t="str">
        <f>VLOOKUP(Table8[[#This Row],[Country Code]],Table29[],8,FALSE)</f>
        <v>OECD</v>
      </c>
      <c r="AX2912" s="242" t="str">
        <f>VLOOKUP(Table8[[#This Row],[Country Code]],Table29[],9,FALSE)</f>
        <v>no</v>
      </c>
      <c r="AY2912" s="242" t="str">
        <f>VLOOKUP(Table8[[#This Row],[Country Code]],Table29[],10,FALSE)</f>
        <v>no</v>
      </c>
      <c r="AZ2912" s="242">
        <f>VLOOKUP(Table8[[#This Row],[Country Code]],Table29[],23,FALSE)</f>
        <v>606.42985584790995</v>
      </c>
      <c r="BA2912" s="242">
        <f>VLOOKUP(Table8[[#This Row],[Country Code]],Table29[],24,FALSE)</f>
        <v>95.92080354160332</v>
      </c>
      <c r="BB2912" s="320"/>
      <c r="BC2912" s="320"/>
    </row>
    <row r="2913" spans="1:55" ht="75" hidden="1" x14ac:dyDescent="0.25">
      <c r="A2913" s="373">
        <v>43788</v>
      </c>
      <c r="B2913" s="243" t="str">
        <f>VLOOKUP(Table8[[#This Row],[Document ID]],Table1[],2,FALSE)</f>
        <v>TUR</v>
      </c>
      <c r="C2913" s="243" t="str">
        <f>VLOOKUP(Table8[[#This Row],[Document ID]],Table1[],3,FALSE)</f>
        <v>Türkiye</v>
      </c>
      <c r="D2913" s="243" t="str">
        <f>VLOOKUP(Table8[[#This Row],[Document ID]],Table1[],5,FALSE)</f>
        <v>LTS</v>
      </c>
      <c r="E2913" s="233" t="str">
        <f>VLOOKUP(Table8[[#This Row],[Document ID]],Table1[],7,FALSE)</f>
        <v>LTS</v>
      </c>
      <c r="F2913" s="233" t="str">
        <f>VLOOKUP(Table8[[#This Row],[Document ID]],Table1[],8,FALSE)</f>
        <v>LTS 1.0</v>
      </c>
      <c r="G2913" s="233" t="str">
        <f>VLOOKUP(Table8[[#This Row],[Document ID]],Table1[],10,FALSE)</f>
        <v>Active</v>
      </c>
      <c r="H2913" s="43" t="s">
        <v>2343</v>
      </c>
      <c r="I2913" s="43" t="s">
        <v>2386</v>
      </c>
      <c r="J2913" s="43" t="s">
        <v>3055</v>
      </c>
      <c r="K2913" s="44" t="s">
        <v>4970</v>
      </c>
      <c r="L2913" s="44" t="s">
        <v>2333</v>
      </c>
      <c r="M2913" s="43">
        <v>38</v>
      </c>
      <c r="N2913" s="113" t="s">
        <v>1113</v>
      </c>
      <c r="O2913" s="113"/>
      <c r="P2913" s="113"/>
      <c r="Q2913" s="113"/>
      <c r="R2913" s="113"/>
      <c r="S2913" s="113"/>
      <c r="T2913" s="113"/>
      <c r="U2913" s="113"/>
      <c r="V2913" s="113"/>
      <c r="W2913" s="113"/>
      <c r="X2913" s="113"/>
      <c r="Y2913" s="113"/>
      <c r="Z2913" s="113"/>
      <c r="AA2913" s="113"/>
      <c r="AB2913" s="113"/>
      <c r="AC2913" s="113"/>
      <c r="AD2913" s="113"/>
      <c r="AE2913" s="113"/>
      <c r="AF2913" s="113"/>
      <c r="AG2913" s="113"/>
      <c r="AH2913" s="113"/>
      <c r="AI2913" s="113"/>
      <c r="AJ2913" s="113"/>
      <c r="AK2913" s="113" t="s">
        <v>1113</v>
      </c>
      <c r="AL2913" s="113"/>
      <c r="AM2913" s="113"/>
      <c r="AN2913" s="113"/>
      <c r="AO2913" s="43" t="s">
        <v>2334</v>
      </c>
      <c r="AP2913" s="43" t="s">
        <v>4850</v>
      </c>
      <c r="AQ2913" s="233" t="str">
        <f>VLOOKUP(Table8[[#This Row],[Instrument]],Def_Targets!$D$73:$E$159,2,FALSE)</f>
        <v>A_Emistrad</v>
      </c>
      <c r="AR2913" s="242" t="str">
        <f>VLOOKUP(Table8[[#This Row],[Country Code]],Table29[],3,FALSE)</f>
        <v>Annex I</v>
      </c>
      <c r="AS2913" s="242" t="str">
        <f>VLOOKUP(Table8[[#This Row],[Country Code]],Table29[],4,FALSE)</f>
        <v>Asia</v>
      </c>
      <c r="AT2913" s="242" t="str">
        <f>VLOOKUP(Table8[[#This Row],[Country Code]],Table29[],5,FALSE)</f>
        <v>Middle-income</v>
      </c>
      <c r="AU2913" s="242" t="str">
        <f>VLOOKUP(Table8[[#This Row],[Country Code]],Table29[],6,FALSE)</f>
        <v>G20</v>
      </c>
      <c r="AV2913" s="242" t="str">
        <f>VLOOKUP(Table8[[#This Row],[Country Code]],Table29[],7,FALSE)</f>
        <v>no</v>
      </c>
      <c r="AW2913" s="242" t="str">
        <f>VLOOKUP(Table8[[#This Row],[Country Code]],Table29[],8,FALSE)</f>
        <v>OECD</v>
      </c>
      <c r="AX2913" s="242" t="str">
        <f>VLOOKUP(Table8[[#This Row],[Country Code]],Table29[],9,FALSE)</f>
        <v>no</v>
      </c>
      <c r="AY2913" s="242" t="str">
        <f>VLOOKUP(Table8[[#This Row],[Country Code]],Table29[],10,FALSE)</f>
        <v>no</v>
      </c>
      <c r="AZ2913" s="242">
        <f>VLOOKUP(Table8[[#This Row],[Country Code]],Table29[],23,FALSE)</f>
        <v>606.42985584790995</v>
      </c>
      <c r="BA2913" s="242">
        <f>VLOOKUP(Table8[[#This Row],[Country Code]],Table29[],24,FALSE)</f>
        <v>95.92080354160332</v>
      </c>
      <c r="BB2913" s="320"/>
      <c r="BC2913" s="320"/>
    </row>
    <row r="2914" spans="1:55" ht="60" hidden="1" x14ac:dyDescent="0.25">
      <c r="A2914" s="373">
        <v>43788</v>
      </c>
      <c r="B2914" s="243" t="str">
        <f>VLOOKUP(Table8[[#This Row],[Document ID]],Table1[],2,FALSE)</f>
        <v>TUR</v>
      </c>
      <c r="C2914" s="243" t="str">
        <f>VLOOKUP(Table8[[#This Row],[Document ID]],Table1[],3,FALSE)</f>
        <v>Türkiye</v>
      </c>
      <c r="D2914" s="243" t="str">
        <f>VLOOKUP(Table8[[#This Row],[Document ID]],Table1[],5,FALSE)</f>
        <v>LTS</v>
      </c>
      <c r="E2914" s="233" t="str">
        <f>VLOOKUP(Table8[[#This Row],[Document ID]],Table1[],7,FALSE)</f>
        <v>LTS</v>
      </c>
      <c r="F2914" s="233" t="str">
        <f>VLOOKUP(Table8[[#This Row],[Document ID]],Table1[],8,FALSE)</f>
        <v>LTS 1.0</v>
      </c>
      <c r="G2914" s="233" t="str">
        <f>VLOOKUP(Table8[[#This Row],[Document ID]],Table1[],10,FALSE)</f>
        <v>Active</v>
      </c>
      <c r="H2914" s="43" t="s">
        <v>2350</v>
      </c>
      <c r="I2914" s="43" t="s">
        <v>2351</v>
      </c>
      <c r="J2914" s="43" t="s">
        <v>2447</v>
      </c>
      <c r="K2914" s="44" t="s">
        <v>4971</v>
      </c>
      <c r="L2914" s="44" t="s">
        <v>2333</v>
      </c>
      <c r="M2914" s="43">
        <v>38</v>
      </c>
      <c r="N2914" s="113"/>
      <c r="O2914" s="113"/>
      <c r="P2914" s="113"/>
      <c r="Q2914" s="113"/>
      <c r="R2914" s="113"/>
      <c r="S2914" s="113"/>
      <c r="T2914" s="113"/>
      <c r="U2914" s="113"/>
      <c r="V2914" s="113"/>
      <c r="W2914" s="113"/>
      <c r="X2914" s="113"/>
      <c r="Y2914" s="113"/>
      <c r="Z2914" s="113"/>
      <c r="AA2914" s="113"/>
      <c r="AB2914" s="113"/>
      <c r="AC2914" s="113"/>
      <c r="AD2914" s="113" t="s">
        <v>1113</v>
      </c>
      <c r="AE2914" s="113"/>
      <c r="AF2914" s="113"/>
      <c r="AG2914" s="113"/>
      <c r="AH2914" s="113"/>
      <c r="AI2914" s="113"/>
      <c r="AJ2914" s="113"/>
      <c r="AK2914" s="113" t="s">
        <v>1113</v>
      </c>
      <c r="AL2914" s="113"/>
      <c r="AM2914" s="113"/>
      <c r="AN2914" s="113"/>
      <c r="AO2914" s="43" t="s">
        <v>2353</v>
      </c>
      <c r="AP2914" s="43" t="s">
        <v>4850</v>
      </c>
      <c r="AQ2914" s="233" t="str">
        <f>VLOOKUP(Table8[[#This Row],[Instrument]],Def_Targets!$D$73:$E$159,2,FALSE)</f>
        <v>I_Freighteff</v>
      </c>
      <c r="AR2914" s="242" t="str">
        <f>VLOOKUP(Table8[[#This Row],[Country Code]],Table29[],3,FALSE)</f>
        <v>Annex I</v>
      </c>
      <c r="AS2914" s="242" t="str">
        <f>VLOOKUP(Table8[[#This Row],[Country Code]],Table29[],4,FALSE)</f>
        <v>Asia</v>
      </c>
      <c r="AT2914" s="242" t="str">
        <f>VLOOKUP(Table8[[#This Row],[Country Code]],Table29[],5,FALSE)</f>
        <v>Middle-income</v>
      </c>
      <c r="AU2914" s="242" t="str">
        <f>VLOOKUP(Table8[[#This Row],[Country Code]],Table29[],6,FALSE)</f>
        <v>G20</v>
      </c>
      <c r="AV2914" s="242" t="str">
        <f>VLOOKUP(Table8[[#This Row],[Country Code]],Table29[],7,FALSE)</f>
        <v>no</v>
      </c>
      <c r="AW2914" s="242" t="str">
        <f>VLOOKUP(Table8[[#This Row],[Country Code]],Table29[],8,FALSE)</f>
        <v>OECD</v>
      </c>
      <c r="AX2914" s="242" t="str">
        <f>VLOOKUP(Table8[[#This Row],[Country Code]],Table29[],9,FALSE)</f>
        <v>no</v>
      </c>
      <c r="AY2914" s="242" t="str">
        <f>VLOOKUP(Table8[[#This Row],[Country Code]],Table29[],10,FALSE)</f>
        <v>no</v>
      </c>
      <c r="AZ2914" s="242">
        <f>VLOOKUP(Table8[[#This Row],[Country Code]],Table29[],23,FALSE)</f>
        <v>606.42985584790995</v>
      </c>
      <c r="BA2914" s="242">
        <f>VLOOKUP(Table8[[#This Row],[Country Code]],Table29[],24,FALSE)</f>
        <v>95.92080354160332</v>
      </c>
      <c r="BB2914" s="320"/>
      <c r="BC2914" s="320"/>
    </row>
    <row r="2915" spans="1:55" ht="90" hidden="1" x14ac:dyDescent="0.25">
      <c r="A2915" s="373">
        <v>43788</v>
      </c>
      <c r="B2915" s="243" t="str">
        <f>VLOOKUP(Table8[[#This Row],[Document ID]],Table1[],2,FALSE)</f>
        <v>TUR</v>
      </c>
      <c r="C2915" s="243" t="str">
        <f>VLOOKUP(Table8[[#This Row],[Document ID]],Table1[],3,FALSE)</f>
        <v>Türkiye</v>
      </c>
      <c r="D2915" s="243" t="str">
        <f>VLOOKUP(Table8[[#This Row],[Document ID]],Table1[],5,FALSE)</f>
        <v>LTS</v>
      </c>
      <c r="E2915" s="233" t="str">
        <f>VLOOKUP(Table8[[#This Row],[Document ID]],Table1[],7,FALSE)</f>
        <v>LTS</v>
      </c>
      <c r="F2915" s="233" t="str">
        <f>VLOOKUP(Table8[[#This Row],[Document ID]],Table1[],8,FALSE)</f>
        <v>LTS 1.0</v>
      </c>
      <c r="G2915" s="233" t="str">
        <f>VLOOKUP(Table8[[#This Row],[Document ID]],Table1[],10,FALSE)</f>
        <v>Active</v>
      </c>
      <c r="H2915" s="43" t="s">
        <v>2358</v>
      </c>
      <c r="I2915" s="43" t="s">
        <v>2359</v>
      </c>
      <c r="J2915" s="43" t="s">
        <v>3094</v>
      </c>
      <c r="K2915" s="44" t="s">
        <v>4972</v>
      </c>
      <c r="L2915" s="44" t="s">
        <v>2333</v>
      </c>
      <c r="M2915" s="43">
        <v>38</v>
      </c>
      <c r="N2915" s="113" t="s">
        <v>1113</v>
      </c>
      <c r="O2915" s="113"/>
      <c r="P2915" s="113"/>
      <c r="Q2915" s="113"/>
      <c r="R2915" s="113"/>
      <c r="S2915" s="113"/>
      <c r="T2915" s="113"/>
      <c r="U2915" s="113"/>
      <c r="V2915" s="113"/>
      <c r="W2915" s="113"/>
      <c r="X2915" s="113"/>
      <c r="Y2915" s="113"/>
      <c r="Z2915" s="113"/>
      <c r="AA2915" s="113"/>
      <c r="AB2915" s="113"/>
      <c r="AC2915" s="113"/>
      <c r="AD2915" s="113"/>
      <c r="AE2915" s="113"/>
      <c r="AF2915" s="113"/>
      <c r="AG2915" s="113"/>
      <c r="AH2915" s="113"/>
      <c r="AI2915" s="113"/>
      <c r="AJ2915" s="113"/>
      <c r="AK2915" s="113" t="s">
        <v>1113</v>
      </c>
      <c r="AL2915" s="113"/>
      <c r="AM2915" s="113"/>
      <c r="AN2915" s="113"/>
      <c r="AO2915" s="43" t="s">
        <v>2477</v>
      </c>
      <c r="AP2915" s="43" t="s">
        <v>4850</v>
      </c>
      <c r="AQ2915" s="233" t="str">
        <f>VLOOKUP(Table8[[#This Row],[Instrument]],Def_Targets!$D$73:$E$159,2,FALSE)</f>
        <v>I_Smartcharging</v>
      </c>
      <c r="AR2915" s="242" t="str">
        <f>VLOOKUP(Table8[[#This Row],[Country Code]],Table29[],3,FALSE)</f>
        <v>Annex I</v>
      </c>
      <c r="AS2915" s="242" t="str">
        <f>VLOOKUP(Table8[[#This Row],[Country Code]],Table29[],4,FALSE)</f>
        <v>Asia</v>
      </c>
      <c r="AT2915" s="242" t="str">
        <f>VLOOKUP(Table8[[#This Row],[Country Code]],Table29[],5,FALSE)</f>
        <v>Middle-income</v>
      </c>
      <c r="AU2915" s="242" t="str">
        <f>VLOOKUP(Table8[[#This Row],[Country Code]],Table29[],6,FALSE)</f>
        <v>G20</v>
      </c>
      <c r="AV2915" s="242" t="str">
        <f>VLOOKUP(Table8[[#This Row],[Country Code]],Table29[],7,FALSE)</f>
        <v>no</v>
      </c>
      <c r="AW2915" s="242" t="str">
        <f>VLOOKUP(Table8[[#This Row],[Country Code]],Table29[],8,FALSE)</f>
        <v>OECD</v>
      </c>
      <c r="AX2915" s="242" t="str">
        <f>VLOOKUP(Table8[[#This Row],[Country Code]],Table29[],9,FALSE)</f>
        <v>no</v>
      </c>
      <c r="AY2915" s="242" t="str">
        <f>VLOOKUP(Table8[[#This Row],[Country Code]],Table29[],10,FALSE)</f>
        <v>no</v>
      </c>
      <c r="AZ2915" s="242">
        <f>VLOOKUP(Table8[[#This Row],[Country Code]],Table29[],23,FALSE)</f>
        <v>606.42985584790995</v>
      </c>
      <c r="BA2915" s="242">
        <f>VLOOKUP(Table8[[#This Row],[Country Code]],Table29[],24,FALSE)</f>
        <v>95.92080354160332</v>
      </c>
      <c r="BB2915" s="320"/>
      <c r="BC2915" s="320"/>
    </row>
    <row r="2916" spans="1:55" ht="45" hidden="1" x14ac:dyDescent="0.25">
      <c r="A2916" s="373">
        <v>43788</v>
      </c>
      <c r="B2916" s="243" t="str">
        <f>VLOOKUP(Table8[[#This Row],[Document ID]],Table1[],2,FALSE)</f>
        <v>TUR</v>
      </c>
      <c r="C2916" s="243" t="str">
        <f>VLOOKUP(Table8[[#This Row],[Document ID]],Table1[],3,FALSE)</f>
        <v>Türkiye</v>
      </c>
      <c r="D2916" s="243" t="str">
        <f>VLOOKUP(Table8[[#This Row],[Document ID]],Table1[],5,FALSE)</f>
        <v>LTS</v>
      </c>
      <c r="E2916" s="233" t="str">
        <f>VLOOKUP(Table8[[#This Row],[Document ID]],Table1[],7,FALSE)</f>
        <v>LTS</v>
      </c>
      <c r="F2916" s="233" t="str">
        <f>VLOOKUP(Table8[[#This Row],[Document ID]],Table1[],8,FALSE)</f>
        <v>LTS 1.0</v>
      </c>
      <c r="G2916" s="233" t="str">
        <f>VLOOKUP(Table8[[#This Row],[Document ID]],Table1[],10,FALSE)</f>
        <v>Active</v>
      </c>
      <c r="H2916" s="43" t="s">
        <v>2350</v>
      </c>
      <c r="I2916" s="43" t="s">
        <v>2456</v>
      </c>
      <c r="J2916" s="43" t="s">
        <v>2457</v>
      </c>
      <c r="K2916" s="44" t="s">
        <v>4973</v>
      </c>
      <c r="L2916" s="44" t="s">
        <v>2333</v>
      </c>
      <c r="M2916" s="43">
        <v>18</v>
      </c>
      <c r="N2916" s="113"/>
      <c r="O2916" s="113"/>
      <c r="P2916" s="113"/>
      <c r="Q2916" s="113"/>
      <c r="R2916" s="113"/>
      <c r="S2916" s="113"/>
      <c r="T2916" s="113"/>
      <c r="U2916" s="113"/>
      <c r="V2916" s="113"/>
      <c r="W2916" s="113"/>
      <c r="X2916" s="113"/>
      <c r="Y2916" s="113"/>
      <c r="Z2916" s="113" t="s">
        <v>1113</v>
      </c>
      <c r="AA2916" s="113"/>
      <c r="AB2916" s="113"/>
      <c r="AC2916" s="113"/>
      <c r="AD2916" s="113" t="s">
        <v>1113</v>
      </c>
      <c r="AE2916" s="113"/>
      <c r="AF2916" s="113"/>
      <c r="AG2916" s="113"/>
      <c r="AH2916" s="113"/>
      <c r="AI2916" s="113"/>
      <c r="AJ2916" s="113"/>
      <c r="AK2916" s="113" t="s">
        <v>1113</v>
      </c>
      <c r="AL2916" s="113"/>
      <c r="AM2916" s="113"/>
      <c r="AN2916" s="113"/>
      <c r="AO2916" s="43" t="s">
        <v>2334</v>
      </c>
      <c r="AP2916" s="43" t="s">
        <v>4850</v>
      </c>
      <c r="AQ2916" s="233" t="str">
        <f>VLOOKUP(Table8[[#This Row],[Instrument]],Def_Targets!$D$73:$E$159,2,FALSE)</f>
        <v>S_Infraimprove</v>
      </c>
      <c r="AR2916" s="242" t="str">
        <f>VLOOKUP(Table8[[#This Row],[Country Code]],Table29[],3,FALSE)</f>
        <v>Annex I</v>
      </c>
      <c r="AS2916" s="242" t="str">
        <f>VLOOKUP(Table8[[#This Row],[Country Code]],Table29[],4,FALSE)</f>
        <v>Asia</v>
      </c>
      <c r="AT2916" s="242" t="str">
        <f>VLOOKUP(Table8[[#This Row],[Country Code]],Table29[],5,FALSE)</f>
        <v>Middle-income</v>
      </c>
      <c r="AU2916" s="242" t="str">
        <f>VLOOKUP(Table8[[#This Row],[Country Code]],Table29[],6,FALSE)</f>
        <v>G20</v>
      </c>
      <c r="AV2916" s="242" t="str">
        <f>VLOOKUP(Table8[[#This Row],[Country Code]],Table29[],7,FALSE)</f>
        <v>no</v>
      </c>
      <c r="AW2916" s="242" t="str">
        <f>VLOOKUP(Table8[[#This Row],[Country Code]],Table29[],8,FALSE)</f>
        <v>OECD</v>
      </c>
      <c r="AX2916" s="242" t="str">
        <f>VLOOKUP(Table8[[#This Row],[Country Code]],Table29[],9,FALSE)</f>
        <v>no</v>
      </c>
      <c r="AY2916" s="242" t="str">
        <f>VLOOKUP(Table8[[#This Row],[Country Code]],Table29[],10,FALSE)</f>
        <v>no</v>
      </c>
      <c r="AZ2916" s="242">
        <f>VLOOKUP(Table8[[#This Row],[Country Code]],Table29[],23,FALSE)</f>
        <v>606.42985584790995</v>
      </c>
      <c r="BA2916" s="242">
        <f>VLOOKUP(Table8[[#This Row],[Country Code]],Table29[],24,FALSE)</f>
        <v>95.92080354160332</v>
      </c>
      <c r="BB2916" s="320"/>
      <c r="BC2916" s="320"/>
    </row>
    <row r="2917" spans="1:55" ht="90" hidden="1" x14ac:dyDescent="0.25">
      <c r="A2917" s="373">
        <v>43788</v>
      </c>
      <c r="B2917" s="243" t="str">
        <f>VLOOKUP(Table8[[#This Row],[Document ID]],Table1[],2,FALSE)</f>
        <v>TUR</v>
      </c>
      <c r="C2917" s="243" t="str">
        <f>VLOOKUP(Table8[[#This Row],[Document ID]],Table1[],3,FALSE)</f>
        <v>Türkiye</v>
      </c>
      <c r="D2917" s="243" t="str">
        <f>VLOOKUP(Table8[[#This Row],[Document ID]],Table1[],5,FALSE)</f>
        <v>LTS</v>
      </c>
      <c r="E2917" s="233" t="str">
        <f>VLOOKUP(Table8[[#This Row],[Document ID]],Table1[],7,FALSE)</f>
        <v>LTS</v>
      </c>
      <c r="F2917" s="233" t="str">
        <f>VLOOKUP(Table8[[#This Row],[Document ID]],Table1[],8,FALSE)</f>
        <v>LTS 1.0</v>
      </c>
      <c r="G2917" s="233" t="str">
        <f>VLOOKUP(Table8[[#This Row],[Document ID]],Table1[],10,FALSE)</f>
        <v>Active</v>
      </c>
      <c r="H2917" s="43" t="s">
        <v>2343</v>
      </c>
      <c r="I2917" s="43" t="s">
        <v>2429</v>
      </c>
      <c r="J2917" s="43" t="s">
        <v>2430</v>
      </c>
      <c r="K2917" s="44" t="s">
        <v>4974</v>
      </c>
      <c r="L2917" s="44" t="s">
        <v>2333</v>
      </c>
      <c r="M2917" s="43">
        <v>18</v>
      </c>
      <c r="N2917" s="113"/>
      <c r="O2917" s="113"/>
      <c r="P2917" s="113"/>
      <c r="Q2917" s="113"/>
      <c r="R2917" s="113"/>
      <c r="S2917" s="113" t="s">
        <v>1113</v>
      </c>
      <c r="T2917" s="113"/>
      <c r="U2917" s="113"/>
      <c r="V2917" s="113"/>
      <c r="W2917" s="113"/>
      <c r="X2917" s="113"/>
      <c r="Y2917" s="113"/>
      <c r="Z2917" s="113"/>
      <c r="AA2917" s="113"/>
      <c r="AB2917" s="113"/>
      <c r="AC2917" s="113"/>
      <c r="AD2917" s="113"/>
      <c r="AE2917" s="113"/>
      <c r="AF2917" s="113"/>
      <c r="AG2917" s="113"/>
      <c r="AH2917" s="113"/>
      <c r="AI2917" s="113"/>
      <c r="AJ2917" s="113"/>
      <c r="AK2917" s="113" t="s">
        <v>1113</v>
      </c>
      <c r="AL2917" s="113"/>
      <c r="AM2917" s="113"/>
      <c r="AN2917" s="113"/>
      <c r="AO2917" s="43" t="s">
        <v>2334</v>
      </c>
      <c r="AP2917" s="43" t="s">
        <v>4850</v>
      </c>
      <c r="AQ2917" s="233" t="str">
        <f>VLOOKUP(Table8[[#This Row],[Instrument]],Def_Targets!$D$73:$E$159,2,FALSE)</f>
        <v>I_ITS</v>
      </c>
      <c r="AR2917" s="242" t="str">
        <f>VLOOKUP(Table8[[#This Row],[Country Code]],Table29[],3,FALSE)</f>
        <v>Annex I</v>
      </c>
      <c r="AS2917" s="242" t="str">
        <f>VLOOKUP(Table8[[#This Row],[Country Code]],Table29[],4,FALSE)</f>
        <v>Asia</v>
      </c>
      <c r="AT2917" s="242" t="str">
        <f>VLOOKUP(Table8[[#This Row],[Country Code]],Table29[],5,FALSE)</f>
        <v>Middle-income</v>
      </c>
      <c r="AU2917" s="242" t="str">
        <f>VLOOKUP(Table8[[#This Row],[Country Code]],Table29[],6,FALSE)</f>
        <v>G20</v>
      </c>
      <c r="AV2917" s="242" t="str">
        <f>VLOOKUP(Table8[[#This Row],[Country Code]],Table29[],7,FALSE)</f>
        <v>no</v>
      </c>
      <c r="AW2917" s="242" t="str">
        <f>VLOOKUP(Table8[[#This Row],[Country Code]],Table29[],8,FALSE)</f>
        <v>OECD</v>
      </c>
      <c r="AX2917" s="242" t="str">
        <f>VLOOKUP(Table8[[#This Row],[Country Code]],Table29[],9,FALSE)</f>
        <v>no</v>
      </c>
      <c r="AY2917" s="242" t="str">
        <f>VLOOKUP(Table8[[#This Row],[Country Code]],Table29[],10,FALSE)</f>
        <v>no</v>
      </c>
      <c r="AZ2917" s="242">
        <f>VLOOKUP(Table8[[#This Row],[Country Code]],Table29[],23,FALSE)</f>
        <v>606.42985584790995</v>
      </c>
      <c r="BA2917" s="242">
        <f>VLOOKUP(Table8[[#This Row],[Country Code]],Table29[],24,FALSE)</f>
        <v>95.92080354160332</v>
      </c>
      <c r="BB2917" s="320"/>
      <c r="BC2917" s="320"/>
    </row>
    <row r="2918" spans="1:55" ht="30" hidden="1" x14ac:dyDescent="0.25">
      <c r="A2918" s="373">
        <v>43788</v>
      </c>
      <c r="B2918" s="243" t="str">
        <f>VLOOKUP(Table8[[#This Row],[Document ID]],Table1[],2,FALSE)</f>
        <v>TUR</v>
      </c>
      <c r="C2918" s="243" t="str">
        <f>VLOOKUP(Table8[[#This Row],[Document ID]],Table1[],3,FALSE)</f>
        <v>Türkiye</v>
      </c>
      <c r="D2918" s="243" t="str">
        <f>VLOOKUP(Table8[[#This Row],[Document ID]],Table1[],5,FALSE)</f>
        <v>LTS</v>
      </c>
      <c r="E2918" s="233" t="str">
        <f>VLOOKUP(Table8[[#This Row],[Document ID]],Table1[],7,FALSE)</f>
        <v>LTS</v>
      </c>
      <c r="F2918" s="233" t="str">
        <f>VLOOKUP(Table8[[#This Row],[Document ID]],Table1[],8,FALSE)</f>
        <v>LTS 1.0</v>
      </c>
      <c r="G2918" s="233" t="str">
        <f>VLOOKUP(Table8[[#This Row],[Document ID]],Table1[],10,FALSE)</f>
        <v>Active</v>
      </c>
      <c r="H2918" s="43" t="s">
        <v>2484</v>
      </c>
      <c r="I2918" s="43" t="s">
        <v>2485</v>
      </c>
      <c r="J2918" s="43" t="s">
        <v>2978</v>
      </c>
      <c r="K2918" s="44" t="s">
        <v>4975</v>
      </c>
      <c r="L2918" s="44" t="s">
        <v>2333</v>
      </c>
      <c r="M2918" s="43">
        <v>18</v>
      </c>
      <c r="N2918" s="113"/>
      <c r="O2918" s="113"/>
      <c r="P2918" s="113"/>
      <c r="Q2918" s="113"/>
      <c r="R2918" s="113"/>
      <c r="S2918" s="113"/>
      <c r="T2918" s="113"/>
      <c r="U2918" s="113"/>
      <c r="V2918" s="113"/>
      <c r="W2918" s="113"/>
      <c r="X2918" s="113"/>
      <c r="Y2918" s="113"/>
      <c r="Z2918" s="113"/>
      <c r="AA2918" s="113"/>
      <c r="AB2918" s="113"/>
      <c r="AC2918" s="113"/>
      <c r="AD2918" s="113" t="s">
        <v>1113</v>
      </c>
      <c r="AE2918" s="113"/>
      <c r="AF2918" s="113"/>
      <c r="AG2918" s="113"/>
      <c r="AH2918" s="113"/>
      <c r="AI2918" s="113"/>
      <c r="AJ2918" s="113"/>
      <c r="AK2918" s="113" t="s">
        <v>1113</v>
      </c>
      <c r="AL2918" s="113"/>
      <c r="AM2918" s="113"/>
      <c r="AN2918" s="113"/>
      <c r="AO2918" s="43" t="s">
        <v>2334</v>
      </c>
      <c r="AP2918" s="43" t="s">
        <v>4850</v>
      </c>
      <c r="AQ2918" s="233" t="str">
        <f>VLOOKUP(Table8[[#This Row],[Instrument]],Def_Targets!$D$73:$E$159,2,FALSE)</f>
        <v>I_PortInfra</v>
      </c>
      <c r="AR2918" s="242" t="str">
        <f>VLOOKUP(Table8[[#This Row],[Country Code]],Table29[],3,FALSE)</f>
        <v>Annex I</v>
      </c>
      <c r="AS2918" s="242" t="str">
        <f>VLOOKUP(Table8[[#This Row],[Country Code]],Table29[],4,FALSE)</f>
        <v>Asia</v>
      </c>
      <c r="AT2918" s="242" t="str">
        <f>VLOOKUP(Table8[[#This Row],[Country Code]],Table29[],5,FALSE)</f>
        <v>Middle-income</v>
      </c>
      <c r="AU2918" s="242" t="str">
        <f>VLOOKUP(Table8[[#This Row],[Country Code]],Table29[],6,FALSE)</f>
        <v>G20</v>
      </c>
      <c r="AV2918" s="242" t="str">
        <f>VLOOKUP(Table8[[#This Row],[Country Code]],Table29[],7,FALSE)</f>
        <v>no</v>
      </c>
      <c r="AW2918" s="242" t="str">
        <f>VLOOKUP(Table8[[#This Row],[Country Code]],Table29[],8,FALSE)</f>
        <v>OECD</v>
      </c>
      <c r="AX2918" s="242" t="str">
        <f>VLOOKUP(Table8[[#This Row],[Country Code]],Table29[],9,FALSE)</f>
        <v>no</v>
      </c>
      <c r="AY2918" s="242" t="str">
        <f>VLOOKUP(Table8[[#This Row],[Country Code]],Table29[],10,FALSE)</f>
        <v>no</v>
      </c>
      <c r="AZ2918" s="242">
        <f>VLOOKUP(Table8[[#This Row],[Country Code]],Table29[],23,FALSE)</f>
        <v>606.42985584790995</v>
      </c>
      <c r="BA2918" s="242">
        <f>VLOOKUP(Table8[[#This Row],[Country Code]],Table29[],24,FALSE)</f>
        <v>95.92080354160332</v>
      </c>
      <c r="BB2918" s="320"/>
      <c r="BC2918" s="320"/>
    </row>
    <row r="2919" spans="1:55" ht="15" hidden="1" customHeight="1" x14ac:dyDescent="0.25">
      <c r="A2919" s="373">
        <v>43855</v>
      </c>
      <c r="B2919" s="243" t="str">
        <f>VLOOKUP(Table8[[#This Row],[Document ID]],Table1[],2,FALSE)</f>
        <v>IRL</v>
      </c>
      <c r="C2919" s="243" t="str">
        <f>VLOOKUP(Table8[[#This Row],[Document ID]],Table1[],3,FALSE)</f>
        <v>Ireland</v>
      </c>
      <c r="D2919" s="243" t="str">
        <f>VLOOKUP(Table8[[#This Row],[Document ID]],Table1[],5,FALSE)</f>
        <v>LTS</v>
      </c>
      <c r="E2919" s="233" t="str">
        <f>VLOOKUP(Table8[[#This Row],[Document ID]],Table1[],7,FALSE)</f>
        <v>LTS</v>
      </c>
      <c r="F2919" s="233" t="str">
        <f>VLOOKUP(Table8[[#This Row],[Document ID]],Table1[],8,FALSE)</f>
        <v>LTS 1.1</v>
      </c>
      <c r="G2919" s="233" t="str">
        <f>VLOOKUP(Table8[[#This Row],[Document ID]],Table1[],10,FALSE)</f>
        <v>Active</v>
      </c>
      <c r="H2919" s="17" t="s">
        <v>2350</v>
      </c>
      <c r="I2919" s="43" t="s">
        <v>2407</v>
      </c>
      <c r="J2919" s="43" t="s">
        <v>2408</v>
      </c>
      <c r="K2919" s="44" t="s">
        <v>4976</v>
      </c>
      <c r="L2919" s="44" t="s">
        <v>2347</v>
      </c>
      <c r="M2919" s="43">
        <v>61</v>
      </c>
      <c r="N2919" s="113"/>
      <c r="O2919" s="113"/>
      <c r="P2919" s="113"/>
      <c r="Q2919" s="113"/>
      <c r="R2919" s="113"/>
      <c r="S2919" s="113"/>
      <c r="T2919" s="113"/>
      <c r="U2919" s="113" t="s">
        <v>1113</v>
      </c>
      <c r="V2919" s="113"/>
      <c r="W2919" s="113"/>
      <c r="X2919" s="113"/>
      <c r="Y2919" s="113"/>
      <c r="Z2919" s="113"/>
      <c r="AA2919" s="113"/>
      <c r="AB2919" s="113"/>
      <c r="AC2919" s="113"/>
      <c r="AD2919" s="113"/>
      <c r="AE2919" s="113"/>
      <c r="AF2919" s="113"/>
      <c r="AG2919" s="113"/>
      <c r="AH2919" s="113"/>
      <c r="AI2919" s="113"/>
      <c r="AJ2919" s="113"/>
      <c r="AK2919" s="113"/>
      <c r="AL2919" s="113"/>
      <c r="AM2919" s="113"/>
      <c r="AN2919" s="113"/>
      <c r="AO2919" s="43" t="s">
        <v>2348</v>
      </c>
      <c r="AP2919" s="43" t="s">
        <v>4850</v>
      </c>
      <c r="AQ2919" s="233" t="str">
        <f>VLOOKUP(Table8[[#This Row],[Instrument]],Def_Targets!$D$73:$E$159,2,FALSE)</f>
        <v>I_Education</v>
      </c>
      <c r="AR2919" s="242" t="str">
        <f>VLOOKUP(Table8[[#This Row],[Country Code]],Table29[],3,FALSE)</f>
        <v>Annex I</v>
      </c>
      <c r="AS2919" s="242" t="str">
        <f>VLOOKUP(Table8[[#This Row],[Country Code]],Table29[],4,FALSE)</f>
        <v>Europe</v>
      </c>
      <c r="AT2919" s="242" t="str">
        <f>VLOOKUP(Table8[[#This Row],[Country Code]],Table29[],5,FALSE)</f>
        <v>High-income</v>
      </c>
      <c r="AU2919" s="242" t="str">
        <f>VLOOKUP(Table8[[#This Row],[Country Code]],Table29[],6,FALSE)</f>
        <v>no</v>
      </c>
      <c r="AV2919" s="242" t="str">
        <f>VLOOKUP(Table8[[#This Row],[Country Code]],Table29[],7,FALSE)</f>
        <v>no</v>
      </c>
      <c r="AW2919" s="242" t="str">
        <f>VLOOKUP(Table8[[#This Row],[Country Code]],Table29[],8,FALSE)</f>
        <v>OECD</v>
      </c>
      <c r="AX2919" s="242" t="str">
        <f>VLOOKUP(Table8[[#This Row],[Country Code]],Table29[],9,FALSE)</f>
        <v>EU27</v>
      </c>
      <c r="AY2919" s="242" t="str">
        <f>VLOOKUP(Table8[[#This Row],[Country Code]],Table29[],10,FALSE)</f>
        <v>no</v>
      </c>
      <c r="AZ2919" s="242">
        <f>VLOOKUP(Table8[[#This Row],[Country Code]],Table29[],23,FALSE)</f>
        <v>57.853266947361</v>
      </c>
      <c r="BA2919" s="242">
        <f>VLOOKUP(Table8[[#This Row],[Country Code]],Table29[],24,FALSE)</f>
        <v>11.23875075000765</v>
      </c>
      <c r="BB2919" s="320"/>
    </row>
    <row r="2920" spans="1:55" ht="15" hidden="1" customHeight="1" x14ac:dyDescent="0.25">
      <c r="A2920" s="373">
        <v>43855</v>
      </c>
      <c r="B2920" s="243" t="str">
        <f>VLOOKUP(Table8[[#This Row],[Document ID]],Table1[],2,FALSE)</f>
        <v>IRL</v>
      </c>
      <c r="C2920" s="243" t="str">
        <f>VLOOKUP(Table8[[#This Row],[Document ID]],Table1[],3,FALSE)</f>
        <v>Ireland</v>
      </c>
      <c r="D2920" s="243" t="str">
        <f>VLOOKUP(Table8[[#This Row],[Document ID]],Table1[],5,FALSE)</f>
        <v>LTS</v>
      </c>
      <c r="E2920" s="233" t="str">
        <f>VLOOKUP(Table8[[#This Row],[Document ID]],Table1[],7,FALSE)</f>
        <v>LTS</v>
      </c>
      <c r="F2920" s="233" t="str">
        <f>VLOOKUP(Table8[[#This Row],[Document ID]],Table1[],8,FALSE)</f>
        <v>LTS 1.1</v>
      </c>
      <c r="G2920" s="233" t="str">
        <f>VLOOKUP(Table8[[#This Row],[Document ID]],Table1[],10,FALSE)</f>
        <v>Active</v>
      </c>
      <c r="H2920" s="43" t="s">
        <v>2343</v>
      </c>
      <c r="I2920" s="43" t="s">
        <v>2377</v>
      </c>
      <c r="J2920" s="43" t="s">
        <v>2394</v>
      </c>
      <c r="K2920" s="44" t="s">
        <v>4977</v>
      </c>
      <c r="L2920" s="44" t="s">
        <v>4912</v>
      </c>
      <c r="M2920" s="43">
        <v>56</v>
      </c>
      <c r="N2920" s="113"/>
      <c r="O2920" s="113"/>
      <c r="P2920" s="113" t="s">
        <v>1113</v>
      </c>
      <c r="Q2920" s="113"/>
      <c r="R2920" s="113"/>
      <c r="S2920" s="113"/>
      <c r="T2920" s="113"/>
      <c r="U2920" s="113" t="s">
        <v>1113</v>
      </c>
      <c r="V2920" s="113"/>
      <c r="W2920" s="113"/>
      <c r="X2920" s="113"/>
      <c r="Y2920" s="113"/>
      <c r="Z2920" s="113"/>
      <c r="AA2920" s="113"/>
      <c r="AB2920" s="113"/>
      <c r="AC2920" s="113"/>
      <c r="AD2920" s="113"/>
      <c r="AE2920" s="113"/>
      <c r="AF2920" s="113"/>
      <c r="AG2920" s="113"/>
      <c r="AH2920" s="113"/>
      <c r="AI2920" s="113"/>
      <c r="AJ2920" s="113"/>
      <c r="AK2920" s="113"/>
      <c r="AL2920" s="113"/>
      <c r="AM2920" s="113"/>
      <c r="AN2920" s="113"/>
      <c r="AO2920" s="43" t="s">
        <v>2348</v>
      </c>
      <c r="AP2920" s="43" t="s">
        <v>4850</v>
      </c>
      <c r="AQ2920" s="233" t="str">
        <f>VLOOKUP(Table8[[#This Row],[Instrument]],Def_Targets!$D$73:$E$159,2,FALSE)</f>
        <v>A_TDM</v>
      </c>
      <c r="AR2920" s="242" t="str">
        <f>VLOOKUP(Table8[[#This Row],[Country Code]],Table29[],3,FALSE)</f>
        <v>Annex I</v>
      </c>
      <c r="AS2920" s="242" t="str">
        <f>VLOOKUP(Table8[[#This Row],[Country Code]],Table29[],4,FALSE)</f>
        <v>Europe</v>
      </c>
      <c r="AT2920" s="242" t="str">
        <f>VLOOKUP(Table8[[#This Row],[Country Code]],Table29[],5,FALSE)</f>
        <v>High-income</v>
      </c>
      <c r="AU2920" s="242" t="str">
        <f>VLOOKUP(Table8[[#This Row],[Country Code]],Table29[],6,FALSE)</f>
        <v>no</v>
      </c>
      <c r="AV2920" s="242" t="str">
        <f>VLOOKUP(Table8[[#This Row],[Country Code]],Table29[],7,FALSE)</f>
        <v>no</v>
      </c>
      <c r="AW2920" s="242" t="str">
        <f>VLOOKUP(Table8[[#This Row],[Country Code]],Table29[],8,FALSE)</f>
        <v>OECD</v>
      </c>
      <c r="AX2920" s="242" t="str">
        <f>VLOOKUP(Table8[[#This Row],[Country Code]],Table29[],9,FALSE)</f>
        <v>EU27</v>
      </c>
      <c r="AY2920" s="242" t="str">
        <f>VLOOKUP(Table8[[#This Row],[Country Code]],Table29[],10,FALSE)</f>
        <v>no</v>
      </c>
      <c r="AZ2920" s="242">
        <f>VLOOKUP(Table8[[#This Row],[Country Code]],Table29[],23,FALSE)</f>
        <v>57.853266947361</v>
      </c>
      <c r="BA2920" s="242">
        <f>VLOOKUP(Table8[[#This Row],[Country Code]],Table29[],24,FALSE)</f>
        <v>11.23875075000765</v>
      </c>
      <c r="BB2920" s="320"/>
    </row>
    <row r="2921" spans="1:55" ht="15" hidden="1" customHeight="1" x14ac:dyDescent="0.25">
      <c r="A2921" s="373">
        <v>43855</v>
      </c>
      <c r="B2921" s="243" t="str">
        <f>VLOOKUP(Table8[[#This Row],[Document ID]],Table1[],2,FALSE)</f>
        <v>IRL</v>
      </c>
      <c r="C2921" s="243" t="str">
        <f>VLOOKUP(Table8[[#This Row],[Document ID]],Table1[],3,FALSE)</f>
        <v>Ireland</v>
      </c>
      <c r="D2921" s="243" t="str">
        <f>VLOOKUP(Table8[[#This Row],[Document ID]],Table1[],5,FALSE)</f>
        <v>LTS</v>
      </c>
      <c r="E2921" s="233" t="str">
        <f>VLOOKUP(Table8[[#This Row],[Document ID]],Table1[],7,FALSE)</f>
        <v>LTS</v>
      </c>
      <c r="F2921" s="233" t="str">
        <f>VLOOKUP(Table8[[#This Row],[Document ID]],Table1[],8,FALSE)</f>
        <v>LTS 1.1</v>
      </c>
      <c r="G2921" s="233" t="str">
        <f>VLOOKUP(Table8[[#This Row],[Document ID]],Table1[],10,FALSE)</f>
        <v>Active</v>
      </c>
      <c r="H2921" s="43" t="s">
        <v>2358</v>
      </c>
      <c r="I2921" s="43" t="s">
        <v>2359</v>
      </c>
      <c r="J2921" s="43" t="s">
        <v>2360</v>
      </c>
      <c r="K2921" s="44" t="s">
        <v>4977</v>
      </c>
      <c r="L2921" s="44" t="s">
        <v>4912</v>
      </c>
      <c r="M2921" s="43">
        <v>56</v>
      </c>
      <c r="N2921" s="113"/>
      <c r="O2921" s="113"/>
      <c r="P2921" s="113" t="s">
        <v>1113</v>
      </c>
      <c r="Q2921" s="113"/>
      <c r="R2921" s="113"/>
      <c r="S2921" s="113"/>
      <c r="T2921" s="113"/>
      <c r="U2921" s="113" t="s">
        <v>1113</v>
      </c>
      <c r="V2921" s="113"/>
      <c r="W2921" s="113"/>
      <c r="X2921" s="113"/>
      <c r="Y2921" s="113"/>
      <c r="Z2921" s="113"/>
      <c r="AA2921" s="113"/>
      <c r="AB2921" s="113"/>
      <c r="AC2921" s="113"/>
      <c r="AD2921" s="113"/>
      <c r="AE2921" s="113"/>
      <c r="AF2921" s="113"/>
      <c r="AG2921" s="113"/>
      <c r="AH2921" s="113"/>
      <c r="AI2921" s="113"/>
      <c r="AJ2921" s="113"/>
      <c r="AK2921" s="113"/>
      <c r="AL2921" s="113"/>
      <c r="AM2921" s="113"/>
      <c r="AN2921" s="113"/>
      <c r="AO2921" s="43"/>
      <c r="AP2921" s="43"/>
      <c r="AQ2921" s="233" t="str">
        <f>VLOOKUP(Table8[[#This Row],[Instrument]],Def_Targets!$D$73:$E$159,2,FALSE)</f>
        <v>I_Emobility</v>
      </c>
      <c r="AR2921" s="242" t="str">
        <f>VLOOKUP(Table8[[#This Row],[Country Code]],Table29[],3,FALSE)</f>
        <v>Annex I</v>
      </c>
      <c r="AS2921" s="242" t="str">
        <f>VLOOKUP(Table8[[#This Row],[Country Code]],Table29[],4,FALSE)</f>
        <v>Europe</v>
      </c>
      <c r="AT2921" s="242" t="str">
        <f>VLOOKUP(Table8[[#This Row],[Country Code]],Table29[],5,FALSE)</f>
        <v>High-income</v>
      </c>
      <c r="AU2921" s="242" t="str">
        <f>VLOOKUP(Table8[[#This Row],[Country Code]],Table29[],6,FALSE)</f>
        <v>no</v>
      </c>
      <c r="AV2921" s="242" t="str">
        <f>VLOOKUP(Table8[[#This Row],[Country Code]],Table29[],7,FALSE)</f>
        <v>no</v>
      </c>
      <c r="AW2921" s="242" t="str">
        <f>VLOOKUP(Table8[[#This Row],[Country Code]],Table29[],8,FALSE)</f>
        <v>OECD</v>
      </c>
      <c r="AX2921" s="242" t="str">
        <f>VLOOKUP(Table8[[#This Row],[Country Code]],Table29[],9,FALSE)</f>
        <v>EU27</v>
      </c>
      <c r="AY2921" s="242" t="str">
        <f>VLOOKUP(Table8[[#This Row],[Country Code]],Table29[],10,FALSE)</f>
        <v>no</v>
      </c>
      <c r="AZ2921" s="242">
        <f>VLOOKUP(Table8[[#This Row],[Country Code]],Table29[],23,FALSE)</f>
        <v>57.853266947361</v>
      </c>
      <c r="BA2921" s="242">
        <f>VLOOKUP(Table8[[#This Row],[Country Code]],Table29[],24,FALSE)</f>
        <v>11.23875075000765</v>
      </c>
      <c r="BB2921" s="320"/>
    </row>
    <row r="2922" spans="1:55" ht="15" hidden="1" customHeight="1" x14ac:dyDescent="0.25">
      <c r="A2922" s="373">
        <v>43855</v>
      </c>
      <c r="B2922" s="243" t="str">
        <f>VLOOKUP(Table8[[#This Row],[Document ID]],Table1[],2,FALSE)</f>
        <v>IRL</v>
      </c>
      <c r="C2922" s="243" t="str">
        <f>VLOOKUP(Table8[[#This Row],[Document ID]],Table1[],3,FALSE)</f>
        <v>Ireland</v>
      </c>
      <c r="D2922" s="243" t="str">
        <f>VLOOKUP(Table8[[#This Row],[Document ID]],Table1[],5,FALSE)</f>
        <v>LTS</v>
      </c>
      <c r="E2922" s="233" t="str">
        <f>VLOOKUP(Table8[[#This Row],[Document ID]],Table1[],7,FALSE)</f>
        <v>LTS</v>
      </c>
      <c r="F2922" s="233" t="str">
        <f>VLOOKUP(Table8[[#This Row],[Document ID]],Table1[],8,FALSE)</f>
        <v>LTS 1.1</v>
      </c>
      <c r="G2922" s="233" t="str">
        <f>VLOOKUP(Table8[[#This Row],[Document ID]],Table1[],10,FALSE)</f>
        <v>Active</v>
      </c>
      <c r="H2922" s="43" t="s">
        <v>2350</v>
      </c>
      <c r="I2922" s="43" t="s">
        <v>2370</v>
      </c>
      <c r="J2922" s="43" t="s">
        <v>2418</v>
      </c>
      <c r="K2922" s="44" t="s">
        <v>4977</v>
      </c>
      <c r="L2922" s="44" t="s">
        <v>4912</v>
      </c>
      <c r="M2922" s="43">
        <v>56</v>
      </c>
      <c r="N2922" s="113"/>
      <c r="O2922" s="113"/>
      <c r="P2922" s="113" t="s">
        <v>1113</v>
      </c>
      <c r="Q2922" s="113"/>
      <c r="R2922" s="113"/>
      <c r="S2922" s="113"/>
      <c r="T2922" s="113"/>
      <c r="U2922" s="113" t="s">
        <v>1113</v>
      </c>
      <c r="V2922" s="113"/>
      <c r="W2922" s="113"/>
      <c r="X2922" s="113"/>
      <c r="Y2922" s="113"/>
      <c r="Z2922" s="113"/>
      <c r="AA2922" s="113"/>
      <c r="AB2922" s="113"/>
      <c r="AC2922" s="113"/>
      <c r="AD2922" s="113"/>
      <c r="AE2922" s="113"/>
      <c r="AF2922" s="113"/>
      <c r="AG2922" s="113"/>
      <c r="AH2922" s="113"/>
      <c r="AI2922" s="113"/>
      <c r="AJ2922" s="113"/>
      <c r="AK2922" s="113"/>
      <c r="AL2922" s="113"/>
      <c r="AM2922" s="113"/>
      <c r="AN2922" s="113"/>
      <c r="AO2922" s="43"/>
      <c r="AP2922" s="43"/>
      <c r="AQ2922" s="233" t="str">
        <f>VLOOKUP(Table8[[#This Row],[Instrument]],Def_Targets!$D$73:$E$159,2,FALSE)</f>
        <v>A_Complan</v>
      </c>
      <c r="AR2922" s="242" t="str">
        <f>VLOOKUP(Table8[[#This Row],[Country Code]],Table29[],3,FALSE)</f>
        <v>Annex I</v>
      </c>
      <c r="AS2922" s="242" t="str">
        <f>VLOOKUP(Table8[[#This Row],[Country Code]],Table29[],4,FALSE)</f>
        <v>Europe</v>
      </c>
      <c r="AT2922" s="242" t="str">
        <f>VLOOKUP(Table8[[#This Row],[Country Code]],Table29[],5,FALSE)</f>
        <v>High-income</v>
      </c>
      <c r="AU2922" s="242" t="str">
        <f>VLOOKUP(Table8[[#This Row],[Country Code]],Table29[],6,FALSE)</f>
        <v>no</v>
      </c>
      <c r="AV2922" s="242" t="str">
        <f>VLOOKUP(Table8[[#This Row],[Country Code]],Table29[],7,FALSE)</f>
        <v>no</v>
      </c>
      <c r="AW2922" s="242" t="str">
        <f>VLOOKUP(Table8[[#This Row],[Country Code]],Table29[],8,FALSE)</f>
        <v>OECD</v>
      </c>
      <c r="AX2922" s="242" t="str">
        <f>VLOOKUP(Table8[[#This Row],[Country Code]],Table29[],9,FALSE)</f>
        <v>EU27</v>
      </c>
      <c r="AY2922" s="242" t="str">
        <f>VLOOKUP(Table8[[#This Row],[Country Code]],Table29[],10,FALSE)</f>
        <v>no</v>
      </c>
      <c r="AZ2922" s="242">
        <f>VLOOKUP(Table8[[#This Row],[Country Code]],Table29[],23,FALSE)</f>
        <v>57.853266947361</v>
      </c>
      <c r="BA2922" s="242">
        <f>VLOOKUP(Table8[[#This Row],[Country Code]],Table29[],24,FALSE)</f>
        <v>11.23875075000765</v>
      </c>
      <c r="BB2922" s="320"/>
    </row>
    <row r="2923" spans="1:55" ht="15" hidden="1" customHeight="1" x14ac:dyDescent="0.25">
      <c r="A2923" s="373">
        <v>43855</v>
      </c>
      <c r="B2923" s="243" t="str">
        <f>VLOOKUP(Table8[[#This Row],[Document ID]],Table1[],2,FALSE)</f>
        <v>IRL</v>
      </c>
      <c r="C2923" s="243" t="str">
        <f>VLOOKUP(Table8[[#This Row],[Document ID]],Table1[],3,FALSE)</f>
        <v>Ireland</v>
      </c>
      <c r="D2923" s="243" t="str">
        <f>VLOOKUP(Table8[[#This Row],[Document ID]],Table1[],5,FALSE)</f>
        <v>LTS</v>
      </c>
      <c r="E2923" s="233" t="str">
        <f>VLOOKUP(Table8[[#This Row],[Document ID]],Table1[],7,FALSE)</f>
        <v>LTS</v>
      </c>
      <c r="F2923" s="233" t="str">
        <f>VLOOKUP(Table8[[#This Row],[Document ID]],Table1[],8,FALSE)</f>
        <v>LTS 1.1</v>
      </c>
      <c r="G2923" s="233" t="str">
        <f>VLOOKUP(Table8[[#This Row],[Document ID]],Table1[],10,FALSE)</f>
        <v>Active</v>
      </c>
      <c r="H2923" s="43" t="s">
        <v>2329</v>
      </c>
      <c r="I2923" s="43" t="s">
        <v>2330</v>
      </c>
      <c r="J2923" s="43" t="s">
        <v>2357</v>
      </c>
      <c r="K2923" s="44" t="s">
        <v>4978</v>
      </c>
      <c r="L2923" s="44" t="s">
        <v>2333</v>
      </c>
      <c r="M2923" s="43">
        <v>56</v>
      </c>
      <c r="N2923" s="113"/>
      <c r="O2923" s="113"/>
      <c r="P2923" s="113"/>
      <c r="Q2923" s="113"/>
      <c r="R2923" s="113"/>
      <c r="S2923" s="113"/>
      <c r="T2923" s="113"/>
      <c r="U2923" s="113"/>
      <c r="V2923" s="113"/>
      <c r="W2923" s="113"/>
      <c r="X2923" s="113"/>
      <c r="Y2923" s="113"/>
      <c r="Z2923" s="113"/>
      <c r="AA2923" s="113"/>
      <c r="AB2923" s="113"/>
      <c r="AC2923" s="113"/>
      <c r="AD2923" s="113"/>
      <c r="AE2923" s="113"/>
      <c r="AF2923" s="113"/>
      <c r="AG2923" s="113"/>
      <c r="AH2923" s="113"/>
      <c r="AI2923" s="113"/>
      <c r="AJ2923" s="113"/>
      <c r="AK2923" s="113"/>
      <c r="AL2923" s="113"/>
      <c r="AM2923" s="113"/>
      <c r="AN2923" s="113"/>
      <c r="AO2923" s="43"/>
      <c r="AP2923" s="43"/>
      <c r="AQ2923" s="233" t="str">
        <f>VLOOKUP(Table8[[#This Row],[Instrument]],Def_Targets!$D$73:$E$159,2,FALSE)</f>
        <v>I_Biofuel</v>
      </c>
      <c r="AR2923" s="242" t="str">
        <f>VLOOKUP(Table8[[#This Row],[Country Code]],Table29[],3,FALSE)</f>
        <v>Annex I</v>
      </c>
      <c r="AS2923" s="242" t="str">
        <f>VLOOKUP(Table8[[#This Row],[Country Code]],Table29[],4,FALSE)</f>
        <v>Europe</v>
      </c>
      <c r="AT2923" s="242" t="str">
        <f>VLOOKUP(Table8[[#This Row],[Country Code]],Table29[],5,FALSE)</f>
        <v>High-income</v>
      </c>
      <c r="AU2923" s="242" t="str">
        <f>VLOOKUP(Table8[[#This Row],[Country Code]],Table29[],6,FALSE)</f>
        <v>no</v>
      </c>
      <c r="AV2923" s="242" t="str">
        <f>VLOOKUP(Table8[[#This Row],[Country Code]],Table29[],7,FALSE)</f>
        <v>no</v>
      </c>
      <c r="AW2923" s="242" t="str">
        <f>VLOOKUP(Table8[[#This Row],[Country Code]],Table29[],8,FALSE)</f>
        <v>OECD</v>
      </c>
      <c r="AX2923" s="242" t="str">
        <f>VLOOKUP(Table8[[#This Row],[Country Code]],Table29[],9,FALSE)</f>
        <v>EU27</v>
      </c>
      <c r="AY2923" s="242" t="str">
        <f>VLOOKUP(Table8[[#This Row],[Country Code]],Table29[],10,FALSE)</f>
        <v>no</v>
      </c>
      <c r="AZ2923" s="242">
        <f>VLOOKUP(Table8[[#This Row],[Country Code]],Table29[],23,FALSE)</f>
        <v>57.853266947361</v>
      </c>
      <c r="BA2923" s="242">
        <f>VLOOKUP(Table8[[#This Row],[Country Code]],Table29[],24,FALSE)</f>
        <v>11.23875075000765</v>
      </c>
      <c r="BB2923" s="320"/>
    </row>
    <row r="2924" spans="1:55" ht="15" hidden="1" customHeight="1" x14ac:dyDescent="0.25">
      <c r="A2924" s="373">
        <v>43855</v>
      </c>
      <c r="B2924" s="243" t="str">
        <f>VLOOKUP(Table8[[#This Row],[Document ID]],Table1[],2,FALSE)</f>
        <v>IRL</v>
      </c>
      <c r="C2924" s="243" t="str">
        <f>VLOOKUP(Table8[[#This Row],[Document ID]],Table1[],3,FALSE)</f>
        <v>Ireland</v>
      </c>
      <c r="D2924" s="243" t="str">
        <f>VLOOKUP(Table8[[#This Row],[Document ID]],Table1[],5,FALSE)</f>
        <v>LTS</v>
      </c>
      <c r="E2924" s="233" t="str">
        <f>VLOOKUP(Table8[[#This Row],[Document ID]],Table1[],7,FALSE)</f>
        <v>LTS</v>
      </c>
      <c r="F2924" s="233" t="str">
        <f>VLOOKUP(Table8[[#This Row],[Document ID]],Table1[],8,FALSE)</f>
        <v>LTS 1.1</v>
      </c>
      <c r="G2924" s="233" t="str">
        <f>VLOOKUP(Table8[[#This Row],[Document ID]],Table1[],10,FALSE)</f>
        <v>Active</v>
      </c>
      <c r="H2924" s="43" t="s">
        <v>2343</v>
      </c>
      <c r="I2924" s="43" t="s">
        <v>2361</v>
      </c>
      <c r="J2924" s="43" t="s">
        <v>2366</v>
      </c>
      <c r="K2924" s="44" t="s">
        <v>4979</v>
      </c>
      <c r="L2924" s="44" t="s">
        <v>2347</v>
      </c>
      <c r="M2924" s="43">
        <v>57</v>
      </c>
      <c r="N2924" s="113"/>
      <c r="O2924" s="113"/>
      <c r="P2924" s="113"/>
      <c r="Q2924" s="113"/>
      <c r="R2924" s="113"/>
      <c r="S2924" s="113"/>
      <c r="T2924" s="113"/>
      <c r="U2924" s="113"/>
      <c r="V2924" s="113"/>
      <c r="W2924" s="113"/>
      <c r="X2924" s="113"/>
      <c r="Y2924" s="113"/>
      <c r="Z2924" s="113"/>
      <c r="AA2924" s="113"/>
      <c r="AB2924" s="113"/>
      <c r="AC2924" s="113"/>
      <c r="AD2924" s="113"/>
      <c r="AE2924" s="113"/>
      <c r="AF2924" s="113"/>
      <c r="AG2924" s="113"/>
      <c r="AH2924" s="113"/>
      <c r="AI2924" s="113"/>
      <c r="AJ2924" s="113"/>
      <c r="AK2924" s="113"/>
      <c r="AL2924" s="113"/>
      <c r="AM2924" s="113"/>
      <c r="AN2924" s="113"/>
      <c r="AO2924" s="43"/>
      <c r="AP2924" s="43"/>
      <c r="AQ2924" s="233" t="str">
        <f>VLOOKUP(Table8[[#This Row],[Instrument]],Def_Targets!$D$73:$E$159,2,FALSE)</f>
        <v>S_Activemobility</v>
      </c>
      <c r="AR2924" s="242" t="str">
        <f>VLOOKUP(Table8[[#This Row],[Country Code]],Table29[],3,FALSE)</f>
        <v>Annex I</v>
      </c>
      <c r="AS2924" s="242" t="str">
        <f>VLOOKUP(Table8[[#This Row],[Country Code]],Table29[],4,FALSE)</f>
        <v>Europe</v>
      </c>
      <c r="AT2924" s="242" t="str">
        <f>VLOOKUP(Table8[[#This Row],[Country Code]],Table29[],5,FALSE)</f>
        <v>High-income</v>
      </c>
      <c r="AU2924" s="242" t="str">
        <f>VLOOKUP(Table8[[#This Row],[Country Code]],Table29[],6,FALSE)</f>
        <v>no</v>
      </c>
      <c r="AV2924" s="242" t="str">
        <f>VLOOKUP(Table8[[#This Row],[Country Code]],Table29[],7,FALSE)</f>
        <v>no</v>
      </c>
      <c r="AW2924" s="242" t="str">
        <f>VLOOKUP(Table8[[#This Row],[Country Code]],Table29[],8,FALSE)</f>
        <v>OECD</v>
      </c>
      <c r="AX2924" s="242" t="str">
        <f>VLOOKUP(Table8[[#This Row],[Country Code]],Table29[],9,FALSE)</f>
        <v>EU27</v>
      </c>
      <c r="AY2924" s="242" t="str">
        <f>VLOOKUP(Table8[[#This Row],[Country Code]],Table29[],10,FALSE)</f>
        <v>no</v>
      </c>
      <c r="AZ2924" s="242">
        <f>VLOOKUP(Table8[[#This Row],[Country Code]],Table29[],23,FALSE)</f>
        <v>57.853266947361</v>
      </c>
      <c r="BA2924" s="242">
        <f>VLOOKUP(Table8[[#This Row],[Country Code]],Table29[],24,FALSE)</f>
        <v>11.23875075000765</v>
      </c>
      <c r="BB2924" s="320"/>
    </row>
    <row r="2925" spans="1:55" ht="15" hidden="1" customHeight="1" x14ac:dyDescent="0.25">
      <c r="A2925" s="373">
        <v>43855</v>
      </c>
      <c r="B2925" s="243" t="str">
        <f>VLOOKUP(Table8[[#This Row],[Document ID]],Table1[],2,FALSE)</f>
        <v>IRL</v>
      </c>
      <c r="C2925" s="243" t="str">
        <f>VLOOKUP(Table8[[#This Row],[Document ID]],Table1[],3,FALSE)</f>
        <v>Ireland</v>
      </c>
      <c r="D2925" s="243" t="str">
        <f>VLOOKUP(Table8[[#This Row],[Document ID]],Table1[],5,FALSE)</f>
        <v>LTS</v>
      </c>
      <c r="E2925" s="233" t="str">
        <f>VLOOKUP(Table8[[#This Row],[Document ID]],Table1[],7,FALSE)</f>
        <v>LTS</v>
      </c>
      <c r="F2925" s="233" t="str">
        <f>VLOOKUP(Table8[[#This Row],[Document ID]],Table1[],8,FALSE)</f>
        <v>LTS 1.1</v>
      </c>
      <c r="G2925" s="233" t="str">
        <f>VLOOKUP(Table8[[#This Row],[Document ID]],Table1[],10,FALSE)</f>
        <v>Active</v>
      </c>
      <c r="H2925" s="43" t="s">
        <v>2343</v>
      </c>
      <c r="I2925" s="43" t="s">
        <v>2344</v>
      </c>
      <c r="J2925" s="43" t="s">
        <v>2345</v>
      </c>
      <c r="K2925" s="44" t="s">
        <v>4979</v>
      </c>
      <c r="L2925" s="44" t="s">
        <v>2347</v>
      </c>
      <c r="M2925" s="43">
        <v>57</v>
      </c>
      <c r="N2925" s="113"/>
      <c r="O2925" s="113"/>
      <c r="P2925" s="113"/>
      <c r="Q2925" s="113"/>
      <c r="R2925" s="113"/>
      <c r="S2925" s="113"/>
      <c r="T2925" s="113"/>
      <c r="U2925" s="113"/>
      <c r="V2925" s="113"/>
      <c r="W2925" s="113"/>
      <c r="X2925" s="113"/>
      <c r="Y2925" s="113"/>
      <c r="Z2925" s="113"/>
      <c r="AA2925" s="113"/>
      <c r="AB2925" s="113"/>
      <c r="AC2925" s="113"/>
      <c r="AD2925" s="113"/>
      <c r="AE2925" s="113"/>
      <c r="AF2925" s="113"/>
      <c r="AG2925" s="113"/>
      <c r="AH2925" s="113"/>
      <c r="AI2925" s="113"/>
      <c r="AJ2925" s="113"/>
      <c r="AK2925" s="113"/>
      <c r="AL2925" s="113"/>
      <c r="AM2925" s="113"/>
      <c r="AN2925" s="113"/>
      <c r="AO2925" s="43"/>
      <c r="AP2925" s="43"/>
      <c r="AQ2925" s="233" t="str">
        <f>VLOOKUP(Table8[[#This Row],[Instrument]],Def_Targets!$D$73:$E$159,2,FALSE)</f>
        <v>S_PublicTransport</v>
      </c>
      <c r="AR2925" s="242" t="str">
        <f>VLOOKUP(Table8[[#This Row],[Country Code]],Table29[],3,FALSE)</f>
        <v>Annex I</v>
      </c>
      <c r="AS2925" s="242" t="str">
        <f>VLOOKUP(Table8[[#This Row],[Country Code]],Table29[],4,FALSE)</f>
        <v>Europe</v>
      </c>
      <c r="AT2925" s="242" t="str">
        <f>VLOOKUP(Table8[[#This Row],[Country Code]],Table29[],5,FALSE)</f>
        <v>High-income</v>
      </c>
      <c r="AU2925" s="242" t="str">
        <f>VLOOKUP(Table8[[#This Row],[Country Code]],Table29[],6,FALSE)</f>
        <v>no</v>
      </c>
      <c r="AV2925" s="242" t="str">
        <f>VLOOKUP(Table8[[#This Row],[Country Code]],Table29[],7,FALSE)</f>
        <v>no</v>
      </c>
      <c r="AW2925" s="242" t="str">
        <f>VLOOKUP(Table8[[#This Row],[Country Code]],Table29[],8,FALSE)</f>
        <v>OECD</v>
      </c>
      <c r="AX2925" s="242" t="str">
        <f>VLOOKUP(Table8[[#This Row],[Country Code]],Table29[],9,FALSE)</f>
        <v>EU27</v>
      </c>
      <c r="AY2925" s="242" t="str">
        <f>VLOOKUP(Table8[[#This Row],[Country Code]],Table29[],10,FALSE)</f>
        <v>no</v>
      </c>
      <c r="AZ2925" s="242">
        <f>VLOOKUP(Table8[[#This Row],[Country Code]],Table29[],23,FALSE)</f>
        <v>57.853266947361</v>
      </c>
      <c r="BA2925" s="242">
        <f>VLOOKUP(Table8[[#This Row],[Country Code]],Table29[],24,FALSE)</f>
        <v>11.23875075000765</v>
      </c>
      <c r="BB2925" s="320"/>
    </row>
    <row r="2926" spans="1:55" ht="173.45" customHeight="1" x14ac:dyDescent="0.25">
      <c r="A2926" s="373">
        <v>43699</v>
      </c>
      <c r="B2926" s="243" t="str">
        <f>VLOOKUP(Table8[[#This Row],[Document ID]],Table1[],2,FALSE)</f>
        <v>ARE</v>
      </c>
      <c r="C2926" s="243" t="str">
        <f>VLOOKUP(Table8[[#This Row],[Document ID]],Table1[],3,FALSE)</f>
        <v>United Arab Emirates</v>
      </c>
      <c r="D2926" s="243" t="str">
        <f>VLOOKUP(Table8[[#This Row],[Document ID]],Table1[],5,FALSE)</f>
        <v>NDC</v>
      </c>
      <c r="E2926" s="233" t="str">
        <f>VLOOKUP(Table8[[#This Row],[Document ID]],Table1[],7,FALSE)</f>
        <v>Third NDC</v>
      </c>
      <c r="F2926" s="233" t="str">
        <f>VLOOKUP(Table8[[#This Row],[Document ID]],Table1[],8,FALSE)</f>
        <v>NDC 3.0</v>
      </c>
      <c r="G2926" s="233" t="str">
        <f>VLOOKUP(Table8[[#This Row],[Document ID]],Table1[],10,FALSE)</f>
        <v>Active</v>
      </c>
      <c r="H2926" s="43" t="s">
        <v>2358</v>
      </c>
      <c r="I2926" s="43" t="s">
        <v>2359</v>
      </c>
      <c r="J2926" s="43" t="s">
        <v>2360</v>
      </c>
      <c r="K2926" s="44" t="s">
        <v>4980</v>
      </c>
      <c r="L2926" s="44" t="s">
        <v>2333</v>
      </c>
      <c r="M2926" s="43" t="s">
        <v>4981</v>
      </c>
      <c r="N2926" s="113"/>
      <c r="O2926" s="113"/>
      <c r="P2926" s="113"/>
      <c r="Q2926" s="113"/>
      <c r="R2926" s="113"/>
      <c r="S2926" s="113" t="s">
        <v>1113</v>
      </c>
      <c r="T2926" s="113"/>
      <c r="U2926" s="113"/>
      <c r="V2926" s="113"/>
      <c r="W2926" s="113" t="s">
        <v>1113</v>
      </c>
      <c r="X2926" s="113"/>
      <c r="Y2926" s="113" t="s">
        <v>1113</v>
      </c>
      <c r="Z2926" s="113"/>
      <c r="AA2926" s="113"/>
      <c r="AB2926" s="113"/>
      <c r="AC2926" s="113" t="s">
        <v>1113</v>
      </c>
      <c r="AD2926" s="113"/>
      <c r="AE2926" s="113"/>
      <c r="AF2926" s="113"/>
      <c r="AG2926" s="113"/>
      <c r="AH2926" s="113"/>
      <c r="AI2926" s="113"/>
      <c r="AJ2926" s="113"/>
      <c r="AK2926" s="113"/>
      <c r="AL2926" s="113" t="s">
        <v>1113</v>
      </c>
      <c r="AM2926" s="113"/>
      <c r="AN2926" s="113"/>
      <c r="AO2926" s="43" t="s">
        <v>2348</v>
      </c>
      <c r="AP2926" s="43" t="s">
        <v>4850</v>
      </c>
      <c r="AQ2926" s="233" t="str">
        <f>VLOOKUP(Table8[[#This Row],[Instrument]],Def_Targets!$D$73:$E$159,2,FALSE)</f>
        <v>I_Emobility</v>
      </c>
      <c r="AR2926" s="242" t="str">
        <f>VLOOKUP(Table8[[#This Row],[Country Code]],Table29[],3,FALSE)</f>
        <v>Non-Annex I</v>
      </c>
      <c r="AS2926" s="242" t="str">
        <f>VLOOKUP(Table8[[#This Row],[Country Code]],Table29[],4,FALSE)</f>
        <v>Asia</v>
      </c>
      <c r="AT2926" s="242" t="str">
        <f>VLOOKUP(Table8[[#This Row],[Country Code]],Table29[],5,FALSE)</f>
        <v>High-income</v>
      </c>
      <c r="AU2926" s="242" t="str">
        <f>VLOOKUP(Table8[[#This Row],[Country Code]],Table29[],6,FALSE)</f>
        <v>no</v>
      </c>
      <c r="AV2926" s="242" t="str">
        <f>VLOOKUP(Table8[[#This Row],[Country Code]],Table29[],7,FALSE)</f>
        <v>no</v>
      </c>
      <c r="AW2926" s="242" t="str">
        <f>VLOOKUP(Table8[[#This Row],[Country Code]],Table29[],8,FALSE)</f>
        <v>non-OECD</v>
      </c>
      <c r="AX2926" s="242" t="str">
        <f>VLOOKUP(Table8[[#This Row],[Country Code]],Table29[],9,FALSE)</f>
        <v>no</v>
      </c>
      <c r="AY2926" s="242" t="str">
        <f>VLOOKUP(Table8[[#This Row],[Country Code]],Table29[],10,FALSE)</f>
        <v>MENA</v>
      </c>
      <c r="AZ2926" s="242">
        <f>VLOOKUP(Table8[[#This Row],[Country Code]],Table29[],23,FALSE)</f>
        <v>267.82319378585998</v>
      </c>
      <c r="BA2926" s="242">
        <f>VLOOKUP(Table8[[#This Row],[Country Code]],Table29[],24,FALSE)</f>
        <v>43.860911308351241</v>
      </c>
      <c r="BB2926" s="320"/>
    </row>
    <row r="2927" spans="1:55" ht="173.45" customHeight="1" x14ac:dyDescent="0.25">
      <c r="A2927" s="373">
        <v>43699</v>
      </c>
      <c r="B2927" s="243" t="str">
        <f>VLOOKUP(Table8[[#This Row],[Document ID]],Table1[],2,FALSE)</f>
        <v>ARE</v>
      </c>
      <c r="C2927" s="243" t="str">
        <f>VLOOKUP(Table8[[#This Row],[Document ID]],Table1[],3,FALSE)</f>
        <v>United Arab Emirates</v>
      </c>
      <c r="D2927" s="243" t="str">
        <f>VLOOKUP(Table8[[#This Row],[Document ID]],Table1[],5,FALSE)</f>
        <v>NDC</v>
      </c>
      <c r="E2927" s="233" t="str">
        <f>VLOOKUP(Table8[[#This Row],[Document ID]],Table1[],7,FALSE)</f>
        <v>Third NDC</v>
      </c>
      <c r="F2927" s="233" t="str">
        <f>VLOOKUP(Table8[[#This Row],[Document ID]],Table1[],8,FALSE)</f>
        <v>NDC 3.0</v>
      </c>
      <c r="G2927" s="233" t="str">
        <f>VLOOKUP(Table8[[#This Row],[Document ID]],Table1[],10,FALSE)</f>
        <v>Active</v>
      </c>
      <c r="H2927" s="43" t="s">
        <v>2358</v>
      </c>
      <c r="I2927" s="43" t="s">
        <v>2359</v>
      </c>
      <c r="J2927" s="43" t="s">
        <v>2383</v>
      </c>
      <c r="K2927" s="44" t="s">
        <v>4982</v>
      </c>
      <c r="L2927" s="44" t="s">
        <v>2333</v>
      </c>
      <c r="M2927" s="43" t="s">
        <v>4981</v>
      </c>
      <c r="N2927" s="113"/>
      <c r="O2927" s="113"/>
      <c r="P2927" s="113"/>
      <c r="Q2927" s="113"/>
      <c r="R2927" s="113"/>
      <c r="S2927" s="113" t="s">
        <v>1113</v>
      </c>
      <c r="T2927" s="113"/>
      <c r="U2927" s="113"/>
      <c r="V2927" s="113"/>
      <c r="W2927" s="113"/>
      <c r="X2927" s="113"/>
      <c r="Y2927" s="113"/>
      <c r="Z2927" s="113"/>
      <c r="AA2927" s="113"/>
      <c r="AB2927" s="113"/>
      <c r="AC2927" s="113"/>
      <c r="AD2927" s="113"/>
      <c r="AE2927" s="113"/>
      <c r="AF2927" s="113"/>
      <c r="AG2927" s="113"/>
      <c r="AH2927" s="113"/>
      <c r="AI2927" s="113"/>
      <c r="AJ2927" s="113"/>
      <c r="AK2927" s="113"/>
      <c r="AL2927" s="113" t="s">
        <v>1113</v>
      </c>
      <c r="AM2927" s="113"/>
      <c r="AN2927" s="113"/>
      <c r="AO2927" s="43" t="s">
        <v>2348</v>
      </c>
      <c r="AP2927" s="43" t="s">
        <v>4850</v>
      </c>
      <c r="AQ2927" s="233" t="str">
        <f>VLOOKUP(Table8[[#This Row],[Instrument]],Def_Targets!$D$73:$E$159,2,FALSE)</f>
        <v>I_Emobilitycharging</v>
      </c>
      <c r="AR2927" s="242" t="str">
        <f>VLOOKUP(Table8[[#This Row],[Country Code]],Table29[],3,FALSE)</f>
        <v>Non-Annex I</v>
      </c>
      <c r="AS2927" s="242" t="str">
        <f>VLOOKUP(Table8[[#This Row],[Country Code]],Table29[],4,FALSE)</f>
        <v>Asia</v>
      </c>
      <c r="AT2927" s="242" t="str">
        <f>VLOOKUP(Table8[[#This Row],[Country Code]],Table29[],5,FALSE)</f>
        <v>High-income</v>
      </c>
      <c r="AU2927" s="242" t="str">
        <f>VLOOKUP(Table8[[#This Row],[Country Code]],Table29[],6,FALSE)</f>
        <v>no</v>
      </c>
      <c r="AV2927" s="242" t="str">
        <f>VLOOKUP(Table8[[#This Row],[Country Code]],Table29[],7,FALSE)</f>
        <v>no</v>
      </c>
      <c r="AW2927" s="242" t="str">
        <f>VLOOKUP(Table8[[#This Row],[Country Code]],Table29[],8,FALSE)</f>
        <v>non-OECD</v>
      </c>
      <c r="AX2927" s="242" t="str">
        <f>VLOOKUP(Table8[[#This Row],[Country Code]],Table29[],9,FALSE)</f>
        <v>no</v>
      </c>
      <c r="AY2927" s="242" t="str">
        <f>VLOOKUP(Table8[[#This Row],[Country Code]],Table29[],10,FALSE)</f>
        <v>MENA</v>
      </c>
      <c r="AZ2927" s="242">
        <f>VLOOKUP(Table8[[#This Row],[Country Code]],Table29[],23,FALSE)</f>
        <v>267.82319378585998</v>
      </c>
      <c r="BA2927" s="242">
        <f>VLOOKUP(Table8[[#This Row],[Country Code]],Table29[],24,FALSE)</f>
        <v>43.860911308351241</v>
      </c>
      <c r="BB2927" s="320"/>
    </row>
    <row r="2928" spans="1:55" ht="57" customHeight="1" x14ac:dyDescent="0.25">
      <c r="A2928" s="373">
        <v>43699</v>
      </c>
      <c r="B2928" s="243" t="str">
        <f>VLOOKUP(Table8[[#This Row],[Document ID]],Table1[],2,FALSE)</f>
        <v>ARE</v>
      </c>
      <c r="C2928" s="243" t="str">
        <f>VLOOKUP(Table8[[#This Row],[Document ID]],Table1[],3,FALSE)</f>
        <v>United Arab Emirates</v>
      </c>
      <c r="D2928" s="243" t="str">
        <f>VLOOKUP(Table8[[#This Row],[Document ID]],Table1[],5,FALSE)</f>
        <v>NDC</v>
      </c>
      <c r="E2928" s="233" t="str">
        <f>VLOOKUP(Table8[[#This Row],[Document ID]],Table1[],7,FALSE)</f>
        <v>Third NDC</v>
      </c>
      <c r="F2928" s="233" t="str">
        <f>VLOOKUP(Table8[[#This Row],[Document ID]],Table1[],8,FALSE)</f>
        <v>NDC 3.0</v>
      </c>
      <c r="G2928" s="233" t="str">
        <f>VLOOKUP(Table8[[#This Row],[Document ID]],Table1[],10,FALSE)</f>
        <v>Active</v>
      </c>
      <c r="H2928" s="43" t="s">
        <v>2358</v>
      </c>
      <c r="I2928" s="43" t="s">
        <v>2359</v>
      </c>
      <c r="J2928" s="43" t="s">
        <v>3094</v>
      </c>
      <c r="K2928" s="44" t="s">
        <v>4983</v>
      </c>
      <c r="L2928" s="44" t="s">
        <v>2347</v>
      </c>
      <c r="M2928" s="43">
        <v>30</v>
      </c>
      <c r="N2928" s="113"/>
      <c r="O2928" s="113"/>
      <c r="P2928" s="113"/>
      <c r="Q2928" s="113"/>
      <c r="R2928" s="113"/>
      <c r="S2928" s="113"/>
      <c r="T2928" s="113"/>
      <c r="U2928" s="113"/>
      <c r="V2928" s="113"/>
      <c r="W2928" s="113"/>
      <c r="X2928" s="113"/>
      <c r="Y2928" s="113" t="s">
        <v>1113</v>
      </c>
      <c r="Z2928" s="113"/>
      <c r="AA2928" s="113"/>
      <c r="AB2928" s="113"/>
      <c r="AC2928" s="113"/>
      <c r="AD2928" s="113"/>
      <c r="AE2928" s="113"/>
      <c r="AF2928" s="113"/>
      <c r="AG2928" s="113"/>
      <c r="AH2928" s="113"/>
      <c r="AI2928" s="113"/>
      <c r="AJ2928" s="113"/>
      <c r="AK2928" s="113"/>
      <c r="AL2928" s="113" t="s">
        <v>1113</v>
      </c>
      <c r="AM2928" s="113"/>
      <c r="AN2928" s="113"/>
      <c r="AO2928" s="43" t="s">
        <v>2348</v>
      </c>
      <c r="AP2928" s="43" t="s">
        <v>4850</v>
      </c>
      <c r="AQ2928" s="233" t="str">
        <f>VLOOKUP(Table8[[#This Row],[Instrument]],Def_Targets!$D$73:$E$159,2,FALSE)</f>
        <v>I_Smartcharging</v>
      </c>
      <c r="AR2928" s="242" t="str">
        <f>VLOOKUP(Table8[[#This Row],[Country Code]],Table29[],3,FALSE)</f>
        <v>Non-Annex I</v>
      </c>
      <c r="AS2928" s="242" t="str">
        <f>VLOOKUP(Table8[[#This Row],[Country Code]],Table29[],4,FALSE)</f>
        <v>Asia</v>
      </c>
      <c r="AT2928" s="242" t="str">
        <f>VLOOKUP(Table8[[#This Row],[Country Code]],Table29[],5,FALSE)</f>
        <v>High-income</v>
      </c>
      <c r="AU2928" s="242" t="str">
        <f>VLOOKUP(Table8[[#This Row],[Country Code]],Table29[],6,FALSE)</f>
        <v>no</v>
      </c>
      <c r="AV2928" s="242" t="str">
        <f>VLOOKUP(Table8[[#This Row],[Country Code]],Table29[],7,FALSE)</f>
        <v>no</v>
      </c>
      <c r="AW2928" s="242" t="str">
        <f>VLOOKUP(Table8[[#This Row],[Country Code]],Table29[],8,FALSE)</f>
        <v>non-OECD</v>
      </c>
      <c r="AX2928" s="242" t="str">
        <f>VLOOKUP(Table8[[#This Row],[Country Code]],Table29[],9,FALSE)</f>
        <v>no</v>
      </c>
      <c r="AY2928" s="242" t="str">
        <f>VLOOKUP(Table8[[#This Row],[Country Code]],Table29[],10,FALSE)</f>
        <v>MENA</v>
      </c>
      <c r="AZ2928" s="242">
        <f>VLOOKUP(Table8[[#This Row],[Country Code]],Table29[],23,FALSE)</f>
        <v>267.82319378585998</v>
      </c>
      <c r="BA2928" s="242">
        <f>VLOOKUP(Table8[[#This Row],[Country Code]],Table29[],24,FALSE)</f>
        <v>43.860911308351241</v>
      </c>
      <c r="BB2928" s="320"/>
    </row>
    <row r="2929" spans="1:54" ht="30" x14ac:dyDescent="0.25">
      <c r="A2929" s="373">
        <v>43699</v>
      </c>
      <c r="B2929" s="243" t="str">
        <f>VLOOKUP(Table8[[#This Row],[Document ID]],Table1[],2,FALSE)</f>
        <v>ARE</v>
      </c>
      <c r="C2929" s="243" t="str">
        <f>VLOOKUP(Table8[[#This Row],[Document ID]],Table1[],3,FALSE)</f>
        <v>United Arab Emirates</v>
      </c>
      <c r="D2929" s="243" t="str">
        <f>VLOOKUP(Table8[[#This Row],[Document ID]],Table1[],5,FALSE)</f>
        <v>NDC</v>
      </c>
      <c r="E2929" s="233" t="str">
        <f>VLOOKUP(Table8[[#This Row],[Document ID]],Table1[],7,FALSE)</f>
        <v>Third NDC</v>
      </c>
      <c r="F2929" s="233" t="str">
        <f>VLOOKUP(Table8[[#This Row],[Document ID]],Table1[],8,FALSE)</f>
        <v>NDC 3.0</v>
      </c>
      <c r="G2929" s="233" t="str">
        <f>VLOOKUP(Table8[[#This Row],[Document ID]],Table1[],10,FALSE)</f>
        <v>Active</v>
      </c>
      <c r="H2929" s="43" t="s">
        <v>2358</v>
      </c>
      <c r="I2929" s="43" t="s">
        <v>2359</v>
      </c>
      <c r="J2929" s="43" t="s">
        <v>2389</v>
      </c>
      <c r="K2929" s="44" t="s">
        <v>4984</v>
      </c>
      <c r="L2929" s="44" t="s">
        <v>2333</v>
      </c>
      <c r="M2929" s="43">
        <v>30</v>
      </c>
      <c r="N2929" s="113"/>
      <c r="O2929" s="113"/>
      <c r="P2929" s="113"/>
      <c r="Q2929" s="113"/>
      <c r="R2929" s="113"/>
      <c r="S2929" s="113" t="s">
        <v>1113</v>
      </c>
      <c r="T2929" s="113"/>
      <c r="U2929" s="113"/>
      <c r="V2929" s="113"/>
      <c r="W2929" s="113"/>
      <c r="X2929" s="113"/>
      <c r="Y2929" s="113"/>
      <c r="Z2929" s="113"/>
      <c r="AA2929" s="113"/>
      <c r="AB2929" s="113"/>
      <c r="AC2929" s="113"/>
      <c r="AD2929" s="113"/>
      <c r="AE2929" s="113"/>
      <c r="AF2929" s="113"/>
      <c r="AG2929" s="113"/>
      <c r="AH2929" s="113"/>
      <c r="AI2929" s="113"/>
      <c r="AJ2929" s="113"/>
      <c r="AK2929" s="113"/>
      <c r="AL2929" s="113" t="s">
        <v>1113</v>
      </c>
      <c r="AM2929" s="113"/>
      <c r="AN2929" s="113"/>
      <c r="AO2929" s="43" t="s">
        <v>2348</v>
      </c>
      <c r="AP2929" s="43" t="s">
        <v>4850</v>
      </c>
      <c r="AQ2929" s="233" t="str">
        <f>VLOOKUP(Table8[[#This Row],[Instrument]],Def_Targets!$D$73:$E$159,2,FALSE)</f>
        <v>I_Emobilitypurchase</v>
      </c>
      <c r="AR2929" s="242" t="str">
        <f>VLOOKUP(Table8[[#This Row],[Country Code]],Table29[],3,FALSE)</f>
        <v>Non-Annex I</v>
      </c>
      <c r="AS2929" s="242" t="str">
        <f>VLOOKUP(Table8[[#This Row],[Country Code]],Table29[],4,FALSE)</f>
        <v>Asia</v>
      </c>
      <c r="AT2929" s="242" t="str">
        <f>VLOOKUP(Table8[[#This Row],[Country Code]],Table29[],5,FALSE)</f>
        <v>High-income</v>
      </c>
      <c r="AU2929" s="242" t="str">
        <f>VLOOKUP(Table8[[#This Row],[Country Code]],Table29[],6,FALSE)</f>
        <v>no</v>
      </c>
      <c r="AV2929" s="242" t="str">
        <f>VLOOKUP(Table8[[#This Row],[Country Code]],Table29[],7,FALSE)</f>
        <v>no</v>
      </c>
      <c r="AW2929" s="242" t="str">
        <f>VLOOKUP(Table8[[#This Row],[Country Code]],Table29[],8,FALSE)</f>
        <v>non-OECD</v>
      </c>
      <c r="AX2929" s="242" t="str">
        <f>VLOOKUP(Table8[[#This Row],[Country Code]],Table29[],9,FALSE)</f>
        <v>no</v>
      </c>
      <c r="AY2929" s="242" t="str">
        <f>VLOOKUP(Table8[[#This Row],[Country Code]],Table29[],10,FALSE)</f>
        <v>MENA</v>
      </c>
      <c r="AZ2929" s="242">
        <f>VLOOKUP(Table8[[#This Row],[Country Code]],Table29[],23,FALSE)</f>
        <v>267.82319378585998</v>
      </c>
      <c r="BA2929" s="242">
        <f>VLOOKUP(Table8[[#This Row],[Country Code]],Table29[],24,FALSE)</f>
        <v>43.860911308351241</v>
      </c>
      <c r="BB2929" s="320"/>
    </row>
    <row r="2930" spans="1:54" ht="30" x14ac:dyDescent="0.25">
      <c r="A2930" s="373">
        <v>43699</v>
      </c>
      <c r="B2930" s="243" t="str">
        <f>VLOOKUP(Table8[[#This Row],[Document ID]],Table1[],2,FALSE)</f>
        <v>ARE</v>
      </c>
      <c r="C2930" s="243" t="str">
        <f>VLOOKUP(Table8[[#This Row],[Document ID]],Table1[],3,FALSE)</f>
        <v>United Arab Emirates</v>
      </c>
      <c r="D2930" s="243" t="str">
        <f>VLOOKUP(Table8[[#This Row],[Document ID]],Table1[],5,FALSE)</f>
        <v>NDC</v>
      </c>
      <c r="E2930" s="233" t="str">
        <f>VLOOKUP(Table8[[#This Row],[Document ID]],Table1[],7,FALSE)</f>
        <v>Third NDC</v>
      </c>
      <c r="F2930" s="233" t="str">
        <f>VLOOKUP(Table8[[#This Row],[Document ID]],Table1[],8,FALSE)</f>
        <v>NDC 3.0</v>
      </c>
      <c r="G2930" s="233" t="str">
        <f>VLOOKUP(Table8[[#This Row],[Document ID]],Table1[],10,FALSE)</f>
        <v>Active</v>
      </c>
      <c r="H2930" s="43" t="s">
        <v>2358</v>
      </c>
      <c r="I2930" s="43" t="s">
        <v>2359</v>
      </c>
      <c r="J2930" s="43" t="s">
        <v>2360</v>
      </c>
      <c r="K2930" s="44" t="s">
        <v>4985</v>
      </c>
      <c r="L2930" s="44" t="s">
        <v>2333</v>
      </c>
      <c r="M2930" s="43">
        <v>30</v>
      </c>
      <c r="N2930" s="113"/>
      <c r="O2930" s="113"/>
      <c r="P2930" s="113"/>
      <c r="Q2930" s="113"/>
      <c r="R2930" s="113"/>
      <c r="S2930" s="113"/>
      <c r="T2930" s="113"/>
      <c r="U2930" s="113"/>
      <c r="V2930" s="113"/>
      <c r="W2930" s="113" t="s">
        <v>1113</v>
      </c>
      <c r="X2930" s="113"/>
      <c r="Y2930" s="113"/>
      <c r="Z2930" s="113"/>
      <c r="AA2930" s="113"/>
      <c r="AB2930" s="113"/>
      <c r="AC2930" s="113"/>
      <c r="AD2930" s="113"/>
      <c r="AE2930" s="113"/>
      <c r="AF2930" s="113"/>
      <c r="AG2930" s="113"/>
      <c r="AH2930" s="113"/>
      <c r="AI2930" s="113"/>
      <c r="AJ2930" s="113"/>
      <c r="AK2930" s="113"/>
      <c r="AL2930" s="113" t="s">
        <v>1113</v>
      </c>
      <c r="AM2930" s="113"/>
      <c r="AN2930" s="113"/>
      <c r="AO2930" s="43" t="s">
        <v>2348</v>
      </c>
      <c r="AP2930" s="43" t="s">
        <v>4850</v>
      </c>
      <c r="AQ2930" s="233" t="str">
        <f>VLOOKUP(Table8[[#This Row],[Instrument]],Def_Targets!$D$73:$E$159,2,FALSE)</f>
        <v>I_Emobility</v>
      </c>
      <c r="AR2930" s="242" t="str">
        <f>VLOOKUP(Table8[[#This Row],[Country Code]],Table29[],3,FALSE)</f>
        <v>Non-Annex I</v>
      </c>
      <c r="AS2930" s="242" t="str">
        <f>VLOOKUP(Table8[[#This Row],[Country Code]],Table29[],4,FALSE)</f>
        <v>Asia</v>
      </c>
      <c r="AT2930" s="242" t="str">
        <f>VLOOKUP(Table8[[#This Row],[Country Code]],Table29[],5,FALSE)</f>
        <v>High-income</v>
      </c>
      <c r="AU2930" s="242" t="str">
        <f>VLOOKUP(Table8[[#This Row],[Country Code]],Table29[],6,FALSE)</f>
        <v>no</v>
      </c>
      <c r="AV2930" s="242" t="str">
        <f>VLOOKUP(Table8[[#This Row],[Country Code]],Table29[],7,FALSE)</f>
        <v>no</v>
      </c>
      <c r="AW2930" s="242" t="str">
        <f>VLOOKUP(Table8[[#This Row],[Country Code]],Table29[],8,FALSE)</f>
        <v>non-OECD</v>
      </c>
      <c r="AX2930" s="242" t="str">
        <f>VLOOKUP(Table8[[#This Row],[Country Code]],Table29[],9,FALSE)</f>
        <v>no</v>
      </c>
      <c r="AY2930" s="242" t="str">
        <f>VLOOKUP(Table8[[#This Row],[Country Code]],Table29[],10,FALSE)</f>
        <v>MENA</v>
      </c>
      <c r="AZ2930" s="242">
        <f>VLOOKUP(Table8[[#This Row],[Country Code]],Table29[],23,FALSE)</f>
        <v>267.82319378585998</v>
      </c>
      <c r="BA2930" s="242">
        <f>VLOOKUP(Table8[[#This Row],[Country Code]],Table29[],24,FALSE)</f>
        <v>43.860911308351241</v>
      </c>
      <c r="BB2930" s="320"/>
    </row>
    <row r="2931" spans="1:54" ht="45" x14ac:dyDescent="0.25">
      <c r="A2931" s="373">
        <v>43857</v>
      </c>
      <c r="B2931" s="243" t="str">
        <f>VLOOKUP(Table8[[#This Row],[Document ID]],Table1[],2,FALSE)</f>
        <v>GBR</v>
      </c>
      <c r="C2931" s="243" t="str">
        <f>VLOOKUP(Table8[[#This Row],[Document ID]],Table1[],3,FALSE)</f>
        <v>United Kingdom</v>
      </c>
      <c r="D2931" s="243" t="str">
        <f>VLOOKUP(Table8[[#This Row],[Document ID]],Table1[],5,FALSE)</f>
        <v>NDC</v>
      </c>
      <c r="E2931" s="233" t="str">
        <f>VLOOKUP(Table8[[#This Row],[Document ID]],Table1[],7,FALSE)</f>
        <v>Third NDC</v>
      </c>
      <c r="F2931" s="233" t="str">
        <f>VLOOKUP(Table8[[#This Row],[Document ID]],Table1[],8,FALSE)</f>
        <v>NDC 3.0</v>
      </c>
      <c r="G2931" s="233" t="str">
        <f>VLOOKUP(Table8[[#This Row],[Document ID]],Table1[],10,FALSE)</f>
        <v>Active</v>
      </c>
      <c r="H2931" s="43" t="s">
        <v>2358</v>
      </c>
      <c r="I2931" s="43" t="s">
        <v>2359</v>
      </c>
      <c r="J2931" s="43" t="s">
        <v>2360</v>
      </c>
      <c r="K2931" s="44" t="s">
        <v>4986</v>
      </c>
      <c r="L2931" s="44" t="s">
        <v>2333</v>
      </c>
      <c r="M2931" s="43">
        <v>14</v>
      </c>
      <c r="N2931" s="113"/>
      <c r="O2931" s="113"/>
      <c r="P2931" s="113"/>
      <c r="Q2931" s="113"/>
      <c r="R2931" s="113"/>
      <c r="S2931" s="113"/>
      <c r="T2931" s="113"/>
      <c r="U2931" s="113" t="s">
        <v>1113</v>
      </c>
      <c r="V2931" s="113"/>
      <c r="W2931" s="113"/>
      <c r="X2931" s="113"/>
      <c r="Y2931" s="113"/>
      <c r="Z2931" s="113"/>
      <c r="AA2931" s="113"/>
      <c r="AB2931" s="113"/>
      <c r="AC2931" s="113"/>
      <c r="AD2931" s="113"/>
      <c r="AE2931" s="113"/>
      <c r="AF2931" s="113"/>
      <c r="AG2931" s="113"/>
      <c r="AH2931" s="113"/>
      <c r="AI2931" s="113"/>
      <c r="AJ2931" s="113"/>
      <c r="AK2931" s="113" t="s">
        <v>1113</v>
      </c>
      <c r="AL2931" s="113"/>
      <c r="AM2931" s="113"/>
      <c r="AN2931" s="113"/>
      <c r="AO2931" s="43" t="s">
        <v>2334</v>
      </c>
      <c r="AP2931" s="43" t="s">
        <v>4873</v>
      </c>
      <c r="AQ2931" s="233" t="str">
        <f>VLOOKUP(Table8[[#This Row],[Instrument]],Def_Targets!$D$73:$E$159,2,FALSE)</f>
        <v>I_Emobility</v>
      </c>
      <c r="AR2931" s="242" t="str">
        <f>VLOOKUP(Table8[[#This Row],[Country Code]],Table29[],3,FALSE)</f>
        <v>Annex I</v>
      </c>
      <c r="AS2931" s="242" t="str">
        <f>VLOOKUP(Table8[[#This Row],[Country Code]],Table29[],4,FALSE)</f>
        <v>Europe</v>
      </c>
      <c r="AT2931" s="242" t="str">
        <f>VLOOKUP(Table8[[#This Row],[Country Code]],Table29[],5,FALSE)</f>
        <v>High-income</v>
      </c>
      <c r="AU2931" s="242" t="str">
        <f>VLOOKUP(Table8[[#This Row],[Country Code]],Table29[],6,FALSE)</f>
        <v>G20</v>
      </c>
      <c r="AV2931" s="242" t="str">
        <f>VLOOKUP(Table8[[#This Row],[Country Code]],Table29[],7,FALSE)</f>
        <v>G7</v>
      </c>
      <c r="AW2931" s="242" t="str">
        <f>VLOOKUP(Table8[[#This Row],[Country Code]],Table29[],8,FALSE)</f>
        <v>OECD</v>
      </c>
      <c r="AX2931" s="242" t="str">
        <f>VLOOKUP(Table8[[#This Row],[Country Code]],Table29[],9,FALSE)</f>
        <v>no</v>
      </c>
      <c r="AY2931" s="242" t="str">
        <f>VLOOKUP(Table8[[#This Row],[Country Code]],Table29[],10,FALSE)</f>
        <v>no</v>
      </c>
      <c r="AZ2931" s="242">
        <f>VLOOKUP(Table8[[#This Row],[Country Code]],Table29[],23,FALSE)</f>
        <v>379.31858785213001</v>
      </c>
      <c r="BA2931" s="242">
        <f>VLOOKUP(Table8[[#This Row],[Country Code]],Table29[],24,FALSE)</f>
        <v>109.75048777474809</v>
      </c>
      <c r="BB2931" s="320"/>
    </row>
    <row r="2932" spans="1:54" ht="75" x14ac:dyDescent="0.25">
      <c r="A2932" s="373">
        <v>43857</v>
      </c>
      <c r="B2932" s="243" t="str">
        <f>VLOOKUP(Table8[[#This Row],[Document ID]],Table1[],2,FALSE)</f>
        <v>GBR</v>
      </c>
      <c r="C2932" s="243" t="str">
        <f>VLOOKUP(Table8[[#This Row],[Document ID]],Table1[],3,FALSE)</f>
        <v>United Kingdom</v>
      </c>
      <c r="D2932" s="243" t="str">
        <f>VLOOKUP(Table8[[#This Row],[Document ID]],Table1[],5,FALSE)</f>
        <v>NDC</v>
      </c>
      <c r="E2932" s="233" t="str">
        <f>VLOOKUP(Table8[[#This Row],[Document ID]],Table1[],7,FALSE)</f>
        <v>Third NDC</v>
      </c>
      <c r="F2932" s="233" t="str">
        <f>VLOOKUP(Table8[[#This Row],[Document ID]],Table1[],8,FALSE)</f>
        <v>NDC 3.0</v>
      </c>
      <c r="G2932" s="233" t="str">
        <f>VLOOKUP(Table8[[#This Row],[Document ID]],Table1[],10,FALSE)</f>
        <v>Active</v>
      </c>
      <c r="H2932" s="43" t="s">
        <v>2358</v>
      </c>
      <c r="I2932" s="43" t="s">
        <v>2359</v>
      </c>
      <c r="J2932" s="43" t="s">
        <v>2360</v>
      </c>
      <c r="K2932" s="44" t="s">
        <v>4987</v>
      </c>
      <c r="L2932" s="44" t="s">
        <v>2333</v>
      </c>
      <c r="M2932" s="43">
        <v>20</v>
      </c>
      <c r="N2932" s="113" t="s">
        <v>1113</v>
      </c>
      <c r="O2932" s="113"/>
      <c r="P2932" s="113"/>
      <c r="Q2932" s="113"/>
      <c r="R2932" s="113"/>
      <c r="S2932" s="113"/>
      <c r="T2932" s="113"/>
      <c r="U2932" s="113"/>
      <c r="V2932" s="113"/>
      <c r="W2932" s="113"/>
      <c r="X2932" s="113"/>
      <c r="Y2932" s="113"/>
      <c r="Z2932" s="113"/>
      <c r="AA2932" s="113"/>
      <c r="AB2932" s="113"/>
      <c r="AC2932" s="113"/>
      <c r="AD2932" s="113"/>
      <c r="AE2932" s="113"/>
      <c r="AF2932" s="113"/>
      <c r="AG2932" s="113"/>
      <c r="AH2932" s="113"/>
      <c r="AI2932" s="113"/>
      <c r="AJ2932" s="113"/>
      <c r="AK2932" s="113" t="s">
        <v>1113</v>
      </c>
      <c r="AL2932" s="113"/>
      <c r="AM2932" s="113"/>
      <c r="AN2932" s="113"/>
      <c r="AO2932" s="43" t="s">
        <v>2334</v>
      </c>
      <c r="AP2932" s="43" t="s">
        <v>4873</v>
      </c>
      <c r="AQ2932" s="233" t="str">
        <f>VLOOKUP(Table8[[#This Row],[Instrument]],Def_Targets!$D$73:$E$159,2,FALSE)</f>
        <v>I_Emobility</v>
      </c>
      <c r="AR2932" s="242" t="str">
        <f>VLOOKUP(Table8[[#This Row],[Country Code]],Table29[],3,FALSE)</f>
        <v>Annex I</v>
      </c>
      <c r="AS2932" s="242" t="str">
        <f>VLOOKUP(Table8[[#This Row],[Country Code]],Table29[],4,FALSE)</f>
        <v>Europe</v>
      </c>
      <c r="AT2932" s="242" t="str">
        <f>VLOOKUP(Table8[[#This Row],[Country Code]],Table29[],5,FALSE)</f>
        <v>High-income</v>
      </c>
      <c r="AU2932" s="242" t="str">
        <f>VLOOKUP(Table8[[#This Row],[Country Code]],Table29[],6,FALSE)</f>
        <v>G20</v>
      </c>
      <c r="AV2932" s="242" t="str">
        <f>VLOOKUP(Table8[[#This Row],[Country Code]],Table29[],7,FALSE)</f>
        <v>G7</v>
      </c>
      <c r="AW2932" s="242" t="str">
        <f>VLOOKUP(Table8[[#This Row],[Country Code]],Table29[],8,FALSE)</f>
        <v>OECD</v>
      </c>
      <c r="AX2932" s="242" t="str">
        <f>VLOOKUP(Table8[[#This Row],[Country Code]],Table29[],9,FALSE)</f>
        <v>no</v>
      </c>
      <c r="AY2932" s="242" t="str">
        <f>VLOOKUP(Table8[[#This Row],[Country Code]],Table29[],10,FALSE)</f>
        <v>no</v>
      </c>
      <c r="AZ2932" s="242">
        <f>VLOOKUP(Table8[[#This Row],[Country Code]],Table29[],23,FALSE)</f>
        <v>379.31858785213001</v>
      </c>
      <c r="BA2932" s="242">
        <f>VLOOKUP(Table8[[#This Row],[Country Code]],Table29[],24,FALSE)</f>
        <v>109.75048777474809</v>
      </c>
      <c r="BB2932" s="320"/>
    </row>
    <row r="2933" spans="1:54" ht="45" x14ac:dyDescent="0.25">
      <c r="A2933" s="373">
        <v>43857</v>
      </c>
      <c r="B2933" s="243" t="str">
        <f>VLOOKUP(Table8[[#This Row],[Document ID]],Table1[],2,FALSE)</f>
        <v>GBR</v>
      </c>
      <c r="C2933" s="243" t="str">
        <f>VLOOKUP(Table8[[#This Row],[Document ID]],Table1[],3,FALSE)</f>
        <v>United Kingdom</v>
      </c>
      <c r="D2933" s="243" t="str">
        <f>VLOOKUP(Table8[[#This Row],[Document ID]],Table1[],5,FALSE)</f>
        <v>NDC</v>
      </c>
      <c r="E2933" s="233" t="str">
        <f>VLOOKUP(Table8[[#This Row],[Document ID]],Table1[],7,FALSE)</f>
        <v>Third NDC</v>
      </c>
      <c r="F2933" s="233" t="str">
        <f>VLOOKUP(Table8[[#This Row],[Document ID]],Table1[],8,FALSE)</f>
        <v>NDC 3.0</v>
      </c>
      <c r="G2933" s="233" t="str">
        <f>VLOOKUP(Table8[[#This Row],[Document ID]],Table1[],10,FALSE)</f>
        <v>Active</v>
      </c>
      <c r="H2933" s="43" t="s">
        <v>2358</v>
      </c>
      <c r="I2933" s="43" t="s">
        <v>2359</v>
      </c>
      <c r="J2933" s="43" t="s">
        <v>2360</v>
      </c>
      <c r="K2933" s="44" t="s">
        <v>4988</v>
      </c>
      <c r="L2933" s="44" t="s">
        <v>2333</v>
      </c>
      <c r="M2933" s="557" t="s">
        <v>4989</v>
      </c>
      <c r="N2933" s="113" t="s">
        <v>1113</v>
      </c>
      <c r="O2933" s="113"/>
      <c r="P2933" s="113"/>
      <c r="Q2933" s="113"/>
      <c r="R2933" s="113"/>
      <c r="S2933" s="113"/>
      <c r="T2933" s="113"/>
      <c r="U2933" s="113"/>
      <c r="V2933" s="113"/>
      <c r="W2933" s="113"/>
      <c r="X2933" s="113"/>
      <c r="Y2933" s="113"/>
      <c r="Z2933" s="113"/>
      <c r="AA2933" s="113"/>
      <c r="AB2933" s="113"/>
      <c r="AC2933" s="113"/>
      <c r="AD2933" s="113"/>
      <c r="AE2933" s="113"/>
      <c r="AF2933" s="113"/>
      <c r="AG2933" s="113"/>
      <c r="AH2933" s="113"/>
      <c r="AI2933" s="113"/>
      <c r="AJ2933" s="113"/>
      <c r="AK2933" s="113" t="s">
        <v>1113</v>
      </c>
      <c r="AL2933" s="113"/>
      <c r="AM2933" s="113"/>
      <c r="AN2933" s="113"/>
      <c r="AO2933" s="43" t="s">
        <v>2334</v>
      </c>
      <c r="AP2933" s="43" t="s">
        <v>4873</v>
      </c>
      <c r="AQ2933" s="233" t="str">
        <f>VLOOKUP(Table8[[#This Row],[Instrument]],Def_Targets!$D$73:$E$159,2,FALSE)</f>
        <v>I_Emobility</v>
      </c>
      <c r="AR2933" s="242" t="str">
        <f>VLOOKUP(Table8[[#This Row],[Country Code]],Table29[],3,FALSE)</f>
        <v>Annex I</v>
      </c>
      <c r="AS2933" s="242" t="str">
        <f>VLOOKUP(Table8[[#This Row],[Country Code]],Table29[],4,FALSE)</f>
        <v>Europe</v>
      </c>
      <c r="AT2933" s="242" t="str">
        <f>VLOOKUP(Table8[[#This Row],[Country Code]],Table29[],5,FALSE)</f>
        <v>High-income</v>
      </c>
      <c r="AU2933" s="242" t="str">
        <f>VLOOKUP(Table8[[#This Row],[Country Code]],Table29[],6,FALSE)</f>
        <v>G20</v>
      </c>
      <c r="AV2933" s="242" t="str">
        <f>VLOOKUP(Table8[[#This Row],[Country Code]],Table29[],7,FALSE)</f>
        <v>G7</v>
      </c>
      <c r="AW2933" s="242" t="str">
        <f>VLOOKUP(Table8[[#This Row],[Country Code]],Table29[],8,FALSE)</f>
        <v>OECD</v>
      </c>
      <c r="AX2933" s="242" t="str">
        <f>VLOOKUP(Table8[[#This Row],[Country Code]],Table29[],9,FALSE)</f>
        <v>no</v>
      </c>
      <c r="AY2933" s="242" t="str">
        <f>VLOOKUP(Table8[[#This Row],[Country Code]],Table29[],10,FALSE)</f>
        <v>no</v>
      </c>
      <c r="AZ2933" s="242">
        <f>VLOOKUP(Table8[[#This Row],[Country Code]],Table29[],23,FALSE)</f>
        <v>379.31858785213001</v>
      </c>
      <c r="BA2933" s="242">
        <f>VLOOKUP(Table8[[#This Row],[Country Code]],Table29[],24,FALSE)</f>
        <v>109.75048777474809</v>
      </c>
      <c r="BB2933" s="320"/>
    </row>
    <row r="2934" spans="1:54" ht="71.099999999999994" customHeight="1" x14ac:dyDescent="0.25">
      <c r="A2934" s="373">
        <v>43857</v>
      </c>
      <c r="B2934" s="243" t="str">
        <f>VLOOKUP(Table8[[#This Row],[Document ID]],Table1[],2,FALSE)</f>
        <v>GBR</v>
      </c>
      <c r="C2934" s="243" t="str">
        <f>VLOOKUP(Table8[[#This Row],[Document ID]],Table1[],3,FALSE)</f>
        <v>United Kingdom</v>
      </c>
      <c r="D2934" s="243" t="str">
        <f>VLOOKUP(Table8[[#This Row],[Document ID]],Table1[],5,FALSE)</f>
        <v>NDC</v>
      </c>
      <c r="E2934" s="233" t="str">
        <f>VLOOKUP(Table8[[#This Row],[Document ID]],Table1[],7,FALSE)</f>
        <v>Third NDC</v>
      </c>
      <c r="F2934" s="233" t="str">
        <f>VLOOKUP(Table8[[#This Row],[Document ID]],Table1[],8,FALSE)</f>
        <v>NDC 3.0</v>
      </c>
      <c r="G2934" s="233" t="str">
        <f>VLOOKUP(Table8[[#This Row],[Document ID]],Table1[],10,FALSE)</f>
        <v>Active</v>
      </c>
      <c r="H2934" s="43" t="s">
        <v>2358</v>
      </c>
      <c r="I2934" s="43" t="s">
        <v>2359</v>
      </c>
      <c r="J2934" s="43" t="s">
        <v>2360</v>
      </c>
      <c r="K2934" s="44" t="s">
        <v>4990</v>
      </c>
      <c r="L2934" s="44" t="s">
        <v>2333</v>
      </c>
      <c r="M2934" s="43" t="s">
        <v>4991</v>
      </c>
      <c r="N2934" s="113" t="s">
        <v>1113</v>
      </c>
      <c r="O2934" s="113"/>
      <c r="P2934" s="113"/>
      <c r="Q2934" s="113"/>
      <c r="R2934" s="113"/>
      <c r="S2934" s="113"/>
      <c r="T2934" s="113"/>
      <c r="U2934" s="113"/>
      <c r="V2934" s="113"/>
      <c r="W2934" s="113"/>
      <c r="X2934" s="113"/>
      <c r="Y2934" s="113"/>
      <c r="Z2934" s="113"/>
      <c r="AA2934" s="113"/>
      <c r="AB2934" s="113"/>
      <c r="AC2934" s="113"/>
      <c r="AD2934" s="113"/>
      <c r="AE2934" s="113"/>
      <c r="AF2934" s="113"/>
      <c r="AG2934" s="113"/>
      <c r="AH2934" s="113"/>
      <c r="AI2934" s="113"/>
      <c r="AJ2934" s="113"/>
      <c r="AK2934" s="113" t="s">
        <v>1113</v>
      </c>
      <c r="AL2934" s="113"/>
      <c r="AM2934" s="113"/>
      <c r="AN2934" s="113"/>
      <c r="AO2934" s="43" t="s">
        <v>2334</v>
      </c>
      <c r="AP2934" s="43" t="s">
        <v>4873</v>
      </c>
      <c r="AQ2934" s="233" t="str">
        <f>VLOOKUP(Table8[[#This Row],[Instrument]],Def_Targets!$D$73:$E$159,2,FALSE)</f>
        <v>I_Emobility</v>
      </c>
      <c r="AR2934" s="242" t="str">
        <f>VLOOKUP(Table8[[#This Row],[Country Code]],Table29[],3,FALSE)</f>
        <v>Annex I</v>
      </c>
      <c r="AS2934" s="242" t="str">
        <f>VLOOKUP(Table8[[#This Row],[Country Code]],Table29[],4,FALSE)</f>
        <v>Europe</v>
      </c>
      <c r="AT2934" s="242" t="str">
        <f>VLOOKUP(Table8[[#This Row],[Country Code]],Table29[],5,FALSE)</f>
        <v>High-income</v>
      </c>
      <c r="AU2934" s="242" t="str">
        <f>VLOOKUP(Table8[[#This Row],[Country Code]],Table29[],6,FALSE)</f>
        <v>G20</v>
      </c>
      <c r="AV2934" s="242" t="str">
        <f>VLOOKUP(Table8[[#This Row],[Country Code]],Table29[],7,FALSE)</f>
        <v>G7</v>
      </c>
      <c r="AW2934" s="242" t="str">
        <f>VLOOKUP(Table8[[#This Row],[Country Code]],Table29[],8,FALSE)</f>
        <v>OECD</v>
      </c>
      <c r="AX2934" s="242" t="str">
        <f>VLOOKUP(Table8[[#This Row],[Country Code]],Table29[],9,FALSE)</f>
        <v>no</v>
      </c>
      <c r="AY2934" s="242" t="str">
        <f>VLOOKUP(Table8[[#This Row],[Country Code]],Table29[],10,FALSE)</f>
        <v>no</v>
      </c>
      <c r="AZ2934" s="242">
        <f>VLOOKUP(Table8[[#This Row],[Country Code]],Table29[],23,FALSE)</f>
        <v>379.31858785213001</v>
      </c>
      <c r="BA2934" s="242">
        <f>VLOOKUP(Table8[[#This Row],[Country Code]],Table29[],24,FALSE)</f>
        <v>109.75048777474809</v>
      </c>
      <c r="BB2934" s="320"/>
    </row>
    <row r="2935" spans="1:54" ht="30" x14ac:dyDescent="0.25">
      <c r="A2935" s="404">
        <v>43701</v>
      </c>
      <c r="B2935" s="243" t="str">
        <f>VLOOKUP(Table8[[#This Row],[Document ID]],Table1[],2,FALSE)</f>
        <v>USA</v>
      </c>
      <c r="C2935" s="243" t="str">
        <f>VLOOKUP(Table8[[#This Row],[Document ID]],Table1[],3,FALSE)</f>
        <v>United States of America</v>
      </c>
      <c r="D2935" s="243" t="str">
        <f>VLOOKUP(Table8[[#This Row],[Document ID]],Table1[],5,FALSE)</f>
        <v>NDC</v>
      </c>
      <c r="E2935" s="233" t="str">
        <f>VLOOKUP(Table8[[#This Row],[Document ID]],Table1[],7,FALSE)</f>
        <v>Third NDC</v>
      </c>
      <c r="F2935" s="233" t="str">
        <f>VLOOKUP(Table8[[#This Row],[Document ID]],Table1[],8,FALSE)</f>
        <v>NDC 3.0</v>
      </c>
      <c r="G2935" s="233" t="str">
        <f>VLOOKUP(Table8[[#This Row],[Document ID]],Table1[],10,FALSE)</f>
        <v>Active</v>
      </c>
      <c r="H2935" s="43" t="s">
        <v>2358</v>
      </c>
      <c r="I2935" s="43" t="s">
        <v>2359</v>
      </c>
      <c r="J2935" s="43" t="s">
        <v>2360</v>
      </c>
      <c r="K2935" s="44" t="s">
        <v>4992</v>
      </c>
      <c r="L2935" s="44" t="s">
        <v>2333</v>
      </c>
      <c r="M2935" s="43">
        <v>8</v>
      </c>
      <c r="N2935" s="113" t="s">
        <v>1113</v>
      </c>
      <c r="O2935" s="113"/>
      <c r="P2935" s="113"/>
      <c r="Q2935" s="113"/>
      <c r="R2935" s="113"/>
      <c r="S2935" s="113"/>
      <c r="T2935" s="113"/>
      <c r="U2935" s="113"/>
      <c r="V2935" s="113"/>
      <c r="W2935" s="113"/>
      <c r="X2935" s="113"/>
      <c r="Y2935" s="113"/>
      <c r="Z2935" s="113"/>
      <c r="AA2935" s="113"/>
      <c r="AB2935" s="113"/>
      <c r="AC2935" s="113"/>
      <c r="AD2935" s="113"/>
      <c r="AE2935" s="113"/>
      <c r="AF2935" s="113"/>
      <c r="AG2935" s="113"/>
      <c r="AH2935" s="113"/>
      <c r="AI2935" s="113"/>
      <c r="AJ2935" s="113"/>
      <c r="AK2935" s="113" t="s">
        <v>1113</v>
      </c>
      <c r="AL2935" s="113"/>
      <c r="AM2935" s="113"/>
      <c r="AN2935" s="113"/>
      <c r="AO2935" s="43" t="s">
        <v>2334</v>
      </c>
      <c r="AP2935" s="43" t="s">
        <v>4850</v>
      </c>
      <c r="AQ2935" s="233" t="str">
        <f>VLOOKUP(Table8[[#This Row],[Instrument]],Def_Targets!$D$73:$E$159,2,FALSE)</f>
        <v>I_Emobility</v>
      </c>
      <c r="AR2935" s="242" t="str">
        <f>VLOOKUP(Table8[[#This Row],[Country Code]],Table29[],3,FALSE)</f>
        <v>Annex I</v>
      </c>
      <c r="AS2935" s="242" t="str">
        <f>VLOOKUP(Table8[[#This Row],[Country Code]],Table29[],4,FALSE)</f>
        <v>Northern America</v>
      </c>
      <c r="AT2935" s="242" t="str">
        <f>VLOOKUP(Table8[[#This Row],[Country Code]],Table29[],5,FALSE)</f>
        <v>High-income</v>
      </c>
      <c r="AU2935" s="242" t="str">
        <f>VLOOKUP(Table8[[#This Row],[Country Code]],Table29[],6,FALSE)</f>
        <v>G20</v>
      </c>
      <c r="AV2935" s="242" t="str">
        <f>VLOOKUP(Table8[[#This Row],[Country Code]],Table29[],7,FALSE)</f>
        <v>G7</v>
      </c>
      <c r="AW2935" s="242" t="str">
        <f>VLOOKUP(Table8[[#This Row],[Country Code]],Table29[],8,FALSE)</f>
        <v>OECD</v>
      </c>
      <c r="AX2935" s="242" t="str">
        <f>VLOOKUP(Table8[[#This Row],[Country Code]],Table29[],9,FALSE)</f>
        <v>no</v>
      </c>
      <c r="AY2935" s="242" t="str">
        <f>VLOOKUP(Table8[[#This Row],[Country Code]],Table29[],10,FALSE)</f>
        <v>no</v>
      </c>
      <c r="AZ2935" s="242">
        <f>VLOOKUP(Table8[[#This Row],[Country Code]],Table29[],23,FALSE)</f>
        <v>5960.8043799938996</v>
      </c>
      <c r="BA2935" s="242">
        <f>VLOOKUP(Table8[[#This Row],[Country Code]],Table29[],24,FALSE)</f>
        <v>1735.9036371632039</v>
      </c>
      <c r="BB2935" s="320"/>
    </row>
    <row r="2936" spans="1:54" ht="30" x14ac:dyDescent="0.25">
      <c r="A2936" s="373">
        <v>43701</v>
      </c>
      <c r="B2936" s="243" t="str">
        <f>VLOOKUP(Table8[[#This Row],[Document ID]],Table1[],2,FALSE)</f>
        <v>USA</v>
      </c>
      <c r="C2936" s="243" t="str">
        <f>VLOOKUP(Table8[[#This Row],[Document ID]],Table1[],3,FALSE)</f>
        <v>United States of America</v>
      </c>
      <c r="D2936" s="243" t="str">
        <f>VLOOKUP(Table8[[#This Row],[Document ID]],Table1[],5,FALSE)</f>
        <v>NDC</v>
      </c>
      <c r="E2936" s="233" t="str">
        <f>VLOOKUP(Table8[[#This Row],[Document ID]],Table1[],7,FALSE)</f>
        <v>Third NDC</v>
      </c>
      <c r="F2936" s="233" t="str">
        <f>VLOOKUP(Table8[[#This Row],[Document ID]],Table1[],8,FALSE)</f>
        <v>NDC 3.0</v>
      </c>
      <c r="G2936" s="233" t="str">
        <f>VLOOKUP(Table8[[#This Row],[Document ID]],Table1[],10,FALSE)</f>
        <v>Active</v>
      </c>
      <c r="H2936" s="43" t="s">
        <v>2358</v>
      </c>
      <c r="I2936" s="43" t="s">
        <v>2359</v>
      </c>
      <c r="J2936" s="43" t="s">
        <v>2383</v>
      </c>
      <c r="K2936" s="44" t="s">
        <v>4993</v>
      </c>
      <c r="L2936" s="44" t="s">
        <v>2333</v>
      </c>
      <c r="M2936" s="43">
        <v>8</v>
      </c>
      <c r="N2936" s="113" t="s">
        <v>1113</v>
      </c>
      <c r="O2936" s="113"/>
      <c r="P2936" s="113"/>
      <c r="Q2936" s="113"/>
      <c r="R2936" s="113"/>
      <c r="S2936" s="113"/>
      <c r="T2936" s="113"/>
      <c r="U2936" s="113"/>
      <c r="V2936" s="113"/>
      <c r="W2936" s="113"/>
      <c r="X2936" s="113"/>
      <c r="Y2936" s="113"/>
      <c r="Z2936" s="113"/>
      <c r="AA2936" s="113"/>
      <c r="AB2936" s="113"/>
      <c r="AC2936" s="113"/>
      <c r="AD2936" s="113"/>
      <c r="AE2936" s="113"/>
      <c r="AF2936" s="113"/>
      <c r="AG2936" s="113"/>
      <c r="AH2936" s="113"/>
      <c r="AI2936" s="113"/>
      <c r="AJ2936" s="113"/>
      <c r="AK2936" s="113" t="s">
        <v>1113</v>
      </c>
      <c r="AL2936" s="113"/>
      <c r="AM2936" s="113"/>
      <c r="AN2936" s="113"/>
      <c r="AO2936" s="43" t="s">
        <v>2334</v>
      </c>
      <c r="AP2936" s="43" t="s">
        <v>4850</v>
      </c>
      <c r="AQ2936" s="233" t="str">
        <f>VLOOKUP(Table8[[#This Row],[Instrument]],Def_Targets!$D$73:$E$159,2,FALSE)</f>
        <v>I_Emobilitycharging</v>
      </c>
      <c r="AR2936" s="242" t="str">
        <f>VLOOKUP(Table8[[#This Row],[Country Code]],Table29[],3,FALSE)</f>
        <v>Annex I</v>
      </c>
      <c r="AS2936" s="242" t="str">
        <f>VLOOKUP(Table8[[#This Row],[Country Code]],Table29[],4,FALSE)</f>
        <v>Northern America</v>
      </c>
      <c r="AT2936" s="242" t="str">
        <f>VLOOKUP(Table8[[#This Row],[Country Code]],Table29[],5,FALSE)</f>
        <v>High-income</v>
      </c>
      <c r="AU2936" s="242" t="str">
        <f>VLOOKUP(Table8[[#This Row],[Country Code]],Table29[],6,FALSE)</f>
        <v>G20</v>
      </c>
      <c r="AV2936" s="242" t="str">
        <f>VLOOKUP(Table8[[#This Row],[Country Code]],Table29[],7,FALSE)</f>
        <v>G7</v>
      </c>
      <c r="AW2936" s="242" t="str">
        <f>VLOOKUP(Table8[[#This Row],[Country Code]],Table29[],8,FALSE)</f>
        <v>OECD</v>
      </c>
      <c r="AX2936" s="242" t="str">
        <f>VLOOKUP(Table8[[#This Row],[Country Code]],Table29[],9,FALSE)</f>
        <v>no</v>
      </c>
      <c r="AY2936" s="242" t="str">
        <f>VLOOKUP(Table8[[#This Row],[Country Code]],Table29[],10,FALSE)</f>
        <v>no</v>
      </c>
      <c r="AZ2936" s="242">
        <f>VLOOKUP(Table8[[#This Row],[Country Code]],Table29[],23,FALSE)</f>
        <v>5960.8043799938996</v>
      </c>
      <c r="BA2936" s="242">
        <f>VLOOKUP(Table8[[#This Row],[Country Code]],Table29[],24,FALSE)</f>
        <v>1735.9036371632039</v>
      </c>
      <c r="BB2936" s="320"/>
    </row>
    <row r="2937" spans="1:54" ht="30" x14ac:dyDescent="0.25">
      <c r="A2937" s="373">
        <v>43701</v>
      </c>
      <c r="B2937" s="243" t="str">
        <f>VLOOKUP(Table8[[#This Row],[Document ID]],Table1[],2,FALSE)</f>
        <v>USA</v>
      </c>
      <c r="C2937" s="243" t="str">
        <f>VLOOKUP(Table8[[#This Row],[Document ID]],Table1[],3,FALSE)</f>
        <v>United States of America</v>
      </c>
      <c r="D2937" s="243" t="str">
        <f>VLOOKUP(Table8[[#This Row],[Document ID]],Table1[],5,FALSE)</f>
        <v>NDC</v>
      </c>
      <c r="E2937" s="233" t="str">
        <f>VLOOKUP(Table8[[#This Row],[Document ID]],Table1[],7,FALSE)</f>
        <v>Third NDC</v>
      </c>
      <c r="F2937" s="233" t="str">
        <f>VLOOKUP(Table8[[#This Row],[Document ID]],Table1[],8,FALSE)</f>
        <v>NDC 3.0</v>
      </c>
      <c r="G2937" s="233" t="str">
        <f>VLOOKUP(Table8[[#This Row],[Document ID]],Table1[],10,FALSE)</f>
        <v>Active</v>
      </c>
      <c r="H2937" s="43" t="s">
        <v>2358</v>
      </c>
      <c r="I2937" s="43" t="s">
        <v>2359</v>
      </c>
      <c r="J2937" s="43" t="s">
        <v>2360</v>
      </c>
      <c r="K2937" s="44" t="s">
        <v>4994</v>
      </c>
      <c r="L2937" s="44" t="s">
        <v>2333</v>
      </c>
      <c r="M2937" s="43">
        <v>8</v>
      </c>
      <c r="N2937" s="113" t="s">
        <v>1113</v>
      </c>
      <c r="O2937" s="113"/>
      <c r="P2937" s="113"/>
      <c r="Q2937" s="113"/>
      <c r="R2937" s="113"/>
      <c r="S2937" s="113"/>
      <c r="T2937" s="113"/>
      <c r="U2937" s="113"/>
      <c r="V2937" s="113"/>
      <c r="W2937" s="113"/>
      <c r="X2937" s="113"/>
      <c r="Y2937" s="113"/>
      <c r="Z2937" s="113"/>
      <c r="AA2937" s="113"/>
      <c r="AB2937" s="113"/>
      <c r="AC2937" s="113"/>
      <c r="AD2937" s="113"/>
      <c r="AE2937" s="113"/>
      <c r="AF2937" s="113"/>
      <c r="AG2937" s="113"/>
      <c r="AH2937" s="113"/>
      <c r="AI2937" s="113"/>
      <c r="AJ2937" s="113"/>
      <c r="AK2937" s="113" t="s">
        <v>1113</v>
      </c>
      <c r="AL2937" s="113"/>
      <c r="AM2937" s="113"/>
      <c r="AN2937" s="113"/>
      <c r="AO2937" s="43" t="s">
        <v>2334</v>
      </c>
      <c r="AP2937" s="43" t="s">
        <v>4850</v>
      </c>
      <c r="AQ2937" s="233" t="str">
        <f>VLOOKUP(Table8[[#This Row],[Instrument]],Def_Targets!$D$73:$E$159,2,FALSE)</f>
        <v>I_Emobility</v>
      </c>
      <c r="AR2937" s="242" t="str">
        <f>VLOOKUP(Table8[[#This Row],[Country Code]],Table29[],3,FALSE)</f>
        <v>Annex I</v>
      </c>
      <c r="AS2937" s="242" t="str">
        <f>VLOOKUP(Table8[[#This Row],[Country Code]],Table29[],4,FALSE)</f>
        <v>Northern America</v>
      </c>
      <c r="AT2937" s="242" t="str">
        <f>VLOOKUP(Table8[[#This Row],[Country Code]],Table29[],5,FALSE)</f>
        <v>High-income</v>
      </c>
      <c r="AU2937" s="242" t="str">
        <f>VLOOKUP(Table8[[#This Row],[Country Code]],Table29[],6,FALSE)</f>
        <v>G20</v>
      </c>
      <c r="AV2937" s="242" t="str">
        <f>VLOOKUP(Table8[[#This Row],[Country Code]],Table29[],7,FALSE)</f>
        <v>G7</v>
      </c>
      <c r="AW2937" s="242" t="str">
        <f>VLOOKUP(Table8[[#This Row],[Country Code]],Table29[],8,FALSE)</f>
        <v>OECD</v>
      </c>
      <c r="AX2937" s="242" t="str">
        <f>VLOOKUP(Table8[[#This Row],[Country Code]],Table29[],9,FALSE)</f>
        <v>no</v>
      </c>
      <c r="AY2937" s="242" t="str">
        <f>VLOOKUP(Table8[[#This Row],[Country Code]],Table29[],10,FALSE)</f>
        <v>no</v>
      </c>
      <c r="AZ2937" s="242">
        <f>VLOOKUP(Table8[[#This Row],[Country Code]],Table29[],23,FALSE)</f>
        <v>5960.8043799938996</v>
      </c>
      <c r="BA2937" s="242">
        <f>VLOOKUP(Table8[[#This Row],[Country Code]],Table29[],24,FALSE)</f>
        <v>1735.9036371632039</v>
      </c>
      <c r="BB2937" s="320"/>
    </row>
    <row r="2938" spans="1:54" ht="30" x14ac:dyDescent="0.25">
      <c r="A2938" s="373">
        <v>43701</v>
      </c>
      <c r="B2938" s="243" t="str">
        <f>VLOOKUP(Table8[[#This Row],[Document ID]],Table1[],2,FALSE)</f>
        <v>USA</v>
      </c>
      <c r="C2938" s="243" t="str">
        <f>VLOOKUP(Table8[[#This Row],[Document ID]],Table1[],3,FALSE)</f>
        <v>United States of America</v>
      </c>
      <c r="D2938" s="243" t="str">
        <f>VLOOKUP(Table8[[#This Row],[Document ID]],Table1[],5,FALSE)</f>
        <v>NDC</v>
      </c>
      <c r="E2938" s="233" t="str">
        <f>VLOOKUP(Table8[[#This Row],[Document ID]],Table1[],7,FALSE)</f>
        <v>Third NDC</v>
      </c>
      <c r="F2938" s="233" t="str">
        <f>VLOOKUP(Table8[[#This Row],[Document ID]],Table1[],8,FALSE)</f>
        <v>NDC 3.0</v>
      </c>
      <c r="G2938" s="233" t="str">
        <f>VLOOKUP(Table8[[#This Row],[Document ID]],Table1[],10,FALSE)</f>
        <v>Active</v>
      </c>
      <c r="H2938" s="43" t="s">
        <v>2358</v>
      </c>
      <c r="I2938" s="43" t="s">
        <v>2359</v>
      </c>
      <c r="J2938" s="43" t="s">
        <v>2360</v>
      </c>
      <c r="K2938" s="44" t="s">
        <v>4995</v>
      </c>
      <c r="L2938" s="44" t="s">
        <v>2333</v>
      </c>
      <c r="M2938" s="43">
        <v>25</v>
      </c>
      <c r="N2938" s="113" t="s">
        <v>1113</v>
      </c>
      <c r="O2938" s="113"/>
      <c r="P2938" s="113"/>
      <c r="Q2938" s="113"/>
      <c r="R2938" s="113"/>
      <c r="S2938" s="113"/>
      <c r="T2938" s="113"/>
      <c r="U2938" s="113"/>
      <c r="V2938" s="113"/>
      <c r="W2938" s="113"/>
      <c r="X2938" s="113"/>
      <c r="Y2938" s="113"/>
      <c r="Z2938" s="113"/>
      <c r="AA2938" s="113"/>
      <c r="AB2938" s="113"/>
      <c r="AC2938" s="113"/>
      <c r="AD2938" s="113"/>
      <c r="AE2938" s="113"/>
      <c r="AF2938" s="113"/>
      <c r="AG2938" s="113"/>
      <c r="AH2938" s="113"/>
      <c r="AI2938" s="113"/>
      <c r="AJ2938" s="113"/>
      <c r="AK2938" s="113" t="s">
        <v>1113</v>
      </c>
      <c r="AL2938" s="113"/>
      <c r="AM2938" s="113"/>
      <c r="AN2938" s="113"/>
      <c r="AO2938" s="43" t="s">
        <v>2334</v>
      </c>
      <c r="AP2938" s="43" t="s">
        <v>4850</v>
      </c>
      <c r="AQ2938" s="233" t="str">
        <f>VLOOKUP(Table8[[#This Row],[Instrument]],Def_Targets!$D$73:$E$159,2,FALSE)</f>
        <v>I_Emobility</v>
      </c>
      <c r="AR2938" s="242" t="str">
        <f>VLOOKUP(Table8[[#This Row],[Country Code]],Table29[],3,FALSE)</f>
        <v>Annex I</v>
      </c>
      <c r="AS2938" s="242" t="str">
        <f>VLOOKUP(Table8[[#This Row],[Country Code]],Table29[],4,FALSE)</f>
        <v>Northern America</v>
      </c>
      <c r="AT2938" s="242" t="str">
        <f>VLOOKUP(Table8[[#This Row],[Country Code]],Table29[],5,FALSE)</f>
        <v>High-income</v>
      </c>
      <c r="AU2938" s="242" t="str">
        <f>VLOOKUP(Table8[[#This Row],[Country Code]],Table29[],6,FALSE)</f>
        <v>G20</v>
      </c>
      <c r="AV2938" s="242" t="str">
        <f>VLOOKUP(Table8[[#This Row],[Country Code]],Table29[],7,FALSE)</f>
        <v>G7</v>
      </c>
      <c r="AW2938" s="242" t="str">
        <f>VLOOKUP(Table8[[#This Row],[Country Code]],Table29[],8,FALSE)</f>
        <v>OECD</v>
      </c>
      <c r="AX2938" s="242" t="str">
        <f>VLOOKUP(Table8[[#This Row],[Country Code]],Table29[],9,FALSE)</f>
        <v>no</v>
      </c>
      <c r="AY2938" s="242" t="str">
        <f>VLOOKUP(Table8[[#This Row],[Country Code]],Table29[],10,FALSE)</f>
        <v>no</v>
      </c>
      <c r="AZ2938" s="242">
        <f>VLOOKUP(Table8[[#This Row],[Country Code]],Table29[],23,FALSE)</f>
        <v>5960.8043799938996</v>
      </c>
      <c r="BA2938" s="242">
        <f>VLOOKUP(Table8[[#This Row],[Country Code]],Table29[],24,FALSE)</f>
        <v>1735.9036371632039</v>
      </c>
      <c r="BB2938" s="320"/>
    </row>
    <row r="2939" spans="1:54" ht="15" customHeight="1" x14ac:dyDescent="0.25">
      <c r="A2939" s="373">
        <v>43764</v>
      </c>
      <c r="B2939" s="243" t="str">
        <f>VLOOKUP(Table8[[#This Row],[Document ID]],Table1[],2,FALSE)</f>
        <v>URY</v>
      </c>
      <c r="C2939" s="243" t="str">
        <f>VLOOKUP(Table8[[#This Row],[Document ID]],Table1[],3,FALSE)</f>
        <v>Uruguay</v>
      </c>
      <c r="D2939" s="243" t="str">
        <f>VLOOKUP(Table8[[#This Row],[Document ID]],Table1[],5,FALSE)</f>
        <v>NDC</v>
      </c>
      <c r="E2939" s="233" t="str">
        <f>VLOOKUP(Table8[[#This Row],[Document ID]],Table1[],7,FALSE)</f>
        <v>Third NDC</v>
      </c>
      <c r="F2939" s="233" t="str">
        <f>VLOOKUP(Table8[[#This Row],[Document ID]],Table1[],8,FALSE)</f>
        <v>NDC 3.0</v>
      </c>
      <c r="G2939" s="233" t="str">
        <f>VLOOKUP(Table8[[#This Row],[Document ID]],Table1[],10,FALSE)</f>
        <v>Active</v>
      </c>
      <c r="H2939" s="43" t="s">
        <v>2358</v>
      </c>
      <c r="I2939" s="43" t="s">
        <v>2359</v>
      </c>
      <c r="J2939" s="43" t="s">
        <v>2360</v>
      </c>
      <c r="K2939" s="44" t="s">
        <v>4881</v>
      </c>
      <c r="L2939" s="44" t="s">
        <v>2333</v>
      </c>
      <c r="M2939" s="43">
        <v>48</v>
      </c>
      <c r="N2939" s="113"/>
      <c r="O2939" s="113"/>
      <c r="P2939" s="113"/>
      <c r="Q2939" s="113"/>
      <c r="R2939" s="113"/>
      <c r="S2939" s="113"/>
      <c r="T2939" s="113"/>
      <c r="U2939" s="113" t="s">
        <v>1113</v>
      </c>
      <c r="V2939" s="113"/>
      <c r="W2939" s="113"/>
      <c r="X2939" s="113"/>
      <c r="Y2939" s="113"/>
      <c r="Z2939" s="113"/>
      <c r="AA2939" s="113"/>
      <c r="AB2939" s="113"/>
      <c r="AC2939" s="113"/>
      <c r="AD2939" s="113"/>
      <c r="AE2939" s="113"/>
      <c r="AF2939" s="113"/>
      <c r="AG2939" s="113"/>
      <c r="AH2939" s="113"/>
      <c r="AI2939" s="113"/>
      <c r="AJ2939" s="113"/>
      <c r="AK2939" s="113" t="s">
        <v>1113</v>
      </c>
      <c r="AL2939" s="113"/>
      <c r="AM2939" s="113"/>
      <c r="AN2939" s="113"/>
      <c r="AO2939" s="43" t="s">
        <v>2334</v>
      </c>
      <c r="AP2939" s="43" t="s">
        <v>4850</v>
      </c>
      <c r="AQ2939" s="233" t="str">
        <f>VLOOKUP(Table8[[#This Row],[Instrument]],Def_Targets!$D$73:$E$159,2,FALSE)</f>
        <v>I_Emobility</v>
      </c>
      <c r="AR2939" s="242" t="str">
        <f>VLOOKUP(Table8[[#This Row],[Country Code]],Table29[],3,FALSE)</f>
        <v>Non-Annex I</v>
      </c>
      <c r="AS2939" s="242" t="str">
        <f>VLOOKUP(Table8[[#This Row],[Country Code]],Table29[],4,FALSE)</f>
        <v>Latin America and the Caribbean</v>
      </c>
      <c r="AT2939" s="242" t="str">
        <f>VLOOKUP(Table8[[#This Row],[Country Code]],Table29[],5,FALSE)</f>
        <v>High-income</v>
      </c>
      <c r="AU2939" s="242" t="str">
        <f>VLOOKUP(Table8[[#This Row],[Country Code]],Table29[],6,FALSE)</f>
        <v>no</v>
      </c>
      <c r="AV2939" s="242" t="str">
        <f>VLOOKUP(Table8[[#This Row],[Country Code]],Table29[],7,FALSE)</f>
        <v>no</v>
      </c>
      <c r="AW2939" s="242" t="str">
        <f>VLOOKUP(Table8[[#This Row],[Country Code]],Table29[],8,FALSE)</f>
        <v>non-OECD</v>
      </c>
      <c r="AX2939" s="242" t="str">
        <f>VLOOKUP(Table8[[#This Row],[Country Code]],Table29[],9,FALSE)</f>
        <v>no</v>
      </c>
      <c r="AY2939" s="242" t="str">
        <f>VLOOKUP(Table8[[#This Row],[Country Code]],Table29[],10,FALSE)</f>
        <v>no</v>
      </c>
      <c r="AZ2939" s="242">
        <f>VLOOKUP(Table8[[#This Row],[Country Code]],Table29[],23,FALSE)</f>
        <v>41.634111747759</v>
      </c>
      <c r="BA2939" s="242">
        <f>VLOOKUP(Table8[[#This Row],[Country Code]],Table29[],24,FALSE)</f>
        <v>4.0868158944276578</v>
      </c>
      <c r="BB2939" s="320"/>
    </row>
    <row r="2940" spans="1:54" ht="15" customHeight="1" x14ac:dyDescent="0.25">
      <c r="A2940" s="373">
        <v>43764</v>
      </c>
      <c r="B2940" s="243" t="str">
        <f>VLOOKUP(Table8[[#This Row],[Document ID]],Table1[],2,FALSE)</f>
        <v>URY</v>
      </c>
      <c r="C2940" s="243" t="str">
        <f>VLOOKUP(Table8[[#This Row],[Document ID]],Table1[],3,FALSE)</f>
        <v>Uruguay</v>
      </c>
      <c r="D2940" s="243" t="str">
        <f>VLOOKUP(Table8[[#This Row],[Document ID]],Table1[],5,FALSE)</f>
        <v>NDC</v>
      </c>
      <c r="E2940" s="233" t="str">
        <f>VLOOKUP(Table8[[#This Row],[Document ID]],Table1[],7,FALSE)</f>
        <v>Third NDC</v>
      </c>
      <c r="F2940" s="233" t="str">
        <f>VLOOKUP(Table8[[#This Row],[Document ID]],Table1[],8,FALSE)</f>
        <v>NDC 3.0</v>
      </c>
      <c r="G2940" s="233" t="str">
        <f>VLOOKUP(Table8[[#This Row],[Document ID]],Table1[],10,FALSE)</f>
        <v>Active</v>
      </c>
      <c r="H2940" s="43" t="s">
        <v>2358</v>
      </c>
      <c r="I2940" s="43" t="s">
        <v>2359</v>
      </c>
      <c r="J2940" s="43" t="s">
        <v>2383</v>
      </c>
      <c r="K2940" s="44" t="s">
        <v>4996</v>
      </c>
      <c r="L2940" s="44" t="s">
        <v>2333</v>
      </c>
      <c r="M2940" s="43">
        <v>48</v>
      </c>
      <c r="N2940" s="113" t="s">
        <v>1113</v>
      </c>
      <c r="O2940" s="113"/>
      <c r="P2940" s="113"/>
      <c r="Q2940" s="113"/>
      <c r="R2940" s="113"/>
      <c r="S2940" s="113"/>
      <c r="T2940" s="113"/>
      <c r="U2940" s="113"/>
      <c r="V2940" s="113"/>
      <c r="W2940" s="113"/>
      <c r="X2940" s="113"/>
      <c r="Y2940" s="113"/>
      <c r="Z2940" s="113"/>
      <c r="AA2940" s="113"/>
      <c r="AB2940" s="113"/>
      <c r="AC2940" s="113"/>
      <c r="AD2940" s="113"/>
      <c r="AE2940" s="113"/>
      <c r="AF2940" s="113"/>
      <c r="AG2940" s="113"/>
      <c r="AH2940" s="113"/>
      <c r="AI2940" s="113"/>
      <c r="AJ2940" s="113"/>
      <c r="AK2940" s="113" t="s">
        <v>1113</v>
      </c>
      <c r="AL2940" s="113"/>
      <c r="AM2940" s="113"/>
      <c r="AN2940" s="113"/>
      <c r="AO2940" s="43" t="s">
        <v>2334</v>
      </c>
      <c r="AP2940" s="43" t="s">
        <v>4850</v>
      </c>
      <c r="AQ2940" s="233" t="str">
        <f>VLOOKUP(Table8[[#This Row],[Instrument]],Def_Targets!$D$73:$E$159,2,FALSE)</f>
        <v>I_Emobilitycharging</v>
      </c>
      <c r="AR2940" s="242" t="str">
        <f>VLOOKUP(Table8[[#This Row],[Country Code]],Table29[],3,FALSE)</f>
        <v>Non-Annex I</v>
      </c>
      <c r="AS2940" s="242" t="str">
        <f>VLOOKUP(Table8[[#This Row],[Country Code]],Table29[],4,FALSE)</f>
        <v>Latin America and the Caribbean</v>
      </c>
      <c r="AT2940" s="242" t="str">
        <f>VLOOKUP(Table8[[#This Row],[Country Code]],Table29[],5,FALSE)</f>
        <v>High-income</v>
      </c>
      <c r="AU2940" s="242" t="str">
        <f>VLOOKUP(Table8[[#This Row],[Country Code]],Table29[],6,FALSE)</f>
        <v>no</v>
      </c>
      <c r="AV2940" s="242" t="str">
        <f>VLOOKUP(Table8[[#This Row],[Country Code]],Table29[],7,FALSE)</f>
        <v>no</v>
      </c>
      <c r="AW2940" s="242" t="str">
        <f>VLOOKUP(Table8[[#This Row],[Country Code]],Table29[],8,FALSE)</f>
        <v>non-OECD</v>
      </c>
      <c r="AX2940" s="242" t="str">
        <f>VLOOKUP(Table8[[#This Row],[Country Code]],Table29[],9,FALSE)</f>
        <v>no</v>
      </c>
      <c r="AY2940" s="242" t="str">
        <f>VLOOKUP(Table8[[#This Row],[Country Code]],Table29[],10,FALSE)</f>
        <v>no</v>
      </c>
      <c r="AZ2940" s="242">
        <f>VLOOKUP(Table8[[#This Row],[Country Code]],Table29[],23,FALSE)</f>
        <v>41.634111747759</v>
      </c>
      <c r="BA2940" s="242">
        <f>VLOOKUP(Table8[[#This Row],[Country Code]],Table29[],24,FALSE)</f>
        <v>4.0868158944276578</v>
      </c>
      <c r="BB2940" s="320"/>
    </row>
    <row r="2941" spans="1:54" ht="15" customHeight="1" x14ac:dyDescent="0.25">
      <c r="A2941" s="373">
        <v>43700</v>
      </c>
      <c r="B2941" s="243" t="str">
        <f>VLOOKUP(Table8[[#This Row],[Document ID]],Table1[],2,FALSE)</f>
        <v>BRA</v>
      </c>
      <c r="C2941" s="243" t="str">
        <f>VLOOKUP(Table8[[#This Row],[Document ID]],Table1[],3,FALSE)</f>
        <v>Brazil</v>
      </c>
      <c r="D2941" s="243" t="str">
        <f>VLOOKUP(Table8[[#This Row],[Document ID]],Table1[],5,FALSE)</f>
        <v>NDC</v>
      </c>
      <c r="E2941" s="233" t="str">
        <f>VLOOKUP(Table8[[#This Row],[Document ID]],Table1[],7,FALSE)</f>
        <v>Third NDC</v>
      </c>
      <c r="F2941" s="233" t="str">
        <f>VLOOKUP(Table8[[#This Row],[Document ID]],Table1[],8,FALSE)</f>
        <v>NDC 3.0</v>
      </c>
      <c r="G2941" s="233" t="str">
        <f>VLOOKUP(Table8[[#This Row],[Document ID]],Table1[],10,FALSE)</f>
        <v>Active</v>
      </c>
      <c r="H2941" s="43" t="s">
        <v>2338</v>
      </c>
      <c r="I2941" s="43" t="s">
        <v>2339</v>
      </c>
      <c r="J2941" s="43" t="s">
        <v>2340</v>
      </c>
      <c r="K2941" s="44" t="s">
        <v>4997</v>
      </c>
      <c r="L2941" s="44" t="s">
        <v>2333</v>
      </c>
      <c r="M2941" s="43">
        <v>31</v>
      </c>
      <c r="N2941" s="113"/>
      <c r="O2941" s="113"/>
      <c r="P2941" s="113"/>
      <c r="Q2941" s="113"/>
      <c r="R2941" s="113"/>
      <c r="S2941" s="113"/>
      <c r="T2941" s="113"/>
      <c r="U2941" s="113" t="s">
        <v>1113</v>
      </c>
      <c r="V2941" s="113"/>
      <c r="W2941" s="113"/>
      <c r="X2941" s="113" t="s">
        <v>1113</v>
      </c>
      <c r="Y2941" s="113" t="s">
        <v>1113</v>
      </c>
      <c r="Z2941" s="113"/>
      <c r="AA2941" s="113"/>
      <c r="AB2941" s="113"/>
      <c r="AC2941" s="113"/>
      <c r="AD2941" s="113"/>
      <c r="AE2941" s="113"/>
      <c r="AF2941" s="113"/>
      <c r="AG2941" s="113"/>
      <c r="AH2941" s="113"/>
      <c r="AI2941" s="113"/>
      <c r="AJ2941" s="113"/>
      <c r="AK2941" s="113" t="s">
        <v>1113</v>
      </c>
      <c r="AL2941" s="113"/>
      <c r="AM2941" s="113"/>
      <c r="AN2941" s="113"/>
      <c r="AO2941" s="43" t="s">
        <v>2334</v>
      </c>
      <c r="AP2941" s="43" t="s">
        <v>4861</v>
      </c>
      <c r="AQ2941" s="233" t="str">
        <f>VLOOKUP(Table8[[#This Row],[Instrument]],Def_Targets!$D$73:$E$159,2,FALSE)</f>
        <v>I_Vehicleimprove</v>
      </c>
      <c r="AR2941" s="242" t="str">
        <f>VLOOKUP(Table8[[#This Row],[Country Code]],Table29[],3,FALSE)</f>
        <v>Non-Annex I</v>
      </c>
      <c r="AS2941" s="242" t="str">
        <f>VLOOKUP(Table8[[#This Row],[Country Code]],Table29[],4,FALSE)</f>
        <v>Latin America and the Caribbean</v>
      </c>
      <c r="AT2941" s="242" t="str">
        <f>VLOOKUP(Table8[[#This Row],[Country Code]],Table29[],5,FALSE)</f>
        <v>Middle-income</v>
      </c>
      <c r="AU2941" s="242" t="str">
        <f>VLOOKUP(Table8[[#This Row],[Country Code]],Table29[],6,FALSE)</f>
        <v>G20</v>
      </c>
      <c r="AV2941" s="242" t="str">
        <f>VLOOKUP(Table8[[#This Row],[Country Code]],Table29[],7,FALSE)</f>
        <v>no</v>
      </c>
      <c r="AW2941" s="242" t="str">
        <f>VLOOKUP(Table8[[#This Row],[Country Code]],Table29[],8,FALSE)</f>
        <v>non-OECD</v>
      </c>
      <c r="AX2941" s="242" t="str">
        <f>VLOOKUP(Table8[[#This Row],[Country Code]],Table29[],9,FALSE)</f>
        <v>no</v>
      </c>
      <c r="AY2941" s="242" t="str">
        <f>VLOOKUP(Table8[[#This Row],[Country Code]],Table29[],10,FALSE)</f>
        <v>no</v>
      </c>
      <c r="AZ2941" s="242">
        <f>VLOOKUP(Table8[[#This Row],[Country Code]],Table29[],23,FALSE)</f>
        <v>1300.1688666752</v>
      </c>
      <c r="BA2941" s="242">
        <f>VLOOKUP(Table8[[#This Row],[Country Code]],Table29[],24,FALSE)</f>
        <v>221.12609205884911</v>
      </c>
      <c r="BB2941" s="320"/>
    </row>
    <row r="2942" spans="1:54" ht="15" customHeight="1" x14ac:dyDescent="0.25">
      <c r="A2942" s="373">
        <v>43987</v>
      </c>
      <c r="B2942" s="243" t="str">
        <f>VLOOKUP(Table8[[#This Row],[Document ID]],Table1[],2,FALSE)</f>
        <v>CAN</v>
      </c>
      <c r="C2942" s="243" t="str">
        <f>VLOOKUP(Table8[[#This Row],[Document ID]],Table1[],3,FALSE)</f>
        <v>Canada</v>
      </c>
      <c r="D2942" s="243" t="str">
        <f>VLOOKUP(Table8[[#This Row],[Document ID]],Table1[],5,FALSE)</f>
        <v>NDC</v>
      </c>
      <c r="E2942" s="233" t="str">
        <f>VLOOKUP(Table8[[#This Row],[Document ID]],Table1[],7,FALSE)</f>
        <v>Third NDC</v>
      </c>
      <c r="F2942" s="233" t="str">
        <f>VLOOKUP(Table8[[#This Row],[Document ID]],Table1[],8,FALSE)</f>
        <v>NDC 3.0</v>
      </c>
      <c r="G2942" s="233" t="str">
        <f>VLOOKUP(Table8[[#This Row],[Document ID]],Table1[],10,FALSE)</f>
        <v>Active</v>
      </c>
      <c r="H2942" s="43" t="s">
        <v>2338</v>
      </c>
      <c r="I2942" s="43" t="s">
        <v>2339</v>
      </c>
      <c r="J2942" s="43" t="s">
        <v>2451</v>
      </c>
      <c r="K2942" s="44" t="s">
        <v>4998</v>
      </c>
      <c r="L2942" s="44" t="s">
        <v>2333</v>
      </c>
      <c r="M2942" s="43">
        <v>49</v>
      </c>
      <c r="N2942" s="113"/>
      <c r="O2942" s="113"/>
      <c r="P2942" s="113"/>
      <c r="Q2942" s="113"/>
      <c r="R2942" s="113"/>
      <c r="S2942" s="113"/>
      <c r="T2942" s="113"/>
      <c r="U2942" s="113" t="s">
        <v>1113</v>
      </c>
      <c r="V2942" s="113"/>
      <c r="W2942" s="113"/>
      <c r="X2942" s="113" t="s">
        <v>1113</v>
      </c>
      <c r="Y2942" s="113"/>
      <c r="Z2942" s="113"/>
      <c r="AA2942" s="113"/>
      <c r="AB2942" s="113"/>
      <c r="AC2942" s="113"/>
      <c r="AD2942" s="113"/>
      <c r="AE2942" s="113"/>
      <c r="AF2942" s="113"/>
      <c r="AG2942" s="113"/>
      <c r="AH2942" s="113"/>
      <c r="AI2942" s="113"/>
      <c r="AJ2942" s="113"/>
      <c r="AK2942" s="113" t="s">
        <v>1113</v>
      </c>
      <c r="AL2942" s="113"/>
      <c r="AM2942" s="113"/>
      <c r="AN2942" s="113"/>
      <c r="AO2942" s="43" t="s">
        <v>2477</v>
      </c>
      <c r="AP2942" s="43" t="s">
        <v>4850</v>
      </c>
      <c r="AQ2942" s="233" t="str">
        <f>VLOOKUP(Table8[[#This Row],[Instrument]],Def_Targets!$D$73:$E$159,2,FALSE)</f>
        <v>I_Inspection</v>
      </c>
      <c r="AR2942" s="242" t="str">
        <f>VLOOKUP(Table8[[#This Row],[Country Code]],Table29[],3,FALSE)</f>
        <v>Annex I</v>
      </c>
      <c r="AS2942" s="242" t="str">
        <f>VLOOKUP(Table8[[#This Row],[Country Code]],Table29[],4,FALSE)</f>
        <v>Northern America</v>
      </c>
      <c r="AT2942" s="242" t="str">
        <f>VLOOKUP(Table8[[#This Row],[Country Code]],Table29[],5,FALSE)</f>
        <v>High-income</v>
      </c>
      <c r="AU2942" s="242" t="str">
        <f>VLOOKUP(Table8[[#This Row],[Country Code]],Table29[],6,FALSE)</f>
        <v>G20</v>
      </c>
      <c r="AV2942" s="242" t="str">
        <f>VLOOKUP(Table8[[#This Row],[Country Code]],Table29[],7,FALSE)</f>
        <v>G7</v>
      </c>
      <c r="AW2942" s="242" t="str">
        <f>VLOOKUP(Table8[[#This Row],[Country Code]],Table29[],8,FALSE)</f>
        <v>OECD</v>
      </c>
      <c r="AX2942" s="242" t="str">
        <f>VLOOKUP(Table8[[#This Row],[Country Code]],Table29[],9,FALSE)</f>
        <v>no</v>
      </c>
      <c r="AY2942" s="242" t="str">
        <f>VLOOKUP(Table8[[#This Row],[Country Code]],Table29[],10,FALSE)</f>
        <v>no</v>
      </c>
      <c r="AZ2942" s="242">
        <f>VLOOKUP(Table8[[#This Row],[Country Code]],Table29[],23,FALSE)</f>
        <v>747.67802680902003</v>
      </c>
      <c r="BA2942" s="242">
        <f>VLOOKUP(Table8[[#This Row],[Country Code]],Table29[],24,FALSE)</f>
        <v>169.021169926607</v>
      </c>
      <c r="BB2942" s="320"/>
    </row>
    <row r="2943" spans="1:54" ht="15" customHeight="1" x14ac:dyDescent="0.25">
      <c r="A2943" s="373">
        <v>44171</v>
      </c>
      <c r="B2943" s="243" t="str">
        <f>VLOOKUP(Table8[[#This Row],[Document ID]],Table1[],2,FALSE)</f>
        <v>CUB</v>
      </c>
      <c r="C2943" s="243" t="str">
        <f>VLOOKUP(Table8[[#This Row],[Document ID]],Table1[],3,FALSE)</f>
        <v>Cuba</v>
      </c>
      <c r="D2943" s="243" t="str">
        <f>VLOOKUP(Table8[[#This Row],[Document ID]],Table1[],5,FALSE)</f>
        <v>NDC</v>
      </c>
      <c r="E2943" s="233" t="str">
        <f>VLOOKUP(Table8[[#This Row],[Document ID]],Table1[],7,FALSE)</f>
        <v>Third NDC</v>
      </c>
      <c r="F2943" s="233" t="str">
        <f>VLOOKUP(Table8[[#This Row],[Document ID]],Table1[],8,FALSE)</f>
        <v>NDC 3.0</v>
      </c>
      <c r="G2943" s="233" t="str">
        <f>VLOOKUP(Table8[[#This Row],[Document ID]],Table1[],10,FALSE)</f>
        <v>Active</v>
      </c>
      <c r="H2943" s="43" t="s">
        <v>2338</v>
      </c>
      <c r="I2943" s="43" t="s">
        <v>2339</v>
      </c>
      <c r="J2943" s="43" t="s">
        <v>2340</v>
      </c>
      <c r="K2943" s="44" t="s">
        <v>4999</v>
      </c>
      <c r="L2943" s="44" t="s">
        <v>3939</v>
      </c>
      <c r="M2943" s="43">
        <v>22</v>
      </c>
      <c r="N2943" s="113" t="s">
        <v>1113</v>
      </c>
      <c r="O2943" s="113"/>
      <c r="P2943" s="113"/>
      <c r="Q2943" s="113"/>
      <c r="R2943" s="113"/>
      <c r="S2943" s="113"/>
      <c r="T2943" s="113"/>
      <c r="U2943" s="113"/>
      <c r="V2943" s="113"/>
      <c r="W2943" s="113"/>
      <c r="X2943" s="113"/>
      <c r="Y2943" s="113"/>
      <c r="Z2943" s="113"/>
      <c r="AA2943" s="113"/>
      <c r="AB2943" s="113"/>
      <c r="AC2943" s="113"/>
      <c r="AD2943" s="113"/>
      <c r="AE2943" s="113"/>
      <c r="AF2943" s="113"/>
      <c r="AG2943" s="113"/>
      <c r="AH2943" s="113"/>
      <c r="AI2943" s="113"/>
      <c r="AJ2943" s="113"/>
      <c r="AK2943" s="113" t="s">
        <v>1113</v>
      </c>
      <c r="AL2943" s="113"/>
      <c r="AM2943" s="113"/>
      <c r="AN2943" s="113"/>
      <c r="AO2943" s="43" t="s">
        <v>2334</v>
      </c>
      <c r="AP2943" s="43" t="s">
        <v>4850</v>
      </c>
      <c r="AQ2943" s="233" t="str">
        <f>VLOOKUP(Table8[[#This Row],[Instrument]],Def_Targets!$D$73:$E$159,2,FALSE)</f>
        <v>I_Vehicleimprove</v>
      </c>
      <c r="AR2943" s="242" t="str">
        <f>VLOOKUP(Table8[[#This Row],[Country Code]],Table29[],3,FALSE)</f>
        <v>Non-Annex I</v>
      </c>
      <c r="AS2943" s="242" t="str">
        <f>VLOOKUP(Table8[[#This Row],[Country Code]],Table29[],4,FALSE)</f>
        <v>Latin America and the Caribbean</v>
      </c>
      <c r="AT2943" s="242" t="str">
        <f>VLOOKUP(Table8[[#This Row],[Country Code]],Table29[],5,FALSE)</f>
        <v>Middle-income</v>
      </c>
      <c r="AU2943" s="242" t="str">
        <f>VLOOKUP(Table8[[#This Row],[Country Code]],Table29[],6,FALSE)</f>
        <v>no</v>
      </c>
      <c r="AV2943" s="242" t="str">
        <f>VLOOKUP(Table8[[#This Row],[Country Code]],Table29[],7,FALSE)</f>
        <v>no</v>
      </c>
      <c r="AW2943" s="242" t="str">
        <f>VLOOKUP(Table8[[#This Row],[Country Code]],Table29[],8,FALSE)</f>
        <v>non-OECD</v>
      </c>
      <c r="AX2943" s="242" t="str">
        <f>VLOOKUP(Table8[[#This Row],[Country Code]],Table29[],9,FALSE)</f>
        <v>no</v>
      </c>
      <c r="AY2943" s="242" t="str">
        <f>VLOOKUP(Table8[[#This Row],[Country Code]],Table29[],10,FALSE)</f>
        <v>no</v>
      </c>
      <c r="AZ2943" s="242">
        <f>VLOOKUP(Table8[[#This Row],[Country Code]],Table29[],23,FALSE)</f>
        <v>39.400331633766001</v>
      </c>
      <c r="BA2943" s="242">
        <f>VLOOKUP(Table8[[#This Row],[Country Code]],Table29[],24,FALSE)</f>
        <v>1.240586761635627</v>
      </c>
      <c r="BB2943" s="320"/>
    </row>
    <row r="2944" spans="1:54" ht="15" customHeight="1" x14ac:dyDescent="0.25">
      <c r="A2944" s="373">
        <v>43952</v>
      </c>
      <c r="B2944" s="243" t="str">
        <f>VLOOKUP(Table8[[#This Row],[Document ID]],Table1[],2,FALSE)</f>
        <v>ECU</v>
      </c>
      <c r="C2944" s="243" t="str">
        <f>VLOOKUP(Table8[[#This Row],[Document ID]],Table1[],3,FALSE)</f>
        <v>Ecuador</v>
      </c>
      <c r="D2944" s="243" t="str">
        <f>VLOOKUP(Table8[[#This Row],[Document ID]],Table1[],5,FALSE)</f>
        <v>NDC</v>
      </c>
      <c r="E2944" s="233" t="str">
        <f>VLOOKUP(Table8[[#This Row],[Document ID]],Table1[],7,FALSE)</f>
        <v>Third NDC</v>
      </c>
      <c r="F2944" s="233" t="str">
        <f>VLOOKUP(Table8[[#This Row],[Document ID]],Table1[],8,FALSE)</f>
        <v>NDC 3.0</v>
      </c>
      <c r="G2944" s="233" t="str">
        <f>VLOOKUP(Table8[[#This Row],[Document ID]],Table1[],10,FALSE)</f>
        <v>Active</v>
      </c>
      <c r="H2944" s="43" t="s">
        <v>2338</v>
      </c>
      <c r="I2944" s="43" t="s">
        <v>2339</v>
      </c>
      <c r="J2944" s="43" t="s">
        <v>2413</v>
      </c>
      <c r="K2944" s="44" t="s">
        <v>4870</v>
      </c>
      <c r="L2944" s="44" t="s">
        <v>3939</v>
      </c>
      <c r="M2944" s="43">
        <v>44</v>
      </c>
      <c r="N2944" s="113" t="s">
        <v>1113</v>
      </c>
      <c r="O2944" s="113"/>
      <c r="P2944" s="113"/>
      <c r="Q2944" s="113"/>
      <c r="R2944" s="113"/>
      <c r="S2944" s="113"/>
      <c r="T2944" s="113"/>
      <c r="U2944" s="113"/>
      <c r="V2944" s="113"/>
      <c r="W2944" s="113"/>
      <c r="X2944" s="113"/>
      <c r="Y2944" s="113"/>
      <c r="Z2944" s="113"/>
      <c r="AA2944" s="113"/>
      <c r="AB2944" s="113"/>
      <c r="AC2944" s="113"/>
      <c r="AD2944" s="113"/>
      <c r="AE2944" s="113"/>
      <c r="AF2944" s="113"/>
      <c r="AG2944" s="113"/>
      <c r="AH2944" s="113"/>
      <c r="AI2944" s="113"/>
      <c r="AJ2944" s="113"/>
      <c r="AK2944" s="113" t="s">
        <v>1113</v>
      </c>
      <c r="AL2944" s="113"/>
      <c r="AM2944" s="113"/>
      <c r="AN2944" s="113"/>
      <c r="AO2944" s="43" t="s">
        <v>2334</v>
      </c>
      <c r="AP2944" s="43" t="s">
        <v>4850</v>
      </c>
      <c r="AQ2944" s="233" t="str">
        <f>VLOOKUP(Table8[[#This Row],[Instrument]],Def_Targets!$D$73:$E$159,2,FALSE)</f>
        <v>I_Vehicleeff</v>
      </c>
      <c r="AR2944" s="242" t="str">
        <f>VLOOKUP(Table8[[#This Row],[Country Code]],Table29[],3,FALSE)</f>
        <v>Non-Annex I</v>
      </c>
      <c r="AS2944" s="242" t="str">
        <f>VLOOKUP(Table8[[#This Row],[Country Code]],Table29[],4,FALSE)</f>
        <v>Latin America and the Caribbean</v>
      </c>
      <c r="AT2944" s="242" t="str">
        <f>VLOOKUP(Table8[[#This Row],[Country Code]],Table29[],5,FALSE)</f>
        <v>Middle-income</v>
      </c>
      <c r="AU2944" s="242" t="str">
        <f>VLOOKUP(Table8[[#This Row],[Country Code]],Table29[],6,FALSE)</f>
        <v>no</v>
      </c>
      <c r="AV2944" s="242" t="str">
        <f>VLOOKUP(Table8[[#This Row],[Country Code]],Table29[],7,FALSE)</f>
        <v>no</v>
      </c>
      <c r="AW2944" s="242" t="str">
        <f>VLOOKUP(Table8[[#This Row],[Country Code]],Table29[],8,FALSE)</f>
        <v>non-OECD</v>
      </c>
      <c r="AX2944" s="242" t="str">
        <f>VLOOKUP(Table8[[#This Row],[Country Code]],Table29[],9,FALSE)</f>
        <v>no</v>
      </c>
      <c r="AY2944" s="242" t="str">
        <f>VLOOKUP(Table8[[#This Row],[Country Code]],Table29[],10,FALSE)</f>
        <v>no</v>
      </c>
      <c r="AZ2944" s="242">
        <f>VLOOKUP(Table8[[#This Row],[Country Code]],Table29[],23,FALSE)</f>
        <v>73.604607615068005</v>
      </c>
      <c r="BA2944" s="242">
        <f>VLOOKUP(Table8[[#This Row],[Country Code]],Table29[],24,FALSE)</f>
        <v>22.250312638556871</v>
      </c>
      <c r="BB2944" s="320"/>
    </row>
    <row r="2945" spans="1:54" x14ac:dyDescent="0.25">
      <c r="A2945" s="373">
        <v>43920</v>
      </c>
      <c r="B2945" s="243" t="str">
        <f>VLOOKUP(Table8[[#This Row],[Document ID]],Table1[],2,FALSE)</f>
        <v>LSO</v>
      </c>
      <c r="C2945" s="243" t="str">
        <f>VLOOKUP(Table8[[#This Row],[Document ID]],Table1[],3,FALSE)</f>
        <v>Lesotho</v>
      </c>
      <c r="D2945" s="243" t="str">
        <f>VLOOKUP(Table8[[#This Row],[Document ID]],Table1[],5,FALSE)</f>
        <v>NDC</v>
      </c>
      <c r="E2945" s="233" t="str">
        <f>VLOOKUP(Table8[[#This Row],[Document ID]],Table1[],7,FALSE)</f>
        <v>Third NDC</v>
      </c>
      <c r="F2945" s="233" t="str">
        <f>VLOOKUP(Table8[[#This Row],[Document ID]],Table1[],8,FALSE)</f>
        <v>NDC 3.0</v>
      </c>
      <c r="G2945" s="233" t="str">
        <f>VLOOKUP(Table8[[#This Row],[Document ID]],Table1[],10,FALSE)</f>
        <v>Active</v>
      </c>
      <c r="H2945" s="43" t="s">
        <v>2338</v>
      </c>
      <c r="I2945" s="43" t="s">
        <v>2339</v>
      </c>
      <c r="J2945" s="43" t="s">
        <v>2413</v>
      </c>
      <c r="K2945" s="44" t="s">
        <v>5000</v>
      </c>
      <c r="L2945" s="44" t="s">
        <v>2333</v>
      </c>
      <c r="M2945" s="43">
        <v>51</v>
      </c>
      <c r="N2945" s="113"/>
      <c r="O2945" s="113"/>
      <c r="P2945" s="113"/>
      <c r="Q2945" s="113"/>
      <c r="R2945" s="113"/>
      <c r="S2945" s="113" t="s">
        <v>1113</v>
      </c>
      <c r="T2945" s="113"/>
      <c r="U2945" s="113" t="s">
        <v>1113</v>
      </c>
      <c r="V2945" s="113"/>
      <c r="W2945" s="113"/>
      <c r="X2945" s="113"/>
      <c r="Y2945" s="113"/>
      <c r="Z2945" s="113"/>
      <c r="AA2945" s="113"/>
      <c r="AB2945" s="113"/>
      <c r="AC2945" s="113"/>
      <c r="AD2945" s="113"/>
      <c r="AE2945" s="113"/>
      <c r="AF2945" s="113"/>
      <c r="AG2945" s="113"/>
      <c r="AH2945" s="113"/>
      <c r="AI2945" s="113"/>
      <c r="AJ2945" s="113"/>
      <c r="AK2945" s="113" t="s">
        <v>1113</v>
      </c>
      <c r="AL2945" s="113"/>
      <c r="AM2945" s="113"/>
      <c r="AN2945" s="113"/>
      <c r="AO2945" s="43" t="s">
        <v>2334</v>
      </c>
      <c r="AP2945" s="43" t="s">
        <v>4873</v>
      </c>
      <c r="AQ2945" s="233" t="str">
        <f>VLOOKUP(Table8[[#This Row],[Instrument]],Def_Targets!$D$73:$E$159,2,FALSE)</f>
        <v>I_Vehicleeff</v>
      </c>
      <c r="AR2945" s="242" t="str">
        <f>VLOOKUP(Table8[[#This Row],[Country Code]],Table29[],3,FALSE)</f>
        <v>Non-Annex I</v>
      </c>
      <c r="AS2945" s="242" t="str">
        <f>VLOOKUP(Table8[[#This Row],[Country Code]],Table29[],4,FALSE)</f>
        <v>Africa</v>
      </c>
      <c r="AT2945" s="242" t="str">
        <f>VLOOKUP(Table8[[#This Row],[Country Code]],Table29[],5,FALSE)</f>
        <v>Middle-income</v>
      </c>
      <c r="AU2945" s="242" t="str">
        <f>VLOOKUP(Table8[[#This Row],[Country Code]],Table29[],6,FALSE)</f>
        <v>no</v>
      </c>
      <c r="AV2945" s="242" t="str">
        <f>VLOOKUP(Table8[[#This Row],[Country Code]],Table29[],7,FALSE)</f>
        <v>no</v>
      </c>
      <c r="AW2945" s="242" t="str">
        <f>VLOOKUP(Table8[[#This Row],[Country Code]],Table29[],8,FALSE)</f>
        <v>non-OECD</v>
      </c>
      <c r="AX2945" s="242" t="str">
        <f>VLOOKUP(Table8[[#This Row],[Country Code]],Table29[],9,FALSE)</f>
        <v>no</v>
      </c>
      <c r="AY2945" s="242" t="str">
        <f>VLOOKUP(Table8[[#This Row],[Country Code]],Table29[],10,FALSE)</f>
        <v>no</v>
      </c>
      <c r="AZ2945" s="242">
        <f>VLOOKUP(Table8[[#This Row],[Country Code]],Table29[],23,FALSE)</f>
        <v>2.6019212840000998</v>
      </c>
      <c r="BA2945" s="242">
        <f>VLOOKUP(Table8[[#This Row],[Country Code]],Table29[],24,FALSE)</f>
        <v>0.50992867306348366</v>
      </c>
      <c r="BB2945" s="320"/>
    </row>
    <row r="2946" spans="1:54" ht="30" x14ac:dyDescent="0.25">
      <c r="A2946" s="373">
        <v>43920</v>
      </c>
      <c r="B2946" s="243" t="str">
        <f>VLOOKUP(Table8[[#This Row],[Document ID]],Table1[],2,FALSE)</f>
        <v>LSO</v>
      </c>
      <c r="C2946" s="243" t="str">
        <f>VLOOKUP(Table8[[#This Row],[Document ID]],Table1[],3,FALSE)</f>
        <v>Lesotho</v>
      </c>
      <c r="D2946" s="243" t="str">
        <f>VLOOKUP(Table8[[#This Row],[Document ID]],Table1[],5,FALSE)</f>
        <v>NDC</v>
      </c>
      <c r="E2946" s="233" t="str">
        <f>VLOOKUP(Table8[[#This Row],[Document ID]],Table1[],7,FALSE)</f>
        <v>Third NDC</v>
      </c>
      <c r="F2946" s="233" t="str">
        <f>VLOOKUP(Table8[[#This Row],[Document ID]],Table1[],8,FALSE)</f>
        <v>NDC 3.0</v>
      </c>
      <c r="G2946" s="233" t="str">
        <f>VLOOKUP(Table8[[#This Row],[Document ID]],Table1[],10,FALSE)</f>
        <v>Active</v>
      </c>
      <c r="H2946" s="43" t="s">
        <v>2338</v>
      </c>
      <c r="I2946" s="43" t="s">
        <v>2339</v>
      </c>
      <c r="J2946" s="43" t="s">
        <v>2410</v>
      </c>
      <c r="K2946" s="44" t="s">
        <v>2263</v>
      </c>
      <c r="L2946" s="44" t="s">
        <v>2333</v>
      </c>
      <c r="M2946" s="43">
        <v>52</v>
      </c>
      <c r="N2946" s="113"/>
      <c r="O2946" s="113"/>
      <c r="P2946" s="113"/>
      <c r="Q2946" s="113"/>
      <c r="R2946" s="113"/>
      <c r="S2946" s="113"/>
      <c r="T2946" s="113"/>
      <c r="U2946" s="113" t="s">
        <v>1113</v>
      </c>
      <c r="V2946" s="113"/>
      <c r="W2946" s="113"/>
      <c r="X2946" s="113"/>
      <c r="Y2946" s="113"/>
      <c r="Z2946" s="113"/>
      <c r="AA2946" s="113"/>
      <c r="AB2946" s="113"/>
      <c r="AC2946" s="113"/>
      <c r="AD2946" s="113"/>
      <c r="AE2946" s="113"/>
      <c r="AF2946" s="113"/>
      <c r="AG2946" s="113"/>
      <c r="AH2946" s="113"/>
      <c r="AI2946" s="113"/>
      <c r="AJ2946" s="113"/>
      <c r="AK2946" s="113" t="s">
        <v>1113</v>
      </c>
      <c r="AL2946" s="113"/>
      <c r="AM2946" s="113"/>
      <c r="AN2946" s="113"/>
      <c r="AO2946" s="43" t="s">
        <v>2334</v>
      </c>
      <c r="AP2946" s="43" t="s">
        <v>4873</v>
      </c>
      <c r="AQ2946" s="233" t="str">
        <f>VLOOKUP(Table8[[#This Row],[Instrument]],Def_Targets!$D$73:$E$159,2,FALSE)</f>
        <v>I_VehicleRestrictions</v>
      </c>
      <c r="AR2946" s="242" t="str">
        <f>VLOOKUP(Table8[[#This Row],[Country Code]],Table29[],3,FALSE)</f>
        <v>Non-Annex I</v>
      </c>
      <c r="AS2946" s="242" t="str">
        <f>VLOOKUP(Table8[[#This Row],[Country Code]],Table29[],4,FALSE)</f>
        <v>Africa</v>
      </c>
      <c r="AT2946" s="242" t="str">
        <f>VLOOKUP(Table8[[#This Row],[Country Code]],Table29[],5,FALSE)</f>
        <v>Middle-income</v>
      </c>
      <c r="AU2946" s="242" t="str">
        <f>VLOOKUP(Table8[[#This Row],[Country Code]],Table29[],6,FALSE)</f>
        <v>no</v>
      </c>
      <c r="AV2946" s="242" t="str">
        <f>VLOOKUP(Table8[[#This Row],[Country Code]],Table29[],7,FALSE)</f>
        <v>no</v>
      </c>
      <c r="AW2946" s="242" t="str">
        <f>VLOOKUP(Table8[[#This Row],[Country Code]],Table29[],8,FALSE)</f>
        <v>non-OECD</v>
      </c>
      <c r="AX2946" s="242" t="str">
        <f>VLOOKUP(Table8[[#This Row],[Country Code]],Table29[],9,FALSE)</f>
        <v>no</v>
      </c>
      <c r="AY2946" s="242" t="str">
        <f>VLOOKUP(Table8[[#This Row],[Country Code]],Table29[],10,FALSE)</f>
        <v>no</v>
      </c>
      <c r="AZ2946" s="242">
        <f>VLOOKUP(Table8[[#This Row],[Country Code]],Table29[],23,FALSE)</f>
        <v>2.6019212840000998</v>
      </c>
      <c r="BA2946" s="242">
        <f>VLOOKUP(Table8[[#This Row],[Country Code]],Table29[],24,FALSE)</f>
        <v>0.50992867306348366</v>
      </c>
      <c r="BB2946" s="320"/>
    </row>
    <row r="2947" spans="1:54" ht="30" x14ac:dyDescent="0.25">
      <c r="A2947" s="373">
        <v>44170</v>
      </c>
      <c r="B2947" s="243" t="str">
        <f>VLOOKUP(Table8[[#This Row],[Document ID]],Table1[],2,FALSE)</f>
        <v>MDV</v>
      </c>
      <c r="C2947" s="243" t="str">
        <f>VLOOKUP(Table8[[#This Row],[Document ID]],Table1[],3,FALSE)</f>
        <v>Maldives</v>
      </c>
      <c r="D2947" s="243" t="str">
        <f>VLOOKUP(Table8[[#This Row],[Document ID]],Table1[],5,FALSE)</f>
        <v>NDC</v>
      </c>
      <c r="E2947" s="233" t="str">
        <f>VLOOKUP(Table8[[#This Row],[Document ID]],Table1[],7,FALSE)</f>
        <v>Third NDC</v>
      </c>
      <c r="F2947" s="233" t="str">
        <f>VLOOKUP(Table8[[#This Row],[Document ID]],Table1[],8,FALSE)</f>
        <v>NDC 3.0</v>
      </c>
      <c r="G2947" s="233" t="str">
        <f>VLOOKUP(Table8[[#This Row],[Document ID]],Table1[],10,FALSE)</f>
        <v>Active</v>
      </c>
      <c r="H2947" s="43" t="s">
        <v>2338</v>
      </c>
      <c r="I2947" s="43" t="s">
        <v>2339</v>
      </c>
      <c r="J2947" s="43" t="s">
        <v>2425</v>
      </c>
      <c r="K2947" s="44" t="s">
        <v>5001</v>
      </c>
      <c r="L2947" s="44" t="s">
        <v>2333</v>
      </c>
      <c r="M2947" s="43">
        <v>12</v>
      </c>
      <c r="N2947" s="113" t="s">
        <v>1113</v>
      </c>
      <c r="O2947" s="113"/>
      <c r="P2947" s="113"/>
      <c r="Q2947" s="113"/>
      <c r="R2947" s="113"/>
      <c r="S2947" s="113"/>
      <c r="T2947" s="113"/>
      <c r="U2947" s="113"/>
      <c r="V2947" s="113"/>
      <c r="W2947" s="113"/>
      <c r="X2947" s="113"/>
      <c r="Y2947" s="113"/>
      <c r="Z2947" s="113"/>
      <c r="AA2947" s="113"/>
      <c r="AB2947" s="113"/>
      <c r="AC2947" s="113"/>
      <c r="AD2947" s="113"/>
      <c r="AE2947" s="113"/>
      <c r="AF2947" s="113"/>
      <c r="AG2947" s="113"/>
      <c r="AH2947" s="113"/>
      <c r="AI2947" s="113"/>
      <c r="AJ2947" s="113"/>
      <c r="AK2947" s="113" t="s">
        <v>1113</v>
      </c>
      <c r="AL2947" s="113"/>
      <c r="AM2947" s="113"/>
      <c r="AN2947" s="113"/>
      <c r="AO2947" s="43" t="s">
        <v>2334</v>
      </c>
      <c r="AP2947" s="43" t="s">
        <v>4850</v>
      </c>
      <c r="AQ2947" s="233" t="str">
        <f>VLOOKUP(Table8[[#This Row],[Instrument]],Def_Targets!$D$73:$E$159,2,FALSE)</f>
        <v>I_Efficiencystd</v>
      </c>
      <c r="AR2947" s="242" t="str">
        <f>VLOOKUP(Table8[[#This Row],[Country Code]],Table29[],3,FALSE)</f>
        <v>Non-Annex I</v>
      </c>
      <c r="AS2947" s="242" t="str">
        <f>VLOOKUP(Table8[[#This Row],[Country Code]],Table29[],4,FALSE)</f>
        <v>Asia</v>
      </c>
      <c r="AT2947" s="242" t="str">
        <f>VLOOKUP(Table8[[#This Row],[Country Code]],Table29[],5,FALSE)</f>
        <v>Middle-income</v>
      </c>
      <c r="AU2947" s="242" t="str">
        <f>VLOOKUP(Table8[[#This Row],[Country Code]],Table29[],6,FALSE)</f>
        <v>no</v>
      </c>
      <c r="AV2947" s="242" t="str">
        <f>VLOOKUP(Table8[[#This Row],[Country Code]],Table29[],7,FALSE)</f>
        <v>no</v>
      </c>
      <c r="AW2947" s="242" t="str">
        <f>VLOOKUP(Table8[[#This Row],[Country Code]],Table29[],8,FALSE)</f>
        <v>non-OECD</v>
      </c>
      <c r="AX2947" s="242" t="str">
        <f>VLOOKUP(Table8[[#This Row],[Country Code]],Table29[],9,FALSE)</f>
        <v>no</v>
      </c>
      <c r="AY2947" s="242" t="str">
        <f>VLOOKUP(Table8[[#This Row],[Country Code]],Table29[],10,FALSE)</f>
        <v>no</v>
      </c>
      <c r="AZ2947" s="242">
        <f>VLOOKUP(Table8[[#This Row],[Country Code]],Table29[],23,FALSE)</f>
        <v>3.0879519663505</v>
      </c>
      <c r="BA2947" s="242">
        <f>VLOOKUP(Table8[[#This Row],[Country Code]],Table29[],24,FALSE)</f>
        <v>1.4972669707005819</v>
      </c>
      <c r="BB2947" s="320"/>
    </row>
    <row r="2948" spans="1:54" x14ac:dyDescent="0.25">
      <c r="A2948" s="373">
        <v>44170</v>
      </c>
      <c r="B2948" s="243" t="str">
        <f>VLOOKUP(Table8[[#This Row],[Document ID]],Table1[],2,FALSE)</f>
        <v>MDV</v>
      </c>
      <c r="C2948" s="243" t="str">
        <f>VLOOKUP(Table8[[#This Row],[Document ID]],Table1[],3,FALSE)</f>
        <v>Maldives</v>
      </c>
      <c r="D2948" s="243" t="str">
        <f>VLOOKUP(Table8[[#This Row],[Document ID]],Table1[],5,FALSE)</f>
        <v>NDC</v>
      </c>
      <c r="E2948" s="233" t="str">
        <f>VLOOKUP(Table8[[#This Row],[Document ID]],Table1[],7,FALSE)</f>
        <v>Third NDC</v>
      </c>
      <c r="F2948" s="233" t="str">
        <f>VLOOKUP(Table8[[#This Row],[Document ID]],Table1[],8,FALSE)</f>
        <v>NDC 3.0</v>
      </c>
      <c r="G2948" s="233" t="str">
        <f>VLOOKUP(Table8[[#This Row],[Document ID]],Table1[],10,FALSE)</f>
        <v>Active</v>
      </c>
      <c r="H2948" s="43" t="s">
        <v>2338</v>
      </c>
      <c r="I2948" s="43" t="s">
        <v>2339</v>
      </c>
      <c r="J2948" s="43" t="s">
        <v>2340</v>
      </c>
      <c r="K2948" s="44" t="s">
        <v>5002</v>
      </c>
      <c r="L2948" s="44" t="s">
        <v>2333</v>
      </c>
      <c r="M2948" s="43">
        <v>9</v>
      </c>
      <c r="N2948" s="113" t="s">
        <v>1113</v>
      </c>
      <c r="O2948" s="113"/>
      <c r="P2948" s="113"/>
      <c r="Q2948" s="113"/>
      <c r="R2948" s="113"/>
      <c r="S2948" s="113"/>
      <c r="T2948" s="113"/>
      <c r="U2948" s="113"/>
      <c r="V2948" s="113"/>
      <c r="W2948" s="113"/>
      <c r="X2948" s="113"/>
      <c r="Y2948" s="113"/>
      <c r="Z2948" s="113"/>
      <c r="AA2948" s="113"/>
      <c r="AB2948" s="113"/>
      <c r="AC2948" s="113"/>
      <c r="AD2948" s="113"/>
      <c r="AE2948" s="113"/>
      <c r="AF2948" s="113"/>
      <c r="AG2948" s="113"/>
      <c r="AH2948" s="113"/>
      <c r="AI2948" s="113"/>
      <c r="AJ2948" s="113"/>
      <c r="AK2948" s="113" t="s">
        <v>1113</v>
      </c>
      <c r="AL2948" s="113"/>
      <c r="AM2948" s="113"/>
      <c r="AN2948" s="113"/>
      <c r="AO2948" s="43" t="s">
        <v>2477</v>
      </c>
      <c r="AP2948" s="43" t="s">
        <v>4850</v>
      </c>
      <c r="AQ2948" s="233" t="str">
        <f>VLOOKUP(Table8[[#This Row],[Instrument]],Def_Targets!$D$73:$E$159,2,FALSE)</f>
        <v>I_Vehicleimprove</v>
      </c>
      <c r="AR2948" s="242" t="str">
        <f>VLOOKUP(Table8[[#This Row],[Country Code]],Table29[],3,FALSE)</f>
        <v>Non-Annex I</v>
      </c>
      <c r="AS2948" s="242" t="str">
        <f>VLOOKUP(Table8[[#This Row],[Country Code]],Table29[],4,FALSE)</f>
        <v>Asia</v>
      </c>
      <c r="AT2948" s="242" t="str">
        <f>VLOOKUP(Table8[[#This Row],[Country Code]],Table29[],5,FALSE)</f>
        <v>Middle-income</v>
      </c>
      <c r="AU2948" s="242" t="str">
        <f>VLOOKUP(Table8[[#This Row],[Country Code]],Table29[],6,FALSE)</f>
        <v>no</v>
      </c>
      <c r="AV2948" s="242" t="str">
        <f>VLOOKUP(Table8[[#This Row],[Country Code]],Table29[],7,FALSE)</f>
        <v>no</v>
      </c>
      <c r="AW2948" s="242" t="str">
        <f>VLOOKUP(Table8[[#This Row],[Country Code]],Table29[],8,FALSE)</f>
        <v>non-OECD</v>
      </c>
      <c r="AX2948" s="242" t="str">
        <f>VLOOKUP(Table8[[#This Row],[Country Code]],Table29[],9,FALSE)</f>
        <v>no</v>
      </c>
      <c r="AY2948" s="242" t="str">
        <f>VLOOKUP(Table8[[#This Row],[Country Code]],Table29[],10,FALSE)</f>
        <v>no</v>
      </c>
      <c r="AZ2948" s="242">
        <f>VLOOKUP(Table8[[#This Row],[Country Code]],Table29[],23,FALSE)</f>
        <v>3.0879519663505</v>
      </c>
      <c r="BA2948" s="242">
        <f>VLOOKUP(Table8[[#This Row],[Country Code]],Table29[],24,FALSE)</f>
        <v>1.4972669707005819</v>
      </c>
      <c r="BB2948" s="320"/>
    </row>
    <row r="2949" spans="1:54" ht="15" customHeight="1" x14ac:dyDescent="0.25">
      <c r="A2949" s="373">
        <v>44170</v>
      </c>
      <c r="B2949" s="243" t="str">
        <f>VLOOKUP(Table8[[#This Row],[Document ID]],Table1[],2,FALSE)</f>
        <v>MDV</v>
      </c>
      <c r="C2949" s="243" t="str">
        <f>VLOOKUP(Table8[[#This Row],[Document ID]],Table1[],3,FALSE)</f>
        <v>Maldives</v>
      </c>
      <c r="D2949" s="243" t="str">
        <f>VLOOKUP(Table8[[#This Row],[Document ID]],Table1[],5,FALSE)</f>
        <v>NDC</v>
      </c>
      <c r="E2949" s="233" t="str">
        <f>VLOOKUP(Table8[[#This Row],[Document ID]],Table1[],7,FALSE)</f>
        <v>Third NDC</v>
      </c>
      <c r="F2949" s="233" t="str">
        <f>VLOOKUP(Table8[[#This Row],[Document ID]],Table1[],8,FALSE)</f>
        <v>NDC 3.0</v>
      </c>
      <c r="G2949" s="233" t="str">
        <f>VLOOKUP(Table8[[#This Row],[Document ID]],Table1[],10,FALSE)</f>
        <v>Active</v>
      </c>
      <c r="H2949" s="43" t="s">
        <v>2338</v>
      </c>
      <c r="I2949" s="43" t="s">
        <v>2339</v>
      </c>
      <c r="J2949" s="43" t="s">
        <v>2340</v>
      </c>
      <c r="K2949" s="44" t="s">
        <v>5003</v>
      </c>
      <c r="L2949" s="44" t="s">
        <v>2333</v>
      </c>
      <c r="M2949" s="43">
        <v>9</v>
      </c>
      <c r="N2949" s="113" t="s">
        <v>1113</v>
      </c>
      <c r="O2949" s="113"/>
      <c r="P2949" s="113"/>
      <c r="Q2949" s="113"/>
      <c r="R2949" s="113"/>
      <c r="S2949" s="113"/>
      <c r="T2949" s="113"/>
      <c r="U2949" s="113"/>
      <c r="V2949" s="113"/>
      <c r="W2949" s="113"/>
      <c r="X2949" s="113"/>
      <c r="Y2949" s="113"/>
      <c r="Z2949" s="113"/>
      <c r="AA2949" s="113"/>
      <c r="AB2949" s="113"/>
      <c r="AC2949" s="113"/>
      <c r="AD2949" s="113"/>
      <c r="AE2949" s="113"/>
      <c r="AF2949" s="113"/>
      <c r="AG2949" s="113"/>
      <c r="AH2949" s="113"/>
      <c r="AI2949" s="113"/>
      <c r="AJ2949" s="113"/>
      <c r="AK2949" s="113" t="s">
        <v>1113</v>
      </c>
      <c r="AL2949" s="113"/>
      <c r="AM2949" s="113"/>
      <c r="AN2949" s="113"/>
      <c r="AO2949" s="43" t="s">
        <v>2477</v>
      </c>
      <c r="AP2949" s="43" t="s">
        <v>4850</v>
      </c>
      <c r="AQ2949" s="233" t="str">
        <f>VLOOKUP(Table8[[#This Row],[Instrument]],Def_Targets!$D$73:$E$159,2,FALSE)</f>
        <v>I_Vehicleimprove</v>
      </c>
      <c r="AR2949" s="242" t="str">
        <f>VLOOKUP(Table8[[#This Row],[Country Code]],Table29[],3,FALSE)</f>
        <v>Non-Annex I</v>
      </c>
      <c r="AS2949" s="242" t="str">
        <f>VLOOKUP(Table8[[#This Row],[Country Code]],Table29[],4,FALSE)</f>
        <v>Asia</v>
      </c>
      <c r="AT2949" s="242" t="str">
        <f>VLOOKUP(Table8[[#This Row],[Country Code]],Table29[],5,FALSE)</f>
        <v>Middle-income</v>
      </c>
      <c r="AU2949" s="242" t="str">
        <f>VLOOKUP(Table8[[#This Row],[Country Code]],Table29[],6,FALSE)</f>
        <v>no</v>
      </c>
      <c r="AV2949" s="242" t="str">
        <f>VLOOKUP(Table8[[#This Row],[Country Code]],Table29[],7,FALSE)</f>
        <v>no</v>
      </c>
      <c r="AW2949" s="242" t="str">
        <f>VLOOKUP(Table8[[#This Row],[Country Code]],Table29[],8,FALSE)</f>
        <v>non-OECD</v>
      </c>
      <c r="AX2949" s="242" t="str">
        <f>VLOOKUP(Table8[[#This Row],[Country Code]],Table29[],9,FALSE)</f>
        <v>no</v>
      </c>
      <c r="AY2949" s="242" t="str">
        <f>VLOOKUP(Table8[[#This Row],[Country Code]],Table29[],10,FALSE)</f>
        <v>no</v>
      </c>
      <c r="AZ2949" s="242">
        <f>VLOOKUP(Table8[[#This Row],[Country Code]],Table29[],23,FALSE)</f>
        <v>3.0879519663505</v>
      </c>
      <c r="BA2949" s="242">
        <f>VLOOKUP(Table8[[#This Row],[Country Code]],Table29[],24,FALSE)</f>
        <v>1.4972669707005819</v>
      </c>
      <c r="BB2949" s="320"/>
    </row>
    <row r="2950" spans="1:54" ht="15" customHeight="1" x14ac:dyDescent="0.25">
      <c r="A2950" s="373">
        <v>44085</v>
      </c>
      <c r="B2950" s="243" t="str">
        <f>VLOOKUP(Table8[[#This Row],[Document ID]],Table1[],2,FALSE)</f>
        <v>MNE</v>
      </c>
      <c r="C2950" s="243" t="str">
        <f>VLOOKUP(Table8[[#This Row],[Document ID]],Table1[],3,FALSE)</f>
        <v>Montenegro</v>
      </c>
      <c r="D2950" s="243" t="str">
        <f>VLOOKUP(Table8[[#This Row],[Document ID]],Table1[],5,FALSE)</f>
        <v>NDC</v>
      </c>
      <c r="E2950" s="233" t="str">
        <f>VLOOKUP(Table8[[#This Row],[Document ID]],Table1[],7,FALSE)</f>
        <v>Third NDC</v>
      </c>
      <c r="F2950" s="233" t="str">
        <f>VLOOKUP(Table8[[#This Row],[Document ID]],Table1[],8,FALSE)</f>
        <v>NDC 3.0</v>
      </c>
      <c r="G2950" s="233" t="str">
        <f>VLOOKUP(Table8[[#This Row],[Document ID]],Table1[],10,FALSE)</f>
        <v>Active</v>
      </c>
      <c r="H2950" s="43" t="s">
        <v>2338</v>
      </c>
      <c r="I2950" s="43" t="s">
        <v>2339</v>
      </c>
      <c r="J2950" s="43" t="s">
        <v>2425</v>
      </c>
      <c r="K2950" s="44" t="s">
        <v>4871</v>
      </c>
      <c r="L2950" s="44" t="s">
        <v>2333</v>
      </c>
      <c r="M2950" s="43">
        <v>10</v>
      </c>
      <c r="N2950" s="113" t="s">
        <v>1113</v>
      </c>
      <c r="O2950" s="113"/>
      <c r="P2950" s="113"/>
      <c r="Q2950" s="113"/>
      <c r="R2950" s="113"/>
      <c r="S2950" s="113"/>
      <c r="T2950" s="113"/>
      <c r="U2950" s="113"/>
      <c r="V2950" s="113"/>
      <c r="W2950" s="113"/>
      <c r="X2950" s="113"/>
      <c r="Y2950" s="113"/>
      <c r="Z2950" s="113"/>
      <c r="AA2950" s="113"/>
      <c r="AB2950" s="113"/>
      <c r="AC2950" s="113"/>
      <c r="AD2950" s="113"/>
      <c r="AE2950" s="113"/>
      <c r="AF2950" s="113"/>
      <c r="AG2950" s="113"/>
      <c r="AH2950" s="113"/>
      <c r="AI2950" s="113"/>
      <c r="AJ2950" s="113"/>
      <c r="AK2950" s="113" t="s">
        <v>1113</v>
      </c>
      <c r="AL2950" s="113"/>
      <c r="AM2950" s="113"/>
      <c r="AN2950" s="113"/>
      <c r="AO2950" s="43" t="s">
        <v>2334</v>
      </c>
      <c r="AP2950" s="43" t="s">
        <v>4850</v>
      </c>
      <c r="AQ2950" s="233" t="str">
        <f>VLOOKUP(Table8[[#This Row],[Instrument]],Def_Targets!$D$73:$E$159,2,FALSE)</f>
        <v>I_Efficiencystd</v>
      </c>
      <c r="AR2950" s="242" t="str">
        <f>VLOOKUP(Table8[[#This Row],[Country Code]],Table29[],3,FALSE)</f>
        <v>Non-Annex I</v>
      </c>
      <c r="AS2950" s="242" t="str">
        <f>VLOOKUP(Table8[[#This Row],[Country Code]],Table29[],4,FALSE)</f>
        <v>Europe</v>
      </c>
      <c r="AT2950" s="242" t="str">
        <f>VLOOKUP(Table8[[#This Row],[Country Code]],Table29[],5,FALSE)</f>
        <v>Middle-income</v>
      </c>
      <c r="AU2950" s="242" t="str">
        <f>VLOOKUP(Table8[[#This Row],[Country Code]],Table29[],6,FALSE)</f>
        <v>no</v>
      </c>
      <c r="AV2950" s="242" t="str">
        <f>VLOOKUP(Table8[[#This Row],[Country Code]],Table29[],7,FALSE)</f>
        <v>no</v>
      </c>
      <c r="AW2950" s="242" t="str">
        <f>VLOOKUP(Table8[[#This Row],[Country Code]],Table29[],8,FALSE)</f>
        <v>non-OECD</v>
      </c>
      <c r="AX2950" s="242" t="str">
        <f>VLOOKUP(Table8[[#This Row],[Country Code]],Table29[],9,FALSE)</f>
        <v>no</v>
      </c>
      <c r="AY2950" s="242" t="str">
        <f>VLOOKUP(Table8[[#This Row],[Country Code]],Table29[],10,FALSE)</f>
        <v>no</v>
      </c>
      <c r="AZ2950" s="242">
        <f>VLOOKUP(Table8[[#This Row],[Country Code]],Table29[],23,FALSE)</f>
        <v>0</v>
      </c>
      <c r="BA2950" s="242">
        <f>VLOOKUP(Table8[[#This Row],[Country Code]],Table29[],24,FALSE)</f>
        <v>0</v>
      </c>
      <c r="BB2950" s="320"/>
    </row>
    <row r="2951" spans="1:54" ht="15" customHeight="1" x14ac:dyDescent="0.25">
      <c r="A2951" s="373">
        <v>43860</v>
      </c>
      <c r="B2951" s="243" t="str">
        <f>VLOOKUP(Table8[[#This Row],[Document ID]],Table1[],2,FALSE)</f>
        <v>CHE</v>
      </c>
      <c r="C2951" s="243" t="str">
        <f>VLOOKUP(Table8[[#This Row],[Document ID]],Table1[],3,FALSE)</f>
        <v>Switzerland</v>
      </c>
      <c r="D2951" s="243" t="str">
        <f>VLOOKUP(Table8[[#This Row],[Document ID]],Table1[],5,FALSE)</f>
        <v>NDC</v>
      </c>
      <c r="E2951" s="233" t="str">
        <f>VLOOKUP(Table8[[#This Row],[Document ID]],Table1[],7,FALSE)</f>
        <v>Third NDC</v>
      </c>
      <c r="F2951" s="233" t="str">
        <f>VLOOKUP(Table8[[#This Row],[Document ID]],Table1[],8,FALSE)</f>
        <v>NDC 3.0</v>
      </c>
      <c r="G2951" s="233" t="str">
        <f>VLOOKUP(Table8[[#This Row],[Document ID]],Table1[],10,FALSE)</f>
        <v>Active</v>
      </c>
      <c r="H2951" s="43" t="s">
        <v>2338</v>
      </c>
      <c r="I2951" s="43" t="s">
        <v>2339</v>
      </c>
      <c r="J2951" s="43" t="s">
        <v>2413</v>
      </c>
      <c r="K2951" s="44" t="s">
        <v>5004</v>
      </c>
      <c r="L2951" s="44" t="s">
        <v>2333</v>
      </c>
      <c r="M2951" s="43" t="s">
        <v>5005</v>
      </c>
      <c r="N2951" s="113"/>
      <c r="O2951" s="113"/>
      <c r="P2951" s="113"/>
      <c r="Q2951" s="113"/>
      <c r="R2951" s="113"/>
      <c r="S2951" s="113" t="s">
        <v>1113</v>
      </c>
      <c r="T2951" s="113"/>
      <c r="U2951" s="113"/>
      <c r="V2951" s="113"/>
      <c r="W2951" s="113"/>
      <c r="X2951" s="113"/>
      <c r="Y2951" s="113"/>
      <c r="Z2951" s="113"/>
      <c r="AA2951" s="113"/>
      <c r="AB2951" s="113"/>
      <c r="AC2951" s="113"/>
      <c r="AD2951" s="113"/>
      <c r="AE2951" s="113"/>
      <c r="AF2951" s="113"/>
      <c r="AG2951" s="113"/>
      <c r="AH2951" s="113"/>
      <c r="AI2951" s="113"/>
      <c r="AJ2951" s="113"/>
      <c r="AK2951" s="113" t="s">
        <v>1113</v>
      </c>
      <c r="AL2951" s="113"/>
      <c r="AM2951" s="113"/>
      <c r="AN2951" s="113"/>
      <c r="AO2951" s="44" t="s">
        <v>2334</v>
      </c>
      <c r="AP2951" s="43" t="s">
        <v>4861</v>
      </c>
      <c r="AQ2951" s="233" t="str">
        <f>VLOOKUP(Table8[[#This Row],[Instrument]],Def_Targets!$D$73:$E$159,2,FALSE)</f>
        <v>I_Vehicleeff</v>
      </c>
      <c r="AR2951" s="242" t="str">
        <f>VLOOKUP(Table8[[#This Row],[Country Code]],Table29[],3,FALSE)</f>
        <v>Annex I</v>
      </c>
      <c r="AS2951" s="242" t="str">
        <f>VLOOKUP(Table8[[#This Row],[Country Code]],Table29[],4,FALSE)</f>
        <v>Europe</v>
      </c>
      <c r="AT2951" s="242" t="str">
        <f>VLOOKUP(Table8[[#This Row],[Country Code]],Table29[],5,FALSE)</f>
        <v>High-income</v>
      </c>
      <c r="AU2951" s="242" t="str">
        <f>VLOOKUP(Table8[[#This Row],[Country Code]],Table29[],6,FALSE)</f>
        <v>no</v>
      </c>
      <c r="AV2951" s="242" t="str">
        <f>VLOOKUP(Table8[[#This Row],[Country Code]],Table29[],7,FALSE)</f>
        <v>no</v>
      </c>
      <c r="AW2951" s="242" t="str">
        <f>VLOOKUP(Table8[[#This Row],[Country Code]],Table29[],8,FALSE)</f>
        <v>OECD</v>
      </c>
      <c r="AX2951" s="242" t="str">
        <f>VLOOKUP(Table8[[#This Row],[Country Code]],Table29[],9,FALSE)</f>
        <v>no</v>
      </c>
      <c r="AY2951" s="242" t="str">
        <f>VLOOKUP(Table8[[#This Row],[Country Code]],Table29[],10,FALSE)</f>
        <v>no</v>
      </c>
      <c r="AZ2951" s="242">
        <f>VLOOKUP(Table8[[#This Row],[Country Code]],Table29[],23,FALSE)</f>
        <v>43.446393813877002</v>
      </c>
      <c r="BA2951" s="242">
        <f>VLOOKUP(Table8[[#This Row],[Country Code]],Table29[],24,FALSE)</f>
        <v>14.82381986485206</v>
      </c>
      <c r="BB2951" s="320"/>
    </row>
    <row r="2952" spans="1:54" ht="15" customHeight="1" x14ac:dyDescent="0.25">
      <c r="A2952" s="373">
        <v>43699</v>
      </c>
      <c r="B2952" s="243" t="str">
        <f>VLOOKUP(Table8[[#This Row],[Document ID]],Table1[],2,FALSE)</f>
        <v>ARE</v>
      </c>
      <c r="C2952" s="243" t="str">
        <f>VLOOKUP(Table8[[#This Row],[Document ID]],Table1[],3,FALSE)</f>
        <v>United Arab Emirates</v>
      </c>
      <c r="D2952" s="243" t="str">
        <f>VLOOKUP(Table8[[#This Row],[Document ID]],Table1[],5,FALSE)</f>
        <v>NDC</v>
      </c>
      <c r="E2952" s="233" t="str">
        <f>VLOOKUP(Table8[[#This Row],[Document ID]],Table1[],7,FALSE)</f>
        <v>Third NDC</v>
      </c>
      <c r="F2952" s="233" t="str">
        <f>VLOOKUP(Table8[[#This Row],[Document ID]],Table1[],8,FALSE)</f>
        <v>NDC 3.0</v>
      </c>
      <c r="G2952" s="233" t="str">
        <f>VLOOKUP(Table8[[#This Row],[Document ID]],Table1[],10,FALSE)</f>
        <v>Active</v>
      </c>
      <c r="H2952" s="43" t="s">
        <v>2338</v>
      </c>
      <c r="I2952" s="43" t="s">
        <v>2339</v>
      </c>
      <c r="J2952" s="43" t="s">
        <v>2556</v>
      </c>
      <c r="K2952" s="44" t="s">
        <v>5006</v>
      </c>
      <c r="L2952" s="44" t="s">
        <v>2333</v>
      </c>
      <c r="M2952" s="43">
        <v>28</v>
      </c>
      <c r="N2952" s="113"/>
      <c r="O2952" s="113"/>
      <c r="P2952" s="113"/>
      <c r="Q2952" s="113"/>
      <c r="R2952" s="113"/>
      <c r="S2952" s="113" t="s">
        <v>1113</v>
      </c>
      <c r="T2952" s="113"/>
      <c r="U2952" s="113"/>
      <c r="V2952" s="113"/>
      <c r="W2952" s="113"/>
      <c r="X2952" s="113"/>
      <c r="Y2952" s="113"/>
      <c r="Z2952" s="113"/>
      <c r="AA2952" s="113"/>
      <c r="AB2952" s="113"/>
      <c r="AC2952" s="113"/>
      <c r="AD2952" s="113"/>
      <c r="AE2952" s="113"/>
      <c r="AF2952" s="113"/>
      <c r="AG2952" s="113"/>
      <c r="AH2952" s="113"/>
      <c r="AI2952" s="113"/>
      <c r="AJ2952" s="113"/>
      <c r="AK2952" s="113" t="s">
        <v>1113</v>
      </c>
      <c r="AL2952" s="113"/>
      <c r="AM2952" s="113"/>
      <c r="AN2952" s="113"/>
      <c r="AO2952" s="43" t="s">
        <v>2334</v>
      </c>
      <c r="AP2952" s="43" t="s">
        <v>4850</v>
      </c>
      <c r="AQ2952" s="233" t="str">
        <f>VLOOKUP(Table8[[#This Row],[Instrument]],Def_Targets!$D$73:$E$159,2,FALSE)</f>
        <v>I_Fuelqualimprove</v>
      </c>
      <c r="AR2952" s="242" t="str">
        <f>VLOOKUP(Table8[[#This Row],[Country Code]],Table29[],3,FALSE)</f>
        <v>Non-Annex I</v>
      </c>
      <c r="AS2952" s="242" t="str">
        <f>VLOOKUP(Table8[[#This Row],[Country Code]],Table29[],4,FALSE)</f>
        <v>Asia</v>
      </c>
      <c r="AT2952" s="242" t="str">
        <f>VLOOKUP(Table8[[#This Row],[Country Code]],Table29[],5,FALSE)</f>
        <v>High-income</v>
      </c>
      <c r="AU2952" s="242" t="str">
        <f>VLOOKUP(Table8[[#This Row],[Country Code]],Table29[],6,FALSE)</f>
        <v>no</v>
      </c>
      <c r="AV2952" s="242" t="str">
        <f>VLOOKUP(Table8[[#This Row],[Country Code]],Table29[],7,FALSE)</f>
        <v>no</v>
      </c>
      <c r="AW2952" s="242" t="str">
        <f>VLOOKUP(Table8[[#This Row],[Country Code]],Table29[],8,FALSE)</f>
        <v>non-OECD</v>
      </c>
      <c r="AX2952" s="242" t="str">
        <f>VLOOKUP(Table8[[#This Row],[Country Code]],Table29[],9,FALSE)</f>
        <v>no</v>
      </c>
      <c r="AY2952" s="242" t="str">
        <f>VLOOKUP(Table8[[#This Row],[Country Code]],Table29[],10,FALSE)</f>
        <v>MENA</v>
      </c>
      <c r="AZ2952" s="242">
        <f>VLOOKUP(Table8[[#This Row],[Country Code]],Table29[],23,FALSE)</f>
        <v>267.82319378585998</v>
      </c>
      <c r="BA2952" s="242">
        <f>VLOOKUP(Table8[[#This Row],[Country Code]],Table29[],24,FALSE)</f>
        <v>43.860911308351241</v>
      </c>
      <c r="BB2952" s="320"/>
    </row>
    <row r="2953" spans="1:54" ht="75" x14ac:dyDescent="0.25">
      <c r="A2953" s="373">
        <v>43857</v>
      </c>
      <c r="B2953" s="243" t="str">
        <f>VLOOKUP(Table8[[#This Row],[Document ID]],Table1[],2,FALSE)</f>
        <v>GBR</v>
      </c>
      <c r="C2953" s="243" t="str">
        <f>VLOOKUP(Table8[[#This Row],[Document ID]],Table1[],3,FALSE)</f>
        <v>United Kingdom</v>
      </c>
      <c r="D2953" s="243" t="str">
        <f>VLOOKUP(Table8[[#This Row],[Document ID]],Table1[],5,FALSE)</f>
        <v>NDC</v>
      </c>
      <c r="E2953" s="233" t="str">
        <f>VLOOKUP(Table8[[#This Row],[Document ID]],Table1[],7,FALSE)</f>
        <v>Third NDC</v>
      </c>
      <c r="F2953" s="233" t="str">
        <f>VLOOKUP(Table8[[#This Row],[Document ID]],Table1[],8,FALSE)</f>
        <v>NDC 3.0</v>
      </c>
      <c r="G2953" s="233" t="str">
        <f>VLOOKUP(Table8[[#This Row],[Document ID]],Table1[],10,FALSE)</f>
        <v>Active</v>
      </c>
      <c r="H2953" s="43" t="s">
        <v>2338</v>
      </c>
      <c r="I2953" s="43" t="s">
        <v>2339</v>
      </c>
      <c r="J2953" s="43" t="s">
        <v>2410</v>
      </c>
      <c r="K2953" s="44" t="s">
        <v>5007</v>
      </c>
      <c r="L2953" s="44" t="s">
        <v>4879</v>
      </c>
      <c r="M2953" s="43">
        <v>23</v>
      </c>
      <c r="N2953" s="113" t="s">
        <v>1113</v>
      </c>
      <c r="O2953" s="113"/>
      <c r="P2953" s="113"/>
      <c r="Q2953" s="113"/>
      <c r="R2953" s="113"/>
      <c r="S2953" s="113"/>
      <c r="T2953" s="113"/>
      <c r="U2953" s="113"/>
      <c r="V2953" s="113"/>
      <c r="W2953" s="113"/>
      <c r="X2953" s="113"/>
      <c r="Y2953" s="113"/>
      <c r="Z2953" s="113"/>
      <c r="AA2953" s="113"/>
      <c r="AB2953" s="113"/>
      <c r="AC2953" s="113"/>
      <c r="AD2953" s="113"/>
      <c r="AE2953" s="113"/>
      <c r="AF2953" s="113"/>
      <c r="AG2953" s="113"/>
      <c r="AH2953" s="113"/>
      <c r="AI2953" s="113"/>
      <c r="AJ2953" s="113"/>
      <c r="AK2953" s="113" t="s">
        <v>1113</v>
      </c>
      <c r="AL2953" s="113"/>
      <c r="AM2953" s="113"/>
      <c r="AN2953" s="113"/>
      <c r="AO2953" s="43" t="s">
        <v>2334</v>
      </c>
      <c r="AP2953" s="43" t="s">
        <v>4873</v>
      </c>
      <c r="AQ2953" s="233" t="str">
        <f>VLOOKUP(Table8[[#This Row],[Instrument]],Def_Targets!$D$73:$E$159,2,FALSE)</f>
        <v>I_VehicleRestrictions</v>
      </c>
      <c r="AR2953" s="242" t="str">
        <f>VLOOKUP(Table8[[#This Row],[Country Code]],Table29[],3,FALSE)</f>
        <v>Annex I</v>
      </c>
      <c r="AS2953" s="242" t="str">
        <f>VLOOKUP(Table8[[#This Row],[Country Code]],Table29[],4,FALSE)</f>
        <v>Europe</v>
      </c>
      <c r="AT2953" s="242" t="str">
        <f>VLOOKUP(Table8[[#This Row],[Country Code]],Table29[],5,FALSE)</f>
        <v>High-income</v>
      </c>
      <c r="AU2953" s="242" t="str">
        <f>VLOOKUP(Table8[[#This Row],[Country Code]],Table29[],6,FALSE)</f>
        <v>G20</v>
      </c>
      <c r="AV2953" s="242" t="str">
        <f>VLOOKUP(Table8[[#This Row],[Country Code]],Table29[],7,FALSE)</f>
        <v>G7</v>
      </c>
      <c r="AW2953" s="242" t="str">
        <f>VLOOKUP(Table8[[#This Row],[Country Code]],Table29[],8,FALSE)</f>
        <v>OECD</v>
      </c>
      <c r="AX2953" s="242" t="str">
        <f>VLOOKUP(Table8[[#This Row],[Country Code]],Table29[],9,FALSE)</f>
        <v>no</v>
      </c>
      <c r="AY2953" s="242" t="str">
        <f>VLOOKUP(Table8[[#This Row],[Country Code]],Table29[],10,FALSE)</f>
        <v>no</v>
      </c>
      <c r="AZ2953" s="242">
        <f>VLOOKUP(Table8[[#This Row],[Country Code]],Table29[],23,FALSE)</f>
        <v>379.31858785213001</v>
      </c>
      <c r="BA2953" s="242">
        <f>VLOOKUP(Table8[[#This Row],[Country Code]],Table29[],24,FALSE)</f>
        <v>109.75048777474809</v>
      </c>
      <c r="BB2953" s="320"/>
    </row>
    <row r="2954" spans="1:54" ht="30" x14ac:dyDescent="0.25">
      <c r="A2954" s="373">
        <v>43764</v>
      </c>
      <c r="B2954" s="243" t="str">
        <f>VLOOKUP(Table8[[#This Row],[Document ID]],Table1[],2,FALSE)</f>
        <v>URY</v>
      </c>
      <c r="C2954" s="243" t="str">
        <f>VLOOKUP(Table8[[#This Row],[Document ID]],Table1[],3,FALSE)</f>
        <v>Uruguay</v>
      </c>
      <c r="D2954" s="243" t="str">
        <f>VLOOKUP(Table8[[#This Row],[Document ID]],Table1[],5,FALSE)</f>
        <v>NDC</v>
      </c>
      <c r="E2954" s="233" t="str">
        <f>VLOOKUP(Table8[[#This Row],[Document ID]],Table1[],7,FALSE)</f>
        <v>Third NDC</v>
      </c>
      <c r="F2954" s="233" t="str">
        <f>VLOOKUP(Table8[[#This Row],[Document ID]],Table1[],8,FALSE)</f>
        <v>NDC 3.0</v>
      </c>
      <c r="G2954" s="233" t="str">
        <f>VLOOKUP(Table8[[#This Row],[Document ID]],Table1[],10,FALSE)</f>
        <v>Active</v>
      </c>
      <c r="H2954" s="43" t="s">
        <v>2338</v>
      </c>
      <c r="I2954" s="43" t="s">
        <v>2339</v>
      </c>
      <c r="J2954" s="43" t="s">
        <v>2355</v>
      </c>
      <c r="K2954" s="44" t="s">
        <v>5008</v>
      </c>
      <c r="L2954" s="44" t="s">
        <v>2333</v>
      </c>
      <c r="M2954" s="43">
        <v>48</v>
      </c>
      <c r="N2954" s="113"/>
      <c r="O2954" s="113"/>
      <c r="P2954" s="113"/>
      <c r="Q2954" s="113"/>
      <c r="R2954" s="113"/>
      <c r="S2954" s="113" t="s">
        <v>1113</v>
      </c>
      <c r="T2954" s="113"/>
      <c r="U2954" s="113" t="s">
        <v>1113</v>
      </c>
      <c r="V2954" s="113"/>
      <c r="W2954" s="113"/>
      <c r="X2954" s="113"/>
      <c r="Y2954" s="113"/>
      <c r="Z2954" s="113"/>
      <c r="AA2954" s="113"/>
      <c r="AB2954" s="113"/>
      <c r="AC2954" s="113"/>
      <c r="AD2954" s="113"/>
      <c r="AE2954" s="113"/>
      <c r="AF2954" s="113"/>
      <c r="AG2954" s="113"/>
      <c r="AH2954" s="113"/>
      <c r="AI2954" s="113"/>
      <c r="AJ2954" s="113"/>
      <c r="AK2954" s="113" t="s">
        <v>1113</v>
      </c>
      <c r="AL2954" s="113"/>
      <c r="AM2954" s="113"/>
      <c r="AN2954" s="113"/>
      <c r="AO2954" s="43" t="s">
        <v>2334</v>
      </c>
      <c r="AP2954" s="43" t="s">
        <v>4850</v>
      </c>
      <c r="AQ2954" s="233" t="str">
        <f>VLOOKUP(Table8[[#This Row],[Instrument]],Def_Targets!$D$73:$E$159,2,FALSE)</f>
        <v>I_Vehiclelabel</v>
      </c>
      <c r="AR2954" s="242" t="str">
        <f>VLOOKUP(Table8[[#This Row],[Country Code]],Table29[],3,FALSE)</f>
        <v>Non-Annex I</v>
      </c>
      <c r="AS2954" s="242" t="str">
        <f>VLOOKUP(Table8[[#This Row],[Country Code]],Table29[],4,FALSE)</f>
        <v>Latin America and the Caribbean</v>
      </c>
      <c r="AT2954" s="242" t="str">
        <f>VLOOKUP(Table8[[#This Row],[Country Code]],Table29[],5,FALSE)</f>
        <v>High-income</v>
      </c>
      <c r="AU2954" s="242" t="str">
        <f>VLOOKUP(Table8[[#This Row],[Country Code]],Table29[],6,FALSE)</f>
        <v>no</v>
      </c>
      <c r="AV2954" s="242" t="str">
        <f>VLOOKUP(Table8[[#This Row],[Country Code]],Table29[],7,FALSE)</f>
        <v>no</v>
      </c>
      <c r="AW2954" s="242" t="str">
        <f>VLOOKUP(Table8[[#This Row],[Country Code]],Table29[],8,FALSE)</f>
        <v>non-OECD</v>
      </c>
      <c r="AX2954" s="242" t="str">
        <f>VLOOKUP(Table8[[#This Row],[Country Code]],Table29[],9,FALSE)</f>
        <v>no</v>
      </c>
      <c r="AY2954" s="242" t="str">
        <f>VLOOKUP(Table8[[#This Row],[Country Code]],Table29[],10,FALSE)</f>
        <v>no</v>
      </c>
      <c r="AZ2954" s="242">
        <f>VLOOKUP(Table8[[#This Row],[Country Code]],Table29[],23,FALSE)</f>
        <v>41.634111747759</v>
      </c>
      <c r="BA2954" s="242">
        <f>VLOOKUP(Table8[[#This Row],[Country Code]],Table29[],24,FALSE)</f>
        <v>4.0868158944276578</v>
      </c>
      <c r="BB2954" s="320"/>
    </row>
    <row r="2955" spans="1:54" x14ac:dyDescent="0.25">
      <c r="A2955" s="373">
        <v>43947</v>
      </c>
      <c r="B2955" s="243" t="str">
        <f>VLOOKUP(Table8[[#This Row],[Document ID]],Table1[],2,FALSE)</f>
        <v>AND</v>
      </c>
      <c r="C2955" s="243" t="str">
        <f>VLOOKUP(Table8[[#This Row],[Document ID]],Table1[],3,FALSE)</f>
        <v>Andorra</v>
      </c>
      <c r="D2955" s="243" t="str">
        <f>VLOOKUP(Table8[[#This Row],[Document ID]],Table1[],5,FALSE)</f>
        <v>NDC</v>
      </c>
      <c r="E2955" s="233" t="str">
        <f>VLOOKUP(Table8[[#This Row],[Document ID]],Table1[],7,FALSE)</f>
        <v>Third NDC</v>
      </c>
      <c r="F2955" s="233" t="str">
        <f>VLOOKUP(Table8[[#This Row],[Document ID]],Table1[],8,FALSE)</f>
        <v>NDC 3.0</v>
      </c>
      <c r="G2955" s="233" t="str">
        <f>VLOOKUP(Table8[[#This Row],[Document ID]],Table1[],10,FALSE)</f>
        <v>Active</v>
      </c>
      <c r="H2955" s="43" t="s">
        <v>2343</v>
      </c>
      <c r="I2955" s="43" t="s">
        <v>2344</v>
      </c>
      <c r="J2955" s="43" t="s">
        <v>2345</v>
      </c>
      <c r="K2955" s="44" t="s">
        <v>5009</v>
      </c>
      <c r="L2955" s="44" t="s">
        <v>2347</v>
      </c>
      <c r="M2955" s="43">
        <v>19</v>
      </c>
      <c r="N2955" s="113"/>
      <c r="O2955" s="113"/>
      <c r="P2955" s="113"/>
      <c r="Q2955" s="113"/>
      <c r="R2955" s="113"/>
      <c r="S2955" s="113"/>
      <c r="T2955" s="113"/>
      <c r="U2955" s="113"/>
      <c r="V2955" s="113"/>
      <c r="W2955" s="113"/>
      <c r="X2955" s="113"/>
      <c r="Y2955" s="113" t="s">
        <v>1113</v>
      </c>
      <c r="Z2955" s="113"/>
      <c r="AA2955" s="113"/>
      <c r="AB2955" s="113"/>
      <c r="AC2955" s="113"/>
      <c r="AD2955" s="113"/>
      <c r="AE2955" s="113"/>
      <c r="AF2955" s="113"/>
      <c r="AG2955" s="113"/>
      <c r="AH2955" s="113"/>
      <c r="AI2955" s="113"/>
      <c r="AJ2955" s="113"/>
      <c r="AK2955" s="113" t="s">
        <v>1113</v>
      </c>
      <c r="AL2955" s="113"/>
      <c r="AM2955" s="113"/>
      <c r="AN2955" s="113"/>
      <c r="AO2955" s="43" t="s">
        <v>2348</v>
      </c>
      <c r="AP2955" s="43" t="s">
        <v>4861</v>
      </c>
      <c r="AQ2955" s="233" t="str">
        <f>VLOOKUP(Table8[[#This Row],[Instrument]],Def_Targets!$D$73:$E$159,2,FALSE)</f>
        <v>S_PublicTransport</v>
      </c>
      <c r="AR2955" s="242" t="str">
        <f>VLOOKUP(Table8[[#This Row],[Country Code]],Table29[],3,FALSE)</f>
        <v>Non-Annex I</v>
      </c>
      <c r="AS2955" s="242" t="str">
        <f>VLOOKUP(Table8[[#This Row],[Country Code]],Table29[],4,FALSE)</f>
        <v>Europe</v>
      </c>
      <c r="AT2955" s="242" t="str">
        <f>VLOOKUP(Table8[[#This Row],[Country Code]],Table29[],5,FALSE)</f>
        <v>High-income</v>
      </c>
      <c r="AU2955" s="242" t="str">
        <f>VLOOKUP(Table8[[#This Row],[Country Code]],Table29[],6,FALSE)</f>
        <v>no</v>
      </c>
      <c r="AV2955" s="242" t="str">
        <f>VLOOKUP(Table8[[#This Row],[Country Code]],Table29[],7,FALSE)</f>
        <v>no</v>
      </c>
      <c r="AW2955" s="242" t="str">
        <f>VLOOKUP(Table8[[#This Row],[Country Code]],Table29[],8,FALSE)</f>
        <v>non-OECD</v>
      </c>
      <c r="AX2955" s="242" t="str">
        <f>VLOOKUP(Table8[[#This Row],[Country Code]],Table29[],9,FALSE)</f>
        <v>no</v>
      </c>
      <c r="AY2955" s="242" t="str">
        <f>VLOOKUP(Table8[[#This Row],[Country Code]],Table29[],10,FALSE)</f>
        <v>no</v>
      </c>
      <c r="AZ2955" s="242">
        <f>VLOOKUP(Table8[[#This Row],[Country Code]],Table29[],23,FALSE)</f>
        <v>0</v>
      </c>
      <c r="BA2955" s="242">
        <f>VLOOKUP(Table8[[#This Row],[Country Code]],Table29[],24,FALSE)</f>
        <v>0</v>
      </c>
      <c r="BB2955" s="320"/>
    </row>
    <row r="2956" spans="1:54" ht="15" customHeight="1" x14ac:dyDescent="0.25">
      <c r="A2956" s="373">
        <v>43947</v>
      </c>
      <c r="B2956" s="243" t="str">
        <f>VLOOKUP(Table8[[#This Row],[Document ID]],Table1[],2,FALSE)</f>
        <v>AND</v>
      </c>
      <c r="C2956" s="243" t="str">
        <f>VLOOKUP(Table8[[#This Row],[Document ID]],Table1[],3,FALSE)</f>
        <v>Andorra</v>
      </c>
      <c r="D2956" s="243" t="str">
        <f>VLOOKUP(Table8[[#This Row],[Document ID]],Table1[],5,FALSE)</f>
        <v>NDC</v>
      </c>
      <c r="E2956" s="233" t="str">
        <f>VLOOKUP(Table8[[#This Row],[Document ID]],Table1[],7,FALSE)</f>
        <v>Third NDC</v>
      </c>
      <c r="F2956" s="233" t="str">
        <f>VLOOKUP(Table8[[#This Row],[Document ID]],Table1[],8,FALSE)</f>
        <v>NDC 3.0</v>
      </c>
      <c r="G2956" s="233" t="str">
        <f>VLOOKUP(Table8[[#This Row],[Document ID]],Table1[],10,FALSE)</f>
        <v>Active</v>
      </c>
      <c r="H2956" s="43" t="s">
        <v>2343</v>
      </c>
      <c r="I2956" s="43" t="s">
        <v>2344</v>
      </c>
      <c r="J2956" s="43" t="s">
        <v>2405</v>
      </c>
      <c r="K2956" s="44" t="s">
        <v>5010</v>
      </c>
      <c r="L2956" s="44" t="s">
        <v>2347</v>
      </c>
      <c r="M2956" s="43">
        <v>19</v>
      </c>
      <c r="N2956" s="113"/>
      <c r="O2956" s="113"/>
      <c r="P2956" s="113"/>
      <c r="Q2956" s="113"/>
      <c r="R2956" s="113"/>
      <c r="S2956" s="113"/>
      <c r="T2956" s="113"/>
      <c r="U2956" s="113"/>
      <c r="V2956" s="113"/>
      <c r="W2956" s="113"/>
      <c r="X2956" s="113"/>
      <c r="Y2956" s="113" t="s">
        <v>1113</v>
      </c>
      <c r="Z2956" s="113"/>
      <c r="AA2956" s="113"/>
      <c r="AB2956" s="113"/>
      <c r="AC2956" s="113"/>
      <c r="AD2956" s="113"/>
      <c r="AE2956" s="113"/>
      <c r="AF2956" s="113"/>
      <c r="AG2956" s="113"/>
      <c r="AH2956" s="113"/>
      <c r="AI2956" s="113"/>
      <c r="AJ2956" s="113"/>
      <c r="AK2956" s="113"/>
      <c r="AL2956" s="113" t="s">
        <v>1113</v>
      </c>
      <c r="AM2956" s="113" t="s">
        <v>1113</v>
      </c>
      <c r="AN2956" s="113" t="s">
        <v>1113</v>
      </c>
      <c r="AO2956" s="43" t="s">
        <v>2348</v>
      </c>
      <c r="AP2956" s="43" t="s">
        <v>4861</v>
      </c>
      <c r="AQ2956" s="233" t="str">
        <f>VLOOKUP(Table8[[#This Row],[Instrument]],Def_Targets!$D$73:$E$159,2,FALSE)</f>
        <v>S_PTIntegration</v>
      </c>
      <c r="AR2956" s="242" t="str">
        <f>VLOOKUP(Table8[[#This Row],[Country Code]],Table29[],3,FALSE)</f>
        <v>Non-Annex I</v>
      </c>
      <c r="AS2956" s="242" t="str">
        <f>VLOOKUP(Table8[[#This Row],[Country Code]],Table29[],4,FALSE)</f>
        <v>Europe</v>
      </c>
      <c r="AT2956" s="242" t="str">
        <f>VLOOKUP(Table8[[#This Row],[Country Code]],Table29[],5,FALSE)</f>
        <v>High-income</v>
      </c>
      <c r="AU2956" s="242" t="str">
        <f>VLOOKUP(Table8[[#This Row],[Country Code]],Table29[],6,FALSE)</f>
        <v>no</v>
      </c>
      <c r="AV2956" s="242" t="str">
        <f>VLOOKUP(Table8[[#This Row],[Country Code]],Table29[],7,FALSE)</f>
        <v>no</v>
      </c>
      <c r="AW2956" s="242" t="str">
        <f>VLOOKUP(Table8[[#This Row],[Country Code]],Table29[],8,FALSE)</f>
        <v>non-OECD</v>
      </c>
      <c r="AX2956" s="242" t="str">
        <f>VLOOKUP(Table8[[#This Row],[Country Code]],Table29[],9,FALSE)</f>
        <v>no</v>
      </c>
      <c r="AY2956" s="242" t="str">
        <f>VLOOKUP(Table8[[#This Row],[Country Code]],Table29[],10,FALSE)</f>
        <v>no</v>
      </c>
      <c r="AZ2956" s="242">
        <f>VLOOKUP(Table8[[#This Row],[Country Code]],Table29[],23,FALSE)</f>
        <v>0</v>
      </c>
      <c r="BA2956" s="242">
        <f>VLOOKUP(Table8[[#This Row],[Country Code]],Table29[],24,FALSE)</f>
        <v>0</v>
      </c>
      <c r="BB2956" s="320"/>
    </row>
    <row r="2957" spans="1:54" ht="15" customHeight="1" x14ac:dyDescent="0.25">
      <c r="A2957" s="373">
        <v>43716</v>
      </c>
      <c r="B2957" s="243" t="str">
        <f>VLOOKUP(Table8[[#This Row],[Document ID]],Table1[],2,FALSE)</f>
        <v>BWA</v>
      </c>
      <c r="C2957" s="243" t="str">
        <f>VLOOKUP(Table8[[#This Row],[Document ID]],Table1[],3,FALSE)</f>
        <v>Botswana</v>
      </c>
      <c r="D2957" s="243" t="str">
        <f>VLOOKUP(Table8[[#This Row],[Document ID]],Table1[],5,FALSE)</f>
        <v>NDC</v>
      </c>
      <c r="E2957" s="233" t="str">
        <f>VLOOKUP(Table8[[#This Row],[Document ID]],Table1[],7,FALSE)</f>
        <v>Third NDC</v>
      </c>
      <c r="F2957" s="233" t="str">
        <f>VLOOKUP(Table8[[#This Row],[Document ID]],Table1[],8,FALSE)</f>
        <v>NDC 3.0</v>
      </c>
      <c r="G2957" s="233" t="str">
        <f>VLOOKUP(Table8[[#This Row],[Document ID]],Table1[],10,FALSE)</f>
        <v>Active</v>
      </c>
      <c r="H2957" s="43" t="s">
        <v>2343</v>
      </c>
      <c r="I2957" s="43" t="s">
        <v>2344</v>
      </c>
      <c r="J2957" s="43" t="s">
        <v>2345</v>
      </c>
      <c r="K2957" s="44" t="s">
        <v>5011</v>
      </c>
      <c r="L2957" s="44" t="s">
        <v>2333</v>
      </c>
      <c r="M2957" s="43">
        <v>20</v>
      </c>
      <c r="N2957" s="113"/>
      <c r="O2957" s="113"/>
      <c r="P2957" s="113"/>
      <c r="Q2957" s="113"/>
      <c r="R2957" s="113"/>
      <c r="S2957" s="113"/>
      <c r="T2957" s="113"/>
      <c r="U2957" s="113"/>
      <c r="V2957" s="113"/>
      <c r="W2957" s="113"/>
      <c r="X2957" s="113"/>
      <c r="Y2957" s="113" t="s">
        <v>1113</v>
      </c>
      <c r="Z2957" s="113"/>
      <c r="AA2957" s="113"/>
      <c r="AB2957" s="113"/>
      <c r="AC2957" s="113"/>
      <c r="AD2957" s="113"/>
      <c r="AE2957" s="113"/>
      <c r="AF2957" s="113"/>
      <c r="AG2957" s="113"/>
      <c r="AH2957" s="113"/>
      <c r="AI2957" s="113"/>
      <c r="AJ2957" s="113"/>
      <c r="AK2957" s="113" t="s">
        <v>1113</v>
      </c>
      <c r="AL2957" s="113"/>
      <c r="AM2957" s="113"/>
      <c r="AN2957" s="113"/>
      <c r="AO2957" s="43" t="s">
        <v>2348</v>
      </c>
      <c r="AP2957" s="43"/>
      <c r="AQ2957" s="233" t="str">
        <f>VLOOKUP(Table8[[#This Row],[Instrument]],Def_Targets!$D$73:$E$159,2,FALSE)</f>
        <v>S_PublicTransport</v>
      </c>
      <c r="AR2957" s="242" t="str">
        <f>VLOOKUP(Table8[[#This Row],[Country Code]],Table29[],3,FALSE)</f>
        <v>Non-Annex I</v>
      </c>
      <c r="AS2957" s="242" t="str">
        <f>VLOOKUP(Table8[[#This Row],[Country Code]],Table29[],4,FALSE)</f>
        <v>Africa</v>
      </c>
      <c r="AT2957" s="242" t="str">
        <f>VLOOKUP(Table8[[#This Row],[Country Code]],Table29[],5,FALSE)</f>
        <v>Middle-income</v>
      </c>
      <c r="AU2957" s="242" t="str">
        <f>VLOOKUP(Table8[[#This Row],[Country Code]],Table29[],6,FALSE)</f>
        <v>no</v>
      </c>
      <c r="AV2957" s="242" t="str">
        <f>VLOOKUP(Table8[[#This Row],[Country Code]],Table29[],7,FALSE)</f>
        <v>no</v>
      </c>
      <c r="AW2957" s="242" t="str">
        <f>VLOOKUP(Table8[[#This Row],[Country Code]],Table29[],8,FALSE)</f>
        <v>non-OECD</v>
      </c>
      <c r="AX2957" s="242" t="str">
        <f>VLOOKUP(Table8[[#This Row],[Country Code]],Table29[],9,FALSE)</f>
        <v>no</v>
      </c>
      <c r="AY2957" s="242" t="str">
        <f>VLOOKUP(Table8[[#This Row],[Country Code]],Table29[],10,FALSE)</f>
        <v>no</v>
      </c>
      <c r="AZ2957" s="242">
        <f>VLOOKUP(Table8[[#This Row],[Country Code]],Table29[],23,FALSE)</f>
        <v>12.712755146957001</v>
      </c>
      <c r="BA2957" s="242">
        <f>VLOOKUP(Table8[[#This Row],[Country Code]],Table29[],24,FALSE)</f>
        <v>2.440731678856535</v>
      </c>
      <c r="BB2957" s="320"/>
    </row>
    <row r="2958" spans="1:54" x14ac:dyDescent="0.25">
      <c r="A2958" s="373">
        <v>43716</v>
      </c>
      <c r="B2958" s="243" t="str">
        <f>VLOOKUP(Table8[[#This Row],[Document ID]],Table1[],2,FALSE)</f>
        <v>BWA</v>
      </c>
      <c r="C2958" s="243" t="str">
        <f>VLOOKUP(Table8[[#This Row],[Document ID]],Table1[],3,FALSE)</f>
        <v>Botswana</v>
      </c>
      <c r="D2958" s="243" t="str">
        <f>VLOOKUP(Table8[[#This Row],[Document ID]],Table1[],5,FALSE)</f>
        <v>NDC</v>
      </c>
      <c r="E2958" s="233" t="str">
        <f>VLOOKUP(Table8[[#This Row],[Document ID]],Table1[],7,FALSE)</f>
        <v>Third NDC</v>
      </c>
      <c r="F2958" s="233" t="str">
        <f>VLOOKUP(Table8[[#This Row],[Document ID]],Table1[],8,FALSE)</f>
        <v>NDC 3.0</v>
      </c>
      <c r="G2958" s="233" t="str">
        <f>VLOOKUP(Table8[[#This Row],[Document ID]],Table1[],10,FALSE)</f>
        <v>Active</v>
      </c>
      <c r="H2958" s="43" t="s">
        <v>2343</v>
      </c>
      <c r="I2958" s="43" t="s">
        <v>2429</v>
      </c>
      <c r="J2958" s="43" t="s">
        <v>2430</v>
      </c>
      <c r="K2958" s="44" t="s">
        <v>5012</v>
      </c>
      <c r="L2958" s="44" t="s">
        <v>2380</v>
      </c>
      <c r="M2958" s="43">
        <v>20</v>
      </c>
      <c r="N2958" s="113" t="s">
        <v>1113</v>
      </c>
      <c r="O2958" s="113"/>
      <c r="P2958" s="113"/>
      <c r="Q2958" s="113"/>
      <c r="R2958" s="113"/>
      <c r="S2958" s="113"/>
      <c r="T2958" s="113"/>
      <c r="U2958" s="113"/>
      <c r="V2958" s="113"/>
      <c r="W2958" s="113"/>
      <c r="X2958" s="113"/>
      <c r="Y2958" s="113"/>
      <c r="Z2958" s="113"/>
      <c r="AA2958" s="113"/>
      <c r="AB2958" s="113"/>
      <c r="AC2958" s="113"/>
      <c r="AD2958" s="113"/>
      <c r="AE2958" s="113"/>
      <c r="AF2958" s="113"/>
      <c r="AG2958" s="113"/>
      <c r="AH2958" s="113"/>
      <c r="AI2958" s="113"/>
      <c r="AJ2958" s="113"/>
      <c r="AK2958" s="113" t="s">
        <v>1113</v>
      </c>
      <c r="AL2958" s="113"/>
      <c r="AM2958" s="113"/>
      <c r="AN2958" s="113"/>
      <c r="AO2958" s="43" t="s">
        <v>2334</v>
      </c>
      <c r="AP2958" s="43"/>
      <c r="AQ2958" s="233" t="str">
        <f>VLOOKUP(Table8[[#This Row],[Instrument]],Def_Targets!$D$73:$E$159,2,FALSE)</f>
        <v>I_ITS</v>
      </c>
      <c r="AR2958" s="242" t="str">
        <f>VLOOKUP(Table8[[#This Row],[Country Code]],Table29[],3,FALSE)</f>
        <v>Non-Annex I</v>
      </c>
      <c r="AS2958" s="242" t="str">
        <f>VLOOKUP(Table8[[#This Row],[Country Code]],Table29[],4,FALSE)</f>
        <v>Africa</v>
      </c>
      <c r="AT2958" s="242" t="str">
        <f>VLOOKUP(Table8[[#This Row],[Country Code]],Table29[],5,FALSE)</f>
        <v>Middle-income</v>
      </c>
      <c r="AU2958" s="242" t="str">
        <f>VLOOKUP(Table8[[#This Row],[Country Code]],Table29[],6,FALSE)</f>
        <v>no</v>
      </c>
      <c r="AV2958" s="242" t="str">
        <f>VLOOKUP(Table8[[#This Row],[Country Code]],Table29[],7,FALSE)</f>
        <v>no</v>
      </c>
      <c r="AW2958" s="242" t="str">
        <f>VLOOKUP(Table8[[#This Row],[Country Code]],Table29[],8,FALSE)</f>
        <v>non-OECD</v>
      </c>
      <c r="AX2958" s="242" t="str">
        <f>VLOOKUP(Table8[[#This Row],[Country Code]],Table29[],9,FALSE)</f>
        <v>no</v>
      </c>
      <c r="AY2958" s="242" t="str">
        <f>VLOOKUP(Table8[[#This Row],[Country Code]],Table29[],10,FALSE)</f>
        <v>no</v>
      </c>
      <c r="AZ2958" s="242">
        <f>VLOOKUP(Table8[[#This Row],[Country Code]],Table29[],23,FALSE)</f>
        <v>12.712755146957001</v>
      </c>
      <c r="BA2958" s="242">
        <f>VLOOKUP(Table8[[#This Row],[Country Code]],Table29[],24,FALSE)</f>
        <v>2.440731678856535</v>
      </c>
      <c r="BB2958" s="320"/>
    </row>
    <row r="2959" spans="1:54" ht="30" x14ac:dyDescent="0.25">
      <c r="A2959" s="373">
        <v>43716</v>
      </c>
      <c r="B2959" s="243" t="str">
        <f>VLOOKUP(Table8[[#This Row],[Document ID]],Table1[],2,FALSE)</f>
        <v>BWA</v>
      </c>
      <c r="C2959" s="243" t="str">
        <f>VLOOKUP(Table8[[#This Row],[Document ID]],Table1[],3,FALSE)</f>
        <v>Botswana</v>
      </c>
      <c r="D2959" s="243" t="str">
        <f>VLOOKUP(Table8[[#This Row],[Document ID]],Table1[],5,FALSE)</f>
        <v>NDC</v>
      </c>
      <c r="E2959" s="233" t="str">
        <f>VLOOKUP(Table8[[#This Row],[Document ID]],Table1[],7,FALSE)</f>
        <v>Third NDC</v>
      </c>
      <c r="F2959" s="233" t="str">
        <f>VLOOKUP(Table8[[#This Row],[Document ID]],Table1[],8,FALSE)</f>
        <v>NDC 3.0</v>
      </c>
      <c r="G2959" s="233" t="str">
        <f>VLOOKUP(Table8[[#This Row],[Document ID]],Table1[],10,FALSE)</f>
        <v>Active</v>
      </c>
      <c r="H2959" s="43" t="s">
        <v>2343</v>
      </c>
      <c r="I2959" s="43" t="s">
        <v>2344</v>
      </c>
      <c r="J2959" s="43" t="s">
        <v>2345</v>
      </c>
      <c r="K2959" s="44" t="s">
        <v>5013</v>
      </c>
      <c r="L2959" s="44" t="s">
        <v>2347</v>
      </c>
      <c r="M2959" s="43">
        <v>18</v>
      </c>
      <c r="N2959" s="113" t="s">
        <v>1113</v>
      </c>
      <c r="O2959" s="113"/>
      <c r="P2959" s="113"/>
      <c r="Q2959" s="113"/>
      <c r="R2959" s="113"/>
      <c r="S2959" s="113"/>
      <c r="T2959" s="113"/>
      <c r="U2959" s="113"/>
      <c r="V2959" s="113"/>
      <c r="W2959" s="113"/>
      <c r="X2959" s="113"/>
      <c r="Y2959" s="113"/>
      <c r="Z2959" s="113"/>
      <c r="AA2959" s="113"/>
      <c r="AB2959" s="113"/>
      <c r="AC2959" s="113"/>
      <c r="AD2959" s="113"/>
      <c r="AE2959" s="113"/>
      <c r="AF2959" s="113"/>
      <c r="AG2959" s="113"/>
      <c r="AH2959" s="113"/>
      <c r="AI2959" s="113"/>
      <c r="AJ2959" s="113"/>
      <c r="AK2959" s="113" t="s">
        <v>1113</v>
      </c>
      <c r="AL2959" s="113"/>
      <c r="AM2959" s="113"/>
      <c r="AN2959" s="113"/>
      <c r="AO2959" s="43" t="s">
        <v>2348</v>
      </c>
      <c r="AP2959" s="43"/>
      <c r="AQ2959" s="233" t="str">
        <f>VLOOKUP(Table8[[#This Row],[Instrument]],Def_Targets!$D$73:$E$159,2,FALSE)</f>
        <v>S_PublicTransport</v>
      </c>
      <c r="AR2959" s="242" t="str">
        <f>VLOOKUP(Table8[[#This Row],[Country Code]],Table29[],3,FALSE)</f>
        <v>Non-Annex I</v>
      </c>
      <c r="AS2959" s="242" t="str">
        <f>VLOOKUP(Table8[[#This Row],[Country Code]],Table29[],4,FALSE)</f>
        <v>Africa</v>
      </c>
      <c r="AT2959" s="242" t="str">
        <f>VLOOKUP(Table8[[#This Row],[Country Code]],Table29[],5,FALSE)</f>
        <v>Middle-income</v>
      </c>
      <c r="AU2959" s="242" t="str">
        <f>VLOOKUP(Table8[[#This Row],[Country Code]],Table29[],6,FALSE)</f>
        <v>no</v>
      </c>
      <c r="AV2959" s="242" t="str">
        <f>VLOOKUP(Table8[[#This Row],[Country Code]],Table29[],7,FALSE)</f>
        <v>no</v>
      </c>
      <c r="AW2959" s="242" t="str">
        <f>VLOOKUP(Table8[[#This Row],[Country Code]],Table29[],8,FALSE)</f>
        <v>non-OECD</v>
      </c>
      <c r="AX2959" s="242" t="str">
        <f>VLOOKUP(Table8[[#This Row],[Country Code]],Table29[],9,FALSE)</f>
        <v>no</v>
      </c>
      <c r="AY2959" s="242" t="str">
        <f>VLOOKUP(Table8[[#This Row],[Country Code]],Table29[],10,FALSE)</f>
        <v>no</v>
      </c>
      <c r="AZ2959" s="242">
        <f>VLOOKUP(Table8[[#This Row],[Country Code]],Table29[],23,FALSE)</f>
        <v>12.712755146957001</v>
      </c>
      <c r="BA2959" s="242">
        <f>VLOOKUP(Table8[[#This Row],[Country Code]],Table29[],24,FALSE)</f>
        <v>2.440731678856535</v>
      </c>
      <c r="BB2959" s="320"/>
    </row>
    <row r="2960" spans="1:54" ht="45" x14ac:dyDescent="0.25">
      <c r="A2960" s="373">
        <v>43700</v>
      </c>
      <c r="B2960" s="243" t="str">
        <f>VLOOKUP(Table8[[#This Row],[Document ID]],Table1[],2,FALSE)</f>
        <v>BRA</v>
      </c>
      <c r="C2960" s="243" t="str">
        <f>VLOOKUP(Table8[[#This Row],[Document ID]],Table1[],3,FALSE)</f>
        <v>Brazil</v>
      </c>
      <c r="D2960" s="243" t="str">
        <f>VLOOKUP(Table8[[#This Row],[Document ID]],Table1[],5,FALSE)</f>
        <v>NDC</v>
      </c>
      <c r="E2960" s="233" t="str">
        <f>VLOOKUP(Table8[[#This Row],[Document ID]],Table1[],7,FALSE)</f>
        <v>Third NDC</v>
      </c>
      <c r="F2960" s="233" t="str">
        <f>VLOOKUP(Table8[[#This Row],[Document ID]],Table1[],8,FALSE)</f>
        <v>NDC 3.0</v>
      </c>
      <c r="G2960" s="233" t="str">
        <f>VLOOKUP(Table8[[#This Row],[Document ID]],Table1[],10,FALSE)</f>
        <v>Active</v>
      </c>
      <c r="H2960" s="43" t="s">
        <v>2343</v>
      </c>
      <c r="I2960" s="43" t="s">
        <v>2377</v>
      </c>
      <c r="J2960" s="43" t="s">
        <v>2394</v>
      </c>
      <c r="K2960" s="44" t="s">
        <v>5014</v>
      </c>
      <c r="L2960" s="44" t="s">
        <v>5015</v>
      </c>
      <c r="M2960" s="43">
        <v>16</v>
      </c>
      <c r="N2960" s="113"/>
      <c r="O2960" s="113"/>
      <c r="P2960" s="113" t="s">
        <v>1113</v>
      </c>
      <c r="Q2960" s="113"/>
      <c r="R2960" s="113"/>
      <c r="S2960" s="113"/>
      <c r="T2960" s="113"/>
      <c r="U2960" s="113"/>
      <c r="V2960" s="113"/>
      <c r="W2960" s="113"/>
      <c r="X2960" s="113"/>
      <c r="Y2960" s="113" t="s">
        <v>1113</v>
      </c>
      <c r="Z2960" s="113"/>
      <c r="AA2960" s="113"/>
      <c r="AB2960" s="113"/>
      <c r="AC2960" s="113" t="s">
        <v>1113</v>
      </c>
      <c r="AD2960" s="113"/>
      <c r="AE2960" s="113"/>
      <c r="AF2960" s="113"/>
      <c r="AG2960" s="113"/>
      <c r="AH2960" s="113"/>
      <c r="AI2960" s="113"/>
      <c r="AJ2960" s="113"/>
      <c r="AK2960" s="113"/>
      <c r="AL2960" s="113" t="s">
        <v>1113</v>
      </c>
      <c r="AM2960" s="113"/>
      <c r="AN2960" s="113"/>
      <c r="AO2960" s="43" t="s">
        <v>2348</v>
      </c>
      <c r="AP2960" s="43" t="s">
        <v>4850</v>
      </c>
      <c r="AQ2960" s="233" t="str">
        <f>VLOOKUP(Table8[[#This Row],[Instrument]],Def_Targets!$D$73:$E$159,2,FALSE)</f>
        <v>A_TDM</v>
      </c>
      <c r="AR2960" s="242" t="str">
        <f>VLOOKUP(Table8[[#This Row],[Country Code]],Table29[],3,FALSE)</f>
        <v>Non-Annex I</v>
      </c>
      <c r="AS2960" s="242" t="str">
        <f>VLOOKUP(Table8[[#This Row],[Country Code]],Table29[],4,FALSE)</f>
        <v>Latin America and the Caribbean</v>
      </c>
      <c r="AT2960" s="242" t="str">
        <f>VLOOKUP(Table8[[#This Row],[Country Code]],Table29[],5,FALSE)</f>
        <v>Middle-income</v>
      </c>
      <c r="AU2960" s="242" t="str">
        <f>VLOOKUP(Table8[[#This Row],[Country Code]],Table29[],6,FALSE)</f>
        <v>G20</v>
      </c>
      <c r="AV2960" s="242" t="str">
        <f>VLOOKUP(Table8[[#This Row],[Country Code]],Table29[],7,FALSE)</f>
        <v>no</v>
      </c>
      <c r="AW2960" s="242" t="str">
        <f>VLOOKUP(Table8[[#This Row],[Country Code]],Table29[],8,FALSE)</f>
        <v>non-OECD</v>
      </c>
      <c r="AX2960" s="242" t="str">
        <f>VLOOKUP(Table8[[#This Row],[Country Code]],Table29[],9,FALSE)</f>
        <v>no</v>
      </c>
      <c r="AY2960" s="242" t="str">
        <f>VLOOKUP(Table8[[#This Row],[Country Code]],Table29[],10,FALSE)</f>
        <v>no</v>
      </c>
      <c r="AZ2960" s="242">
        <f>VLOOKUP(Table8[[#This Row],[Country Code]],Table29[],23,FALSE)</f>
        <v>1300.1688666752</v>
      </c>
      <c r="BA2960" s="242">
        <f>VLOOKUP(Table8[[#This Row],[Country Code]],Table29[],24,FALSE)</f>
        <v>221.12609205884911</v>
      </c>
      <c r="BB2960" s="320"/>
    </row>
    <row r="2961" spans="1:54" ht="45" x14ac:dyDescent="0.25">
      <c r="A2961" s="373">
        <v>43700</v>
      </c>
      <c r="B2961" s="243" t="str">
        <f>VLOOKUP(Table8[[#This Row],[Document ID]],Table1[],2,FALSE)</f>
        <v>BRA</v>
      </c>
      <c r="C2961" s="243" t="str">
        <f>VLOOKUP(Table8[[#This Row],[Document ID]],Table1[],3,FALSE)</f>
        <v>Brazil</v>
      </c>
      <c r="D2961" s="243" t="str">
        <f>VLOOKUP(Table8[[#This Row],[Document ID]],Table1[],5,FALSE)</f>
        <v>NDC</v>
      </c>
      <c r="E2961" s="233" t="str">
        <f>VLOOKUP(Table8[[#This Row],[Document ID]],Table1[],7,FALSE)</f>
        <v>Third NDC</v>
      </c>
      <c r="F2961" s="233" t="str">
        <f>VLOOKUP(Table8[[#This Row],[Document ID]],Table1[],8,FALSE)</f>
        <v>NDC 3.0</v>
      </c>
      <c r="G2961" s="233" t="str">
        <f>VLOOKUP(Table8[[#This Row],[Document ID]],Table1[],10,FALSE)</f>
        <v>Active</v>
      </c>
      <c r="H2961" s="43" t="s">
        <v>2343</v>
      </c>
      <c r="I2961" s="43" t="s">
        <v>2344</v>
      </c>
      <c r="J2961" s="43" t="s">
        <v>2345</v>
      </c>
      <c r="K2961" s="44" t="s">
        <v>5014</v>
      </c>
      <c r="L2961" s="44" t="s">
        <v>5015</v>
      </c>
      <c r="M2961" s="43">
        <v>16</v>
      </c>
      <c r="N2961" s="113"/>
      <c r="O2961" s="113"/>
      <c r="P2961" s="113" t="s">
        <v>1113</v>
      </c>
      <c r="Q2961" s="113"/>
      <c r="R2961" s="113"/>
      <c r="S2961" s="113"/>
      <c r="T2961" s="113"/>
      <c r="U2961" s="113"/>
      <c r="V2961" s="113"/>
      <c r="W2961" s="113"/>
      <c r="X2961" s="113"/>
      <c r="Y2961" s="113" t="s">
        <v>1113</v>
      </c>
      <c r="Z2961" s="113"/>
      <c r="AA2961" s="113"/>
      <c r="AB2961" s="113"/>
      <c r="AC2961" s="113" t="s">
        <v>1113</v>
      </c>
      <c r="AD2961" s="113"/>
      <c r="AE2961" s="113"/>
      <c r="AF2961" s="113"/>
      <c r="AG2961" s="113"/>
      <c r="AH2961" s="113"/>
      <c r="AI2961" s="113"/>
      <c r="AJ2961" s="113"/>
      <c r="AK2961" s="113"/>
      <c r="AL2961" s="113" t="s">
        <v>1113</v>
      </c>
      <c r="AM2961" s="113"/>
      <c r="AN2961" s="113"/>
      <c r="AO2961" s="43" t="s">
        <v>2348</v>
      </c>
      <c r="AP2961" s="43" t="s">
        <v>4850</v>
      </c>
      <c r="AQ2961" s="233" t="str">
        <f>VLOOKUP(Table8[[#This Row],[Instrument]],Def_Targets!$D$73:$E$159,2,FALSE)</f>
        <v>S_PublicTransport</v>
      </c>
      <c r="AR2961" s="242" t="str">
        <f>VLOOKUP(Table8[[#This Row],[Country Code]],Table29[],3,FALSE)</f>
        <v>Non-Annex I</v>
      </c>
      <c r="AS2961" s="242" t="str">
        <f>VLOOKUP(Table8[[#This Row],[Country Code]],Table29[],4,FALSE)</f>
        <v>Latin America and the Caribbean</v>
      </c>
      <c r="AT2961" s="242" t="str">
        <f>VLOOKUP(Table8[[#This Row],[Country Code]],Table29[],5,FALSE)</f>
        <v>Middle-income</v>
      </c>
      <c r="AU2961" s="242" t="str">
        <f>VLOOKUP(Table8[[#This Row],[Country Code]],Table29[],6,FALSE)</f>
        <v>G20</v>
      </c>
      <c r="AV2961" s="242" t="str">
        <f>VLOOKUP(Table8[[#This Row],[Country Code]],Table29[],7,FALSE)</f>
        <v>no</v>
      </c>
      <c r="AW2961" s="242" t="str">
        <f>VLOOKUP(Table8[[#This Row],[Country Code]],Table29[],8,FALSE)</f>
        <v>non-OECD</v>
      </c>
      <c r="AX2961" s="242" t="str">
        <f>VLOOKUP(Table8[[#This Row],[Country Code]],Table29[],9,FALSE)</f>
        <v>no</v>
      </c>
      <c r="AY2961" s="242" t="str">
        <f>VLOOKUP(Table8[[#This Row],[Country Code]],Table29[],10,FALSE)</f>
        <v>no</v>
      </c>
      <c r="AZ2961" s="242">
        <f>VLOOKUP(Table8[[#This Row],[Country Code]],Table29[],23,FALSE)</f>
        <v>1300.1688666752</v>
      </c>
      <c r="BA2961" s="242">
        <f>VLOOKUP(Table8[[#This Row],[Country Code]],Table29[],24,FALSE)</f>
        <v>221.12609205884911</v>
      </c>
      <c r="BB2961" s="320"/>
    </row>
    <row r="2962" spans="1:54" ht="45" x14ac:dyDescent="0.25">
      <c r="A2962" s="373">
        <v>43700</v>
      </c>
      <c r="B2962" s="243" t="str">
        <f>VLOOKUP(Table8[[#This Row],[Document ID]],Table1[],2,FALSE)</f>
        <v>BRA</v>
      </c>
      <c r="C2962" s="243" t="str">
        <f>VLOOKUP(Table8[[#This Row],[Document ID]],Table1[],3,FALSE)</f>
        <v>Brazil</v>
      </c>
      <c r="D2962" s="243" t="str">
        <f>VLOOKUP(Table8[[#This Row],[Document ID]],Table1[],5,FALSE)</f>
        <v>NDC</v>
      </c>
      <c r="E2962" s="233" t="str">
        <f>VLOOKUP(Table8[[#This Row],[Document ID]],Table1[],7,FALSE)</f>
        <v>Third NDC</v>
      </c>
      <c r="F2962" s="233" t="str">
        <f>VLOOKUP(Table8[[#This Row],[Document ID]],Table1[],8,FALSE)</f>
        <v>NDC 3.0</v>
      </c>
      <c r="G2962" s="233" t="str">
        <f>VLOOKUP(Table8[[#This Row],[Document ID]],Table1[],10,FALSE)</f>
        <v>Active</v>
      </c>
      <c r="H2962" s="43" t="s">
        <v>2343</v>
      </c>
      <c r="I2962" s="43" t="s">
        <v>2361</v>
      </c>
      <c r="J2962" s="43" t="s">
        <v>2366</v>
      </c>
      <c r="K2962" s="44" t="s">
        <v>5014</v>
      </c>
      <c r="L2962" s="44" t="s">
        <v>5015</v>
      </c>
      <c r="M2962" s="43">
        <v>16</v>
      </c>
      <c r="N2962" s="113"/>
      <c r="O2962" s="113"/>
      <c r="P2962" s="113" t="s">
        <v>1113</v>
      </c>
      <c r="Q2962" s="113"/>
      <c r="R2962" s="113"/>
      <c r="S2962" s="113"/>
      <c r="T2962" s="113"/>
      <c r="U2962" s="113"/>
      <c r="V2962" s="113"/>
      <c r="W2962" s="113"/>
      <c r="X2962" s="113"/>
      <c r="Y2962" s="113" t="s">
        <v>1113</v>
      </c>
      <c r="Z2962" s="113"/>
      <c r="AA2962" s="113"/>
      <c r="AB2962" s="113"/>
      <c r="AC2962" s="113" t="s">
        <v>1113</v>
      </c>
      <c r="AD2962" s="113"/>
      <c r="AE2962" s="113"/>
      <c r="AF2962" s="113"/>
      <c r="AG2962" s="113"/>
      <c r="AH2962" s="113"/>
      <c r="AI2962" s="113"/>
      <c r="AJ2962" s="113"/>
      <c r="AK2962" s="113"/>
      <c r="AL2962" s="113" t="s">
        <v>1113</v>
      </c>
      <c r="AM2962" s="113"/>
      <c r="AN2962" s="113"/>
      <c r="AO2962" s="43" t="s">
        <v>2348</v>
      </c>
      <c r="AP2962" s="43" t="s">
        <v>4850</v>
      </c>
      <c r="AQ2962" s="233" t="str">
        <f>VLOOKUP(Table8[[#This Row],[Instrument]],Def_Targets!$D$73:$E$159,2,FALSE)</f>
        <v>S_Activemobility</v>
      </c>
      <c r="AR2962" s="242" t="str">
        <f>VLOOKUP(Table8[[#This Row],[Country Code]],Table29[],3,FALSE)</f>
        <v>Non-Annex I</v>
      </c>
      <c r="AS2962" s="242" t="str">
        <f>VLOOKUP(Table8[[#This Row],[Country Code]],Table29[],4,FALSE)</f>
        <v>Latin America and the Caribbean</v>
      </c>
      <c r="AT2962" s="242" t="str">
        <f>VLOOKUP(Table8[[#This Row],[Country Code]],Table29[],5,FALSE)</f>
        <v>Middle-income</v>
      </c>
      <c r="AU2962" s="242" t="str">
        <f>VLOOKUP(Table8[[#This Row],[Country Code]],Table29[],6,FALSE)</f>
        <v>G20</v>
      </c>
      <c r="AV2962" s="242" t="str">
        <f>VLOOKUP(Table8[[#This Row],[Country Code]],Table29[],7,FALSE)</f>
        <v>no</v>
      </c>
      <c r="AW2962" s="242" t="str">
        <f>VLOOKUP(Table8[[#This Row],[Country Code]],Table29[],8,FALSE)</f>
        <v>non-OECD</v>
      </c>
      <c r="AX2962" s="242" t="str">
        <f>VLOOKUP(Table8[[#This Row],[Country Code]],Table29[],9,FALSE)</f>
        <v>no</v>
      </c>
      <c r="AY2962" s="242" t="str">
        <f>VLOOKUP(Table8[[#This Row],[Country Code]],Table29[],10,FALSE)</f>
        <v>no</v>
      </c>
      <c r="AZ2962" s="242">
        <f>VLOOKUP(Table8[[#This Row],[Country Code]],Table29[],23,FALSE)</f>
        <v>1300.1688666752</v>
      </c>
      <c r="BA2962" s="242">
        <f>VLOOKUP(Table8[[#This Row],[Country Code]],Table29[],24,FALSE)</f>
        <v>221.12609205884911</v>
      </c>
      <c r="BB2962" s="320"/>
    </row>
    <row r="2963" spans="1:54" ht="45" x14ac:dyDescent="0.25">
      <c r="A2963" s="373">
        <v>43700</v>
      </c>
      <c r="B2963" s="243" t="str">
        <f>VLOOKUP(Table8[[#This Row],[Document ID]],Table1[],2,FALSE)</f>
        <v>BRA</v>
      </c>
      <c r="C2963" s="243" t="str">
        <f>VLOOKUP(Table8[[#This Row],[Document ID]],Table1[],3,FALSE)</f>
        <v>Brazil</v>
      </c>
      <c r="D2963" s="243" t="str">
        <f>VLOOKUP(Table8[[#This Row],[Document ID]],Table1[],5,FALSE)</f>
        <v>NDC</v>
      </c>
      <c r="E2963" s="233" t="str">
        <f>VLOOKUP(Table8[[#This Row],[Document ID]],Table1[],7,FALSE)</f>
        <v>Third NDC</v>
      </c>
      <c r="F2963" s="233" t="str">
        <f>VLOOKUP(Table8[[#This Row],[Document ID]],Table1[],8,FALSE)</f>
        <v>NDC 3.0</v>
      </c>
      <c r="G2963" s="233" t="str">
        <f>VLOOKUP(Table8[[#This Row],[Document ID]],Table1[],10,FALSE)</f>
        <v>Active</v>
      </c>
      <c r="H2963" s="43" t="s">
        <v>2343</v>
      </c>
      <c r="I2963" s="43" t="s">
        <v>2377</v>
      </c>
      <c r="J2963" s="43" t="s">
        <v>2394</v>
      </c>
      <c r="K2963" s="44" t="s">
        <v>5016</v>
      </c>
      <c r="L2963" s="44" t="s">
        <v>2347</v>
      </c>
      <c r="M2963" s="43">
        <v>16</v>
      </c>
      <c r="N2963" s="113"/>
      <c r="O2963" s="113"/>
      <c r="P2963" s="113" t="s">
        <v>1113</v>
      </c>
      <c r="Q2963" s="113"/>
      <c r="R2963" s="113"/>
      <c r="S2963" s="113"/>
      <c r="T2963" s="113"/>
      <c r="U2963" s="113"/>
      <c r="V2963" s="113"/>
      <c r="W2963" s="113"/>
      <c r="X2963" s="113"/>
      <c r="Y2963" s="113" t="s">
        <v>1113</v>
      </c>
      <c r="Z2963" s="113"/>
      <c r="AA2963" s="113"/>
      <c r="AB2963" s="113"/>
      <c r="AC2963" s="113" t="s">
        <v>1113</v>
      </c>
      <c r="AD2963" s="113"/>
      <c r="AE2963" s="113"/>
      <c r="AF2963" s="113"/>
      <c r="AG2963" s="113"/>
      <c r="AH2963" s="113"/>
      <c r="AI2963" s="113"/>
      <c r="AJ2963" s="113"/>
      <c r="AK2963" s="113"/>
      <c r="AL2963" s="113" t="s">
        <v>1113</v>
      </c>
      <c r="AM2963" s="113"/>
      <c r="AN2963" s="113"/>
      <c r="AO2963" s="43" t="s">
        <v>2348</v>
      </c>
      <c r="AP2963" s="43" t="s">
        <v>4850</v>
      </c>
      <c r="AQ2963" s="233" t="str">
        <f>VLOOKUP(Table8[[#This Row],[Instrument]],Def_Targets!$D$73:$E$159,2,FALSE)</f>
        <v>A_TDM</v>
      </c>
      <c r="AR2963" s="242" t="str">
        <f>VLOOKUP(Table8[[#This Row],[Country Code]],Table29[],3,FALSE)</f>
        <v>Non-Annex I</v>
      </c>
      <c r="AS2963" s="242" t="str">
        <f>VLOOKUP(Table8[[#This Row],[Country Code]],Table29[],4,FALSE)</f>
        <v>Latin America and the Caribbean</v>
      </c>
      <c r="AT2963" s="242" t="str">
        <f>VLOOKUP(Table8[[#This Row],[Country Code]],Table29[],5,FALSE)</f>
        <v>Middle-income</v>
      </c>
      <c r="AU2963" s="242" t="str">
        <f>VLOOKUP(Table8[[#This Row],[Country Code]],Table29[],6,FALSE)</f>
        <v>G20</v>
      </c>
      <c r="AV2963" s="242" t="str">
        <f>VLOOKUP(Table8[[#This Row],[Country Code]],Table29[],7,FALSE)</f>
        <v>no</v>
      </c>
      <c r="AW2963" s="242" t="str">
        <f>VLOOKUP(Table8[[#This Row],[Country Code]],Table29[],8,FALSE)</f>
        <v>non-OECD</v>
      </c>
      <c r="AX2963" s="242" t="str">
        <f>VLOOKUP(Table8[[#This Row],[Country Code]],Table29[],9,FALSE)</f>
        <v>no</v>
      </c>
      <c r="AY2963" s="242" t="str">
        <f>VLOOKUP(Table8[[#This Row],[Country Code]],Table29[],10,FALSE)</f>
        <v>no</v>
      </c>
      <c r="AZ2963" s="242">
        <f>VLOOKUP(Table8[[#This Row],[Country Code]],Table29[],23,FALSE)</f>
        <v>1300.1688666752</v>
      </c>
      <c r="BA2963" s="242">
        <f>VLOOKUP(Table8[[#This Row],[Country Code]],Table29[],24,FALSE)</f>
        <v>221.12609205884911</v>
      </c>
      <c r="BB2963" s="320"/>
    </row>
    <row r="2964" spans="1:54" ht="135" x14ac:dyDescent="0.25">
      <c r="A2964" s="373">
        <v>43700</v>
      </c>
      <c r="B2964" s="243" t="str">
        <f>VLOOKUP(Table8[[#This Row],[Document ID]],Table1[],2,FALSE)</f>
        <v>BRA</v>
      </c>
      <c r="C2964" s="243" t="str">
        <f>VLOOKUP(Table8[[#This Row],[Document ID]],Table1[],3,FALSE)</f>
        <v>Brazil</v>
      </c>
      <c r="D2964" s="243" t="str">
        <f>VLOOKUP(Table8[[#This Row],[Document ID]],Table1[],5,FALSE)</f>
        <v>NDC</v>
      </c>
      <c r="E2964" s="233" t="str">
        <f>VLOOKUP(Table8[[#This Row],[Document ID]],Table1[],7,FALSE)</f>
        <v>Third NDC</v>
      </c>
      <c r="F2964" s="233" t="str">
        <f>VLOOKUP(Table8[[#This Row],[Document ID]],Table1[],8,FALSE)</f>
        <v>NDC 3.0</v>
      </c>
      <c r="G2964" s="233" t="str">
        <f>VLOOKUP(Table8[[#This Row],[Document ID]],Table1[],10,FALSE)</f>
        <v>Active</v>
      </c>
      <c r="H2964" s="43" t="s">
        <v>2343</v>
      </c>
      <c r="I2964" s="43" t="s">
        <v>2386</v>
      </c>
      <c r="J2964" s="43" t="s">
        <v>2397</v>
      </c>
      <c r="K2964" s="44" t="s">
        <v>5017</v>
      </c>
      <c r="L2964" s="44" t="s">
        <v>2347</v>
      </c>
      <c r="M2964" s="43">
        <v>17</v>
      </c>
      <c r="N2964" s="113" t="s">
        <v>1113</v>
      </c>
      <c r="O2964" s="113"/>
      <c r="P2964" s="113"/>
      <c r="Q2964" s="113"/>
      <c r="R2964" s="113"/>
      <c r="S2964" s="113"/>
      <c r="T2964" s="113"/>
      <c r="U2964" s="113"/>
      <c r="V2964" s="113"/>
      <c r="W2964" s="113"/>
      <c r="X2964" s="113"/>
      <c r="Y2964" s="113"/>
      <c r="Z2964" s="113"/>
      <c r="AA2964" s="113"/>
      <c r="AB2964" s="113"/>
      <c r="AC2964" s="113"/>
      <c r="AD2964" s="113"/>
      <c r="AE2964" s="113"/>
      <c r="AF2964" s="113"/>
      <c r="AG2964" s="113"/>
      <c r="AH2964" s="113"/>
      <c r="AI2964" s="113"/>
      <c r="AJ2964" s="113"/>
      <c r="AK2964" s="113"/>
      <c r="AL2964" s="113" t="s">
        <v>1113</v>
      </c>
      <c r="AM2964" s="113"/>
      <c r="AN2964" s="113"/>
      <c r="AO2964" s="43" t="s">
        <v>2334</v>
      </c>
      <c r="AP2964" s="43" t="s">
        <v>4850</v>
      </c>
      <c r="AQ2964" s="244" t="str">
        <f>VLOOKUP(Table8[[#This Row],[Instrument]],Def_Targets!$D$73:$E$159,2,FALSE)</f>
        <v>A_Finance</v>
      </c>
      <c r="AR2964" s="242" t="str">
        <f>VLOOKUP(Table8[[#This Row],[Country Code]],Table29[],3,FALSE)</f>
        <v>Non-Annex I</v>
      </c>
      <c r="AS2964" s="242" t="str">
        <f>VLOOKUP(Table8[[#This Row],[Country Code]],Table29[],4,FALSE)</f>
        <v>Latin America and the Caribbean</v>
      </c>
      <c r="AT2964" s="242" t="str">
        <f>VLOOKUP(Table8[[#This Row],[Country Code]],Table29[],5,FALSE)</f>
        <v>Middle-income</v>
      </c>
      <c r="AU2964" s="242" t="str">
        <f>VLOOKUP(Table8[[#This Row],[Country Code]],Table29[],6,FALSE)</f>
        <v>G20</v>
      </c>
      <c r="AV2964" s="242" t="str">
        <f>VLOOKUP(Table8[[#This Row],[Country Code]],Table29[],7,FALSE)</f>
        <v>no</v>
      </c>
      <c r="AW2964" s="242" t="str">
        <f>VLOOKUP(Table8[[#This Row],[Country Code]],Table29[],8,FALSE)</f>
        <v>non-OECD</v>
      </c>
      <c r="AX2964" s="242" t="str">
        <f>VLOOKUP(Table8[[#This Row],[Country Code]],Table29[],9,FALSE)</f>
        <v>no</v>
      </c>
      <c r="AY2964" s="242" t="str">
        <f>VLOOKUP(Table8[[#This Row],[Country Code]],Table29[],10,FALSE)</f>
        <v>no</v>
      </c>
      <c r="AZ2964" s="242">
        <f>VLOOKUP(Table8[[#This Row],[Country Code]],Table29[],23,FALSE)</f>
        <v>1300.1688666752</v>
      </c>
      <c r="BA2964" s="242">
        <f>VLOOKUP(Table8[[#This Row],[Country Code]],Table29[],24,FALSE)</f>
        <v>221.12609205884911</v>
      </c>
      <c r="BB2964" s="320"/>
    </row>
    <row r="2965" spans="1:54" x14ac:dyDescent="0.25">
      <c r="A2965" s="373">
        <v>43987</v>
      </c>
      <c r="B2965" s="243" t="str">
        <f>VLOOKUP(Table8[[#This Row],[Document ID]],Table1[],2,FALSE)</f>
        <v>CAN</v>
      </c>
      <c r="C2965" s="243" t="str">
        <f>VLOOKUP(Table8[[#This Row],[Document ID]],Table1[],3,FALSE)</f>
        <v>Canada</v>
      </c>
      <c r="D2965" s="243" t="str">
        <f>VLOOKUP(Table8[[#This Row],[Document ID]],Table1[],5,FALSE)</f>
        <v>NDC</v>
      </c>
      <c r="E2965" s="233" t="str">
        <f>VLOOKUP(Table8[[#This Row],[Document ID]],Table1[],7,FALSE)</f>
        <v>Third NDC</v>
      </c>
      <c r="F2965" s="233" t="str">
        <f>VLOOKUP(Table8[[#This Row],[Document ID]],Table1[],8,FALSE)</f>
        <v>NDC 3.0</v>
      </c>
      <c r="G2965" s="233" t="str">
        <f>VLOOKUP(Table8[[#This Row],[Document ID]],Table1[],10,FALSE)</f>
        <v>Active</v>
      </c>
      <c r="H2965" s="43" t="s">
        <v>2343</v>
      </c>
      <c r="I2965" s="43" t="s">
        <v>2386</v>
      </c>
      <c r="J2965" s="43" t="s">
        <v>2397</v>
      </c>
      <c r="K2965" s="44" t="s">
        <v>5018</v>
      </c>
      <c r="L2965" s="44" t="s">
        <v>2347</v>
      </c>
      <c r="M2965" s="43">
        <v>43</v>
      </c>
      <c r="N2965" s="113"/>
      <c r="O2965" s="113"/>
      <c r="P2965" s="113" t="s">
        <v>1113</v>
      </c>
      <c r="Q2965" s="113"/>
      <c r="R2965" s="113"/>
      <c r="S2965" s="113"/>
      <c r="T2965" s="113"/>
      <c r="U2965" s="113"/>
      <c r="V2965" s="113"/>
      <c r="W2965" s="113"/>
      <c r="X2965" s="113" t="s">
        <v>1113</v>
      </c>
      <c r="Y2965" s="113" t="s">
        <v>1113</v>
      </c>
      <c r="Z2965" s="113"/>
      <c r="AA2965" s="113"/>
      <c r="AB2965" s="113"/>
      <c r="AC2965" s="113" t="s">
        <v>1113</v>
      </c>
      <c r="AD2965" s="113"/>
      <c r="AE2965" s="113"/>
      <c r="AF2965" s="113"/>
      <c r="AG2965" s="113"/>
      <c r="AH2965" s="113"/>
      <c r="AI2965" s="113"/>
      <c r="AJ2965" s="113"/>
      <c r="AK2965" s="113" t="s">
        <v>1113</v>
      </c>
      <c r="AL2965" s="113"/>
      <c r="AM2965" s="113"/>
      <c r="AN2965" s="113"/>
      <c r="AO2965" s="43" t="s">
        <v>2348</v>
      </c>
      <c r="AP2965" s="43" t="s">
        <v>4850</v>
      </c>
      <c r="AQ2965" s="233" t="str">
        <f>VLOOKUP(Table8[[#This Row],[Instrument]],Def_Targets!$D$73:$E$159,2,FALSE)</f>
        <v>A_Finance</v>
      </c>
      <c r="AR2965" s="242" t="str">
        <f>VLOOKUP(Table8[[#This Row],[Country Code]],Table29[],3,FALSE)</f>
        <v>Annex I</v>
      </c>
      <c r="AS2965" s="242" t="str">
        <f>VLOOKUP(Table8[[#This Row],[Country Code]],Table29[],4,FALSE)</f>
        <v>Northern America</v>
      </c>
      <c r="AT2965" s="242" t="str">
        <f>VLOOKUP(Table8[[#This Row],[Country Code]],Table29[],5,FALSE)</f>
        <v>High-income</v>
      </c>
      <c r="AU2965" s="242" t="str">
        <f>VLOOKUP(Table8[[#This Row],[Country Code]],Table29[],6,FALSE)</f>
        <v>G20</v>
      </c>
      <c r="AV2965" s="242" t="str">
        <f>VLOOKUP(Table8[[#This Row],[Country Code]],Table29[],7,FALSE)</f>
        <v>G7</v>
      </c>
      <c r="AW2965" s="242" t="str">
        <f>VLOOKUP(Table8[[#This Row],[Country Code]],Table29[],8,FALSE)</f>
        <v>OECD</v>
      </c>
      <c r="AX2965" s="242" t="str">
        <f>VLOOKUP(Table8[[#This Row],[Country Code]],Table29[],9,FALSE)</f>
        <v>no</v>
      </c>
      <c r="AY2965" s="242" t="str">
        <f>VLOOKUP(Table8[[#This Row],[Country Code]],Table29[],10,FALSE)</f>
        <v>no</v>
      </c>
      <c r="AZ2965" s="242">
        <f>VLOOKUP(Table8[[#This Row],[Country Code]],Table29[],23,FALSE)</f>
        <v>747.67802680902003</v>
      </c>
      <c r="BA2965" s="242">
        <f>VLOOKUP(Table8[[#This Row],[Country Code]],Table29[],24,FALSE)</f>
        <v>169.021169926607</v>
      </c>
      <c r="BB2965" s="320"/>
    </row>
    <row r="2966" spans="1:54" ht="15" customHeight="1" x14ac:dyDescent="0.25">
      <c r="A2966" s="373">
        <v>43987</v>
      </c>
      <c r="B2966" s="243" t="str">
        <f>VLOOKUP(Table8[[#This Row],[Document ID]],Table1[],2,FALSE)</f>
        <v>CAN</v>
      </c>
      <c r="C2966" s="243" t="str">
        <f>VLOOKUP(Table8[[#This Row],[Document ID]],Table1[],3,FALSE)</f>
        <v>Canada</v>
      </c>
      <c r="D2966" s="243" t="str">
        <f>VLOOKUP(Table8[[#This Row],[Document ID]],Table1[],5,FALSE)</f>
        <v>NDC</v>
      </c>
      <c r="E2966" s="233" t="str">
        <f>VLOOKUP(Table8[[#This Row],[Document ID]],Table1[],7,FALSE)</f>
        <v>Third NDC</v>
      </c>
      <c r="F2966" s="233" t="str">
        <f>VLOOKUP(Table8[[#This Row],[Document ID]],Table1[],8,FALSE)</f>
        <v>NDC 3.0</v>
      </c>
      <c r="G2966" s="233" t="str">
        <f>VLOOKUP(Table8[[#This Row],[Document ID]],Table1[],10,FALSE)</f>
        <v>Active</v>
      </c>
      <c r="H2966" s="43" t="s">
        <v>2343</v>
      </c>
      <c r="I2966" s="43" t="s">
        <v>2361</v>
      </c>
      <c r="J2966" s="43" t="s">
        <v>2366</v>
      </c>
      <c r="K2966" s="44" t="s">
        <v>5019</v>
      </c>
      <c r="L2966" s="44" t="s">
        <v>2347</v>
      </c>
      <c r="M2966" s="43">
        <v>43</v>
      </c>
      <c r="N2966" s="113"/>
      <c r="O2966" s="113"/>
      <c r="P2966" s="113" t="s">
        <v>1113</v>
      </c>
      <c r="Q2966" s="113"/>
      <c r="R2966" s="113"/>
      <c r="S2966" s="113"/>
      <c r="T2966" s="113"/>
      <c r="U2966" s="113"/>
      <c r="V2966" s="113"/>
      <c r="W2966" s="113"/>
      <c r="X2966" s="113"/>
      <c r="Y2966" s="113"/>
      <c r="Z2966" s="113"/>
      <c r="AA2966" s="113"/>
      <c r="AB2966" s="113"/>
      <c r="AC2966" s="113"/>
      <c r="AD2966" s="113"/>
      <c r="AE2966" s="113"/>
      <c r="AF2966" s="113"/>
      <c r="AG2966" s="113"/>
      <c r="AH2966" s="113"/>
      <c r="AI2966" s="113"/>
      <c r="AJ2966" s="113"/>
      <c r="AK2966" s="113" t="s">
        <v>1113</v>
      </c>
      <c r="AL2966" s="113"/>
      <c r="AM2966" s="113"/>
      <c r="AN2966" s="113"/>
      <c r="AO2966" s="43" t="s">
        <v>2334</v>
      </c>
      <c r="AP2966" s="43" t="s">
        <v>4850</v>
      </c>
      <c r="AQ2966" s="233" t="str">
        <f>VLOOKUP(Table8[[#This Row],[Instrument]],Def_Targets!$D$73:$E$159,2,FALSE)</f>
        <v>S_Activemobility</v>
      </c>
      <c r="AR2966" s="242" t="str">
        <f>VLOOKUP(Table8[[#This Row],[Country Code]],Table29[],3,FALSE)</f>
        <v>Annex I</v>
      </c>
      <c r="AS2966" s="242" t="str">
        <f>VLOOKUP(Table8[[#This Row],[Country Code]],Table29[],4,FALSE)</f>
        <v>Northern America</v>
      </c>
      <c r="AT2966" s="242" t="str">
        <f>VLOOKUP(Table8[[#This Row],[Country Code]],Table29[],5,FALSE)</f>
        <v>High-income</v>
      </c>
      <c r="AU2966" s="242" t="str">
        <f>VLOOKUP(Table8[[#This Row],[Country Code]],Table29[],6,FALSE)</f>
        <v>G20</v>
      </c>
      <c r="AV2966" s="242" t="str">
        <f>VLOOKUP(Table8[[#This Row],[Country Code]],Table29[],7,FALSE)</f>
        <v>G7</v>
      </c>
      <c r="AW2966" s="242" t="str">
        <f>VLOOKUP(Table8[[#This Row],[Country Code]],Table29[],8,FALSE)</f>
        <v>OECD</v>
      </c>
      <c r="AX2966" s="242" t="str">
        <f>VLOOKUP(Table8[[#This Row],[Country Code]],Table29[],9,FALSE)</f>
        <v>no</v>
      </c>
      <c r="AY2966" s="242" t="str">
        <f>VLOOKUP(Table8[[#This Row],[Country Code]],Table29[],10,FALSE)</f>
        <v>no</v>
      </c>
      <c r="AZ2966" s="242">
        <f>VLOOKUP(Table8[[#This Row],[Country Code]],Table29[],23,FALSE)</f>
        <v>747.67802680902003</v>
      </c>
      <c r="BA2966" s="242">
        <f>VLOOKUP(Table8[[#This Row],[Country Code]],Table29[],24,FALSE)</f>
        <v>169.021169926607</v>
      </c>
      <c r="BB2966" s="320"/>
    </row>
    <row r="2967" spans="1:54" ht="15" customHeight="1" x14ac:dyDescent="0.25">
      <c r="A2967" s="373">
        <v>43987</v>
      </c>
      <c r="B2967" s="243" t="str">
        <f>VLOOKUP(Table8[[#This Row],[Document ID]],Table1[],2,FALSE)</f>
        <v>CAN</v>
      </c>
      <c r="C2967" s="243" t="str">
        <f>VLOOKUP(Table8[[#This Row],[Document ID]],Table1[],3,FALSE)</f>
        <v>Canada</v>
      </c>
      <c r="D2967" s="243" t="str">
        <f>VLOOKUP(Table8[[#This Row],[Document ID]],Table1[],5,FALSE)</f>
        <v>NDC</v>
      </c>
      <c r="E2967" s="233" t="str">
        <f>VLOOKUP(Table8[[#This Row],[Document ID]],Table1[],7,FALSE)</f>
        <v>Third NDC</v>
      </c>
      <c r="F2967" s="233" t="str">
        <f>VLOOKUP(Table8[[#This Row],[Document ID]],Table1[],8,FALSE)</f>
        <v>NDC 3.0</v>
      </c>
      <c r="G2967" s="233" t="str">
        <f>VLOOKUP(Table8[[#This Row],[Document ID]],Table1[],10,FALSE)</f>
        <v>Active</v>
      </c>
      <c r="H2967" s="43" t="s">
        <v>2343</v>
      </c>
      <c r="I2967" s="43" t="s">
        <v>2386</v>
      </c>
      <c r="J2967" s="43" t="s">
        <v>2397</v>
      </c>
      <c r="K2967" s="44" t="s">
        <v>5020</v>
      </c>
      <c r="L2967" s="44" t="s">
        <v>2333</v>
      </c>
      <c r="M2967" s="43">
        <v>43</v>
      </c>
      <c r="N2967" s="113"/>
      <c r="O2967" s="113"/>
      <c r="P2967" s="113"/>
      <c r="Q2967" s="113"/>
      <c r="R2967" s="113" t="s">
        <v>1113</v>
      </c>
      <c r="S2967" s="113"/>
      <c r="T2967" s="113"/>
      <c r="U2967" s="113"/>
      <c r="V2967" s="113"/>
      <c r="W2967" s="113"/>
      <c r="X2967" s="113"/>
      <c r="Y2967" s="113"/>
      <c r="Z2967" s="113"/>
      <c r="AA2967" s="113"/>
      <c r="AB2967" s="113"/>
      <c r="AC2967" s="113"/>
      <c r="AD2967" s="113"/>
      <c r="AE2967" s="113"/>
      <c r="AF2967" s="113"/>
      <c r="AG2967" s="113"/>
      <c r="AH2967" s="113"/>
      <c r="AI2967" s="113"/>
      <c r="AJ2967" s="113"/>
      <c r="AK2967" s="113" t="s">
        <v>1113</v>
      </c>
      <c r="AL2967" s="113"/>
      <c r="AM2967" s="113"/>
      <c r="AN2967" s="113"/>
      <c r="AO2967" s="43" t="s">
        <v>2334</v>
      </c>
      <c r="AP2967" s="43" t="s">
        <v>4850</v>
      </c>
      <c r="AQ2967" s="233" t="str">
        <f>VLOOKUP(Table8[[#This Row],[Instrument]],Def_Targets!$D$73:$E$159,2,FALSE)</f>
        <v>A_Finance</v>
      </c>
      <c r="AR2967" s="242" t="str">
        <f>VLOOKUP(Table8[[#This Row],[Country Code]],Table29[],3,FALSE)</f>
        <v>Annex I</v>
      </c>
      <c r="AS2967" s="242" t="str">
        <f>VLOOKUP(Table8[[#This Row],[Country Code]],Table29[],4,FALSE)</f>
        <v>Northern America</v>
      </c>
      <c r="AT2967" s="242" t="str">
        <f>VLOOKUP(Table8[[#This Row],[Country Code]],Table29[],5,FALSE)</f>
        <v>High-income</v>
      </c>
      <c r="AU2967" s="242" t="str">
        <f>VLOOKUP(Table8[[#This Row],[Country Code]],Table29[],6,FALSE)</f>
        <v>G20</v>
      </c>
      <c r="AV2967" s="242" t="str">
        <f>VLOOKUP(Table8[[#This Row],[Country Code]],Table29[],7,FALSE)</f>
        <v>G7</v>
      </c>
      <c r="AW2967" s="242" t="str">
        <f>VLOOKUP(Table8[[#This Row],[Country Code]],Table29[],8,FALSE)</f>
        <v>OECD</v>
      </c>
      <c r="AX2967" s="242" t="str">
        <f>VLOOKUP(Table8[[#This Row],[Country Code]],Table29[],9,FALSE)</f>
        <v>no</v>
      </c>
      <c r="AY2967" s="242" t="str">
        <f>VLOOKUP(Table8[[#This Row],[Country Code]],Table29[],10,FALSE)</f>
        <v>no</v>
      </c>
      <c r="AZ2967" s="242">
        <f>VLOOKUP(Table8[[#This Row],[Country Code]],Table29[],23,FALSE)</f>
        <v>747.67802680902003</v>
      </c>
      <c r="BA2967" s="242">
        <f>VLOOKUP(Table8[[#This Row],[Country Code]],Table29[],24,FALSE)</f>
        <v>169.021169926607</v>
      </c>
      <c r="BB2967" s="320"/>
    </row>
    <row r="2968" spans="1:54" ht="15" customHeight="1" x14ac:dyDescent="0.25">
      <c r="A2968" s="373">
        <v>43987</v>
      </c>
      <c r="B2968" s="243" t="str">
        <f>VLOOKUP(Table8[[#This Row],[Document ID]],Table1[],2,FALSE)</f>
        <v>CAN</v>
      </c>
      <c r="C2968" s="243" t="str">
        <f>VLOOKUP(Table8[[#This Row],[Document ID]],Table1[],3,FALSE)</f>
        <v>Canada</v>
      </c>
      <c r="D2968" s="243" t="str">
        <f>VLOOKUP(Table8[[#This Row],[Document ID]],Table1[],5,FALSE)</f>
        <v>NDC</v>
      </c>
      <c r="E2968" s="233" t="str">
        <f>VLOOKUP(Table8[[#This Row],[Document ID]],Table1[],7,FALSE)</f>
        <v>Third NDC</v>
      </c>
      <c r="F2968" s="233" t="str">
        <f>VLOOKUP(Table8[[#This Row],[Document ID]],Table1[],8,FALSE)</f>
        <v>NDC 3.0</v>
      </c>
      <c r="G2968" s="233" t="str">
        <f>VLOOKUP(Table8[[#This Row],[Document ID]],Table1[],10,FALSE)</f>
        <v>Active</v>
      </c>
      <c r="H2968" s="43" t="s">
        <v>2343</v>
      </c>
      <c r="I2968" s="43" t="s">
        <v>2344</v>
      </c>
      <c r="J2968" s="43" t="s">
        <v>2345</v>
      </c>
      <c r="K2968" s="44" t="s">
        <v>5021</v>
      </c>
      <c r="L2968" s="44" t="s">
        <v>5015</v>
      </c>
      <c r="M2968" s="43">
        <v>44</v>
      </c>
      <c r="N2968" s="113"/>
      <c r="O2968" s="113"/>
      <c r="P2968" s="113"/>
      <c r="Q2968" s="113"/>
      <c r="R2968" s="113"/>
      <c r="S2968" s="113"/>
      <c r="T2968" s="113"/>
      <c r="U2968" s="113"/>
      <c r="V2968" s="113"/>
      <c r="W2968" s="113"/>
      <c r="X2968" s="113"/>
      <c r="Y2968" s="113" t="s">
        <v>1113</v>
      </c>
      <c r="Z2968" s="113"/>
      <c r="AA2968" s="113"/>
      <c r="AB2968" s="113"/>
      <c r="AC2968" s="113" t="s">
        <v>1113</v>
      </c>
      <c r="AD2968" s="113"/>
      <c r="AE2968" s="113"/>
      <c r="AF2968" s="113"/>
      <c r="AG2968" s="113"/>
      <c r="AH2968" s="113"/>
      <c r="AI2968" s="113"/>
      <c r="AJ2968" s="113"/>
      <c r="AK2968" s="113"/>
      <c r="AL2968" s="113" t="s">
        <v>1113</v>
      </c>
      <c r="AM2968" s="113"/>
      <c r="AN2968" s="113"/>
      <c r="AO2968" s="43" t="s">
        <v>2348</v>
      </c>
      <c r="AP2968" s="43" t="s">
        <v>4850</v>
      </c>
      <c r="AQ2968" s="233" t="str">
        <f>VLOOKUP(Table8[[#This Row],[Instrument]],Def_Targets!$D$73:$E$159,2,FALSE)</f>
        <v>S_PublicTransport</v>
      </c>
      <c r="AR2968" s="242" t="str">
        <f>VLOOKUP(Table8[[#This Row],[Country Code]],Table29[],3,FALSE)</f>
        <v>Annex I</v>
      </c>
      <c r="AS2968" s="242" t="str">
        <f>VLOOKUP(Table8[[#This Row],[Country Code]],Table29[],4,FALSE)</f>
        <v>Northern America</v>
      </c>
      <c r="AT2968" s="242" t="str">
        <f>VLOOKUP(Table8[[#This Row],[Country Code]],Table29[],5,FALSE)</f>
        <v>High-income</v>
      </c>
      <c r="AU2968" s="242" t="str">
        <f>VLOOKUP(Table8[[#This Row],[Country Code]],Table29[],6,FALSE)</f>
        <v>G20</v>
      </c>
      <c r="AV2968" s="242" t="str">
        <f>VLOOKUP(Table8[[#This Row],[Country Code]],Table29[],7,FALSE)</f>
        <v>G7</v>
      </c>
      <c r="AW2968" s="242" t="str">
        <f>VLOOKUP(Table8[[#This Row],[Country Code]],Table29[],8,FALSE)</f>
        <v>OECD</v>
      </c>
      <c r="AX2968" s="242" t="str">
        <f>VLOOKUP(Table8[[#This Row],[Country Code]],Table29[],9,FALSE)</f>
        <v>no</v>
      </c>
      <c r="AY2968" s="242" t="str">
        <f>VLOOKUP(Table8[[#This Row],[Country Code]],Table29[],10,FALSE)</f>
        <v>no</v>
      </c>
      <c r="AZ2968" s="242">
        <f>VLOOKUP(Table8[[#This Row],[Country Code]],Table29[],23,FALSE)</f>
        <v>747.67802680902003</v>
      </c>
      <c r="BA2968" s="242">
        <f>VLOOKUP(Table8[[#This Row],[Country Code]],Table29[],24,FALSE)</f>
        <v>169.021169926607</v>
      </c>
      <c r="BB2968" s="320"/>
    </row>
    <row r="2969" spans="1:54" ht="30" x14ac:dyDescent="0.25">
      <c r="A2969" s="373">
        <v>43987</v>
      </c>
      <c r="B2969" s="243" t="str">
        <f>VLOOKUP(Table8[[#This Row],[Document ID]],Table1[],2,FALSE)</f>
        <v>CAN</v>
      </c>
      <c r="C2969" s="243" t="str">
        <f>VLOOKUP(Table8[[#This Row],[Document ID]],Table1[],3,FALSE)</f>
        <v>Canada</v>
      </c>
      <c r="D2969" s="243" t="str">
        <f>VLOOKUP(Table8[[#This Row],[Document ID]],Table1[],5,FALSE)</f>
        <v>NDC</v>
      </c>
      <c r="E2969" s="233" t="str">
        <f>VLOOKUP(Table8[[#This Row],[Document ID]],Table1[],7,FALSE)</f>
        <v>Third NDC</v>
      </c>
      <c r="F2969" s="233" t="str">
        <f>VLOOKUP(Table8[[#This Row],[Document ID]],Table1[],8,FALSE)</f>
        <v>NDC 3.0</v>
      </c>
      <c r="G2969" s="233" t="str">
        <f>VLOOKUP(Table8[[#This Row],[Document ID]],Table1[],10,FALSE)</f>
        <v>Active</v>
      </c>
      <c r="H2969" s="43" t="s">
        <v>2343</v>
      </c>
      <c r="I2969" s="43" t="s">
        <v>2386</v>
      </c>
      <c r="J2969" s="43" t="s">
        <v>2397</v>
      </c>
      <c r="K2969" s="44" t="s">
        <v>5022</v>
      </c>
      <c r="L2969" s="44" t="s">
        <v>2347</v>
      </c>
      <c r="M2969" s="43">
        <v>44</v>
      </c>
      <c r="N2969" s="113"/>
      <c r="O2969" s="113"/>
      <c r="P2969" s="113" t="s">
        <v>1113</v>
      </c>
      <c r="Q2969" s="113"/>
      <c r="R2969" s="113"/>
      <c r="S2969" s="113"/>
      <c r="T2969" s="113"/>
      <c r="U2969" s="113"/>
      <c r="V2969" s="113"/>
      <c r="W2969" s="113"/>
      <c r="X2969" s="113"/>
      <c r="Y2969" s="113"/>
      <c r="Z2969" s="113"/>
      <c r="AA2969" s="113"/>
      <c r="AB2969" s="113"/>
      <c r="AC2969" s="113"/>
      <c r="AD2969" s="113"/>
      <c r="AE2969" s="113"/>
      <c r="AF2969" s="113"/>
      <c r="AG2969" s="113"/>
      <c r="AH2969" s="113"/>
      <c r="AI2969" s="113"/>
      <c r="AJ2969" s="113"/>
      <c r="AK2969" s="113" t="s">
        <v>1113</v>
      </c>
      <c r="AL2969" s="113"/>
      <c r="AM2969" s="113"/>
      <c r="AN2969" s="113"/>
      <c r="AO2969" s="43" t="s">
        <v>2334</v>
      </c>
      <c r="AP2969" s="43" t="s">
        <v>4850</v>
      </c>
      <c r="AQ2969" s="233" t="str">
        <f>VLOOKUP(Table8[[#This Row],[Instrument]],Def_Targets!$D$73:$E$159,2,FALSE)</f>
        <v>A_Finance</v>
      </c>
      <c r="AR2969" s="242" t="str">
        <f>VLOOKUP(Table8[[#This Row],[Country Code]],Table29[],3,FALSE)</f>
        <v>Annex I</v>
      </c>
      <c r="AS2969" s="242" t="str">
        <f>VLOOKUP(Table8[[#This Row],[Country Code]],Table29[],4,FALSE)</f>
        <v>Northern America</v>
      </c>
      <c r="AT2969" s="242" t="str">
        <f>VLOOKUP(Table8[[#This Row],[Country Code]],Table29[],5,FALSE)</f>
        <v>High-income</v>
      </c>
      <c r="AU2969" s="242" t="str">
        <f>VLOOKUP(Table8[[#This Row],[Country Code]],Table29[],6,FALSE)</f>
        <v>G20</v>
      </c>
      <c r="AV2969" s="242" t="str">
        <f>VLOOKUP(Table8[[#This Row],[Country Code]],Table29[],7,FALSE)</f>
        <v>G7</v>
      </c>
      <c r="AW2969" s="242" t="str">
        <f>VLOOKUP(Table8[[#This Row],[Country Code]],Table29[],8,FALSE)</f>
        <v>OECD</v>
      </c>
      <c r="AX2969" s="242" t="str">
        <f>VLOOKUP(Table8[[#This Row],[Country Code]],Table29[],9,FALSE)</f>
        <v>no</v>
      </c>
      <c r="AY2969" s="242" t="str">
        <f>VLOOKUP(Table8[[#This Row],[Country Code]],Table29[],10,FALSE)</f>
        <v>no</v>
      </c>
      <c r="AZ2969" s="242">
        <f>VLOOKUP(Table8[[#This Row],[Country Code]],Table29[],23,FALSE)</f>
        <v>747.67802680902003</v>
      </c>
      <c r="BA2969" s="242">
        <f>VLOOKUP(Table8[[#This Row],[Country Code]],Table29[],24,FALSE)</f>
        <v>169.021169926607</v>
      </c>
      <c r="BB2969" s="320"/>
    </row>
    <row r="2970" spans="1:54" ht="37.35" customHeight="1" x14ac:dyDescent="0.25">
      <c r="A2970" s="373">
        <v>43987</v>
      </c>
      <c r="B2970" s="243" t="str">
        <f>VLOOKUP(Table8[[#This Row],[Document ID]],Table1[],2,FALSE)</f>
        <v>CAN</v>
      </c>
      <c r="C2970" s="243" t="str">
        <f>VLOOKUP(Table8[[#This Row],[Document ID]],Table1[],3,FALSE)</f>
        <v>Canada</v>
      </c>
      <c r="D2970" s="243" t="str">
        <f>VLOOKUP(Table8[[#This Row],[Document ID]],Table1[],5,FALSE)</f>
        <v>NDC</v>
      </c>
      <c r="E2970" s="233" t="str">
        <f>VLOOKUP(Table8[[#This Row],[Document ID]],Table1[],7,FALSE)</f>
        <v>Third NDC</v>
      </c>
      <c r="F2970" s="233" t="str">
        <f>VLOOKUP(Table8[[#This Row],[Document ID]],Table1[],8,FALSE)</f>
        <v>NDC 3.0</v>
      </c>
      <c r="G2970" s="233" t="str">
        <f>VLOOKUP(Table8[[#This Row],[Document ID]],Table1[],10,FALSE)</f>
        <v>Active</v>
      </c>
      <c r="H2970" s="43" t="s">
        <v>2343</v>
      </c>
      <c r="I2970" s="43" t="s">
        <v>2377</v>
      </c>
      <c r="J2970" s="43" t="s">
        <v>2394</v>
      </c>
      <c r="K2970" s="44" t="s">
        <v>5023</v>
      </c>
      <c r="L2970" s="44" t="s">
        <v>4912</v>
      </c>
      <c r="M2970" s="43">
        <v>49</v>
      </c>
      <c r="N2970" s="113" t="s">
        <v>1113</v>
      </c>
      <c r="O2970" s="113"/>
      <c r="P2970" s="113"/>
      <c r="Q2970" s="113"/>
      <c r="R2970" s="113"/>
      <c r="S2970" s="113"/>
      <c r="T2970" s="113"/>
      <c r="U2970" s="113"/>
      <c r="V2970" s="113"/>
      <c r="W2970" s="113"/>
      <c r="X2970" s="113"/>
      <c r="Y2970" s="113"/>
      <c r="Z2970" s="113"/>
      <c r="AA2970" s="113"/>
      <c r="AB2970" s="113"/>
      <c r="AC2970" s="113"/>
      <c r="AD2970" s="113"/>
      <c r="AE2970" s="113"/>
      <c r="AF2970" s="113"/>
      <c r="AG2970" s="113"/>
      <c r="AH2970" s="113"/>
      <c r="AI2970" s="113"/>
      <c r="AJ2970" s="113"/>
      <c r="AK2970" s="113" t="s">
        <v>1113</v>
      </c>
      <c r="AL2970" s="113"/>
      <c r="AM2970" s="113"/>
      <c r="AN2970" s="113"/>
      <c r="AO2970" s="43" t="s">
        <v>2334</v>
      </c>
      <c r="AP2970" s="43" t="s">
        <v>4850</v>
      </c>
      <c r="AQ2970" s="233" t="str">
        <f>VLOOKUP(Table8[[#This Row],[Instrument]],Def_Targets!$D$73:$E$159,2,FALSE)</f>
        <v>A_TDM</v>
      </c>
      <c r="AR2970" s="242" t="str">
        <f>VLOOKUP(Table8[[#This Row],[Country Code]],Table29[],3,FALSE)</f>
        <v>Annex I</v>
      </c>
      <c r="AS2970" s="242" t="str">
        <f>VLOOKUP(Table8[[#This Row],[Country Code]],Table29[],4,FALSE)</f>
        <v>Northern America</v>
      </c>
      <c r="AT2970" s="242" t="str">
        <f>VLOOKUP(Table8[[#This Row],[Country Code]],Table29[],5,FALSE)</f>
        <v>High-income</v>
      </c>
      <c r="AU2970" s="242" t="str">
        <f>VLOOKUP(Table8[[#This Row],[Country Code]],Table29[],6,FALSE)</f>
        <v>G20</v>
      </c>
      <c r="AV2970" s="242" t="str">
        <f>VLOOKUP(Table8[[#This Row],[Country Code]],Table29[],7,FALSE)</f>
        <v>G7</v>
      </c>
      <c r="AW2970" s="242" t="str">
        <f>VLOOKUP(Table8[[#This Row],[Country Code]],Table29[],8,FALSE)</f>
        <v>OECD</v>
      </c>
      <c r="AX2970" s="242" t="str">
        <f>VLOOKUP(Table8[[#This Row],[Country Code]],Table29[],9,FALSE)</f>
        <v>no</v>
      </c>
      <c r="AY2970" s="242" t="str">
        <f>VLOOKUP(Table8[[#This Row],[Country Code]],Table29[],10,FALSE)</f>
        <v>no</v>
      </c>
      <c r="AZ2970" s="242">
        <f>VLOOKUP(Table8[[#This Row],[Country Code]],Table29[],23,FALSE)</f>
        <v>747.67802680902003</v>
      </c>
      <c r="BA2970" s="242">
        <f>VLOOKUP(Table8[[#This Row],[Country Code]],Table29[],24,FALSE)</f>
        <v>169.021169926607</v>
      </c>
      <c r="BB2970" s="320"/>
    </row>
    <row r="2971" spans="1:54" ht="30" x14ac:dyDescent="0.25">
      <c r="A2971" s="373">
        <v>43987</v>
      </c>
      <c r="B2971" s="243" t="str">
        <f>VLOOKUP(Table8[[#This Row],[Document ID]],Table1[],2,FALSE)</f>
        <v>CAN</v>
      </c>
      <c r="C2971" s="243" t="str">
        <f>VLOOKUP(Table8[[#This Row],[Document ID]],Table1[],3,FALSE)</f>
        <v>Canada</v>
      </c>
      <c r="D2971" s="243" t="str">
        <f>VLOOKUP(Table8[[#This Row],[Document ID]],Table1[],5,FALSE)</f>
        <v>NDC</v>
      </c>
      <c r="E2971" s="233" t="str">
        <f>VLOOKUP(Table8[[#This Row],[Document ID]],Table1[],7,FALSE)</f>
        <v>Third NDC</v>
      </c>
      <c r="F2971" s="233" t="str">
        <f>VLOOKUP(Table8[[#This Row],[Document ID]],Table1[],8,FALSE)</f>
        <v>NDC 3.0</v>
      </c>
      <c r="G2971" s="233" t="str">
        <f>VLOOKUP(Table8[[#This Row],[Document ID]],Table1[],10,FALSE)</f>
        <v>Active</v>
      </c>
      <c r="H2971" s="43" t="s">
        <v>2343</v>
      </c>
      <c r="I2971" s="43" t="s">
        <v>2386</v>
      </c>
      <c r="J2971" s="43" t="s">
        <v>2397</v>
      </c>
      <c r="K2971" s="44" t="s">
        <v>5024</v>
      </c>
      <c r="L2971" s="44" t="s">
        <v>2347</v>
      </c>
      <c r="M2971" s="43">
        <v>50</v>
      </c>
      <c r="N2971" s="113"/>
      <c r="O2971" s="113"/>
      <c r="P2971" s="113" t="s">
        <v>1113</v>
      </c>
      <c r="Q2971" s="113"/>
      <c r="R2971" s="113"/>
      <c r="S2971" s="113"/>
      <c r="T2971" s="113"/>
      <c r="U2971" s="113"/>
      <c r="V2971" s="113"/>
      <c r="W2971" s="113"/>
      <c r="X2971" s="113"/>
      <c r="Y2971" s="113" t="s">
        <v>1113</v>
      </c>
      <c r="Z2971" s="113"/>
      <c r="AA2971" s="113"/>
      <c r="AB2971" s="113"/>
      <c r="AC2971" s="113" t="s">
        <v>1113</v>
      </c>
      <c r="AD2971" s="113"/>
      <c r="AE2971" s="113"/>
      <c r="AF2971" s="113"/>
      <c r="AG2971" s="113"/>
      <c r="AH2971" s="113"/>
      <c r="AI2971" s="113"/>
      <c r="AJ2971" s="113"/>
      <c r="AK2971" s="113" t="s">
        <v>1113</v>
      </c>
      <c r="AL2971" s="113"/>
      <c r="AM2971" s="113"/>
      <c r="AN2971" s="113"/>
      <c r="AO2971" s="43" t="s">
        <v>2348</v>
      </c>
      <c r="AP2971" s="43" t="s">
        <v>4850</v>
      </c>
      <c r="AQ2971" s="233" t="str">
        <f>VLOOKUP(Table8[[#This Row],[Instrument]],Def_Targets!$D$73:$E$159,2,FALSE)</f>
        <v>A_Finance</v>
      </c>
      <c r="AR2971" s="242" t="str">
        <f>VLOOKUP(Table8[[#This Row],[Country Code]],Table29[],3,FALSE)</f>
        <v>Annex I</v>
      </c>
      <c r="AS2971" s="242" t="str">
        <f>VLOOKUP(Table8[[#This Row],[Country Code]],Table29[],4,FALSE)</f>
        <v>Northern America</v>
      </c>
      <c r="AT2971" s="242" t="str">
        <f>VLOOKUP(Table8[[#This Row],[Country Code]],Table29[],5,FALSE)</f>
        <v>High-income</v>
      </c>
      <c r="AU2971" s="242" t="str">
        <f>VLOOKUP(Table8[[#This Row],[Country Code]],Table29[],6,FALSE)</f>
        <v>G20</v>
      </c>
      <c r="AV2971" s="242" t="str">
        <f>VLOOKUP(Table8[[#This Row],[Country Code]],Table29[],7,FALSE)</f>
        <v>G7</v>
      </c>
      <c r="AW2971" s="242" t="str">
        <f>VLOOKUP(Table8[[#This Row],[Country Code]],Table29[],8,FALSE)</f>
        <v>OECD</v>
      </c>
      <c r="AX2971" s="242" t="str">
        <f>VLOOKUP(Table8[[#This Row],[Country Code]],Table29[],9,FALSE)</f>
        <v>no</v>
      </c>
      <c r="AY2971" s="242" t="str">
        <f>VLOOKUP(Table8[[#This Row],[Country Code]],Table29[],10,FALSE)</f>
        <v>no</v>
      </c>
      <c r="AZ2971" s="242">
        <f>VLOOKUP(Table8[[#This Row],[Country Code]],Table29[],23,FALSE)</f>
        <v>747.67802680902003</v>
      </c>
      <c r="BA2971" s="242">
        <f>VLOOKUP(Table8[[#This Row],[Country Code]],Table29[],24,FALSE)</f>
        <v>169.021169926607</v>
      </c>
      <c r="BB2971" s="320"/>
    </row>
    <row r="2972" spans="1:54" ht="30" x14ac:dyDescent="0.25">
      <c r="A2972" s="373">
        <v>43987</v>
      </c>
      <c r="B2972" s="243" t="str">
        <f>VLOOKUP(Table8[[#This Row],[Document ID]],Table1[],2,FALSE)</f>
        <v>CAN</v>
      </c>
      <c r="C2972" s="243" t="str">
        <f>VLOOKUP(Table8[[#This Row],[Document ID]],Table1[],3,FALSE)</f>
        <v>Canada</v>
      </c>
      <c r="D2972" s="243" t="str">
        <f>VLOOKUP(Table8[[#This Row],[Document ID]],Table1[],5,FALSE)</f>
        <v>NDC</v>
      </c>
      <c r="E2972" s="233" t="str">
        <f>VLOOKUP(Table8[[#This Row],[Document ID]],Table1[],7,FALSE)</f>
        <v>Third NDC</v>
      </c>
      <c r="F2972" s="233" t="str">
        <f>VLOOKUP(Table8[[#This Row],[Document ID]],Table1[],8,FALSE)</f>
        <v>NDC 3.0</v>
      </c>
      <c r="G2972" s="233" t="str">
        <f>VLOOKUP(Table8[[#This Row],[Document ID]],Table1[],10,FALSE)</f>
        <v>Active</v>
      </c>
      <c r="H2972" s="43" t="s">
        <v>2343</v>
      </c>
      <c r="I2972" s="43" t="s">
        <v>2344</v>
      </c>
      <c r="J2972" s="43" t="s">
        <v>2405</v>
      </c>
      <c r="K2972" s="44" t="s">
        <v>5025</v>
      </c>
      <c r="L2972" s="44" t="s">
        <v>3939</v>
      </c>
      <c r="M2972" s="43">
        <v>50</v>
      </c>
      <c r="N2972" s="113"/>
      <c r="O2972" s="113"/>
      <c r="P2972" s="113"/>
      <c r="Q2972" s="113"/>
      <c r="R2972" s="113"/>
      <c r="S2972" s="113"/>
      <c r="T2972" s="113"/>
      <c r="U2972" s="113"/>
      <c r="V2972" s="113"/>
      <c r="W2972" s="113"/>
      <c r="X2972" s="113"/>
      <c r="Y2972" s="113" t="s">
        <v>1113</v>
      </c>
      <c r="Z2972" s="113"/>
      <c r="AA2972" s="113"/>
      <c r="AB2972" s="113"/>
      <c r="AC2972" s="113" t="s">
        <v>1113</v>
      </c>
      <c r="AD2972" s="113"/>
      <c r="AE2972" s="113"/>
      <c r="AF2972" s="113"/>
      <c r="AG2972" s="113"/>
      <c r="AH2972" s="113"/>
      <c r="AI2972" s="113"/>
      <c r="AJ2972" s="113"/>
      <c r="AK2972" s="113" t="s">
        <v>1113</v>
      </c>
      <c r="AL2972" s="113"/>
      <c r="AM2972" s="113"/>
      <c r="AN2972" s="113"/>
      <c r="AO2972" s="43" t="s">
        <v>2348</v>
      </c>
      <c r="AP2972" s="43" t="s">
        <v>4850</v>
      </c>
      <c r="AQ2972" s="233" t="str">
        <f>VLOOKUP(Table8[[#This Row],[Instrument]],Def_Targets!$D$73:$E$159,2,FALSE)</f>
        <v>S_PTIntegration</v>
      </c>
      <c r="AR2972" s="242" t="str">
        <f>VLOOKUP(Table8[[#This Row],[Country Code]],Table29[],3,FALSE)</f>
        <v>Annex I</v>
      </c>
      <c r="AS2972" s="242" t="str">
        <f>VLOOKUP(Table8[[#This Row],[Country Code]],Table29[],4,FALSE)</f>
        <v>Northern America</v>
      </c>
      <c r="AT2972" s="242" t="str">
        <f>VLOOKUP(Table8[[#This Row],[Country Code]],Table29[],5,FALSE)</f>
        <v>High-income</v>
      </c>
      <c r="AU2972" s="242" t="str">
        <f>VLOOKUP(Table8[[#This Row],[Country Code]],Table29[],6,FALSE)</f>
        <v>G20</v>
      </c>
      <c r="AV2972" s="242" t="str">
        <f>VLOOKUP(Table8[[#This Row],[Country Code]],Table29[],7,FALSE)</f>
        <v>G7</v>
      </c>
      <c r="AW2972" s="242" t="str">
        <f>VLOOKUP(Table8[[#This Row],[Country Code]],Table29[],8,FALSE)</f>
        <v>OECD</v>
      </c>
      <c r="AX2972" s="242" t="str">
        <f>VLOOKUP(Table8[[#This Row],[Country Code]],Table29[],9,FALSE)</f>
        <v>no</v>
      </c>
      <c r="AY2972" s="242" t="str">
        <f>VLOOKUP(Table8[[#This Row],[Country Code]],Table29[],10,FALSE)</f>
        <v>no</v>
      </c>
      <c r="AZ2972" s="242">
        <f>VLOOKUP(Table8[[#This Row],[Country Code]],Table29[],23,FALSE)</f>
        <v>747.67802680902003</v>
      </c>
      <c r="BA2972" s="242">
        <f>VLOOKUP(Table8[[#This Row],[Country Code]],Table29[],24,FALSE)</f>
        <v>169.021169926607</v>
      </c>
      <c r="BB2972" s="320"/>
    </row>
    <row r="2973" spans="1:54" x14ac:dyDescent="0.25">
      <c r="A2973" s="373">
        <v>43987</v>
      </c>
      <c r="B2973" s="243" t="str">
        <f>VLOOKUP(Table8[[#This Row],[Document ID]],Table1[],2,FALSE)</f>
        <v>CAN</v>
      </c>
      <c r="C2973" s="243" t="str">
        <f>VLOOKUP(Table8[[#This Row],[Document ID]],Table1[],3,FALSE)</f>
        <v>Canada</v>
      </c>
      <c r="D2973" s="243" t="str">
        <f>VLOOKUP(Table8[[#This Row],[Document ID]],Table1[],5,FALSE)</f>
        <v>NDC</v>
      </c>
      <c r="E2973" s="233" t="str">
        <f>VLOOKUP(Table8[[#This Row],[Document ID]],Table1[],7,FALSE)</f>
        <v>Third NDC</v>
      </c>
      <c r="F2973" s="233" t="str">
        <f>VLOOKUP(Table8[[#This Row],[Document ID]],Table1[],8,FALSE)</f>
        <v>NDC 3.0</v>
      </c>
      <c r="G2973" s="233" t="str">
        <f>VLOOKUP(Table8[[#This Row],[Document ID]],Table1[],10,FALSE)</f>
        <v>Active</v>
      </c>
      <c r="H2973" s="43" t="s">
        <v>2343</v>
      </c>
      <c r="I2973" s="43" t="s">
        <v>2344</v>
      </c>
      <c r="J2973" s="43" t="s">
        <v>2345</v>
      </c>
      <c r="K2973" s="44" t="s">
        <v>5026</v>
      </c>
      <c r="L2973" s="44" t="s">
        <v>2333</v>
      </c>
      <c r="M2973" s="43">
        <v>68</v>
      </c>
      <c r="N2973" s="113"/>
      <c r="O2973" s="113"/>
      <c r="P2973" s="113"/>
      <c r="Q2973" s="113"/>
      <c r="R2973" s="113"/>
      <c r="S2973" s="113"/>
      <c r="T2973" s="113"/>
      <c r="U2973" s="113"/>
      <c r="V2973" s="113"/>
      <c r="W2973" s="113"/>
      <c r="X2973" s="113"/>
      <c r="Y2973" s="113" t="s">
        <v>1113</v>
      </c>
      <c r="Z2973" s="113"/>
      <c r="AA2973" s="113"/>
      <c r="AB2973" s="113"/>
      <c r="AC2973" s="113" t="s">
        <v>1113</v>
      </c>
      <c r="AD2973" s="113"/>
      <c r="AE2973" s="113"/>
      <c r="AF2973" s="113"/>
      <c r="AG2973" s="113"/>
      <c r="AH2973" s="113"/>
      <c r="AI2973" s="113"/>
      <c r="AJ2973" s="113"/>
      <c r="AK2973" s="113"/>
      <c r="AL2973" s="113" t="s">
        <v>1113</v>
      </c>
      <c r="AM2973" s="113" t="s">
        <v>1113</v>
      </c>
      <c r="AN2973" s="113"/>
      <c r="AO2973" s="43" t="s">
        <v>2348</v>
      </c>
      <c r="AP2973" s="43" t="s">
        <v>4850</v>
      </c>
      <c r="AQ2973" s="233" t="str">
        <f>VLOOKUP(Table8[[#This Row],[Instrument]],Def_Targets!$D$73:$E$159,2,FALSE)</f>
        <v>S_PublicTransport</v>
      </c>
      <c r="AR2973" s="242" t="str">
        <f>VLOOKUP(Table8[[#This Row],[Country Code]],Table29[],3,FALSE)</f>
        <v>Annex I</v>
      </c>
      <c r="AS2973" s="242" t="str">
        <f>VLOOKUP(Table8[[#This Row],[Country Code]],Table29[],4,FALSE)</f>
        <v>Northern America</v>
      </c>
      <c r="AT2973" s="242" t="str">
        <f>VLOOKUP(Table8[[#This Row],[Country Code]],Table29[],5,FALSE)</f>
        <v>High-income</v>
      </c>
      <c r="AU2973" s="242" t="str">
        <f>VLOOKUP(Table8[[#This Row],[Country Code]],Table29[],6,FALSE)</f>
        <v>G20</v>
      </c>
      <c r="AV2973" s="242" t="str">
        <f>VLOOKUP(Table8[[#This Row],[Country Code]],Table29[],7,FALSE)</f>
        <v>G7</v>
      </c>
      <c r="AW2973" s="242" t="str">
        <f>VLOOKUP(Table8[[#This Row],[Country Code]],Table29[],8,FALSE)</f>
        <v>OECD</v>
      </c>
      <c r="AX2973" s="242" t="str">
        <f>VLOOKUP(Table8[[#This Row],[Country Code]],Table29[],9,FALSE)</f>
        <v>no</v>
      </c>
      <c r="AY2973" s="242" t="str">
        <f>VLOOKUP(Table8[[#This Row],[Country Code]],Table29[],10,FALSE)</f>
        <v>no</v>
      </c>
      <c r="AZ2973" s="242">
        <f>VLOOKUP(Table8[[#This Row],[Country Code]],Table29[],23,FALSE)</f>
        <v>747.67802680902003</v>
      </c>
      <c r="BA2973" s="242">
        <f>VLOOKUP(Table8[[#This Row],[Country Code]],Table29[],24,FALSE)</f>
        <v>169.021169926607</v>
      </c>
      <c r="BB2973" s="320"/>
    </row>
    <row r="2974" spans="1:54" ht="45" x14ac:dyDescent="0.25">
      <c r="A2974" s="373">
        <v>43987</v>
      </c>
      <c r="B2974" s="243" t="str">
        <f>VLOOKUP(Table8[[#This Row],[Document ID]],Table1[],2,FALSE)</f>
        <v>CAN</v>
      </c>
      <c r="C2974" s="243" t="str">
        <f>VLOOKUP(Table8[[#This Row],[Document ID]],Table1[],3,FALSE)</f>
        <v>Canada</v>
      </c>
      <c r="D2974" s="243" t="str">
        <f>VLOOKUP(Table8[[#This Row],[Document ID]],Table1[],5,FALSE)</f>
        <v>NDC</v>
      </c>
      <c r="E2974" s="233" t="str">
        <f>VLOOKUP(Table8[[#This Row],[Document ID]],Table1[],7,FALSE)</f>
        <v>Third NDC</v>
      </c>
      <c r="F2974" s="233" t="str">
        <f>VLOOKUP(Table8[[#This Row],[Document ID]],Table1[],8,FALSE)</f>
        <v>NDC 3.0</v>
      </c>
      <c r="G2974" s="233" t="str">
        <f>VLOOKUP(Table8[[#This Row],[Document ID]],Table1[],10,FALSE)</f>
        <v>Active</v>
      </c>
      <c r="H2974" s="43" t="s">
        <v>2343</v>
      </c>
      <c r="I2974" s="43" t="s">
        <v>2344</v>
      </c>
      <c r="J2974" s="43" t="s">
        <v>2405</v>
      </c>
      <c r="K2974" s="44" t="s">
        <v>5027</v>
      </c>
      <c r="L2974" s="44" t="s">
        <v>3939</v>
      </c>
      <c r="M2974" s="43">
        <v>70</v>
      </c>
      <c r="N2974" s="113"/>
      <c r="O2974" s="113"/>
      <c r="P2974" s="113" t="s">
        <v>1113</v>
      </c>
      <c r="Q2974" s="113"/>
      <c r="R2974" s="113"/>
      <c r="S2974" s="113"/>
      <c r="T2974" s="113"/>
      <c r="U2974" s="113"/>
      <c r="V2974" s="113"/>
      <c r="W2974" s="113"/>
      <c r="X2974" s="113"/>
      <c r="Y2974" s="113" t="s">
        <v>1113</v>
      </c>
      <c r="Z2974" s="113"/>
      <c r="AA2974" s="113"/>
      <c r="AB2974" s="113"/>
      <c r="AC2974" s="113" t="s">
        <v>1113</v>
      </c>
      <c r="AD2974" s="113"/>
      <c r="AE2974" s="113"/>
      <c r="AF2974" s="113"/>
      <c r="AG2974" s="113"/>
      <c r="AH2974" s="113"/>
      <c r="AI2974" s="113"/>
      <c r="AJ2974" s="113"/>
      <c r="AK2974" s="113"/>
      <c r="AL2974" s="113"/>
      <c r="AM2974" s="113" t="s">
        <v>1113</v>
      </c>
      <c r="AN2974" s="113"/>
      <c r="AO2974" s="43" t="s">
        <v>2348</v>
      </c>
      <c r="AP2974" s="43" t="s">
        <v>4861</v>
      </c>
      <c r="AQ2974" s="233" t="str">
        <f>VLOOKUP(Table8[[#This Row],[Instrument]],Def_Targets!$D$73:$E$159,2,FALSE)</f>
        <v>S_PTIntegration</v>
      </c>
      <c r="AR2974" s="242" t="str">
        <f>VLOOKUP(Table8[[#This Row],[Country Code]],Table29[],3,FALSE)</f>
        <v>Annex I</v>
      </c>
      <c r="AS2974" s="242" t="str">
        <f>VLOOKUP(Table8[[#This Row],[Country Code]],Table29[],4,FALSE)</f>
        <v>Northern America</v>
      </c>
      <c r="AT2974" s="242" t="str">
        <f>VLOOKUP(Table8[[#This Row],[Country Code]],Table29[],5,FALSE)</f>
        <v>High-income</v>
      </c>
      <c r="AU2974" s="242" t="str">
        <f>VLOOKUP(Table8[[#This Row],[Country Code]],Table29[],6,FALSE)</f>
        <v>G20</v>
      </c>
      <c r="AV2974" s="242" t="str">
        <f>VLOOKUP(Table8[[#This Row],[Country Code]],Table29[],7,FALSE)</f>
        <v>G7</v>
      </c>
      <c r="AW2974" s="242" t="str">
        <f>VLOOKUP(Table8[[#This Row],[Country Code]],Table29[],8,FALSE)</f>
        <v>OECD</v>
      </c>
      <c r="AX2974" s="242" t="str">
        <f>VLOOKUP(Table8[[#This Row],[Country Code]],Table29[],9,FALSE)</f>
        <v>no</v>
      </c>
      <c r="AY2974" s="242" t="str">
        <f>VLOOKUP(Table8[[#This Row],[Country Code]],Table29[],10,FALSE)</f>
        <v>no</v>
      </c>
      <c r="AZ2974" s="242">
        <f>VLOOKUP(Table8[[#This Row],[Country Code]],Table29[],23,FALSE)</f>
        <v>747.67802680902003</v>
      </c>
      <c r="BA2974" s="242">
        <f>VLOOKUP(Table8[[#This Row],[Country Code]],Table29[],24,FALSE)</f>
        <v>169.021169926607</v>
      </c>
      <c r="BB2974" s="320"/>
    </row>
    <row r="2975" spans="1:54" ht="45" x14ac:dyDescent="0.25">
      <c r="A2975" s="373">
        <v>43987</v>
      </c>
      <c r="B2975" s="243" t="str">
        <f>VLOOKUP(Table8[[#This Row],[Document ID]],Table1[],2,FALSE)</f>
        <v>CAN</v>
      </c>
      <c r="C2975" s="243" t="str">
        <f>VLOOKUP(Table8[[#This Row],[Document ID]],Table1[],3,FALSE)</f>
        <v>Canada</v>
      </c>
      <c r="D2975" s="243" t="str">
        <f>VLOOKUP(Table8[[#This Row],[Document ID]],Table1[],5,FALSE)</f>
        <v>NDC</v>
      </c>
      <c r="E2975" s="233" t="str">
        <f>VLOOKUP(Table8[[#This Row],[Document ID]],Table1[],7,FALSE)</f>
        <v>Third NDC</v>
      </c>
      <c r="F2975" s="233" t="str">
        <f>VLOOKUP(Table8[[#This Row],[Document ID]],Table1[],8,FALSE)</f>
        <v>NDC 3.0</v>
      </c>
      <c r="G2975" s="233" t="str">
        <f>VLOOKUP(Table8[[#This Row],[Document ID]],Table1[],10,FALSE)</f>
        <v>Active</v>
      </c>
      <c r="H2975" s="43" t="s">
        <v>2343</v>
      </c>
      <c r="I2975" s="43" t="s">
        <v>2361</v>
      </c>
      <c r="J2975" s="43" t="s">
        <v>2366</v>
      </c>
      <c r="K2975" s="44" t="s">
        <v>5027</v>
      </c>
      <c r="L2975" s="44" t="s">
        <v>3939</v>
      </c>
      <c r="M2975" s="43">
        <v>70</v>
      </c>
      <c r="N2975" s="113"/>
      <c r="O2975" s="113"/>
      <c r="P2975" s="113" t="s">
        <v>1113</v>
      </c>
      <c r="Q2975" s="113"/>
      <c r="R2975" s="113"/>
      <c r="S2975" s="113"/>
      <c r="T2975" s="113"/>
      <c r="U2975" s="113"/>
      <c r="V2975" s="113"/>
      <c r="W2975" s="113"/>
      <c r="X2975" s="113"/>
      <c r="Y2975" s="113" t="s">
        <v>1113</v>
      </c>
      <c r="Z2975" s="113"/>
      <c r="AA2975" s="113"/>
      <c r="AB2975" s="113"/>
      <c r="AC2975" s="113" t="s">
        <v>1113</v>
      </c>
      <c r="AD2975" s="113"/>
      <c r="AE2975" s="113"/>
      <c r="AF2975" s="113"/>
      <c r="AG2975" s="113"/>
      <c r="AH2975" s="113"/>
      <c r="AI2975" s="113"/>
      <c r="AJ2975" s="113"/>
      <c r="AK2975" s="113"/>
      <c r="AL2975" s="113"/>
      <c r="AM2975" s="113" t="s">
        <v>1113</v>
      </c>
      <c r="AN2975" s="113"/>
      <c r="AO2975" s="43" t="s">
        <v>2348</v>
      </c>
      <c r="AP2975" s="43" t="s">
        <v>4861</v>
      </c>
      <c r="AQ2975" s="233" t="str">
        <f>VLOOKUP(Table8[[#This Row],[Instrument]],Def_Targets!$D$73:$E$159,2,FALSE)</f>
        <v>S_Activemobility</v>
      </c>
      <c r="AR2975" s="242" t="str">
        <f>VLOOKUP(Table8[[#This Row],[Country Code]],Table29[],3,FALSE)</f>
        <v>Annex I</v>
      </c>
      <c r="AS2975" s="242" t="str">
        <f>VLOOKUP(Table8[[#This Row],[Country Code]],Table29[],4,FALSE)</f>
        <v>Northern America</v>
      </c>
      <c r="AT2975" s="242" t="str">
        <f>VLOOKUP(Table8[[#This Row],[Country Code]],Table29[],5,FALSE)</f>
        <v>High-income</v>
      </c>
      <c r="AU2975" s="242" t="str">
        <f>VLOOKUP(Table8[[#This Row],[Country Code]],Table29[],6,FALSE)</f>
        <v>G20</v>
      </c>
      <c r="AV2975" s="242" t="str">
        <f>VLOOKUP(Table8[[#This Row],[Country Code]],Table29[],7,FALSE)</f>
        <v>G7</v>
      </c>
      <c r="AW2975" s="242" t="str">
        <f>VLOOKUP(Table8[[#This Row],[Country Code]],Table29[],8,FALSE)</f>
        <v>OECD</v>
      </c>
      <c r="AX2975" s="242" t="str">
        <f>VLOOKUP(Table8[[#This Row],[Country Code]],Table29[],9,FALSE)</f>
        <v>no</v>
      </c>
      <c r="AY2975" s="242" t="str">
        <f>VLOOKUP(Table8[[#This Row],[Country Code]],Table29[],10,FALSE)</f>
        <v>no</v>
      </c>
      <c r="AZ2975" s="242">
        <f>VLOOKUP(Table8[[#This Row],[Country Code]],Table29[],23,FALSE)</f>
        <v>747.67802680902003</v>
      </c>
      <c r="BA2975" s="242">
        <f>VLOOKUP(Table8[[#This Row],[Country Code]],Table29[],24,FALSE)</f>
        <v>169.021169926607</v>
      </c>
      <c r="BB2975" s="320"/>
    </row>
    <row r="2976" spans="1:54" ht="45" x14ac:dyDescent="0.25">
      <c r="A2976" s="373">
        <v>43987</v>
      </c>
      <c r="B2976" s="243" t="str">
        <f>VLOOKUP(Table8[[#This Row],[Document ID]],Table1[],2,FALSE)</f>
        <v>CAN</v>
      </c>
      <c r="C2976" s="243" t="str">
        <f>VLOOKUP(Table8[[#This Row],[Document ID]],Table1[],3,FALSE)</f>
        <v>Canada</v>
      </c>
      <c r="D2976" s="243" t="str">
        <f>VLOOKUP(Table8[[#This Row],[Document ID]],Table1[],5,FALSE)</f>
        <v>NDC</v>
      </c>
      <c r="E2976" s="233" t="str">
        <f>VLOOKUP(Table8[[#This Row],[Document ID]],Table1[],7,FALSE)</f>
        <v>Third NDC</v>
      </c>
      <c r="F2976" s="233" t="str">
        <f>VLOOKUP(Table8[[#This Row],[Document ID]],Table1[],8,FALSE)</f>
        <v>NDC 3.0</v>
      </c>
      <c r="G2976" s="233" t="str">
        <f>VLOOKUP(Table8[[#This Row],[Document ID]],Table1[],10,FALSE)</f>
        <v>Active</v>
      </c>
      <c r="H2976" s="43" t="s">
        <v>2343</v>
      </c>
      <c r="I2976" s="43" t="s">
        <v>2377</v>
      </c>
      <c r="J2976" s="43" t="s">
        <v>2394</v>
      </c>
      <c r="K2976" s="44" t="s">
        <v>5028</v>
      </c>
      <c r="L2976" s="44" t="s">
        <v>4912</v>
      </c>
      <c r="M2976" s="43">
        <v>72</v>
      </c>
      <c r="N2976" s="113" t="s">
        <v>1113</v>
      </c>
      <c r="O2976" s="113"/>
      <c r="P2976" s="113"/>
      <c r="Q2976" s="113"/>
      <c r="R2976" s="113"/>
      <c r="S2976" s="113"/>
      <c r="T2976" s="113"/>
      <c r="U2976" s="113"/>
      <c r="V2976" s="113"/>
      <c r="W2976" s="113"/>
      <c r="X2976" s="113"/>
      <c r="Y2976" s="113"/>
      <c r="Z2976" s="113"/>
      <c r="AA2976" s="113"/>
      <c r="AB2976" s="113"/>
      <c r="AC2976" s="113"/>
      <c r="AD2976" s="113"/>
      <c r="AE2976" s="113"/>
      <c r="AF2976" s="113"/>
      <c r="AG2976" s="113"/>
      <c r="AH2976" s="113"/>
      <c r="AI2976" s="113"/>
      <c r="AJ2976" s="113"/>
      <c r="AK2976" s="113"/>
      <c r="AL2976" s="113"/>
      <c r="AM2976" s="113"/>
      <c r="AN2976" s="113"/>
      <c r="AO2976" s="43" t="s">
        <v>2477</v>
      </c>
      <c r="AP2976" s="43" t="s">
        <v>4850</v>
      </c>
      <c r="AQ2976" s="233" t="str">
        <f>VLOOKUP(Table8[[#This Row],[Instrument]],Def_Targets!$D$73:$E$159,2,FALSE)</f>
        <v>A_TDM</v>
      </c>
      <c r="AR2976" s="242" t="str">
        <f>VLOOKUP(Table8[[#This Row],[Country Code]],Table29[],3,FALSE)</f>
        <v>Annex I</v>
      </c>
      <c r="AS2976" s="242" t="str">
        <f>VLOOKUP(Table8[[#This Row],[Country Code]],Table29[],4,FALSE)</f>
        <v>Northern America</v>
      </c>
      <c r="AT2976" s="242" t="str">
        <f>VLOOKUP(Table8[[#This Row],[Country Code]],Table29[],5,FALSE)</f>
        <v>High-income</v>
      </c>
      <c r="AU2976" s="242" t="str">
        <f>VLOOKUP(Table8[[#This Row],[Country Code]],Table29[],6,FALSE)</f>
        <v>G20</v>
      </c>
      <c r="AV2976" s="242" t="str">
        <f>VLOOKUP(Table8[[#This Row],[Country Code]],Table29[],7,FALSE)</f>
        <v>G7</v>
      </c>
      <c r="AW2976" s="242" t="str">
        <f>VLOOKUP(Table8[[#This Row],[Country Code]],Table29[],8,FALSE)</f>
        <v>OECD</v>
      </c>
      <c r="AX2976" s="242" t="str">
        <f>VLOOKUP(Table8[[#This Row],[Country Code]],Table29[],9,FALSE)</f>
        <v>no</v>
      </c>
      <c r="AY2976" s="242" t="str">
        <f>VLOOKUP(Table8[[#This Row],[Country Code]],Table29[],10,FALSE)</f>
        <v>no</v>
      </c>
      <c r="AZ2976" s="242">
        <f>VLOOKUP(Table8[[#This Row],[Country Code]],Table29[],23,FALSE)</f>
        <v>747.67802680902003</v>
      </c>
      <c r="BA2976" s="242">
        <f>VLOOKUP(Table8[[#This Row],[Country Code]],Table29[],24,FALSE)</f>
        <v>169.021169926607</v>
      </c>
      <c r="BB2976" s="320"/>
    </row>
    <row r="2977" spans="1:54" ht="30" x14ac:dyDescent="0.25">
      <c r="A2977" s="373">
        <v>43987</v>
      </c>
      <c r="B2977" s="243" t="str">
        <f>VLOOKUP(Table8[[#This Row],[Document ID]],Table1[],2,FALSE)</f>
        <v>CAN</v>
      </c>
      <c r="C2977" s="243" t="str">
        <f>VLOOKUP(Table8[[#This Row],[Document ID]],Table1[],3,FALSE)</f>
        <v>Canada</v>
      </c>
      <c r="D2977" s="243" t="str">
        <f>VLOOKUP(Table8[[#This Row],[Document ID]],Table1[],5,FALSE)</f>
        <v>NDC</v>
      </c>
      <c r="E2977" s="233" t="str">
        <f>VLOOKUP(Table8[[#This Row],[Document ID]],Table1[],7,FALSE)</f>
        <v>Third NDC</v>
      </c>
      <c r="F2977" s="233" t="str">
        <f>VLOOKUP(Table8[[#This Row],[Document ID]],Table1[],8,FALSE)</f>
        <v>NDC 3.0</v>
      </c>
      <c r="G2977" s="233" t="str">
        <f>VLOOKUP(Table8[[#This Row],[Document ID]],Table1[],10,FALSE)</f>
        <v>Active</v>
      </c>
      <c r="H2977" s="43" t="s">
        <v>2343</v>
      </c>
      <c r="I2977" s="43" t="s">
        <v>2377</v>
      </c>
      <c r="J2977" s="43" t="s">
        <v>2394</v>
      </c>
      <c r="K2977" s="44" t="s">
        <v>5029</v>
      </c>
      <c r="L2977" s="44" t="s">
        <v>4912</v>
      </c>
      <c r="M2977" s="43">
        <v>81</v>
      </c>
      <c r="N2977" s="113"/>
      <c r="O2977" s="113"/>
      <c r="P2977" s="113"/>
      <c r="Q2977" s="113"/>
      <c r="R2977" s="113"/>
      <c r="S2977" s="113" t="s">
        <v>1113</v>
      </c>
      <c r="T2977" s="113"/>
      <c r="U2977" s="113"/>
      <c r="V2977" s="113"/>
      <c r="W2977" s="113"/>
      <c r="X2977" s="113"/>
      <c r="Y2977" s="113"/>
      <c r="Z2977" s="113"/>
      <c r="AA2977" s="113"/>
      <c r="AB2977" s="113"/>
      <c r="AC2977" s="113"/>
      <c r="AD2977" s="113"/>
      <c r="AE2977" s="113"/>
      <c r="AF2977" s="113"/>
      <c r="AG2977" s="113"/>
      <c r="AH2977" s="113"/>
      <c r="AI2977" s="113"/>
      <c r="AJ2977" s="113"/>
      <c r="AK2977" s="113"/>
      <c r="AL2977" s="113"/>
      <c r="AM2977" s="113"/>
      <c r="AN2977" s="113"/>
      <c r="AO2977" s="43" t="s">
        <v>2334</v>
      </c>
      <c r="AP2977" s="43" t="s">
        <v>4850</v>
      </c>
      <c r="AQ2977" s="233" t="str">
        <f>VLOOKUP(Table8[[#This Row],[Instrument]],Def_Targets!$D$73:$E$159,2,FALSE)</f>
        <v>A_TDM</v>
      </c>
      <c r="AR2977" s="242" t="str">
        <f>VLOOKUP(Table8[[#This Row],[Country Code]],Table29[],3,FALSE)</f>
        <v>Annex I</v>
      </c>
      <c r="AS2977" s="242" t="str">
        <f>VLOOKUP(Table8[[#This Row],[Country Code]],Table29[],4,FALSE)</f>
        <v>Northern America</v>
      </c>
      <c r="AT2977" s="242" t="str">
        <f>VLOOKUP(Table8[[#This Row],[Country Code]],Table29[],5,FALSE)</f>
        <v>High-income</v>
      </c>
      <c r="AU2977" s="242" t="str">
        <f>VLOOKUP(Table8[[#This Row],[Country Code]],Table29[],6,FALSE)</f>
        <v>G20</v>
      </c>
      <c r="AV2977" s="242" t="str">
        <f>VLOOKUP(Table8[[#This Row],[Country Code]],Table29[],7,FALSE)</f>
        <v>G7</v>
      </c>
      <c r="AW2977" s="242" t="str">
        <f>VLOOKUP(Table8[[#This Row],[Country Code]],Table29[],8,FALSE)</f>
        <v>OECD</v>
      </c>
      <c r="AX2977" s="242" t="str">
        <f>VLOOKUP(Table8[[#This Row],[Country Code]],Table29[],9,FALSE)</f>
        <v>no</v>
      </c>
      <c r="AY2977" s="242" t="str">
        <f>VLOOKUP(Table8[[#This Row],[Country Code]],Table29[],10,FALSE)</f>
        <v>no</v>
      </c>
      <c r="AZ2977" s="242">
        <f>VLOOKUP(Table8[[#This Row],[Country Code]],Table29[],23,FALSE)</f>
        <v>747.67802680902003</v>
      </c>
      <c r="BA2977" s="242">
        <f>VLOOKUP(Table8[[#This Row],[Country Code]],Table29[],24,FALSE)</f>
        <v>169.021169926607</v>
      </c>
      <c r="BB2977" s="320"/>
    </row>
    <row r="2978" spans="1:54" ht="45" x14ac:dyDescent="0.25">
      <c r="A2978" s="373">
        <v>43987</v>
      </c>
      <c r="B2978" s="243" t="str">
        <f>VLOOKUP(Table8[[#This Row],[Document ID]],Table1[],2,FALSE)</f>
        <v>CAN</v>
      </c>
      <c r="C2978" s="243" t="str">
        <f>VLOOKUP(Table8[[#This Row],[Document ID]],Table1[],3,FALSE)</f>
        <v>Canada</v>
      </c>
      <c r="D2978" s="243" t="str">
        <f>VLOOKUP(Table8[[#This Row],[Document ID]],Table1[],5,FALSE)</f>
        <v>NDC</v>
      </c>
      <c r="E2978" s="233" t="str">
        <f>VLOOKUP(Table8[[#This Row],[Document ID]],Table1[],7,FALSE)</f>
        <v>Third NDC</v>
      </c>
      <c r="F2978" s="233" t="str">
        <f>VLOOKUP(Table8[[#This Row],[Document ID]],Table1[],8,FALSE)</f>
        <v>NDC 3.0</v>
      </c>
      <c r="G2978" s="233" t="str">
        <f>VLOOKUP(Table8[[#This Row],[Document ID]],Table1[],10,FALSE)</f>
        <v>Active</v>
      </c>
      <c r="H2978" s="43" t="s">
        <v>2343</v>
      </c>
      <c r="I2978" s="43" t="s">
        <v>2344</v>
      </c>
      <c r="J2978" s="43" t="s">
        <v>2405</v>
      </c>
      <c r="K2978" s="44" t="s">
        <v>5030</v>
      </c>
      <c r="L2978" s="44" t="s">
        <v>3939</v>
      </c>
      <c r="M2978" s="43">
        <v>85</v>
      </c>
      <c r="N2978" s="113"/>
      <c r="O2978" s="113"/>
      <c r="P2978" s="113"/>
      <c r="Q2978" s="113"/>
      <c r="R2978" s="113"/>
      <c r="S2978" s="113"/>
      <c r="T2978" s="113"/>
      <c r="U2978" s="113"/>
      <c r="V2978" s="113"/>
      <c r="W2978" s="113"/>
      <c r="X2978" s="113"/>
      <c r="Y2978" s="113" t="s">
        <v>1113</v>
      </c>
      <c r="Z2978" s="113"/>
      <c r="AA2978" s="113"/>
      <c r="AB2978" s="113"/>
      <c r="AC2978" s="113" t="s">
        <v>1113</v>
      </c>
      <c r="AD2978" s="113"/>
      <c r="AE2978" s="113"/>
      <c r="AF2978" s="113"/>
      <c r="AG2978" s="113"/>
      <c r="AH2978" s="113"/>
      <c r="AI2978" s="113"/>
      <c r="AJ2978" s="113"/>
      <c r="AK2978" s="113"/>
      <c r="AL2978" s="113"/>
      <c r="AM2978" s="113"/>
      <c r="AN2978" s="113"/>
      <c r="AO2978" s="43" t="s">
        <v>2348</v>
      </c>
      <c r="AP2978" s="43" t="s">
        <v>4850</v>
      </c>
      <c r="AQ2978" s="233" t="str">
        <f>VLOOKUP(Table8[[#This Row],[Instrument]],Def_Targets!$D$73:$E$159,2,FALSE)</f>
        <v>S_PTIntegration</v>
      </c>
      <c r="AR2978" s="242" t="str">
        <f>VLOOKUP(Table8[[#This Row],[Country Code]],Table29[],3,FALSE)</f>
        <v>Annex I</v>
      </c>
      <c r="AS2978" s="242" t="str">
        <f>VLOOKUP(Table8[[#This Row],[Country Code]],Table29[],4,FALSE)</f>
        <v>Northern America</v>
      </c>
      <c r="AT2978" s="242" t="str">
        <f>VLOOKUP(Table8[[#This Row],[Country Code]],Table29[],5,FALSE)</f>
        <v>High-income</v>
      </c>
      <c r="AU2978" s="242" t="str">
        <f>VLOOKUP(Table8[[#This Row],[Country Code]],Table29[],6,FALSE)</f>
        <v>G20</v>
      </c>
      <c r="AV2978" s="242" t="str">
        <f>VLOOKUP(Table8[[#This Row],[Country Code]],Table29[],7,FALSE)</f>
        <v>G7</v>
      </c>
      <c r="AW2978" s="242" t="str">
        <f>VLOOKUP(Table8[[#This Row],[Country Code]],Table29[],8,FALSE)</f>
        <v>OECD</v>
      </c>
      <c r="AX2978" s="242" t="str">
        <f>VLOOKUP(Table8[[#This Row],[Country Code]],Table29[],9,FALSE)</f>
        <v>no</v>
      </c>
      <c r="AY2978" s="242" t="str">
        <f>VLOOKUP(Table8[[#This Row],[Country Code]],Table29[],10,FALSE)</f>
        <v>no</v>
      </c>
      <c r="AZ2978" s="242">
        <f>VLOOKUP(Table8[[#This Row],[Country Code]],Table29[],23,FALSE)</f>
        <v>747.67802680902003</v>
      </c>
      <c r="BA2978" s="242">
        <f>VLOOKUP(Table8[[#This Row],[Country Code]],Table29[],24,FALSE)</f>
        <v>169.021169926607</v>
      </c>
      <c r="BB2978" s="320"/>
    </row>
    <row r="2979" spans="1:54" ht="45" x14ac:dyDescent="0.25">
      <c r="A2979" s="373">
        <v>43987</v>
      </c>
      <c r="B2979" s="243" t="str">
        <f>VLOOKUP(Table8[[#This Row],[Document ID]],Table1[],2,FALSE)</f>
        <v>CAN</v>
      </c>
      <c r="C2979" s="243" t="str">
        <f>VLOOKUP(Table8[[#This Row],[Document ID]],Table1[],3,FALSE)</f>
        <v>Canada</v>
      </c>
      <c r="D2979" s="243" t="str">
        <f>VLOOKUP(Table8[[#This Row],[Document ID]],Table1[],5,FALSE)</f>
        <v>NDC</v>
      </c>
      <c r="E2979" s="233" t="str">
        <f>VLOOKUP(Table8[[#This Row],[Document ID]],Table1[],7,FALSE)</f>
        <v>Third NDC</v>
      </c>
      <c r="F2979" s="233" t="str">
        <f>VLOOKUP(Table8[[#This Row],[Document ID]],Table1[],8,FALSE)</f>
        <v>NDC 3.0</v>
      </c>
      <c r="G2979" s="233" t="str">
        <f>VLOOKUP(Table8[[#This Row],[Document ID]],Table1[],10,FALSE)</f>
        <v>Active</v>
      </c>
      <c r="H2979" s="43" t="s">
        <v>2343</v>
      </c>
      <c r="I2979" s="43" t="s">
        <v>2344</v>
      </c>
      <c r="J2979" s="43" t="s">
        <v>2405</v>
      </c>
      <c r="K2979" s="44" t="s">
        <v>5030</v>
      </c>
      <c r="L2979" s="44" t="s">
        <v>3939</v>
      </c>
      <c r="M2979" s="43">
        <v>85</v>
      </c>
      <c r="N2979" s="113"/>
      <c r="O2979" s="113"/>
      <c r="P2979" s="113" t="s">
        <v>1113</v>
      </c>
      <c r="Q2979" s="113"/>
      <c r="R2979" s="113"/>
      <c r="S2979" s="113"/>
      <c r="T2979" s="113"/>
      <c r="U2979" s="113"/>
      <c r="V2979" s="113"/>
      <c r="W2979" s="113"/>
      <c r="X2979" s="113"/>
      <c r="Y2979" s="113"/>
      <c r="Z2979" s="113"/>
      <c r="AA2979" s="113"/>
      <c r="AB2979" s="113"/>
      <c r="AC2979" s="113"/>
      <c r="AD2979" s="113"/>
      <c r="AE2979" s="113"/>
      <c r="AF2979" s="113"/>
      <c r="AG2979" s="113"/>
      <c r="AH2979" s="113"/>
      <c r="AI2979" s="113"/>
      <c r="AJ2979" s="113"/>
      <c r="AK2979" s="113"/>
      <c r="AL2979" s="113"/>
      <c r="AM2979" s="113"/>
      <c r="AN2979" s="113"/>
      <c r="AO2979" s="43" t="s">
        <v>2348</v>
      </c>
      <c r="AP2979" s="43" t="s">
        <v>4850</v>
      </c>
      <c r="AQ2979" s="233" t="str">
        <f>VLOOKUP(Table8[[#This Row],[Instrument]],Def_Targets!$D$73:$E$159,2,FALSE)</f>
        <v>S_PTIntegration</v>
      </c>
      <c r="AR2979" s="242" t="str">
        <f>VLOOKUP(Table8[[#This Row],[Country Code]],Table29[],3,FALSE)</f>
        <v>Annex I</v>
      </c>
      <c r="AS2979" s="242" t="str">
        <f>VLOOKUP(Table8[[#This Row],[Country Code]],Table29[],4,FALSE)</f>
        <v>Northern America</v>
      </c>
      <c r="AT2979" s="242" t="str">
        <f>VLOOKUP(Table8[[#This Row],[Country Code]],Table29[],5,FALSE)</f>
        <v>High-income</v>
      </c>
      <c r="AU2979" s="242" t="str">
        <f>VLOOKUP(Table8[[#This Row],[Country Code]],Table29[],6,FALSE)</f>
        <v>G20</v>
      </c>
      <c r="AV2979" s="242" t="str">
        <f>VLOOKUP(Table8[[#This Row],[Country Code]],Table29[],7,FALSE)</f>
        <v>G7</v>
      </c>
      <c r="AW2979" s="242" t="str">
        <f>VLOOKUP(Table8[[#This Row],[Country Code]],Table29[],8,FALSE)</f>
        <v>OECD</v>
      </c>
      <c r="AX2979" s="242" t="str">
        <f>VLOOKUP(Table8[[#This Row],[Country Code]],Table29[],9,FALSE)</f>
        <v>no</v>
      </c>
      <c r="AY2979" s="242" t="str">
        <f>VLOOKUP(Table8[[#This Row],[Country Code]],Table29[],10,FALSE)</f>
        <v>no</v>
      </c>
      <c r="AZ2979" s="242">
        <f>VLOOKUP(Table8[[#This Row],[Country Code]],Table29[],23,FALSE)</f>
        <v>747.67802680902003</v>
      </c>
      <c r="BA2979" s="242">
        <f>VLOOKUP(Table8[[#This Row],[Country Code]],Table29[],24,FALSE)</f>
        <v>169.021169926607</v>
      </c>
      <c r="BB2979" s="320"/>
    </row>
    <row r="2980" spans="1:54" ht="30" x14ac:dyDescent="0.25">
      <c r="A2980" s="373">
        <v>43952</v>
      </c>
      <c r="B2980" s="243" t="str">
        <f>VLOOKUP(Table8[[#This Row],[Document ID]],Table1[],2,FALSE)</f>
        <v>ECU</v>
      </c>
      <c r="C2980" s="243" t="str">
        <f>VLOOKUP(Table8[[#This Row],[Document ID]],Table1[],3,FALSE)</f>
        <v>Ecuador</v>
      </c>
      <c r="D2980" s="243" t="str">
        <f>VLOOKUP(Table8[[#This Row],[Document ID]],Table1[],5,FALSE)</f>
        <v>NDC</v>
      </c>
      <c r="E2980" s="233" t="str">
        <f>VLOOKUP(Table8[[#This Row],[Document ID]],Table1[],7,FALSE)</f>
        <v>Third NDC</v>
      </c>
      <c r="F2980" s="233" t="str">
        <f>VLOOKUP(Table8[[#This Row],[Document ID]],Table1[],8,FALSE)</f>
        <v>NDC 3.0</v>
      </c>
      <c r="G2980" s="233" t="str">
        <f>VLOOKUP(Table8[[#This Row],[Document ID]],Table1[],10,FALSE)</f>
        <v>Active</v>
      </c>
      <c r="H2980" s="43" t="s">
        <v>2343</v>
      </c>
      <c r="I2980" s="43" t="s">
        <v>2377</v>
      </c>
      <c r="J2980" s="43" t="s">
        <v>2394</v>
      </c>
      <c r="K2980" s="44" t="s">
        <v>5031</v>
      </c>
      <c r="L2980" s="44" t="s">
        <v>3939</v>
      </c>
      <c r="M2980" s="43">
        <v>57</v>
      </c>
      <c r="N2980" s="113" t="s">
        <v>1113</v>
      </c>
      <c r="O2980" s="113"/>
      <c r="P2980" s="113"/>
      <c r="Q2980" s="113"/>
      <c r="R2980" s="113"/>
      <c r="S2980" s="113"/>
      <c r="T2980" s="113"/>
      <c r="U2980" s="113"/>
      <c r="V2980" s="113"/>
      <c r="W2980" s="113"/>
      <c r="X2980" s="113"/>
      <c r="Y2980" s="113"/>
      <c r="Z2980" s="113"/>
      <c r="AA2980" s="113"/>
      <c r="AB2980" s="113"/>
      <c r="AC2980" s="113"/>
      <c r="AD2980" s="113"/>
      <c r="AE2980" s="113"/>
      <c r="AF2980" s="113"/>
      <c r="AG2980" s="113"/>
      <c r="AH2980" s="113"/>
      <c r="AI2980" s="113"/>
      <c r="AJ2980" s="113"/>
      <c r="AK2980" s="113" t="s">
        <v>1113</v>
      </c>
      <c r="AL2980" s="113"/>
      <c r="AM2980" s="113"/>
      <c r="AN2980" s="113"/>
      <c r="AO2980" s="43" t="s">
        <v>2334</v>
      </c>
      <c r="AP2980" s="43" t="s">
        <v>4850</v>
      </c>
      <c r="AQ2980" s="233" t="str">
        <f>VLOOKUP(Table8[[#This Row],[Instrument]],Def_Targets!$D$73:$E$159,2,FALSE)</f>
        <v>A_TDM</v>
      </c>
      <c r="AR2980" s="242" t="str">
        <f>VLOOKUP(Table8[[#This Row],[Country Code]],Table29[],3,FALSE)</f>
        <v>Non-Annex I</v>
      </c>
      <c r="AS2980" s="242" t="str">
        <f>VLOOKUP(Table8[[#This Row],[Country Code]],Table29[],4,FALSE)</f>
        <v>Latin America and the Caribbean</v>
      </c>
      <c r="AT2980" s="242" t="str">
        <f>VLOOKUP(Table8[[#This Row],[Country Code]],Table29[],5,FALSE)</f>
        <v>Middle-income</v>
      </c>
      <c r="AU2980" s="242" t="str">
        <f>VLOOKUP(Table8[[#This Row],[Country Code]],Table29[],6,FALSE)</f>
        <v>no</v>
      </c>
      <c r="AV2980" s="242" t="str">
        <f>VLOOKUP(Table8[[#This Row],[Country Code]],Table29[],7,FALSE)</f>
        <v>no</v>
      </c>
      <c r="AW2980" s="242" t="str">
        <f>VLOOKUP(Table8[[#This Row],[Country Code]],Table29[],8,FALSE)</f>
        <v>non-OECD</v>
      </c>
      <c r="AX2980" s="242" t="str">
        <f>VLOOKUP(Table8[[#This Row],[Country Code]],Table29[],9,FALSE)</f>
        <v>no</v>
      </c>
      <c r="AY2980" s="242" t="str">
        <f>VLOOKUP(Table8[[#This Row],[Country Code]],Table29[],10,FALSE)</f>
        <v>no</v>
      </c>
      <c r="AZ2980" s="242">
        <f>VLOOKUP(Table8[[#This Row],[Country Code]],Table29[],23,FALSE)</f>
        <v>73.604607615068005</v>
      </c>
      <c r="BA2980" s="242">
        <f>VLOOKUP(Table8[[#This Row],[Country Code]],Table29[],24,FALSE)</f>
        <v>22.250312638556871</v>
      </c>
      <c r="BB2980" s="320"/>
    </row>
    <row r="2981" spans="1:54" x14ac:dyDescent="0.25">
      <c r="A2981" s="373">
        <v>43920</v>
      </c>
      <c r="B2981" s="243" t="str">
        <f>VLOOKUP(Table8[[#This Row],[Document ID]],Table1[],2,FALSE)</f>
        <v>LSO</v>
      </c>
      <c r="C2981" s="243" t="str">
        <f>VLOOKUP(Table8[[#This Row],[Document ID]],Table1[],3,FALSE)</f>
        <v>Lesotho</v>
      </c>
      <c r="D2981" s="243" t="str">
        <f>VLOOKUP(Table8[[#This Row],[Document ID]],Table1[],5,FALSE)</f>
        <v>NDC</v>
      </c>
      <c r="E2981" s="233" t="str">
        <f>VLOOKUP(Table8[[#This Row],[Document ID]],Table1[],7,FALSE)</f>
        <v>Third NDC</v>
      </c>
      <c r="F2981" s="233" t="str">
        <f>VLOOKUP(Table8[[#This Row],[Document ID]],Table1[],8,FALSE)</f>
        <v>NDC 3.0</v>
      </c>
      <c r="G2981" s="233" t="str">
        <f>VLOOKUP(Table8[[#This Row],[Document ID]],Table1[],10,FALSE)</f>
        <v>Active</v>
      </c>
      <c r="H2981" s="43" t="s">
        <v>2343</v>
      </c>
      <c r="I2981" s="43" t="s">
        <v>2361</v>
      </c>
      <c r="J2981" s="43" t="s">
        <v>2362</v>
      </c>
      <c r="K2981" s="44" t="s">
        <v>5032</v>
      </c>
      <c r="L2981" s="44" t="s">
        <v>2347</v>
      </c>
      <c r="M2981" s="43">
        <v>52</v>
      </c>
      <c r="N2981" s="113"/>
      <c r="O2981" s="113"/>
      <c r="P2981" s="113"/>
      <c r="Q2981" s="113"/>
      <c r="R2981" s="113" t="s">
        <v>1113</v>
      </c>
      <c r="S2981" s="113"/>
      <c r="T2981" s="113"/>
      <c r="U2981" s="113"/>
      <c r="V2981" s="113"/>
      <c r="W2981" s="113"/>
      <c r="X2981" s="113"/>
      <c r="Y2981" s="113"/>
      <c r="Z2981" s="113"/>
      <c r="AA2981" s="113"/>
      <c r="AB2981" s="113"/>
      <c r="AC2981" s="113"/>
      <c r="AD2981" s="113"/>
      <c r="AE2981" s="113"/>
      <c r="AF2981" s="113"/>
      <c r="AG2981" s="113"/>
      <c r="AH2981" s="113"/>
      <c r="AI2981" s="113"/>
      <c r="AJ2981" s="113"/>
      <c r="AK2981" s="113"/>
      <c r="AL2981" s="113" t="s">
        <v>1113</v>
      </c>
      <c r="AM2981" s="113"/>
      <c r="AN2981" s="113"/>
      <c r="AO2981" s="43" t="s">
        <v>2334</v>
      </c>
      <c r="AP2981" s="43" t="s">
        <v>4873</v>
      </c>
      <c r="AQ2981" s="233" t="str">
        <f>VLOOKUP(Table8[[#This Row],[Instrument]],Def_Targets!$D$73:$E$159,2,FALSE)</f>
        <v>S_Cycling</v>
      </c>
      <c r="AR2981" s="242" t="str">
        <f>VLOOKUP(Table8[[#This Row],[Country Code]],Table29[],3,FALSE)</f>
        <v>Non-Annex I</v>
      </c>
      <c r="AS2981" s="242" t="str">
        <f>VLOOKUP(Table8[[#This Row],[Country Code]],Table29[],4,FALSE)</f>
        <v>Africa</v>
      </c>
      <c r="AT2981" s="242" t="str">
        <f>VLOOKUP(Table8[[#This Row],[Country Code]],Table29[],5,FALSE)</f>
        <v>Middle-income</v>
      </c>
      <c r="AU2981" s="242" t="str">
        <f>VLOOKUP(Table8[[#This Row],[Country Code]],Table29[],6,FALSE)</f>
        <v>no</v>
      </c>
      <c r="AV2981" s="242" t="str">
        <f>VLOOKUP(Table8[[#This Row],[Country Code]],Table29[],7,FALSE)</f>
        <v>no</v>
      </c>
      <c r="AW2981" s="242" t="str">
        <f>VLOOKUP(Table8[[#This Row],[Country Code]],Table29[],8,FALSE)</f>
        <v>non-OECD</v>
      </c>
      <c r="AX2981" s="242" t="str">
        <f>VLOOKUP(Table8[[#This Row],[Country Code]],Table29[],9,FALSE)</f>
        <v>no</v>
      </c>
      <c r="AY2981" s="242" t="str">
        <f>VLOOKUP(Table8[[#This Row],[Country Code]],Table29[],10,FALSE)</f>
        <v>no</v>
      </c>
      <c r="AZ2981" s="242">
        <f>VLOOKUP(Table8[[#This Row],[Country Code]],Table29[],23,FALSE)</f>
        <v>2.6019212840000998</v>
      </c>
      <c r="BA2981" s="242">
        <f>VLOOKUP(Table8[[#This Row],[Country Code]],Table29[],24,FALSE)</f>
        <v>0.50992867306348366</v>
      </c>
      <c r="BB2981" s="320"/>
    </row>
    <row r="2982" spans="1:54" ht="30" x14ac:dyDescent="0.25">
      <c r="A2982" s="373">
        <v>43920</v>
      </c>
      <c r="B2982" s="243" t="str">
        <f>VLOOKUP(Table8[[#This Row],[Document ID]],Table1[],2,FALSE)</f>
        <v>LSO</v>
      </c>
      <c r="C2982" s="243" t="str">
        <f>VLOOKUP(Table8[[#This Row],[Document ID]],Table1[],3,FALSE)</f>
        <v>Lesotho</v>
      </c>
      <c r="D2982" s="243" t="str">
        <f>VLOOKUP(Table8[[#This Row],[Document ID]],Table1[],5,FALSE)</f>
        <v>NDC</v>
      </c>
      <c r="E2982" s="233" t="str">
        <f>VLOOKUP(Table8[[#This Row],[Document ID]],Table1[],7,FALSE)</f>
        <v>Third NDC</v>
      </c>
      <c r="F2982" s="233" t="str">
        <f>VLOOKUP(Table8[[#This Row],[Document ID]],Table1[],8,FALSE)</f>
        <v>NDC 3.0</v>
      </c>
      <c r="G2982" s="233" t="str">
        <f>VLOOKUP(Table8[[#This Row],[Document ID]],Table1[],10,FALSE)</f>
        <v>Active</v>
      </c>
      <c r="H2982" s="43" t="s">
        <v>2343</v>
      </c>
      <c r="I2982" s="43" t="s">
        <v>2344</v>
      </c>
      <c r="J2982" s="43" t="s">
        <v>2345</v>
      </c>
      <c r="K2982" s="44" t="s">
        <v>2267</v>
      </c>
      <c r="L2982" s="44" t="s">
        <v>2347</v>
      </c>
      <c r="M2982" s="43">
        <v>53</v>
      </c>
      <c r="N2982" s="113"/>
      <c r="O2982" s="113"/>
      <c r="P2982" s="113"/>
      <c r="Q2982" s="113"/>
      <c r="R2982" s="113"/>
      <c r="S2982" s="113"/>
      <c r="T2982" s="113"/>
      <c r="U2982" s="113"/>
      <c r="V2982" s="113"/>
      <c r="W2982" s="113"/>
      <c r="X2982" s="113"/>
      <c r="Y2982" s="113" t="s">
        <v>1113</v>
      </c>
      <c r="Z2982" s="113"/>
      <c r="AA2982" s="113"/>
      <c r="AB2982" s="113"/>
      <c r="AC2982" s="113"/>
      <c r="AD2982" s="113"/>
      <c r="AE2982" s="113"/>
      <c r="AF2982" s="113"/>
      <c r="AG2982" s="113"/>
      <c r="AH2982" s="113"/>
      <c r="AI2982" s="113"/>
      <c r="AJ2982" s="113"/>
      <c r="AK2982" s="113" t="s">
        <v>1113</v>
      </c>
      <c r="AL2982" s="113"/>
      <c r="AM2982" s="113"/>
      <c r="AN2982" s="113"/>
      <c r="AO2982" s="43" t="s">
        <v>2348</v>
      </c>
      <c r="AP2982" s="43" t="s">
        <v>4873</v>
      </c>
      <c r="AQ2982" s="233" t="str">
        <f>VLOOKUP(Table8[[#This Row],[Instrument]],Def_Targets!$D$73:$E$159,2,FALSE)</f>
        <v>S_PublicTransport</v>
      </c>
      <c r="AR2982" s="242" t="str">
        <f>VLOOKUP(Table8[[#This Row],[Country Code]],Table29[],3,FALSE)</f>
        <v>Non-Annex I</v>
      </c>
      <c r="AS2982" s="242" t="str">
        <f>VLOOKUP(Table8[[#This Row],[Country Code]],Table29[],4,FALSE)</f>
        <v>Africa</v>
      </c>
      <c r="AT2982" s="242" t="str">
        <f>VLOOKUP(Table8[[#This Row],[Country Code]],Table29[],5,FALSE)</f>
        <v>Middle-income</v>
      </c>
      <c r="AU2982" s="242" t="str">
        <f>VLOOKUP(Table8[[#This Row],[Country Code]],Table29[],6,FALSE)</f>
        <v>no</v>
      </c>
      <c r="AV2982" s="242" t="str">
        <f>VLOOKUP(Table8[[#This Row],[Country Code]],Table29[],7,FALSE)</f>
        <v>no</v>
      </c>
      <c r="AW2982" s="242" t="str">
        <f>VLOOKUP(Table8[[#This Row],[Country Code]],Table29[],8,FALSE)</f>
        <v>non-OECD</v>
      </c>
      <c r="AX2982" s="242" t="str">
        <f>VLOOKUP(Table8[[#This Row],[Country Code]],Table29[],9,FALSE)</f>
        <v>no</v>
      </c>
      <c r="AY2982" s="242" t="str">
        <f>VLOOKUP(Table8[[#This Row],[Country Code]],Table29[],10,FALSE)</f>
        <v>no</v>
      </c>
      <c r="AZ2982" s="242">
        <f>VLOOKUP(Table8[[#This Row],[Country Code]],Table29[],23,FALSE)</f>
        <v>2.6019212840000998</v>
      </c>
      <c r="BA2982" s="242">
        <f>VLOOKUP(Table8[[#This Row],[Country Code]],Table29[],24,FALSE)</f>
        <v>0.50992867306348366</v>
      </c>
      <c r="BB2982" s="320"/>
    </row>
    <row r="2983" spans="1:54" x14ac:dyDescent="0.25">
      <c r="A2983" s="373">
        <v>44170</v>
      </c>
      <c r="B2983" s="243" t="str">
        <f>VLOOKUP(Table8[[#This Row],[Document ID]],Table1[],2,FALSE)</f>
        <v>MDV</v>
      </c>
      <c r="C2983" s="243" t="str">
        <f>VLOOKUP(Table8[[#This Row],[Document ID]],Table1[],3,FALSE)</f>
        <v>Maldives</v>
      </c>
      <c r="D2983" s="243" t="str">
        <f>VLOOKUP(Table8[[#This Row],[Document ID]],Table1[],5,FALSE)</f>
        <v>NDC</v>
      </c>
      <c r="E2983" s="233" t="str">
        <f>VLOOKUP(Table8[[#This Row],[Document ID]],Table1[],7,FALSE)</f>
        <v>Third NDC</v>
      </c>
      <c r="F2983" s="233" t="str">
        <f>VLOOKUP(Table8[[#This Row],[Document ID]],Table1[],8,FALSE)</f>
        <v>NDC 3.0</v>
      </c>
      <c r="G2983" s="233" t="str">
        <f>VLOOKUP(Table8[[#This Row],[Document ID]],Table1[],10,FALSE)</f>
        <v>Active</v>
      </c>
      <c r="H2983" s="43" t="s">
        <v>2343</v>
      </c>
      <c r="I2983" s="43" t="s">
        <v>2344</v>
      </c>
      <c r="J2983" s="43" t="s">
        <v>2405</v>
      </c>
      <c r="K2983" s="44" t="s">
        <v>5033</v>
      </c>
      <c r="L2983" s="44" t="s">
        <v>2347</v>
      </c>
      <c r="M2983" s="43">
        <v>12</v>
      </c>
      <c r="N2983" s="113" t="s">
        <v>1113</v>
      </c>
      <c r="O2983" s="113"/>
      <c r="P2983" s="113"/>
      <c r="Q2983" s="113"/>
      <c r="R2983" s="113"/>
      <c r="S2983" s="113"/>
      <c r="T2983" s="113"/>
      <c r="U2983" s="113"/>
      <c r="V2983" s="113"/>
      <c r="W2983" s="113"/>
      <c r="X2983" s="113"/>
      <c r="Y2983" s="113"/>
      <c r="Z2983" s="113"/>
      <c r="AA2983" s="113"/>
      <c r="AB2983" s="113"/>
      <c r="AC2983" s="113"/>
      <c r="AD2983" s="113"/>
      <c r="AE2983" s="113"/>
      <c r="AF2983" s="113"/>
      <c r="AG2983" s="113"/>
      <c r="AH2983" s="113"/>
      <c r="AI2983" s="113"/>
      <c r="AJ2983" s="113"/>
      <c r="AK2983" s="113"/>
      <c r="AL2983" s="113" t="s">
        <v>1113</v>
      </c>
      <c r="AM2983" s="113" t="s">
        <v>1113</v>
      </c>
      <c r="AN2983" s="113" t="s">
        <v>1113</v>
      </c>
      <c r="AO2983" s="43" t="s">
        <v>2334</v>
      </c>
      <c r="AP2983" s="43" t="s">
        <v>4850</v>
      </c>
      <c r="AQ2983" s="233" t="str">
        <f>VLOOKUP(Table8[[#This Row],[Instrument]],Def_Targets!$D$73:$E$159,2,FALSE)</f>
        <v>S_PTIntegration</v>
      </c>
      <c r="AR2983" s="242" t="str">
        <f>VLOOKUP(Table8[[#This Row],[Country Code]],Table29[],3,FALSE)</f>
        <v>Non-Annex I</v>
      </c>
      <c r="AS2983" s="242" t="str">
        <f>VLOOKUP(Table8[[#This Row],[Country Code]],Table29[],4,FALSE)</f>
        <v>Asia</v>
      </c>
      <c r="AT2983" s="242" t="str">
        <f>VLOOKUP(Table8[[#This Row],[Country Code]],Table29[],5,FALSE)</f>
        <v>Middle-income</v>
      </c>
      <c r="AU2983" s="242" t="str">
        <f>VLOOKUP(Table8[[#This Row],[Country Code]],Table29[],6,FALSE)</f>
        <v>no</v>
      </c>
      <c r="AV2983" s="242" t="str">
        <f>VLOOKUP(Table8[[#This Row],[Country Code]],Table29[],7,FALSE)</f>
        <v>no</v>
      </c>
      <c r="AW2983" s="242" t="str">
        <f>VLOOKUP(Table8[[#This Row],[Country Code]],Table29[],8,FALSE)</f>
        <v>non-OECD</v>
      </c>
      <c r="AX2983" s="242" t="str">
        <f>VLOOKUP(Table8[[#This Row],[Country Code]],Table29[],9,FALSE)</f>
        <v>no</v>
      </c>
      <c r="AY2983" s="242" t="str">
        <f>VLOOKUP(Table8[[#This Row],[Country Code]],Table29[],10,FALSE)</f>
        <v>no</v>
      </c>
      <c r="AZ2983" s="242">
        <f>VLOOKUP(Table8[[#This Row],[Country Code]],Table29[],23,FALSE)</f>
        <v>3.0879519663505</v>
      </c>
      <c r="BA2983" s="242">
        <f>VLOOKUP(Table8[[#This Row],[Country Code]],Table29[],24,FALSE)</f>
        <v>1.4972669707005819</v>
      </c>
      <c r="BB2983" s="320"/>
    </row>
    <row r="2984" spans="1:54" ht="21.6" customHeight="1" x14ac:dyDescent="0.25">
      <c r="A2984" s="373">
        <v>43921</v>
      </c>
      <c r="B2984" s="243" t="str">
        <f>VLOOKUP(Table8[[#This Row],[Document ID]],Table1[],2,FALSE)</f>
        <v>LCA</v>
      </c>
      <c r="C2984" s="243" t="str">
        <f>VLOOKUP(Table8[[#This Row],[Document ID]],Table1[],3,FALSE)</f>
        <v>Saint Lucia</v>
      </c>
      <c r="D2984" s="243" t="str">
        <f>VLOOKUP(Table8[[#This Row],[Document ID]],Table1[],5,FALSE)</f>
        <v>NDC</v>
      </c>
      <c r="E2984" s="233" t="str">
        <f>VLOOKUP(Table8[[#This Row],[Document ID]],Table1[],7,FALSE)</f>
        <v>Third NDC</v>
      </c>
      <c r="F2984" s="233" t="str">
        <f>VLOOKUP(Table8[[#This Row],[Document ID]],Table1[],8,FALSE)</f>
        <v>NDC 3.0</v>
      </c>
      <c r="G2984" s="233" t="str">
        <f>VLOOKUP(Table8[[#This Row],[Document ID]],Table1[],10,FALSE)</f>
        <v>Active</v>
      </c>
      <c r="H2984" s="43" t="s">
        <v>2343</v>
      </c>
      <c r="I2984" s="43" t="s">
        <v>2386</v>
      </c>
      <c r="J2984" s="43" t="s">
        <v>2412</v>
      </c>
      <c r="K2984" s="44" t="s">
        <v>4926</v>
      </c>
      <c r="L2984" s="44" t="s">
        <v>2333</v>
      </c>
      <c r="M2984" s="43">
        <v>8</v>
      </c>
      <c r="N2984" s="113" t="s">
        <v>1113</v>
      </c>
      <c r="O2984" s="113"/>
      <c r="P2984" s="113"/>
      <c r="Q2984" s="113"/>
      <c r="R2984" s="113"/>
      <c r="S2984" s="113"/>
      <c r="T2984" s="113"/>
      <c r="U2984" s="113"/>
      <c r="V2984" s="113"/>
      <c r="W2984" s="113"/>
      <c r="X2984" s="113"/>
      <c r="Y2984" s="113"/>
      <c r="Z2984" s="113"/>
      <c r="AA2984" s="113"/>
      <c r="AB2984" s="113"/>
      <c r="AC2984" s="113"/>
      <c r="AD2984" s="113"/>
      <c r="AE2984" s="113"/>
      <c r="AF2984" s="113"/>
      <c r="AG2984" s="113"/>
      <c r="AH2984" s="113"/>
      <c r="AI2984" s="113"/>
      <c r="AJ2984" s="113"/>
      <c r="AK2984" s="113" t="s">
        <v>1113</v>
      </c>
      <c r="AL2984" s="113"/>
      <c r="AM2984" s="113"/>
      <c r="AN2984" s="113"/>
      <c r="AO2984" s="43" t="s">
        <v>2334</v>
      </c>
      <c r="AP2984" s="43" t="s">
        <v>4873</v>
      </c>
      <c r="AQ2984" s="233" t="str">
        <f>VLOOKUP(Table8[[#This Row],[Instrument]],Def_Targets!$D$73:$E$159,2,FALSE)</f>
        <v>A_Economic</v>
      </c>
      <c r="AR2984" s="242" t="str">
        <f>VLOOKUP(Table8[[#This Row],[Country Code]],Table29[],3,FALSE)</f>
        <v>Non-Annex I</v>
      </c>
      <c r="AS2984" s="242" t="str">
        <f>VLOOKUP(Table8[[#This Row],[Country Code]],Table29[],4,FALSE)</f>
        <v>Latin America and the Caribbean</v>
      </c>
      <c r="AT2984" s="242" t="str">
        <f>VLOOKUP(Table8[[#This Row],[Country Code]],Table29[],5,FALSE)</f>
        <v>Middle-income</v>
      </c>
      <c r="AU2984" s="242" t="str">
        <f>VLOOKUP(Table8[[#This Row],[Country Code]],Table29[],6,FALSE)</f>
        <v>no</v>
      </c>
      <c r="AV2984" s="242" t="str">
        <f>VLOOKUP(Table8[[#This Row],[Country Code]],Table29[],7,FALSE)</f>
        <v>no</v>
      </c>
      <c r="AW2984" s="242" t="str">
        <f>VLOOKUP(Table8[[#This Row],[Country Code]],Table29[],8,FALSE)</f>
        <v>non-OECD</v>
      </c>
      <c r="AX2984" s="242" t="str">
        <f>VLOOKUP(Table8[[#This Row],[Country Code]],Table29[],9,FALSE)</f>
        <v>no</v>
      </c>
      <c r="AY2984" s="242" t="str">
        <f>VLOOKUP(Table8[[#This Row],[Country Code]],Table29[],10,FALSE)</f>
        <v>no</v>
      </c>
      <c r="AZ2984" s="242">
        <f>VLOOKUP(Table8[[#This Row],[Country Code]],Table29[],23,FALSE)</f>
        <v>0.45126691251345002</v>
      </c>
      <c r="BA2984" s="242">
        <f>VLOOKUP(Table8[[#This Row],[Country Code]],Table29[],24,FALSE)</f>
        <v>0.10561796037965671</v>
      </c>
      <c r="BB2984" s="320"/>
    </row>
    <row r="2985" spans="1:54" ht="33" customHeight="1" x14ac:dyDescent="0.25">
      <c r="A2985" s="373">
        <v>43950</v>
      </c>
      <c r="B2985" s="243" t="str">
        <f>VLOOKUP(Table8[[#This Row],[Document ID]],Table1[],2,FALSE)</f>
        <v>SGP</v>
      </c>
      <c r="C2985" s="243" t="str">
        <f>VLOOKUP(Table8[[#This Row],[Document ID]],Table1[],3,FALSE)</f>
        <v>Singapore</v>
      </c>
      <c r="D2985" s="243" t="str">
        <f>VLOOKUP(Table8[[#This Row],[Document ID]],Table1[],5,FALSE)</f>
        <v>NDC</v>
      </c>
      <c r="E2985" s="233" t="str">
        <f>VLOOKUP(Table8[[#This Row],[Document ID]],Table1[],7,FALSE)</f>
        <v>Third NDC</v>
      </c>
      <c r="F2985" s="233" t="str">
        <f>VLOOKUP(Table8[[#This Row],[Document ID]],Table1[],8,FALSE)</f>
        <v>NDC 3.0</v>
      </c>
      <c r="G2985" s="233" t="str">
        <f>VLOOKUP(Table8[[#This Row],[Document ID]],Table1[],10,FALSE)</f>
        <v>Active</v>
      </c>
      <c r="H2985" s="43" t="s">
        <v>2343</v>
      </c>
      <c r="I2985" s="43" t="s">
        <v>2386</v>
      </c>
      <c r="J2985" s="43" t="s">
        <v>2498</v>
      </c>
      <c r="K2985" s="44" t="s">
        <v>5034</v>
      </c>
      <c r="L2985" s="44" t="s">
        <v>2380</v>
      </c>
      <c r="M2985" s="43">
        <v>10</v>
      </c>
      <c r="N2985" s="113" t="s">
        <v>1113</v>
      </c>
      <c r="O2985" s="113"/>
      <c r="P2985" s="113"/>
      <c r="Q2985" s="113"/>
      <c r="R2985" s="113"/>
      <c r="S2985" s="113"/>
      <c r="T2985" s="113"/>
      <c r="U2985" s="113"/>
      <c r="V2985" s="113"/>
      <c r="W2985" s="113"/>
      <c r="X2985" s="113"/>
      <c r="Y2985" s="113"/>
      <c r="Z2985" s="113"/>
      <c r="AA2985" s="113"/>
      <c r="AB2985" s="113"/>
      <c r="AC2985" s="113"/>
      <c r="AD2985" s="113"/>
      <c r="AE2985" s="113"/>
      <c r="AF2985" s="113"/>
      <c r="AG2985" s="113"/>
      <c r="AH2985" s="113"/>
      <c r="AI2985" s="113"/>
      <c r="AJ2985" s="113"/>
      <c r="AK2985" s="113" t="s">
        <v>1113</v>
      </c>
      <c r="AL2985" s="113"/>
      <c r="AM2985" s="113"/>
      <c r="AN2985" s="113"/>
      <c r="AO2985" s="43" t="s">
        <v>2334</v>
      </c>
      <c r="AP2985" s="43" t="s">
        <v>4861</v>
      </c>
      <c r="AQ2985" s="233" t="str">
        <f>VLOOKUP(Table8[[#This Row],[Instrument]],Def_Targets!$D$73:$E$159,2,FALSE)</f>
        <v>A_Fueltax</v>
      </c>
      <c r="AR2985" s="242" t="str">
        <f>VLOOKUP(Table8[[#This Row],[Country Code]],Table29[],3,FALSE)</f>
        <v>Non-Annex I</v>
      </c>
      <c r="AS2985" s="242" t="str">
        <f>VLOOKUP(Table8[[#This Row],[Country Code]],Table29[],4,FALSE)</f>
        <v>Asia</v>
      </c>
      <c r="AT2985" s="242" t="str">
        <f>VLOOKUP(Table8[[#This Row],[Country Code]],Table29[],5,FALSE)</f>
        <v>High-income</v>
      </c>
      <c r="AU2985" s="242" t="str">
        <f>VLOOKUP(Table8[[#This Row],[Country Code]],Table29[],6,FALSE)</f>
        <v>no</v>
      </c>
      <c r="AV2985" s="242" t="str">
        <f>VLOOKUP(Table8[[#This Row],[Country Code]],Table29[],7,FALSE)</f>
        <v>no</v>
      </c>
      <c r="AW2985" s="242" t="str">
        <f>VLOOKUP(Table8[[#This Row],[Country Code]],Table29[],8,FALSE)</f>
        <v>non-OECD</v>
      </c>
      <c r="AX2985" s="242" t="str">
        <f>VLOOKUP(Table8[[#This Row],[Country Code]],Table29[],9,FALSE)</f>
        <v>no</v>
      </c>
      <c r="AY2985" s="242" t="str">
        <f>VLOOKUP(Table8[[#This Row],[Country Code]],Table29[],10,FALSE)</f>
        <v>no</v>
      </c>
      <c r="AZ2985" s="242">
        <f>VLOOKUP(Table8[[#This Row],[Country Code]],Table29[],23,FALSE)</f>
        <v>74.290132466078006</v>
      </c>
      <c r="BA2985" s="242">
        <f>VLOOKUP(Table8[[#This Row],[Country Code]],Table29[],24,FALSE)</f>
        <v>6.8133364043247093</v>
      </c>
      <c r="BB2985" s="320"/>
    </row>
    <row r="2986" spans="1:54" ht="45" x14ac:dyDescent="0.25">
      <c r="A2986" s="373">
        <v>43950</v>
      </c>
      <c r="B2986" s="243" t="str">
        <f>VLOOKUP(Table8[[#This Row],[Document ID]],Table1[],2,FALSE)</f>
        <v>SGP</v>
      </c>
      <c r="C2986" s="243" t="str">
        <f>VLOOKUP(Table8[[#This Row],[Document ID]],Table1[],3,FALSE)</f>
        <v>Singapore</v>
      </c>
      <c r="D2986" s="243" t="str">
        <f>VLOOKUP(Table8[[#This Row],[Document ID]],Table1[],5,FALSE)</f>
        <v>NDC</v>
      </c>
      <c r="E2986" s="233" t="str">
        <f>VLOOKUP(Table8[[#This Row],[Document ID]],Table1[],7,FALSE)</f>
        <v>Third NDC</v>
      </c>
      <c r="F2986" s="233" t="str">
        <f>VLOOKUP(Table8[[#This Row],[Document ID]],Table1[],8,FALSE)</f>
        <v>NDC 3.0</v>
      </c>
      <c r="G2986" s="233" t="str">
        <f>VLOOKUP(Table8[[#This Row],[Document ID]],Table1[],10,FALSE)</f>
        <v>Active</v>
      </c>
      <c r="H2986" s="43" t="s">
        <v>2343</v>
      </c>
      <c r="I2986" s="43" t="s">
        <v>2361</v>
      </c>
      <c r="J2986" s="43" t="s">
        <v>2366</v>
      </c>
      <c r="K2986" s="44" t="s">
        <v>4927</v>
      </c>
      <c r="L2986" s="44" t="s">
        <v>2333</v>
      </c>
      <c r="M2986" s="43">
        <v>14</v>
      </c>
      <c r="N2986" s="113"/>
      <c r="O2986" s="113"/>
      <c r="P2986" s="113" t="s">
        <v>1113</v>
      </c>
      <c r="Q2986" s="113"/>
      <c r="R2986" s="113"/>
      <c r="S2986" s="113"/>
      <c r="T2986" s="113"/>
      <c r="U2986" s="113"/>
      <c r="V2986" s="113"/>
      <c r="W2986" s="113"/>
      <c r="X2986" s="113"/>
      <c r="Y2986" s="113"/>
      <c r="Z2986" s="113"/>
      <c r="AA2986" s="113"/>
      <c r="AB2986" s="113"/>
      <c r="AC2986" s="113"/>
      <c r="AD2986" s="113"/>
      <c r="AE2986" s="113"/>
      <c r="AF2986" s="113"/>
      <c r="AG2986" s="113"/>
      <c r="AH2986" s="113"/>
      <c r="AI2986" s="113"/>
      <c r="AJ2986" s="113"/>
      <c r="AK2986" s="113" t="s">
        <v>1113</v>
      </c>
      <c r="AL2986" s="113"/>
      <c r="AM2986" s="113"/>
      <c r="AN2986" s="113"/>
      <c r="AO2986" s="43" t="s">
        <v>2334</v>
      </c>
      <c r="AP2986" s="43" t="s">
        <v>4873</v>
      </c>
      <c r="AQ2986" s="233" t="str">
        <f>VLOOKUP(Table8[[#This Row],[Instrument]],Def_Targets!$D$73:$E$159,2,FALSE)</f>
        <v>S_Activemobility</v>
      </c>
      <c r="AR2986" s="242" t="str">
        <f>VLOOKUP(Table8[[#This Row],[Country Code]],Table29[],3,FALSE)</f>
        <v>Non-Annex I</v>
      </c>
      <c r="AS2986" s="242" t="str">
        <f>VLOOKUP(Table8[[#This Row],[Country Code]],Table29[],4,FALSE)</f>
        <v>Asia</v>
      </c>
      <c r="AT2986" s="242" t="str">
        <f>VLOOKUP(Table8[[#This Row],[Country Code]],Table29[],5,FALSE)</f>
        <v>High-income</v>
      </c>
      <c r="AU2986" s="242" t="str">
        <f>VLOOKUP(Table8[[#This Row],[Country Code]],Table29[],6,FALSE)</f>
        <v>no</v>
      </c>
      <c r="AV2986" s="242" t="str">
        <f>VLOOKUP(Table8[[#This Row],[Country Code]],Table29[],7,FALSE)</f>
        <v>no</v>
      </c>
      <c r="AW2986" s="242" t="str">
        <f>VLOOKUP(Table8[[#This Row],[Country Code]],Table29[],8,FALSE)</f>
        <v>non-OECD</v>
      </c>
      <c r="AX2986" s="242" t="str">
        <f>VLOOKUP(Table8[[#This Row],[Country Code]],Table29[],9,FALSE)</f>
        <v>no</v>
      </c>
      <c r="AY2986" s="242" t="str">
        <f>VLOOKUP(Table8[[#This Row],[Country Code]],Table29[],10,FALSE)</f>
        <v>no</v>
      </c>
      <c r="AZ2986" s="242">
        <f>VLOOKUP(Table8[[#This Row],[Country Code]],Table29[],23,FALSE)</f>
        <v>74.290132466078006</v>
      </c>
      <c r="BA2986" s="242">
        <f>VLOOKUP(Table8[[#This Row],[Country Code]],Table29[],24,FALSE)</f>
        <v>6.8133364043247093</v>
      </c>
      <c r="BB2986" s="320"/>
    </row>
    <row r="2987" spans="1:54" ht="30" customHeight="1" x14ac:dyDescent="0.25">
      <c r="A2987" s="373">
        <v>43950</v>
      </c>
      <c r="B2987" s="243" t="str">
        <f>VLOOKUP(Table8[[#This Row],[Document ID]],Table1[],2,FALSE)</f>
        <v>SGP</v>
      </c>
      <c r="C2987" s="243" t="str">
        <f>VLOOKUP(Table8[[#This Row],[Document ID]],Table1[],3,FALSE)</f>
        <v>Singapore</v>
      </c>
      <c r="D2987" s="243" t="str">
        <f>VLOOKUP(Table8[[#This Row],[Document ID]],Table1[],5,FALSE)</f>
        <v>NDC</v>
      </c>
      <c r="E2987" s="233" t="str">
        <f>VLOOKUP(Table8[[#This Row],[Document ID]],Table1[],7,FALSE)</f>
        <v>Third NDC</v>
      </c>
      <c r="F2987" s="233" t="str">
        <f>VLOOKUP(Table8[[#This Row],[Document ID]],Table1[],8,FALSE)</f>
        <v>NDC 3.0</v>
      </c>
      <c r="G2987" s="233" t="str">
        <f>VLOOKUP(Table8[[#This Row],[Document ID]],Table1[],10,FALSE)</f>
        <v>Active</v>
      </c>
      <c r="H2987" s="43" t="s">
        <v>2343</v>
      </c>
      <c r="I2987" s="43" t="s">
        <v>2344</v>
      </c>
      <c r="J2987" s="43" t="s">
        <v>2345</v>
      </c>
      <c r="K2987" s="44" t="s">
        <v>4927</v>
      </c>
      <c r="L2987" s="44" t="s">
        <v>2333</v>
      </c>
      <c r="M2987" s="43">
        <v>14</v>
      </c>
      <c r="N2987" s="113"/>
      <c r="O2987" s="113"/>
      <c r="P2987" s="113"/>
      <c r="Q2987" s="113"/>
      <c r="R2987" s="113"/>
      <c r="S2987" s="113"/>
      <c r="T2987" s="113"/>
      <c r="U2987" s="113"/>
      <c r="V2987" s="113"/>
      <c r="W2987" s="113"/>
      <c r="X2987" s="113"/>
      <c r="Y2987" s="113" t="s">
        <v>1113</v>
      </c>
      <c r="Z2987" s="113"/>
      <c r="AA2987" s="113"/>
      <c r="AB2987" s="113"/>
      <c r="AC2987" s="113" t="s">
        <v>1113</v>
      </c>
      <c r="AD2987" s="113"/>
      <c r="AE2987" s="113"/>
      <c r="AF2987" s="113"/>
      <c r="AG2987" s="113"/>
      <c r="AH2987" s="113"/>
      <c r="AI2987" s="113"/>
      <c r="AJ2987" s="113"/>
      <c r="AK2987" s="113" t="s">
        <v>1113</v>
      </c>
      <c r="AL2987" s="113"/>
      <c r="AM2987" s="113"/>
      <c r="AN2987" s="113"/>
      <c r="AO2987" s="43" t="s">
        <v>2348</v>
      </c>
      <c r="AP2987" s="43" t="s">
        <v>4873</v>
      </c>
      <c r="AQ2987" s="233" t="str">
        <f>VLOOKUP(Table8[[#This Row],[Instrument]],Def_Targets!$D$73:$E$159,2,FALSE)</f>
        <v>S_PublicTransport</v>
      </c>
      <c r="AR2987" s="242" t="str">
        <f>VLOOKUP(Table8[[#This Row],[Country Code]],Table29[],3,FALSE)</f>
        <v>Non-Annex I</v>
      </c>
      <c r="AS2987" s="242" t="str">
        <f>VLOOKUP(Table8[[#This Row],[Country Code]],Table29[],4,FALSE)</f>
        <v>Asia</v>
      </c>
      <c r="AT2987" s="242" t="str">
        <f>VLOOKUP(Table8[[#This Row],[Country Code]],Table29[],5,FALSE)</f>
        <v>High-income</v>
      </c>
      <c r="AU2987" s="242" t="str">
        <f>VLOOKUP(Table8[[#This Row],[Country Code]],Table29[],6,FALSE)</f>
        <v>no</v>
      </c>
      <c r="AV2987" s="242" t="str">
        <f>VLOOKUP(Table8[[#This Row],[Country Code]],Table29[],7,FALSE)</f>
        <v>no</v>
      </c>
      <c r="AW2987" s="242" t="str">
        <f>VLOOKUP(Table8[[#This Row],[Country Code]],Table29[],8,FALSE)</f>
        <v>non-OECD</v>
      </c>
      <c r="AX2987" s="242" t="str">
        <f>VLOOKUP(Table8[[#This Row],[Country Code]],Table29[],9,FALSE)</f>
        <v>no</v>
      </c>
      <c r="AY2987" s="242" t="str">
        <f>VLOOKUP(Table8[[#This Row],[Country Code]],Table29[],10,FALSE)</f>
        <v>no</v>
      </c>
      <c r="AZ2987" s="242">
        <f>VLOOKUP(Table8[[#This Row],[Country Code]],Table29[],23,FALSE)</f>
        <v>74.290132466078006</v>
      </c>
      <c r="BA2987" s="242">
        <f>VLOOKUP(Table8[[#This Row],[Country Code]],Table29[],24,FALSE)</f>
        <v>6.8133364043247093</v>
      </c>
      <c r="BB2987" s="320"/>
    </row>
    <row r="2988" spans="1:54" ht="60" x14ac:dyDescent="0.25">
      <c r="A2988" s="373">
        <v>43950</v>
      </c>
      <c r="B2988" s="243" t="str">
        <f>VLOOKUP(Table8[[#This Row],[Document ID]],Table1[],2,FALSE)</f>
        <v>SGP</v>
      </c>
      <c r="C2988" s="243" t="str">
        <f>VLOOKUP(Table8[[#This Row],[Document ID]],Table1[],3,FALSE)</f>
        <v>Singapore</v>
      </c>
      <c r="D2988" s="243" t="str">
        <f>VLOOKUP(Table8[[#This Row],[Document ID]],Table1[],5,FALSE)</f>
        <v>NDC</v>
      </c>
      <c r="E2988" s="233" t="str">
        <f>VLOOKUP(Table8[[#This Row],[Document ID]],Table1[],7,FALSE)</f>
        <v>Third NDC</v>
      </c>
      <c r="F2988" s="233" t="str">
        <f>VLOOKUP(Table8[[#This Row],[Document ID]],Table1[],8,FALSE)</f>
        <v>NDC 3.0</v>
      </c>
      <c r="G2988" s="233" t="str">
        <f>VLOOKUP(Table8[[#This Row],[Document ID]],Table1[],10,FALSE)</f>
        <v>Active</v>
      </c>
      <c r="H2988" s="43" t="s">
        <v>2343</v>
      </c>
      <c r="I2988" s="43" t="s">
        <v>2344</v>
      </c>
      <c r="J2988" s="43" t="s">
        <v>2405</v>
      </c>
      <c r="K2988" s="44" t="s">
        <v>5035</v>
      </c>
      <c r="L2988" s="44" t="s">
        <v>2347</v>
      </c>
      <c r="M2988" s="43" t="s">
        <v>5036</v>
      </c>
      <c r="N2988" s="113"/>
      <c r="O2988" s="113"/>
      <c r="P2988" s="113"/>
      <c r="Q2988" s="113" t="s">
        <v>1113</v>
      </c>
      <c r="R2988" s="113"/>
      <c r="S2988" s="113"/>
      <c r="T2988" s="113"/>
      <c r="U2988" s="113"/>
      <c r="V2988" s="113"/>
      <c r="W2988" s="113"/>
      <c r="X2988" s="113"/>
      <c r="Y2988" s="113"/>
      <c r="Z2988" s="113"/>
      <c r="AA2988" s="113"/>
      <c r="AB2988" s="113"/>
      <c r="AC2988" s="113" t="s">
        <v>1113</v>
      </c>
      <c r="AD2988" s="113"/>
      <c r="AE2988" s="113"/>
      <c r="AF2988" s="113"/>
      <c r="AG2988" s="113"/>
      <c r="AH2988" s="113"/>
      <c r="AI2988" s="113"/>
      <c r="AJ2988" s="113"/>
      <c r="AK2988" s="113" t="s">
        <v>1113</v>
      </c>
      <c r="AL2988" s="113"/>
      <c r="AM2988" s="113"/>
      <c r="AN2988" s="113"/>
      <c r="AO2988" s="43" t="s">
        <v>2348</v>
      </c>
      <c r="AP2988" s="43" t="s">
        <v>4850</v>
      </c>
      <c r="AQ2988" s="233" t="str">
        <f>VLOOKUP(Table8[[#This Row],[Instrument]],Def_Targets!$D$73:$E$159,2,FALSE)</f>
        <v>S_PTIntegration</v>
      </c>
      <c r="AR2988" s="242" t="str">
        <f>VLOOKUP(Table8[[#This Row],[Country Code]],Table29[],3,FALSE)</f>
        <v>Non-Annex I</v>
      </c>
      <c r="AS2988" s="242" t="str">
        <f>VLOOKUP(Table8[[#This Row],[Country Code]],Table29[],4,FALSE)</f>
        <v>Asia</v>
      </c>
      <c r="AT2988" s="242" t="str">
        <f>VLOOKUP(Table8[[#This Row],[Country Code]],Table29[],5,FALSE)</f>
        <v>High-income</v>
      </c>
      <c r="AU2988" s="242" t="str">
        <f>VLOOKUP(Table8[[#This Row],[Country Code]],Table29[],6,FALSE)</f>
        <v>no</v>
      </c>
      <c r="AV2988" s="242" t="str">
        <f>VLOOKUP(Table8[[#This Row],[Country Code]],Table29[],7,FALSE)</f>
        <v>no</v>
      </c>
      <c r="AW2988" s="242" t="str">
        <f>VLOOKUP(Table8[[#This Row],[Country Code]],Table29[],8,FALSE)</f>
        <v>non-OECD</v>
      </c>
      <c r="AX2988" s="242" t="str">
        <f>VLOOKUP(Table8[[#This Row],[Country Code]],Table29[],9,FALSE)</f>
        <v>no</v>
      </c>
      <c r="AY2988" s="242" t="str">
        <f>VLOOKUP(Table8[[#This Row],[Country Code]],Table29[],10,FALSE)</f>
        <v>no</v>
      </c>
      <c r="AZ2988" s="242">
        <f>VLOOKUP(Table8[[#This Row],[Country Code]],Table29[],23,FALSE)</f>
        <v>74.290132466078006</v>
      </c>
      <c r="BA2988" s="242">
        <f>VLOOKUP(Table8[[#This Row],[Country Code]],Table29[],24,FALSE)</f>
        <v>6.8133364043247093</v>
      </c>
      <c r="BB2988" s="320"/>
    </row>
    <row r="2989" spans="1:54" ht="90" x14ac:dyDescent="0.25">
      <c r="A2989" s="373">
        <v>43950</v>
      </c>
      <c r="B2989" s="243" t="str">
        <f>VLOOKUP(Table8[[#This Row],[Document ID]],Table1[],2,FALSE)</f>
        <v>SGP</v>
      </c>
      <c r="C2989" s="243" t="str">
        <f>VLOOKUP(Table8[[#This Row],[Document ID]],Table1[],3,FALSE)</f>
        <v>Singapore</v>
      </c>
      <c r="D2989" s="243" t="str">
        <f>VLOOKUP(Table8[[#This Row],[Document ID]],Table1[],5,FALSE)</f>
        <v>NDC</v>
      </c>
      <c r="E2989" s="233" t="str">
        <f>VLOOKUP(Table8[[#This Row],[Document ID]],Table1[],7,FALSE)</f>
        <v>Third NDC</v>
      </c>
      <c r="F2989" s="233" t="str">
        <f>VLOOKUP(Table8[[#This Row],[Document ID]],Table1[],8,FALSE)</f>
        <v>NDC 3.0</v>
      </c>
      <c r="G2989" s="233" t="str">
        <f>VLOOKUP(Table8[[#This Row],[Document ID]],Table1[],10,FALSE)</f>
        <v>Active</v>
      </c>
      <c r="H2989" s="43" t="s">
        <v>2343</v>
      </c>
      <c r="I2989" s="43" t="s">
        <v>2361</v>
      </c>
      <c r="J2989" s="43" t="s">
        <v>2362</v>
      </c>
      <c r="K2989" s="44" t="s">
        <v>5037</v>
      </c>
      <c r="L2989" s="44" t="s">
        <v>2347</v>
      </c>
      <c r="M2989" s="43" t="s">
        <v>5036</v>
      </c>
      <c r="N2989" s="113"/>
      <c r="O2989" s="113"/>
      <c r="P2989" s="113"/>
      <c r="Q2989" s="113"/>
      <c r="R2989" s="113" t="s">
        <v>1113</v>
      </c>
      <c r="S2989" s="113"/>
      <c r="T2989" s="113"/>
      <c r="U2989" s="113"/>
      <c r="V2989" s="113"/>
      <c r="W2989" s="113"/>
      <c r="X2989" s="113"/>
      <c r="Y2989" s="113"/>
      <c r="Z2989" s="113"/>
      <c r="AA2989" s="113"/>
      <c r="AB2989" s="113"/>
      <c r="AC2989" s="113"/>
      <c r="AD2989" s="113"/>
      <c r="AE2989" s="113"/>
      <c r="AF2989" s="113"/>
      <c r="AG2989" s="113"/>
      <c r="AH2989" s="113"/>
      <c r="AI2989" s="113"/>
      <c r="AJ2989" s="113"/>
      <c r="AK2989" s="113" t="s">
        <v>1113</v>
      </c>
      <c r="AL2989" s="113"/>
      <c r="AM2989" s="113"/>
      <c r="AN2989" s="113"/>
      <c r="AO2989" s="43" t="s">
        <v>2348</v>
      </c>
      <c r="AP2989" s="43" t="s">
        <v>4850</v>
      </c>
      <c r="AQ2989" s="233" t="str">
        <f>VLOOKUP(Table8[[#This Row],[Instrument]],Def_Targets!$D$73:$E$159,2,FALSE)</f>
        <v>S_Cycling</v>
      </c>
      <c r="AR2989" s="242" t="str">
        <f>VLOOKUP(Table8[[#This Row],[Country Code]],Table29[],3,FALSE)</f>
        <v>Non-Annex I</v>
      </c>
      <c r="AS2989" s="242" t="str">
        <f>VLOOKUP(Table8[[#This Row],[Country Code]],Table29[],4,FALSE)</f>
        <v>Asia</v>
      </c>
      <c r="AT2989" s="242" t="str">
        <f>VLOOKUP(Table8[[#This Row],[Country Code]],Table29[],5,FALSE)</f>
        <v>High-income</v>
      </c>
      <c r="AU2989" s="242" t="str">
        <f>VLOOKUP(Table8[[#This Row],[Country Code]],Table29[],6,FALSE)</f>
        <v>no</v>
      </c>
      <c r="AV2989" s="242" t="str">
        <f>VLOOKUP(Table8[[#This Row],[Country Code]],Table29[],7,FALSE)</f>
        <v>no</v>
      </c>
      <c r="AW2989" s="242" t="str">
        <f>VLOOKUP(Table8[[#This Row],[Country Code]],Table29[],8,FALSE)</f>
        <v>non-OECD</v>
      </c>
      <c r="AX2989" s="242" t="str">
        <f>VLOOKUP(Table8[[#This Row],[Country Code]],Table29[],9,FALSE)</f>
        <v>no</v>
      </c>
      <c r="AY2989" s="242" t="str">
        <f>VLOOKUP(Table8[[#This Row],[Country Code]],Table29[],10,FALSE)</f>
        <v>no</v>
      </c>
      <c r="AZ2989" s="242">
        <f>VLOOKUP(Table8[[#This Row],[Country Code]],Table29[],23,FALSE)</f>
        <v>74.290132466078006</v>
      </c>
      <c r="BA2989" s="242">
        <f>VLOOKUP(Table8[[#This Row],[Country Code]],Table29[],24,FALSE)</f>
        <v>6.8133364043247093</v>
      </c>
      <c r="BB2989" s="320"/>
    </row>
    <row r="2990" spans="1:54" ht="90" x14ac:dyDescent="0.25">
      <c r="A2990" s="373">
        <v>43950</v>
      </c>
      <c r="B2990" s="243" t="str">
        <f>VLOOKUP(Table8[[#This Row],[Document ID]],Table1[],2,FALSE)</f>
        <v>SGP</v>
      </c>
      <c r="C2990" s="243" t="str">
        <f>VLOOKUP(Table8[[#This Row],[Document ID]],Table1[],3,FALSE)</f>
        <v>Singapore</v>
      </c>
      <c r="D2990" s="243" t="str">
        <f>VLOOKUP(Table8[[#This Row],[Document ID]],Table1[],5,FALSE)</f>
        <v>NDC</v>
      </c>
      <c r="E2990" s="233" t="str">
        <f>VLOOKUP(Table8[[#This Row],[Document ID]],Table1[],7,FALSE)</f>
        <v>Third NDC</v>
      </c>
      <c r="F2990" s="233" t="str">
        <f>VLOOKUP(Table8[[#This Row],[Document ID]],Table1[],8,FALSE)</f>
        <v>NDC 3.0</v>
      </c>
      <c r="G2990" s="233" t="str">
        <f>VLOOKUP(Table8[[#This Row],[Document ID]],Table1[],10,FALSE)</f>
        <v>Active</v>
      </c>
      <c r="H2990" s="43" t="s">
        <v>2343</v>
      </c>
      <c r="I2990" s="43" t="s">
        <v>2386</v>
      </c>
      <c r="J2990" s="43" t="s">
        <v>3055</v>
      </c>
      <c r="K2990" s="44" t="s">
        <v>5038</v>
      </c>
      <c r="L2990" s="44" t="s">
        <v>2380</v>
      </c>
      <c r="M2990" s="43">
        <v>24</v>
      </c>
      <c r="N2990" s="113" t="s">
        <v>1113</v>
      </c>
      <c r="O2990" s="113"/>
      <c r="P2990" s="113"/>
      <c r="Q2990" s="113"/>
      <c r="R2990" s="113"/>
      <c r="S2990" s="113"/>
      <c r="T2990" s="113"/>
      <c r="U2990" s="113"/>
      <c r="V2990" s="113"/>
      <c r="W2990" s="113"/>
      <c r="X2990" s="113"/>
      <c r="Y2990" s="113"/>
      <c r="Z2990" s="113"/>
      <c r="AA2990" s="113"/>
      <c r="AB2990" s="113"/>
      <c r="AC2990" s="113"/>
      <c r="AD2990" s="113"/>
      <c r="AE2990" s="113"/>
      <c r="AF2990" s="113"/>
      <c r="AG2990" s="113"/>
      <c r="AH2990" s="113"/>
      <c r="AI2990" s="113"/>
      <c r="AJ2990" s="113"/>
      <c r="AK2990" s="113" t="s">
        <v>1113</v>
      </c>
      <c r="AL2990" s="113"/>
      <c r="AM2990" s="113"/>
      <c r="AN2990" s="113"/>
      <c r="AO2990" s="43" t="s">
        <v>2334</v>
      </c>
      <c r="AP2990" s="43" t="s">
        <v>4861</v>
      </c>
      <c r="AQ2990" s="233" t="str">
        <f>VLOOKUP(Table8[[#This Row],[Instrument]],Def_Targets!$D$73:$E$159,2,FALSE)</f>
        <v>A_Emistrad</v>
      </c>
      <c r="AR2990" s="242" t="str">
        <f>VLOOKUP(Table8[[#This Row],[Country Code]],Table29[],3,FALSE)</f>
        <v>Non-Annex I</v>
      </c>
      <c r="AS2990" s="242" t="str">
        <f>VLOOKUP(Table8[[#This Row],[Country Code]],Table29[],4,FALSE)</f>
        <v>Asia</v>
      </c>
      <c r="AT2990" s="242" t="str">
        <f>VLOOKUP(Table8[[#This Row],[Country Code]],Table29[],5,FALSE)</f>
        <v>High-income</v>
      </c>
      <c r="AU2990" s="242" t="str">
        <f>VLOOKUP(Table8[[#This Row],[Country Code]],Table29[],6,FALSE)</f>
        <v>no</v>
      </c>
      <c r="AV2990" s="242" t="str">
        <f>VLOOKUP(Table8[[#This Row],[Country Code]],Table29[],7,FALSE)</f>
        <v>no</v>
      </c>
      <c r="AW2990" s="242" t="str">
        <f>VLOOKUP(Table8[[#This Row],[Country Code]],Table29[],8,FALSE)</f>
        <v>non-OECD</v>
      </c>
      <c r="AX2990" s="242" t="str">
        <f>VLOOKUP(Table8[[#This Row],[Country Code]],Table29[],9,FALSE)</f>
        <v>no</v>
      </c>
      <c r="AY2990" s="242" t="str">
        <f>VLOOKUP(Table8[[#This Row],[Country Code]],Table29[],10,FALSE)</f>
        <v>no</v>
      </c>
      <c r="AZ2990" s="242">
        <f>VLOOKUP(Table8[[#This Row],[Country Code]],Table29[],23,FALSE)</f>
        <v>74.290132466078006</v>
      </c>
      <c r="BA2990" s="242">
        <f>VLOOKUP(Table8[[#This Row],[Country Code]],Table29[],24,FALSE)</f>
        <v>6.8133364043247093</v>
      </c>
      <c r="BB2990" s="320"/>
    </row>
    <row r="2991" spans="1:54" ht="30" x14ac:dyDescent="0.25">
      <c r="A2991" s="373">
        <v>43699</v>
      </c>
      <c r="B2991" s="243" t="str">
        <f>VLOOKUP(Table8[[#This Row],[Document ID]],Table1[],2,FALSE)</f>
        <v>ARE</v>
      </c>
      <c r="C2991" s="243" t="str">
        <f>VLOOKUP(Table8[[#This Row],[Document ID]],Table1[],3,FALSE)</f>
        <v>United Arab Emirates</v>
      </c>
      <c r="D2991" s="243" t="str">
        <f>VLOOKUP(Table8[[#This Row],[Document ID]],Table1[],5,FALSE)</f>
        <v>NDC</v>
      </c>
      <c r="E2991" s="233" t="str">
        <f>VLOOKUP(Table8[[#This Row],[Document ID]],Table1[],7,FALSE)</f>
        <v>Third NDC</v>
      </c>
      <c r="F2991" s="233" t="str">
        <f>VLOOKUP(Table8[[#This Row],[Document ID]],Table1[],8,FALSE)</f>
        <v>NDC 3.0</v>
      </c>
      <c r="G2991" s="233" t="str">
        <f>VLOOKUP(Table8[[#This Row],[Document ID]],Table1[],10,FALSE)</f>
        <v>Active</v>
      </c>
      <c r="H2991" s="43" t="s">
        <v>2343</v>
      </c>
      <c r="I2991" s="43" t="s">
        <v>2386</v>
      </c>
      <c r="J2991" s="43" t="s">
        <v>2498</v>
      </c>
      <c r="K2991" s="44" t="s">
        <v>5039</v>
      </c>
      <c r="L2991" s="44" t="s">
        <v>2333</v>
      </c>
      <c r="M2991" s="43">
        <v>28</v>
      </c>
      <c r="N2991" s="113"/>
      <c r="O2991" s="113"/>
      <c r="P2991" s="113"/>
      <c r="Q2991" s="113"/>
      <c r="R2991" s="113"/>
      <c r="S2991" s="113" t="s">
        <v>1113</v>
      </c>
      <c r="T2991" s="113"/>
      <c r="U2991" s="113"/>
      <c r="V2991" s="113"/>
      <c r="W2991" s="113"/>
      <c r="X2991" s="113"/>
      <c r="Y2991" s="113"/>
      <c r="Z2991" s="113"/>
      <c r="AA2991" s="113"/>
      <c r="AB2991" s="113"/>
      <c r="AC2991" s="113"/>
      <c r="AD2991" s="113"/>
      <c r="AE2991" s="113"/>
      <c r="AF2991" s="113"/>
      <c r="AG2991" s="113"/>
      <c r="AH2991" s="113"/>
      <c r="AI2991" s="113"/>
      <c r="AJ2991" s="113"/>
      <c r="AK2991" s="113" t="s">
        <v>1113</v>
      </c>
      <c r="AL2991" s="113"/>
      <c r="AM2991" s="113"/>
      <c r="AN2991" s="113"/>
      <c r="AO2991" s="43" t="s">
        <v>2334</v>
      </c>
      <c r="AP2991" s="43" t="s">
        <v>4861</v>
      </c>
      <c r="AQ2991" s="233" t="str">
        <f>VLOOKUP(Table8[[#This Row],[Instrument]],Def_Targets!$D$73:$E$159,2,FALSE)</f>
        <v>A_Fueltax</v>
      </c>
      <c r="AR2991" s="242" t="str">
        <f>VLOOKUP(Table8[[#This Row],[Country Code]],Table29[],3,FALSE)</f>
        <v>Non-Annex I</v>
      </c>
      <c r="AS2991" s="242" t="str">
        <f>VLOOKUP(Table8[[#This Row],[Country Code]],Table29[],4,FALSE)</f>
        <v>Asia</v>
      </c>
      <c r="AT2991" s="242" t="str">
        <f>VLOOKUP(Table8[[#This Row],[Country Code]],Table29[],5,FALSE)</f>
        <v>High-income</v>
      </c>
      <c r="AU2991" s="242" t="str">
        <f>VLOOKUP(Table8[[#This Row],[Country Code]],Table29[],6,FALSE)</f>
        <v>no</v>
      </c>
      <c r="AV2991" s="242" t="str">
        <f>VLOOKUP(Table8[[#This Row],[Country Code]],Table29[],7,FALSE)</f>
        <v>no</v>
      </c>
      <c r="AW2991" s="242" t="str">
        <f>VLOOKUP(Table8[[#This Row],[Country Code]],Table29[],8,FALSE)</f>
        <v>non-OECD</v>
      </c>
      <c r="AX2991" s="242" t="str">
        <f>VLOOKUP(Table8[[#This Row],[Country Code]],Table29[],9,FALSE)</f>
        <v>no</v>
      </c>
      <c r="AY2991" s="242" t="str">
        <f>VLOOKUP(Table8[[#This Row],[Country Code]],Table29[],10,FALSE)</f>
        <v>MENA</v>
      </c>
      <c r="AZ2991" s="242">
        <f>VLOOKUP(Table8[[#This Row],[Country Code]],Table29[],23,FALSE)</f>
        <v>267.82319378585998</v>
      </c>
      <c r="BA2991" s="242">
        <f>VLOOKUP(Table8[[#This Row],[Country Code]],Table29[],24,FALSE)</f>
        <v>43.860911308351241</v>
      </c>
      <c r="BB2991" s="320"/>
    </row>
    <row r="2992" spans="1:54" ht="60" x14ac:dyDescent="0.25">
      <c r="A2992" s="373">
        <v>43699</v>
      </c>
      <c r="B2992" s="243" t="str">
        <f>VLOOKUP(Table8[[#This Row],[Document ID]],Table1[],2,FALSE)</f>
        <v>ARE</v>
      </c>
      <c r="C2992" s="243" t="str">
        <f>VLOOKUP(Table8[[#This Row],[Document ID]],Table1[],3,FALSE)</f>
        <v>United Arab Emirates</v>
      </c>
      <c r="D2992" s="243" t="str">
        <f>VLOOKUP(Table8[[#This Row],[Document ID]],Table1[],5,FALSE)</f>
        <v>NDC</v>
      </c>
      <c r="E2992" s="233" t="str">
        <f>VLOOKUP(Table8[[#This Row],[Document ID]],Table1[],7,FALSE)</f>
        <v>Third NDC</v>
      </c>
      <c r="F2992" s="233" t="str">
        <f>VLOOKUP(Table8[[#This Row],[Document ID]],Table1[],8,FALSE)</f>
        <v>NDC 3.0</v>
      </c>
      <c r="G2992" s="233" t="str">
        <f>VLOOKUP(Table8[[#This Row],[Document ID]],Table1[],10,FALSE)</f>
        <v>Active</v>
      </c>
      <c r="H2992" s="43" t="s">
        <v>2343</v>
      </c>
      <c r="I2992" s="43" t="s">
        <v>2429</v>
      </c>
      <c r="J2992" s="43" t="s">
        <v>2430</v>
      </c>
      <c r="K2992" s="44" t="s">
        <v>5040</v>
      </c>
      <c r="L2992" s="44" t="s">
        <v>2333</v>
      </c>
      <c r="M2992" s="43">
        <v>29</v>
      </c>
      <c r="N2992" s="113"/>
      <c r="O2992" s="113"/>
      <c r="P2992" s="113"/>
      <c r="Q2992" s="113"/>
      <c r="R2992" s="113"/>
      <c r="S2992" s="113"/>
      <c r="T2992" s="113"/>
      <c r="U2992" s="113"/>
      <c r="V2992" s="113"/>
      <c r="W2992" s="113"/>
      <c r="X2992" s="113"/>
      <c r="Y2992" s="113"/>
      <c r="Z2992" s="113"/>
      <c r="AA2992" s="113"/>
      <c r="AB2992" s="113"/>
      <c r="AC2992" s="113"/>
      <c r="AD2992" s="113"/>
      <c r="AE2992" s="113"/>
      <c r="AF2992" s="113"/>
      <c r="AG2992" s="113"/>
      <c r="AH2992" s="113"/>
      <c r="AI2992" s="113"/>
      <c r="AJ2992" s="113"/>
      <c r="AK2992" s="113"/>
      <c r="AL2992" s="113" t="s">
        <v>1113</v>
      </c>
      <c r="AM2992" s="113"/>
      <c r="AN2992" s="113"/>
      <c r="AO2992" s="43" t="s">
        <v>2348</v>
      </c>
      <c r="AP2992" s="43" t="s">
        <v>4850</v>
      </c>
      <c r="AQ2992" s="233" t="str">
        <f>VLOOKUP(Table8[[#This Row],[Instrument]],Def_Targets!$D$73:$E$159,2,FALSE)</f>
        <v>I_ITS</v>
      </c>
      <c r="AR2992" s="242" t="str">
        <f>VLOOKUP(Table8[[#This Row],[Country Code]],Table29[],3,FALSE)</f>
        <v>Non-Annex I</v>
      </c>
      <c r="AS2992" s="242" t="str">
        <f>VLOOKUP(Table8[[#This Row],[Country Code]],Table29[],4,FALSE)</f>
        <v>Asia</v>
      </c>
      <c r="AT2992" s="242" t="str">
        <f>VLOOKUP(Table8[[#This Row],[Country Code]],Table29[],5,FALSE)</f>
        <v>High-income</v>
      </c>
      <c r="AU2992" s="242" t="str">
        <f>VLOOKUP(Table8[[#This Row],[Country Code]],Table29[],6,FALSE)</f>
        <v>no</v>
      </c>
      <c r="AV2992" s="242" t="str">
        <f>VLOOKUP(Table8[[#This Row],[Country Code]],Table29[],7,FALSE)</f>
        <v>no</v>
      </c>
      <c r="AW2992" s="242" t="str">
        <f>VLOOKUP(Table8[[#This Row],[Country Code]],Table29[],8,FALSE)</f>
        <v>non-OECD</v>
      </c>
      <c r="AX2992" s="242" t="str">
        <f>VLOOKUP(Table8[[#This Row],[Country Code]],Table29[],9,FALSE)</f>
        <v>no</v>
      </c>
      <c r="AY2992" s="242" t="str">
        <f>VLOOKUP(Table8[[#This Row],[Country Code]],Table29[],10,FALSE)</f>
        <v>MENA</v>
      </c>
      <c r="AZ2992" s="242">
        <f>VLOOKUP(Table8[[#This Row],[Country Code]],Table29[],23,FALSE)</f>
        <v>267.82319378585998</v>
      </c>
      <c r="BA2992" s="242">
        <f>VLOOKUP(Table8[[#This Row],[Country Code]],Table29[],24,FALSE)</f>
        <v>43.860911308351241</v>
      </c>
      <c r="BB2992" s="320"/>
    </row>
    <row r="2993" spans="1:54" ht="60" x14ac:dyDescent="0.25">
      <c r="A2993" s="373">
        <v>43699</v>
      </c>
      <c r="B2993" s="243" t="str">
        <f>VLOOKUP(Table8[[#This Row],[Document ID]],Table1[],2,FALSE)</f>
        <v>ARE</v>
      </c>
      <c r="C2993" s="243" t="str">
        <f>VLOOKUP(Table8[[#This Row],[Document ID]],Table1[],3,FALSE)</f>
        <v>United Arab Emirates</v>
      </c>
      <c r="D2993" s="243" t="str">
        <f>VLOOKUP(Table8[[#This Row],[Document ID]],Table1[],5,FALSE)</f>
        <v>NDC</v>
      </c>
      <c r="E2993" s="233" t="str">
        <f>VLOOKUP(Table8[[#This Row],[Document ID]],Table1[],7,FALSE)</f>
        <v>Third NDC</v>
      </c>
      <c r="F2993" s="233" t="str">
        <f>VLOOKUP(Table8[[#This Row],[Document ID]],Table1[],8,FALSE)</f>
        <v>NDC 3.0</v>
      </c>
      <c r="G2993" s="233" t="str">
        <f>VLOOKUP(Table8[[#This Row],[Document ID]],Table1[],10,FALSE)</f>
        <v>Active</v>
      </c>
      <c r="H2993" s="43" t="s">
        <v>2343</v>
      </c>
      <c r="I2993" s="43" t="s">
        <v>2429</v>
      </c>
      <c r="J2993" s="43" t="s">
        <v>2501</v>
      </c>
      <c r="K2993" s="44" t="s">
        <v>5041</v>
      </c>
      <c r="L2993" s="44" t="s">
        <v>3939</v>
      </c>
      <c r="M2993" s="43">
        <v>29</v>
      </c>
      <c r="N2993" s="113"/>
      <c r="O2993" s="113"/>
      <c r="P2993" s="113"/>
      <c r="Q2993" s="113"/>
      <c r="R2993" s="113"/>
      <c r="S2993" s="113" t="s">
        <v>1113</v>
      </c>
      <c r="T2993" s="113"/>
      <c r="U2993" s="113"/>
      <c r="V2993" s="113"/>
      <c r="W2993" s="113"/>
      <c r="X2993" s="113"/>
      <c r="Y2993" s="113"/>
      <c r="Z2993" s="113"/>
      <c r="AA2993" s="113"/>
      <c r="AB2993" s="113"/>
      <c r="AC2993" s="113"/>
      <c r="AD2993" s="113"/>
      <c r="AE2993" s="113"/>
      <c r="AF2993" s="113"/>
      <c r="AG2993" s="113"/>
      <c r="AH2993" s="113"/>
      <c r="AI2993" s="113"/>
      <c r="AJ2993" s="113"/>
      <c r="AK2993" s="113"/>
      <c r="AL2993" s="113" t="s">
        <v>1113</v>
      </c>
      <c r="AM2993" s="113"/>
      <c r="AN2993" s="113"/>
      <c r="AO2993" s="43" t="s">
        <v>2348</v>
      </c>
      <c r="AP2993" s="43" t="s">
        <v>4850</v>
      </c>
      <c r="AQ2993" s="233" t="str">
        <f>VLOOKUP(Table8[[#This Row],[Instrument]],Def_Targets!$D$73:$E$159,2,FALSE)</f>
        <v>I_Autonomous</v>
      </c>
      <c r="AR2993" s="242" t="str">
        <f>VLOOKUP(Table8[[#This Row],[Country Code]],Table29[],3,FALSE)</f>
        <v>Non-Annex I</v>
      </c>
      <c r="AS2993" s="242" t="str">
        <f>VLOOKUP(Table8[[#This Row],[Country Code]],Table29[],4,FALSE)</f>
        <v>Asia</v>
      </c>
      <c r="AT2993" s="242" t="str">
        <f>VLOOKUP(Table8[[#This Row],[Country Code]],Table29[],5,FALSE)</f>
        <v>High-income</v>
      </c>
      <c r="AU2993" s="242" t="str">
        <f>VLOOKUP(Table8[[#This Row],[Country Code]],Table29[],6,FALSE)</f>
        <v>no</v>
      </c>
      <c r="AV2993" s="242" t="str">
        <f>VLOOKUP(Table8[[#This Row],[Country Code]],Table29[],7,FALSE)</f>
        <v>no</v>
      </c>
      <c r="AW2993" s="242" t="str">
        <f>VLOOKUP(Table8[[#This Row],[Country Code]],Table29[],8,FALSE)</f>
        <v>non-OECD</v>
      </c>
      <c r="AX2993" s="242" t="str">
        <f>VLOOKUP(Table8[[#This Row],[Country Code]],Table29[],9,FALSE)</f>
        <v>no</v>
      </c>
      <c r="AY2993" s="242" t="str">
        <f>VLOOKUP(Table8[[#This Row],[Country Code]],Table29[],10,FALSE)</f>
        <v>MENA</v>
      </c>
      <c r="AZ2993" s="242">
        <f>VLOOKUP(Table8[[#This Row],[Country Code]],Table29[],23,FALSE)</f>
        <v>267.82319378585998</v>
      </c>
      <c r="BA2993" s="242">
        <f>VLOOKUP(Table8[[#This Row],[Country Code]],Table29[],24,FALSE)</f>
        <v>43.860911308351241</v>
      </c>
      <c r="BB2993" s="320"/>
    </row>
    <row r="2994" spans="1:54" ht="60" x14ac:dyDescent="0.25">
      <c r="A2994" s="373">
        <v>43857</v>
      </c>
      <c r="B2994" s="243" t="str">
        <f>VLOOKUP(Table8[[#This Row],[Document ID]],Table1[],2,FALSE)</f>
        <v>GBR</v>
      </c>
      <c r="C2994" s="243" t="str">
        <f>VLOOKUP(Table8[[#This Row],[Document ID]],Table1[],3,FALSE)</f>
        <v>United Kingdom</v>
      </c>
      <c r="D2994" s="243" t="str">
        <f>VLOOKUP(Table8[[#This Row],[Document ID]],Table1[],5,FALSE)</f>
        <v>NDC</v>
      </c>
      <c r="E2994" s="233" t="str">
        <f>VLOOKUP(Table8[[#This Row],[Document ID]],Table1[],7,FALSE)</f>
        <v>Third NDC</v>
      </c>
      <c r="F2994" s="233" t="str">
        <f>VLOOKUP(Table8[[#This Row],[Document ID]],Table1[],8,FALSE)</f>
        <v>NDC 3.0</v>
      </c>
      <c r="G2994" s="233" t="str">
        <f>VLOOKUP(Table8[[#This Row],[Document ID]],Table1[],10,FALSE)</f>
        <v>Active</v>
      </c>
      <c r="H2994" s="43" t="s">
        <v>2343</v>
      </c>
      <c r="I2994" s="43" t="s">
        <v>2344</v>
      </c>
      <c r="J2994" s="43" t="s">
        <v>2405</v>
      </c>
      <c r="K2994" s="44" t="s">
        <v>5042</v>
      </c>
      <c r="L2994" s="44" t="s">
        <v>2333</v>
      </c>
      <c r="M2994" s="43">
        <v>14</v>
      </c>
      <c r="N2994" s="113"/>
      <c r="O2994" s="113"/>
      <c r="P2994" s="113"/>
      <c r="Q2994" s="113"/>
      <c r="R2994" s="113"/>
      <c r="S2994" s="113"/>
      <c r="T2994" s="113"/>
      <c r="U2994" s="113"/>
      <c r="V2994" s="113"/>
      <c r="W2994" s="113"/>
      <c r="X2994" s="113"/>
      <c r="Y2994" s="113" t="s">
        <v>1113</v>
      </c>
      <c r="Z2994" s="113" t="s">
        <v>1113</v>
      </c>
      <c r="AA2994" s="113"/>
      <c r="AB2994" s="113"/>
      <c r="AC2994" s="113" t="s">
        <v>1113</v>
      </c>
      <c r="AD2994" s="113"/>
      <c r="AE2994" s="113"/>
      <c r="AF2994" s="113"/>
      <c r="AG2994" s="113"/>
      <c r="AH2994" s="113"/>
      <c r="AI2994" s="113"/>
      <c r="AJ2994" s="113"/>
      <c r="AK2994" s="113" t="s">
        <v>1291</v>
      </c>
      <c r="AL2994" s="113"/>
      <c r="AM2994" s="113"/>
      <c r="AN2994" s="113"/>
      <c r="AO2994" s="43" t="s">
        <v>2348</v>
      </c>
      <c r="AP2994" s="43" t="s">
        <v>4873</v>
      </c>
      <c r="AQ2994" s="233" t="str">
        <f>VLOOKUP(Table8[[#This Row],[Instrument]],Def_Targets!$D$73:$E$159,2,FALSE)</f>
        <v>S_PTIntegration</v>
      </c>
      <c r="AR2994" s="242" t="str">
        <f>VLOOKUP(Table8[[#This Row],[Country Code]],Table29[],3,FALSE)</f>
        <v>Annex I</v>
      </c>
      <c r="AS2994" s="242" t="str">
        <f>VLOOKUP(Table8[[#This Row],[Country Code]],Table29[],4,FALSE)</f>
        <v>Europe</v>
      </c>
      <c r="AT2994" s="242" t="str">
        <f>VLOOKUP(Table8[[#This Row],[Country Code]],Table29[],5,FALSE)</f>
        <v>High-income</v>
      </c>
      <c r="AU2994" s="242" t="str">
        <f>VLOOKUP(Table8[[#This Row],[Country Code]],Table29[],6,FALSE)</f>
        <v>G20</v>
      </c>
      <c r="AV2994" s="242" t="str">
        <f>VLOOKUP(Table8[[#This Row],[Country Code]],Table29[],7,FALSE)</f>
        <v>G7</v>
      </c>
      <c r="AW2994" s="242" t="str">
        <f>VLOOKUP(Table8[[#This Row],[Country Code]],Table29[],8,FALSE)</f>
        <v>OECD</v>
      </c>
      <c r="AX2994" s="242" t="str">
        <f>VLOOKUP(Table8[[#This Row],[Country Code]],Table29[],9,FALSE)</f>
        <v>no</v>
      </c>
      <c r="AY2994" s="242" t="str">
        <f>VLOOKUP(Table8[[#This Row],[Country Code]],Table29[],10,FALSE)</f>
        <v>no</v>
      </c>
      <c r="AZ2994" s="242">
        <f>VLOOKUP(Table8[[#This Row],[Country Code]],Table29[],23,FALSE)</f>
        <v>379.31858785213001</v>
      </c>
      <c r="BA2994" s="242">
        <f>VLOOKUP(Table8[[#This Row],[Country Code]],Table29[],24,FALSE)</f>
        <v>109.75048777474809</v>
      </c>
      <c r="BB2994" s="320"/>
    </row>
    <row r="2995" spans="1:54" ht="30" x14ac:dyDescent="0.25">
      <c r="A2995" s="373">
        <v>43857</v>
      </c>
      <c r="B2995" s="243" t="str">
        <f>VLOOKUP(Table8[[#This Row],[Document ID]],Table1[],2,FALSE)</f>
        <v>GBR</v>
      </c>
      <c r="C2995" s="243" t="str">
        <f>VLOOKUP(Table8[[#This Row],[Document ID]],Table1[],3,FALSE)</f>
        <v>United Kingdom</v>
      </c>
      <c r="D2995" s="243" t="str">
        <f>VLOOKUP(Table8[[#This Row],[Document ID]],Table1[],5,FALSE)</f>
        <v>NDC</v>
      </c>
      <c r="E2995" s="233" t="str">
        <f>VLOOKUP(Table8[[#This Row],[Document ID]],Table1[],7,FALSE)</f>
        <v>Third NDC</v>
      </c>
      <c r="F2995" s="233" t="str">
        <f>VLOOKUP(Table8[[#This Row],[Document ID]],Table1[],8,FALSE)</f>
        <v>NDC 3.0</v>
      </c>
      <c r="G2995" s="233" t="str">
        <f>VLOOKUP(Table8[[#This Row],[Document ID]],Table1[],10,FALSE)</f>
        <v>Active</v>
      </c>
      <c r="H2995" s="43" t="s">
        <v>2343</v>
      </c>
      <c r="I2995" s="43" t="s">
        <v>2377</v>
      </c>
      <c r="J2995" s="43" t="s">
        <v>2394</v>
      </c>
      <c r="K2995" s="44" t="s">
        <v>5043</v>
      </c>
      <c r="L2995" s="44" t="s">
        <v>5015</v>
      </c>
      <c r="M2995" s="43">
        <v>23</v>
      </c>
      <c r="N2995" s="113"/>
      <c r="O2995" s="113"/>
      <c r="P2995" s="113" t="s">
        <v>1113</v>
      </c>
      <c r="Q2995" s="113"/>
      <c r="R2995" s="113"/>
      <c r="S2995" s="113"/>
      <c r="T2995" s="113"/>
      <c r="U2995" s="113" t="s">
        <v>1113</v>
      </c>
      <c r="V2995" s="113"/>
      <c r="W2995" s="113"/>
      <c r="X2995" s="113"/>
      <c r="Y2995" s="113"/>
      <c r="Z2995" s="113"/>
      <c r="AA2995" s="113"/>
      <c r="AB2995" s="113"/>
      <c r="AC2995" s="113"/>
      <c r="AD2995" s="113"/>
      <c r="AE2995" s="113"/>
      <c r="AF2995" s="113"/>
      <c r="AG2995" s="113"/>
      <c r="AH2995" s="113"/>
      <c r="AI2995" s="113"/>
      <c r="AJ2995" s="113"/>
      <c r="AK2995" s="113" t="s">
        <v>1113</v>
      </c>
      <c r="AL2995" s="113"/>
      <c r="AM2995" s="113"/>
      <c r="AN2995" s="113"/>
      <c r="AO2995" s="43" t="s">
        <v>2348</v>
      </c>
      <c r="AP2995" s="43" t="s">
        <v>4873</v>
      </c>
      <c r="AQ2995" s="233" t="str">
        <f>VLOOKUP(Table8[[#This Row],[Instrument]],Def_Targets!$D$73:$E$159,2,FALSE)</f>
        <v>A_TDM</v>
      </c>
      <c r="AR2995" s="242" t="str">
        <f>VLOOKUP(Table8[[#This Row],[Country Code]],Table29[],3,FALSE)</f>
        <v>Annex I</v>
      </c>
      <c r="AS2995" s="242" t="str">
        <f>VLOOKUP(Table8[[#This Row],[Country Code]],Table29[],4,FALSE)</f>
        <v>Europe</v>
      </c>
      <c r="AT2995" s="242" t="str">
        <f>VLOOKUP(Table8[[#This Row],[Country Code]],Table29[],5,FALSE)</f>
        <v>High-income</v>
      </c>
      <c r="AU2995" s="242" t="str">
        <f>VLOOKUP(Table8[[#This Row],[Country Code]],Table29[],6,FALSE)</f>
        <v>G20</v>
      </c>
      <c r="AV2995" s="242" t="str">
        <f>VLOOKUP(Table8[[#This Row],[Country Code]],Table29[],7,FALSE)</f>
        <v>G7</v>
      </c>
      <c r="AW2995" s="242" t="str">
        <f>VLOOKUP(Table8[[#This Row],[Country Code]],Table29[],8,FALSE)</f>
        <v>OECD</v>
      </c>
      <c r="AX2995" s="242" t="str">
        <f>VLOOKUP(Table8[[#This Row],[Country Code]],Table29[],9,FALSE)</f>
        <v>no</v>
      </c>
      <c r="AY2995" s="242" t="str">
        <f>VLOOKUP(Table8[[#This Row],[Country Code]],Table29[],10,FALSE)</f>
        <v>no</v>
      </c>
      <c r="AZ2995" s="242">
        <f>VLOOKUP(Table8[[#This Row],[Country Code]],Table29[],23,FALSE)</f>
        <v>379.31858785213001</v>
      </c>
      <c r="BA2995" s="242">
        <f>VLOOKUP(Table8[[#This Row],[Country Code]],Table29[],24,FALSE)</f>
        <v>109.75048777474809</v>
      </c>
      <c r="BB2995" s="320"/>
    </row>
    <row r="2996" spans="1:54" ht="45" x14ac:dyDescent="0.25">
      <c r="A2996" s="373">
        <v>43857</v>
      </c>
      <c r="B2996" s="243" t="str">
        <f>VLOOKUP(Table8[[#This Row],[Document ID]],Table1[],2,FALSE)</f>
        <v>GBR</v>
      </c>
      <c r="C2996" s="243" t="str">
        <f>VLOOKUP(Table8[[#This Row],[Document ID]],Table1[],3,FALSE)</f>
        <v>United Kingdom</v>
      </c>
      <c r="D2996" s="243" t="str">
        <f>VLOOKUP(Table8[[#This Row],[Document ID]],Table1[],5,FALSE)</f>
        <v>NDC</v>
      </c>
      <c r="E2996" s="233" t="str">
        <f>VLOOKUP(Table8[[#This Row],[Document ID]],Table1[],7,FALSE)</f>
        <v>Third NDC</v>
      </c>
      <c r="F2996" s="233" t="str">
        <f>VLOOKUP(Table8[[#This Row],[Document ID]],Table1[],8,FALSE)</f>
        <v>NDC 3.0</v>
      </c>
      <c r="G2996" s="233" t="str">
        <f>VLOOKUP(Table8[[#This Row],[Document ID]],Table1[],10,FALSE)</f>
        <v>Active</v>
      </c>
      <c r="H2996" s="43" t="s">
        <v>2343</v>
      </c>
      <c r="I2996" s="43" t="s">
        <v>2386</v>
      </c>
      <c r="J2996" s="43" t="s">
        <v>3055</v>
      </c>
      <c r="K2996" s="44" t="s">
        <v>5044</v>
      </c>
      <c r="L2996" s="44" t="s">
        <v>2380</v>
      </c>
      <c r="M2996" s="43">
        <v>24</v>
      </c>
      <c r="N2996" s="113" t="s">
        <v>1113</v>
      </c>
      <c r="O2996" s="113"/>
      <c r="P2996" s="113"/>
      <c r="Q2996" s="113"/>
      <c r="R2996" s="113"/>
      <c r="S2996" s="113"/>
      <c r="T2996" s="113"/>
      <c r="U2996" s="113"/>
      <c r="V2996" s="113"/>
      <c r="W2996" s="113"/>
      <c r="X2996" s="113"/>
      <c r="Y2996" s="113"/>
      <c r="Z2996" s="113"/>
      <c r="AA2996" s="113"/>
      <c r="AB2996" s="113"/>
      <c r="AC2996" s="113"/>
      <c r="AD2996" s="113"/>
      <c r="AE2996" s="113"/>
      <c r="AF2996" s="113"/>
      <c r="AG2996" s="113"/>
      <c r="AH2996" s="113"/>
      <c r="AI2996" s="113"/>
      <c r="AJ2996" s="113"/>
      <c r="AK2996" s="113" t="s">
        <v>1113</v>
      </c>
      <c r="AL2996" s="113"/>
      <c r="AM2996" s="113"/>
      <c r="AN2996" s="113"/>
      <c r="AO2996" s="43" t="s">
        <v>2334</v>
      </c>
      <c r="AP2996" s="43" t="s">
        <v>4873</v>
      </c>
      <c r="AQ2996" s="233" t="str">
        <f>VLOOKUP(Table8[[#This Row],[Instrument]],Def_Targets!$D$73:$E$159,2,FALSE)</f>
        <v>A_Emistrad</v>
      </c>
      <c r="AR2996" s="242" t="str">
        <f>VLOOKUP(Table8[[#This Row],[Country Code]],Table29[],3,FALSE)</f>
        <v>Annex I</v>
      </c>
      <c r="AS2996" s="242" t="str">
        <f>VLOOKUP(Table8[[#This Row],[Country Code]],Table29[],4,FALSE)</f>
        <v>Europe</v>
      </c>
      <c r="AT2996" s="242" t="str">
        <f>VLOOKUP(Table8[[#This Row],[Country Code]],Table29[],5,FALSE)</f>
        <v>High-income</v>
      </c>
      <c r="AU2996" s="242" t="str">
        <f>VLOOKUP(Table8[[#This Row],[Country Code]],Table29[],6,FALSE)</f>
        <v>G20</v>
      </c>
      <c r="AV2996" s="242" t="str">
        <f>VLOOKUP(Table8[[#This Row],[Country Code]],Table29[],7,FALSE)</f>
        <v>G7</v>
      </c>
      <c r="AW2996" s="242" t="str">
        <f>VLOOKUP(Table8[[#This Row],[Country Code]],Table29[],8,FALSE)</f>
        <v>OECD</v>
      </c>
      <c r="AX2996" s="242" t="str">
        <f>VLOOKUP(Table8[[#This Row],[Country Code]],Table29[],9,FALSE)</f>
        <v>no</v>
      </c>
      <c r="AY2996" s="242" t="str">
        <f>VLOOKUP(Table8[[#This Row],[Country Code]],Table29[],10,FALSE)</f>
        <v>no</v>
      </c>
      <c r="AZ2996" s="242">
        <f>VLOOKUP(Table8[[#This Row],[Country Code]],Table29[],23,FALSE)</f>
        <v>379.31858785213001</v>
      </c>
      <c r="BA2996" s="242">
        <f>VLOOKUP(Table8[[#This Row],[Country Code]],Table29[],24,FALSE)</f>
        <v>109.75048777474809</v>
      </c>
      <c r="BB2996" s="320"/>
    </row>
    <row r="2997" spans="1:54" ht="105" x14ac:dyDescent="0.25">
      <c r="A2997" s="373">
        <v>43857</v>
      </c>
      <c r="B2997" s="243" t="str">
        <f>VLOOKUP(Table8[[#This Row],[Document ID]],Table1[],2,FALSE)</f>
        <v>GBR</v>
      </c>
      <c r="C2997" s="243" t="str">
        <f>VLOOKUP(Table8[[#This Row],[Document ID]],Table1[],3,FALSE)</f>
        <v>United Kingdom</v>
      </c>
      <c r="D2997" s="243" t="str">
        <f>VLOOKUP(Table8[[#This Row],[Document ID]],Table1[],5,FALSE)</f>
        <v>NDC</v>
      </c>
      <c r="E2997" s="233" t="str">
        <f>VLOOKUP(Table8[[#This Row],[Document ID]],Table1[],7,FALSE)</f>
        <v>Third NDC</v>
      </c>
      <c r="F2997" s="233" t="str">
        <f>VLOOKUP(Table8[[#This Row],[Document ID]],Table1[],8,FALSE)</f>
        <v>NDC 3.0</v>
      </c>
      <c r="G2997" s="233" t="str">
        <f>VLOOKUP(Table8[[#This Row],[Document ID]],Table1[],10,FALSE)</f>
        <v>Active</v>
      </c>
      <c r="H2997" s="43" t="s">
        <v>2343</v>
      </c>
      <c r="I2997" s="43" t="s">
        <v>2386</v>
      </c>
      <c r="J2997" s="43" t="s">
        <v>2515</v>
      </c>
      <c r="K2997" s="44" t="s">
        <v>5045</v>
      </c>
      <c r="L2997" s="44" t="s">
        <v>2380</v>
      </c>
      <c r="M2997" s="43">
        <v>56</v>
      </c>
      <c r="N2997" s="113" t="s">
        <v>1113</v>
      </c>
      <c r="O2997" s="113"/>
      <c r="P2997" s="113"/>
      <c r="Q2997" s="113"/>
      <c r="R2997" s="113"/>
      <c r="S2997" s="113"/>
      <c r="T2997" s="113"/>
      <c r="U2997" s="113"/>
      <c r="V2997" s="113"/>
      <c r="W2997" s="113"/>
      <c r="X2997" s="113"/>
      <c r="Y2997" s="113"/>
      <c r="Z2997" s="113"/>
      <c r="AA2997" s="113"/>
      <c r="AB2997" s="113"/>
      <c r="AC2997" s="113"/>
      <c r="AD2997" s="113"/>
      <c r="AE2997" s="113"/>
      <c r="AF2997" s="113"/>
      <c r="AG2997" s="113"/>
      <c r="AH2997" s="113"/>
      <c r="AI2997" s="113"/>
      <c r="AJ2997" s="113"/>
      <c r="AK2997" s="113" t="s">
        <v>1113</v>
      </c>
      <c r="AL2997" s="113"/>
      <c r="AM2997" s="113"/>
      <c r="AN2997" s="113"/>
      <c r="AO2997" s="43" t="s">
        <v>2334</v>
      </c>
      <c r="AP2997" s="43" t="s">
        <v>4873</v>
      </c>
      <c r="AQ2997" s="233" t="str">
        <f>VLOOKUP(Table8[[#This Row],[Instrument]],Def_Targets!$D$73:$E$159,2,FALSE)</f>
        <v>A_Fossilfuelsubs</v>
      </c>
      <c r="AR2997" s="242" t="str">
        <f>VLOOKUP(Table8[[#This Row],[Country Code]],Table29[],3,FALSE)</f>
        <v>Annex I</v>
      </c>
      <c r="AS2997" s="242" t="str">
        <f>VLOOKUP(Table8[[#This Row],[Country Code]],Table29[],4,FALSE)</f>
        <v>Europe</v>
      </c>
      <c r="AT2997" s="242" t="str">
        <f>VLOOKUP(Table8[[#This Row],[Country Code]],Table29[],5,FALSE)</f>
        <v>High-income</v>
      </c>
      <c r="AU2997" s="242" t="str">
        <f>VLOOKUP(Table8[[#This Row],[Country Code]],Table29[],6,FALSE)</f>
        <v>G20</v>
      </c>
      <c r="AV2997" s="242" t="str">
        <f>VLOOKUP(Table8[[#This Row],[Country Code]],Table29[],7,FALSE)</f>
        <v>G7</v>
      </c>
      <c r="AW2997" s="242" t="str">
        <f>VLOOKUP(Table8[[#This Row],[Country Code]],Table29[],8,FALSE)</f>
        <v>OECD</v>
      </c>
      <c r="AX2997" s="242" t="str">
        <f>VLOOKUP(Table8[[#This Row],[Country Code]],Table29[],9,FALSE)</f>
        <v>no</v>
      </c>
      <c r="AY2997" s="242" t="str">
        <f>VLOOKUP(Table8[[#This Row],[Country Code]],Table29[],10,FALSE)</f>
        <v>no</v>
      </c>
      <c r="AZ2997" s="242">
        <f>VLOOKUP(Table8[[#This Row],[Country Code]],Table29[],23,FALSE)</f>
        <v>379.31858785213001</v>
      </c>
      <c r="BA2997" s="242">
        <f>VLOOKUP(Table8[[#This Row],[Country Code]],Table29[],24,FALSE)</f>
        <v>109.75048777474809</v>
      </c>
      <c r="BB2997" s="320"/>
    </row>
    <row r="2998" spans="1:54" ht="165" x14ac:dyDescent="0.25">
      <c r="A2998" s="404">
        <v>43701</v>
      </c>
      <c r="B2998" s="243" t="str">
        <f>VLOOKUP(Table8[[#This Row],[Document ID]],Table1[],2,FALSE)</f>
        <v>USA</v>
      </c>
      <c r="C2998" s="243" t="str">
        <f>VLOOKUP(Table8[[#This Row],[Document ID]],Table1[],3,FALSE)</f>
        <v>United States of America</v>
      </c>
      <c r="D2998" s="243" t="str">
        <f>VLOOKUP(Table8[[#This Row],[Document ID]],Table1[],5,FALSE)</f>
        <v>NDC</v>
      </c>
      <c r="E2998" s="233" t="str">
        <f>VLOOKUP(Table8[[#This Row],[Document ID]],Table1[],7,FALSE)</f>
        <v>Third NDC</v>
      </c>
      <c r="F2998" s="233" t="str">
        <f>VLOOKUP(Table8[[#This Row],[Document ID]],Table1[],8,FALSE)</f>
        <v>NDC 3.0</v>
      </c>
      <c r="G2998" s="233" t="str">
        <f>VLOOKUP(Table8[[#This Row],[Document ID]],Table1[],10,FALSE)</f>
        <v>Active</v>
      </c>
      <c r="H2998" s="43" t="s">
        <v>2343</v>
      </c>
      <c r="I2998" s="43" t="s">
        <v>2386</v>
      </c>
      <c r="J2998" s="43" t="s">
        <v>2397</v>
      </c>
      <c r="K2998" s="44" t="s">
        <v>5046</v>
      </c>
      <c r="L2998" s="44" t="s">
        <v>4912</v>
      </c>
      <c r="M2998" s="43">
        <v>7</v>
      </c>
      <c r="N2998" s="113"/>
      <c r="O2998" s="113"/>
      <c r="P2998" s="113"/>
      <c r="Q2998" s="113"/>
      <c r="R2998" s="113"/>
      <c r="S2998" s="113" t="s">
        <v>1113</v>
      </c>
      <c r="T2998" s="113"/>
      <c r="U2998" s="113"/>
      <c r="V2998" s="113"/>
      <c r="W2998" s="113"/>
      <c r="X2998" s="113"/>
      <c r="Y2998" s="113" t="s">
        <v>1113</v>
      </c>
      <c r="Z2998" s="113" t="s">
        <v>1113</v>
      </c>
      <c r="AA2998" s="113"/>
      <c r="AB2998" s="113"/>
      <c r="AC2998" s="113" t="s">
        <v>1113</v>
      </c>
      <c r="AD2998" s="113" t="s">
        <v>1113</v>
      </c>
      <c r="AE2998" s="113"/>
      <c r="AF2998" s="113"/>
      <c r="AG2998" s="113"/>
      <c r="AH2998" s="113" t="s">
        <v>1113</v>
      </c>
      <c r="AI2998" s="113"/>
      <c r="AJ2998" s="113"/>
      <c r="AK2998" s="113" t="s">
        <v>1113</v>
      </c>
      <c r="AL2998" s="113"/>
      <c r="AM2998" s="113"/>
      <c r="AN2998" s="113"/>
      <c r="AO2998" s="43" t="s">
        <v>2477</v>
      </c>
      <c r="AP2998" s="43" t="s">
        <v>4861</v>
      </c>
      <c r="AQ2998" s="233" t="str">
        <f>VLOOKUP(Table8[[#This Row],[Instrument]],Def_Targets!$D$73:$E$159,2,FALSE)</f>
        <v>A_Finance</v>
      </c>
      <c r="AR2998" s="242" t="str">
        <f>VLOOKUP(Table8[[#This Row],[Country Code]],Table29[],3,FALSE)</f>
        <v>Annex I</v>
      </c>
      <c r="AS2998" s="242" t="str">
        <f>VLOOKUP(Table8[[#This Row],[Country Code]],Table29[],4,FALSE)</f>
        <v>Northern America</v>
      </c>
      <c r="AT2998" s="242" t="str">
        <f>VLOOKUP(Table8[[#This Row],[Country Code]],Table29[],5,FALSE)</f>
        <v>High-income</v>
      </c>
      <c r="AU2998" s="242" t="str">
        <f>VLOOKUP(Table8[[#This Row],[Country Code]],Table29[],6,FALSE)</f>
        <v>G20</v>
      </c>
      <c r="AV2998" s="242" t="str">
        <f>VLOOKUP(Table8[[#This Row],[Country Code]],Table29[],7,FALSE)</f>
        <v>G7</v>
      </c>
      <c r="AW2998" s="242" t="str">
        <f>VLOOKUP(Table8[[#This Row],[Country Code]],Table29[],8,FALSE)</f>
        <v>OECD</v>
      </c>
      <c r="AX2998" s="242" t="str">
        <f>VLOOKUP(Table8[[#This Row],[Country Code]],Table29[],9,FALSE)</f>
        <v>no</v>
      </c>
      <c r="AY2998" s="242" t="str">
        <f>VLOOKUP(Table8[[#This Row],[Country Code]],Table29[],10,FALSE)</f>
        <v>no</v>
      </c>
      <c r="AZ2998" s="242">
        <f>VLOOKUP(Table8[[#This Row],[Country Code]],Table29[],23,FALSE)</f>
        <v>5960.8043799938996</v>
      </c>
      <c r="BA2998" s="242">
        <f>VLOOKUP(Table8[[#This Row],[Country Code]],Table29[],24,FALSE)</f>
        <v>1735.9036371632039</v>
      </c>
      <c r="BB2998" s="320"/>
    </row>
    <row r="2999" spans="1:54" ht="30" x14ac:dyDescent="0.25">
      <c r="A2999" s="373">
        <v>43701</v>
      </c>
      <c r="B2999" s="243" t="str">
        <f>VLOOKUP(Table8[[#This Row],[Document ID]],Table1[],2,FALSE)</f>
        <v>USA</v>
      </c>
      <c r="C2999" s="243" t="str">
        <f>VLOOKUP(Table8[[#This Row],[Document ID]],Table1[],3,FALSE)</f>
        <v>United States of America</v>
      </c>
      <c r="D2999" s="243" t="str">
        <f>VLOOKUP(Table8[[#This Row],[Document ID]],Table1[],5,FALSE)</f>
        <v>NDC</v>
      </c>
      <c r="E2999" s="233" t="str">
        <f>VLOOKUP(Table8[[#This Row],[Document ID]],Table1[],7,FALSE)</f>
        <v>Third NDC</v>
      </c>
      <c r="F2999" s="233" t="str">
        <f>VLOOKUP(Table8[[#This Row],[Document ID]],Table1[],8,FALSE)</f>
        <v>NDC 3.0</v>
      </c>
      <c r="G2999" s="233" t="str">
        <f>VLOOKUP(Table8[[#This Row],[Document ID]],Table1[],10,FALSE)</f>
        <v>Active</v>
      </c>
      <c r="H2999" s="43" t="s">
        <v>2343</v>
      </c>
      <c r="I2999" s="43" t="s">
        <v>2361</v>
      </c>
      <c r="J2999" s="43" t="s">
        <v>2366</v>
      </c>
      <c r="K2999" s="44" t="s">
        <v>5047</v>
      </c>
      <c r="L2999" s="44" t="s">
        <v>2347</v>
      </c>
      <c r="M2999" s="43">
        <v>8</v>
      </c>
      <c r="N2999" s="113"/>
      <c r="O2999" s="113"/>
      <c r="P2999" s="113"/>
      <c r="Q2999" s="113" t="s">
        <v>1113</v>
      </c>
      <c r="R2999" s="113" t="s">
        <v>1113</v>
      </c>
      <c r="S2999" s="113"/>
      <c r="T2999" s="113"/>
      <c r="U2999" s="113"/>
      <c r="V2999" s="113"/>
      <c r="W2999" s="113"/>
      <c r="X2999" s="113"/>
      <c r="Y2999" s="113"/>
      <c r="Z2999" s="113"/>
      <c r="AA2999" s="113"/>
      <c r="AB2999" s="113"/>
      <c r="AC2999" s="113"/>
      <c r="AD2999" s="113"/>
      <c r="AE2999" s="113"/>
      <c r="AF2999" s="113"/>
      <c r="AG2999" s="113"/>
      <c r="AH2999" s="113"/>
      <c r="AI2999" s="113"/>
      <c r="AJ2999" s="113"/>
      <c r="AK2999" s="113"/>
      <c r="AL2999" s="113"/>
      <c r="AM2999" s="113"/>
      <c r="AN2999" s="113"/>
      <c r="AO2999" s="43" t="s">
        <v>2334</v>
      </c>
      <c r="AP2999" s="43" t="s">
        <v>4850</v>
      </c>
      <c r="AQ2999" s="233" t="str">
        <f>VLOOKUP(Table8[[#This Row],[Instrument]],Def_Targets!$D$73:$E$159,2,FALSE)</f>
        <v>S_Activemobility</v>
      </c>
      <c r="AR2999" s="242" t="str">
        <f>VLOOKUP(Table8[[#This Row],[Country Code]],Table29[],3,FALSE)</f>
        <v>Annex I</v>
      </c>
      <c r="AS2999" s="242" t="str">
        <f>VLOOKUP(Table8[[#This Row],[Country Code]],Table29[],4,FALSE)</f>
        <v>Northern America</v>
      </c>
      <c r="AT2999" s="242" t="str">
        <f>VLOOKUP(Table8[[#This Row],[Country Code]],Table29[],5,FALSE)</f>
        <v>High-income</v>
      </c>
      <c r="AU2999" s="242" t="str">
        <f>VLOOKUP(Table8[[#This Row],[Country Code]],Table29[],6,FALSE)</f>
        <v>G20</v>
      </c>
      <c r="AV2999" s="242" t="str">
        <f>VLOOKUP(Table8[[#This Row],[Country Code]],Table29[],7,FALSE)</f>
        <v>G7</v>
      </c>
      <c r="AW2999" s="242" t="str">
        <f>VLOOKUP(Table8[[#This Row],[Country Code]],Table29[],8,FALSE)</f>
        <v>OECD</v>
      </c>
      <c r="AX2999" s="242" t="str">
        <f>VLOOKUP(Table8[[#This Row],[Country Code]],Table29[],9,FALSE)</f>
        <v>no</v>
      </c>
      <c r="AY2999" s="242" t="str">
        <f>VLOOKUP(Table8[[#This Row],[Country Code]],Table29[],10,FALSE)</f>
        <v>no</v>
      </c>
      <c r="AZ2999" s="242">
        <f>VLOOKUP(Table8[[#This Row],[Country Code]],Table29[],23,FALSE)</f>
        <v>5960.8043799938996</v>
      </c>
      <c r="BA2999" s="242">
        <f>VLOOKUP(Table8[[#This Row],[Country Code]],Table29[],24,FALSE)</f>
        <v>1735.9036371632039</v>
      </c>
      <c r="BB2999" s="320"/>
    </row>
    <row r="3000" spans="1:54" ht="30" x14ac:dyDescent="0.25">
      <c r="A3000" s="373">
        <v>43701</v>
      </c>
      <c r="B3000" s="243" t="str">
        <f>VLOOKUP(Table8[[#This Row],[Document ID]],Table1[],2,FALSE)</f>
        <v>USA</v>
      </c>
      <c r="C3000" s="243" t="str">
        <f>VLOOKUP(Table8[[#This Row],[Document ID]],Table1[],3,FALSE)</f>
        <v>United States of America</v>
      </c>
      <c r="D3000" s="243" t="str">
        <f>VLOOKUP(Table8[[#This Row],[Document ID]],Table1[],5,FALSE)</f>
        <v>NDC</v>
      </c>
      <c r="E3000" s="233" t="str">
        <f>VLOOKUP(Table8[[#This Row],[Document ID]],Table1[],7,FALSE)</f>
        <v>Third NDC</v>
      </c>
      <c r="F3000" s="233" t="str">
        <f>VLOOKUP(Table8[[#This Row],[Document ID]],Table1[],8,FALSE)</f>
        <v>NDC 3.0</v>
      </c>
      <c r="G3000" s="233" t="str">
        <f>VLOOKUP(Table8[[#This Row],[Document ID]],Table1[],10,FALSE)</f>
        <v>Active</v>
      </c>
      <c r="H3000" s="43" t="s">
        <v>2343</v>
      </c>
      <c r="I3000" s="43" t="s">
        <v>2344</v>
      </c>
      <c r="J3000" s="43" t="s">
        <v>2345</v>
      </c>
      <c r="K3000" s="44" t="s">
        <v>5048</v>
      </c>
      <c r="L3000" s="44" t="s">
        <v>2347</v>
      </c>
      <c r="M3000" s="43">
        <v>8</v>
      </c>
      <c r="N3000" s="113"/>
      <c r="O3000" s="113"/>
      <c r="P3000" s="113"/>
      <c r="Q3000" s="113"/>
      <c r="R3000" s="113"/>
      <c r="S3000" s="113"/>
      <c r="T3000" s="113"/>
      <c r="U3000" s="113"/>
      <c r="V3000" s="113"/>
      <c r="W3000" s="113"/>
      <c r="X3000" s="113"/>
      <c r="Y3000" s="113" t="s">
        <v>1113</v>
      </c>
      <c r="Z3000" s="113" t="s">
        <v>1113</v>
      </c>
      <c r="AA3000" s="113"/>
      <c r="AB3000" s="113"/>
      <c r="AC3000" s="113" t="s">
        <v>1113</v>
      </c>
      <c r="AD3000" s="113"/>
      <c r="AE3000" s="113"/>
      <c r="AF3000" s="113"/>
      <c r="AG3000" s="113"/>
      <c r="AH3000" s="113"/>
      <c r="AI3000" s="113"/>
      <c r="AJ3000" s="113"/>
      <c r="AK3000" s="113" t="s">
        <v>1113</v>
      </c>
      <c r="AL3000" s="113"/>
      <c r="AM3000" s="113"/>
      <c r="AN3000" s="113"/>
      <c r="AO3000" s="43" t="s">
        <v>2348</v>
      </c>
      <c r="AP3000" s="43" t="s">
        <v>4850</v>
      </c>
      <c r="AQ3000" s="233" t="str">
        <f>VLOOKUP(Table8[[#This Row],[Instrument]],Def_Targets!$D$73:$E$159,2,FALSE)</f>
        <v>S_PublicTransport</v>
      </c>
      <c r="AR3000" s="242" t="str">
        <f>VLOOKUP(Table8[[#This Row],[Country Code]],Table29[],3,FALSE)</f>
        <v>Annex I</v>
      </c>
      <c r="AS3000" s="242" t="str">
        <f>VLOOKUP(Table8[[#This Row],[Country Code]],Table29[],4,FALSE)</f>
        <v>Northern America</v>
      </c>
      <c r="AT3000" s="242" t="str">
        <f>VLOOKUP(Table8[[#This Row],[Country Code]],Table29[],5,FALSE)</f>
        <v>High-income</v>
      </c>
      <c r="AU3000" s="242" t="str">
        <f>VLOOKUP(Table8[[#This Row],[Country Code]],Table29[],6,FALSE)</f>
        <v>G20</v>
      </c>
      <c r="AV3000" s="242" t="str">
        <f>VLOOKUP(Table8[[#This Row],[Country Code]],Table29[],7,FALSE)</f>
        <v>G7</v>
      </c>
      <c r="AW3000" s="242" t="str">
        <f>VLOOKUP(Table8[[#This Row],[Country Code]],Table29[],8,FALSE)</f>
        <v>OECD</v>
      </c>
      <c r="AX3000" s="242" t="str">
        <f>VLOOKUP(Table8[[#This Row],[Country Code]],Table29[],9,FALSE)</f>
        <v>no</v>
      </c>
      <c r="AY3000" s="242" t="str">
        <f>VLOOKUP(Table8[[#This Row],[Country Code]],Table29[],10,FALSE)</f>
        <v>no</v>
      </c>
      <c r="AZ3000" s="242">
        <f>VLOOKUP(Table8[[#This Row],[Country Code]],Table29[],23,FALSE)</f>
        <v>5960.8043799938996</v>
      </c>
      <c r="BA3000" s="242">
        <f>VLOOKUP(Table8[[#This Row],[Country Code]],Table29[],24,FALSE)</f>
        <v>1735.9036371632039</v>
      </c>
      <c r="BB3000" s="320"/>
    </row>
    <row r="3001" spans="1:54" ht="30" x14ac:dyDescent="0.25">
      <c r="A3001" s="373">
        <v>43701</v>
      </c>
      <c r="B3001" s="243" t="str">
        <f>VLOOKUP(Table8[[#This Row],[Document ID]],Table1[],2,FALSE)</f>
        <v>USA</v>
      </c>
      <c r="C3001" s="243" t="str">
        <f>VLOOKUP(Table8[[#This Row],[Document ID]],Table1[],3,FALSE)</f>
        <v>United States of America</v>
      </c>
      <c r="D3001" s="243" t="str">
        <f>VLOOKUP(Table8[[#This Row],[Document ID]],Table1[],5,FALSE)</f>
        <v>NDC</v>
      </c>
      <c r="E3001" s="233" t="str">
        <f>VLOOKUP(Table8[[#This Row],[Document ID]],Table1[],7,FALSE)</f>
        <v>Third NDC</v>
      </c>
      <c r="F3001" s="233" t="str">
        <f>VLOOKUP(Table8[[#This Row],[Document ID]],Table1[],8,FALSE)</f>
        <v>NDC 3.0</v>
      </c>
      <c r="G3001" s="233" t="str">
        <f>VLOOKUP(Table8[[#This Row],[Document ID]],Table1[],10,FALSE)</f>
        <v>Active</v>
      </c>
      <c r="H3001" s="43" t="s">
        <v>2343</v>
      </c>
      <c r="I3001" s="43" t="s">
        <v>2429</v>
      </c>
      <c r="J3001" s="43" t="s">
        <v>2472</v>
      </c>
      <c r="K3001" s="44" t="s">
        <v>5049</v>
      </c>
      <c r="L3001" s="44" t="s">
        <v>2333</v>
      </c>
      <c r="M3001" s="43">
        <v>25</v>
      </c>
      <c r="N3001" s="113" t="s">
        <v>1113</v>
      </c>
      <c r="O3001" s="113"/>
      <c r="P3001" s="113"/>
      <c r="Q3001" s="113"/>
      <c r="R3001" s="113"/>
      <c r="S3001" s="113"/>
      <c r="T3001" s="113"/>
      <c r="U3001" s="113"/>
      <c r="V3001" s="113"/>
      <c r="W3001" s="113"/>
      <c r="X3001" s="113"/>
      <c r="Y3001" s="113"/>
      <c r="Z3001" s="113"/>
      <c r="AA3001" s="113"/>
      <c r="AB3001" s="113"/>
      <c r="AC3001" s="113"/>
      <c r="AD3001" s="113"/>
      <c r="AE3001" s="113"/>
      <c r="AF3001" s="113"/>
      <c r="AG3001" s="113"/>
      <c r="AH3001" s="113"/>
      <c r="AI3001" s="113"/>
      <c r="AJ3001" s="113"/>
      <c r="AK3001" s="113" t="s">
        <v>1113</v>
      </c>
      <c r="AL3001" s="113"/>
      <c r="AM3001" s="113"/>
      <c r="AN3001" s="113"/>
      <c r="AO3001" s="43" t="s">
        <v>2334</v>
      </c>
      <c r="AP3001" s="43" t="s">
        <v>4850</v>
      </c>
      <c r="AQ3001" s="233" t="str">
        <f>VLOOKUP(Table8[[#This Row],[Instrument]],Def_Targets!$D$73:$E$159,2,FALSE)</f>
        <v>I_Other</v>
      </c>
      <c r="AR3001" s="242" t="str">
        <f>VLOOKUP(Table8[[#This Row],[Country Code]],Table29[],3,FALSE)</f>
        <v>Annex I</v>
      </c>
      <c r="AS3001" s="242" t="str">
        <f>VLOOKUP(Table8[[#This Row],[Country Code]],Table29[],4,FALSE)</f>
        <v>Northern America</v>
      </c>
      <c r="AT3001" s="242" t="str">
        <f>VLOOKUP(Table8[[#This Row],[Country Code]],Table29[],5,FALSE)</f>
        <v>High-income</v>
      </c>
      <c r="AU3001" s="242" t="str">
        <f>VLOOKUP(Table8[[#This Row],[Country Code]],Table29[],6,FALSE)</f>
        <v>G20</v>
      </c>
      <c r="AV3001" s="242" t="str">
        <f>VLOOKUP(Table8[[#This Row],[Country Code]],Table29[],7,FALSE)</f>
        <v>G7</v>
      </c>
      <c r="AW3001" s="242" t="str">
        <f>VLOOKUP(Table8[[#This Row],[Country Code]],Table29[],8,FALSE)</f>
        <v>OECD</v>
      </c>
      <c r="AX3001" s="242" t="str">
        <f>VLOOKUP(Table8[[#This Row],[Country Code]],Table29[],9,FALSE)</f>
        <v>no</v>
      </c>
      <c r="AY3001" s="242" t="str">
        <f>VLOOKUP(Table8[[#This Row],[Country Code]],Table29[],10,FALSE)</f>
        <v>no</v>
      </c>
      <c r="AZ3001" s="242">
        <f>VLOOKUP(Table8[[#This Row],[Country Code]],Table29[],23,FALSE)</f>
        <v>5960.8043799938996</v>
      </c>
      <c r="BA3001" s="242">
        <f>VLOOKUP(Table8[[#This Row],[Country Code]],Table29[],24,FALSE)</f>
        <v>1735.9036371632039</v>
      </c>
      <c r="BB3001" s="320"/>
    </row>
    <row r="3002" spans="1:54" x14ac:dyDescent="0.25">
      <c r="A3002" s="373">
        <v>43764</v>
      </c>
      <c r="B3002" s="243" t="str">
        <f>VLOOKUP(Table8[[#This Row],[Document ID]],Table1[],2,FALSE)</f>
        <v>URY</v>
      </c>
      <c r="C3002" s="243" t="str">
        <f>VLOOKUP(Table8[[#This Row],[Document ID]],Table1[],3,FALSE)</f>
        <v>Uruguay</v>
      </c>
      <c r="D3002" s="243" t="str">
        <f>VLOOKUP(Table8[[#This Row],[Document ID]],Table1[],5,FALSE)</f>
        <v>NDC</v>
      </c>
      <c r="E3002" s="233" t="str">
        <f>VLOOKUP(Table8[[#This Row],[Document ID]],Table1[],7,FALSE)</f>
        <v>Third NDC</v>
      </c>
      <c r="F3002" s="233" t="str">
        <f>VLOOKUP(Table8[[#This Row],[Document ID]],Table1[],8,FALSE)</f>
        <v>NDC 3.0</v>
      </c>
      <c r="G3002" s="233" t="str">
        <f>VLOOKUP(Table8[[#This Row],[Document ID]],Table1[],10,FALSE)</f>
        <v>Active</v>
      </c>
      <c r="H3002" s="43" t="s">
        <v>2343</v>
      </c>
      <c r="I3002" s="43" t="s">
        <v>2361</v>
      </c>
      <c r="J3002" s="43" t="s">
        <v>2366</v>
      </c>
      <c r="K3002" s="44" t="s">
        <v>5050</v>
      </c>
      <c r="L3002" s="44" t="s">
        <v>2347</v>
      </c>
      <c r="M3002" s="43">
        <v>47</v>
      </c>
      <c r="N3002" s="113"/>
      <c r="O3002" s="113"/>
      <c r="P3002" s="113" t="s">
        <v>1113</v>
      </c>
      <c r="Q3002" s="113" t="s">
        <v>1113</v>
      </c>
      <c r="R3002" s="113" t="s">
        <v>1113</v>
      </c>
      <c r="S3002" s="113"/>
      <c r="T3002" s="113"/>
      <c r="U3002" s="113"/>
      <c r="V3002" s="113"/>
      <c r="W3002" s="113"/>
      <c r="X3002" s="113"/>
      <c r="Y3002" s="113"/>
      <c r="Z3002" s="113"/>
      <c r="AA3002" s="113"/>
      <c r="AB3002" s="113"/>
      <c r="AC3002" s="113"/>
      <c r="AD3002" s="113"/>
      <c r="AE3002" s="113"/>
      <c r="AF3002" s="113"/>
      <c r="AG3002" s="113"/>
      <c r="AH3002" s="113"/>
      <c r="AI3002" s="113"/>
      <c r="AJ3002" s="113"/>
      <c r="AK3002" s="113" t="s">
        <v>1113</v>
      </c>
      <c r="AL3002" s="113"/>
      <c r="AM3002" s="113"/>
      <c r="AN3002" s="113"/>
      <c r="AO3002" s="43" t="s">
        <v>2334</v>
      </c>
      <c r="AP3002" s="43" t="s">
        <v>4850</v>
      </c>
      <c r="AQ3002" s="233" t="str">
        <f>VLOOKUP(Table8[[#This Row],[Instrument]],Def_Targets!$D$73:$E$159,2,FALSE)</f>
        <v>S_Activemobility</v>
      </c>
      <c r="AR3002" s="242" t="str">
        <f>VLOOKUP(Table8[[#This Row],[Country Code]],Table29[],3,FALSE)</f>
        <v>Non-Annex I</v>
      </c>
      <c r="AS3002" s="242" t="str">
        <f>VLOOKUP(Table8[[#This Row],[Country Code]],Table29[],4,FALSE)</f>
        <v>Latin America and the Caribbean</v>
      </c>
      <c r="AT3002" s="242" t="str">
        <f>VLOOKUP(Table8[[#This Row],[Country Code]],Table29[],5,FALSE)</f>
        <v>High-income</v>
      </c>
      <c r="AU3002" s="242" t="str">
        <f>VLOOKUP(Table8[[#This Row],[Country Code]],Table29[],6,FALSE)</f>
        <v>no</v>
      </c>
      <c r="AV3002" s="242" t="str">
        <f>VLOOKUP(Table8[[#This Row],[Country Code]],Table29[],7,FALSE)</f>
        <v>no</v>
      </c>
      <c r="AW3002" s="242" t="str">
        <f>VLOOKUP(Table8[[#This Row],[Country Code]],Table29[],8,FALSE)</f>
        <v>non-OECD</v>
      </c>
      <c r="AX3002" s="242" t="str">
        <f>VLOOKUP(Table8[[#This Row],[Country Code]],Table29[],9,FALSE)</f>
        <v>no</v>
      </c>
      <c r="AY3002" s="242" t="str">
        <f>VLOOKUP(Table8[[#This Row],[Country Code]],Table29[],10,FALSE)</f>
        <v>no</v>
      </c>
      <c r="AZ3002" s="242">
        <f>VLOOKUP(Table8[[#This Row],[Country Code]],Table29[],23,FALSE)</f>
        <v>41.634111747759</v>
      </c>
      <c r="BA3002" s="242">
        <f>VLOOKUP(Table8[[#This Row],[Country Code]],Table29[],24,FALSE)</f>
        <v>4.0868158944276578</v>
      </c>
      <c r="BB3002" s="320"/>
    </row>
    <row r="3003" spans="1:54" x14ac:dyDescent="0.25">
      <c r="A3003" s="373">
        <v>43764</v>
      </c>
      <c r="B3003" s="243" t="str">
        <f>VLOOKUP(Table8[[#This Row],[Document ID]],Table1[],2,FALSE)</f>
        <v>URY</v>
      </c>
      <c r="C3003" s="243" t="str">
        <f>VLOOKUP(Table8[[#This Row],[Document ID]],Table1[],3,FALSE)</f>
        <v>Uruguay</v>
      </c>
      <c r="D3003" s="243" t="str">
        <f>VLOOKUP(Table8[[#This Row],[Document ID]],Table1[],5,FALSE)</f>
        <v>NDC</v>
      </c>
      <c r="E3003" s="233" t="str">
        <f>VLOOKUP(Table8[[#This Row],[Document ID]],Table1[],7,FALSE)</f>
        <v>Third NDC</v>
      </c>
      <c r="F3003" s="233" t="str">
        <f>VLOOKUP(Table8[[#This Row],[Document ID]],Table1[],8,FALSE)</f>
        <v>NDC 3.0</v>
      </c>
      <c r="G3003" s="233" t="str">
        <f>VLOOKUP(Table8[[#This Row],[Document ID]],Table1[],10,FALSE)</f>
        <v>Active</v>
      </c>
      <c r="H3003" s="43" t="s">
        <v>2343</v>
      </c>
      <c r="I3003" s="43" t="s">
        <v>2429</v>
      </c>
      <c r="J3003" s="43" t="s">
        <v>2472</v>
      </c>
      <c r="K3003" s="44" t="s">
        <v>5051</v>
      </c>
      <c r="L3003" s="44" t="s">
        <v>2380</v>
      </c>
      <c r="M3003" s="43">
        <v>47</v>
      </c>
      <c r="N3003" s="113" t="s">
        <v>1113</v>
      </c>
      <c r="O3003" s="113"/>
      <c r="P3003" s="113"/>
      <c r="Q3003" s="113"/>
      <c r="R3003" s="113"/>
      <c r="S3003" s="113"/>
      <c r="T3003" s="113"/>
      <c r="U3003" s="113"/>
      <c r="V3003" s="113"/>
      <c r="W3003" s="113"/>
      <c r="X3003" s="113"/>
      <c r="Y3003" s="113"/>
      <c r="Z3003" s="113"/>
      <c r="AA3003" s="113"/>
      <c r="AB3003" s="113"/>
      <c r="AC3003" s="113"/>
      <c r="AD3003" s="113"/>
      <c r="AE3003" s="113"/>
      <c r="AF3003" s="113"/>
      <c r="AG3003" s="113"/>
      <c r="AH3003" s="113"/>
      <c r="AI3003" s="113"/>
      <c r="AJ3003" s="113"/>
      <c r="AK3003" s="113"/>
      <c r="AL3003" s="113" t="s">
        <v>1113</v>
      </c>
      <c r="AM3003" s="113"/>
      <c r="AN3003" s="113"/>
      <c r="AO3003" s="43" t="s">
        <v>2334</v>
      </c>
      <c r="AP3003" s="43" t="s">
        <v>4850</v>
      </c>
      <c r="AQ3003" s="233" t="str">
        <f>VLOOKUP(Table8[[#This Row],[Instrument]],Def_Targets!$D$73:$E$159,2,FALSE)</f>
        <v>I_Other</v>
      </c>
      <c r="AR3003" s="242" t="str">
        <f>VLOOKUP(Table8[[#This Row],[Country Code]],Table29[],3,FALSE)</f>
        <v>Non-Annex I</v>
      </c>
      <c r="AS3003" s="242" t="str">
        <f>VLOOKUP(Table8[[#This Row],[Country Code]],Table29[],4,FALSE)</f>
        <v>Latin America and the Caribbean</v>
      </c>
      <c r="AT3003" s="242" t="str">
        <f>VLOOKUP(Table8[[#This Row],[Country Code]],Table29[],5,FALSE)</f>
        <v>High-income</v>
      </c>
      <c r="AU3003" s="242" t="str">
        <f>VLOOKUP(Table8[[#This Row],[Country Code]],Table29[],6,FALSE)</f>
        <v>no</v>
      </c>
      <c r="AV3003" s="242" t="str">
        <f>VLOOKUP(Table8[[#This Row],[Country Code]],Table29[],7,FALSE)</f>
        <v>no</v>
      </c>
      <c r="AW3003" s="242" t="str">
        <f>VLOOKUP(Table8[[#This Row],[Country Code]],Table29[],8,FALSE)</f>
        <v>non-OECD</v>
      </c>
      <c r="AX3003" s="242" t="str">
        <f>VLOOKUP(Table8[[#This Row],[Country Code]],Table29[],9,FALSE)</f>
        <v>no</v>
      </c>
      <c r="AY3003" s="242" t="str">
        <f>VLOOKUP(Table8[[#This Row],[Country Code]],Table29[],10,FALSE)</f>
        <v>no</v>
      </c>
      <c r="AZ3003" s="242">
        <f>VLOOKUP(Table8[[#This Row],[Country Code]],Table29[],23,FALSE)</f>
        <v>41.634111747759</v>
      </c>
      <c r="BA3003" s="242">
        <f>VLOOKUP(Table8[[#This Row],[Country Code]],Table29[],24,FALSE)</f>
        <v>4.0868158944276578</v>
      </c>
      <c r="BB3003" s="320"/>
    </row>
    <row r="3004" spans="1:54" x14ac:dyDescent="0.25">
      <c r="A3004" s="373">
        <v>43764</v>
      </c>
      <c r="B3004" s="243" t="str">
        <f>VLOOKUP(Table8[[#This Row],[Document ID]],Table1[],2,FALSE)</f>
        <v>URY</v>
      </c>
      <c r="C3004" s="243" t="str">
        <f>VLOOKUP(Table8[[#This Row],[Document ID]],Table1[],3,FALSE)</f>
        <v>Uruguay</v>
      </c>
      <c r="D3004" s="243" t="str">
        <f>VLOOKUP(Table8[[#This Row],[Document ID]],Table1[],5,FALSE)</f>
        <v>NDC</v>
      </c>
      <c r="E3004" s="233" t="str">
        <f>VLOOKUP(Table8[[#This Row],[Document ID]],Table1[],7,FALSE)</f>
        <v>Third NDC</v>
      </c>
      <c r="F3004" s="233" t="str">
        <f>VLOOKUP(Table8[[#This Row],[Document ID]],Table1[],8,FALSE)</f>
        <v>NDC 3.0</v>
      </c>
      <c r="G3004" s="233" t="str">
        <f>VLOOKUP(Table8[[#This Row],[Document ID]],Table1[],10,FALSE)</f>
        <v>Active</v>
      </c>
      <c r="H3004" s="43" t="s">
        <v>2343</v>
      </c>
      <c r="I3004" s="43" t="s">
        <v>2377</v>
      </c>
      <c r="J3004" s="43" t="s">
        <v>2394</v>
      </c>
      <c r="K3004" s="44" t="s">
        <v>5052</v>
      </c>
      <c r="L3004" s="44" t="s">
        <v>2347</v>
      </c>
      <c r="M3004" s="43">
        <v>48</v>
      </c>
      <c r="N3004" s="113"/>
      <c r="O3004" s="113"/>
      <c r="P3004" s="113"/>
      <c r="Q3004" s="113"/>
      <c r="R3004" s="113"/>
      <c r="S3004" s="113"/>
      <c r="T3004" s="113"/>
      <c r="U3004" s="113" t="s">
        <v>1113</v>
      </c>
      <c r="V3004" s="113"/>
      <c r="W3004" s="113"/>
      <c r="X3004" s="113"/>
      <c r="Y3004" s="113"/>
      <c r="Z3004" s="113"/>
      <c r="AA3004" s="113"/>
      <c r="AB3004" s="113"/>
      <c r="AC3004" s="113"/>
      <c r="AD3004" s="113"/>
      <c r="AE3004" s="113"/>
      <c r="AF3004" s="113"/>
      <c r="AG3004" s="113"/>
      <c r="AH3004" s="113"/>
      <c r="AI3004" s="113"/>
      <c r="AJ3004" s="113"/>
      <c r="AK3004" s="113" t="s">
        <v>1113</v>
      </c>
      <c r="AL3004" s="113"/>
      <c r="AM3004" s="113"/>
      <c r="AN3004" s="113"/>
      <c r="AO3004" s="43" t="s">
        <v>2348</v>
      </c>
      <c r="AP3004" s="43" t="s">
        <v>4850</v>
      </c>
      <c r="AQ3004" s="233" t="str">
        <f>VLOOKUP(Table8[[#This Row],[Instrument]],Def_Targets!$D$73:$E$159,2,FALSE)</f>
        <v>A_TDM</v>
      </c>
      <c r="AR3004" s="242" t="str">
        <f>VLOOKUP(Table8[[#This Row],[Country Code]],Table29[],3,FALSE)</f>
        <v>Non-Annex I</v>
      </c>
      <c r="AS3004" s="242" t="str">
        <f>VLOOKUP(Table8[[#This Row],[Country Code]],Table29[],4,FALSE)</f>
        <v>Latin America and the Caribbean</v>
      </c>
      <c r="AT3004" s="242" t="str">
        <f>VLOOKUP(Table8[[#This Row],[Country Code]],Table29[],5,FALSE)</f>
        <v>High-income</v>
      </c>
      <c r="AU3004" s="242" t="str">
        <f>VLOOKUP(Table8[[#This Row],[Country Code]],Table29[],6,FALSE)</f>
        <v>no</v>
      </c>
      <c r="AV3004" s="242" t="str">
        <f>VLOOKUP(Table8[[#This Row],[Country Code]],Table29[],7,FALSE)</f>
        <v>no</v>
      </c>
      <c r="AW3004" s="242" t="str">
        <f>VLOOKUP(Table8[[#This Row],[Country Code]],Table29[],8,FALSE)</f>
        <v>non-OECD</v>
      </c>
      <c r="AX3004" s="242" t="str">
        <f>VLOOKUP(Table8[[#This Row],[Country Code]],Table29[],9,FALSE)</f>
        <v>no</v>
      </c>
      <c r="AY3004" s="242" t="str">
        <f>VLOOKUP(Table8[[#This Row],[Country Code]],Table29[],10,FALSE)</f>
        <v>no</v>
      </c>
      <c r="AZ3004" s="242">
        <f>VLOOKUP(Table8[[#This Row],[Country Code]],Table29[],23,FALSE)</f>
        <v>41.634111747759</v>
      </c>
      <c r="BA3004" s="242">
        <f>VLOOKUP(Table8[[#This Row],[Country Code]],Table29[],24,FALSE)</f>
        <v>4.0868158944276578</v>
      </c>
      <c r="BB3004" s="320"/>
    </row>
    <row r="3005" spans="1:54" ht="30" x14ac:dyDescent="0.25">
      <c r="A3005" s="373">
        <v>43764</v>
      </c>
      <c r="B3005" s="243" t="str">
        <f>VLOOKUP(Table8[[#This Row],[Document ID]],Table1[],2,FALSE)</f>
        <v>URY</v>
      </c>
      <c r="C3005" s="243" t="str">
        <f>VLOOKUP(Table8[[#This Row],[Document ID]],Table1[],3,FALSE)</f>
        <v>Uruguay</v>
      </c>
      <c r="D3005" s="243" t="str">
        <f>VLOOKUP(Table8[[#This Row],[Document ID]],Table1[],5,FALSE)</f>
        <v>NDC</v>
      </c>
      <c r="E3005" s="233" t="str">
        <f>VLOOKUP(Table8[[#This Row],[Document ID]],Table1[],7,FALSE)</f>
        <v>Third NDC</v>
      </c>
      <c r="F3005" s="233" t="str">
        <f>VLOOKUP(Table8[[#This Row],[Document ID]],Table1[],8,FALSE)</f>
        <v>NDC 3.0</v>
      </c>
      <c r="G3005" s="233" t="str">
        <f>VLOOKUP(Table8[[#This Row],[Document ID]],Table1[],10,FALSE)</f>
        <v>Active</v>
      </c>
      <c r="H3005" s="43" t="s">
        <v>2343</v>
      </c>
      <c r="I3005" s="43" t="s">
        <v>2344</v>
      </c>
      <c r="J3005" s="43" t="s">
        <v>2345</v>
      </c>
      <c r="K3005" s="44" t="s">
        <v>5053</v>
      </c>
      <c r="L3005" s="44" t="s">
        <v>3939</v>
      </c>
      <c r="M3005" s="43">
        <v>48</v>
      </c>
      <c r="N3005" s="113" t="s">
        <v>1113</v>
      </c>
      <c r="O3005" s="113"/>
      <c r="P3005" s="113"/>
      <c r="Q3005" s="113"/>
      <c r="R3005" s="113"/>
      <c r="S3005" s="113"/>
      <c r="T3005" s="113"/>
      <c r="U3005" s="113"/>
      <c r="V3005" s="113"/>
      <c r="W3005" s="113"/>
      <c r="X3005" s="113"/>
      <c r="Y3005" s="113"/>
      <c r="Z3005" s="113"/>
      <c r="AA3005" s="113"/>
      <c r="AB3005" s="113"/>
      <c r="AC3005" s="113"/>
      <c r="AD3005" s="113"/>
      <c r="AE3005" s="113"/>
      <c r="AF3005" s="113"/>
      <c r="AG3005" s="113"/>
      <c r="AH3005" s="113"/>
      <c r="AI3005" s="113"/>
      <c r="AJ3005" s="113"/>
      <c r="AK3005" s="113" t="s">
        <v>1113</v>
      </c>
      <c r="AL3005" s="113"/>
      <c r="AM3005" s="113"/>
      <c r="AN3005" s="113"/>
      <c r="AO3005" s="43" t="s">
        <v>2348</v>
      </c>
      <c r="AP3005" s="43" t="s">
        <v>4850</v>
      </c>
      <c r="AQ3005" s="233" t="str">
        <f>VLOOKUP(Table8[[#This Row],[Instrument]],Def_Targets!$D$73:$E$159,2,FALSE)</f>
        <v>S_PublicTransport</v>
      </c>
      <c r="AR3005" s="242" t="str">
        <f>VLOOKUP(Table8[[#This Row],[Country Code]],Table29[],3,FALSE)</f>
        <v>Non-Annex I</v>
      </c>
      <c r="AS3005" s="242" t="str">
        <f>VLOOKUP(Table8[[#This Row],[Country Code]],Table29[],4,FALSE)</f>
        <v>Latin America and the Caribbean</v>
      </c>
      <c r="AT3005" s="242" t="str">
        <f>VLOOKUP(Table8[[#This Row],[Country Code]],Table29[],5,FALSE)</f>
        <v>High-income</v>
      </c>
      <c r="AU3005" s="242" t="str">
        <f>VLOOKUP(Table8[[#This Row],[Country Code]],Table29[],6,FALSE)</f>
        <v>no</v>
      </c>
      <c r="AV3005" s="242" t="str">
        <f>VLOOKUP(Table8[[#This Row],[Country Code]],Table29[],7,FALSE)</f>
        <v>no</v>
      </c>
      <c r="AW3005" s="242" t="str">
        <f>VLOOKUP(Table8[[#This Row],[Country Code]],Table29[],8,FALSE)</f>
        <v>non-OECD</v>
      </c>
      <c r="AX3005" s="242" t="str">
        <f>VLOOKUP(Table8[[#This Row],[Country Code]],Table29[],9,FALSE)</f>
        <v>no</v>
      </c>
      <c r="AY3005" s="242" t="str">
        <f>VLOOKUP(Table8[[#This Row],[Country Code]],Table29[],10,FALSE)</f>
        <v>no</v>
      </c>
      <c r="AZ3005" s="242">
        <f>VLOOKUP(Table8[[#This Row],[Country Code]],Table29[],23,FALSE)</f>
        <v>41.634111747759</v>
      </c>
      <c r="BA3005" s="242">
        <f>VLOOKUP(Table8[[#This Row],[Country Code]],Table29[],24,FALSE)</f>
        <v>4.0868158944276578</v>
      </c>
      <c r="BB3005" s="320"/>
    </row>
    <row r="3006" spans="1:54" x14ac:dyDescent="0.25">
      <c r="A3006" s="373">
        <v>43764</v>
      </c>
      <c r="B3006" s="243" t="str">
        <f>VLOOKUP(Table8[[#This Row],[Document ID]],Table1[],2,FALSE)</f>
        <v>URY</v>
      </c>
      <c r="C3006" s="243" t="str">
        <f>VLOOKUP(Table8[[#This Row],[Document ID]],Table1[],3,FALSE)</f>
        <v>Uruguay</v>
      </c>
      <c r="D3006" s="243" t="str">
        <f>VLOOKUP(Table8[[#This Row],[Document ID]],Table1[],5,FALSE)</f>
        <v>NDC</v>
      </c>
      <c r="E3006" s="233" t="str">
        <f>VLOOKUP(Table8[[#This Row],[Document ID]],Table1[],7,FALSE)</f>
        <v>Third NDC</v>
      </c>
      <c r="F3006" s="233" t="str">
        <f>VLOOKUP(Table8[[#This Row],[Document ID]],Table1[],8,FALSE)</f>
        <v>NDC 3.0</v>
      </c>
      <c r="G3006" s="233" t="str">
        <f>VLOOKUP(Table8[[#This Row],[Document ID]],Table1[],10,FALSE)</f>
        <v>Active</v>
      </c>
      <c r="H3006" s="43" t="s">
        <v>2343</v>
      </c>
      <c r="I3006" s="43" t="s">
        <v>2344</v>
      </c>
      <c r="J3006" s="43" t="s">
        <v>2345</v>
      </c>
      <c r="K3006" s="44" t="s">
        <v>5054</v>
      </c>
      <c r="L3006" s="44" t="s">
        <v>2347</v>
      </c>
      <c r="M3006" s="43">
        <v>48</v>
      </c>
      <c r="N3006" s="113"/>
      <c r="O3006" s="113"/>
      <c r="P3006" s="113"/>
      <c r="Q3006" s="113"/>
      <c r="R3006" s="113"/>
      <c r="S3006" s="113"/>
      <c r="T3006" s="113"/>
      <c r="U3006" s="113"/>
      <c r="V3006" s="113"/>
      <c r="W3006" s="113"/>
      <c r="X3006" s="113"/>
      <c r="Y3006" s="113" t="s">
        <v>1113</v>
      </c>
      <c r="Z3006" s="113" t="s">
        <v>1113</v>
      </c>
      <c r="AA3006" s="113"/>
      <c r="AB3006" s="113"/>
      <c r="AC3006" s="113"/>
      <c r="AD3006" s="113"/>
      <c r="AE3006" s="113"/>
      <c r="AF3006" s="113"/>
      <c r="AG3006" s="113"/>
      <c r="AH3006" s="113"/>
      <c r="AI3006" s="113"/>
      <c r="AJ3006" s="113"/>
      <c r="AK3006" s="113" t="s">
        <v>1113</v>
      </c>
      <c r="AL3006" s="113"/>
      <c r="AM3006" s="113"/>
      <c r="AN3006" s="113"/>
      <c r="AO3006" s="43" t="s">
        <v>2334</v>
      </c>
      <c r="AP3006" s="43" t="s">
        <v>4850</v>
      </c>
      <c r="AQ3006" s="233" t="str">
        <f>VLOOKUP(Table8[[#This Row],[Instrument]],Def_Targets!$D$73:$E$159,2,FALSE)</f>
        <v>S_PublicTransport</v>
      </c>
      <c r="AR3006" s="242" t="str">
        <f>VLOOKUP(Table8[[#This Row],[Country Code]],Table29[],3,FALSE)</f>
        <v>Non-Annex I</v>
      </c>
      <c r="AS3006" s="242" t="str">
        <f>VLOOKUP(Table8[[#This Row],[Country Code]],Table29[],4,FALSE)</f>
        <v>Latin America and the Caribbean</v>
      </c>
      <c r="AT3006" s="242" t="str">
        <f>VLOOKUP(Table8[[#This Row],[Country Code]],Table29[],5,FALSE)</f>
        <v>High-income</v>
      </c>
      <c r="AU3006" s="242" t="str">
        <f>VLOOKUP(Table8[[#This Row],[Country Code]],Table29[],6,FALSE)</f>
        <v>no</v>
      </c>
      <c r="AV3006" s="242" t="str">
        <f>VLOOKUP(Table8[[#This Row],[Country Code]],Table29[],7,FALSE)</f>
        <v>no</v>
      </c>
      <c r="AW3006" s="242" t="str">
        <f>VLOOKUP(Table8[[#This Row],[Country Code]],Table29[],8,FALSE)</f>
        <v>non-OECD</v>
      </c>
      <c r="AX3006" s="242" t="str">
        <f>VLOOKUP(Table8[[#This Row],[Country Code]],Table29[],9,FALSE)</f>
        <v>no</v>
      </c>
      <c r="AY3006" s="242" t="str">
        <f>VLOOKUP(Table8[[#This Row],[Country Code]],Table29[],10,FALSE)</f>
        <v>no</v>
      </c>
      <c r="AZ3006" s="242">
        <f>VLOOKUP(Table8[[#This Row],[Country Code]],Table29[],23,FALSE)</f>
        <v>41.634111747759</v>
      </c>
      <c r="BA3006" s="242">
        <f>VLOOKUP(Table8[[#This Row],[Country Code]],Table29[],24,FALSE)</f>
        <v>4.0868158944276578</v>
      </c>
      <c r="BB3006" s="320"/>
    </row>
    <row r="3007" spans="1:54" ht="30" x14ac:dyDescent="0.25">
      <c r="A3007" s="373">
        <v>43716</v>
      </c>
      <c r="B3007" s="243" t="str">
        <f>VLOOKUP(Table8[[#This Row],[Document ID]],Table1[],2,FALSE)</f>
        <v>BWA</v>
      </c>
      <c r="C3007" s="243" t="str">
        <f>VLOOKUP(Table8[[#This Row],[Document ID]],Table1[],3,FALSE)</f>
        <v>Botswana</v>
      </c>
      <c r="D3007" s="243" t="str">
        <f>VLOOKUP(Table8[[#This Row],[Document ID]],Table1[],5,FALSE)</f>
        <v>NDC</v>
      </c>
      <c r="E3007" s="233" t="str">
        <f>VLOOKUP(Table8[[#This Row],[Document ID]],Table1[],7,FALSE)</f>
        <v>Third NDC</v>
      </c>
      <c r="F3007" s="233" t="str">
        <f>VLOOKUP(Table8[[#This Row],[Document ID]],Table1[],8,FALSE)</f>
        <v>NDC 3.0</v>
      </c>
      <c r="G3007" s="233" t="str">
        <f>VLOOKUP(Table8[[#This Row],[Document ID]],Table1[],10,FALSE)</f>
        <v>Active</v>
      </c>
      <c r="H3007" s="43" t="s">
        <v>2350</v>
      </c>
      <c r="I3007" s="43" t="s">
        <v>2407</v>
      </c>
      <c r="J3007" s="43" t="s">
        <v>2408</v>
      </c>
      <c r="K3007" s="44" t="s">
        <v>5011</v>
      </c>
      <c r="L3007" s="44" t="s">
        <v>2333</v>
      </c>
      <c r="M3007" s="43">
        <v>20</v>
      </c>
      <c r="N3007" s="113"/>
      <c r="O3007" s="113"/>
      <c r="P3007" s="113"/>
      <c r="Q3007" s="113"/>
      <c r="R3007" s="113"/>
      <c r="S3007" s="113"/>
      <c r="T3007" s="113"/>
      <c r="U3007" s="113"/>
      <c r="V3007" s="113"/>
      <c r="W3007" s="113"/>
      <c r="X3007" s="113"/>
      <c r="Y3007" s="113" t="s">
        <v>1113</v>
      </c>
      <c r="Z3007" s="113"/>
      <c r="AA3007" s="113"/>
      <c r="AB3007" s="113"/>
      <c r="AC3007" s="113"/>
      <c r="AD3007" s="113"/>
      <c r="AE3007" s="113"/>
      <c r="AF3007" s="113"/>
      <c r="AG3007" s="113"/>
      <c r="AH3007" s="113"/>
      <c r="AI3007" s="113"/>
      <c r="AJ3007" s="113"/>
      <c r="AK3007" s="113" t="s">
        <v>1113</v>
      </c>
      <c r="AL3007" s="113"/>
      <c r="AM3007" s="113"/>
      <c r="AN3007" s="113"/>
      <c r="AO3007" s="43" t="s">
        <v>2348</v>
      </c>
      <c r="AP3007" s="43"/>
      <c r="AQ3007" s="233" t="str">
        <f>VLOOKUP(Table8[[#This Row],[Instrument]],Def_Targets!$D$73:$E$159,2,FALSE)</f>
        <v>I_Education</v>
      </c>
      <c r="AR3007" s="242" t="str">
        <f>VLOOKUP(Table8[[#This Row],[Country Code]],Table29[],3,FALSE)</f>
        <v>Non-Annex I</v>
      </c>
      <c r="AS3007" s="242" t="str">
        <f>VLOOKUP(Table8[[#This Row],[Country Code]],Table29[],4,FALSE)</f>
        <v>Africa</v>
      </c>
      <c r="AT3007" s="242" t="str">
        <f>VLOOKUP(Table8[[#This Row],[Country Code]],Table29[],5,FALSE)</f>
        <v>Middle-income</v>
      </c>
      <c r="AU3007" s="242" t="str">
        <f>VLOOKUP(Table8[[#This Row],[Country Code]],Table29[],6,FALSE)</f>
        <v>no</v>
      </c>
      <c r="AV3007" s="242" t="str">
        <f>VLOOKUP(Table8[[#This Row],[Country Code]],Table29[],7,FALSE)</f>
        <v>no</v>
      </c>
      <c r="AW3007" s="242" t="str">
        <f>VLOOKUP(Table8[[#This Row],[Country Code]],Table29[],8,FALSE)</f>
        <v>non-OECD</v>
      </c>
      <c r="AX3007" s="242" t="str">
        <f>VLOOKUP(Table8[[#This Row],[Country Code]],Table29[],9,FALSE)</f>
        <v>no</v>
      </c>
      <c r="AY3007" s="242" t="str">
        <f>VLOOKUP(Table8[[#This Row],[Country Code]],Table29[],10,FALSE)</f>
        <v>no</v>
      </c>
      <c r="AZ3007" s="242">
        <f>VLOOKUP(Table8[[#This Row],[Country Code]],Table29[],23,FALSE)</f>
        <v>12.712755146957001</v>
      </c>
      <c r="BA3007" s="242">
        <f>VLOOKUP(Table8[[#This Row],[Country Code]],Table29[],24,FALSE)</f>
        <v>2.440731678856535</v>
      </c>
      <c r="BB3007" s="320"/>
    </row>
    <row r="3008" spans="1:54" ht="30" x14ac:dyDescent="0.25">
      <c r="A3008" s="373">
        <v>43700</v>
      </c>
      <c r="B3008" s="243" t="str">
        <f>VLOOKUP(Table8[[#This Row],[Document ID]],Table1[],2,FALSE)</f>
        <v>BRA</v>
      </c>
      <c r="C3008" s="243" t="str">
        <f>VLOOKUP(Table8[[#This Row],[Document ID]],Table1[],3,FALSE)</f>
        <v>Brazil</v>
      </c>
      <c r="D3008" s="243" t="str">
        <f>VLOOKUP(Table8[[#This Row],[Document ID]],Table1[],5,FALSE)</f>
        <v>NDC</v>
      </c>
      <c r="E3008" s="233" t="str">
        <f>VLOOKUP(Table8[[#This Row],[Document ID]],Table1[],7,FALSE)</f>
        <v>Third NDC</v>
      </c>
      <c r="F3008" s="233" t="str">
        <f>VLOOKUP(Table8[[#This Row],[Document ID]],Table1[],8,FALSE)</f>
        <v>NDC 3.0</v>
      </c>
      <c r="G3008" s="233" t="str">
        <f>VLOOKUP(Table8[[#This Row],[Document ID]],Table1[],10,FALSE)</f>
        <v>Active</v>
      </c>
      <c r="H3008" s="43" t="s">
        <v>2350</v>
      </c>
      <c r="I3008" s="43" t="s">
        <v>2456</v>
      </c>
      <c r="J3008" s="44" t="s">
        <v>2457</v>
      </c>
      <c r="K3008" s="44" t="s">
        <v>5055</v>
      </c>
      <c r="L3008" s="44" t="s">
        <v>2333</v>
      </c>
      <c r="M3008" s="43">
        <v>16</v>
      </c>
      <c r="N3008" s="113" t="s">
        <v>1113</v>
      </c>
      <c r="O3008" s="113"/>
      <c r="P3008" s="113"/>
      <c r="Q3008" s="113"/>
      <c r="R3008" s="113"/>
      <c r="S3008" s="113"/>
      <c r="T3008" s="113"/>
      <c r="U3008" s="113"/>
      <c r="V3008" s="113"/>
      <c r="W3008" s="113"/>
      <c r="X3008" s="113"/>
      <c r="Y3008" s="113"/>
      <c r="Z3008" s="113"/>
      <c r="AA3008" s="113"/>
      <c r="AB3008" s="113"/>
      <c r="AC3008" s="113"/>
      <c r="AD3008" s="113"/>
      <c r="AE3008" s="113"/>
      <c r="AF3008" s="113"/>
      <c r="AG3008" s="113"/>
      <c r="AH3008" s="113"/>
      <c r="AI3008" s="113"/>
      <c r="AJ3008" s="113"/>
      <c r="AK3008" s="113"/>
      <c r="AL3008" s="113" t="s">
        <v>1113</v>
      </c>
      <c r="AM3008" s="113"/>
      <c r="AN3008" s="113"/>
      <c r="AO3008" s="43" t="s">
        <v>2334</v>
      </c>
      <c r="AP3008" s="43" t="s">
        <v>4850</v>
      </c>
      <c r="AQ3008" s="233" t="str">
        <f>VLOOKUP(Table8[[#This Row],[Instrument]],Def_Targets!$D$73:$E$159,2,FALSE)</f>
        <v>S_Infraimprove</v>
      </c>
      <c r="AR3008" s="242" t="str">
        <f>VLOOKUP(Table8[[#This Row],[Country Code]],Table29[],3,FALSE)</f>
        <v>Non-Annex I</v>
      </c>
      <c r="AS3008" s="242" t="str">
        <f>VLOOKUP(Table8[[#This Row],[Country Code]],Table29[],4,FALSE)</f>
        <v>Latin America and the Caribbean</v>
      </c>
      <c r="AT3008" s="242" t="str">
        <f>VLOOKUP(Table8[[#This Row],[Country Code]],Table29[],5,FALSE)</f>
        <v>Middle-income</v>
      </c>
      <c r="AU3008" s="242" t="str">
        <f>VLOOKUP(Table8[[#This Row],[Country Code]],Table29[],6,FALSE)</f>
        <v>G20</v>
      </c>
      <c r="AV3008" s="242" t="str">
        <f>VLOOKUP(Table8[[#This Row],[Country Code]],Table29[],7,FALSE)</f>
        <v>no</v>
      </c>
      <c r="AW3008" s="242" t="str">
        <f>VLOOKUP(Table8[[#This Row],[Country Code]],Table29[],8,FALSE)</f>
        <v>non-OECD</v>
      </c>
      <c r="AX3008" s="242" t="str">
        <f>VLOOKUP(Table8[[#This Row],[Country Code]],Table29[],9,FALSE)</f>
        <v>no</v>
      </c>
      <c r="AY3008" s="242" t="str">
        <f>VLOOKUP(Table8[[#This Row],[Country Code]],Table29[],10,FALSE)</f>
        <v>no</v>
      </c>
      <c r="AZ3008" s="242">
        <f>VLOOKUP(Table8[[#This Row],[Country Code]],Table29[],23,FALSE)</f>
        <v>1300.1688666752</v>
      </c>
      <c r="BA3008" s="242">
        <f>VLOOKUP(Table8[[#This Row],[Country Code]],Table29[],24,FALSE)</f>
        <v>221.12609205884911</v>
      </c>
      <c r="BB3008" s="320"/>
    </row>
    <row r="3009" spans="1:54" ht="30" x14ac:dyDescent="0.25">
      <c r="A3009" s="373">
        <v>43700</v>
      </c>
      <c r="B3009" s="243" t="str">
        <f>VLOOKUP(Table8[[#This Row],[Document ID]],Table1[],2,FALSE)</f>
        <v>BRA</v>
      </c>
      <c r="C3009" s="243" t="str">
        <f>VLOOKUP(Table8[[#This Row],[Document ID]],Table1[],3,FALSE)</f>
        <v>Brazil</v>
      </c>
      <c r="D3009" s="243" t="str">
        <f>VLOOKUP(Table8[[#This Row],[Document ID]],Table1[],5,FALSE)</f>
        <v>NDC</v>
      </c>
      <c r="E3009" s="233" t="str">
        <f>VLOOKUP(Table8[[#This Row],[Document ID]],Table1[],7,FALSE)</f>
        <v>Third NDC</v>
      </c>
      <c r="F3009" s="233" t="str">
        <f>VLOOKUP(Table8[[#This Row],[Document ID]],Table1[],8,FALSE)</f>
        <v>NDC 3.0</v>
      </c>
      <c r="G3009" s="233" t="str">
        <f>VLOOKUP(Table8[[#This Row],[Document ID]],Table1[],10,FALSE)</f>
        <v>Active</v>
      </c>
      <c r="H3009" s="43" t="s">
        <v>2350</v>
      </c>
      <c r="I3009" s="43" t="s">
        <v>2407</v>
      </c>
      <c r="J3009" s="43" t="s">
        <v>2592</v>
      </c>
      <c r="K3009" s="44" t="s">
        <v>5055</v>
      </c>
      <c r="L3009" s="44" t="s">
        <v>2333</v>
      </c>
      <c r="M3009" s="43">
        <v>16</v>
      </c>
      <c r="N3009" s="113" t="s">
        <v>1113</v>
      </c>
      <c r="O3009" s="113"/>
      <c r="P3009" s="113"/>
      <c r="Q3009" s="113"/>
      <c r="R3009" s="113"/>
      <c r="S3009" s="113"/>
      <c r="T3009" s="113"/>
      <c r="U3009" s="113"/>
      <c r="V3009" s="113"/>
      <c r="W3009" s="113"/>
      <c r="X3009" s="113"/>
      <c r="Y3009" s="113"/>
      <c r="Z3009" s="113"/>
      <c r="AA3009" s="113"/>
      <c r="AB3009" s="113"/>
      <c r="AC3009" s="113"/>
      <c r="AD3009" s="113"/>
      <c r="AE3009" s="113"/>
      <c r="AF3009" s="113"/>
      <c r="AG3009" s="113"/>
      <c r="AH3009" s="113"/>
      <c r="AI3009" s="113"/>
      <c r="AJ3009" s="113"/>
      <c r="AK3009" s="113"/>
      <c r="AL3009" s="113" t="s">
        <v>1113</v>
      </c>
      <c r="AM3009" s="113"/>
      <c r="AN3009" s="113"/>
      <c r="AO3009" s="43" t="s">
        <v>2334</v>
      </c>
      <c r="AP3009" s="43" t="s">
        <v>4850</v>
      </c>
      <c r="AQ3009" s="233" t="str">
        <f>VLOOKUP(Table8[[#This Row],[Instrument]],Def_Targets!$D$73:$E$159,2,FALSE)</f>
        <v>I_Ecodriving</v>
      </c>
      <c r="AR3009" s="242" t="str">
        <f>VLOOKUP(Table8[[#This Row],[Country Code]],Table29[],3,FALSE)</f>
        <v>Non-Annex I</v>
      </c>
      <c r="AS3009" s="242" t="str">
        <f>VLOOKUP(Table8[[#This Row],[Country Code]],Table29[],4,FALSE)</f>
        <v>Latin America and the Caribbean</v>
      </c>
      <c r="AT3009" s="242" t="str">
        <f>VLOOKUP(Table8[[#This Row],[Country Code]],Table29[],5,FALSE)</f>
        <v>Middle-income</v>
      </c>
      <c r="AU3009" s="242" t="str">
        <f>VLOOKUP(Table8[[#This Row],[Country Code]],Table29[],6,FALSE)</f>
        <v>G20</v>
      </c>
      <c r="AV3009" s="242" t="str">
        <f>VLOOKUP(Table8[[#This Row],[Country Code]],Table29[],7,FALSE)</f>
        <v>no</v>
      </c>
      <c r="AW3009" s="242" t="str">
        <f>VLOOKUP(Table8[[#This Row],[Country Code]],Table29[],8,FALSE)</f>
        <v>non-OECD</v>
      </c>
      <c r="AX3009" s="242" t="str">
        <f>VLOOKUP(Table8[[#This Row],[Country Code]],Table29[],9,FALSE)</f>
        <v>no</v>
      </c>
      <c r="AY3009" s="242" t="str">
        <f>VLOOKUP(Table8[[#This Row],[Country Code]],Table29[],10,FALSE)</f>
        <v>no</v>
      </c>
      <c r="AZ3009" s="242">
        <f>VLOOKUP(Table8[[#This Row],[Country Code]],Table29[],23,FALSE)</f>
        <v>1300.1688666752</v>
      </c>
      <c r="BA3009" s="242">
        <f>VLOOKUP(Table8[[#This Row],[Country Code]],Table29[],24,FALSE)</f>
        <v>221.12609205884911</v>
      </c>
      <c r="BB3009" s="320"/>
    </row>
    <row r="3010" spans="1:54" ht="45" x14ac:dyDescent="0.25">
      <c r="A3010" s="373">
        <v>43700</v>
      </c>
      <c r="B3010" s="243" t="str">
        <f>VLOOKUP(Table8[[#This Row],[Document ID]],Table1[],2,FALSE)</f>
        <v>BRA</v>
      </c>
      <c r="C3010" s="243" t="str">
        <f>VLOOKUP(Table8[[#This Row],[Document ID]],Table1[],3,FALSE)</f>
        <v>Brazil</v>
      </c>
      <c r="D3010" s="243" t="str">
        <f>VLOOKUP(Table8[[#This Row],[Document ID]],Table1[],5,FALSE)</f>
        <v>NDC</v>
      </c>
      <c r="E3010" s="233" t="str">
        <f>VLOOKUP(Table8[[#This Row],[Document ID]],Table1[],7,FALSE)</f>
        <v>Third NDC</v>
      </c>
      <c r="F3010" s="233" t="str">
        <f>VLOOKUP(Table8[[#This Row],[Document ID]],Table1[],8,FALSE)</f>
        <v>NDC 3.0</v>
      </c>
      <c r="G3010" s="233" t="str">
        <f>VLOOKUP(Table8[[#This Row],[Document ID]],Table1[],10,FALSE)</f>
        <v>Active</v>
      </c>
      <c r="H3010" s="43" t="s">
        <v>2350</v>
      </c>
      <c r="I3010" s="43" t="s">
        <v>2370</v>
      </c>
      <c r="J3010" s="43" t="s">
        <v>2418</v>
      </c>
      <c r="K3010" s="44" t="s">
        <v>5056</v>
      </c>
      <c r="L3010" s="44" t="s">
        <v>2333</v>
      </c>
      <c r="M3010" s="43">
        <v>16</v>
      </c>
      <c r="N3010" s="113"/>
      <c r="O3010" s="113"/>
      <c r="P3010" s="113"/>
      <c r="Q3010" s="113"/>
      <c r="R3010" s="113"/>
      <c r="S3010" s="113" t="s">
        <v>1113</v>
      </c>
      <c r="T3010" s="113"/>
      <c r="U3010" s="113"/>
      <c r="V3010" s="113"/>
      <c r="W3010" s="113"/>
      <c r="X3010" s="113"/>
      <c r="Y3010" s="113"/>
      <c r="Z3010" s="113" t="s">
        <v>1113</v>
      </c>
      <c r="AA3010" s="113"/>
      <c r="AB3010" s="113"/>
      <c r="AC3010" s="113"/>
      <c r="AD3010" s="113" t="s">
        <v>1113</v>
      </c>
      <c r="AE3010" s="113"/>
      <c r="AF3010" s="113"/>
      <c r="AG3010" s="113"/>
      <c r="AH3010" s="113" t="s">
        <v>1113</v>
      </c>
      <c r="AI3010" s="113"/>
      <c r="AJ3010" s="113"/>
      <c r="AK3010" s="113"/>
      <c r="AL3010" s="113"/>
      <c r="AM3010" s="113"/>
      <c r="AN3010" s="113" t="s">
        <v>1113</v>
      </c>
      <c r="AO3010" s="43" t="s">
        <v>2477</v>
      </c>
      <c r="AP3010" s="43" t="s">
        <v>4850</v>
      </c>
      <c r="AQ3010" s="233" t="str">
        <f>VLOOKUP(Table8[[#This Row],[Instrument]],Def_Targets!$D$73:$E$159,2,FALSE)</f>
        <v>A_Complan</v>
      </c>
      <c r="AR3010" s="242" t="str">
        <f>VLOOKUP(Table8[[#This Row],[Country Code]],Table29[],3,FALSE)</f>
        <v>Non-Annex I</v>
      </c>
      <c r="AS3010" s="242" t="str">
        <f>VLOOKUP(Table8[[#This Row],[Country Code]],Table29[],4,FALSE)</f>
        <v>Latin America and the Caribbean</v>
      </c>
      <c r="AT3010" s="242" t="str">
        <f>VLOOKUP(Table8[[#This Row],[Country Code]],Table29[],5,FALSE)</f>
        <v>Middle-income</v>
      </c>
      <c r="AU3010" s="242" t="str">
        <f>VLOOKUP(Table8[[#This Row],[Country Code]],Table29[],6,FALSE)</f>
        <v>G20</v>
      </c>
      <c r="AV3010" s="242" t="str">
        <f>VLOOKUP(Table8[[#This Row],[Country Code]],Table29[],7,FALSE)</f>
        <v>no</v>
      </c>
      <c r="AW3010" s="242" t="str">
        <f>VLOOKUP(Table8[[#This Row],[Country Code]],Table29[],8,FALSE)</f>
        <v>non-OECD</v>
      </c>
      <c r="AX3010" s="242" t="str">
        <f>VLOOKUP(Table8[[#This Row],[Country Code]],Table29[],9,FALSE)</f>
        <v>no</v>
      </c>
      <c r="AY3010" s="242" t="str">
        <f>VLOOKUP(Table8[[#This Row],[Country Code]],Table29[],10,FALSE)</f>
        <v>no</v>
      </c>
      <c r="AZ3010" s="242">
        <f>VLOOKUP(Table8[[#This Row],[Country Code]],Table29[],23,FALSE)</f>
        <v>1300.1688666752</v>
      </c>
      <c r="BA3010" s="242">
        <f>VLOOKUP(Table8[[#This Row],[Country Code]],Table29[],24,FALSE)</f>
        <v>221.12609205884911</v>
      </c>
      <c r="BB3010" s="320"/>
    </row>
    <row r="3011" spans="1:54" x14ac:dyDescent="0.25">
      <c r="A3011" s="373">
        <v>43987</v>
      </c>
      <c r="B3011" s="243" t="str">
        <f>VLOOKUP(Table8[[#This Row],[Document ID]],Table1[],2,FALSE)</f>
        <v>CAN</v>
      </c>
      <c r="C3011" s="243" t="str">
        <f>VLOOKUP(Table8[[#This Row],[Document ID]],Table1[],3,FALSE)</f>
        <v>Canada</v>
      </c>
      <c r="D3011" s="243" t="str">
        <f>VLOOKUP(Table8[[#This Row],[Document ID]],Table1[],5,FALSE)</f>
        <v>NDC</v>
      </c>
      <c r="E3011" s="233" t="str">
        <f>VLOOKUP(Table8[[#This Row],[Document ID]],Table1[],7,FALSE)</f>
        <v>Third NDC</v>
      </c>
      <c r="F3011" s="233" t="str">
        <f>VLOOKUP(Table8[[#This Row],[Document ID]],Table1[],8,FALSE)</f>
        <v>NDC 3.0</v>
      </c>
      <c r="G3011" s="233" t="str">
        <f>VLOOKUP(Table8[[#This Row],[Document ID]],Table1[],10,FALSE)</f>
        <v>Active</v>
      </c>
      <c r="H3011" s="43" t="s">
        <v>2350</v>
      </c>
      <c r="I3011" s="43" t="s">
        <v>2407</v>
      </c>
      <c r="J3011" s="43" t="s">
        <v>2408</v>
      </c>
      <c r="K3011" s="44" t="s">
        <v>5057</v>
      </c>
      <c r="L3011" s="44" t="s">
        <v>2333</v>
      </c>
      <c r="M3011" s="43">
        <v>43</v>
      </c>
      <c r="N3011" s="113" t="s">
        <v>1113</v>
      </c>
      <c r="O3011" s="113"/>
      <c r="P3011" s="113"/>
      <c r="Q3011" s="113"/>
      <c r="R3011" s="113"/>
      <c r="S3011" s="113"/>
      <c r="T3011" s="113"/>
      <c r="U3011" s="113"/>
      <c r="V3011" s="113"/>
      <c r="W3011" s="113"/>
      <c r="X3011" s="113"/>
      <c r="Y3011" s="113"/>
      <c r="Z3011" s="113"/>
      <c r="AA3011" s="113"/>
      <c r="AB3011" s="113"/>
      <c r="AC3011" s="113"/>
      <c r="AD3011" s="113"/>
      <c r="AE3011" s="113"/>
      <c r="AF3011" s="113"/>
      <c r="AG3011" s="113"/>
      <c r="AH3011" s="113"/>
      <c r="AI3011" s="113"/>
      <c r="AJ3011" s="113"/>
      <c r="AK3011" s="113" t="s">
        <v>1113</v>
      </c>
      <c r="AL3011" s="113"/>
      <c r="AM3011" s="113"/>
      <c r="AN3011" s="113"/>
      <c r="AO3011" s="43" t="s">
        <v>2334</v>
      </c>
      <c r="AP3011" s="43" t="s">
        <v>4850</v>
      </c>
      <c r="AQ3011" s="233" t="str">
        <f>VLOOKUP(Table8[[#This Row],[Instrument]],Def_Targets!$D$73:$E$159,2,FALSE)</f>
        <v>I_Education</v>
      </c>
      <c r="AR3011" s="242" t="str">
        <f>VLOOKUP(Table8[[#This Row],[Country Code]],Table29[],3,FALSE)</f>
        <v>Annex I</v>
      </c>
      <c r="AS3011" s="242" t="str">
        <f>VLOOKUP(Table8[[#This Row],[Country Code]],Table29[],4,FALSE)</f>
        <v>Northern America</v>
      </c>
      <c r="AT3011" s="242" t="str">
        <f>VLOOKUP(Table8[[#This Row],[Country Code]],Table29[],5,FALSE)</f>
        <v>High-income</v>
      </c>
      <c r="AU3011" s="242" t="str">
        <f>VLOOKUP(Table8[[#This Row],[Country Code]],Table29[],6,FALSE)</f>
        <v>G20</v>
      </c>
      <c r="AV3011" s="242" t="str">
        <f>VLOOKUP(Table8[[#This Row],[Country Code]],Table29[],7,FALSE)</f>
        <v>G7</v>
      </c>
      <c r="AW3011" s="242" t="str">
        <f>VLOOKUP(Table8[[#This Row],[Country Code]],Table29[],8,FALSE)</f>
        <v>OECD</v>
      </c>
      <c r="AX3011" s="242" t="str">
        <f>VLOOKUP(Table8[[#This Row],[Country Code]],Table29[],9,FALSE)</f>
        <v>no</v>
      </c>
      <c r="AY3011" s="242" t="str">
        <f>VLOOKUP(Table8[[#This Row],[Country Code]],Table29[],10,FALSE)</f>
        <v>no</v>
      </c>
      <c r="AZ3011" s="242">
        <f>VLOOKUP(Table8[[#This Row],[Country Code]],Table29[],23,FALSE)</f>
        <v>747.67802680902003</v>
      </c>
      <c r="BA3011" s="242">
        <f>VLOOKUP(Table8[[#This Row],[Country Code]],Table29[],24,FALSE)</f>
        <v>169.021169926607</v>
      </c>
      <c r="BB3011" s="320"/>
    </row>
    <row r="3012" spans="1:54" ht="30" x14ac:dyDescent="0.25">
      <c r="A3012" s="373">
        <v>43987</v>
      </c>
      <c r="B3012" s="243" t="str">
        <f>VLOOKUP(Table8[[#This Row],[Document ID]],Table1[],2,FALSE)</f>
        <v>CAN</v>
      </c>
      <c r="C3012" s="243" t="str">
        <f>VLOOKUP(Table8[[#This Row],[Document ID]],Table1[],3,FALSE)</f>
        <v>Canada</v>
      </c>
      <c r="D3012" s="243" t="str">
        <f>VLOOKUP(Table8[[#This Row],[Document ID]],Table1[],5,FALSE)</f>
        <v>NDC</v>
      </c>
      <c r="E3012" s="233" t="str">
        <f>VLOOKUP(Table8[[#This Row],[Document ID]],Table1[],7,FALSE)</f>
        <v>Third NDC</v>
      </c>
      <c r="F3012" s="233" t="str">
        <f>VLOOKUP(Table8[[#This Row],[Document ID]],Table1[],8,FALSE)</f>
        <v>NDC 3.0</v>
      </c>
      <c r="G3012" s="233" t="str">
        <f>VLOOKUP(Table8[[#This Row],[Document ID]],Table1[],10,FALSE)</f>
        <v>Active</v>
      </c>
      <c r="H3012" s="43" t="s">
        <v>2350</v>
      </c>
      <c r="I3012" s="43" t="s">
        <v>2370</v>
      </c>
      <c r="J3012" s="43" t="s">
        <v>2418</v>
      </c>
      <c r="K3012" s="44" t="s">
        <v>5058</v>
      </c>
      <c r="L3012" s="44" t="s">
        <v>4912</v>
      </c>
      <c r="M3012" s="43">
        <v>43</v>
      </c>
      <c r="N3012" s="113" t="s">
        <v>1113</v>
      </c>
      <c r="O3012" s="113"/>
      <c r="P3012" s="113"/>
      <c r="Q3012" s="113"/>
      <c r="R3012" s="113"/>
      <c r="S3012" s="113"/>
      <c r="T3012" s="113"/>
      <c r="U3012" s="113"/>
      <c r="V3012" s="113"/>
      <c r="W3012" s="113"/>
      <c r="X3012" s="113"/>
      <c r="Y3012" s="113"/>
      <c r="Z3012" s="113"/>
      <c r="AA3012" s="113"/>
      <c r="AB3012" s="113"/>
      <c r="AC3012" s="113"/>
      <c r="AD3012" s="113"/>
      <c r="AE3012" s="113"/>
      <c r="AF3012" s="113"/>
      <c r="AG3012" s="113"/>
      <c r="AH3012" s="113"/>
      <c r="AI3012" s="113"/>
      <c r="AJ3012" s="113"/>
      <c r="AK3012" s="113" t="s">
        <v>1113</v>
      </c>
      <c r="AL3012" s="113"/>
      <c r="AM3012" s="113"/>
      <c r="AN3012" s="113"/>
      <c r="AO3012" s="43" t="s">
        <v>2334</v>
      </c>
      <c r="AP3012" s="43" t="s">
        <v>4850</v>
      </c>
      <c r="AQ3012" s="233" t="str">
        <f>VLOOKUP(Table8[[#This Row],[Instrument]],Def_Targets!$D$73:$E$159,2,FALSE)</f>
        <v>A_Complan</v>
      </c>
      <c r="AR3012" s="242" t="str">
        <f>VLOOKUP(Table8[[#This Row],[Country Code]],Table29[],3,FALSE)</f>
        <v>Annex I</v>
      </c>
      <c r="AS3012" s="242" t="str">
        <f>VLOOKUP(Table8[[#This Row],[Country Code]],Table29[],4,FALSE)</f>
        <v>Northern America</v>
      </c>
      <c r="AT3012" s="242" t="str">
        <f>VLOOKUP(Table8[[#This Row],[Country Code]],Table29[],5,FALSE)</f>
        <v>High-income</v>
      </c>
      <c r="AU3012" s="242" t="str">
        <f>VLOOKUP(Table8[[#This Row],[Country Code]],Table29[],6,FALSE)</f>
        <v>G20</v>
      </c>
      <c r="AV3012" s="242" t="str">
        <f>VLOOKUP(Table8[[#This Row],[Country Code]],Table29[],7,FALSE)</f>
        <v>G7</v>
      </c>
      <c r="AW3012" s="242" t="str">
        <f>VLOOKUP(Table8[[#This Row],[Country Code]],Table29[],8,FALSE)</f>
        <v>OECD</v>
      </c>
      <c r="AX3012" s="242" t="str">
        <f>VLOOKUP(Table8[[#This Row],[Country Code]],Table29[],9,FALSE)</f>
        <v>no</v>
      </c>
      <c r="AY3012" s="242" t="str">
        <f>VLOOKUP(Table8[[#This Row],[Country Code]],Table29[],10,FALSE)</f>
        <v>no</v>
      </c>
      <c r="AZ3012" s="242">
        <f>VLOOKUP(Table8[[#This Row],[Country Code]],Table29[],23,FALSE)</f>
        <v>747.67802680902003</v>
      </c>
      <c r="BA3012" s="242">
        <f>VLOOKUP(Table8[[#This Row],[Country Code]],Table29[],24,FALSE)</f>
        <v>169.021169926607</v>
      </c>
      <c r="BB3012" s="320"/>
    </row>
    <row r="3013" spans="1:54" ht="15" customHeight="1" x14ac:dyDescent="0.25">
      <c r="A3013" s="373">
        <v>43987</v>
      </c>
      <c r="B3013" s="243" t="str">
        <f>VLOOKUP(Table8[[#This Row],[Document ID]],Table1[],2,FALSE)</f>
        <v>CAN</v>
      </c>
      <c r="C3013" s="243" t="str">
        <f>VLOOKUP(Table8[[#This Row],[Document ID]],Table1[],3,FALSE)</f>
        <v>Canada</v>
      </c>
      <c r="D3013" s="243" t="str">
        <f>VLOOKUP(Table8[[#This Row],[Document ID]],Table1[],5,FALSE)</f>
        <v>NDC</v>
      </c>
      <c r="E3013" s="233" t="str">
        <f>VLOOKUP(Table8[[#This Row],[Document ID]],Table1[],7,FALSE)</f>
        <v>Third NDC</v>
      </c>
      <c r="F3013" s="233" t="str">
        <f>VLOOKUP(Table8[[#This Row],[Document ID]],Table1[],8,FALSE)</f>
        <v>NDC 3.0</v>
      </c>
      <c r="G3013" s="233" t="str">
        <f>VLOOKUP(Table8[[#This Row],[Document ID]],Table1[],10,FALSE)</f>
        <v>Active</v>
      </c>
      <c r="H3013" s="43" t="s">
        <v>2350</v>
      </c>
      <c r="I3013" s="43" t="s">
        <v>2407</v>
      </c>
      <c r="J3013" s="43" t="s">
        <v>2408</v>
      </c>
      <c r="K3013" s="44" t="s">
        <v>5059</v>
      </c>
      <c r="L3013" s="44" t="s">
        <v>2347</v>
      </c>
      <c r="M3013" s="43">
        <v>43</v>
      </c>
      <c r="N3013" s="113"/>
      <c r="O3013" s="113"/>
      <c r="P3013" s="113"/>
      <c r="Q3013" s="113"/>
      <c r="R3013" s="113" t="s">
        <v>1113</v>
      </c>
      <c r="S3013" s="113"/>
      <c r="T3013" s="113"/>
      <c r="U3013" s="113"/>
      <c r="V3013" s="113"/>
      <c r="W3013" s="113"/>
      <c r="X3013" s="113"/>
      <c r="Y3013" s="113"/>
      <c r="Z3013" s="113"/>
      <c r="AA3013" s="113"/>
      <c r="AB3013" s="113"/>
      <c r="AC3013" s="113"/>
      <c r="AD3013" s="113"/>
      <c r="AE3013" s="113"/>
      <c r="AF3013" s="113"/>
      <c r="AG3013" s="113"/>
      <c r="AH3013" s="113"/>
      <c r="AI3013" s="113"/>
      <c r="AJ3013" s="113"/>
      <c r="AK3013" s="113" t="s">
        <v>1113</v>
      </c>
      <c r="AL3013" s="113"/>
      <c r="AM3013" s="113"/>
      <c r="AN3013" s="113"/>
      <c r="AO3013" s="43" t="s">
        <v>2334</v>
      </c>
      <c r="AP3013" s="43" t="s">
        <v>4850</v>
      </c>
      <c r="AQ3013" s="233" t="str">
        <f>VLOOKUP(Table8[[#This Row],[Instrument]],Def_Targets!$D$73:$E$159,2,FALSE)</f>
        <v>I_Education</v>
      </c>
      <c r="AR3013" s="242" t="str">
        <f>VLOOKUP(Table8[[#This Row],[Country Code]],Table29[],3,FALSE)</f>
        <v>Annex I</v>
      </c>
      <c r="AS3013" s="242" t="str">
        <f>VLOOKUP(Table8[[#This Row],[Country Code]],Table29[],4,FALSE)</f>
        <v>Northern America</v>
      </c>
      <c r="AT3013" s="242" t="str">
        <f>VLOOKUP(Table8[[#This Row],[Country Code]],Table29[],5,FALSE)</f>
        <v>High-income</v>
      </c>
      <c r="AU3013" s="242" t="str">
        <f>VLOOKUP(Table8[[#This Row],[Country Code]],Table29[],6,FALSE)</f>
        <v>G20</v>
      </c>
      <c r="AV3013" s="242" t="str">
        <f>VLOOKUP(Table8[[#This Row],[Country Code]],Table29[],7,FALSE)</f>
        <v>G7</v>
      </c>
      <c r="AW3013" s="242" t="str">
        <f>VLOOKUP(Table8[[#This Row],[Country Code]],Table29[],8,FALSE)</f>
        <v>OECD</v>
      </c>
      <c r="AX3013" s="242" t="str">
        <f>VLOOKUP(Table8[[#This Row],[Country Code]],Table29[],9,FALSE)</f>
        <v>no</v>
      </c>
      <c r="AY3013" s="242" t="str">
        <f>VLOOKUP(Table8[[#This Row],[Country Code]],Table29[],10,FALSE)</f>
        <v>no</v>
      </c>
      <c r="AZ3013" s="242">
        <f>VLOOKUP(Table8[[#This Row],[Country Code]],Table29[],23,FALSE)</f>
        <v>747.67802680902003</v>
      </c>
      <c r="BA3013" s="242">
        <f>VLOOKUP(Table8[[#This Row],[Country Code]],Table29[],24,FALSE)</f>
        <v>169.021169926607</v>
      </c>
      <c r="BB3013" s="320"/>
    </row>
    <row r="3014" spans="1:54" ht="15" customHeight="1" x14ac:dyDescent="0.25">
      <c r="A3014" s="373">
        <v>43987</v>
      </c>
      <c r="B3014" s="243" t="str">
        <f>VLOOKUP(Table8[[#This Row],[Document ID]],Table1[],2,FALSE)</f>
        <v>CAN</v>
      </c>
      <c r="C3014" s="243" t="str">
        <f>VLOOKUP(Table8[[#This Row],[Document ID]],Table1[],3,FALSE)</f>
        <v>Canada</v>
      </c>
      <c r="D3014" s="243" t="str">
        <f>VLOOKUP(Table8[[#This Row],[Document ID]],Table1[],5,FALSE)</f>
        <v>NDC</v>
      </c>
      <c r="E3014" s="233" t="str">
        <f>VLOOKUP(Table8[[#This Row],[Document ID]],Table1[],7,FALSE)</f>
        <v>Third NDC</v>
      </c>
      <c r="F3014" s="233" t="str">
        <f>VLOOKUP(Table8[[#This Row],[Document ID]],Table1[],8,FALSE)</f>
        <v>NDC 3.0</v>
      </c>
      <c r="G3014" s="233" t="str">
        <f>VLOOKUP(Table8[[#This Row],[Document ID]],Table1[],10,FALSE)</f>
        <v>Active</v>
      </c>
      <c r="H3014" s="43" t="s">
        <v>2350</v>
      </c>
      <c r="I3014" s="43" t="s">
        <v>2407</v>
      </c>
      <c r="J3014" s="43" t="s">
        <v>2408</v>
      </c>
      <c r="K3014" s="44" t="s">
        <v>5060</v>
      </c>
      <c r="L3014" s="44" t="s">
        <v>2333</v>
      </c>
      <c r="M3014" s="43">
        <v>44</v>
      </c>
      <c r="N3014" s="113"/>
      <c r="O3014" s="113"/>
      <c r="P3014" s="113"/>
      <c r="Q3014" s="113"/>
      <c r="R3014" s="113" t="s">
        <v>1113</v>
      </c>
      <c r="S3014" s="113"/>
      <c r="T3014" s="113"/>
      <c r="U3014" s="113"/>
      <c r="V3014" s="113"/>
      <c r="W3014" s="113"/>
      <c r="X3014" s="113"/>
      <c r="Y3014" s="113"/>
      <c r="Z3014" s="113"/>
      <c r="AA3014" s="113"/>
      <c r="AB3014" s="113"/>
      <c r="AC3014" s="113"/>
      <c r="AD3014" s="113"/>
      <c r="AE3014" s="113"/>
      <c r="AF3014" s="113"/>
      <c r="AG3014" s="113"/>
      <c r="AH3014" s="113"/>
      <c r="AI3014" s="113"/>
      <c r="AJ3014" s="113"/>
      <c r="AK3014" s="113" t="s">
        <v>1113</v>
      </c>
      <c r="AL3014" s="113"/>
      <c r="AM3014" s="113"/>
      <c r="AN3014" s="113"/>
      <c r="AO3014" s="43" t="s">
        <v>2334</v>
      </c>
      <c r="AP3014" s="43" t="s">
        <v>4850</v>
      </c>
      <c r="AQ3014" s="233" t="str">
        <f>VLOOKUP(Table8[[#This Row],[Instrument]],Def_Targets!$D$73:$E$159,2,FALSE)</f>
        <v>I_Education</v>
      </c>
      <c r="AR3014" s="242" t="str">
        <f>VLOOKUP(Table8[[#This Row],[Country Code]],Table29[],3,FALSE)</f>
        <v>Annex I</v>
      </c>
      <c r="AS3014" s="242" t="str">
        <f>VLOOKUP(Table8[[#This Row],[Country Code]],Table29[],4,FALSE)</f>
        <v>Northern America</v>
      </c>
      <c r="AT3014" s="242" t="str">
        <f>VLOOKUP(Table8[[#This Row],[Country Code]],Table29[],5,FALSE)</f>
        <v>High-income</v>
      </c>
      <c r="AU3014" s="242" t="str">
        <f>VLOOKUP(Table8[[#This Row],[Country Code]],Table29[],6,FALSE)</f>
        <v>G20</v>
      </c>
      <c r="AV3014" s="242" t="str">
        <f>VLOOKUP(Table8[[#This Row],[Country Code]],Table29[],7,FALSE)</f>
        <v>G7</v>
      </c>
      <c r="AW3014" s="242" t="str">
        <f>VLOOKUP(Table8[[#This Row],[Country Code]],Table29[],8,FALSE)</f>
        <v>OECD</v>
      </c>
      <c r="AX3014" s="242" t="str">
        <f>VLOOKUP(Table8[[#This Row],[Country Code]],Table29[],9,FALSE)</f>
        <v>no</v>
      </c>
      <c r="AY3014" s="242" t="str">
        <f>VLOOKUP(Table8[[#This Row],[Country Code]],Table29[],10,FALSE)</f>
        <v>no</v>
      </c>
      <c r="AZ3014" s="242">
        <f>VLOOKUP(Table8[[#This Row],[Country Code]],Table29[],23,FALSE)</f>
        <v>747.67802680902003</v>
      </c>
      <c r="BA3014" s="242">
        <f>VLOOKUP(Table8[[#This Row],[Country Code]],Table29[],24,FALSE)</f>
        <v>169.021169926607</v>
      </c>
      <c r="BB3014" s="320"/>
    </row>
    <row r="3015" spans="1:54" ht="15" customHeight="1" x14ac:dyDescent="0.25">
      <c r="A3015" s="373">
        <v>43987</v>
      </c>
      <c r="B3015" s="243" t="str">
        <f>VLOOKUP(Table8[[#This Row],[Document ID]],Table1[],2,FALSE)</f>
        <v>CAN</v>
      </c>
      <c r="C3015" s="243" t="str">
        <f>VLOOKUP(Table8[[#This Row],[Document ID]],Table1[],3,FALSE)</f>
        <v>Canada</v>
      </c>
      <c r="D3015" s="243" t="str">
        <f>VLOOKUP(Table8[[#This Row],[Document ID]],Table1[],5,FALSE)</f>
        <v>NDC</v>
      </c>
      <c r="E3015" s="233" t="str">
        <f>VLOOKUP(Table8[[#This Row],[Document ID]],Table1[],7,FALSE)</f>
        <v>Third NDC</v>
      </c>
      <c r="F3015" s="233" t="str">
        <f>VLOOKUP(Table8[[#This Row],[Document ID]],Table1[],8,FALSE)</f>
        <v>NDC 3.0</v>
      </c>
      <c r="G3015" s="233" t="str">
        <f>VLOOKUP(Table8[[#This Row],[Document ID]],Table1[],10,FALSE)</f>
        <v>Active</v>
      </c>
      <c r="H3015" s="43" t="s">
        <v>2350</v>
      </c>
      <c r="I3015" s="43" t="s">
        <v>2370</v>
      </c>
      <c r="J3015" s="43" t="s">
        <v>2418</v>
      </c>
      <c r="K3015" s="44" t="s">
        <v>5061</v>
      </c>
      <c r="L3015" s="44" t="s">
        <v>2333</v>
      </c>
      <c r="M3015" s="43">
        <v>49</v>
      </c>
      <c r="N3015" s="113"/>
      <c r="O3015" s="113"/>
      <c r="P3015" s="113"/>
      <c r="Q3015" s="113"/>
      <c r="R3015" s="113"/>
      <c r="S3015" s="113"/>
      <c r="T3015" s="113"/>
      <c r="U3015" s="113"/>
      <c r="V3015" s="113"/>
      <c r="W3015" s="113"/>
      <c r="X3015" s="113"/>
      <c r="Y3015" s="113"/>
      <c r="Z3015" s="113"/>
      <c r="AA3015" s="113"/>
      <c r="AB3015" s="113"/>
      <c r="AC3015" s="113"/>
      <c r="AD3015" s="113"/>
      <c r="AE3015" s="113"/>
      <c r="AF3015" s="113"/>
      <c r="AG3015" s="113"/>
      <c r="AH3015" s="113"/>
      <c r="AI3015" s="113"/>
      <c r="AJ3015" s="113"/>
      <c r="AK3015" s="113" t="s">
        <v>1113</v>
      </c>
      <c r="AL3015" s="113"/>
      <c r="AM3015" s="113"/>
      <c r="AN3015" s="113"/>
      <c r="AO3015" s="43" t="s">
        <v>2334</v>
      </c>
      <c r="AP3015" s="43" t="s">
        <v>4850</v>
      </c>
      <c r="AQ3015" s="233" t="str">
        <f>VLOOKUP(Table8[[#This Row],[Instrument]],Def_Targets!$D$73:$E$159,2,FALSE)</f>
        <v>A_Complan</v>
      </c>
      <c r="AR3015" s="242" t="str">
        <f>VLOOKUP(Table8[[#This Row],[Country Code]],Table29[],3,FALSE)</f>
        <v>Annex I</v>
      </c>
      <c r="AS3015" s="242" t="str">
        <f>VLOOKUP(Table8[[#This Row],[Country Code]],Table29[],4,FALSE)</f>
        <v>Northern America</v>
      </c>
      <c r="AT3015" s="242" t="str">
        <f>VLOOKUP(Table8[[#This Row],[Country Code]],Table29[],5,FALSE)</f>
        <v>High-income</v>
      </c>
      <c r="AU3015" s="242" t="str">
        <f>VLOOKUP(Table8[[#This Row],[Country Code]],Table29[],6,FALSE)</f>
        <v>G20</v>
      </c>
      <c r="AV3015" s="242" t="str">
        <f>VLOOKUP(Table8[[#This Row],[Country Code]],Table29[],7,FALSE)</f>
        <v>G7</v>
      </c>
      <c r="AW3015" s="242" t="str">
        <f>VLOOKUP(Table8[[#This Row],[Country Code]],Table29[],8,FALSE)</f>
        <v>OECD</v>
      </c>
      <c r="AX3015" s="242" t="str">
        <f>VLOOKUP(Table8[[#This Row],[Country Code]],Table29[],9,FALSE)</f>
        <v>no</v>
      </c>
      <c r="AY3015" s="242" t="str">
        <f>VLOOKUP(Table8[[#This Row],[Country Code]],Table29[],10,FALSE)</f>
        <v>no</v>
      </c>
      <c r="AZ3015" s="242">
        <f>VLOOKUP(Table8[[#This Row],[Country Code]],Table29[],23,FALSE)</f>
        <v>747.67802680902003</v>
      </c>
      <c r="BA3015" s="242">
        <f>VLOOKUP(Table8[[#This Row],[Country Code]],Table29[],24,FALSE)</f>
        <v>169.021169926607</v>
      </c>
      <c r="BB3015" s="320"/>
    </row>
    <row r="3016" spans="1:54" ht="15" customHeight="1" x14ac:dyDescent="0.25">
      <c r="A3016" s="373">
        <v>44170</v>
      </c>
      <c r="B3016" s="243" t="str">
        <f>VLOOKUP(Table8[[#This Row],[Document ID]],Table1[],2,FALSE)</f>
        <v>MDV</v>
      </c>
      <c r="C3016" s="243" t="str">
        <f>VLOOKUP(Table8[[#This Row],[Document ID]],Table1[],3,FALSE)</f>
        <v>Maldives</v>
      </c>
      <c r="D3016" s="243" t="str">
        <f>VLOOKUP(Table8[[#This Row],[Document ID]],Table1[],5,FALSE)</f>
        <v>NDC</v>
      </c>
      <c r="E3016" s="233" t="str">
        <f>VLOOKUP(Table8[[#This Row],[Document ID]],Table1[],7,FALSE)</f>
        <v>Third NDC</v>
      </c>
      <c r="F3016" s="233" t="str">
        <f>VLOOKUP(Table8[[#This Row],[Document ID]],Table1[],8,FALSE)</f>
        <v>NDC 3.0</v>
      </c>
      <c r="G3016" s="233" t="str">
        <f>VLOOKUP(Table8[[#This Row],[Document ID]],Table1[],10,FALSE)</f>
        <v>Active</v>
      </c>
      <c r="H3016" s="43" t="s">
        <v>2350</v>
      </c>
      <c r="I3016" s="43" t="s">
        <v>2456</v>
      </c>
      <c r="J3016" s="43" t="s">
        <v>2457</v>
      </c>
      <c r="K3016" s="44" t="s">
        <v>5062</v>
      </c>
      <c r="L3016" s="44" t="s">
        <v>2347</v>
      </c>
      <c r="M3016" s="43">
        <v>44</v>
      </c>
      <c r="N3016" s="113" t="s">
        <v>1113</v>
      </c>
      <c r="O3016" s="113"/>
      <c r="P3016" s="113"/>
      <c r="Q3016" s="113"/>
      <c r="R3016" s="113"/>
      <c r="S3016" s="113"/>
      <c r="T3016" s="113"/>
      <c r="U3016" s="113"/>
      <c r="V3016" s="113"/>
      <c r="W3016" s="113"/>
      <c r="X3016" s="113"/>
      <c r="Y3016" s="113"/>
      <c r="Z3016" s="113"/>
      <c r="AA3016" s="113"/>
      <c r="AB3016" s="113"/>
      <c r="AC3016" s="113"/>
      <c r="AD3016" s="113"/>
      <c r="AE3016" s="113"/>
      <c r="AF3016" s="113"/>
      <c r="AG3016" s="113"/>
      <c r="AH3016" s="113"/>
      <c r="AI3016" s="113"/>
      <c r="AJ3016" s="113"/>
      <c r="AK3016" s="113" t="s">
        <v>1113</v>
      </c>
      <c r="AL3016" s="113"/>
      <c r="AM3016" s="113"/>
      <c r="AN3016" s="113"/>
      <c r="AO3016" s="43" t="s">
        <v>2334</v>
      </c>
      <c r="AP3016" s="43" t="s">
        <v>4850</v>
      </c>
      <c r="AQ3016" s="233" t="str">
        <f>VLOOKUP(Table8[[#This Row],[Instrument]],Def_Targets!$D$73:$E$159,2,FALSE)</f>
        <v>S_Infraimprove</v>
      </c>
      <c r="AR3016" s="242" t="str">
        <f>VLOOKUP(Table8[[#This Row],[Country Code]],Table29[],3,FALSE)</f>
        <v>Non-Annex I</v>
      </c>
      <c r="AS3016" s="242" t="str">
        <f>VLOOKUP(Table8[[#This Row],[Country Code]],Table29[],4,FALSE)</f>
        <v>Asia</v>
      </c>
      <c r="AT3016" s="242" t="str">
        <f>VLOOKUP(Table8[[#This Row],[Country Code]],Table29[],5,FALSE)</f>
        <v>Middle-income</v>
      </c>
      <c r="AU3016" s="242" t="str">
        <f>VLOOKUP(Table8[[#This Row],[Country Code]],Table29[],6,FALSE)</f>
        <v>no</v>
      </c>
      <c r="AV3016" s="242" t="str">
        <f>VLOOKUP(Table8[[#This Row],[Country Code]],Table29[],7,FALSE)</f>
        <v>no</v>
      </c>
      <c r="AW3016" s="242" t="str">
        <f>VLOOKUP(Table8[[#This Row],[Country Code]],Table29[],8,FALSE)</f>
        <v>non-OECD</v>
      </c>
      <c r="AX3016" s="242" t="str">
        <f>VLOOKUP(Table8[[#This Row],[Country Code]],Table29[],9,FALSE)</f>
        <v>no</v>
      </c>
      <c r="AY3016" s="242" t="str">
        <f>VLOOKUP(Table8[[#This Row],[Country Code]],Table29[],10,FALSE)</f>
        <v>no</v>
      </c>
      <c r="AZ3016" s="242">
        <f>VLOOKUP(Table8[[#This Row],[Country Code]],Table29[],23,FALSE)</f>
        <v>3.0879519663505</v>
      </c>
      <c r="BA3016" s="242">
        <f>VLOOKUP(Table8[[#This Row],[Country Code]],Table29[],24,FALSE)</f>
        <v>1.4972669707005819</v>
      </c>
      <c r="BB3016" s="320"/>
    </row>
    <row r="3017" spans="1:54" ht="15" customHeight="1" x14ac:dyDescent="0.25">
      <c r="A3017" s="373">
        <v>43921</v>
      </c>
      <c r="B3017" s="243" t="str">
        <f>VLOOKUP(Table8[[#This Row],[Document ID]],Table1[],2,FALSE)</f>
        <v>LCA</v>
      </c>
      <c r="C3017" s="243" t="str">
        <f>VLOOKUP(Table8[[#This Row],[Document ID]],Table1[],3,FALSE)</f>
        <v>Saint Lucia</v>
      </c>
      <c r="D3017" s="243" t="str">
        <f>VLOOKUP(Table8[[#This Row],[Document ID]],Table1[],5,FALSE)</f>
        <v>NDC</v>
      </c>
      <c r="E3017" s="233" t="str">
        <f>VLOOKUP(Table8[[#This Row],[Document ID]],Table1[],7,FALSE)</f>
        <v>Third NDC</v>
      </c>
      <c r="F3017" s="233" t="str">
        <f>VLOOKUP(Table8[[#This Row],[Document ID]],Table1[],8,FALSE)</f>
        <v>NDC 3.0</v>
      </c>
      <c r="G3017" s="233" t="str">
        <f>VLOOKUP(Table8[[#This Row],[Document ID]],Table1[],10,FALSE)</f>
        <v>Active</v>
      </c>
      <c r="H3017" s="43" t="s">
        <v>2350</v>
      </c>
      <c r="I3017" s="43" t="s">
        <v>2407</v>
      </c>
      <c r="J3017" s="43" t="s">
        <v>2408</v>
      </c>
      <c r="K3017" s="44" t="s">
        <v>4926</v>
      </c>
      <c r="L3017" s="44" t="s">
        <v>2333</v>
      </c>
      <c r="M3017" s="43">
        <v>8</v>
      </c>
      <c r="N3017" s="113" t="s">
        <v>1113</v>
      </c>
      <c r="O3017" s="113"/>
      <c r="P3017" s="113"/>
      <c r="Q3017" s="113"/>
      <c r="R3017" s="113"/>
      <c r="S3017" s="113"/>
      <c r="T3017" s="113"/>
      <c r="U3017" s="113"/>
      <c r="V3017" s="113"/>
      <c r="W3017" s="113"/>
      <c r="X3017" s="113"/>
      <c r="Y3017" s="113"/>
      <c r="Z3017" s="113"/>
      <c r="AA3017" s="113"/>
      <c r="AB3017" s="113"/>
      <c r="AC3017" s="113"/>
      <c r="AD3017" s="113"/>
      <c r="AE3017" s="113"/>
      <c r="AF3017" s="113"/>
      <c r="AG3017" s="113"/>
      <c r="AH3017" s="113"/>
      <c r="AI3017" s="113"/>
      <c r="AJ3017" s="113"/>
      <c r="AK3017" s="113" t="s">
        <v>1113</v>
      </c>
      <c r="AL3017" s="113"/>
      <c r="AM3017" s="113"/>
      <c r="AN3017" s="113"/>
      <c r="AO3017" s="43" t="s">
        <v>2334</v>
      </c>
      <c r="AP3017" s="43" t="s">
        <v>4873</v>
      </c>
      <c r="AQ3017" s="233" t="str">
        <f>VLOOKUP(Table8[[#This Row],[Instrument]],Def_Targets!$D$73:$E$159,2,FALSE)</f>
        <v>I_Education</v>
      </c>
      <c r="AR3017" s="242" t="str">
        <f>VLOOKUP(Table8[[#This Row],[Country Code]],Table29[],3,FALSE)</f>
        <v>Non-Annex I</v>
      </c>
      <c r="AS3017" s="242" t="str">
        <f>VLOOKUP(Table8[[#This Row],[Country Code]],Table29[],4,FALSE)</f>
        <v>Latin America and the Caribbean</v>
      </c>
      <c r="AT3017" s="242" t="str">
        <f>VLOOKUP(Table8[[#This Row],[Country Code]],Table29[],5,FALSE)</f>
        <v>Middle-income</v>
      </c>
      <c r="AU3017" s="242" t="str">
        <f>VLOOKUP(Table8[[#This Row],[Country Code]],Table29[],6,FALSE)</f>
        <v>no</v>
      </c>
      <c r="AV3017" s="242" t="str">
        <f>VLOOKUP(Table8[[#This Row],[Country Code]],Table29[],7,FALSE)</f>
        <v>no</v>
      </c>
      <c r="AW3017" s="242" t="str">
        <f>VLOOKUP(Table8[[#This Row],[Country Code]],Table29[],8,FALSE)</f>
        <v>non-OECD</v>
      </c>
      <c r="AX3017" s="242" t="str">
        <f>VLOOKUP(Table8[[#This Row],[Country Code]],Table29[],9,FALSE)</f>
        <v>no</v>
      </c>
      <c r="AY3017" s="242" t="str">
        <f>VLOOKUP(Table8[[#This Row],[Country Code]],Table29[],10,FALSE)</f>
        <v>no</v>
      </c>
      <c r="AZ3017" s="242">
        <f>VLOOKUP(Table8[[#This Row],[Country Code]],Table29[],23,FALSE)</f>
        <v>0.45126691251345002</v>
      </c>
      <c r="BA3017" s="242">
        <f>VLOOKUP(Table8[[#This Row],[Country Code]],Table29[],24,FALSE)</f>
        <v>0.10561796037965671</v>
      </c>
      <c r="BB3017" s="320"/>
    </row>
    <row r="3018" spans="1:54" ht="15" customHeight="1" x14ac:dyDescent="0.25">
      <c r="A3018" s="373">
        <v>43699</v>
      </c>
      <c r="B3018" s="243" t="str">
        <f>VLOOKUP(Table8[[#This Row],[Document ID]],Table1[],2,FALSE)</f>
        <v>ARE</v>
      </c>
      <c r="C3018" s="243" t="str">
        <f>VLOOKUP(Table8[[#This Row],[Document ID]],Table1[],3,FALSE)</f>
        <v>United Arab Emirates</v>
      </c>
      <c r="D3018" s="243" t="str">
        <f>VLOOKUP(Table8[[#This Row],[Document ID]],Table1[],5,FALSE)</f>
        <v>NDC</v>
      </c>
      <c r="E3018" s="233" t="str">
        <f>VLOOKUP(Table8[[#This Row],[Document ID]],Table1[],7,FALSE)</f>
        <v>Third NDC</v>
      </c>
      <c r="F3018" s="233" t="str">
        <f>VLOOKUP(Table8[[#This Row],[Document ID]],Table1[],8,FALSE)</f>
        <v>NDC 3.0</v>
      </c>
      <c r="G3018" s="233" t="str">
        <f>VLOOKUP(Table8[[#This Row],[Document ID]],Table1[],10,FALSE)</f>
        <v>Active</v>
      </c>
      <c r="H3018" s="43" t="s">
        <v>2350</v>
      </c>
      <c r="I3018" s="43" t="s">
        <v>2456</v>
      </c>
      <c r="J3018" s="43" t="s">
        <v>2643</v>
      </c>
      <c r="K3018" s="44" t="s">
        <v>5063</v>
      </c>
      <c r="L3018" s="44" t="s">
        <v>3939</v>
      </c>
      <c r="M3018" s="43">
        <v>28</v>
      </c>
      <c r="N3018" s="113" t="s">
        <v>1113</v>
      </c>
      <c r="O3018" s="113"/>
      <c r="P3018" s="113"/>
      <c r="Q3018" s="113"/>
      <c r="R3018" s="113"/>
      <c r="S3018" s="113"/>
      <c r="T3018" s="113"/>
      <c r="U3018" s="113"/>
      <c r="V3018" s="113"/>
      <c r="W3018" s="113"/>
      <c r="X3018" s="113"/>
      <c r="Y3018" s="113"/>
      <c r="Z3018" s="113"/>
      <c r="AA3018" s="113"/>
      <c r="AB3018" s="113"/>
      <c r="AC3018" s="113"/>
      <c r="AD3018" s="113"/>
      <c r="AE3018" s="113"/>
      <c r="AF3018" s="113"/>
      <c r="AG3018" s="113"/>
      <c r="AH3018" s="113"/>
      <c r="AI3018" s="113"/>
      <c r="AJ3018" s="113"/>
      <c r="AK3018" s="113" t="s">
        <v>1113</v>
      </c>
      <c r="AL3018" s="113"/>
      <c r="AM3018" s="113"/>
      <c r="AN3018" s="113"/>
      <c r="AO3018" s="43" t="s">
        <v>2334</v>
      </c>
      <c r="AP3018" s="43" t="s">
        <v>4850</v>
      </c>
      <c r="AQ3018" s="233" t="str">
        <f>VLOOKUP(Table8[[#This Row],[Instrument]],Def_Targets!$D$73:$E$159,2,FALSE)</f>
        <v>S_Intermodality</v>
      </c>
      <c r="AR3018" s="242" t="str">
        <f>VLOOKUP(Table8[[#This Row],[Country Code]],Table29[],3,FALSE)</f>
        <v>Non-Annex I</v>
      </c>
      <c r="AS3018" s="242" t="str">
        <f>VLOOKUP(Table8[[#This Row],[Country Code]],Table29[],4,FALSE)</f>
        <v>Asia</v>
      </c>
      <c r="AT3018" s="242" t="str">
        <f>VLOOKUP(Table8[[#This Row],[Country Code]],Table29[],5,FALSE)</f>
        <v>High-income</v>
      </c>
      <c r="AU3018" s="242" t="str">
        <f>VLOOKUP(Table8[[#This Row],[Country Code]],Table29[],6,FALSE)</f>
        <v>no</v>
      </c>
      <c r="AV3018" s="242" t="str">
        <f>VLOOKUP(Table8[[#This Row],[Country Code]],Table29[],7,FALSE)</f>
        <v>no</v>
      </c>
      <c r="AW3018" s="242" t="str">
        <f>VLOOKUP(Table8[[#This Row],[Country Code]],Table29[],8,FALSE)</f>
        <v>non-OECD</v>
      </c>
      <c r="AX3018" s="242" t="str">
        <f>VLOOKUP(Table8[[#This Row],[Country Code]],Table29[],9,FALSE)</f>
        <v>no</v>
      </c>
      <c r="AY3018" s="242" t="str">
        <f>VLOOKUP(Table8[[#This Row],[Country Code]],Table29[],10,FALSE)</f>
        <v>MENA</v>
      </c>
      <c r="AZ3018" s="242">
        <f>VLOOKUP(Table8[[#This Row],[Country Code]],Table29[],23,FALSE)</f>
        <v>267.82319378585998</v>
      </c>
      <c r="BA3018" s="242">
        <f>VLOOKUP(Table8[[#This Row],[Country Code]],Table29[],24,FALSE)</f>
        <v>43.860911308351241</v>
      </c>
      <c r="BB3018" s="320"/>
    </row>
    <row r="3019" spans="1:54" ht="15" customHeight="1" x14ac:dyDescent="0.25">
      <c r="A3019" s="373">
        <v>43701</v>
      </c>
      <c r="B3019" s="243" t="str">
        <f>VLOOKUP(Table8[[#This Row],[Document ID]],Table1[],2,FALSE)</f>
        <v>USA</v>
      </c>
      <c r="C3019" s="243" t="str">
        <f>VLOOKUP(Table8[[#This Row],[Document ID]],Table1[],3,FALSE)</f>
        <v>United States of America</v>
      </c>
      <c r="D3019" s="243" t="str">
        <f>VLOOKUP(Table8[[#This Row],[Document ID]],Table1[],5,FALSE)</f>
        <v>NDC</v>
      </c>
      <c r="E3019" s="233" t="str">
        <f>VLOOKUP(Table8[[#This Row],[Document ID]],Table1[],7,FALSE)</f>
        <v>Third NDC</v>
      </c>
      <c r="F3019" s="233" t="str">
        <f>VLOOKUP(Table8[[#This Row],[Document ID]],Table1[],8,FALSE)</f>
        <v>NDC 3.0</v>
      </c>
      <c r="G3019" s="233" t="str">
        <f>VLOOKUP(Table8[[#This Row],[Document ID]],Table1[],10,FALSE)</f>
        <v>Active</v>
      </c>
      <c r="H3019" s="43" t="s">
        <v>2350</v>
      </c>
      <c r="I3019" s="43" t="s">
        <v>2351</v>
      </c>
      <c r="J3019" s="43" t="s">
        <v>2447</v>
      </c>
      <c r="K3019" s="44" t="s">
        <v>5064</v>
      </c>
      <c r="L3019" s="44" t="s">
        <v>3939</v>
      </c>
      <c r="M3019" s="43">
        <v>8</v>
      </c>
      <c r="N3019" s="113" t="s">
        <v>1113</v>
      </c>
      <c r="O3019" s="113"/>
      <c r="P3019" s="113"/>
      <c r="Q3019" s="113"/>
      <c r="R3019" s="113"/>
      <c r="S3019" s="113"/>
      <c r="T3019" s="113"/>
      <c r="U3019" s="113"/>
      <c r="V3019" s="113"/>
      <c r="W3019" s="113"/>
      <c r="X3019" s="113"/>
      <c r="Y3019" s="113"/>
      <c r="Z3019" s="113"/>
      <c r="AA3019" s="113"/>
      <c r="AB3019" s="113"/>
      <c r="AC3019" s="113"/>
      <c r="AD3019" s="113"/>
      <c r="AE3019" s="113"/>
      <c r="AF3019" s="113"/>
      <c r="AG3019" s="113"/>
      <c r="AH3019" s="113"/>
      <c r="AI3019" s="113"/>
      <c r="AJ3019" s="113"/>
      <c r="AK3019" s="113" t="s">
        <v>1113</v>
      </c>
      <c r="AL3019" s="113"/>
      <c r="AM3019" s="113"/>
      <c r="AN3019" s="113"/>
      <c r="AO3019" s="43" t="s">
        <v>2353</v>
      </c>
      <c r="AP3019" s="43" t="s">
        <v>4850</v>
      </c>
      <c r="AQ3019" s="233" t="str">
        <f>VLOOKUP(Table8[[#This Row],[Instrument]],Def_Targets!$D$73:$E$159,2,FALSE)</f>
        <v>I_Freighteff</v>
      </c>
      <c r="AR3019" s="242" t="str">
        <f>VLOOKUP(Table8[[#This Row],[Country Code]],Table29[],3,FALSE)</f>
        <v>Annex I</v>
      </c>
      <c r="AS3019" s="242" t="str">
        <f>VLOOKUP(Table8[[#This Row],[Country Code]],Table29[],4,FALSE)</f>
        <v>Northern America</v>
      </c>
      <c r="AT3019" s="242" t="str">
        <f>VLOOKUP(Table8[[#This Row],[Country Code]],Table29[],5,FALSE)</f>
        <v>High-income</v>
      </c>
      <c r="AU3019" s="242" t="str">
        <f>VLOOKUP(Table8[[#This Row],[Country Code]],Table29[],6,FALSE)</f>
        <v>G20</v>
      </c>
      <c r="AV3019" s="242" t="str">
        <f>VLOOKUP(Table8[[#This Row],[Country Code]],Table29[],7,FALSE)</f>
        <v>G7</v>
      </c>
      <c r="AW3019" s="242" t="str">
        <f>VLOOKUP(Table8[[#This Row],[Country Code]],Table29[],8,FALSE)</f>
        <v>OECD</v>
      </c>
      <c r="AX3019" s="242" t="str">
        <f>VLOOKUP(Table8[[#This Row],[Country Code]],Table29[],9,FALSE)</f>
        <v>no</v>
      </c>
      <c r="AY3019" s="242" t="str">
        <f>VLOOKUP(Table8[[#This Row],[Country Code]],Table29[],10,FALSE)</f>
        <v>no</v>
      </c>
      <c r="AZ3019" s="242">
        <f>VLOOKUP(Table8[[#This Row],[Country Code]],Table29[],23,FALSE)</f>
        <v>5960.8043799938996</v>
      </c>
      <c r="BA3019" s="242">
        <f>VLOOKUP(Table8[[#This Row],[Country Code]],Table29[],24,FALSE)</f>
        <v>1735.9036371632039</v>
      </c>
      <c r="BB3019" s="320"/>
    </row>
    <row r="3020" spans="1:54" ht="15" customHeight="1" x14ac:dyDescent="0.25">
      <c r="A3020" s="373">
        <v>43701</v>
      </c>
      <c r="B3020" s="243" t="str">
        <f>VLOOKUP(Table8[[#This Row],[Document ID]],Table1[],2,FALSE)</f>
        <v>USA</v>
      </c>
      <c r="C3020" s="243" t="str">
        <f>VLOOKUP(Table8[[#This Row],[Document ID]],Table1[],3,FALSE)</f>
        <v>United States of America</v>
      </c>
      <c r="D3020" s="243" t="str">
        <f>VLOOKUP(Table8[[#This Row],[Document ID]],Table1[],5,FALSE)</f>
        <v>NDC</v>
      </c>
      <c r="E3020" s="233" t="str">
        <f>VLOOKUP(Table8[[#This Row],[Document ID]],Table1[],7,FALSE)</f>
        <v>Third NDC</v>
      </c>
      <c r="F3020" s="233" t="str">
        <f>VLOOKUP(Table8[[#This Row],[Document ID]],Table1[],8,FALSE)</f>
        <v>NDC 3.0</v>
      </c>
      <c r="G3020" s="233" t="str">
        <f>VLOOKUP(Table8[[#This Row],[Document ID]],Table1[],10,FALSE)</f>
        <v>Active</v>
      </c>
      <c r="H3020" s="43" t="s">
        <v>2350</v>
      </c>
      <c r="I3020" s="43" t="s">
        <v>2351</v>
      </c>
      <c r="J3020" s="43" t="s">
        <v>2352</v>
      </c>
      <c r="K3020" s="44" t="s">
        <v>5064</v>
      </c>
      <c r="L3020" s="44" t="s">
        <v>3939</v>
      </c>
      <c r="M3020" s="43">
        <v>8</v>
      </c>
      <c r="N3020" s="113" t="s">
        <v>1113</v>
      </c>
      <c r="O3020" s="113"/>
      <c r="P3020" s="113"/>
      <c r="Q3020" s="113"/>
      <c r="R3020" s="113"/>
      <c r="S3020" s="113"/>
      <c r="T3020" s="113"/>
      <c r="U3020" s="113"/>
      <c r="V3020" s="113"/>
      <c r="W3020" s="113"/>
      <c r="X3020" s="113"/>
      <c r="Y3020" s="113"/>
      <c r="Z3020" s="113"/>
      <c r="AA3020" s="113"/>
      <c r="AB3020" s="113"/>
      <c r="AC3020" s="113"/>
      <c r="AD3020" s="113"/>
      <c r="AE3020" s="113"/>
      <c r="AF3020" s="113"/>
      <c r="AG3020" s="113"/>
      <c r="AH3020" s="113"/>
      <c r="AI3020" s="113"/>
      <c r="AJ3020" s="113"/>
      <c r="AK3020" s="113" t="s">
        <v>1113</v>
      </c>
      <c r="AL3020" s="113"/>
      <c r="AM3020" s="113"/>
      <c r="AN3020" s="113"/>
      <c r="AO3020" s="43" t="s">
        <v>2353</v>
      </c>
      <c r="AP3020" s="43" t="s">
        <v>4850</v>
      </c>
      <c r="AQ3020" s="233" t="str">
        <f>VLOOKUP(Table8[[#This Row],[Instrument]],Def_Targets!$D$73:$E$159,2,FALSE)</f>
        <v>S_Railfreight</v>
      </c>
      <c r="AR3020" s="242" t="str">
        <f>VLOOKUP(Table8[[#This Row],[Country Code]],Table29[],3,FALSE)</f>
        <v>Annex I</v>
      </c>
      <c r="AS3020" s="242" t="str">
        <f>VLOOKUP(Table8[[#This Row],[Country Code]],Table29[],4,FALSE)</f>
        <v>Northern America</v>
      </c>
      <c r="AT3020" s="242" t="str">
        <f>VLOOKUP(Table8[[#This Row],[Country Code]],Table29[],5,FALSE)</f>
        <v>High-income</v>
      </c>
      <c r="AU3020" s="242" t="str">
        <f>VLOOKUP(Table8[[#This Row],[Country Code]],Table29[],6,FALSE)</f>
        <v>G20</v>
      </c>
      <c r="AV3020" s="242" t="str">
        <f>VLOOKUP(Table8[[#This Row],[Country Code]],Table29[],7,FALSE)</f>
        <v>G7</v>
      </c>
      <c r="AW3020" s="242" t="str">
        <f>VLOOKUP(Table8[[#This Row],[Country Code]],Table29[],8,FALSE)</f>
        <v>OECD</v>
      </c>
      <c r="AX3020" s="242" t="str">
        <f>VLOOKUP(Table8[[#This Row],[Country Code]],Table29[],9,FALSE)</f>
        <v>no</v>
      </c>
      <c r="AY3020" s="242" t="str">
        <f>VLOOKUP(Table8[[#This Row],[Country Code]],Table29[],10,FALSE)</f>
        <v>no</v>
      </c>
      <c r="AZ3020" s="242">
        <f>VLOOKUP(Table8[[#This Row],[Country Code]],Table29[],23,FALSE)</f>
        <v>5960.8043799938996</v>
      </c>
      <c r="BA3020" s="242">
        <f>VLOOKUP(Table8[[#This Row],[Country Code]],Table29[],24,FALSE)</f>
        <v>1735.9036371632039</v>
      </c>
      <c r="BB3020" s="320"/>
    </row>
    <row r="3021" spans="1:54" ht="15" customHeight="1" x14ac:dyDescent="0.25">
      <c r="A3021" s="373">
        <v>43701</v>
      </c>
      <c r="B3021" s="243" t="str">
        <f>VLOOKUP(Table8[[#This Row],[Document ID]],Table1[],2,FALSE)</f>
        <v>USA</v>
      </c>
      <c r="C3021" s="243" t="str">
        <f>VLOOKUP(Table8[[#This Row],[Document ID]],Table1[],3,FALSE)</f>
        <v>United States of America</v>
      </c>
      <c r="D3021" s="243" t="str">
        <f>VLOOKUP(Table8[[#This Row],[Document ID]],Table1[],5,FALSE)</f>
        <v>NDC</v>
      </c>
      <c r="E3021" s="233" t="str">
        <f>VLOOKUP(Table8[[#This Row],[Document ID]],Table1[],7,FALSE)</f>
        <v>Third NDC</v>
      </c>
      <c r="F3021" s="233" t="str">
        <f>VLOOKUP(Table8[[#This Row],[Document ID]],Table1[],8,FALSE)</f>
        <v>NDC 3.0</v>
      </c>
      <c r="G3021" s="233" t="str">
        <f>VLOOKUP(Table8[[#This Row],[Document ID]],Table1[],10,FALSE)</f>
        <v>Active</v>
      </c>
      <c r="H3021" s="43" t="s">
        <v>2350</v>
      </c>
      <c r="I3021" s="43" t="s">
        <v>2370</v>
      </c>
      <c r="J3021" s="43" t="s">
        <v>2418</v>
      </c>
      <c r="K3021" s="44" t="s">
        <v>5065</v>
      </c>
      <c r="L3021" s="44" t="s">
        <v>2333</v>
      </c>
      <c r="M3021" s="43">
        <v>8</v>
      </c>
      <c r="N3021" s="113" t="s">
        <v>1113</v>
      </c>
      <c r="O3021" s="113"/>
      <c r="P3021" s="113"/>
      <c r="Q3021" s="113"/>
      <c r="R3021" s="113"/>
      <c r="S3021" s="113"/>
      <c r="T3021" s="113"/>
      <c r="U3021" s="113"/>
      <c r="V3021" s="113"/>
      <c r="W3021" s="113"/>
      <c r="X3021" s="113"/>
      <c r="Y3021" s="113"/>
      <c r="Z3021" s="113"/>
      <c r="AA3021" s="113"/>
      <c r="AB3021" s="113"/>
      <c r="AC3021" s="113"/>
      <c r="AD3021" s="113"/>
      <c r="AE3021" s="113"/>
      <c r="AF3021" s="113"/>
      <c r="AG3021" s="113"/>
      <c r="AH3021" s="113"/>
      <c r="AI3021" s="113"/>
      <c r="AJ3021" s="113"/>
      <c r="AK3021" s="113"/>
      <c r="AL3021" s="113" t="s">
        <v>1113</v>
      </c>
      <c r="AM3021" s="113"/>
      <c r="AN3021" s="113"/>
      <c r="AO3021" s="43" t="s">
        <v>2334</v>
      </c>
      <c r="AP3021" s="43" t="s">
        <v>4850</v>
      </c>
      <c r="AQ3021" s="233" t="str">
        <f>VLOOKUP(Table8[[#This Row],[Instrument]],Def_Targets!$D$73:$E$159,2,FALSE)</f>
        <v>A_Complan</v>
      </c>
      <c r="AR3021" s="242" t="str">
        <f>VLOOKUP(Table8[[#This Row],[Country Code]],Table29[],3,FALSE)</f>
        <v>Annex I</v>
      </c>
      <c r="AS3021" s="242" t="str">
        <f>VLOOKUP(Table8[[#This Row],[Country Code]],Table29[],4,FALSE)</f>
        <v>Northern America</v>
      </c>
      <c r="AT3021" s="242" t="str">
        <f>VLOOKUP(Table8[[#This Row],[Country Code]],Table29[],5,FALSE)</f>
        <v>High-income</v>
      </c>
      <c r="AU3021" s="242" t="str">
        <f>VLOOKUP(Table8[[#This Row],[Country Code]],Table29[],6,FALSE)</f>
        <v>G20</v>
      </c>
      <c r="AV3021" s="242" t="str">
        <f>VLOOKUP(Table8[[#This Row],[Country Code]],Table29[],7,FALSE)</f>
        <v>G7</v>
      </c>
      <c r="AW3021" s="242" t="str">
        <f>VLOOKUP(Table8[[#This Row],[Country Code]],Table29[],8,FALSE)</f>
        <v>OECD</v>
      </c>
      <c r="AX3021" s="242" t="str">
        <f>VLOOKUP(Table8[[#This Row],[Country Code]],Table29[],9,FALSE)</f>
        <v>no</v>
      </c>
      <c r="AY3021" s="242" t="str">
        <f>VLOOKUP(Table8[[#This Row],[Country Code]],Table29[],10,FALSE)</f>
        <v>no</v>
      </c>
      <c r="AZ3021" s="242">
        <f>VLOOKUP(Table8[[#This Row],[Country Code]],Table29[],23,FALSE)</f>
        <v>5960.8043799938996</v>
      </c>
      <c r="BA3021" s="242">
        <f>VLOOKUP(Table8[[#This Row],[Country Code]],Table29[],24,FALSE)</f>
        <v>1735.9036371632039</v>
      </c>
      <c r="BB3021" s="320"/>
    </row>
    <row r="3022" spans="1:54" ht="15" customHeight="1" x14ac:dyDescent="0.25">
      <c r="A3022" s="373">
        <v>43701</v>
      </c>
      <c r="B3022" s="243" t="str">
        <f>VLOOKUP(Table8[[#This Row],[Document ID]],Table1[],2,FALSE)</f>
        <v>USA</v>
      </c>
      <c r="C3022" s="243" t="str">
        <f>VLOOKUP(Table8[[#This Row],[Document ID]],Table1[],3,FALSE)</f>
        <v>United States of America</v>
      </c>
      <c r="D3022" s="243" t="str">
        <f>VLOOKUP(Table8[[#This Row],[Document ID]],Table1[],5,FALSE)</f>
        <v>NDC</v>
      </c>
      <c r="E3022" s="233" t="str">
        <f>VLOOKUP(Table8[[#This Row],[Document ID]],Table1[],7,FALSE)</f>
        <v>Third NDC</v>
      </c>
      <c r="F3022" s="233" t="str">
        <f>VLOOKUP(Table8[[#This Row],[Document ID]],Table1[],8,FALSE)</f>
        <v>NDC 3.0</v>
      </c>
      <c r="G3022" s="233" t="str">
        <f>VLOOKUP(Table8[[#This Row],[Document ID]],Table1[],10,FALSE)</f>
        <v>Active</v>
      </c>
      <c r="H3022" s="43" t="s">
        <v>2350</v>
      </c>
      <c r="I3022" s="43" t="s">
        <v>2456</v>
      </c>
      <c r="J3022" s="44" t="s">
        <v>2457</v>
      </c>
      <c r="K3022" s="44" t="s">
        <v>5066</v>
      </c>
      <c r="L3022" s="44" t="s">
        <v>2333</v>
      </c>
      <c r="M3022" s="43">
        <v>25</v>
      </c>
      <c r="N3022" s="113"/>
      <c r="O3022" s="113"/>
      <c r="P3022" s="113"/>
      <c r="Q3022" s="113"/>
      <c r="R3022" s="113"/>
      <c r="S3022" s="113" t="s">
        <v>1113</v>
      </c>
      <c r="T3022" s="113"/>
      <c r="U3022" s="113"/>
      <c r="V3022" s="113"/>
      <c r="W3022" s="113"/>
      <c r="X3022" s="113"/>
      <c r="Y3022" s="113"/>
      <c r="Z3022" s="113" t="s">
        <v>1113</v>
      </c>
      <c r="AA3022" s="113"/>
      <c r="AB3022" s="113"/>
      <c r="AC3022" s="113"/>
      <c r="AD3022" s="113" t="s">
        <v>1113</v>
      </c>
      <c r="AE3022" s="113"/>
      <c r="AF3022" s="113"/>
      <c r="AG3022" s="113"/>
      <c r="AH3022" s="113" t="s">
        <v>1113</v>
      </c>
      <c r="AI3022" s="113"/>
      <c r="AJ3022" s="113"/>
      <c r="AK3022" s="113" t="s">
        <v>1113</v>
      </c>
      <c r="AL3022" s="113"/>
      <c r="AM3022" s="113"/>
      <c r="AN3022" s="113"/>
      <c r="AO3022" s="43" t="s">
        <v>2334</v>
      </c>
      <c r="AP3022" s="43" t="s">
        <v>4850</v>
      </c>
      <c r="AQ3022" s="233" t="str">
        <f>VLOOKUP(Table8[[#This Row],[Instrument]],Def_Targets!$D$73:$E$159,2,FALSE)</f>
        <v>S_Infraimprove</v>
      </c>
      <c r="AR3022" s="242" t="str">
        <f>VLOOKUP(Table8[[#This Row],[Country Code]],Table29[],3,FALSE)</f>
        <v>Annex I</v>
      </c>
      <c r="AS3022" s="242" t="str">
        <f>VLOOKUP(Table8[[#This Row],[Country Code]],Table29[],4,FALSE)</f>
        <v>Northern America</v>
      </c>
      <c r="AT3022" s="242" t="str">
        <f>VLOOKUP(Table8[[#This Row],[Country Code]],Table29[],5,FALSE)</f>
        <v>High-income</v>
      </c>
      <c r="AU3022" s="242" t="str">
        <f>VLOOKUP(Table8[[#This Row],[Country Code]],Table29[],6,FALSE)</f>
        <v>G20</v>
      </c>
      <c r="AV3022" s="242" t="str">
        <f>VLOOKUP(Table8[[#This Row],[Country Code]],Table29[],7,FALSE)</f>
        <v>G7</v>
      </c>
      <c r="AW3022" s="242" t="str">
        <f>VLOOKUP(Table8[[#This Row],[Country Code]],Table29[],8,FALSE)</f>
        <v>OECD</v>
      </c>
      <c r="AX3022" s="242" t="str">
        <f>VLOOKUP(Table8[[#This Row],[Country Code]],Table29[],9,FALSE)</f>
        <v>no</v>
      </c>
      <c r="AY3022" s="242" t="str">
        <f>VLOOKUP(Table8[[#This Row],[Country Code]],Table29[],10,FALSE)</f>
        <v>no</v>
      </c>
      <c r="AZ3022" s="242">
        <f>VLOOKUP(Table8[[#This Row],[Country Code]],Table29[],23,FALSE)</f>
        <v>5960.8043799938996</v>
      </c>
      <c r="BA3022" s="242">
        <f>VLOOKUP(Table8[[#This Row],[Country Code]],Table29[],24,FALSE)</f>
        <v>1735.9036371632039</v>
      </c>
      <c r="BB3022" s="320"/>
    </row>
    <row r="3023" spans="1:54" ht="15" customHeight="1" x14ac:dyDescent="0.25">
      <c r="A3023" s="373">
        <v>43764</v>
      </c>
      <c r="B3023" s="243" t="str">
        <f>VLOOKUP(Table8[[#This Row],[Document ID]],Table1[],2,FALSE)</f>
        <v>URY</v>
      </c>
      <c r="C3023" s="243" t="str">
        <f>VLOOKUP(Table8[[#This Row],[Document ID]],Table1[],3,FALSE)</f>
        <v>Uruguay</v>
      </c>
      <c r="D3023" s="243" t="str">
        <f>VLOOKUP(Table8[[#This Row],[Document ID]],Table1[],5,FALSE)</f>
        <v>NDC</v>
      </c>
      <c r="E3023" s="233" t="str">
        <f>VLOOKUP(Table8[[#This Row],[Document ID]],Table1[],7,FALSE)</f>
        <v>Third NDC</v>
      </c>
      <c r="F3023" s="233" t="str">
        <f>VLOOKUP(Table8[[#This Row],[Document ID]],Table1[],8,FALSE)</f>
        <v>NDC 3.0</v>
      </c>
      <c r="G3023" s="233" t="str">
        <f>VLOOKUP(Table8[[#This Row],[Document ID]],Table1[],10,FALSE)</f>
        <v>Active</v>
      </c>
      <c r="H3023" s="43" t="s">
        <v>2350</v>
      </c>
      <c r="I3023" s="43" t="s">
        <v>2370</v>
      </c>
      <c r="J3023" s="43" t="s">
        <v>2418</v>
      </c>
      <c r="K3023" s="44" t="s">
        <v>5051</v>
      </c>
      <c r="L3023" s="44" t="s">
        <v>2380</v>
      </c>
      <c r="M3023" s="43">
        <v>47</v>
      </c>
      <c r="N3023" s="113" t="s">
        <v>1113</v>
      </c>
      <c r="O3023" s="113"/>
      <c r="P3023" s="113"/>
      <c r="Q3023" s="113"/>
      <c r="R3023" s="113"/>
      <c r="S3023" s="113"/>
      <c r="T3023" s="113"/>
      <c r="U3023" s="113"/>
      <c r="V3023" s="113"/>
      <c r="W3023" s="113"/>
      <c r="X3023" s="113"/>
      <c r="Y3023" s="113"/>
      <c r="Z3023" s="113"/>
      <c r="AA3023" s="113"/>
      <c r="AB3023" s="113"/>
      <c r="AC3023" s="113"/>
      <c r="AD3023" s="113"/>
      <c r="AE3023" s="113"/>
      <c r="AF3023" s="113"/>
      <c r="AG3023" s="113"/>
      <c r="AH3023" s="113"/>
      <c r="AI3023" s="113"/>
      <c r="AJ3023" s="113"/>
      <c r="AK3023" s="113"/>
      <c r="AL3023" s="113" t="s">
        <v>1113</v>
      </c>
      <c r="AM3023" s="113"/>
      <c r="AN3023" s="113"/>
      <c r="AO3023" s="43" t="s">
        <v>2334</v>
      </c>
      <c r="AP3023" s="43" t="s">
        <v>4850</v>
      </c>
      <c r="AQ3023" s="233" t="str">
        <f>VLOOKUP(Table8[[#This Row],[Instrument]],Def_Targets!$D$73:$E$159,2,FALSE)</f>
        <v>A_Complan</v>
      </c>
      <c r="AR3023" s="242" t="str">
        <f>VLOOKUP(Table8[[#This Row],[Country Code]],Table29[],3,FALSE)</f>
        <v>Non-Annex I</v>
      </c>
      <c r="AS3023" s="242" t="str">
        <f>VLOOKUP(Table8[[#This Row],[Country Code]],Table29[],4,FALSE)</f>
        <v>Latin America and the Caribbean</v>
      </c>
      <c r="AT3023" s="242" t="str">
        <f>VLOOKUP(Table8[[#This Row],[Country Code]],Table29[],5,FALSE)</f>
        <v>High-income</v>
      </c>
      <c r="AU3023" s="242" t="str">
        <f>VLOOKUP(Table8[[#This Row],[Country Code]],Table29[],6,FALSE)</f>
        <v>no</v>
      </c>
      <c r="AV3023" s="242" t="str">
        <f>VLOOKUP(Table8[[#This Row],[Country Code]],Table29[],7,FALSE)</f>
        <v>no</v>
      </c>
      <c r="AW3023" s="242" t="str">
        <f>VLOOKUP(Table8[[#This Row],[Country Code]],Table29[],8,FALSE)</f>
        <v>non-OECD</v>
      </c>
      <c r="AX3023" s="242" t="str">
        <f>VLOOKUP(Table8[[#This Row],[Country Code]],Table29[],9,FALSE)</f>
        <v>no</v>
      </c>
      <c r="AY3023" s="242" t="str">
        <f>VLOOKUP(Table8[[#This Row],[Country Code]],Table29[],10,FALSE)</f>
        <v>no</v>
      </c>
      <c r="AZ3023" s="242">
        <f>VLOOKUP(Table8[[#This Row],[Country Code]],Table29[],23,FALSE)</f>
        <v>41.634111747759</v>
      </c>
      <c r="BA3023" s="242">
        <f>VLOOKUP(Table8[[#This Row],[Country Code]],Table29[],24,FALSE)</f>
        <v>4.0868158944276578</v>
      </c>
      <c r="BB3023" s="320"/>
    </row>
    <row r="3024" spans="1:54" ht="15" customHeight="1" x14ac:dyDescent="0.25">
      <c r="A3024" s="373">
        <v>43764</v>
      </c>
      <c r="B3024" s="243" t="str">
        <f>VLOOKUP(Table8[[#This Row],[Document ID]],Table1[],2,FALSE)</f>
        <v>URY</v>
      </c>
      <c r="C3024" s="243" t="str">
        <f>VLOOKUP(Table8[[#This Row],[Document ID]],Table1[],3,FALSE)</f>
        <v>Uruguay</v>
      </c>
      <c r="D3024" s="243" t="str">
        <f>VLOOKUP(Table8[[#This Row],[Document ID]],Table1[],5,FALSE)</f>
        <v>NDC</v>
      </c>
      <c r="E3024" s="233" t="str">
        <f>VLOOKUP(Table8[[#This Row],[Document ID]],Table1[],7,FALSE)</f>
        <v>Third NDC</v>
      </c>
      <c r="F3024" s="233" t="str">
        <f>VLOOKUP(Table8[[#This Row],[Document ID]],Table1[],8,FALSE)</f>
        <v>NDC 3.0</v>
      </c>
      <c r="G3024" s="233" t="str">
        <f>VLOOKUP(Table8[[#This Row],[Document ID]],Table1[],10,FALSE)</f>
        <v>Active</v>
      </c>
      <c r="H3024" s="43" t="s">
        <v>2350</v>
      </c>
      <c r="I3024" s="43" t="s">
        <v>2407</v>
      </c>
      <c r="J3024" s="43" t="s">
        <v>2408</v>
      </c>
      <c r="K3024" s="44" t="s">
        <v>5067</v>
      </c>
      <c r="L3024" s="44" t="s">
        <v>2347</v>
      </c>
      <c r="M3024" s="43">
        <v>48</v>
      </c>
      <c r="N3024" s="113" t="s">
        <v>1113</v>
      </c>
      <c r="O3024" s="113"/>
      <c r="P3024" s="113"/>
      <c r="Q3024" s="113"/>
      <c r="R3024" s="113"/>
      <c r="S3024" s="113"/>
      <c r="T3024" s="113"/>
      <c r="U3024" s="113"/>
      <c r="V3024" s="113"/>
      <c r="W3024" s="113"/>
      <c r="X3024" s="113"/>
      <c r="Y3024" s="113"/>
      <c r="Z3024" s="113"/>
      <c r="AA3024" s="113"/>
      <c r="AB3024" s="113"/>
      <c r="AC3024" s="113"/>
      <c r="AD3024" s="113"/>
      <c r="AE3024" s="113"/>
      <c r="AF3024" s="113"/>
      <c r="AG3024" s="113"/>
      <c r="AH3024" s="113"/>
      <c r="AI3024" s="113"/>
      <c r="AJ3024" s="113"/>
      <c r="AK3024" s="113" t="s">
        <v>1113</v>
      </c>
      <c r="AL3024" s="113"/>
      <c r="AM3024" s="113"/>
      <c r="AN3024" s="113"/>
      <c r="AO3024" s="43" t="s">
        <v>2334</v>
      </c>
      <c r="AP3024" s="43" t="s">
        <v>4850</v>
      </c>
      <c r="AQ3024" s="233" t="str">
        <f>VLOOKUP(Table8[[#This Row],[Instrument]],Def_Targets!$D$73:$E$159,2,FALSE)</f>
        <v>I_Education</v>
      </c>
      <c r="AR3024" s="242" t="str">
        <f>VLOOKUP(Table8[[#This Row],[Country Code]],Table29[],3,FALSE)</f>
        <v>Non-Annex I</v>
      </c>
      <c r="AS3024" s="242" t="str">
        <f>VLOOKUP(Table8[[#This Row],[Country Code]],Table29[],4,FALSE)</f>
        <v>Latin America and the Caribbean</v>
      </c>
      <c r="AT3024" s="242" t="str">
        <f>VLOOKUP(Table8[[#This Row],[Country Code]],Table29[],5,FALSE)</f>
        <v>High-income</v>
      </c>
      <c r="AU3024" s="242" t="str">
        <f>VLOOKUP(Table8[[#This Row],[Country Code]],Table29[],6,FALSE)</f>
        <v>no</v>
      </c>
      <c r="AV3024" s="242" t="str">
        <f>VLOOKUP(Table8[[#This Row],[Country Code]],Table29[],7,FALSE)</f>
        <v>no</v>
      </c>
      <c r="AW3024" s="242" t="str">
        <f>VLOOKUP(Table8[[#This Row],[Country Code]],Table29[],8,FALSE)</f>
        <v>non-OECD</v>
      </c>
      <c r="AX3024" s="242" t="str">
        <f>VLOOKUP(Table8[[#This Row],[Country Code]],Table29[],9,FALSE)</f>
        <v>no</v>
      </c>
      <c r="AY3024" s="242" t="str">
        <f>VLOOKUP(Table8[[#This Row],[Country Code]],Table29[],10,FALSE)</f>
        <v>no</v>
      </c>
      <c r="AZ3024" s="242">
        <f>VLOOKUP(Table8[[#This Row],[Country Code]],Table29[],23,FALSE)</f>
        <v>41.634111747759</v>
      </c>
      <c r="BA3024" s="242">
        <f>VLOOKUP(Table8[[#This Row],[Country Code]],Table29[],24,FALSE)</f>
        <v>4.0868158944276578</v>
      </c>
      <c r="BB3024" s="320"/>
    </row>
    <row r="3025" spans="1:54" ht="15" customHeight="1" x14ac:dyDescent="0.25">
      <c r="A3025" s="373">
        <v>43764</v>
      </c>
      <c r="B3025" s="243" t="str">
        <f>VLOOKUP(Table8[[#This Row],[Document ID]],Table1[],2,FALSE)</f>
        <v>URY</v>
      </c>
      <c r="C3025" s="243" t="str">
        <f>VLOOKUP(Table8[[#This Row],[Document ID]],Table1[],3,FALSE)</f>
        <v>Uruguay</v>
      </c>
      <c r="D3025" s="243" t="str">
        <f>VLOOKUP(Table8[[#This Row],[Document ID]],Table1[],5,FALSE)</f>
        <v>NDC</v>
      </c>
      <c r="E3025" s="233" t="str">
        <f>VLOOKUP(Table8[[#This Row],[Document ID]],Table1[],7,FALSE)</f>
        <v>Third NDC</v>
      </c>
      <c r="F3025" s="233" t="str">
        <f>VLOOKUP(Table8[[#This Row],[Document ID]],Table1[],8,FALSE)</f>
        <v>NDC 3.0</v>
      </c>
      <c r="G3025" s="233" t="str">
        <f>VLOOKUP(Table8[[#This Row],[Document ID]],Table1[],10,FALSE)</f>
        <v>Active</v>
      </c>
      <c r="H3025" s="43" t="s">
        <v>2350</v>
      </c>
      <c r="I3025" s="43" t="s">
        <v>2456</v>
      </c>
      <c r="J3025" s="43" t="s">
        <v>2643</v>
      </c>
      <c r="K3025" s="44" t="s">
        <v>5068</v>
      </c>
      <c r="L3025" s="44" t="s">
        <v>2347</v>
      </c>
      <c r="M3025" s="43">
        <v>48</v>
      </c>
      <c r="N3025" s="113" t="s">
        <v>1113</v>
      </c>
      <c r="O3025" s="113"/>
      <c r="P3025" s="113"/>
      <c r="Q3025" s="113"/>
      <c r="R3025" s="113"/>
      <c r="S3025" s="113"/>
      <c r="T3025" s="113"/>
      <c r="U3025" s="113"/>
      <c r="V3025" s="113"/>
      <c r="W3025" s="113"/>
      <c r="X3025" s="113"/>
      <c r="Y3025" s="113"/>
      <c r="Z3025" s="113"/>
      <c r="AA3025" s="113"/>
      <c r="AB3025" s="113"/>
      <c r="AC3025" s="113"/>
      <c r="AD3025" s="113"/>
      <c r="AE3025" s="113"/>
      <c r="AF3025" s="113"/>
      <c r="AG3025" s="113"/>
      <c r="AH3025" s="113"/>
      <c r="AI3025" s="113"/>
      <c r="AJ3025" s="113"/>
      <c r="AK3025" s="113" t="s">
        <v>1113</v>
      </c>
      <c r="AL3025" s="113"/>
      <c r="AM3025" s="113"/>
      <c r="AN3025" s="113"/>
      <c r="AO3025" s="43" t="s">
        <v>2477</v>
      </c>
      <c r="AP3025" s="43" t="s">
        <v>4850</v>
      </c>
      <c r="AQ3025" s="233" t="str">
        <f>VLOOKUP(Table8[[#This Row],[Instrument]],Def_Targets!$D$73:$E$159,2,FALSE)</f>
        <v>S_Intermodality</v>
      </c>
      <c r="AR3025" s="242" t="str">
        <f>VLOOKUP(Table8[[#This Row],[Country Code]],Table29[],3,FALSE)</f>
        <v>Non-Annex I</v>
      </c>
      <c r="AS3025" s="242" t="str">
        <f>VLOOKUP(Table8[[#This Row],[Country Code]],Table29[],4,FALSE)</f>
        <v>Latin America and the Caribbean</v>
      </c>
      <c r="AT3025" s="242" t="str">
        <f>VLOOKUP(Table8[[#This Row],[Country Code]],Table29[],5,FALSE)</f>
        <v>High-income</v>
      </c>
      <c r="AU3025" s="242" t="str">
        <f>VLOOKUP(Table8[[#This Row],[Country Code]],Table29[],6,FALSE)</f>
        <v>no</v>
      </c>
      <c r="AV3025" s="242" t="str">
        <f>VLOOKUP(Table8[[#This Row],[Country Code]],Table29[],7,FALSE)</f>
        <v>no</v>
      </c>
      <c r="AW3025" s="242" t="str">
        <f>VLOOKUP(Table8[[#This Row],[Country Code]],Table29[],8,FALSE)</f>
        <v>non-OECD</v>
      </c>
      <c r="AX3025" s="242" t="str">
        <f>VLOOKUP(Table8[[#This Row],[Country Code]],Table29[],9,FALSE)</f>
        <v>no</v>
      </c>
      <c r="AY3025" s="242" t="str">
        <f>VLOOKUP(Table8[[#This Row],[Country Code]],Table29[],10,FALSE)</f>
        <v>no</v>
      </c>
      <c r="AZ3025" s="242">
        <f>VLOOKUP(Table8[[#This Row],[Country Code]],Table29[],23,FALSE)</f>
        <v>41.634111747759</v>
      </c>
      <c r="BA3025" s="242">
        <f>VLOOKUP(Table8[[#This Row],[Country Code]],Table29[],24,FALSE)</f>
        <v>4.0868158944276578</v>
      </c>
      <c r="BB3025" s="320"/>
    </row>
  </sheetData>
  <mergeCells count="2">
    <mergeCell ref="AK7:AN7"/>
    <mergeCell ref="N7:AJ7"/>
  </mergeCells>
  <phoneticPr fontId="14" type="noConversion"/>
  <conditionalFormatting sqref="D687 D689:D691">
    <cfRule type="uniqueValues" dxfId="0" priority="1"/>
  </conditionalFormatting>
  <dataValidations count="2">
    <dataValidation type="list" allowBlank="1" showInputMessage="1" showErrorMessage="1" sqref="T2430:T2431" xr:uid="{D05C1426-859D-42A0-8EFB-FFCF0612DDC8}">
      <formula1>#REF!</formula1>
    </dataValidation>
    <dataValidation type="list" allowBlank="1" showInputMessage="1" showErrorMessage="1" sqref="I9:J3025" xr:uid="{FDBBCE54-37F9-46F4-B274-F28933DA5537}">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646E276-CE2B-4C96-B06F-EEDB537AA40B}">
          <x14:formula1>
            <xm:f>Def_Targets!$D$167:$D$170</xm:f>
          </x14:formula1>
          <xm:sqref>AO9:AO2920 AO2973:AO2974 AO2969:AO2971 AO2944:AO2949 AO2922:AO2942 AO3013</xm:sqref>
        </x14:dataValidation>
        <x14:dataValidation type="list" allowBlank="1" showInputMessage="1" showErrorMessage="1" xr:uid="{639C7BD4-1551-4E0D-A6DC-CC3309A3E9BB}">
          <x14:formula1>
            <xm:f>'Drop down'!$C$26:$C$31</xm:f>
          </x14:formula1>
          <xm:sqref>H9:H3025</xm:sqref>
        </x14:dataValidation>
        <x14:dataValidation type="list" allowBlank="1" showInputMessage="1" showErrorMessage="1" xr:uid="{84AE9826-3F4D-4DF4-ACB8-D05F4739723C}">
          <x14:formula1>
            <xm:f>Def_Targets!$D$171:$D$173</xm:f>
          </x14:formula1>
          <xm:sqref>AP9:AP3025</xm:sqref>
        </x14:dataValidation>
        <x14:dataValidation type="list" allowBlank="1" showInputMessage="1" showErrorMessage="1" xr:uid="{47B2DDBD-419F-4BA4-8626-66AF748A7C0B}">
          <x14:formula1>
            <xm:f>Def_Targets!$E$160:$E$166</xm:f>
          </x14:formula1>
          <xm:sqref>L9:L3025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3E9-2F0F-47A0-BB1B-FB3785067B72}">
  <sheetPr codeName="Sheet12">
    <tabColor theme="9" tint="0.39997558519241921"/>
    <outlinePr summaryRight="0"/>
  </sheetPr>
  <dimension ref="A2:BB384"/>
  <sheetViews>
    <sheetView zoomScaleNormal="100" workbookViewId="0">
      <pane ySplit="8" topLeftCell="A373" activePane="bottomLeft" state="frozen"/>
      <selection activeCell="B62" sqref="B62:D2149"/>
      <selection pane="bottomLeft" activeCell="J5" sqref="J5"/>
    </sheetView>
  </sheetViews>
  <sheetFormatPr baseColWidth="10" defaultColWidth="8.5703125" defaultRowHeight="15" customHeight="1" outlineLevelCol="1" x14ac:dyDescent="0.25"/>
  <cols>
    <col min="1" max="1" width="12.85546875" style="8" customWidth="1"/>
    <col min="2" max="2" width="10.42578125" style="253" customWidth="1"/>
    <col min="3" max="3" width="18.42578125" style="253" bestFit="1" customWidth="1"/>
    <col min="4" max="4" width="18.42578125" style="253" customWidth="1"/>
    <col min="5" max="7" width="20.42578125" style="253" customWidth="1"/>
    <col min="8" max="8" width="32.5703125" style="8" customWidth="1"/>
    <col min="9" max="9" width="37.85546875" style="8" customWidth="1"/>
    <col min="10" max="10" width="89.5703125" style="7" customWidth="1"/>
    <col min="11" max="11" width="8.5703125" style="16" bestFit="1" customWidth="1"/>
    <col min="12" max="14" width="3.5703125" style="3" customWidth="1"/>
    <col min="15" max="16" width="3.5703125" style="3" customWidth="1" outlineLevel="1"/>
    <col min="17" max="17" width="3.5703125" style="3" customWidth="1"/>
    <col min="18" max="23" width="3.5703125" style="3" customWidth="1" outlineLevel="1"/>
    <col min="24" max="24" width="3.5703125" style="3" customWidth="1"/>
    <col min="25" max="27" width="3.5703125" style="3" customWidth="1" outlineLevel="1"/>
    <col min="28" max="28" width="3.5703125" style="3" customWidth="1"/>
    <col min="29" max="31" width="3.5703125" style="3" customWidth="1" outlineLevel="1"/>
    <col min="32" max="32" width="3.5703125" style="3" customWidth="1"/>
    <col min="33" max="34" width="3.5703125" style="3" customWidth="1" outlineLevel="1"/>
    <col min="35" max="38" width="3.5703125" style="3" customWidth="1"/>
    <col min="39" max="39" width="23.5703125" style="8" customWidth="1"/>
    <col min="40" max="40" width="12.42578125" style="8" bestFit="1" customWidth="1"/>
    <col min="41" max="41" width="15.5703125" style="8" bestFit="1" customWidth="1"/>
    <col min="42" max="42" width="11.42578125" style="8" bestFit="1" customWidth="1"/>
    <col min="43" max="43" width="11.5703125" style="8" bestFit="1" customWidth="1"/>
    <col min="44" max="46" width="8.5703125" style="8"/>
    <col min="47" max="47" width="8.42578125" style="8" bestFit="1" customWidth="1"/>
    <col min="48" max="48" width="15.42578125" style="8" bestFit="1" customWidth="1"/>
    <col min="49" max="49" width="12.5703125" style="8" bestFit="1" customWidth="1"/>
    <col min="50" max="50" width="13.42578125" style="8" customWidth="1"/>
    <col min="51" max="51" width="39.5703125" style="8" customWidth="1"/>
    <col min="52" max="16384" width="8.5703125" style="8"/>
  </cols>
  <sheetData>
    <row r="2" spans="1:54" s="29" customFormat="1" ht="22.5" x14ac:dyDescent="0.3">
      <c r="B2" s="272"/>
      <c r="C2" s="303" t="s">
        <v>5069</v>
      </c>
      <c r="D2" s="302"/>
      <c r="E2" s="272"/>
      <c r="F2" s="272"/>
      <c r="G2" s="272"/>
      <c r="J2" s="151"/>
      <c r="K2" s="309"/>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54" s="29" customFormat="1" x14ac:dyDescent="0.25">
      <c r="B3" s="272"/>
      <c r="C3" s="288" t="s">
        <v>5070</v>
      </c>
      <c r="D3" s="272"/>
      <c r="E3" s="272"/>
      <c r="F3" s="272"/>
      <c r="G3" s="272"/>
      <c r="J3" s="151"/>
      <c r="K3" s="309"/>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54" s="29" customFormat="1" x14ac:dyDescent="0.25">
      <c r="B4" s="272"/>
      <c r="C4" s="160" t="str">
        <f>'Read me'!C8</f>
        <v>Update as of  13 March 2025</v>
      </c>
      <c r="D4" s="274"/>
      <c r="E4" s="272"/>
      <c r="F4" s="272"/>
      <c r="G4" s="272"/>
      <c r="J4" s="151"/>
      <c r="K4" s="309"/>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7" spans="1:54" x14ac:dyDescent="0.25">
      <c r="L7" s="579" t="s">
        <v>2293</v>
      </c>
      <c r="M7" s="579"/>
      <c r="N7" s="579"/>
      <c r="O7" s="579"/>
      <c r="P7" s="579"/>
      <c r="Q7" s="579"/>
      <c r="R7" s="579"/>
      <c r="S7" s="579"/>
      <c r="T7" s="579"/>
      <c r="U7" s="579"/>
      <c r="V7" s="579"/>
      <c r="W7" s="579"/>
      <c r="X7" s="579"/>
      <c r="Y7" s="579"/>
      <c r="Z7" s="579"/>
      <c r="AA7" s="579"/>
      <c r="AB7" s="579"/>
      <c r="AC7" s="579"/>
      <c r="AD7" s="579"/>
      <c r="AE7" s="579"/>
      <c r="AF7" s="579"/>
      <c r="AG7" s="579"/>
      <c r="AH7" s="579"/>
      <c r="AI7" s="578" t="s">
        <v>2294</v>
      </c>
      <c r="AJ7" s="578"/>
      <c r="AK7" s="578"/>
      <c r="AL7" s="578"/>
      <c r="AU7" s="144"/>
      <c r="AV7" s="144"/>
      <c r="AW7" s="144"/>
    </row>
    <row r="8" spans="1:54" ht="102.75" x14ac:dyDescent="0.25">
      <c r="A8" s="276" t="s">
        <v>475</v>
      </c>
      <c r="B8" s="280" t="s">
        <v>476</v>
      </c>
      <c r="C8" s="280" t="s">
        <v>22</v>
      </c>
      <c r="D8" s="280" t="s">
        <v>1072</v>
      </c>
      <c r="E8" s="278" t="s">
        <v>479</v>
      </c>
      <c r="F8" s="279" t="s">
        <v>481</v>
      </c>
      <c r="G8" s="279" t="s">
        <v>483</v>
      </c>
      <c r="H8" s="276" t="s">
        <v>2295</v>
      </c>
      <c r="I8" s="276" t="s">
        <v>5071</v>
      </c>
      <c r="J8" s="281" t="s">
        <v>2298</v>
      </c>
      <c r="K8" s="310" t="s">
        <v>1080</v>
      </c>
      <c r="L8" s="305" t="s">
        <v>2300</v>
      </c>
      <c r="M8" s="304" t="s">
        <v>2301</v>
      </c>
      <c r="N8" s="305" t="s">
        <v>2302</v>
      </c>
      <c r="O8" s="306" t="s">
        <v>2303</v>
      </c>
      <c r="P8" s="306" t="s">
        <v>2304</v>
      </c>
      <c r="Q8" s="305" t="s">
        <v>2305</v>
      </c>
      <c r="R8" s="306" t="s">
        <v>2306</v>
      </c>
      <c r="S8" s="306" t="s">
        <v>2307</v>
      </c>
      <c r="T8" s="306" t="s">
        <v>2308</v>
      </c>
      <c r="U8" s="306" t="s">
        <v>2309</v>
      </c>
      <c r="V8" s="306" t="s">
        <v>2310</v>
      </c>
      <c r="W8" s="306" t="s">
        <v>2311</v>
      </c>
      <c r="X8" s="307" t="s">
        <v>2312</v>
      </c>
      <c r="Y8" s="306" t="s">
        <v>2313</v>
      </c>
      <c r="Z8" s="306" t="s">
        <v>2314</v>
      </c>
      <c r="AA8" s="306" t="s">
        <v>2315</v>
      </c>
      <c r="AB8" s="307" t="s">
        <v>2316</v>
      </c>
      <c r="AC8" s="306" t="s">
        <v>2317</v>
      </c>
      <c r="AD8" s="306" t="s">
        <v>2318</v>
      </c>
      <c r="AE8" s="306" t="s">
        <v>2319</v>
      </c>
      <c r="AF8" s="307" t="s">
        <v>2320</v>
      </c>
      <c r="AG8" s="306" t="s">
        <v>2321</v>
      </c>
      <c r="AH8" s="306" t="s">
        <v>2322</v>
      </c>
      <c r="AI8" s="308" t="s">
        <v>2323</v>
      </c>
      <c r="AJ8" s="307" t="s">
        <v>2324</v>
      </c>
      <c r="AK8" s="307" t="s">
        <v>2325</v>
      </c>
      <c r="AL8" s="307" t="s">
        <v>2326</v>
      </c>
      <c r="AM8" s="281" t="s">
        <v>2327</v>
      </c>
      <c r="AN8" s="279" t="s">
        <v>1081</v>
      </c>
      <c r="AO8" s="280" t="s">
        <v>23</v>
      </c>
      <c r="AP8" s="280" t="s">
        <v>24</v>
      </c>
      <c r="AQ8" s="280" t="s">
        <v>495</v>
      </c>
      <c r="AR8" s="280" t="s">
        <v>26</v>
      </c>
      <c r="AS8" s="280" t="s">
        <v>27</v>
      </c>
      <c r="AT8" s="280" t="s">
        <v>28</v>
      </c>
      <c r="AU8" s="280" t="s">
        <v>29</v>
      </c>
      <c r="AV8" s="280" t="s">
        <v>30</v>
      </c>
      <c r="AW8" s="280" t="s">
        <v>1086</v>
      </c>
      <c r="AX8" s="280" t="s">
        <v>1087</v>
      </c>
      <c r="AY8" s="276" t="s">
        <v>1088</v>
      </c>
    </row>
    <row r="9" spans="1:54" x14ac:dyDescent="0.25">
      <c r="A9" s="367">
        <v>23382</v>
      </c>
      <c r="B9" s="233" t="str">
        <f>VLOOKUP(Table9[[#This Row],[Document ID]],Table1[],2,FALSE)</f>
        <v>ALB</v>
      </c>
      <c r="C9" s="233" t="str">
        <f>VLOOKUP(Table9[[#This Row],[Document ID]],Table1[],3,FALSE)</f>
        <v>Albania</v>
      </c>
      <c r="D9" s="233" t="str">
        <f>VLOOKUP(Table9[[#This Row],[Document ID]],Table1[],5,FALSE)</f>
        <v>NDC</v>
      </c>
      <c r="E9" s="233" t="str">
        <f>VLOOKUP(Table9[[#This Row],[Document ID]],Table1[],7,FALSE)</f>
        <v>First NDC updated</v>
      </c>
      <c r="F9" s="233" t="str">
        <f>VLOOKUP(Table9[[#This Row],[Document ID]],Table1[],8,FALSE)</f>
        <v>NDC 1.1</v>
      </c>
      <c r="G9" s="233" t="str">
        <f>VLOOKUP(Table9[[#This Row],[Document ID]],Table1[],10,FALSE)</f>
        <v>Active</v>
      </c>
      <c r="H9" s="43" t="s">
        <v>5072</v>
      </c>
      <c r="I9" s="43" t="s">
        <v>5073</v>
      </c>
      <c r="J9" s="209" t="s">
        <v>5074</v>
      </c>
      <c r="K9" s="259">
        <v>68</v>
      </c>
      <c r="L9" s="219"/>
      <c r="M9" s="219"/>
      <c r="N9" s="113"/>
      <c r="O9" s="113"/>
      <c r="P9" s="113"/>
      <c r="Q9" s="113" t="s">
        <v>1113</v>
      </c>
      <c r="R9" s="113"/>
      <c r="S9" s="113"/>
      <c r="T9" s="113"/>
      <c r="U9" s="113"/>
      <c r="V9" s="113"/>
      <c r="W9" s="113"/>
      <c r="X9" s="113"/>
      <c r="Y9" s="113"/>
      <c r="Z9" s="113"/>
      <c r="AA9" s="113"/>
      <c r="AB9" s="113"/>
      <c r="AC9" s="113"/>
      <c r="AD9" s="113"/>
      <c r="AE9" s="113"/>
      <c r="AF9" s="113"/>
      <c r="AG9" s="113"/>
      <c r="AH9" s="113"/>
      <c r="AI9" s="219" t="s">
        <v>1113</v>
      </c>
      <c r="AJ9" s="326"/>
      <c r="AK9" s="326"/>
      <c r="AL9" s="326"/>
      <c r="AM9" s="327" t="s">
        <v>5075</v>
      </c>
      <c r="AN9" s="233" t="str">
        <f>VLOOKUP(Table9[[#This Row],[Measure]],Table1025[[Value name]:[Value identifyer]],2,FALSE)</f>
        <v>R_System</v>
      </c>
      <c r="AO9" s="241" t="str">
        <f>VLOOKUP(Table9[[#This Row],[Country Code]],Table29[],3,FALSE)</f>
        <v>Non-Annex I</v>
      </c>
      <c r="AP9" s="241" t="str">
        <f>VLOOKUP(Table9[[#This Row],[Country Code]],Table29[],4,FALSE)</f>
        <v>Europe</v>
      </c>
      <c r="AQ9" s="241" t="str">
        <f>VLOOKUP(Table9[[#This Row],[Country Code]],Table29[],5,FALSE)</f>
        <v>Middle-income</v>
      </c>
      <c r="AR9" s="241" t="str">
        <f>VLOOKUP(Table9[[#This Row],[Country Code]],Table29[],6,FALSE)</f>
        <v>no</v>
      </c>
      <c r="AS9" s="241" t="str">
        <f>VLOOKUP(Table9[[#This Row],[Country Code]],Table29[],7,FALSE)</f>
        <v>no</v>
      </c>
      <c r="AT9" s="241" t="str">
        <f>VLOOKUP(Table9[[#This Row],[Country Code]],Table29[],8,FALSE)</f>
        <v>non-OECD</v>
      </c>
      <c r="AU9" s="233" t="str">
        <f>VLOOKUP(Table9[[#This Row],[Country Code]],Table29[],9,FALSE)</f>
        <v>no</v>
      </c>
      <c r="AV9" s="233" t="str">
        <f>VLOOKUP(Table9[[#This Row],[Country Code]],Table29[],10,FALSE)</f>
        <v>no</v>
      </c>
      <c r="AW9" s="233">
        <f>VLOOKUP(Table9[[#This Row],[Country Code]],Table29[],23,FALSE)</f>
        <v>7.6736715330197001</v>
      </c>
      <c r="AX9" s="233">
        <f>VLOOKUP(Table9[[#This Row],[Country Code]],Table29[],24,FALSE)</f>
        <v>1.696761436354477</v>
      </c>
      <c r="AY9" s="43"/>
      <c r="BA9" s="229"/>
      <c r="BB9" s="48"/>
    </row>
    <row r="10" spans="1:54" x14ac:dyDescent="0.25">
      <c r="A10" s="367">
        <v>23382</v>
      </c>
      <c r="B10" s="233" t="str">
        <f>VLOOKUP(Table9[[#This Row],[Document ID]],Table1[],2,FALSE)</f>
        <v>ALB</v>
      </c>
      <c r="C10" s="233" t="str">
        <f>VLOOKUP(Table9[[#This Row],[Document ID]],Table1[],3,FALSE)</f>
        <v>Albania</v>
      </c>
      <c r="D10" s="254" t="str">
        <f>VLOOKUP(Table9[[#This Row],[Document ID]],Table1[],5,FALSE)</f>
        <v>NDC</v>
      </c>
      <c r="E10" s="233" t="str">
        <f>VLOOKUP(Table9[[#This Row],[Document ID]],Table1[],7,FALSE)</f>
        <v>First NDC updated</v>
      </c>
      <c r="F10" s="241" t="str">
        <f>VLOOKUP(Table9[[#This Row],[Document ID]],Table1[],8,FALSE)</f>
        <v>NDC 1.1</v>
      </c>
      <c r="G10" s="241" t="str">
        <f>VLOOKUP(Table9[[#This Row],[Document ID]],Table1[],10,FALSE)</f>
        <v>Active</v>
      </c>
      <c r="H10" s="42" t="s">
        <v>5076</v>
      </c>
      <c r="I10" s="43" t="s">
        <v>5077</v>
      </c>
      <c r="J10" s="209" t="s">
        <v>5078</v>
      </c>
      <c r="K10" s="259">
        <v>66</v>
      </c>
      <c r="L10" s="219" t="s">
        <v>1113</v>
      </c>
      <c r="M10" s="219"/>
      <c r="N10" s="113"/>
      <c r="O10" s="113"/>
      <c r="P10" s="113"/>
      <c r="Q10" s="113"/>
      <c r="R10" s="113"/>
      <c r="S10" s="113"/>
      <c r="T10" s="113"/>
      <c r="U10" s="113"/>
      <c r="V10" s="113"/>
      <c r="W10" s="113"/>
      <c r="X10" s="113"/>
      <c r="Y10" s="113"/>
      <c r="Z10" s="113"/>
      <c r="AA10" s="113"/>
      <c r="AB10" s="113"/>
      <c r="AC10" s="113"/>
      <c r="AD10" s="113"/>
      <c r="AE10" s="113"/>
      <c r="AF10" s="113"/>
      <c r="AG10" s="113"/>
      <c r="AH10" s="113"/>
      <c r="AI10" s="219" t="s">
        <v>1113</v>
      </c>
      <c r="AJ10" s="326"/>
      <c r="AK10" s="326"/>
      <c r="AL10" s="326"/>
      <c r="AM10" s="327" t="s">
        <v>5075</v>
      </c>
      <c r="AN10" s="233" t="str">
        <f>VLOOKUP(Table9[[#This Row],[Measure]],Table1025[[Value name]:[Value identifyer]],2,FALSE)</f>
        <v>R_Planning</v>
      </c>
      <c r="AO10" s="241" t="str">
        <f>VLOOKUP(Table9[[#This Row],[Country Code]],Table29[],3,FALSE)</f>
        <v>Non-Annex I</v>
      </c>
      <c r="AP10" s="241" t="str">
        <f>VLOOKUP(Table9[[#This Row],[Country Code]],Table29[],4,FALSE)</f>
        <v>Europe</v>
      </c>
      <c r="AQ10" s="241" t="str">
        <f>VLOOKUP(Table9[[#This Row],[Country Code]],Table29[],5,FALSE)</f>
        <v>Middle-income</v>
      </c>
      <c r="AR10" s="241" t="str">
        <f>VLOOKUP(Table9[[#This Row],[Country Code]],Table29[],6,FALSE)</f>
        <v>no</v>
      </c>
      <c r="AS10" s="241" t="str">
        <f>VLOOKUP(Table9[[#This Row],[Country Code]],Table29[],7,FALSE)</f>
        <v>no</v>
      </c>
      <c r="AT10" s="241" t="str">
        <f>VLOOKUP(Table9[[#This Row],[Country Code]],Table29[],8,FALSE)</f>
        <v>non-OECD</v>
      </c>
      <c r="AU10" s="233" t="str">
        <f>VLOOKUP(Table9[[#This Row],[Country Code]],Table29[],9,FALSE)</f>
        <v>no</v>
      </c>
      <c r="AV10" s="233" t="str">
        <f>VLOOKUP(Table9[[#This Row],[Country Code]],Table29[],10,FALSE)</f>
        <v>no</v>
      </c>
      <c r="AW10" s="233">
        <f>VLOOKUP(Table9[[#This Row],[Country Code]],Table29[],23,FALSE)</f>
        <v>7.6736715330197001</v>
      </c>
      <c r="AX10" s="233">
        <f>VLOOKUP(Table9[[#This Row],[Country Code]],Table29[],24,FALSE)</f>
        <v>1.696761436354477</v>
      </c>
      <c r="AY10" s="43"/>
      <c r="BA10" s="27"/>
      <c r="BB10" s="48"/>
    </row>
    <row r="11" spans="1:54" ht="45" x14ac:dyDescent="0.25">
      <c r="A11" s="367">
        <v>17509</v>
      </c>
      <c r="B11" s="233" t="str">
        <f>VLOOKUP(Table9[[#This Row],[Document ID]],Table1[],2,FALSE)</f>
        <v>DZA</v>
      </c>
      <c r="C11" s="233" t="str">
        <f>VLOOKUP(Table9[[#This Row],[Document ID]],Table1[],3,FALSE)</f>
        <v>Algeria</v>
      </c>
      <c r="D11" s="252" t="str">
        <f>VLOOKUP(Table9[[#This Row],[Document ID]],Table1[],5,FALSE)</f>
        <v>NDC</v>
      </c>
      <c r="E11" s="233" t="str">
        <f>VLOOKUP(Table9[[#This Row],[Document ID]],Table1[],7,FALSE)</f>
        <v>First NDC</v>
      </c>
      <c r="F11" s="252" t="str">
        <f>VLOOKUP(Table9[[#This Row],[Document ID]],Table1[],8,FALSE)</f>
        <v>NDC 1.0</v>
      </c>
      <c r="G11" s="252" t="str">
        <f>VLOOKUP(Table9[[#This Row],[Document ID]],Table1[],10,FALSE)</f>
        <v>Active</v>
      </c>
      <c r="H11" s="42" t="s">
        <v>5076</v>
      </c>
      <c r="I11" s="43" t="s">
        <v>5079</v>
      </c>
      <c r="J11" s="209" t="s">
        <v>5080</v>
      </c>
      <c r="K11" s="257" t="s">
        <v>5081</v>
      </c>
      <c r="L11" s="326" t="s">
        <v>1113</v>
      </c>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t="s">
        <v>1113</v>
      </c>
      <c r="AJ11" s="326"/>
      <c r="AK11" s="326"/>
      <c r="AL11" s="326"/>
      <c r="AM11" s="209" t="s">
        <v>5075</v>
      </c>
      <c r="AN11" s="233" t="str">
        <f>VLOOKUP(Table9[[#This Row],[Measure]],Table1025[[Value name]:[Value identifyer]],2,FALSE)</f>
        <v>R_Laws</v>
      </c>
      <c r="AO11" s="241" t="str">
        <f>VLOOKUP(Table9[[#This Row],[Country Code]],Table29[],3,FALSE)</f>
        <v>Non-Annex I</v>
      </c>
      <c r="AP11" s="241" t="str">
        <f>VLOOKUP(Table9[[#This Row],[Country Code]],Table29[],4,FALSE)</f>
        <v>Africa</v>
      </c>
      <c r="AQ11" s="241" t="str">
        <f>VLOOKUP(Table9[[#This Row],[Country Code]],Table29[],5,FALSE)</f>
        <v>Middle-income</v>
      </c>
      <c r="AR11" s="241" t="str">
        <f>VLOOKUP(Table9[[#This Row],[Country Code]],Table29[],6,FALSE)</f>
        <v>no</v>
      </c>
      <c r="AS11" s="241" t="str">
        <f>VLOOKUP(Table9[[#This Row],[Country Code]],Table29[],7,FALSE)</f>
        <v>no</v>
      </c>
      <c r="AT11" s="241" t="str">
        <f>VLOOKUP(Table9[[#This Row],[Country Code]],Table29[],8,FALSE)</f>
        <v>non-OECD</v>
      </c>
      <c r="AU11" s="233" t="str">
        <f>VLOOKUP(Table9[[#This Row],[Country Code]],Table29[],9,FALSE)</f>
        <v>no</v>
      </c>
      <c r="AV11" s="233" t="str">
        <f>VLOOKUP(Table9[[#This Row],[Country Code]],Table29[],10,FALSE)</f>
        <v>MENA</v>
      </c>
      <c r="AW11" s="233">
        <f>VLOOKUP(Table9[[#This Row],[Country Code]],Table29[],23,FALSE)</f>
        <v>256.79213126858002</v>
      </c>
      <c r="AX11" s="233">
        <f>VLOOKUP(Table9[[#This Row],[Country Code]],Table29[],24,FALSE)</f>
        <v>47.384068350378769</v>
      </c>
      <c r="AY11" s="43"/>
      <c r="BB11" s="205"/>
    </row>
    <row r="12" spans="1:54" x14ac:dyDescent="0.25">
      <c r="A12" s="367">
        <v>20519</v>
      </c>
      <c r="B12" s="233" t="str">
        <f>VLOOKUP(Table9[[#This Row],[Document ID]],Table1[],2,FALSE)</f>
        <v>AGO</v>
      </c>
      <c r="C12" s="233" t="str">
        <f>VLOOKUP(Table9[[#This Row],[Document ID]],Table1[],3,FALSE)</f>
        <v>Angola</v>
      </c>
      <c r="D12" s="254" t="str">
        <f>VLOOKUP(Table9[[#This Row],[Document ID]],Table1[],5,FALSE)</f>
        <v>NDC</v>
      </c>
      <c r="E12" s="233" t="str">
        <f>VLOOKUP(Table9[[#This Row],[Document ID]],Table1[],7,FALSE)</f>
        <v>First NDC updated</v>
      </c>
      <c r="F12" s="241" t="str">
        <f>VLOOKUP(Table9[[#This Row],[Document ID]],Table1[],8,FALSE)</f>
        <v>NDC 1.1</v>
      </c>
      <c r="G12" s="241" t="str">
        <f>VLOOKUP(Table9[[#This Row],[Document ID]],Table1[],10,FALSE)</f>
        <v>Active</v>
      </c>
      <c r="H12" s="43" t="s">
        <v>5072</v>
      </c>
      <c r="I12" s="43" t="s">
        <v>5082</v>
      </c>
      <c r="J12" s="209" t="s">
        <v>5083</v>
      </c>
      <c r="K12" s="259">
        <v>58</v>
      </c>
      <c r="L12" s="326" t="s">
        <v>1113</v>
      </c>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t="s">
        <v>1113</v>
      </c>
      <c r="AJ12" s="326"/>
      <c r="AK12" s="326"/>
      <c r="AL12" s="326"/>
      <c r="AM12" s="327" t="s">
        <v>5075</v>
      </c>
      <c r="AN12" s="233" t="str">
        <f>VLOOKUP(Table9[[#This Row],[Measure]],Table1025[[Value name]:[Value identifyer]],2,FALSE)</f>
        <v>R_Risk</v>
      </c>
      <c r="AO12" s="241" t="str">
        <f>VLOOKUP(Table9[[#This Row],[Country Code]],Table29[],3,FALSE)</f>
        <v>Non-Annex I</v>
      </c>
      <c r="AP12" s="241" t="str">
        <f>VLOOKUP(Table9[[#This Row],[Country Code]],Table29[],4,FALSE)</f>
        <v>Africa</v>
      </c>
      <c r="AQ12" s="241" t="str">
        <f>VLOOKUP(Table9[[#This Row],[Country Code]],Table29[],5,FALSE)</f>
        <v>Middle-income</v>
      </c>
      <c r="AR12" s="241" t="str">
        <f>VLOOKUP(Table9[[#This Row],[Country Code]],Table29[],6,FALSE)</f>
        <v>no</v>
      </c>
      <c r="AS12" s="241" t="str">
        <f>VLOOKUP(Table9[[#This Row],[Country Code]],Table29[],7,FALSE)</f>
        <v>no</v>
      </c>
      <c r="AT12" s="241" t="str">
        <f>VLOOKUP(Table9[[#This Row],[Country Code]],Table29[],8,FALSE)</f>
        <v>non-OECD</v>
      </c>
      <c r="AU12" s="233" t="str">
        <f>VLOOKUP(Table9[[#This Row],[Country Code]],Table29[],9,FALSE)</f>
        <v>no</v>
      </c>
      <c r="AV12" s="233" t="str">
        <f>VLOOKUP(Table9[[#This Row],[Country Code]],Table29[],10,FALSE)</f>
        <v>no</v>
      </c>
      <c r="AW12" s="233">
        <f>VLOOKUP(Table9[[#This Row],[Country Code]],Table29[],23,FALSE)</f>
        <v>67.700756247715006</v>
      </c>
      <c r="AX12" s="233">
        <f>VLOOKUP(Table9[[#This Row],[Country Code]],Table29[],24,FALSE)</f>
        <v>8.6486128139959888</v>
      </c>
      <c r="AY12" s="43"/>
      <c r="BB12" s="48"/>
    </row>
    <row r="13" spans="1:54" s="23" customFormat="1" x14ac:dyDescent="0.25">
      <c r="A13" s="367">
        <v>17513</v>
      </c>
      <c r="B13" s="233" t="str">
        <f>VLOOKUP(Table9[[#This Row],[Document ID]],Table1[],2,FALSE)</f>
        <v>ATG</v>
      </c>
      <c r="C13" s="233" t="str">
        <f>VLOOKUP(Table9[[#This Row],[Document ID]],Table1[],3,FALSE)</f>
        <v>Antigua and Barbuda</v>
      </c>
      <c r="D13" s="252" t="str">
        <f>VLOOKUP(Table9[[#This Row],[Document ID]],Table1[],5,FALSE)</f>
        <v>NDC</v>
      </c>
      <c r="E13" s="233" t="str">
        <f>VLOOKUP(Table9[[#This Row],[Document ID]],Table1[],7,FALSE)</f>
        <v>First NDC</v>
      </c>
      <c r="F13" s="252" t="str">
        <f>VLOOKUP(Table9[[#This Row],[Document ID]],Table1[],8,FALSE)</f>
        <v>NDC 1.0</v>
      </c>
      <c r="G13" s="252" t="str">
        <f>VLOOKUP(Table9[[#This Row],[Document ID]],Table1[],10,FALSE)</f>
        <v>Archived</v>
      </c>
      <c r="H13" s="43" t="s">
        <v>5072</v>
      </c>
      <c r="I13" s="43" t="s">
        <v>5073</v>
      </c>
      <c r="J13" s="209" t="s">
        <v>5084</v>
      </c>
      <c r="K13" s="257" t="s">
        <v>5081</v>
      </c>
      <c r="L13" s="326"/>
      <c r="M13" s="326"/>
      <c r="N13" s="326"/>
      <c r="O13" s="326"/>
      <c r="P13" s="326"/>
      <c r="Q13" s="326"/>
      <c r="R13" s="326"/>
      <c r="S13" s="326"/>
      <c r="T13" s="326"/>
      <c r="U13" s="326"/>
      <c r="V13" s="326"/>
      <c r="W13" s="326"/>
      <c r="X13" s="326"/>
      <c r="Y13" s="326"/>
      <c r="Z13" s="326"/>
      <c r="AA13" s="326"/>
      <c r="AB13" s="326" t="s">
        <v>1113</v>
      </c>
      <c r="AC13" s="326"/>
      <c r="AD13" s="326"/>
      <c r="AE13" s="326"/>
      <c r="AF13" s="326"/>
      <c r="AG13" s="326"/>
      <c r="AH13" s="326"/>
      <c r="AI13" s="326" t="s">
        <v>1113</v>
      </c>
      <c r="AJ13" s="326"/>
      <c r="AK13" s="326"/>
      <c r="AL13" s="326"/>
      <c r="AM13" s="209" t="s">
        <v>5075</v>
      </c>
      <c r="AN13" s="233" t="str">
        <f>VLOOKUP(Table9[[#This Row],[Measure]],Table1025[[Value name]:[Value identifyer]],2,FALSE)</f>
        <v>R_System</v>
      </c>
      <c r="AO13" s="241" t="str">
        <f>VLOOKUP(Table9[[#This Row],[Country Code]],Table29[],3,FALSE)</f>
        <v>Non-Annex I</v>
      </c>
      <c r="AP13" s="241" t="str">
        <f>VLOOKUP(Table9[[#This Row],[Country Code]],Table29[],4,FALSE)</f>
        <v>Latin America and the Caribbean</v>
      </c>
      <c r="AQ13" s="241" t="str">
        <f>VLOOKUP(Table9[[#This Row],[Country Code]],Table29[],5,FALSE)</f>
        <v>High-income</v>
      </c>
      <c r="AR13" s="241" t="str">
        <f>VLOOKUP(Table9[[#This Row],[Country Code]],Table29[],6,FALSE)</f>
        <v>no</v>
      </c>
      <c r="AS13" s="241" t="str">
        <f>VLOOKUP(Table9[[#This Row],[Country Code]],Table29[],7,FALSE)</f>
        <v>no</v>
      </c>
      <c r="AT13" s="241" t="str">
        <f>VLOOKUP(Table9[[#This Row],[Country Code]],Table29[],8,FALSE)</f>
        <v>non-OECD</v>
      </c>
      <c r="AU13" s="233" t="str">
        <f>VLOOKUP(Table9[[#This Row],[Country Code]],Table29[],9,FALSE)</f>
        <v>no</v>
      </c>
      <c r="AV13" s="233" t="str">
        <f>VLOOKUP(Table9[[#This Row],[Country Code]],Table29[],10,FALSE)</f>
        <v>no</v>
      </c>
      <c r="AW13" s="233">
        <f>VLOOKUP(Table9[[#This Row],[Country Code]],Table29[],23,FALSE)</f>
        <v>0.38855617147726002</v>
      </c>
      <c r="AX13" s="233">
        <f>VLOOKUP(Table9[[#This Row],[Country Code]],Table29[],24,FALSE)</f>
        <v>0.1151781182188378</v>
      </c>
      <c r="AY13" s="43"/>
    </row>
    <row r="14" spans="1:54" ht="29.25" customHeight="1" x14ac:dyDescent="0.25">
      <c r="A14" s="367">
        <v>21764</v>
      </c>
      <c r="B14" s="233" t="str">
        <f>VLOOKUP(Table9[[#This Row],[Document ID]],Table1[],2,FALSE)</f>
        <v>ATG</v>
      </c>
      <c r="C14" s="233" t="str">
        <f>VLOOKUP(Table9[[#This Row],[Document ID]],Table1[],3,FALSE)</f>
        <v>Antigua and Barbuda</v>
      </c>
      <c r="D14" s="254" t="str">
        <f>VLOOKUP(Table9[[#This Row],[Document ID]],Table1[],5,FALSE)</f>
        <v>NDC</v>
      </c>
      <c r="E14" s="233" t="str">
        <f>VLOOKUP(Table9[[#This Row],[Document ID]],Table1[],7,FALSE)</f>
        <v>First NDC updated</v>
      </c>
      <c r="F14" s="241" t="str">
        <f>VLOOKUP(Table9[[#This Row],[Document ID]],Table1[],8,FALSE)</f>
        <v>NDC 1.1</v>
      </c>
      <c r="G14" s="241" t="str">
        <f>VLOOKUP(Table9[[#This Row],[Document ID]],Table1[],10,FALSE)</f>
        <v>Active</v>
      </c>
      <c r="H14" s="43" t="s">
        <v>5072</v>
      </c>
      <c r="I14" s="43" t="s">
        <v>5073</v>
      </c>
      <c r="J14" s="209" t="s">
        <v>1141</v>
      </c>
      <c r="K14" s="259">
        <v>20</v>
      </c>
      <c r="L14" s="219"/>
      <c r="M14" s="219"/>
      <c r="N14" s="113"/>
      <c r="O14" s="113"/>
      <c r="P14" s="113"/>
      <c r="Q14" s="113"/>
      <c r="R14" s="113"/>
      <c r="S14" s="113"/>
      <c r="T14" s="113"/>
      <c r="U14" s="113"/>
      <c r="V14" s="113"/>
      <c r="W14" s="113"/>
      <c r="X14" s="113"/>
      <c r="Y14" s="113"/>
      <c r="Z14" s="113"/>
      <c r="AA14" s="113"/>
      <c r="AB14" s="113" t="s">
        <v>1113</v>
      </c>
      <c r="AC14" s="113"/>
      <c r="AD14" s="113"/>
      <c r="AE14" s="113"/>
      <c r="AF14" s="113"/>
      <c r="AG14" s="113"/>
      <c r="AH14" s="113"/>
      <c r="AI14" s="219" t="s">
        <v>1113</v>
      </c>
      <c r="AJ14" s="326"/>
      <c r="AK14" s="326"/>
      <c r="AL14" s="326"/>
      <c r="AM14" s="327" t="s">
        <v>5075</v>
      </c>
      <c r="AN14" s="233" t="str">
        <f>VLOOKUP(Table9[[#This Row],[Measure]],Table1025[[Value name]:[Value identifyer]],2,FALSE)</f>
        <v>R_System</v>
      </c>
      <c r="AO14" s="241" t="str">
        <f>VLOOKUP(Table9[[#This Row],[Country Code]],Table29[],3,FALSE)</f>
        <v>Non-Annex I</v>
      </c>
      <c r="AP14" s="241" t="str">
        <f>VLOOKUP(Table9[[#This Row],[Country Code]],Table29[],4,FALSE)</f>
        <v>Latin America and the Caribbean</v>
      </c>
      <c r="AQ14" s="241" t="str">
        <f>VLOOKUP(Table9[[#This Row],[Country Code]],Table29[],5,FALSE)</f>
        <v>High-income</v>
      </c>
      <c r="AR14" s="241" t="str">
        <f>VLOOKUP(Table9[[#This Row],[Country Code]],Table29[],6,FALSE)</f>
        <v>no</v>
      </c>
      <c r="AS14" s="241" t="str">
        <f>VLOOKUP(Table9[[#This Row],[Country Code]],Table29[],7,FALSE)</f>
        <v>no</v>
      </c>
      <c r="AT14" s="241" t="str">
        <f>VLOOKUP(Table9[[#This Row],[Country Code]],Table29[],8,FALSE)</f>
        <v>non-OECD</v>
      </c>
      <c r="AU14" s="233" t="str">
        <f>VLOOKUP(Table9[[#This Row],[Country Code]],Table29[],9,FALSE)</f>
        <v>no</v>
      </c>
      <c r="AV14" s="233" t="str">
        <f>VLOOKUP(Table9[[#This Row],[Country Code]],Table29[],10,FALSE)</f>
        <v>no</v>
      </c>
      <c r="AW14" s="233">
        <f>VLOOKUP(Table9[[#This Row],[Country Code]],Table29[],23,FALSE)</f>
        <v>0.38855617147726002</v>
      </c>
      <c r="AX14" s="233">
        <f>VLOOKUP(Table9[[#This Row],[Country Code]],Table29[],24,FALSE)</f>
        <v>0.1151781182188378</v>
      </c>
      <c r="AY14" s="43"/>
    </row>
    <row r="15" spans="1:54" x14ac:dyDescent="0.25">
      <c r="A15" s="360">
        <v>32529</v>
      </c>
      <c r="B15" s="233" t="str">
        <f>VLOOKUP(Table9[[#This Row],[Document ID]],Table1[],2,FALSE)</f>
        <v>ARG</v>
      </c>
      <c r="C15" s="233" t="str">
        <f>VLOOKUP(Table9[[#This Row],[Document ID]],Table1[],3,FALSE)</f>
        <v>Argentina</v>
      </c>
      <c r="D15" s="233" t="str">
        <f>VLOOKUP(Table9[[#This Row],[Document ID]],Table1[],5,FALSE)</f>
        <v>NDC</v>
      </c>
      <c r="E15" s="233" t="str">
        <f>VLOOKUP(Table9[[#This Row],[Document ID]],Table1[],7,FALSE)</f>
        <v>Second NDC updated</v>
      </c>
      <c r="F15" s="233" t="str">
        <f>VLOOKUP(Table9[[#This Row],[Document ID]],Table1[],8,FALSE)</f>
        <v>NDC 2.1</v>
      </c>
      <c r="G15" s="233" t="str">
        <f>VLOOKUP(Table9[[#This Row],[Document ID]],Table1[],10,FALSE)</f>
        <v>Active</v>
      </c>
      <c r="H15" s="43" t="s">
        <v>5072</v>
      </c>
      <c r="I15" s="43" t="s">
        <v>5073</v>
      </c>
      <c r="J15" s="44" t="s">
        <v>5085</v>
      </c>
      <c r="K15" s="221">
        <v>59</v>
      </c>
      <c r="L15" s="113"/>
      <c r="M15" s="113"/>
      <c r="N15" s="113"/>
      <c r="O15" s="113"/>
      <c r="P15" s="113"/>
      <c r="Q15" s="113"/>
      <c r="R15" s="113"/>
      <c r="S15" s="113"/>
      <c r="T15" s="113"/>
      <c r="U15" s="113"/>
      <c r="V15" s="113"/>
      <c r="W15" s="113"/>
      <c r="X15" s="113"/>
      <c r="Y15" s="113"/>
      <c r="Z15" s="113"/>
      <c r="AA15" s="113"/>
      <c r="AB15" s="113" t="s">
        <v>1113</v>
      </c>
      <c r="AC15" s="113"/>
      <c r="AD15" s="113"/>
      <c r="AE15" s="113"/>
      <c r="AF15" s="113"/>
      <c r="AG15" s="113"/>
      <c r="AH15" s="113"/>
      <c r="AI15" s="113" t="s">
        <v>1113</v>
      </c>
      <c r="AJ15" s="113"/>
      <c r="AK15" s="113"/>
      <c r="AL15" s="113"/>
      <c r="AM15" s="43" t="s">
        <v>5075</v>
      </c>
      <c r="AN15" s="233" t="str">
        <f>VLOOKUP(Table9[[#This Row],[Measure]],Table1025[[Value name]:[Value identifyer]],2,FALSE)</f>
        <v>R_System</v>
      </c>
      <c r="AO15" s="241" t="str">
        <f>VLOOKUP(Table9[[#This Row],[Country Code]],Table29[],3,FALSE)</f>
        <v>Non-Annex I</v>
      </c>
      <c r="AP15" s="241" t="str">
        <f>VLOOKUP(Table9[[#This Row],[Country Code]],Table29[],4,FALSE)</f>
        <v>Latin America and the Caribbean</v>
      </c>
      <c r="AQ15" s="241" t="str">
        <f>VLOOKUP(Table9[[#This Row],[Country Code]],Table29[],5,FALSE)</f>
        <v>Middle-income</v>
      </c>
      <c r="AR15" s="241" t="str">
        <f>VLOOKUP(Table9[[#This Row],[Country Code]],Table29[],6,FALSE)</f>
        <v>G20</v>
      </c>
      <c r="AS15" s="241" t="str">
        <f>VLOOKUP(Table9[[#This Row],[Country Code]],Table29[],7,FALSE)</f>
        <v>no</v>
      </c>
      <c r="AT15" s="241" t="str">
        <f>VLOOKUP(Table9[[#This Row],[Country Code]],Table29[],8,FALSE)</f>
        <v>non-OECD</v>
      </c>
      <c r="AU15" s="233" t="str">
        <f>VLOOKUP(Table9[[#This Row],[Country Code]],Table29[],9,FALSE)</f>
        <v>no</v>
      </c>
      <c r="AV15" s="233" t="str">
        <f>VLOOKUP(Table9[[#This Row],[Country Code]],Table29[],10,FALSE)</f>
        <v>no</v>
      </c>
      <c r="AW15" s="233">
        <f>VLOOKUP(Table9[[#This Row],[Country Code]],Table29[],23,FALSE)</f>
        <v>365.68461861929001</v>
      </c>
      <c r="AX15" s="233">
        <f>VLOOKUP(Table9[[#This Row],[Country Code]],Table29[],24,FALSE)</f>
        <v>48.339727076899749</v>
      </c>
      <c r="AY15" s="43"/>
    </row>
    <row r="16" spans="1:54" x14ac:dyDescent="0.25">
      <c r="A16" s="360">
        <v>32529</v>
      </c>
      <c r="B16" s="233" t="str">
        <f>VLOOKUP(Table9[[#This Row],[Document ID]],Table1[],2,FALSE)</f>
        <v>ARG</v>
      </c>
      <c r="C16" s="233" t="str">
        <f>VLOOKUP(Table9[[#This Row],[Document ID]],Table1[],3,FALSE)</f>
        <v>Argentina</v>
      </c>
      <c r="D16" s="233" t="str">
        <f>VLOOKUP(Table9[[#This Row],[Document ID]],Table1[],5,FALSE)</f>
        <v>NDC</v>
      </c>
      <c r="E16" s="233" t="str">
        <f>VLOOKUP(Table9[[#This Row],[Document ID]],Table1[],7,FALSE)</f>
        <v>Second NDC updated</v>
      </c>
      <c r="F16" s="233" t="str">
        <f>VLOOKUP(Table9[[#This Row],[Document ID]],Table1[],8,FALSE)</f>
        <v>NDC 2.1</v>
      </c>
      <c r="G16" s="233" t="str">
        <f>VLOOKUP(Table9[[#This Row],[Document ID]],Table1[],10,FALSE)</f>
        <v>Active</v>
      </c>
      <c r="H16" s="44" t="s">
        <v>5086</v>
      </c>
      <c r="I16" s="43" t="s">
        <v>5087</v>
      </c>
      <c r="J16" s="44" t="s">
        <v>5088</v>
      </c>
      <c r="K16" s="221">
        <v>59</v>
      </c>
      <c r="L16" s="113" t="s">
        <v>1113</v>
      </c>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t="s">
        <v>1113</v>
      </c>
      <c r="AJ16" s="113"/>
      <c r="AK16" s="113"/>
      <c r="AL16" s="113"/>
      <c r="AM16" s="43" t="s">
        <v>5075</v>
      </c>
      <c r="AN16" s="233" t="str">
        <f>VLOOKUP(Table9[[#This Row],[Measure]],Table1025[[Value name]:[Value identifyer]],2,FALSE)</f>
        <v>R_Education</v>
      </c>
      <c r="AO16" s="241" t="str">
        <f>VLOOKUP(Table9[[#This Row],[Country Code]],Table29[],3,FALSE)</f>
        <v>Non-Annex I</v>
      </c>
      <c r="AP16" s="241" t="str">
        <f>VLOOKUP(Table9[[#This Row],[Country Code]],Table29[],4,FALSE)</f>
        <v>Latin America and the Caribbean</v>
      </c>
      <c r="AQ16" s="241" t="str">
        <f>VLOOKUP(Table9[[#This Row],[Country Code]],Table29[],5,FALSE)</f>
        <v>Middle-income</v>
      </c>
      <c r="AR16" s="241" t="str">
        <f>VLOOKUP(Table9[[#This Row],[Country Code]],Table29[],6,FALSE)</f>
        <v>G20</v>
      </c>
      <c r="AS16" s="241" t="str">
        <f>VLOOKUP(Table9[[#This Row],[Country Code]],Table29[],7,FALSE)</f>
        <v>no</v>
      </c>
      <c r="AT16" s="241" t="str">
        <f>VLOOKUP(Table9[[#This Row],[Country Code]],Table29[],8,FALSE)</f>
        <v>non-OECD</v>
      </c>
      <c r="AU16" s="233" t="str">
        <f>VLOOKUP(Table9[[#This Row],[Country Code]],Table29[],9,FALSE)</f>
        <v>no</v>
      </c>
      <c r="AV16" s="233" t="str">
        <f>VLOOKUP(Table9[[#This Row],[Country Code]],Table29[],10,FALSE)</f>
        <v>no</v>
      </c>
      <c r="AW16" s="233">
        <f>VLOOKUP(Table9[[#This Row],[Country Code]],Table29[],23,FALSE)</f>
        <v>365.68461861929001</v>
      </c>
      <c r="AX16" s="233">
        <f>VLOOKUP(Table9[[#This Row],[Country Code]],Table29[],24,FALSE)</f>
        <v>48.339727076899749</v>
      </c>
      <c r="AY16" s="43"/>
    </row>
    <row r="17" spans="1:51" ht="45" x14ac:dyDescent="0.25">
      <c r="A17" s="360">
        <v>32529</v>
      </c>
      <c r="B17" s="233" t="str">
        <f>VLOOKUP(Table9[[#This Row],[Document ID]],Table1[],2,FALSE)</f>
        <v>ARG</v>
      </c>
      <c r="C17" s="233" t="str">
        <f>VLOOKUP(Table9[[#This Row],[Document ID]],Table1[],3,FALSE)</f>
        <v>Argentina</v>
      </c>
      <c r="D17" s="233" t="str">
        <f>VLOOKUP(Table9[[#This Row],[Document ID]],Table1[],5,FALSE)</f>
        <v>NDC</v>
      </c>
      <c r="E17" s="233" t="str">
        <f>VLOOKUP(Table9[[#This Row],[Document ID]],Table1[],7,FALSE)</f>
        <v>Second NDC updated</v>
      </c>
      <c r="F17" s="233" t="str">
        <f>VLOOKUP(Table9[[#This Row],[Document ID]],Table1[],8,FALSE)</f>
        <v>NDC 2.1</v>
      </c>
      <c r="G17" s="233" t="str">
        <f>VLOOKUP(Table9[[#This Row],[Document ID]],Table1[],10,FALSE)</f>
        <v>Active</v>
      </c>
      <c r="H17" s="42" t="s">
        <v>5076</v>
      </c>
      <c r="I17" s="43" t="s">
        <v>5089</v>
      </c>
      <c r="J17" s="44" t="s">
        <v>5090</v>
      </c>
      <c r="K17" s="221">
        <v>59</v>
      </c>
      <c r="L17" s="113"/>
      <c r="M17" s="113"/>
      <c r="N17" s="113"/>
      <c r="O17" s="113"/>
      <c r="P17" s="113"/>
      <c r="Q17" s="113" t="s">
        <v>1113</v>
      </c>
      <c r="R17" s="113"/>
      <c r="S17" s="113"/>
      <c r="T17" s="113"/>
      <c r="U17" s="113"/>
      <c r="V17" s="113"/>
      <c r="W17" s="113"/>
      <c r="X17" s="113" t="s">
        <v>1113</v>
      </c>
      <c r="Y17" s="113"/>
      <c r="Z17" s="113"/>
      <c r="AA17" s="113"/>
      <c r="AB17" s="113" t="s">
        <v>1113</v>
      </c>
      <c r="AC17" s="113"/>
      <c r="AD17" s="113"/>
      <c r="AE17" s="113"/>
      <c r="AF17" s="113" t="s">
        <v>1113</v>
      </c>
      <c r="AG17" s="113"/>
      <c r="AH17" s="113"/>
      <c r="AI17" s="113"/>
      <c r="AJ17" s="113"/>
      <c r="AK17" s="113" t="s">
        <v>1113</v>
      </c>
      <c r="AL17" s="113"/>
      <c r="AM17" s="43" t="s">
        <v>5075</v>
      </c>
      <c r="AN17" s="233" t="str">
        <f>VLOOKUP(Table9[[#This Row],[Measure]],Table1025[[Value name]:[Value identifyer]],2,FALSE)</f>
        <v>R_Design</v>
      </c>
      <c r="AO17" s="241" t="str">
        <f>VLOOKUP(Table9[[#This Row],[Country Code]],Table29[],3,FALSE)</f>
        <v>Non-Annex I</v>
      </c>
      <c r="AP17" s="241" t="str">
        <f>VLOOKUP(Table9[[#This Row],[Country Code]],Table29[],4,FALSE)</f>
        <v>Latin America and the Caribbean</v>
      </c>
      <c r="AQ17" s="241" t="str">
        <f>VLOOKUP(Table9[[#This Row],[Country Code]],Table29[],5,FALSE)</f>
        <v>Middle-income</v>
      </c>
      <c r="AR17" s="241" t="str">
        <f>VLOOKUP(Table9[[#This Row],[Country Code]],Table29[],6,FALSE)</f>
        <v>G20</v>
      </c>
      <c r="AS17" s="241" t="str">
        <f>VLOOKUP(Table9[[#This Row],[Country Code]],Table29[],7,FALSE)</f>
        <v>no</v>
      </c>
      <c r="AT17" s="241" t="str">
        <f>VLOOKUP(Table9[[#This Row],[Country Code]],Table29[],8,FALSE)</f>
        <v>non-OECD</v>
      </c>
      <c r="AU17" s="233" t="str">
        <f>VLOOKUP(Table9[[#This Row],[Country Code]],Table29[],9,FALSE)</f>
        <v>no</v>
      </c>
      <c r="AV17" s="233" t="str">
        <f>VLOOKUP(Table9[[#This Row],[Country Code]],Table29[],10,FALSE)</f>
        <v>no</v>
      </c>
      <c r="AW17" s="233">
        <f>VLOOKUP(Table9[[#This Row],[Country Code]],Table29[],23,FALSE)</f>
        <v>365.68461861929001</v>
      </c>
      <c r="AX17" s="233">
        <f>VLOOKUP(Table9[[#This Row],[Country Code]],Table29[],24,FALSE)</f>
        <v>48.339727076899749</v>
      </c>
      <c r="AY17" s="43"/>
    </row>
    <row r="18" spans="1:51" ht="45" x14ac:dyDescent="0.25">
      <c r="A18" s="360">
        <v>32529</v>
      </c>
      <c r="B18" s="233" t="str">
        <f>VLOOKUP(Table9[[#This Row],[Document ID]],Table1[],2,FALSE)</f>
        <v>ARG</v>
      </c>
      <c r="C18" s="233" t="str">
        <f>VLOOKUP(Table9[[#This Row],[Document ID]],Table1[],3,FALSE)</f>
        <v>Argentina</v>
      </c>
      <c r="D18" s="233" t="str">
        <f>VLOOKUP(Table9[[#This Row],[Document ID]],Table1[],5,FALSE)</f>
        <v>NDC</v>
      </c>
      <c r="E18" s="233" t="str">
        <f>VLOOKUP(Table9[[#This Row],[Document ID]],Table1[],7,FALSE)</f>
        <v>Second NDC updated</v>
      </c>
      <c r="F18" s="233" t="str">
        <f>VLOOKUP(Table9[[#This Row],[Document ID]],Table1[],8,FALSE)</f>
        <v>NDC 2.1</v>
      </c>
      <c r="G18" s="233" t="str">
        <f>VLOOKUP(Table9[[#This Row],[Document ID]],Table1[],10,FALSE)</f>
        <v>Active</v>
      </c>
      <c r="H18" s="42" t="s">
        <v>5072</v>
      </c>
      <c r="I18" s="43" t="s">
        <v>5091</v>
      </c>
      <c r="J18" s="44" t="s">
        <v>5090</v>
      </c>
      <c r="K18" s="221">
        <v>59</v>
      </c>
      <c r="L18" s="113"/>
      <c r="M18" s="113"/>
      <c r="N18" s="113"/>
      <c r="O18" s="113"/>
      <c r="P18" s="113"/>
      <c r="Q18" s="113" t="s">
        <v>1113</v>
      </c>
      <c r="R18" s="113"/>
      <c r="S18" s="113"/>
      <c r="T18" s="113"/>
      <c r="U18" s="113"/>
      <c r="V18" s="113"/>
      <c r="W18" s="113"/>
      <c r="X18" s="113" t="s">
        <v>1113</v>
      </c>
      <c r="Y18" s="113"/>
      <c r="Z18" s="113"/>
      <c r="AA18" s="113"/>
      <c r="AB18" s="113" t="s">
        <v>1113</v>
      </c>
      <c r="AC18" s="113"/>
      <c r="AD18" s="113"/>
      <c r="AE18" s="113"/>
      <c r="AF18" s="113" t="s">
        <v>1113</v>
      </c>
      <c r="AG18" s="113"/>
      <c r="AH18" s="113"/>
      <c r="AI18" s="113"/>
      <c r="AJ18" s="113"/>
      <c r="AK18" s="113" t="s">
        <v>1113</v>
      </c>
      <c r="AL18" s="113"/>
      <c r="AM18" s="43" t="s">
        <v>5075</v>
      </c>
      <c r="AN18" s="233" t="str">
        <f>VLOOKUP(Table9[[#This Row],[Measure]],Table1025[[Value name]:[Value identifyer]],2,FALSE)</f>
        <v>R_Maintain</v>
      </c>
      <c r="AO18" s="241" t="str">
        <f>VLOOKUP(Table9[[#This Row],[Country Code]],Table29[],3,FALSE)</f>
        <v>Non-Annex I</v>
      </c>
      <c r="AP18" s="241" t="str">
        <f>VLOOKUP(Table9[[#This Row],[Country Code]],Table29[],4,FALSE)</f>
        <v>Latin America and the Caribbean</v>
      </c>
      <c r="AQ18" s="241" t="str">
        <f>VLOOKUP(Table9[[#This Row],[Country Code]],Table29[],5,FALSE)</f>
        <v>Middle-income</v>
      </c>
      <c r="AR18" s="241" t="str">
        <f>VLOOKUP(Table9[[#This Row],[Country Code]],Table29[],6,FALSE)</f>
        <v>G20</v>
      </c>
      <c r="AS18" s="241" t="str">
        <f>VLOOKUP(Table9[[#This Row],[Country Code]],Table29[],7,FALSE)</f>
        <v>no</v>
      </c>
      <c r="AT18" s="241" t="str">
        <f>VLOOKUP(Table9[[#This Row],[Country Code]],Table29[],8,FALSE)</f>
        <v>non-OECD</v>
      </c>
      <c r="AU18" s="233" t="str">
        <f>VLOOKUP(Table9[[#This Row],[Country Code]],Table29[],9,FALSE)</f>
        <v>no</v>
      </c>
      <c r="AV18" s="233" t="str">
        <f>VLOOKUP(Table9[[#This Row],[Country Code]],Table29[],10,FALSE)</f>
        <v>no</v>
      </c>
      <c r="AW18" s="233">
        <f>VLOOKUP(Table9[[#This Row],[Country Code]],Table29[],23,FALSE)</f>
        <v>365.68461861929001</v>
      </c>
      <c r="AX18" s="233">
        <f>VLOOKUP(Table9[[#This Row],[Country Code]],Table29[],24,FALSE)</f>
        <v>48.339727076899749</v>
      </c>
      <c r="AY18" s="43"/>
    </row>
    <row r="19" spans="1:51" ht="30" x14ac:dyDescent="0.25">
      <c r="A19" s="360">
        <v>32529</v>
      </c>
      <c r="B19" s="233" t="str">
        <f>VLOOKUP(Table9[[#This Row],[Document ID]],Table1[],2,FALSE)</f>
        <v>ARG</v>
      </c>
      <c r="C19" s="233" t="str">
        <f>VLOOKUP(Table9[[#This Row],[Document ID]],Table1[],3,FALSE)</f>
        <v>Argentina</v>
      </c>
      <c r="D19" s="233" t="str">
        <f>VLOOKUP(Table9[[#This Row],[Document ID]],Table1[],5,FALSE)</f>
        <v>NDC</v>
      </c>
      <c r="E19" s="233" t="str">
        <f>VLOOKUP(Table9[[#This Row],[Document ID]],Table1[],7,FALSE)</f>
        <v>Second NDC updated</v>
      </c>
      <c r="F19" s="233" t="str">
        <f>VLOOKUP(Table9[[#This Row],[Document ID]],Table1[],8,FALSE)</f>
        <v>NDC 2.1</v>
      </c>
      <c r="G19" s="233" t="str">
        <f>VLOOKUP(Table9[[#This Row],[Document ID]],Table1[],10,FALSE)</f>
        <v>Active</v>
      </c>
      <c r="H19" s="43" t="s">
        <v>5072</v>
      </c>
      <c r="I19" s="43" t="s">
        <v>5082</v>
      </c>
      <c r="J19" s="44" t="s">
        <v>5092</v>
      </c>
      <c r="K19" s="221">
        <v>60</v>
      </c>
      <c r="L19" s="113" t="s">
        <v>1113</v>
      </c>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t="s">
        <v>1113</v>
      </c>
      <c r="AJ19" s="113"/>
      <c r="AK19" s="113"/>
      <c r="AL19" s="113"/>
      <c r="AM19" s="43" t="s">
        <v>5075</v>
      </c>
      <c r="AN19" s="233" t="str">
        <f>VLOOKUP(Table9[[#This Row],[Measure]],Table1025[[Value name]:[Value identifyer]],2,FALSE)</f>
        <v>R_Risk</v>
      </c>
      <c r="AO19" s="241" t="str">
        <f>VLOOKUP(Table9[[#This Row],[Country Code]],Table29[],3,FALSE)</f>
        <v>Non-Annex I</v>
      </c>
      <c r="AP19" s="241" t="str">
        <f>VLOOKUP(Table9[[#This Row],[Country Code]],Table29[],4,FALSE)</f>
        <v>Latin America and the Caribbean</v>
      </c>
      <c r="AQ19" s="241" t="str">
        <f>VLOOKUP(Table9[[#This Row],[Country Code]],Table29[],5,FALSE)</f>
        <v>Middle-income</v>
      </c>
      <c r="AR19" s="241" t="str">
        <f>VLOOKUP(Table9[[#This Row],[Country Code]],Table29[],6,FALSE)</f>
        <v>G20</v>
      </c>
      <c r="AS19" s="241" t="str">
        <f>VLOOKUP(Table9[[#This Row],[Country Code]],Table29[],7,FALSE)</f>
        <v>no</v>
      </c>
      <c r="AT19" s="241" t="str">
        <f>VLOOKUP(Table9[[#This Row],[Country Code]],Table29[],8,FALSE)</f>
        <v>non-OECD</v>
      </c>
      <c r="AU19" s="233" t="str">
        <f>VLOOKUP(Table9[[#This Row],[Country Code]],Table29[],9,FALSE)</f>
        <v>no</v>
      </c>
      <c r="AV19" s="233" t="str">
        <f>VLOOKUP(Table9[[#This Row],[Country Code]],Table29[],10,FALSE)</f>
        <v>no</v>
      </c>
      <c r="AW19" s="233">
        <f>VLOOKUP(Table9[[#This Row],[Country Code]],Table29[],23,FALSE)</f>
        <v>365.68461861929001</v>
      </c>
      <c r="AX19" s="233">
        <f>VLOOKUP(Table9[[#This Row],[Country Code]],Table29[],24,FALSE)</f>
        <v>48.339727076899749</v>
      </c>
      <c r="AY19" s="43"/>
    </row>
    <row r="20" spans="1:51" x14ac:dyDescent="0.25">
      <c r="A20" s="368">
        <v>32410</v>
      </c>
      <c r="B20" s="233" t="str">
        <f>VLOOKUP(Table9[[#This Row],[Document ID]],Table1[],2,FALSE)</f>
        <v>ARG</v>
      </c>
      <c r="C20" s="233" t="str">
        <f>VLOOKUP(Table9[[#This Row],[Document ID]],Table1[],3,FALSE)</f>
        <v>Argentina</v>
      </c>
      <c r="D20" s="241" t="str">
        <f>VLOOKUP(Table9[[#This Row],[Document ID]],Table1[],5,FALSE)</f>
        <v>LTS</v>
      </c>
      <c r="E20" s="233" t="str">
        <f>VLOOKUP(Table9[[#This Row],[Document ID]],Table1[],7,FALSE)</f>
        <v>LTS</v>
      </c>
      <c r="F20" s="241" t="str">
        <f>VLOOKUP(Table9[[#This Row],[Document ID]],Table1[],8,FALSE)</f>
        <v>LTS 1.0</v>
      </c>
      <c r="G20" s="241" t="str">
        <f>VLOOKUP(Table9[[#This Row],[Document ID]],Table1[],10,FALSE)</f>
        <v>Active</v>
      </c>
      <c r="H20" s="43" t="s">
        <v>5072</v>
      </c>
      <c r="I20" s="43" t="s">
        <v>5073</v>
      </c>
      <c r="J20" s="209" t="s">
        <v>5093</v>
      </c>
      <c r="K20" s="259">
        <v>5</v>
      </c>
      <c r="L20" s="219"/>
      <c r="M20" s="219"/>
      <c r="N20" s="113"/>
      <c r="O20" s="113"/>
      <c r="P20" s="113"/>
      <c r="Q20" s="113"/>
      <c r="R20" s="113"/>
      <c r="S20" s="113"/>
      <c r="T20" s="113"/>
      <c r="U20" s="113"/>
      <c r="V20" s="113"/>
      <c r="W20" s="113"/>
      <c r="X20" s="113"/>
      <c r="Y20" s="113"/>
      <c r="Z20" s="113"/>
      <c r="AA20" s="113"/>
      <c r="AB20" s="113" t="s">
        <v>1113</v>
      </c>
      <c r="AC20" s="113"/>
      <c r="AD20" s="113"/>
      <c r="AE20" s="113"/>
      <c r="AF20" s="113"/>
      <c r="AG20" s="113"/>
      <c r="AH20" s="113"/>
      <c r="AI20" s="219" t="s">
        <v>1113</v>
      </c>
      <c r="AJ20" s="326"/>
      <c r="AK20" s="326"/>
      <c r="AL20" s="326"/>
      <c r="AM20" s="209" t="s">
        <v>5075</v>
      </c>
      <c r="AN20" s="233" t="str">
        <f>VLOOKUP(Table9[[#This Row],[Measure]],Table1025[[Value name]:[Value identifyer]],2,FALSE)</f>
        <v>R_System</v>
      </c>
      <c r="AO20" s="241" t="str">
        <f>VLOOKUP(Table9[[#This Row],[Country Code]],Table29[],3,FALSE)</f>
        <v>Non-Annex I</v>
      </c>
      <c r="AP20" s="241" t="str">
        <f>VLOOKUP(Table9[[#This Row],[Country Code]],Table29[],4,FALSE)</f>
        <v>Latin America and the Caribbean</v>
      </c>
      <c r="AQ20" s="241" t="str">
        <f>VLOOKUP(Table9[[#This Row],[Country Code]],Table29[],5,FALSE)</f>
        <v>Middle-income</v>
      </c>
      <c r="AR20" s="241" t="str">
        <f>VLOOKUP(Table9[[#This Row],[Country Code]],Table29[],6,FALSE)</f>
        <v>G20</v>
      </c>
      <c r="AS20" s="241" t="str">
        <f>VLOOKUP(Table9[[#This Row],[Country Code]],Table29[],7,FALSE)</f>
        <v>no</v>
      </c>
      <c r="AT20" s="241" t="str">
        <f>VLOOKUP(Table9[[#This Row],[Country Code]],Table29[],8,FALSE)</f>
        <v>non-OECD</v>
      </c>
      <c r="AU20" s="233" t="str">
        <f>VLOOKUP(Table9[[#This Row],[Country Code]],Table29[],9,FALSE)</f>
        <v>no</v>
      </c>
      <c r="AV20" s="233" t="str">
        <f>VLOOKUP(Table9[[#This Row],[Country Code]],Table29[],10,FALSE)</f>
        <v>no</v>
      </c>
      <c r="AW20" s="233">
        <f>VLOOKUP(Table9[[#This Row],[Country Code]],Table29[],23,FALSE)</f>
        <v>365.68461861929001</v>
      </c>
      <c r="AX20" s="233">
        <f>VLOOKUP(Table9[[#This Row],[Country Code]],Table29[],24,FALSE)</f>
        <v>48.339727076899749</v>
      </c>
      <c r="AY20" s="43"/>
    </row>
    <row r="21" spans="1:51" ht="30" x14ac:dyDescent="0.25">
      <c r="A21" s="368">
        <v>32410</v>
      </c>
      <c r="B21" s="233" t="str">
        <f>VLOOKUP(Table9[[#This Row],[Document ID]],Table1[],2,FALSE)</f>
        <v>ARG</v>
      </c>
      <c r="C21" s="233" t="str">
        <f>VLOOKUP(Table9[[#This Row],[Document ID]],Table1[],3,FALSE)</f>
        <v>Argentina</v>
      </c>
      <c r="D21" s="241" t="str">
        <f>VLOOKUP(Table9[[#This Row],[Document ID]],Table1[],5,FALSE)</f>
        <v>LTS</v>
      </c>
      <c r="E21" s="233" t="str">
        <f>VLOOKUP(Table9[[#This Row],[Document ID]],Table1[],7,FALSE)</f>
        <v>LTS</v>
      </c>
      <c r="F21" s="241" t="str">
        <f>VLOOKUP(Table9[[#This Row],[Document ID]],Table1[],8,FALSE)</f>
        <v>LTS 1.0</v>
      </c>
      <c r="G21" s="241" t="str">
        <f>VLOOKUP(Table9[[#This Row],[Document ID]],Table1[],10,FALSE)</f>
        <v>Active</v>
      </c>
      <c r="H21" s="43" t="s">
        <v>5072</v>
      </c>
      <c r="I21" s="43" t="s">
        <v>5073</v>
      </c>
      <c r="J21" s="209" t="s">
        <v>5094</v>
      </c>
      <c r="K21" s="259">
        <v>5</v>
      </c>
      <c r="L21" s="219" t="s">
        <v>1113</v>
      </c>
      <c r="M21" s="219"/>
      <c r="N21" s="113"/>
      <c r="O21" s="113"/>
      <c r="P21" s="113"/>
      <c r="Q21" s="113"/>
      <c r="R21" s="113"/>
      <c r="S21" s="113"/>
      <c r="T21" s="113"/>
      <c r="U21" s="113"/>
      <c r="V21" s="113"/>
      <c r="W21" s="113"/>
      <c r="X21" s="113"/>
      <c r="Y21" s="113"/>
      <c r="Z21" s="113"/>
      <c r="AA21" s="113"/>
      <c r="AB21" s="113"/>
      <c r="AC21" s="113"/>
      <c r="AD21" s="113"/>
      <c r="AE21" s="113"/>
      <c r="AF21" s="113"/>
      <c r="AG21" s="113"/>
      <c r="AH21" s="113"/>
      <c r="AI21" s="219" t="s">
        <v>1113</v>
      </c>
      <c r="AJ21" s="326"/>
      <c r="AK21" s="326"/>
      <c r="AL21" s="326"/>
      <c r="AM21" s="209" t="s">
        <v>5075</v>
      </c>
      <c r="AN21" s="233" t="str">
        <f>VLOOKUP(Table9[[#This Row],[Measure]],Table1025[[Value name]:[Value identifyer]],2,FALSE)</f>
        <v>R_System</v>
      </c>
      <c r="AO21" s="241" t="str">
        <f>VLOOKUP(Table9[[#This Row],[Country Code]],Table29[],3,FALSE)</f>
        <v>Non-Annex I</v>
      </c>
      <c r="AP21" s="241" t="str">
        <f>VLOOKUP(Table9[[#This Row],[Country Code]],Table29[],4,FALSE)</f>
        <v>Latin America and the Caribbean</v>
      </c>
      <c r="AQ21" s="241" t="str">
        <f>VLOOKUP(Table9[[#This Row],[Country Code]],Table29[],5,FALSE)</f>
        <v>Middle-income</v>
      </c>
      <c r="AR21" s="241" t="str">
        <f>VLOOKUP(Table9[[#This Row],[Country Code]],Table29[],6,FALSE)</f>
        <v>G20</v>
      </c>
      <c r="AS21" s="241" t="str">
        <f>VLOOKUP(Table9[[#This Row],[Country Code]],Table29[],7,FALSE)</f>
        <v>no</v>
      </c>
      <c r="AT21" s="241" t="str">
        <f>VLOOKUP(Table9[[#This Row],[Country Code]],Table29[],8,FALSE)</f>
        <v>non-OECD</v>
      </c>
      <c r="AU21" s="233" t="str">
        <f>VLOOKUP(Table9[[#This Row],[Country Code]],Table29[],9,FALSE)</f>
        <v>no</v>
      </c>
      <c r="AV21" s="233" t="str">
        <f>VLOOKUP(Table9[[#This Row],[Country Code]],Table29[],10,FALSE)</f>
        <v>no</v>
      </c>
      <c r="AW21" s="233">
        <f>VLOOKUP(Table9[[#This Row],[Country Code]],Table29[],23,FALSE)</f>
        <v>365.68461861929001</v>
      </c>
      <c r="AX21" s="233">
        <f>VLOOKUP(Table9[[#This Row],[Country Code]],Table29[],24,FALSE)</f>
        <v>48.339727076899749</v>
      </c>
      <c r="AY21" s="43"/>
    </row>
    <row r="22" spans="1:51" x14ac:dyDescent="0.25">
      <c r="A22" s="360">
        <v>32410</v>
      </c>
      <c r="B22" s="233" t="str">
        <f>VLOOKUP(Table9[[#This Row],[Document ID]],Table1[],2,FALSE)</f>
        <v>ARG</v>
      </c>
      <c r="C22" s="233" t="str">
        <f>VLOOKUP(Table9[[#This Row],[Document ID]],Table1[],3,FALSE)</f>
        <v>Argentina</v>
      </c>
      <c r="D22" s="233" t="str">
        <f>VLOOKUP(Table9[[#This Row],[Document ID]],Table1[],5,FALSE)</f>
        <v>LTS</v>
      </c>
      <c r="E22" s="233" t="str">
        <f>VLOOKUP(Table9[[#This Row],[Document ID]],Table1[],7,FALSE)</f>
        <v>LTS</v>
      </c>
      <c r="F22" s="233" t="str">
        <f>VLOOKUP(Table9[[#This Row],[Document ID]],Table1[],8,FALSE)</f>
        <v>LTS 1.0</v>
      </c>
      <c r="G22" s="233" t="str">
        <f>VLOOKUP(Table9[[#This Row],[Document ID]],Table1[],10,FALSE)</f>
        <v>Active</v>
      </c>
      <c r="H22" s="43" t="s">
        <v>5072</v>
      </c>
      <c r="I22" s="43" t="s">
        <v>5073</v>
      </c>
      <c r="J22" s="44" t="s">
        <v>5093</v>
      </c>
      <c r="K22" s="221">
        <v>5</v>
      </c>
      <c r="L22" s="113"/>
      <c r="M22" s="113"/>
      <c r="N22" s="113"/>
      <c r="O22" s="113"/>
      <c r="P22" s="113"/>
      <c r="Q22" s="113"/>
      <c r="R22" s="113"/>
      <c r="S22" s="113"/>
      <c r="T22" s="113"/>
      <c r="U22" s="113"/>
      <c r="V22" s="113"/>
      <c r="W22" s="113"/>
      <c r="X22" s="113"/>
      <c r="Y22" s="113"/>
      <c r="Z22" s="113"/>
      <c r="AA22" s="113"/>
      <c r="AB22" s="113"/>
      <c r="AC22" s="113" t="s">
        <v>1113</v>
      </c>
      <c r="AD22" s="113"/>
      <c r="AE22" s="113"/>
      <c r="AF22" s="113"/>
      <c r="AG22" s="113"/>
      <c r="AH22" s="113"/>
      <c r="AI22" s="113" t="s">
        <v>1113</v>
      </c>
      <c r="AJ22" s="326"/>
      <c r="AK22" s="326"/>
      <c r="AL22" s="326"/>
      <c r="AM22" s="209" t="s">
        <v>5075</v>
      </c>
      <c r="AN22" s="233" t="str">
        <f>VLOOKUP(Table9[[#This Row],[Measure]],Table1025[[Value name]:[Value identifyer]],2,FALSE)</f>
        <v>R_System</v>
      </c>
      <c r="AO22" s="241" t="str">
        <f>VLOOKUP(Table9[[#This Row],[Country Code]],Table29[],3,FALSE)</f>
        <v>Non-Annex I</v>
      </c>
      <c r="AP22" s="241" t="str">
        <f>VLOOKUP(Table9[[#This Row],[Country Code]],Table29[],4,FALSE)</f>
        <v>Latin America and the Caribbean</v>
      </c>
      <c r="AQ22" s="241" t="str">
        <f>VLOOKUP(Table9[[#This Row],[Country Code]],Table29[],5,FALSE)</f>
        <v>Middle-income</v>
      </c>
      <c r="AR22" s="241" t="str">
        <f>VLOOKUP(Table9[[#This Row],[Country Code]],Table29[],6,FALSE)</f>
        <v>G20</v>
      </c>
      <c r="AS22" s="241" t="str">
        <f>VLOOKUP(Table9[[#This Row],[Country Code]],Table29[],7,FALSE)</f>
        <v>no</v>
      </c>
      <c r="AT22" s="241" t="str">
        <f>VLOOKUP(Table9[[#This Row],[Country Code]],Table29[],8,FALSE)</f>
        <v>non-OECD</v>
      </c>
      <c r="AU22" s="233" t="str">
        <f>VLOOKUP(Table9[[#This Row],[Country Code]],Table29[],9,FALSE)</f>
        <v>no</v>
      </c>
      <c r="AV22" s="233" t="str">
        <f>VLOOKUP(Table9[[#This Row],[Country Code]],Table29[],10,FALSE)</f>
        <v>no</v>
      </c>
      <c r="AW22" s="233">
        <f>VLOOKUP(Table9[[#This Row],[Country Code]],Table29[],23,FALSE)</f>
        <v>365.68461861929001</v>
      </c>
      <c r="AX22" s="233">
        <f>VLOOKUP(Table9[[#This Row],[Country Code]],Table29[],24,FALSE)</f>
        <v>48.339727076899749</v>
      </c>
      <c r="AY22" s="43"/>
    </row>
    <row r="23" spans="1:51" ht="30" x14ac:dyDescent="0.25">
      <c r="A23" s="360">
        <v>32410</v>
      </c>
      <c r="B23" s="233" t="str">
        <f>VLOOKUP(Table9[[#This Row],[Document ID]],Table1[],2,FALSE)</f>
        <v>ARG</v>
      </c>
      <c r="C23" s="233" t="str">
        <f>VLOOKUP(Table9[[#This Row],[Document ID]],Table1[],3,FALSE)</f>
        <v>Argentina</v>
      </c>
      <c r="D23" s="233" t="str">
        <f>VLOOKUP(Table9[[#This Row],[Document ID]],Table1[],5,FALSE)</f>
        <v>LTS</v>
      </c>
      <c r="E23" s="233" t="str">
        <f>VLOOKUP(Table9[[#This Row],[Document ID]],Table1[],7,FALSE)</f>
        <v>LTS</v>
      </c>
      <c r="F23" s="233" t="str">
        <f>VLOOKUP(Table9[[#This Row],[Document ID]],Table1[],8,FALSE)</f>
        <v>LTS 1.0</v>
      </c>
      <c r="G23" s="233" t="str">
        <f>VLOOKUP(Table9[[#This Row],[Document ID]],Table1[],10,FALSE)</f>
        <v>Active</v>
      </c>
      <c r="H23" s="43" t="s">
        <v>5072</v>
      </c>
      <c r="I23" s="43" t="s">
        <v>5073</v>
      </c>
      <c r="J23" s="44" t="s">
        <v>5094</v>
      </c>
      <c r="K23" s="221">
        <v>5</v>
      </c>
      <c r="L23" s="113" t="s">
        <v>1113</v>
      </c>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t="s">
        <v>1113</v>
      </c>
      <c r="AJ23" s="326"/>
      <c r="AK23" s="326"/>
      <c r="AL23" s="326"/>
      <c r="AM23" s="209" t="s">
        <v>5075</v>
      </c>
      <c r="AN23" s="233" t="str">
        <f>VLOOKUP(Table9[[#This Row],[Measure]],Table1025[[Value name]:[Value identifyer]],2,FALSE)</f>
        <v>R_System</v>
      </c>
      <c r="AO23" s="241" t="str">
        <f>VLOOKUP(Table9[[#This Row],[Country Code]],Table29[],3,FALSE)</f>
        <v>Non-Annex I</v>
      </c>
      <c r="AP23" s="241" t="str">
        <f>VLOOKUP(Table9[[#This Row],[Country Code]],Table29[],4,FALSE)</f>
        <v>Latin America and the Caribbean</v>
      </c>
      <c r="AQ23" s="241" t="str">
        <f>VLOOKUP(Table9[[#This Row],[Country Code]],Table29[],5,FALSE)</f>
        <v>Middle-income</v>
      </c>
      <c r="AR23" s="241" t="str">
        <f>VLOOKUP(Table9[[#This Row],[Country Code]],Table29[],6,FALSE)</f>
        <v>G20</v>
      </c>
      <c r="AS23" s="241" t="str">
        <f>VLOOKUP(Table9[[#This Row],[Country Code]],Table29[],7,FALSE)</f>
        <v>no</v>
      </c>
      <c r="AT23" s="241" t="str">
        <f>VLOOKUP(Table9[[#This Row],[Country Code]],Table29[],8,FALSE)</f>
        <v>non-OECD</v>
      </c>
      <c r="AU23" s="233" t="str">
        <f>VLOOKUP(Table9[[#This Row],[Country Code]],Table29[],9,FALSE)</f>
        <v>no</v>
      </c>
      <c r="AV23" s="233" t="str">
        <f>VLOOKUP(Table9[[#This Row],[Country Code]],Table29[],10,FALSE)</f>
        <v>no</v>
      </c>
      <c r="AW23" s="233">
        <f>VLOOKUP(Table9[[#This Row],[Country Code]],Table29[],23,FALSE)</f>
        <v>365.68461861929001</v>
      </c>
      <c r="AX23" s="233">
        <f>VLOOKUP(Table9[[#This Row],[Country Code]],Table29[],24,FALSE)</f>
        <v>48.339727076899749</v>
      </c>
      <c r="AY23" s="43"/>
    </row>
    <row r="24" spans="1:51" x14ac:dyDescent="0.25">
      <c r="A24" s="360">
        <v>32410</v>
      </c>
      <c r="B24" s="233" t="str">
        <f>VLOOKUP(Table9[[#This Row],[Document ID]],Table1[],2,FALSE)</f>
        <v>ARG</v>
      </c>
      <c r="C24" s="233" t="str">
        <f>VLOOKUP(Table9[[#This Row],[Document ID]],Table1[],3,FALSE)</f>
        <v>Argentina</v>
      </c>
      <c r="D24" s="233" t="str">
        <f>VLOOKUP(Table9[[#This Row],[Document ID]],Table1[],5,FALSE)</f>
        <v>LTS</v>
      </c>
      <c r="E24" s="233" t="str">
        <f>VLOOKUP(Table9[[#This Row],[Document ID]],Table1[],7,FALSE)</f>
        <v>LTS</v>
      </c>
      <c r="F24" s="233" t="str">
        <f>VLOOKUP(Table9[[#This Row],[Document ID]],Table1[],8,FALSE)</f>
        <v>LTS 1.0</v>
      </c>
      <c r="G24" s="233" t="str">
        <f>VLOOKUP(Table9[[#This Row],[Document ID]],Table1[],10,FALSE)</f>
        <v>Active</v>
      </c>
      <c r="H24" s="43" t="s">
        <v>5072</v>
      </c>
      <c r="I24" s="43" t="s">
        <v>5073</v>
      </c>
      <c r="J24" s="44" t="s">
        <v>5095</v>
      </c>
      <c r="K24" s="221">
        <v>7</v>
      </c>
      <c r="L24" s="113" t="s">
        <v>1113</v>
      </c>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t="s">
        <v>1113</v>
      </c>
      <c r="AJ24" s="326"/>
      <c r="AK24" s="326"/>
      <c r="AL24" s="326"/>
      <c r="AM24" s="209" t="s">
        <v>5075</v>
      </c>
      <c r="AN24" s="233" t="str">
        <f>VLOOKUP(Table9[[#This Row],[Measure]],Table1025[[Value name]:[Value identifyer]],2,FALSE)</f>
        <v>R_System</v>
      </c>
      <c r="AO24" s="241" t="str">
        <f>VLOOKUP(Table9[[#This Row],[Country Code]],Table29[],3,FALSE)</f>
        <v>Non-Annex I</v>
      </c>
      <c r="AP24" s="241" t="str">
        <f>VLOOKUP(Table9[[#This Row],[Country Code]],Table29[],4,FALSE)</f>
        <v>Latin America and the Caribbean</v>
      </c>
      <c r="AQ24" s="241" t="str">
        <f>VLOOKUP(Table9[[#This Row],[Country Code]],Table29[],5,FALSE)</f>
        <v>Middle-income</v>
      </c>
      <c r="AR24" s="241" t="str">
        <f>VLOOKUP(Table9[[#This Row],[Country Code]],Table29[],6,FALSE)</f>
        <v>G20</v>
      </c>
      <c r="AS24" s="241" t="str">
        <f>VLOOKUP(Table9[[#This Row],[Country Code]],Table29[],7,FALSE)</f>
        <v>no</v>
      </c>
      <c r="AT24" s="241" t="str">
        <f>VLOOKUP(Table9[[#This Row],[Country Code]],Table29[],8,FALSE)</f>
        <v>non-OECD</v>
      </c>
      <c r="AU24" s="233" t="str">
        <f>VLOOKUP(Table9[[#This Row],[Country Code]],Table29[],9,FALSE)</f>
        <v>no</v>
      </c>
      <c r="AV24" s="233" t="str">
        <f>VLOOKUP(Table9[[#This Row],[Country Code]],Table29[],10,FALSE)</f>
        <v>no</v>
      </c>
      <c r="AW24" s="233">
        <f>VLOOKUP(Table9[[#This Row],[Country Code]],Table29[],23,FALSE)</f>
        <v>365.68461861929001</v>
      </c>
      <c r="AX24" s="233">
        <f>VLOOKUP(Table9[[#This Row],[Country Code]],Table29[],24,FALSE)</f>
        <v>48.339727076899749</v>
      </c>
      <c r="AY24" s="43"/>
    </row>
    <row r="25" spans="1:51" ht="45" x14ac:dyDescent="0.25">
      <c r="A25" s="367">
        <v>24678</v>
      </c>
      <c r="B25" s="233" t="str">
        <f>VLOOKUP(Table9[[#This Row],[Document ID]],Table1[],2,FALSE)</f>
        <v>AUT</v>
      </c>
      <c r="C25" s="233" t="str">
        <f>VLOOKUP(Table9[[#This Row],[Document ID]],Table1[],3,FALSE)</f>
        <v>Austria</v>
      </c>
      <c r="D25" s="254" t="str">
        <f>VLOOKUP(Table9[[#This Row],[Document ID]],Table1[],5,FALSE)</f>
        <v>LTS</v>
      </c>
      <c r="E25" s="233" t="str">
        <f>VLOOKUP(Table9[[#This Row],[Document ID]],Table1[],7,FALSE)</f>
        <v>LTS</v>
      </c>
      <c r="F25" s="241" t="str">
        <f>VLOOKUP(Table9[[#This Row],[Document ID]],Table1[],8,FALSE)</f>
        <v>LTS 1.0</v>
      </c>
      <c r="G25" s="241" t="str">
        <f>VLOOKUP(Table9[[#This Row],[Document ID]],Table1[],10,FALSE)</f>
        <v>Active</v>
      </c>
      <c r="H25" s="42" t="s">
        <v>5076</v>
      </c>
      <c r="I25" s="43" t="s">
        <v>5077</v>
      </c>
      <c r="J25" s="44" t="s">
        <v>5096</v>
      </c>
      <c r="K25" s="221">
        <v>50</v>
      </c>
      <c r="L25" s="113" t="s">
        <v>1113</v>
      </c>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t="s">
        <v>1113</v>
      </c>
      <c r="AK25" s="113"/>
      <c r="AL25" s="113"/>
      <c r="AM25" s="43" t="s">
        <v>5075</v>
      </c>
      <c r="AN25" s="233" t="str">
        <f>VLOOKUP(Table9[[#This Row],[Measure]],Table1025[[Value name]:[Value identifyer]],2,FALSE)</f>
        <v>R_Planning</v>
      </c>
      <c r="AO25" s="241" t="str">
        <f>VLOOKUP(Table9[[#This Row],[Country Code]],Table29[],3,FALSE)</f>
        <v>Annex I</v>
      </c>
      <c r="AP25" s="241" t="str">
        <f>VLOOKUP(Table9[[#This Row],[Country Code]],Table29[],4,FALSE)</f>
        <v>Europe</v>
      </c>
      <c r="AQ25" s="241" t="str">
        <f>VLOOKUP(Table9[[#This Row],[Country Code]],Table29[],5,FALSE)</f>
        <v>High-income</v>
      </c>
      <c r="AR25" s="241" t="str">
        <f>VLOOKUP(Table9[[#This Row],[Country Code]],Table29[],6,FALSE)</f>
        <v>no</v>
      </c>
      <c r="AS25" s="241" t="str">
        <f>VLOOKUP(Table9[[#This Row],[Country Code]],Table29[],7,FALSE)</f>
        <v>no</v>
      </c>
      <c r="AT25" s="241" t="str">
        <f>VLOOKUP(Table9[[#This Row],[Country Code]],Table29[],8,FALSE)</f>
        <v>OECD</v>
      </c>
      <c r="AU25" s="233" t="str">
        <f>VLOOKUP(Table9[[#This Row],[Country Code]],Table29[],9,FALSE)</f>
        <v>EU27</v>
      </c>
      <c r="AV25" s="233" t="str">
        <f>VLOOKUP(Table9[[#This Row],[Country Code]],Table29[],10,FALSE)</f>
        <v>no</v>
      </c>
      <c r="AW25" s="233">
        <f>VLOOKUP(Table9[[#This Row],[Country Code]],Table29[],23,FALSE)</f>
        <v>72.921492529811999</v>
      </c>
      <c r="AX25" s="233">
        <f>VLOOKUP(Table9[[#This Row],[Country Code]],Table29[],24,FALSE)</f>
        <v>21.372731064834241</v>
      </c>
      <c r="AY25" s="43"/>
    </row>
    <row r="26" spans="1:51" ht="45" x14ac:dyDescent="0.25">
      <c r="A26" s="367">
        <v>32496</v>
      </c>
      <c r="B26" s="233" t="str">
        <f>VLOOKUP(Table9[[#This Row],[Document ID]],Table1[],2,FALSE)</f>
        <v>BHS</v>
      </c>
      <c r="C26" s="233" t="str">
        <f>VLOOKUP(Table9[[#This Row],[Document ID]],Table1[],3,FALSE)</f>
        <v>Bahamas</v>
      </c>
      <c r="D26" s="254" t="str">
        <f>VLOOKUP(Table9[[#This Row],[Document ID]],Table1[],5,FALSE)</f>
        <v>NDC</v>
      </c>
      <c r="E26" s="233" t="str">
        <f>VLOOKUP(Table9[[#This Row],[Document ID]],Table1[],7,FALSE)</f>
        <v>First NDC updated</v>
      </c>
      <c r="F26" s="241" t="str">
        <f>VLOOKUP(Table9[[#This Row],[Document ID]],Table1[],8,FALSE)</f>
        <v>NDC 1.1</v>
      </c>
      <c r="G26" s="241" t="str">
        <f>VLOOKUP(Table9[[#This Row],[Document ID]],Table1[],10,FALSE)</f>
        <v>Active</v>
      </c>
      <c r="H26" s="43" t="s">
        <v>5072</v>
      </c>
      <c r="I26" s="43" t="s">
        <v>5097</v>
      </c>
      <c r="J26" s="209" t="s">
        <v>5098</v>
      </c>
      <c r="K26" s="259">
        <v>40</v>
      </c>
      <c r="L26" s="219"/>
      <c r="M26" s="219"/>
      <c r="N26" s="113"/>
      <c r="O26" s="113"/>
      <c r="P26" s="113"/>
      <c r="Q26" s="113" t="s">
        <v>1113</v>
      </c>
      <c r="R26" s="113"/>
      <c r="S26" s="113"/>
      <c r="T26" s="113"/>
      <c r="U26" s="113"/>
      <c r="V26" s="113"/>
      <c r="W26" s="113"/>
      <c r="X26" s="113"/>
      <c r="Y26" s="113"/>
      <c r="Z26" s="113"/>
      <c r="AA26" s="113"/>
      <c r="AB26" s="113"/>
      <c r="AC26" s="113"/>
      <c r="AD26" s="113"/>
      <c r="AE26" s="113"/>
      <c r="AF26" s="113"/>
      <c r="AG26" s="113"/>
      <c r="AH26" s="113"/>
      <c r="AI26" s="219" t="s">
        <v>1113</v>
      </c>
      <c r="AJ26" s="326"/>
      <c r="AK26" s="326"/>
      <c r="AL26" s="326"/>
      <c r="AM26" s="42" t="s">
        <v>5075</v>
      </c>
      <c r="AN26" s="233" t="str">
        <f>VLOOKUP(Table9[[#This Row],[Measure]],Table1025[[Value name]:[Value identifyer]],2,FALSE)</f>
        <v>R_Tech</v>
      </c>
      <c r="AO26" s="241" t="str">
        <f>VLOOKUP(Table9[[#This Row],[Country Code]],Table29[],3,FALSE)</f>
        <v>Non-Annex I</v>
      </c>
      <c r="AP26" s="241" t="str">
        <f>VLOOKUP(Table9[[#This Row],[Country Code]],Table29[],4,FALSE)</f>
        <v>Latin America and the Caribbean</v>
      </c>
      <c r="AQ26" s="241" t="str">
        <f>VLOOKUP(Table9[[#This Row],[Country Code]],Table29[],5,FALSE)</f>
        <v>High-income</v>
      </c>
      <c r="AR26" s="241" t="str">
        <f>VLOOKUP(Table9[[#This Row],[Country Code]],Table29[],6,FALSE)</f>
        <v>no</v>
      </c>
      <c r="AS26" s="241" t="str">
        <f>VLOOKUP(Table9[[#This Row],[Country Code]],Table29[],7,FALSE)</f>
        <v>no</v>
      </c>
      <c r="AT26" s="241" t="str">
        <f>VLOOKUP(Table9[[#This Row],[Country Code]],Table29[],8,FALSE)</f>
        <v>non-OECD</v>
      </c>
      <c r="AU26" s="233" t="str">
        <f>VLOOKUP(Table9[[#This Row],[Country Code]],Table29[],9,FALSE)</f>
        <v>no</v>
      </c>
      <c r="AV26" s="233" t="str">
        <f>VLOOKUP(Table9[[#This Row],[Country Code]],Table29[],10,FALSE)</f>
        <v>no</v>
      </c>
      <c r="AW26" s="233">
        <f>VLOOKUP(Table9[[#This Row],[Country Code]],Table29[],23,FALSE)</f>
        <v>2.0502828926944998</v>
      </c>
      <c r="AX26" s="233">
        <f>VLOOKUP(Table9[[#This Row],[Country Code]],Table29[],24,FALSE)</f>
        <v>0.59970961940231238</v>
      </c>
      <c r="AY26" s="43"/>
    </row>
    <row r="27" spans="1:51" ht="45" x14ac:dyDescent="0.25">
      <c r="A27" s="367">
        <v>32496</v>
      </c>
      <c r="B27" s="233" t="str">
        <f>VLOOKUP(Table9[[#This Row],[Document ID]],Table1[],2,FALSE)</f>
        <v>BHS</v>
      </c>
      <c r="C27" s="233" t="str">
        <f>VLOOKUP(Table9[[#This Row],[Document ID]],Table1[],3,FALSE)</f>
        <v>Bahamas</v>
      </c>
      <c r="D27" s="254" t="str">
        <f>VLOOKUP(Table9[[#This Row],[Document ID]],Table1[],5,FALSE)</f>
        <v>NDC</v>
      </c>
      <c r="E27" s="233" t="str">
        <f>VLOOKUP(Table9[[#This Row],[Document ID]],Table1[],7,FALSE)</f>
        <v>First NDC updated</v>
      </c>
      <c r="F27" s="241" t="str">
        <f>VLOOKUP(Table9[[#This Row],[Document ID]],Table1[],8,FALSE)</f>
        <v>NDC 1.1</v>
      </c>
      <c r="G27" s="241" t="str">
        <f>VLOOKUP(Table9[[#This Row],[Document ID]],Table1[],10,FALSE)</f>
        <v>Active</v>
      </c>
      <c r="H27" s="43" t="s">
        <v>5072</v>
      </c>
      <c r="I27" s="43" t="s">
        <v>5073</v>
      </c>
      <c r="J27" s="209" t="s">
        <v>5099</v>
      </c>
      <c r="K27" s="259">
        <v>40</v>
      </c>
      <c r="L27" s="219"/>
      <c r="M27" s="219"/>
      <c r="N27" s="113"/>
      <c r="O27" s="113"/>
      <c r="P27" s="113"/>
      <c r="Q27" s="113" t="s">
        <v>1113</v>
      </c>
      <c r="R27" s="113"/>
      <c r="S27" s="113"/>
      <c r="T27" s="113"/>
      <c r="U27" s="113"/>
      <c r="V27" s="113"/>
      <c r="W27" s="113"/>
      <c r="X27" s="113"/>
      <c r="Y27" s="113"/>
      <c r="Z27" s="113"/>
      <c r="AA27" s="113"/>
      <c r="AB27" s="113"/>
      <c r="AC27" s="113"/>
      <c r="AD27" s="113"/>
      <c r="AE27" s="113"/>
      <c r="AF27" s="113"/>
      <c r="AG27" s="113"/>
      <c r="AH27" s="113"/>
      <c r="AI27" s="219" t="s">
        <v>1113</v>
      </c>
      <c r="AJ27" s="326"/>
      <c r="AK27" s="326"/>
      <c r="AL27" s="326"/>
      <c r="AM27" s="42" t="s">
        <v>5075</v>
      </c>
      <c r="AN27" s="233" t="str">
        <f>VLOOKUP(Table9[[#This Row],[Measure]],Table1025[[Value name]:[Value identifyer]],2,FALSE)</f>
        <v>R_System</v>
      </c>
      <c r="AO27" s="241" t="str">
        <f>VLOOKUP(Table9[[#This Row],[Country Code]],Table29[],3,FALSE)</f>
        <v>Non-Annex I</v>
      </c>
      <c r="AP27" s="241" t="str">
        <f>VLOOKUP(Table9[[#This Row],[Country Code]],Table29[],4,FALSE)</f>
        <v>Latin America and the Caribbean</v>
      </c>
      <c r="AQ27" s="241" t="str">
        <f>VLOOKUP(Table9[[#This Row],[Country Code]],Table29[],5,FALSE)</f>
        <v>High-income</v>
      </c>
      <c r="AR27" s="241" t="str">
        <f>VLOOKUP(Table9[[#This Row],[Country Code]],Table29[],6,FALSE)</f>
        <v>no</v>
      </c>
      <c r="AS27" s="241" t="str">
        <f>VLOOKUP(Table9[[#This Row],[Country Code]],Table29[],7,FALSE)</f>
        <v>no</v>
      </c>
      <c r="AT27" s="241" t="str">
        <f>VLOOKUP(Table9[[#This Row],[Country Code]],Table29[],8,FALSE)</f>
        <v>non-OECD</v>
      </c>
      <c r="AU27" s="233" t="str">
        <f>VLOOKUP(Table9[[#This Row],[Country Code]],Table29[],9,FALSE)</f>
        <v>no</v>
      </c>
      <c r="AV27" s="233" t="str">
        <f>VLOOKUP(Table9[[#This Row],[Country Code]],Table29[],10,FALSE)</f>
        <v>no</v>
      </c>
      <c r="AW27" s="233">
        <f>VLOOKUP(Table9[[#This Row],[Country Code]],Table29[],23,FALSE)</f>
        <v>2.0502828926944998</v>
      </c>
      <c r="AX27" s="233">
        <f>VLOOKUP(Table9[[#This Row],[Country Code]],Table29[],24,FALSE)</f>
        <v>0.59970961940231238</v>
      </c>
      <c r="AY27" s="43"/>
    </row>
    <row r="28" spans="1:51" ht="60" x14ac:dyDescent="0.25">
      <c r="A28" s="367">
        <v>17524</v>
      </c>
      <c r="B28" s="233" t="str">
        <f>VLOOKUP(Table9[[#This Row],[Document ID]],Table1[],2,FALSE)</f>
        <v>BGD</v>
      </c>
      <c r="C28" s="233" t="str">
        <f>VLOOKUP(Table9[[#This Row],[Document ID]],Table1[],3,FALSE)</f>
        <v>Bangladesh</v>
      </c>
      <c r="D28" s="328" t="str">
        <f>VLOOKUP(Table9[[#This Row],[Document ID]],Table1[],5,FALSE)</f>
        <v>NDC</v>
      </c>
      <c r="E28" s="233" t="str">
        <f>VLOOKUP(Table9[[#This Row],[Document ID]],Table1[],7,FALSE)</f>
        <v>First NDC</v>
      </c>
      <c r="F28" s="328" t="str">
        <f>VLOOKUP(Table9[[#This Row],[Document ID]],Table1[],8,FALSE)</f>
        <v>NDC 1.0</v>
      </c>
      <c r="G28" s="328" t="str">
        <f>VLOOKUP(Table9[[#This Row],[Document ID]],Table1[],10,FALSE)</f>
        <v>Archived</v>
      </c>
      <c r="H28" s="43" t="s">
        <v>5072</v>
      </c>
      <c r="I28" s="43" t="s">
        <v>5073</v>
      </c>
      <c r="J28" s="209" t="s">
        <v>5100</v>
      </c>
      <c r="K28" s="257" t="s">
        <v>5081</v>
      </c>
      <c r="L28" s="326"/>
      <c r="M28" s="326"/>
      <c r="N28" s="326"/>
      <c r="O28" s="326"/>
      <c r="P28" s="326"/>
      <c r="Q28" s="326" t="s">
        <v>1113</v>
      </c>
      <c r="R28" s="326"/>
      <c r="S28" s="326"/>
      <c r="T28" s="326"/>
      <c r="U28" s="326"/>
      <c r="V28" s="326"/>
      <c r="W28" s="326"/>
      <c r="X28" s="326"/>
      <c r="Y28" s="326"/>
      <c r="Z28" s="326"/>
      <c r="AA28" s="326"/>
      <c r="AB28" s="326" t="s">
        <v>1113</v>
      </c>
      <c r="AC28" s="326"/>
      <c r="AD28" s="326"/>
      <c r="AE28" s="326"/>
      <c r="AF28" s="326"/>
      <c r="AG28" s="326"/>
      <c r="AH28" s="326"/>
      <c r="AI28" s="326" t="s">
        <v>1113</v>
      </c>
      <c r="AJ28" s="326"/>
      <c r="AK28" s="326"/>
      <c r="AL28" s="326"/>
      <c r="AM28" s="209" t="s">
        <v>5075</v>
      </c>
      <c r="AN28" s="233" t="str">
        <f>VLOOKUP(Table9[[#This Row],[Measure]],Table1025[[Value name]:[Value identifyer]],2,FALSE)</f>
        <v>R_System</v>
      </c>
      <c r="AO28" s="241" t="str">
        <f>VLOOKUP(Table9[[#This Row],[Country Code]],Table29[],3,FALSE)</f>
        <v>Non-Annex I</v>
      </c>
      <c r="AP28" s="241" t="str">
        <f>VLOOKUP(Table9[[#This Row],[Country Code]],Table29[],4,FALSE)</f>
        <v>Asia</v>
      </c>
      <c r="AQ28" s="241" t="str">
        <f>VLOOKUP(Table9[[#This Row],[Country Code]],Table29[],5,FALSE)</f>
        <v>Middle-income</v>
      </c>
      <c r="AR28" s="241" t="str">
        <f>VLOOKUP(Table9[[#This Row],[Country Code]],Table29[],6,FALSE)</f>
        <v>no</v>
      </c>
      <c r="AS28" s="241" t="str">
        <f>VLOOKUP(Table9[[#This Row],[Country Code]],Table29[],7,FALSE)</f>
        <v>no</v>
      </c>
      <c r="AT28" s="241" t="str">
        <f>VLOOKUP(Table9[[#This Row],[Country Code]],Table29[],8,FALSE)</f>
        <v>non-OECD</v>
      </c>
      <c r="AU28" s="233" t="str">
        <f>VLOOKUP(Table9[[#This Row],[Country Code]],Table29[],9,FALSE)</f>
        <v>no</v>
      </c>
      <c r="AV28" s="233" t="str">
        <f>VLOOKUP(Table9[[#This Row],[Country Code]],Table29[],10,FALSE)</f>
        <v>no</v>
      </c>
      <c r="AW28" s="233">
        <f>VLOOKUP(Table9[[#This Row],[Country Code]],Table29[],23,FALSE)</f>
        <v>281.38053496815002</v>
      </c>
      <c r="AX28" s="233">
        <f>VLOOKUP(Table9[[#This Row],[Country Code]],Table29[],24,FALSE)</f>
        <v>12.410696897609901</v>
      </c>
      <c r="AY28" s="43"/>
    </row>
    <row r="29" spans="1:51" ht="45" x14ac:dyDescent="0.25">
      <c r="A29" s="368">
        <v>21371</v>
      </c>
      <c r="B29" s="233" t="str">
        <f>VLOOKUP(Table9[[#This Row],[Document ID]],Table1[],2,FALSE)</f>
        <v>BRB</v>
      </c>
      <c r="C29" s="233" t="str">
        <f>VLOOKUP(Table9[[#This Row],[Document ID]],Table1[],3,FALSE)</f>
        <v>Barbados</v>
      </c>
      <c r="D29" s="241" t="str">
        <f>VLOOKUP(Table9[[#This Row],[Document ID]],Table1[],5,FALSE)</f>
        <v>NDC</v>
      </c>
      <c r="E29" s="233" t="str">
        <f>VLOOKUP(Table9[[#This Row],[Document ID]],Table1[],7,FALSE)</f>
        <v>First NDC updated</v>
      </c>
      <c r="F29" s="241" t="str">
        <f>VLOOKUP(Table9[[#This Row],[Document ID]],Table1[],8,FALSE)</f>
        <v>NDC 1.1</v>
      </c>
      <c r="G29" s="241" t="str">
        <f>VLOOKUP(Table9[[#This Row],[Document ID]],Table1[],10,FALSE)</f>
        <v>Active</v>
      </c>
      <c r="H29" s="43" t="s">
        <v>5072</v>
      </c>
      <c r="I29" s="43" t="s">
        <v>5073</v>
      </c>
      <c r="J29" s="209" t="s">
        <v>5101</v>
      </c>
      <c r="K29" s="259">
        <v>16</v>
      </c>
      <c r="L29" s="326" t="s">
        <v>1113</v>
      </c>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t="s">
        <v>1113</v>
      </c>
      <c r="AJ29" s="326"/>
      <c r="AK29" s="326"/>
      <c r="AL29" s="326"/>
      <c r="AM29" s="327" t="s">
        <v>5075</v>
      </c>
      <c r="AN29" s="233" t="str">
        <f>VLOOKUP(Table9[[#This Row],[Measure]],Table1025[[Value name]:[Value identifyer]],2,FALSE)</f>
        <v>R_System</v>
      </c>
      <c r="AO29" s="241" t="str">
        <f>VLOOKUP(Table9[[#This Row],[Country Code]],Table29[],3,FALSE)</f>
        <v>Non-Annex I</v>
      </c>
      <c r="AP29" s="241" t="str">
        <f>VLOOKUP(Table9[[#This Row],[Country Code]],Table29[],4,FALSE)</f>
        <v>Latin America and the Caribbean</v>
      </c>
      <c r="AQ29" s="241" t="str">
        <f>VLOOKUP(Table9[[#This Row],[Country Code]],Table29[],5,FALSE)</f>
        <v>High-income</v>
      </c>
      <c r="AR29" s="241" t="str">
        <f>VLOOKUP(Table9[[#This Row],[Country Code]],Table29[],6,FALSE)</f>
        <v>no</v>
      </c>
      <c r="AS29" s="241" t="str">
        <f>VLOOKUP(Table9[[#This Row],[Country Code]],Table29[],7,FALSE)</f>
        <v>no</v>
      </c>
      <c r="AT29" s="241" t="str">
        <f>VLOOKUP(Table9[[#This Row],[Country Code]],Table29[],8,FALSE)</f>
        <v>non-OECD</v>
      </c>
      <c r="AU29" s="233" t="str">
        <f>VLOOKUP(Table9[[#This Row],[Country Code]],Table29[],9,FALSE)</f>
        <v>no</v>
      </c>
      <c r="AV29" s="233" t="str">
        <f>VLOOKUP(Table9[[#This Row],[Country Code]],Table29[],10,FALSE)</f>
        <v>no</v>
      </c>
      <c r="AW29" s="233">
        <f>VLOOKUP(Table9[[#This Row],[Country Code]],Table29[],23,FALSE)</f>
        <v>0.98904380539195003</v>
      </c>
      <c r="AX29" s="233">
        <f>VLOOKUP(Table9[[#This Row],[Country Code]],Table29[],24,FALSE)</f>
        <v>0.25128029300322258</v>
      </c>
      <c r="AY29" s="43"/>
    </row>
    <row r="30" spans="1:51" ht="30" x14ac:dyDescent="0.25">
      <c r="A30" s="367">
        <v>17527</v>
      </c>
      <c r="B30" s="233" t="str">
        <f>VLOOKUP(Table9[[#This Row],[Document ID]],Table1[],2,FALSE)</f>
        <v>BLR</v>
      </c>
      <c r="C30" s="233" t="str">
        <f>VLOOKUP(Table9[[#This Row],[Document ID]],Table1[],3,FALSE)</f>
        <v>Belarus</v>
      </c>
      <c r="D30" s="252" t="str">
        <f>VLOOKUP(Table9[[#This Row],[Document ID]],Table1[],5,FALSE)</f>
        <v>NDC</v>
      </c>
      <c r="E30" s="233" t="str">
        <f>VLOOKUP(Table9[[#This Row],[Document ID]],Table1[],7,FALSE)</f>
        <v>First NDC</v>
      </c>
      <c r="F30" s="252" t="str">
        <f>VLOOKUP(Table9[[#This Row],[Document ID]],Table1[],8,FALSE)</f>
        <v>NDC 1.0</v>
      </c>
      <c r="G30" s="252" t="str">
        <f>VLOOKUP(Table9[[#This Row],[Document ID]],Table1[],10,FALSE)</f>
        <v>Archived</v>
      </c>
      <c r="H30" s="42" t="s">
        <v>5076</v>
      </c>
      <c r="I30" s="43" t="s">
        <v>5077</v>
      </c>
      <c r="J30" s="209" t="s">
        <v>5102</v>
      </c>
      <c r="K30" s="257" t="s">
        <v>5081</v>
      </c>
      <c r="L30" s="329" t="s">
        <v>1113</v>
      </c>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6"/>
      <c r="AJ30" s="326" t="s">
        <v>1113</v>
      </c>
      <c r="AK30" s="326"/>
      <c r="AL30" s="326"/>
      <c r="AM30" s="209" t="s">
        <v>5075</v>
      </c>
      <c r="AN30" s="233" t="str">
        <f>VLOOKUP(Table9[[#This Row],[Measure]],Table1025[[Value name]:[Value identifyer]],2,FALSE)</f>
        <v>R_Planning</v>
      </c>
      <c r="AO30" s="241" t="str">
        <f>VLOOKUP(Table9[[#This Row],[Country Code]],Table29[],3,FALSE)</f>
        <v>Annex I</v>
      </c>
      <c r="AP30" s="241" t="str">
        <f>VLOOKUP(Table9[[#This Row],[Country Code]],Table29[],4,FALSE)</f>
        <v>Europe</v>
      </c>
      <c r="AQ30" s="241" t="str">
        <f>VLOOKUP(Table9[[#This Row],[Country Code]],Table29[],5,FALSE)</f>
        <v>Middle-income</v>
      </c>
      <c r="AR30" s="241" t="str">
        <f>VLOOKUP(Table9[[#This Row],[Country Code]],Table29[],6,FALSE)</f>
        <v>no</v>
      </c>
      <c r="AS30" s="241" t="str">
        <f>VLOOKUP(Table9[[#This Row],[Country Code]],Table29[],7,FALSE)</f>
        <v>no</v>
      </c>
      <c r="AT30" s="241" t="str">
        <f>VLOOKUP(Table9[[#This Row],[Country Code]],Table29[],8,FALSE)</f>
        <v>non-OECD</v>
      </c>
      <c r="AU30" s="233" t="str">
        <f>VLOOKUP(Table9[[#This Row],[Country Code]],Table29[],9,FALSE)</f>
        <v>no</v>
      </c>
      <c r="AV30" s="233" t="str">
        <f>VLOOKUP(Table9[[#This Row],[Country Code]],Table29[],10,FALSE)</f>
        <v>no</v>
      </c>
      <c r="AW30" s="233">
        <f>VLOOKUP(Table9[[#This Row],[Country Code]],Table29[],23,FALSE)</f>
        <v>84.277601484293001</v>
      </c>
      <c r="AX30" s="233">
        <f>VLOOKUP(Table9[[#This Row],[Country Code]],Table29[],24,FALSE)</f>
        <v>9.8730073698737328</v>
      </c>
      <c r="AY30" s="43"/>
    </row>
    <row r="31" spans="1:51" ht="135" x14ac:dyDescent="0.25">
      <c r="A31" s="367">
        <v>17530</v>
      </c>
      <c r="B31" s="233" t="str">
        <f>VLOOKUP(Table9[[#This Row],[Document ID]],Table1[],2,FALSE)</f>
        <v>BLZ</v>
      </c>
      <c r="C31" s="233" t="str">
        <f>VLOOKUP(Table9[[#This Row],[Document ID]],Table1[],3,FALSE)</f>
        <v>Belize</v>
      </c>
      <c r="D31" s="252" t="str">
        <f>VLOOKUP(Table9[[#This Row],[Document ID]],Table1[],5,FALSE)</f>
        <v>NDC</v>
      </c>
      <c r="E31" s="233" t="str">
        <f>VLOOKUP(Table9[[#This Row],[Document ID]],Table1[],7,FALSE)</f>
        <v>First NDC</v>
      </c>
      <c r="F31" s="252" t="str">
        <f>VLOOKUP(Table9[[#This Row],[Document ID]],Table1[],8,FALSE)</f>
        <v>NDC 1.0</v>
      </c>
      <c r="G31" s="252" t="str">
        <f>VLOOKUP(Table9[[#This Row],[Document ID]],Table1[],10,FALSE)</f>
        <v>Archived</v>
      </c>
      <c r="H31" s="43" t="s">
        <v>5072</v>
      </c>
      <c r="I31" s="43" t="s">
        <v>5073</v>
      </c>
      <c r="J31" s="209" t="s">
        <v>5103</v>
      </c>
      <c r="K31" s="257" t="s">
        <v>5081</v>
      </c>
      <c r="L31" s="329"/>
      <c r="M31" s="329"/>
      <c r="N31" s="329"/>
      <c r="O31" s="329"/>
      <c r="P31" s="329"/>
      <c r="Q31" s="329" t="s">
        <v>1113</v>
      </c>
      <c r="R31" s="329"/>
      <c r="S31" s="329"/>
      <c r="T31" s="329"/>
      <c r="U31" s="329"/>
      <c r="V31" s="329"/>
      <c r="W31" s="329"/>
      <c r="X31" s="329"/>
      <c r="Y31" s="329"/>
      <c r="Z31" s="329"/>
      <c r="AA31" s="329"/>
      <c r="AB31" s="329" t="s">
        <v>1113</v>
      </c>
      <c r="AC31" s="329"/>
      <c r="AD31" s="329"/>
      <c r="AE31" s="329"/>
      <c r="AF31" s="329"/>
      <c r="AG31" s="329"/>
      <c r="AH31" s="329"/>
      <c r="AI31" s="326"/>
      <c r="AJ31" s="326" t="s">
        <v>1113</v>
      </c>
      <c r="AK31" s="326"/>
      <c r="AL31" s="326"/>
      <c r="AM31" s="209" t="s">
        <v>5075</v>
      </c>
      <c r="AN31" s="233" t="str">
        <f>VLOOKUP(Table9[[#This Row],[Measure]],Table1025[[Value name]:[Value identifyer]],2,FALSE)</f>
        <v>R_System</v>
      </c>
      <c r="AO31" s="241" t="str">
        <f>VLOOKUP(Table9[[#This Row],[Country Code]],Table29[],3,FALSE)</f>
        <v>Non-Annex I</v>
      </c>
      <c r="AP31" s="241" t="str">
        <f>VLOOKUP(Table9[[#This Row],[Country Code]],Table29[],4,FALSE)</f>
        <v>Latin America and the Caribbean</v>
      </c>
      <c r="AQ31" s="241" t="str">
        <f>VLOOKUP(Table9[[#This Row],[Country Code]],Table29[],5,FALSE)</f>
        <v>Middle-income</v>
      </c>
      <c r="AR31" s="241" t="str">
        <f>VLOOKUP(Table9[[#This Row],[Country Code]],Table29[],6,FALSE)</f>
        <v>no</v>
      </c>
      <c r="AS31" s="241" t="str">
        <f>VLOOKUP(Table9[[#This Row],[Country Code]],Table29[],7,FALSE)</f>
        <v>no</v>
      </c>
      <c r="AT31" s="241" t="str">
        <f>VLOOKUP(Table9[[#This Row],[Country Code]],Table29[],8,FALSE)</f>
        <v>non-OECD</v>
      </c>
      <c r="AU31" s="233" t="str">
        <f>VLOOKUP(Table9[[#This Row],[Country Code]],Table29[],9,FALSE)</f>
        <v>no</v>
      </c>
      <c r="AV31" s="233" t="str">
        <f>VLOOKUP(Table9[[#This Row],[Country Code]],Table29[],10,FALSE)</f>
        <v>no</v>
      </c>
      <c r="AW31" s="233">
        <f>VLOOKUP(Table9[[#This Row],[Country Code]],Table29[],23,FALSE)</f>
        <v>0.92034733748830999</v>
      </c>
      <c r="AX31" s="233">
        <f>VLOOKUP(Table9[[#This Row],[Country Code]],Table29[],24,FALSE)</f>
        <v>9.6336672952528554E-2</v>
      </c>
      <c r="AY31" s="43"/>
    </row>
    <row r="32" spans="1:51" ht="135" x14ac:dyDescent="0.25">
      <c r="A32" s="367">
        <v>17530</v>
      </c>
      <c r="B32" s="233" t="str">
        <f>VLOOKUP(Table9[[#This Row],[Document ID]],Table1[],2,FALSE)</f>
        <v>BLZ</v>
      </c>
      <c r="C32" s="233" t="str">
        <f>VLOOKUP(Table9[[#This Row],[Document ID]],Table1[],3,FALSE)</f>
        <v>Belize</v>
      </c>
      <c r="D32" s="252" t="str">
        <f>VLOOKUP(Table9[[#This Row],[Document ID]],Table1[],5,FALSE)</f>
        <v>NDC</v>
      </c>
      <c r="E32" s="233" t="str">
        <f>VLOOKUP(Table9[[#This Row],[Document ID]],Table1[],7,FALSE)</f>
        <v>First NDC</v>
      </c>
      <c r="F32" s="252" t="str">
        <f>VLOOKUP(Table9[[#This Row],[Document ID]],Table1[],8,FALSE)</f>
        <v>NDC 1.0</v>
      </c>
      <c r="G32" s="252" t="str">
        <f>VLOOKUP(Table9[[#This Row],[Document ID]],Table1[],10,FALSE)</f>
        <v>Archived</v>
      </c>
      <c r="H32" s="43" t="s">
        <v>5072</v>
      </c>
      <c r="I32" s="43" t="s">
        <v>5082</v>
      </c>
      <c r="J32" s="209" t="s">
        <v>5103</v>
      </c>
      <c r="K32" s="257" t="s">
        <v>5081</v>
      </c>
      <c r="L32" s="329"/>
      <c r="M32" s="329"/>
      <c r="N32" s="329"/>
      <c r="O32" s="329"/>
      <c r="P32" s="329"/>
      <c r="Q32" s="329" t="s">
        <v>1113</v>
      </c>
      <c r="R32" s="329"/>
      <c r="S32" s="329"/>
      <c r="T32" s="329"/>
      <c r="U32" s="329"/>
      <c r="V32" s="329"/>
      <c r="W32" s="329"/>
      <c r="X32" s="329"/>
      <c r="Y32" s="329"/>
      <c r="Z32" s="329"/>
      <c r="AA32" s="329"/>
      <c r="AB32" s="329" t="s">
        <v>1113</v>
      </c>
      <c r="AC32" s="329"/>
      <c r="AD32" s="329"/>
      <c r="AE32" s="329"/>
      <c r="AF32" s="329"/>
      <c r="AG32" s="329"/>
      <c r="AH32" s="329"/>
      <c r="AI32" s="326"/>
      <c r="AJ32" s="326" t="s">
        <v>1113</v>
      </c>
      <c r="AK32" s="326"/>
      <c r="AL32" s="326"/>
      <c r="AM32" s="209" t="s">
        <v>5075</v>
      </c>
      <c r="AN32" s="233" t="str">
        <f>VLOOKUP(Table9[[#This Row],[Measure]],Table1025[[Value name]:[Value identifyer]],2,FALSE)</f>
        <v>R_Risk</v>
      </c>
      <c r="AO32" s="241" t="str">
        <f>VLOOKUP(Table9[[#This Row],[Country Code]],Table29[],3,FALSE)</f>
        <v>Non-Annex I</v>
      </c>
      <c r="AP32" s="241" t="str">
        <f>VLOOKUP(Table9[[#This Row],[Country Code]],Table29[],4,FALSE)</f>
        <v>Latin America and the Caribbean</v>
      </c>
      <c r="AQ32" s="241" t="str">
        <f>VLOOKUP(Table9[[#This Row],[Country Code]],Table29[],5,FALSE)</f>
        <v>Middle-income</v>
      </c>
      <c r="AR32" s="241" t="str">
        <f>VLOOKUP(Table9[[#This Row],[Country Code]],Table29[],6,FALSE)</f>
        <v>no</v>
      </c>
      <c r="AS32" s="241" t="str">
        <f>VLOOKUP(Table9[[#This Row],[Country Code]],Table29[],7,FALSE)</f>
        <v>no</v>
      </c>
      <c r="AT32" s="241" t="str">
        <f>VLOOKUP(Table9[[#This Row],[Country Code]],Table29[],8,FALSE)</f>
        <v>non-OECD</v>
      </c>
      <c r="AU32" s="233" t="str">
        <f>VLOOKUP(Table9[[#This Row],[Country Code]],Table29[],9,FALSE)</f>
        <v>no</v>
      </c>
      <c r="AV32" s="233" t="str">
        <f>VLOOKUP(Table9[[#This Row],[Country Code]],Table29[],10,FALSE)</f>
        <v>no</v>
      </c>
      <c r="AW32" s="233">
        <f>VLOOKUP(Table9[[#This Row],[Country Code]],Table29[],23,FALSE)</f>
        <v>0.92034733748830999</v>
      </c>
      <c r="AX32" s="233">
        <f>VLOOKUP(Table9[[#This Row],[Country Code]],Table29[],24,FALSE)</f>
        <v>9.6336672952528554E-2</v>
      </c>
      <c r="AY32" s="43"/>
    </row>
    <row r="33" spans="1:51" ht="135" x14ac:dyDescent="0.25">
      <c r="A33" s="367">
        <v>17530</v>
      </c>
      <c r="B33" s="233" t="str">
        <f>VLOOKUP(Table9[[#This Row],[Document ID]],Table1[],2,FALSE)</f>
        <v>BLZ</v>
      </c>
      <c r="C33" s="233" t="str">
        <f>VLOOKUP(Table9[[#This Row],[Document ID]],Table1[],3,FALSE)</f>
        <v>Belize</v>
      </c>
      <c r="D33" s="252" t="str">
        <f>VLOOKUP(Table9[[#This Row],[Document ID]],Table1[],5,FALSE)</f>
        <v>NDC</v>
      </c>
      <c r="E33" s="233" t="str">
        <f>VLOOKUP(Table9[[#This Row],[Document ID]],Table1[],7,FALSE)</f>
        <v>First NDC</v>
      </c>
      <c r="F33" s="252" t="str">
        <f>VLOOKUP(Table9[[#This Row],[Document ID]],Table1[],8,FALSE)</f>
        <v>NDC 1.0</v>
      </c>
      <c r="G33" s="252" t="str">
        <f>VLOOKUP(Table9[[#This Row],[Document ID]],Table1[],10,FALSE)</f>
        <v>Archived</v>
      </c>
      <c r="H33" s="43" t="s">
        <v>5072</v>
      </c>
      <c r="I33" s="43" t="s">
        <v>5097</v>
      </c>
      <c r="J33" s="209" t="s">
        <v>5103</v>
      </c>
      <c r="K33" s="257" t="s">
        <v>5081</v>
      </c>
      <c r="L33" s="329"/>
      <c r="M33" s="329"/>
      <c r="N33" s="329"/>
      <c r="O33" s="329"/>
      <c r="P33" s="329"/>
      <c r="Q33" s="329" t="s">
        <v>1113</v>
      </c>
      <c r="R33" s="329"/>
      <c r="S33" s="329"/>
      <c r="T33" s="329"/>
      <c r="U33" s="329"/>
      <c r="V33" s="329"/>
      <c r="W33" s="329"/>
      <c r="X33" s="329"/>
      <c r="Y33" s="329"/>
      <c r="Z33" s="329"/>
      <c r="AA33" s="329"/>
      <c r="AB33" s="329" t="s">
        <v>1113</v>
      </c>
      <c r="AC33" s="329"/>
      <c r="AD33" s="329"/>
      <c r="AE33" s="329"/>
      <c r="AF33" s="329"/>
      <c r="AG33" s="329"/>
      <c r="AH33" s="329"/>
      <c r="AI33" s="326" t="s">
        <v>1113</v>
      </c>
      <c r="AJ33" s="326"/>
      <c r="AK33" s="326"/>
      <c r="AL33" s="326"/>
      <c r="AM33" s="209" t="s">
        <v>5075</v>
      </c>
      <c r="AN33" s="233" t="str">
        <f>VLOOKUP(Table9[[#This Row],[Measure]],Table1025[[Value name]:[Value identifyer]],2,FALSE)</f>
        <v>R_Tech</v>
      </c>
      <c r="AO33" s="241" t="str">
        <f>VLOOKUP(Table9[[#This Row],[Country Code]],Table29[],3,FALSE)</f>
        <v>Non-Annex I</v>
      </c>
      <c r="AP33" s="241" t="str">
        <f>VLOOKUP(Table9[[#This Row],[Country Code]],Table29[],4,FALSE)</f>
        <v>Latin America and the Caribbean</v>
      </c>
      <c r="AQ33" s="241" t="str">
        <f>VLOOKUP(Table9[[#This Row],[Country Code]],Table29[],5,FALSE)</f>
        <v>Middle-income</v>
      </c>
      <c r="AR33" s="241" t="str">
        <f>VLOOKUP(Table9[[#This Row],[Country Code]],Table29[],6,FALSE)</f>
        <v>no</v>
      </c>
      <c r="AS33" s="241" t="str">
        <f>VLOOKUP(Table9[[#This Row],[Country Code]],Table29[],7,FALSE)</f>
        <v>no</v>
      </c>
      <c r="AT33" s="241" t="str">
        <f>VLOOKUP(Table9[[#This Row],[Country Code]],Table29[],8,FALSE)</f>
        <v>non-OECD</v>
      </c>
      <c r="AU33" s="233" t="str">
        <f>VLOOKUP(Table9[[#This Row],[Country Code]],Table29[],9,FALSE)</f>
        <v>no</v>
      </c>
      <c r="AV33" s="233" t="str">
        <f>VLOOKUP(Table9[[#This Row],[Country Code]],Table29[],10,FALSE)</f>
        <v>no</v>
      </c>
      <c r="AW33" s="233">
        <f>VLOOKUP(Table9[[#This Row],[Country Code]],Table29[],23,FALSE)</f>
        <v>0.92034733748830999</v>
      </c>
      <c r="AX33" s="233">
        <f>VLOOKUP(Table9[[#This Row],[Country Code]],Table29[],24,FALSE)</f>
        <v>9.6336672952528554E-2</v>
      </c>
      <c r="AY33" s="43"/>
    </row>
    <row r="34" spans="1:51" ht="45" x14ac:dyDescent="0.25">
      <c r="A34" s="367">
        <v>21711</v>
      </c>
      <c r="B34" s="233" t="str">
        <f>VLOOKUP(Table9[[#This Row],[Document ID]],Table1[],2,FALSE)</f>
        <v>BLZ</v>
      </c>
      <c r="C34" s="233" t="str">
        <f>VLOOKUP(Table9[[#This Row],[Document ID]],Table1[],3,FALSE)</f>
        <v>Belize</v>
      </c>
      <c r="D34" s="254" t="str">
        <f>VLOOKUP(Table9[[#This Row],[Document ID]],Table1[],5,FALSE)</f>
        <v>NDC</v>
      </c>
      <c r="E34" s="233" t="str">
        <f>VLOOKUP(Table9[[#This Row],[Document ID]],Table1[],7,FALSE)</f>
        <v>First NDC updated</v>
      </c>
      <c r="F34" s="241" t="str">
        <f>VLOOKUP(Table9[[#This Row],[Document ID]],Table1[],8,FALSE)</f>
        <v>NDC 1.1</v>
      </c>
      <c r="G34" s="241" t="str">
        <f>VLOOKUP(Table9[[#This Row],[Document ID]],Table1[],10,FALSE)</f>
        <v>Active</v>
      </c>
      <c r="H34" s="42" t="s">
        <v>5076</v>
      </c>
      <c r="I34" s="43" t="s">
        <v>5077</v>
      </c>
      <c r="J34" s="209" t="s">
        <v>5104</v>
      </c>
      <c r="K34" s="259">
        <v>30</v>
      </c>
      <c r="L34" s="219" t="s">
        <v>1113</v>
      </c>
      <c r="M34" s="219"/>
      <c r="N34" s="113"/>
      <c r="O34" s="113"/>
      <c r="P34" s="113"/>
      <c r="Q34" s="113"/>
      <c r="R34" s="113"/>
      <c r="S34" s="113"/>
      <c r="T34" s="113"/>
      <c r="U34" s="113"/>
      <c r="V34" s="113"/>
      <c r="W34" s="113"/>
      <c r="X34" s="113"/>
      <c r="Y34" s="113"/>
      <c r="Z34" s="113"/>
      <c r="AA34" s="113"/>
      <c r="AB34" s="113"/>
      <c r="AC34" s="113"/>
      <c r="AD34" s="113"/>
      <c r="AE34" s="113"/>
      <c r="AF34" s="113"/>
      <c r="AG34" s="113"/>
      <c r="AH34" s="113"/>
      <c r="AI34" s="219" t="s">
        <v>1113</v>
      </c>
      <c r="AJ34" s="326"/>
      <c r="AK34" s="326"/>
      <c r="AL34" s="326"/>
      <c r="AM34" s="327" t="s">
        <v>5075</v>
      </c>
      <c r="AN34" s="233" t="str">
        <f>VLOOKUP(Table9[[#This Row],[Measure]],Table1025[[Value name]:[Value identifyer]],2,FALSE)</f>
        <v>R_Planning</v>
      </c>
      <c r="AO34" s="241" t="str">
        <f>VLOOKUP(Table9[[#This Row],[Country Code]],Table29[],3,FALSE)</f>
        <v>Non-Annex I</v>
      </c>
      <c r="AP34" s="241" t="str">
        <f>VLOOKUP(Table9[[#This Row],[Country Code]],Table29[],4,FALSE)</f>
        <v>Latin America and the Caribbean</v>
      </c>
      <c r="AQ34" s="241" t="str">
        <f>VLOOKUP(Table9[[#This Row],[Country Code]],Table29[],5,FALSE)</f>
        <v>Middle-income</v>
      </c>
      <c r="AR34" s="241" t="str">
        <f>VLOOKUP(Table9[[#This Row],[Country Code]],Table29[],6,FALSE)</f>
        <v>no</v>
      </c>
      <c r="AS34" s="241" t="str">
        <f>VLOOKUP(Table9[[#This Row],[Country Code]],Table29[],7,FALSE)</f>
        <v>no</v>
      </c>
      <c r="AT34" s="241" t="str">
        <f>VLOOKUP(Table9[[#This Row],[Country Code]],Table29[],8,FALSE)</f>
        <v>non-OECD</v>
      </c>
      <c r="AU34" s="233" t="str">
        <f>VLOOKUP(Table9[[#This Row],[Country Code]],Table29[],9,FALSE)</f>
        <v>no</v>
      </c>
      <c r="AV34" s="233" t="str">
        <f>VLOOKUP(Table9[[#This Row],[Country Code]],Table29[],10,FALSE)</f>
        <v>no</v>
      </c>
      <c r="AW34" s="233">
        <f>VLOOKUP(Table9[[#This Row],[Country Code]],Table29[],23,FALSE)</f>
        <v>0.92034733748830999</v>
      </c>
      <c r="AX34" s="233">
        <f>VLOOKUP(Table9[[#This Row],[Country Code]],Table29[],24,FALSE)</f>
        <v>9.6336672952528554E-2</v>
      </c>
      <c r="AY34" s="43"/>
    </row>
    <row r="35" spans="1:51" x14ac:dyDescent="0.25">
      <c r="A35" s="367">
        <v>17531</v>
      </c>
      <c r="B35" s="233" t="str">
        <f>VLOOKUP(Table9[[#This Row],[Document ID]],Table1[],2,FALSE)</f>
        <v>BEN</v>
      </c>
      <c r="C35" s="233" t="str">
        <f>VLOOKUP(Table9[[#This Row],[Document ID]],Table1[],3,FALSE)</f>
        <v>Benin</v>
      </c>
      <c r="D35" s="252" t="str">
        <f>VLOOKUP(Table9[[#This Row],[Document ID]],Table1[],5,FALSE)</f>
        <v>NDC</v>
      </c>
      <c r="E35" s="233" t="str">
        <f>VLOOKUP(Table9[[#This Row],[Document ID]],Table1[],7,FALSE)</f>
        <v>First NDC</v>
      </c>
      <c r="F35" s="252" t="str">
        <f>VLOOKUP(Table9[[#This Row],[Document ID]],Table1[],8,FALSE)</f>
        <v>NDC 1.0</v>
      </c>
      <c r="G35" s="252" t="str">
        <f>VLOOKUP(Table9[[#This Row],[Document ID]],Table1[],10,FALSE)</f>
        <v>Archived</v>
      </c>
      <c r="H35" s="42" t="s">
        <v>5076</v>
      </c>
      <c r="I35" s="43" t="s">
        <v>5079</v>
      </c>
      <c r="J35" s="209" t="s">
        <v>5105</v>
      </c>
      <c r="K35" s="257" t="s">
        <v>5081</v>
      </c>
      <c r="L35" s="326"/>
      <c r="M35" s="326"/>
      <c r="N35" s="326"/>
      <c r="O35" s="326"/>
      <c r="P35" s="326"/>
      <c r="Q35" s="326"/>
      <c r="R35" s="326"/>
      <c r="S35" s="326"/>
      <c r="T35" s="326"/>
      <c r="U35" s="326"/>
      <c r="V35" s="326"/>
      <c r="W35" s="326"/>
      <c r="X35" s="326"/>
      <c r="Y35" s="326"/>
      <c r="Z35" s="326"/>
      <c r="AA35" s="326"/>
      <c r="AB35" s="326" t="s">
        <v>1113</v>
      </c>
      <c r="AC35" s="326"/>
      <c r="AD35" s="326"/>
      <c r="AE35" s="326"/>
      <c r="AF35" s="326"/>
      <c r="AG35" s="326"/>
      <c r="AH35" s="326"/>
      <c r="AI35" s="326" t="s">
        <v>1113</v>
      </c>
      <c r="AJ35" s="326"/>
      <c r="AK35" s="326"/>
      <c r="AL35" s="326"/>
      <c r="AM35" s="209" t="s">
        <v>5075</v>
      </c>
      <c r="AN35" s="233" t="str">
        <f>VLOOKUP(Table9[[#This Row],[Measure]],Table1025[[Value name]:[Value identifyer]],2,FALSE)</f>
        <v>R_Laws</v>
      </c>
      <c r="AO35" s="241" t="str">
        <f>VLOOKUP(Table9[[#This Row],[Country Code]],Table29[],3,FALSE)</f>
        <v>Non-Annex I</v>
      </c>
      <c r="AP35" s="241" t="str">
        <f>VLOOKUP(Table9[[#This Row],[Country Code]],Table29[],4,FALSE)</f>
        <v>Africa</v>
      </c>
      <c r="AQ35" s="241" t="str">
        <f>VLOOKUP(Table9[[#This Row],[Country Code]],Table29[],5,FALSE)</f>
        <v>Middle-income</v>
      </c>
      <c r="AR35" s="241" t="str">
        <f>VLOOKUP(Table9[[#This Row],[Country Code]],Table29[],6,FALSE)</f>
        <v>no</v>
      </c>
      <c r="AS35" s="241" t="str">
        <f>VLOOKUP(Table9[[#This Row],[Country Code]],Table29[],7,FALSE)</f>
        <v>no</v>
      </c>
      <c r="AT35" s="241" t="str">
        <f>VLOOKUP(Table9[[#This Row],[Country Code]],Table29[],8,FALSE)</f>
        <v>non-OECD</v>
      </c>
      <c r="AU35" s="233" t="str">
        <f>VLOOKUP(Table9[[#This Row],[Country Code]],Table29[],9,FALSE)</f>
        <v>no</v>
      </c>
      <c r="AV35" s="233" t="str">
        <f>VLOOKUP(Table9[[#This Row],[Country Code]],Table29[],10,FALSE)</f>
        <v>no</v>
      </c>
      <c r="AW35" s="233">
        <f>VLOOKUP(Table9[[#This Row],[Country Code]],Table29[],23,FALSE)</f>
        <v>16.699491601106999</v>
      </c>
      <c r="AX35" s="233">
        <f>VLOOKUP(Table9[[#This Row],[Country Code]],Table29[],24,FALSE)</f>
        <v>4.358789566933627</v>
      </c>
      <c r="AY35" s="43"/>
    </row>
    <row r="36" spans="1:51" ht="30" x14ac:dyDescent="0.25">
      <c r="A36" s="367">
        <v>17533</v>
      </c>
      <c r="B36" s="233" t="str">
        <f>VLOOKUP(Table9[[#This Row],[Document ID]],Table1[],2,FALSE)</f>
        <v>BTN</v>
      </c>
      <c r="C36" s="233" t="str">
        <f>VLOOKUP(Table9[[#This Row],[Document ID]],Table1[],3,FALSE)</f>
        <v>Bhutan</v>
      </c>
      <c r="D36" s="252" t="str">
        <f>VLOOKUP(Table9[[#This Row],[Document ID]],Table1[],5,FALSE)</f>
        <v>NDC</v>
      </c>
      <c r="E36" s="233" t="str">
        <f>VLOOKUP(Table9[[#This Row],[Document ID]],Table1[],7,FALSE)</f>
        <v>First NDC</v>
      </c>
      <c r="F36" s="252" t="str">
        <f>VLOOKUP(Table9[[#This Row],[Document ID]],Table1[],8,FALSE)</f>
        <v>NDC 1.0</v>
      </c>
      <c r="G36" s="252" t="str">
        <f>VLOOKUP(Table9[[#This Row],[Document ID]],Table1[],10,FALSE)</f>
        <v>Archived</v>
      </c>
      <c r="H36" s="43" t="s">
        <v>5072</v>
      </c>
      <c r="I36" s="43" t="s">
        <v>5073</v>
      </c>
      <c r="J36" s="209" t="s">
        <v>5106</v>
      </c>
      <c r="K36" s="257" t="s">
        <v>5081</v>
      </c>
      <c r="L36" s="329"/>
      <c r="M36" s="329"/>
      <c r="N36" s="329"/>
      <c r="O36" s="329"/>
      <c r="P36" s="329"/>
      <c r="Q36" s="329" t="s">
        <v>1113</v>
      </c>
      <c r="R36" s="329"/>
      <c r="S36" s="329"/>
      <c r="T36" s="329"/>
      <c r="U36" s="329"/>
      <c r="V36" s="329"/>
      <c r="W36" s="329"/>
      <c r="X36" s="329"/>
      <c r="Y36" s="329"/>
      <c r="Z36" s="329"/>
      <c r="AA36" s="329"/>
      <c r="AB36" s="329"/>
      <c r="AC36" s="329"/>
      <c r="AD36" s="329"/>
      <c r="AE36" s="329"/>
      <c r="AF36" s="329"/>
      <c r="AG36" s="329"/>
      <c r="AH36" s="329"/>
      <c r="AI36" s="326" t="s">
        <v>1113</v>
      </c>
      <c r="AJ36" s="326"/>
      <c r="AK36" s="326"/>
      <c r="AL36" s="326"/>
      <c r="AM36" s="209" t="s">
        <v>5075</v>
      </c>
      <c r="AN36" s="233" t="str">
        <f>VLOOKUP(Table9[[#This Row],[Measure]],Table1025[[Value name]:[Value identifyer]],2,FALSE)</f>
        <v>R_System</v>
      </c>
      <c r="AO36" s="241" t="str">
        <f>VLOOKUP(Table9[[#This Row],[Country Code]],Table29[],3,FALSE)</f>
        <v>Non-Annex I</v>
      </c>
      <c r="AP36" s="241" t="str">
        <f>VLOOKUP(Table9[[#This Row],[Country Code]],Table29[],4,FALSE)</f>
        <v>Asia</v>
      </c>
      <c r="AQ36" s="241" t="str">
        <f>VLOOKUP(Table9[[#This Row],[Country Code]],Table29[],5,FALSE)</f>
        <v>Middle-income</v>
      </c>
      <c r="AR36" s="241" t="str">
        <f>VLOOKUP(Table9[[#This Row],[Country Code]],Table29[],6,FALSE)</f>
        <v>no</v>
      </c>
      <c r="AS36" s="241" t="str">
        <f>VLOOKUP(Table9[[#This Row],[Country Code]],Table29[],7,FALSE)</f>
        <v>no</v>
      </c>
      <c r="AT36" s="241" t="str">
        <f>VLOOKUP(Table9[[#This Row],[Country Code]],Table29[],8,FALSE)</f>
        <v>non-OECD</v>
      </c>
      <c r="AU36" s="233" t="str">
        <f>VLOOKUP(Table9[[#This Row],[Country Code]],Table29[],9,FALSE)</f>
        <v>no</v>
      </c>
      <c r="AV36" s="233" t="str">
        <f>VLOOKUP(Table9[[#This Row],[Country Code]],Table29[],10,FALSE)</f>
        <v>no</v>
      </c>
      <c r="AW36" s="233">
        <f>VLOOKUP(Table9[[#This Row],[Country Code]],Table29[],23,FALSE)</f>
        <v>3.2548573740653</v>
      </c>
      <c r="AX36" s="233">
        <f>VLOOKUP(Table9[[#This Row],[Country Code]],Table29[],24,FALSE)</f>
        <v>0.43507987337923443</v>
      </c>
      <c r="AY36" s="43"/>
    </row>
    <row r="37" spans="1:51" ht="30" x14ac:dyDescent="0.25">
      <c r="A37" s="367">
        <v>39440</v>
      </c>
      <c r="B37" s="233" t="str">
        <f>VLOOKUP(Table9[[#This Row],[Document ID]],Table1[],2,FALSE)</f>
        <v>BTN</v>
      </c>
      <c r="C37" s="233" t="str">
        <f>VLOOKUP(Table9[[#This Row],[Document ID]],Table1[],3,FALSE)</f>
        <v>Bhutan</v>
      </c>
      <c r="D37" s="252" t="str">
        <f>VLOOKUP(Table9[[#This Row],[Document ID]],Table1[],5,FALSE)</f>
        <v>LTS</v>
      </c>
      <c r="E37" s="233" t="str">
        <f>VLOOKUP(Table9[[#This Row],[Document ID]],Table1[],7,FALSE)</f>
        <v>LTS</v>
      </c>
      <c r="F37" s="241" t="str">
        <f>VLOOKUP(Table9[[#This Row],[Document ID]],Table1[],8,FALSE)</f>
        <v>LTS 1.0</v>
      </c>
      <c r="G37" s="241" t="str">
        <f>VLOOKUP(Table9[[#This Row],[Document ID]],Table1[],10,FALSE)</f>
        <v>Active</v>
      </c>
      <c r="H37" s="44" t="s">
        <v>5086</v>
      </c>
      <c r="I37" s="43" t="s">
        <v>5087</v>
      </c>
      <c r="J37" s="209" t="s">
        <v>5107</v>
      </c>
      <c r="K37" s="259">
        <v>138</v>
      </c>
      <c r="L37" s="219" t="s">
        <v>1113</v>
      </c>
      <c r="M37" s="219"/>
      <c r="N37" s="113"/>
      <c r="O37" s="113"/>
      <c r="P37" s="113"/>
      <c r="Q37" s="113"/>
      <c r="R37" s="113"/>
      <c r="S37" s="113"/>
      <c r="T37" s="113"/>
      <c r="U37" s="113"/>
      <c r="V37" s="113"/>
      <c r="W37" s="113"/>
      <c r="X37" s="113"/>
      <c r="Y37" s="113"/>
      <c r="Z37" s="113"/>
      <c r="AA37" s="113"/>
      <c r="AB37" s="113"/>
      <c r="AC37" s="113"/>
      <c r="AD37" s="113"/>
      <c r="AE37" s="113"/>
      <c r="AF37" s="113"/>
      <c r="AG37" s="113"/>
      <c r="AH37" s="113"/>
      <c r="AI37" s="219" t="s">
        <v>1113</v>
      </c>
      <c r="AJ37" s="326"/>
      <c r="AK37" s="326"/>
      <c r="AL37" s="326"/>
      <c r="AM37" s="43" t="s">
        <v>5075</v>
      </c>
      <c r="AN37" s="233" t="str">
        <f>VLOOKUP(Table9[[#This Row],[Measure]],Table1025[[Value name]:[Value identifyer]],2,FALSE)</f>
        <v>R_Education</v>
      </c>
      <c r="AO37" s="241" t="str">
        <f>VLOOKUP(Table9[[#This Row],[Country Code]],Table29[],3,FALSE)</f>
        <v>Non-Annex I</v>
      </c>
      <c r="AP37" s="241" t="str">
        <f>VLOOKUP(Table9[[#This Row],[Country Code]],Table29[],4,FALSE)</f>
        <v>Asia</v>
      </c>
      <c r="AQ37" s="241" t="str">
        <f>VLOOKUP(Table9[[#This Row],[Country Code]],Table29[],5,FALSE)</f>
        <v>Middle-income</v>
      </c>
      <c r="AR37" s="241" t="str">
        <f>VLOOKUP(Table9[[#This Row],[Country Code]],Table29[],6,FALSE)</f>
        <v>no</v>
      </c>
      <c r="AS37" s="241" t="str">
        <f>VLOOKUP(Table9[[#This Row],[Country Code]],Table29[],7,FALSE)</f>
        <v>no</v>
      </c>
      <c r="AT37" s="241" t="str">
        <f>VLOOKUP(Table9[[#This Row],[Country Code]],Table29[],8,FALSE)</f>
        <v>non-OECD</v>
      </c>
      <c r="AU37" s="233" t="str">
        <f>VLOOKUP(Table9[[#This Row],[Country Code]],Table29[],9,FALSE)</f>
        <v>no</v>
      </c>
      <c r="AV37" s="233" t="str">
        <f>VLOOKUP(Table9[[#This Row],[Country Code]],Table29[],10,FALSE)</f>
        <v>no</v>
      </c>
      <c r="AW37" s="233">
        <f>VLOOKUP(Table9[[#This Row],[Country Code]],Table29[],23,FALSE)</f>
        <v>3.2548573740653</v>
      </c>
      <c r="AX37" s="233">
        <f>VLOOKUP(Table9[[#This Row],[Country Code]],Table29[],24,FALSE)</f>
        <v>0.43507987337923443</v>
      </c>
      <c r="AY37" s="43"/>
    </row>
    <row r="38" spans="1:51" x14ac:dyDescent="0.25">
      <c r="A38" s="367">
        <v>39440</v>
      </c>
      <c r="B38" s="233" t="str">
        <f>VLOOKUP(Table9[[#This Row],[Document ID]],Table1[],2,FALSE)</f>
        <v>BTN</v>
      </c>
      <c r="C38" s="233" t="str">
        <f>VLOOKUP(Table9[[#This Row],[Document ID]],Table1[],3,FALSE)</f>
        <v>Bhutan</v>
      </c>
      <c r="D38" s="252" t="str">
        <f>VLOOKUP(Table9[[#This Row],[Document ID]],Table1[],5,FALSE)</f>
        <v>LTS</v>
      </c>
      <c r="E38" s="233" t="str">
        <f>VLOOKUP(Table9[[#This Row],[Document ID]],Table1[],7,FALSE)</f>
        <v>LTS</v>
      </c>
      <c r="F38" s="241" t="str">
        <f>VLOOKUP(Table9[[#This Row],[Document ID]],Table1[],8,FALSE)</f>
        <v>LTS 1.0</v>
      </c>
      <c r="G38" s="241" t="str">
        <f>VLOOKUP(Table9[[#This Row],[Document ID]],Table1[],10,FALSE)</f>
        <v>Active</v>
      </c>
      <c r="H38" s="42" t="s">
        <v>5076</v>
      </c>
      <c r="I38" s="43" t="s">
        <v>5089</v>
      </c>
      <c r="J38" s="209" t="s">
        <v>5108</v>
      </c>
      <c r="K38" s="259">
        <v>138</v>
      </c>
      <c r="L38" s="219" t="s">
        <v>1113</v>
      </c>
      <c r="M38" s="219"/>
      <c r="N38" s="113"/>
      <c r="O38" s="113"/>
      <c r="P38" s="113"/>
      <c r="Q38" s="113"/>
      <c r="R38" s="113"/>
      <c r="S38" s="113"/>
      <c r="T38" s="113"/>
      <c r="U38" s="113"/>
      <c r="V38" s="113"/>
      <c r="W38" s="113"/>
      <c r="X38" s="113"/>
      <c r="Y38" s="113"/>
      <c r="Z38" s="113"/>
      <c r="AA38" s="113"/>
      <c r="AB38" s="113"/>
      <c r="AC38" s="113"/>
      <c r="AD38" s="113"/>
      <c r="AE38" s="113"/>
      <c r="AF38" s="113"/>
      <c r="AG38" s="113"/>
      <c r="AH38" s="113"/>
      <c r="AI38" s="219" t="s">
        <v>1113</v>
      </c>
      <c r="AJ38" s="326"/>
      <c r="AK38" s="326"/>
      <c r="AL38" s="326"/>
      <c r="AM38" s="43" t="s">
        <v>5075</v>
      </c>
      <c r="AN38" s="233" t="str">
        <f>VLOOKUP(Table9[[#This Row],[Measure]],Table1025[[Value name]:[Value identifyer]],2,FALSE)</f>
        <v>R_Design</v>
      </c>
      <c r="AO38" s="241" t="str">
        <f>VLOOKUP(Table9[[#This Row],[Country Code]],Table29[],3,FALSE)</f>
        <v>Non-Annex I</v>
      </c>
      <c r="AP38" s="241" t="str">
        <f>VLOOKUP(Table9[[#This Row],[Country Code]],Table29[],4,FALSE)</f>
        <v>Asia</v>
      </c>
      <c r="AQ38" s="241" t="str">
        <f>VLOOKUP(Table9[[#This Row],[Country Code]],Table29[],5,FALSE)</f>
        <v>Middle-income</v>
      </c>
      <c r="AR38" s="241" t="str">
        <f>VLOOKUP(Table9[[#This Row],[Country Code]],Table29[],6,FALSE)</f>
        <v>no</v>
      </c>
      <c r="AS38" s="241" t="str">
        <f>VLOOKUP(Table9[[#This Row],[Country Code]],Table29[],7,FALSE)</f>
        <v>no</v>
      </c>
      <c r="AT38" s="241" t="str">
        <f>VLOOKUP(Table9[[#This Row],[Country Code]],Table29[],8,FALSE)</f>
        <v>non-OECD</v>
      </c>
      <c r="AU38" s="233" t="str">
        <f>VLOOKUP(Table9[[#This Row],[Country Code]],Table29[],9,FALSE)</f>
        <v>no</v>
      </c>
      <c r="AV38" s="233" t="str">
        <f>VLOOKUP(Table9[[#This Row],[Country Code]],Table29[],10,FALSE)</f>
        <v>no</v>
      </c>
      <c r="AW38" s="233">
        <f>VLOOKUP(Table9[[#This Row],[Country Code]],Table29[],23,FALSE)</f>
        <v>3.2548573740653</v>
      </c>
      <c r="AX38" s="233">
        <f>VLOOKUP(Table9[[#This Row],[Country Code]],Table29[],24,FALSE)</f>
        <v>0.43507987337923443</v>
      </c>
      <c r="AY38" s="43"/>
    </row>
    <row r="39" spans="1:51" x14ac:dyDescent="0.25">
      <c r="A39" s="367">
        <v>39440</v>
      </c>
      <c r="B39" s="233" t="str">
        <f>VLOOKUP(Table9[[#This Row],[Document ID]],Table1[],2,FALSE)</f>
        <v>BTN</v>
      </c>
      <c r="C39" s="233" t="str">
        <f>VLOOKUP(Table9[[#This Row],[Document ID]],Table1[],3,FALSE)</f>
        <v>Bhutan</v>
      </c>
      <c r="D39" s="252" t="str">
        <f>VLOOKUP(Table9[[#This Row],[Document ID]],Table1[],5,FALSE)</f>
        <v>LTS</v>
      </c>
      <c r="E39" s="233" t="str">
        <f>VLOOKUP(Table9[[#This Row],[Document ID]],Table1[],7,FALSE)</f>
        <v>LTS</v>
      </c>
      <c r="F39" s="241" t="str">
        <f>VLOOKUP(Table9[[#This Row],[Document ID]],Table1[],8,FALSE)</f>
        <v>LTS 1.0</v>
      </c>
      <c r="G39" s="241" t="str">
        <f>VLOOKUP(Table9[[#This Row],[Document ID]],Table1[],10,FALSE)</f>
        <v>Active</v>
      </c>
      <c r="H39" s="43" t="s">
        <v>5072</v>
      </c>
      <c r="I39" s="43" t="s">
        <v>5073</v>
      </c>
      <c r="J39" s="209" t="s">
        <v>5108</v>
      </c>
      <c r="K39" s="259">
        <v>138</v>
      </c>
      <c r="L39" s="219" t="s">
        <v>1113</v>
      </c>
      <c r="M39" s="219"/>
      <c r="N39" s="113"/>
      <c r="O39" s="113"/>
      <c r="P39" s="113"/>
      <c r="Q39" s="113"/>
      <c r="R39" s="113"/>
      <c r="S39" s="113"/>
      <c r="T39" s="113"/>
      <c r="U39" s="113"/>
      <c r="V39" s="113"/>
      <c r="W39" s="113"/>
      <c r="X39" s="113"/>
      <c r="Y39" s="113"/>
      <c r="Z39" s="113"/>
      <c r="AA39" s="113"/>
      <c r="AB39" s="113"/>
      <c r="AC39" s="113"/>
      <c r="AD39" s="113"/>
      <c r="AE39" s="113"/>
      <c r="AF39" s="113"/>
      <c r="AG39" s="113"/>
      <c r="AH39" s="113"/>
      <c r="AI39" s="219" t="s">
        <v>1113</v>
      </c>
      <c r="AJ39" s="326"/>
      <c r="AK39" s="326"/>
      <c r="AL39" s="326"/>
      <c r="AM39" s="43" t="s">
        <v>5075</v>
      </c>
      <c r="AN39" s="233" t="str">
        <f>VLOOKUP(Table9[[#This Row],[Measure]],Table1025[[Value name]:[Value identifyer]],2,FALSE)</f>
        <v>R_System</v>
      </c>
      <c r="AO39" s="241" t="str">
        <f>VLOOKUP(Table9[[#This Row],[Country Code]],Table29[],3,FALSE)</f>
        <v>Non-Annex I</v>
      </c>
      <c r="AP39" s="241" t="str">
        <f>VLOOKUP(Table9[[#This Row],[Country Code]],Table29[],4,FALSE)</f>
        <v>Asia</v>
      </c>
      <c r="AQ39" s="241" t="str">
        <f>VLOOKUP(Table9[[#This Row],[Country Code]],Table29[],5,FALSE)</f>
        <v>Middle-income</v>
      </c>
      <c r="AR39" s="241" t="str">
        <f>VLOOKUP(Table9[[#This Row],[Country Code]],Table29[],6,FALSE)</f>
        <v>no</v>
      </c>
      <c r="AS39" s="241" t="str">
        <f>VLOOKUP(Table9[[#This Row],[Country Code]],Table29[],7,FALSE)</f>
        <v>no</v>
      </c>
      <c r="AT39" s="241" t="str">
        <f>VLOOKUP(Table9[[#This Row],[Country Code]],Table29[],8,FALSE)</f>
        <v>non-OECD</v>
      </c>
      <c r="AU39" s="233" t="str">
        <f>VLOOKUP(Table9[[#This Row],[Country Code]],Table29[],9,FALSE)</f>
        <v>no</v>
      </c>
      <c r="AV39" s="233" t="str">
        <f>VLOOKUP(Table9[[#This Row],[Country Code]],Table29[],10,FALSE)</f>
        <v>no</v>
      </c>
      <c r="AW39" s="233">
        <f>VLOOKUP(Table9[[#This Row],[Country Code]],Table29[],23,FALSE)</f>
        <v>3.2548573740653</v>
      </c>
      <c r="AX39" s="233">
        <f>VLOOKUP(Table9[[#This Row],[Country Code]],Table29[],24,FALSE)</f>
        <v>0.43507987337923443</v>
      </c>
      <c r="AY39" s="43"/>
    </row>
    <row r="40" spans="1:51" ht="30" x14ac:dyDescent="0.25">
      <c r="A40" s="360">
        <v>26772</v>
      </c>
      <c r="B40" s="233" t="str">
        <f>VLOOKUP(Table9[[#This Row],[Document ID]],Table1[],2,FALSE)</f>
        <v>BRA</v>
      </c>
      <c r="C40" s="233" t="str">
        <f>VLOOKUP(Table9[[#This Row],[Document ID]],Table1[],3,FALSE)</f>
        <v>Brazil</v>
      </c>
      <c r="D40" s="233" t="str">
        <f>VLOOKUP(Table9[[#This Row],[Document ID]],Table1[],5,FALSE)</f>
        <v>NDC</v>
      </c>
      <c r="E40" s="233" t="str">
        <f>VLOOKUP(Table9[[#This Row],[Document ID]],Table1[],7,FALSE)</f>
        <v>First NDC updated</v>
      </c>
      <c r="F40" s="233" t="str">
        <f>VLOOKUP(Table9[[#This Row],[Document ID]],Table1[],8,FALSE)</f>
        <v>NDC 1.2</v>
      </c>
      <c r="G40" s="233" t="str">
        <f>VLOOKUP(Table9[[#This Row],[Document ID]],Table1[],10,FALSE)</f>
        <v>Archived</v>
      </c>
      <c r="H40" s="43" t="s">
        <v>5072</v>
      </c>
      <c r="I40" s="43" t="s">
        <v>5073</v>
      </c>
      <c r="J40" s="44" t="s">
        <v>5109</v>
      </c>
      <c r="K40" s="221">
        <v>4</v>
      </c>
      <c r="L40" s="113" t="s">
        <v>1113</v>
      </c>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326" t="s">
        <v>1113</v>
      </c>
      <c r="AK40" s="326"/>
      <c r="AL40" s="326"/>
      <c r="AM40" s="42" t="s">
        <v>5075</v>
      </c>
      <c r="AN40" s="233" t="str">
        <f>VLOOKUP(Table9[[#This Row],[Measure]],Table1025[[Value name]:[Value identifyer]],2,FALSE)</f>
        <v>R_System</v>
      </c>
      <c r="AO40" s="241" t="str">
        <f>VLOOKUP(Table9[[#This Row],[Country Code]],Table29[],3,FALSE)</f>
        <v>Non-Annex I</v>
      </c>
      <c r="AP40" s="241" t="str">
        <f>VLOOKUP(Table9[[#This Row],[Country Code]],Table29[],4,FALSE)</f>
        <v>Latin America and the Caribbean</v>
      </c>
      <c r="AQ40" s="241" t="str">
        <f>VLOOKUP(Table9[[#This Row],[Country Code]],Table29[],5,FALSE)</f>
        <v>Middle-income</v>
      </c>
      <c r="AR40" s="241" t="str">
        <f>VLOOKUP(Table9[[#This Row],[Country Code]],Table29[],6,FALSE)</f>
        <v>G20</v>
      </c>
      <c r="AS40" s="241" t="str">
        <f>VLOOKUP(Table9[[#This Row],[Country Code]],Table29[],7,FALSE)</f>
        <v>no</v>
      </c>
      <c r="AT40" s="241" t="str">
        <f>VLOOKUP(Table9[[#This Row],[Country Code]],Table29[],8,FALSE)</f>
        <v>non-OECD</v>
      </c>
      <c r="AU40" s="233" t="str">
        <f>VLOOKUP(Table9[[#This Row],[Country Code]],Table29[],9,FALSE)</f>
        <v>no</v>
      </c>
      <c r="AV40" s="233" t="str">
        <f>VLOOKUP(Table9[[#This Row],[Country Code]],Table29[],10,FALSE)</f>
        <v>no</v>
      </c>
      <c r="AW40" s="233">
        <f>VLOOKUP(Table9[[#This Row],[Country Code]],Table29[],23,FALSE)</f>
        <v>1300.1688666752</v>
      </c>
      <c r="AX40" s="233">
        <f>VLOOKUP(Table9[[#This Row],[Country Code]],Table29[],24,FALSE)</f>
        <v>221.12609205884911</v>
      </c>
      <c r="AY40" s="43"/>
    </row>
    <row r="41" spans="1:51" x14ac:dyDescent="0.25">
      <c r="A41" s="367">
        <v>23369</v>
      </c>
      <c r="B41" s="233" t="str">
        <f>VLOOKUP(Table9[[#This Row],[Document ID]],Table1[],2,FALSE)</f>
        <v>BFA</v>
      </c>
      <c r="C41" s="233" t="str">
        <f>VLOOKUP(Table9[[#This Row],[Document ID]],Table1[],3,FALSE)</f>
        <v>Burkina Faso</v>
      </c>
      <c r="D41" s="254" t="str">
        <f>VLOOKUP(Table9[[#This Row],[Document ID]],Table1[],5,FALSE)</f>
        <v>NDC</v>
      </c>
      <c r="E41" s="233" t="str">
        <f>VLOOKUP(Table9[[#This Row],[Document ID]],Table1[],7,FALSE)</f>
        <v>First NDC updated</v>
      </c>
      <c r="F41" s="241" t="str">
        <f>VLOOKUP(Table9[[#This Row],[Document ID]],Table1[],8,FALSE)</f>
        <v>NDC 1.1</v>
      </c>
      <c r="G41" s="241" t="str">
        <f>VLOOKUP(Table9[[#This Row],[Document ID]],Table1[],10,FALSE)</f>
        <v>Active</v>
      </c>
      <c r="H41" s="43" t="s">
        <v>5072</v>
      </c>
      <c r="I41" s="43" t="s">
        <v>5073</v>
      </c>
      <c r="J41" s="209" t="s">
        <v>5110</v>
      </c>
      <c r="K41" s="259" t="s">
        <v>5111</v>
      </c>
      <c r="L41" s="219" t="s">
        <v>1113</v>
      </c>
      <c r="M41" s="219"/>
      <c r="N41" s="113"/>
      <c r="O41" s="113"/>
      <c r="P41" s="113"/>
      <c r="Q41" s="113"/>
      <c r="R41" s="113"/>
      <c r="S41" s="113"/>
      <c r="T41" s="113"/>
      <c r="U41" s="113"/>
      <c r="V41" s="113"/>
      <c r="W41" s="113"/>
      <c r="X41" s="113"/>
      <c r="Y41" s="113"/>
      <c r="Z41" s="113"/>
      <c r="AA41" s="113"/>
      <c r="AB41" s="113"/>
      <c r="AC41" s="113"/>
      <c r="AD41" s="113"/>
      <c r="AE41" s="113"/>
      <c r="AF41" s="113"/>
      <c r="AG41" s="113"/>
      <c r="AH41" s="113"/>
      <c r="AI41" s="219" t="s">
        <v>1113</v>
      </c>
      <c r="AJ41" s="326"/>
      <c r="AK41" s="326"/>
      <c r="AL41" s="326"/>
      <c r="AM41" s="327" t="s">
        <v>5075</v>
      </c>
      <c r="AN41" s="233" t="str">
        <f>VLOOKUP(Table9[[#This Row],[Measure]],Table1025[[Value name]:[Value identifyer]],2,FALSE)</f>
        <v>R_System</v>
      </c>
      <c r="AO41" s="241" t="str">
        <f>VLOOKUP(Table9[[#This Row],[Country Code]],Table29[],3,FALSE)</f>
        <v>Non-Annex I</v>
      </c>
      <c r="AP41" s="241" t="str">
        <f>VLOOKUP(Table9[[#This Row],[Country Code]],Table29[],4,FALSE)</f>
        <v>Africa</v>
      </c>
      <c r="AQ41" s="241" t="str">
        <f>VLOOKUP(Table9[[#This Row],[Country Code]],Table29[],5,FALSE)</f>
        <v>Low-income</v>
      </c>
      <c r="AR41" s="241" t="str">
        <f>VLOOKUP(Table9[[#This Row],[Country Code]],Table29[],6,FALSE)</f>
        <v>no</v>
      </c>
      <c r="AS41" s="241" t="str">
        <f>VLOOKUP(Table9[[#This Row],[Country Code]],Table29[],7,FALSE)</f>
        <v>no</v>
      </c>
      <c r="AT41" s="241" t="str">
        <f>VLOOKUP(Table9[[#This Row],[Country Code]],Table29[],8,FALSE)</f>
        <v>non-OECD</v>
      </c>
      <c r="AU41" s="233" t="str">
        <f>VLOOKUP(Table9[[#This Row],[Country Code]],Table29[],9,FALSE)</f>
        <v>no</v>
      </c>
      <c r="AV41" s="233" t="str">
        <f>VLOOKUP(Table9[[#This Row],[Country Code]],Table29[],10,FALSE)</f>
        <v>no</v>
      </c>
      <c r="AW41" s="233">
        <f>VLOOKUP(Table9[[#This Row],[Country Code]],Table29[],23,FALSE)</f>
        <v>34.456815083210998</v>
      </c>
      <c r="AX41" s="233">
        <f>VLOOKUP(Table9[[#This Row],[Country Code]],Table29[],24,FALSE)</f>
        <v>2.783932508886048</v>
      </c>
      <c r="AY41" s="43"/>
    </row>
    <row r="42" spans="1:51" ht="30" x14ac:dyDescent="0.25">
      <c r="A42" s="367">
        <v>23247</v>
      </c>
      <c r="B42" s="233" t="str">
        <f>VLOOKUP(Table9[[#This Row],[Document ID]],Table1[],2,FALSE)</f>
        <v>BDI</v>
      </c>
      <c r="C42" s="233" t="str">
        <f>VLOOKUP(Table9[[#This Row],[Document ID]],Table1[],3,FALSE)</f>
        <v>Burundi</v>
      </c>
      <c r="D42" s="254" t="str">
        <f>VLOOKUP(Table9[[#This Row],[Document ID]],Table1[],5,FALSE)</f>
        <v>NDC</v>
      </c>
      <c r="E42" s="233" t="str">
        <f>VLOOKUP(Table9[[#This Row],[Document ID]],Table1[],7,FALSE)</f>
        <v>First NDC updated</v>
      </c>
      <c r="F42" s="241" t="str">
        <f>VLOOKUP(Table9[[#This Row],[Document ID]],Table1[],8,FALSE)</f>
        <v>NDC 1.1</v>
      </c>
      <c r="G42" s="241" t="str">
        <f>VLOOKUP(Table9[[#This Row],[Document ID]],Table1[],10,FALSE)</f>
        <v>Active</v>
      </c>
      <c r="H42" s="43" t="s">
        <v>5072</v>
      </c>
      <c r="I42" s="43" t="s">
        <v>5073</v>
      </c>
      <c r="J42" s="209" t="s">
        <v>5112</v>
      </c>
      <c r="K42" s="259">
        <v>84</v>
      </c>
      <c r="L42" s="219"/>
      <c r="M42" s="219"/>
      <c r="N42" s="113" t="s">
        <v>1113</v>
      </c>
      <c r="O42" s="113"/>
      <c r="P42" s="113"/>
      <c r="Q42" s="113"/>
      <c r="R42" s="113"/>
      <c r="S42" s="113"/>
      <c r="T42" s="113"/>
      <c r="U42" s="113"/>
      <c r="V42" s="113"/>
      <c r="W42" s="113"/>
      <c r="X42" s="113"/>
      <c r="Y42" s="113"/>
      <c r="Z42" s="113"/>
      <c r="AA42" s="113"/>
      <c r="AB42" s="113"/>
      <c r="AC42" s="113"/>
      <c r="AD42" s="113"/>
      <c r="AE42" s="113"/>
      <c r="AF42" s="113"/>
      <c r="AG42" s="113"/>
      <c r="AH42" s="113"/>
      <c r="AI42" s="219" t="s">
        <v>1113</v>
      </c>
      <c r="AJ42" s="326"/>
      <c r="AK42" s="326"/>
      <c r="AL42" s="326"/>
      <c r="AM42" s="327" t="s">
        <v>5075</v>
      </c>
      <c r="AN42" s="233" t="str">
        <f>VLOOKUP(Table9[[#This Row],[Measure]],Table1025[[Value name]:[Value identifyer]],2,FALSE)</f>
        <v>R_System</v>
      </c>
      <c r="AO42" s="241" t="str">
        <f>VLOOKUP(Table9[[#This Row],[Country Code]],Table29[],3,FALSE)</f>
        <v>Non-Annex I</v>
      </c>
      <c r="AP42" s="241" t="str">
        <f>VLOOKUP(Table9[[#This Row],[Country Code]],Table29[],4,FALSE)</f>
        <v>Africa</v>
      </c>
      <c r="AQ42" s="241" t="str">
        <f>VLOOKUP(Table9[[#This Row],[Country Code]],Table29[],5,FALSE)</f>
        <v>Low-income</v>
      </c>
      <c r="AR42" s="241" t="str">
        <f>VLOOKUP(Table9[[#This Row],[Country Code]],Table29[],6,FALSE)</f>
        <v>no</v>
      </c>
      <c r="AS42" s="241" t="str">
        <f>VLOOKUP(Table9[[#This Row],[Country Code]],Table29[],7,FALSE)</f>
        <v>no</v>
      </c>
      <c r="AT42" s="241" t="str">
        <f>VLOOKUP(Table9[[#This Row],[Country Code]],Table29[],8,FALSE)</f>
        <v>non-OECD</v>
      </c>
      <c r="AU42" s="233" t="str">
        <f>VLOOKUP(Table9[[#This Row],[Country Code]],Table29[],9,FALSE)</f>
        <v>no</v>
      </c>
      <c r="AV42" s="233" t="str">
        <f>VLOOKUP(Table9[[#This Row],[Country Code]],Table29[],10,FALSE)</f>
        <v>no</v>
      </c>
      <c r="AW42" s="233">
        <f>VLOOKUP(Table9[[#This Row],[Country Code]],Table29[],23,FALSE)</f>
        <v>7.0491399156994001</v>
      </c>
      <c r="AX42" s="233">
        <f>VLOOKUP(Table9[[#This Row],[Country Code]],Table29[],24,FALSE)</f>
        <v>0.4150090900095818</v>
      </c>
      <c r="AY42" s="43"/>
    </row>
    <row r="43" spans="1:51" ht="45" x14ac:dyDescent="0.25">
      <c r="A43" s="367">
        <v>23247</v>
      </c>
      <c r="B43" s="233" t="str">
        <f>VLOOKUP(Table9[[#This Row],[Document ID]],Table1[],2,FALSE)</f>
        <v>BDI</v>
      </c>
      <c r="C43" s="233" t="str">
        <f>VLOOKUP(Table9[[#This Row],[Document ID]],Table1[],3,FALSE)</f>
        <v>Burundi</v>
      </c>
      <c r="D43" s="254" t="str">
        <f>VLOOKUP(Table9[[#This Row],[Document ID]],Table1[],5,FALSE)</f>
        <v>NDC</v>
      </c>
      <c r="E43" s="233" t="str">
        <f>VLOOKUP(Table9[[#This Row],[Document ID]],Table1[],7,FALSE)</f>
        <v>First NDC updated</v>
      </c>
      <c r="F43" s="241" t="str">
        <f>VLOOKUP(Table9[[#This Row],[Document ID]],Table1[],8,FALSE)</f>
        <v>NDC 1.1</v>
      </c>
      <c r="G43" s="241" t="str">
        <f>VLOOKUP(Table9[[#This Row],[Document ID]],Table1[],10,FALSE)</f>
        <v>Active</v>
      </c>
      <c r="H43" s="43" t="s">
        <v>5072</v>
      </c>
      <c r="I43" s="43" t="s">
        <v>5073</v>
      </c>
      <c r="J43" s="209" t="s">
        <v>5113</v>
      </c>
      <c r="K43" s="259">
        <v>87</v>
      </c>
      <c r="L43" s="219"/>
      <c r="M43" s="219"/>
      <c r="N43" s="113"/>
      <c r="O43" s="113"/>
      <c r="P43" s="113"/>
      <c r="Q43" s="113"/>
      <c r="R43" s="113"/>
      <c r="S43" s="113"/>
      <c r="T43" s="113"/>
      <c r="U43" s="113"/>
      <c r="V43" s="113"/>
      <c r="W43" s="113"/>
      <c r="X43" s="113"/>
      <c r="Y43" s="113"/>
      <c r="Z43" s="113"/>
      <c r="AA43" s="113"/>
      <c r="AB43" s="113"/>
      <c r="AC43" s="113"/>
      <c r="AD43" s="113" t="s">
        <v>1113</v>
      </c>
      <c r="AE43" s="113"/>
      <c r="AF43" s="113"/>
      <c r="AG43" s="113"/>
      <c r="AH43" s="113"/>
      <c r="AI43" s="219" t="s">
        <v>1113</v>
      </c>
      <c r="AJ43" s="326"/>
      <c r="AK43" s="326"/>
      <c r="AL43" s="326"/>
      <c r="AM43" s="327" t="s">
        <v>5075</v>
      </c>
      <c r="AN43" s="233" t="str">
        <f>VLOOKUP(Table9[[#This Row],[Measure]],Table1025[[Value name]:[Value identifyer]],2,FALSE)</f>
        <v>R_System</v>
      </c>
      <c r="AO43" s="241" t="str">
        <f>VLOOKUP(Table9[[#This Row],[Country Code]],Table29[],3,FALSE)</f>
        <v>Non-Annex I</v>
      </c>
      <c r="AP43" s="241" t="str">
        <f>VLOOKUP(Table9[[#This Row],[Country Code]],Table29[],4,FALSE)</f>
        <v>Africa</v>
      </c>
      <c r="AQ43" s="241" t="str">
        <f>VLOOKUP(Table9[[#This Row],[Country Code]],Table29[],5,FALSE)</f>
        <v>Low-income</v>
      </c>
      <c r="AR43" s="241" t="str">
        <f>VLOOKUP(Table9[[#This Row],[Country Code]],Table29[],6,FALSE)</f>
        <v>no</v>
      </c>
      <c r="AS43" s="241" t="str">
        <f>VLOOKUP(Table9[[#This Row],[Country Code]],Table29[],7,FALSE)</f>
        <v>no</v>
      </c>
      <c r="AT43" s="241" t="str">
        <f>VLOOKUP(Table9[[#This Row],[Country Code]],Table29[],8,FALSE)</f>
        <v>non-OECD</v>
      </c>
      <c r="AU43" s="233" t="str">
        <f>VLOOKUP(Table9[[#This Row],[Country Code]],Table29[],9,FALSE)</f>
        <v>no</v>
      </c>
      <c r="AV43" s="233" t="str">
        <f>VLOOKUP(Table9[[#This Row],[Country Code]],Table29[],10,FALSE)</f>
        <v>no</v>
      </c>
      <c r="AW43" s="233">
        <f>VLOOKUP(Table9[[#This Row],[Country Code]],Table29[],23,FALSE)</f>
        <v>7.0491399156994001</v>
      </c>
      <c r="AX43" s="233">
        <f>VLOOKUP(Table9[[#This Row],[Country Code]],Table29[],24,FALSE)</f>
        <v>0.4150090900095818</v>
      </c>
      <c r="AY43" s="43"/>
    </row>
    <row r="44" spans="1:51" ht="45" x14ac:dyDescent="0.25">
      <c r="A44" s="360">
        <v>17548</v>
      </c>
      <c r="B44" s="233" t="str">
        <f>VLOOKUP(Table9[[#This Row],[Document ID]],Table1[],2,FALSE)</f>
        <v>KHM</v>
      </c>
      <c r="C44" s="233" t="str">
        <f>VLOOKUP(Table9[[#This Row],[Document ID]],Table1[],3,FALSE)</f>
        <v>Cambodia</v>
      </c>
      <c r="D44" s="233" t="str">
        <f>VLOOKUP(Table9[[#This Row],[Document ID]],Table1[],5,FALSE)</f>
        <v>NDC</v>
      </c>
      <c r="E44" s="233" t="str">
        <f>VLOOKUP(Table9[[#This Row],[Document ID]],Table1[],7,FALSE)</f>
        <v>First NDC updated</v>
      </c>
      <c r="F44" s="233" t="str">
        <f>VLOOKUP(Table9[[#This Row],[Document ID]],Table1[],8,FALSE)</f>
        <v>NDC 1.1</v>
      </c>
      <c r="G44" s="233" t="str">
        <f>VLOOKUP(Table9[[#This Row],[Document ID]],Table1[],10,FALSE)</f>
        <v>Active</v>
      </c>
      <c r="H44" s="42" t="s">
        <v>5076</v>
      </c>
      <c r="I44" s="43" t="s">
        <v>5089</v>
      </c>
      <c r="J44" s="44" t="s">
        <v>5114</v>
      </c>
      <c r="K44" s="221">
        <v>124</v>
      </c>
      <c r="L44" s="113"/>
      <c r="M44" s="113"/>
      <c r="N44" s="113"/>
      <c r="O44" s="113"/>
      <c r="P44" s="113"/>
      <c r="Q44" s="113" t="s">
        <v>1113</v>
      </c>
      <c r="R44" s="113"/>
      <c r="S44" s="113"/>
      <c r="T44" s="113"/>
      <c r="U44" s="113"/>
      <c r="V44" s="113"/>
      <c r="W44" s="113"/>
      <c r="X44" s="113"/>
      <c r="Y44" s="113"/>
      <c r="Z44" s="113"/>
      <c r="AA44" s="113"/>
      <c r="AB44" s="113"/>
      <c r="AC44" s="113"/>
      <c r="AD44" s="113"/>
      <c r="AE44" s="113"/>
      <c r="AF44" s="113"/>
      <c r="AG44" s="113"/>
      <c r="AH44" s="113"/>
      <c r="AI44" s="113" t="s">
        <v>1113</v>
      </c>
      <c r="AJ44" s="113"/>
      <c r="AK44" s="113"/>
      <c r="AL44" s="113"/>
      <c r="AM44" s="43" t="s">
        <v>5075</v>
      </c>
      <c r="AN44" s="233" t="str">
        <f>VLOOKUP(Table9[[#This Row],[Measure]],Table1025[[Value name]:[Value identifyer]],2,FALSE)</f>
        <v>R_Design</v>
      </c>
      <c r="AO44" s="241" t="str">
        <f>VLOOKUP(Table9[[#This Row],[Country Code]],Table29[],3,FALSE)</f>
        <v>Non-Annex I</v>
      </c>
      <c r="AP44" s="241" t="str">
        <f>VLOOKUP(Table9[[#This Row],[Country Code]],Table29[],4,FALSE)</f>
        <v>Asia</v>
      </c>
      <c r="AQ44" s="241" t="str">
        <f>VLOOKUP(Table9[[#This Row],[Country Code]],Table29[],5,FALSE)</f>
        <v>Middle-income</v>
      </c>
      <c r="AR44" s="241" t="str">
        <f>VLOOKUP(Table9[[#This Row],[Country Code]],Table29[],6,FALSE)</f>
        <v>no</v>
      </c>
      <c r="AS44" s="241" t="str">
        <f>VLOOKUP(Table9[[#This Row],[Country Code]],Table29[],7,FALSE)</f>
        <v>no</v>
      </c>
      <c r="AT44" s="241" t="str">
        <f>VLOOKUP(Table9[[#This Row],[Country Code]],Table29[],8,FALSE)</f>
        <v>non-OECD</v>
      </c>
      <c r="AU44" s="233" t="str">
        <f>VLOOKUP(Table9[[#This Row],[Country Code]],Table29[],9,FALSE)</f>
        <v>no</v>
      </c>
      <c r="AV44" s="233" t="str">
        <f>VLOOKUP(Table9[[#This Row],[Country Code]],Table29[],10,FALSE)</f>
        <v>no</v>
      </c>
      <c r="AW44" s="233">
        <f>VLOOKUP(Table9[[#This Row],[Country Code]],Table29[],23,FALSE)</f>
        <v>48.774832204749998</v>
      </c>
      <c r="AX44" s="233">
        <f>VLOOKUP(Table9[[#This Row],[Country Code]],Table29[],24,FALSE)</f>
        <v>7.547213161316451</v>
      </c>
      <c r="AY44" s="43"/>
    </row>
    <row r="45" spans="1:51" ht="30" x14ac:dyDescent="0.25">
      <c r="A45" s="360">
        <v>17548</v>
      </c>
      <c r="B45" s="233" t="str">
        <f>VLOOKUP(Table9[[#This Row],[Document ID]],Table1[],2,FALSE)</f>
        <v>KHM</v>
      </c>
      <c r="C45" s="233" t="str">
        <f>VLOOKUP(Table9[[#This Row],[Document ID]],Table1[],3,FALSE)</f>
        <v>Cambodia</v>
      </c>
      <c r="D45" s="233" t="str">
        <f>VLOOKUP(Table9[[#This Row],[Document ID]],Table1[],5,FALSE)</f>
        <v>NDC</v>
      </c>
      <c r="E45" s="233" t="str">
        <f>VLOOKUP(Table9[[#This Row],[Document ID]],Table1[],7,FALSE)</f>
        <v>First NDC updated</v>
      </c>
      <c r="F45" s="233" t="str">
        <f>VLOOKUP(Table9[[#This Row],[Document ID]],Table1[],8,FALSE)</f>
        <v>NDC 1.1</v>
      </c>
      <c r="G45" s="233" t="str">
        <f>VLOOKUP(Table9[[#This Row],[Document ID]],Table1[],10,FALSE)</f>
        <v>Active</v>
      </c>
      <c r="H45" s="43" t="s">
        <v>5072</v>
      </c>
      <c r="I45" s="43" t="s">
        <v>5073</v>
      </c>
      <c r="J45" s="44" t="s">
        <v>5115</v>
      </c>
      <c r="K45" s="221">
        <v>127</v>
      </c>
      <c r="L45" s="113"/>
      <c r="M45" s="113"/>
      <c r="N45" s="113"/>
      <c r="O45" s="113"/>
      <c r="P45" s="113"/>
      <c r="Q45" s="113" t="s">
        <v>1113</v>
      </c>
      <c r="R45" s="113"/>
      <c r="S45" s="113"/>
      <c r="T45" s="113"/>
      <c r="U45" s="113"/>
      <c r="V45" s="113"/>
      <c r="W45" s="113"/>
      <c r="X45" s="113"/>
      <c r="Y45" s="113"/>
      <c r="Z45" s="113"/>
      <c r="AA45" s="113"/>
      <c r="AB45" s="113"/>
      <c r="AC45" s="113"/>
      <c r="AD45" s="113"/>
      <c r="AE45" s="113"/>
      <c r="AF45" s="113"/>
      <c r="AG45" s="113"/>
      <c r="AH45" s="113"/>
      <c r="AI45" s="113" t="s">
        <v>1113</v>
      </c>
      <c r="AJ45" s="113"/>
      <c r="AK45" s="113"/>
      <c r="AL45" s="113"/>
      <c r="AM45" s="43" t="s">
        <v>5075</v>
      </c>
      <c r="AN45" s="233" t="str">
        <f>VLOOKUP(Table9[[#This Row],[Measure]],Table1025[[Value name]:[Value identifyer]],2,FALSE)</f>
        <v>R_System</v>
      </c>
      <c r="AO45" s="241" t="str">
        <f>VLOOKUP(Table9[[#This Row],[Country Code]],Table29[],3,FALSE)</f>
        <v>Non-Annex I</v>
      </c>
      <c r="AP45" s="241" t="str">
        <f>VLOOKUP(Table9[[#This Row],[Country Code]],Table29[],4,FALSE)</f>
        <v>Asia</v>
      </c>
      <c r="AQ45" s="241" t="str">
        <f>VLOOKUP(Table9[[#This Row],[Country Code]],Table29[],5,FALSE)</f>
        <v>Middle-income</v>
      </c>
      <c r="AR45" s="241" t="str">
        <f>VLOOKUP(Table9[[#This Row],[Country Code]],Table29[],6,FALSE)</f>
        <v>no</v>
      </c>
      <c r="AS45" s="241" t="str">
        <f>VLOOKUP(Table9[[#This Row],[Country Code]],Table29[],7,FALSE)</f>
        <v>no</v>
      </c>
      <c r="AT45" s="241" t="str">
        <f>VLOOKUP(Table9[[#This Row],[Country Code]],Table29[],8,FALSE)</f>
        <v>non-OECD</v>
      </c>
      <c r="AU45" s="233" t="str">
        <f>VLOOKUP(Table9[[#This Row],[Country Code]],Table29[],9,FALSE)</f>
        <v>no</v>
      </c>
      <c r="AV45" s="233" t="str">
        <f>VLOOKUP(Table9[[#This Row],[Country Code]],Table29[],10,FALSE)</f>
        <v>no</v>
      </c>
      <c r="AW45" s="233">
        <f>VLOOKUP(Table9[[#This Row],[Country Code]],Table29[],23,FALSE)</f>
        <v>48.774832204749998</v>
      </c>
      <c r="AX45" s="233">
        <f>VLOOKUP(Table9[[#This Row],[Country Code]],Table29[],24,FALSE)</f>
        <v>7.547213161316451</v>
      </c>
      <c r="AY45" s="43"/>
    </row>
    <row r="46" spans="1:51" x14ac:dyDescent="0.25">
      <c r="A46" s="367">
        <v>17547</v>
      </c>
      <c r="B46" s="233" t="str">
        <f>VLOOKUP(Table9[[#This Row],[Document ID]],Table1[],2,FALSE)</f>
        <v>KHM</v>
      </c>
      <c r="C46" s="233" t="str">
        <f>VLOOKUP(Table9[[#This Row],[Document ID]],Table1[],3,FALSE)</f>
        <v>Cambodia</v>
      </c>
      <c r="D46" s="252" t="str">
        <f>VLOOKUP(Table9[[#This Row],[Document ID]],Table1[],5,FALSE)</f>
        <v>NDC</v>
      </c>
      <c r="E46" s="233" t="str">
        <f>VLOOKUP(Table9[[#This Row],[Document ID]],Table1[],7,FALSE)</f>
        <v>First NDC</v>
      </c>
      <c r="F46" s="252" t="str">
        <f>VLOOKUP(Table9[[#This Row],[Document ID]],Table1[],8,FALSE)</f>
        <v>NDC 1.0</v>
      </c>
      <c r="G46" s="252" t="str">
        <f>VLOOKUP(Table9[[#This Row],[Document ID]],Table1[],10,FALSE)</f>
        <v>Archived</v>
      </c>
      <c r="H46" s="42" t="s">
        <v>5076</v>
      </c>
      <c r="I46" s="43" t="s">
        <v>5079</v>
      </c>
      <c r="J46" s="209" t="s">
        <v>5116</v>
      </c>
      <c r="K46" s="257" t="s">
        <v>5081</v>
      </c>
      <c r="L46" s="326" t="s">
        <v>1113</v>
      </c>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t="s">
        <v>1113</v>
      </c>
      <c r="AJ46" s="326"/>
      <c r="AK46" s="326"/>
      <c r="AL46" s="326"/>
      <c r="AM46" s="209" t="s">
        <v>5075</v>
      </c>
      <c r="AN46" s="233" t="str">
        <f>VLOOKUP(Table9[[#This Row],[Measure]],Table1025[[Value name]:[Value identifyer]],2,FALSE)</f>
        <v>R_Laws</v>
      </c>
      <c r="AO46" s="241" t="str">
        <f>VLOOKUP(Table9[[#This Row],[Country Code]],Table29[],3,FALSE)</f>
        <v>Non-Annex I</v>
      </c>
      <c r="AP46" s="241" t="str">
        <f>VLOOKUP(Table9[[#This Row],[Country Code]],Table29[],4,FALSE)</f>
        <v>Asia</v>
      </c>
      <c r="AQ46" s="241" t="str">
        <f>VLOOKUP(Table9[[#This Row],[Country Code]],Table29[],5,FALSE)</f>
        <v>Middle-income</v>
      </c>
      <c r="AR46" s="241" t="str">
        <f>VLOOKUP(Table9[[#This Row],[Country Code]],Table29[],6,FALSE)</f>
        <v>no</v>
      </c>
      <c r="AS46" s="241" t="str">
        <f>VLOOKUP(Table9[[#This Row],[Country Code]],Table29[],7,FALSE)</f>
        <v>no</v>
      </c>
      <c r="AT46" s="241" t="str">
        <f>VLOOKUP(Table9[[#This Row],[Country Code]],Table29[],8,FALSE)</f>
        <v>non-OECD</v>
      </c>
      <c r="AU46" s="233" t="str">
        <f>VLOOKUP(Table9[[#This Row],[Country Code]],Table29[],9,FALSE)</f>
        <v>no</v>
      </c>
      <c r="AV46" s="233" t="str">
        <f>VLOOKUP(Table9[[#This Row],[Country Code]],Table29[],10,FALSE)</f>
        <v>no</v>
      </c>
      <c r="AW46" s="233">
        <f>VLOOKUP(Table9[[#This Row],[Country Code]],Table29[],23,FALSE)</f>
        <v>48.774832204749998</v>
      </c>
      <c r="AX46" s="233">
        <f>VLOOKUP(Table9[[#This Row],[Country Code]],Table29[],24,FALSE)</f>
        <v>7.547213161316451</v>
      </c>
      <c r="AY46" s="43"/>
    </row>
    <row r="47" spans="1:51" ht="30" x14ac:dyDescent="0.25">
      <c r="A47" s="367">
        <v>26773</v>
      </c>
      <c r="B47" s="233" t="str">
        <f>VLOOKUP(Table9[[#This Row],[Document ID]],Table1[],2,FALSE)</f>
        <v>KHM</v>
      </c>
      <c r="C47" s="233" t="str">
        <f>VLOOKUP(Table9[[#This Row],[Document ID]],Table1[],3,FALSE)</f>
        <v>Cambodia</v>
      </c>
      <c r="D47" s="254" t="str">
        <f>VLOOKUP(Table9[[#This Row],[Document ID]],Table1[],5,FALSE)</f>
        <v>LTS</v>
      </c>
      <c r="E47" s="233" t="str">
        <f>VLOOKUP(Table9[[#This Row],[Document ID]],Table1[],7,FALSE)</f>
        <v>LTS</v>
      </c>
      <c r="F47" s="241" t="str">
        <f>VLOOKUP(Table9[[#This Row],[Document ID]],Table1[],8,FALSE)</f>
        <v>LTS 1.0</v>
      </c>
      <c r="G47" s="241" t="str">
        <f>VLOOKUP(Table9[[#This Row],[Document ID]],Table1[],10,FALSE)</f>
        <v>Active</v>
      </c>
      <c r="H47" s="42" t="s">
        <v>5076</v>
      </c>
      <c r="I47" s="43" t="s">
        <v>5117</v>
      </c>
      <c r="J47" s="209" t="s">
        <v>5118</v>
      </c>
      <c r="K47" s="259">
        <v>40</v>
      </c>
      <c r="L47" s="219"/>
      <c r="M47" s="219"/>
      <c r="N47" s="113"/>
      <c r="O47" s="113"/>
      <c r="P47" s="113"/>
      <c r="Q47" s="113"/>
      <c r="R47" s="113"/>
      <c r="S47" s="113"/>
      <c r="T47" s="113"/>
      <c r="U47" s="113"/>
      <c r="V47" s="113"/>
      <c r="W47" s="113" t="s">
        <v>1113</v>
      </c>
      <c r="X47" s="113"/>
      <c r="Y47" s="113"/>
      <c r="Z47" s="113"/>
      <c r="AA47" s="113" t="s">
        <v>1113</v>
      </c>
      <c r="AB47" s="113"/>
      <c r="AC47" s="113"/>
      <c r="AD47" s="113"/>
      <c r="AE47" s="113"/>
      <c r="AF47" s="113"/>
      <c r="AG47" s="113"/>
      <c r="AH47" s="113"/>
      <c r="AI47" s="219" t="s">
        <v>1113</v>
      </c>
      <c r="AJ47" s="326"/>
      <c r="AK47" s="326"/>
      <c r="AL47" s="326"/>
      <c r="AM47" s="42" t="s">
        <v>5119</v>
      </c>
      <c r="AN47" s="233" t="str">
        <f>VLOOKUP(Table9[[#This Row],[Measure]],Table1025[[Value name]:[Value identifyer]],2,FALSE)</f>
        <v>R_Redundancy</v>
      </c>
      <c r="AO47" s="241" t="str">
        <f>VLOOKUP(Table9[[#This Row],[Country Code]],Table29[],3,FALSE)</f>
        <v>Non-Annex I</v>
      </c>
      <c r="AP47" s="241" t="str">
        <f>VLOOKUP(Table9[[#This Row],[Country Code]],Table29[],4,FALSE)</f>
        <v>Asia</v>
      </c>
      <c r="AQ47" s="241" t="str">
        <f>VLOOKUP(Table9[[#This Row],[Country Code]],Table29[],5,FALSE)</f>
        <v>Middle-income</v>
      </c>
      <c r="AR47" s="241" t="str">
        <f>VLOOKUP(Table9[[#This Row],[Country Code]],Table29[],6,FALSE)</f>
        <v>no</v>
      </c>
      <c r="AS47" s="241" t="str">
        <f>VLOOKUP(Table9[[#This Row],[Country Code]],Table29[],7,FALSE)</f>
        <v>no</v>
      </c>
      <c r="AT47" s="241" t="str">
        <f>VLOOKUP(Table9[[#This Row],[Country Code]],Table29[],8,FALSE)</f>
        <v>non-OECD</v>
      </c>
      <c r="AU47" s="233" t="str">
        <f>VLOOKUP(Table9[[#This Row],[Country Code]],Table29[],9,FALSE)</f>
        <v>no</v>
      </c>
      <c r="AV47" s="233" t="str">
        <f>VLOOKUP(Table9[[#This Row],[Country Code]],Table29[],10,FALSE)</f>
        <v>no</v>
      </c>
      <c r="AW47" s="233">
        <f>VLOOKUP(Table9[[#This Row],[Country Code]],Table29[],23,FALSE)</f>
        <v>48.774832204749998</v>
      </c>
      <c r="AX47" s="233">
        <f>VLOOKUP(Table9[[#This Row],[Country Code]],Table29[],24,FALSE)</f>
        <v>7.547213161316451</v>
      </c>
      <c r="AY47" s="43"/>
    </row>
    <row r="48" spans="1:51" ht="30" x14ac:dyDescent="0.25">
      <c r="A48" s="367">
        <v>26773</v>
      </c>
      <c r="B48" s="233" t="str">
        <f>VLOOKUP(Table9[[#This Row],[Document ID]],Table1[],2,FALSE)</f>
        <v>KHM</v>
      </c>
      <c r="C48" s="233" t="str">
        <f>VLOOKUP(Table9[[#This Row],[Document ID]],Table1[],3,FALSE)</f>
        <v>Cambodia</v>
      </c>
      <c r="D48" s="254" t="str">
        <f>VLOOKUP(Table9[[#This Row],[Document ID]],Table1[],5,FALSE)</f>
        <v>LTS</v>
      </c>
      <c r="E48" s="233" t="str">
        <f>VLOOKUP(Table9[[#This Row],[Document ID]],Table1[],7,FALSE)</f>
        <v>LTS</v>
      </c>
      <c r="F48" s="241" t="str">
        <f>VLOOKUP(Table9[[#This Row],[Document ID]],Table1[],8,FALSE)</f>
        <v>LTS 1.0</v>
      </c>
      <c r="G48" s="241" t="str">
        <f>VLOOKUP(Table9[[#This Row],[Document ID]],Table1[],10,FALSE)</f>
        <v>Active</v>
      </c>
      <c r="H48" s="42" t="s">
        <v>5076</v>
      </c>
      <c r="I48" s="43" t="s">
        <v>5120</v>
      </c>
      <c r="J48" s="209" t="s">
        <v>5121</v>
      </c>
      <c r="K48" s="259">
        <v>40</v>
      </c>
      <c r="L48" s="219" t="s">
        <v>1113</v>
      </c>
      <c r="M48" s="219"/>
      <c r="N48" s="113"/>
      <c r="O48" s="113"/>
      <c r="P48" s="113"/>
      <c r="Q48" s="113"/>
      <c r="R48" s="113"/>
      <c r="S48" s="113"/>
      <c r="T48" s="113"/>
      <c r="U48" s="113"/>
      <c r="V48" s="113"/>
      <c r="W48" s="113"/>
      <c r="X48" s="113"/>
      <c r="Y48" s="113"/>
      <c r="Z48" s="113"/>
      <c r="AA48" s="113"/>
      <c r="AB48" s="113"/>
      <c r="AC48" s="113"/>
      <c r="AD48" s="113"/>
      <c r="AE48" s="113"/>
      <c r="AF48" s="113"/>
      <c r="AG48" s="113"/>
      <c r="AH48" s="113"/>
      <c r="AI48" s="219" t="s">
        <v>1113</v>
      </c>
      <c r="AJ48" s="326"/>
      <c r="AK48" s="326"/>
      <c r="AL48" s="326"/>
      <c r="AM48" s="42" t="s">
        <v>5075</v>
      </c>
      <c r="AN48" s="233" t="str">
        <f>VLOOKUP(Table9[[#This Row],[Measure]],Table1025[[Value name]:[Value identifyer]],2,FALSE)</f>
        <v>R_Relocation</v>
      </c>
      <c r="AO48" s="241" t="str">
        <f>VLOOKUP(Table9[[#This Row],[Country Code]],Table29[],3,FALSE)</f>
        <v>Non-Annex I</v>
      </c>
      <c r="AP48" s="241" t="str">
        <f>VLOOKUP(Table9[[#This Row],[Country Code]],Table29[],4,FALSE)</f>
        <v>Asia</v>
      </c>
      <c r="AQ48" s="241" t="str">
        <f>VLOOKUP(Table9[[#This Row],[Country Code]],Table29[],5,FALSE)</f>
        <v>Middle-income</v>
      </c>
      <c r="AR48" s="241" t="str">
        <f>VLOOKUP(Table9[[#This Row],[Country Code]],Table29[],6,FALSE)</f>
        <v>no</v>
      </c>
      <c r="AS48" s="241" t="str">
        <f>VLOOKUP(Table9[[#This Row],[Country Code]],Table29[],7,FALSE)</f>
        <v>no</v>
      </c>
      <c r="AT48" s="241" t="str">
        <f>VLOOKUP(Table9[[#This Row],[Country Code]],Table29[],8,FALSE)</f>
        <v>non-OECD</v>
      </c>
      <c r="AU48" s="233" t="str">
        <f>VLOOKUP(Table9[[#This Row],[Country Code]],Table29[],9,FALSE)</f>
        <v>no</v>
      </c>
      <c r="AV48" s="233" t="str">
        <f>VLOOKUP(Table9[[#This Row],[Country Code]],Table29[],10,FALSE)</f>
        <v>no</v>
      </c>
      <c r="AW48" s="233">
        <f>VLOOKUP(Table9[[#This Row],[Country Code]],Table29[],23,FALSE)</f>
        <v>48.774832204749998</v>
      </c>
      <c r="AX48" s="233">
        <f>VLOOKUP(Table9[[#This Row],[Country Code]],Table29[],24,FALSE)</f>
        <v>7.547213161316451</v>
      </c>
      <c r="AY48" s="43"/>
    </row>
    <row r="49" spans="1:51" x14ac:dyDescent="0.25">
      <c r="A49" s="367">
        <v>26773</v>
      </c>
      <c r="B49" s="233" t="str">
        <f>VLOOKUP(Table9[[#This Row],[Document ID]],Table1[],2,FALSE)</f>
        <v>KHM</v>
      </c>
      <c r="C49" s="233" t="str">
        <f>VLOOKUP(Table9[[#This Row],[Document ID]],Table1[],3,FALSE)</f>
        <v>Cambodia</v>
      </c>
      <c r="D49" s="254" t="str">
        <f>VLOOKUP(Table9[[#This Row],[Document ID]],Table1[],5,FALSE)</f>
        <v>LTS</v>
      </c>
      <c r="E49" s="233" t="str">
        <f>VLOOKUP(Table9[[#This Row],[Document ID]],Table1[],7,FALSE)</f>
        <v>LTS</v>
      </c>
      <c r="F49" s="241" t="str">
        <f>VLOOKUP(Table9[[#This Row],[Document ID]],Table1[],8,FALSE)</f>
        <v>LTS 1.0</v>
      </c>
      <c r="G49" s="241" t="str">
        <f>VLOOKUP(Table9[[#This Row],[Document ID]],Table1[],10,FALSE)</f>
        <v>Active</v>
      </c>
      <c r="H49" s="43" t="s">
        <v>5072</v>
      </c>
      <c r="I49" s="43" t="s">
        <v>5097</v>
      </c>
      <c r="J49" s="209" t="s">
        <v>5122</v>
      </c>
      <c r="K49" s="259">
        <v>40</v>
      </c>
      <c r="L49" s="219" t="s">
        <v>1113</v>
      </c>
      <c r="M49" s="219"/>
      <c r="N49" s="113"/>
      <c r="O49" s="113"/>
      <c r="P49" s="113"/>
      <c r="Q49" s="113"/>
      <c r="R49" s="113"/>
      <c r="S49" s="113"/>
      <c r="T49" s="113"/>
      <c r="U49" s="113"/>
      <c r="V49" s="113"/>
      <c r="W49" s="113"/>
      <c r="X49" s="113"/>
      <c r="Y49" s="113"/>
      <c r="Z49" s="113"/>
      <c r="AA49" s="113"/>
      <c r="AB49" s="113"/>
      <c r="AC49" s="113"/>
      <c r="AD49" s="113"/>
      <c r="AE49" s="113"/>
      <c r="AF49" s="113"/>
      <c r="AG49" s="113"/>
      <c r="AH49" s="113"/>
      <c r="AI49" s="219" t="s">
        <v>1113</v>
      </c>
      <c r="AJ49" s="326"/>
      <c r="AK49" s="326"/>
      <c r="AL49" s="326"/>
      <c r="AM49" s="42" t="s">
        <v>5075</v>
      </c>
      <c r="AN49" s="233" t="str">
        <f>VLOOKUP(Table9[[#This Row],[Measure]],Table1025[[Value name]:[Value identifyer]],2,FALSE)</f>
        <v>R_Tech</v>
      </c>
      <c r="AO49" s="241" t="str">
        <f>VLOOKUP(Table9[[#This Row],[Country Code]],Table29[],3,FALSE)</f>
        <v>Non-Annex I</v>
      </c>
      <c r="AP49" s="241" t="str">
        <f>VLOOKUP(Table9[[#This Row],[Country Code]],Table29[],4,FALSE)</f>
        <v>Asia</v>
      </c>
      <c r="AQ49" s="241" t="str">
        <f>VLOOKUP(Table9[[#This Row],[Country Code]],Table29[],5,FALSE)</f>
        <v>Middle-income</v>
      </c>
      <c r="AR49" s="241" t="str">
        <f>VLOOKUP(Table9[[#This Row],[Country Code]],Table29[],6,FALSE)</f>
        <v>no</v>
      </c>
      <c r="AS49" s="241" t="str">
        <f>VLOOKUP(Table9[[#This Row],[Country Code]],Table29[],7,FALSE)</f>
        <v>no</v>
      </c>
      <c r="AT49" s="241" t="str">
        <f>VLOOKUP(Table9[[#This Row],[Country Code]],Table29[],8,FALSE)</f>
        <v>non-OECD</v>
      </c>
      <c r="AU49" s="233" t="str">
        <f>VLOOKUP(Table9[[#This Row],[Country Code]],Table29[],9,FALSE)</f>
        <v>no</v>
      </c>
      <c r="AV49" s="233" t="str">
        <f>VLOOKUP(Table9[[#This Row],[Country Code]],Table29[],10,FALSE)</f>
        <v>no</v>
      </c>
      <c r="AW49" s="233">
        <f>VLOOKUP(Table9[[#This Row],[Country Code]],Table29[],23,FALSE)</f>
        <v>48.774832204749998</v>
      </c>
      <c r="AX49" s="233">
        <f>VLOOKUP(Table9[[#This Row],[Country Code]],Table29[],24,FALSE)</f>
        <v>7.547213161316451</v>
      </c>
      <c r="AY49" s="43"/>
    </row>
    <row r="50" spans="1:51" ht="45" x14ac:dyDescent="0.25">
      <c r="A50" s="367">
        <v>23371</v>
      </c>
      <c r="B50" s="233" t="str">
        <f>VLOOKUP(Table9[[#This Row],[Document ID]],Table1[],2,FALSE)</f>
        <v>CMR</v>
      </c>
      <c r="C50" s="233" t="str">
        <f>VLOOKUP(Table9[[#This Row],[Document ID]],Table1[],3,FALSE)</f>
        <v>Cameroon</v>
      </c>
      <c r="D50" s="254" t="str">
        <f>VLOOKUP(Table9[[#This Row],[Document ID]],Table1[],5,FALSE)</f>
        <v>NDC</v>
      </c>
      <c r="E50" s="233" t="str">
        <f>VLOOKUP(Table9[[#This Row],[Document ID]],Table1[],7,FALSE)</f>
        <v>First NDC updated</v>
      </c>
      <c r="F50" s="241" t="str">
        <f>VLOOKUP(Table9[[#This Row],[Document ID]],Table1[],8,FALSE)</f>
        <v>NDC 1.1</v>
      </c>
      <c r="G50" s="241" t="str">
        <f>VLOOKUP(Table9[[#This Row],[Document ID]],Table1[],10,FALSE)</f>
        <v>Active</v>
      </c>
      <c r="H50" s="43" t="s">
        <v>5072</v>
      </c>
      <c r="I50" s="43" t="s">
        <v>5073</v>
      </c>
      <c r="J50" s="209" t="s">
        <v>5123</v>
      </c>
      <c r="K50" s="259">
        <v>34</v>
      </c>
      <c r="L50" s="219"/>
      <c r="M50" s="219"/>
      <c r="N50" s="113"/>
      <c r="O50" s="113"/>
      <c r="P50" s="113"/>
      <c r="Q50" s="113"/>
      <c r="R50" s="113"/>
      <c r="S50" s="113"/>
      <c r="T50" s="113"/>
      <c r="U50" s="113"/>
      <c r="V50" s="113"/>
      <c r="W50" s="113"/>
      <c r="X50" s="113" t="s">
        <v>1113</v>
      </c>
      <c r="Y50" s="113"/>
      <c r="Z50" s="113"/>
      <c r="AA50" s="113"/>
      <c r="AB50" s="113" t="s">
        <v>1113</v>
      </c>
      <c r="AC50" s="113"/>
      <c r="AD50" s="113"/>
      <c r="AE50" s="113"/>
      <c r="AF50" s="113" t="s">
        <v>1113</v>
      </c>
      <c r="AG50" s="113"/>
      <c r="AH50" s="113"/>
      <c r="AI50" s="219" t="s">
        <v>1113</v>
      </c>
      <c r="AJ50" s="326"/>
      <c r="AK50" s="326"/>
      <c r="AL50" s="326"/>
      <c r="AM50" s="327" t="s">
        <v>5075</v>
      </c>
      <c r="AN50" s="233" t="str">
        <f>VLOOKUP(Table9[[#This Row],[Measure]],Table1025[[Value name]:[Value identifyer]],2,FALSE)</f>
        <v>R_System</v>
      </c>
      <c r="AO50" s="241" t="str">
        <f>VLOOKUP(Table9[[#This Row],[Country Code]],Table29[],3,FALSE)</f>
        <v>Non-Annex I</v>
      </c>
      <c r="AP50" s="241" t="str">
        <f>VLOOKUP(Table9[[#This Row],[Country Code]],Table29[],4,FALSE)</f>
        <v>Africa</v>
      </c>
      <c r="AQ50" s="241" t="str">
        <f>VLOOKUP(Table9[[#This Row],[Country Code]],Table29[],5,FALSE)</f>
        <v>Middle-income</v>
      </c>
      <c r="AR50" s="241" t="str">
        <f>VLOOKUP(Table9[[#This Row],[Country Code]],Table29[],6,FALSE)</f>
        <v>no</v>
      </c>
      <c r="AS50" s="241" t="str">
        <f>VLOOKUP(Table9[[#This Row],[Country Code]],Table29[],7,FALSE)</f>
        <v>no</v>
      </c>
      <c r="AT50" s="241" t="str">
        <f>VLOOKUP(Table9[[#This Row],[Country Code]],Table29[],8,FALSE)</f>
        <v>non-OECD</v>
      </c>
      <c r="AU50" s="233" t="str">
        <f>VLOOKUP(Table9[[#This Row],[Country Code]],Table29[],9,FALSE)</f>
        <v>no</v>
      </c>
      <c r="AV50" s="233" t="str">
        <f>VLOOKUP(Table9[[#This Row],[Country Code]],Table29[],10,FALSE)</f>
        <v>no</v>
      </c>
      <c r="AW50" s="233">
        <f>VLOOKUP(Table9[[#This Row],[Country Code]],Table29[],23,FALSE)</f>
        <v>39.377188823330997</v>
      </c>
      <c r="AX50" s="233">
        <f>VLOOKUP(Table9[[#This Row],[Country Code]],Table29[],24,FALSE)</f>
        <v>4.3438155341493783</v>
      </c>
      <c r="AY50" s="43"/>
    </row>
    <row r="51" spans="1:51" x14ac:dyDescent="0.25">
      <c r="A51" s="367">
        <v>23371</v>
      </c>
      <c r="B51" s="233" t="str">
        <f>VLOOKUP(Table9[[#This Row],[Document ID]],Table1[],2,FALSE)</f>
        <v>CMR</v>
      </c>
      <c r="C51" s="233" t="str">
        <f>VLOOKUP(Table9[[#This Row],[Document ID]],Table1[],3,FALSE)</f>
        <v>Cameroon</v>
      </c>
      <c r="D51" s="254" t="str">
        <f>VLOOKUP(Table9[[#This Row],[Document ID]],Table1[],5,FALSE)</f>
        <v>NDC</v>
      </c>
      <c r="E51" s="233" t="str">
        <f>VLOOKUP(Table9[[#This Row],[Document ID]],Table1[],7,FALSE)</f>
        <v>First NDC updated</v>
      </c>
      <c r="F51" s="241" t="str">
        <f>VLOOKUP(Table9[[#This Row],[Document ID]],Table1[],8,FALSE)</f>
        <v>NDC 1.1</v>
      </c>
      <c r="G51" s="241" t="str">
        <f>VLOOKUP(Table9[[#This Row],[Document ID]],Table1[],10,FALSE)</f>
        <v>Active</v>
      </c>
      <c r="H51" s="43" t="s">
        <v>5072</v>
      </c>
      <c r="I51" s="43" t="s">
        <v>5073</v>
      </c>
      <c r="J51" s="209" t="s">
        <v>5124</v>
      </c>
      <c r="K51" s="259">
        <v>34</v>
      </c>
      <c r="L51" s="219" t="s">
        <v>1113</v>
      </c>
      <c r="M51" s="219"/>
      <c r="N51" s="113"/>
      <c r="O51" s="113"/>
      <c r="P51" s="113"/>
      <c r="Q51" s="113"/>
      <c r="R51" s="113"/>
      <c r="S51" s="113"/>
      <c r="T51" s="113"/>
      <c r="U51" s="113"/>
      <c r="V51" s="113"/>
      <c r="W51" s="113"/>
      <c r="X51" s="113"/>
      <c r="Y51" s="113"/>
      <c r="Z51" s="113"/>
      <c r="AA51" s="113"/>
      <c r="AB51" s="113"/>
      <c r="AC51" s="113"/>
      <c r="AD51" s="113"/>
      <c r="AE51" s="113"/>
      <c r="AF51" s="113"/>
      <c r="AG51" s="113"/>
      <c r="AH51" s="113"/>
      <c r="AI51" s="219" t="s">
        <v>1113</v>
      </c>
      <c r="AJ51" s="326"/>
      <c r="AK51" s="326"/>
      <c r="AL51" s="326"/>
      <c r="AM51" s="327" t="s">
        <v>5075</v>
      </c>
      <c r="AN51" s="233" t="str">
        <f>VLOOKUP(Table9[[#This Row],[Measure]],Table1025[[Value name]:[Value identifyer]],2,FALSE)</f>
        <v>R_System</v>
      </c>
      <c r="AO51" s="241" t="str">
        <f>VLOOKUP(Table9[[#This Row],[Country Code]],Table29[],3,FALSE)</f>
        <v>Non-Annex I</v>
      </c>
      <c r="AP51" s="241" t="str">
        <f>VLOOKUP(Table9[[#This Row],[Country Code]],Table29[],4,FALSE)</f>
        <v>Africa</v>
      </c>
      <c r="AQ51" s="241" t="str">
        <f>VLOOKUP(Table9[[#This Row],[Country Code]],Table29[],5,FALSE)</f>
        <v>Middle-income</v>
      </c>
      <c r="AR51" s="241" t="str">
        <f>VLOOKUP(Table9[[#This Row],[Country Code]],Table29[],6,FALSE)</f>
        <v>no</v>
      </c>
      <c r="AS51" s="241" t="str">
        <f>VLOOKUP(Table9[[#This Row],[Country Code]],Table29[],7,FALSE)</f>
        <v>no</v>
      </c>
      <c r="AT51" s="241" t="str">
        <f>VLOOKUP(Table9[[#This Row],[Country Code]],Table29[],8,FALSE)</f>
        <v>non-OECD</v>
      </c>
      <c r="AU51" s="233" t="str">
        <f>VLOOKUP(Table9[[#This Row],[Country Code]],Table29[],9,FALSE)</f>
        <v>no</v>
      </c>
      <c r="AV51" s="233" t="str">
        <f>VLOOKUP(Table9[[#This Row],[Country Code]],Table29[],10,FALSE)</f>
        <v>no</v>
      </c>
      <c r="AW51" s="233">
        <f>VLOOKUP(Table9[[#This Row],[Country Code]],Table29[],23,FALSE)</f>
        <v>39.377188823330997</v>
      </c>
      <c r="AX51" s="233">
        <f>VLOOKUP(Table9[[#This Row],[Country Code]],Table29[],24,FALSE)</f>
        <v>4.3438155341493783</v>
      </c>
      <c r="AY51" s="43"/>
    </row>
    <row r="52" spans="1:51" x14ac:dyDescent="0.25">
      <c r="A52" s="367">
        <v>23371</v>
      </c>
      <c r="B52" s="233" t="str">
        <f>VLOOKUP(Table9[[#This Row],[Document ID]],Table1[],2,FALSE)</f>
        <v>CMR</v>
      </c>
      <c r="C52" s="233" t="str">
        <f>VLOOKUP(Table9[[#This Row],[Document ID]],Table1[],3,FALSE)</f>
        <v>Cameroon</v>
      </c>
      <c r="D52" s="254" t="str">
        <f>VLOOKUP(Table9[[#This Row],[Document ID]],Table1[],5,FALSE)</f>
        <v>NDC</v>
      </c>
      <c r="E52" s="233" t="str">
        <f>VLOOKUP(Table9[[#This Row],[Document ID]],Table1[],7,FALSE)</f>
        <v>First NDC updated</v>
      </c>
      <c r="F52" s="241" t="str">
        <f>VLOOKUP(Table9[[#This Row],[Document ID]],Table1[],8,FALSE)</f>
        <v>NDC 1.1</v>
      </c>
      <c r="G52" s="241" t="str">
        <f>VLOOKUP(Table9[[#This Row],[Document ID]],Table1[],10,FALSE)</f>
        <v>Active</v>
      </c>
      <c r="H52" s="43" t="s">
        <v>5072</v>
      </c>
      <c r="I52" s="43" t="s">
        <v>5073</v>
      </c>
      <c r="J52" s="209" t="s">
        <v>5125</v>
      </c>
      <c r="K52" s="259">
        <v>34</v>
      </c>
      <c r="L52" s="219" t="s">
        <v>1113</v>
      </c>
      <c r="M52" s="219"/>
      <c r="N52" s="113"/>
      <c r="O52" s="113"/>
      <c r="P52" s="113"/>
      <c r="Q52" s="113"/>
      <c r="R52" s="113"/>
      <c r="S52" s="113"/>
      <c r="T52" s="113"/>
      <c r="U52" s="113"/>
      <c r="V52" s="113"/>
      <c r="W52" s="113"/>
      <c r="X52" s="113"/>
      <c r="Y52" s="113"/>
      <c r="Z52" s="113"/>
      <c r="AA52" s="113"/>
      <c r="AB52" s="113"/>
      <c r="AC52" s="113"/>
      <c r="AD52" s="113"/>
      <c r="AE52" s="113"/>
      <c r="AF52" s="113"/>
      <c r="AG52" s="113"/>
      <c r="AH52" s="113"/>
      <c r="AI52" s="219" t="s">
        <v>1113</v>
      </c>
      <c r="AJ52" s="326"/>
      <c r="AK52" s="326"/>
      <c r="AL52" s="326"/>
      <c r="AM52" s="327" t="s">
        <v>5075</v>
      </c>
      <c r="AN52" s="233" t="str">
        <f>VLOOKUP(Table9[[#This Row],[Measure]],Table1025[[Value name]:[Value identifyer]],2,FALSE)</f>
        <v>R_System</v>
      </c>
      <c r="AO52" s="241" t="str">
        <f>VLOOKUP(Table9[[#This Row],[Country Code]],Table29[],3,FALSE)</f>
        <v>Non-Annex I</v>
      </c>
      <c r="AP52" s="241" t="str">
        <f>VLOOKUP(Table9[[#This Row],[Country Code]],Table29[],4,FALSE)</f>
        <v>Africa</v>
      </c>
      <c r="AQ52" s="241" t="str">
        <f>VLOOKUP(Table9[[#This Row],[Country Code]],Table29[],5,FALSE)</f>
        <v>Middle-income</v>
      </c>
      <c r="AR52" s="241" t="str">
        <f>VLOOKUP(Table9[[#This Row],[Country Code]],Table29[],6,FALSE)</f>
        <v>no</v>
      </c>
      <c r="AS52" s="241" t="str">
        <f>VLOOKUP(Table9[[#This Row],[Country Code]],Table29[],7,FALSE)</f>
        <v>no</v>
      </c>
      <c r="AT52" s="241" t="str">
        <f>VLOOKUP(Table9[[#This Row],[Country Code]],Table29[],8,FALSE)</f>
        <v>non-OECD</v>
      </c>
      <c r="AU52" s="233" t="str">
        <f>VLOOKUP(Table9[[#This Row],[Country Code]],Table29[],9,FALSE)</f>
        <v>no</v>
      </c>
      <c r="AV52" s="233" t="str">
        <f>VLOOKUP(Table9[[#This Row],[Country Code]],Table29[],10,FALSE)</f>
        <v>no</v>
      </c>
      <c r="AW52" s="233">
        <f>VLOOKUP(Table9[[#This Row],[Country Code]],Table29[],23,FALSE)</f>
        <v>39.377188823330997</v>
      </c>
      <c r="AX52" s="233">
        <f>VLOOKUP(Table9[[#This Row],[Country Code]],Table29[],24,FALSE)</f>
        <v>4.3438155341493783</v>
      </c>
      <c r="AY52" s="43"/>
    </row>
    <row r="53" spans="1:51" x14ac:dyDescent="0.25">
      <c r="A53" s="367">
        <v>23371</v>
      </c>
      <c r="B53" s="233" t="str">
        <f>VLOOKUP(Table9[[#This Row],[Document ID]],Table1[],2,FALSE)</f>
        <v>CMR</v>
      </c>
      <c r="C53" s="233" t="str">
        <f>VLOOKUP(Table9[[#This Row],[Document ID]],Table1[],3,FALSE)</f>
        <v>Cameroon</v>
      </c>
      <c r="D53" s="254" t="str">
        <f>VLOOKUP(Table9[[#This Row],[Document ID]],Table1[],5,FALSE)</f>
        <v>NDC</v>
      </c>
      <c r="E53" s="233" t="str">
        <f>VLOOKUP(Table9[[#This Row],[Document ID]],Table1[],7,FALSE)</f>
        <v>First NDC updated</v>
      </c>
      <c r="F53" s="241" t="str">
        <f>VLOOKUP(Table9[[#This Row],[Document ID]],Table1[],8,FALSE)</f>
        <v>NDC 1.1</v>
      </c>
      <c r="G53" s="241" t="str">
        <f>VLOOKUP(Table9[[#This Row],[Document ID]],Table1[],10,FALSE)</f>
        <v>Active</v>
      </c>
      <c r="H53" s="43" t="s">
        <v>5072</v>
      </c>
      <c r="I53" s="43" t="s">
        <v>5073</v>
      </c>
      <c r="J53" s="209" t="s">
        <v>5126</v>
      </c>
      <c r="K53" s="259">
        <v>34</v>
      </c>
      <c r="L53" s="219" t="s">
        <v>1113</v>
      </c>
      <c r="M53" s="219"/>
      <c r="N53" s="113"/>
      <c r="O53" s="113"/>
      <c r="P53" s="113"/>
      <c r="Q53" s="113"/>
      <c r="R53" s="113"/>
      <c r="S53" s="113"/>
      <c r="T53" s="113"/>
      <c r="U53" s="113"/>
      <c r="V53" s="113"/>
      <c r="W53" s="113"/>
      <c r="X53" s="113"/>
      <c r="Y53" s="113"/>
      <c r="Z53" s="113"/>
      <c r="AA53" s="113"/>
      <c r="AB53" s="113"/>
      <c r="AC53" s="113"/>
      <c r="AD53" s="113"/>
      <c r="AE53" s="113"/>
      <c r="AF53" s="113"/>
      <c r="AG53" s="113"/>
      <c r="AH53" s="113"/>
      <c r="AI53" s="219"/>
      <c r="AJ53" s="326" t="s">
        <v>1113</v>
      </c>
      <c r="AK53" s="326" t="s">
        <v>1113</v>
      </c>
      <c r="AL53" s="326"/>
      <c r="AM53" s="327" t="s">
        <v>5075</v>
      </c>
      <c r="AN53" s="233" t="str">
        <f>VLOOKUP(Table9[[#This Row],[Measure]],Table1025[[Value name]:[Value identifyer]],2,FALSE)</f>
        <v>R_System</v>
      </c>
      <c r="AO53" s="241" t="str">
        <f>VLOOKUP(Table9[[#This Row],[Country Code]],Table29[],3,FALSE)</f>
        <v>Non-Annex I</v>
      </c>
      <c r="AP53" s="241" t="str">
        <f>VLOOKUP(Table9[[#This Row],[Country Code]],Table29[],4,FALSE)</f>
        <v>Africa</v>
      </c>
      <c r="AQ53" s="241" t="str">
        <f>VLOOKUP(Table9[[#This Row],[Country Code]],Table29[],5,FALSE)</f>
        <v>Middle-income</v>
      </c>
      <c r="AR53" s="241" t="str">
        <f>VLOOKUP(Table9[[#This Row],[Country Code]],Table29[],6,FALSE)</f>
        <v>no</v>
      </c>
      <c r="AS53" s="241" t="str">
        <f>VLOOKUP(Table9[[#This Row],[Country Code]],Table29[],7,FALSE)</f>
        <v>no</v>
      </c>
      <c r="AT53" s="241" t="str">
        <f>VLOOKUP(Table9[[#This Row],[Country Code]],Table29[],8,FALSE)</f>
        <v>non-OECD</v>
      </c>
      <c r="AU53" s="233" t="str">
        <f>VLOOKUP(Table9[[#This Row],[Country Code]],Table29[],9,FALSE)</f>
        <v>no</v>
      </c>
      <c r="AV53" s="233" t="str">
        <f>VLOOKUP(Table9[[#This Row],[Country Code]],Table29[],10,FALSE)</f>
        <v>no</v>
      </c>
      <c r="AW53" s="233">
        <f>VLOOKUP(Table9[[#This Row],[Country Code]],Table29[],23,FALSE)</f>
        <v>39.377188823330997</v>
      </c>
      <c r="AX53" s="233">
        <f>VLOOKUP(Table9[[#This Row],[Country Code]],Table29[],24,FALSE)</f>
        <v>4.3438155341493783</v>
      </c>
      <c r="AY53" s="43"/>
    </row>
    <row r="54" spans="1:51" ht="45" x14ac:dyDescent="0.25">
      <c r="A54" s="368">
        <v>24788</v>
      </c>
      <c r="B54" s="233" t="str">
        <f>VLOOKUP(Table9[[#This Row],[Document ID]],Table1[],2,FALSE)</f>
        <v>TCD</v>
      </c>
      <c r="C54" s="233" t="str">
        <f>VLOOKUP(Table9[[#This Row],[Document ID]],Table1[],3,FALSE)</f>
        <v>Chad</v>
      </c>
      <c r="D54" s="241" t="str">
        <f>VLOOKUP(Table9[[#This Row],[Document ID]],Table1[],5,FALSE)</f>
        <v>NDC</v>
      </c>
      <c r="E54" s="233" t="str">
        <f>VLOOKUP(Table9[[#This Row],[Document ID]],Table1[],7,FALSE)</f>
        <v>First NDC updated</v>
      </c>
      <c r="F54" s="241" t="str">
        <f>VLOOKUP(Table9[[#This Row],[Document ID]],Table1[],8,FALSE)</f>
        <v>NDC 1.1</v>
      </c>
      <c r="G54" s="241" t="str">
        <f>VLOOKUP(Table9[[#This Row],[Document ID]],Table1[],10,FALSE)</f>
        <v>Active</v>
      </c>
      <c r="H54" s="44" t="s">
        <v>5086</v>
      </c>
      <c r="I54" s="43" t="s">
        <v>5127</v>
      </c>
      <c r="J54" s="209" t="s">
        <v>5128</v>
      </c>
      <c r="K54" s="259">
        <v>32</v>
      </c>
      <c r="L54" s="219" t="s">
        <v>1291</v>
      </c>
      <c r="M54" s="219"/>
      <c r="N54" s="113"/>
      <c r="O54" s="113"/>
      <c r="P54" s="113"/>
      <c r="Q54" s="113"/>
      <c r="R54" s="113"/>
      <c r="S54" s="113"/>
      <c r="T54" s="113"/>
      <c r="U54" s="113"/>
      <c r="V54" s="113"/>
      <c r="W54" s="113"/>
      <c r="X54" s="113"/>
      <c r="Y54" s="113"/>
      <c r="Z54" s="113"/>
      <c r="AA54" s="113"/>
      <c r="AB54" s="113"/>
      <c r="AC54" s="113"/>
      <c r="AD54" s="113"/>
      <c r="AE54" s="113"/>
      <c r="AF54" s="113"/>
      <c r="AG54" s="113"/>
      <c r="AH54" s="113"/>
      <c r="AI54" s="113" t="s">
        <v>1113</v>
      </c>
      <c r="AJ54" s="326"/>
      <c r="AK54" s="326"/>
      <c r="AL54" s="326"/>
      <c r="AM54" s="43" t="s">
        <v>5075</v>
      </c>
      <c r="AN54" s="233" t="str">
        <f>VLOOKUP(Table9[[#This Row],[Measure]],Table1025[[Value name]:[Value identifyer]],2,FALSE)</f>
        <v>R_Emergency</v>
      </c>
      <c r="AO54" s="241" t="str">
        <f>VLOOKUP(Table9[[#This Row],[Country Code]],Table29[],3,FALSE)</f>
        <v>Non-Annex I</v>
      </c>
      <c r="AP54" s="241" t="str">
        <f>VLOOKUP(Table9[[#This Row],[Country Code]],Table29[],4,FALSE)</f>
        <v>Africa</v>
      </c>
      <c r="AQ54" s="241" t="str">
        <f>VLOOKUP(Table9[[#This Row],[Country Code]],Table29[],5,FALSE)</f>
        <v>Low-income</v>
      </c>
      <c r="AR54" s="241" t="str">
        <f>VLOOKUP(Table9[[#This Row],[Country Code]],Table29[],6,FALSE)</f>
        <v>no</v>
      </c>
      <c r="AS54" s="241" t="str">
        <f>VLOOKUP(Table9[[#This Row],[Country Code]],Table29[],7,FALSE)</f>
        <v>no</v>
      </c>
      <c r="AT54" s="241" t="str">
        <f>VLOOKUP(Table9[[#This Row],[Country Code]],Table29[],8,FALSE)</f>
        <v>non-OECD</v>
      </c>
      <c r="AU54" s="233" t="str">
        <f>VLOOKUP(Table9[[#This Row],[Country Code]],Table29[],9,FALSE)</f>
        <v>no</v>
      </c>
      <c r="AV54" s="233" t="str">
        <f>VLOOKUP(Table9[[#This Row],[Country Code]],Table29[],10,FALSE)</f>
        <v>no</v>
      </c>
      <c r="AW54" s="233">
        <f>VLOOKUP(Table9[[#This Row],[Country Code]],Table29[],23,FALSE)</f>
        <v>95.377319649135998</v>
      </c>
      <c r="AX54" s="233">
        <f>VLOOKUP(Table9[[#This Row],[Country Code]],Table29[],24,FALSE)</f>
        <v>1.0943243015239441</v>
      </c>
      <c r="AY54" s="43"/>
    </row>
    <row r="55" spans="1:51" ht="45" x14ac:dyDescent="0.25">
      <c r="A55" s="368">
        <v>24788</v>
      </c>
      <c r="B55" s="233" t="str">
        <f>VLOOKUP(Table9[[#This Row],[Document ID]],Table1[],2,FALSE)</f>
        <v>TCD</v>
      </c>
      <c r="C55" s="233" t="str">
        <f>VLOOKUP(Table9[[#This Row],[Document ID]],Table1[],3,FALSE)</f>
        <v>Chad</v>
      </c>
      <c r="D55" s="241" t="str">
        <f>VLOOKUP(Table9[[#This Row],[Document ID]],Table1[],5,FALSE)</f>
        <v>NDC</v>
      </c>
      <c r="E55" s="233" t="str">
        <f>VLOOKUP(Table9[[#This Row],[Document ID]],Table1[],7,FALSE)</f>
        <v>First NDC updated</v>
      </c>
      <c r="F55" s="241" t="str">
        <f>VLOOKUP(Table9[[#This Row],[Document ID]],Table1[],8,FALSE)</f>
        <v>NDC 1.1</v>
      </c>
      <c r="G55" s="241" t="str">
        <f>VLOOKUP(Table9[[#This Row],[Document ID]],Table1[],10,FALSE)</f>
        <v>Active</v>
      </c>
      <c r="H55" s="43" t="s">
        <v>5072</v>
      </c>
      <c r="I55" s="43" t="s">
        <v>5082</v>
      </c>
      <c r="J55" s="330" t="s">
        <v>5129</v>
      </c>
      <c r="K55" s="259">
        <v>32</v>
      </c>
      <c r="L55" s="219" t="s">
        <v>1291</v>
      </c>
      <c r="M55" s="219"/>
      <c r="N55" s="113"/>
      <c r="O55" s="113"/>
      <c r="P55" s="113"/>
      <c r="Q55" s="113"/>
      <c r="R55" s="113"/>
      <c r="S55" s="113"/>
      <c r="T55" s="113"/>
      <c r="U55" s="113"/>
      <c r="V55" s="113"/>
      <c r="W55" s="113"/>
      <c r="X55" s="113"/>
      <c r="Y55" s="113"/>
      <c r="Z55" s="113"/>
      <c r="AA55" s="113"/>
      <c r="AB55" s="113"/>
      <c r="AC55" s="113"/>
      <c r="AD55" s="113"/>
      <c r="AE55" s="113"/>
      <c r="AF55" s="113"/>
      <c r="AG55" s="113"/>
      <c r="AH55" s="113"/>
      <c r="AI55" s="113" t="s">
        <v>1113</v>
      </c>
      <c r="AJ55" s="326"/>
      <c r="AK55" s="326"/>
      <c r="AL55" s="326"/>
      <c r="AM55" s="43" t="s">
        <v>5075</v>
      </c>
      <c r="AN55" s="233" t="str">
        <f>VLOOKUP(Table9[[#This Row],[Measure]],Table1025[[Value name]:[Value identifyer]],2,FALSE)</f>
        <v>R_Risk</v>
      </c>
      <c r="AO55" s="241" t="str">
        <f>VLOOKUP(Table9[[#This Row],[Country Code]],Table29[],3,FALSE)</f>
        <v>Non-Annex I</v>
      </c>
      <c r="AP55" s="241" t="str">
        <f>VLOOKUP(Table9[[#This Row],[Country Code]],Table29[],4,FALSE)</f>
        <v>Africa</v>
      </c>
      <c r="AQ55" s="241" t="str">
        <f>VLOOKUP(Table9[[#This Row],[Country Code]],Table29[],5,FALSE)</f>
        <v>Low-income</v>
      </c>
      <c r="AR55" s="241" t="str">
        <f>VLOOKUP(Table9[[#This Row],[Country Code]],Table29[],6,FALSE)</f>
        <v>no</v>
      </c>
      <c r="AS55" s="241" t="str">
        <f>VLOOKUP(Table9[[#This Row],[Country Code]],Table29[],7,FALSE)</f>
        <v>no</v>
      </c>
      <c r="AT55" s="241" t="str">
        <f>VLOOKUP(Table9[[#This Row],[Country Code]],Table29[],8,FALSE)</f>
        <v>non-OECD</v>
      </c>
      <c r="AU55" s="233" t="str">
        <f>VLOOKUP(Table9[[#This Row],[Country Code]],Table29[],9,FALSE)</f>
        <v>no</v>
      </c>
      <c r="AV55" s="233" t="str">
        <f>VLOOKUP(Table9[[#This Row],[Country Code]],Table29[],10,FALSE)</f>
        <v>no</v>
      </c>
      <c r="AW55" s="233">
        <f>VLOOKUP(Table9[[#This Row],[Country Code]],Table29[],23,FALSE)</f>
        <v>95.377319649135998</v>
      </c>
      <c r="AX55" s="233">
        <f>VLOOKUP(Table9[[#This Row],[Country Code]],Table29[],24,FALSE)</f>
        <v>1.0943243015239441</v>
      </c>
      <c r="AY55" s="43"/>
    </row>
    <row r="56" spans="1:51" ht="45" x14ac:dyDescent="0.25">
      <c r="A56" s="368">
        <v>24788</v>
      </c>
      <c r="B56" s="233" t="str">
        <f>VLOOKUP(Table9[[#This Row],[Document ID]],Table1[],2,FALSE)</f>
        <v>TCD</v>
      </c>
      <c r="C56" s="233" t="str">
        <f>VLOOKUP(Table9[[#This Row],[Document ID]],Table1[],3,FALSE)</f>
        <v>Chad</v>
      </c>
      <c r="D56" s="241" t="str">
        <f>VLOOKUP(Table9[[#This Row],[Document ID]],Table1[],5,FALSE)</f>
        <v>NDC</v>
      </c>
      <c r="E56" s="233" t="str">
        <f>VLOOKUP(Table9[[#This Row],[Document ID]],Table1[],7,FALSE)</f>
        <v>First NDC updated</v>
      </c>
      <c r="F56" s="241" t="str">
        <f>VLOOKUP(Table9[[#This Row],[Document ID]],Table1[],8,FALSE)</f>
        <v>NDC 1.1</v>
      </c>
      <c r="G56" s="241" t="str">
        <f>VLOOKUP(Table9[[#This Row],[Document ID]],Table1[],10,FALSE)</f>
        <v>Active</v>
      </c>
      <c r="H56" s="42" t="s">
        <v>5076</v>
      </c>
      <c r="I56" s="43" t="s">
        <v>5089</v>
      </c>
      <c r="J56" s="330" t="s">
        <v>5129</v>
      </c>
      <c r="K56" s="259">
        <v>32</v>
      </c>
      <c r="L56" s="219" t="s">
        <v>1291</v>
      </c>
      <c r="M56" s="219"/>
      <c r="N56" s="113"/>
      <c r="O56" s="113"/>
      <c r="P56" s="113"/>
      <c r="Q56" s="113"/>
      <c r="R56" s="113"/>
      <c r="S56" s="113"/>
      <c r="T56" s="113"/>
      <c r="U56" s="113"/>
      <c r="V56" s="113"/>
      <c r="W56" s="113"/>
      <c r="X56" s="113"/>
      <c r="Y56" s="113"/>
      <c r="Z56" s="113"/>
      <c r="AA56" s="113"/>
      <c r="AB56" s="113"/>
      <c r="AC56" s="113"/>
      <c r="AD56" s="113"/>
      <c r="AE56" s="113"/>
      <c r="AF56" s="113"/>
      <c r="AG56" s="113"/>
      <c r="AH56" s="113"/>
      <c r="AI56" s="113" t="s">
        <v>1113</v>
      </c>
      <c r="AJ56" s="326"/>
      <c r="AK56" s="326"/>
      <c r="AL56" s="326"/>
      <c r="AM56" s="43" t="s">
        <v>5075</v>
      </c>
      <c r="AN56" s="233" t="str">
        <f>VLOOKUP(Table9[[#This Row],[Measure]],Table1025[[Value name]:[Value identifyer]],2,FALSE)</f>
        <v>R_Design</v>
      </c>
      <c r="AO56" s="241" t="str">
        <f>VLOOKUP(Table9[[#This Row],[Country Code]],Table29[],3,FALSE)</f>
        <v>Non-Annex I</v>
      </c>
      <c r="AP56" s="241" t="str">
        <f>VLOOKUP(Table9[[#This Row],[Country Code]],Table29[],4,FALSE)</f>
        <v>Africa</v>
      </c>
      <c r="AQ56" s="241" t="str">
        <f>VLOOKUP(Table9[[#This Row],[Country Code]],Table29[],5,FALSE)</f>
        <v>Low-income</v>
      </c>
      <c r="AR56" s="241" t="str">
        <f>VLOOKUP(Table9[[#This Row],[Country Code]],Table29[],6,FALSE)</f>
        <v>no</v>
      </c>
      <c r="AS56" s="241" t="str">
        <f>VLOOKUP(Table9[[#This Row],[Country Code]],Table29[],7,FALSE)</f>
        <v>no</v>
      </c>
      <c r="AT56" s="241" t="str">
        <f>VLOOKUP(Table9[[#This Row],[Country Code]],Table29[],8,FALSE)</f>
        <v>non-OECD</v>
      </c>
      <c r="AU56" s="233" t="str">
        <f>VLOOKUP(Table9[[#This Row],[Country Code]],Table29[],9,FALSE)</f>
        <v>no</v>
      </c>
      <c r="AV56" s="233" t="str">
        <f>VLOOKUP(Table9[[#This Row],[Country Code]],Table29[],10,FALSE)</f>
        <v>no</v>
      </c>
      <c r="AW56" s="233">
        <f>VLOOKUP(Table9[[#This Row],[Country Code]],Table29[],23,FALSE)</f>
        <v>95.377319649135998</v>
      </c>
      <c r="AX56" s="233">
        <f>VLOOKUP(Table9[[#This Row],[Country Code]],Table29[],24,FALSE)</f>
        <v>1.0943243015239441</v>
      </c>
      <c r="AY56" s="43"/>
    </row>
    <row r="57" spans="1:51" ht="45" x14ac:dyDescent="0.25">
      <c r="A57" s="368">
        <v>24788</v>
      </c>
      <c r="B57" s="233" t="str">
        <f>VLOOKUP(Table9[[#This Row],[Document ID]],Table1[],2,FALSE)</f>
        <v>TCD</v>
      </c>
      <c r="C57" s="233" t="str">
        <f>VLOOKUP(Table9[[#This Row],[Document ID]],Table1[],3,FALSE)</f>
        <v>Chad</v>
      </c>
      <c r="D57" s="241" t="str">
        <f>VLOOKUP(Table9[[#This Row],[Document ID]],Table1[],5,FALSE)</f>
        <v>NDC</v>
      </c>
      <c r="E57" s="233" t="str">
        <f>VLOOKUP(Table9[[#This Row],[Document ID]],Table1[],7,FALSE)</f>
        <v>First NDC updated</v>
      </c>
      <c r="F57" s="241" t="str">
        <f>VLOOKUP(Table9[[#This Row],[Document ID]],Table1[],8,FALSE)</f>
        <v>NDC 1.1</v>
      </c>
      <c r="G57" s="241" t="str">
        <f>VLOOKUP(Table9[[#This Row],[Document ID]],Table1[],10,FALSE)</f>
        <v>Active</v>
      </c>
      <c r="H57" s="42" t="s">
        <v>5072</v>
      </c>
      <c r="I57" s="43" t="s">
        <v>5091</v>
      </c>
      <c r="J57" s="209" t="s">
        <v>5129</v>
      </c>
      <c r="K57" s="259">
        <v>32</v>
      </c>
      <c r="L57" s="219" t="s">
        <v>1291</v>
      </c>
      <c r="M57" s="219"/>
      <c r="N57" s="113"/>
      <c r="O57" s="113"/>
      <c r="P57" s="113"/>
      <c r="Q57" s="113"/>
      <c r="R57" s="113"/>
      <c r="S57" s="113"/>
      <c r="T57" s="113"/>
      <c r="U57" s="113"/>
      <c r="V57" s="113"/>
      <c r="W57" s="113"/>
      <c r="X57" s="113"/>
      <c r="Y57" s="113"/>
      <c r="Z57" s="113"/>
      <c r="AA57" s="113"/>
      <c r="AB57" s="113"/>
      <c r="AC57" s="113"/>
      <c r="AD57" s="113"/>
      <c r="AE57" s="113"/>
      <c r="AF57" s="113"/>
      <c r="AG57" s="113"/>
      <c r="AH57" s="113"/>
      <c r="AI57" s="113" t="s">
        <v>1113</v>
      </c>
      <c r="AJ57" s="326"/>
      <c r="AK57" s="326"/>
      <c r="AL57" s="326"/>
      <c r="AM57" s="43" t="s">
        <v>5075</v>
      </c>
      <c r="AN57" s="233" t="str">
        <f>VLOOKUP(Table9[[#This Row],[Measure]],Table1025[[Value name]:[Value identifyer]],2,FALSE)</f>
        <v>R_Maintain</v>
      </c>
      <c r="AO57" s="241" t="str">
        <f>VLOOKUP(Table9[[#This Row],[Country Code]],Table29[],3,FALSE)</f>
        <v>Non-Annex I</v>
      </c>
      <c r="AP57" s="241" t="str">
        <f>VLOOKUP(Table9[[#This Row],[Country Code]],Table29[],4,FALSE)</f>
        <v>Africa</v>
      </c>
      <c r="AQ57" s="241" t="str">
        <f>VLOOKUP(Table9[[#This Row],[Country Code]],Table29[],5,FALSE)</f>
        <v>Low-income</v>
      </c>
      <c r="AR57" s="241" t="str">
        <f>VLOOKUP(Table9[[#This Row],[Country Code]],Table29[],6,FALSE)</f>
        <v>no</v>
      </c>
      <c r="AS57" s="241" t="str">
        <f>VLOOKUP(Table9[[#This Row],[Country Code]],Table29[],7,FALSE)</f>
        <v>no</v>
      </c>
      <c r="AT57" s="241" t="str">
        <f>VLOOKUP(Table9[[#This Row],[Country Code]],Table29[],8,FALSE)</f>
        <v>non-OECD</v>
      </c>
      <c r="AU57" s="233" t="str">
        <f>VLOOKUP(Table9[[#This Row],[Country Code]],Table29[],9,FALSE)</f>
        <v>no</v>
      </c>
      <c r="AV57" s="233" t="str">
        <f>VLOOKUP(Table9[[#This Row],[Country Code]],Table29[],10,FALSE)</f>
        <v>no</v>
      </c>
      <c r="AW57" s="233">
        <f>VLOOKUP(Table9[[#This Row],[Country Code]],Table29[],23,FALSE)</f>
        <v>95.377319649135998</v>
      </c>
      <c r="AX57" s="233">
        <f>VLOOKUP(Table9[[#This Row],[Country Code]],Table29[],24,FALSE)</f>
        <v>1.0943243015239441</v>
      </c>
      <c r="AY57" s="43"/>
    </row>
    <row r="58" spans="1:51" ht="45" x14ac:dyDescent="0.25">
      <c r="A58" s="360">
        <v>17558</v>
      </c>
      <c r="B58" s="233" t="str">
        <f>VLOOKUP(Table9[[#This Row],[Document ID]],Table1[],2,FALSE)</f>
        <v>COL</v>
      </c>
      <c r="C58" s="233" t="str">
        <f>VLOOKUP(Table9[[#This Row],[Document ID]],Table1[],3,FALSE)</f>
        <v>Colombia</v>
      </c>
      <c r="D58" s="233" t="str">
        <f>VLOOKUP(Table9[[#This Row],[Document ID]],Table1[],5,FALSE)</f>
        <v>NDC</v>
      </c>
      <c r="E58" s="233" t="str">
        <f>VLOOKUP(Table9[[#This Row],[Document ID]],Table1[],7,FALSE)</f>
        <v>First NDC updated</v>
      </c>
      <c r="F58" s="233" t="str">
        <f>VLOOKUP(Table9[[#This Row],[Document ID]],Table1[],8,FALSE)</f>
        <v>NDC 1.1</v>
      </c>
      <c r="G58" s="233" t="str">
        <f>VLOOKUP(Table9[[#This Row],[Document ID]],Table1[],10,FALSE)</f>
        <v>Active</v>
      </c>
      <c r="H58" s="44" t="s">
        <v>5086</v>
      </c>
      <c r="I58" s="43" t="s">
        <v>5130</v>
      </c>
      <c r="J58" s="44" t="s">
        <v>5131</v>
      </c>
      <c r="K58" s="221" t="s">
        <v>5132</v>
      </c>
      <c r="L58" s="113"/>
      <c r="M58" s="113"/>
      <c r="N58" s="113"/>
      <c r="O58" s="113"/>
      <c r="P58" s="113"/>
      <c r="Q58" s="113"/>
      <c r="R58" s="113"/>
      <c r="S58" s="113"/>
      <c r="T58" s="113"/>
      <c r="U58" s="113"/>
      <c r="V58" s="113"/>
      <c r="W58" s="113"/>
      <c r="X58" s="113" t="s">
        <v>1113</v>
      </c>
      <c r="Y58" s="113"/>
      <c r="Z58" s="113"/>
      <c r="AA58" s="113"/>
      <c r="AB58" s="113" t="s">
        <v>1113</v>
      </c>
      <c r="AC58" s="113"/>
      <c r="AD58" s="113"/>
      <c r="AE58" s="113"/>
      <c r="AF58" s="113"/>
      <c r="AG58" s="113"/>
      <c r="AH58" s="113"/>
      <c r="AI58" s="113" t="s">
        <v>1113</v>
      </c>
      <c r="AJ58" s="113"/>
      <c r="AK58" s="113"/>
      <c r="AL58" s="113"/>
      <c r="AM58" s="43" t="s">
        <v>5075</v>
      </c>
      <c r="AN58" s="233" t="str">
        <f>VLOOKUP(Table9[[#This Row],[Measure]],Table1025[[Value name]:[Value identifyer]],2,FALSE)</f>
        <v>R_Monitoring</v>
      </c>
      <c r="AO58" s="241" t="str">
        <f>VLOOKUP(Table9[[#This Row],[Country Code]],Table29[],3,FALSE)</f>
        <v>Non-Annex I</v>
      </c>
      <c r="AP58" s="241" t="str">
        <f>VLOOKUP(Table9[[#This Row],[Country Code]],Table29[],4,FALSE)</f>
        <v>Latin America and the Caribbean</v>
      </c>
      <c r="AQ58" s="241" t="str">
        <f>VLOOKUP(Table9[[#This Row],[Country Code]],Table29[],5,FALSE)</f>
        <v>Middle-income</v>
      </c>
      <c r="AR58" s="241" t="str">
        <f>VLOOKUP(Table9[[#This Row],[Country Code]],Table29[],6,FALSE)</f>
        <v>no</v>
      </c>
      <c r="AS58" s="241" t="str">
        <f>VLOOKUP(Table9[[#This Row],[Country Code]],Table29[],7,FALSE)</f>
        <v>no</v>
      </c>
      <c r="AT58" s="241" t="str">
        <f>VLOOKUP(Table9[[#This Row],[Country Code]],Table29[],8,FALSE)</f>
        <v>OECD</v>
      </c>
      <c r="AU58" s="233" t="str">
        <f>VLOOKUP(Table9[[#This Row],[Country Code]],Table29[],9,FALSE)</f>
        <v>no</v>
      </c>
      <c r="AV58" s="233" t="str">
        <f>VLOOKUP(Table9[[#This Row],[Country Code]],Table29[],10,FALSE)</f>
        <v>no</v>
      </c>
      <c r="AW58" s="233">
        <f>VLOOKUP(Table9[[#This Row],[Country Code]],Table29[],23,FALSE)</f>
        <v>223.96663405241</v>
      </c>
      <c r="AX58" s="233">
        <f>VLOOKUP(Table9[[#This Row],[Country Code]],Table29[],24,FALSE)</f>
        <v>37.36796885652894</v>
      </c>
      <c r="AY58" s="43"/>
    </row>
    <row r="59" spans="1:51" ht="60" x14ac:dyDescent="0.25">
      <c r="A59" s="360">
        <v>17558</v>
      </c>
      <c r="B59" s="233" t="str">
        <f>VLOOKUP(Table9[[#This Row],[Document ID]],Table1[],2,FALSE)</f>
        <v>COL</v>
      </c>
      <c r="C59" s="233" t="str">
        <f>VLOOKUP(Table9[[#This Row],[Document ID]],Table1[],3,FALSE)</f>
        <v>Colombia</v>
      </c>
      <c r="D59" s="233" t="str">
        <f>VLOOKUP(Table9[[#This Row],[Document ID]],Table1[],5,FALSE)</f>
        <v>NDC</v>
      </c>
      <c r="E59" s="233" t="str">
        <f>VLOOKUP(Table9[[#This Row],[Document ID]],Table1[],7,FALSE)</f>
        <v>First NDC updated</v>
      </c>
      <c r="F59" s="233" t="str">
        <f>VLOOKUP(Table9[[#This Row],[Document ID]],Table1[],8,FALSE)</f>
        <v>NDC 1.1</v>
      </c>
      <c r="G59" s="233" t="str">
        <f>VLOOKUP(Table9[[#This Row],[Document ID]],Table1[],10,FALSE)</f>
        <v>Active</v>
      </c>
      <c r="H59" s="44" t="s">
        <v>5086</v>
      </c>
      <c r="I59" s="43" t="s">
        <v>5127</v>
      </c>
      <c r="J59" s="44" t="s">
        <v>5133</v>
      </c>
      <c r="K59" s="221" t="s">
        <v>5132</v>
      </c>
      <c r="L59" s="113"/>
      <c r="M59" s="113"/>
      <c r="N59" s="113"/>
      <c r="O59" s="113"/>
      <c r="P59" s="113"/>
      <c r="Q59" s="113" t="s">
        <v>1113</v>
      </c>
      <c r="R59" s="113"/>
      <c r="S59" s="113"/>
      <c r="T59" s="113"/>
      <c r="U59" s="113"/>
      <c r="V59" s="113"/>
      <c r="W59" s="113"/>
      <c r="X59" s="113"/>
      <c r="Y59" s="113"/>
      <c r="Z59" s="113"/>
      <c r="AA59" s="113"/>
      <c r="AB59" s="113"/>
      <c r="AC59" s="113"/>
      <c r="AD59" s="113"/>
      <c r="AE59" s="113"/>
      <c r="AF59" s="113"/>
      <c r="AG59" s="113"/>
      <c r="AH59" s="113"/>
      <c r="AI59" s="113" t="s">
        <v>1113</v>
      </c>
      <c r="AJ59" s="113"/>
      <c r="AK59" s="113"/>
      <c r="AL59" s="113"/>
      <c r="AM59" s="43" t="s">
        <v>5075</v>
      </c>
      <c r="AN59" s="233" t="str">
        <f>VLOOKUP(Table9[[#This Row],[Measure]],Table1025[[Value name]:[Value identifyer]],2,FALSE)</f>
        <v>R_Emergency</v>
      </c>
      <c r="AO59" s="241" t="str">
        <f>VLOOKUP(Table9[[#This Row],[Country Code]],Table29[],3,FALSE)</f>
        <v>Non-Annex I</v>
      </c>
      <c r="AP59" s="241" t="str">
        <f>VLOOKUP(Table9[[#This Row],[Country Code]],Table29[],4,FALSE)</f>
        <v>Latin America and the Caribbean</v>
      </c>
      <c r="AQ59" s="241" t="str">
        <f>VLOOKUP(Table9[[#This Row],[Country Code]],Table29[],5,FALSE)</f>
        <v>Middle-income</v>
      </c>
      <c r="AR59" s="241" t="str">
        <f>VLOOKUP(Table9[[#This Row],[Country Code]],Table29[],6,FALSE)</f>
        <v>no</v>
      </c>
      <c r="AS59" s="241" t="str">
        <f>VLOOKUP(Table9[[#This Row],[Country Code]],Table29[],7,FALSE)</f>
        <v>no</v>
      </c>
      <c r="AT59" s="241" t="str">
        <f>VLOOKUP(Table9[[#This Row],[Country Code]],Table29[],8,FALSE)</f>
        <v>OECD</v>
      </c>
      <c r="AU59" s="233" t="str">
        <f>VLOOKUP(Table9[[#This Row],[Country Code]],Table29[],9,FALSE)</f>
        <v>no</v>
      </c>
      <c r="AV59" s="233" t="str">
        <f>VLOOKUP(Table9[[#This Row],[Country Code]],Table29[],10,FALSE)</f>
        <v>no</v>
      </c>
      <c r="AW59" s="233">
        <f>VLOOKUP(Table9[[#This Row],[Country Code]],Table29[],23,FALSE)</f>
        <v>223.96663405241</v>
      </c>
      <c r="AX59" s="233">
        <f>VLOOKUP(Table9[[#This Row],[Country Code]],Table29[],24,FALSE)</f>
        <v>37.36796885652894</v>
      </c>
      <c r="AY59" s="43"/>
    </row>
    <row r="60" spans="1:51" x14ac:dyDescent="0.25">
      <c r="A60" s="360">
        <v>17558</v>
      </c>
      <c r="B60" s="233" t="str">
        <f>VLOOKUP(Table9[[#This Row],[Document ID]],Table1[],2,FALSE)</f>
        <v>COL</v>
      </c>
      <c r="C60" s="233" t="str">
        <f>VLOOKUP(Table9[[#This Row],[Document ID]],Table1[],3,FALSE)</f>
        <v>Colombia</v>
      </c>
      <c r="D60" s="233" t="str">
        <f>VLOOKUP(Table9[[#This Row],[Document ID]],Table1[],5,FALSE)</f>
        <v>NDC</v>
      </c>
      <c r="E60" s="233" t="str">
        <f>VLOOKUP(Table9[[#This Row],[Document ID]],Table1[],7,FALSE)</f>
        <v>First NDC updated</v>
      </c>
      <c r="F60" s="233" t="str">
        <f>VLOOKUP(Table9[[#This Row],[Document ID]],Table1[],8,FALSE)</f>
        <v>NDC 1.1</v>
      </c>
      <c r="G60" s="233" t="str">
        <f>VLOOKUP(Table9[[#This Row],[Document ID]],Table1[],10,FALSE)</f>
        <v>Active</v>
      </c>
      <c r="H60" s="44" t="s">
        <v>5086</v>
      </c>
      <c r="I60" s="43" t="s">
        <v>5127</v>
      </c>
      <c r="J60" s="44" t="s">
        <v>5134</v>
      </c>
      <c r="K60" s="221" t="s">
        <v>5132</v>
      </c>
      <c r="L60" s="113"/>
      <c r="M60" s="113"/>
      <c r="N60" s="113"/>
      <c r="O60" s="113"/>
      <c r="P60" s="113"/>
      <c r="Q60" s="113" t="s">
        <v>1113</v>
      </c>
      <c r="R60" s="113"/>
      <c r="S60" s="113"/>
      <c r="T60" s="113"/>
      <c r="U60" s="113"/>
      <c r="V60" s="113"/>
      <c r="W60" s="113"/>
      <c r="X60" s="113" t="s">
        <v>1113</v>
      </c>
      <c r="Y60" s="113"/>
      <c r="Z60" s="113"/>
      <c r="AA60" s="113"/>
      <c r="AB60" s="113" t="s">
        <v>1113</v>
      </c>
      <c r="AC60" s="113"/>
      <c r="AD60" s="113"/>
      <c r="AE60" s="113"/>
      <c r="AF60" s="113"/>
      <c r="AG60" s="113"/>
      <c r="AH60" s="113"/>
      <c r="AI60" s="113" t="s">
        <v>1113</v>
      </c>
      <c r="AJ60" s="113"/>
      <c r="AK60" s="113"/>
      <c r="AL60" s="113"/>
      <c r="AM60" s="43" t="s">
        <v>5075</v>
      </c>
      <c r="AN60" s="233" t="str">
        <f>VLOOKUP(Table9[[#This Row],[Measure]],Table1025[[Value name]:[Value identifyer]],2,FALSE)</f>
        <v>R_Emergency</v>
      </c>
      <c r="AO60" s="241" t="str">
        <f>VLOOKUP(Table9[[#This Row],[Country Code]],Table29[],3,FALSE)</f>
        <v>Non-Annex I</v>
      </c>
      <c r="AP60" s="241" t="str">
        <f>VLOOKUP(Table9[[#This Row],[Country Code]],Table29[],4,FALSE)</f>
        <v>Latin America and the Caribbean</v>
      </c>
      <c r="AQ60" s="241" t="str">
        <f>VLOOKUP(Table9[[#This Row],[Country Code]],Table29[],5,FALSE)</f>
        <v>Middle-income</v>
      </c>
      <c r="AR60" s="241" t="str">
        <f>VLOOKUP(Table9[[#This Row],[Country Code]],Table29[],6,FALSE)</f>
        <v>no</v>
      </c>
      <c r="AS60" s="241" t="str">
        <f>VLOOKUP(Table9[[#This Row],[Country Code]],Table29[],7,FALSE)</f>
        <v>no</v>
      </c>
      <c r="AT60" s="241" t="str">
        <f>VLOOKUP(Table9[[#This Row],[Country Code]],Table29[],8,FALSE)</f>
        <v>OECD</v>
      </c>
      <c r="AU60" s="233" t="str">
        <f>VLOOKUP(Table9[[#This Row],[Country Code]],Table29[],9,FALSE)</f>
        <v>no</v>
      </c>
      <c r="AV60" s="233" t="str">
        <f>VLOOKUP(Table9[[#This Row],[Country Code]],Table29[],10,FALSE)</f>
        <v>no</v>
      </c>
      <c r="AW60" s="233">
        <f>VLOOKUP(Table9[[#This Row],[Country Code]],Table29[],23,FALSE)</f>
        <v>223.96663405241</v>
      </c>
      <c r="AX60" s="233">
        <f>VLOOKUP(Table9[[#This Row],[Country Code]],Table29[],24,FALSE)</f>
        <v>37.36796885652894</v>
      </c>
      <c r="AY60" s="43"/>
    </row>
    <row r="61" spans="1:51" ht="30" x14ac:dyDescent="0.25">
      <c r="A61" s="360">
        <v>17558</v>
      </c>
      <c r="B61" s="233" t="str">
        <f>VLOOKUP(Table9[[#This Row],[Document ID]],Table1[],2,FALSE)</f>
        <v>COL</v>
      </c>
      <c r="C61" s="233" t="str">
        <f>VLOOKUP(Table9[[#This Row],[Document ID]],Table1[],3,FALSE)</f>
        <v>Colombia</v>
      </c>
      <c r="D61" s="233" t="str">
        <f>VLOOKUP(Table9[[#This Row],[Document ID]],Table1[],5,FALSE)</f>
        <v>NDC</v>
      </c>
      <c r="E61" s="233" t="str">
        <f>VLOOKUP(Table9[[#This Row],[Document ID]],Table1[],7,FALSE)</f>
        <v>First NDC updated</v>
      </c>
      <c r="F61" s="233" t="str">
        <f>VLOOKUP(Table9[[#This Row],[Document ID]],Table1[],8,FALSE)</f>
        <v>NDC 1.1</v>
      </c>
      <c r="G61" s="233" t="str">
        <f>VLOOKUP(Table9[[#This Row],[Document ID]],Table1[],10,FALSE)</f>
        <v>Active</v>
      </c>
      <c r="H61" s="44" t="s">
        <v>5076</v>
      </c>
      <c r="I61" s="43" t="s">
        <v>5077</v>
      </c>
      <c r="J61" s="44" t="s">
        <v>5135</v>
      </c>
      <c r="K61" s="221">
        <v>17</v>
      </c>
      <c r="L61" s="113" t="s">
        <v>1113</v>
      </c>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t="s">
        <v>1113</v>
      </c>
      <c r="AJ61" s="113"/>
      <c r="AK61" s="113"/>
      <c r="AL61" s="113"/>
      <c r="AM61" s="43" t="s">
        <v>5075</v>
      </c>
      <c r="AN61" s="233" t="str">
        <f>VLOOKUP(Table9[[#This Row],[Measure]],Table1025[[Value name]:[Value identifyer]],2,FALSE)</f>
        <v>R_Planning</v>
      </c>
      <c r="AO61" s="241" t="str">
        <f>VLOOKUP(Table9[[#This Row],[Country Code]],Table29[],3,FALSE)</f>
        <v>Non-Annex I</v>
      </c>
      <c r="AP61" s="241" t="str">
        <f>VLOOKUP(Table9[[#This Row],[Country Code]],Table29[],4,FALSE)</f>
        <v>Latin America and the Caribbean</v>
      </c>
      <c r="AQ61" s="241" t="str">
        <f>VLOOKUP(Table9[[#This Row],[Country Code]],Table29[],5,FALSE)</f>
        <v>Middle-income</v>
      </c>
      <c r="AR61" s="241" t="str">
        <f>VLOOKUP(Table9[[#This Row],[Country Code]],Table29[],6,FALSE)</f>
        <v>no</v>
      </c>
      <c r="AS61" s="241" t="str">
        <f>VLOOKUP(Table9[[#This Row],[Country Code]],Table29[],7,FALSE)</f>
        <v>no</v>
      </c>
      <c r="AT61" s="241" t="str">
        <f>VLOOKUP(Table9[[#This Row],[Country Code]],Table29[],8,FALSE)</f>
        <v>OECD</v>
      </c>
      <c r="AU61" s="233" t="str">
        <f>VLOOKUP(Table9[[#This Row],[Country Code]],Table29[],9,FALSE)</f>
        <v>no</v>
      </c>
      <c r="AV61" s="233" t="str">
        <f>VLOOKUP(Table9[[#This Row],[Country Code]],Table29[],10,FALSE)</f>
        <v>no</v>
      </c>
      <c r="AW61" s="233">
        <f>VLOOKUP(Table9[[#This Row],[Country Code]],Table29[],23,FALSE)</f>
        <v>223.96663405241</v>
      </c>
      <c r="AX61" s="233">
        <f>VLOOKUP(Table9[[#This Row],[Country Code]],Table29[],24,FALSE)</f>
        <v>37.36796885652894</v>
      </c>
      <c r="AY61" s="43"/>
    </row>
    <row r="62" spans="1:51" x14ac:dyDescent="0.25">
      <c r="A62" s="360">
        <v>17558</v>
      </c>
      <c r="B62" s="233" t="str">
        <f>VLOOKUP(Table9[[#This Row],[Document ID]],Table1[],2,FALSE)</f>
        <v>COL</v>
      </c>
      <c r="C62" s="233" t="str">
        <f>VLOOKUP(Table9[[#This Row],[Document ID]],Table1[],3,FALSE)</f>
        <v>Colombia</v>
      </c>
      <c r="D62" s="233" t="str">
        <f>VLOOKUP(Table9[[#This Row],[Document ID]],Table1[],5,FALSE)</f>
        <v>NDC</v>
      </c>
      <c r="E62" s="233" t="str">
        <f>VLOOKUP(Table9[[#This Row],[Document ID]],Table1[],7,FALSE)</f>
        <v>First NDC updated</v>
      </c>
      <c r="F62" s="233" t="str">
        <f>VLOOKUP(Table9[[#This Row],[Document ID]],Table1[],8,FALSE)</f>
        <v>NDC 1.1</v>
      </c>
      <c r="G62" s="233" t="str">
        <f>VLOOKUP(Table9[[#This Row],[Document ID]],Table1[],10,FALSE)</f>
        <v>Active</v>
      </c>
      <c r="H62" s="44" t="s">
        <v>5086</v>
      </c>
      <c r="I62" s="43" t="s">
        <v>5127</v>
      </c>
      <c r="J62" s="44" t="s">
        <v>5136</v>
      </c>
      <c r="K62" s="221" t="s">
        <v>5137</v>
      </c>
      <c r="L62" s="113"/>
      <c r="M62" s="113"/>
      <c r="N62" s="113"/>
      <c r="O62" s="113"/>
      <c r="P62" s="113"/>
      <c r="Q62" s="113" t="s">
        <v>1113</v>
      </c>
      <c r="R62" s="113"/>
      <c r="S62" s="113"/>
      <c r="T62" s="113"/>
      <c r="U62" s="113"/>
      <c r="V62" s="113"/>
      <c r="W62" s="113"/>
      <c r="X62" s="113" t="s">
        <v>1113</v>
      </c>
      <c r="Y62" s="113"/>
      <c r="Z62" s="113"/>
      <c r="AA62" s="113"/>
      <c r="AB62" s="113" t="s">
        <v>1113</v>
      </c>
      <c r="AC62" s="113"/>
      <c r="AD62" s="113"/>
      <c r="AE62" s="113"/>
      <c r="AF62" s="113" t="s">
        <v>1113</v>
      </c>
      <c r="AG62" s="113"/>
      <c r="AH62" s="113"/>
      <c r="AI62" s="113" t="s">
        <v>1113</v>
      </c>
      <c r="AJ62" s="113"/>
      <c r="AK62" s="113"/>
      <c r="AL62" s="113"/>
      <c r="AM62" s="43" t="s">
        <v>5075</v>
      </c>
      <c r="AN62" s="233" t="str">
        <f>VLOOKUP(Table9[[#This Row],[Measure]],Table1025[[Value name]:[Value identifyer]],2,FALSE)</f>
        <v>R_Emergency</v>
      </c>
      <c r="AO62" s="241" t="str">
        <f>VLOOKUP(Table9[[#This Row],[Country Code]],Table29[],3,FALSE)</f>
        <v>Non-Annex I</v>
      </c>
      <c r="AP62" s="241" t="str">
        <f>VLOOKUP(Table9[[#This Row],[Country Code]],Table29[],4,FALSE)</f>
        <v>Latin America and the Caribbean</v>
      </c>
      <c r="AQ62" s="241" t="str">
        <f>VLOOKUP(Table9[[#This Row],[Country Code]],Table29[],5,FALSE)</f>
        <v>Middle-income</v>
      </c>
      <c r="AR62" s="241" t="str">
        <f>VLOOKUP(Table9[[#This Row],[Country Code]],Table29[],6,FALSE)</f>
        <v>no</v>
      </c>
      <c r="AS62" s="241" t="str">
        <f>VLOOKUP(Table9[[#This Row],[Country Code]],Table29[],7,FALSE)</f>
        <v>no</v>
      </c>
      <c r="AT62" s="241" t="str">
        <f>VLOOKUP(Table9[[#This Row],[Country Code]],Table29[],8,FALSE)</f>
        <v>OECD</v>
      </c>
      <c r="AU62" s="233" t="str">
        <f>VLOOKUP(Table9[[#This Row],[Country Code]],Table29[],9,FALSE)</f>
        <v>no</v>
      </c>
      <c r="AV62" s="233" t="str">
        <f>VLOOKUP(Table9[[#This Row],[Country Code]],Table29[],10,FALSE)</f>
        <v>no</v>
      </c>
      <c r="AW62" s="233">
        <f>VLOOKUP(Table9[[#This Row],[Country Code]],Table29[],23,FALSE)</f>
        <v>223.96663405241</v>
      </c>
      <c r="AX62" s="233">
        <f>VLOOKUP(Table9[[#This Row],[Country Code]],Table29[],24,FALSE)</f>
        <v>37.36796885652894</v>
      </c>
      <c r="AY62" s="43"/>
    </row>
    <row r="63" spans="1:51" ht="30" x14ac:dyDescent="0.25">
      <c r="A63" s="360">
        <v>17558</v>
      </c>
      <c r="B63" s="233" t="str">
        <f>VLOOKUP(Table9[[#This Row],[Document ID]],Table1[],2,FALSE)</f>
        <v>COL</v>
      </c>
      <c r="C63" s="233" t="str">
        <f>VLOOKUP(Table9[[#This Row],[Document ID]],Table1[],3,FALSE)</f>
        <v>Colombia</v>
      </c>
      <c r="D63" s="233" t="str">
        <f>VLOOKUP(Table9[[#This Row],[Document ID]],Table1[],5,FALSE)</f>
        <v>NDC</v>
      </c>
      <c r="E63" s="233" t="str">
        <f>VLOOKUP(Table9[[#This Row],[Document ID]],Table1[],7,FALSE)</f>
        <v>First NDC updated</v>
      </c>
      <c r="F63" s="233" t="str">
        <f>VLOOKUP(Table9[[#This Row],[Document ID]],Table1[],8,FALSE)</f>
        <v>NDC 1.1</v>
      </c>
      <c r="G63" s="233" t="str">
        <f>VLOOKUP(Table9[[#This Row],[Document ID]],Table1[],10,FALSE)</f>
        <v>Active</v>
      </c>
      <c r="H63" s="44" t="s">
        <v>5072</v>
      </c>
      <c r="I63" s="43" t="s">
        <v>5082</v>
      </c>
      <c r="J63" s="44" t="s">
        <v>5138</v>
      </c>
      <c r="K63" s="221" t="s">
        <v>5139</v>
      </c>
      <c r="L63" s="113"/>
      <c r="M63" s="113"/>
      <c r="N63" s="113"/>
      <c r="O63" s="113"/>
      <c r="P63" s="113"/>
      <c r="Q63" s="113" t="s">
        <v>1113</v>
      </c>
      <c r="R63" s="113"/>
      <c r="S63" s="113"/>
      <c r="T63" s="113"/>
      <c r="U63" s="113"/>
      <c r="V63" s="113"/>
      <c r="W63" s="113"/>
      <c r="X63" s="113"/>
      <c r="Y63" s="113"/>
      <c r="Z63" s="113"/>
      <c r="AA63" s="113"/>
      <c r="AB63" s="113"/>
      <c r="AC63" s="113"/>
      <c r="AD63" s="113"/>
      <c r="AE63" s="113"/>
      <c r="AF63" s="113"/>
      <c r="AG63" s="113"/>
      <c r="AH63" s="113"/>
      <c r="AI63" s="113" t="s">
        <v>1113</v>
      </c>
      <c r="AJ63" s="113"/>
      <c r="AK63" s="113"/>
      <c r="AL63" s="113"/>
      <c r="AM63" s="43" t="s">
        <v>5075</v>
      </c>
      <c r="AN63" s="233" t="str">
        <f>VLOOKUP(Table9[[#This Row],[Measure]],Table1025[[Value name]:[Value identifyer]],2,FALSE)</f>
        <v>R_Risk</v>
      </c>
      <c r="AO63" s="241" t="str">
        <f>VLOOKUP(Table9[[#This Row],[Country Code]],Table29[],3,FALSE)</f>
        <v>Non-Annex I</v>
      </c>
      <c r="AP63" s="241" t="str">
        <f>VLOOKUP(Table9[[#This Row],[Country Code]],Table29[],4,FALSE)</f>
        <v>Latin America and the Caribbean</v>
      </c>
      <c r="AQ63" s="241" t="str">
        <f>VLOOKUP(Table9[[#This Row],[Country Code]],Table29[],5,FALSE)</f>
        <v>Middle-income</v>
      </c>
      <c r="AR63" s="241" t="str">
        <f>VLOOKUP(Table9[[#This Row],[Country Code]],Table29[],6,FALSE)</f>
        <v>no</v>
      </c>
      <c r="AS63" s="241" t="str">
        <f>VLOOKUP(Table9[[#This Row],[Country Code]],Table29[],7,FALSE)</f>
        <v>no</v>
      </c>
      <c r="AT63" s="241" t="str">
        <f>VLOOKUP(Table9[[#This Row],[Country Code]],Table29[],8,FALSE)</f>
        <v>OECD</v>
      </c>
      <c r="AU63" s="233" t="str">
        <f>VLOOKUP(Table9[[#This Row],[Country Code]],Table29[],9,FALSE)</f>
        <v>no</v>
      </c>
      <c r="AV63" s="233" t="str">
        <f>VLOOKUP(Table9[[#This Row],[Country Code]],Table29[],10,FALSE)</f>
        <v>no</v>
      </c>
      <c r="AW63" s="233">
        <f>VLOOKUP(Table9[[#This Row],[Country Code]],Table29[],23,FALSE)</f>
        <v>223.96663405241</v>
      </c>
      <c r="AX63" s="233">
        <f>VLOOKUP(Table9[[#This Row],[Country Code]],Table29[],24,FALSE)</f>
        <v>37.36796885652894</v>
      </c>
      <c r="AY63" s="43"/>
    </row>
    <row r="64" spans="1:51" x14ac:dyDescent="0.25">
      <c r="A64" s="360">
        <v>17558</v>
      </c>
      <c r="B64" s="233" t="str">
        <f>VLOOKUP(Table9[[#This Row],[Document ID]],Table1[],2,FALSE)</f>
        <v>COL</v>
      </c>
      <c r="C64" s="233" t="str">
        <f>VLOOKUP(Table9[[#This Row],[Document ID]],Table1[],3,FALSE)</f>
        <v>Colombia</v>
      </c>
      <c r="D64" s="233" t="str">
        <f>VLOOKUP(Table9[[#This Row],[Document ID]],Table1[],5,FALSE)</f>
        <v>NDC</v>
      </c>
      <c r="E64" s="233" t="str">
        <f>VLOOKUP(Table9[[#This Row],[Document ID]],Table1[],7,FALSE)</f>
        <v>First NDC updated</v>
      </c>
      <c r="F64" s="233" t="str">
        <f>VLOOKUP(Table9[[#This Row],[Document ID]],Table1[],8,FALSE)</f>
        <v>NDC 1.1</v>
      </c>
      <c r="G64" s="233" t="str">
        <f>VLOOKUP(Table9[[#This Row],[Document ID]],Table1[],10,FALSE)</f>
        <v>Active</v>
      </c>
      <c r="H64" s="44" t="s">
        <v>5086</v>
      </c>
      <c r="I64" s="43" t="s">
        <v>5087</v>
      </c>
      <c r="J64" s="44" t="s">
        <v>5140</v>
      </c>
      <c r="K64" s="221" t="s">
        <v>5139</v>
      </c>
      <c r="L64" s="113"/>
      <c r="M64" s="113"/>
      <c r="N64" s="113"/>
      <c r="O64" s="113"/>
      <c r="P64" s="113"/>
      <c r="Q64" s="113" t="s">
        <v>1113</v>
      </c>
      <c r="R64" s="113"/>
      <c r="S64" s="113"/>
      <c r="T64" s="113"/>
      <c r="U64" s="113"/>
      <c r="V64" s="113"/>
      <c r="W64" s="113"/>
      <c r="X64" s="113" t="s">
        <v>1113</v>
      </c>
      <c r="Y64" s="113"/>
      <c r="Z64" s="113"/>
      <c r="AA64" s="113"/>
      <c r="AB64" s="113" t="s">
        <v>1113</v>
      </c>
      <c r="AC64" s="113"/>
      <c r="AD64" s="113"/>
      <c r="AE64" s="113"/>
      <c r="AF64" s="113" t="s">
        <v>1113</v>
      </c>
      <c r="AG64" s="113"/>
      <c r="AH64" s="113"/>
      <c r="AI64" s="113" t="s">
        <v>1113</v>
      </c>
      <c r="AJ64" s="113"/>
      <c r="AK64" s="113"/>
      <c r="AL64" s="113"/>
      <c r="AM64" s="43" t="s">
        <v>5075</v>
      </c>
      <c r="AN64" s="233" t="str">
        <f>VLOOKUP(Table9[[#This Row],[Measure]],Table1025[[Value name]:[Value identifyer]],2,FALSE)</f>
        <v>R_Education</v>
      </c>
      <c r="AO64" s="241" t="str">
        <f>VLOOKUP(Table9[[#This Row],[Country Code]],Table29[],3,FALSE)</f>
        <v>Non-Annex I</v>
      </c>
      <c r="AP64" s="241" t="str">
        <f>VLOOKUP(Table9[[#This Row],[Country Code]],Table29[],4,FALSE)</f>
        <v>Latin America and the Caribbean</v>
      </c>
      <c r="AQ64" s="241" t="str">
        <f>VLOOKUP(Table9[[#This Row],[Country Code]],Table29[],5,FALSE)</f>
        <v>Middle-income</v>
      </c>
      <c r="AR64" s="241" t="str">
        <f>VLOOKUP(Table9[[#This Row],[Country Code]],Table29[],6,FALSE)</f>
        <v>no</v>
      </c>
      <c r="AS64" s="241" t="str">
        <f>VLOOKUP(Table9[[#This Row],[Country Code]],Table29[],7,FALSE)</f>
        <v>no</v>
      </c>
      <c r="AT64" s="241" t="str">
        <f>VLOOKUP(Table9[[#This Row],[Country Code]],Table29[],8,FALSE)</f>
        <v>OECD</v>
      </c>
      <c r="AU64" s="233" t="str">
        <f>VLOOKUP(Table9[[#This Row],[Country Code]],Table29[],9,FALSE)</f>
        <v>no</v>
      </c>
      <c r="AV64" s="233" t="str">
        <f>VLOOKUP(Table9[[#This Row],[Country Code]],Table29[],10,FALSE)</f>
        <v>no</v>
      </c>
      <c r="AW64" s="233">
        <f>VLOOKUP(Table9[[#This Row],[Country Code]],Table29[],23,FALSE)</f>
        <v>223.96663405241</v>
      </c>
      <c r="AX64" s="233">
        <f>VLOOKUP(Table9[[#This Row],[Country Code]],Table29[],24,FALSE)</f>
        <v>37.36796885652894</v>
      </c>
      <c r="AY64" s="43"/>
    </row>
    <row r="65" spans="1:51" x14ac:dyDescent="0.25">
      <c r="A65" s="360">
        <v>17558</v>
      </c>
      <c r="B65" s="233" t="str">
        <f>VLOOKUP(Table9[[#This Row],[Document ID]],Table1[],2,FALSE)</f>
        <v>COL</v>
      </c>
      <c r="C65" s="233" t="str">
        <f>VLOOKUP(Table9[[#This Row],[Document ID]],Table1[],3,FALSE)</f>
        <v>Colombia</v>
      </c>
      <c r="D65" s="233" t="str">
        <f>VLOOKUP(Table9[[#This Row],[Document ID]],Table1[],5,FALSE)</f>
        <v>NDC</v>
      </c>
      <c r="E65" s="233" t="str">
        <f>VLOOKUP(Table9[[#This Row],[Document ID]],Table1[],7,FALSE)</f>
        <v>First NDC updated</v>
      </c>
      <c r="F65" s="233" t="str">
        <f>VLOOKUP(Table9[[#This Row],[Document ID]],Table1[],8,FALSE)</f>
        <v>NDC 1.1</v>
      </c>
      <c r="G65" s="233" t="str">
        <f>VLOOKUP(Table9[[#This Row],[Document ID]],Table1[],10,FALSE)</f>
        <v>Active</v>
      </c>
      <c r="H65" s="44" t="s">
        <v>5086</v>
      </c>
      <c r="I65" s="43" t="s">
        <v>5130</v>
      </c>
      <c r="J65" s="44" t="s">
        <v>5141</v>
      </c>
      <c r="K65" s="221" t="s">
        <v>5139</v>
      </c>
      <c r="L65" s="113"/>
      <c r="M65" s="113"/>
      <c r="N65" s="113"/>
      <c r="O65" s="113"/>
      <c r="P65" s="113"/>
      <c r="Q65" s="113" t="s">
        <v>1113</v>
      </c>
      <c r="R65" s="113"/>
      <c r="S65" s="113"/>
      <c r="T65" s="113"/>
      <c r="U65" s="113"/>
      <c r="V65" s="113"/>
      <c r="W65" s="113"/>
      <c r="X65" s="113" t="s">
        <v>1113</v>
      </c>
      <c r="Y65" s="113"/>
      <c r="Z65" s="113"/>
      <c r="AA65" s="113"/>
      <c r="AB65" s="113" t="s">
        <v>1113</v>
      </c>
      <c r="AC65" s="113"/>
      <c r="AD65" s="113"/>
      <c r="AE65" s="113"/>
      <c r="AF65" s="113"/>
      <c r="AG65" s="113"/>
      <c r="AH65" s="113"/>
      <c r="AI65" s="113" t="s">
        <v>1113</v>
      </c>
      <c r="AJ65" s="113"/>
      <c r="AK65" s="113"/>
      <c r="AL65" s="113"/>
      <c r="AM65" s="43" t="s">
        <v>5075</v>
      </c>
      <c r="AN65" s="233" t="str">
        <f>VLOOKUP(Table9[[#This Row],[Measure]],Table1025[[Value name]:[Value identifyer]],2,FALSE)</f>
        <v>R_Monitoring</v>
      </c>
      <c r="AO65" s="241" t="str">
        <f>VLOOKUP(Table9[[#This Row],[Country Code]],Table29[],3,FALSE)</f>
        <v>Non-Annex I</v>
      </c>
      <c r="AP65" s="241" t="str">
        <f>VLOOKUP(Table9[[#This Row],[Country Code]],Table29[],4,FALSE)</f>
        <v>Latin America and the Caribbean</v>
      </c>
      <c r="AQ65" s="241" t="str">
        <f>VLOOKUP(Table9[[#This Row],[Country Code]],Table29[],5,FALSE)</f>
        <v>Middle-income</v>
      </c>
      <c r="AR65" s="241" t="str">
        <f>VLOOKUP(Table9[[#This Row],[Country Code]],Table29[],6,FALSE)</f>
        <v>no</v>
      </c>
      <c r="AS65" s="241" t="str">
        <f>VLOOKUP(Table9[[#This Row],[Country Code]],Table29[],7,FALSE)</f>
        <v>no</v>
      </c>
      <c r="AT65" s="241" t="str">
        <f>VLOOKUP(Table9[[#This Row],[Country Code]],Table29[],8,FALSE)</f>
        <v>OECD</v>
      </c>
      <c r="AU65" s="233" t="str">
        <f>VLOOKUP(Table9[[#This Row],[Country Code]],Table29[],9,FALSE)</f>
        <v>no</v>
      </c>
      <c r="AV65" s="233" t="str">
        <f>VLOOKUP(Table9[[#This Row],[Country Code]],Table29[],10,FALSE)</f>
        <v>no</v>
      </c>
      <c r="AW65" s="233">
        <f>VLOOKUP(Table9[[#This Row],[Country Code]],Table29[],23,FALSE)</f>
        <v>223.96663405241</v>
      </c>
      <c r="AX65" s="233">
        <f>VLOOKUP(Table9[[#This Row],[Country Code]],Table29[],24,FALSE)</f>
        <v>37.36796885652894</v>
      </c>
      <c r="AY65" s="43"/>
    </row>
    <row r="66" spans="1:51" x14ac:dyDescent="0.25">
      <c r="A66" s="360">
        <v>17558</v>
      </c>
      <c r="B66" s="233" t="str">
        <f>VLOOKUP(Table9[[#This Row],[Document ID]],Table1[],2,FALSE)</f>
        <v>COL</v>
      </c>
      <c r="C66" s="233" t="str">
        <f>VLOOKUP(Table9[[#This Row],[Document ID]],Table1[],3,FALSE)</f>
        <v>Colombia</v>
      </c>
      <c r="D66" s="233" t="str">
        <f>VLOOKUP(Table9[[#This Row],[Document ID]],Table1[],5,FALSE)</f>
        <v>NDC</v>
      </c>
      <c r="E66" s="233" t="str">
        <f>VLOOKUP(Table9[[#This Row],[Document ID]],Table1[],7,FALSE)</f>
        <v>First NDC updated</v>
      </c>
      <c r="F66" s="233" t="str">
        <f>VLOOKUP(Table9[[#This Row],[Document ID]],Table1[],8,FALSE)</f>
        <v>NDC 1.1</v>
      </c>
      <c r="G66" s="233" t="str">
        <f>VLOOKUP(Table9[[#This Row],[Document ID]],Table1[],10,FALSE)</f>
        <v>Active</v>
      </c>
      <c r="H66" s="44" t="s">
        <v>5086</v>
      </c>
      <c r="I66" s="43" t="s">
        <v>5087</v>
      </c>
      <c r="J66" s="44" t="s">
        <v>5142</v>
      </c>
      <c r="K66" s="221" t="s">
        <v>5143</v>
      </c>
      <c r="L66" s="113"/>
      <c r="M66" s="113"/>
      <c r="N66" s="113"/>
      <c r="O66" s="113"/>
      <c r="P66" s="113"/>
      <c r="Q66" s="113" t="s">
        <v>1113</v>
      </c>
      <c r="R66" s="113"/>
      <c r="S66" s="113"/>
      <c r="T66" s="113"/>
      <c r="U66" s="113"/>
      <c r="V66" s="113"/>
      <c r="W66" s="113"/>
      <c r="X66" s="113"/>
      <c r="Y66" s="113"/>
      <c r="Z66" s="113"/>
      <c r="AA66" s="113"/>
      <c r="AB66" s="113"/>
      <c r="AC66" s="113"/>
      <c r="AD66" s="113"/>
      <c r="AE66" s="113"/>
      <c r="AF66" s="113"/>
      <c r="AG66" s="113"/>
      <c r="AH66" s="113"/>
      <c r="AI66" s="113" t="s">
        <v>1113</v>
      </c>
      <c r="AJ66" s="113"/>
      <c r="AK66" s="113"/>
      <c r="AL66" s="113"/>
      <c r="AM66" s="43" t="s">
        <v>5075</v>
      </c>
      <c r="AN66" s="233" t="str">
        <f>VLOOKUP(Table9[[#This Row],[Measure]],Table1025[[Value name]:[Value identifyer]],2,FALSE)</f>
        <v>R_Education</v>
      </c>
      <c r="AO66" s="241" t="str">
        <f>VLOOKUP(Table9[[#This Row],[Country Code]],Table29[],3,FALSE)</f>
        <v>Non-Annex I</v>
      </c>
      <c r="AP66" s="241" t="str">
        <f>VLOOKUP(Table9[[#This Row],[Country Code]],Table29[],4,FALSE)</f>
        <v>Latin America and the Caribbean</v>
      </c>
      <c r="AQ66" s="241" t="str">
        <f>VLOOKUP(Table9[[#This Row],[Country Code]],Table29[],5,FALSE)</f>
        <v>Middle-income</v>
      </c>
      <c r="AR66" s="241" t="str">
        <f>VLOOKUP(Table9[[#This Row],[Country Code]],Table29[],6,FALSE)</f>
        <v>no</v>
      </c>
      <c r="AS66" s="241" t="str">
        <f>VLOOKUP(Table9[[#This Row],[Country Code]],Table29[],7,FALSE)</f>
        <v>no</v>
      </c>
      <c r="AT66" s="241" t="str">
        <f>VLOOKUP(Table9[[#This Row],[Country Code]],Table29[],8,FALSE)</f>
        <v>OECD</v>
      </c>
      <c r="AU66" s="233" t="str">
        <f>VLOOKUP(Table9[[#This Row],[Country Code]],Table29[],9,FALSE)</f>
        <v>no</v>
      </c>
      <c r="AV66" s="233" t="str">
        <f>VLOOKUP(Table9[[#This Row],[Country Code]],Table29[],10,FALSE)</f>
        <v>no</v>
      </c>
      <c r="AW66" s="233">
        <f>VLOOKUP(Table9[[#This Row],[Country Code]],Table29[],23,FALSE)</f>
        <v>223.96663405241</v>
      </c>
      <c r="AX66" s="233">
        <f>VLOOKUP(Table9[[#This Row],[Country Code]],Table29[],24,FALSE)</f>
        <v>37.36796885652894</v>
      </c>
      <c r="AY66" s="43"/>
    </row>
    <row r="67" spans="1:51" ht="45" x14ac:dyDescent="0.25">
      <c r="A67" s="360">
        <v>17558</v>
      </c>
      <c r="B67" s="233" t="str">
        <f>VLOOKUP(Table9[[#This Row],[Document ID]],Table1[],2,FALSE)</f>
        <v>COL</v>
      </c>
      <c r="C67" s="233" t="str">
        <f>VLOOKUP(Table9[[#This Row],[Document ID]],Table1[],3,FALSE)</f>
        <v>Colombia</v>
      </c>
      <c r="D67" s="233" t="str">
        <f>VLOOKUP(Table9[[#This Row],[Document ID]],Table1[],5,FALSE)</f>
        <v>NDC</v>
      </c>
      <c r="E67" s="233" t="str">
        <f>VLOOKUP(Table9[[#This Row],[Document ID]],Table1[],7,FALSE)</f>
        <v>First NDC updated</v>
      </c>
      <c r="F67" s="233" t="str">
        <f>VLOOKUP(Table9[[#This Row],[Document ID]],Table1[],8,FALSE)</f>
        <v>NDC 1.1</v>
      </c>
      <c r="G67" s="233" t="str">
        <f>VLOOKUP(Table9[[#This Row],[Document ID]],Table1[],10,FALSE)</f>
        <v>Active</v>
      </c>
      <c r="H67" s="44" t="s">
        <v>5072</v>
      </c>
      <c r="I67" s="43" t="s">
        <v>5082</v>
      </c>
      <c r="J67" s="44" t="s">
        <v>5144</v>
      </c>
      <c r="K67" s="221" t="s">
        <v>5145</v>
      </c>
      <c r="L67" s="113"/>
      <c r="M67" s="113"/>
      <c r="N67" s="113"/>
      <c r="O67" s="113"/>
      <c r="P67" s="113"/>
      <c r="Q67" s="113" t="s">
        <v>1113</v>
      </c>
      <c r="R67" s="113"/>
      <c r="S67" s="113"/>
      <c r="T67" s="113"/>
      <c r="U67" s="113"/>
      <c r="V67" s="113"/>
      <c r="W67" s="113"/>
      <c r="X67" s="113"/>
      <c r="Y67" s="113"/>
      <c r="Z67" s="113"/>
      <c r="AA67" s="113"/>
      <c r="AB67" s="113"/>
      <c r="AC67" s="113"/>
      <c r="AD67" s="113"/>
      <c r="AE67" s="113"/>
      <c r="AF67" s="113" t="s">
        <v>1113</v>
      </c>
      <c r="AG67" s="113"/>
      <c r="AH67" s="113"/>
      <c r="AI67" s="113" t="s">
        <v>1113</v>
      </c>
      <c r="AJ67" s="113"/>
      <c r="AK67" s="113"/>
      <c r="AL67" s="113"/>
      <c r="AM67" s="43" t="s">
        <v>5075</v>
      </c>
      <c r="AN67" s="233" t="str">
        <f>VLOOKUP(Table9[[#This Row],[Measure]],Table1025[[Value name]:[Value identifyer]],2,FALSE)</f>
        <v>R_Risk</v>
      </c>
      <c r="AO67" s="241" t="str">
        <f>VLOOKUP(Table9[[#This Row],[Country Code]],Table29[],3,FALSE)</f>
        <v>Non-Annex I</v>
      </c>
      <c r="AP67" s="241" t="str">
        <f>VLOOKUP(Table9[[#This Row],[Country Code]],Table29[],4,FALSE)</f>
        <v>Latin America and the Caribbean</v>
      </c>
      <c r="AQ67" s="241" t="str">
        <f>VLOOKUP(Table9[[#This Row],[Country Code]],Table29[],5,FALSE)</f>
        <v>Middle-income</v>
      </c>
      <c r="AR67" s="241" t="str">
        <f>VLOOKUP(Table9[[#This Row],[Country Code]],Table29[],6,FALSE)</f>
        <v>no</v>
      </c>
      <c r="AS67" s="241" t="str">
        <f>VLOOKUP(Table9[[#This Row],[Country Code]],Table29[],7,FALSE)</f>
        <v>no</v>
      </c>
      <c r="AT67" s="241" t="str">
        <f>VLOOKUP(Table9[[#This Row],[Country Code]],Table29[],8,FALSE)</f>
        <v>OECD</v>
      </c>
      <c r="AU67" s="233" t="str">
        <f>VLOOKUP(Table9[[#This Row],[Country Code]],Table29[],9,FALSE)</f>
        <v>no</v>
      </c>
      <c r="AV67" s="233" t="str">
        <f>VLOOKUP(Table9[[#This Row],[Country Code]],Table29[],10,FALSE)</f>
        <v>no</v>
      </c>
      <c r="AW67" s="233">
        <f>VLOOKUP(Table9[[#This Row],[Country Code]],Table29[],23,FALSE)</f>
        <v>223.96663405241</v>
      </c>
      <c r="AX67" s="233">
        <f>VLOOKUP(Table9[[#This Row],[Country Code]],Table29[],24,FALSE)</f>
        <v>37.36796885652894</v>
      </c>
      <c r="AY67" s="43"/>
    </row>
    <row r="68" spans="1:51" x14ac:dyDescent="0.25">
      <c r="A68" s="360">
        <v>17558</v>
      </c>
      <c r="B68" s="233" t="str">
        <f>VLOOKUP(Table9[[#This Row],[Document ID]],Table1[],2,FALSE)</f>
        <v>COL</v>
      </c>
      <c r="C68" s="233" t="str">
        <f>VLOOKUP(Table9[[#This Row],[Document ID]],Table1[],3,FALSE)</f>
        <v>Colombia</v>
      </c>
      <c r="D68" s="233" t="str">
        <f>VLOOKUP(Table9[[#This Row],[Document ID]],Table1[],5,FALSE)</f>
        <v>NDC</v>
      </c>
      <c r="E68" s="233" t="str">
        <f>VLOOKUP(Table9[[#This Row],[Document ID]],Table1[],7,FALSE)</f>
        <v>First NDC updated</v>
      </c>
      <c r="F68" s="233" t="str">
        <f>VLOOKUP(Table9[[#This Row],[Document ID]],Table1[],8,FALSE)</f>
        <v>NDC 1.1</v>
      </c>
      <c r="G68" s="233" t="str">
        <f>VLOOKUP(Table9[[#This Row],[Document ID]],Table1[],10,FALSE)</f>
        <v>Active</v>
      </c>
      <c r="H68" s="44" t="s">
        <v>5086</v>
      </c>
      <c r="I68" s="43" t="s">
        <v>5127</v>
      </c>
      <c r="J68" s="44" t="s">
        <v>5146</v>
      </c>
      <c r="K68" s="221">
        <v>17</v>
      </c>
      <c r="L68" s="113" t="s">
        <v>1113</v>
      </c>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t="s">
        <v>1113</v>
      </c>
      <c r="AJ68" s="113"/>
      <c r="AK68" s="113"/>
      <c r="AL68" s="113"/>
      <c r="AM68" s="43" t="s">
        <v>5075</v>
      </c>
      <c r="AN68" s="233" t="str">
        <f>VLOOKUP(Table9[[#This Row],[Measure]],Table1025[[Value name]:[Value identifyer]],2,FALSE)</f>
        <v>R_Emergency</v>
      </c>
      <c r="AO68" s="241" t="str">
        <f>VLOOKUP(Table9[[#This Row],[Country Code]],Table29[],3,FALSE)</f>
        <v>Non-Annex I</v>
      </c>
      <c r="AP68" s="241" t="str">
        <f>VLOOKUP(Table9[[#This Row],[Country Code]],Table29[],4,FALSE)</f>
        <v>Latin America and the Caribbean</v>
      </c>
      <c r="AQ68" s="241" t="str">
        <f>VLOOKUP(Table9[[#This Row],[Country Code]],Table29[],5,FALSE)</f>
        <v>Middle-income</v>
      </c>
      <c r="AR68" s="241" t="str">
        <f>VLOOKUP(Table9[[#This Row],[Country Code]],Table29[],6,FALSE)</f>
        <v>no</v>
      </c>
      <c r="AS68" s="241" t="str">
        <f>VLOOKUP(Table9[[#This Row],[Country Code]],Table29[],7,FALSE)</f>
        <v>no</v>
      </c>
      <c r="AT68" s="241" t="str">
        <f>VLOOKUP(Table9[[#This Row],[Country Code]],Table29[],8,FALSE)</f>
        <v>OECD</v>
      </c>
      <c r="AU68" s="233" t="str">
        <f>VLOOKUP(Table9[[#This Row],[Country Code]],Table29[],9,FALSE)</f>
        <v>no</v>
      </c>
      <c r="AV68" s="233" t="str">
        <f>VLOOKUP(Table9[[#This Row],[Country Code]],Table29[],10,FALSE)</f>
        <v>no</v>
      </c>
      <c r="AW68" s="233">
        <f>VLOOKUP(Table9[[#This Row],[Country Code]],Table29[],23,FALSE)</f>
        <v>223.96663405241</v>
      </c>
      <c r="AX68" s="233">
        <f>VLOOKUP(Table9[[#This Row],[Country Code]],Table29[],24,FALSE)</f>
        <v>37.36796885652894</v>
      </c>
      <c r="AY68" s="43"/>
    </row>
    <row r="69" spans="1:51" x14ac:dyDescent="0.25">
      <c r="A69" s="367">
        <v>17557</v>
      </c>
      <c r="B69" s="233" t="str">
        <f>VLOOKUP(Table9[[#This Row],[Document ID]],Table1[],2,FALSE)</f>
        <v>COL</v>
      </c>
      <c r="C69" s="233" t="str">
        <f>VLOOKUP(Table9[[#This Row],[Document ID]],Table1[],3,FALSE)</f>
        <v>Colombia</v>
      </c>
      <c r="D69" s="328" t="str">
        <f>VLOOKUP(Table9[[#This Row],[Document ID]],Table1[],5,FALSE)</f>
        <v>NDC</v>
      </c>
      <c r="E69" s="233" t="str">
        <f>VLOOKUP(Table9[[#This Row],[Document ID]],Table1[],7,FALSE)</f>
        <v>First NDC</v>
      </c>
      <c r="F69" s="328" t="str">
        <f>VLOOKUP(Table9[[#This Row],[Document ID]],Table1[],8,FALSE)</f>
        <v>NDC 1.0</v>
      </c>
      <c r="G69" s="328" t="str">
        <f>VLOOKUP(Table9[[#This Row],[Document ID]],Table1[],10,FALSE)</f>
        <v>Archived</v>
      </c>
      <c r="H69" s="44" t="s">
        <v>5076</v>
      </c>
      <c r="I69" s="43" t="s">
        <v>5079</v>
      </c>
      <c r="J69" s="209" t="s">
        <v>5147</v>
      </c>
      <c r="K69" s="257" t="s">
        <v>5081</v>
      </c>
      <c r="L69" s="326" t="s">
        <v>1113</v>
      </c>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t="s">
        <v>1113</v>
      </c>
      <c r="AJ69" s="326"/>
      <c r="AK69" s="326"/>
      <c r="AL69" s="326"/>
      <c r="AM69" s="209" t="s">
        <v>5075</v>
      </c>
      <c r="AN69" s="233" t="str">
        <f>VLOOKUP(Table9[[#This Row],[Measure]],Table1025[[Value name]:[Value identifyer]],2,FALSE)</f>
        <v>R_Laws</v>
      </c>
      <c r="AO69" s="241" t="str">
        <f>VLOOKUP(Table9[[#This Row],[Country Code]],Table29[],3,FALSE)</f>
        <v>Non-Annex I</v>
      </c>
      <c r="AP69" s="241" t="str">
        <f>VLOOKUP(Table9[[#This Row],[Country Code]],Table29[],4,FALSE)</f>
        <v>Latin America and the Caribbean</v>
      </c>
      <c r="AQ69" s="241" t="str">
        <f>VLOOKUP(Table9[[#This Row],[Country Code]],Table29[],5,FALSE)</f>
        <v>Middle-income</v>
      </c>
      <c r="AR69" s="241" t="str">
        <f>VLOOKUP(Table9[[#This Row],[Country Code]],Table29[],6,FALSE)</f>
        <v>no</v>
      </c>
      <c r="AS69" s="241" t="str">
        <f>VLOOKUP(Table9[[#This Row],[Country Code]],Table29[],7,FALSE)</f>
        <v>no</v>
      </c>
      <c r="AT69" s="241" t="str">
        <f>VLOOKUP(Table9[[#This Row],[Country Code]],Table29[],8,FALSE)</f>
        <v>OECD</v>
      </c>
      <c r="AU69" s="233" t="str">
        <f>VLOOKUP(Table9[[#This Row],[Country Code]],Table29[],9,FALSE)</f>
        <v>no</v>
      </c>
      <c r="AV69" s="233" t="str">
        <f>VLOOKUP(Table9[[#This Row],[Country Code]],Table29[],10,FALSE)</f>
        <v>no</v>
      </c>
      <c r="AW69" s="233">
        <f>VLOOKUP(Table9[[#This Row],[Country Code]],Table29[],23,FALSE)</f>
        <v>223.96663405241</v>
      </c>
      <c r="AX69" s="233">
        <f>VLOOKUP(Table9[[#This Row],[Country Code]],Table29[],24,FALSE)</f>
        <v>37.36796885652894</v>
      </c>
      <c r="AY69" s="43"/>
    </row>
    <row r="70" spans="1:51" ht="30" x14ac:dyDescent="0.25">
      <c r="A70" s="360">
        <v>26777</v>
      </c>
      <c r="B70" s="233" t="str">
        <f>VLOOKUP(Table9[[#This Row],[Document ID]],Table1[],2,FALSE)</f>
        <v>COL</v>
      </c>
      <c r="C70" s="233" t="str">
        <f>VLOOKUP(Table9[[#This Row],[Document ID]],Table1[],3,FALSE)</f>
        <v>Colombia</v>
      </c>
      <c r="D70" s="233" t="str">
        <f>VLOOKUP(Table9[[#This Row],[Document ID]],Table1[],5,FALSE)</f>
        <v>LTS</v>
      </c>
      <c r="E70" s="233" t="str">
        <f>VLOOKUP(Table9[[#This Row],[Document ID]],Table1[],7,FALSE)</f>
        <v>LTS</v>
      </c>
      <c r="F70" s="233" t="str">
        <f>VLOOKUP(Table9[[#This Row],[Document ID]],Table1[],8,FALSE)</f>
        <v>LTS 1.0</v>
      </c>
      <c r="G70" s="233" t="str">
        <f>VLOOKUP(Table9[[#This Row],[Document ID]],Table1[],10,FALSE)</f>
        <v>Active</v>
      </c>
      <c r="H70" s="44" t="s">
        <v>5086</v>
      </c>
      <c r="I70" s="43" t="s">
        <v>5127</v>
      </c>
      <c r="J70" s="44" t="s">
        <v>5148</v>
      </c>
      <c r="K70" s="221">
        <v>155</v>
      </c>
      <c r="L70" s="113" t="s">
        <v>1113</v>
      </c>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t="s">
        <v>1113</v>
      </c>
      <c r="AJ70" s="326"/>
      <c r="AK70" s="326"/>
      <c r="AL70" s="326"/>
      <c r="AM70" s="43" t="s">
        <v>5075</v>
      </c>
      <c r="AN70" s="233" t="str">
        <f>VLOOKUP(Table9[[#This Row],[Measure]],Table1025[[Value name]:[Value identifyer]],2,FALSE)</f>
        <v>R_Emergency</v>
      </c>
      <c r="AO70" s="241" t="str">
        <f>VLOOKUP(Table9[[#This Row],[Country Code]],Table29[],3,FALSE)</f>
        <v>Non-Annex I</v>
      </c>
      <c r="AP70" s="241" t="str">
        <f>VLOOKUP(Table9[[#This Row],[Country Code]],Table29[],4,FALSE)</f>
        <v>Latin America and the Caribbean</v>
      </c>
      <c r="AQ70" s="241" t="str">
        <f>VLOOKUP(Table9[[#This Row],[Country Code]],Table29[],5,FALSE)</f>
        <v>Middle-income</v>
      </c>
      <c r="AR70" s="241" t="str">
        <f>VLOOKUP(Table9[[#This Row],[Country Code]],Table29[],6,FALSE)</f>
        <v>no</v>
      </c>
      <c r="AS70" s="241" t="str">
        <f>VLOOKUP(Table9[[#This Row],[Country Code]],Table29[],7,FALSE)</f>
        <v>no</v>
      </c>
      <c r="AT70" s="241" t="str">
        <f>VLOOKUP(Table9[[#This Row],[Country Code]],Table29[],8,FALSE)</f>
        <v>OECD</v>
      </c>
      <c r="AU70" s="233" t="str">
        <f>VLOOKUP(Table9[[#This Row],[Country Code]],Table29[],9,FALSE)</f>
        <v>no</v>
      </c>
      <c r="AV70" s="233" t="str">
        <f>VLOOKUP(Table9[[#This Row],[Country Code]],Table29[],10,FALSE)</f>
        <v>no</v>
      </c>
      <c r="AW70" s="233">
        <f>VLOOKUP(Table9[[#This Row],[Country Code]],Table29[],23,FALSE)</f>
        <v>223.96663405241</v>
      </c>
      <c r="AX70" s="233">
        <f>VLOOKUP(Table9[[#This Row],[Country Code]],Table29[],24,FALSE)</f>
        <v>37.36796885652894</v>
      </c>
      <c r="AY70" s="43"/>
    </row>
    <row r="71" spans="1:51" x14ac:dyDescent="0.25">
      <c r="A71" s="360">
        <v>26777</v>
      </c>
      <c r="B71" s="233" t="str">
        <f>VLOOKUP(Table9[[#This Row],[Document ID]],Table1[],2,FALSE)</f>
        <v>COL</v>
      </c>
      <c r="C71" s="233" t="str">
        <f>VLOOKUP(Table9[[#This Row],[Document ID]],Table1[],3,FALSE)</f>
        <v>Colombia</v>
      </c>
      <c r="D71" s="233" t="str">
        <f>VLOOKUP(Table9[[#This Row],[Document ID]],Table1[],5,FALSE)</f>
        <v>LTS</v>
      </c>
      <c r="E71" s="233" t="str">
        <f>VLOOKUP(Table9[[#This Row],[Document ID]],Table1[],7,FALSE)</f>
        <v>LTS</v>
      </c>
      <c r="F71" s="233" t="str">
        <f>VLOOKUP(Table9[[#This Row],[Document ID]],Table1[],8,FALSE)</f>
        <v>LTS 1.0</v>
      </c>
      <c r="G71" s="233" t="str">
        <f>VLOOKUP(Table9[[#This Row],[Document ID]],Table1[],10,FALSE)</f>
        <v>Active</v>
      </c>
      <c r="H71" s="44" t="s">
        <v>5086</v>
      </c>
      <c r="I71" s="43" t="s">
        <v>5130</v>
      </c>
      <c r="J71" s="44" t="s">
        <v>5149</v>
      </c>
      <c r="K71" s="221">
        <v>155</v>
      </c>
      <c r="L71" s="113" t="s">
        <v>1113</v>
      </c>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t="s">
        <v>1113</v>
      </c>
      <c r="AJ71" s="326"/>
      <c r="AK71" s="326"/>
      <c r="AL71" s="326"/>
      <c r="AM71" s="43" t="s">
        <v>5075</v>
      </c>
      <c r="AN71" s="233" t="str">
        <f>VLOOKUP(Table9[[#This Row],[Measure]],Table1025[[Value name]:[Value identifyer]],2,FALSE)</f>
        <v>R_Monitoring</v>
      </c>
      <c r="AO71" s="241" t="str">
        <f>VLOOKUP(Table9[[#This Row],[Country Code]],Table29[],3,FALSE)</f>
        <v>Non-Annex I</v>
      </c>
      <c r="AP71" s="241" t="str">
        <f>VLOOKUP(Table9[[#This Row],[Country Code]],Table29[],4,FALSE)</f>
        <v>Latin America and the Caribbean</v>
      </c>
      <c r="AQ71" s="241" t="str">
        <f>VLOOKUP(Table9[[#This Row],[Country Code]],Table29[],5,FALSE)</f>
        <v>Middle-income</v>
      </c>
      <c r="AR71" s="241" t="str">
        <f>VLOOKUP(Table9[[#This Row],[Country Code]],Table29[],6,FALSE)</f>
        <v>no</v>
      </c>
      <c r="AS71" s="241" t="str">
        <f>VLOOKUP(Table9[[#This Row],[Country Code]],Table29[],7,FALSE)</f>
        <v>no</v>
      </c>
      <c r="AT71" s="241" t="str">
        <f>VLOOKUP(Table9[[#This Row],[Country Code]],Table29[],8,FALSE)</f>
        <v>OECD</v>
      </c>
      <c r="AU71" s="233" t="str">
        <f>VLOOKUP(Table9[[#This Row],[Country Code]],Table29[],9,FALSE)</f>
        <v>no</v>
      </c>
      <c r="AV71" s="233" t="str">
        <f>VLOOKUP(Table9[[#This Row],[Country Code]],Table29[],10,FALSE)</f>
        <v>no</v>
      </c>
      <c r="AW71" s="233">
        <f>VLOOKUP(Table9[[#This Row],[Country Code]],Table29[],23,FALSE)</f>
        <v>223.96663405241</v>
      </c>
      <c r="AX71" s="233">
        <f>VLOOKUP(Table9[[#This Row],[Country Code]],Table29[],24,FALSE)</f>
        <v>37.36796885652894</v>
      </c>
      <c r="AY71" s="43"/>
    </row>
    <row r="72" spans="1:51" ht="30" x14ac:dyDescent="0.25">
      <c r="A72" s="360">
        <v>26777</v>
      </c>
      <c r="B72" s="233" t="str">
        <f>VLOOKUP(Table9[[#This Row],[Document ID]],Table1[],2,FALSE)</f>
        <v>COL</v>
      </c>
      <c r="C72" s="233" t="str">
        <f>VLOOKUP(Table9[[#This Row],[Document ID]],Table1[],3,FALSE)</f>
        <v>Colombia</v>
      </c>
      <c r="D72" s="233" t="str">
        <f>VLOOKUP(Table9[[#This Row],[Document ID]],Table1[],5,FALSE)</f>
        <v>LTS</v>
      </c>
      <c r="E72" s="233" t="str">
        <f>VLOOKUP(Table9[[#This Row],[Document ID]],Table1[],7,FALSE)</f>
        <v>LTS</v>
      </c>
      <c r="F72" s="233" t="str">
        <f>VLOOKUP(Table9[[#This Row],[Document ID]],Table1[],8,FALSE)</f>
        <v>LTS 1.0</v>
      </c>
      <c r="G72" s="233" t="str">
        <f>VLOOKUP(Table9[[#This Row],[Document ID]],Table1[],10,FALSE)</f>
        <v>Active</v>
      </c>
      <c r="H72" s="44" t="s">
        <v>5072</v>
      </c>
      <c r="I72" s="43" t="s">
        <v>5082</v>
      </c>
      <c r="J72" s="44" t="s">
        <v>5150</v>
      </c>
      <c r="K72" s="221">
        <v>156</v>
      </c>
      <c r="L72" s="113" t="s">
        <v>1113</v>
      </c>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t="s">
        <v>1113</v>
      </c>
      <c r="AJ72" s="326"/>
      <c r="AK72" s="326"/>
      <c r="AL72" s="326"/>
      <c r="AM72" s="43" t="s">
        <v>5075</v>
      </c>
      <c r="AN72" s="233" t="str">
        <f>VLOOKUP(Table9[[#This Row],[Measure]],Table1025[[Value name]:[Value identifyer]],2,FALSE)</f>
        <v>R_Risk</v>
      </c>
      <c r="AO72" s="241" t="str">
        <f>VLOOKUP(Table9[[#This Row],[Country Code]],Table29[],3,FALSE)</f>
        <v>Non-Annex I</v>
      </c>
      <c r="AP72" s="241" t="str">
        <f>VLOOKUP(Table9[[#This Row],[Country Code]],Table29[],4,FALSE)</f>
        <v>Latin America and the Caribbean</v>
      </c>
      <c r="AQ72" s="241" t="str">
        <f>VLOOKUP(Table9[[#This Row],[Country Code]],Table29[],5,FALSE)</f>
        <v>Middle-income</v>
      </c>
      <c r="AR72" s="241" t="str">
        <f>VLOOKUP(Table9[[#This Row],[Country Code]],Table29[],6,FALSE)</f>
        <v>no</v>
      </c>
      <c r="AS72" s="241" t="str">
        <f>VLOOKUP(Table9[[#This Row],[Country Code]],Table29[],7,FALSE)</f>
        <v>no</v>
      </c>
      <c r="AT72" s="241" t="str">
        <f>VLOOKUP(Table9[[#This Row],[Country Code]],Table29[],8,FALSE)</f>
        <v>OECD</v>
      </c>
      <c r="AU72" s="233" t="str">
        <f>VLOOKUP(Table9[[#This Row],[Country Code]],Table29[],9,FALSE)</f>
        <v>no</v>
      </c>
      <c r="AV72" s="233" t="str">
        <f>VLOOKUP(Table9[[#This Row],[Country Code]],Table29[],10,FALSE)</f>
        <v>no</v>
      </c>
      <c r="AW72" s="233">
        <f>VLOOKUP(Table9[[#This Row],[Country Code]],Table29[],23,FALSE)</f>
        <v>223.96663405241</v>
      </c>
      <c r="AX72" s="233">
        <f>VLOOKUP(Table9[[#This Row],[Country Code]],Table29[],24,FALSE)</f>
        <v>37.36796885652894</v>
      </c>
      <c r="AY72" s="43"/>
    </row>
    <row r="73" spans="1:51" ht="45" x14ac:dyDescent="0.25">
      <c r="A73" s="360">
        <v>26777</v>
      </c>
      <c r="B73" s="233" t="str">
        <f>VLOOKUP(Table9[[#This Row],[Document ID]],Table1[],2,FALSE)</f>
        <v>COL</v>
      </c>
      <c r="C73" s="233" t="str">
        <f>VLOOKUP(Table9[[#This Row],[Document ID]],Table1[],3,FALSE)</f>
        <v>Colombia</v>
      </c>
      <c r="D73" s="233" t="str">
        <f>VLOOKUP(Table9[[#This Row],[Document ID]],Table1[],5,FALSE)</f>
        <v>LTS</v>
      </c>
      <c r="E73" s="233" t="str">
        <f>VLOOKUP(Table9[[#This Row],[Document ID]],Table1[],7,FALSE)</f>
        <v>LTS</v>
      </c>
      <c r="F73" s="233" t="str">
        <f>VLOOKUP(Table9[[#This Row],[Document ID]],Table1[],8,FALSE)</f>
        <v>LTS 1.0</v>
      </c>
      <c r="G73" s="233" t="str">
        <f>VLOOKUP(Table9[[#This Row],[Document ID]],Table1[],10,FALSE)</f>
        <v>Active</v>
      </c>
      <c r="H73" s="44" t="s">
        <v>5086</v>
      </c>
      <c r="I73" s="43" t="s">
        <v>5127</v>
      </c>
      <c r="J73" s="28" t="s">
        <v>5151</v>
      </c>
      <c r="K73" s="221">
        <v>156</v>
      </c>
      <c r="L73" s="113" t="s">
        <v>1113</v>
      </c>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t="s">
        <v>1113</v>
      </c>
      <c r="AJ73" s="326"/>
      <c r="AK73" s="326"/>
      <c r="AL73" s="326"/>
      <c r="AM73" s="43" t="s">
        <v>5075</v>
      </c>
      <c r="AN73" s="233" t="str">
        <f>VLOOKUP(Table9[[#This Row],[Measure]],Table1025[[Value name]:[Value identifyer]],2,FALSE)</f>
        <v>R_Emergency</v>
      </c>
      <c r="AO73" s="241" t="str">
        <f>VLOOKUP(Table9[[#This Row],[Country Code]],Table29[],3,FALSE)</f>
        <v>Non-Annex I</v>
      </c>
      <c r="AP73" s="241" t="str">
        <f>VLOOKUP(Table9[[#This Row],[Country Code]],Table29[],4,FALSE)</f>
        <v>Latin America and the Caribbean</v>
      </c>
      <c r="AQ73" s="241" t="str">
        <f>VLOOKUP(Table9[[#This Row],[Country Code]],Table29[],5,FALSE)</f>
        <v>Middle-income</v>
      </c>
      <c r="AR73" s="241" t="str">
        <f>VLOOKUP(Table9[[#This Row],[Country Code]],Table29[],6,FALSE)</f>
        <v>no</v>
      </c>
      <c r="AS73" s="241" t="str">
        <f>VLOOKUP(Table9[[#This Row],[Country Code]],Table29[],7,FALSE)</f>
        <v>no</v>
      </c>
      <c r="AT73" s="241" t="str">
        <f>VLOOKUP(Table9[[#This Row],[Country Code]],Table29[],8,FALSE)</f>
        <v>OECD</v>
      </c>
      <c r="AU73" s="233" t="str">
        <f>VLOOKUP(Table9[[#This Row],[Country Code]],Table29[],9,FALSE)</f>
        <v>no</v>
      </c>
      <c r="AV73" s="233" t="str">
        <f>VLOOKUP(Table9[[#This Row],[Country Code]],Table29[],10,FALSE)</f>
        <v>no</v>
      </c>
      <c r="AW73" s="233">
        <f>VLOOKUP(Table9[[#This Row],[Country Code]],Table29[],23,FALSE)</f>
        <v>223.96663405241</v>
      </c>
      <c r="AX73" s="233">
        <f>VLOOKUP(Table9[[#This Row],[Country Code]],Table29[],24,FALSE)</f>
        <v>37.36796885652894</v>
      </c>
      <c r="AY73" s="43"/>
    </row>
    <row r="74" spans="1:51" s="26" customFormat="1" ht="60" x14ac:dyDescent="0.25">
      <c r="A74" s="360">
        <v>26777</v>
      </c>
      <c r="B74" s="233" t="str">
        <f>VLOOKUP(Table9[[#This Row],[Document ID]],Table1[],2,FALSE)</f>
        <v>COL</v>
      </c>
      <c r="C74" s="233" t="str">
        <f>VLOOKUP(Table9[[#This Row],[Document ID]],Table1[],3,FALSE)</f>
        <v>Colombia</v>
      </c>
      <c r="D74" s="233" t="str">
        <f>VLOOKUP(Table9[[#This Row],[Document ID]],Table1[],5,FALSE)</f>
        <v>LTS</v>
      </c>
      <c r="E74" s="233" t="str">
        <f>VLOOKUP(Table9[[#This Row],[Document ID]],Table1[],7,FALSE)</f>
        <v>LTS</v>
      </c>
      <c r="F74" s="233" t="str">
        <f>VLOOKUP(Table9[[#This Row],[Document ID]],Table1[],8,FALSE)</f>
        <v>LTS 1.0</v>
      </c>
      <c r="G74" s="233" t="str">
        <f>VLOOKUP(Table9[[#This Row],[Document ID]],Table1[],10,FALSE)</f>
        <v>Active</v>
      </c>
      <c r="H74" s="44" t="s">
        <v>5072</v>
      </c>
      <c r="I74" s="43" t="s">
        <v>5073</v>
      </c>
      <c r="J74" s="44" t="s">
        <v>5152</v>
      </c>
      <c r="K74" s="221">
        <v>173</v>
      </c>
      <c r="L74" s="113" t="s">
        <v>1113</v>
      </c>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326" t="s">
        <v>1113</v>
      </c>
      <c r="AK74" s="326"/>
      <c r="AL74" s="326" t="s">
        <v>1113</v>
      </c>
      <c r="AM74" s="43" t="s">
        <v>5075</v>
      </c>
      <c r="AN74" s="233" t="str">
        <f>VLOOKUP(Table9[[#This Row],[Measure]],Table1025[[Value name]:[Value identifyer]],2,FALSE)</f>
        <v>R_System</v>
      </c>
      <c r="AO74" s="241" t="str">
        <f>VLOOKUP(Table9[[#This Row],[Country Code]],Table29[],3,FALSE)</f>
        <v>Non-Annex I</v>
      </c>
      <c r="AP74" s="241" t="str">
        <f>VLOOKUP(Table9[[#This Row],[Country Code]],Table29[],4,FALSE)</f>
        <v>Latin America and the Caribbean</v>
      </c>
      <c r="AQ74" s="241" t="str">
        <f>VLOOKUP(Table9[[#This Row],[Country Code]],Table29[],5,FALSE)</f>
        <v>Middle-income</v>
      </c>
      <c r="AR74" s="241" t="str">
        <f>VLOOKUP(Table9[[#This Row],[Country Code]],Table29[],6,FALSE)</f>
        <v>no</v>
      </c>
      <c r="AS74" s="241" t="str">
        <f>VLOOKUP(Table9[[#This Row],[Country Code]],Table29[],7,FALSE)</f>
        <v>no</v>
      </c>
      <c r="AT74" s="241" t="str">
        <f>VLOOKUP(Table9[[#This Row],[Country Code]],Table29[],8,FALSE)</f>
        <v>OECD</v>
      </c>
      <c r="AU74" s="233" t="str">
        <f>VLOOKUP(Table9[[#This Row],[Country Code]],Table29[],9,FALSE)</f>
        <v>no</v>
      </c>
      <c r="AV74" s="233" t="str">
        <f>VLOOKUP(Table9[[#This Row],[Country Code]],Table29[],10,FALSE)</f>
        <v>no</v>
      </c>
      <c r="AW74" s="233">
        <f>VLOOKUP(Table9[[#This Row],[Country Code]],Table29[],23,FALSE)</f>
        <v>223.96663405241</v>
      </c>
      <c r="AX74" s="233">
        <f>VLOOKUP(Table9[[#This Row],[Country Code]],Table29[],24,FALSE)</f>
        <v>37.36796885652894</v>
      </c>
      <c r="AY74" s="43"/>
    </row>
    <row r="75" spans="1:51" x14ac:dyDescent="0.25">
      <c r="A75" s="360">
        <v>26777</v>
      </c>
      <c r="B75" s="233" t="str">
        <f>VLOOKUP(Table9[[#This Row],[Document ID]],Table1[],2,FALSE)</f>
        <v>COL</v>
      </c>
      <c r="C75" s="233" t="str">
        <f>VLOOKUP(Table9[[#This Row],[Document ID]],Table1[],3,FALSE)</f>
        <v>Colombia</v>
      </c>
      <c r="D75" s="233" t="str">
        <f>VLOOKUP(Table9[[#This Row],[Document ID]],Table1[],5,FALSE)</f>
        <v>LTS</v>
      </c>
      <c r="E75" s="233" t="str">
        <f>VLOOKUP(Table9[[#This Row],[Document ID]],Table1[],7,FALSE)</f>
        <v>LTS</v>
      </c>
      <c r="F75" s="233" t="str">
        <f>VLOOKUP(Table9[[#This Row],[Document ID]],Table1[],8,FALSE)</f>
        <v>LTS 1.0</v>
      </c>
      <c r="G75" s="233" t="str">
        <f>VLOOKUP(Table9[[#This Row],[Document ID]],Table1[],10,FALSE)</f>
        <v>Active</v>
      </c>
      <c r="H75" s="44" t="s">
        <v>5072</v>
      </c>
      <c r="I75" s="43" t="s">
        <v>5073</v>
      </c>
      <c r="J75" s="28" t="s">
        <v>5153</v>
      </c>
      <c r="K75" s="221">
        <v>179</v>
      </c>
      <c r="L75" s="113"/>
      <c r="M75" s="113"/>
      <c r="N75" s="113"/>
      <c r="O75" s="113"/>
      <c r="P75" s="113"/>
      <c r="Q75" s="113"/>
      <c r="R75" s="113"/>
      <c r="S75" s="113"/>
      <c r="T75" s="113"/>
      <c r="U75" s="113"/>
      <c r="V75" s="113"/>
      <c r="W75" s="113"/>
      <c r="X75" s="113"/>
      <c r="Y75" s="113"/>
      <c r="Z75" s="113"/>
      <c r="AA75" s="113"/>
      <c r="AB75" s="113"/>
      <c r="AC75" s="113"/>
      <c r="AD75" s="113"/>
      <c r="AE75" s="113"/>
      <c r="AF75" s="113" t="s">
        <v>1113</v>
      </c>
      <c r="AG75" s="113"/>
      <c r="AH75" s="113"/>
      <c r="AI75" s="113" t="s">
        <v>1113</v>
      </c>
      <c r="AJ75" s="326"/>
      <c r="AK75" s="326"/>
      <c r="AL75" s="326"/>
      <c r="AM75" s="43" t="s">
        <v>5075</v>
      </c>
      <c r="AN75" s="233" t="str">
        <f>VLOOKUP(Table9[[#This Row],[Measure]],Table1025[[Value name]:[Value identifyer]],2,FALSE)</f>
        <v>R_System</v>
      </c>
      <c r="AO75" s="241" t="str">
        <f>VLOOKUP(Table9[[#This Row],[Country Code]],Table29[],3,FALSE)</f>
        <v>Non-Annex I</v>
      </c>
      <c r="AP75" s="241" t="str">
        <f>VLOOKUP(Table9[[#This Row],[Country Code]],Table29[],4,FALSE)</f>
        <v>Latin America and the Caribbean</v>
      </c>
      <c r="AQ75" s="241" t="str">
        <f>VLOOKUP(Table9[[#This Row],[Country Code]],Table29[],5,FALSE)</f>
        <v>Middle-income</v>
      </c>
      <c r="AR75" s="241" t="str">
        <f>VLOOKUP(Table9[[#This Row],[Country Code]],Table29[],6,FALSE)</f>
        <v>no</v>
      </c>
      <c r="AS75" s="241" t="str">
        <f>VLOOKUP(Table9[[#This Row],[Country Code]],Table29[],7,FALSE)</f>
        <v>no</v>
      </c>
      <c r="AT75" s="241" t="str">
        <f>VLOOKUP(Table9[[#This Row],[Country Code]],Table29[],8,FALSE)</f>
        <v>OECD</v>
      </c>
      <c r="AU75" s="233" t="str">
        <f>VLOOKUP(Table9[[#This Row],[Country Code]],Table29[],9,FALSE)</f>
        <v>no</v>
      </c>
      <c r="AV75" s="233" t="str">
        <f>VLOOKUP(Table9[[#This Row],[Country Code]],Table29[],10,FALSE)</f>
        <v>no</v>
      </c>
      <c r="AW75" s="233">
        <f>VLOOKUP(Table9[[#This Row],[Country Code]],Table29[],23,FALSE)</f>
        <v>223.96663405241</v>
      </c>
      <c r="AX75" s="233">
        <f>VLOOKUP(Table9[[#This Row],[Country Code]],Table29[],24,FALSE)</f>
        <v>37.36796885652894</v>
      </c>
      <c r="AY75" s="43"/>
    </row>
    <row r="76" spans="1:51" ht="30" x14ac:dyDescent="0.25">
      <c r="A76" s="360">
        <v>26777</v>
      </c>
      <c r="B76" s="233" t="str">
        <f>VLOOKUP(Table9[[#This Row],[Document ID]],Table1[],2,FALSE)</f>
        <v>COL</v>
      </c>
      <c r="C76" s="233" t="str">
        <f>VLOOKUP(Table9[[#This Row],[Document ID]],Table1[],3,FALSE)</f>
        <v>Colombia</v>
      </c>
      <c r="D76" s="233" t="str">
        <f>VLOOKUP(Table9[[#This Row],[Document ID]],Table1[],5,FALSE)</f>
        <v>LTS</v>
      </c>
      <c r="E76" s="233" t="str">
        <f>VLOOKUP(Table9[[#This Row],[Document ID]],Table1[],7,FALSE)</f>
        <v>LTS</v>
      </c>
      <c r="F76" s="233" t="str">
        <f>VLOOKUP(Table9[[#This Row],[Document ID]],Table1[],8,FALSE)</f>
        <v>LTS 1.0</v>
      </c>
      <c r="G76" s="233" t="str">
        <f>VLOOKUP(Table9[[#This Row],[Document ID]],Table1[],10,FALSE)</f>
        <v>Active</v>
      </c>
      <c r="H76" s="44" t="s">
        <v>5072</v>
      </c>
      <c r="I76" s="43" t="s">
        <v>5082</v>
      </c>
      <c r="J76" s="44" t="s">
        <v>5154</v>
      </c>
      <c r="K76" s="221">
        <v>180</v>
      </c>
      <c r="L76" s="113" t="s">
        <v>1113</v>
      </c>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t="s">
        <v>1113</v>
      </c>
      <c r="AJ76" s="326"/>
      <c r="AK76" s="326"/>
      <c r="AL76" s="326"/>
      <c r="AM76" s="43" t="s">
        <v>5075</v>
      </c>
      <c r="AN76" s="233" t="str">
        <f>VLOOKUP(Table9[[#This Row],[Measure]],Table1025[[Value name]:[Value identifyer]],2,FALSE)</f>
        <v>R_Risk</v>
      </c>
      <c r="AO76" s="241" t="str">
        <f>VLOOKUP(Table9[[#This Row],[Country Code]],Table29[],3,FALSE)</f>
        <v>Non-Annex I</v>
      </c>
      <c r="AP76" s="241" t="str">
        <f>VLOOKUP(Table9[[#This Row],[Country Code]],Table29[],4,FALSE)</f>
        <v>Latin America and the Caribbean</v>
      </c>
      <c r="AQ76" s="241" t="str">
        <f>VLOOKUP(Table9[[#This Row],[Country Code]],Table29[],5,FALSE)</f>
        <v>Middle-income</v>
      </c>
      <c r="AR76" s="241" t="str">
        <f>VLOOKUP(Table9[[#This Row],[Country Code]],Table29[],6,FALSE)</f>
        <v>no</v>
      </c>
      <c r="AS76" s="241" t="str">
        <f>VLOOKUP(Table9[[#This Row],[Country Code]],Table29[],7,FALSE)</f>
        <v>no</v>
      </c>
      <c r="AT76" s="241" t="str">
        <f>VLOOKUP(Table9[[#This Row],[Country Code]],Table29[],8,FALSE)</f>
        <v>OECD</v>
      </c>
      <c r="AU76" s="233" t="str">
        <f>VLOOKUP(Table9[[#This Row],[Country Code]],Table29[],9,FALSE)</f>
        <v>no</v>
      </c>
      <c r="AV76" s="233" t="str">
        <f>VLOOKUP(Table9[[#This Row],[Country Code]],Table29[],10,FALSE)</f>
        <v>no</v>
      </c>
      <c r="AW76" s="233">
        <f>VLOOKUP(Table9[[#This Row],[Country Code]],Table29[],23,FALSE)</f>
        <v>223.96663405241</v>
      </c>
      <c r="AX76" s="233">
        <f>VLOOKUP(Table9[[#This Row],[Country Code]],Table29[],24,FALSE)</f>
        <v>37.36796885652894</v>
      </c>
      <c r="AY76" s="43"/>
    </row>
    <row r="77" spans="1:51" ht="14.85" customHeight="1" x14ac:dyDescent="0.25">
      <c r="A77" s="360">
        <v>24786</v>
      </c>
      <c r="B77" s="233" t="str">
        <f>VLOOKUP(Table9[[#This Row],[Document ID]],Table1[],2,FALSE)</f>
        <v>COM</v>
      </c>
      <c r="C77" s="233" t="str">
        <f>VLOOKUP(Table9[[#This Row],[Document ID]],Table1[],3,FALSE)</f>
        <v>Comoros</v>
      </c>
      <c r="D77" s="233" t="str">
        <f>VLOOKUP(Table9[[#This Row],[Document ID]],Table1[],5,FALSE)</f>
        <v>NDC</v>
      </c>
      <c r="E77" s="233" t="str">
        <f>VLOOKUP(Table9[[#This Row],[Document ID]],Table1[],7,FALSE)</f>
        <v>First NDC updated</v>
      </c>
      <c r="F77" s="233" t="str">
        <f>VLOOKUP(Table9[[#This Row],[Document ID]],Table1[],8,FALSE)</f>
        <v>NDC 1.1</v>
      </c>
      <c r="G77" s="233" t="str">
        <f>VLOOKUP(Table9[[#This Row],[Document ID]],Table1[],10,FALSE)</f>
        <v>Active</v>
      </c>
      <c r="H77" s="44" t="s">
        <v>5072</v>
      </c>
      <c r="I77" s="43" t="s">
        <v>5073</v>
      </c>
      <c r="J77" s="44" t="s">
        <v>5155</v>
      </c>
      <c r="K77" s="221">
        <v>9</v>
      </c>
      <c r="L77" s="113"/>
      <c r="M77" s="113"/>
      <c r="N77" s="113"/>
      <c r="O77" s="113"/>
      <c r="P77" s="113"/>
      <c r="Q77" s="113" t="s">
        <v>1113</v>
      </c>
      <c r="R77" s="113"/>
      <c r="S77" s="113"/>
      <c r="T77" s="113"/>
      <c r="U77" s="113"/>
      <c r="V77" s="113"/>
      <c r="W77" s="113"/>
      <c r="X77" s="113"/>
      <c r="Y77" s="113"/>
      <c r="Z77" s="113"/>
      <c r="AA77" s="113"/>
      <c r="AB77" s="113"/>
      <c r="AC77" s="113"/>
      <c r="AD77" s="113"/>
      <c r="AE77" s="113"/>
      <c r="AF77" s="113"/>
      <c r="AG77" s="113"/>
      <c r="AH77" s="113"/>
      <c r="AI77" s="113" t="s">
        <v>1113</v>
      </c>
      <c r="AJ77" s="326"/>
      <c r="AK77" s="326"/>
      <c r="AL77" s="326"/>
      <c r="AM77" s="43" t="s">
        <v>5075</v>
      </c>
      <c r="AN77" s="233" t="str">
        <f>VLOOKUP(Table9[[#This Row],[Measure]],Table1025[[Value name]:[Value identifyer]],2,FALSE)</f>
        <v>R_System</v>
      </c>
      <c r="AO77" s="241" t="str">
        <f>VLOOKUP(Table9[[#This Row],[Country Code]],Table29[],3,FALSE)</f>
        <v>Non-Annex I</v>
      </c>
      <c r="AP77" s="241" t="str">
        <f>VLOOKUP(Table9[[#This Row],[Country Code]],Table29[],4,FALSE)</f>
        <v>Africa</v>
      </c>
      <c r="AQ77" s="241" t="str">
        <f>VLOOKUP(Table9[[#This Row],[Country Code]],Table29[],5,FALSE)</f>
        <v>Middle-income</v>
      </c>
      <c r="AR77" s="241" t="str">
        <f>VLOOKUP(Table9[[#This Row],[Country Code]],Table29[],6,FALSE)</f>
        <v>no</v>
      </c>
      <c r="AS77" s="241" t="str">
        <f>VLOOKUP(Table9[[#This Row],[Country Code]],Table29[],7,FALSE)</f>
        <v>no</v>
      </c>
      <c r="AT77" s="241" t="str">
        <f>VLOOKUP(Table9[[#This Row],[Country Code]],Table29[],8,FALSE)</f>
        <v>non-OECD</v>
      </c>
      <c r="AU77" s="233" t="str">
        <f>VLOOKUP(Table9[[#This Row],[Country Code]],Table29[],9,FALSE)</f>
        <v>no</v>
      </c>
      <c r="AV77" s="233" t="str">
        <f>VLOOKUP(Table9[[#This Row],[Country Code]],Table29[],10,FALSE)</f>
        <v>no</v>
      </c>
      <c r="AW77" s="233">
        <f>VLOOKUP(Table9[[#This Row],[Country Code]],Table29[],23,FALSE)</f>
        <v>0.76176779618891</v>
      </c>
      <c r="AX77" s="233">
        <f>VLOOKUP(Table9[[#This Row],[Country Code]],Table29[],24,FALSE)</f>
        <v>0.18466117087691569</v>
      </c>
      <c r="AY77" s="43"/>
    </row>
    <row r="78" spans="1:51" ht="30" x14ac:dyDescent="0.25">
      <c r="A78" s="367">
        <v>21423</v>
      </c>
      <c r="B78" s="233" t="str">
        <f>VLOOKUP(Table9[[#This Row],[Document ID]],Table1[],2,FALSE)</f>
        <v>COG</v>
      </c>
      <c r="C78" s="233" t="str">
        <f>VLOOKUP(Table9[[#This Row],[Document ID]],Table1[],3,FALSE)</f>
        <v>Congo</v>
      </c>
      <c r="D78" s="254" t="str">
        <f>VLOOKUP(Table9[[#This Row],[Document ID]],Table1[],5,FALSE)</f>
        <v>NDC</v>
      </c>
      <c r="E78" s="233" t="str">
        <f>VLOOKUP(Table9[[#This Row],[Document ID]],Table1[],7,FALSE)</f>
        <v>First NDC updated</v>
      </c>
      <c r="F78" s="233" t="str">
        <f>VLOOKUP(Table9[[#This Row],[Document ID]],Table1[],8,FALSE)</f>
        <v>NDC 1.1</v>
      </c>
      <c r="G78" s="233" t="str">
        <f>VLOOKUP(Table9[[#This Row],[Document ID]],Table1[],10,FALSE)</f>
        <v>Active</v>
      </c>
      <c r="H78" s="44" t="s">
        <v>5072</v>
      </c>
      <c r="I78" s="43" t="s">
        <v>5073</v>
      </c>
      <c r="J78" s="44" t="s">
        <v>5156</v>
      </c>
      <c r="K78" s="221">
        <v>27</v>
      </c>
      <c r="L78" s="113" t="s">
        <v>1113</v>
      </c>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326" t="s">
        <v>1113</v>
      </c>
      <c r="AJ78" s="326"/>
      <c r="AK78" s="326"/>
      <c r="AL78" s="326"/>
      <c r="AM78" s="327" t="s">
        <v>5075</v>
      </c>
      <c r="AN78" s="233" t="str">
        <f>VLOOKUP(Table9[[#This Row],[Measure]],Table1025[[Value name]:[Value identifyer]],2,FALSE)</f>
        <v>R_System</v>
      </c>
      <c r="AO78" s="241" t="str">
        <f>VLOOKUP(Table9[[#This Row],[Country Code]],Table29[],3,FALSE)</f>
        <v>Non-Annex I</v>
      </c>
      <c r="AP78" s="241" t="str">
        <f>VLOOKUP(Table9[[#This Row],[Country Code]],Table29[],4,FALSE)</f>
        <v>Africa</v>
      </c>
      <c r="AQ78" s="241" t="str">
        <f>VLOOKUP(Table9[[#This Row],[Country Code]],Table29[],5,FALSE)</f>
        <v>Middle-income</v>
      </c>
      <c r="AR78" s="241" t="str">
        <f>VLOOKUP(Table9[[#This Row],[Country Code]],Table29[],6,FALSE)</f>
        <v>no</v>
      </c>
      <c r="AS78" s="241" t="str">
        <f>VLOOKUP(Table9[[#This Row],[Country Code]],Table29[],7,FALSE)</f>
        <v>no</v>
      </c>
      <c r="AT78" s="241" t="str">
        <f>VLOOKUP(Table9[[#This Row],[Country Code]],Table29[],8,FALSE)</f>
        <v>non-OECD</v>
      </c>
      <c r="AU78" s="233" t="str">
        <f>VLOOKUP(Table9[[#This Row],[Country Code]],Table29[],9,FALSE)</f>
        <v>no</v>
      </c>
      <c r="AV78" s="233" t="str">
        <f>VLOOKUP(Table9[[#This Row],[Country Code]],Table29[],10,FALSE)</f>
        <v>no</v>
      </c>
      <c r="AW78" s="233">
        <f>VLOOKUP(Table9[[#This Row],[Country Code]],Table29[],23,FALSE)</f>
        <v>23.702014388194002</v>
      </c>
      <c r="AX78" s="233">
        <f>VLOOKUP(Table9[[#This Row],[Country Code]],Table29[],24,FALSE)</f>
        <v>1.4878367477049981</v>
      </c>
      <c r="AY78" s="43"/>
    </row>
    <row r="79" spans="1:51" ht="30" x14ac:dyDescent="0.25">
      <c r="A79" s="367">
        <v>21423</v>
      </c>
      <c r="B79" s="233" t="str">
        <f>VLOOKUP(Table9[[#This Row],[Document ID]],Table1[],2,FALSE)</f>
        <v>COG</v>
      </c>
      <c r="C79" s="233" t="str">
        <f>VLOOKUP(Table9[[#This Row],[Document ID]],Table1[],3,FALSE)</f>
        <v>Congo</v>
      </c>
      <c r="D79" s="254" t="str">
        <f>VLOOKUP(Table9[[#This Row],[Document ID]],Table1[],5,FALSE)</f>
        <v>NDC</v>
      </c>
      <c r="E79" s="233" t="str">
        <f>VLOOKUP(Table9[[#This Row],[Document ID]],Table1[],7,FALSE)</f>
        <v>First NDC updated</v>
      </c>
      <c r="F79" s="241" t="str">
        <f>VLOOKUP(Table9[[#This Row],[Document ID]],Table1[],8,FALSE)</f>
        <v>NDC 1.1</v>
      </c>
      <c r="G79" s="241" t="str">
        <f>VLOOKUP(Table9[[#This Row],[Document ID]],Table1[],10,FALSE)</f>
        <v>Active</v>
      </c>
      <c r="H79" s="44" t="s">
        <v>5076</v>
      </c>
      <c r="I79" s="43" t="s">
        <v>5089</v>
      </c>
      <c r="J79" s="44" t="s">
        <v>5157</v>
      </c>
      <c r="K79" s="221">
        <v>28</v>
      </c>
      <c r="L79" s="113"/>
      <c r="M79" s="113"/>
      <c r="N79" s="113"/>
      <c r="O79" s="113"/>
      <c r="P79" s="113"/>
      <c r="Q79" s="113" t="s">
        <v>1113</v>
      </c>
      <c r="R79" s="113"/>
      <c r="S79" s="113"/>
      <c r="T79" s="113"/>
      <c r="U79" s="113"/>
      <c r="V79" s="113"/>
      <c r="W79" s="113"/>
      <c r="X79" s="113"/>
      <c r="Y79" s="113"/>
      <c r="Z79" s="113"/>
      <c r="AA79" s="113"/>
      <c r="AB79" s="113"/>
      <c r="AC79" s="113"/>
      <c r="AD79" s="113"/>
      <c r="AE79" s="113"/>
      <c r="AF79" s="113"/>
      <c r="AG79" s="113"/>
      <c r="AH79" s="113"/>
      <c r="AI79" s="326" t="s">
        <v>1113</v>
      </c>
      <c r="AJ79" s="326"/>
      <c r="AK79" s="326"/>
      <c r="AL79" s="326"/>
      <c r="AM79" s="327" t="s">
        <v>5075</v>
      </c>
      <c r="AN79" s="233" t="str">
        <f>VLOOKUP(Table9[[#This Row],[Measure]],Table1025[[Value name]:[Value identifyer]],2,FALSE)</f>
        <v>R_Design</v>
      </c>
      <c r="AO79" s="241" t="str">
        <f>VLOOKUP(Table9[[#This Row],[Country Code]],Table29[],3,FALSE)</f>
        <v>Non-Annex I</v>
      </c>
      <c r="AP79" s="241" t="str">
        <f>VLOOKUP(Table9[[#This Row],[Country Code]],Table29[],4,FALSE)</f>
        <v>Africa</v>
      </c>
      <c r="AQ79" s="241" t="str">
        <f>VLOOKUP(Table9[[#This Row],[Country Code]],Table29[],5,FALSE)</f>
        <v>Middle-income</v>
      </c>
      <c r="AR79" s="241" t="str">
        <f>VLOOKUP(Table9[[#This Row],[Country Code]],Table29[],6,FALSE)</f>
        <v>no</v>
      </c>
      <c r="AS79" s="241" t="str">
        <f>VLOOKUP(Table9[[#This Row],[Country Code]],Table29[],7,FALSE)</f>
        <v>no</v>
      </c>
      <c r="AT79" s="241" t="str">
        <f>VLOOKUP(Table9[[#This Row],[Country Code]],Table29[],8,FALSE)</f>
        <v>non-OECD</v>
      </c>
      <c r="AU79" s="233" t="str">
        <f>VLOOKUP(Table9[[#This Row],[Country Code]],Table29[],9,FALSE)</f>
        <v>no</v>
      </c>
      <c r="AV79" s="233" t="str">
        <f>VLOOKUP(Table9[[#This Row],[Country Code]],Table29[],10,FALSE)</f>
        <v>no</v>
      </c>
      <c r="AW79" s="233">
        <f>VLOOKUP(Table9[[#This Row],[Country Code]],Table29[],23,FALSE)</f>
        <v>23.702014388194002</v>
      </c>
      <c r="AX79" s="233">
        <f>VLOOKUP(Table9[[#This Row],[Country Code]],Table29[],24,FALSE)</f>
        <v>1.4878367477049981</v>
      </c>
      <c r="AY79" s="43"/>
    </row>
    <row r="80" spans="1:51" ht="75" x14ac:dyDescent="0.25">
      <c r="A80" s="360">
        <v>17564</v>
      </c>
      <c r="B80" s="233" t="str">
        <f>VLOOKUP(Table9[[#This Row],[Document ID]],Table1[],2,FALSE)</f>
        <v>CRI</v>
      </c>
      <c r="C80" s="233" t="str">
        <f>VLOOKUP(Table9[[#This Row],[Document ID]],Table1[],3,FALSE)</f>
        <v>Costa Rica</v>
      </c>
      <c r="D80" s="233" t="str">
        <f>VLOOKUP(Table9[[#This Row],[Document ID]],Table1[],5,FALSE)</f>
        <v>NDC</v>
      </c>
      <c r="E80" s="233" t="str">
        <f>VLOOKUP(Table9[[#This Row],[Document ID]],Table1[],7,FALSE)</f>
        <v>First NDC updated</v>
      </c>
      <c r="F80" s="233" t="str">
        <f>VLOOKUP(Table9[[#This Row],[Document ID]],Table1[],8,FALSE)</f>
        <v>NDC 1.1</v>
      </c>
      <c r="G80" s="233" t="str">
        <f>VLOOKUP(Table9[[#This Row],[Document ID]],Table1[],10,FALSE)</f>
        <v>Active</v>
      </c>
      <c r="H80" s="44" t="s">
        <v>5076</v>
      </c>
      <c r="I80" s="43" t="s">
        <v>5077</v>
      </c>
      <c r="J80" s="44" t="s">
        <v>5158</v>
      </c>
      <c r="K80" s="221">
        <v>27</v>
      </c>
      <c r="L80" s="113" t="s">
        <v>1113</v>
      </c>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t="s">
        <v>1113</v>
      </c>
      <c r="AJ80" s="113"/>
      <c r="AK80" s="113"/>
      <c r="AL80" s="113"/>
      <c r="AM80" s="43" t="s">
        <v>5075</v>
      </c>
      <c r="AN80" s="233" t="str">
        <f>VLOOKUP(Table9[[#This Row],[Measure]],Table1025[[Value name]:[Value identifyer]],2,FALSE)</f>
        <v>R_Planning</v>
      </c>
      <c r="AO80" s="241" t="str">
        <f>VLOOKUP(Table9[[#This Row],[Country Code]],Table29[],3,FALSE)</f>
        <v>Non-Annex I</v>
      </c>
      <c r="AP80" s="241" t="str">
        <f>VLOOKUP(Table9[[#This Row],[Country Code]],Table29[],4,FALSE)</f>
        <v>Latin America and the Caribbean</v>
      </c>
      <c r="AQ80" s="241" t="str">
        <f>VLOOKUP(Table9[[#This Row],[Country Code]],Table29[],5,FALSE)</f>
        <v>Middle-income</v>
      </c>
      <c r="AR80" s="241" t="str">
        <f>VLOOKUP(Table9[[#This Row],[Country Code]],Table29[],6,FALSE)</f>
        <v>no</v>
      </c>
      <c r="AS80" s="241" t="str">
        <f>VLOOKUP(Table9[[#This Row],[Country Code]],Table29[],7,FALSE)</f>
        <v>no</v>
      </c>
      <c r="AT80" s="241" t="str">
        <f>VLOOKUP(Table9[[#This Row],[Country Code]],Table29[],8,FALSE)</f>
        <v>OECD</v>
      </c>
      <c r="AU80" s="233" t="str">
        <f>VLOOKUP(Table9[[#This Row],[Country Code]],Table29[],9,FALSE)</f>
        <v>no</v>
      </c>
      <c r="AV80" s="233" t="str">
        <f>VLOOKUP(Table9[[#This Row],[Country Code]],Table29[],10,FALSE)</f>
        <v>no</v>
      </c>
      <c r="AW80" s="233">
        <f>VLOOKUP(Table9[[#This Row],[Country Code]],Table29[],23,FALSE)</f>
        <v>16.468143919330998</v>
      </c>
      <c r="AX80" s="233">
        <f>VLOOKUP(Table9[[#This Row],[Country Code]],Table29[],24,FALSE)</f>
        <v>6.1699800179976929</v>
      </c>
      <c r="AY80" s="43"/>
    </row>
    <row r="81" spans="1:51" ht="75" x14ac:dyDescent="0.25">
      <c r="A81" s="360">
        <v>17564</v>
      </c>
      <c r="B81" s="233" t="str">
        <f>VLOOKUP(Table9[[#This Row],[Document ID]],Table1[],2,FALSE)</f>
        <v>CRI</v>
      </c>
      <c r="C81" s="233" t="str">
        <f>VLOOKUP(Table9[[#This Row],[Document ID]],Table1[],3,FALSE)</f>
        <v>Costa Rica</v>
      </c>
      <c r="D81" s="233" t="str">
        <f>VLOOKUP(Table9[[#This Row],[Document ID]],Table1[],5,FALSE)</f>
        <v>NDC</v>
      </c>
      <c r="E81" s="233" t="str">
        <f>VLOOKUP(Table9[[#This Row],[Document ID]],Table1[],7,FALSE)</f>
        <v>First NDC updated</v>
      </c>
      <c r="F81" s="233" t="str">
        <f>VLOOKUP(Table9[[#This Row],[Document ID]],Table1[],8,FALSE)</f>
        <v>NDC 1.1</v>
      </c>
      <c r="G81" s="233" t="str">
        <f>VLOOKUP(Table9[[#This Row],[Document ID]],Table1[],10,FALSE)</f>
        <v>Active</v>
      </c>
      <c r="H81" s="44" t="s">
        <v>5086</v>
      </c>
      <c r="I81" s="43" t="s">
        <v>5127</v>
      </c>
      <c r="J81" s="44" t="s">
        <v>5158</v>
      </c>
      <c r="K81" s="221">
        <v>27</v>
      </c>
      <c r="L81" s="113" t="s">
        <v>1113</v>
      </c>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t="s">
        <v>1113</v>
      </c>
      <c r="AJ81" s="113"/>
      <c r="AK81" s="113"/>
      <c r="AL81" s="113"/>
      <c r="AM81" s="43" t="s">
        <v>5075</v>
      </c>
      <c r="AN81" s="233" t="str">
        <f>VLOOKUP(Table9[[#This Row],[Measure]],Table1025[[Value name]:[Value identifyer]],2,FALSE)</f>
        <v>R_Emergency</v>
      </c>
      <c r="AO81" s="241" t="str">
        <f>VLOOKUP(Table9[[#This Row],[Country Code]],Table29[],3,FALSE)</f>
        <v>Non-Annex I</v>
      </c>
      <c r="AP81" s="241" t="str">
        <f>VLOOKUP(Table9[[#This Row],[Country Code]],Table29[],4,FALSE)</f>
        <v>Latin America and the Caribbean</v>
      </c>
      <c r="AQ81" s="241" t="str">
        <f>VLOOKUP(Table9[[#This Row],[Country Code]],Table29[],5,FALSE)</f>
        <v>Middle-income</v>
      </c>
      <c r="AR81" s="241" t="str">
        <f>VLOOKUP(Table9[[#This Row],[Country Code]],Table29[],6,FALSE)</f>
        <v>no</v>
      </c>
      <c r="AS81" s="241" t="str">
        <f>VLOOKUP(Table9[[#This Row],[Country Code]],Table29[],7,FALSE)</f>
        <v>no</v>
      </c>
      <c r="AT81" s="241" t="str">
        <f>VLOOKUP(Table9[[#This Row],[Country Code]],Table29[],8,FALSE)</f>
        <v>OECD</v>
      </c>
      <c r="AU81" s="233" t="str">
        <f>VLOOKUP(Table9[[#This Row],[Country Code]],Table29[],9,FALSE)</f>
        <v>no</v>
      </c>
      <c r="AV81" s="233" t="str">
        <f>VLOOKUP(Table9[[#This Row],[Country Code]],Table29[],10,FALSE)</f>
        <v>no</v>
      </c>
      <c r="AW81" s="233">
        <f>VLOOKUP(Table9[[#This Row],[Country Code]],Table29[],23,FALSE)</f>
        <v>16.468143919330998</v>
      </c>
      <c r="AX81" s="233">
        <f>VLOOKUP(Table9[[#This Row],[Country Code]],Table29[],24,FALSE)</f>
        <v>6.1699800179976929</v>
      </c>
      <c r="AY81" s="43"/>
    </row>
    <row r="82" spans="1:51" ht="30" x14ac:dyDescent="0.25">
      <c r="A82" s="367">
        <v>29230</v>
      </c>
      <c r="B82" s="233" t="str">
        <f>VLOOKUP(Table9[[#This Row],[Document ID]],Table1[],2,FALSE)</f>
        <v>DMA</v>
      </c>
      <c r="C82" s="233" t="str">
        <f>VLOOKUP(Table9[[#This Row],[Document ID]],Table1[],3,FALSE)</f>
        <v>Dominica</v>
      </c>
      <c r="D82" s="254" t="str">
        <f>VLOOKUP(Table9[[#This Row],[Document ID]],Table1[],5,FALSE)</f>
        <v>NDC</v>
      </c>
      <c r="E82" s="233" t="str">
        <f>VLOOKUP(Table9[[#This Row],[Document ID]],Table1[],7,FALSE)</f>
        <v>First NDC updated</v>
      </c>
      <c r="F82" s="241" t="str">
        <f>VLOOKUP(Table9[[#This Row],[Document ID]],Table1[],8,FALSE)</f>
        <v>NDC 1.1</v>
      </c>
      <c r="G82" s="241" t="str">
        <f>VLOOKUP(Table9[[#This Row],[Document ID]],Table1[],10,FALSE)</f>
        <v>Active</v>
      </c>
      <c r="H82" s="44" t="s">
        <v>5072</v>
      </c>
      <c r="I82" s="43" t="s">
        <v>5073</v>
      </c>
      <c r="J82" s="44" t="s">
        <v>5159</v>
      </c>
      <c r="K82" s="221">
        <v>83</v>
      </c>
      <c r="L82" s="113" t="s">
        <v>1113</v>
      </c>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t="s">
        <v>1113</v>
      </c>
      <c r="AJ82" s="326"/>
      <c r="AK82" s="326"/>
      <c r="AL82" s="326"/>
      <c r="AM82" s="42" t="s">
        <v>5075</v>
      </c>
      <c r="AN82" s="233" t="str">
        <f>VLOOKUP(Table9[[#This Row],[Measure]],Table1025[[Value name]:[Value identifyer]],2,FALSE)</f>
        <v>R_System</v>
      </c>
      <c r="AO82" s="241" t="str">
        <f>VLOOKUP(Table9[[#This Row],[Country Code]],Table29[],3,FALSE)</f>
        <v>Non-Annex I</v>
      </c>
      <c r="AP82" s="241" t="str">
        <f>VLOOKUP(Table9[[#This Row],[Country Code]],Table29[],4,FALSE)</f>
        <v>Latin America and the Caribbean</v>
      </c>
      <c r="AQ82" s="241" t="str">
        <f>VLOOKUP(Table9[[#This Row],[Country Code]],Table29[],5,FALSE)</f>
        <v>Middle-income</v>
      </c>
      <c r="AR82" s="241" t="str">
        <f>VLOOKUP(Table9[[#This Row],[Country Code]],Table29[],6,FALSE)</f>
        <v>no</v>
      </c>
      <c r="AS82" s="241" t="str">
        <f>VLOOKUP(Table9[[#This Row],[Country Code]],Table29[],7,FALSE)</f>
        <v>no</v>
      </c>
      <c r="AT82" s="241" t="str">
        <f>VLOOKUP(Table9[[#This Row],[Country Code]],Table29[],8,FALSE)</f>
        <v>non-OECD</v>
      </c>
      <c r="AU82" s="233" t="str">
        <f>VLOOKUP(Table9[[#This Row],[Country Code]],Table29[],9,FALSE)</f>
        <v>no</v>
      </c>
      <c r="AV82" s="233" t="str">
        <f>VLOOKUP(Table9[[#This Row],[Country Code]],Table29[],10,FALSE)</f>
        <v>no</v>
      </c>
      <c r="AW82" s="233">
        <f>VLOOKUP(Table9[[#This Row],[Country Code]],Table29[],23,FALSE)</f>
        <v>0.14691940907449</v>
      </c>
      <c r="AX82" s="233">
        <f>VLOOKUP(Table9[[#This Row],[Country Code]],Table29[],24,FALSE)</f>
        <v>2.8004429294222619E-2</v>
      </c>
      <c r="AY82" s="43"/>
    </row>
    <row r="83" spans="1:51" ht="30" x14ac:dyDescent="0.25">
      <c r="A83" s="367">
        <v>29230</v>
      </c>
      <c r="B83" s="233" t="str">
        <f>VLOOKUP(Table9[[#This Row],[Document ID]],Table1[],2,FALSE)</f>
        <v>DMA</v>
      </c>
      <c r="C83" s="233" t="str">
        <f>VLOOKUP(Table9[[#This Row],[Document ID]],Table1[],3,FALSE)</f>
        <v>Dominica</v>
      </c>
      <c r="D83" s="254" t="str">
        <f>VLOOKUP(Table9[[#This Row],[Document ID]],Table1[],5,FALSE)</f>
        <v>NDC</v>
      </c>
      <c r="E83" s="233" t="str">
        <f>VLOOKUP(Table9[[#This Row],[Document ID]],Table1[],7,FALSE)</f>
        <v>First NDC updated</v>
      </c>
      <c r="F83" s="241" t="str">
        <f>VLOOKUP(Table9[[#This Row],[Document ID]],Table1[],8,FALSE)</f>
        <v>NDC 1.1</v>
      </c>
      <c r="G83" s="241" t="str">
        <f>VLOOKUP(Table9[[#This Row],[Document ID]],Table1[],10,FALSE)</f>
        <v>Active</v>
      </c>
      <c r="H83" s="44" t="s">
        <v>5076</v>
      </c>
      <c r="I83" s="43" t="s">
        <v>5077</v>
      </c>
      <c r="J83" s="209" t="s">
        <v>5160</v>
      </c>
      <c r="K83" s="259">
        <v>94</v>
      </c>
      <c r="L83" s="219" t="s">
        <v>1113</v>
      </c>
      <c r="M83" s="219"/>
      <c r="N83" s="113"/>
      <c r="O83" s="113"/>
      <c r="P83" s="113"/>
      <c r="Q83" s="113"/>
      <c r="R83" s="113"/>
      <c r="S83" s="113"/>
      <c r="T83" s="113"/>
      <c r="U83" s="113"/>
      <c r="V83" s="113"/>
      <c r="W83" s="113"/>
      <c r="X83" s="113"/>
      <c r="Y83" s="113"/>
      <c r="Z83" s="113"/>
      <c r="AA83" s="113"/>
      <c r="AB83" s="113"/>
      <c r="AC83" s="113"/>
      <c r="AD83" s="113"/>
      <c r="AE83" s="113"/>
      <c r="AF83" s="113"/>
      <c r="AG83" s="113"/>
      <c r="AH83" s="113"/>
      <c r="AI83" s="219" t="s">
        <v>1113</v>
      </c>
      <c r="AJ83" s="326"/>
      <c r="AK83" s="326"/>
      <c r="AL83" s="326"/>
      <c r="AM83" s="42" t="s">
        <v>5075</v>
      </c>
      <c r="AN83" s="233" t="str">
        <f>VLOOKUP(Table9[[#This Row],[Measure]],Table1025[[Value name]:[Value identifyer]],2,FALSE)</f>
        <v>R_Planning</v>
      </c>
      <c r="AO83" s="241" t="str">
        <f>VLOOKUP(Table9[[#This Row],[Country Code]],Table29[],3,FALSE)</f>
        <v>Non-Annex I</v>
      </c>
      <c r="AP83" s="241" t="str">
        <f>VLOOKUP(Table9[[#This Row],[Country Code]],Table29[],4,FALSE)</f>
        <v>Latin America and the Caribbean</v>
      </c>
      <c r="AQ83" s="241" t="str">
        <f>VLOOKUP(Table9[[#This Row],[Country Code]],Table29[],5,FALSE)</f>
        <v>Middle-income</v>
      </c>
      <c r="AR83" s="241" t="str">
        <f>VLOOKUP(Table9[[#This Row],[Country Code]],Table29[],6,FALSE)</f>
        <v>no</v>
      </c>
      <c r="AS83" s="241" t="str">
        <f>VLOOKUP(Table9[[#This Row],[Country Code]],Table29[],7,FALSE)</f>
        <v>no</v>
      </c>
      <c r="AT83" s="241" t="str">
        <f>VLOOKUP(Table9[[#This Row],[Country Code]],Table29[],8,FALSE)</f>
        <v>non-OECD</v>
      </c>
      <c r="AU83" s="233" t="str">
        <f>VLOOKUP(Table9[[#This Row],[Country Code]],Table29[],9,FALSE)</f>
        <v>no</v>
      </c>
      <c r="AV83" s="233" t="str">
        <f>VLOOKUP(Table9[[#This Row],[Country Code]],Table29[],10,FALSE)</f>
        <v>no</v>
      </c>
      <c r="AW83" s="233">
        <f>VLOOKUP(Table9[[#This Row],[Country Code]],Table29[],23,FALSE)</f>
        <v>0.14691940907449</v>
      </c>
      <c r="AX83" s="233">
        <f>VLOOKUP(Table9[[#This Row],[Country Code]],Table29[],24,FALSE)</f>
        <v>2.8004429294222619E-2</v>
      </c>
      <c r="AY83" s="43"/>
    </row>
    <row r="84" spans="1:51" ht="30" x14ac:dyDescent="0.25">
      <c r="A84" s="367">
        <v>29230</v>
      </c>
      <c r="B84" s="233" t="str">
        <f>VLOOKUP(Table9[[#This Row],[Document ID]],Table1[],2,FALSE)</f>
        <v>DMA</v>
      </c>
      <c r="C84" s="233" t="str">
        <f>VLOOKUP(Table9[[#This Row],[Document ID]],Table1[],3,FALSE)</f>
        <v>Dominica</v>
      </c>
      <c r="D84" s="254" t="str">
        <f>VLOOKUP(Table9[[#This Row],[Document ID]],Table1[],5,FALSE)</f>
        <v>NDC</v>
      </c>
      <c r="E84" s="233" t="str">
        <f>VLOOKUP(Table9[[#This Row],[Document ID]],Table1[],7,FALSE)</f>
        <v>First NDC updated</v>
      </c>
      <c r="F84" s="241" t="str">
        <f>VLOOKUP(Table9[[#This Row],[Document ID]],Table1[],8,FALSE)</f>
        <v>NDC 1.1</v>
      </c>
      <c r="G84" s="241" t="str">
        <f>VLOOKUP(Table9[[#This Row],[Document ID]],Table1[],10,FALSE)</f>
        <v>Active</v>
      </c>
      <c r="H84" s="44" t="s">
        <v>5086</v>
      </c>
      <c r="I84" s="43" t="s">
        <v>5130</v>
      </c>
      <c r="J84" s="209" t="s">
        <v>5161</v>
      </c>
      <c r="K84" s="259">
        <v>94</v>
      </c>
      <c r="L84" s="219" t="s">
        <v>1113</v>
      </c>
      <c r="M84" s="219"/>
      <c r="N84" s="113"/>
      <c r="O84" s="113"/>
      <c r="P84" s="113"/>
      <c r="Q84" s="113"/>
      <c r="R84" s="113"/>
      <c r="S84" s="113"/>
      <c r="T84" s="113"/>
      <c r="U84" s="113"/>
      <c r="V84" s="113"/>
      <c r="W84" s="113"/>
      <c r="X84" s="113"/>
      <c r="Y84" s="113"/>
      <c r="Z84" s="113"/>
      <c r="AA84" s="113"/>
      <c r="AB84" s="113"/>
      <c r="AC84" s="113"/>
      <c r="AD84" s="113"/>
      <c r="AE84" s="113"/>
      <c r="AF84" s="113"/>
      <c r="AG84" s="113"/>
      <c r="AH84" s="113"/>
      <c r="AI84" s="219" t="s">
        <v>1113</v>
      </c>
      <c r="AJ84" s="326"/>
      <c r="AK84" s="326"/>
      <c r="AL84" s="326"/>
      <c r="AM84" s="42" t="s">
        <v>5075</v>
      </c>
      <c r="AN84" s="233" t="str">
        <f>VLOOKUP(Table9[[#This Row],[Measure]],Table1025[[Value name]:[Value identifyer]],2,FALSE)</f>
        <v>R_Monitoring</v>
      </c>
      <c r="AO84" s="241" t="str">
        <f>VLOOKUP(Table9[[#This Row],[Country Code]],Table29[],3,FALSE)</f>
        <v>Non-Annex I</v>
      </c>
      <c r="AP84" s="241" t="str">
        <f>VLOOKUP(Table9[[#This Row],[Country Code]],Table29[],4,FALSE)</f>
        <v>Latin America and the Caribbean</v>
      </c>
      <c r="AQ84" s="241" t="str">
        <f>VLOOKUP(Table9[[#This Row],[Country Code]],Table29[],5,FALSE)</f>
        <v>Middle-income</v>
      </c>
      <c r="AR84" s="241" t="str">
        <f>VLOOKUP(Table9[[#This Row],[Country Code]],Table29[],6,FALSE)</f>
        <v>no</v>
      </c>
      <c r="AS84" s="241" t="str">
        <f>VLOOKUP(Table9[[#This Row],[Country Code]],Table29[],7,FALSE)</f>
        <v>no</v>
      </c>
      <c r="AT84" s="241" t="str">
        <f>VLOOKUP(Table9[[#This Row],[Country Code]],Table29[],8,FALSE)</f>
        <v>non-OECD</v>
      </c>
      <c r="AU84" s="233" t="str">
        <f>VLOOKUP(Table9[[#This Row],[Country Code]],Table29[],9,FALSE)</f>
        <v>no</v>
      </c>
      <c r="AV84" s="233" t="str">
        <f>VLOOKUP(Table9[[#This Row],[Country Code]],Table29[],10,FALSE)</f>
        <v>no</v>
      </c>
      <c r="AW84" s="233">
        <f>VLOOKUP(Table9[[#This Row],[Country Code]],Table29[],23,FALSE)</f>
        <v>0.14691940907449</v>
      </c>
      <c r="AX84" s="233">
        <f>VLOOKUP(Table9[[#This Row],[Country Code]],Table29[],24,FALSE)</f>
        <v>2.8004429294222619E-2</v>
      </c>
      <c r="AY84" s="43"/>
    </row>
    <row r="85" spans="1:51" ht="60" x14ac:dyDescent="0.25">
      <c r="A85" s="367">
        <v>29230</v>
      </c>
      <c r="B85" s="233" t="str">
        <f>VLOOKUP(Table9[[#This Row],[Document ID]],Table1[],2,FALSE)</f>
        <v>DMA</v>
      </c>
      <c r="C85" s="233" t="str">
        <f>VLOOKUP(Table9[[#This Row],[Document ID]],Table1[],3,FALSE)</f>
        <v>Dominica</v>
      </c>
      <c r="D85" s="254" t="str">
        <f>VLOOKUP(Table9[[#This Row],[Document ID]],Table1[],5,FALSE)</f>
        <v>NDC</v>
      </c>
      <c r="E85" s="233" t="str">
        <f>VLOOKUP(Table9[[#This Row],[Document ID]],Table1[],7,FALSE)</f>
        <v>First NDC updated</v>
      </c>
      <c r="F85" s="241" t="str">
        <f>VLOOKUP(Table9[[#This Row],[Document ID]],Table1[],8,FALSE)</f>
        <v>NDC 1.1</v>
      </c>
      <c r="G85" s="241" t="str">
        <f>VLOOKUP(Table9[[#This Row],[Document ID]],Table1[],10,FALSE)</f>
        <v>Active</v>
      </c>
      <c r="H85" s="44" t="s">
        <v>5072</v>
      </c>
      <c r="I85" s="43" t="s">
        <v>5073</v>
      </c>
      <c r="J85" s="209" t="s">
        <v>5162</v>
      </c>
      <c r="K85" s="259">
        <v>95</v>
      </c>
      <c r="L85" s="219"/>
      <c r="M85" s="219"/>
      <c r="N85" s="113"/>
      <c r="O85" s="113"/>
      <c r="P85" s="113"/>
      <c r="Q85" s="113"/>
      <c r="R85" s="113"/>
      <c r="S85" s="113"/>
      <c r="T85" s="113"/>
      <c r="U85" s="113"/>
      <c r="V85" s="113"/>
      <c r="W85" s="113"/>
      <c r="X85" s="113"/>
      <c r="Y85" s="113"/>
      <c r="Z85" s="113"/>
      <c r="AA85" s="113"/>
      <c r="AB85" s="113" t="s">
        <v>1113</v>
      </c>
      <c r="AC85" s="113"/>
      <c r="AD85" s="113"/>
      <c r="AE85" s="113"/>
      <c r="AF85" s="113" t="s">
        <v>1113</v>
      </c>
      <c r="AG85" s="113"/>
      <c r="AH85" s="113"/>
      <c r="AI85" s="219" t="s">
        <v>1113</v>
      </c>
      <c r="AJ85" s="326"/>
      <c r="AK85" s="326"/>
      <c r="AL85" s="326"/>
      <c r="AM85" s="42" t="s">
        <v>5075</v>
      </c>
      <c r="AN85" s="233" t="str">
        <f>VLOOKUP(Table9[[#This Row],[Measure]],Table1025[[Value name]:[Value identifyer]],2,FALSE)</f>
        <v>R_System</v>
      </c>
      <c r="AO85" s="241" t="str">
        <f>VLOOKUP(Table9[[#This Row],[Country Code]],Table29[],3,FALSE)</f>
        <v>Non-Annex I</v>
      </c>
      <c r="AP85" s="241" t="str">
        <f>VLOOKUP(Table9[[#This Row],[Country Code]],Table29[],4,FALSE)</f>
        <v>Latin America and the Caribbean</v>
      </c>
      <c r="AQ85" s="241" t="str">
        <f>VLOOKUP(Table9[[#This Row],[Country Code]],Table29[],5,FALSE)</f>
        <v>Middle-income</v>
      </c>
      <c r="AR85" s="241" t="str">
        <f>VLOOKUP(Table9[[#This Row],[Country Code]],Table29[],6,FALSE)</f>
        <v>no</v>
      </c>
      <c r="AS85" s="241" t="str">
        <f>VLOOKUP(Table9[[#This Row],[Country Code]],Table29[],7,FALSE)</f>
        <v>no</v>
      </c>
      <c r="AT85" s="241" t="str">
        <f>VLOOKUP(Table9[[#This Row],[Country Code]],Table29[],8,FALSE)</f>
        <v>non-OECD</v>
      </c>
      <c r="AU85" s="233" t="str">
        <f>VLOOKUP(Table9[[#This Row],[Country Code]],Table29[],9,FALSE)</f>
        <v>no</v>
      </c>
      <c r="AV85" s="233" t="str">
        <f>VLOOKUP(Table9[[#This Row],[Country Code]],Table29[],10,FALSE)</f>
        <v>no</v>
      </c>
      <c r="AW85" s="233">
        <f>VLOOKUP(Table9[[#This Row],[Country Code]],Table29[],23,FALSE)</f>
        <v>0.14691940907449</v>
      </c>
      <c r="AX85" s="233">
        <f>VLOOKUP(Table9[[#This Row],[Country Code]],Table29[],24,FALSE)</f>
        <v>2.8004429294222619E-2</v>
      </c>
      <c r="AY85" s="43"/>
    </row>
    <row r="86" spans="1:51" x14ac:dyDescent="0.25">
      <c r="A86" s="360">
        <v>17580</v>
      </c>
      <c r="B86" s="233" t="str">
        <f>VLOOKUP(Table9[[#This Row],[Document ID]],Table1[],2,FALSE)</f>
        <v>DOM</v>
      </c>
      <c r="C86" s="233" t="str">
        <f>VLOOKUP(Table9[[#This Row],[Document ID]],Table1[],3,FALSE)</f>
        <v>Dominican Republic</v>
      </c>
      <c r="D86" s="233" t="str">
        <f>VLOOKUP(Table9[[#This Row],[Document ID]],Table1[],5,FALSE)</f>
        <v>NDC</v>
      </c>
      <c r="E86" s="233" t="str">
        <f>VLOOKUP(Table9[[#This Row],[Document ID]],Table1[],7,FALSE)</f>
        <v>First NDC updated</v>
      </c>
      <c r="F86" s="233" t="str">
        <f>VLOOKUP(Table9[[#This Row],[Document ID]],Table1[],8,FALSE)</f>
        <v>NDC 1.1</v>
      </c>
      <c r="G86" s="233" t="str">
        <f>VLOOKUP(Table9[[#This Row],[Document ID]],Table1[],10,FALSE)</f>
        <v>Active</v>
      </c>
      <c r="H86" s="44" t="s">
        <v>5072</v>
      </c>
      <c r="I86" s="43" t="s">
        <v>5073</v>
      </c>
      <c r="J86" s="44" t="s">
        <v>5163</v>
      </c>
      <c r="K86" s="221">
        <v>13</v>
      </c>
      <c r="L86" s="113" t="s">
        <v>1113</v>
      </c>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t="s">
        <v>1113</v>
      </c>
      <c r="AK86" s="113"/>
      <c r="AL86" s="113"/>
      <c r="AM86" s="43" t="s">
        <v>5075</v>
      </c>
      <c r="AN86" s="233" t="str">
        <f>VLOOKUP(Table9[[#This Row],[Measure]],Table1025[[Value name]:[Value identifyer]],2,FALSE)</f>
        <v>R_System</v>
      </c>
      <c r="AO86" s="241" t="str">
        <f>VLOOKUP(Table9[[#This Row],[Country Code]],Table29[],3,FALSE)</f>
        <v>Non-Annex I</v>
      </c>
      <c r="AP86" s="241" t="str">
        <f>VLOOKUP(Table9[[#This Row],[Country Code]],Table29[],4,FALSE)</f>
        <v>Latin America and the Caribbean</v>
      </c>
      <c r="AQ86" s="241" t="str">
        <f>VLOOKUP(Table9[[#This Row],[Country Code]],Table29[],5,FALSE)</f>
        <v>Middle-income</v>
      </c>
      <c r="AR86" s="241" t="str">
        <f>VLOOKUP(Table9[[#This Row],[Country Code]],Table29[],6,FALSE)</f>
        <v>no</v>
      </c>
      <c r="AS86" s="241" t="str">
        <f>VLOOKUP(Table9[[#This Row],[Country Code]],Table29[],7,FALSE)</f>
        <v>no</v>
      </c>
      <c r="AT86" s="241" t="str">
        <f>VLOOKUP(Table9[[#This Row],[Country Code]],Table29[],8,FALSE)</f>
        <v>non-OECD</v>
      </c>
      <c r="AU86" s="233" t="str">
        <f>VLOOKUP(Table9[[#This Row],[Country Code]],Table29[],9,FALSE)</f>
        <v>no</v>
      </c>
      <c r="AV86" s="233" t="str">
        <f>VLOOKUP(Table9[[#This Row],[Country Code]],Table29[],10,FALSE)</f>
        <v>no</v>
      </c>
      <c r="AW86" s="233">
        <f>VLOOKUP(Table9[[#This Row],[Country Code]],Table29[],23,FALSE)</f>
        <v>48.396213040657997</v>
      </c>
      <c r="AX86" s="233">
        <f>VLOOKUP(Table9[[#This Row],[Country Code]],Table29[],24,FALSE)</f>
        <v>8.515708871390995</v>
      </c>
      <c r="AY86" s="43"/>
    </row>
    <row r="87" spans="1:51" ht="30" x14ac:dyDescent="0.25">
      <c r="A87" s="360">
        <v>17580</v>
      </c>
      <c r="B87" s="233" t="str">
        <f>VLOOKUP(Table9[[#This Row],[Document ID]],Table1[],2,FALSE)</f>
        <v>DOM</v>
      </c>
      <c r="C87" s="233" t="str">
        <f>VLOOKUP(Table9[[#This Row],[Document ID]],Table1[],3,FALSE)</f>
        <v>Dominican Republic</v>
      </c>
      <c r="D87" s="233" t="str">
        <f>VLOOKUP(Table9[[#This Row],[Document ID]],Table1[],5,FALSE)</f>
        <v>NDC</v>
      </c>
      <c r="E87" s="233" t="str">
        <f>VLOOKUP(Table9[[#This Row],[Document ID]],Table1[],7,FALSE)</f>
        <v>First NDC updated</v>
      </c>
      <c r="F87" s="233" t="str">
        <f>VLOOKUP(Table9[[#This Row],[Document ID]],Table1[],8,FALSE)</f>
        <v>NDC 1.1</v>
      </c>
      <c r="G87" s="233" t="str">
        <f>VLOOKUP(Table9[[#This Row],[Document ID]],Table1[],10,FALSE)</f>
        <v>Active</v>
      </c>
      <c r="H87" s="44" t="s">
        <v>5072</v>
      </c>
      <c r="I87" s="43" t="s">
        <v>5073</v>
      </c>
      <c r="J87" s="44" t="s">
        <v>5164</v>
      </c>
      <c r="K87" s="221">
        <v>13</v>
      </c>
      <c r="L87" s="113"/>
      <c r="M87" s="113"/>
      <c r="N87" s="113"/>
      <c r="O87" s="113"/>
      <c r="P87" s="113"/>
      <c r="Q87" s="113" t="s">
        <v>1113</v>
      </c>
      <c r="R87" s="113"/>
      <c r="S87" s="113"/>
      <c r="T87" s="113"/>
      <c r="U87" s="113"/>
      <c r="V87" s="113"/>
      <c r="W87" s="113"/>
      <c r="X87" s="113" t="s">
        <v>1113</v>
      </c>
      <c r="Y87" s="113"/>
      <c r="Z87" s="113"/>
      <c r="AA87" s="113"/>
      <c r="AB87" s="113"/>
      <c r="AC87" s="113"/>
      <c r="AD87" s="113"/>
      <c r="AE87" s="113"/>
      <c r="AF87" s="113"/>
      <c r="AG87" s="113"/>
      <c r="AH87" s="113"/>
      <c r="AI87" s="113" t="s">
        <v>1113</v>
      </c>
      <c r="AJ87" s="113"/>
      <c r="AK87" s="113"/>
      <c r="AL87" s="113"/>
      <c r="AM87" s="43" t="s">
        <v>5075</v>
      </c>
      <c r="AN87" s="233" t="str">
        <f>VLOOKUP(Table9[[#This Row],[Measure]],Table1025[[Value name]:[Value identifyer]],2,FALSE)</f>
        <v>R_System</v>
      </c>
      <c r="AO87" s="241" t="str">
        <f>VLOOKUP(Table9[[#This Row],[Country Code]],Table29[],3,FALSE)</f>
        <v>Non-Annex I</v>
      </c>
      <c r="AP87" s="241" t="str">
        <f>VLOOKUP(Table9[[#This Row],[Country Code]],Table29[],4,FALSE)</f>
        <v>Latin America and the Caribbean</v>
      </c>
      <c r="AQ87" s="241" t="str">
        <f>VLOOKUP(Table9[[#This Row],[Country Code]],Table29[],5,FALSE)</f>
        <v>Middle-income</v>
      </c>
      <c r="AR87" s="241" t="str">
        <f>VLOOKUP(Table9[[#This Row],[Country Code]],Table29[],6,FALSE)</f>
        <v>no</v>
      </c>
      <c r="AS87" s="241" t="str">
        <f>VLOOKUP(Table9[[#This Row],[Country Code]],Table29[],7,FALSE)</f>
        <v>no</v>
      </c>
      <c r="AT87" s="241" t="str">
        <f>VLOOKUP(Table9[[#This Row],[Country Code]],Table29[],8,FALSE)</f>
        <v>non-OECD</v>
      </c>
      <c r="AU87" s="233" t="str">
        <f>VLOOKUP(Table9[[#This Row],[Country Code]],Table29[],9,FALSE)</f>
        <v>no</v>
      </c>
      <c r="AV87" s="233" t="str">
        <f>VLOOKUP(Table9[[#This Row],[Country Code]],Table29[],10,FALSE)</f>
        <v>no</v>
      </c>
      <c r="AW87" s="233">
        <f>VLOOKUP(Table9[[#This Row],[Country Code]],Table29[],23,FALSE)</f>
        <v>48.396213040657997</v>
      </c>
      <c r="AX87" s="233">
        <f>VLOOKUP(Table9[[#This Row],[Country Code]],Table29[],24,FALSE)</f>
        <v>8.515708871390995</v>
      </c>
      <c r="AY87" s="43"/>
    </row>
    <row r="88" spans="1:51" x14ac:dyDescent="0.25">
      <c r="A88" s="360">
        <v>17580</v>
      </c>
      <c r="B88" s="233" t="str">
        <f>VLOOKUP(Table9[[#This Row],[Document ID]],Table1[],2,FALSE)</f>
        <v>DOM</v>
      </c>
      <c r="C88" s="233" t="str">
        <f>VLOOKUP(Table9[[#This Row],[Document ID]],Table1[],3,FALSE)</f>
        <v>Dominican Republic</v>
      </c>
      <c r="D88" s="233" t="str">
        <f>VLOOKUP(Table9[[#This Row],[Document ID]],Table1[],5,FALSE)</f>
        <v>NDC</v>
      </c>
      <c r="E88" s="233" t="str">
        <f>VLOOKUP(Table9[[#This Row],[Document ID]],Table1[],7,FALSE)</f>
        <v>First NDC updated</v>
      </c>
      <c r="F88" s="233" t="str">
        <f>VLOOKUP(Table9[[#This Row],[Document ID]],Table1[],8,FALSE)</f>
        <v>NDC 1.1</v>
      </c>
      <c r="G88" s="233" t="str">
        <f>VLOOKUP(Table9[[#This Row],[Document ID]],Table1[],10,FALSE)</f>
        <v>Active</v>
      </c>
      <c r="H88" s="44" t="s">
        <v>5076</v>
      </c>
      <c r="I88" s="43" t="s">
        <v>5079</v>
      </c>
      <c r="J88" s="44" t="s">
        <v>5165</v>
      </c>
      <c r="K88" s="221">
        <v>13</v>
      </c>
      <c r="L88" s="113" t="s">
        <v>1113</v>
      </c>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t="s">
        <v>1113</v>
      </c>
      <c r="AJ88" s="113"/>
      <c r="AK88" s="113"/>
      <c r="AL88" s="113"/>
      <c r="AM88" s="43" t="s">
        <v>5075</v>
      </c>
      <c r="AN88" s="233" t="str">
        <f>VLOOKUP(Table9[[#This Row],[Measure]],Table1025[[Value name]:[Value identifyer]],2,FALSE)</f>
        <v>R_Laws</v>
      </c>
      <c r="AO88" s="241" t="str">
        <f>VLOOKUP(Table9[[#This Row],[Country Code]],Table29[],3,FALSE)</f>
        <v>Non-Annex I</v>
      </c>
      <c r="AP88" s="241" t="str">
        <f>VLOOKUP(Table9[[#This Row],[Country Code]],Table29[],4,FALSE)</f>
        <v>Latin America and the Caribbean</v>
      </c>
      <c r="AQ88" s="241" t="str">
        <f>VLOOKUP(Table9[[#This Row],[Country Code]],Table29[],5,FALSE)</f>
        <v>Middle-income</v>
      </c>
      <c r="AR88" s="241" t="str">
        <f>VLOOKUP(Table9[[#This Row],[Country Code]],Table29[],6,FALSE)</f>
        <v>no</v>
      </c>
      <c r="AS88" s="241" t="str">
        <f>VLOOKUP(Table9[[#This Row],[Country Code]],Table29[],7,FALSE)</f>
        <v>no</v>
      </c>
      <c r="AT88" s="241" t="str">
        <f>VLOOKUP(Table9[[#This Row],[Country Code]],Table29[],8,FALSE)</f>
        <v>non-OECD</v>
      </c>
      <c r="AU88" s="233" t="str">
        <f>VLOOKUP(Table9[[#This Row],[Country Code]],Table29[],9,FALSE)</f>
        <v>no</v>
      </c>
      <c r="AV88" s="233" t="str">
        <f>VLOOKUP(Table9[[#This Row],[Country Code]],Table29[],10,FALSE)</f>
        <v>no</v>
      </c>
      <c r="AW88" s="233">
        <f>VLOOKUP(Table9[[#This Row],[Country Code]],Table29[],23,FALSE)</f>
        <v>48.396213040657997</v>
      </c>
      <c r="AX88" s="233">
        <f>VLOOKUP(Table9[[#This Row],[Country Code]],Table29[],24,FALSE)</f>
        <v>8.515708871390995</v>
      </c>
      <c r="AY88" s="43"/>
    </row>
    <row r="89" spans="1:51" ht="30" x14ac:dyDescent="0.25">
      <c r="A89" s="360">
        <v>17580</v>
      </c>
      <c r="B89" s="233" t="str">
        <f>VLOOKUP(Table9[[#This Row],[Document ID]],Table1[],2,FALSE)</f>
        <v>DOM</v>
      </c>
      <c r="C89" s="233" t="str">
        <f>VLOOKUP(Table9[[#This Row],[Document ID]],Table1[],3,FALSE)</f>
        <v>Dominican Republic</v>
      </c>
      <c r="D89" s="233" t="str">
        <f>VLOOKUP(Table9[[#This Row],[Document ID]],Table1[],5,FALSE)</f>
        <v>NDC</v>
      </c>
      <c r="E89" s="233" t="str">
        <f>VLOOKUP(Table9[[#This Row],[Document ID]],Table1[],7,FALSE)</f>
        <v>First NDC updated</v>
      </c>
      <c r="F89" s="233" t="str">
        <f>VLOOKUP(Table9[[#This Row],[Document ID]],Table1[],8,FALSE)</f>
        <v>NDC 1.1</v>
      </c>
      <c r="G89" s="233" t="str">
        <f>VLOOKUP(Table9[[#This Row],[Document ID]],Table1[],10,FALSE)</f>
        <v>Active</v>
      </c>
      <c r="H89" s="44" t="s">
        <v>5072</v>
      </c>
      <c r="I89" s="43" t="s">
        <v>5073</v>
      </c>
      <c r="J89" s="44" t="s">
        <v>5166</v>
      </c>
      <c r="K89" s="221">
        <v>13</v>
      </c>
      <c r="L89" s="113"/>
      <c r="M89" s="113"/>
      <c r="N89" s="113"/>
      <c r="O89" s="113"/>
      <c r="P89" s="113"/>
      <c r="Q89" s="113" t="s">
        <v>1113</v>
      </c>
      <c r="R89" s="113"/>
      <c r="S89" s="113"/>
      <c r="T89" s="113"/>
      <c r="U89" s="113"/>
      <c r="V89" s="113"/>
      <c r="W89" s="113"/>
      <c r="X89" s="113"/>
      <c r="Y89" s="113"/>
      <c r="Z89" s="113"/>
      <c r="AA89" s="113"/>
      <c r="AB89" s="113"/>
      <c r="AC89" s="113"/>
      <c r="AD89" s="113"/>
      <c r="AE89" s="113"/>
      <c r="AF89" s="113"/>
      <c r="AG89" s="113"/>
      <c r="AH89" s="113"/>
      <c r="AI89" s="113"/>
      <c r="AJ89" s="113"/>
      <c r="AK89" s="113" t="s">
        <v>1113</v>
      </c>
      <c r="AL89" s="113"/>
      <c r="AM89" s="43" t="s">
        <v>5075</v>
      </c>
      <c r="AN89" s="233" t="str">
        <f>VLOOKUP(Table9[[#This Row],[Measure]],Table1025[[Value name]:[Value identifyer]],2,FALSE)</f>
        <v>R_System</v>
      </c>
      <c r="AO89" s="241" t="str">
        <f>VLOOKUP(Table9[[#This Row],[Country Code]],Table29[],3,FALSE)</f>
        <v>Non-Annex I</v>
      </c>
      <c r="AP89" s="241" t="str">
        <f>VLOOKUP(Table9[[#This Row],[Country Code]],Table29[],4,FALSE)</f>
        <v>Latin America and the Caribbean</v>
      </c>
      <c r="AQ89" s="241" t="str">
        <f>VLOOKUP(Table9[[#This Row],[Country Code]],Table29[],5,FALSE)</f>
        <v>Middle-income</v>
      </c>
      <c r="AR89" s="241" t="str">
        <f>VLOOKUP(Table9[[#This Row],[Country Code]],Table29[],6,FALSE)</f>
        <v>no</v>
      </c>
      <c r="AS89" s="241" t="str">
        <f>VLOOKUP(Table9[[#This Row],[Country Code]],Table29[],7,FALSE)</f>
        <v>no</v>
      </c>
      <c r="AT89" s="241" t="str">
        <f>VLOOKUP(Table9[[#This Row],[Country Code]],Table29[],8,FALSE)</f>
        <v>non-OECD</v>
      </c>
      <c r="AU89" s="233" t="str">
        <f>VLOOKUP(Table9[[#This Row],[Country Code]],Table29[],9,FALSE)</f>
        <v>no</v>
      </c>
      <c r="AV89" s="233" t="str">
        <f>VLOOKUP(Table9[[#This Row],[Country Code]],Table29[],10,FALSE)</f>
        <v>no</v>
      </c>
      <c r="AW89" s="233">
        <f>VLOOKUP(Table9[[#This Row],[Country Code]],Table29[],23,FALSE)</f>
        <v>48.396213040657997</v>
      </c>
      <c r="AX89" s="233">
        <f>VLOOKUP(Table9[[#This Row],[Country Code]],Table29[],24,FALSE)</f>
        <v>8.515708871390995</v>
      </c>
      <c r="AY89" s="43"/>
    </row>
    <row r="90" spans="1:51" x14ac:dyDescent="0.25">
      <c r="A90" s="367">
        <v>17579</v>
      </c>
      <c r="B90" s="233" t="str">
        <f>VLOOKUP(Table9[[#This Row],[Document ID]],Table1[],2,FALSE)</f>
        <v>DOM</v>
      </c>
      <c r="C90" s="233" t="str">
        <f>VLOOKUP(Table9[[#This Row],[Document ID]],Table1[],3,FALSE)</f>
        <v>Dominican Republic</v>
      </c>
      <c r="D90" s="252" t="str">
        <f>VLOOKUP(Table9[[#This Row],[Document ID]],Table1[],5,FALSE)</f>
        <v>NDC</v>
      </c>
      <c r="E90" s="233" t="str">
        <f>VLOOKUP(Table9[[#This Row],[Document ID]],Table1[],7,FALSE)</f>
        <v>First NDC</v>
      </c>
      <c r="F90" s="252" t="str">
        <f>VLOOKUP(Table9[[#This Row],[Document ID]],Table1[],8,FALSE)</f>
        <v>NDC 1.0</v>
      </c>
      <c r="G90" s="252" t="str">
        <f>VLOOKUP(Table9[[#This Row],[Document ID]],Table1[],10,FALSE)</f>
        <v>Archived</v>
      </c>
      <c r="H90" s="44" t="s">
        <v>5072</v>
      </c>
      <c r="I90" s="43" t="s">
        <v>5073</v>
      </c>
      <c r="J90" s="209" t="s">
        <v>5167</v>
      </c>
      <c r="K90" s="257" t="s">
        <v>5081</v>
      </c>
      <c r="L90" s="326" t="s">
        <v>1113</v>
      </c>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t="s">
        <v>1113</v>
      </c>
      <c r="AJ90" s="326"/>
      <c r="AK90" s="326"/>
      <c r="AL90" s="326"/>
      <c r="AM90" s="209" t="s">
        <v>5075</v>
      </c>
      <c r="AN90" s="233" t="str">
        <f>VLOOKUP(Table9[[#This Row],[Measure]],Table1025[[Value name]:[Value identifyer]],2,FALSE)</f>
        <v>R_System</v>
      </c>
      <c r="AO90" s="241" t="str">
        <f>VLOOKUP(Table9[[#This Row],[Country Code]],Table29[],3,FALSE)</f>
        <v>Non-Annex I</v>
      </c>
      <c r="AP90" s="241" t="str">
        <f>VLOOKUP(Table9[[#This Row],[Country Code]],Table29[],4,FALSE)</f>
        <v>Latin America and the Caribbean</v>
      </c>
      <c r="AQ90" s="241" t="str">
        <f>VLOOKUP(Table9[[#This Row],[Country Code]],Table29[],5,FALSE)</f>
        <v>Middle-income</v>
      </c>
      <c r="AR90" s="241" t="str">
        <f>VLOOKUP(Table9[[#This Row],[Country Code]],Table29[],6,FALSE)</f>
        <v>no</v>
      </c>
      <c r="AS90" s="241" t="str">
        <f>VLOOKUP(Table9[[#This Row],[Country Code]],Table29[],7,FALSE)</f>
        <v>no</v>
      </c>
      <c r="AT90" s="241" t="str">
        <f>VLOOKUP(Table9[[#This Row],[Country Code]],Table29[],8,FALSE)</f>
        <v>non-OECD</v>
      </c>
      <c r="AU90" s="233" t="str">
        <f>VLOOKUP(Table9[[#This Row],[Country Code]],Table29[],9,FALSE)</f>
        <v>no</v>
      </c>
      <c r="AV90" s="233" t="str">
        <f>VLOOKUP(Table9[[#This Row],[Country Code]],Table29[],10,FALSE)</f>
        <v>no</v>
      </c>
      <c r="AW90" s="233">
        <f>VLOOKUP(Table9[[#This Row],[Country Code]],Table29[],23,FALSE)</f>
        <v>48.396213040657997</v>
      </c>
      <c r="AX90" s="233">
        <f>VLOOKUP(Table9[[#This Row],[Country Code]],Table29[],24,FALSE)</f>
        <v>8.515708871390995</v>
      </c>
      <c r="AY90" s="43"/>
    </row>
    <row r="91" spans="1:51" ht="30" x14ac:dyDescent="0.25">
      <c r="A91" s="367">
        <v>29227</v>
      </c>
      <c r="B91" s="233" t="str">
        <f>VLOOKUP(Table9[[#This Row],[Document ID]],Table1[],2,FALSE)</f>
        <v>EGY</v>
      </c>
      <c r="C91" s="233" t="str">
        <f>VLOOKUP(Table9[[#This Row],[Document ID]],Table1[],3,FALSE)</f>
        <v>Egypt</v>
      </c>
      <c r="D91" s="254" t="str">
        <f>VLOOKUP(Table9[[#This Row],[Document ID]],Table1[],5,FALSE)</f>
        <v>NDC</v>
      </c>
      <c r="E91" s="233" t="str">
        <f>VLOOKUP(Table9[[#This Row],[Document ID]],Table1[],7,FALSE)</f>
        <v>First NDC updated</v>
      </c>
      <c r="F91" s="233" t="str">
        <f>VLOOKUP(Table9[[#This Row],[Document ID]],Table1[],8,FALSE)</f>
        <v>NDC 1.1</v>
      </c>
      <c r="G91" s="233" t="str">
        <f>VLOOKUP(Table9[[#This Row],[Document ID]],Table1[],10,FALSE)</f>
        <v>Archived</v>
      </c>
      <c r="H91" s="44" t="s">
        <v>5072</v>
      </c>
      <c r="I91" s="43" t="s">
        <v>5082</v>
      </c>
      <c r="J91" s="44" t="s">
        <v>5168</v>
      </c>
      <c r="K91" s="221">
        <v>26</v>
      </c>
      <c r="L91" s="113" t="s">
        <v>1113</v>
      </c>
      <c r="M91" s="113"/>
      <c r="N91" s="113"/>
      <c r="O91" s="113"/>
      <c r="P91" s="113"/>
      <c r="Q91" s="113" t="s">
        <v>1113</v>
      </c>
      <c r="R91" s="113"/>
      <c r="S91" s="113"/>
      <c r="T91" s="113"/>
      <c r="U91" s="113"/>
      <c r="V91" s="113"/>
      <c r="W91" s="113"/>
      <c r="X91" s="113"/>
      <c r="Y91" s="113"/>
      <c r="Z91" s="113"/>
      <c r="AA91" s="113"/>
      <c r="AB91" s="113"/>
      <c r="AC91" s="113"/>
      <c r="AD91" s="113"/>
      <c r="AE91" s="113"/>
      <c r="AF91" s="113"/>
      <c r="AG91" s="113"/>
      <c r="AH91" s="113"/>
      <c r="AI91" s="113" t="s">
        <v>1113</v>
      </c>
      <c r="AJ91" s="326"/>
      <c r="AK91" s="326"/>
      <c r="AL91" s="326"/>
      <c r="AM91" s="42" t="s">
        <v>5075</v>
      </c>
      <c r="AN91" s="233" t="str">
        <f>VLOOKUP(Table9[[#This Row],[Measure]],Table1025[[Value name]:[Value identifyer]],2,FALSE)</f>
        <v>R_Risk</v>
      </c>
      <c r="AO91" s="241" t="str">
        <f>VLOOKUP(Table9[[#This Row],[Country Code]],Table29[],3,FALSE)</f>
        <v>Non-Annex I</v>
      </c>
      <c r="AP91" s="241" t="str">
        <f>VLOOKUP(Table9[[#This Row],[Country Code]],Table29[],4,FALSE)</f>
        <v>Africa</v>
      </c>
      <c r="AQ91" s="241" t="str">
        <f>VLOOKUP(Table9[[#This Row],[Country Code]],Table29[],5,FALSE)</f>
        <v>Middle-income</v>
      </c>
      <c r="AR91" s="241" t="str">
        <f>VLOOKUP(Table9[[#This Row],[Country Code]],Table29[],6,FALSE)</f>
        <v>no</v>
      </c>
      <c r="AS91" s="241" t="str">
        <f>VLOOKUP(Table9[[#This Row],[Country Code]],Table29[],7,FALSE)</f>
        <v>no</v>
      </c>
      <c r="AT91" s="241" t="str">
        <f>VLOOKUP(Table9[[#This Row],[Country Code]],Table29[],8,FALSE)</f>
        <v>non-OECD</v>
      </c>
      <c r="AU91" s="233" t="str">
        <f>VLOOKUP(Table9[[#This Row],[Country Code]],Table29[],9,FALSE)</f>
        <v>no</v>
      </c>
      <c r="AV91" s="233" t="str">
        <f>VLOOKUP(Table9[[#This Row],[Country Code]],Table29[],10,FALSE)</f>
        <v>MENA</v>
      </c>
      <c r="AW91" s="233">
        <f>VLOOKUP(Table9[[#This Row],[Country Code]],Table29[],23,FALSE)</f>
        <v>335.96804878175999</v>
      </c>
      <c r="AX91" s="233">
        <f>VLOOKUP(Table9[[#This Row],[Country Code]],Table29[],24,FALSE)</f>
        <v>53.140796953162749</v>
      </c>
      <c r="AY91" s="43"/>
    </row>
    <row r="92" spans="1:51" ht="60" x14ac:dyDescent="0.25">
      <c r="A92" s="367">
        <v>29227</v>
      </c>
      <c r="B92" s="233" t="str">
        <f>VLOOKUP(Table9[[#This Row],[Document ID]],Table1[],2,FALSE)</f>
        <v>EGY</v>
      </c>
      <c r="C92" s="233" t="str">
        <f>VLOOKUP(Table9[[#This Row],[Document ID]],Table1[],3,FALSE)</f>
        <v>Egypt</v>
      </c>
      <c r="D92" s="254" t="str">
        <f>VLOOKUP(Table9[[#This Row],[Document ID]],Table1[],5,FALSE)</f>
        <v>NDC</v>
      </c>
      <c r="E92" s="233" t="str">
        <f>VLOOKUP(Table9[[#This Row],[Document ID]],Table1[],7,FALSE)</f>
        <v>First NDC updated</v>
      </c>
      <c r="F92" s="233" t="str">
        <f>VLOOKUP(Table9[[#This Row],[Document ID]],Table1[],8,FALSE)</f>
        <v>NDC 1.1</v>
      </c>
      <c r="G92" s="233" t="str">
        <f>VLOOKUP(Table9[[#This Row],[Document ID]],Table1[],10,FALSE)</f>
        <v>Archived</v>
      </c>
      <c r="H92" s="44" t="s">
        <v>5072</v>
      </c>
      <c r="I92" s="43" t="s">
        <v>5073</v>
      </c>
      <c r="J92" s="44" t="s">
        <v>5169</v>
      </c>
      <c r="K92" s="221">
        <v>26</v>
      </c>
      <c r="L92" s="113" t="s">
        <v>1113</v>
      </c>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t="s">
        <v>1113</v>
      </c>
      <c r="AJ92" s="326"/>
      <c r="AK92" s="326"/>
      <c r="AL92" s="326"/>
      <c r="AM92" s="42" t="s">
        <v>5075</v>
      </c>
      <c r="AN92" s="233" t="str">
        <f>VLOOKUP(Table9[[#This Row],[Measure]],Table1025[[Value name]:[Value identifyer]],2,FALSE)</f>
        <v>R_System</v>
      </c>
      <c r="AO92" s="241" t="str">
        <f>VLOOKUP(Table9[[#This Row],[Country Code]],Table29[],3,FALSE)</f>
        <v>Non-Annex I</v>
      </c>
      <c r="AP92" s="241" t="str">
        <f>VLOOKUP(Table9[[#This Row],[Country Code]],Table29[],4,FALSE)</f>
        <v>Africa</v>
      </c>
      <c r="AQ92" s="241" t="str">
        <f>VLOOKUP(Table9[[#This Row],[Country Code]],Table29[],5,FALSE)</f>
        <v>Middle-income</v>
      </c>
      <c r="AR92" s="241" t="str">
        <f>VLOOKUP(Table9[[#This Row],[Country Code]],Table29[],6,FALSE)</f>
        <v>no</v>
      </c>
      <c r="AS92" s="241" t="str">
        <f>VLOOKUP(Table9[[#This Row],[Country Code]],Table29[],7,FALSE)</f>
        <v>no</v>
      </c>
      <c r="AT92" s="241" t="str">
        <f>VLOOKUP(Table9[[#This Row],[Country Code]],Table29[],8,FALSE)</f>
        <v>non-OECD</v>
      </c>
      <c r="AU92" s="233" t="str">
        <f>VLOOKUP(Table9[[#This Row],[Country Code]],Table29[],9,FALSE)</f>
        <v>no</v>
      </c>
      <c r="AV92" s="233" t="str">
        <f>VLOOKUP(Table9[[#This Row],[Country Code]],Table29[],10,FALSE)</f>
        <v>MENA</v>
      </c>
      <c r="AW92" s="233">
        <f>VLOOKUP(Table9[[#This Row],[Country Code]],Table29[],23,FALSE)</f>
        <v>335.96804878175999</v>
      </c>
      <c r="AX92" s="233">
        <f>VLOOKUP(Table9[[#This Row],[Country Code]],Table29[],24,FALSE)</f>
        <v>53.140796953162749</v>
      </c>
      <c r="AY92" s="43"/>
    </row>
    <row r="93" spans="1:51" ht="45" x14ac:dyDescent="0.25">
      <c r="A93" s="367">
        <v>29227</v>
      </c>
      <c r="B93" s="233" t="str">
        <f>VLOOKUP(Table9[[#This Row],[Document ID]],Table1[],2,FALSE)</f>
        <v>EGY</v>
      </c>
      <c r="C93" s="233" t="str">
        <f>VLOOKUP(Table9[[#This Row],[Document ID]],Table1[],3,FALSE)</f>
        <v>Egypt</v>
      </c>
      <c r="D93" s="254" t="str">
        <f>VLOOKUP(Table9[[#This Row],[Document ID]],Table1[],5,FALSE)</f>
        <v>NDC</v>
      </c>
      <c r="E93" s="233" t="str">
        <f>VLOOKUP(Table9[[#This Row],[Document ID]],Table1[],7,FALSE)</f>
        <v>First NDC updated</v>
      </c>
      <c r="F93" s="233" t="str">
        <f>VLOOKUP(Table9[[#This Row],[Document ID]],Table1[],8,FALSE)</f>
        <v>NDC 1.1</v>
      </c>
      <c r="G93" s="233" t="str">
        <f>VLOOKUP(Table9[[#This Row],[Document ID]],Table1[],10,FALSE)</f>
        <v>Archived</v>
      </c>
      <c r="H93" s="44" t="s">
        <v>5072</v>
      </c>
      <c r="I93" s="43" t="s">
        <v>5073</v>
      </c>
      <c r="J93" s="44" t="s">
        <v>5170</v>
      </c>
      <c r="K93" s="221">
        <v>25</v>
      </c>
      <c r="L93" s="113" t="s">
        <v>1113</v>
      </c>
      <c r="M93" s="113"/>
      <c r="N93" s="113"/>
      <c r="O93" s="113"/>
      <c r="P93" s="113"/>
      <c r="Q93" s="113"/>
      <c r="R93" s="113"/>
      <c r="S93" s="113"/>
      <c r="T93" s="113"/>
      <c r="U93" s="113"/>
      <c r="V93" s="113"/>
      <c r="W93" s="113"/>
      <c r="X93" s="113"/>
      <c r="Y93" s="113"/>
      <c r="Z93" s="113"/>
      <c r="AA93" s="113"/>
      <c r="AB93" s="113"/>
      <c r="AC93" s="113" t="s">
        <v>1113</v>
      </c>
      <c r="AD93" s="113"/>
      <c r="AE93" s="113"/>
      <c r="AF93" s="113"/>
      <c r="AG93" s="113"/>
      <c r="AH93" s="113"/>
      <c r="AI93" s="113" t="s">
        <v>1113</v>
      </c>
      <c r="AJ93" s="326"/>
      <c r="AK93" s="326"/>
      <c r="AL93" s="326"/>
      <c r="AM93" s="42" t="s">
        <v>5075</v>
      </c>
      <c r="AN93" s="233" t="str">
        <f>VLOOKUP(Table9[[#This Row],[Measure]],Table1025[[Value name]:[Value identifyer]],2,FALSE)</f>
        <v>R_System</v>
      </c>
      <c r="AO93" s="241" t="str">
        <f>VLOOKUP(Table9[[#This Row],[Country Code]],Table29[],3,FALSE)</f>
        <v>Non-Annex I</v>
      </c>
      <c r="AP93" s="241" t="str">
        <f>VLOOKUP(Table9[[#This Row],[Country Code]],Table29[],4,FALSE)</f>
        <v>Africa</v>
      </c>
      <c r="AQ93" s="241" t="str">
        <f>VLOOKUP(Table9[[#This Row],[Country Code]],Table29[],5,FALSE)</f>
        <v>Middle-income</v>
      </c>
      <c r="AR93" s="241" t="str">
        <f>VLOOKUP(Table9[[#This Row],[Country Code]],Table29[],6,FALSE)</f>
        <v>no</v>
      </c>
      <c r="AS93" s="241" t="str">
        <f>VLOOKUP(Table9[[#This Row],[Country Code]],Table29[],7,FALSE)</f>
        <v>no</v>
      </c>
      <c r="AT93" s="241" t="str">
        <f>VLOOKUP(Table9[[#This Row],[Country Code]],Table29[],8,FALSE)</f>
        <v>non-OECD</v>
      </c>
      <c r="AU93" s="233" t="str">
        <f>VLOOKUP(Table9[[#This Row],[Country Code]],Table29[],9,FALSE)</f>
        <v>no</v>
      </c>
      <c r="AV93" s="233" t="str">
        <f>VLOOKUP(Table9[[#This Row],[Country Code]],Table29[],10,FALSE)</f>
        <v>MENA</v>
      </c>
      <c r="AW93" s="233">
        <f>VLOOKUP(Table9[[#This Row],[Country Code]],Table29[],23,FALSE)</f>
        <v>335.96804878175999</v>
      </c>
      <c r="AX93" s="233">
        <f>VLOOKUP(Table9[[#This Row],[Country Code]],Table29[],24,FALSE)</f>
        <v>53.140796953162749</v>
      </c>
      <c r="AY93" s="43"/>
    </row>
    <row r="94" spans="1:51" ht="30" x14ac:dyDescent="0.25">
      <c r="A94" s="367">
        <v>39441</v>
      </c>
      <c r="B94" s="233" t="str">
        <f>VLOOKUP(Table9[[#This Row],[Document ID]],Table1[],2,FALSE)</f>
        <v>EGY</v>
      </c>
      <c r="C94" s="233" t="str">
        <f>VLOOKUP(Table9[[#This Row],[Document ID]],Table1[],3,FALSE)</f>
        <v>Egypt</v>
      </c>
      <c r="D94" s="254" t="str">
        <f>VLOOKUP(Table9[[#This Row],[Document ID]],Table1[],5,FALSE)</f>
        <v>NDC</v>
      </c>
      <c r="E94" s="233" t="str">
        <f>VLOOKUP(Table9[[#This Row],[Document ID]],Table1[],7,FALSE)</f>
        <v>First NDC updated</v>
      </c>
      <c r="F94" s="241" t="str">
        <f>VLOOKUP(Table9[[#This Row],[Document ID]],Table1[],8,FALSE)</f>
        <v>NDC 1.2</v>
      </c>
      <c r="G94" s="241" t="str">
        <f>VLOOKUP(Table9[[#This Row],[Document ID]],Table1[],10,FALSE)</f>
        <v>Active</v>
      </c>
      <c r="H94" s="44" t="s">
        <v>5072</v>
      </c>
      <c r="I94" s="43" t="s">
        <v>5082</v>
      </c>
      <c r="J94" s="209" t="s">
        <v>5168</v>
      </c>
      <c r="K94" s="259">
        <v>26</v>
      </c>
      <c r="L94" s="219" t="s">
        <v>1113</v>
      </c>
      <c r="M94" s="219"/>
      <c r="N94" s="113"/>
      <c r="O94" s="113"/>
      <c r="P94" s="113"/>
      <c r="Q94" s="113" t="s">
        <v>1113</v>
      </c>
      <c r="R94" s="113"/>
      <c r="S94" s="113"/>
      <c r="T94" s="113"/>
      <c r="U94" s="113"/>
      <c r="V94" s="113"/>
      <c r="W94" s="113"/>
      <c r="X94" s="113"/>
      <c r="Y94" s="113"/>
      <c r="Z94" s="113"/>
      <c r="AA94" s="113"/>
      <c r="AB94" s="113"/>
      <c r="AC94" s="113"/>
      <c r="AD94" s="113"/>
      <c r="AE94" s="113"/>
      <c r="AF94" s="113"/>
      <c r="AG94" s="113"/>
      <c r="AH94" s="113"/>
      <c r="AI94" s="219" t="s">
        <v>1113</v>
      </c>
      <c r="AJ94" s="326"/>
      <c r="AK94" s="326"/>
      <c r="AL94" s="326"/>
      <c r="AM94" s="42" t="s">
        <v>5075</v>
      </c>
      <c r="AN94" s="233" t="str">
        <f>VLOOKUP(Table9[[#This Row],[Measure]],Table1025[[Value name]:[Value identifyer]],2,FALSE)</f>
        <v>R_Risk</v>
      </c>
      <c r="AO94" s="241" t="str">
        <f>VLOOKUP(Table9[[#This Row],[Country Code]],Table29[],3,FALSE)</f>
        <v>Non-Annex I</v>
      </c>
      <c r="AP94" s="241" t="str">
        <f>VLOOKUP(Table9[[#This Row],[Country Code]],Table29[],4,FALSE)</f>
        <v>Africa</v>
      </c>
      <c r="AQ94" s="241" t="str">
        <f>VLOOKUP(Table9[[#This Row],[Country Code]],Table29[],5,FALSE)</f>
        <v>Middle-income</v>
      </c>
      <c r="AR94" s="241" t="str">
        <f>VLOOKUP(Table9[[#This Row],[Country Code]],Table29[],6,FALSE)</f>
        <v>no</v>
      </c>
      <c r="AS94" s="241" t="str">
        <f>VLOOKUP(Table9[[#This Row],[Country Code]],Table29[],7,FALSE)</f>
        <v>no</v>
      </c>
      <c r="AT94" s="241" t="str">
        <f>VLOOKUP(Table9[[#This Row],[Country Code]],Table29[],8,FALSE)</f>
        <v>non-OECD</v>
      </c>
      <c r="AU94" s="233" t="str">
        <f>VLOOKUP(Table9[[#This Row],[Country Code]],Table29[],9,FALSE)</f>
        <v>no</v>
      </c>
      <c r="AV94" s="233" t="str">
        <f>VLOOKUP(Table9[[#This Row],[Country Code]],Table29[],10,FALSE)</f>
        <v>MENA</v>
      </c>
      <c r="AW94" s="233">
        <f>VLOOKUP(Table9[[#This Row],[Country Code]],Table29[],23,FALSE)</f>
        <v>335.96804878175999</v>
      </c>
      <c r="AX94" s="233">
        <f>VLOOKUP(Table9[[#This Row],[Country Code]],Table29[],24,FALSE)</f>
        <v>53.140796953162749</v>
      </c>
      <c r="AY94" s="43"/>
    </row>
    <row r="95" spans="1:51" ht="45" x14ac:dyDescent="0.25">
      <c r="A95" s="367">
        <v>39441</v>
      </c>
      <c r="B95" s="233" t="str">
        <f>VLOOKUP(Table9[[#This Row],[Document ID]],Table1[],2,FALSE)</f>
        <v>EGY</v>
      </c>
      <c r="C95" s="233" t="str">
        <f>VLOOKUP(Table9[[#This Row],[Document ID]],Table1[],3,FALSE)</f>
        <v>Egypt</v>
      </c>
      <c r="D95" s="254" t="str">
        <f>VLOOKUP(Table9[[#This Row],[Document ID]],Table1[],5,FALSE)</f>
        <v>NDC</v>
      </c>
      <c r="E95" s="233" t="str">
        <f>VLOOKUP(Table9[[#This Row],[Document ID]],Table1[],7,FALSE)</f>
        <v>First NDC updated</v>
      </c>
      <c r="F95" s="241" t="str">
        <f>VLOOKUP(Table9[[#This Row],[Document ID]],Table1[],8,FALSE)</f>
        <v>NDC 1.2</v>
      </c>
      <c r="G95" s="241" t="str">
        <f>VLOOKUP(Table9[[#This Row],[Document ID]],Table1[],10,FALSE)</f>
        <v>Active</v>
      </c>
      <c r="H95" s="44" t="s">
        <v>5072</v>
      </c>
      <c r="I95" s="43" t="s">
        <v>5073</v>
      </c>
      <c r="J95" s="209" t="s">
        <v>5171</v>
      </c>
      <c r="K95" s="259">
        <v>26</v>
      </c>
      <c r="L95" s="219" t="s">
        <v>1113</v>
      </c>
      <c r="M95" s="219"/>
      <c r="N95" s="113"/>
      <c r="O95" s="113"/>
      <c r="P95" s="113"/>
      <c r="Q95" s="113"/>
      <c r="R95" s="113"/>
      <c r="S95" s="113"/>
      <c r="T95" s="113"/>
      <c r="U95" s="113"/>
      <c r="V95" s="113"/>
      <c r="W95" s="113"/>
      <c r="X95" s="113"/>
      <c r="Y95" s="113"/>
      <c r="Z95" s="113"/>
      <c r="AA95" s="113"/>
      <c r="AB95" s="113"/>
      <c r="AC95" s="113"/>
      <c r="AD95" s="113"/>
      <c r="AE95" s="113"/>
      <c r="AF95" s="113"/>
      <c r="AG95" s="113"/>
      <c r="AH95" s="113"/>
      <c r="AI95" s="219" t="s">
        <v>1113</v>
      </c>
      <c r="AJ95" s="326"/>
      <c r="AK95" s="326"/>
      <c r="AL95" s="326"/>
      <c r="AM95" s="42" t="s">
        <v>5075</v>
      </c>
      <c r="AN95" s="233" t="str">
        <f>VLOOKUP(Table9[[#This Row],[Measure]],Table1025[[Value name]:[Value identifyer]],2,FALSE)</f>
        <v>R_System</v>
      </c>
      <c r="AO95" s="241" t="str">
        <f>VLOOKUP(Table9[[#This Row],[Country Code]],Table29[],3,FALSE)</f>
        <v>Non-Annex I</v>
      </c>
      <c r="AP95" s="241" t="str">
        <f>VLOOKUP(Table9[[#This Row],[Country Code]],Table29[],4,FALSE)</f>
        <v>Africa</v>
      </c>
      <c r="AQ95" s="241" t="str">
        <f>VLOOKUP(Table9[[#This Row],[Country Code]],Table29[],5,FALSE)</f>
        <v>Middle-income</v>
      </c>
      <c r="AR95" s="241" t="str">
        <f>VLOOKUP(Table9[[#This Row],[Country Code]],Table29[],6,FALSE)</f>
        <v>no</v>
      </c>
      <c r="AS95" s="241" t="str">
        <f>VLOOKUP(Table9[[#This Row],[Country Code]],Table29[],7,FALSE)</f>
        <v>no</v>
      </c>
      <c r="AT95" s="241" t="str">
        <f>VLOOKUP(Table9[[#This Row],[Country Code]],Table29[],8,FALSE)</f>
        <v>non-OECD</v>
      </c>
      <c r="AU95" s="233" t="str">
        <f>VLOOKUP(Table9[[#This Row],[Country Code]],Table29[],9,FALSE)</f>
        <v>no</v>
      </c>
      <c r="AV95" s="233" t="str">
        <f>VLOOKUP(Table9[[#This Row],[Country Code]],Table29[],10,FALSE)</f>
        <v>MENA</v>
      </c>
      <c r="AW95" s="233">
        <f>VLOOKUP(Table9[[#This Row],[Country Code]],Table29[],23,FALSE)</f>
        <v>335.96804878175999</v>
      </c>
      <c r="AX95" s="233">
        <f>VLOOKUP(Table9[[#This Row],[Country Code]],Table29[],24,FALSE)</f>
        <v>53.140796953162749</v>
      </c>
      <c r="AY95" s="43"/>
    </row>
    <row r="96" spans="1:51" ht="45" x14ac:dyDescent="0.25">
      <c r="A96" s="367">
        <v>39441</v>
      </c>
      <c r="B96" s="233" t="str">
        <f>VLOOKUP(Table9[[#This Row],[Document ID]],Table1[],2,FALSE)</f>
        <v>EGY</v>
      </c>
      <c r="C96" s="233" t="str">
        <f>VLOOKUP(Table9[[#This Row],[Document ID]],Table1[],3,FALSE)</f>
        <v>Egypt</v>
      </c>
      <c r="D96" s="254" t="str">
        <f>VLOOKUP(Table9[[#This Row],[Document ID]],Table1[],5,FALSE)</f>
        <v>NDC</v>
      </c>
      <c r="E96" s="233" t="str">
        <f>VLOOKUP(Table9[[#This Row],[Document ID]],Table1[],7,FALSE)</f>
        <v>First NDC updated</v>
      </c>
      <c r="F96" s="241" t="str">
        <f>VLOOKUP(Table9[[#This Row],[Document ID]],Table1[],8,FALSE)</f>
        <v>NDC 1.2</v>
      </c>
      <c r="G96" s="241" t="str">
        <f>VLOOKUP(Table9[[#This Row],[Document ID]],Table1[],10,FALSE)</f>
        <v>Active</v>
      </c>
      <c r="H96" s="44" t="s">
        <v>5072</v>
      </c>
      <c r="I96" s="43" t="s">
        <v>5073</v>
      </c>
      <c r="J96" s="209" t="s">
        <v>5170</v>
      </c>
      <c r="K96" s="259">
        <v>25</v>
      </c>
      <c r="L96" s="219" t="s">
        <v>1113</v>
      </c>
      <c r="M96" s="219"/>
      <c r="N96" s="113"/>
      <c r="O96" s="113"/>
      <c r="P96" s="113"/>
      <c r="Q96" s="113"/>
      <c r="R96" s="113"/>
      <c r="S96" s="113"/>
      <c r="T96" s="113"/>
      <c r="U96" s="113"/>
      <c r="V96" s="113"/>
      <c r="W96" s="113"/>
      <c r="X96" s="113"/>
      <c r="Y96" s="113"/>
      <c r="Z96" s="113"/>
      <c r="AA96" s="113"/>
      <c r="AB96" s="113"/>
      <c r="AC96" s="113" t="s">
        <v>1113</v>
      </c>
      <c r="AD96" s="113"/>
      <c r="AE96" s="113"/>
      <c r="AF96" s="113"/>
      <c r="AG96" s="113"/>
      <c r="AH96" s="113"/>
      <c r="AI96" s="219" t="s">
        <v>1113</v>
      </c>
      <c r="AJ96" s="326"/>
      <c r="AK96" s="326"/>
      <c r="AL96" s="326"/>
      <c r="AM96" s="42" t="s">
        <v>5075</v>
      </c>
      <c r="AN96" s="233" t="str">
        <f>VLOOKUP(Table9[[#This Row],[Measure]],Table1025[[Value name]:[Value identifyer]],2,FALSE)</f>
        <v>R_System</v>
      </c>
      <c r="AO96" s="241" t="str">
        <f>VLOOKUP(Table9[[#This Row],[Country Code]],Table29[],3,FALSE)</f>
        <v>Non-Annex I</v>
      </c>
      <c r="AP96" s="241" t="str">
        <f>VLOOKUP(Table9[[#This Row],[Country Code]],Table29[],4,FALSE)</f>
        <v>Africa</v>
      </c>
      <c r="AQ96" s="241" t="str">
        <f>VLOOKUP(Table9[[#This Row],[Country Code]],Table29[],5,FALSE)</f>
        <v>Middle-income</v>
      </c>
      <c r="AR96" s="241" t="str">
        <f>VLOOKUP(Table9[[#This Row],[Country Code]],Table29[],6,FALSE)</f>
        <v>no</v>
      </c>
      <c r="AS96" s="241" t="str">
        <f>VLOOKUP(Table9[[#This Row],[Country Code]],Table29[],7,FALSE)</f>
        <v>no</v>
      </c>
      <c r="AT96" s="241" t="str">
        <f>VLOOKUP(Table9[[#This Row],[Country Code]],Table29[],8,FALSE)</f>
        <v>non-OECD</v>
      </c>
      <c r="AU96" s="233" t="str">
        <f>VLOOKUP(Table9[[#This Row],[Country Code]],Table29[],9,FALSE)</f>
        <v>no</v>
      </c>
      <c r="AV96" s="233" t="str">
        <f>VLOOKUP(Table9[[#This Row],[Country Code]],Table29[],10,FALSE)</f>
        <v>MENA</v>
      </c>
      <c r="AW96" s="233">
        <f>VLOOKUP(Table9[[#This Row],[Country Code]],Table29[],23,FALSE)</f>
        <v>335.96804878175999</v>
      </c>
      <c r="AX96" s="233">
        <f>VLOOKUP(Table9[[#This Row],[Country Code]],Table29[],24,FALSE)</f>
        <v>53.140796953162749</v>
      </c>
      <c r="AY96" s="43"/>
    </row>
    <row r="97" spans="1:51" x14ac:dyDescent="0.25">
      <c r="A97" s="368">
        <v>23377</v>
      </c>
      <c r="B97" s="233" t="str">
        <f>VLOOKUP(Table9[[#This Row],[Document ID]],Table1[],2,FALSE)</f>
        <v>SWZ</v>
      </c>
      <c r="C97" s="233" t="str">
        <f>VLOOKUP(Table9[[#This Row],[Document ID]],Table1[],3,FALSE)</f>
        <v>Eswatini</v>
      </c>
      <c r="D97" s="241" t="str">
        <f>VLOOKUP(Table9[[#This Row],[Document ID]],Table1[],5,FALSE)</f>
        <v>NDC</v>
      </c>
      <c r="E97" s="233" t="str">
        <f>VLOOKUP(Table9[[#This Row],[Document ID]],Table1[],7,FALSE)</f>
        <v>First NDC updated</v>
      </c>
      <c r="F97" s="241" t="str">
        <f>VLOOKUP(Table9[[#This Row],[Document ID]],Table1[],8,FALSE)</f>
        <v>NDC 1.1</v>
      </c>
      <c r="G97" s="241" t="str">
        <f>VLOOKUP(Table9[[#This Row],[Document ID]],Table1[],10,FALSE)</f>
        <v>Active</v>
      </c>
      <c r="H97" s="44" t="s">
        <v>5072</v>
      </c>
      <c r="I97" s="43" t="s">
        <v>5082</v>
      </c>
      <c r="J97" s="209" t="s">
        <v>5172</v>
      </c>
      <c r="K97" s="259">
        <v>6</v>
      </c>
      <c r="L97" s="219" t="s">
        <v>1113</v>
      </c>
      <c r="M97" s="219"/>
      <c r="N97" s="113"/>
      <c r="O97" s="113"/>
      <c r="P97" s="113"/>
      <c r="Q97" s="113"/>
      <c r="R97" s="113"/>
      <c r="S97" s="113"/>
      <c r="T97" s="113"/>
      <c r="U97" s="113"/>
      <c r="V97" s="113"/>
      <c r="W97" s="113"/>
      <c r="X97" s="113"/>
      <c r="Y97" s="113"/>
      <c r="Z97" s="113"/>
      <c r="AA97" s="113"/>
      <c r="AB97" s="113"/>
      <c r="AC97" s="113"/>
      <c r="AD97" s="113"/>
      <c r="AE97" s="113"/>
      <c r="AF97" s="113"/>
      <c r="AG97" s="113"/>
      <c r="AH97" s="113"/>
      <c r="AI97" s="219" t="s">
        <v>1113</v>
      </c>
      <c r="AJ97" s="326"/>
      <c r="AK97" s="326"/>
      <c r="AL97" s="326"/>
      <c r="AM97" s="327" t="s">
        <v>5075</v>
      </c>
      <c r="AN97" s="233" t="str">
        <f>VLOOKUP(Table9[[#This Row],[Measure]],Table1025[[Value name]:[Value identifyer]],2,FALSE)</f>
        <v>R_Risk</v>
      </c>
      <c r="AO97" s="241" t="str">
        <f>VLOOKUP(Table9[[#This Row],[Country Code]],Table29[],3,FALSE)</f>
        <v>Non-Annex I</v>
      </c>
      <c r="AP97" s="241" t="str">
        <f>VLOOKUP(Table9[[#This Row],[Country Code]],Table29[],4,FALSE)</f>
        <v>Africa</v>
      </c>
      <c r="AQ97" s="241" t="str">
        <f>VLOOKUP(Table9[[#This Row],[Country Code]],Table29[],5,FALSE)</f>
        <v>Middle-income</v>
      </c>
      <c r="AR97" s="241" t="str">
        <f>VLOOKUP(Table9[[#This Row],[Country Code]],Table29[],6,FALSE)</f>
        <v>no</v>
      </c>
      <c r="AS97" s="241" t="str">
        <f>VLOOKUP(Table9[[#This Row],[Country Code]],Table29[],7,FALSE)</f>
        <v>no</v>
      </c>
      <c r="AT97" s="241" t="str">
        <f>VLOOKUP(Table9[[#This Row],[Country Code]],Table29[],8,FALSE)</f>
        <v>non-OECD</v>
      </c>
      <c r="AU97" s="233" t="str">
        <f>VLOOKUP(Table9[[#This Row],[Country Code]],Table29[],9,FALSE)</f>
        <v>no</v>
      </c>
      <c r="AV97" s="233" t="str">
        <f>VLOOKUP(Table9[[#This Row],[Country Code]],Table29[],10,FALSE)</f>
        <v>no</v>
      </c>
      <c r="AW97" s="233">
        <f>VLOOKUP(Table9[[#This Row],[Country Code]],Table29[],23,FALSE)</f>
        <v>3.2895503749739001</v>
      </c>
      <c r="AX97" s="233">
        <f>VLOOKUP(Table9[[#This Row],[Country Code]],Table29[],24,FALSE)</f>
        <v>0.8680947820135414</v>
      </c>
      <c r="AY97" s="43"/>
    </row>
    <row r="98" spans="1:51" ht="30" x14ac:dyDescent="0.25">
      <c r="A98" s="368">
        <v>23377</v>
      </c>
      <c r="B98" s="233" t="str">
        <f>VLOOKUP(Table9[[#This Row],[Document ID]],Table1[],2,FALSE)</f>
        <v>SWZ</v>
      </c>
      <c r="C98" s="233" t="str">
        <f>VLOOKUP(Table9[[#This Row],[Document ID]],Table1[],3,FALSE)</f>
        <v>Eswatini</v>
      </c>
      <c r="D98" s="241" t="str">
        <f>VLOOKUP(Table9[[#This Row],[Document ID]],Table1[],5,FALSE)</f>
        <v>NDC</v>
      </c>
      <c r="E98" s="233" t="str">
        <f>VLOOKUP(Table9[[#This Row],[Document ID]],Table1[],7,FALSE)</f>
        <v>First NDC updated</v>
      </c>
      <c r="F98" s="241" t="str">
        <f>VLOOKUP(Table9[[#This Row],[Document ID]],Table1[],8,FALSE)</f>
        <v>NDC 1.1</v>
      </c>
      <c r="G98" s="241" t="str">
        <f>VLOOKUP(Table9[[#This Row],[Document ID]],Table1[],10,FALSE)</f>
        <v>Active</v>
      </c>
      <c r="H98" s="44" t="s">
        <v>5086</v>
      </c>
      <c r="I98" s="43" t="s">
        <v>5087</v>
      </c>
      <c r="J98" s="209" t="s">
        <v>5173</v>
      </c>
      <c r="K98" s="259">
        <v>6</v>
      </c>
      <c r="L98" s="219" t="s">
        <v>1113</v>
      </c>
      <c r="M98" s="219"/>
      <c r="N98" s="113"/>
      <c r="O98" s="113"/>
      <c r="P98" s="113"/>
      <c r="Q98" s="113"/>
      <c r="R98" s="113"/>
      <c r="S98" s="113"/>
      <c r="T98" s="113"/>
      <c r="U98" s="113"/>
      <c r="V98" s="113"/>
      <c r="W98" s="113"/>
      <c r="X98" s="113"/>
      <c r="Y98" s="113"/>
      <c r="Z98" s="113"/>
      <c r="AA98" s="113"/>
      <c r="AB98" s="113"/>
      <c r="AC98" s="113"/>
      <c r="AD98" s="113"/>
      <c r="AE98" s="113"/>
      <c r="AF98" s="113"/>
      <c r="AG98" s="113"/>
      <c r="AH98" s="113"/>
      <c r="AI98" s="219" t="s">
        <v>1113</v>
      </c>
      <c r="AJ98" s="326"/>
      <c r="AK98" s="326"/>
      <c r="AL98" s="326"/>
      <c r="AM98" s="327" t="s">
        <v>5075</v>
      </c>
      <c r="AN98" s="233" t="str">
        <f>VLOOKUP(Table9[[#This Row],[Measure]],Table1025[[Value name]:[Value identifyer]],2,FALSE)</f>
        <v>R_Education</v>
      </c>
      <c r="AO98" s="241" t="str">
        <f>VLOOKUP(Table9[[#This Row],[Country Code]],Table29[],3,FALSE)</f>
        <v>Non-Annex I</v>
      </c>
      <c r="AP98" s="241" t="str">
        <f>VLOOKUP(Table9[[#This Row],[Country Code]],Table29[],4,FALSE)</f>
        <v>Africa</v>
      </c>
      <c r="AQ98" s="241" t="str">
        <f>VLOOKUP(Table9[[#This Row],[Country Code]],Table29[],5,FALSE)</f>
        <v>Middle-income</v>
      </c>
      <c r="AR98" s="241" t="str">
        <f>VLOOKUP(Table9[[#This Row],[Country Code]],Table29[],6,FALSE)</f>
        <v>no</v>
      </c>
      <c r="AS98" s="241" t="str">
        <f>VLOOKUP(Table9[[#This Row],[Country Code]],Table29[],7,FALSE)</f>
        <v>no</v>
      </c>
      <c r="AT98" s="241" t="str">
        <f>VLOOKUP(Table9[[#This Row],[Country Code]],Table29[],8,FALSE)</f>
        <v>non-OECD</v>
      </c>
      <c r="AU98" s="233" t="str">
        <f>VLOOKUP(Table9[[#This Row],[Country Code]],Table29[],9,FALSE)</f>
        <v>no</v>
      </c>
      <c r="AV98" s="233" t="str">
        <f>VLOOKUP(Table9[[#This Row],[Country Code]],Table29[],10,FALSE)</f>
        <v>no</v>
      </c>
      <c r="AW98" s="233">
        <f>VLOOKUP(Table9[[#This Row],[Country Code]],Table29[],23,FALSE)</f>
        <v>3.2895503749739001</v>
      </c>
      <c r="AX98" s="233">
        <f>VLOOKUP(Table9[[#This Row],[Country Code]],Table29[],24,FALSE)</f>
        <v>0.8680947820135414</v>
      </c>
      <c r="AY98" s="43"/>
    </row>
    <row r="99" spans="1:51" x14ac:dyDescent="0.25">
      <c r="A99" s="368">
        <v>23377</v>
      </c>
      <c r="B99" s="233" t="str">
        <f>VLOOKUP(Table9[[#This Row],[Document ID]],Table1[],2,FALSE)</f>
        <v>SWZ</v>
      </c>
      <c r="C99" s="233" t="str">
        <f>VLOOKUP(Table9[[#This Row],[Document ID]],Table1[],3,FALSE)</f>
        <v>Eswatini</v>
      </c>
      <c r="D99" s="241" t="str">
        <f>VLOOKUP(Table9[[#This Row],[Document ID]],Table1[],5,FALSE)</f>
        <v>NDC</v>
      </c>
      <c r="E99" s="233" t="str">
        <f>VLOOKUP(Table9[[#This Row],[Document ID]],Table1[],7,FALSE)</f>
        <v>First NDC updated</v>
      </c>
      <c r="F99" s="241" t="str">
        <f>VLOOKUP(Table9[[#This Row],[Document ID]],Table1[],8,FALSE)</f>
        <v>NDC 1.1</v>
      </c>
      <c r="G99" s="241" t="str">
        <f>VLOOKUP(Table9[[#This Row],[Document ID]],Table1[],10,FALSE)</f>
        <v>Active</v>
      </c>
      <c r="H99" s="44" t="s">
        <v>5072</v>
      </c>
      <c r="I99" s="43" t="s">
        <v>5073</v>
      </c>
      <c r="J99" s="209" t="s">
        <v>5174</v>
      </c>
      <c r="K99" s="259">
        <v>6</v>
      </c>
      <c r="L99" s="219" t="s">
        <v>1113</v>
      </c>
      <c r="M99" s="219"/>
      <c r="N99" s="113"/>
      <c r="O99" s="113"/>
      <c r="P99" s="113"/>
      <c r="Q99" s="113"/>
      <c r="R99" s="113"/>
      <c r="S99" s="113"/>
      <c r="T99" s="113"/>
      <c r="U99" s="113"/>
      <c r="V99" s="113"/>
      <c r="W99" s="113"/>
      <c r="X99" s="113"/>
      <c r="Y99" s="113"/>
      <c r="Z99" s="113"/>
      <c r="AA99" s="113"/>
      <c r="AB99" s="113"/>
      <c r="AC99" s="113"/>
      <c r="AD99" s="113"/>
      <c r="AE99" s="113"/>
      <c r="AF99" s="113"/>
      <c r="AG99" s="113"/>
      <c r="AH99" s="113"/>
      <c r="AI99" s="219" t="s">
        <v>1113</v>
      </c>
      <c r="AJ99" s="326"/>
      <c r="AK99" s="326"/>
      <c r="AL99" s="326"/>
      <c r="AM99" s="327" t="s">
        <v>5075</v>
      </c>
      <c r="AN99" s="233" t="str">
        <f>VLOOKUP(Table9[[#This Row],[Measure]],Table1025[[Value name]:[Value identifyer]],2,FALSE)</f>
        <v>R_System</v>
      </c>
      <c r="AO99" s="241" t="str">
        <f>VLOOKUP(Table9[[#This Row],[Country Code]],Table29[],3,FALSE)</f>
        <v>Non-Annex I</v>
      </c>
      <c r="AP99" s="241" t="str">
        <f>VLOOKUP(Table9[[#This Row],[Country Code]],Table29[],4,FALSE)</f>
        <v>Africa</v>
      </c>
      <c r="AQ99" s="241" t="str">
        <f>VLOOKUP(Table9[[#This Row],[Country Code]],Table29[],5,FALSE)</f>
        <v>Middle-income</v>
      </c>
      <c r="AR99" s="241" t="str">
        <f>VLOOKUP(Table9[[#This Row],[Country Code]],Table29[],6,FALSE)</f>
        <v>no</v>
      </c>
      <c r="AS99" s="241" t="str">
        <f>VLOOKUP(Table9[[#This Row],[Country Code]],Table29[],7,FALSE)</f>
        <v>no</v>
      </c>
      <c r="AT99" s="241" t="str">
        <f>VLOOKUP(Table9[[#This Row],[Country Code]],Table29[],8,FALSE)</f>
        <v>non-OECD</v>
      </c>
      <c r="AU99" s="233" t="str">
        <f>VLOOKUP(Table9[[#This Row],[Country Code]],Table29[],9,FALSE)</f>
        <v>no</v>
      </c>
      <c r="AV99" s="233" t="str">
        <f>VLOOKUP(Table9[[#This Row],[Country Code]],Table29[],10,FALSE)</f>
        <v>no</v>
      </c>
      <c r="AW99" s="233">
        <f>VLOOKUP(Table9[[#This Row],[Country Code]],Table29[],23,FALSE)</f>
        <v>3.2895503749739001</v>
      </c>
      <c r="AX99" s="233">
        <f>VLOOKUP(Table9[[#This Row],[Country Code]],Table29[],24,FALSE)</f>
        <v>0.8680947820135414</v>
      </c>
      <c r="AY99" s="43"/>
    </row>
    <row r="100" spans="1:51" ht="30" x14ac:dyDescent="0.25">
      <c r="A100" s="367">
        <v>17588</v>
      </c>
      <c r="B100" s="233" t="str">
        <f>VLOOKUP(Table9[[#This Row],[Document ID]],Table1[],2,FALSE)</f>
        <v>ETH</v>
      </c>
      <c r="C100" s="233" t="str">
        <f>VLOOKUP(Table9[[#This Row],[Document ID]],Table1[],3,FALSE)</f>
        <v>Ethiopia</v>
      </c>
      <c r="D100" s="254" t="str">
        <f>VLOOKUP(Table9[[#This Row],[Document ID]],Table1[],5,FALSE)</f>
        <v>NDC</v>
      </c>
      <c r="E100" s="233" t="str">
        <f>VLOOKUP(Table9[[#This Row],[Document ID]],Table1[],7,FALSE)</f>
        <v>First NDC updated</v>
      </c>
      <c r="F100" s="241" t="str">
        <f>VLOOKUP(Table9[[#This Row],[Document ID]],Table1[],8,FALSE)</f>
        <v>NDC 1.1</v>
      </c>
      <c r="G100" s="241" t="str">
        <f>VLOOKUP(Table9[[#This Row],[Document ID]],Table1[],10,FALSE)</f>
        <v>Active</v>
      </c>
      <c r="H100" s="44" t="s">
        <v>5072</v>
      </c>
      <c r="I100" s="43" t="s">
        <v>5073</v>
      </c>
      <c r="J100" s="209" t="s">
        <v>5175</v>
      </c>
      <c r="K100" s="259">
        <v>37</v>
      </c>
      <c r="L100" s="219"/>
      <c r="M100" s="219"/>
      <c r="N100" s="219" t="s">
        <v>1113</v>
      </c>
      <c r="O100" s="219"/>
      <c r="P100" s="219"/>
      <c r="Q100" s="219"/>
      <c r="R100" s="219"/>
      <c r="S100" s="219"/>
      <c r="T100" s="219"/>
      <c r="U100" s="219"/>
      <c r="V100" s="219"/>
      <c r="W100" s="219"/>
      <c r="X100" s="219"/>
      <c r="Y100" s="219"/>
      <c r="Z100" s="219"/>
      <c r="AA100" s="219"/>
      <c r="AB100" s="219"/>
      <c r="AC100" s="219"/>
      <c r="AD100" s="219"/>
      <c r="AE100" s="219"/>
      <c r="AF100" s="219"/>
      <c r="AG100" s="219"/>
      <c r="AH100" s="219"/>
      <c r="AI100" s="326" t="s">
        <v>1113</v>
      </c>
      <c r="AJ100" s="326"/>
      <c r="AK100" s="326"/>
      <c r="AL100" s="326"/>
      <c r="AM100" s="327" t="s">
        <v>5075</v>
      </c>
      <c r="AN100" s="233" t="str">
        <f>VLOOKUP(Table9[[#This Row],[Measure]],Table1025[[Value name]:[Value identifyer]],2,FALSE)</f>
        <v>R_System</v>
      </c>
      <c r="AO100" s="241" t="str">
        <f>VLOOKUP(Table9[[#This Row],[Country Code]],Table29[],3,FALSE)</f>
        <v>Non-Annex I</v>
      </c>
      <c r="AP100" s="241" t="str">
        <f>VLOOKUP(Table9[[#This Row],[Country Code]],Table29[],4,FALSE)</f>
        <v>Africa</v>
      </c>
      <c r="AQ100" s="241" t="str">
        <f>VLOOKUP(Table9[[#This Row],[Country Code]],Table29[],5,FALSE)</f>
        <v>Low-income</v>
      </c>
      <c r="AR100" s="241" t="str">
        <f>VLOOKUP(Table9[[#This Row],[Country Code]],Table29[],6,FALSE)</f>
        <v>no</v>
      </c>
      <c r="AS100" s="241" t="str">
        <f>VLOOKUP(Table9[[#This Row],[Country Code]],Table29[],7,FALSE)</f>
        <v>no</v>
      </c>
      <c r="AT100" s="241" t="str">
        <f>VLOOKUP(Table9[[#This Row],[Country Code]],Table29[],8,FALSE)</f>
        <v>non-OECD</v>
      </c>
      <c r="AU100" s="233" t="str">
        <f>VLOOKUP(Table9[[#This Row],[Country Code]],Table29[],9,FALSE)</f>
        <v>no</v>
      </c>
      <c r="AV100" s="233" t="str">
        <f>VLOOKUP(Table9[[#This Row],[Country Code]],Table29[],10,FALSE)</f>
        <v>no</v>
      </c>
      <c r="AW100" s="233">
        <f>VLOOKUP(Table9[[#This Row],[Country Code]],Table29[],23,FALSE)</f>
        <v>170.03385065136999</v>
      </c>
      <c r="AX100" s="233">
        <f>VLOOKUP(Table9[[#This Row],[Country Code]],Table29[],24,FALSE)</f>
        <v>6.7537831121432941</v>
      </c>
      <c r="AY100" s="43"/>
    </row>
    <row r="101" spans="1:51" x14ac:dyDescent="0.25">
      <c r="A101" s="367">
        <v>17588</v>
      </c>
      <c r="B101" s="233" t="str">
        <f>VLOOKUP(Table9[[#This Row],[Document ID]],Table1[],2,FALSE)</f>
        <v>ETH</v>
      </c>
      <c r="C101" s="233" t="str">
        <f>VLOOKUP(Table9[[#This Row],[Document ID]],Table1[],3,FALSE)</f>
        <v>Ethiopia</v>
      </c>
      <c r="D101" s="254" t="str">
        <f>VLOOKUP(Table9[[#This Row],[Document ID]],Table1[],5,FALSE)</f>
        <v>NDC</v>
      </c>
      <c r="E101" s="233" t="str">
        <f>VLOOKUP(Table9[[#This Row],[Document ID]],Table1[],7,FALSE)</f>
        <v>First NDC updated</v>
      </c>
      <c r="F101" s="241" t="str">
        <f>VLOOKUP(Table9[[#This Row],[Document ID]],Table1[],8,FALSE)</f>
        <v>NDC 1.1</v>
      </c>
      <c r="G101" s="241" t="str">
        <f>VLOOKUP(Table9[[#This Row],[Document ID]],Table1[],10,FALSE)</f>
        <v>Active</v>
      </c>
      <c r="H101" s="44" t="s">
        <v>5076</v>
      </c>
      <c r="I101" s="43" t="s">
        <v>5089</v>
      </c>
      <c r="J101" s="209" t="s">
        <v>5176</v>
      </c>
      <c r="K101" s="259">
        <v>37</v>
      </c>
      <c r="L101" s="326" t="s">
        <v>1113</v>
      </c>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t="s">
        <v>1113</v>
      </c>
      <c r="AJ101" s="326"/>
      <c r="AK101" s="326"/>
      <c r="AL101" s="326"/>
      <c r="AM101" s="327" t="s">
        <v>5075</v>
      </c>
      <c r="AN101" s="233" t="str">
        <f>VLOOKUP(Table9[[#This Row],[Measure]],Table1025[[Value name]:[Value identifyer]],2,FALSE)</f>
        <v>R_Design</v>
      </c>
      <c r="AO101" s="241" t="str">
        <f>VLOOKUP(Table9[[#This Row],[Country Code]],Table29[],3,FALSE)</f>
        <v>Non-Annex I</v>
      </c>
      <c r="AP101" s="241" t="str">
        <f>VLOOKUP(Table9[[#This Row],[Country Code]],Table29[],4,FALSE)</f>
        <v>Africa</v>
      </c>
      <c r="AQ101" s="241" t="str">
        <f>VLOOKUP(Table9[[#This Row],[Country Code]],Table29[],5,FALSE)</f>
        <v>Low-income</v>
      </c>
      <c r="AR101" s="241" t="str">
        <f>VLOOKUP(Table9[[#This Row],[Country Code]],Table29[],6,FALSE)</f>
        <v>no</v>
      </c>
      <c r="AS101" s="241" t="str">
        <f>VLOOKUP(Table9[[#This Row],[Country Code]],Table29[],7,FALSE)</f>
        <v>no</v>
      </c>
      <c r="AT101" s="241" t="str">
        <f>VLOOKUP(Table9[[#This Row],[Country Code]],Table29[],8,FALSE)</f>
        <v>non-OECD</v>
      </c>
      <c r="AU101" s="233" t="str">
        <f>VLOOKUP(Table9[[#This Row],[Country Code]],Table29[],9,FALSE)</f>
        <v>no</v>
      </c>
      <c r="AV101" s="233" t="str">
        <f>VLOOKUP(Table9[[#This Row],[Country Code]],Table29[],10,FALSE)</f>
        <v>no</v>
      </c>
      <c r="AW101" s="233">
        <f>VLOOKUP(Table9[[#This Row],[Country Code]],Table29[],23,FALSE)</f>
        <v>170.03385065136999</v>
      </c>
      <c r="AX101" s="233">
        <f>VLOOKUP(Table9[[#This Row],[Country Code]],Table29[],24,FALSE)</f>
        <v>6.7537831121432941</v>
      </c>
      <c r="AY101" s="43"/>
    </row>
    <row r="102" spans="1:51" ht="60" x14ac:dyDescent="0.25">
      <c r="A102" s="360">
        <v>39442</v>
      </c>
      <c r="B102" s="233" t="str">
        <f>VLOOKUP(Table9[[#This Row],[Document ID]],Table1[],2,FALSE)</f>
        <v>ETH</v>
      </c>
      <c r="C102" s="233" t="str">
        <f>VLOOKUP(Table9[[#This Row],[Document ID]],Table1[],3,FALSE)</f>
        <v>Ethiopia</v>
      </c>
      <c r="D102" s="233" t="str">
        <f>VLOOKUP(Table9[[#This Row],[Document ID]],Table1[],5,FALSE)</f>
        <v>LTS</v>
      </c>
      <c r="E102" s="233" t="str">
        <f>VLOOKUP(Table9[[#This Row],[Document ID]],Table1[],7,FALSE)</f>
        <v>LTS</v>
      </c>
      <c r="F102" s="233" t="str">
        <f>VLOOKUP(Table9[[#This Row],[Document ID]],Table1[],8,FALSE)</f>
        <v>LTS 1.0</v>
      </c>
      <c r="G102" s="233" t="str">
        <f>VLOOKUP(Table9[[#This Row],[Document ID]],Table1[],10,FALSE)</f>
        <v>Active</v>
      </c>
      <c r="H102" s="44" t="s">
        <v>5072</v>
      </c>
      <c r="I102" s="43" t="s">
        <v>5073</v>
      </c>
      <c r="J102" s="44" t="s">
        <v>5177</v>
      </c>
      <c r="K102" s="221">
        <v>46</v>
      </c>
      <c r="L102" s="113" t="s">
        <v>1113</v>
      </c>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t="s">
        <v>1113</v>
      </c>
      <c r="AJ102" s="326"/>
      <c r="AK102" s="326"/>
      <c r="AL102" s="326"/>
      <c r="AM102" s="43" t="s">
        <v>5075</v>
      </c>
      <c r="AN102" s="233" t="str">
        <f>VLOOKUP(Table9[[#This Row],[Measure]],Table1025[[Value name]:[Value identifyer]],2,FALSE)</f>
        <v>R_System</v>
      </c>
      <c r="AO102" s="241" t="str">
        <f>VLOOKUP(Table9[[#This Row],[Country Code]],Table29[],3,FALSE)</f>
        <v>Non-Annex I</v>
      </c>
      <c r="AP102" s="241" t="str">
        <f>VLOOKUP(Table9[[#This Row],[Country Code]],Table29[],4,FALSE)</f>
        <v>Africa</v>
      </c>
      <c r="AQ102" s="241" t="str">
        <f>VLOOKUP(Table9[[#This Row],[Country Code]],Table29[],5,FALSE)</f>
        <v>Low-income</v>
      </c>
      <c r="AR102" s="241" t="str">
        <f>VLOOKUP(Table9[[#This Row],[Country Code]],Table29[],6,FALSE)</f>
        <v>no</v>
      </c>
      <c r="AS102" s="241" t="str">
        <f>VLOOKUP(Table9[[#This Row],[Country Code]],Table29[],7,FALSE)</f>
        <v>no</v>
      </c>
      <c r="AT102" s="241" t="str">
        <f>VLOOKUP(Table9[[#This Row],[Country Code]],Table29[],8,FALSE)</f>
        <v>non-OECD</v>
      </c>
      <c r="AU102" s="233" t="str">
        <f>VLOOKUP(Table9[[#This Row],[Country Code]],Table29[],9,FALSE)</f>
        <v>no</v>
      </c>
      <c r="AV102" s="233" t="str">
        <f>VLOOKUP(Table9[[#This Row],[Country Code]],Table29[],10,FALSE)</f>
        <v>no</v>
      </c>
      <c r="AW102" s="233">
        <f>VLOOKUP(Table9[[#This Row],[Country Code]],Table29[],23,FALSE)</f>
        <v>170.03385065136999</v>
      </c>
      <c r="AX102" s="233">
        <f>VLOOKUP(Table9[[#This Row],[Country Code]],Table29[],24,FALSE)</f>
        <v>6.7537831121432941</v>
      </c>
      <c r="AY102" s="43"/>
    </row>
    <row r="103" spans="1:51" ht="60" x14ac:dyDescent="0.25">
      <c r="A103" s="360">
        <v>39442</v>
      </c>
      <c r="B103" s="233" t="str">
        <f>VLOOKUP(Table9[[#This Row],[Document ID]],Table1[],2,FALSE)</f>
        <v>ETH</v>
      </c>
      <c r="C103" s="233" t="str">
        <f>VLOOKUP(Table9[[#This Row],[Document ID]],Table1[],3,FALSE)</f>
        <v>Ethiopia</v>
      </c>
      <c r="D103" s="233" t="str">
        <f>VLOOKUP(Table9[[#This Row],[Document ID]],Table1[],5,FALSE)</f>
        <v>LTS</v>
      </c>
      <c r="E103" s="233" t="str">
        <f>VLOOKUP(Table9[[#This Row],[Document ID]],Table1[],7,FALSE)</f>
        <v>LTS</v>
      </c>
      <c r="F103" s="233" t="str">
        <f>VLOOKUP(Table9[[#This Row],[Document ID]],Table1[],8,FALSE)</f>
        <v>LTS 1.0</v>
      </c>
      <c r="G103" s="233" t="str">
        <f>VLOOKUP(Table9[[#This Row],[Document ID]],Table1[],10,FALSE)</f>
        <v>Active</v>
      </c>
      <c r="H103" s="44" t="s">
        <v>5076</v>
      </c>
      <c r="I103" s="43" t="s">
        <v>5089</v>
      </c>
      <c r="J103" s="44" t="s">
        <v>5178</v>
      </c>
      <c r="K103" s="221">
        <v>47</v>
      </c>
      <c r="L103" s="113" t="s">
        <v>1113</v>
      </c>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t="s">
        <v>1113</v>
      </c>
      <c r="AJ103" s="326"/>
      <c r="AK103" s="326"/>
      <c r="AL103" s="326"/>
      <c r="AM103" s="43" t="s">
        <v>5075</v>
      </c>
      <c r="AN103" s="233" t="str">
        <f>VLOOKUP(Table9[[#This Row],[Measure]],Table1025[[Value name]:[Value identifyer]],2,FALSE)</f>
        <v>R_Design</v>
      </c>
      <c r="AO103" s="241" t="str">
        <f>VLOOKUP(Table9[[#This Row],[Country Code]],Table29[],3,FALSE)</f>
        <v>Non-Annex I</v>
      </c>
      <c r="AP103" s="241" t="str">
        <f>VLOOKUP(Table9[[#This Row],[Country Code]],Table29[],4,FALSE)</f>
        <v>Africa</v>
      </c>
      <c r="AQ103" s="241" t="str">
        <f>VLOOKUP(Table9[[#This Row],[Country Code]],Table29[],5,FALSE)</f>
        <v>Low-income</v>
      </c>
      <c r="AR103" s="241" t="str">
        <f>VLOOKUP(Table9[[#This Row],[Country Code]],Table29[],6,FALSE)</f>
        <v>no</v>
      </c>
      <c r="AS103" s="241" t="str">
        <f>VLOOKUP(Table9[[#This Row],[Country Code]],Table29[],7,FALSE)</f>
        <v>no</v>
      </c>
      <c r="AT103" s="241" t="str">
        <f>VLOOKUP(Table9[[#This Row],[Country Code]],Table29[],8,FALSE)</f>
        <v>non-OECD</v>
      </c>
      <c r="AU103" s="233" t="str">
        <f>VLOOKUP(Table9[[#This Row],[Country Code]],Table29[],9,FALSE)</f>
        <v>no</v>
      </c>
      <c r="AV103" s="233" t="str">
        <f>VLOOKUP(Table9[[#This Row],[Country Code]],Table29[],10,FALSE)</f>
        <v>no</v>
      </c>
      <c r="AW103" s="233">
        <f>VLOOKUP(Table9[[#This Row],[Country Code]],Table29[],23,FALSE)</f>
        <v>170.03385065136999</v>
      </c>
      <c r="AX103" s="233">
        <f>VLOOKUP(Table9[[#This Row],[Country Code]],Table29[],24,FALSE)</f>
        <v>6.7537831121432941</v>
      </c>
      <c r="AY103" s="43"/>
    </row>
    <row r="104" spans="1:51" x14ac:dyDescent="0.25">
      <c r="A104" s="367">
        <v>17593</v>
      </c>
      <c r="B104" s="233" t="str">
        <f>VLOOKUP(Table9[[#This Row],[Document ID]],Table1[],2,FALSE)</f>
        <v>FJI</v>
      </c>
      <c r="C104" s="233" t="str">
        <f>VLOOKUP(Table9[[#This Row],[Document ID]],Table1[],3,FALSE)</f>
        <v>Fiji</v>
      </c>
      <c r="D104" s="254" t="str">
        <f>VLOOKUP(Table9[[#This Row],[Document ID]],Table1[],5,FALSE)</f>
        <v>LTS</v>
      </c>
      <c r="E104" s="233" t="str">
        <f>VLOOKUP(Table9[[#This Row],[Document ID]],Table1[],7,FALSE)</f>
        <v>LTS</v>
      </c>
      <c r="F104" s="241" t="str">
        <f>VLOOKUP(Table9[[#This Row],[Document ID]],Table1[],8,FALSE)</f>
        <v>LTS 1.0</v>
      </c>
      <c r="G104" s="241" t="str">
        <f>VLOOKUP(Table9[[#This Row],[Document ID]],Table1[],10,FALSE)</f>
        <v>Active</v>
      </c>
      <c r="H104" s="44" t="s">
        <v>5072</v>
      </c>
      <c r="I104" s="43" t="s">
        <v>5091</v>
      </c>
      <c r="J104" s="44" t="s">
        <v>5179</v>
      </c>
      <c r="K104" s="221">
        <v>188</v>
      </c>
      <c r="L104" s="113"/>
      <c r="M104" s="113"/>
      <c r="N104" s="113"/>
      <c r="O104" s="113"/>
      <c r="P104" s="113"/>
      <c r="Q104" s="113" t="s">
        <v>1113</v>
      </c>
      <c r="R104" s="113"/>
      <c r="S104" s="113"/>
      <c r="T104" s="113"/>
      <c r="U104" s="113"/>
      <c r="V104" s="113"/>
      <c r="W104" s="113"/>
      <c r="X104" s="113"/>
      <c r="Y104" s="113"/>
      <c r="Z104" s="113"/>
      <c r="AA104" s="113"/>
      <c r="AB104" s="113"/>
      <c r="AC104" s="113"/>
      <c r="AD104" s="113"/>
      <c r="AE104" s="113"/>
      <c r="AF104" s="113"/>
      <c r="AG104" s="113"/>
      <c r="AH104" s="113"/>
      <c r="AI104" s="113" t="s">
        <v>1113</v>
      </c>
      <c r="AJ104" s="113"/>
      <c r="AK104" s="113"/>
      <c r="AL104" s="113"/>
      <c r="AM104" s="43" t="s">
        <v>5075</v>
      </c>
      <c r="AN104" s="233" t="str">
        <f>VLOOKUP(Table9[[#This Row],[Measure]],Table1025[[Value name]:[Value identifyer]],2,FALSE)</f>
        <v>R_Maintain</v>
      </c>
      <c r="AO104" s="241" t="str">
        <f>VLOOKUP(Table9[[#This Row],[Country Code]],Table29[],3,FALSE)</f>
        <v>Non-Annex I</v>
      </c>
      <c r="AP104" s="241" t="str">
        <f>VLOOKUP(Table9[[#This Row],[Country Code]],Table29[],4,FALSE)</f>
        <v>Oceania</v>
      </c>
      <c r="AQ104" s="241" t="str">
        <f>VLOOKUP(Table9[[#This Row],[Country Code]],Table29[],5,FALSE)</f>
        <v>Middle-income</v>
      </c>
      <c r="AR104" s="241" t="str">
        <f>VLOOKUP(Table9[[#This Row],[Country Code]],Table29[],6,FALSE)</f>
        <v>no</v>
      </c>
      <c r="AS104" s="241" t="str">
        <f>VLOOKUP(Table9[[#This Row],[Country Code]],Table29[],7,FALSE)</f>
        <v>no</v>
      </c>
      <c r="AT104" s="241" t="str">
        <f>VLOOKUP(Table9[[#This Row],[Country Code]],Table29[],8,FALSE)</f>
        <v>non-OECD</v>
      </c>
      <c r="AU104" s="233" t="str">
        <f>VLOOKUP(Table9[[#This Row],[Country Code]],Table29[],9,FALSE)</f>
        <v>no</v>
      </c>
      <c r="AV104" s="233" t="str">
        <f>VLOOKUP(Table9[[#This Row],[Country Code]],Table29[],10,FALSE)</f>
        <v>no</v>
      </c>
      <c r="AW104" s="233">
        <f>VLOOKUP(Table9[[#This Row],[Country Code]],Table29[],23,FALSE)</f>
        <v>3.4009927758626</v>
      </c>
      <c r="AX104" s="233">
        <f>VLOOKUP(Table9[[#This Row],[Country Code]],Table29[],24,FALSE)</f>
        <v>1.126237744382208</v>
      </c>
      <c r="AY104" s="43"/>
    </row>
    <row r="105" spans="1:51" x14ac:dyDescent="0.25">
      <c r="A105" s="367">
        <v>17593</v>
      </c>
      <c r="B105" s="233" t="str">
        <f>VLOOKUP(Table9[[#This Row],[Document ID]],Table1[],2,FALSE)</f>
        <v>FJI</v>
      </c>
      <c r="C105" s="233" t="str">
        <f>VLOOKUP(Table9[[#This Row],[Document ID]],Table1[],3,FALSE)</f>
        <v>Fiji</v>
      </c>
      <c r="D105" s="254" t="str">
        <f>VLOOKUP(Table9[[#This Row],[Document ID]],Table1[],5,FALSE)</f>
        <v>LTS</v>
      </c>
      <c r="E105" s="233" t="str">
        <f>VLOOKUP(Table9[[#This Row],[Document ID]],Table1[],7,FALSE)</f>
        <v>LTS</v>
      </c>
      <c r="F105" s="241" t="str">
        <f>VLOOKUP(Table9[[#This Row],[Document ID]],Table1[],8,FALSE)</f>
        <v>LTS 1.0</v>
      </c>
      <c r="G105" s="241" t="str">
        <f>VLOOKUP(Table9[[#This Row],[Document ID]],Table1[],10,FALSE)</f>
        <v>Active</v>
      </c>
      <c r="H105" s="44" t="s">
        <v>5072</v>
      </c>
      <c r="I105" s="43" t="s">
        <v>5073</v>
      </c>
      <c r="J105" s="44" t="s">
        <v>5180</v>
      </c>
      <c r="K105" s="221">
        <v>188</v>
      </c>
      <c r="L105" s="113"/>
      <c r="M105" s="113"/>
      <c r="N105" s="113"/>
      <c r="O105" s="113"/>
      <c r="P105" s="113"/>
      <c r="Q105" s="113" t="s">
        <v>1113</v>
      </c>
      <c r="R105" s="113"/>
      <c r="S105" s="113"/>
      <c r="T105" s="113"/>
      <c r="U105" s="113"/>
      <c r="V105" s="113"/>
      <c r="W105" s="113"/>
      <c r="X105" s="113"/>
      <c r="Y105" s="113"/>
      <c r="Z105" s="113"/>
      <c r="AA105" s="113"/>
      <c r="AB105" s="113"/>
      <c r="AC105" s="113"/>
      <c r="AD105" s="113"/>
      <c r="AE105" s="113"/>
      <c r="AF105" s="113"/>
      <c r="AG105" s="113"/>
      <c r="AH105" s="113"/>
      <c r="AI105" s="113" t="s">
        <v>1113</v>
      </c>
      <c r="AJ105" s="113"/>
      <c r="AK105" s="113"/>
      <c r="AL105" s="113"/>
      <c r="AM105" s="43" t="s">
        <v>5075</v>
      </c>
      <c r="AN105" s="233" t="str">
        <f>VLOOKUP(Table9[[#This Row],[Measure]],Table1025[[Value name]:[Value identifyer]],2,FALSE)</f>
        <v>R_System</v>
      </c>
      <c r="AO105" s="241" t="str">
        <f>VLOOKUP(Table9[[#This Row],[Country Code]],Table29[],3,FALSE)</f>
        <v>Non-Annex I</v>
      </c>
      <c r="AP105" s="241" t="str">
        <f>VLOOKUP(Table9[[#This Row],[Country Code]],Table29[],4,FALSE)</f>
        <v>Oceania</v>
      </c>
      <c r="AQ105" s="241" t="str">
        <f>VLOOKUP(Table9[[#This Row],[Country Code]],Table29[],5,FALSE)</f>
        <v>Middle-income</v>
      </c>
      <c r="AR105" s="241" t="str">
        <f>VLOOKUP(Table9[[#This Row],[Country Code]],Table29[],6,FALSE)</f>
        <v>no</v>
      </c>
      <c r="AS105" s="241" t="str">
        <f>VLOOKUP(Table9[[#This Row],[Country Code]],Table29[],7,FALSE)</f>
        <v>no</v>
      </c>
      <c r="AT105" s="241" t="str">
        <f>VLOOKUP(Table9[[#This Row],[Country Code]],Table29[],8,FALSE)</f>
        <v>non-OECD</v>
      </c>
      <c r="AU105" s="233" t="str">
        <f>VLOOKUP(Table9[[#This Row],[Country Code]],Table29[],9,FALSE)</f>
        <v>no</v>
      </c>
      <c r="AV105" s="233" t="str">
        <f>VLOOKUP(Table9[[#This Row],[Country Code]],Table29[],10,FALSE)</f>
        <v>no</v>
      </c>
      <c r="AW105" s="233">
        <f>VLOOKUP(Table9[[#This Row],[Country Code]],Table29[],23,FALSE)</f>
        <v>3.4009927758626</v>
      </c>
      <c r="AX105" s="233">
        <f>VLOOKUP(Table9[[#This Row],[Country Code]],Table29[],24,FALSE)</f>
        <v>1.126237744382208</v>
      </c>
      <c r="AY105" s="43"/>
    </row>
    <row r="106" spans="1:51" ht="30" x14ac:dyDescent="0.25">
      <c r="A106" s="367">
        <v>17593</v>
      </c>
      <c r="B106" s="233" t="str">
        <f>VLOOKUP(Table9[[#This Row],[Document ID]],Table1[],2,FALSE)</f>
        <v>FJI</v>
      </c>
      <c r="C106" s="233" t="str">
        <f>VLOOKUP(Table9[[#This Row],[Document ID]],Table1[],3,FALSE)</f>
        <v>Fiji</v>
      </c>
      <c r="D106" s="254" t="str">
        <f>VLOOKUP(Table9[[#This Row],[Document ID]],Table1[],5,FALSE)</f>
        <v>LTS</v>
      </c>
      <c r="E106" s="233" t="str">
        <f>VLOOKUP(Table9[[#This Row],[Document ID]],Table1[],7,FALSE)</f>
        <v>LTS</v>
      </c>
      <c r="F106" s="241" t="str">
        <f>VLOOKUP(Table9[[#This Row],[Document ID]],Table1[],8,FALSE)</f>
        <v>LTS 1.0</v>
      </c>
      <c r="G106" s="241" t="str">
        <f>VLOOKUP(Table9[[#This Row],[Document ID]],Table1[],10,FALSE)</f>
        <v>Active</v>
      </c>
      <c r="H106" s="44" t="s">
        <v>5076</v>
      </c>
      <c r="I106" s="43" t="s">
        <v>5079</v>
      </c>
      <c r="J106" s="331" t="s">
        <v>5181</v>
      </c>
      <c r="K106" s="221">
        <v>188</v>
      </c>
      <c r="L106" s="113"/>
      <c r="M106" s="113"/>
      <c r="N106" s="113"/>
      <c r="O106" s="113"/>
      <c r="P106" s="113"/>
      <c r="Q106" s="113"/>
      <c r="R106" s="113"/>
      <c r="S106" s="113"/>
      <c r="T106" s="113"/>
      <c r="U106" s="113"/>
      <c r="V106" s="113" t="s">
        <v>1113</v>
      </c>
      <c r="W106" s="113"/>
      <c r="X106" s="113"/>
      <c r="Y106" s="113"/>
      <c r="Z106" s="113"/>
      <c r="AA106" s="113"/>
      <c r="AB106" s="113"/>
      <c r="AC106" s="113"/>
      <c r="AD106" s="113"/>
      <c r="AE106" s="113"/>
      <c r="AF106" s="113"/>
      <c r="AG106" s="113"/>
      <c r="AH106" s="113"/>
      <c r="AI106" s="113" t="s">
        <v>1113</v>
      </c>
      <c r="AJ106" s="113"/>
      <c r="AK106" s="113"/>
      <c r="AL106" s="113"/>
      <c r="AM106" s="43" t="s">
        <v>5075</v>
      </c>
      <c r="AN106" s="233" t="str">
        <f>VLOOKUP(Table9[[#This Row],[Measure]],Table1025[[Value name]:[Value identifyer]],2,FALSE)</f>
        <v>R_Laws</v>
      </c>
      <c r="AO106" s="241" t="str">
        <f>VLOOKUP(Table9[[#This Row],[Country Code]],Table29[],3,FALSE)</f>
        <v>Non-Annex I</v>
      </c>
      <c r="AP106" s="241" t="str">
        <f>VLOOKUP(Table9[[#This Row],[Country Code]],Table29[],4,FALSE)</f>
        <v>Oceania</v>
      </c>
      <c r="AQ106" s="241" t="str">
        <f>VLOOKUP(Table9[[#This Row],[Country Code]],Table29[],5,FALSE)</f>
        <v>Middle-income</v>
      </c>
      <c r="AR106" s="241" t="str">
        <f>VLOOKUP(Table9[[#This Row],[Country Code]],Table29[],6,FALSE)</f>
        <v>no</v>
      </c>
      <c r="AS106" s="241" t="str">
        <f>VLOOKUP(Table9[[#This Row],[Country Code]],Table29[],7,FALSE)</f>
        <v>no</v>
      </c>
      <c r="AT106" s="241" t="str">
        <f>VLOOKUP(Table9[[#This Row],[Country Code]],Table29[],8,FALSE)</f>
        <v>non-OECD</v>
      </c>
      <c r="AU106" s="233" t="str">
        <f>VLOOKUP(Table9[[#This Row],[Country Code]],Table29[],9,FALSE)</f>
        <v>no</v>
      </c>
      <c r="AV106" s="233" t="str">
        <f>VLOOKUP(Table9[[#This Row],[Country Code]],Table29[],10,FALSE)</f>
        <v>no</v>
      </c>
      <c r="AW106" s="233">
        <f>VLOOKUP(Table9[[#This Row],[Country Code]],Table29[],23,FALSE)</f>
        <v>3.4009927758626</v>
      </c>
      <c r="AX106" s="233">
        <f>VLOOKUP(Table9[[#This Row],[Country Code]],Table29[],24,FALSE)</f>
        <v>1.126237744382208</v>
      </c>
      <c r="AY106" s="43"/>
    </row>
    <row r="107" spans="1:51" x14ac:dyDescent="0.25">
      <c r="A107" s="367">
        <v>17593</v>
      </c>
      <c r="B107" s="233" t="str">
        <f>VLOOKUP(Table9[[#This Row],[Document ID]],Table1[],2,FALSE)</f>
        <v>FJI</v>
      </c>
      <c r="C107" s="233" t="str">
        <f>VLOOKUP(Table9[[#This Row],[Document ID]],Table1[],3,FALSE)</f>
        <v>Fiji</v>
      </c>
      <c r="D107" s="254" t="str">
        <f>VLOOKUP(Table9[[#This Row],[Document ID]],Table1[],5,FALSE)</f>
        <v>LTS</v>
      </c>
      <c r="E107" s="233" t="str">
        <f>VLOOKUP(Table9[[#This Row],[Document ID]],Table1[],7,FALSE)</f>
        <v>LTS</v>
      </c>
      <c r="F107" s="241" t="str">
        <f>VLOOKUP(Table9[[#This Row],[Document ID]],Table1[],8,FALSE)</f>
        <v>LTS 1.0</v>
      </c>
      <c r="G107" s="241" t="str">
        <f>VLOOKUP(Table9[[#This Row],[Document ID]],Table1[],10,FALSE)</f>
        <v>Active</v>
      </c>
      <c r="H107" s="44" t="s">
        <v>5072</v>
      </c>
      <c r="I107" s="43" t="s">
        <v>5073</v>
      </c>
      <c r="J107" s="44" t="s">
        <v>5182</v>
      </c>
      <c r="K107" s="221">
        <v>188</v>
      </c>
      <c r="L107" s="113" t="s">
        <v>1113</v>
      </c>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t="s">
        <v>1113</v>
      </c>
      <c r="AJ107" s="113"/>
      <c r="AK107" s="113"/>
      <c r="AL107" s="113"/>
      <c r="AM107" s="43" t="s">
        <v>5075</v>
      </c>
      <c r="AN107" s="233" t="str">
        <f>VLOOKUP(Table9[[#This Row],[Measure]],Table1025[[Value name]:[Value identifyer]],2,FALSE)</f>
        <v>R_System</v>
      </c>
      <c r="AO107" s="241" t="str">
        <f>VLOOKUP(Table9[[#This Row],[Country Code]],Table29[],3,FALSE)</f>
        <v>Non-Annex I</v>
      </c>
      <c r="AP107" s="241" t="str">
        <f>VLOOKUP(Table9[[#This Row],[Country Code]],Table29[],4,FALSE)</f>
        <v>Oceania</v>
      </c>
      <c r="AQ107" s="241" t="str">
        <f>VLOOKUP(Table9[[#This Row],[Country Code]],Table29[],5,FALSE)</f>
        <v>Middle-income</v>
      </c>
      <c r="AR107" s="241" t="str">
        <f>VLOOKUP(Table9[[#This Row],[Country Code]],Table29[],6,FALSE)</f>
        <v>no</v>
      </c>
      <c r="AS107" s="241" t="str">
        <f>VLOOKUP(Table9[[#This Row],[Country Code]],Table29[],7,FALSE)</f>
        <v>no</v>
      </c>
      <c r="AT107" s="241" t="str">
        <f>VLOOKUP(Table9[[#This Row],[Country Code]],Table29[],8,FALSE)</f>
        <v>non-OECD</v>
      </c>
      <c r="AU107" s="233" t="str">
        <f>VLOOKUP(Table9[[#This Row],[Country Code]],Table29[],9,FALSE)</f>
        <v>no</v>
      </c>
      <c r="AV107" s="233" t="str">
        <f>VLOOKUP(Table9[[#This Row],[Country Code]],Table29[],10,FALSE)</f>
        <v>no</v>
      </c>
      <c r="AW107" s="233">
        <f>VLOOKUP(Table9[[#This Row],[Country Code]],Table29[],23,FALSE)</f>
        <v>3.4009927758626</v>
      </c>
      <c r="AX107" s="233">
        <f>VLOOKUP(Table9[[#This Row],[Country Code]],Table29[],24,FALSE)</f>
        <v>1.126237744382208</v>
      </c>
      <c r="AY107" s="43"/>
    </row>
    <row r="108" spans="1:51" ht="30" x14ac:dyDescent="0.25">
      <c r="A108" s="367">
        <v>17593</v>
      </c>
      <c r="B108" s="233" t="str">
        <f>VLOOKUP(Table9[[#This Row],[Document ID]],Table1[],2,FALSE)</f>
        <v>FJI</v>
      </c>
      <c r="C108" s="233" t="str">
        <f>VLOOKUP(Table9[[#This Row],[Document ID]],Table1[],3,FALSE)</f>
        <v>Fiji</v>
      </c>
      <c r="D108" s="254" t="str">
        <f>VLOOKUP(Table9[[#This Row],[Document ID]],Table1[],5,FALSE)</f>
        <v>LTS</v>
      </c>
      <c r="E108" s="233" t="str">
        <f>VLOOKUP(Table9[[#This Row],[Document ID]],Table1[],7,FALSE)</f>
        <v>LTS</v>
      </c>
      <c r="F108" s="241" t="str">
        <f>VLOOKUP(Table9[[#This Row],[Document ID]],Table1[],8,FALSE)</f>
        <v>LTS 1.0</v>
      </c>
      <c r="G108" s="241" t="str">
        <f>VLOOKUP(Table9[[#This Row],[Document ID]],Table1[],10,FALSE)</f>
        <v>Active</v>
      </c>
      <c r="H108" s="44" t="s">
        <v>5072</v>
      </c>
      <c r="I108" s="43" t="s">
        <v>5073</v>
      </c>
      <c r="J108" s="44" t="s">
        <v>5183</v>
      </c>
      <c r="K108" s="221">
        <v>188</v>
      </c>
      <c r="L108" s="113"/>
      <c r="M108" s="113"/>
      <c r="N108" s="113"/>
      <c r="O108" s="113"/>
      <c r="P108" s="113"/>
      <c r="Q108" s="113"/>
      <c r="R108" s="113"/>
      <c r="S108" s="113"/>
      <c r="T108" s="113"/>
      <c r="U108" s="113"/>
      <c r="V108" s="113"/>
      <c r="W108" s="113"/>
      <c r="X108" s="113"/>
      <c r="Y108" s="113"/>
      <c r="Z108" s="113"/>
      <c r="AA108" s="113"/>
      <c r="AB108" s="113" t="s">
        <v>1113</v>
      </c>
      <c r="AC108" s="113"/>
      <c r="AD108" s="113"/>
      <c r="AE108" s="113"/>
      <c r="AF108" s="113"/>
      <c r="AG108" s="113"/>
      <c r="AH108" s="113"/>
      <c r="AI108" s="113" t="s">
        <v>1113</v>
      </c>
      <c r="AJ108" s="113"/>
      <c r="AK108" s="113"/>
      <c r="AL108" s="113"/>
      <c r="AM108" s="43" t="s">
        <v>5075</v>
      </c>
      <c r="AN108" s="233" t="str">
        <f>VLOOKUP(Table9[[#This Row],[Measure]],Table1025[[Value name]:[Value identifyer]],2,FALSE)</f>
        <v>R_System</v>
      </c>
      <c r="AO108" s="241" t="str">
        <f>VLOOKUP(Table9[[#This Row],[Country Code]],Table29[],3,FALSE)</f>
        <v>Non-Annex I</v>
      </c>
      <c r="AP108" s="241" t="str">
        <f>VLOOKUP(Table9[[#This Row],[Country Code]],Table29[],4,FALSE)</f>
        <v>Oceania</v>
      </c>
      <c r="AQ108" s="241" t="str">
        <f>VLOOKUP(Table9[[#This Row],[Country Code]],Table29[],5,FALSE)</f>
        <v>Middle-income</v>
      </c>
      <c r="AR108" s="241" t="str">
        <f>VLOOKUP(Table9[[#This Row],[Country Code]],Table29[],6,FALSE)</f>
        <v>no</v>
      </c>
      <c r="AS108" s="241" t="str">
        <f>VLOOKUP(Table9[[#This Row],[Country Code]],Table29[],7,FALSE)</f>
        <v>no</v>
      </c>
      <c r="AT108" s="241" t="str">
        <f>VLOOKUP(Table9[[#This Row],[Country Code]],Table29[],8,FALSE)</f>
        <v>non-OECD</v>
      </c>
      <c r="AU108" s="233" t="str">
        <f>VLOOKUP(Table9[[#This Row],[Country Code]],Table29[],9,FALSE)</f>
        <v>no</v>
      </c>
      <c r="AV108" s="233" t="str">
        <f>VLOOKUP(Table9[[#This Row],[Country Code]],Table29[],10,FALSE)</f>
        <v>no</v>
      </c>
      <c r="AW108" s="233">
        <f>VLOOKUP(Table9[[#This Row],[Country Code]],Table29[],23,FALSE)</f>
        <v>3.4009927758626</v>
      </c>
      <c r="AX108" s="233">
        <f>VLOOKUP(Table9[[#This Row],[Country Code]],Table29[],24,FALSE)</f>
        <v>1.126237744382208</v>
      </c>
      <c r="AY108" s="43"/>
    </row>
    <row r="109" spans="1:51" ht="30" x14ac:dyDescent="0.25">
      <c r="A109" s="367">
        <v>17593</v>
      </c>
      <c r="B109" s="233" t="str">
        <f>VLOOKUP(Table9[[#This Row],[Document ID]],Table1[],2,FALSE)</f>
        <v>FJI</v>
      </c>
      <c r="C109" s="233" t="str">
        <f>VLOOKUP(Table9[[#This Row],[Document ID]],Table1[],3,FALSE)</f>
        <v>Fiji</v>
      </c>
      <c r="D109" s="254" t="str">
        <f>VLOOKUP(Table9[[#This Row],[Document ID]],Table1[],5,FALSE)</f>
        <v>LTS</v>
      </c>
      <c r="E109" s="233" t="str">
        <f>VLOOKUP(Table9[[#This Row],[Document ID]],Table1[],7,FALSE)</f>
        <v>LTS</v>
      </c>
      <c r="F109" s="241" t="str">
        <f>VLOOKUP(Table9[[#This Row],[Document ID]],Table1[],8,FALSE)</f>
        <v>LTS 1.0</v>
      </c>
      <c r="G109" s="241" t="str">
        <f>VLOOKUP(Table9[[#This Row],[Document ID]],Table1[],10,FALSE)</f>
        <v>Active</v>
      </c>
      <c r="H109" s="44" t="s">
        <v>5072</v>
      </c>
      <c r="I109" s="43" t="s">
        <v>5073</v>
      </c>
      <c r="J109" s="44" t="s">
        <v>5184</v>
      </c>
      <c r="K109" s="221">
        <v>188</v>
      </c>
      <c r="L109" s="113"/>
      <c r="M109" s="113"/>
      <c r="N109" s="113"/>
      <c r="O109" s="113"/>
      <c r="P109" s="113"/>
      <c r="Q109" s="113"/>
      <c r="R109" s="113"/>
      <c r="S109" s="113"/>
      <c r="T109" s="113"/>
      <c r="U109" s="113"/>
      <c r="V109" s="113"/>
      <c r="W109" s="113"/>
      <c r="X109" s="113"/>
      <c r="Y109" s="113"/>
      <c r="Z109" s="113"/>
      <c r="AA109" s="113"/>
      <c r="AB109" s="113" t="s">
        <v>1113</v>
      </c>
      <c r="AC109" s="113"/>
      <c r="AD109" s="113"/>
      <c r="AE109" s="113"/>
      <c r="AF109" s="113"/>
      <c r="AG109" s="113"/>
      <c r="AH109" s="113"/>
      <c r="AI109" s="113" t="s">
        <v>1113</v>
      </c>
      <c r="AJ109" s="113"/>
      <c r="AK109" s="113"/>
      <c r="AL109" s="113"/>
      <c r="AM109" s="43" t="s">
        <v>5075</v>
      </c>
      <c r="AN109" s="233" t="str">
        <f>VLOOKUP(Table9[[#This Row],[Measure]],Table1025[[Value name]:[Value identifyer]],2,FALSE)</f>
        <v>R_System</v>
      </c>
      <c r="AO109" s="241" t="str">
        <f>VLOOKUP(Table9[[#This Row],[Country Code]],Table29[],3,FALSE)</f>
        <v>Non-Annex I</v>
      </c>
      <c r="AP109" s="241" t="str">
        <f>VLOOKUP(Table9[[#This Row],[Country Code]],Table29[],4,FALSE)</f>
        <v>Oceania</v>
      </c>
      <c r="AQ109" s="241" t="str">
        <f>VLOOKUP(Table9[[#This Row],[Country Code]],Table29[],5,FALSE)</f>
        <v>Middle-income</v>
      </c>
      <c r="AR109" s="241" t="str">
        <f>VLOOKUP(Table9[[#This Row],[Country Code]],Table29[],6,FALSE)</f>
        <v>no</v>
      </c>
      <c r="AS109" s="241" t="str">
        <f>VLOOKUP(Table9[[#This Row],[Country Code]],Table29[],7,FALSE)</f>
        <v>no</v>
      </c>
      <c r="AT109" s="241" t="str">
        <f>VLOOKUP(Table9[[#This Row],[Country Code]],Table29[],8,FALSE)</f>
        <v>non-OECD</v>
      </c>
      <c r="AU109" s="233" t="str">
        <f>VLOOKUP(Table9[[#This Row],[Country Code]],Table29[],9,FALSE)</f>
        <v>no</v>
      </c>
      <c r="AV109" s="233" t="str">
        <f>VLOOKUP(Table9[[#This Row],[Country Code]],Table29[],10,FALSE)</f>
        <v>no</v>
      </c>
      <c r="AW109" s="233">
        <f>VLOOKUP(Table9[[#This Row],[Country Code]],Table29[],23,FALSE)</f>
        <v>3.4009927758626</v>
      </c>
      <c r="AX109" s="233">
        <f>VLOOKUP(Table9[[#This Row],[Country Code]],Table29[],24,FALSE)</f>
        <v>1.126237744382208</v>
      </c>
      <c r="AY109" s="43"/>
    </row>
    <row r="110" spans="1:51" ht="30" x14ac:dyDescent="0.25">
      <c r="A110" s="367">
        <v>17600</v>
      </c>
      <c r="B110" s="233" t="str">
        <f>VLOOKUP(Table9[[#This Row],[Document ID]],Table1[],2,FALSE)</f>
        <v>GMB</v>
      </c>
      <c r="C110" s="233" t="str">
        <f>VLOOKUP(Table9[[#This Row],[Document ID]],Table1[],3,FALSE)</f>
        <v>Gambia (Republic of The)</v>
      </c>
      <c r="D110" s="328" t="str">
        <f>VLOOKUP(Table9[[#This Row],[Document ID]],Table1[],5,FALSE)</f>
        <v>NDC</v>
      </c>
      <c r="E110" s="233" t="str">
        <f>VLOOKUP(Table9[[#This Row],[Document ID]],Table1[],7,FALSE)</f>
        <v>First NDC</v>
      </c>
      <c r="F110" s="328" t="str">
        <f>VLOOKUP(Table9[[#This Row],[Document ID]],Table1[],8,FALSE)</f>
        <v>NDC 1.0</v>
      </c>
      <c r="G110" s="328" t="str">
        <f>VLOOKUP(Table9[[#This Row],[Document ID]],Table1[],10,FALSE)</f>
        <v>Archived</v>
      </c>
      <c r="H110" s="44" t="s">
        <v>5072</v>
      </c>
      <c r="I110" s="43" t="s">
        <v>5073</v>
      </c>
      <c r="J110" s="209" t="s">
        <v>5185</v>
      </c>
      <c r="K110" s="257" t="s">
        <v>5081</v>
      </c>
      <c r="L110" s="326"/>
      <c r="M110" s="326"/>
      <c r="N110" s="326"/>
      <c r="O110" s="326"/>
      <c r="P110" s="326"/>
      <c r="Q110" s="326" t="s">
        <v>1113</v>
      </c>
      <c r="R110" s="326"/>
      <c r="S110" s="326"/>
      <c r="T110" s="326"/>
      <c r="U110" s="326"/>
      <c r="V110" s="326"/>
      <c r="W110" s="326"/>
      <c r="X110" s="326"/>
      <c r="Y110" s="326"/>
      <c r="Z110" s="326"/>
      <c r="AA110" s="326"/>
      <c r="AB110" s="326"/>
      <c r="AC110" s="326"/>
      <c r="AD110" s="326"/>
      <c r="AE110" s="326"/>
      <c r="AF110" s="326"/>
      <c r="AG110" s="326"/>
      <c r="AH110" s="326"/>
      <c r="AI110" s="326" t="s">
        <v>1113</v>
      </c>
      <c r="AJ110" s="326"/>
      <c r="AK110" s="326"/>
      <c r="AL110" s="326"/>
      <c r="AM110" s="209" t="s">
        <v>5075</v>
      </c>
      <c r="AN110" s="233" t="str">
        <f>VLOOKUP(Table9[[#This Row],[Measure]],Table1025[[Value name]:[Value identifyer]],2,FALSE)</f>
        <v>R_System</v>
      </c>
      <c r="AO110" s="241" t="str">
        <f>VLOOKUP(Table9[[#This Row],[Country Code]],Table29[],3,FALSE)</f>
        <v>Non-Annex I</v>
      </c>
      <c r="AP110" s="241" t="str">
        <f>VLOOKUP(Table9[[#This Row],[Country Code]],Table29[],4,FALSE)</f>
        <v>Africa</v>
      </c>
      <c r="AQ110" s="241" t="str">
        <f>VLOOKUP(Table9[[#This Row],[Country Code]],Table29[],5,FALSE)</f>
        <v>Low-income</v>
      </c>
      <c r="AR110" s="241" t="str">
        <f>VLOOKUP(Table9[[#This Row],[Country Code]],Table29[],6,FALSE)</f>
        <v>no</v>
      </c>
      <c r="AS110" s="241" t="str">
        <f>VLOOKUP(Table9[[#This Row],[Country Code]],Table29[],7,FALSE)</f>
        <v>no</v>
      </c>
      <c r="AT110" s="241" t="str">
        <f>VLOOKUP(Table9[[#This Row],[Country Code]],Table29[],8,FALSE)</f>
        <v>non-OECD</v>
      </c>
      <c r="AU110" s="233" t="str">
        <f>VLOOKUP(Table9[[#This Row],[Country Code]],Table29[],9,FALSE)</f>
        <v>no</v>
      </c>
      <c r="AV110" s="233" t="str">
        <f>VLOOKUP(Table9[[#This Row],[Country Code]],Table29[],10,FALSE)</f>
        <v>no</v>
      </c>
      <c r="AW110" s="233">
        <f>VLOOKUP(Table9[[#This Row],[Country Code]],Table29[],23,FALSE)</f>
        <v>1.8888012914382</v>
      </c>
      <c r="AX110" s="233">
        <f>VLOOKUP(Table9[[#This Row],[Country Code]],Table29[],24,FALSE)</f>
        <v>0.35129125057719468</v>
      </c>
      <c r="AY110" s="43"/>
    </row>
    <row r="111" spans="1:51" ht="30" x14ac:dyDescent="0.25">
      <c r="A111" s="367">
        <v>22162</v>
      </c>
      <c r="B111" s="233" t="str">
        <f>VLOOKUP(Table9[[#This Row],[Document ID]],Table1[],2,FALSE)</f>
        <v>GMB</v>
      </c>
      <c r="C111" s="233" t="str">
        <f>VLOOKUP(Table9[[#This Row],[Document ID]],Table1[],3,FALSE)</f>
        <v>Gambia (Republic of The)</v>
      </c>
      <c r="D111" s="254" t="str">
        <f>VLOOKUP(Table9[[#This Row],[Document ID]],Table1[],5,FALSE)</f>
        <v>LTS</v>
      </c>
      <c r="E111" s="233" t="str">
        <f>VLOOKUP(Table9[[#This Row],[Document ID]],Table1[],7,FALSE)</f>
        <v>LTS</v>
      </c>
      <c r="F111" s="241" t="str">
        <f>VLOOKUP(Table9[[#This Row],[Document ID]],Table1[],8,FALSE)</f>
        <v>LTS 1.0</v>
      </c>
      <c r="G111" s="241" t="str">
        <f>VLOOKUP(Table9[[#This Row],[Document ID]],Table1[],10,FALSE)</f>
        <v>Active</v>
      </c>
      <c r="H111" s="44" t="s">
        <v>5072</v>
      </c>
      <c r="I111" s="43" t="s">
        <v>5073</v>
      </c>
      <c r="J111" s="209" t="s">
        <v>5186</v>
      </c>
      <c r="K111" s="259">
        <v>23</v>
      </c>
      <c r="L111" s="219"/>
      <c r="M111" s="219"/>
      <c r="N111" s="113"/>
      <c r="O111" s="113"/>
      <c r="P111" s="113"/>
      <c r="Q111" s="113" t="s">
        <v>1113</v>
      </c>
      <c r="R111" s="113"/>
      <c r="S111" s="113"/>
      <c r="T111" s="113"/>
      <c r="U111" s="113"/>
      <c r="V111" s="113"/>
      <c r="W111" s="113"/>
      <c r="X111" s="113"/>
      <c r="Y111" s="113"/>
      <c r="Z111" s="113"/>
      <c r="AA111" s="113"/>
      <c r="AB111" s="113"/>
      <c r="AC111" s="113"/>
      <c r="AD111" s="113"/>
      <c r="AE111" s="113"/>
      <c r="AF111" s="113"/>
      <c r="AG111" s="113"/>
      <c r="AH111" s="113"/>
      <c r="AI111" s="219" t="s">
        <v>1113</v>
      </c>
      <c r="AJ111" s="326"/>
      <c r="AK111" s="326"/>
      <c r="AL111" s="326"/>
      <c r="AM111" s="327" t="s">
        <v>5075</v>
      </c>
      <c r="AN111" s="233" t="str">
        <f>VLOOKUP(Table9[[#This Row],[Measure]],Table1025[[Value name]:[Value identifyer]],2,FALSE)</f>
        <v>R_System</v>
      </c>
      <c r="AO111" s="241" t="str">
        <f>VLOOKUP(Table9[[#This Row],[Country Code]],Table29[],3,FALSE)</f>
        <v>Non-Annex I</v>
      </c>
      <c r="AP111" s="241" t="str">
        <f>VLOOKUP(Table9[[#This Row],[Country Code]],Table29[],4,FALSE)</f>
        <v>Africa</v>
      </c>
      <c r="AQ111" s="241" t="str">
        <f>VLOOKUP(Table9[[#This Row],[Country Code]],Table29[],5,FALSE)</f>
        <v>Low-income</v>
      </c>
      <c r="AR111" s="241" t="str">
        <f>VLOOKUP(Table9[[#This Row],[Country Code]],Table29[],6,FALSE)</f>
        <v>no</v>
      </c>
      <c r="AS111" s="241" t="str">
        <f>VLOOKUP(Table9[[#This Row],[Country Code]],Table29[],7,FALSE)</f>
        <v>no</v>
      </c>
      <c r="AT111" s="241" t="str">
        <f>VLOOKUP(Table9[[#This Row],[Country Code]],Table29[],8,FALSE)</f>
        <v>non-OECD</v>
      </c>
      <c r="AU111" s="233" t="str">
        <f>VLOOKUP(Table9[[#This Row],[Country Code]],Table29[],9,FALSE)</f>
        <v>no</v>
      </c>
      <c r="AV111" s="233" t="str">
        <f>VLOOKUP(Table9[[#This Row],[Country Code]],Table29[],10,FALSE)</f>
        <v>no</v>
      </c>
      <c r="AW111" s="233">
        <f>VLOOKUP(Table9[[#This Row],[Country Code]],Table29[],23,FALSE)</f>
        <v>1.8888012914382</v>
      </c>
      <c r="AX111" s="233">
        <f>VLOOKUP(Table9[[#This Row],[Country Code]],Table29[],24,FALSE)</f>
        <v>0.35129125057719468</v>
      </c>
      <c r="AY111" s="43"/>
    </row>
    <row r="112" spans="1:51" x14ac:dyDescent="0.25">
      <c r="A112" s="368">
        <v>22162</v>
      </c>
      <c r="B112" s="233" t="str">
        <f>VLOOKUP(Table9[[#This Row],[Document ID]],Table1[],2,FALSE)</f>
        <v>GMB</v>
      </c>
      <c r="C112" s="233" t="str">
        <f>VLOOKUP(Table9[[#This Row],[Document ID]],Table1[],3,FALSE)</f>
        <v>Gambia (Republic of The)</v>
      </c>
      <c r="D112" s="241" t="str">
        <f>VLOOKUP(Table9[[#This Row],[Document ID]],Table1[],5,FALSE)</f>
        <v>LTS</v>
      </c>
      <c r="E112" s="233" t="str">
        <f>VLOOKUP(Table9[[#This Row],[Document ID]],Table1[],7,FALSE)</f>
        <v>LTS</v>
      </c>
      <c r="F112" s="241" t="str">
        <f>VLOOKUP(Table9[[#This Row],[Document ID]],Table1[],8,FALSE)</f>
        <v>LTS 1.0</v>
      </c>
      <c r="G112" s="241" t="str">
        <f>VLOOKUP(Table9[[#This Row],[Document ID]],Table1[],10,FALSE)</f>
        <v>Active</v>
      </c>
      <c r="H112" s="44" t="s">
        <v>5072</v>
      </c>
      <c r="I112" s="43" t="s">
        <v>5073</v>
      </c>
      <c r="J112" s="209" t="s">
        <v>5187</v>
      </c>
      <c r="K112" s="259">
        <v>50</v>
      </c>
      <c r="L112" s="219"/>
      <c r="M112" s="219"/>
      <c r="N112" s="113"/>
      <c r="O112" s="113"/>
      <c r="P112" s="113"/>
      <c r="Q112" s="113"/>
      <c r="R112" s="113" t="s">
        <v>1113</v>
      </c>
      <c r="S112" s="113" t="s">
        <v>1113</v>
      </c>
      <c r="T112" s="113"/>
      <c r="U112" s="113"/>
      <c r="V112" s="113"/>
      <c r="W112" s="113"/>
      <c r="X112" s="113"/>
      <c r="Y112" s="113"/>
      <c r="Z112" s="113"/>
      <c r="AA112" s="113"/>
      <c r="AB112" s="113"/>
      <c r="AC112" s="113"/>
      <c r="AD112" s="113"/>
      <c r="AE112" s="113"/>
      <c r="AF112" s="113"/>
      <c r="AG112" s="113"/>
      <c r="AH112" s="113"/>
      <c r="AI112" s="219" t="s">
        <v>1113</v>
      </c>
      <c r="AJ112" s="326"/>
      <c r="AK112" s="326"/>
      <c r="AL112" s="326"/>
      <c r="AM112" s="209" t="s">
        <v>5075</v>
      </c>
      <c r="AN112" s="233" t="str">
        <f>VLOOKUP(Table9[[#This Row],[Measure]],Table1025[[Value name]:[Value identifyer]],2,FALSE)</f>
        <v>R_System</v>
      </c>
      <c r="AO112" s="241" t="str">
        <f>VLOOKUP(Table9[[#This Row],[Country Code]],Table29[],3,FALSE)</f>
        <v>Non-Annex I</v>
      </c>
      <c r="AP112" s="241" t="str">
        <f>VLOOKUP(Table9[[#This Row],[Country Code]],Table29[],4,FALSE)</f>
        <v>Africa</v>
      </c>
      <c r="AQ112" s="241" t="str">
        <f>VLOOKUP(Table9[[#This Row],[Country Code]],Table29[],5,FALSE)</f>
        <v>Low-income</v>
      </c>
      <c r="AR112" s="241" t="str">
        <f>VLOOKUP(Table9[[#This Row],[Country Code]],Table29[],6,FALSE)</f>
        <v>no</v>
      </c>
      <c r="AS112" s="241" t="str">
        <f>VLOOKUP(Table9[[#This Row],[Country Code]],Table29[],7,FALSE)</f>
        <v>no</v>
      </c>
      <c r="AT112" s="241" t="str">
        <f>VLOOKUP(Table9[[#This Row],[Country Code]],Table29[],8,FALSE)</f>
        <v>non-OECD</v>
      </c>
      <c r="AU112" s="233" t="str">
        <f>VLOOKUP(Table9[[#This Row],[Country Code]],Table29[],9,FALSE)</f>
        <v>no</v>
      </c>
      <c r="AV112" s="233" t="str">
        <f>VLOOKUP(Table9[[#This Row],[Country Code]],Table29[],10,FALSE)</f>
        <v>no</v>
      </c>
      <c r="AW112" s="233">
        <f>VLOOKUP(Table9[[#This Row],[Country Code]],Table29[],23,FALSE)</f>
        <v>1.8888012914382</v>
      </c>
      <c r="AX112" s="233">
        <f>VLOOKUP(Table9[[#This Row],[Country Code]],Table29[],24,FALSE)</f>
        <v>0.35129125057719468</v>
      </c>
      <c r="AY112" s="43"/>
    </row>
    <row r="113" spans="1:51" x14ac:dyDescent="0.25">
      <c r="A113" s="368">
        <v>22162</v>
      </c>
      <c r="B113" s="233" t="str">
        <f>VLOOKUP(Table9[[#This Row],[Document ID]],Table1[],2,FALSE)</f>
        <v>GMB</v>
      </c>
      <c r="C113" s="233" t="str">
        <f>VLOOKUP(Table9[[#This Row],[Document ID]],Table1[],3,FALSE)</f>
        <v>Gambia (Republic of The)</v>
      </c>
      <c r="D113" s="241" t="str">
        <f>VLOOKUP(Table9[[#This Row],[Document ID]],Table1[],5,FALSE)</f>
        <v>LTS</v>
      </c>
      <c r="E113" s="233" t="str">
        <f>VLOOKUP(Table9[[#This Row],[Document ID]],Table1[],7,FALSE)</f>
        <v>LTS</v>
      </c>
      <c r="F113" s="241" t="str">
        <f>VLOOKUP(Table9[[#This Row],[Document ID]],Table1[],8,FALSE)</f>
        <v>LTS 1.0</v>
      </c>
      <c r="G113" s="241" t="str">
        <f>VLOOKUP(Table9[[#This Row],[Document ID]],Table1[],10,FALSE)</f>
        <v>Active</v>
      </c>
      <c r="H113" s="44" t="s">
        <v>5072</v>
      </c>
      <c r="I113" s="43" t="s">
        <v>5097</v>
      </c>
      <c r="J113" s="209" t="s">
        <v>5188</v>
      </c>
      <c r="K113" s="259">
        <v>51</v>
      </c>
      <c r="L113" s="219"/>
      <c r="M113" s="219"/>
      <c r="N113" s="113"/>
      <c r="O113" s="113"/>
      <c r="P113" s="113"/>
      <c r="Q113" s="113" t="s">
        <v>1113</v>
      </c>
      <c r="R113" s="113"/>
      <c r="S113" s="113"/>
      <c r="T113" s="113"/>
      <c r="U113" s="113"/>
      <c r="V113" s="113"/>
      <c r="W113" s="113"/>
      <c r="X113" s="113"/>
      <c r="Y113" s="113"/>
      <c r="Z113" s="113"/>
      <c r="AA113" s="113"/>
      <c r="AB113" s="113"/>
      <c r="AC113" s="113"/>
      <c r="AD113" s="113"/>
      <c r="AE113" s="113"/>
      <c r="AF113" s="113"/>
      <c r="AG113" s="113"/>
      <c r="AH113" s="113"/>
      <c r="AI113" s="219" t="s">
        <v>1113</v>
      </c>
      <c r="AJ113" s="326"/>
      <c r="AK113" s="326"/>
      <c r="AL113" s="326"/>
      <c r="AM113" s="209" t="s">
        <v>5075</v>
      </c>
      <c r="AN113" s="233" t="str">
        <f>VLOOKUP(Table9[[#This Row],[Measure]],Table1025[[Value name]:[Value identifyer]],2,FALSE)</f>
        <v>R_Tech</v>
      </c>
      <c r="AO113" s="241" t="str">
        <f>VLOOKUP(Table9[[#This Row],[Country Code]],Table29[],3,FALSE)</f>
        <v>Non-Annex I</v>
      </c>
      <c r="AP113" s="241" t="str">
        <f>VLOOKUP(Table9[[#This Row],[Country Code]],Table29[],4,FALSE)</f>
        <v>Africa</v>
      </c>
      <c r="AQ113" s="241" t="str">
        <f>VLOOKUP(Table9[[#This Row],[Country Code]],Table29[],5,FALSE)</f>
        <v>Low-income</v>
      </c>
      <c r="AR113" s="241" t="str">
        <f>VLOOKUP(Table9[[#This Row],[Country Code]],Table29[],6,FALSE)</f>
        <v>no</v>
      </c>
      <c r="AS113" s="241" t="str">
        <f>VLOOKUP(Table9[[#This Row],[Country Code]],Table29[],7,FALSE)</f>
        <v>no</v>
      </c>
      <c r="AT113" s="241" t="str">
        <f>VLOOKUP(Table9[[#This Row],[Country Code]],Table29[],8,FALSE)</f>
        <v>non-OECD</v>
      </c>
      <c r="AU113" s="233" t="str">
        <f>VLOOKUP(Table9[[#This Row],[Country Code]],Table29[],9,FALSE)</f>
        <v>no</v>
      </c>
      <c r="AV113" s="233" t="str">
        <f>VLOOKUP(Table9[[#This Row],[Country Code]],Table29[],10,FALSE)</f>
        <v>no</v>
      </c>
      <c r="AW113" s="233">
        <f>VLOOKUP(Table9[[#This Row],[Country Code]],Table29[],23,FALSE)</f>
        <v>1.8888012914382</v>
      </c>
      <c r="AX113" s="233">
        <f>VLOOKUP(Table9[[#This Row],[Country Code]],Table29[],24,FALSE)</f>
        <v>0.35129125057719468</v>
      </c>
      <c r="AY113" s="43"/>
    </row>
    <row r="114" spans="1:51" x14ac:dyDescent="0.25">
      <c r="A114" s="368">
        <v>22162</v>
      </c>
      <c r="B114" s="233" t="str">
        <f>VLOOKUP(Table9[[#This Row],[Document ID]],Table1[],2,FALSE)</f>
        <v>GMB</v>
      </c>
      <c r="C114" s="233" t="str">
        <f>VLOOKUP(Table9[[#This Row],[Document ID]],Table1[],3,FALSE)</f>
        <v>Gambia (Republic of The)</v>
      </c>
      <c r="D114" s="241" t="str">
        <f>VLOOKUP(Table9[[#This Row],[Document ID]],Table1[],5,FALSE)</f>
        <v>LTS</v>
      </c>
      <c r="E114" s="233" t="str">
        <f>VLOOKUP(Table9[[#This Row],[Document ID]],Table1[],7,FALSE)</f>
        <v>LTS</v>
      </c>
      <c r="F114" s="241" t="str">
        <f>VLOOKUP(Table9[[#This Row],[Document ID]],Table1[],8,FALSE)</f>
        <v>LTS 1.0</v>
      </c>
      <c r="G114" s="241" t="str">
        <f>VLOOKUP(Table9[[#This Row],[Document ID]],Table1[],10,FALSE)</f>
        <v>Active</v>
      </c>
      <c r="H114" s="44" t="s">
        <v>5072</v>
      </c>
      <c r="I114" s="43" t="s">
        <v>5097</v>
      </c>
      <c r="J114" s="209" t="s">
        <v>5189</v>
      </c>
      <c r="K114" s="259">
        <v>51</v>
      </c>
      <c r="L114" s="219"/>
      <c r="M114" s="219"/>
      <c r="N114" s="113"/>
      <c r="O114" s="113"/>
      <c r="P114" s="113"/>
      <c r="Q114" s="113" t="s">
        <v>1113</v>
      </c>
      <c r="R114" s="113"/>
      <c r="S114" s="113"/>
      <c r="T114" s="113"/>
      <c r="U114" s="113"/>
      <c r="V114" s="113"/>
      <c r="W114" s="113"/>
      <c r="X114" s="113"/>
      <c r="Y114" s="113"/>
      <c r="Z114" s="113"/>
      <c r="AA114" s="113"/>
      <c r="AB114" s="113"/>
      <c r="AC114" s="113"/>
      <c r="AD114" s="113"/>
      <c r="AE114" s="113"/>
      <c r="AF114" s="113"/>
      <c r="AG114" s="113"/>
      <c r="AH114" s="113"/>
      <c r="AI114" s="219" t="s">
        <v>1113</v>
      </c>
      <c r="AJ114" s="326"/>
      <c r="AK114" s="326"/>
      <c r="AL114" s="326"/>
      <c r="AM114" s="209" t="s">
        <v>5075</v>
      </c>
      <c r="AN114" s="233" t="str">
        <f>VLOOKUP(Table9[[#This Row],[Measure]],Table1025[[Value name]:[Value identifyer]],2,FALSE)</f>
        <v>R_Tech</v>
      </c>
      <c r="AO114" s="241" t="str">
        <f>VLOOKUP(Table9[[#This Row],[Country Code]],Table29[],3,FALSE)</f>
        <v>Non-Annex I</v>
      </c>
      <c r="AP114" s="241" t="str">
        <f>VLOOKUP(Table9[[#This Row],[Country Code]],Table29[],4,FALSE)</f>
        <v>Africa</v>
      </c>
      <c r="AQ114" s="241" t="str">
        <f>VLOOKUP(Table9[[#This Row],[Country Code]],Table29[],5,FALSE)</f>
        <v>Low-income</v>
      </c>
      <c r="AR114" s="241" t="str">
        <f>VLOOKUP(Table9[[#This Row],[Country Code]],Table29[],6,FALSE)</f>
        <v>no</v>
      </c>
      <c r="AS114" s="241" t="str">
        <f>VLOOKUP(Table9[[#This Row],[Country Code]],Table29[],7,FALSE)</f>
        <v>no</v>
      </c>
      <c r="AT114" s="241" t="str">
        <f>VLOOKUP(Table9[[#This Row],[Country Code]],Table29[],8,FALSE)</f>
        <v>non-OECD</v>
      </c>
      <c r="AU114" s="233" t="str">
        <f>VLOOKUP(Table9[[#This Row],[Country Code]],Table29[],9,FALSE)</f>
        <v>no</v>
      </c>
      <c r="AV114" s="233" t="str">
        <f>VLOOKUP(Table9[[#This Row],[Country Code]],Table29[],10,FALSE)</f>
        <v>no</v>
      </c>
      <c r="AW114" s="233">
        <f>VLOOKUP(Table9[[#This Row],[Country Code]],Table29[],23,FALSE)</f>
        <v>1.8888012914382</v>
      </c>
      <c r="AX114" s="233">
        <f>VLOOKUP(Table9[[#This Row],[Country Code]],Table29[],24,FALSE)</f>
        <v>0.35129125057719468</v>
      </c>
      <c r="AY114" s="43"/>
    </row>
    <row r="115" spans="1:51" x14ac:dyDescent="0.25">
      <c r="A115" s="368">
        <v>22162</v>
      </c>
      <c r="B115" s="233" t="str">
        <f>VLOOKUP(Table9[[#This Row],[Document ID]],Table1[],2,FALSE)</f>
        <v>GMB</v>
      </c>
      <c r="C115" s="233" t="str">
        <f>VLOOKUP(Table9[[#This Row],[Document ID]],Table1[],3,FALSE)</f>
        <v>Gambia (Republic of The)</v>
      </c>
      <c r="D115" s="241" t="str">
        <f>VLOOKUP(Table9[[#This Row],[Document ID]],Table1[],5,FALSE)</f>
        <v>LTS</v>
      </c>
      <c r="E115" s="233" t="str">
        <f>VLOOKUP(Table9[[#This Row],[Document ID]],Table1[],7,FALSE)</f>
        <v>LTS</v>
      </c>
      <c r="F115" s="241" t="str">
        <f>VLOOKUP(Table9[[#This Row],[Document ID]],Table1[],8,FALSE)</f>
        <v>LTS 1.0</v>
      </c>
      <c r="G115" s="241" t="str">
        <f>VLOOKUP(Table9[[#This Row],[Document ID]],Table1[],10,FALSE)</f>
        <v>Active</v>
      </c>
      <c r="H115" s="44" t="s">
        <v>5072</v>
      </c>
      <c r="I115" s="43" t="s">
        <v>5097</v>
      </c>
      <c r="J115" s="209" t="s">
        <v>5190</v>
      </c>
      <c r="K115" s="259">
        <v>51</v>
      </c>
      <c r="L115" s="219"/>
      <c r="M115" s="219"/>
      <c r="N115" s="113"/>
      <c r="O115" s="113"/>
      <c r="P115" s="113"/>
      <c r="Q115" s="113" t="s">
        <v>1113</v>
      </c>
      <c r="R115" s="113"/>
      <c r="S115" s="113"/>
      <c r="T115" s="113"/>
      <c r="U115" s="113"/>
      <c r="V115" s="113"/>
      <c r="W115" s="113"/>
      <c r="X115" s="113"/>
      <c r="Y115" s="113"/>
      <c r="Z115" s="113"/>
      <c r="AA115" s="113"/>
      <c r="AB115" s="113"/>
      <c r="AC115" s="113"/>
      <c r="AD115" s="113"/>
      <c r="AE115" s="113"/>
      <c r="AF115" s="113"/>
      <c r="AG115" s="113"/>
      <c r="AH115" s="113"/>
      <c r="AI115" s="219" t="s">
        <v>1113</v>
      </c>
      <c r="AJ115" s="326"/>
      <c r="AK115" s="326"/>
      <c r="AL115" s="326"/>
      <c r="AM115" s="209" t="s">
        <v>5075</v>
      </c>
      <c r="AN115" s="233" t="str">
        <f>VLOOKUP(Table9[[#This Row],[Measure]],Table1025[[Value name]:[Value identifyer]],2,FALSE)</f>
        <v>R_Tech</v>
      </c>
      <c r="AO115" s="241" t="str">
        <f>VLOOKUP(Table9[[#This Row],[Country Code]],Table29[],3,FALSE)</f>
        <v>Non-Annex I</v>
      </c>
      <c r="AP115" s="241" t="str">
        <f>VLOOKUP(Table9[[#This Row],[Country Code]],Table29[],4,FALSE)</f>
        <v>Africa</v>
      </c>
      <c r="AQ115" s="241" t="str">
        <f>VLOOKUP(Table9[[#This Row],[Country Code]],Table29[],5,FALSE)</f>
        <v>Low-income</v>
      </c>
      <c r="AR115" s="241" t="str">
        <f>VLOOKUP(Table9[[#This Row],[Country Code]],Table29[],6,FALSE)</f>
        <v>no</v>
      </c>
      <c r="AS115" s="241" t="str">
        <f>VLOOKUP(Table9[[#This Row],[Country Code]],Table29[],7,FALSE)</f>
        <v>no</v>
      </c>
      <c r="AT115" s="241" t="str">
        <f>VLOOKUP(Table9[[#This Row],[Country Code]],Table29[],8,FALSE)</f>
        <v>non-OECD</v>
      </c>
      <c r="AU115" s="233" t="str">
        <f>VLOOKUP(Table9[[#This Row],[Country Code]],Table29[],9,FALSE)</f>
        <v>no</v>
      </c>
      <c r="AV115" s="233" t="str">
        <f>VLOOKUP(Table9[[#This Row],[Country Code]],Table29[],10,FALSE)</f>
        <v>no</v>
      </c>
      <c r="AW115" s="233">
        <f>VLOOKUP(Table9[[#This Row],[Country Code]],Table29[],23,FALSE)</f>
        <v>1.8888012914382</v>
      </c>
      <c r="AX115" s="233">
        <f>VLOOKUP(Table9[[#This Row],[Country Code]],Table29[],24,FALSE)</f>
        <v>0.35129125057719468</v>
      </c>
      <c r="AY115" s="43"/>
    </row>
    <row r="116" spans="1:51" x14ac:dyDescent="0.25">
      <c r="A116" s="368">
        <v>22162</v>
      </c>
      <c r="B116" s="233" t="str">
        <f>VLOOKUP(Table9[[#This Row],[Document ID]],Table1[],2,FALSE)</f>
        <v>GMB</v>
      </c>
      <c r="C116" s="233" t="str">
        <f>VLOOKUP(Table9[[#This Row],[Document ID]],Table1[],3,FALSE)</f>
        <v>Gambia (Republic of The)</v>
      </c>
      <c r="D116" s="241" t="str">
        <f>VLOOKUP(Table9[[#This Row],[Document ID]],Table1[],5,FALSE)</f>
        <v>LTS</v>
      </c>
      <c r="E116" s="233" t="str">
        <f>VLOOKUP(Table9[[#This Row],[Document ID]],Table1[],7,FALSE)</f>
        <v>LTS</v>
      </c>
      <c r="F116" s="241" t="str">
        <f>VLOOKUP(Table9[[#This Row],[Document ID]],Table1[],8,FALSE)</f>
        <v>LTS 1.0</v>
      </c>
      <c r="G116" s="241" t="str">
        <f>VLOOKUP(Table9[[#This Row],[Document ID]],Table1[],10,FALSE)</f>
        <v>Active</v>
      </c>
      <c r="H116" s="44" t="s">
        <v>5072</v>
      </c>
      <c r="I116" s="43" t="s">
        <v>5097</v>
      </c>
      <c r="J116" s="209" t="s">
        <v>5191</v>
      </c>
      <c r="K116" s="259">
        <v>51</v>
      </c>
      <c r="L116" s="219"/>
      <c r="M116" s="219"/>
      <c r="N116" s="113"/>
      <c r="O116" s="113"/>
      <c r="P116" s="113"/>
      <c r="Q116" s="113" t="s">
        <v>1113</v>
      </c>
      <c r="R116" s="113"/>
      <c r="S116" s="113"/>
      <c r="T116" s="113"/>
      <c r="U116" s="113"/>
      <c r="V116" s="113"/>
      <c r="W116" s="113"/>
      <c r="X116" s="113"/>
      <c r="Y116" s="113"/>
      <c r="Z116" s="113"/>
      <c r="AA116" s="113"/>
      <c r="AB116" s="113"/>
      <c r="AC116" s="113"/>
      <c r="AD116" s="113"/>
      <c r="AE116" s="113"/>
      <c r="AF116" s="113"/>
      <c r="AG116" s="113"/>
      <c r="AH116" s="113"/>
      <c r="AI116" s="219" t="s">
        <v>1113</v>
      </c>
      <c r="AJ116" s="326"/>
      <c r="AK116" s="326"/>
      <c r="AL116" s="326"/>
      <c r="AM116" s="209" t="s">
        <v>5075</v>
      </c>
      <c r="AN116" s="233" t="str">
        <f>VLOOKUP(Table9[[#This Row],[Measure]],Table1025[[Value name]:[Value identifyer]],2,FALSE)</f>
        <v>R_Tech</v>
      </c>
      <c r="AO116" s="241" t="str">
        <f>VLOOKUP(Table9[[#This Row],[Country Code]],Table29[],3,FALSE)</f>
        <v>Non-Annex I</v>
      </c>
      <c r="AP116" s="241" t="str">
        <f>VLOOKUP(Table9[[#This Row],[Country Code]],Table29[],4,FALSE)</f>
        <v>Africa</v>
      </c>
      <c r="AQ116" s="241" t="str">
        <f>VLOOKUP(Table9[[#This Row],[Country Code]],Table29[],5,FALSE)</f>
        <v>Low-income</v>
      </c>
      <c r="AR116" s="241" t="str">
        <f>VLOOKUP(Table9[[#This Row],[Country Code]],Table29[],6,FALSE)</f>
        <v>no</v>
      </c>
      <c r="AS116" s="241" t="str">
        <f>VLOOKUP(Table9[[#This Row],[Country Code]],Table29[],7,FALSE)</f>
        <v>no</v>
      </c>
      <c r="AT116" s="241" t="str">
        <f>VLOOKUP(Table9[[#This Row],[Country Code]],Table29[],8,FALSE)</f>
        <v>non-OECD</v>
      </c>
      <c r="AU116" s="233" t="str">
        <f>VLOOKUP(Table9[[#This Row],[Country Code]],Table29[],9,FALSE)</f>
        <v>no</v>
      </c>
      <c r="AV116" s="233" t="str">
        <f>VLOOKUP(Table9[[#This Row],[Country Code]],Table29[],10,FALSE)</f>
        <v>no</v>
      </c>
      <c r="AW116" s="233">
        <f>VLOOKUP(Table9[[#This Row],[Country Code]],Table29[],23,FALSE)</f>
        <v>1.8888012914382</v>
      </c>
      <c r="AX116" s="233">
        <f>VLOOKUP(Table9[[#This Row],[Country Code]],Table29[],24,FALSE)</f>
        <v>0.35129125057719468</v>
      </c>
      <c r="AY116" s="43"/>
    </row>
    <row r="117" spans="1:51" x14ac:dyDescent="0.25">
      <c r="A117" s="368">
        <v>22162</v>
      </c>
      <c r="B117" s="233" t="str">
        <f>VLOOKUP(Table9[[#This Row],[Document ID]],Table1[],2,FALSE)</f>
        <v>GMB</v>
      </c>
      <c r="C117" s="233" t="str">
        <f>VLOOKUP(Table9[[#This Row],[Document ID]],Table1[],3,FALSE)</f>
        <v>Gambia (Republic of The)</v>
      </c>
      <c r="D117" s="241" t="str">
        <f>VLOOKUP(Table9[[#This Row],[Document ID]],Table1[],5,FALSE)</f>
        <v>LTS</v>
      </c>
      <c r="E117" s="233" t="str">
        <f>VLOOKUP(Table9[[#This Row],[Document ID]],Table1[],7,FALSE)</f>
        <v>LTS</v>
      </c>
      <c r="F117" s="241" t="str">
        <f>VLOOKUP(Table9[[#This Row],[Document ID]],Table1[],8,FALSE)</f>
        <v>LTS 1.0</v>
      </c>
      <c r="G117" s="241" t="str">
        <f>VLOOKUP(Table9[[#This Row],[Document ID]],Table1[],10,FALSE)</f>
        <v>Active</v>
      </c>
      <c r="H117" s="44" t="s">
        <v>5072</v>
      </c>
      <c r="I117" s="43" t="s">
        <v>5097</v>
      </c>
      <c r="J117" s="209" t="s">
        <v>5192</v>
      </c>
      <c r="K117" s="259">
        <v>51</v>
      </c>
      <c r="L117" s="219"/>
      <c r="M117" s="219"/>
      <c r="N117" s="113"/>
      <c r="O117" s="113"/>
      <c r="P117" s="113"/>
      <c r="Q117" s="113" t="s">
        <v>1113</v>
      </c>
      <c r="R117" s="113"/>
      <c r="S117" s="113"/>
      <c r="T117" s="113"/>
      <c r="U117" s="113"/>
      <c r="V117" s="113"/>
      <c r="W117" s="113"/>
      <c r="X117" s="113"/>
      <c r="Y117" s="113"/>
      <c r="Z117" s="113"/>
      <c r="AA117" s="113"/>
      <c r="AB117" s="113"/>
      <c r="AC117" s="113"/>
      <c r="AD117" s="113"/>
      <c r="AE117" s="113"/>
      <c r="AF117" s="113"/>
      <c r="AG117" s="113"/>
      <c r="AH117" s="113"/>
      <c r="AI117" s="219" t="s">
        <v>1113</v>
      </c>
      <c r="AJ117" s="326"/>
      <c r="AK117" s="326"/>
      <c r="AL117" s="326"/>
      <c r="AM117" s="209" t="s">
        <v>5075</v>
      </c>
      <c r="AN117" s="233" t="str">
        <f>VLOOKUP(Table9[[#This Row],[Measure]],Table1025[[Value name]:[Value identifyer]],2,FALSE)</f>
        <v>R_Tech</v>
      </c>
      <c r="AO117" s="241" t="str">
        <f>VLOOKUP(Table9[[#This Row],[Country Code]],Table29[],3,FALSE)</f>
        <v>Non-Annex I</v>
      </c>
      <c r="AP117" s="241" t="str">
        <f>VLOOKUP(Table9[[#This Row],[Country Code]],Table29[],4,FALSE)</f>
        <v>Africa</v>
      </c>
      <c r="AQ117" s="241" t="str">
        <f>VLOOKUP(Table9[[#This Row],[Country Code]],Table29[],5,FALSE)</f>
        <v>Low-income</v>
      </c>
      <c r="AR117" s="241" t="str">
        <f>VLOOKUP(Table9[[#This Row],[Country Code]],Table29[],6,FALSE)</f>
        <v>no</v>
      </c>
      <c r="AS117" s="241" t="str">
        <f>VLOOKUP(Table9[[#This Row],[Country Code]],Table29[],7,FALSE)</f>
        <v>no</v>
      </c>
      <c r="AT117" s="241" t="str">
        <f>VLOOKUP(Table9[[#This Row],[Country Code]],Table29[],8,FALSE)</f>
        <v>non-OECD</v>
      </c>
      <c r="AU117" s="233" t="str">
        <f>VLOOKUP(Table9[[#This Row],[Country Code]],Table29[],9,FALSE)</f>
        <v>no</v>
      </c>
      <c r="AV117" s="233" t="str">
        <f>VLOOKUP(Table9[[#This Row],[Country Code]],Table29[],10,FALSE)</f>
        <v>no</v>
      </c>
      <c r="AW117" s="233">
        <f>VLOOKUP(Table9[[#This Row],[Country Code]],Table29[],23,FALSE)</f>
        <v>1.8888012914382</v>
      </c>
      <c r="AX117" s="233">
        <f>VLOOKUP(Table9[[#This Row],[Country Code]],Table29[],24,FALSE)</f>
        <v>0.35129125057719468</v>
      </c>
      <c r="AY117" s="43"/>
    </row>
    <row r="118" spans="1:51" x14ac:dyDescent="0.25">
      <c r="A118" s="368">
        <v>22162</v>
      </c>
      <c r="B118" s="233" t="str">
        <f>VLOOKUP(Table9[[#This Row],[Document ID]],Table1[],2,FALSE)</f>
        <v>GMB</v>
      </c>
      <c r="C118" s="233" t="str">
        <f>VLOOKUP(Table9[[#This Row],[Document ID]],Table1[],3,FALSE)</f>
        <v>Gambia (Republic of The)</v>
      </c>
      <c r="D118" s="241" t="str">
        <f>VLOOKUP(Table9[[#This Row],[Document ID]],Table1[],5,FALSE)</f>
        <v>LTS</v>
      </c>
      <c r="E118" s="233" t="str">
        <f>VLOOKUP(Table9[[#This Row],[Document ID]],Table1[],7,FALSE)</f>
        <v>LTS</v>
      </c>
      <c r="F118" s="241" t="str">
        <f>VLOOKUP(Table9[[#This Row],[Document ID]],Table1[],8,FALSE)</f>
        <v>LTS 1.0</v>
      </c>
      <c r="G118" s="241" t="str">
        <f>VLOOKUP(Table9[[#This Row],[Document ID]],Table1[],10,FALSE)</f>
        <v>Active</v>
      </c>
      <c r="H118" s="44" t="s">
        <v>5072</v>
      </c>
      <c r="I118" s="43" t="s">
        <v>5073</v>
      </c>
      <c r="J118" s="209" t="s">
        <v>5193</v>
      </c>
      <c r="K118" s="259">
        <v>51</v>
      </c>
      <c r="L118" s="219" t="s">
        <v>1113</v>
      </c>
      <c r="M118" s="219"/>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219" t="s">
        <v>1113</v>
      </c>
      <c r="AJ118" s="326"/>
      <c r="AK118" s="326"/>
      <c r="AL118" s="326"/>
      <c r="AM118" s="209" t="s">
        <v>5119</v>
      </c>
      <c r="AN118" s="233" t="str">
        <f>VLOOKUP(Table9[[#This Row],[Measure]],Table1025[[Value name]:[Value identifyer]],2,FALSE)</f>
        <v>R_System</v>
      </c>
      <c r="AO118" s="241" t="str">
        <f>VLOOKUP(Table9[[#This Row],[Country Code]],Table29[],3,FALSE)</f>
        <v>Non-Annex I</v>
      </c>
      <c r="AP118" s="241" t="str">
        <f>VLOOKUP(Table9[[#This Row],[Country Code]],Table29[],4,FALSE)</f>
        <v>Africa</v>
      </c>
      <c r="AQ118" s="241" t="str">
        <f>VLOOKUP(Table9[[#This Row],[Country Code]],Table29[],5,FALSE)</f>
        <v>Low-income</v>
      </c>
      <c r="AR118" s="241" t="str">
        <f>VLOOKUP(Table9[[#This Row],[Country Code]],Table29[],6,FALSE)</f>
        <v>no</v>
      </c>
      <c r="AS118" s="241" t="str">
        <f>VLOOKUP(Table9[[#This Row],[Country Code]],Table29[],7,FALSE)</f>
        <v>no</v>
      </c>
      <c r="AT118" s="241" t="str">
        <f>VLOOKUP(Table9[[#This Row],[Country Code]],Table29[],8,FALSE)</f>
        <v>non-OECD</v>
      </c>
      <c r="AU118" s="233" t="str">
        <f>VLOOKUP(Table9[[#This Row],[Country Code]],Table29[],9,FALSE)</f>
        <v>no</v>
      </c>
      <c r="AV118" s="233" t="str">
        <f>VLOOKUP(Table9[[#This Row],[Country Code]],Table29[],10,FALSE)</f>
        <v>no</v>
      </c>
      <c r="AW118" s="233">
        <f>VLOOKUP(Table9[[#This Row],[Country Code]],Table29[],23,FALSE)</f>
        <v>1.8888012914382</v>
      </c>
      <c r="AX118" s="233">
        <f>VLOOKUP(Table9[[#This Row],[Country Code]],Table29[],24,FALSE)</f>
        <v>0.35129125057719468</v>
      </c>
      <c r="AY118" s="43"/>
    </row>
    <row r="119" spans="1:51" x14ac:dyDescent="0.25">
      <c r="A119" s="368">
        <v>22162</v>
      </c>
      <c r="B119" s="233" t="str">
        <f>VLOOKUP(Table9[[#This Row],[Document ID]],Table1[],2,FALSE)</f>
        <v>GMB</v>
      </c>
      <c r="C119" s="233" t="str">
        <f>VLOOKUP(Table9[[#This Row],[Document ID]],Table1[],3,FALSE)</f>
        <v>Gambia (Republic of The)</v>
      </c>
      <c r="D119" s="241" t="str">
        <f>VLOOKUP(Table9[[#This Row],[Document ID]],Table1[],5,FALSE)</f>
        <v>LTS</v>
      </c>
      <c r="E119" s="233" t="str">
        <f>VLOOKUP(Table9[[#This Row],[Document ID]],Table1[],7,FALSE)</f>
        <v>LTS</v>
      </c>
      <c r="F119" s="241" t="str">
        <f>VLOOKUP(Table9[[#This Row],[Document ID]],Table1[],8,FALSE)</f>
        <v>LTS 1.0</v>
      </c>
      <c r="G119" s="241" t="str">
        <f>VLOOKUP(Table9[[#This Row],[Document ID]],Table1[],10,FALSE)</f>
        <v>Active</v>
      </c>
      <c r="H119" s="44" t="s">
        <v>5072</v>
      </c>
      <c r="I119" s="43" t="s">
        <v>5073</v>
      </c>
      <c r="J119" s="209" t="s">
        <v>5194</v>
      </c>
      <c r="K119" s="259">
        <v>51</v>
      </c>
      <c r="L119" s="219" t="s">
        <v>1113</v>
      </c>
      <c r="M119" s="219"/>
      <c r="N119" s="113"/>
      <c r="O119" s="113" t="s">
        <v>1113</v>
      </c>
      <c r="P119" s="113" t="s">
        <v>1113</v>
      </c>
      <c r="Q119" s="113"/>
      <c r="R119" s="113"/>
      <c r="S119" s="113"/>
      <c r="T119" s="113"/>
      <c r="U119" s="113"/>
      <c r="V119" s="113"/>
      <c r="W119" s="113"/>
      <c r="X119" s="113"/>
      <c r="Y119" s="113"/>
      <c r="Z119" s="113"/>
      <c r="AA119" s="113"/>
      <c r="AB119" s="113"/>
      <c r="AC119" s="113"/>
      <c r="AD119" s="113"/>
      <c r="AE119" s="113"/>
      <c r="AF119" s="113"/>
      <c r="AG119" s="113"/>
      <c r="AH119" s="113"/>
      <c r="AI119" s="219" t="s">
        <v>1113</v>
      </c>
      <c r="AJ119" s="326"/>
      <c r="AK119" s="326"/>
      <c r="AL119" s="326"/>
      <c r="AM119" s="209" t="s">
        <v>5075</v>
      </c>
      <c r="AN119" s="233" t="str">
        <f>VLOOKUP(Table9[[#This Row],[Measure]],Table1025[[Value name]:[Value identifyer]],2,FALSE)</f>
        <v>R_System</v>
      </c>
      <c r="AO119" s="241" t="str">
        <f>VLOOKUP(Table9[[#This Row],[Country Code]],Table29[],3,FALSE)</f>
        <v>Non-Annex I</v>
      </c>
      <c r="AP119" s="241" t="str">
        <f>VLOOKUP(Table9[[#This Row],[Country Code]],Table29[],4,FALSE)</f>
        <v>Africa</v>
      </c>
      <c r="AQ119" s="241" t="str">
        <f>VLOOKUP(Table9[[#This Row],[Country Code]],Table29[],5,FALSE)</f>
        <v>Low-income</v>
      </c>
      <c r="AR119" s="241" t="str">
        <f>VLOOKUP(Table9[[#This Row],[Country Code]],Table29[],6,FALSE)</f>
        <v>no</v>
      </c>
      <c r="AS119" s="241" t="str">
        <f>VLOOKUP(Table9[[#This Row],[Country Code]],Table29[],7,FALSE)</f>
        <v>no</v>
      </c>
      <c r="AT119" s="241" t="str">
        <f>VLOOKUP(Table9[[#This Row],[Country Code]],Table29[],8,FALSE)</f>
        <v>non-OECD</v>
      </c>
      <c r="AU119" s="233" t="str">
        <f>VLOOKUP(Table9[[#This Row],[Country Code]],Table29[],9,FALSE)</f>
        <v>no</v>
      </c>
      <c r="AV119" s="233" t="str">
        <f>VLOOKUP(Table9[[#This Row],[Country Code]],Table29[],10,FALSE)</f>
        <v>no</v>
      </c>
      <c r="AW119" s="233">
        <f>VLOOKUP(Table9[[#This Row],[Country Code]],Table29[],23,FALSE)</f>
        <v>1.8888012914382</v>
      </c>
      <c r="AX119" s="233">
        <f>VLOOKUP(Table9[[#This Row],[Country Code]],Table29[],24,FALSE)</f>
        <v>0.35129125057719468</v>
      </c>
      <c r="AY119" s="43"/>
    </row>
    <row r="120" spans="1:51" x14ac:dyDescent="0.25">
      <c r="A120" s="368">
        <v>22162</v>
      </c>
      <c r="B120" s="233" t="str">
        <f>VLOOKUP(Table9[[#This Row],[Document ID]],Table1[],2,FALSE)</f>
        <v>GMB</v>
      </c>
      <c r="C120" s="233" t="str">
        <f>VLOOKUP(Table9[[#This Row],[Document ID]],Table1[],3,FALSE)</f>
        <v>Gambia (Republic of The)</v>
      </c>
      <c r="D120" s="241" t="str">
        <f>VLOOKUP(Table9[[#This Row],[Document ID]],Table1[],5,FALSE)</f>
        <v>LTS</v>
      </c>
      <c r="E120" s="233" t="str">
        <f>VLOOKUP(Table9[[#This Row],[Document ID]],Table1[],7,FALSE)</f>
        <v>LTS</v>
      </c>
      <c r="F120" s="241" t="str">
        <f>VLOOKUP(Table9[[#This Row],[Document ID]],Table1[],8,FALSE)</f>
        <v>LTS 1.0</v>
      </c>
      <c r="G120" s="241" t="str">
        <f>VLOOKUP(Table9[[#This Row],[Document ID]],Table1[],10,FALSE)</f>
        <v>Active</v>
      </c>
      <c r="H120" s="44" t="s">
        <v>5072</v>
      </c>
      <c r="I120" s="43" t="s">
        <v>5097</v>
      </c>
      <c r="J120" s="209" t="s">
        <v>5195</v>
      </c>
      <c r="K120" s="259">
        <v>51</v>
      </c>
      <c r="L120" s="219"/>
      <c r="M120" s="219"/>
      <c r="N120" s="113"/>
      <c r="O120" s="113"/>
      <c r="P120" s="113"/>
      <c r="Q120" s="113"/>
      <c r="R120" s="113"/>
      <c r="S120" s="113" t="s">
        <v>1113</v>
      </c>
      <c r="T120" s="113"/>
      <c r="U120" s="113"/>
      <c r="V120" s="113"/>
      <c r="W120" s="113"/>
      <c r="X120" s="113"/>
      <c r="Y120" s="113"/>
      <c r="Z120" s="113"/>
      <c r="AA120" s="113"/>
      <c r="AB120" s="113"/>
      <c r="AC120" s="113"/>
      <c r="AD120" s="113"/>
      <c r="AE120" s="113"/>
      <c r="AF120" s="113"/>
      <c r="AG120" s="113"/>
      <c r="AH120" s="113"/>
      <c r="AI120" s="219" t="s">
        <v>1113</v>
      </c>
      <c r="AJ120" s="326"/>
      <c r="AK120" s="326"/>
      <c r="AL120" s="326"/>
      <c r="AM120" s="209" t="s">
        <v>5075</v>
      </c>
      <c r="AN120" s="233" t="str">
        <f>VLOOKUP(Table9[[#This Row],[Measure]],Table1025[[Value name]:[Value identifyer]],2,FALSE)</f>
        <v>R_Tech</v>
      </c>
      <c r="AO120" s="241" t="str">
        <f>VLOOKUP(Table9[[#This Row],[Country Code]],Table29[],3,FALSE)</f>
        <v>Non-Annex I</v>
      </c>
      <c r="AP120" s="241" t="str">
        <f>VLOOKUP(Table9[[#This Row],[Country Code]],Table29[],4,FALSE)</f>
        <v>Africa</v>
      </c>
      <c r="AQ120" s="241" t="str">
        <f>VLOOKUP(Table9[[#This Row],[Country Code]],Table29[],5,FALSE)</f>
        <v>Low-income</v>
      </c>
      <c r="AR120" s="241" t="str">
        <f>VLOOKUP(Table9[[#This Row],[Country Code]],Table29[],6,FALSE)</f>
        <v>no</v>
      </c>
      <c r="AS120" s="241" t="str">
        <f>VLOOKUP(Table9[[#This Row],[Country Code]],Table29[],7,FALSE)</f>
        <v>no</v>
      </c>
      <c r="AT120" s="241" t="str">
        <f>VLOOKUP(Table9[[#This Row],[Country Code]],Table29[],8,FALSE)</f>
        <v>non-OECD</v>
      </c>
      <c r="AU120" s="233" t="str">
        <f>VLOOKUP(Table9[[#This Row],[Country Code]],Table29[],9,FALSE)</f>
        <v>no</v>
      </c>
      <c r="AV120" s="233" t="str">
        <f>VLOOKUP(Table9[[#This Row],[Country Code]],Table29[],10,FALSE)</f>
        <v>no</v>
      </c>
      <c r="AW120" s="233">
        <f>VLOOKUP(Table9[[#This Row],[Country Code]],Table29[],23,FALSE)</f>
        <v>1.8888012914382</v>
      </c>
      <c r="AX120" s="233">
        <f>VLOOKUP(Table9[[#This Row],[Country Code]],Table29[],24,FALSE)</f>
        <v>0.35129125057719468</v>
      </c>
      <c r="AY120" s="43"/>
    </row>
    <row r="121" spans="1:51" x14ac:dyDescent="0.25">
      <c r="A121" s="368">
        <v>22162</v>
      </c>
      <c r="B121" s="233" t="str">
        <f>VLOOKUP(Table9[[#This Row],[Document ID]],Table1[],2,FALSE)</f>
        <v>GMB</v>
      </c>
      <c r="C121" s="233" t="str">
        <f>VLOOKUP(Table9[[#This Row],[Document ID]],Table1[],3,FALSE)</f>
        <v>Gambia (Republic of The)</v>
      </c>
      <c r="D121" s="241" t="str">
        <f>VLOOKUP(Table9[[#This Row],[Document ID]],Table1[],5,FALSE)</f>
        <v>LTS</v>
      </c>
      <c r="E121" s="233" t="str">
        <f>VLOOKUP(Table9[[#This Row],[Document ID]],Table1[],7,FALSE)</f>
        <v>LTS</v>
      </c>
      <c r="F121" s="241" t="str">
        <f>VLOOKUP(Table9[[#This Row],[Document ID]],Table1[],8,FALSE)</f>
        <v>LTS 1.0</v>
      </c>
      <c r="G121" s="241" t="str">
        <f>VLOOKUP(Table9[[#This Row],[Document ID]],Table1[],10,FALSE)</f>
        <v>Active</v>
      </c>
      <c r="H121" s="44" t="s">
        <v>5072</v>
      </c>
      <c r="I121" s="43" t="s">
        <v>5097</v>
      </c>
      <c r="J121" s="209" t="s">
        <v>5196</v>
      </c>
      <c r="K121" s="259">
        <v>51</v>
      </c>
      <c r="L121" s="219"/>
      <c r="M121" s="219"/>
      <c r="N121" s="113"/>
      <c r="O121" s="113"/>
      <c r="P121" s="113"/>
      <c r="Q121" s="113" t="s">
        <v>1113</v>
      </c>
      <c r="R121" s="113"/>
      <c r="S121" s="113"/>
      <c r="T121" s="113"/>
      <c r="U121" s="113"/>
      <c r="V121" s="113"/>
      <c r="W121" s="113"/>
      <c r="X121" s="113"/>
      <c r="Y121" s="113"/>
      <c r="Z121" s="113"/>
      <c r="AA121" s="113"/>
      <c r="AB121" s="113"/>
      <c r="AC121" s="113"/>
      <c r="AD121" s="113"/>
      <c r="AE121" s="113"/>
      <c r="AF121" s="113"/>
      <c r="AG121" s="113"/>
      <c r="AH121" s="113"/>
      <c r="AI121" s="219" t="s">
        <v>1113</v>
      </c>
      <c r="AJ121" s="326"/>
      <c r="AK121" s="326"/>
      <c r="AL121" s="326"/>
      <c r="AM121" s="209" t="s">
        <v>5075</v>
      </c>
      <c r="AN121" s="233" t="str">
        <f>VLOOKUP(Table9[[#This Row],[Measure]],Table1025[[Value name]:[Value identifyer]],2,FALSE)</f>
        <v>R_Tech</v>
      </c>
      <c r="AO121" s="241" t="str">
        <f>VLOOKUP(Table9[[#This Row],[Country Code]],Table29[],3,FALSE)</f>
        <v>Non-Annex I</v>
      </c>
      <c r="AP121" s="241" t="str">
        <f>VLOOKUP(Table9[[#This Row],[Country Code]],Table29[],4,FALSE)</f>
        <v>Africa</v>
      </c>
      <c r="AQ121" s="241" t="str">
        <f>VLOOKUP(Table9[[#This Row],[Country Code]],Table29[],5,FALSE)</f>
        <v>Low-income</v>
      </c>
      <c r="AR121" s="241" t="str">
        <f>VLOOKUP(Table9[[#This Row],[Country Code]],Table29[],6,FALSE)</f>
        <v>no</v>
      </c>
      <c r="AS121" s="241" t="str">
        <f>VLOOKUP(Table9[[#This Row],[Country Code]],Table29[],7,FALSE)</f>
        <v>no</v>
      </c>
      <c r="AT121" s="241" t="str">
        <f>VLOOKUP(Table9[[#This Row],[Country Code]],Table29[],8,FALSE)</f>
        <v>non-OECD</v>
      </c>
      <c r="AU121" s="233" t="str">
        <f>VLOOKUP(Table9[[#This Row],[Country Code]],Table29[],9,FALSE)</f>
        <v>no</v>
      </c>
      <c r="AV121" s="233" t="str">
        <f>VLOOKUP(Table9[[#This Row],[Country Code]],Table29[],10,FALSE)</f>
        <v>no</v>
      </c>
      <c r="AW121" s="233">
        <f>VLOOKUP(Table9[[#This Row],[Country Code]],Table29[],23,FALSE)</f>
        <v>1.8888012914382</v>
      </c>
      <c r="AX121" s="233">
        <f>VLOOKUP(Table9[[#This Row],[Country Code]],Table29[],24,FALSE)</f>
        <v>0.35129125057719468</v>
      </c>
      <c r="AY121" s="43"/>
    </row>
    <row r="122" spans="1:51" x14ac:dyDescent="0.25">
      <c r="A122" s="367">
        <v>17604</v>
      </c>
      <c r="B122" s="233" t="str">
        <f>VLOOKUP(Table9[[#This Row],[Document ID]],Table1[],2,FALSE)</f>
        <v>GHA</v>
      </c>
      <c r="C122" s="233" t="str">
        <f>VLOOKUP(Table9[[#This Row],[Document ID]],Table1[],3,FALSE)</f>
        <v>Ghana</v>
      </c>
      <c r="D122" s="328" t="str">
        <f>VLOOKUP(Table9[[#This Row],[Document ID]],Table1[],5,FALSE)</f>
        <v>NDC</v>
      </c>
      <c r="E122" s="233" t="str">
        <f>VLOOKUP(Table9[[#This Row],[Document ID]],Table1[],7,FALSE)</f>
        <v>First NDC</v>
      </c>
      <c r="F122" s="328" t="str">
        <f>VLOOKUP(Table9[[#This Row],[Document ID]],Table1[],8,FALSE)</f>
        <v>NDC 1.0</v>
      </c>
      <c r="G122" s="328" t="str">
        <f>VLOOKUP(Table9[[#This Row],[Document ID]],Table1[],10,FALSE)</f>
        <v>Archived</v>
      </c>
      <c r="H122" s="44" t="s">
        <v>5072</v>
      </c>
      <c r="I122" s="43" t="s">
        <v>5073</v>
      </c>
      <c r="J122" s="209" t="s">
        <v>5197</v>
      </c>
      <c r="K122" s="257" t="s">
        <v>5081</v>
      </c>
      <c r="L122" s="326" t="s">
        <v>1113</v>
      </c>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t="s">
        <v>1113</v>
      </c>
      <c r="AK122" s="326"/>
      <c r="AL122" s="326"/>
      <c r="AM122" s="209" t="s">
        <v>5075</v>
      </c>
      <c r="AN122" s="233" t="str">
        <f>VLOOKUP(Table9[[#This Row],[Measure]],Table1025[[Value name]:[Value identifyer]],2,FALSE)</f>
        <v>R_System</v>
      </c>
      <c r="AO122" s="241" t="str">
        <f>VLOOKUP(Table9[[#This Row],[Country Code]],Table29[],3,FALSE)</f>
        <v>Non-Annex I</v>
      </c>
      <c r="AP122" s="241" t="str">
        <f>VLOOKUP(Table9[[#This Row],[Country Code]],Table29[],4,FALSE)</f>
        <v>Africa</v>
      </c>
      <c r="AQ122" s="241" t="str">
        <f>VLOOKUP(Table9[[#This Row],[Country Code]],Table29[],5,FALSE)</f>
        <v>Middle-income</v>
      </c>
      <c r="AR122" s="241" t="str">
        <f>VLOOKUP(Table9[[#This Row],[Country Code]],Table29[],6,FALSE)</f>
        <v>no</v>
      </c>
      <c r="AS122" s="241" t="str">
        <f>VLOOKUP(Table9[[#This Row],[Country Code]],Table29[],7,FALSE)</f>
        <v>no</v>
      </c>
      <c r="AT122" s="241" t="str">
        <f>VLOOKUP(Table9[[#This Row],[Country Code]],Table29[],8,FALSE)</f>
        <v>non-OECD</v>
      </c>
      <c r="AU122" s="233" t="str">
        <f>VLOOKUP(Table9[[#This Row],[Country Code]],Table29[],9,FALSE)</f>
        <v>no</v>
      </c>
      <c r="AV122" s="233" t="str">
        <f>VLOOKUP(Table9[[#This Row],[Country Code]],Table29[],10,FALSE)</f>
        <v>no</v>
      </c>
      <c r="AW122" s="233">
        <f>VLOOKUP(Table9[[#This Row],[Country Code]],Table29[],23,FALSE)</f>
        <v>48.265926450338</v>
      </c>
      <c r="AX122" s="233">
        <f>VLOOKUP(Table9[[#This Row],[Country Code]],Table29[],24,FALSE)</f>
        <v>9.2203647608909662</v>
      </c>
      <c r="AY122" s="43"/>
    </row>
    <row r="123" spans="1:51" x14ac:dyDescent="0.25">
      <c r="A123" s="368">
        <v>26795</v>
      </c>
      <c r="B123" s="233" t="str">
        <f>VLOOKUP(Table9[[#This Row],[Document ID]],Table1[],2,FALSE)</f>
        <v>GHA</v>
      </c>
      <c r="C123" s="233" t="str">
        <f>VLOOKUP(Table9[[#This Row],[Document ID]],Table1[],3,FALSE)</f>
        <v>Ghana</v>
      </c>
      <c r="D123" s="241" t="str">
        <f>VLOOKUP(Table9[[#This Row],[Document ID]],Table1[],5,FALSE)</f>
        <v>NDC</v>
      </c>
      <c r="E123" s="233" t="str">
        <f>VLOOKUP(Table9[[#This Row],[Document ID]],Table1[],7,FALSE)</f>
        <v>First NDC updated</v>
      </c>
      <c r="F123" s="241" t="str">
        <f>VLOOKUP(Table9[[#This Row],[Document ID]],Table1[],8,FALSE)</f>
        <v>NDC 1.2</v>
      </c>
      <c r="G123" s="241" t="str">
        <f>VLOOKUP(Table9[[#This Row],[Document ID]],Table1[],10,FALSE)</f>
        <v>Active</v>
      </c>
      <c r="H123" s="44" t="s">
        <v>5076</v>
      </c>
      <c r="I123" s="43" t="s">
        <v>5077</v>
      </c>
      <c r="J123" s="209" t="s">
        <v>5198</v>
      </c>
      <c r="K123" s="259">
        <v>25</v>
      </c>
      <c r="L123" s="219" t="s">
        <v>1113</v>
      </c>
      <c r="M123" s="219"/>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219"/>
      <c r="AJ123" s="326" t="s">
        <v>1113</v>
      </c>
      <c r="AK123" s="326"/>
      <c r="AL123" s="326"/>
      <c r="AM123" s="327" t="s">
        <v>5075</v>
      </c>
      <c r="AN123" s="233" t="str">
        <f>VLOOKUP(Table9[[#This Row],[Measure]],Table1025[[Value name]:[Value identifyer]],2,FALSE)</f>
        <v>R_Planning</v>
      </c>
      <c r="AO123" s="241" t="str">
        <f>VLOOKUP(Table9[[#This Row],[Country Code]],Table29[],3,FALSE)</f>
        <v>Non-Annex I</v>
      </c>
      <c r="AP123" s="241" t="str">
        <f>VLOOKUP(Table9[[#This Row],[Country Code]],Table29[],4,FALSE)</f>
        <v>Africa</v>
      </c>
      <c r="AQ123" s="241" t="str">
        <f>VLOOKUP(Table9[[#This Row],[Country Code]],Table29[],5,FALSE)</f>
        <v>Middle-income</v>
      </c>
      <c r="AR123" s="241" t="str">
        <f>VLOOKUP(Table9[[#This Row],[Country Code]],Table29[],6,FALSE)</f>
        <v>no</v>
      </c>
      <c r="AS123" s="241" t="str">
        <f>VLOOKUP(Table9[[#This Row],[Country Code]],Table29[],7,FALSE)</f>
        <v>no</v>
      </c>
      <c r="AT123" s="241" t="str">
        <f>VLOOKUP(Table9[[#This Row],[Country Code]],Table29[],8,FALSE)</f>
        <v>non-OECD</v>
      </c>
      <c r="AU123" s="233" t="str">
        <f>VLOOKUP(Table9[[#This Row],[Country Code]],Table29[],9,FALSE)</f>
        <v>no</v>
      </c>
      <c r="AV123" s="233" t="str">
        <f>VLOOKUP(Table9[[#This Row],[Country Code]],Table29[],10,FALSE)</f>
        <v>no</v>
      </c>
      <c r="AW123" s="233">
        <f>VLOOKUP(Table9[[#This Row],[Country Code]],Table29[],23,FALSE)</f>
        <v>48.265926450338</v>
      </c>
      <c r="AX123" s="233">
        <f>VLOOKUP(Table9[[#This Row],[Country Code]],Table29[],24,FALSE)</f>
        <v>9.2203647608909662</v>
      </c>
      <c r="AY123" s="43"/>
    </row>
    <row r="124" spans="1:51" ht="30" x14ac:dyDescent="0.25">
      <c r="A124" s="367">
        <v>17610</v>
      </c>
      <c r="B124" s="233" t="str">
        <f>VLOOKUP(Table9[[#This Row],[Document ID]],Table1[],2,FALSE)</f>
        <v>GNB</v>
      </c>
      <c r="C124" s="233" t="str">
        <f>VLOOKUP(Table9[[#This Row],[Document ID]],Table1[],3,FALSE)</f>
        <v>Guinea Bissau</v>
      </c>
      <c r="D124" s="328" t="str">
        <f>VLOOKUP(Table9[[#This Row],[Document ID]],Table1[],5,FALSE)</f>
        <v>NDC</v>
      </c>
      <c r="E124" s="233" t="str">
        <f>VLOOKUP(Table9[[#This Row],[Document ID]],Table1[],7,FALSE)</f>
        <v>First NDC</v>
      </c>
      <c r="F124" s="328" t="str">
        <f>VLOOKUP(Table9[[#This Row],[Document ID]],Table1[],8,FALSE)</f>
        <v>NDC 1.0</v>
      </c>
      <c r="G124" s="328" t="str">
        <f>VLOOKUP(Table9[[#This Row],[Document ID]],Table1[],10,FALSE)</f>
        <v>Archived</v>
      </c>
      <c r="H124" s="44" t="s">
        <v>5072</v>
      </c>
      <c r="I124" s="43" t="s">
        <v>5073</v>
      </c>
      <c r="J124" s="209" t="s">
        <v>5199</v>
      </c>
      <c r="K124" s="257" t="s">
        <v>5081</v>
      </c>
      <c r="L124" s="326"/>
      <c r="M124" s="326"/>
      <c r="N124" s="326"/>
      <c r="O124" s="326"/>
      <c r="P124" s="326"/>
      <c r="Q124" s="326" t="s">
        <v>1113</v>
      </c>
      <c r="R124" s="326"/>
      <c r="S124" s="326"/>
      <c r="T124" s="326"/>
      <c r="U124" s="326"/>
      <c r="V124" s="326"/>
      <c r="W124" s="326"/>
      <c r="X124" s="326"/>
      <c r="Y124" s="326"/>
      <c r="Z124" s="326"/>
      <c r="AA124" s="326"/>
      <c r="AB124" s="326"/>
      <c r="AC124" s="326"/>
      <c r="AD124" s="326"/>
      <c r="AE124" s="326"/>
      <c r="AF124" s="326"/>
      <c r="AG124" s="326"/>
      <c r="AH124" s="326"/>
      <c r="AI124" s="326" t="s">
        <v>1113</v>
      </c>
      <c r="AJ124" s="326"/>
      <c r="AK124" s="326"/>
      <c r="AL124" s="326"/>
      <c r="AM124" s="209" t="s">
        <v>5075</v>
      </c>
      <c r="AN124" s="233" t="str">
        <f>VLOOKUP(Table9[[#This Row],[Measure]],Table1025[[Value name]:[Value identifyer]],2,FALSE)</f>
        <v>R_System</v>
      </c>
      <c r="AO124" s="241" t="str">
        <f>VLOOKUP(Table9[[#This Row],[Country Code]],Table29[],3,FALSE)</f>
        <v>Non-Annex I</v>
      </c>
      <c r="AP124" s="241" t="str">
        <f>VLOOKUP(Table9[[#This Row],[Country Code]],Table29[],4,FALSE)</f>
        <v>Africa</v>
      </c>
      <c r="AQ124" s="241" t="str">
        <f>VLOOKUP(Table9[[#This Row],[Country Code]],Table29[],5,FALSE)</f>
        <v>Low-income</v>
      </c>
      <c r="AR124" s="241" t="str">
        <f>VLOOKUP(Table9[[#This Row],[Country Code]],Table29[],6,FALSE)</f>
        <v>no</v>
      </c>
      <c r="AS124" s="241" t="str">
        <f>VLOOKUP(Table9[[#This Row],[Country Code]],Table29[],7,FALSE)</f>
        <v>no</v>
      </c>
      <c r="AT124" s="241" t="str">
        <f>VLOOKUP(Table9[[#This Row],[Country Code]],Table29[],8,FALSE)</f>
        <v>non-OECD</v>
      </c>
      <c r="AU124" s="233" t="str">
        <f>VLOOKUP(Table9[[#This Row],[Country Code]],Table29[],9,FALSE)</f>
        <v>no</v>
      </c>
      <c r="AV124" s="233" t="str">
        <f>VLOOKUP(Table9[[#This Row],[Country Code]],Table29[],10,FALSE)</f>
        <v>no</v>
      </c>
      <c r="AW124" s="233">
        <f>VLOOKUP(Table9[[#This Row],[Country Code]],Table29[],23,FALSE)</f>
        <v>2.9974771167324001</v>
      </c>
      <c r="AX124" s="233">
        <f>VLOOKUP(Table9[[#This Row],[Country Code]],Table29[],24,FALSE)</f>
        <v>0.19986352177742761</v>
      </c>
      <c r="AY124" s="43"/>
    </row>
    <row r="125" spans="1:51" x14ac:dyDescent="0.25">
      <c r="A125" s="367">
        <v>17611</v>
      </c>
      <c r="B125" s="233" t="str">
        <f>VLOOKUP(Table9[[#This Row],[Document ID]],Table1[],2,FALSE)</f>
        <v>GUY</v>
      </c>
      <c r="C125" s="233" t="str">
        <f>VLOOKUP(Table9[[#This Row],[Document ID]],Table1[],3,FALSE)</f>
        <v>Guyana</v>
      </c>
      <c r="D125" s="328" t="str">
        <f>VLOOKUP(Table9[[#This Row],[Document ID]],Table1[],5,FALSE)</f>
        <v>NDC</v>
      </c>
      <c r="E125" s="233" t="str">
        <f>VLOOKUP(Table9[[#This Row],[Document ID]],Table1[],7,FALSE)</f>
        <v>First NDC</v>
      </c>
      <c r="F125" s="328" t="str">
        <f>VLOOKUP(Table9[[#This Row],[Document ID]],Table1[],8,FALSE)</f>
        <v>NDC 1.0</v>
      </c>
      <c r="G125" s="328" t="str">
        <f>VLOOKUP(Table9[[#This Row],[Document ID]],Table1[],10,FALSE)</f>
        <v>Active</v>
      </c>
      <c r="H125" s="44" t="s">
        <v>5072</v>
      </c>
      <c r="I125" s="43" t="s">
        <v>5073</v>
      </c>
      <c r="J125" s="209" t="s">
        <v>5200</v>
      </c>
      <c r="K125" s="257" t="s">
        <v>5081</v>
      </c>
      <c r="L125" s="326" t="s">
        <v>1113</v>
      </c>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t="s">
        <v>1113</v>
      </c>
      <c r="AJ125" s="326"/>
      <c r="AK125" s="326"/>
      <c r="AL125" s="326"/>
      <c r="AM125" s="209" t="s">
        <v>5075</v>
      </c>
      <c r="AN125" s="233" t="str">
        <f>VLOOKUP(Table9[[#This Row],[Measure]],Table1025[[Value name]:[Value identifyer]],2,FALSE)</f>
        <v>R_System</v>
      </c>
      <c r="AO125" s="241" t="str">
        <f>VLOOKUP(Table9[[#This Row],[Country Code]],Table29[],3,FALSE)</f>
        <v>Non-Annex I</v>
      </c>
      <c r="AP125" s="241" t="str">
        <f>VLOOKUP(Table9[[#This Row],[Country Code]],Table29[],4,FALSE)</f>
        <v>Latin America and the Caribbean</v>
      </c>
      <c r="AQ125" s="241" t="str">
        <f>VLOOKUP(Table9[[#This Row],[Country Code]],Table29[],5,FALSE)</f>
        <v>Middle-income</v>
      </c>
      <c r="AR125" s="241" t="str">
        <f>VLOOKUP(Table9[[#This Row],[Country Code]],Table29[],6,FALSE)</f>
        <v>no</v>
      </c>
      <c r="AS125" s="241" t="str">
        <f>VLOOKUP(Table9[[#This Row],[Country Code]],Table29[],7,FALSE)</f>
        <v>no</v>
      </c>
      <c r="AT125" s="241" t="str">
        <f>VLOOKUP(Table9[[#This Row],[Country Code]],Table29[],8,FALSE)</f>
        <v>non-OECD</v>
      </c>
      <c r="AU125" s="233" t="str">
        <f>VLOOKUP(Table9[[#This Row],[Country Code]],Table29[],9,FALSE)</f>
        <v>no</v>
      </c>
      <c r="AV125" s="233" t="str">
        <f>VLOOKUP(Table9[[#This Row],[Country Code]],Table29[],10,FALSE)</f>
        <v>no</v>
      </c>
      <c r="AW125" s="233">
        <f>VLOOKUP(Table9[[#This Row],[Country Code]],Table29[],23,FALSE)</f>
        <v>8.1909886010150004</v>
      </c>
      <c r="AX125" s="233">
        <f>VLOOKUP(Table9[[#This Row],[Country Code]],Table29[],24,FALSE)</f>
        <v>1.0576736759870471</v>
      </c>
      <c r="AY125" s="43"/>
    </row>
    <row r="126" spans="1:51" x14ac:dyDescent="0.25">
      <c r="A126" s="368">
        <v>32503</v>
      </c>
      <c r="B126" s="233" t="str">
        <f>VLOOKUP(Table9[[#This Row],[Document ID]],Table1[],2,FALSE)</f>
        <v>IDN</v>
      </c>
      <c r="C126" s="233" t="str">
        <f>VLOOKUP(Table9[[#This Row],[Document ID]],Table1[],3,FALSE)</f>
        <v>Indonesia</v>
      </c>
      <c r="D126" s="241" t="str">
        <f>VLOOKUP(Table9[[#This Row],[Document ID]],Table1[],5,FALSE)</f>
        <v>NDC</v>
      </c>
      <c r="E126" s="233" t="str">
        <f>VLOOKUP(Table9[[#This Row],[Document ID]],Table1[],7,FALSE)</f>
        <v>First NDC updated</v>
      </c>
      <c r="F126" s="241" t="str">
        <f>VLOOKUP(Table9[[#This Row],[Document ID]],Table1[],8,FALSE)</f>
        <v>NDC 1.2</v>
      </c>
      <c r="G126" s="241" t="str">
        <f>VLOOKUP(Table9[[#This Row],[Document ID]],Table1[],10,FALSE)</f>
        <v>Active</v>
      </c>
      <c r="H126" s="44" t="s">
        <v>5076</v>
      </c>
      <c r="I126" s="43" t="s">
        <v>5077</v>
      </c>
      <c r="J126" s="209" t="s">
        <v>5201</v>
      </c>
      <c r="K126" s="259">
        <v>30</v>
      </c>
      <c r="L126" s="326" t="s">
        <v>1113</v>
      </c>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c r="AI126" s="326" t="s">
        <v>1113</v>
      </c>
      <c r="AJ126" s="326"/>
      <c r="AK126" s="326"/>
      <c r="AL126" s="326"/>
      <c r="AM126" s="327" t="s">
        <v>5075</v>
      </c>
      <c r="AN126" s="233" t="str">
        <f>VLOOKUP(Table9[[#This Row],[Measure]],Table1025[[Value name]:[Value identifyer]],2,FALSE)</f>
        <v>R_Planning</v>
      </c>
      <c r="AO126" s="241" t="str">
        <f>VLOOKUP(Table9[[#This Row],[Country Code]],Table29[],3,FALSE)</f>
        <v>Non-Annex I</v>
      </c>
      <c r="AP126" s="241" t="str">
        <f>VLOOKUP(Table9[[#This Row],[Country Code]],Table29[],4,FALSE)</f>
        <v>Asia</v>
      </c>
      <c r="AQ126" s="241" t="str">
        <f>VLOOKUP(Table9[[#This Row],[Country Code]],Table29[],5,FALSE)</f>
        <v>Middle-income</v>
      </c>
      <c r="AR126" s="241" t="str">
        <f>VLOOKUP(Table9[[#This Row],[Country Code]],Table29[],6,FALSE)</f>
        <v>G20</v>
      </c>
      <c r="AS126" s="241" t="str">
        <f>VLOOKUP(Table9[[#This Row],[Country Code]],Table29[],7,FALSE)</f>
        <v>no</v>
      </c>
      <c r="AT126" s="241" t="str">
        <f>VLOOKUP(Table9[[#This Row],[Country Code]],Table29[],8,FALSE)</f>
        <v>non-OECD</v>
      </c>
      <c r="AU126" s="233" t="str">
        <f>VLOOKUP(Table9[[#This Row],[Country Code]],Table29[],9,FALSE)</f>
        <v>no</v>
      </c>
      <c r="AV126" s="233" t="str">
        <f>VLOOKUP(Table9[[#This Row],[Country Code]],Table29[],10,FALSE)</f>
        <v>no</v>
      </c>
      <c r="AW126" s="233">
        <f>VLOOKUP(Table9[[#This Row],[Country Code]],Table29[],23,FALSE)</f>
        <v>1200.1997867973</v>
      </c>
      <c r="AX126" s="233">
        <f>VLOOKUP(Table9[[#This Row],[Country Code]],Table29[],24,FALSE)</f>
        <v>152.1133830762208</v>
      </c>
      <c r="AY126" s="43"/>
    </row>
    <row r="127" spans="1:51" x14ac:dyDescent="0.25">
      <c r="A127" s="368">
        <v>32503</v>
      </c>
      <c r="B127" s="233" t="str">
        <f>VLOOKUP(Table9[[#This Row],[Document ID]],Table1[],2,FALSE)</f>
        <v>IDN</v>
      </c>
      <c r="C127" s="233" t="str">
        <f>VLOOKUP(Table9[[#This Row],[Document ID]],Table1[],3,FALSE)</f>
        <v>Indonesia</v>
      </c>
      <c r="D127" s="241" t="str">
        <f>VLOOKUP(Table9[[#This Row],[Document ID]],Table1[],5,FALSE)</f>
        <v>NDC</v>
      </c>
      <c r="E127" s="233" t="str">
        <f>VLOOKUP(Table9[[#This Row],[Document ID]],Table1[],7,FALSE)</f>
        <v>First NDC updated</v>
      </c>
      <c r="F127" s="241" t="str">
        <f>VLOOKUP(Table9[[#This Row],[Document ID]],Table1[],8,FALSE)</f>
        <v>NDC 1.2</v>
      </c>
      <c r="G127" s="241" t="str">
        <f>VLOOKUP(Table9[[#This Row],[Document ID]],Table1[],10,FALSE)</f>
        <v>Active</v>
      </c>
      <c r="H127" s="44" t="s">
        <v>5086</v>
      </c>
      <c r="I127" s="43" t="s">
        <v>5087</v>
      </c>
      <c r="J127" s="209" t="s">
        <v>5202</v>
      </c>
      <c r="K127" s="259">
        <v>30</v>
      </c>
      <c r="L127" s="326" t="s">
        <v>1113</v>
      </c>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t="s">
        <v>1113</v>
      </c>
      <c r="AJ127" s="326"/>
      <c r="AK127" s="326"/>
      <c r="AL127" s="326"/>
      <c r="AM127" s="327" t="s">
        <v>5075</v>
      </c>
      <c r="AN127" s="233" t="str">
        <f>VLOOKUP(Table9[[#This Row],[Measure]],Table1025[[Value name]:[Value identifyer]],2,FALSE)</f>
        <v>R_Education</v>
      </c>
      <c r="AO127" s="241" t="str">
        <f>VLOOKUP(Table9[[#This Row],[Country Code]],Table29[],3,FALSE)</f>
        <v>Non-Annex I</v>
      </c>
      <c r="AP127" s="241" t="str">
        <f>VLOOKUP(Table9[[#This Row],[Country Code]],Table29[],4,FALSE)</f>
        <v>Asia</v>
      </c>
      <c r="AQ127" s="241" t="str">
        <f>VLOOKUP(Table9[[#This Row],[Country Code]],Table29[],5,FALSE)</f>
        <v>Middle-income</v>
      </c>
      <c r="AR127" s="241" t="str">
        <f>VLOOKUP(Table9[[#This Row],[Country Code]],Table29[],6,FALSE)</f>
        <v>G20</v>
      </c>
      <c r="AS127" s="241" t="str">
        <f>VLOOKUP(Table9[[#This Row],[Country Code]],Table29[],7,FALSE)</f>
        <v>no</v>
      </c>
      <c r="AT127" s="241" t="str">
        <f>VLOOKUP(Table9[[#This Row],[Country Code]],Table29[],8,FALSE)</f>
        <v>non-OECD</v>
      </c>
      <c r="AU127" s="233" t="str">
        <f>VLOOKUP(Table9[[#This Row],[Country Code]],Table29[],9,FALSE)</f>
        <v>no</v>
      </c>
      <c r="AV127" s="233" t="str">
        <f>VLOOKUP(Table9[[#This Row],[Country Code]],Table29[],10,FALSE)</f>
        <v>no</v>
      </c>
      <c r="AW127" s="233">
        <f>VLOOKUP(Table9[[#This Row],[Country Code]],Table29[],23,FALSE)</f>
        <v>1200.1997867973</v>
      </c>
      <c r="AX127" s="233">
        <f>VLOOKUP(Table9[[#This Row],[Country Code]],Table29[],24,FALSE)</f>
        <v>152.1133830762208</v>
      </c>
      <c r="AY127" s="43"/>
    </row>
    <row r="128" spans="1:51" x14ac:dyDescent="0.25">
      <c r="A128" s="368">
        <v>32503</v>
      </c>
      <c r="B128" s="233" t="str">
        <f>VLOOKUP(Table9[[#This Row],[Document ID]],Table1[],2,FALSE)</f>
        <v>IDN</v>
      </c>
      <c r="C128" s="233" t="str">
        <f>VLOOKUP(Table9[[#This Row],[Document ID]],Table1[],3,FALSE)</f>
        <v>Indonesia</v>
      </c>
      <c r="D128" s="241" t="str">
        <f>VLOOKUP(Table9[[#This Row],[Document ID]],Table1[],5,FALSE)</f>
        <v>NDC</v>
      </c>
      <c r="E128" s="233" t="str">
        <f>VLOOKUP(Table9[[#This Row],[Document ID]],Table1[],7,FALSE)</f>
        <v>First NDC updated</v>
      </c>
      <c r="F128" s="241" t="str">
        <f>VLOOKUP(Table9[[#This Row],[Document ID]],Table1[],8,FALSE)</f>
        <v>NDC 1.2</v>
      </c>
      <c r="G128" s="241" t="str">
        <f>VLOOKUP(Table9[[#This Row],[Document ID]],Table1[],10,FALSE)</f>
        <v>Active</v>
      </c>
      <c r="H128" s="44" t="s">
        <v>5072</v>
      </c>
      <c r="I128" s="43" t="s">
        <v>5073</v>
      </c>
      <c r="J128" s="209" t="s">
        <v>5203</v>
      </c>
      <c r="K128" s="259">
        <v>32</v>
      </c>
      <c r="L128" s="326" t="s">
        <v>1113</v>
      </c>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c r="AI128" s="219"/>
      <c r="AJ128" s="219" t="s">
        <v>1113</v>
      </c>
      <c r="AK128" s="219"/>
      <c r="AL128" s="219"/>
      <c r="AM128" s="327" t="s">
        <v>5075</v>
      </c>
      <c r="AN128" s="233" t="str">
        <f>VLOOKUP(Table9[[#This Row],[Measure]],Table1025[[Value name]:[Value identifyer]],2,FALSE)</f>
        <v>R_System</v>
      </c>
      <c r="AO128" s="241" t="str">
        <f>VLOOKUP(Table9[[#This Row],[Country Code]],Table29[],3,FALSE)</f>
        <v>Non-Annex I</v>
      </c>
      <c r="AP128" s="241" t="str">
        <f>VLOOKUP(Table9[[#This Row],[Country Code]],Table29[],4,FALSE)</f>
        <v>Asia</v>
      </c>
      <c r="AQ128" s="241" t="str">
        <f>VLOOKUP(Table9[[#This Row],[Country Code]],Table29[],5,FALSE)</f>
        <v>Middle-income</v>
      </c>
      <c r="AR128" s="241" t="str">
        <f>VLOOKUP(Table9[[#This Row],[Country Code]],Table29[],6,FALSE)</f>
        <v>G20</v>
      </c>
      <c r="AS128" s="241" t="str">
        <f>VLOOKUP(Table9[[#This Row],[Country Code]],Table29[],7,FALSE)</f>
        <v>no</v>
      </c>
      <c r="AT128" s="241" t="str">
        <f>VLOOKUP(Table9[[#This Row],[Country Code]],Table29[],8,FALSE)</f>
        <v>non-OECD</v>
      </c>
      <c r="AU128" s="233" t="str">
        <f>VLOOKUP(Table9[[#This Row],[Country Code]],Table29[],9,FALSE)</f>
        <v>no</v>
      </c>
      <c r="AV128" s="233" t="str">
        <f>VLOOKUP(Table9[[#This Row],[Country Code]],Table29[],10,FALSE)</f>
        <v>no</v>
      </c>
      <c r="AW128" s="233">
        <f>VLOOKUP(Table9[[#This Row],[Country Code]],Table29[],23,FALSE)</f>
        <v>1200.1997867973</v>
      </c>
      <c r="AX128" s="233">
        <f>VLOOKUP(Table9[[#This Row],[Country Code]],Table29[],24,FALSE)</f>
        <v>152.1133830762208</v>
      </c>
      <c r="AY128" s="43"/>
    </row>
    <row r="129" spans="1:51" ht="30" x14ac:dyDescent="0.25">
      <c r="A129" s="367">
        <v>23939</v>
      </c>
      <c r="B129" s="233" t="str">
        <f>VLOOKUP(Table9[[#This Row],[Document ID]],Table1[],2,FALSE)</f>
        <v>IRQ</v>
      </c>
      <c r="C129" s="233" t="str">
        <f>VLOOKUP(Table9[[#This Row],[Document ID]],Table1[],3,FALSE)</f>
        <v>Iraq</v>
      </c>
      <c r="D129" s="254" t="str">
        <f>VLOOKUP(Table9[[#This Row],[Document ID]],Table1[],5,FALSE)</f>
        <v>NDC</v>
      </c>
      <c r="E129" s="233" t="str">
        <f>VLOOKUP(Table9[[#This Row],[Document ID]],Table1[],7,FALSE)</f>
        <v>First NDC</v>
      </c>
      <c r="F129" s="241" t="str">
        <f>VLOOKUP(Table9[[#This Row],[Document ID]],Table1[],8,FALSE)</f>
        <v>NDC 1.0</v>
      </c>
      <c r="G129" s="241" t="str">
        <f>VLOOKUP(Table9[[#This Row],[Document ID]],Table1[],10,FALSE)</f>
        <v>Active</v>
      </c>
      <c r="H129" s="44" t="s">
        <v>5072</v>
      </c>
      <c r="I129" s="43" t="s">
        <v>5073</v>
      </c>
      <c r="J129" s="209" t="s">
        <v>5204</v>
      </c>
      <c r="K129" s="259">
        <v>12</v>
      </c>
      <c r="L129" s="219" t="s">
        <v>1113</v>
      </c>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113" t="s">
        <v>1113</v>
      </c>
      <c r="AJ129" s="113"/>
      <c r="AK129" s="113"/>
      <c r="AL129" s="113"/>
      <c r="AM129" s="43" t="s">
        <v>5205</v>
      </c>
      <c r="AN129" s="233" t="str">
        <f>VLOOKUP(Table9[[#This Row],[Measure]],Table1025[[Value name]:[Value identifyer]],2,FALSE)</f>
        <v>R_System</v>
      </c>
      <c r="AO129" s="241" t="str">
        <f>VLOOKUP(Table9[[#This Row],[Country Code]],Table29[],3,FALSE)</f>
        <v>Non-Annex I</v>
      </c>
      <c r="AP129" s="241" t="str">
        <f>VLOOKUP(Table9[[#This Row],[Country Code]],Table29[],4,FALSE)</f>
        <v>Asia</v>
      </c>
      <c r="AQ129" s="241" t="str">
        <f>VLOOKUP(Table9[[#This Row],[Country Code]],Table29[],5,FALSE)</f>
        <v>Middle-income</v>
      </c>
      <c r="AR129" s="241" t="str">
        <f>VLOOKUP(Table9[[#This Row],[Country Code]],Table29[],6,FALSE)</f>
        <v>no</v>
      </c>
      <c r="AS129" s="241" t="str">
        <f>VLOOKUP(Table9[[#This Row],[Country Code]],Table29[],7,FALSE)</f>
        <v>no</v>
      </c>
      <c r="AT129" s="241" t="str">
        <f>VLOOKUP(Table9[[#This Row],[Country Code]],Table29[],8,FALSE)</f>
        <v>non-OECD</v>
      </c>
      <c r="AU129" s="233" t="str">
        <f>VLOOKUP(Table9[[#This Row],[Country Code]],Table29[],9,FALSE)</f>
        <v>no</v>
      </c>
      <c r="AV129" s="233" t="str">
        <f>VLOOKUP(Table9[[#This Row],[Country Code]],Table29[],10,FALSE)</f>
        <v>MENA</v>
      </c>
      <c r="AW129" s="233">
        <f>VLOOKUP(Table9[[#This Row],[Country Code]],Table29[],23,FALSE)</f>
        <v>362.78479656291</v>
      </c>
      <c r="AX129" s="233">
        <f>VLOOKUP(Table9[[#This Row],[Country Code]],Table29[],24,FALSE)</f>
        <v>40.534963091292582</v>
      </c>
      <c r="AY129" s="43"/>
    </row>
    <row r="130" spans="1:51" ht="45" x14ac:dyDescent="0.25">
      <c r="A130" s="367">
        <v>23939</v>
      </c>
      <c r="B130" s="233" t="str">
        <f>VLOOKUP(Table9[[#This Row],[Document ID]],Table1[],2,FALSE)</f>
        <v>IRQ</v>
      </c>
      <c r="C130" s="233" t="str">
        <f>VLOOKUP(Table9[[#This Row],[Document ID]],Table1[],3,FALSE)</f>
        <v>Iraq</v>
      </c>
      <c r="D130" s="254" t="str">
        <f>VLOOKUP(Table9[[#This Row],[Document ID]],Table1[],5,FALSE)</f>
        <v>NDC</v>
      </c>
      <c r="E130" s="233" t="str">
        <f>VLOOKUP(Table9[[#This Row],[Document ID]],Table1[],7,FALSE)</f>
        <v>First NDC</v>
      </c>
      <c r="F130" s="241" t="str">
        <f>VLOOKUP(Table9[[#This Row],[Document ID]],Table1[],8,FALSE)</f>
        <v>NDC 1.0</v>
      </c>
      <c r="G130" s="241" t="str">
        <f>VLOOKUP(Table9[[#This Row],[Document ID]],Table1[],10,FALSE)</f>
        <v>Active</v>
      </c>
      <c r="H130" s="44" t="s">
        <v>5072</v>
      </c>
      <c r="I130" s="43" t="s">
        <v>5073</v>
      </c>
      <c r="J130" s="209" t="s">
        <v>5206</v>
      </c>
      <c r="K130" s="259">
        <v>12</v>
      </c>
      <c r="L130" s="219" t="s">
        <v>1113</v>
      </c>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113" t="s">
        <v>1113</v>
      </c>
      <c r="AJ130" s="113"/>
      <c r="AK130" s="113"/>
      <c r="AL130" s="113"/>
      <c r="AM130" s="43" t="s">
        <v>5205</v>
      </c>
      <c r="AN130" s="233" t="str">
        <f>VLOOKUP(Table9[[#This Row],[Measure]],Table1025[[Value name]:[Value identifyer]],2,FALSE)</f>
        <v>R_System</v>
      </c>
      <c r="AO130" s="241" t="str">
        <f>VLOOKUP(Table9[[#This Row],[Country Code]],Table29[],3,FALSE)</f>
        <v>Non-Annex I</v>
      </c>
      <c r="AP130" s="241" t="str">
        <f>VLOOKUP(Table9[[#This Row],[Country Code]],Table29[],4,FALSE)</f>
        <v>Asia</v>
      </c>
      <c r="AQ130" s="241" t="str">
        <f>VLOOKUP(Table9[[#This Row],[Country Code]],Table29[],5,FALSE)</f>
        <v>Middle-income</v>
      </c>
      <c r="AR130" s="241" t="str">
        <f>VLOOKUP(Table9[[#This Row],[Country Code]],Table29[],6,FALSE)</f>
        <v>no</v>
      </c>
      <c r="AS130" s="241" t="str">
        <f>VLOOKUP(Table9[[#This Row],[Country Code]],Table29[],7,FALSE)</f>
        <v>no</v>
      </c>
      <c r="AT130" s="241" t="str">
        <f>VLOOKUP(Table9[[#This Row],[Country Code]],Table29[],8,FALSE)</f>
        <v>non-OECD</v>
      </c>
      <c r="AU130" s="233" t="str">
        <f>VLOOKUP(Table9[[#This Row],[Country Code]],Table29[],9,FALSE)</f>
        <v>no</v>
      </c>
      <c r="AV130" s="233" t="str">
        <f>VLOOKUP(Table9[[#This Row],[Country Code]],Table29[],10,FALSE)</f>
        <v>MENA</v>
      </c>
      <c r="AW130" s="233">
        <f>VLOOKUP(Table9[[#This Row],[Country Code]],Table29[],23,FALSE)</f>
        <v>362.78479656291</v>
      </c>
      <c r="AX130" s="233">
        <f>VLOOKUP(Table9[[#This Row],[Country Code]],Table29[],24,FALSE)</f>
        <v>40.534963091292582</v>
      </c>
      <c r="AY130" s="43"/>
    </row>
    <row r="131" spans="1:51" ht="45" x14ac:dyDescent="0.25">
      <c r="A131" s="367">
        <v>23939</v>
      </c>
      <c r="B131" s="233" t="str">
        <f>VLOOKUP(Table9[[#This Row],[Document ID]],Table1[],2,FALSE)</f>
        <v>IRQ</v>
      </c>
      <c r="C131" s="233" t="str">
        <f>VLOOKUP(Table9[[#This Row],[Document ID]],Table1[],3,FALSE)</f>
        <v>Iraq</v>
      </c>
      <c r="D131" s="254" t="str">
        <f>VLOOKUP(Table9[[#This Row],[Document ID]],Table1[],5,FALSE)</f>
        <v>NDC</v>
      </c>
      <c r="E131" s="233" t="str">
        <f>VLOOKUP(Table9[[#This Row],[Document ID]],Table1[],7,FALSE)</f>
        <v>First NDC</v>
      </c>
      <c r="F131" s="241" t="str">
        <f>VLOOKUP(Table9[[#This Row],[Document ID]],Table1[],8,FALSE)</f>
        <v>NDC 1.0</v>
      </c>
      <c r="G131" s="241" t="str">
        <f>VLOOKUP(Table9[[#This Row],[Document ID]],Table1[],10,FALSE)</f>
        <v>Active</v>
      </c>
      <c r="H131" s="44" t="s">
        <v>5072</v>
      </c>
      <c r="I131" s="43" t="s">
        <v>5073</v>
      </c>
      <c r="J131" s="209" t="s">
        <v>5207</v>
      </c>
      <c r="K131" s="259">
        <v>12</v>
      </c>
      <c r="L131" s="219"/>
      <c r="M131" s="219"/>
      <c r="N131" s="219"/>
      <c r="O131" s="219"/>
      <c r="P131" s="219"/>
      <c r="Q131" s="219"/>
      <c r="R131" s="219"/>
      <c r="S131" s="219"/>
      <c r="T131" s="219"/>
      <c r="U131" s="219"/>
      <c r="V131" s="219"/>
      <c r="W131" s="219" t="s">
        <v>1113</v>
      </c>
      <c r="X131" s="219" t="s">
        <v>1113</v>
      </c>
      <c r="Y131" s="219"/>
      <c r="Z131" s="219"/>
      <c r="AA131" s="219" t="s">
        <v>1113</v>
      </c>
      <c r="AB131" s="219"/>
      <c r="AC131" s="219"/>
      <c r="AD131" s="219"/>
      <c r="AE131" s="219"/>
      <c r="AF131" s="219"/>
      <c r="AG131" s="219"/>
      <c r="AH131" s="219"/>
      <c r="AI131" s="113" t="s">
        <v>1113</v>
      </c>
      <c r="AJ131" s="113"/>
      <c r="AK131" s="113"/>
      <c r="AL131" s="113"/>
      <c r="AM131" s="43" t="s">
        <v>5208</v>
      </c>
      <c r="AN131" s="233" t="str">
        <f>VLOOKUP(Table9[[#This Row],[Measure]],Table1025[[Value name]:[Value identifyer]],2,FALSE)</f>
        <v>R_System</v>
      </c>
      <c r="AO131" s="241" t="str">
        <f>VLOOKUP(Table9[[#This Row],[Country Code]],Table29[],3,FALSE)</f>
        <v>Non-Annex I</v>
      </c>
      <c r="AP131" s="241" t="str">
        <f>VLOOKUP(Table9[[#This Row],[Country Code]],Table29[],4,FALSE)</f>
        <v>Asia</v>
      </c>
      <c r="AQ131" s="241" t="str">
        <f>VLOOKUP(Table9[[#This Row],[Country Code]],Table29[],5,FALSE)</f>
        <v>Middle-income</v>
      </c>
      <c r="AR131" s="241" t="str">
        <f>VLOOKUP(Table9[[#This Row],[Country Code]],Table29[],6,FALSE)</f>
        <v>no</v>
      </c>
      <c r="AS131" s="241" t="str">
        <f>VLOOKUP(Table9[[#This Row],[Country Code]],Table29[],7,FALSE)</f>
        <v>no</v>
      </c>
      <c r="AT131" s="241" t="str">
        <f>VLOOKUP(Table9[[#This Row],[Country Code]],Table29[],8,FALSE)</f>
        <v>non-OECD</v>
      </c>
      <c r="AU131" s="233" t="str">
        <f>VLOOKUP(Table9[[#This Row],[Country Code]],Table29[],9,FALSE)</f>
        <v>no</v>
      </c>
      <c r="AV131" s="233" t="str">
        <f>VLOOKUP(Table9[[#This Row],[Country Code]],Table29[],10,FALSE)</f>
        <v>MENA</v>
      </c>
      <c r="AW131" s="233">
        <f>VLOOKUP(Table9[[#This Row],[Country Code]],Table29[],23,FALSE)</f>
        <v>362.78479656291</v>
      </c>
      <c r="AX131" s="233">
        <f>VLOOKUP(Table9[[#This Row],[Country Code]],Table29[],24,FALSE)</f>
        <v>40.534963091292582</v>
      </c>
      <c r="AY131" s="43"/>
    </row>
    <row r="132" spans="1:51" ht="30" x14ac:dyDescent="0.25">
      <c r="A132" s="367">
        <v>23939</v>
      </c>
      <c r="B132" s="233" t="str">
        <f>VLOOKUP(Table9[[#This Row],[Document ID]],Table1[],2,FALSE)</f>
        <v>IRQ</v>
      </c>
      <c r="C132" s="233" t="str">
        <f>VLOOKUP(Table9[[#This Row],[Document ID]],Table1[],3,FALSE)</f>
        <v>Iraq</v>
      </c>
      <c r="D132" s="254" t="str">
        <f>VLOOKUP(Table9[[#This Row],[Document ID]],Table1[],5,FALSE)</f>
        <v>NDC</v>
      </c>
      <c r="E132" s="233" t="str">
        <f>VLOOKUP(Table9[[#This Row],[Document ID]],Table1[],7,FALSE)</f>
        <v>First NDC</v>
      </c>
      <c r="F132" s="241" t="str">
        <f>VLOOKUP(Table9[[#This Row],[Document ID]],Table1[],8,FALSE)</f>
        <v>NDC 1.0</v>
      </c>
      <c r="G132" s="241" t="str">
        <f>VLOOKUP(Table9[[#This Row],[Document ID]],Table1[],10,FALSE)</f>
        <v>Active</v>
      </c>
      <c r="H132" s="44" t="s">
        <v>5072</v>
      </c>
      <c r="I132" s="43" t="s">
        <v>5097</v>
      </c>
      <c r="J132" s="209" t="s">
        <v>5209</v>
      </c>
      <c r="K132" s="259">
        <v>12</v>
      </c>
      <c r="L132" s="219" t="s">
        <v>1113</v>
      </c>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113" t="s">
        <v>1113</v>
      </c>
      <c r="AJ132" s="113"/>
      <c r="AK132" s="113"/>
      <c r="AL132" s="113"/>
      <c r="AM132" s="43" t="s">
        <v>5205</v>
      </c>
      <c r="AN132" s="233" t="str">
        <f>VLOOKUP(Table9[[#This Row],[Measure]],Table1025[[Value name]:[Value identifyer]],2,FALSE)</f>
        <v>R_Tech</v>
      </c>
      <c r="AO132" s="241" t="str">
        <f>VLOOKUP(Table9[[#This Row],[Country Code]],Table29[],3,FALSE)</f>
        <v>Non-Annex I</v>
      </c>
      <c r="AP132" s="241" t="str">
        <f>VLOOKUP(Table9[[#This Row],[Country Code]],Table29[],4,FALSE)</f>
        <v>Asia</v>
      </c>
      <c r="AQ132" s="241" t="str">
        <f>VLOOKUP(Table9[[#This Row],[Country Code]],Table29[],5,FALSE)</f>
        <v>Middle-income</v>
      </c>
      <c r="AR132" s="241" t="str">
        <f>VLOOKUP(Table9[[#This Row],[Country Code]],Table29[],6,FALSE)</f>
        <v>no</v>
      </c>
      <c r="AS132" s="241" t="str">
        <f>VLOOKUP(Table9[[#This Row],[Country Code]],Table29[],7,FALSE)</f>
        <v>no</v>
      </c>
      <c r="AT132" s="241" t="str">
        <f>VLOOKUP(Table9[[#This Row],[Country Code]],Table29[],8,FALSE)</f>
        <v>non-OECD</v>
      </c>
      <c r="AU132" s="233" t="str">
        <f>VLOOKUP(Table9[[#This Row],[Country Code]],Table29[],9,FALSE)</f>
        <v>no</v>
      </c>
      <c r="AV132" s="233" t="str">
        <f>VLOOKUP(Table9[[#This Row],[Country Code]],Table29[],10,FALSE)</f>
        <v>MENA</v>
      </c>
      <c r="AW132" s="233">
        <f>VLOOKUP(Table9[[#This Row],[Country Code]],Table29[],23,FALSE)</f>
        <v>362.78479656291</v>
      </c>
      <c r="AX132" s="233">
        <f>VLOOKUP(Table9[[#This Row],[Country Code]],Table29[],24,FALSE)</f>
        <v>40.534963091292582</v>
      </c>
      <c r="AY132" s="43"/>
    </row>
    <row r="133" spans="1:51" ht="30" x14ac:dyDescent="0.25">
      <c r="A133" s="367">
        <v>23939</v>
      </c>
      <c r="B133" s="233" t="str">
        <f>VLOOKUP(Table9[[#This Row],[Document ID]],Table1[],2,FALSE)</f>
        <v>IRQ</v>
      </c>
      <c r="C133" s="233" t="str">
        <f>VLOOKUP(Table9[[#This Row],[Document ID]],Table1[],3,FALSE)</f>
        <v>Iraq</v>
      </c>
      <c r="D133" s="254" t="str">
        <f>VLOOKUP(Table9[[#This Row],[Document ID]],Table1[],5,FALSE)</f>
        <v>NDC</v>
      </c>
      <c r="E133" s="233" t="str">
        <f>VLOOKUP(Table9[[#This Row],[Document ID]],Table1[],7,FALSE)</f>
        <v>First NDC</v>
      </c>
      <c r="F133" s="241" t="str">
        <f>VLOOKUP(Table9[[#This Row],[Document ID]],Table1[],8,FALSE)</f>
        <v>NDC 1.0</v>
      </c>
      <c r="G133" s="241" t="str">
        <f>VLOOKUP(Table9[[#This Row],[Document ID]],Table1[],10,FALSE)</f>
        <v>Active</v>
      </c>
      <c r="H133" s="44" t="s">
        <v>5072</v>
      </c>
      <c r="I133" s="43" t="s">
        <v>5073</v>
      </c>
      <c r="J133" s="209" t="s">
        <v>5210</v>
      </c>
      <c r="K133" s="259">
        <v>13</v>
      </c>
      <c r="L133" s="219"/>
      <c r="M133" s="219"/>
      <c r="N133" s="219"/>
      <c r="O133" s="219" t="s">
        <v>1113</v>
      </c>
      <c r="P133" s="219"/>
      <c r="Q133" s="219" t="s">
        <v>1113</v>
      </c>
      <c r="R133" s="219"/>
      <c r="S133" s="219"/>
      <c r="T133" s="219"/>
      <c r="U133" s="219"/>
      <c r="V133" s="219"/>
      <c r="W133" s="219"/>
      <c r="X133" s="219" t="s">
        <v>1113</v>
      </c>
      <c r="Y133" s="219"/>
      <c r="Z133" s="219"/>
      <c r="AA133" s="219"/>
      <c r="AB133" s="219" t="s">
        <v>1113</v>
      </c>
      <c r="AC133" s="219"/>
      <c r="AD133" s="219" t="s">
        <v>1113</v>
      </c>
      <c r="AE133" s="219"/>
      <c r="AF133" s="219" t="s">
        <v>1113</v>
      </c>
      <c r="AG133" s="219"/>
      <c r="AH133" s="219"/>
      <c r="AI133" s="113" t="s">
        <v>1113</v>
      </c>
      <c r="AJ133" s="113"/>
      <c r="AK133" s="113"/>
      <c r="AL133" s="113"/>
      <c r="AM133" s="43" t="s">
        <v>5205</v>
      </c>
      <c r="AN133" s="233" t="str">
        <f>VLOOKUP(Table9[[#This Row],[Measure]],Table1025[[Value name]:[Value identifyer]],2,FALSE)</f>
        <v>R_System</v>
      </c>
      <c r="AO133" s="241" t="str">
        <f>VLOOKUP(Table9[[#This Row],[Country Code]],Table29[],3,FALSE)</f>
        <v>Non-Annex I</v>
      </c>
      <c r="AP133" s="241" t="str">
        <f>VLOOKUP(Table9[[#This Row],[Country Code]],Table29[],4,FALSE)</f>
        <v>Asia</v>
      </c>
      <c r="AQ133" s="241" t="str">
        <f>VLOOKUP(Table9[[#This Row],[Country Code]],Table29[],5,FALSE)</f>
        <v>Middle-income</v>
      </c>
      <c r="AR133" s="241" t="str">
        <f>VLOOKUP(Table9[[#This Row],[Country Code]],Table29[],6,FALSE)</f>
        <v>no</v>
      </c>
      <c r="AS133" s="241" t="str">
        <f>VLOOKUP(Table9[[#This Row],[Country Code]],Table29[],7,FALSE)</f>
        <v>no</v>
      </c>
      <c r="AT133" s="241" t="str">
        <f>VLOOKUP(Table9[[#This Row],[Country Code]],Table29[],8,FALSE)</f>
        <v>non-OECD</v>
      </c>
      <c r="AU133" s="233" t="str">
        <f>VLOOKUP(Table9[[#This Row],[Country Code]],Table29[],9,FALSE)</f>
        <v>no</v>
      </c>
      <c r="AV133" s="233" t="str">
        <f>VLOOKUP(Table9[[#This Row],[Country Code]],Table29[],10,FALSE)</f>
        <v>MENA</v>
      </c>
      <c r="AW133" s="233">
        <f>VLOOKUP(Table9[[#This Row],[Country Code]],Table29[],23,FALSE)</f>
        <v>362.78479656291</v>
      </c>
      <c r="AX133" s="233">
        <f>VLOOKUP(Table9[[#This Row],[Country Code]],Table29[],24,FALSE)</f>
        <v>40.534963091292582</v>
      </c>
      <c r="AY133" s="43"/>
    </row>
    <row r="134" spans="1:51" ht="30" x14ac:dyDescent="0.25">
      <c r="A134" s="367">
        <v>23939</v>
      </c>
      <c r="B134" s="233" t="str">
        <f>VLOOKUP(Table9[[#This Row],[Document ID]],Table1[],2,FALSE)</f>
        <v>IRQ</v>
      </c>
      <c r="C134" s="233" t="str">
        <f>VLOOKUP(Table9[[#This Row],[Document ID]],Table1[],3,FALSE)</f>
        <v>Iraq</v>
      </c>
      <c r="D134" s="254" t="str">
        <f>VLOOKUP(Table9[[#This Row],[Document ID]],Table1[],5,FALSE)</f>
        <v>NDC</v>
      </c>
      <c r="E134" s="233" t="str">
        <f>VLOOKUP(Table9[[#This Row],[Document ID]],Table1[],7,FALSE)</f>
        <v>First NDC</v>
      </c>
      <c r="F134" s="241" t="str">
        <f>VLOOKUP(Table9[[#This Row],[Document ID]],Table1[],8,FALSE)</f>
        <v>NDC 1.0</v>
      </c>
      <c r="G134" s="241" t="str">
        <f>VLOOKUP(Table9[[#This Row],[Document ID]],Table1[],10,FALSE)</f>
        <v>Active</v>
      </c>
      <c r="H134" s="44" t="s">
        <v>5072</v>
      </c>
      <c r="I134" s="43" t="s">
        <v>5073</v>
      </c>
      <c r="J134" s="209" t="s">
        <v>5211</v>
      </c>
      <c r="K134" s="259">
        <v>13</v>
      </c>
      <c r="L134" s="219"/>
      <c r="M134" s="219"/>
      <c r="N134" s="219"/>
      <c r="O134" s="219"/>
      <c r="P134" s="219"/>
      <c r="Q134" s="219"/>
      <c r="R134" s="219"/>
      <c r="S134" s="219"/>
      <c r="T134" s="219"/>
      <c r="U134" s="219"/>
      <c r="V134" s="219"/>
      <c r="W134" s="219"/>
      <c r="X134" s="219"/>
      <c r="Y134" s="219"/>
      <c r="Z134" s="219"/>
      <c r="AA134" s="219"/>
      <c r="AB134" s="219" t="s">
        <v>1113</v>
      </c>
      <c r="AC134" s="219"/>
      <c r="AD134" s="219"/>
      <c r="AE134" s="219"/>
      <c r="AF134" s="219"/>
      <c r="AG134" s="219"/>
      <c r="AH134" s="219"/>
      <c r="AI134" s="113" t="s">
        <v>1113</v>
      </c>
      <c r="AJ134" s="113"/>
      <c r="AK134" s="113"/>
      <c r="AL134" s="113"/>
      <c r="AM134" s="43" t="s">
        <v>5205</v>
      </c>
      <c r="AN134" s="233" t="str">
        <f>VLOOKUP(Table9[[#This Row],[Measure]],Table1025[[Value name]:[Value identifyer]],2,FALSE)</f>
        <v>R_System</v>
      </c>
      <c r="AO134" s="241" t="str">
        <f>VLOOKUP(Table9[[#This Row],[Country Code]],Table29[],3,FALSE)</f>
        <v>Non-Annex I</v>
      </c>
      <c r="AP134" s="241" t="str">
        <f>VLOOKUP(Table9[[#This Row],[Country Code]],Table29[],4,FALSE)</f>
        <v>Asia</v>
      </c>
      <c r="AQ134" s="241" t="str">
        <f>VLOOKUP(Table9[[#This Row],[Country Code]],Table29[],5,FALSE)</f>
        <v>Middle-income</v>
      </c>
      <c r="AR134" s="241" t="str">
        <f>VLOOKUP(Table9[[#This Row],[Country Code]],Table29[],6,FALSE)</f>
        <v>no</v>
      </c>
      <c r="AS134" s="241" t="str">
        <f>VLOOKUP(Table9[[#This Row],[Country Code]],Table29[],7,FALSE)</f>
        <v>no</v>
      </c>
      <c r="AT134" s="241" t="str">
        <f>VLOOKUP(Table9[[#This Row],[Country Code]],Table29[],8,FALSE)</f>
        <v>non-OECD</v>
      </c>
      <c r="AU134" s="233" t="str">
        <f>VLOOKUP(Table9[[#This Row],[Country Code]],Table29[],9,FALSE)</f>
        <v>no</v>
      </c>
      <c r="AV134" s="233" t="str">
        <f>VLOOKUP(Table9[[#This Row],[Country Code]],Table29[],10,FALSE)</f>
        <v>MENA</v>
      </c>
      <c r="AW134" s="233">
        <f>VLOOKUP(Table9[[#This Row],[Country Code]],Table29[],23,FALSE)</f>
        <v>362.78479656291</v>
      </c>
      <c r="AX134" s="233">
        <f>VLOOKUP(Table9[[#This Row],[Country Code]],Table29[],24,FALSE)</f>
        <v>40.534963091292582</v>
      </c>
      <c r="AY134" s="43"/>
    </row>
    <row r="135" spans="1:51" ht="30" x14ac:dyDescent="0.25">
      <c r="A135" s="367">
        <v>23939</v>
      </c>
      <c r="B135" s="233" t="str">
        <f>VLOOKUP(Table9[[#This Row],[Document ID]],Table1[],2,FALSE)</f>
        <v>IRQ</v>
      </c>
      <c r="C135" s="233" t="str">
        <f>VLOOKUP(Table9[[#This Row],[Document ID]],Table1[],3,FALSE)</f>
        <v>Iraq</v>
      </c>
      <c r="D135" s="254" t="str">
        <f>VLOOKUP(Table9[[#This Row],[Document ID]],Table1[],5,FALSE)</f>
        <v>NDC</v>
      </c>
      <c r="E135" s="233" t="str">
        <f>VLOOKUP(Table9[[#This Row],[Document ID]],Table1[],7,FALSE)</f>
        <v>First NDC</v>
      </c>
      <c r="F135" s="241" t="str">
        <f>VLOOKUP(Table9[[#This Row],[Document ID]],Table1[],8,FALSE)</f>
        <v>NDC 1.0</v>
      </c>
      <c r="G135" s="241" t="str">
        <f>VLOOKUP(Table9[[#This Row],[Document ID]],Table1[],10,FALSE)</f>
        <v>Active</v>
      </c>
      <c r="H135" s="44" t="s">
        <v>5072</v>
      </c>
      <c r="I135" s="43" t="s">
        <v>5082</v>
      </c>
      <c r="J135" s="209" t="s">
        <v>5212</v>
      </c>
      <c r="K135" s="259">
        <v>13</v>
      </c>
      <c r="L135" s="219" t="s">
        <v>1113</v>
      </c>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113" t="s">
        <v>1113</v>
      </c>
      <c r="AJ135" s="113"/>
      <c r="AK135" s="113"/>
      <c r="AL135" s="113"/>
      <c r="AM135" s="43" t="s">
        <v>5205</v>
      </c>
      <c r="AN135" s="233" t="str">
        <f>VLOOKUP(Table9[[#This Row],[Measure]],Table1025[[Value name]:[Value identifyer]],2,FALSE)</f>
        <v>R_Risk</v>
      </c>
      <c r="AO135" s="241" t="str">
        <f>VLOOKUP(Table9[[#This Row],[Country Code]],Table29[],3,FALSE)</f>
        <v>Non-Annex I</v>
      </c>
      <c r="AP135" s="241" t="str">
        <f>VLOOKUP(Table9[[#This Row],[Country Code]],Table29[],4,FALSE)</f>
        <v>Asia</v>
      </c>
      <c r="AQ135" s="241" t="str">
        <f>VLOOKUP(Table9[[#This Row],[Country Code]],Table29[],5,FALSE)</f>
        <v>Middle-income</v>
      </c>
      <c r="AR135" s="241" t="str">
        <f>VLOOKUP(Table9[[#This Row],[Country Code]],Table29[],6,FALSE)</f>
        <v>no</v>
      </c>
      <c r="AS135" s="241" t="str">
        <f>VLOOKUP(Table9[[#This Row],[Country Code]],Table29[],7,FALSE)</f>
        <v>no</v>
      </c>
      <c r="AT135" s="241" t="str">
        <f>VLOOKUP(Table9[[#This Row],[Country Code]],Table29[],8,FALSE)</f>
        <v>non-OECD</v>
      </c>
      <c r="AU135" s="233" t="str">
        <f>VLOOKUP(Table9[[#This Row],[Country Code]],Table29[],9,FALSE)</f>
        <v>no</v>
      </c>
      <c r="AV135" s="233" t="str">
        <f>VLOOKUP(Table9[[#This Row],[Country Code]],Table29[],10,FALSE)</f>
        <v>MENA</v>
      </c>
      <c r="AW135" s="233">
        <f>VLOOKUP(Table9[[#This Row],[Country Code]],Table29[],23,FALSE)</f>
        <v>362.78479656291</v>
      </c>
      <c r="AX135" s="233">
        <f>VLOOKUP(Table9[[#This Row],[Country Code]],Table29[],24,FALSE)</f>
        <v>40.534963091292582</v>
      </c>
      <c r="AY135" s="43"/>
    </row>
    <row r="136" spans="1:51" ht="45" x14ac:dyDescent="0.25">
      <c r="A136" s="360">
        <v>39445</v>
      </c>
      <c r="B136" s="233" t="str">
        <f>VLOOKUP(Table9[[#This Row],[Document ID]],Table1[],2,FALSE)</f>
        <v>IRL</v>
      </c>
      <c r="C136" s="233" t="str">
        <f>VLOOKUP(Table9[[#This Row],[Document ID]],Table1[],3,FALSE)</f>
        <v>Ireland</v>
      </c>
      <c r="D136" s="233" t="str">
        <f>VLOOKUP(Table9[[#This Row],[Document ID]],Table1[],5,FALSE)</f>
        <v>LTS</v>
      </c>
      <c r="E136" s="233" t="str">
        <f>VLOOKUP(Table9[[#This Row],[Document ID]],Table1[],7,FALSE)</f>
        <v>EU-LTS</v>
      </c>
      <c r="F136" s="233" t="str">
        <f>VLOOKUP(Table9[[#This Row],[Document ID]],Table1[],8,FALSE)</f>
        <v>LTS 1.0</v>
      </c>
      <c r="G136" s="233" t="str">
        <f>VLOOKUP(Table9[[#This Row],[Document ID]],Table1[],10,FALSE)</f>
        <v>Archived</v>
      </c>
      <c r="H136" s="44" t="s">
        <v>5072</v>
      </c>
      <c r="I136" s="43" t="s">
        <v>5073</v>
      </c>
      <c r="J136" s="44" t="s">
        <v>5213</v>
      </c>
      <c r="K136" s="221">
        <v>85</v>
      </c>
      <c r="L136" s="113" t="s">
        <v>1113</v>
      </c>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t="s">
        <v>1113</v>
      </c>
      <c r="AJ136" s="326"/>
      <c r="AK136" s="326"/>
      <c r="AL136" s="326"/>
      <c r="AM136" s="43" t="s">
        <v>5075</v>
      </c>
      <c r="AN136" s="233" t="str">
        <f>VLOOKUP(Table9[[#This Row],[Measure]],Table1025[[Value name]:[Value identifyer]],2,FALSE)</f>
        <v>R_System</v>
      </c>
      <c r="AO136" s="241" t="str">
        <f>VLOOKUP(Table9[[#This Row],[Country Code]],Table29[],3,FALSE)</f>
        <v>Annex I</v>
      </c>
      <c r="AP136" s="241" t="str">
        <f>VLOOKUP(Table9[[#This Row],[Country Code]],Table29[],4,FALSE)</f>
        <v>Europe</v>
      </c>
      <c r="AQ136" s="241" t="str">
        <f>VLOOKUP(Table9[[#This Row],[Country Code]],Table29[],5,FALSE)</f>
        <v>High-income</v>
      </c>
      <c r="AR136" s="241" t="str">
        <f>VLOOKUP(Table9[[#This Row],[Country Code]],Table29[],6,FALSE)</f>
        <v>no</v>
      </c>
      <c r="AS136" s="241" t="str">
        <f>VLOOKUP(Table9[[#This Row],[Country Code]],Table29[],7,FALSE)</f>
        <v>no</v>
      </c>
      <c r="AT136" s="241" t="str">
        <f>VLOOKUP(Table9[[#This Row],[Country Code]],Table29[],8,FALSE)</f>
        <v>OECD</v>
      </c>
      <c r="AU136" s="233" t="str">
        <f>VLOOKUP(Table9[[#This Row],[Country Code]],Table29[],9,FALSE)</f>
        <v>EU27</v>
      </c>
      <c r="AV136" s="233" t="str">
        <f>VLOOKUP(Table9[[#This Row],[Country Code]],Table29[],10,FALSE)</f>
        <v>no</v>
      </c>
      <c r="AW136" s="233">
        <f>VLOOKUP(Table9[[#This Row],[Country Code]],Table29[],23,FALSE)</f>
        <v>57.853266947361</v>
      </c>
      <c r="AX136" s="233">
        <f>VLOOKUP(Table9[[#This Row],[Country Code]],Table29[],24,FALSE)</f>
        <v>11.23875075000765</v>
      </c>
      <c r="AY136" s="43"/>
    </row>
    <row r="137" spans="1:51" ht="45" x14ac:dyDescent="0.25">
      <c r="A137" s="360">
        <v>26796</v>
      </c>
      <c r="B137" s="233" t="str">
        <f>VLOOKUP(Table9[[#This Row],[Document ID]],Table1[],2,FALSE)</f>
        <v>JPN</v>
      </c>
      <c r="C137" s="233" t="str">
        <f>VLOOKUP(Table9[[#This Row],[Document ID]],Table1[],3,FALSE)</f>
        <v>Japan</v>
      </c>
      <c r="D137" s="233" t="str">
        <f>VLOOKUP(Table9[[#This Row],[Document ID]],Table1[],5,FALSE)</f>
        <v>LTS</v>
      </c>
      <c r="E137" s="233" t="str">
        <f>VLOOKUP(Table9[[#This Row],[Document ID]],Table1[],7,FALSE)</f>
        <v>LTS</v>
      </c>
      <c r="F137" s="233" t="str">
        <f>VLOOKUP(Table9[[#This Row],[Document ID]],Table1[],8,FALSE)</f>
        <v>LTS 1.1</v>
      </c>
      <c r="G137" s="233" t="str">
        <f>VLOOKUP(Table9[[#This Row],[Document ID]],Table1[],10,FALSE)</f>
        <v>Active</v>
      </c>
      <c r="H137" s="44" t="s">
        <v>5072</v>
      </c>
      <c r="I137" s="43" t="s">
        <v>5073</v>
      </c>
      <c r="J137" s="44" t="s">
        <v>5214</v>
      </c>
      <c r="K137" s="221">
        <v>39</v>
      </c>
      <c r="L137" s="113" t="s">
        <v>1113</v>
      </c>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t="s">
        <v>1113</v>
      </c>
      <c r="AJ137" s="326"/>
      <c r="AK137" s="326"/>
      <c r="AL137" s="326"/>
      <c r="AM137" s="43" t="s">
        <v>5215</v>
      </c>
      <c r="AN137" s="233" t="str">
        <f>VLOOKUP(Table9[[#This Row],[Measure]],Table1025[[Value name]:[Value identifyer]],2,FALSE)</f>
        <v>R_System</v>
      </c>
      <c r="AO137" s="241" t="str">
        <f>VLOOKUP(Table9[[#This Row],[Country Code]],Table29[],3,FALSE)</f>
        <v>Annex I</v>
      </c>
      <c r="AP137" s="241" t="str">
        <f>VLOOKUP(Table9[[#This Row],[Country Code]],Table29[],4,FALSE)</f>
        <v>Asia</v>
      </c>
      <c r="AQ137" s="241" t="str">
        <f>VLOOKUP(Table9[[#This Row],[Country Code]],Table29[],5,FALSE)</f>
        <v>High-income</v>
      </c>
      <c r="AR137" s="241" t="str">
        <f>VLOOKUP(Table9[[#This Row],[Country Code]],Table29[],6,FALSE)</f>
        <v>G20</v>
      </c>
      <c r="AS137" s="241" t="str">
        <f>VLOOKUP(Table9[[#This Row],[Country Code]],Table29[],7,FALSE)</f>
        <v>G7</v>
      </c>
      <c r="AT137" s="241" t="str">
        <f>VLOOKUP(Table9[[#This Row],[Country Code]],Table29[],8,FALSE)</f>
        <v>OECD</v>
      </c>
      <c r="AU137" s="233" t="str">
        <f>VLOOKUP(Table9[[#This Row],[Country Code]],Table29[],9,FALSE)</f>
        <v>no</v>
      </c>
      <c r="AV137" s="233" t="str">
        <f>VLOOKUP(Table9[[#This Row],[Country Code]],Table29[],10,FALSE)</f>
        <v>no</v>
      </c>
      <c r="AW137" s="233">
        <f>VLOOKUP(Table9[[#This Row],[Country Code]],Table29[],23,FALSE)</f>
        <v>1041.0128248686999</v>
      </c>
      <c r="AX137" s="233">
        <f>VLOOKUP(Table9[[#This Row],[Country Code]],Table29[],24,FALSE)</f>
        <v>181.96191357547141</v>
      </c>
      <c r="AY137" s="43"/>
    </row>
    <row r="138" spans="1:51" ht="45" x14ac:dyDescent="0.25">
      <c r="A138" s="360">
        <v>26796</v>
      </c>
      <c r="B138" s="233" t="str">
        <f>VLOOKUP(Table9[[#This Row],[Document ID]],Table1[],2,FALSE)</f>
        <v>JPN</v>
      </c>
      <c r="C138" s="233" t="str">
        <f>VLOOKUP(Table9[[#This Row],[Document ID]],Table1[],3,FALSE)</f>
        <v>Japan</v>
      </c>
      <c r="D138" s="233" t="str">
        <f>VLOOKUP(Table9[[#This Row],[Document ID]],Table1[],5,FALSE)</f>
        <v>LTS</v>
      </c>
      <c r="E138" s="233" t="str">
        <f>VLOOKUP(Table9[[#This Row],[Document ID]],Table1[],7,FALSE)</f>
        <v>LTS</v>
      </c>
      <c r="F138" s="233" t="str">
        <f>VLOOKUP(Table9[[#This Row],[Document ID]],Table1[],8,FALSE)</f>
        <v>LTS 1.1</v>
      </c>
      <c r="G138" s="233" t="str">
        <f>VLOOKUP(Table9[[#This Row],[Document ID]],Table1[],10,FALSE)</f>
        <v>Active</v>
      </c>
      <c r="H138" s="44" t="s">
        <v>5086</v>
      </c>
      <c r="I138" s="43" t="s">
        <v>5127</v>
      </c>
      <c r="J138" s="44" t="s">
        <v>5216</v>
      </c>
      <c r="K138" s="221">
        <v>44</v>
      </c>
      <c r="L138" s="113" t="s">
        <v>1113</v>
      </c>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t="s">
        <v>1113</v>
      </c>
      <c r="AJ138" s="326"/>
      <c r="AK138" s="326"/>
      <c r="AL138" s="326"/>
      <c r="AM138" s="43" t="s">
        <v>5075</v>
      </c>
      <c r="AN138" s="233" t="str">
        <f>VLOOKUP(Table9[[#This Row],[Measure]],Table1025[[Value name]:[Value identifyer]],2,FALSE)</f>
        <v>R_Emergency</v>
      </c>
      <c r="AO138" s="241" t="str">
        <f>VLOOKUP(Table9[[#This Row],[Country Code]],Table29[],3,FALSE)</f>
        <v>Annex I</v>
      </c>
      <c r="AP138" s="241" t="str">
        <f>VLOOKUP(Table9[[#This Row],[Country Code]],Table29[],4,FALSE)</f>
        <v>Asia</v>
      </c>
      <c r="AQ138" s="241" t="str">
        <f>VLOOKUP(Table9[[#This Row],[Country Code]],Table29[],5,FALSE)</f>
        <v>High-income</v>
      </c>
      <c r="AR138" s="241" t="str">
        <f>VLOOKUP(Table9[[#This Row],[Country Code]],Table29[],6,FALSE)</f>
        <v>G20</v>
      </c>
      <c r="AS138" s="241" t="str">
        <f>VLOOKUP(Table9[[#This Row],[Country Code]],Table29[],7,FALSE)</f>
        <v>G7</v>
      </c>
      <c r="AT138" s="241" t="str">
        <f>VLOOKUP(Table9[[#This Row],[Country Code]],Table29[],8,FALSE)</f>
        <v>OECD</v>
      </c>
      <c r="AU138" s="233" t="str">
        <f>VLOOKUP(Table9[[#This Row],[Country Code]],Table29[],9,FALSE)</f>
        <v>no</v>
      </c>
      <c r="AV138" s="233" t="str">
        <f>VLOOKUP(Table9[[#This Row],[Country Code]],Table29[],10,FALSE)</f>
        <v>no</v>
      </c>
      <c r="AW138" s="233">
        <f>VLOOKUP(Table9[[#This Row],[Country Code]],Table29[],23,FALSE)</f>
        <v>1041.0128248686999</v>
      </c>
      <c r="AX138" s="233">
        <f>VLOOKUP(Table9[[#This Row],[Country Code]],Table29[],24,FALSE)</f>
        <v>181.96191357547141</v>
      </c>
      <c r="AY138" s="43"/>
    </row>
    <row r="139" spans="1:51" ht="60" x14ac:dyDescent="0.25">
      <c r="A139" s="360">
        <v>26796</v>
      </c>
      <c r="B139" s="233" t="str">
        <f>VLOOKUP(Table9[[#This Row],[Document ID]],Table1[],2,FALSE)</f>
        <v>JPN</v>
      </c>
      <c r="C139" s="233" t="str">
        <f>VLOOKUP(Table9[[#This Row],[Document ID]],Table1[],3,FALSE)</f>
        <v>Japan</v>
      </c>
      <c r="D139" s="233" t="str">
        <f>VLOOKUP(Table9[[#This Row],[Document ID]],Table1[],5,FALSE)</f>
        <v>LTS</v>
      </c>
      <c r="E139" s="233" t="str">
        <f>VLOOKUP(Table9[[#This Row],[Document ID]],Table1[],7,FALSE)</f>
        <v>LTS</v>
      </c>
      <c r="F139" s="233" t="str">
        <f>VLOOKUP(Table9[[#This Row],[Document ID]],Table1[],8,FALSE)</f>
        <v>LTS 1.1</v>
      </c>
      <c r="G139" s="233" t="str">
        <f>VLOOKUP(Table9[[#This Row],[Document ID]],Table1[],10,FALSE)</f>
        <v>Active</v>
      </c>
      <c r="H139" s="44" t="s">
        <v>5072</v>
      </c>
      <c r="I139" s="43" t="s">
        <v>5073</v>
      </c>
      <c r="J139" s="44" t="s">
        <v>5217</v>
      </c>
      <c r="K139" s="221"/>
      <c r="L139" s="113"/>
      <c r="M139" s="113"/>
      <c r="N139" s="113"/>
      <c r="O139" s="113"/>
      <c r="P139" s="113"/>
      <c r="Q139" s="113"/>
      <c r="R139" s="113"/>
      <c r="S139" s="113"/>
      <c r="T139" s="113"/>
      <c r="U139" s="113"/>
      <c r="V139" s="113"/>
      <c r="W139" s="113"/>
      <c r="X139" s="113" t="s">
        <v>1113</v>
      </c>
      <c r="Y139" s="113"/>
      <c r="Z139" s="113"/>
      <c r="AA139" s="113"/>
      <c r="AB139" s="113"/>
      <c r="AC139" s="113"/>
      <c r="AD139" s="113"/>
      <c r="AE139" s="113"/>
      <c r="AF139" s="113" t="s">
        <v>1113</v>
      </c>
      <c r="AG139" s="113"/>
      <c r="AH139" s="113"/>
      <c r="AI139" s="113" t="s">
        <v>1113</v>
      </c>
      <c r="AJ139" s="326"/>
      <c r="AK139" s="326"/>
      <c r="AL139" s="326"/>
      <c r="AM139" s="43" t="s">
        <v>5208</v>
      </c>
      <c r="AN139" s="233" t="str">
        <f>VLOOKUP(Table9[[#This Row],[Measure]],Table1025[[Value name]:[Value identifyer]],2,FALSE)</f>
        <v>R_System</v>
      </c>
      <c r="AO139" s="241" t="str">
        <f>VLOOKUP(Table9[[#This Row],[Country Code]],Table29[],3,FALSE)</f>
        <v>Annex I</v>
      </c>
      <c r="AP139" s="241" t="str">
        <f>VLOOKUP(Table9[[#This Row],[Country Code]],Table29[],4,FALSE)</f>
        <v>Asia</v>
      </c>
      <c r="AQ139" s="241" t="str">
        <f>VLOOKUP(Table9[[#This Row],[Country Code]],Table29[],5,FALSE)</f>
        <v>High-income</v>
      </c>
      <c r="AR139" s="241" t="str">
        <f>VLOOKUP(Table9[[#This Row],[Country Code]],Table29[],6,FALSE)</f>
        <v>G20</v>
      </c>
      <c r="AS139" s="241" t="str">
        <f>VLOOKUP(Table9[[#This Row],[Country Code]],Table29[],7,FALSE)</f>
        <v>G7</v>
      </c>
      <c r="AT139" s="241" t="str">
        <f>VLOOKUP(Table9[[#This Row],[Country Code]],Table29[],8,FALSE)</f>
        <v>OECD</v>
      </c>
      <c r="AU139" s="233" t="str">
        <f>VLOOKUP(Table9[[#This Row],[Country Code]],Table29[],9,FALSE)</f>
        <v>no</v>
      </c>
      <c r="AV139" s="233" t="str">
        <f>VLOOKUP(Table9[[#This Row],[Country Code]],Table29[],10,FALSE)</f>
        <v>no</v>
      </c>
      <c r="AW139" s="233">
        <f>VLOOKUP(Table9[[#This Row],[Country Code]],Table29[],23,FALSE)</f>
        <v>1041.0128248686999</v>
      </c>
      <c r="AX139" s="233">
        <f>VLOOKUP(Table9[[#This Row],[Country Code]],Table29[],24,FALSE)</f>
        <v>181.96191357547141</v>
      </c>
      <c r="AY139" s="43"/>
    </row>
    <row r="140" spans="1:51" ht="30" x14ac:dyDescent="0.25">
      <c r="A140" s="360">
        <v>39446</v>
      </c>
      <c r="B140" s="233" t="str">
        <f>VLOOKUP(Table9[[#This Row],[Document ID]],Table1[],2,FALSE)</f>
        <v>KAZ</v>
      </c>
      <c r="C140" s="233" t="str">
        <f>VLOOKUP(Table9[[#This Row],[Document ID]],Table1[],3,FALSE)</f>
        <v>Kazakhstan</v>
      </c>
      <c r="D140" s="233" t="str">
        <f>VLOOKUP(Table9[[#This Row],[Document ID]],Table1[],5,FALSE)</f>
        <v>NDC</v>
      </c>
      <c r="E140" s="233" t="str">
        <f>VLOOKUP(Table9[[#This Row],[Document ID]],Table1[],7,FALSE)</f>
        <v>First NDC updated</v>
      </c>
      <c r="F140" s="233" t="str">
        <f>VLOOKUP(Table9[[#This Row],[Document ID]],Table1[],8,FALSE)</f>
        <v>NDC 1.1</v>
      </c>
      <c r="G140" s="233" t="str">
        <f>VLOOKUP(Table9[[#This Row],[Document ID]],Table1[],10,FALSE)</f>
        <v>Active</v>
      </c>
      <c r="H140" s="44" t="s">
        <v>5072</v>
      </c>
      <c r="I140" s="43" t="s">
        <v>5073</v>
      </c>
      <c r="J140" s="44" t="s">
        <v>5218</v>
      </c>
      <c r="K140" s="221">
        <v>15</v>
      </c>
      <c r="L140" s="113" t="s">
        <v>1113</v>
      </c>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t="s">
        <v>1113</v>
      </c>
      <c r="AJ140" s="326"/>
      <c r="AK140" s="326"/>
      <c r="AL140" s="326"/>
      <c r="AM140" s="43" t="s">
        <v>5075</v>
      </c>
      <c r="AN140" s="233" t="str">
        <f>VLOOKUP(Table9[[#This Row],[Measure]],Table1025[[Value name]:[Value identifyer]],2,FALSE)</f>
        <v>R_System</v>
      </c>
      <c r="AO140" s="241" t="str">
        <f>VLOOKUP(Table9[[#This Row],[Country Code]],Table29[],3,FALSE)</f>
        <v>Non-Annex I</v>
      </c>
      <c r="AP140" s="241" t="str">
        <f>VLOOKUP(Table9[[#This Row],[Country Code]],Table29[],4,FALSE)</f>
        <v>Asia</v>
      </c>
      <c r="AQ140" s="241" t="str">
        <f>VLOOKUP(Table9[[#This Row],[Country Code]],Table29[],5,FALSE)</f>
        <v>Middle-income</v>
      </c>
      <c r="AR140" s="241" t="str">
        <f>VLOOKUP(Table9[[#This Row],[Country Code]],Table29[],6,FALSE)</f>
        <v>no</v>
      </c>
      <c r="AS140" s="241" t="str">
        <f>VLOOKUP(Table9[[#This Row],[Country Code]],Table29[],7,FALSE)</f>
        <v>no</v>
      </c>
      <c r="AT140" s="241" t="str">
        <f>VLOOKUP(Table9[[#This Row],[Country Code]],Table29[],8,FALSE)</f>
        <v>non-OECD</v>
      </c>
      <c r="AU140" s="233" t="str">
        <f>VLOOKUP(Table9[[#This Row],[Country Code]],Table29[],9,FALSE)</f>
        <v>no</v>
      </c>
      <c r="AV140" s="233" t="str">
        <f>VLOOKUP(Table9[[#This Row],[Country Code]],Table29[],10,FALSE)</f>
        <v>no</v>
      </c>
      <c r="AW140" s="233">
        <f>VLOOKUP(Table9[[#This Row],[Country Code]],Table29[],23,FALSE)</f>
        <v>320.34998496393001</v>
      </c>
      <c r="AX140" s="233">
        <f>VLOOKUP(Table9[[#This Row],[Country Code]],Table29[],24,FALSE)</f>
        <v>24.00450259503398</v>
      </c>
      <c r="AY140" s="43"/>
    </row>
    <row r="141" spans="1:51" x14ac:dyDescent="0.25">
      <c r="A141" s="367">
        <v>17632</v>
      </c>
      <c r="B141" s="233" t="str">
        <f>VLOOKUP(Table9[[#This Row],[Document ID]],Table1[],2,FALSE)</f>
        <v>KEN</v>
      </c>
      <c r="C141" s="233" t="str">
        <f>VLOOKUP(Table9[[#This Row],[Document ID]],Table1[],3,FALSE)</f>
        <v>Kenya</v>
      </c>
      <c r="D141" s="254" t="str">
        <f>VLOOKUP(Table9[[#This Row],[Document ID]],Table1[],5,FALSE)</f>
        <v>NDC</v>
      </c>
      <c r="E141" s="233" t="str">
        <f>VLOOKUP(Table9[[#This Row],[Document ID]],Table1[],7,FALSE)</f>
        <v>First NDC updated</v>
      </c>
      <c r="F141" s="241" t="str">
        <f>VLOOKUP(Table9[[#This Row],[Document ID]],Table1[],8,FALSE)</f>
        <v>NDC 1.1</v>
      </c>
      <c r="G141" s="241" t="str">
        <f>VLOOKUP(Table9[[#This Row],[Document ID]],Table1[],10,FALSE)</f>
        <v>Active</v>
      </c>
      <c r="H141" s="44" t="s">
        <v>5072</v>
      </c>
      <c r="I141" s="43" t="s">
        <v>5073</v>
      </c>
      <c r="J141" s="44" t="s">
        <v>5219</v>
      </c>
      <c r="K141" s="221">
        <v>15</v>
      </c>
      <c r="L141" s="113"/>
      <c r="M141" s="113"/>
      <c r="N141" s="113"/>
      <c r="O141" s="113"/>
      <c r="P141" s="113"/>
      <c r="Q141" s="113" t="s">
        <v>1113</v>
      </c>
      <c r="R141" s="113"/>
      <c r="S141" s="113"/>
      <c r="T141" s="113"/>
      <c r="U141" s="113"/>
      <c r="V141" s="113"/>
      <c r="W141" s="113"/>
      <c r="X141" s="113"/>
      <c r="Y141" s="113"/>
      <c r="Z141" s="113"/>
      <c r="AA141" s="113"/>
      <c r="AB141" s="113"/>
      <c r="AC141" s="113"/>
      <c r="AD141" s="113"/>
      <c r="AE141" s="113"/>
      <c r="AF141" s="113"/>
      <c r="AG141" s="113"/>
      <c r="AH141" s="113"/>
      <c r="AI141" s="113" t="s">
        <v>1113</v>
      </c>
      <c r="AJ141" s="113"/>
      <c r="AK141" s="113"/>
      <c r="AL141" s="113"/>
      <c r="AM141" s="43" t="s">
        <v>5075</v>
      </c>
      <c r="AN141" s="233" t="str">
        <f>VLOOKUP(Table9[[#This Row],[Measure]],Table1025[[Value name]:[Value identifyer]],2,FALSE)</f>
        <v>R_System</v>
      </c>
      <c r="AO141" s="241" t="str">
        <f>VLOOKUP(Table9[[#This Row],[Country Code]],Table29[],3,FALSE)</f>
        <v>Non-Annex I</v>
      </c>
      <c r="AP141" s="241" t="str">
        <f>VLOOKUP(Table9[[#This Row],[Country Code]],Table29[],4,FALSE)</f>
        <v>Africa</v>
      </c>
      <c r="AQ141" s="241" t="str">
        <f>VLOOKUP(Table9[[#This Row],[Country Code]],Table29[],5,FALSE)</f>
        <v>Middle-income</v>
      </c>
      <c r="AR141" s="241" t="str">
        <f>VLOOKUP(Table9[[#This Row],[Country Code]],Table29[],6,FALSE)</f>
        <v>no</v>
      </c>
      <c r="AS141" s="241" t="str">
        <f>VLOOKUP(Table9[[#This Row],[Country Code]],Table29[],7,FALSE)</f>
        <v>no</v>
      </c>
      <c r="AT141" s="241" t="str">
        <f>VLOOKUP(Table9[[#This Row],[Country Code]],Table29[],8,FALSE)</f>
        <v>non-OECD</v>
      </c>
      <c r="AU141" s="233" t="str">
        <f>VLOOKUP(Table9[[#This Row],[Country Code]],Table29[],9,FALSE)</f>
        <v>no</v>
      </c>
      <c r="AV141" s="233" t="str">
        <f>VLOOKUP(Table9[[#This Row],[Country Code]],Table29[],10,FALSE)</f>
        <v>no</v>
      </c>
      <c r="AW141" s="233">
        <f>VLOOKUP(Table9[[#This Row],[Country Code]],Table29[],23,FALSE)</f>
        <v>107.97690921511</v>
      </c>
      <c r="AX141" s="233">
        <f>VLOOKUP(Table9[[#This Row],[Country Code]],Table29[],24,FALSE)</f>
        <v>10.8093492744944</v>
      </c>
      <c r="AY141" s="43"/>
    </row>
    <row r="142" spans="1:51" ht="30" x14ac:dyDescent="0.25">
      <c r="A142" s="367">
        <v>17632</v>
      </c>
      <c r="B142" s="233" t="str">
        <f>VLOOKUP(Table9[[#This Row],[Document ID]],Table1[],2,FALSE)</f>
        <v>KEN</v>
      </c>
      <c r="C142" s="233" t="str">
        <f>VLOOKUP(Table9[[#This Row],[Document ID]],Table1[],3,FALSE)</f>
        <v>Kenya</v>
      </c>
      <c r="D142" s="254" t="str">
        <f>VLOOKUP(Table9[[#This Row],[Document ID]],Table1[],5,FALSE)</f>
        <v>NDC</v>
      </c>
      <c r="E142" s="233" t="str">
        <f>VLOOKUP(Table9[[#This Row],[Document ID]],Table1[],7,FALSE)</f>
        <v>First NDC updated</v>
      </c>
      <c r="F142" s="241" t="str">
        <f>VLOOKUP(Table9[[#This Row],[Document ID]],Table1[],8,FALSE)</f>
        <v>NDC 1.1</v>
      </c>
      <c r="G142" s="241" t="str">
        <f>VLOOKUP(Table9[[#This Row],[Document ID]],Table1[],10,FALSE)</f>
        <v>Active</v>
      </c>
      <c r="H142" s="44" t="s">
        <v>5086</v>
      </c>
      <c r="I142" s="43" t="s">
        <v>5087</v>
      </c>
      <c r="J142" s="44" t="s">
        <v>5220</v>
      </c>
      <c r="K142" s="221">
        <v>15</v>
      </c>
      <c r="L142" s="113"/>
      <c r="M142" s="113"/>
      <c r="N142" s="113"/>
      <c r="O142" s="113"/>
      <c r="P142" s="113"/>
      <c r="Q142" s="113" t="s">
        <v>1113</v>
      </c>
      <c r="R142" s="113"/>
      <c r="S142" s="113"/>
      <c r="T142" s="113"/>
      <c r="U142" s="113"/>
      <c r="V142" s="113"/>
      <c r="W142" s="113"/>
      <c r="X142" s="113"/>
      <c r="Y142" s="113"/>
      <c r="Z142" s="113"/>
      <c r="AA142" s="113"/>
      <c r="AB142" s="113"/>
      <c r="AC142" s="113"/>
      <c r="AD142" s="113"/>
      <c r="AE142" s="113"/>
      <c r="AF142" s="113"/>
      <c r="AG142" s="113"/>
      <c r="AH142" s="113"/>
      <c r="AI142" s="113" t="s">
        <v>1113</v>
      </c>
      <c r="AJ142" s="113"/>
      <c r="AK142" s="113"/>
      <c r="AL142" s="113"/>
      <c r="AM142" s="43" t="s">
        <v>5075</v>
      </c>
      <c r="AN142" s="233" t="str">
        <f>VLOOKUP(Table9[[#This Row],[Measure]],Table1025[[Value name]:[Value identifyer]],2,FALSE)</f>
        <v>R_Education</v>
      </c>
      <c r="AO142" s="241" t="str">
        <f>VLOOKUP(Table9[[#This Row],[Country Code]],Table29[],3,FALSE)</f>
        <v>Non-Annex I</v>
      </c>
      <c r="AP142" s="241" t="str">
        <f>VLOOKUP(Table9[[#This Row],[Country Code]],Table29[],4,FALSE)</f>
        <v>Africa</v>
      </c>
      <c r="AQ142" s="241" t="str">
        <f>VLOOKUP(Table9[[#This Row],[Country Code]],Table29[],5,FALSE)</f>
        <v>Middle-income</v>
      </c>
      <c r="AR142" s="241" t="str">
        <f>VLOOKUP(Table9[[#This Row],[Country Code]],Table29[],6,FALSE)</f>
        <v>no</v>
      </c>
      <c r="AS142" s="241" t="str">
        <f>VLOOKUP(Table9[[#This Row],[Country Code]],Table29[],7,FALSE)</f>
        <v>no</v>
      </c>
      <c r="AT142" s="241" t="str">
        <f>VLOOKUP(Table9[[#This Row],[Country Code]],Table29[],8,FALSE)</f>
        <v>non-OECD</v>
      </c>
      <c r="AU142" s="233" t="str">
        <f>VLOOKUP(Table9[[#This Row],[Country Code]],Table29[],9,FALSE)</f>
        <v>no</v>
      </c>
      <c r="AV142" s="233" t="str">
        <f>VLOOKUP(Table9[[#This Row],[Country Code]],Table29[],10,FALSE)</f>
        <v>no</v>
      </c>
      <c r="AW142" s="233">
        <f>VLOOKUP(Table9[[#This Row],[Country Code]],Table29[],23,FALSE)</f>
        <v>107.97690921511</v>
      </c>
      <c r="AX142" s="233">
        <f>VLOOKUP(Table9[[#This Row],[Country Code]],Table29[],24,FALSE)</f>
        <v>10.8093492744944</v>
      </c>
      <c r="AY142" s="43"/>
    </row>
    <row r="143" spans="1:51" ht="30" x14ac:dyDescent="0.25">
      <c r="A143" s="367">
        <v>17632</v>
      </c>
      <c r="B143" s="233" t="str">
        <f>VLOOKUP(Table9[[#This Row],[Document ID]],Table1[],2,FALSE)</f>
        <v>KEN</v>
      </c>
      <c r="C143" s="233" t="str">
        <f>VLOOKUP(Table9[[#This Row],[Document ID]],Table1[],3,FALSE)</f>
        <v>Kenya</v>
      </c>
      <c r="D143" s="254" t="str">
        <f>VLOOKUP(Table9[[#This Row],[Document ID]],Table1[],5,FALSE)</f>
        <v>NDC</v>
      </c>
      <c r="E143" s="233" t="str">
        <f>VLOOKUP(Table9[[#This Row],[Document ID]],Table1[],7,FALSE)</f>
        <v>First NDC updated</v>
      </c>
      <c r="F143" s="241" t="str">
        <f>VLOOKUP(Table9[[#This Row],[Document ID]],Table1[],8,FALSE)</f>
        <v>NDC 1.1</v>
      </c>
      <c r="G143" s="241" t="str">
        <f>VLOOKUP(Table9[[#This Row],[Document ID]],Table1[],10,FALSE)</f>
        <v>Active</v>
      </c>
      <c r="H143" s="44" t="s">
        <v>5076</v>
      </c>
      <c r="I143" s="43" t="s">
        <v>5089</v>
      </c>
      <c r="J143" s="44" t="s">
        <v>1525</v>
      </c>
      <c r="K143" s="221">
        <v>15</v>
      </c>
      <c r="L143" s="113"/>
      <c r="M143" s="113"/>
      <c r="N143" s="113"/>
      <c r="O143" s="113"/>
      <c r="P143" s="113"/>
      <c r="Q143" s="113" t="s">
        <v>1113</v>
      </c>
      <c r="R143" s="113"/>
      <c r="S143" s="113"/>
      <c r="T143" s="113"/>
      <c r="U143" s="113"/>
      <c r="V143" s="113"/>
      <c r="W143" s="113"/>
      <c r="X143" s="113"/>
      <c r="Y143" s="113"/>
      <c r="Z143" s="113"/>
      <c r="AA143" s="113"/>
      <c r="AB143" s="113"/>
      <c r="AC143" s="113"/>
      <c r="AD143" s="113"/>
      <c r="AE143" s="113"/>
      <c r="AF143" s="113"/>
      <c r="AG143" s="113"/>
      <c r="AH143" s="113"/>
      <c r="AI143" s="113" t="s">
        <v>1113</v>
      </c>
      <c r="AJ143" s="113"/>
      <c r="AK143" s="113"/>
      <c r="AL143" s="113"/>
      <c r="AM143" s="43" t="s">
        <v>5075</v>
      </c>
      <c r="AN143" s="233" t="str">
        <f>VLOOKUP(Table9[[#This Row],[Measure]],Table1025[[Value name]:[Value identifyer]],2,FALSE)</f>
        <v>R_Design</v>
      </c>
      <c r="AO143" s="241" t="str">
        <f>VLOOKUP(Table9[[#This Row],[Country Code]],Table29[],3,FALSE)</f>
        <v>Non-Annex I</v>
      </c>
      <c r="AP143" s="241" t="str">
        <f>VLOOKUP(Table9[[#This Row],[Country Code]],Table29[],4,FALSE)</f>
        <v>Africa</v>
      </c>
      <c r="AQ143" s="241" t="str">
        <f>VLOOKUP(Table9[[#This Row],[Country Code]],Table29[],5,FALSE)</f>
        <v>Middle-income</v>
      </c>
      <c r="AR143" s="241" t="str">
        <f>VLOOKUP(Table9[[#This Row],[Country Code]],Table29[],6,FALSE)</f>
        <v>no</v>
      </c>
      <c r="AS143" s="241" t="str">
        <f>VLOOKUP(Table9[[#This Row],[Country Code]],Table29[],7,FALSE)</f>
        <v>no</v>
      </c>
      <c r="AT143" s="241" t="str">
        <f>VLOOKUP(Table9[[#This Row],[Country Code]],Table29[],8,FALSE)</f>
        <v>non-OECD</v>
      </c>
      <c r="AU143" s="233" t="str">
        <f>VLOOKUP(Table9[[#This Row],[Country Code]],Table29[],9,FALSE)</f>
        <v>no</v>
      </c>
      <c r="AV143" s="233" t="str">
        <f>VLOOKUP(Table9[[#This Row],[Country Code]],Table29[],10,FALSE)</f>
        <v>no</v>
      </c>
      <c r="AW143" s="233">
        <f>VLOOKUP(Table9[[#This Row],[Country Code]],Table29[],23,FALSE)</f>
        <v>107.97690921511</v>
      </c>
      <c r="AX143" s="233">
        <f>VLOOKUP(Table9[[#This Row],[Country Code]],Table29[],24,FALSE)</f>
        <v>10.8093492744944</v>
      </c>
      <c r="AY143" s="43"/>
    </row>
    <row r="144" spans="1:51" x14ac:dyDescent="0.25">
      <c r="A144" s="367">
        <v>17631</v>
      </c>
      <c r="B144" s="233" t="str">
        <f>VLOOKUP(Table9[[#This Row],[Document ID]],Table1[],2,FALSE)</f>
        <v>KEN</v>
      </c>
      <c r="C144" s="233" t="str">
        <f>VLOOKUP(Table9[[#This Row],[Document ID]],Table1[],3,FALSE)</f>
        <v>Kenya</v>
      </c>
      <c r="D144" s="328" t="str">
        <f>VLOOKUP(Table9[[#This Row],[Document ID]],Table1[],5,FALSE)</f>
        <v>NDC</v>
      </c>
      <c r="E144" s="233" t="str">
        <f>VLOOKUP(Table9[[#This Row],[Document ID]],Table1[],7,FALSE)</f>
        <v>First NDC</v>
      </c>
      <c r="F144" s="328" t="str">
        <f>VLOOKUP(Table9[[#This Row],[Document ID]],Table1[],8,FALSE)</f>
        <v>NDC 1.0</v>
      </c>
      <c r="G144" s="328" t="str">
        <f>VLOOKUP(Table9[[#This Row],[Document ID]],Table1[],10,FALSE)</f>
        <v>Archived</v>
      </c>
      <c r="H144" s="44" t="s">
        <v>5072</v>
      </c>
      <c r="I144" s="43" t="s">
        <v>5073</v>
      </c>
      <c r="J144" s="209" t="s">
        <v>5221</v>
      </c>
      <c r="K144" s="257" t="s">
        <v>5081</v>
      </c>
      <c r="L144" s="326" t="s">
        <v>1113</v>
      </c>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326" t="s">
        <v>1113</v>
      </c>
      <c r="AJ144" s="326"/>
      <c r="AK144" s="326"/>
      <c r="AL144" s="326"/>
      <c r="AM144" s="209" t="s">
        <v>5075</v>
      </c>
      <c r="AN144" s="233" t="str">
        <f>VLOOKUP(Table9[[#This Row],[Measure]],Table1025[[Value name]:[Value identifyer]],2,FALSE)</f>
        <v>R_System</v>
      </c>
      <c r="AO144" s="241" t="str">
        <f>VLOOKUP(Table9[[#This Row],[Country Code]],Table29[],3,FALSE)</f>
        <v>Non-Annex I</v>
      </c>
      <c r="AP144" s="241" t="str">
        <f>VLOOKUP(Table9[[#This Row],[Country Code]],Table29[],4,FALSE)</f>
        <v>Africa</v>
      </c>
      <c r="AQ144" s="241" t="str">
        <f>VLOOKUP(Table9[[#This Row],[Country Code]],Table29[],5,FALSE)</f>
        <v>Middle-income</v>
      </c>
      <c r="AR144" s="241" t="str">
        <f>VLOOKUP(Table9[[#This Row],[Country Code]],Table29[],6,FALSE)</f>
        <v>no</v>
      </c>
      <c r="AS144" s="241" t="str">
        <f>VLOOKUP(Table9[[#This Row],[Country Code]],Table29[],7,FALSE)</f>
        <v>no</v>
      </c>
      <c r="AT144" s="241" t="str">
        <f>VLOOKUP(Table9[[#This Row],[Country Code]],Table29[],8,FALSE)</f>
        <v>non-OECD</v>
      </c>
      <c r="AU144" s="233" t="str">
        <f>VLOOKUP(Table9[[#This Row],[Country Code]],Table29[],9,FALSE)</f>
        <v>no</v>
      </c>
      <c r="AV144" s="233" t="str">
        <f>VLOOKUP(Table9[[#This Row],[Country Code]],Table29[],10,FALSE)</f>
        <v>no</v>
      </c>
      <c r="AW144" s="233">
        <f>VLOOKUP(Table9[[#This Row],[Country Code]],Table29[],23,FALSE)</f>
        <v>107.97690921511</v>
      </c>
      <c r="AX144" s="233">
        <f>VLOOKUP(Table9[[#This Row],[Country Code]],Table29[],24,FALSE)</f>
        <v>10.8093492744944</v>
      </c>
      <c r="AY144" s="43"/>
    </row>
    <row r="145" spans="1:51" ht="45" x14ac:dyDescent="0.25">
      <c r="A145" s="367">
        <v>17631</v>
      </c>
      <c r="B145" s="233" t="str">
        <f>VLOOKUP(Table9[[#This Row],[Document ID]],Table1[],2,FALSE)</f>
        <v>KEN</v>
      </c>
      <c r="C145" s="233" t="str">
        <f>VLOOKUP(Table9[[#This Row],[Document ID]],Table1[],3,FALSE)</f>
        <v>Kenya</v>
      </c>
      <c r="D145" s="328" t="str">
        <f>VLOOKUP(Table9[[#This Row],[Document ID]],Table1[],5,FALSE)</f>
        <v>NDC</v>
      </c>
      <c r="E145" s="233" t="str">
        <f>VLOOKUP(Table9[[#This Row],[Document ID]],Table1[],7,FALSE)</f>
        <v>First NDC</v>
      </c>
      <c r="F145" s="328" t="str">
        <f>VLOOKUP(Table9[[#This Row],[Document ID]],Table1[],8,FALSE)</f>
        <v>NDC 1.0</v>
      </c>
      <c r="G145" s="328" t="str">
        <f>VLOOKUP(Table9[[#This Row],[Document ID]],Table1[],10,FALSE)</f>
        <v>Archived</v>
      </c>
      <c r="H145" s="44" t="s">
        <v>5076</v>
      </c>
      <c r="I145" s="43" t="s">
        <v>5079</v>
      </c>
      <c r="J145" s="209" t="s">
        <v>5222</v>
      </c>
      <c r="K145" s="257" t="s">
        <v>5081</v>
      </c>
      <c r="L145" s="326" t="s">
        <v>1113</v>
      </c>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t="s">
        <v>1113</v>
      </c>
      <c r="AJ145" s="326"/>
      <c r="AK145" s="326"/>
      <c r="AL145" s="326"/>
      <c r="AM145" s="209" t="s">
        <v>5075</v>
      </c>
      <c r="AN145" s="233" t="str">
        <f>VLOOKUP(Table9[[#This Row],[Measure]],Table1025[[Value name]:[Value identifyer]],2,FALSE)</f>
        <v>R_Laws</v>
      </c>
      <c r="AO145" s="241" t="str">
        <f>VLOOKUP(Table9[[#This Row],[Country Code]],Table29[],3,FALSE)</f>
        <v>Non-Annex I</v>
      </c>
      <c r="AP145" s="241" t="str">
        <f>VLOOKUP(Table9[[#This Row],[Country Code]],Table29[],4,FALSE)</f>
        <v>Africa</v>
      </c>
      <c r="AQ145" s="241" t="str">
        <f>VLOOKUP(Table9[[#This Row],[Country Code]],Table29[],5,FALSE)</f>
        <v>Middle-income</v>
      </c>
      <c r="AR145" s="241" t="str">
        <f>VLOOKUP(Table9[[#This Row],[Country Code]],Table29[],6,FALSE)</f>
        <v>no</v>
      </c>
      <c r="AS145" s="241" t="str">
        <f>VLOOKUP(Table9[[#This Row],[Country Code]],Table29[],7,FALSE)</f>
        <v>no</v>
      </c>
      <c r="AT145" s="241" t="str">
        <f>VLOOKUP(Table9[[#This Row],[Country Code]],Table29[],8,FALSE)</f>
        <v>non-OECD</v>
      </c>
      <c r="AU145" s="233" t="str">
        <f>VLOOKUP(Table9[[#This Row],[Country Code]],Table29[],9,FALSE)</f>
        <v>no</v>
      </c>
      <c r="AV145" s="233" t="str">
        <f>VLOOKUP(Table9[[#This Row],[Country Code]],Table29[],10,FALSE)</f>
        <v>no</v>
      </c>
      <c r="AW145" s="233">
        <f>VLOOKUP(Table9[[#This Row],[Country Code]],Table29[],23,FALSE)</f>
        <v>107.97690921511</v>
      </c>
      <c r="AX145" s="233">
        <f>VLOOKUP(Table9[[#This Row],[Country Code]],Table29[],24,FALSE)</f>
        <v>10.8093492744944</v>
      </c>
      <c r="AY145" s="43"/>
    </row>
    <row r="146" spans="1:51" x14ac:dyDescent="0.25">
      <c r="A146" s="367">
        <v>17637</v>
      </c>
      <c r="B146" s="233" t="str">
        <f>VLOOKUP(Table9[[#This Row],[Document ID]],Table1[],2,FALSE)</f>
        <v>LAO</v>
      </c>
      <c r="C146" s="233" t="str">
        <f>VLOOKUP(Table9[[#This Row],[Document ID]],Table1[],3,FALSE)</f>
        <v>Lao People’s Democratic Republic</v>
      </c>
      <c r="D146" s="328" t="str">
        <f>VLOOKUP(Table9[[#This Row],[Document ID]],Table1[],5,FALSE)</f>
        <v>NDC</v>
      </c>
      <c r="E146" s="233" t="str">
        <f>VLOOKUP(Table9[[#This Row],[Document ID]],Table1[],7,FALSE)</f>
        <v>First NDC</v>
      </c>
      <c r="F146" s="328" t="str">
        <f>VLOOKUP(Table9[[#This Row],[Document ID]],Table1[],8,FALSE)</f>
        <v>NDC 1.0</v>
      </c>
      <c r="G146" s="328" t="str">
        <f>VLOOKUP(Table9[[#This Row],[Document ID]],Table1[],10,FALSE)</f>
        <v>Archived</v>
      </c>
      <c r="H146" s="44" t="s">
        <v>5072</v>
      </c>
      <c r="I146" s="43" t="s">
        <v>5073</v>
      </c>
      <c r="J146" s="209" t="s">
        <v>5223</v>
      </c>
      <c r="K146" s="257" t="s">
        <v>5081</v>
      </c>
      <c r="L146" s="326" t="s">
        <v>1113</v>
      </c>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t="s">
        <v>1113</v>
      </c>
      <c r="AK146" s="326"/>
      <c r="AL146" s="326"/>
      <c r="AM146" s="209" t="s">
        <v>5075</v>
      </c>
      <c r="AN146" s="233" t="str">
        <f>VLOOKUP(Table9[[#This Row],[Measure]],Table1025[[Value name]:[Value identifyer]],2,FALSE)</f>
        <v>R_System</v>
      </c>
      <c r="AO146" s="241" t="str">
        <f>VLOOKUP(Table9[[#This Row],[Country Code]],Table29[],3,FALSE)</f>
        <v>Non-Annex I</v>
      </c>
      <c r="AP146" s="241" t="str">
        <f>VLOOKUP(Table9[[#This Row],[Country Code]],Table29[],4,FALSE)</f>
        <v>Asia</v>
      </c>
      <c r="AQ146" s="241" t="str">
        <f>VLOOKUP(Table9[[#This Row],[Country Code]],Table29[],5,FALSE)</f>
        <v>Middle-income</v>
      </c>
      <c r="AR146" s="241" t="str">
        <f>VLOOKUP(Table9[[#This Row],[Country Code]],Table29[],6,FALSE)</f>
        <v>no</v>
      </c>
      <c r="AS146" s="241" t="str">
        <f>VLOOKUP(Table9[[#This Row],[Country Code]],Table29[],7,FALSE)</f>
        <v>no</v>
      </c>
      <c r="AT146" s="241" t="str">
        <f>VLOOKUP(Table9[[#This Row],[Country Code]],Table29[],8,FALSE)</f>
        <v>non-OECD</v>
      </c>
      <c r="AU146" s="233" t="str">
        <f>VLOOKUP(Table9[[#This Row],[Country Code]],Table29[],9,FALSE)</f>
        <v>no</v>
      </c>
      <c r="AV146" s="233" t="str">
        <f>VLOOKUP(Table9[[#This Row],[Country Code]],Table29[],10,FALSE)</f>
        <v>no</v>
      </c>
      <c r="AW146" s="233">
        <f>VLOOKUP(Table9[[#This Row],[Country Code]],Table29[],23,FALSE)</f>
        <v>42.056212706049003</v>
      </c>
      <c r="AX146" s="233">
        <f>VLOOKUP(Table9[[#This Row],[Country Code]],Table29[],24,FALSE)</f>
        <v>2.7307302074001272</v>
      </c>
      <c r="AY146" s="43"/>
    </row>
    <row r="147" spans="1:51" ht="30" x14ac:dyDescent="0.25">
      <c r="A147" s="367">
        <v>20343</v>
      </c>
      <c r="B147" s="233" t="str">
        <f>VLOOKUP(Table9[[#This Row],[Document ID]],Table1[],2,FALSE)</f>
        <v>LAO</v>
      </c>
      <c r="C147" s="233" t="str">
        <f>VLOOKUP(Table9[[#This Row],[Document ID]],Table1[],3,FALSE)</f>
        <v>Lao People’s Democratic Republic</v>
      </c>
      <c r="D147" s="254" t="str">
        <f>VLOOKUP(Table9[[#This Row],[Document ID]],Table1[],5,FALSE)</f>
        <v>NDC</v>
      </c>
      <c r="E147" s="233" t="str">
        <f>VLOOKUP(Table9[[#This Row],[Document ID]],Table1[],7,FALSE)</f>
        <v>First NDC updated</v>
      </c>
      <c r="F147" s="241" t="str">
        <f>VLOOKUP(Table9[[#This Row],[Document ID]],Table1[],8,FALSE)</f>
        <v>NDC 1.1</v>
      </c>
      <c r="G147" s="241" t="str">
        <f>VLOOKUP(Table9[[#This Row],[Document ID]],Table1[],10,FALSE)</f>
        <v>Active</v>
      </c>
      <c r="H147" s="44" t="s">
        <v>5072</v>
      </c>
      <c r="I147" s="43" t="s">
        <v>5073</v>
      </c>
      <c r="J147" s="209" t="s">
        <v>5224</v>
      </c>
      <c r="K147" s="259">
        <v>10</v>
      </c>
      <c r="L147" s="326" t="s">
        <v>1113</v>
      </c>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113"/>
      <c r="AJ147" s="113" t="s">
        <v>1113</v>
      </c>
      <c r="AK147" s="113"/>
      <c r="AL147" s="113"/>
      <c r="AM147" s="327" t="s">
        <v>5075</v>
      </c>
      <c r="AN147" s="233" t="str">
        <f>VLOOKUP(Table9[[#This Row],[Measure]],Table1025[[Value name]:[Value identifyer]],2,FALSE)</f>
        <v>R_System</v>
      </c>
      <c r="AO147" s="241" t="str">
        <f>VLOOKUP(Table9[[#This Row],[Country Code]],Table29[],3,FALSE)</f>
        <v>Non-Annex I</v>
      </c>
      <c r="AP147" s="241" t="str">
        <f>VLOOKUP(Table9[[#This Row],[Country Code]],Table29[],4,FALSE)</f>
        <v>Asia</v>
      </c>
      <c r="AQ147" s="241" t="str">
        <f>VLOOKUP(Table9[[#This Row],[Country Code]],Table29[],5,FALSE)</f>
        <v>Middle-income</v>
      </c>
      <c r="AR147" s="241" t="str">
        <f>VLOOKUP(Table9[[#This Row],[Country Code]],Table29[],6,FALSE)</f>
        <v>no</v>
      </c>
      <c r="AS147" s="241" t="str">
        <f>VLOOKUP(Table9[[#This Row],[Country Code]],Table29[],7,FALSE)</f>
        <v>no</v>
      </c>
      <c r="AT147" s="241" t="str">
        <f>VLOOKUP(Table9[[#This Row],[Country Code]],Table29[],8,FALSE)</f>
        <v>non-OECD</v>
      </c>
      <c r="AU147" s="233" t="str">
        <f>VLOOKUP(Table9[[#This Row],[Country Code]],Table29[],9,FALSE)</f>
        <v>no</v>
      </c>
      <c r="AV147" s="233" t="str">
        <f>VLOOKUP(Table9[[#This Row],[Country Code]],Table29[],10,FALSE)</f>
        <v>no</v>
      </c>
      <c r="AW147" s="233">
        <f>VLOOKUP(Table9[[#This Row],[Country Code]],Table29[],23,FALSE)</f>
        <v>42.056212706049003</v>
      </c>
      <c r="AX147" s="233">
        <f>VLOOKUP(Table9[[#This Row],[Country Code]],Table29[],24,FALSE)</f>
        <v>2.7307302074001272</v>
      </c>
      <c r="AY147" s="43"/>
    </row>
    <row r="148" spans="1:51" x14ac:dyDescent="0.25">
      <c r="A148" s="367">
        <v>20343</v>
      </c>
      <c r="B148" s="233" t="str">
        <f>VLOOKUP(Table9[[#This Row],[Document ID]],Table1[],2,FALSE)</f>
        <v>LAO</v>
      </c>
      <c r="C148" s="233" t="str">
        <f>VLOOKUP(Table9[[#This Row],[Document ID]],Table1[],3,FALSE)</f>
        <v>Lao People’s Democratic Republic</v>
      </c>
      <c r="D148" s="254" t="str">
        <f>VLOOKUP(Table9[[#This Row],[Document ID]],Table1[],5,FALSE)</f>
        <v>NDC</v>
      </c>
      <c r="E148" s="233" t="str">
        <f>VLOOKUP(Table9[[#This Row],[Document ID]],Table1[],7,FALSE)</f>
        <v>First NDC updated</v>
      </c>
      <c r="F148" s="241" t="str">
        <f>VLOOKUP(Table9[[#This Row],[Document ID]],Table1[],8,FALSE)</f>
        <v>NDC 1.1</v>
      </c>
      <c r="G148" s="241" t="str">
        <f>VLOOKUP(Table9[[#This Row],[Document ID]],Table1[],10,FALSE)</f>
        <v>Active</v>
      </c>
      <c r="H148" s="44" t="s">
        <v>5072</v>
      </c>
      <c r="I148" s="43" t="s">
        <v>5073</v>
      </c>
      <c r="J148" s="209" t="s">
        <v>5225</v>
      </c>
      <c r="K148" s="259">
        <v>10</v>
      </c>
      <c r="L148" s="326" t="s">
        <v>1113</v>
      </c>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326" t="s">
        <v>1113</v>
      </c>
      <c r="AJ148" s="326"/>
      <c r="AK148" s="326"/>
      <c r="AL148" s="326"/>
      <c r="AM148" s="327" t="s">
        <v>5075</v>
      </c>
      <c r="AN148" s="233" t="str">
        <f>VLOOKUP(Table9[[#This Row],[Measure]],Table1025[[Value name]:[Value identifyer]],2,FALSE)</f>
        <v>R_System</v>
      </c>
      <c r="AO148" s="241" t="str">
        <f>VLOOKUP(Table9[[#This Row],[Country Code]],Table29[],3,FALSE)</f>
        <v>Non-Annex I</v>
      </c>
      <c r="AP148" s="241" t="str">
        <f>VLOOKUP(Table9[[#This Row],[Country Code]],Table29[],4,FALSE)</f>
        <v>Asia</v>
      </c>
      <c r="AQ148" s="241" t="str">
        <f>VLOOKUP(Table9[[#This Row],[Country Code]],Table29[],5,FALSE)</f>
        <v>Middle-income</v>
      </c>
      <c r="AR148" s="241" t="str">
        <f>VLOOKUP(Table9[[#This Row],[Country Code]],Table29[],6,FALSE)</f>
        <v>no</v>
      </c>
      <c r="AS148" s="241" t="str">
        <f>VLOOKUP(Table9[[#This Row],[Country Code]],Table29[],7,FALSE)</f>
        <v>no</v>
      </c>
      <c r="AT148" s="241" t="str">
        <f>VLOOKUP(Table9[[#This Row],[Country Code]],Table29[],8,FALSE)</f>
        <v>non-OECD</v>
      </c>
      <c r="AU148" s="233" t="str">
        <f>VLOOKUP(Table9[[#This Row],[Country Code]],Table29[],9,FALSE)</f>
        <v>no</v>
      </c>
      <c r="AV148" s="233" t="str">
        <f>VLOOKUP(Table9[[#This Row],[Country Code]],Table29[],10,FALSE)</f>
        <v>no</v>
      </c>
      <c r="AW148" s="233">
        <f>VLOOKUP(Table9[[#This Row],[Country Code]],Table29[],23,FALSE)</f>
        <v>42.056212706049003</v>
      </c>
      <c r="AX148" s="233">
        <f>VLOOKUP(Table9[[#This Row],[Country Code]],Table29[],24,FALSE)</f>
        <v>2.7307302074001272</v>
      </c>
      <c r="AY148" s="43"/>
    </row>
    <row r="149" spans="1:51" ht="30" x14ac:dyDescent="0.25">
      <c r="A149" s="360">
        <v>17641</v>
      </c>
      <c r="B149" s="233" t="str">
        <f>VLOOKUP(Table9[[#This Row],[Document ID]],Table1[],2,FALSE)</f>
        <v>LBN</v>
      </c>
      <c r="C149" s="233" t="str">
        <f>VLOOKUP(Table9[[#This Row],[Document ID]],Table1[],3,FALSE)</f>
        <v>Lebanon</v>
      </c>
      <c r="D149" s="233" t="str">
        <f>VLOOKUP(Table9[[#This Row],[Document ID]],Table1[],5,FALSE)</f>
        <v>NDC</v>
      </c>
      <c r="E149" s="233" t="str">
        <f>VLOOKUP(Table9[[#This Row],[Document ID]],Table1[],7,FALSE)</f>
        <v>First NDC updated</v>
      </c>
      <c r="F149" s="233" t="str">
        <f>VLOOKUP(Table9[[#This Row],[Document ID]],Table1[],8,FALSE)</f>
        <v>NDC 1.1</v>
      </c>
      <c r="G149" s="233" t="str">
        <f>VLOOKUP(Table9[[#This Row],[Document ID]],Table1[],10,FALSE)</f>
        <v>Active</v>
      </c>
      <c r="H149" s="44" t="s">
        <v>5072</v>
      </c>
      <c r="I149" s="43" t="s">
        <v>5073</v>
      </c>
      <c r="J149" s="44" t="s">
        <v>5226</v>
      </c>
      <c r="K149" s="221">
        <v>7</v>
      </c>
      <c r="L149" s="326" t="s">
        <v>1113</v>
      </c>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t="s">
        <v>1113</v>
      </c>
      <c r="AK149" s="326" t="s">
        <v>1113</v>
      </c>
      <c r="AL149" s="326"/>
      <c r="AM149" s="327" t="s">
        <v>5075</v>
      </c>
      <c r="AN149" s="233" t="str">
        <f>VLOOKUP(Table9[[#This Row],[Measure]],Table1025[[Value name]:[Value identifyer]],2,FALSE)</f>
        <v>R_System</v>
      </c>
      <c r="AO149" s="241" t="str">
        <f>VLOOKUP(Table9[[#This Row],[Country Code]],Table29[],3,FALSE)</f>
        <v>Non-Annex I</v>
      </c>
      <c r="AP149" s="241" t="str">
        <f>VLOOKUP(Table9[[#This Row],[Country Code]],Table29[],4,FALSE)</f>
        <v>Asia</v>
      </c>
      <c r="AQ149" s="241" t="str">
        <f>VLOOKUP(Table9[[#This Row],[Country Code]],Table29[],5,FALSE)</f>
        <v>Middle-income</v>
      </c>
      <c r="AR149" s="241" t="str">
        <f>VLOOKUP(Table9[[#This Row],[Country Code]],Table29[],6,FALSE)</f>
        <v>no</v>
      </c>
      <c r="AS149" s="241" t="str">
        <f>VLOOKUP(Table9[[#This Row],[Country Code]],Table29[],7,FALSE)</f>
        <v>no</v>
      </c>
      <c r="AT149" s="241" t="str">
        <f>VLOOKUP(Table9[[#This Row],[Country Code]],Table29[],8,FALSE)</f>
        <v>non-OECD</v>
      </c>
      <c r="AU149" s="233" t="str">
        <f>VLOOKUP(Table9[[#This Row],[Country Code]],Table29[],9,FALSE)</f>
        <v>no</v>
      </c>
      <c r="AV149" s="233" t="str">
        <f>VLOOKUP(Table9[[#This Row],[Country Code]],Table29[],10,FALSE)</f>
        <v>MENA</v>
      </c>
      <c r="AW149" s="233">
        <f>VLOOKUP(Table9[[#This Row],[Country Code]],Table29[],23,FALSE)</f>
        <v>24.672324496902</v>
      </c>
      <c r="AX149" s="233">
        <f>VLOOKUP(Table9[[#This Row],[Country Code]],Table29[],24,FALSE)</f>
        <v>7.1354134198886934</v>
      </c>
      <c r="AY149" s="43"/>
    </row>
    <row r="150" spans="1:51" ht="30" x14ac:dyDescent="0.25">
      <c r="A150" s="367">
        <v>17643</v>
      </c>
      <c r="B150" s="233" t="str">
        <f>VLOOKUP(Table9[[#This Row],[Document ID]],Table1[],2,FALSE)</f>
        <v>LBR</v>
      </c>
      <c r="C150" s="233" t="str">
        <f>VLOOKUP(Table9[[#This Row],[Document ID]],Table1[],3,FALSE)</f>
        <v>Liberia</v>
      </c>
      <c r="D150" s="328" t="str">
        <f>VLOOKUP(Table9[[#This Row],[Document ID]],Table1[],5,FALSE)</f>
        <v>NDC</v>
      </c>
      <c r="E150" s="233" t="str">
        <f>VLOOKUP(Table9[[#This Row],[Document ID]],Table1[],7,FALSE)</f>
        <v>First NDC</v>
      </c>
      <c r="F150" s="328" t="str">
        <f>VLOOKUP(Table9[[#This Row],[Document ID]],Table1[],8,FALSE)</f>
        <v>NDC 1.0</v>
      </c>
      <c r="G150" s="328" t="str">
        <f>VLOOKUP(Table9[[#This Row],[Document ID]],Table1[],10,FALSE)</f>
        <v>Archived</v>
      </c>
      <c r="H150" s="44" t="s">
        <v>5076</v>
      </c>
      <c r="I150" s="43" t="s">
        <v>5089</v>
      </c>
      <c r="J150" s="209" t="s">
        <v>5227</v>
      </c>
      <c r="K150" s="257" t="s">
        <v>5081</v>
      </c>
      <c r="L150" s="326"/>
      <c r="M150" s="326"/>
      <c r="N150" s="326"/>
      <c r="O150" s="326"/>
      <c r="P150" s="326"/>
      <c r="Q150" s="326" t="s">
        <v>1113</v>
      </c>
      <c r="R150" s="326"/>
      <c r="S150" s="326"/>
      <c r="T150" s="326"/>
      <c r="U150" s="326"/>
      <c r="V150" s="326"/>
      <c r="W150" s="326"/>
      <c r="X150" s="326"/>
      <c r="Y150" s="326"/>
      <c r="Z150" s="326"/>
      <c r="AA150" s="326"/>
      <c r="AB150" s="326"/>
      <c r="AC150" s="326"/>
      <c r="AD150" s="326"/>
      <c r="AE150" s="326"/>
      <c r="AF150" s="326"/>
      <c r="AG150" s="326"/>
      <c r="AH150" s="326"/>
      <c r="AI150" s="326" t="s">
        <v>1113</v>
      </c>
      <c r="AJ150" s="326"/>
      <c r="AK150" s="326"/>
      <c r="AL150" s="326"/>
      <c r="AM150" s="327" t="s">
        <v>5075</v>
      </c>
      <c r="AN150" s="233" t="str">
        <f>VLOOKUP(Table9[[#This Row],[Measure]],Table1025[[Value name]:[Value identifyer]],2,FALSE)</f>
        <v>R_Design</v>
      </c>
      <c r="AO150" s="241" t="str">
        <f>VLOOKUP(Table9[[#This Row],[Country Code]],Table29[],3,FALSE)</f>
        <v>Non-Annex I</v>
      </c>
      <c r="AP150" s="241" t="str">
        <f>VLOOKUP(Table9[[#This Row],[Country Code]],Table29[],4,FALSE)</f>
        <v>Africa</v>
      </c>
      <c r="AQ150" s="241" t="str">
        <f>VLOOKUP(Table9[[#This Row],[Country Code]],Table29[],5,FALSE)</f>
        <v>Low-income</v>
      </c>
      <c r="AR150" s="241" t="str">
        <f>VLOOKUP(Table9[[#This Row],[Country Code]],Table29[],6,FALSE)</f>
        <v>no</v>
      </c>
      <c r="AS150" s="241" t="str">
        <f>VLOOKUP(Table9[[#This Row],[Country Code]],Table29[],7,FALSE)</f>
        <v>no</v>
      </c>
      <c r="AT150" s="241" t="str">
        <f>VLOOKUP(Table9[[#This Row],[Country Code]],Table29[],8,FALSE)</f>
        <v>non-OECD</v>
      </c>
      <c r="AU150" s="233" t="str">
        <f>VLOOKUP(Table9[[#This Row],[Country Code]],Table29[],9,FALSE)</f>
        <v>no</v>
      </c>
      <c r="AV150" s="233" t="str">
        <f>VLOOKUP(Table9[[#This Row],[Country Code]],Table29[],10,FALSE)</f>
        <v>no</v>
      </c>
      <c r="AW150" s="233">
        <f>VLOOKUP(Table9[[#This Row],[Country Code]],Table29[],23,FALSE)</f>
        <v>4.5323879353986003</v>
      </c>
      <c r="AX150" s="233">
        <f>VLOOKUP(Table9[[#This Row],[Country Code]],Table29[],24,FALSE)</f>
        <v>0.82749853268205653</v>
      </c>
      <c r="AY150" s="43"/>
    </row>
    <row r="151" spans="1:51" x14ac:dyDescent="0.25">
      <c r="A151" s="367">
        <v>17643</v>
      </c>
      <c r="B151" s="233" t="str">
        <f>VLOOKUP(Table9[[#This Row],[Document ID]],Table1[],2,FALSE)</f>
        <v>LBR</v>
      </c>
      <c r="C151" s="233" t="str">
        <f>VLOOKUP(Table9[[#This Row],[Document ID]],Table1[],3,FALSE)</f>
        <v>Liberia</v>
      </c>
      <c r="D151" s="252" t="str">
        <f>VLOOKUP(Table9[[#This Row],[Document ID]],Table1[],5,FALSE)</f>
        <v>NDC</v>
      </c>
      <c r="E151" s="233" t="str">
        <f>VLOOKUP(Table9[[#This Row],[Document ID]],Table1[],7,FALSE)</f>
        <v>First NDC</v>
      </c>
      <c r="F151" s="252" t="str">
        <f>VLOOKUP(Table9[[#This Row],[Document ID]],Table1[],8,FALSE)</f>
        <v>NDC 1.0</v>
      </c>
      <c r="G151" s="252" t="str">
        <f>VLOOKUP(Table9[[#This Row],[Document ID]],Table1[],10,FALSE)</f>
        <v>Archived</v>
      </c>
      <c r="H151" s="44" t="s">
        <v>5086</v>
      </c>
      <c r="I151" s="43" t="s">
        <v>5127</v>
      </c>
      <c r="J151" s="209" t="s">
        <v>5228</v>
      </c>
      <c r="K151" s="257" t="s">
        <v>5081</v>
      </c>
      <c r="L151" s="326" t="s">
        <v>1113</v>
      </c>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t="s">
        <v>1113</v>
      </c>
      <c r="AJ151" s="326"/>
      <c r="AK151" s="326"/>
      <c r="AL151" s="326"/>
      <c r="AM151" s="327" t="s">
        <v>5075</v>
      </c>
      <c r="AN151" s="233" t="str">
        <f>VLOOKUP(Table9[[#This Row],[Measure]],Table1025[[Value name]:[Value identifyer]],2,FALSE)</f>
        <v>R_Emergency</v>
      </c>
      <c r="AO151" s="241" t="str">
        <f>VLOOKUP(Table9[[#This Row],[Country Code]],Table29[],3,FALSE)</f>
        <v>Non-Annex I</v>
      </c>
      <c r="AP151" s="241" t="str">
        <f>VLOOKUP(Table9[[#This Row],[Country Code]],Table29[],4,FALSE)</f>
        <v>Africa</v>
      </c>
      <c r="AQ151" s="241" t="str">
        <f>VLOOKUP(Table9[[#This Row],[Country Code]],Table29[],5,FALSE)</f>
        <v>Low-income</v>
      </c>
      <c r="AR151" s="241" t="str">
        <f>VLOOKUP(Table9[[#This Row],[Country Code]],Table29[],6,FALSE)</f>
        <v>no</v>
      </c>
      <c r="AS151" s="241" t="str">
        <f>VLOOKUP(Table9[[#This Row],[Country Code]],Table29[],7,FALSE)</f>
        <v>no</v>
      </c>
      <c r="AT151" s="241" t="str">
        <f>VLOOKUP(Table9[[#This Row],[Country Code]],Table29[],8,FALSE)</f>
        <v>non-OECD</v>
      </c>
      <c r="AU151" s="233" t="str">
        <f>VLOOKUP(Table9[[#This Row],[Country Code]],Table29[],9,FALSE)</f>
        <v>no</v>
      </c>
      <c r="AV151" s="233" t="str">
        <f>VLOOKUP(Table9[[#This Row],[Country Code]],Table29[],10,FALSE)</f>
        <v>no</v>
      </c>
      <c r="AW151" s="233">
        <f>VLOOKUP(Table9[[#This Row],[Country Code]],Table29[],23,FALSE)</f>
        <v>4.5323879353986003</v>
      </c>
      <c r="AX151" s="233">
        <f>VLOOKUP(Table9[[#This Row],[Country Code]],Table29[],24,FALSE)</f>
        <v>0.82749853268205653</v>
      </c>
      <c r="AY151" s="43"/>
    </row>
    <row r="152" spans="1:51" ht="30" x14ac:dyDescent="0.25">
      <c r="A152" s="367">
        <v>17643</v>
      </c>
      <c r="B152" s="233" t="str">
        <f>VLOOKUP(Table9[[#This Row],[Document ID]],Table1[],2,FALSE)</f>
        <v>LBR</v>
      </c>
      <c r="C152" s="233" t="str">
        <f>VLOOKUP(Table9[[#This Row],[Document ID]],Table1[],3,FALSE)</f>
        <v>Liberia</v>
      </c>
      <c r="D152" s="252" t="str">
        <f>VLOOKUP(Table9[[#This Row],[Document ID]],Table1[],5,FALSE)</f>
        <v>NDC</v>
      </c>
      <c r="E152" s="233" t="str">
        <f>VLOOKUP(Table9[[#This Row],[Document ID]],Table1[],7,FALSE)</f>
        <v>First NDC</v>
      </c>
      <c r="F152" s="252" t="str">
        <f>VLOOKUP(Table9[[#This Row],[Document ID]],Table1[],8,FALSE)</f>
        <v>NDC 1.0</v>
      </c>
      <c r="G152" s="252" t="str">
        <f>VLOOKUP(Table9[[#This Row],[Document ID]],Table1[],10,FALSE)</f>
        <v>Archived</v>
      </c>
      <c r="H152" s="44" t="s">
        <v>5086</v>
      </c>
      <c r="I152" s="43" t="s">
        <v>5127</v>
      </c>
      <c r="J152" s="209" t="s">
        <v>5229</v>
      </c>
      <c r="K152" s="257" t="s">
        <v>5081</v>
      </c>
      <c r="L152" s="326"/>
      <c r="M152" s="326"/>
      <c r="N152" s="326"/>
      <c r="O152" s="326" t="s">
        <v>1113</v>
      </c>
      <c r="P152" s="326"/>
      <c r="Q152" s="326" t="s">
        <v>1113</v>
      </c>
      <c r="R152" s="326"/>
      <c r="S152" s="326"/>
      <c r="T152" s="326"/>
      <c r="U152" s="326"/>
      <c r="V152" s="326"/>
      <c r="W152" s="326"/>
      <c r="X152" s="326"/>
      <c r="Y152" s="326"/>
      <c r="Z152" s="326"/>
      <c r="AA152" s="326"/>
      <c r="AB152" s="326"/>
      <c r="AC152" s="326"/>
      <c r="AD152" s="326"/>
      <c r="AE152" s="326"/>
      <c r="AF152" s="326"/>
      <c r="AG152" s="326"/>
      <c r="AH152" s="326"/>
      <c r="AI152" s="326" t="s">
        <v>1113</v>
      </c>
      <c r="AJ152" s="326"/>
      <c r="AK152" s="326"/>
      <c r="AL152" s="326"/>
      <c r="AM152" s="327" t="s">
        <v>5075</v>
      </c>
      <c r="AN152" s="233" t="str">
        <f>VLOOKUP(Table9[[#This Row],[Measure]],Table1025[[Value name]:[Value identifyer]],2,FALSE)</f>
        <v>R_Emergency</v>
      </c>
      <c r="AO152" s="241" t="str">
        <f>VLOOKUP(Table9[[#This Row],[Country Code]],Table29[],3,FALSE)</f>
        <v>Non-Annex I</v>
      </c>
      <c r="AP152" s="241" t="str">
        <f>VLOOKUP(Table9[[#This Row],[Country Code]],Table29[],4,FALSE)</f>
        <v>Africa</v>
      </c>
      <c r="AQ152" s="241" t="str">
        <f>VLOOKUP(Table9[[#This Row],[Country Code]],Table29[],5,FALSE)</f>
        <v>Low-income</v>
      </c>
      <c r="AR152" s="241" t="str">
        <f>VLOOKUP(Table9[[#This Row],[Country Code]],Table29[],6,FALSE)</f>
        <v>no</v>
      </c>
      <c r="AS152" s="241" t="str">
        <f>VLOOKUP(Table9[[#This Row],[Country Code]],Table29[],7,FALSE)</f>
        <v>no</v>
      </c>
      <c r="AT152" s="241" t="str">
        <f>VLOOKUP(Table9[[#This Row],[Country Code]],Table29[],8,FALSE)</f>
        <v>non-OECD</v>
      </c>
      <c r="AU152" s="233" t="str">
        <f>VLOOKUP(Table9[[#This Row],[Country Code]],Table29[],9,FALSE)</f>
        <v>no</v>
      </c>
      <c r="AV152" s="233" t="str">
        <f>VLOOKUP(Table9[[#This Row],[Country Code]],Table29[],10,FALSE)</f>
        <v>no</v>
      </c>
      <c r="AW152" s="233">
        <f>VLOOKUP(Table9[[#This Row],[Country Code]],Table29[],23,FALSE)</f>
        <v>4.5323879353986003</v>
      </c>
      <c r="AX152" s="233">
        <f>VLOOKUP(Table9[[#This Row],[Country Code]],Table29[],24,FALSE)</f>
        <v>0.82749853268205653</v>
      </c>
      <c r="AY152" s="43"/>
    </row>
    <row r="153" spans="1:51" x14ac:dyDescent="0.25">
      <c r="A153" s="367">
        <v>17643</v>
      </c>
      <c r="B153" s="233" t="str">
        <f>VLOOKUP(Table9[[#This Row],[Document ID]],Table1[],2,FALSE)</f>
        <v>LBR</v>
      </c>
      <c r="C153" s="233" t="str">
        <f>VLOOKUP(Table9[[#This Row],[Document ID]],Table1[],3,FALSE)</f>
        <v>Liberia</v>
      </c>
      <c r="D153" s="328" t="str">
        <f>VLOOKUP(Table9[[#This Row],[Document ID]],Table1[],5,FALSE)</f>
        <v>NDC</v>
      </c>
      <c r="E153" s="233" t="str">
        <f>VLOOKUP(Table9[[#This Row],[Document ID]],Table1[],7,FALSE)</f>
        <v>First NDC</v>
      </c>
      <c r="F153" s="328" t="str">
        <f>VLOOKUP(Table9[[#This Row],[Document ID]],Table1[],8,FALSE)</f>
        <v>NDC 1.0</v>
      </c>
      <c r="G153" s="328" t="str">
        <f>VLOOKUP(Table9[[#This Row],[Document ID]],Table1[],10,FALSE)</f>
        <v>Archived</v>
      </c>
      <c r="H153" s="44" t="s">
        <v>5072</v>
      </c>
      <c r="I153" s="43" t="s">
        <v>5073</v>
      </c>
      <c r="J153" s="209" t="s">
        <v>5230</v>
      </c>
      <c r="K153" s="257" t="s">
        <v>5081</v>
      </c>
      <c r="L153" s="326"/>
      <c r="M153" s="326"/>
      <c r="N153" s="326"/>
      <c r="O153" s="326"/>
      <c r="P153" s="326"/>
      <c r="Q153" s="326" t="s">
        <v>1113</v>
      </c>
      <c r="R153" s="326"/>
      <c r="S153" s="326"/>
      <c r="T153" s="326"/>
      <c r="U153" s="326"/>
      <c r="V153" s="326"/>
      <c r="W153" s="326"/>
      <c r="X153" s="326"/>
      <c r="Y153" s="326"/>
      <c r="Z153" s="326"/>
      <c r="AA153" s="326"/>
      <c r="AB153" s="326"/>
      <c r="AC153" s="326"/>
      <c r="AD153" s="326"/>
      <c r="AE153" s="326"/>
      <c r="AF153" s="326"/>
      <c r="AG153" s="326"/>
      <c r="AH153" s="326"/>
      <c r="AI153" s="326" t="s">
        <v>1113</v>
      </c>
      <c r="AJ153" s="326"/>
      <c r="AK153" s="326"/>
      <c r="AL153" s="326"/>
      <c r="AM153" s="327" t="s">
        <v>5075</v>
      </c>
      <c r="AN153" s="233" t="str">
        <f>VLOOKUP(Table9[[#This Row],[Measure]],Table1025[[Value name]:[Value identifyer]],2,FALSE)</f>
        <v>R_System</v>
      </c>
      <c r="AO153" s="241" t="str">
        <f>VLOOKUP(Table9[[#This Row],[Country Code]],Table29[],3,FALSE)</f>
        <v>Non-Annex I</v>
      </c>
      <c r="AP153" s="241" t="str">
        <f>VLOOKUP(Table9[[#This Row],[Country Code]],Table29[],4,FALSE)</f>
        <v>Africa</v>
      </c>
      <c r="AQ153" s="241" t="str">
        <f>VLOOKUP(Table9[[#This Row],[Country Code]],Table29[],5,FALSE)</f>
        <v>Low-income</v>
      </c>
      <c r="AR153" s="241" t="str">
        <f>VLOOKUP(Table9[[#This Row],[Country Code]],Table29[],6,FALSE)</f>
        <v>no</v>
      </c>
      <c r="AS153" s="241" t="str">
        <f>VLOOKUP(Table9[[#This Row],[Country Code]],Table29[],7,FALSE)</f>
        <v>no</v>
      </c>
      <c r="AT153" s="241" t="str">
        <f>VLOOKUP(Table9[[#This Row],[Country Code]],Table29[],8,FALSE)</f>
        <v>non-OECD</v>
      </c>
      <c r="AU153" s="233" t="str">
        <f>VLOOKUP(Table9[[#This Row],[Country Code]],Table29[],9,FALSE)</f>
        <v>no</v>
      </c>
      <c r="AV153" s="233" t="str">
        <f>VLOOKUP(Table9[[#This Row],[Country Code]],Table29[],10,FALSE)</f>
        <v>no</v>
      </c>
      <c r="AW153" s="233">
        <f>VLOOKUP(Table9[[#This Row],[Country Code]],Table29[],23,FALSE)</f>
        <v>4.5323879353986003</v>
      </c>
      <c r="AX153" s="233">
        <f>VLOOKUP(Table9[[#This Row],[Country Code]],Table29[],24,FALSE)</f>
        <v>0.82749853268205653</v>
      </c>
      <c r="AY153" s="43"/>
    </row>
    <row r="154" spans="1:51" x14ac:dyDescent="0.25">
      <c r="A154" s="367">
        <v>17643</v>
      </c>
      <c r="B154" s="233" t="str">
        <f>VLOOKUP(Table9[[#This Row],[Document ID]],Table1[],2,FALSE)</f>
        <v>LBR</v>
      </c>
      <c r="C154" s="233" t="str">
        <f>VLOOKUP(Table9[[#This Row],[Document ID]],Table1[],3,FALSE)</f>
        <v>Liberia</v>
      </c>
      <c r="D154" s="328" t="str">
        <f>VLOOKUP(Table9[[#This Row],[Document ID]],Table1[],5,FALSE)</f>
        <v>NDC</v>
      </c>
      <c r="E154" s="233" t="str">
        <f>VLOOKUP(Table9[[#This Row],[Document ID]],Table1[],7,FALSE)</f>
        <v>First NDC</v>
      </c>
      <c r="F154" s="328" t="str">
        <f>VLOOKUP(Table9[[#This Row],[Document ID]],Table1[],8,FALSE)</f>
        <v>NDC 1.0</v>
      </c>
      <c r="G154" s="328" t="str">
        <f>VLOOKUP(Table9[[#This Row],[Document ID]],Table1[],10,FALSE)</f>
        <v>Archived</v>
      </c>
      <c r="H154" s="44" t="s">
        <v>5072</v>
      </c>
      <c r="I154" s="43" t="s">
        <v>5073</v>
      </c>
      <c r="J154" s="209" t="s">
        <v>5231</v>
      </c>
      <c r="K154" s="257" t="s">
        <v>5081</v>
      </c>
      <c r="L154" s="326"/>
      <c r="M154" s="326"/>
      <c r="N154" s="326"/>
      <c r="O154" s="326"/>
      <c r="P154" s="326"/>
      <c r="Q154" s="326"/>
      <c r="R154" s="326"/>
      <c r="S154" s="326"/>
      <c r="T154" s="326"/>
      <c r="U154" s="326"/>
      <c r="V154" s="326"/>
      <c r="W154" s="326" t="s">
        <v>1113</v>
      </c>
      <c r="X154" s="326"/>
      <c r="Y154" s="326"/>
      <c r="Z154" s="326"/>
      <c r="AA154" s="326"/>
      <c r="AB154" s="326"/>
      <c r="AC154" s="326"/>
      <c r="AD154" s="326"/>
      <c r="AE154" s="326"/>
      <c r="AF154" s="326"/>
      <c r="AG154" s="326"/>
      <c r="AH154" s="326"/>
      <c r="AI154" s="326"/>
      <c r="AJ154" s="326" t="s">
        <v>1113</v>
      </c>
      <c r="AK154" s="326"/>
      <c r="AL154" s="326"/>
      <c r="AM154" s="209" t="s">
        <v>5119</v>
      </c>
      <c r="AN154" s="233" t="str">
        <f>VLOOKUP(Table9[[#This Row],[Measure]],Table1025[[Value name]:[Value identifyer]],2,FALSE)</f>
        <v>R_System</v>
      </c>
      <c r="AO154" s="241" t="str">
        <f>VLOOKUP(Table9[[#This Row],[Country Code]],Table29[],3,FALSE)</f>
        <v>Non-Annex I</v>
      </c>
      <c r="AP154" s="241" t="str">
        <f>VLOOKUP(Table9[[#This Row],[Country Code]],Table29[],4,FALSE)</f>
        <v>Africa</v>
      </c>
      <c r="AQ154" s="241" t="str">
        <f>VLOOKUP(Table9[[#This Row],[Country Code]],Table29[],5,FALSE)</f>
        <v>Low-income</v>
      </c>
      <c r="AR154" s="241" t="str">
        <f>VLOOKUP(Table9[[#This Row],[Country Code]],Table29[],6,FALSE)</f>
        <v>no</v>
      </c>
      <c r="AS154" s="241" t="str">
        <f>VLOOKUP(Table9[[#This Row],[Country Code]],Table29[],7,FALSE)</f>
        <v>no</v>
      </c>
      <c r="AT154" s="241" t="str">
        <f>VLOOKUP(Table9[[#This Row],[Country Code]],Table29[],8,FALSE)</f>
        <v>non-OECD</v>
      </c>
      <c r="AU154" s="233" t="str">
        <f>VLOOKUP(Table9[[#This Row],[Country Code]],Table29[],9,FALSE)</f>
        <v>no</v>
      </c>
      <c r="AV154" s="233" t="str">
        <f>VLOOKUP(Table9[[#This Row],[Country Code]],Table29[],10,FALSE)</f>
        <v>no</v>
      </c>
      <c r="AW154" s="233">
        <f>VLOOKUP(Table9[[#This Row],[Country Code]],Table29[],23,FALSE)</f>
        <v>4.5323879353986003</v>
      </c>
      <c r="AX154" s="233">
        <f>VLOOKUP(Table9[[#This Row],[Country Code]],Table29[],24,FALSE)</f>
        <v>0.82749853268205653</v>
      </c>
      <c r="AY154" s="43"/>
    </row>
    <row r="155" spans="1:51" ht="30" x14ac:dyDescent="0.25">
      <c r="A155" s="367">
        <v>21432</v>
      </c>
      <c r="B155" s="233" t="str">
        <f>VLOOKUP(Table9[[#This Row],[Document ID]],Table1[],2,FALSE)</f>
        <v>LBR</v>
      </c>
      <c r="C155" s="233" t="str">
        <f>VLOOKUP(Table9[[#This Row],[Document ID]],Table1[],3,FALSE)</f>
        <v>Liberia</v>
      </c>
      <c r="D155" s="254" t="str">
        <f>VLOOKUP(Table9[[#This Row],[Document ID]],Table1[],5,FALSE)</f>
        <v>NDC</v>
      </c>
      <c r="E155" s="233" t="str">
        <f>VLOOKUP(Table9[[#This Row],[Document ID]],Table1[],7,FALSE)</f>
        <v>First NDC updated</v>
      </c>
      <c r="F155" s="233" t="str">
        <f>VLOOKUP(Table9[[#This Row],[Document ID]],Table1[],8,FALSE)</f>
        <v>NDC 1.1</v>
      </c>
      <c r="G155" s="233" t="str">
        <f>VLOOKUP(Table9[[#This Row],[Document ID]],Table1[],10,FALSE)</f>
        <v>Active</v>
      </c>
      <c r="H155" s="44" t="s">
        <v>5076</v>
      </c>
      <c r="I155" s="43" t="s">
        <v>5089</v>
      </c>
      <c r="J155" s="44" t="s">
        <v>5232</v>
      </c>
      <c r="K155" s="221">
        <v>32</v>
      </c>
      <c r="L155" s="113" t="s">
        <v>1113</v>
      </c>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326" t="s">
        <v>1113</v>
      </c>
      <c r="AJ155" s="326"/>
      <c r="AK155" s="326"/>
      <c r="AL155" s="326"/>
      <c r="AM155" s="327" t="s">
        <v>5075</v>
      </c>
      <c r="AN155" s="233" t="str">
        <f>VLOOKUP(Table9[[#This Row],[Measure]],Table1025[[Value name]:[Value identifyer]],2,FALSE)</f>
        <v>R_Design</v>
      </c>
      <c r="AO155" s="241" t="str">
        <f>VLOOKUP(Table9[[#This Row],[Country Code]],Table29[],3,FALSE)</f>
        <v>Non-Annex I</v>
      </c>
      <c r="AP155" s="241" t="str">
        <f>VLOOKUP(Table9[[#This Row],[Country Code]],Table29[],4,FALSE)</f>
        <v>Africa</v>
      </c>
      <c r="AQ155" s="241" t="str">
        <f>VLOOKUP(Table9[[#This Row],[Country Code]],Table29[],5,FALSE)</f>
        <v>Low-income</v>
      </c>
      <c r="AR155" s="241" t="str">
        <f>VLOOKUP(Table9[[#This Row],[Country Code]],Table29[],6,FALSE)</f>
        <v>no</v>
      </c>
      <c r="AS155" s="241" t="str">
        <f>VLOOKUP(Table9[[#This Row],[Country Code]],Table29[],7,FALSE)</f>
        <v>no</v>
      </c>
      <c r="AT155" s="241" t="str">
        <f>VLOOKUP(Table9[[#This Row],[Country Code]],Table29[],8,FALSE)</f>
        <v>non-OECD</v>
      </c>
      <c r="AU155" s="233" t="str">
        <f>VLOOKUP(Table9[[#This Row],[Country Code]],Table29[],9,FALSE)</f>
        <v>no</v>
      </c>
      <c r="AV155" s="233" t="str">
        <f>VLOOKUP(Table9[[#This Row],[Country Code]],Table29[],10,FALSE)</f>
        <v>no</v>
      </c>
      <c r="AW155" s="233">
        <f>VLOOKUP(Table9[[#This Row],[Country Code]],Table29[],23,FALSE)</f>
        <v>4.5323879353986003</v>
      </c>
      <c r="AX155" s="233">
        <f>VLOOKUP(Table9[[#This Row],[Country Code]],Table29[],24,FALSE)</f>
        <v>0.82749853268205653</v>
      </c>
      <c r="AY155" s="43"/>
    </row>
    <row r="156" spans="1:51" ht="30" x14ac:dyDescent="0.25">
      <c r="A156" s="367">
        <v>21432</v>
      </c>
      <c r="B156" s="233" t="str">
        <f>VLOOKUP(Table9[[#This Row],[Document ID]],Table1[],2,FALSE)</f>
        <v>LBR</v>
      </c>
      <c r="C156" s="233" t="str">
        <f>VLOOKUP(Table9[[#This Row],[Document ID]],Table1[],3,FALSE)</f>
        <v>Liberia</v>
      </c>
      <c r="D156" s="254" t="str">
        <f>VLOOKUP(Table9[[#This Row],[Document ID]],Table1[],5,FALSE)</f>
        <v>NDC</v>
      </c>
      <c r="E156" s="233" t="str">
        <f>VLOOKUP(Table9[[#This Row],[Document ID]],Table1[],7,FALSE)</f>
        <v>First NDC updated</v>
      </c>
      <c r="F156" s="233" t="str">
        <f>VLOOKUP(Table9[[#This Row],[Document ID]],Table1[],8,FALSE)</f>
        <v>NDC 1.1</v>
      </c>
      <c r="G156" s="233" t="str">
        <f>VLOOKUP(Table9[[#This Row],[Document ID]],Table1[],10,FALSE)</f>
        <v>Active</v>
      </c>
      <c r="H156" s="44" t="s">
        <v>5072</v>
      </c>
      <c r="I156" s="43" t="s">
        <v>5082</v>
      </c>
      <c r="J156" s="209" t="s">
        <v>5233</v>
      </c>
      <c r="K156" s="221">
        <v>36</v>
      </c>
      <c r="L156" s="113"/>
      <c r="M156" s="113"/>
      <c r="N156" s="113"/>
      <c r="O156" s="113"/>
      <c r="P156" s="113"/>
      <c r="Q156" s="113" t="s">
        <v>1113</v>
      </c>
      <c r="R156" s="113"/>
      <c r="S156" s="113"/>
      <c r="T156" s="113"/>
      <c r="U156" s="113"/>
      <c r="V156" s="113"/>
      <c r="W156" s="113"/>
      <c r="X156" s="113"/>
      <c r="Y156" s="113"/>
      <c r="Z156" s="113"/>
      <c r="AA156" s="113"/>
      <c r="AB156" s="113"/>
      <c r="AC156" s="113"/>
      <c r="AD156" s="113"/>
      <c r="AE156" s="113"/>
      <c r="AF156" s="113"/>
      <c r="AG156" s="113"/>
      <c r="AH156" s="113"/>
      <c r="AI156" s="326" t="s">
        <v>1113</v>
      </c>
      <c r="AJ156" s="326"/>
      <c r="AK156" s="326"/>
      <c r="AL156" s="326"/>
      <c r="AM156" s="327" t="s">
        <v>5075</v>
      </c>
      <c r="AN156" s="233" t="str">
        <f>VLOOKUP(Table9[[#This Row],[Measure]],Table1025[[Value name]:[Value identifyer]],2,FALSE)</f>
        <v>R_Risk</v>
      </c>
      <c r="AO156" s="241" t="str">
        <f>VLOOKUP(Table9[[#This Row],[Country Code]],Table29[],3,FALSE)</f>
        <v>Non-Annex I</v>
      </c>
      <c r="AP156" s="241" t="str">
        <f>VLOOKUP(Table9[[#This Row],[Country Code]],Table29[],4,FALSE)</f>
        <v>Africa</v>
      </c>
      <c r="AQ156" s="241" t="str">
        <f>VLOOKUP(Table9[[#This Row],[Country Code]],Table29[],5,FALSE)</f>
        <v>Low-income</v>
      </c>
      <c r="AR156" s="241" t="str">
        <f>VLOOKUP(Table9[[#This Row],[Country Code]],Table29[],6,FALSE)</f>
        <v>no</v>
      </c>
      <c r="AS156" s="241" t="str">
        <f>VLOOKUP(Table9[[#This Row],[Country Code]],Table29[],7,FALSE)</f>
        <v>no</v>
      </c>
      <c r="AT156" s="241" t="str">
        <f>VLOOKUP(Table9[[#This Row],[Country Code]],Table29[],8,FALSE)</f>
        <v>non-OECD</v>
      </c>
      <c r="AU156" s="233" t="str">
        <f>VLOOKUP(Table9[[#This Row],[Country Code]],Table29[],9,FALSE)</f>
        <v>no</v>
      </c>
      <c r="AV156" s="233" t="str">
        <f>VLOOKUP(Table9[[#This Row],[Country Code]],Table29[],10,FALSE)</f>
        <v>no</v>
      </c>
      <c r="AW156" s="233">
        <f>VLOOKUP(Table9[[#This Row],[Country Code]],Table29[],23,FALSE)</f>
        <v>4.5323879353986003</v>
      </c>
      <c r="AX156" s="233">
        <f>VLOOKUP(Table9[[#This Row],[Country Code]],Table29[],24,FALSE)</f>
        <v>0.82749853268205653</v>
      </c>
      <c r="AY156" s="43"/>
    </row>
    <row r="157" spans="1:51" ht="60" x14ac:dyDescent="0.25">
      <c r="A157" s="367">
        <v>21432</v>
      </c>
      <c r="B157" s="233" t="str">
        <f>VLOOKUP(Table9[[#This Row],[Document ID]],Table1[],2,FALSE)</f>
        <v>LBR</v>
      </c>
      <c r="C157" s="233" t="str">
        <f>VLOOKUP(Table9[[#This Row],[Document ID]],Table1[],3,FALSE)</f>
        <v>Liberia</v>
      </c>
      <c r="D157" s="254" t="str">
        <f>VLOOKUP(Table9[[#This Row],[Document ID]],Table1[],5,FALSE)</f>
        <v>NDC</v>
      </c>
      <c r="E157" s="233" t="str">
        <f>VLOOKUP(Table9[[#This Row],[Document ID]],Table1[],7,FALSE)</f>
        <v>First NDC updated</v>
      </c>
      <c r="F157" s="233" t="str">
        <f>VLOOKUP(Table9[[#This Row],[Document ID]],Table1[],8,FALSE)</f>
        <v>NDC 1.1</v>
      </c>
      <c r="G157" s="233" t="str">
        <f>VLOOKUP(Table9[[#This Row],[Document ID]],Table1[],10,FALSE)</f>
        <v>Active</v>
      </c>
      <c r="H157" s="44" t="s">
        <v>5076</v>
      </c>
      <c r="I157" s="43" t="s">
        <v>5089</v>
      </c>
      <c r="J157" s="209" t="s">
        <v>5234</v>
      </c>
      <c r="K157" s="221">
        <v>36</v>
      </c>
      <c r="L157" s="113"/>
      <c r="M157" s="113"/>
      <c r="N157" s="113"/>
      <c r="O157" s="113"/>
      <c r="P157" s="113"/>
      <c r="Q157" s="113" t="s">
        <v>1113</v>
      </c>
      <c r="R157" s="113"/>
      <c r="S157" s="113"/>
      <c r="T157" s="113"/>
      <c r="U157" s="113"/>
      <c r="V157" s="113"/>
      <c r="W157" s="113"/>
      <c r="X157" s="113"/>
      <c r="Y157" s="113"/>
      <c r="Z157" s="113"/>
      <c r="AA157" s="113"/>
      <c r="AB157" s="113"/>
      <c r="AC157" s="113"/>
      <c r="AD157" s="113"/>
      <c r="AE157" s="113"/>
      <c r="AF157" s="113"/>
      <c r="AG157" s="113"/>
      <c r="AH157" s="113"/>
      <c r="AI157" s="326" t="s">
        <v>1113</v>
      </c>
      <c r="AJ157" s="326"/>
      <c r="AK157" s="326"/>
      <c r="AL157" s="326"/>
      <c r="AM157" s="327" t="s">
        <v>5075</v>
      </c>
      <c r="AN157" s="233" t="str">
        <f>VLOOKUP(Table9[[#This Row],[Measure]],Table1025[[Value name]:[Value identifyer]],2,FALSE)</f>
        <v>R_Design</v>
      </c>
      <c r="AO157" s="241" t="str">
        <f>VLOOKUP(Table9[[#This Row],[Country Code]],Table29[],3,FALSE)</f>
        <v>Non-Annex I</v>
      </c>
      <c r="AP157" s="241" t="str">
        <f>VLOOKUP(Table9[[#This Row],[Country Code]],Table29[],4,FALSE)</f>
        <v>Africa</v>
      </c>
      <c r="AQ157" s="241" t="str">
        <f>VLOOKUP(Table9[[#This Row],[Country Code]],Table29[],5,FALSE)</f>
        <v>Low-income</v>
      </c>
      <c r="AR157" s="241" t="str">
        <f>VLOOKUP(Table9[[#This Row],[Country Code]],Table29[],6,FALSE)</f>
        <v>no</v>
      </c>
      <c r="AS157" s="241" t="str">
        <f>VLOOKUP(Table9[[#This Row],[Country Code]],Table29[],7,FALSE)</f>
        <v>no</v>
      </c>
      <c r="AT157" s="241" t="str">
        <f>VLOOKUP(Table9[[#This Row],[Country Code]],Table29[],8,FALSE)</f>
        <v>non-OECD</v>
      </c>
      <c r="AU157" s="233" t="str">
        <f>VLOOKUP(Table9[[#This Row],[Country Code]],Table29[],9,FALSE)</f>
        <v>no</v>
      </c>
      <c r="AV157" s="233" t="str">
        <f>VLOOKUP(Table9[[#This Row],[Country Code]],Table29[],10,FALSE)</f>
        <v>no</v>
      </c>
      <c r="AW157" s="233">
        <f>VLOOKUP(Table9[[#This Row],[Country Code]],Table29[],23,FALSE)</f>
        <v>4.5323879353986003</v>
      </c>
      <c r="AX157" s="233">
        <f>VLOOKUP(Table9[[#This Row],[Country Code]],Table29[],24,FALSE)</f>
        <v>0.82749853268205653</v>
      </c>
      <c r="AY157" s="43"/>
    </row>
    <row r="158" spans="1:51" ht="30" x14ac:dyDescent="0.25">
      <c r="A158" s="367">
        <v>21432</v>
      </c>
      <c r="B158" s="233" t="str">
        <f>VLOOKUP(Table9[[#This Row],[Document ID]],Table1[],2,FALSE)</f>
        <v>LBR</v>
      </c>
      <c r="C158" s="233" t="str">
        <f>VLOOKUP(Table9[[#This Row],[Document ID]],Table1[],3,FALSE)</f>
        <v>Liberia</v>
      </c>
      <c r="D158" s="254" t="str">
        <f>VLOOKUP(Table9[[#This Row],[Document ID]],Table1[],5,FALSE)</f>
        <v>NDC</v>
      </c>
      <c r="E158" s="233" t="str">
        <f>VLOOKUP(Table9[[#This Row],[Document ID]],Table1[],7,FALSE)</f>
        <v>First NDC updated</v>
      </c>
      <c r="F158" s="233" t="str">
        <f>VLOOKUP(Table9[[#This Row],[Document ID]],Table1[],8,FALSE)</f>
        <v>NDC 1.1</v>
      </c>
      <c r="G158" s="233" t="str">
        <f>VLOOKUP(Table9[[#This Row],[Document ID]],Table1[],10,FALSE)</f>
        <v>Active</v>
      </c>
      <c r="H158" s="44" t="s">
        <v>5076</v>
      </c>
      <c r="I158" s="43" t="s">
        <v>5079</v>
      </c>
      <c r="J158" s="209" t="s">
        <v>5235</v>
      </c>
      <c r="K158" s="221">
        <v>36</v>
      </c>
      <c r="L158" s="113" t="s">
        <v>1113</v>
      </c>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326" t="s">
        <v>1113</v>
      </c>
      <c r="AJ158" s="326"/>
      <c r="AK158" s="326"/>
      <c r="AL158" s="326"/>
      <c r="AM158" s="327" t="s">
        <v>5075</v>
      </c>
      <c r="AN158" s="233" t="str">
        <f>VLOOKUP(Table9[[#This Row],[Measure]],Table1025[[Value name]:[Value identifyer]],2,FALSE)</f>
        <v>R_Laws</v>
      </c>
      <c r="AO158" s="241" t="str">
        <f>VLOOKUP(Table9[[#This Row],[Country Code]],Table29[],3,FALSE)</f>
        <v>Non-Annex I</v>
      </c>
      <c r="AP158" s="241" t="str">
        <f>VLOOKUP(Table9[[#This Row],[Country Code]],Table29[],4,FALSE)</f>
        <v>Africa</v>
      </c>
      <c r="AQ158" s="241" t="str">
        <f>VLOOKUP(Table9[[#This Row],[Country Code]],Table29[],5,FALSE)</f>
        <v>Low-income</v>
      </c>
      <c r="AR158" s="241" t="str">
        <f>VLOOKUP(Table9[[#This Row],[Country Code]],Table29[],6,FALSE)</f>
        <v>no</v>
      </c>
      <c r="AS158" s="241" t="str">
        <f>VLOOKUP(Table9[[#This Row],[Country Code]],Table29[],7,FALSE)</f>
        <v>no</v>
      </c>
      <c r="AT158" s="241" t="str">
        <f>VLOOKUP(Table9[[#This Row],[Country Code]],Table29[],8,FALSE)</f>
        <v>non-OECD</v>
      </c>
      <c r="AU158" s="233" t="str">
        <f>VLOOKUP(Table9[[#This Row],[Country Code]],Table29[],9,FALSE)</f>
        <v>no</v>
      </c>
      <c r="AV158" s="233" t="str">
        <f>VLOOKUP(Table9[[#This Row],[Country Code]],Table29[],10,FALSE)</f>
        <v>no</v>
      </c>
      <c r="AW158" s="233">
        <f>VLOOKUP(Table9[[#This Row],[Country Code]],Table29[],23,FALSE)</f>
        <v>4.5323879353986003</v>
      </c>
      <c r="AX158" s="233">
        <f>VLOOKUP(Table9[[#This Row],[Country Code]],Table29[],24,FALSE)</f>
        <v>0.82749853268205653</v>
      </c>
      <c r="AY158" s="43"/>
    </row>
    <row r="159" spans="1:51" x14ac:dyDescent="0.25">
      <c r="A159" s="368">
        <v>32505</v>
      </c>
      <c r="B159" s="233" t="str">
        <f>VLOOKUP(Table9[[#This Row],[Document ID]],Table1[],2,FALSE)</f>
        <v>LTU</v>
      </c>
      <c r="C159" s="233" t="str">
        <f>VLOOKUP(Table9[[#This Row],[Document ID]],Table1[],3,FALSE)</f>
        <v>Lithuania</v>
      </c>
      <c r="D159" s="241" t="str">
        <f>VLOOKUP(Table9[[#This Row],[Document ID]],Table1[],5,FALSE)</f>
        <v>LTS</v>
      </c>
      <c r="E159" s="233" t="str">
        <f>VLOOKUP(Table9[[#This Row],[Document ID]],Table1[],7,FALSE)</f>
        <v>EU-LTS</v>
      </c>
      <c r="F159" s="241" t="str">
        <f>VLOOKUP(Table9[[#This Row],[Document ID]],Table1[],8,FALSE)</f>
        <v>LTS 1.0</v>
      </c>
      <c r="G159" s="241" t="str">
        <f>VLOOKUP(Table9[[#This Row],[Document ID]],Table1[],10,FALSE)</f>
        <v>Active</v>
      </c>
      <c r="H159" s="44" t="s">
        <v>5072</v>
      </c>
      <c r="I159" s="43" t="s">
        <v>5073</v>
      </c>
      <c r="J159" s="209" t="s">
        <v>5236</v>
      </c>
      <c r="K159" s="259">
        <v>32</v>
      </c>
      <c r="L159" s="219"/>
      <c r="M159" s="219"/>
      <c r="N159" s="113"/>
      <c r="O159" s="113"/>
      <c r="P159" s="113"/>
      <c r="Q159" s="113" t="s">
        <v>1113</v>
      </c>
      <c r="R159" s="113"/>
      <c r="S159" s="113"/>
      <c r="T159" s="113"/>
      <c r="U159" s="113"/>
      <c r="V159" s="113"/>
      <c r="W159" s="113"/>
      <c r="X159" s="113"/>
      <c r="Y159" s="113"/>
      <c r="Z159" s="113"/>
      <c r="AA159" s="113"/>
      <c r="AB159" s="113"/>
      <c r="AC159" s="113"/>
      <c r="AD159" s="113"/>
      <c r="AE159" s="113"/>
      <c r="AF159" s="113"/>
      <c r="AG159" s="113"/>
      <c r="AH159" s="113"/>
      <c r="AI159" s="219" t="s">
        <v>1113</v>
      </c>
      <c r="AJ159" s="326"/>
      <c r="AK159" s="326"/>
      <c r="AL159" s="326"/>
      <c r="AM159" s="209" t="s">
        <v>5075</v>
      </c>
      <c r="AN159" s="233" t="str">
        <f>VLOOKUP(Table9[[#This Row],[Measure]],Table1025[[Value name]:[Value identifyer]],2,FALSE)</f>
        <v>R_System</v>
      </c>
      <c r="AO159" s="241" t="str">
        <f>VLOOKUP(Table9[[#This Row],[Country Code]],Table29[],3,FALSE)</f>
        <v>Annex I</v>
      </c>
      <c r="AP159" s="241" t="str">
        <f>VLOOKUP(Table9[[#This Row],[Country Code]],Table29[],4,FALSE)</f>
        <v>Europe</v>
      </c>
      <c r="AQ159" s="241" t="str">
        <f>VLOOKUP(Table9[[#This Row],[Country Code]],Table29[],5,FALSE)</f>
        <v>High-income</v>
      </c>
      <c r="AR159" s="241" t="str">
        <f>VLOOKUP(Table9[[#This Row],[Country Code]],Table29[],6,FALSE)</f>
        <v>no</v>
      </c>
      <c r="AS159" s="241" t="str">
        <f>VLOOKUP(Table9[[#This Row],[Country Code]],Table29[],7,FALSE)</f>
        <v>no</v>
      </c>
      <c r="AT159" s="241" t="str">
        <f>VLOOKUP(Table9[[#This Row],[Country Code]],Table29[],8,FALSE)</f>
        <v>OECD</v>
      </c>
      <c r="AU159" s="233" t="str">
        <f>VLOOKUP(Table9[[#This Row],[Country Code]],Table29[],9,FALSE)</f>
        <v>EU27</v>
      </c>
      <c r="AV159" s="233" t="str">
        <f>VLOOKUP(Table9[[#This Row],[Country Code]],Table29[],10,FALSE)</f>
        <v>no</v>
      </c>
      <c r="AW159" s="233">
        <f>VLOOKUP(Table9[[#This Row],[Country Code]],Table29[],23,FALSE)</f>
        <v>20.683656998446001</v>
      </c>
      <c r="AX159" s="233">
        <f>VLOOKUP(Table9[[#This Row],[Country Code]],Table29[],24,FALSE)</f>
        <v>6.2808070704944967</v>
      </c>
      <c r="AY159" s="43"/>
    </row>
    <row r="160" spans="1:51" ht="30" x14ac:dyDescent="0.25">
      <c r="A160" s="368">
        <v>32505</v>
      </c>
      <c r="B160" s="233" t="str">
        <f>VLOOKUP(Table9[[#This Row],[Document ID]],Table1[],2,FALSE)</f>
        <v>LTU</v>
      </c>
      <c r="C160" s="233" t="str">
        <f>VLOOKUP(Table9[[#This Row],[Document ID]],Table1[],3,FALSE)</f>
        <v>Lithuania</v>
      </c>
      <c r="D160" s="241" t="str">
        <f>VLOOKUP(Table9[[#This Row],[Document ID]],Table1[],5,FALSE)</f>
        <v>LTS</v>
      </c>
      <c r="E160" s="233" t="str">
        <f>VLOOKUP(Table9[[#This Row],[Document ID]],Table1[],7,FALSE)</f>
        <v>EU-LTS</v>
      </c>
      <c r="F160" s="241" t="str">
        <f>VLOOKUP(Table9[[#This Row],[Document ID]],Table1[],8,FALSE)</f>
        <v>LTS 1.0</v>
      </c>
      <c r="G160" s="241" t="str">
        <f>VLOOKUP(Table9[[#This Row],[Document ID]],Table1[],10,FALSE)</f>
        <v>Active</v>
      </c>
      <c r="H160" s="44" t="s">
        <v>5072</v>
      </c>
      <c r="I160" s="43" t="s">
        <v>5073</v>
      </c>
      <c r="J160" s="209" t="s">
        <v>5237</v>
      </c>
      <c r="K160" s="259">
        <v>32</v>
      </c>
      <c r="L160" s="219" t="s">
        <v>1113</v>
      </c>
      <c r="M160" s="219"/>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219" t="s">
        <v>1113</v>
      </c>
      <c r="AJ160" s="326"/>
      <c r="AK160" s="326"/>
      <c r="AL160" s="326"/>
      <c r="AM160" s="209" t="s">
        <v>5075</v>
      </c>
      <c r="AN160" s="233" t="str">
        <f>VLOOKUP(Table9[[#This Row],[Measure]],Table1025[[Value name]:[Value identifyer]],2,FALSE)</f>
        <v>R_System</v>
      </c>
      <c r="AO160" s="241" t="str">
        <f>VLOOKUP(Table9[[#This Row],[Country Code]],Table29[],3,FALSE)</f>
        <v>Annex I</v>
      </c>
      <c r="AP160" s="241" t="str">
        <f>VLOOKUP(Table9[[#This Row],[Country Code]],Table29[],4,FALSE)</f>
        <v>Europe</v>
      </c>
      <c r="AQ160" s="241" t="str">
        <f>VLOOKUP(Table9[[#This Row],[Country Code]],Table29[],5,FALSE)</f>
        <v>High-income</v>
      </c>
      <c r="AR160" s="241" t="str">
        <f>VLOOKUP(Table9[[#This Row],[Country Code]],Table29[],6,FALSE)</f>
        <v>no</v>
      </c>
      <c r="AS160" s="241" t="str">
        <f>VLOOKUP(Table9[[#This Row],[Country Code]],Table29[],7,FALSE)</f>
        <v>no</v>
      </c>
      <c r="AT160" s="241" t="str">
        <f>VLOOKUP(Table9[[#This Row],[Country Code]],Table29[],8,FALSE)</f>
        <v>OECD</v>
      </c>
      <c r="AU160" s="233" t="str">
        <f>VLOOKUP(Table9[[#This Row],[Country Code]],Table29[],9,FALSE)</f>
        <v>EU27</v>
      </c>
      <c r="AV160" s="233" t="str">
        <f>VLOOKUP(Table9[[#This Row],[Country Code]],Table29[],10,FALSE)</f>
        <v>no</v>
      </c>
      <c r="AW160" s="233">
        <f>VLOOKUP(Table9[[#This Row],[Country Code]],Table29[],23,FALSE)</f>
        <v>20.683656998446001</v>
      </c>
      <c r="AX160" s="233">
        <f>VLOOKUP(Table9[[#This Row],[Country Code]],Table29[],24,FALSE)</f>
        <v>6.2808070704944967</v>
      </c>
      <c r="AY160" s="43"/>
    </row>
    <row r="161" spans="1:51" ht="30" x14ac:dyDescent="0.25">
      <c r="A161" s="367">
        <v>41744</v>
      </c>
      <c r="B161" s="233" t="str">
        <f>VLOOKUP(Table9[[#This Row],[Document ID]],Table1[],2,FALSE)</f>
        <v>MDG</v>
      </c>
      <c r="C161" s="233" t="str">
        <f>VLOOKUP(Table9[[#This Row],[Document ID]],Table1[],3,FALSE)</f>
        <v>Madagascar</v>
      </c>
      <c r="D161" s="252" t="str">
        <f>VLOOKUP(Table9[[#This Row],[Document ID]],Table1[],5,FALSE)</f>
        <v>NDC</v>
      </c>
      <c r="E161" s="233" t="str">
        <f>VLOOKUP(Table9[[#This Row],[Document ID]],Table1[],7,FALSE)</f>
        <v>Second NDC</v>
      </c>
      <c r="F161" s="241" t="str">
        <f>VLOOKUP(Table9[[#This Row],[Document ID]],Table1[],8,FALSE)</f>
        <v>NDC 2.0</v>
      </c>
      <c r="G161" s="241" t="str">
        <f>VLOOKUP(Table9[[#This Row],[Document ID]],Table1[],10,FALSE)</f>
        <v>Active</v>
      </c>
      <c r="H161" s="44" t="s">
        <v>5072</v>
      </c>
      <c r="I161" s="43" t="s">
        <v>5073</v>
      </c>
      <c r="J161" s="209" t="s">
        <v>5238</v>
      </c>
      <c r="K161" s="259">
        <v>28</v>
      </c>
      <c r="L161" s="219" t="s">
        <v>1113</v>
      </c>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t="s">
        <v>1113</v>
      </c>
      <c r="AJ161" s="326"/>
      <c r="AK161" s="326"/>
      <c r="AL161" s="326"/>
      <c r="AM161" s="42" t="s">
        <v>5075</v>
      </c>
      <c r="AN161" s="233" t="str">
        <f>VLOOKUP(Table9[[#This Row],[Measure]],Table1025[[Value name]:[Value identifyer]],2,FALSE)</f>
        <v>R_System</v>
      </c>
      <c r="AO161" s="241" t="str">
        <f>VLOOKUP(Table9[[#This Row],[Country Code]],Table29[],3,FALSE)</f>
        <v>Non-Annex I</v>
      </c>
      <c r="AP161" s="241" t="str">
        <f>VLOOKUP(Table9[[#This Row],[Country Code]],Table29[],4,FALSE)</f>
        <v>Africa</v>
      </c>
      <c r="AQ161" s="241" t="str">
        <f>VLOOKUP(Table9[[#This Row],[Country Code]],Table29[],5,FALSE)</f>
        <v>Low-income</v>
      </c>
      <c r="AR161" s="241" t="str">
        <f>VLOOKUP(Table9[[#This Row],[Country Code]],Table29[],6,FALSE)</f>
        <v>no</v>
      </c>
      <c r="AS161" s="241" t="str">
        <f>VLOOKUP(Table9[[#This Row],[Country Code]],Table29[],7,FALSE)</f>
        <v>no</v>
      </c>
      <c r="AT161" s="241" t="str">
        <f>VLOOKUP(Table9[[#This Row],[Country Code]],Table29[],8,FALSE)</f>
        <v>non-OECD</v>
      </c>
      <c r="AU161" s="233" t="str">
        <f>VLOOKUP(Table9[[#This Row],[Country Code]],Table29[],9,FALSE)</f>
        <v>no</v>
      </c>
      <c r="AV161" s="233" t="str">
        <f>VLOOKUP(Table9[[#This Row],[Country Code]],Table29[],10,FALSE)</f>
        <v>no</v>
      </c>
      <c r="AW161" s="233">
        <f>VLOOKUP(Table9[[#This Row],[Country Code]],Table29[],23,FALSE)</f>
        <v>33.150776404127001</v>
      </c>
      <c r="AX161" s="233">
        <f>VLOOKUP(Table9[[#This Row],[Country Code]],Table29[],24,FALSE)</f>
        <v>1.378876889046607</v>
      </c>
      <c r="AY161" s="43"/>
    </row>
    <row r="162" spans="1:51" x14ac:dyDescent="0.25">
      <c r="A162" s="367">
        <v>17649</v>
      </c>
      <c r="B162" s="233" t="str">
        <f>VLOOKUP(Table9[[#This Row],[Document ID]],Table1[],2,FALSE)</f>
        <v>MWI</v>
      </c>
      <c r="C162" s="233" t="str">
        <f>VLOOKUP(Table9[[#This Row],[Document ID]],Table1[],3,FALSE)</f>
        <v>Malawi</v>
      </c>
      <c r="D162" s="328" t="str">
        <f>VLOOKUP(Table9[[#This Row],[Document ID]],Table1[],5,FALSE)</f>
        <v>NDC</v>
      </c>
      <c r="E162" s="233" t="str">
        <f>VLOOKUP(Table9[[#This Row],[Document ID]],Table1[],7,FALSE)</f>
        <v>First NDC</v>
      </c>
      <c r="F162" s="328" t="str">
        <f>VLOOKUP(Table9[[#This Row],[Document ID]],Table1[],8,FALSE)</f>
        <v>NDC 1.0</v>
      </c>
      <c r="G162" s="328" t="str">
        <f>VLOOKUP(Table9[[#This Row],[Document ID]],Table1[],10,FALSE)</f>
        <v>Archived</v>
      </c>
      <c r="H162" s="44" t="s">
        <v>5072</v>
      </c>
      <c r="I162" s="43" t="s">
        <v>5073</v>
      </c>
      <c r="J162" s="209" t="s">
        <v>5239</v>
      </c>
      <c r="K162" s="257" t="s">
        <v>5081</v>
      </c>
      <c r="L162" s="326" t="s">
        <v>1113</v>
      </c>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c r="AI162" s="326" t="s">
        <v>1113</v>
      </c>
      <c r="AJ162" s="326"/>
      <c r="AK162" s="326"/>
      <c r="AL162" s="326"/>
      <c r="AM162" s="327" t="s">
        <v>5075</v>
      </c>
      <c r="AN162" s="233" t="str">
        <f>VLOOKUP(Table9[[#This Row],[Measure]],Table1025[[Value name]:[Value identifyer]],2,FALSE)</f>
        <v>R_System</v>
      </c>
      <c r="AO162" s="241" t="str">
        <f>VLOOKUP(Table9[[#This Row],[Country Code]],Table29[],3,FALSE)</f>
        <v>Non-Annex I</v>
      </c>
      <c r="AP162" s="241" t="str">
        <f>VLOOKUP(Table9[[#This Row],[Country Code]],Table29[],4,FALSE)</f>
        <v>Africa</v>
      </c>
      <c r="AQ162" s="241" t="str">
        <f>VLOOKUP(Table9[[#This Row],[Country Code]],Table29[],5,FALSE)</f>
        <v>Low-income</v>
      </c>
      <c r="AR162" s="241" t="str">
        <f>VLOOKUP(Table9[[#This Row],[Country Code]],Table29[],6,FALSE)</f>
        <v>no</v>
      </c>
      <c r="AS162" s="241" t="str">
        <f>VLOOKUP(Table9[[#This Row],[Country Code]],Table29[],7,FALSE)</f>
        <v>no</v>
      </c>
      <c r="AT162" s="241" t="str">
        <f>VLOOKUP(Table9[[#This Row],[Country Code]],Table29[],8,FALSE)</f>
        <v>non-OECD</v>
      </c>
      <c r="AU162" s="233" t="str">
        <f>VLOOKUP(Table9[[#This Row],[Country Code]],Table29[],9,FALSE)</f>
        <v>no</v>
      </c>
      <c r="AV162" s="233" t="str">
        <f>VLOOKUP(Table9[[#This Row],[Country Code]],Table29[],10,FALSE)</f>
        <v>no</v>
      </c>
      <c r="AW162" s="233">
        <f>VLOOKUP(Table9[[#This Row],[Country Code]],Table29[],23,FALSE)</f>
        <v>19.714051394182</v>
      </c>
      <c r="AX162" s="233">
        <f>VLOOKUP(Table9[[#This Row],[Country Code]],Table29[],24,FALSE)</f>
        <v>0.78331093542905961</v>
      </c>
      <c r="AY162" s="43"/>
    </row>
    <row r="163" spans="1:51" ht="30" x14ac:dyDescent="0.25">
      <c r="A163" s="367">
        <v>21299</v>
      </c>
      <c r="B163" s="233" t="str">
        <f>VLOOKUP(Table9[[#This Row],[Document ID]],Table1[],2,FALSE)</f>
        <v>MWI</v>
      </c>
      <c r="C163" s="233" t="str">
        <f>VLOOKUP(Table9[[#This Row],[Document ID]],Table1[],3,FALSE)</f>
        <v>Malawi</v>
      </c>
      <c r="D163" s="254" t="str">
        <f>VLOOKUP(Table9[[#This Row],[Document ID]],Table1[],5,FALSE)</f>
        <v>NDC</v>
      </c>
      <c r="E163" s="233" t="str">
        <f>VLOOKUP(Table9[[#This Row],[Document ID]],Table1[],7,FALSE)</f>
        <v>First NDC updated</v>
      </c>
      <c r="F163" s="241" t="str">
        <f>VLOOKUP(Table9[[#This Row],[Document ID]],Table1[],8,FALSE)</f>
        <v>NDC 1.1</v>
      </c>
      <c r="G163" s="241" t="str">
        <f>VLOOKUP(Table9[[#This Row],[Document ID]],Table1[],10,FALSE)</f>
        <v>Active</v>
      </c>
      <c r="H163" s="44" t="s">
        <v>5072</v>
      </c>
      <c r="I163" s="43" t="s">
        <v>5082</v>
      </c>
      <c r="J163" s="209" t="s">
        <v>5240</v>
      </c>
      <c r="K163" s="259">
        <v>56</v>
      </c>
      <c r="L163" s="326" t="s">
        <v>1113</v>
      </c>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t="s">
        <v>1113</v>
      </c>
      <c r="AJ163" s="326"/>
      <c r="AK163" s="326"/>
      <c r="AL163" s="326"/>
      <c r="AM163" s="327" t="s">
        <v>5075</v>
      </c>
      <c r="AN163" s="233" t="str">
        <f>VLOOKUP(Table9[[#This Row],[Measure]],Table1025[[Value name]:[Value identifyer]],2,FALSE)</f>
        <v>R_Risk</v>
      </c>
      <c r="AO163" s="241" t="str">
        <f>VLOOKUP(Table9[[#This Row],[Country Code]],Table29[],3,FALSE)</f>
        <v>Non-Annex I</v>
      </c>
      <c r="AP163" s="241" t="str">
        <f>VLOOKUP(Table9[[#This Row],[Country Code]],Table29[],4,FALSE)</f>
        <v>Africa</v>
      </c>
      <c r="AQ163" s="241" t="str">
        <f>VLOOKUP(Table9[[#This Row],[Country Code]],Table29[],5,FALSE)</f>
        <v>Low-income</v>
      </c>
      <c r="AR163" s="241" t="str">
        <f>VLOOKUP(Table9[[#This Row],[Country Code]],Table29[],6,FALSE)</f>
        <v>no</v>
      </c>
      <c r="AS163" s="241" t="str">
        <f>VLOOKUP(Table9[[#This Row],[Country Code]],Table29[],7,FALSE)</f>
        <v>no</v>
      </c>
      <c r="AT163" s="241" t="str">
        <f>VLOOKUP(Table9[[#This Row],[Country Code]],Table29[],8,FALSE)</f>
        <v>non-OECD</v>
      </c>
      <c r="AU163" s="233" t="str">
        <f>VLOOKUP(Table9[[#This Row],[Country Code]],Table29[],9,FALSE)</f>
        <v>no</v>
      </c>
      <c r="AV163" s="233" t="str">
        <f>VLOOKUP(Table9[[#This Row],[Country Code]],Table29[],10,FALSE)</f>
        <v>no</v>
      </c>
      <c r="AW163" s="233">
        <f>VLOOKUP(Table9[[#This Row],[Country Code]],Table29[],23,FALSE)</f>
        <v>19.714051394182</v>
      </c>
      <c r="AX163" s="233">
        <f>VLOOKUP(Table9[[#This Row],[Country Code]],Table29[],24,FALSE)</f>
        <v>0.78331093542905961</v>
      </c>
      <c r="AY163" s="43"/>
    </row>
    <row r="164" spans="1:51" ht="75" x14ac:dyDescent="0.25">
      <c r="A164" s="367">
        <v>21299</v>
      </c>
      <c r="B164" s="233" t="str">
        <f>VLOOKUP(Table9[[#This Row],[Document ID]],Table1[],2,FALSE)</f>
        <v>MWI</v>
      </c>
      <c r="C164" s="233" t="str">
        <f>VLOOKUP(Table9[[#This Row],[Document ID]],Table1[],3,FALSE)</f>
        <v>Malawi</v>
      </c>
      <c r="D164" s="254" t="str">
        <f>VLOOKUP(Table9[[#This Row],[Document ID]],Table1[],5,FALSE)</f>
        <v>NDC</v>
      </c>
      <c r="E164" s="233" t="str">
        <f>VLOOKUP(Table9[[#This Row],[Document ID]],Table1[],7,FALSE)</f>
        <v>First NDC updated</v>
      </c>
      <c r="F164" s="241" t="str">
        <f>VLOOKUP(Table9[[#This Row],[Document ID]],Table1[],8,FALSE)</f>
        <v>NDC 1.1</v>
      </c>
      <c r="G164" s="241" t="str">
        <f>VLOOKUP(Table9[[#This Row],[Document ID]],Table1[],10,FALSE)</f>
        <v>Active</v>
      </c>
      <c r="H164" s="44" t="s">
        <v>5076</v>
      </c>
      <c r="I164" s="43" t="s">
        <v>5089</v>
      </c>
      <c r="J164" s="209" t="s">
        <v>5241</v>
      </c>
      <c r="K164" s="259">
        <v>60</v>
      </c>
      <c r="L164" s="219"/>
      <c r="M164" s="219"/>
      <c r="N164" s="219"/>
      <c r="O164" s="219"/>
      <c r="P164" s="219"/>
      <c r="Q164" s="219" t="s">
        <v>1113</v>
      </c>
      <c r="R164" s="219"/>
      <c r="S164" s="219"/>
      <c r="T164" s="219"/>
      <c r="U164" s="219"/>
      <c r="V164" s="219"/>
      <c r="W164" s="219"/>
      <c r="X164" s="219"/>
      <c r="Y164" s="219"/>
      <c r="Z164" s="219"/>
      <c r="AA164" s="219"/>
      <c r="AB164" s="219"/>
      <c r="AC164" s="219"/>
      <c r="AD164" s="219"/>
      <c r="AE164" s="219"/>
      <c r="AF164" s="219"/>
      <c r="AG164" s="219"/>
      <c r="AH164" s="219"/>
      <c r="AI164" s="326" t="s">
        <v>1113</v>
      </c>
      <c r="AJ164" s="326"/>
      <c r="AK164" s="326"/>
      <c r="AL164" s="326"/>
      <c r="AM164" s="327" t="s">
        <v>5075</v>
      </c>
      <c r="AN164" s="233" t="str">
        <f>VLOOKUP(Table9[[#This Row],[Measure]],Table1025[[Value name]:[Value identifyer]],2,FALSE)</f>
        <v>R_Design</v>
      </c>
      <c r="AO164" s="241" t="str">
        <f>VLOOKUP(Table9[[#This Row],[Country Code]],Table29[],3,FALSE)</f>
        <v>Non-Annex I</v>
      </c>
      <c r="AP164" s="241" t="str">
        <f>VLOOKUP(Table9[[#This Row],[Country Code]],Table29[],4,FALSE)</f>
        <v>Africa</v>
      </c>
      <c r="AQ164" s="241" t="str">
        <f>VLOOKUP(Table9[[#This Row],[Country Code]],Table29[],5,FALSE)</f>
        <v>Low-income</v>
      </c>
      <c r="AR164" s="241" t="str">
        <f>VLOOKUP(Table9[[#This Row],[Country Code]],Table29[],6,FALSE)</f>
        <v>no</v>
      </c>
      <c r="AS164" s="241" t="str">
        <f>VLOOKUP(Table9[[#This Row],[Country Code]],Table29[],7,FALSE)</f>
        <v>no</v>
      </c>
      <c r="AT164" s="241" t="str">
        <f>VLOOKUP(Table9[[#This Row],[Country Code]],Table29[],8,FALSE)</f>
        <v>non-OECD</v>
      </c>
      <c r="AU164" s="233" t="str">
        <f>VLOOKUP(Table9[[#This Row],[Country Code]],Table29[],9,FALSE)</f>
        <v>no</v>
      </c>
      <c r="AV164" s="233" t="str">
        <f>VLOOKUP(Table9[[#This Row],[Country Code]],Table29[],10,FALSE)</f>
        <v>no</v>
      </c>
      <c r="AW164" s="233">
        <f>VLOOKUP(Table9[[#This Row],[Country Code]],Table29[],23,FALSE)</f>
        <v>19.714051394182</v>
      </c>
      <c r="AX164" s="233">
        <f>VLOOKUP(Table9[[#This Row],[Country Code]],Table29[],24,FALSE)</f>
        <v>0.78331093542905961</v>
      </c>
      <c r="AY164" s="43"/>
    </row>
    <row r="165" spans="1:51" ht="60" x14ac:dyDescent="0.25">
      <c r="A165" s="360">
        <v>32506</v>
      </c>
      <c r="B165" s="233" t="str">
        <f>VLOOKUP(Table9[[#This Row],[Document ID]],Table1[],2,FALSE)</f>
        <v>MYS</v>
      </c>
      <c r="C165" s="233" t="str">
        <f>VLOOKUP(Table9[[#This Row],[Document ID]],Table1[],3,FALSE)</f>
        <v>Malaysia</v>
      </c>
      <c r="D165" s="233" t="str">
        <f>VLOOKUP(Table9[[#This Row],[Document ID]],Table1[],5,FALSE)</f>
        <v>NDC</v>
      </c>
      <c r="E165" s="233" t="str">
        <f>VLOOKUP(Table9[[#This Row],[Document ID]],Table1[],7,FALSE)</f>
        <v>First NDC updated</v>
      </c>
      <c r="F165" s="233" t="str">
        <f>VLOOKUP(Table9[[#This Row],[Document ID]],Table1[],8,FALSE)</f>
        <v>NDC 1.1</v>
      </c>
      <c r="G165" s="233" t="str">
        <f>VLOOKUP(Table9[[#This Row],[Document ID]],Table1[],10,FALSE)</f>
        <v>Active</v>
      </c>
      <c r="H165" s="44" t="s">
        <v>5076</v>
      </c>
      <c r="I165" s="43" t="s">
        <v>5077</v>
      </c>
      <c r="J165" s="44" t="s">
        <v>5242</v>
      </c>
      <c r="K165" s="221">
        <v>11</v>
      </c>
      <c r="L165" s="113" t="s">
        <v>1113</v>
      </c>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326"/>
      <c r="AJ165" s="326" t="s">
        <v>1113</v>
      </c>
      <c r="AK165" s="326"/>
      <c r="AL165" s="326"/>
      <c r="AM165" s="327" t="s">
        <v>5075</v>
      </c>
      <c r="AN165" s="233" t="str">
        <f>VLOOKUP(Table9[[#This Row],[Measure]],Table1025[[Value name]:[Value identifyer]],2,FALSE)</f>
        <v>R_Planning</v>
      </c>
      <c r="AO165" s="241" t="str">
        <f>VLOOKUP(Table9[[#This Row],[Country Code]],Table29[],3,FALSE)</f>
        <v>Non-Annex I</v>
      </c>
      <c r="AP165" s="241" t="str">
        <f>VLOOKUP(Table9[[#This Row],[Country Code]],Table29[],4,FALSE)</f>
        <v>Asia</v>
      </c>
      <c r="AQ165" s="241" t="str">
        <f>VLOOKUP(Table9[[#This Row],[Country Code]],Table29[],5,FALSE)</f>
        <v>Middle-income</v>
      </c>
      <c r="AR165" s="241" t="str">
        <f>VLOOKUP(Table9[[#This Row],[Country Code]],Table29[],6,FALSE)</f>
        <v>no</v>
      </c>
      <c r="AS165" s="241" t="str">
        <f>VLOOKUP(Table9[[#This Row],[Country Code]],Table29[],7,FALSE)</f>
        <v>no</v>
      </c>
      <c r="AT165" s="241" t="str">
        <f>VLOOKUP(Table9[[#This Row],[Country Code]],Table29[],8,FALSE)</f>
        <v>non-OECD</v>
      </c>
      <c r="AU165" s="233" t="str">
        <f>VLOOKUP(Table9[[#This Row],[Country Code]],Table29[],9,FALSE)</f>
        <v>no</v>
      </c>
      <c r="AV165" s="233" t="str">
        <f>VLOOKUP(Table9[[#This Row],[Country Code]],Table29[],10,FALSE)</f>
        <v>no</v>
      </c>
      <c r="AW165" s="233">
        <f>VLOOKUP(Table9[[#This Row],[Country Code]],Table29[],23,FALSE)</f>
        <v>325.40584765841999</v>
      </c>
      <c r="AX165" s="233">
        <f>VLOOKUP(Table9[[#This Row],[Country Code]],Table29[],24,FALSE)</f>
        <v>67.382333718297971</v>
      </c>
      <c r="AY165" s="43"/>
    </row>
    <row r="166" spans="1:51" ht="45" x14ac:dyDescent="0.25">
      <c r="A166" s="360">
        <v>17652</v>
      </c>
      <c r="B166" s="233" t="str">
        <f>VLOOKUP(Table9[[#This Row],[Document ID]],Table1[],2,FALSE)</f>
        <v>MDV</v>
      </c>
      <c r="C166" s="233" t="str">
        <f>VLOOKUP(Table9[[#This Row],[Document ID]],Table1[],3,FALSE)</f>
        <v>Maldives</v>
      </c>
      <c r="D166" s="233" t="str">
        <f>VLOOKUP(Table9[[#This Row],[Document ID]],Table1[],5,FALSE)</f>
        <v>NDC</v>
      </c>
      <c r="E166" s="233" t="str">
        <f>VLOOKUP(Table9[[#This Row],[Document ID]],Table1[],7,FALSE)</f>
        <v>First NDC updated</v>
      </c>
      <c r="F166" s="233" t="str">
        <f>VLOOKUP(Table9[[#This Row],[Document ID]],Table1[],8,FALSE)</f>
        <v>NDC 1.1</v>
      </c>
      <c r="G166" s="233" t="str">
        <f>VLOOKUP(Table9[[#This Row],[Document ID]],Table1[],10,FALSE)</f>
        <v>Archived</v>
      </c>
      <c r="H166" s="44" t="s">
        <v>5072</v>
      </c>
      <c r="I166" s="43" t="s">
        <v>5073</v>
      </c>
      <c r="J166" s="44" t="s">
        <v>5243</v>
      </c>
      <c r="K166" s="221">
        <v>14</v>
      </c>
      <c r="L166" s="113"/>
      <c r="M166" s="113"/>
      <c r="N166" s="113"/>
      <c r="O166" s="113"/>
      <c r="P166" s="113"/>
      <c r="Q166" s="113"/>
      <c r="R166" s="113"/>
      <c r="S166" s="113"/>
      <c r="T166" s="113"/>
      <c r="U166" s="113"/>
      <c r="V166" s="113"/>
      <c r="W166" s="113"/>
      <c r="X166" s="113"/>
      <c r="Y166" s="113"/>
      <c r="Z166" s="113"/>
      <c r="AA166" s="113"/>
      <c r="AB166" s="113" t="s">
        <v>1113</v>
      </c>
      <c r="AC166" s="113"/>
      <c r="AD166" s="113"/>
      <c r="AE166" s="113"/>
      <c r="AF166" s="113" t="s">
        <v>1113</v>
      </c>
      <c r="AG166" s="113"/>
      <c r="AH166" s="113"/>
      <c r="AI166" s="113" t="s">
        <v>1113</v>
      </c>
      <c r="AJ166" s="113"/>
      <c r="AK166" s="113"/>
      <c r="AL166" s="113"/>
      <c r="AM166" s="43" t="s">
        <v>5075</v>
      </c>
      <c r="AN166" s="233" t="str">
        <f>VLOOKUP(Table9[[#This Row],[Measure]],Table1025[[Value name]:[Value identifyer]],2,FALSE)</f>
        <v>R_System</v>
      </c>
      <c r="AO166" s="241" t="str">
        <f>VLOOKUP(Table9[[#This Row],[Country Code]],Table29[],3,FALSE)</f>
        <v>Non-Annex I</v>
      </c>
      <c r="AP166" s="241" t="str">
        <f>VLOOKUP(Table9[[#This Row],[Country Code]],Table29[],4,FALSE)</f>
        <v>Asia</v>
      </c>
      <c r="AQ166" s="241" t="str">
        <f>VLOOKUP(Table9[[#This Row],[Country Code]],Table29[],5,FALSE)</f>
        <v>Middle-income</v>
      </c>
      <c r="AR166" s="241" t="str">
        <f>VLOOKUP(Table9[[#This Row],[Country Code]],Table29[],6,FALSE)</f>
        <v>no</v>
      </c>
      <c r="AS166" s="241" t="str">
        <f>VLOOKUP(Table9[[#This Row],[Country Code]],Table29[],7,FALSE)</f>
        <v>no</v>
      </c>
      <c r="AT166" s="241" t="str">
        <f>VLOOKUP(Table9[[#This Row],[Country Code]],Table29[],8,FALSE)</f>
        <v>non-OECD</v>
      </c>
      <c r="AU166" s="233" t="str">
        <f>VLOOKUP(Table9[[#This Row],[Country Code]],Table29[],9,FALSE)</f>
        <v>no</v>
      </c>
      <c r="AV166" s="233" t="str">
        <f>VLOOKUP(Table9[[#This Row],[Country Code]],Table29[],10,FALSE)</f>
        <v>no</v>
      </c>
      <c r="AW166" s="233">
        <f>VLOOKUP(Table9[[#This Row],[Country Code]],Table29[],23,FALSE)</f>
        <v>3.0879519663505</v>
      </c>
      <c r="AX166" s="233">
        <f>VLOOKUP(Table9[[#This Row],[Country Code]],Table29[],24,FALSE)</f>
        <v>1.4972669707005819</v>
      </c>
      <c r="AY166" s="43"/>
    </row>
    <row r="167" spans="1:51" ht="30" x14ac:dyDescent="0.25">
      <c r="A167" s="360">
        <v>17652</v>
      </c>
      <c r="B167" s="233" t="str">
        <f>VLOOKUP(Table9[[#This Row],[Document ID]],Table1[],2,FALSE)</f>
        <v>MDV</v>
      </c>
      <c r="C167" s="233" t="str">
        <f>VLOOKUP(Table9[[#This Row],[Document ID]],Table1[],3,FALSE)</f>
        <v>Maldives</v>
      </c>
      <c r="D167" s="233" t="str">
        <f>VLOOKUP(Table9[[#This Row],[Document ID]],Table1[],5,FALSE)</f>
        <v>NDC</v>
      </c>
      <c r="E167" s="233" t="str">
        <f>VLOOKUP(Table9[[#This Row],[Document ID]],Table1[],7,FALSE)</f>
        <v>First NDC updated</v>
      </c>
      <c r="F167" s="233" t="str">
        <f>VLOOKUP(Table9[[#This Row],[Document ID]],Table1[],8,FALSE)</f>
        <v>NDC 1.1</v>
      </c>
      <c r="G167" s="233" t="str">
        <f>VLOOKUP(Table9[[#This Row],[Document ID]],Table1[],10,FALSE)</f>
        <v>Archived</v>
      </c>
      <c r="H167" s="44" t="s">
        <v>5076</v>
      </c>
      <c r="I167" s="43" t="s">
        <v>5077</v>
      </c>
      <c r="J167" s="44" t="s">
        <v>5244</v>
      </c>
      <c r="K167" s="221">
        <v>14</v>
      </c>
      <c r="L167" s="113" t="s">
        <v>1113</v>
      </c>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t="s">
        <v>1113</v>
      </c>
      <c r="AL167" s="113"/>
      <c r="AM167" s="43" t="s">
        <v>5075</v>
      </c>
      <c r="AN167" s="233" t="str">
        <f>VLOOKUP(Table9[[#This Row],[Measure]],Table1025[[Value name]:[Value identifyer]],2,FALSE)</f>
        <v>R_Planning</v>
      </c>
      <c r="AO167" s="241" t="str">
        <f>VLOOKUP(Table9[[#This Row],[Country Code]],Table29[],3,FALSE)</f>
        <v>Non-Annex I</v>
      </c>
      <c r="AP167" s="241" t="str">
        <f>VLOOKUP(Table9[[#This Row],[Country Code]],Table29[],4,FALSE)</f>
        <v>Asia</v>
      </c>
      <c r="AQ167" s="241" t="str">
        <f>VLOOKUP(Table9[[#This Row],[Country Code]],Table29[],5,FALSE)</f>
        <v>Middle-income</v>
      </c>
      <c r="AR167" s="241" t="str">
        <f>VLOOKUP(Table9[[#This Row],[Country Code]],Table29[],6,FALSE)</f>
        <v>no</v>
      </c>
      <c r="AS167" s="241" t="str">
        <f>VLOOKUP(Table9[[#This Row],[Country Code]],Table29[],7,FALSE)</f>
        <v>no</v>
      </c>
      <c r="AT167" s="241" t="str">
        <f>VLOOKUP(Table9[[#This Row],[Country Code]],Table29[],8,FALSE)</f>
        <v>non-OECD</v>
      </c>
      <c r="AU167" s="233" t="str">
        <f>VLOOKUP(Table9[[#This Row],[Country Code]],Table29[],9,FALSE)</f>
        <v>no</v>
      </c>
      <c r="AV167" s="233" t="str">
        <f>VLOOKUP(Table9[[#This Row],[Country Code]],Table29[],10,FALSE)</f>
        <v>no</v>
      </c>
      <c r="AW167" s="233">
        <f>VLOOKUP(Table9[[#This Row],[Country Code]],Table29[],23,FALSE)</f>
        <v>3.0879519663505</v>
      </c>
      <c r="AX167" s="233">
        <f>VLOOKUP(Table9[[#This Row],[Country Code]],Table29[],24,FALSE)</f>
        <v>1.4972669707005819</v>
      </c>
      <c r="AY167" s="43"/>
    </row>
    <row r="168" spans="1:51" ht="30" x14ac:dyDescent="0.25">
      <c r="A168" s="360">
        <v>17652</v>
      </c>
      <c r="B168" s="233" t="str">
        <f>VLOOKUP(Table9[[#This Row],[Document ID]],Table1[],2,FALSE)</f>
        <v>MDV</v>
      </c>
      <c r="C168" s="233" t="str">
        <f>VLOOKUP(Table9[[#This Row],[Document ID]],Table1[],3,FALSE)</f>
        <v>Maldives</v>
      </c>
      <c r="D168" s="233" t="str">
        <f>VLOOKUP(Table9[[#This Row],[Document ID]],Table1[],5,FALSE)</f>
        <v>NDC</v>
      </c>
      <c r="E168" s="233" t="str">
        <f>VLOOKUP(Table9[[#This Row],[Document ID]],Table1[],7,FALSE)</f>
        <v>First NDC updated</v>
      </c>
      <c r="F168" s="233" t="str">
        <f>VLOOKUP(Table9[[#This Row],[Document ID]],Table1[],8,FALSE)</f>
        <v>NDC 1.1</v>
      </c>
      <c r="G168" s="233" t="str">
        <f>VLOOKUP(Table9[[#This Row],[Document ID]],Table1[],10,FALSE)</f>
        <v>Archived</v>
      </c>
      <c r="H168" s="44" t="s">
        <v>5076</v>
      </c>
      <c r="I168" s="43" t="s">
        <v>5117</v>
      </c>
      <c r="J168" s="44" t="s">
        <v>5244</v>
      </c>
      <c r="K168" s="221">
        <v>14</v>
      </c>
      <c r="L168" s="113" t="s">
        <v>1113</v>
      </c>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t="s">
        <v>1113</v>
      </c>
      <c r="AL168" s="113"/>
      <c r="AM168" s="43" t="s">
        <v>5075</v>
      </c>
      <c r="AN168" s="233" t="str">
        <f>VLOOKUP(Table9[[#This Row],[Measure]],Table1025[[Value name]:[Value identifyer]],2,FALSE)</f>
        <v>R_Redundancy</v>
      </c>
      <c r="AO168" s="241" t="str">
        <f>VLOOKUP(Table9[[#This Row],[Country Code]],Table29[],3,FALSE)</f>
        <v>Non-Annex I</v>
      </c>
      <c r="AP168" s="241" t="str">
        <f>VLOOKUP(Table9[[#This Row],[Country Code]],Table29[],4,FALSE)</f>
        <v>Asia</v>
      </c>
      <c r="AQ168" s="241" t="str">
        <f>VLOOKUP(Table9[[#This Row],[Country Code]],Table29[],5,FALSE)</f>
        <v>Middle-income</v>
      </c>
      <c r="AR168" s="241" t="str">
        <f>VLOOKUP(Table9[[#This Row],[Country Code]],Table29[],6,FALSE)</f>
        <v>no</v>
      </c>
      <c r="AS168" s="241" t="str">
        <f>VLOOKUP(Table9[[#This Row],[Country Code]],Table29[],7,FALSE)</f>
        <v>no</v>
      </c>
      <c r="AT168" s="241" t="str">
        <f>VLOOKUP(Table9[[#This Row],[Country Code]],Table29[],8,FALSE)</f>
        <v>non-OECD</v>
      </c>
      <c r="AU168" s="233" t="str">
        <f>VLOOKUP(Table9[[#This Row],[Country Code]],Table29[],9,FALSE)</f>
        <v>no</v>
      </c>
      <c r="AV168" s="233" t="str">
        <f>VLOOKUP(Table9[[#This Row],[Country Code]],Table29[],10,FALSE)</f>
        <v>no</v>
      </c>
      <c r="AW168" s="233">
        <f>VLOOKUP(Table9[[#This Row],[Country Code]],Table29[],23,FALSE)</f>
        <v>3.0879519663505</v>
      </c>
      <c r="AX168" s="233">
        <f>VLOOKUP(Table9[[#This Row],[Country Code]],Table29[],24,FALSE)</f>
        <v>1.4972669707005819</v>
      </c>
      <c r="AY168" s="43"/>
    </row>
    <row r="169" spans="1:51" ht="60" x14ac:dyDescent="0.25">
      <c r="A169" s="360">
        <v>17652</v>
      </c>
      <c r="B169" s="233" t="str">
        <f>VLOOKUP(Table9[[#This Row],[Document ID]],Table1[],2,FALSE)</f>
        <v>MDV</v>
      </c>
      <c r="C169" s="233" t="str">
        <f>VLOOKUP(Table9[[#This Row],[Document ID]],Table1[],3,FALSE)</f>
        <v>Maldives</v>
      </c>
      <c r="D169" s="233" t="str">
        <f>VLOOKUP(Table9[[#This Row],[Document ID]],Table1[],5,FALSE)</f>
        <v>NDC</v>
      </c>
      <c r="E169" s="233" t="str">
        <f>VLOOKUP(Table9[[#This Row],[Document ID]],Table1[],7,FALSE)</f>
        <v>First NDC updated</v>
      </c>
      <c r="F169" s="233" t="str">
        <f>VLOOKUP(Table9[[#This Row],[Document ID]],Table1[],8,FALSE)</f>
        <v>NDC 1.1</v>
      </c>
      <c r="G169" s="233" t="str">
        <f>VLOOKUP(Table9[[#This Row],[Document ID]],Table1[],10,FALSE)</f>
        <v>Archived</v>
      </c>
      <c r="H169" s="44" t="s">
        <v>5076</v>
      </c>
      <c r="I169" s="43" t="s">
        <v>5077</v>
      </c>
      <c r="J169" s="44" t="s">
        <v>5245</v>
      </c>
      <c r="K169" s="221">
        <v>14</v>
      </c>
      <c r="L169" s="113" t="s">
        <v>1113</v>
      </c>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t="s">
        <v>1113</v>
      </c>
      <c r="AJ169" s="113"/>
      <c r="AK169" s="113"/>
      <c r="AL169" s="113"/>
      <c r="AM169" s="43" t="s">
        <v>5075</v>
      </c>
      <c r="AN169" s="233" t="str">
        <f>VLOOKUP(Table9[[#This Row],[Measure]],Table1025[[Value name]:[Value identifyer]],2,FALSE)</f>
        <v>R_Planning</v>
      </c>
      <c r="AO169" s="241" t="str">
        <f>VLOOKUP(Table9[[#This Row],[Country Code]],Table29[],3,FALSE)</f>
        <v>Non-Annex I</v>
      </c>
      <c r="AP169" s="241" t="str">
        <f>VLOOKUP(Table9[[#This Row],[Country Code]],Table29[],4,FALSE)</f>
        <v>Asia</v>
      </c>
      <c r="AQ169" s="241" t="str">
        <f>VLOOKUP(Table9[[#This Row],[Country Code]],Table29[],5,FALSE)</f>
        <v>Middle-income</v>
      </c>
      <c r="AR169" s="241" t="str">
        <f>VLOOKUP(Table9[[#This Row],[Country Code]],Table29[],6,FALSE)</f>
        <v>no</v>
      </c>
      <c r="AS169" s="241" t="str">
        <f>VLOOKUP(Table9[[#This Row],[Country Code]],Table29[],7,FALSE)</f>
        <v>no</v>
      </c>
      <c r="AT169" s="241" t="str">
        <f>VLOOKUP(Table9[[#This Row],[Country Code]],Table29[],8,FALSE)</f>
        <v>non-OECD</v>
      </c>
      <c r="AU169" s="233" t="str">
        <f>VLOOKUP(Table9[[#This Row],[Country Code]],Table29[],9,FALSE)</f>
        <v>no</v>
      </c>
      <c r="AV169" s="233" t="str">
        <f>VLOOKUP(Table9[[#This Row],[Country Code]],Table29[],10,FALSE)</f>
        <v>no</v>
      </c>
      <c r="AW169" s="233">
        <f>VLOOKUP(Table9[[#This Row],[Country Code]],Table29[],23,FALSE)</f>
        <v>3.0879519663505</v>
      </c>
      <c r="AX169" s="233">
        <f>VLOOKUP(Table9[[#This Row],[Country Code]],Table29[],24,FALSE)</f>
        <v>1.4972669707005819</v>
      </c>
      <c r="AY169" s="43"/>
    </row>
    <row r="170" spans="1:51" ht="30" x14ac:dyDescent="0.25">
      <c r="A170" s="367">
        <v>17651</v>
      </c>
      <c r="B170" s="233" t="str">
        <f>VLOOKUP(Table9[[#This Row],[Document ID]],Table1[],2,FALSE)</f>
        <v>MDV</v>
      </c>
      <c r="C170" s="233" t="str">
        <f>VLOOKUP(Table9[[#This Row],[Document ID]],Table1[],3,FALSE)</f>
        <v>Maldives</v>
      </c>
      <c r="D170" s="328" t="str">
        <f>VLOOKUP(Table9[[#This Row],[Document ID]],Table1[],5,FALSE)</f>
        <v>NDC</v>
      </c>
      <c r="E170" s="233" t="str">
        <f>VLOOKUP(Table9[[#This Row],[Document ID]],Table1[],7,FALSE)</f>
        <v>First NDC</v>
      </c>
      <c r="F170" s="328" t="str">
        <f>VLOOKUP(Table9[[#This Row],[Document ID]],Table1[],8,FALSE)</f>
        <v>NDC 1.0</v>
      </c>
      <c r="G170" s="328" t="str">
        <f>VLOOKUP(Table9[[#This Row],[Document ID]],Table1[],10,FALSE)</f>
        <v>Archived</v>
      </c>
      <c r="H170" s="44" t="s">
        <v>5072</v>
      </c>
      <c r="I170" s="43" t="s">
        <v>5073</v>
      </c>
      <c r="J170" s="209" t="s">
        <v>5246</v>
      </c>
      <c r="K170" s="257" t="s">
        <v>5081</v>
      </c>
      <c r="L170" s="329"/>
      <c r="M170" s="329"/>
      <c r="N170" s="329"/>
      <c r="O170" s="329"/>
      <c r="P170" s="329"/>
      <c r="Q170" s="329"/>
      <c r="R170" s="329"/>
      <c r="S170" s="329"/>
      <c r="T170" s="329"/>
      <c r="U170" s="329"/>
      <c r="V170" s="329"/>
      <c r="W170" s="329"/>
      <c r="X170" s="329"/>
      <c r="Y170" s="329"/>
      <c r="Z170" s="329"/>
      <c r="AA170" s="329"/>
      <c r="AB170" s="329" t="s">
        <v>1113</v>
      </c>
      <c r="AC170" s="329"/>
      <c r="AD170" s="329"/>
      <c r="AE170" s="329"/>
      <c r="AF170" s="329" t="s">
        <v>1113</v>
      </c>
      <c r="AG170" s="329"/>
      <c r="AH170" s="329"/>
      <c r="AI170" s="326" t="s">
        <v>1113</v>
      </c>
      <c r="AJ170" s="326"/>
      <c r="AK170" s="326"/>
      <c r="AL170" s="326"/>
      <c r="AM170" s="209" t="s">
        <v>5075</v>
      </c>
      <c r="AN170" s="233" t="str">
        <f>VLOOKUP(Table9[[#This Row],[Measure]],Table1025[[Value name]:[Value identifyer]],2,FALSE)</f>
        <v>R_System</v>
      </c>
      <c r="AO170" s="241" t="str">
        <f>VLOOKUP(Table9[[#This Row],[Country Code]],Table29[],3,FALSE)</f>
        <v>Non-Annex I</v>
      </c>
      <c r="AP170" s="241" t="str">
        <f>VLOOKUP(Table9[[#This Row],[Country Code]],Table29[],4,FALSE)</f>
        <v>Asia</v>
      </c>
      <c r="AQ170" s="241" t="str">
        <f>VLOOKUP(Table9[[#This Row],[Country Code]],Table29[],5,FALSE)</f>
        <v>Middle-income</v>
      </c>
      <c r="AR170" s="241" t="str">
        <f>VLOOKUP(Table9[[#This Row],[Country Code]],Table29[],6,FALSE)</f>
        <v>no</v>
      </c>
      <c r="AS170" s="241" t="str">
        <f>VLOOKUP(Table9[[#This Row],[Country Code]],Table29[],7,FALSE)</f>
        <v>no</v>
      </c>
      <c r="AT170" s="241" t="str">
        <f>VLOOKUP(Table9[[#This Row],[Country Code]],Table29[],8,FALSE)</f>
        <v>non-OECD</v>
      </c>
      <c r="AU170" s="233" t="str">
        <f>VLOOKUP(Table9[[#This Row],[Country Code]],Table29[],9,FALSE)</f>
        <v>no</v>
      </c>
      <c r="AV170" s="233" t="str">
        <f>VLOOKUP(Table9[[#This Row],[Country Code]],Table29[],10,FALSE)</f>
        <v>no</v>
      </c>
      <c r="AW170" s="233">
        <f>VLOOKUP(Table9[[#This Row],[Country Code]],Table29[],23,FALSE)</f>
        <v>3.0879519663505</v>
      </c>
      <c r="AX170" s="233">
        <f>VLOOKUP(Table9[[#This Row],[Country Code]],Table29[],24,FALSE)</f>
        <v>1.4972669707005819</v>
      </c>
      <c r="AY170" s="43"/>
    </row>
    <row r="171" spans="1:51" ht="45" x14ac:dyDescent="0.25">
      <c r="A171" s="367">
        <v>17651</v>
      </c>
      <c r="B171" s="233" t="str">
        <f>VLOOKUP(Table9[[#This Row],[Document ID]],Table1[],2,FALSE)</f>
        <v>MDV</v>
      </c>
      <c r="C171" s="233" t="str">
        <f>VLOOKUP(Table9[[#This Row],[Document ID]],Table1[],3,FALSE)</f>
        <v>Maldives</v>
      </c>
      <c r="D171" s="328" t="str">
        <f>VLOOKUP(Table9[[#This Row],[Document ID]],Table1[],5,FALSE)</f>
        <v>NDC</v>
      </c>
      <c r="E171" s="233" t="str">
        <f>VLOOKUP(Table9[[#This Row],[Document ID]],Table1[],7,FALSE)</f>
        <v>First NDC</v>
      </c>
      <c r="F171" s="328" t="str">
        <f>VLOOKUP(Table9[[#This Row],[Document ID]],Table1[],8,FALSE)</f>
        <v>NDC 1.0</v>
      </c>
      <c r="G171" s="328" t="str">
        <f>VLOOKUP(Table9[[#This Row],[Document ID]],Table1[],10,FALSE)</f>
        <v>Archived</v>
      </c>
      <c r="H171" s="44" t="s">
        <v>5076</v>
      </c>
      <c r="I171" s="43" t="s">
        <v>5120</v>
      </c>
      <c r="J171" s="209" t="s">
        <v>5247</v>
      </c>
      <c r="K171" s="257" t="s">
        <v>5081</v>
      </c>
      <c r="L171" s="329"/>
      <c r="M171" s="329"/>
      <c r="N171" s="329"/>
      <c r="O171" s="329"/>
      <c r="P171" s="329"/>
      <c r="Q171" s="329"/>
      <c r="R171" s="329"/>
      <c r="S171" s="329"/>
      <c r="T171" s="329"/>
      <c r="U171" s="329"/>
      <c r="V171" s="329"/>
      <c r="W171" s="329"/>
      <c r="X171" s="329"/>
      <c r="Y171" s="329"/>
      <c r="Z171" s="329"/>
      <c r="AA171" s="329"/>
      <c r="AB171" s="329" t="s">
        <v>1113</v>
      </c>
      <c r="AC171" s="329"/>
      <c r="AD171" s="329"/>
      <c r="AE171" s="329"/>
      <c r="AF171" s="329"/>
      <c r="AG171" s="329"/>
      <c r="AH171" s="329"/>
      <c r="AI171" s="326" t="s">
        <v>1113</v>
      </c>
      <c r="AJ171" s="326"/>
      <c r="AK171" s="326"/>
      <c r="AL171" s="326"/>
      <c r="AM171" s="209" t="s">
        <v>5215</v>
      </c>
      <c r="AN171" s="233" t="str">
        <f>VLOOKUP(Table9[[#This Row],[Measure]],Table1025[[Value name]:[Value identifyer]],2,FALSE)</f>
        <v>R_Relocation</v>
      </c>
      <c r="AO171" s="241" t="str">
        <f>VLOOKUP(Table9[[#This Row],[Country Code]],Table29[],3,FALSE)</f>
        <v>Non-Annex I</v>
      </c>
      <c r="AP171" s="241" t="str">
        <f>VLOOKUP(Table9[[#This Row],[Country Code]],Table29[],4,FALSE)</f>
        <v>Asia</v>
      </c>
      <c r="AQ171" s="241" t="str">
        <f>VLOOKUP(Table9[[#This Row],[Country Code]],Table29[],5,FALSE)</f>
        <v>Middle-income</v>
      </c>
      <c r="AR171" s="241" t="str">
        <f>VLOOKUP(Table9[[#This Row],[Country Code]],Table29[],6,FALSE)</f>
        <v>no</v>
      </c>
      <c r="AS171" s="241" t="str">
        <f>VLOOKUP(Table9[[#This Row],[Country Code]],Table29[],7,FALSE)</f>
        <v>no</v>
      </c>
      <c r="AT171" s="241" t="str">
        <f>VLOOKUP(Table9[[#This Row],[Country Code]],Table29[],8,FALSE)</f>
        <v>non-OECD</v>
      </c>
      <c r="AU171" s="233" t="str">
        <f>VLOOKUP(Table9[[#This Row],[Country Code]],Table29[],9,FALSE)</f>
        <v>no</v>
      </c>
      <c r="AV171" s="233" t="str">
        <f>VLOOKUP(Table9[[#This Row],[Country Code]],Table29[],10,FALSE)</f>
        <v>no</v>
      </c>
      <c r="AW171" s="233">
        <f>VLOOKUP(Table9[[#This Row],[Country Code]],Table29[],23,FALSE)</f>
        <v>3.0879519663505</v>
      </c>
      <c r="AX171" s="233">
        <f>VLOOKUP(Table9[[#This Row],[Country Code]],Table29[],24,FALSE)</f>
        <v>1.4972669707005819</v>
      </c>
      <c r="AY171" s="43"/>
    </row>
    <row r="172" spans="1:51" x14ac:dyDescent="0.25">
      <c r="A172" s="360">
        <v>26782</v>
      </c>
      <c r="B172" s="233" t="str">
        <f>VLOOKUP(Table9[[#This Row],[Document ID]],Table1[],2,FALSE)</f>
        <v>MLT</v>
      </c>
      <c r="C172" s="233" t="str">
        <f>VLOOKUP(Table9[[#This Row],[Document ID]],Table1[],3,FALSE)</f>
        <v>Malta</v>
      </c>
      <c r="D172" s="233" t="str">
        <f>VLOOKUP(Table9[[#This Row],[Document ID]],Table1[],5,FALSE)</f>
        <v>LTS</v>
      </c>
      <c r="E172" s="233" t="str">
        <f>VLOOKUP(Table9[[#This Row],[Document ID]],Table1[],7,FALSE)</f>
        <v>LTS</v>
      </c>
      <c r="F172" s="233" t="str">
        <f>VLOOKUP(Table9[[#This Row],[Document ID]],Table1[],8,FALSE)</f>
        <v>LTS 1.0</v>
      </c>
      <c r="G172" s="233" t="str">
        <f>VLOOKUP(Table9[[#This Row],[Document ID]],Table1[],10,FALSE)</f>
        <v>Active</v>
      </c>
      <c r="H172" s="44" t="s">
        <v>5072</v>
      </c>
      <c r="I172" s="43" t="s">
        <v>5082</v>
      </c>
      <c r="J172" s="28" t="s">
        <v>5248</v>
      </c>
      <c r="K172" s="221">
        <v>84</v>
      </c>
      <c r="L172" s="113" t="s">
        <v>1113</v>
      </c>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t="s">
        <v>1113</v>
      </c>
      <c r="AJ172" s="326"/>
      <c r="AK172" s="326"/>
      <c r="AL172" s="326"/>
      <c r="AM172" s="43" t="s">
        <v>5075</v>
      </c>
      <c r="AN172" s="233" t="str">
        <f>VLOOKUP(Table9[[#This Row],[Measure]],Table1025[[Value name]:[Value identifyer]],2,FALSE)</f>
        <v>R_Risk</v>
      </c>
      <c r="AO172" s="241" t="str">
        <f>VLOOKUP(Table9[[#This Row],[Country Code]],Table29[],3,FALSE)</f>
        <v>Annex I</v>
      </c>
      <c r="AP172" s="241" t="str">
        <f>VLOOKUP(Table9[[#This Row],[Country Code]],Table29[],4,FALSE)</f>
        <v>Europe</v>
      </c>
      <c r="AQ172" s="241" t="str">
        <f>VLOOKUP(Table9[[#This Row],[Country Code]],Table29[],5,FALSE)</f>
        <v>High-income</v>
      </c>
      <c r="AR172" s="241" t="str">
        <f>VLOOKUP(Table9[[#This Row],[Country Code]],Table29[],6,FALSE)</f>
        <v>no</v>
      </c>
      <c r="AS172" s="241" t="str">
        <f>VLOOKUP(Table9[[#This Row],[Country Code]],Table29[],7,FALSE)</f>
        <v>no</v>
      </c>
      <c r="AT172" s="241" t="str">
        <f>VLOOKUP(Table9[[#This Row],[Country Code]],Table29[],8,FALSE)</f>
        <v>non-OECD</v>
      </c>
      <c r="AU172" s="233" t="str">
        <f>VLOOKUP(Table9[[#This Row],[Country Code]],Table29[],9,FALSE)</f>
        <v>EU27</v>
      </c>
      <c r="AV172" s="233" t="str">
        <f>VLOOKUP(Table9[[#This Row],[Country Code]],Table29[],10,FALSE)</f>
        <v>no</v>
      </c>
      <c r="AW172" s="233">
        <f>VLOOKUP(Table9[[#This Row],[Country Code]],Table29[],23,FALSE)</f>
        <v>2.0338652584277002</v>
      </c>
      <c r="AX172" s="233">
        <f>VLOOKUP(Table9[[#This Row],[Country Code]],Table29[],24,FALSE)</f>
        <v>0.73042728349636687</v>
      </c>
      <c r="AY172" s="43"/>
    </row>
    <row r="173" spans="1:51" x14ac:dyDescent="0.25">
      <c r="A173" s="360">
        <v>26782</v>
      </c>
      <c r="B173" s="233" t="str">
        <f>VLOOKUP(Table9[[#This Row],[Document ID]],Table1[],2,FALSE)</f>
        <v>MLT</v>
      </c>
      <c r="C173" s="233" t="str">
        <f>VLOOKUP(Table9[[#This Row],[Document ID]],Table1[],3,FALSE)</f>
        <v>Malta</v>
      </c>
      <c r="D173" s="233" t="str">
        <f>VLOOKUP(Table9[[#This Row],[Document ID]],Table1[],5,FALSE)</f>
        <v>LTS</v>
      </c>
      <c r="E173" s="233" t="str">
        <f>VLOOKUP(Table9[[#This Row],[Document ID]],Table1[],7,FALSE)</f>
        <v>LTS</v>
      </c>
      <c r="F173" s="233" t="str">
        <f>VLOOKUP(Table9[[#This Row],[Document ID]],Table1[],8,FALSE)</f>
        <v>LTS 1.0</v>
      </c>
      <c r="G173" s="233" t="str">
        <f>VLOOKUP(Table9[[#This Row],[Document ID]],Table1[],10,FALSE)</f>
        <v>Active</v>
      </c>
      <c r="H173" s="44" t="s">
        <v>5072</v>
      </c>
      <c r="I173" s="43" t="s">
        <v>5073</v>
      </c>
      <c r="J173" s="44" t="s">
        <v>5249</v>
      </c>
      <c r="K173" s="221">
        <v>84</v>
      </c>
      <c r="L173" s="113"/>
      <c r="M173" s="113"/>
      <c r="N173" s="113"/>
      <c r="O173" s="113"/>
      <c r="P173" s="113"/>
      <c r="Q173" s="113" t="s">
        <v>1113</v>
      </c>
      <c r="R173" s="113"/>
      <c r="S173" s="113"/>
      <c r="T173" s="113"/>
      <c r="U173" s="113"/>
      <c r="V173" s="113"/>
      <c r="W173" s="113"/>
      <c r="X173" s="113"/>
      <c r="Y173" s="113"/>
      <c r="Z173" s="113"/>
      <c r="AA173" s="113"/>
      <c r="AB173" s="113"/>
      <c r="AC173" s="113"/>
      <c r="AD173" s="113"/>
      <c r="AE173" s="113"/>
      <c r="AF173" s="113"/>
      <c r="AG173" s="113"/>
      <c r="AH173" s="113"/>
      <c r="AI173" s="113" t="s">
        <v>1113</v>
      </c>
      <c r="AJ173" s="326"/>
      <c r="AK173" s="326"/>
      <c r="AL173" s="326"/>
      <c r="AM173" s="43" t="s">
        <v>5075</v>
      </c>
      <c r="AN173" s="233" t="str">
        <f>VLOOKUP(Table9[[#This Row],[Measure]],Table1025[[Value name]:[Value identifyer]],2,FALSE)</f>
        <v>R_System</v>
      </c>
      <c r="AO173" s="241" t="str">
        <f>VLOOKUP(Table9[[#This Row],[Country Code]],Table29[],3,FALSE)</f>
        <v>Annex I</v>
      </c>
      <c r="AP173" s="241" t="str">
        <f>VLOOKUP(Table9[[#This Row],[Country Code]],Table29[],4,FALSE)</f>
        <v>Europe</v>
      </c>
      <c r="AQ173" s="241" t="str">
        <f>VLOOKUP(Table9[[#This Row],[Country Code]],Table29[],5,FALSE)</f>
        <v>High-income</v>
      </c>
      <c r="AR173" s="241" t="str">
        <f>VLOOKUP(Table9[[#This Row],[Country Code]],Table29[],6,FALSE)</f>
        <v>no</v>
      </c>
      <c r="AS173" s="241" t="str">
        <f>VLOOKUP(Table9[[#This Row],[Country Code]],Table29[],7,FALSE)</f>
        <v>no</v>
      </c>
      <c r="AT173" s="241" t="str">
        <f>VLOOKUP(Table9[[#This Row],[Country Code]],Table29[],8,FALSE)</f>
        <v>non-OECD</v>
      </c>
      <c r="AU173" s="233" t="str">
        <f>VLOOKUP(Table9[[#This Row],[Country Code]],Table29[],9,FALSE)</f>
        <v>EU27</v>
      </c>
      <c r="AV173" s="233" t="str">
        <f>VLOOKUP(Table9[[#This Row],[Country Code]],Table29[],10,FALSE)</f>
        <v>no</v>
      </c>
      <c r="AW173" s="233">
        <f>VLOOKUP(Table9[[#This Row],[Country Code]],Table29[],23,FALSE)</f>
        <v>2.0338652584277002</v>
      </c>
      <c r="AX173" s="233">
        <f>VLOOKUP(Table9[[#This Row],[Country Code]],Table29[],24,FALSE)</f>
        <v>0.73042728349636687</v>
      </c>
      <c r="AY173" s="43"/>
    </row>
    <row r="174" spans="1:51" ht="30" x14ac:dyDescent="0.25">
      <c r="A174" s="360">
        <v>26782</v>
      </c>
      <c r="B174" s="233" t="str">
        <f>VLOOKUP(Table9[[#This Row],[Document ID]],Table1[],2,FALSE)</f>
        <v>MLT</v>
      </c>
      <c r="C174" s="233" t="str">
        <f>VLOOKUP(Table9[[#This Row],[Document ID]],Table1[],3,FALSE)</f>
        <v>Malta</v>
      </c>
      <c r="D174" s="233" t="str">
        <f>VLOOKUP(Table9[[#This Row],[Document ID]],Table1[],5,FALSE)</f>
        <v>LTS</v>
      </c>
      <c r="E174" s="233" t="str">
        <f>VLOOKUP(Table9[[#This Row],[Document ID]],Table1[],7,FALSE)</f>
        <v>LTS</v>
      </c>
      <c r="F174" s="233" t="str">
        <f>VLOOKUP(Table9[[#This Row],[Document ID]],Table1[],8,FALSE)</f>
        <v>LTS 1.0</v>
      </c>
      <c r="G174" s="233" t="str">
        <f>VLOOKUP(Table9[[#This Row],[Document ID]],Table1[],10,FALSE)</f>
        <v>Active</v>
      </c>
      <c r="H174" s="44" t="s">
        <v>5076</v>
      </c>
      <c r="I174" s="43" t="s">
        <v>5089</v>
      </c>
      <c r="J174" s="44" t="s">
        <v>5250</v>
      </c>
      <c r="K174" s="221">
        <v>84</v>
      </c>
      <c r="L174" s="113"/>
      <c r="M174" s="113"/>
      <c r="N174" s="113"/>
      <c r="O174" s="113"/>
      <c r="P174" s="113"/>
      <c r="Q174" s="113" t="s">
        <v>1113</v>
      </c>
      <c r="R174" s="113"/>
      <c r="S174" s="113"/>
      <c r="T174" s="113"/>
      <c r="U174" s="113"/>
      <c r="V174" s="113"/>
      <c r="W174" s="113"/>
      <c r="X174" s="113"/>
      <c r="Y174" s="113"/>
      <c r="Z174" s="113"/>
      <c r="AA174" s="113"/>
      <c r="AB174" s="113"/>
      <c r="AC174" s="113"/>
      <c r="AD174" s="113"/>
      <c r="AE174" s="113"/>
      <c r="AF174" s="113"/>
      <c r="AG174" s="113"/>
      <c r="AH174" s="113"/>
      <c r="AI174" s="113" t="s">
        <v>1113</v>
      </c>
      <c r="AJ174" s="326"/>
      <c r="AK174" s="326"/>
      <c r="AL174" s="326"/>
      <c r="AM174" s="43" t="s">
        <v>5075</v>
      </c>
      <c r="AN174" s="233" t="str">
        <f>VLOOKUP(Table9[[#This Row],[Measure]],Table1025[[Value name]:[Value identifyer]],2,FALSE)</f>
        <v>R_Design</v>
      </c>
      <c r="AO174" s="241" t="str">
        <f>VLOOKUP(Table9[[#This Row],[Country Code]],Table29[],3,FALSE)</f>
        <v>Annex I</v>
      </c>
      <c r="AP174" s="241" t="str">
        <f>VLOOKUP(Table9[[#This Row],[Country Code]],Table29[],4,FALSE)</f>
        <v>Europe</v>
      </c>
      <c r="AQ174" s="241" t="str">
        <f>VLOOKUP(Table9[[#This Row],[Country Code]],Table29[],5,FALSE)</f>
        <v>High-income</v>
      </c>
      <c r="AR174" s="241" t="str">
        <f>VLOOKUP(Table9[[#This Row],[Country Code]],Table29[],6,FALSE)</f>
        <v>no</v>
      </c>
      <c r="AS174" s="241" t="str">
        <f>VLOOKUP(Table9[[#This Row],[Country Code]],Table29[],7,FALSE)</f>
        <v>no</v>
      </c>
      <c r="AT174" s="241" t="str">
        <f>VLOOKUP(Table9[[#This Row],[Country Code]],Table29[],8,FALSE)</f>
        <v>non-OECD</v>
      </c>
      <c r="AU174" s="233" t="str">
        <f>VLOOKUP(Table9[[#This Row],[Country Code]],Table29[],9,FALSE)</f>
        <v>EU27</v>
      </c>
      <c r="AV174" s="233" t="str">
        <f>VLOOKUP(Table9[[#This Row],[Country Code]],Table29[],10,FALSE)</f>
        <v>no</v>
      </c>
      <c r="AW174" s="233">
        <f>VLOOKUP(Table9[[#This Row],[Country Code]],Table29[],23,FALSE)</f>
        <v>2.0338652584277002</v>
      </c>
      <c r="AX174" s="233">
        <f>VLOOKUP(Table9[[#This Row],[Country Code]],Table29[],24,FALSE)</f>
        <v>0.73042728349636687</v>
      </c>
      <c r="AY174" s="43"/>
    </row>
    <row r="175" spans="1:51" ht="30" x14ac:dyDescent="0.25">
      <c r="A175" s="360">
        <v>26782</v>
      </c>
      <c r="B175" s="233" t="str">
        <f>VLOOKUP(Table9[[#This Row],[Document ID]],Table1[],2,FALSE)</f>
        <v>MLT</v>
      </c>
      <c r="C175" s="233" t="str">
        <f>VLOOKUP(Table9[[#This Row],[Document ID]],Table1[],3,FALSE)</f>
        <v>Malta</v>
      </c>
      <c r="D175" s="233" t="str">
        <f>VLOOKUP(Table9[[#This Row],[Document ID]],Table1[],5,FALSE)</f>
        <v>LTS</v>
      </c>
      <c r="E175" s="233" t="str">
        <f>VLOOKUP(Table9[[#This Row],[Document ID]],Table1[],7,FALSE)</f>
        <v>LTS</v>
      </c>
      <c r="F175" s="233" t="str">
        <f>VLOOKUP(Table9[[#This Row],[Document ID]],Table1[],8,FALSE)</f>
        <v>LTS 1.0</v>
      </c>
      <c r="G175" s="233" t="str">
        <f>VLOOKUP(Table9[[#This Row],[Document ID]],Table1[],10,FALSE)</f>
        <v>Active</v>
      </c>
      <c r="H175" s="44" t="s">
        <v>5072</v>
      </c>
      <c r="I175" s="43" t="s">
        <v>5082</v>
      </c>
      <c r="J175" s="44" t="s">
        <v>5251</v>
      </c>
      <c r="K175" s="221">
        <v>85</v>
      </c>
      <c r="L175" s="113"/>
      <c r="M175" s="113"/>
      <c r="N175" s="113"/>
      <c r="O175" s="113"/>
      <c r="P175" s="113"/>
      <c r="Q175" s="113"/>
      <c r="R175" s="113"/>
      <c r="S175" s="113"/>
      <c r="T175" s="113"/>
      <c r="U175" s="113"/>
      <c r="V175" s="113"/>
      <c r="W175" s="113"/>
      <c r="X175" s="113"/>
      <c r="Y175" s="113"/>
      <c r="Z175" s="113"/>
      <c r="AA175" s="113"/>
      <c r="AB175" s="113" t="s">
        <v>1113</v>
      </c>
      <c r="AC175" s="113"/>
      <c r="AD175" s="113"/>
      <c r="AE175" s="113"/>
      <c r="AF175" s="113" t="s">
        <v>1113</v>
      </c>
      <c r="AG175" s="113"/>
      <c r="AH175" s="113"/>
      <c r="AI175" s="113" t="s">
        <v>1113</v>
      </c>
      <c r="AJ175" s="326"/>
      <c r="AK175" s="326"/>
      <c r="AL175" s="326"/>
      <c r="AM175" s="43" t="s">
        <v>5075</v>
      </c>
      <c r="AN175" s="233" t="str">
        <f>VLOOKUP(Table9[[#This Row],[Measure]],Table1025[[Value name]:[Value identifyer]],2,FALSE)</f>
        <v>R_Risk</v>
      </c>
      <c r="AO175" s="241" t="str">
        <f>VLOOKUP(Table9[[#This Row],[Country Code]],Table29[],3,FALSE)</f>
        <v>Annex I</v>
      </c>
      <c r="AP175" s="241" t="str">
        <f>VLOOKUP(Table9[[#This Row],[Country Code]],Table29[],4,FALSE)</f>
        <v>Europe</v>
      </c>
      <c r="AQ175" s="241" t="str">
        <f>VLOOKUP(Table9[[#This Row],[Country Code]],Table29[],5,FALSE)</f>
        <v>High-income</v>
      </c>
      <c r="AR175" s="241" t="str">
        <f>VLOOKUP(Table9[[#This Row],[Country Code]],Table29[],6,FALSE)</f>
        <v>no</v>
      </c>
      <c r="AS175" s="241" t="str">
        <f>VLOOKUP(Table9[[#This Row],[Country Code]],Table29[],7,FALSE)</f>
        <v>no</v>
      </c>
      <c r="AT175" s="241" t="str">
        <f>VLOOKUP(Table9[[#This Row],[Country Code]],Table29[],8,FALSE)</f>
        <v>non-OECD</v>
      </c>
      <c r="AU175" s="233" t="str">
        <f>VLOOKUP(Table9[[#This Row],[Country Code]],Table29[],9,FALSE)</f>
        <v>EU27</v>
      </c>
      <c r="AV175" s="233" t="str">
        <f>VLOOKUP(Table9[[#This Row],[Country Code]],Table29[],10,FALSE)</f>
        <v>no</v>
      </c>
      <c r="AW175" s="233">
        <f>VLOOKUP(Table9[[#This Row],[Country Code]],Table29[],23,FALSE)</f>
        <v>2.0338652584277002</v>
      </c>
      <c r="AX175" s="233">
        <f>VLOOKUP(Table9[[#This Row],[Country Code]],Table29[],24,FALSE)</f>
        <v>0.73042728349636687</v>
      </c>
      <c r="AY175" s="43"/>
    </row>
    <row r="176" spans="1:51" x14ac:dyDescent="0.25">
      <c r="A176" s="360">
        <v>26782</v>
      </c>
      <c r="B176" s="233" t="str">
        <f>VLOOKUP(Table9[[#This Row],[Document ID]],Table1[],2,FALSE)</f>
        <v>MLT</v>
      </c>
      <c r="C176" s="233" t="str">
        <f>VLOOKUP(Table9[[#This Row],[Document ID]],Table1[],3,FALSE)</f>
        <v>Malta</v>
      </c>
      <c r="D176" s="233" t="str">
        <f>VLOOKUP(Table9[[#This Row],[Document ID]],Table1[],5,FALSE)</f>
        <v>LTS</v>
      </c>
      <c r="E176" s="233" t="str">
        <f>VLOOKUP(Table9[[#This Row],[Document ID]],Table1[],7,FALSE)</f>
        <v>LTS</v>
      </c>
      <c r="F176" s="233" t="str">
        <f>VLOOKUP(Table9[[#This Row],[Document ID]],Table1[],8,FALSE)</f>
        <v>LTS 1.0</v>
      </c>
      <c r="G176" s="233" t="str">
        <f>VLOOKUP(Table9[[#This Row],[Document ID]],Table1[],10,FALSE)</f>
        <v>Active</v>
      </c>
      <c r="H176" s="44" t="s">
        <v>5086</v>
      </c>
      <c r="I176" s="43" t="s">
        <v>5130</v>
      </c>
      <c r="J176" s="44" t="s">
        <v>5252</v>
      </c>
      <c r="K176" s="221">
        <v>85</v>
      </c>
      <c r="L176" s="113"/>
      <c r="M176" s="113"/>
      <c r="N176" s="113"/>
      <c r="O176" s="113"/>
      <c r="P176" s="113"/>
      <c r="Q176" s="113"/>
      <c r="R176" s="113"/>
      <c r="S176" s="113"/>
      <c r="T176" s="113"/>
      <c r="U176" s="113"/>
      <c r="V176" s="113"/>
      <c r="W176" s="113"/>
      <c r="X176" s="113"/>
      <c r="Y176" s="113"/>
      <c r="Z176" s="113"/>
      <c r="AA176" s="113"/>
      <c r="AB176" s="113" t="s">
        <v>1113</v>
      </c>
      <c r="AC176" s="113"/>
      <c r="AD176" s="113"/>
      <c r="AE176" s="113"/>
      <c r="AF176" s="113"/>
      <c r="AG176" s="113"/>
      <c r="AH176" s="113"/>
      <c r="AI176" s="113" t="s">
        <v>1113</v>
      </c>
      <c r="AJ176" s="326"/>
      <c r="AK176" s="326"/>
      <c r="AL176" s="326"/>
      <c r="AM176" s="43" t="s">
        <v>5075</v>
      </c>
      <c r="AN176" s="233" t="str">
        <f>VLOOKUP(Table9[[#This Row],[Measure]],Table1025[[Value name]:[Value identifyer]],2,FALSE)</f>
        <v>R_Monitoring</v>
      </c>
      <c r="AO176" s="241" t="str">
        <f>VLOOKUP(Table9[[#This Row],[Country Code]],Table29[],3,FALSE)</f>
        <v>Annex I</v>
      </c>
      <c r="AP176" s="241" t="str">
        <f>VLOOKUP(Table9[[#This Row],[Country Code]],Table29[],4,FALSE)</f>
        <v>Europe</v>
      </c>
      <c r="AQ176" s="241" t="str">
        <f>VLOOKUP(Table9[[#This Row],[Country Code]],Table29[],5,FALSE)</f>
        <v>High-income</v>
      </c>
      <c r="AR176" s="241" t="str">
        <f>VLOOKUP(Table9[[#This Row],[Country Code]],Table29[],6,FALSE)</f>
        <v>no</v>
      </c>
      <c r="AS176" s="241" t="str">
        <f>VLOOKUP(Table9[[#This Row],[Country Code]],Table29[],7,FALSE)</f>
        <v>no</v>
      </c>
      <c r="AT176" s="241" t="str">
        <f>VLOOKUP(Table9[[#This Row],[Country Code]],Table29[],8,FALSE)</f>
        <v>non-OECD</v>
      </c>
      <c r="AU176" s="233" t="str">
        <f>VLOOKUP(Table9[[#This Row],[Country Code]],Table29[],9,FALSE)</f>
        <v>EU27</v>
      </c>
      <c r="AV176" s="233" t="str">
        <f>VLOOKUP(Table9[[#This Row],[Country Code]],Table29[],10,FALSE)</f>
        <v>no</v>
      </c>
      <c r="AW176" s="233">
        <f>VLOOKUP(Table9[[#This Row],[Country Code]],Table29[],23,FALSE)</f>
        <v>2.0338652584277002</v>
      </c>
      <c r="AX176" s="233">
        <f>VLOOKUP(Table9[[#This Row],[Country Code]],Table29[],24,FALSE)</f>
        <v>0.73042728349636687</v>
      </c>
      <c r="AY176" s="43"/>
    </row>
    <row r="177" spans="1:51" x14ac:dyDescent="0.25">
      <c r="A177" s="368">
        <v>26782</v>
      </c>
      <c r="B177" s="233" t="str">
        <f>VLOOKUP(Table9[[#This Row],[Document ID]],Table1[],2,FALSE)</f>
        <v>MLT</v>
      </c>
      <c r="C177" s="233" t="str">
        <f>VLOOKUP(Table9[[#This Row],[Document ID]],Table1[],3,FALSE)</f>
        <v>Malta</v>
      </c>
      <c r="D177" s="241" t="str">
        <f>VLOOKUP(Table9[[#This Row],[Document ID]],Table1[],5,FALSE)</f>
        <v>LTS</v>
      </c>
      <c r="E177" s="233" t="str">
        <f>VLOOKUP(Table9[[#This Row],[Document ID]],Table1[],7,FALSE)</f>
        <v>LTS</v>
      </c>
      <c r="F177" s="241" t="str">
        <f>VLOOKUP(Table9[[#This Row],[Document ID]],Table1[],8,FALSE)</f>
        <v>LTS 1.0</v>
      </c>
      <c r="G177" s="241" t="str">
        <f>VLOOKUP(Table9[[#This Row],[Document ID]],Table1[],10,FALSE)</f>
        <v>Active</v>
      </c>
      <c r="H177" s="44" t="s">
        <v>5072</v>
      </c>
      <c r="I177" s="43" t="s">
        <v>5082</v>
      </c>
      <c r="J177" s="209" t="s">
        <v>5253</v>
      </c>
      <c r="K177" s="259">
        <v>85</v>
      </c>
      <c r="L177" s="219" t="s">
        <v>1113</v>
      </c>
      <c r="M177" s="219"/>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219" t="s">
        <v>1113</v>
      </c>
      <c r="AJ177" s="326"/>
      <c r="AK177" s="326"/>
      <c r="AL177" s="326"/>
      <c r="AM177" s="42" t="s">
        <v>5075</v>
      </c>
      <c r="AN177" s="233" t="str">
        <f>VLOOKUP(Table9[[#This Row],[Measure]],Table1025[[Value name]:[Value identifyer]],2,FALSE)</f>
        <v>R_Risk</v>
      </c>
      <c r="AO177" s="241" t="str">
        <f>VLOOKUP(Table9[[#This Row],[Country Code]],Table29[],3,FALSE)</f>
        <v>Annex I</v>
      </c>
      <c r="AP177" s="241" t="str">
        <f>VLOOKUP(Table9[[#This Row],[Country Code]],Table29[],4,FALSE)</f>
        <v>Europe</v>
      </c>
      <c r="AQ177" s="241" t="str">
        <f>VLOOKUP(Table9[[#This Row],[Country Code]],Table29[],5,FALSE)</f>
        <v>High-income</v>
      </c>
      <c r="AR177" s="241" t="str">
        <f>VLOOKUP(Table9[[#This Row],[Country Code]],Table29[],6,FALSE)</f>
        <v>no</v>
      </c>
      <c r="AS177" s="241" t="str">
        <f>VLOOKUP(Table9[[#This Row],[Country Code]],Table29[],7,FALSE)</f>
        <v>no</v>
      </c>
      <c r="AT177" s="241" t="str">
        <f>VLOOKUP(Table9[[#This Row],[Country Code]],Table29[],8,FALSE)</f>
        <v>non-OECD</v>
      </c>
      <c r="AU177" s="233" t="str">
        <f>VLOOKUP(Table9[[#This Row],[Country Code]],Table29[],9,FALSE)</f>
        <v>EU27</v>
      </c>
      <c r="AV177" s="233" t="str">
        <f>VLOOKUP(Table9[[#This Row],[Country Code]],Table29[],10,FALSE)</f>
        <v>no</v>
      </c>
      <c r="AW177" s="233">
        <f>VLOOKUP(Table9[[#This Row],[Country Code]],Table29[],23,FALSE)</f>
        <v>2.0338652584277002</v>
      </c>
      <c r="AX177" s="233">
        <f>VLOOKUP(Table9[[#This Row],[Country Code]],Table29[],24,FALSE)</f>
        <v>0.73042728349636687</v>
      </c>
      <c r="AY177" s="43"/>
    </row>
    <row r="178" spans="1:51" x14ac:dyDescent="0.25">
      <c r="A178" s="367">
        <v>17659</v>
      </c>
      <c r="B178" s="233" t="str">
        <f>VLOOKUP(Table9[[#This Row],[Document ID]],Table1[],2,FALSE)</f>
        <v>MUS</v>
      </c>
      <c r="C178" s="233" t="str">
        <f>VLOOKUP(Table9[[#This Row],[Document ID]],Table1[],3,FALSE)</f>
        <v>Mauritius</v>
      </c>
      <c r="D178" s="328" t="str">
        <f>VLOOKUP(Table9[[#This Row],[Document ID]],Table1[],5,FALSE)</f>
        <v>NDC</v>
      </c>
      <c r="E178" s="233" t="str">
        <f>VLOOKUP(Table9[[#This Row],[Document ID]],Table1[],7,FALSE)</f>
        <v>First NDC</v>
      </c>
      <c r="F178" s="328" t="str">
        <f>VLOOKUP(Table9[[#This Row],[Document ID]],Table1[],8,FALSE)</f>
        <v>NDC 1.0</v>
      </c>
      <c r="G178" s="328" t="str">
        <f>VLOOKUP(Table9[[#This Row],[Document ID]],Table1[],10,FALSE)</f>
        <v>Archived</v>
      </c>
      <c r="H178" s="44" t="s">
        <v>5072</v>
      </c>
      <c r="I178" s="43" t="s">
        <v>5073</v>
      </c>
      <c r="J178" s="209" t="s">
        <v>5254</v>
      </c>
      <c r="K178" s="257" t="s">
        <v>5081</v>
      </c>
      <c r="L178" s="326" t="s">
        <v>1113</v>
      </c>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326" t="s">
        <v>1113</v>
      </c>
      <c r="AJ178" s="326"/>
      <c r="AK178" s="326"/>
      <c r="AL178" s="326"/>
      <c r="AM178" s="327" t="s">
        <v>5075</v>
      </c>
      <c r="AN178" s="233" t="str">
        <f>VLOOKUP(Table9[[#This Row],[Measure]],Table1025[[Value name]:[Value identifyer]],2,FALSE)</f>
        <v>R_System</v>
      </c>
      <c r="AO178" s="241" t="str">
        <f>VLOOKUP(Table9[[#This Row],[Country Code]],Table29[],3,FALSE)</f>
        <v>Non-Annex I</v>
      </c>
      <c r="AP178" s="241" t="str">
        <f>VLOOKUP(Table9[[#This Row],[Country Code]],Table29[],4,FALSE)</f>
        <v>Africa</v>
      </c>
      <c r="AQ178" s="241" t="str">
        <f>VLOOKUP(Table9[[#This Row],[Country Code]],Table29[],5,FALSE)</f>
        <v>Middle-income</v>
      </c>
      <c r="AR178" s="241" t="str">
        <f>VLOOKUP(Table9[[#This Row],[Country Code]],Table29[],6,FALSE)</f>
        <v>no</v>
      </c>
      <c r="AS178" s="241" t="str">
        <f>VLOOKUP(Table9[[#This Row],[Country Code]],Table29[],7,FALSE)</f>
        <v>no</v>
      </c>
      <c r="AT178" s="241" t="str">
        <f>VLOOKUP(Table9[[#This Row],[Country Code]],Table29[],8,FALSE)</f>
        <v>non-OECD</v>
      </c>
      <c r="AU178" s="233" t="str">
        <f>VLOOKUP(Table9[[#This Row],[Country Code]],Table29[],9,FALSE)</f>
        <v>no</v>
      </c>
      <c r="AV178" s="233" t="str">
        <f>VLOOKUP(Table9[[#This Row],[Country Code]],Table29[],10,FALSE)</f>
        <v>no</v>
      </c>
      <c r="AW178" s="233">
        <f>VLOOKUP(Table9[[#This Row],[Country Code]],Table29[],23,FALSE)</f>
        <v>6.1987377637868999</v>
      </c>
      <c r="AX178" s="233">
        <f>VLOOKUP(Table9[[#This Row],[Country Code]],Table29[],24,FALSE)</f>
        <v>1.164355346283908</v>
      </c>
      <c r="AY178" s="43"/>
    </row>
    <row r="179" spans="1:51" ht="30" x14ac:dyDescent="0.25">
      <c r="A179" s="367">
        <v>17660</v>
      </c>
      <c r="B179" s="233" t="str">
        <f>VLOOKUP(Table9[[#This Row],[Document ID]],Table1[],2,FALSE)</f>
        <v>MEX</v>
      </c>
      <c r="C179" s="233" t="str">
        <f>VLOOKUP(Table9[[#This Row],[Document ID]],Table1[],3,FALSE)</f>
        <v>Mexico</v>
      </c>
      <c r="D179" s="328" t="str">
        <f>VLOOKUP(Table9[[#This Row],[Document ID]],Table1[],5,FALSE)</f>
        <v>NDC</v>
      </c>
      <c r="E179" s="233" t="str">
        <f>VLOOKUP(Table9[[#This Row],[Document ID]],Table1[],7,FALSE)</f>
        <v>First NDC</v>
      </c>
      <c r="F179" s="328" t="str">
        <f>VLOOKUP(Table9[[#This Row],[Document ID]],Table1[],8,FALSE)</f>
        <v>NDC 1.0</v>
      </c>
      <c r="G179" s="328" t="str">
        <f>VLOOKUP(Table9[[#This Row],[Document ID]],Table1[],10,FALSE)</f>
        <v>Archived</v>
      </c>
      <c r="H179" s="44" t="s">
        <v>5076</v>
      </c>
      <c r="I179" s="43" t="s">
        <v>5077</v>
      </c>
      <c r="J179" s="209" t="s">
        <v>5255</v>
      </c>
      <c r="K179" s="257" t="s">
        <v>5081</v>
      </c>
      <c r="L179" s="326" t="s">
        <v>1113</v>
      </c>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t="s">
        <v>1113</v>
      </c>
      <c r="AJ179" s="326"/>
      <c r="AK179" s="326"/>
      <c r="AL179" s="326"/>
      <c r="AM179" s="327" t="s">
        <v>5075</v>
      </c>
      <c r="AN179" s="233" t="str">
        <f>VLOOKUP(Table9[[#This Row],[Measure]],Table1025[[Value name]:[Value identifyer]],2,FALSE)</f>
        <v>R_Planning</v>
      </c>
      <c r="AO179" s="241" t="str">
        <f>VLOOKUP(Table9[[#This Row],[Country Code]],Table29[],3,FALSE)</f>
        <v>Non-Annex I</v>
      </c>
      <c r="AP179" s="241" t="str">
        <f>VLOOKUP(Table9[[#This Row],[Country Code]],Table29[],4,FALSE)</f>
        <v>Latin America and the Caribbean</v>
      </c>
      <c r="AQ179" s="241" t="str">
        <f>VLOOKUP(Table9[[#This Row],[Country Code]],Table29[],5,FALSE)</f>
        <v>Middle-income</v>
      </c>
      <c r="AR179" s="241" t="str">
        <f>VLOOKUP(Table9[[#This Row],[Country Code]],Table29[],6,FALSE)</f>
        <v>G20</v>
      </c>
      <c r="AS179" s="241" t="str">
        <f>VLOOKUP(Table9[[#This Row],[Country Code]],Table29[],7,FALSE)</f>
        <v>no</v>
      </c>
      <c r="AT179" s="241" t="str">
        <f>VLOOKUP(Table9[[#This Row],[Country Code]],Table29[],8,FALSE)</f>
        <v>OECD</v>
      </c>
      <c r="AU179" s="233" t="str">
        <f>VLOOKUP(Table9[[#This Row],[Country Code]],Table29[],9,FALSE)</f>
        <v>no</v>
      </c>
      <c r="AV179" s="233" t="str">
        <f>VLOOKUP(Table9[[#This Row],[Country Code]],Table29[],10,FALSE)</f>
        <v>no</v>
      </c>
      <c r="AW179" s="233">
        <f>VLOOKUP(Table9[[#This Row],[Country Code]],Table29[],23,FALSE)</f>
        <v>712.10209803987004</v>
      </c>
      <c r="AX179" s="233">
        <f>VLOOKUP(Table9[[#This Row],[Country Code]],Table29[],24,FALSE)</f>
        <v>132.220611733639</v>
      </c>
      <c r="AY179" s="43"/>
    </row>
    <row r="180" spans="1:51" ht="30" x14ac:dyDescent="0.25">
      <c r="A180" s="367">
        <v>17660</v>
      </c>
      <c r="B180" s="233" t="str">
        <f>VLOOKUP(Table9[[#This Row],[Document ID]],Table1[],2,FALSE)</f>
        <v>MEX</v>
      </c>
      <c r="C180" s="233" t="str">
        <f>VLOOKUP(Table9[[#This Row],[Document ID]],Table1[],3,FALSE)</f>
        <v>Mexico</v>
      </c>
      <c r="D180" s="328" t="str">
        <f>VLOOKUP(Table9[[#This Row],[Document ID]],Table1[],5,FALSE)</f>
        <v>NDC</v>
      </c>
      <c r="E180" s="233" t="str">
        <f>VLOOKUP(Table9[[#This Row],[Document ID]],Table1[],7,FALSE)</f>
        <v>First NDC</v>
      </c>
      <c r="F180" s="328" t="str">
        <f>VLOOKUP(Table9[[#This Row],[Document ID]],Table1[],8,FALSE)</f>
        <v>NDC 1.0</v>
      </c>
      <c r="G180" s="328" t="str">
        <f>VLOOKUP(Table9[[#This Row],[Document ID]],Table1[],10,FALSE)</f>
        <v>Archived</v>
      </c>
      <c r="H180" s="44" t="s">
        <v>5256</v>
      </c>
      <c r="I180" s="43" t="s">
        <v>5256</v>
      </c>
      <c r="J180" s="209" t="s">
        <v>5257</v>
      </c>
      <c r="K180" s="257" t="s">
        <v>5081</v>
      </c>
      <c r="L180" s="326" t="s">
        <v>1113</v>
      </c>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t="s">
        <v>1113</v>
      </c>
      <c r="AJ180" s="326"/>
      <c r="AK180" s="326"/>
      <c r="AL180" s="326"/>
      <c r="AM180" s="327" t="s">
        <v>5075</v>
      </c>
      <c r="AN180" s="233" t="str">
        <f>VLOOKUP(Table9[[#This Row],[Measure]],Table1025[[Value name]:[Value identifyer]],2,FALSE)</f>
        <v>A_OTHER</v>
      </c>
      <c r="AO180" s="241" t="str">
        <f>VLOOKUP(Table9[[#This Row],[Country Code]],Table29[],3,FALSE)</f>
        <v>Non-Annex I</v>
      </c>
      <c r="AP180" s="241" t="str">
        <f>VLOOKUP(Table9[[#This Row],[Country Code]],Table29[],4,FALSE)</f>
        <v>Latin America and the Caribbean</v>
      </c>
      <c r="AQ180" s="241" t="str">
        <f>VLOOKUP(Table9[[#This Row],[Country Code]],Table29[],5,FALSE)</f>
        <v>Middle-income</v>
      </c>
      <c r="AR180" s="241" t="str">
        <f>VLOOKUP(Table9[[#This Row],[Country Code]],Table29[],6,FALSE)</f>
        <v>G20</v>
      </c>
      <c r="AS180" s="241" t="str">
        <f>VLOOKUP(Table9[[#This Row],[Country Code]],Table29[],7,FALSE)</f>
        <v>no</v>
      </c>
      <c r="AT180" s="241" t="str">
        <f>VLOOKUP(Table9[[#This Row],[Country Code]],Table29[],8,FALSE)</f>
        <v>OECD</v>
      </c>
      <c r="AU180" s="233" t="str">
        <f>VLOOKUP(Table9[[#This Row],[Country Code]],Table29[],9,FALSE)</f>
        <v>no</v>
      </c>
      <c r="AV180" s="233" t="str">
        <f>VLOOKUP(Table9[[#This Row],[Country Code]],Table29[],10,FALSE)</f>
        <v>no</v>
      </c>
      <c r="AW180" s="233">
        <f>VLOOKUP(Table9[[#This Row],[Country Code]],Table29[],23,FALSE)</f>
        <v>712.10209803987004</v>
      </c>
      <c r="AX180" s="233">
        <f>VLOOKUP(Table9[[#This Row],[Country Code]],Table29[],24,FALSE)</f>
        <v>132.220611733639</v>
      </c>
      <c r="AY180" s="43"/>
    </row>
    <row r="181" spans="1:51" ht="30" x14ac:dyDescent="0.25">
      <c r="A181" s="367">
        <v>17660</v>
      </c>
      <c r="B181" s="233" t="str">
        <f>VLOOKUP(Table9[[#This Row],[Document ID]],Table1[],2,FALSE)</f>
        <v>MEX</v>
      </c>
      <c r="C181" s="233" t="str">
        <f>VLOOKUP(Table9[[#This Row],[Document ID]],Table1[],3,FALSE)</f>
        <v>Mexico</v>
      </c>
      <c r="D181" s="328" t="str">
        <f>VLOOKUP(Table9[[#This Row],[Document ID]],Table1[],5,FALSE)</f>
        <v>NDC</v>
      </c>
      <c r="E181" s="233" t="str">
        <f>VLOOKUP(Table9[[#This Row],[Document ID]],Table1[],7,FALSE)</f>
        <v>First NDC</v>
      </c>
      <c r="F181" s="328" t="str">
        <f>VLOOKUP(Table9[[#This Row],[Document ID]],Table1[],8,FALSE)</f>
        <v>NDC 1.0</v>
      </c>
      <c r="G181" s="328" t="str">
        <f>VLOOKUP(Table9[[#This Row],[Document ID]],Table1[],10,FALSE)</f>
        <v>Archived</v>
      </c>
      <c r="H181" s="44" t="s">
        <v>5072</v>
      </c>
      <c r="I181" s="43" t="s">
        <v>5073</v>
      </c>
      <c r="J181" s="209" t="s">
        <v>5258</v>
      </c>
      <c r="K181" s="257" t="s">
        <v>5081</v>
      </c>
      <c r="L181" s="326" t="s">
        <v>1113</v>
      </c>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t="s">
        <v>1113</v>
      </c>
      <c r="AJ181" s="326"/>
      <c r="AK181" s="326"/>
      <c r="AL181" s="326"/>
      <c r="AM181" s="327" t="s">
        <v>5075</v>
      </c>
      <c r="AN181" s="233" t="str">
        <f>VLOOKUP(Table9[[#This Row],[Measure]],Table1025[[Value name]:[Value identifyer]],2,FALSE)</f>
        <v>R_System</v>
      </c>
      <c r="AO181" s="241" t="str">
        <f>VLOOKUP(Table9[[#This Row],[Country Code]],Table29[],3,FALSE)</f>
        <v>Non-Annex I</v>
      </c>
      <c r="AP181" s="241" t="str">
        <f>VLOOKUP(Table9[[#This Row],[Country Code]],Table29[],4,FALSE)</f>
        <v>Latin America and the Caribbean</v>
      </c>
      <c r="AQ181" s="241" t="str">
        <f>VLOOKUP(Table9[[#This Row],[Country Code]],Table29[],5,FALSE)</f>
        <v>Middle-income</v>
      </c>
      <c r="AR181" s="241" t="str">
        <f>VLOOKUP(Table9[[#This Row],[Country Code]],Table29[],6,FALSE)</f>
        <v>G20</v>
      </c>
      <c r="AS181" s="241" t="str">
        <f>VLOOKUP(Table9[[#This Row],[Country Code]],Table29[],7,FALSE)</f>
        <v>no</v>
      </c>
      <c r="AT181" s="241" t="str">
        <f>VLOOKUP(Table9[[#This Row],[Country Code]],Table29[],8,FALSE)</f>
        <v>OECD</v>
      </c>
      <c r="AU181" s="233" t="str">
        <f>VLOOKUP(Table9[[#This Row],[Country Code]],Table29[],9,FALSE)</f>
        <v>no</v>
      </c>
      <c r="AV181" s="233" t="str">
        <f>VLOOKUP(Table9[[#This Row],[Country Code]],Table29[],10,FALSE)</f>
        <v>no</v>
      </c>
      <c r="AW181" s="233">
        <f>VLOOKUP(Table9[[#This Row],[Country Code]],Table29[],23,FALSE)</f>
        <v>712.10209803987004</v>
      </c>
      <c r="AX181" s="233">
        <f>VLOOKUP(Table9[[#This Row],[Country Code]],Table29[],24,FALSE)</f>
        <v>132.220611733639</v>
      </c>
      <c r="AY181" s="43"/>
    </row>
    <row r="182" spans="1:51" ht="30" x14ac:dyDescent="0.25">
      <c r="A182" s="367">
        <v>17660</v>
      </c>
      <c r="B182" s="233" t="str">
        <f>VLOOKUP(Table9[[#This Row],[Document ID]],Table1[],2,FALSE)</f>
        <v>MEX</v>
      </c>
      <c r="C182" s="233" t="str">
        <f>VLOOKUP(Table9[[#This Row],[Document ID]],Table1[],3,FALSE)</f>
        <v>Mexico</v>
      </c>
      <c r="D182" s="328" t="str">
        <f>VLOOKUP(Table9[[#This Row],[Document ID]],Table1[],5,FALSE)</f>
        <v>NDC</v>
      </c>
      <c r="E182" s="233" t="str">
        <f>VLOOKUP(Table9[[#This Row],[Document ID]],Table1[],7,FALSE)</f>
        <v>First NDC</v>
      </c>
      <c r="F182" s="328" t="str">
        <f>VLOOKUP(Table9[[#This Row],[Document ID]],Table1[],8,FALSE)</f>
        <v>NDC 1.0</v>
      </c>
      <c r="G182" s="328" t="str">
        <f>VLOOKUP(Table9[[#This Row],[Document ID]],Table1[],10,FALSE)</f>
        <v>Archived</v>
      </c>
      <c r="H182" s="44" t="s">
        <v>5072</v>
      </c>
      <c r="I182" s="43" t="s">
        <v>5097</v>
      </c>
      <c r="J182" s="209" t="s">
        <v>5259</v>
      </c>
      <c r="K182" s="257" t="s">
        <v>5081</v>
      </c>
      <c r="L182" s="326"/>
      <c r="M182" s="326"/>
      <c r="N182" s="326"/>
      <c r="O182" s="326"/>
      <c r="P182" s="326"/>
      <c r="Q182" s="326" t="s">
        <v>1113</v>
      </c>
      <c r="R182" s="326"/>
      <c r="S182" s="326"/>
      <c r="T182" s="326"/>
      <c r="U182" s="326"/>
      <c r="V182" s="326"/>
      <c r="W182" s="326"/>
      <c r="X182" s="326"/>
      <c r="Y182" s="326"/>
      <c r="Z182" s="326"/>
      <c r="AA182" s="326"/>
      <c r="AB182" s="326"/>
      <c r="AC182" s="326"/>
      <c r="AD182" s="326"/>
      <c r="AE182" s="326"/>
      <c r="AF182" s="326"/>
      <c r="AG182" s="326"/>
      <c r="AH182" s="326"/>
      <c r="AI182" s="326" t="s">
        <v>1113</v>
      </c>
      <c r="AJ182" s="326"/>
      <c r="AK182" s="326"/>
      <c r="AL182" s="326"/>
      <c r="AM182" s="327" t="s">
        <v>5075</v>
      </c>
      <c r="AN182" s="233" t="str">
        <f>VLOOKUP(Table9[[#This Row],[Measure]],Table1025[[Value name]:[Value identifyer]],2,FALSE)</f>
        <v>R_Tech</v>
      </c>
      <c r="AO182" s="241" t="str">
        <f>VLOOKUP(Table9[[#This Row],[Country Code]],Table29[],3,FALSE)</f>
        <v>Non-Annex I</v>
      </c>
      <c r="AP182" s="241" t="str">
        <f>VLOOKUP(Table9[[#This Row],[Country Code]],Table29[],4,FALSE)</f>
        <v>Latin America and the Caribbean</v>
      </c>
      <c r="AQ182" s="241" t="str">
        <f>VLOOKUP(Table9[[#This Row],[Country Code]],Table29[],5,FALSE)</f>
        <v>Middle-income</v>
      </c>
      <c r="AR182" s="241" t="str">
        <f>VLOOKUP(Table9[[#This Row],[Country Code]],Table29[],6,FALSE)</f>
        <v>G20</v>
      </c>
      <c r="AS182" s="241" t="str">
        <f>VLOOKUP(Table9[[#This Row],[Country Code]],Table29[],7,FALSE)</f>
        <v>no</v>
      </c>
      <c r="AT182" s="241" t="str">
        <f>VLOOKUP(Table9[[#This Row],[Country Code]],Table29[],8,FALSE)</f>
        <v>OECD</v>
      </c>
      <c r="AU182" s="233" t="str">
        <f>VLOOKUP(Table9[[#This Row],[Country Code]],Table29[],9,FALSE)</f>
        <v>no</v>
      </c>
      <c r="AV182" s="233" t="str">
        <f>VLOOKUP(Table9[[#This Row],[Country Code]],Table29[],10,FALSE)</f>
        <v>no</v>
      </c>
      <c r="AW182" s="233">
        <f>VLOOKUP(Table9[[#This Row],[Country Code]],Table29[],23,FALSE)</f>
        <v>712.10209803987004</v>
      </c>
      <c r="AX182" s="233">
        <f>VLOOKUP(Table9[[#This Row],[Country Code]],Table29[],24,FALSE)</f>
        <v>132.220611733639</v>
      </c>
      <c r="AY182" s="43"/>
    </row>
    <row r="183" spans="1:51" x14ac:dyDescent="0.25">
      <c r="A183" s="367">
        <v>17660</v>
      </c>
      <c r="B183" s="233" t="str">
        <f>VLOOKUP(Table9[[#This Row],[Document ID]],Table1[],2,FALSE)</f>
        <v>MEX</v>
      </c>
      <c r="C183" s="233" t="str">
        <f>VLOOKUP(Table9[[#This Row],[Document ID]],Table1[],3,FALSE)</f>
        <v>Mexico</v>
      </c>
      <c r="D183" s="328" t="str">
        <f>VLOOKUP(Table9[[#This Row],[Document ID]],Table1[],5,FALSE)</f>
        <v>NDC</v>
      </c>
      <c r="E183" s="233" t="str">
        <f>VLOOKUP(Table9[[#This Row],[Document ID]],Table1[],7,FALSE)</f>
        <v>First NDC</v>
      </c>
      <c r="F183" s="328" t="str">
        <f>VLOOKUP(Table9[[#This Row],[Document ID]],Table1[],8,FALSE)</f>
        <v>NDC 1.0</v>
      </c>
      <c r="G183" s="328" t="str">
        <f>VLOOKUP(Table9[[#This Row],[Document ID]],Table1[],10,FALSE)</f>
        <v>Archived</v>
      </c>
      <c r="H183" s="44" t="s">
        <v>5072</v>
      </c>
      <c r="I183" s="43" t="s">
        <v>5097</v>
      </c>
      <c r="J183" s="209" t="s">
        <v>5260</v>
      </c>
      <c r="K183" s="257" t="s">
        <v>5081</v>
      </c>
      <c r="L183" s="326"/>
      <c r="M183" s="326"/>
      <c r="N183" s="326"/>
      <c r="O183" s="326"/>
      <c r="P183" s="326"/>
      <c r="Q183" s="326"/>
      <c r="R183" s="326"/>
      <c r="S183" s="326"/>
      <c r="T183" s="326"/>
      <c r="U183" s="326"/>
      <c r="V183" s="326"/>
      <c r="W183" s="326"/>
      <c r="X183" s="326"/>
      <c r="Y183" s="326"/>
      <c r="Z183" s="326"/>
      <c r="AA183" s="326"/>
      <c r="AB183" s="326" t="s">
        <v>1113</v>
      </c>
      <c r="AC183" s="326"/>
      <c r="AD183" s="326"/>
      <c r="AE183" s="326"/>
      <c r="AF183" s="326"/>
      <c r="AG183" s="326"/>
      <c r="AH183" s="326"/>
      <c r="AI183" s="326" t="s">
        <v>1113</v>
      </c>
      <c r="AJ183" s="326"/>
      <c r="AK183" s="326"/>
      <c r="AL183" s="326"/>
      <c r="AM183" s="327" t="s">
        <v>5075</v>
      </c>
      <c r="AN183" s="233" t="str">
        <f>VLOOKUP(Table9[[#This Row],[Measure]],Table1025[[Value name]:[Value identifyer]],2,FALSE)</f>
        <v>R_Tech</v>
      </c>
      <c r="AO183" s="241" t="str">
        <f>VLOOKUP(Table9[[#This Row],[Country Code]],Table29[],3,FALSE)</f>
        <v>Non-Annex I</v>
      </c>
      <c r="AP183" s="241" t="str">
        <f>VLOOKUP(Table9[[#This Row],[Country Code]],Table29[],4,FALSE)</f>
        <v>Latin America and the Caribbean</v>
      </c>
      <c r="AQ183" s="241" t="str">
        <f>VLOOKUP(Table9[[#This Row],[Country Code]],Table29[],5,FALSE)</f>
        <v>Middle-income</v>
      </c>
      <c r="AR183" s="241" t="str">
        <f>VLOOKUP(Table9[[#This Row],[Country Code]],Table29[],6,FALSE)</f>
        <v>G20</v>
      </c>
      <c r="AS183" s="241" t="str">
        <f>VLOOKUP(Table9[[#This Row],[Country Code]],Table29[],7,FALSE)</f>
        <v>no</v>
      </c>
      <c r="AT183" s="241" t="str">
        <f>VLOOKUP(Table9[[#This Row],[Country Code]],Table29[],8,FALSE)</f>
        <v>OECD</v>
      </c>
      <c r="AU183" s="233" t="str">
        <f>VLOOKUP(Table9[[#This Row],[Country Code]],Table29[],9,FALSE)</f>
        <v>no</v>
      </c>
      <c r="AV183" s="233" t="str">
        <f>VLOOKUP(Table9[[#This Row],[Country Code]],Table29[],10,FALSE)</f>
        <v>no</v>
      </c>
      <c r="AW183" s="233">
        <f>VLOOKUP(Table9[[#This Row],[Country Code]],Table29[],23,FALSE)</f>
        <v>712.10209803987004</v>
      </c>
      <c r="AX183" s="233">
        <f>VLOOKUP(Table9[[#This Row],[Country Code]],Table29[],24,FALSE)</f>
        <v>132.220611733639</v>
      </c>
      <c r="AY183" s="43"/>
    </row>
    <row r="184" spans="1:51" ht="30" x14ac:dyDescent="0.25">
      <c r="A184" s="367">
        <v>17660</v>
      </c>
      <c r="B184" s="233" t="str">
        <f>VLOOKUP(Table9[[#This Row],[Document ID]],Table1[],2,FALSE)</f>
        <v>MEX</v>
      </c>
      <c r="C184" s="233" t="str">
        <f>VLOOKUP(Table9[[#This Row],[Document ID]],Table1[],3,FALSE)</f>
        <v>Mexico</v>
      </c>
      <c r="D184" s="328" t="str">
        <f>VLOOKUP(Table9[[#This Row],[Document ID]],Table1[],5,FALSE)</f>
        <v>NDC</v>
      </c>
      <c r="E184" s="233" t="str">
        <f>VLOOKUP(Table9[[#This Row],[Document ID]],Table1[],7,FALSE)</f>
        <v>First NDC</v>
      </c>
      <c r="F184" s="328" t="str">
        <f>VLOOKUP(Table9[[#This Row],[Document ID]],Table1[],8,FALSE)</f>
        <v>NDC 1.0</v>
      </c>
      <c r="G184" s="328" t="str">
        <f>VLOOKUP(Table9[[#This Row],[Document ID]],Table1[],10,FALSE)</f>
        <v>Archived</v>
      </c>
      <c r="H184" s="44" t="s">
        <v>5072</v>
      </c>
      <c r="I184" s="43" t="s">
        <v>5091</v>
      </c>
      <c r="J184" s="209" t="s">
        <v>5257</v>
      </c>
      <c r="K184" s="257" t="s">
        <v>5081</v>
      </c>
      <c r="L184" s="326" t="s">
        <v>1113</v>
      </c>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t="s">
        <v>1113</v>
      </c>
      <c r="AJ184" s="326"/>
      <c r="AK184" s="326"/>
      <c r="AL184" s="326"/>
      <c r="AM184" s="327" t="s">
        <v>5075</v>
      </c>
      <c r="AN184" s="233" t="str">
        <f>VLOOKUP(Table9[[#This Row],[Measure]],Table1025[[Value name]:[Value identifyer]],2,FALSE)</f>
        <v>R_Maintain</v>
      </c>
      <c r="AO184" s="241" t="str">
        <f>VLOOKUP(Table9[[#This Row],[Country Code]],Table29[],3,FALSE)</f>
        <v>Non-Annex I</v>
      </c>
      <c r="AP184" s="241" t="str">
        <f>VLOOKUP(Table9[[#This Row],[Country Code]],Table29[],4,FALSE)</f>
        <v>Latin America and the Caribbean</v>
      </c>
      <c r="AQ184" s="241" t="str">
        <f>VLOOKUP(Table9[[#This Row],[Country Code]],Table29[],5,FALSE)</f>
        <v>Middle-income</v>
      </c>
      <c r="AR184" s="241" t="str">
        <f>VLOOKUP(Table9[[#This Row],[Country Code]],Table29[],6,FALSE)</f>
        <v>G20</v>
      </c>
      <c r="AS184" s="241" t="str">
        <f>VLOOKUP(Table9[[#This Row],[Country Code]],Table29[],7,FALSE)</f>
        <v>no</v>
      </c>
      <c r="AT184" s="241" t="str">
        <f>VLOOKUP(Table9[[#This Row],[Country Code]],Table29[],8,FALSE)</f>
        <v>OECD</v>
      </c>
      <c r="AU184" s="233" t="str">
        <f>VLOOKUP(Table9[[#This Row],[Country Code]],Table29[],9,FALSE)</f>
        <v>no</v>
      </c>
      <c r="AV184" s="233" t="str">
        <f>VLOOKUP(Table9[[#This Row],[Country Code]],Table29[],10,FALSE)</f>
        <v>no</v>
      </c>
      <c r="AW184" s="233">
        <f>VLOOKUP(Table9[[#This Row],[Country Code]],Table29[],23,FALSE)</f>
        <v>712.10209803987004</v>
      </c>
      <c r="AX184" s="233">
        <f>VLOOKUP(Table9[[#This Row],[Country Code]],Table29[],24,FALSE)</f>
        <v>132.220611733639</v>
      </c>
      <c r="AY184" s="43"/>
    </row>
    <row r="185" spans="1:51" ht="30" x14ac:dyDescent="0.25">
      <c r="A185" s="360">
        <v>32507</v>
      </c>
      <c r="B185" s="233" t="str">
        <f>VLOOKUP(Table9[[#This Row],[Document ID]],Table1[],2,FALSE)</f>
        <v>MEX</v>
      </c>
      <c r="C185" s="233" t="str">
        <f>VLOOKUP(Table9[[#This Row],[Document ID]],Table1[],3,FALSE)</f>
        <v>Mexico</v>
      </c>
      <c r="D185" s="233" t="str">
        <f>VLOOKUP(Table9[[#This Row],[Document ID]],Table1[],5,FALSE)</f>
        <v>NDC</v>
      </c>
      <c r="E185" s="233" t="str">
        <f>VLOOKUP(Table9[[#This Row],[Document ID]],Table1[],7,FALSE)</f>
        <v>First NDC updated</v>
      </c>
      <c r="F185" s="233" t="str">
        <f>VLOOKUP(Table9[[#This Row],[Document ID]],Table1[],8,FALSE)</f>
        <v>NDC 1.2</v>
      </c>
      <c r="G185" s="233" t="str">
        <f>VLOOKUP(Table9[[#This Row],[Document ID]],Table1[],10,FALSE)</f>
        <v>Active</v>
      </c>
      <c r="H185" s="44" t="s">
        <v>5076</v>
      </c>
      <c r="I185" s="43" t="s">
        <v>5077</v>
      </c>
      <c r="J185" s="209" t="s">
        <v>5261</v>
      </c>
      <c r="K185" s="221">
        <v>44</v>
      </c>
      <c r="L185" s="113" t="s">
        <v>1113</v>
      </c>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t="s">
        <v>1113</v>
      </c>
      <c r="AJ185" s="326"/>
      <c r="AK185" s="326"/>
      <c r="AL185" s="326"/>
      <c r="AM185" s="327" t="s">
        <v>5075</v>
      </c>
      <c r="AN185" s="233" t="str">
        <f>VLOOKUP(Table9[[#This Row],[Measure]],Table1025[[Value name]:[Value identifyer]],2,FALSE)</f>
        <v>R_Planning</v>
      </c>
      <c r="AO185" s="241" t="str">
        <f>VLOOKUP(Table9[[#This Row],[Country Code]],Table29[],3,FALSE)</f>
        <v>Non-Annex I</v>
      </c>
      <c r="AP185" s="241" t="str">
        <f>VLOOKUP(Table9[[#This Row],[Country Code]],Table29[],4,FALSE)</f>
        <v>Latin America and the Caribbean</v>
      </c>
      <c r="AQ185" s="241" t="str">
        <f>VLOOKUP(Table9[[#This Row],[Country Code]],Table29[],5,FALSE)</f>
        <v>Middle-income</v>
      </c>
      <c r="AR185" s="241" t="str">
        <f>VLOOKUP(Table9[[#This Row],[Country Code]],Table29[],6,FALSE)</f>
        <v>G20</v>
      </c>
      <c r="AS185" s="241" t="str">
        <f>VLOOKUP(Table9[[#This Row],[Country Code]],Table29[],7,FALSE)</f>
        <v>no</v>
      </c>
      <c r="AT185" s="241" t="str">
        <f>VLOOKUP(Table9[[#This Row],[Country Code]],Table29[],8,FALSE)</f>
        <v>OECD</v>
      </c>
      <c r="AU185" s="233" t="str">
        <f>VLOOKUP(Table9[[#This Row],[Country Code]],Table29[],9,FALSE)</f>
        <v>no</v>
      </c>
      <c r="AV185" s="233" t="str">
        <f>VLOOKUP(Table9[[#This Row],[Country Code]],Table29[],10,FALSE)</f>
        <v>no</v>
      </c>
      <c r="AW185" s="233">
        <f>VLOOKUP(Table9[[#This Row],[Country Code]],Table29[],23,FALSE)</f>
        <v>712.10209803987004</v>
      </c>
      <c r="AX185" s="233">
        <f>VLOOKUP(Table9[[#This Row],[Country Code]],Table29[],24,FALSE)</f>
        <v>132.220611733639</v>
      </c>
      <c r="AY185" s="43"/>
    </row>
    <row r="186" spans="1:51" ht="30" x14ac:dyDescent="0.25">
      <c r="A186" s="360">
        <v>32507</v>
      </c>
      <c r="B186" s="233" t="str">
        <f>VLOOKUP(Table9[[#This Row],[Document ID]],Table1[],2,FALSE)</f>
        <v>MEX</v>
      </c>
      <c r="C186" s="233" t="str">
        <f>VLOOKUP(Table9[[#This Row],[Document ID]],Table1[],3,FALSE)</f>
        <v>Mexico</v>
      </c>
      <c r="D186" s="233" t="str">
        <f>VLOOKUP(Table9[[#This Row],[Document ID]],Table1[],5,FALSE)</f>
        <v>NDC</v>
      </c>
      <c r="E186" s="233" t="str">
        <f>VLOOKUP(Table9[[#This Row],[Document ID]],Table1[],7,FALSE)</f>
        <v>First NDC updated</v>
      </c>
      <c r="F186" s="233" t="str">
        <f>VLOOKUP(Table9[[#This Row],[Document ID]],Table1[],8,FALSE)</f>
        <v>NDC 1.2</v>
      </c>
      <c r="G186" s="233" t="str">
        <f>VLOOKUP(Table9[[#This Row],[Document ID]],Table1[],10,FALSE)</f>
        <v>Active</v>
      </c>
      <c r="H186" s="44" t="s">
        <v>5072</v>
      </c>
      <c r="I186" s="43" t="s">
        <v>5073</v>
      </c>
      <c r="J186" s="228" t="s">
        <v>5262</v>
      </c>
      <c r="K186" s="221">
        <v>44</v>
      </c>
      <c r="L186" s="113" t="s">
        <v>1113</v>
      </c>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t="s">
        <v>1113</v>
      </c>
      <c r="AJ186" s="326"/>
      <c r="AK186" s="326"/>
      <c r="AL186" s="326"/>
      <c r="AM186" s="327" t="s">
        <v>5075</v>
      </c>
      <c r="AN186" s="233" t="str">
        <f>VLOOKUP(Table9[[#This Row],[Measure]],Table1025[[Value name]:[Value identifyer]],2,FALSE)</f>
        <v>R_System</v>
      </c>
      <c r="AO186" s="241" t="str">
        <f>VLOOKUP(Table9[[#This Row],[Country Code]],Table29[],3,FALSE)</f>
        <v>Non-Annex I</v>
      </c>
      <c r="AP186" s="241" t="str">
        <f>VLOOKUP(Table9[[#This Row],[Country Code]],Table29[],4,FALSE)</f>
        <v>Latin America and the Caribbean</v>
      </c>
      <c r="AQ186" s="241" t="str">
        <f>VLOOKUP(Table9[[#This Row],[Country Code]],Table29[],5,FALSE)</f>
        <v>Middle-income</v>
      </c>
      <c r="AR186" s="241" t="str">
        <f>VLOOKUP(Table9[[#This Row],[Country Code]],Table29[],6,FALSE)</f>
        <v>G20</v>
      </c>
      <c r="AS186" s="241" t="str">
        <f>VLOOKUP(Table9[[#This Row],[Country Code]],Table29[],7,FALSE)</f>
        <v>no</v>
      </c>
      <c r="AT186" s="241" t="str">
        <f>VLOOKUP(Table9[[#This Row],[Country Code]],Table29[],8,FALSE)</f>
        <v>OECD</v>
      </c>
      <c r="AU186" s="233" t="str">
        <f>VLOOKUP(Table9[[#This Row],[Country Code]],Table29[],9,FALSE)</f>
        <v>no</v>
      </c>
      <c r="AV186" s="233" t="str">
        <f>VLOOKUP(Table9[[#This Row],[Country Code]],Table29[],10,FALSE)</f>
        <v>no</v>
      </c>
      <c r="AW186" s="233">
        <f>VLOOKUP(Table9[[#This Row],[Country Code]],Table29[],23,FALSE)</f>
        <v>712.10209803987004</v>
      </c>
      <c r="AX186" s="233">
        <f>VLOOKUP(Table9[[#This Row],[Country Code]],Table29[],24,FALSE)</f>
        <v>132.220611733639</v>
      </c>
      <c r="AY186" s="43"/>
    </row>
    <row r="187" spans="1:51" ht="60" x14ac:dyDescent="0.25">
      <c r="A187" s="367">
        <v>32508</v>
      </c>
      <c r="B187" s="233" t="str">
        <f>VLOOKUP(Table9[[#This Row],[Document ID]],Table1[],2,FALSE)</f>
        <v>FSM</v>
      </c>
      <c r="C187" s="233" t="str">
        <f>VLOOKUP(Table9[[#This Row],[Document ID]],Table1[],3,FALSE)</f>
        <v>Micronesia (Federated States of)</v>
      </c>
      <c r="D187" s="254" t="str">
        <f>VLOOKUP(Table9[[#This Row],[Document ID]],Table1[],5,FALSE)</f>
        <v>NDC</v>
      </c>
      <c r="E187" s="233" t="str">
        <f>VLOOKUP(Table9[[#This Row],[Document ID]],Table1[],7,FALSE)</f>
        <v>First NDC updated</v>
      </c>
      <c r="F187" s="241" t="str">
        <f>VLOOKUP(Table9[[#This Row],[Document ID]],Table1[],8,FALSE)</f>
        <v>NDC 1.1</v>
      </c>
      <c r="G187" s="241" t="str">
        <f>VLOOKUP(Table9[[#This Row],[Document ID]],Table1[],10,FALSE)</f>
        <v>Active</v>
      </c>
      <c r="H187" s="44" t="s">
        <v>5072</v>
      </c>
      <c r="I187" s="43" t="s">
        <v>5073</v>
      </c>
      <c r="J187" s="209" t="s">
        <v>5263</v>
      </c>
      <c r="K187" s="259">
        <v>29</v>
      </c>
      <c r="L187" s="219"/>
      <c r="M187" s="219"/>
      <c r="N187" s="113"/>
      <c r="O187" s="113"/>
      <c r="P187" s="113"/>
      <c r="Q187" s="113" t="s">
        <v>1113</v>
      </c>
      <c r="R187" s="113"/>
      <c r="S187" s="113"/>
      <c r="T187" s="113"/>
      <c r="U187" s="113"/>
      <c r="V187" s="113"/>
      <c r="W187" s="113"/>
      <c r="X187" s="113"/>
      <c r="Y187" s="113"/>
      <c r="Z187" s="113"/>
      <c r="AA187" s="113"/>
      <c r="AB187" s="113" t="s">
        <v>1113</v>
      </c>
      <c r="AC187" s="113"/>
      <c r="AD187" s="113"/>
      <c r="AE187" s="113"/>
      <c r="AF187" s="113" t="s">
        <v>1113</v>
      </c>
      <c r="AG187" s="113"/>
      <c r="AH187" s="113"/>
      <c r="AI187" s="219" t="s">
        <v>1113</v>
      </c>
      <c r="AJ187" s="326"/>
      <c r="AK187" s="326"/>
      <c r="AL187" s="326"/>
      <c r="AM187" s="42" t="s">
        <v>5075</v>
      </c>
      <c r="AN187" s="233" t="str">
        <f>VLOOKUP(Table9[[#This Row],[Measure]],Table1025[[Value name]:[Value identifyer]],2,FALSE)</f>
        <v>R_System</v>
      </c>
      <c r="AO187" s="241" t="str">
        <f>VLOOKUP(Table9[[#This Row],[Country Code]],Table29[],3,FALSE)</f>
        <v>Non-Annex I</v>
      </c>
      <c r="AP187" s="241" t="str">
        <f>VLOOKUP(Table9[[#This Row],[Country Code]],Table29[],4,FALSE)</f>
        <v>Oceania</v>
      </c>
      <c r="AQ187" s="241" t="str">
        <f>VLOOKUP(Table9[[#This Row],[Country Code]],Table29[],5,FALSE)</f>
        <v>Middle-income</v>
      </c>
      <c r="AR187" s="241" t="str">
        <f>VLOOKUP(Table9[[#This Row],[Country Code]],Table29[],6,FALSE)</f>
        <v>no</v>
      </c>
      <c r="AS187" s="241" t="str">
        <f>VLOOKUP(Table9[[#This Row],[Country Code]],Table29[],7,FALSE)</f>
        <v>no</v>
      </c>
      <c r="AT187" s="241" t="str">
        <f>VLOOKUP(Table9[[#This Row],[Country Code]],Table29[],8,FALSE)</f>
        <v>non-OECD</v>
      </c>
      <c r="AU187" s="233" t="str">
        <f>VLOOKUP(Table9[[#This Row],[Country Code]],Table29[],9,FALSE)</f>
        <v>no</v>
      </c>
      <c r="AV187" s="233" t="str">
        <f>VLOOKUP(Table9[[#This Row],[Country Code]],Table29[],10,FALSE)</f>
        <v>no</v>
      </c>
      <c r="AW187" s="233">
        <f>VLOOKUP(Table9[[#This Row],[Country Code]],Table29[],23,FALSE)</f>
        <v>0</v>
      </c>
      <c r="AX187" s="233">
        <f>VLOOKUP(Table9[[#This Row],[Country Code]],Table29[],24,FALSE)</f>
        <v>0</v>
      </c>
      <c r="AY187" s="43"/>
    </row>
    <row r="188" spans="1:51" x14ac:dyDescent="0.25">
      <c r="A188" s="367">
        <v>32508</v>
      </c>
      <c r="B188" s="233" t="str">
        <f>VLOOKUP(Table9[[#This Row],[Document ID]],Table1[],2,FALSE)</f>
        <v>FSM</v>
      </c>
      <c r="C188" s="233" t="str">
        <f>VLOOKUP(Table9[[#This Row],[Document ID]],Table1[],3,FALSE)</f>
        <v>Micronesia (Federated States of)</v>
      </c>
      <c r="D188" s="254" t="str">
        <f>VLOOKUP(Table9[[#This Row],[Document ID]],Table1[],5,FALSE)</f>
        <v>NDC</v>
      </c>
      <c r="E188" s="233" t="str">
        <f>VLOOKUP(Table9[[#This Row],[Document ID]],Table1[],7,FALSE)</f>
        <v>First NDC updated</v>
      </c>
      <c r="F188" s="241" t="str">
        <f>VLOOKUP(Table9[[#This Row],[Document ID]],Table1[],8,FALSE)</f>
        <v>NDC 1.1</v>
      </c>
      <c r="G188" s="241" t="str">
        <f>VLOOKUP(Table9[[#This Row],[Document ID]],Table1[],10,FALSE)</f>
        <v>Active</v>
      </c>
      <c r="H188" s="44" t="s">
        <v>5072</v>
      </c>
      <c r="I188" s="43" t="s">
        <v>5073</v>
      </c>
      <c r="J188" s="209" t="s">
        <v>5264</v>
      </c>
      <c r="K188" s="259">
        <v>31</v>
      </c>
      <c r="L188" s="219" t="s">
        <v>1113</v>
      </c>
      <c r="M188" s="219"/>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219" t="s">
        <v>1113</v>
      </c>
      <c r="AJ188" s="326"/>
      <c r="AK188" s="326"/>
      <c r="AL188" s="326"/>
      <c r="AM188" s="42" t="s">
        <v>5075</v>
      </c>
      <c r="AN188" s="233" t="str">
        <f>VLOOKUP(Table9[[#This Row],[Measure]],Table1025[[Value name]:[Value identifyer]],2,FALSE)</f>
        <v>R_System</v>
      </c>
      <c r="AO188" s="241" t="str">
        <f>VLOOKUP(Table9[[#This Row],[Country Code]],Table29[],3,FALSE)</f>
        <v>Non-Annex I</v>
      </c>
      <c r="AP188" s="241" t="str">
        <f>VLOOKUP(Table9[[#This Row],[Country Code]],Table29[],4,FALSE)</f>
        <v>Oceania</v>
      </c>
      <c r="AQ188" s="241" t="str">
        <f>VLOOKUP(Table9[[#This Row],[Country Code]],Table29[],5,FALSE)</f>
        <v>Middle-income</v>
      </c>
      <c r="AR188" s="241" t="str">
        <f>VLOOKUP(Table9[[#This Row],[Country Code]],Table29[],6,FALSE)</f>
        <v>no</v>
      </c>
      <c r="AS188" s="241" t="str">
        <f>VLOOKUP(Table9[[#This Row],[Country Code]],Table29[],7,FALSE)</f>
        <v>no</v>
      </c>
      <c r="AT188" s="241" t="str">
        <f>VLOOKUP(Table9[[#This Row],[Country Code]],Table29[],8,FALSE)</f>
        <v>non-OECD</v>
      </c>
      <c r="AU188" s="233" t="str">
        <f>VLOOKUP(Table9[[#This Row],[Country Code]],Table29[],9,FALSE)</f>
        <v>no</v>
      </c>
      <c r="AV188" s="233" t="str">
        <f>VLOOKUP(Table9[[#This Row],[Country Code]],Table29[],10,FALSE)</f>
        <v>no</v>
      </c>
      <c r="AW188" s="233">
        <f>VLOOKUP(Table9[[#This Row],[Country Code]],Table29[],23,FALSE)</f>
        <v>0</v>
      </c>
      <c r="AX188" s="233">
        <f>VLOOKUP(Table9[[#This Row],[Country Code]],Table29[],24,FALSE)</f>
        <v>0</v>
      </c>
      <c r="AY188" s="43"/>
    </row>
    <row r="189" spans="1:51" ht="45" x14ac:dyDescent="0.25">
      <c r="A189" s="367">
        <v>32508</v>
      </c>
      <c r="B189" s="233" t="str">
        <f>VLOOKUP(Table9[[#This Row],[Document ID]],Table1[],2,FALSE)</f>
        <v>FSM</v>
      </c>
      <c r="C189" s="233" t="str">
        <f>VLOOKUP(Table9[[#This Row],[Document ID]],Table1[],3,FALSE)</f>
        <v>Micronesia (Federated States of)</v>
      </c>
      <c r="D189" s="254" t="str">
        <f>VLOOKUP(Table9[[#This Row],[Document ID]],Table1[],5,FALSE)</f>
        <v>NDC</v>
      </c>
      <c r="E189" s="233" t="str">
        <f>VLOOKUP(Table9[[#This Row],[Document ID]],Table1[],7,FALSE)</f>
        <v>First NDC updated</v>
      </c>
      <c r="F189" s="241" t="str">
        <f>VLOOKUP(Table9[[#This Row],[Document ID]],Table1[],8,FALSE)</f>
        <v>NDC 1.1</v>
      </c>
      <c r="G189" s="241" t="str">
        <f>VLOOKUP(Table9[[#This Row],[Document ID]],Table1[],10,FALSE)</f>
        <v>Active</v>
      </c>
      <c r="H189" s="44" t="s">
        <v>5072</v>
      </c>
      <c r="I189" s="43" t="s">
        <v>5091</v>
      </c>
      <c r="J189" s="209" t="s">
        <v>5265</v>
      </c>
      <c r="K189" s="259">
        <v>37</v>
      </c>
      <c r="L189" s="219"/>
      <c r="M189" s="219"/>
      <c r="N189" s="113"/>
      <c r="O189" s="113"/>
      <c r="P189" s="113"/>
      <c r="Q189" s="113"/>
      <c r="R189" s="113"/>
      <c r="S189" s="113"/>
      <c r="T189" s="113"/>
      <c r="U189" s="113"/>
      <c r="V189" s="113"/>
      <c r="W189" s="113"/>
      <c r="X189" s="113"/>
      <c r="Y189" s="113"/>
      <c r="Z189" s="113"/>
      <c r="AA189" s="113"/>
      <c r="AB189" s="113" t="s">
        <v>1113</v>
      </c>
      <c r="AC189" s="113"/>
      <c r="AD189" s="113"/>
      <c r="AE189" s="113"/>
      <c r="AF189" s="113"/>
      <c r="AG189" s="113"/>
      <c r="AH189" s="113"/>
      <c r="AI189" s="219" t="s">
        <v>1113</v>
      </c>
      <c r="AJ189" s="326"/>
      <c r="AK189" s="326"/>
      <c r="AL189" s="326"/>
      <c r="AM189" s="42" t="s">
        <v>5075</v>
      </c>
      <c r="AN189" s="233" t="str">
        <f>VLOOKUP(Table9[[#This Row],[Measure]],Table1025[[Value name]:[Value identifyer]],2,FALSE)</f>
        <v>R_Maintain</v>
      </c>
      <c r="AO189" s="241" t="str">
        <f>VLOOKUP(Table9[[#This Row],[Country Code]],Table29[],3,FALSE)</f>
        <v>Non-Annex I</v>
      </c>
      <c r="AP189" s="241" t="str">
        <f>VLOOKUP(Table9[[#This Row],[Country Code]],Table29[],4,FALSE)</f>
        <v>Oceania</v>
      </c>
      <c r="AQ189" s="241" t="str">
        <f>VLOOKUP(Table9[[#This Row],[Country Code]],Table29[],5,FALSE)</f>
        <v>Middle-income</v>
      </c>
      <c r="AR189" s="241" t="str">
        <f>VLOOKUP(Table9[[#This Row],[Country Code]],Table29[],6,FALSE)</f>
        <v>no</v>
      </c>
      <c r="AS189" s="241" t="str">
        <f>VLOOKUP(Table9[[#This Row],[Country Code]],Table29[],7,FALSE)</f>
        <v>no</v>
      </c>
      <c r="AT189" s="241" t="str">
        <f>VLOOKUP(Table9[[#This Row],[Country Code]],Table29[],8,FALSE)</f>
        <v>non-OECD</v>
      </c>
      <c r="AU189" s="233" t="str">
        <f>VLOOKUP(Table9[[#This Row],[Country Code]],Table29[],9,FALSE)</f>
        <v>no</v>
      </c>
      <c r="AV189" s="233" t="str">
        <f>VLOOKUP(Table9[[#This Row],[Country Code]],Table29[],10,FALSE)</f>
        <v>no</v>
      </c>
      <c r="AW189" s="233">
        <f>VLOOKUP(Table9[[#This Row],[Country Code]],Table29[],23,FALSE)</f>
        <v>0</v>
      </c>
      <c r="AX189" s="233">
        <f>VLOOKUP(Table9[[#This Row],[Country Code]],Table29[],24,FALSE)</f>
        <v>0</v>
      </c>
      <c r="AY189" s="43"/>
    </row>
    <row r="190" spans="1:51" ht="45" x14ac:dyDescent="0.25">
      <c r="A190" s="367">
        <v>32508</v>
      </c>
      <c r="B190" s="233" t="str">
        <f>VLOOKUP(Table9[[#This Row],[Document ID]],Table1[],2,FALSE)</f>
        <v>FSM</v>
      </c>
      <c r="C190" s="233" t="str">
        <f>VLOOKUP(Table9[[#This Row],[Document ID]],Table1[],3,FALSE)</f>
        <v>Micronesia (Federated States of)</v>
      </c>
      <c r="D190" s="254" t="str">
        <f>VLOOKUP(Table9[[#This Row],[Document ID]],Table1[],5,FALSE)</f>
        <v>NDC</v>
      </c>
      <c r="E190" s="233" t="str">
        <f>VLOOKUP(Table9[[#This Row],[Document ID]],Table1[],7,FALSE)</f>
        <v>First NDC updated</v>
      </c>
      <c r="F190" s="241" t="str">
        <f>VLOOKUP(Table9[[#This Row],[Document ID]],Table1[],8,FALSE)</f>
        <v>NDC 1.1</v>
      </c>
      <c r="G190" s="241" t="str">
        <f>VLOOKUP(Table9[[#This Row],[Document ID]],Table1[],10,FALSE)</f>
        <v>Active</v>
      </c>
      <c r="H190" s="44" t="s">
        <v>5072</v>
      </c>
      <c r="I190" s="43" t="s">
        <v>5097</v>
      </c>
      <c r="J190" s="209" t="s">
        <v>5266</v>
      </c>
      <c r="K190" s="259">
        <v>38</v>
      </c>
      <c r="L190" s="219"/>
      <c r="M190" s="219"/>
      <c r="N190" s="113"/>
      <c r="O190" s="113"/>
      <c r="P190" s="113"/>
      <c r="Q190" s="113"/>
      <c r="R190" s="113"/>
      <c r="S190" s="113"/>
      <c r="T190" s="113"/>
      <c r="U190" s="113"/>
      <c r="V190" s="113"/>
      <c r="W190" s="113"/>
      <c r="X190" s="113"/>
      <c r="Y190" s="113"/>
      <c r="Z190" s="113"/>
      <c r="AA190" s="113"/>
      <c r="AB190" s="113" t="s">
        <v>1113</v>
      </c>
      <c r="AC190" s="113"/>
      <c r="AD190" s="113"/>
      <c r="AE190" s="113"/>
      <c r="AF190" s="113"/>
      <c r="AG190" s="113"/>
      <c r="AH190" s="113"/>
      <c r="AI190" s="219" t="s">
        <v>1113</v>
      </c>
      <c r="AJ190" s="326"/>
      <c r="AK190" s="326"/>
      <c r="AL190" s="326"/>
      <c r="AM190" s="42" t="s">
        <v>5075</v>
      </c>
      <c r="AN190" s="233" t="str">
        <f>VLOOKUP(Table9[[#This Row],[Measure]],Table1025[[Value name]:[Value identifyer]],2,FALSE)</f>
        <v>R_Tech</v>
      </c>
      <c r="AO190" s="241" t="str">
        <f>VLOOKUP(Table9[[#This Row],[Country Code]],Table29[],3,FALSE)</f>
        <v>Non-Annex I</v>
      </c>
      <c r="AP190" s="241" t="str">
        <f>VLOOKUP(Table9[[#This Row],[Country Code]],Table29[],4,FALSE)</f>
        <v>Oceania</v>
      </c>
      <c r="AQ190" s="241" t="str">
        <f>VLOOKUP(Table9[[#This Row],[Country Code]],Table29[],5,FALSE)</f>
        <v>Middle-income</v>
      </c>
      <c r="AR190" s="241" t="str">
        <f>VLOOKUP(Table9[[#This Row],[Country Code]],Table29[],6,FALSE)</f>
        <v>no</v>
      </c>
      <c r="AS190" s="241" t="str">
        <f>VLOOKUP(Table9[[#This Row],[Country Code]],Table29[],7,FALSE)</f>
        <v>no</v>
      </c>
      <c r="AT190" s="241" t="str">
        <f>VLOOKUP(Table9[[#This Row],[Country Code]],Table29[],8,FALSE)</f>
        <v>non-OECD</v>
      </c>
      <c r="AU190" s="233" t="str">
        <f>VLOOKUP(Table9[[#This Row],[Country Code]],Table29[],9,FALSE)</f>
        <v>no</v>
      </c>
      <c r="AV190" s="233" t="str">
        <f>VLOOKUP(Table9[[#This Row],[Country Code]],Table29[],10,FALSE)</f>
        <v>no</v>
      </c>
      <c r="AW190" s="233">
        <f>VLOOKUP(Table9[[#This Row],[Country Code]],Table29[],23,FALSE)</f>
        <v>0</v>
      </c>
      <c r="AX190" s="233">
        <f>VLOOKUP(Table9[[#This Row],[Country Code]],Table29[],24,FALSE)</f>
        <v>0</v>
      </c>
      <c r="AY190" s="43"/>
    </row>
    <row r="191" spans="1:51" ht="45" x14ac:dyDescent="0.25">
      <c r="A191" s="367">
        <v>20838</v>
      </c>
      <c r="B191" s="233" t="str">
        <f>VLOOKUP(Table9[[#This Row],[Document ID]],Table1[],2,FALSE)</f>
        <v>MNE</v>
      </c>
      <c r="C191" s="233" t="str">
        <f>VLOOKUP(Table9[[#This Row],[Document ID]],Table1[],3,FALSE)</f>
        <v>Montenegro</v>
      </c>
      <c r="D191" s="254" t="str">
        <f>VLOOKUP(Table9[[#This Row],[Document ID]],Table1[],5,FALSE)</f>
        <v>NDC</v>
      </c>
      <c r="E191" s="233" t="str">
        <f>VLOOKUP(Table9[[#This Row],[Document ID]],Table1[],7,FALSE)</f>
        <v>First NDC updated</v>
      </c>
      <c r="F191" s="241" t="str">
        <f>VLOOKUP(Table9[[#This Row],[Document ID]],Table1[],8,FALSE)</f>
        <v>NDC 1.1</v>
      </c>
      <c r="G191" s="241" t="str">
        <f>VLOOKUP(Table9[[#This Row],[Document ID]],Table1[],10,FALSE)</f>
        <v>Archived</v>
      </c>
      <c r="H191" s="44" t="s">
        <v>5072</v>
      </c>
      <c r="I191" s="43" t="s">
        <v>5073</v>
      </c>
      <c r="J191" s="209" t="s">
        <v>5267</v>
      </c>
      <c r="K191" s="259">
        <v>4</v>
      </c>
      <c r="L191" s="326" t="s">
        <v>1113</v>
      </c>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t="s">
        <v>1113</v>
      </c>
      <c r="AJ191" s="326"/>
      <c r="AK191" s="326"/>
      <c r="AL191" s="326"/>
      <c r="AM191" s="327" t="s">
        <v>5075</v>
      </c>
      <c r="AN191" s="233" t="str">
        <f>VLOOKUP(Table9[[#This Row],[Measure]],Table1025[[Value name]:[Value identifyer]],2,FALSE)</f>
        <v>R_System</v>
      </c>
      <c r="AO191" s="241" t="str">
        <f>VLOOKUP(Table9[[#This Row],[Country Code]],Table29[],3,FALSE)</f>
        <v>Non-Annex I</v>
      </c>
      <c r="AP191" s="241" t="str">
        <f>VLOOKUP(Table9[[#This Row],[Country Code]],Table29[],4,FALSE)</f>
        <v>Europe</v>
      </c>
      <c r="AQ191" s="241" t="str">
        <f>VLOOKUP(Table9[[#This Row],[Country Code]],Table29[],5,FALSE)</f>
        <v>Middle-income</v>
      </c>
      <c r="AR191" s="241" t="str">
        <f>VLOOKUP(Table9[[#This Row],[Country Code]],Table29[],6,FALSE)</f>
        <v>no</v>
      </c>
      <c r="AS191" s="241" t="str">
        <f>VLOOKUP(Table9[[#This Row],[Country Code]],Table29[],7,FALSE)</f>
        <v>no</v>
      </c>
      <c r="AT191" s="241" t="str">
        <f>VLOOKUP(Table9[[#This Row],[Country Code]],Table29[],8,FALSE)</f>
        <v>non-OECD</v>
      </c>
      <c r="AU191" s="233" t="str">
        <f>VLOOKUP(Table9[[#This Row],[Country Code]],Table29[],9,FALSE)</f>
        <v>no</v>
      </c>
      <c r="AV191" s="233" t="str">
        <f>VLOOKUP(Table9[[#This Row],[Country Code]],Table29[],10,FALSE)</f>
        <v>no</v>
      </c>
      <c r="AW191" s="233">
        <f>VLOOKUP(Table9[[#This Row],[Country Code]],Table29[],23,FALSE)</f>
        <v>0</v>
      </c>
      <c r="AX191" s="233">
        <f>VLOOKUP(Table9[[#This Row],[Country Code]],Table29[],24,FALSE)</f>
        <v>0</v>
      </c>
      <c r="AY191" s="43"/>
    </row>
    <row r="192" spans="1:51" ht="30" x14ac:dyDescent="0.25">
      <c r="A192" s="367">
        <v>17669</v>
      </c>
      <c r="B192" s="233" t="str">
        <f>VLOOKUP(Table9[[#This Row],[Document ID]],Table1[],2,FALSE)</f>
        <v>MAR</v>
      </c>
      <c r="C192" s="233" t="str">
        <f>VLOOKUP(Table9[[#This Row],[Document ID]],Table1[],3,FALSE)</f>
        <v>Morocco</v>
      </c>
      <c r="D192" s="254" t="str">
        <f>VLOOKUP(Table9[[#This Row],[Document ID]],Table1[],5,FALSE)</f>
        <v>NDC</v>
      </c>
      <c r="E192" s="233" t="str">
        <f>VLOOKUP(Table9[[#This Row],[Document ID]],Table1[],7,FALSE)</f>
        <v>First NDC</v>
      </c>
      <c r="F192" s="241" t="str">
        <f>VLOOKUP(Table9[[#This Row],[Document ID]],Table1[],8,FALSE)</f>
        <v>NDC 1.0</v>
      </c>
      <c r="G192" s="241" t="str">
        <f>VLOOKUP(Table9[[#This Row],[Document ID]],Table1[],10,FALSE)</f>
        <v>Archived</v>
      </c>
      <c r="H192" s="44" t="s">
        <v>5072</v>
      </c>
      <c r="I192" s="43" t="s">
        <v>5073</v>
      </c>
      <c r="J192" s="44" t="s">
        <v>5268</v>
      </c>
      <c r="K192" s="221">
        <v>25</v>
      </c>
      <c r="L192" s="326" t="s">
        <v>1113</v>
      </c>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113"/>
      <c r="AJ192" s="113" t="s">
        <v>1113</v>
      </c>
      <c r="AK192" s="113"/>
      <c r="AL192" s="113"/>
      <c r="AM192" s="327" t="s">
        <v>5075</v>
      </c>
      <c r="AN192" s="233" t="str">
        <f>VLOOKUP(Table9[[#This Row],[Measure]],Table1025[[Value name]:[Value identifyer]],2,FALSE)</f>
        <v>R_System</v>
      </c>
      <c r="AO192" s="241" t="str">
        <f>VLOOKUP(Table9[[#This Row],[Country Code]],Table29[],3,FALSE)</f>
        <v>Non-Annex I</v>
      </c>
      <c r="AP192" s="241" t="str">
        <f>VLOOKUP(Table9[[#This Row],[Country Code]],Table29[],4,FALSE)</f>
        <v>Africa</v>
      </c>
      <c r="AQ192" s="241" t="str">
        <f>VLOOKUP(Table9[[#This Row],[Country Code]],Table29[],5,FALSE)</f>
        <v>Middle-income</v>
      </c>
      <c r="AR192" s="241" t="str">
        <f>VLOOKUP(Table9[[#This Row],[Country Code]],Table29[],6,FALSE)</f>
        <v>no</v>
      </c>
      <c r="AS192" s="241" t="str">
        <f>VLOOKUP(Table9[[#This Row],[Country Code]],Table29[],7,FALSE)</f>
        <v>no</v>
      </c>
      <c r="AT192" s="241" t="str">
        <f>VLOOKUP(Table9[[#This Row],[Country Code]],Table29[],8,FALSE)</f>
        <v>non-OECD</v>
      </c>
      <c r="AU192" s="233" t="str">
        <f>VLOOKUP(Table9[[#This Row],[Country Code]],Table29[],9,FALSE)</f>
        <v>no</v>
      </c>
      <c r="AV192" s="233" t="str">
        <f>VLOOKUP(Table9[[#This Row],[Country Code]],Table29[],10,FALSE)</f>
        <v>MENA</v>
      </c>
      <c r="AW192" s="233">
        <f>VLOOKUP(Table9[[#This Row],[Country Code]],Table29[],23,FALSE)</f>
        <v>106.60223103187001</v>
      </c>
      <c r="AX192" s="233">
        <f>VLOOKUP(Table9[[#This Row],[Country Code]],Table29[],24,FALSE)</f>
        <v>17.689478774478111</v>
      </c>
      <c r="AY192" s="43"/>
    </row>
    <row r="193" spans="1:51" ht="30" x14ac:dyDescent="0.25">
      <c r="A193" s="367">
        <v>17670</v>
      </c>
      <c r="B193" s="233" t="str">
        <f>VLOOKUP(Table9[[#This Row],[Document ID]],Table1[],2,FALSE)</f>
        <v>MOZ</v>
      </c>
      <c r="C193" s="233" t="str">
        <f>VLOOKUP(Table9[[#This Row],[Document ID]],Table1[],3,FALSE)</f>
        <v>Mozambique</v>
      </c>
      <c r="D193" s="328" t="str">
        <f>VLOOKUP(Table9[[#This Row],[Document ID]],Table1[],5,FALSE)</f>
        <v>NDC</v>
      </c>
      <c r="E193" s="233" t="str">
        <f>VLOOKUP(Table9[[#This Row],[Document ID]],Table1[],7,FALSE)</f>
        <v>First NDC</v>
      </c>
      <c r="F193" s="328" t="str">
        <f>VLOOKUP(Table9[[#This Row],[Document ID]],Table1[],8,FALSE)</f>
        <v>NDC 1.0</v>
      </c>
      <c r="G193" s="328" t="str">
        <f>VLOOKUP(Table9[[#This Row],[Document ID]],Table1[],10,FALSE)</f>
        <v>Archived</v>
      </c>
      <c r="H193" s="44" t="s">
        <v>5072</v>
      </c>
      <c r="I193" s="43" t="s">
        <v>5073</v>
      </c>
      <c r="J193" s="209" t="s">
        <v>5269</v>
      </c>
      <c r="K193" s="257" t="s">
        <v>5081</v>
      </c>
      <c r="L193" s="326" t="s">
        <v>1113</v>
      </c>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t="s">
        <v>1113</v>
      </c>
      <c r="AJ193" s="326"/>
      <c r="AK193" s="326"/>
      <c r="AL193" s="326"/>
      <c r="AM193" s="327" t="s">
        <v>5075</v>
      </c>
      <c r="AN193" s="233" t="str">
        <f>VLOOKUP(Table9[[#This Row],[Measure]],Table1025[[Value name]:[Value identifyer]],2,FALSE)</f>
        <v>R_System</v>
      </c>
      <c r="AO193" s="241" t="str">
        <f>VLOOKUP(Table9[[#This Row],[Country Code]],Table29[],3,FALSE)</f>
        <v>Non-Annex I</v>
      </c>
      <c r="AP193" s="241" t="str">
        <f>VLOOKUP(Table9[[#This Row],[Country Code]],Table29[],4,FALSE)</f>
        <v>Africa</v>
      </c>
      <c r="AQ193" s="241" t="str">
        <f>VLOOKUP(Table9[[#This Row],[Country Code]],Table29[],5,FALSE)</f>
        <v>Low-income</v>
      </c>
      <c r="AR193" s="241" t="str">
        <f>VLOOKUP(Table9[[#This Row],[Country Code]],Table29[],6,FALSE)</f>
        <v>no</v>
      </c>
      <c r="AS193" s="241" t="str">
        <f>VLOOKUP(Table9[[#This Row],[Country Code]],Table29[],7,FALSE)</f>
        <v>no</v>
      </c>
      <c r="AT193" s="241" t="str">
        <f>VLOOKUP(Table9[[#This Row],[Country Code]],Table29[],8,FALSE)</f>
        <v>non-OECD</v>
      </c>
      <c r="AU193" s="233" t="str">
        <f>VLOOKUP(Table9[[#This Row],[Country Code]],Table29[],9,FALSE)</f>
        <v>no</v>
      </c>
      <c r="AV193" s="233" t="str">
        <f>VLOOKUP(Table9[[#This Row],[Country Code]],Table29[],10,FALSE)</f>
        <v>no</v>
      </c>
      <c r="AW193" s="233">
        <f>VLOOKUP(Table9[[#This Row],[Country Code]],Table29[],23,FALSE)</f>
        <v>33.953984042408003</v>
      </c>
      <c r="AX193" s="233">
        <f>VLOOKUP(Table9[[#This Row],[Country Code]],Table29[],24,FALSE)</f>
        <v>3.9936406306970689</v>
      </c>
      <c r="AY193" s="43"/>
    </row>
    <row r="194" spans="1:51" ht="30" x14ac:dyDescent="0.25">
      <c r="A194" s="367">
        <v>24791</v>
      </c>
      <c r="B194" s="233" t="str">
        <f>VLOOKUP(Table9[[#This Row],[Document ID]],Table1[],2,FALSE)</f>
        <v>MOZ</v>
      </c>
      <c r="C194" s="233" t="str">
        <f>VLOOKUP(Table9[[#This Row],[Document ID]],Table1[],3,FALSE)</f>
        <v>Mozambique</v>
      </c>
      <c r="D194" s="254" t="str">
        <f>VLOOKUP(Table9[[#This Row],[Document ID]],Table1[],5,FALSE)</f>
        <v>NDC</v>
      </c>
      <c r="E194" s="233" t="str">
        <f>VLOOKUP(Table9[[#This Row],[Document ID]],Table1[],7,FALSE)</f>
        <v>First NDC updated</v>
      </c>
      <c r="F194" s="241" t="str">
        <f>VLOOKUP(Table9[[#This Row],[Document ID]],Table1[],8,FALSE)</f>
        <v>NDC 1.1</v>
      </c>
      <c r="G194" s="241" t="str">
        <f>VLOOKUP(Table9[[#This Row],[Document ID]],Table1[],10,FALSE)</f>
        <v>Active</v>
      </c>
      <c r="H194" s="44" t="s">
        <v>5076</v>
      </c>
      <c r="I194" s="43" t="s">
        <v>5089</v>
      </c>
      <c r="J194" s="209" t="s">
        <v>5270</v>
      </c>
      <c r="K194" s="259">
        <v>45</v>
      </c>
      <c r="L194" s="219" t="s">
        <v>1113</v>
      </c>
      <c r="M194" s="219"/>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219" t="s">
        <v>1113</v>
      </c>
      <c r="AJ194" s="326"/>
      <c r="AK194" s="326"/>
      <c r="AL194" s="326"/>
      <c r="AM194" s="42" t="s">
        <v>5075</v>
      </c>
      <c r="AN194" s="233" t="str">
        <f>VLOOKUP(Table9[[#This Row],[Measure]],Table1025[[Value name]:[Value identifyer]],2,FALSE)</f>
        <v>R_Design</v>
      </c>
      <c r="AO194" s="241" t="str">
        <f>VLOOKUP(Table9[[#This Row],[Country Code]],Table29[],3,FALSE)</f>
        <v>Non-Annex I</v>
      </c>
      <c r="AP194" s="241" t="str">
        <f>VLOOKUP(Table9[[#This Row],[Country Code]],Table29[],4,FALSE)</f>
        <v>Africa</v>
      </c>
      <c r="AQ194" s="241" t="str">
        <f>VLOOKUP(Table9[[#This Row],[Country Code]],Table29[],5,FALSE)</f>
        <v>Low-income</v>
      </c>
      <c r="AR194" s="241" t="str">
        <f>VLOOKUP(Table9[[#This Row],[Country Code]],Table29[],6,FALSE)</f>
        <v>no</v>
      </c>
      <c r="AS194" s="241" t="str">
        <f>VLOOKUP(Table9[[#This Row],[Country Code]],Table29[],7,FALSE)</f>
        <v>no</v>
      </c>
      <c r="AT194" s="241" t="str">
        <f>VLOOKUP(Table9[[#This Row],[Country Code]],Table29[],8,FALSE)</f>
        <v>non-OECD</v>
      </c>
      <c r="AU194" s="233" t="str">
        <f>VLOOKUP(Table9[[#This Row],[Country Code]],Table29[],9,FALSE)</f>
        <v>no</v>
      </c>
      <c r="AV194" s="233" t="str">
        <f>VLOOKUP(Table9[[#This Row],[Country Code]],Table29[],10,FALSE)</f>
        <v>no</v>
      </c>
      <c r="AW194" s="233">
        <f>VLOOKUP(Table9[[#This Row],[Country Code]],Table29[],23,FALSE)</f>
        <v>33.953984042408003</v>
      </c>
      <c r="AX194" s="233">
        <f>VLOOKUP(Table9[[#This Row],[Country Code]],Table29[],24,FALSE)</f>
        <v>3.9936406306970689</v>
      </c>
      <c r="AY194" s="43"/>
    </row>
    <row r="195" spans="1:51" ht="30" x14ac:dyDescent="0.25">
      <c r="A195" s="367">
        <v>24791</v>
      </c>
      <c r="B195" s="233" t="str">
        <f>VLOOKUP(Table9[[#This Row],[Document ID]],Table1[],2,FALSE)</f>
        <v>MOZ</v>
      </c>
      <c r="C195" s="233" t="str">
        <f>VLOOKUP(Table9[[#This Row],[Document ID]],Table1[],3,FALSE)</f>
        <v>Mozambique</v>
      </c>
      <c r="D195" s="254" t="str">
        <f>VLOOKUP(Table9[[#This Row],[Document ID]],Table1[],5,FALSE)</f>
        <v>NDC</v>
      </c>
      <c r="E195" s="233" t="str">
        <f>VLOOKUP(Table9[[#This Row],[Document ID]],Table1[],7,FALSE)</f>
        <v>First NDC updated</v>
      </c>
      <c r="F195" s="241" t="str">
        <f>VLOOKUP(Table9[[#This Row],[Document ID]],Table1[],8,FALSE)</f>
        <v>NDC 1.1</v>
      </c>
      <c r="G195" s="241" t="str">
        <f>VLOOKUP(Table9[[#This Row],[Document ID]],Table1[],10,FALSE)</f>
        <v>Active</v>
      </c>
      <c r="H195" s="44" t="s">
        <v>5072</v>
      </c>
      <c r="I195" s="43" t="s">
        <v>5082</v>
      </c>
      <c r="J195" s="209" t="s">
        <v>5271</v>
      </c>
      <c r="K195" s="259">
        <v>45</v>
      </c>
      <c r="L195" s="219" t="s">
        <v>1113</v>
      </c>
      <c r="M195" s="219"/>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219" t="s">
        <v>1113</v>
      </c>
      <c r="AJ195" s="326"/>
      <c r="AK195" s="326"/>
      <c r="AL195" s="326"/>
      <c r="AM195" s="42" t="s">
        <v>5075</v>
      </c>
      <c r="AN195" s="233" t="str">
        <f>VLOOKUP(Table9[[#This Row],[Measure]],Table1025[[Value name]:[Value identifyer]],2,FALSE)</f>
        <v>R_Risk</v>
      </c>
      <c r="AO195" s="241" t="str">
        <f>VLOOKUP(Table9[[#This Row],[Country Code]],Table29[],3,FALSE)</f>
        <v>Non-Annex I</v>
      </c>
      <c r="AP195" s="241" t="str">
        <f>VLOOKUP(Table9[[#This Row],[Country Code]],Table29[],4,FALSE)</f>
        <v>Africa</v>
      </c>
      <c r="AQ195" s="241" t="str">
        <f>VLOOKUP(Table9[[#This Row],[Country Code]],Table29[],5,FALSE)</f>
        <v>Low-income</v>
      </c>
      <c r="AR195" s="241" t="str">
        <f>VLOOKUP(Table9[[#This Row],[Country Code]],Table29[],6,FALSE)</f>
        <v>no</v>
      </c>
      <c r="AS195" s="241" t="str">
        <f>VLOOKUP(Table9[[#This Row],[Country Code]],Table29[],7,FALSE)</f>
        <v>no</v>
      </c>
      <c r="AT195" s="241" t="str">
        <f>VLOOKUP(Table9[[#This Row],[Country Code]],Table29[],8,FALSE)</f>
        <v>non-OECD</v>
      </c>
      <c r="AU195" s="233" t="str">
        <f>VLOOKUP(Table9[[#This Row],[Country Code]],Table29[],9,FALSE)</f>
        <v>no</v>
      </c>
      <c r="AV195" s="233" t="str">
        <f>VLOOKUP(Table9[[#This Row],[Country Code]],Table29[],10,FALSE)</f>
        <v>no</v>
      </c>
      <c r="AW195" s="233">
        <f>VLOOKUP(Table9[[#This Row],[Country Code]],Table29[],23,FALSE)</f>
        <v>33.953984042408003</v>
      </c>
      <c r="AX195" s="233">
        <f>VLOOKUP(Table9[[#This Row],[Country Code]],Table29[],24,FALSE)</f>
        <v>3.9936406306970689</v>
      </c>
      <c r="AY195" s="43"/>
    </row>
    <row r="196" spans="1:51" ht="30" x14ac:dyDescent="0.25">
      <c r="A196" s="367">
        <v>24791</v>
      </c>
      <c r="B196" s="233" t="str">
        <f>VLOOKUP(Table9[[#This Row],[Document ID]],Table1[],2,FALSE)</f>
        <v>MOZ</v>
      </c>
      <c r="C196" s="233" t="str">
        <f>VLOOKUP(Table9[[#This Row],[Document ID]],Table1[],3,FALSE)</f>
        <v>Mozambique</v>
      </c>
      <c r="D196" s="254" t="str">
        <f>VLOOKUP(Table9[[#This Row],[Document ID]],Table1[],5,FALSE)</f>
        <v>NDC</v>
      </c>
      <c r="E196" s="233" t="str">
        <f>VLOOKUP(Table9[[#This Row],[Document ID]],Table1[],7,FALSE)</f>
        <v>First NDC updated</v>
      </c>
      <c r="F196" s="241" t="str">
        <f>VLOOKUP(Table9[[#This Row],[Document ID]],Table1[],8,FALSE)</f>
        <v>NDC 1.1</v>
      </c>
      <c r="G196" s="241" t="str">
        <f>VLOOKUP(Table9[[#This Row],[Document ID]],Table1[],10,FALSE)</f>
        <v>Active</v>
      </c>
      <c r="H196" s="44" t="s">
        <v>5072</v>
      </c>
      <c r="I196" s="43" t="s">
        <v>5073</v>
      </c>
      <c r="J196" s="209" t="s">
        <v>5272</v>
      </c>
      <c r="K196" s="259">
        <v>45</v>
      </c>
      <c r="L196" s="219" t="s">
        <v>1113</v>
      </c>
      <c r="M196" s="219"/>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219" t="s">
        <v>1113</v>
      </c>
      <c r="AJ196" s="326"/>
      <c r="AK196" s="326"/>
      <c r="AL196" s="326"/>
      <c r="AM196" s="42" t="s">
        <v>5075</v>
      </c>
      <c r="AN196" s="233" t="str">
        <f>VLOOKUP(Table9[[#This Row],[Measure]],Table1025[[Value name]:[Value identifyer]],2,FALSE)</f>
        <v>R_System</v>
      </c>
      <c r="AO196" s="241" t="str">
        <f>VLOOKUP(Table9[[#This Row],[Country Code]],Table29[],3,FALSE)</f>
        <v>Non-Annex I</v>
      </c>
      <c r="AP196" s="241" t="str">
        <f>VLOOKUP(Table9[[#This Row],[Country Code]],Table29[],4,FALSE)</f>
        <v>Africa</v>
      </c>
      <c r="AQ196" s="241" t="str">
        <f>VLOOKUP(Table9[[#This Row],[Country Code]],Table29[],5,FALSE)</f>
        <v>Low-income</v>
      </c>
      <c r="AR196" s="241" t="str">
        <f>VLOOKUP(Table9[[#This Row],[Country Code]],Table29[],6,FALSE)</f>
        <v>no</v>
      </c>
      <c r="AS196" s="241" t="str">
        <f>VLOOKUP(Table9[[#This Row],[Country Code]],Table29[],7,FALSE)</f>
        <v>no</v>
      </c>
      <c r="AT196" s="241" t="str">
        <f>VLOOKUP(Table9[[#This Row],[Country Code]],Table29[],8,FALSE)</f>
        <v>non-OECD</v>
      </c>
      <c r="AU196" s="233" t="str">
        <f>VLOOKUP(Table9[[#This Row],[Country Code]],Table29[],9,FALSE)</f>
        <v>no</v>
      </c>
      <c r="AV196" s="233" t="str">
        <f>VLOOKUP(Table9[[#This Row],[Country Code]],Table29[],10,FALSE)</f>
        <v>no</v>
      </c>
      <c r="AW196" s="233">
        <f>VLOOKUP(Table9[[#This Row],[Country Code]],Table29[],23,FALSE)</f>
        <v>33.953984042408003</v>
      </c>
      <c r="AX196" s="233">
        <f>VLOOKUP(Table9[[#This Row],[Country Code]],Table29[],24,FALSE)</f>
        <v>3.9936406306970689</v>
      </c>
      <c r="AY196" s="43"/>
    </row>
    <row r="197" spans="1:51" ht="45" x14ac:dyDescent="0.25">
      <c r="A197" s="360">
        <v>21982</v>
      </c>
      <c r="B197" s="233" t="str">
        <f>VLOOKUP(Table9[[#This Row],[Document ID]],Table1[],2,FALSE)</f>
        <v>NAM</v>
      </c>
      <c r="C197" s="233" t="str">
        <f>VLOOKUP(Table9[[#This Row],[Document ID]],Table1[],3,FALSE)</f>
        <v>Namibia</v>
      </c>
      <c r="D197" s="233" t="str">
        <f>VLOOKUP(Table9[[#This Row],[Document ID]],Table1[],5,FALSE)</f>
        <v>NDC</v>
      </c>
      <c r="E197" s="233" t="str">
        <f>VLOOKUP(Table9[[#This Row],[Document ID]],Table1[],7,FALSE)</f>
        <v>First NDC updated</v>
      </c>
      <c r="F197" s="233" t="str">
        <f>VLOOKUP(Table9[[#This Row],[Document ID]],Table1[],8,FALSE)</f>
        <v>NDC 1.1</v>
      </c>
      <c r="G197" s="233" t="str">
        <f>VLOOKUP(Table9[[#This Row],[Document ID]],Table1[],10,FALSE)</f>
        <v>Archived</v>
      </c>
      <c r="H197" s="44" t="s">
        <v>5076</v>
      </c>
      <c r="I197" s="43" t="s">
        <v>5089</v>
      </c>
      <c r="J197" s="44" t="s">
        <v>5273</v>
      </c>
      <c r="K197" s="221">
        <v>29</v>
      </c>
      <c r="L197" s="326" t="s">
        <v>1113</v>
      </c>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t="s">
        <v>1113</v>
      </c>
      <c r="AJ197" s="326"/>
      <c r="AK197" s="326"/>
      <c r="AL197" s="326"/>
      <c r="AM197" s="327" t="s">
        <v>5075</v>
      </c>
      <c r="AN197" s="233" t="str">
        <f>VLOOKUP(Table9[[#This Row],[Measure]],Table1025[[Value name]:[Value identifyer]],2,FALSE)</f>
        <v>R_Design</v>
      </c>
      <c r="AO197" s="241" t="str">
        <f>VLOOKUP(Table9[[#This Row],[Country Code]],Table29[],3,FALSE)</f>
        <v>Non-Annex I</v>
      </c>
      <c r="AP197" s="241" t="str">
        <f>VLOOKUP(Table9[[#This Row],[Country Code]],Table29[],4,FALSE)</f>
        <v>Africa</v>
      </c>
      <c r="AQ197" s="241" t="str">
        <f>VLOOKUP(Table9[[#This Row],[Country Code]],Table29[],5,FALSE)</f>
        <v>Middle-income</v>
      </c>
      <c r="AR197" s="241" t="str">
        <f>VLOOKUP(Table9[[#This Row],[Country Code]],Table29[],6,FALSE)</f>
        <v>no</v>
      </c>
      <c r="AS197" s="241" t="str">
        <f>VLOOKUP(Table9[[#This Row],[Country Code]],Table29[],7,FALSE)</f>
        <v>no</v>
      </c>
      <c r="AT197" s="241" t="str">
        <f>VLOOKUP(Table9[[#This Row],[Country Code]],Table29[],8,FALSE)</f>
        <v>non-OECD</v>
      </c>
      <c r="AU197" s="233" t="str">
        <f>VLOOKUP(Table9[[#This Row],[Country Code]],Table29[],9,FALSE)</f>
        <v>no</v>
      </c>
      <c r="AV197" s="233" t="str">
        <f>VLOOKUP(Table9[[#This Row],[Country Code]],Table29[],10,FALSE)</f>
        <v>no</v>
      </c>
      <c r="AW197" s="233">
        <f>VLOOKUP(Table9[[#This Row],[Country Code]],Table29[],23,FALSE)</f>
        <v>12.885675050293001</v>
      </c>
      <c r="AX197" s="233">
        <f>VLOOKUP(Table9[[#This Row],[Country Code]],Table29[],24,FALSE)</f>
        <v>2.1850282301150679</v>
      </c>
      <c r="AY197" s="43"/>
    </row>
    <row r="198" spans="1:51" ht="45" x14ac:dyDescent="0.25">
      <c r="A198" s="360">
        <v>21982</v>
      </c>
      <c r="B198" s="233" t="str">
        <f>VLOOKUP(Table9[[#This Row],[Document ID]],Table1[],2,FALSE)</f>
        <v>NAM</v>
      </c>
      <c r="C198" s="233" t="str">
        <f>VLOOKUP(Table9[[#This Row],[Document ID]],Table1[],3,FALSE)</f>
        <v>Namibia</v>
      </c>
      <c r="D198" s="233" t="str">
        <f>VLOOKUP(Table9[[#This Row],[Document ID]],Table1[],5,FALSE)</f>
        <v>NDC</v>
      </c>
      <c r="E198" s="233" t="str">
        <f>VLOOKUP(Table9[[#This Row],[Document ID]],Table1[],7,FALSE)</f>
        <v>First NDC updated</v>
      </c>
      <c r="F198" s="233" t="str">
        <f>VLOOKUP(Table9[[#This Row],[Document ID]],Table1[],8,FALSE)</f>
        <v>NDC 1.1</v>
      </c>
      <c r="G198" s="233" t="str">
        <f>VLOOKUP(Table9[[#This Row],[Document ID]],Table1[],10,FALSE)</f>
        <v>Archived</v>
      </c>
      <c r="H198" s="44" t="s">
        <v>5076</v>
      </c>
      <c r="I198" s="43" t="s">
        <v>5077</v>
      </c>
      <c r="J198" s="44" t="s">
        <v>5273</v>
      </c>
      <c r="K198" s="221">
        <v>29</v>
      </c>
      <c r="L198" s="326" t="s">
        <v>1113</v>
      </c>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t="s">
        <v>1113</v>
      </c>
      <c r="AJ198" s="326"/>
      <c r="AK198" s="326"/>
      <c r="AL198" s="326"/>
      <c r="AM198" s="327" t="s">
        <v>5075</v>
      </c>
      <c r="AN198" s="233" t="str">
        <f>VLOOKUP(Table9[[#This Row],[Measure]],Table1025[[Value name]:[Value identifyer]],2,FALSE)</f>
        <v>R_Planning</v>
      </c>
      <c r="AO198" s="241" t="str">
        <f>VLOOKUP(Table9[[#This Row],[Country Code]],Table29[],3,FALSE)</f>
        <v>Non-Annex I</v>
      </c>
      <c r="AP198" s="241" t="str">
        <f>VLOOKUP(Table9[[#This Row],[Country Code]],Table29[],4,FALSE)</f>
        <v>Africa</v>
      </c>
      <c r="AQ198" s="241" t="str">
        <f>VLOOKUP(Table9[[#This Row],[Country Code]],Table29[],5,FALSE)</f>
        <v>Middle-income</v>
      </c>
      <c r="AR198" s="241" t="str">
        <f>VLOOKUP(Table9[[#This Row],[Country Code]],Table29[],6,FALSE)</f>
        <v>no</v>
      </c>
      <c r="AS198" s="241" t="str">
        <f>VLOOKUP(Table9[[#This Row],[Country Code]],Table29[],7,FALSE)</f>
        <v>no</v>
      </c>
      <c r="AT198" s="241" t="str">
        <f>VLOOKUP(Table9[[#This Row],[Country Code]],Table29[],8,FALSE)</f>
        <v>non-OECD</v>
      </c>
      <c r="AU198" s="233" t="str">
        <f>VLOOKUP(Table9[[#This Row],[Country Code]],Table29[],9,FALSE)</f>
        <v>no</v>
      </c>
      <c r="AV198" s="233" t="str">
        <f>VLOOKUP(Table9[[#This Row],[Country Code]],Table29[],10,FALSE)</f>
        <v>no</v>
      </c>
      <c r="AW198" s="233">
        <f>VLOOKUP(Table9[[#This Row],[Country Code]],Table29[],23,FALSE)</f>
        <v>12.885675050293001</v>
      </c>
      <c r="AX198" s="233">
        <f>VLOOKUP(Table9[[#This Row],[Country Code]],Table29[],24,FALSE)</f>
        <v>2.1850282301150679</v>
      </c>
      <c r="AY198" s="43"/>
    </row>
    <row r="199" spans="1:51" ht="30" x14ac:dyDescent="0.25">
      <c r="A199" s="367">
        <v>41743</v>
      </c>
      <c r="B199" s="233" t="str">
        <f>VLOOKUP(Table9[[#This Row],[Document ID]],Table1[],2,FALSE)</f>
        <v>NAM</v>
      </c>
      <c r="C199" s="233" t="str">
        <f>VLOOKUP(Table9[[#This Row],[Document ID]],Table1[],3,FALSE)</f>
        <v>Namibia</v>
      </c>
      <c r="D199" s="252" t="str">
        <f>VLOOKUP(Table9[[#This Row],[Document ID]],Table1[],5,FALSE)</f>
        <v>NDC</v>
      </c>
      <c r="E199" s="233" t="str">
        <f>VLOOKUP(Table9[[#This Row],[Document ID]],Table1[],7,FALSE)</f>
        <v>First NDC updated</v>
      </c>
      <c r="F199" s="241" t="str">
        <f>VLOOKUP(Table9[[#This Row],[Document ID]],Table1[],8,FALSE)</f>
        <v>NDC 1.2</v>
      </c>
      <c r="G199" s="241" t="str">
        <f>VLOOKUP(Table9[[#This Row],[Document ID]],Table1[],10,FALSE)</f>
        <v>Active</v>
      </c>
      <c r="H199" s="44" t="s">
        <v>5072</v>
      </c>
      <c r="I199" s="43" t="s">
        <v>5082</v>
      </c>
      <c r="J199" s="209" t="s">
        <v>5274</v>
      </c>
      <c r="K199" s="259">
        <v>39</v>
      </c>
      <c r="L199" s="219" t="s">
        <v>1113</v>
      </c>
      <c r="M199" s="219"/>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326" t="s">
        <v>1113</v>
      </c>
      <c r="AJ199" s="338"/>
      <c r="AK199" s="338"/>
      <c r="AL199" s="338"/>
      <c r="AM199" s="327" t="s">
        <v>5075</v>
      </c>
      <c r="AN199" s="233" t="str">
        <f>VLOOKUP(Table9[[#This Row],[Measure]],Table1025[[Value name]:[Value identifyer]],2,FALSE)</f>
        <v>R_Risk</v>
      </c>
      <c r="AO199" s="241" t="str">
        <f>VLOOKUP(Table9[[#This Row],[Country Code]],Table29[],3,FALSE)</f>
        <v>Non-Annex I</v>
      </c>
      <c r="AP199" s="241" t="str">
        <f>VLOOKUP(Table9[[#This Row],[Country Code]],Table29[],4,FALSE)</f>
        <v>Africa</v>
      </c>
      <c r="AQ199" s="241" t="str">
        <f>VLOOKUP(Table9[[#This Row],[Country Code]],Table29[],5,FALSE)</f>
        <v>Middle-income</v>
      </c>
      <c r="AR199" s="241" t="str">
        <f>VLOOKUP(Table9[[#This Row],[Country Code]],Table29[],6,FALSE)</f>
        <v>no</v>
      </c>
      <c r="AS199" s="241" t="str">
        <f>VLOOKUP(Table9[[#This Row],[Country Code]],Table29[],7,FALSE)</f>
        <v>no</v>
      </c>
      <c r="AT199" s="241" t="str">
        <f>VLOOKUP(Table9[[#This Row],[Country Code]],Table29[],8,FALSE)</f>
        <v>non-OECD</v>
      </c>
      <c r="AU199" s="233" t="str">
        <f>VLOOKUP(Table9[[#This Row],[Country Code]],Table29[],9,FALSE)</f>
        <v>no</v>
      </c>
      <c r="AV199" s="233" t="str">
        <f>VLOOKUP(Table9[[#This Row],[Country Code]],Table29[],10,FALSE)</f>
        <v>no</v>
      </c>
      <c r="AW199" s="233">
        <f>VLOOKUP(Table9[[#This Row],[Country Code]],Table29[],23,FALSE)</f>
        <v>12.885675050293001</v>
      </c>
      <c r="AX199" s="233">
        <f>VLOOKUP(Table9[[#This Row],[Country Code]],Table29[],24,FALSE)</f>
        <v>2.1850282301150679</v>
      </c>
      <c r="AY199" s="43"/>
    </row>
    <row r="200" spans="1:51" x14ac:dyDescent="0.25">
      <c r="A200" s="367">
        <v>41743</v>
      </c>
      <c r="B200" s="233" t="str">
        <f>VLOOKUP(Table9[[#This Row],[Document ID]],Table1[],2,FALSE)</f>
        <v>NAM</v>
      </c>
      <c r="C200" s="233" t="str">
        <f>VLOOKUP(Table9[[#This Row],[Document ID]],Table1[],3,FALSE)</f>
        <v>Namibia</v>
      </c>
      <c r="D200" s="252" t="str">
        <f>VLOOKUP(Table9[[#This Row],[Document ID]],Table1[],5,FALSE)</f>
        <v>NDC</v>
      </c>
      <c r="E200" s="233" t="str">
        <f>VLOOKUP(Table9[[#This Row],[Document ID]],Table1[],7,FALSE)</f>
        <v>First NDC updated</v>
      </c>
      <c r="F200" s="241" t="str">
        <f>VLOOKUP(Table9[[#This Row],[Document ID]],Table1[],8,FALSE)</f>
        <v>NDC 1.2</v>
      </c>
      <c r="G200" s="241" t="str">
        <f>VLOOKUP(Table9[[#This Row],[Document ID]],Table1[],10,FALSE)</f>
        <v>Active</v>
      </c>
      <c r="H200" s="44" t="s">
        <v>5072</v>
      </c>
      <c r="I200" s="43" t="s">
        <v>5073</v>
      </c>
      <c r="J200" s="209" t="s">
        <v>5275</v>
      </c>
      <c r="K200" s="259">
        <v>39</v>
      </c>
      <c r="L200" s="219"/>
      <c r="M200" s="219"/>
      <c r="N200" s="113"/>
      <c r="O200" s="113"/>
      <c r="P200" s="113"/>
      <c r="Q200" s="113" t="s">
        <v>1113</v>
      </c>
      <c r="R200" s="113"/>
      <c r="S200" s="113"/>
      <c r="T200" s="113"/>
      <c r="U200" s="113"/>
      <c r="V200" s="113"/>
      <c r="W200" s="113"/>
      <c r="X200" s="113"/>
      <c r="Y200" s="113"/>
      <c r="Z200" s="113"/>
      <c r="AA200" s="113"/>
      <c r="AB200" s="113"/>
      <c r="AC200" s="113"/>
      <c r="AD200" s="113"/>
      <c r="AE200" s="113"/>
      <c r="AF200" s="113"/>
      <c r="AG200" s="113"/>
      <c r="AH200" s="113"/>
      <c r="AI200" s="326" t="s">
        <v>1113</v>
      </c>
      <c r="AJ200" s="326"/>
      <c r="AK200" s="326"/>
      <c r="AL200" s="326"/>
      <c r="AM200" s="327" t="s">
        <v>5075</v>
      </c>
      <c r="AN200" s="233" t="str">
        <f>VLOOKUP(Table9[[#This Row],[Measure]],Table1025[[Value name]:[Value identifyer]],2,FALSE)</f>
        <v>R_System</v>
      </c>
      <c r="AO200" s="241" t="str">
        <f>VLOOKUP(Table9[[#This Row],[Country Code]],Table29[],3,FALSE)</f>
        <v>Non-Annex I</v>
      </c>
      <c r="AP200" s="241" t="str">
        <f>VLOOKUP(Table9[[#This Row],[Country Code]],Table29[],4,FALSE)</f>
        <v>Africa</v>
      </c>
      <c r="AQ200" s="241" t="str">
        <f>VLOOKUP(Table9[[#This Row],[Country Code]],Table29[],5,FALSE)</f>
        <v>Middle-income</v>
      </c>
      <c r="AR200" s="241" t="str">
        <f>VLOOKUP(Table9[[#This Row],[Country Code]],Table29[],6,FALSE)</f>
        <v>no</v>
      </c>
      <c r="AS200" s="241" t="str">
        <f>VLOOKUP(Table9[[#This Row],[Country Code]],Table29[],7,FALSE)</f>
        <v>no</v>
      </c>
      <c r="AT200" s="241" t="str">
        <f>VLOOKUP(Table9[[#This Row],[Country Code]],Table29[],8,FALSE)</f>
        <v>non-OECD</v>
      </c>
      <c r="AU200" s="233" t="str">
        <f>VLOOKUP(Table9[[#This Row],[Country Code]],Table29[],9,FALSE)</f>
        <v>no</v>
      </c>
      <c r="AV200" s="233" t="str">
        <f>VLOOKUP(Table9[[#This Row],[Country Code]],Table29[],10,FALSE)</f>
        <v>no</v>
      </c>
      <c r="AW200" s="233">
        <f>VLOOKUP(Table9[[#This Row],[Country Code]],Table29[],23,FALSE)</f>
        <v>12.885675050293001</v>
      </c>
      <c r="AX200" s="233">
        <f>VLOOKUP(Table9[[#This Row],[Country Code]],Table29[],24,FALSE)</f>
        <v>2.1850282301150679</v>
      </c>
      <c r="AY200" s="43"/>
    </row>
    <row r="201" spans="1:51" x14ac:dyDescent="0.25">
      <c r="A201" s="367">
        <v>41743</v>
      </c>
      <c r="B201" s="233" t="str">
        <f>VLOOKUP(Table9[[#This Row],[Document ID]],Table1[],2,FALSE)</f>
        <v>NAM</v>
      </c>
      <c r="C201" s="233" t="str">
        <f>VLOOKUP(Table9[[#This Row],[Document ID]],Table1[],3,FALSE)</f>
        <v>Namibia</v>
      </c>
      <c r="D201" s="252" t="str">
        <f>VLOOKUP(Table9[[#This Row],[Document ID]],Table1[],5,FALSE)</f>
        <v>NDC</v>
      </c>
      <c r="E201" s="233" t="str">
        <f>VLOOKUP(Table9[[#This Row],[Document ID]],Table1[],7,FALSE)</f>
        <v>First NDC updated</v>
      </c>
      <c r="F201" s="241" t="str">
        <f>VLOOKUP(Table9[[#This Row],[Document ID]],Table1[],8,FALSE)</f>
        <v>NDC 1.2</v>
      </c>
      <c r="G201" s="241" t="str">
        <f>VLOOKUP(Table9[[#This Row],[Document ID]],Table1[],10,FALSE)</f>
        <v>Active</v>
      </c>
      <c r="H201" s="44" t="s">
        <v>5072</v>
      </c>
      <c r="I201" s="43" t="s">
        <v>5073</v>
      </c>
      <c r="J201" s="209" t="s">
        <v>5276</v>
      </c>
      <c r="K201" s="259">
        <v>39</v>
      </c>
      <c r="L201" s="219"/>
      <c r="M201" s="219"/>
      <c r="N201" s="113"/>
      <c r="O201" s="113"/>
      <c r="P201" s="113"/>
      <c r="Q201" s="113" t="s">
        <v>1113</v>
      </c>
      <c r="R201" s="113"/>
      <c r="S201" s="113"/>
      <c r="T201" s="113"/>
      <c r="U201" s="113"/>
      <c r="V201" s="113"/>
      <c r="W201" s="113"/>
      <c r="X201" s="113"/>
      <c r="Y201" s="113"/>
      <c r="Z201" s="113"/>
      <c r="AA201" s="113"/>
      <c r="AB201" s="113"/>
      <c r="AC201" s="113"/>
      <c r="AD201" s="113"/>
      <c r="AE201" s="113"/>
      <c r="AF201" s="113"/>
      <c r="AG201" s="113"/>
      <c r="AH201" s="113"/>
      <c r="AI201" s="326" t="s">
        <v>1113</v>
      </c>
      <c r="AJ201" s="338"/>
      <c r="AK201" s="338"/>
      <c r="AL201" s="338"/>
      <c r="AM201" s="327" t="s">
        <v>5075</v>
      </c>
      <c r="AN201" s="233" t="str">
        <f>VLOOKUP(Table9[[#This Row],[Measure]],Table1025[[Value name]:[Value identifyer]],2,FALSE)</f>
        <v>R_System</v>
      </c>
      <c r="AO201" s="241" t="str">
        <f>VLOOKUP(Table9[[#This Row],[Country Code]],Table29[],3,FALSE)</f>
        <v>Non-Annex I</v>
      </c>
      <c r="AP201" s="241" t="str">
        <f>VLOOKUP(Table9[[#This Row],[Country Code]],Table29[],4,FALSE)</f>
        <v>Africa</v>
      </c>
      <c r="AQ201" s="241" t="str">
        <f>VLOOKUP(Table9[[#This Row],[Country Code]],Table29[],5,FALSE)</f>
        <v>Middle-income</v>
      </c>
      <c r="AR201" s="241" t="str">
        <f>VLOOKUP(Table9[[#This Row],[Country Code]],Table29[],6,FALSE)</f>
        <v>no</v>
      </c>
      <c r="AS201" s="241" t="str">
        <f>VLOOKUP(Table9[[#This Row],[Country Code]],Table29[],7,FALSE)</f>
        <v>no</v>
      </c>
      <c r="AT201" s="241" t="str">
        <f>VLOOKUP(Table9[[#This Row],[Country Code]],Table29[],8,FALSE)</f>
        <v>non-OECD</v>
      </c>
      <c r="AU201" s="233" t="str">
        <f>VLOOKUP(Table9[[#This Row],[Country Code]],Table29[],9,FALSE)</f>
        <v>no</v>
      </c>
      <c r="AV201" s="233" t="str">
        <f>VLOOKUP(Table9[[#This Row],[Country Code]],Table29[],10,FALSE)</f>
        <v>no</v>
      </c>
      <c r="AW201" s="233">
        <f>VLOOKUP(Table9[[#This Row],[Country Code]],Table29[],23,FALSE)</f>
        <v>12.885675050293001</v>
      </c>
      <c r="AX201" s="233">
        <f>VLOOKUP(Table9[[#This Row],[Country Code]],Table29[],24,FALSE)</f>
        <v>2.1850282301150679</v>
      </c>
      <c r="AY201" s="43"/>
    </row>
    <row r="202" spans="1:51" ht="30" x14ac:dyDescent="0.25">
      <c r="A202" s="367">
        <v>23760</v>
      </c>
      <c r="B202" s="233" t="str">
        <f>VLOOKUP(Table9[[#This Row],[Document ID]],Table1[],2,FALSE)</f>
        <v>NRU</v>
      </c>
      <c r="C202" s="233" t="str">
        <f>VLOOKUP(Table9[[#This Row],[Document ID]],Table1[],3,FALSE)</f>
        <v>Nauru</v>
      </c>
      <c r="D202" s="254" t="str">
        <f>VLOOKUP(Table9[[#This Row],[Document ID]],Table1[],5,FALSE)</f>
        <v>NDC</v>
      </c>
      <c r="E202" s="233" t="str">
        <f>VLOOKUP(Table9[[#This Row],[Document ID]],Table1[],7,FALSE)</f>
        <v>First NDC updated</v>
      </c>
      <c r="F202" s="241" t="str">
        <f>VLOOKUP(Table9[[#This Row],[Document ID]],Table1[],8,FALSE)</f>
        <v>NDC 1.1</v>
      </c>
      <c r="G202" s="241" t="str">
        <f>VLOOKUP(Table9[[#This Row],[Document ID]],Table1[],10,FALSE)</f>
        <v>Active</v>
      </c>
      <c r="H202" s="44" t="s">
        <v>5076</v>
      </c>
      <c r="I202" s="43" t="s">
        <v>5077</v>
      </c>
      <c r="J202" s="209" t="s">
        <v>5277</v>
      </c>
      <c r="K202" s="259">
        <v>16</v>
      </c>
      <c r="L202" s="219" t="s">
        <v>1113</v>
      </c>
      <c r="M202" s="219"/>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219" t="s">
        <v>1113</v>
      </c>
      <c r="AJ202" s="326"/>
      <c r="AK202" s="326"/>
      <c r="AL202" s="326"/>
      <c r="AM202" s="327" t="s">
        <v>5075</v>
      </c>
      <c r="AN202" s="233" t="str">
        <f>VLOOKUP(Table9[[#This Row],[Measure]],Table1025[[Value name]:[Value identifyer]],2,FALSE)</f>
        <v>R_Planning</v>
      </c>
      <c r="AO202" s="241" t="str">
        <f>VLOOKUP(Table9[[#This Row],[Country Code]],Table29[],3,FALSE)</f>
        <v>Non-Annex I</v>
      </c>
      <c r="AP202" s="241" t="str">
        <f>VLOOKUP(Table9[[#This Row],[Country Code]],Table29[],4,FALSE)</f>
        <v>Oceania</v>
      </c>
      <c r="AQ202" s="241" t="str">
        <f>VLOOKUP(Table9[[#This Row],[Country Code]],Table29[],5,FALSE)</f>
        <v>High-income</v>
      </c>
      <c r="AR202" s="241" t="str">
        <f>VLOOKUP(Table9[[#This Row],[Country Code]],Table29[],6,FALSE)</f>
        <v>no</v>
      </c>
      <c r="AS202" s="241" t="str">
        <f>VLOOKUP(Table9[[#This Row],[Country Code]],Table29[],7,FALSE)</f>
        <v>no</v>
      </c>
      <c r="AT202" s="241" t="str">
        <f>VLOOKUP(Table9[[#This Row],[Country Code]],Table29[],8,FALSE)</f>
        <v>non-OECD</v>
      </c>
      <c r="AU202" s="233" t="str">
        <f>VLOOKUP(Table9[[#This Row],[Country Code]],Table29[],9,FALSE)</f>
        <v>no</v>
      </c>
      <c r="AV202" s="233" t="str">
        <f>VLOOKUP(Table9[[#This Row],[Country Code]],Table29[],10,FALSE)</f>
        <v>no</v>
      </c>
      <c r="AW202" s="233">
        <f>VLOOKUP(Table9[[#This Row],[Country Code]],Table29[],23,FALSE)</f>
        <v>0</v>
      </c>
      <c r="AX202" s="233">
        <f>VLOOKUP(Table9[[#This Row],[Country Code]],Table29[],24,FALSE)</f>
        <v>0</v>
      </c>
      <c r="AY202" s="43"/>
    </row>
    <row r="203" spans="1:51" ht="39.75" customHeight="1" x14ac:dyDescent="0.25">
      <c r="A203" s="367">
        <v>23760</v>
      </c>
      <c r="B203" s="233" t="str">
        <f>VLOOKUP(Table9[[#This Row],[Document ID]],Table1[],2,FALSE)</f>
        <v>NRU</v>
      </c>
      <c r="C203" s="233" t="str">
        <f>VLOOKUP(Table9[[#This Row],[Document ID]],Table1[],3,FALSE)</f>
        <v>Nauru</v>
      </c>
      <c r="D203" s="254" t="str">
        <f>VLOOKUP(Table9[[#This Row],[Document ID]],Table1[],5,FALSE)</f>
        <v>NDC</v>
      </c>
      <c r="E203" s="233" t="str">
        <f>VLOOKUP(Table9[[#This Row],[Document ID]],Table1[],7,FALSE)</f>
        <v>First NDC updated</v>
      </c>
      <c r="F203" s="241" t="str">
        <f>VLOOKUP(Table9[[#This Row],[Document ID]],Table1[],8,FALSE)</f>
        <v>NDC 1.1</v>
      </c>
      <c r="G203" s="241" t="str">
        <f>VLOOKUP(Table9[[#This Row],[Document ID]],Table1[],10,FALSE)</f>
        <v>Active</v>
      </c>
      <c r="H203" s="44" t="s">
        <v>5072</v>
      </c>
      <c r="I203" s="43" t="s">
        <v>5073</v>
      </c>
      <c r="J203" s="209" t="s">
        <v>5278</v>
      </c>
      <c r="K203" s="259">
        <v>18</v>
      </c>
      <c r="L203" s="219"/>
      <c r="M203" s="219"/>
      <c r="N203" s="113"/>
      <c r="O203" s="113"/>
      <c r="P203" s="113"/>
      <c r="Q203" s="113"/>
      <c r="R203" s="113"/>
      <c r="S203" s="113"/>
      <c r="T203" s="113"/>
      <c r="U203" s="113"/>
      <c r="V203" s="113"/>
      <c r="W203" s="113"/>
      <c r="X203" s="113"/>
      <c r="Y203" s="113"/>
      <c r="Z203" s="113"/>
      <c r="AA203" s="113"/>
      <c r="AB203" s="113"/>
      <c r="AC203" s="113"/>
      <c r="AD203" s="113"/>
      <c r="AE203" s="113"/>
      <c r="AF203" s="113" t="s">
        <v>1113</v>
      </c>
      <c r="AG203" s="113"/>
      <c r="AH203" s="113"/>
      <c r="AI203" s="219" t="s">
        <v>1113</v>
      </c>
      <c r="AJ203" s="326"/>
      <c r="AK203" s="326"/>
      <c r="AL203" s="326"/>
      <c r="AM203" s="327" t="s">
        <v>5075</v>
      </c>
      <c r="AN203" s="233" t="str">
        <f>VLOOKUP(Table9[[#This Row],[Measure]],Table1025[[Value name]:[Value identifyer]],2,FALSE)</f>
        <v>R_System</v>
      </c>
      <c r="AO203" s="241" t="str">
        <f>VLOOKUP(Table9[[#This Row],[Country Code]],Table29[],3,FALSE)</f>
        <v>Non-Annex I</v>
      </c>
      <c r="AP203" s="241" t="str">
        <f>VLOOKUP(Table9[[#This Row],[Country Code]],Table29[],4,FALSE)</f>
        <v>Oceania</v>
      </c>
      <c r="AQ203" s="241" t="str">
        <f>VLOOKUP(Table9[[#This Row],[Country Code]],Table29[],5,FALSE)</f>
        <v>High-income</v>
      </c>
      <c r="AR203" s="241" t="str">
        <f>VLOOKUP(Table9[[#This Row],[Country Code]],Table29[],6,FALSE)</f>
        <v>no</v>
      </c>
      <c r="AS203" s="241" t="str">
        <f>VLOOKUP(Table9[[#This Row],[Country Code]],Table29[],7,FALSE)</f>
        <v>no</v>
      </c>
      <c r="AT203" s="241" t="str">
        <f>VLOOKUP(Table9[[#This Row],[Country Code]],Table29[],8,FALSE)</f>
        <v>non-OECD</v>
      </c>
      <c r="AU203" s="233" t="str">
        <f>VLOOKUP(Table9[[#This Row],[Country Code]],Table29[],9,FALSE)</f>
        <v>no</v>
      </c>
      <c r="AV203" s="233" t="str">
        <f>VLOOKUP(Table9[[#This Row],[Country Code]],Table29[],10,FALSE)</f>
        <v>no</v>
      </c>
      <c r="AW203" s="233">
        <f>VLOOKUP(Table9[[#This Row],[Country Code]],Table29[],23,FALSE)</f>
        <v>0</v>
      </c>
      <c r="AX203" s="233">
        <f>VLOOKUP(Table9[[#This Row],[Country Code]],Table29[],24,FALSE)</f>
        <v>0</v>
      </c>
      <c r="AY203" s="43"/>
    </row>
    <row r="204" spans="1:51" ht="105" x14ac:dyDescent="0.25">
      <c r="A204" s="367">
        <v>23760</v>
      </c>
      <c r="B204" s="233" t="str">
        <f>VLOOKUP(Table9[[#This Row],[Document ID]],Table1[],2,FALSE)</f>
        <v>NRU</v>
      </c>
      <c r="C204" s="233" t="str">
        <f>VLOOKUP(Table9[[#This Row],[Document ID]],Table1[],3,FALSE)</f>
        <v>Nauru</v>
      </c>
      <c r="D204" s="254" t="str">
        <f>VLOOKUP(Table9[[#This Row],[Document ID]],Table1[],5,FALSE)</f>
        <v>NDC</v>
      </c>
      <c r="E204" s="233" t="str">
        <f>VLOOKUP(Table9[[#This Row],[Document ID]],Table1[],7,FALSE)</f>
        <v>First NDC updated</v>
      </c>
      <c r="F204" s="241" t="str">
        <f>VLOOKUP(Table9[[#This Row],[Document ID]],Table1[],8,FALSE)</f>
        <v>NDC 1.1</v>
      </c>
      <c r="G204" s="241" t="str">
        <f>VLOOKUP(Table9[[#This Row],[Document ID]],Table1[],10,FALSE)</f>
        <v>Active</v>
      </c>
      <c r="H204" s="44" t="s">
        <v>5072</v>
      </c>
      <c r="I204" s="43" t="s">
        <v>5073</v>
      </c>
      <c r="J204" s="209" t="s">
        <v>5279</v>
      </c>
      <c r="K204" s="259">
        <v>19</v>
      </c>
      <c r="L204" s="219"/>
      <c r="M204" s="219"/>
      <c r="N204" s="113"/>
      <c r="O204" s="113"/>
      <c r="P204" s="113"/>
      <c r="Q204" s="113"/>
      <c r="R204" s="113"/>
      <c r="S204" s="113"/>
      <c r="T204" s="113"/>
      <c r="U204" s="113"/>
      <c r="V204" s="113"/>
      <c r="W204" s="113"/>
      <c r="X204" s="113"/>
      <c r="Y204" s="113"/>
      <c r="Z204" s="113"/>
      <c r="AA204" s="113"/>
      <c r="AB204" s="113" t="s">
        <v>1113</v>
      </c>
      <c r="AC204" s="113"/>
      <c r="AD204" s="113"/>
      <c r="AE204" s="113"/>
      <c r="AF204" s="113"/>
      <c r="AG204" s="113"/>
      <c r="AH204" s="113"/>
      <c r="AI204" s="219" t="s">
        <v>1113</v>
      </c>
      <c r="AJ204" s="326"/>
      <c r="AK204" s="326"/>
      <c r="AL204" s="326"/>
      <c r="AM204" s="327" t="s">
        <v>5215</v>
      </c>
      <c r="AN204" s="233" t="str">
        <f>VLOOKUP(Table9[[#This Row],[Measure]],Table1025[[Value name]:[Value identifyer]],2,FALSE)</f>
        <v>R_System</v>
      </c>
      <c r="AO204" s="241" t="str">
        <f>VLOOKUP(Table9[[#This Row],[Country Code]],Table29[],3,FALSE)</f>
        <v>Non-Annex I</v>
      </c>
      <c r="AP204" s="241" t="str">
        <f>VLOOKUP(Table9[[#This Row],[Country Code]],Table29[],4,FALSE)</f>
        <v>Oceania</v>
      </c>
      <c r="AQ204" s="241" t="str">
        <f>VLOOKUP(Table9[[#This Row],[Country Code]],Table29[],5,FALSE)</f>
        <v>High-income</v>
      </c>
      <c r="AR204" s="241" t="str">
        <f>VLOOKUP(Table9[[#This Row],[Country Code]],Table29[],6,FALSE)</f>
        <v>no</v>
      </c>
      <c r="AS204" s="241" t="str">
        <f>VLOOKUP(Table9[[#This Row],[Country Code]],Table29[],7,FALSE)</f>
        <v>no</v>
      </c>
      <c r="AT204" s="241" t="str">
        <f>VLOOKUP(Table9[[#This Row],[Country Code]],Table29[],8,FALSE)</f>
        <v>non-OECD</v>
      </c>
      <c r="AU204" s="233" t="str">
        <f>VLOOKUP(Table9[[#This Row],[Country Code]],Table29[],9,FALSE)</f>
        <v>no</v>
      </c>
      <c r="AV204" s="233" t="str">
        <f>VLOOKUP(Table9[[#This Row],[Country Code]],Table29[],10,FALSE)</f>
        <v>no</v>
      </c>
      <c r="AW204" s="233">
        <f>VLOOKUP(Table9[[#This Row],[Country Code]],Table29[],23,FALSE)</f>
        <v>0</v>
      </c>
      <c r="AX204" s="233">
        <f>VLOOKUP(Table9[[#This Row],[Country Code]],Table29[],24,FALSE)</f>
        <v>0</v>
      </c>
      <c r="AY204" s="43"/>
    </row>
    <row r="205" spans="1:51" ht="75" x14ac:dyDescent="0.25">
      <c r="A205" s="360">
        <v>17682</v>
      </c>
      <c r="B205" s="233" t="str">
        <f>VLOOKUP(Table9[[#This Row],[Document ID]],Table1[],2,FALSE)</f>
        <v>NIC</v>
      </c>
      <c r="C205" s="233" t="str">
        <f>VLOOKUP(Table9[[#This Row],[Document ID]],Table1[],3,FALSE)</f>
        <v>Nicaragua</v>
      </c>
      <c r="D205" s="233" t="str">
        <f>VLOOKUP(Table9[[#This Row],[Document ID]],Table1[],5,FALSE)</f>
        <v>NDC</v>
      </c>
      <c r="E205" s="233" t="str">
        <f>VLOOKUP(Table9[[#This Row],[Document ID]],Table1[],7,FALSE)</f>
        <v>First NDC updated</v>
      </c>
      <c r="F205" s="233" t="str">
        <f>VLOOKUP(Table9[[#This Row],[Document ID]],Table1[],8,FALSE)</f>
        <v>NDC 1.1</v>
      </c>
      <c r="G205" s="233" t="str">
        <f>VLOOKUP(Table9[[#This Row],[Document ID]],Table1[],10,FALSE)</f>
        <v>Active</v>
      </c>
      <c r="H205" s="44" t="s">
        <v>5072</v>
      </c>
      <c r="I205" s="43" t="s">
        <v>5073</v>
      </c>
      <c r="J205" s="44" t="s">
        <v>5280</v>
      </c>
      <c r="K205" s="221">
        <v>19</v>
      </c>
      <c r="L205" s="113"/>
      <c r="M205" s="113"/>
      <c r="N205" s="113"/>
      <c r="O205" s="113"/>
      <c r="P205" s="113"/>
      <c r="Q205" s="113" t="s">
        <v>1113</v>
      </c>
      <c r="R205" s="113"/>
      <c r="S205" s="113"/>
      <c r="T205" s="113"/>
      <c r="U205" s="113"/>
      <c r="V205" s="113"/>
      <c r="W205" s="113"/>
      <c r="X205" s="113"/>
      <c r="Y205" s="113"/>
      <c r="Z205" s="113"/>
      <c r="AA205" s="113"/>
      <c r="AB205" s="113"/>
      <c r="AC205" s="113"/>
      <c r="AD205" s="113"/>
      <c r="AE205" s="113"/>
      <c r="AF205" s="113"/>
      <c r="AG205" s="113"/>
      <c r="AH205" s="113"/>
      <c r="AI205" s="113" t="s">
        <v>1113</v>
      </c>
      <c r="AJ205" s="113"/>
      <c r="AK205" s="113"/>
      <c r="AL205" s="113"/>
      <c r="AM205" s="43" t="s">
        <v>5075</v>
      </c>
      <c r="AN205" s="233" t="str">
        <f>VLOOKUP(Table9[[#This Row],[Measure]],Table1025[[Value name]:[Value identifyer]],2,FALSE)</f>
        <v>R_System</v>
      </c>
      <c r="AO205" s="241" t="str">
        <f>VLOOKUP(Table9[[#This Row],[Country Code]],Table29[],3,FALSE)</f>
        <v>Non-Annex I</v>
      </c>
      <c r="AP205" s="241" t="str">
        <f>VLOOKUP(Table9[[#This Row],[Country Code]],Table29[],4,FALSE)</f>
        <v>Latin America and the Caribbean</v>
      </c>
      <c r="AQ205" s="241" t="str">
        <f>VLOOKUP(Table9[[#This Row],[Country Code]],Table29[],5,FALSE)</f>
        <v>Middle-income</v>
      </c>
      <c r="AR205" s="241" t="str">
        <f>VLOOKUP(Table9[[#This Row],[Country Code]],Table29[],6,FALSE)</f>
        <v>no</v>
      </c>
      <c r="AS205" s="241" t="str">
        <f>VLOOKUP(Table9[[#This Row],[Country Code]],Table29[],7,FALSE)</f>
        <v>no</v>
      </c>
      <c r="AT205" s="241" t="str">
        <f>VLOOKUP(Table9[[#This Row],[Country Code]],Table29[],8,FALSE)</f>
        <v>non-OECD</v>
      </c>
      <c r="AU205" s="233" t="str">
        <f>VLOOKUP(Table9[[#This Row],[Country Code]],Table29[],9,FALSE)</f>
        <v>no</v>
      </c>
      <c r="AV205" s="233" t="str">
        <f>VLOOKUP(Table9[[#This Row],[Country Code]],Table29[],10,FALSE)</f>
        <v>no</v>
      </c>
      <c r="AW205" s="233">
        <f>VLOOKUP(Table9[[#This Row],[Country Code]],Table29[],23,FALSE)</f>
        <v>20.628271187746002</v>
      </c>
      <c r="AX205" s="233">
        <f>VLOOKUP(Table9[[#This Row],[Country Code]],Table29[],24,FALSE)</f>
        <v>2.7684154135495191</v>
      </c>
      <c r="AY205" s="43"/>
    </row>
    <row r="206" spans="1:51" ht="30" x14ac:dyDescent="0.25">
      <c r="A206" s="360">
        <v>17682</v>
      </c>
      <c r="B206" s="233" t="str">
        <f>VLOOKUP(Table9[[#This Row],[Document ID]],Table1[],2,FALSE)</f>
        <v>NIC</v>
      </c>
      <c r="C206" s="233" t="str">
        <f>VLOOKUP(Table9[[#This Row],[Document ID]],Table1[],3,FALSE)</f>
        <v>Nicaragua</v>
      </c>
      <c r="D206" s="233" t="str">
        <f>VLOOKUP(Table9[[#This Row],[Document ID]],Table1[],5,FALSE)</f>
        <v>NDC</v>
      </c>
      <c r="E206" s="233" t="str">
        <f>VLOOKUP(Table9[[#This Row],[Document ID]],Table1[],7,FALSE)</f>
        <v>First NDC updated</v>
      </c>
      <c r="F206" s="233" t="str">
        <f>VLOOKUP(Table9[[#This Row],[Document ID]],Table1[],8,FALSE)</f>
        <v>NDC 1.1</v>
      </c>
      <c r="G206" s="233" t="str">
        <f>VLOOKUP(Table9[[#This Row],[Document ID]],Table1[],10,FALSE)</f>
        <v>Active</v>
      </c>
      <c r="H206" s="44" t="s">
        <v>5076</v>
      </c>
      <c r="I206" s="43" t="s">
        <v>5077</v>
      </c>
      <c r="J206" s="209" t="s">
        <v>5281</v>
      </c>
      <c r="K206" s="259">
        <v>19</v>
      </c>
      <c r="L206" s="219" t="s">
        <v>1113</v>
      </c>
      <c r="M206" s="219"/>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219" t="s">
        <v>1113</v>
      </c>
      <c r="AJ206" s="326"/>
      <c r="AK206" s="326"/>
      <c r="AL206" s="326"/>
      <c r="AM206" s="43" t="s">
        <v>5075</v>
      </c>
      <c r="AN206" s="233" t="str">
        <f>VLOOKUP(Table9[[#This Row],[Measure]],Table1025[[Value name]:[Value identifyer]],2,FALSE)</f>
        <v>R_Planning</v>
      </c>
      <c r="AO206" s="241" t="str">
        <f>VLOOKUP(Table9[[#This Row],[Country Code]],Table29[],3,FALSE)</f>
        <v>Non-Annex I</v>
      </c>
      <c r="AP206" s="241" t="str">
        <f>VLOOKUP(Table9[[#This Row],[Country Code]],Table29[],4,FALSE)</f>
        <v>Latin America and the Caribbean</v>
      </c>
      <c r="AQ206" s="241" t="str">
        <f>VLOOKUP(Table9[[#This Row],[Country Code]],Table29[],5,FALSE)</f>
        <v>Middle-income</v>
      </c>
      <c r="AR206" s="241" t="str">
        <f>VLOOKUP(Table9[[#This Row],[Country Code]],Table29[],6,FALSE)</f>
        <v>no</v>
      </c>
      <c r="AS206" s="241" t="str">
        <f>VLOOKUP(Table9[[#This Row],[Country Code]],Table29[],7,FALSE)</f>
        <v>no</v>
      </c>
      <c r="AT206" s="241" t="str">
        <f>VLOOKUP(Table9[[#This Row],[Country Code]],Table29[],8,FALSE)</f>
        <v>non-OECD</v>
      </c>
      <c r="AU206" s="233" t="str">
        <f>VLOOKUP(Table9[[#This Row],[Country Code]],Table29[],9,FALSE)</f>
        <v>no</v>
      </c>
      <c r="AV206" s="233" t="str">
        <f>VLOOKUP(Table9[[#This Row],[Country Code]],Table29[],10,FALSE)</f>
        <v>no</v>
      </c>
      <c r="AW206" s="233">
        <f>VLOOKUP(Table9[[#This Row],[Country Code]],Table29[],23,FALSE)</f>
        <v>20.628271187746002</v>
      </c>
      <c r="AX206" s="233">
        <f>VLOOKUP(Table9[[#This Row],[Country Code]],Table29[],24,FALSE)</f>
        <v>2.7684154135495191</v>
      </c>
      <c r="AY206" s="43"/>
    </row>
    <row r="207" spans="1:51" ht="45" x14ac:dyDescent="0.25">
      <c r="A207" s="360">
        <v>17682</v>
      </c>
      <c r="B207" s="233" t="str">
        <f>VLOOKUP(Table9[[#This Row],[Document ID]],Table1[],2,FALSE)</f>
        <v>NIC</v>
      </c>
      <c r="C207" s="233" t="str">
        <f>VLOOKUP(Table9[[#This Row],[Document ID]],Table1[],3,FALSE)</f>
        <v>Nicaragua</v>
      </c>
      <c r="D207" s="233" t="str">
        <f>VLOOKUP(Table9[[#This Row],[Document ID]],Table1[],5,FALSE)</f>
        <v>NDC</v>
      </c>
      <c r="E207" s="233" t="str">
        <f>VLOOKUP(Table9[[#This Row],[Document ID]],Table1[],7,FALSE)</f>
        <v>First NDC updated</v>
      </c>
      <c r="F207" s="233" t="str">
        <f>VLOOKUP(Table9[[#This Row],[Document ID]],Table1[],8,FALSE)</f>
        <v>NDC 1.1</v>
      </c>
      <c r="G207" s="233" t="str">
        <f>VLOOKUP(Table9[[#This Row],[Document ID]],Table1[],10,FALSE)</f>
        <v>Active</v>
      </c>
      <c r="H207" s="44" t="s">
        <v>5072</v>
      </c>
      <c r="I207" s="43" t="s">
        <v>5073</v>
      </c>
      <c r="J207" s="44" t="s">
        <v>5282</v>
      </c>
      <c r="K207" s="221">
        <v>27</v>
      </c>
      <c r="L207" s="113"/>
      <c r="M207" s="113"/>
      <c r="N207" s="113"/>
      <c r="O207" s="113"/>
      <c r="P207" s="113"/>
      <c r="Q207" s="113" t="s">
        <v>1113</v>
      </c>
      <c r="R207" s="113"/>
      <c r="S207" s="113"/>
      <c r="T207" s="113"/>
      <c r="U207" s="113"/>
      <c r="V207" s="113"/>
      <c r="W207" s="113"/>
      <c r="X207" s="113"/>
      <c r="Y207" s="113"/>
      <c r="Z207" s="113"/>
      <c r="AA207" s="113"/>
      <c r="AB207" s="113"/>
      <c r="AC207" s="113"/>
      <c r="AD207" s="113"/>
      <c r="AE207" s="113"/>
      <c r="AF207" s="113"/>
      <c r="AG207" s="113"/>
      <c r="AH207" s="113"/>
      <c r="AI207" s="113"/>
      <c r="AJ207" s="113" t="s">
        <v>1113</v>
      </c>
      <c r="AK207" s="113"/>
      <c r="AL207" s="113"/>
      <c r="AM207" s="43" t="s">
        <v>5075</v>
      </c>
      <c r="AN207" s="233" t="str">
        <f>VLOOKUP(Table9[[#This Row],[Measure]],Table1025[[Value name]:[Value identifyer]],2,FALSE)</f>
        <v>R_System</v>
      </c>
      <c r="AO207" s="241" t="str">
        <f>VLOOKUP(Table9[[#This Row],[Country Code]],Table29[],3,FALSE)</f>
        <v>Non-Annex I</v>
      </c>
      <c r="AP207" s="241" t="str">
        <f>VLOOKUP(Table9[[#This Row],[Country Code]],Table29[],4,FALSE)</f>
        <v>Latin America and the Caribbean</v>
      </c>
      <c r="AQ207" s="241" t="str">
        <f>VLOOKUP(Table9[[#This Row],[Country Code]],Table29[],5,FALSE)</f>
        <v>Middle-income</v>
      </c>
      <c r="AR207" s="241" t="str">
        <f>VLOOKUP(Table9[[#This Row],[Country Code]],Table29[],6,FALSE)</f>
        <v>no</v>
      </c>
      <c r="AS207" s="241" t="str">
        <f>VLOOKUP(Table9[[#This Row],[Country Code]],Table29[],7,FALSE)</f>
        <v>no</v>
      </c>
      <c r="AT207" s="241" t="str">
        <f>VLOOKUP(Table9[[#This Row],[Country Code]],Table29[],8,FALSE)</f>
        <v>non-OECD</v>
      </c>
      <c r="AU207" s="233" t="str">
        <f>VLOOKUP(Table9[[#This Row],[Country Code]],Table29[],9,FALSE)</f>
        <v>no</v>
      </c>
      <c r="AV207" s="233" t="str">
        <f>VLOOKUP(Table9[[#This Row],[Country Code]],Table29[],10,FALSE)</f>
        <v>no</v>
      </c>
      <c r="AW207" s="233">
        <f>VLOOKUP(Table9[[#This Row],[Country Code]],Table29[],23,FALSE)</f>
        <v>20.628271187746002</v>
      </c>
      <c r="AX207" s="233">
        <f>VLOOKUP(Table9[[#This Row],[Country Code]],Table29[],24,FALSE)</f>
        <v>2.7684154135495191</v>
      </c>
      <c r="AY207" s="43"/>
    </row>
    <row r="208" spans="1:51" ht="30" x14ac:dyDescent="0.25">
      <c r="A208" s="367">
        <v>17684</v>
      </c>
      <c r="B208" s="233" t="str">
        <f>VLOOKUP(Table9[[#This Row],[Document ID]],Table1[],2,FALSE)</f>
        <v>NGA</v>
      </c>
      <c r="C208" s="233" t="str">
        <f>VLOOKUP(Table9[[#This Row],[Document ID]],Table1[],3,FALSE)</f>
        <v>Nigeria</v>
      </c>
      <c r="D208" s="328" t="str">
        <f>VLOOKUP(Table9[[#This Row],[Document ID]],Table1[],5,FALSE)</f>
        <v>NDC</v>
      </c>
      <c r="E208" s="233" t="str">
        <f>VLOOKUP(Table9[[#This Row],[Document ID]],Table1[],7,FALSE)</f>
        <v>First NDC</v>
      </c>
      <c r="F208" s="328" t="str">
        <f>VLOOKUP(Table9[[#This Row],[Document ID]],Table1[],8,FALSE)</f>
        <v>NDC 1.0</v>
      </c>
      <c r="G208" s="328" t="str">
        <f>VLOOKUP(Table9[[#This Row],[Document ID]],Table1[],10,FALSE)</f>
        <v>Archived</v>
      </c>
      <c r="H208" s="44" t="s">
        <v>5076</v>
      </c>
      <c r="I208" s="43" t="s">
        <v>5089</v>
      </c>
      <c r="J208" s="209" t="s">
        <v>5283</v>
      </c>
      <c r="K208" s="257" t="s">
        <v>5081</v>
      </c>
      <c r="L208" s="326" t="s">
        <v>1113</v>
      </c>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c r="AI208" s="326" t="s">
        <v>1113</v>
      </c>
      <c r="AJ208" s="326"/>
      <c r="AK208" s="326"/>
      <c r="AL208" s="326"/>
      <c r="AM208" s="327" t="s">
        <v>5075</v>
      </c>
      <c r="AN208" s="233" t="str">
        <f>VLOOKUP(Table9[[#This Row],[Measure]],Table1025[[Value name]:[Value identifyer]],2,FALSE)</f>
        <v>R_Design</v>
      </c>
      <c r="AO208" s="241" t="str">
        <f>VLOOKUP(Table9[[#This Row],[Country Code]],Table29[],3,FALSE)</f>
        <v>Non-Annex I</v>
      </c>
      <c r="AP208" s="241" t="str">
        <f>VLOOKUP(Table9[[#This Row],[Country Code]],Table29[],4,FALSE)</f>
        <v>Africa</v>
      </c>
      <c r="AQ208" s="241" t="str">
        <f>VLOOKUP(Table9[[#This Row],[Country Code]],Table29[],5,FALSE)</f>
        <v>Middle-income</v>
      </c>
      <c r="AR208" s="241" t="str">
        <f>VLOOKUP(Table9[[#This Row],[Country Code]],Table29[],6,FALSE)</f>
        <v>no</v>
      </c>
      <c r="AS208" s="241" t="str">
        <f>VLOOKUP(Table9[[#This Row],[Country Code]],Table29[],7,FALSE)</f>
        <v>no</v>
      </c>
      <c r="AT208" s="241" t="str">
        <f>VLOOKUP(Table9[[#This Row],[Country Code]],Table29[],8,FALSE)</f>
        <v>non-OECD</v>
      </c>
      <c r="AU208" s="233" t="str">
        <f>VLOOKUP(Table9[[#This Row],[Country Code]],Table29[],9,FALSE)</f>
        <v>no</v>
      </c>
      <c r="AV208" s="233" t="str">
        <f>VLOOKUP(Table9[[#This Row],[Country Code]],Table29[],10,FALSE)</f>
        <v>no</v>
      </c>
      <c r="AW208" s="233">
        <f>VLOOKUP(Table9[[#This Row],[Country Code]],Table29[],23,FALSE)</f>
        <v>385.11288377147002</v>
      </c>
      <c r="AX208" s="233">
        <f>VLOOKUP(Table9[[#This Row],[Country Code]],Table29[],24,FALSE)</f>
        <v>58.971195919965467</v>
      </c>
      <c r="AY208" s="43"/>
    </row>
    <row r="209" spans="1:51" ht="30" x14ac:dyDescent="0.25">
      <c r="A209" s="367">
        <v>17684</v>
      </c>
      <c r="B209" s="233" t="str">
        <f>VLOOKUP(Table9[[#This Row],[Document ID]],Table1[],2,FALSE)</f>
        <v>NGA</v>
      </c>
      <c r="C209" s="233" t="str">
        <f>VLOOKUP(Table9[[#This Row],[Document ID]],Table1[],3,FALSE)</f>
        <v>Nigeria</v>
      </c>
      <c r="D209" s="328" t="str">
        <f>VLOOKUP(Table9[[#This Row],[Document ID]],Table1[],5,FALSE)</f>
        <v>NDC</v>
      </c>
      <c r="E209" s="233" t="str">
        <f>VLOOKUP(Table9[[#This Row],[Document ID]],Table1[],7,FALSE)</f>
        <v>First NDC</v>
      </c>
      <c r="F209" s="328" t="str">
        <f>VLOOKUP(Table9[[#This Row],[Document ID]],Table1[],8,FALSE)</f>
        <v>NDC 1.0</v>
      </c>
      <c r="G209" s="328" t="str">
        <f>VLOOKUP(Table9[[#This Row],[Document ID]],Table1[],10,FALSE)</f>
        <v>Archived</v>
      </c>
      <c r="H209" s="44" t="s">
        <v>5072</v>
      </c>
      <c r="I209" s="43" t="s">
        <v>5073</v>
      </c>
      <c r="J209" s="209" t="s">
        <v>5284</v>
      </c>
      <c r="K209" s="257" t="s">
        <v>5081</v>
      </c>
      <c r="L209" s="326" t="s">
        <v>1113</v>
      </c>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c r="AI209" s="326" t="s">
        <v>1113</v>
      </c>
      <c r="AJ209" s="326"/>
      <c r="AK209" s="326"/>
      <c r="AL209" s="326"/>
      <c r="AM209" s="327" t="s">
        <v>5075</v>
      </c>
      <c r="AN209" s="233" t="str">
        <f>VLOOKUP(Table9[[#This Row],[Measure]],Table1025[[Value name]:[Value identifyer]],2,FALSE)</f>
        <v>R_System</v>
      </c>
      <c r="AO209" s="241" t="str">
        <f>VLOOKUP(Table9[[#This Row],[Country Code]],Table29[],3,FALSE)</f>
        <v>Non-Annex I</v>
      </c>
      <c r="AP209" s="241" t="str">
        <f>VLOOKUP(Table9[[#This Row],[Country Code]],Table29[],4,FALSE)</f>
        <v>Africa</v>
      </c>
      <c r="AQ209" s="241" t="str">
        <f>VLOOKUP(Table9[[#This Row],[Country Code]],Table29[],5,FALSE)</f>
        <v>Middle-income</v>
      </c>
      <c r="AR209" s="241" t="str">
        <f>VLOOKUP(Table9[[#This Row],[Country Code]],Table29[],6,FALSE)</f>
        <v>no</v>
      </c>
      <c r="AS209" s="241" t="str">
        <f>VLOOKUP(Table9[[#This Row],[Country Code]],Table29[],7,FALSE)</f>
        <v>no</v>
      </c>
      <c r="AT209" s="241" t="str">
        <f>VLOOKUP(Table9[[#This Row],[Country Code]],Table29[],8,FALSE)</f>
        <v>non-OECD</v>
      </c>
      <c r="AU209" s="233" t="str">
        <f>VLOOKUP(Table9[[#This Row],[Country Code]],Table29[],9,FALSE)</f>
        <v>no</v>
      </c>
      <c r="AV209" s="233" t="str">
        <f>VLOOKUP(Table9[[#This Row],[Country Code]],Table29[],10,FALSE)</f>
        <v>no</v>
      </c>
      <c r="AW209" s="233">
        <f>VLOOKUP(Table9[[#This Row],[Country Code]],Table29[],23,FALSE)</f>
        <v>385.11288377147002</v>
      </c>
      <c r="AX209" s="233">
        <f>VLOOKUP(Table9[[#This Row],[Country Code]],Table29[],24,FALSE)</f>
        <v>58.971195919965467</v>
      </c>
      <c r="AY209" s="43"/>
    </row>
    <row r="210" spans="1:51" ht="45" x14ac:dyDescent="0.25">
      <c r="A210" s="367">
        <v>17684</v>
      </c>
      <c r="B210" s="233" t="str">
        <f>VLOOKUP(Table9[[#This Row],[Document ID]],Table1[],2,FALSE)</f>
        <v>NGA</v>
      </c>
      <c r="C210" s="233" t="str">
        <f>VLOOKUP(Table9[[#This Row],[Document ID]],Table1[],3,FALSE)</f>
        <v>Nigeria</v>
      </c>
      <c r="D210" s="328" t="str">
        <f>VLOOKUP(Table9[[#This Row],[Document ID]],Table1[],5,FALSE)</f>
        <v>NDC</v>
      </c>
      <c r="E210" s="233" t="str">
        <f>VLOOKUP(Table9[[#This Row],[Document ID]],Table1[],7,FALSE)</f>
        <v>First NDC</v>
      </c>
      <c r="F210" s="328" t="str">
        <f>VLOOKUP(Table9[[#This Row],[Document ID]],Table1[],8,FALSE)</f>
        <v>NDC 1.0</v>
      </c>
      <c r="G210" s="328" t="str">
        <f>VLOOKUP(Table9[[#This Row],[Document ID]],Table1[],10,FALSE)</f>
        <v>Archived</v>
      </c>
      <c r="H210" s="44" t="s">
        <v>5072</v>
      </c>
      <c r="I210" s="43" t="s">
        <v>5073</v>
      </c>
      <c r="J210" s="209" t="s">
        <v>5285</v>
      </c>
      <c r="K210" s="257" t="s">
        <v>5081</v>
      </c>
      <c r="L210" s="326" t="s">
        <v>1113</v>
      </c>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c r="AI210" s="326" t="s">
        <v>1113</v>
      </c>
      <c r="AJ210" s="326"/>
      <c r="AK210" s="326"/>
      <c r="AL210" s="326"/>
      <c r="AM210" s="327" t="s">
        <v>5075</v>
      </c>
      <c r="AN210" s="233" t="str">
        <f>VLOOKUP(Table9[[#This Row],[Measure]],Table1025[[Value name]:[Value identifyer]],2,FALSE)</f>
        <v>R_System</v>
      </c>
      <c r="AO210" s="241" t="str">
        <f>VLOOKUP(Table9[[#This Row],[Country Code]],Table29[],3,FALSE)</f>
        <v>Non-Annex I</v>
      </c>
      <c r="AP210" s="241" t="str">
        <f>VLOOKUP(Table9[[#This Row],[Country Code]],Table29[],4,FALSE)</f>
        <v>Africa</v>
      </c>
      <c r="AQ210" s="241" t="str">
        <f>VLOOKUP(Table9[[#This Row],[Country Code]],Table29[],5,FALSE)</f>
        <v>Middle-income</v>
      </c>
      <c r="AR210" s="241" t="str">
        <f>VLOOKUP(Table9[[#This Row],[Country Code]],Table29[],6,FALSE)</f>
        <v>no</v>
      </c>
      <c r="AS210" s="241" t="str">
        <f>VLOOKUP(Table9[[#This Row],[Country Code]],Table29[],7,FALSE)</f>
        <v>no</v>
      </c>
      <c r="AT210" s="241" t="str">
        <f>VLOOKUP(Table9[[#This Row],[Country Code]],Table29[],8,FALSE)</f>
        <v>non-OECD</v>
      </c>
      <c r="AU210" s="233" t="str">
        <f>VLOOKUP(Table9[[#This Row],[Country Code]],Table29[],9,FALSE)</f>
        <v>no</v>
      </c>
      <c r="AV210" s="233" t="str">
        <f>VLOOKUP(Table9[[#This Row],[Country Code]],Table29[],10,FALSE)</f>
        <v>no</v>
      </c>
      <c r="AW210" s="233">
        <f>VLOOKUP(Table9[[#This Row],[Country Code]],Table29[],23,FALSE)</f>
        <v>385.11288377147002</v>
      </c>
      <c r="AX210" s="233">
        <f>VLOOKUP(Table9[[#This Row],[Country Code]],Table29[],24,FALSE)</f>
        <v>58.971195919965467</v>
      </c>
      <c r="AY210" s="43"/>
    </row>
    <row r="211" spans="1:51" ht="30" x14ac:dyDescent="0.25">
      <c r="A211" s="367">
        <v>17684</v>
      </c>
      <c r="B211" s="233" t="str">
        <f>VLOOKUP(Table9[[#This Row],[Document ID]],Table1[],2,FALSE)</f>
        <v>NGA</v>
      </c>
      <c r="C211" s="233" t="str">
        <f>VLOOKUP(Table9[[#This Row],[Document ID]],Table1[],3,FALSE)</f>
        <v>Nigeria</v>
      </c>
      <c r="D211" s="328" t="str">
        <f>VLOOKUP(Table9[[#This Row],[Document ID]],Table1[],5,FALSE)</f>
        <v>NDC</v>
      </c>
      <c r="E211" s="233" t="str">
        <f>VLOOKUP(Table9[[#This Row],[Document ID]],Table1[],7,FALSE)</f>
        <v>First NDC</v>
      </c>
      <c r="F211" s="328" t="str">
        <f>VLOOKUP(Table9[[#This Row],[Document ID]],Table1[],8,FALSE)</f>
        <v>NDC 1.0</v>
      </c>
      <c r="G211" s="328" t="str">
        <f>VLOOKUP(Table9[[#This Row],[Document ID]],Table1[],10,FALSE)</f>
        <v>Archived</v>
      </c>
      <c r="H211" s="44" t="s">
        <v>5072</v>
      </c>
      <c r="I211" s="43" t="s">
        <v>5082</v>
      </c>
      <c r="J211" s="209" t="s">
        <v>5286</v>
      </c>
      <c r="K211" s="257" t="s">
        <v>5081</v>
      </c>
      <c r="L211" s="326" t="s">
        <v>1113</v>
      </c>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t="s">
        <v>1113</v>
      </c>
      <c r="AJ211" s="326"/>
      <c r="AK211" s="326"/>
      <c r="AL211" s="326"/>
      <c r="AM211" s="327" t="s">
        <v>5075</v>
      </c>
      <c r="AN211" s="233" t="str">
        <f>VLOOKUP(Table9[[#This Row],[Measure]],Table1025[[Value name]:[Value identifyer]],2,FALSE)</f>
        <v>R_Risk</v>
      </c>
      <c r="AO211" s="241" t="str">
        <f>VLOOKUP(Table9[[#This Row],[Country Code]],Table29[],3,FALSE)</f>
        <v>Non-Annex I</v>
      </c>
      <c r="AP211" s="241" t="str">
        <f>VLOOKUP(Table9[[#This Row],[Country Code]],Table29[],4,FALSE)</f>
        <v>Africa</v>
      </c>
      <c r="AQ211" s="241" t="str">
        <f>VLOOKUP(Table9[[#This Row],[Country Code]],Table29[],5,FALSE)</f>
        <v>Middle-income</v>
      </c>
      <c r="AR211" s="241" t="str">
        <f>VLOOKUP(Table9[[#This Row],[Country Code]],Table29[],6,FALSE)</f>
        <v>no</v>
      </c>
      <c r="AS211" s="241" t="str">
        <f>VLOOKUP(Table9[[#This Row],[Country Code]],Table29[],7,FALSE)</f>
        <v>no</v>
      </c>
      <c r="AT211" s="241" t="str">
        <f>VLOOKUP(Table9[[#This Row],[Country Code]],Table29[],8,FALSE)</f>
        <v>non-OECD</v>
      </c>
      <c r="AU211" s="233" t="str">
        <f>VLOOKUP(Table9[[#This Row],[Country Code]],Table29[],9,FALSE)</f>
        <v>no</v>
      </c>
      <c r="AV211" s="233" t="str">
        <f>VLOOKUP(Table9[[#This Row],[Country Code]],Table29[],10,FALSE)</f>
        <v>no</v>
      </c>
      <c r="AW211" s="233">
        <f>VLOOKUP(Table9[[#This Row],[Country Code]],Table29[],23,FALSE)</f>
        <v>385.11288377147002</v>
      </c>
      <c r="AX211" s="233">
        <f>VLOOKUP(Table9[[#This Row],[Country Code]],Table29[],24,FALSE)</f>
        <v>58.971195919965467</v>
      </c>
      <c r="AY211" s="43"/>
    </row>
    <row r="212" spans="1:51" ht="75" x14ac:dyDescent="0.25">
      <c r="A212" s="369">
        <v>41740</v>
      </c>
      <c r="B212" s="233" t="str">
        <f>VLOOKUP(Table9[[#This Row],[Document ID]],Table1[],2,FALSE)</f>
        <v>OMN</v>
      </c>
      <c r="C212" s="233" t="str">
        <f>VLOOKUP(Table9[[#This Row],[Document ID]],Table1[],3,FALSE)</f>
        <v>Oman</v>
      </c>
      <c r="D212" s="332" t="str">
        <f>VLOOKUP(Table9[[#This Row],[Document ID]],Table1[],5,FALSE)</f>
        <v>NDC</v>
      </c>
      <c r="E212" s="233" t="str">
        <f>VLOOKUP(Table9[[#This Row],[Document ID]],Table1[],7,FALSE)</f>
        <v>Second NDC updated</v>
      </c>
      <c r="F212" s="333" t="str">
        <f>VLOOKUP(Table9[[#This Row],[Document ID]],Table1[],8,FALSE)</f>
        <v>NDC 2.1</v>
      </c>
      <c r="G212" s="333" t="str">
        <f>VLOOKUP(Table9[[#This Row],[Document ID]],Table1[],10,FALSE)</f>
        <v>Active</v>
      </c>
      <c r="H212" s="44" t="s">
        <v>5076</v>
      </c>
      <c r="I212" s="43" t="s">
        <v>5077</v>
      </c>
      <c r="J212" s="335" t="s">
        <v>5287</v>
      </c>
      <c r="K212" s="336">
        <v>15</v>
      </c>
      <c r="L212" s="337" t="s">
        <v>1113</v>
      </c>
      <c r="M212" s="337"/>
      <c r="N212" s="337"/>
      <c r="O212" s="337"/>
      <c r="P212" s="337"/>
      <c r="Q212" s="337"/>
      <c r="R212" s="337"/>
      <c r="S212" s="337"/>
      <c r="T212" s="337"/>
      <c r="U212" s="337"/>
      <c r="V212" s="337"/>
      <c r="W212" s="337"/>
      <c r="X212" s="337"/>
      <c r="Y212" s="337"/>
      <c r="Z212" s="337"/>
      <c r="AA212" s="337"/>
      <c r="AB212" s="337"/>
      <c r="AC212" s="337"/>
      <c r="AD212" s="337"/>
      <c r="AE212" s="337"/>
      <c r="AF212" s="337"/>
      <c r="AG212" s="337"/>
      <c r="AH212" s="337"/>
      <c r="AI212" s="337" t="s">
        <v>1113</v>
      </c>
      <c r="AJ212" s="338"/>
      <c r="AK212" s="338"/>
      <c r="AL212" s="338"/>
      <c r="AM212" s="334" t="s">
        <v>5075</v>
      </c>
      <c r="AN212" s="233" t="str">
        <f>VLOOKUP(Table9[[#This Row],[Measure]],Table1025[[Value name]:[Value identifyer]],2,FALSE)</f>
        <v>R_Planning</v>
      </c>
      <c r="AO212" s="241" t="str">
        <f>VLOOKUP(Table9[[#This Row],[Country Code]],Table29[],3,FALSE)</f>
        <v>Non-Annex I</v>
      </c>
      <c r="AP212" s="241" t="str">
        <f>VLOOKUP(Table9[[#This Row],[Country Code]],Table29[],4,FALSE)</f>
        <v>Asia</v>
      </c>
      <c r="AQ212" s="241" t="str">
        <f>VLOOKUP(Table9[[#This Row],[Country Code]],Table29[],5,FALSE)</f>
        <v>High-income</v>
      </c>
      <c r="AR212" s="241" t="str">
        <f>VLOOKUP(Table9[[#This Row],[Country Code]],Table29[],6,FALSE)</f>
        <v>no</v>
      </c>
      <c r="AS212" s="241" t="str">
        <f>VLOOKUP(Table9[[#This Row],[Country Code]],Table29[],7,FALSE)</f>
        <v>no</v>
      </c>
      <c r="AT212" s="241" t="str">
        <f>VLOOKUP(Table9[[#This Row],[Country Code]],Table29[],8,FALSE)</f>
        <v>non-OECD</v>
      </c>
      <c r="AU212" s="233" t="str">
        <f>VLOOKUP(Table9[[#This Row],[Country Code]],Table29[],9,FALSE)</f>
        <v>no</v>
      </c>
      <c r="AV212" s="233" t="str">
        <f>VLOOKUP(Table9[[#This Row],[Country Code]],Table29[],10,FALSE)</f>
        <v>MENA</v>
      </c>
      <c r="AW212" s="233">
        <f>VLOOKUP(Table9[[#This Row],[Country Code]],Table29[],23,FALSE)</f>
        <v>127.44302070563</v>
      </c>
      <c r="AX212" s="233">
        <f>VLOOKUP(Table9[[#This Row],[Country Code]],Table29[],24,FALSE)</f>
        <v>12.3539911460556</v>
      </c>
      <c r="AY212" s="43"/>
    </row>
    <row r="213" spans="1:51" ht="30" x14ac:dyDescent="0.25">
      <c r="A213" s="367">
        <v>41740</v>
      </c>
      <c r="B213" s="233" t="str">
        <f>VLOOKUP(Table9[[#This Row],[Document ID]],Table1[],2,FALSE)</f>
        <v>OMN</v>
      </c>
      <c r="C213" s="233" t="str">
        <f>VLOOKUP(Table9[[#This Row],[Document ID]],Table1[],3,FALSE)</f>
        <v>Oman</v>
      </c>
      <c r="D213" s="252" t="str">
        <f>VLOOKUP(Table9[[#This Row],[Document ID]],Table1[],5,FALSE)</f>
        <v>NDC</v>
      </c>
      <c r="E213" s="233" t="str">
        <f>VLOOKUP(Table9[[#This Row],[Document ID]],Table1[],7,FALSE)</f>
        <v>Second NDC updated</v>
      </c>
      <c r="F213" s="241" t="str">
        <f>VLOOKUP(Table9[[#This Row],[Document ID]],Table1[],8,FALSE)</f>
        <v>NDC 2.1</v>
      </c>
      <c r="G213" s="241" t="str">
        <f>VLOOKUP(Table9[[#This Row],[Document ID]],Table1[],10,FALSE)</f>
        <v>Active</v>
      </c>
      <c r="H213" s="44" t="s">
        <v>5076</v>
      </c>
      <c r="I213" s="43" t="s">
        <v>5077</v>
      </c>
      <c r="J213" s="209" t="s">
        <v>5288</v>
      </c>
      <c r="K213" s="259">
        <v>15</v>
      </c>
      <c r="L213" s="219" t="s">
        <v>1113</v>
      </c>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326" t="s">
        <v>1113</v>
      </c>
      <c r="AK213" s="326"/>
      <c r="AL213" s="326"/>
      <c r="AM213" s="42" t="s">
        <v>5119</v>
      </c>
      <c r="AN213" s="233" t="str">
        <f>VLOOKUP(Table9[[#This Row],[Measure]],Table1025[[Value name]:[Value identifyer]],2,FALSE)</f>
        <v>R_Planning</v>
      </c>
      <c r="AO213" s="241" t="str">
        <f>VLOOKUP(Table9[[#This Row],[Country Code]],Table29[],3,FALSE)</f>
        <v>Non-Annex I</v>
      </c>
      <c r="AP213" s="241" t="str">
        <f>VLOOKUP(Table9[[#This Row],[Country Code]],Table29[],4,FALSE)</f>
        <v>Asia</v>
      </c>
      <c r="AQ213" s="241" t="str">
        <f>VLOOKUP(Table9[[#This Row],[Country Code]],Table29[],5,FALSE)</f>
        <v>High-income</v>
      </c>
      <c r="AR213" s="241" t="str">
        <f>VLOOKUP(Table9[[#This Row],[Country Code]],Table29[],6,FALSE)</f>
        <v>no</v>
      </c>
      <c r="AS213" s="241" t="str">
        <f>VLOOKUP(Table9[[#This Row],[Country Code]],Table29[],7,FALSE)</f>
        <v>no</v>
      </c>
      <c r="AT213" s="241" t="str">
        <f>VLOOKUP(Table9[[#This Row],[Country Code]],Table29[],8,FALSE)</f>
        <v>non-OECD</v>
      </c>
      <c r="AU213" s="233" t="str">
        <f>VLOOKUP(Table9[[#This Row],[Country Code]],Table29[],9,FALSE)</f>
        <v>no</v>
      </c>
      <c r="AV213" s="233" t="str">
        <f>VLOOKUP(Table9[[#This Row],[Country Code]],Table29[],10,FALSE)</f>
        <v>MENA</v>
      </c>
      <c r="AW213" s="233">
        <f>VLOOKUP(Table9[[#This Row],[Country Code]],Table29[],23,FALSE)</f>
        <v>127.44302070563</v>
      </c>
      <c r="AX213" s="233">
        <f>VLOOKUP(Table9[[#This Row],[Country Code]],Table29[],24,FALSE)</f>
        <v>12.3539911460556</v>
      </c>
      <c r="AY213" s="43"/>
    </row>
    <row r="214" spans="1:51" x14ac:dyDescent="0.25">
      <c r="A214" s="369">
        <v>41740</v>
      </c>
      <c r="B214" s="233" t="str">
        <f>VLOOKUP(Table9[[#This Row],[Document ID]],Table1[],2,FALSE)</f>
        <v>OMN</v>
      </c>
      <c r="C214" s="233" t="str">
        <f>VLOOKUP(Table9[[#This Row],[Document ID]],Table1[],3,FALSE)</f>
        <v>Oman</v>
      </c>
      <c r="D214" s="332" t="str">
        <f>VLOOKUP(Table9[[#This Row],[Document ID]],Table1[],5,FALSE)</f>
        <v>NDC</v>
      </c>
      <c r="E214" s="233" t="str">
        <f>VLOOKUP(Table9[[#This Row],[Document ID]],Table1[],7,FALSE)</f>
        <v>Second NDC updated</v>
      </c>
      <c r="F214" s="333" t="str">
        <f>VLOOKUP(Table9[[#This Row],[Document ID]],Table1[],8,FALSE)</f>
        <v>NDC 2.1</v>
      </c>
      <c r="G214" s="333" t="str">
        <f>VLOOKUP(Table9[[#This Row],[Document ID]],Table1[],10,FALSE)</f>
        <v>Active</v>
      </c>
      <c r="H214" s="44" t="s">
        <v>5072</v>
      </c>
      <c r="I214" s="43" t="s">
        <v>5073</v>
      </c>
      <c r="J214" s="335" t="s">
        <v>5289</v>
      </c>
      <c r="K214" s="336">
        <v>15</v>
      </c>
      <c r="L214" s="337"/>
      <c r="M214" s="337"/>
      <c r="N214" s="337"/>
      <c r="O214" s="337"/>
      <c r="P214" s="337"/>
      <c r="Q214" s="337" t="s">
        <v>1113</v>
      </c>
      <c r="R214" s="337"/>
      <c r="S214" s="337"/>
      <c r="T214" s="337"/>
      <c r="U214" s="337"/>
      <c r="V214" s="337"/>
      <c r="W214" s="337"/>
      <c r="X214" s="337"/>
      <c r="Y214" s="337"/>
      <c r="Z214" s="337"/>
      <c r="AA214" s="337"/>
      <c r="AB214" s="337"/>
      <c r="AC214" s="337"/>
      <c r="AD214" s="337"/>
      <c r="AE214" s="337"/>
      <c r="AF214" s="337"/>
      <c r="AG214" s="337"/>
      <c r="AH214" s="337"/>
      <c r="AI214" s="337" t="s">
        <v>1113</v>
      </c>
      <c r="AJ214" s="338"/>
      <c r="AK214" s="338"/>
      <c r="AL214" s="338"/>
      <c r="AM214" s="334" t="s">
        <v>5075</v>
      </c>
      <c r="AN214" s="233" t="str">
        <f>VLOOKUP(Table9[[#This Row],[Measure]],Table1025[[Value name]:[Value identifyer]],2,FALSE)</f>
        <v>R_System</v>
      </c>
      <c r="AO214" s="241" t="str">
        <f>VLOOKUP(Table9[[#This Row],[Country Code]],Table29[],3,FALSE)</f>
        <v>Non-Annex I</v>
      </c>
      <c r="AP214" s="241" t="str">
        <f>VLOOKUP(Table9[[#This Row],[Country Code]],Table29[],4,FALSE)</f>
        <v>Asia</v>
      </c>
      <c r="AQ214" s="241" t="str">
        <f>VLOOKUP(Table9[[#This Row],[Country Code]],Table29[],5,FALSE)</f>
        <v>High-income</v>
      </c>
      <c r="AR214" s="241" t="str">
        <f>VLOOKUP(Table9[[#This Row],[Country Code]],Table29[],6,FALSE)</f>
        <v>no</v>
      </c>
      <c r="AS214" s="241" t="str">
        <f>VLOOKUP(Table9[[#This Row],[Country Code]],Table29[],7,FALSE)</f>
        <v>no</v>
      </c>
      <c r="AT214" s="241" t="str">
        <f>VLOOKUP(Table9[[#This Row],[Country Code]],Table29[],8,FALSE)</f>
        <v>non-OECD</v>
      </c>
      <c r="AU214" s="233" t="str">
        <f>VLOOKUP(Table9[[#This Row],[Country Code]],Table29[],9,FALSE)</f>
        <v>no</v>
      </c>
      <c r="AV214" s="233" t="str">
        <f>VLOOKUP(Table9[[#This Row],[Country Code]],Table29[],10,FALSE)</f>
        <v>MENA</v>
      </c>
      <c r="AW214" s="233">
        <f>VLOOKUP(Table9[[#This Row],[Country Code]],Table29[],23,FALSE)</f>
        <v>127.44302070563</v>
      </c>
      <c r="AX214" s="233">
        <f>VLOOKUP(Table9[[#This Row],[Country Code]],Table29[],24,FALSE)</f>
        <v>12.3539911460556</v>
      </c>
      <c r="AY214" s="43"/>
    </row>
    <row r="215" spans="1:51" ht="30" x14ac:dyDescent="0.25">
      <c r="A215" s="367">
        <v>41740</v>
      </c>
      <c r="B215" s="233" t="str">
        <f>VLOOKUP(Table9[[#This Row],[Document ID]],Table1[],2,FALSE)</f>
        <v>OMN</v>
      </c>
      <c r="C215" s="233" t="str">
        <f>VLOOKUP(Table9[[#This Row],[Document ID]],Table1[],3,FALSE)</f>
        <v>Oman</v>
      </c>
      <c r="D215" s="252" t="str">
        <f>VLOOKUP(Table9[[#This Row],[Document ID]],Table1[],5,FALSE)</f>
        <v>NDC</v>
      </c>
      <c r="E215" s="233" t="str">
        <f>VLOOKUP(Table9[[#This Row],[Document ID]],Table1[],7,FALSE)</f>
        <v>Second NDC updated</v>
      </c>
      <c r="F215" s="241" t="str">
        <f>VLOOKUP(Table9[[#This Row],[Document ID]],Table1[],8,FALSE)</f>
        <v>NDC 2.1</v>
      </c>
      <c r="G215" s="241" t="str">
        <f>VLOOKUP(Table9[[#This Row],[Document ID]],Table1[],10,FALSE)</f>
        <v>Active</v>
      </c>
      <c r="H215" s="44" t="s">
        <v>5086</v>
      </c>
      <c r="I215" s="43" t="s">
        <v>5130</v>
      </c>
      <c r="J215" s="209" t="s">
        <v>5290</v>
      </c>
      <c r="K215" s="259">
        <v>17</v>
      </c>
      <c r="L215" s="219" t="s">
        <v>1113</v>
      </c>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t="s">
        <v>1113</v>
      </c>
      <c r="AJ215" s="326"/>
      <c r="AK215" s="326"/>
      <c r="AL215" s="326"/>
      <c r="AM215" s="42" t="s">
        <v>5075</v>
      </c>
      <c r="AN215" s="233" t="str">
        <f>VLOOKUP(Table9[[#This Row],[Measure]],Table1025[[Value name]:[Value identifyer]],2,FALSE)</f>
        <v>R_Monitoring</v>
      </c>
      <c r="AO215" s="241" t="str">
        <f>VLOOKUP(Table9[[#This Row],[Country Code]],Table29[],3,FALSE)</f>
        <v>Non-Annex I</v>
      </c>
      <c r="AP215" s="241" t="str">
        <f>VLOOKUP(Table9[[#This Row],[Country Code]],Table29[],4,FALSE)</f>
        <v>Asia</v>
      </c>
      <c r="AQ215" s="241" t="str">
        <f>VLOOKUP(Table9[[#This Row],[Country Code]],Table29[],5,FALSE)</f>
        <v>High-income</v>
      </c>
      <c r="AR215" s="241" t="str">
        <f>VLOOKUP(Table9[[#This Row],[Country Code]],Table29[],6,FALSE)</f>
        <v>no</v>
      </c>
      <c r="AS215" s="241" t="str">
        <f>VLOOKUP(Table9[[#This Row],[Country Code]],Table29[],7,FALSE)</f>
        <v>no</v>
      </c>
      <c r="AT215" s="241" t="str">
        <f>VLOOKUP(Table9[[#This Row],[Country Code]],Table29[],8,FALSE)</f>
        <v>non-OECD</v>
      </c>
      <c r="AU215" s="233" t="str">
        <f>VLOOKUP(Table9[[#This Row],[Country Code]],Table29[],9,FALSE)</f>
        <v>no</v>
      </c>
      <c r="AV215" s="233" t="str">
        <f>VLOOKUP(Table9[[#This Row],[Country Code]],Table29[],10,FALSE)</f>
        <v>MENA</v>
      </c>
      <c r="AW215" s="233">
        <f>VLOOKUP(Table9[[#This Row],[Country Code]],Table29[],23,FALSE)</f>
        <v>127.44302070563</v>
      </c>
      <c r="AX215" s="233">
        <f>VLOOKUP(Table9[[#This Row],[Country Code]],Table29[],24,FALSE)</f>
        <v>12.3539911460556</v>
      </c>
      <c r="AY215" s="43"/>
    </row>
    <row r="216" spans="1:51" ht="45" x14ac:dyDescent="0.25">
      <c r="A216" s="367">
        <v>41740</v>
      </c>
      <c r="B216" s="233" t="str">
        <f>VLOOKUP(Table9[[#This Row],[Document ID]],Table1[],2,FALSE)</f>
        <v>OMN</v>
      </c>
      <c r="C216" s="233" t="str">
        <f>VLOOKUP(Table9[[#This Row],[Document ID]],Table1[],3,FALSE)</f>
        <v>Oman</v>
      </c>
      <c r="D216" s="252" t="str">
        <f>VLOOKUP(Table9[[#This Row],[Document ID]],Table1[],5,FALSE)</f>
        <v>NDC</v>
      </c>
      <c r="E216" s="233" t="str">
        <f>VLOOKUP(Table9[[#This Row],[Document ID]],Table1[],7,FALSE)</f>
        <v>Second NDC updated</v>
      </c>
      <c r="F216" s="241" t="str">
        <f>VLOOKUP(Table9[[#This Row],[Document ID]],Table1[],8,FALSE)</f>
        <v>NDC 2.1</v>
      </c>
      <c r="G216" s="241" t="str">
        <f>VLOOKUP(Table9[[#This Row],[Document ID]],Table1[],10,FALSE)</f>
        <v>Active</v>
      </c>
      <c r="H216" s="44" t="s">
        <v>5072</v>
      </c>
      <c r="I216" s="43" t="s">
        <v>5073</v>
      </c>
      <c r="J216" s="209" t="s">
        <v>5291</v>
      </c>
      <c r="K216" s="259">
        <v>17</v>
      </c>
      <c r="L216" s="219"/>
      <c r="M216" s="219"/>
      <c r="N216" s="113"/>
      <c r="O216" s="113"/>
      <c r="P216" s="113"/>
      <c r="Q216" s="113" t="s">
        <v>1113</v>
      </c>
      <c r="R216" s="113"/>
      <c r="S216" s="113"/>
      <c r="T216" s="113"/>
      <c r="U216" s="113"/>
      <c r="V216" s="113"/>
      <c r="W216" s="113"/>
      <c r="X216" s="113"/>
      <c r="Y216" s="113"/>
      <c r="Z216" s="113"/>
      <c r="AA216" s="113"/>
      <c r="AB216" s="113"/>
      <c r="AC216" s="113"/>
      <c r="AD216" s="113"/>
      <c r="AE216" s="113"/>
      <c r="AF216" s="113"/>
      <c r="AG216" s="113"/>
      <c r="AH216" s="113"/>
      <c r="AI216" s="219" t="s">
        <v>1113</v>
      </c>
      <c r="AJ216" s="338"/>
      <c r="AK216" s="338"/>
      <c r="AL216" s="338"/>
      <c r="AM216" s="42" t="s">
        <v>5075</v>
      </c>
      <c r="AN216" s="233" t="str">
        <f>VLOOKUP(Table9[[#This Row],[Measure]],Table1025[[Value name]:[Value identifyer]],2,FALSE)</f>
        <v>R_System</v>
      </c>
      <c r="AO216" s="241" t="str">
        <f>VLOOKUP(Table9[[#This Row],[Country Code]],Table29[],3,FALSE)</f>
        <v>Non-Annex I</v>
      </c>
      <c r="AP216" s="241" t="str">
        <f>VLOOKUP(Table9[[#This Row],[Country Code]],Table29[],4,FALSE)</f>
        <v>Asia</v>
      </c>
      <c r="AQ216" s="241" t="str">
        <f>VLOOKUP(Table9[[#This Row],[Country Code]],Table29[],5,FALSE)</f>
        <v>High-income</v>
      </c>
      <c r="AR216" s="241" t="str">
        <f>VLOOKUP(Table9[[#This Row],[Country Code]],Table29[],6,FALSE)</f>
        <v>no</v>
      </c>
      <c r="AS216" s="241" t="str">
        <f>VLOOKUP(Table9[[#This Row],[Country Code]],Table29[],7,FALSE)</f>
        <v>no</v>
      </c>
      <c r="AT216" s="241" t="str">
        <f>VLOOKUP(Table9[[#This Row],[Country Code]],Table29[],8,FALSE)</f>
        <v>non-OECD</v>
      </c>
      <c r="AU216" s="233" t="str">
        <f>VLOOKUP(Table9[[#This Row],[Country Code]],Table29[],9,FALSE)</f>
        <v>no</v>
      </c>
      <c r="AV216" s="233" t="str">
        <f>VLOOKUP(Table9[[#This Row],[Country Code]],Table29[],10,FALSE)</f>
        <v>MENA</v>
      </c>
      <c r="AW216" s="233">
        <f>VLOOKUP(Table9[[#This Row],[Country Code]],Table29[],23,FALSE)</f>
        <v>127.44302070563</v>
      </c>
      <c r="AX216" s="233">
        <f>VLOOKUP(Table9[[#This Row],[Country Code]],Table29[],24,FALSE)</f>
        <v>12.3539911460556</v>
      </c>
      <c r="AY216" s="43"/>
    </row>
    <row r="217" spans="1:51" ht="30" x14ac:dyDescent="0.25">
      <c r="A217" s="367">
        <v>41740</v>
      </c>
      <c r="B217" s="233" t="str">
        <f>VLOOKUP(Table9[[#This Row],[Document ID]],Table1[],2,FALSE)</f>
        <v>OMN</v>
      </c>
      <c r="C217" s="233" t="str">
        <f>VLOOKUP(Table9[[#This Row],[Document ID]],Table1[],3,FALSE)</f>
        <v>Oman</v>
      </c>
      <c r="D217" s="252" t="str">
        <f>VLOOKUP(Table9[[#This Row],[Document ID]],Table1[],5,FALSE)</f>
        <v>NDC</v>
      </c>
      <c r="E217" s="233" t="str">
        <f>VLOOKUP(Table9[[#This Row],[Document ID]],Table1[],7,FALSE)</f>
        <v>Second NDC updated</v>
      </c>
      <c r="F217" s="241" t="str">
        <f>VLOOKUP(Table9[[#This Row],[Document ID]],Table1[],8,FALSE)</f>
        <v>NDC 2.1</v>
      </c>
      <c r="G217" s="241" t="str">
        <f>VLOOKUP(Table9[[#This Row],[Document ID]],Table1[],10,FALSE)</f>
        <v>Active</v>
      </c>
      <c r="H217" s="44" t="s">
        <v>5086</v>
      </c>
      <c r="I217" s="43" t="s">
        <v>5127</v>
      </c>
      <c r="J217" s="209" t="s">
        <v>5292</v>
      </c>
      <c r="K217" s="259">
        <v>17</v>
      </c>
      <c r="L217" s="219" t="s">
        <v>1113</v>
      </c>
      <c r="M217" s="219"/>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219" t="s">
        <v>1113</v>
      </c>
      <c r="AJ217" s="326"/>
      <c r="AK217" s="326"/>
      <c r="AL217" s="326"/>
      <c r="AM217" s="42" t="s">
        <v>5075</v>
      </c>
      <c r="AN217" s="233" t="str">
        <f>VLOOKUP(Table9[[#This Row],[Measure]],Table1025[[Value name]:[Value identifyer]],2,FALSE)</f>
        <v>R_Emergency</v>
      </c>
      <c r="AO217" s="241" t="str">
        <f>VLOOKUP(Table9[[#This Row],[Country Code]],Table29[],3,FALSE)</f>
        <v>Non-Annex I</v>
      </c>
      <c r="AP217" s="241" t="str">
        <f>VLOOKUP(Table9[[#This Row],[Country Code]],Table29[],4,FALSE)</f>
        <v>Asia</v>
      </c>
      <c r="AQ217" s="241" t="str">
        <f>VLOOKUP(Table9[[#This Row],[Country Code]],Table29[],5,FALSE)</f>
        <v>High-income</v>
      </c>
      <c r="AR217" s="241" t="str">
        <f>VLOOKUP(Table9[[#This Row],[Country Code]],Table29[],6,FALSE)</f>
        <v>no</v>
      </c>
      <c r="AS217" s="241" t="str">
        <f>VLOOKUP(Table9[[#This Row],[Country Code]],Table29[],7,FALSE)</f>
        <v>no</v>
      </c>
      <c r="AT217" s="241" t="str">
        <f>VLOOKUP(Table9[[#This Row],[Country Code]],Table29[],8,FALSE)</f>
        <v>non-OECD</v>
      </c>
      <c r="AU217" s="233" t="str">
        <f>VLOOKUP(Table9[[#This Row],[Country Code]],Table29[],9,FALSE)</f>
        <v>no</v>
      </c>
      <c r="AV217" s="233" t="str">
        <f>VLOOKUP(Table9[[#This Row],[Country Code]],Table29[],10,FALSE)</f>
        <v>MENA</v>
      </c>
      <c r="AW217" s="233">
        <f>VLOOKUP(Table9[[#This Row],[Country Code]],Table29[],23,FALSE)</f>
        <v>127.44302070563</v>
      </c>
      <c r="AX217" s="233">
        <f>VLOOKUP(Table9[[#This Row],[Country Code]],Table29[],24,FALSE)</f>
        <v>12.3539911460556</v>
      </c>
      <c r="AY217" s="43"/>
    </row>
    <row r="218" spans="1:51" ht="60" x14ac:dyDescent="0.25">
      <c r="A218" s="367">
        <v>17690</v>
      </c>
      <c r="B218" s="233" t="str">
        <f>VLOOKUP(Table9[[#This Row],[Document ID]],Table1[],2,FALSE)</f>
        <v>PAK</v>
      </c>
      <c r="C218" s="233" t="str">
        <f>VLOOKUP(Table9[[#This Row],[Document ID]],Table1[],3,FALSE)</f>
        <v>Pakistan</v>
      </c>
      <c r="D218" s="328" t="str">
        <f>VLOOKUP(Table9[[#This Row],[Document ID]],Table1[],5,FALSE)</f>
        <v>NDC</v>
      </c>
      <c r="E218" s="233" t="str">
        <f>VLOOKUP(Table9[[#This Row],[Document ID]],Table1[],7,FALSE)</f>
        <v>First NDC</v>
      </c>
      <c r="F218" s="328" t="str">
        <f>VLOOKUP(Table9[[#This Row],[Document ID]],Table1[],8,FALSE)</f>
        <v>NDC 1.0</v>
      </c>
      <c r="G218" s="328" t="str">
        <f>VLOOKUP(Table9[[#This Row],[Document ID]],Table1[],10,FALSE)</f>
        <v>Archived</v>
      </c>
      <c r="H218" s="44" t="s">
        <v>5072</v>
      </c>
      <c r="I218" s="43" t="s">
        <v>5073</v>
      </c>
      <c r="J218" s="209" t="s">
        <v>5293</v>
      </c>
      <c r="K218" s="257" t="s">
        <v>5081</v>
      </c>
      <c r="L218" s="329"/>
      <c r="M218" s="329"/>
      <c r="N218" s="329"/>
      <c r="O218" s="329"/>
      <c r="P218" s="329"/>
      <c r="Q218" s="329"/>
      <c r="R218" s="329"/>
      <c r="S218" s="329"/>
      <c r="T218" s="329"/>
      <c r="U218" s="329"/>
      <c r="V218" s="329"/>
      <c r="W218" s="329"/>
      <c r="X218" s="329"/>
      <c r="Y218" s="329"/>
      <c r="Z218" s="329"/>
      <c r="AA218" s="329"/>
      <c r="AB218" s="329" t="s">
        <v>1113</v>
      </c>
      <c r="AC218" s="329"/>
      <c r="AD218" s="329"/>
      <c r="AE218" s="329"/>
      <c r="AF218" s="329"/>
      <c r="AG218" s="329"/>
      <c r="AH218" s="329"/>
      <c r="AI218" s="326" t="s">
        <v>1113</v>
      </c>
      <c r="AJ218" s="326"/>
      <c r="AK218" s="326"/>
      <c r="AL218" s="326"/>
      <c r="AM218" s="209" t="s">
        <v>5075</v>
      </c>
      <c r="AN218" s="233" t="str">
        <f>VLOOKUP(Table9[[#This Row],[Measure]],Table1025[[Value name]:[Value identifyer]],2,FALSE)</f>
        <v>R_System</v>
      </c>
      <c r="AO218" s="241" t="str">
        <f>VLOOKUP(Table9[[#This Row],[Country Code]],Table29[],3,FALSE)</f>
        <v>Non-Annex I</v>
      </c>
      <c r="AP218" s="241" t="str">
        <f>VLOOKUP(Table9[[#This Row],[Country Code]],Table29[],4,FALSE)</f>
        <v>Asia</v>
      </c>
      <c r="AQ218" s="241" t="str">
        <f>VLOOKUP(Table9[[#This Row],[Country Code]],Table29[],5,FALSE)</f>
        <v>Middle-income</v>
      </c>
      <c r="AR218" s="241" t="str">
        <f>VLOOKUP(Table9[[#This Row],[Country Code]],Table29[],6,FALSE)</f>
        <v>no</v>
      </c>
      <c r="AS218" s="241" t="str">
        <f>VLOOKUP(Table9[[#This Row],[Country Code]],Table29[],7,FALSE)</f>
        <v>no</v>
      </c>
      <c r="AT218" s="241" t="str">
        <f>VLOOKUP(Table9[[#This Row],[Country Code]],Table29[],8,FALSE)</f>
        <v>non-OECD</v>
      </c>
      <c r="AU218" s="233" t="str">
        <f>VLOOKUP(Table9[[#This Row],[Country Code]],Table29[],9,FALSE)</f>
        <v>no</v>
      </c>
      <c r="AV218" s="233" t="str">
        <f>VLOOKUP(Table9[[#This Row],[Country Code]],Table29[],10,FALSE)</f>
        <v>no</v>
      </c>
      <c r="AW218" s="233">
        <f>VLOOKUP(Table9[[#This Row],[Country Code]],Table29[],23,FALSE)</f>
        <v>532.37448361891995</v>
      </c>
      <c r="AX218" s="233">
        <f>VLOOKUP(Table9[[#This Row],[Country Code]],Table29[],24,FALSE)</f>
        <v>44.891195611563681</v>
      </c>
      <c r="AY218" s="43"/>
    </row>
    <row r="219" spans="1:51" ht="60" x14ac:dyDescent="0.25">
      <c r="A219" s="367">
        <v>17690</v>
      </c>
      <c r="B219" s="233" t="str">
        <f>VLOOKUP(Table9[[#This Row],[Document ID]],Table1[],2,FALSE)</f>
        <v>PAK</v>
      </c>
      <c r="C219" s="233" t="str">
        <f>VLOOKUP(Table9[[#This Row],[Document ID]],Table1[],3,FALSE)</f>
        <v>Pakistan</v>
      </c>
      <c r="D219" s="328" t="str">
        <f>VLOOKUP(Table9[[#This Row],[Document ID]],Table1[],5,FALSE)</f>
        <v>NDC</v>
      </c>
      <c r="E219" s="233" t="str">
        <f>VLOOKUP(Table9[[#This Row],[Document ID]],Table1[],7,FALSE)</f>
        <v>First NDC</v>
      </c>
      <c r="F219" s="328" t="str">
        <f>VLOOKUP(Table9[[#This Row],[Document ID]],Table1[],8,FALSE)</f>
        <v>NDC 1.0</v>
      </c>
      <c r="G219" s="328" t="str">
        <f>VLOOKUP(Table9[[#This Row],[Document ID]],Table1[],10,FALSE)</f>
        <v>Archived</v>
      </c>
      <c r="H219" s="44" t="s">
        <v>5076</v>
      </c>
      <c r="I219" s="43" t="s">
        <v>5077</v>
      </c>
      <c r="J219" s="209" t="s">
        <v>5293</v>
      </c>
      <c r="K219" s="257" t="s">
        <v>5081</v>
      </c>
      <c r="L219" s="326" t="s">
        <v>1113</v>
      </c>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326"/>
      <c r="AJ219" s="326" t="s">
        <v>1113</v>
      </c>
      <c r="AK219" s="326"/>
      <c r="AL219" s="326"/>
      <c r="AM219" s="327" t="s">
        <v>5075</v>
      </c>
      <c r="AN219" s="233" t="str">
        <f>VLOOKUP(Table9[[#This Row],[Measure]],Table1025[[Value name]:[Value identifyer]],2,FALSE)</f>
        <v>R_Planning</v>
      </c>
      <c r="AO219" s="241" t="str">
        <f>VLOOKUP(Table9[[#This Row],[Country Code]],Table29[],3,FALSE)</f>
        <v>Non-Annex I</v>
      </c>
      <c r="AP219" s="241" t="str">
        <f>VLOOKUP(Table9[[#This Row],[Country Code]],Table29[],4,FALSE)</f>
        <v>Asia</v>
      </c>
      <c r="AQ219" s="241" t="str">
        <f>VLOOKUP(Table9[[#This Row],[Country Code]],Table29[],5,FALSE)</f>
        <v>Middle-income</v>
      </c>
      <c r="AR219" s="241" t="str">
        <f>VLOOKUP(Table9[[#This Row],[Country Code]],Table29[],6,FALSE)</f>
        <v>no</v>
      </c>
      <c r="AS219" s="241" t="str">
        <f>VLOOKUP(Table9[[#This Row],[Country Code]],Table29[],7,FALSE)</f>
        <v>no</v>
      </c>
      <c r="AT219" s="241" t="str">
        <f>VLOOKUP(Table9[[#This Row],[Country Code]],Table29[],8,FALSE)</f>
        <v>non-OECD</v>
      </c>
      <c r="AU219" s="233" t="str">
        <f>VLOOKUP(Table9[[#This Row],[Country Code]],Table29[],9,FALSE)</f>
        <v>no</v>
      </c>
      <c r="AV219" s="233" t="str">
        <f>VLOOKUP(Table9[[#This Row],[Country Code]],Table29[],10,FALSE)</f>
        <v>no</v>
      </c>
      <c r="AW219" s="233">
        <f>VLOOKUP(Table9[[#This Row],[Country Code]],Table29[],23,FALSE)</f>
        <v>532.37448361891995</v>
      </c>
      <c r="AX219" s="233">
        <f>VLOOKUP(Table9[[#This Row],[Country Code]],Table29[],24,FALSE)</f>
        <v>44.891195611563681</v>
      </c>
      <c r="AY219" s="43"/>
    </row>
    <row r="220" spans="1:51" x14ac:dyDescent="0.25">
      <c r="A220" s="367">
        <v>17692</v>
      </c>
      <c r="B220" s="233" t="str">
        <f>VLOOKUP(Table9[[#This Row],[Document ID]],Table1[],2,FALSE)</f>
        <v>PSE</v>
      </c>
      <c r="C220" s="233" t="str">
        <f>VLOOKUP(Table9[[#This Row],[Document ID]],Table1[],3,FALSE)</f>
        <v>Palestine</v>
      </c>
      <c r="D220" s="328" t="str">
        <f>VLOOKUP(Table9[[#This Row],[Document ID]],Table1[],5,FALSE)</f>
        <v>NDC</v>
      </c>
      <c r="E220" s="233" t="str">
        <f>VLOOKUP(Table9[[#This Row],[Document ID]],Table1[],7,FALSE)</f>
        <v>First NDC</v>
      </c>
      <c r="F220" s="328" t="str">
        <f>VLOOKUP(Table9[[#This Row],[Document ID]],Table1[],8,FALSE)</f>
        <v>NDC 1.0</v>
      </c>
      <c r="G220" s="328" t="str">
        <f>VLOOKUP(Table9[[#This Row],[Document ID]],Table1[],10,FALSE)</f>
        <v>Archived</v>
      </c>
      <c r="H220" s="44" t="s">
        <v>5072</v>
      </c>
      <c r="I220" s="43" t="s">
        <v>5073</v>
      </c>
      <c r="J220" s="209" t="s">
        <v>5294</v>
      </c>
      <c r="K220" s="257" t="s">
        <v>5081</v>
      </c>
      <c r="L220" s="329"/>
      <c r="M220" s="329"/>
      <c r="N220" s="329"/>
      <c r="O220" s="329"/>
      <c r="P220" s="329"/>
      <c r="Q220" s="329" t="s">
        <v>1113</v>
      </c>
      <c r="R220" s="329"/>
      <c r="S220" s="329"/>
      <c r="T220" s="329"/>
      <c r="U220" s="329"/>
      <c r="V220" s="329"/>
      <c r="W220" s="329"/>
      <c r="X220" s="329"/>
      <c r="Y220" s="329"/>
      <c r="Z220" s="329"/>
      <c r="AA220" s="329"/>
      <c r="AB220" s="329"/>
      <c r="AC220" s="329"/>
      <c r="AD220" s="329"/>
      <c r="AE220" s="329"/>
      <c r="AF220" s="329"/>
      <c r="AG220" s="329"/>
      <c r="AH220" s="329"/>
      <c r="AI220" s="326" t="s">
        <v>1113</v>
      </c>
      <c r="AJ220" s="326"/>
      <c r="AK220" s="326"/>
      <c r="AL220" s="326"/>
      <c r="AM220" s="327" t="s">
        <v>5075</v>
      </c>
      <c r="AN220" s="233" t="str">
        <f>VLOOKUP(Table9[[#This Row],[Measure]],Table1025[[Value name]:[Value identifyer]],2,FALSE)</f>
        <v>R_System</v>
      </c>
      <c r="AO220" s="241" t="str">
        <f>VLOOKUP(Table9[[#This Row],[Country Code]],Table29[],3,FALSE)</f>
        <v>Non-Annex I</v>
      </c>
      <c r="AP220" s="241" t="str">
        <f>VLOOKUP(Table9[[#This Row],[Country Code]],Table29[],4,FALSE)</f>
        <v>Asia</v>
      </c>
      <c r="AQ220" s="241" t="str">
        <f>VLOOKUP(Table9[[#This Row],[Country Code]],Table29[],5,FALSE)</f>
        <v>Middle-income</v>
      </c>
      <c r="AR220" s="241" t="str">
        <f>VLOOKUP(Table9[[#This Row],[Country Code]],Table29[],6,FALSE)</f>
        <v>no</v>
      </c>
      <c r="AS220" s="241" t="str">
        <f>VLOOKUP(Table9[[#This Row],[Country Code]],Table29[],7,FALSE)</f>
        <v>no</v>
      </c>
      <c r="AT220" s="241" t="str">
        <f>VLOOKUP(Table9[[#This Row],[Country Code]],Table29[],8,FALSE)</f>
        <v>non-OECD</v>
      </c>
      <c r="AU220" s="233" t="str">
        <f>VLOOKUP(Table9[[#This Row],[Country Code]],Table29[],9,FALSE)</f>
        <v>no</v>
      </c>
      <c r="AV220" s="233" t="str">
        <f>VLOOKUP(Table9[[#This Row],[Country Code]],Table29[],10,FALSE)</f>
        <v>MENA</v>
      </c>
      <c r="AW220" s="233">
        <f>VLOOKUP(Table9[[#This Row],[Country Code]],Table29[],23,FALSE)</f>
        <v>0</v>
      </c>
      <c r="AX220" s="233">
        <f>VLOOKUP(Table9[[#This Row],[Country Code]],Table29[],24,FALSE)</f>
        <v>0</v>
      </c>
      <c r="AY220" s="43"/>
    </row>
    <row r="221" spans="1:51" x14ac:dyDescent="0.25">
      <c r="A221" s="367">
        <v>23368</v>
      </c>
      <c r="B221" s="233" t="str">
        <f>VLOOKUP(Table9[[#This Row],[Document ID]],Table1[],2,FALSE)</f>
        <v>PSE</v>
      </c>
      <c r="C221" s="233" t="str">
        <f>VLOOKUP(Table9[[#This Row],[Document ID]],Table1[],3,FALSE)</f>
        <v>Palestine</v>
      </c>
      <c r="D221" s="254" t="str">
        <f>VLOOKUP(Table9[[#This Row],[Document ID]],Table1[],5,FALSE)</f>
        <v>NDC</v>
      </c>
      <c r="E221" s="233" t="str">
        <f>VLOOKUP(Table9[[#This Row],[Document ID]],Table1[],7,FALSE)</f>
        <v>First NDC updated</v>
      </c>
      <c r="F221" s="241" t="str">
        <f>VLOOKUP(Table9[[#This Row],[Document ID]],Table1[],8,FALSE)</f>
        <v>NDC 1.1</v>
      </c>
      <c r="G221" s="241" t="str">
        <f>VLOOKUP(Table9[[#This Row],[Document ID]],Table1[],10,FALSE)</f>
        <v>Active</v>
      </c>
      <c r="H221" s="44" t="s">
        <v>5072</v>
      </c>
      <c r="I221" s="43" t="s">
        <v>5073</v>
      </c>
      <c r="J221" s="209" t="s">
        <v>5294</v>
      </c>
      <c r="K221" s="259">
        <v>19</v>
      </c>
      <c r="L221" s="219"/>
      <c r="M221" s="219"/>
      <c r="N221" s="113"/>
      <c r="O221" s="113"/>
      <c r="P221" s="113"/>
      <c r="Q221" s="113" t="s">
        <v>1113</v>
      </c>
      <c r="R221" s="113"/>
      <c r="S221" s="113"/>
      <c r="T221" s="113"/>
      <c r="U221" s="113"/>
      <c r="V221" s="113"/>
      <c r="W221" s="113"/>
      <c r="X221" s="113"/>
      <c r="Y221" s="113"/>
      <c r="Z221" s="113"/>
      <c r="AA221" s="113"/>
      <c r="AB221" s="113"/>
      <c r="AC221" s="113"/>
      <c r="AD221" s="113"/>
      <c r="AE221" s="113"/>
      <c r="AF221" s="113"/>
      <c r="AG221" s="113"/>
      <c r="AH221" s="113"/>
      <c r="AI221" s="219" t="s">
        <v>1113</v>
      </c>
      <c r="AJ221" s="326"/>
      <c r="AK221" s="326"/>
      <c r="AL221" s="326"/>
      <c r="AM221" s="327" t="s">
        <v>5075</v>
      </c>
      <c r="AN221" s="233" t="str">
        <f>VLOOKUP(Table9[[#This Row],[Measure]],Table1025[[Value name]:[Value identifyer]],2,FALSE)</f>
        <v>R_System</v>
      </c>
      <c r="AO221" s="241" t="str">
        <f>VLOOKUP(Table9[[#This Row],[Country Code]],Table29[],3,FALSE)</f>
        <v>Non-Annex I</v>
      </c>
      <c r="AP221" s="241" t="str">
        <f>VLOOKUP(Table9[[#This Row],[Country Code]],Table29[],4,FALSE)</f>
        <v>Asia</v>
      </c>
      <c r="AQ221" s="241" t="str">
        <f>VLOOKUP(Table9[[#This Row],[Country Code]],Table29[],5,FALSE)</f>
        <v>Middle-income</v>
      </c>
      <c r="AR221" s="241" t="str">
        <f>VLOOKUP(Table9[[#This Row],[Country Code]],Table29[],6,FALSE)</f>
        <v>no</v>
      </c>
      <c r="AS221" s="241" t="str">
        <f>VLOOKUP(Table9[[#This Row],[Country Code]],Table29[],7,FALSE)</f>
        <v>no</v>
      </c>
      <c r="AT221" s="241" t="str">
        <f>VLOOKUP(Table9[[#This Row],[Country Code]],Table29[],8,FALSE)</f>
        <v>non-OECD</v>
      </c>
      <c r="AU221" s="233" t="str">
        <f>VLOOKUP(Table9[[#This Row],[Country Code]],Table29[],9,FALSE)</f>
        <v>no</v>
      </c>
      <c r="AV221" s="233" t="str">
        <f>VLOOKUP(Table9[[#This Row],[Country Code]],Table29[],10,FALSE)</f>
        <v>MENA</v>
      </c>
      <c r="AW221" s="233">
        <f>VLOOKUP(Table9[[#This Row],[Country Code]],Table29[],23,FALSE)</f>
        <v>0</v>
      </c>
      <c r="AX221" s="233">
        <f>VLOOKUP(Table9[[#This Row],[Country Code]],Table29[],24,FALSE)</f>
        <v>0</v>
      </c>
      <c r="AY221" s="43"/>
    </row>
    <row r="222" spans="1:51" ht="30" x14ac:dyDescent="0.25">
      <c r="A222" s="360">
        <v>17696</v>
      </c>
      <c r="B222" s="233" t="str">
        <f>VLOOKUP(Table9[[#This Row],[Document ID]],Table1[],2,FALSE)</f>
        <v>PNG</v>
      </c>
      <c r="C222" s="233" t="str">
        <f>VLOOKUP(Table9[[#This Row],[Document ID]],Table1[],3,FALSE)</f>
        <v>Papua New Guinea</v>
      </c>
      <c r="D222" s="233" t="str">
        <f>VLOOKUP(Table9[[#This Row],[Document ID]],Table1[],5,FALSE)</f>
        <v>NDC</v>
      </c>
      <c r="E222" s="233" t="str">
        <f>VLOOKUP(Table9[[#This Row],[Document ID]],Table1[],7,FALSE)</f>
        <v>Second NDC</v>
      </c>
      <c r="F222" s="233" t="str">
        <f>VLOOKUP(Table9[[#This Row],[Document ID]],Table1[],8,FALSE)</f>
        <v>NDC 2.0</v>
      </c>
      <c r="G222" s="233" t="str">
        <f>VLOOKUP(Table9[[#This Row],[Document ID]],Table1[],10,FALSE)</f>
        <v>Active</v>
      </c>
      <c r="H222" s="44" t="s">
        <v>5072</v>
      </c>
      <c r="I222" s="43" t="s">
        <v>5073</v>
      </c>
      <c r="J222" s="44" t="s">
        <v>5295</v>
      </c>
      <c r="K222" s="221">
        <v>10</v>
      </c>
      <c r="L222" s="113" t="s">
        <v>1113</v>
      </c>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t="s">
        <v>1113</v>
      </c>
      <c r="AJ222" s="113"/>
      <c r="AK222" s="113"/>
      <c r="AL222" s="113"/>
      <c r="AM222" s="43" t="s">
        <v>5075</v>
      </c>
      <c r="AN222" s="233" t="str">
        <f>VLOOKUP(Table9[[#This Row],[Measure]],Table1025[[Value name]:[Value identifyer]],2,FALSE)</f>
        <v>R_System</v>
      </c>
      <c r="AO222" s="241" t="str">
        <f>VLOOKUP(Table9[[#This Row],[Country Code]],Table29[],3,FALSE)</f>
        <v>Non-Annex I</v>
      </c>
      <c r="AP222" s="241" t="str">
        <f>VLOOKUP(Table9[[#This Row],[Country Code]],Table29[],4,FALSE)</f>
        <v>Oceania</v>
      </c>
      <c r="AQ222" s="241" t="str">
        <f>VLOOKUP(Table9[[#This Row],[Country Code]],Table29[],5,FALSE)</f>
        <v>Middle-income</v>
      </c>
      <c r="AR222" s="241" t="str">
        <f>VLOOKUP(Table9[[#This Row],[Country Code]],Table29[],6,FALSE)</f>
        <v>no</v>
      </c>
      <c r="AS222" s="241" t="str">
        <f>VLOOKUP(Table9[[#This Row],[Country Code]],Table29[],7,FALSE)</f>
        <v>no</v>
      </c>
      <c r="AT222" s="241" t="str">
        <f>VLOOKUP(Table9[[#This Row],[Country Code]],Table29[],8,FALSE)</f>
        <v>non-OECD</v>
      </c>
      <c r="AU222" s="233" t="str">
        <f>VLOOKUP(Table9[[#This Row],[Country Code]],Table29[],9,FALSE)</f>
        <v>no</v>
      </c>
      <c r="AV222" s="233" t="str">
        <f>VLOOKUP(Table9[[#This Row],[Country Code]],Table29[],10,FALSE)</f>
        <v>no</v>
      </c>
      <c r="AW222" s="233">
        <f>VLOOKUP(Table9[[#This Row],[Country Code]],Table29[],23,FALSE)</f>
        <v>9.6409981982956001</v>
      </c>
      <c r="AX222" s="233">
        <f>VLOOKUP(Table9[[#This Row],[Country Code]],Table29[],24,FALSE)</f>
        <v>2.6300908312311049</v>
      </c>
      <c r="AY222" s="43"/>
    </row>
    <row r="223" spans="1:51" ht="30" x14ac:dyDescent="0.25">
      <c r="A223" s="367">
        <v>17698</v>
      </c>
      <c r="B223" s="233" t="str">
        <f>VLOOKUP(Table9[[#This Row],[Document ID]],Table1[],2,FALSE)</f>
        <v>PER</v>
      </c>
      <c r="C223" s="233" t="str">
        <f>VLOOKUP(Table9[[#This Row],[Document ID]],Table1[],3,FALSE)</f>
        <v>Peru</v>
      </c>
      <c r="D223" s="328" t="str">
        <f>VLOOKUP(Table9[[#This Row],[Document ID]],Table1[],5,FALSE)</f>
        <v>NDC</v>
      </c>
      <c r="E223" s="233" t="str">
        <f>VLOOKUP(Table9[[#This Row],[Document ID]],Table1[],7,FALSE)</f>
        <v>First NDC</v>
      </c>
      <c r="F223" s="328" t="str">
        <f>VLOOKUP(Table9[[#This Row],[Document ID]],Table1[],8,FALSE)</f>
        <v>NDC 1.0</v>
      </c>
      <c r="G223" s="328" t="str">
        <f>VLOOKUP(Table9[[#This Row],[Document ID]],Table1[],10,FALSE)</f>
        <v>Archived</v>
      </c>
      <c r="H223" s="44" t="s">
        <v>5072</v>
      </c>
      <c r="I223" s="43" t="s">
        <v>5073</v>
      </c>
      <c r="J223" s="209" t="s">
        <v>5296</v>
      </c>
      <c r="K223" s="257" t="s">
        <v>5081</v>
      </c>
      <c r="L223" s="326" t="s">
        <v>1113</v>
      </c>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t="s">
        <v>1113</v>
      </c>
      <c r="AJ223" s="326"/>
      <c r="AK223" s="326"/>
      <c r="AL223" s="326"/>
      <c r="AM223" s="327" t="s">
        <v>5075</v>
      </c>
      <c r="AN223" s="233" t="str">
        <f>VLOOKUP(Table9[[#This Row],[Measure]],Table1025[[Value name]:[Value identifyer]],2,FALSE)</f>
        <v>R_System</v>
      </c>
      <c r="AO223" s="241" t="str">
        <f>VLOOKUP(Table9[[#This Row],[Country Code]],Table29[],3,FALSE)</f>
        <v>Non-Annex I</v>
      </c>
      <c r="AP223" s="241" t="str">
        <f>VLOOKUP(Table9[[#This Row],[Country Code]],Table29[],4,FALSE)</f>
        <v>Latin America and the Caribbean</v>
      </c>
      <c r="AQ223" s="241" t="str">
        <f>VLOOKUP(Table9[[#This Row],[Country Code]],Table29[],5,FALSE)</f>
        <v>Middle-income</v>
      </c>
      <c r="AR223" s="241" t="str">
        <f>VLOOKUP(Table9[[#This Row],[Country Code]],Table29[],6,FALSE)</f>
        <v>no</v>
      </c>
      <c r="AS223" s="241" t="str">
        <f>VLOOKUP(Table9[[#This Row],[Country Code]],Table29[],7,FALSE)</f>
        <v>no</v>
      </c>
      <c r="AT223" s="241" t="str">
        <f>VLOOKUP(Table9[[#This Row],[Country Code]],Table29[],8,FALSE)</f>
        <v>non-OECD</v>
      </c>
      <c r="AU223" s="233" t="str">
        <f>VLOOKUP(Table9[[#This Row],[Country Code]],Table29[],9,FALSE)</f>
        <v>no</v>
      </c>
      <c r="AV223" s="233" t="str">
        <f>VLOOKUP(Table9[[#This Row],[Country Code]],Table29[],10,FALSE)</f>
        <v>no</v>
      </c>
      <c r="AW223" s="233">
        <f>VLOOKUP(Table9[[#This Row],[Country Code]],Table29[],23,FALSE)</f>
        <v>94.048681371835997</v>
      </c>
      <c r="AX223" s="233">
        <f>VLOOKUP(Table9[[#This Row],[Country Code]],Table29[],24,FALSE)</f>
        <v>24.487842900424742</v>
      </c>
      <c r="AY223" s="43"/>
    </row>
    <row r="224" spans="1:51" ht="150" x14ac:dyDescent="0.25">
      <c r="A224" s="367">
        <v>21704</v>
      </c>
      <c r="B224" s="233" t="str">
        <f>VLOOKUP(Table9[[#This Row],[Document ID]],Table1[],2,FALSE)</f>
        <v>QAT</v>
      </c>
      <c r="C224" s="233" t="str">
        <f>VLOOKUP(Table9[[#This Row],[Document ID]],Table1[],3,FALSE)</f>
        <v>Qatar</v>
      </c>
      <c r="D224" s="254" t="str">
        <f>VLOOKUP(Table9[[#This Row],[Document ID]],Table1[],5,FALSE)</f>
        <v>NDC</v>
      </c>
      <c r="E224" s="233" t="str">
        <f>VLOOKUP(Table9[[#This Row],[Document ID]],Table1[],7,FALSE)</f>
        <v>First NDC updated</v>
      </c>
      <c r="F224" s="241" t="str">
        <f>VLOOKUP(Table9[[#This Row],[Document ID]],Table1[],8,FALSE)</f>
        <v>NDC 1.1</v>
      </c>
      <c r="G224" s="241" t="str">
        <f>VLOOKUP(Table9[[#This Row],[Document ID]],Table1[],10,FALSE)</f>
        <v>Active</v>
      </c>
      <c r="H224" s="44" t="s">
        <v>5072</v>
      </c>
      <c r="I224" s="43" t="s">
        <v>5073</v>
      </c>
      <c r="J224" s="209" t="s">
        <v>5297</v>
      </c>
      <c r="K224" s="259">
        <v>10</v>
      </c>
      <c r="L224" s="219"/>
      <c r="M224" s="219"/>
      <c r="N224" s="113"/>
      <c r="O224" s="113"/>
      <c r="P224" s="113"/>
      <c r="Q224" s="113" t="s">
        <v>1113</v>
      </c>
      <c r="R224" s="113"/>
      <c r="S224" s="113"/>
      <c r="T224" s="113"/>
      <c r="U224" s="113"/>
      <c r="V224" s="113"/>
      <c r="W224" s="113"/>
      <c r="X224" s="113" t="s">
        <v>1113</v>
      </c>
      <c r="Y224" s="113"/>
      <c r="Z224" s="113"/>
      <c r="AA224" s="113"/>
      <c r="AB224" s="113" t="s">
        <v>1113</v>
      </c>
      <c r="AC224" s="113"/>
      <c r="AD224" s="113"/>
      <c r="AE224" s="113"/>
      <c r="AF224" s="113"/>
      <c r="AG224" s="113"/>
      <c r="AH224" s="113"/>
      <c r="AI224" s="219" t="s">
        <v>1113</v>
      </c>
      <c r="AJ224" s="326"/>
      <c r="AK224" s="326"/>
      <c r="AL224" s="326"/>
      <c r="AM224" s="327" t="s">
        <v>5075</v>
      </c>
      <c r="AN224" s="233" t="str">
        <f>VLOOKUP(Table9[[#This Row],[Measure]],Table1025[[Value name]:[Value identifyer]],2,FALSE)</f>
        <v>R_System</v>
      </c>
      <c r="AO224" s="241" t="str">
        <f>VLOOKUP(Table9[[#This Row],[Country Code]],Table29[],3,FALSE)</f>
        <v>Non-Annex I</v>
      </c>
      <c r="AP224" s="241" t="str">
        <f>VLOOKUP(Table9[[#This Row],[Country Code]],Table29[],4,FALSE)</f>
        <v>Asia</v>
      </c>
      <c r="AQ224" s="241" t="str">
        <f>VLOOKUP(Table9[[#This Row],[Country Code]],Table29[],5,FALSE)</f>
        <v>High-income</v>
      </c>
      <c r="AR224" s="241" t="str">
        <f>VLOOKUP(Table9[[#This Row],[Country Code]],Table29[],6,FALSE)</f>
        <v>no</v>
      </c>
      <c r="AS224" s="241" t="str">
        <f>VLOOKUP(Table9[[#This Row],[Country Code]],Table29[],7,FALSE)</f>
        <v>no</v>
      </c>
      <c r="AT224" s="241" t="str">
        <f>VLOOKUP(Table9[[#This Row],[Country Code]],Table29[],8,FALSE)</f>
        <v>non-OECD</v>
      </c>
      <c r="AU224" s="233" t="str">
        <f>VLOOKUP(Table9[[#This Row],[Country Code]],Table29[],9,FALSE)</f>
        <v>no</v>
      </c>
      <c r="AV224" s="233" t="str">
        <f>VLOOKUP(Table9[[#This Row],[Country Code]],Table29[],10,FALSE)</f>
        <v>MENA</v>
      </c>
      <c r="AW224" s="233">
        <f>VLOOKUP(Table9[[#This Row],[Country Code]],Table29[],23,FALSE)</f>
        <v>154.38356524030999</v>
      </c>
      <c r="AX224" s="233">
        <f>VLOOKUP(Table9[[#This Row],[Country Code]],Table29[],24,FALSE)</f>
        <v>15.0080032885677</v>
      </c>
      <c r="AY224" s="43"/>
    </row>
    <row r="225" spans="1:51" x14ac:dyDescent="0.25">
      <c r="A225" s="360">
        <v>17710</v>
      </c>
      <c r="B225" s="233" t="str">
        <f>VLOOKUP(Table9[[#This Row],[Document ID]],Table1[],2,FALSE)</f>
        <v>MDA</v>
      </c>
      <c r="C225" s="233" t="str">
        <f>VLOOKUP(Table9[[#This Row],[Document ID]],Table1[],3,FALSE)</f>
        <v>Republic of Moldova</v>
      </c>
      <c r="D225" s="241" t="str">
        <f>VLOOKUP(Table9[[#This Row],[Document ID]],Table1[],5,FALSE)</f>
        <v>NDC</v>
      </c>
      <c r="E225" s="233" t="str">
        <f>VLOOKUP(Table9[[#This Row],[Document ID]],Table1[],7,FALSE)</f>
        <v>First NDC updated</v>
      </c>
      <c r="F225" s="233" t="str">
        <f>VLOOKUP(Table9[[#This Row],[Document ID]],Table1[],8,FALSE)</f>
        <v>NDC 1.1</v>
      </c>
      <c r="G225" s="233" t="str">
        <f>VLOOKUP(Table9[[#This Row],[Document ID]],Table1[],10,FALSE)</f>
        <v>Active</v>
      </c>
      <c r="H225" s="44" t="s">
        <v>5072</v>
      </c>
      <c r="I225" s="43" t="s">
        <v>5073</v>
      </c>
      <c r="J225" s="44" t="s">
        <v>5298</v>
      </c>
      <c r="K225" s="221">
        <v>5</v>
      </c>
      <c r="L225" s="113" t="s">
        <v>1113</v>
      </c>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t="s">
        <v>1113</v>
      </c>
      <c r="AK225" s="113"/>
      <c r="AL225" s="113"/>
      <c r="AM225" s="43" t="s">
        <v>5075</v>
      </c>
      <c r="AN225" s="233" t="str">
        <f>VLOOKUP(Table9[[#This Row],[Measure]],Table1025[[Value name]:[Value identifyer]],2,FALSE)</f>
        <v>R_System</v>
      </c>
      <c r="AO225" s="241" t="str">
        <f>VLOOKUP(Table9[[#This Row],[Country Code]],Table29[],3,FALSE)</f>
        <v>Non-Annex I</v>
      </c>
      <c r="AP225" s="241" t="str">
        <f>VLOOKUP(Table9[[#This Row],[Country Code]],Table29[],4,FALSE)</f>
        <v>Europe</v>
      </c>
      <c r="AQ225" s="241" t="str">
        <f>VLOOKUP(Table9[[#This Row],[Country Code]],Table29[],5,FALSE)</f>
        <v>Middle-income</v>
      </c>
      <c r="AR225" s="241" t="str">
        <f>VLOOKUP(Table9[[#This Row],[Country Code]],Table29[],6,FALSE)</f>
        <v>no</v>
      </c>
      <c r="AS225" s="241" t="str">
        <f>VLOOKUP(Table9[[#This Row],[Country Code]],Table29[],7,FALSE)</f>
        <v>no</v>
      </c>
      <c r="AT225" s="241" t="str">
        <f>VLOOKUP(Table9[[#This Row],[Country Code]],Table29[],8,FALSE)</f>
        <v>non-OECD</v>
      </c>
      <c r="AU225" s="233" t="str">
        <f>VLOOKUP(Table9[[#This Row],[Country Code]],Table29[],9,FALSE)</f>
        <v>no</v>
      </c>
      <c r="AV225" s="233" t="str">
        <f>VLOOKUP(Table9[[#This Row],[Country Code]],Table29[],10,FALSE)</f>
        <v>no</v>
      </c>
      <c r="AW225" s="233">
        <f>VLOOKUP(Table9[[#This Row],[Country Code]],Table29[],23,FALSE)</f>
        <v>13.54241150505</v>
      </c>
      <c r="AX225" s="233">
        <f>VLOOKUP(Table9[[#This Row],[Country Code]],Table29[],24,FALSE)</f>
        <v>2.4025361889764838</v>
      </c>
      <c r="AY225" s="43"/>
    </row>
    <row r="226" spans="1:51" ht="30" x14ac:dyDescent="0.25">
      <c r="A226" s="360">
        <v>17710</v>
      </c>
      <c r="B226" s="233" t="str">
        <f>VLOOKUP(Table9[[#This Row],[Document ID]],Table1[],2,FALSE)</f>
        <v>MDA</v>
      </c>
      <c r="C226" s="233" t="str">
        <f>VLOOKUP(Table9[[#This Row],[Document ID]],Table1[],3,FALSE)</f>
        <v>Republic of Moldova</v>
      </c>
      <c r="D226" s="241" t="str">
        <f>VLOOKUP(Table9[[#This Row],[Document ID]],Table1[],5,FALSE)</f>
        <v>NDC</v>
      </c>
      <c r="E226" s="233" t="str">
        <f>VLOOKUP(Table9[[#This Row],[Document ID]],Table1[],7,FALSE)</f>
        <v>First NDC updated</v>
      </c>
      <c r="F226" s="233" t="str">
        <f>VLOOKUP(Table9[[#This Row],[Document ID]],Table1[],8,FALSE)</f>
        <v>NDC 1.1</v>
      </c>
      <c r="G226" s="233" t="str">
        <f>VLOOKUP(Table9[[#This Row],[Document ID]],Table1[],10,FALSE)</f>
        <v>Active</v>
      </c>
      <c r="H226" s="44" t="s">
        <v>5072</v>
      </c>
      <c r="I226" s="43" t="s">
        <v>5073</v>
      </c>
      <c r="J226" s="44" t="s">
        <v>5299</v>
      </c>
      <c r="K226" s="221">
        <v>5</v>
      </c>
      <c r="L226" s="113"/>
      <c r="M226" s="113"/>
      <c r="N226" s="113"/>
      <c r="O226" s="113"/>
      <c r="P226" s="113"/>
      <c r="Q226" s="113" t="s">
        <v>1113</v>
      </c>
      <c r="R226" s="113"/>
      <c r="S226" s="113"/>
      <c r="T226" s="113"/>
      <c r="U226" s="113"/>
      <c r="V226" s="113"/>
      <c r="W226" s="113"/>
      <c r="X226" s="113" t="s">
        <v>1113</v>
      </c>
      <c r="Y226" s="113"/>
      <c r="Z226" s="113"/>
      <c r="AA226" s="113"/>
      <c r="AB226" s="113"/>
      <c r="AC226" s="113"/>
      <c r="AD226" s="113"/>
      <c r="AE226" s="113"/>
      <c r="AF226" s="113"/>
      <c r="AG226" s="113"/>
      <c r="AH226" s="113"/>
      <c r="AI226" s="113" t="s">
        <v>1113</v>
      </c>
      <c r="AJ226" s="113"/>
      <c r="AK226" s="113"/>
      <c r="AL226" s="113"/>
      <c r="AM226" s="43" t="s">
        <v>5075</v>
      </c>
      <c r="AN226" s="233" t="str">
        <f>VLOOKUP(Table9[[#This Row],[Measure]],Table1025[[Value name]:[Value identifyer]],2,FALSE)</f>
        <v>R_System</v>
      </c>
      <c r="AO226" s="241" t="str">
        <f>VLOOKUP(Table9[[#This Row],[Country Code]],Table29[],3,FALSE)</f>
        <v>Non-Annex I</v>
      </c>
      <c r="AP226" s="241" t="str">
        <f>VLOOKUP(Table9[[#This Row],[Country Code]],Table29[],4,FALSE)</f>
        <v>Europe</v>
      </c>
      <c r="AQ226" s="241" t="str">
        <f>VLOOKUP(Table9[[#This Row],[Country Code]],Table29[],5,FALSE)</f>
        <v>Middle-income</v>
      </c>
      <c r="AR226" s="241" t="str">
        <f>VLOOKUP(Table9[[#This Row],[Country Code]],Table29[],6,FALSE)</f>
        <v>no</v>
      </c>
      <c r="AS226" s="241" t="str">
        <f>VLOOKUP(Table9[[#This Row],[Country Code]],Table29[],7,FALSE)</f>
        <v>no</v>
      </c>
      <c r="AT226" s="241" t="str">
        <f>VLOOKUP(Table9[[#This Row],[Country Code]],Table29[],8,FALSE)</f>
        <v>non-OECD</v>
      </c>
      <c r="AU226" s="233" t="str">
        <f>VLOOKUP(Table9[[#This Row],[Country Code]],Table29[],9,FALSE)</f>
        <v>no</v>
      </c>
      <c r="AV226" s="233" t="str">
        <f>VLOOKUP(Table9[[#This Row],[Country Code]],Table29[],10,FALSE)</f>
        <v>no</v>
      </c>
      <c r="AW226" s="233">
        <f>VLOOKUP(Table9[[#This Row],[Country Code]],Table29[],23,FALSE)</f>
        <v>13.54241150505</v>
      </c>
      <c r="AX226" s="233">
        <f>VLOOKUP(Table9[[#This Row],[Country Code]],Table29[],24,FALSE)</f>
        <v>2.4025361889764838</v>
      </c>
      <c r="AY226" s="43"/>
    </row>
    <row r="227" spans="1:51" x14ac:dyDescent="0.25">
      <c r="A227" s="360">
        <v>17710</v>
      </c>
      <c r="B227" s="233" t="str">
        <f>VLOOKUP(Table9[[#This Row],[Document ID]],Table1[],2,FALSE)</f>
        <v>MDA</v>
      </c>
      <c r="C227" s="233" t="str">
        <f>VLOOKUP(Table9[[#This Row],[Document ID]],Table1[],3,FALSE)</f>
        <v>Republic of Moldova</v>
      </c>
      <c r="D227" s="241" t="str">
        <f>VLOOKUP(Table9[[#This Row],[Document ID]],Table1[],5,FALSE)</f>
        <v>NDC</v>
      </c>
      <c r="E227" s="233" t="str">
        <f>VLOOKUP(Table9[[#This Row],[Document ID]],Table1[],7,FALSE)</f>
        <v>First NDC updated</v>
      </c>
      <c r="F227" s="233" t="str">
        <f>VLOOKUP(Table9[[#This Row],[Document ID]],Table1[],8,FALSE)</f>
        <v>NDC 1.1</v>
      </c>
      <c r="G227" s="233" t="str">
        <f>VLOOKUP(Table9[[#This Row],[Document ID]],Table1[],10,FALSE)</f>
        <v>Active</v>
      </c>
      <c r="H227" s="44" t="s">
        <v>5076</v>
      </c>
      <c r="I227" s="43" t="s">
        <v>5089</v>
      </c>
      <c r="J227" s="44" t="s">
        <v>5300</v>
      </c>
      <c r="K227" s="221">
        <v>5</v>
      </c>
      <c r="L227" s="113" t="s">
        <v>1113</v>
      </c>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t="s">
        <v>1113</v>
      </c>
      <c r="AJ227" s="113"/>
      <c r="AK227" s="113"/>
      <c r="AL227" s="113"/>
      <c r="AM227" s="43" t="s">
        <v>5075</v>
      </c>
      <c r="AN227" s="233" t="str">
        <f>VLOOKUP(Table9[[#This Row],[Measure]],Table1025[[Value name]:[Value identifyer]],2,FALSE)</f>
        <v>R_Design</v>
      </c>
      <c r="AO227" s="241" t="str">
        <f>VLOOKUP(Table9[[#This Row],[Country Code]],Table29[],3,FALSE)</f>
        <v>Non-Annex I</v>
      </c>
      <c r="AP227" s="241" t="str">
        <f>VLOOKUP(Table9[[#This Row],[Country Code]],Table29[],4,FALSE)</f>
        <v>Europe</v>
      </c>
      <c r="AQ227" s="241" t="str">
        <f>VLOOKUP(Table9[[#This Row],[Country Code]],Table29[],5,FALSE)</f>
        <v>Middle-income</v>
      </c>
      <c r="AR227" s="241" t="str">
        <f>VLOOKUP(Table9[[#This Row],[Country Code]],Table29[],6,FALSE)</f>
        <v>no</v>
      </c>
      <c r="AS227" s="241" t="str">
        <f>VLOOKUP(Table9[[#This Row],[Country Code]],Table29[],7,FALSE)</f>
        <v>no</v>
      </c>
      <c r="AT227" s="241" t="str">
        <f>VLOOKUP(Table9[[#This Row],[Country Code]],Table29[],8,FALSE)</f>
        <v>non-OECD</v>
      </c>
      <c r="AU227" s="233" t="str">
        <f>VLOOKUP(Table9[[#This Row],[Country Code]],Table29[],9,FALSE)</f>
        <v>no</v>
      </c>
      <c r="AV227" s="233" t="str">
        <f>VLOOKUP(Table9[[#This Row],[Country Code]],Table29[],10,FALSE)</f>
        <v>no</v>
      </c>
      <c r="AW227" s="233">
        <f>VLOOKUP(Table9[[#This Row],[Country Code]],Table29[],23,FALSE)</f>
        <v>13.54241150505</v>
      </c>
      <c r="AX227" s="233">
        <f>VLOOKUP(Table9[[#This Row],[Country Code]],Table29[],24,FALSE)</f>
        <v>2.4025361889764838</v>
      </c>
      <c r="AY227" s="43"/>
    </row>
    <row r="228" spans="1:51" ht="30" x14ac:dyDescent="0.25">
      <c r="A228" s="360">
        <v>17710</v>
      </c>
      <c r="B228" s="233" t="str">
        <f>VLOOKUP(Table9[[#This Row],[Document ID]],Table1[],2,FALSE)</f>
        <v>MDA</v>
      </c>
      <c r="C228" s="233" t="str">
        <f>VLOOKUP(Table9[[#This Row],[Document ID]],Table1[],3,FALSE)</f>
        <v>Republic of Moldova</v>
      </c>
      <c r="D228" s="241" t="str">
        <f>VLOOKUP(Table9[[#This Row],[Document ID]],Table1[],5,FALSE)</f>
        <v>NDC</v>
      </c>
      <c r="E228" s="233" t="str">
        <f>VLOOKUP(Table9[[#This Row],[Document ID]],Table1[],7,FALSE)</f>
        <v>First NDC updated</v>
      </c>
      <c r="F228" s="233" t="str">
        <f>VLOOKUP(Table9[[#This Row],[Document ID]],Table1[],8,FALSE)</f>
        <v>NDC 1.1</v>
      </c>
      <c r="G228" s="233" t="str">
        <f>VLOOKUP(Table9[[#This Row],[Document ID]],Table1[],10,FALSE)</f>
        <v>Active</v>
      </c>
      <c r="H228" s="44" t="s">
        <v>5072</v>
      </c>
      <c r="I228" s="43" t="s">
        <v>5073</v>
      </c>
      <c r="J228" s="44" t="s">
        <v>5301</v>
      </c>
      <c r="K228" s="221">
        <v>5</v>
      </c>
      <c r="L228" s="113"/>
      <c r="M228" s="113"/>
      <c r="N228" s="113"/>
      <c r="O228" s="113"/>
      <c r="P228" s="113"/>
      <c r="Q228" s="113" t="s">
        <v>1113</v>
      </c>
      <c r="R228" s="113"/>
      <c r="S228" s="113"/>
      <c r="T228" s="113"/>
      <c r="U228" s="113"/>
      <c r="V228" s="113"/>
      <c r="W228" s="113"/>
      <c r="X228" s="113"/>
      <c r="Y228" s="113"/>
      <c r="Z228" s="113"/>
      <c r="AA228" s="113"/>
      <c r="AB228" s="113"/>
      <c r="AC228" s="113"/>
      <c r="AD228" s="113"/>
      <c r="AE228" s="113"/>
      <c r="AF228" s="113"/>
      <c r="AG228" s="113"/>
      <c r="AH228" s="113"/>
      <c r="AI228" s="113"/>
      <c r="AJ228" s="113"/>
      <c r="AK228" s="113" t="s">
        <v>1113</v>
      </c>
      <c r="AL228" s="113"/>
      <c r="AM228" s="43" t="s">
        <v>5075</v>
      </c>
      <c r="AN228" s="233" t="str">
        <f>VLOOKUP(Table9[[#This Row],[Measure]],Table1025[[Value name]:[Value identifyer]],2,FALSE)</f>
        <v>R_System</v>
      </c>
      <c r="AO228" s="241" t="str">
        <f>VLOOKUP(Table9[[#This Row],[Country Code]],Table29[],3,FALSE)</f>
        <v>Non-Annex I</v>
      </c>
      <c r="AP228" s="241" t="str">
        <f>VLOOKUP(Table9[[#This Row],[Country Code]],Table29[],4,FALSE)</f>
        <v>Europe</v>
      </c>
      <c r="AQ228" s="241" t="str">
        <f>VLOOKUP(Table9[[#This Row],[Country Code]],Table29[],5,FALSE)</f>
        <v>Middle-income</v>
      </c>
      <c r="AR228" s="241" t="str">
        <f>VLOOKUP(Table9[[#This Row],[Country Code]],Table29[],6,FALSE)</f>
        <v>no</v>
      </c>
      <c r="AS228" s="241" t="str">
        <f>VLOOKUP(Table9[[#This Row],[Country Code]],Table29[],7,FALSE)</f>
        <v>no</v>
      </c>
      <c r="AT228" s="241" t="str">
        <f>VLOOKUP(Table9[[#This Row],[Country Code]],Table29[],8,FALSE)</f>
        <v>non-OECD</v>
      </c>
      <c r="AU228" s="233" t="str">
        <f>VLOOKUP(Table9[[#This Row],[Country Code]],Table29[],9,FALSE)</f>
        <v>no</v>
      </c>
      <c r="AV228" s="233" t="str">
        <f>VLOOKUP(Table9[[#This Row],[Country Code]],Table29[],10,FALSE)</f>
        <v>no</v>
      </c>
      <c r="AW228" s="233">
        <f>VLOOKUP(Table9[[#This Row],[Country Code]],Table29[],23,FALSE)</f>
        <v>13.54241150505</v>
      </c>
      <c r="AX228" s="233">
        <f>VLOOKUP(Table9[[#This Row],[Country Code]],Table29[],24,FALSE)</f>
        <v>2.4025361889764838</v>
      </c>
      <c r="AY228" s="43"/>
    </row>
    <row r="229" spans="1:51" ht="30" x14ac:dyDescent="0.25">
      <c r="A229" s="360">
        <v>17710</v>
      </c>
      <c r="B229" s="233" t="str">
        <f>VLOOKUP(Table9[[#This Row],[Document ID]],Table1[],2,FALSE)</f>
        <v>MDA</v>
      </c>
      <c r="C229" s="233" t="str">
        <f>VLOOKUP(Table9[[#This Row],[Document ID]],Table1[],3,FALSE)</f>
        <v>Republic of Moldova</v>
      </c>
      <c r="D229" s="241" t="str">
        <f>VLOOKUP(Table9[[#This Row],[Document ID]],Table1[],5,FALSE)</f>
        <v>NDC</v>
      </c>
      <c r="E229" s="233" t="str">
        <f>VLOOKUP(Table9[[#This Row],[Document ID]],Table1[],7,FALSE)</f>
        <v>First NDC updated</v>
      </c>
      <c r="F229" s="233" t="str">
        <f>VLOOKUP(Table9[[#This Row],[Document ID]],Table1[],8,FALSE)</f>
        <v>NDC 1.1</v>
      </c>
      <c r="G229" s="233" t="str">
        <f>VLOOKUP(Table9[[#This Row],[Document ID]],Table1[],10,FALSE)</f>
        <v>Active</v>
      </c>
      <c r="H229" s="44" t="s">
        <v>5086</v>
      </c>
      <c r="I229" s="43" t="s">
        <v>5087</v>
      </c>
      <c r="J229" s="44" t="s">
        <v>5302</v>
      </c>
      <c r="K229" s="221">
        <v>44</v>
      </c>
      <c r="L229" s="113" t="s">
        <v>1113</v>
      </c>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t="s">
        <v>1113</v>
      </c>
      <c r="AJ229" s="113"/>
      <c r="AK229" s="113"/>
      <c r="AL229" s="113"/>
      <c r="AM229" s="43" t="s">
        <v>5075</v>
      </c>
      <c r="AN229" s="233" t="str">
        <f>VLOOKUP(Table9[[#This Row],[Measure]],Table1025[[Value name]:[Value identifyer]],2,FALSE)</f>
        <v>R_Education</v>
      </c>
      <c r="AO229" s="241" t="str">
        <f>VLOOKUP(Table9[[#This Row],[Country Code]],Table29[],3,FALSE)</f>
        <v>Non-Annex I</v>
      </c>
      <c r="AP229" s="241" t="str">
        <f>VLOOKUP(Table9[[#This Row],[Country Code]],Table29[],4,FALSE)</f>
        <v>Europe</v>
      </c>
      <c r="AQ229" s="241" t="str">
        <f>VLOOKUP(Table9[[#This Row],[Country Code]],Table29[],5,FALSE)</f>
        <v>Middle-income</v>
      </c>
      <c r="AR229" s="241" t="str">
        <f>VLOOKUP(Table9[[#This Row],[Country Code]],Table29[],6,FALSE)</f>
        <v>no</v>
      </c>
      <c r="AS229" s="241" t="str">
        <f>VLOOKUP(Table9[[#This Row],[Country Code]],Table29[],7,FALSE)</f>
        <v>no</v>
      </c>
      <c r="AT229" s="241" t="str">
        <f>VLOOKUP(Table9[[#This Row],[Country Code]],Table29[],8,FALSE)</f>
        <v>non-OECD</v>
      </c>
      <c r="AU229" s="233" t="str">
        <f>VLOOKUP(Table9[[#This Row],[Country Code]],Table29[],9,FALSE)</f>
        <v>no</v>
      </c>
      <c r="AV229" s="233" t="str">
        <f>VLOOKUP(Table9[[#This Row],[Country Code]],Table29[],10,FALSE)</f>
        <v>no</v>
      </c>
      <c r="AW229" s="233">
        <f>VLOOKUP(Table9[[#This Row],[Country Code]],Table29[],23,FALSE)</f>
        <v>13.54241150505</v>
      </c>
      <c r="AX229" s="233">
        <f>VLOOKUP(Table9[[#This Row],[Country Code]],Table29[],24,FALSE)</f>
        <v>2.4025361889764838</v>
      </c>
      <c r="AY229" s="43"/>
    </row>
    <row r="230" spans="1:51" ht="30" x14ac:dyDescent="0.25">
      <c r="A230" s="360">
        <v>17710</v>
      </c>
      <c r="B230" s="233" t="str">
        <f>VLOOKUP(Table9[[#This Row],[Document ID]],Table1[],2,FALSE)</f>
        <v>MDA</v>
      </c>
      <c r="C230" s="233" t="str">
        <f>VLOOKUP(Table9[[#This Row],[Document ID]],Table1[],3,FALSE)</f>
        <v>Republic of Moldova</v>
      </c>
      <c r="D230" s="241" t="str">
        <f>VLOOKUP(Table9[[#This Row],[Document ID]],Table1[],5,FALSE)</f>
        <v>NDC</v>
      </c>
      <c r="E230" s="233" t="str">
        <f>VLOOKUP(Table9[[#This Row],[Document ID]],Table1[],7,FALSE)</f>
        <v>First NDC updated</v>
      </c>
      <c r="F230" s="233" t="str">
        <f>VLOOKUP(Table9[[#This Row],[Document ID]],Table1[],8,FALSE)</f>
        <v>NDC 1.1</v>
      </c>
      <c r="G230" s="233" t="str">
        <f>VLOOKUP(Table9[[#This Row],[Document ID]],Table1[],10,FALSE)</f>
        <v>Active</v>
      </c>
      <c r="H230" s="44" t="s">
        <v>5072</v>
      </c>
      <c r="I230" s="43" t="s">
        <v>5082</v>
      </c>
      <c r="J230" s="44" t="s">
        <v>5303</v>
      </c>
      <c r="K230" s="221">
        <v>44</v>
      </c>
      <c r="L230" s="113" t="s">
        <v>1113</v>
      </c>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t="s">
        <v>1113</v>
      </c>
      <c r="AJ230" s="113"/>
      <c r="AK230" s="113"/>
      <c r="AL230" s="113"/>
      <c r="AM230" s="43" t="s">
        <v>5075</v>
      </c>
      <c r="AN230" s="233" t="str">
        <f>VLOOKUP(Table9[[#This Row],[Measure]],Table1025[[Value name]:[Value identifyer]],2,FALSE)</f>
        <v>R_Risk</v>
      </c>
      <c r="AO230" s="241" t="str">
        <f>VLOOKUP(Table9[[#This Row],[Country Code]],Table29[],3,FALSE)</f>
        <v>Non-Annex I</v>
      </c>
      <c r="AP230" s="241" t="str">
        <f>VLOOKUP(Table9[[#This Row],[Country Code]],Table29[],4,FALSE)</f>
        <v>Europe</v>
      </c>
      <c r="AQ230" s="241" t="str">
        <f>VLOOKUP(Table9[[#This Row],[Country Code]],Table29[],5,FALSE)</f>
        <v>Middle-income</v>
      </c>
      <c r="AR230" s="241" t="str">
        <f>VLOOKUP(Table9[[#This Row],[Country Code]],Table29[],6,FALSE)</f>
        <v>no</v>
      </c>
      <c r="AS230" s="241" t="str">
        <f>VLOOKUP(Table9[[#This Row],[Country Code]],Table29[],7,FALSE)</f>
        <v>no</v>
      </c>
      <c r="AT230" s="241" t="str">
        <f>VLOOKUP(Table9[[#This Row],[Country Code]],Table29[],8,FALSE)</f>
        <v>non-OECD</v>
      </c>
      <c r="AU230" s="233" t="str">
        <f>VLOOKUP(Table9[[#This Row],[Country Code]],Table29[],9,FALSE)</f>
        <v>no</v>
      </c>
      <c r="AV230" s="233" t="str">
        <f>VLOOKUP(Table9[[#This Row],[Country Code]],Table29[],10,FALSE)</f>
        <v>no</v>
      </c>
      <c r="AW230" s="233">
        <f>VLOOKUP(Table9[[#This Row],[Country Code]],Table29[],23,FALSE)</f>
        <v>13.54241150505</v>
      </c>
      <c r="AX230" s="233">
        <f>VLOOKUP(Table9[[#This Row],[Country Code]],Table29[],24,FALSE)</f>
        <v>2.4025361889764838</v>
      </c>
      <c r="AY230" s="43"/>
    </row>
    <row r="231" spans="1:51" ht="30" x14ac:dyDescent="0.25">
      <c r="A231" s="360">
        <v>17710</v>
      </c>
      <c r="B231" s="233" t="str">
        <f>VLOOKUP(Table9[[#This Row],[Document ID]],Table1[],2,FALSE)</f>
        <v>MDA</v>
      </c>
      <c r="C231" s="233" t="str">
        <f>VLOOKUP(Table9[[#This Row],[Document ID]],Table1[],3,FALSE)</f>
        <v>Republic of Moldova</v>
      </c>
      <c r="D231" s="241" t="str">
        <f>VLOOKUP(Table9[[#This Row],[Document ID]],Table1[],5,FALSE)</f>
        <v>NDC</v>
      </c>
      <c r="E231" s="233" t="str">
        <f>VLOOKUP(Table9[[#This Row],[Document ID]],Table1[],7,FALSE)</f>
        <v>First NDC updated</v>
      </c>
      <c r="F231" s="233" t="str">
        <f>VLOOKUP(Table9[[#This Row],[Document ID]],Table1[],8,FALSE)</f>
        <v>NDC 1.1</v>
      </c>
      <c r="G231" s="233" t="str">
        <f>VLOOKUP(Table9[[#This Row],[Document ID]],Table1[],10,FALSE)</f>
        <v>Active</v>
      </c>
      <c r="H231" s="44" t="s">
        <v>5256</v>
      </c>
      <c r="I231" s="43" t="s">
        <v>5256</v>
      </c>
      <c r="J231" s="44" t="s">
        <v>5304</v>
      </c>
      <c r="K231" s="221">
        <v>44</v>
      </c>
      <c r="L231" s="113" t="s">
        <v>1113</v>
      </c>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t="s">
        <v>1113</v>
      </c>
      <c r="AJ231" s="113"/>
      <c r="AK231" s="113"/>
      <c r="AL231" s="113"/>
      <c r="AM231" s="43" t="s">
        <v>5075</v>
      </c>
      <c r="AN231" s="233" t="str">
        <f>VLOOKUP(Table9[[#This Row],[Measure]],Table1025[[Value name]:[Value identifyer]],2,FALSE)</f>
        <v>A_OTHER</v>
      </c>
      <c r="AO231" s="241" t="str">
        <f>VLOOKUP(Table9[[#This Row],[Country Code]],Table29[],3,FALSE)</f>
        <v>Non-Annex I</v>
      </c>
      <c r="AP231" s="241" t="str">
        <f>VLOOKUP(Table9[[#This Row],[Country Code]],Table29[],4,FALSE)</f>
        <v>Europe</v>
      </c>
      <c r="AQ231" s="241" t="str">
        <f>VLOOKUP(Table9[[#This Row],[Country Code]],Table29[],5,FALSE)</f>
        <v>Middle-income</v>
      </c>
      <c r="AR231" s="241" t="str">
        <f>VLOOKUP(Table9[[#This Row],[Country Code]],Table29[],6,FALSE)</f>
        <v>no</v>
      </c>
      <c r="AS231" s="241" t="str">
        <f>VLOOKUP(Table9[[#This Row],[Country Code]],Table29[],7,FALSE)</f>
        <v>no</v>
      </c>
      <c r="AT231" s="241" t="str">
        <f>VLOOKUP(Table9[[#This Row],[Country Code]],Table29[],8,FALSE)</f>
        <v>non-OECD</v>
      </c>
      <c r="AU231" s="233" t="str">
        <f>VLOOKUP(Table9[[#This Row],[Country Code]],Table29[],9,FALSE)</f>
        <v>no</v>
      </c>
      <c r="AV231" s="233" t="str">
        <f>VLOOKUP(Table9[[#This Row],[Country Code]],Table29[],10,FALSE)</f>
        <v>no</v>
      </c>
      <c r="AW231" s="233">
        <f>VLOOKUP(Table9[[#This Row],[Country Code]],Table29[],23,FALSE)</f>
        <v>13.54241150505</v>
      </c>
      <c r="AX231" s="233">
        <f>VLOOKUP(Table9[[#This Row],[Country Code]],Table29[],24,FALSE)</f>
        <v>2.4025361889764838</v>
      </c>
      <c r="AY231" s="43"/>
    </row>
    <row r="232" spans="1:51" ht="45" x14ac:dyDescent="0.25">
      <c r="A232" s="360">
        <v>17710</v>
      </c>
      <c r="B232" s="233" t="str">
        <f>VLOOKUP(Table9[[#This Row],[Document ID]],Table1[],2,FALSE)</f>
        <v>MDA</v>
      </c>
      <c r="C232" s="233" t="str">
        <f>VLOOKUP(Table9[[#This Row],[Document ID]],Table1[],3,FALSE)</f>
        <v>Republic of Moldova</v>
      </c>
      <c r="D232" s="241" t="str">
        <f>VLOOKUP(Table9[[#This Row],[Document ID]],Table1[],5,FALSE)</f>
        <v>NDC</v>
      </c>
      <c r="E232" s="233" t="str">
        <f>VLOOKUP(Table9[[#This Row],[Document ID]],Table1[],7,FALSE)</f>
        <v>First NDC updated</v>
      </c>
      <c r="F232" s="233" t="str">
        <f>VLOOKUP(Table9[[#This Row],[Document ID]],Table1[],8,FALSE)</f>
        <v>NDC 1.1</v>
      </c>
      <c r="G232" s="233" t="str">
        <f>VLOOKUP(Table9[[#This Row],[Document ID]],Table1[],10,FALSE)</f>
        <v>Active</v>
      </c>
      <c r="H232" s="44" t="s">
        <v>5086</v>
      </c>
      <c r="I232" s="43" t="s">
        <v>5087</v>
      </c>
      <c r="J232" s="44" t="s">
        <v>5305</v>
      </c>
      <c r="K232" s="221">
        <v>44</v>
      </c>
      <c r="L232" s="113" t="s">
        <v>1113</v>
      </c>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t="s">
        <v>1113</v>
      </c>
      <c r="AJ232" s="113"/>
      <c r="AK232" s="113"/>
      <c r="AL232" s="113"/>
      <c r="AM232" s="43" t="s">
        <v>5075</v>
      </c>
      <c r="AN232" s="233" t="str">
        <f>VLOOKUP(Table9[[#This Row],[Measure]],Table1025[[Value name]:[Value identifyer]],2,FALSE)</f>
        <v>R_Education</v>
      </c>
      <c r="AO232" s="241" t="str">
        <f>VLOOKUP(Table9[[#This Row],[Country Code]],Table29[],3,FALSE)</f>
        <v>Non-Annex I</v>
      </c>
      <c r="AP232" s="241" t="str">
        <f>VLOOKUP(Table9[[#This Row],[Country Code]],Table29[],4,FALSE)</f>
        <v>Europe</v>
      </c>
      <c r="AQ232" s="241" t="str">
        <f>VLOOKUP(Table9[[#This Row],[Country Code]],Table29[],5,FALSE)</f>
        <v>Middle-income</v>
      </c>
      <c r="AR232" s="241" t="str">
        <f>VLOOKUP(Table9[[#This Row],[Country Code]],Table29[],6,FALSE)</f>
        <v>no</v>
      </c>
      <c r="AS232" s="241" t="str">
        <f>VLOOKUP(Table9[[#This Row],[Country Code]],Table29[],7,FALSE)</f>
        <v>no</v>
      </c>
      <c r="AT232" s="241" t="str">
        <f>VLOOKUP(Table9[[#This Row],[Country Code]],Table29[],8,FALSE)</f>
        <v>non-OECD</v>
      </c>
      <c r="AU232" s="233" t="str">
        <f>VLOOKUP(Table9[[#This Row],[Country Code]],Table29[],9,FALSE)</f>
        <v>no</v>
      </c>
      <c r="AV232" s="233" t="str">
        <f>VLOOKUP(Table9[[#This Row],[Country Code]],Table29[],10,FALSE)</f>
        <v>no</v>
      </c>
      <c r="AW232" s="233">
        <f>VLOOKUP(Table9[[#This Row],[Country Code]],Table29[],23,FALSE)</f>
        <v>13.54241150505</v>
      </c>
      <c r="AX232" s="233">
        <f>VLOOKUP(Table9[[#This Row],[Country Code]],Table29[],24,FALSE)</f>
        <v>2.4025361889764838</v>
      </c>
      <c r="AY232" s="43"/>
    </row>
    <row r="233" spans="1:51" ht="30" x14ac:dyDescent="0.25">
      <c r="A233" s="360">
        <v>17710</v>
      </c>
      <c r="B233" s="233" t="str">
        <f>VLOOKUP(Table9[[#This Row],[Document ID]],Table1[],2,FALSE)</f>
        <v>MDA</v>
      </c>
      <c r="C233" s="233" t="str">
        <f>VLOOKUP(Table9[[#This Row],[Document ID]],Table1[],3,FALSE)</f>
        <v>Republic of Moldova</v>
      </c>
      <c r="D233" s="241" t="str">
        <f>VLOOKUP(Table9[[#This Row],[Document ID]],Table1[],5,FALSE)</f>
        <v>NDC</v>
      </c>
      <c r="E233" s="233" t="str">
        <f>VLOOKUP(Table9[[#This Row],[Document ID]],Table1[],7,FALSE)</f>
        <v>First NDC updated</v>
      </c>
      <c r="F233" s="233" t="str">
        <f>VLOOKUP(Table9[[#This Row],[Document ID]],Table1[],8,FALSE)</f>
        <v>NDC 1.1</v>
      </c>
      <c r="G233" s="233" t="str">
        <f>VLOOKUP(Table9[[#This Row],[Document ID]],Table1[],10,FALSE)</f>
        <v>Active</v>
      </c>
      <c r="H233" s="44" t="s">
        <v>5072</v>
      </c>
      <c r="I233" s="43" t="s">
        <v>5097</v>
      </c>
      <c r="J233" s="44" t="s">
        <v>5306</v>
      </c>
      <c r="K233" s="221">
        <v>45</v>
      </c>
      <c r="L233" s="113"/>
      <c r="M233" s="113"/>
      <c r="N233" s="113"/>
      <c r="O233" s="113"/>
      <c r="P233" s="113"/>
      <c r="Q233" s="113" t="s">
        <v>1113</v>
      </c>
      <c r="R233" s="113"/>
      <c r="S233" s="113"/>
      <c r="T233" s="113"/>
      <c r="U233" s="113"/>
      <c r="V233" s="113"/>
      <c r="W233" s="113"/>
      <c r="X233" s="113" t="s">
        <v>1113</v>
      </c>
      <c r="Y233" s="113"/>
      <c r="Z233" s="113"/>
      <c r="AA233" s="113"/>
      <c r="AB233" s="113" t="s">
        <v>1113</v>
      </c>
      <c r="AC233" s="113"/>
      <c r="AD233" s="113"/>
      <c r="AE233" s="113"/>
      <c r="AF233" s="113" t="s">
        <v>1113</v>
      </c>
      <c r="AG233" s="113"/>
      <c r="AH233" s="113"/>
      <c r="AI233" s="113" t="s">
        <v>1113</v>
      </c>
      <c r="AJ233" s="113"/>
      <c r="AK233" s="113"/>
      <c r="AL233" s="113"/>
      <c r="AM233" s="43" t="s">
        <v>5075</v>
      </c>
      <c r="AN233" s="233" t="str">
        <f>VLOOKUP(Table9[[#This Row],[Measure]],Table1025[[Value name]:[Value identifyer]],2,FALSE)</f>
        <v>R_Tech</v>
      </c>
      <c r="AO233" s="241" t="str">
        <f>VLOOKUP(Table9[[#This Row],[Country Code]],Table29[],3,FALSE)</f>
        <v>Non-Annex I</v>
      </c>
      <c r="AP233" s="241" t="str">
        <f>VLOOKUP(Table9[[#This Row],[Country Code]],Table29[],4,FALSE)</f>
        <v>Europe</v>
      </c>
      <c r="AQ233" s="241" t="str">
        <f>VLOOKUP(Table9[[#This Row],[Country Code]],Table29[],5,FALSE)</f>
        <v>Middle-income</v>
      </c>
      <c r="AR233" s="241" t="str">
        <f>VLOOKUP(Table9[[#This Row],[Country Code]],Table29[],6,FALSE)</f>
        <v>no</v>
      </c>
      <c r="AS233" s="241" t="str">
        <f>VLOOKUP(Table9[[#This Row],[Country Code]],Table29[],7,FALSE)</f>
        <v>no</v>
      </c>
      <c r="AT233" s="241" t="str">
        <f>VLOOKUP(Table9[[#This Row],[Country Code]],Table29[],8,FALSE)</f>
        <v>non-OECD</v>
      </c>
      <c r="AU233" s="233" t="str">
        <f>VLOOKUP(Table9[[#This Row],[Country Code]],Table29[],9,FALSE)</f>
        <v>no</v>
      </c>
      <c r="AV233" s="233" t="str">
        <f>VLOOKUP(Table9[[#This Row],[Country Code]],Table29[],10,FALSE)</f>
        <v>no</v>
      </c>
      <c r="AW233" s="233">
        <f>VLOOKUP(Table9[[#This Row],[Country Code]],Table29[],23,FALSE)</f>
        <v>13.54241150505</v>
      </c>
      <c r="AX233" s="233">
        <f>VLOOKUP(Table9[[#This Row],[Country Code]],Table29[],24,FALSE)</f>
        <v>2.4025361889764838</v>
      </c>
      <c r="AY233" s="43"/>
    </row>
    <row r="234" spans="1:51" ht="30" x14ac:dyDescent="0.25">
      <c r="A234" s="360">
        <v>17710</v>
      </c>
      <c r="B234" s="233" t="str">
        <f>VLOOKUP(Table9[[#This Row],[Document ID]],Table1[],2,FALSE)</f>
        <v>MDA</v>
      </c>
      <c r="C234" s="233" t="str">
        <f>VLOOKUP(Table9[[#This Row],[Document ID]],Table1[],3,FALSE)</f>
        <v>Republic of Moldova</v>
      </c>
      <c r="D234" s="241" t="str">
        <f>VLOOKUP(Table9[[#This Row],[Document ID]],Table1[],5,FALSE)</f>
        <v>NDC</v>
      </c>
      <c r="E234" s="233" t="str">
        <f>VLOOKUP(Table9[[#This Row],[Document ID]],Table1[],7,FALSE)</f>
        <v>First NDC updated</v>
      </c>
      <c r="F234" s="233" t="str">
        <f>VLOOKUP(Table9[[#This Row],[Document ID]],Table1[],8,FALSE)</f>
        <v>NDC 1.1</v>
      </c>
      <c r="G234" s="233" t="str">
        <f>VLOOKUP(Table9[[#This Row],[Document ID]],Table1[],10,FALSE)</f>
        <v>Active</v>
      </c>
      <c r="H234" s="44" t="s">
        <v>5076</v>
      </c>
      <c r="I234" s="43" t="s">
        <v>5077</v>
      </c>
      <c r="J234" s="44" t="s">
        <v>5307</v>
      </c>
      <c r="K234" s="221">
        <v>45</v>
      </c>
      <c r="L234" s="113" t="s">
        <v>1113</v>
      </c>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t="s">
        <v>1113</v>
      </c>
      <c r="AK234" s="113"/>
      <c r="AL234" s="113"/>
      <c r="AM234" s="43" t="s">
        <v>5075</v>
      </c>
      <c r="AN234" s="233" t="str">
        <f>VLOOKUP(Table9[[#This Row],[Measure]],Table1025[[Value name]:[Value identifyer]],2,FALSE)</f>
        <v>R_Planning</v>
      </c>
      <c r="AO234" s="241" t="str">
        <f>VLOOKUP(Table9[[#This Row],[Country Code]],Table29[],3,FALSE)</f>
        <v>Non-Annex I</v>
      </c>
      <c r="AP234" s="241" t="str">
        <f>VLOOKUP(Table9[[#This Row],[Country Code]],Table29[],4,FALSE)</f>
        <v>Europe</v>
      </c>
      <c r="AQ234" s="241" t="str">
        <f>VLOOKUP(Table9[[#This Row],[Country Code]],Table29[],5,FALSE)</f>
        <v>Middle-income</v>
      </c>
      <c r="AR234" s="241" t="str">
        <f>VLOOKUP(Table9[[#This Row],[Country Code]],Table29[],6,FALSE)</f>
        <v>no</v>
      </c>
      <c r="AS234" s="241" t="str">
        <f>VLOOKUP(Table9[[#This Row],[Country Code]],Table29[],7,FALSE)</f>
        <v>no</v>
      </c>
      <c r="AT234" s="241" t="str">
        <f>VLOOKUP(Table9[[#This Row],[Country Code]],Table29[],8,FALSE)</f>
        <v>non-OECD</v>
      </c>
      <c r="AU234" s="233" t="str">
        <f>VLOOKUP(Table9[[#This Row],[Country Code]],Table29[],9,FALSE)</f>
        <v>no</v>
      </c>
      <c r="AV234" s="233" t="str">
        <f>VLOOKUP(Table9[[#This Row],[Country Code]],Table29[],10,FALSE)</f>
        <v>no</v>
      </c>
      <c r="AW234" s="233">
        <f>VLOOKUP(Table9[[#This Row],[Country Code]],Table29[],23,FALSE)</f>
        <v>13.54241150505</v>
      </c>
      <c r="AX234" s="233">
        <f>VLOOKUP(Table9[[#This Row],[Country Code]],Table29[],24,FALSE)</f>
        <v>2.4025361889764838</v>
      </c>
      <c r="AY234" s="43"/>
    </row>
    <row r="235" spans="1:51" ht="30" x14ac:dyDescent="0.25">
      <c r="A235" s="360">
        <v>17710</v>
      </c>
      <c r="B235" s="233" t="str">
        <f>VLOOKUP(Table9[[#This Row],[Document ID]],Table1[],2,FALSE)</f>
        <v>MDA</v>
      </c>
      <c r="C235" s="233" t="str">
        <f>VLOOKUP(Table9[[#This Row],[Document ID]],Table1[],3,FALSE)</f>
        <v>Republic of Moldova</v>
      </c>
      <c r="D235" s="241" t="str">
        <f>VLOOKUP(Table9[[#This Row],[Document ID]],Table1[],5,FALSE)</f>
        <v>NDC</v>
      </c>
      <c r="E235" s="233" t="str">
        <f>VLOOKUP(Table9[[#This Row],[Document ID]],Table1[],7,FALSE)</f>
        <v>First NDC updated</v>
      </c>
      <c r="F235" s="233" t="str">
        <f>VLOOKUP(Table9[[#This Row],[Document ID]],Table1[],8,FALSE)</f>
        <v>NDC 1.1</v>
      </c>
      <c r="G235" s="233" t="str">
        <f>VLOOKUP(Table9[[#This Row],[Document ID]],Table1[],10,FALSE)</f>
        <v>Active</v>
      </c>
      <c r="H235" s="44" t="s">
        <v>5072</v>
      </c>
      <c r="I235" s="43" t="s">
        <v>5073</v>
      </c>
      <c r="J235" s="339" t="s">
        <v>5308</v>
      </c>
      <c r="K235" s="221">
        <v>45</v>
      </c>
      <c r="L235" s="113" t="s">
        <v>1113</v>
      </c>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t="s">
        <v>1113</v>
      </c>
      <c r="AJ235" s="113"/>
      <c r="AK235" s="113"/>
      <c r="AL235" s="113"/>
      <c r="AM235" s="43" t="s">
        <v>5075</v>
      </c>
      <c r="AN235" s="233" t="str">
        <f>VLOOKUP(Table9[[#This Row],[Measure]],Table1025[[Value name]:[Value identifyer]],2,FALSE)</f>
        <v>R_System</v>
      </c>
      <c r="AO235" s="241" t="str">
        <f>VLOOKUP(Table9[[#This Row],[Country Code]],Table29[],3,FALSE)</f>
        <v>Non-Annex I</v>
      </c>
      <c r="AP235" s="241" t="str">
        <f>VLOOKUP(Table9[[#This Row],[Country Code]],Table29[],4,FALSE)</f>
        <v>Europe</v>
      </c>
      <c r="AQ235" s="241" t="str">
        <f>VLOOKUP(Table9[[#This Row],[Country Code]],Table29[],5,FALSE)</f>
        <v>Middle-income</v>
      </c>
      <c r="AR235" s="241" t="str">
        <f>VLOOKUP(Table9[[#This Row],[Country Code]],Table29[],6,FALSE)</f>
        <v>no</v>
      </c>
      <c r="AS235" s="241" t="str">
        <f>VLOOKUP(Table9[[#This Row],[Country Code]],Table29[],7,FALSE)</f>
        <v>no</v>
      </c>
      <c r="AT235" s="241" t="str">
        <f>VLOOKUP(Table9[[#This Row],[Country Code]],Table29[],8,FALSE)</f>
        <v>non-OECD</v>
      </c>
      <c r="AU235" s="233" t="str">
        <f>VLOOKUP(Table9[[#This Row],[Country Code]],Table29[],9,FALSE)</f>
        <v>no</v>
      </c>
      <c r="AV235" s="233" t="str">
        <f>VLOOKUP(Table9[[#This Row],[Country Code]],Table29[],10,FALSE)</f>
        <v>no</v>
      </c>
      <c r="AW235" s="233">
        <f>VLOOKUP(Table9[[#This Row],[Country Code]],Table29[],23,FALSE)</f>
        <v>13.54241150505</v>
      </c>
      <c r="AX235" s="233">
        <f>VLOOKUP(Table9[[#This Row],[Country Code]],Table29[],24,FALSE)</f>
        <v>2.4025361889764838</v>
      </c>
      <c r="AY235" s="43"/>
    </row>
    <row r="236" spans="1:51" ht="14.85" customHeight="1" x14ac:dyDescent="0.25">
      <c r="A236" s="360">
        <v>17710</v>
      </c>
      <c r="B236" s="233" t="str">
        <f>VLOOKUP(Table9[[#This Row],[Document ID]],Table1[],2,FALSE)</f>
        <v>MDA</v>
      </c>
      <c r="C236" s="233" t="str">
        <f>VLOOKUP(Table9[[#This Row],[Document ID]],Table1[],3,FALSE)</f>
        <v>Republic of Moldova</v>
      </c>
      <c r="D236" s="241" t="str">
        <f>VLOOKUP(Table9[[#This Row],[Document ID]],Table1[],5,FALSE)</f>
        <v>NDC</v>
      </c>
      <c r="E236" s="233" t="str">
        <f>VLOOKUP(Table9[[#This Row],[Document ID]],Table1[],7,FALSE)</f>
        <v>First NDC updated</v>
      </c>
      <c r="F236" s="233" t="str">
        <f>VLOOKUP(Table9[[#This Row],[Document ID]],Table1[],8,FALSE)</f>
        <v>NDC 1.1</v>
      </c>
      <c r="G236" s="233" t="str">
        <f>VLOOKUP(Table9[[#This Row],[Document ID]],Table1[],10,FALSE)</f>
        <v>Active</v>
      </c>
      <c r="H236" s="44" t="s">
        <v>5072</v>
      </c>
      <c r="I236" s="43" t="s">
        <v>5073</v>
      </c>
      <c r="J236" s="44" t="s">
        <v>5309</v>
      </c>
      <c r="K236" s="221">
        <v>45</v>
      </c>
      <c r="L236" s="113"/>
      <c r="M236" s="113"/>
      <c r="N236" s="113"/>
      <c r="O236" s="113"/>
      <c r="P236" s="113"/>
      <c r="Q236" s="113" t="s">
        <v>1113</v>
      </c>
      <c r="R236" s="113"/>
      <c r="S236" s="113"/>
      <c r="T236" s="113"/>
      <c r="U236" s="113"/>
      <c r="V236" s="113"/>
      <c r="W236" s="113"/>
      <c r="X236" s="113"/>
      <c r="Y236" s="113"/>
      <c r="Z236" s="113"/>
      <c r="AA236" s="113"/>
      <c r="AB236" s="113"/>
      <c r="AC236" s="113"/>
      <c r="AD236" s="113"/>
      <c r="AE236" s="113"/>
      <c r="AF236" s="113"/>
      <c r="AG236" s="113"/>
      <c r="AH236" s="113"/>
      <c r="AI236" s="113" t="s">
        <v>1113</v>
      </c>
      <c r="AJ236" s="113"/>
      <c r="AK236" s="113"/>
      <c r="AL236" s="113"/>
      <c r="AM236" s="43" t="s">
        <v>5075</v>
      </c>
      <c r="AN236" s="233" t="str">
        <f>VLOOKUP(Table9[[#This Row],[Measure]],Table1025[[Value name]:[Value identifyer]],2,FALSE)</f>
        <v>R_System</v>
      </c>
      <c r="AO236" s="241" t="str">
        <f>VLOOKUP(Table9[[#This Row],[Country Code]],Table29[],3,FALSE)</f>
        <v>Non-Annex I</v>
      </c>
      <c r="AP236" s="241" t="str">
        <f>VLOOKUP(Table9[[#This Row],[Country Code]],Table29[],4,FALSE)</f>
        <v>Europe</v>
      </c>
      <c r="AQ236" s="241" t="str">
        <f>VLOOKUP(Table9[[#This Row],[Country Code]],Table29[],5,FALSE)</f>
        <v>Middle-income</v>
      </c>
      <c r="AR236" s="241" t="str">
        <f>VLOOKUP(Table9[[#This Row],[Country Code]],Table29[],6,FALSE)</f>
        <v>no</v>
      </c>
      <c r="AS236" s="241" t="str">
        <f>VLOOKUP(Table9[[#This Row],[Country Code]],Table29[],7,FALSE)</f>
        <v>no</v>
      </c>
      <c r="AT236" s="241" t="str">
        <f>VLOOKUP(Table9[[#This Row],[Country Code]],Table29[],8,FALSE)</f>
        <v>non-OECD</v>
      </c>
      <c r="AU236" s="233" t="str">
        <f>VLOOKUP(Table9[[#This Row],[Country Code]],Table29[],9,FALSE)</f>
        <v>no</v>
      </c>
      <c r="AV236" s="233" t="str">
        <f>VLOOKUP(Table9[[#This Row],[Country Code]],Table29[],10,FALSE)</f>
        <v>no</v>
      </c>
      <c r="AW236" s="233">
        <f>VLOOKUP(Table9[[#This Row],[Country Code]],Table29[],23,FALSE)</f>
        <v>13.54241150505</v>
      </c>
      <c r="AX236" s="233">
        <f>VLOOKUP(Table9[[#This Row],[Country Code]],Table29[],24,FALSE)</f>
        <v>2.4025361889764838</v>
      </c>
      <c r="AY236" s="43"/>
    </row>
    <row r="237" spans="1:51" ht="120" x14ac:dyDescent="0.25">
      <c r="A237" s="360">
        <v>17710</v>
      </c>
      <c r="B237" s="233" t="str">
        <f>VLOOKUP(Table9[[#This Row],[Document ID]],Table1[],2,FALSE)</f>
        <v>MDA</v>
      </c>
      <c r="C237" s="233" t="str">
        <f>VLOOKUP(Table9[[#This Row],[Document ID]],Table1[],3,FALSE)</f>
        <v>Republic of Moldova</v>
      </c>
      <c r="D237" s="241" t="str">
        <f>VLOOKUP(Table9[[#This Row],[Document ID]],Table1[],5,FALSE)</f>
        <v>NDC</v>
      </c>
      <c r="E237" s="233" t="str">
        <f>VLOOKUP(Table9[[#This Row],[Document ID]],Table1[],7,FALSE)</f>
        <v>First NDC updated</v>
      </c>
      <c r="F237" s="233" t="str">
        <f>VLOOKUP(Table9[[#This Row],[Document ID]],Table1[],8,FALSE)</f>
        <v>NDC 1.1</v>
      </c>
      <c r="G237" s="233" t="str">
        <f>VLOOKUP(Table9[[#This Row],[Document ID]],Table1[],10,FALSE)</f>
        <v>Active</v>
      </c>
      <c r="H237" s="44" t="s">
        <v>5072</v>
      </c>
      <c r="I237" s="43" t="s">
        <v>5097</v>
      </c>
      <c r="J237" s="44" t="s">
        <v>5310</v>
      </c>
      <c r="K237" s="221">
        <v>45</v>
      </c>
      <c r="L237" s="113"/>
      <c r="M237" s="113"/>
      <c r="N237" s="113"/>
      <c r="O237" s="113"/>
      <c r="P237" s="113"/>
      <c r="Q237" s="113" t="s">
        <v>1113</v>
      </c>
      <c r="R237" s="113"/>
      <c r="S237" s="113"/>
      <c r="T237" s="113"/>
      <c r="U237" s="113"/>
      <c r="V237" s="113"/>
      <c r="W237" s="113"/>
      <c r="X237" s="113"/>
      <c r="Y237" s="113"/>
      <c r="Z237" s="113"/>
      <c r="AA237" s="113"/>
      <c r="AB237" s="113" t="s">
        <v>1113</v>
      </c>
      <c r="AC237" s="113"/>
      <c r="AD237" s="113"/>
      <c r="AE237" s="113"/>
      <c r="AF237" s="113"/>
      <c r="AG237" s="113"/>
      <c r="AH237" s="113"/>
      <c r="AI237" s="113" t="s">
        <v>1113</v>
      </c>
      <c r="AJ237" s="113"/>
      <c r="AK237" s="113"/>
      <c r="AL237" s="113"/>
      <c r="AM237" s="43" t="s">
        <v>5075</v>
      </c>
      <c r="AN237" s="233" t="str">
        <f>VLOOKUP(Table9[[#This Row],[Measure]],Table1025[[Value name]:[Value identifyer]],2,FALSE)</f>
        <v>R_Tech</v>
      </c>
      <c r="AO237" s="241" t="str">
        <f>VLOOKUP(Table9[[#This Row],[Country Code]],Table29[],3,FALSE)</f>
        <v>Non-Annex I</v>
      </c>
      <c r="AP237" s="241" t="str">
        <f>VLOOKUP(Table9[[#This Row],[Country Code]],Table29[],4,FALSE)</f>
        <v>Europe</v>
      </c>
      <c r="AQ237" s="241" t="str">
        <f>VLOOKUP(Table9[[#This Row],[Country Code]],Table29[],5,FALSE)</f>
        <v>Middle-income</v>
      </c>
      <c r="AR237" s="241" t="str">
        <f>VLOOKUP(Table9[[#This Row],[Country Code]],Table29[],6,FALSE)</f>
        <v>no</v>
      </c>
      <c r="AS237" s="241" t="str">
        <f>VLOOKUP(Table9[[#This Row],[Country Code]],Table29[],7,FALSE)</f>
        <v>no</v>
      </c>
      <c r="AT237" s="241" t="str">
        <f>VLOOKUP(Table9[[#This Row],[Country Code]],Table29[],8,FALSE)</f>
        <v>non-OECD</v>
      </c>
      <c r="AU237" s="233" t="str">
        <f>VLOOKUP(Table9[[#This Row],[Country Code]],Table29[],9,FALSE)</f>
        <v>no</v>
      </c>
      <c r="AV237" s="233" t="str">
        <f>VLOOKUP(Table9[[#This Row],[Country Code]],Table29[],10,FALSE)</f>
        <v>no</v>
      </c>
      <c r="AW237" s="233">
        <f>VLOOKUP(Table9[[#This Row],[Country Code]],Table29[],23,FALSE)</f>
        <v>13.54241150505</v>
      </c>
      <c r="AX237" s="233">
        <f>VLOOKUP(Table9[[#This Row],[Country Code]],Table29[],24,FALSE)</f>
        <v>2.4025361889764838</v>
      </c>
      <c r="AY237" s="43"/>
    </row>
    <row r="238" spans="1:51" ht="30" x14ac:dyDescent="0.25">
      <c r="A238" s="360">
        <v>17710</v>
      </c>
      <c r="B238" s="233" t="str">
        <f>VLOOKUP(Table9[[#This Row],[Document ID]],Table1[],2,FALSE)</f>
        <v>MDA</v>
      </c>
      <c r="C238" s="233" t="str">
        <f>VLOOKUP(Table9[[#This Row],[Document ID]],Table1[],3,FALSE)</f>
        <v>Republic of Moldova</v>
      </c>
      <c r="D238" s="241" t="str">
        <f>VLOOKUP(Table9[[#This Row],[Document ID]],Table1[],5,FALSE)</f>
        <v>NDC</v>
      </c>
      <c r="E238" s="233" t="str">
        <f>VLOOKUP(Table9[[#This Row],[Document ID]],Table1[],7,FALSE)</f>
        <v>First NDC updated</v>
      </c>
      <c r="F238" s="233" t="str">
        <f>VLOOKUP(Table9[[#This Row],[Document ID]],Table1[],8,FALSE)</f>
        <v>NDC 1.1</v>
      </c>
      <c r="G238" s="233" t="str">
        <f>VLOOKUP(Table9[[#This Row],[Document ID]],Table1[],10,FALSE)</f>
        <v>Active</v>
      </c>
      <c r="H238" s="44" t="s">
        <v>5072</v>
      </c>
      <c r="I238" s="43" t="s">
        <v>5097</v>
      </c>
      <c r="J238" s="44" t="s">
        <v>5311</v>
      </c>
      <c r="K238" s="221">
        <v>45</v>
      </c>
      <c r="L238" s="113" t="s">
        <v>1113</v>
      </c>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t="s">
        <v>1113</v>
      </c>
      <c r="AJ238" s="113"/>
      <c r="AK238" s="113"/>
      <c r="AL238" s="113"/>
      <c r="AM238" s="43" t="s">
        <v>5075</v>
      </c>
      <c r="AN238" s="233" t="str">
        <f>VLOOKUP(Table9[[#This Row],[Measure]],Table1025[[Value name]:[Value identifyer]],2,FALSE)</f>
        <v>R_Tech</v>
      </c>
      <c r="AO238" s="241" t="str">
        <f>VLOOKUP(Table9[[#This Row],[Country Code]],Table29[],3,FALSE)</f>
        <v>Non-Annex I</v>
      </c>
      <c r="AP238" s="241" t="str">
        <f>VLOOKUP(Table9[[#This Row],[Country Code]],Table29[],4,FALSE)</f>
        <v>Europe</v>
      </c>
      <c r="AQ238" s="241" t="str">
        <f>VLOOKUP(Table9[[#This Row],[Country Code]],Table29[],5,FALSE)</f>
        <v>Middle-income</v>
      </c>
      <c r="AR238" s="241" t="str">
        <f>VLOOKUP(Table9[[#This Row],[Country Code]],Table29[],6,FALSE)</f>
        <v>no</v>
      </c>
      <c r="AS238" s="241" t="str">
        <f>VLOOKUP(Table9[[#This Row],[Country Code]],Table29[],7,FALSE)</f>
        <v>no</v>
      </c>
      <c r="AT238" s="241" t="str">
        <f>VLOOKUP(Table9[[#This Row],[Country Code]],Table29[],8,FALSE)</f>
        <v>non-OECD</v>
      </c>
      <c r="AU238" s="233" t="str">
        <f>VLOOKUP(Table9[[#This Row],[Country Code]],Table29[],9,FALSE)</f>
        <v>no</v>
      </c>
      <c r="AV238" s="233" t="str">
        <f>VLOOKUP(Table9[[#This Row],[Country Code]],Table29[],10,FALSE)</f>
        <v>no</v>
      </c>
      <c r="AW238" s="233">
        <f>VLOOKUP(Table9[[#This Row],[Country Code]],Table29[],23,FALSE)</f>
        <v>13.54241150505</v>
      </c>
      <c r="AX238" s="233">
        <f>VLOOKUP(Table9[[#This Row],[Country Code]],Table29[],24,FALSE)</f>
        <v>2.4025361889764838</v>
      </c>
      <c r="AY238" s="43"/>
    </row>
    <row r="239" spans="1:51" ht="30" x14ac:dyDescent="0.25">
      <c r="A239" s="360">
        <v>17710</v>
      </c>
      <c r="B239" s="233" t="str">
        <f>VLOOKUP(Table9[[#This Row],[Document ID]],Table1[],2,FALSE)</f>
        <v>MDA</v>
      </c>
      <c r="C239" s="233" t="str">
        <f>VLOOKUP(Table9[[#This Row],[Document ID]],Table1[],3,FALSE)</f>
        <v>Republic of Moldova</v>
      </c>
      <c r="D239" s="241" t="str">
        <f>VLOOKUP(Table9[[#This Row],[Document ID]],Table1[],5,FALSE)</f>
        <v>NDC</v>
      </c>
      <c r="E239" s="233" t="str">
        <f>VLOOKUP(Table9[[#This Row],[Document ID]],Table1[],7,FALSE)</f>
        <v>First NDC updated</v>
      </c>
      <c r="F239" s="233" t="str">
        <f>VLOOKUP(Table9[[#This Row],[Document ID]],Table1[],8,FALSE)</f>
        <v>NDC 1.1</v>
      </c>
      <c r="G239" s="233" t="str">
        <f>VLOOKUP(Table9[[#This Row],[Document ID]],Table1[],10,FALSE)</f>
        <v>Active</v>
      </c>
      <c r="H239" s="44" t="s">
        <v>5072</v>
      </c>
      <c r="I239" s="43" t="s">
        <v>5073</v>
      </c>
      <c r="J239" s="44" t="s">
        <v>5312</v>
      </c>
      <c r="K239" s="221">
        <v>45</v>
      </c>
      <c r="L239" s="113"/>
      <c r="M239" s="113"/>
      <c r="N239" s="113"/>
      <c r="O239" s="113"/>
      <c r="P239" s="113"/>
      <c r="Q239" s="113"/>
      <c r="R239" s="113"/>
      <c r="S239" s="113"/>
      <c r="T239" s="113"/>
      <c r="U239" s="113"/>
      <c r="V239" s="113"/>
      <c r="W239" s="113"/>
      <c r="X239" s="113"/>
      <c r="Y239" s="113"/>
      <c r="Z239" s="113"/>
      <c r="AA239" s="113"/>
      <c r="AB239" s="113" t="s">
        <v>1113</v>
      </c>
      <c r="AC239" s="113"/>
      <c r="AD239" s="113"/>
      <c r="AE239" s="113"/>
      <c r="AF239" s="113"/>
      <c r="AG239" s="113"/>
      <c r="AH239" s="113"/>
      <c r="AI239" s="113"/>
      <c r="AJ239" s="113"/>
      <c r="AK239" s="113" t="s">
        <v>1113</v>
      </c>
      <c r="AL239" s="113"/>
      <c r="AM239" s="43" t="s">
        <v>5075</v>
      </c>
      <c r="AN239" s="233" t="str">
        <f>VLOOKUP(Table9[[#This Row],[Measure]],Table1025[[Value name]:[Value identifyer]],2,FALSE)</f>
        <v>R_System</v>
      </c>
      <c r="AO239" s="241" t="str">
        <f>VLOOKUP(Table9[[#This Row],[Country Code]],Table29[],3,FALSE)</f>
        <v>Non-Annex I</v>
      </c>
      <c r="AP239" s="241" t="str">
        <f>VLOOKUP(Table9[[#This Row],[Country Code]],Table29[],4,FALSE)</f>
        <v>Europe</v>
      </c>
      <c r="AQ239" s="241" t="str">
        <f>VLOOKUP(Table9[[#This Row],[Country Code]],Table29[],5,FALSE)</f>
        <v>Middle-income</v>
      </c>
      <c r="AR239" s="241" t="str">
        <f>VLOOKUP(Table9[[#This Row],[Country Code]],Table29[],6,FALSE)</f>
        <v>no</v>
      </c>
      <c r="AS239" s="241" t="str">
        <f>VLOOKUP(Table9[[#This Row],[Country Code]],Table29[],7,FALSE)</f>
        <v>no</v>
      </c>
      <c r="AT239" s="241" t="str">
        <f>VLOOKUP(Table9[[#This Row],[Country Code]],Table29[],8,FALSE)</f>
        <v>non-OECD</v>
      </c>
      <c r="AU239" s="233" t="str">
        <f>VLOOKUP(Table9[[#This Row],[Country Code]],Table29[],9,FALSE)</f>
        <v>no</v>
      </c>
      <c r="AV239" s="233" t="str">
        <f>VLOOKUP(Table9[[#This Row],[Country Code]],Table29[],10,FALSE)</f>
        <v>no</v>
      </c>
      <c r="AW239" s="233">
        <f>VLOOKUP(Table9[[#This Row],[Country Code]],Table29[],23,FALSE)</f>
        <v>13.54241150505</v>
      </c>
      <c r="AX239" s="233">
        <f>VLOOKUP(Table9[[#This Row],[Country Code]],Table29[],24,FALSE)</f>
        <v>2.4025361889764838</v>
      </c>
      <c r="AY239" s="43"/>
    </row>
    <row r="240" spans="1:51" x14ac:dyDescent="0.25">
      <c r="A240" s="360">
        <v>17710</v>
      </c>
      <c r="B240" s="233" t="str">
        <f>VLOOKUP(Table9[[#This Row],[Document ID]],Table1[],2,FALSE)</f>
        <v>MDA</v>
      </c>
      <c r="C240" s="233" t="str">
        <f>VLOOKUP(Table9[[#This Row],[Document ID]],Table1[],3,FALSE)</f>
        <v>Republic of Moldova</v>
      </c>
      <c r="D240" s="241" t="str">
        <f>VLOOKUP(Table9[[#This Row],[Document ID]],Table1[],5,FALSE)</f>
        <v>NDC</v>
      </c>
      <c r="E240" s="233" t="str">
        <f>VLOOKUP(Table9[[#This Row],[Document ID]],Table1[],7,FALSE)</f>
        <v>First NDC updated</v>
      </c>
      <c r="F240" s="233" t="str">
        <f>VLOOKUP(Table9[[#This Row],[Document ID]],Table1[],8,FALSE)</f>
        <v>NDC 1.1</v>
      </c>
      <c r="G240" s="233" t="str">
        <f>VLOOKUP(Table9[[#This Row],[Document ID]],Table1[],10,FALSE)</f>
        <v>Active</v>
      </c>
      <c r="H240" s="44" t="s">
        <v>5072</v>
      </c>
      <c r="I240" s="43" t="s">
        <v>5073</v>
      </c>
      <c r="J240" s="44" t="s">
        <v>5313</v>
      </c>
      <c r="K240" s="221">
        <v>45</v>
      </c>
      <c r="L240" s="113" t="s">
        <v>1113</v>
      </c>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t="s">
        <v>1113</v>
      </c>
      <c r="AJ240" s="113"/>
      <c r="AK240" s="113"/>
      <c r="AL240" s="113"/>
      <c r="AM240" s="43" t="s">
        <v>5075</v>
      </c>
      <c r="AN240" s="233" t="str">
        <f>VLOOKUP(Table9[[#This Row],[Measure]],Table1025[[Value name]:[Value identifyer]],2,FALSE)</f>
        <v>R_System</v>
      </c>
      <c r="AO240" s="241" t="str">
        <f>VLOOKUP(Table9[[#This Row],[Country Code]],Table29[],3,FALSE)</f>
        <v>Non-Annex I</v>
      </c>
      <c r="AP240" s="241" t="str">
        <f>VLOOKUP(Table9[[#This Row],[Country Code]],Table29[],4,FALSE)</f>
        <v>Europe</v>
      </c>
      <c r="AQ240" s="241" t="str">
        <f>VLOOKUP(Table9[[#This Row],[Country Code]],Table29[],5,FALSE)</f>
        <v>Middle-income</v>
      </c>
      <c r="AR240" s="241" t="str">
        <f>VLOOKUP(Table9[[#This Row],[Country Code]],Table29[],6,FALSE)</f>
        <v>no</v>
      </c>
      <c r="AS240" s="241" t="str">
        <f>VLOOKUP(Table9[[#This Row],[Country Code]],Table29[],7,FALSE)</f>
        <v>no</v>
      </c>
      <c r="AT240" s="241" t="str">
        <f>VLOOKUP(Table9[[#This Row],[Country Code]],Table29[],8,FALSE)</f>
        <v>non-OECD</v>
      </c>
      <c r="AU240" s="233" t="str">
        <f>VLOOKUP(Table9[[#This Row],[Country Code]],Table29[],9,FALSE)</f>
        <v>no</v>
      </c>
      <c r="AV240" s="233" t="str">
        <f>VLOOKUP(Table9[[#This Row],[Country Code]],Table29[],10,FALSE)</f>
        <v>no</v>
      </c>
      <c r="AW240" s="233">
        <f>VLOOKUP(Table9[[#This Row],[Country Code]],Table29[],23,FALSE)</f>
        <v>13.54241150505</v>
      </c>
      <c r="AX240" s="233">
        <f>VLOOKUP(Table9[[#This Row],[Country Code]],Table29[],24,FALSE)</f>
        <v>2.4025361889764838</v>
      </c>
      <c r="AY240" s="43"/>
    </row>
    <row r="241" spans="1:51" ht="195" x14ac:dyDescent="0.25">
      <c r="A241" s="367">
        <v>17709</v>
      </c>
      <c r="B241" s="233" t="str">
        <f>VLOOKUP(Table9[[#This Row],[Document ID]],Table1[],2,FALSE)</f>
        <v>MDA</v>
      </c>
      <c r="C241" s="233" t="str">
        <f>VLOOKUP(Table9[[#This Row],[Document ID]],Table1[],3,FALSE)</f>
        <v>Republic of Moldova</v>
      </c>
      <c r="D241" s="328" t="str">
        <f>VLOOKUP(Table9[[#This Row],[Document ID]],Table1[],5,FALSE)</f>
        <v>NDC</v>
      </c>
      <c r="E241" s="233" t="str">
        <f>VLOOKUP(Table9[[#This Row],[Document ID]],Table1[],7,FALSE)</f>
        <v>First NDC</v>
      </c>
      <c r="F241" s="328" t="str">
        <f>VLOOKUP(Table9[[#This Row],[Document ID]],Table1[],8,FALSE)</f>
        <v>NDC 1.0</v>
      </c>
      <c r="G241" s="328" t="str">
        <f>VLOOKUP(Table9[[#This Row],[Document ID]],Table1[],10,FALSE)</f>
        <v>Archived</v>
      </c>
      <c r="H241" s="44" t="s">
        <v>5072</v>
      </c>
      <c r="I241" s="43" t="s">
        <v>5073</v>
      </c>
      <c r="J241" s="209" t="s">
        <v>5314</v>
      </c>
      <c r="K241" s="257" t="s">
        <v>5081</v>
      </c>
      <c r="L241" s="326"/>
      <c r="M241" s="326"/>
      <c r="N241" s="326"/>
      <c r="O241" s="326"/>
      <c r="P241" s="326"/>
      <c r="Q241" s="326" t="s">
        <v>1113</v>
      </c>
      <c r="R241" s="326"/>
      <c r="S241" s="326"/>
      <c r="T241" s="326"/>
      <c r="U241" s="326"/>
      <c r="V241" s="326"/>
      <c r="W241" s="326"/>
      <c r="X241" s="326"/>
      <c r="Y241" s="326"/>
      <c r="Z241" s="326"/>
      <c r="AA241" s="326"/>
      <c r="AB241" s="326"/>
      <c r="AC241" s="326"/>
      <c r="AD241" s="326"/>
      <c r="AE241" s="326"/>
      <c r="AF241" s="326"/>
      <c r="AG241" s="326"/>
      <c r="AH241" s="326"/>
      <c r="AI241" s="326" t="s">
        <v>1113</v>
      </c>
      <c r="AJ241" s="326"/>
      <c r="AK241" s="326"/>
      <c r="AL241" s="326"/>
      <c r="AM241" s="327" t="s">
        <v>5075</v>
      </c>
      <c r="AN241" s="233" t="str">
        <f>VLOOKUP(Table9[[#This Row],[Measure]],Table1025[[Value name]:[Value identifyer]],2,FALSE)</f>
        <v>R_System</v>
      </c>
      <c r="AO241" s="241" t="str">
        <f>VLOOKUP(Table9[[#This Row],[Country Code]],Table29[],3,FALSE)</f>
        <v>Non-Annex I</v>
      </c>
      <c r="AP241" s="241" t="str">
        <f>VLOOKUP(Table9[[#This Row],[Country Code]],Table29[],4,FALSE)</f>
        <v>Europe</v>
      </c>
      <c r="AQ241" s="241" t="str">
        <f>VLOOKUP(Table9[[#This Row],[Country Code]],Table29[],5,FALSE)</f>
        <v>Middle-income</v>
      </c>
      <c r="AR241" s="241" t="str">
        <f>VLOOKUP(Table9[[#This Row],[Country Code]],Table29[],6,FALSE)</f>
        <v>no</v>
      </c>
      <c r="AS241" s="241" t="str">
        <f>VLOOKUP(Table9[[#This Row],[Country Code]],Table29[],7,FALSE)</f>
        <v>no</v>
      </c>
      <c r="AT241" s="241" t="str">
        <f>VLOOKUP(Table9[[#This Row],[Country Code]],Table29[],8,FALSE)</f>
        <v>non-OECD</v>
      </c>
      <c r="AU241" s="233" t="str">
        <f>VLOOKUP(Table9[[#This Row],[Country Code]],Table29[],9,FALSE)</f>
        <v>no</v>
      </c>
      <c r="AV241" s="233" t="str">
        <f>VLOOKUP(Table9[[#This Row],[Country Code]],Table29[],10,FALSE)</f>
        <v>no</v>
      </c>
      <c r="AW241" s="233">
        <f>VLOOKUP(Table9[[#This Row],[Country Code]],Table29[],23,FALSE)</f>
        <v>13.54241150505</v>
      </c>
      <c r="AX241" s="233">
        <f>VLOOKUP(Table9[[#This Row],[Country Code]],Table29[],24,FALSE)</f>
        <v>2.4025361889764838</v>
      </c>
      <c r="AY241" s="43"/>
    </row>
    <row r="242" spans="1:51" ht="105" x14ac:dyDescent="0.25">
      <c r="A242" s="367">
        <v>17709</v>
      </c>
      <c r="B242" s="233" t="str">
        <f>VLOOKUP(Table9[[#This Row],[Document ID]],Table1[],2,FALSE)</f>
        <v>MDA</v>
      </c>
      <c r="C242" s="233" t="str">
        <f>VLOOKUP(Table9[[#This Row],[Document ID]],Table1[],3,FALSE)</f>
        <v>Republic of Moldova</v>
      </c>
      <c r="D242" s="328" t="str">
        <f>VLOOKUP(Table9[[#This Row],[Document ID]],Table1[],5,FALSE)</f>
        <v>NDC</v>
      </c>
      <c r="E242" s="233" t="str">
        <f>VLOOKUP(Table9[[#This Row],[Document ID]],Table1[],7,FALSE)</f>
        <v>First NDC</v>
      </c>
      <c r="F242" s="328" t="str">
        <f>VLOOKUP(Table9[[#This Row],[Document ID]],Table1[],8,FALSE)</f>
        <v>NDC 1.0</v>
      </c>
      <c r="G242" s="328" t="str">
        <f>VLOOKUP(Table9[[#This Row],[Document ID]],Table1[],10,FALSE)</f>
        <v>Archived</v>
      </c>
      <c r="H242" s="44" t="s">
        <v>5072</v>
      </c>
      <c r="I242" s="43" t="s">
        <v>5091</v>
      </c>
      <c r="J242" s="209" t="s">
        <v>5315</v>
      </c>
      <c r="K242" s="257" t="s">
        <v>5081</v>
      </c>
      <c r="L242" s="326"/>
      <c r="M242" s="326"/>
      <c r="N242" s="326"/>
      <c r="O242" s="326"/>
      <c r="P242" s="326"/>
      <c r="Q242" s="326" t="s">
        <v>1113</v>
      </c>
      <c r="R242" s="326"/>
      <c r="S242" s="326"/>
      <c r="T242" s="326"/>
      <c r="U242" s="326"/>
      <c r="V242" s="326"/>
      <c r="W242" s="326"/>
      <c r="X242" s="326"/>
      <c r="Y242" s="326"/>
      <c r="Z242" s="326"/>
      <c r="AA242" s="326"/>
      <c r="AB242" s="326"/>
      <c r="AC242" s="326"/>
      <c r="AD242" s="326"/>
      <c r="AE242" s="326"/>
      <c r="AF242" s="326"/>
      <c r="AG242" s="326"/>
      <c r="AH242" s="326"/>
      <c r="AI242" s="326" t="s">
        <v>1113</v>
      </c>
      <c r="AJ242" s="326"/>
      <c r="AK242" s="326"/>
      <c r="AL242" s="326"/>
      <c r="AM242" s="327" t="s">
        <v>5075</v>
      </c>
      <c r="AN242" s="233" t="str">
        <f>VLOOKUP(Table9[[#This Row],[Measure]],Table1025[[Value name]:[Value identifyer]],2,FALSE)</f>
        <v>R_Maintain</v>
      </c>
      <c r="AO242" s="241" t="str">
        <f>VLOOKUP(Table9[[#This Row],[Country Code]],Table29[],3,FALSE)</f>
        <v>Non-Annex I</v>
      </c>
      <c r="AP242" s="241" t="str">
        <f>VLOOKUP(Table9[[#This Row],[Country Code]],Table29[],4,FALSE)</f>
        <v>Europe</v>
      </c>
      <c r="AQ242" s="241" t="str">
        <f>VLOOKUP(Table9[[#This Row],[Country Code]],Table29[],5,FALSE)</f>
        <v>Middle-income</v>
      </c>
      <c r="AR242" s="241" t="str">
        <f>VLOOKUP(Table9[[#This Row],[Country Code]],Table29[],6,FALSE)</f>
        <v>no</v>
      </c>
      <c r="AS242" s="241" t="str">
        <f>VLOOKUP(Table9[[#This Row],[Country Code]],Table29[],7,FALSE)</f>
        <v>no</v>
      </c>
      <c r="AT242" s="241" t="str">
        <f>VLOOKUP(Table9[[#This Row],[Country Code]],Table29[],8,FALSE)</f>
        <v>non-OECD</v>
      </c>
      <c r="AU242" s="233" t="str">
        <f>VLOOKUP(Table9[[#This Row],[Country Code]],Table29[],9,FALSE)</f>
        <v>no</v>
      </c>
      <c r="AV242" s="233" t="str">
        <f>VLOOKUP(Table9[[#This Row],[Country Code]],Table29[],10,FALSE)</f>
        <v>no</v>
      </c>
      <c r="AW242" s="233">
        <f>VLOOKUP(Table9[[#This Row],[Country Code]],Table29[],23,FALSE)</f>
        <v>13.54241150505</v>
      </c>
      <c r="AX242" s="233">
        <f>VLOOKUP(Table9[[#This Row],[Country Code]],Table29[],24,FALSE)</f>
        <v>2.4025361889764838</v>
      </c>
      <c r="AY242" s="43"/>
    </row>
    <row r="243" spans="1:51" ht="120" x14ac:dyDescent="0.25">
      <c r="A243" s="367">
        <v>17709</v>
      </c>
      <c r="B243" s="233" t="str">
        <f>VLOOKUP(Table9[[#This Row],[Document ID]],Table1[],2,FALSE)</f>
        <v>MDA</v>
      </c>
      <c r="C243" s="233" t="str">
        <f>VLOOKUP(Table9[[#This Row],[Document ID]],Table1[],3,FALSE)</f>
        <v>Republic of Moldova</v>
      </c>
      <c r="D243" s="328" t="str">
        <f>VLOOKUP(Table9[[#This Row],[Document ID]],Table1[],5,FALSE)</f>
        <v>NDC</v>
      </c>
      <c r="E243" s="233" t="str">
        <f>VLOOKUP(Table9[[#This Row],[Document ID]],Table1[],7,FALSE)</f>
        <v>First NDC</v>
      </c>
      <c r="F243" s="328" t="str">
        <f>VLOOKUP(Table9[[#This Row],[Document ID]],Table1[],8,FALSE)</f>
        <v>NDC 1.0</v>
      </c>
      <c r="G243" s="328" t="str">
        <f>VLOOKUP(Table9[[#This Row],[Document ID]],Table1[],10,FALSE)</f>
        <v>Archived</v>
      </c>
      <c r="H243" s="44" t="s">
        <v>5076</v>
      </c>
      <c r="I243" s="43" t="s">
        <v>5089</v>
      </c>
      <c r="J243" s="209" t="s">
        <v>5316</v>
      </c>
      <c r="K243" s="257" t="s">
        <v>5081</v>
      </c>
      <c r="L243" s="326"/>
      <c r="M243" s="326"/>
      <c r="N243" s="326"/>
      <c r="O243" s="326"/>
      <c r="P243" s="326"/>
      <c r="Q243" s="326" t="s">
        <v>1113</v>
      </c>
      <c r="R243" s="326"/>
      <c r="S243" s="326"/>
      <c r="T243" s="326"/>
      <c r="U243" s="326"/>
      <c r="V243" s="326"/>
      <c r="W243" s="326"/>
      <c r="X243" s="326"/>
      <c r="Y243" s="326"/>
      <c r="Z243" s="326"/>
      <c r="AA243" s="326"/>
      <c r="AB243" s="326"/>
      <c r="AC243" s="326"/>
      <c r="AD243" s="326"/>
      <c r="AE243" s="326"/>
      <c r="AF243" s="326"/>
      <c r="AG243" s="326"/>
      <c r="AH243" s="326"/>
      <c r="AI243" s="326" t="s">
        <v>1113</v>
      </c>
      <c r="AJ243" s="326"/>
      <c r="AK243" s="326"/>
      <c r="AL243" s="326"/>
      <c r="AM243" s="327" t="s">
        <v>5075</v>
      </c>
      <c r="AN243" s="233" t="str">
        <f>VLOOKUP(Table9[[#This Row],[Measure]],Table1025[[Value name]:[Value identifyer]],2,FALSE)</f>
        <v>R_Design</v>
      </c>
      <c r="AO243" s="241" t="str">
        <f>VLOOKUP(Table9[[#This Row],[Country Code]],Table29[],3,FALSE)</f>
        <v>Non-Annex I</v>
      </c>
      <c r="AP243" s="241" t="str">
        <f>VLOOKUP(Table9[[#This Row],[Country Code]],Table29[],4,FALSE)</f>
        <v>Europe</v>
      </c>
      <c r="AQ243" s="241" t="str">
        <f>VLOOKUP(Table9[[#This Row],[Country Code]],Table29[],5,FALSE)</f>
        <v>Middle-income</v>
      </c>
      <c r="AR243" s="241" t="str">
        <f>VLOOKUP(Table9[[#This Row],[Country Code]],Table29[],6,FALSE)</f>
        <v>no</v>
      </c>
      <c r="AS243" s="241" t="str">
        <f>VLOOKUP(Table9[[#This Row],[Country Code]],Table29[],7,FALSE)</f>
        <v>no</v>
      </c>
      <c r="AT243" s="241" t="str">
        <f>VLOOKUP(Table9[[#This Row],[Country Code]],Table29[],8,FALSE)</f>
        <v>non-OECD</v>
      </c>
      <c r="AU243" s="233" t="str">
        <f>VLOOKUP(Table9[[#This Row],[Country Code]],Table29[],9,FALSE)</f>
        <v>no</v>
      </c>
      <c r="AV243" s="233" t="str">
        <f>VLOOKUP(Table9[[#This Row],[Country Code]],Table29[],10,FALSE)</f>
        <v>no</v>
      </c>
      <c r="AW243" s="233">
        <f>VLOOKUP(Table9[[#This Row],[Country Code]],Table29[],23,FALSE)</f>
        <v>13.54241150505</v>
      </c>
      <c r="AX243" s="233">
        <f>VLOOKUP(Table9[[#This Row],[Country Code]],Table29[],24,FALSE)</f>
        <v>2.4025361889764838</v>
      </c>
      <c r="AY243" s="43"/>
    </row>
    <row r="244" spans="1:51" ht="105" x14ac:dyDescent="0.25">
      <c r="A244" s="367">
        <v>17709</v>
      </c>
      <c r="B244" s="233" t="str">
        <f>VLOOKUP(Table9[[#This Row],[Document ID]],Table1[],2,FALSE)</f>
        <v>MDA</v>
      </c>
      <c r="C244" s="233" t="str">
        <f>VLOOKUP(Table9[[#This Row],[Document ID]],Table1[],3,FALSE)</f>
        <v>Republic of Moldova</v>
      </c>
      <c r="D244" s="328" t="str">
        <f>VLOOKUP(Table9[[#This Row],[Document ID]],Table1[],5,FALSE)</f>
        <v>NDC</v>
      </c>
      <c r="E244" s="233" t="str">
        <f>VLOOKUP(Table9[[#This Row],[Document ID]],Table1[],7,FALSE)</f>
        <v>First NDC</v>
      </c>
      <c r="F244" s="328" t="str">
        <f>VLOOKUP(Table9[[#This Row],[Document ID]],Table1[],8,FALSE)</f>
        <v>NDC 1.0</v>
      </c>
      <c r="G244" s="328" t="str">
        <f>VLOOKUP(Table9[[#This Row],[Document ID]],Table1[],10,FALSE)</f>
        <v>Archived</v>
      </c>
      <c r="H244" s="44" t="s">
        <v>5072</v>
      </c>
      <c r="I244" s="43" t="s">
        <v>5073</v>
      </c>
      <c r="J244" s="209" t="s">
        <v>5317</v>
      </c>
      <c r="K244" s="257" t="s">
        <v>5081</v>
      </c>
      <c r="L244" s="326"/>
      <c r="M244" s="326"/>
      <c r="N244" s="326"/>
      <c r="O244" s="326"/>
      <c r="P244" s="326"/>
      <c r="Q244" s="326" t="s">
        <v>1113</v>
      </c>
      <c r="R244" s="326"/>
      <c r="S244" s="326"/>
      <c r="T244" s="326"/>
      <c r="U244" s="326"/>
      <c r="V244" s="326"/>
      <c r="W244" s="326"/>
      <c r="X244" s="326"/>
      <c r="Y244" s="326"/>
      <c r="Z244" s="326"/>
      <c r="AA244" s="326"/>
      <c r="AB244" s="326"/>
      <c r="AC244" s="326"/>
      <c r="AD244" s="326"/>
      <c r="AE244" s="326"/>
      <c r="AF244" s="326"/>
      <c r="AG244" s="326"/>
      <c r="AH244" s="326"/>
      <c r="AI244" s="326" t="s">
        <v>1113</v>
      </c>
      <c r="AJ244" s="326"/>
      <c r="AK244" s="326"/>
      <c r="AL244" s="326"/>
      <c r="AM244" s="327" t="s">
        <v>5075</v>
      </c>
      <c r="AN244" s="233" t="str">
        <f>VLOOKUP(Table9[[#This Row],[Measure]],Table1025[[Value name]:[Value identifyer]],2,FALSE)</f>
        <v>R_System</v>
      </c>
      <c r="AO244" s="241" t="str">
        <f>VLOOKUP(Table9[[#This Row],[Country Code]],Table29[],3,FALSE)</f>
        <v>Non-Annex I</v>
      </c>
      <c r="AP244" s="241" t="str">
        <f>VLOOKUP(Table9[[#This Row],[Country Code]],Table29[],4,FALSE)</f>
        <v>Europe</v>
      </c>
      <c r="AQ244" s="241" t="str">
        <f>VLOOKUP(Table9[[#This Row],[Country Code]],Table29[],5,FALSE)</f>
        <v>Middle-income</v>
      </c>
      <c r="AR244" s="241" t="str">
        <f>VLOOKUP(Table9[[#This Row],[Country Code]],Table29[],6,FALSE)</f>
        <v>no</v>
      </c>
      <c r="AS244" s="241" t="str">
        <f>VLOOKUP(Table9[[#This Row],[Country Code]],Table29[],7,FALSE)</f>
        <v>no</v>
      </c>
      <c r="AT244" s="241" t="str">
        <f>VLOOKUP(Table9[[#This Row],[Country Code]],Table29[],8,FALSE)</f>
        <v>non-OECD</v>
      </c>
      <c r="AU244" s="233" t="str">
        <f>VLOOKUP(Table9[[#This Row],[Country Code]],Table29[],9,FALSE)</f>
        <v>no</v>
      </c>
      <c r="AV244" s="233" t="str">
        <f>VLOOKUP(Table9[[#This Row],[Country Code]],Table29[],10,FALSE)</f>
        <v>no</v>
      </c>
      <c r="AW244" s="233">
        <f>VLOOKUP(Table9[[#This Row],[Country Code]],Table29[],23,FALSE)</f>
        <v>13.54241150505</v>
      </c>
      <c r="AX244" s="233">
        <f>VLOOKUP(Table9[[#This Row],[Country Code]],Table29[],24,FALSE)</f>
        <v>2.4025361889764838</v>
      </c>
      <c r="AY244" s="43"/>
    </row>
    <row r="245" spans="1:51" ht="60" x14ac:dyDescent="0.25">
      <c r="A245" s="367">
        <v>17709</v>
      </c>
      <c r="B245" s="233" t="str">
        <f>VLOOKUP(Table9[[#This Row],[Document ID]],Table1[],2,FALSE)</f>
        <v>MDA</v>
      </c>
      <c r="C245" s="233" t="str">
        <f>VLOOKUP(Table9[[#This Row],[Document ID]],Table1[],3,FALSE)</f>
        <v>Republic of Moldova</v>
      </c>
      <c r="D245" s="328" t="str">
        <f>VLOOKUP(Table9[[#This Row],[Document ID]],Table1[],5,FALSE)</f>
        <v>NDC</v>
      </c>
      <c r="E245" s="233" t="str">
        <f>VLOOKUP(Table9[[#This Row],[Document ID]],Table1[],7,FALSE)</f>
        <v>First NDC</v>
      </c>
      <c r="F245" s="328" t="str">
        <f>VLOOKUP(Table9[[#This Row],[Document ID]],Table1[],8,FALSE)</f>
        <v>NDC 1.0</v>
      </c>
      <c r="G245" s="328" t="str">
        <f>VLOOKUP(Table9[[#This Row],[Document ID]],Table1[],10,FALSE)</f>
        <v>Archived</v>
      </c>
      <c r="H245" s="44" t="s">
        <v>5086</v>
      </c>
      <c r="I245" s="43" t="s">
        <v>5130</v>
      </c>
      <c r="J245" s="209" t="s">
        <v>5318</v>
      </c>
      <c r="K245" s="257" t="s">
        <v>5081</v>
      </c>
      <c r="L245" s="326"/>
      <c r="M245" s="326"/>
      <c r="N245" s="326"/>
      <c r="O245" s="326"/>
      <c r="P245" s="326"/>
      <c r="Q245" s="326" t="s">
        <v>1113</v>
      </c>
      <c r="R245" s="326"/>
      <c r="S245" s="326"/>
      <c r="T245" s="326"/>
      <c r="U245" s="326"/>
      <c r="V245" s="326"/>
      <c r="W245" s="326"/>
      <c r="X245" s="326"/>
      <c r="Y245" s="326"/>
      <c r="Z245" s="326"/>
      <c r="AA245" s="326"/>
      <c r="AB245" s="326"/>
      <c r="AC245" s="326"/>
      <c r="AD245" s="326"/>
      <c r="AE245" s="326"/>
      <c r="AF245" s="326"/>
      <c r="AG245" s="326"/>
      <c r="AH245" s="326"/>
      <c r="AI245" s="326" t="s">
        <v>1113</v>
      </c>
      <c r="AJ245" s="326"/>
      <c r="AK245" s="326"/>
      <c r="AL245" s="326"/>
      <c r="AM245" s="327" t="s">
        <v>5075</v>
      </c>
      <c r="AN245" s="233" t="str">
        <f>VLOOKUP(Table9[[#This Row],[Measure]],Table1025[[Value name]:[Value identifyer]],2,FALSE)</f>
        <v>R_Monitoring</v>
      </c>
      <c r="AO245" s="241" t="str">
        <f>VLOOKUP(Table9[[#This Row],[Country Code]],Table29[],3,FALSE)</f>
        <v>Non-Annex I</v>
      </c>
      <c r="AP245" s="241" t="str">
        <f>VLOOKUP(Table9[[#This Row],[Country Code]],Table29[],4,FALSE)</f>
        <v>Europe</v>
      </c>
      <c r="AQ245" s="241" t="str">
        <f>VLOOKUP(Table9[[#This Row],[Country Code]],Table29[],5,FALSE)</f>
        <v>Middle-income</v>
      </c>
      <c r="AR245" s="241" t="str">
        <f>VLOOKUP(Table9[[#This Row],[Country Code]],Table29[],6,FALSE)</f>
        <v>no</v>
      </c>
      <c r="AS245" s="241" t="str">
        <f>VLOOKUP(Table9[[#This Row],[Country Code]],Table29[],7,FALSE)</f>
        <v>no</v>
      </c>
      <c r="AT245" s="241" t="str">
        <f>VLOOKUP(Table9[[#This Row],[Country Code]],Table29[],8,FALSE)</f>
        <v>non-OECD</v>
      </c>
      <c r="AU245" s="233" t="str">
        <f>VLOOKUP(Table9[[#This Row],[Country Code]],Table29[],9,FALSE)</f>
        <v>no</v>
      </c>
      <c r="AV245" s="233" t="str">
        <f>VLOOKUP(Table9[[#This Row],[Country Code]],Table29[],10,FALSE)</f>
        <v>no</v>
      </c>
      <c r="AW245" s="233">
        <f>VLOOKUP(Table9[[#This Row],[Country Code]],Table29[],23,FALSE)</f>
        <v>13.54241150505</v>
      </c>
      <c r="AX245" s="233">
        <f>VLOOKUP(Table9[[#This Row],[Country Code]],Table29[],24,FALSE)</f>
        <v>2.4025361889764838</v>
      </c>
      <c r="AY245" s="43"/>
    </row>
    <row r="246" spans="1:51" ht="45" x14ac:dyDescent="0.25">
      <c r="A246" s="367">
        <v>17709</v>
      </c>
      <c r="B246" s="233" t="str">
        <f>VLOOKUP(Table9[[#This Row],[Document ID]],Table1[],2,FALSE)</f>
        <v>MDA</v>
      </c>
      <c r="C246" s="233" t="str">
        <f>VLOOKUP(Table9[[#This Row],[Document ID]],Table1[],3,FALSE)</f>
        <v>Republic of Moldova</v>
      </c>
      <c r="D246" s="328" t="str">
        <f>VLOOKUP(Table9[[#This Row],[Document ID]],Table1[],5,FALSE)</f>
        <v>NDC</v>
      </c>
      <c r="E246" s="233" t="str">
        <f>VLOOKUP(Table9[[#This Row],[Document ID]],Table1[],7,FALSE)</f>
        <v>First NDC</v>
      </c>
      <c r="F246" s="328" t="str">
        <f>VLOOKUP(Table9[[#This Row],[Document ID]],Table1[],8,FALSE)</f>
        <v>NDC 1.0</v>
      </c>
      <c r="G246" s="328" t="str">
        <f>VLOOKUP(Table9[[#This Row],[Document ID]],Table1[],10,FALSE)</f>
        <v>Archived</v>
      </c>
      <c r="H246" s="44" t="s">
        <v>5072</v>
      </c>
      <c r="I246" s="43" t="s">
        <v>5082</v>
      </c>
      <c r="J246" s="209" t="s">
        <v>5319</v>
      </c>
      <c r="K246" s="257" t="s">
        <v>5081</v>
      </c>
      <c r="L246" s="326"/>
      <c r="M246" s="326"/>
      <c r="N246" s="326"/>
      <c r="O246" s="326"/>
      <c r="P246" s="326"/>
      <c r="Q246" s="326" t="s">
        <v>1113</v>
      </c>
      <c r="R246" s="326"/>
      <c r="S246" s="326"/>
      <c r="T246" s="326"/>
      <c r="U246" s="326"/>
      <c r="V246" s="326"/>
      <c r="W246" s="326"/>
      <c r="X246" s="326"/>
      <c r="Y246" s="326"/>
      <c r="Z246" s="326"/>
      <c r="AA246" s="326"/>
      <c r="AB246" s="326"/>
      <c r="AC246" s="326"/>
      <c r="AD246" s="326"/>
      <c r="AE246" s="326"/>
      <c r="AF246" s="326"/>
      <c r="AG246" s="326"/>
      <c r="AH246" s="326"/>
      <c r="AI246" s="326" t="s">
        <v>1113</v>
      </c>
      <c r="AJ246" s="326"/>
      <c r="AK246" s="326"/>
      <c r="AL246" s="326"/>
      <c r="AM246" s="327" t="s">
        <v>5075</v>
      </c>
      <c r="AN246" s="233" t="str">
        <f>VLOOKUP(Table9[[#This Row],[Measure]],Table1025[[Value name]:[Value identifyer]],2,FALSE)</f>
        <v>R_Risk</v>
      </c>
      <c r="AO246" s="241" t="str">
        <f>VLOOKUP(Table9[[#This Row],[Country Code]],Table29[],3,FALSE)</f>
        <v>Non-Annex I</v>
      </c>
      <c r="AP246" s="241" t="str">
        <f>VLOOKUP(Table9[[#This Row],[Country Code]],Table29[],4,FALSE)</f>
        <v>Europe</v>
      </c>
      <c r="AQ246" s="241" t="str">
        <f>VLOOKUP(Table9[[#This Row],[Country Code]],Table29[],5,FALSE)</f>
        <v>Middle-income</v>
      </c>
      <c r="AR246" s="241" t="str">
        <f>VLOOKUP(Table9[[#This Row],[Country Code]],Table29[],6,FALSE)</f>
        <v>no</v>
      </c>
      <c r="AS246" s="241" t="str">
        <f>VLOOKUP(Table9[[#This Row],[Country Code]],Table29[],7,FALSE)</f>
        <v>no</v>
      </c>
      <c r="AT246" s="241" t="str">
        <f>VLOOKUP(Table9[[#This Row],[Country Code]],Table29[],8,FALSE)</f>
        <v>non-OECD</v>
      </c>
      <c r="AU246" s="233" t="str">
        <f>VLOOKUP(Table9[[#This Row],[Country Code]],Table29[],9,FALSE)</f>
        <v>no</v>
      </c>
      <c r="AV246" s="233" t="str">
        <f>VLOOKUP(Table9[[#This Row],[Country Code]],Table29[],10,FALSE)</f>
        <v>no</v>
      </c>
      <c r="AW246" s="233">
        <f>VLOOKUP(Table9[[#This Row],[Country Code]],Table29[],23,FALSE)</f>
        <v>13.54241150505</v>
      </c>
      <c r="AX246" s="233">
        <f>VLOOKUP(Table9[[#This Row],[Country Code]],Table29[],24,FALSE)</f>
        <v>2.4025361889764838</v>
      </c>
      <c r="AY246" s="43"/>
    </row>
    <row r="247" spans="1:51" ht="210" x14ac:dyDescent="0.25">
      <c r="A247" s="367">
        <v>17709</v>
      </c>
      <c r="B247" s="233" t="str">
        <f>VLOOKUP(Table9[[#This Row],[Document ID]],Table1[],2,FALSE)</f>
        <v>MDA</v>
      </c>
      <c r="C247" s="233" t="str">
        <f>VLOOKUP(Table9[[#This Row],[Document ID]],Table1[],3,FALSE)</f>
        <v>Republic of Moldova</v>
      </c>
      <c r="D247" s="328" t="str">
        <f>VLOOKUP(Table9[[#This Row],[Document ID]],Table1[],5,FALSE)</f>
        <v>NDC</v>
      </c>
      <c r="E247" s="233" t="str">
        <f>VLOOKUP(Table9[[#This Row],[Document ID]],Table1[],7,FALSE)</f>
        <v>First NDC</v>
      </c>
      <c r="F247" s="328" t="str">
        <f>VLOOKUP(Table9[[#This Row],[Document ID]],Table1[],8,FALSE)</f>
        <v>NDC 1.0</v>
      </c>
      <c r="G247" s="328" t="str">
        <f>VLOOKUP(Table9[[#This Row],[Document ID]],Table1[],10,FALSE)</f>
        <v>Archived</v>
      </c>
      <c r="H247" s="44" t="s">
        <v>5072</v>
      </c>
      <c r="I247" s="43" t="s">
        <v>5097</v>
      </c>
      <c r="J247" s="209" t="s">
        <v>5320</v>
      </c>
      <c r="K247" s="257" t="s">
        <v>5081</v>
      </c>
      <c r="L247" s="326"/>
      <c r="M247" s="326"/>
      <c r="N247" s="326"/>
      <c r="O247" s="326"/>
      <c r="P247" s="326"/>
      <c r="Q247" s="326" t="s">
        <v>1113</v>
      </c>
      <c r="R247" s="326"/>
      <c r="S247" s="326"/>
      <c r="T247" s="326"/>
      <c r="U247" s="326"/>
      <c r="V247" s="326"/>
      <c r="W247" s="326"/>
      <c r="X247" s="326"/>
      <c r="Y247" s="326"/>
      <c r="Z247" s="326"/>
      <c r="AA247" s="326"/>
      <c r="AB247" s="326"/>
      <c r="AC247" s="326"/>
      <c r="AD247" s="326"/>
      <c r="AE247" s="326"/>
      <c r="AF247" s="326"/>
      <c r="AG247" s="326"/>
      <c r="AH247" s="326"/>
      <c r="AI247" s="326" t="s">
        <v>1113</v>
      </c>
      <c r="AJ247" s="326"/>
      <c r="AK247" s="326"/>
      <c r="AL247" s="326"/>
      <c r="AM247" s="209" t="s">
        <v>5075</v>
      </c>
      <c r="AN247" s="233" t="str">
        <f>VLOOKUP(Table9[[#This Row],[Measure]],Table1025[[Value name]:[Value identifyer]],2,FALSE)</f>
        <v>R_Tech</v>
      </c>
      <c r="AO247" s="241" t="str">
        <f>VLOOKUP(Table9[[#This Row],[Country Code]],Table29[],3,FALSE)</f>
        <v>Non-Annex I</v>
      </c>
      <c r="AP247" s="241" t="str">
        <f>VLOOKUP(Table9[[#This Row],[Country Code]],Table29[],4,FALSE)</f>
        <v>Europe</v>
      </c>
      <c r="AQ247" s="241" t="str">
        <f>VLOOKUP(Table9[[#This Row],[Country Code]],Table29[],5,FALSE)</f>
        <v>Middle-income</v>
      </c>
      <c r="AR247" s="241" t="str">
        <f>VLOOKUP(Table9[[#This Row],[Country Code]],Table29[],6,FALSE)</f>
        <v>no</v>
      </c>
      <c r="AS247" s="241" t="str">
        <f>VLOOKUP(Table9[[#This Row],[Country Code]],Table29[],7,FALSE)</f>
        <v>no</v>
      </c>
      <c r="AT247" s="241" t="str">
        <f>VLOOKUP(Table9[[#This Row],[Country Code]],Table29[],8,FALSE)</f>
        <v>non-OECD</v>
      </c>
      <c r="AU247" s="233" t="str">
        <f>VLOOKUP(Table9[[#This Row],[Country Code]],Table29[],9,FALSE)</f>
        <v>no</v>
      </c>
      <c r="AV247" s="233" t="str">
        <f>VLOOKUP(Table9[[#This Row],[Country Code]],Table29[],10,FALSE)</f>
        <v>no</v>
      </c>
      <c r="AW247" s="233">
        <f>VLOOKUP(Table9[[#This Row],[Country Code]],Table29[],23,FALSE)</f>
        <v>13.54241150505</v>
      </c>
      <c r="AX247" s="233">
        <f>VLOOKUP(Table9[[#This Row],[Country Code]],Table29[],24,FALSE)</f>
        <v>2.4025361889764838</v>
      </c>
      <c r="AY247" s="43"/>
    </row>
    <row r="248" spans="1:51" x14ac:dyDescent="0.25">
      <c r="A248" s="360">
        <v>17717</v>
      </c>
      <c r="B248" s="233" t="str">
        <f>VLOOKUP(Table9[[#This Row],[Document ID]],Table1[],2,FALSE)</f>
        <v>RWA</v>
      </c>
      <c r="C248" s="233" t="str">
        <f>VLOOKUP(Table9[[#This Row],[Document ID]],Table1[],3,FALSE)</f>
        <v>Rwanda</v>
      </c>
      <c r="D248" s="233" t="str">
        <f>VLOOKUP(Table9[[#This Row],[Document ID]],Table1[],5,FALSE)</f>
        <v>NDC</v>
      </c>
      <c r="E248" s="233" t="str">
        <f>VLOOKUP(Table9[[#This Row],[Document ID]],Table1[],7,FALSE)</f>
        <v>First NDC updated</v>
      </c>
      <c r="F248" s="233" t="str">
        <f>VLOOKUP(Table9[[#This Row],[Document ID]],Table1[],8,FALSE)</f>
        <v>NDC 1.1</v>
      </c>
      <c r="G248" s="233" t="str">
        <f>VLOOKUP(Table9[[#This Row],[Document ID]],Table1[],10,FALSE)</f>
        <v>Active</v>
      </c>
      <c r="H248" s="44" t="s">
        <v>5072</v>
      </c>
      <c r="I248" s="43" t="s">
        <v>5073</v>
      </c>
      <c r="J248" s="44" t="s">
        <v>5321</v>
      </c>
      <c r="K248" s="221">
        <v>54</v>
      </c>
      <c r="L248" s="113" t="s">
        <v>1113</v>
      </c>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t="s">
        <v>1113</v>
      </c>
      <c r="AJ248" s="113"/>
      <c r="AK248" s="113"/>
      <c r="AL248" s="113"/>
      <c r="AM248" s="43" t="s">
        <v>5075</v>
      </c>
      <c r="AN248" s="233" t="str">
        <f>VLOOKUP(Table9[[#This Row],[Measure]],Table1025[[Value name]:[Value identifyer]],2,FALSE)</f>
        <v>R_System</v>
      </c>
      <c r="AO248" s="241" t="str">
        <f>VLOOKUP(Table9[[#This Row],[Country Code]],Table29[],3,FALSE)</f>
        <v>Non-Annex I</v>
      </c>
      <c r="AP248" s="241" t="str">
        <f>VLOOKUP(Table9[[#This Row],[Country Code]],Table29[],4,FALSE)</f>
        <v>Africa</v>
      </c>
      <c r="AQ248" s="241" t="str">
        <f>VLOOKUP(Table9[[#This Row],[Country Code]],Table29[],5,FALSE)</f>
        <v>Low-income</v>
      </c>
      <c r="AR248" s="241" t="str">
        <f>VLOOKUP(Table9[[#This Row],[Country Code]],Table29[],6,FALSE)</f>
        <v>no</v>
      </c>
      <c r="AS248" s="241" t="str">
        <f>VLOOKUP(Table9[[#This Row],[Country Code]],Table29[],7,FALSE)</f>
        <v>no</v>
      </c>
      <c r="AT248" s="241" t="str">
        <f>VLOOKUP(Table9[[#This Row],[Country Code]],Table29[],8,FALSE)</f>
        <v>non-OECD</v>
      </c>
      <c r="AU248" s="233" t="str">
        <f>VLOOKUP(Table9[[#This Row],[Country Code]],Table29[],9,FALSE)</f>
        <v>no</v>
      </c>
      <c r="AV248" s="233" t="str">
        <f>VLOOKUP(Table9[[#This Row],[Country Code]],Table29[],10,FALSE)</f>
        <v>no</v>
      </c>
      <c r="AW248" s="233">
        <f>VLOOKUP(Table9[[#This Row],[Country Code]],Table29[],23,FALSE)</f>
        <v>7.4932661090210999</v>
      </c>
      <c r="AX248" s="233">
        <f>VLOOKUP(Table9[[#This Row],[Country Code]],Table29[],24,FALSE)</f>
        <v>0.60722858848321359</v>
      </c>
      <c r="AY248" s="43"/>
    </row>
    <row r="249" spans="1:51" x14ac:dyDescent="0.25">
      <c r="A249" s="360">
        <v>17717</v>
      </c>
      <c r="B249" s="233" t="str">
        <f>VLOOKUP(Table9[[#This Row],[Document ID]],Table1[],2,FALSE)</f>
        <v>RWA</v>
      </c>
      <c r="C249" s="233" t="str">
        <f>VLOOKUP(Table9[[#This Row],[Document ID]],Table1[],3,FALSE)</f>
        <v>Rwanda</v>
      </c>
      <c r="D249" s="233" t="str">
        <f>VLOOKUP(Table9[[#This Row],[Document ID]],Table1[],5,FALSE)</f>
        <v>NDC</v>
      </c>
      <c r="E249" s="233" t="str">
        <f>VLOOKUP(Table9[[#This Row],[Document ID]],Table1[],7,FALSE)</f>
        <v>First NDC updated</v>
      </c>
      <c r="F249" s="233" t="str">
        <f>VLOOKUP(Table9[[#This Row],[Document ID]],Table1[],8,FALSE)</f>
        <v>NDC 1.1</v>
      </c>
      <c r="G249" s="233" t="str">
        <f>VLOOKUP(Table9[[#This Row],[Document ID]],Table1[],10,FALSE)</f>
        <v>Active</v>
      </c>
      <c r="H249" s="44" t="s">
        <v>5076</v>
      </c>
      <c r="I249" s="43" t="s">
        <v>5089</v>
      </c>
      <c r="J249" s="44" t="s">
        <v>5322</v>
      </c>
      <c r="K249" s="221">
        <v>54</v>
      </c>
      <c r="L249" s="113" t="s">
        <v>1113</v>
      </c>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t="s">
        <v>1113</v>
      </c>
      <c r="AJ249" s="113"/>
      <c r="AK249" s="113"/>
      <c r="AL249" s="113"/>
      <c r="AM249" s="43" t="s">
        <v>5075</v>
      </c>
      <c r="AN249" s="233" t="str">
        <f>VLOOKUP(Table9[[#This Row],[Measure]],Table1025[[Value name]:[Value identifyer]],2,FALSE)</f>
        <v>R_Design</v>
      </c>
      <c r="AO249" s="241" t="str">
        <f>VLOOKUP(Table9[[#This Row],[Country Code]],Table29[],3,FALSE)</f>
        <v>Non-Annex I</v>
      </c>
      <c r="AP249" s="241" t="str">
        <f>VLOOKUP(Table9[[#This Row],[Country Code]],Table29[],4,FALSE)</f>
        <v>Africa</v>
      </c>
      <c r="AQ249" s="241" t="str">
        <f>VLOOKUP(Table9[[#This Row],[Country Code]],Table29[],5,FALSE)</f>
        <v>Low-income</v>
      </c>
      <c r="AR249" s="241" t="str">
        <f>VLOOKUP(Table9[[#This Row],[Country Code]],Table29[],6,FALSE)</f>
        <v>no</v>
      </c>
      <c r="AS249" s="241" t="str">
        <f>VLOOKUP(Table9[[#This Row],[Country Code]],Table29[],7,FALSE)</f>
        <v>no</v>
      </c>
      <c r="AT249" s="241" t="str">
        <f>VLOOKUP(Table9[[#This Row],[Country Code]],Table29[],8,FALSE)</f>
        <v>non-OECD</v>
      </c>
      <c r="AU249" s="233" t="str">
        <f>VLOOKUP(Table9[[#This Row],[Country Code]],Table29[],9,FALSE)</f>
        <v>no</v>
      </c>
      <c r="AV249" s="233" t="str">
        <f>VLOOKUP(Table9[[#This Row],[Country Code]],Table29[],10,FALSE)</f>
        <v>no</v>
      </c>
      <c r="AW249" s="233">
        <f>VLOOKUP(Table9[[#This Row],[Country Code]],Table29[],23,FALSE)</f>
        <v>7.4932661090210999</v>
      </c>
      <c r="AX249" s="233">
        <f>VLOOKUP(Table9[[#This Row],[Country Code]],Table29[],24,FALSE)</f>
        <v>0.60722858848321359</v>
      </c>
      <c r="AY249" s="43"/>
    </row>
    <row r="250" spans="1:51" x14ac:dyDescent="0.25">
      <c r="A250" s="360">
        <v>17717</v>
      </c>
      <c r="B250" s="233" t="str">
        <f>VLOOKUP(Table9[[#This Row],[Document ID]],Table1[],2,FALSE)</f>
        <v>RWA</v>
      </c>
      <c r="C250" s="233" t="str">
        <f>VLOOKUP(Table9[[#This Row],[Document ID]],Table1[],3,FALSE)</f>
        <v>Rwanda</v>
      </c>
      <c r="D250" s="233" t="str">
        <f>VLOOKUP(Table9[[#This Row],[Document ID]],Table1[],5,FALSE)</f>
        <v>NDC</v>
      </c>
      <c r="E250" s="233" t="str">
        <f>VLOOKUP(Table9[[#This Row],[Document ID]],Table1[],7,FALSE)</f>
        <v>First NDC updated</v>
      </c>
      <c r="F250" s="233" t="str">
        <f>VLOOKUP(Table9[[#This Row],[Document ID]],Table1[],8,FALSE)</f>
        <v>NDC 1.1</v>
      </c>
      <c r="G250" s="233" t="str">
        <f>VLOOKUP(Table9[[#This Row],[Document ID]],Table1[],10,FALSE)</f>
        <v>Active</v>
      </c>
      <c r="H250" s="44" t="s">
        <v>5076</v>
      </c>
      <c r="I250" s="43" t="s">
        <v>5120</v>
      </c>
      <c r="J250" s="44" t="s">
        <v>5323</v>
      </c>
      <c r="K250" s="221">
        <v>54</v>
      </c>
      <c r="L250" s="113"/>
      <c r="M250" s="113"/>
      <c r="N250" s="113"/>
      <c r="O250" s="113"/>
      <c r="P250" s="113"/>
      <c r="Q250" s="113" t="s">
        <v>1113</v>
      </c>
      <c r="R250" s="113"/>
      <c r="S250" s="113"/>
      <c r="T250" s="113"/>
      <c r="U250" s="113"/>
      <c r="V250" s="113"/>
      <c r="W250" s="113"/>
      <c r="X250" s="113"/>
      <c r="Y250" s="113"/>
      <c r="Z250" s="113"/>
      <c r="AA250" s="113"/>
      <c r="AB250" s="113"/>
      <c r="AC250" s="113"/>
      <c r="AD250" s="113"/>
      <c r="AE250" s="113"/>
      <c r="AF250" s="113"/>
      <c r="AG250" s="113"/>
      <c r="AH250" s="113"/>
      <c r="AI250" s="113" t="s">
        <v>1113</v>
      </c>
      <c r="AJ250" s="113"/>
      <c r="AK250" s="113"/>
      <c r="AL250" s="113"/>
      <c r="AM250" s="43" t="s">
        <v>5075</v>
      </c>
      <c r="AN250" s="233" t="str">
        <f>VLOOKUP(Table9[[#This Row],[Measure]],Table1025[[Value name]:[Value identifyer]],2,FALSE)</f>
        <v>R_Relocation</v>
      </c>
      <c r="AO250" s="241" t="str">
        <f>VLOOKUP(Table9[[#This Row],[Country Code]],Table29[],3,FALSE)</f>
        <v>Non-Annex I</v>
      </c>
      <c r="AP250" s="241" t="str">
        <f>VLOOKUP(Table9[[#This Row],[Country Code]],Table29[],4,FALSE)</f>
        <v>Africa</v>
      </c>
      <c r="AQ250" s="241" t="str">
        <f>VLOOKUP(Table9[[#This Row],[Country Code]],Table29[],5,FALSE)</f>
        <v>Low-income</v>
      </c>
      <c r="AR250" s="241" t="str">
        <f>VLOOKUP(Table9[[#This Row],[Country Code]],Table29[],6,FALSE)</f>
        <v>no</v>
      </c>
      <c r="AS250" s="241" t="str">
        <f>VLOOKUP(Table9[[#This Row],[Country Code]],Table29[],7,FALSE)</f>
        <v>no</v>
      </c>
      <c r="AT250" s="241" t="str">
        <f>VLOOKUP(Table9[[#This Row],[Country Code]],Table29[],8,FALSE)</f>
        <v>non-OECD</v>
      </c>
      <c r="AU250" s="233" t="str">
        <f>VLOOKUP(Table9[[#This Row],[Country Code]],Table29[],9,FALSE)</f>
        <v>no</v>
      </c>
      <c r="AV250" s="233" t="str">
        <f>VLOOKUP(Table9[[#This Row],[Country Code]],Table29[],10,FALSE)</f>
        <v>no</v>
      </c>
      <c r="AW250" s="233">
        <f>VLOOKUP(Table9[[#This Row],[Country Code]],Table29[],23,FALSE)</f>
        <v>7.4932661090210999</v>
      </c>
      <c r="AX250" s="233">
        <f>VLOOKUP(Table9[[#This Row],[Country Code]],Table29[],24,FALSE)</f>
        <v>0.60722858848321359</v>
      </c>
      <c r="AY250" s="43"/>
    </row>
    <row r="251" spans="1:51" x14ac:dyDescent="0.25">
      <c r="A251" s="360">
        <v>17717</v>
      </c>
      <c r="B251" s="233" t="str">
        <f>VLOOKUP(Table9[[#This Row],[Document ID]],Table1[],2,FALSE)</f>
        <v>RWA</v>
      </c>
      <c r="C251" s="233" t="str">
        <f>VLOOKUP(Table9[[#This Row],[Document ID]],Table1[],3,FALSE)</f>
        <v>Rwanda</v>
      </c>
      <c r="D251" s="233" t="str">
        <f>VLOOKUP(Table9[[#This Row],[Document ID]],Table1[],5,FALSE)</f>
        <v>NDC</v>
      </c>
      <c r="E251" s="233" t="str">
        <f>VLOOKUP(Table9[[#This Row],[Document ID]],Table1[],7,FALSE)</f>
        <v>First NDC updated</v>
      </c>
      <c r="F251" s="233" t="str">
        <f>VLOOKUP(Table9[[#This Row],[Document ID]],Table1[],8,FALSE)</f>
        <v>NDC 1.1</v>
      </c>
      <c r="G251" s="233" t="str">
        <f>VLOOKUP(Table9[[#This Row],[Document ID]],Table1[],10,FALSE)</f>
        <v>Active</v>
      </c>
      <c r="H251" s="44" t="s">
        <v>5086</v>
      </c>
      <c r="I251" s="43" t="s">
        <v>5130</v>
      </c>
      <c r="J251" s="44" t="s">
        <v>5324</v>
      </c>
      <c r="K251" s="221">
        <v>54</v>
      </c>
      <c r="L251" s="113" t="s">
        <v>1113</v>
      </c>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t="s">
        <v>1113</v>
      </c>
      <c r="AJ251" s="113"/>
      <c r="AK251" s="113"/>
      <c r="AL251" s="113"/>
      <c r="AM251" s="43" t="s">
        <v>5075</v>
      </c>
      <c r="AN251" s="233" t="str">
        <f>VLOOKUP(Table9[[#This Row],[Measure]],Table1025[[Value name]:[Value identifyer]],2,FALSE)</f>
        <v>R_Monitoring</v>
      </c>
      <c r="AO251" s="241" t="str">
        <f>VLOOKUP(Table9[[#This Row],[Country Code]],Table29[],3,FALSE)</f>
        <v>Non-Annex I</v>
      </c>
      <c r="AP251" s="241" t="str">
        <f>VLOOKUP(Table9[[#This Row],[Country Code]],Table29[],4,FALSE)</f>
        <v>Africa</v>
      </c>
      <c r="AQ251" s="241" t="str">
        <f>VLOOKUP(Table9[[#This Row],[Country Code]],Table29[],5,FALSE)</f>
        <v>Low-income</v>
      </c>
      <c r="AR251" s="241" t="str">
        <f>VLOOKUP(Table9[[#This Row],[Country Code]],Table29[],6,FALSE)</f>
        <v>no</v>
      </c>
      <c r="AS251" s="241" t="str">
        <f>VLOOKUP(Table9[[#This Row],[Country Code]],Table29[],7,FALSE)</f>
        <v>no</v>
      </c>
      <c r="AT251" s="241" t="str">
        <f>VLOOKUP(Table9[[#This Row],[Country Code]],Table29[],8,FALSE)</f>
        <v>non-OECD</v>
      </c>
      <c r="AU251" s="233" t="str">
        <f>VLOOKUP(Table9[[#This Row],[Country Code]],Table29[],9,FALSE)</f>
        <v>no</v>
      </c>
      <c r="AV251" s="233" t="str">
        <f>VLOOKUP(Table9[[#This Row],[Country Code]],Table29[],10,FALSE)</f>
        <v>no</v>
      </c>
      <c r="AW251" s="233">
        <f>VLOOKUP(Table9[[#This Row],[Country Code]],Table29[],23,FALSE)</f>
        <v>7.4932661090210999</v>
      </c>
      <c r="AX251" s="233">
        <f>VLOOKUP(Table9[[#This Row],[Country Code]],Table29[],24,FALSE)</f>
        <v>0.60722858848321359</v>
      </c>
      <c r="AY251" s="43"/>
    </row>
    <row r="252" spans="1:51" x14ac:dyDescent="0.25">
      <c r="A252" s="360">
        <v>17717</v>
      </c>
      <c r="B252" s="233" t="str">
        <f>VLOOKUP(Table9[[#This Row],[Document ID]],Table1[],2,FALSE)</f>
        <v>RWA</v>
      </c>
      <c r="C252" s="233" t="str">
        <f>VLOOKUP(Table9[[#This Row],[Document ID]],Table1[],3,FALSE)</f>
        <v>Rwanda</v>
      </c>
      <c r="D252" s="233" t="str">
        <f>VLOOKUP(Table9[[#This Row],[Document ID]],Table1[],5,FALSE)</f>
        <v>NDC</v>
      </c>
      <c r="E252" s="233" t="str">
        <f>VLOOKUP(Table9[[#This Row],[Document ID]],Table1[],7,FALSE)</f>
        <v>First NDC updated</v>
      </c>
      <c r="F252" s="233" t="str">
        <f>VLOOKUP(Table9[[#This Row],[Document ID]],Table1[],8,FALSE)</f>
        <v>NDC 1.1</v>
      </c>
      <c r="G252" s="233" t="str">
        <f>VLOOKUP(Table9[[#This Row],[Document ID]],Table1[],10,FALSE)</f>
        <v>Active</v>
      </c>
      <c r="H252" s="44" t="s">
        <v>5086</v>
      </c>
      <c r="I252" s="43" t="s">
        <v>5127</v>
      </c>
      <c r="J252" s="44" t="s">
        <v>5325</v>
      </c>
      <c r="K252" s="221">
        <v>54</v>
      </c>
      <c r="L252" s="113" t="s">
        <v>1113</v>
      </c>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t="s">
        <v>1113</v>
      </c>
      <c r="AJ252" s="113"/>
      <c r="AK252" s="113"/>
      <c r="AL252" s="113"/>
      <c r="AM252" s="43" t="s">
        <v>5075</v>
      </c>
      <c r="AN252" s="233" t="str">
        <f>VLOOKUP(Table9[[#This Row],[Measure]],Table1025[[Value name]:[Value identifyer]],2,FALSE)</f>
        <v>R_Emergency</v>
      </c>
      <c r="AO252" s="241" t="str">
        <f>VLOOKUP(Table9[[#This Row],[Country Code]],Table29[],3,FALSE)</f>
        <v>Non-Annex I</v>
      </c>
      <c r="AP252" s="241" t="str">
        <f>VLOOKUP(Table9[[#This Row],[Country Code]],Table29[],4,FALSE)</f>
        <v>Africa</v>
      </c>
      <c r="AQ252" s="241" t="str">
        <f>VLOOKUP(Table9[[#This Row],[Country Code]],Table29[],5,FALSE)</f>
        <v>Low-income</v>
      </c>
      <c r="AR252" s="241" t="str">
        <f>VLOOKUP(Table9[[#This Row],[Country Code]],Table29[],6,FALSE)</f>
        <v>no</v>
      </c>
      <c r="AS252" s="241" t="str">
        <f>VLOOKUP(Table9[[#This Row],[Country Code]],Table29[],7,FALSE)</f>
        <v>no</v>
      </c>
      <c r="AT252" s="241" t="str">
        <f>VLOOKUP(Table9[[#This Row],[Country Code]],Table29[],8,FALSE)</f>
        <v>non-OECD</v>
      </c>
      <c r="AU252" s="233" t="str">
        <f>VLOOKUP(Table9[[#This Row],[Country Code]],Table29[],9,FALSE)</f>
        <v>no</v>
      </c>
      <c r="AV252" s="233" t="str">
        <f>VLOOKUP(Table9[[#This Row],[Country Code]],Table29[],10,FALSE)</f>
        <v>no</v>
      </c>
      <c r="AW252" s="233">
        <f>VLOOKUP(Table9[[#This Row],[Country Code]],Table29[],23,FALSE)</f>
        <v>7.4932661090210999</v>
      </c>
      <c r="AX252" s="233">
        <f>VLOOKUP(Table9[[#This Row],[Country Code]],Table29[],24,FALSE)</f>
        <v>0.60722858848321359</v>
      </c>
      <c r="AY252" s="43"/>
    </row>
    <row r="253" spans="1:51" x14ac:dyDescent="0.25">
      <c r="A253" s="360">
        <v>17717</v>
      </c>
      <c r="B253" s="233" t="str">
        <f>VLOOKUP(Table9[[#This Row],[Document ID]],Table1[],2,FALSE)</f>
        <v>RWA</v>
      </c>
      <c r="C253" s="233" t="str">
        <f>VLOOKUP(Table9[[#This Row],[Document ID]],Table1[],3,FALSE)</f>
        <v>Rwanda</v>
      </c>
      <c r="D253" s="233" t="str">
        <f>VLOOKUP(Table9[[#This Row],[Document ID]],Table1[],5,FALSE)</f>
        <v>NDC</v>
      </c>
      <c r="E253" s="233" t="str">
        <f>VLOOKUP(Table9[[#This Row],[Document ID]],Table1[],7,FALSE)</f>
        <v>First NDC updated</v>
      </c>
      <c r="F253" s="233" t="str">
        <f>VLOOKUP(Table9[[#This Row],[Document ID]],Table1[],8,FALSE)</f>
        <v>NDC 1.1</v>
      </c>
      <c r="G253" s="233" t="str">
        <f>VLOOKUP(Table9[[#This Row],[Document ID]],Table1[],10,FALSE)</f>
        <v>Active</v>
      </c>
      <c r="H253" s="44" t="s">
        <v>5086</v>
      </c>
      <c r="I253" s="43" t="s">
        <v>5087</v>
      </c>
      <c r="J253" s="44" t="s">
        <v>5326</v>
      </c>
      <c r="K253" s="221">
        <v>54</v>
      </c>
      <c r="L253" s="113" t="s">
        <v>1113</v>
      </c>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t="s">
        <v>1113</v>
      </c>
      <c r="AJ253" s="113"/>
      <c r="AK253" s="113"/>
      <c r="AL253" s="113"/>
      <c r="AM253" s="43" t="s">
        <v>5075</v>
      </c>
      <c r="AN253" s="233" t="str">
        <f>VLOOKUP(Table9[[#This Row],[Measure]],Table1025[[Value name]:[Value identifyer]],2,FALSE)</f>
        <v>R_Education</v>
      </c>
      <c r="AO253" s="241" t="str">
        <f>VLOOKUP(Table9[[#This Row],[Country Code]],Table29[],3,FALSE)</f>
        <v>Non-Annex I</v>
      </c>
      <c r="AP253" s="241" t="str">
        <f>VLOOKUP(Table9[[#This Row],[Country Code]],Table29[],4,FALSE)</f>
        <v>Africa</v>
      </c>
      <c r="AQ253" s="241" t="str">
        <f>VLOOKUP(Table9[[#This Row],[Country Code]],Table29[],5,FALSE)</f>
        <v>Low-income</v>
      </c>
      <c r="AR253" s="241" t="str">
        <f>VLOOKUP(Table9[[#This Row],[Country Code]],Table29[],6,FALSE)</f>
        <v>no</v>
      </c>
      <c r="AS253" s="241" t="str">
        <f>VLOOKUP(Table9[[#This Row],[Country Code]],Table29[],7,FALSE)</f>
        <v>no</v>
      </c>
      <c r="AT253" s="241" t="str">
        <f>VLOOKUP(Table9[[#This Row],[Country Code]],Table29[],8,FALSE)</f>
        <v>non-OECD</v>
      </c>
      <c r="AU253" s="233" t="str">
        <f>VLOOKUP(Table9[[#This Row],[Country Code]],Table29[],9,FALSE)</f>
        <v>no</v>
      </c>
      <c r="AV253" s="233" t="str">
        <f>VLOOKUP(Table9[[#This Row],[Country Code]],Table29[],10,FALSE)</f>
        <v>no</v>
      </c>
      <c r="AW253" s="233">
        <f>VLOOKUP(Table9[[#This Row],[Country Code]],Table29[],23,FALSE)</f>
        <v>7.4932661090210999</v>
      </c>
      <c r="AX253" s="233">
        <f>VLOOKUP(Table9[[#This Row],[Country Code]],Table29[],24,FALSE)</f>
        <v>0.60722858848321359</v>
      </c>
      <c r="AY253" s="43"/>
    </row>
    <row r="254" spans="1:51" x14ac:dyDescent="0.25">
      <c r="A254" s="360">
        <v>17717</v>
      </c>
      <c r="B254" s="233" t="str">
        <f>VLOOKUP(Table9[[#This Row],[Document ID]],Table1[],2,FALSE)</f>
        <v>RWA</v>
      </c>
      <c r="C254" s="233" t="str">
        <f>VLOOKUP(Table9[[#This Row],[Document ID]],Table1[],3,FALSE)</f>
        <v>Rwanda</v>
      </c>
      <c r="D254" s="233" t="str">
        <f>VLOOKUP(Table9[[#This Row],[Document ID]],Table1[],5,FALSE)</f>
        <v>NDC</v>
      </c>
      <c r="E254" s="233" t="str">
        <f>VLOOKUP(Table9[[#This Row],[Document ID]],Table1[],7,FALSE)</f>
        <v>First NDC updated</v>
      </c>
      <c r="F254" s="233" t="str">
        <f>VLOOKUP(Table9[[#This Row],[Document ID]],Table1[],8,FALSE)</f>
        <v>NDC 1.1</v>
      </c>
      <c r="G254" s="233" t="str">
        <f>VLOOKUP(Table9[[#This Row],[Document ID]],Table1[],10,FALSE)</f>
        <v>Active</v>
      </c>
      <c r="H254" s="44" t="s">
        <v>5086</v>
      </c>
      <c r="I254" s="43" t="s">
        <v>5127</v>
      </c>
      <c r="J254" s="44" t="s">
        <v>5327</v>
      </c>
      <c r="K254" s="221">
        <v>54</v>
      </c>
      <c r="L254" s="113" t="s">
        <v>1113</v>
      </c>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t="s">
        <v>1113</v>
      </c>
      <c r="AJ254" s="113"/>
      <c r="AK254" s="113"/>
      <c r="AL254" s="113"/>
      <c r="AM254" s="43" t="s">
        <v>5075</v>
      </c>
      <c r="AN254" s="233" t="str">
        <f>VLOOKUP(Table9[[#This Row],[Measure]],Table1025[[Value name]:[Value identifyer]],2,FALSE)</f>
        <v>R_Emergency</v>
      </c>
      <c r="AO254" s="241" t="str">
        <f>VLOOKUP(Table9[[#This Row],[Country Code]],Table29[],3,FALSE)</f>
        <v>Non-Annex I</v>
      </c>
      <c r="AP254" s="241" t="str">
        <f>VLOOKUP(Table9[[#This Row],[Country Code]],Table29[],4,FALSE)</f>
        <v>Africa</v>
      </c>
      <c r="AQ254" s="241" t="str">
        <f>VLOOKUP(Table9[[#This Row],[Country Code]],Table29[],5,FALSE)</f>
        <v>Low-income</v>
      </c>
      <c r="AR254" s="241" t="str">
        <f>VLOOKUP(Table9[[#This Row],[Country Code]],Table29[],6,FALSE)</f>
        <v>no</v>
      </c>
      <c r="AS254" s="241" t="str">
        <f>VLOOKUP(Table9[[#This Row],[Country Code]],Table29[],7,FALSE)</f>
        <v>no</v>
      </c>
      <c r="AT254" s="241" t="str">
        <f>VLOOKUP(Table9[[#This Row],[Country Code]],Table29[],8,FALSE)</f>
        <v>non-OECD</v>
      </c>
      <c r="AU254" s="233" t="str">
        <f>VLOOKUP(Table9[[#This Row],[Country Code]],Table29[],9,FALSE)</f>
        <v>no</v>
      </c>
      <c r="AV254" s="233" t="str">
        <f>VLOOKUP(Table9[[#This Row],[Country Code]],Table29[],10,FALSE)</f>
        <v>no</v>
      </c>
      <c r="AW254" s="233">
        <f>VLOOKUP(Table9[[#This Row],[Country Code]],Table29[],23,FALSE)</f>
        <v>7.4932661090210999</v>
      </c>
      <c r="AX254" s="233">
        <f>VLOOKUP(Table9[[#This Row],[Country Code]],Table29[],24,FALSE)</f>
        <v>0.60722858848321359</v>
      </c>
      <c r="AY254" s="43"/>
    </row>
    <row r="255" spans="1:51" ht="30" x14ac:dyDescent="0.25">
      <c r="A255" s="367">
        <v>17716</v>
      </c>
      <c r="B255" s="233" t="str">
        <f>VLOOKUP(Table9[[#This Row],[Document ID]],Table1[],2,FALSE)</f>
        <v>RWA</v>
      </c>
      <c r="C255" s="233" t="str">
        <f>VLOOKUP(Table9[[#This Row],[Document ID]],Table1[],3,FALSE)</f>
        <v>Rwanda</v>
      </c>
      <c r="D255" s="328" t="str">
        <f>VLOOKUP(Table9[[#This Row],[Document ID]],Table1[],5,FALSE)</f>
        <v>NDC</v>
      </c>
      <c r="E255" s="233" t="str">
        <f>VLOOKUP(Table9[[#This Row],[Document ID]],Table1[],7,FALSE)</f>
        <v>First NDC</v>
      </c>
      <c r="F255" s="328" t="str">
        <f>VLOOKUP(Table9[[#This Row],[Document ID]],Table1[],8,FALSE)</f>
        <v>NDC 1.0</v>
      </c>
      <c r="G255" s="328" t="str">
        <f>VLOOKUP(Table9[[#This Row],[Document ID]],Table1[],10,FALSE)</f>
        <v>Archived</v>
      </c>
      <c r="H255" s="44" t="s">
        <v>5072</v>
      </c>
      <c r="I255" s="43" t="s">
        <v>5073</v>
      </c>
      <c r="J255" s="209" t="s">
        <v>5328</v>
      </c>
      <c r="K255" s="257" t="s">
        <v>5081</v>
      </c>
      <c r="L255" s="326"/>
      <c r="M255" s="326"/>
      <c r="N255" s="326"/>
      <c r="O255" s="326"/>
      <c r="P255" s="326"/>
      <c r="Q255" s="326" t="s">
        <v>1113</v>
      </c>
      <c r="R255" s="326"/>
      <c r="S255" s="326"/>
      <c r="T255" s="326"/>
      <c r="U255" s="326"/>
      <c r="V255" s="326"/>
      <c r="W255" s="326"/>
      <c r="X255" s="326"/>
      <c r="Y255" s="326"/>
      <c r="Z255" s="326"/>
      <c r="AA255" s="326"/>
      <c r="AB255" s="326"/>
      <c r="AC255" s="326"/>
      <c r="AD255" s="326"/>
      <c r="AE255" s="326"/>
      <c r="AF255" s="326"/>
      <c r="AG255" s="326"/>
      <c r="AH255" s="326"/>
      <c r="AI255" s="326" t="s">
        <v>1113</v>
      </c>
      <c r="AJ255" s="326"/>
      <c r="AK255" s="326"/>
      <c r="AL255" s="326"/>
      <c r="AM255" s="327" t="s">
        <v>5075</v>
      </c>
      <c r="AN255" s="233" t="str">
        <f>VLOOKUP(Table9[[#This Row],[Measure]],Table1025[[Value name]:[Value identifyer]],2,FALSE)</f>
        <v>R_System</v>
      </c>
      <c r="AO255" s="241" t="str">
        <f>VLOOKUP(Table9[[#This Row],[Country Code]],Table29[],3,FALSE)</f>
        <v>Non-Annex I</v>
      </c>
      <c r="AP255" s="241" t="str">
        <f>VLOOKUP(Table9[[#This Row],[Country Code]],Table29[],4,FALSE)</f>
        <v>Africa</v>
      </c>
      <c r="AQ255" s="241" t="str">
        <f>VLOOKUP(Table9[[#This Row],[Country Code]],Table29[],5,FALSE)</f>
        <v>Low-income</v>
      </c>
      <c r="AR255" s="241" t="str">
        <f>VLOOKUP(Table9[[#This Row],[Country Code]],Table29[],6,FALSE)</f>
        <v>no</v>
      </c>
      <c r="AS255" s="241" t="str">
        <f>VLOOKUP(Table9[[#This Row],[Country Code]],Table29[],7,FALSE)</f>
        <v>no</v>
      </c>
      <c r="AT255" s="241" t="str">
        <f>VLOOKUP(Table9[[#This Row],[Country Code]],Table29[],8,FALSE)</f>
        <v>non-OECD</v>
      </c>
      <c r="AU255" s="233" t="str">
        <f>VLOOKUP(Table9[[#This Row],[Country Code]],Table29[],9,FALSE)</f>
        <v>no</v>
      </c>
      <c r="AV255" s="233" t="str">
        <f>VLOOKUP(Table9[[#This Row],[Country Code]],Table29[],10,FALSE)</f>
        <v>no</v>
      </c>
      <c r="AW255" s="233">
        <f>VLOOKUP(Table9[[#This Row],[Country Code]],Table29[],23,FALSE)</f>
        <v>7.4932661090210999</v>
      </c>
      <c r="AX255" s="233">
        <f>VLOOKUP(Table9[[#This Row],[Country Code]],Table29[],24,FALSE)</f>
        <v>0.60722858848321359</v>
      </c>
      <c r="AY255" s="43"/>
    </row>
    <row r="256" spans="1:51" ht="75" x14ac:dyDescent="0.25">
      <c r="A256" s="367">
        <v>17716</v>
      </c>
      <c r="B256" s="233" t="str">
        <f>VLOOKUP(Table9[[#This Row],[Document ID]],Table1[],2,FALSE)</f>
        <v>RWA</v>
      </c>
      <c r="C256" s="233" t="str">
        <f>VLOOKUP(Table9[[#This Row],[Document ID]],Table1[],3,FALSE)</f>
        <v>Rwanda</v>
      </c>
      <c r="D256" s="328" t="str">
        <f>VLOOKUP(Table9[[#This Row],[Document ID]],Table1[],5,FALSE)</f>
        <v>NDC</v>
      </c>
      <c r="E256" s="233" t="str">
        <f>VLOOKUP(Table9[[#This Row],[Document ID]],Table1[],7,FALSE)</f>
        <v>First NDC</v>
      </c>
      <c r="F256" s="328" t="str">
        <f>VLOOKUP(Table9[[#This Row],[Document ID]],Table1[],8,FALSE)</f>
        <v>NDC 1.0</v>
      </c>
      <c r="G256" s="328" t="str">
        <f>VLOOKUP(Table9[[#This Row],[Document ID]],Table1[],10,FALSE)</f>
        <v>Archived</v>
      </c>
      <c r="H256" s="44" t="s">
        <v>5072</v>
      </c>
      <c r="I256" s="43" t="s">
        <v>5082</v>
      </c>
      <c r="J256" s="209" t="s">
        <v>5329</v>
      </c>
      <c r="K256" s="257" t="s">
        <v>5081</v>
      </c>
      <c r="L256" s="326" t="s">
        <v>1113</v>
      </c>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c r="AI256" s="326" t="s">
        <v>1113</v>
      </c>
      <c r="AJ256" s="326"/>
      <c r="AK256" s="326"/>
      <c r="AL256" s="326"/>
      <c r="AM256" s="327" t="s">
        <v>5075</v>
      </c>
      <c r="AN256" s="233" t="str">
        <f>VLOOKUP(Table9[[#This Row],[Measure]],Table1025[[Value name]:[Value identifyer]],2,FALSE)</f>
        <v>R_Risk</v>
      </c>
      <c r="AO256" s="241" t="str">
        <f>VLOOKUP(Table9[[#This Row],[Country Code]],Table29[],3,FALSE)</f>
        <v>Non-Annex I</v>
      </c>
      <c r="AP256" s="241" t="str">
        <f>VLOOKUP(Table9[[#This Row],[Country Code]],Table29[],4,FALSE)</f>
        <v>Africa</v>
      </c>
      <c r="AQ256" s="241" t="str">
        <f>VLOOKUP(Table9[[#This Row],[Country Code]],Table29[],5,FALSE)</f>
        <v>Low-income</v>
      </c>
      <c r="AR256" s="241" t="str">
        <f>VLOOKUP(Table9[[#This Row],[Country Code]],Table29[],6,FALSE)</f>
        <v>no</v>
      </c>
      <c r="AS256" s="241" t="str">
        <f>VLOOKUP(Table9[[#This Row],[Country Code]],Table29[],7,FALSE)</f>
        <v>no</v>
      </c>
      <c r="AT256" s="241" t="str">
        <f>VLOOKUP(Table9[[#This Row],[Country Code]],Table29[],8,FALSE)</f>
        <v>non-OECD</v>
      </c>
      <c r="AU256" s="233" t="str">
        <f>VLOOKUP(Table9[[#This Row],[Country Code]],Table29[],9,FALSE)</f>
        <v>no</v>
      </c>
      <c r="AV256" s="233" t="str">
        <f>VLOOKUP(Table9[[#This Row],[Country Code]],Table29[],10,FALSE)</f>
        <v>no</v>
      </c>
      <c r="AW256" s="233">
        <f>VLOOKUP(Table9[[#This Row],[Country Code]],Table29[],23,FALSE)</f>
        <v>7.4932661090210999</v>
      </c>
      <c r="AX256" s="233">
        <f>VLOOKUP(Table9[[#This Row],[Country Code]],Table29[],24,FALSE)</f>
        <v>0.60722858848321359</v>
      </c>
      <c r="AY256" s="43"/>
    </row>
    <row r="257" spans="1:51" ht="45" x14ac:dyDescent="0.25">
      <c r="A257" s="367">
        <v>17716</v>
      </c>
      <c r="B257" s="233" t="str">
        <f>VLOOKUP(Table9[[#This Row],[Document ID]],Table1[],2,FALSE)</f>
        <v>RWA</v>
      </c>
      <c r="C257" s="233" t="str">
        <f>VLOOKUP(Table9[[#This Row],[Document ID]],Table1[],3,FALSE)</f>
        <v>Rwanda</v>
      </c>
      <c r="D257" s="328" t="str">
        <f>VLOOKUP(Table9[[#This Row],[Document ID]],Table1[],5,FALSE)</f>
        <v>NDC</v>
      </c>
      <c r="E257" s="233" t="str">
        <f>VLOOKUP(Table9[[#This Row],[Document ID]],Table1[],7,FALSE)</f>
        <v>First NDC</v>
      </c>
      <c r="F257" s="328" t="str">
        <f>VLOOKUP(Table9[[#This Row],[Document ID]],Table1[],8,FALSE)</f>
        <v>NDC 1.0</v>
      </c>
      <c r="G257" s="328" t="str">
        <f>VLOOKUP(Table9[[#This Row],[Document ID]],Table1[],10,FALSE)</f>
        <v>Archived</v>
      </c>
      <c r="H257" s="44" t="s">
        <v>5086</v>
      </c>
      <c r="I257" s="43" t="s">
        <v>5127</v>
      </c>
      <c r="J257" s="209" t="s">
        <v>5330</v>
      </c>
      <c r="K257" s="257" t="s">
        <v>5081</v>
      </c>
      <c r="L257" s="326" t="s">
        <v>1113</v>
      </c>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c r="AI257" s="326" t="s">
        <v>1113</v>
      </c>
      <c r="AJ257" s="326"/>
      <c r="AK257" s="326"/>
      <c r="AL257" s="326"/>
      <c r="AM257" s="327" t="s">
        <v>5075</v>
      </c>
      <c r="AN257" s="233" t="str">
        <f>VLOOKUP(Table9[[#This Row],[Measure]],Table1025[[Value name]:[Value identifyer]],2,FALSE)</f>
        <v>R_Emergency</v>
      </c>
      <c r="AO257" s="241" t="str">
        <f>VLOOKUP(Table9[[#This Row],[Country Code]],Table29[],3,FALSE)</f>
        <v>Non-Annex I</v>
      </c>
      <c r="AP257" s="241" t="str">
        <f>VLOOKUP(Table9[[#This Row],[Country Code]],Table29[],4,FALSE)</f>
        <v>Africa</v>
      </c>
      <c r="AQ257" s="241" t="str">
        <f>VLOOKUP(Table9[[#This Row],[Country Code]],Table29[],5,FALSE)</f>
        <v>Low-income</v>
      </c>
      <c r="AR257" s="241" t="str">
        <f>VLOOKUP(Table9[[#This Row],[Country Code]],Table29[],6,FALSE)</f>
        <v>no</v>
      </c>
      <c r="AS257" s="241" t="str">
        <f>VLOOKUP(Table9[[#This Row],[Country Code]],Table29[],7,FALSE)</f>
        <v>no</v>
      </c>
      <c r="AT257" s="241" t="str">
        <f>VLOOKUP(Table9[[#This Row],[Country Code]],Table29[],8,FALSE)</f>
        <v>non-OECD</v>
      </c>
      <c r="AU257" s="233" t="str">
        <f>VLOOKUP(Table9[[#This Row],[Country Code]],Table29[],9,FALSE)</f>
        <v>no</v>
      </c>
      <c r="AV257" s="233" t="str">
        <f>VLOOKUP(Table9[[#This Row],[Country Code]],Table29[],10,FALSE)</f>
        <v>no</v>
      </c>
      <c r="AW257" s="233">
        <f>VLOOKUP(Table9[[#This Row],[Country Code]],Table29[],23,FALSE)</f>
        <v>7.4932661090210999</v>
      </c>
      <c r="AX257" s="233">
        <f>VLOOKUP(Table9[[#This Row],[Country Code]],Table29[],24,FALSE)</f>
        <v>0.60722858848321359</v>
      </c>
      <c r="AY257" s="43"/>
    </row>
    <row r="258" spans="1:51" ht="30" x14ac:dyDescent="0.25">
      <c r="A258" s="367">
        <v>17716</v>
      </c>
      <c r="B258" s="233" t="str">
        <f>VLOOKUP(Table9[[#This Row],[Document ID]],Table1[],2,FALSE)</f>
        <v>RWA</v>
      </c>
      <c r="C258" s="233" t="str">
        <f>VLOOKUP(Table9[[#This Row],[Document ID]],Table1[],3,FALSE)</f>
        <v>Rwanda</v>
      </c>
      <c r="D258" s="328" t="str">
        <f>VLOOKUP(Table9[[#This Row],[Document ID]],Table1[],5,FALSE)</f>
        <v>NDC</v>
      </c>
      <c r="E258" s="233" t="str">
        <f>VLOOKUP(Table9[[#This Row],[Document ID]],Table1[],7,FALSE)</f>
        <v>First NDC</v>
      </c>
      <c r="F258" s="328" t="str">
        <f>VLOOKUP(Table9[[#This Row],[Document ID]],Table1[],8,FALSE)</f>
        <v>NDC 1.0</v>
      </c>
      <c r="G258" s="328" t="str">
        <f>VLOOKUP(Table9[[#This Row],[Document ID]],Table1[],10,FALSE)</f>
        <v>Archived</v>
      </c>
      <c r="H258" s="44" t="s">
        <v>5086</v>
      </c>
      <c r="I258" s="43" t="s">
        <v>5087</v>
      </c>
      <c r="J258" s="209" t="s">
        <v>5331</v>
      </c>
      <c r="K258" s="257" t="s">
        <v>5081</v>
      </c>
      <c r="L258" s="326" t="s">
        <v>1113</v>
      </c>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c r="AI258" s="326" t="s">
        <v>1113</v>
      </c>
      <c r="AJ258" s="326"/>
      <c r="AK258" s="326"/>
      <c r="AL258" s="326"/>
      <c r="AM258" s="327" t="s">
        <v>5075</v>
      </c>
      <c r="AN258" s="233" t="str">
        <f>VLOOKUP(Table9[[#This Row],[Measure]],Table1025[[Value name]:[Value identifyer]],2,FALSE)</f>
        <v>R_Education</v>
      </c>
      <c r="AO258" s="241" t="str">
        <f>VLOOKUP(Table9[[#This Row],[Country Code]],Table29[],3,FALSE)</f>
        <v>Non-Annex I</v>
      </c>
      <c r="AP258" s="241" t="str">
        <f>VLOOKUP(Table9[[#This Row],[Country Code]],Table29[],4,FALSE)</f>
        <v>Africa</v>
      </c>
      <c r="AQ258" s="241" t="str">
        <f>VLOOKUP(Table9[[#This Row],[Country Code]],Table29[],5,FALSE)</f>
        <v>Low-income</v>
      </c>
      <c r="AR258" s="241" t="str">
        <f>VLOOKUP(Table9[[#This Row],[Country Code]],Table29[],6,FALSE)</f>
        <v>no</v>
      </c>
      <c r="AS258" s="241" t="str">
        <f>VLOOKUP(Table9[[#This Row],[Country Code]],Table29[],7,FALSE)</f>
        <v>no</v>
      </c>
      <c r="AT258" s="241" t="str">
        <f>VLOOKUP(Table9[[#This Row],[Country Code]],Table29[],8,FALSE)</f>
        <v>non-OECD</v>
      </c>
      <c r="AU258" s="233" t="str">
        <f>VLOOKUP(Table9[[#This Row],[Country Code]],Table29[],9,FALSE)</f>
        <v>no</v>
      </c>
      <c r="AV258" s="233" t="str">
        <f>VLOOKUP(Table9[[#This Row],[Country Code]],Table29[],10,FALSE)</f>
        <v>no</v>
      </c>
      <c r="AW258" s="233">
        <f>VLOOKUP(Table9[[#This Row],[Country Code]],Table29[],23,FALSE)</f>
        <v>7.4932661090210999</v>
      </c>
      <c r="AX258" s="233">
        <f>VLOOKUP(Table9[[#This Row],[Country Code]],Table29[],24,FALSE)</f>
        <v>0.60722858848321359</v>
      </c>
      <c r="AY258" s="43"/>
    </row>
    <row r="259" spans="1:51" x14ac:dyDescent="0.25">
      <c r="A259" s="368">
        <v>23829</v>
      </c>
      <c r="B259" s="233" t="str">
        <f>VLOOKUP(Table9[[#This Row],[Document ID]],Table1[],2,FALSE)</f>
        <v>KNA</v>
      </c>
      <c r="C259" s="233" t="str">
        <f>VLOOKUP(Table9[[#This Row],[Document ID]],Table1[],3,FALSE)</f>
        <v>Saint Kitts and Nevis</v>
      </c>
      <c r="D259" s="241" t="str">
        <f>VLOOKUP(Table9[[#This Row],[Document ID]],Table1[],5,FALSE)</f>
        <v>NDC</v>
      </c>
      <c r="E259" s="233" t="str">
        <f>VLOOKUP(Table9[[#This Row],[Document ID]],Table1[],7,FALSE)</f>
        <v>First NDC updated</v>
      </c>
      <c r="F259" s="241" t="str">
        <f>VLOOKUP(Table9[[#This Row],[Document ID]],Table1[],8,FALSE)</f>
        <v>NDC 1.1</v>
      </c>
      <c r="G259" s="241" t="str">
        <f>VLOOKUP(Table9[[#This Row],[Document ID]],Table1[],10,FALSE)</f>
        <v>Active</v>
      </c>
      <c r="H259" s="44" t="s">
        <v>5076</v>
      </c>
      <c r="I259" s="43" t="s">
        <v>5077</v>
      </c>
      <c r="J259" s="209" t="s">
        <v>5332</v>
      </c>
      <c r="K259" s="259">
        <v>6</v>
      </c>
      <c r="L259" s="219" t="s">
        <v>1113</v>
      </c>
      <c r="M259" s="219"/>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219" t="s">
        <v>1113</v>
      </c>
      <c r="AJ259" s="326"/>
      <c r="AK259" s="326"/>
      <c r="AL259" s="326"/>
      <c r="AM259" s="327" t="s">
        <v>5075</v>
      </c>
      <c r="AN259" s="233" t="str">
        <f>VLOOKUP(Table9[[#This Row],[Measure]],Table1025[[Value name]:[Value identifyer]],2,FALSE)</f>
        <v>R_Planning</v>
      </c>
      <c r="AO259" s="241" t="str">
        <f>VLOOKUP(Table9[[#This Row],[Country Code]],Table29[],3,FALSE)</f>
        <v>Non-Annex I</v>
      </c>
      <c r="AP259" s="241" t="str">
        <f>VLOOKUP(Table9[[#This Row],[Country Code]],Table29[],4,FALSE)</f>
        <v>Latin America and the Caribbean</v>
      </c>
      <c r="AQ259" s="241" t="str">
        <f>VLOOKUP(Table9[[#This Row],[Country Code]],Table29[],5,FALSE)</f>
        <v>High-income</v>
      </c>
      <c r="AR259" s="241" t="str">
        <f>VLOOKUP(Table9[[#This Row],[Country Code]],Table29[],6,FALSE)</f>
        <v>no</v>
      </c>
      <c r="AS259" s="241" t="str">
        <f>VLOOKUP(Table9[[#This Row],[Country Code]],Table29[],7,FALSE)</f>
        <v>no</v>
      </c>
      <c r="AT259" s="241" t="str">
        <f>VLOOKUP(Table9[[#This Row],[Country Code]],Table29[],8,FALSE)</f>
        <v>non-OECD</v>
      </c>
      <c r="AU259" s="233" t="str">
        <f>VLOOKUP(Table9[[#This Row],[Country Code]],Table29[],9,FALSE)</f>
        <v>no</v>
      </c>
      <c r="AV259" s="233" t="str">
        <f>VLOOKUP(Table9[[#This Row],[Country Code]],Table29[],10,FALSE)</f>
        <v>no</v>
      </c>
      <c r="AW259" s="233">
        <f>VLOOKUP(Table9[[#This Row],[Country Code]],Table29[],23,FALSE)</f>
        <v>0.17447409234332001</v>
      </c>
      <c r="AX259" s="233">
        <f>VLOOKUP(Table9[[#This Row],[Country Code]],Table29[],24,FALSE)</f>
        <v>4.2331182061763992E-2</v>
      </c>
      <c r="AY259" s="43"/>
    </row>
    <row r="260" spans="1:51" x14ac:dyDescent="0.25">
      <c r="A260" s="368">
        <v>23829</v>
      </c>
      <c r="B260" s="233" t="str">
        <f>VLOOKUP(Table9[[#This Row],[Document ID]],Table1[],2,FALSE)</f>
        <v>KNA</v>
      </c>
      <c r="C260" s="233" t="str">
        <f>VLOOKUP(Table9[[#This Row],[Document ID]],Table1[],3,FALSE)</f>
        <v>Saint Kitts and Nevis</v>
      </c>
      <c r="D260" s="241" t="str">
        <f>VLOOKUP(Table9[[#This Row],[Document ID]],Table1[],5,FALSE)</f>
        <v>NDC</v>
      </c>
      <c r="E260" s="233" t="str">
        <f>VLOOKUP(Table9[[#This Row],[Document ID]],Table1[],7,FALSE)</f>
        <v>First NDC updated</v>
      </c>
      <c r="F260" s="241" t="str">
        <f>VLOOKUP(Table9[[#This Row],[Document ID]],Table1[],8,FALSE)</f>
        <v>NDC 1.1</v>
      </c>
      <c r="G260" s="241" t="str">
        <f>VLOOKUP(Table9[[#This Row],[Document ID]],Table1[],10,FALSE)</f>
        <v>Active</v>
      </c>
      <c r="H260" s="44" t="s">
        <v>5072</v>
      </c>
      <c r="I260" s="43" t="s">
        <v>5073</v>
      </c>
      <c r="J260" s="209" t="s">
        <v>5333</v>
      </c>
      <c r="K260" s="259">
        <v>6</v>
      </c>
      <c r="L260" s="219" t="s">
        <v>1113</v>
      </c>
      <c r="M260" s="219"/>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219" t="s">
        <v>1113</v>
      </c>
      <c r="AJ260" s="326"/>
      <c r="AK260" s="326"/>
      <c r="AL260" s="326"/>
      <c r="AM260" s="327" t="s">
        <v>5075</v>
      </c>
      <c r="AN260" s="233" t="str">
        <f>VLOOKUP(Table9[[#This Row],[Measure]],Table1025[[Value name]:[Value identifyer]],2,FALSE)</f>
        <v>R_System</v>
      </c>
      <c r="AO260" s="241" t="str">
        <f>VLOOKUP(Table9[[#This Row],[Country Code]],Table29[],3,FALSE)</f>
        <v>Non-Annex I</v>
      </c>
      <c r="AP260" s="241" t="str">
        <f>VLOOKUP(Table9[[#This Row],[Country Code]],Table29[],4,FALSE)</f>
        <v>Latin America and the Caribbean</v>
      </c>
      <c r="AQ260" s="241" t="str">
        <f>VLOOKUP(Table9[[#This Row],[Country Code]],Table29[],5,FALSE)</f>
        <v>High-income</v>
      </c>
      <c r="AR260" s="241" t="str">
        <f>VLOOKUP(Table9[[#This Row],[Country Code]],Table29[],6,FALSE)</f>
        <v>no</v>
      </c>
      <c r="AS260" s="241" t="str">
        <f>VLOOKUP(Table9[[#This Row],[Country Code]],Table29[],7,FALSE)</f>
        <v>no</v>
      </c>
      <c r="AT260" s="241" t="str">
        <f>VLOOKUP(Table9[[#This Row],[Country Code]],Table29[],8,FALSE)</f>
        <v>non-OECD</v>
      </c>
      <c r="AU260" s="233" t="str">
        <f>VLOOKUP(Table9[[#This Row],[Country Code]],Table29[],9,FALSE)</f>
        <v>no</v>
      </c>
      <c r="AV260" s="233" t="str">
        <f>VLOOKUP(Table9[[#This Row],[Country Code]],Table29[],10,FALSE)</f>
        <v>no</v>
      </c>
      <c r="AW260" s="233">
        <f>VLOOKUP(Table9[[#This Row],[Country Code]],Table29[],23,FALSE)</f>
        <v>0.17447409234332001</v>
      </c>
      <c r="AX260" s="233">
        <f>VLOOKUP(Table9[[#This Row],[Country Code]],Table29[],24,FALSE)</f>
        <v>4.2331182061763992E-2</v>
      </c>
      <c r="AY260" s="43"/>
    </row>
    <row r="261" spans="1:51" x14ac:dyDescent="0.25">
      <c r="A261" s="368">
        <v>23829</v>
      </c>
      <c r="B261" s="233" t="str">
        <f>VLOOKUP(Table9[[#This Row],[Document ID]],Table1[],2,FALSE)</f>
        <v>KNA</v>
      </c>
      <c r="C261" s="233" t="str">
        <f>VLOOKUP(Table9[[#This Row],[Document ID]],Table1[],3,FALSE)</f>
        <v>Saint Kitts and Nevis</v>
      </c>
      <c r="D261" s="241" t="str">
        <f>VLOOKUP(Table9[[#This Row],[Document ID]],Table1[],5,FALSE)</f>
        <v>NDC</v>
      </c>
      <c r="E261" s="233" t="str">
        <f>VLOOKUP(Table9[[#This Row],[Document ID]],Table1[],7,FALSE)</f>
        <v>First NDC updated</v>
      </c>
      <c r="F261" s="241" t="str">
        <f>VLOOKUP(Table9[[#This Row],[Document ID]],Table1[],8,FALSE)</f>
        <v>NDC 1.1</v>
      </c>
      <c r="G261" s="241" t="str">
        <f>VLOOKUP(Table9[[#This Row],[Document ID]],Table1[],10,FALSE)</f>
        <v>Active</v>
      </c>
      <c r="H261" s="44" t="s">
        <v>5072</v>
      </c>
      <c r="I261" s="43" t="s">
        <v>5073</v>
      </c>
      <c r="J261" s="209" t="s">
        <v>5334</v>
      </c>
      <c r="K261" s="259">
        <v>6</v>
      </c>
      <c r="L261" s="219" t="s">
        <v>1113</v>
      </c>
      <c r="M261" s="219"/>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219" t="s">
        <v>1113</v>
      </c>
      <c r="AJ261" s="326"/>
      <c r="AK261" s="326"/>
      <c r="AL261" s="326"/>
      <c r="AM261" s="327" t="s">
        <v>5075</v>
      </c>
      <c r="AN261" s="233" t="str">
        <f>VLOOKUP(Table9[[#This Row],[Measure]],Table1025[[Value name]:[Value identifyer]],2,FALSE)</f>
        <v>R_System</v>
      </c>
      <c r="AO261" s="241" t="str">
        <f>VLOOKUP(Table9[[#This Row],[Country Code]],Table29[],3,FALSE)</f>
        <v>Non-Annex I</v>
      </c>
      <c r="AP261" s="241" t="str">
        <f>VLOOKUP(Table9[[#This Row],[Country Code]],Table29[],4,FALSE)</f>
        <v>Latin America and the Caribbean</v>
      </c>
      <c r="AQ261" s="241" t="str">
        <f>VLOOKUP(Table9[[#This Row],[Country Code]],Table29[],5,FALSE)</f>
        <v>High-income</v>
      </c>
      <c r="AR261" s="241" t="str">
        <f>VLOOKUP(Table9[[#This Row],[Country Code]],Table29[],6,FALSE)</f>
        <v>no</v>
      </c>
      <c r="AS261" s="241" t="str">
        <f>VLOOKUP(Table9[[#This Row],[Country Code]],Table29[],7,FALSE)</f>
        <v>no</v>
      </c>
      <c r="AT261" s="241" t="str">
        <f>VLOOKUP(Table9[[#This Row],[Country Code]],Table29[],8,FALSE)</f>
        <v>non-OECD</v>
      </c>
      <c r="AU261" s="233" t="str">
        <f>VLOOKUP(Table9[[#This Row],[Country Code]],Table29[],9,FALSE)</f>
        <v>no</v>
      </c>
      <c r="AV261" s="233" t="str">
        <f>VLOOKUP(Table9[[#This Row],[Country Code]],Table29[],10,FALSE)</f>
        <v>no</v>
      </c>
      <c r="AW261" s="233">
        <f>VLOOKUP(Table9[[#This Row],[Country Code]],Table29[],23,FALSE)</f>
        <v>0.17447409234332001</v>
      </c>
      <c r="AX261" s="233">
        <f>VLOOKUP(Table9[[#This Row],[Country Code]],Table29[],24,FALSE)</f>
        <v>4.2331182061763992E-2</v>
      </c>
      <c r="AY261" s="43"/>
    </row>
    <row r="262" spans="1:51" ht="30" x14ac:dyDescent="0.25">
      <c r="A262" s="367">
        <v>32513</v>
      </c>
      <c r="B262" s="233" t="str">
        <f>VLOOKUP(Table9[[#This Row],[Document ID]],Table1[],2,FALSE)</f>
        <v>STP</v>
      </c>
      <c r="C262" s="233" t="str">
        <f>VLOOKUP(Table9[[#This Row],[Document ID]],Table1[],3,FALSE)</f>
        <v>Sao Tome and Principe</v>
      </c>
      <c r="D262" s="254" t="str">
        <f>VLOOKUP(Table9[[#This Row],[Document ID]],Table1[],5,FALSE)</f>
        <v>NDC</v>
      </c>
      <c r="E262" s="233" t="str">
        <f>VLOOKUP(Table9[[#This Row],[Document ID]],Table1[],7,FALSE)</f>
        <v>First NDC updated</v>
      </c>
      <c r="F262" s="241" t="str">
        <f>VLOOKUP(Table9[[#This Row],[Document ID]],Table1[],8,FALSE)</f>
        <v>NDC 1.1</v>
      </c>
      <c r="G262" s="241" t="str">
        <f>VLOOKUP(Table9[[#This Row],[Document ID]],Table1[],10,FALSE)</f>
        <v>Active</v>
      </c>
      <c r="H262" s="44" t="s">
        <v>5072</v>
      </c>
      <c r="I262" s="43" t="s">
        <v>5097</v>
      </c>
      <c r="J262" s="316" t="s">
        <v>5335</v>
      </c>
      <c r="K262" s="259">
        <v>14</v>
      </c>
      <c r="L262" s="219"/>
      <c r="M262" s="219"/>
      <c r="N262" s="113"/>
      <c r="O262" s="113"/>
      <c r="P262" s="113"/>
      <c r="Q262" s="113"/>
      <c r="R262" s="113"/>
      <c r="S262" s="113"/>
      <c r="T262" s="113"/>
      <c r="U262" s="113"/>
      <c r="V262" s="113"/>
      <c r="W262" s="113"/>
      <c r="X262" s="113"/>
      <c r="Y262" s="113"/>
      <c r="Z262" s="113"/>
      <c r="AA262" s="113"/>
      <c r="AB262" s="113" t="s">
        <v>1113</v>
      </c>
      <c r="AC262" s="113"/>
      <c r="AD262" s="113"/>
      <c r="AE262" s="113"/>
      <c r="AF262" s="113"/>
      <c r="AG262" s="113"/>
      <c r="AH262" s="113"/>
      <c r="AI262" s="219" t="s">
        <v>1113</v>
      </c>
      <c r="AJ262" s="326"/>
      <c r="AK262" s="326"/>
      <c r="AL262" s="326"/>
      <c r="AM262" s="327" t="s">
        <v>5075</v>
      </c>
      <c r="AN262" s="233" t="str">
        <f>VLOOKUP(Table9[[#This Row],[Measure]],Table1025[[Value name]:[Value identifyer]],2,FALSE)</f>
        <v>R_Tech</v>
      </c>
      <c r="AO262" s="241" t="str">
        <f>VLOOKUP(Table9[[#This Row],[Country Code]],Table29[],3,FALSE)</f>
        <v>Non-Annex I</v>
      </c>
      <c r="AP262" s="241" t="str">
        <f>VLOOKUP(Table9[[#This Row],[Country Code]],Table29[],4,FALSE)</f>
        <v>Africa</v>
      </c>
      <c r="AQ262" s="241" t="str">
        <f>VLOOKUP(Table9[[#This Row],[Country Code]],Table29[],5,FALSE)</f>
        <v>Middle-income</v>
      </c>
      <c r="AR262" s="241" t="str">
        <f>VLOOKUP(Table9[[#This Row],[Country Code]],Table29[],6,FALSE)</f>
        <v>no</v>
      </c>
      <c r="AS262" s="241" t="str">
        <f>VLOOKUP(Table9[[#This Row],[Country Code]],Table29[],7,FALSE)</f>
        <v>no</v>
      </c>
      <c r="AT262" s="241" t="str">
        <f>VLOOKUP(Table9[[#This Row],[Country Code]],Table29[],8,FALSE)</f>
        <v>non-OECD</v>
      </c>
      <c r="AU262" s="233" t="str">
        <f>VLOOKUP(Table9[[#This Row],[Country Code]],Table29[],9,FALSE)</f>
        <v>no</v>
      </c>
      <c r="AV262" s="233" t="str">
        <f>VLOOKUP(Table9[[#This Row],[Country Code]],Table29[],10,FALSE)</f>
        <v>no</v>
      </c>
      <c r="AW262" s="233">
        <f>VLOOKUP(Table9[[#This Row],[Country Code]],Table29[],23,FALSE)</f>
        <v>0.30345441468402001</v>
      </c>
      <c r="AX262" s="233">
        <f>VLOOKUP(Table9[[#This Row],[Country Code]],Table29[],24,FALSE)</f>
        <v>0.1245490218738666</v>
      </c>
      <c r="AY262" s="43"/>
    </row>
    <row r="263" spans="1:51" ht="30" x14ac:dyDescent="0.25">
      <c r="A263" s="367">
        <v>17725</v>
      </c>
      <c r="B263" s="233" t="str">
        <f>VLOOKUP(Table9[[#This Row],[Document ID]],Table1[],2,FALSE)</f>
        <v>SAU</v>
      </c>
      <c r="C263" s="233" t="str">
        <f>VLOOKUP(Table9[[#This Row],[Document ID]],Table1[],3,FALSE)</f>
        <v>Saudi Arabia</v>
      </c>
      <c r="D263" s="328" t="str">
        <f>VLOOKUP(Table9[[#This Row],[Document ID]],Table1[],5,FALSE)</f>
        <v>NDC</v>
      </c>
      <c r="E263" s="233" t="str">
        <f>VLOOKUP(Table9[[#This Row],[Document ID]],Table1[],7,FALSE)</f>
        <v>First NDC</v>
      </c>
      <c r="F263" s="328" t="str">
        <f>VLOOKUP(Table9[[#This Row],[Document ID]],Table1[],8,FALSE)</f>
        <v>NDC 1.0</v>
      </c>
      <c r="G263" s="328" t="str">
        <f>VLOOKUP(Table9[[#This Row],[Document ID]],Table1[],10,FALSE)</f>
        <v>Archived</v>
      </c>
      <c r="H263" s="44" t="s">
        <v>5072</v>
      </c>
      <c r="I263" s="43" t="s">
        <v>5097</v>
      </c>
      <c r="J263" s="209" t="s">
        <v>5336</v>
      </c>
      <c r="K263" s="257" t="s">
        <v>5081</v>
      </c>
      <c r="L263" s="326" t="s">
        <v>1113</v>
      </c>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326" t="s">
        <v>1113</v>
      </c>
      <c r="AJ263" s="326"/>
      <c r="AK263" s="326"/>
      <c r="AL263" s="326"/>
      <c r="AM263" s="327" t="s">
        <v>5075</v>
      </c>
      <c r="AN263" s="233" t="str">
        <f>VLOOKUP(Table9[[#This Row],[Measure]],Table1025[[Value name]:[Value identifyer]],2,FALSE)</f>
        <v>R_Tech</v>
      </c>
      <c r="AO263" s="241" t="str">
        <f>VLOOKUP(Table9[[#This Row],[Country Code]],Table29[],3,FALSE)</f>
        <v>Non-Annex I</v>
      </c>
      <c r="AP263" s="241" t="str">
        <f>VLOOKUP(Table9[[#This Row],[Country Code]],Table29[],4,FALSE)</f>
        <v>Asia</v>
      </c>
      <c r="AQ263" s="241" t="str">
        <f>VLOOKUP(Table9[[#This Row],[Country Code]],Table29[],5,FALSE)</f>
        <v>High-income</v>
      </c>
      <c r="AR263" s="241" t="str">
        <f>VLOOKUP(Table9[[#This Row],[Country Code]],Table29[],6,FALSE)</f>
        <v>G20</v>
      </c>
      <c r="AS263" s="241" t="str">
        <f>VLOOKUP(Table9[[#This Row],[Country Code]],Table29[],7,FALSE)</f>
        <v>no</v>
      </c>
      <c r="AT263" s="241" t="str">
        <f>VLOOKUP(Table9[[#This Row],[Country Code]],Table29[],8,FALSE)</f>
        <v>non-OECD</v>
      </c>
      <c r="AU263" s="233" t="str">
        <f>VLOOKUP(Table9[[#This Row],[Country Code]],Table29[],9,FALSE)</f>
        <v>no</v>
      </c>
      <c r="AV263" s="233" t="str">
        <f>VLOOKUP(Table9[[#This Row],[Country Code]],Table29[],10,FALSE)</f>
        <v>MENA</v>
      </c>
      <c r="AW263" s="233">
        <f>VLOOKUP(Table9[[#This Row],[Country Code]],Table29[],23,FALSE)</f>
        <v>805.15810845823</v>
      </c>
      <c r="AX263" s="233">
        <f>VLOOKUP(Table9[[#This Row],[Country Code]],Table29[],24,FALSE)</f>
        <v>147.5856941379987</v>
      </c>
      <c r="AY263" s="43"/>
    </row>
    <row r="264" spans="1:51" x14ac:dyDescent="0.25">
      <c r="A264" s="368">
        <v>41742</v>
      </c>
      <c r="B264" s="233" t="str">
        <f>VLOOKUP(Table9[[#This Row],[Document ID]],Table1[],2,FALSE)</f>
        <v>SRB</v>
      </c>
      <c r="C264" s="233" t="str">
        <f>VLOOKUP(Table9[[#This Row],[Document ID]],Table1[],3,FALSE)</f>
        <v>Serbia</v>
      </c>
      <c r="D264" s="241" t="str">
        <f>VLOOKUP(Table9[[#This Row],[Document ID]],Table1[],5,FALSE)</f>
        <v>LTS</v>
      </c>
      <c r="E264" s="233" t="str">
        <f>VLOOKUP(Table9[[#This Row],[Document ID]],Table1[],7,FALSE)</f>
        <v>LTS</v>
      </c>
      <c r="F264" s="241" t="str">
        <f>VLOOKUP(Table9[[#This Row],[Document ID]],Table1[],8,FALSE)</f>
        <v>LTS 1.0</v>
      </c>
      <c r="G264" s="241" t="str">
        <f>VLOOKUP(Table9[[#This Row],[Document ID]],Table1[],10,FALSE)</f>
        <v>Active</v>
      </c>
      <c r="H264" s="44" t="s">
        <v>5086</v>
      </c>
      <c r="I264" s="43" t="s">
        <v>5127</v>
      </c>
      <c r="J264" s="209" t="s">
        <v>5337</v>
      </c>
      <c r="K264" s="259">
        <v>21</v>
      </c>
      <c r="L264" s="219" t="s">
        <v>1113</v>
      </c>
      <c r="M264" s="219"/>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219" t="s">
        <v>1113</v>
      </c>
      <c r="AJ264" s="326"/>
      <c r="AK264" s="326"/>
      <c r="AL264" s="326"/>
      <c r="AM264" s="42" t="s">
        <v>5075</v>
      </c>
      <c r="AN264" s="233" t="str">
        <f>VLOOKUP(Table9[[#This Row],[Measure]],Table1025[[Value name]:[Value identifyer]],2,FALSE)</f>
        <v>R_Emergency</v>
      </c>
      <c r="AO264" s="241" t="str">
        <f>VLOOKUP(Table9[[#This Row],[Country Code]],Table29[],3,FALSE)</f>
        <v>Non-Annex I</v>
      </c>
      <c r="AP264" s="241" t="str">
        <f>VLOOKUP(Table9[[#This Row],[Country Code]],Table29[],4,FALSE)</f>
        <v>Europe</v>
      </c>
      <c r="AQ264" s="241" t="str">
        <f>VLOOKUP(Table9[[#This Row],[Country Code]],Table29[],5,FALSE)</f>
        <v>Middle-income</v>
      </c>
      <c r="AR264" s="241" t="str">
        <f>VLOOKUP(Table9[[#This Row],[Country Code]],Table29[],6,FALSE)</f>
        <v>no</v>
      </c>
      <c r="AS264" s="241" t="str">
        <f>VLOOKUP(Table9[[#This Row],[Country Code]],Table29[],7,FALSE)</f>
        <v>no</v>
      </c>
      <c r="AT264" s="241" t="str">
        <f>VLOOKUP(Table9[[#This Row],[Country Code]],Table29[],8,FALSE)</f>
        <v>non-OECD</v>
      </c>
      <c r="AU264" s="233" t="str">
        <f>VLOOKUP(Table9[[#This Row],[Country Code]],Table29[],9,FALSE)</f>
        <v>no</v>
      </c>
      <c r="AV264" s="233" t="str">
        <f>VLOOKUP(Table9[[#This Row],[Country Code]],Table29[],10,FALSE)</f>
        <v>no</v>
      </c>
      <c r="AW264" s="233">
        <f>VLOOKUP(Table9[[#This Row],[Country Code]],Table29[],23,FALSE)</f>
        <v>67.214992478558003</v>
      </c>
      <c r="AX264" s="233">
        <f>VLOOKUP(Table9[[#This Row],[Country Code]],Table29[],24,FALSE)</f>
        <v>10.45024022782124</v>
      </c>
      <c r="AY264" s="43"/>
    </row>
    <row r="265" spans="1:51" x14ac:dyDescent="0.25">
      <c r="A265" s="367">
        <v>17729</v>
      </c>
      <c r="B265" s="233" t="str">
        <f>VLOOKUP(Table9[[#This Row],[Document ID]],Table1[],2,FALSE)</f>
        <v>SYC</v>
      </c>
      <c r="C265" s="233" t="str">
        <f>VLOOKUP(Table9[[#This Row],[Document ID]],Table1[],3,FALSE)</f>
        <v>Seychelles</v>
      </c>
      <c r="D265" s="328" t="str">
        <f>VLOOKUP(Table9[[#This Row],[Document ID]],Table1[],5,FALSE)</f>
        <v>NDC</v>
      </c>
      <c r="E265" s="233" t="str">
        <f>VLOOKUP(Table9[[#This Row],[Document ID]],Table1[],7,FALSE)</f>
        <v>First NDC</v>
      </c>
      <c r="F265" s="328" t="str">
        <f>VLOOKUP(Table9[[#This Row],[Document ID]],Table1[],8,FALSE)</f>
        <v>NDC 1.0</v>
      </c>
      <c r="G265" s="328" t="str">
        <f>VLOOKUP(Table9[[#This Row],[Document ID]],Table1[],10,FALSE)</f>
        <v>Archived</v>
      </c>
      <c r="H265" s="44" t="s">
        <v>5072</v>
      </c>
      <c r="I265" s="43" t="s">
        <v>5073</v>
      </c>
      <c r="J265" s="209" t="s">
        <v>5338</v>
      </c>
      <c r="K265" s="257" t="s">
        <v>5081</v>
      </c>
      <c r="L265" s="326" t="s">
        <v>1113</v>
      </c>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c r="AI265" s="326" t="s">
        <v>1113</v>
      </c>
      <c r="AJ265" s="326"/>
      <c r="AK265" s="326"/>
      <c r="AL265" s="326"/>
      <c r="AM265" s="327" t="s">
        <v>5075</v>
      </c>
      <c r="AN265" s="233" t="str">
        <f>VLOOKUP(Table9[[#This Row],[Measure]],Table1025[[Value name]:[Value identifyer]],2,FALSE)</f>
        <v>R_System</v>
      </c>
      <c r="AO265" s="241" t="str">
        <f>VLOOKUP(Table9[[#This Row],[Country Code]],Table29[],3,FALSE)</f>
        <v>Non-Annex I</v>
      </c>
      <c r="AP265" s="241" t="str">
        <f>VLOOKUP(Table9[[#This Row],[Country Code]],Table29[],4,FALSE)</f>
        <v>Africa</v>
      </c>
      <c r="AQ265" s="241" t="str">
        <f>VLOOKUP(Table9[[#This Row],[Country Code]],Table29[],5,FALSE)</f>
        <v>High-income</v>
      </c>
      <c r="AR265" s="241" t="str">
        <f>VLOOKUP(Table9[[#This Row],[Country Code]],Table29[],6,FALSE)</f>
        <v>no</v>
      </c>
      <c r="AS265" s="241" t="str">
        <f>VLOOKUP(Table9[[#This Row],[Country Code]],Table29[],7,FALSE)</f>
        <v>no</v>
      </c>
      <c r="AT265" s="241" t="str">
        <f>VLOOKUP(Table9[[#This Row],[Country Code]],Table29[],8,FALSE)</f>
        <v>non-OECD</v>
      </c>
      <c r="AU265" s="233" t="str">
        <f>VLOOKUP(Table9[[#This Row],[Country Code]],Table29[],9,FALSE)</f>
        <v>no</v>
      </c>
      <c r="AV265" s="233" t="str">
        <f>VLOOKUP(Table9[[#This Row],[Country Code]],Table29[],10,FALSE)</f>
        <v>no</v>
      </c>
      <c r="AW265" s="233">
        <f>VLOOKUP(Table9[[#This Row],[Country Code]],Table29[],23,FALSE)</f>
        <v>1.3387084460448999</v>
      </c>
      <c r="AX265" s="233">
        <f>VLOOKUP(Table9[[#This Row],[Country Code]],Table29[],24,FALSE)</f>
        <v>0.72161504168930912</v>
      </c>
      <c r="AY265" s="43"/>
    </row>
    <row r="266" spans="1:51" ht="90" x14ac:dyDescent="0.25">
      <c r="A266" s="367">
        <v>21279</v>
      </c>
      <c r="B266" s="233" t="str">
        <f>VLOOKUP(Table9[[#This Row],[Document ID]],Table1[],2,FALSE)</f>
        <v>SYC</v>
      </c>
      <c r="C266" s="233" t="str">
        <f>VLOOKUP(Table9[[#This Row],[Document ID]],Table1[],3,FALSE)</f>
        <v>Seychelles</v>
      </c>
      <c r="D266" s="254" t="str">
        <f>VLOOKUP(Table9[[#This Row],[Document ID]],Table1[],5,FALSE)</f>
        <v>NDC</v>
      </c>
      <c r="E266" s="233" t="str">
        <f>VLOOKUP(Table9[[#This Row],[Document ID]],Table1[],7,FALSE)</f>
        <v>First NDC updated</v>
      </c>
      <c r="F266" s="241" t="str">
        <f>VLOOKUP(Table9[[#This Row],[Document ID]],Table1[],8,FALSE)</f>
        <v>NDC 1.1</v>
      </c>
      <c r="G266" s="241" t="str">
        <f>VLOOKUP(Table9[[#This Row],[Document ID]],Table1[],10,FALSE)</f>
        <v>Active</v>
      </c>
      <c r="H266" s="44" t="s">
        <v>5076</v>
      </c>
      <c r="I266" s="43" t="s">
        <v>5077</v>
      </c>
      <c r="J266" s="209" t="s">
        <v>5339</v>
      </c>
      <c r="K266" s="259">
        <v>29</v>
      </c>
      <c r="L266" s="219"/>
      <c r="M266" s="219"/>
      <c r="N266" s="219"/>
      <c r="O266" s="219"/>
      <c r="P266" s="219" t="s">
        <v>1113</v>
      </c>
      <c r="Q266" s="219" t="s">
        <v>1113</v>
      </c>
      <c r="R266" s="219"/>
      <c r="S266" s="219"/>
      <c r="T266" s="219"/>
      <c r="U266" s="219"/>
      <c r="V266" s="219"/>
      <c r="W266" s="219"/>
      <c r="X266" s="219"/>
      <c r="Y266" s="219"/>
      <c r="Z266" s="219"/>
      <c r="AA266" s="219"/>
      <c r="AB266" s="219"/>
      <c r="AC266" s="219"/>
      <c r="AD266" s="219"/>
      <c r="AE266" s="219"/>
      <c r="AF266" s="219"/>
      <c r="AG266" s="219"/>
      <c r="AH266" s="219"/>
      <c r="AI266" s="326" t="s">
        <v>1113</v>
      </c>
      <c r="AJ266" s="326"/>
      <c r="AK266" s="326"/>
      <c r="AL266" s="326"/>
      <c r="AM266" s="327" t="s">
        <v>5075</v>
      </c>
      <c r="AN266" s="233" t="str">
        <f>VLOOKUP(Table9[[#This Row],[Measure]],Table1025[[Value name]:[Value identifyer]],2,FALSE)</f>
        <v>R_Planning</v>
      </c>
      <c r="AO266" s="241" t="str">
        <f>VLOOKUP(Table9[[#This Row],[Country Code]],Table29[],3,FALSE)</f>
        <v>Non-Annex I</v>
      </c>
      <c r="AP266" s="241" t="str">
        <f>VLOOKUP(Table9[[#This Row],[Country Code]],Table29[],4,FALSE)</f>
        <v>Africa</v>
      </c>
      <c r="AQ266" s="241" t="str">
        <f>VLOOKUP(Table9[[#This Row],[Country Code]],Table29[],5,FALSE)</f>
        <v>High-income</v>
      </c>
      <c r="AR266" s="241" t="str">
        <f>VLOOKUP(Table9[[#This Row],[Country Code]],Table29[],6,FALSE)</f>
        <v>no</v>
      </c>
      <c r="AS266" s="241" t="str">
        <f>VLOOKUP(Table9[[#This Row],[Country Code]],Table29[],7,FALSE)</f>
        <v>no</v>
      </c>
      <c r="AT266" s="241" t="str">
        <f>VLOOKUP(Table9[[#This Row],[Country Code]],Table29[],8,FALSE)</f>
        <v>non-OECD</v>
      </c>
      <c r="AU266" s="233" t="str">
        <f>VLOOKUP(Table9[[#This Row],[Country Code]],Table29[],9,FALSE)</f>
        <v>no</v>
      </c>
      <c r="AV266" s="233" t="str">
        <f>VLOOKUP(Table9[[#This Row],[Country Code]],Table29[],10,FALSE)</f>
        <v>no</v>
      </c>
      <c r="AW266" s="233">
        <f>VLOOKUP(Table9[[#This Row],[Country Code]],Table29[],23,FALSE)</f>
        <v>1.3387084460448999</v>
      </c>
      <c r="AX266" s="233">
        <f>VLOOKUP(Table9[[#This Row],[Country Code]],Table29[],24,FALSE)</f>
        <v>0.72161504168930912</v>
      </c>
      <c r="AY266" s="43"/>
    </row>
    <row r="267" spans="1:51" ht="45" x14ac:dyDescent="0.25">
      <c r="A267" s="367">
        <v>21279</v>
      </c>
      <c r="B267" s="233" t="str">
        <f>VLOOKUP(Table9[[#This Row],[Document ID]],Table1[],2,FALSE)</f>
        <v>SYC</v>
      </c>
      <c r="C267" s="233" t="str">
        <f>VLOOKUP(Table9[[#This Row],[Document ID]],Table1[],3,FALSE)</f>
        <v>Seychelles</v>
      </c>
      <c r="D267" s="254" t="str">
        <f>VLOOKUP(Table9[[#This Row],[Document ID]],Table1[],5,FALSE)</f>
        <v>NDC</v>
      </c>
      <c r="E267" s="233" t="str">
        <f>VLOOKUP(Table9[[#This Row],[Document ID]],Table1[],7,FALSE)</f>
        <v>First NDC updated</v>
      </c>
      <c r="F267" s="241" t="str">
        <f>VLOOKUP(Table9[[#This Row],[Document ID]],Table1[],8,FALSE)</f>
        <v>NDC 1.1</v>
      </c>
      <c r="G267" s="241" t="str">
        <f>VLOOKUP(Table9[[#This Row],[Document ID]],Table1[],10,FALSE)</f>
        <v>Active</v>
      </c>
      <c r="H267" s="44" t="s">
        <v>5072</v>
      </c>
      <c r="I267" s="43" t="s">
        <v>5082</v>
      </c>
      <c r="J267" s="209" t="s">
        <v>5340</v>
      </c>
      <c r="K267" s="259">
        <v>30</v>
      </c>
      <c r="L267" s="219"/>
      <c r="M267" s="219"/>
      <c r="N267" s="219"/>
      <c r="O267" s="219"/>
      <c r="P267" s="219"/>
      <c r="Q267" s="219" t="s">
        <v>1113</v>
      </c>
      <c r="R267" s="219"/>
      <c r="S267" s="219"/>
      <c r="T267" s="219"/>
      <c r="U267" s="219"/>
      <c r="V267" s="219"/>
      <c r="W267" s="219"/>
      <c r="X267" s="219"/>
      <c r="Y267" s="219"/>
      <c r="Z267" s="219"/>
      <c r="AA267" s="219"/>
      <c r="AB267" s="219"/>
      <c r="AC267" s="219"/>
      <c r="AD267" s="219"/>
      <c r="AE267" s="219"/>
      <c r="AF267" s="219"/>
      <c r="AG267" s="219"/>
      <c r="AH267" s="219"/>
      <c r="AI267" s="326" t="s">
        <v>1113</v>
      </c>
      <c r="AJ267" s="326"/>
      <c r="AK267" s="326"/>
      <c r="AL267" s="326"/>
      <c r="AM267" s="327" t="s">
        <v>5075</v>
      </c>
      <c r="AN267" s="233" t="str">
        <f>VLOOKUP(Table9[[#This Row],[Measure]],Table1025[[Value name]:[Value identifyer]],2,FALSE)</f>
        <v>R_Risk</v>
      </c>
      <c r="AO267" s="241" t="str">
        <f>VLOOKUP(Table9[[#This Row],[Country Code]],Table29[],3,FALSE)</f>
        <v>Non-Annex I</v>
      </c>
      <c r="AP267" s="241" t="str">
        <f>VLOOKUP(Table9[[#This Row],[Country Code]],Table29[],4,FALSE)</f>
        <v>Africa</v>
      </c>
      <c r="AQ267" s="241" t="str">
        <f>VLOOKUP(Table9[[#This Row],[Country Code]],Table29[],5,FALSE)</f>
        <v>High-income</v>
      </c>
      <c r="AR267" s="241" t="str">
        <f>VLOOKUP(Table9[[#This Row],[Country Code]],Table29[],6,FALSE)</f>
        <v>no</v>
      </c>
      <c r="AS267" s="241" t="str">
        <f>VLOOKUP(Table9[[#This Row],[Country Code]],Table29[],7,FALSE)</f>
        <v>no</v>
      </c>
      <c r="AT267" s="241" t="str">
        <f>VLOOKUP(Table9[[#This Row],[Country Code]],Table29[],8,FALSE)</f>
        <v>non-OECD</v>
      </c>
      <c r="AU267" s="233" t="str">
        <f>VLOOKUP(Table9[[#This Row],[Country Code]],Table29[],9,FALSE)</f>
        <v>no</v>
      </c>
      <c r="AV267" s="233" t="str">
        <f>VLOOKUP(Table9[[#This Row],[Country Code]],Table29[],10,FALSE)</f>
        <v>no</v>
      </c>
      <c r="AW267" s="233">
        <f>VLOOKUP(Table9[[#This Row],[Country Code]],Table29[],23,FALSE)</f>
        <v>1.3387084460448999</v>
      </c>
      <c r="AX267" s="233">
        <f>VLOOKUP(Table9[[#This Row],[Country Code]],Table29[],24,FALSE)</f>
        <v>0.72161504168930912</v>
      </c>
      <c r="AY267" s="43"/>
    </row>
    <row r="268" spans="1:51" ht="30" x14ac:dyDescent="0.25">
      <c r="A268" s="367">
        <v>21279</v>
      </c>
      <c r="B268" s="233" t="str">
        <f>VLOOKUP(Table9[[#This Row],[Document ID]],Table1[],2,FALSE)</f>
        <v>SYC</v>
      </c>
      <c r="C268" s="233" t="str">
        <f>VLOOKUP(Table9[[#This Row],[Document ID]],Table1[],3,FALSE)</f>
        <v>Seychelles</v>
      </c>
      <c r="D268" s="254" t="str">
        <f>VLOOKUP(Table9[[#This Row],[Document ID]],Table1[],5,FALSE)</f>
        <v>NDC</v>
      </c>
      <c r="E268" s="233" t="str">
        <f>VLOOKUP(Table9[[#This Row],[Document ID]],Table1[],7,FALSE)</f>
        <v>First NDC updated</v>
      </c>
      <c r="F268" s="241" t="str">
        <f>VLOOKUP(Table9[[#This Row],[Document ID]],Table1[],8,FALSE)</f>
        <v>NDC 1.1</v>
      </c>
      <c r="G268" s="241" t="str">
        <f>VLOOKUP(Table9[[#This Row],[Document ID]],Table1[],10,FALSE)</f>
        <v>Active</v>
      </c>
      <c r="H268" s="44" t="s">
        <v>5072</v>
      </c>
      <c r="I268" s="43" t="s">
        <v>5073</v>
      </c>
      <c r="J268" s="209" t="s">
        <v>5341</v>
      </c>
      <c r="K268" s="259">
        <v>30</v>
      </c>
      <c r="L268" s="219"/>
      <c r="M268" s="219"/>
      <c r="N268" s="219"/>
      <c r="O268" s="219"/>
      <c r="P268" s="219"/>
      <c r="Q268" s="219"/>
      <c r="R268" s="219"/>
      <c r="S268" s="219"/>
      <c r="T268" s="219"/>
      <c r="U268" s="219"/>
      <c r="V268" s="219"/>
      <c r="W268" s="219"/>
      <c r="X268" s="219"/>
      <c r="Y268" s="219"/>
      <c r="Z268" s="219"/>
      <c r="AA268" s="219"/>
      <c r="AB268" s="219" t="s">
        <v>1113</v>
      </c>
      <c r="AC268" s="219"/>
      <c r="AD268" s="219"/>
      <c r="AE268" s="219"/>
      <c r="AF268" s="219"/>
      <c r="AG268" s="219"/>
      <c r="AH268" s="219"/>
      <c r="AI268" s="326" t="s">
        <v>1113</v>
      </c>
      <c r="AJ268" s="326"/>
      <c r="AK268" s="326"/>
      <c r="AL268" s="326"/>
      <c r="AM268" s="327" t="s">
        <v>5075</v>
      </c>
      <c r="AN268" s="233" t="str">
        <f>VLOOKUP(Table9[[#This Row],[Measure]],Table1025[[Value name]:[Value identifyer]],2,FALSE)</f>
        <v>R_System</v>
      </c>
      <c r="AO268" s="241" t="str">
        <f>VLOOKUP(Table9[[#This Row],[Country Code]],Table29[],3,FALSE)</f>
        <v>Non-Annex I</v>
      </c>
      <c r="AP268" s="241" t="str">
        <f>VLOOKUP(Table9[[#This Row],[Country Code]],Table29[],4,FALSE)</f>
        <v>Africa</v>
      </c>
      <c r="AQ268" s="241" t="str">
        <f>VLOOKUP(Table9[[#This Row],[Country Code]],Table29[],5,FALSE)</f>
        <v>High-income</v>
      </c>
      <c r="AR268" s="241" t="str">
        <f>VLOOKUP(Table9[[#This Row],[Country Code]],Table29[],6,FALSE)</f>
        <v>no</v>
      </c>
      <c r="AS268" s="241" t="str">
        <f>VLOOKUP(Table9[[#This Row],[Country Code]],Table29[],7,FALSE)</f>
        <v>no</v>
      </c>
      <c r="AT268" s="241" t="str">
        <f>VLOOKUP(Table9[[#This Row],[Country Code]],Table29[],8,FALSE)</f>
        <v>non-OECD</v>
      </c>
      <c r="AU268" s="233" t="str">
        <f>VLOOKUP(Table9[[#This Row],[Country Code]],Table29[],9,FALSE)</f>
        <v>no</v>
      </c>
      <c r="AV268" s="233" t="str">
        <f>VLOOKUP(Table9[[#This Row],[Country Code]],Table29[],10,FALSE)</f>
        <v>no</v>
      </c>
      <c r="AW268" s="233">
        <f>VLOOKUP(Table9[[#This Row],[Country Code]],Table29[],23,FALSE)</f>
        <v>1.3387084460448999</v>
      </c>
      <c r="AX268" s="233">
        <f>VLOOKUP(Table9[[#This Row],[Country Code]],Table29[],24,FALSE)</f>
        <v>0.72161504168930912</v>
      </c>
      <c r="AY268" s="43"/>
    </row>
    <row r="269" spans="1:51" ht="30" x14ac:dyDescent="0.25">
      <c r="A269" s="367">
        <v>21385</v>
      </c>
      <c r="B269" s="233" t="str">
        <f>VLOOKUP(Table9[[#This Row],[Document ID]],Table1[],2,FALSE)</f>
        <v>SLE</v>
      </c>
      <c r="C269" s="233" t="str">
        <f>VLOOKUP(Table9[[#This Row],[Document ID]],Table1[],3,FALSE)</f>
        <v>Sierra Leone</v>
      </c>
      <c r="D269" s="254" t="str">
        <f>VLOOKUP(Table9[[#This Row],[Document ID]],Table1[],5,FALSE)</f>
        <v>NDC</v>
      </c>
      <c r="E269" s="233" t="str">
        <f>VLOOKUP(Table9[[#This Row],[Document ID]],Table1[],7,FALSE)</f>
        <v>First NDC updated</v>
      </c>
      <c r="F269" s="241" t="str">
        <f>VLOOKUP(Table9[[#This Row],[Document ID]],Table1[],8,FALSE)</f>
        <v>NDC 1.1</v>
      </c>
      <c r="G269" s="241" t="str">
        <f>VLOOKUP(Table9[[#This Row],[Document ID]],Table1[],10,FALSE)</f>
        <v>Active</v>
      </c>
      <c r="H269" s="44" t="s">
        <v>5072</v>
      </c>
      <c r="I269" s="43" t="s">
        <v>5097</v>
      </c>
      <c r="J269" s="209" t="s">
        <v>5342</v>
      </c>
      <c r="K269" s="259">
        <v>30</v>
      </c>
      <c r="L269" s="219"/>
      <c r="M269" s="219"/>
      <c r="N269" s="219"/>
      <c r="O269" s="219"/>
      <c r="P269" s="219"/>
      <c r="Q269" s="219" t="s">
        <v>1113</v>
      </c>
      <c r="R269" s="219"/>
      <c r="S269" s="219"/>
      <c r="T269" s="219"/>
      <c r="U269" s="219"/>
      <c r="V269" s="219"/>
      <c r="W269" s="219"/>
      <c r="X269" s="219"/>
      <c r="Y269" s="219"/>
      <c r="Z269" s="219"/>
      <c r="AA269" s="219"/>
      <c r="AB269" s="219"/>
      <c r="AC269" s="219"/>
      <c r="AD269" s="219"/>
      <c r="AE269" s="219"/>
      <c r="AF269" s="219"/>
      <c r="AG269" s="219"/>
      <c r="AH269" s="219"/>
      <c r="AI269" s="326" t="s">
        <v>1113</v>
      </c>
      <c r="AJ269" s="326"/>
      <c r="AK269" s="326"/>
      <c r="AL269" s="326"/>
      <c r="AM269" s="327" t="s">
        <v>5075</v>
      </c>
      <c r="AN269" s="233" t="str">
        <f>VLOOKUP(Table9[[#This Row],[Measure]],Table1025[[Value name]:[Value identifyer]],2,FALSE)</f>
        <v>R_Tech</v>
      </c>
      <c r="AO269" s="241" t="str">
        <f>VLOOKUP(Table9[[#This Row],[Country Code]],Table29[],3,FALSE)</f>
        <v>Non-Annex I</v>
      </c>
      <c r="AP269" s="241" t="str">
        <f>VLOOKUP(Table9[[#This Row],[Country Code]],Table29[],4,FALSE)</f>
        <v>Africa</v>
      </c>
      <c r="AQ269" s="241" t="str">
        <f>VLOOKUP(Table9[[#This Row],[Country Code]],Table29[],5,FALSE)</f>
        <v>Low-income</v>
      </c>
      <c r="AR269" s="241" t="str">
        <f>VLOOKUP(Table9[[#This Row],[Country Code]],Table29[],6,FALSE)</f>
        <v>no</v>
      </c>
      <c r="AS269" s="241" t="str">
        <f>VLOOKUP(Table9[[#This Row],[Country Code]],Table29[],7,FALSE)</f>
        <v>no</v>
      </c>
      <c r="AT269" s="241" t="str">
        <f>VLOOKUP(Table9[[#This Row],[Country Code]],Table29[],8,FALSE)</f>
        <v>non-OECD</v>
      </c>
      <c r="AU269" s="233" t="str">
        <f>VLOOKUP(Table9[[#This Row],[Country Code]],Table29[],9,FALSE)</f>
        <v>no</v>
      </c>
      <c r="AV269" s="233" t="str">
        <f>VLOOKUP(Table9[[#This Row],[Country Code]],Table29[],10,FALSE)</f>
        <v>no</v>
      </c>
      <c r="AW269" s="233">
        <f>VLOOKUP(Table9[[#This Row],[Country Code]],Table29[],23,FALSE)</f>
        <v>6.9377160598997998</v>
      </c>
      <c r="AX269" s="233">
        <f>VLOOKUP(Table9[[#This Row],[Country Code]],Table29[],24,FALSE)</f>
        <v>0.537288258748986</v>
      </c>
      <c r="AY269" s="43"/>
    </row>
    <row r="270" spans="1:51" ht="30" x14ac:dyDescent="0.25">
      <c r="A270" s="367">
        <v>21385</v>
      </c>
      <c r="B270" s="233" t="str">
        <f>VLOOKUP(Table9[[#This Row],[Document ID]],Table1[],2,FALSE)</f>
        <v>SLE</v>
      </c>
      <c r="C270" s="233" t="str">
        <f>VLOOKUP(Table9[[#This Row],[Document ID]],Table1[],3,FALSE)</f>
        <v>Sierra Leone</v>
      </c>
      <c r="D270" s="254" t="str">
        <f>VLOOKUP(Table9[[#This Row],[Document ID]],Table1[],5,FALSE)</f>
        <v>NDC</v>
      </c>
      <c r="E270" s="233" t="str">
        <f>VLOOKUP(Table9[[#This Row],[Document ID]],Table1[],7,FALSE)</f>
        <v>First NDC updated</v>
      </c>
      <c r="F270" s="241" t="str">
        <f>VLOOKUP(Table9[[#This Row],[Document ID]],Table1[],8,FALSE)</f>
        <v>NDC 1.1</v>
      </c>
      <c r="G270" s="241" t="str">
        <f>VLOOKUP(Table9[[#This Row],[Document ID]],Table1[],10,FALSE)</f>
        <v>Active</v>
      </c>
      <c r="H270" s="44" t="s">
        <v>5072</v>
      </c>
      <c r="I270" s="43" t="s">
        <v>5073</v>
      </c>
      <c r="J270" s="209" t="s">
        <v>5343</v>
      </c>
      <c r="K270" s="259">
        <v>39</v>
      </c>
      <c r="L270" s="219"/>
      <c r="M270" s="219"/>
      <c r="N270" s="219"/>
      <c r="O270" s="219"/>
      <c r="P270" s="219"/>
      <c r="Q270" s="219" t="s">
        <v>1113</v>
      </c>
      <c r="R270" s="219"/>
      <c r="S270" s="219"/>
      <c r="T270" s="219"/>
      <c r="U270" s="219"/>
      <c r="V270" s="219"/>
      <c r="W270" s="219"/>
      <c r="X270" s="219"/>
      <c r="Y270" s="219"/>
      <c r="Z270" s="219"/>
      <c r="AA270" s="219"/>
      <c r="AB270" s="219"/>
      <c r="AC270" s="219"/>
      <c r="AD270" s="219"/>
      <c r="AE270" s="219"/>
      <c r="AF270" s="219"/>
      <c r="AG270" s="219"/>
      <c r="AH270" s="219"/>
      <c r="AI270" s="326" t="s">
        <v>1113</v>
      </c>
      <c r="AJ270" s="326"/>
      <c r="AK270" s="326"/>
      <c r="AL270" s="326"/>
      <c r="AM270" s="327" t="s">
        <v>5075</v>
      </c>
      <c r="AN270" s="233" t="str">
        <f>VLOOKUP(Table9[[#This Row],[Measure]],Table1025[[Value name]:[Value identifyer]],2,FALSE)</f>
        <v>R_System</v>
      </c>
      <c r="AO270" s="241" t="str">
        <f>VLOOKUP(Table9[[#This Row],[Country Code]],Table29[],3,FALSE)</f>
        <v>Non-Annex I</v>
      </c>
      <c r="AP270" s="241" t="str">
        <f>VLOOKUP(Table9[[#This Row],[Country Code]],Table29[],4,FALSE)</f>
        <v>Africa</v>
      </c>
      <c r="AQ270" s="241" t="str">
        <f>VLOOKUP(Table9[[#This Row],[Country Code]],Table29[],5,FALSE)</f>
        <v>Low-income</v>
      </c>
      <c r="AR270" s="241" t="str">
        <f>VLOOKUP(Table9[[#This Row],[Country Code]],Table29[],6,FALSE)</f>
        <v>no</v>
      </c>
      <c r="AS270" s="241" t="str">
        <f>VLOOKUP(Table9[[#This Row],[Country Code]],Table29[],7,FALSE)</f>
        <v>no</v>
      </c>
      <c r="AT270" s="241" t="str">
        <f>VLOOKUP(Table9[[#This Row],[Country Code]],Table29[],8,FALSE)</f>
        <v>non-OECD</v>
      </c>
      <c r="AU270" s="233" t="str">
        <f>VLOOKUP(Table9[[#This Row],[Country Code]],Table29[],9,FALSE)</f>
        <v>no</v>
      </c>
      <c r="AV270" s="233" t="str">
        <f>VLOOKUP(Table9[[#This Row],[Country Code]],Table29[],10,FALSE)</f>
        <v>no</v>
      </c>
      <c r="AW270" s="233">
        <f>VLOOKUP(Table9[[#This Row],[Country Code]],Table29[],23,FALSE)</f>
        <v>6.9377160598997998</v>
      </c>
      <c r="AX270" s="233">
        <f>VLOOKUP(Table9[[#This Row],[Country Code]],Table29[],24,FALSE)</f>
        <v>0.537288258748986</v>
      </c>
      <c r="AY270" s="43"/>
    </row>
    <row r="271" spans="1:51" ht="30" x14ac:dyDescent="0.25">
      <c r="A271" s="370">
        <v>17732</v>
      </c>
      <c r="B271" s="233" t="str">
        <f>VLOOKUP(Table9[[#This Row],[Document ID]],Table1[],2,FALSE)</f>
        <v>SGP</v>
      </c>
      <c r="C271" s="233" t="str">
        <f>VLOOKUP(Table9[[#This Row],[Document ID]],Table1[],3,FALSE)</f>
        <v>Singapore</v>
      </c>
      <c r="D271" s="340" t="str">
        <f>VLOOKUP(Table9[[#This Row],[Document ID]],Table1[],5,FALSE)</f>
        <v>LTS</v>
      </c>
      <c r="E271" s="233" t="str">
        <f>VLOOKUP(Table9[[#This Row],[Document ID]],Table1[],7,FALSE)</f>
        <v>Archived LTS 1.0</v>
      </c>
      <c r="F271" s="241" t="str">
        <f>VLOOKUP(Table9[[#This Row],[Document ID]],Table1[],8,FALSE)</f>
        <v>LTS 1.0</v>
      </c>
      <c r="G271" s="241" t="str">
        <f>VLOOKUP(Table9[[#This Row],[Document ID]],Table1[],10,FALSE)</f>
        <v>Archived</v>
      </c>
      <c r="H271" s="44" t="s">
        <v>5072</v>
      </c>
      <c r="I271" s="43" t="s">
        <v>5073</v>
      </c>
      <c r="J271" s="44" t="s">
        <v>5344</v>
      </c>
      <c r="K271" s="221">
        <v>108</v>
      </c>
      <c r="L271" s="113" t="s">
        <v>1113</v>
      </c>
      <c r="M271" s="113"/>
      <c r="N271" s="113"/>
      <c r="O271" s="113"/>
      <c r="P271" s="113"/>
      <c r="Q271" s="113"/>
      <c r="R271" s="113"/>
      <c r="S271" s="113"/>
      <c r="T271" s="113"/>
      <c r="U271" s="113"/>
      <c r="V271" s="113"/>
      <c r="W271" s="113"/>
      <c r="X271" s="113"/>
      <c r="Y271" s="113"/>
      <c r="Z271" s="113"/>
      <c r="AA271" s="113"/>
      <c r="AB271" s="113"/>
      <c r="AC271" s="113"/>
      <c r="AD271" s="113"/>
      <c r="AE271" s="113"/>
      <c r="AF271" s="113"/>
      <c r="AG271" s="113"/>
      <c r="AH271" s="113"/>
      <c r="AI271" s="113" t="s">
        <v>1113</v>
      </c>
      <c r="AJ271" s="113"/>
      <c r="AK271" s="113"/>
      <c r="AL271" s="113"/>
      <c r="AM271" s="43" t="s">
        <v>5075</v>
      </c>
      <c r="AN271" s="233" t="str">
        <f>VLOOKUP(Table9[[#This Row],[Measure]],Table1025[[Value name]:[Value identifyer]],2,FALSE)</f>
        <v>R_System</v>
      </c>
      <c r="AO271" s="241" t="str">
        <f>VLOOKUP(Table9[[#This Row],[Country Code]],Table29[],3,FALSE)</f>
        <v>Non-Annex I</v>
      </c>
      <c r="AP271" s="241" t="str">
        <f>VLOOKUP(Table9[[#This Row],[Country Code]],Table29[],4,FALSE)</f>
        <v>Asia</v>
      </c>
      <c r="AQ271" s="241" t="str">
        <f>VLOOKUP(Table9[[#This Row],[Country Code]],Table29[],5,FALSE)</f>
        <v>High-income</v>
      </c>
      <c r="AR271" s="241" t="str">
        <f>VLOOKUP(Table9[[#This Row],[Country Code]],Table29[],6,FALSE)</f>
        <v>no</v>
      </c>
      <c r="AS271" s="241" t="str">
        <f>VLOOKUP(Table9[[#This Row],[Country Code]],Table29[],7,FALSE)</f>
        <v>no</v>
      </c>
      <c r="AT271" s="241" t="str">
        <f>VLOOKUP(Table9[[#This Row],[Country Code]],Table29[],8,FALSE)</f>
        <v>non-OECD</v>
      </c>
      <c r="AU271" s="233" t="str">
        <f>VLOOKUP(Table9[[#This Row],[Country Code]],Table29[],9,FALSE)</f>
        <v>no</v>
      </c>
      <c r="AV271" s="233" t="str">
        <f>VLOOKUP(Table9[[#This Row],[Country Code]],Table29[],10,FALSE)</f>
        <v>no</v>
      </c>
      <c r="AW271" s="233">
        <f>VLOOKUP(Table9[[#This Row],[Country Code]],Table29[],23,FALSE)</f>
        <v>74.290132466078006</v>
      </c>
      <c r="AX271" s="233">
        <f>VLOOKUP(Table9[[#This Row],[Country Code]],Table29[],24,FALSE)</f>
        <v>6.8133364043247093</v>
      </c>
      <c r="AY271" s="43"/>
    </row>
    <row r="272" spans="1:51" ht="45" x14ac:dyDescent="0.25">
      <c r="A272" s="371">
        <v>17732</v>
      </c>
      <c r="B272" s="233" t="str">
        <f>VLOOKUP(Table9[[#This Row],[Document ID]],Table1[],2,FALSE)</f>
        <v>SGP</v>
      </c>
      <c r="C272" s="233" t="str">
        <f>VLOOKUP(Table9[[#This Row],[Document ID]],Table1[],3,FALSE)</f>
        <v>Singapore</v>
      </c>
      <c r="D272" s="341" t="str">
        <f>VLOOKUP(Table9[[#This Row],[Document ID]],Table1[],5,FALSE)</f>
        <v>LTS</v>
      </c>
      <c r="E272" s="233" t="str">
        <f>VLOOKUP(Table9[[#This Row],[Document ID]],Table1[],7,FALSE)</f>
        <v>Archived LTS 1.0</v>
      </c>
      <c r="F272" s="241" t="str">
        <f>VLOOKUP(Table9[[#This Row],[Document ID]],Table1[],8,FALSE)</f>
        <v>LTS 1.0</v>
      </c>
      <c r="G272" s="241" t="str">
        <f>VLOOKUP(Table9[[#This Row],[Document ID]],Table1[],10,FALSE)</f>
        <v>Archived</v>
      </c>
      <c r="H272" s="44" t="s">
        <v>5256</v>
      </c>
      <c r="I272" s="43" t="s">
        <v>5256</v>
      </c>
      <c r="J272" s="44" t="s">
        <v>5345</v>
      </c>
      <c r="K272" s="221">
        <v>109</v>
      </c>
      <c r="L272" s="113" t="s">
        <v>1113</v>
      </c>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t="s">
        <v>1113</v>
      </c>
      <c r="AJ272" s="113"/>
      <c r="AK272" s="113"/>
      <c r="AL272" s="113"/>
      <c r="AM272" s="43" t="s">
        <v>5075</v>
      </c>
      <c r="AN272" s="233" t="str">
        <f>VLOOKUP(Table9[[#This Row],[Measure]],Table1025[[Value name]:[Value identifyer]],2,FALSE)</f>
        <v>A_OTHER</v>
      </c>
      <c r="AO272" s="241" t="str">
        <f>VLOOKUP(Table9[[#This Row],[Country Code]],Table29[],3,FALSE)</f>
        <v>Non-Annex I</v>
      </c>
      <c r="AP272" s="241" t="str">
        <f>VLOOKUP(Table9[[#This Row],[Country Code]],Table29[],4,FALSE)</f>
        <v>Asia</v>
      </c>
      <c r="AQ272" s="241" t="str">
        <f>VLOOKUP(Table9[[#This Row],[Country Code]],Table29[],5,FALSE)</f>
        <v>High-income</v>
      </c>
      <c r="AR272" s="241" t="str">
        <f>VLOOKUP(Table9[[#This Row],[Country Code]],Table29[],6,FALSE)</f>
        <v>no</v>
      </c>
      <c r="AS272" s="241" t="str">
        <f>VLOOKUP(Table9[[#This Row],[Country Code]],Table29[],7,FALSE)</f>
        <v>no</v>
      </c>
      <c r="AT272" s="241" t="str">
        <f>VLOOKUP(Table9[[#This Row],[Country Code]],Table29[],8,FALSE)</f>
        <v>non-OECD</v>
      </c>
      <c r="AU272" s="233" t="str">
        <f>VLOOKUP(Table9[[#This Row],[Country Code]],Table29[],9,FALSE)</f>
        <v>no</v>
      </c>
      <c r="AV272" s="233" t="str">
        <f>VLOOKUP(Table9[[#This Row],[Country Code]],Table29[],10,FALSE)</f>
        <v>no</v>
      </c>
      <c r="AW272" s="233">
        <f>VLOOKUP(Table9[[#This Row],[Country Code]],Table29[],23,FALSE)</f>
        <v>74.290132466078006</v>
      </c>
      <c r="AX272" s="233">
        <f>VLOOKUP(Table9[[#This Row],[Country Code]],Table29[],24,FALSE)</f>
        <v>6.8133364043247093</v>
      </c>
      <c r="AY272" s="43"/>
    </row>
    <row r="273" spans="1:51" ht="30" x14ac:dyDescent="0.25">
      <c r="A273" s="371">
        <v>17732</v>
      </c>
      <c r="B273" s="233" t="str">
        <f>VLOOKUP(Table9[[#This Row],[Document ID]],Table1[],2,FALSE)</f>
        <v>SGP</v>
      </c>
      <c r="C273" s="233" t="str">
        <f>VLOOKUP(Table9[[#This Row],[Document ID]],Table1[],3,FALSE)</f>
        <v>Singapore</v>
      </c>
      <c r="D273" s="341" t="str">
        <f>VLOOKUP(Table9[[#This Row],[Document ID]],Table1[],5,FALSE)</f>
        <v>LTS</v>
      </c>
      <c r="E273" s="233" t="str">
        <f>VLOOKUP(Table9[[#This Row],[Document ID]],Table1[],7,FALSE)</f>
        <v>Archived LTS 1.0</v>
      </c>
      <c r="F273" s="241" t="str">
        <f>VLOOKUP(Table9[[#This Row],[Document ID]],Table1[],8,FALSE)</f>
        <v>LTS 1.0</v>
      </c>
      <c r="G273" s="241" t="str">
        <f>VLOOKUP(Table9[[#This Row],[Document ID]],Table1[],10,FALSE)</f>
        <v>Archived</v>
      </c>
      <c r="H273" s="44" t="s">
        <v>5076</v>
      </c>
      <c r="I273" s="43" t="s">
        <v>5079</v>
      </c>
      <c r="J273" s="342" t="s">
        <v>5346</v>
      </c>
      <c r="K273" s="221">
        <v>109</v>
      </c>
      <c r="L273" s="113" t="s">
        <v>1113</v>
      </c>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t="s">
        <v>1113</v>
      </c>
      <c r="AJ273" s="113"/>
      <c r="AK273" s="113"/>
      <c r="AL273" s="113"/>
      <c r="AM273" s="43" t="s">
        <v>5075</v>
      </c>
      <c r="AN273" s="233" t="str">
        <f>VLOOKUP(Table9[[#This Row],[Measure]],Table1025[[Value name]:[Value identifyer]],2,FALSE)</f>
        <v>R_Laws</v>
      </c>
      <c r="AO273" s="241" t="str">
        <f>VLOOKUP(Table9[[#This Row],[Country Code]],Table29[],3,FALSE)</f>
        <v>Non-Annex I</v>
      </c>
      <c r="AP273" s="241" t="str">
        <f>VLOOKUP(Table9[[#This Row],[Country Code]],Table29[],4,FALSE)</f>
        <v>Asia</v>
      </c>
      <c r="AQ273" s="241" t="str">
        <f>VLOOKUP(Table9[[#This Row],[Country Code]],Table29[],5,FALSE)</f>
        <v>High-income</v>
      </c>
      <c r="AR273" s="241" t="str">
        <f>VLOOKUP(Table9[[#This Row],[Country Code]],Table29[],6,FALSE)</f>
        <v>no</v>
      </c>
      <c r="AS273" s="241" t="str">
        <f>VLOOKUP(Table9[[#This Row],[Country Code]],Table29[],7,FALSE)</f>
        <v>no</v>
      </c>
      <c r="AT273" s="241" t="str">
        <f>VLOOKUP(Table9[[#This Row],[Country Code]],Table29[],8,FALSE)</f>
        <v>non-OECD</v>
      </c>
      <c r="AU273" s="233" t="str">
        <f>VLOOKUP(Table9[[#This Row],[Country Code]],Table29[],9,FALSE)</f>
        <v>no</v>
      </c>
      <c r="AV273" s="233" t="str">
        <f>VLOOKUP(Table9[[#This Row],[Country Code]],Table29[],10,FALSE)</f>
        <v>no</v>
      </c>
      <c r="AW273" s="233">
        <f>VLOOKUP(Table9[[#This Row],[Country Code]],Table29[],23,FALSE)</f>
        <v>74.290132466078006</v>
      </c>
      <c r="AX273" s="233">
        <f>VLOOKUP(Table9[[#This Row],[Country Code]],Table29[],24,FALSE)</f>
        <v>6.8133364043247093</v>
      </c>
      <c r="AY273" s="43"/>
    </row>
    <row r="274" spans="1:51" ht="30" x14ac:dyDescent="0.25">
      <c r="A274" s="371">
        <v>17732</v>
      </c>
      <c r="B274" s="233" t="str">
        <f>VLOOKUP(Table9[[#This Row],[Document ID]],Table1[],2,FALSE)</f>
        <v>SGP</v>
      </c>
      <c r="C274" s="233" t="str">
        <f>VLOOKUP(Table9[[#This Row],[Document ID]],Table1[],3,FALSE)</f>
        <v>Singapore</v>
      </c>
      <c r="D274" s="341" t="str">
        <f>VLOOKUP(Table9[[#This Row],[Document ID]],Table1[],5,FALSE)</f>
        <v>LTS</v>
      </c>
      <c r="E274" s="233" t="str">
        <f>VLOOKUP(Table9[[#This Row],[Document ID]],Table1[],7,FALSE)</f>
        <v>Archived LTS 1.0</v>
      </c>
      <c r="F274" s="241" t="str">
        <f>VLOOKUP(Table9[[#This Row],[Document ID]],Table1[],8,FALSE)</f>
        <v>LTS 1.0</v>
      </c>
      <c r="G274" s="241" t="str">
        <f>VLOOKUP(Table9[[#This Row],[Document ID]],Table1[],10,FALSE)</f>
        <v>Archived</v>
      </c>
      <c r="H274" s="44" t="s">
        <v>5072</v>
      </c>
      <c r="I274" s="43" t="s">
        <v>5073</v>
      </c>
      <c r="J274" s="44" t="s">
        <v>5347</v>
      </c>
      <c r="K274" s="221">
        <v>109</v>
      </c>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t="s">
        <v>1113</v>
      </c>
      <c r="AG274" s="113"/>
      <c r="AH274" s="113"/>
      <c r="AI274" s="113" t="s">
        <v>1113</v>
      </c>
      <c r="AJ274" s="113"/>
      <c r="AK274" s="113"/>
      <c r="AL274" s="113"/>
      <c r="AM274" s="43" t="s">
        <v>5075</v>
      </c>
      <c r="AN274" s="233" t="str">
        <f>VLOOKUP(Table9[[#This Row],[Measure]],Table1025[[Value name]:[Value identifyer]],2,FALSE)</f>
        <v>R_System</v>
      </c>
      <c r="AO274" s="241" t="str">
        <f>VLOOKUP(Table9[[#This Row],[Country Code]],Table29[],3,FALSE)</f>
        <v>Non-Annex I</v>
      </c>
      <c r="AP274" s="241" t="str">
        <f>VLOOKUP(Table9[[#This Row],[Country Code]],Table29[],4,FALSE)</f>
        <v>Asia</v>
      </c>
      <c r="AQ274" s="241" t="str">
        <f>VLOOKUP(Table9[[#This Row],[Country Code]],Table29[],5,FALSE)</f>
        <v>High-income</v>
      </c>
      <c r="AR274" s="241" t="str">
        <f>VLOOKUP(Table9[[#This Row],[Country Code]],Table29[],6,FALSE)</f>
        <v>no</v>
      </c>
      <c r="AS274" s="241" t="str">
        <f>VLOOKUP(Table9[[#This Row],[Country Code]],Table29[],7,FALSE)</f>
        <v>no</v>
      </c>
      <c r="AT274" s="241" t="str">
        <f>VLOOKUP(Table9[[#This Row],[Country Code]],Table29[],8,FALSE)</f>
        <v>non-OECD</v>
      </c>
      <c r="AU274" s="233" t="str">
        <f>VLOOKUP(Table9[[#This Row],[Country Code]],Table29[],9,FALSE)</f>
        <v>no</v>
      </c>
      <c r="AV274" s="233" t="str">
        <f>VLOOKUP(Table9[[#This Row],[Country Code]],Table29[],10,FALSE)</f>
        <v>no</v>
      </c>
      <c r="AW274" s="233">
        <f>VLOOKUP(Table9[[#This Row],[Country Code]],Table29[],23,FALSE)</f>
        <v>74.290132466078006</v>
      </c>
      <c r="AX274" s="233">
        <f>VLOOKUP(Table9[[#This Row],[Country Code]],Table29[],24,FALSE)</f>
        <v>6.8133364043247093</v>
      </c>
      <c r="AY274" s="43"/>
    </row>
    <row r="275" spans="1:51" ht="30" x14ac:dyDescent="0.25">
      <c r="A275" s="367">
        <v>17732</v>
      </c>
      <c r="B275" s="233" t="str">
        <f>VLOOKUP(Table9[[#This Row],[Document ID]],Table1[],2,FALSE)</f>
        <v>SGP</v>
      </c>
      <c r="C275" s="233" t="str">
        <f>VLOOKUP(Table9[[#This Row],[Document ID]],Table1[],3,FALSE)</f>
        <v>Singapore</v>
      </c>
      <c r="D275" s="254" t="str">
        <f>VLOOKUP(Table9[[#This Row],[Document ID]],Table1[],5,FALSE)</f>
        <v>LTS</v>
      </c>
      <c r="E275" s="233" t="str">
        <f>VLOOKUP(Table9[[#This Row],[Document ID]],Table1[],7,FALSE)</f>
        <v>Archived LTS 1.0</v>
      </c>
      <c r="F275" s="241" t="str">
        <f>VLOOKUP(Table9[[#This Row],[Document ID]],Table1[],8,FALSE)</f>
        <v>LTS 1.0</v>
      </c>
      <c r="G275" s="241" t="str">
        <f>VLOOKUP(Table9[[#This Row],[Document ID]],Table1[],10,FALSE)</f>
        <v>Archived</v>
      </c>
      <c r="H275" s="44" t="s">
        <v>5072</v>
      </c>
      <c r="I275" s="43" t="s">
        <v>5073</v>
      </c>
      <c r="J275" s="44" t="s">
        <v>5348</v>
      </c>
      <c r="K275" s="221">
        <v>109</v>
      </c>
      <c r="L275" s="113"/>
      <c r="M275" s="113"/>
      <c r="N275" s="113"/>
      <c r="O275" s="113"/>
      <c r="P275" s="113"/>
      <c r="Q275" s="113" t="s">
        <v>1113</v>
      </c>
      <c r="R275" s="113"/>
      <c r="S275" s="113"/>
      <c r="T275" s="113"/>
      <c r="U275" s="113"/>
      <c r="V275" s="113"/>
      <c r="W275" s="113"/>
      <c r="X275" s="113"/>
      <c r="Y275" s="113"/>
      <c r="Z275" s="113"/>
      <c r="AA275" s="113"/>
      <c r="AB275" s="113"/>
      <c r="AC275" s="113"/>
      <c r="AD275" s="113"/>
      <c r="AE275" s="113"/>
      <c r="AF275" s="113"/>
      <c r="AG275" s="113"/>
      <c r="AH275" s="113"/>
      <c r="AI275" s="113" t="s">
        <v>1113</v>
      </c>
      <c r="AJ275" s="113"/>
      <c r="AK275" s="113"/>
      <c r="AL275" s="113"/>
      <c r="AM275" s="43" t="s">
        <v>5075</v>
      </c>
      <c r="AN275" s="233" t="str">
        <f>VLOOKUP(Table9[[#This Row],[Measure]],Table1025[[Value name]:[Value identifyer]],2,FALSE)</f>
        <v>R_System</v>
      </c>
      <c r="AO275" s="241" t="str">
        <f>VLOOKUP(Table9[[#This Row],[Country Code]],Table29[],3,FALSE)</f>
        <v>Non-Annex I</v>
      </c>
      <c r="AP275" s="241" t="str">
        <f>VLOOKUP(Table9[[#This Row],[Country Code]],Table29[],4,FALSE)</f>
        <v>Asia</v>
      </c>
      <c r="AQ275" s="241" t="str">
        <f>VLOOKUP(Table9[[#This Row],[Country Code]],Table29[],5,FALSE)</f>
        <v>High-income</v>
      </c>
      <c r="AR275" s="241" t="str">
        <f>VLOOKUP(Table9[[#This Row],[Country Code]],Table29[],6,FALSE)</f>
        <v>no</v>
      </c>
      <c r="AS275" s="241" t="str">
        <f>VLOOKUP(Table9[[#This Row],[Country Code]],Table29[],7,FALSE)</f>
        <v>no</v>
      </c>
      <c r="AT275" s="241" t="str">
        <f>VLOOKUP(Table9[[#This Row],[Country Code]],Table29[],8,FALSE)</f>
        <v>non-OECD</v>
      </c>
      <c r="AU275" s="233" t="str">
        <f>VLOOKUP(Table9[[#This Row],[Country Code]],Table29[],9,FALSE)</f>
        <v>no</v>
      </c>
      <c r="AV275" s="233" t="str">
        <f>VLOOKUP(Table9[[#This Row],[Country Code]],Table29[],10,FALSE)</f>
        <v>no</v>
      </c>
      <c r="AW275" s="233">
        <f>VLOOKUP(Table9[[#This Row],[Country Code]],Table29[],23,FALSE)</f>
        <v>74.290132466078006</v>
      </c>
      <c r="AX275" s="233">
        <f>VLOOKUP(Table9[[#This Row],[Country Code]],Table29[],24,FALSE)</f>
        <v>6.8133364043247093</v>
      </c>
      <c r="AY275" s="43"/>
    </row>
    <row r="276" spans="1:51" x14ac:dyDescent="0.25">
      <c r="A276" s="367">
        <v>17731</v>
      </c>
      <c r="B276" s="233" t="str">
        <f>VLOOKUP(Table9[[#This Row],[Document ID]],Table1[],2,FALSE)</f>
        <v>SGP</v>
      </c>
      <c r="C276" s="233" t="str">
        <f>VLOOKUP(Table9[[#This Row],[Document ID]],Table1[],3,FALSE)</f>
        <v>Singapore</v>
      </c>
      <c r="D276" s="252" t="str">
        <f>VLOOKUP(Table9[[#This Row],[Document ID]],Table1[],5,FALSE)</f>
        <v>NDC</v>
      </c>
      <c r="E276" s="233" t="str">
        <f>VLOOKUP(Table9[[#This Row],[Document ID]],Table1[],7,FALSE)</f>
        <v>First NDC</v>
      </c>
      <c r="F276" s="252" t="str">
        <f>VLOOKUP(Table9[[#This Row],[Document ID]],Table1[],8,FALSE)</f>
        <v>NDC 1.0</v>
      </c>
      <c r="G276" s="252" t="str">
        <f>VLOOKUP(Table9[[#This Row],[Document ID]],Table1[],10,FALSE)</f>
        <v>Archived</v>
      </c>
      <c r="H276" s="44" t="s">
        <v>5072</v>
      </c>
      <c r="I276" s="43" t="s">
        <v>5091</v>
      </c>
      <c r="J276" s="209" t="s">
        <v>5349</v>
      </c>
      <c r="K276" s="257" t="s">
        <v>5081</v>
      </c>
      <c r="L276" s="326"/>
      <c r="M276" s="326"/>
      <c r="N276" s="326"/>
      <c r="O276" s="326"/>
      <c r="P276" s="326"/>
      <c r="Q276" s="326" t="s">
        <v>1113</v>
      </c>
      <c r="R276" s="326"/>
      <c r="S276" s="326"/>
      <c r="T276" s="326"/>
      <c r="U276" s="326"/>
      <c r="V276" s="326"/>
      <c r="W276" s="326"/>
      <c r="X276" s="326" t="s">
        <v>1113</v>
      </c>
      <c r="Y276" s="326"/>
      <c r="Z276" s="326"/>
      <c r="AA276" s="326"/>
      <c r="AB276" s="326"/>
      <c r="AC276" s="326"/>
      <c r="AD276" s="326"/>
      <c r="AE276" s="326"/>
      <c r="AF276" s="326"/>
      <c r="AG276" s="326"/>
      <c r="AH276" s="326"/>
      <c r="AI276" s="326" t="s">
        <v>1113</v>
      </c>
      <c r="AJ276" s="326"/>
      <c r="AK276" s="326"/>
      <c r="AL276" s="326"/>
      <c r="AM276" s="209" t="s">
        <v>5075</v>
      </c>
      <c r="AN276" s="233" t="str">
        <f>VLOOKUP(Table9[[#This Row],[Measure]],Table1025[[Value name]:[Value identifyer]],2,FALSE)</f>
        <v>R_Maintain</v>
      </c>
      <c r="AO276" s="241" t="str">
        <f>VLOOKUP(Table9[[#This Row],[Country Code]],Table29[],3,FALSE)</f>
        <v>Non-Annex I</v>
      </c>
      <c r="AP276" s="241" t="str">
        <f>VLOOKUP(Table9[[#This Row],[Country Code]],Table29[],4,FALSE)</f>
        <v>Asia</v>
      </c>
      <c r="AQ276" s="241" t="str">
        <f>VLOOKUP(Table9[[#This Row],[Country Code]],Table29[],5,FALSE)</f>
        <v>High-income</v>
      </c>
      <c r="AR276" s="241" t="str">
        <f>VLOOKUP(Table9[[#This Row],[Country Code]],Table29[],6,FALSE)</f>
        <v>no</v>
      </c>
      <c r="AS276" s="241" t="str">
        <f>VLOOKUP(Table9[[#This Row],[Country Code]],Table29[],7,FALSE)</f>
        <v>no</v>
      </c>
      <c r="AT276" s="241" t="str">
        <f>VLOOKUP(Table9[[#This Row],[Country Code]],Table29[],8,FALSE)</f>
        <v>non-OECD</v>
      </c>
      <c r="AU276" s="233" t="str">
        <f>VLOOKUP(Table9[[#This Row],[Country Code]],Table29[],9,FALSE)</f>
        <v>no</v>
      </c>
      <c r="AV276" s="233" t="str">
        <f>VLOOKUP(Table9[[#This Row],[Country Code]],Table29[],10,FALSE)</f>
        <v>no</v>
      </c>
      <c r="AW276" s="233">
        <f>VLOOKUP(Table9[[#This Row],[Country Code]],Table29[],23,FALSE)</f>
        <v>74.290132466078006</v>
      </c>
      <c r="AX276" s="233">
        <f>VLOOKUP(Table9[[#This Row],[Country Code]],Table29[],24,FALSE)</f>
        <v>6.8133364043247093</v>
      </c>
      <c r="AY276" s="43"/>
    </row>
    <row r="277" spans="1:51" ht="30" x14ac:dyDescent="0.25">
      <c r="A277" s="367">
        <v>17731</v>
      </c>
      <c r="B277" s="233" t="str">
        <f>VLOOKUP(Table9[[#This Row],[Document ID]],Table1[],2,FALSE)</f>
        <v>SGP</v>
      </c>
      <c r="C277" s="233" t="str">
        <f>VLOOKUP(Table9[[#This Row],[Document ID]],Table1[],3,FALSE)</f>
        <v>Singapore</v>
      </c>
      <c r="D277" s="252" t="str">
        <f>VLOOKUP(Table9[[#This Row],[Document ID]],Table1[],5,FALSE)</f>
        <v>NDC</v>
      </c>
      <c r="E277" s="233" t="str">
        <f>VLOOKUP(Table9[[#This Row],[Document ID]],Table1[],7,FALSE)</f>
        <v>First NDC</v>
      </c>
      <c r="F277" s="252" t="str">
        <f>VLOOKUP(Table9[[#This Row],[Document ID]],Table1[],8,FALSE)</f>
        <v>NDC 1.0</v>
      </c>
      <c r="G277" s="252" t="str">
        <f>VLOOKUP(Table9[[#This Row],[Document ID]],Table1[],10,FALSE)</f>
        <v>Archived</v>
      </c>
      <c r="H277" s="44" t="s">
        <v>5072</v>
      </c>
      <c r="I277" s="43" t="s">
        <v>5073</v>
      </c>
      <c r="J277" s="209" t="s">
        <v>5350</v>
      </c>
      <c r="K277" s="257"/>
      <c r="L277" s="326" t="s">
        <v>1113</v>
      </c>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c r="AI277" s="326" t="s">
        <v>1113</v>
      </c>
      <c r="AJ277" s="326"/>
      <c r="AK277" s="326"/>
      <c r="AL277" s="326"/>
      <c r="AM277" s="209" t="s">
        <v>5075</v>
      </c>
      <c r="AN277" s="233" t="str">
        <f>VLOOKUP(Table9[[#This Row],[Measure]],Table1025[[Value name]:[Value identifyer]],2,FALSE)</f>
        <v>R_System</v>
      </c>
      <c r="AO277" s="241" t="str">
        <f>VLOOKUP(Table9[[#This Row],[Country Code]],Table29[],3,FALSE)</f>
        <v>Non-Annex I</v>
      </c>
      <c r="AP277" s="241" t="str">
        <f>VLOOKUP(Table9[[#This Row],[Country Code]],Table29[],4,FALSE)</f>
        <v>Asia</v>
      </c>
      <c r="AQ277" s="241" t="str">
        <f>VLOOKUP(Table9[[#This Row],[Country Code]],Table29[],5,FALSE)</f>
        <v>High-income</v>
      </c>
      <c r="AR277" s="241" t="str">
        <f>VLOOKUP(Table9[[#This Row],[Country Code]],Table29[],6,FALSE)</f>
        <v>no</v>
      </c>
      <c r="AS277" s="241" t="str">
        <f>VLOOKUP(Table9[[#This Row],[Country Code]],Table29[],7,FALSE)</f>
        <v>no</v>
      </c>
      <c r="AT277" s="241" t="str">
        <f>VLOOKUP(Table9[[#This Row],[Country Code]],Table29[],8,FALSE)</f>
        <v>non-OECD</v>
      </c>
      <c r="AU277" s="233" t="str">
        <f>VLOOKUP(Table9[[#This Row],[Country Code]],Table29[],9,FALSE)</f>
        <v>no</v>
      </c>
      <c r="AV277" s="233" t="str">
        <f>VLOOKUP(Table9[[#This Row],[Country Code]],Table29[],10,FALSE)</f>
        <v>no</v>
      </c>
      <c r="AW277" s="233">
        <f>VLOOKUP(Table9[[#This Row],[Country Code]],Table29[],23,FALSE)</f>
        <v>74.290132466078006</v>
      </c>
      <c r="AX277" s="233">
        <f>VLOOKUP(Table9[[#This Row],[Country Code]],Table29[],24,FALSE)</f>
        <v>6.8133364043247093</v>
      </c>
      <c r="AY277" s="43"/>
    </row>
    <row r="278" spans="1:51" x14ac:dyDescent="0.25">
      <c r="A278" s="372">
        <v>21220</v>
      </c>
      <c r="B278" s="233" t="str">
        <f>VLOOKUP(Table9[[#This Row],[Document ID]],Table1[],2,FALSE)</f>
        <v>SLB</v>
      </c>
      <c r="C278" s="233" t="str">
        <f>VLOOKUP(Table9[[#This Row],[Document ID]],Table1[],3,FALSE)</f>
        <v>Solomon Islands</v>
      </c>
      <c r="D278" s="241" t="str">
        <f>VLOOKUP(Table9[[#This Row],[Document ID]],Table1[],5,FALSE)</f>
        <v>NDC</v>
      </c>
      <c r="E278" s="233" t="str">
        <f>VLOOKUP(Table9[[#This Row],[Document ID]],Table1[],7,FALSE)</f>
        <v>First NDC updated</v>
      </c>
      <c r="F278" s="233" t="str">
        <f>VLOOKUP(Table9[[#This Row],[Document ID]],Table1[],8,FALSE)</f>
        <v>NDC 1.1</v>
      </c>
      <c r="G278" s="233" t="str">
        <f>VLOOKUP(Table9[[#This Row],[Document ID]],Table1[],10,FALSE)</f>
        <v>Active</v>
      </c>
      <c r="H278" s="44" t="s">
        <v>5072</v>
      </c>
      <c r="I278" s="43" t="s">
        <v>5073</v>
      </c>
      <c r="J278" s="209" t="s">
        <v>5351</v>
      </c>
      <c r="K278" s="259">
        <v>17</v>
      </c>
      <c r="L278" s="326" t="s">
        <v>1113</v>
      </c>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c r="AI278" s="326" t="s">
        <v>1113</v>
      </c>
      <c r="AJ278" s="326"/>
      <c r="AK278" s="326"/>
      <c r="AL278" s="326"/>
      <c r="AM278" s="327" t="s">
        <v>5075</v>
      </c>
      <c r="AN278" s="233" t="str">
        <f>VLOOKUP(Table9[[#This Row],[Measure]],Table1025[[Value name]:[Value identifyer]],2,FALSE)</f>
        <v>R_System</v>
      </c>
      <c r="AO278" s="241" t="str">
        <f>VLOOKUP(Table9[[#This Row],[Country Code]],Table29[],3,FALSE)</f>
        <v>Non-Annex I</v>
      </c>
      <c r="AP278" s="241" t="str">
        <f>VLOOKUP(Table9[[#This Row],[Country Code]],Table29[],4,FALSE)</f>
        <v>Oceania</v>
      </c>
      <c r="AQ278" s="241" t="str">
        <f>VLOOKUP(Table9[[#This Row],[Country Code]],Table29[],5,FALSE)</f>
        <v>Middle-income</v>
      </c>
      <c r="AR278" s="241" t="str">
        <f>VLOOKUP(Table9[[#This Row],[Country Code]],Table29[],6,FALSE)</f>
        <v>no</v>
      </c>
      <c r="AS278" s="241" t="str">
        <f>VLOOKUP(Table9[[#This Row],[Country Code]],Table29[],7,FALSE)</f>
        <v>no</v>
      </c>
      <c r="AT278" s="241" t="str">
        <f>VLOOKUP(Table9[[#This Row],[Country Code]],Table29[],8,FALSE)</f>
        <v>non-OECD</v>
      </c>
      <c r="AU278" s="233" t="str">
        <f>VLOOKUP(Table9[[#This Row],[Country Code]],Table29[],9,FALSE)</f>
        <v>no</v>
      </c>
      <c r="AV278" s="233" t="str">
        <f>VLOOKUP(Table9[[#This Row],[Country Code]],Table29[],10,FALSE)</f>
        <v>no</v>
      </c>
      <c r="AW278" s="233">
        <f>VLOOKUP(Table9[[#This Row],[Country Code]],Table29[],23,FALSE)</f>
        <v>0.72081774636639995</v>
      </c>
      <c r="AX278" s="233">
        <f>VLOOKUP(Table9[[#This Row],[Country Code]],Table29[],24,FALSE)</f>
        <v>0.21700975961810029</v>
      </c>
      <c r="AY278" s="43"/>
    </row>
    <row r="279" spans="1:51" ht="30" x14ac:dyDescent="0.25">
      <c r="A279" s="368">
        <v>21415</v>
      </c>
      <c r="B279" s="233" t="str">
        <f>VLOOKUP(Table9[[#This Row],[Document ID]],Table1[],2,FALSE)</f>
        <v>SOM</v>
      </c>
      <c r="C279" s="233" t="str">
        <f>VLOOKUP(Table9[[#This Row],[Document ID]],Table1[],3,FALSE)</f>
        <v>Somalia</v>
      </c>
      <c r="D279" s="241" t="str">
        <f>VLOOKUP(Table9[[#This Row],[Document ID]],Table1[],5,FALSE)</f>
        <v>NDC</v>
      </c>
      <c r="E279" s="233" t="str">
        <f>VLOOKUP(Table9[[#This Row],[Document ID]],Table1[],7,FALSE)</f>
        <v>First NDC updated</v>
      </c>
      <c r="F279" s="241" t="str">
        <f>VLOOKUP(Table9[[#This Row],[Document ID]],Table1[],8,FALSE)</f>
        <v>NDC 1.1</v>
      </c>
      <c r="G279" s="241" t="str">
        <f>VLOOKUP(Table9[[#This Row],[Document ID]],Table1[],10,FALSE)</f>
        <v>Active</v>
      </c>
      <c r="H279" s="44" t="s">
        <v>5072</v>
      </c>
      <c r="I279" s="43" t="s">
        <v>5073</v>
      </c>
      <c r="J279" s="209" t="s">
        <v>5352</v>
      </c>
      <c r="K279" s="221">
        <v>11</v>
      </c>
      <c r="L279" s="113"/>
      <c r="M279" s="113"/>
      <c r="N279" s="113"/>
      <c r="O279" s="113"/>
      <c r="P279" s="113"/>
      <c r="Q279" s="113" t="s">
        <v>1113</v>
      </c>
      <c r="R279" s="113"/>
      <c r="S279" s="113"/>
      <c r="T279" s="113"/>
      <c r="U279" s="113"/>
      <c r="V279" s="113"/>
      <c r="W279" s="113"/>
      <c r="X279" s="113"/>
      <c r="Y279" s="113"/>
      <c r="Z279" s="113"/>
      <c r="AA279" s="113"/>
      <c r="AB279" s="113"/>
      <c r="AC279" s="113"/>
      <c r="AD279" s="113"/>
      <c r="AE279" s="113"/>
      <c r="AF279" s="113"/>
      <c r="AG279" s="113"/>
      <c r="AH279" s="113"/>
      <c r="AI279" s="326" t="s">
        <v>1113</v>
      </c>
      <c r="AJ279" s="326"/>
      <c r="AK279" s="326"/>
      <c r="AL279" s="326"/>
      <c r="AM279" s="327" t="s">
        <v>5075</v>
      </c>
      <c r="AN279" s="233" t="str">
        <f>VLOOKUP(Table9[[#This Row],[Measure]],Table1025[[Value name]:[Value identifyer]],2,FALSE)</f>
        <v>R_System</v>
      </c>
      <c r="AO279" s="241" t="str">
        <f>VLOOKUP(Table9[[#This Row],[Country Code]],Table29[],3,FALSE)</f>
        <v>Non-Annex I</v>
      </c>
      <c r="AP279" s="241" t="str">
        <f>VLOOKUP(Table9[[#This Row],[Country Code]],Table29[],4,FALSE)</f>
        <v>Africa</v>
      </c>
      <c r="AQ279" s="241" t="str">
        <f>VLOOKUP(Table9[[#This Row],[Country Code]],Table29[],5,FALSE)</f>
        <v>Low-income</v>
      </c>
      <c r="AR279" s="241" t="str">
        <f>VLOOKUP(Table9[[#This Row],[Country Code]],Table29[],6,FALSE)</f>
        <v>no</v>
      </c>
      <c r="AS279" s="241" t="str">
        <f>VLOOKUP(Table9[[#This Row],[Country Code]],Table29[],7,FALSE)</f>
        <v>no</v>
      </c>
      <c r="AT279" s="241" t="str">
        <f>VLOOKUP(Table9[[#This Row],[Country Code]],Table29[],8,FALSE)</f>
        <v>non-OECD</v>
      </c>
      <c r="AU279" s="233" t="str">
        <f>VLOOKUP(Table9[[#This Row],[Country Code]],Table29[],9,FALSE)</f>
        <v>no</v>
      </c>
      <c r="AV279" s="233" t="str">
        <f>VLOOKUP(Table9[[#This Row],[Country Code]],Table29[],10,FALSE)</f>
        <v>no</v>
      </c>
      <c r="AW279" s="233">
        <f>VLOOKUP(Table9[[#This Row],[Country Code]],Table29[],23,FALSE)</f>
        <v>32.499935850652001</v>
      </c>
      <c r="AX279" s="233">
        <f>VLOOKUP(Table9[[#This Row],[Country Code]],Table29[],24,FALSE)</f>
        <v>0.489420024592578</v>
      </c>
      <c r="AY279" s="43"/>
    </row>
    <row r="280" spans="1:51" ht="30" x14ac:dyDescent="0.25">
      <c r="A280" s="367">
        <v>26789</v>
      </c>
      <c r="B280" s="233" t="str">
        <f>VLOOKUP(Table9[[#This Row],[Document ID]],Table1[],2,FALSE)</f>
        <v>ZAF</v>
      </c>
      <c r="C280" s="233" t="str">
        <f>VLOOKUP(Table9[[#This Row],[Document ID]],Table1[],3,FALSE)</f>
        <v>South Africa</v>
      </c>
      <c r="D280" s="254" t="str">
        <f>VLOOKUP(Table9[[#This Row],[Document ID]],Table1[],5,FALSE)</f>
        <v>NDC</v>
      </c>
      <c r="E280" s="233" t="str">
        <f>VLOOKUP(Table9[[#This Row],[Document ID]],Table1[],7,FALSE)</f>
        <v>First NDC updated</v>
      </c>
      <c r="F280" s="241" t="str">
        <f>VLOOKUP(Table9[[#This Row],[Document ID]],Table1[],8,FALSE)</f>
        <v>NDC 1.1</v>
      </c>
      <c r="G280" s="241" t="str">
        <f>VLOOKUP(Table9[[#This Row],[Document ID]],Table1[],10,FALSE)</f>
        <v>Active</v>
      </c>
      <c r="H280" s="44" t="s">
        <v>5072</v>
      </c>
      <c r="I280" s="43" t="s">
        <v>5073</v>
      </c>
      <c r="J280" s="343" t="s">
        <v>5353</v>
      </c>
      <c r="K280" s="259">
        <v>11</v>
      </c>
      <c r="L280" s="219" t="s">
        <v>1113</v>
      </c>
      <c r="M280" s="219"/>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219" t="s">
        <v>1113</v>
      </c>
      <c r="AJ280" s="326"/>
      <c r="AK280" s="326"/>
      <c r="AL280" s="326"/>
      <c r="AM280" s="327" t="s">
        <v>5075</v>
      </c>
      <c r="AN280" s="233" t="str">
        <f>VLOOKUP(Table9[[#This Row],[Measure]],Table1025[[Value name]:[Value identifyer]],2,FALSE)</f>
        <v>R_System</v>
      </c>
      <c r="AO280" s="241" t="str">
        <f>VLOOKUP(Table9[[#This Row],[Country Code]],Table29[],3,FALSE)</f>
        <v>Non-Annex I</v>
      </c>
      <c r="AP280" s="241" t="str">
        <f>VLOOKUP(Table9[[#This Row],[Country Code]],Table29[],4,FALSE)</f>
        <v>Africa</v>
      </c>
      <c r="AQ280" s="241" t="str">
        <f>VLOOKUP(Table9[[#This Row],[Country Code]],Table29[],5,FALSE)</f>
        <v>Middle-income</v>
      </c>
      <c r="AR280" s="241" t="str">
        <f>VLOOKUP(Table9[[#This Row],[Country Code]],Table29[],6,FALSE)</f>
        <v>G20</v>
      </c>
      <c r="AS280" s="241" t="str">
        <f>VLOOKUP(Table9[[#This Row],[Country Code]],Table29[],7,FALSE)</f>
        <v>no</v>
      </c>
      <c r="AT280" s="241" t="str">
        <f>VLOOKUP(Table9[[#This Row],[Country Code]],Table29[],8,FALSE)</f>
        <v>non-OECD</v>
      </c>
      <c r="AU280" s="233" t="str">
        <f>VLOOKUP(Table9[[#This Row],[Country Code]],Table29[],9,FALSE)</f>
        <v>no</v>
      </c>
      <c r="AV280" s="233" t="str">
        <f>VLOOKUP(Table9[[#This Row],[Country Code]],Table29[],10,FALSE)</f>
        <v>no</v>
      </c>
      <c r="AW280" s="233">
        <f>VLOOKUP(Table9[[#This Row],[Country Code]],Table29[],23,FALSE)</f>
        <v>522.11549112330999</v>
      </c>
      <c r="AX280" s="233">
        <f>VLOOKUP(Table9[[#This Row],[Country Code]],Table29[],24,FALSE)</f>
        <v>50.351995093376694</v>
      </c>
      <c r="AY280" s="43"/>
    </row>
    <row r="281" spans="1:51" x14ac:dyDescent="0.25">
      <c r="A281" s="367">
        <v>26789</v>
      </c>
      <c r="B281" s="233" t="str">
        <f>VLOOKUP(Table9[[#This Row],[Document ID]],Table1[],2,FALSE)</f>
        <v>ZAF</v>
      </c>
      <c r="C281" s="233" t="str">
        <f>VLOOKUP(Table9[[#This Row],[Document ID]],Table1[],3,FALSE)</f>
        <v>South Africa</v>
      </c>
      <c r="D281" s="254" t="str">
        <f>VLOOKUP(Table9[[#This Row],[Document ID]],Table1[],5,FALSE)</f>
        <v>NDC</v>
      </c>
      <c r="E281" s="233" t="str">
        <f>VLOOKUP(Table9[[#This Row],[Document ID]],Table1[],7,FALSE)</f>
        <v>First NDC updated</v>
      </c>
      <c r="F281" s="241" t="str">
        <f>VLOOKUP(Table9[[#This Row],[Document ID]],Table1[],8,FALSE)</f>
        <v>NDC 1.1</v>
      </c>
      <c r="G281" s="241" t="str">
        <f>VLOOKUP(Table9[[#This Row],[Document ID]],Table1[],10,FALSE)</f>
        <v>Active</v>
      </c>
      <c r="H281" s="44" t="s">
        <v>5076</v>
      </c>
      <c r="I281" s="43" t="s">
        <v>5077</v>
      </c>
      <c r="J281" s="316" t="s">
        <v>5354</v>
      </c>
      <c r="K281" s="259">
        <v>11</v>
      </c>
      <c r="L281" s="219" t="s">
        <v>1113</v>
      </c>
      <c r="M281" s="219"/>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219" t="s">
        <v>1113</v>
      </c>
      <c r="AJ281" s="326"/>
      <c r="AK281" s="326"/>
      <c r="AL281" s="326"/>
      <c r="AM281" s="327" t="s">
        <v>5075</v>
      </c>
      <c r="AN281" s="233" t="str">
        <f>VLOOKUP(Table9[[#This Row],[Measure]],Table1025[[Value name]:[Value identifyer]],2,FALSE)</f>
        <v>R_Planning</v>
      </c>
      <c r="AO281" s="241" t="str">
        <f>VLOOKUP(Table9[[#This Row],[Country Code]],Table29[],3,FALSE)</f>
        <v>Non-Annex I</v>
      </c>
      <c r="AP281" s="241" t="str">
        <f>VLOOKUP(Table9[[#This Row],[Country Code]],Table29[],4,FALSE)</f>
        <v>Africa</v>
      </c>
      <c r="AQ281" s="241" t="str">
        <f>VLOOKUP(Table9[[#This Row],[Country Code]],Table29[],5,FALSE)</f>
        <v>Middle-income</v>
      </c>
      <c r="AR281" s="241" t="str">
        <f>VLOOKUP(Table9[[#This Row],[Country Code]],Table29[],6,FALSE)</f>
        <v>G20</v>
      </c>
      <c r="AS281" s="241" t="str">
        <f>VLOOKUP(Table9[[#This Row],[Country Code]],Table29[],7,FALSE)</f>
        <v>no</v>
      </c>
      <c r="AT281" s="241" t="str">
        <f>VLOOKUP(Table9[[#This Row],[Country Code]],Table29[],8,FALSE)</f>
        <v>non-OECD</v>
      </c>
      <c r="AU281" s="233" t="str">
        <f>VLOOKUP(Table9[[#This Row],[Country Code]],Table29[],9,FALSE)</f>
        <v>no</v>
      </c>
      <c r="AV281" s="233" t="str">
        <f>VLOOKUP(Table9[[#This Row],[Country Code]],Table29[],10,FALSE)</f>
        <v>no</v>
      </c>
      <c r="AW281" s="233">
        <f>VLOOKUP(Table9[[#This Row],[Country Code]],Table29[],23,FALSE)</f>
        <v>522.11549112330999</v>
      </c>
      <c r="AX281" s="233">
        <f>VLOOKUP(Table9[[#This Row],[Country Code]],Table29[],24,FALSE)</f>
        <v>50.351995093376694</v>
      </c>
      <c r="AY281" s="43"/>
    </row>
    <row r="282" spans="1:51" ht="30" x14ac:dyDescent="0.25">
      <c r="A282" s="367">
        <v>26789</v>
      </c>
      <c r="B282" s="233" t="str">
        <f>VLOOKUP(Table9[[#This Row],[Document ID]],Table1[],2,FALSE)</f>
        <v>ZAF</v>
      </c>
      <c r="C282" s="233" t="str">
        <f>VLOOKUP(Table9[[#This Row],[Document ID]],Table1[],3,FALSE)</f>
        <v>South Africa</v>
      </c>
      <c r="D282" s="254" t="str">
        <f>VLOOKUP(Table9[[#This Row],[Document ID]],Table1[],5,FALSE)</f>
        <v>NDC</v>
      </c>
      <c r="E282" s="233" t="str">
        <f>VLOOKUP(Table9[[#This Row],[Document ID]],Table1[],7,FALSE)</f>
        <v>First NDC updated</v>
      </c>
      <c r="F282" s="241" t="str">
        <f>VLOOKUP(Table9[[#This Row],[Document ID]],Table1[],8,FALSE)</f>
        <v>NDC 1.1</v>
      </c>
      <c r="G282" s="241" t="str">
        <f>VLOOKUP(Table9[[#This Row],[Document ID]],Table1[],10,FALSE)</f>
        <v>Active</v>
      </c>
      <c r="H282" s="44" t="s">
        <v>5076</v>
      </c>
      <c r="I282" s="43" t="s">
        <v>5089</v>
      </c>
      <c r="J282" s="316" t="s">
        <v>5355</v>
      </c>
      <c r="K282" s="259">
        <v>11</v>
      </c>
      <c r="L282" s="219" t="s">
        <v>1113</v>
      </c>
      <c r="M282" s="219"/>
      <c r="N282" s="113"/>
      <c r="O282" s="113"/>
      <c r="P282" s="113"/>
      <c r="Q282" s="113"/>
      <c r="R282" s="113"/>
      <c r="S282" s="113"/>
      <c r="T282" s="113"/>
      <c r="U282" s="113"/>
      <c r="V282" s="113"/>
      <c r="W282" s="113"/>
      <c r="X282" s="113"/>
      <c r="Y282" s="113"/>
      <c r="Z282" s="113"/>
      <c r="AA282" s="113"/>
      <c r="AB282" s="113"/>
      <c r="AC282" s="113"/>
      <c r="AD282" s="113"/>
      <c r="AE282" s="113"/>
      <c r="AF282" s="113"/>
      <c r="AG282" s="113"/>
      <c r="AH282" s="113"/>
      <c r="AI282" s="219" t="s">
        <v>1113</v>
      </c>
      <c r="AJ282" s="326"/>
      <c r="AK282" s="326"/>
      <c r="AL282" s="326"/>
      <c r="AM282" s="327" t="s">
        <v>5075</v>
      </c>
      <c r="AN282" s="233" t="str">
        <f>VLOOKUP(Table9[[#This Row],[Measure]],Table1025[[Value name]:[Value identifyer]],2,FALSE)</f>
        <v>R_Design</v>
      </c>
      <c r="AO282" s="241" t="str">
        <f>VLOOKUP(Table9[[#This Row],[Country Code]],Table29[],3,FALSE)</f>
        <v>Non-Annex I</v>
      </c>
      <c r="AP282" s="241" t="str">
        <f>VLOOKUP(Table9[[#This Row],[Country Code]],Table29[],4,FALSE)</f>
        <v>Africa</v>
      </c>
      <c r="AQ282" s="241" t="str">
        <f>VLOOKUP(Table9[[#This Row],[Country Code]],Table29[],5,FALSE)</f>
        <v>Middle-income</v>
      </c>
      <c r="AR282" s="241" t="str">
        <f>VLOOKUP(Table9[[#This Row],[Country Code]],Table29[],6,FALSE)</f>
        <v>G20</v>
      </c>
      <c r="AS282" s="241" t="str">
        <f>VLOOKUP(Table9[[#This Row],[Country Code]],Table29[],7,FALSE)</f>
        <v>no</v>
      </c>
      <c r="AT282" s="241" t="str">
        <f>VLOOKUP(Table9[[#This Row],[Country Code]],Table29[],8,FALSE)</f>
        <v>non-OECD</v>
      </c>
      <c r="AU282" s="233" t="str">
        <f>VLOOKUP(Table9[[#This Row],[Country Code]],Table29[],9,FALSE)</f>
        <v>no</v>
      </c>
      <c r="AV282" s="233" t="str">
        <f>VLOOKUP(Table9[[#This Row],[Country Code]],Table29[],10,FALSE)</f>
        <v>no</v>
      </c>
      <c r="AW282" s="233">
        <f>VLOOKUP(Table9[[#This Row],[Country Code]],Table29[],23,FALSE)</f>
        <v>522.11549112330999</v>
      </c>
      <c r="AX282" s="233">
        <f>VLOOKUP(Table9[[#This Row],[Country Code]],Table29[],24,FALSE)</f>
        <v>50.351995093376694</v>
      </c>
      <c r="AY282" s="43"/>
    </row>
    <row r="283" spans="1:51" ht="60" x14ac:dyDescent="0.25">
      <c r="A283" s="367">
        <v>17741</v>
      </c>
      <c r="B283" s="233" t="str">
        <f>VLOOKUP(Table9[[#This Row],[Document ID]],Table1[],2,FALSE)</f>
        <v>SSD</v>
      </c>
      <c r="C283" s="233" t="str">
        <f>VLOOKUP(Table9[[#This Row],[Document ID]],Table1[],3,FALSE)</f>
        <v>South Sudan</v>
      </c>
      <c r="D283" s="254" t="str">
        <f>VLOOKUP(Table9[[#This Row],[Document ID]],Table1[],5,FALSE)</f>
        <v>NDC</v>
      </c>
      <c r="E283" s="233" t="str">
        <f>VLOOKUP(Table9[[#This Row],[Document ID]],Table1[],7,FALSE)</f>
        <v>First NDC</v>
      </c>
      <c r="F283" s="241" t="str">
        <f>VLOOKUP(Table9[[#This Row],[Document ID]],Table1[],8,FALSE)</f>
        <v>NDC 1.0</v>
      </c>
      <c r="G283" s="241" t="str">
        <f>VLOOKUP(Table9[[#This Row],[Document ID]],Table1[],10,FALSE)</f>
        <v>Archived</v>
      </c>
      <c r="H283" s="44" t="s">
        <v>5076</v>
      </c>
      <c r="I283" s="43" t="s">
        <v>5089</v>
      </c>
      <c r="J283" s="44" t="s">
        <v>5356</v>
      </c>
      <c r="K283" s="221">
        <v>7</v>
      </c>
      <c r="L283" s="113" t="s">
        <v>1113</v>
      </c>
      <c r="M283" s="113"/>
      <c r="N283" s="113"/>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t="s">
        <v>1113</v>
      </c>
      <c r="AJ283" s="113"/>
      <c r="AK283" s="113"/>
      <c r="AL283" s="113"/>
      <c r="AM283" s="43" t="s">
        <v>5075</v>
      </c>
      <c r="AN283" s="233" t="str">
        <f>VLOOKUP(Table9[[#This Row],[Measure]],Table1025[[Value name]:[Value identifyer]],2,FALSE)</f>
        <v>R_Design</v>
      </c>
      <c r="AO283" s="241" t="str">
        <f>VLOOKUP(Table9[[#This Row],[Country Code]],Table29[],3,FALSE)</f>
        <v>Non-Annex I</v>
      </c>
      <c r="AP283" s="241" t="str">
        <f>VLOOKUP(Table9[[#This Row],[Country Code]],Table29[],4,FALSE)</f>
        <v>Africa</v>
      </c>
      <c r="AQ283" s="241" t="str">
        <f>VLOOKUP(Table9[[#This Row],[Country Code]],Table29[],5,FALSE)</f>
        <v>Low-income</v>
      </c>
      <c r="AR283" s="241" t="str">
        <f>VLOOKUP(Table9[[#This Row],[Country Code]],Table29[],6,FALSE)</f>
        <v>no</v>
      </c>
      <c r="AS283" s="241" t="str">
        <f>VLOOKUP(Table9[[#This Row],[Country Code]],Table29[],7,FALSE)</f>
        <v>no</v>
      </c>
      <c r="AT283" s="241" t="str">
        <f>VLOOKUP(Table9[[#This Row],[Country Code]],Table29[],8,FALSE)</f>
        <v>non-OECD</v>
      </c>
      <c r="AU283" s="233" t="str">
        <f>VLOOKUP(Table9[[#This Row],[Country Code]],Table29[],9,FALSE)</f>
        <v>no</v>
      </c>
      <c r="AV283" s="233" t="str">
        <f>VLOOKUP(Table9[[#This Row],[Country Code]],Table29[],10,FALSE)</f>
        <v>no</v>
      </c>
      <c r="AW283" s="233">
        <f>VLOOKUP(Table9[[#This Row],[Country Code]],Table29[],23,FALSE)</f>
        <v>0</v>
      </c>
      <c r="AX283" s="233">
        <f>VLOOKUP(Table9[[#This Row],[Country Code]],Table29[],24,FALSE)</f>
        <v>0</v>
      </c>
      <c r="AY283" s="43"/>
    </row>
    <row r="284" spans="1:51" ht="45" x14ac:dyDescent="0.25">
      <c r="A284" s="367">
        <v>17741</v>
      </c>
      <c r="B284" s="233" t="str">
        <f>VLOOKUP(Table9[[#This Row],[Document ID]],Table1[],2,FALSE)</f>
        <v>SSD</v>
      </c>
      <c r="C284" s="233" t="str">
        <f>VLOOKUP(Table9[[#This Row],[Document ID]],Table1[],3,FALSE)</f>
        <v>South Sudan</v>
      </c>
      <c r="D284" s="254" t="str">
        <f>VLOOKUP(Table9[[#This Row],[Document ID]],Table1[],5,FALSE)</f>
        <v>NDC</v>
      </c>
      <c r="E284" s="233" t="str">
        <f>VLOOKUP(Table9[[#This Row],[Document ID]],Table1[],7,FALSE)</f>
        <v>First NDC</v>
      </c>
      <c r="F284" s="241" t="str">
        <f>VLOOKUP(Table9[[#This Row],[Document ID]],Table1[],8,FALSE)</f>
        <v>NDC 1.0</v>
      </c>
      <c r="G284" s="241" t="str">
        <f>VLOOKUP(Table9[[#This Row],[Document ID]],Table1[],10,FALSE)</f>
        <v>Archived</v>
      </c>
      <c r="H284" s="44" t="s">
        <v>5086</v>
      </c>
      <c r="I284" s="43" t="s">
        <v>5087</v>
      </c>
      <c r="J284" s="44" t="s">
        <v>5357</v>
      </c>
      <c r="K284" s="221">
        <v>7</v>
      </c>
      <c r="L284" s="113" t="s">
        <v>1113</v>
      </c>
      <c r="M284" s="113"/>
      <c r="N284" s="113"/>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t="s">
        <v>1113</v>
      </c>
      <c r="AJ284" s="113"/>
      <c r="AK284" s="113"/>
      <c r="AL284" s="113"/>
      <c r="AM284" s="43" t="s">
        <v>5075</v>
      </c>
      <c r="AN284" s="233" t="str">
        <f>VLOOKUP(Table9[[#This Row],[Measure]],Table1025[[Value name]:[Value identifyer]],2,FALSE)</f>
        <v>R_Education</v>
      </c>
      <c r="AO284" s="241" t="str">
        <f>VLOOKUP(Table9[[#This Row],[Country Code]],Table29[],3,FALSE)</f>
        <v>Non-Annex I</v>
      </c>
      <c r="AP284" s="241" t="str">
        <f>VLOOKUP(Table9[[#This Row],[Country Code]],Table29[],4,FALSE)</f>
        <v>Africa</v>
      </c>
      <c r="AQ284" s="241" t="str">
        <f>VLOOKUP(Table9[[#This Row],[Country Code]],Table29[],5,FALSE)</f>
        <v>Low-income</v>
      </c>
      <c r="AR284" s="241" t="str">
        <f>VLOOKUP(Table9[[#This Row],[Country Code]],Table29[],6,FALSE)</f>
        <v>no</v>
      </c>
      <c r="AS284" s="241" t="str">
        <f>VLOOKUP(Table9[[#This Row],[Country Code]],Table29[],7,FALSE)</f>
        <v>no</v>
      </c>
      <c r="AT284" s="241" t="str">
        <f>VLOOKUP(Table9[[#This Row],[Country Code]],Table29[],8,FALSE)</f>
        <v>non-OECD</v>
      </c>
      <c r="AU284" s="233" t="str">
        <f>VLOOKUP(Table9[[#This Row],[Country Code]],Table29[],9,FALSE)</f>
        <v>no</v>
      </c>
      <c r="AV284" s="233" t="str">
        <f>VLOOKUP(Table9[[#This Row],[Country Code]],Table29[],10,FALSE)</f>
        <v>no</v>
      </c>
      <c r="AW284" s="233">
        <f>VLOOKUP(Table9[[#This Row],[Country Code]],Table29[],23,FALSE)</f>
        <v>0</v>
      </c>
      <c r="AX284" s="233">
        <f>VLOOKUP(Table9[[#This Row],[Country Code]],Table29[],24,FALSE)</f>
        <v>0</v>
      </c>
      <c r="AY284" s="43"/>
    </row>
    <row r="285" spans="1:51" ht="45" x14ac:dyDescent="0.25">
      <c r="A285" s="367">
        <v>17741</v>
      </c>
      <c r="B285" s="233" t="str">
        <f>VLOOKUP(Table9[[#This Row],[Document ID]],Table1[],2,FALSE)</f>
        <v>SSD</v>
      </c>
      <c r="C285" s="233" t="str">
        <f>VLOOKUP(Table9[[#This Row],[Document ID]],Table1[],3,FALSE)</f>
        <v>South Sudan</v>
      </c>
      <c r="D285" s="254" t="str">
        <f>VLOOKUP(Table9[[#This Row],[Document ID]],Table1[],5,FALSE)</f>
        <v>NDC</v>
      </c>
      <c r="E285" s="233" t="str">
        <f>VLOOKUP(Table9[[#This Row],[Document ID]],Table1[],7,FALSE)</f>
        <v>First NDC</v>
      </c>
      <c r="F285" s="241" t="str">
        <f>VLOOKUP(Table9[[#This Row],[Document ID]],Table1[],8,FALSE)</f>
        <v>NDC 1.0</v>
      </c>
      <c r="G285" s="241" t="str">
        <f>VLOOKUP(Table9[[#This Row],[Document ID]],Table1[],10,FALSE)</f>
        <v>Archived</v>
      </c>
      <c r="H285" s="44" t="s">
        <v>5072</v>
      </c>
      <c r="I285" s="43" t="s">
        <v>5082</v>
      </c>
      <c r="J285" s="44" t="s">
        <v>5358</v>
      </c>
      <c r="K285" s="221">
        <v>7</v>
      </c>
      <c r="L285" s="113" t="s">
        <v>1113</v>
      </c>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t="s">
        <v>1113</v>
      </c>
      <c r="AJ285" s="113"/>
      <c r="AK285" s="113"/>
      <c r="AL285" s="113"/>
      <c r="AM285" s="43" t="s">
        <v>5075</v>
      </c>
      <c r="AN285" s="233" t="str">
        <f>VLOOKUP(Table9[[#This Row],[Measure]],Table1025[[Value name]:[Value identifyer]],2,FALSE)</f>
        <v>R_Risk</v>
      </c>
      <c r="AO285" s="241" t="str">
        <f>VLOOKUP(Table9[[#This Row],[Country Code]],Table29[],3,FALSE)</f>
        <v>Non-Annex I</v>
      </c>
      <c r="AP285" s="241" t="str">
        <f>VLOOKUP(Table9[[#This Row],[Country Code]],Table29[],4,FALSE)</f>
        <v>Africa</v>
      </c>
      <c r="AQ285" s="241" t="str">
        <f>VLOOKUP(Table9[[#This Row],[Country Code]],Table29[],5,FALSE)</f>
        <v>Low-income</v>
      </c>
      <c r="AR285" s="241" t="str">
        <f>VLOOKUP(Table9[[#This Row],[Country Code]],Table29[],6,FALSE)</f>
        <v>no</v>
      </c>
      <c r="AS285" s="241" t="str">
        <f>VLOOKUP(Table9[[#This Row],[Country Code]],Table29[],7,FALSE)</f>
        <v>no</v>
      </c>
      <c r="AT285" s="241" t="str">
        <f>VLOOKUP(Table9[[#This Row],[Country Code]],Table29[],8,FALSE)</f>
        <v>non-OECD</v>
      </c>
      <c r="AU285" s="233" t="str">
        <f>VLOOKUP(Table9[[#This Row],[Country Code]],Table29[],9,FALSE)</f>
        <v>no</v>
      </c>
      <c r="AV285" s="233" t="str">
        <f>VLOOKUP(Table9[[#This Row],[Country Code]],Table29[],10,FALSE)</f>
        <v>no</v>
      </c>
      <c r="AW285" s="233">
        <f>VLOOKUP(Table9[[#This Row],[Country Code]],Table29[],23,FALSE)</f>
        <v>0</v>
      </c>
      <c r="AX285" s="233">
        <f>VLOOKUP(Table9[[#This Row],[Country Code]],Table29[],24,FALSE)</f>
        <v>0</v>
      </c>
      <c r="AY285" s="43"/>
    </row>
    <row r="286" spans="1:51" ht="30" x14ac:dyDescent="0.25">
      <c r="A286" s="367">
        <v>17741</v>
      </c>
      <c r="B286" s="233" t="str">
        <f>VLOOKUP(Table9[[#This Row],[Document ID]],Table1[],2,FALSE)</f>
        <v>SSD</v>
      </c>
      <c r="C286" s="233" t="str">
        <f>VLOOKUP(Table9[[#This Row],[Document ID]],Table1[],3,FALSE)</f>
        <v>South Sudan</v>
      </c>
      <c r="D286" s="254" t="str">
        <f>VLOOKUP(Table9[[#This Row],[Document ID]],Table1[],5,FALSE)</f>
        <v>NDC</v>
      </c>
      <c r="E286" s="233" t="str">
        <f>VLOOKUP(Table9[[#This Row],[Document ID]],Table1[],7,FALSE)</f>
        <v>First NDC</v>
      </c>
      <c r="F286" s="241" t="str">
        <f>VLOOKUP(Table9[[#This Row],[Document ID]],Table1[],8,FALSE)</f>
        <v>NDC 1.0</v>
      </c>
      <c r="G286" s="241" t="str">
        <f>VLOOKUP(Table9[[#This Row],[Document ID]],Table1[],10,FALSE)</f>
        <v>Archived</v>
      </c>
      <c r="H286" s="44" t="s">
        <v>5086</v>
      </c>
      <c r="I286" s="43" t="s">
        <v>5130</v>
      </c>
      <c r="J286" s="44" t="s">
        <v>5359</v>
      </c>
      <c r="K286" s="221">
        <v>7</v>
      </c>
      <c r="L286" s="113" t="s">
        <v>1113</v>
      </c>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t="s">
        <v>1113</v>
      </c>
      <c r="AJ286" s="113"/>
      <c r="AK286" s="113"/>
      <c r="AL286" s="113"/>
      <c r="AM286" s="43" t="s">
        <v>5075</v>
      </c>
      <c r="AN286" s="233" t="str">
        <f>VLOOKUP(Table9[[#This Row],[Measure]],Table1025[[Value name]:[Value identifyer]],2,FALSE)</f>
        <v>R_Monitoring</v>
      </c>
      <c r="AO286" s="241" t="str">
        <f>VLOOKUP(Table9[[#This Row],[Country Code]],Table29[],3,FALSE)</f>
        <v>Non-Annex I</v>
      </c>
      <c r="AP286" s="241" t="str">
        <f>VLOOKUP(Table9[[#This Row],[Country Code]],Table29[],4,FALSE)</f>
        <v>Africa</v>
      </c>
      <c r="AQ286" s="241" t="str">
        <f>VLOOKUP(Table9[[#This Row],[Country Code]],Table29[],5,FALSE)</f>
        <v>Low-income</v>
      </c>
      <c r="AR286" s="241" t="str">
        <f>VLOOKUP(Table9[[#This Row],[Country Code]],Table29[],6,FALSE)</f>
        <v>no</v>
      </c>
      <c r="AS286" s="241" t="str">
        <f>VLOOKUP(Table9[[#This Row],[Country Code]],Table29[],7,FALSE)</f>
        <v>no</v>
      </c>
      <c r="AT286" s="241" t="str">
        <f>VLOOKUP(Table9[[#This Row],[Country Code]],Table29[],8,FALSE)</f>
        <v>non-OECD</v>
      </c>
      <c r="AU286" s="233" t="str">
        <f>VLOOKUP(Table9[[#This Row],[Country Code]],Table29[],9,FALSE)</f>
        <v>no</v>
      </c>
      <c r="AV286" s="233" t="str">
        <f>VLOOKUP(Table9[[#This Row],[Country Code]],Table29[],10,FALSE)</f>
        <v>no</v>
      </c>
      <c r="AW286" s="233">
        <f>VLOOKUP(Table9[[#This Row],[Country Code]],Table29[],23,FALSE)</f>
        <v>0</v>
      </c>
      <c r="AX286" s="233">
        <f>VLOOKUP(Table9[[#This Row],[Country Code]],Table29[],24,FALSE)</f>
        <v>0</v>
      </c>
      <c r="AY286" s="43"/>
    </row>
    <row r="287" spans="1:51" ht="45" x14ac:dyDescent="0.25">
      <c r="A287" s="367">
        <v>17741</v>
      </c>
      <c r="B287" s="233" t="str">
        <f>VLOOKUP(Table9[[#This Row],[Document ID]],Table1[],2,FALSE)</f>
        <v>SSD</v>
      </c>
      <c r="C287" s="233" t="str">
        <f>VLOOKUP(Table9[[#This Row],[Document ID]],Table1[],3,FALSE)</f>
        <v>South Sudan</v>
      </c>
      <c r="D287" s="328" t="str">
        <f>VLOOKUP(Table9[[#This Row],[Document ID]],Table1[],5,FALSE)</f>
        <v>NDC</v>
      </c>
      <c r="E287" s="233" t="str">
        <f>VLOOKUP(Table9[[#This Row],[Document ID]],Table1[],7,FALSE)</f>
        <v>First NDC</v>
      </c>
      <c r="F287" s="328" t="str">
        <f>VLOOKUP(Table9[[#This Row],[Document ID]],Table1[],8,FALSE)</f>
        <v>NDC 1.0</v>
      </c>
      <c r="G287" s="328" t="str">
        <f>VLOOKUP(Table9[[#This Row],[Document ID]],Table1[],10,FALSE)</f>
        <v>Archived</v>
      </c>
      <c r="H287" s="44" t="s">
        <v>5072</v>
      </c>
      <c r="I287" s="43" t="s">
        <v>5097</v>
      </c>
      <c r="J287" s="209" t="s">
        <v>5360</v>
      </c>
      <c r="K287" s="257" t="s">
        <v>5081</v>
      </c>
      <c r="L287" s="326"/>
      <c r="M287" s="326"/>
      <c r="N287" s="326"/>
      <c r="O287" s="326"/>
      <c r="P287" s="326"/>
      <c r="Q287" s="326" t="s">
        <v>1113</v>
      </c>
      <c r="R287" s="326"/>
      <c r="S287" s="326"/>
      <c r="T287" s="326"/>
      <c r="U287" s="326"/>
      <c r="V287" s="326"/>
      <c r="W287" s="326"/>
      <c r="X287" s="326"/>
      <c r="Y287" s="326"/>
      <c r="Z287" s="326"/>
      <c r="AA287" s="326"/>
      <c r="AB287" s="326"/>
      <c r="AC287" s="326"/>
      <c r="AD287" s="326"/>
      <c r="AE287" s="326"/>
      <c r="AF287" s="326"/>
      <c r="AG287" s="326"/>
      <c r="AH287" s="326"/>
      <c r="AI287" s="326" t="s">
        <v>1113</v>
      </c>
      <c r="AJ287" s="326"/>
      <c r="AK287" s="326"/>
      <c r="AL287" s="326"/>
      <c r="AM287" s="327" t="s">
        <v>5215</v>
      </c>
      <c r="AN287" s="233" t="str">
        <f>VLOOKUP(Table9[[#This Row],[Measure]],Table1025[[Value name]:[Value identifyer]],2,FALSE)</f>
        <v>R_Tech</v>
      </c>
      <c r="AO287" s="241" t="str">
        <f>VLOOKUP(Table9[[#This Row],[Country Code]],Table29[],3,FALSE)</f>
        <v>Non-Annex I</v>
      </c>
      <c r="AP287" s="241" t="str">
        <f>VLOOKUP(Table9[[#This Row],[Country Code]],Table29[],4,FALSE)</f>
        <v>Africa</v>
      </c>
      <c r="AQ287" s="241" t="str">
        <f>VLOOKUP(Table9[[#This Row],[Country Code]],Table29[],5,FALSE)</f>
        <v>Low-income</v>
      </c>
      <c r="AR287" s="241" t="str">
        <f>VLOOKUP(Table9[[#This Row],[Country Code]],Table29[],6,FALSE)</f>
        <v>no</v>
      </c>
      <c r="AS287" s="241" t="str">
        <f>VLOOKUP(Table9[[#This Row],[Country Code]],Table29[],7,FALSE)</f>
        <v>no</v>
      </c>
      <c r="AT287" s="241" t="str">
        <f>VLOOKUP(Table9[[#This Row],[Country Code]],Table29[],8,FALSE)</f>
        <v>non-OECD</v>
      </c>
      <c r="AU287" s="233" t="str">
        <f>VLOOKUP(Table9[[#This Row],[Country Code]],Table29[],9,FALSE)</f>
        <v>no</v>
      </c>
      <c r="AV287" s="233" t="str">
        <f>VLOOKUP(Table9[[#This Row],[Country Code]],Table29[],10,FALSE)</f>
        <v>no</v>
      </c>
      <c r="AW287" s="233">
        <f>VLOOKUP(Table9[[#This Row],[Country Code]],Table29[],23,FALSE)</f>
        <v>0</v>
      </c>
      <c r="AX287" s="233">
        <f>VLOOKUP(Table9[[#This Row],[Country Code]],Table29[],24,FALSE)</f>
        <v>0</v>
      </c>
      <c r="AY287" s="43"/>
    </row>
    <row r="288" spans="1:51" ht="30" x14ac:dyDescent="0.25">
      <c r="A288" s="367">
        <v>39449</v>
      </c>
      <c r="B288" s="233" t="str">
        <f>VLOOKUP(Table9[[#This Row],[Document ID]],Table1[],2,FALSE)</f>
        <v>LKA</v>
      </c>
      <c r="C288" s="233" t="str">
        <f>VLOOKUP(Table9[[#This Row],[Document ID]],Table1[],3,FALSE)</f>
        <v>Sri Lanka</v>
      </c>
      <c r="D288" s="254" t="str">
        <f>VLOOKUP(Table9[[#This Row],[Document ID]],Table1[],5,FALSE)</f>
        <v>LTS</v>
      </c>
      <c r="E288" s="233" t="str">
        <f>VLOOKUP(Table9[[#This Row],[Document ID]],Table1[],7,FALSE)</f>
        <v>LTS</v>
      </c>
      <c r="F288" s="241" t="str">
        <f>VLOOKUP(Table9[[#This Row],[Document ID]],Table1[],8,FALSE)</f>
        <v>LTS 1.0</v>
      </c>
      <c r="G288" s="241" t="str">
        <f>VLOOKUP(Table9[[#This Row],[Document ID]],Table1[],10,FALSE)</f>
        <v>Active</v>
      </c>
      <c r="H288" s="44" t="s">
        <v>5072</v>
      </c>
      <c r="I288" s="43" t="s">
        <v>5073</v>
      </c>
      <c r="J288" s="209" t="s">
        <v>4505</v>
      </c>
      <c r="K288" s="259">
        <v>15</v>
      </c>
      <c r="L288" s="219" t="s">
        <v>1113</v>
      </c>
      <c r="M288" s="219"/>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219" t="s">
        <v>1113</v>
      </c>
      <c r="AJ288" s="326"/>
      <c r="AK288" s="326"/>
      <c r="AL288" s="326"/>
      <c r="AM288" s="43" t="s">
        <v>5075</v>
      </c>
      <c r="AN288" s="233" t="str">
        <f>VLOOKUP(Table9[[#This Row],[Measure]],Table1025[[Value name]:[Value identifyer]],2,FALSE)</f>
        <v>R_System</v>
      </c>
      <c r="AO288" s="241" t="str">
        <f>VLOOKUP(Table9[[#This Row],[Country Code]],Table29[],3,FALSE)</f>
        <v>Non-Annex I</v>
      </c>
      <c r="AP288" s="241" t="str">
        <f>VLOOKUP(Table9[[#This Row],[Country Code]],Table29[],4,FALSE)</f>
        <v>Asia</v>
      </c>
      <c r="AQ288" s="241" t="str">
        <f>VLOOKUP(Table9[[#This Row],[Country Code]],Table29[],5,FALSE)</f>
        <v>Middle-income</v>
      </c>
      <c r="AR288" s="241" t="str">
        <f>VLOOKUP(Table9[[#This Row],[Country Code]],Table29[],6,FALSE)</f>
        <v>no</v>
      </c>
      <c r="AS288" s="241" t="str">
        <f>VLOOKUP(Table9[[#This Row],[Country Code]],Table29[],7,FALSE)</f>
        <v>no</v>
      </c>
      <c r="AT288" s="241" t="str">
        <f>VLOOKUP(Table9[[#This Row],[Country Code]],Table29[],8,FALSE)</f>
        <v>non-OECD</v>
      </c>
      <c r="AU288" s="233" t="str">
        <f>VLOOKUP(Table9[[#This Row],[Country Code]],Table29[],9,FALSE)</f>
        <v>no</v>
      </c>
      <c r="AV288" s="233" t="str">
        <f>VLOOKUP(Table9[[#This Row],[Country Code]],Table29[],10,FALSE)</f>
        <v>no</v>
      </c>
      <c r="AW288" s="233">
        <f>VLOOKUP(Table9[[#This Row],[Country Code]],Table29[],23,FALSE)</f>
        <v>38.403849844142002</v>
      </c>
      <c r="AX288" s="233">
        <f>VLOOKUP(Table9[[#This Row],[Country Code]],Table29[],24,FALSE)</f>
        <v>9.6330858743096854</v>
      </c>
      <c r="AY288" s="43"/>
    </row>
    <row r="289" spans="1:51" ht="15" customHeight="1" x14ac:dyDescent="0.25">
      <c r="A289" s="360">
        <v>17748</v>
      </c>
      <c r="B289" s="233" t="str">
        <f>VLOOKUP(Table9[[#This Row],[Document ID]],Table1[],2,FALSE)</f>
        <v>SUR</v>
      </c>
      <c r="C289" s="233" t="str">
        <f>VLOOKUP(Table9[[#This Row],[Document ID]],Table1[],3,FALSE)</f>
        <v>Suriname</v>
      </c>
      <c r="D289" s="233" t="str">
        <f>VLOOKUP(Table9[[#This Row],[Document ID]],Table1[],5,FALSE)</f>
        <v>NDC</v>
      </c>
      <c r="E289" s="233" t="str">
        <f>VLOOKUP(Table9[[#This Row],[Document ID]],Table1[],7,FALSE)</f>
        <v>Second NDC</v>
      </c>
      <c r="F289" s="233" t="str">
        <f>VLOOKUP(Table9[[#This Row],[Document ID]],Table1[],8,FALSE)</f>
        <v>NDC 2.0</v>
      </c>
      <c r="G289" s="233" t="str">
        <f>VLOOKUP(Table9[[#This Row],[Document ID]],Table1[],10,FALSE)</f>
        <v>Active</v>
      </c>
      <c r="H289" s="44" t="s">
        <v>5072</v>
      </c>
      <c r="I289" s="43" t="s">
        <v>5073</v>
      </c>
      <c r="J289" s="44" t="s">
        <v>5361</v>
      </c>
      <c r="K289" s="221">
        <v>19</v>
      </c>
      <c r="L289" s="113"/>
      <c r="M289" s="113"/>
      <c r="N289" s="113"/>
      <c r="O289" s="113"/>
      <c r="P289" s="113"/>
      <c r="Q289" s="113" t="s">
        <v>1113</v>
      </c>
      <c r="R289" s="113"/>
      <c r="S289" s="113"/>
      <c r="T289" s="113"/>
      <c r="U289" s="113"/>
      <c r="V289" s="113"/>
      <c r="W289" s="113"/>
      <c r="X289" s="113"/>
      <c r="Y289" s="113"/>
      <c r="Z289" s="113"/>
      <c r="AA289" s="113"/>
      <c r="AB289" s="113"/>
      <c r="AC289" s="113"/>
      <c r="AD289" s="113"/>
      <c r="AE289" s="113"/>
      <c r="AF289" s="113" t="s">
        <v>1691</v>
      </c>
      <c r="AG289" s="113"/>
      <c r="AH289" s="113"/>
      <c r="AI289" s="113" t="s">
        <v>1113</v>
      </c>
      <c r="AJ289" s="113"/>
      <c r="AK289" s="113"/>
      <c r="AL289" s="113"/>
      <c r="AM289" s="43" t="s">
        <v>5075</v>
      </c>
      <c r="AN289" s="233" t="str">
        <f>VLOOKUP(Table9[[#This Row],[Measure]],Table1025[[Value name]:[Value identifyer]],2,FALSE)</f>
        <v>R_System</v>
      </c>
      <c r="AO289" s="241" t="str">
        <f>VLOOKUP(Table9[[#This Row],[Country Code]],Table29[],3,FALSE)</f>
        <v>Non-Annex I</v>
      </c>
      <c r="AP289" s="241" t="str">
        <f>VLOOKUP(Table9[[#This Row],[Country Code]],Table29[],4,FALSE)</f>
        <v>Latin America and the Caribbean</v>
      </c>
      <c r="AQ289" s="241" t="str">
        <f>VLOOKUP(Table9[[#This Row],[Country Code]],Table29[],5,FALSE)</f>
        <v>Middle-income</v>
      </c>
      <c r="AR289" s="241" t="str">
        <f>VLOOKUP(Table9[[#This Row],[Country Code]],Table29[],6,FALSE)</f>
        <v>no</v>
      </c>
      <c r="AS289" s="241" t="str">
        <f>VLOOKUP(Table9[[#This Row],[Country Code]],Table29[],7,FALSE)</f>
        <v>no</v>
      </c>
      <c r="AT289" s="241" t="str">
        <f>VLOOKUP(Table9[[#This Row],[Country Code]],Table29[],8,FALSE)</f>
        <v>non-OECD</v>
      </c>
      <c r="AU289" s="233" t="str">
        <f>VLOOKUP(Table9[[#This Row],[Country Code]],Table29[],9,FALSE)</f>
        <v>no</v>
      </c>
      <c r="AV289" s="233" t="str">
        <f>VLOOKUP(Table9[[#This Row],[Country Code]],Table29[],10,FALSE)</f>
        <v>no</v>
      </c>
      <c r="AW289" s="233">
        <f>VLOOKUP(Table9[[#This Row],[Country Code]],Table29[],23,FALSE)</f>
        <v>3.7377177696646</v>
      </c>
      <c r="AX289" s="233">
        <f>VLOOKUP(Table9[[#This Row],[Country Code]],Table29[],24,FALSE)</f>
        <v>0.84541140960197392</v>
      </c>
      <c r="AY289" s="43"/>
    </row>
    <row r="290" spans="1:51" ht="15" customHeight="1" x14ac:dyDescent="0.25">
      <c r="A290" s="360">
        <v>17748</v>
      </c>
      <c r="B290" s="233" t="str">
        <f>VLOOKUP(Table9[[#This Row],[Document ID]],Table1[],2,FALSE)</f>
        <v>SUR</v>
      </c>
      <c r="C290" s="233" t="str">
        <f>VLOOKUP(Table9[[#This Row],[Document ID]],Table1[],3,FALSE)</f>
        <v>Suriname</v>
      </c>
      <c r="D290" s="233" t="str">
        <f>VLOOKUP(Table9[[#This Row],[Document ID]],Table1[],5,FALSE)</f>
        <v>NDC</v>
      </c>
      <c r="E290" s="233" t="str">
        <f>VLOOKUP(Table9[[#This Row],[Document ID]],Table1[],7,FALSE)</f>
        <v>Second NDC</v>
      </c>
      <c r="F290" s="233" t="str">
        <f>VLOOKUP(Table9[[#This Row],[Document ID]],Table1[],8,FALSE)</f>
        <v>NDC 2.0</v>
      </c>
      <c r="G290" s="233" t="str">
        <f>VLOOKUP(Table9[[#This Row],[Document ID]],Table1[],10,FALSE)</f>
        <v>Active</v>
      </c>
      <c r="H290" s="44" t="s">
        <v>5076</v>
      </c>
      <c r="I290" s="43" t="s">
        <v>5089</v>
      </c>
      <c r="J290" s="44" t="s">
        <v>5362</v>
      </c>
      <c r="K290" s="221">
        <v>18</v>
      </c>
      <c r="L290" s="113" t="s">
        <v>1113</v>
      </c>
      <c r="M290" s="113"/>
      <c r="N290" s="113"/>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t="s">
        <v>1113</v>
      </c>
      <c r="AJ290" s="113"/>
      <c r="AK290" s="113"/>
      <c r="AL290" s="113"/>
      <c r="AM290" s="43" t="s">
        <v>5075</v>
      </c>
      <c r="AN290" s="233" t="str">
        <f>VLOOKUP(Table9[[#This Row],[Measure]],Table1025[[Value name]:[Value identifyer]],2,FALSE)</f>
        <v>R_Design</v>
      </c>
      <c r="AO290" s="241" t="str">
        <f>VLOOKUP(Table9[[#This Row],[Country Code]],Table29[],3,FALSE)</f>
        <v>Non-Annex I</v>
      </c>
      <c r="AP290" s="241" t="str">
        <f>VLOOKUP(Table9[[#This Row],[Country Code]],Table29[],4,FALSE)</f>
        <v>Latin America and the Caribbean</v>
      </c>
      <c r="AQ290" s="241" t="str">
        <f>VLOOKUP(Table9[[#This Row],[Country Code]],Table29[],5,FALSE)</f>
        <v>Middle-income</v>
      </c>
      <c r="AR290" s="241" t="str">
        <f>VLOOKUP(Table9[[#This Row],[Country Code]],Table29[],6,FALSE)</f>
        <v>no</v>
      </c>
      <c r="AS290" s="241" t="str">
        <f>VLOOKUP(Table9[[#This Row],[Country Code]],Table29[],7,FALSE)</f>
        <v>no</v>
      </c>
      <c r="AT290" s="241" t="str">
        <f>VLOOKUP(Table9[[#This Row],[Country Code]],Table29[],8,FALSE)</f>
        <v>non-OECD</v>
      </c>
      <c r="AU290" s="233" t="str">
        <f>VLOOKUP(Table9[[#This Row],[Country Code]],Table29[],9,FALSE)</f>
        <v>no</v>
      </c>
      <c r="AV290" s="233" t="str">
        <f>VLOOKUP(Table9[[#This Row],[Country Code]],Table29[],10,FALSE)</f>
        <v>no</v>
      </c>
      <c r="AW290" s="233">
        <f>VLOOKUP(Table9[[#This Row],[Country Code]],Table29[],23,FALSE)</f>
        <v>3.7377177696646</v>
      </c>
      <c r="AX290" s="233">
        <f>VLOOKUP(Table9[[#This Row],[Country Code]],Table29[],24,FALSE)</f>
        <v>0.84541140960197392</v>
      </c>
      <c r="AY290" s="43"/>
    </row>
    <row r="291" spans="1:51" ht="15" customHeight="1" x14ac:dyDescent="0.25">
      <c r="A291" s="360">
        <v>17754</v>
      </c>
      <c r="B291" s="233" t="str">
        <f>VLOOKUP(Table9[[#This Row],[Document ID]],Table1[],2,FALSE)</f>
        <v>CHE</v>
      </c>
      <c r="C291" s="233" t="str">
        <f>VLOOKUP(Table9[[#This Row],[Document ID]],Table1[],3,FALSE)</f>
        <v>Switzerland</v>
      </c>
      <c r="D291" s="233" t="str">
        <f>VLOOKUP(Table9[[#This Row],[Document ID]],Table1[],5,FALSE)</f>
        <v>NDC</v>
      </c>
      <c r="E291" s="233" t="str">
        <f>VLOOKUP(Table9[[#This Row],[Document ID]],Table1[],7,FALSE)</f>
        <v>First NDC updated</v>
      </c>
      <c r="F291" s="233" t="str">
        <f>VLOOKUP(Table9[[#This Row],[Document ID]],Table1[],8,FALSE)</f>
        <v>NDC 1.1</v>
      </c>
      <c r="G291" s="233" t="str">
        <f>VLOOKUP(Table9[[#This Row],[Document ID]],Table1[],10,FALSE)</f>
        <v>Archived</v>
      </c>
      <c r="H291" s="44" t="s">
        <v>5072</v>
      </c>
      <c r="I291" s="43" t="s">
        <v>5073</v>
      </c>
      <c r="J291" s="44" t="s">
        <v>5363</v>
      </c>
      <c r="K291" s="221">
        <v>20</v>
      </c>
      <c r="L291" s="113" t="s">
        <v>1113</v>
      </c>
      <c r="M291" s="113"/>
      <c r="N291" s="113"/>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t="s">
        <v>1113</v>
      </c>
      <c r="AJ291" s="113"/>
      <c r="AK291" s="113"/>
      <c r="AL291" s="113"/>
      <c r="AM291" s="43" t="s">
        <v>5075</v>
      </c>
      <c r="AN291" s="233" t="str">
        <f>VLOOKUP(Table9[[#This Row],[Measure]],Table1025[[Value name]:[Value identifyer]],2,FALSE)</f>
        <v>R_System</v>
      </c>
      <c r="AO291" s="241" t="str">
        <f>VLOOKUP(Table9[[#This Row],[Country Code]],Table29[],3,FALSE)</f>
        <v>Annex I</v>
      </c>
      <c r="AP291" s="241" t="str">
        <f>VLOOKUP(Table9[[#This Row],[Country Code]],Table29[],4,FALSE)</f>
        <v>Europe</v>
      </c>
      <c r="AQ291" s="241" t="str">
        <f>VLOOKUP(Table9[[#This Row],[Country Code]],Table29[],5,FALSE)</f>
        <v>High-income</v>
      </c>
      <c r="AR291" s="241" t="str">
        <f>VLOOKUP(Table9[[#This Row],[Country Code]],Table29[],6,FALSE)</f>
        <v>no</v>
      </c>
      <c r="AS291" s="241" t="str">
        <f>VLOOKUP(Table9[[#This Row],[Country Code]],Table29[],7,FALSE)</f>
        <v>no</v>
      </c>
      <c r="AT291" s="241" t="str">
        <f>VLOOKUP(Table9[[#This Row],[Country Code]],Table29[],8,FALSE)</f>
        <v>OECD</v>
      </c>
      <c r="AU291" s="233" t="str">
        <f>VLOOKUP(Table9[[#This Row],[Country Code]],Table29[],9,FALSE)</f>
        <v>no</v>
      </c>
      <c r="AV291" s="233" t="str">
        <f>VLOOKUP(Table9[[#This Row],[Country Code]],Table29[],10,FALSE)</f>
        <v>no</v>
      </c>
      <c r="AW291" s="233">
        <f>VLOOKUP(Table9[[#This Row],[Country Code]],Table29[],23,FALSE)</f>
        <v>43.446393813877002</v>
      </c>
      <c r="AX291" s="233">
        <f>VLOOKUP(Table9[[#This Row],[Country Code]],Table29[],24,FALSE)</f>
        <v>14.82381986485206</v>
      </c>
      <c r="AY291" s="43"/>
    </row>
    <row r="292" spans="1:51" ht="15" customHeight="1" x14ac:dyDescent="0.25">
      <c r="A292" s="368">
        <v>32517</v>
      </c>
      <c r="B292" s="233" t="str">
        <f>VLOOKUP(Table9[[#This Row],[Document ID]],Table1[],2,FALSE)</f>
        <v>SYR</v>
      </c>
      <c r="C292" s="233" t="str">
        <f>VLOOKUP(Table9[[#This Row],[Document ID]],Table1[],3,FALSE)</f>
        <v>Syrian Arab Republic</v>
      </c>
      <c r="D292" s="241" t="str">
        <f>VLOOKUP(Table9[[#This Row],[Document ID]],Table1[],5,FALSE)</f>
        <v>NDC</v>
      </c>
      <c r="E292" s="233" t="str">
        <f>VLOOKUP(Table9[[#This Row],[Document ID]],Table1[],7,FALSE)</f>
        <v>First NDC</v>
      </c>
      <c r="F292" s="241" t="str">
        <f>VLOOKUP(Table9[[#This Row],[Document ID]],Table1[],8,FALSE)</f>
        <v>NDC 1.0</v>
      </c>
      <c r="G292" s="241" t="str">
        <f>VLOOKUP(Table9[[#This Row],[Document ID]],Table1[],10,FALSE)</f>
        <v>Active</v>
      </c>
      <c r="H292" s="44" t="s">
        <v>5072</v>
      </c>
      <c r="I292" s="43" t="s">
        <v>5073</v>
      </c>
      <c r="J292" s="209" t="s">
        <v>5364</v>
      </c>
      <c r="K292" s="259">
        <v>13</v>
      </c>
      <c r="L292" s="219"/>
      <c r="M292" s="219"/>
      <c r="N292" s="113"/>
      <c r="O292" s="113"/>
      <c r="P292" s="113"/>
      <c r="Q292" s="113" t="s">
        <v>1113</v>
      </c>
      <c r="R292" s="113"/>
      <c r="S292" s="113"/>
      <c r="T292" s="113"/>
      <c r="U292" s="113"/>
      <c r="V292" s="113"/>
      <c r="W292" s="113"/>
      <c r="X292" s="113"/>
      <c r="Y292" s="113"/>
      <c r="Z292" s="113"/>
      <c r="AA292" s="113"/>
      <c r="AB292" s="113"/>
      <c r="AC292" s="113"/>
      <c r="AD292" s="113"/>
      <c r="AE292" s="113"/>
      <c r="AF292" s="113"/>
      <c r="AG292" s="113"/>
      <c r="AH292" s="113"/>
      <c r="AI292" s="219" t="s">
        <v>1113</v>
      </c>
      <c r="AJ292" s="326"/>
      <c r="AK292" s="326"/>
      <c r="AL292" s="326"/>
      <c r="AM292" s="327" t="s">
        <v>5075</v>
      </c>
      <c r="AN292" s="233" t="str">
        <f>VLOOKUP(Table9[[#This Row],[Measure]],Table1025[[Value name]:[Value identifyer]],2,FALSE)</f>
        <v>R_System</v>
      </c>
      <c r="AO292" s="241" t="str">
        <f>VLOOKUP(Table9[[#This Row],[Country Code]],Table29[],3,FALSE)</f>
        <v>Non-Annex I</v>
      </c>
      <c r="AP292" s="241" t="str">
        <f>VLOOKUP(Table9[[#This Row],[Country Code]],Table29[],4,FALSE)</f>
        <v>Asia</v>
      </c>
      <c r="AQ292" s="241" t="str">
        <f>VLOOKUP(Table9[[#This Row],[Country Code]],Table29[],5,FALSE)</f>
        <v>Low-income</v>
      </c>
      <c r="AR292" s="241" t="str">
        <f>VLOOKUP(Table9[[#This Row],[Country Code]],Table29[],6,FALSE)</f>
        <v>no</v>
      </c>
      <c r="AS292" s="241" t="str">
        <f>VLOOKUP(Table9[[#This Row],[Country Code]],Table29[],7,FALSE)</f>
        <v>no</v>
      </c>
      <c r="AT292" s="241" t="str">
        <f>VLOOKUP(Table9[[#This Row],[Country Code]],Table29[],8,FALSE)</f>
        <v>non-OECD</v>
      </c>
      <c r="AU292" s="233" t="str">
        <f>VLOOKUP(Table9[[#This Row],[Country Code]],Table29[],9,FALSE)</f>
        <v>no</v>
      </c>
      <c r="AV292" s="233" t="str">
        <f>VLOOKUP(Table9[[#This Row],[Country Code]],Table29[],10,FALSE)</f>
        <v>MENA</v>
      </c>
      <c r="AW292" s="233">
        <f>VLOOKUP(Table9[[#This Row],[Country Code]],Table29[],23,FALSE)</f>
        <v>41.210582544010002</v>
      </c>
      <c r="AX292" s="233">
        <f>VLOOKUP(Table9[[#This Row],[Country Code]],Table29[],24,FALSE)</f>
        <v>5.0388809125595868</v>
      </c>
      <c r="AY292" s="43"/>
    </row>
    <row r="293" spans="1:51" ht="15" customHeight="1" x14ac:dyDescent="0.25">
      <c r="A293" s="367">
        <v>17756</v>
      </c>
      <c r="B293" s="233" t="str">
        <f>VLOOKUP(Table9[[#This Row],[Document ID]],Table1[],2,FALSE)</f>
        <v>TJK</v>
      </c>
      <c r="C293" s="233" t="str">
        <f>VLOOKUP(Table9[[#This Row],[Document ID]],Table1[],3,FALSE)</f>
        <v>Tajikistan</v>
      </c>
      <c r="D293" s="328" t="str">
        <f>VLOOKUP(Table9[[#This Row],[Document ID]],Table1[],5,FALSE)</f>
        <v>NDC</v>
      </c>
      <c r="E293" s="233" t="str">
        <f>VLOOKUP(Table9[[#This Row],[Document ID]],Table1[],7,FALSE)</f>
        <v>First NDC</v>
      </c>
      <c r="F293" s="328" t="str">
        <f>VLOOKUP(Table9[[#This Row],[Document ID]],Table1[],8,FALSE)</f>
        <v>NDC 1.0</v>
      </c>
      <c r="G293" s="328" t="str">
        <f>VLOOKUP(Table9[[#This Row],[Document ID]],Table1[],10,FALSE)</f>
        <v>Archived</v>
      </c>
      <c r="H293" s="44" t="s">
        <v>5076</v>
      </c>
      <c r="I293" s="43" t="s">
        <v>5077</v>
      </c>
      <c r="J293" s="209" t="s">
        <v>5365</v>
      </c>
      <c r="K293" s="257" t="s">
        <v>5081</v>
      </c>
      <c r="L293" s="326" t="s">
        <v>1113</v>
      </c>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c r="AI293" s="326" t="s">
        <v>1113</v>
      </c>
      <c r="AJ293" s="326"/>
      <c r="AK293" s="326"/>
      <c r="AL293" s="326"/>
      <c r="AM293" s="327" t="s">
        <v>5075</v>
      </c>
      <c r="AN293" s="233" t="str">
        <f>VLOOKUP(Table9[[#This Row],[Measure]],Table1025[[Value name]:[Value identifyer]],2,FALSE)</f>
        <v>R_Planning</v>
      </c>
      <c r="AO293" s="241" t="str">
        <f>VLOOKUP(Table9[[#This Row],[Country Code]],Table29[],3,FALSE)</f>
        <v>Non-Annex I</v>
      </c>
      <c r="AP293" s="241" t="str">
        <f>VLOOKUP(Table9[[#This Row],[Country Code]],Table29[],4,FALSE)</f>
        <v>Asia</v>
      </c>
      <c r="AQ293" s="241" t="str">
        <f>VLOOKUP(Table9[[#This Row],[Country Code]],Table29[],5,FALSE)</f>
        <v>Middle-income</v>
      </c>
      <c r="AR293" s="241" t="str">
        <f>VLOOKUP(Table9[[#This Row],[Country Code]],Table29[],6,FALSE)</f>
        <v>no</v>
      </c>
      <c r="AS293" s="241" t="str">
        <f>VLOOKUP(Table9[[#This Row],[Country Code]],Table29[],7,FALSE)</f>
        <v>no</v>
      </c>
      <c r="AT293" s="241" t="str">
        <f>VLOOKUP(Table9[[#This Row],[Country Code]],Table29[],8,FALSE)</f>
        <v>non-OECD</v>
      </c>
      <c r="AU293" s="233" t="str">
        <f>VLOOKUP(Table9[[#This Row],[Country Code]],Table29[],9,FALSE)</f>
        <v>no</v>
      </c>
      <c r="AV293" s="233" t="str">
        <f>VLOOKUP(Table9[[#This Row],[Country Code]],Table29[],10,FALSE)</f>
        <v>no</v>
      </c>
      <c r="AW293" s="233">
        <f>VLOOKUP(Table9[[#This Row],[Country Code]],Table29[],23,FALSE)</f>
        <v>21.438119694097999</v>
      </c>
      <c r="AX293" s="233">
        <f>VLOOKUP(Table9[[#This Row],[Country Code]],Table29[],24,FALSE)</f>
        <v>1.9934951501956819</v>
      </c>
      <c r="AY293" s="43"/>
    </row>
    <row r="294" spans="1:51" ht="15" customHeight="1" x14ac:dyDescent="0.25">
      <c r="A294" s="367">
        <v>17756</v>
      </c>
      <c r="B294" s="233" t="str">
        <f>VLOOKUP(Table9[[#This Row],[Document ID]],Table1[],2,FALSE)</f>
        <v>TJK</v>
      </c>
      <c r="C294" s="233" t="str">
        <f>VLOOKUP(Table9[[#This Row],[Document ID]],Table1[],3,FALSE)</f>
        <v>Tajikistan</v>
      </c>
      <c r="D294" s="328" t="str">
        <f>VLOOKUP(Table9[[#This Row],[Document ID]],Table1[],5,FALSE)</f>
        <v>NDC</v>
      </c>
      <c r="E294" s="233" t="str">
        <f>VLOOKUP(Table9[[#This Row],[Document ID]],Table1[],7,FALSE)</f>
        <v>First NDC</v>
      </c>
      <c r="F294" s="328" t="str">
        <f>VLOOKUP(Table9[[#This Row],[Document ID]],Table1[],8,FALSE)</f>
        <v>NDC 1.0</v>
      </c>
      <c r="G294" s="328" t="str">
        <f>VLOOKUP(Table9[[#This Row],[Document ID]],Table1[],10,FALSE)</f>
        <v>Archived</v>
      </c>
      <c r="H294" s="44" t="s">
        <v>5072</v>
      </c>
      <c r="I294" s="43" t="s">
        <v>5073</v>
      </c>
      <c r="J294" s="209" t="s">
        <v>5365</v>
      </c>
      <c r="K294" s="257" t="s">
        <v>5081</v>
      </c>
      <c r="L294" s="326" t="s">
        <v>1113</v>
      </c>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326" t="s">
        <v>1113</v>
      </c>
      <c r="AJ294" s="326"/>
      <c r="AK294" s="326"/>
      <c r="AL294" s="326"/>
      <c r="AM294" s="327" t="s">
        <v>5075</v>
      </c>
      <c r="AN294" s="233" t="str">
        <f>VLOOKUP(Table9[[#This Row],[Measure]],Table1025[[Value name]:[Value identifyer]],2,FALSE)</f>
        <v>R_System</v>
      </c>
      <c r="AO294" s="241" t="str">
        <f>VLOOKUP(Table9[[#This Row],[Country Code]],Table29[],3,FALSE)</f>
        <v>Non-Annex I</v>
      </c>
      <c r="AP294" s="241" t="str">
        <f>VLOOKUP(Table9[[#This Row],[Country Code]],Table29[],4,FALSE)</f>
        <v>Asia</v>
      </c>
      <c r="AQ294" s="241" t="str">
        <f>VLOOKUP(Table9[[#This Row],[Country Code]],Table29[],5,FALSE)</f>
        <v>Middle-income</v>
      </c>
      <c r="AR294" s="241" t="str">
        <f>VLOOKUP(Table9[[#This Row],[Country Code]],Table29[],6,FALSE)</f>
        <v>no</v>
      </c>
      <c r="AS294" s="241" t="str">
        <f>VLOOKUP(Table9[[#This Row],[Country Code]],Table29[],7,FALSE)</f>
        <v>no</v>
      </c>
      <c r="AT294" s="241" t="str">
        <f>VLOOKUP(Table9[[#This Row],[Country Code]],Table29[],8,FALSE)</f>
        <v>non-OECD</v>
      </c>
      <c r="AU294" s="233" t="str">
        <f>VLOOKUP(Table9[[#This Row],[Country Code]],Table29[],9,FALSE)</f>
        <v>no</v>
      </c>
      <c r="AV294" s="233" t="str">
        <f>VLOOKUP(Table9[[#This Row],[Country Code]],Table29[],10,FALSE)</f>
        <v>no</v>
      </c>
      <c r="AW294" s="233">
        <f>VLOOKUP(Table9[[#This Row],[Country Code]],Table29[],23,FALSE)</f>
        <v>21.438119694097999</v>
      </c>
      <c r="AX294" s="233">
        <f>VLOOKUP(Table9[[#This Row],[Country Code]],Table29[],24,FALSE)</f>
        <v>1.9934951501956819</v>
      </c>
      <c r="AY294" s="43"/>
    </row>
    <row r="295" spans="1:51" ht="15" customHeight="1" x14ac:dyDescent="0.25">
      <c r="A295" s="368">
        <v>23376</v>
      </c>
      <c r="B295" s="233" t="str">
        <f>VLOOKUP(Table9[[#This Row],[Document ID]],Table1[],2,FALSE)</f>
        <v>TJK</v>
      </c>
      <c r="C295" s="233" t="str">
        <f>VLOOKUP(Table9[[#This Row],[Document ID]],Table1[],3,FALSE)</f>
        <v>Tajikistan</v>
      </c>
      <c r="D295" s="241" t="str">
        <f>VLOOKUP(Table9[[#This Row],[Document ID]],Table1[],5,FALSE)</f>
        <v>NDC</v>
      </c>
      <c r="E295" s="233" t="str">
        <f>VLOOKUP(Table9[[#This Row],[Document ID]],Table1[],7,FALSE)</f>
        <v>First NDC updated</v>
      </c>
      <c r="F295" s="233" t="str">
        <f>VLOOKUP(Table9[[#This Row],[Document ID]],Table1[],8,FALSE)</f>
        <v>NDC 1.1</v>
      </c>
      <c r="G295" s="233" t="str">
        <f>VLOOKUP(Table9[[#This Row],[Document ID]],Table1[],10,FALSE)</f>
        <v>Active</v>
      </c>
      <c r="H295" s="44" t="s">
        <v>5072</v>
      </c>
      <c r="I295" s="43" t="s">
        <v>5091</v>
      </c>
      <c r="J295" s="209" t="s">
        <v>5366</v>
      </c>
      <c r="K295" s="259">
        <v>28</v>
      </c>
      <c r="L295" s="219" t="s">
        <v>1113</v>
      </c>
      <c r="M295" s="219"/>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219" t="s">
        <v>1113</v>
      </c>
      <c r="AJ295" s="326"/>
      <c r="AK295" s="326"/>
      <c r="AL295" s="326"/>
      <c r="AM295" s="327" t="s">
        <v>5075</v>
      </c>
      <c r="AN295" s="233" t="str">
        <f>VLOOKUP(Table9[[#This Row],[Measure]],Table1025[[Value name]:[Value identifyer]],2,FALSE)</f>
        <v>R_Maintain</v>
      </c>
      <c r="AO295" s="241" t="str">
        <f>VLOOKUP(Table9[[#This Row],[Country Code]],Table29[],3,FALSE)</f>
        <v>Non-Annex I</v>
      </c>
      <c r="AP295" s="241" t="str">
        <f>VLOOKUP(Table9[[#This Row],[Country Code]],Table29[],4,FALSE)</f>
        <v>Asia</v>
      </c>
      <c r="AQ295" s="241" t="str">
        <f>VLOOKUP(Table9[[#This Row],[Country Code]],Table29[],5,FALSE)</f>
        <v>Middle-income</v>
      </c>
      <c r="AR295" s="241" t="str">
        <f>VLOOKUP(Table9[[#This Row],[Country Code]],Table29[],6,FALSE)</f>
        <v>no</v>
      </c>
      <c r="AS295" s="241" t="str">
        <f>VLOOKUP(Table9[[#This Row],[Country Code]],Table29[],7,FALSE)</f>
        <v>no</v>
      </c>
      <c r="AT295" s="241" t="str">
        <f>VLOOKUP(Table9[[#This Row],[Country Code]],Table29[],8,FALSE)</f>
        <v>non-OECD</v>
      </c>
      <c r="AU295" s="233" t="str">
        <f>VLOOKUP(Table9[[#This Row],[Country Code]],Table29[],9,FALSE)</f>
        <v>no</v>
      </c>
      <c r="AV295" s="233" t="str">
        <f>VLOOKUP(Table9[[#This Row],[Country Code]],Table29[],10,FALSE)</f>
        <v>no</v>
      </c>
      <c r="AW295" s="233">
        <f>VLOOKUP(Table9[[#This Row],[Country Code]],Table29[],23,FALSE)</f>
        <v>21.438119694097999</v>
      </c>
      <c r="AX295" s="233">
        <f>VLOOKUP(Table9[[#This Row],[Country Code]],Table29[],24,FALSE)</f>
        <v>1.9934951501956819</v>
      </c>
      <c r="AY295" s="43"/>
    </row>
    <row r="296" spans="1:51" ht="15" customHeight="1" x14ac:dyDescent="0.25">
      <c r="A296" s="368">
        <v>23376</v>
      </c>
      <c r="B296" s="233" t="str">
        <f>VLOOKUP(Table9[[#This Row],[Document ID]],Table1[],2,FALSE)</f>
        <v>TJK</v>
      </c>
      <c r="C296" s="233" t="str">
        <f>VLOOKUP(Table9[[#This Row],[Document ID]],Table1[],3,FALSE)</f>
        <v>Tajikistan</v>
      </c>
      <c r="D296" s="241" t="str">
        <f>VLOOKUP(Table9[[#This Row],[Document ID]],Table1[],5,FALSE)</f>
        <v>NDC</v>
      </c>
      <c r="E296" s="233" t="str">
        <f>VLOOKUP(Table9[[#This Row],[Document ID]],Table1[],7,FALSE)</f>
        <v>First NDC updated</v>
      </c>
      <c r="F296" s="233" t="str">
        <f>VLOOKUP(Table9[[#This Row],[Document ID]],Table1[],8,FALSE)</f>
        <v>NDC 1.1</v>
      </c>
      <c r="G296" s="233" t="str">
        <f>VLOOKUP(Table9[[#This Row],[Document ID]],Table1[],10,FALSE)</f>
        <v>Active</v>
      </c>
      <c r="H296" s="44" t="s">
        <v>5076</v>
      </c>
      <c r="I296" s="43" t="s">
        <v>5089</v>
      </c>
      <c r="J296" s="209" t="s">
        <v>5367</v>
      </c>
      <c r="K296" s="259">
        <v>28</v>
      </c>
      <c r="L296" s="219" t="s">
        <v>1113</v>
      </c>
      <c r="M296" s="219"/>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219" t="s">
        <v>1113</v>
      </c>
      <c r="AJ296" s="326"/>
      <c r="AK296" s="326"/>
      <c r="AL296" s="326"/>
      <c r="AM296" s="327" t="s">
        <v>5075</v>
      </c>
      <c r="AN296" s="233" t="str">
        <f>VLOOKUP(Table9[[#This Row],[Measure]],Table1025[[Value name]:[Value identifyer]],2,FALSE)</f>
        <v>R_Design</v>
      </c>
      <c r="AO296" s="241" t="str">
        <f>VLOOKUP(Table9[[#This Row],[Country Code]],Table29[],3,FALSE)</f>
        <v>Non-Annex I</v>
      </c>
      <c r="AP296" s="241" t="str">
        <f>VLOOKUP(Table9[[#This Row],[Country Code]],Table29[],4,FALSE)</f>
        <v>Asia</v>
      </c>
      <c r="AQ296" s="241" t="str">
        <f>VLOOKUP(Table9[[#This Row],[Country Code]],Table29[],5,FALSE)</f>
        <v>Middle-income</v>
      </c>
      <c r="AR296" s="241" t="str">
        <f>VLOOKUP(Table9[[#This Row],[Country Code]],Table29[],6,FALSE)</f>
        <v>no</v>
      </c>
      <c r="AS296" s="241" t="str">
        <f>VLOOKUP(Table9[[#This Row],[Country Code]],Table29[],7,FALSE)</f>
        <v>no</v>
      </c>
      <c r="AT296" s="241" t="str">
        <f>VLOOKUP(Table9[[#This Row],[Country Code]],Table29[],8,FALSE)</f>
        <v>non-OECD</v>
      </c>
      <c r="AU296" s="233" t="str">
        <f>VLOOKUP(Table9[[#This Row],[Country Code]],Table29[],9,FALSE)</f>
        <v>no</v>
      </c>
      <c r="AV296" s="233" t="str">
        <f>VLOOKUP(Table9[[#This Row],[Country Code]],Table29[],10,FALSE)</f>
        <v>no</v>
      </c>
      <c r="AW296" s="233">
        <f>VLOOKUP(Table9[[#This Row],[Country Code]],Table29[],23,FALSE)</f>
        <v>21.438119694097999</v>
      </c>
      <c r="AX296" s="233">
        <f>VLOOKUP(Table9[[#This Row],[Country Code]],Table29[],24,FALSE)</f>
        <v>1.9934951501956819</v>
      </c>
      <c r="AY296" s="43"/>
    </row>
    <row r="297" spans="1:51" ht="15" customHeight="1" x14ac:dyDescent="0.25">
      <c r="A297" s="368">
        <v>23376</v>
      </c>
      <c r="B297" s="233" t="str">
        <f>VLOOKUP(Table9[[#This Row],[Document ID]],Table1[],2,FALSE)</f>
        <v>TJK</v>
      </c>
      <c r="C297" s="233" t="str">
        <f>VLOOKUP(Table9[[#This Row],[Document ID]],Table1[],3,FALSE)</f>
        <v>Tajikistan</v>
      </c>
      <c r="D297" s="241" t="str">
        <f>VLOOKUP(Table9[[#This Row],[Document ID]],Table1[],5,FALSE)</f>
        <v>NDC</v>
      </c>
      <c r="E297" s="233" t="str">
        <f>VLOOKUP(Table9[[#This Row],[Document ID]],Table1[],7,FALSE)</f>
        <v>First NDC updated</v>
      </c>
      <c r="F297" s="233" t="str">
        <f>VLOOKUP(Table9[[#This Row],[Document ID]],Table1[],8,FALSE)</f>
        <v>NDC 1.1</v>
      </c>
      <c r="G297" s="233" t="str">
        <f>VLOOKUP(Table9[[#This Row],[Document ID]],Table1[],10,FALSE)</f>
        <v>Active</v>
      </c>
      <c r="H297" s="44" t="s">
        <v>5072</v>
      </c>
      <c r="I297" s="43" t="s">
        <v>5073</v>
      </c>
      <c r="J297" s="209" t="s">
        <v>5368</v>
      </c>
      <c r="K297" s="259">
        <v>28</v>
      </c>
      <c r="L297" s="219"/>
      <c r="M297" s="219"/>
      <c r="N297" s="113"/>
      <c r="O297" s="113"/>
      <c r="P297" s="113"/>
      <c r="Q297" s="113" t="s">
        <v>1113</v>
      </c>
      <c r="R297" s="113"/>
      <c r="S297" s="113"/>
      <c r="T297" s="113"/>
      <c r="U297" s="113"/>
      <c r="V297" s="113"/>
      <c r="W297" s="113"/>
      <c r="X297" s="113"/>
      <c r="Y297" s="113"/>
      <c r="Z297" s="113"/>
      <c r="AA297" s="113"/>
      <c r="AB297" s="113"/>
      <c r="AC297" s="113"/>
      <c r="AD297" s="113"/>
      <c r="AE297" s="113"/>
      <c r="AF297" s="113"/>
      <c r="AG297" s="113"/>
      <c r="AH297" s="113"/>
      <c r="AI297" s="219" t="s">
        <v>1113</v>
      </c>
      <c r="AJ297" s="326"/>
      <c r="AK297" s="326"/>
      <c r="AL297" s="326"/>
      <c r="AM297" s="327" t="s">
        <v>5075</v>
      </c>
      <c r="AN297" s="233" t="str">
        <f>VLOOKUP(Table9[[#This Row],[Measure]],Table1025[[Value name]:[Value identifyer]],2,FALSE)</f>
        <v>R_System</v>
      </c>
      <c r="AO297" s="241" t="str">
        <f>VLOOKUP(Table9[[#This Row],[Country Code]],Table29[],3,FALSE)</f>
        <v>Non-Annex I</v>
      </c>
      <c r="AP297" s="241" t="str">
        <f>VLOOKUP(Table9[[#This Row],[Country Code]],Table29[],4,FALSE)</f>
        <v>Asia</v>
      </c>
      <c r="AQ297" s="241" t="str">
        <f>VLOOKUP(Table9[[#This Row],[Country Code]],Table29[],5,FALSE)</f>
        <v>Middle-income</v>
      </c>
      <c r="AR297" s="241" t="str">
        <f>VLOOKUP(Table9[[#This Row],[Country Code]],Table29[],6,FALSE)</f>
        <v>no</v>
      </c>
      <c r="AS297" s="241" t="str">
        <f>VLOOKUP(Table9[[#This Row],[Country Code]],Table29[],7,FALSE)</f>
        <v>no</v>
      </c>
      <c r="AT297" s="241" t="str">
        <f>VLOOKUP(Table9[[#This Row],[Country Code]],Table29[],8,FALSE)</f>
        <v>non-OECD</v>
      </c>
      <c r="AU297" s="233" t="str">
        <f>VLOOKUP(Table9[[#This Row],[Country Code]],Table29[],9,FALSE)</f>
        <v>no</v>
      </c>
      <c r="AV297" s="233" t="str">
        <f>VLOOKUP(Table9[[#This Row],[Country Code]],Table29[],10,FALSE)</f>
        <v>no</v>
      </c>
      <c r="AW297" s="233">
        <f>VLOOKUP(Table9[[#This Row],[Country Code]],Table29[],23,FALSE)</f>
        <v>21.438119694097999</v>
      </c>
      <c r="AX297" s="233">
        <f>VLOOKUP(Table9[[#This Row],[Country Code]],Table29[],24,FALSE)</f>
        <v>1.9934951501956819</v>
      </c>
      <c r="AY297" s="43"/>
    </row>
    <row r="298" spans="1:51" ht="15" customHeight="1" x14ac:dyDescent="0.25">
      <c r="A298" s="368">
        <v>23376</v>
      </c>
      <c r="B298" s="233" t="str">
        <f>VLOOKUP(Table9[[#This Row],[Document ID]],Table1[],2,FALSE)</f>
        <v>TJK</v>
      </c>
      <c r="C298" s="233" t="str">
        <f>VLOOKUP(Table9[[#This Row],[Document ID]],Table1[],3,FALSE)</f>
        <v>Tajikistan</v>
      </c>
      <c r="D298" s="241" t="str">
        <f>VLOOKUP(Table9[[#This Row],[Document ID]],Table1[],5,FALSE)</f>
        <v>NDC</v>
      </c>
      <c r="E298" s="233" t="str">
        <f>VLOOKUP(Table9[[#This Row],[Document ID]],Table1[],7,FALSE)</f>
        <v>First NDC updated</v>
      </c>
      <c r="F298" s="233" t="str">
        <f>VLOOKUP(Table9[[#This Row],[Document ID]],Table1[],8,FALSE)</f>
        <v>NDC 1.1</v>
      </c>
      <c r="G298" s="233" t="str">
        <f>VLOOKUP(Table9[[#This Row],[Document ID]],Table1[],10,FALSE)</f>
        <v>Active</v>
      </c>
      <c r="H298" s="44" t="s">
        <v>5072</v>
      </c>
      <c r="I298" s="43" t="s">
        <v>5073</v>
      </c>
      <c r="J298" s="209" t="s">
        <v>5369</v>
      </c>
      <c r="K298" s="259">
        <v>28</v>
      </c>
      <c r="L298" s="219"/>
      <c r="M298" s="219"/>
      <c r="N298" s="113"/>
      <c r="O298" s="113"/>
      <c r="P298" s="113"/>
      <c r="Q298" s="113" t="s">
        <v>1113</v>
      </c>
      <c r="R298" s="113"/>
      <c r="S298" s="113"/>
      <c r="T298" s="113"/>
      <c r="U298" s="113"/>
      <c r="V298" s="113"/>
      <c r="W298" s="113"/>
      <c r="X298" s="113" t="s">
        <v>1113</v>
      </c>
      <c r="Y298" s="113"/>
      <c r="Z298" s="113"/>
      <c r="AA298" s="113"/>
      <c r="AB298" s="113"/>
      <c r="AC298" s="113"/>
      <c r="AD298" s="113"/>
      <c r="AE298" s="113"/>
      <c r="AF298" s="113" t="s">
        <v>1113</v>
      </c>
      <c r="AG298" s="113"/>
      <c r="AH298" s="113"/>
      <c r="AI298" s="219" t="s">
        <v>1113</v>
      </c>
      <c r="AJ298" s="326"/>
      <c r="AK298" s="326"/>
      <c r="AL298" s="326"/>
      <c r="AM298" s="327" t="s">
        <v>5075</v>
      </c>
      <c r="AN298" s="233" t="str">
        <f>VLOOKUP(Table9[[#This Row],[Measure]],Table1025[[Value name]:[Value identifyer]],2,FALSE)</f>
        <v>R_System</v>
      </c>
      <c r="AO298" s="241" t="str">
        <f>VLOOKUP(Table9[[#This Row],[Country Code]],Table29[],3,FALSE)</f>
        <v>Non-Annex I</v>
      </c>
      <c r="AP298" s="241" t="str">
        <f>VLOOKUP(Table9[[#This Row],[Country Code]],Table29[],4,FALSE)</f>
        <v>Asia</v>
      </c>
      <c r="AQ298" s="241" t="str">
        <f>VLOOKUP(Table9[[#This Row],[Country Code]],Table29[],5,FALSE)</f>
        <v>Middle-income</v>
      </c>
      <c r="AR298" s="241" t="str">
        <f>VLOOKUP(Table9[[#This Row],[Country Code]],Table29[],6,FALSE)</f>
        <v>no</v>
      </c>
      <c r="AS298" s="241" t="str">
        <f>VLOOKUP(Table9[[#This Row],[Country Code]],Table29[],7,FALSE)</f>
        <v>no</v>
      </c>
      <c r="AT298" s="241" t="str">
        <f>VLOOKUP(Table9[[#This Row],[Country Code]],Table29[],8,FALSE)</f>
        <v>non-OECD</v>
      </c>
      <c r="AU298" s="233" t="str">
        <f>VLOOKUP(Table9[[#This Row],[Country Code]],Table29[],9,FALSE)</f>
        <v>no</v>
      </c>
      <c r="AV298" s="233" t="str">
        <f>VLOOKUP(Table9[[#This Row],[Country Code]],Table29[],10,FALSE)</f>
        <v>no</v>
      </c>
      <c r="AW298" s="233">
        <f>VLOOKUP(Table9[[#This Row],[Country Code]],Table29[],23,FALSE)</f>
        <v>21.438119694097999</v>
      </c>
      <c r="AX298" s="233">
        <f>VLOOKUP(Table9[[#This Row],[Country Code]],Table29[],24,FALSE)</f>
        <v>1.9934951501956819</v>
      </c>
      <c r="AY298" s="43"/>
    </row>
    <row r="299" spans="1:51" ht="15" customHeight="1" x14ac:dyDescent="0.25">
      <c r="A299" s="368">
        <v>23376</v>
      </c>
      <c r="B299" s="233" t="str">
        <f>VLOOKUP(Table9[[#This Row],[Document ID]],Table1[],2,FALSE)</f>
        <v>TJK</v>
      </c>
      <c r="C299" s="233" t="str">
        <f>VLOOKUP(Table9[[#This Row],[Document ID]],Table1[],3,FALSE)</f>
        <v>Tajikistan</v>
      </c>
      <c r="D299" s="241" t="str">
        <f>VLOOKUP(Table9[[#This Row],[Document ID]],Table1[],5,FALSE)</f>
        <v>NDC</v>
      </c>
      <c r="E299" s="233" t="str">
        <f>VLOOKUP(Table9[[#This Row],[Document ID]],Table1[],7,FALSE)</f>
        <v>First NDC updated</v>
      </c>
      <c r="F299" s="233" t="str">
        <f>VLOOKUP(Table9[[#This Row],[Document ID]],Table1[],8,FALSE)</f>
        <v>NDC 1.1</v>
      </c>
      <c r="G299" s="233" t="str">
        <f>VLOOKUP(Table9[[#This Row],[Document ID]],Table1[],10,FALSE)</f>
        <v>Active</v>
      </c>
      <c r="H299" s="44" t="s">
        <v>5072</v>
      </c>
      <c r="I299" s="43" t="s">
        <v>5073</v>
      </c>
      <c r="J299" s="209" t="s">
        <v>5370</v>
      </c>
      <c r="K299" s="259">
        <v>28</v>
      </c>
      <c r="L299" s="219" t="s">
        <v>1113</v>
      </c>
      <c r="M299" s="219"/>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219" t="s">
        <v>1113</v>
      </c>
      <c r="AJ299" s="326"/>
      <c r="AK299" s="326"/>
      <c r="AL299" s="326"/>
      <c r="AM299" s="327" t="s">
        <v>5075</v>
      </c>
      <c r="AN299" s="233" t="str">
        <f>VLOOKUP(Table9[[#This Row],[Measure]],Table1025[[Value name]:[Value identifyer]],2,FALSE)</f>
        <v>R_System</v>
      </c>
      <c r="AO299" s="241" t="str">
        <f>VLOOKUP(Table9[[#This Row],[Country Code]],Table29[],3,FALSE)</f>
        <v>Non-Annex I</v>
      </c>
      <c r="AP299" s="241" t="str">
        <f>VLOOKUP(Table9[[#This Row],[Country Code]],Table29[],4,FALSE)</f>
        <v>Asia</v>
      </c>
      <c r="AQ299" s="241" t="str">
        <f>VLOOKUP(Table9[[#This Row],[Country Code]],Table29[],5,FALSE)</f>
        <v>Middle-income</v>
      </c>
      <c r="AR299" s="241" t="str">
        <f>VLOOKUP(Table9[[#This Row],[Country Code]],Table29[],6,FALSE)</f>
        <v>no</v>
      </c>
      <c r="AS299" s="241" t="str">
        <f>VLOOKUP(Table9[[#This Row],[Country Code]],Table29[],7,FALSE)</f>
        <v>no</v>
      </c>
      <c r="AT299" s="241" t="str">
        <f>VLOOKUP(Table9[[#This Row],[Country Code]],Table29[],8,FALSE)</f>
        <v>non-OECD</v>
      </c>
      <c r="AU299" s="233" t="str">
        <f>VLOOKUP(Table9[[#This Row],[Country Code]],Table29[],9,FALSE)</f>
        <v>no</v>
      </c>
      <c r="AV299" s="233" t="str">
        <f>VLOOKUP(Table9[[#This Row],[Country Code]],Table29[],10,FALSE)</f>
        <v>no</v>
      </c>
      <c r="AW299" s="233">
        <f>VLOOKUP(Table9[[#This Row],[Country Code]],Table29[],23,FALSE)</f>
        <v>21.438119694097999</v>
      </c>
      <c r="AX299" s="233">
        <f>VLOOKUP(Table9[[#This Row],[Country Code]],Table29[],24,FALSE)</f>
        <v>1.9934951501956819</v>
      </c>
      <c r="AY299" s="43"/>
    </row>
    <row r="300" spans="1:51" ht="15" customHeight="1" x14ac:dyDescent="0.25">
      <c r="A300" s="367">
        <v>17759</v>
      </c>
      <c r="B300" s="233" t="str">
        <f>VLOOKUP(Table9[[#This Row],[Document ID]],Table1[],2,FALSE)</f>
        <v>TLS</v>
      </c>
      <c r="C300" s="233" t="str">
        <f>VLOOKUP(Table9[[#This Row],[Document ID]],Table1[],3,FALSE)</f>
        <v>Timor-Leste</v>
      </c>
      <c r="D300" s="328" t="str">
        <f>VLOOKUP(Table9[[#This Row],[Document ID]],Table1[],5,FALSE)</f>
        <v>NDC</v>
      </c>
      <c r="E300" s="233" t="str">
        <f>VLOOKUP(Table9[[#This Row],[Document ID]],Table1[],7,FALSE)</f>
        <v>First NDC</v>
      </c>
      <c r="F300" s="328" t="str">
        <f>VLOOKUP(Table9[[#This Row],[Document ID]],Table1[],8,FALSE)</f>
        <v>NDC 1.0</v>
      </c>
      <c r="G300" s="328" t="str">
        <f>VLOOKUP(Table9[[#This Row],[Document ID]],Table1[],10,FALSE)</f>
        <v>Archived</v>
      </c>
      <c r="H300" s="44" t="s">
        <v>5072</v>
      </c>
      <c r="I300" s="43" t="s">
        <v>5073</v>
      </c>
      <c r="J300" s="209" t="s">
        <v>5371</v>
      </c>
      <c r="K300" s="257" t="s">
        <v>5081</v>
      </c>
      <c r="L300" s="326"/>
      <c r="M300" s="326"/>
      <c r="N300" s="326"/>
      <c r="O300" s="326"/>
      <c r="P300" s="326"/>
      <c r="Q300" s="326" t="s">
        <v>1113</v>
      </c>
      <c r="R300" s="326"/>
      <c r="S300" s="326"/>
      <c r="T300" s="326"/>
      <c r="U300" s="326"/>
      <c r="V300" s="326"/>
      <c r="W300" s="326"/>
      <c r="X300" s="326"/>
      <c r="Y300" s="326"/>
      <c r="Z300" s="326"/>
      <c r="AA300" s="326"/>
      <c r="AB300" s="326"/>
      <c r="AC300" s="326"/>
      <c r="AD300" s="326"/>
      <c r="AE300" s="326"/>
      <c r="AF300" s="326"/>
      <c r="AG300" s="326"/>
      <c r="AH300" s="326"/>
      <c r="AI300" s="326" t="s">
        <v>1113</v>
      </c>
      <c r="AJ300" s="326"/>
      <c r="AK300" s="326"/>
      <c r="AL300" s="326"/>
      <c r="AM300" s="327" t="s">
        <v>5075</v>
      </c>
      <c r="AN300" s="233" t="str">
        <f>VLOOKUP(Table9[[#This Row],[Measure]],Table1025[[Value name]:[Value identifyer]],2,FALSE)</f>
        <v>R_System</v>
      </c>
      <c r="AO300" s="241" t="str">
        <f>VLOOKUP(Table9[[#This Row],[Country Code]],Table29[],3,FALSE)</f>
        <v>Non-Annex I</v>
      </c>
      <c r="AP300" s="241" t="str">
        <f>VLOOKUP(Table9[[#This Row],[Country Code]],Table29[],4,FALSE)</f>
        <v>Asia</v>
      </c>
      <c r="AQ300" s="241" t="str">
        <f>VLOOKUP(Table9[[#This Row],[Country Code]],Table29[],5,FALSE)</f>
        <v>Middle-income</v>
      </c>
      <c r="AR300" s="241" t="str">
        <f>VLOOKUP(Table9[[#This Row],[Country Code]],Table29[],6,FALSE)</f>
        <v>no</v>
      </c>
      <c r="AS300" s="241" t="str">
        <f>VLOOKUP(Table9[[#This Row],[Country Code]],Table29[],7,FALSE)</f>
        <v>no</v>
      </c>
      <c r="AT300" s="241" t="str">
        <f>VLOOKUP(Table9[[#This Row],[Country Code]],Table29[],8,FALSE)</f>
        <v>non-OECD</v>
      </c>
      <c r="AU300" s="233" t="str">
        <f>VLOOKUP(Table9[[#This Row],[Country Code]],Table29[],9,FALSE)</f>
        <v>no</v>
      </c>
      <c r="AV300" s="233" t="str">
        <f>VLOOKUP(Table9[[#This Row],[Country Code]],Table29[],10,FALSE)</f>
        <v>no</v>
      </c>
      <c r="AW300" s="233">
        <f>VLOOKUP(Table9[[#This Row],[Country Code]],Table29[],23,FALSE)</f>
        <v>2.0071829501919001</v>
      </c>
      <c r="AX300" s="233">
        <f>VLOOKUP(Table9[[#This Row],[Country Code]],Table29[],24,FALSE)</f>
        <v>0.34628334680787631</v>
      </c>
      <c r="AY300" s="43"/>
    </row>
    <row r="301" spans="1:51" ht="15" customHeight="1" x14ac:dyDescent="0.25">
      <c r="A301" s="367">
        <v>32520</v>
      </c>
      <c r="B301" s="233" t="str">
        <f>VLOOKUP(Table9[[#This Row],[Document ID]],Table1[],2,FALSE)</f>
        <v>TLS</v>
      </c>
      <c r="C301" s="233" t="str">
        <f>VLOOKUP(Table9[[#This Row],[Document ID]],Table1[],3,FALSE)</f>
        <v>Timor-Leste</v>
      </c>
      <c r="D301" s="254" t="str">
        <f>VLOOKUP(Table9[[#This Row],[Document ID]],Table1[],5,FALSE)</f>
        <v>NDC</v>
      </c>
      <c r="E301" s="233" t="str">
        <f>VLOOKUP(Table9[[#This Row],[Document ID]],Table1[],7,FALSE)</f>
        <v>First NDC updated</v>
      </c>
      <c r="F301" s="241" t="str">
        <f>VLOOKUP(Table9[[#This Row],[Document ID]],Table1[],8,FALSE)</f>
        <v>NDC 1.1</v>
      </c>
      <c r="G301" s="241" t="str">
        <f>VLOOKUP(Table9[[#This Row],[Document ID]],Table1[],10,FALSE)</f>
        <v>Active</v>
      </c>
      <c r="H301" s="44" t="s">
        <v>5076</v>
      </c>
      <c r="I301" s="43" t="s">
        <v>5077</v>
      </c>
      <c r="J301" s="209" t="s">
        <v>4330</v>
      </c>
      <c r="K301" s="259">
        <v>37</v>
      </c>
      <c r="L301" s="219"/>
      <c r="M301" s="219"/>
      <c r="N301" s="113" t="s">
        <v>1113</v>
      </c>
      <c r="O301" s="113" t="s">
        <v>1113</v>
      </c>
      <c r="P301" s="113"/>
      <c r="Q301" s="113"/>
      <c r="R301" s="113"/>
      <c r="S301" s="113"/>
      <c r="T301" s="113"/>
      <c r="U301" s="113"/>
      <c r="V301" s="113"/>
      <c r="W301" s="113" t="s">
        <v>1113</v>
      </c>
      <c r="X301" s="113"/>
      <c r="Y301" s="113"/>
      <c r="Z301" s="113"/>
      <c r="AA301" s="113" t="s">
        <v>1113</v>
      </c>
      <c r="AB301" s="113"/>
      <c r="AC301" s="113"/>
      <c r="AD301" s="113"/>
      <c r="AE301" s="113"/>
      <c r="AF301" s="113"/>
      <c r="AG301" s="113"/>
      <c r="AH301" s="113"/>
      <c r="AI301" s="219" t="s">
        <v>1113</v>
      </c>
      <c r="AJ301" s="326"/>
      <c r="AK301" s="326"/>
      <c r="AL301" s="326"/>
      <c r="AM301" s="42" t="s">
        <v>5119</v>
      </c>
      <c r="AN301" s="233" t="str">
        <f>VLOOKUP(Table9[[#This Row],[Measure]],Table1025[[Value name]:[Value identifyer]],2,FALSE)</f>
        <v>R_Planning</v>
      </c>
      <c r="AO301" s="241" t="str">
        <f>VLOOKUP(Table9[[#This Row],[Country Code]],Table29[],3,FALSE)</f>
        <v>Non-Annex I</v>
      </c>
      <c r="AP301" s="241" t="str">
        <f>VLOOKUP(Table9[[#This Row],[Country Code]],Table29[],4,FALSE)</f>
        <v>Asia</v>
      </c>
      <c r="AQ301" s="241" t="str">
        <f>VLOOKUP(Table9[[#This Row],[Country Code]],Table29[],5,FALSE)</f>
        <v>Middle-income</v>
      </c>
      <c r="AR301" s="241" t="str">
        <f>VLOOKUP(Table9[[#This Row],[Country Code]],Table29[],6,FALSE)</f>
        <v>no</v>
      </c>
      <c r="AS301" s="241" t="str">
        <f>VLOOKUP(Table9[[#This Row],[Country Code]],Table29[],7,FALSE)</f>
        <v>no</v>
      </c>
      <c r="AT301" s="241" t="str">
        <f>VLOOKUP(Table9[[#This Row],[Country Code]],Table29[],8,FALSE)</f>
        <v>non-OECD</v>
      </c>
      <c r="AU301" s="233" t="str">
        <f>VLOOKUP(Table9[[#This Row],[Country Code]],Table29[],9,FALSE)</f>
        <v>no</v>
      </c>
      <c r="AV301" s="233" t="str">
        <f>VLOOKUP(Table9[[#This Row],[Country Code]],Table29[],10,FALSE)</f>
        <v>no</v>
      </c>
      <c r="AW301" s="233">
        <f>VLOOKUP(Table9[[#This Row],[Country Code]],Table29[],23,FALSE)</f>
        <v>2.0071829501919001</v>
      </c>
      <c r="AX301" s="233">
        <f>VLOOKUP(Table9[[#This Row],[Country Code]],Table29[],24,FALSE)</f>
        <v>0.34628334680787631</v>
      </c>
      <c r="AY301" s="43"/>
    </row>
    <row r="302" spans="1:51" ht="29.1" customHeight="1" x14ac:dyDescent="0.25">
      <c r="A302" s="360">
        <v>26791</v>
      </c>
      <c r="B302" s="233" t="str">
        <f>VLOOKUP(Table9[[#This Row],[Document ID]],Table1[],2,FALSE)</f>
        <v>TON</v>
      </c>
      <c r="C302" s="233" t="str">
        <f>VLOOKUP(Table9[[#This Row],[Document ID]],Table1[],3,FALSE)</f>
        <v>Tonga</v>
      </c>
      <c r="D302" s="233" t="str">
        <f>VLOOKUP(Table9[[#This Row],[Document ID]],Table1[],5,FALSE)</f>
        <v>LTS</v>
      </c>
      <c r="E302" s="233" t="str">
        <f>VLOOKUP(Table9[[#This Row],[Document ID]],Table1[],7,FALSE)</f>
        <v>LTS</v>
      </c>
      <c r="F302" s="233" t="str">
        <f>VLOOKUP(Table9[[#This Row],[Document ID]],Table1[],8,FALSE)</f>
        <v>LTS 1.0</v>
      </c>
      <c r="G302" s="233" t="str">
        <f>VLOOKUP(Table9[[#This Row],[Document ID]],Table1[],10,FALSE)</f>
        <v>Active</v>
      </c>
      <c r="H302" s="44" t="s">
        <v>5072</v>
      </c>
      <c r="I302" s="43" t="s">
        <v>5073</v>
      </c>
      <c r="J302" s="44" t="s">
        <v>5372</v>
      </c>
      <c r="K302" s="221">
        <v>80</v>
      </c>
      <c r="L302" s="113"/>
      <c r="M302" s="113"/>
      <c r="N302" s="113"/>
      <c r="O302" s="113"/>
      <c r="P302" s="113"/>
      <c r="Q302" s="113" t="s">
        <v>1113</v>
      </c>
      <c r="R302" s="113"/>
      <c r="S302" s="113"/>
      <c r="T302" s="113"/>
      <c r="U302" s="113"/>
      <c r="V302" s="113"/>
      <c r="W302" s="113"/>
      <c r="X302" s="113"/>
      <c r="Y302" s="113"/>
      <c r="Z302" s="113"/>
      <c r="AA302" s="113"/>
      <c r="AB302" s="113"/>
      <c r="AC302" s="113"/>
      <c r="AD302" s="113"/>
      <c r="AE302" s="113"/>
      <c r="AF302" s="113"/>
      <c r="AG302" s="113"/>
      <c r="AH302" s="113"/>
      <c r="AI302" s="113"/>
      <c r="AJ302" s="326" t="s">
        <v>1113</v>
      </c>
      <c r="AK302" s="326"/>
      <c r="AL302" s="326"/>
      <c r="AM302" s="43" t="s">
        <v>5075</v>
      </c>
      <c r="AN302" s="233" t="str">
        <f>VLOOKUP(Table9[[#This Row],[Measure]],Table1025[[Value name]:[Value identifyer]],2,FALSE)</f>
        <v>R_System</v>
      </c>
      <c r="AO302" s="241" t="str">
        <f>VLOOKUP(Table9[[#This Row],[Country Code]],Table29[],3,FALSE)</f>
        <v>Non-Annex I</v>
      </c>
      <c r="AP302" s="241" t="str">
        <f>VLOOKUP(Table9[[#This Row],[Country Code]],Table29[],4,FALSE)</f>
        <v>Oceania</v>
      </c>
      <c r="AQ302" s="241" t="str">
        <f>VLOOKUP(Table9[[#This Row],[Country Code]],Table29[],5,FALSE)</f>
        <v>Middle-income</v>
      </c>
      <c r="AR302" s="241" t="str">
        <f>VLOOKUP(Table9[[#This Row],[Country Code]],Table29[],6,FALSE)</f>
        <v>no</v>
      </c>
      <c r="AS302" s="241" t="str">
        <f>VLOOKUP(Table9[[#This Row],[Country Code]],Table29[],7,FALSE)</f>
        <v>no</v>
      </c>
      <c r="AT302" s="241" t="str">
        <f>VLOOKUP(Table9[[#This Row],[Country Code]],Table29[],8,FALSE)</f>
        <v>non-OECD</v>
      </c>
      <c r="AU302" s="233" t="str">
        <f>VLOOKUP(Table9[[#This Row],[Country Code]],Table29[],9,FALSE)</f>
        <v>no</v>
      </c>
      <c r="AV302" s="233" t="str">
        <f>VLOOKUP(Table9[[#This Row],[Country Code]],Table29[],10,FALSE)</f>
        <v>no</v>
      </c>
      <c r="AW302" s="233">
        <f>VLOOKUP(Table9[[#This Row],[Country Code]],Table29[],23,FALSE)</f>
        <v>0.34210672521812002</v>
      </c>
      <c r="AX302" s="233">
        <f>VLOOKUP(Table9[[#This Row],[Country Code]],Table29[],24,FALSE)</f>
        <v>0.1141760738354758</v>
      </c>
      <c r="AY302" s="43"/>
    </row>
    <row r="303" spans="1:51" ht="15" customHeight="1" x14ac:dyDescent="0.25">
      <c r="A303" s="360">
        <v>26791</v>
      </c>
      <c r="B303" s="233" t="str">
        <f>VLOOKUP(Table9[[#This Row],[Document ID]],Table1[],2,FALSE)</f>
        <v>TON</v>
      </c>
      <c r="C303" s="233" t="str">
        <f>VLOOKUP(Table9[[#This Row],[Document ID]],Table1[],3,FALSE)</f>
        <v>Tonga</v>
      </c>
      <c r="D303" s="233" t="str">
        <f>VLOOKUP(Table9[[#This Row],[Document ID]],Table1[],5,FALSE)</f>
        <v>LTS</v>
      </c>
      <c r="E303" s="233" t="str">
        <f>VLOOKUP(Table9[[#This Row],[Document ID]],Table1[],7,FALSE)</f>
        <v>LTS</v>
      </c>
      <c r="F303" s="233" t="str">
        <f>VLOOKUP(Table9[[#This Row],[Document ID]],Table1[],8,FALSE)</f>
        <v>LTS 1.0</v>
      </c>
      <c r="G303" s="233" t="str">
        <f>VLOOKUP(Table9[[#This Row],[Document ID]],Table1[],10,FALSE)</f>
        <v>Active</v>
      </c>
      <c r="H303" s="44" t="s">
        <v>5072</v>
      </c>
      <c r="I303" s="43" t="s">
        <v>5091</v>
      </c>
      <c r="J303" s="44" t="s">
        <v>5373</v>
      </c>
      <c r="K303" s="221">
        <v>80</v>
      </c>
      <c r="L303" s="113"/>
      <c r="M303" s="113"/>
      <c r="N303" s="113"/>
      <c r="O303" s="113"/>
      <c r="P303" s="113"/>
      <c r="Q303" s="113" t="s">
        <v>1113</v>
      </c>
      <c r="R303" s="113"/>
      <c r="S303" s="113"/>
      <c r="T303" s="113"/>
      <c r="U303" s="113"/>
      <c r="V303" s="113"/>
      <c r="W303" s="113"/>
      <c r="X303" s="113"/>
      <c r="Y303" s="113"/>
      <c r="Z303" s="113"/>
      <c r="AA303" s="113"/>
      <c r="AB303" s="113"/>
      <c r="AC303" s="113"/>
      <c r="AD303" s="113"/>
      <c r="AE303" s="113"/>
      <c r="AF303" s="113"/>
      <c r="AG303" s="113"/>
      <c r="AH303" s="113"/>
      <c r="AI303" s="113"/>
      <c r="AJ303" s="326" t="s">
        <v>1113</v>
      </c>
      <c r="AK303" s="326"/>
      <c r="AL303" s="326"/>
      <c r="AM303" s="43" t="s">
        <v>5075</v>
      </c>
      <c r="AN303" s="233" t="str">
        <f>VLOOKUP(Table9[[#This Row],[Measure]],Table1025[[Value name]:[Value identifyer]],2,FALSE)</f>
        <v>R_Maintain</v>
      </c>
      <c r="AO303" s="241" t="str">
        <f>VLOOKUP(Table9[[#This Row],[Country Code]],Table29[],3,FALSE)</f>
        <v>Non-Annex I</v>
      </c>
      <c r="AP303" s="241" t="str">
        <f>VLOOKUP(Table9[[#This Row],[Country Code]],Table29[],4,FALSE)</f>
        <v>Oceania</v>
      </c>
      <c r="AQ303" s="241" t="str">
        <f>VLOOKUP(Table9[[#This Row],[Country Code]],Table29[],5,FALSE)</f>
        <v>Middle-income</v>
      </c>
      <c r="AR303" s="241" t="str">
        <f>VLOOKUP(Table9[[#This Row],[Country Code]],Table29[],6,FALSE)</f>
        <v>no</v>
      </c>
      <c r="AS303" s="241" t="str">
        <f>VLOOKUP(Table9[[#This Row],[Country Code]],Table29[],7,FALSE)</f>
        <v>no</v>
      </c>
      <c r="AT303" s="241" t="str">
        <f>VLOOKUP(Table9[[#This Row],[Country Code]],Table29[],8,FALSE)</f>
        <v>non-OECD</v>
      </c>
      <c r="AU303" s="233" t="str">
        <f>VLOOKUP(Table9[[#This Row],[Country Code]],Table29[],9,FALSE)</f>
        <v>no</v>
      </c>
      <c r="AV303" s="233" t="str">
        <f>VLOOKUP(Table9[[#This Row],[Country Code]],Table29[],10,FALSE)</f>
        <v>no</v>
      </c>
      <c r="AW303" s="233">
        <f>VLOOKUP(Table9[[#This Row],[Country Code]],Table29[],23,FALSE)</f>
        <v>0.34210672521812002</v>
      </c>
      <c r="AX303" s="233">
        <f>VLOOKUP(Table9[[#This Row],[Country Code]],Table29[],24,FALSE)</f>
        <v>0.1141760738354758</v>
      </c>
      <c r="AY303" s="43"/>
    </row>
    <row r="304" spans="1:51" ht="20.85" customHeight="1" x14ac:dyDescent="0.25">
      <c r="A304" s="360">
        <v>26791</v>
      </c>
      <c r="B304" s="233" t="str">
        <f>VLOOKUP(Table9[[#This Row],[Document ID]],Table1[],2,FALSE)</f>
        <v>TON</v>
      </c>
      <c r="C304" s="233" t="str">
        <f>VLOOKUP(Table9[[#This Row],[Document ID]],Table1[],3,FALSE)</f>
        <v>Tonga</v>
      </c>
      <c r="D304" s="233" t="str">
        <f>VLOOKUP(Table9[[#This Row],[Document ID]],Table1[],5,FALSE)</f>
        <v>LTS</v>
      </c>
      <c r="E304" s="233" t="str">
        <f>VLOOKUP(Table9[[#This Row],[Document ID]],Table1[],7,FALSE)</f>
        <v>LTS</v>
      </c>
      <c r="F304" s="233" t="str">
        <f>VLOOKUP(Table9[[#This Row],[Document ID]],Table1[],8,FALSE)</f>
        <v>LTS 1.0</v>
      </c>
      <c r="G304" s="233" t="str">
        <f>VLOOKUP(Table9[[#This Row],[Document ID]],Table1[],10,FALSE)</f>
        <v>Active</v>
      </c>
      <c r="H304" s="44" t="s">
        <v>5076</v>
      </c>
      <c r="I304" s="43" t="s">
        <v>5077</v>
      </c>
      <c r="J304" s="44" t="s">
        <v>5374</v>
      </c>
      <c r="K304" s="221">
        <v>80</v>
      </c>
      <c r="L304" s="113"/>
      <c r="M304" s="113"/>
      <c r="N304" s="113"/>
      <c r="O304" s="113"/>
      <c r="P304" s="113"/>
      <c r="Q304" s="113" t="s">
        <v>1113</v>
      </c>
      <c r="R304" s="113"/>
      <c r="S304" s="113"/>
      <c r="T304" s="113"/>
      <c r="U304" s="113"/>
      <c r="V304" s="113"/>
      <c r="W304" s="113"/>
      <c r="X304" s="113"/>
      <c r="Y304" s="113"/>
      <c r="Z304" s="113"/>
      <c r="AA304" s="113"/>
      <c r="AB304" s="113"/>
      <c r="AC304" s="113"/>
      <c r="AD304" s="113"/>
      <c r="AE304" s="113"/>
      <c r="AF304" s="113"/>
      <c r="AG304" s="113"/>
      <c r="AH304" s="113"/>
      <c r="AI304" s="113"/>
      <c r="AJ304" s="326" t="s">
        <v>1113</v>
      </c>
      <c r="AK304" s="326"/>
      <c r="AL304" s="326"/>
      <c r="AM304" s="43" t="s">
        <v>5075</v>
      </c>
      <c r="AN304" s="233" t="str">
        <f>VLOOKUP(Table9[[#This Row],[Measure]],Table1025[[Value name]:[Value identifyer]],2,FALSE)</f>
        <v>R_Planning</v>
      </c>
      <c r="AO304" s="241" t="str">
        <f>VLOOKUP(Table9[[#This Row],[Country Code]],Table29[],3,FALSE)</f>
        <v>Non-Annex I</v>
      </c>
      <c r="AP304" s="241" t="str">
        <f>VLOOKUP(Table9[[#This Row],[Country Code]],Table29[],4,FALSE)</f>
        <v>Oceania</v>
      </c>
      <c r="AQ304" s="241" t="str">
        <f>VLOOKUP(Table9[[#This Row],[Country Code]],Table29[],5,FALSE)</f>
        <v>Middle-income</v>
      </c>
      <c r="AR304" s="241" t="str">
        <f>VLOOKUP(Table9[[#This Row],[Country Code]],Table29[],6,FALSE)</f>
        <v>no</v>
      </c>
      <c r="AS304" s="241" t="str">
        <f>VLOOKUP(Table9[[#This Row],[Country Code]],Table29[],7,FALSE)</f>
        <v>no</v>
      </c>
      <c r="AT304" s="241" t="str">
        <f>VLOOKUP(Table9[[#This Row],[Country Code]],Table29[],8,FALSE)</f>
        <v>non-OECD</v>
      </c>
      <c r="AU304" s="233" t="str">
        <f>VLOOKUP(Table9[[#This Row],[Country Code]],Table29[],9,FALSE)</f>
        <v>no</v>
      </c>
      <c r="AV304" s="233" t="str">
        <f>VLOOKUP(Table9[[#This Row],[Country Code]],Table29[],10,FALSE)</f>
        <v>no</v>
      </c>
      <c r="AW304" s="233">
        <f>VLOOKUP(Table9[[#This Row],[Country Code]],Table29[],23,FALSE)</f>
        <v>0.34210672521812002</v>
      </c>
      <c r="AX304" s="233">
        <f>VLOOKUP(Table9[[#This Row],[Country Code]],Table29[],24,FALSE)</f>
        <v>0.1141760738354758</v>
      </c>
      <c r="AY304" s="43"/>
    </row>
    <row r="305" spans="1:51" ht="39" customHeight="1" x14ac:dyDescent="0.25">
      <c r="A305" s="360">
        <v>26791</v>
      </c>
      <c r="B305" s="233" t="str">
        <f>VLOOKUP(Table9[[#This Row],[Document ID]],Table1[],2,FALSE)</f>
        <v>TON</v>
      </c>
      <c r="C305" s="233" t="str">
        <f>VLOOKUP(Table9[[#This Row],[Document ID]],Table1[],3,FALSE)</f>
        <v>Tonga</v>
      </c>
      <c r="D305" s="233" t="str">
        <f>VLOOKUP(Table9[[#This Row],[Document ID]],Table1[],5,FALSE)</f>
        <v>LTS</v>
      </c>
      <c r="E305" s="233" t="str">
        <f>VLOOKUP(Table9[[#This Row],[Document ID]],Table1[],7,FALSE)</f>
        <v>LTS</v>
      </c>
      <c r="F305" s="233" t="str">
        <f>VLOOKUP(Table9[[#This Row],[Document ID]],Table1[],8,FALSE)</f>
        <v>LTS 1.0</v>
      </c>
      <c r="G305" s="233" t="str">
        <f>VLOOKUP(Table9[[#This Row],[Document ID]],Table1[],10,FALSE)</f>
        <v>Active</v>
      </c>
      <c r="H305" s="44" t="s">
        <v>5086</v>
      </c>
      <c r="I305" s="43" t="s">
        <v>5130</v>
      </c>
      <c r="J305" s="44" t="s">
        <v>5375</v>
      </c>
      <c r="K305" s="221">
        <v>83</v>
      </c>
      <c r="L305" s="113"/>
      <c r="M305" s="113"/>
      <c r="N305" s="113"/>
      <c r="O305" s="113"/>
      <c r="P305" s="113"/>
      <c r="Q305" s="113" t="s">
        <v>1113</v>
      </c>
      <c r="R305" s="113"/>
      <c r="S305" s="113"/>
      <c r="T305" s="113"/>
      <c r="U305" s="113"/>
      <c r="V305" s="113"/>
      <c r="W305" s="113"/>
      <c r="X305" s="113"/>
      <c r="Y305" s="113"/>
      <c r="Z305" s="113"/>
      <c r="AA305" s="113"/>
      <c r="AB305" s="113"/>
      <c r="AC305" s="113"/>
      <c r="AD305" s="113"/>
      <c r="AE305" s="113"/>
      <c r="AF305" s="113"/>
      <c r="AG305" s="113"/>
      <c r="AH305" s="113"/>
      <c r="AI305" s="113"/>
      <c r="AJ305" s="326" t="s">
        <v>1113</v>
      </c>
      <c r="AK305" s="326"/>
      <c r="AL305" s="326"/>
      <c r="AM305" s="43" t="s">
        <v>5075</v>
      </c>
      <c r="AN305" s="233" t="str">
        <f>VLOOKUP(Table9[[#This Row],[Measure]],Table1025[[Value name]:[Value identifyer]],2,FALSE)</f>
        <v>R_Monitoring</v>
      </c>
      <c r="AO305" s="241" t="str">
        <f>VLOOKUP(Table9[[#This Row],[Country Code]],Table29[],3,FALSE)</f>
        <v>Non-Annex I</v>
      </c>
      <c r="AP305" s="241" t="str">
        <f>VLOOKUP(Table9[[#This Row],[Country Code]],Table29[],4,FALSE)</f>
        <v>Oceania</v>
      </c>
      <c r="AQ305" s="241" t="str">
        <f>VLOOKUP(Table9[[#This Row],[Country Code]],Table29[],5,FALSE)</f>
        <v>Middle-income</v>
      </c>
      <c r="AR305" s="241" t="str">
        <f>VLOOKUP(Table9[[#This Row],[Country Code]],Table29[],6,FALSE)</f>
        <v>no</v>
      </c>
      <c r="AS305" s="241" t="str">
        <f>VLOOKUP(Table9[[#This Row],[Country Code]],Table29[],7,FALSE)</f>
        <v>no</v>
      </c>
      <c r="AT305" s="241" t="str">
        <f>VLOOKUP(Table9[[#This Row],[Country Code]],Table29[],8,FALSE)</f>
        <v>non-OECD</v>
      </c>
      <c r="AU305" s="233" t="str">
        <f>VLOOKUP(Table9[[#This Row],[Country Code]],Table29[],9,FALSE)</f>
        <v>no</v>
      </c>
      <c r="AV305" s="233" t="str">
        <f>VLOOKUP(Table9[[#This Row],[Country Code]],Table29[],10,FALSE)</f>
        <v>no</v>
      </c>
      <c r="AW305" s="233">
        <f>VLOOKUP(Table9[[#This Row],[Country Code]],Table29[],23,FALSE)</f>
        <v>0.34210672521812002</v>
      </c>
      <c r="AX305" s="233">
        <f>VLOOKUP(Table9[[#This Row],[Country Code]],Table29[],24,FALSE)</f>
        <v>0.1141760738354758</v>
      </c>
      <c r="AY305" s="43"/>
    </row>
    <row r="306" spans="1:51" ht="32.1" customHeight="1" x14ac:dyDescent="0.25">
      <c r="A306" s="368">
        <v>23383</v>
      </c>
      <c r="B306" s="233" t="str">
        <f>VLOOKUP(Table9[[#This Row],[Document ID]],Table1[],2,FALSE)</f>
        <v>TUN</v>
      </c>
      <c r="C306" s="233" t="str">
        <f>VLOOKUP(Table9[[#This Row],[Document ID]],Table1[],3,FALSE)</f>
        <v>Tunisia</v>
      </c>
      <c r="D306" s="241" t="str">
        <f>VLOOKUP(Table9[[#This Row],[Document ID]],Table1[],5,FALSE)</f>
        <v>NDC</v>
      </c>
      <c r="E306" s="233" t="str">
        <f>VLOOKUP(Table9[[#This Row],[Document ID]],Table1[],7,FALSE)</f>
        <v>First NDC updated</v>
      </c>
      <c r="F306" s="233" t="str">
        <f>VLOOKUP(Table9[[#This Row],[Document ID]],Table1[],8,FALSE)</f>
        <v>NDC 1.1</v>
      </c>
      <c r="G306" s="233" t="str">
        <f>VLOOKUP(Table9[[#This Row],[Document ID]],Table1[],10,FALSE)</f>
        <v>Active</v>
      </c>
      <c r="H306" s="44" t="s">
        <v>5072</v>
      </c>
      <c r="I306" s="43" t="s">
        <v>5082</v>
      </c>
      <c r="J306" s="209" t="s">
        <v>5376</v>
      </c>
      <c r="K306" s="259">
        <v>69</v>
      </c>
      <c r="L306" s="219" t="s">
        <v>1113</v>
      </c>
      <c r="M306" s="219"/>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219" t="s">
        <v>1113</v>
      </c>
      <c r="AJ306" s="326"/>
      <c r="AK306" s="326"/>
      <c r="AL306" s="326"/>
      <c r="AM306" s="327" t="s">
        <v>5075</v>
      </c>
      <c r="AN306" s="233" t="str">
        <f>VLOOKUP(Table9[[#This Row],[Measure]],Table1025[[Value name]:[Value identifyer]],2,FALSE)</f>
        <v>R_Risk</v>
      </c>
      <c r="AO306" s="241" t="str">
        <f>VLOOKUP(Table9[[#This Row],[Country Code]],Table29[],3,FALSE)</f>
        <v>Non-Annex I</v>
      </c>
      <c r="AP306" s="241" t="str">
        <f>VLOOKUP(Table9[[#This Row],[Country Code]],Table29[],4,FALSE)</f>
        <v>Africa</v>
      </c>
      <c r="AQ306" s="241" t="str">
        <f>VLOOKUP(Table9[[#This Row],[Country Code]],Table29[],5,FALSE)</f>
        <v>Middle-income</v>
      </c>
      <c r="AR306" s="241" t="str">
        <f>VLOOKUP(Table9[[#This Row],[Country Code]],Table29[],6,FALSE)</f>
        <v>no</v>
      </c>
      <c r="AS306" s="241" t="str">
        <f>VLOOKUP(Table9[[#This Row],[Country Code]],Table29[],7,FALSE)</f>
        <v>no</v>
      </c>
      <c r="AT306" s="241" t="str">
        <f>VLOOKUP(Table9[[#This Row],[Country Code]],Table29[],8,FALSE)</f>
        <v>non-OECD</v>
      </c>
      <c r="AU306" s="233" t="str">
        <f>VLOOKUP(Table9[[#This Row],[Country Code]],Table29[],9,FALSE)</f>
        <v>no</v>
      </c>
      <c r="AV306" s="233" t="str">
        <f>VLOOKUP(Table9[[#This Row],[Country Code]],Table29[],10,FALSE)</f>
        <v>MENA</v>
      </c>
      <c r="AW306" s="233">
        <f>VLOOKUP(Table9[[#This Row],[Country Code]],Table29[],23,FALSE)</f>
        <v>43.578530969543998</v>
      </c>
      <c r="AX306" s="233">
        <f>VLOOKUP(Table9[[#This Row],[Country Code]],Table29[],24,FALSE)</f>
        <v>8.2824682143968626</v>
      </c>
      <c r="AY306" s="43"/>
    </row>
    <row r="307" spans="1:51" ht="30" x14ac:dyDescent="0.25">
      <c r="A307" s="367">
        <v>17769</v>
      </c>
      <c r="B307" s="233" t="str">
        <f>VLOOKUP(Table9[[#This Row],[Document ID]],Table1[],2,FALSE)</f>
        <v>UGA</v>
      </c>
      <c r="C307" s="233" t="str">
        <f>VLOOKUP(Table9[[#This Row],[Document ID]],Table1[],3,FALSE)</f>
        <v>Uganda</v>
      </c>
      <c r="D307" s="328" t="str">
        <f>VLOOKUP(Table9[[#This Row],[Document ID]],Table1[],5,FALSE)</f>
        <v>NDC</v>
      </c>
      <c r="E307" s="233" t="str">
        <f>VLOOKUP(Table9[[#This Row],[Document ID]],Table1[],7,FALSE)</f>
        <v>First NDC</v>
      </c>
      <c r="F307" s="328" t="str">
        <f>VLOOKUP(Table9[[#This Row],[Document ID]],Table1[],8,FALSE)</f>
        <v>NDC 1.0</v>
      </c>
      <c r="G307" s="328" t="str">
        <f>VLOOKUP(Table9[[#This Row],[Document ID]],Table1[],10,FALSE)</f>
        <v>Archived</v>
      </c>
      <c r="H307" s="44" t="s">
        <v>5076</v>
      </c>
      <c r="I307" s="43" t="s">
        <v>5079</v>
      </c>
      <c r="J307" s="209" t="s">
        <v>5377</v>
      </c>
      <c r="K307" s="257" t="s">
        <v>5081</v>
      </c>
      <c r="L307" s="326" t="s">
        <v>1113</v>
      </c>
      <c r="M307" s="326"/>
      <c r="N307" s="326"/>
      <c r="O307" s="326"/>
      <c r="P307" s="326"/>
      <c r="Q307" s="326"/>
      <c r="R307" s="326"/>
      <c r="S307" s="326"/>
      <c r="T307" s="326"/>
      <c r="U307" s="326"/>
      <c r="V307" s="326"/>
      <c r="W307" s="326"/>
      <c r="X307" s="326"/>
      <c r="Y307" s="326"/>
      <c r="Z307" s="326"/>
      <c r="AA307" s="326"/>
      <c r="AB307" s="326"/>
      <c r="AC307" s="326"/>
      <c r="AD307" s="326"/>
      <c r="AE307" s="326"/>
      <c r="AF307" s="326"/>
      <c r="AG307" s="326"/>
      <c r="AH307" s="326"/>
      <c r="AI307" s="326" t="s">
        <v>1113</v>
      </c>
      <c r="AJ307" s="326"/>
      <c r="AK307" s="326"/>
      <c r="AL307" s="326"/>
      <c r="AM307" s="327" t="s">
        <v>5075</v>
      </c>
      <c r="AN307" s="233" t="str">
        <f>VLOOKUP(Table9[[#This Row],[Measure]],Table1025[[Value name]:[Value identifyer]],2,FALSE)</f>
        <v>R_Laws</v>
      </c>
      <c r="AO307" s="241" t="str">
        <f>VLOOKUP(Table9[[#This Row],[Country Code]],Table29[],3,FALSE)</f>
        <v>Non-Annex I</v>
      </c>
      <c r="AP307" s="241" t="str">
        <f>VLOOKUP(Table9[[#This Row],[Country Code]],Table29[],4,FALSE)</f>
        <v>Africa</v>
      </c>
      <c r="AQ307" s="241" t="str">
        <f>VLOOKUP(Table9[[#This Row],[Country Code]],Table29[],5,FALSE)</f>
        <v>Low-income</v>
      </c>
      <c r="AR307" s="241" t="str">
        <f>VLOOKUP(Table9[[#This Row],[Country Code]],Table29[],6,FALSE)</f>
        <v>no</v>
      </c>
      <c r="AS307" s="241" t="str">
        <f>VLOOKUP(Table9[[#This Row],[Country Code]],Table29[],7,FALSE)</f>
        <v>no</v>
      </c>
      <c r="AT307" s="241" t="str">
        <f>VLOOKUP(Table9[[#This Row],[Country Code]],Table29[],8,FALSE)</f>
        <v>non-OECD</v>
      </c>
      <c r="AU307" s="233" t="str">
        <f>VLOOKUP(Table9[[#This Row],[Country Code]],Table29[],9,FALSE)</f>
        <v>no</v>
      </c>
      <c r="AV307" s="233" t="str">
        <f>VLOOKUP(Table9[[#This Row],[Country Code]],Table29[],10,FALSE)</f>
        <v>no</v>
      </c>
      <c r="AW307" s="233">
        <f>VLOOKUP(Table9[[#This Row],[Country Code]],Table29[],23,FALSE)</f>
        <v>53.370989410157001</v>
      </c>
      <c r="AX307" s="233">
        <f>VLOOKUP(Table9[[#This Row],[Country Code]],Table29[],24,FALSE)</f>
        <v>3.617994034151566</v>
      </c>
      <c r="AY307" s="43"/>
    </row>
    <row r="308" spans="1:51" ht="60" x14ac:dyDescent="0.25">
      <c r="A308" s="367">
        <v>29234</v>
      </c>
      <c r="B308" s="233" t="str">
        <f>VLOOKUP(Table9[[#This Row],[Document ID]],Table1[],2,FALSE)</f>
        <v>ARE</v>
      </c>
      <c r="C308" s="233" t="str">
        <f>VLOOKUP(Table9[[#This Row],[Document ID]],Table1[],3,FALSE)</f>
        <v>United Arab Emirates</v>
      </c>
      <c r="D308" s="254" t="str">
        <f>VLOOKUP(Table9[[#This Row],[Document ID]],Table1[],5,FALSE)</f>
        <v>NDC</v>
      </c>
      <c r="E308" s="233" t="str">
        <f>VLOOKUP(Table9[[#This Row],[Document ID]],Table1[],7,FALSE)</f>
        <v>Second NDC updated</v>
      </c>
      <c r="F308" s="233" t="str">
        <f>VLOOKUP(Table9[[#This Row],[Document ID]],Table1[],8,FALSE)</f>
        <v>NDC 2.1</v>
      </c>
      <c r="G308" s="233" t="str">
        <f>VLOOKUP(Table9[[#This Row],[Document ID]],Table1[],10,FALSE)</f>
        <v>Archived</v>
      </c>
      <c r="H308" s="44" t="s">
        <v>5076</v>
      </c>
      <c r="I308" s="43" t="s">
        <v>5077</v>
      </c>
      <c r="J308" s="44" t="s">
        <v>5378</v>
      </c>
      <c r="K308" s="221">
        <v>9</v>
      </c>
      <c r="L308" s="113" t="s">
        <v>1113</v>
      </c>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t="s">
        <v>1113</v>
      </c>
      <c r="AK308" s="113"/>
      <c r="AL308" s="113"/>
      <c r="AM308" s="43" t="s">
        <v>5075</v>
      </c>
      <c r="AN308" s="233" t="str">
        <f>VLOOKUP(Table9[[#This Row],[Measure]],Table1025[[Value name]:[Value identifyer]],2,FALSE)</f>
        <v>R_Planning</v>
      </c>
      <c r="AO308" s="241" t="str">
        <f>VLOOKUP(Table9[[#This Row],[Country Code]],Table29[],3,FALSE)</f>
        <v>Non-Annex I</v>
      </c>
      <c r="AP308" s="241" t="str">
        <f>VLOOKUP(Table9[[#This Row],[Country Code]],Table29[],4,FALSE)</f>
        <v>Asia</v>
      </c>
      <c r="AQ308" s="241" t="str">
        <f>VLOOKUP(Table9[[#This Row],[Country Code]],Table29[],5,FALSE)</f>
        <v>High-income</v>
      </c>
      <c r="AR308" s="241" t="str">
        <f>VLOOKUP(Table9[[#This Row],[Country Code]],Table29[],6,FALSE)</f>
        <v>no</v>
      </c>
      <c r="AS308" s="241" t="str">
        <f>VLOOKUP(Table9[[#This Row],[Country Code]],Table29[],7,FALSE)</f>
        <v>no</v>
      </c>
      <c r="AT308" s="241" t="str">
        <f>VLOOKUP(Table9[[#This Row],[Country Code]],Table29[],8,FALSE)</f>
        <v>non-OECD</v>
      </c>
      <c r="AU308" s="233" t="str">
        <f>VLOOKUP(Table9[[#This Row],[Country Code]],Table29[],9,FALSE)</f>
        <v>no</v>
      </c>
      <c r="AV308" s="233" t="str">
        <f>VLOOKUP(Table9[[#This Row],[Country Code]],Table29[],10,FALSE)</f>
        <v>MENA</v>
      </c>
      <c r="AW308" s="233">
        <f>VLOOKUP(Table9[[#This Row],[Country Code]],Table29[],23,FALSE)</f>
        <v>267.82319378585998</v>
      </c>
      <c r="AX308" s="233">
        <f>VLOOKUP(Table9[[#This Row],[Country Code]],Table29[],24,FALSE)</f>
        <v>43.860911308351241</v>
      </c>
      <c r="AY308" s="43"/>
    </row>
    <row r="309" spans="1:51" ht="52.35" customHeight="1" x14ac:dyDescent="0.25">
      <c r="A309" s="367">
        <v>29234</v>
      </c>
      <c r="B309" s="233" t="str">
        <f>VLOOKUP(Table9[[#This Row],[Document ID]],Table1[],2,FALSE)</f>
        <v>ARE</v>
      </c>
      <c r="C309" s="233" t="str">
        <f>VLOOKUP(Table9[[#This Row],[Document ID]],Table1[],3,FALSE)</f>
        <v>United Arab Emirates</v>
      </c>
      <c r="D309" s="254" t="str">
        <f>VLOOKUP(Table9[[#This Row],[Document ID]],Table1[],5,FALSE)</f>
        <v>NDC</v>
      </c>
      <c r="E309" s="233" t="str">
        <f>VLOOKUP(Table9[[#This Row],[Document ID]],Table1[],7,FALSE)</f>
        <v>Second NDC updated</v>
      </c>
      <c r="F309" s="233" t="str">
        <f>VLOOKUP(Table9[[#This Row],[Document ID]],Table1[],8,FALSE)</f>
        <v>NDC 2.1</v>
      </c>
      <c r="G309" s="233" t="str">
        <f>VLOOKUP(Table9[[#This Row],[Document ID]],Table1[],10,FALSE)</f>
        <v>Archived</v>
      </c>
      <c r="H309" s="44" t="s">
        <v>5076</v>
      </c>
      <c r="I309" s="43" t="s">
        <v>5079</v>
      </c>
      <c r="J309" s="44" t="s">
        <v>5379</v>
      </c>
      <c r="K309" s="221">
        <v>9</v>
      </c>
      <c r="L309" s="113" t="s">
        <v>1113</v>
      </c>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t="s">
        <v>1113</v>
      </c>
      <c r="AJ309" s="113"/>
      <c r="AK309" s="113"/>
      <c r="AL309" s="113"/>
      <c r="AM309" s="43" t="s">
        <v>5075</v>
      </c>
      <c r="AN309" s="233" t="str">
        <f>VLOOKUP(Table9[[#This Row],[Measure]],Table1025[[Value name]:[Value identifyer]],2,FALSE)</f>
        <v>R_Laws</v>
      </c>
      <c r="AO309" s="241" t="str">
        <f>VLOOKUP(Table9[[#This Row],[Country Code]],Table29[],3,FALSE)</f>
        <v>Non-Annex I</v>
      </c>
      <c r="AP309" s="241" t="str">
        <f>VLOOKUP(Table9[[#This Row],[Country Code]],Table29[],4,FALSE)</f>
        <v>Asia</v>
      </c>
      <c r="AQ309" s="241" t="str">
        <f>VLOOKUP(Table9[[#This Row],[Country Code]],Table29[],5,FALSE)</f>
        <v>High-income</v>
      </c>
      <c r="AR309" s="241" t="str">
        <f>VLOOKUP(Table9[[#This Row],[Country Code]],Table29[],6,FALSE)</f>
        <v>no</v>
      </c>
      <c r="AS309" s="241" t="str">
        <f>VLOOKUP(Table9[[#This Row],[Country Code]],Table29[],7,FALSE)</f>
        <v>no</v>
      </c>
      <c r="AT309" s="241" t="str">
        <f>VLOOKUP(Table9[[#This Row],[Country Code]],Table29[],8,FALSE)</f>
        <v>non-OECD</v>
      </c>
      <c r="AU309" s="233" t="str">
        <f>VLOOKUP(Table9[[#This Row],[Country Code]],Table29[],9,FALSE)</f>
        <v>no</v>
      </c>
      <c r="AV309" s="233" t="str">
        <f>VLOOKUP(Table9[[#This Row],[Country Code]],Table29[],10,FALSE)</f>
        <v>MENA</v>
      </c>
      <c r="AW309" s="233">
        <f>VLOOKUP(Table9[[#This Row],[Country Code]],Table29[],23,FALSE)</f>
        <v>267.82319378585998</v>
      </c>
      <c r="AX309" s="233">
        <f>VLOOKUP(Table9[[#This Row],[Country Code]],Table29[],24,FALSE)</f>
        <v>43.860911308351241</v>
      </c>
      <c r="AY309" s="43"/>
    </row>
    <row r="310" spans="1:51" ht="150.6" customHeight="1" x14ac:dyDescent="0.25">
      <c r="A310" s="367">
        <v>29234</v>
      </c>
      <c r="B310" s="233" t="str">
        <f>VLOOKUP(Table9[[#This Row],[Document ID]],Table1[],2,FALSE)</f>
        <v>ARE</v>
      </c>
      <c r="C310" s="233" t="str">
        <f>VLOOKUP(Table9[[#This Row],[Document ID]],Table1[],3,FALSE)</f>
        <v>United Arab Emirates</v>
      </c>
      <c r="D310" s="254" t="str">
        <f>VLOOKUP(Table9[[#This Row],[Document ID]],Table1[],5,FALSE)</f>
        <v>NDC</v>
      </c>
      <c r="E310" s="233" t="str">
        <f>VLOOKUP(Table9[[#This Row],[Document ID]],Table1[],7,FALSE)</f>
        <v>Second NDC updated</v>
      </c>
      <c r="F310" s="233" t="str">
        <f>VLOOKUP(Table9[[#This Row],[Document ID]],Table1[],8,FALSE)</f>
        <v>NDC 2.1</v>
      </c>
      <c r="G310" s="233" t="str">
        <f>VLOOKUP(Table9[[#This Row],[Document ID]],Table1[],10,FALSE)</f>
        <v>Archived</v>
      </c>
      <c r="H310" s="44" t="s">
        <v>5086</v>
      </c>
      <c r="I310" s="43" t="s">
        <v>5130</v>
      </c>
      <c r="J310" s="44" t="s">
        <v>5379</v>
      </c>
      <c r="K310" s="221">
        <v>9</v>
      </c>
      <c r="L310" s="113" t="s">
        <v>1113</v>
      </c>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t="s">
        <v>1113</v>
      </c>
      <c r="AJ310" s="113"/>
      <c r="AK310" s="113"/>
      <c r="AL310" s="113"/>
      <c r="AM310" s="43" t="s">
        <v>5075</v>
      </c>
      <c r="AN310" s="233" t="str">
        <f>VLOOKUP(Table9[[#This Row],[Measure]],Table1025[[Value name]:[Value identifyer]],2,FALSE)</f>
        <v>R_Monitoring</v>
      </c>
      <c r="AO310" s="241" t="str">
        <f>VLOOKUP(Table9[[#This Row],[Country Code]],Table29[],3,FALSE)</f>
        <v>Non-Annex I</v>
      </c>
      <c r="AP310" s="241" t="str">
        <f>VLOOKUP(Table9[[#This Row],[Country Code]],Table29[],4,FALSE)</f>
        <v>Asia</v>
      </c>
      <c r="AQ310" s="241" t="str">
        <f>VLOOKUP(Table9[[#This Row],[Country Code]],Table29[],5,FALSE)</f>
        <v>High-income</v>
      </c>
      <c r="AR310" s="241" t="str">
        <f>VLOOKUP(Table9[[#This Row],[Country Code]],Table29[],6,FALSE)</f>
        <v>no</v>
      </c>
      <c r="AS310" s="241" t="str">
        <f>VLOOKUP(Table9[[#This Row],[Country Code]],Table29[],7,FALSE)</f>
        <v>no</v>
      </c>
      <c r="AT310" s="241" t="str">
        <f>VLOOKUP(Table9[[#This Row],[Country Code]],Table29[],8,FALSE)</f>
        <v>non-OECD</v>
      </c>
      <c r="AU310" s="233" t="str">
        <f>VLOOKUP(Table9[[#This Row],[Country Code]],Table29[],9,FALSE)</f>
        <v>no</v>
      </c>
      <c r="AV310" s="233" t="str">
        <f>VLOOKUP(Table9[[#This Row],[Country Code]],Table29[],10,FALSE)</f>
        <v>MENA</v>
      </c>
      <c r="AW310" s="233">
        <f>VLOOKUP(Table9[[#This Row],[Country Code]],Table29[],23,FALSE)</f>
        <v>267.82319378585998</v>
      </c>
      <c r="AX310" s="233">
        <f>VLOOKUP(Table9[[#This Row],[Country Code]],Table29[],24,FALSE)</f>
        <v>43.860911308351241</v>
      </c>
      <c r="AY310" s="43"/>
    </row>
    <row r="311" spans="1:51" ht="30" x14ac:dyDescent="0.25">
      <c r="A311" s="367">
        <v>29234</v>
      </c>
      <c r="B311" s="233" t="str">
        <f>VLOOKUP(Table9[[#This Row],[Document ID]],Table1[],2,FALSE)</f>
        <v>ARE</v>
      </c>
      <c r="C311" s="233" t="str">
        <f>VLOOKUP(Table9[[#This Row],[Document ID]],Table1[],3,FALSE)</f>
        <v>United Arab Emirates</v>
      </c>
      <c r="D311" s="254" t="str">
        <f>VLOOKUP(Table9[[#This Row],[Document ID]],Table1[],5,FALSE)</f>
        <v>NDC</v>
      </c>
      <c r="E311" s="233" t="str">
        <f>VLOOKUP(Table9[[#This Row],[Document ID]],Table1[],7,FALSE)</f>
        <v>Second NDC updated</v>
      </c>
      <c r="F311" s="233" t="str">
        <f>VLOOKUP(Table9[[#This Row],[Document ID]],Table1[],8,FALSE)</f>
        <v>NDC 2.1</v>
      </c>
      <c r="G311" s="233" t="str">
        <f>VLOOKUP(Table9[[#This Row],[Document ID]],Table1[],10,FALSE)</f>
        <v>Archived</v>
      </c>
      <c r="H311" s="44" t="s">
        <v>5072</v>
      </c>
      <c r="I311" s="43" t="s">
        <v>5073</v>
      </c>
      <c r="J311" s="44" t="s">
        <v>5380</v>
      </c>
      <c r="K311" s="221">
        <v>10</v>
      </c>
      <c r="L311" s="113" t="s">
        <v>1113</v>
      </c>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t="s">
        <v>1113</v>
      </c>
      <c r="AJ311" s="113"/>
      <c r="AK311" s="113"/>
      <c r="AL311" s="113"/>
      <c r="AM311" s="43" t="s">
        <v>5075</v>
      </c>
      <c r="AN311" s="233" t="str">
        <f>VLOOKUP(Table9[[#This Row],[Measure]],Table1025[[Value name]:[Value identifyer]],2,FALSE)</f>
        <v>R_System</v>
      </c>
      <c r="AO311" s="241" t="str">
        <f>VLOOKUP(Table9[[#This Row],[Country Code]],Table29[],3,FALSE)</f>
        <v>Non-Annex I</v>
      </c>
      <c r="AP311" s="241" t="str">
        <f>VLOOKUP(Table9[[#This Row],[Country Code]],Table29[],4,FALSE)</f>
        <v>Asia</v>
      </c>
      <c r="AQ311" s="241" t="str">
        <f>VLOOKUP(Table9[[#This Row],[Country Code]],Table29[],5,FALSE)</f>
        <v>High-income</v>
      </c>
      <c r="AR311" s="241" t="str">
        <f>VLOOKUP(Table9[[#This Row],[Country Code]],Table29[],6,FALSE)</f>
        <v>no</v>
      </c>
      <c r="AS311" s="241" t="str">
        <f>VLOOKUP(Table9[[#This Row],[Country Code]],Table29[],7,FALSE)</f>
        <v>no</v>
      </c>
      <c r="AT311" s="241" t="str">
        <f>VLOOKUP(Table9[[#This Row],[Country Code]],Table29[],8,FALSE)</f>
        <v>non-OECD</v>
      </c>
      <c r="AU311" s="233" t="str">
        <f>VLOOKUP(Table9[[#This Row],[Country Code]],Table29[],9,FALSE)</f>
        <v>no</v>
      </c>
      <c r="AV311" s="233" t="str">
        <f>VLOOKUP(Table9[[#This Row],[Country Code]],Table29[],10,FALSE)</f>
        <v>MENA</v>
      </c>
      <c r="AW311" s="233">
        <f>VLOOKUP(Table9[[#This Row],[Country Code]],Table29[],23,FALSE)</f>
        <v>267.82319378585998</v>
      </c>
      <c r="AX311" s="233">
        <f>VLOOKUP(Table9[[#This Row],[Country Code]],Table29[],24,FALSE)</f>
        <v>43.860911308351241</v>
      </c>
      <c r="AY311" s="43"/>
    </row>
    <row r="312" spans="1:51" ht="30" x14ac:dyDescent="0.25">
      <c r="A312" s="367">
        <v>29234</v>
      </c>
      <c r="B312" s="233" t="str">
        <f>VLOOKUP(Table9[[#This Row],[Document ID]],Table1[],2,FALSE)</f>
        <v>ARE</v>
      </c>
      <c r="C312" s="233" t="str">
        <f>VLOOKUP(Table9[[#This Row],[Document ID]],Table1[],3,FALSE)</f>
        <v>United Arab Emirates</v>
      </c>
      <c r="D312" s="254" t="str">
        <f>VLOOKUP(Table9[[#This Row],[Document ID]],Table1[],5,FALSE)</f>
        <v>NDC</v>
      </c>
      <c r="E312" s="233" t="str">
        <f>VLOOKUP(Table9[[#This Row],[Document ID]],Table1[],7,FALSE)</f>
        <v>Second NDC updated</v>
      </c>
      <c r="F312" s="233" t="str">
        <f>VLOOKUP(Table9[[#This Row],[Document ID]],Table1[],8,FALSE)</f>
        <v>NDC 2.1</v>
      </c>
      <c r="G312" s="233" t="str">
        <f>VLOOKUP(Table9[[#This Row],[Document ID]],Table1[],10,FALSE)</f>
        <v>Archived</v>
      </c>
      <c r="H312" s="44" t="s">
        <v>5086</v>
      </c>
      <c r="I312" s="43" t="s">
        <v>5127</v>
      </c>
      <c r="J312" s="44" t="s">
        <v>5381</v>
      </c>
      <c r="K312" s="221">
        <v>10</v>
      </c>
      <c r="L312" s="113"/>
      <c r="M312" s="113"/>
      <c r="N312" s="113"/>
      <c r="O312" s="113"/>
      <c r="P312" s="113"/>
      <c r="Q312" s="113" t="s">
        <v>1113</v>
      </c>
      <c r="R312" s="113"/>
      <c r="S312" s="113"/>
      <c r="T312" s="113"/>
      <c r="U312" s="113"/>
      <c r="V312" s="113"/>
      <c r="W312" s="113"/>
      <c r="X312" s="113"/>
      <c r="Y312" s="113"/>
      <c r="Z312" s="113"/>
      <c r="AA312" s="113"/>
      <c r="AB312" s="113"/>
      <c r="AC312" s="113"/>
      <c r="AD312" s="113"/>
      <c r="AE312" s="113"/>
      <c r="AF312" s="113"/>
      <c r="AG312" s="113"/>
      <c r="AH312" s="113"/>
      <c r="AI312" s="113" t="s">
        <v>1113</v>
      </c>
      <c r="AJ312" s="113"/>
      <c r="AK312" s="113"/>
      <c r="AL312" s="113"/>
      <c r="AM312" s="43" t="s">
        <v>5075</v>
      </c>
      <c r="AN312" s="233" t="str">
        <f>VLOOKUP(Table9[[#This Row],[Measure]],Table1025[[Value name]:[Value identifyer]],2,FALSE)</f>
        <v>R_Emergency</v>
      </c>
      <c r="AO312" s="241" t="str">
        <f>VLOOKUP(Table9[[#This Row],[Country Code]],Table29[],3,FALSE)</f>
        <v>Non-Annex I</v>
      </c>
      <c r="AP312" s="241" t="str">
        <f>VLOOKUP(Table9[[#This Row],[Country Code]],Table29[],4,FALSE)</f>
        <v>Asia</v>
      </c>
      <c r="AQ312" s="241" t="str">
        <f>VLOOKUP(Table9[[#This Row],[Country Code]],Table29[],5,FALSE)</f>
        <v>High-income</v>
      </c>
      <c r="AR312" s="241" t="str">
        <f>VLOOKUP(Table9[[#This Row],[Country Code]],Table29[],6,FALSE)</f>
        <v>no</v>
      </c>
      <c r="AS312" s="241" t="str">
        <f>VLOOKUP(Table9[[#This Row],[Country Code]],Table29[],7,FALSE)</f>
        <v>no</v>
      </c>
      <c r="AT312" s="241" t="str">
        <f>VLOOKUP(Table9[[#This Row],[Country Code]],Table29[],8,FALSE)</f>
        <v>non-OECD</v>
      </c>
      <c r="AU312" s="233" t="str">
        <f>VLOOKUP(Table9[[#This Row],[Country Code]],Table29[],9,FALSE)</f>
        <v>no</v>
      </c>
      <c r="AV312" s="233" t="str">
        <f>VLOOKUP(Table9[[#This Row],[Country Code]],Table29[],10,FALSE)</f>
        <v>MENA</v>
      </c>
      <c r="AW312" s="233">
        <f>VLOOKUP(Table9[[#This Row],[Country Code]],Table29[],23,FALSE)</f>
        <v>267.82319378585998</v>
      </c>
      <c r="AX312" s="233">
        <f>VLOOKUP(Table9[[#This Row],[Country Code]],Table29[],24,FALSE)</f>
        <v>43.860911308351241</v>
      </c>
      <c r="AY312" s="43"/>
    </row>
    <row r="313" spans="1:51" ht="30" x14ac:dyDescent="0.25">
      <c r="A313" s="367">
        <v>29234</v>
      </c>
      <c r="B313" s="233" t="str">
        <f>VLOOKUP(Table9[[#This Row],[Document ID]],Table1[],2,FALSE)</f>
        <v>ARE</v>
      </c>
      <c r="C313" s="233" t="str">
        <f>VLOOKUP(Table9[[#This Row],[Document ID]],Table1[],3,FALSE)</f>
        <v>United Arab Emirates</v>
      </c>
      <c r="D313" s="254" t="str">
        <f>VLOOKUP(Table9[[#This Row],[Document ID]],Table1[],5,FALSE)</f>
        <v>NDC</v>
      </c>
      <c r="E313" s="233" t="str">
        <f>VLOOKUP(Table9[[#This Row],[Document ID]],Table1[],7,FALSE)</f>
        <v>Second NDC updated</v>
      </c>
      <c r="F313" s="233" t="str">
        <f>VLOOKUP(Table9[[#This Row],[Document ID]],Table1[],8,FALSE)</f>
        <v>NDC 2.1</v>
      </c>
      <c r="G313" s="233" t="str">
        <f>VLOOKUP(Table9[[#This Row],[Document ID]],Table1[],10,FALSE)</f>
        <v>Archived</v>
      </c>
      <c r="H313" s="44" t="s">
        <v>5076</v>
      </c>
      <c r="I313" s="43" t="s">
        <v>5077</v>
      </c>
      <c r="J313" s="44" t="s">
        <v>5381</v>
      </c>
      <c r="K313" s="221">
        <v>10</v>
      </c>
      <c r="L313" s="113"/>
      <c r="M313" s="113"/>
      <c r="N313" s="113"/>
      <c r="O313" s="113"/>
      <c r="P313" s="113"/>
      <c r="Q313" s="113" t="s">
        <v>1113</v>
      </c>
      <c r="R313" s="113"/>
      <c r="S313" s="113"/>
      <c r="T313" s="113"/>
      <c r="U313" s="113"/>
      <c r="V313" s="113"/>
      <c r="W313" s="113"/>
      <c r="X313" s="113"/>
      <c r="Y313" s="113"/>
      <c r="Z313" s="113"/>
      <c r="AA313" s="113"/>
      <c r="AB313" s="113"/>
      <c r="AC313" s="113"/>
      <c r="AD313" s="113"/>
      <c r="AE313" s="113"/>
      <c r="AF313" s="113"/>
      <c r="AG313" s="113"/>
      <c r="AH313" s="113"/>
      <c r="AI313" s="113" t="s">
        <v>1113</v>
      </c>
      <c r="AJ313" s="113"/>
      <c r="AK313" s="113"/>
      <c r="AL313" s="113"/>
      <c r="AM313" s="43" t="s">
        <v>5075</v>
      </c>
      <c r="AN313" s="233" t="str">
        <f>VLOOKUP(Table9[[#This Row],[Measure]],Table1025[[Value name]:[Value identifyer]],2,FALSE)</f>
        <v>R_Planning</v>
      </c>
      <c r="AO313" s="241" t="str">
        <f>VLOOKUP(Table9[[#This Row],[Country Code]],Table29[],3,FALSE)</f>
        <v>Non-Annex I</v>
      </c>
      <c r="AP313" s="241" t="str">
        <f>VLOOKUP(Table9[[#This Row],[Country Code]],Table29[],4,FALSE)</f>
        <v>Asia</v>
      </c>
      <c r="AQ313" s="241" t="str">
        <f>VLOOKUP(Table9[[#This Row],[Country Code]],Table29[],5,FALSE)</f>
        <v>High-income</v>
      </c>
      <c r="AR313" s="241" t="str">
        <f>VLOOKUP(Table9[[#This Row],[Country Code]],Table29[],6,FALSE)</f>
        <v>no</v>
      </c>
      <c r="AS313" s="241" t="str">
        <f>VLOOKUP(Table9[[#This Row],[Country Code]],Table29[],7,FALSE)</f>
        <v>no</v>
      </c>
      <c r="AT313" s="241" t="str">
        <f>VLOOKUP(Table9[[#This Row],[Country Code]],Table29[],8,FALSE)</f>
        <v>non-OECD</v>
      </c>
      <c r="AU313" s="233" t="str">
        <f>VLOOKUP(Table9[[#This Row],[Country Code]],Table29[],9,FALSE)</f>
        <v>no</v>
      </c>
      <c r="AV313" s="233" t="str">
        <f>VLOOKUP(Table9[[#This Row],[Country Code]],Table29[],10,FALSE)</f>
        <v>MENA</v>
      </c>
      <c r="AW313" s="233">
        <f>VLOOKUP(Table9[[#This Row],[Country Code]],Table29[],23,FALSE)</f>
        <v>267.82319378585998</v>
      </c>
      <c r="AX313" s="233">
        <f>VLOOKUP(Table9[[#This Row],[Country Code]],Table29[],24,FALSE)</f>
        <v>43.860911308351241</v>
      </c>
      <c r="AY313" s="43"/>
    </row>
    <row r="314" spans="1:51" ht="45" x14ac:dyDescent="0.25">
      <c r="A314" s="367">
        <v>29234</v>
      </c>
      <c r="B314" s="233" t="str">
        <f>VLOOKUP(Table9[[#This Row],[Document ID]],Table1[],2,FALSE)</f>
        <v>ARE</v>
      </c>
      <c r="C314" s="233" t="str">
        <f>VLOOKUP(Table9[[#This Row],[Document ID]],Table1[],3,FALSE)</f>
        <v>United Arab Emirates</v>
      </c>
      <c r="D314" s="254" t="str">
        <f>VLOOKUP(Table9[[#This Row],[Document ID]],Table1[],5,FALSE)</f>
        <v>NDC</v>
      </c>
      <c r="E314" s="233" t="str">
        <f>VLOOKUP(Table9[[#This Row],[Document ID]],Table1[],7,FALSE)</f>
        <v>Second NDC updated</v>
      </c>
      <c r="F314" s="233" t="str">
        <f>VLOOKUP(Table9[[#This Row],[Document ID]],Table1[],8,FALSE)</f>
        <v>NDC 2.1</v>
      </c>
      <c r="G314" s="233" t="str">
        <f>VLOOKUP(Table9[[#This Row],[Document ID]],Table1[],10,FALSE)</f>
        <v>Archived</v>
      </c>
      <c r="H314" s="44" t="s">
        <v>5086</v>
      </c>
      <c r="I314" s="43" t="s">
        <v>5127</v>
      </c>
      <c r="J314" s="44" t="s">
        <v>5382</v>
      </c>
      <c r="K314" s="221">
        <v>10</v>
      </c>
      <c r="L314" s="113"/>
      <c r="M314" s="113"/>
      <c r="N314" s="113"/>
      <c r="O314" s="113"/>
      <c r="P314" s="113"/>
      <c r="Q314" s="113" t="s">
        <v>1113</v>
      </c>
      <c r="R314" s="113"/>
      <c r="S314" s="113"/>
      <c r="T314" s="113"/>
      <c r="U314" s="113"/>
      <c r="V314" s="113"/>
      <c r="W314" s="113"/>
      <c r="X314" s="113"/>
      <c r="Y314" s="113"/>
      <c r="Z314" s="113"/>
      <c r="AA314" s="113"/>
      <c r="AB314" s="113"/>
      <c r="AC314" s="113"/>
      <c r="AD314" s="113"/>
      <c r="AE314" s="113"/>
      <c r="AF314" s="113"/>
      <c r="AG314" s="113"/>
      <c r="AH314" s="113"/>
      <c r="AI314" s="113" t="s">
        <v>1113</v>
      </c>
      <c r="AJ314" s="113"/>
      <c r="AK314" s="113"/>
      <c r="AL314" s="113"/>
      <c r="AM314" s="43" t="s">
        <v>5075</v>
      </c>
      <c r="AN314" s="233" t="str">
        <f>VLOOKUP(Table9[[#This Row],[Measure]],Table1025[[Value name]:[Value identifyer]],2,FALSE)</f>
        <v>R_Emergency</v>
      </c>
      <c r="AO314" s="241" t="str">
        <f>VLOOKUP(Table9[[#This Row],[Country Code]],Table29[],3,FALSE)</f>
        <v>Non-Annex I</v>
      </c>
      <c r="AP314" s="241" t="str">
        <f>VLOOKUP(Table9[[#This Row],[Country Code]],Table29[],4,FALSE)</f>
        <v>Asia</v>
      </c>
      <c r="AQ314" s="241" t="str">
        <f>VLOOKUP(Table9[[#This Row],[Country Code]],Table29[],5,FALSE)</f>
        <v>High-income</v>
      </c>
      <c r="AR314" s="241" t="str">
        <f>VLOOKUP(Table9[[#This Row],[Country Code]],Table29[],6,FALSE)</f>
        <v>no</v>
      </c>
      <c r="AS314" s="241" t="str">
        <f>VLOOKUP(Table9[[#This Row],[Country Code]],Table29[],7,FALSE)</f>
        <v>no</v>
      </c>
      <c r="AT314" s="241" t="str">
        <f>VLOOKUP(Table9[[#This Row],[Country Code]],Table29[],8,FALSE)</f>
        <v>non-OECD</v>
      </c>
      <c r="AU314" s="233" t="str">
        <f>VLOOKUP(Table9[[#This Row],[Country Code]],Table29[],9,FALSE)</f>
        <v>no</v>
      </c>
      <c r="AV314" s="233" t="str">
        <f>VLOOKUP(Table9[[#This Row],[Country Code]],Table29[],10,FALSE)</f>
        <v>MENA</v>
      </c>
      <c r="AW314" s="233">
        <f>VLOOKUP(Table9[[#This Row],[Country Code]],Table29[],23,FALSE)</f>
        <v>267.82319378585998</v>
      </c>
      <c r="AX314" s="233">
        <f>VLOOKUP(Table9[[#This Row],[Country Code]],Table29[],24,FALSE)</f>
        <v>43.860911308351241</v>
      </c>
      <c r="AY314" s="43"/>
    </row>
    <row r="315" spans="1:51" ht="135" x14ac:dyDescent="0.25">
      <c r="A315" s="367">
        <v>39455</v>
      </c>
      <c r="B315" s="233" t="str">
        <f>VLOOKUP(Table9[[#This Row],[Document ID]],Table1[],2,FALSE)</f>
        <v>ARE</v>
      </c>
      <c r="C315" s="233" t="str">
        <f>VLOOKUP(Table9[[#This Row],[Document ID]],Table1[],3,FALSE)</f>
        <v>United Arab Emirates</v>
      </c>
      <c r="D315" s="254" t="str">
        <f>VLOOKUP(Table9[[#This Row],[Document ID]],Table1[],5,FALSE)</f>
        <v>NDC</v>
      </c>
      <c r="E315" s="233" t="str">
        <f>VLOOKUP(Table9[[#This Row],[Document ID]],Table1[],7,FALSE)</f>
        <v>Second NDC updated</v>
      </c>
      <c r="F315" s="241" t="str">
        <f>VLOOKUP(Table9[[#This Row],[Document ID]],Table1[],8,FALSE)</f>
        <v>NDC 2.2</v>
      </c>
      <c r="G315" s="241" t="str">
        <f>VLOOKUP(Table9[[#This Row],[Document ID]],Table1[],10,FALSE)</f>
        <v>Archived</v>
      </c>
      <c r="H315" s="44" t="s">
        <v>5072</v>
      </c>
      <c r="I315" s="43" t="s">
        <v>5073</v>
      </c>
      <c r="J315" s="209" t="s">
        <v>5383</v>
      </c>
      <c r="K315" s="259">
        <v>39</v>
      </c>
      <c r="L315" s="219" t="s">
        <v>1113</v>
      </c>
      <c r="M315" s="219"/>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t="s">
        <v>1113</v>
      </c>
      <c r="AJ315" s="113"/>
      <c r="AK315" s="113"/>
      <c r="AL315" s="113"/>
      <c r="AM315" s="43" t="s">
        <v>5075</v>
      </c>
      <c r="AN315" s="233" t="str">
        <f>VLOOKUP(Table9[[#This Row],[Measure]],Table1025[[Value name]:[Value identifyer]],2,FALSE)</f>
        <v>R_System</v>
      </c>
      <c r="AO315" s="241" t="str">
        <f>VLOOKUP(Table9[[#This Row],[Country Code]],Table29[],3,FALSE)</f>
        <v>Non-Annex I</v>
      </c>
      <c r="AP315" s="241" t="str">
        <f>VLOOKUP(Table9[[#This Row],[Country Code]],Table29[],4,FALSE)</f>
        <v>Asia</v>
      </c>
      <c r="AQ315" s="241" t="str">
        <f>VLOOKUP(Table9[[#This Row],[Country Code]],Table29[],5,FALSE)</f>
        <v>High-income</v>
      </c>
      <c r="AR315" s="241" t="str">
        <f>VLOOKUP(Table9[[#This Row],[Country Code]],Table29[],6,FALSE)</f>
        <v>no</v>
      </c>
      <c r="AS315" s="241" t="str">
        <f>VLOOKUP(Table9[[#This Row],[Country Code]],Table29[],7,FALSE)</f>
        <v>no</v>
      </c>
      <c r="AT315" s="241" t="str">
        <f>VLOOKUP(Table9[[#This Row],[Country Code]],Table29[],8,FALSE)</f>
        <v>non-OECD</v>
      </c>
      <c r="AU315" s="233" t="str">
        <f>VLOOKUP(Table9[[#This Row],[Country Code]],Table29[],9,FALSE)</f>
        <v>no</v>
      </c>
      <c r="AV315" s="233" t="str">
        <f>VLOOKUP(Table9[[#This Row],[Country Code]],Table29[],10,FALSE)</f>
        <v>MENA</v>
      </c>
      <c r="AW315" s="233">
        <f>VLOOKUP(Table9[[#This Row],[Country Code]],Table29[],23,FALSE)</f>
        <v>267.82319378585998</v>
      </c>
      <c r="AX315" s="233">
        <f>VLOOKUP(Table9[[#This Row],[Country Code]],Table29[],24,FALSE)</f>
        <v>43.860911308351241</v>
      </c>
      <c r="AY315" s="43"/>
    </row>
    <row r="316" spans="1:51" ht="75" x14ac:dyDescent="0.25">
      <c r="A316" s="367">
        <v>39455</v>
      </c>
      <c r="B316" s="233" t="str">
        <f>VLOOKUP(Table9[[#This Row],[Document ID]],Table1[],2,FALSE)</f>
        <v>ARE</v>
      </c>
      <c r="C316" s="233" t="str">
        <f>VLOOKUP(Table9[[#This Row],[Document ID]],Table1[],3,FALSE)</f>
        <v>United Arab Emirates</v>
      </c>
      <c r="D316" s="254" t="str">
        <f>VLOOKUP(Table9[[#This Row],[Document ID]],Table1[],5,FALSE)</f>
        <v>NDC</v>
      </c>
      <c r="E316" s="233" t="str">
        <f>VLOOKUP(Table9[[#This Row],[Document ID]],Table1[],7,FALSE)</f>
        <v>Second NDC updated</v>
      </c>
      <c r="F316" s="241" t="str">
        <f>VLOOKUP(Table9[[#This Row],[Document ID]],Table1[],8,FALSE)</f>
        <v>NDC 2.2</v>
      </c>
      <c r="G316" s="241" t="str">
        <f>VLOOKUP(Table9[[#This Row],[Document ID]],Table1[],10,FALSE)</f>
        <v>Archived</v>
      </c>
      <c r="H316" s="44" t="s">
        <v>5072</v>
      </c>
      <c r="I316" s="43" t="s">
        <v>5073</v>
      </c>
      <c r="J316" s="209" t="s">
        <v>5384</v>
      </c>
      <c r="K316" s="259">
        <v>39</v>
      </c>
      <c r="L316" s="219"/>
      <c r="M316" s="219"/>
      <c r="N316" s="113"/>
      <c r="O316" s="113" t="s">
        <v>1113</v>
      </c>
      <c r="P316" s="113"/>
      <c r="Q316" s="113"/>
      <c r="R316" s="113"/>
      <c r="S316" s="113"/>
      <c r="T316" s="113"/>
      <c r="U316" s="113"/>
      <c r="V316" s="113"/>
      <c r="W316" s="113"/>
      <c r="X316" s="113"/>
      <c r="Y316" s="113"/>
      <c r="Z316" s="113"/>
      <c r="AA316" s="113"/>
      <c r="AB316" s="113"/>
      <c r="AC316" s="113"/>
      <c r="AD316" s="113"/>
      <c r="AE316" s="113"/>
      <c r="AF316" s="113"/>
      <c r="AG316" s="113"/>
      <c r="AH316" s="113"/>
      <c r="AI316" s="113" t="s">
        <v>1113</v>
      </c>
      <c r="AJ316" s="113"/>
      <c r="AK316" s="113"/>
      <c r="AL316" s="113"/>
      <c r="AM316" s="43" t="s">
        <v>5075</v>
      </c>
      <c r="AN316" s="233" t="str">
        <f>VLOOKUP(Table9[[#This Row],[Measure]],Table1025[[Value name]:[Value identifyer]],2,FALSE)</f>
        <v>R_System</v>
      </c>
      <c r="AO316" s="241" t="str">
        <f>VLOOKUP(Table9[[#This Row],[Country Code]],Table29[],3,FALSE)</f>
        <v>Non-Annex I</v>
      </c>
      <c r="AP316" s="241" t="str">
        <f>VLOOKUP(Table9[[#This Row],[Country Code]],Table29[],4,FALSE)</f>
        <v>Asia</v>
      </c>
      <c r="AQ316" s="241" t="str">
        <f>VLOOKUP(Table9[[#This Row],[Country Code]],Table29[],5,FALSE)</f>
        <v>High-income</v>
      </c>
      <c r="AR316" s="241" t="str">
        <f>VLOOKUP(Table9[[#This Row],[Country Code]],Table29[],6,FALSE)</f>
        <v>no</v>
      </c>
      <c r="AS316" s="241" t="str">
        <f>VLOOKUP(Table9[[#This Row],[Country Code]],Table29[],7,FALSE)</f>
        <v>no</v>
      </c>
      <c r="AT316" s="241" t="str">
        <f>VLOOKUP(Table9[[#This Row],[Country Code]],Table29[],8,FALSE)</f>
        <v>non-OECD</v>
      </c>
      <c r="AU316" s="233" t="str">
        <f>VLOOKUP(Table9[[#This Row],[Country Code]],Table29[],9,FALSE)</f>
        <v>no</v>
      </c>
      <c r="AV316" s="233" t="str">
        <f>VLOOKUP(Table9[[#This Row],[Country Code]],Table29[],10,FALSE)</f>
        <v>MENA</v>
      </c>
      <c r="AW316" s="233">
        <f>VLOOKUP(Table9[[#This Row],[Country Code]],Table29[],23,FALSE)</f>
        <v>267.82319378585998</v>
      </c>
      <c r="AX316" s="233">
        <f>VLOOKUP(Table9[[#This Row],[Country Code]],Table29[],24,FALSE)</f>
        <v>43.860911308351241</v>
      </c>
      <c r="AY316" s="43"/>
    </row>
    <row r="317" spans="1:51" ht="30" x14ac:dyDescent="0.25">
      <c r="A317" s="368">
        <v>21267</v>
      </c>
      <c r="B317" s="233" t="str">
        <f>VLOOKUP(Table9[[#This Row],[Document ID]],Table1[],2,FALSE)</f>
        <v>TZA</v>
      </c>
      <c r="C317" s="233" t="str">
        <f>VLOOKUP(Table9[[#This Row],[Document ID]],Table1[],3,FALSE)</f>
        <v>United Republic of Tanzania</v>
      </c>
      <c r="D317" s="241" t="str">
        <f>VLOOKUP(Table9[[#This Row],[Document ID]],Table1[],5,FALSE)</f>
        <v>NDC</v>
      </c>
      <c r="E317" s="233" t="str">
        <f>VLOOKUP(Table9[[#This Row],[Document ID]],Table1[],7,FALSE)</f>
        <v>First NDC updated</v>
      </c>
      <c r="F317" s="241" t="str">
        <f>VLOOKUP(Table9[[#This Row],[Document ID]],Table1[],8,FALSE)</f>
        <v>NDC 1.1</v>
      </c>
      <c r="G317" s="241" t="str">
        <f>VLOOKUP(Table9[[#This Row],[Document ID]],Table1[],10,FALSE)</f>
        <v>Active</v>
      </c>
      <c r="H317" s="44" t="s">
        <v>5072</v>
      </c>
      <c r="I317" s="43" t="s">
        <v>5073</v>
      </c>
      <c r="J317" s="209" t="s">
        <v>5385</v>
      </c>
      <c r="K317" s="259">
        <v>11</v>
      </c>
      <c r="L317" s="326" t="s">
        <v>1113</v>
      </c>
      <c r="M317" s="326"/>
      <c r="N317" s="326"/>
      <c r="O317" s="326"/>
      <c r="P317" s="326"/>
      <c r="Q317" s="326"/>
      <c r="R317" s="326"/>
      <c r="S317" s="326"/>
      <c r="T317" s="326"/>
      <c r="U317" s="326"/>
      <c r="V317" s="326"/>
      <c r="W317" s="326"/>
      <c r="X317" s="326"/>
      <c r="Y317" s="326"/>
      <c r="Z317" s="326"/>
      <c r="AA317" s="326"/>
      <c r="AB317" s="326"/>
      <c r="AC317" s="326"/>
      <c r="AD317" s="326"/>
      <c r="AE317" s="326"/>
      <c r="AF317" s="326"/>
      <c r="AG317" s="326"/>
      <c r="AH317" s="326"/>
      <c r="AI317" s="326" t="s">
        <v>1113</v>
      </c>
      <c r="AJ317" s="326"/>
      <c r="AK317" s="326"/>
      <c r="AL317" s="326"/>
      <c r="AM317" s="327" t="s">
        <v>5075</v>
      </c>
      <c r="AN317" s="233" t="str">
        <f>VLOOKUP(Table9[[#This Row],[Measure]],Table1025[[Value name]:[Value identifyer]],2,FALSE)</f>
        <v>R_System</v>
      </c>
      <c r="AO317" s="241" t="str">
        <f>VLOOKUP(Table9[[#This Row],[Country Code]],Table29[],3,FALSE)</f>
        <v>Non-Annex I</v>
      </c>
      <c r="AP317" s="241" t="str">
        <f>VLOOKUP(Table9[[#This Row],[Country Code]],Table29[],4,FALSE)</f>
        <v>Africa</v>
      </c>
      <c r="AQ317" s="241" t="str">
        <f>VLOOKUP(Table9[[#This Row],[Country Code]],Table29[],5,FALSE)</f>
        <v>Middle-income</v>
      </c>
      <c r="AR317" s="241" t="str">
        <f>VLOOKUP(Table9[[#This Row],[Country Code]],Table29[],6,FALSE)</f>
        <v>no</v>
      </c>
      <c r="AS317" s="241" t="str">
        <f>VLOOKUP(Table9[[#This Row],[Country Code]],Table29[],7,FALSE)</f>
        <v>no</v>
      </c>
      <c r="AT317" s="241" t="str">
        <f>VLOOKUP(Table9[[#This Row],[Country Code]],Table29[],8,FALSE)</f>
        <v>non-OECD</v>
      </c>
      <c r="AU317" s="233" t="str">
        <f>VLOOKUP(Table9[[#This Row],[Country Code]],Table29[],9,FALSE)</f>
        <v>no</v>
      </c>
      <c r="AV317" s="233" t="str">
        <f>VLOOKUP(Table9[[#This Row],[Country Code]],Table29[],10,FALSE)</f>
        <v>no</v>
      </c>
      <c r="AW317" s="233">
        <f>VLOOKUP(Table9[[#This Row],[Country Code]],Table29[],23,FALSE)</f>
        <v>89.815439405641001</v>
      </c>
      <c r="AX317" s="233">
        <f>VLOOKUP(Table9[[#This Row],[Country Code]],Table29[],24,FALSE)</f>
        <v>9.0665378622625585</v>
      </c>
      <c r="AY317" s="43"/>
    </row>
    <row r="318" spans="1:51" ht="30" x14ac:dyDescent="0.25">
      <c r="A318" s="368">
        <v>21267</v>
      </c>
      <c r="B318" s="233" t="str">
        <f>VLOOKUP(Table9[[#This Row],[Document ID]],Table1[],2,FALSE)</f>
        <v>TZA</v>
      </c>
      <c r="C318" s="233" t="str">
        <f>VLOOKUP(Table9[[#This Row],[Document ID]],Table1[],3,FALSE)</f>
        <v>United Republic of Tanzania</v>
      </c>
      <c r="D318" s="241" t="str">
        <f>VLOOKUP(Table9[[#This Row],[Document ID]],Table1[],5,FALSE)</f>
        <v>NDC</v>
      </c>
      <c r="E318" s="233" t="str">
        <f>VLOOKUP(Table9[[#This Row],[Document ID]],Table1[],7,FALSE)</f>
        <v>First NDC updated</v>
      </c>
      <c r="F318" s="241" t="str">
        <f>VLOOKUP(Table9[[#This Row],[Document ID]],Table1[],8,FALSE)</f>
        <v>NDC 1.1</v>
      </c>
      <c r="G318" s="241" t="str">
        <f>VLOOKUP(Table9[[#This Row],[Document ID]],Table1[],10,FALSE)</f>
        <v>Active</v>
      </c>
      <c r="H318" s="44" t="s">
        <v>5076</v>
      </c>
      <c r="I318" s="43" t="s">
        <v>5089</v>
      </c>
      <c r="J318" s="209" t="s">
        <v>5386</v>
      </c>
      <c r="K318" s="259">
        <v>11</v>
      </c>
      <c r="L318" s="326" t="s">
        <v>1113</v>
      </c>
      <c r="M318" s="326"/>
      <c r="N318" s="326"/>
      <c r="O318" s="326"/>
      <c r="P318" s="326"/>
      <c r="Q318" s="326"/>
      <c r="R318" s="326"/>
      <c r="S318" s="326"/>
      <c r="T318" s="326"/>
      <c r="U318" s="326"/>
      <c r="V318" s="326"/>
      <c r="W318" s="326"/>
      <c r="X318" s="326"/>
      <c r="Y318" s="326"/>
      <c r="Z318" s="326"/>
      <c r="AA318" s="326"/>
      <c r="AB318" s="326"/>
      <c r="AC318" s="326"/>
      <c r="AD318" s="326"/>
      <c r="AE318" s="326"/>
      <c r="AF318" s="326"/>
      <c r="AG318" s="326"/>
      <c r="AH318" s="326"/>
      <c r="AI318" s="326" t="s">
        <v>1113</v>
      </c>
      <c r="AJ318" s="326"/>
      <c r="AK318" s="326"/>
      <c r="AL318" s="326"/>
      <c r="AM318" s="327" t="s">
        <v>5075</v>
      </c>
      <c r="AN318" s="233" t="str">
        <f>VLOOKUP(Table9[[#This Row],[Measure]],Table1025[[Value name]:[Value identifyer]],2,FALSE)</f>
        <v>R_Design</v>
      </c>
      <c r="AO318" s="241" t="str">
        <f>VLOOKUP(Table9[[#This Row],[Country Code]],Table29[],3,FALSE)</f>
        <v>Non-Annex I</v>
      </c>
      <c r="AP318" s="241" t="str">
        <f>VLOOKUP(Table9[[#This Row],[Country Code]],Table29[],4,FALSE)</f>
        <v>Africa</v>
      </c>
      <c r="AQ318" s="241" t="str">
        <f>VLOOKUP(Table9[[#This Row],[Country Code]],Table29[],5,FALSE)</f>
        <v>Middle-income</v>
      </c>
      <c r="AR318" s="241" t="str">
        <f>VLOOKUP(Table9[[#This Row],[Country Code]],Table29[],6,FALSE)</f>
        <v>no</v>
      </c>
      <c r="AS318" s="241" t="str">
        <f>VLOOKUP(Table9[[#This Row],[Country Code]],Table29[],7,FALSE)</f>
        <v>no</v>
      </c>
      <c r="AT318" s="241" t="str">
        <f>VLOOKUP(Table9[[#This Row],[Country Code]],Table29[],8,FALSE)</f>
        <v>non-OECD</v>
      </c>
      <c r="AU318" s="233" t="str">
        <f>VLOOKUP(Table9[[#This Row],[Country Code]],Table29[],9,FALSE)</f>
        <v>no</v>
      </c>
      <c r="AV318" s="233" t="str">
        <f>VLOOKUP(Table9[[#This Row],[Country Code]],Table29[],10,FALSE)</f>
        <v>no</v>
      </c>
      <c r="AW318" s="233">
        <f>VLOOKUP(Table9[[#This Row],[Country Code]],Table29[],23,FALSE)</f>
        <v>89.815439405641001</v>
      </c>
      <c r="AX318" s="233">
        <f>VLOOKUP(Table9[[#This Row],[Country Code]],Table29[],24,FALSE)</f>
        <v>9.0665378622625585</v>
      </c>
      <c r="AY318" s="43"/>
    </row>
    <row r="319" spans="1:51" ht="15" customHeight="1" x14ac:dyDescent="0.25">
      <c r="A319" s="368">
        <v>21267</v>
      </c>
      <c r="B319" s="233" t="str">
        <f>VLOOKUP(Table9[[#This Row],[Document ID]],Table1[],2,FALSE)</f>
        <v>TZA</v>
      </c>
      <c r="C319" s="233" t="str">
        <f>VLOOKUP(Table9[[#This Row],[Document ID]],Table1[],3,FALSE)</f>
        <v>United Republic of Tanzania</v>
      </c>
      <c r="D319" s="241" t="str">
        <f>VLOOKUP(Table9[[#This Row],[Document ID]],Table1[],5,FALSE)</f>
        <v>NDC</v>
      </c>
      <c r="E319" s="233" t="str">
        <f>VLOOKUP(Table9[[#This Row],[Document ID]],Table1[],7,FALSE)</f>
        <v>First NDC updated</v>
      </c>
      <c r="F319" s="241" t="str">
        <f>VLOOKUP(Table9[[#This Row],[Document ID]],Table1[],8,FALSE)</f>
        <v>NDC 1.1</v>
      </c>
      <c r="G319" s="241" t="str">
        <f>VLOOKUP(Table9[[#This Row],[Document ID]],Table1[],10,FALSE)</f>
        <v>Active</v>
      </c>
      <c r="H319" s="44" t="s">
        <v>5086</v>
      </c>
      <c r="I319" s="43" t="s">
        <v>5087</v>
      </c>
      <c r="J319" s="209" t="s">
        <v>5387</v>
      </c>
      <c r="K319" s="259">
        <v>12</v>
      </c>
      <c r="L319" s="326" t="s">
        <v>1113</v>
      </c>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c r="AI319" s="326" t="s">
        <v>1113</v>
      </c>
      <c r="AJ319" s="326"/>
      <c r="AK319" s="326"/>
      <c r="AL319" s="326"/>
      <c r="AM319" s="327" t="s">
        <v>5075</v>
      </c>
      <c r="AN319" s="233" t="str">
        <f>VLOOKUP(Table9[[#This Row],[Measure]],Table1025[[Value name]:[Value identifyer]],2,FALSE)</f>
        <v>R_Education</v>
      </c>
      <c r="AO319" s="241" t="str">
        <f>VLOOKUP(Table9[[#This Row],[Country Code]],Table29[],3,FALSE)</f>
        <v>Non-Annex I</v>
      </c>
      <c r="AP319" s="241" t="str">
        <f>VLOOKUP(Table9[[#This Row],[Country Code]],Table29[],4,FALSE)</f>
        <v>Africa</v>
      </c>
      <c r="AQ319" s="241" t="str">
        <f>VLOOKUP(Table9[[#This Row],[Country Code]],Table29[],5,FALSE)</f>
        <v>Middle-income</v>
      </c>
      <c r="AR319" s="241" t="str">
        <f>VLOOKUP(Table9[[#This Row],[Country Code]],Table29[],6,FALSE)</f>
        <v>no</v>
      </c>
      <c r="AS319" s="241" t="str">
        <f>VLOOKUP(Table9[[#This Row],[Country Code]],Table29[],7,FALSE)</f>
        <v>no</v>
      </c>
      <c r="AT319" s="241" t="str">
        <f>VLOOKUP(Table9[[#This Row],[Country Code]],Table29[],8,FALSE)</f>
        <v>non-OECD</v>
      </c>
      <c r="AU319" s="233" t="str">
        <f>VLOOKUP(Table9[[#This Row],[Country Code]],Table29[],9,FALSE)</f>
        <v>no</v>
      </c>
      <c r="AV319" s="233" t="str">
        <f>VLOOKUP(Table9[[#This Row],[Country Code]],Table29[],10,FALSE)</f>
        <v>no</v>
      </c>
      <c r="AW319" s="233">
        <f>VLOOKUP(Table9[[#This Row],[Country Code]],Table29[],23,FALSE)</f>
        <v>89.815439405641001</v>
      </c>
      <c r="AX319" s="233">
        <f>VLOOKUP(Table9[[#This Row],[Country Code]],Table29[],24,FALSE)</f>
        <v>9.0665378622625585</v>
      </c>
      <c r="AY319" s="43"/>
    </row>
    <row r="320" spans="1:51" ht="15" customHeight="1" x14ac:dyDescent="0.25">
      <c r="A320" s="368">
        <v>21267</v>
      </c>
      <c r="B320" s="233" t="str">
        <f>VLOOKUP(Table9[[#This Row],[Document ID]],Table1[],2,FALSE)</f>
        <v>TZA</v>
      </c>
      <c r="C320" s="233" t="str">
        <f>VLOOKUP(Table9[[#This Row],[Document ID]],Table1[],3,FALSE)</f>
        <v>United Republic of Tanzania</v>
      </c>
      <c r="D320" s="241" t="str">
        <f>VLOOKUP(Table9[[#This Row],[Document ID]],Table1[],5,FALSE)</f>
        <v>NDC</v>
      </c>
      <c r="E320" s="233" t="str">
        <f>VLOOKUP(Table9[[#This Row],[Document ID]],Table1[],7,FALSE)</f>
        <v>First NDC updated</v>
      </c>
      <c r="F320" s="241" t="str">
        <f>VLOOKUP(Table9[[#This Row],[Document ID]],Table1[],8,FALSE)</f>
        <v>NDC 1.1</v>
      </c>
      <c r="G320" s="241" t="str">
        <f>VLOOKUP(Table9[[#This Row],[Document ID]],Table1[],10,FALSE)</f>
        <v>Active</v>
      </c>
      <c r="H320" s="44" t="s">
        <v>5086</v>
      </c>
      <c r="I320" s="43" t="s">
        <v>5127</v>
      </c>
      <c r="J320" s="209" t="s">
        <v>5388</v>
      </c>
      <c r="K320" s="259">
        <v>12</v>
      </c>
      <c r="L320" s="326" t="s">
        <v>1113</v>
      </c>
      <c r="M320" s="326"/>
      <c r="N320" s="326"/>
      <c r="O320" s="326"/>
      <c r="P320" s="326"/>
      <c r="Q320" s="326"/>
      <c r="R320" s="326"/>
      <c r="S320" s="326"/>
      <c r="T320" s="326"/>
      <c r="U320" s="326"/>
      <c r="V320" s="326"/>
      <c r="W320" s="326"/>
      <c r="X320" s="326"/>
      <c r="Y320" s="326"/>
      <c r="Z320" s="326"/>
      <c r="AA320" s="326"/>
      <c r="AB320" s="326"/>
      <c r="AC320" s="326"/>
      <c r="AD320" s="326"/>
      <c r="AE320" s="326"/>
      <c r="AF320" s="326"/>
      <c r="AG320" s="326"/>
      <c r="AH320" s="326"/>
      <c r="AI320" s="326" t="s">
        <v>1113</v>
      </c>
      <c r="AJ320" s="326"/>
      <c r="AK320" s="326"/>
      <c r="AL320" s="326"/>
      <c r="AM320" s="327" t="s">
        <v>5075</v>
      </c>
      <c r="AN320" s="233" t="str">
        <f>VLOOKUP(Table9[[#This Row],[Measure]],Table1025[[Value name]:[Value identifyer]],2,FALSE)</f>
        <v>R_Emergency</v>
      </c>
      <c r="AO320" s="241" t="str">
        <f>VLOOKUP(Table9[[#This Row],[Country Code]],Table29[],3,FALSE)</f>
        <v>Non-Annex I</v>
      </c>
      <c r="AP320" s="241" t="str">
        <f>VLOOKUP(Table9[[#This Row],[Country Code]],Table29[],4,FALSE)</f>
        <v>Africa</v>
      </c>
      <c r="AQ320" s="241" t="str">
        <f>VLOOKUP(Table9[[#This Row],[Country Code]],Table29[],5,FALSE)</f>
        <v>Middle-income</v>
      </c>
      <c r="AR320" s="241" t="str">
        <f>VLOOKUP(Table9[[#This Row],[Country Code]],Table29[],6,FALSE)</f>
        <v>no</v>
      </c>
      <c r="AS320" s="241" t="str">
        <f>VLOOKUP(Table9[[#This Row],[Country Code]],Table29[],7,FALSE)</f>
        <v>no</v>
      </c>
      <c r="AT320" s="241" t="str">
        <f>VLOOKUP(Table9[[#This Row],[Country Code]],Table29[],8,FALSE)</f>
        <v>non-OECD</v>
      </c>
      <c r="AU320" s="233" t="str">
        <f>VLOOKUP(Table9[[#This Row],[Country Code]],Table29[],9,FALSE)</f>
        <v>no</v>
      </c>
      <c r="AV320" s="233" t="str">
        <f>VLOOKUP(Table9[[#This Row],[Country Code]],Table29[],10,FALSE)</f>
        <v>no</v>
      </c>
      <c r="AW320" s="233">
        <f>VLOOKUP(Table9[[#This Row],[Country Code]],Table29[],23,FALSE)</f>
        <v>89.815439405641001</v>
      </c>
      <c r="AX320" s="233">
        <f>VLOOKUP(Table9[[#This Row],[Country Code]],Table29[],24,FALSE)</f>
        <v>9.0665378622625585</v>
      </c>
      <c r="AY320" s="43"/>
    </row>
    <row r="321" spans="1:51" ht="15" customHeight="1" x14ac:dyDescent="0.25">
      <c r="A321" s="368">
        <v>21267</v>
      </c>
      <c r="B321" s="233" t="str">
        <f>VLOOKUP(Table9[[#This Row],[Document ID]],Table1[],2,FALSE)</f>
        <v>TZA</v>
      </c>
      <c r="C321" s="233" t="str">
        <f>VLOOKUP(Table9[[#This Row],[Document ID]],Table1[],3,FALSE)</f>
        <v>United Republic of Tanzania</v>
      </c>
      <c r="D321" s="241" t="str">
        <f>VLOOKUP(Table9[[#This Row],[Document ID]],Table1[],5,FALSE)</f>
        <v>NDC</v>
      </c>
      <c r="E321" s="233" t="str">
        <f>VLOOKUP(Table9[[#This Row],[Document ID]],Table1[],7,FALSE)</f>
        <v>First NDC updated</v>
      </c>
      <c r="F321" s="241" t="str">
        <f>VLOOKUP(Table9[[#This Row],[Document ID]],Table1[],8,FALSE)</f>
        <v>NDC 1.1</v>
      </c>
      <c r="G321" s="241" t="str">
        <f>VLOOKUP(Table9[[#This Row],[Document ID]],Table1[],10,FALSE)</f>
        <v>Active</v>
      </c>
      <c r="H321" s="44" t="s">
        <v>5086</v>
      </c>
      <c r="I321" s="43" t="s">
        <v>5127</v>
      </c>
      <c r="J321" s="209" t="s">
        <v>5388</v>
      </c>
      <c r="K321" s="259">
        <v>12</v>
      </c>
      <c r="L321" s="326" t="s">
        <v>1113</v>
      </c>
      <c r="M321" s="326"/>
      <c r="N321" s="326"/>
      <c r="O321" s="326"/>
      <c r="P321" s="326"/>
      <c r="Q321" s="326"/>
      <c r="R321" s="326"/>
      <c r="S321" s="326"/>
      <c r="T321" s="326"/>
      <c r="U321" s="326"/>
      <c r="V321" s="326"/>
      <c r="W321" s="326"/>
      <c r="X321" s="326"/>
      <c r="Y321" s="326"/>
      <c r="Z321" s="326"/>
      <c r="AA321" s="326"/>
      <c r="AB321" s="326"/>
      <c r="AC321" s="326"/>
      <c r="AD321" s="326"/>
      <c r="AE321" s="326"/>
      <c r="AF321" s="326"/>
      <c r="AG321" s="326"/>
      <c r="AH321" s="326"/>
      <c r="AI321" s="326" t="s">
        <v>1113</v>
      </c>
      <c r="AJ321" s="326"/>
      <c r="AK321" s="326"/>
      <c r="AL321" s="326"/>
      <c r="AM321" s="327" t="s">
        <v>5075</v>
      </c>
      <c r="AN321" s="233" t="str">
        <f>VLOOKUP(Table9[[#This Row],[Measure]],Table1025[[Value name]:[Value identifyer]],2,FALSE)</f>
        <v>R_Emergency</v>
      </c>
      <c r="AO321" s="241" t="str">
        <f>VLOOKUP(Table9[[#This Row],[Country Code]],Table29[],3,FALSE)</f>
        <v>Non-Annex I</v>
      </c>
      <c r="AP321" s="241" t="str">
        <f>VLOOKUP(Table9[[#This Row],[Country Code]],Table29[],4,FALSE)</f>
        <v>Africa</v>
      </c>
      <c r="AQ321" s="241" t="str">
        <f>VLOOKUP(Table9[[#This Row],[Country Code]],Table29[],5,FALSE)</f>
        <v>Middle-income</v>
      </c>
      <c r="AR321" s="241" t="str">
        <f>VLOOKUP(Table9[[#This Row],[Country Code]],Table29[],6,FALSE)</f>
        <v>no</v>
      </c>
      <c r="AS321" s="241" t="str">
        <f>VLOOKUP(Table9[[#This Row],[Country Code]],Table29[],7,FALSE)</f>
        <v>no</v>
      </c>
      <c r="AT321" s="241" t="str">
        <f>VLOOKUP(Table9[[#This Row],[Country Code]],Table29[],8,FALSE)</f>
        <v>non-OECD</v>
      </c>
      <c r="AU321" s="233" t="str">
        <f>VLOOKUP(Table9[[#This Row],[Country Code]],Table29[],9,FALSE)</f>
        <v>no</v>
      </c>
      <c r="AV321" s="233" t="str">
        <f>VLOOKUP(Table9[[#This Row],[Country Code]],Table29[],10,FALSE)</f>
        <v>no</v>
      </c>
      <c r="AW321" s="233">
        <f>VLOOKUP(Table9[[#This Row],[Country Code]],Table29[],23,FALSE)</f>
        <v>89.815439405641001</v>
      </c>
      <c r="AX321" s="233">
        <f>VLOOKUP(Table9[[#This Row],[Country Code]],Table29[],24,FALSE)</f>
        <v>9.0665378622625585</v>
      </c>
      <c r="AY321" s="43"/>
    </row>
    <row r="322" spans="1:51" ht="15" customHeight="1" x14ac:dyDescent="0.25">
      <c r="A322" s="360">
        <v>32524</v>
      </c>
      <c r="B322" s="233" t="str">
        <f>VLOOKUP(Table9[[#This Row],[Document ID]],Table1[],2,FALSE)</f>
        <v>URY</v>
      </c>
      <c r="C322" s="233" t="str">
        <f>VLOOKUP(Table9[[#This Row],[Document ID]],Table1[],3,FALSE)</f>
        <v>Uruguay</v>
      </c>
      <c r="D322" s="233" t="str">
        <f>VLOOKUP(Table9[[#This Row],[Document ID]],Table1[],5,FALSE)</f>
        <v>NDC</v>
      </c>
      <c r="E322" s="233" t="str">
        <f>VLOOKUP(Table9[[#This Row],[Document ID]],Table1[],7,FALSE)</f>
        <v>Second NDC</v>
      </c>
      <c r="F322" s="233" t="str">
        <f>VLOOKUP(Table9[[#This Row],[Document ID]],Table1[],8,FALSE)</f>
        <v>NDC 2.0</v>
      </c>
      <c r="G322" s="233" t="str">
        <f>VLOOKUP(Table9[[#This Row],[Document ID]],Table1[],10,FALSE)</f>
        <v>Archived</v>
      </c>
      <c r="H322" s="43" t="s">
        <v>5072</v>
      </c>
      <c r="I322" s="43" t="s">
        <v>5073</v>
      </c>
      <c r="J322" s="44" t="s">
        <v>5389</v>
      </c>
      <c r="K322" s="221">
        <v>10</v>
      </c>
      <c r="L322" s="113" t="s">
        <v>1113</v>
      </c>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t="s">
        <v>1113</v>
      </c>
      <c r="AJ322" s="326"/>
      <c r="AK322" s="326"/>
      <c r="AL322" s="326"/>
      <c r="AM322" s="209" t="s">
        <v>5075</v>
      </c>
      <c r="AN322" s="233" t="str">
        <f>VLOOKUP(Table9[[#This Row],[Measure]],Table1025[[Value name]:[Value identifyer]],2,FALSE)</f>
        <v>R_System</v>
      </c>
      <c r="AO322" s="241" t="str">
        <f>VLOOKUP(Table9[[#This Row],[Country Code]],Table29[],3,FALSE)</f>
        <v>Non-Annex I</v>
      </c>
      <c r="AP322" s="241" t="str">
        <f>VLOOKUP(Table9[[#This Row],[Country Code]],Table29[],4,FALSE)</f>
        <v>Latin America and the Caribbean</v>
      </c>
      <c r="AQ322" s="241" t="str">
        <f>VLOOKUP(Table9[[#This Row],[Country Code]],Table29[],5,FALSE)</f>
        <v>High-income</v>
      </c>
      <c r="AR322" s="241" t="str">
        <f>VLOOKUP(Table9[[#This Row],[Country Code]],Table29[],6,FALSE)</f>
        <v>no</v>
      </c>
      <c r="AS322" s="241" t="str">
        <f>VLOOKUP(Table9[[#This Row],[Country Code]],Table29[],7,FALSE)</f>
        <v>no</v>
      </c>
      <c r="AT322" s="241" t="str">
        <f>VLOOKUP(Table9[[#This Row],[Country Code]],Table29[],8,FALSE)</f>
        <v>non-OECD</v>
      </c>
      <c r="AU322" s="233" t="str">
        <f>VLOOKUP(Table9[[#This Row],[Country Code]],Table29[],9,FALSE)</f>
        <v>no</v>
      </c>
      <c r="AV322" s="233" t="str">
        <f>VLOOKUP(Table9[[#This Row],[Country Code]],Table29[],10,FALSE)</f>
        <v>no</v>
      </c>
      <c r="AW322" s="233">
        <f>VLOOKUP(Table9[[#This Row],[Country Code]],Table29[],23,FALSE)</f>
        <v>41.634111747759</v>
      </c>
      <c r="AX322" s="233">
        <f>VLOOKUP(Table9[[#This Row],[Country Code]],Table29[],24,FALSE)</f>
        <v>4.0868158944276578</v>
      </c>
      <c r="AY322" s="43"/>
    </row>
    <row r="323" spans="1:51" ht="15" customHeight="1" x14ac:dyDescent="0.25">
      <c r="A323" s="368">
        <v>29231</v>
      </c>
      <c r="B323" s="233" t="str">
        <f>VLOOKUP(Table9[[#This Row],[Document ID]],Table1[],2,FALSE)</f>
        <v>VUT</v>
      </c>
      <c r="C323" s="233" t="str">
        <f>VLOOKUP(Table9[[#This Row],[Document ID]],Table1[],3,FALSE)</f>
        <v>Vanuatu</v>
      </c>
      <c r="D323" s="241" t="str">
        <f>VLOOKUP(Table9[[#This Row],[Document ID]],Table1[],5,FALSE)</f>
        <v>NDC</v>
      </c>
      <c r="E323" s="233" t="str">
        <f>VLOOKUP(Table9[[#This Row],[Document ID]],Table1[],7,FALSE)</f>
        <v>First NDC updated</v>
      </c>
      <c r="F323" s="241" t="str">
        <f>VLOOKUP(Table9[[#This Row],[Document ID]],Table1[],8,FALSE)</f>
        <v>NDC 1.2</v>
      </c>
      <c r="G323" s="241" t="str">
        <f>VLOOKUP(Table9[[#This Row],[Document ID]],Table1[],10,FALSE)</f>
        <v>Active</v>
      </c>
      <c r="H323" s="42" t="s">
        <v>5076</v>
      </c>
      <c r="I323" s="43" t="s">
        <v>5089</v>
      </c>
      <c r="J323" s="209" t="s">
        <v>5390</v>
      </c>
      <c r="K323" s="259">
        <v>20</v>
      </c>
      <c r="L323" s="219" t="s">
        <v>1113</v>
      </c>
      <c r="M323" s="219"/>
      <c r="N323" s="113"/>
      <c r="O323" s="113"/>
      <c r="P323" s="113"/>
      <c r="Q323" s="113"/>
      <c r="R323" s="113"/>
      <c r="S323" s="113"/>
      <c r="T323" s="113"/>
      <c r="U323" s="113"/>
      <c r="V323" s="113"/>
      <c r="W323" s="113"/>
      <c r="X323" s="113"/>
      <c r="Y323" s="113"/>
      <c r="Z323" s="113"/>
      <c r="AA323" s="113"/>
      <c r="AB323" s="113"/>
      <c r="AC323" s="113"/>
      <c r="AD323" s="113"/>
      <c r="AE323" s="113"/>
      <c r="AF323" s="113"/>
      <c r="AG323" s="113"/>
      <c r="AH323" s="113"/>
      <c r="AI323" s="219" t="s">
        <v>1113</v>
      </c>
      <c r="AJ323" s="326"/>
      <c r="AK323" s="326"/>
      <c r="AL323" s="326"/>
      <c r="AM323" s="42" t="s">
        <v>5075</v>
      </c>
      <c r="AN323" s="233" t="str">
        <f>VLOOKUP(Table9[[#This Row],[Measure]],Table1025[[Value name]:[Value identifyer]],2,FALSE)</f>
        <v>R_Design</v>
      </c>
      <c r="AO323" s="241" t="str">
        <f>VLOOKUP(Table9[[#This Row],[Country Code]],Table29[],3,FALSE)</f>
        <v>Non-Annex I</v>
      </c>
      <c r="AP323" s="241" t="str">
        <f>VLOOKUP(Table9[[#This Row],[Country Code]],Table29[],4,FALSE)</f>
        <v>Oceania</v>
      </c>
      <c r="AQ323" s="241" t="str">
        <f>VLOOKUP(Table9[[#This Row],[Country Code]],Table29[],5,FALSE)</f>
        <v>Middle-income</v>
      </c>
      <c r="AR323" s="241" t="str">
        <f>VLOOKUP(Table9[[#This Row],[Country Code]],Table29[],6,FALSE)</f>
        <v>no</v>
      </c>
      <c r="AS323" s="241" t="str">
        <f>VLOOKUP(Table9[[#This Row],[Country Code]],Table29[],7,FALSE)</f>
        <v>no</v>
      </c>
      <c r="AT323" s="241" t="str">
        <f>VLOOKUP(Table9[[#This Row],[Country Code]],Table29[],8,FALSE)</f>
        <v>non-OECD</v>
      </c>
      <c r="AU323" s="233" t="str">
        <f>VLOOKUP(Table9[[#This Row],[Country Code]],Table29[],9,FALSE)</f>
        <v>no</v>
      </c>
      <c r="AV323" s="233" t="str">
        <f>VLOOKUP(Table9[[#This Row],[Country Code]],Table29[],10,FALSE)</f>
        <v>no</v>
      </c>
      <c r="AW323" s="233">
        <f>VLOOKUP(Table9[[#This Row],[Country Code]],Table29[],23,FALSE)</f>
        <v>0.67021230161326995</v>
      </c>
      <c r="AX323" s="233">
        <f>VLOOKUP(Table9[[#This Row],[Country Code]],Table29[],24,FALSE)</f>
        <v>0.148941723979749</v>
      </c>
      <c r="AY323" s="43"/>
    </row>
    <row r="324" spans="1:51" ht="15" customHeight="1" x14ac:dyDescent="0.25">
      <c r="A324" s="368">
        <v>29231</v>
      </c>
      <c r="B324" s="233" t="str">
        <f>VLOOKUP(Table9[[#This Row],[Document ID]],Table1[],2,FALSE)</f>
        <v>VUT</v>
      </c>
      <c r="C324" s="233" t="str">
        <f>VLOOKUP(Table9[[#This Row],[Document ID]],Table1[],3,FALSE)</f>
        <v>Vanuatu</v>
      </c>
      <c r="D324" s="241" t="str">
        <f>VLOOKUP(Table9[[#This Row],[Document ID]],Table1[],5,FALSE)</f>
        <v>NDC</v>
      </c>
      <c r="E324" s="233" t="str">
        <f>VLOOKUP(Table9[[#This Row],[Document ID]],Table1[],7,FALSE)</f>
        <v>First NDC updated</v>
      </c>
      <c r="F324" s="241" t="str">
        <f>VLOOKUP(Table9[[#This Row],[Document ID]],Table1[],8,FALSE)</f>
        <v>NDC 1.2</v>
      </c>
      <c r="G324" s="241" t="str">
        <f>VLOOKUP(Table9[[#This Row],[Document ID]],Table1[],10,FALSE)</f>
        <v>Active</v>
      </c>
      <c r="H324" s="43" t="s">
        <v>5072</v>
      </c>
      <c r="I324" s="43" t="s">
        <v>5073</v>
      </c>
      <c r="J324" s="209" t="s">
        <v>5391</v>
      </c>
      <c r="K324" s="259">
        <v>20</v>
      </c>
      <c r="L324" s="219" t="s">
        <v>1113</v>
      </c>
      <c r="M324" s="219"/>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219" t="s">
        <v>1113</v>
      </c>
      <c r="AJ324" s="326"/>
      <c r="AK324" s="326"/>
      <c r="AL324" s="326"/>
      <c r="AM324" s="42" t="s">
        <v>5075</v>
      </c>
      <c r="AN324" s="233" t="str">
        <f>VLOOKUP(Table9[[#This Row],[Measure]],Table1025[[Value name]:[Value identifyer]],2,FALSE)</f>
        <v>R_System</v>
      </c>
      <c r="AO324" s="241" t="str">
        <f>VLOOKUP(Table9[[#This Row],[Country Code]],Table29[],3,FALSE)</f>
        <v>Non-Annex I</v>
      </c>
      <c r="AP324" s="241" t="str">
        <f>VLOOKUP(Table9[[#This Row],[Country Code]],Table29[],4,FALSE)</f>
        <v>Oceania</v>
      </c>
      <c r="AQ324" s="241" t="str">
        <f>VLOOKUP(Table9[[#This Row],[Country Code]],Table29[],5,FALSE)</f>
        <v>Middle-income</v>
      </c>
      <c r="AR324" s="241" t="str">
        <f>VLOOKUP(Table9[[#This Row],[Country Code]],Table29[],6,FALSE)</f>
        <v>no</v>
      </c>
      <c r="AS324" s="241" t="str">
        <f>VLOOKUP(Table9[[#This Row],[Country Code]],Table29[],7,FALSE)</f>
        <v>no</v>
      </c>
      <c r="AT324" s="241" t="str">
        <f>VLOOKUP(Table9[[#This Row],[Country Code]],Table29[],8,FALSE)</f>
        <v>non-OECD</v>
      </c>
      <c r="AU324" s="233" t="str">
        <f>VLOOKUP(Table9[[#This Row],[Country Code]],Table29[],9,FALSE)</f>
        <v>no</v>
      </c>
      <c r="AV324" s="233" t="str">
        <f>VLOOKUP(Table9[[#This Row],[Country Code]],Table29[],10,FALSE)</f>
        <v>no</v>
      </c>
      <c r="AW324" s="233">
        <f>VLOOKUP(Table9[[#This Row],[Country Code]],Table29[],23,FALSE)</f>
        <v>0.67021230161326995</v>
      </c>
      <c r="AX324" s="233">
        <f>VLOOKUP(Table9[[#This Row],[Country Code]],Table29[],24,FALSE)</f>
        <v>0.148941723979749</v>
      </c>
      <c r="AY324" s="43"/>
    </row>
    <row r="325" spans="1:51" ht="15" customHeight="1" x14ac:dyDescent="0.25">
      <c r="A325" s="360">
        <v>32525</v>
      </c>
      <c r="B325" s="233" t="str">
        <f>VLOOKUP(Table9[[#This Row],[Document ID]],Table1[],2,FALSE)</f>
        <v>VNM</v>
      </c>
      <c r="C325" s="233" t="str">
        <f>VLOOKUP(Table9[[#This Row],[Document ID]],Table1[],3,FALSE)</f>
        <v>Viet Nam</v>
      </c>
      <c r="D325" s="233" t="str">
        <f>VLOOKUP(Table9[[#This Row],[Document ID]],Table1[],5,FALSE)</f>
        <v>NDC</v>
      </c>
      <c r="E325" s="233" t="str">
        <f>VLOOKUP(Table9[[#This Row],[Document ID]],Table1[],7,FALSE)</f>
        <v>First NDC updated</v>
      </c>
      <c r="F325" s="233" t="str">
        <f>VLOOKUP(Table9[[#This Row],[Document ID]],Table1[],8,FALSE)</f>
        <v>NDC 1.2</v>
      </c>
      <c r="G325" s="233" t="str">
        <f>VLOOKUP(Table9[[#This Row],[Document ID]],Table1[],10,FALSE)</f>
        <v>Active</v>
      </c>
      <c r="H325" s="43" t="s">
        <v>5072</v>
      </c>
      <c r="I325" s="43" t="s">
        <v>5073</v>
      </c>
      <c r="J325" s="44" t="s">
        <v>5392</v>
      </c>
      <c r="K325" s="221">
        <v>23</v>
      </c>
      <c r="L325" s="113" t="s">
        <v>1113</v>
      </c>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t="s">
        <v>1113</v>
      </c>
      <c r="AJ325" s="326"/>
      <c r="AK325" s="326"/>
      <c r="AL325" s="326"/>
      <c r="AM325" s="209" t="s">
        <v>5075</v>
      </c>
      <c r="AN325" s="233" t="str">
        <f>VLOOKUP(Table9[[#This Row],[Measure]],Table1025[[Value name]:[Value identifyer]],2,FALSE)</f>
        <v>R_System</v>
      </c>
      <c r="AO325" s="241" t="str">
        <f>VLOOKUP(Table9[[#This Row],[Country Code]],Table29[],3,FALSE)</f>
        <v>Non-Annex I</v>
      </c>
      <c r="AP325" s="241" t="str">
        <f>VLOOKUP(Table9[[#This Row],[Country Code]],Table29[],4,FALSE)</f>
        <v>Asia</v>
      </c>
      <c r="AQ325" s="241" t="str">
        <f>VLOOKUP(Table9[[#This Row],[Country Code]],Table29[],5,FALSE)</f>
        <v>Middle-income</v>
      </c>
      <c r="AR325" s="241" t="str">
        <f>VLOOKUP(Table9[[#This Row],[Country Code]],Table29[],6,FALSE)</f>
        <v>no</v>
      </c>
      <c r="AS325" s="241" t="str">
        <f>VLOOKUP(Table9[[#This Row],[Country Code]],Table29[],7,FALSE)</f>
        <v>no</v>
      </c>
      <c r="AT325" s="241" t="str">
        <f>VLOOKUP(Table9[[#This Row],[Country Code]],Table29[],8,FALSE)</f>
        <v>non-OECD</v>
      </c>
      <c r="AU325" s="233" t="str">
        <f>VLOOKUP(Table9[[#This Row],[Country Code]],Table29[],9,FALSE)</f>
        <v>no</v>
      </c>
      <c r="AV325" s="233" t="str">
        <f>VLOOKUP(Table9[[#This Row],[Country Code]],Table29[],10,FALSE)</f>
        <v>no</v>
      </c>
      <c r="AW325" s="233">
        <f>VLOOKUP(Table9[[#This Row],[Country Code]],Table29[],23,FALSE)</f>
        <v>524.13346380418</v>
      </c>
      <c r="AX325" s="233">
        <f>VLOOKUP(Table9[[#This Row],[Country Code]],Table29[],24,FALSE)</f>
        <v>39.884378531634049</v>
      </c>
      <c r="AY325" s="43"/>
    </row>
    <row r="326" spans="1:51" ht="15" customHeight="1" x14ac:dyDescent="0.25">
      <c r="A326" s="360">
        <v>32525</v>
      </c>
      <c r="B326" s="233" t="str">
        <f>VLOOKUP(Table9[[#This Row],[Document ID]],Table1[],2,FALSE)</f>
        <v>VNM</v>
      </c>
      <c r="C326" s="233" t="str">
        <f>VLOOKUP(Table9[[#This Row],[Document ID]],Table1[],3,FALSE)</f>
        <v>Viet Nam</v>
      </c>
      <c r="D326" s="233" t="str">
        <f>VLOOKUP(Table9[[#This Row],[Document ID]],Table1[],5,FALSE)</f>
        <v>NDC</v>
      </c>
      <c r="E326" s="233" t="str">
        <f>VLOOKUP(Table9[[#This Row],[Document ID]],Table1[],7,FALSE)</f>
        <v>First NDC updated</v>
      </c>
      <c r="F326" s="233" t="str">
        <f>VLOOKUP(Table9[[#This Row],[Document ID]],Table1[],8,FALSE)</f>
        <v>NDC 1.2</v>
      </c>
      <c r="G326" s="233" t="str">
        <f>VLOOKUP(Table9[[#This Row],[Document ID]],Table1[],10,FALSE)</f>
        <v>Active</v>
      </c>
      <c r="H326" s="43" t="s">
        <v>5072</v>
      </c>
      <c r="I326" s="43" t="s">
        <v>5073</v>
      </c>
      <c r="J326" s="44" t="s">
        <v>5393</v>
      </c>
      <c r="K326" s="221">
        <v>24</v>
      </c>
      <c r="L326" s="113"/>
      <c r="M326" s="113"/>
      <c r="N326" s="113"/>
      <c r="O326" s="113"/>
      <c r="P326" s="113"/>
      <c r="Q326" s="113"/>
      <c r="R326" s="113"/>
      <c r="S326" s="113"/>
      <c r="T326" s="113"/>
      <c r="U326" s="113"/>
      <c r="V326" s="113"/>
      <c r="W326" s="113"/>
      <c r="X326" s="113"/>
      <c r="Y326" s="113"/>
      <c r="Z326" s="113"/>
      <c r="AA326" s="113"/>
      <c r="AB326" s="113" t="s">
        <v>1113</v>
      </c>
      <c r="AC326" s="113"/>
      <c r="AD326" s="113"/>
      <c r="AE326" s="113"/>
      <c r="AF326" s="113"/>
      <c r="AG326" s="113"/>
      <c r="AH326" s="113"/>
      <c r="AI326" s="113" t="s">
        <v>1113</v>
      </c>
      <c r="AJ326" s="326"/>
      <c r="AK326" s="326"/>
      <c r="AL326" s="326"/>
      <c r="AM326" s="209" t="s">
        <v>5075</v>
      </c>
      <c r="AN326" s="233" t="str">
        <f>VLOOKUP(Table9[[#This Row],[Measure]],Table1025[[Value name]:[Value identifyer]],2,FALSE)</f>
        <v>R_System</v>
      </c>
      <c r="AO326" s="241" t="str">
        <f>VLOOKUP(Table9[[#This Row],[Country Code]],Table29[],3,FALSE)</f>
        <v>Non-Annex I</v>
      </c>
      <c r="AP326" s="241" t="str">
        <f>VLOOKUP(Table9[[#This Row],[Country Code]],Table29[],4,FALSE)</f>
        <v>Asia</v>
      </c>
      <c r="AQ326" s="241" t="str">
        <f>VLOOKUP(Table9[[#This Row],[Country Code]],Table29[],5,FALSE)</f>
        <v>Middle-income</v>
      </c>
      <c r="AR326" s="241" t="str">
        <f>VLOOKUP(Table9[[#This Row],[Country Code]],Table29[],6,FALSE)</f>
        <v>no</v>
      </c>
      <c r="AS326" s="241" t="str">
        <f>VLOOKUP(Table9[[#This Row],[Country Code]],Table29[],7,FALSE)</f>
        <v>no</v>
      </c>
      <c r="AT326" s="241" t="str">
        <f>VLOOKUP(Table9[[#This Row],[Country Code]],Table29[],8,FALSE)</f>
        <v>non-OECD</v>
      </c>
      <c r="AU326" s="233" t="str">
        <f>VLOOKUP(Table9[[#This Row],[Country Code]],Table29[],9,FALSE)</f>
        <v>no</v>
      </c>
      <c r="AV326" s="233" t="str">
        <f>VLOOKUP(Table9[[#This Row],[Country Code]],Table29[],10,FALSE)</f>
        <v>no</v>
      </c>
      <c r="AW326" s="233">
        <f>VLOOKUP(Table9[[#This Row],[Country Code]],Table29[],23,FALSE)</f>
        <v>524.13346380418</v>
      </c>
      <c r="AX326" s="233">
        <f>VLOOKUP(Table9[[#This Row],[Country Code]],Table29[],24,FALSE)</f>
        <v>39.884378531634049</v>
      </c>
      <c r="AY326" s="43"/>
    </row>
    <row r="327" spans="1:51" ht="15" customHeight="1" x14ac:dyDescent="0.25">
      <c r="A327" s="367">
        <v>17788</v>
      </c>
      <c r="B327" s="233" t="str">
        <f>VLOOKUP(Table9[[#This Row],[Document ID]],Table1[],2,FALSE)</f>
        <v>ZMB</v>
      </c>
      <c r="C327" s="233" t="str">
        <f>VLOOKUP(Table9[[#This Row],[Document ID]],Table1[],3,FALSE)</f>
        <v>Zambia</v>
      </c>
      <c r="D327" s="252" t="str">
        <f>VLOOKUP(Table9[[#This Row],[Document ID]],Table1[],5,FALSE)</f>
        <v>NDC</v>
      </c>
      <c r="E327" s="233" t="str">
        <f>VLOOKUP(Table9[[#This Row],[Document ID]],Table1[],7,FALSE)</f>
        <v>First NDC</v>
      </c>
      <c r="F327" s="328" t="str">
        <f>VLOOKUP(Table9[[#This Row],[Document ID]],Table1[],8,FALSE)</f>
        <v>NDC 1.0</v>
      </c>
      <c r="G327" s="328" t="str">
        <f>VLOOKUP(Table9[[#This Row],[Document ID]],Table1[],10,FALSE)</f>
        <v>Archived</v>
      </c>
      <c r="H327" s="44" t="s">
        <v>5086</v>
      </c>
      <c r="I327" s="43" t="s">
        <v>5130</v>
      </c>
      <c r="J327" s="209" t="s">
        <v>5394</v>
      </c>
      <c r="K327" s="257" t="s">
        <v>5081</v>
      </c>
      <c r="L327" s="326" t="s">
        <v>1113</v>
      </c>
      <c r="M327" s="326"/>
      <c r="N327" s="326"/>
      <c r="O327" s="326"/>
      <c r="P327" s="326"/>
      <c r="Q327" s="326"/>
      <c r="R327" s="326"/>
      <c r="S327" s="326"/>
      <c r="T327" s="326"/>
      <c r="U327" s="326"/>
      <c r="V327" s="326"/>
      <c r="W327" s="326"/>
      <c r="X327" s="326"/>
      <c r="Y327" s="326"/>
      <c r="Z327" s="326"/>
      <c r="AA327" s="326"/>
      <c r="AB327" s="326"/>
      <c r="AC327" s="326"/>
      <c r="AD327" s="326"/>
      <c r="AE327" s="326"/>
      <c r="AF327" s="326"/>
      <c r="AG327" s="326"/>
      <c r="AH327" s="326"/>
      <c r="AI327" s="326" t="s">
        <v>1113</v>
      </c>
      <c r="AJ327" s="326"/>
      <c r="AK327" s="326"/>
      <c r="AL327" s="326"/>
      <c r="AM327" s="327" t="s">
        <v>5075</v>
      </c>
      <c r="AN327" s="233" t="str">
        <f>VLOOKUP(Table9[[#This Row],[Measure]],Table1025[[Value name]:[Value identifyer]],2,FALSE)</f>
        <v>R_Monitoring</v>
      </c>
      <c r="AO327" s="241" t="str">
        <f>VLOOKUP(Table9[[#This Row],[Country Code]],Table29[],3,FALSE)</f>
        <v>Non-Annex I</v>
      </c>
      <c r="AP327" s="241" t="str">
        <f>VLOOKUP(Table9[[#This Row],[Country Code]],Table29[],4,FALSE)</f>
        <v>Africa</v>
      </c>
      <c r="AQ327" s="241" t="str">
        <f>VLOOKUP(Table9[[#This Row],[Country Code]],Table29[],5,FALSE)</f>
        <v>Middle-income</v>
      </c>
      <c r="AR327" s="241" t="str">
        <f>VLOOKUP(Table9[[#This Row],[Country Code]],Table29[],6,FALSE)</f>
        <v>no</v>
      </c>
      <c r="AS327" s="241" t="str">
        <f>VLOOKUP(Table9[[#This Row],[Country Code]],Table29[],7,FALSE)</f>
        <v>no</v>
      </c>
      <c r="AT327" s="241" t="str">
        <f>VLOOKUP(Table9[[#This Row],[Country Code]],Table29[],8,FALSE)</f>
        <v>non-OECD</v>
      </c>
      <c r="AU327" s="233" t="str">
        <f>VLOOKUP(Table9[[#This Row],[Country Code]],Table29[],9,FALSE)</f>
        <v>no</v>
      </c>
      <c r="AV327" s="233" t="str">
        <f>VLOOKUP(Table9[[#This Row],[Country Code]],Table29[],10,FALSE)</f>
        <v>no</v>
      </c>
      <c r="AW327" s="233">
        <f>VLOOKUP(Table9[[#This Row],[Country Code]],Table29[],23,FALSE)</f>
        <v>30.484449374284001</v>
      </c>
      <c r="AX327" s="233">
        <f>VLOOKUP(Table9[[#This Row],[Country Code]],Table29[],24,FALSE)</f>
        <v>2.3997242322457328</v>
      </c>
      <c r="AY327" s="43"/>
    </row>
    <row r="328" spans="1:51" ht="15" customHeight="1" x14ac:dyDescent="0.25">
      <c r="A328" s="367">
        <v>22274</v>
      </c>
      <c r="B328" s="233" t="str">
        <f>VLOOKUP(Table9[[#This Row],[Document ID]],Table1[],2,FALSE)</f>
        <v>ZWE</v>
      </c>
      <c r="C328" s="233" t="str">
        <f>VLOOKUP(Table9[[#This Row],[Document ID]],Table1[],3,FALSE)</f>
        <v>Zimbabwe</v>
      </c>
      <c r="D328" s="254" t="str">
        <f>VLOOKUP(Table9[[#This Row],[Document ID]],Table1[],5,FALSE)</f>
        <v>NDC</v>
      </c>
      <c r="E328" s="233" t="str">
        <f>VLOOKUP(Table9[[#This Row],[Document ID]],Table1[],7,FALSE)</f>
        <v>First NDC updated</v>
      </c>
      <c r="F328" s="241" t="str">
        <f>VLOOKUP(Table9[[#This Row],[Document ID]],Table1[],8,FALSE)</f>
        <v>NDC 1.1</v>
      </c>
      <c r="G328" s="241" t="str">
        <f>VLOOKUP(Table9[[#This Row],[Document ID]],Table1[],10,FALSE)</f>
        <v>Archived</v>
      </c>
      <c r="H328" s="42" t="s">
        <v>5076</v>
      </c>
      <c r="I328" s="43" t="s">
        <v>5089</v>
      </c>
      <c r="J328" s="209" t="s">
        <v>5395</v>
      </c>
      <c r="K328" s="259">
        <v>16</v>
      </c>
      <c r="L328" s="219"/>
      <c r="M328" s="219"/>
      <c r="N328" s="113"/>
      <c r="O328" s="113"/>
      <c r="P328" s="113"/>
      <c r="Q328" s="113" t="s">
        <v>1113</v>
      </c>
      <c r="R328" s="113"/>
      <c r="S328" s="113"/>
      <c r="T328" s="113"/>
      <c r="U328" s="113"/>
      <c r="V328" s="113"/>
      <c r="W328" s="113"/>
      <c r="X328" s="113"/>
      <c r="Y328" s="113"/>
      <c r="Z328" s="113"/>
      <c r="AA328" s="113"/>
      <c r="AB328" s="113"/>
      <c r="AC328" s="113"/>
      <c r="AD328" s="113"/>
      <c r="AE328" s="113"/>
      <c r="AF328" s="113"/>
      <c r="AG328" s="113"/>
      <c r="AH328" s="113"/>
      <c r="AI328" s="219" t="s">
        <v>1113</v>
      </c>
      <c r="AJ328" s="326"/>
      <c r="AK328" s="326"/>
      <c r="AL328" s="326"/>
      <c r="AM328" s="327" t="s">
        <v>5075</v>
      </c>
      <c r="AN328" s="233" t="str">
        <f>VLOOKUP(Table9[[#This Row],[Measure]],Table1025[[Value name]:[Value identifyer]],2,FALSE)</f>
        <v>R_Design</v>
      </c>
      <c r="AO328" s="241" t="str">
        <f>VLOOKUP(Table9[[#This Row],[Country Code]],Table29[],3,FALSE)</f>
        <v>Non-Annex I</v>
      </c>
      <c r="AP328" s="241" t="str">
        <f>VLOOKUP(Table9[[#This Row],[Country Code]],Table29[],4,FALSE)</f>
        <v>Africa</v>
      </c>
      <c r="AQ328" s="241" t="str">
        <f>VLOOKUP(Table9[[#This Row],[Country Code]],Table29[],5,FALSE)</f>
        <v>Middle-income</v>
      </c>
      <c r="AR328" s="241" t="str">
        <f>VLOOKUP(Table9[[#This Row],[Country Code]],Table29[],6,FALSE)</f>
        <v>no</v>
      </c>
      <c r="AS328" s="241" t="str">
        <f>VLOOKUP(Table9[[#This Row],[Country Code]],Table29[],7,FALSE)</f>
        <v>no</v>
      </c>
      <c r="AT328" s="241" t="str">
        <f>VLOOKUP(Table9[[#This Row],[Country Code]],Table29[],8,FALSE)</f>
        <v>non-OECD</v>
      </c>
      <c r="AU328" s="233" t="str">
        <f>VLOOKUP(Table9[[#This Row],[Country Code]],Table29[],9,FALSE)</f>
        <v>no</v>
      </c>
      <c r="AV328" s="233" t="str">
        <f>VLOOKUP(Table9[[#This Row],[Country Code]],Table29[],10,FALSE)</f>
        <v>no</v>
      </c>
      <c r="AW328" s="233">
        <f>VLOOKUP(Table9[[#This Row],[Country Code]],Table29[],23,FALSE)</f>
        <v>31.019306383581998</v>
      </c>
      <c r="AX328" s="233">
        <f>VLOOKUP(Table9[[#This Row],[Country Code]],Table29[],24,FALSE)</f>
        <v>1.5180453178171209</v>
      </c>
      <c r="AY328" s="43"/>
    </row>
    <row r="329" spans="1:51" ht="15" customHeight="1" x14ac:dyDescent="0.25">
      <c r="A329" s="412">
        <v>22274</v>
      </c>
      <c r="B329" s="233" t="str">
        <f>VLOOKUP(Table9[[#This Row],[Document ID]],Table1[],2,FALSE)</f>
        <v>ZWE</v>
      </c>
      <c r="C329" s="233" t="str">
        <f>VLOOKUP(Table9[[#This Row],[Document ID]],Table1[],3,FALSE)</f>
        <v>Zimbabwe</v>
      </c>
      <c r="D329" s="254" t="str">
        <f>VLOOKUP(Table9[[#This Row],[Document ID]],Table1[],5,FALSE)</f>
        <v>NDC</v>
      </c>
      <c r="E329" s="233" t="str">
        <f>VLOOKUP(Table9[[#This Row],[Document ID]],Table1[],7,FALSE)</f>
        <v>First NDC updated</v>
      </c>
      <c r="F329" s="241" t="str">
        <f>VLOOKUP(Table9[[#This Row],[Document ID]],Table1[],8,FALSE)</f>
        <v>NDC 1.1</v>
      </c>
      <c r="G329" s="241" t="str">
        <f>VLOOKUP(Table9[[#This Row],[Document ID]],Table1[],10,FALSE)</f>
        <v>Archived</v>
      </c>
      <c r="H329" s="43" t="s">
        <v>5072</v>
      </c>
      <c r="I329" s="43" t="s">
        <v>5073</v>
      </c>
      <c r="J329" s="316" t="s">
        <v>5396</v>
      </c>
      <c r="K329" s="259">
        <v>16</v>
      </c>
      <c r="L329" s="219"/>
      <c r="M329" s="219"/>
      <c r="N329" s="113"/>
      <c r="O329" s="113"/>
      <c r="P329" s="113"/>
      <c r="Q329" s="113" t="s">
        <v>1113</v>
      </c>
      <c r="R329" s="113"/>
      <c r="S329" s="113"/>
      <c r="T329" s="113"/>
      <c r="U329" s="113"/>
      <c r="V329" s="113"/>
      <c r="W329" s="113"/>
      <c r="X329" s="113"/>
      <c r="Y329" s="113"/>
      <c r="Z329" s="113"/>
      <c r="AA329" s="113"/>
      <c r="AB329" s="113"/>
      <c r="AC329" s="113"/>
      <c r="AD329" s="113"/>
      <c r="AE329" s="113"/>
      <c r="AF329" s="113"/>
      <c r="AG329" s="113"/>
      <c r="AH329" s="113"/>
      <c r="AI329" s="219" t="s">
        <v>1113</v>
      </c>
      <c r="AJ329" s="326"/>
      <c r="AK329" s="326"/>
      <c r="AL329" s="326"/>
      <c r="AM329" s="327" t="s">
        <v>5075</v>
      </c>
      <c r="AN329" s="233" t="str">
        <f>VLOOKUP(Table9[[#This Row],[Measure]],Table1025[[Value name]:[Value identifyer]],2,FALSE)</f>
        <v>R_System</v>
      </c>
      <c r="AO329" s="241" t="str">
        <f>VLOOKUP(Table9[[#This Row],[Country Code]],Table29[],3,FALSE)</f>
        <v>Non-Annex I</v>
      </c>
      <c r="AP329" s="241" t="str">
        <f>VLOOKUP(Table9[[#This Row],[Country Code]],Table29[],4,FALSE)</f>
        <v>Africa</v>
      </c>
      <c r="AQ329" s="241" t="str">
        <f>VLOOKUP(Table9[[#This Row],[Country Code]],Table29[],5,FALSE)</f>
        <v>Middle-income</v>
      </c>
      <c r="AR329" s="241" t="str">
        <f>VLOOKUP(Table9[[#This Row],[Country Code]],Table29[],6,FALSE)</f>
        <v>no</v>
      </c>
      <c r="AS329" s="241" t="str">
        <f>VLOOKUP(Table9[[#This Row],[Country Code]],Table29[],7,FALSE)</f>
        <v>no</v>
      </c>
      <c r="AT329" s="241" t="str">
        <f>VLOOKUP(Table9[[#This Row],[Country Code]],Table29[],8,FALSE)</f>
        <v>non-OECD</v>
      </c>
      <c r="AU329" s="233" t="str">
        <f>VLOOKUP(Table9[[#This Row],[Country Code]],Table29[],9,FALSE)</f>
        <v>no</v>
      </c>
      <c r="AV329" s="233" t="str">
        <f>VLOOKUP(Table9[[#This Row],[Country Code]],Table29[],10,FALSE)</f>
        <v>no</v>
      </c>
      <c r="AW329" s="233">
        <f>VLOOKUP(Table9[[#This Row],[Country Code]],Table29[],23,FALSE)</f>
        <v>31.019306383581998</v>
      </c>
      <c r="AX329" s="233">
        <f>VLOOKUP(Table9[[#This Row],[Country Code]],Table29[],24,FALSE)</f>
        <v>1.5180453178171209</v>
      </c>
      <c r="AY329" s="43"/>
    </row>
    <row r="330" spans="1:51" ht="15" customHeight="1" x14ac:dyDescent="0.25">
      <c r="A330" s="373">
        <v>41738</v>
      </c>
      <c r="B330" s="233" t="str">
        <f>VLOOKUP(Table9[[#This Row],[Document ID]],Table1[],2,FALSE)</f>
        <v>GNQ</v>
      </c>
      <c r="C330" s="233" t="str">
        <f>VLOOKUP(Table9[[#This Row],[Document ID]],Table1[],3,FALSE)</f>
        <v>Equatorial Guinea</v>
      </c>
      <c r="D330" s="243" t="str">
        <f>VLOOKUP(Table9[[#This Row],[Document ID]],Table1[],5,FALSE)</f>
        <v>LTS</v>
      </c>
      <c r="E330" s="233" t="str">
        <f>VLOOKUP(Table9[[#This Row],[Document ID]],Table1[],7,FALSE)</f>
        <v>LTS</v>
      </c>
      <c r="F330" s="233" t="str">
        <f>VLOOKUP(Table9[[#This Row],[Document ID]],Table1[],8,FALSE)</f>
        <v>LTS 1.0</v>
      </c>
      <c r="G330" s="233" t="str">
        <f>VLOOKUP(Table9[[#This Row],[Document ID]],Table1[],10,FALSE)</f>
        <v>Active</v>
      </c>
      <c r="H330" s="44" t="s">
        <v>5086</v>
      </c>
      <c r="I330" s="43" t="s">
        <v>5087</v>
      </c>
      <c r="J330" s="44" t="s">
        <v>5397</v>
      </c>
      <c r="K330" s="221">
        <v>31</v>
      </c>
      <c r="L330" s="113" t="s">
        <v>1113</v>
      </c>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t="s">
        <v>1113</v>
      </c>
      <c r="AJ330" s="326"/>
      <c r="AK330" s="326"/>
      <c r="AL330" s="326"/>
      <c r="AM330" s="43" t="s">
        <v>5075</v>
      </c>
      <c r="AN330" s="233" t="str">
        <f>VLOOKUP(Table9[[#This Row],[Measure]],Table1025[[Value name]:[Value identifyer]],2,FALSE)</f>
        <v>R_Education</v>
      </c>
      <c r="AO330" s="241" t="str">
        <f>VLOOKUP(Table9[[#This Row],[Country Code]],Table29[],3,FALSE)</f>
        <v>Non-Annex I</v>
      </c>
      <c r="AP330" s="241" t="str">
        <f>VLOOKUP(Table9[[#This Row],[Country Code]],Table29[],4,FALSE)</f>
        <v>Africa</v>
      </c>
      <c r="AQ330" s="241" t="str">
        <f>VLOOKUP(Table9[[#This Row],[Country Code]],Table29[],5,FALSE)</f>
        <v>Middle-income</v>
      </c>
      <c r="AR330" s="241" t="str">
        <f>VLOOKUP(Table9[[#This Row],[Country Code]],Table29[],6,FALSE)</f>
        <v>no</v>
      </c>
      <c r="AS330" s="241" t="str">
        <f>VLOOKUP(Table9[[#This Row],[Country Code]],Table29[],7,FALSE)</f>
        <v>no</v>
      </c>
      <c r="AT330" s="241" t="str">
        <f>VLOOKUP(Table9[[#This Row],[Country Code]],Table29[],8,FALSE)</f>
        <v>non-OECD</v>
      </c>
      <c r="AU330" s="233" t="str">
        <f>VLOOKUP(Table9[[#This Row],[Country Code]],Table29[],9,FALSE)</f>
        <v>no</v>
      </c>
      <c r="AV330" s="233" t="str">
        <f>VLOOKUP(Table9[[#This Row],[Country Code]],Table29[],10,FALSE)</f>
        <v>no</v>
      </c>
      <c r="AW330" s="233">
        <f>VLOOKUP(Table9[[#This Row],[Country Code]],Table29[],23,FALSE)</f>
        <v>6.9820980789903002</v>
      </c>
      <c r="AX330" s="233">
        <f>VLOOKUP(Table9[[#This Row],[Country Code]],Table29[],24,FALSE)</f>
        <v>0.54145530040743117</v>
      </c>
      <c r="AY330" s="43"/>
    </row>
    <row r="331" spans="1:51" ht="15" customHeight="1" x14ac:dyDescent="0.25">
      <c r="A331" s="367">
        <v>41748</v>
      </c>
      <c r="B331" s="233" t="str">
        <f>VLOOKUP(Table9[[#This Row],[Document ID]],Table1[],2,FALSE)</f>
        <v>NGA</v>
      </c>
      <c r="C331" s="233" t="str">
        <f>VLOOKUP(Table9[[#This Row],[Document ID]],Table1[],3,FALSE)</f>
        <v>Nigeria</v>
      </c>
      <c r="D331" s="328" t="str">
        <f>VLOOKUP(Table9[[#This Row],[Document ID]],Table1[],5,FALSE)</f>
        <v>LTS</v>
      </c>
      <c r="E331" s="233" t="str">
        <f>VLOOKUP(Table9[[#This Row],[Document ID]],Table1[],7,FALSE)</f>
        <v>LTS</v>
      </c>
      <c r="F331" s="233" t="str">
        <f>VLOOKUP(Table9[[#This Row],[Document ID]],Table1[],8,FALSE)</f>
        <v>LTS 2.0</v>
      </c>
      <c r="G331" s="233" t="str">
        <f>VLOOKUP(Table9[[#This Row],[Document ID]],Table1[],10,FALSE)</f>
        <v>Active</v>
      </c>
      <c r="H331" s="43" t="s">
        <v>5072</v>
      </c>
      <c r="I331" s="43" t="s">
        <v>5073</v>
      </c>
      <c r="J331" s="44" t="s">
        <v>5398</v>
      </c>
      <c r="K331" s="221">
        <v>117</v>
      </c>
      <c r="L331" s="113" t="s">
        <v>1113</v>
      </c>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t="s">
        <v>1113</v>
      </c>
      <c r="AJ331" s="326"/>
      <c r="AK331" s="326"/>
      <c r="AL331" s="326"/>
      <c r="AM331" s="327" t="s">
        <v>5075</v>
      </c>
      <c r="AN331" s="233" t="str">
        <f>VLOOKUP(Table9[[#This Row],[Measure]],Table1025[[Value name]:[Value identifyer]],2,FALSE)</f>
        <v>R_System</v>
      </c>
      <c r="AO331" s="241" t="str">
        <f>VLOOKUP(Table9[[#This Row],[Country Code]],Table29[],3,FALSE)</f>
        <v>Non-Annex I</v>
      </c>
      <c r="AP331" s="241" t="str">
        <f>VLOOKUP(Table9[[#This Row],[Country Code]],Table29[],4,FALSE)</f>
        <v>Africa</v>
      </c>
      <c r="AQ331" s="241" t="str">
        <f>VLOOKUP(Table9[[#This Row],[Country Code]],Table29[],5,FALSE)</f>
        <v>Middle-income</v>
      </c>
      <c r="AR331" s="241" t="str">
        <f>VLOOKUP(Table9[[#This Row],[Country Code]],Table29[],6,FALSE)</f>
        <v>no</v>
      </c>
      <c r="AS331" s="241" t="str">
        <f>VLOOKUP(Table9[[#This Row],[Country Code]],Table29[],7,FALSE)</f>
        <v>no</v>
      </c>
      <c r="AT331" s="241" t="str">
        <f>VLOOKUP(Table9[[#This Row],[Country Code]],Table29[],8,FALSE)</f>
        <v>non-OECD</v>
      </c>
      <c r="AU331" s="233" t="str">
        <f>VLOOKUP(Table9[[#This Row],[Country Code]],Table29[],9,FALSE)</f>
        <v>no</v>
      </c>
      <c r="AV331" s="233" t="str">
        <f>VLOOKUP(Table9[[#This Row],[Country Code]],Table29[],10,FALSE)</f>
        <v>no</v>
      </c>
      <c r="AW331" s="233">
        <f>VLOOKUP(Table9[[#This Row],[Country Code]],Table29[],23,FALSE)</f>
        <v>385.11288377147002</v>
      </c>
      <c r="AX331" s="233">
        <f>VLOOKUP(Table9[[#This Row],[Country Code]],Table29[],24,FALSE)</f>
        <v>58.971195919965467</v>
      </c>
      <c r="AY331" s="43"/>
    </row>
    <row r="332" spans="1:51" ht="15" customHeight="1" x14ac:dyDescent="0.25">
      <c r="A332" s="367">
        <v>41748</v>
      </c>
      <c r="B332" s="233" t="str">
        <f>VLOOKUP(Table9[[#This Row],[Document ID]],Table1[],2,FALSE)</f>
        <v>NGA</v>
      </c>
      <c r="C332" s="233" t="str">
        <f>VLOOKUP(Table9[[#This Row],[Document ID]],Table1[],3,FALSE)</f>
        <v>Nigeria</v>
      </c>
      <c r="D332" s="328" t="str">
        <f>VLOOKUP(Table9[[#This Row],[Document ID]],Table1[],5,FALSE)</f>
        <v>LTS</v>
      </c>
      <c r="E332" s="233" t="str">
        <f>VLOOKUP(Table9[[#This Row],[Document ID]],Table1[],7,FALSE)</f>
        <v>LTS</v>
      </c>
      <c r="F332" s="233" t="str">
        <f>VLOOKUP(Table9[[#This Row],[Document ID]],Table1[],8,FALSE)</f>
        <v>LTS 2.0</v>
      </c>
      <c r="G332" s="233" t="str">
        <f>VLOOKUP(Table9[[#This Row],[Document ID]],Table1[],10,FALSE)</f>
        <v>Active</v>
      </c>
      <c r="H332" s="42" t="s">
        <v>5076</v>
      </c>
      <c r="I332" s="43" t="s">
        <v>5117</v>
      </c>
      <c r="J332" s="44" t="s">
        <v>5399</v>
      </c>
      <c r="K332" s="221">
        <v>117</v>
      </c>
      <c r="L332" s="113" t="s">
        <v>1113</v>
      </c>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t="s">
        <v>1113</v>
      </c>
      <c r="AJ332" s="326"/>
      <c r="AK332" s="326"/>
      <c r="AL332" s="326"/>
      <c r="AM332" s="43" t="s">
        <v>5400</v>
      </c>
      <c r="AN332" s="233" t="str">
        <f>VLOOKUP(Table9[[#This Row],[Measure]],Table1025[[Value name]:[Value identifyer]],2,FALSE)</f>
        <v>R_Redundancy</v>
      </c>
      <c r="AO332" s="241" t="str">
        <f>VLOOKUP(Table9[[#This Row],[Country Code]],Table29[],3,FALSE)</f>
        <v>Non-Annex I</v>
      </c>
      <c r="AP332" s="241" t="str">
        <f>VLOOKUP(Table9[[#This Row],[Country Code]],Table29[],4,FALSE)</f>
        <v>Africa</v>
      </c>
      <c r="AQ332" s="241" t="str">
        <f>VLOOKUP(Table9[[#This Row],[Country Code]],Table29[],5,FALSE)</f>
        <v>Middle-income</v>
      </c>
      <c r="AR332" s="241" t="str">
        <f>VLOOKUP(Table9[[#This Row],[Country Code]],Table29[],6,FALSE)</f>
        <v>no</v>
      </c>
      <c r="AS332" s="241" t="str">
        <f>VLOOKUP(Table9[[#This Row],[Country Code]],Table29[],7,FALSE)</f>
        <v>no</v>
      </c>
      <c r="AT332" s="241" t="str">
        <f>VLOOKUP(Table9[[#This Row],[Country Code]],Table29[],8,FALSE)</f>
        <v>non-OECD</v>
      </c>
      <c r="AU332" s="233" t="str">
        <f>VLOOKUP(Table9[[#This Row],[Country Code]],Table29[],9,FALSE)</f>
        <v>no</v>
      </c>
      <c r="AV332" s="233" t="str">
        <f>VLOOKUP(Table9[[#This Row],[Country Code]],Table29[],10,FALSE)</f>
        <v>no</v>
      </c>
      <c r="AW332" s="233">
        <f>VLOOKUP(Table9[[#This Row],[Country Code]],Table29[],23,FALSE)</f>
        <v>385.11288377147002</v>
      </c>
      <c r="AX332" s="233">
        <f>VLOOKUP(Table9[[#This Row],[Country Code]],Table29[],24,FALSE)</f>
        <v>58.971195919965467</v>
      </c>
      <c r="AY332" s="43"/>
    </row>
    <row r="333" spans="1:51" ht="15" customHeight="1" x14ac:dyDescent="0.25">
      <c r="A333" s="367">
        <v>41748</v>
      </c>
      <c r="B333" s="233" t="str">
        <f>VLOOKUP(Table9[[#This Row],[Document ID]],Table1[],2,FALSE)</f>
        <v>NGA</v>
      </c>
      <c r="C333" s="233" t="str">
        <f>VLOOKUP(Table9[[#This Row],[Document ID]],Table1[],3,FALSE)</f>
        <v>Nigeria</v>
      </c>
      <c r="D333" s="328" t="str">
        <f>VLOOKUP(Table9[[#This Row],[Document ID]],Table1[],5,FALSE)</f>
        <v>LTS</v>
      </c>
      <c r="E333" s="233" t="str">
        <f>VLOOKUP(Table9[[#This Row],[Document ID]],Table1[],7,FALSE)</f>
        <v>LTS</v>
      </c>
      <c r="F333" s="233" t="str">
        <f>VLOOKUP(Table9[[#This Row],[Document ID]],Table1[],8,FALSE)</f>
        <v>LTS 2.0</v>
      </c>
      <c r="G333" s="233" t="str">
        <f>VLOOKUP(Table9[[#This Row],[Document ID]],Table1[],10,FALSE)</f>
        <v>Active</v>
      </c>
      <c r="H333" s="42" t="s">
        <v>5076</v>
      </c>
      <c r="I333" s="43" t="s">
        <v>5077</v>
      </c>
      <c r="J333" s="44" t="s">
        <v>5401</v>
      </c>
      <c r="K333" s="221">
        <v>117</v>
      </c>
      <c r="L333" s="113" t="s">
        <v>1113</v>
      </c>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t="s">
        <v>1113</v>
      </c>
      <c r="AJ333" s="326"/>
      <c r="AK333" s="326"/>
      <c r="AL333" s="326"/>
      <c r="AM333" s="327" t="s">
        <v>5075</v>
      </c>
      <c r="AN333" s="233" t="str">
        <f>VLOOKUP(Table9[[#This Row],[Measure]],Table1025[[Value name]:[Value identifyer]],2,FALSE)</f>
        <v>R_Planning</v>
      </c>
      <c r="AO333" s="241" t="str">
        <f>VLOOKUP(Table9[[#This Row],[Country Code]],Table29[],3,FALSE)</f>
        <v>Non-Annex I</v>
      </c>
      <c r="AP333" s="241" t="str">
        <f>VLOOKUP(Table9[[#This Row],[Country Code]],Table29[],4,FALSE)</f>
        <v>Africa</v>
      </c>
      <c r="AQ333" s="241" t="str">
        <f>VLOOKUP(Table9[[#This Row],[Country Code]],Table29[],5,FALSE)</f>
        <v>Middle-income</v>
      </c>
      <c r="AR333" s="241" t="str">
        <f>VLOOKUP(Table9[[#This Row],[Country Code]],Table29[],6,FALSE)</f>
        <v>no</v>
      </c>
      <c r="AS333" s="241" t="str">
        <f>VLOOKUP(Table9[[#This Row],[Country Code]],Table29[],7,FALSE)</f>
        <v>no</v>
      </c>
      <c r="AT333" s="241" t="str">
        <f>VLOOKUP(Table9[[#This Row],[Country Code]],Table29[],8,FALSE)</f>
        <v>non-OECD</v>
      </c>
      <c r="AU333" s="233" t="str">
        <f>VLOOKUP(Table9[[#This Row],[Country Code]],Table29[],9,FALSE)</f>
        <v>no</v>
      </c>
      <c r="AV333" s="233" t="str">
        <f>VLOOKUP(Table9[[#This Row],[Country Code]],Table29[],10,FALSE)</f>
        <v>no</v>
      </c>
      <c r="AW333" s="233">
        <f>VLOOKUP(Table9[[#This Row],[Country Code]],Table29[],23,FALSE)</f>
        <v>385.11288377147002</v>
      </c>
      <c r="AX333" s="233">
        <f>VLOOKUP(Table9[[#This Row],[Country Code]],Table29[],24,FALSE)</f>
        <v>58.971195919965467</v>
      </c>
      <c r="AY333" s="43"/>
    </row>
    <row r="334" spans="1:51" ht="30" customHeight="1" x14ac:dyDescent="0.25">
      <c r="A334" s="367">
        <v>41748</v>
      </c>
      <c r="B334" s="233" t="str">
        <f>VLOOKUP(Table9[[#This Row],[Document ID]],Table1[],2,FALSE)</f>
        <v>NGA</v>
      </c>
      <c r="C334" s="233" t="str">
        <f>VLOOKUP(Table9[[#This Row],[Document ID]],Table1[],3,FALSE)</f>
        <v>Nigeria</v>
      </c>
      <c r="D334" s="328" t="str">
        <f>VLOOKUP(Table9[[#This Row],[Document ID]],Table1[],5,FALSE)</f>
        <v>LTS</v>
      </c>
      <c r="E334" s="233" t="str">
        <f>VLOOKUP(Table9[[#This Row],[Document ID]],Table1[],7,FALSE)</f>
        <v>LTS</v>
      </c>
      <c r="F334" s="233" t="str">
        <f>VLOOKUP(Table9[[#This Row],[Document ID]],Table1[],8,FALSE)</f>
        <v>LTS 2.0</v>
      </c>
      <c r="G334" s="233" t="str">
        <f>VLOOKUP(Table9[[#This Row],[Document ID]],Table1[],10,FALSE)</f>
        <v>Active</v>
      </c>
      <c r="H334" s="43" t="s">
        <v>5256</v>
      </c>
      <c r="I334" s="43" t="s">
        <v>5256</v>
      </c>
      <c r="J334" s="44" t="s">
        <v>5402</v>
      </c>
      <c r="K334" s="221">
        <v>117</v>
      </c>
      <c r="L334" s="113" t="s">
        <v>1113</v>
      </c>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t="s">
        <v>1113</v>
      </c>
      <c r="AJ334" s="326"/>
      <c r="AK334" s="326"/>
      <c r="AL334" s="326"/>
      <c r="AM334" s="327" t="s">
        <v>5075</v>
      </c>
      <c r="AN334" s="233" t="str">
        <f>VLOOKUP(Table9[[#This Row],[Measure]],Table1025[[Value name]:[Value identifyer]],2,FALSE)</f>
        <v>A_OTHER</v>
      </c>
      <c r="AO334" s="241" t="str">
        <f>VLOOKUP(Table9[[#This Row],[Country Code]],Table29[],3,FALSE)</f>
        <v>Non-Annex I</v>
      </c>
      <c r="AP334" s="241" t="str">
        <f>VLOOKUP(Table9[[#This Row],[Country Code]],Table29[],4,FALSE)</f>
        <v>Africa</v>
      </c>
      <c r="AQ334" s="241" t="str">
        <f>VLOOKUP(Table9[[#This Row],[Country Code]],Table29[],5,FALSE)</f>
        <v>Middle-income</v>
      </c>
      <c r="AR334" s="241" t="str">
        <f>VLOOKUP(Table9[[#This Row],[Country Code]],Table29[],6,FALSE)</f>
        <v>no</v>
      </c>
      <c r="AS334" s="241" t="str">
        <f>VLOOKUP(Table9[[#This Row],[Country Code]],Table29[],7,FALSE)</f>
        <v>no</v>
      </c>
      <c r="AT334" s="241" t="str">
        <f>VLOOKUP(Table9[[#This Row],[Country Code]],Table29[],8,FALSE)</f>
        <v>non-OECD</v>
      </c>
      <c r="AU334" s="233" t="str">
        <f>VLOOKUP(Table9[[#This Row],[Country Code]],Table29[],9,FALSE)</f>
        <v>no</v>
      </c>
      <c r="AV334" s="233" t="str">
        <f>VLOOKUP(Table9[[#This Row],[Country Code]],Table29[],10,FALSE)</f>
        <v>no</v>
      </c>
      <c r="AW334" s="233">
        <f>VLOOKUP(Table9[[#This Row],[Country Code]],Table29[],23,FALSE)</f>
        <v>385.11288377147002</v>
      </c>
      <c r="AX334" s="233">
        <f>VLOOKUP(Table9[[#This Row],[Country Code]],Table29[],24,FALSE)</f>
        <v>58.971195919965467</v>
      </c>
      <c r="AY334" s="43"/>
    </row>
    <row r="335" spans="1:51" ht="15" customHeight="1" x14ac:dyDescent="0.25">
      <c r="A335" s="367">
        <v>41748</v>
      </c>
      <c r="B335" s="233" t="str">
        <f>VLOOKUP(Table9[[#This Row],[Document ID]],Table1[],2,FALSE)</f>
        <v>NGA</v>
      </c>
      <c r="C335" s="233" t="str">
        <f>VLOOKUP(Table9[[#This Row],[Document ID]],Table1[],3,FALSE)</f>
        <v>Nigeria</v>
      </c>
      <c r="D335" s="328" t="str">
        <f>VLOOKUP(Table9[[#This Row],[Document ID]],Table1[],5,FALSE)</f>
        <v>LTS</v>
      </c>
      <c r="E335" s="233" t="str">
        <f>VLOOKUP(Table9[[#This Row],[Document ID]],Table1[],7,FALSE)</f>
        <v>LTS</v>
      </c>
      <c r="F335" s="233" t="str">
        <f>VLOOKUP(Table9[[#This Row],[Document ID]],Table1[],8,FALSE)</f>
        <v>LTS 2.0</v>
      </c>
      <c r="G335" s="233" t="str">
        <f>VLOOKUP(Table9[[#This Row],[Document ID]],Table1[],10,FALSE)</f>
        <v>Active</v>
      </c>
      <c r="H335" s="42" t="s">
        <v>5076</v>
      </c>
      <c r="I335" s="43" t="s">
        <v>5117</v>
      </c>
      <c r="J335" s="44" t="s">
        <v>5403</v>
      </c>
      <c r="K335" s="221">
        <v>117</v>
      </c>
      <c r="L335" s="113" t="s">
        <v>1113</v>
      </c>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t="s">
        <v>1113</v>
      </c>
      <c r="AJ335" s="326"/>
      <c r="AK335" s="326"/>
      <c r="AL335" s="326"/>
      <c r="AM335" s="327" t="s">
        <v>5075</v>
      </c>
      <c r="AN335" s="233" t="str">
        <f>VLOOKUP(Table9[[#This Row],[Measure]],Table1025[[Value name]:[Value identifyer]],2,FALSE)</f>
        <v>R_Redundancy</v>
      </c>
      <c r="AO335" s="241" t="str">
        <f>VLOOKUP(Table9[[#This Row],[Country Code]],Table29[],3,FALSE)</f>
        <v>Non-Annex I</v>
      </c>
      <c r="AP335" s="241" t="str">
        <f>VLOOKUP(Table9[[#This Row],[Country Code]],Table29[],4,FALSE)</f>
        <v>Africa</v>
      </c>
      <c r="AQ335" s="241" t="str">
        <f>VLOOKUP(Table9[[#This Row],[Country Code]],Table29[],5,FALSE)</f>
        <v>Middle-income</v>
      </c>
      <c r="AR335" s="241" t="str">
        <f>VLOOKUP(Table9[[#This Row],[Country Code]],Table29[],6,FALSE)</f>
        <v>no</v>
      </c>
      <c r="AS335" s="241" t="str">
        <f>VLOOKUP(Table9[[#This Row],[Country Code]],Table29[],7,FALSE)</f>
        <v>no</v>
      </c>
      <c r="AT335" s="241" t="str">
        <f>VLOOKUP(Table9[[#This Row],[Country Code]],Table29[],8,FALSE)</f>
        <v>non-OECD</v>
      </c>
      <c r="AU335" s="233" t="str">
        <f>VLOOKUP(Table9[[#This Row],[Country Code]],Table29[],9,FALSE)</f>
        <v>no</v>
      </c>
      <c r="AV335" s="233" t="str">
        <f>VLOOKUP(Table9[[#This Row],[Country Code]],Table29[],10,FALSE)</f>
        <v>no</v>
      </c>
      <c r="AW335" s="233">
        <f>VLOOKUP(Table9[[#This Row],[Country Code]],Table29[],23,FALSE)</f>
        <v>385.11288377147002</v>
      </c>
      <c r="AX335" s="233">
        <f>VLOOKUP(Table9[[#This Row],[Country Code]],Table29[],24,FALSE)</f>
        <v>58.971195919965467</v>
      </c>
      <c r="AY335" s="43"/>
    </row>
    <row r="336" spans="1:51" ht="40.5" customHeight="1" x14ac:dyDescent="0.25">
      <c r="A336" s="367">
        <v>41748</v>
      </c>
      <c r="B336" s="233" t="str">
        <f>VLOOKUP(Table9[[#This Row],[Document ID]],Table1[],2,FALSE)</f>
        <v>NGA</v>
      </c>
      <c r="C336" s="233" t="str">
        <f>VLOOKUP(Table9[[#This Row],[Document ID]],Table1[],3,FALSE)</f>
        <v>Nigeria</v>
      </c>
      <c r="D336" s="328" t="str">
        <f>VLOOKUP(Table9[[#This Row],[Document ID]],Table1[],5,FALSE)</f>
        <v>LTS</v>
      </c>
      <c r="E336" s="233" t="str">
        <f>VLOOKUP(Table9[[#This Row],[Document ID]],Table1[],7,FALSE)</f>
        <v>LTS</v>
      </c>
      <c r="F336" s="233" t="str">
        <f>VLOOKUP(Table9[[#This Row],[Document ID]],Table1[],8,FALSE)</f>
        <v>LTS 2.0</v>
      </c>
      <c r="G336" s="233" t="str">
        <f>VLOOKUP(Table9[[#This Row],[Document ID]],Table1[],10,FALSE)</f>
        <v>Active</v>
      </c>
      <c r="H336" s="42" t="s">
        <v>5076</v>
      </c>
      <c r="I336" s="43" t="s">
        <v>5089</v>
      </c>
      <c r="J336" s="44" t="s">
        <v>5404</v>
      </c>
      <c r="K336" s="221">
        <v>118</v>
      </c>
      <c r="L336" s="113" t="s">
        <v>1113</v>
      </c>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t="s">
        <v>1113</v>
      </c>
      <c r="AJ336" s="326"/>
      <c r="AK336" s="326"/>
      <c r="AL336" s="326"/>
      <c r="AM336" s="327" t="s">
        <v>5075</v>
      </c>
      <c r="AN336" s="233" t="str">
        <f>VLOOKUP(Table9[[#This Row],[Measure]],Table1025[[Value name]:[Value identifyer]],2,FALSE)</f>
        <v>R_Design</v>
      </c>
      <c r="AO336" s="241" t="str">
        <f>VLOOKUP(Table9[[#This Row],[Country Code]],Table29[],3,FALSE)</f>
        <v>Non-Annex I</v>
      </c>
      <c r="AP336" s="241" t="str">
        <f>VLOOKUP(Table9[[#This Row],[Country Code]],Table29[],4,FALSE)</f>
        <v>Africa</v>
      </c>
      <c r="AQ336" s="241" t="str">
        <f>VLOOKUP(Table9[[#This Row],[Country Code]],Table29[],5,FALSE)</f>
        <v>Middle-income</v>
      </c>
      <c r="AR336" s="241" t="str">
        <f>VLOOKUP(Table9[[#This Row],[Country Code]],Table29[],6,FALSE)</f>
        <v>no</v>
      </c>
      <c r="AS336" s="241" t="str">
        <f>VLOOKUP(Table9[[#This Row],[Country Code]],Table29[],7,FALSE)</f>
        <v>no</v>
      </c>
      <c r="AT336" s="241" t="str">
        <f>VLOOKUP(Table9[[#This Row],[Country Code]],Table29[],8,FALSE)</f>
        <v>non-OECD</v>
      </c>
      <c r="AU336" s="233" t="str">
        <f>VLOOKUP(Table9[[#This Row],[Country Code]],Table29[],9,FALSE)</f>
        <v>no</v>
      </c>
      <c r="AV336" s="233" t="str">
        <f>VLOOKUP(Table9[[#This Row],[Country Code]],Table29[],10,FALSE)</f>
        <v>no</v>
      </c>
      <c r="AW336" s="233">
        <f>VLOOKUP(Table9[[#This Row],[Country Code]],Table29[],23,FALSE)</f>
        <v>385.11288377147002</v>
      </c>
      <c r="AX336" s="233">
        <f>VLOOKUP(Table9[[#This Row],[Country Code]],Table29[],24,FALSE)</f>
        <v>58.971195919965467</v>
      </c>
      <c r="AY336" s="43"/>
    </row>
    <row r="337" spans="1:51" ht="31.5" customHeight="1" x14ac:dyDescent="0.25">
      <c r="A337" s="367">
        <v>41748</v>
      </c>
      <c r="B337" s="233" t="str">
        <f>VLOOKUP(Table9[[#This Row],[Document ID]],Table1[],2,FALSE)</f>
        <v>NGA</v>
      </c>
      <c r="C337" s="233" t="str">
        <f>VLOOKUP(Table9[[#This Row],[Document ID]],Table1[],3,FALSE)</f>
        <v>Nigeria</v>
      </c>
      <c r="D337" s="328" t="str">
        <f>VLOOKUP(Table9[[#This Row],[Document ID]],Table1[],5,FALSE)</f>
        <v>LTS</v>
      </c>
      <c r="E337" s="233" t="str">
        <f>VLOOKUP(Table9[[#This Row],[Document ID]],Table1[],7,FALSE)</f>
        <v>LTS</v>
      </c>
      <c r="F337" s="233" t="str">
        <f>VLOOKUP(Table9[[#This Row],[Document ID]],Table1[],8,FALSE)</f>
        <v>LTS 2.0</v>
      </c>
      <c r="G337" s="233" t="str">
        <f>VLOOKUP(Table9[[#This Row],[Document ID]],Table1[],10,FALSE)</f>
        <v>Active</v>
      </c>
      <c r="H337" s="43" t="s">
        <v>5072</v>
      </c>
      <c r="I337" s="43" t="s">
        <v>5082</v>
      </c>
      <c r="J337" s="44" t="s">
        <v>5405</v>
      </c>
      <c r="K337" s="221">
        <v>118</v>
      </c>
      <c r="L337" s="113" t="s">
        <v>1113</v>
      </c>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t="s">
        <v>1113</v>
      </c>
      <c r="AJ337" s="326"/>
      <c r="AK337" s="326"/>
      <c r="AL337" s="326"/>
      <c r="AM337" s="327" t="s">
        <v>5075</v>
      </c>
      <c r="AN337" s="233" t="str">
        <f>VLOOKUP(Table9[[#This Row],[Measure]],Table1025[[Value name]:[Value identifyer]],2,FALSE)</f>
        <v>R_Risk</v>
      </c>
      <c r="AO337" s="241" t="str">
        <f>VLOOKUP(Table9[[#This Row],[Country Code]],Table29[],3,FALSE)</f>
        <v>Non-Annex I</v>
      </c>
      <c r="AP337" s="241" t="str">
        <f>VLOOKUP(Table9[[#This Row],[Country Code]],Table29[],4,FALSE)</f>
        <v>Africa</v>
      </c>
      <c r="AQ337" s="241" t="str">
        <f>VLOOKUP(Table9[[#This Row],[Country Code]],Table29[],5,FALSE)</f>
        <v>Middle-income</v>
      </c>
      <c r="AR337" s="241" t="str">
        <f>VLOOKUP(Table9[[#This Row],[Country Code]],Table29[],6,FALSE)</f>
        <v>no</v>
      </c>
      <c r="AS337" s="241" t="str">
        <f>VLOOKUP(Table9[[#This Row],[Country Code]],Table29[],7,FALSE)</f>
        <v>no</v>
      </c>
      <c r="AT337" s="241" t="str">
        <f>VLOOKUP(Table9[[#This Row],[Country Code]],Table29[],8,FALSE)</f>
        <v>non-OECD</v>
      </c>
      <c r="AU337" s="233" t="str">
        <f>VLOOKUP(Table9[[#This Row],[Country Code]],Table29[],9,FALSE)</f>
        <v>no</v>
      </c>
      <c r="AV337" s="233" t="str">
        <f>VLOOKUP(Table9[[#This Row],[Country Code]],Table29[],10,FALSE)</f>
        <v>no</v>
      </c>
      <c r="AW337" s="233">
        <f>VLOOKUP(Table9[[#This Row],[Country Code]],Table29[],23,FALSE)</f>
        <v>385.11288377147002</v>
      </c>
      <c r="AX337" s="233">
        <f>VLOOKUP(Table9[[#This Row],[Country Code]],Table29[],24,FALSE)</f>
        <v>58.971195919965467</v>
      </c>
      <c r="AY337" s="43"/>
    </row>
    <row r="338" spans="1:51" ht="56.45" customHeight="1" x14ac:dyDescent="0.25">
      <c r="A338" s="360">
        <v>43699</v>
      </c>
      <c r="B338" s="252" t="str">
        <f>VLOOKUP(Table9[[#This Row],[Document ID]],Table1[],2,FALSE)</f>
        <v>ARE</v>
      </c>
      <c r="C338" s="233" t="str">
        <f>VLOOKUP(Table9[[#This Row],[Document ID]],Table1[],3,FALSE)</f>
        <v>United Arab Emirates</v>
      </c>
      <c r="D338" s="328" t="str">
        <f>VLOOKUP(Table9[[#This Row],[Document ID]],Table1[],5,FALSE)</f>
        <v>NDC</v>
      </c>
      <c r="E338" s="233" t="str">
        <f>VLOOKUP(Table9[[#This Row],[Document ID]],Table1[],7,FALSE)</f>
        <v>Third NDC</v>
      </c>
      <c r="F338" s="233" t="str">
        <f>VLOOKUP(Table9[[#This Row],[Document ID]],Table1[],8,FALSE)</f>
        <v>NDC 3.0</v>
      </c>
      <c r="G338" s="233" t="str">
        <f>VLOOKUP(Table9[[#This Row],[Document ID]],Table1[],10,FALSE)</f>
        <v>Active</v>
      </c>
      <c r="H338" s="43" t="s">
        <v>5076</v>
      </c>
      <c r="I338" s="43" t="s">
        <v>5089</v>
      </c>
      <c r="J338" s="44" t="s">
        <v>5406</v>
      </c>
      <c r="K338" s="221">
        <v>46</v>
      </c>
      <c r="L338" s="113"/>
      <c r="M338" s="113"/>
      <c r="N338" s="113"/>
      <c r="O338" s="113"/>
      <c r="P338" s="113"/>
      <c r="Q338" s="113" t="s">
        <v>1113</v>
      </c>
      <c r="R338" s="113"/>
      <c r="S338" s="113"/>
      <c r="T338" s="113"/>
      <c r="U338" s="113"/>
      <c r="V338" s="113"/>
      <c r="W338" s="113"/>
      <c r="X338" s="113"/>
      <c r="Y338" s="113"/>
      <c r="Z338" s="113"/>
      <c r="AA338" s="113"/>
      <c r="AB338" s="113"/>
      <c r="AC338" s="113"/>
      <c r="AD338" s="113"/>
      <c r="AE338" s="113"/>
      <c r="AF338" s="113"/>
      <c r="AG338" s="113"/>
      <c r="AH338" s="113"/>
      <c r="AI338" s="113" t="s">
        <v>1113</v>
      </c>
      <c r="AJ338" s="326"/>
      <c r="AK338" s="326"/>
      <c r="AL338" s="326"/>
      <c r="AM338" s="327" t="s">
        <v>5075</v>
      </c>
      <c r="AN338" s="241" t="str">
        <f>VLOOKUP(Table9[[#This Row],[Measure]],Table1025[[Value name]:[Value identifyer]],2,FALSE)</f>
        <v>R_Design</v>
      </c>
      <c r="AO338" s="233" t="str">
        <f>VLOOKUP(Table9[[#This Row],[Country Code]],Table29[],3,FALSE)</f>
        <v>Non-Annex I</v>
      </c>
      <c r="AP338" s="233" t="str">
        <f>VLOOKUP(Table9[[#This Row],[Country Code]],Table29[],4,FALSE)</f>
        <v>Asia</v>
      </c>
      <c r="AQ338" s="233" t="str">
        <f>VLOOKUP(Table9[[#This Row],[Country Code]],Table29[],5,FALSE)</f>
        <v>High-income</v>
      </c>
      <c r="AR338" s="233" t="str">
        <f>VLOOKUP(Table9[[#This Row],[Country Code]],Table29[],6,FALSE)</f>
        <v>no</v>
      </c>
      <c r="AS338" s="233" t="str">
        <f>VLOOKUP(Table9[[#This Row],[Country Code]],Table29[],7,FALSE)</f>
        <v>no</v>
      </c>
      <c r="AT338" s="233" t="str">
        <f>VLOOKUP(Table9[[#This Row],[Country Code]],Table29[],8,FALSE)</f>
        <v>non-OECD</v>
      </c>
      <c r="AU338" s="233" t="str">
        <f>VLOOKUP(Table9[[#This Row],[Country Code]],Table29[],9,FALSE)</f>
        <v>no</v>
      </c>
      <c r="AV338" s="233" t="str">
        <f>VLOOKUP(Table9[[#This Row],[Country Code]],Table29[],10,FALSE)</f>
        <v>MENA</v>
      </c>
      <c r="AW338" s="233">
        <f>VLOOKUP(Table9[[#This Row],[Country Code]],Table29[],23,FALSE)</f>
        <v>267.82319378585998</v>
      </c>
      <c r="AX338" s="233">
        <f>VLOOKUP(Table9[[#This Row],[Country Code]],Table29[],24,FALSE)</f>
        <v>43.860911308351241</v>
      </c>
      <c r="AY338" s="43"/>
    </row>
    <row r="339" spans="1:51" ht="30" x14ac:dyDescent="0.25">
      <c r="A339" s="360">
        <v>43699</v>
      </c>
      <c r="B339" s="252" t="str">
        <f>VLOOKUP(Table9[[#This Row],[Document ID]],Table1[],2,FALSE)</f>
        <v>ARE</v>
      </c>
      <c r="C339" s="233" t="str">
        <f>VLOOKUP(Table9[[#This Row],[Document ID]],Table1[],3,FALSE)</f>
        <v>United Arab Emirates</v>
      </c>
      <c r="D339" s="328" t="str">
        <f>VLOOKUP(Table9[[#This Row],[Document ID]],Table1[],5,FALSE)</f>
        <v>NDC</v>
      </c>
      <c r="E339" s="233" t="str">
        <f>VLOOKUP(Table9[[#This Row],[Document ID]],Table1[],7,FALSE)</f>
        <v>Third NDC</v>
      </c>
      <c r="F339" s="233" t="str">
        <f>VLOOKUP(Table9[[#This Row],[Document ID]],Table1[],8,FALSE)</f>
        <v>NDC 3.0</v>
      </c>
      <c r="G339" s="233" t="str">
        <f>VLOOKUP(Table9[[#This Row],[Document ID]],Table1[],10,FALSE)</f>
        <v>Active</v>
      </c>
      <c r="H339" s="43" t="s">
        <v>5072</v>
      </c>
      <c r="I339" s="43" t="s">
        <v>5097</v>
      </c>
      <c r="J339" s="44" t="s">
        <v>5407</v>
      </c>
      <c r="K339" s="221">
        <v>46</v>
      </c>
      <c r="L339" s="113"/>
      <c r="M339" s="113"/>
      <c r="N339" s="113"/>
      <c r="O339" s="113"/>
      <c r="P339" s="113"/>
      <c r="Q339" s="113" t="s">
        <v>1113</v>
      </c>
      <c r="R339" s="113"/>
      <c r="S339" s="113"/>
      <c r="T339" s="113"/>
      <c r="U339" s="113"/>
      <c r="V339" s="113"/>
      <c r="W339" s="113"/>
      <c r="X339" s="113"/>
      <c r="Y339" s="113"/>
      <c r="Z339" s="113"/>
      <c r="AA339" s="113"/>
      <c r="AB339" s="113"/>
      <c r="AC339" s="113"/>
      <c r="AD339" s="113"/>
      <c r="AE339" s="113"/>
      <c r="AF339" s="113"/>
      <c r="AG339" s="113"/>
      <c r="AH339" s="113"/>
      <c r="AI339" s="113" t="s">
        <v>1113</v>
      </c>
      <c r="AJ339" s="326"/>
      <c r="AK339" s="326"/>
      <c r="AL339" s="326"/>
      <c r="AM339" s="327" t="s">
        <v>5075</v>
      </c>
      <c r="AN339" s="241" t="str">
        <f>VLOOKUP(Table9[[#This Row],[Measure]],Table1025[[Value name]:[Value identifyer]],2,FALSE)</f>
        <v>R_Tech</v>
      </c>
      <c r="AO339" s="233" t="str">
        <f>VLOOKUP(Table9[[#This Row],[Country Code]],Table29[],3,FALSE)</f>
        <v>Non-Annex I</v>
      </c>
      <c r="AP339" s="233" t="str">
        <f>VLOOKUP(Table9[[#This Row],[Country Code]],Table29[],4,FALSE)</f>
        <v>Asia</v>
      </c>
      <c r="AQ339" s="233" t="str">
        <f>VLOOKUP(Table9[[#This Row],[Country Code]],Table29[],5,FALSE)</f>
        <v>High-income</v>
      </c>
      <c r="AR339" s="233" t="str">
        <f>VLOOKUP(Table9[[#This Row],[Country Code]],Table29[],6,FALSE)</f>
        <v>no</v>
      </c>
      <c r="AS339" s="233" t="str">
        <f>VLOOKUP(Table9[[#This Row],[Country Code]],Table29[],7,FALSE)</f>
        <v>no</v>
      </c>
      <c r="AT339" s="233" t="str">
        <f>VLOOKUP(Table9[[#This Row],[Country Code]],Table29[],8,FALSE)</f>
        <v>non-OECD</v>
      </c>
      <c r="AU339" s="233" t="str">
        <f>VLOOKUP(Table9[[#This Row],[Country Code]],Table29[],9,FALSE)</f>
        <v>no</v>
      </c>
      <c r="AV339" s="233" t="str">
        <f>VLOOKUP(Table9[[#This Row],[Country Code]],Table29[],10,FALSE)</f>
        <v>MENA</v>
      </c>
      <c r="AW339" s="233">
        <f>VLOOKUP(Table9[[#This Row],[Country Code]],Table29[],23,FALSE)</f>
        <v>267.82319378585998</v>
      </c>
      <c r="AX339" s="233">
        <f>VLOOKUP(Table9[[#This Row],[Country Code]],Table29[],24,FALSE)</f>
        <v>43.860911308351241</v>
      </c>
      <c r="AY339" s="43"/>
    </row>
    <row r="340" spans="1:51" ht="135" x14ac:dyDescent="0.25">
      <c r="A340" s="360">
        <v>43699</v>
      </c>
      <c r="B340" s="252" t="str">
        <f>VLOOKUP(Table9[[#This Row],[Document ID]],Table1[],2,FALSE)</f>
        <v>ARE</v>
      </c>
      <c r="C340" s="233" t="str">
        <f>VLOOKUP(Table9[[#This Row],[Document ID]],Table1[],3,FALSE)</f>
        <v>United Arab Emirates</v>
      </c>
      <c r="D340" s="328" t="str">
        <f>VLOOKUP(Table9[[#This Row],[Document ID]],Table1[],5,FALSE)</f>
        <v>NDC</v>
      </c>
      <c r="E340" s="233" t="str">
        <f>VLOOKUP(Table9[[#This Row],[Document ID]],Table1[],7,FALSE)</f>
        <v>Third NDC</v>
      </c>
      <c r="F340" s="233" t="str">
        <f>VLOOKUP(Table9[[#This Row],[Document ID]],Table1[],8,FALSE)</f>
        <v>NDC 3.0</v>
      </c>
      <c r="G340" s="233" t="str">
        <f>VLOOKUP(Table9[[#This Row],[Document ID]],Table1[],10,FALSE)</f>
        <v>Active</v>
      </c>
      <c r="H340" s="43" t="s">
        <v>5072</v>
      </c>
      <c r="I340" s="43" t="s">
        <v>5082</v>
      </c>
      <c r="J340" s="44" t="s">
        <v>5408</v>
      </c>
      <c r="K340" s="221">
        <v>46</v>
      </c>
      <c r="L340" s="113" t="s">
        <v>1113</v>
      </c>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t="s">
        <v>1113</v>
      </c>
      <c r="AJ340" s="326"/>
      <c r="AK340" s="326"/>
      <c r="AL340" s="326"/>
      <c r="AM340" s="327" t="s">
        <v>5075</v>
      </c>
      <c r="AN340" s="241" t="str">
        <f>VLOOKUP(Table9[[#This Row],[Measure]],Table1025[[Value name]:[Value identifyer]],2,FALSE)</f>
        <v>R_Risk</v>
      </c>
      <c r="AO340" s="233" t="str">
        <f>VLOOKUP(Table9[[#This Row],[Country Code]],Table29[],3,FALSE)</f>
        <v>Non-Annex I</v>
      </c>
      <c r="AP340" s="233" t="str">
        <f>VLOOKUP(Table9[[#This Row],[Country Code]],Table29[],4,FALSE)</f>
        <v>Asia</v>
      </c>
      <c r="AQ340" s="233" t="str">
        <f>VLOOKUP(Table9[[#This Row],[Country Code]],Table29[],5,FALSE)</f>
        <v>High-income</v>
      </c>
      <c r="AR340" s="233" t="str">
        <f>VLOOKUP(Table9[[#This Row],[Country Code]],Table29[],6,FALSE)</f>
        <v>no</v>
      </c>
      <c r="AS340" s="233" t="str">
        <f>VLOOKUP(Table9[[#This Row],[Country Code]],Table29[],7,FALSE)</f>
        <v>no</v>
      </c>
      <c r="AT340" s="233" t="str">
        <f>VLOOKUP(Table9[[#This Row],[Country Code]],Table29[],8,FALSE)</f>
        <v>non-OECD</v>
      </c>
      <c r="AU340" s="233" t="str">
        <f>VLOOKUP(Table9[[#This Row],[Country Code]],Table29[],9,FALSE)</f>
        <v>no</v>
      </c>
      <c r="AV340" s="233" t="str">
        <f>VLOOKUP(Table9[[#This Row],[Country Code]],Table29[],10,FALSE)</f>
        <v>MENA</v>
      </c>
      <c r="AW340" s="233">
        <f>VLOOKUP(Table9[[#This Row],[Country Code]],Table29[],23,FALSE)</f>
        <v>267.82319378585998</v>
      </c>
      <c r="AX340" s="233">
        <f>VLOOKUP(Table9[[#This Row],[Country Code]],Table29[],24,FALSE)</f>
        <v>43.860911308351241</v>
      </c>
      <c r="AY340" s="43"/>
    </row>
    <row r="341" spans="1:51" ht="90" x14ac:dyDescent="0.25">
      <c r="A341" s="360">
        <v>43699</v>
      </c>
      <c r="B341" s="252" t="str">
        <f>VLOOKUP(Table9[[#This Row],[Document ID]],Table1[],2,FALSE)</f>
        <v>ARE</v>
      </c>
      <c r="C341" s="233" t="str">
        <f>VLOOKUP(Table9[[#This Row],[Document ID]],Table1[],3,FALSE)</f>
        <v>United Arab Emirates</v>
      </c>
      <c r="D341" s="328" t="str">
        <f>VLOOKUP(Table9[[#This Row],[Document ID]],Table1[],5,FALSE)</f>
        <v>NDC</v>
      </c>
      <c r="E341" s="233" t="str">
        <f>VLOOKUP(Table9[[#This Row],[Document ID]],Table1[],7,FALSE)</f>
        <v>Third NDC</v>
      </c>
      <c r="F341" s="233" t="str">
        <f>VLOOKUP(Table9[[#This Row],[Document ID]],Table1[],8,FALSE)</f>
        <v>NDC 3.0</v>
      </c>
      <c r="G341" s="233" t="str">
        <f>VLOOKUP(Table9[[#This Row],[Document ID]],Table1[],10,FALSE)</f>
        <v>Active</v>
      </c>
      <c r="H341" s="43" t="s">
        <v>5086</v>
      </c>
      <c r="I341" s="43" t="s">
        <v>5130</v>
      </c>
      <c r="J341" s="44" t="s">
        <v>5409</v>
      </c>
      <c r="K341" s="221">
        <v>47</v>
      </c>
      <c r="L341" s="113" t="s">
        <v>1113</v>
      </c>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t="s">
        <v>1113</v>
      </c>
      <c r="AJ341" s="326"/>
      <c r="AK341" s="326"/>
      <c r="AL341" s="326"/>
      <c r="AM341" s="327" t="s">
        <v>5075</v>
      </c>
      <c r="AN341" s="241" t="str">
        <f>VLOOKUP(Table9[[#This Row],[Measure]],Table1025[[Value name]:[Value identifyer]],2,FALSE)</f>
        <v>R_Monitoring</v>
      </c>
      <c r="AO341" s="233" t="str">
        <f>VLOOKUP(Table9[[#This Row],[Country Code]],Table29[],3,FALSE)</f>
        <v>Non-Annex I</v>
      </c>
      <c r="AP341" s="233" t="str">
        <f>VLOOKUP(Table9[[#This Row],[Country Code]],Table29[],4,FALSE)</f>
        <v>Asia</v>
      </c>
      <c r="AQ341" s="233" t="str">
        <f>VLOOKUP(Table9[[#This Row],[Country Code]],Table29[],5,FALSE)</f>
        <v>High-income</v>
      </c>
      <c r="AR341" s="233" t="str">
        <f>VLOOKUP(Table9[[#This Row],[Country Code]],Table29[],6,FALSE)</f>
        <v>no</v>
      </c>
      <c r="AS341" s="233" t="str">
        <f>VLOOKUP(Table9[[#This Row],[Country Code]],Table29[],7,FALSE)</f>
        <v>no</v>
      </c>
      <c r="AT341" s="233" t="str">
        <f>VLOOKUP(Table9[[#This Row],[Country Code]],Table29[],8,FALSE)</f>
        <v>non-OECD</v>
      </c>
      <c r="AU341" s="233" t="str">
        <f>VLOOKUP(Table9[[#This Row],[Country Code]],Table29[],9,FALSE)</f>
        <v>no</v>
      </c>
      <c r="AV341" s="233" t="str">
        <f>VLOOKUP(Table9[[#This Row],[Country Code]],Table29[],10,FALSE)</f>
        <v>MENA</v>
      </c>
      <c r="AW341" s="233">
        <f>VLOOKUP(Table9[[#This Row],[Country Code]],Table29[],23,FALSE)</f>
        <v>267.82319378585998</v>
      </c>
      <c r="AX341" s="233">
        <f>VLOOKUP(Table9[[#This Row],[Country Code]],Table29[],24,FALSE)</f>
        <v>43.860911308351241</v>
      </c>
      <c r="AY341" s="43"/>
    </row>
    <row r="342" spans="1:51" ht="90" x14ac:dyDescent="0.25">
      <c r="A342" s="360">
        <v>43699</v>
      </c>
      <c r="B342" s="252" t="str">
        <f>VLOOKUP(Table9[[#This Row],[Document ID]],Table1[],2,FALSE)</f>
        <v>ARE</v>
      </c>
      <c r="C342" s="233" t="str">
        <f>VLOOKUP(Table9[[#This Row],[Document ID]],Table1[],3,FALSE)</f>
        <v>United Arab Emirates</v>
      </c>
      <c r="D342" s="328" t="str">
        <f>VLOOKUP(Table9[[#This Row],[Document ID]],Table1[],5,FALSE)</f>
        <v>NDC</v>
      </c>
      <c r="E342" s="233" t="str">
        <f>VLOOKUP(Table9[[#This Row],[Document ID]],Table1[],7,FALSE)</f>
        <v>Third NDC</v>
      </c>
      <c r="F342" s="233" t="str">
        <f>VLOOKUP(Table9[[#This Row],[Document ID]],Table1[],8,FALSE)</f>
        <v>NDC 3.0</v>
      </c>
      <c r="G342" s="233" t="str">
        <f>VLOOKUP(Table9[[#This Row],[Document ID]],Table1[],10,FALSE)</f>
        <v>Active</v>
      </c>
      <c r="H342" s="43" t="s">
        <v>5086</v>
      </c>
      <c r="I342" s="43" t="s">
        <v>5127</v>
      </c>
      <c r="J342" s="44" t="s">
        <v>5409</v>
      </c>
      <c r="K342" s="221">
        <v>47</v>
      </c>
      <c r="L342" s="113" t="s">
        <v>1113</v>
      </c>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t="s">
        <v>1113</v>
      </c>
      <c r="AJ342" s="326"/>
      <c r="AK342" s="326"/>
      <c r="AL342" s="326"/>
      <c r="AM342" s="327" t="s">
        <v>5075</v>
      </c>
      <c r="AN342" s="241" t="str">
        <f>VLOOKUP(Table9[[#This Row],[Measure]],Table1025[[Value name]:[Value identifyer]],2,FALSE)</f>
        <v>R_Emergency</v>
      </c>
      <c r="AO342" s="233" t="str">
        <f>VLOOKUP(Table9[[#This Row],[Country Code]],Table29[],3,FALSE)</f>
        <v>Non-Annex I</v>
      </c>
      <c r="AP342" s="233" t="str">
        <f>VLOOKUP(Table9[[#This Row],[Country Code]],Table29[],4,FALSE)</f>
        <v>Asia</v>
      </c>
      <c r="AQ342" s="233" t="str">
        <f>VLOOKUP(Table9[[#This Row],[Country Code]],Table29[],5,FALSE)</f>
        <v>High-income</v>
      </c>
      <c r="AR342" s="233" t="str">
        <f>VLOOKUP(Table9[[#This Row],[Country Code]],Table29[],6,FALSE)</f>
        <v>no</v>
      </c>
      <c r="AS342" s="233" t="str">
        <f>VLOOKUP(Table9[[#This Row],[Country Code]],Table29[],7,FALSE)</f>
        <v>no</v>
      </c>
      <c r="AT342" s="233" t="str">
        <f>VLOOKUP(Table9[[#This Row],[Country Code]],Table29[],8,FALSE)</f>
        <v>non-OECD</v>
      </c>
      <c r="AU342" s="233" t="str">
        <f>VLOOKUP(Table9[[#This Row],[Country Code]],Table29[],9,FALSE)</f>
        <v>no</v>
      </c>
      <c r="AV342" s="233" t="str">
        <f>VLOOKUP(Table9[[#This Row],[Country Code]],Table29[],10,FALSE)</f>
        <v>MENA</v>
      </c>
      <c r="AW342" s="233">
        <f>VLOOKUP(Table9[[#This Row],[Country Code]],Table29[],23,FALSE)</f>
        <v>267.82319378585998</v>
      </c>
      <c r="AX342" s="233">
        <f>VLOOKUP(Table9[[#This Row],[Country Code]],Table29[],24,FALSE)</f>
        <v>43.860911308351241</v>
      </c>
      <c r="AY342" s="43"/>
    </row>
    <row r="343" spans="1:51" ht="120" x14ac:dyDescent="0.25">
      <c r="A343" s="360">
        <v>43699</v>
      </c>
      <c r="B343" s="252" t="str">
        <f>VLOOKUP(Table9[[#This Row],[Document ID]],Table1[],2,FALSE)</f>
        <v>ARE</v>
      </c>
      <c r="C343" s="233" t="str">
        <f>VLOOKUP(Table9[[#This Row],[Document ID]],Table1[],3,FALSE)</f>
        <v>United Arab Emirates</v>
      </c>
      <c r="D343" s="328" t="str">
        <f>VLOOKUP(Table9[[#This Row],[Document ID]],Table1[],5,FALSE)</f>
        <v>NDC</v>
      </c>
      <c r="E343" s="233" t="str">
        <f>VLOOKUP(Table9[[#This Row],[Document ID]],Table1[],7,FALSE)</f>
        <v>Third NDC</v>
      </c>
      <c r="F343" s="233" t="str">
        <f>VLOOKUP(Table9[[#This Row],[Document ID]],Table1[],8,FALSE)</f>
        <v>NDC 3.0</v>
      </c>
      <c r="G343" s="233" t="str">
        <f>VLOOKUP(Table9[[#This Row],[Document ID]],Table1[],10,FALSE)</f>
        <v>Active</v>
      </c>
      <c r="H343" s="43" t="s">
        <v>5076</v>
      </c>
      <c r="I343" s="43" t="s">
        <v>5089</v>
      </c>
      <c r="J343" s="44" t="s">
        <v>5410</v>
      </c>
      <c r="K343" s="221">
        <v>47</v>
      </c>
      <c r="L343" s="113" t="s">
        <v>1113</v>
      </c>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t="s">
        <v>1113</v>
      </c>
      <c r="AJ343" s="326"/>
      <c r="AK343" s="326"/>
      <c r="AL343" s="326"/>
      <c r="AM343" s="327" t="s">
        <v>5075</v>
      </c>
      <c r="AN343" s="241" t="str">
        <f>VLOOKUP(Table9[[#This Row],[Measure]],Table1025[[Value name]:[Value identifyer]],2,FALSE)</f>
        <v>R_Design</v>
      </c>
      <c r="AO343" s="233" t="str">
        <f>VLOOKUP(Table9[[#This Row],[Country Code]],Table29[],3,FALSE)</f>
        <v>Non-Annex I</v>
      </c>
      <c r="AP343" s="233" t="str">
        <f>VLOOKUP(Table9[[#This Row],[Country Code]],Table29[],4,FALSE)</f>
        <v>Asia</v>
      </c>
      <c r="AQ343" s="233" t="str">
        <f>VLOOKUP(Table9[[#This Row],[Country Code]],Table29[],5,FALSE)</f>
        <v>High-income</v>
      </c>
      <c r="AR343" s="233" t="str">
        <f>VLOOKUP(Table9[[#This Row],[Country Code]],Table29[],6,FALSE)</f>
        <v>no</v>
      </c>
      <c r="AS343" s="233" t="str">
        <f>VLOOKUP(Table9[[#This Row],[Country Code]],Table29[],7,FALSE)</f>
        <v>no</v>
      </c>
      <c r="AT343" s="233" t="str">
        <f>VLOOKUP(Table9[[#This Row],[Country Code]],Table29[],8,FALSE)</f>
        <v>non-OECD</v>
      </c>
      <c r="AU343" s="233" t="str">
        <f>VLOOKUP(Table9[[#This Row],[Country Code]],Table29[],9,FALSE)</f>
        <v>no</v>
      </c>
      <c r="AV343" s="233" t="str">
        <f>VLOOKUP(Table9[[#This Row],[Country Code]],Table29[],10,FALSE)</f>
        <v>MENA</v>
      </c>
      <c r="AW343" s="233">
        <f>VLOOKUP(Table9[[#This Row],[Country Code]],Table29[],23,FALSE)</f>
        <v>267.82319378585998</v>
      </c>
      <c r="AX343" s="233">
        <f>VLOOKUP(Table9[[#This Row],[Country Code]],Table29[],24,FALSE)</f>
        <v>43.860911308351241</v>
      </c>
      <c r="AY343" s="43"/>
    </row>
    <row r="344" spans="1:51" ht="60" x14ac:dyDescent="0.25">
      <c r="A344" s="360">
        <v>43699</v>
      </c>
      <c r="B344" s="252" t="str">
        <f>VLOOKUP(Table9[[#This Row],[Document ID]],Table1[],2,FALSE)</f>
        <v>ARE</v>
      </c>
      <c r="C344" s="233" t="str">
        <f>VLOOKUP(Table9[[#This Row],[Document ID]],Table1[],3,FALSE)</f>
        <v>United Arab Emirates</v>
      </c>
      <c r="D344" s="328" t="str">
        <f>VLOOKUP(Table9[[#This Row],[Document ID]],Table1[],5,FALSE)</f>
        <v>NDC</v>
      </c>
      <c r="E344" s="233" t="str">
        <f>VLOOKUP(Table9[[#This Row],[Document ID]],Table1[],7,FALSE)</f>
        <v>Third NDC</v>
      </c>
      <c r="F344" s="233" t="str">
        <f>VLOOKUP(Table9[[#This Row],[Document ID]],Table1[],8,FALSE)</f>
        <v>NDC 3.0</v>
      </c>
      <c r="G344" s="233" t="str">
        <f>VLOOKUP(Table9[[#This Row],[Document ID]],Table1[],10,FALSE)</f>
        <v>Active</v>
      </c>
      <c r="H344" s="43" t="s">
        <v>5072</v>
      </c>
      <c r="I344" s="43" t="s">
        <v>5411</v>
      </c>
      <c r="J344" s="44" t="s">
        <v>5412</v>
      </c>
      <c r="K344" s="221">
        <v>47</v>
      </c>
      <c r="L344" s="113"/>
      <c r="M344" s="113"/>
      <c r="N344" s="113"/>
      <c r="O344" s="113"/>
      <c r="P344" s="113"/>
      <c r="Q344" s="113" t="s">
        <v>1113</v>
      </c>
      <c r="R344" s="113"/>
      <c r="S344" s="113"/>
      <c r="T344" s="113"/>
      <c r="U344" s="113"/>
      <c r="V344" s="113"/>
      <c r="W344" s="113"/>
      <c r="X344" s="113"/>
      <c r="Y344" s="113"/>
      <c r="Z344" s="113"/>
      <c r="AA344" s="113"/>
      <c r="AB344" s="113" t="s">
        <v>1113</v>
      </c>
      <c r="AC344" s="113"/>
      <c r="AD344" s="113"/>
      <c r="AE344" s="113"/>
      <c r="AF344" s="113"/>
      <c r="AG344" s="113"/>
      <c r="AH344" s="113"/>
      <c r="AI344" s="113"/>
      <c r="AJ344" s="326" t="s">
        <v>1113</v>
      </c>
      <c r="AK344" s="326"/>
      <c r="AL344" s="326"/>
      <c r="AM344" s="327" t="s">
        <v>5075</v>
      </c>
      <c r="AN344" s="241" t="str">
        <f>VLOOKUP(Table9[[#This Row],[Measure]],Table1025[[Value name]:[Value identifyer]],2,FALSE)</f>
        <v>R_Infrares</v>
      </c>
      <c r="AO344" s="233" t="str">
        <f>VLOOKUP(Table9[[#This Row],[Country Code]],Table29[],3,FALSE)</f>
        <v>Non-Annex I</v>
      </c>
      <c r="AP344" s="233" t="str">
        <f>VLOOKUP(Table9[[#This Row],[Country Code]],Table29[],4,FALSE)</f>
        <v>Asia</v>
      </c>
      <c r="AQ344" s="233" t="str">
        <f>VLOOKUP(Table9[[#This Row],[Country Code]],Table29[],5,FALSE)</f>
        <v>High-income</v>
      </c>
      <c r="AR344" s="233" t="str">
        <f>VLOOKUP(Table9[[#This Row],[Country Code]],Table29[],6,FALSE)</f>
        <v>no</v>
      </c>
      <c r="AS344" s="233" t="str">
        <f>VLOOKUP(Table9[[#This Row],[Country Code]],Table29[],7,FALSE)</f>
        <v>no</v>
      </c>
      <c r="AT344" s="233" t="str">
        <f>VLOOKUP(Table9[[#This Row],[Country Code]],Table29[],8,FALSE)</f>
        <v>non-OECD</v>
      </c>
      <c r="AU344" s="233" t="str">
        <f>VLOOKUP(Table9[[#This Row],[Country Code]],Table29[],9,FALSE)</f>
        <v>no</v>
      </c>
      <c r="AV344" s="233" t="str">
        <f>VLOOKUP(Table9[[#This Row],[Country Code]],Table29[],10,FALSE)</f>
        <v>MENA</v>
      </c>
      <c r="AW344" s="233">
        <f>VLOOKUP(Table9[[#This Row],[Country Code]],Table29[],23,FALSE)</f>
        <v>267.82319378585998</v>
      </c>
      <c r="AX344" s="233">
        <f>VLOOKUP(Table9[[#This Row],[Country Code]],Table29[],24,FALSE)</f>
        <v>43.860911308351241</v>
      </c>
      <c r="AY344" s="43"/>
    </row>
    <row r="345" spans="1:51" ht="90" x14ac:dyDescent="0.25">
      <c r="A345" s="360">
        <v>43699</v>
      </c>
      <c r="B345" s="252" t="str">
        <f>VLOOKUP(Table9[[#This Row],[Document ID]],Table1[],2,FALSE)</f>
        <v>ARE</v>
      </c>
      <c r="C345" s="233" t="str">
        <f>VLOOKUP(Table9[[#This Row],[Document ID]],Table1[],3,FALSE)</f>
        <v>United Arab Emirates</v>
      </c>
      <c r="D345" s="328" t="str">
        <f>VLOOKUP(Table9[[#This Row],[Document ID]],Table1[],5,FALSE)</f>
        <v>NDC</v>
      </c>
      <c r="E345" s="233" t="str">
        <f>VLOOKUP(Table9[[#This Row],[Document ID]],Table1[],7,FALSE)</f>
        <v>Third NDC</v>
      </c>
      <c r="F345" s="233" t="str">
        <f>VLOOKUP(Table9[[#This Row],[Document ID]],Table1[],8,FALSE)</f>
        <v>NDC 3.0</v>
      </c>
      <c r="G345" s="233" t="str">
        <f>VLOOKUP(Table9[[#This Row],[Document ID]],Table1[],10,FALSE)</f>
        <v>Active</v>
      </c>
      <c r="H345" s="43" t="s">
        <v>5076</v>
      </c>
      <c r="I345" s="43" t="s">
        <v>5089</v>
      </c>
      <c r="J345" s="44" t="s">
        <v>5413</v>
      </c>
      <c r="K345" s="221" t="s">
        <v>5414</v>
      </c>
      <c r="L345" s="113"/>
      <c r="M345" s="113"/>
      <c r="N345" s="113"/>
      <c r="O345" s="113" t="s">
        <v>1113</v>
      </c>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326" t="s">
        <v>1113</v>
      </c>
      <c r="AK345" s="326"/>
      <c r="AL345" s="326"/>
      <c r="AM345" s="327" t="s">
        <v>5075</v>
      </c>
      <c r="AN345" s="241" t="str">
        <f>VLOOKUP(Table9[[#This Row],[Measure]],Table1025[[Value name]:[Value identifyer]],2,FALSE)</f>
        <v>R_Design</v>
      </c>
      <c r="AO345" s="233" t="str">
        <f>VLOOKUP(Table9[[#This Row],[Country Code]],Table29[],3,FALSE)</f>
        <v>Non-Annex I</v>
      </c>
      <c r="AP345" s="233" t="str">
        <f>VLOOKUP(Table9[[#This Row],[Country Code]],Table29[],4,FALSE)</f>
        <v>Asia</v>
      </c>
      <c r="AQ345" s="233" t="str">
        <f>VLOOKUP(Table9[[#This Row],[Country Code]],Table29[],5,FALSE)</f>
        <v>High-income</v>
      </c>
      <c r="AR345" s="233" t="str">
        <f>VLOOKUP(Table9[[#This Row],[Country Code]],Table29[],6,FALSE)</f>
        <v>no</v>
      </c>
      <c r="AS345" s="233" t="str">
        <f>VLOOKUP(Table9[[#This Row],[Country Code]],Table29[],7,FALSE)</f>
        <v>no</v>
      </c>
      <c r="AT345" s="233" t="str">
        <f>VLOOKUP(Table9[[#This Row],[Country Code]],Table29[],8,FALSE)</f>
        <v>non-OECD</v>
      </c>
      <c r="AU345" s="233" t="str">
        <f>VLOOKUP(Table9[[#This Row],[Country Code]],Table29[],9,FALSE)</f>
        <v>no</v>
      </c>
      <c r="AV345" s="233" t="str">
        <f>VLOOKUP(Table9[[#This Row],[Country Code]],Table29[],10,FALSE)</f>
        <v>MENA</v>
      </c>
      <c r="AW345" s="233">
        <f>VLOOKUP(Table9[[#This Row],[Country Code]],Table29[],23,FALSE)</f>
        <v>267.82319378585998</v>
      </c>
      <c r="AX345" s="233">
        <f>VLOOKUP(Table9[[#This Row],[Country Code]],Table29[],24,FALSE)</f>
        <v>43.860911308351241</v>
      </c>
      <c r="AY345" s="43"/>
    </row>
    <row r="346" spans="1:51" ht="45" x14ac:dyDescent="0.25">
      <c r="A346" s="373">
        <v>43700</v>
      </c>
      <c r="B346" s="252" t="str">
        <f>VLOOKUP(Table9[[#This Row],[Document ID]],Table1[],2,FALSE)</f>
        <v>BRA</v>
      </c>
      <c r="C346" s="233" t="str">
        <f>VLOOKUP(Table9[[#This Row],[Document ID]],Table1[],3,FALSE)</f>
        <v>Brazil</v>
      </c>
      <c r="D346" s="328" t="str">
        <f>VLOOKUP(Table9[[#This Row],[Document ID]],Table1[],5,FALSE)</f>
        <v>NDC</v>
      </c>
      <c r="E346" s="233" t="str">
        <f>VLOOKUP(Table9[[#This Row],[Document ID]],Table1[],7,FALSE)</f>
        <v>Third NDC</v>
      </c>
      <c r="F346" s="233" t="str">
        <f>VLOOKUP(Table9[[#This Row],[Document ID]],Table1[],8,FALSE)</f>
        <v>NDC 3.0</v>
      </c>
      <c r="G346" s="233" t="str">
        <f>VLOOKUP(Table9[[#This Row],[Document ID]],Table1[],10,FALSE)</f>
        <v>Active</v>
      </c>
      <c r="H346" s="43" t="s">
        <v>5076</v>
      </c>
      <c r="I346" s="43" t="s">
        <v>5077</v>
      </c>
      <c r="J346" s="44" t="s">
        <v>5016</v>
      </c>
      <c r="K346" s="221">
        <v>16</v>
      </c>
      <c r="L346" s="113"/>
      <c r="M346" s="113"/>
      <c r="N346" s="113" t="s">
        <v>1113</v>
      </c>
      <c r="O346" s="113"/>
      <c r="P346" s="113"/>
      <c r="Q346" s="113"/>
      <c r="R346" s="113"/>
      <c r="S346" s="113"/>
      <c r="T346" s="113"/>
      <c r="U346" s="113"/>
      <c r="V346" s="113"/>
      <c r="W346" s="113" t="s">
        <v>1113</v>
      </c>
      <c r="X346" s="113"/>
      <c r="Y346" s="113"/>
      <c r="Z346" s="113"/>
      <c r="AA346" s="113" t="s">
        <v>1113</v>
      </c>
      <c r="AB346" s="113"/>
      <c r="AC346" s="113"/>
      <c r="AD346" s="113"/>
      <c r="AE346" s="113"/>
      <c r="AF346" s="113"/>
      <c r="AG346" s="113"/>
      <c r="AH346" s="113"/>
      <c r="AI346" s="113"/>
      <c r="AJ346" s="326" t="s">
        <v>1113</v>
      </c>
      <c r="AK346" s="326"/>
      <c r="AL346" s="326"/>
      <c r="AM346" s="43" t="s">
        <v>5119</v>
      </c>
      <c r="AN346" s="241" t="str">
        <f>VLOOKUP(Table9[[#This Row],[Measure]],Table1025[[Value name]:[Value identifyer]],2,FALSE)</f>
        <v>R_Planning</v>
      </c>
      <c r="AO346" s="233" t="str">
        <f>VLOOKUP(Table9[[#This Row],[Country Code]],Table29[],3,FALSE)</f>
        <v>Non-Annex I</v>
      </c>
      <c r="AP346" s="233" t="str">
        <f>VLOOKUP(Table9[[#This Row],[Country Code]],Table29[],4,FALSE)</f>
        <v>Latin America and the Caribbean</v>
      </c>
      <c r="AQ346" s="233" t="str">
        <f>VLOOKUP(Table9[[#This Row],[Country Code]],Table29[],5,FALSE)</f>
        <v>Middle-income</v>
      </c>
      <c r="AR346" s="233" t="str">
        <f>VLOOKUP(Table9[[#This Row],[Country Code]],Table29[],6,FALSE)</f>
        <v>G20</v>
      </c>
      <c r="AS346" s="233" t="str">
        <f>VLOOKUP(Table9[[#This Row],[Country Code]],Table29[],7,FALSE)</f>
        <v>no</v>
      </c>
      <c r="AT346" s="233" t="str">
        <f>VLOOKUP(Table9[[#This Row],[Country Code]],Table29[],8,FALSE)</f>
        <v>non-OECD</v>
      </c>
      <c r="AU346" s="233" t="str">
        <f>VLOOKUP(Table9[[#This Row],[Country Code]],Table29[],9,FALSE)</f>
        <v>no</v>
      </c>
      <c r="AV346" s="233" t="str">
        <f>VLOOKUP(Table9[[#This Row],[Country Code]],Table29[],10,FALSE)</f>
        <v>no</v>
      </c>
      <c r="AW346" s="233">
        <f>VLOOKUP(Table9[[#This Row],[Country Code]],Table29[],23,FALSE)</f>
        <v>1300.1688666752</v>
      </c>
      <c r="AX346" s="233">
        <f>VLOOKUP(Table9[[#This Row],[Country Code]],Table29[],24,FALSE)</f>
        <v>221.12609205884911</v>
      </c>
      <c r="AY346" s="43"/>
    </row>
    <row r="347" spans="1:51" ht="120" x14ac:dyDescent="0.25">
      <c r="A347" s="373">
        <v>43700</v>
      </c>
      <c r="B347" s="252" t="str">
        <f>VLOOKUP(Table9[[#This Row],[Document ID]],Table1[],2,FALSE)</f>
        <v>BRA</v>
      </c>
      <c r="C347" s="233" t="str">
        <f>VLOOKUP(Table9[[#This Row],[Document ID]],Table1[],3,FALSE)</f>
        <v>Brazil</v>
      </c>
      <c r="D347" s="328" t="str">
        <f>VLOOKUP(Table9[[#This Row],[Document ID]],Table1[],5,FALSE)</f>
        <v>NDC</v>
      </c>
      <c r="E347" s="233" t="str">
        <f>VLOOKUP(Table9[[#This Row],[Document ID]],Table1[],7,FALSE)</f>
        <v>Third NDC</v>
      </c>
      <c r="F347" s="233" t="str">
        <f>VLOOKUP(Table9[[#This Row],[Document ID]],Table1[],8,FALSE)</f>
        <v>NDC 3.0</v>
      </c>
      <c r="G347" s="233" t="str">
        <f>VLOOKUP(Table9[[#This Row],[Document ID]],Table1[],10,FALSE)</f>
        <v>Active</v>
      </c>
      <c r="H347" s="43" t="s">
        <v>5086</v>
      </c>
      <c r="I347" s="43" t="s">
        <v>5087</v>
      </c>
      <c r="J347" s="44" t="s">
        <v>5415</v>
      </c>
      <c r="K347" s="221">
        <v>9</v>
      </c>
      <c r="L347" s="113"/>
      <c r="M347" s="113"/>
      <c r="N347" s="113"/>
      <c r="O347" s="113"/>
      <c r="P347" s="113"/>
      <c r="Q347" s="113" t="s">
        <v>1113</v>
      </c>
      <c r="R347" s="113"/>
      <c r="S347" s="113"/>
      <c r="T347" s="113"/>
      <c r="U347" s="113"/>
      <c r="V347" s="113"/>
      <c r="W347" s="113"/>
      <c r="X347" s="113" t="s">
        <v>1113</v>
      </c>
      <c r="Y347" s="113"/>
      <c r="Z347" s="113"/>
      <c r="AA347" s="113"/>
      <c r="AB347" s="113" t="s">
        <v>1113</v>
      </c>
      <c r="AC347" s="113"/>
      <c r="AD347" s="113"/>
      <c r="AE347" s="113"/>
      <c r="AF347" s="113"/>
      <c r="AG347" s="113"/>
      <c r="AH347" s="113"/>
      <c r="AI347" s="113" t="s">
        <v>1113</v>
      </c>
      <c r="AJ347" s="326"/>
      <c r="AK347" s="326"/>
      <c r="AL347" s="326"/>
      <c r="AM347" s="327" t="s">
        <v>5075</v>
      </c>
      <c r="AN347" s="241" t="str">
        <f>VLOOKUP(Table9[[#This Row],[Measure]],Table1025[[Value name]:[Value identifyer]],2,FALSE)</f>
        <v>R_Education</v>
      </c>
      <c r="AO347" s="233" t="str">
        <f>VLOOKUP(Table9[[#This Row],[Country Code]],Table29[],3,FALSE)</f>
        <v>Non-Annex I</v>
      </c>
      <c r="AP347" s="233" t="str">
        <f>VLOOKUP(Table9[[#This Row],[Country Code]],Table29[],4,FALSE)</f>
        <v>Latin America and the Caribbean</v>
      </c>
      <c r="AQ347" s="233" t="str">
        <f>VLOOKUP(Table9[[#This Row],[Country Code]],Table29[],5,FALSE)</f>
        <v>Middle-income</v>
      </c>
      <c r="AR347" s="233" t="str">
        <f>VLOOKUP(Table9[[#This Row],[Country Code]],Table29[],6,FALSE)</f>
        <v>G20</v>
      </c>
      <c r="AS347" s="233" t="str">
        <f>VLOOKUP(Table9[[#This Row],[Country Code]],Table29[],7,FALSE)</f>
        <v>no</v>
      </c>
      <c r="AT347" s="233" t="str">
        <f>VLOOKUP(Table9[[#This Row],[Country Code]],Table29[],8,FALSE)</f>
        <v>non-OECD</v>
      </c>
      <c r="AU347" s="233" t="str">
        <f>VLOOKUP(Table9[[#This Row],[Country Code]],Table29[],9,FALSE)</f>
        <v>no</v>
      </c>
      <c r="AV347" s="233" t="str">
        <f>VLOOKUP(Table9[[#This Row],[Country Code]],Table29[],10,FALSE)</f>
        <v>no</v>
      </c>
      <c r="AW347" s="233">
        <f>VLOOKUP(Table9[[#This Row],[Country Code]],Table29[],23,FALSE)</f>
        <v>1300.1688666752</v>
      </c>
      <c r="AX347" s="233">
        <f>VLOOKUP(Table9[[#This Row],[Country Code]],Table29[],24,FALSE)</f>
        <v>221.12609205884911</v>
      </c>
      <c r="AY347" s="43"/>
    </row>
    <row r="348" spans="1:51" ht="105" x14ac:dyDescent="0.25">
      <c r="A348" s="373">
        <v>43700</v>
      </c>
      <c r="B348" s="252" t="str">
        <f>VLOOKUP(Table9[[#This Row],[Document ID]],Table1[],2,FALSE)</f>
        <v>BRA</v>
      </c>
      <c r="C348" s="233" t="str">
        <f>VLOOKUP(Table9[[#This Row],[Document ID]],Table1[],3,FALSE)</f>
        <v>Brazil</v>
      </c>
      <c r="D348" s="328" t="str">
        <f>VLOOKUP(Table9[[#This Row],[Document ID]],Table1[],5,FALSE)</f>
        <v>NDC</v>
      </c>
      <c r="E348" s="233" t="str">
        <f>VLOOKUP(Table9[[#This Row],[Document ID]],Table1[],7,FALSE)</f>
        <v>Third NDC</v>
      </c>
      <c r="F348" s="233" t="str">
        <f>VLOOKUP(Table9[[#This Row],[Document ID]],Table1[],8,FALSE)</f>
        <v>NDC 3.0</v>
      </c>
      <c r="G348" s="233" t="str">
        <f>VLOOKUP(Table9[[#This Row],[Document ID]],Table1[],10,FALSE)</f>
        <v>Active</v>
      </c>
      <c r="H348" s="43" t="s">
        <v>5076</v>
      </c>
      <c r="I348" s="43" t="s">
        <v>5077</v>
      </c>
      <c r="J348" s="44" t="s">
        <v>5416</v>
      </c>
      <c r="K348" s="536" t="s">
        <v>5417</v>
      </c>
      <c r="L348" s="113" t="s">
        <v>1113</v>
      </c>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t="s">
        <v>1113</v>
      </c>
      <c r="AJ348" s="326"/>
      <c r="AK348" s="326"/>
      <c r="AL348" s="326"/>
      <c r="AM348" s="327" t="s">
        <v>5075</v>
      </c>
      <c r="AN348" s="241" t="str">
        <f>VLOOKUP(Table9[[#This Row],[Measure]],Table1025[[Value name]:[Value identifyer]],2,FALSE)</f>
        <v>R_Planning</v>
      </c>
      <c r="AO348" s="233" t="str">
        <f>VLOOKUP(Table9[[#This Row],[Country Code]],Table29[],3,FALSE)</f>
        <v>Non-Annex I</v>
      </c>
      <c r="AP348" s="233" t="str">
        <f>VLOOKUP(Table9[[#This Row],[Country Code]],Table29[],4,FALSE)</f>
        <v>Latin America and the Caribbean</v>
      </c>
      <c r="AQ348" s="233" t="str">
        <f>VLOOKUP(Table9[[#This Row],[Country Code]],Table29[],5,FALSE)</f>
        <v>Middle-income</v>
      </c>
      <c r="AR348" s="233" t="str">
        <f>VLOOKUP(Table9[[#This Row],[Country Code]],Table29[],6,FALSE)</f>
        <v>G20</v>
      </c>
      <c r="AS348" s="233" t="str">
        <f>VLOOKUP(Table9[[#This Row],[Country Code]],Table29[],7,FALSE)</f>
        <v>no</v>
      </c>
      <c r="AT348" s="233" t="str">
        <f>VLOOKUP(Table9[[#This Row],[Country Code]],Table29[],8,FALSE)</f>
        <v>non-OECD</v>
      </c>
      <c r="AU348" s="233" t="str">
        <f>VLOOKUP(Table9[[#This Row],[Country Code]],Table29[],9,FALSE)</f>
        <v>no</v>
      </c>
      <c r="AV348" s="233" t="str">
        <f>VLOOKUP(Table9[[#This Row],[Country Code]],Table29[],10,FALSE)</f>
        <v>no</v>
      </c>
      <c r="AW348" s="233">
        <f>VLOOKUP(Table9[[#This Row],[Country Code]],Table29[],23,FALSE)</f>
        <v>1300.1688666752</v>
      </c>
      <c r="AX348" s="233">
        <f>VLOOKUP(Table9[[#This Row],[Country Code]],Table29[],24,FALSE)</f>
        <v>221.12609205884911</v>
      </c>
      <c r="AY348" s="43"/>
    </row>
    <row r="349" spans="1:51" ht="15" customHeight="1" x14ac:dyDescent="0.25">
      <c r="A349" s="373">
        <v>43716</v>
      </c>
      <c r="B349" s="252" t="str">
        <f>VLOOKUP(Table9[[#This Row],[Document ID]],Table1[],2,FALSE)</f>
        <v>BWA</v>
      </c>
      <c r="C349" s="233" t="str">
        <f>VLOOKUP(Table9[[#This Row],[Document ID]],Table1[],3,FALSE)</f>
        <v>Botswana</v>
      </c>
      <c r="D349" s="328" t="str">
        <f>VLOOKUP(Table9[[#This Row],[Document ID]],Table1[],5,FALSE)</f>
        <v>NDC</v>
      </c>
      <c r="E349" s="233" t="str">
        <f>VLOOKUP(Table9[[#This Row],[Document ID]],Table1[],7,FALSE)</f>
        <v>Third NDC</v>
      </c>
      <c r="F349" s="233" t="str">
        <f>VLOOKUP(Table9[[#This Row],[Document ID]],Table1[],8,FALSE)</f>
        <v>NDC 3.0</v>
      </c>
      <c r="G349" s="233" t="str">
        <f>VLOOKUP(Table9[[#This Row],[Document ID]],Table1[],10,FALSE)</f>
        <v>Active</v>
      </c>
      <c r="H349" s="43" t="s">
        <v>5072</v>
      </c>
      <c r="I349" s="43" t="s">
        <v>5411</v>
      </c>
      <c r="J349" s="44" t="s">
        <v>5418</v>
      </c>
      <c r="K349" s="221">
        <v>36</v>
      </c>
      <c r="L349" s="113" t="s">
        <v>1113</v>
      </c>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t="s">
        <v>1113</v>
      </c>
      <c r="AJ349" s="326"/>
      <c r="AK349" s="326"/>
      <c r="AL349" s="326"/>
      <c r="AM349" s="327" t="s">
        <v>5075</v>
      </c>
      <c r="AN349" s="241" t="str">
        <f>VLOOKUP(Table9[[#This Row],[Measure]],Table1025[[Value name]:[Value identifyer]],2,FALSE)</f>
        <v>R_Infrares</v>
      </c>
      <c r="AO349" s="233" t="str">
        <f>VLOOKUP(Table9[[#This Row],[Country Code]],Table29[],3,FALSE)</f>
        <v>Non-Annex I</v>
      </c>
      <c r="AP349" s="233" t="str">
        <f>VLOOKUP(Table9[[#This Row],[Country Code]],Table29[],4,FALSE)</f>
        <v>Africa</v>
      </c>
      <c r="AQ349" s="233" t="str">
        <f>VLOOKUP(Table9[[#This Row],[Country Code]],Table29[],5,FALSE)</f>
        <v>Middle-income</v>
      </c>
      <c r="AR349" s="233" t="str">
        <f>VLOOKUP(Table9[[#This Row],[Country Code]],Table29[],6,FALSE)</f>
        <v>no</v>
      </c>
      <c r="AS349" s="233" t="str">
        <f>VLOOKUP(Table9[[#This Row],[Country Code]],Table29[],7,FALSE)</f>
        <v>no</v>
      </c>
      <c r="AT349" s="233" t="str">
        <f>VLOOKUP(Table9[[#This Row],[Country Code]],Table29[],8,FALSE)</f>
        <v>non-OECD</v>
      </c>
      <c r="AU349" s="233" t="str">
        <f>VLOOKUP(Table9[[#This Row],[Country Code]],Table29[],9,FALSE)</f>
        <v>no</v>
      </c>
      <c r="AV349" s="233" t="str">
        <f>VLOOKUP(Table9[[#This Row],[Country Code]],Table29[],10,FALSE)</f>
        <v>no</v>
      </c>
      <c r="AW349" s="233">
        <f>VLOOKUP(Table9[[#This Row],[Country Code]],Table29[],23,FALSE)</f>
        <v>12.712755146957001</v>
      </c>
      <c r="AX349" s="233">
        <f>VLOOKUP(Table9[[#This Row],[Country Code]],Table29[],24,FALSE)</f>
        <v>2.440731678856535</v>
      </c>
      <c r="AY349" s="43"/>
    </row>
    <row r="350" spans="1:51" ht="15" customHeight="1" x14ac:dyDescent="0.25">
      <c r="A350" s="373">
        <v>43716</v>
      </c>
      <c r="B350" s="252" t="str">
        <f>VLOOKUP(Table9[[#This Row],[Document ID]],Table1[],2,FALSE)</f>
        <v>BWA</v>
      </c>
      <c r="C350" s="233" t="str">
        <f>VLOOKUP(Table9[[#This Row],[Document ID]],Table1[],3,FALSE)</f>
        <v>Botswana</v>
      </c>
      <c r="D350" s="328" t="str">
        <f>VLOOKUP(Table9[[#This Row],[Document ID]],Table1[],5,FALSE)</f>
        <v>NDC</v>
      </c>
      <c r="E350" s="233" t="str">
        <f>VLOOKUP(Table9[[#This Row],[Document ID]],Table1[],7,FALSE)</f>
        <v>Third NDC</v>
      </c>
      <c r="F350" s="233" t="str">
        <f>VLOOKUP(Table9[[#This Row],[Document ID]],Table1[],8,FALSE)</f>
        <v>NDC 3.0</v>
      </c>
      <c r="G350" s="233" t="str">
        <f>VLOOKUP(Table9[[#This Row],[Document ID]],Table1[],10,FALSE)</f>
        <v>Active</v>
      </c>
      <c r="H350" s="43" t="s">
        <v>5076</v>
      </c>
      <c r="I350" s="43" t="s">
        <v>5089</v>
      </c>
      <c r="J350" s="44" t="s">
        <v>5419</v>
      </c>
      <c r="K350" s="221">
        <v>36</v>
      </c>
      <c r="L350" s="113" t="s">
        <v>1113</v>
      </c>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t="s">
        <v>1113</v>
      </c>
      <c r="AJ350" s="326"/>
      <c r="AK350" s="326"/>
      <c r="AL350" s="326"/>
      <c r="AM350" s="327" t="s">
        <v>5075</v>
      </c>
      <c r="AN350" s="241" t="str">
        <f>VLOOKUP(Table9[[#This Row],[Measure]],Table1025[[Value name]:[Value identifyer]],2,FALSE)</f>
        <v>R_Design</v>
      </c>
      <c r="AO350" s="233" t="str">
        <f>VLOOKUP(Table9[[#This Row],[Country Code]],Table29[],3,FALSE)</f>
        <v>Non-Annex I</v>
      </c>
      <c r="AP350" s="233" t="str">
        <f>VLOOKUP(Table9[[#This Row],[Country Code]],Table29[],4,FALSE)</f>
        <v>Africa</v>
      </c>
      <c r="AQ350" s="233" t="str">
        <f>VLOOKUP(Table9[[#This Row],[Country Code]],Table29[],5,FALSE)</f>
        <v>Middle-income</v>
      </c>
      <c r="AR350" s="233" t="str">
        <f>VLOOKUP(Table9[[#This Row],[Country Code]],Table29[],6,FALSE)</f>
        <v>no</v>
      </c>
      <c r="AS350" s="233" t="str">
        <f>VLOOKUP(Table9[[#This Row],[Country Code]],Table29[],7,FALSE)</f>
        <v>no</v>
      </c>
      <c r="AT350" s="233" t="str">
        <f>VLOOKUP(Table9[[#This Row],[Country Code]],Table29[],8,FALSE)</f>
        <v>non-OECD</v>
      </c>
      <c r="AU350" s="233" t="str">
        <f>VLOOKUP(Table9[[#This Row],[Country Code]],Table29[],9,FALSE)</f>
        <v>no</v>
      </c>
      <c r="AV350" s="233" t="str">
        <f>VLOOKUP(Table9[[#This Row],[Country Code]],Table29[],10,FALSE)</f>
        <v>no</v>
      </c>
      <c r="AW350" s="233">
        <f>VLOOKUP(Table9[[#This Row],[Country Code]],Table29[],23,FALSE)</f>
        <v>12.712755146957001</v>
      </c>
      <c r="AX350" s="233">
        <f>VLOOKUP(Table9[[#This Row],[Country Code]],Table29[],24,FALSE)</f>
        <v>2.440731678856535</v>
      </c>
      <c r="AY350" s="43"/>
    </row>
    <row r="351" spans="1:51" ht="15" customHeight="1" x14ac:dyDescent="0.25">
      <c r="A351" s="373">
        <v>43716</v>
      </c>
      <c r="B351" s="252" t="str">
        <f>VLOOKUP(Table9[[#This Row],[Document ID]],Table1[],2,FALSE)</f>
        <v>BWA</v>
      </c>
      <c r="C351" s="233" t="str">
        <f>VLOOKUP(Table9[[#This Row],[Document ID]],Table1[],3,FALSE)</f>
        <v>Botswana</v>
      </c>
      <c r="D351" s="328" t="str">
        <f>VLOOKUP(Table9[[#This Row],[Document ID]],Table1[],5,FALSE)</f>
        <v>NDC</v>
      </c>
      <c r="E351" s="233" t="str">
        <f>VLOOKUP(Table9[[#This Row],[Document ID]],Table1[],7,FALSE)</f>
        <v>Third NDC</v>
      </c>
      <c r="F351" s="233" t="str">
        <f>VLOOKUP(Table9[[#This Row],[Document ID]],Table1[],8,FALSE)</f>
        <v>NDC 3.0</v>
      </c>
      <c r="G351" s="233" t="str">
        <f>VLOOKUP(Table9[[#This Row],[Document ID]],Table1[],10,FALSE)</f>
        <v>Active</v>
      </c>
      <c r="H351" s="43" t="s">
        <v>5256</v>
      </c>
      <c r="I351" s="43" t="s">
        <v>5256</v>
      </c>
      <c r="J351" s="44" t="s">
        <v>5420</v>
      </c>
      <c r="K351" s="221">
        <v>36</v>
      </c>
      <c r="L351" s="113" t="s">
        <v>1113</v>
      </c>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t="s">
        <v>1113</v>
      </c>
      <c r="AJ351" s="326"/>
      <c r="AK351" s="326"/>
      <c r="AL351" s="326"/>
      <c r="AM351" s="327" t="s">
        <v>5075</v>
      </c>
      <c r="AN351" s="241" t="str">
        <f>VLOOKUP(Table9[[#This Row],[Measure]],Table1025[[Value name]:[Value identifyer]],2,FALSE)</f>
        <v>A_OTHER</v>
      </c>
      <c r="AO351" s="233" t="str">
        <f>VLOOKUP(Table9[[#This Row],[Country Code]],Table29[],3,FALSE)</f>
        <v>Non-Annex I</v>
      </c>
      <c r="AP351" s="233" t="str">
        <f>VLOOKUP(Table9[[#This Row],[Country Code]],Table29[],4,FALSE)</f>
        <v>Africa</v>
      </c>
      <c r="AQ351" s="233" t="str">
        <f>VLOOKUP(Table9[[#This Row],[Country Code]],Table29[],5,FALSE)</f>
        <v>Middle-income</v>
      </c>
      <c r="AR351" s="233" t="str">
        <f>VLOOKUP(Table9[[#This Row],[Country Code]],Table29[],6,FALSE)</f>
        <v>no</v>
      </c>
      <c r="AS351" s="233" t="str">
        <f>VLOOKUP(Table9[[#This Row],[Country Code]],Table29[],7,FALSE)</f>
        <v>no</v>
      </c>
      <c r="AT351" s="233" t="str">
        <f>VLOOKUP(Table9[[#This Row],[Country Code]],Table29[],8,FALSE)</f>
        <v>non-OECD</v>
      </c>
      <c r="AU351" s="233" t="str">
        <f>VLOOKUP(Table9[[#This Row],[Country Code]],Table29[],9,FALSE)</f>
        <v>no</v>
      </c>
      <c r="AV351" s="233" t="str">
        <f>VLOOKUP(Table9[[#This Row],[Country Code]],Table29[],10,FALSE)</f>
        <v>no</v>
      </c>
      <c r="AW351" s="233">
        <f>VLOOKUP(Table9[[#This Row],[Country Code]],Table29[],23,FALSE)</f>
        <v>12.712755146957001</v>
      </c>
      <c r="AX351" s="233">
        <f>VLOOKUP(Table9[[#This Row],[Country Code]],Table29[],24,FALSE)</f>
        <v>2.440731678856535</v>
      </c>
      <c r="AY351" s="43"/>
    </row>
    <row r="352" spans="1:51" ht="15" customHeight="1" x14ac:dyDescent="0.25">
      <c r="A352" s="373">
        <v>43716</v>
      </c>
      <c r="B352" s="252" t="str">
        <f>VLOOKUP(Table9[[#This Row],[Document ID]],Table1[],2,FALSE)</f>
        <v>BWA</v>
      </c>
      <c r="C352" s="233" t="str">
        <f>VLOOKUP(Table9[[#This Row],[Document ID]],Table1[],3,FALSE)</f>
        <v>Botswana</v>
      </c>
      <c r="D352" s="328" t="str">
        <f>VLOOKUP(Table9[[#This Row],[Document ID]],Table1[],5,FALSE)</f>
        <v>NDC</v>
      </c>
      <c r="E352" s="233" t="str">
        <f>VLOOKUP(Table9[[#This Row],[Document ID]],Table1[],7,FALSE)</f>
        <v>Third NDC</v>
      </c>
      <c r="F352" s="233" t="str">
        <f>VLOOKUP(Table9[[#This Row],[Document ID]],Table1[],8,FALSE)</f>
        <v>NDC 3.0</v>
      </c>
      <c r="G352" s="233" t="str">
        <f>VLOOKUP(Table9[[#This Row],[Document ID]],Table1[],10,FALSE)</f>
        <v>Active</v>
      </c>
      <c r="H352" s="43" t="s">
        <v>5256</v>
      </c>
      <c r="I352" s="43" t="s">
        <v>5256</v>
      </c>
      <c r="J352" s="44" t="s">
        <v>5421</v>
      </c>
      <c r="K352" s="221">
        <v>36</v>
      </c>
      <c r="L352" s="113" t="s">
        <v>1113</v>
      </c>
      <c r="M352" s="113"/>
      <c r="N352" s="113"/>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t="s">
        <v>1113</v>
      </c>
      <c r="AJ352" s="326"/>
      <c r="AK352" s="326"/>
      <c r="AL352" s="326"/>
      <c r="AM352" s="327" t="s">
        <v>5075</v>
      </c>
      <c r="AN352" s="241" t="str">
        <f>VLOOKUP(Table9[[#This Row],[Measure]],Table1025[[Value name]:[Value identifyer]],2,FALSE)</f>
        <v>A_OTHER</v>
      </c>
      <c r="AO352" s="233" t="str">
        <f>VLOOKUP(Table9[[#This Row],[Country Code]],Table29[],3,FALSE)</f>
        <v>Non-Annex I</v>
      </c>
      <c r="AP352" s="233" t="str">
        <f>VLOOKUP(Table9[[#This Row],[Country Code]],Table29[],4,FALSE)</f>
        <v>Africa</v>
      </c>
      <c r="AQ352" s="233" t="str">
        <f>VLOOKUP(Table9[[#This Row],[Country Code]],Table29[],5,FALSE)</f>
        <v>Middle-income</v>
      </c>
      <c r="AR352" s="233" t="str">
        <f>VLOOKUP(Table9[[#This Row],[Country Code]],Table29[],6,FALSE)</f>
        <v>no</v>
      </c>
      <c r="AS352" s="233" t="str">
        <f>VLOOKUP(Table9[[#This Row],[Country Code]],Table29[],7,FALSE)</f>
        <v>no</v>
      </c>
      <c r="AT352" s="233" t="str">
        <f>VLOOKUP(Table9[[#This Row],[Country Code]],Table29[],8,FALSE)</f>
        <v>non-OECD</v>
      </c>
      <c r="AU352" s="233" t="str">
        <f>VLOOKUP(Table9[[#This Row],[Country Code]],Table29[],9,FALSE)</f>
        <v>no</v>
      </c>
      <c r="AV352" s="233" t="str">
        <f>VLOOKUP(Table9[[#This Row],[Country Code]],Table29[],10,FALSE)</f>
        <v>no</v>
      </c>
      <c r="AW352" s="233">
        <f>VLOOKUP(Table9[[#This Row],[Country Code]],Table29[],23,FALSE)</f>
        <v>12.712755146957001</v>
      </c>
      <c r="AX352" s="233">
        <f>VLOOKUP(Table9[[#This Row],[Country Code]],Table29[],24,FALSE)</f>
        <v>2.440731678856535</v>
      </c>
      <c r="AY352" s="43"/>
    </row>
    <row r="353" spans="1:51" ht="45" x14ac:dyDescent="0.25">
      <c r="A353" s="537">
        <v>43717</v>
      </c>
      <c r="B353" s="252" t="str">
        <f>VLOOKUP(Table9[[#This Row],[Document ID]],Table1[],2,FALSE)</f>
        <v>KAZ</v>
      </c>
      <c r="C353" s="233" t="str">
        <f>VLOOKUP(Table9[[#This Row],[Document ID]],Table1[],3,FALSE)</f>
        <v>Kazakhstan</v>
      </c>
      <c r="D353" s="328" t="str">
        <f>VLOOKUP(Table9[[#This Row],[Document ID]],Table1[],5,FALSE)</f>
        <v>LTS</v>
      </c>
      <c r="E353" s="233" t="str">
        <f>VLOOKUP(Table9[[#This Row],[Document ID]],Table1[],7,FALSE)</f>
        <v>LTS</v>
      </c>
      <c r="F353" s="233" t="str">
        <f>VLOOKUP(Table9[[#This Row],[Document ID]],Table1[],8,FALSE)</f>
        <v>LTS 1.0</v>
      </c>
      <c r="G353" s="233" t="str">
        <f>VLOOKUP(Table9[[#This Row],[Document ID]],Table1[],10,FALSE)</f>
        <v>Active</v>
      </c>
      <c r="H353" s="43" t="s">
        <v>5072</v>
      </c>
      <c r="I353" s="43" t="s">
        <v>5411</v>
      </c>
      <c r="J353" s="44" t="s">
        <v>5422</v>
      </c>
      <c r="K353" s="221">
        <v>38</v>
      </c>
      <c r="L353" s="113"/>
      <c r="M353" s="113"/>
      <c r="N353" s="113"/>
      <c r="O353" s="113"/>
      <c r="P353" s="113"/>
      <c r="Q353" s="113" t="s">
        <v>1113</v>
      </c>
      <c r="R353" s="113"/>
      <c r="S353" s="113"/>
      <c r="T353" s="113"/>
      <c r="U353" s="113"/>
      <c r="V353" s="113"/>
      <c r="W353" s="113"/>
      <c r="X353" s="113"/>
      <c r="Y353" s="113"/>
      <c r="Z353" s="113"/>
      <c r="AA353" s="113"/>
      <c r="AB353" s="113"/>
      <c r="AC353" s="113"/>
      <c r="AD353" s="113"/>
      <c r="AE353" s="113"/>
      <c r="AF353" s="113"/>
      <c r="AG353" s="113"/>
      <c r="AH353" s="113"/>
      <c r="AI353" s="113" t="s">
        <v>1113</v>
      </c>
      <c r="AJ353" s="326"/>
      <c r="AK353" s="326"/>
      <c r="AL353" s="326"/>
      <c r="AM353" s="327" t="s">
        <v>5075</v>
      </c>
      <c r="AN353" s="241" t="str">
        <f>VLOOKUP(Table9[[#This Row],[Measure]],Table1025[[Value name]:[Value identifyer]],2,FALSE)</f>
        <v>R_Infrares</v>
      </c>
      <c r="AO353" s="233" t="str">
        <f>VLOOKUP(Table9[[#This Row],[Country Code]],Table29[],3,FALSE)</f>
        <v>Non-Annex I</v>
      </c>
      <c r="AP353" s="233" t="str">
        <f>VLOOKUP(Table9[[#This Row],[Country Code]],Table29[],4,FALSE)</f>
        <v>Asia</v>
      </c>
      <c r="AQ353" s="233" t="str">
        <f>VLOOKUP(Table9[[#This Row],[Country Code]],Table29[],5,FALSE)</f>
        <v>Middle-income</v>
      </c>
      <c r="AR353" s="233" t="str">
        <f>VLOOKUP(Table9[[#This Row],[Country Code]],Table29[],6,FALSE)</f>
        <v>no</v>
      </c>
      <c r="AS353" s="233" t="str">
        <f>VLOOKUP(Table9[[#This Row],[Country Code]],Table29[],7,FALSE)</f>
        <v>no</v>
      </c>
      <c r="AT353" s="233" t="str">
        <f>VLOOKUP(Table9[[#This Row],[Country Code]],Table29[],8,FALSE)</f>
        <v>non-OECD</v>
      </c>
      <c r="AU353" s="233" t="str">
        <f>VLOOKUP(Table9[[#This Row],[Country Code]],Table29[],9,FALSE)</f>
        <v>no</v>
      </c>
      <c r="AV353" s="233" t="str">
        <f>VLOOKUP(Table9[[#This Row],[Country Code]],Table29[],10,FALSE)</f>
        <v>no</v>
      </c>
      <c r="AW353" s="233">
        <f>VLOOKUP(Table9[[#This Row],[Country Code]],Table29[],23,FALSE)</f>
        <v>320.34998496393001</v>
      </c>
      <c r="AX353" s="233">
        <f>VLOOKUP(Table9[[#This Row],[Country Code]],Table29[],24,FALSE)</f>
        <v>24.00450259503398</v>
      </c>
      <c r="AY353" s="43"/>
    </row>
    <row r="354" spans="1:51" ht="15" customHeight="1" x14ac:dyDescent="0.25">
      <c r="A354" s="537">
        <v>43717</v>
      </c>
      <c r="B354" s="252" t="str">
        <f>VLOOKUP(Table9[[#This Row],[Document ID]],Table1[],2,FALSE)</f>
        <v>KAZ</v>
      </c>
      <c r="C354" s="233" t="str">
        <f>VLOOKUP(Table9[[#This Row],[Document ID]],Table1[],3,FALSE)</f>
        <v>Kazakhstan</v>
      </c>
      <c r="D354" s="328" t="str">
        <f>VLOOKUP(Table9[[#This Row],[Document ID]],Table1[],5,FALSE)</f>
        <v>LTS</v>
      </c>
      <c r="E354" s="233" t="str">
        <f>VLOOKUP(Table9[[#This Row],[Document ID]],Table1[],7,FALSE)</f>
        <v>LTS</v>
      </c>
      <c r="F354" s="233" t="str">
        <f>VLOOKUP(Table9[[#This Row],[Document ID]],Table1[],8,FALSE)</f>
        <v>LTS 1.0</v>
      </c>
      <c r="G354" s="233" t="str">
        <f>VLOOKUP(Table9[[#This Row],[Document ID]],Table1[],10,FALSE)</f>
        <v>Active</v>
      </c>
      <c r="H354" s="43" t="s">
        <v>5076</v>
      </c>
      <c r="I354" s="43" t="s">
        <v>5077</v>
      </c>
      <c r="J354" s="44" t="s">
        <v>5423</v>
      </c>
      <c r="K354" s="221">
        <v>38</v>
      </c>
      <c r="L354" s="113" t="s">
        <v>1113</v>
      </c>
      <c r="M354" s="113"/>
      <c r="N354" s="113"/>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t="s">
        <v>1113</v>
      </c>
      <c r="AJ354" s="326"/>
      <c r="AK354" s="326"/>
      <c r="AL354" s="326"/>
      <c r="AM354" s="327" t="s">
        <v>5075</v>
      </c>
      <c r="AN354" s="241" t="str">
        <f>VLOOKUP(Table9[[#This Row],[Measure]],Table1025[[Value name]:[Value identifyer]],2,FALSE)</f>
        <v>R_Planning</v>
      </c>
      <c r="AO354" s="233" t="str">
        <f>VLOOKUP(Table9[[#This Row],[Country Code]],Table29[],3,FALSE)</f>
        <v>Non-Annex I</v>
      </c>
      <c r="AP354" s="233" t="str">
        <f>VLOOKUP(Table9[[#This Row],[Country Code]],Table29[],4,FALSE)</f>
        <v>Asia</v>
      </c>
      <c r="AQ354" s="233" t="str">
        <f>VLOOKUP(Table9[[#This Row],[Country Code]],Table29[],5,FALSE)</f>
        <v>Middle-income</v>
      </c>
      <c r="AR354" s="233" t="str">
        <f>VLOOKUP(Table9[[#This Row],[Country Code]],Table29[],6,FALSE)</f>
        <v>no</v>
      </c>
      <c r="AS354" s="233" t="str">
        <f>VLOOKUP(Table9[[#This Row],[Country Code]],Table29[],7,FALSE)</f>
        <v>no</v>
      </c>
      <c r="AT354" s="233" t="str">
        <f>VLOOKUP(Table9[[#This Row],[Country Code]],Table29[],8,FALSE)</f>
        <v>non-OECD</v>
      </c>
      <c r="AU354" s="233" t="str">
        <f>VLOOKUP(Table9[[#This Row],[Country Code]],Table29[],9,FALSE)</f>
        <v>no</v>
      </c>
      <c r="AV354" s="233" t="str">
        <f>VLOOKUP(Table9[[#This Row],[Country Code]],Table29[],10,FALSE)</f>
        <v>no</v>
      </c>
      <c r="AW354" s="233">
        <f>VLOOKUP(Table9[[#This Row],[Country Code]],Table29[],23,FALSE)</f>
        <v>320.34998496393001</v>
      </c>
      <c r="AX354" s="233">
        <f>VLOOKUP(Table9[[#This Row],[Country Code]],Table29[],24,FALSE)</f>
        <v>24.00450259503398</v>
      </c>
      <c r="AY354" s="43"/>
    </row>
    <row r="355" spans="1:51" ht="60" x14ac:dyDescent="0.25">
      <c r="A355" s="373">
        <v>43717</v>
      </c>
      <c r="B355" s="252" t="str">
        <f>VLOOKUP(Table9[[#This Row],[Document ID]],Table1[],2,FALSE)</f>
        <v>KAZ</v>
      </c>
      <c r="C355" s="233" t="str">
        <f>VLOOKUP(Table9[[#This Row],[Document ID]],Table1[],3,FALSE)</f>
        <v>Kazakhstan</v>
      </c>
      <c r="D355" s="328" t="str">
        <f>VLOOKUP(Table9[[#This Row],[Document ID]],Table1[],5,FALSE)</f>
        <v>LTS</v>
      </c>
      <c r="E355" s="233" t="str">
        <f>VLOOKUP(Table9[[#This Row],[Document ID]],Table1[],7,FALSE)</f>
        <v>LTS</v>
      </c>
      <c r="F355" s="233" t="str">
        <f>VLOOKUP(Table9[[#This Row],[Document ID]],Table1[],8,FALSE)</f>
        <v>LTS 1.0</v>
      </c>
      <c r="G355" s="233" t="str">
        <f>VLOOKUP(Table9[[#This Row],[Document ID]],Table1[],10,FALSE)</f>
        <v>Active</v>
      </c>
      <c r="H355" s="43" t="s">
        <v>5072</v>
      </c>
      <c r="I355" s="43" t="s">
        <v>5082</v>
      </c>
      <c r="J355" s="44" t="s">
        <v>5424</v>
      </c>
      <c r="K355" s="221">
        <v>38</v>
      </c>
      <c r="L355" s="113" t="s">
        <v>1113</v>
      </c>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t="s">
        <v>1113</v>
      </c>
      <c r="AJ355" s="326"/>
      <c r="AK355" s="326"/>
      <c r="AL355" s="326"/>
      <c r="AM355" s="327" t="s">
        <v>5075</v>
      </c>
      <c r="AN355" s="241" t="str">
        <f>VLOOKUP(Table9[[#This Row],[Measure]],Table1025[[Value name]:[Value identifyer]],2,FALSE)</f>
        <v>R_Risk</v>
      </c>
      <c r="AO355" s="233" t="str">
        <f>VLOOKUP(Table9[[#This Row],[Country Code]],Table29[],3,FALSE)</f>
        <v>Non-Annex I</v>
      </c>
      <c r="AP355" s="233" t="str">
        <f>VLOOKUP(Table9[[#This Row],[Country Code]],Table29[],4,FALSE)</f>
        <v>Asia</v>
      </c>
      <c r="AQ355" s="233" t="str">
        <f>VLOOKUP(Table9[[#This Row],[Country Code]],Table29[],5,FALSE)</f>
        <v>Middle-income</v>
      </c>
      <c r="AR355" s="233" t="str">
        <f>VLOOKUP(Table9[[#This Row],[Country Code]],Table29[],6,FALSE)</f>
        <v>no</v>
      </c>
      <c r="AS355" s="233" t="str">
        <f>VLOOKUP(Table9[[#This Row],[Country Code]],Table29[],7,FALSE)</f>
        <v>no</v>
      </c>
      <c r="AT355" s="233" t="str">
        <f>VLOOKUP(Table9[[#This Row],[Country Code]],Table29[],8,FALSE)</f>
        <v>non-OECD</v>
      </c>
      <c r="AU355" s="233" t="str">
        <f>VLOOKUP(Table9[[#This Row],[Country Code]],Table29[],9,FALSE)</f>
        <v>no</v>
      </c>
      <c r="AV355" s="233" t="str">
        <f>VLOOKUP(Table9[[#This Row],[Country Code]],Table29[],10,FALSE)</f>
        <v>no</v>
      </c>
      <c r="AW355" s="233">
        <f>VLOOKUP(Table9[[#This Row],[Country Code]],Table29[],23,FALSE)</f>
        <v>320.34998496393001</v>
      </c>
      <c r="AX355" s="233">
        <f>VLOOKUP(Table9[[#This Row],[Country Code]],Table29[],24,FALSE)</f>
        <v>24.00450259503398</v>
      </c>
      <c r="AY355" s="43"/>
    </row>
    <row r="356" spans="1:51" ht="105" x14ac:dyDescent="0.25">
      <c r="A356" s="373">
        <v>43788</v>
      </c>
      <c r="B356" s="252" t="str">
        <f>VLOOKUP(Table9[[#This Row],[Document ID]],Table1[],2,FALSE)</f>
        <v>TUR</v>
      </c>
      <c r="C356" s="233" t="str">
        <f>VLOOKUP(Table9[[#This Row],[Document ID]],Table1[],3,FALSE)</f>
        <v>Türkiye</v>
      </c>
      <c r="D356" s="328" t="str">
        <f>VLOOKUP(Table9[[#This Row],[Document ID]],Table1[],5,FALSE)</f>
        <v>LTS</v>
      </c>
      <c r="E356" s="233" t="str">
        <f>VLOOKUP(Table9[[#This Row],[Document ID]],Table1[],7,FALSE)</f>
        <v>LTS</v>
      </c>
      <c r="F356" s="233" t="str">
        <f>VLOOKUP(Table9[[#This Row],[Document ID]],Table1[],8,FALSE)</f>
        <v>LTS 1.0</v>
      </c>
      <c r="G356" s="233" t="str">
        <f>VLOOKUP(Table9[[#This Row],[Document ID]],Table1[],10,FALSE)</f>
        <v>Active</v>
      </c>
      <c r="H356" s="43" t="s">
        <v>5072</v>
      </c>
      <c r="I356" s="43" t="s">
        <v>5411</v>
      </c>
      <c r="J356" s="44" t="s">
        <v>5425</v>
      </c>
      <c r="K356" s="221">
        <v>65</v>
      </c>
      <c r="L356" s="113" t="s">
        <v>1113</v>
      </c>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t="s">
        <v>1113</v>
      </c>
      <c r="AJ356" s="326"/>
      <c r="AK356" s="326"/>
      <c r="AL356" s="326"/>
      <c r="AM356" s="327" t="s">
        <v>5075</v>
      </c>
      <c r="AN356" s="241" t="str">
        <f>VLOOKUP(Table9[[#This Row],[Measure]],Table1025[[Value name]:[Value identifyer]],2,FALSE)</f>
        <v>R_Infrares</v>
      </c>
      <c r="AO356" s="233" t="str">
        <f>VLOOKUP(Table9[[#This Row],[Country Code]],Table29[],3,FALSE)</f>
        <v>Annex I</v>
      </c>
      <c r="AP356" s="233" t="str">
        <f>VLOOKUP(Table9[[#This Row],[Country Code]],Table29[],4,FALSE)</f>
        <v>Asia</v>
      </c>
      <c r="AQ356" s="233" t="str">
        <f>VLOOKUP(Table9[[#This Row],[Country Code]],Table29[],5,FALSE)</f>
        <v>Middle-income</v>
      </c>
      <c r="AR356" s="233" t="str">
        <f>VLOOKUP(Table9[[#This Row],[Country Code]],Table29[],6,FALSE)</f>
        <v>G20</v>
      </c>
      <c r="AS356" s="233" t="str">
        <f>VLOOKUP(Table9[[#This Row],[Country Code]],Table29[],7,FALSE)</f>
        <v>no</v>
      </c>
      <c r="AT356" s="233" t="str">
        <f>VLOOKUP(Table9[[#This Row],[Country Code]],Table29[],8,FALSE)</f>
        <v>OECD</v>
      </c>
      <c r="AU356" s="233" t="str">
        <f>VLOOKUP(Table9[[#This Row],[Country Code]],Table29[],9,FALSE)</f>
        <v>no</v>
      </c>
      <c r="AV356" s="233" t="str">
        <f>VLOOKUP(Table9[[#This Row],[Country Code]],Table29[],10,FALSE)</f>
        <v>no</v>
      </c>
      <c r="AW356" s="233">
        <f>VLOOKUP(Table9[[#This Row],[Country Code]],Table29[],23,FALSE)</f>
        <v>606.42985584790995</v>
      </c>
      <c r="AX356" s="233">
        <f>VLOOKUP(Table9[[#This Row],[Country Code]],Table29[],24,FALSE)</f>
        <v>95.92080354160332</v>
      </c>
      <c r="AY356" s="43"/>
    </row>
    <row r="357" spans="1:51" ht="75" x14ac:dyDescent="0.25">
      <c r="A357" s="373">
        <v>43788</v>
      </c>
      <c r="B357" s="252" t="str">
        <f>VLOOKUP(Table9[[#This Row],[Document ID]],Table1[],2,FALSE)</f>
        <v>TUR</v>
      </c>
      <c r="C357" s="233" t="str">
        <f>VLOOKUP(Table9[[#This Row],[Document ID]],Table1[],3,FALSE)</f>
        <v>Türkiye</v>
      </c>
      <c r="D357" s="328" t="str">
        <f>VLOOKUP(Table9[[#This Row],[Document ID]],Table1[],5,FALSE)</f>
        <v>LTS</v>
      </c>
      <c r="E357" s="233" t="str">
        <f>VLOOKUP(Table9[[#This Row],[Document ID]],Table1[],7,FALSE)</f>
        <v>LTS</v>
      </c>
      <c r="F357" s="233" t="str">
        <f>VLOOKUP(Table9[[#This Row],[Document ID]],Table1[],8,FALSE)</f>
        <v>LTS 1.0</v>
      </c>
      <c r="G357" s="233" t="str">
        <f>VLOOKUP(Table9[[#This Row],[Document ID]],Table1[],10,FALSE)</f>
        <v>Active</v>
      </c>
      <c r="H357" s="43" t="s">
        <v>5072</v>
      </c>
      <c r="I357" s="43" t="s">
        <v>5411</v>
      </c>
      <c r="J357" s="44" t="s">
        <v>5426</v>
      </c>
      <c r="K357" s="221">
        <v>65</v>
      </c>
      <c r="L357" s="113"/>
      <c r="M357" s="113"/>
      <c r="N357" s="113"/>
      <c r="O357" s="113"/>
      <c r="P357" s="113"/>
      <c r="Q357" s="113"/>
      <c r="R357" s="113"/>
      <c r="S357" s="113"/>
      <c r="T357" s="113"/>
      <c r="U357" s="113"/>
      <c r="V357" s="113"/>
      <c r="W357" s="113"/>
      <c r="X357" s="113" t="s">
        <v>1113</v>
      </c>
      <c r="Y357" s="113"/>
      <c r="Z357" s="113" t="s">
        <v>1113</v>
      </c>
      <c r="AA357" s="113"/>
      <c r="AB357" s="113" t="s">
        <v>1113</v>
      </c>
      <c r="AC357" s="113"/>
      <c r="AD357" s="113"/>
      <c r="AE357" s="113"/>
      <c r="AF357" s="113"/>
      <c r="AG357" s="113"/>
      <c r="AH357" s="113"/>
      <c r="AI357" s="113" t="s">
        <v>1113</v>
      </c>
      <c r="AJ357" s="326"/>
      <c r="AK357" s="326"/>
      <c r="AL357" s="326"/>
      <c r="AM357" s="327" t="s">
        <v>5075</v>
      </c>
      <c r="AN357" s="241" t="str">
        <f>VLOOKUP(Table9[[#This Row],[Measure]],Table1025[[Value name]:[Value identifyer]],2,FALSE)</f>
        <v>R_Infrares</v>
      </c>
      <c r="AO357" s="233" t="str">
        <f>VLOOKUP(Table9[[#This Row],[Country Code]],Table29[],3,FALSE)</f>
        <v>Annex I</v>
      </c>
      <c r="AP357" s="233" t="str">
        <f>VLOOKUP(Table9[[#This Row],[Country Code]],Table29[],4,FALSE)</f>
        <v>Asia</v>
      </c>
      <c r="AQ357" s="233" t="str">
        <f>VLOOKUP(Table9[[#This Row],[Country Code]],Table29[],5,FALSE)</f>
        <v>Middle-income</v>
      </c>
      <c r="AR357" s="233" t="str">
        <f>VLOOKUP(Table9[[#This Row],[Country Code]],Table29[],6,FALSE)</f>
        <v>G20</v>
      </c>
      <c r="AS357" s="233" t="str">
        <f>VLOOKUP(Table9[[#This Row],[Country Code]],Table29[],7,FALSE)</f>
        <v>no</v>
      </c>
      <c r="AT357" s="233" t="str">
        <f>VLOOKUP(Table9[[#This Row],[Country Code]],Table29[],8,FALSE)</f>
        <v>OECD</v>
      </c>
      <c r="AU357" s="233" t="str">
        <f>VLOOKUP(Table9[[#This Row],[Country Code]],Table29[],9,FALSE)</f>
        <v>no</v>
      </c>
      <c r="AV357" s="233" t="str">
        <f>VLOOKUP(Table9[[#This Row],[Country Code]],Table29[],10,FALSE)</f>
        <v>no</v>
      </c>
      <c r="AW357" s="233">
        <f>VLOOKUP(Table9[[#This Row],[Country Code]],Table29[],23,FALSE)</f>
        <v>606.42985584790995</v>
      </c>
      <c r="AX357" s="233">
        <f>VLOOKUP(Table9[[#This Row],[Country Code]],Table29[],24,FALSE)</f>
        <v>95.92080354160332</v>
      </c>
      <c r="AY357" s="43"/>
    </row>
    <row r="358" spans="1:51" ht="45" x14ac:dyDescent="0.25">
      <c r="A358" s="373">
        <v>43788</v>
      </c>
      <c r="B358" s="252" t="str">
        <f>VLOOKUP(Table9[[#This Row],[Document ID]],Table1[],2,FALSE)</f>
        <v>TUR</v>
      </c>
      <c r="C358" s="233" t="str">
        <f>VLOOKUP(Table9[[#This Row],[Document ID]],Table1[],3,FALSE)</f>
        <v>Türkiye</v>
      </c>
      <c r="D358" s="328" t="str">
        <f>VLOOKUP(Table9[[#This Row],[Document ID]],Table1[],5,FALSE)</f>
        <v>LTS</v>
      </c>
      <c r="E358" s="233" t="str">
        <f>VLOOKUP(Table9[[#This Row],[Document ID]],Table1[],7,FALSE)</f>
        <v>LTS</v>
      </c>
      <c r="F358" s="233" t="str">
        <f>VLOOKUP(Table9[[#This Row],[Document ID]],Table1[],8,FALSE)</f>
        <v>LTS 1.0</v>
      </c>
      <c r="G358" s="233" t="str">
        <f>VLOOKUP(Table9[[#This Row],[Document ID]],Table1[],10,FALSE)</f>
        <v>Active</v>
      </c>
      <c r="H358" s="43" t="s">
        <v>5072</v>
      </c>
      <c r="I358" s="43" t="s">
        <v>5082</v>
      </c>
      <c r="J358" s="44" t="s">
        <v>5427</v>
      </c>
      <c r="K358" s="221">
        <v>65</v>
      </c>
      <c r="L358" s="113"/>
      <c r="M358" s="113"/>
      <c r="N358" s="113"/>
      <c r="O358" s="113"/>
      <c r="P358" s="113"/>
      <c r="Q358" s="113"/>
      <c r="R358" s="113"/>
      <c r="S358" s="113"/>
      <c r="T358" s="113"/>
      <c r="U358" s="113"/>
      <c r="V358" s="113"/>
      <c r="W358" s="113"/>
      <c r="X358" s="113"/>
      <c r="Y358" s="113"/>
      <c r="Z358" s="113"/>
      <c r="AA358" s="113"/>
      <c r="AB358" s="113" t="s">
        <v>1113</v>
      </c>
      <c r="AC358" s="113"/>
      <c r="AD358" s="113"/>
      <c r="AE358" s="113"/>
      <c r="AF358" s="113" t="s">
        <v>1113</v>
      </c>
      <c r="AG358" s="113"/>
      <c r="AH358" s="113"/>
      <c r="AI358" s="113" t="s">
        <v>1113</v>
      </c>
      <c r="AJ358" s="326"/>
      <c r="AK358" s="326"/>
      <c r="AL358" s="326"/>
      <c r="AM358" s="327" t="s">
        <v>5075</v>
      </c>
      <c r="AN358" s="241" t="str">
        <f>VLOOKUP(Table9[[#This Row],[Measure]],Table1025[[Value name]:[Value identifyer]],2,FALSE)</f>
        <v>R_Risk</v>
      </c>
      <c r="AO358" s="233" t="str">
        <f>VLOOKUP(Table9[[#This Row],[Country Code]],Table29[],3,FALSE)</f>
        <v>Annex I</v>
      </c>
      <c r="AP358" s="233" t="str">
        <f>VLOOKUP(Table9[[#This Row],[Country Code]],Table29[],4,FALSE)</f>
        <v>Asia</v>
      </c>
      <c r="AQ358" s="233" t="str">
        <f>VLOOKUP(Table9[[#This Row],[Country Code]],Table29[],5,FALSE)</f>
        <v>Middle-income</v>
      </c>
      <c r="AR358" s="233" t="str">
        <f>VLOOKUP(Table9[[#This Row],[Country Code]],Table29[],6,FALSE)</f>
        <v>G20</v>
      </c>
      <c r="AS358" s="233" t="str">
        <f>VLOOKUP(Table9[[#This Row],[Country Code]],Table29[],7,FALSE)</f>
        <v>no</v>
      </c>
      <c r="AT358" s="233" t="str">
        <f>VLOOKUP(Table9[[#This Row],[Country Code]],Table29[],8,FALSE)</f>
        <v>OECD</v>
      </c>
      <c r="AU358" s="233" t="str">
        <f>VLOOKUP(Table9[[#This Row],[Country Code]],Table29[],9,FALSE)</f>
        <v>no</v>
      </c>
      <c r="AV358" s="233" t="str">
        <f>VLOOKUP(Table9[[#This Row],[Country Code]],Table29[],10,FALSE)</f>
        <v>no</v>
      </c>
      <c r="AW358" s="233">
        <f>VLOOKUP(Table9[[#This Row],[Country Code]],Table29[],23,FALSE)</f>
        <v>606.42985584790995</v>
      </c>
      <c r="AX358" s="233">
        <f>VLOOKUP(Table9[[#This Row],[Country Code]],Table29[],24,FALSE)</f>
        <v>95.92080354160332</v>
      </c>
      <c r="AY358" s="43"/>
    </row>
    <row r="359" spans="1:51" ht="120" x14ac:dyDescent="0.25">
      <c r="A359" s="373">
        <v>43788</v>
      </c>
      <c r="B359" s="252" t="str">
        <f>VLOOKUP(Table9[[#This Row],[Document ID]],Table1[],2,FALSE)</f>
        <v>TUR</v>
      </c>
      <c r="C359" s="233" t="str">
        <f>VLOOKUP(Table9[[#This Row],[Document ID]],Table1[],3,FALSE)</f>
        <v>Türkiye</v>
      </c>
      <c r="D359" s="328" t="str">
        <f>VLOOKUP(Table9[[#This Row],[Document ID]],Table1[],5,FALSE)</f>
        <v>LTS</v>
      </c>
      <c r="E359" s="233" t="str">
        <f>VLOOKUP(Table9[[#This Row],[Document ID]],Table1[],7,FALSE)</f>
        <v>LTS</v>
      </c>
      <c r="F359" s="233" t="str">
        <f>VLOOKUP(Table9[[#This Row],[Document ID]],Table1[],8,FALSE)</f>
        <v>LTS 1.0</v>
      </c>
      <c r="G359" s="233" t="str">
        <f>VLOOKUP(Table9[[#This Row],[Document ID]],Table1[],10,FALSE)</f>
        <v>Active</v>
      </c>
      <c r="H359" s="43" t="s">
        <v>5072</v>
      </c>
      <c r="I359" s="43" t="s">
        <v>5411</v>
      </c>
      <c r="J359" s="44" t="s">
        <v>5428</v>
      </c>
      <c r="K359" s="221" t="s">
        <v>5429</v>
      </c>
      <c r="L359" s="113"/>
      <c r="M359" s="113"/>
      <c r="N359" s="113"/>
      <c r="O359" s="113" t="s">
        <v>1113</v>
      </c>
      <c r="P359" s="113"/>
      <c r="Q359" s="113" t="s">
        <v>1113</v>
      </c>
      <c r="R359" s="113"/>
      <c r="S359" s="113"/>
      <c r="T359" s="113"/>
      <c r="U359" s="113"/>
      <c r="V359" s="113"/>
      <c r="W359" s="113"/>
      <c r="X359" s="113"/>
      <c r="Y359" s="113"/>
      <c r="Z359" s="113"/>
      <c r="AA359" s="113" t="s">
        <v>1113</v>
      </c>
      <c r="AB359" s="113"/>
      <c r="AC359" s="113"/>
      <c r="AD359" s="113"/>
      <c r="AE359" s="113"/>
      <c r="AF359" s="113"/>
      <c r="AG359" s="113"/>
      <c r="AH359" s="113"/>
      <c r="AI359" s="113"/>
      <c r="AJ359" s="326" t="s">
        <v>1113</v>
      </c>
      <c r="AK359" s="326"/>
      <c r="AL359" s="326"/>
      <c r="AM359" s="327" t="s">
        <v>5075</v>
      </c>
      <c r="AN359" s="241" t="str">
        <f>VLOOKUP(Table9[[#This Row],[Measure]],Table1025[[Value name]:[Value identifyer]],2,FALSE)</f>
        <v>R_Infrares</v>
      </c>
      <c r="AO359" s="233" t="str">
        <f>VLOOKUP(Table9[[#This Row],[Country Code]],Table29[],3,FALSE)</f>
        <v>Annex I</v>
      </c>
      <c r="AP359" s="233" t="str">
        <f>VLOOKUP(Table9[[#This Row],[Country Code]],Table29[],4,FALSE)</f>
        <v>Asia</v>
      </c>
      <c r="AQ359" s="233" t="str">
        <f>VLOOKUP(Table9[[#This Row],[Country Code]],Table29[],5,FALSE)</f>
        <v>Middle-income</v>
      </c>
      <c r="AR359" s="233" t="str">
        <f>VLOOKUP(Table9[[#This Row],[Country Code]],Table29[],6,FALSE)</f>
        <v>G20</v>
      </c>
      <c r="AS359" s="233" t="str">
        <f>VLOOKUP(Table9[[#This Row],[Country Code]],Table29[],7,FALSE)</f>
        <v>no</v>
      </c>
      <c r="AT359" s="233" t="str">
        <f>VLOOKUP(Table9[[#This Row],[Country Code]],Table29[],8,FALSE)</f>
        <v>OECD</v>
      </c>
      <c r="AU359" s="233" t="str">
        <f>VLOOKUP(Table9[[#This Row],[Country Code]],Table29[],9,FALSE)</f>
        <v>no</v>
      </c>
      <c r="AV359" s="233" t="str">
        <f>VLOOKUP(Table9[[#This Row],[Country Code]],Table29[],10,FALSE)</f>
        <v>no</v>
      </c>
      <c r="AW359" s="233">
        <f>VLOOKUP(Table9[[#This Row],[Country Code]],Table29[],23,FALSE)</f>
        <v>606.42985584790995</v>
      </c>
      <c r="AX359" s="233">
        <f>VLOOKUP(Table9[[#This Row],[Country Code]],Table29[],24,FALSE)</f>
        <v>95.92080354160332</v>
      </c>
      <c r="AY359" s="43"/>
    </row>
    <row r="360" spans="1:51" ht="30" x14ac:dyDescent="0.25">
      <c r="A360" s="373">
        <v>43788</v>
      </c>
      <c r="B360" s="252" t="str">
        <f>VLOOKUP(Table9[[#This Row],[Document ID]],Table1[],2,FALSE)</f>
        <v>TUR</v>
      </c>
      <c r="C360" s="233" t="str">
        <f>VLOOKUP(Table9[[#This Row],[Document ID]],Table1[],3,FALSE)</f>
        <v>Türkiye</v>
      </c>
      <c r="D360" s="328" t="str">
        <f>VLOOKUP(Table9[[#This Row],[Document ID]],Table1[],5,FALSE)</f>
        <v>LTS</v>
      </c>
      <c r="E360" s="233" t="str">
        <f>VLOOKUP(Table9[[#This Row],[Document ID]],Table1[],7,FALSE)</f>
        <v>LTS</v>
      </c>
      <c r="F360" s="233" t="str">
        <f>VLOOKUP(Table9[[#This Row],[Document ID]],Table1[],8,FALSE)</f>
        <v>LTS 1.0</v>
      </c>
      <c r="G360" s="233" t="str">
        <f>VLOOKUP(Table9[[#This Row],[Document ID]],Table1[],10,FALSE)</f>
        <v>Active</v>
      </c>
      <c r="H360" s="43" t="s">
        <v>5072</v>
      </c>
      <c r="I360" s="43" t="s">
        <v>5411</v>
      </c>
      <c r="J360" s="44" t="s">
        <v>5430</v>
      </c>
      <c r="K360" s="221">
        <v>66</v>
      </c>
      <c r="L360" s="113" t="s">
        <v>1113</v>
      </c>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t="s">
        <v>1113</v>
      </c>
      <c r="AJ360" s="326"/>
      <c r="AK360" s="326"/>
      <c r="AL360" s="326"/>
      <c r="AM360" s="327" t="s">
        <v>5075</v>
      </c>
      <c r="AN360" s="241" t="str">
        <f>VLOOKUP(Table9[[#This Row],[Measure]],Table1025[[Value name]:[Value identifyer]],2,FALSE)</f>
        <v>R_Infrares</v>
      </c>
      <c r="AO360" s="233" t="str">
        <f>VLOOKUP(Table9[[#This Row],[Country Code]],Table29[],3,FALSE)</f>
        <v>Annex I</v>
      </c>
      <c r="AP360" s="233" t="str">
        <f>VLOOKUP(Table9[[#This Row],[Country Code]],Table29[],4,FALSE)</f>
        <v>Asia</v>
      </c>
      <c r="AQ360" s="233" t="str">
        <f>VLOOKUP(Table9[[#This Row],[Country Code]],Table29[],5,FALSE)</f>
        <v>Middle-income</v>
      </c>
      <c r="AR360" s="233" t="str">
        <f>VLOOKUP(Table9[[#This Row],[Country Code]],Table29[],6,FALSE)</f>
        <v>G20</v>
      </c>
      <c r="AS360" s="233" t="str">
        <f>VLOOKUP(Table9[[#This Row],[Country Code]],Table29[],7,FALSE)</f>
        <v>no</v>
      </c>
      <c r="AT360" s="233" t="str">
        <f>VLOOKUP(Table9[[#This Row],[Country Code]],Table29[],8,FALSE)</f>
        <v>OECD</v>
      </c>
      <c r="AU360" s="233" t="str">
        <f>VLOOKUP(Table9[[#This Row],[Country Code]],Table29[],9,FALSE)</f>
        <v>no</v>
      </c>
      <c r="AV360" s="233" t="str">
        <f>VLOOKUP(Table9[[#This Row],[Country Code]],Table29[],10,FALSE)</f>
        <v>no</v>
      </c>
      <c r="AW360" s="233">
        <f>VLOOKUP(Table9[[#This Row],[Country Code]],Table29[],23,FALSE)</f>
        <v>606.42985584790995</v>
      </c>
      <c r="AX360" s="233">
        <f>VLOOKUP(Table9[[#This Row],[Country Code]],Table29[],24,FALSE)</f>
        <v>95.92080354160332</v>
      </c>
      <c r="AY360" s="43"/>
    </row>
    <row r="361" spans="1:51" ht="90" x14ac:dyDescent="0.25">
      <c r="A361" s="373">
        <v>43788</v>
      </c>
      <c r="B361" s="252" t="str">
        <f>VLOOKUP(Table9[[#This Row],[Document ID]],Table1[],2,FALSE)</f>
        <v>TUR</v>
      </c>
      <c r="C361" s="233" t="str">
        <f>VLOOKUP(Table9[[#This Row],[Document ID]],Table1[],3,FALSE)</f>
        <v>Türkiye</v>
      </c>
      <c r="D361" s="328" t="str">
        <f>VLOOKUP(Table9[[#This Row],[Document ID]],Table1[],5,FALSE)</f>
        <v>LTS</v>
      </c>
      <c r="E361" s="233" t="str">
        <f>VLOOKUP(Table9[[#This Row],[Document ID]],Table1[],7,FALSE)</f>
        <v>LTS</v>
      </c>
      <c r="F361" s="233" t="str">
        <f>VLOOKUP(Table9[[#This Row],[Document ID]],Table1[],8,FALSE)</f>
        <v>LTS 1.0</v>
      </c>
      <c r="G361" s="233" t="str">
        <f>VLOOKUP(Table9[[#This Row],[Document ID]],Table1[],10,FALSE)</f>
        <v>Active</v>
      </c>
      <c r="H361" s="43" t="s">
        <v>5072</v>
      </c>
      <c r="I361" s="43" t="s">
        <v>5411</v>
      </c>
      <c r="J361" s="44" t="s">
        <v>5431</v>
      </c>
      <c r="K361" s="221">
        <v>66</v>
      </c>
      <c r="L361" s="113"/>
      <c r="M361" s="113"/>
      <c r="N361" s="113"/>
      <c r="O361" s="113"/>
      <c r="P361" s="113"/>
      <c r="Q361" s="113" t="s">
        <v>1113</v>
      </c>
      <c r="R361" s="113"/>
      <c r="S361" s="113"/>
      <c r="T361" s="113"/>
      <c r="U361" s="113"/>
      <c r="V361" s="113"/>
      <c r="W361" s="113"/>
      <c r="X361" s="113"/>
      <c r="Y361" s="113"/>
      <c r="Z361" s="113"/>
      <c r="AA361" s="113"/>
      <c r="AB361" s="113"/>
      <c r="AC361" s="113"/>
      <c r="AD361" s="113"/>
      <c r="AE361" s="113"/>
      <c r="AF361" s="113"/>
      <c r="AG361" s="113"/>
      <c r="AH361" s="113"/>
      <c r="AI361" s="113" t="s">
        <v>1113</v>
      </c>
      <c r="AJ361" s="326"/>
      <c r="AK361" s="326"/>
      <c r="AL361" s="326"/>
      <c r="AM361" s="327" t="s">
        <v>5075</v>
      </c>
      <c r="AN361" s="241" t="str">
        <f>VLOOKUP(Table9[[#This Row],[Measure]],Table1025[[Value name]:[Value identifyer]],2,FALSE)</f>
        <v>R_Infrares</v>
      </c>
      <c r="AO361" s="233" t="str">
        <f>VLOOKUP(Table9[[#This Row],[Country Code]],Table29[],3,FALSE)</f>
        <v>Annex I</v>
      </c>
      <c r="AP361" s="233" t="str">
        <f>VLOOKUP(Table9[[#This Row],[Country Code]],Table29[],4,FALSE)</f>
        <v>Asia</v>
      </c>
      <c r="AQ361" s="233" t="str">
        <f>VLOOKUP(Table9[[#This Row],[Country Code]],Table29[],5,FALSE)</f>
        <v>Middle-income</v>
      </c>
      <c r="AR361" s="233" t="str">
        <f>VLOOKUP(Table9[[#This Row],[Country Code]],Table29[],6,FALSE)</f>
        <v>G20</v>
      </c>
      <c r="AS361" s="233" t="str">
        <f>VLOOKUP(Table9[[#This Row],[Country Code]],Table29[],7,FALSE)</f>
        <v>no</v>
      </c>
      <c r="AT361" s="233" t="str">
        <f>VLOOKUP(Table9[[#This Row],[Country Code]],Table29[],8,FALSE)</f>
        <v>OECD</v>
      </c>
      <c r="AU361" s="233" t="str">
        <f>VLOOKUP(Table9[[#This Row],[Country Code]],Table29[],9,FALSE)</f>
        <v>no</v>
      </c>
      <c r="AV361" s="233" t="str">
        <f>VLOOKUP(Table9[[#This Row],[Country Code]],Table29[],10,FALSE)</f>
        <v>no</v>
      </c>
      <c r="AW361" s="233">
        <f>VLOOKUP(Table9[[#This Row],[Country Code]],Table29[],23,FALSE)</f>
        <v>606.42985584790995</v>
      </c>
      <c r="AX361" s="233">
        <f>VLOOKUP(Table9[[#This Row],[Country Code]],Table29[],24,FALSE)</f>
        <v>95.92080354160332</v>
      </c>
      <c r="AY361" s="43"/>
    </row>
    <row r="362" spans="1:51" ht="75" x14ac:dyDescent="0.25">
      <c r="A362" s="373">
        <v>43788</v>
      </c>
      <c r="B362" s="252" t="str">
        <f>VLOOKUP(Table9[[#This Row],[Document ID]],Table1[],2,FALSE)</f>
        <v>TUR</v>
      </c>
      <c r="C362" s="233" t="str">
        <f>VLOOKUP(Table9[[#This Row],[Document ID]],Table1[],3,FALSE)</f>
        <v>Türkiye</v>
      </c>
      <c r="D362" s="328" t="str">
        <f>VLOOKUP(Table9[[#This Row],[Document ID]],Table1[],5,FALSE)</f>
        <v>LTS</v>
      </c>
      <c r="E362" s="233" t="str">
        <f>VLOOKUP(Table9[[#This Row],[Document ID]],Table1[],7,FALSE)</f>
        <v>LTS</v>
      </c>
      <c r="F362" s="233" t="str">
        <f>VLOOKUP(Table9[[#This Row],[Document ID]],Table1[],8,FALSE)</f>
        <v>LTS 1.0</v>
      </c>
      <c r="G362" s="233" t="str">
        <f>VLOOKUP(Table9[[#This Row],[Document ID]],Table1[],10,FALSE)</f>
        <v>Active</v>
      </c>
      <c r="H362" s="43" t="s">
        <v>5072</v>
      </c>
      <c r="I362" s="43" t="s">
        <v>5073</v>
      </c>
      <c r="J362" s="44" t="s">
        <v>5432</v>
      </c>
      <c r="K362" s="221">
        <v>66</v>
      </c>
      <c r="L362" s="113" t="s">
        <v>1113</v>
      </c>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t="s">
        <v>1113</v>
      </c>
      <c r="AJ362" s="326"/>
      <c r="AK362" s="326"/>
      <c r="AL362" s="326"/>
      <c r="AM362" s="43" t="s">
        <v>5119</v>
      </c>
      <c r="AN362" s="241" t="str">
        <f>VLOOKUP(Table9[[#This Row],[Measure]],Table1025[[Value name]:[Value identifyer]],2,FALSE)</f>
        <v>R_System</v>
      </c>
      <c r="AO362" s="233" t="str">
        <f>VLOOKUP(Table9[[#This Row],[Country Code]],Table29[],3,FALSE)</f>
        <v>Annex I</v>
      </c>
      <c r="AP362" s="233" t="str">
        <f>VLOOKUP(Table9[[#This Row],[Country Code]],Table29[],4,FALSE)</f>
        <v>Asia</v>
      </c>
      <c r="AQ362" s="233" t="str">
        <f>VLOOKUP(Table9[[#This Row],[Country Code]],Table29[],5,FALSE)</f>
        <v>Middle-income</v>
      </c>
      <c r="AR362" s="233" t="str">
        <f>VLOOKUP(Table9[[#This Row],[Country Code]],Table29[],6,FALSE)</f>
        <v>G20</v>
      </c>
      <c r="AS362" s="233" t="str">
        <f>VLOOKUP(Table9[[#This Row],[Country Code]],Table29[],7,FALSE)</f>
        <v>no</v>
      </c>
      <c r="AT362" s="233" t="str">
        <f>VLOOKUP(Table9[[#This Row],[Country Code]],Table29[],8,FALSE)</f>
        <v>OECD</v>
      </c>
      <c r="AU362" s="233" t="str">
        <f>VLOOKUP(Table9[[#This Row],[Country Code]],Table29[],9,FALSE)</f>
        <v>no</v>
      </c>
      <c r="AV362" s="233" t="str">
        <f>VLOOKUP(Table9[[#This Row],[Country Code]],Table29[],10,FALSE)</f>
        <v>no</v>
      </c>
      <c r="AW362" s="233">
        <f>VLOOKUP(Table9[[#This Row],[Country Code]],Table29[],23,FALSE)</f>
        <v>606.42985584790995</v>
      </c>
      <c r="AX362" s="233">
        <f>VLOOKUP(Table9[[#This Row],[Country Code]],Table29[],24,FALSE)</f>
        <v>95.92080354160332</v>
      </c>
      <c r="AY362" s="43"/>
    </row>
    <row r="363" spans="1:51" ht="45" x14ac:dyDescent="0.25">
      <c r="A363" s="373">
        <v>43788</v>
      </c>
      <c r="B363" s="252" t="str">
        <f>VLOOKUP(Table9[[#This Row],[Document ID]],Table1[],2,FALSE)</f>
        <v>TUR</v>
      </c>
      <c r="C363" s="233" t="str">
        <f>VLOOKUP(Table9[[#This Row],[Document ID]],Table1[],3,FALSE)</f>
        <v>Türkiye</v>
      </c>
      <c r="D363" s="328" t="str">
        <f>VLOOKUP(Table9[[#This Row],[Document ID]],Table1[],5,FALSE)</f>
        <v>LTS</v>
      </c>
      <c r="E363" s="233" t="str">
        <f>VLOOKUP(Table9[[#This Row],[Document ID]],Table1[],7,FALSE)</f>
        <v>LTS</v>
      </c>
      <c r="F363" s="233" t="str">
        <f>VLOOKUP(Table9[[#This Row],[Document ID]],Table1[],8,FALSE)</f>
        <v>LTS 1.0</v>
      </c>
      <c r="G363" s="233" t="str">
        <f>VLOOKUP(Table9[[#This Row],[Document ID]],Table1[],10,FALSE)</f>
        <v>Active</v>
      </c>
      <c r="H363" s="43" t="s">
        <v>5072</v>
      </c>
      <c r="I363" s="43" t="s">
        <v>5073</v>
      </c>
      <c r="J363" s="44" t="s">
        <v>5433</v>
      </c>
      <c r="K363" s="221">
        <v>66</v>
      </c>
      <c r="L363" s="113"/>
      <c r="M363" s="113"/>
      <c r="N363" s="113"/>
      <c r="O363" s="113" t="s">
        <v>1113</v>
      </c>
      <c r="P363" s="113"/>
      <c r="Q363" s="113" t="s">
        <v>1113</v>
      </c>
      <c r="R363" s="113"/>
      <c r="S363" s="113"/>
      <c r="T363" s="113"/>
      <c r="U363" s="113"/>
      <c r="V363" s="113"/>
      <c r="W363" s="113"/>
      <c r="X363" s="113"/>
      <c r="Y363" s="113"/>
      <c r="Z363" s="113"/>
      <c r="AA363" s="113"/>
      <c r="AB363" s="113"/>
      <c r="AC363" s="113"/>
      <c r="AD363" s="113"/>
      <c r="AE363" s="113"/>
      <c r="AF363" s="113"/>
      <c r="AG363" s="113"/>
      <c r="AH363" s="113"/>
      <c r="AI363" s="113"/>
      <c r="AJ363" s="326" t="s">
        <v>1113</v>
      </c>
      <c r="AK363" s="326"/>
      <c r="AL363" s="326"/>
      <c r="AM363" s="43" t="s">
        <v>5119</v>
      </c>
      <c r="AN363" s="241" t="str">
        <f>VLOOKUP(Table9[[#This Row],[Measure]],Table1025[[Value name]:[Value identifyer]],2,FALSE)</f>
        <v>R_System</v>
      </c>
      <c r="AO363" s="233" t="str">
        <f>VLOOKUP(Table9[[#This Row],[Country Code]],Table29[],3,FALSE)</f>
        <v>Annex I</v>
      </c>
      <c r="AP363" s="233" t="str">
        <f>VLOOKUP(Table9[[#This Row],[Country Code]],Table29[],4,FALSE)</f>
        <v>Asia</v>
      </c>
      <c r="AQ363" s="233" t="str">
        <f>VLOOKUP(Table9[[#This Row],[Country Code]],Table29[],5,FALSE)</f>
        <v>Middle-income</v>
      </c>
      <c r="AR363" s="233" t="str">
        <f>VLOOKUP(Table9[[#This Row],[Country Code]],Table29[],6,FALSE)</f>
        <v>G20</v>
      </c>
      <c r="AS363" s="233" t="str">
        <f>VLOOKUP(Table9[[#This Row],[Country Code]],Table29[],7,FALSE)</f>
        <v>no</v>
      </c>
      <c r="AT363" s="233" t="str">
        <f>VLOOKUP(Table9[[#This Row],[Country Code]],Table29[],8,FALSE)</f>
        <v>OECD</v>
      </c>
      <c r="AU363" s="233" t="str">
        <f>VLOOKUP(Table9[[#This Row],[Country Code]],Table29[],9,FALSE)</f>
        <v>no</v>
      </c>
      <c r="AV363" s="233" t="str">
        <f>VLOOKUP(Table9[[#This Row],[Country Code]],Table29[],10,FALSE)</f>
        <v>no</v>
      </c>
      <c r="AW363" s="233">
        <f>VLOOKUP(Table9[[#This Row],[Country Code]],Table29[],23,FALSE)</f>
        <v>606.42985584790995</v>
      </c>
      <c r="AX363" s="233">
        <f>VLOOKUP(Table9[[#This Row],[Country Code]],Table29[],24,FALSE)</f>
        <v>95.92080354160332</v>
      </c>
      <c r="AY363" s="43"/>
    </row>
    <row r="364" spans="1:51" ht="60" x14ac:dyDescent="0.25">
      <c r="A364" s="373">
        <v>43788</v>
      </c>
      <c r="B364" s="252" t="str">
        <f>VLOOKUP(Table9[[#This Row],[Document ID]],Table1[],2,FALSE)</f>
        <v>TUR</v>
      </c>
      <c r="C364" s="233" t="str">
        <f>VLOOKUP(Table9[[#This Row],[Document ID]],Table1[],3,FALSE)</f>
        <v>Türkiye</v>
      </c>
      <c r="D364" s="328" t="str">
        <f>VLOOKUP(Table9[[#This Row],[Document ID]],Table1[],5,FALSE)</f>
        <v>LTS</v>
      </c>
      <c r="E364" s="233" t="str">
        <f>VLOOKUP(Table9[[#This Row],[Document ID]],Table1[],7,FALSE)</f>
        <v>LTS</v>
      </c>
      <c r="F364" s="233" t="str">
        <f>VLOOKUP(Table9[[#This Row],[Document ID]],Table1[],8,FALSE)</f>
        <v>LTS 1.0</v>
      </c>
      <c r="G364" s="233" t="str">
        <f>VLOOKUP(Table9[[#This Row],[Document ID]],Table1[],10,FALSE)</f>
        <v>Active</v>
      </c>
      <c r="H364" s="43" t="s">
        <v>5072</v>
      </c>
      <c r="I364" s="43" t="s">
        <v>5073</v>
      </c>
      <c r="J364" s="44" t="s">
        <v>5434</v>
      </c>
      <c r="K364" s="221">
        <v>66</v>
      </c>
      <c r="L364" s="113"/>
      <c r="M364" s="113"/>
      <c r="N364" s="113"/>
      <c r="O364" s="113" t="s">
        <v>1113</v>
      </c>
      <c r="P364" s="113" t="s">
        <v>1113</v>
      </c>
      <c r="Q364" s="113" t="s">
        <v>1113</v>
      </c>
      <c r="R364" s="113"/>
      <c r="S364" s="113"/>
      <c r="T364" s="113"/>
      <c r="U364" s="113"/>
      <c r="V364" s="113"/>
      <c r="W364" s="113" t="s">
        <v>1113</v>
      </c>
      <c r="X364" s="113"/>
      <c r="Y364" s="113"/>
      <c r="Z364" s="113"/>
      <c r="AA364" s="113" t="s">
        <v>1113</v>
      </c>
      <c r="AB364" s="113"/>
      <c r="AC364" s="113"/>
      <c r="AD364" s="113"/>
      <c r="AE364" s="113"/>
      <c r="AF364" s="113"/>
      <c r="AG364" s="113"/>
      <c r="AH364" s="113"/>
      <c r="AI364" s="113" t="s">
        <v>1113</v>
      </c>
      <c r="AJ364" s="326"/>
      <c r="AK364" s="326"/>
      <c r="AL364" s="326"/>
      <c r="AM364" s="43" t="s">
        <v>5119</v>
      </c>
      <c r="AN364" s="241" t="str">
        <f>VLOOKUP(Table9[[#This Row],[Measure]],Table1025[[Value name]:[Value identifyer]],2,FALSE)</f>
        <v>R_System</v>
      </c>
      <c r="AO364" s="233" t="str">
        <f>VLOOKUP(Table9[[#This Row],[Country Code]],Table29[],3,FALSE)</f>
        <v>Annex I</v>
      </c>
      <c r="AP364" s="233" t="str">
        <f>VLOOKUP(Table9[[#This Row],[Country Code]],Table29[],4,FALSE)</f>
        <v>Asia</v>
      </c>
      <c r="AQ364" s="233" t="str">
        <f>VLOOKUP(Table9[[#This Row],[Country Code]],Table29[],5,FALSE)</f>
        <v>Middle-income</v>
      </c>
      <c r="AR364" s="233" t="str">
        <f>VLOOKUP(Table9[[#This Row],[Country Code]],Table29[],6,FALSE)</f>
        <v>G20</v>
      </c>
      <c r="AS364" s="233" t="str">
        <f>VLOOKUP(Table9[[#This Row],[Country Code]],Table29[],7,FALSE)</f>
        <v>no</v>
      </c>
      <c r="AT364" s="233" t="str">
        <f>VLOOKUP(Table9[[#This Row],[Country Code]],Table29[],8,FALSE)</f>
        <v>OECD</v>
      </c>
      <c r="AU364" s="233" t="str">
        <f>VLOOKUP(Table9[[#This Row],[Country Code]],Table29[],9,FALSE)</f>
        <v>no</v>
      </c>
      <c r="AV364" s="233" t="str">
        <f>VLOOKUP(Table9[[#This Row],[Country Code]],Table29[],10,FALSE)</f>
        <v>no</v>
      </c>
      <c r="AW364" s="233">
        <f>VLOOKUP(Table9[[#This Row],[Country Code]],Table29[],23,FALSE)</f>
        <v>606.42985584790995</v>
      </c>
      <c r="AX364" s="233">
        <f>VLOOKUP(Table9[[#This Row],[Country Code]],Table29[],24,FALSE)</f>
        <v>95.92080354160332</v>
      </c>
      <c r="AY364" s="43"/>
    </row>
    <row r="365" spans="1:51" ht="120" x14ac:dyDescent="0.25">
      <c r="A365" s="373">
        <v>43788</v>
      </c>
      <c r="B365" s="252" t="str">
        <f>VLOOKUP(Table9[[#This Row],[Document ID]],Table1[],2,FALSE)</f>
        <v>TUR</v>
      </c>
      <c r="C365" s="233" t="str">
        <f>VLOOKUP(Table9[[#This Row],[Document ID]],Table1[],3,FALSE)</f>
        <v>Türkiye</v>
      </c>
      <c r="D365" s="328" t="str">
        <f>VLOOKUP(Table9[[#This Row],[Document ID]],Table1[],5,FALSE)</f>
        <v>LTS</v>
      </c>
      <c r="E365" s="233" t="str">
        <f>VLOOKUP(Table9[[#This Row],[Document ID]],Table1[],7,FALSE)</f>
        <v>LTS</v>
      </c>
      <c r="F365" s="233" t="str">
        <f>VLOOKUP(Table9[[#This Row],[Document ID]],Table1[],8,FALSE)</f>
        <v>LTS 1.0</v>
      </c>
      <c r="G365" s="233" t="str">
        <f>VLOOKUP(Table9[[#This Row],[Document ID]],Table1[],10,FALSE)</f>
        <v>Active</v>
      </c>
      <c r="H365" s="43" t="s">
        <v>5072</v>
      </c>
      <c r="I365" s="43" t="s">
        <v>5073</v>
      </c>
      <c r="J365" s="44" t="s">
        <v>5435</v>
      </c>
      <c r="K365" s="221">
        <v>66</v>
      </c>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t="s">
        <v>1113</v>
      </c>
      <c r="AJ365" s="326"/>
      <c r="AK365" s="326"/>
      <c r="AL365" s="326"/>
      <c r="AM365" s="327" t="s">
        <v>5075</v>
      </c>
      <c r="AN365" s="241" t="str">
        <f>VLOOKUP(Table9[[#This Row],[Measure]],Table1025[[Value name]:[Value identifyer]],2,FALSE)</f>
        <v>R_System</v>
      </c>
      <c r="AO365" s="233" t="str">
        <f>VLOOKUP(Table9[[#This Row],[Country Code]],Table29[],3,FALSE)</f>
        <v>Annex I</v>
      </c>
      <c r="AP365" s="233" t="str">
        <f>VLOOKUP(Table9[[#This Row],[Country Code]],Table29[],4,FALSE)</f>
        <v>Asia</v>
      </c>
      <c r="AQ365" s="233" t="str">
        <f>VLOOKUP(Table9[[#This Row],[Country Code]],Table29[],5,FALSE)</f>
        <v>Middle-income</v>
      </c>
      <c r="AR365" s="233" t="str">
        <f>VLOOKUP(Table9[[#This Row],[Country Code]],Table29[],6,FALSE)</f>
        <v>G20</v>
      </c>
      <c r="AS365" s="233" t="str">
        <f>VLOOKUP(Table9[[#This Row],[Country Code]],Table29[],7,FALSE)</f>
        <v>no</v>
      </c>
      <c r="AT365" s="233" t="str">
        <f>VLOOKUP(Table9[[#This Row],[Country Code]],Table29[],8,FALSE)</f>
        <v>OECD</v>
      </c>
      <c r="AU365" s="233" t="str">
        <f>VLOOKUP(Table9[[#This Row],[Country Code]],Table29[],9,FALSE)</f>
        <v>no</v>
      </c>
      <c r="AV365" s="233" t="str">
        <f>VLOOKUP(Table9[[#This Row],[Country Code]],Table29[],10,FALSE)</f>
        <v>no</v>
      </c>
      <c r="AW365" s="233">
        <f>VLOOKUP(Table9[[#This Row],[Country Code]],Table29[],23,FALSE)</f>
        <v>606.42985584790995</v>
      </c>
      <c r="AX365" s="233">
        <f>VLOOKUP(Table9[[#This Row],[Country Code]],Table29[],24,FALSE)</f>
        <v>95.92080354160332</v>
      </c>
      <c r="AY365" s="43"/>
    </row>
    <row r="366" spans="1:51" ht="90" x14ac:dyDescent="0.25">
      <c r="A366" s="373">
        <v>43788</v>
      </c>
      <c r="B366" s="252" t="str">
        <f>VLOOKUP(Table9[[#This Row],[Document ID]],Table1[],2,FALSE)</f>
        <v>TUR</v>
      </c>
      <c r="C366" s="233" t="str">
        <f>VLOOKUP(Table9[[#This Row],[Document ID]],Table1[],3,FALSE)</f>
        <v>Türkiye</v>
      </c>
      <c r="D366" s="328" t="str">
        <f>VLOOKUP(Table9[[#This Row],[Document ID]],Table1[],5,FALSE)</f>
        <v>LTS</v>
      </c>
      <c r="E366" s="233" t="str">
        <f>VLOOKUP(Table9[[#This Row],[Document ID]],Table1[],7,FALSE)</f>
        <v>LTS</v>
      </c>
      <c r="F366" s="233" t="str">
        <f>VLOOKUP(Table9[[#This Row],[Document ID]],Table1[],8,FALSE)</f>
        <v>LTS 1.0</v>
      </c>
      <c r="G366" s="233" t="str">
        <f>VLOOKUP(Table9[[#This Row],[Document ID]],Table1[],10,FALSE)</f>
        <v>Active</v>
      </c>
      <c r="H366" s="43" t="s">
        <v>5086</v>
      </c>
      <c r="I366" s="43" t="s">
        <v>5127</v>
      </c>
      <c r="J366" s="44" t="s">
        <v>5436</v>
      </c>
      <c r="K366" s="221">
        <v>66</v>
      </c>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t="s">
        <v>1113</v>
      </c>
      <c r="AJ366" s="326"/>
      <c r="AK366" s="326"/>
      <c r="AL366" s="326"/>
      <c r="AM366" s="327" t="s">
        <v>5075</v>
      </c>
      <c r="AN366" s="241" t="str">
        <f>VLOOKUP(Table9[[#This Row],[Measure]],Table1025[[Value name]:[Value identifyer]],2,FALSE)</f>
        <v>R_Emergency</v>
      </c>
      <c r="AO366" s="233" t="str">
        <f>VLOOKUP(Table9[[#This Row],[Country Code]],Table29[],3,FALSE)</f>
        <v>Annex I</v>
      </c>
      <c r="AP366" s="233" t="str">
        <f>VLOOKUP(Table9[[#This Row],[Country Code]],Table29[],4,FALSE)</f>
        <v>Asia</v>
      </c>
      <c r="AQ366" s="233" t="str">
        <f>VLOOKUP(Table9[[#This Row],[Country Code]],Table29[],5,FALSE)</f>
        <v>Middle-income</v>
      </c>
      <c r="AR366" s="233" t="str">
        <f>VLOOKUP(Table9[[#This Row],[Country Code]],Table29[],6,FALSE)</f>
        <v>G20</v>
      </c>
      <c r="AS366" s="233" t="str">
        <f>VLOOKUP(Table9[[#This Row],[Country Code]],Table29[],7,FALSE)</f>
        <v>no</v>
      </c>
      <c r="AT366" s="233" t="str">
        <f>VLOOKUP(Table9[[#This Row],[Country Code]],Table29[],8,FALSE)</f>
        <v>OECD</v>
      </c>
      <c r="AU366" s="233" t="str">
        <f>VLOOKUP(Table9[[#This Row],[Country Code]],Table29[],9,FALSE)</f>
        <v>no</v>
      </c>
      <c r="AV366" s="233" t="str">
        <f>VLOOKUP(Table9[[#This Row],[Country Code]],Table29[],10,FALSE)</f>
        <v>no</v>
      </c>
      <c r="AW366" s="233">
        <f>VLOOKUP(Table9[[#This Row],[Country Code]],Table29[],23,FALSE)</f>
        <v>606.42985584790995</v>
      </c>
      <c r="AX366" s="233">
        <f>VLOOKUP(Table9[[#This Row],[Country Code]],Table29[],24,FALSE)</f>
        <v>95.92080354160332</v>
      </c>
      <c r="AY366" s="43"/>
    </row>
    <row r="367" spans="1:51" ht="60" x14ac:dyDescent="0.25">
      <c r="A367" s="373">
        <v>43788</v>
      </c>
      <c r="B367" s="252" t="str">
        <f>VLOOKUP(Table9[[#This Row],[Document ID]],Table1[],2,FALSE)</f>
        <v>TUR</v>
      </c>
      <c r="C367" s="233" t="str">
        <f>VLOOKUP(Table9[[#This Row],[Document ID]],Table1[],3,FALSE)</f>
        <v>Türkiye</v>
      </c>
      <c r="D367" s="328" t="str">
        <f>VLOOKUP(Table9[[#This Row],[Document ID]],Table1[],5,FALSE)</f>
        <v>LTS</v>
      </c>
      <c r="E367" s="233" t="str">
        <f>VLOOKUP(Table9[[#This Row],[Document ID]],Table1[],7,FALSE)</f>
        <v>LTS</v>
      </c>
      <c r="F367" s="233" t="str">
        <f>VLOOKUP(Table9[[#This Row],[Document ID]],Table1[],8,FALSE)</f>
        <v>LTS 1.0</v>
      </c>
      <c r="G367" s="233" t="str">
        <f>VLOOKUP(Table9[[#This Row],[Document ID]],Table1[],10,FALSE)</f>
        <v>Active</v>
      </c>
      <c r="H367" s="43" t="s">
        <v>5076</v>
      </c>
      <c r="I367" s="43" t="s">
        <v>5077</v>
      </c>
      <c r="J367" s="44" t="s">
        <v>5437</v>
      </c>
      <c r="K367" s="221">
        <v>66</v>
      </c>
      <c r="L367" s="113"/>
      <c r="M367" s="113"/>
      <c r="N367" s="113"/>
      <c r="O367" s="113"/>
      <c r="P367" s="113" t="s">
        <v>1113</v>
      </c>
      <c r="Q367" s="113"/>
      <c r="R367" s="113"/>
      <c r="S367" s="113"/>
      <c r="T367" s="113"/>
      <c r="U367" s="113"/>
      <c r="V367" s="113"/>
      <c r="W367" s="113" t="s">
        <v>1113</v>
      </c>
      <c r="X367" s="113"/>
      <c r="Y367" s="113"/>
      <c r="Z367" s="113"/>
      <c r="AA367" s="113"/>
      <c r="AB367" s="113"/>
      <c r="AC367" s="113"/>
      <c r="AD367" s="113"/>
      <c r="AE367" s="113"/>
      <c r="AF367" s="113"/>
      <c r="AG367" s="113"/>
      <c r="AH367" s="113"/>
      <c r="AI367" s="113" t="s">
        <v>1113</v>
      </c>
      <c r="AJ367" s="326"/>
      <c r="AK367" s="326"/>
      <c r="AL367" s="326"/>
      <c r="AM367" s="327" t="s">
        <v>5075</v>
      </c>
      <c r="AN367" s="241" t="str">
        <f>VLOOKUP(Table9[[#This Row],[Measure]],Table1025[[Value name]:[Value identifyer]],2,FALSE)</f>
        <v>R_Planning</v>
      </c>
      <c r="AO367" s="233" t="str">
        <f>VLOOKUP(Table9[[#This Row],[Country Code]],Table29[],3,FALSE)</f>
        <v>Annex I</v>
      </c>
      <c r="AP367" s="233" t="str">
        <f>VLOOKUP(Table9[[#This Row],[Country Code]],Table29[],4,FALSE)</f>
        <v>Asia</v>
      </c>
      <c r="AQ367" s="233" t="str">
        <f>VLOOKUP(Table9[[#This Row],[Country Code]],Table29[],5,FALSE)</f>
        <v>Middle-income</v>
      </c>
      <c r="AR367" s="233" t="str">
        <f>VLOOKUP(Table9[[#This Row],[Country Code]],Table29[],6,FALSE)</f>
        <v>G20</v>
      </c>
      <c r="AS367" s="233" t="str">
        <f>VLOOKUP(Table9[[#This Row],[Country Code]],Table29[],7,FALSE)</f>
        <v>no</v>
      </c>
      <c r="AT367" s="233" t="str">
        <f>VLOOKUP(Table9[[#This Row],[Country Code]],Table29[],8,FALSE)</f>
        <v>OECD</v>
      </c>
      <c r="AU367" s="233" t="str">
        <f>VLOOKUP(Table9[[#This Row],[Country Code]],Table29[],9,FALSE)</f>
        <v>no</v>
      </c>
      <c r="AV367" s="233" t="str">
        <f>VLOOKUP(Table9[[#This Row],[Country Code]],Table29[],10,FALSE)</f>
        <v>no</v>
      </c>
      <c r="AW367" s="233">
        <f>VLOOKUP(Table9[[#This Row],[Country Code]],Table29[],23,FALSE)</f>
        <v>606.42985584790995</v>
      </c>
      <c r="AX367" s="233">
        <f>VLOOKUP(Table9[[#This Row],[Country Code]],Table29[],24,FALSE)</f>
        <v>95.92080354160332</v>
      </c>
      <c r="AY367" s="43"/>
    </row>
    <row r="368" spans="1:51" ht="45" x14ac:dyDescent="0.25">
      <c r="A368" s="373">
        <v>43788</v>
      </c>
      <c r="B368" s="252" t="str">
        <f>VLOOKUP(Table9[[#This Row],[Document ID]],Table1[],2,FALSE)</f>
        <v>TUR</v>
      </c>
      <c r="C368" s="233" t="str">
        <f>VLOOKUP(Table9[[#This Row],[Document ID]],Table1[],3,FALSE)</f>
        <v>Türkiye</v>
      </c>
      <c r="D368" s="328" t="str">
        <f>VLOOKUP(Table9[[#This Row],[Document ID]],Table1[],5,FALSE)</f>
        <v>LTS</v>
      </c>
      <c r="E368" s="233" t="str">
        <f>VLOOKUP(Table9[[#This Row],[Document ID]],Table1[],7,FALSE)</f>
        <v>LTS</v>
      </c>
      <c r="F368" s="233" t="str">
        <f>VLOOKUP(Table9[[#This Row],[Document ID]],Table1[],8,FALSE)</f>
        <v>LTS 1.0</v>
      </c>
      <c r="G368" s="233" t="str">
        <f>VLOOKUP(Table9[[#This Row],[Document ID]],Table1[],10,FALSE)</f>
        <v>Active</v>
      </c>
      <c r="H368" s="43" t="s">
        <v>5076</v>
      </c>
      <c r="I368" s="43" t="s">
        <v>5077</v>
      </c>
      <c r="J368" s="44" t="s">
        <v>5438</v>
      </c>
      <c r="K368" s="221">
        <v>67</v>
      </c>
      <c r="L368" s="113"/>
      <c r="M368" s="113"/>
      <c r="N368" s="113"/>
      <c r="O368" s="113"/>
      <c r="P368" s="113" t="s">
        <v>1113</v>
      </c>
      <c r="Q368" s="113"/>
      <c r="R368" s="113"/>
      <c r="S368" s="113"/>
      <c r="T368" s="113"/>
      <c r="U368" s="113"/>
      <c r="V368" s="113"/>
      <c r="W368" s="113"/>
      <c r="X368" s="113"/>
      <c r="Y368" s="113"/>
      <c r="Z368" s="113"/>
      <c r="AA368" s="113"/>
      <c r="AB368" s="113" t="s">
        <v>1113</v>
      </c>
      <c r="AC368" s="113"/>
      <c r="AD368" s="113"/>
      <c r="AE368" s="113"/>
      <c r="AF368" s="113"/>
      <c r="AG368" s="113"/>
      <c r="AH368" s="113"/>
      <c r="AI368" s="113"/>
      <c r="AJ368" s="326" t="s">
        <v>1113</v>
      </c>
      <c r="AK368" s="326"/>
      <c r="AL368" s="326"/>
      <c r="AM368" s="327" t="s">
        <v>5075</v>
      </c>
      <c r="AN368" s="241" t="str">
        <f>VLOOKUP(Table9[[#This Row],[Measure]],Table1025[[Value name]:[Value identifyer]],2,FALSE)</f>
        <v>R_Planning</v>
      </c>
      <c r="AO368" s="233" t="str">
        <f>VLOOKUP(Table9[[#This Row],[Country Code]],Table29[],3,FALSE)</f>
        <v>Annex I</v>
      </c>
      <c r="AP368" s="233" t="str">
        <f>VLOOKUP(Table9[[#This Row],[Country Code]],Table29[],4,FALSE)</f>
        <v>Asia</v>
      </c>
      <c r="AQ368" s="233" t="str">
        <f>VLOOKUP(Table9[[#This Row],[Country Code]],Table29[],5,FALSE)</f>
        <v>Middle-income</v>
      </c>
      <c r="AR368" s="233" t="str">
        <f>VLOOKUP(Table9[[#This Row],[Country Code]],Table29[],6,FALSE)</f>
        <v>G20</v>
      </c>
      <c r="AS368" s="233" t="str">
        <f>VLOOKUP(Table9[[#This Row],[Country Code]],Table29[],7,FALSE)</f>
        <v>no</v>
      </c>
      <c r="AT368" s="233" t="str">
        <f>VLOOKUP(Table9[[#This Row],[Country Code]],Table29[],8,FALSE)</f>
        <v>OECD</v>
      </c>
      <c r="AU368" s="233" t="str">
        <f>VLOOKUP(Table9[[#This Row],[Country Code]],Table29[],9,FALSE)</f>
        <v>no</v>
      </c>
      <c r="AV368" s="233" t="str">
        <f>VLOOKUP(Table9[[#This Row],[Country Code]],Table29[],10,FALSE)</f>
        <v>no</v>
      </c>
      <c r="AW368" s="233">
        <f>VLOOKUP(Table9[[#This Row],[Country Code]],Table29[],23,FALSE)</f>
        <v>606.42985584790995</v>
      </c>
      <c r="AX368" s="233">
        <f>VLOOKUP(Table9[[#This Row],[Country Code]],Table29[],24,FALSE)</f>
        <v>95.92080354160332</v>
      </c>
      <c r="AY368" s="43"/>
    </row>
    <row r="369" spans="1:51" ht="60" x14ac:dyDescent="0.25">
      <c r="A369" s="373">
        <v>43788</v>
      </c>
      <c r="B369" s="252" t="str">
        <f>VLOOKUP(Table9[[#This Row],[Document ID]],Table1[],2,FALSE)</f>
        <v>TUR</v>
      </c>
      <c r="C369" s="233" t="str">
        <f>VLOOKUP(Table9[[#This Row],[Document ID]],Table1[],3,FALSE)</f>
        <v>Türkiye</v>
      </c>
      <c r="D369" s="328" t="str">
        <f>VLOOKUP(Table9[[#This Row],[Document ID]],Table1[],5,FALSE)</f>
        <v>LTS</v>
      </c>
      <c r="E369" s="233" t="str">
        <f>VLOOKUP(Table9[[#This Row],[Document ID]],Table1[],7,FALSE)</f>
        <v>LTS</v>
      </c>
      <c r="F369" s="233" t="str">
        <f>VLOOKUP(Table9[[#This Row],[Document ID]],Table1[],8,FALSE)</f>
        <v>LTS 1.0</v>
      </c>
      <c r="G369" s="233" t="str">
        <f>VLOOKUP(Table9[[#This Row],[Document ID]],Table1[],10,FALSE)</f>
        <v>Active</v>
      </c>
      <c r="H369" s="43" t="s">
        <v>5086</v>
      </c>
      <c r="I369" s="43" t="s">
        <v>5127</v>
      </c>
      <c r="J369" s="44" t="s">
        <v>5439</v>
      </c>
      <c r="K369" s="221">
        <v>67</v>
      </c>
      <c r="L369" s="113" t="s">
        <v>1113</v>
      </c>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t="s">
        <v>1113</v>
      </c>
      <c r="AJ369" s="326"/>
      <c r="AK369" s="326"/>
      <c r="AL369" s="326"/>
      <c r="AM369" s="327" t="s">
        <v>5075</v>
      </c>
      <c r="AN369" s="241" t="str">
        <f>VLOOKUP(Table9[[#This Row],[Measure]],Table1025[[Value name]:[Value identifyer]],2,FALSE)</f>
        <v>R_Emergency</v>
      </c>
      <c r="AO369" s="233" t="str">
        <f>VLOOKUP(Table9[[#This Row],[Country Code]],Table29[],3,FALSE)</f>
        <v>Annex I</v>
      </c>
      <c r="AP369" s="233" t="str">
        <f>VLOOKUP(Table9[[#This Row],[Country Code]],Table29[],4,FALSE)</f>
        <v>Asia</v>
      </c>
      <c r="AQ369" s="233" t="str">
        <f>VLOOKUP(Table9[[#This Row],[Country Code]],Table29[],5,FALSE)</f>
        <v>Middle-income</v>
      </c>
      <c r="AR369" s="233" t="str">
        <f>VLOOKUP(Table9[[#This Row],[Country Code]],Table29[],6,FALSE)</f>
        <v>G20</v>
      </c>
      <c r="AS369" s="233" t="str">
        <f>VLOOKUP(Table9[[#This Row],[Country Code]],Table29[],7,FALSE)</f>
        <v>no</v>
      </c>
      <c r="AT369" s="233" t="str">
        <f>VLOOKUP(Table9[[#This Row],[Country Code]],Table29[],8,FALSE)</f>
        <v>OECD</v>
      </c>
      <c r="AU369" s="233" t="str">
        <f>VLOOKUP(Table9[[#This Row],[Country Code]],Table29[],9,FALSE)</f>
        <v>no</v>
      </c>
      <c r="AV369" s="233" t="str">
        <f>VLOOKUP(Table9[[#This Row],[Country Code]],Table29[],10,FALSE)</f>
        <v>no</v>
      </c>
      <c r="AW369" s="233">
        <f>VLOOKUP(Table9[[#This Row],[Country Code]],Table29[],23,FALSE)</f>
        <v>606.42985584790995</v>
      </c>
      <c r="AX369" s="233">
        <f>VLOOKUP(Table9[[#This Row],[Country Code]],Table29[],24,FALSE)</f>
        <v>95.92080354160332</v>
      </c>
      <c r="AY369" s="43"/>
    </row>
    <row r="370" spans="1:51" ht="30" x14ac:dyDescent="0.25">
      <c r="A370" s="373">
        <v>43788</v>
      </c>
      <c r="B370" s="252" t="str">
        <f>VLOOKUP(Table9[[#This Row],[Document ID]],Table1[],2,FALSE)</f>
        <v>TUR</v>
      </c>
      <c r="C370" s="233" t="str">
        <f>VLOOKUP(Table9[[#This Row],[Document ID]],Table1[],3,FALSE)</f>
        <v>Türkiye</v>
      </c>
      <c r="D370" s="328" t="str">
        <f>VLOOKUP(Table9[[#This Row],[Document ID]],Table1[],5,FALSE)</f>
        <v>LTS</v>
      </c>
      <c r="E370" s="233" t="str">
        <f>VLOOKUP(Table9[[#This Row],[Document ID]],Table1[],7,FALSE)</f>
        <v>LTS</v>
      </c>
      <c r="F370" s="233" t="str">
        <f>VLOOKUP(Table9[[#This Row],[Document ID]],Table1[],8,FALSE)</f>
        <v>LTS 1.0</v>
      </c>
      <c r="G370" s="233" t="str">
        <f>VLOOKUP(Table9[[#This Row],[Document ID]],Table1[],10,FALSE)</f>
        <v>Active</v>
      </c>
      <c r="H370" s="43" t="s">
        <v>5086</v>
      </c>
      <c r="I370" s="43" t="s">
        <v>5130</v>
      </c>
      <c r="J370" s="44" t="s">
        <v>5440</v>
      </c>
      <c r="K370" s="221">
        <v>67</v>
      </c>
      <c r="L370" s="113" t="s">
        <v>1113</v>
      </c>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t="s">
        <v>1113</v>
      </c>
      <c r="AJ370" s="326"/>
      <c r="AK370" s="326"/>
      <c r="AL370" s="326"/>
      <c r="AM370" s="327" t="s">
        <v>5075</v>
      </c>
      <c r="AN370" s="241" t="str">
        <f>VLOOKUP(Table9[[#This Row],[Measure]],Table1025[[Value name]:[Value identifyer]],2,FALSE)</f>
        <v>R_Monitoring</v>
      </c>
      <c r="AO370" s="233" t="str">
        <f>VLOOKUP(Table9[[#This Row],[Country Code]],Table29[],3,FALSE)</f>
        <v>Annex I</v>
      </c>
      <c r="AP370" s="233" t="str">
        <f>VLOOKUP(Table9[[#This Row],[Country Code]],Table29[],4,FALSE)</f>
        <v>Asia</v>
      </c>
      <c r="AQ370" s="233" t="str">
        <f>VLOOKUP(Table9[[#This Row],[Country Code]],Table29[],5,FALSE)</f>
        <v>Middle-income</v>
      </c>
      <c r="AR370" s="233" t="str">
        <f>VLOOKUP(Table9[[#This Row],[Country Code]],Table29[],6,FALSE)</f>
        <v>G20</v>
      </c>
      <c r="AS370" s="233" t="str">
        <f>VLOOKUP(Table9[[#This Row],[Country Code]],Table29[],7,FALSE)</f>
        <v>no</v>
      </c>
      <c r="AT370" s="233" t="str">
        <f>VLOOKUP(Table9[[#This Row],[Country Code]],Table29[],8,FALSE)</f>
        <v>OECD</v>
      </c>
      <c r="AU370" s="233" t="str">
        <f>VLOOKUP(Table9[[#This Row],[Country Code]],Table29[],9,FALSE)</f>
        <v>no</v>
      </c>
      <c r="AV370" s="233" t="str">
        <f>VLOOKUP(Table9[[#This Row],[Country Code]],Table29[],10,FALSE)</f>
        <v>no</v>
      </c>
      <c r="AW370" s="233">
        <f>VLOOKUP(Table9[[#This Row],[Country Code]],Table29[],23,FALSE)</f>
        <v>606.42985584790995</v>
      </c>
      <c r="AX370" s="233">
        <f>VLOOKUP(Table9[[#This Row],[Country Code]],Table29[],24,FALSE)</f>
        <v>95.92080354160332</v>
      </c>
      <c r="AY370" s="43"/>
    </row>
    <row r="371" spans="1:51" ht="60" x14ac:dyDescent="0.25">
      <c r="A371" s="373">
        <v>43788</v>
      </c>
      <c r="B371" s="252" t="str">
        <f>VLOOKUP(Table9[[#This Row],[Document ID]],Table1[],2,FALSE)</f>
        <v>TUR</v>
      </c>
      <c r="C371" s="233" t="str">
        <f>VLOOKUP(Table9[[#This Row],[Document ID]],Table1[],3,FALSE)</f>
        <v>Türkiye</v>
      </c>
      <c r="D371" s="328" t="str">
        <f>VLOOKUP(Table9[[#This Row],[Document ID]],Table1[],5,FALSE)</f>
        <v>LTS</v>
      </c>
      <c r="E371" s="233" t="str">
        <f>VLOOKUP(Table9[[#This Row],[Document ID]],Table1[],7,FALSE)</f>
        <v>LTS</v>
      </c>
      <c r="F371" s="233" t="str">
        <f>VLOOKUP(Table9[[#This Row],[Document ID]],Table1[],8,FALSE)</f>
        <v>LTS 1.0</v>
      </c>
      <c r="G371" s="233" t="str">
        <f>VLOOKUP(Table9[[#This Row],[Document ID]],Table1[],10,FALSE)</f>
        <v>Active</v>
      </c>
      <c r="H371" s="43" t="s">
        <v>5086</v>
      </c>
      <c r="I371" s="43" t="s">
        <v>5127</v>
      </c>
      <c r="J371" s="44" t="s">
        <v>5441</v>
      </c>
      <c r="K371" s="221">
        <v>67</v>
      </c>
      <c r="L371" s="113" t="s">
        <v>1113</v>
      </c>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t="s">
        <v>1113</v>
      </c>
      <c r="AJ371" s="326"/>
      <c r="AK371" s="326"/>
      <c r="AL371" s="326"/>
      <c r="AM371" s="327" t="s">
        <v>5075</v>
      </c>
      <c r="AN371" s="241" t="str">
        <f>VLOOKUP(Table9[[#This Row],[Measure]],Table1025[[Value name]:[Value identifyer]],2,FALSE)</f>
        <v>R_Emergency</v>
      </c>
      <c r="AO371" s="233" t="str">
        <f>VLOOKUP(Table9[[#This Row],[Country Code]],Table29[],3,FALSE)</f>
        <v>Annex I</v>
      </c>
      <c r="AP371" s="233" t="str">
        <f>VLOOKUP(Table9[[#This Row],[Country Code]],Table29[],4,FALSE)</f>
        <v>Asia</v>
      </c>
      <c r="AQ371" s="233" t="str">
        <f>VLOOKUP(Table9[[#This Row],[Country Code]],Table29[],5,FALSE)</f>
        <v>Middle-income</v>
      </c>
      <c r="AR371" s="233" t="str">
        <f>VLOOKUP(Table9[[#This Row],[Country Code]],Table29[],6,FALSE)</f>
        <v>G20</v>
      </c>
      <c r="AS371" s="233" t="str">
        <f>VLOOKUP(Table9[[#This Row],[Country Code]],Table29[],7,FALSE)</f>
        <v>no</v>
      </c>
      <c r="AT371" s="233" t="str">
        <f>VLOOKUP(Table9[[#This Row],[Country Code]],Table29[],8,FALSE)</f>
        <v>OECD</v>
      </c>
      <c r="AU371" s="233" t="str">
        <f>VLOOKUP(Table9[[#This Row],[Country Code]],Table29[],9,FALSE)</f>
        <v>no</v>
      </c>
      <c r="AV371" s="233" t="str">
        <f>VLOOKUP(Table9[[#This Row],[Country Code]],Table29[],10,FALSE)</f>
        <v>no</v>
      </c>
      <c r="AW371" s="233">
        <f>VLOOKUP(Table9[[#This Row],[Country Code]],Table29[],23,FALSE)</f>
        <v>606.42985584790995</v>
      </c>
      <c r="AX371" s="233">
        <f>VLOOKUP(Table9[[#This Row],[Country Code]],Table29[],24,FALSE)</f>
        <v>95.92080354160332</v>
      </c>
      <c r="AY371" s="43"/>
    </row>
    <row r="372" spans="1:51" ht="30" x14ac:dyDescent="0.25">
      <c r="A372" s="373">
        <v>43921</v>
      </c>
      <c r="B372" s="252" t="str">
        <f>VLOOKUP(Table9[[#This Row],[Document ID]],Table1[],2,FALSE)</f>
        <v>LCA</v>
      </c>
      <c r="C372" s="233" t="str">
        <f>VLOOKUP(Table9[[#This Row],[Document ID]],Table1[],3,FALSE)</f>
        <v>Saint Lucia</v>
      </c>
      <c r="D372" s="328" t="str">
        <f>VLOOKUP(Table9[[#This Row],[Document ID]],Table1[],5,FALSE)</f>
        <v>NDC</v>
      </c>
      <c r="E372" s="233" t="str">
        <f>VLOOKUP(Table9[[#This Row],[Document ID]],Table1[],7,FALSE)</f>
        <v>Third NDC</v>
      </c>
      <c r="F372" s="233" t="str">
        <f>VLOOKUP(Table9[[#This Row],[Document ID]],Table1[],8,FALSE)</f>
        <v>NDC 3.0</v>
      </c>
      <c r="G372" s="233" t="str">
        <f>VLOOKUP(Table9[[#This Row],[Document ID]],Table1[],10,FALSE)</f>
        <v>Active</v>
      </c>
      <c r="H372" s="43" t="s">
        <v>5072</v>
      </c>
      <c r="I372" s="43" t="s">
        <v>5411</v>
      </c>
      <c r="J372" s="44" t="s">
        <v>5442</v>
      </c>
      <c r="K372" s="221">
        <v>11</v>
      </c>
      <c r="L372" s="113"/>
      <c r="M372" s="113"/>
      <c r="N372" s="113"/>
      <c r="O372" s="113"/>
      <c r="P372" s="113"/>
      <c r="Q372" s="113" t="s">
        <v>1113</v>
      </c>
      <c r="R372" s="113"/>
      <c r="S372" s="113"/>
      <c r="T372" s="113"/>
      <c r="U372" s="113"/>
      <c r="V372" s="113"/>
      <c r="W372" s="113"/>
      <c r="X372" s="113"/>
      <c r="Y372" s="113"/>
      <c r="Z372" s="113"/>
      <c r="AA372" s="113"/>
      <c r="AB372" s="113"/>
      <c r="AC372" s="113"/>
      <c r="AD372" s="113"/>
      <c r="AE372" s="113"/>
      <c r="AF372" s="113"/>
      <c r="AG372" s="113"/>
      <c r="AH372" s="113"/>
      <c r="AI372" s="113" t="s">
        <v>1113</v>
      </c>
      <c r="AJ372" s="326"/>
      <c r="AK372" s="326"/>
      <c r="AL372" s="326"/>
      <c r="AM372" s="327" t="s">
        <v>5075</v>
      </c>
      <c r="AN372" s="241" t="str">
        <f>VLOOKUP(Table9[[#This Row],[Measure]],Table1025[[Value name]:[Value identifyer]],2,FALSE)</f>
        <v>R_Infrares</v>
      </c>
      <c r="AO372" s="233" t="str">
        <f>VLOOKUP(Table9[[#This Row],[Country Code]],Table29[],3,FALSE)</f>
        <v>Non-Annex I</v>
      </c>
      <c r="AP372" s="233" t="str">
        <f>VLOOKUP(Table9[[#This Row],[Country Code]],Table29[],4,FALSE)</f>
        <v>Latin America and the Caribbean</v>
      </c>
      <c r="AQ372" s="233" t="str">
        <f>VLOOKUP(Table9[[#This Row],[Country Code]],Table29[],5,FALSE)</f>
        <v>Middle-income</v>
      </c>
      <c r="AR372" s="233" t="str">
        <f>VLOOKUP(Table9[[#This Row],[Country Code]],Table29[],6,FALSE)</f>
        <v>no</v>
      </c>
      <c r="AS372" s="233" t="str">
        <f>VLOOKUP(Table9[[#This Row],[Country Code]],Table29[],7,FALSE)</f>
        <v>no</v>
      </c>
      <c r="AT372" s="233" t="str">
        <f>VLOOKUP(Table9[[#This Row],[Country Code]],Table29[],8,FALSE)</f>
        <v>non-OECD</v>
      </c>
      <c r="AU372" s="233" t="str">
        <f>VLOOKUP(Table9[[#This Row],[Country Code]],Table29[],9,FALSE)</f>
        <v>no</v>
      </c>
      <c r="AV372" s="233" t="str">
        <f>VLOOKUP(Table9[[#This Row],[Country Code]],Table29[],10,FALSE)</f>
        <v>no</v>
      </c>
      <c r="AW372" s="233">
        <f>VLOOKUP(Table9[[#This Row],[Country Code]],Table29[],23,FALSE)</f>
        <v>0.45126691251345002</v>
      </c>
      <c r="AX372" s="233">
        <f>VLOOKUP(Table9[[#This Row],[Country Code]],Table29[],24,FALSE)</f>
        <v>0.10561796037965671</v>
      </c>
      <c r="AY372" s="43"/>
    </row>
    <row r="373" spans="1:51" ht="30" x14ac:dyDescent="0.25">
      <c r="A373" s="373">
        <v>43921</v>
      </c>
      <c r="B373" s="252" t="str">
        <f>VLOOKUP(Table9[[#This Row],[Document ID]],Table1[],2,FALSE)</f>
        <v>LCA</v>
      </c>
      <c r="C373" s="233" t="str">
        <f>VLOOKUP(Table9[[#This Row],[Document ID]],Table1[],3,FALSE)</f>
        <v>Saint Lucia</v>
      </c>
      <c r="D373" s="328" t="str">
        <f>VLOOKUP(Table9[[#This Row],[Document ID]],Table1[],5,FALSE)</f>
        <v>NDC</v>
      </c>
      <c r="E373" s="233" t="str">
        <f>VLOOKUP(Table9[[#This Row],[Document ID]],Table1[],7,FALSE)</f>
        <v>Third NDC</v>
      </c>
      <c r="F373" s="233" t="str">
        <f>VLOOKUP(Table9[[#This Row],[Document ID]],Table1[],8,FALSE)</f>
        <v>NDC 3.0</v>
      </c>
      <c r="G373" s="233" t="str">
        <f>VLOOKUP(Table9[[#This Row],[Document ID]],Table1[],10,FALSE)</f>
        <v>Active</v>
      </c>
      <c r="H373" s="43" t="s">
        <v>5072</v>
      </c>
      <c r="I373" s="43" t="s">
        <v>5411</v>
      </c>
      <c r="J373" s="44" t="s">
        <v>5442</v>
      </c>
      <c r="K373" s="221">
        <v>11</v>
      </c>
      <c r="L373" s="113"/>
      <c r="M373" s="113"/>
      <c r="N373" s="113"/>
      <c r="O373" s="113"/>
      <c r="P373" s="113"/>
      <c r="Q373" s="113" t="s">
        <v>1113</v>
      </c>
      <c r="R373" s="113"/>
      <c r="S373" s="113"/>
      <c r="T373" s="113"/>
      <c r="U373" s="113"/>
      <c r="V373" s="113"/>
      <c r="W373" s="113"/>
      <c r="X373" s="113"/>
      <c r="Y373" s="113"/>
      <c r="Z373" s="113"/>
      <c r="AA373" s="113"/>
      <c r="AB373" s="113"/>
      <c r="AC373" s="113"/>
      <c r="AD373" s="113"/>
      <c r="AE373" s="113"/>
      <c r="AF373" s="113"/>
      <c r="AG373" s="113"/>
      <c r="AH373" s="113"/>
      <c r="AI373" s="113" t="s">
        <v>1113</v>
      </c>
      <c r="AJ373" s="326"/>
      <c r="AK373" s="326"/>
      <c r="AL373" s="326"/>
      <c r="AM373" s="327" t="s">
        <v>5075</v>
      </c>
      <c r="AN373" s="241" t="str">
        <f>VLOOKUP(Table9[[#This Row],[Measure]],Table1025[[Value name]:[Value identifyer]],2,FALSE)</f>
        <v>R_Infrares</v>
      </c>
      <c r="AO373" s="233" t="str">
        <f>VLOOKUP(Table9[[#This Row],[Country Code]],Table29[],3,FALSE)</f>
        <v>Non-Annex I</v>
      </c>
      <c r="AP373" s="233" t="str">
        <f>VLOOKUP(Table9[[#This Row],[Country Code]],Table29[],4,FALSE)</f>
        <v>Latin America and the Caribbean</v>
      </c>
      <c r="AQ373" s="233" t="str">
        <f>VLOOKUP(Table9[[#This Row],[Country Code]],Table29[],5,FALSE)</f>
        <v>Middle-income</v>
      </c>
      <c r="AR373" s="233" t="str">
        <f>VLOOKUP(Table9[[#This Row],[Country Code]],Table29[],6,FALSE)</f>
        <v>no</v>
      </c>
      <c r="AS373" s="233" t="str">
        <f>VLOOKUP(Table9[[#This Row],[Country Code]],Table29[],7,FALSE)</f>
        <v>no</v>
      </c>
      <c r="AT373" s="233" t="str">
        <f>VLOOKUP(Table9[[#This Row],[Country Code]],Table29[],8,FALSE)</f>
        <v>non-OECD</v>
      </c>
      <c r="AU373" s="233" t="str">
        <f>VLOOKUP(Table9[[#This Row],[Country Code]],Table29[],9,FALSE)</f>
        <v>no</v>
      </c>
      <c r="AV373" s="233" t="str">
        <f>VLOOKUP(Table9[[#This Row],[Country Code]],Table29[],10,FALSE)</f>
        <v>no</v>
      </c>
      <c r="AW373" s="233">
        <f>VLOOKUP(Table9[[#This Row],[Country Code]],Table29[],23,FALSE)</f>
        <v>0.45126691251345002</v>
      </c>
      <c r="AX373" s="233">
        <f>VLOOKUP(Table9[[#This Row],[Country Code]],Table29[],24,FALSE)</f>
        <v>0.10561796037965671</v>
      </c>
      <c r="AY373" s="43"/>
    </row>
    <row r="374" spans="1:51" ht="30" x14ac:dyDescent="0.25">
      <c r="A374" s="373">
        <v>43921</v>
      </c>
      <c r="B374" s="252" t="str">
        <f>VLOOKUP(Table9[[#This Row],[Document ID]],Table1[],2,FALSE)</f>
        <v>LCA</v>
      </c>
      <c r="C374" s="233" t="str">
        <f>VLOOKUP(Table9[[#This Row],[Document ID]],Table1[],3,FALSE)</f>
        <v>Saint Lucia</v>
      </c>
      <c r="D374" s="328" t="str">
        <f>VLOOKUP(Table9[[#This Row],[Document ID]],Table1[],5,FALSE)</f>
        <v>NDC</v>
      </c>
      <c r="E374" s="233" t="str">
        <f>VLOOKUP(Table9[[#This Row],[Document ID]],Table1[],7,FALSE)</f>
        <v>Third NDC</v>
      </c>
      <c r="F374" s="233" t="str">
        <f>VLOOKUP(Table9[[#This Row],[Document ID]],Table1[],8,FALSE)</f>
        <v>NDC 3.0</v>
      </c>
      <c r="G374" s="233" t="str">
        <f>VLOOKUP(Table9[[#This Row],[Document ID]],Table1[],10,FALSE)</f>
        <v>Active</v>
      </c>
      <c r="H374" s="43" t="s">
        <v>5086</v>
      </c>
      <c r="I374" s="43" t="s">
        <v>5127</v>
      </c>
      <c r="J374" s="44" t="s">
        <v>5443</v>
      </c>
      <c r="K374" s="536" t="s">
        <v>5417</v>
      </c>
      <c r="L374" s="113" t="s">
        <v>1113</v>
      </c>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326" t="s">
        <v>1113</v>
      </c>
      <c r="AK374" s="326"/>
      <c r="AL374" s="326"/>
      <c r="AM374" s="327" t="s">
        <v>5075</v>
      </c>
      <c r="AN374" s="241" t="str">
        <f>VLOOKUP(Table9[[#This Row],[Measure]],Table1025[[Value name]:[Value identifyer]],2,FALSE)</f>
        <v>R_Emergency</v>
      </c>
      <c r="AO374" s="233" t="str">
        <f>VLOOKUP(Table9[[#This Row],[Country Code]],Table29[],3,FALSE)</f>
        <v>Non-Annex I</v>
      </c>
      <c r="AP374" s="233" t="str">
        <f>VLOOKUP(Table9[[#This Row],[Country Code]],Table29[],4,FALSE)</f>
        <v>Latin America and the Caribbean</v>
      </c>
      <c r="AQ374" s="233" t="str">
        <f>VLOOKUP(Table9[[#This Row],[Country Code]],Table29[],5,FALSE)</f>
        <v>Middle-income</v>
      </c>
      <c r="AR374" s="233" t="str">
        <f>VLOOKUP(Table9[[#This Row],[Country Code]],Table29[],6,FALSE)</f>
        <v>no</v>
      </c>
      <c r="AS374" s="233" t="str">
        <f>VLOOKUP(Table9[[#This Row],[Country Code]],Table29[],7,FALSE)</f>
        <v>no</v>
      </c>
      <c r="AT374" s="233" t="str">
        <f>VLOOKUP(Table9[[#This Row],[Country Code]],Table29[],8,FALSE)</f>
        <v>non-OECD</v>
      </c>
      <c r="AU374" s="233" t="str">
        <f>VLOOKUP(Table9[[#This Row],[Country Code]],Table29[],9,FALSE)</f>
        <v>no</v>
      </c>
      <c r="AV374" s="233" t="str">
        <f>VLOOKUP(Table9[[#This Row],[Country Code]],Table29[],10,FALSE)</f>
        <v>no</v>
      </c>
      <c r="AW374" s="233">
        <f>VLOOKUP(Table9[[#This Row],[Country Code]],Table29[],23,FALSE)</f>
        <v>0.45126691251345002</v>
      </c>
      <c r="AX374" s="233">
        <f>VLOOKUP(Table9[[#This Row],[Country Code]],Table29[],24,FALSE)</f>
        <v>0.10561796037965671</v>
      </c>
      <c r="AY374" s="43"/>
    </row>
    <row r="375" spans="1:51" ht="15" customHeight="1" x14ac:dyDescent="0.25">
      <c r="A375" s="360">
        <v>43947</v>
      </c>
      <c r="B375" s="252" t="str">
        <f>VLOOKUP(Table9[[#This Row],[Document ID]],Table1[],2,FALSE)</f>
        <v>AND</v>
      </c>
      <c r="C375" s="233" t="str">
        <f>VLOOKUP(Table9[[#This Row],[Document ID]],Table1[],3,FALSE)</f>
        <v>Andorra</v>
      </c>
      <c r="D375" s="328" t="str">
        <f>VLOOKUP(Table9[[#This Row],[Document ID]],Table1[],5,FALSE)</f>
        <v>NDC</v>
      </c>
      <c r="E375" s="233" t="str">
        <f>VLOOKUP(Table9[[#This Row],[Document ID]],Table1[],7,FALSE)</f>
        <v>Third NDC</v>
      </c>
      <c r="F375" s="233" t="str">
        <f>VLOOKUP(Table9[[#This Row],[Document ID]],Table1[],8,FALSE)</f>
        <v>NDC 3.0</v>
      </c>
      <c r="G375" s="233" t="str">
        <f>VLOOKUP(Table9[[#This Row],[Document ID]],Table1[],10,FALSE)</f>
        <v>Active</v>
      </c>
      <c r="H375" s="43" t="s">
        <v>5072</v>
      </c>
      <c r="I375" s="43" t="s">
        <v>5097</v>
      </c>
      <c r="J375" s="44" t="s">
        <v>5444</v>
      </c>
      <c r="K375" s="221">
        <v>21</v>
      </c>
      <c r="L375" s="113"/>
      <c r="M375" s="113"/>
      <c r="N375" s="113"/>
      <c r="O375" s="113"/>
      <c r="P375" s="113"/>
      <c r="Q375" s="113"/>
      <c r="R375" s="113"/>
      <c r="S375" s="113" t="s">
        <v>1113</v>
      </c>
      <c r="T375" s="113" t="s">
        <v>1113</v>
      </c>
      <c r="U375" s="113"/>
      <c r="V375" s="113"/>
      <c r="W375" s="113"/>
      <c r="X375" s="113"/>
      <c r="Y375" s="113"/>
      <c r="Z375" s="113"/>
      <c r="AA375" s="113"/>
      <c r="AB375" s="113"/>
      <c r="AC375" s="113"/>
      <c r="AD375" s="113"/>
      <c r="AE375" s="113"/>
      <c r="AF375" s="113"/>
      <c r="AG375" s="113"/>
      <c r="AH375" s="113"/>
      <c r="AI375" s="113"/>
      <c r="AJ375" s="326"/>
      <c r="AK375" s="326"/>
      <c r="AL375" s="326"/>
      <c r="AM375" s="43"/>
      <c r="AN375" s="241" t="str">
        <f>VLOOKUP(Table9[[#This Row],[Measure]],Table1025[[Value name]:[Value identifyer]],2,FALSE)</f>
        <v>R_Tech</v>
      </c>
      <c r="AO375" s="233" t="str">
        <f>VLOOKUP(Table9[[#This Row],[Country Code]],Table29[],3,FALSE)</f>
        <v>Non-Annex I</v>
      </c>
      <c r="AP375" s="233" t="str">
        <f>VLOOKUP(Table9[[#This Row],[Country Code]],Table29[],4,FALSE)</f>
        <v>Europe</v>
      </c>
      <c r="AQ375" s="233" t="str">
        <f>VLOOKUP(Table9[[#This Row],[Country Code]],Table29[],5,FALSE)</f>
        <v>High-income</v>
      </c>
      <c r="AR375" s="233" t="str">
        <f>VLOOKUP(Table9[[#This Row],[Country Code]],Table29[],6,FALSE)</f>
        <v>no</v>
      </c>
      <c r="AS375" s="233" t="str">
        <f>VLOOKUP(Table9[[#This Row],[Country Code]],Table29[],7,FALSE)</f>
        <v>no</v>
      </c>
      <c r="AT375" s="233" t="str">
        <f>VLOOKUP(Table9[[#This Row],[Country Code]],Table29[],8,FALSE)</f>
        <v>non-OECD</v>
      </c>
      <c r="AU375" s="233" t="str">
        <f>VLOOKUP(Table9[[#This Row],[Country Code]],Table29[],9,FALSE)</f>
        <v>no</v>
      </c>
      <c r="AV375" s="233" t="str">
        <f>VLOOKUP(Table9[[#This Row],[Country Code]],Table29[],10,FALSE)</f>
        <v>no</v>
      </c>
      <c r="AW375" s="233">
        <f>VLOOKUP(Table9[[#This Row],[Country Code]],Table29[],23,FALSE)</f>
        <v>0</v>
      </c>
      <c r="AX375" s="233">
        <f>VLOOKUP(Table9[[#This Row],[Country Code]],Table29[],24,FALSE)</f>
        <v>0</v>
      </c>
      <c r="AY375" s="43"/>
    </row>
    <row r="376" spans="1:51" ht="15" customHeight="1" x14ac:dyDescent="0.25">
      <c r="A376" s="360">
        <v>43986</v>
      </c>
      <c r="B376" s="252" t="str">
        <f>VLOOKUP(Table9[[#This Row],[Document ID]],Table1[],2,FALSE)</f>
        <v>ZWE</v>
      </c>
      <c r="C376" s="233" t="str">
        <f>VLOOKUP(Table9[[#This Row],[Document ID]],Table1[],3,FALSE)</f>
        <v>Zimbabwe</v>
      </c>
      <c r="D376" s="328" t="str">
        <f>VLOOKUP(Table9[[#This Row],[Document ID]],Table1[],5,FALSE)</f>
        <v>NDC</v>
      </c>
      <c r="E376" s="233" t="str">
        <f>VLOOKUP(Table9[[#This Row],[Document ID]],Table1[],7,FALSE)</f>
        <v>Third NDC</v>
      </c>
      <c r="F376" s="233" t="str">
        <f>VLOOKUP(Table9[[#This Row],[Document ID]],Table1[],8,FALSE)</f>
        <v>NDC 3.0</v>
      </c>
      <c r="G376" s="233" t="str">
        <f>VLOOKUP(Table9[[#This Row],[Document ID]],Table1[],10,FALSE)</f>
        <v>Active</v>
      </c>
      <c r="H376" s="43" t="s">
        <v>5072</v>
      </c>
      <c r="I376" s="43" t="s">
        <v>5411</v>
      </c>
      <c r="J376" s="44" t="s">
        <v>5445</v>
      </c>
      <c r="K376" s="221">
        <v>8</v>
      </c>
      <c r="L376" s="113" t="s">
        <v>1113</v>
      </c>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t="s">
        <v>1113</v>
      </c>
      <c r="AJ376" s="326"/>
      <c r="AK376" s="326"/>
      <c r="AL376" s="326"/>
      <c r="AM376" s="327" t="s">
        <v>5075</v>
      </c>
      <c r="AN376" s="241" t="str">
        <f>VLOOKUP(Table9[[#This Row],[Measure]],Table1025[[Value name]:[Value identifyer]],2,FALSE)</f>
        <v>R_Infrares</v>
      </c>
      <c r="AO376" s="233" t="str">
        <f>VLOOKUP(Table9[[#This Row],[Country Code]],Table29[],3,FALSE)</f>
        <v>Non-Annex I</v>
      </c>
      <c r="AP376" s="233" t="str">
        <f>VLOOKUP(Table9[[#This Row],[Country Code]],Table29[],4,FALSE)</f>
        <v>Africa</v>
      </c>
      <c r="AQ376" s="233" t="str">
        <f>VLOOKUP(Table9[[#This Row],[Country Code]],Table29[],5,FALSE)</f>
        <v>Middle-income</v>
      </c>
      <c r="AR376" s="233" t="str">
        <f>VLOOKUP(Table9[[#This Row],[Country Code]],Table29[],6,FALSE)</f>
        <v>no</v>
      </c>
      <c r="AS376" s="233" t="str">
        <f>VLOOKUP(Table9[[#This Row],[Country Code]],Table29[],7,FALSE)</f>
        <v>no</v>
      </c>
      <c r="AT376" s="233" t="str">
        <f>VLOOKUP(Table9[[#This Row],[Country Code]],Table29[],8,FALSE)</f>
        <v>non-OECD</v>
      </c>
      <c r="AU376" s="233" t="str">
        <f>VLOOKUP(Table9[[#This Row],[Country Code]],Table29[],9,FALSE)</f>
        <v>no</v>
      </c>
      <c r="AV376" s="233" t="str">
        <f>VLOOKUP(Table9[[#This Row],[Country Code]],Table29[],10,FALSE)</f>
        <v>no</v>
      </c>
      <c r="AW376" s="233">
        <f>VLOOKUP(Table9[[#This Row],[Country Code]],Table29[],23,FALSE)</f>
        <v>31.019306383581998</v>
      </c>
      <c r="AX376" s="233">
        <f>VLOOKUP(Table9[[#This Row],[Country Code]],Table29[],24,FALSE)</f>
        <v>1.5180453178171209</v>
      </c>
      <c r="AY376" s="43"/>
    </row>
    <row r="377" spans="1:51" ht="15" customHeight="1" x14ac:dyDescent="0.25">
      <c r="A377" s="373">
        <v>43920</v>
      </c>
      <c r="B377" s="252" t="str">
        <f>VLOOKUP(Table9[[#This Row],[Document ID]],Table1[],2,FALSE)</f>
        <v>LSO</v>
      </c>
      <c r="C377" s="233" t="str">
        <f>VLOOKUP(Table9[[#This Row],[Document ID]],Table1[],3,FALSE)</f>
        <v>Lesotho</v>
      </c>
      <c r="D377" s="328" t="str">
        <f>VLOOKUP(Table9[[#This Row],[Document ID]],Table1[],5,FALSE)</f>
        <v>NDC</v>
      </c>
      <c r="E377" s="233" t="str">
        <f>VLOOKUP(Table9[[#This Row],[Document ID]],Table1[],7,FALSE)</f>
        <v>Third NDC</v>
      </c>
      <c r="F377" s="233" t="str">
        <f>VLOOKUP(Table9[[#This Row],[Document ID]],Table1[],8,FALSE)</f>
        <v>NDC 3.0</v>
      </c>
      <c r="G377" s="233" t="str">
        <f>VLOOKUP(Table9[[#This Row],[Document ID]],Table1[],10,FALSE)</f>
        <v>Active</v>
      </c>
      <c r="H377" s="43" t="s">
        <v>5076</v>
      </c>
      <c r="I377" s="43" t="s">
        <v>5446</v>
      </c>
      <c r="J377" s="44" t="s">
        <v>5447</v>
      </c>
      <c r="K377" s="221">
        <v>20</v>
      </c>
      <c r="L377" s="113"/>
      <c r="M377" s="113"/>
      <c r="N377" s="113"/>
      <c r="O377" s="113"/>
      <c r="P377" s="113"/>
      <c r="Q377" s="113" t="s">
        <v>1113</v>
      </c>
      <c r="R377" s="113"/>
      <c r="S377" s="113"/>
      <c r="T377" s="113"/>
      <c r="U377" s="113"/>
      <c r="V377" s="113"/>
      <c r="W377" s="113"/>
      <c r="X377" s="113"/>
      <c r="Y377" s="113"/>
      <c r="Z377" s="113"/>
      <c r="AA377" s="113"/>
      <c r="AB377" s="113"/>
      <c r="AC377" s="113"/>
      <c r="AD377" s="113"/>
      <c r="AE377" s="113"/>
      <c r="AF377" s="113"/>
      <c r="AG377" s="113"/>
      <c r="AH377" s="113"/>
      <c r="AI377" s="113" t="s">
        <v>1113</v>
      </c>
      <c r="AJ377" s="326"/>
      <c r="AK377" s="326"/>
      <c r="AL377" s="326"/>
      <c r="AM377" s="327" t="s">
        <v>5075</v>
      </c>
      <c r="AN377" s="241" t="str">
        <f>VLOOKUP(Table9[[#This Row],[Measure]],Table1025[[Value name]:[Value identifyer]],2,FALSE)</f>
        <v>R_Design</v>
      </c>
      <c r="AO377" s="233" t="str">
        <f>VLOOKUP(Table9[[#This Row],[Country Code]],Table29[],3,FALSE)</f>
        <v>Non-Annex I</v>
      </c>
      <c r="AP377" s="233" t="str">
        <f>VLOOKUP(Table9[[#This Row],[Country Code]],Table29[],4,FALSE)</f>
        <v>Africa</v>
      </c>
      <c r="AQ377" s="233" t="str">
        <f>VLOOKUP(Table9[[#This Row],[Country Code]],Table29[],5,FALSE)</f>
        <v>Middle-income</v>
      </c>
      <c r="AR377" s="233" t="str">
        <f>VLOOKUP(Table9[[#This Row],[Country Code]],Table29[],6,FALSE)</f>
        <v>no</v>
      </c>
      <c r="AS377" s="233" t="str">
        <f>VLOOKUP(Table9[[#This Row],[Country Code]],Table29[],7,FALSE)</f>
        <v>no</v>
      </c>
      <c r="AT377" s="233" t="str">
        <f>VLOOKUP(Table9[[#This Row],[Country Code]],Table29[],8,FALSE)</f>
        <v>non-OECD</v>
      </c>
      <c r="AU377" s="233" t="str">
        <f>VLOOKUP(Table9[[#This Row],[Country Code]],Table29[],9,FALSE)</f>
        <v>no</v>
      </c>
      <c r="AV377" s="233" t="str">
        <f>VLOOKUP(Table9[[#This Row],[Country Code]],Table29[],10,FALSE)</f>
        <v>no</v>
      </c>
      <c r="AW377" s="233">
        <f>VLOOKUP(Table9[[#This Row],[Country Code]],Table29[],23,FALSE)</f>
        <v>2.6019212840000998</v>
      </c>
      <c r="AX377" s="233">
        <f>VLOOKUP(Table9[[#This Row],[Country Code]],Table29[],24,FALSE)</f>
        <v>0.50992867306348366</v>
      </c>
      <c r="AY377" s="43"/>
    </row>
    <row r="378" spans="1:51" ht="30" x14ac:dyDescent="0.25">
      <c r="A378" s="373">
        <v>43920</v>
      </c>
      <c r="B378" s="252" t="str">
        <f>VLOOKUP(Table9[[#This Row],[Document ID]],Table1[],2,FALSE)</f>
        <v>LSO</v>
      </c>
      <c r="C378" s="233" t="str">
        <f>VLOOKUP(Table9[[#This Row],[Document ID]],Table1[],3,FALSE)</f>
        <v>Lesotho</v>
      </c>
      <c r="D378" s="328" t="str">
        <f>VLOOKUP(Table9[[#This Row],[Document ID]],Table1[],5,FALSE)</f>
        <v>NDC</v>
      </c>
      <c r="E378" s="233" t="str">
        <f>VLOOKUP(Table9[[#This Row],[Document ID]],Table1[],7,FALSE)</f>
        <v>Third NDC</v>
      </c>
      <c r="F378" s="233" t="str">
        <f>VLOOKUP(Table9[[#This Row],[Document ID]],Table1[],8,FALSE)</f>
        <v>NDC 3.0</v>
      </c>
      <c r="G378" s="233" t="str">
        <f>VLOOKUP(Table9[[#This Row],[Document ID]],Table1[],10,FALSE)</f>
        <v>Active</v>
      </c>
      <c r="H378" s="43" t="s">
        <v>5072</v>
      </c>
      <c r="I378" s="43" t="s">
        <v>5411</v>
      </c>
      <c r="J378" s="44" t="s">
        <v>5448</v>
      </c>
      <c r="K378" s="221" t="s">
        <v>5449</v>
      </c>
      <c r="L378" s="113"/>
      <c r="M378" s="113"/>
      <c r="N378" s="113"/>
      <c r="O378" s="113"/>
      <c r="P378" s="113"/>
      <c r="Q378" s="113" t="s">
        <v>1113</v>
      </c>
      <c r="R378" s="113"/>
      <c r="S378" s="113"/>
      <c r="T378" s="113"/>
      <c r="U378" s="113"/>
      <c r="V378" s="113"/>
      <c r="W378" s="113"/>
      <c r="X378" s="113"/>
      <c r="Y378" s="113"/>
      <c r="Z378" s="113"/>
      <c r="AA378" s="113"/>
      <c r="AB378" s="113"/>
      <c r="AC378" s="113"/>
      <c r="AD378" s="113"/>
      <c r="AE378" s="113"/>
      <c r="AF378" s="113"/>
      <c r="AG378" s="113"/>
      <c r="AH378" s="113"/>
      <c r="AI378" s="113" t="s">
        <v>1113</v>
      </c>
      <c r="AJ378" s="326"/>
      <c r="AK378" s="326"/>
      <c r="AL378" s="326"/>
      <c r="AM378" s="327" t="s">
        <v>5075</v>
      </c>
      <c r="AN378" s="241" t="str">
        <f>VLOOKUP(Table9[[#This Row],[Measure]],Table1025[[Value name]:[Value identifyer]],2,FALSE)</f>
        <v>R_Infrares</v>
      </c>
      <c r="AO378" s="233" t="str">
        <f>VLOOKUP(Table9[[#This Row],[Country Code]],Table29[],3,FALSE)</f>
        <v>Non-Annex I</v>
      </c>
      <c r="AP378" s="233" t="str">
        <f>VLOOKUP(Table9[[#This Row],[Country Code]],Table29[],4,FALSE)</f>
        <v>Africa</v>
      </c>
      <c r="AQ378" s="233" t="str">
        <f>VLOOKUP(Table9[[#This Row],[Country Code]],Table29[],5,FALSE)</f>
        <v>Middle-income</v>
      </c>
      <c r="AR378" s="233" t="str">
        <f>VLOOKUP(Table9[[#This Row],[Country Code]],Table29[],6,FALSE)</f>
        <v>no</v>
      </c>
      <c r="AS378" s="233" t="str">
        <f>VLOOKUP(Table9[[#This Row],[Country Code]],Table29[],7,FALSE)</f>
        <v>no</v>
      </c>
      <c r="AT378" s="233" t="str">
        <f>VLOOKUP(Table9[[#This Row],[Country Code]],Table29[],8,FALSE)</f>
        <v>non-OECD</v>
      </c>
      <c r="AU378" s="233" t="str">
        <f>VLOOKUP(Table9[[#This Row],[Country Code]],Table29[],9,FALSE)</f>
        <v>no</v>
      </c>
      <c r="AV378" s="233" t="str">
        <f>VLOOKUP(Table9[[#This Row],[Country Code]],Table29[],10,FALSE)</f>
        <v>no</v>
      </c>
      <c r="AW378" s="233">
        <f>VLOOKUP(Table9[[#This Row],[Country Code]],Table29[],23,FALSE)</f>
        <v>2.6019212840000998</v>
      </c>
      <c r="AX378" s="233">
        <f>VLOOKUP(Table9[[#This Row],[Country Code]],Table29[],24,FALSE)</f>
        <v>0.50992867306348366</v>
      </c>
      <c r="AY378" s="43"/>
    </row>
    <row r="379" spans="1:51" ht="15" customHeight="1" x14ac:dyDescent="0.25">
      <c r="A379" s="373">
        <v>43920</v>
      </c>
      <c r="B379" s="252" t="str">
        <f>VLOOKUP(Table9[[#This Row],[Document ID]],Table1[],2,FALSE)</f>
        <v>LSO</v>
      </c>
      <c r="C379" s="233" t="str">
        <f>VLOOKUP(Table9[[#This Row],[Document ID]],Table1[],3,FALSE)</f>
        <v>Lesotho</v>
      </c>
      <c r="D379" s="328" t="str">
        <f>VLOOKUP(Table9[[#This Row],[Document ID]],Table1[],5,FALSE)</f>
        <v>NDC</v>
      </c>
      <c r="E379" s="233" t="str">
        <f>VLOOKUP(Table9[[#This Row],[Document ID]],Table1[],7,FALSE)</f>
        <v>Third NDC</v>
      </c>
      <c r="F379" s="233" t="str">
        <f>VLOOKUP(Table9[[#This Row],[Document ID]],Table1[],8,FALSE)</f>
        <v>NDC 3.0</v>
      </c>
      <c r="G379" s="233" t="str">
        <f>VLOOKUP(Table9[[#This Row],[Document ID]],Table1[],10,FALSE)</f>
        <v>Active</v>
      </c>
      <c r="H379" s="43" t="s">
        <v>5072</v>
      </c>
      <c r="I379" s="43" t="s">
        <v>5082</v>
      </c>
      <c r="J379" s="44" t="s">
        <v>5450</v>
      </c>
      <c r="K379" s="221">
        <v>21</v>
      </c>
      <c r="L379" s="113" t="s">
        <v>1113</v>
      </c>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t="s">
        <v>1113</v>
      </c>
      <c r="AJ379" s="326"/>
      <c r="AK379" s="326"/>
      <c r="AL379" s="326"/>
      <c r="AM379" s="327" t="s">
        <v>5075</v>
      </c>
      <c r="AN379" s="241" t="str">
        <f>VLOOKUP(Table9[[#This Row],[Measure]],Table1025[[Value name]:[Value identifyer]],2,FALSE)</f>
        <v>R_Risk</v>
      </c>
      <c r="AO379" s="233" t="str">
        <f>VLOOKUP(Table9[[#This Row],[Country Code]],Table29[],3,FALSE)</f>
        <v>Non-Annex I</v>
      </c>
      <c r="AP379" s="233" t="str">
        <f>VLOOKUP(Table9[[#This Row],[Country Code]],Table29[],4,FALSE)</f>
        <v>Africa</v>
      </c>
      <c r="AQ379" s="233" t="str">
        <f>VLOOKUP(Table9[[#This Row],[Country Code]],Table29[],5,FALSE)</f>
        <v>Middle-income</v>
      </c>
      <c r="AR379" s="233" t="str">
        <f>VLOOKUP(Table9[[#This Row],[Country Code]],Table29[],6,FALSE)</f>
        <v>no</v>
      </c>
      <c r="AS379" s="233" t="str">
        <f>VLOOKUP(Table9[[#This Row],[Country Code]],Table29[],7,FALSE)</f>
        <v>no</v>
      </c>
      <c r="AT379" s="233" t="str">
        <f>VLOOKUP(Table9[[#This Row],[Country Code]],Table29[],8,FALSE)</f>
        <v>non-OECD</v>
      </c>
      <c r="AU379" s="233" t="str">
        <f>VLOOKUP(Table9[[#This Row],[Country Code]],Table29[],9,FALSE)</f>
        <v>no</v>
      </c>
      <c r="AV379" s="233" t="str">
        <f>VLOOKUP(Table9[[#This Row],[Country Code]],Table29[],10,FALSE)</f>
        <v>no</v>
      </c>
      <c r="AW379" s="233">
        <f>VLOOKUP(Table9[[#This Row],[Country Code]],Table29[],23,FALSE)</f>
        <v>2.6019212840000998</v>
      </c>
      <c r="AX379" s="233">
        <f>VLOOKUP(Table9[[#This Row],[Country Code]],Table29[],24,FALSE)</f>
        <v>0.50992867306348366</v>
      </c>
      <c r="AY379" s="43"/>
    </row>
    <row r="380" spans="1:51" ht="15" customHeight="1" x14ac:dyDescent="0.25">
      <c r="A380" s="373">
        <v>43920</v>
      </c>
      <c r="B380" s="252" t="str">
        <f>VLOOKUP(Table9[[#This Row],[Document ID]],Table1[],2,FALSE)</f>
        <v>LSO</v>
      </c>
      <c r="C380" s="233" t="str">
        <f>VLOOKUP(Table9[[#This Row],[Document ID]],Table1[],3,FALSE)</f>
        <v>Lesotho</v>
      </c>
      <c r="D380" s="328" t="str">
        <f>VLOOKUP(Table9[[#This Row],[Document ID]],Table1[],5,FALSE)</f>
        <v>NDC</v>
      </c>
      <c r="E380" s="233" t="str">
        <f>VLOOKUP(Table9[[#This Row],[Document ID]],Table1[],7,FALSE)</f>
        <v>Third NDC</v>
      </c>
      <c r="F380" s="233" t="str">
        <f>VLOOKUP(Table9[[#This Row],[Document ID]],Table1[],8,FALSE)</f>
        <v>NDC 3.0</v>
      </c>
      <c r="G380" s="233" t="str">
        <f>VLOOKUP(Table9[[#This Row],[Document ID]],Table1[],10,FALSE)</f>
        <v>Active</v>
      </c>
      <c r="H380" s="43" t="s">
        <v>5086</v>
      </c>
      <c r="I380" s="43" t="s">
        <v>5127</v>
      </c>
      <c r="J380" s="44" t="s">
        <v>5451</v>
      </c>
      <c r="K380" s="221">
        <v>21</v>
      </c>
      <c r="L380" s="113" t="s">
        <v>1113</v>
      </c>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t="s">
        <v>1113</v>
      </c>
      <c r="AJ380" s="326"/>
      <c r="AK380" s="326"/>
      <c r="AL380" s="326"/>
      <c r="AM380" s="327" t="s">
        <v>5075</v>
      </c>
      <c r="AN380" s="241" t="str">
        <f>VLOOKUP(Table9[[#This Row],[Measure]],Table1025[[Value name]:[Value identifyer]],2,FALSE)</f>
        <v>R_Emergency</v>
      </c>
      <c r="AO380" s="233" t="str">
        <f>VLOOKUP(Table9[[#This Row],[Country Code]],Table29[],3,FALSE)</f>
        <v>Non-Annex I</v>
      </c>
      <c r="AP380" s="233" t="str">
        <f>VLOOKUP(Table9[[#This Row],[Country Code]],Table29[],4,FALSE)</f>
        <v>Africa</v>
      </c>
      <c r="AQ380" s="233" t="str">
        <f>VLOOKUP(Table9[[#This Row],[Country Code]],Table29[],5,FALSE)</f>
        <v>Middle-income</v>
      </c>
      <c r="AR380" s="233" t="str">
        <f>VLOOKUP(Table9[[#This Row],[Country Code]],Table29[],6,FALSE)</f>
        <v>no</v>
      </c>
      <c r="AS380" s="233" t="str">
        <f>VLOOKUP(Table9[[#This Row],[Country Code]],Table29[],7,FALSE)</f>
        <v>no</v>
      </c>
      <c r="AT380" s="233" t="str">
        <f>VLOOKUP(Table9[[#This Row],[Country Code]],Table29[],8,FALSE)</f>
        <v>non-OECD</v>
      </c>
      <c r="AU380" s="233" t="str">
        <f>VLOOKUP(Table9[[#This Row],[Country Code]],Table29[],9,FALSE)</f>
        <v>no</v>
      </c>
      <c r="AV380" s="233" t="str">
        <f>VLOOKUP(Table9[[#This Row],[Country Code]],Table29[],10,FALSE)</f>
        <v>no</v>
      </c>
      <c r="AW380" s="233">
        <f>VLOOKUP(Table9[[#This Row],[Country Code]],Table29[],23,FALSE)</f>
        <v>2.6019212840000998</v>
      </c>
      <c r="AX380" s="233">
        <f>VLOOKUP(Table9[[#This Row],[Country Code]],Table29[],24,FALSE)</f>
        <v>0.50992867306348366</v>
      </c>
      <c r="AY380" s="43"/>
    </row>
    <row r="381" spans="1:51" ht="15" customHeight="1" x14ac:dyDescent="0.25">
      <c r="A381" s="373">
        <v>43987</v>
      </c>
      <c r="B381" s="252" t="str">
        <f>VLOOKUP(Table9[[#This Row],[Document ID]],Table1[],2,FALSE)</f>
        <v>CAN</v>
      </c>
      <c r="C381" s="233" t="str">
        <f>VLOOKUP(Table9[[#This Row],[Document ID]],Table1[],3,FALSE)</f>
        <v>Canada</v>
      </c>
      <c r="D381" s="328" t="str">
        <f>VLOOKUP(Table9[[#This Row],[Document ID]],Table1[],5,FALSE)</f>
        <v>NDC</v>
      </c>
      <c r="E381" s="233" t="str">
        <f>VLOOKUP(Table9[[#This Row],[Document ID]],Table1[],7,FALSE)</f>
        <v>Third NDC</v>
      </c>
      <c r="F381" s="233" t="str">
        <f>VLOOKUP(Table9[[#This Row],[Document ID]],Table1[],8,FALSE)</f>
        <v>NDC 3.0</v>
      </c>
      <c r="G381" s="233" t="str">
        <f>VLOOKUP(Table9[[#This Row],[Document ID]],Table1[],10,FALSE)</f>
        <v>Active</v>
      </c>
      <c r="H381" s="43" t="s">
        <v>5072</v>
      </c>
      <c r="I381" s="43" t="s">
        <v>5411</v>
      </c>
      <c r="J381" s="44" t="s">
        <v>5452</v>
      </c>
      <c r="K381" s="221">
        <v>82</v>
      </c>
      <c r="L381" s="113" t="s">
        <v>1113</v>
      </c>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t="s">
        <v>1113</v>
      </c>
      <c r="AJ381" s="326"/>
      <c r="AK381" s="326"/>
      <c r="AL381" s="326"/>
      <c r="AM381" s="327" t="s">
        <v>5075</v>
      </c>
      <c r="AN381" s="241" t="str">
        <f>VLOOKUP(Table9[[#This Row],[Measure]],Table1025[[Value name]:[Value identifyer]],2,FALSE)</f>
        <v>R_Infrares</v>
      </c>
      <c r="AO381" s="233" t="str">
        <f>VLOOKUP(Table9[[#This Row],[Country Code]],Table29[],3,FALSE)</f>
        <v>Annex I</v>
      </c>
      <c r="AP381" s="233" t="str">
        <f>VLOOKUP(Table9[[#This Row],[Country Code]],Table29[],4,FALSE)</f>
        <v>Northern America</v>
      </c>
      <c r="AQ381" s="233" t="str">
        <f>VLOOKUP(Table9[[#This Row],[Country Code]],Table29[],5,FALSE)</f>
        <v>High-income</v>
      </c>
      <c r="AR381" s="233" t="str">
        <f>VLOOKUP(Table9[[#This Row],[Country Code]],Table29[],6,FALSE)</f>
        <v>G20</v>
      </c>
      <c r="AS381" s="233" t="str">
        <f>VLOOKUP(Table9[[#This Row],[Country Code]],Table29[],7,FALSE)</f>
        <v>G7</v>
      </c>
      <c r="AT381" s="233" t="str">
        <f>VLOOKUP(Table9[[#This Row],[Country Code]],Table29[],8,FALSE)</f>
        <v>OECD</v>
      </c>
      <c r="AU381" s="233" t="str">
        <f>VLOOKUP(Table9[[#This Row],[Country Code]],Table29[],9,FALSE)</f>
        <v>no</v>
      </c>
      <c r="AV381" s="233" t="str">
        <f>VLOOKUP(Table9[[#This Row],[Country Code]],Table29[],10,FALSE)</f>
        <v>no</v>
      </c>
      <c r="AW381" s="233">
        <f>VLOOKUP(Table9[[#This Row],[Country Code]],Table29[],23,FALSE)</f>
        <v>747.67802680902003</v>
      </c>
      <c r="AX381" s="233">
        <f>VLOOKUP(Table9[[#This Row],[Country Code]],Table29[],24,FALSE)</f>
        <v>169.021169926607</v>
      </c>
      <c r="AY381" s="43"/>
    </row>
    <row r="382" spans="1:51" ht="15" customHeight="1" x14ac:dyDescent="0.25">
      <c r="A382" s="360">
        <v>44170</v>
      </c>
      <c r="B382" s="252" t="str">
        <f>VLOOKUP(Table9[[#This Row],[Document ID]],Table1[],2,FALSE)</f>
        <v>MDV</v>
      </c>
      <c r="C382" s="233" t="str">
        <f>VLOOKUP(Table9[[#This Row],[Document ID]],Table1[],3,FALSE)</f>
        <v>Maldives</v>
      </c>
      <c r="D382" s="328" t="str">
        <f>VLOOKUP(Table9[[#This Row],[Document ID]],Table1[],5,FALSE)</f>
        <v>NDC</v>
      </c>
      <c r="E382" s="233" t="str">
        <f>VLOOKUP(Table9[[#This Row],[Document ID]],Table1[],7,FALSE)</f>
        <v>Third NDC</v>
      </c>
      <c r="F382" s="233" t="str">
        <f>VLOOKUP(Table9[[#This Row],[Document ID]],Table1[],8,FALSE)</f>
        <v>NDC 3.0</v>
      </c>
      <c r="G382" s="233" t="str">
        <f>VLOOKUP(Table9[[#This Row],[Document ID]],Table1[],10,FALSE)</f>
        <v>Active</v>
      </c>
      <c r="H382" s="43" t="s">
        <v>5072</v>
      </c>
      <c r="I382" s="43" t="s">
        <v>5411</v>
      </c>
      <c r="J382" s="44" t="s">
        <v>5453</v>
      </c>
      <c r="K382" s="221">
        <v>7</v>
      </c>
      <c r="L382" s="113" t="s">
        <v>1113</v>
      </c>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t="s">
        <v>1113</v>
      </c>
      <c r="AJ382" s="570"/>
      <c r="AK382" s="570"/>
      <c r="AL382" s="570"/>
      <c r="AM382" s="327" t="s">
        <v>5075</v>
      </c>
      <c r="AN382" s="241" t="str">
        <f>VLOOKUP(Table9[[#This Row],[Measure]],Table1025[[Value name]:[Value identifyer]],2,FALSE)</f>
        <v>R_Infrares</v>
      </c>
      <c r="AO382" s="233" t="str">
        <f>VLOOKUP(Table9[[#This Row],[Country Code]],Table29[],3,FALSE)</f>
        <v>Non-Annex I</v>
      </c>
      <c r="AP382" s="233" t="str">
        <f>VLOOKUP(Table9[[#This Row],[Country Code]],Table29[],4,FALSE)</f>
        <v>Asia</v>
      </c>
      <c r="AQ382" s="233" t="str">
        <f>VLOOKUP(Table9[[#This Row],[Country Code]],Table29[],5,FALSE)</f>
        <v>Middle-income</v>
      </c>
      <c r="AR382" s="233" t="str">
        <f>VLOOKUP(Table9[[#This Row],[Country Code]],Table29[],6,FALSE)</f>
        <v>no</v>
      </c>
      <c r="AS382" s="233" t="str">
        <f>VLOOKUP(Table9[[#This Row],[Country Code]],Table29[],7,FALSE)</f>
        <v>no</v>
      </c>
      <c r="AT382" s="233" t="str">
        <f>VLOOKUP(Table9[[#This Row],[Country Code]],Table29[],8,FALSE)</f>
        <v>non-OECD</v>
      </c>
      <c r="AU382" s="233" t="str">
        <f>VLOOKUP(Table9[[#This Row],[Country Code]],Table29[],9,FALSE)</f>
        <v>no</v>
      </c>
      <c r="AV382" s="233" t="str">
        <f>VLOOKUP(Table9[[#This Row],[Country Code]],Table29[],10,FALSE)</f>
        <v>no</v>
      </c>
      <c r="AW382" s="233">
        <f>VLOOKUP(Table9[[#This Row],[Country Code]],Table29[],23,FALSE)</f>
        <v>3.0879519663505</v>
      </c>
      <c r="AX382" s="233">
        <f>VLOOKUP(Table9[[#This Row],[Country Code]],Table29[],24,FALSE)</f>
        <v>1.4972669707005819</v>
      </c>
      <c r="AY382" s="43"/>
    </row>
    <row r="383" spans="1:51" ht="15" customHeight="1" x14ac:dyDescent="0.25">
      <c r="A383" s="360">
        <v>44170</v>
      </c>
      <c r="B383" s="252" t="str">
        <f>VLOOKUP(Table9[[#This Row],[Document ID]],Table1[],2,FALSE)</f>
        <v>MDV</v>
      </c>
      <c r="C383" s="233" t="str">
        <f>VLOOKUP(Table9[[#This Row],[Document ID]],Table1[],3,FALSE)</f>
        <v>Maldives</v>
      </c>
      <c r="D383" s="328" t="str">
        <f>VLOOKUP(Table9[[#This Row],[Document ID]],Table1[],5,FALSE)</f>
        <v>NDC</v>
      </c>
      <c r="E383" s="233" t="str">
        <f>VLOOKUP(Table9[[#This Row],[Document ID]],Table1[],7,FALSE)</f>
        <v>Third NDC</v>
      </c>
      <c r="F383" s="233" t="str">
        <f>VLOOKUP(Table9[[#This Row],[Document ID]],Table1[],8,FALSE)</f>
        <v>NDC 3.0</v>
      </c>
      <c r="G383" s="233" t="str">
        <f>VLOOKUP(Table9[[#This Row],[Document ID]],Table1[],10,FALSE)</f>
        <v>Active</v>
      </c>
      <c r="H383" s="43" t="s">
        <v>5072</v>
      </c>
      <c r="I383" s="43" t="s">
        <v>5411</v>
      </c>
      <c r="J383" s="44" t="s">
        <v>5454</v>
      </c>
      <c r="K383" s="221">
        <v>27</v>
      </c>
      <c r="L383" s="113"/>
      <c r="M383" s="113"/>
      <c r="N383" s="113"/>
      <c r="O383" s="113"/>
      <c r="P383" s="113"/>
      <c r="Q383" s="113"/>
      <c r="R383" s="113"/>
      <c r="S383" s="113"/>
      <c r="T383" s="113"/>
      <c r="U383" s="113"/>
      <c r="V383" s="113"/>
      <c r="W383" s="113"/>
      <c r="X383" s="113"/>
      <c r="Y383" s="113"/>
      <c r="Z383" s="113"/>
      <c r="AA383" s="113" t="s">
        <v>1113</v>
      </c>
      <c r="AB383" s="113"/>
      <c r="AC383" s="113"/>
      <c r="AD383" s="113"/>
      <c r="AE383" s="113"/>
      <c r="AF383" s="113" t="s">
        <v>1113</v>
      </c>
      <c r="AG383" s="113"/>
      <c r="AH383" s="113"/>
      <c r="AI383" s="113" t="s">
        <v>1113</v>
      </c>
      <c r="AJ383" s="570"/>
      <c r="AK383" s="570"/>
      <c r="AL383" s="570"/>
      <c r="AM383" s="327" t="s">
        <v>5075</v>
      </c>
      <c r="AN383" s="241" t="str">
        <f>VLOOKUP(Table9[[#This Row],[Measure]],Table1025[[Value name]:[Value identifyer]],2,FALSE)</f>
        <v>R_Infrares</v>
      </c>
      <c r="AO383" s="233" t="str">
        <f>VLOOKUP(Table9[[#This Row],[Country Code]],Table29[],3,FALSE)</f>
        <v>Non-Annex I</v>
      </c>
      <c r="AP383" s="233" t="str">
        <f>VLOOKUP(Table9[[#This Row],[Country Code]],Table29[],4,FALSE)</f>
        <v>Asia</v>
      </c>
      <c r="AQ383" s="233" t="str">
        <f>VLOOKUP(Table9[[#This Row],[Country Code]],Table29[],5,FALSE)</f>
        <v>Middle-income</v>
      </c>
      <c r="AR383" s="233" t="str">
        <f>VLOOKUP(Table9[[#This Row],[Country Code]],Table29[],6,FALSE)</f>
        <v>no</v>
      </c>
      <c r="AS383" s="233" t="str">
        <f>VLOOKUP(Table9[[#This Row],[Country Code]],Table29[],7,FALSE)</f>
        <v>no</v>
      </c>
      <c r="AT383" s="233" t="str">
        <f>VLOOKUP(Table9[[#This Row],[Country Code]],Table29[],8,FALSE)</f>
        <v>non-OECD</v>
      </c>
      <c r="AU383" s="233" t="str">
        <f>VLOOKUP(Table9[[#This Row],[Country Code]],Table29[],9,FALSE)</f>
        <v>no</v>
      </c>
      <c r="AV383" s="233" t="str">
        <f>VLOOKUP(Table9[[#This Row],[Country Code]],Table29[],10,FALSE)</f>
        <v>no</v>
      </c>
      <c r="AW383" s="233">
        <f>VLOOKUP(Table9[[#This Row],[Country Code]],Table29[],23,FALSE)</f>
        <v>3.0879519663505</v>
      </c>
      <c r="AX383" s="233">
        <f>VLOOKUP(Table9[[#This Row],[Country Code]],Table29[],24,FALSE)</f>
        <v>1.4972669707005819</v>
      </c>
      <c r="AY383" s="43"/>
    </row>
    <row r="384" spans="1:51" ht="15" customHeight="1" x14ac:dyDescent="0.25">
      <c r="A384" s="608">
        <v>59187</v>
      </c>
      <c r="B384" s="252" t="str">
        <f>VLOOKUP(Table9[[#This Row],[Document ID]],Table1[],2,FALSE)</f>
        <v>ZMB</v>
      </c>
      <c r="C384" s="609" t="str">
        <f>VLOOKUP(Table9[[#This Row],[Document ID]],Table1[],3,FALSE)</f>
        <v>Zambia</v>
      </c>
      <c r="D384" s="619" t="str">
        <f>VLOOKUP(Table9[[#This Row],[Document ID]],Table1[],5,FALSE)</f>
        <v>NDC</v>
      </c>
      <c r="E384" s="610" t="str">
        <f>VLOOKUP(Table9[[#This Row],[Document ID]],Table1[],7,FALSE)</f>
        <v>Third NDC</v>
      </c>
      <c r="F384" s="620" t="str">
        <f>VLOOKUP(Table9[[#This Row],[Document ID]],Table1[],8,FALSE)</f>
        <v>NDC 3.0</v>
      </c>
      <c r="G384" s="620" t="str">
        <f>VLOOKUP(Table9[[#This Row],[Document ID]],Table1[],10,FALSE)</f>
        <v>Active</v>
      </c>
      <c r="H384" s="611" t="s">
        <v>5072</v>
      </c>
      <c r="I384" s="43" t="s">
        <v>5411</v>
      </c>
      <c r="J384" s="613" t="s">
        <v>6450</v>
      </c>
      <c r="K384" s="621">
        <v>29</v>
      </c>
      <c r="L384" s="622" t="s">
        <v>1113</v>
      </c>
      <c r="M384" s="113"/>
      <c r="N384" s="622"/>
      <c r="O384" s="622"/>
      <c r="P384" s="622"/>
      <c r="Q384" s="622"/>
      <c r="R384" s="622"/>
      <c r="S384" s="622"/>
      <c r="T384" s="622"/>
      <c r="U384" s="622"/>
      <c r="V384" s="622"/>
      <c r="W384" s="622"/>
      <c r="X384" s="622"/>
      <c r="Y384" s="622"/>
      <c r="Z384" s="622"/>
      <c r="AA384" s="622"/>
      <c r="AB384" s="622"/>
      <c r="AC384" s="622"/>
      <c r="AD384" s="622"/>
      <c r="AE384" s="622"/>
      <c r="AF384" s="622"/>
      <c r="AG384" s="113"/>
      <c r="AH384" s="113"/>
      <c r="AI384" s="622" t="s">
        <v>1113</v>
      </c>
      <c r="AJ384" s="570"/>
      <c r="AK384" s="570"/>
      <c r="AL384" s="570"/>
      <c r="AM384" s="327" t="s">
        <v>5075</v>
      </c>
      <c r="AN384" s="241" t="str">
        <f>VLOOKUP(Table9[[#This Row],[Measure]],Table1025[[Value name]:[Value identifyer]],2,FALSE)</f>
        <v>R_Infrares</v>
      </c>
      <c r="AO384" s="610" t="str">
        <f>VLOOKUP(Table9[[#This Row],[Country Code]],Table29[],3,FALSE)</f>
        <v>Non-Annex I</v>
      </c>
      <c r="AP384" s="610" t="str">
        <f>VLOOKUP(Table9[[#This Row],[Country Code]],Table29[],4,FALSE)</f>
        <v>Africa</v>
      </c>
      <c r="AQ384" s="610" t="str">
        <f>VLOOKUP(Table9[[#This Row],[Country Code]],Table29[],5,FALSE)</f>
        <v>Middle-income</v>
      </c>
      <c r="AR384" s="610" t="str">
        <f>VLOOKUP(Table9[[#This Row],[Country Code]],Table29[],6,FALSE)</f>
        <v>no</v>
      </c>
      <c r="AS384" s="610" t="str">
        <f>VLOOKUP(Table9[[#This Row],[Country Code]],Table29[],7,FALSE)</f>
        <v>no</v>
      </c>
      <c r="AT384" s="610" t="str">
        <f>VLOOKUP(Table9[[#This Row],[Country Code]],Table29[],8,FALSE)</f>
        <v>non-OECD</v>
      </c>
      <c r="AU384" s="610" t="str">
        <f>VLOOKUP(Table9[[#This Row],[Country Code]],Table29[],9,FALSE)</f>
        <v>no</v>
      </c>
      <c r="AV384" s="610" t="str">
        <f>VLOOKUP(Table9[[#This Row],[Country Code]],Table29[],10,FALSE)</f>
        <v>no</v>
      </c>
      <c r="AW384" s="233">
        <f>VLOOKUP(Table9[[#This Row],[Country Code]],Table29[],23,FALSE)</f>
        <v>30.484449374284001</v>
      </c>
      <c r="AX384" s="610">
        <f>VLOOKUP(Table9[[#This Row],[Country Code]],Table29[],24,FALSE)</f>
        <v>2.3997242322457328</v>
      </c>
      <c r="AY384" s="618"/>
    </row>
  </sheetData>
  <mergeCells count="2">
    <mergeCell ref="AI7:AL7"/>
    <mergeCell ref="L7:AH7"/>
  </mergeCells>
  <phoneticPr fontId="14" type="noConversion"/>
  <dataValidations count="1">
    <dataValidation type="list" allowBlank="1" showInputMessage="1" showErrorMessage="1" sqref="I9:I384" xr:uid="{8CEB20CA-4CF2-4591-A639-A0CC4309FDC5}">
      <formula1>INDIRECT(SUBSTITUTE(H9," ","_"))</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31F977D-F55C-4A9C-9B5F-69C5839F49AA}">
          <x14:formula1>
            <xm:f>'Drop down'!$C$53:$C$56</xm:f>
          </x14:formula1>
          <xm:sqref>H9:H384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FA260-6AAA-4A82-8E9A-DC7649759898}">
  <sheetPr codeName="Sheet13">
    <tabColor theme="9" tint="0.39997558519241921"/>
  </sheetPr>
  <dimension ref="A2:Y153"/>
  <sheetViews>
    <sheetView topLeftCell="A147" zoomScale="80" zoomScaleNormal="80" workbookViewId="0">
      <selection activeCell="H153" sqref="H153"/>
    </sheetView>
  </sheetViews>
  <sheetFormatPr baseColWidth="10" defaultColWidth="8.5703125" defaultRowHeight="15" x14ac:dyDescent="0.25"/>
  <cols>
    <col min="1" max="1" width="11" customWidth="1"/>
    <col min="2" max="2" width="8.85546875" bestFit="1" customWidth="1"/>
    <col min="3" max="4" width="27" customWidth="1"/>
    <col min="5" max="7" width="17.5703125" customWidth="1"/>
    <col min="8" max="8" width="42.85546875" bestFit="1" customWidth="1"/>
    <col min="9" max="9" width="93.5703125" customWidth="1"/>
    <col min="10" max="10" width="8.85546875" bestFit="1" customWidth="1"/>
    <col min="11" max="11" width="15.140625" bestFit="1" customWidth="1"/>
    <col min="12" max="12" width="14.5703125" bestFit="1" customWidth="1"/>
    <col min="13" max="19" width="14.5703125" customWidth="1"/>
    <col min="20" max="20" width="15.5703125" bestFit="1" customWidth="1"/>
    <col min="21" max="21" width="15.5703125" customWidth="1"/>
    <col min="22" max="22" width="31.42578125" customWidth="1"/>
  </cols>
  <sheetData>
    <row r="2" spans="1:25" ht="22.5" x14ac:dyDescent="0.3">
      <c r="A2" s="29"/>
      <c r="B2" s="29"/>
      <c r="C2" s="30" t="s">
        <v>5455</v>
      </c>
      <c r="D2" s="30"/>
      <c r="E2" s="29"/>
      <c r="F2" s="29"/>
      <c r="G2" s="29"/>
      <c r="H2" s="29"/>
      <c r="I2" s="29"/>
      <c r="J2" s="29"/>
      <c r="K2" s="29"/>
      <c r="L2" s="29"/>
      <c r="M2" s="29"/>
      <c r="N2" s="29"/>
      <c r="O2" s="29"/>
      <c r="P2" s="29"/>
      <c r="Q2" s="29"/>
      <c r="R2" s="29"/>
      <c r="S2" s="29"/>
      <c r="T2" s="29"/>
      <c r="U2" s="29"/>
      <c r="V2" s="29"/>
    </row>
    <row r="3" spans="1:25" x14ac:dyDescent="0.25">
      <c r="A3" s="29"/>
      <c r="B3" s="29"/>
      <c r="C3" s="29" t="s">
        <v>5456</v>
      </c>
      <c r="D3" s="29"/>
      <c r="E3" s="29"/>
      <c r="F3" s="29"/>
      <c r="G3" s="29"/>
      <c r="H3" s="29"/>
      <c r="I3" s="29"/>
      <c r="J3" s="29"/>
      <c r="K3" s="29"/>
      <c r="L3" s="29"/>
      <c r="M3" s="29"/>
      <c r="N3" s="29"/>
      <c r="O3" s="29"/>
      <c r="P3" s="29"/>
      <c r="Q3" s="29"/>
      <c r="R3" s="29"/>
      <c r="S3" s="29"/>
      <c r="T3" s="29"/>
      <c r="U3" s="29"/>
      <c r="V3" s="29"/>
    </row>
    <row r="4" spans="1:25" x14ac:dyDescent="0.25">
      <c r="A4" s="29"/>
      <c r="B4" s="29"/>
      <c r="C4" s="160" t="str">
        <f>'Read me'!C8</f>
        <v>Update as of  13 March 2025</v>
      </c>
      <c r="D4" s="300"/>
      <c r="E4" s="29"/>
      <c r="F4" s="29"/>
      <c r="G4" s="29"/>
      <c r="H4" s="29"/>
      <c r="I4" s="29"/>
      <c r="J4" s="29"/>
      <c r="K4" s="29"/>
      <c r="L4" s="29"/>
      <c r="M4" s="29"/>
      <c r="N4" s="29"/>
      <c r="O4" s="29"/>
      <c r="P4" s="29"/>
      <c r="Q4" s="29"/>
      <c r="R4" s="29"/>
      <c r="S4" s="29"/>
      <c r="T4" s="29"/>
      <c r="U4" s="29"/>
      <c r="V4" s="29"/>
    </row>
    <row r="7" spans="1:25" s="39" customFormat="1" ht="11.25" x14ac:dyDescent="0.25">
      <c r="J7" s="40"/>
      <c r="K7" s="40"/>
      <c r="L7" s="40"/>
      <c r="M7" s="40"/>
      <c r="N7" s="40"/>
      <c r="O7" s="40"/>
      <c r="P7" s="40"/>
      <c r="Q7" s="40"/>
      <c r="R7" s="40"/>
      <c r="S7" s="40"/>
      <c r="T7" s="115"/>
      <c r="U7" s="115"/>
      <c r="V7" s="115"/>
    </row>
    <row r="8" spans="1:25" ht="30" x14ac:dyDescent="0.25">
      <c r="A8" s="276" t="s">
        <v>475</v>
      </c>
      <c r="B8" s="280" t="s">
        <v>476</v>
      </c>
      <c r="C8" s="280" t="s">
        <v>22</v>
      </c>
      <c r="D8" s="280" t="s">
        <v>1072</v>
      </c>
      <c r="E8" s="278" t="s">
        <v>479</v>
      </c>
      <c r="F8" s="279" t="s">
        <v>481</v>
      </c>
      <c r="G8" s="279" t="s">
        <v>483</v>
      </c>
      <c r="H8" s="276" t="s">
        <v>5457</v>
      </c>
      <c r="I8" s="281" t="s">
        <v>2298</v>
      </c>
      <c r="J8" s="310" t="s">
        <v>1080</v>
      </c>
      <c r="K8" s="279" t="s">
        <v>1081</v>
      </c>
      <c r="L8" s="280" t="s">
        <v>23</v>
      </c>
      <c r="M8" s="280" t="s">
        <v>24</v>
      </c>
      <c r="N8" s="280" t="s">
        <v>495</v>
      </c>
      <c r="O8" s="280" t="s">
        <v>26</v>
      </c>
      <c r="P8" s="280" t="s">
        <v>27</v>
      </c>
      <c r="Q8" s="280" t="s">
        <v>28</v>
      </c>
      <c r="R8" s="280" t="s">
        <v>29</v>
      </c>
      <c r="S8" s="280" t="s">
        <v>30</v>
      </c>
      <c r="T8" s="280" t="s">
        <v>5458</v>
      </c>
      <c r="U8" s="280" t="s">
        <v>5459</v>
      </c>
      <c r="V8" s="276" t="s">
        <v>1088</v>
      </c>
    </row>
    <row r="9" spans="1:25" ht="30" x14ac:dyDescent="0.25">
      <c r="A9" s="221">
        <v>26771</v>
      </c>
      <c r="B9" s="43" t="str">
        <f>VLOOKUP(Table10[[#This Row],[Document ID]],Table1[],2,FALSE)</f>
        <v>AND</v>
      </c>
      <c r="C9" s="43" t="str">
        <f>VLOOKUP(Table10[[#This Row],[Document ID]],Table1[],3,FALSE)</f>
        <v>Andorra</v>
      </c>
      <c r="D9" s="43" t="str">
        <f>VLOOKUP(Table10[[#This Row],[Document ID]],Table1[],5,FALSE)</f>
        <v>LTS</v>
      </c>
      <c r="E9" s="43" t="str">
        <f>VLOOKUP(Table10[[#This Row],[Document ID]],Table1[],7,FALSE)</f>
        <v>LTS</v>
      </c>
      <c r="F9" s="43" t="str">
        <f>VLOOKUP(Table10[[#This Row],[Document ID]],Table1[],8,FALSE)</f>
        <v>LTS 1.0</v>
      </c>
      <c r="G9" s="43" t="str">
        <f>VLOOKUP(Table10[[#This Row],[Document ID]],Table1[],10,FALSE)</f>
        <v>Active</v>
      </c>
      <c r="H9" s="42" t="s">
        <v>5460</v>
      </c>
      <c r="I9" s="44" t="s">
        <v>5461</v>
      </c>
      <c r="J9" s="221">
        <v>18</v>
      </c>
      <c r="K9" s="42" t="s">
        <v>5462</v>
      </c>
      <c r="L9" s="241" t="str">
        <f>VLOOKUP(Table10[[#This Row],[Country Code]],Table29[],3,FALSE)</f>
        <v>Non-Annex I</v>
      </c>
      <c r="M9" s="241" t="str">
        <f>VLOOKUP(Table10[[#This Row],[Country Code]],Table29[],4,FALSE)</f>
        <v>Europe</v>
      </c>
      <c r="N9" s="241" t="str">
        <f>VLOOKUP(Table10[[#This Row],[Country Code]],Table29[],5,FALSE)</f>
        <v>High-income</v>
      </c>
      <c r="O9" s="241" t="str">
        <f>VLOOKUP(Table10[[#This Row],[Country Code]],Table29[],6,FALSE)</f>
        <v>no</v>
      </c>
      <c r="P9" s="241" t="str">
        <f>VLOOKUP(Table10[[#This Row],[Country Code]],Table29[],7,FALSE)</f>
        <v>no</v>
      </c>
      <c r="Q9" s="241" t="str">
        <f>VLOOKUP(Table10[[#This Row],[Country Code]],Table29[],8,FALSE)</f>
        <v>non-OECD</v>
      </c>
      <c r="R9" s="233" t="str">
        <f>VLOOKUP(Table10[[#This Row],[Country Code]],Table29[],9,FALSE)</f>
        <v>no</v>
      </c>
      <c r="S9" s="233" t="str">
        <f>VLOOKUP(Table10[[#This Row],[Country Code]],Table29[],10,FALSE)</f>
        <v>no</v>
      </c>
      <c r="T9" s="233">
        <f>VLOOKUP(Table10[[#This Row],[Country Code]],Table29[],23,FALSE)</f>
        <v>0</v>
      </c>
      <c r="U9" s="233">
        <f>VLOOKUP(Table10[[#This Row],[Country Code]],Table29[],24,FALSE)</f>
        <v>0</v>
      </c>
      <c r="V9" s="43"/>
      <c r="X9" s="229"/>
      <c r="Y9" s="48"/>
    </row>
    <row r="10" spans="1:25" ht="30" x14ac:dyDescent="0.25">
      <c r="A10" s="221">
        <v>32529</v>
      </c>
      <c r="B10" s="43" t="str">
        <f>VLOOKUP(Table10[[#This Row],[Document ID]],Table1[],2,FALSE)</f>
        <v>ARG</v>
      </c>
      <c r="C10" s="43" t="str">
        <f>VLOOKUP(Table10[[#This Row],[Document ID]],Table1[],3,FALSE)</f>
        <v>Argentina</v>
      </c>
      <c r="D10" s="43" t="str">
        <f>VLOOKUP(Table10[[#This Row],[Document ID]],Table1[],5,FALSE)</f>
        <v>NDC</v>
      </c>
      <c r="E10" s="43" t="str">
        <f>VLOOKUP(Table10[[#This Row],[Document ID]],Table1[],7,FALSE)</f>
        <v>Second NDC updated</v>
      </c>
      <c r="F10" s="43" t="str">
        <f>VLOOKUP(Table10[[#This Row],[Document ID]],Table1[],8,FALSE)</f>
        <v>NDC 2.1</v>
      </c>
      <c r="G10" s="43" t="str">
        <f>VLOOKUP(Table10[[#This Row],[Document ID]],Table1[],10,FALSE)</f>
        <v>Active</v>
      </c>
      <c r="H10" s="42" t="s">
        <v>5463</v>
      </c>
      <c r="I10" s="44" t="s">
        <v>5464</v>
      </c>
      <c r="J10" s="221">
        <v>59</v>
      </c>
      <c r="K10" s="43" t="s">
        <v>5465</v>
      </c>
      <c r="L10" s="241" t="str">
        <f>VLOOKUP(Table10[[#This Row],[Country Code]],Table29[],3,FALSE)</f>
        <v>Non-Annex I</v>
      </c>
      <c r="M10" s="241" t="str">
        <f>VLOOKUP(Table10[[#This Row],[Country Code]],Table29[],4,FALSE)</f>
        <v>Latin America and the Caribbean</v>
      </c>
      <c r="N10" s="241" t="str">
        <f>VLOOKUP(Table10[[#This Row],[Country Code]],Table29[],5,FALSE)</f>
        <v>Middle-income</v>
      </c>
      <c r="O10" s="241" t="str">
        <f>VLOOKUP(Table10[[#This Row],[Country Code]],Table29[],6,FALSE)</f>
        <v>G20</v>
      </c>
      <c r="P10" s="241" t="str">
        <f>VLOOKUP(Table10[[#This Row],[Country Code]],Table29[],7,FALSE)</f>
        <v>no</v>
      </c>
      <c r="Q10" s="241" t="str">
        <f>VLOOKUP(Table10[[#This Row],[Country Code]],Table29[],8,FALSE)</f>
        <v>non-OECD</v>
      </c>
      <c r="R10" s="233" t="str">
        <f>VLOOKUP(Table10[[#This Row],[Country Code]],Table29[],9,FALSE)</f>
        <v>no</v>
      </c>
      <c r="S10" s="233" t="str">
        <f>VLOOKUP(Table10[[#This Row],[Country Code]],Table29[],10,FALSE)</f>
        <v>no</v>
      </c>
      <c r="T10" s="233">
        <f>VLOOKUP(Table10[[#This Row],[Country Code]],Table29[],23,FALSE)</f>
        <v>365.68461861929001</v>
      </c>
      <c r="U10" s="233">
        <f>VLOOKUP(Table10[[#This Row],[Country Code]],Table29[],24,FALSE)</f>
        <v>48.339727076899749</v>
      </c>
      <c r="V10" s="43"/>
      <c r="X10" s="27"/>
      <c r="Y10" s="48"/>
    </row>
    <row r="11" spans="1:25" ht="60" x14ac:dyDescent="0.25">
      <c r="A11" s="221">
        <v>32529</v>
      </c>
      <c r="B11" s="43" t="str">
        <f>VLOOKUP(Table10[[#This Row],[Document ID]],Table1[],2,FALSE)</f>
        <v>ARG</v>
      </c>
      <c r="C11" s="43" t="str">
        <f>VLOOKUP(Table10[[#This Row],[Document ID]],Table1[],3,FALSE)</f>
        <v>Argentina</v>
      </c>
      <c r="D11" s="43" t="str">
        <f>VLOOKUP(Table10[[#This Row],[Document ID]],Table1[],5,FALSE)</f>
        <v>NDC</v>
      </c>
      <c r="E11" s="43" t="str">
        <f>VLOOKUP(Table10[[#This Row],[Document ID]],Table1[],7,FALSE)</f>
        <v>Second NDC updated</v>
      </c>
      <c r="F11" s="43" t="str">
        <f>VLOOKUP(Table10[[#This Row],[Document ID]],Table1[],8,FALSE)</f>
        <v>NDC 2.1</v>
      </c>
      <c r="G11" s="43" t="str">
        <f>VLOOKUP(Table10[[#This Row],[Document ID]],Table1[],10,FALSE)</f>
        <v>Active</v>
      </c>
      <c r="H11" s="42" t="s">
        <v>5466</v>
      </c>
      <c r="I11" s="44" t="s">
        <v>5467</v>
      </c>
      <c r="J11" s="221">
        <v>59</v>
      </c>
      <c r="K11" s="43" t="s">
        <v>5468</v>
      </c>
      <c r="L11" s="241" t="str">
        <f>VLOOKUP(Table10[[#This Row],[Country Code]],Table29[],3,FALSE)</f>
        <v>Non-Annex I</v>
      </c>
      <c r="M11" s="241" t="str">
        <f>VLOOKUP(Table10[[#This Row],[Country Code]],Table29[],4,FALSE)</f>
        <v>Latin America and the Caribbean</v>
      </c>
      <c r="N11" s="241" t="str">
        <f>VLOOKUP(Table10[[#This Row],[Country Code]],Table29[],5,FALSE)</f>
        <v>Middle-income</v>
      </c>
      <c r="O11" s="241" t="str">
        <f>VLOOKUP(Table10[[#This Row],[Country Code]],Table29[],6,FALSE)</f>
        <v>G20</v>
      </c>
      <c r="P11" s="241" t="str">
        <f>VLOOKUP(Table10[[#This Row],[Country Code]],Table29[],7,FALSE)</f>
        <v>no</v>
      </c>
      <c r="Q11" s="241" t="str">
        <f>VLOOKUP(Table10[[#This Row],[Country Code]],Table29[],8,FALSE)</f>
        <v>non-OECD</v>
      </c>
      <c r="R11" s="233" t="str">
        <f>VLOOKUP(Table10[[#This Row],[Country Code]],Table29[],9,FALSE)</f>
        <v>no</v>
      </c>
      <c r="S11" s="233" t="str">
        <f>VLOOKUP(Table10[[#This Row],[Country Code]],Table29[],10,FALSE)</f>
        <v>no</v>
      </c>
      <c r="T11" s="233">
        <f>VLOOKUP(Table10[[#This Row],[Country Code]],Table29[],23,FALSE)</f>
        <v>365.68461861929001</v>
      </c>
      <c r="U11" s="233">
        <f>VLOOKUP(Table10[[#This Row],[Country Code]],Table29[],24,FALSE)</f>
        <v>48.339727076899749</v>
      </c>
      <c r="V11" s="43"/>
      <c r="X11" s="8"/>
      <c r="Y11" s="48"/>
    </row>
    <row r="12" spans="1:25" x14ac:dyDescent="0.25">
      <c r="A12" s="221">
        <v>32529</v>
      </c>
      <c r="B12" s="43" t="str">
        <f>VLOOKUP(Table10[[#This Row],[Document ID]],Table1[],2,FALSE)</f>
        <v>ARG</v>
      </c>
      <c r="C12" s="43" t="str">
        <f>VLOOKUP(Table10[[#This Row],[Document ID]],Table1[],3,FALSE)</f>
        <v>Argentina</v>
      </c>
      <c r="D12" s="43" t="str">
        <f>VLOOKUP(Table10[[#This Row],[Document ID]],Table1[],5,FALSE)</f>
        <v>NDC</v>
      </c>
      <c r="E12" s="43" t="str">
        <f>VLOOKUP(Table10[[#This Row],[Document ID]],Table1[],7,FALSE)</f>
        <v>Second NDC updated</v>
      </c>
      <c r="F12" s="43" t="str">
        <f>VLOOKUP(Table10[[#This Row],[Document ID]],Table1[],8,FALSE)</f>
        <v>NDC 2.1</v>
      </c>
      <c r="G12" s="43" t="str">
        <f>VLOOKUP(Table10[[#This Row],[Document ID]],Table1[],10,FALSE)</f>
        <v>Active</v>
      </c>
      <c r="H12" s="42" t="s">
        <v>5469</v>
      </c>
      <c r="I12" s="43" t="s">
        <v>5470</v>
      </c>
      <c r="J12" s="221">
        <v>59</v>
      </c>
      <c r="K12" s="43" t="s">
        <v>5471</v>
      </c>
      <c r="L12" s="241" t="str">
        <f>VLOOKUP(Table10[[#This Row],[Country Code]],Table29[],3,FALSE)</f>
        <v>Non-Annex I</v>
      </c>
      <c r="M12" s="241" t="str">
        <f>VLOOKUP(Table10[[#This Row],[Country Code]],Table29[],4,FALSE)</f>
        <v>Latin America and the Caribbean</v>
      </c>
      <c r="N12" s="241" t="str">
        <f>VLOOKUP(Table10[[#This Row],[Country Code]],Table29[],5,FALSE)</f>
        <v>Middle-income</v>
      </c>
      <c r="O12" s="241" t="str">
        <f>VLOOKUP(Table10[[#This Row],[Country Code]],Table29[],6,FALSE)</f>
        <v>G20</v>
      </c>
      <c r="P12" s="241" t="str">
        <f>VLOOKUP(Table10[[#This Row],[Country Code]],Table29[],7,FALSE)</f>
        <v>no</v>
      </c>
      <c r="Q12" s="241" t="str">
        <f>VLOOKUP(Table10[[#This Row],[Country Code]],Table29[],8,FALSE)</f>
        <v>non-OECD</v>
      </c>
      <c r="R12" s="233" t="str">
        <f>VLOOKUP(Table10[[#This Row],[Country Code]],Table29[],9,FALSE)</f>
        <v>no</v>
      </c>
      <c r="S12" s="233" t="str">
        <f>VLOOKUP(Table10[[#This Row],[Country Code]],Table29[],10,FALSE)</f>
        <v>no</v>
      </c>
      <c r="T12" s="233">
        <f>VLOOKUP(Table10[[#This Row],[Country Code]],Table29[],23,FALSE)</f>
        <v>365.68461861929001</v>
      </c>
      <c r="U12" s="233">
        <f>VLOOKUP(Table10[[#This Row],[Country Code]],Table29[],24,FALSE)</f>
        <v>48.339727076899749</v>
      </c>
      <c r="V12" s="43"/>
    </row>
    <row r="13" spans="1:25" x14ac:dyDescent="0.25">
      <c r="A13" s="221">
        <v>32410</v>
      </c>
      <c r="B13" s="43" t="str">
        <f>VLOOKUP(Table10[[#This Row],[Document ID]],Table1[],2,FALSE)</f>
        <v>ARG</v>
      </c>
      <c r="C13" s="43" t="str">
        <f>VLOOKUP(Table10[[#This Row],[Document ID]],Table1[],3,FALSE)</f>
        <v>Argentina</v>
      </c>
      <c r="D13" s="43" t="str">
        <f>VLOOKUP(Table10[[#This Row],[Document ID]],Table1[],5,FALSE)</f>
        <v>LTS</v>
      </c>
      <c r="E13" s="43" t="str">
        <f>VLOOKUP(Table10[[#This Row],[Document ID]],Table1[],7,FALSE)</f>
        <v>LTS</v>
      </c>
      <c r="F13" s="43" t="str">
        <f>VLOOKUP(Table10[[#This Row],[Document ID]],Table1[],8,FALSE)</f>
        <v>LTS 1.0</v>
      </c>
      <c r="G13" s="43" t="str">
        <f>VLOOKUP(Table10[[#This Row],[Document ID]],Table1[],10,FALSE)</f>
        <v>Active</v>
      </c>
      <c r="H13" s="42" t="s">
        <v>5472</v>
      </c>
      <c r="I13" s="44" t="s">
        <v>5473</v>
      </c>
      <c r="J13" s="221"/>
      <c r="K13" s="43" t="s">
        <v>5474</v>
      </c>
      <c r="L13" s="241" t="str">
        <f>VLOOKUP(Table10[[#This Row],[Country Code]],Table29[],3,FALSE)</f>
        <v>Non-Annex I</v>
      </c>
      <c r="M13" s="241" t="str">
        <f>VLOOKUP(Table10[[#This Row],[Country Code]],Table29[],4,FALSE)</f>
        <v>Latin America and the Caribbean</v>
      </c>
      <c r="N13" s="241" t="str">
        <f>VLOOKUP(Table10[[#This Row],[Country Code]],Table29[],5,FALSE)</f>
        <v>Middle-income</v>
      </c>
      <c r="O13" s="241" t="str">
        <f>VLOOKUP(Table10[[#This Row],[Country Code]],Table29[],6,FALSE)</f>
        <v>G20</v>
      </c>
      <c r="P13" s="241" t="str">
        <f>VLOOKUP(Table10[[#This Row],[Country Code]],Table29[],7,FALSE)</f>
        <v>no</v>
      </c>
      <c r="Q13" s="241" t="str">
        <f>VLOOKUP(Table10[[#This Row],[Country Code]],Table29[],8,FALSE)</f>
        <v>non-OECD</v>
      </c>
      <c r="R13" s="233" t="str">
        <f>VLOOKUP(Table10[[#This Row],[Country Code]],Table29[],9,FALSE)</f>
        <v>no</v>
      </c>
      <c r="S13" s="233" t="str">
        <f>VLOOKUP(Table10[[#This Row],[Country Code]],Table29[],10,FALSE)</f>
        <v>no</v>
      </c>
      <c r="T13" s="233">
        <f>VLOOKUP(Table10[[#This Row],[Country Code]],Table29[],23,FALSE)</f>
        <v>365.68461861929001</v>
      </c>
      <c r="U13" s="233">
        <f>VLOOKUP(Table10[[#This Row],[Country Code]],Table29[],24,FALSE)</f>
        <v>48.339727076899749</v>
      </c>
      <c r="V13" s="43"/>
    </row>
    <row r="14" spans="1:25" ht="60" x14ac:dyDescent="0.25">
      <c r="A14" s="221">
        <v>24678</v>
      </c>
      <c r="B14" s="43" t="str">
        <f>VLOOKUP(Table10[[#This Row],[Document ID]],Table1[],2,FALSE)</f>
        <v>AUT</v>
      </c>
      <c r="C14" s="43" t="str">
        <f>VLOOKUP(Table10[[#This Row],[Document ID]],Table1[],3,FALSE)</f>
        <v>Austria</v>
      </c>
      <c r="D14" s="43" t="str">
        <f>VLOOKUP(Table10[[#This Row],[Document ID]],Table1[],5,FALSE)</f>
        <v>LTS</v>
      </c>
      <c r="E14" s="43" t="str">
        <f>VLOOKUP(Table10[[#This Row],[Document ID]],Table1[],7,FALSE)</f>
        <v>LTS</v>
      </c>
      <c r="F14" s="43" t="str">
        <f>VLOOKUP(Table10[[#This Row],[Document ID]],Table1[],8,FALSE)</f>
        <v>LTS 1.0</v>
      </c>
      <c r="G14" s="43" t="str">
        <f>VLOOKUP(Table10[[#This Row],[Document ID]],Table1[],10,FALSE)</f>
        <v>Active</v>
      </c>
      <c r="H14" s="42" t="s">
        <v>5475</v>
      </c>
      <c r="I14" s="44" t="s">
        <v>5476</v>
      </c>
      <c r="J14" s="221">
        <v>48</v>
      </c>
      <c r="K14" s="43" t="s">
        <v>5477</v>
      </c>
      <c r="L14" s="241" t="str">
        <f>VLOOKUP(Table10[[#This Row],[Country Code]],Table29[],3,FALSE)</f>
        <v>Annex I</v>
      </c>
      <c r="M14" s="241" t="str">
        <f>VLOOKUP(Table10[[#This Row],[Country Code]],Table29[],4,FALSE)</f>
        <v>Europe</v>
      </c>
      <c r="N14" s="241" t="str">
        <f>VLOOKUP(Table10[[#This Row],[Country Code]],Table29[],5,FALSE)</f>
        <v>High-income</v>
      </c>
      <c r="O14" s="241" t="str">
        <f>VLOOKUP(Table10[[#This Row],[Country Code]],Table29[],6,FALSE)</f>
        <v>no</v>
      </c>
      <c r="P14" s="241" t="str">
        <f>VLOOKUP(Table10[[#This Row],[Country Code]],Table29[],7,FALSE)</f>
        <v>no</v>
      </c>
      <c r="Q14" s="241" t="str">
        <f>VLOOKUP(Table10[[#This Row],[Country Code]],Table29[],8,FALSE)</f>
        <v>OECD</v>
      </c>
      <c r="R14" s="233" t="str">
        <f>VLOOKUP(Table10[[#This Row],[Country Code]],Table29[],9,FALSE)</f>
        <v>EU27</v>
      </c>
      <c r="S14" s="233" t="str">
        <f>VLOOKUP(Table10[[#This Row],[Country Code]],Table29[],10,FALSE)</f>
        <v>no</v>
      </c>
      <c r="T14" s="233">
        <f>VLOOKUP(Table10[[#This Row],[Country Code]],Table29[],23,FALSE)</f>
        <v>72.921492529811999</v>
      </c>
      <c r="U14" s="233">
        <f>VLOOKUP(Table10[[#This Row],[Country Code]],Table29[],24,FALSE)</f>
        <v>21.372731064834241</v>
      </c>
      <c r="V14" s="43"/>
    </row>
    <row r="15" spans="1:25" x14ac:dyDescent="0.25">
      <c r="A15" s="258">
        <v>17521</v>
      </c>
      <c r="B15" s="43" t="str">
        <f>VLOOKUP(Table10[[#This Row],[Document ID]],Table1[],2,FALSE)</f>
        <v>AZE</v>
      </c>
      <c r="C15" s="43" t="str">
        <f>VLOOKUP(Table10[[#This Row],[Document ID]],Table1[],3,FALSE)</f>
        <v>Azerbaijan</v>
      </c>
      <c r="D15" s="176" t="str">
        <f>VLOOKUP(Table10[[#This Row],[Document ID]],Table1[],5,FALSE)</f>
        <v>NDC</v>
      </c>
      <c r="E15" s="43" t="str">
        <f>VLOOKUP(Table10[[#This Row],[Document ID]],Table1[],7,FALSE)</f>
        <v>First NDC</v>
      </c>
      <c r="F15" s="176" t="str">
        <f>VLOOKUP(Table10[[#This Row],[Document ID]],Table1[],8,FALSE)</f>
        <v>NDC 1.0</v>
      </c>
      <c r="G15" s="176" t="str">
        <f>VLOOKUP(Table10[[#This Row],[Document ID]],Table1[],10,FALSE)</f>
        <v>Archived</v>
      </c>
      <c r="H15" s="42" t="s">
        <v>5478</v>
      </c>
      <c r="I15" s="176" t="s">
        <v>5479</v>
      </c>
      <c r="J15" s="258">
        <v>3</v>
      </c>
      <c r="K15" s="176" t="s">
        <v>5480</v>
      </c>
      <c r="L15" s="241" t="str">
        <f>VLOOKUP(Table10[[#This Row],[Country Code]],Table29[],3,FALSE)</f>
        <v>Non-Annex I</v>
      </c>
      <c r="M15" s="241" t="str">
        <f>VLOOKUP(Table10[[#This Row],[Country Code]],Table29[],4,FALSE)</f>
        <v>Asia</v>
      </c>
      <c r="N15" s="241" t="str">
        <f>VLOOKUP(Table10[[#This Row],[Country Code]],Table29[],5,FALSE)</f>
        <v>Middle-income</v>
      </c>
      <c r="O15" s="241" t="str">
        <f>VLOOKUP(Table10[[#This Row],[Country Code]],Table29[],6,FALSE)</f>
        <v>no</v>
      </c>
      <c r="P15" s="241" t="str">
        <f>VLOOKUP(Table10[[#This Row],[Country Code]],Table29[],7,FALSE)</f>
        <v>no</v>
      </c>
      <c r="Q15" s="241" t="str">
        <f>VLOOKUP(Table10[[#This Row],[Country Code]],Table29[],8,FALSE)</f>
        <v>non-OECD</v>
      </c>
      <c r="R15" s="233" t="str">
        <f>VLOOKUP(Table10[[#This Row],[Country Code]],Table29[],9,FALSE)</f>
        <v>no</v>
      </c>
      <c r="S15" s="233" t="str">
        <f>VLOOKUP(Table10[[#This Row],[Country Code]],Table29[],10,FALSE)</f>
        <v>no</v>
      </c>
      <c r="T15" s="233">
        <f>VLOOKUP(Table10[[#This Row],[Country Code]],Table29[],23,FALSE)</f>
        <v>62.550294041306003</v>
      </c>
      <c r="U15" s="233">
        <f>VLOOKUP(Table10[[#This Row],[Country Code]],Table29[],24,FALSE)</f>
        <v>8.4493328883147889</v>
      </c>
      <c r="V15" s="43"/>
    </row>
    <row r="16" spans="1:25" x14ac:dyDescent="0.25">
      <c r="A16" s="258">
        <v>17524</v>
      </c>
      <c r="B16" s="43" t="str">
        <f>VLOOKUP(Table10[[#This Row],[Document ID]],Table1[],2,FALSE)</f>
        <v>BGD</v>
      </c>
      <c r="C16" s="43" t="str">
        <f>VLOOKUP(Table10[[#This Row],[Document ID]],Table1[],3,FALSE)</f>
        <v>Bangladesh</v>
      </c>
      <c r="D16" s="176" t="str">
        <f>VLOOKUP(Table10[[#This Row],[Document ID]],Table1[],5,FALSE)</f>
        <v>NDC</v>
      </c>
      <c r="E16" s="43" t="str">
        <f>VLOOKUP(Table10[[#This Row],[Document ID]],Table1[],7,FALSE)</f>
        <v>First NDC</v>
      </c>
      <c r="F16" s="176" t="str">
        <f>VLOOKUP(Table10[[#This Row],[Document ID]],Table1[],8,FALSE)</f>
        <v>NDC 1.0</v>
      </c>
      <c r="G16" s="176" t="str">
        <f>VLOOKUP(Table10[[#This Row],[Document ID]],Table1[],10,FALSE)</f>
        <v>Archived</v>
      </c>
      <c r="H16" s="42" t="s">
        <v>5460</v>
      </c>
      <c r="I16" s="176" t="s">
        <v>5481</v>
      </c>
      <c r="J16" s="258">
        <v>6</v>
      </c>
      <c r="K16" s="176" t="s">
        <v>5462</v>
      </c>
      <c r="L16" s="241" t="str">
        <f>VLOOKUP(Table10[[#This Row],[Country Code]],Table29[],3,FALSE)</f>
        <v>Non-Annex I</v>
      </c>
      <c r="M16" s="241" t="str">
        <f>VLOOKUP(Table10[[#This Row],[Country Code]],Table29[],4,FALSE)</f>
        <v>Asia</v>
      </c>
      <c r="N16" s="241" t="str">
        <f>VLOOKUP(Table10[[#This Row],[Country Code]],Table29[],5,FALSE)</f>
        <v>Middle-income</v>
      </c>
      <c r="O16" s="241" t="str">
        <f>VLOOKUP(Table10[[#This Row],[Country Code]],Table29[],6,FALSE)</f>
        <v>no</v>
      </c>
      <c r="P16" s="241" t="str">
        <f>VLOOKUP(Table10[[#This Row],[Country Code]],Table29[],7,FALSE)</f>
        <v>no</v>
      </c>
      <c r="Q16" s="241" t="str">
        <f>VLOOKUP(Table10[[#This Row],[Country Code]],Table29[],8,FALSE)</f>
        <v>non-OECD</v>
      </c>
      <c r="R16" s="233" t="str">
        <f>VLOOKUP(Table10[[#This Row],[Country Code]],Table29[],9,FALSE)</f>
        <v>no</v>
      </c>
      <c r="S16" s="233" t="str">
        <f>VLOOKUP(Table10[[#This Row],[Country Code]],Table29[],10,FALSE)</f>
        <v>no</v>
      </c>
      <c r="T16" s="233">
        <f>VLOOKUP(Table10[[#This Row],[Country Code]],Table29[],23,FALSE)</f>
        <v>281.38053496815002</v>
      </c>
      <c r="U16" s="233">
        <f>VLOOKUP(Table10[[#This Row],[Country Code]],Table29[],24,FALSE)</f>
        <v>12.410696897609901</v>
      </c>
      <c r="V16" s="43"/>
    </row>
    <row r="17" spans="1:22" x14ac:dyDescent="0.25">
      <c r="A17" s="258">
        <v>17524</v>
      </c>
      <c r="B17" s="43" t="str">
        <f>VLOOKUP(Table10[[#This Row],[Document ID]],Table1[],2,FALSE)</f>
        <v>BGD</v>
      </c>
      <c r="C17" s="43" t="str">
        <f>VLOOKUP(Table10[[#This Row],[Document ID]],Table1[],3,FALSE)</f>
        <v>Bangladesh</v>
      </c>
      <c r="D17" s="176" t="str">
        <f>VLOOKUP(Table10[[#This Row],[Document ID]],Table1[],5,FALSE)</f>
        <v>NDC</v>
      </c>
      <c r="E17" s="43" t="str">
        <f>VLOOKUP(Table10[[#This Row],[Document ID]],Table1[],7,FALSE)</f>
        <v>First NDC</v>
      </c>
      <c r="F17" s="176" t="str">
        <f>VLOOKUP(Table10[[#This Row],[Document ID]],Table1[],8,FALSE)</f>
        <v>NDC 1.0</v>
      </c>
      <c r="G17" s="176" t="str">
        <f>VLOOKUP(Table10[[#This Row],[Document ID]],Table1[],10,FALSE)</f>
        <v>Archived</v>
      </c>
      <c r="H17" s="42" t="s">
        <v>5478</v>
      </c>
      <c r="I17" s="176" t="s">
        <v>5481</v>
      </c>
      <c r="J17" s="258">
        <v>6</v>
      </c>
      <c r="K17" s="176" t="s">
        <v>5480</v>
      </c>
      <c r="L17" s="241" t="str">
        <f>VLOOKUP(Table10[[#This Row],[Country Code]],Table29[],3,FALSE)</f>
        <v>Non-Annex I</v>
      </c>
      <c r="M17" s="241" t="str">
        <f>VLOOKUP(Table10[[#This Row],[Country Code]],Table29[],4,FALSE)</f>
        <v>Asia</v>
      </c>
      <c r="N17" s="241" t="str">
        <f>VLOOKUP(Table10[[#This Row],[Country Code]],Table29[],5,FALSE)</f>
        <v>Middle-income</v>
      </c>
      <c r="O17" s="241" t="str">
        <f>VLOOKUP(Table10[[#This Row],[Country Code]],Table29[],6,FALSE)</f>
        <v>no</v>
      </c>
      <c r="P17" s="241" t="str">
        <f>VLOOKUP(Table10[[#This Row],[Country Code]],Table29[],7,FALSE)</f>
        <v>no</v>
      </c>
      <c r="Q17" s="241" t="str">
        <f>VLOOKUP(Table10[[#This Row],[Country Code]],Table29[],8,FALSE)</f>
        <v>non-OECD</v>
      </c>
      <c r="R17" s="233" t="str">
        <f>VLOOKUP(Table10[[#This Row],[Country Code]],Table29[],9,FALSE)</f>
        <v>no</v>
      </c>
      <c r="S17" s="233" t="str">
        <f>VLOOKUP(Table10[[#This Row],[Country Code]],Table29[],10,FALSE)</f>
        <v>no</v>
      </c>
      <c r="T17" s="233">
        <f>VLOOKUP(Table10[[#This Row],[Country Code]],Table29[],23,FALSE)</f>
        <v>281.38053496815002</v>
      </c>
      <c r="U17" s="233">
        <f>VLOOKUP(Table10[[#This Row],[Country Code]],Table29[],24,FALSE)</f>
        <v>12.410696897609901</v>
      </c>
      <c r="V17" s="43"/>
    </row>
    <row r="18" spans="1:22" x14ac:dyDescent="0.25">
      <c r="A18" s="258">
        <v>17524</v>
      </c>
      <c r="B18" s="43" t="str">
        <f>VLOOKUP(Table10[[#This Row],[Document ID]],Table1[],2,FALSE)</f>
        <v>BGD</v>
      </c>
      <c r="C18" s="43" t="str">
        <f>VLOOKUP(Table10[[#This Row],[Document ID]],Table1[],3,FALSE)</f>
        <v>Bangladesh</v>
      </c>
      <c r="D18" s="176" t="str">
        <f>VLOOKUP(Table10[[#This Row],[Document ID]],Table1[],5,FALSE)</f>
        <v>NDC</v>
      </c>
      <c r="E18" s="43" t="str">
        <f>VLOOKUP(Table10[[#This Row],[Document ID]],Table1[],7,FALSE)</f>
        <v>First NDC</v>
      </c>
      <c r="F18" s="176" t="str">
        <f>VLOOKUP(Table10[[#This Row],[Document ID]],Table1[],8,FALSE)</f>
        <v>NDC 1.0</v>
      </c>
      <c r="G18" s="176" t="str">
        <f>VLOOKUP(Table10[[#This Row],[Document ID]],Table1[],10,FALSE)</f>
        <v>Archived</v>
      </c>
      <c r="H18" s="42" t="s">
        <v>5466</v>
      </c>
      <c r="I18" s="176" t="s">
        <v>5481</v>
      </c>
      <c r="J18" s="258">
        <v>6</v>
      </c>
      <c r="K18" s="176" t="s">
        <v>5468</v>
      </c>
      <c r="L18" s="241" t="str">
        <f>VLOOKUP(Table10[[#This Row],[Country Code]],Table29[],3,FALSE)</f>
        <v>Non-Annex I</v>
      </c>
      <c r="M18" s="241" t="str">
        <f>VLOOKUP(Table10[[#This Row],[Country Code]],Table29[],4,FALSE)</f>
        <v>Asia</v>
      </c>
      <c r="N18" s="241" t="str">
        <f>VLOOKUP(Table10[[#This Row],[Country Code]],Table29[],5,FALSE)</f>
        <v>Middle-income</v>
      </c>
      <c r="O18" s="241" t="str">
        <f>VLOOKUP(Table10[[#This Row],[Country Code]],Table29[],6,FALSE)</f>
        <v>no</v>
      </c>
      <c r="P18" s="241" t="str">
        <f>VLOOKUP(Table10[[#This Row],[Country Code]],Table29[],7,FALSE)</f>
        <v>no</v>
      </c>
      <c r="Q18" s="241" t="str">
        <f>VLOOKUP(Table10[[#This Row],[Country Code]],Table29[],8,FALSE)</f>
        <v>non-OECD</v>
      </c>
      <c r="R18" s="233" t="str">
        <f>VLOOKUP(Table10[[#This Row],[Country Code]],Table29[],9,FALSE)</f>
        <v>no</v>
      </c>
      <c r="S18" s="233" t="str">
        <f>VLOOKUP(Table10[[#This Row],[Country Code]],Table29[],10,FALSE)</f>
        <v>no</v>
      </c>
      <c r="T18" s="233">
        <f>VLOOKUP(Table10[[#This Row],[Country Code]],Table29[],23,FALSE)</f>
        <v>281.38053496815002</v>
      </c>
      <c r="U18" s="233">
        <f>VLOOKUP(Table10[[#This Row],[Country Code]],Table29[],24,FALSE)</f>
        <v>12.410696897609901</v>
      </c>
      <c r="V18" s="43"/>
    </row>
    <row r="19" spans="1:22" ht="60" x14ac:dyDescent="0.25">
      <c r="A19" s="221">
        <v>21371</v>
      </c>
      <c r="B19" s="43" t="str">
        <f>VLOOKUP(Table10[[#This Row],[Document ID]],Table1[],2,FALSE)</f>
        <v>BRB</v>
      </c>
      <c r="C19" s="43" t="str">
        <f>VLOOKUP(Table10[[#This Row],[Document ID]],Table1[],3,FALSE)</f>
        <v>Barbados</v>
      </c>
      <c r="D19" s="43" t="str">
        <f>VLOOKUP(Table10[[#This Row],[Document ID]],Table1[],5,FALSE)</f>
        <v>NDC</v>
      </c>
      <c r="E19" s="43" t="str">
        <f>VLOOKUP(Table10[[#This Row],[Document ID]],Table1[],7,FALSE)</f>
        <v>First NDC updated</v>
      </c>
      <c r="F19" s="43" t="str">
        <f>VLOOKUP(Table10[[#This Row],[Document ID]],Table1[],8,FALSE)</f>
        <v>NDC 1.1</v>
      </c>
      <c r="G19" s="43" t="str">
        <f>VLOOKUP(Table10[[#This Row],[Document ID]],Table1[],10,FALSE)</f>
        <v>Active</v>
      </c>
      <c r="H19" s="42" t="s">
        <v>5472</v>
      </c>
      <c r="I19" s="209" t="s">
        <v>5482</v>
      </c>
      <c r="J19" s="259"/>
      <c r="K19" s="42" t="s">
        <v>5474</v>
      </c>
      <c r="L19" s="241" t="str">
        <f>VLOOKUP(Table10[[#This Row],[Country Code]],Table29[],3,FALSE)</f>
        <v>Non-Annex I</v>
      </c>
      <c r="M19" s="241" t="str">
        <f>VLOOKUP(Table10[[#This Row],[Country Code]],Table29[],4,FALSE)</f>
        <v>Latin America and the Caribbean</v>
      </c>
      <c r="N19" s="241" t="str">
        <f>VLOOKUP(Table10[[#This Row],[Country Code]],Table29[],5,FALSE)</f>
        <v>High-income</v>
      </c>
      <c r="O19" s="241" t="str">
        <f>VLOOKUP(Table10[[#This Row],[Country Code]],Table29[],6,FALSE)</f>
        <v>no</v>
      </c>
      <c r="P19" s="241" t="str">
        <f>VLOOKUP(Table10[[#This Row],[Country Code]],Table29[],7,FALSE)</f>
        <v>no</v>
      </c>
      <c r="Q19" s="241" t="str">
        <f>VLOOKUP(Table10[[#This Row],[Country Code]],Table29[],8,FALSE)</f>
        <v>non-OECD</v>
      </c>
      <c r="R19" s="233" t="str">
        <f>VLOOKUP(Table10[[#This Row],[Country Code]],Table29[],9,FALSE)</f>
        <v>no</v>
      </c>
      <c r="S19" s="233" t="str">
        <f>VLOOKUP(Table10[[#This Row],[Country Code]],Table29[],10,FALSE)</f>
        <v>no</v>
      </c>
      <c r="T19" s="233">
        <f>VLOOKUP(Table10[[#This Row],[Country Code]],Table29[],23,FALSE)</f>
        <v>0.98904380539195003</v>
      </c>
      <c r="U19" s="233">
        <f>VLOOKUP(Table10[[#This Row],[Country Code]],Table29[],24,FALSE)</f>
        <v>0.25128029300322258</v>
      </c>
      <c r="V19" s="42"/>
    </row>
    <row r="20" spans="1:22" ht="45" x14ac:dyDescent="0.25">
      <c r="A20" s="257">
        <v>17528</v>
      </c>
      <c r="B20" s="43" t="str">
        <f>VLOOKUP(Table10[[#This Row],[Document ID]],Table1[],2,FALSE)</f>
        <v>BEL</v>
      </c>
      <c r="C20" s="43" t="str">
        <f>VLOOKUP(Table10[[#This Row],[Document ID]],Table1[],3,FALSE)</f>
        <v>Belgium</v>
      </c>
      <c r="D20" s="45" t="str">
        <f>VLOOKUP(Table10[[#This Row],[Document ID]],Table1[],5,FALSE)</f>
        <v>LTS</v>
      </c>
      <c r="E20" s="43" t="str">
        <f>VLOOKUP(Table10[[#This Row],[Document ID]],Table1[],7,FALSE)</f>
        <v>EU-LTS</v>
      </c>
      <c r="F20" s="42" t="str">
        <f>VLOOKUP(Table10[[#This Row],[Document ID]],Table1[],8,FALSE)</f>
        <v>LTS 1.0</v>
      </c>
      <c r="G20" s="42" t="str">
        <f>VLOOKUP(Table10[[#This Row],[Document ID]],Table1[],10,FALSE)</f>
        <v>Active</v>
      </c>
      <c r="H20" s="42" t="s">
        <v>5460</v>
      </c>
      <c r="I20" s="44" t="s">
        <v>2729</v>
      </c>
      <c r="J20" s="221">
        <v>7</v>
      </c>
      <c r="K20" s="43" t="s">
        <v>5462</v>
      </c>
      <c r="L20" s="241" t="str">
        <f>VLOOKUP(Table10[[#This Row],[Country Code]],Table29[],3,FALSE)</f>
        <v>Annex I</v>
      </c>
      <c r="M20" s="241" t="str">
        <f>VLOOKUP(Table10[[#This Row],[Country Code]],Table29[],4,FALSE)</f>
        <v>Europe</v>
      </c>
      <c r="N20" s="241" t="str">
        <f>VLOOKUP(Table10[[#This Row],[Country Code]],Table29[],5,FALSE)</f>
        <v>High-income</v>
      </c>
      <c r="O20" s="241" t="str">
        <f>VLOOKUP(Table10[[#This Row],[Country Code]],Table29[],6,FALSE)</f>
        <v>no</v>
      </c>
      <c r="P20" s="241" t="str">
        <f>VLOOKUP(Table10[[#This Row],[Country Code]],Table29[],7,FALSE)</f>
        <v>no</v>
      </c>
      <c r="Q20" s="241" t="str">
        <f>VLOOKUP(Table10[[#This Row],[Country Code]],Table29[],8,FALSE)</f>
        <v>OECD</v>
      </c>
      <c r="R20" s="233" t="str">
        <f>VLOOKUP(Table10[[#This Row],[Country Code]],Table29[],9,FALSE)</f>
        <v>EU27</v>
      </c>
      <c r="S20" s="233" t="str">
        <f>VLOOKUP(Table10[[#This Row],[Country Code]],Table29[],10,FALSE)</f>
        <v>no</v>
      </c>
      <c r="T20" s="233">
        <f>VLOOKUP(Table10[[#This Row],[Country Code]],Table29[],23,FALSE)</f>
        <v>106.37018790875</v>
      </c>
      <c r="U20" s="233">
        <f>VLOOKUP(Table10[[#This Row],[Country Code]],Table29[],24,FALSE)</f>
        <v>22.197662702188101</v>
      </c>
      <c r="V20" s="43"/>
    </row>
    <row r="21" spans="1:22" x14ac:dyDescent="0.25">
      <c r="A21" s="259">
        <v>21711</v>
      </c>
      <c r="B21" s="43" t="str">
        <f>VLOOKUP(Table10[[#This Row],[Document ID]],Table1[],2,FALSE)</f>
        <v>BLZ</v>
      </c>
      <c r="C21" s="43" t="str">
        <f>VLOOKUP(Table10[[#This Row],[Document ID]],Table1[],3,FALSE)</f>
        <v>Belize</v>
      </c>
      <c r="D21" s="42" t="str">
        <f>VLOOKUP(Table10[[#This Row],[Document ID]],Table1[],5,FALSE)</f>
        <v>NDC</v>
      </c>
      <c r="E21" s="43" t="str">
        <f>VLOOKUP(Table10[[#This Row],[Document ID]],Table1[],7,FALSE)</f>
        <v>First NDC updated</v>
      </c>
      <c r="F21" s="42" t="str">
        <f>VLOOKUP(Table10[[#This Row],[Document ID]],Table1[],8,FALSE)</f>
        <v>NDC 1.1</v>
      </c>
      <c r="G21" s="42" t="str">
        <f>VLOOKUP(Table10[[#This Row],[Document ID]],Table1[],10,FALSE)</f>
        <v>Active</v>
      </c>
      <c r="H21" s="42" t="s">
        <v>5483</v>
      </c>
      <c r="I21" s="209" t="s">
        <v>5484</v>
      </c>
      <c r="J21" s="259"/>
      <c r="K21" s="344" t="s">
        <v>5485</v>
      </c>
      <c r="L21" s="241" t="str">
        <f>VLOOKUP(Table10[[#This Row],[Country Code]],Table29[],3,FALSE)</f>
        <v>Non-Annex I</v>
      </c>
      <c r="M21" s="241" t="str">
        <f>VLOOKUP(Table10[[#This Row],[Country Code]],Table29[],4,FALSE)</f>
        <v>Latin America and the Caribbean</v>
      </c>
      <c r="N21" s="241" t="str">
        <f>VLOOKUP(Table10[[#This Row],[Country Code]],Table29[],5,FALSE)</f>
        <v>Middle-income</v>
      </c>
      <c r="O21" s="241" t="str">
        <f>VLOOKUP(Table10[[#This Row],[Country Code]],Table29[],6,FALSE)</f>
        <v>no</v>
      </c>
      <c r="P21" s="241" t="str">
        <f>VLOOKUP(Table10[[#This Row],[Country Code]],Table29[],7,FALSE)</f>
        <v>no</v>
      </c>
      <c r="Q21" s="241" t="str">
        <f>VLOOKUP(Table10[[#This Row],[Country Code]],Table29[],8,FALSE)</f>
        <v>non-OECD</v>
      </c>
      <c r="R21" s="233" t="str">
        <f>VLOOKUP(Table10[[#This Row],[Country Code]],Table29[],9,FALSE)</f>
        <v>no</v>
      </c>
      <c r="S21" s="233" t="str">
        <f>VLOOKUP(Table10[[#This Row],[Country Code]],Table29[],10,FALSE)</f>
        <v>no</v>
      </c>
      <c r="T21" s="233">
        <f>VLOOKUP(Table10[[#This Row],[Country Code]],Table29[],23,FALSE)</f>
        <v>0.92034733748830999</v>
      </c>
      <c r="U21" s="233">
        <f>VLOOKUP(Table10[[#This Row],[Country Code]],Table29[],24,FALSE)</f>
        <v>9.6336672952528554E-2</v>
      </c>
      <c r="V21" s="42"/>
    </row>
    <row r="22" spans="1:22" ht="30" x14ac:dyDescent="0.25">
      <c r="A22" s="258">
        <v>17530</v>
      </c>
      <c r="B22" s="43" t="str">
        <f>VLOOKUP(Table10[[#This Row],[Document ID]],Table1[],2,FALSE)</f>
        <v>BLZ</v>
      </c>
      <c r="C22" s="43" t="str">
        <f>VLOOKUP(Table10[[#This Row],[Document ID]],Table1[],3,FALSE)</f>
        <v>Belize</v>
      </c>
      <c r="D22" s="176" t="str">
        <f>VLOOKUP(Table10[[#This Row],[Document ID]],Table1[],5,FALSE)</f>
        <v>NDC</v>
      </c>
      <c r="E22" s="43" t="str">
        <f>VLOOKUP(Table10[[#This Row],[Document ID]],Table1[],7,FALSE)</f>
        <v>First NDC</v>
      </c>
      <c r="F22" s="176" t="str">
        <f>VLOOKUP(Table10[[#This Row],[Document ID]],Table1[],8,FALSE)</f>
        <v>NDC 1.0</v>
      </c>
      <c r="G22" s="176" t="str">
        <f>VLOOKUP(Table10[[#This Row],[Document ID]],Table1[],10,FALSE)</f>
        <v>Archived</v>
      </c>
      <c r="H22" s="42" t="s">
        <v>5460</v>
      </c>
      <c r="I22" s="176" t="s">
        <v>5486</v>
      </c>
      <c r="J22" s="258">
        <v>11</v>
      </c>
      <c r="K22" s="176" t="s">
        <v>5462</v>
      </c>
      <c r="L22" s="241" t="str">
        <f>VLOOKUP(Table10[[#This Row],[Country Code]],Table29[],3,FALSE)</f>
        <v>Non-Annex I</v>
      </c>
      <c r="M22" s="241" t="str">
        <f>VLOOKUP(Table10[[#This Row],[Country Code]],Table29[],4,FALSE)</f>
        <v>Latin America and the Caribbean</v>
      </c>
      <c r="N22" s="241" t="str">
        <f>VLOOKUP(Table10[[#This Row],[Country Code]],Table29[],5,FALSE)</f>
        <v>Middle-income</v>
      </c>
      <c r="O22" s="241" t="str">
        <f>VLOOKUP(Table10[[#This Row],[Country Code]],Table29[],6,FALSE)</f>
        <v>no</v>
      </c>
      <c r="P22" s="241" t="str">
        <f>VLOOKUP(Table10[[#This Row],[Country Code]],Table29[],7,FALSE)</f>
        <v>no</v>
      </c>
      <c r="Q22" s="241" t="str">
        <f>VLOOKUP(Table10[[#This Row],[Country Code]],Table29[],8,FALSE)</f>
        <v>non-OECD</v>
      </c>
      <c r="R22" s="233" t="str">
        <f>VLOOKUP(Table10[[#This Row],[Country Code]],Table29[],9,FALSE)</f>
        <v>no</v>
      </c>
      <c r="S22" s="233" t="str">
        <f>VLOOKUP(Table10[[#This Row],[Country Code]],Table29[],10,FALSE)</f>
        <v>no</v>
      </c>
      <c r="T22" s="233">
        <f>VLOOKUP(Table10[[#This Row],[Country Code]],Table29[],23,FALSE)</f>
        <v>0.92034733748830999</v>
      </c>
      <c r="U22" s="233">
        <f>VLOOKUP(Table10[[#This Row],[Country Code]],Table29[],24,FALSE)</f>
        <v>9.6336672952528554E-2</v>
      </c>
      <c r="V22" s="43"/>
    </row>
    <row r="23" spans="1:22" x14ac:dyDescent="0.25">
      <c r="A23" s="258">
        <v>17531</v>
      </c>
      <c r="B23" s="43" t="str">
        <f>VLOOKUP(Table10[[#This Row],[Document ID]],Table1[],2,FALSE)</f>
        <v>BEN</v>
      </c>
      <c r="C23" s="43" t="str">
        <f>VLOOKUP(Table10[[#This Row],[Document ID]],Table1[],3,FALSE)</f>
        <v>Benin</v>
      </c>
      <c r="D23" s="176" t="str">
        <f>VLOOKUP(Table10[[#This Row],[Document ID]],Table1[],5,FALSE)</f>
        <v>NDC</v>
      </c>
      <c r="E23" s="43" t="str">
        <f>VLOOKUP(Table10[[#This Row],[Document ID]],Table1[],7,FALSE)</f>
        <v>First NDC</v>
      </c>
      <c r="F23" s="176" t="str">
        <f>VLOOKUP(Table10[[#This Row],[Document ID]],Table1[],8,FALSE)</f>
        <v>NDC 1.0</v>
      </c>
      <c r="G23" s="176" t="str">
        <f>VLOOKUP(Table10[[#This Row],[Document ID]],Table1[],10,FALSE)</f>
        <v>Archived</v>
      </c>
      <c r="H23" s="42" t="s">
        <v>5460</v>
      </c>
      <c r="I23" s="176" t="s">
        <v>5487</v>
      </c>
      <c r="J23" s="258">
        <v>28</v>
      </c>
      <c r="K23" s="176" t="s">
        <v>5462</v>
      </c>
      <c r="L23" s="241" t="str">
        <f>VLOOKUP(Table10[[#This Row],[Country Code]],Table29[],3,FALSE)</f>
        <v>Non-Annex I</v>
      </c>
      <c r="M23" s="241" t="str">
        <f>VLOOKUP(Table10[[#This Row],[Country Code]],Table29[],4,FALSE)</f>
        <v>Africa</v>
      </c>
      <c r="N23" s="241" t="str">
        <f>VLOOKUP(Table10[[#This Row],[Country Code]],Table29[],5,FALSE)</f>
        <v>Middle-income</v>
      </c>
      <c r="O23" s="241" t="str">
        <f>VLOOKUP(Table10[[#This Row],[Country Code]],Table29[],6,FALSE)</f>
        <v>no</v>
      </c>
      <c r="P23" s="241" t="str">
        <f>VLOOKUP(Table10[[#This Row],[Country Code]],Table29[],7,FALSE)</f>
        <v>no</v>
      </c>
      <c r="Q23" s="241" t="str">
        <f>VLOOKUP(Table10[[#This Row],[Country Code]],Table29[],8,FALSE)</f>
        <v>non-OECD</v>
      </c>
      <c r="R23" s="233" t="str">
        <f>VLOOKUP(Table10[[#This Row],[Country Code]],Table29[],9,FALSE)</f>
        <v>no</v>
      </c>
      <c r="S23" s="233" t="str">
        <f>VLOOKUP(Table10[[#This Row],[Country Code]],Table29[],10,FALSE)</f>
        <v>no</v>
      </c>
      <c r="T23" s="233">
        <f>VLOOKUP(Table10[[#This Row],[Country Code]],Table29[],23,FALSE)</f>
        <v>16.699491601106999</v>
      </c>
      <c r="U23" s="233">
        <f>VLOOKUP(Table10[[#This Row],[Country Code]],Table29[],24,FALSE)</f>
        <v>4.358789566933627</v>
      </c>
      <c r="V23" s="43"/>
    </row>
    <row r="24" spans="1:22" x14ac:dyDescent="0.25">
      <c r="A24" s="259">
        <v>26798</v>
      </c>
      <c r="B24" s="43" t="str">
        <f>VLOOKUP(Table10[[#This Row],[Document ID]],Table1[],2,FALSE)</f>
        <v>BOL</v>
      </c>
      <c r="C24" s="43" t="str">
        <f>VLOOKUP(Table10[[#This Row],[Document ID]],Table1[],3,FALSE)</f>
        <v>Bolivia (Plurinational State of)</v>
      </c>
      <c r="D24" s="42" t="str">
        <f>VLOOKUP(Table10[[#This Row],[Document ID]],Table1[],5,FALSE)</f>
        <v>NDC</v>
      </c>
      <c r="E24" s="43" t="str">
        <f>VLOOKUP(Table10[[#This Row],[Document ID]],Table1[],7,FALSE)</f>
        <v>Second NDC</v>
      </c>
      <c r="F24" s="42" t="str">
        <f>VLOOKUP(Table10[[#This Row],[Document ID]],Table1[],8,FALSE)</f>
        <v>NDC 2.0</v>
      </c>
      <c r="G24" s="42" t="str">
        <f>VLOOKUP(Table10[[#This Row],[Document ID]],Table1[],10,FALSE)</f>
        <v>Active</v>
      </c>
      <c r="H24" s="42" t="s">
        <v>5483</v>
      </c>
      <c r="I24" s="345" t="s">
        <v>5488</v>
      </c>
      <c r="J24" s="259">
        <v>17</v>
      </c>
      <c r="K24" s="42" t="s">
        <v>5485</v>
      </c>
      <c r="L24" s="241" t="str">
        <f>VLOOKUP(Table10[[#This Row],[Country Code]],Table29[],3,FALSE)</f>
        <v>Non-Annex I</v>
      </c>
      <c r="M24" s="241" t="str">
        <f>VLOOKUP(Table10[[#This Row],[Country Code]],Table29[],4,FALSE)</f>
        <v>Latin America and the Caribbean</v>
      </c>
      <c r="N24" s="241" t="str">
        <f>VLOOKUP(Table10[[#This Row],[Country Code]],Table29[],5,FALSE)</f>
        <v>Middle-income</v>
      </c>
      <c r="O24" s="241" t="str">
        <f>VLOOKUP(Table10[[#This Row],[Country Code]],Table29[],6,FALSE)</f>
        <v>no</v>
      </c>
      <c r="P24" s="241" t="str">
        <f>VLOOKUP(Table10[[#This Row],[Country Code]],Table29[],7,FALSE)</f>
        <v>no</v>
      </c>
      <c r="Q24" s="241" t="str">
        <f>VLOOKUP(Table10[[#This Row],[Country Code]],Table29[],8,FALSE)</f>
        <v>non-OECD</v>
      </c>
      <c r="R24" s="233" t="str">
        <f>VLOOKUP(Table10[[#This Row],[Country Code]],Table29[],9,FALSE)</f>
        <v>no</v>
      </c>
      <c r="S24" s="233" t="str">
        <f>VLOOKUP(Table10[[#This Row],[Country Code]],Table29[],10,FALSE)</f>
        <v>no</v>
      </c>
      <c r="T24" s="233">
        <f>VLOOKUP(Table10[[#This Row],[Country Code]],Table29[],23,FALSE)</f>
        <v>55.185652756247002</v>
      </c>
      <c r="U24" s="233">
        <f>VLOOKUP(Table10[[#This Row],[Country Code]],Table29[],24,FALSE)</f>
        <v>12.14226630499595</v>
      </c>
      <c r="V24" s="42"/>
    </row>
    <row r="25" spans="1:22" x14ac:dyDescent="0.25">
      <c r="A25" s="259">
        <v>23369</v>
      </c>
      <c r="B25" s="43" t="str">
        <f>VLOOKUP(Table10[[#This Row],[Document ID]],Table1[],2,FALSE)</f>
        <v>BFA</v>
      </c>
      <c r="C25" s="43" t="str">
        <f>VLOOKUP(Table10[[#This Row],[Document ID]],Table1[],3,FALSE)</f>
        <v>Burkina Faso</v>
      </c>
      <c r="D25" s="42" t="str">
        <f>VLOOKUP(Table10[[#This Row],[Document ID]],Table1[],5,FALSE)</f>
        <v>NDC</v>
      </c>
      <c r="E25" s="43" t="str">
        <f>VLOOKUP(Table10[[#This Row],[Document ID]],Table1[],7,FALSE)</f>
        <v>First NDC updated</v>
      </c>
      <c r="F25" s="42" t="str">
        <f>VLOOKUP(Table10[[#This Row],[Document ID]],Table1[],8,FALSE)</f>
        <v>NDC 1.1</v>
      </c>
      <c r="G25" s="42" t="str">
        <f>VLOOKUP(Table10[[#This Row],[Document ID]],Table1[],10,FALSE)</f>
        <v>Active</v>
      </c>
      <c r="H25" s="42" t="s">
        <v>5483</v>
      </c>
      <c r="I25" s="209" t="s">
        <v>5489</v>
      </c>
      <c r="J25" s="259" t="s">
        <v>5490</v>
      </c>
      <c r="K25" s="344" t="s">
        <v>5485</v>
      </c>
      <c r="L25" s="241" t="str">
        <f>VLOOKUP(Table10[[#This Row],[Country Code]],Table29[],3,FALSE)</f>
        <v>Non-Annex I</v>
      </c>
      <c r="M25" s="241" t="str">
        <f>VLOOKUP(Table10[[#This Row],[Country Code]],Table29[],4,FALSE)</f>
        <v>Africa</v>
      </c>
      <c r="N25" s="241" t="str">
        <f>VLOOKUP(Table10[[#This Row],[Country Code]],Table29[],5,FALSE)</f>
        <v>Low-income</v>
      </c>
      <c r="O25" s="241" t="str">
        <f>VLOOKUP(Table10[[#This Row],[Country Code]],Table29[],6,FALSE)</f>
        <v>no</v>
      </c>
      <c r="P25" s="241" t="str">
        <f>VLOOKUP(Table10[[#This Row],[Country Code]],Table29[],7,FALSE)</f>
        <v>no</v>
      </c>
      <c r="Q25" s="241" t="str">
        <f>VLOOKUP(Table10[[#This Row],[Country Code]],Table29[],8,FALSE)</f>
        <v>non-OECD</v>
      </c>
      <c r="R25" s="233" t="str">
        <f>VLOOKUP(Table10[[#This Row],[Country Code]],Table29[],9,FALSE)</f>
        <v>no</v>
      </c>
      <c r="S25" s="233" t="str">
        <f>VLOOKUP(Table10[[#This Row],[Country Code]],Table29[],10,FALSE)</f>
        <v>no</v>
      </c>
      <c r="T25" s="233">
        <f>VLOOKUP(Table10[[#This Row],[Country Code]],Table29[],23,FALSE)</f>
        <v>34.456815083210998</v>
      </c>
      <c r="U25" s="233">
        <f>VLOOKUP(Table10[[#This Row],[Country Code]],Table29[],24,FALSE)</f>
        <v>2.783932508886048</v>
      </c>
      <c r="V25" s="42"/>
    </row>
    <row r="26" spans="1:22" ht="30" x14ac:dyDescent="0.25">
      <c r="A26" s="259">
        <v>23369</v>
      </c>
      <c r="B26" s="43" t="str">
        <f>VLOOKUP(Table10[[#This Row],[Document ID]],Table1[],2,FALSE)</f>
        <v>BFA</v>
      </c>
      <c r="C26" s="43" t="str">
        <f>VLOOKUP(Table10[[#This Row],[Document ID]],Table1[],3,FALSE)</f>
        <v>Burkina Faso</v>
      </c>
      <c r="D26" s="42" t="str">
        <f>VLOOKUP(Table10[[#This Row],[Document ID]],Table1[],5,FALSE)</f>
        <v>NDC</v>
      </c>
      <c r="E26" s="43" t="str">
        <f>VLOOKUP(Table10[[#This Row],[Document ID]],Table1[],7,FALSE)</f>
        <v>First NDC updated</v>
      </c>
      <c r="F26" s="42" t="str">
        <f>VLOOKUP(Table10[[#This Row],[Document ID]],Table1[],8,FALSE)</f>
        <v>NDC 1.1</v>
      </c>
      <c r="G26" s="42" t="str">
        <f>VLOOKUP(Table10[[#This Row],[Document ID]],Table1[],10,FALSE)</f>
        <v>Active</v>
      </c>
      <c r="H26" s="42" t="s">
        <v>5460</v>
      </c>
      <c r="I26" s="209" t="s">
        <v>5491</v>
      </c>
      <c r="J26" s="259" t="s">
        <v>5492</v>
      </c>
      <c r="K26" s="42" t="s">
        <v>5462</v>
      </c>
      <c r="L26" s="241" t="str">
        <f>VLOOKUP(Table10[[#This Row],[Country Code]],Table29[],3,FALSE)</f>
        <v>Non-Annex I</v>
      </c>
      <c r="M26" s="241" t="str">
        <f>VLOOKUP(Table10[[#This Row],[Country Code]],Table29[],4,FALSE)</f>
        <v>Africa</v>
      </c>
      <c r="N26" s="241" t="str">
        <f>VLOOKUP(Table10[[#This Row],[Country Code]],Table29[],5,FALSE)</f>
        <v>Low-income</v>
      </c>
      <c r="O26" s="241" t="str">
        <f>VLOOKUP(Table10[[#This Row],[Country Code]],Table29[],6,FALSE)</f>
        <v>no</v>
      </c>
      <c r="P26" s="241" t="str">
        <f>VLOOKUP(Table10[[#This Row],[Country Code]],Table29[],7,FALSE)</f>
        <v>no</v>
      </c>
      <c r="Q26" s="241" t="str">
        <f>VLOOKUP(Table10[[#This Row],[Country Code]],Table29[],8,FALSE)</f>
        <v>non-OECD</v>
      </c>
      <c r="R26" s="233" t="str">
        <f>VLOOKUP(Table10[[#This Row],[Country Code]],Table29[],9,FALSE)</f>
        <v>no</v>
      </c>
      <c r="S26" s="233" t="str">
        <f>VLOOKUP(Table10[[#This Row],[Country Code]],Table29[],10,FALSE)</f>
        <v>no</v>
      </c>
      <c r="T26" s="233">
        <f>VLOOKUP(Table10[[#This Row],[Country Code]],Table29[],23,FALSE)</f>
        <v>34.456815083210998</v>
      </c>
      <c r="U26" s="233">
        <f>VLOOKUP(Table10[[#This Row],[Country Code]],Table29[],24,FALSE)</f>
        <v>2.783932508886048</v>
      </c>
      <c r="V26" s="42"/>
    </row>
    <row r="27" spans="1:22" ht="30" x14ac:dyDescent="0.25">
      <c r="A27" s="259">
        <v>23369</v>
      </c>
      <c r="B27" s="43" t="str">
        <f>VLOOKUP(Table10[[#This Row],[Document ID]],Table1[],2,FALSE)</f>
        <v>BFA</v>
      </c>
      <c r="C27" s="43" t="str">
        <f>VLOOKUP(Table10[[#This Row],[Document ID]],Table1[],3,FALSE)</f>
        <v>Burkina Faso</v>
      </c>
      <c r="D27" s="42" t="str">
        <f>VLOOKUP(Table10[[#This Row],[Document ID]],Table1[],5,FALSE)</f>
        <v>NDC</v>
      </c>
      <c r="E27" s="43" t="str">
        <f>VLOOKUP(Table10[[#This Row],[Document ID]],Table1[],7,FALSE)</f>
        <v>First NDC updated</v>
      </c>
      <c r="F27" s="42" t="str">
        <f>VLOOKUP(Table10[[#This Row],[Document ID]],Table1[],8,FALSE)</f>
        <v>NDC 1.1</v>
      </c>
      <c r="G27" s="42" t="str">
        <f>VLOOKUP(Table10[[#This Row],[Document ID]],Table1[],10,FALSE)</f>
        <v>Active</v>
      </c>
      <c r="H27" s="42" t="s">
        <v>5472</v>
      </c>
      <c r="I27" s="209" t="s">
        <v>5493</v>
      </c>
      <c r="J27" s="259" t="s">
        <v>5492</v>
      </c>
      <c r="K27" s="42" t="s">
        <v>5474</v>
      </c>
      <c r="L27" s="241" t="str">
        <f>VLOOKUP(Table10[[#This Row],[Country Code]],Table29[],3,FALSE)</f>
        <v>Non-Annex I</v>
      </c>
      <c r="M27" s="241" t="str">
        <f>VLOOKUP(Table10[[#This Row],[Country Code]],Table29[],4,FALSE)</f>
        <v>Africa</v>
      </c>
      <c r="N27" s="241" t="str">
        <f>VLOOKUP(Table10[[#This Row],[Country Code]],Table29[],5,FALSE)</f>
        <v>Low-income</v>
      </c>
      <c r="O27" s="241" t="str">
        <f>VLOOKUP(Table10[[#This Row],[Country Code]],Table29[],6,FALSE)</f>
        <v>no</v>
      </c>
      <c r="P27" s="241" t="str">
        <f>VLOOKUP(Table10[[#This Row],[Country Code]],Table29[],7,FALSE)</f>
        <v>no</v>
      </c>
      <c r="Q27" s="241" t="str">
        <f>VLOOKUP(Table10[[#This Row],[Country Code]],Table29[],8,FALSE)</f>
        <v>non-OECD</v>
      </c>
      <c r="R27" s="233" t="str">
        <f>VLOOKUP(Table10[[#This Row],[Country Code]],Table29[],9,FALSE)</f>
        <v>no</v>
      </c>
      <c r="S27" s="233" t="str">
        <f>VLOOKUP(Table10[[#This Row],[Country Code]],Table29[],10,FALSE)</f>
        <v>no</v>
      </c>
      <c r="T27" s="233">
        <f>VLOOKUP(Table10[[#This Row],[Country Code]],Table29[],23,FALSE)</f>
        <v>34.456815083210998</v>
      </c>
      <c r="U27" s="233">
        <f>VLOOKUP(Table10[[#This Row],[Country Code]],Table29[],24,FALSE)</f>
        <v>2.783932508886048</v>
      </c>
      <c r="V27" s="42"/>
    </row>
    <row r="28" spans="1:22" x14ac:dyDescent="0.25">
      <c r="A28" s="259">
        <v>23369</v>
      </c>
      <c r="B28" s="43" t="str">
        <f>VLOOKUP(Table10[[#This Row],[Document ID]],Table1[],2,FALSE)</f>
        <v>BFA</v>
      </c>
      <c r="C28" s="43" t="str">
        <f>VLOOKUP(Table10[[#This Row],[Document ID]],Table1[],3,FALSE)</f>
        <v>Burkina Faso</v>
      </c>
      <c r="D28" s="42" t="str">
        <f>VLOOKUP(Table10[[#This Row],[Document ID]],Table1[],5,FALSE)</f>
        <v>NDC</v>
      </c>
      <c r="E28" s="43" t="str">
        <f>VLOOKUP(Table10[[#This Row],[Document ID]],Table1[],7,FALSE)</f>
        <v>First NDC updated</v>
      </c>
      <c r="F28" s="42" t="str">
        <f>VLOOKUP(Table10[[#This Row],[Document ID]],Table1[],8,FALSE)</f>
        <v>NDC 1.1</v>
      </c>
      <c r="G28" s="42" t="str">
        <f>VLOOKUP(Table10[[#This Row],[Document ID]],Table1[],10,FALSE)</f>
        <v>Active</v>
      </c>
      <c r="H28" s="42" t="s">
        <v>5466</v>
      </c>
      <c r="I28" s="209" t="s">
        <v>5494</v>
      </c>
      <c r="J28" s="259" t="s">
        <v>5492</v>
      </c>
      <c r="K28" s="42" t="s">
        <v>5468</v>
      </c>
      <c r="L28" s="241" t="str">
        <f>VLOOKUP(Table10[[#This Row],[Country Code]],Table29[],3,FALSE)</f>
        <v>Non-Annex I</v>
      </c>
      <c r="M28" s="241" t="str">
        <f>VLOOKUP(Table10[[#This Row],[Country Code]],Table29[],4,FALSE)</f>
        <v>Africa</v>
      </c>
      <c r="N28" s="241" t="str">
        <f>VLOOKUP(Table10[[#This Row],[Country Code]],Table29[],5,FALSE)</f>
        <v>Low-income</v>
      </c>
      <c r="O28" s="241" t="str">
        <f>VLOOKUP(Table10[[#This Row],[Country Code]],Table29[],6,FALSE)</f>
        <v>no</v>
      </c>
      <c r="P28" s="241" t="str">
        <f>VLOOKUP(Table10[[#This Row],[Country Code]],Table29[],7,FALSE)</f>
        <v>no</v>
      </c>
      <c r="Q28" s="241" t="str">
        <f>VLOOKUP(Table10[[#This Row],[Country Code]],Table29[],8,FALSE)</f>
        <v>non-OECD</v>
      </c>
      <c r="R28" s="233" t="str">
        <f>VLOOKUP(Table10[[#This Row],[Country Code]],Table29[],9,FALSE)</f>
        <v>no</v>
      </c>
      <c r="S28" s="233" t="str">
        <f>VLOOKUP(Table10[[#This Row],[Country Code]],Table29[],10,FALSE)</f>
        <v>no</v>
      </c>
      <c r="T28" s="233">
        <f>VLOOKUP(Table10[[#This Row],[Country Code]],Table29[],23,FALSE)</f>
        <v>34.456815083210998</v>
      </c>
      <c r="U28" s="233">
        <f>VLOOKUP(Table10[[#This Row],[Country Code]],Table29[],24,FALSE)</f>
        <v>2.783932508886048</v>
      </c>
      <c r="V28" s="42"/>
    </row>
    <row r="29" spans="1:22" ht="30" x14ac:dyDescent="0.25">
      <c r="A29" s="258">
        <v>17543</v>
      </c>
      <c r="B29" s="43" t="str">
        <f>VLOOKUP(Table10[[#This Row],[Document ID]],Table1[],2,FALSE)</f>
        <v>BFA</v>
      </c>
      <c r="C29" s="43" t="str">
        <f>VLOOKUP(Table10[[#This Row],[Document ID]],Table1[],3,FALSE)</f>
        <v>Burkina Faso</v>
      </c>
      <c r="D29" s="176" t="str">
        <f>VLOOKUP(Table10[[#This Row],[Document ID]],Table1[],5,FALSE)</f>
        <v>NDC</v>
      </c>
      <c r="E29" s="43" t="str">
        <f>VLOOKUP(Table10[[#This Row],[Document ID]],Table1[],7,FALSE)</f>
        <v>First NDC</v>
      </c>
      <c r="F29" s="176" t="str">
        <f>VLOOKUP(Table10[[#This Row],[Document ID]],Table1[],8,FALSE)</f>
        <v>NDC 1.0</v>
      </c>
      <c r="G29" s="176" t="str">
        <f>VLOOKUP(Table10[[#This Row],[Document ID]],Table1[],10,FALSE)</f>
        <v>Archived</v>
      </c>
      <c r="H29" s="42" t="s">
        <v>5460</v>
      </c>
      <c r="I29" s="176" t="s">
        <v>5495</v>
      </c>
      <c r="J29" s="258">
        <v>29</v>
      </c>
      <c r="K29" s="176" t="s">
        <v>5462</v>
      </c>
      <c r="L29" s="241" t="str">
        <f>VLOOKUP(Table10[[#This Row],[Country Code]],Table29[],3,FALSE)</f>
        <v>Non-Annex I</v>
      </c>
      <c r="M29" s="241" t="str">
        <f>VLOOKUP(Table10[[#This Row],[Country Code]],Table29[],4,FALSE)</f>
        <v>Africa</v>
      </c>
      <c r="N29" s="241" t="str">
        <f>VLOOKUP(Table10[[#This Row],[Country Code]],Table29[],5,FALSE)</f>
        <v>Low-income</v>
      </c>
      <c r="O29" s="241" t="str">
        <f>VLOOKUP(Table10[[#This Row],[Country Code]],Table29[],6,FALSE)</f>
        <v>no</v>
      </c>
      <c r="P29" s="241" t="str">
        <f>VLOOKUP(Table10[[#This Row],[Country Code]],Table29[],7,FALSE)</f>
        <v>no</v>
      </c>
      <c r="Q29" s="241" t="str">
        <f>VLOOKUP(Table10[[#This Row],[Country Code]],Table29[],8,FALSE)</f>
        <v>non-OECD</v>
      </c>
      <c r="R29" s="233" t="str">
        <f>VLOOKUP(Table10[[#This Row],[Country Code]],Table29[],9,FALSE)</f>
        <v>no</v>
      </c>
      <c r="S29" s="233" t="str">
        <f>VLOOKUP(Table10[[#This Row],[Country Code]],Table29[],10,FALSE)</f>
        <v>no</v>
      </c>
      <c r="T29" s="233">
        <f>VLOOKUP(Table10[[#This Row],[Country Code]],Table29[],23,FALSE)</f>
        <v>34.456815083210998</v>
      </c>
      <c r="U29" s="233">
        <f>VLOOKUP(Table10[[#This Row],[Country Code]],Table29[],24,FALSE)</f>
        <v>2.783932508886048</v>
      </c>
      <c r="V29" s="43"/>
    </row>
    <row r="30" spans="1:22" ht="30" x14ac:dyDescent="0.25">
      <c r="A30" s="221">
        <v>17548</v>
      </c>
      <c r="B30" s="43" t="str">
        <f>VLOOKUP(Table10[[#This Row],[Document ID]],Table1[],2,FALSE)</f>
        <v>KHM</v>
      </c>
      <c r="C30" s="43" t="str">
        <f>VLOOKUP(Table10[[#This Row],[Document ID]],Table1[],3,FALSE)</f>
        <v>Cambodia</v>
      </c>
      <c r="D30" s="43" t="str">
        <f>VLOOKUP(Table10[[#This Row],[Document ID]],Table1[],5,FALSE)</f>
        <v>NDC</v>
      </c>
      <c r="E30" s="43" t="str">
        <f>VLOOKUP(Table10[[#This Row],[Document ID]],Table1[],7,FALSE)</f>
        <v>First NDC updated</v>
      </c>
      <c r="F30" s="43" t="str">
        <f>VLOOKUP(Table10[[#This Row],[Document ID]],Table1[],8,FALSE)</f>
        <v>NDC 1.1</v>
      </c>
      <c r="G30" s="43" t="str">
        <f>VLOOKUP(Table10[[#This Row],[Document ID]],Table1[],10,FALSE)</f>
        <v>Active</v>
      </c>
      <c r="H30" s="42" t="s">
        <v>5463</v>
      </c>
      <c r="I30" s="44" t="s">
        <v>5496</v>
      </c>
      <c r="J30" s="221">
        <v>41</v>
      </c>
      <c r="K30" s="43" t="s">
        <v>5465</v>
      </c>
      <c r="L30" s="241" t="str">
        <f>VLOOKUP(Table10[[#This Row],[Country Code]],Table29[],3,FALSE)</f>
        <v>Non-Annex I</v>
      </c>
      <c r="M30" s="241" t="str">
        <f>VLOOKUP(Table10[[#This Row],[Country Code]],Table29[],4,FALSE)</f>
        <v>Asia</v>
      </c>
      <c r="N30" s="241" t="str">
        <f>VLOOKUP(Table10[[#This Row],[Country Code]],Table29[],5,FALSE)</f>
        <v>Middle-income</v>
      </c>
      <c r="O30" s="241" t="str">
        <f>VLOOKUP(Table10[[#This Row],[Country Code]],Table29[],6,FALSE)</f>
        <v>no</v>
      </c>
      <c r="P30" s="241" t="str">
        <f>VLOOKUP(Table10[[#This Row],[Country Code]],Table29[],7,FALSE)</f>
        <v>no</v>
      </c>
      <c r="Q30" s="241" t="str">
        <f>VLOOKUP(Table10[[#This Row],[Country Code]],Table29[],8,FALSE)</f>
        <v>non-OECD</v>
      </c>
      <c r="R30" s="233" t="str">
        <f>VLOOKUP(Table10[[#This Row],[Country Code]],Table29[],9,FALSE)</f>
        <v>no</v>
      </c>
      <c r="S30" s="233" t="str">
        <f>VLOOKUP(Table10[[#This Row],[Country Code]],Table29[],10,FALSE)</f>
        <v>no</v>
      </c>
      <c r="T30" s="233">
        <f>VLOOKUP(Table10[[#This Row],[Country Code]],Table29[],23,FALSE)</f>
        <v>48.774832204749998</v>
      </c>
      <c r="U30" s="233">
        <f>VLOOKUP(Table10[[#This Row],[Country Code]],Table29[],24,FALSE)</f>
        <v>7.547213161316451</v>
      </c>
      <c r="V30" s="43"/>
    </row>
    <row r="31" spans="1:22" ht="45" x14ac:dyDescent="0.25">
      <c r="A31" s="221">
        <v>17548</v>
      </c>
      <c r="B31" s="43" t="str">
        <f>VLOOKUP(Table10[[#This Row],[Document ID]],Table1[],2,FALSE)</f>
        <v>KHM</v>
      </c>
      <c r="C31" s="43" t="str">
        <f>VLOOKUP(Table10[[#This Row],[Document ID]],Table1[],3,FALSE)</f>
        <v>Cambodia</v>
      </c>
      <c r="D31" s="43" t="str">
        <f>VLOOKUP(Table10[[#This Row],[Document ID]],Table1[],5,FALSE)</f>
        <v>NDC</v>
      </c>
      <c r="E31" s="43" t="str">
        <f>VLOOKUP(Table10[[#This Row],[Document ID]],Table1[],7,FALSE)</f>
        <v>First NDC updated</v>
      </c>
      <c r="F31" s="43" t="str">
        <f>VLOOKUP(Table10[[#This Row],[Document ID]],Table1[],8,FALSE)</f>
        <v>NDC 1.1</v>
      </c>
      <c r="G31" s="43" t="str">
        <f>VLOOKUP(Table10[[#This Row],[Document ID]],Table1[],10,FALSE)</f>
        <v>Active</v>
      </c>
      <c r="H31" s="42" t="s">
        <v>5469</v>
      </c>
      <c r="I31" s="44" t="s">
        <v>5497</v>
      </c>
      <c r="J31" s="221">
        <v>42</v>
      </c>
      <c r="K31" s="43" t="s">
        <v>5471</v>
      </c>
      <c r="L31" s="241" t="str">
        <f>VLOOKUP(Table10[[#This Row],[Country Code]],Table29[],3,FALSE)</f>
        <v>Non-Annex I</v>
      </c>
      <c r="M31" s="241" t="str">
        <f>VLOOKUP(Table10[[#This Row],[Country Code]],Table29[],4,FALSE)</f>
        <v>Asia</v>
      </c>
      <c r="N31" s="241" t="str">
        <f>VLOOKUP(Table10[[#This Row],[Country Code]],Table29[],5,FALSE)</f>
        <v>Middle-income</v>
      </c>
      <c r="O31" s="241" t="str">
        <f>VLOOKUP(Table10[[#This Row],[Country Code]],Table29[],6,FALSE)</f>
        <v>no</v>
      </c>
      <c r="P31" s="241" t="str">
        <f>VLOOKUP(Table10[[#This Row],[Country Code]],Table29[],7,FALSE)</f>
        <v>no</v>
      </c>
      <c r="Q31" s="241" t="str">
        <f>VLOOKUP(Table10[[#This Row],[Country Code]],Table29[],8,FALSE)</f>
        <v>non-OECD</v>
      </c>
      <c r="R31" s="233" t="str">
        <f>VLOOKUP(Table10[[#This Row],[Country Code]],Table29[],9,FALSE)</f>
        <v>no</v>
      </c>
      <c r="S31" s="233" t="str">
        <f>VLOOKUP(Table10[[#This Row],[Country Code]],Table29[],10,FALSE)</f>
        <v>no</v>
      </c>
      <c r="T31" s="233">
        <f>VLOOKUP(Table10[[#This Row],[Country Code]],Table29[],23,FALSE)</f>
        <v>48.774832204749998</v>
      </c>
      <c r="U31" s="233">
        <f>VLOOKUP(Table10[[#This Row],[Country Code]],Table29[],24,FALSE)</f>
        <v>7.547213161316451</v>
      </c>
      <c r="V31" s="43"/>
    </row>
    <row r="32" spans="1:22" ht="30" x14ac:dyDescent="0.25">
      <c r="A32" s="221">
        <v>17548</v>
      </c>
      <c r="B32" s="43" t="str">
        <f>VLOOKUP(Table10[[#This Row],[Document ID]],Table1[],2,FALSE)</f>
        <v>KHM</v>
      </c>
      <c r="C32" s="43" t="str">
        <f>VLOOKUP(Table10[[#This Row],[Document ID]],Table1[],3,FALSE)</f>
        <v>Cambodia</v>
      </c>
      <c r="D32" s="43" t="str">
        <f>VLOOKUP(Table10[[#This Row],[Document ID]],Table1[],5,FALSE)</f>
        <v>NDC</v>
      </c>
      <c r="E32" s="43" t="str">
        <f>VLOOKUP(Table10[[#This Row],[Document ID]],Table1[],7,FALSE)</f>
        <v>First NDC updated</v>
      </c>
      <c r="F32" s="43" t="str">
        <f>VLOOKUP(Table10[[#This Row],[Document ID]],Table1[],8,FALSE)</f>
        <v>NDC 1.1</v>
      </c>
      <c r="G32" s="43" t="str">
        <f>VLOOKUP(Table10[[#This Row],[Document ID]],Table1[],10,FALSE)</f>
        <v>Active</v>
      </c>
      <c r="H32" s="42" t="s">
        <v>5466</v>
      </c>
      <c r="I32" s="44" t="s">
        <v>5498</v>
      </c>
      <c r="J32" s="221">
        <v>98</v>
      </c>
      <c r="K32" s="43" t="s">
        <v>5468</v>
      </c>
      <c r="L32" s="241" t="str">
        <f>VLOOKUP(Table10[[#This Row],[Country Code]],Table29[],3,FALSE)</f>
        <v>Non-Annex I</v>
      </c>
      <c r="M32" s="241" t="str">
        <f>VLOOKUP(Table10[[#This Row],[Country Code]],Table29[],4,FALSE)</f>
        <v>Asia</v>
      </c>
      <c r="N32" s="241" t="str">
        <f>VLOOKUP(Table10[[#This Row],[Country Code]],Table29[],5,FALSE)</f>
        <v>Middle-income</v>
      </c>
      <c r="O32" s="241" t="str">
        <f>VLOOKUP(Table10[[#This Row],[Country Code]],Table29[],6,FALSE)</f>
        <v>no</v>
      </c>
      <c r="P32" s="241" t="str">
        <f>VLOOKUP(Table10[[#This Row],[Country Code]],Table29[],7,FALSE)</f>
        <v>no</v>
      </c>
      <c r="Q32" s="241" t="str">
        <f>VLOOKUP(Table10[[#This Row],[Country Code]],Table29[],8,FALSE)</f>
        <v>non-OECD</v>
      </c>
      <c r="R32" s="233" t="str">
        <f>VLOOKUP(Table10[[#This Row],[Country Code]],Table29[],9,FALSE)</f>
        <v>no</v>
      </c>
      <c r="S32" s="233" t="str">
        <f>VLOOKUP(Table10[[#This Row],[Country Code]],Table29[],10,FALSE)</f>
        <v>no</v>
      </c>
      <c r="T32" s="233">
        <f>VLOOKUP(Table10[[#This Row],[Country Code]],Table29[],23,FALSE)</f>
        <v>48.774832204749998</v>
      </c>
      <c r="U32" s="233">
        <f>VLOOKUP(Table10[[#This Row],[Country Code]],Table29[],24,FALSE)</f>
        <v>7.547213161316451</v>
      </c>
      <c r="V32" s="43"/>
    </row>
    <row r="33" spans="1:22" ht="30" x14ac:dyDescent="0.25">
      <c r="A33" s="221">
        <v>17548</v>
      </c>
      <c r="B33" s="43" t="str">
        <f>VLOOKUP(Table10[[#This Row],[Document ID]],Table1[],2,FALSE)</f>
        <v>KHM</v>
      </c>
      <c r="C33" s="43" t="str">
        <f>VLOOKUP(Table10[[#This Row],[Document ID]],Table1[],3,FALSE)</f>
        <v>Cambodia</v>
      </c>
      <c r="D33" s="43" t="str">
        <f>VLOOKUP(Table10[[#This Row],[Document ID]],Table1[],5,FALSE)</f>
        <v>NDC</v>
      </c>
      <c r="E33" s="43" t="str">
        <f>VLOOKUP(Table10[[#This Row],[Document ID]],Table1[],7,FALSE)</f>
        <v>First NDC updated</v>
      </c>
      <c r="F33" s="43" t="str">
        <f>VLOOKUP(Table10[[#This Row],[Document ID]],Table1[],8,FALSE)</f>
        <v>NDC 1.1</v>
      </c>
      <c r="G33" s="43" t="str">
        <f>VLOOKUP(Table10[[#This Row],[Document ID]],Table1[],10,FALSE)</f>
        <v>Active</v>
      </c>
      <c r="H33" s="42" t="s">
        <v>5460</v>
      </c>
      <c r="I33" s="44" t="s">
        <v>5499</v>
      </c>
      <c r="J33" s="221">
        <v>98</v>
      </c>
      <c r="K33" s="43" t="s">
        <v>5462</v>
      </c>
      <c r="L33" s="241" t="str">
        <f>VLOOKUP(Table10[[#This Row],[Country Code]],Table29[],3,FALSE)</f>
        <v>Non-Annex I</v>
      </c>
      <c r="M33" s="241" t="str">
        <f>VLOOKUP(Table10[[#This Row],[Country Code]],Table29[],4,FALSE)</f>
        <v>Asia</v>
      </c>
      <c r="N33" s="241" t="str">
        <f>VLOOKUP(Table10[[#This Row],[Country Code]],Table29[],5,FALSE)</f>
        <v>Middle-income</v>
      </c>
      <c r="O33" s="241" t="str">
        <f>VLOOKUP(Table10[[#This Row],[Country Code]],Table29[],6,FALSE)</f>
        <v>no</v>
      </c>
      <c r="P33" s="241" t="str">
        <f>VLOOKUP(Table10[[#This Row],[Country Code]],Table29[],7,FALSE)</f>
        <v>no</v>
      </c>
      <c r="Q33" s="241" t="str">
        <f>VLOOKUP(Table10[[#This Row],[Country Code]],Table29[],8,FALSE)</f>
        <v>non-OECD</v>
      </c>
      <c r="R33" s="233" t="str">
        <f>VLOOKUP(Table10[[#This Row],[Country Code]],Table29[],9,FALSE)</f>
        <v>no</v>
      </c>
      <c r="S33" s="233" t="str">
        <f>VLOOKUP(Table10[[#This Row],[Country Code]],Table29[],10,FALSE)</f>
        <v>no</v>
      </c>
      <c r="T33" s="233">
        <f>VLOOKUP(Table10[[#This Row],[Country Code]],Table29[],23,FALSE)</f>
        <v>48.774832204749998</v>
      </c>
      <c r="U33" s="233">
        <f>VLOOKUP(Table10[[#This Row],[Country Code]],Table29[],24,FALSE)</f>
        <v>7.547213161316451</v>
      </c>
      <c r="V33" s="43"/>
    </row>
    <row r="34" spans="1:22" x14ac:dyDescent="0.25">
      <c r="A34" s="221">
        <v>17548</v>
      </c>
      <c r="B34" s="43" t="str">
        <f>VLOOKUP(Table10[[#This Row],[Document ID]],Table1[],2,FALSE)</f>
        <v>KHM</v>
      </c>
      <c r="C34" s="43" t="str">
        <f>VLOOKUP(Table10[[#This Row],[Document ID]],Table1[],3,FALSE)</f>
        <v>Cambodia</v>
      </c>
      <c r="D34" s="43" t="str">
        <f>VLOOKUP(Table10[[#This Row],[Document ID]],Table1[],5,FALSE)</f>
        <v>NDC</v>
      </c>
      <c r="E34" s="43" t="str">
        <f>VLOOKUP(Table10[[#This Row],[Document ID]],Table1[],7,FALSE)</f>
        <v>First NDC updated</v>
      </c>
      <c r="F34" s="43" t="str">
        <f>VLOOKUP(Table10[[#This Row],[Document ID]],Table1[],8,FALSE)</f>
        <v>NDC 1.1</v>
      </c>
      <c r="G34" s="43" t="str">
        <f>VLOOKUP(Table10[[#This Row],[Document ID]],Table1[],10,FALSE)</f>
        <v>Active</v>
      </c>
      <c r="H34" s="42" t="s">
        <v>5483</v>
      </c>
      <c r="I34" s="44" t="s">
        <v>5500</v>
      </c>
      <c r="J34" s="221" t="s">
        <v>5501</v>
      </c>
      <c r="K34" s="43" t="s">
        <v>5485</v>
      </c>
      <c r="L34" s="241" t="str">
        <f>VLOOKUP(Table10[[#This Row],[Country Code]],Table29[],3,FALSE)</f>
        <v>Non-Annex I</v>
      </c>
      <c r="M34" s="241" t="str">
        <f>VLOOKUP(Table10[[#This Row],[Country Code]],Table29[],4,FALSE)</f>
        <v>Asia</v>
      </c>
      <c r="N34" s="241" t="str">
        <f>VLOOKUP(Table10[[#This Row],[Country Code]],Table29[],5,FALSE)</f>
        <v>Middle-income</v>
      </c>
      <c r="O34" s="241" t="str">
        <f>VLOOKUP(Table10[[#This Row],[Country Code]],Table29[],6,FALSE)</f>
        <v>no</v>
      </c>
      <c r="P34" s="241" t="str">
        <f>VLOOKUP(Table10[[#This Row],[Country Code]],Table29[],7,FALSE)</f>
        <v>no</v>
      </c>
      <c r="Q34" s="241" t="str">
        <f>VLOOKUP(Table10[[#This Row],[Country Code]],Table29[],8,FALSE)</f>
        <v>non-OECD</v>
      </c>
      <c r="R34" s="233" t="str">
        <f>VLOOKUP(Table10[[#This Row],[Country Code]],Table29[],9,FALSE)</f>
        <v>no</v>
      </c>
      <c r="S34" s="233" t="str">
        <f>VLOOKUP(Table10[[#This Row],[Country Code]],Table29[],10,FALSE)</f>
        <v>no</v>
      </c>
      <c r="T34" s="233">
        <f>VLOOKUP(Table10[[#This Row],[Country Code]],Table29[],23,FALSE)</f>
        <v>48.774832204749998</v>
      </c>
      <c r="U34" s="233">
        <f>VLOOKUP(Table10[[#This Row],[Country Code]],Table29[],24,FALSE)</f>
        <v>7.547213161316451</v>
      </c>
      <c r="V34" s="43"/>
    </row>
    <row r="35" spans="1:22" ht="90" x14ac:dyDescent="0.25">
      <c r="A35" s="257">
        <v>26773</v>
      </c>
      <c r="B35" s="43" t="str">
        <f>VLOOKUP(Table10[[#This Row],[Document ID]],Table1[],2,FALSE)</f>
        <v>KHM</v>
      </c>
      <c r="C35" s="43" t="str">
        <f>VLOOKUP(Table10[[#This Row],[Document ID]],Table1[],3,FALSE)</f>
        <v>Cambodia</v>
      </c>
      <c r="D35" s="45" t="str">
        <f>VLOOKUP(Table10[[#This Row],[Document ID]],Table1[],5,FALSE)</f>
        <v>LTS</v>
      </c>
      <c r="E35" s="43" t="str">
        <f>VLOOKUP(Table10[[#This Row],[Document ID]],Table1[],7,FALSE)</f>
        <v>LTS</v>
      </c>
      <c r="F35" s="42" t="str">
        <f>VLOOKUP(Table10[[#This Row],[Document ID]],Table1[],8,FALSE)</f>
        <v>LTS 1.0</v>
      </c>
      <c r="G35" s="42" t="str">
        <f>VLOOKUP(Table10[[#This Row],[Document ID]],Table1[],10,FALSE)</f>
        <v>Active</v>
      </c>
      <c r="H35" s="42" t="s">
        <v>5475</v>
      </c>
      <c r="I35" s="209" t="s">
        <v>5502</v>
      </c>
      <c r="J35" s="259">
        <v>37</v>
      </c>
      <c r="K35" s="43" t="s">
        <v>5477</v>
      </c>
      <c r="L35" s="241" t="str">
        <f>VLOOKUP(Table10[[#This Row],[Country Code]],Table29[],3,FALSE)</f>
        <v>Non-Annex I</v>
      </c>
      <c r="M35" s="241" t="str">
        <f>VLOOKUP(Table10[[#This Row],[Country Code]],Table29[],4,FALSE)</f>
        <v>Asia</v>
      </c>
      <c r="N35" s="241" t="str">
        <f>VLOOKUP(Table10[[#This Row],[Country Code]],Table29[],5,FALSE)</f>
        <v>Middle-income</v>
      </c>
      <c r="O35" s="241" t="str">
        <f>VLOOKUP(Table10[[#This Row],[Country Code]],Table29[],6,FALSE)</f>
        <v>no</v>
      </c>
      <c r="P35" s="241" t="str">
        <f>VLOOKUP(Table10[[#This Row],[Country Code]],Table29[],7,FALSE)</f>
        <v>no</v>
      </c>
      <c r="Q35" s="241" t="str">
        <f>VLOOKUP(Table10[[#This Row],[Country Code]],Table29[],8,FALSE)</f>
        <v>non-OECD</v>
      </c>
      <c r="R35" s="233" t="str">
        <f>VLOOKUP(Table10[[#This Row],[Country Code]],Table29[],9,FALSE)</f>
        <v>no</v>
      </c>
      <c r="S35" s="233" t="str">
        <f>VLOOKUP(Table10[[#This Row],[Country Code]],Table29[],10,FALSE)</f>
        <v>no</v>
      </c>
      <c r="T35" s="233">
        <f>VLOOKUP(Table10[[#This Row],[Country Code]],Table29[],23,FALSE)</f>
        <v>48.774832204749998</v>
      </c>
      <c r="U35" s="233">
        <f>VLOOKUP(Table10[[#This Row],[Country Code]],Table29[],24,FALSE)</f>
        <v>7.547213161316451</v>
      </c>
      <c r="V35" s="42"/>
    </row>
    <row r="36" spans="1:22" ht="45" x14ac:dyDescent="0.25">
      <c r="A36" s="257">
        <v>26773</v>
      </c>
      <c r="B36" s="43" t="str">
        <f>VLOOKUP(Table10[[#This Row],[Document ID]],Table1[],2,FALSE)</f>
        <v>KHM</v>
      </c>
      <c r="C36" s="43" t="str">
        <f>VLOOKUP(Table10[[#This Row],[Document ID]],Table1[],3,FALSE)</f>
        <v>Cambodia</v>
      </c>
      <c r="D36" s="45" t="str">
        <f>VLOOKUP(Table10[[#This Row],[Document ID]],Table1[],5,FALSE)</f>
        <v>LTS</v>
      </c>
      <c r="E36" s="43" t="str">
        <f>VLOOKUP(Table10[[#This Row],[Document ID]],Table1[],7,FALSE)</f>
        <v>LTS</v>
      </c>
      <c r="F36" s="42" t="str">
        <f>VLOOKUP(Table10[[#This Row],[Document ID]],Table1[],8,FALSE)</f>
        <v>LTS 1.0</v>
      </c>
      <c r="G36" s="42" t="str">
        <f>VLOOKUP(Table10[[#This Row],[Document ID]],Table1[],10,FALSE)</f>
        <v>Active</v>
      </c>
      <c r="H36" s="42" t="s">
        <v>5478</v>
      </c>
      <c r="I36" s="209" t="s">
        <v>5503</v>
      </c>
      <c r="J36" s="259">
        <v>26</v>
      </c>
      <c r="K36" s="43" t="s">
        <v>5480</v>
      </c>
      <c r="L36" s="241" t="str">
        <f>VLOOKUP(Table10[[#This Row],[Country Code]],Table29[],3,FALSE)</f>
        <v>Non-Annex I</v>
      </c>
      <c r="M36" s="241" t="str">
        <f>VLOOKUP(Table10[[#This Row],[Country Code]],Table29[],4,FALSE)</f>
        <v>Asia</v>
      </c>
      <c r="N36" s="241" t="str">
        <f>VLOOKUP(Table10[[#This Row],[Country Code]],Table29[],5,FALSE)</f>
        <v>Middle-income</v>
      </c>
      <c r="O36" s="241" t="str">
        <f>VLOOKUP(Table10[[#This Row],[Country Code]],Table29[],6,FALSE)</f>
        <v>no</v>
      </c>
      <c r="P36" s="241" t="str">
        <f>VLOOKUP(Table10[[#This Row],[Country Code]],Table29[],7,FALSE)</f>
        <v>no</v>
      </c>
      <c r="Q36" s="241" t="str">
        <f>VLOOKUP(Table10[[#This Row],[Country Code]],Table29[],8,FALSE)</f>
        <v>non-OECD</v>
      </c>
      <c r="R36" s="233" t="str">
        <f>VLOOKUP(Table10[[#This Row],[Country Code]],Table29[],9,FALSE)</f>
        <v>no</v>
      </c>
      <c r="S36" s="233" t="str">
        <f>VLOOKUP(Table10[[#This Row],[Country Code]],Table29[],10,FALSE)</f>
        <v>no</v>
      </c>
      <c r="T36" s="233">
        <f>VLOOKUP(Table10[[#This Row],[Country Code]],Table29[],23,FALSE)</f>
        <v>48.774832204749998</v>
      </c>
      <c r="U36" s="233">
        <f>VLOOKUP(Table10[[#This Row],[Country Code]],Table29[],24,FALSE)</f>
        <v>7.547213161316451</v>
      </c>
      <c r="V36" s="42"/>
    </row>
    <row r="37" spans="1:22" x14ac:dyDescent="0.25">
      <c r="A37" s="257">
        <v>23371</v>
      </c>
      <c r="B37" s="43" t="str">
        <f>VLOOKUP(Table10[[#This Row],[Document ID]],Table1[],2,FALSE)</f>
        <v>CMR</v>
      </c>
      <c r="C37" s="43" t="str">
        <f>VLOOKUP(Table10[[#This Row],[Document ID]],Table1[],3,FALSE)</f>
        <v>Cameroon</v>
      </c>
      <c r="D37" s="45" t="str">
        <f>VLOOKUP(Table10[[#This Row],[Document ID]],Table1[],5,FALSE)</f>
        <v>NDC</v>
      </c>
      <c r="E37" s="43" t="str">
        <f>VLOOKUP(Table10[[#This Row],[Document ID]],Table1[],7,FALSE)</f>
        <v>First NDC updated</v>
      </c>
      <c r="F37" s="42" t="str">
        <f>VLOOKUP(Table10[[#This Row],[Document ID]],Table1[],8,FALSE)</f>
        <v>NDC 1.1</v>
      </c>
      <c r="G37" s="42" t="str">
        <f>VLOOKUP(Table10[[#This Row],[Document ID]],Table1[],10,FALSE)</f>
        <v>Active</v>
      </c>
      <c r="H37" s="42" t="s">
        <v>5483</v>
      </c>
      <c r="I37" s="209" t="s">
        <v>5504</v>
      </c>
      <c r="J37" s="259">
        <v>34</v>
      </c>
      <c r="K37" s="344" t="s">
        <v>5485</v>
      </c>
      <c r="L37" s="241" t="str">
        <f>VLOOKUP(Table10[[#This Row],[Country Code]],Table29[],3,FALSE)</f>
        <v>Non-Annex I</v>
      </c>
      <c r="M37" s="241" t="str">
        <f>VLOOKUP(Table10[[#This Row],[Country Code]],Table29[],4,FALSE)</f>
        <v>Africa</v>
      </c>
      <c r="N37" s="241" t="str">
        <f>VLOOKUP(Table10[[#This Row],[Country Code]],Table29[],5,FALSE)</f>
        <v>Middle-income</v>
      </c>
      <c r="O37" s="241" t="str">
        <f>VLOOKUP(Table10[[#This Row],[Country Code]],Table29[],6,FALSE)</f>
        <v>no</v>
      </c>
      <c r="P37" s="241" t="str">
        <f>VLOOKUP(Table10[[#This Row],[Country Code]],Table29[],7,FALSE)</f>
        <v>no</v>
      </c>
      <c r="Q37" s="241" t="str">
        <f>VLOOKUP(Table10[[#This Row],[Country Code]],Table29[],8,FALSE)</f>
        <v>non-OECD</v>
      </c>
      <c r="R37" s="233" t="str">
        <f>VLOOKUP(Table10[[#This Row],[Country Code]],Table29[],9,FALSE)</f>
        <v>no</v>
      </c>
      <c r="S37" s="233" t="str">
        <f>VLOOKUP(Table10[[#This Row],[Country Code]],Table29[],10,FALSE)</f>
        <v>no</v>
      </c>
      <c r="T37" s="233">
        <f>VLOOKUP(Table10[[#This Row],[Country Code]],Table29[],23,FALSE)</f>
        <v>39.377188823330997</v>
      </c>
      <c r="U37" s="233">
        <f>VLOOKUP(Table10[[#This Row],[Country Code]],Table29[],24,FALSE)</f>
        <v>4.3438155341493783</v>
      </c>
      <c r="V37" s="42"/>
    </row>
    <row r="38" spans="1:22" ht="105" x14ac:dyDescent="0.25">
      <c r="A38" s="257">
        <v>17551</v>
      </c>
      <c r="B38" s="43" t="str">
        <f>VLOOKUP(Table10[[#This Row],[Document ID]],Table1[],2,FALSE)</f>
        <v>CAN</v>
      </c>
      <c r="C38" s="43" t="str">
        <f>VLOOKUP(Table10[[#This Row],[Document ID]],Table1[],3,FALSE)</f>
        <v>Canada</v>
      </c>
      <c r="D38" s="45" t="str">
        <f>VLOOKUP(Table10[[#This Row],[Document ID]],Table1[],5,FALSE)</f>
        <v>LTS</v>
      </c>
      <c r="E38" s="43" t="str">
        <f>VLOOKUP(Table10[[#This Row],[Document ID]],Table1[],7,FALSE)</f>
        <v>Archived LTS 1.0</v>
      </c>
      <c r="F38" s="42" t="str">
        <f>VLOOKUP(Table10[[#This Row],[Document ID]],Table1[],8,FALSE)</f>
        <v>LTS 1.0</v>
      </c>
      <c r="G38" s="42" t="str">
        <f>VLOOKUP(Table10[[#This Row],[Document ID]],Table1[],10,FALSE)</f>
        <v>Archived</v>
      </c>
      <c r="H38" s="42" t="s">
        <v>5475</v>
      </c>
      <c r="I38" s="209" t="s">
        <v>5505</v>
      </c>
      <c r="J38" s="221">
        <v>35</v>
      </c>
      <c r="K38" s="42" t="s">
        <v>5477</v>
      </c>
      <c r="L38" s="241" t="str">
        <f>VLOOKUP(Table10[[#This Row],[Country Code]],Table29[],3,FALSE)</f>
        <v>Annex I</v>
      </c>
      <c r="M38" s="241" t="str">
        <f>VLOOKUP(Table10[[#This Row],[Country Code]],Table29[],4,FALSE)</f>
        <v>Northern America</v>
      </c>
      <c r="N38" s="241" t="str">
        <f>VLOOKUP(Table10[[#This Row],[Country Code]],Table29[],5,FALSE)</f>
        <v>High-income</v>
      </c>
      <c r="O38" s="241" t="str">
        <f>VLOOKUP(Table10[[#This Row],[Country Code]],Table29[],6,FALSE)</f>
        <v>G20</v>
      </c>
      <c r="P38" s="241" t="str">
        <f>VLOOKUP(Table10[[#This Row],[Country Code]],Table29[],7,FALSE)</f>
        <v>G7</v>
      </c>
      <c r="Q38" s="241" t="str">
        <f>VLOOKUP(Table10[[#This Row],[Country Code]],Table29[],8,FALSE)</f>
        <v>OECD</v>
      </c>
      <c r="R38" s="233" t="str">
        <f>VLOOKUP(Table10[[#This Row],[Country Code]],Table29[],9,FALSE)</f>
        <v>no</v>
      </c>
      <c r="S38" s="233" t="str">
        <f>VLOOKUP(Table10[[#This Row],[Country Code]],Table29[],10,FALSE)</f>
        <v>no</v>
      </c>
      <c r="T38" s="233">
        <f>VLOOKUP(Table10[[#This Row],[Country Code]],Table29[],23,FALSE)</f>
        <v>747.67802680902003</v>
      </c>
      <c r="U38" s="233">
        <f>VLOOKUP(Table10[[#This Row],[Country Code]],Table29[],24,FALSE)</f>
        <v>169.021169926607</v>
      </c>
      <c r="V38" s="43"/>
    </row>
    <row r="39" spans="1:22" ht="60" x14ac:dyDescent="0.25">
      <c r="A39" s="257">
        <v>17551</v>
      </c>
      <c r="B39" s="43" t="str">
        <f>VLOOKUP(Table10[[#This Row],[Document ID]],Table1[],2,FALSE)</f>
        <v>CAN</v>
      </c>
      <c r="C39" s="43" t="str">
        <f>VLOOKUP(Table10[[#This Row],[Document ID]],Table1[],3,FALSE)</f>
        <v>Canada</v>
      </c>
      <c r="D39" s="45" t="str">
        <f>VLOOKUP(Table10[[#This Row],[Document ID]],Table1[],5,FALSE)</f>
        <v>LTS</v>
      </c>
      <c r="E39" s="43" t="str">
        <f>VLOOKUP(Table10[[#This Row],[Document ID]],Table1[],7,FALSE)</f>
        <v>Archived LTS 1.0</v>
      </c>
      <c r="F39" s="42" t="str">
        <f>VLOOKUP(Table10[[#This Row],[Document ID]],Table1[],8,FALSE)</f>
        <v>LTS 1.0</v>
      </c>
      <c r="G39" s="42" t="str">
        <f>VLOOKUP(Table10[[#This Row],[Document ID]],Table1[],10,FALSE)</f>
        <v>Archived</v>
      </c>
      <c r="H39" s="42" t="s">
        <v>5463</v>
      </c>
      <c r="I39" s="44" t="s">
        <v>5506</v>
      </c>
      <c r="J39" s="221">
        <v>74</v>
      </c>
      <c r="K39" s="43" t="s">
        <v>5465</v>
      </c>
      <c r="L39" s="241" t="str">
        <f>VLOOKUP(Table10[[#This Row],[Country Code]],Table29[],3,FALSE)</f>
        <v>Annex I</v>
      </c>
      <c r="M39" s="241" t="str">
        <f>VLOOKUP(Table10[[#This Row],[Country Code]],Table29[],4,FALSE)</f>
        <v>Northern America</v>
      </c>
      <c r="N39" s="241" t="str">
        <f>VLOOKUP(Table10[[#This Row],[Country Code]],Table29[],5,FALSE)</f>
        <v>High-income</v>
      </c>
      <c r="O39" s="241" t="str">
        <f>VLOOKUP(Table10[[#This Row],[Country Code]],Table29[],6,FALSE)</f>
        <v>G20</v>
      </c>
      <c r="P39" s="241" t="str">
        <f>VLOOKUP(Table10[[#This Row],[Country Code]],Table29[],7,FALSE)</f>
        <v>G7</v>
      </c>
      <c r="Q39" s="241" t="str">
        <f>VLOOKUP(Table10[[#This Row],[Country Code]],Table29[],8,FALSE)</f>
        <v>OECD</v>
      </c>
      <c r="R39" s="233" t="str">
        <f>VLOOKUP(Table10[[#This Row],[Country Code]],Table29[],9,FALSE)</f>
        <v>no</v>
      </c>
      <c r="S39" s="233" t="str">
        <f>VLOOKUP(Table10[[#This Row],[Country Code]],Table29[],10,FALSE)</f>
        <v>no</v>
      </c>
      <c r="T39" s="233">
        <f>VLOOKUP(Table10[[#This Row],[Country Code]],Table29[],23,FALSE)</f>
        <v>747.67802680902003</v>
      </c>
      <c r="U39" s="233">
        <f>VLOOKUP(Table10[[#This Row],[Country Code]],Table29[],24,FALSE)</f>
        <v>169.021169926607</v>
      </c>
      <c r="V39" s="43"/>
    </row>
    <row r="40" spans="1:22" x14ac:dyDescent="0.25">
      <c r="A40" s="221">
        <v>17555</v>
      </c>
      <c r="B40" s="43" t="str">
        <f>VLOOKUP(Table10[[#This Row],[Document ID]],Table1[],2,FALSE)</f>
        <v>CHL</v>
      </c>
      <c r="C40" s="43" t="str">
        <f>VLOOKUP(Table10[[#This Row],[Document ID]],Table1[],3,FALSE)</f>
        <v>Chile</v>
      </c>
      <c r="D40" s="43" t="str">
        <f>VLOOKUP(Table10[[#This Row],[Document ID]],Table1[],5,FALSE)</f>
        <v>NDC</v>
      </c>
      <c r="E40" s="43" t="str">
        <f>VLOOKUP(Table10[[#This Row],[Document ID]],Table1[],7,FALSE)</f>
        <v>First NDC updated</v>
      </c>
      <c r="F40" s="43" t="str">
        <f>VLOOKUP(Table10[[#This Row],[Document ID]],Table1[],8,FALSE)</f>
        <v>NDC 1.1</v>
      </c>
      <c r="G40" s="43" t="str">
        <f>VLOOKUP(Table10[[#This Row],[Document ID]],Table1[],10,FALSE)</f>
        <v>Active</v>
      </c>
      <c r="H40" s="42" t="s">
        <v>5483</v>
      </c>
      <c r="I40" s="44" t="s">
        <v>5507</v>
      </c>
      <c r="J40" s="221">
        <v>33</v>
      </c>
      <c r="K40" s="43" t="s">
        <v>5485</v>
      </c>
      <c r="L40" s="241" t="str">
        <f>VLOOKUP(Table10[[#This Row],[Country Code]],Table29[],3,FALSE)</f>
        <v>Non-Annex I</v>
      </c>
      <c r="M40" s="241" t="str">
        <f>VLOOKUP(Table10[[#This Row],[Country Code]],Table29[],4,FALSE)</f>
        <v>Latin America and the Caribbean</v>
      </c>
      <c r="N40" s="241" t="str">
        <f>VLOOKUP(Table10[[#This Row],[Country Code]],Table29[],5,FALSE)</f>
        <v>High-income</v>
      </c>
      <c r="O40" s="241" t="str">
        <f>VLOOKUP(Table10[[#This Row],[Country Code]],Table29[],6,FALSE)</f>
        <v>no</v>
      </c>
      <c r="P40" s="241" t="str">
        <f>VLOOKUP(Table10[[#This Row],[Country Code]],Table29[],7,FALSE)</f>
        <v>no</v>
      </c>
      <c r="Q40" s="241" t="str">
        <f>VLOOKUP(Table10[[#This Row],[Country Code]],Table29[],8,FALSE)</f>
        <v>OECD</v>
      </c>
      <c r="R40" s="233" t="str">
        <f>VLOOKUP(Table10[[#This Row],[Country Code]],Table29[],9,FALSE)</f>
        <v>no</v>
      </c>
      <c r="S40" s="233" t="str">
        <f>VLOOKUP(Table10[[#This Row],[Country Code]],Table29[],10,FALSE)</f>
        <v>no</v>
      </c>
      <c r="T40" s="233">
        <f>VLOOKUP(Table10[[#This Row],[Country Code]],Table29[],23,FALSE)</f>
        <v>121.46313217391</v>
      </c>
      <c r="U40" s="233">
        <f>VLOOKUP(Table10[[#This Row],[Country Code]],Table29[],24,FALSE)</f>
        <v>32.478801178832768</v>
      </c>
      <c r="V40" s="43"/>
    </row>
    <row r="41" spans="1:22" x14ac:dyDescent="0.25">
      <c r="A41" s="221">
        <v>17555</v>
      </c>
      <c r="B41" s="43" t="str">
        <f>VLOOKUP(Table10[[#This Row],[Document ID]],Table1[],2,FALSE)</f>
        <v>CHL</v>
      </c>
      <c r="C41" s="43" t="str">
        <f>VLOOKUP(Table10[[#This Row],[Document ID]],Table1[],3,FALSE)</f>
        <v>Chile</v>
      </c>
      <c r="D41" s="43" t="str">
        <f>VLOOKUP(Table10[[#This Row],[Document ID]],Table1[],5,FALSE)</f>
        <v>NDC</v>
      </c>
      <c r="E41" s="43" t="str">
        <f>VLOOKUP(Table10[[#This Row],[Document ID]],Table1[],7,FALSE)</f>
        <v>First NDC updated</v>
      </c>
      <c r="F41" s="43" t="str">
        <f>VLOOKUP(Table10[[#This Row],[Document ID]],Table1[],8,FALSE)</f>
        <v>NDC 1.1</v>
      </c>
      <c r="G41" s="43" t="str">
        <f>VLOOKUP(Table10[[#This Row],[Document ID]],Table1[],10,FALSE)</f>
        <v>Active</v>
      </c>
      <c r="H41" s="42" t="s">
        <v>5483</v>
      </c>
      <c r="I41" s="44" t="s">
        <v>5508</v>
      </c>
      <c r="J41" s="221">
        <v>34</v>
      </c>
      <c r="K41" s="43" t="s">
        <v>5485</v>
      </c>
      <c r="L41" s="241" t="str">
        <f>VLOOKUP(Table10[[#This Row],[Country Code]],Table29[],3,FALSE)</f>
        <v>Non-Annex I</v>
      </c>
      <c r="M41" s="241" t="str">
        <f>VLOOKUP(Table10[[#This Row],[Country Code]],Table29[],4,FALSE)</f>
        <v>Latin America and the Caribbean</v>
      </c>
      <c r="N41" s="241" t="str">
        <f>VLOOKUP(Table10[[#This Row],[Country Code]],Table29[],5,FALSE)</f>
        <v>High-income</v>
      </c>
      <c r="O41" s="241" t="str">
        <f>VLOOKUP(Table10[[#This Row],[Country Code]],Table29[],6,FALSE)</f>
        <v>no</v>
      </c>
      <c r="P41" s="241" t="str">
        <f>VLOOKUP(Table10[[#This Row],[Country Code]],Table29[],7,FALSE)</f>
        <v>no</v>
      </c>
      <c r="Q41" s="241" t="str">
        <f>VLOOKUP(Table10[[#This Row],[Country Code]],Table29[],8,FALSE)</f>
        <v>OECD</v>
      </c>
      <c r="R41" s="233" t="str">
        <f>VLOOKUP(Table10[[#This Row],[Country Code]],Table29[],9,FALSE)</f>
        <v>no</v>
      </c>
      <c r="S41" s="233" t="str">
        <f>VLOOKUP(Table10[[#This Row],[Country Code]],Table29[],10,FALSE)</f>
        <v>no</v>
      </c>
      <c r="T41" s="233">
        <f>VLOOKUP(Table10[[#This Row],[Country Code]],Table29[],23,FALSE)</f>
        <v>121.46313217391</v>
      </c>
      <c r="U41" s="233">
        <f>VLOOKUP(Table10[[#This Row],[Country Code]],Table29[],24,FALSE)</f>
        <v>32.478801178832768</v>
      </c>
      <c r="V41" s="43"/>
    </row>
    <row r="42" spans="1:22" ht="30" x14ac:dyDescent="0.25">
      <c r="A42" s="258">
        <v>17554</v>
      </c>
      <c r="B42" s="43" t="str">
        <f>VLOOKUP(Table10[[#This Row],[Document ID]],Table1[],2,FALSE)</f>
        <v>CHL</v>
      </c>
      <c r="C42" s="43" t="str">
        <f>VLOOKUP(Table10[[#This Row],[Document ID]],Table1[],3,FALSE)</f>
        <v>Chile</v>
      </c>
      <c r="D42" s="176" t="str">
        <f>VLOOKUP(Table10[[#This Row],[Document ID]],Table1[],5,FALSE)</f>
        <v>NDC</v>
      </c>
      <c r="E42" s="43" t="str">
        <f>VLOOKUP(Table10[[#This Row],[Document ID]],Table1[],7,FALSE)</f>
        <v>First NDC</v>
      </c>
      <c r="F42" s="176" t="str">
        <f>VLOOKUP(Table10[[#This Row],[Document ID]],Table1[],8,FALSE)</f>
        <v>NDC 1.0</v>
      </c>
      <c r="G42" s="176" t="str">
        <f>VLOOKUP(Table10[[#This Row],[Document ID]],Table1[],10,FALSE)</f>
        <v>Archived</v>
      </c>
      <c r="H42" s="42" t="s">
        <v>5460</v>
      </c>
      <c r="I42" s="176" t="s">
        <v>5509</v>
      </c>
      <c r="J42" s="258">
        <v>17</v>
      </c>
      <c r="K42" s="176" t="s">
        <v>5462</v>
      </c>
      <c r="L42" s="241" t="str">
        <f>VLOOKUP(Table10[[#This Row],[Country Code]],Table29[],3,FALSE)</f>
        <v>Non-Annex I</v>
      </c>
      <c r="M42" s="241" t="str">
        <f>VLOOKUP(Table10[[#This Row],[Country Code]],Table29[],4,FALSE)</f>
        <v>Latin America and the Caribbean</v>
      </c>
      <c r="N42" s="241" t="str">
        <f>VLOOKUP(Table10[[#This Row],[Country Code]],Table29[],5,FALSE)</f>
        <v>High-income</v>
      </c>
      <c r="O42" s="241" t="str">
        <f>VLOOKUP(Table10[[#This Row],[Country Code]],Table29[],6,FALSE)</f>
        <v>no</v>
      </c>
      <c r="P42" s="241" t="str">
        <f>VLOOKUP(Table10[[#This Row],[Country Code]],Table29[],7,FALSE)</f>
        <v>no</v>
      </c>
      <c r="Q42" s="241" t="str">
        <f>VLOOKUP(Table10[[#This Row],[Country Code]],Table29[],8,FALSE)</f>
        <v>OECD</v>
      </c>
      <c r="R42" s="233" t="str">
        <f>VLOOKUP(Table10[[#This Row],[Country Code]],Table29[],9,FALSE)</f>
        <v>no</v>
      </c>
      <c r="S42" s="233" t="str">
        <f>VLOOKUP(Table10[[#This Row],[Country Code]],Table29[],10,FALSE)</f>
        <v>no</v>
      </c>
      <c r="T42" s="233">
        <f>VLOOKUP(Table10[[#This Row],[Country Code]],Table29[],23,FALSE)</f>
        <v>121.46313217391</v>
      </c>
      <c r="U42" s="233">
        <f>VLOOKUP(Table10[[#This Row],[Country Code]],Table29[],24,FALSE)</f>
        <v>32.478801178832768</v>
      </c>
      <c r="V42" s="43"/>
    </row>
    <row r="43" spans="1:22" x14ac:dyDescent="0.25">
      <c r="A43" s="259">
        <v>21423</v>
      </c>
      <c r="B43" s="43" t="str">
        <f>VLOOKUP(Table10[[#This Row],[Document ID]],Table1[],2,FALSE)</f>
        <v>COG</v>
      </c>
      <c r="C43" s="43" t="str">
        <f>VLOOKUP(Table10[[#This Row],[Document ID]],Table1[],3,FALSE)</f>
        <v>Congo</v>
      </c>
      <c r="D43" s="53" t="str">
        <f>VLOOKUP(Table10[[#This Row],[Document ID]],Table1[],5,FALSE)</f>
        <v>NDC</v>
      </c>
      <c r="E43" s="43" t="str">
        <f>VLOOKUP(Table10[[#This Row],[Document ID]],Table1[],7,FALSE)</f>
        <v>First NDC updated</v>
      </c>
      <c r="F43" s="53" t="str">
        <f>VLOOKUP(Table10[[#This Row],[Document ID]],Table1[],8,FALSE)</f>
        <v>NDC 1.1</v>
      </c>
      <c r="G43" s="53" t="str">
        <f>VLOOKUP(Table10[[#This Row],[Document ID]],Table1[],10,FALSE)</f>
        <v>Active</v>
      </c>
      <c r="H43" s="42" t="s">
        <v>5483</v>
      </c>
      <c r="I43" s="44" t="s">
        <v>5510</v>
      </c>
      <c r="J43" s="221"/>
      <c r="K43" s="344" t="s">
        <v>5485</v>
      </c>
      <c r="L43" s="241" t="str">
        <f>VLOOKUP(Table10[[#This Row],[Country Code]],Table29[],3,FALSE)</f>
        <v>Non-Annex I</v>
      </c>
      <c r="M43" s="241" t="str">
        <f>VLOOKUP(Table10[[#This Row],[Country Code]],Table29[],4,FALSE)</f>
        <v>Africa</v>
      </c>
      <c r="N43" s="241" t="str">
        <f>VLOOKUP(Table10[[#This Row],[Country Code]],Table29[],5,FALSE)</f>
        <v>Middle-income</v>
      </c>
      <c r="O43" s="241" t="str">
        <f>VLOOKUP(Table10[[#This Row],[Country Code]],Table29[],6,FALSE)</f>
        <v>no</v>
      </c>
      <c r="P43" s="241" t="str">
        <f>VLOOKUP(Table10[[#This Row],[Country Code]],Table29[],7,FALSE)</f>
        <v>no</v>
      </c>
      <c r="Q43" s="241" t="str">
        <f>VLOOKUP(Table10[[#This Row],[Country Code]],Table29[],8,FALSE)</f>
        <v>non-OECD</v>
      </c>
      <c r="R43" s="233" t="str">
        <f>VLOOKUP(Table10[[#This Row],[Country Code]],Table29[],9,FALSE)</f>
        <v>no</v>
      </c>
      <c r="S43" s="233" t="str">
        <f>VLOOKUP(Table10[[#This Row],[Country Code]],Table29[],10,FALSE)</f>
        <v>no</v>
      </c>
      <c r="T43" s="233">
        <f>VLOOKUP(Table10[[#This Row],[Country Code]],Table29[],23,FALSE)</f>
        <v>23.702014388194002</v>
      </c>
      <c r="U43" s="233">
        <f>VLOOKUP(Table10[[#This Row],[Country Code]],Table29[],24,FALSE)</f>
        <v>1.4878367477049981</v>
      </c>
      <c r="V43" s="43"/>
    </row>
    <row r="44" spans="1:22" ht="45" x14ac:dyDescent="0.25">
      <c r="A44" s="258">
        <v>17560</v>
      </c>
      <c r="B44" s="43" t="str">
        <f>VLOOKUP(Table10[[#This Row],[Document ID]],Table1[],2,FALSE)</f>
        <v>COG</v>
      </c>
      <c r="C44" s="43" t="str">
        <f>VLOOKUP(Table10[[#This Row],[Document ID]],Table1[],3,FALSE)</f>
        <v>Congo</v>
      </c>
      <c r="D44" s="176" t="str">
        <f>VLOOKUP(Table10[[#This Row],[Document ID]],Table1[],5,FALSE)</f>
        <v>NDC</v>
      </c>
      <c r="E44" s="43" t="str">
        <f>VLOOKUP(Table10[[#This Row],[Document ID]],Table1[],7,FALSE)</f>
        <v>First NDC</v>
      </c>
      <c r="F44" s="176" t="str">
        <f>VLOOKUP(Table10[[#This Row],[Document ID]],Table1[],8,FALSE)</f>
        <v>NDC 1.0</v>
      </c>
      <c r="G44" s="176" t="str">
        <f>VLOOKUP(Table10[[#This Row],[Document ID]],Table1[],10,FALSE)</f>
        <v>Archived</v>
      </c>
      <c r="H44" s="42" t="s">
        <v>5478</v>
      </c>
      <c r="I44" s="176" t="s">
        <v>5511</v>
      </c>
      <c r="J44" s="258">
        <v>10</v>
      </c>
      <c r="K44" s="176" t="s">
        <v>5480</v>
      </c>
      <c r="L44" s="241" t="str">
        <f>VLOOKUP(Table10[[#This Row],[Country Code]],Table29[],3,FALSE)</f>
        <v>Non-Annex I</v>
      </c>
      <c r="M44" s="241" t="str">
        <f>VLOOKUP(Table10[[#This Row],[Country Code]],Table29[],4,FALSE)</f>
        <v>Africa</v>
      </c>
      <c r="N44" s="241" t="str">
        <f>VLOOKUP(Table10[[#This Row],[Country Code]],Table29[],5,FALSE)</f>
        <v>Middle-income</v>
      </c>
      <c r="O44" s="241" t="str">
        <f>VLOOKUP(Table10[[#This Row],[Country Code]],Table29[],6,FALSE)</f>
        <v>no</v>
      </c>
      <c r="P44" s="241" t="str">
        <f>VLOOKUP(Table10[[#This Row],[Country Code]],Table29[],7,FALSE)</f>
        <v>no</v>
      </c>
      <c r="Q44" s="241" t="str">
        <f>VLOOKUP(Table10[[#This Row],[Country Code]],Table29[],8,FALSE)</f>
        <v>non-OECD</v>
      </c>
      <c r="R44" s="233" t="str">
        <f>VLOOKUP(Table10[[#This Row],[Country Code]],Table29[],9,FALSE)</f>
        <v>no</v>
      </c>
      <c r="S44" s="233" t="str">
        <f>VLOOKUP(Table10[[#This Row],[Country Code]],Table29[],10,FALSE)</f>
        <v>no</v>
      </c>
      <c r="T44" s="233">
        <f>VLOOKUP(Table10[[#This Row],[Country Code]],Table29[],23,FALSE)</f>
        <v>23.702014388194002</v>
      </c>
      <c r="U44" s="233">
        <f>VLOOKUP(Table10[[#This Row],[Country Code]],Table29[],24,FALSE)</f>
        <v>1.4878367477049981</v>
      </c>
      <c r="V44" s="43"/>
    </row>
    <row r="45" spans="1:22" x14ac:dyDescent="0.25">
      <c r="A45" s="221">
        <v>17564</v>
      </c>
      <c r="B45" s="43" t="str">
        <f>VLOOKUP(Table10[[#This Row],[Document ID]],Table1[],2,FALSE)</f>
        <v>CRI</v>
      </c>
      <c r="C45" s="43" t="str">
        <f>VLOOKUP(Table10[[#This Row],[Document ID]],Table1[],3,FALSE)</f>
        <v>Costa Rica</v>
      </c>
      <c r="D45" s="43" t="str">
        <f>VLOOKUP(Table10[[#This Row],[Document ID]],Table1[],5,FALSE)</f>
        <v>NDC</v>
      </c>
      <c r="E45" s="43" t="str">
        <f>VLOOKUP(Table10[[#This Row],[Document ID]],Table1[],7,FALSE)</f>
        <v>First NDC updated</v>
      </c>
      <c r="F45" s="43" t="str">
        <f>VLOOKUP(Table10[[#This Row],[Document ID]],Table1[],8,FALSE)</f>
        <v>NDC 1.1</v>
      </c>
      <c r="G45" s="43" t="str">
        <f>VLOOKUP(Table10[[#This Row],[Document ID]],Table1[],10,FALSE)</f>
        <v>Active</v>
      </c>
      <c r="H45" s="42" t="s">
        <v>5483</v>
      </c>
      <c r="I45" s="44" t="s">
        <v>5512</v>
      </c>
      <c r="J45" s="221">
        <v>18</v>
      </c>
      <c r="K45" s="43" t="s">
        <v>5485</v>
      </c>
      <c r="L45" s="241" t="str">
        <f>VLOOKUP(Table10[[#This Row],[Country Code]],Table29[],3,FALSE)</f>
        <v>Non-Annex I</v>
      </c>
      <c r="M45" s="241" t="str">
        <f>VLOOKUP(Table10[[#This Row],[Country Code]],Table29[],4,FALSE)</f>
        <v>Latin America and the Caribbean</v>
      </c>
      <c r="N45" s="241" t="str">
        <f>VLOOKUP(Table10[[#This Row],[Country Code]],Table29[],5,FALSE)</f>
        <v>Middle-income</v>
      </c>
      <c r="O45" s="241" t="str">
        <f>VLOOKUP(Table10[[#This Row],[Country Code]],Table29[],6,FALSE)</f>
        <v>no</v>
      </c>
      <c r="P45" s="241" t="str">
        <f>VLOOKUP(Table10[[#This Row],[Country Code]],Table29[],7,FALSE)</f>
        <v>no</v>
      </c>
      <c r="Q45" s="241" t="str">
        <f>VLOOKUP(Table10[[#This Row],[Country Code]],Table29[],8,FALSE)</f>
        <v>OECD</v>
      </c>
      <c r="R45" s="233" t="str">
        <f>VLOOKUP(Table10[[#This Row],[Country Code]],Table29[],9,FALSE)</f>
        <v>no</v>
      </c>
      <c r="S45" s="233" t="str">
        <f>VLOOKUP(Table10[[#This Row],[Country Code]],Table29[],10,FALSE)</f>
        <v>no</v>
      </c>
      <c r="T45" s="233">
        <f>VLOOKUP(Table10[[#This Row],[Country Code]],Table29[],23,FALSE)</f>
        <v>16.468143919330998</v>
      </c>
      <c r="U45" s="233">
        <f>VLOOKUP(Table10[[#This Row],[Country Code]],Table29[],24,FALSE)</f>
        <v>6.1699800179976929</v>
      </c>
      <c r="V45" s="43"/>
    </row>
    <row r="46" spans="1:22" x14ac:dyDescent="0.25">
      <c r="A46" s="258">
        <v>17562</v>
      </c>
      <c r="B46" s="43" t="str">
        <f>VLOOKUP(Table10[[#This Row],[Document ID]],Table1[],2,FALSE)</f>
        <v>CRI</v>
      </c>
      <c r="C46" s="43" t="str">
        <f>VLOOKUP(Table10[[#This Row],[Document ID]],Table1[],3,FALSE)</f>
        <v>Costa Rica</v>
      </c>
      <c r="D46" s="176" t="str">
        <f>VLOOKUP(Table10[[#This Row],[Document ID]],Table1[],5,FALSE)</f>
        <v>NDC</v>
      </c>
      <c r="E46" s="43" t="str">
        <f>VLOOKUP(Table10[[#This Row],[Document ID]],Table1[],7,FALSE)</f>
        <v>First NDC</v>
      </c>
      <c r="F46" s="176" t="str">
        <f>VLOOKUP(Table10[[#This Row],[Document ID]],Table1[],8,FALSE)</f>
        <v>NDC 1.0</v>
      </c>
      <c r="G46" s="176" t="str">
        <f>VLOOKUP(Table10[[#This Row],[Document ID]],Table1[],10,FALSE)</f>
        <v>Archived</v>
      </c>
      <c r="H46" s="42" t="s">
        <v>5478</v>
      </c>
      <c r="I46" s="176" t="s">
        <v>5513</v>
      </c>
      <c r="J46" s="258">
        <v>7</v>
      </c>
      <c r="K46" s="176" t="s">
        <v>5480</v>
      </c>
      <c r="L46" s="241" t="str">
        <f>VLOOKUP(Table10[[#This Row],[Country Code]],Table29[],3,FALSE)</f>
        <v>Non-Annex I</v>
      </c>
      <c r="M46" s="241" t="str">
        <f>VLOOKUP(Table10[[#This Row],[Country Code]],Table29[],4,FALSE)</f>
        <v>Latin America and the Caribbean</v>
      </c>
      <c r="N46" s="241" t="str">
        <f>VLOOKUP(Table10[[#This Row],[Country Code]],Table29[],5,FALSE)</f>
        <v>Middle-income</v>
      </c>
      <c r="O46" s="241" t="str">
        <f>VLOOKUP(Table10[[#This Row],[Country Code]],Table29[],6,FALSE)</f>
        <v>no</v>
      </c>
      <c r="P46" s="241" t="str">
        <f>VLOOKUP(Table10[[#This Row],[Country Code]],Table29[],7,FALSE)</f>
        <v>no</v>
      </c>
      <c r="Q46" s="241" t="str">
        <f>VLOOKUP(Table10[[#This Row],[Country Code]],Table29[],8,FALSE)</f>
        <v>OECD</v>
      </c>
      <c r="R46" s="233" t="str">
        <f>VLOOKUP(Table10[[#This Row],[Country Code]],Table29[],9,FALSE)</f>
        <v>no</v>
      </c>
      <c r="S46" s="233" t="str">
        <f>VLOOKUP(Table10[[#This Row],[Country Code]],Table29[],10,FALSE)</f>
        <v>no</v>
      </c>
      <c r="T46" s="233">
        <f>VLOOKUP(Table10[[#This Row],[Country Code]],Table29[],23,FALSE)</f>
        <v>16.468143919330998</v>
      </c>
      <c r="U46" s="233">
        <f>VLOOKUP(Table10[[#This Row],[Country Code]],Table29[],24,FALSE)</f>
        <v>6.1699800179976929</v>
      </c>
      <c r="V46" s="43"/>
    </row>
    <row r="47" spans="1:22" ht="75" x14ac:dyDescent="0.25">
      <c r="A47" s="258">
        <v>32497</v>
      </c>
      <c r="B47" s="43" t="str">
        <f>VLOOKUP(Table10[[#This Row],[Document ID]],Table1[],2,FALSE)</f>
        <v>CYP</v>
      </c>
      <c r="C47" s="43" t="str">
        <f>VLOOKUP(Table10[[#This Row],[Document ID]],Table1[],3,FALSE)</f>
        <v>Cyprus</v>
      </c>
      <c r="D47" s="176" t="str">
        <f>VLOOKUP(Table10[[#This Row],[Document ID]],Table1[],5,FALSE)</f>
        <v>LTS</v>
      </c>
      <c r="E47" s="43" t="str">
        <f>VLOOKUP(Table10[[#This Row],[Document ID]],Table1[],7,FALSE)</f>
        <v>EU-LTS</v>
      </c>
      <c r="F47" s="43" t="str">
        <f>VLOOKUP(Table10[[#This Row],[Document ID]],Table1[],8,FALSE)</f>
        <v>LTS 1.0</v>
      </c>
      <c r="G47" s="43" t="str">
        <f>VLOOKUP(Table10[[#This Row],[Document ID]],Table1[],10,FALSE)</f>
        <v>Active</v>
      </c>
      <c r="H47" s="42" t="s">
        <v>5472</v>
      </c>
      <c r="I47" s="209" t="s">
        <v>5514</v>
      </c>
      <c r="J47" s="259">
        <v>29</v>
      </c>
      <c r="K47" s="43" t="s">
        <v>5474</v>
      </c>
      <c r="L47" s="241" t="str">
        <f>VLOOKUP(Table10[[#This Row],[Country Code]],Table29[],3,FALSE)</f>
        <v>Annex I</v>
      </c>
      <c r="M47" s="241" t="str">
        <f>VLOOKUP(Table10[[#This Row],[Country Code]],Table29[],4,FALSE)</f>
        <v>Asia</v>
      </c>
      <c r="N47" s="241" t="str">
        <f>VLOOKUP(Table10[[#This Row],[Country Code]],Table29[],5,FALSE)</f>
        <v>High-income</v>
      </c>
      <c r="O47" s="241" t="str">
        <f>VLOOKUP(Table10[[#This Row],[Country Code]],Table29[],6,FALSE)</f>
        <v>no</v>
      </c>
      <c r="P47" s="241" t="str">
        <f>VLOOKUP(Table10[[#This Row],[Country Code]],Table29[],7,FALSE)</f>
        <v>no</v>
      </c>
      <c r="Q47" s="241" t="str">
        <f>VLOOKUP(Table10[[#This Row],[Country Code]],Table29[],8,FALSE)</f>
        <v>non-OECD</v>
      </c>
      <c r="R47" s="233" t="str">
        <f>VLOOKUP(Table10[[#This Row],[Country Code]],Table29[],9,FALSE)</f>
        <v>EU27</v>
      </c>
      <c r="S47" s="233" t="str">
        <f>VLOOKUP(Table10[[#This Row],[Country Code]],Table29[],10,FALSE)</f>
        <v>no</v>
      </c>
      <c r="T47" s="233">
        <f>VLOOKUP(Table10[[#This Row],[Country Code]],Table29[],23,FALSE)</f>
        <v>10.324656394181</v>
      </c>
      <c r="U47" s="233">
        <f>VLOOKUP(Table10[[#This Row],[Country Code]],Table29[],24,FALSE)</f>
        <v>1.897782414839597</v>
      </c>
      <c r="V47" s="42"/>
    </row>
    <row r="48" spans="1:22" ht="45" x14ac:dyDescent="0.25">
      <c r="A48" s="221">
        <v>17580</v>
      </c>
      <c r="B48" s="43" t="str">
        <f>VLOOKUP(Table10[[#This Row],[Document ID]],Table1[],2,FALSE)</f>
        <v>DOM</v>
      </c>
      <c r="C48" s="43" t="str">
        <f>VLOOKUP(Table10[[#This Row],[Document ID]],Table1[],3,FALSE)</f>
        <v>Dominican Republic</v>
      </c>
      <c r="D48" s="43" t="str">
        <f>VLOOKUP(Table10[[#This Row],[Document ID]],Table1[],5,FALSE)</f>
        <v>NDC</v>
      </c>
      <c r="E48" s="43" t="str">
        <f>VLOOKUP(Table10[[#This Row],[Document ID]],Table1[],7,FALSE)</f>
        <v>First NDC updated</v>
      </c>
      <c r="F48" s="43" t="str">
        <f>VLOOKUP(Table10[[#This Row],[Document ID]],Table1[],8,FALSE)</f>
        <v>NDC 1.1</v>
      </c>
      <c r="G48" s="43" t="str">
        <f>VLOOKUP(Table10[[#This Row],[Document ID]],Table1[],10,FALSE)</f>
        <v>Active</v>
      </c>
      <c r="H48" s="42" t="s">
        <v>5463</v>
      </c>
      <c r="I48" s="44" t="s">
        <v>5515</v>
      </c>
      <c r="J48" s="221">
        <v>77</v>
      </c>
      <c r="K48" s="43" t="s">
        <v>5465</v>
      </c>
      <c r="L48" s="241" t="str">
        <f>VLOOKUP(Table10[[#This Row],[Country Code]],Table29[],3,FALSE)</f>
        <v>Non-Annex I</v>
      </c>
      <c r="M48" s="241" t="str">
        <f>VLOOKUP(Table10[[#This Row],[Country Code]],Table29[],4,FALSE)</f>
        <v>Latin America and the Caribbean</v>
      </c>
      <c r="N48" s="241" t="str">
        <f>VLOOKUP(Table10[[#This Row],[Country Code]],Table29[],5,FALSE)</f>
        <v>Middle-income</v>
      </c>
      <c r="O48" s="241" t="str">
        <f>VLOOKUP(Table10[[#This Row],[Country Code]],Table29[],6,FALSE)</f>
        <v>no</v>
      </c>
      <c r="P48" s="241" t="str">
        <f>VLOOKUP(Table10[[#This Row],[Country Code]],Table29[],7,FALSE)</f>
        <v>no</v>
      </c>
      <c r="Q48" s="241" t="str">
        <f>VLOOKUP(Table10[[#This Row],[Country Code]],Table29[],8,FALSE)</f>
        <v>non-OECD</v>
      </c>
      <c r="R48" s="233" t="str">
        <f>VLOOKUP(Table10[[#This Row],[Country Code]],Table29[],9,FALSE)</f>
        <v>no</v>
      </c>
      <c r="S48" s="233" t="str">
        <f>VLOOKUP(Table10[[#This Row],[Country Code]],Table29[],10,FALSE)</f>
        <v>no</v>
      </c>
      <c r="T48" s="233">
        <f>VLOOKUP(Table10[[#This Row],[Country Code]],Table29[],23,FALSE)</f>
        <v>48.396213040657997</v>
      </c>
      <c r="U48" s="233">
        <f>VLOOKUP(Table10[[#This Row],[Country Code]],Table29[],24,FALSE)</f>
        <v>8.515708871390995</v>
      </c>
      <c r="V48" s="43"/>
    </row>
    <row r="49" spans="1:22" ht="90" x14ac:dyDescent="0.25">
      <c r="A49" s="221">
        <v>17580</v>
      </c>
      <c r="B49" s="43" t="str">
        <f>VLOOKUP(Table10[[#This Row],[Document ID]],Table1[],2,FALSE)</f>
        <v>DOM</v>
      </c>
      <c r="C49" s="43" t="str">
        <f>VLOOKUP(Table10[[#This Row],[Document ID]],Table1[],3,FALSE)</f>
        <v>Dominican Republic</v>
      </c>
      <c r="D49" s="43" t="str">
        <f>VLOOKUP(Table10[[#This Row],[Document ID]],Table1[],5,FALSE)</f>
        <v>NDC</v>
      </c>
      <c r="E49" s="43" t="str">
        <f>VLOOKUP(Table10[[#This Row],[Document ID]],Table1[],7,FALSE)</f>
        <v>First NDC updated</v>
      </c>
      <c r="F49" s="43" t="str">
        <f>VLOOKUP(Table10[[#This Row],[Document ID]],Table1[],8,FALSE)</f>
        <v>NDC 1.1</v>
      </c>
      <c r="G49" s="43" t="str">
        <f>VLOOKUP(Table10[[#This Row],[Document ID]],Table1[],10,FALSE)</f>
        <v>Active</v>
      </c>
      <c r="H49" s="42" t="s">
        <v>5472</v>
      </c>
      <c r="I49" s="44" t="s">
        <v>5516</v>
      </c>
      <c r="J49" s="221">
        <v>83</v>
      </c>
      <c r="K49" s="43" t="s">
        <v>5474</v>
      </c>
      <c r="L49" s="241" t="str">
        <f>VLOOKUP(Table10[[#This Row],[Country Code]],Table29[],3,FALSE)</f>
        <v>Non-Annex I</v>
      </c>
      <c r="M49" s="241" t="str">
        <f>VLOOKUP(Table10[[#This Row],[Country Code]],Table29[],4,FALSE)</f>
        <v>Latin America and the Caribbean</v>
      </c>
      <c r="N49" s="241" t="str">
        <f>VLOOKUP(Table10[[#This Row],[Country Code]],Table29[],5,FALSE)</f>
        <v>Middle-income</v>
      </c>
      <c r="O49" s="241" t="str">
        <f>VLOOKUP(Table10[[#This Row],[Country Code]],Table29[],6,FALSE)</f>
        <v>no</v>
      </c>
      <c r="P49" s="241" t="str">
        <f>VLOOKUP(Table10[[#This Row],[Country Code]],Table29[],7,FALSE)</f>
        <v>no</v>
      </c>
      <c r="Q49" s="241" t="str">
        <f>VLOOKUP(Table10[[#This Row],[Country Code]],Table29[],8,FALSE)</f>
        <v>non-OECD</v>
      </c>
      <c r="R49" s="233" t="str">
        <f>VLOOKUP(Table10[[#This Row],[Country Code]],Table29[],9,FALSE)</f>
        <v>no</v>
      </c>
      <c r="S49" s="233" t="str">
        <f>VLOOKUP(Table10[[#This Row],[Country Code]],Table29[],10,FALSE)</f>
        <v>no</v>
      </c>
      <c r="T49" s="233">
        <f>VLOOKUP(Table10[[#This Row],[Country Code]],Table29[],23,FALSE)</f>
        <v>48.396213040657997</v>
      </c>
      <c r="U49" s="233">
        <f>VLOOKUP(Table10[[#This Row],[Country Code]],Table29[],24,FALSE)</f>
        <v>8.515708871390995</v>
      </c>
      <c r="V49" s="43"/>
    </row>
    <row r="50" spans="1:22" x14ac:dyDescent="0.25">
      <c r="A50" s="221">
        <v>17580</v>
      </c>
      <c r="B50" s="43" t="str">
        <f>VLOOKUP(Table10[[#This Row],[Document ID]],Table1[],2,FALSE)</f>
        <v>DOM</v>
      </c>
      <c r="C50" s="43" t="str">
        <f>VLOOKUP(Table10[[#This Row],[Document ID]],Table1[],3,FALSE)</f>
        <v>Dominican Republic</v>
      </c>
      <c r="D50" s="43" t="str">
        <f>VLOOKUP(Table10[[#This Row],[Document ID]],Table1[],5,FALSE)</f>
        <v>NDC</v>
      </c>
      <c r="E50" s="43" t="str">
        <f>VLOOKUP(Table10[[#This Row],[Document ID]],Table1[],7,FALSE)</f>
        <v>First NDC updated</v>
      </c>
      <c r="F50" s="43" t="str">
        <f>VLOOKUP(Table10[[#This Row],[Document ID]],Table1[],8,FALSE)</f>
        <v>NDC 1.1</v>
      </c>
      <c r="G50" s="43" t="str">
        <f>VLOOKUP(Table10[[#This Row],[Document ID]],Table1[],10,FALSE)</f>
        <v>Active</v>
      </c>
      <c r="H50" s="42" t="s">
        <v>5483</v>
      </c>
      <c r="I50" s="44" t="s">
        <v>5517</v>
      </c>
      <c r="J50" s="221">
        <v>92</v>
      </c>
      <c r="K50" s="43" t="s">
        <v>5485</v>
      </c>
      <c r="L50" s="241" t="str">
        <f>VLOOKUP(Table10[[#This Row],[Country Code]],Table29[],3,FALSE)</f>
        <v>Non-Annex I</v>
      </c>
      <c r="M50" s="241" t="str">
        <f>VLOOKUP(Table10[[#This Row],[Country Code]],Table29[],4,FALSE)</f>
        <v>Latin America and the Caribbean</v>
      </c>
      <c r="N50" s="241" t="str">
        <f>VLOOKUP(Table10[[#This Row],[Country Code]],Table29[],5,FALSE)</f>
        <v>Middle-income</v>
      </c>
      <c r="O50" s="241" t="str">
        <f>VLOOKUP(Table10[[#This Row],[Country Code]],Table29[],6,FALSE)</f>
        <v>no</v>
      </c>
      <c r="P50" s="241" t="str">
        <f>VLOOKUP(Table10[[#This Row],[Country Code]],Table29[],7,FALSE)</f>
        <v>no</v>
      </c>
      <c r="Q50" s="241" t="str">
        <f>VLOOKUP(Table10[[#This Row],[Country Code]],Table29[],8,FALSE)</f>
        <v>non-OECD</v>
      </c>
      <c r="R50" s="233" t="str">
        <f>VLOOKUP(Table10[[#This Row],[Country Code]],Table29[],9,FALSE)</f>
        <v>no</v>
      </c>
      <c r="S50" s="233" t="str">
        <f>VLOOKUP(Table10[[#This Row],[Country Code]],Table29[],10,FALSE)</f>
        <v>no</v>
      </c>
      <c r="T50" s="233">
        <f>VLOOKUP(Table10[[#This Row],[Country Code]],Table29[],23,FALSE)</f>
        <v>48.396213040657997</v>
      </c>
      <c r="U50" s="233">
        <f>VLOOKUP(Table10[[#This Row],[Country Code]],Table29[],24,FALSE)</f>
        <v>8.515708871390995</v>
      </c>
      <c r="V50" s="43"/>
    </row>
    <row r="51" spans="1:22" x14ac:dyDescent="0.25">
      <c r="A51" s="259">
        <v>32498</v>
      </c>
      <c r="B51" s="43" t="str">
        <f>VLOOKUP(Table10[[#This Row],[Document ID]],Table1[],2,FALSE)</f>
        <v>ECU</v>
      </c>
      <c r="C51" s="43" t="str">
        <f>VLOOKUP(Table10[[#This Row],[Document ID]],Table1[],3,FALSE)</f>
        <v>Ecuador</v>
      </c>
      <c r="D51" s="42" t="str">
        <f>VLOOKUP(Table10[[#This Row],[Document ID]],Table1[],5,FALSE)</f>
        <v>NDC</v>
      </c>
      <c r="E51" s="43" t="str">
        <f>VLOOKUP(Table10[[#This Row],[Document ID]],Table1[],7,FALSE)</f>
        <v>First NDC</v>
      </c>
      <c r="F51" s="42" t="str">
        <f>VLOOKUP(Table10[[#This Row],[Document ID]],Table1[],8,FALSE)</f>
        <v>NDC 1.0</v>
      </c>
      <c r="G51" s="42" t="str">
        <f>VLOOKUP(Table10[[#This Row],[Document ID]],Table1[],10,FALSE)</f>
        <v>Archived</v>
      </c>
      <c r="H51" s="42" t="s">
        <v>5483</v>
      </c>
      <c r="I51" s="209" t="s">
        <v>5518</v>
      </c>
      <c r="J51" s="259">
        <v>41</v>
      </c>
      <c r="K51" s="344" t="s">
        <v>5485</v>
      </c>
      <c r="L51" s="241" t="str">
        <f>VLOOKUP(Table10[[#This Row],[Country Code]],Table29[],3,FALSE)</f>
        <v>Non-Annex I</v>
      </c>
      <c r="M51" s="241" t="str">
        <f>VLOOKUP(Table10[[#This Row],[Country Code]],Table29[],4,FALSE)</f>
        <v>Latin America and the Caribbean</v>
      </c>
      <c r="N51" s="241" t="str">
        <f>VLOOKUP(Table10[[#This Row],[Country Code]],Table29[],5,FALSE)</f>
        <v>Middle-income</v>
      </c>
      <c r="O51" s="241" t="str">
        <f>VLOOKUP(Table10[[#This Row],[Country Code]],Table29[],6,FALSE)</f>
        <v>no</v>
      </c>
      <c r="P51" s="241" t="str">
        <f>VLOOKUP(Table10[[#This Row],[Country Code]],Table29[],7,FALSE)</f>
        <v>no</v>
      </c>
      <c r="Q51" s="241" t="str">
        <f>VLOOKUP(Table10[[#This Row],[Country Code]],Table29[],8,FALSE)</f>
        <v>non-OECD</v>
      </c>
      <c r="R51" s="233" t="str">
        <f>VLOOKUP(Table10[[#This Row],[Country Code]],Table29[],9,FALSE)</f>
        <v>no</v>
      </c>
      <c r="S51" s="233" t="str">
        <f>VLOOKUP(Table10[[#This Row],[Country Code]],Table29[],10,FALSE)</f>
        <v>no</v>
      </c>
      <c r="T51" s="233">
        <f>VLOOKUP(Table10[[#This Row],[Country Code]],Table29[],23,FALSE)</f>
        <v>73.604607615068005</v>
      </c>
      <c r="U51" s="233">
        <f>VLOOKUP(Table10[[#This Row],[Country Code]],Table29[],24,FALSE)</f>
        <v>22.250312638556871</v>
      </c>
      <c r="V51" s="42"/>
    </row>
    <row r="52" spans="1:22" ht="60" x14ac:dyDescent="0.25">
      <c r="A52" s="221">
        <v>17590</v>
      </c>
      <c r="B52" s="43" t="str">
        <f>VLOOKUP(Table10[[#This Row],[Document ID]],Table1[],2,FALSE)</f>
        <v>EEU</v>
      </c>
      <c r="C52" s="43" t="str">
        <f>VLOOKUP(Table10[[#This Row],[Document ID]],Table1[],3,FALSE)</f>
        <v>European Union</v>
      </c>
      <c r="D52" s="43" t="str">
        <f>VLOOKUP(Table10[[#This Row],[Document ID]],Table1[],5,FALSE)</f>
        <v>LTS</v>
      </c>
      <c r="E52" s="43" t="str">
        <f>VLOOKUP(Table10[[#This Row],[Document ID]],Table1[],7,FALSE)</f>
        <v>LTS</v>
      </c>
      <c r="F52" s="43" t="str">
        <f>VLOOKUP(Table10[[#This Row],[Document ID]],Table1[],8,FALSE)</f>
        <v>LTS 1.0</v>
      </c>
      <c r="G52" s="43" t="str">
        <f>VLOOKUP(Table10[[#This Row],[Document ID]],Table1[],10,FALSE)</f>
        <v>Active</v>
      </c>
      <c r="H52" s="42" t="s">
        <v>5460</v>
      </c>
      <c r="I52" s="44" t="s">
        <v>5519</v>
      </c>
      <c r="J52" s="221">
        <v>10</v>
      </c>
      <c r="K52" s="43" t="s">
        <v>5462</v>
      </c>
      <c r="L52" s="241" t="str">
        <f>VLOOKUP(Table10[[#This Row],[Country Code]],Table29[],3,FALSE)</f>
        <v>Annex I</v>
      </c>
      <c r="M52" s="241" t="str">
        <f>VLOOKUP(Table10[[#This Row],[Country Code]],Table29[],4,FALSE)</f>
        <v>Europe</v>
      </c>
      <c r="N52" s="241" t="str">
        <f>VLOOKUP(Table10[[#This Row],[Country Code]],Table29[],5,FALSE)</f>
        <v>N/A</v>
      </c>
      <c r="O52" s="241" t="str">
        <f>VLOOKUP(Table10[[#This Row],[Country Code]],Table29[],6,FALSE)</f>
        <v>G20</v>
      </c>
      <c r="P52" s="241" t="str">
        <f>VLOOKUP(Table10[[#This Row],[Country Code]],Table29[],7,FALSE)</f>
        <v>no</v>
      </c>
      <c r="Q52" s="241" t="str">
        <f>VLOOKUP(Table10[[#This Row],[Country Code]],Table29[],8,FALSE)</f>
        <v>non-OECD</v>
      </c>
      <c r="R52" s="233" t="str">
        <f>VLOOKUP(Table10[[#This Row],[Country Code]],Table29[],9,FALSE)</f>
        <v>no</v>
      </c>
      <c r="S52" s="233" t="str">
        <f>VLOOKUP(Table10[[#This Row],[Country Code]],Table29[],10,FALSE)</f>
        <v>no</v>
      </c>
      <c r="T52" s="233" t="e">
        <f>VLOOKUP(Table10[[#This Row],[Country Code]],Table29[],23,FALSE)</f>
        <v>#N/A</v>
      </c>
      <c r="U52" s="233" t="e">
        <f>VLOOKUP(Table10[[#This Row],[Country Code]],Table29[],24,FALSE)</f>
        <v>#N/A</v>
      </c>
      <c r="V52" s="43"/>
    </row>
    <row r="53" spans="1:22" ht="60" x14ac:dyDescent="0.25">
      <c r="A53" s="221">
        <v>17590</v>
      </c>
      <c r="B53" s="43" t="str">
        <f>VLOOKUP(Table10[[#This Row],[Document ID]],Table1[],2,FALSE)</f>
        <v>EEU</v>
      </c>
      <c r="C53" s="43" t="str">
        <f>VLOOKUP(Table10[[#This Row],[Document ID]],Table1[],3,FALSE)</f>
        <v>European Union</v>
      </c>
      <c r="D53" s="43" t="str">
        <f>VLOOKUP(Table10[[#This Row],[Document ID]],Table1[],5,FALSE)</f>
        <v>LTS</v>
      </c>
      <c r="E53" s="43" t="str">
        <f>VLOOKUP(Table10[[#This Row],[Document ID]],Table1[],7,FALSE)</f>
        <v>LTS</v>
      </c>
      <c r="F53" s="43" t="str">
        <f>VLOOKUP(Table10[[#This Row],[Document ID]],Table1[],8,FALSE)</f>
        <v>LTS 1.0</v>
      </c>
      <c r="G53" s="43" t="str">
        <f>VLOOKUP(Table10[[#This Row],[Document ID]],Table1[],10,FALSE)</f>
        <v>Active</v>
      </c>
      <c r="H53" s="42" t="s">
        <v>5466</v>
      </c>
      <c r="I53" s="44" t="s">
        <v>5519</v>
      </c>
      <c r="J53" s="221">
        <v>10</v>
      </c>
      <c r="K53" s="43" t="s">
        <v>5468</v>
      </c>
      <c r="L53" s="241" t="str">
        <f>VLOOKUP(Table10[[#This Row],[Country Code]],Table29[],3,FALSE)</f>
        <v>Annex I</v>
      </c>
      <c r="M53" s="241" t="str">
        <f>VLOOKUP(Table10[[#This Row],[Country Code]],Table29[],4,FALSE)</f>
        <v>Europe</v>
      </c>
      <c r="N53" s="241" t="str">
        <f>VLOOKUP(Table10[[#This Row],[Country Code]],Table29[],5,FALSE)</f>
        <v>N/A</v>
      </c>
      <c r="O53" s="241" t="str">
        <f>VLOOKUP(Table10[[#This Row],[Country Code]],Table29[],6,FALSE)</f>
        <v>G20</v>
      </c>
      <c r="P53" s="241" t="str">
        <f>VLOOKUP(Table10[[#This Row],[Country Code]],Table29[],7,FALSE)</f>
        <v>no</v>
      </c>
      <c r="Q53" s="241" t="str">
        <f>VLOOKUP(Table10[[#This Row],[Country Code]],Table29[],8,FALSE)</f>
        <v>non-OECD</v>
      </c>
      <c r="R53" s="233" t="str">
        <f>VLOOKUP(Table10[[#This Row],[Country Code]],Table29[],9,FALSE)</f>
        <v>no</v>
      </c>
      <c r="S53" s="233" t="str">
        <f>VLOOKUP(Table10[[#This Row],[Country Code]],Table29[],10,FALSE)</f>
        <v>no</v>
      </c>
      <c r="T53" s="233" t="e">
        <f>VLOOKUP(Table10[[#This Row],[Country Code]],Table29[],23,FALSE)</f>
        <v>#N/A</v>
      </c>
      <c r="U53" s="233" t="e">
        <f>VLOOKUP(Table10[[#This Row],[Country Code]],Table29[],24,FALSE)</f>
        <v>#N/A</v>
      </c>
      <c r="V53" s="43"/>
    </row>
    <row r="54" spans="1:22" ht="60" x14ac:dyDescent="0.25">
      <c r="A54" s="221">
        <v>17590</v>
      </c>
      <c r="B54" s="43" t="str">
        <f>VLOOKUP(Table10[[#This Row],[Document ID]],Table1[],2,FALSE)</f>
        <v>EEU</v>
      </c>
      <c r="C54" s="43" t="str">
        <f>VLOOKUP(Table10[[#This Row],[Document ID]],Table1[],3,FALSE)</f>
        <v>European Union</v>
      </c>
      <c r="D54" s="43" t="str">
        <f>VLOOKUP(Table10[[#This Row],[Document ID]],Table1[],5,FALSE)</f>
        <v>LTS</v>
      </c>
      <c r="E54" s="43" t="str">
        <f>VLOOKUP(Table10[[#This Row],[Document ID]],Table1[],7,FALSE)</f>
        <v>LTS</v>
      </c>
      <c r="F54" s="43" t="str">
        <f>VLOOKUP(Table10[[#This Row],[Document ID]],Table1[],8,FALSE)</f>
        <v>LTS 1.0</v>
      </c>
      <c r="G54" s="43" t="str">
        <f>VLOOKUP(Table10[[#This Row],[Document ID]],Table1[],10,FALSE)</f>
        <v>Active</v>
      </c>
      <c r="H54" s="42" t="s">
        <v>5475</v>
      </c>
      <c r="I54" s="44" t="s">
        <v>5519</v>
      </c>
      <c r="J54" s="221">
        <v>10</v>
      </c>
      <c r="K54" s="43" t="s">
        <v>5477</v>
      </c>
      <c r="L54" s="241" t="str">
        <f>VLOOKUP(Table10[[#This Row],[Country Code]],Table29[],3,FALSE)</f>
        <v>Annex I</v>
      </c>
      <c r="M54" s="241" t="str">
        <f>VLOOKUP(Table10[[#This Row],[Country Code]],Table29[],4,FALSE)</f>
        <v>Europe</v>
      </c>
      <c r="N54" s="241" t="str">
        <f>VLOOKUP(Table10[[#This Row],[Country Code]],Table29[],5,FALSE)</f>
        <v>N/A</v>
      </c>
      <c r="O54" s="241" t="str">
        <f>VLOOKUP(Table10[[#This Row],[Country Code]],Table29[],6,FALSE)</f>
        <v>G20</v>
      </c>
      <c r="P54" s="241" t="str">
        <f>VLOOKUP(Table10[[#This Row],[Country Code]],Table29[],7,FALSE)</f>
        <v>no</v>
      </c>
      <c r="Q54" s="241" t="str">
        <f>VLOOKUP(Table10[[#This Row],[Country Code]],Table29[],8,FALSE)</f>
        <v>non-OECD</v>
      </c>
      <c r="R54" s="233" t="str">
        <f>VLOOKUP(Table10[[#This Row],[Country Code]],Table29[],9,FALSE)</f>
        <v>no</v>
      </c>
      <c r="S54" s="233" t="str">
        <f>VLOOKUP(Table10[[#This Row],[Country Code]],Table29[],10,FALSE)</f>
        <v>no</v>
      </c>
      <c r="T54" s="233" t="e">
        <f>VLOOKUP(Table10[[#This Row],[Country Code]],Table29[],23,FALSE)</f>
        <v>#N/A</v>
      </c>
      <c r="U54" s="233" t="e">
        <f>VLOOKUP(Table10[[#This Row],[Country Code]],Table29[],24,FALSE)</f>
        <v>#N/A</v>
      </c>
      <c r="V54" s="43"/>
    </row>
    <row r="55" spans="1:22" x14ac:dyDescent="0.25">
      <c r="A55" s="258">
        <v>17599</v>
      </c>
      <c r="B55" s="43" t="str">
        <f>VLOOKUP(Table10[[#This Row],[Document ID]],Table1[],2,FALSE)</f>
        <v>GAB</v>
      </c>
      <c r="C55" s="43" t="str">
        <f>VLOOKUP(Table10[[#This Row],[Document ID]],Table1[],3,FALSE)</f>
        <v>Gabon</v>
      </c>
      <c r="D55" s="176" t="str">
        <f>VLOOKUP(Table10[[#This Row],[Document ID]],Table1[],5,FALSE)</f>
        <v>NDC</v>
      </c>
      <c r="E55" s="43" t="str">
        <f>VLOOKUP(Table10[[#This Row],[Document ID]],Table1[],7,FALSE)</f>
        <v>First NDC</v>
      </c>
      <c r="F55" s="176" t="str">
        <f>VLOOKUP(Table10[[#This Row],[Document ID]],Table1[],8,FALSE)</f>
        <v>NDC 1.0</v>
      </c>
      <c r="G55" s="176" t="str">
        <f>VLOOKUP(Table10[[#This Row],[Document ID]],Table1[],10,FALSE)</f>
        <v>Archived</v>
      </c>
      <c r="H55" s="42" t="s">
        <v>5478</v>
      </c>
      <c r="I55" s="176" t="s">
        <v>5520</v>
      </c>
      <c r="J55" s="258">
        <v>9</v>
      </c>
      <c r="K55" s="176" t="s">
        <v>5480</v>
      </c>
      <c r="L55" s="241" t="str">
        <f>VLOOKUP(Table10[[#This Row],[Country Code]],Table29[],3,FALSE)</f>
        <v>Non-Annex I</v>
      </c>
      <c r="M55" s="241" t="str">
        <f>VLOOKUP(Table10[[#This Row],[Country Code]],Table29[],4,FALSE)</f>
        <v>Africa</v>
      </c>
      <c r="N55" s="241" t="str">
        <f>VLOOKUP(Table10[[#This Row],[Country Code]],Table29[],5,FALSE)</f>
        <v>Middle-income</v>
      </c>
      <c r="O55" s="241" t="str">
        <f>VLOOKUP(Table10[[#This Row],[Country Code]],Table29[],6,FALSE)</f>
        <v>no</v>
      </c>
      <c r="P55" s="241" t="str">
        <f>VLOOKUP(Table10[[#This Row],[Country Code]],Table29[],7,FALSE)</f>
        <v>no</v>
      </c>
      <c r="Q55" s="241" t="str">
        <f>VLOOKUP(Table10[[#This Row],[Country Code]],Table29[],8,FALSE)</f>
        <v>non-OECD</v>
      </c>
      <c r="R55" s="233" t="str">
        <f>VLOOKUP(Table10[[#This Row],[Country Code]],Table29[],9,FALSE)</f>
        <v>no</v>
      </c>
      <c r="S55" s="233" t="str">
        <f>VLOOKUP(Table10[[#This Row],[Country Code]],Table29[],10,FALSE)</f>
        <v>no</v>
      </c>
      <c r="T55" s="233">
        <f>VLOOKUP(Table10[[#This Row],[Country Code]],Table29[],23,FALSE)</f>
        <v>21.402080428809001</v>
      </c>
      <c r="U55" s="233">
        <f>VLOOKUP(Table10[[#This Row],[Country Code]],Table29[],24,FALSE)</f>
        <v>0.2169319598307908</v>
      </c>
      <c r="V55" s="43"/>
    </row>
    <row r="56" spans="1:22" ht="45" x14ac:dyDescent="0.25">
      <c r="A56" s="257">
        <v>21097</v>
      </c>
      <c r="B56" s="43" t="str">
        <f>VLOOKUP(Table10[[#This Row],[Document ID]],Table1[],2,FALSE)</f>
        <v>GTM</v>
      </c>
      <c r="C56" s="43" t="str">
        <f>VLOOKUP(Table10[[#This Row],[Document ID]],Table1[],3,FALSE)</f>
        <v>Guatemala</v>
      </c>
      <c r="D56" s="45" t="str">
        <f>VLOOKUP(Table10[[#This Row],[Document ID]],Table1[],5,FALSE)</f>
        <v>LTS</v>
      </c>
      <c r="E56" s="43" t="str">
        <f>VLOOKUP(Table10[[#This Row],[Document ID]],Table1[],7,FALSE)</f>
        <v>LTS</v>
      </c>
      <c r="F56" s="42" t="str">
        <f>VLOOKUP(Table10[[#This Row],[Document ID]],Table1[],8,FALSE)</f>
        <v>LTS 1.0</v>
      </c>
      <c r="G56" s="42" t="str">
        <f>VLOOKUP(Table10[[#This Row],[Document ID]],Table1[],10,FALSE)</f>
        <v>Active</v>
      </c>
      <c r="H56" s="42" t="s">
        <v>5463</v>
      </c>
      <c r="I56" s="209" t="s">
        <v>5521</v>
      </c>
      <c r="J56" s="259">
        <v>32</v>
      </c>
      <c r="K56" s="42" t="s">
        <v>5465</v>
      </c>
      <c r="L56" s="241" t="str">
        <f>VLOOKUP(Table10[[#This Row],[Country Code]],Table29[],3,FALSE)</f>
        <v>Non-Annex I</v>
      </c>
      <c r="M56" s="241" t="str">
        <f>VLOOKUP(Table10[[#This Row],[Country Code]],Table29[],4,FALSE)</f>
        <v>Latin America and the Caribbean</v>
      </c>
      <c r="N56" s="241" t="str">
        <f>VLOOKUP(Table10[[#This Row],[Country Code]],Table29[],5,FALSE)</f>
        <v>Middle-income</v>
      </c>
      <c r="O56" s="241" t="str">
        <f>VLOOKUP(Table10[[#This Row],[Country Code]],Table29[],6,FALSE)</f>
        <v>no</v>
      </c>
      <c r="P56" s="241" t="str">
        <f>VLOOKUP(Table10[[#This Row],[Country Code]],Table29[],7,FALSE)</f>
        <v>no</v>
      </c>
      <c r="Q56" s="241" t="str">
        <f>VLOOKUP(Table10[[#This Row],[Country Code]],Table29[],8,FALSE)</f>
        <v>non-OECD</v>
      </c>
      <c r="R56" s="233" t="str">
        <f>VLOOKUP(Table10[[#This Row],[Country Code]],Table29[],9,FALSE)</f>
        <v>no</v>
      </c>
      <c r="S56" s="233" t="str">
        <f>VLOOKUP(Table10[[#This Row],[Country Code]],Table29[],10,FALSE)</f>
        <v>no</v>
      </c>
      <c r="T56" s="233">
        <f>VLOOKUP(Table10[[#This Row],[Country Code]],Table29[],23,FALSE)</f>
        <v>43.981074467992002</v>
      </c>
      <c r="U56" s="233">
        <f>VLOOKUP(Table10[[#This Row],[Country Code]],Table29[],24,FALSE)</f>
        <v>11.70609674588653</v>
      </c>
      <c r="V56" s="43"/>
    </row>
    <row r="57" spans="1:22" ht="60" x14ac:dyDescent="0.25">
      <c r="A57" s="257">
        <v>21097</v>
      </c>
      <c r="B57" s="43" t="str">
        <f>VLOOKUP(Table10[[#This Row],[Document ID]],Table1[],2,FALSE)</f>
        <v>GTM</v>
      </c>
      <c r="C57" s="43" t="str">
        <f>VLOOKUP(Table10[[#This Row],[Document ID]],Table1[],3,FALSE)</f>
        <v>Guatemala</v>
      </c>
      <c r="D57" s="45" t="str">
        <f>VLOOKUP(Table10[[#This Row],[Document ID]],Table1[],5,FALSE)</f>
        <v>LTS</v>
      </c>
      <c r="E57" s="43" t="str">
        <f>VLOOKUP(Table10[[#This Row],[Document ID]],Table1[],7,FALSE)</f>
        <v>LTS</v>
      </c>
      <c r="F57" s="42" t="str">
        <f>VLOOKUP(Table10[[#This Row],[Document ID]],Table1[],8,FALSE)</f>
        <v>LTS 1.0</v>
      </c>
      <c r="G57" s="42" t="str">
        <f>VLOOKUP(Table10[[#This Row],[Document ID]],Table1[],10,FALSE)</f>
        <v>Active</v>
      </c>
      <c r="H57" s="42" t="s">
        <v>5463</v>
      </c>
      <c r="I57" s="209" t="s">
        <v>5522</v>
      </c>
      <c r="J57" s="259">
        <v>32</v>
      </c>
      <c r="K57" s="42" t="s">
        <v>5465</v>
      </c>
      <c r="L57" s="241" t="str">
        <f>VLOOKUP(Table10[[#This Row],[Country Code]],Table29[],3,FALSE)</f>
        <v>Non-Annex I</v>
      </c>
      <c r="M57" s="241" t="str">
        <f>VLOOKUP(Table10[[#This Row],[Country Code]],Table29[],4,FALSE)</f>
        <v>Latin America and the Caribbean</v>
      </c>
      <c r="N57" s="241" t="str">
        <f>VLOOKUP(Table10[[#This Row],[Country Code]],Table29[],5,FALSE)</f>
        <v>Middle-income</v>
      </c>
      <c r="O57" s="241" t="str">
        <f>VLOOKUP(Table10[[#This Row],[Country Code]],Table29[],6,FALSE)</f>
        <v>no</v>
      </c>
      <c r="P57" s="241" t="str">
        <f>VLOOKUP(Table10[[#This Row],[Country Code]],Table29[],7,FALSE)</f>
        <v>no</v>
      </c>
      <c r="Q57" s="241" t="str">
        <f>VLOOKUP(Table10[[#This Row],[Country Code]],Table29[],8,FALSE)</f>
        <v>non-OECD</v>
      </c>
      <c r="R57" s="233" t="str">
        <f>VLOOKUP(Table10[[#This Row],[Country Code]],Table29[],9,FALSE)</f>
        <v>no</v>
      </c>
      <c r="S57" s="233" t="str">
        <f>VLOOKUP(Table10[[#This Row],[Country Code]],Table29[],10,FALSE)</f>
        <v>no</v>
      </c>
      <c r="T57" s="233">
        <f>VLOOKUP(Table10[[#This Row],[Country Code]],Table29[],23,FALSE)</f>
        <v>43.981074467992002</v>
      </c>
      <c r="U57" s="233">
        <f>VLOOKUP(Table10[[#This Row],[Country Code]],Table29[],24,FALSE)</f>
        <v>11.70609674588653</v>
      </c>
      <c r="V57" s="43"/>
    </row>
    <row r="58" spans="1:22" x14ac:dyDescent="0.25">
      <c r="A58" s="374">
        <v>26799</v>
      </c>
      <c r="B58" s="43" t="str">
        <f>VLOOKUP(Table10[[#This Row],[Document ID]],Table1[],2,FALSE)</f>
        <v>HTI</v>
      </c>
      <c r="C58" s="43" t="str">
        <f>VLOOKUP(Table10[[#This Row],[Document ID]],Table1[],3,FALSE)</f>
        <v>Haiti</v>
      </c>
      <c r="D58" s="45" t="str">
        <f>VLOOKUP(Table10[[#This Row],[Document ID]],Table1[],5,FALSE)</f>
        <v>NDC</v>
      </c>
      <c r="E58" s="43" t="str">
        <f>VLOOKUP(Table10[[#This Row],[Document ID]],Table1[],7,FALSE)</f>
        <v>First NDC updated</v>
      </c>
      <c r="F58" s="209" t="str">
        <f>VLOOKUP(Table10[[#This Row],[Document ID]],Table1[],8,FALSE)</f>
        <v>NDC 1.1</v>
      </c>
      <c r="G58" s="209" t="str">
        <f>VLOOKUP(Table10[[#This Row],[Document ID]],Table1[],10,FALSE)</f>
        <v>Active</v>
      </c>
      <c r="H58" s="42" t="s">
        <v>5483</v>
      </c>
      <c r="I58" s="345" t="s">
        <v>5523</v>
      </c>
      <c r="J58" s="221" t="s">
        <v>5524</v>
      </c>
      <c r="K58" s="42" t="s">
        <v>5485</v>
      </c>
      <c r="L58" s="241" t="str">
        <f>VLOOKUP(Table10[[#This Row],[Country Code]],Table29[],3,FALSE)</f>
        <v>Non-Annex I</v>
      </c>
      <c r="M58" s="241" t="str">
        <f>VLOOKUP(Table10[[#This Row],[Country Code]],Table29[],4,FALSE)</f>
        <v>Latin America and the Caribbean</v>
      </c>
      <c r="N58" s="241" t="str">
        <f>VLOOKUP(Table10[[#This Row],[Country Code]],Table29[],5,FALSE)</f>
        <v>Middle-income</v>
      </c>
      <c r="O58" s="241" t="str">
        <f>VLOOKUP(Table10[[#This Row],[Country Code]],Table29[],6,FALSE)</f>
        <v>no</v>
      </c>
      <c r="P58" s="241" t="str">
        <f>VLOOKUP(Table10[[#This Row],[Country Code]],Table29[],7,FALSE)</f>
        <v>no</v>
      </c>
      <c r="Q58" s="241" t="str">
        <f>VLOOKUP(Table10[[#This Row],[Country Code]],Table29[],8,FALSE)</f>
        <v>non-OECD</v>
      </c>
      <c r="R58" s="233" t="str">
        <f>VLOOKUP(Table10[[#This Row],[Country Code]],Table29[],9,FALSE)</f>
        <v>no</v>
      </c>
      <c r="S58" s="233" t="str">
        <f>VLOOKUP(Table10[[#This Row],[Country Code]],Table29[],10,FALSE)</f>
        <v>no</v>
      </c>
      <c r="T58" s="233">
        <f>VLOOKUP(Table10[[#This Row],[Country Code]],Table29[],23,FALSE)</f>
        <v>13.656955798463001</v>
      </c>
      <c r="U58" s="233">
        <f>VLOOKUP(Table10[[#This Row],[Country Code]],Table29[],24,FALSE)</f>
        <v>1.477654993185334</v>
      </c>
      <c r="V58" s="43"/>
    </row>
    <row r="59" spans="1:22" ht="105" x14ac:dyDescent="0.25">
      <c r="A59" s="374">
        <v>20477</v>
      </c>
      <c r="B59" s="43" t="str">
        <f>VLOOKUP(Table10[[#This Row],[Document ID]],Table1[],2,FALSE)</f>
        <v>HND</v>
      </c>
      <c r="C59" s="43" t="str">
        <f>VLOOKUP(Table10[[#This Row],[Document ID]],Table1[],3,FALSE)</f>
        <v>Honduras</v>
      </c>
      <c r="D59" s="45" t="str">
        <f>VLOOKUP(Table10[[#This Row],[Document ID]],Table1[],5,FALSE)</f>
        <v>NDC</v>
      </c>
      <c r="E59" s="43" t="str">
        <f>VLOOKUP(Table10[[#This Row],[Document ID]],Table1[],7,FALSE)</f>
        <v>First NDC updated</v>
      </c>
      <c r="F59" s="42" t="str">
        <f>VLOOKUP(Table10[[#This Row],[Document ID]],Table1[],8,FALSE)</f>
        <v>NDC 1.1</v>
      </c>
      <c r="G59" s="42" t="str">
        <f>VLOOKUP(Table10[[#This Row],[Document ID]],Table1[],10,FALSE)</f>
        <v>Active</v>
      </c>
      <c r="H59" s="42" t="s">
        <v>5463</v>
      </c>
      <c r="I59" s="316" t="s">
        <v>5525</v>
      </c>
      <c r="J59" s="346" t="s">
        <v>5526</v>
      </c>
      <c r="K59" s="208" t="s">
        <v>5465</v>
      </c>
      <c r="L59" s="241" t="str">
        <f>VLOOKUP(Table10[[#This Row],[Country Code]],Table29[],3,FALSE)</f>
        <v>Non-Annex I</v>
      </c>
      <c r="M59" s="241" t="str">
        <f>VLOOKUP(Table10[[#This Row],[Country Code]],Table29[],4,FALSE)</f>
        <v>Latin America and the Caribbean</v>
      </c>
      <c r="N59" s="241" t="str">
        <f>VLOOKUP(Table10[[#This Row],[Country Code]],Table29[],5,FALSE)</f>
        <v>Middle-income</v>
      </c>
      <c r="O59" s="241" t="str">
        <f>VLOOKUP(Table10[[#This Row],[Country Code]],Table29[],6,FALSE)</f>
        <v>no</v>
      </c>
      <c r="P59" s="241" t="str">
        <f>VLOOKUP(Table10[[#This Row],[Country Code]],Table29[],7,FALSE)</f>
        <v>no</v>
      </c>
      <c r="Q59" s="241" t="str">
        <f>VLOOKUP(Table10[[#This Row],[Country Code]],Table29[],8,FALSE)</f>
        <v>non-OECD</v>
      </c>
      <c r="R59" s="233" t="str">
        <f>VLOOKUP(Table10[[#This Row],[Country Code]],Table29[],9,FALSE)</f>
        <v>no</v>
      </c>
      <c r="S59" s="233" t="str">
        <f>VLOOKUP(Table10[[#This Row],[Country Code]],Table29[],10,FALSE)</f>
        <v>no</v>
      </c>
      <c r="T59" s="233">
        <f>VLOOKUP(Table10[[#This Row],[Country Code]],Table29[],23,FALSE)</f>
        <v>22.920141542444</v>
      </c>
      <c r="U59" s="233">
        <f>VLOOKUP(Table10[[#This Row],[Country Code]],Table29[],24,FALSE)</f>
        <v>5.0392120768310251</v>
      </c>
      <c r="V59" s="43"/>
    </row>
    <row r="60" spans="1:22" x14ac:dyDescent="0.25">
      <c r="A60" s="257">
        <v>20477</v>
      </c>
      <c r="B60" s="43" t="str">
        <f>VLOOKUP(Table10[[#This Row],[Document ID]],Table1[],2,FALSE)</f>
        <v>HND</v>
      </c>
      <c r="C60" s="43" t="str">
        <f>VLOOKUP(Table10[[#This Row],[Document ID]],Table1[],3,FALSE)</f>
        <v>Honduras</v>
      </c>
      <c r="D60" s="45" t="str">
        <f>VLOOKUP(Table10[[#This Row],[Document ID]],Table1[],5,FALSE)</f>
        <v>NDC</v>
      </c>
      <c r="E60" s="43" t="str">
        <f>VLOOKUP(Table10[[#This Row],[Document ID]],Table1[],7,FALSE)</f>
        <v>First NDC updated</v>
      </c>
      <c r="F60" s="42" t="str">
        <f>VLOOKUP(Table10[[#This Row],[Document ID]],Table1[],8,FALSE)</f>
        <v>NDC 1.1</v>
      </c>
      <c r="G60" s="42" t="str">
        <f>VLOOKUP(Table10[[#This Row],[Document ID]],Table1[],10,FALSE)</f>
        <v>Active</v>
      </c>
      <c r="H60" s="42" t="s">
        <v>5483</v>
      </c>
      <c r="I60" s="209" t="s">
        <v>5527</v>
      </c>
      <c r="J60" s="259">
        <v>20</v>
      </c>
      <c r="K60" s="42" t="s">
        <v>5485</v>
      </c>
      <c r="L60" s="241" t="str">
        <f>VLOOKUP(Table10[[#This Row],[Country Code]],Table29[],3,FALSE)</f>
        <v>Non-Annex I</v>
      </c>
      <c r="M60" s="241" t="str">
        <f>VLOOKUP(Table10[[#This Row],[Country Code]],Table29[],4,FALSE)</f>
        <v>Latin America and the Caribbean</v>
      </c>
      <c r="N60" s="241" t="str">
        <f>VLOOKUP(Table10[[#This Row],[Country Code]],Table29[],5,FALSE)</f>
        <v>Middle-income</v>
      </c>
      <c r="O60" s="241" t="str">
        <f>VLOOKUP(Table10[[#This Row],[Country Code]],Table29[],6,FALSE)</f>
        <v>no</v>
      </c>
      <c r="P60" s="241" t="str">
        <f>VLOOKUP(Table10[[#This Row],[Country Code]],Table29[],7,FALSE)</f>
        <v>no</v>
      </c>
      <c r="Q60" s="241" t="str">
        <f>VLOOKUP(Table10[[#This Row],[Country Code]],Table29[],8,FALSE)</f>
        <v>non-OECD</v>
      </c>
      <c r="R60" s="233" t="str">
        <f>VLOOKUP(Table10[[#This Row],[Country Code]],Table29[],9,FALSE)</f>
        <v>no</v>
      </c>
      <c r="S60" s="233" t="str">
        <f>VLOOKUP(Table10[[#This Row],[Country Code]],Table29[],10,FALSE)</f>
        <v>no</v>
      </c>
      <c r="T60" s="233">
        <f>VLOOKUP(Table10[[#This Row],[Country Code]],Table29[],23,FALSE)</f>
        <v>22.920141542444</v>
      </c>
      <c r="U60" s="233">
        <f>VLOOKUP(Table10[[#This Row],[Country Code]],Table29[],24,FALSE)</f>
        <v>5.0392120768310251</v>
      </c>
      <c r="V60" s="43"/>
    </row>
    <row r="61" spans="1:22" ht="45" x14ac:dyDescent="0.25">
      <c r="A61" s="258">
        <v>17629</v>
      </c>
      <c r="B61" s="43" t="str">
        <f>VLOOKUP(Table10[[#This Row],[Document ID]],Table1[],2,FALSE)</f>
        <v>JOR</v>
      </c>
      <c r="C61" s="43" t="str">
        <f>VLOOKUP(Table10[[#This Row],[Document ID]],Table1[],3,FALSE)</f>
        <v>Jordan</v>
      </c>
      <c r="D61" s="176" t="str">
        <f>VLOOKUP(Table10[[#This Row],[Document ID]],Table1[],5,FALSE)</f>
        <v>NDC</v>
      </c>
      <c r="E61" s="43" t="str">
        <f>VLOOKUP(Table10[[#This Row],[Document ID]],Table1[],7,FALSE)</f>
        <v>First NDC</v>
      </c>
      <c r="F61" s="176" t="str">
        <f>VLOOKUP(Table10[[#This Row],[Document ID]],Table1[],8,FALSE)</f>
        <v>NDC 1.0</v>
      </c>
      <c r="G61" s="176" t="str">
        <f>VLOOKUP(Table10[[#This Row],[Document ID]],Table1[],10,FALSE)</f>
        <v>Archived</v>
      </c>
      <c r="H61" s="42" t="s">
        <v>5460</v>
      </c>
      <c r="I61" s="176" t="s">
        <v>5528</v>
      </c>
      <c r="J61" s="258" t="s">
        <v>5529</v>
      </c>
      <c r="K61" s="176" t="s">
        <v>5462</v>
      </c>
      <c r="L61" s="241" t="str">
        <f>VLOOKUP(Table10[[#This Row],[Country Code]],Table29[],3,FALSE)</f>
        <v>Non-Annex I</v>
      </c>
      <c r="M61" s="241" t="str">
        <f>VLOOKUP(Table10[[#This Row],[Country Code]],Table29[],4,FALSE)</f>
        <v>Asia</v>
      </c>
      <c r="N61" s="241" t="str">
        <f>VLOOKUP(Table10[[#This Row],[Country Code]],Table29[],5,FALSE)</f>
        <v>Middle-income</v>
      </c>
      <c r="O61" s="241" t="str">
        <f>VLOOKUP(Table10[[#This Row],[Country Code]],Table29[],6,FALSE)</f>
        <v>no</v>
      </c>
      <c r="P61" s="241" t="str">
        <f>VLOOKUP(Table10[[#This Row],[Country Code]],Table29[],7,FALSE)</f>
        <v>no</v>
      </c>
      <c r="Q61" s="241" t="str">
        <f>VLOOKUP(Table10[[#This Row],[Country Code]],Table29[],8,FALSE)</f>
        <v>non-OECD</v>
      </c>
      <c r="R61" s="233" t="str">
        <f>VLOOKUP(Table10[[#This Row],[Country Code]],Table29[],9,FALSE)</f>
        <v>no</v>
      </c>
      <c r="S61" s="233" t="str">
        <f>VLOOKUP(Table10[[#This Row],[Country Code]],Table29[],10,FALSE)</f>
        <v>MENA</v>
      </c>
      <c r="T61" s="233">
        <f>VLOOKUP(Table10[[#This Row],[Country Code]],Table29[],23,FALSE)</f>
        <v>33.407709056244002</v>
      </c>
      <c r="U61" s="233">
        <f>VLOOKUP(Table10[[#This Row],[Country Code]],Table29[],24,FALSE)</f>
        <v>7.9780713824704446</v>
      </c>
      <c r="V61" s="43"/>
    </row>
    <row r="62" spans="1:22" ht="45" x14ac:dyDescent="0.25">
      <c r="A62" s="258">
        <v>17637</v>
      </c>
      <c r="B62" s="43" t="str">
        <f>VLOOKUP(Table10[[#This Row],[Document ID]],Table1[],2,FALSE)</f>
        <v>LAO</v>
      </c>
      <c r="C62" s="43" t="str">
        <f>VLOOKUP(Table10[[#This Row],[Document ID]],Table1[],3,FALSE)</f>
        <v>Lao People’s Democratic Republic</v>
      </c>
      <c r="D62" s="176" t="str">
        <f>VLOOKUP(Table10[[#This Row],[Document ID]],Table1[],5,FALSE)</f>
        <v>NDC</v>
      </c>
      <c r="E62" s="43" t="str">
        <f>VLOOKUP(Table10[[#This Row],[Document ID]],Table1[],7,FALSE)</f>
        <v>First NDC</v>
      </c>
      <c r="F62" s="176" t="str">
        <f>VLOOKUP(Table10[[#This Row],[Document ID]],Table1[],8,FALSE)</f>
        <v>NDC 1.0</v>
      </c>
      <c r="G62" s="176" t="str">
        <f>VLOOKUP(Table10[[#This Row],[Document ID]],Table1[],10,FALSE)</f>
        <v>Archived</v>
      </c>
      <c r="H62" s="42" t="s">
        <v>5460</v>
      </c>
      <c r="I62" s="176" t="s">
        <v>5530</v>
      </c>
      <c r="J62" s="258">
        <v>4</v>
      </c>
      <c r="K62" s="176" t="s">
        <v>5462</v>
      </c>
      <c r="L62" s="241" t="str">
        <f>VLOOKUP(Table10[[#This Row],[Country Code]],Table29[],3,FALSE)</f>
        <v>Non-Annex I</v>
      </c>
      <c r="M62" s="241" t="str">
        <f>VLOOKUP(Table10[[#This Row],[Country Code]],Table29[],4,FALSE)</f>
        <v>Asia</v>
      </c>
      <c r="N62" s="241" t="str">
        <f>VLOOKUP(Table10[[#This Row],[Country Code]],Table29[],5,FALSE)</f>
        <v>Middle-income</v>
      </c>
      <c r="O62" s="241" t="str">
        <f>VLOOKUP(Table10[[#This Row],[Country Code]],Table29[],6,FALSE)</f>
        <v>no</v>
      </c>
      <c r="P62" s="241" t="str">
        <f>VLOOKUP(Table10[[#This Row],[Country Code]],Table29[],7,FALSE)</f>
        <v>no</v>
      </c>
      <c r="Q62" s="241" t="str">
        <f>VLOOKUP(Table10[[#This Row],[Country Code]],Table29[],8,FALSE)</f>
        <v>non-OECD</v>
      </c>
      <c r="R62" s="233" t="str">
        <f>VLOOKUP(Table10[[#This Row],[Country Code]],Table29[],9,FALSE)</f>
        <v>no</v>
      </c>
      <c r="S62" s="233" t="str">
        <f>VLOOKUP(Table10[[#This Row],[Country Code]],Table29[],10,FALSE)</f>
        <v>no</v>
      </c>
      <c r="T62" s="233">
        <f>VLOOKUP(Table10[[#This Row],[Country Code]],Table29[],23,FALSE)</f>
        <v>42.056212706049003</v>
      </c>
      <c r="U62" s="233">
        <f>VLOOKUP(Table10[[#This Row],[Country Code]],Table29[],24,FALSE)</f>
        <v>2.7307302074001272</v>
      </c>
      <c r="V62" s="43"/>
    </row>
    <row r="63" spans="1:22" ht="45" x14ac:dyDescent="0.25">
      <c r="A63" s="258">
        <v>17637</v>
      </c>
      <c r="B63" s="43" t="str">
        <f>VLOOKUP(Table10[[#This Row],[Document ID]],Table1[],2,FALSE)</f>
        <v>LAO</v>
      </c>
      <c r="C63" s="43" t="str">
        <f>VLOOKUP(Table10[[#This Row],[Document ID]],Table1[],3,FALSE)</f>
        <v>Lao People’s Democratic Republic</v>
      </c>
      <c r="D63" s="176" t="str">
        <f>VLOOKUP(Table10[[#This Row],[Document ID]],Table1[],5,FALSE)</f>
        <v>NDC</v>
      </c>
      <c r="E63" s="43" t="str">
        <f>VLOOKUP(Table10[[#This Row],[Document ID]],Table1[],7,FALSE)</f>
        <v>First NDC</v>
      </c>
      <c r="F63" s="176" t="str">
        <f>VLOOKUP(Table10[[#This Row],[Document ID]],Table1[],8,FALSE)</f>
        <v>NDC 1.0</v>
      </c>
      <c r="G63" s="176" t="str">
        <f>VLOOKUP(Table10[[#This Row],[Document ID]],Table1[],10,FALSE)</f>
        <v>Archived</v>
      </c>
      <c r="H63" s="42" t="s">
        <v>5475</v>
      </c>
      <c r="I63" s="176" t="s">
        <v>5530</v>
      </c>
      <c r="J63" s="258">
        <v>4</v>
      </c>
      <c r="K63" s="176" t="s">
        <v>5477</v>
      </c>
      <c r="L63" s="241" t="str">
        <f>VLOOKUP(Table10[[#This Row],[Country Code]],Table29[],3,FALSE)</f>
        <v>Non-Annex I</v>
      </c>
      <c r="M63" s="241" t="str">
        <f>VLOOKUP(Table10[[#This Row],[Country Code]],Table29[],4,FALSE)</f>
        <v>Asia</v>
      </c>
      <c r="N63" s="241" t="str">
        <f>VLOOKUP(Table10[[#This Row],[Country Code]],Table29[],5,FALSE)</f>
        <v>Middle-income</v>
      </c>
      <c r="O63" s="241" t="str">
        <f>VLOOKUP(Table10[[#This Row],[Country Code]],Table29[],6,FALSE)</f>
        <v>no</v>
      </c>
      <c r="P63" s="241" t="str">
        <f>VLOOKUP(Table10[[#This Row],[Country Code]],Table29[],7,FALSE)</f>
        <v>no</v>
      </c>
      <c r="Q63" s="241" t="str">
        <f>VLOOKUP(Table10[[#This Row],[Country Code]],Table29[],8,FALSE)</f>
        <v>non-OECD</v>
      </c>
      <c r="R63" s="233" t="str">
        <f>VLOOKUP(Table10[[#This Row],[Country Code]],Table29[],9,FALSE)</f>
        <v>no</v>
      </c>
      <c r="S63" s="233" t="str">
        <f>VLOOKUP(Table10[[#This Row],[Country Code]],Table29[],10,FALSE)</f>
        <v>no</v>
      </c>
      <c r="T63" s="233">
        <f>VLOOKUP(Table10[[#This Row],[Country Code]],Table29[],23,FALSE)</f>
        <v>42.056212706049003</v>
      </c>
      <c r="U63" s="233">
        <f>VLOOKUP(Table10[[#This Row],[Country Code]],Table29[],24,FALSE)</f>
        <v>2.7307302074001272</v>
      </c>
      <c r="V63" s="43"/>
    </row>
    <row r="64" spans="1:22" ht="30" x14ac:dyDescent="0.25">
      <c r="A64" s="257">
        <v>17638</v>
      </c>
      <c r="B64" s="43" t="str">
        <f>VLOOKUP(Table10[[#This Row],[Document ID]],Table1[],2,FALSE)</f>
        <v>LVA</v>
      </c>
      <c r="C64" s="43" t="str">
        <f>VLOOKUP(Table10[[#This Row],[Document ID]],Table1[],3,FALSE)</f>
        <v>Latvia</v>
      </c>
      <c r="D64" s="45" t="str">
        <f>VLOOKUP(Table10[[#This Row],[Document ID]],Table1[],5,FALSE)</f>
        <v>LTS</v>
      </c>
      <c r="E64" s="43" t="str">
        <f>VLOOKUP(Table10[[#This Row],[Document ID]],Table1[],7,FALSE)</f>
        <v>LTS</v>
      </c>
      <c r="F64" s="42" t="str">
        <f>VLOOKUP(Table10[[#This Row],[Document ID]],Table1[],8,FALSE)</f>
        <v>LTS 1.0</v>
      </c>
      <c r="G64" s="42" t="str">
        <f>VLOOKUP(Table10[[#This Row],[Document ID]],Table1[],10,FALSE)</f>
        <v>Active</v>
      </c>
      <c r="H64" s="42" t="s">
        <v>5469</v>
      </c>
      <c r="I64" s="44" t="s">
        <v>5531</v>
      </c>
      <c r="J64" s="221">
        <v>41</v>
      </c>
      <c r="K64" s="43" t="s">
        <v>5471</v>
      </c>
      <c r="L64" s="241" t="str">
        <f>VLOOKUP(Table10[[#This Row],[Country Code]],Table29[],3,FALSE)</f>
        <v>Annex I</v>
      </c>
      <c r="M64" s="241" t="str">
        <f>VLOOKUP(Table10[[#This Row],[Country Code]],Table29[],4,FALSE)</f>
        <v>Europe</v>
      </c>
      <c r="N64" s="241" t="str">
        <f>VLOOKUP(Table10[[#This Row],[Country Code]],Table29[],5,FALSE)</f>
        <v>High-income</v>
      </c>
      <c r="O64" s="241" t="str">
        <f>VLOOKUP(Table10[[#This Row],[Country Code]],Table29[],6,FALSE)</f>
        <v>no</v>
      </c>
      <c r="P64" s="241" t="str">
        <f>VLOOKUP(Table10[[#This Row],[Country Code]],Table29[],7,FALSE)</f>
        <v>no</v>
      </c>
      <c r="Q64" s="241" t="str">
        <f>VLOOKUP(Table10[[#This Row],[Country Code]],Table29[],8,FALSE)</f>
        <v>OECD</v>
      </c>
      <c r="R64" s="233" t="str">
        <f>VLOOKUP(Table10[[#This Row],[Country Code]],Table29[],9,FALSE)</f>
        <v>EU27</v>
      </c>
      <c r="S64" s="233" t="str">
        <f>VLOOKUP(Table10[[#This Row],[Country Code]],Table29[],10,FALSE)</f>
        <v>no</v>
      </c>
      <c r="T64" s="233">
        <f>VLOOKUP(Table10[[#This Row],[Country Code]],Table29[],23,FALSE)</f>
        <v>10.957491923456001</v>
      </c>
      <c r="U64" s="233">
        <f>VLOOKUP(Table10[[#This Row],[Country Code]],Table29[],24,FALSE)</f>
        <v>3.102706195463615</v>
      </c>
      <c r="V64" s="43"/>
    </row>
    <row r="65" spans="1:22" ht="45" x14ac:dyDescent="0.25">
      <c r="A65" s="257">
        <v>17638</v>
      </c>
      <c r="B65" s="43" t="str">
        <f>VLOOKUP(Table10[[#This Row],[Document ID]],Table1[],2,FALSE)</f>
        <v>LVA</v>
      </c>
      <c r="C65" s="43" t="str">
        <f>VLOOKUP(Table10[[#This Row],[Document ID]],Table1[],3,FALSE)</f>
        <v>Latvia</v>
      </c>
      <c r="D65" s="45" t="str">
        <f>VLOOKUP(Table10[[#This Row],[Document ID]],Table1[],5,FALSE)</f>
        <v>LTS</v>
      </c>
      <c r="E65" s="43" t="str">
        <f>VLOOKUP(Table10[[#This Row],[Document ID]],Table1[],7,FALSE)</f>
        <v>LTS</v>
      </c>
      <c r="F65" s="42" t="str">
        <f>VLOOKUP(Table10[[#This Row],[Document ID]],Table1[],8,FALSE)</f>
        <v>LTS 1.0</v>
      </c>
      <c r="G65" s="42" t="str">
        <f>VLOOKUP(Table10[[#This Row],[Document ID]],Table1[],10,FALSE)</f>
        <v>Active</v>
      </c>
      <c r="H65" s="42" t="s">
        <v>5478</v>
      </c>
      <c r="I65" s="44" t="s">
        <v>5532</v>
      </c>
      <c r="J65" s="221">
        <v>42</v>
      </c>
      <c r="K65" s="43" t="s">
        <v>5480</v>
      </c>
      <c r="L65" s="241" t="str">
        <f>VLOOKUP(Table10[[#This Row],[Country Code]],Table29[],3,FALSE)</f>
        <v>Annex I</v>
      </c>
      <c r="M65" s="241" t="str">
        <f>VLOOKUP(Table10[[#This Row],[Country Code]],Table29[],4,FALSE)</f>
        <v>Europe</v>
      </c>
      <c r="N65" s="241" t="str">
        <f>VLOOKUP(Table10[[#This Row],[Country Code]],Table29[],5,FALSE)</f>
        <v>High-income</v>
      </c>
      <c r="O65" s="241" t="str">
        <f>VLOOKUP(Table10[[#This Row],[Country Code]],Table29[],6,FALSE)</f>
        <v>no</v>
      </c>
      <c r="P65" s="241" t="str">
        <f>VLOOKUP(Table10[[#This Row],[Country Code]],Table29[],7,FALSE)</f>
        <v>no</v>
      </c>
      <c r="Q65" s="241" t="str">
        <f>VLOOKUP(Table10[[#This Row],[Country Code]],Table29[],8,FALSE)</f>
        <v>OECD</v>
      </c>
      <c r="R65" s="233" t="str">
        <f>VLOOKUP(Table10[[#This Row],[Country Code]],Table29[],9,FALSE)</f>
        <v>EU27</v>
      </c>
      <c r="S65" s="233" t="str">
        <f>VLOOKUP(Table10[[#This Row],[Country Code]],Table29[],10,FALSE)</f>
        <v>no</v>
      </c>
      <c r="T65" s="233">
        <f>VLOOKUP(Table10[[#This Row],[Country Code]],Table29[],23,FALSE)</f>
        <v>10.957491923456001</v>
      </c>
      <c r="U65" s="233">
        <f>VLOOKUP(Table10[[#This Row],[Country Code]],Table29[],24,FALSE)</f>
        <v>3.102706195463615</v>
      </c>
      <c r="V65" s="43"/>
    </row>
    <row r="66" spans="1:22" ht="45" x14ac:dyDescent="0.25">
      <c r="A66" s="257">
        <v>17638</v>
      </c>
      <c r="B66" s="43" t="str">
        <f>VLOOKUP(Table10[[#This Row],[Document ID]],Table1[],2,FALSE)</f>
        <v>LVA</v>
      </c>
      <c r="C66" s="43" t="str">
        <f>VLOOKUP(Table10[[#This Row],[Document ID]],Table1[],3,FALSE)</f>
        <v>Latvia</v>
      </c>
      <c r="D66" s="45" t="str">
        <f>VLOOKUP(Table10[[#This Row],[Document ID]],Table1[],5,FALSE)</f>
        <v>LTS</v>
      </c>
      <c r="E66" s="43" t="str">
        <f>VLOOKUP(Table10[[#This Row],[Document ID]],Table1[],7,FALSE)</f>
        <v>LTS</v>
      </c>
      <c r="F66" s="42" t="str">
        <f>VLOOKUP(Table10[[#This Row],[Document ID]],Table1[],8,FALSE)</f>
        <v>LTS 1.0</v>
      </c>
      <c r="G66" s="42" t="str">
        <f>VLOOKUP(Table10[[#This Row],[Document ID]],Table1[],10,FALSE)</f>
        <v>Active</v>
      </c>
      <c r="H66" s="42" t="s">
        <v>5460</v>
      </c>
      <c r="I66" s="44" t="s">
        <v>5532</v>
      </c>
      <c r="J66" s="221">
        <v>42</v>
      </c>
      <c r="K66" s="43" t="s">
        <v>5462</v>
      </c>
      <c r="L66" s="241" t="str">
        <f>VLOOKUP(Table10[[#This Row],[Country Code]],Table29[],3,FALSE)</f>
        <v>Annex I</v>
      </c>
      <c r="M66" s="241" t="str">
        <f>VLOOKUP(Table10[[#This Row],[Country Code]],Table29[],4,FALSE)</f>
        <v>Europe</v>
      </c>
      <c r="N66" s="241" t="str">
        <f>VLOOKUP(Table10[[#This Row],[Country Code]],Table29[],5,FALSE)</f>
        <v>High-income</v>
      </c>
      <c r="O66" s="241" t="str">
        <f>VLOOKUP(Table10[[#This Row],[Country Code]],Table29[],6,FALSE)</f>
        <v>no</v>
      </c>
      <c r="P66" s="241" t="str">
        <f>VLOOKUP(Table10[[#This Row],[Country Code]],Table29[],7,FALSE)</f>
        <v>no</v>
      </c>
      <c r="Q66" s="241" t="str">
        <f>VLOOKUP(Table10[[#This Row],[Country Code]],Table29[],8,FALSE)</f>
        <v>OECD</v>
      </c>
      <c r="R66" s="233" t="str">
        <f>VLOOKUP(Table10[[#This Row],[Country Code]],Table29[],9,FALSE)</f>
        <v>EU27</v>
      </c>
      <c r="S66" s="233" t="str">
        <f>VLOOKUP(Table10[[#This Row],[Country Code]],Table29[],10,FALSE)</f>
        <v>no</v>
      </c>
      <c r="T66" s="233">
        <f>VLOOKUP(Table10[[#This Row],[Country Code]],Table29[],23,FALSE)</f>
        <v>10.957491923456001</v>
      </c>
      <c r="U66" s="233">
        <f>VLOOKUP(Table10[[#This Row],[Country Code]],Table29[],24,FALSE)</f>
        <v>3.102706195463615</v>
      </c>
      <c r="V66" s="43"/>
    </row>
    <row r="67" spans="1:22" x14ac:dyDescent="0.25">
      <c r="A67" s="221">
        <v>26781</v>
      </c>
      <c r="B67" s="43" t="str">
        <f>VLOOKUP(Table10[[#This Row],[Document ID]],Table1[],2,FALSE)</f>
        <v>LUX</v>
      </c>
      <c r="C67" s="43" t="str">
        <f>VLOOKUP(Table10[[#This Row],[Document ID]],Table1[],3,FALSE)</f>
        <v>Luxembourg</v>
      </c>
      <c r="D67" s="43" t="str">
        <f>VLOOKUP(Table10[[#This Row],[Document ID]],Table1[],5,FALSE)</f>
        <v>LTS</v>
      </c>
      <c r="E67" s="43" t="str">
        <f>VLOOKUP(Table10[[#This Row],[Document ID]],Table1[],7,FALSE)</f>
        <v>LTS</v>
      </c>
      <c r="F67" s="43" t="str">
        <f>VLOOKUP(Table10[[#This Row],[Document ID]],Table1[],8,FALSE)</f>
        <v>LTS 1.0</v>
      </c>
      <c r="G67" s="43" t="str">
        <f>VLOOKUP(Table10[[#This Row],[Document ID]],Table1[],10,FALSE)</f>
        <v>Active</v>
      </c>
      <c r="H67" s="42" t="s">
        <v>5475</v>
      </c>
      <c r="I67" s="44" t="s">
        <v>5533</v>
      </c>
      <c r="J67" s="221">
        <v>62</v>
      </c>
      <c r="K67" s="42" t="s">
        <v>5477</v>
      </c>
      <c r="L67" s="241" t="str">
        <f>VLOOKUP(Table10[[#This Row],[Country Code]],Table29[],3,FALSE)</f>
        <v>Annex I</v>
      </c>
      <c r="M67" s="241" t="str">
        <f>VLOOKUP(Table10[[#This Row],[Country Code]],Table29[],4,FALSE)</f>
        <v>Europe</v>
      </c>
      <c r="N67" s="241" t="str">
        <f>VLOOKUP(Table10[[#This Row],[Country Code]],Table29[],5,FALSE)</f>
        <v>High-income</v>
      </c>
      <c r="O67" s="241" t="str">
        <f>VLOOKUP(Table10[[#This Row],[Country Code]],Table29[],6,FALSE)</f>
        <v>no</v>
      </c>
      <c r="P67" s="241" t="str">
        <f>VLOOKUP(Table10[[#This Row],[Country Code]],Table29[],7,FALSE)</f>
        <v>no</v>
      </c>
      <c r="Q67" s="241" t="str">
        <f>VLOOKUP(Table10[[#This Row],[Country Code]],Table29[],8,FALSE)</f>
        <v>OECD</v>
      </c>
      <c r="R67" s="233" t="str">
        <f>VLOOKUP(Table10[[#This Row],[Country Code]],Table29[],9,FALSE)</f>
        <v>EU27</v>
      </c>
      <c r="S67" s="233" t="str">
        <f>VLOOKUP(Table10[[#This Row],[Country Code]],Table29[],10,FALSE)</f>
        <v>no</v>
      </c>
      <c r="T67" s="233">
        <f>VLOOKUP(Table10[[#This Row],[Country Code]],Table29[],23,FALSE)</f>
        <v>7.8609330392057002</v>
      </c>
      <c r="U67" s="233">
        <f>VLOOKUP(Table10[[#This Row],[Country Code]],Table29[],24,FALSE)</f>
        <v>4.2423658408849461</v>
      </c>
      <c r="V67" s="43"/>
    </row>
    <row r="68" spans="1:22" ht="30" x14ac:dyDescent="0.25">
      <c r="A68" s="221">
        <v>26781</v>
      </c>
      <c r="B68" s="43" t="str">
        <f>VLOOKUP(Table10[[#This Row],[Document ID]],Table1[],2,FALSE)</f>
        <v>LUX</v>
      </c>
      <c r="C68" s="43" t="str">
        <f>VLOOKUP(Table10[[#This Row],[Document ID]],Table1[],3,FALSE)</f>
        <v>Luxembourg</v>
      </c>
      <c r="D68" s="43" t="str">
        <f>VLOOKUP(Table10[[#This Row],[Document ID]],Table1[],5,FALSE)</f>
        <v>LTS</v>
      </c>
      <c r="E68" s="43" t="str">
        <f>VLOOKUP(Table10[[#This Row],[Document ID]],Table1[],7,FALSE)</f>
        <v>LTS</v>
      </c>
      <c r="F68" s="43" t="str">
        <f>VLOOKUP(Table10[[#This Row],[Document ID]],Table1[],8,FALSE)</f>
        <v>LTS 1.0</v>
      </c>
      <c r="G68" s="43" t="str">
        <f>VLOOKUP(Table10[[#This Row],[Document ID]],Table1[],10,FALSE)</f>
        <v>Active</v>
      </c>
      <c r="H68" s="42" t="s">
        <v>5478</v>
      </c>
      <c r="I68" s="44" t="s">
        <v>5534</v>
      </c>
      <c r="J68" s="221">
        <v>62</v>
      </c>
      <c r="K68" s="43" t="s">
        <v>5480</v>
      </c>
      <c r="L68" s="241" t="str">
        <f>VLOOKUP(Table10[[#This Row],[Country Code]],Table29[],3,FALSE)</f>
        <v>Annex I</v>
      </c>
      <c r="M68" s="241" t="str">
        <f>VLOOKUP(Table10[[#This Row],[Country Code]],Table29[],4,FALSE)</f>
        <v>Europe</v>
      </c>
      <c r="N68" s="241" t="str">
        <f>VLOOKUP(Table10[[#This Row],[Country Code]],Table29[],5,FALSE)</f>
        <v>High-income</v>
      </c>
      <c r="O68" s="241" t="str">
        <f>VLOOKUP(Table10[[#This Row],[Country Code]],Table29[],6,FALSE)</f>
        <v>no</v>
      </c>
      <c r="P68" s="241" t="str">
        <f>VLOOKUP(Table10[[#This Row],[Country Code]],Table29[],7,FALSE)</f>
        <v>no</v>
      </c>
      <c r="Q68" s="241" t="str">
        <f>VLOOKUP(Table10[[#This Row],[Country Code]],Table29[],8,FALSE)</f>
        <v>OECD</v>
      </c>
      <c r="R68" s="233" t="str">
        <f>VLOOKUP(Table10[[#This Row],[Country Code]],Table29[],9,FALSE)</f>
        <v>EU27</v>
      </c>
      <c r="S68" s="233" t="str">
        <f>VLOOKUP(Table10[[#This Row],[Country Code]],Table29[],10,FALSE)</f>
        <v>no</v>
      </c>
      <c r="T68" s="233">
        <f>VLOOKUP(Table10[[#This Row],[Country Code]],Table29[],23,FALSE)</f>
        <v>7.8609330392057002</v>
      </c>
      <c r="U68" s="233">
        <f>VLOOKUP(Table10[[#This Row],[Country Code]],Table29[],24,FALSE)</f>
        <v>4.2423658408849461</v>
      </c>
      <c r="V68" s="43"/>
    </row>
    <row r="69" spans="1:22" ht="30" x14ac:dyDescent="0.25">
      <c r="A69" s="221">
        <v>26781</v>
      </c>
      <c r="B69" s="43" t="str">
        <f>VLOOKUP(Table10[[#This Row],[Document ID]],Table1[],2,FALSE)</f>
        <v>LUX</v>
      </c>
      <c r="C69" s="43" t="str">
        <f>VLOOKUP(Table10[[#This Row],[Document ID]],Table1[],3,FALSE)</f>
        <v>Luxembourg</v>
      </c>
      <c r="D69" s="43" t="str">
        <f>VLOOKUP(Table10[[#This Row],[Document ID]],Table1[],5,FALSE)</f>
        <v>LTS</v>
      </c>
      <c r="E69" s="43" t="str">
        <f>VLOOKUP(Table10[[#This Row],[Document ID]],Table1[],7,FALSE)</f>
        <v>LTS</v>
      </c>
      <c r="F69" s="43" t="str">
        <f>VLOOKUP(Table10[[#This Row],[Document ID]],Table1[],8,FALSE)</f>
        <v>LTS 1.0</v>
      </c>
      <c r="G69" s="43" t="str">
        <f>VLOOKUP(Table10[[#This Row],[Document ID]],Table1[],10,FALSE)</f>
        <v>Active</v>
      </c>
      <c r="H69" s="42" t="s">
        <v>5460</v>
      </c>
      <c r="I69" s="44" t="s">
        <v>5535</v>
      </c>
      <c r="J69" s="221">
        <v>62</v>
      </c>
      <c r="K69" s="43" t="s">
        <v>5462</v>
      </c>
      <c r="L69" s="241" t="str">
        <f>VLOOKUP(Table10[[#This Row],[Country Code]],Table29[],3,FALSE)</f>
        <v>Annex I</v>
      </c>
      <c r="M69" s="241" t="str">
        <f>VLOOKUP(Table10[[#This Row],[Country Code]],Table29[],4,FALSE)</f>
        <v>Europe</v>
      </c>
      <c r="N69" s="241" t="str">
        <f>VLOOKUP(Table10[[#This Row],[Country Code]],Table29[],5,FALSE)</f>
        <v>High-income</v>
      </c>
      <c r="O69" s="241" t="str">
        <f>VLOOKUP(Table10[[#This Row],[Country Code]],Table29[],6,FALSE)</f>
        <v>no</v>
      </c>
      <c r="P69" s="241" t="str">
        <f>VLOOKUP(Table10[[#This Row],[Country Code]],Table29[],7,FALSE)</f>
        <v>no</v>
      </c>
      <c r="Q69" s="241" t="str">
        <f>VLOOKUP(Table10[[#This Row],[Country Code]],Table29[],8,FALSE)</f>
        <v>OECD</v>
      </c>
      <c r="R69" s="233" t="str">
        <f>VLOOKUP(Table10[[#This Row],[Country Code]],Table29[],9,FALSE)</f>
        <v>EU27</v>
      </c>
      <c r="S69" s="233" t="str">
        <f>VLOOKUP(Table10[[#This Row],[Country Code]],Table29[],10,FALSE)</f>
        <v>no</v>
      </c>
      <c r="T69" s="233">
        <f>VLOOKUP(Table10[[#This Row],[Country Code]],Table29[],23,FALSE)</f>
        <v>7.8609330392057002</v>
      </c>
      <c r="U69" s="233">
        <f>VLOOKUP(Table10[[#This Row],[Country Code]],Table29[],24,FALSE)</f>
        <v>4.2423658408849461</v>
      </c>
      <c r="V69" s="43"/>
    </row>
    <row r="70" spans="1:22" ht="30" x14ac:dyDescent="0.25">
      <c r="A70" s="221">
        <v>26781</v>
      </c>
      <c r="B70" s="43" t="str">
        <f>VLOOKUP(Table10[[#This Row],[Document ID]],Table1[],2,FALSE)</f>
        <v>LUX</v>
      </c>
      <c r="C70" s="43" t="str">
        <f>VLOOKUP(Table10[[#This Row],[Document ID]],Table1[],3,FALSE)</f>
        <v>Luxembourg</v>
      </c>
      <c r="D70" s="43" t="str">
        <f>VLOOKUP(Table10[[#This Row],[Document ID]],Table1[],5,FALSE)</f>
        <v>LTS</v>
      </c>
      <c r="E70" s="43" t="str">
        <f>VLOOKUP(Table10[[#This Row],[Document ID]],Table1[],7,FALSE)</f>
        <v>LTS</v>
      </c>
      <c r="F70" s="43" t="str">
        <f>VLOOKUP(Table10[[#This Row],[Document ID]],Table1[],8,FALSE)</f>
        <v>LTS 1.0</v>
      </c>
      <c r="G70" s="43" t="str">
        <f>VLOOKUP(Table10[[#This Row],[Document ID]],Table1[],10,FALSE)</f>
        <v>Active</v>
      </c>
      <c r="H70" s="42" t="s">
        <v>5466</v>
      </c>
      <c r="I70" s="44" t="s">
        <v>5536</v>
      </c>
      <c r="J70" s="221">
        <v>62</v>
      </c>
      <c r="K70" s="43" t="s">
        <v>5468</v>
      </c>
      <c r="L70" s="241" t="str">
        <f>VLOOKUP(Table10[[#This Row],[Country Code]],Table29[],3,FALSE)</f>
        <v>Annex I</v>
      </c>
      <c r="M70" s="241" t="str">
        <f>VLOOKUP(Table10[[#This Row],[Country Code]],Table29[],4,FALSE)</f>
        <v>Europe</v>
      </c>
      <c r="N70" s="241" t="str">
        <f>VLOOKUP(Table10[[#This Row],[Country Code]],Table29[],5,FALSE)</f>
        <v>High-income</v>
      </c>
      <c r="O70" s="241" t="str">
        <f>VLOOKUP(Table10[[#This Row],[Country Code]],Table29[],6,FALSE)</f>
        <v>no</v>
      </c>
      <c r="P70" s="241" t="str">
        <f>VLOOKUP(Table10[[#This Row],[Country Code]],Table29[],7,FALSE)</f>
        <v>no</v>
      </c>
      <c r="Q70" s="241" t="str">
        <f>VLOOKUP(Table10[[#This Row],[Country Code]],Table29[],8,FALSE)</f>
        <v>OECD</v>
      </c>
      <c r="R70" s="233" t="str">
        <f>VLOOKUP(Table10[[#This Row],[Country Code]],Table29[],9,FALSE)</f>
        <v>EU27</v>
      </c>
      <c r="S70" s="233" t="str">
        <f>VLOOKUP(Table10[[#This Row],[Country Code]],Table29[],10,FALSE)</f>
        <v>no</v>
      </c>
      <c r="T70" s="233">
        <f>VLOOKUP(Table10[[#This Row],[Country Code]],Table29[],23,FALSE)</f>
        <v>7.8609330392057002</v>
      </c>
      <c r="U70" s="233">
        <f>VLOOKUP(Table10[[#This Row],[Country Code]],Table29[],24,FALSE)</f>
        <v>4.2423658408849461</v>
      </c>
      <c r="V70" s="43"/>
    </row>
    <row r="71" spans="1:22" x14ac:dyDescent="0.25">
      <c r="A71" s="221">
        <v>26781</v>
      </c>
      <c r="B71" s="43" t="str">
        <f>VLOOKUP(Table10[[#This Row],[Document ID]],Table1[],2,FALSE)</f>
        <v>LUX</v>
      </c>
      <c r="C71" s="43" t="str">
        <f>VLOOKUP(Table10[[#This Row],[Document ID]],Table1[],3,FALSE)</f>
        <v>Luxembourg</v>
      </c>
      <c r="D71" s="43" t="str">
        <f>VLOOKUP(Table10[[#This Row],[Document ID]],Table1[],5,FALSE)</f>
        <v>LTS</v>
      </c>
      <c r="E71" s="43" t="str">
        <f>VLOOKUP(Table10[[#This Row],[Document ID]],Table1[],7,FALSE)</f>
        <v>LTS</v>
      </c>
      <c r="F71" s="43" t="str">
        <f>VLOOKUP(Table10[[#This Row],[Document ID]],Table1[],8,FALSE)</f>
        <v>LTS 1.0</v>
      </c>
      <c r="G71" s="43" t="str">
        <f>VLOOKUP(Table10[[#This Row],[Document ID]],Table1[],10,FALSE)</f>
        <v>Active</v>
      </c>
      <c r="H71" s="42" t="s">
        <v>5463</v>
      </c>
      <c r="I71" s="44" t="s">
        <v>5533</v>
      </c>
      <c r="J71" s="221">
        <v>62</v>
      </c>
      <c r="K71" s="43" t="s">
        <v>5465</v>
      </c>
      <c r="L71" s="241" t="str">
        <f>VLOOKUP(Table10[[#This Row],[Country Code]],Table29[],3,FALSE)</f>
        <v>Annex I</v>
      </c>
      <c r="M71" s="241" t="str">
        <f>VLOOKUP(Table10[[#This Row],[Country Code]],Table29[],4,FALSE)</f>
        <v>Europe</v>
      </c>
      <c r="N71" s="241" t="str">
        <f>VLOOKUP(Table10[[#This Row],[Country Code]],Table29[],5,FALSE)</f>
        <v>High-income</v>
      </c>
      <c r="O71" s="241" t="str">
        <f>VLOOKUP(Table10[[#This Row],[Country Code]],Table29[],6,FALSE)</f>
        <v>no</v>
      </c>
      <c r="P71" s="241" t="str">
        <f>VLOOKUP(Table10[[#This Row],[Country Code]],Table29[],7,FALSE)</f>
        <v>no</v>
      </c>
      <c r="Q71" s="241" t="str">
        <f>VLOOKUP(Table10[[#This Row],[Country Code]],Table29[],8,FALSE)</f>
        <v>OECD</v>
      </c>
      <c r="R71" s="233" t="str">
        <f>VLOOKUP(Table10[[#This Row],[Country Code]],Table29[],9,FALSE)</f>
        <v>EU27</v>
      </c>
      <c r="S71" s="233" t="str">
        <f>VLOOKUP(Table10[[#This Row],[Country Code]],Table29[],10,FALSE)</f>
        <v>no</v>
      </c>
      <c r="T71" s="233">
        <f>VLOOKUP(Table10[[#This Row],[Country Code]],Table29[],23,FALSE)</f>
        <v>7.8609330392057002</v>
      </c>
      <c r="U71" s="233">
        <f>VLOOKUP(Table10[[#This Row],[Country Code]],Table29[],24,FALSE)</f>
        <v>4.2423658408849461</v>
      </c>
      <c r="V71" s="43"/>
    </row>
    <row r="72" spans="1:22" s="311" customFormat="1" ht="30" x14ac:dyDescent="0.25">
      <c r="A72" s="375">
        <v>21299</v>
      </c>
      <c r="B72" s="43" t="str">
        <f>VLOOKUP(Table10[[#This Row],[Document ID]],Table1[],2,FALSE)</f>
        <v>MWI</v>
      </c>
      <c r="C72" s="43" t="str">
        <f>VLOOKUP(Table10[[#This Row],[Document ID]],Table1[],3,FALSE)</f>
        <v>Malawi</v>
      </c>
      <c r="D72" s="347" t="str">
        <f>VLOOKUP(Table10[[#This Row],[Document ID]],Table1[],5,FALSE)</f>
        <v>NDC</v>
      </c>
      <c r="E72" s="43" t="str">
        <f>VLOOKUP(Table10[[#This Row],[Document ID]],Table1[],7,FALSE)</f>
        <v>First NDC updated</v>
      </c>
      <c r="F72" s="348" t="str">
        <f>VLOOKUP(Table10[[#This Row],[Document ID]],Table1[],8,FALSE)</f>
        <v>NDC 1.1</v>
      </c>
      <c r="G72" s="348" t="str">
        <f>VLOOKUP(Table10[[#This Row],[Document ID]],Table1[],10,FALSE)</f>
        <v>Active</v>
      </c>
      <c r="H72" s="348" t="e">
        <v>#N/A</v>
      </c>
      <c r="I72" s="293" t="s">
        <v>3535</v>
      </c>
      <c r="J72" s="349">
        <v>35</v>
      </c>
      <c r="K72" s="291"/>
      <c r="L72" s="296" t="str">
        <f>VLOOKUP(Table10[[#This Row],[Country Code]],Table29[],3,FALSE)</f>
        <v>Non-Annex I</v>
      </c>
      <c r="M72" s="296" t="str">
        <f>VLOOKUP(Table10[[#This Row],[Country Code]],Table29[],4,FALSE)</f>
        <v>Africa</v>
      </c>
      <c r="N72" s="296" t="str">
        <f>VLOOKUP(Table10[[#This Row],[Country Code]],Table29[],5,FALSE)</f>
        <v>Low-income</v>
      </c>
      <c r="O72" s="296" t="str">
        <f>VLOOKUP(Table10[[#This Row],[Country Code]],Table29[],6,FALSE)</f>
        <v>no</v>
      </c>
      <c r="P72" s="296" t="str">
        <f>VLOOKUP(Table10[[#This Row],[Country Code]],Table29[],7,FALSE)</f>
        <v>no</v>
      </c>
      <c r="Q72" s="296" t="str">
        <f>VLOOKUP(Table10[[#This Row],[Country Code]],Table29[],8,FALSE)</f>
        <v>non-OECD</v>
      </c>
      <c r="R72" s="290" t="str">
        <f>VLOOKUP(Table10[[#This Row],[Country Code]],Table29[],9,FALSE)</f>
        <v>no</v>
      </c>
      <c r="S72" s="290" t="str">
        <f>VLOOKUP(Table10[[#This Row],[Country Code]],Table29[],10,FALSE)</f>
        <v>no</v>
      </c>
      <c r="T72" s="290">
        <f>VLOOKUP(Table10[[#This Row],[Country Code]],Table29[],23,FALSE)</f>
        <v>19.714051394182</v>
      </c>
      <c r="U72" s="290">
        <f>VLOOKUP(Table10[[#This Row],[Country Code]],Table29[],24,FALSE)</f>
        <v>0.78331093542905961</v>
      </c>
      <c r="V72" s="348" t="s">
        <v>5537</v>
      </c>
    </row>
    <row r="73" spans="1:22" x14ac:dyDescent="0.25">
      <c r="A73" s="257">
        <v>21299</v>
      </c>
      <c r="B73" s="43" t="str">
        <f>VLOOKUP(Table10[[#This Row],[Document ID]],Table1[],2,FALSE)</f>
        <v>MWI</v>
      </c>
      <c r="C73" s="43" t="str">
        <f>VLOOKUP(Table10[[#This Row],[Document ID]],Table1[],3,FALSE)</f>
        <v>Malawi</v>
      </c>
      <c r="D73" s="45" t="str">
        <f>VLOOKUP(Table10[[#This Row],[Document ID]],Table1[],5,FALSE)</f>
        <v>NDC</v>
      </c>
      <c r="E73" s="43" t="str">
        <f>VLOOKUP(Table10[[#This Row],[Document ID]],Table1[],7,FALSE)</f>
        <v>First NDC updated</v>
      </c>
      <c r="F73" s="42" t="str">
        <f>VLOOKUP(Table10[[#This Row],[Document ID]],Table1[],8,FALSE)</f>
        <v>NDC 1.1</v>
      </c>
      <c r="G73" s="42" t="str">
        <f>VLOOKUP(Table10[[#This Row],[Document ID]],Table1[],10,FALSE)</f>
        <v>Active</v>
      </c>
      <c r="H73" s="42" t="s">
        <v>5483</v>
      </c>
      <c r="I73" s="209" t="s">
        <v>5538</v>
      </c>
      <c r="J73" s="259">
        <v>35</v>
      </c>
      <c r="K73" s="43" t="s">
        <v>5485</v>
      </c>
      <c r="L73" s="241" t="str">
        <f>VLOOKUP(Table10[[#This Row],[Country Code]],Table29[],3,FALSE)</f>
        <v>Non-Annex I</v>
      </c>
      <c r="M73" s="241" t="str">
        <f>VLOOKUP(Table10[[#This Row],[Country Code]],Table29[],4,FALSE)</f>
        <v>Africa</v>
      </c>
      <c r="N73" s="241" t="str">
        <f>VLOOKUP(Table10[[#This Row],[Country Code]],Table29[],5,FALSE)</f>
        <v>Low-income</v>
      </c>
      <c r="O73" s="241" t="str">
        <f>VLOOKUP(Table10[[#This Row],[Country Code]],Table29[],6,FALSE)</f>
        <v>no</v>
      </c>
      <c r="P73" s="241" t="str">
        <f>VLOOKUP(Table10[[#This Row],[Country Code]],Table29[],7,FALSE)</f>
        <v>no</v>
      </c>
      <c r="Q73" s="241" t="str">
        <f>VLOOKUP(Table10[[#This Row],[Country Code]],Table29[],8,FALSE)</f>
        <v>non-OECD</v>
      </c>
      <c r="R73" s="233" t="str">
        <f>VLOOKUP(Table10[[#This Row],[Country Code]],Table29[],9,FALSE)</f>
        <v>no</v>
      </c>
      <c r="S73" s="233" t="str">
        <f>VLOOKUP(Table10[[#This Row],[Country Code]],Table29[],10,FALSE)</f>
        <v>no</v>
      </c>
      <c r="T73" s="233">
        <f>VLOOKUP(Table10[[#This Row],[Country Code]],Table29[],23,FALSE)</f>
        <v>19.714051394182</v>
      </c>
      <c r="U73" s="233">
        <f>VLOOKUP(Table10[[#This Row],[Country Code]],Table29[],24,FALSE)</f>
        <v>0.78331093542905961</v>
      </c>
      <c r="V73" s="42"/>
    </row>
    <row r="74" spans="1:22" s="311" customFormat="1" ht="30" x14ac:dyDescent="0.25">
      <c r="A74" s="375">
        <v>21299</v>
      </c>
      <c r="B74" s="43" t="str">
        <f>VLOOKUP(Table10[[#This Row],[Document ID]],Table1[],2,FALSE)</f>
        <v>MWI</v>
      </c>
      <c r="C74" s="43" t="str">
        <f>VLOOKUP(Table10[[#This Row],[Document ID]],Table1[],3,FALSE)</f>
        <v>Malawi</v>
      </c>
      <c r="D74" s="347" t="str">
        <f>VLOOKUP(Table10[[#This Row],[Document ID]],Table1[],5,FALSE)</f>
        <v>NDC</v>
      </c>
      <c r="E74" s="43" t="str">
        <f>VLOOKUP(Table10[[#This Row],[Document ID]],Table1[],7,FALSE)</f>
        <v>First NDC updated</v>
      </c>
      <c r="F74" s="348" t="str">
        <f>VLOOKUP(Table10[[#This Row],[Document ID]],Table1[],8,FALSE)</f>
        <v>NDC 1.1</v>
      </c>
      <c r="G74" s="348" t="str">
        <f>VLOOKUP(Table10[[#This Row],[Document ID]],Table1[],10,FALSE)</f>
        <v>Active</v>
      </c>
      <c r="H74" s="348" t="e">
        <v>#N/A</v>
      </c>
      <c r="I74" s="293" t="s">
        <v>3536</v>
      </c>
      <c r="J74" s="349">
        <v>35</v>
      </c>
      <c r="K74" s="348"/>
      <c r="L74" s="296" t="str">
        <f>VLOOKUP(Table10[[#This Row],[Country Code]],Table29[],3,FALSE)</f>
        <v>Non-Annex I</v>
      </c>
      <c r="M74" s="296" t="str">
        <f>VLOOKUP(Table10[[#This Row],[Country Code]],Table29[],4,FALSE)</f>
        <v>Africa</v>
      </c>
      <c r="N74" s="296" t="str">
        <f>VLOOKUP(Table10[[#This Row],[Country Code]],Table29[],5,FALSE)</f>
        <v>Low-income</v>
      </c>
      <c r="O74" s="296" t="str">
        <f>VLOOKUP(Table10[[#This Row],[Country Code]],Table29[],6,FALSE)</f>
        <v>no</v>
      </c>
      <c r="P74" s="296" t="str">
        <f>VLOOKUP(Table10[[#This Row],[Country Code]],Table29[],7,FALSE)</f>
        <v>no</v>
      </c>
      <c r="Q74" s="296" t="str">
        <f>VLOOKUP(Table10[[#This Row],[Country Code]],Table29[],8,FALSE)</f>
        <v>non-OECD</v>
      </c>
      <c r="R74" s="290" t="str">
        <f>VLOOKUP(Table10[[#This Row],[Country Code]],Table29[],9,FALSE)</f>
        <v>no</v>
      </c>
      <c r="S74" s="290" t="str">
        <f>VLOOKUP(Table10[[#This Row],[Country Code]],Table29[],10,FALSE)</f>
        <v>no</v>
      </c>
      <c r="T74" s="290">
        <f>VLOOKUP(Table10[[#This Row],[Country Code]],Table29[],23,FALSE)</f>
        <v>19.714051394182</v>
      </c>
      <c r="U74" s="290">
        <f>VLOOKUP(Table10[[#This Row],[Country Code]],Table29[],24,FALSE)</f>
        <v>0.78331093542905961</v>
      </c>
      <c r="V74" s="348" t="s">
        <v>5537</v>
      </c>
    </row>
    <row r="75" spans="1:22" x14ac:dyDescent="0.25">
      <c r="A75" s="257">
        <v>21299</v>
      </c>
      <c r="B75" s="43" t="str">
        <f>VLOOKUP(Table10[[#This Row],[Document ID]],Table1[],2,FALSE)</f>
        <v>MWI</v>
      </c>
      <c r="C75" s="43" t="str">
        <f>VLOOKUP(Table10[[#This Row],[Document ID]],Table1[],3,FALSE)</f>
        <v>Malawi</v>
      </c>
      <c r="D75" s="45" t="str">
        <f>VLOOKUP(Table10[[#This Row],[Document ID]],Table1[],5,FALSE)</f>
        <v>NDC</v>
      </c>
      <c r="E75" s="43" t="str">
        <f>VLOOKUP(Table10[[#This Row],[Document ID]],Table1[],7,FALSE)</f>
        <v>First NDC updated</v>
      </c>
      <c r="F75" s="42" t="str">
        <f>VLOOKUP(Table10[[#This Row],[Document ID]],Table1[],8,FALSE)</f>
        <v>NDC 1.1</v>
      </c>
      <c r="G75" s="42" t="str">
        <f>VLOOKUP(Table10[[#This Row],[Document ID]],Table1[],10,FALSE)</f>
        <v>Active</v>
      </c>
      <c r="H75" s="42" t="s">
        <v>5483</v>
      </c>
      <c r="I75" s="209" t="s">
        <v>5538</v>
      </c>
      <c r="J75" s="259">
        <v>35</v>
      </c>
      <c r="K75" s="43" t="s">
        <v>5485</v>
      </c>
      <c r="L75" s="241" t="str">
        <f>VLOOKUP(Table10[[#This Row],[Country Code]],Table29[],3,FALSE)</f>
        <v>Non-Annex I</v>
      </c>
      <c r="M75" s="241" t="str">
        <f>VLOOKUP(Table10[[#This Row],[Country Code]],Table29[],4,FALSE)</f>
        <v>Africa</v>
      </c>
      <c r="N75" s="241" t="str">
        <f>VLOOKUP(Table10[[#This Row],[Country Code]],Table29[],5,FALSE)</f>
        <v>Low-income</v>
      </c>
      <c r="O75" s="241" t="str">
        <f>VLOOKUP(Table10[[#This Row],[Country Code]],Table29[],6,FALSE)</f>
        <v>no</v>
      </c>
      <c r="P75" s="241" t="str">
        <f>VLOOKUP(Table10[[#This Row],[Country Code]],Table29[],7,FALSE)</f>
        <v>no</v>
      </c>
      <c r="Q75" s="241" t="str">
        <f>VLOOKUP(Table10[[#This Row],[Country Code]],Table29[],8,FALSE)</f>
        <v>non-OECD</v>
      </c>
      <c r="R75" s="233" t="str">
        <f>VLOOKUP(Table10[[#This Row],[Country Code]],Table29[],9,FALSE)</f>
        <v>no</v>
      </c>
      <c r="S75" s="233" t="str">
        <f>VLOOKUP(Table10[[#This Row],[Country Code]],Table29[],10,FALSE)</f>
        <v>no</v>
      </c>
      <c r="T75" s="233">
        <f>VLOOKUP(Table10[[#This Row],[Country Code]],Table29[],23,FALSE)</f>
        <v>19.714051394182</v>
      </c>
      <c r="U75" s="233">
        <f>VLOOKUP(Table10[[#This Row],[Country Code]],Table29[],24,FALSE)</f>
        <v>0.78331093542905961</v>
      </c>
      <c r="V75" s="42"/>
    </row>
    <row r="76" spans="1:22" s="311" customFormat="1" ht="45" x14ac:dyDescent="0.25">
      <c r="A76" s="375">
        <v>21299</v>
      </c>
      <c r="B76" s="43" t="str">
        <f>VLOOKUP(Table10[[#This Row],[Document ID]],Table1[],2,FALSE)</f>
        <v>MWI</v>
      </c>
      <c r="C76" s="43" t="str">
        <f>VLOOKUP(Table10[[#This Row],[Document ID]],Table1[],3,FALSE)</f>
        <v>Malawi</v>
      </c>
      <c r="D76" s="347" t="str">
        <f>VLOOKUP(Table10[[#This Row],[Document ID]],Table1[],5,FALSE)</f>
        <v>NDC</v>
      </c>
      <c r="E76" s="43" t="str">
        <f>VLOOKUP(Table10[[#This Row],[Document ID]],Table1[],7,FALSE)</f>
        <v>First NDC updated</v>
      </c>
      <c r="F76" s="348" t="str">
        <f>VLOOKUP(Table10[[#This Row],[Document ID]],Table1[],8,FALSE)</f>
        <v>NDC 1.1</v>
      </c>
      <c r="G76" s="348" t="str">
        <f>VLOOKUP(Table10[[#This Row],[Document ID]],Table1[],10,FALSE)</f>
        <v>Active</v>
      </c>
      <c r="H76" s="348" t="e">
        <v>#N/A</v>
      </c>
      <c r="I76" s="293" t="s">
        <v>3537</v>
      </c>
      <c r="J76" s="349">
        <v>35</v>
      </c>
      <c r="K76" s="348"/>
      <c r="L76" s="296" t="str">
        <f>VLOOKUP(Table10[[#This Row],[Country Code]],Table29[],3,FALSE)</f>
        <v>Non-Annex I</v>
      </c>
      <c r="M76" s="296" t="str">
        <f>VLOOKUP(Table10[[#This Row],[Country Code]],Table29[],4,FALSE)</f>
        <v>Africa</v>
      </c>
      <c r="N76" s="296" t="str">
        <f>VLOOKUP(Table10[[#This Row],[Country Code]],Table29[],5,FALSE)</f>
        <v>Low-income</v>
      </c>
      <c r="O76" s="296" t="str">
        <f>VLOOKUP(Table10[[#This Row],[Country Code]],Table29[],6,FALSE)</f>
        <v>no</v>
      </c>
      <c r="P76" s="296" t="str">
        <f>VLOOKUP(Table10[[#This Row],[Country Code]],Table29[],7,FALSE)</f>
        <v>no</v>
      </c>
      <c r="Q76" s="296" t="str">
        <f>VLOOKUP(Table10[[#This Row],[Country Code]],Table29[],8,FALSE)</f>
        <v>non-OECD</v>
      </c>
      <c r="R76" s="290" t="str">
        <f>VLOOKUP(Table10[[#This Row],[Country Code]],Table29[],9,FALSE)</f>
        <v>no</v>
      </c>
      <c r="S76" s="290" t="str">
        <f>VLOOKUP(Table10[[#This Row],[Country Code]],Table29[],10,FALSE)</f>
        <v>no</v>
      </c>
      <c r="T76" s="290">
        <f>VLOOKUP(Table10[[#This Row],[Country Code]],Table29[],23,FALSE)</f>
        <v>19.714051394182</v>
      </c>
      <c r="U76" s="290">
        <f>VLOOKUP(Table10[[#This Row],[Country Code]],Table29[],24,FALSE)</f>
        <v>0.78331093542905961</v>
      </c>
      <c r="V76" s="348" t="s">
        <v>5537</v>
      </c>
    </row>
    <row r="77" spans="1:22" x14ac:dyDescent="0.25">
      <c r="A77" s="257">
        <v>21299</v>
      </c>
      <c r="B77" s="43" t="str">
        <f>VLOOKUP(Table10[[#This Row],[Document ID]],Table1[],2,FALSE)</f>
        <v>MWI</v>
      </c>
      <c r="C77" s="43" t="str">
        <f>VLOOKUP(Table10[[#This Row],[Document ID]],Table1[],3,FALSE)</f>
        <v>Malawi</v>
      </c>
      <c r="D77" s="45" t="str">
        <f>VLOOKUP(Table10[[#This Row],[Document ID]],Table1[],5,FALSE)</f>
        <v>NDC</v>
      </c>
      <c r="E77" s="43" t="str">
        <f>VLOOKUP(Table10[[#This Row],[Document ID]],Table1[],7,FALSE)</f>
        <v>First NDC updated</v>
      </c>
      <c r="F77" s="42" t="str">
        <f>VLOOKUP(Table10[[#This Row],[Document ID]],Table1[],8,FALSE)</f>
        <v>NDC 1.1</v>
      </c>
      <c r="G77" s="42" t="str">
        <f>VLOOKUP(Table10[[#This Row],[Document ID]],Table1[],10,FALSE)</f>
        <v>Active</v>
      </c>
      <c r="H77" s="42" t="s">
        <v>5483</v>
      </c>
      <c r="I77" s="209" t="s">
        <v>5539</v>
      </c>
      <c r="J77" s="259">
        <v>35</v>
      </c>
      <c r="K77" s="43" t="s">
        <v>5485</v>
      </c>
      <c r="L77" s="241" t="str">
        <f>VLOOKUP(Table10[[#This Row],[Country Code]],Table29[],3,FALSE)</f>
        <v>Non-Annex I</v>
      </c>
      <c r="M77" s="241" t="str">
        <f>VLOOKUP(Table10[[#This Row],[Country Code]],Table29[],4,FALSE)</f>
        <v>Africa</v>
      </c>
      <c r="N77" s="241" t="str">
        <f>VLOOKUP(Table10[[#This Row],[Country Code]],Table29[],5,FALSE)</f>
        <v>Low-income</v>
      </c>
      <c r="O77" s="241" t="str">
        <f>VLOOKUP(Table10[[#This Row],[Country Code]],Table29[],6,FALSE)</f>
        <v>no</v>
      </c>
      <c r="P77" s="241" t="str">
        <f>VLOOKUP(Table10[[#This Row],[Country Code]],Table29[],7,FALSE)</f>
        <v>no</v>
      </c>
      <c r="Q77" s="241" t="str">
        <f>VLOOKUP(Table10[[#This Row],[Country Code]],Table29[],8,FALSE)</f>
        <v>non-OECD</v>
      </c>
      <c r="R77" s="233" t="str">
        <f>VLOOKUP(Table10[[#This Row],[Country Code]],Table29[],9,FALSE)</f>
        <v>no</v>
      </c>
      <c r="S77" s="233" t="str">
        <f>VLOOKUP(Table10[[#This Row],[Country Code]],Table29[],10,FALSE)</f>
        <v>no</v>
      </c>
      <c r="T77" s="233">
        <f>VLOOKUP(Table10[[#This Row],[Country Code]],Table29[],23,FALSE)</f>
        <v>19.714051394182</v>
      </c>
      <c r="U77" s="233">
        <f>VLOOKUP(Table10[[#This Row],[Country Code]],Table29[],24,FALSE)</f>
        <v>0.78331093542905961</v>
      </c>
      <c r="V77" s="42"/>
    </row>
    <row r="78" spans="1:22" s="311" customFormat="1" ht="45" x14ac:dyDescent="0.25">
      <c r="A78" s="375">
        <v>21299</v>
      </c>
      <c r="B78" s="43" t="str">
        <f>VLOOKUP(Table10[[#This Row],[Document ID]],Table1[],2,FALSE)</f>
        <v>MWI</v>
      </c>
      <c r="C78" s="43" t="str">
        <f>VLOOKUP(Table10[[#This Row],[Document ID]],Table1[],3,FALSE)</f>
        <v>Malawi</v>
      </c>
      <c r="D78" s="347" t="str">
        <f>VLOOKUP(Table10[[#This Row],[Document ID]],Table1[],5,FALSE)</f>
        <v>NDC</v>
      </c>
      <c r="E78" s="43" t="str">
        <f>VLOOKUP(Table10[[#This Row],[Document ID]],Table1[],7,FALSE)</f>
        <v>First NDC updated</v>
      </c>
      <c r="F78" s="348" t="str">
        <f>VLOOKUP(Table10[[#This Row],[Document ID]],Table1[],8,FALSE)</f>
        <v>NDC 1.1</v>
      </c>
      <c r="G78" s="348" t="str">
        <f>VLOOKUP(Table10[[#This Row],[Document ID]],Table1[],10,FALSE)</f>
        <v>Active</v>
      </c>
      <c r="H78" s="348" t="e">
        <v>#N/A</v>
      </c>
      <c r="I78" s="293" t="s">
        <v>3538</v>
      </c>
      <c r="J78" s="349">
        <v>35</v>
      </c>
      <c r="K78" s="348"/>
      <c r="L78" s="296" t="str">
        <f>VLOOKUP(Table10[[#This Row],[Country Code]],Table29[],3,FALSE)</f>
        <v>Non-Annex I</v>
      </c>
      <c r="M78" s="296" t="str">
        <f>VLOOKUP(Table10[[#This Row],[Country Code]],Table29[],4,FALSE)</f>
        <v>Africa</v>
      </c>
      <c r="N78" s="296" t="str">
        <f>VLOOKUP(Table10[[#This Row],[Country Code]],Table29[],5,FALSE)</f>
        <v>Low-income</v>
      </c>
      <c r="O78" s="296" t="str">
        <f>VLOOKUP(Table10[[#This Row],[Country Code]],Table29[],6,FALSE)</f>
        <v>no</v>
      </c>
      <c r="P78" s="296" t="str">
        <f>VLOOKUP(Table10[[#This Row],[Country Code]],Table29[],7,FALSE)</f>
        <v>no</v>
      </c>
      <c r="Q78" s="296" t="str">
        <f>VLOOKUP(Table10[[#This Row],[Country Code]],Table29[],8,FALSE)</f>
        <v>non-OECD</v>
      </c>
      <c r="R78" s="290" t="str">
        <f>VLOOKUP(Table10[[#This Row],[Country Code]],Table29[],9,FALSE)</f>
        <v>no</v>
      </c>
      <c r="S78" s="290" t="str">
        <f>VLOOKUP(Table10[[#This Row],[Country Code]],Table29[],10,FALSE)</f>
        <v>no</v>
      </c>
      <c r="T78" s="290">
        <f>VLOOKUP(Table10[[#This Row],[Country Code]],Table29[],23,FALSE)</f>
        <v>19.714051394182</v>
      </c>
      <c r="U78" s="290">
        <f>VLOOKUP(Table10[[#This Row],[Country Code]],Table29[],24,FALSE)</f>
        <v>0.78331093542905961</v>
      </c>
      <c r="V78" s="348" t="s">
        <v>5537</v>
      </c>
    </row>
    <row r="79" spans="1:22" x14ac:dyDescent="0.25">
      <c r="A79" s="257">
        <v>21299</v>
      </c>
      <c r="B79" s="43" t="str">
        <f>VLOOKUP(Table10[[#This Row],[Document ID]],Table1[],2,FALSE)</f>
        <v>MWI</v>
      </c>
      <c r="C79" s="43" t="str">
        <f>VLOOKUP(Table10[[#This Row],[Document ID]],Table1[],3,FALSE)</f>
        <v>Malawi</v>
      </c>
      <c r="D79" s="45" t="str">
        <f>VLOOKUP(Table10[[#This Row],[Document ID]],Table1[],5,FALSE)</f>
        <v>NDC</v>
      </c>
      <c r="E79" s="43" t="str">
        <f>VLOOKUP(Table10[[#This Row],[Document ID]],Table1[],7,FALSE)</f>
        <v>First NDC updated</v>
      </c>
      <c r="F79" s="42" t="str">
        <f>VLOOKUP(Table10[[#This Row],[Document ID]],Table1[],8,FALSE)</f>
        <v>NDC 1.1</v>
      </c>
      <c r="G79" s="42" t="str">
        <f>VLOOKUP(Table10[[#This Row],[Document ID]],Table1[],10,FALSE)</f>
        <v>Active</v>
      </c>
      <c r="H79" s="42" t="s">
        <v>5483</v>
      </c>
      <c r="I79" s="209" t="s">
        <v>5539</v>
      </c>
      <c r="J79" s="259">
        <v>35</v>
      </c>
      <c r="K79" s="43" t="s">
        <v>5485</v>
      </c>
      <c r="L79" s="241" t="str">
        <f>VLOOKUP(Table10[[#This Row],[Country Code]],Table29[],3,FALSE)</f>
        <v>Non-Annex I</v>
      </c>
      <c r="M79" s="241" t="str">
        <f>VLOOKUP(Table10[[#This Row],[Country Code]],Table29[],4,FALSE)</f>
        <v>Africa</v>
      </c>
      <c r="N79" s="241" t="str">
        <f>VLOOKUP(Table10[[#This Row],[Country Code]],Table29[],5,FALSE)</f>
        <v>Low-income</v>
      </c>
      <c r="O79" s="241" t="str">
        <f>VLOOKUP(Table10[[#This Row],[Country Code]],Table29[],6,FALSE)</f>
        <v>no</v>
      </c>
      <c r="P79" s="241" t="str">
        <f>VLOOKUP(Table10[[#This Row],[Country Code]],Table29[],7,FALSE)</f>
        <v>no</v>
      </c>
      <c r="Q79" s="241" t="str">
        <f>VLOOKUP(Table10[[#This Row],[Country Code]],Table29[],8,FALSE)</f>
        <v>non-OECD</v>
      </c>
      <c r="R79" s="233" t="str">
        <f>VLOOKUP(Table10[[#This Row],[Country Code]],Table29[],9,FALSE)</f>
        <v>no</v>
      </c>
      <c r="S79" s="233" t="str">
        <f>VLOOKUP(Table10[[#This Row],[Country Code]],Table29[],10,FALSE)</f>
        <v>no</v>
      </c>
      <c r="T79" s="233">
        <f>VLOOKUP(Table10[[#This Row],[Country Code]],Table29[],23,FALSE)</f>
        <v>19.714051394182</v>
      </c>
      <c r="U79" s="233">
        <f>VLOOKUP(Table10[[#This Row],[Country Code]],Table29[],24,FALSE)</f>
        <v>0.78331093542905961</v>
      </c>
      <c r="V79" s="42"/>
    </row>
    <row r="80" spans="1:22" s="311" customFormat="1" ht="75" x14ac:dyDescent="0.25">
      <c r="A80" s="375">
        <v>21299</v>
      </c>
      <c r="B80" s="43" t="str">
        <f>VLOOKUP(Table10[[#This Row],[Document ID]],Table1[],2,FALSE)</f>
        <v>MWI</v>
      </c>
      <c r="C80" s="43" t="str">
        <f>VLOOKUP(Table10[[#This Row],[Document ID]],Table1[],3,FALSE)</f>
        <v>Malawi</v>
      </c>
      <c r="D80" s="347" t="str">
        <f>VLOOKUP(Table10[[#This Row],[Document ID]],Table1[],5,FALSE)</f>
        <v>NDC</v>
      </c>
      <c r="E80" s="43" t="str">
        <f>VLOOKUP(Table10[[#This Row],[Document ID]],Table1[],7,FALSE)</f>
        <v>First NDC updated</v>
      </c>
      <c r="F80" s="348" t="str">
        <f>VLOOKUP(Table10[[#This Row],[Document ID]],Table1[],8,FALSE)</f>
        <v>NDC 1.1</v>
      </c>
      <c r="G80" s="348" t="str">
        <f>VLOOKUP(Table10[[#This Row],[Document ID]],Table1[],10,FALSE)</f>
        <v>Active</v>
      </c>
      <c r="H80" s="348" t="e">
        <v>#N/A</v>
      </c>
      <c r="I80" s="293" t="s">
        <v>5241</v>
      </c>
      <c r="J80" s="349">
        <v>78</v>
      </c>
      <c r="K80" s="291"/>
      <c r="L80" s="296" t="str">
        <f>VLOOKUP(Table10[[#This Row],[Country Code]],Table29[],3,FALSE)</f>
        <v>Non-Annex I</v>
      </c>
      <c r="M80" s="296" t="str">
        <f>VLOOKUP(Table10[[#This Row],[Country Code]],Table29[],4,FALSE)</f>
        <v>Africa</v>
      </c>
      <c r="N80" s="296" t="str">
        <f>VLOOKUP(Table10[[#This Row],[Country Code]],Table29[],5,FALSE)</f>
        <v>Low-income</v>
      </c>
      <c r="O80" s="296" t="str">
        <f>VLOOKUP(Table10[[#This Row],[Country Code]],Table29[],6,FALSE)</f>
        <v>no</v>
      </c>
      <c r="P80" s="296" t="str">
        <f>VLOOKUP(Table10[[#This Row],[Country Code]],Table29[],7,FALSE)</f>
        <v>no</v>
      </c>
      <c r="Q80" s="296" t="str">
        <f>VLOOKUP(Table10[[#This Row],[Country Code]],Table29[],8,FALSE)</f>
        <v>non-OECD</v>
      </c>
      <c r="R80" s="290" t="str">
        <f>VLOOKUP(Table10[[#This Row],[Country Code]],Table29[],9,FALSE)</f>
        <v>no</v>
      </c>
      <c r="S80" s="290" t="str">
        <f>VLOOKUP(Table10[[#This Row],[Country Code]],Table29[],10,FALSE)</f>
        <v>no</v>
      </c>
      <c r="T80" s="290">
        <f>VLOOKUP(Table10[[#This Row],[Country Code]],Table29[],23,FALSE)</f>
        <v>19.714051394182</v>
      </c>
      <c r="U80" s="290">
        <f>VLOOKUP(Table10[[#This Row],[Country Code]],Table29[],24,FALSE)</f>
        <v>0.78331093542905961</v>
      </c>
      <c r="V80" s="348" t="s">
        <v>5537</v>
      </c>
    </row>
    <row r="81" spans="1:22" x14ac:dyDescent="0.25">
      <c r="A81" s="257">
        <v>21299</v>
      </c>
      <c r="B81" s="43" t="str">
        <f>VLOOKUP(Table10[[#This Row],[Document ID]],Table1[],2,FALSE)</f>
        <v>MWI</v>
      </c>
      <c r="C81" s="43" t="str">
        <f>VLOOKUP(Table10[[#This Row],[Document ID]],Table1[],3,FALSE)</f>
        <v>Malawi</v>
      </c>
      <c r="D81" s="45" t="str">
        <f>VLOOKUP(Table10[[#This Row],[Document ID]],Table1[],5,FALSE)</f>
        <v>NDC</v>
      </c>
      <c r="E81" s="43" t="str">
        <f>VLOOKUP(Table10[[#This Row],[Document ID]],Table1[],7,FALSE)</f>
        <v>First NDC updated</v>
      </c>
      <c r="F81" s="42" t="str">
        <f>VLOOKUP(Table10[[#This Row],[Document ID]],Table1[],8,FALSE)</f>
        <v>NDC 1.1</v>
      </c>
      <c r="G81" s="42" t="str">
        <f>VLOOKUP(Table10[[#This Row],[Document ID]],Table1[],10,FALSE)</f>
        <v>Active</v>
      </c>
      <c r="H81" s="42" t="s">
        <v>5483</v>
      </c>
      <c r="I81" s="209" t="s">
        <v>5540</v>
      </c>
      <c r="J81" s="259">
        <v>78</v>
      </c>
      <c r="K81" s="43" t="s">
        <v>5485</v>
      </c>
      <c r="L81" s="241" t="str">
        <f>VLOOKUP(Table10[[#This Row],[Country Code]],Table29[],3,FALSE)</f>
        <v>Non-Annex I</v>
      </c>
      <c r="M81" s="241" t="str">
        <f>VLOOKUP(Table10[[#This Row],[Country Code]],Table29[],4,FALSE)</f>
        <v>Africa</v>
      </c>
      <c r="N81" s="241" t="str">
        <f>VLOOKUP(Table10[[#This Row],[Country Code]],Table29[],5,FALSE)</f>
        <v>Low-income</v>
      </c>
      <c r="O81" s="241" t="str">
        <f>VLOOKUP(Table10[[#This Row],[Country Code]],Table29[],6,FALSE)</f>
        <v>no</v>
      </c>
      <c r="P81" s="241" t="str">
        <f>VLOOKUP(Table10[[#This Row],[Country Code]],Table29[],7,FALSE)</f>
        <v>no</v>
      </c>
      <c r="Q81" s="241" t="str">
        <f>VLOOKUP(Table10[[#This Row],[Country Code]],Table29[],8,FALSE)</f>
        <v>non-OECD</v>
      </c>
      <c r="R81" s="233" t="str">
        <f>VLOOKUP(Table10[[#This Row],[Country Code]],Table29[],9,FALSE)</f>
        <v>no</v>
      </c>
      <c r="S81" s="233" t="str">
        <f>VLOOKUP(Table10[[#This Row],[Country Code]],Table29[],10,FALSE)</f>
        <v>no</v>
      </c>
      <c r="T81" s="233">
        <f>VLOOKUP(Table10[[#This Row],[Country Code]],Table29[],23,FALSE)</f>
        <v>19.714051394182</v>
      </c>
      <c r="U81" s="233">
        <f>VLOOKUP(Table10[[#This Row],[Country Code]],Table29[],24,FALSE)</f>
        <v>0.78331093542905961</v>
      </c>
      <c r="V81" s="42"/>
    </row>
    <row r="82" spans="1:22" ht="30" x14ac:dyDescent="0.25">
      <c r="A82" s="376">
        <v>21299</v>
      </c>
      <c r="B82" s="43" t="str">
        <f>VLOOKUP(Table10[[#This Row],[Document ID]],Table1[],2,FALSE)</f>
        <v>MWI</v>
      </c>
      <c r="C82" s="43" t="str">
        <f>VLOOKUP(Table10[[#This Row],[Document ID]],Table1[],3,FALSE)</f>
        <v>Malawi</v>
      </c>
      <c r="D82" s="42" t="str">
        <f>VLOOKUP(Table10[[#This Row],[Document ID]],Table1[],5,FALSE)</f>
        <v>NDC</v>
      </c>
      <c r="E82" s="43" t="str">
        <f>VLOOKUP(Table10[[#This Row],[Document ID]],Table1[],7,FALSE)</f>
        <v>First NDC updated</v>
      </c>
      <c r="F82" s="42" t="str">
        <f>VLOOKUP(Table10[[#This Row],[Document ID]],Table1[],8,FALSE)</f>
        <v>NDC 1.1</v>
      </c>
      <c r="G82" s="42" t="str">
        <f>VLOOKUP(Table10[[#This Row],[Document ID]],Table1[],10,FALSE)</f>
        <v>Active</v>
      </c>
      <c r="H82" s="42" t="s">
        <v>5475</v>
      </c>
      <c r="I82" s="209" t="s">
        <v>5541</v>
      </c>
      <c r="J82" s="259">
        <v>35</v>
      </c>
      <c r="K82" s="42" t="s">
        <v>5477</v>
      </c>
      <c r="L82" s="241" t="str">
        <f>VLOOKUP(Table10[[#This Row],[Country Code]],Table29[],3,FALSE)</f>
        <v>Non-Annex I</v>
      </c>
      <c r="M82" s="241" t="str">
        <f>VLOOKUP(Table10[[#This Row],[Country Code]],Table29[],4,FALSE)</f>
        <v>Africa</v>
      </c>
      <c r="N82" s="241" t="str">
        <f>VLOOKUP(Table10[[#This Row],[Country Code]],Table29[],5,FALSE)</f>
        <v>Low-income</v>
      </c>
      <c r="O82" s="241" t="str">
        <f>VLOOKUP(Table10[[#This Row],[Country Code]],Table29[],6,FALSE)</f>
        <v>no</v>
      </c>
      <c r="P82" s="241" t="str">
        <f>VLOOKUP(Table10[[#This Row],[Country Code]],Table29[],7,FALSE)</f>
        <v>no</v>
      </c>
      <c r="Q82" s="241" t="str">
        <f>VLOOKUP(Table10[[#This Row],[Country Code]],Table29[],8,FALSE)</f>
        <v>non-OECD</v>
      </c>
      <c r="R82" s="233" t="str">
        <f>VLOOKUP(Table10[[#This Row],[Country Code]],Table29[],9,FALSE)</f>
        <v>no</v>
      </c>
      <c r="S82" s="233" t="str">
        <f>VLOOKUP(Table10[[#This Row],[Country Code]],Table29[],10,FALSE)</f>
        <v>no</v>
      </c>
      <c r="T82" s="233">
        <f>VLOOKUP(Table10[[#This Row],[Country Code]],Table29[],23,FALSE)</f>
        <v>19.714051394182</v>
      </c>
      <c r="U82" s="233">
        <f>VLOOKUP(Table10[[#This Row],[Country Code]],Table29[],24,FALSE)</f>
        <v>0.78331093542905961</v>
      </c>
      <c r="V82" s="42"/>
    </row>
    <row r="83" spans="1:22" ht="30" x14ac:dyDescent="0.25">
      <c r="A83" s="376">
        <v>21299</v>
      </c>
      <c r="B83" s="43" t="str">
        <f>VLOOKUP(Table10[[#This Row],[Document ID]],Table1[],2,FALSE)</f>
        <v>MWI</v>
      </c>
      <c r="C83" s="43" t="str">
        <f>VLOOKUP(Table10[[#This Row],[Document ID]],Table1[],3,FALSE)</f>
        <v>Malawi</v>
      </c>
      <c r="D83" s="42" t="str">
        <f>VLOOKUP(Table10[[#This Row],[Document ID]],Table1[],5,FALSE)</f>
        <v>NDC</v>
      </c>
      <c r="E83" s="43" t="str">
        <f>VLOOKUP(Table10[[#This Row],[Document ID]],Table1[],7,FALSE)</f>
        <v>First NDC updated</v>
      </c>
      <c r="F83" s="42" t="str">
        <f>VLOOKUP(Table10[[#This Row],[Document ID]],Table1[],8,FALSE)</f>
        <v>NDC 1.1</v>
      </c>
      <c r="G83" s="42" t="str">
        <f>VLOOKUP(Table10[[#This Row],[Document ID]],Table1[],10,FALSE)</f>
        <v>Active</v>
      </c>
      <c r="H83" s="42" t="s">
        <v>5460</v>
      </c>
      <c r="I83" s="209" t="s">
        <v>5541</v>
      </c>
      <c r="J83" s="259">
        <v>35</v>
      </c>
      <c r="K83" s="42" t="s">
        <v>5462</v>
      </c>
      <c r="L83" s="241" t="str">
        <f>VLOOKUP(Table10[[#This Row],[Country Code]],Table29[],3,FALSE)</f>
        <v>Non-Annex I</v>
      </c>
      <c r="M83" s="241" t="str">
        <f>VLOOKUP(Table10[[#This Row],[Country Code]],Table29[],4,FALSE)</f>
        <v>Africa</v>
      </c>
      <c r="N83" s="241" t="str">
        <f>VLOOKUP(Table10[[#This Row],[Country Code]],Table29[],5,FALSE)</f>
        <v>Low-income</v>
      </c>
      <c r="O83" s="241" t="str">
        <f>VLOOKUP(Table10[[#This Row],[Country Code]],Table29[],6,FALSE)</f>
        <v>no</v>
      </c>
      <c r="P83" s="241" t="str">
        <f>VLOOKUP(Table10[[#This Row],[Country Code]],Table29[],7,FALSE)</f>
        <v>no</v>
      </c>
      <c r="Q83" s="241" t="str">
        <f>VLOOKUP(Table10[[#This Row],[Country Code]],Table29[],8,FALSE)</f>
        <v>non-OECD</v>
      </c>
      <c r="R83" s="233" t="str">
        <f>VLOOKUP(Table10[[#This Row],[Country Code]],Table29[],9,FALSE)</f>
        <v>no</v>
      </c>
      <c r="S83" s="233" t="str">
        <f>VLOOKUP(Table10[[#This Row],[Country Code]],Table29[],10,FALSE)</f>
        <v>no</v>
      </c>
      <c r="T83" s="233">
        <f>VLOOKUP(Table10[[#This Row],[Country Code]],Table29[],23,FALSE)</f>
        <v>19.714051394182</v>
      </c>
      <c r="U83" s="233">
        <f>VLOOKUP(Table10[[#This Row],[Country Code]],Table29[],24,FALSE)</f>
        <v>0.78331093542905961</v>
      </c>
      <c r="V83" s="42"/>
    </row>
    <row r="84" spans="1:22" ht="60" x14ac:dyDescent="0.25">
      <c r="A84" s="221">
        <v>26782</v>
      </c>
      <c r="B84" s="43" t="str">
        <f>VLOOKUP(Table10[[#This Row],[Document ID]],Table1[],2,FALSE)</f>
        <v>MLT</v>
      </c>
      <c r="C84" s="43" t="str">
        <f>VLOOKUP(Table10[[#This Row],[Document ID]],Table1[],3,FALSE)</f>
        <v>Malta</v>
      </c>
      <c r="D84" s="43" t="str">
        <f>VLOOKUP(Table10[[#This Row],[Document ID]],Table1[],5,FALSE)</f>
        <v>LTS</v>
      </c>
      <c r="E84" s="43" t="str">
        <f>VLOOKUP(Table10[[#This Row],[Document ID]],Table1[],7,FALSE)</f>
        <v>LTS</v>
      </c>
      <c r="F84" s="43" t="str">
        <f>VLOOKUP(Table10[[#This Row],[Document ID]],Table1[],8,FALSE)</f>
        <v>LTS 1.0</v>
      </c>
      <c r="G84" s="43" t="str">
        <f>VLOOKUP(Table10[[#This Row],[Document ID]],Table1[],10,FALSE)</f>
        <v>Active</v>
      </c>
      <c r="H84" s="42" t="s">
        <v>5463</v>
      </c>
      <c r="I84" s="44" t="s">
        <v>5542</v>
      </c>
      <c r="J84" s="221">
        <v>110</v>
      </c>
      <c r="K84" s="42" t="s">
        <v>5465</v>
      </c>
      <c r="L84" s="241" t="str">
        <f>VLOOKUP(Table10[[#This Row],[Country Code]],Table29[],3,FALSE)</f>
        <v>Annex I</v>
      </c>
      <c r="M84" s="241" t="str">
        <f>VLOOKUP(Table10[[#This Row],[Country Code]],Table29[],4,FALSE)</f>
        <v>Europe</v>
      </c>
      <c r="N84" s="241" t="str">
        <f>VLOOKUP(Table10[[#This Row],[Country Code]],Table29[],5,FALSE)</f>
        <v>High-income</v>
      </c>
      <c r="O84" s="241" t="str">
        <f>VLOOKUP(Table10[[#This Row],[Country Code]],Table29[],6,FALSE)</f>
        <v>no</v>
      </c>
      <c r="P84" s="241" t="str">
        <f>VLOOKUP(Table10[[#This Row],[Country Code]],Table29[],7,FALSE)</f>
        <v>no</v>
      </c>
      <c r="Q84" s="241" t="str">
        <f>VLOOKUP(Table10[[#This Row],[Country Code]],Table29[],8,FALSE)</f>
        <v>non-OECD</v>
      </c>
      <c r="R84" s="233" t="str">
        <f>VLOOKUP(Table10[[#This Row],[Country Code]],Table29[],9,FALSE)</f>
        <v>EU27</v>
      </c>
      <c r="S84" s="233" t="str">
        <f>VLOOKUP(Table10[[#This Row],[Country Code]],Table29[],10,FALSE)</f>
        <v>no</v>
      </c>
      <c r="T84" s="233">
        <f>VLOOKUP(Table10[[#This Row],[Country Code]],Table29[],23,FALSE)</f>
        <v>2.0338652584277002</v>
      </c>
      <c r="U84" s="233">
        <f>VLOOKUP(Table10[[#This Row],[Country Code]],Table29[],24,FALSE)</f>
        <v>0.73042728349636687</v>
      </c>
      <c r="V84" s="43"/>
    </row>
    <row r="85" spans="1:22" ht="30" x14ac:dyDescent="0.25">
      <c r="A85" s="221">
        <v>26782</v>
      </c>
      <c r="B85" s="43" t="str">
        <f>VLOOKUP(Table10[[#This Row],[Document ID]],Table1[],2,FALSE)</f>
        <v>MLT</v>
      </c>
      <c r="C85" s="43" t="str">
        <f>VLOOKUP(Table10[[#This Row],[Document ID]],Table1[],3,FALSE)</f>
        <v>Malta</v>
      </c>
      <c r="D85" s="43" t="str">
        <f>VLOOKUP(Table10[[#This Row],[Document ID]],Table1[],5,FALSE)</f>
        <v>LTS</v>
      </c>
      <c r="E85" s="43" t="str">
        <f>VLOOKUP(Table10[[#This Row],[Document ID]],Table1[],7,FALSE)</f>
        <v>LTS</v>
      </c>
      <c r="F85" s="43" t="str">
        <f>VLOOKUP(Table10[[#This Row],[Document ID]],Table1[],8,FALSE)</f>
        <v>LTS 1.0</v>
      </c>
      <c r="G85" s="43" t="str">
        <f>VLOOKUP(Table10[[#This Row],[Document ID]],Table1[],10,FALSE)</f>
        <v>Active</v>
      </c>
      <c r="H85" s="42" t="s">
        <v>5475</v>
      </c>
      <c r="I85" s="44" t="s">
        <v>5543</v>
      </c>
      <c r="J85" s="221">
        <v>110</v>
      </c>
      <c r="K85" s="42" t="s">
        <v>5477</v>
      </c>
      <c r="L85" s="241" t="str">
        <f>VLOOKUP(Table10[[#This Row],[Country Code]],Table29[],3,FALSE)</f>
        <v>Annex I</v>
      </c>
      <c r="M85" s="241" t="str">
        <f>VLOOKUP(Table10[[#This Row],[Country Code]],Table29[],4,FALSE)</f>
        <v>Europe</v>
      </c>
      <c r="N85" s="241" t="str">
        <f>VLOOKUP(Table10[[#This Row],[Country Code]],Table29[],5,FALSE)</f>
        <v>High-income</v>
      </c>
      <c r="O85" s="241" t="str">
        <f>VLOOKUP(Table10[[#This Row],[Country Code]],Table29[],6,FALSE)</f>
        <v>no</v>
      </c>
      <c r="P85" s="241" t="str">
        <f>VLOOKUP(Table10[[#This Row],[Country Code]],Table29[],7,FALSE)</f>
        <v>no</v>
      </c>
      <c r="Q85" s="241" t="str">
        <f>VLOOKUP(Table10[[#This Row],[Country Code]],Table29[],8,FALSE)</f>
        <v>non-OECD</v>
      </c>
      <c r="R85" s="233" t="str">
        <f>VLOOKUP(Table10[[#This Row],[Country Code]],Table29[],9,FALSE)</f>
        <v>EU27</v>
      </c>
      <c r="S85" s="233" t="str">
        <f>VLOOKUP(Table10[[#This Row],[Country Code]],Table29[],10,FALSE)</f>
        <v>no</v>
      </c>
      <c r="T85" s="233">
        <f>VLOOKUP(Table10[[#This Row],[Country Code]],Table29[],23,FALSE)</f>
        <v>2.0338652584277002</v>
      </c>
      <c r="U85" s="233">
        <f>VLOOKUP(Table10[[#This Row],[Country Code]],Table29[],24,FALSE)</f>
        <v>0.73042728349636687</v>
      </c>
      <c r="V85" s="43"/>
    </row>
    <row r="86" spans="1:22" ht="75" x14ac:dyDescent="0.25">
      <c r="A86" s="221">
        <v>26782</v>
      </c>
      <c r="B86" s="43" t="str">
        <f>VLOOKUP(Table10[[#This Row],[Document ID]],Table1[],2,FALSE)</f>
        <v>MLT</v>
      </c>
      <c r="C86" s="43" t="str">
        <f>VLOOKUP(Table10[[#This Row],[Document ID]],Table1[],3,FALSE)</f>
        <v>Malta</v>
      </c>
      <c r="D86" s="43" t="str">
        <f>VLOOKUP(Table10[[#This Row],[Document ID]],Table1[],5,FALSE)</f>
        <v>LTS</v>
      </c>
      <c r="E86" s="43" t="str">
        <f>VLOOKUP(Table10[[#This Row],[Document ID]],Table1[],7,FALSE)</f>
        <v>LTS</v>
      </c>
      <c r="F86" s="43" t="str">
        <f>VLOOKUP(Table10[[#This Row],[Document ID]],Table1[],8,FALSE)</f>
        <v>LTS 1.0</v>
      </c>
      <c r="G86" s="43" t="str">
        <f>VLOOKUP(Table10[[#This Row],[Document ID]],Table1[],10,FALSE)</f>
        <v>Active</v>
      </c>
      <c r="H86" s="42" t="s">
        <v>5472</v>
      </c>
      <c r="I86" s="44" t="s">
        <v>5544</v>
      </c>
      <c r="J86" s="221">
        <v>110</v>
      </c>
      <c r="K86" s="42" t="s">
        <v>5474</v>
      </c>
      <c r="L86" s="241" t="str">
        <f>VLOOKUP(Table10[[#This Row],[Country Code]],Table29[],3,FALSE)</f>
        <v>Annex I</v>
      </c>
      <c r="M86" s="241" t="str">
        <f>VLOOKUP(Table10[[#This Row],[Country Code]],Table29[],4,FALSE)</f>
        <v>Europe</v>
      </c>
      <c r="N86" s="241" t="str">
        <f>VLOOKUP(Table10[[#This Row],[Country Code]],Table29[],5,FALSE)</f>
        <v>High-income</v>
      </c>
      <c r="O86" s="241" t="str">
        <f>VLOOKUP(Table10[[#This Row],[Country Code]],Table29[],6,FALSE)</f>
        <v>no</v>
      </c>
      <c r="P86" s="241" t="str">
        <f>VLOOKUP(Table10[[#This Row],[Country Code]],Table29[],7,FALSE)</f>
        <v>no</v>
      </c>
      <c r="Q86" s="241" t="str">
        <f>VLOOKUP(Table10[[#This Row],[Country Code]],Table29[],8,FALSE)</f>
        <v>non-OECD</v>
      </c>
      <c r="R86" s="233" t="str">
        <f>VLOOKUP(Table10[[#This Row],[Country Code]],Table29[],9,FALSE)</f>
        <v>EU27</v>
      </c>
      <c r="S86" s="233" t="str">
        <f>VLOOKUP(Table10[[#This Row],[Country Code]],Table29[],10,FALSE)</f>
        <v>no</v>
      </c>
      <c r="T86" s="233">
        <f>VLOOKUP(Table10[[#This Row],[Country Code]],Table29[],23,FALSE)</f>
        <v>2.0338652584277002</v>
      </c>
      <c r="U86" s="233">
        <f>VLOOKUP(Table10[[#This Row],[Country Code]],Table29[],24,FALSE)</f>
        <v>0.73042728349636687</v>
      </c>
      <c r="V86" s="43"/>
    </row>
    <row r="87" spans="1:22" x14ac:dyDescent="0.25">
      <c r="A87" s="221">
        <v>17662</v>
      </c>
      <c r="B87" s="43" t="str">
        <f>VLOOKUP(Table10[[#This Row],[Document ID]],Table1[],2,FALSE)</f>
        <v>MEX</v>
      </c>
      <c r="C87" s="43" t="str">
        <f>VLOOKUP(Table10[[#This Row],[Document ID]],Table1[],3,FALSE)</f>
        <v>Mexico</v>
      </c>
      <c r="D87" s="43" t="str">
        <f>VLOOKUP(Table10[[#This Row],[Document ID]],Table1[],5,FALSE)</f>
        <v>NDC</v>
      </c>
      <c r="E87" s="43" t="str">
        <f>VLOOKUP(Table10[[#This Row],[Document ID]],Table1[],7,FALSE)</f>
        <v>First NDC updated</v>
      </c>
      <c r="F87" s="43" t="str">
        <f>VLOOKUP(Table10[[#This Row],[Document ID]],Table1[],8,FALSE)</f>
        <v>NDC 1.1</v>
      </c>
      <c r="G87" s="43" t="str">
        <f>VLOOKUP(Table10[[#This Row],[Document ID]],Table1[],10,FALSE)</f>
        <v>Archived</v>
      </c>
      <c r="H87" s="42" t="s">
        <v>5483</v>
      </c>
      <c r="I87" s="44" t="s">
        <v>5545</v>
      </c>
      <c r="J87" s="221">
        <v>23</v>
      </c>
      <c r="K87" s="43" t="s">
        <v>5485</v>
      </c>
      <c r="L87" s="241" t="str">
        <f>VLOOKUP(Table10[[#This Row],[Country Code]],Table29[],3,FALSE)</f>
        <v>Non-Annex I</v>
      </c>
      <c r="M87" s="241" t="str">
        <f>VLOOKUP(Table10[[#This Row],[Country Code]],Table29[],4,FALSE)</f>
        <v>Latin America and the Caribbean</v>
      </c>
      <c r="N87" s="241" t="str">
        <f>VLOOKUP(Table10[[#This Row],[Country Code]],Table29[],5,FALSE)</f>
        <v>Middle-income</v>
      </c>
      <c r="O87" s="241" t="str">
        <f>VLOOKUP(Table10[[#This Row],[Country Code]],Table29[],6,FALSE)</f>
        <v>G20</v>
      </c>
      <c r="P87" s="241" t="str">
        <f>VLOOKUP(Table10[[#This Row],[Country Code]],Table29[],7,FALSE)</f>
        <v>no</v>
      </c>
      <c r="Q87" s="241" t="str">
        <f>VLOOKUP(Table10[[#This Row],[Country Code]],Table29[],8,FALSE)</f>
        <v>OECD</v>
      </c>
      <c r="R87" s="233" t="str">
        <f>VLOOKUP(Table10[[#This Row],[Country Code]],Table29[],9,FALSE)</f>
        <v>no</v>
      </c>
      <c r="S87" s="233" t="str">
        <f>VLOOKUP(Table10[[#This Row],[Country Code]],Table29[],10,FALSE)</f>
        <v>no</v>
      </c>
      <c r="T87" s="233">
        <f>VLOOKUP(Table10[[#This Row],[Country Code]],Table29[],23,FALSE)</f>
        <v>712.10209803987004</v>
      </c>
      <c r="U87" s="233">
        <f>VLOOKUP(Table10[[#This Row],[Country Code]],Table29[],24,FALSE)</f>
        <v>132.220611733639</v>
      </c>
      <c r="V87" s="43"/>
    </row>
    <row r="88" spans="1:22" x14ac:dyDescent="0.25">
      <c r="A88" s="257">
        <v>32508</v>
      </c>
      <c r="B88" s="43" t="str">
        <f>VLOOKUP(Table10[[#This Row],[Document ID]],Table1[],2,FALSE)</f>
        <v>FSM</v>
      </c>
      <c r="C88" s="43" t="str">
        <f>VLOOKUP(Table10[[#This Row],[Document ID]],Table1[],3,FALSE)</f>
        <v>Micronesia (Federated States of)</v>
      </c>
      <c r="D88" s="45" t="str">
        <f>VLOOKUP(Table10[[#This Row],[Document ID]],Table1[],5,FALSE)</f>
        <v>NDC</v>
      </c>
      <c r="E88" s="43" t="str">
        <f>VLOOKUP(Table10[[#This Row],[Document ID]],Table1[],7,FALSE)</f>
        <v>First NDC updated</v>
      </c>
      <c r="F88" s="42" t="str">
        <f>VLOOKUP(Table10[[#This Row],[Document ID]],Table1[],8,FALSE)</f>
        <v>NDC 1.1</v>
      </c>
      <c r="G88" s="42" t="str">
        <f>VLOOKUP(Table10[[#This Row],[Document ID]],Table1[],10,FALSE)</f>
        <v>Active</v>
      </c>
      <c r="H88" s="42" t="s">
        <v>5483</v>
      </c>
      <c r="I88" s="209" t="s">
        <v>5546</v>
      </c>
      <c r="J88" s="259">
        <v>32</v>
      </c>
      <c r="K88" s="42" t="s">
        <v>5485</v>
      </c>
      <c r="L88" s="241" t="str">
        <f>VLOOKUP(Table10[[#This Row],[Country Code]],Table29[],3,FALSE)</f>
        <v>Non-Annex I</v>
      </c>
      <c r="M88" s="241" t="str">
        <f>VLOOKUP(Table10[[#This Row],[Country Code]],Table29[],4,FALSE)</f>
        <v>Oceania</v>
      </c>
      <c r="N88" s="241" t="str">
        <f>VLOOKUP(Table10[[#This Row],[Country Code]],Table29[],5,FALSE)</f>
        <v>Middle-income</v>
      </c>
      <c r="O88" s="241" t="str">
        <f>VLOOKUP(Table10[[#This Row],[Country Code]],Table29[],6,FALSE)</f>
        <v>no</v>
      </c>
      <c r="P88" s="241" t="str">
        <f>VLOOKUP(Table10[[#This Row],[Country Code]],Table29[],7,FALSE)</f>
        <v>no</v>
      </c>
      <c r="Q88" s="241" t="str">
        <f>VLOOKUP(Table10[[#This Row],[Country Code]],Table29[],8,FALSE)</f>
        <v>non-OECD</v>
      </c>
      <c r="R88" s="233" t="str">
        <f>VLOOKUP(Table10[[#This Row],[Country Code]],Table29[],9,FALSE)</f>
        <v>no</v>
      </c>
      <c r="S88" s="233" t="str">
        <f>VLOOKUP(Table10[[#This Row],[Country Code]],Table29[],10,FALSE)</f>
        <v>no</v>
      </c>
      <c r="T88" s="233">
        <f>VLOOKUP(Table10[[#This Row],[Country Code]],Table29[],23,FALSE)</f>
        <v>0</v>
      </c>
      <c r="U88" s="233">
        <f>VLOOKUP(Table10[[#This Row],[Country Code]],Table29[],24,FALSE)</f>
        <v>0</v>
      </c>
      <c r="V88" s="42"/>
    </row>
    <row r="89" spans="1:22" x14ac:dyDescent="0.25">
      <c r="A89" s="257">
        <v>23760</v>
      </c>
      <c r="B89" s="43" t="str">
        <f>VLOOKUP(Table10[[#This Row],[Document ID]],Table1[],2,FALSE)</f>
        <v>NRU</v>
      </c>
      <c r="C89" s="43" t="str">
        <f>VLOOKUP(Table10[[#This Row],[Document ID]],Table1[],3,FALSE)</f>
        <v>Nauru</v>
      </c>
      <c r="D89" s="45" t="str">
        <f>VLOOKUP(Table10[[#This Row],[Document ID]],Table1[],5,FALSE)</f>
        <v>NDC</v>
      </c>
      <c r="E89" s="43" t="str">
        <f>VLOOKUP(Table10[[#This Row],[Document ID]],Table1[],7,FALSE)</f>
        <v>First NDC updated</v>
      </c>
      <c r="F89" s="42" t="str">
        <f>VLOOKUP(Table10[[#This Row],[Document ID]],Table1[],8,FALSE)</f>
        <v>NDC 1.1</v>
      </c>
      <c r="G89" s="42" t="str">
        <f>VLOOKUP(Table10[[#This Row],[Document ID]],Table1[],10,FALSE)</f>
        <v>Active</v>
      </c>
      <c r="H89" s="42" t="s">
        <v>5483</v>
      </c>
      <c r="I89" s="209" t="s">
        <v>5547</v>
      </c>
      <c r="J89" s="259">
        <v>34</v>
      </c>
      <c r="K89" s="344" t="s">
        <v>5485</v>
      </c>
      <c r="L89" s="241" t="str">
        <f>VLOOKUP(Table10[[#This Row],[Country Code]],Table29[],3,FALSE)</f>
        <v>Non-Annex I</v>
      </c>
      <c r="M89" s="241" t="str">
        <f>VLOOKUP(Table10[[#This Row],[Country Code]],Table29[],4,FALSE)</f>
        <v>Oceania</v>
      </c>
      <c r="N89" s="241" t="str">
        <f>VLOOKUP(Table10[[#This Row],[Country Code]],Table29[],5,FALSE)</f>
        <v>High-income</v>
      </c>
      <c r="O89" s="241" t="str">
        <f>VLOOKUP(Table10[[#This Row],[Country Code]],Table29[],6,FALSE)</f>
        <v>no</v>
      </c>
      <c r="P89" s="241" t="str">
        <f>VLOOKUP(Table10[[#This Row],[Country Code]],Table29[],7,FALSE)</f>
        <v>no</v>
      </c>
      <c r="Q89" s="241" t="str">
        <f>VLOOKUP(Table10[[#This Row],[Country Code]],Table29[],8,FALSE)</f>
        <v>non-OECD</v>
      </c>
      <c r="R89" s="233" t="str">
        <f>VLOOKUP(Table10[[#This Row],[Country Code]],Table29[],9,FALSE)</f>
        <v>no</v>
      </c>
      <c r="S89" s="233" t="str">
        <f>VLOOKUP(Table10[[#This Row],[Country Code]],Table29[],10,FALSE)</f>
        <v>no</v>
      </c>
      <c r="T89" s="233">
        <f>VLOOKUP(Table10[[#This Row],[Country Code]],Table29[],23,FALSE)</f>
        <v>0</v>
      </c>
      <c r="U89" s="233">
        <f>VLOOKUP(Table10[[#This Row],[Country Code]],Table29[],24,FALSE)</f>
        <v>0</v>
      </c>
      <c r="V89" s="42"/>
    </row>
    <row r="90" spans="1:22" ht="45" x14ac:dyDescent="0.25">
      <c r="A90" s="258">
        <v>17674</v>
      </c>
      <c r="B90" s="43" t="str">
        <f>VLOOKUP(Table10[[#This Row],[Document ID]],Table1[],2,FALSE)</f>
        <v>NPL</v>
      </c>
      <c r="C90" s="43" t="str">
        <f>VLOOKUP(Table10[[#This Row],[Document ID]],Table1[],3,FALSE)</f>
        <v>Nepal</v>
      </c>
      <c r="D90" s="176" t="str">
        <f>VLOOKUP(Table10[[#This Row],[Document ID]],Table1[],5,FALSE)</f>
        <v>NDC</v>
      </c>
      <c r="E90" s="43" t="str">
        <f>VLOOKUP(Table10[[#This Row],[Document ID]],Table1[],7,FALSE)</f>
        <v>First NDC</v>
      </c>
      <c r="F90" s="176" t="str">
        <f>VLOOKUP(Table10[[#This Row],[Document ID]],Table1[],8,FALSE)</f>
        <v>NDC 1.0</v>
      </c>
      <c r="G90" s="176" t="str">
        <f>VLOOKUP(Table10[[#This Row],[Document ID]],Table1[],10,FALSE)</f>
        <v>Archived</v>
      </c>
      <c r="H90" s="42" t="s">
        <v>5460</v>
      </c>
      <c r="I90" s="176" t="s">
        <v>5548</v>
      </c>
      <c r="J90" s="258">
        <v>8</v>
      </c>
      <c r="K90" s="176" t="s">
        <v>5462</v>
      </c>
      <c r="L90" s="241" t="str">
        <f>VLOOKUP(Table10[[#This Row],[Country Code]],Table29[],3,FALSE)</f>
        <v>Non-Annex I</v>
      </c>
      <c r="M90" s="241" t="str">
        <f>VLOOKUP(Table10[[#This Row],[Country Code]],Table29[],4,FALSE)</f>
        <v>Asia</v>
      </c>
      <c r="N90" s="241" t="str">
        <f>VLOOKUP(Table10[[#This Row],[Country Code]],Table29[],5,FALSE)</f>
        <v>Middle-income</v>
      </c>
      <c r="O90" s="241" t="str">
        <f>VLOOKUP(Table10[[#This Row],[Country Code]],Table29[],6,FALSE)</f>
        <v>no</v>
      </c>
      <c r="P90" s="241" t="str">
        <f>VLOOKUP(Table10[[#This Row],[Country Code]],Table29[],7,FALSE)</f>
        <v>no</v>
      </c>
      <c r="Q90" s="241" t="str">
        <f>VLOOKUP(Table10[[#This Row],[Country Code]],Table29[],8,FALSE)</f>
        <v>non-OECD</v>
      </c>
      <c r="R90" s="233" t="str">
        <f>VLOOKUP(Table10[[#This Row],[Country Code]],Table29[],9,FALSE)</f>
        <v>no</v>
      </c>
      <c r="S90" s="233" t="str">
        <f>VLOOKUP(Table10[[#This Row],[Country Code]],Table29[],10,FALSE)</f>
        <v>no</v>
      </c>
      <c r="T90" s="233">
        <f>VLOOKUP(Table10[[#This Row],[Country Code]],Table29[],23,FALSE)</f>
        <v>56.830982733611002</v>
      </c>
      <c r="U90" s="233">
        <f>VLOOKUP(Table10[[#This Row],[Country Code]],Table29[],24,FALSE)</f>
        <v>4.8627503945089332</v>
      </c>
      <c r="V90" s="43"/>
    </row>
    <row r="91" spans="1:22" x14ac:dyDescent="0.25">
      <c r="A91" s="257">
        <v>17682</v>
      </c>
      <c r="B91" s="43" t="str">
        <f>VLOOKUP(Table10[[#This Row],[Document ID]],Table1[],2,FALSE)</f>
        <v>NIC</v>
      </c>
      <c r="C91" s="43" t="str">
        <f>VLOOKUP(Table10[[#This Row],[Document ID]],Table1[],3,FALSE)</f>
        <v>Nicaragua</v>
      </c>
      <c r="D91" s="45" t="str">
        <f>VLOOKUP(Table10[[#This Row],[Document ID]],Table1[],5,FALSE)</f>
        <v>NDC</v>
      </c>
      <c r="E91" s="43" t="str">
        <f>VLOOKUP(Table10[[#This Row],[Document ID]],Table1[],7,FALSE)</f>
        <v>First NDC updated</v>
      </c>
      <c r="F91" s="42" t="str">
        <f>VLOOKUP(Table10[[#This Row],[Document ID]],Table1[],8,FALSE)</f>
        <v>NDC 1.1</v>
      </c>
      <c r="G91" s="42" t="str">
        <f>VLOOKUP(Table10[[#This Row],[Document ID]],Table1[],10,FALSE)</f>
        <v>Active</v>
      </c>
      <c r="H91" s="42" t="s">
        <v>5483</v>
      </c>
      <c r="I91" s="44" t="s">
        <v>5549</v>
      </c>
      <c r="J91" s="221">
        <v>68</v>
      </c>
      <c r="K91" s="43" t="s">
        <v>5485</v>
      </c>
      <c r="L91" s="241" t="str">
        <f>VLOOKUP(Table10[[#This Row],[Country Code]],Table29[],3,FALSE)</f>
        <v>Non-Annex I</v>
      </c>
      <c r="M91" s="241" t="str">
        <f>VLOOKUP(Table10[[#This Row],[Country Code]],Table29[],4,FALSE)</f>
        <v>Latin America and the Caribbean</v>
      </c>
      <c r="N91" s="241" t="str">
        <f>VLOOKUP(Table10[[#This Row],[Country Code]],Table29[],5,FALSE)</f>
        <v>Middle-income</v>
      </c>
      <c r="O91" s="241" t="str">
        <f>VLOOKUP(Table10[[#This Row],[Country Code]],Table29[],6,FALSE)</f>
        <v>no</v>
      </c>
      <c r="P91" s="241" t="str">
        <f>VLOOKUP(Table10[[#This Row],[Country Code]],Table29[],7,FALSE)</f>
        <v>no</v>
      </c>
      <c r="Q91" s="241" t="str">
        <f>VLOOKUP(Table10[[#This Row],[Country Code]],Table29[],8,FALSE)</f>
        <v>non-OECD</v>
      </c>
      <c r="R91" s="233" t="str">
        <f>VLOOKUP(Table10[[#This Row],[Country Code]],Table29[],9,FALSE)</f>
        <v>no</v>
      </c>
      <c r="S91" s="233" t="str">
        <f>VLOOKUP(Table10[[#This Row],[Country Code]],Table29[],10,FALSE)</f>
        <v>no</v>
      </c>
      <c r="T91" s="233">
        <f>VLOOKUP(Table10[[#This Row],[Country Code]],Table29[],23,FALSE)</f>
        <v>20.628271187746002</v>
      </c>
      <c r="U91" s="233">
        <f>VLOOKUP(Table10[[#This Row],[Country Code]],Table29[],24,FALSE)</f>
        <v>2.7684154135495191</v>
      </c>
      <c r="V91" s="43"/>
    </row>
    <row r="92" spans="1:22" ht="45" x14ac:dyDescent="0.25">
      <c r="A92" s="258">
        <v>17684</v>
      </c>
      <c r="B92" s="43" t="str">
        <f>VLOOKUP(Table10[[#This Row],[Document ID]],Table1[],2,FALSE)</f>
        <v>NGA</v>
      </c>
      <c r="C92" s="43" t="str">
        <f>VLOOKUP(Table10[[#This Row],[Document ID]],Table1[],3,FALSE)</f>
        <v>Nigeria</v>
      </c>
      <c r="D92" s="176" t="str">
        <f>VLOOKUP(Table10[[#This Row],[Document ID]],Table1[],5,FALSE)</f>
        <v>NDC</v>
      </c>
      <c r="E92" s="43" t="str">
        <f>VLOOKUP(Table10[[#This Row],[Document ID]],Table1[],7,FALSE)</f>
        <v>First NDC</v>
      </c>
      <c r="F92" s="176" t="str">
        <f>VLOOKUP(Table10[[#This Row],[Document ID]],Table1[],8,FALSE)</f>
        <v>NDC 1.0</v>
      </c>
      <c r="G92" s="176" t="str">
        <f>VLOOKUP(Table10[[#This Row],[Document ID]],Table1[],10,FALSE)</f>
        <v>Archived</v>
      </c>
      <c r="H92" s="42" t="s">
        <v>5460</v>
      </c>
      <c r="I92" s="176" t="s">
        <v>5550</v>
      </c>
      <c r="J92" s="258">
        <v>15</v>
      </c>
      <c r="K92" s="176" t="s">
        <v>5462</v>
      </c>
      <c r="L92" s="241" t="str">
        <f>VLOOKUP(Table10[[#This Row],[Country Code]],Table29[],3,FALSE)</f>
        <v>Non-Annex I</v>
      </c>
      <c r="M92" s="241" t="str">
        <f>VLOOKUP(Table10[[#This Row],[Country Code]],Table29[],4,FALSE)</f>
        <v>Africa</v>
      </c>
      <c r="N92" s="241" t="str">
        <f>VLOOKUP(Table10[[#This Row],[Country Code]],Table29[],5,FALSE)</f>
        <v>Middle-income</v>
      </c>
      <c r="O92" s="241" t="str">
        <f>VLOOKUP(Table10[[#This Row],[Country Code]],Table29[],6,FALSE)</f>
        <v>no</v>
      </c>
      <c r="P92" s="241" t="str">
        <f>VLOOKUP(Table10[[#This Row],[Country Code]],Table29[],7,FALSE)</f>
        <v>no</v>
      </c>
      <c r="Q92" s="241" t="str">
        <f>VLOOKUP(Table10[[#This Row],[Country Code]],Table29[],8,FALSE)</f>
        <v>non-OECD</v>
      </c>
      <c r="R92" s="233" t="str">
        <f>VLOOKUP(Table10[[#This Row],[Country Code]],Table29[],9,FALSE)</f>
        <v>no</v>
      </c>
      <c r="S92" s="233" t="str">
        <f>VLOOKUP(Table10[[#This Row],[Country Code]],Table29[],10,FALSE)</f>
        <v>no</v>
      </c>
      <c r="T92" s="233">
        <f>VLOOKUP(Table10[[#This Row],[Country Code]],Table29[],23,FALSE)</f>
        <v>385.11288377147002</v>
      </c>
      <c r="U92" s="233">
        <f>VLOOKUP(Table10[[#This Row],[Country Code]],Table29[],24,FALSE)</f>
        <v>58.971195919965467</v>
      </c>
      <c r="V92" s="43"/>
    </row>
    <row r="93" spans="1:22" ht="45" x14ac:dyDescent="0.25">
      <c r="A93" s="258">
        <v>17684</v>
      </c>
      <c r="B93" s="43" t="str">
        <f>VLOOKUP(Table10[[#This Row],[Document ID]],Table1[],2,FALSE)</f>
        <v>NGA</v>
      </c>
      <c r="C93" s="43" t="str">
        <f>VLOOKUP(Table10[[#This Row],[Document ID]],Table1[],3,FALSE)</f>
        <v>Nigeria</v>
      </c>
      <c r="D93" s="176" t="str">
        <f>VLOOKUP(Table10[[#This Row],[Document ID]],Table1[],5,FALSE)</f>
        <v>NDC</v>
      </c>
      <c r="E93" s="43" t="str">
        <f>VLOOKUP(Table10[[#This Row],[Document ID]],Table1[],7,FALSE)</f>
        <v>First NDC</v>
      </c>
      <c r="F93" s="176" t="str">
        <f>VLOOKUP(Table10[[#This Row],[Document ID]],Table1[],8,FALSE)</f>
        <v>NDC 1.0</v>
      </c>
      <c r="G93" s="176" t="str">
        <f>VLOOKUP(Table10[[#This Row],[Document ID]],Table1[],10,FALSE)</f>
        <v>Archived</v>
      </c>
      <c r="H93" s="42" t="s">
        <v>5475</v>
      </c>
      <c r="I93" s="176" t="s">
        <v>5550</v>
      </c>
      <c r="J93" s="258">
        <v>15</v>
      </c>
      <c r="K93" s="176" t="s">
        <v>5477</v>
      </c>
      <c r="L93" s="241" t="str">
        <f>VLOOKUP(Table10[[#This Row],[Country Code]],Table29[],3,FALSE)</f>
        <v>Non-Annex I</v>
      </c>
      <c r="M93" s="241" t="str">
        <f>VLOOKUP(Table10[[#This Row],[Country Code]],Table29[],4,FALSE)</f>
        <v>Africa</v>
      </c>
      <c r="N93" s="241" t="str">
        <f>VLOOKUP(Table10[[#This Row],[Country Code]],Table29[],5,FALSE)</f>
        <v>Middle-income</v>
      </c>
      <c r="O93" s="241" t="str">
        <f>VLOOKUP(Table10[[#This Row],[Country Code]],Table29[],6,FALSE)</f>
        <v>no</v>
      </c>
      <c r="P93" s="241" t="str">
        <f>VLOOKUP(Table10[[#This Row],[Country Code]],Table29[],7,FALSE)</f>
        <v>no</v>
      </c>
      <c r="Q93" s="241" t="str">
        <f>VLOOKUP(Table10[[#This Row],[Country Code]],Table29[],8,FALSE)</f>
        <v>non-OECD</v>
      </c>
      <c r="R93" s="233" t="str">
        <f>VLOOKUP(Table10[[#This Row],[Country Code]],Table29[],9,FALSE)</f>
        <v>no</v>
      </c>
      <c r="S93" s="233" t="str">
        <f>VLOOKUP(Table10[[#This Row],[Country Code]],Table29[],10,FALSE)</f>
        <v>no</v>
      </c>
      <c r="T93" s="233">
        <f>VLOOKUP(Table10[[#This Row],[Country Code]],Table29[],23,FALSE)</f>
        <v>385.11288377147002</v>
      </c>
      <c r="U93" s="233">
        <f>VLOOKUP(Table10[[#This Row],[Country Code]],Table29[],24,FALSE)</f>
        <v>58.971195919965467</v>
      </c>
      <c r="V93" s="43"/>
    </row>
    <row r="94" spans="1:22" x14ac:dyDescent="0.25">
      <c r="A94" s="258">
        <v>39447</v>
      </c>
      <c r="B94" s="43" t="str">
        <f>VLOOKUP(Table10[[#This Row],[Document ID]],Table1[],2,FALSE)</f>
        <v>OMN</v>
      </c>
      <c r="C94" s="43" t="str">
        <f>VLOOKUP(Table10[[#This Row],[Document ID]],Table1[],3,FALSE)</f>
        <v>Oman</v>
      </c>
      <c r="D94" s="176" t="str">
        <f>VLOOKUP(Table10[[#This Row],[Document ID]],Table1[],5,FALSE)</f>
        <v>LTS</v>
      </c>
      <c r="E94" s="43" t="str">
        <f>VLOOKUP(Table10[[#This Row],[Document ID]],Table1[],7,FALSE)</f>
        <v>LTS</v>
      </c>
      <c r="F94" s="43" t="str">
        <f>VLOOKUP(Table10[[#This Row],[Document ID]],Table1[],8,FALSE)</f>
        <v>LTS 1.0</v>
      </c>
      <c r="G94" s="43" t="str">
        <f>VLOOKUP(Table10[[#This Row],[Document ID]],Table1[],10,FALSE)</f>
        <v>Active</v>
      </c>
      <c r="H94" s="42" t="s">
        <v>5472</v>
      </c>
      <c r="I94" s="176" t="s">
        <v>5551</v>
      </c>
      <c r="J94" s="258">
        <v>37</v>
      </c>
      <c r="K94" s="176" t="s">
        <v>5474</v>
      </c>
      <c r="L94" s="241" t="str">
        <f>VLOOKUP(Table10[[#This Row],[Country Code]],Table29[],3,FALSE)</f>
        <v>Non-Annex I</v>
      </c>
      <c r="M94" s="241" t="str">
        <f>VLOOKUP(Table10[[#This Row],[Country Code]],Table29[],4,FALSE)</f>
        <v>Asia</v>
      </c>
      <c r="N94" s="241" t="str">
        <f>VLOOKUP(Table10[[#This Row],[Country Code]],Table29[],5,FALSE)</f>
        <v>High-income</v>
      </c>
      <c r="O94" s="241" t="str">
        <f>VLOOKUP(Table10[[#This Row],[Country Code]],Table29[],6,FALSE)</f>
        <v>no</v>
      </c>
      <c r="P94" s="241" t="str">
        <f>VLOOKUP(Table10[[#This Row],[Country Code]],Table29[],7,FALSE)</f>
        <v>no</v>
      </c>
      <c r="Q94" s="241" t="str">
        <f>VLOOKUP(Table10[[#This Row],[Country Code]],Table29[],8,FALSE)</f>
        <v>non-OECD</v>
      </c>
      <c r="R94" s="233" t="str">
        <f>VLOOKUP(Table10[[#This Row],[Country Code]],Table29[],9,FALSE)</f>
        <v>no</v>
      </c>
      <c r="S94" s="233" t="str">
        <f>VLOOKUP(Table10[[#This Row],[Country Code]],Table29[],10,FALSE)</f>
        <v>MENA</v>
      </c>
      <c r="T94" s="233">
        <f>VLOOKUP(Table10[[#This Row],[Country Code]],Table29[],23,FALSE)</f>
        <v>127.44302070563</v>
      </c>
      <c r="U94" s="233">
        <f>VLOOKUP(Table10[[#This Row],[Country Code]],Table29[],24,FALSE)</f>
        <v>12.3539911460556</v>
      </c>
      <c r="V94" s="43"/>
    </row>
    <row r="95" spans="1:22" x14ac:dyDescent="0.25">
      <c r="A95" s="258">
        <v>39447</v>
      </c>
      <c r="B95" s="43" t="str">
        <f>VLOOKUP(Table10[[#This Row],[Document ID]],Table1[],2,FALSE)</f>
        <v>OMN</v>
      </c>
      <c r="C95" s="43" t="str">
        <f>VLOOKUP(Table10[[#This Row],[Document ID]],Table1[],3,FALSE)</f>
        <v>Oman</v>
      </c>
      <c r="D95" s="176" t="str">
        <f>VLOOKUP(Table10[[#This Row],[Document ID]],Table1[],5,FALSE)</f>
        <v>LTS</v>
      </c>
      <c r="E95" s="43" t="str">
        <f>VLOOKUP(Table10[[#This Row],[Document ID]],Table1[],7,FALSE)</f>
        <v>LTS</v>
      </c>
      <c r="F95" s="43" t="str">
        <f>VLOOKUP(Table10[[#This Row],[Document ID]],Table1[],8,FALSE)</f>
        <v>LTS 1.0</v>
      </c>
      <c r="G95" s="43" t="str">
        <f>VLOOKUP(Table10[[#This Row],[Document ID]],Table1[],10,FALSE)</f>
        <v>Active</v>
      </c>
      <c r="H95" s="42" t="s">
        <v>5472</v>
      </c>
      <c r="I95" s="176" t="s">
        <v>5552</v>
      </c>
      <c r="J95" s="258">
        <v>37</v>
      </c>
      <c r="K95" s="176" t="s">
        <v>5474</v>
      </c>
      <c r="L95" s="241" t="str">
        <f>VLOOKUP(Table10[[#This Row],[Country Code]],Table29[],3,FALSE)</f>
        <v>Non-Annex I</v>
      </c>
      <c r="M95" s="241" t="str">
        <f>VLOOKUP(Table10[[#This Row],[Country Code]],Table29[],4,FALSE)</f>
        <v>Asia</v>
      </c>
      <c r="N95" s="241" t="str">
        <f>VLOOKUP(Table10[[#This Row],[Country Code]],Table29[],5,FALSE)</f>
        <v>High-income</v>
      </c>
      <c r="O95" s="241" t="str">
        <f>VLOOKUP(Table10[[#This Row],[Country Code]],Table29[],6,FALSE)</f>
        <v>no</v>
      </c>
      <c r="P95" s="241" t="str">
        <f>VLOOKUP(Table10[[#This Row],[Country Code]],Table29[],7,FALSE)</f>
        <v>no</v>
      </c>
      <c r="Q95" s="241" t="str">
        <f>VLOOKUP(Table10[[#This Row],[Country Code]],Table29[],8,FALSE)</f>
        <v>non-OECD</v>
      </c>
      <c r="R95" s="233" t="str">
        <f>VLOOKUP(Table10[[#This Row],[Country Code]],Table29[],9,FALSE)</f>
        <v>no</v>
      </c>
      <c r="S95" s="233" t="str">
        <f>VLOOKUP(Table10[[#This Row],[Country Code]],Table29[],10,FALSE)</f>
        <v>MENA</v>
      </c>
      <c r="T95" s="233">
        <f>VLOOKUP(Table10[[#This Row],[Country Code]],Table29[],23,FALSE)</f>
        <v>127.44302070563</v>
      </c>
      <c r="U95" s="233">
        <f>VLOOKUP(Table10[[#This Row],[Country Code]],Table29[],24,FALSE)</f>
        <v>12.3539911460556</v>
      </c>
      <c r="V95" s="43"/>
    </row>
    <row r="96" spans="1:22" x14ac:dyDescent="0.25">
      <c r="A96" s="258">
        <v>39447</v>
      </c>
      <c r="B96" s="43" t="str">
        <f>VLOOKUP(Table10[[#This Row],[Document ID]],Table1[],2,FALSE)</f>
        <v>OMN</v>
      </c>
      <c r="C96" s="43" t="str">
        <f>VLOOKUP(Table10[[#This Row],[Document ID]],Table1[],3,FALSE)</f>
        <v>Oman</v>
      </c>
      <c r="D96" s="176" t="str">
        <f>VLOOKUP(Table10[[#This Row],[Document ID]],Table1[],5,FALSE)</f>
        <v>LTS</v>
      </c>
      <c r="E96" s="43" t="str">
        <f>VLOOKUP(Table10[[#This Row],[Document ID]],Table1[],7,FALSE)</f>
        <v>LTS</v>
      </c>
      <c r="F96" s="43" t="str">
        <f>VLOOKUP(Table10[[#This Row],[Document ID]],Table1[],8,FALSE)</f>
        <v>LTS 1.0</v>
      </c>
      <c r="G96" s="43" t="str">
        <f>VLOOKUP(Table10[[#This Row],[Document ID]],Table1[],10,FALSE)</f>
        <v>Active</v>
      </c>
      <c r="H96" s="42" t="s">
        <v>5472</v>
      </c>
      <c r="I96" s="176" t="s">
        <v>5553</v>
      </c>
      <c r="J96" s="258">
        <v>39</v>
      </c>
      <c r="K96" s="176" t="s">
        <v>5474</v>
      </c>
      <c r="L96" s="241" t="str">
        <f>VLOOKUP(Table10[[#This Row],[Country Code]],Table29[],3,FALSE)</f>
        <v>Non-Annex I</v>
      </c>
      <c r="M96" s="241" t="str">
        <f>VLOOKUP(Table10[[#This Row],[Country Code]],Table29[],4,FALSE)</f>
        <v>Asia</v>
      </c>
      <c r="N96" s="241" t="str">
        <f>VLOOKUP(Table10[[#This Row],[Country Code]],Table29[],5,FALSE)</f>
        <v>High-income</v>
      </c>
      <c r="O96" s="241" t="str">
        <f>VLOOKUP(Table10[[#This Row],[Country Code]],Table29[],6,FALSE)</f>
        <v>no</v>
      </c>
      <c r="P96" s="241" t="str">
        <f>VLOOKUP(Table10[[#This Row],[Country Code]],Table29[],7,FALSE)</f>
        <v>no</v>
      </c>
      <c r="Q96" s="241" t="str">
        <f>VLOOKUP(Table10[[#This Row],[Country Code]],Table29[],8,FALSE)</f>
        <v>non-OECD</v>
      </c>
      <c r="R96" s="233" t="str">
        <f>VLOOKUP(Table10[[#This Row],[Country Code]],Table29[],9,FALSE)</f>
        <v>no</v>
      </c>
      <c r="S96" s="233" t="str">
        <f>VLOOKUP(Table10[[#This Row],[Country Code]],Table29[],10,FALSE)</f>
        <v>MENA</v>
      </c>
      <c r="T96" s="233">
        <f>VLOOKUP(Table10[[#This Row],[Country Code]],Table29[],23,FALSE)</f>
        <v>127.44302070563</v>
      </c>
      <c r="U96" s="233">
        <f>VLOOKUP(Table10[[#This Row],[Country Code]],Table29[],24,FALSE)</f>
        <v>12.3539911460556</v>
      </c>
      <c r="V96" s="43"/>
    </row>
    <row r="97" spans="1:22" ht="30" x14ac:dyDescent="0.25">
      <c r="A97" s="257">
        <v>23380</v>
      </c>
      <c r="B97" s="43" t="str">
        <f>VLOOKUP(Table10[[#This Row],[Document ID]],Table1[],2,FALSE)</f>
        <v>PAK</v>
      </c>
      <c r="C97" s="43" t="str">
        <f>VLOOKUP(Table10[[#This Row],[Document ID]],Table1[],3,FALSE)</f>
        <v>Pakistan</v>
      </c>
      <c r="D97" s="45" t="str">
        <f>VLOOKUP(Table10[[#This Row],[Document ID]],Table1[],5,FALSE)</f>
        <v>NDC</v>
      </c>
      <c r="E97" s="43" t="str">
        <f>VLOOKUP(Table10[[#This Row],[Document ID]],Table1[],7,FALSE)</f>
        <v>First NDC updated</v>
      </c>
      <c r="F97" s="42" t="str">
        <f>VLOOKUP(Table10[[#This Row],[Document ID]],Table1[],8,FALSE)</f>
        <v>NDC 1.2</v>
      </c>
      <c r="G97" s="42" t="str">
        <f>VLOOKUP(Table10[[#This Row],[Document ID]],Table1[],10,FALSE)</f>
        <v>Active</v>
      </c>
      <c r="H97" s="42" t="s">
        <v>5460</v>
      </c>
      <c r="I97" s="209" t="s">
        <v>5554</v>
      </c>
      <c r="J97" s="259">
        <v>30</v>
      </c>
      <c r="K97" s="42" t="s">
        <v>5462</v>
      </c>
      <c r="L97" s="241" t="str">
        <f>VLOOKUP(Table10[[#This Row],[Country Code]],Table29[],3,FALSE)</f>
        <v>Non-Annex I</v>
      </c>
      <c r="M97" s="241" t="str">
        <f>VLOOKUP(Table10[[#This Row],[Country Code]],Table29[],4,FALSE)</f>
        <v>Asia</v>
      </c>
      <c r="N97" s="241" t="str">
        <f>VLOOKUP(Table10[[#This Row],[Country Code]],Table29[],5,FALSE)</f>
        <v>Middle-income</v>
      </c>
      <c r="O97" s="241" t="str">
        <f>VLOOKUP(Table10[[#This Row],[Country Code]],Table29[],6,FALSE)</f>
        <v>no</v>
      </c>
      <c r="P97" s="241" t="str">
        <f>VLOOKUP(Table10[[#This Row],[Country Code]],Table29[],7,FALSE)</f>
        <v>no</v>
      </c>
      <c r="Q97" s="241" t="str">
        <f>VLOOKUP(Table10[[#This Row],[Country Code]],Table29[],8,FALSE)</f>
        <v>non-OECD</v>
      </c>
      <c r="R97" s="233" t="str">
        <f>VLOOKUP(Table10[[#This Row],[Country Code]],Table29[],9,FALSE)</f>
        <v>no</v>
      </c>
      <c r="S97" s="233" t="str">
        <f>VLOOKUP(Table10[[#This Row],[Country Code]],Table29[],10,FALSE)</f>
        <v>no</v>
      </c>
      <c r="T97" s="233">
        <f>VLOOKUP(Table10[[#This Row],[Country Code]],Table29[],23,FALSE)</f>
        <v>532.37448361891995</v>
      </c>
      <c r="U97" s="233">
        <f>VLOOKUP(Table10[[#This Row],[Country Code]],Table29[],24,FALSE)</f>
        <v>44.891195611563681</v>
      </c>
      <c r="V97" s="42"/>
    </row>
    <row r="98" spans="1:22" ht="30" x14ac:dyDescent="0.25">
      <c r="A98" s="221">
        <v>17696</v>
      </c>
      <c r="B98" s="43" t="str">
        <f>VLOOKUP(Table10[[#This Row],[Document ID]],Table1[],2,FALSE)</f>
        <v>PNG</v>
      </c>
      <c r="C98" s="43" t="str">
        <f>VLOOKUP(Table10[[#This Row],[Document ID]],Table1[],3,FALSE)</f>
        <v>Papua New Guinea</v>
      </c>
      <c r="D98" s="43" t="str">
        <f>VLOOKUP(Table10[[#This Row],[Document ID]],Table1[],5,FALSE)</f>
        <v>NDC</v>
      </c>
      <c r="E98" s="43" t="str">
        <f>VLOOKUP(Table10[[#This Row],[Document ID]],Table1[],7,FALSE)</f>
        <v>Second NDC</v>
      </c>
      <c r="F98" s="43" t="str">
        <f>VLOOKUP(Table10[[#This Row],[Document ID]],Table1[],8,FALSE)</f>
        <v>NDC 2.0</v>
      </c>
      <c r="G98" s="43" t="str">
        <f>VLOOKUP(Table10[[#This Row],[Document ID]],Table1[],10,FALSE)</f>
        <v>Active</v>
      </c>
      <c r="H98" s="42" t="s">
        <v>5475</v>
      </c>
      <c r="I98" s="44" t="s">
        <v>5555</v>
      </c>
      <c r="J98" s="221">
        <v>11</v>
      </c>
      <c r="K98" s="43" t="s">
        <v>5477</v>
      </c>
      <c r="L98" s="241" t="str">
        <f>VLOOKUP(Table10[[#This Row],[Country Code]],Table29[],3,FALSE)</f>
        <v>Non-Annex I</v>
      </c>
      <c r="M98" s="241" t="str">
        <f>VLOOKUP(Table10[[#This Row],[Country Code]],Table29[],4,FALSE)</f>
        <v>Oceania</v>
      </c>
      <c r="N98" s="241" t="str">
        <f>VLOOKUP(Table10[[#This Row],[Country Code]],Table29[],5,FALSE)</f>
        <v>Middle-income</v>
      </c>
      <c r="O98" s="241" t="str">
        <f>VLOOKUP(Table10[[#This Row],[Country Code]],Table29[],6,FALSE)</f>
        <v>no</v>
      </c>
      <c r="P98" s="241" t="str">
        <f>VLOOKUP(Table10[[#This Row],[Country Code]],Table29[],7,FALSE)</f>
        <v>no</v>
      </c>
      <c r="Q98" s="241" t="str">
        <f>VLOOKUP(Table10[[#This Row],[Country Code]],Table29[],8,FALSE)</f>
        <v>non-OECD</v>
      </c>
      <c r="R98" s="233" t="str">
        <f>VLOOKUP(Table10[[#This Row],[Country Code]],Table29[],9,FALSE)</f>
        <v>no</v>
      </c>
      <c r="S98" s="233" t="str">
        <f>VLOOKUP(Table10[[#This Row],[Country Code]],Table29[],10,FALSE)</f>
        <v>no</v>
      </c>
      <c r="T98" s="233">
        <f>VLOOKUP(Table10[[#This Row],[Country Code]],Table29[],23,FALSE)</f>
        <v>9.6409981982956001</v>
      </c>
      <c r="U98" s="233">
        <f>VLOOKUP(Table10[[#This Row],[Country Code]],Table29[],24,FALSE)</f>
        <v>2.6300908312311049</v>
      </c>
      <c r="V98" s="43"/>
    </row>
    <row r="99" spans="1:22" ht="30" x14ac:dyDescent="0.25">
      <c r="A99" s="221">
        <v>17696</v>
      </c>
      <c r="B99" s="43" t="str">
        <f>VLOOKUP(Table10[[#This Row],[Document ID]],Table1[],2,FALSE)</f>
        <v>PNG</v>
      </c>
      <c r="C99" s="43" t="str">
        <f>VLOOKUP(Table10[[#This Row],[Document ID]],Table1[],3,FALSE)</f>
        <v>Papua New Guinea</v>
      </c>
      <c r="D99" s="43" t="str">
        <f>VLOOKUP(Table10[[#This Row],[Document ID]],Table1[],5,FALSE)</f>
        <v>NDC</v>
      </c>
      <c r="E99" s="43" t="str">
        <f>VLOOKUP(Table10[[#This Row],[Document ID]],Table1[],7,FALSE)</f>
        <v>Second NDC</v>
      </c>
      <c r="F99" s="43" t="str">
        <f>VLOOKUP(Table10[[#This Row],[Document ID]],Table1[],8,FALSE)</f>
        <v>NDC 2.0</v>
      </c>
      <c r="G99" s="43" t="str">
        <f>VLOOKUP(Table10[[#This Row],[Document ID]],Table1[],10,FALSE)</f>
        <v>Active</v>
      </c>
      <c r="H99" s="42" t="s">
        <v>5463</v>
      </c>
      <c r="I99" s="44" t="s">
        <v>5555</v>
      </c>
      <c r="J99" s="221">
        <v>11</v>
      </c>
      <c r="K99" s="43" t="s">
        <v>5465</v>
      </c>
      <c r="L99" s="241" t="str">
        <f>VLOOKUP(Table10[[#This Row],[Country Code]],Table29[],3,FALSE)</f>
        <v>Non-Annex I</v>
      </c>
      <c r="M99" s="241" t="str">
        <f>VLOOKUP(Table10[[#This Row],[Country Code]],Table29[],4,FALSE)</f>
        <v>Oceania</v>
      </c>
      <c r="N99" s="241" t="str">
        <f>VLOOKUP(Table10[[#This Row],[Country Code]],Table29[],5,FALSE)</f>
        <v>Middle-income</v>
      </c>
      <c r="O99" s="241" t="str">
        <f>VLOOKUP(Table10[[#This Row],[Country Code]],Table29[],6,FALSE)</f>
        <v>no</v>
      </c>
      <c r="P99" s="241" t="str">
        <f>VLOOKUP(Table10[[#This Row],[Country Code]],Table29[],7,FALSE)</f>
        <v>no</v>
      </c>
      <c r="Q99" s="241" t="str">
        <f>VLOOKUP(Table10[[#This Row],[Country Code]],Table29[],8,FALSE)</f>
        <v>non-OECD</v>
      </c>
      <c r="R99" s="233" t="str">
        <f>VLOOKUP(Table10[[#This Row],[Country Code]],Table29[],9,FALSE)</f>
        <v>no</v>
      </c>
      <c r="S99" s="233" t="str">
        <f>VLOOKUP(Table10[[#This Row],[Country Code]],Table29[],10,FALSE)</f>
        <v>no</v>
      </c>
      <c r="T99" s="233">
        <f>VLOOKUP(Table10[[#This Row],[Country Code]],Table29[],23,FALSE)</f>
        <v>9.6409981982956001</v>
      </c>
      <c r="U99" s="233">
        <f>VLOOKUP(Table10[[#This Row],[Country Code]],Table29[],24,FALSE)</f>
        <v>2.6300908312311049</v>
      </c>
      <c r="V99" s="43"/>
    </row>
    <row r="100" spans="1:22" x14ac:dyDescent="0.25">
      <c r="A100" s="221">
        <v>17710</v>
      </c>
      <c r="B100" s="43" t="str">
        <f>VLOOKUP(Table10[[#This Row],[Document ID]],Table1[],2,FALSE)</f>
        <v>MDA</v>
      </c>
      <c r="C100" s="43" t="str">
        <f>VLOOKUP(Table10[[#This Row],[Document ID]],Table1[],3,FALSE)</f>
        <v>Republic of Moldova</v>
      </c>
      <c r="D100" s="42" t="str">
        <f>VLOOKUP(Table10[[#This Row],[Document ID]],Table1[],5,FALSE)</f>
        <v>NDC</v>
      </c>
      <c r="E100" s="43" t="str">
        <f>VLOOKUP(Table10[[#This Row],[Document ID]],Table1[],7,FALSE)</f>
        <v>First NDC updated</v>
      </c>
      <c r="F100" s="43" t="str">
        <f>VLOOKUP(Table10[[#This Row],[Document ID]],Table1[],8,FALSE)</f>
        <v>NDC 1.1</v>
      </c>
      <c r="G100" s="43" t="str">
        <f>VLOOKUP(Table10[[#This Row],[Document ID]],Table1[],10,FALSE)</f>
        <v>Active</v>
      </c>
      <c r="H100" s="42" t="s">
        <v>5460</v>
      </c>
      <c r="I100" s="44" t="s">
        <v>5556</v>
      </c>
      <c r="J100" s="221">
        <v>27</v>
      </c>
      <c r="K100" s="43" t="s">
        <v>5462</v>
      </c>
      <c r="L100" s="241" t="str">
        <f>VLOOKUP(Table10[[#This Row],[Country Code]],Table29[],3,FALSE)</f>
        <v>Non-Annex I</v>
      </c>
      <c r="M100" s="241" t="str">
        <f>VLOOKUP(Table10[[#This Row],[Country Code]],Table29[],4,FALSE)</f>
        <v>Europe</v>
      </c>
      <c r="N100" s="241" t="str">
        <f>VLOOKUP(Table10[[#This Row],[Country Code]],Table29[],5,FALSE)</f>
        <v>Middle-income</v>
      </c>
      <c r="O100" s="241" t="str">
        <f>VLOOKUP(Table10[[#This Row],[Country Code]],Table29[],6,FALSE)</f>
        <v>no</v>
      </c>
      <c r="P100" s="241" t="str">
        <f>VLOOKUP(Table10[[#This Row],[Country Code]],Table29[],7,FALSE)</f>
        <v>no</v>
      </c>
      <c r="Q100" s="241" t="str">
        <f>VLOOKUP(Table10[[#This Row],[Country Code]],Table29[],8,FALSE)</f>
        <v>non-OECD</v>
      </c>
      <c r="R100" s="233" t="str">
        <f>VLOOKUP(Table10[[#This Row],[Country Code]],Table29[],9,FALSE)</f>
        <v>no</v>
      </c>
      <c r="S100" s="233" t="str">
        <f>VLOOKUP(Table10[[#This Row],[Country Code]],Table29[],10,FALSE)</f>
        <v>no</v>
      </c>
      <c r="T100" s="233">
        <f>VLOOKUP(Table10[[#This Row],[Country Code]],Table29[],23,FALSE)</f>
        <v>13.54241150505</v>
      </c>
      <c r="U100" s="233">
        <f>VLOOKUP(Table10[[#This Row],[Country Code]],Table29[],24,FALSE)</f>
        <v>2.4025361889764838</v>
      </c>
      <c r="V100" s="43"/>
    </row>
    <row r="101" spans="1:22" ht="30" x14ac:dyDescent="0.25">
      <c r="A101" s="221">
        <v>17710</v>
      </c>
      <c r="B101" s="43" t="str">
        <f>VLOOKUP(Table10[[#This Row],[Document ID]],Table1[],2,FALSE)</f>
        <v>MDA</v>
      </c>
      <c r="C101" s="43" t="str">
        <f>VLOOKUP(Table10[[#This Row],[Document ID]],Table1[],3,FALSE)</f>
        <v>Republic of Moldova</v>
      </c>
      <c r="D101" s="42" t="str">
        <f>VLOOKUP(Table10[[#This Row],[Document ID]],Table1[],5,FALSE)</f>
        <v>NDC</v>
      </c>
      <c r="E101" s="43" t="str">
        <f>VLOOKUP(Table10[[#This Row],[Document ID]],Table1[],7,FALSE)</f>
        <v>First NDC updated</v>
      </c>
      <c r="F101" s="43" t="str">
        <f>VLOOKUP(Table10[[#This Row],[Document ID]],Table1[],8,FALSE)</f>
        <v>NDC 1.1</v>
      </c>
      <c r="G101" s="43" t="str">
        <f>VLOOKUP(Table10[[#This Row],[Document ID]],Table1[],10,FALSE)</f>
        <v>Active</v>
      </c>
      <c r="H101" s="42" t="s">
        <v>5469</v>
      </c>
      <c r="I101" s="44" t="s">
        <v>5557</v>
      </c>
      <c r="J101" s="221">
        <v>45</v>
      </c>
      <c r="K101" s="42" t="s">
        <v>5471</v>
      </c>
      <c r="L101" s="241" t="str">
        <f>VLOOKUP(Table10[[#This Row],[Country Code]],Table29[],3,FALSE)</f>
        <v>Non-Annex I</v>
      </c>
      <c r="M101" s="241" t="str">
        <f>VLOOKUP(Table10[[#This Row],[Country Code]],Table29[],4,FALSE)</f>
        <v>Europe</v>
      </c>
      <c r="N101" s="241" t="str">
        <f>VLOOKUP(Table10[[#This Row],[Country Code]],Table29[],5,FALSE)</f>
        <v>Middle-income</v>
      </c>
      <c r="O101" s="241" t="str">
        <f>VLOOKUP(Table10[[#This Row],[Country Code]],Table29[],6,FALSE)</f>
        <v>no</v>
      </c>
      <c r="P101" s="241" t="str">
        <f>VLOOKUP(Table10[[#This Row],[Country Code]],Table29[],7,FALSE)</f>
        <v>no</v>
      </c>
      <c r="Q101" s="241" t="str">
        <f>VLOOKUP(Table10[[#This Row],[Country Code]],Table29[],8,FALSE)</f>
        <v>non-OECD</v>
      </c>
      <c r="R101" s="233" t="str">
        <f>VLOOKUP(Table10[[#This Row],[Country Code]],Table29[],9,FALSE)</f>
        <v>no</v>
      </c>
      <c r="S101" s="233" t="str">
        <f>VLOOKUP(Table10[[#This Row],[Country Code]],Table29[],10,FALSE)</f>
        <v>no</v>
      </c>
      <c r="T101" s="233">
        <f>VLOOKUP(Table10[[#This Row],[Country Code]],Table29[],23,FALSE)</f>
        <v>13.54241150505</v>
      </c>
      <c r="U101" s="233">
        <f>VLOOKUP(Table10[[#This Row],[Country Code]],Table29[],24,FALSE)</f>
        <v>2.4025361889764838</v>
      </c>
      <c r="V101" s="43"/>
    </row>
    <row r="102" spans="1:22" x14ac:dyDescent="0.25">
      <c r="A102" s="221">
        <v>17710</v>
      </c>
      <c r="B102" s="43" t="str">
        <f>VLOOKUP(Table10[[#This Row],[Document ID]],Table1[],2,FALSE)</f>
        <v>MDA</v>
      </c>
      <c r="C102" s="43" t="str">
        <f>VLOOKUP(Table10[[#This Row],[Document ID]],Table1[],3,FALSE)</f>
        <v>Republic of Moldova</v>
      </c>
      <c r="D102" s="42" t="str">
        <f>VLOOKUP(Table10[[#This Row],[Document ID]],Table1[],5,FALSE)</f>
        <v>NDC</v>
      </c>
      <c r="E102" s="43" t="str">
        <f>VLOOKUP(Table10[[#This Row],[Document ID]],Table1[],7,FALSE)</f>
        <v>First NDC updated</v>
      </c>
      <c r="F102" s="43" t="str">
        <f>VLOOKUP(Table10[[#This Row],[Document ID]],Table1[],8,FALSE)</f>
        <v>NDC 1.1</v>
      </c>
      <c r="G102" s="43" t="str">
        <f>VLOOKUP(Table10[[#This Row],[Document ID]],Table1[],10,FALSE)</f>
        <v>Active</v>
      </c>
      <c r="H102" s="42" t="s">
        <v>5466</v>
      </c>
      <c r="I102" s="44" t="s">
        <v>5558</v>
      </c>
      <c r="J102" s="221">
        <v>45</v>
      </c>
      <c r="K102" s="43" t="s">
        <v>5468</v>
      </c>
      <c r="L102" s="241" t="str">
        <f>VLOOKUP(Table10[[#This Row],[Country Code]],Table29[],3,FALSE)</f>
        <v>Non-Annex I</v>
      </c>
      <c r="M102" s="241" t="str">
        <f>VLOOKUP(Table10[[#This Row],[Country Code]],Table29[],4,FALSE)</f>
        <v>Europe</v>
      </c>
      <c r="N102" s="241" t="str">
        <f>VLOOKUP(Table10[[#This Row],[Country Code]],Table29[],5,FALSE)</f>
        <v>Middle-income</v>
      </c>
      <c r="O102" s="241" t="str">
        <f>VLOOKUP(Table10[[#This Row],[Country Code]],Table29[],6,FALSE)</f>
        <v>no</v>
      </c>
      <c r="P102" s="241" t="str">
        <f>VLOOKUP(Table10[[#This Row],[Country Code]],Table29[],7,FALSE)</f>
        <v>no</v>
      </c>
      <c r="Q102" s="241" t="str">
        <f>VLOOKUP(Table10[[#This Row],[Country Code]],Table29[],8,FALSE)</f>
        <v>non-OECD</v>
      </c>
      <c r="R102" s="233" t="str">
        <f>VLOOKUP(Table10[[#This Row],[Country Code]],Table29[],9,FALSE)</f>
        <v>no</v>
      </c>
      <c r="S102" s="233" t="str">
        <f>VLOOKUP(Table10[[#This Row],[Country Code]],Table29[],10,FALSE)</f>
        <v>no</v>
      </c>
      <c r="T102" s="233">
        <f>VLOOKUP(Table10[[#This Row],[Country Code]],Table29[],23,FALSE)</f>
        <v>13.54241150505</v>
      </c>
      <c r="U102" s="233">
        <f>VLOOKUP(Table10[[#This Row],[Country Code]],Table29[],24,FALSE)</f>
        <v>2.4025361889764838</v>
      </c>
      <c r="V102" s="43"/>
    </row>
    <row r="103" spans="1:22" x14ac:dyDescent="0.25">
      <c r="A103" s="221">
        <v>17717</v>
      </c>
      <c r="B103" s="43" t="str">
        <f>VLOOKUP(Table10[[#This Row],[Document ID]],Table1[],2,FALSE)</f>
        <v>RWA</v>
      </c>
      <c r="C103" s="43" t="str">
        <f>VLOOKUP(Table10[[#This Row],[Document ID]],Table1[],3,FALSE)</f>
        <v>Rwanda</v>
      </c>
      <c r="D103" s="43" t="str">
        <f>VLOOKUP(Table10[[#This Row],[Document ID]],Table1[],5,FALSE)</f>
        <v>NDC</v>
      </c>
      <c r="E103" s="43" t="str">
        <f>VLOOKUP(Table10[[#This Row],[Document ID]],Table1[],7,FALSE)</f>
        <v>First NDC updated</v>
      </c>
      <c r="F103" s="43" t="str">
        <f>VLOOKUP(Table10[[#This Row],[Document ID]],Table1[],8,FALSE)</f>
        <v>NDC 1.1</v>
      </c>
      <c r="G103" s="43" t="str">
        <f>VLOOKUP(Table10[[#This Row],[Document ID]],Table1[],10,FALSE)</f>
        <v>Active</v>
      </c>
      <c r="H103" s="42" t="s">
        <v>5483</v>
      </c>
      <c r="I103" s="44" t="s">
        <v>5538</v>
      </c>
      <c r="J103" s="221">
        <v>37</v>
      </c>
      <c r="K103" s="43" t="s">
        <v>5485</v>
      </c>
      <c r="L103" s="241" t="str">
        <f>VLOOKUP(Table10[[#This Row],[Country Code]],Table29[],3,FALSE)</f>
        <v>Non-Annex I</v>
      </c>
      <c r="M103" s="241" t="str">
        <f>VLOOKUP(Table10[[#This Row],[Country Code]],Table29[],4,FALSE)</f>
        <v>Africa</v>
      </c>
      <c r="N103" s="241" t="str">
        <f>VLOOKUP(Table10[[#This Row],[Country Code]],Table29[],5,FALSE)</f>
        <v>Low-income</v>
      </c>
      <c r="O103" s="241" t="str">
        <f>VLOOKUP(Table10[[#This Row],[Country Code]],Table29[],6,FALSE)</f>
        <v>no</v>
      </c>
      <c r="P103" s="241" t="str">
        <f>VLOOKUP(Table10[[#This Row],[Country Code]],Table29[],7,FALSE)</f>
        <v>no</v>
      </c>
      <c r="Q103" s="241" t="str">
        <f>VLOOKUP(Table10[[#This Row],[Country Code]],Table29[],8,FALSE)</f>
        <v>non-OECD</v>
      </c>
      <c r="R103" s="233" t="str">
        <f>VLOOKUP(Table10[[#This Row],[Country Code]],Table29[],9,FALSE)</f>
        <v>no</v>
      </c>
      <c r="S103" s="233" t="str">
        <f>VLOOKUP(Table10[[#This Row],[Country Code]],Table29[],10,FALSE)</f>
        <v>no</v>
      </c>
      <c r="T103" s="233">
        <f>VLOOKUP(Table10[[#This Row],[Country Code]],Table29[],23,FALSE)</f>
        <v>7.4932661090210999</v>
      </c>
      <c r="U103" s="233">
        <f>VLOOKUP(Table10[[#This Row],[Country Code]],Table29[],24,FALSE)</f>
        <v>0.60722858848321359</v>
      </c>
      <c r="V103" s="43"/>
    </row>
    <row r="104" spans="1:22" x14ac:dyDescent="0.25">
      <c r="A104" s="221">
        <v>17717</v>
      </c>
      <c r="B104" s="43" t="str">
        <f>VLOOKUP(Table10[[#This Row],[Document ID]],Table1[],2,FALSE)</f>
        <v>RWA</v>
      </c>
      <c r="C104" s="43" t="str">
        <f>VLOOKUP(Table10[[#This Row],[Document ID]],Table1[],3,FALSE)</f>
        <v>Rwanda</v>
      </c>
      <c r="D104" s="43" t="str">
        <f>VLOOKUP(Table10[[#This Row],[Document ID]],Table1[],5,FALSE)</f>
        <v>NDC</v>
      </c>
      <c r="E104" s="43" t="str">
        <f>VLOOKUP(Table10[[#This Row],[Document ID]],Table1[],7,FALSE)</f>
        <v>First NDC updated</v>
      </c>
      <c r="F104" s="43" t="str">
        <f>VLOOKUP(Table10[[#This Row],[Document ID]],Table1[],8,FALSE)</f>
        <v>NDC 1.1</v>
      </c>
      <c r="G104" s="43" t="str">
        <f>VLOOKUP(Table10[[#This Row],[Document ID]],Table1[],10,FALSE)</f>
        <v>Active</v>
      </c>
      <c r="H104" s="42" t="s">
        <v>5483</v>
      </c>
      <c r="I104" s="44" t="s">
        <v>5559</v>
      </c>
      <c r="J104" s="221">
        <v>38</v>
      </c>
      <c r="K104" s="43" t="s">
        <v>5485</v>
      </c>
      <c r="L104" s="241" t="str">
        <f>VLOOKUP(Table10[[#This Row],[Country Code]],Table29[],3,FALSE)</f>
        <v>Non-Annex I</v>
      </c>
      <c r="M104" s="241" t="str">
        <f>VLOOKUP(Table10[[#This Row],[Country Code]],Table29[],4,FALSE)</f>
        <v>Africa</v>
      </c>
      <c r="N104" s="241" t="str">
        <f>VLOOKUP(Table10[[#This Row],[Country Code]],Table29[],5,FALSE)</f>
        <v>Low-income</v>
      </c>
      <c r="O104" s="241" t="str">
        <f>VLOOKUP(Table10[[#This Row],[Country Code]],Table29[],6,FALSE)</f>
        <v>no</v>
      </c>
      <c r="P104" s="241" t="str">
        <f>VLOOKUP(Table10[[#This Row],[Country Code]],Table29[],7,FALSE)</f>
        <v>no</v>
      </c>
      <c r="Q104" s="241" t="str">
        <f>VLOOKUP(Table10[[#This Row],[Country Code]],Table29[],8,FALSE)</f>
        <v>non-OECD</v>
      </c>
      <c r="R104" s="233" t="str">
        <f>VLOOKUP(Table10[[#This Row],[Country Code]],Table29[],9,FALSE)</f>
        <v>no</v>
      </c>
      <c r="S104" s="233" t="str">
        <f>VLOOKUP(Table10[[#This Row],[Country Code]],Table29[],10,FALSE)</f>
        <v>no</v>
      </c>
      <c r="T104" s="233">
        <f>VLOOKUP(Table10[[#This Row],[Country Code]],Table29[],23,FALSE)</f>
        <v>7.4932661090210999</v>
      </c>
      <c r="U104" s="233">
        <f>VLOOKUP(Table10[[#This Row],[Country Code]],Table29[],24,FALSE)</f>
        <v>0.60722858848321359</v>
      </c>
      <c r="V104" s="43"/>
    </row>
    <row r="105" spans="1:22" x14ac:dyDescent="0.25">
      <c r="A105" s="257">
        <v>21385</v>
      </c>
      <c r="B105" s="43" t="str">
        <f>VLOOKUP(Table10[[#This Row],[Document ID]],Table1[],2,FALSE)</f>
        <v>SLE</v>
      </c>
      <c r="C105" s="43" t="str">
        <f>VLOOKUP(Table10[[#This Row],[Document ID]],Table1[],3,FALSE)</f>
        <v>Sierra Leone</v>
      </c>
      <c r="D105" s="45" t="str">
        <f>VLOOKUP(Table10[[#This Row],[Document ID]],Table1[],5,FALSE)</f>
        <v>NDC</v>
      </c>
      <c r="E105" s="43" t="str">
        <f>VLOOKUP(Table10[[#This Row],[Document ID]],Table1[],7,FALSE)</f>
        <v>First NDC updated</v>
      </c>
      <c r="F105" s="42" t="str">
        <f>VLOOKUP(Table10[[#This Row],[Document ID]],Table1[],8,FALSE)</f>
        <v>NDC 1.1</v>
      </c>
      <c r="G105" s="42" t="str">
        <f>VLOOKUP(Table10[[#This Row],[Document ID]],Table1[],10,FALSE)</f>
        <v>Active</v>
      </c>
      <c r="H105" s="42" t="s">
        <v>5483</v>
      </c>
      <c r="I105" s="209" t="s">
        <v>5504</v>
      </c>
      <c r="J105" s="259"/>
      <c r="K105" s="344" t="s">
        <v>5485</v>
      </c>
      <c r="L105" s="241" t="str">
        <f>VLOOKUP(Table10[[#This Row],[Country Code]],Table29[],3,FALSE)</f>
        <v>Non-Annex I</v>
      </c>
      <c r="M105" s="241" t="str">
        <f>VLOOKUP(Table10[[#This Row],[Country Code]],Table29[],4,FALSE)</f>
        <v>Africa</v>
      </c>
      <c r="N105" s="241" t="str">
        <f>VLOOKUP(Table10[[#This Row],[Country Code]],Table29[],5,FALSE)</f>
        <v>Low-income</v>
      </c>
      <c r="O105" s="241" t="str">
        <f>VLOOKUP(Table10[[#This Row],[Country Code]],Table29[],6,FALSE)</f>
        <v>no</v>
      </c>
      <c r="P105" s="241" t="str">
        <f>VLOOKUP(Table10[[#This Row],[Country Code]],Table29[],7,FALSE)</f>
        <v>no</v>
      </c>
      <c r="Q105" s="241" t="str">
        <f>VLOOKUP(Table10[[#This Row],[Country Code]],Table29[],8,FALSE)</f>
        <v>non-OECD</v>
      </c>
      <c r="R105" s="233" t="str">
        <f>VLOOKUP(Table10[[#This Row],[Country Code]],Table29[],9,FALSE)</f>
        <v>no</v>
      </c>
      <c r="S105" s="233" t="str">
        <f>VLOOKUP(Table10[[#This Row],[Country Code]],Table29[],10,FALSE)</f>
        <v>no</v>
      </c>
      <c r="T105" s="233">
        <f>VLOOKUP(Table10[[#This Row],[Country Code]],Table29[],23,FALSE)</f>
        <v>6.9377160598997998</v>
      </c>
      <c r="U105" s="233">
        <f>VLOOKUP(Table10[[#This Row],[Country Code]],Table29[],24,FALSE)</f>
        <v>0.537288258748986</v>
      </c>
      <c r="V105" s="42"/>
    </row>
    <row r="106" spans="1:22" ht="45" x14ac:dyDescent="0.25">
      <c r="A106" s="257">
        <v>17734</v>
      </c>
      <c r="B106" s="43" t="str">
        <f>VLOOKUP(Table10[[#This Row],[Document ID]],Table1[],2,FALSE)</f>
        <v>SVK</v>
      </c>
      <c r="C106" s="43" t="str">
        <f>VLOOKUP(Table10[[#This Row],[Document ID]],Table1[],3,FALSE)</f>
        <v>Slovakia</v>
      </c>
      <c r="D106" s="45" t="str">
        <f>VLOOKUP(Table10[[#This Row],[Document ID]],Table1[],5,FALSE)</f>
        <v>LTS</v>
      </c>
      <c r="E106" s="43" t="str">
        <f>VLOOKUP(Table10[[#This Row],[Document ID]],Table1[],7,FALSE)</f>
        <v>LTS</v>
      </c>
      <c r="F106" s="42" t="str">
        <f>VLOOKUP(Table10[[#This Row],[Document ID]],Table1[],8,FALSE)</f>
        <v>LTS 1.0</v>
      </c>
      <c r="G106" s="42" t="str">
        <f>VLOOKUP(Table10[[#This Row],[Document ID]],Table1[],10,FALSE)</f>
        <v>Active</v>
      </c>
      <c r="H106" s="42" t="s">
        <v>5472</v>
      </c>
      <c r="I106" s="44" t="s">
        <v>5560</v>
      </c>
      <c r="J106" s="221">
        <v>74</v>
      </c>
      <c r="K106" s="43" t="s">
        <v>5474</v>
      </c>
      <c r="L106" s="241" t="str">
        <f>VLOOKUP(Table10[[#This Row],[Country Code]],Table29[],3,FALSE)</f>
        <v>Annex I</v>
      </c>
      <c r="M106" s="241" t="str">
        <f>VLOOKUP(Table10[[#This Row],[Country Code]],Table29[],4,FALSE)</f>
        <v>Europe</v>
      </c>
      <c r="N106" s="241" t="str">
        <f>VLOOKUP(Table10[[#This Row],[Country Code]],Table29[],5,FALSE)</f>
        <v>High-income</v>
      </c>
      <c r="O106" s="241" t="str">
        <f>VLOOKUP(Table10[[#This Row],[Country Code]],Table29[],6,FALSE)</f>
        <v>no</v>
      </c>
      <c r="P106" s="241" t="str">
        <f>VLOOKUP(Table10[[#This Row],[Country Code]],Table29[],7,FALSE)</f>
        <v>no</v>
      </c>
      <c r="Q106" s="241" t="str">
        <f>VLOOKUP(Table10[[#This Row],[Country Code]],Table29[],8,FALSE)</f>
        <v>OECD</v>
      </c>
      <c r="R106" s="233" t="str">
        <f>VLOOKUP(Table10[[#This Row],[Country Code]],Table29[],9,FALSE)</f>
        <v>EU27</v>
      </c>
      <c r="S106" s="233" t="str">
        <f>VLOOKUP(Table10[[#This Row],[Country Code]],Table29[],10,FALSE)</f>
        <v>no</v>
      </c>
      <c r="T106" s="233">
        <f>VLOOKUP(Table10[[#This Row],[Country Code]],Table29[],23,FALSE)</f>
        <v>44.775610890682003</v>
      </c>
      <c r="U106" s="233">
        <f>VLOOKUP(Table10[[#This Row],[Country Code]],Table29[],24,FALSE)</f>
        <v>7.6629333129442534</v>
      </c>
      <c r="V106" s="43"/>
    </row>
    <row r="107" spans="1:22" ht="30" x14ac:dyDescent="0.25">
      <c r="A107" s="257">
        <v>26789</v>
      </c>
      <c r="B107" s="43" t="str">
        <f>VLOOKUP(Table10[[#This Row],[Document ID]],Table1[],2,FALSE)</f>
        <v>ZAF</v>
      </c>
      <c r="C107" s="43" t="str">
        <f>VLOOKUP(Table10[[#This Row],[Document ID]],Table1[],3,FALSE)</f>
        <v>South Africa</v>
      </c>
      <c r="D107" s="45" t="str">
        <f>VLOOKUP(Table10[[#This Row],[Document ID]],Table1[],5,FALSE)</f>
        <v>NDC</v>
      </c>
      <c r="E107" s="43" t="str">
        <f>VLOOKUP(Table10[[#This Row],[Document ID]],Table1[],7,FALSE)</f>
        <v>First NDC updated</v>
      </c>
      <c r="F107" s="42" t="str">
        <f>VLOOKUP(Table10[[#This Row],[Document ID]],Table1[],8,FALSE)</f>
        <v>NDC 1.1</v>
      </c>
      <c r="G107" s="42" t="str">
        <f>VLOOKUP(Table10[[#This Row],[Document ID]],Table1[],10,FALSE)</f>
        <v>Active</v>
      </c>
      <c r="H107" s="42" t="s">
        <v>5463</v>
      </c>
      <c r="I107" s="209" t="s">
        <v>5561</v>
      </c>
      <c r="J107" s="259">
        <v>29</v>
      </c>
      <c r="K107" s="42" t="s">
        <v>5465</v>
      </c>
      <c r="L107" s="241" t="str">
        <f>VLOOKUP(Table10[[#This Row],[Country Code]],Table29[],3,FALSE)</f>
        <v>Non-Annex I</v>
      </c>
      <c r="M107" s="241" t="str">
        <f>VLOOKUP(Table10[[#This Row],[Country Code]],Table29[],4,FALSE)</f>
        <v>Africa</v>
      </c>
      <c r="N107" s="241" t="str">
        <f>VLOOKUP(Table10[[#This Row],[Country Code]],Table29[],5,FALSE)</f>
        <v>Middle-income</v>
      </c>
      <c r="O107" s="241" t="str">
        <f>VLOOKUP(Table10[[#This Row],[Country Code]],Table29[],6,FALSE)</f>
        <v>G20</v>
      </c>
      <c r="P107" s="241" t="str">
        <f>VLOOKUP(Table10[[#This Row],[Country Code]],Table29[],7,FALSE)</f>
        <v>no</v>
      </c>
      <c r="Q107" s="241" t="str">
        <f>VLOOKUP(Table10[[#This Row],[Country Code]],Table29[],8,FALSE)</f>
        <v>non-OECD</v>
      </c>
      <c r="R107" s="233" t="str">
        <f>VLOOKUP(Table10[[#This Row],[Country Code]],Table29[],9,FALSE)</f>
        <v>no</v>
      </c>
      <c r="S107" s="233" t="str">
        <f>VLOOKUP(Table10[[#This Row],[Country Code]],Table29[],10,FALSE)</f>
        <v>no</v>
      </c>
      <c r="T107" s="233">
        <f>VLOOKUP(Table10[[#This Row],[Country Code]],Table29[],23,FALSE)</f>
        <v>522.11549112330999</v>
      </c>
      <c r="U107" s="233">
        <f>VLOOKUP(Table10[[#This Row],[Country Code]],Table29[],24,FALSE)</f>
        <v>50.351995093376694</v>
      </c>
      <c r="V107" s="42"/>
    </row>
    <row r="108" spans="1:22" ht="90" x14ac:dyDescent="0.25">
      <c r="A108" s="257">
        <v>22256</v>
      </c>
      <c r="B108" s="43" t="str">
        <f>VLOOKUP(Table10[[#This Row],[Document ID]],Table1[],2,FALSE)</f>
        <v>SSD</v>
      </c>
      <c r="C108" s="43" t="str">
        <f>VLOOKUP(Table10[[#This Row],[Document ID]],Table1[],3,FALSE)</f>
        <v>South Sudan</v>
      </c>
      <c r="D108" s="45" t="str">
        <f>VLOOKUP(Table10[[#This Row],[Document ID]],Table1[],5,FALSE)</f>
        <v>NDC</v>
      </c>
      <c r="E108" s="43" t="str">
        <f>VLOOKUP(Table10[[#This Row],[Document ID]],Table1[],7,FALSE)</f>
        <v>Second NDC</v>
      </c>
      <c r="F108" s="42" t="str">
        <f>VLOOKUP(Table10[[#This Row],[Document ID]],Table1[],8,FALSE)</f>
        <v>NDC 2.0</v>
      </c>
      <c r="G108" s="42" t="str">
        <f>VLOOKUP(Table10[[#This Row],[Document ID]],Table1[],10,FALSE)</f>
        <v>Active</v>
      </c>
      <c r="H108" s="42" t="s">
        <v>5472</v>
      </c>
      <c r="I108" s="209" t="s">
        <v>5562</v>
      </c>
      <c r="J108" s="259">
        <v>119</v>
      </c>
      <c r="K108" s="42" t="s">
        <v>5474</v>
      </c>
      <c r="L108" s="241" t="str">
        <f>VLOOKUP(Table10[[#This Row],[Country Code]],Table29[],3,FALSE)</f>
        <v>Non-Annex I</v>
      </c>
      <c r="M108" s="241" t="str">
        <f>VLOOKUP(Table10[[#This Row],[Country Code]],Table29[],4,FALSE)</f>
        <v>Africa</v>
      </c>
      <c r="N108" s="241" t="str">
        <f>VLOOKUP(Table10[[#This Row],[Country Code]],Table29[],5,FALSE)</f>
        <v>Low-income</v>
      </c>
      <c r="O108" s="241" t="str">
        <f>VLOOKUP(Table10[[#This Row],[Country Code]],Table29[],6,FALSE)</f>
        <v>no</v>
      </c>
      <c r="P108" s="241" t="str">
        <f>VLOOKUP(Table10[[#This Row],[Country Code]],Table29[],7,FALSE)</f>
        <v>no</v>
      </c>
      <c r="Q108" s="241" t="str">
        <f>VLOOKUP(Table10[[#This Row],[Country Code]],Table29[],8,FALSE)</f>
        <v>non-OECD</v>
      </c>
      <c r="R108" s="233" t="str">
        <f>VLOOKUP(Table10[[#This Row],[Country Code]],Table29[],9,FALSE)</f>
        <v>no</v>
      </c>
      <c r="S108" s="233" t="str">
        <f>VLOOKUP(Table10[[#This Row],[Country Code]],Table29[],10,FALSE)</f>
        <v>no</v>
      </c>
      <c r="T108" s="233">
        <f>VLOOKUP(Table10[[#This Row],[Country Code]],Table29[],23,FALSE)</f>
        <v>0</v>
      </c>
      <c r="U108" s="233">
        <f>VLOOKUP(Table10[[#This Row],[Country Code]],Table29[],24,FALSE)</f>
        <v>0</v>
      </c>
      <c r="V108" s="42"/>
    </row>
    <row r="109" spans="1:22" x14ac:dyDescent="0.25">
      <c r="A109" s="257">
        <v>21314</v>
      </c>
      <c r="B109" s="43" t="str">
        <f>VLOOKUP(Table10[[#This Row],[Document ID]],Table1[],2,FALSE)</f>
        <v>LKA</v>
      </c>
      <c r="C109" s="43" t="str">
        <f>VLOOKUP(Table10[[#This Row],[Document ID]],Table1[],3,FALSE)</f>
        <v>Sri Lanka</v>
      </c>
      <c r="D109" s="45" t="str">
        <f>VLOOKUP(Table10[[#This Row],[Document ID]],Table1[],5,FALSE)</f>
        <v>NDC</v>
      </c>
      <c r="E109" s="43" t="str">
        <f>VLOOKUP(Table10[[#This Row],[Document ID]],Table1[],7,FALSE)</f>
        <v>First NDC updated</v>
      </c>
      <c r="F109" s="42" t="str">
        <f>VLOOKUP(Table10[[#This Row],[Document ID]],Table1[],8,FALSE)</f>
        <v>NDC 1.1</v>
      </c>
      <c r="G109" s="42" t="str">
        <f>VLOOKUP(Table10[[#This Row],[Document ID]],Table1[],10,FALSE)</f>
        <v>Active</v>
      </c>
      <c r="H109" s="42" t="s">
        <v>5483</v>
      </c>
      <c r="I109" s="209" t="s">
        <v>5563</v>
      </c>
      <c r="J109" s="259"/>
      <c r="K109" s="344" t="s">
        <v>5485</v>
      </c>
      <c r="L109" s="241" t="str">
        <f>VLOOKUP(Table10[[#This Row],[Country Code]],Table29[],3,FALSE)</f>
        <v>Non-Annex I</v>
      </c>
      <c r="M109" s="241" t="str">
        <f>VLOOKUP(Table10[[#This Row],[Country Code]],Table29[],4,FALSE)</f>
        <v>Asia</v>
      </c>
      <c r="N109" s="241" t="str">
        <f>VLOOKUP(Table10[[#This Row],[Country Code]],Table29[],5,FALSE)</f>
        <v>Middle-income</v>
      </c>
      <c r="O109" s="241" t="str">
        <f>VLOOKUP(Table10[[#This Row],[Country Code]],Table29[],6,FALSE)</f>
        <v>no</v>
      </c>
      <c r="P109" s="241" t="str">
        <f>VLOOKUP(Table10[[#This Row],[Country Code]],Table29[],7,FALSE)</f>
        <v>no</v>
      </c>
      <c r="Q109" s="241" t="str">
        <f>VLOOKUP(Table10[[#This Row],[Country Code]],Table29[],8,FALSE)</f>
        <v>non-OECD</v>
      </c>
      <c r="R109" s="233" t="str">
        <f>VLOOKUP(Table10[[#This Row],[Country Code]],Table29[],9,FALSE)</f>
        <v>no</v>
      </c>
      <c r="S109" s="233" t="str">
        <f>VLOOKUP(Table10[[#This Row],[Country Code]],Table29[],10,FALSE)</f>
        <v>no</v>
      </c>
      <c r="T109" s="233">
        <f>VLOOKUP(Table10[[#This Row],[Country Code]],Table29[],23,FALSE)</f>
        <v>38.403849844142002</v>
      </c>
      <c r="U109" s="233">
        <f>VLOOKUP(Table10[[#This Row],[Country Code]],Table29[],24,FALSE)</f>
        <v>9.6330858743096854</v>
      </c>
      <c r="V109" s="42"/>
    </row>
    <row r="110" spans="1:22" ht="30" x14ac:dyDescent="0.25">
      <c r="A110" s="221">
        <v>17748</v>
      </c>
      <c r="B110" s="43" t="str">
        <f>VLOOKUP(Table10[[#This Row],[Document ID]],Table1[],2,FALSE)</f>
        <v>SUR</v>
      </c>
      <c r="C110" s="43" t="str">
        <f>VLOOKUP(Table10[[#This Row],[Document ID]],Table1[],3,FALSE)</f>
        <v>Suriname</v>
      </c>
      <c r="D110" s="43" t="str">
        <f>VLOOKUP(Table10[[#This Row],[Document ID]],Table1[],5,FALSE)</f>
        <v>NDC</v>
      </c>
      <c r="E110" s="43" t="str">
        <f>VLOOKUP(Table10[[#This Row],[Document ID]],Table1[],7,FALSE)</f>
        <v>Second NDC</v>
      </c>
      <c r="F110" s="43" t="str">
        <f>VLOOKUP(Table10[[#This Row],[Document ID]],Table1[],8,FALSE)</f>
        <v>NDC 2.0</v>
      </c>
      <c r="G110" s="43" t="str">
        <f>VLOOKUP(Table10[[#This Row],[Document ID]],Table1[],10,FALSE)</f>
        <v>Active</v>
      </c>
      <c r="H110" s="42" t="s">
        <v>5466</v>
      </c>
      <c r="I110" s="44" t="s">
        <v>4245</v>
      </c>
      <c r="J110" s="221">
        <v>19</v>
      </c>
      <c r="K110" s="43" t="s">
        <v>5468</v>
      </c>
      <c r="L110" s="241" t="str">
        <f>VLOOKUP(Table10[[#This Row],[Country Code]],Table29[],3,FALSE)</f>
        <v>Non-Annex I</v>
      </c>
      <c r="M110" s="241" t="str">
        <f>VLOOKUP(Table10[[#This Row],[Country Code]],Table29[],4,FALSE)</f>
        <v>Latin America and the Caribbean</v>
      </c>
      <c r="N110" s="241" t="str">
        <f>VLOOKUP(Table10[[#This Row],[Country Code]],Table29[],5,FALSE)</f>
        <v>Middle-income</v>
      </c>
      <c r="O110" s="241" t="str">
        <f>VLOOKUP(Table10[[#This Row],[Country Code]],Table29[],6,FALSE)</f>
        <v>no</v>
      </c>
      <c r="P110" s="241" t="str">
        <f>VLOOKUP(Table10[[#This Row],[Country Code]],Table29[],7,FALSE)</f>
        <v>no</v>
      </c>
      <c r="Q110" s="241" t="str">
        <f>VLOOKUP(Table10[[#This Row],[Country Code]],Table29[],8,FALSE)</f>
        <v>non-OECD</v>
      </c>
      <c r="R110" s="233" t="str">
        <f>VLOOKUP(Table10[[#This Row],[Country Code]],Table29[],9,FALSE)</f>
        <v>no</v>
      </c>
      <c r="S110" s="233" t="str">
        <f>VLOOKUP(Table10[[#This Row],[Country Code]],Table29[],10,FALSE)</f>
        <v>no</v>
      </c>
      <c r="T110" s="233">
        <f>VLOOKUP(Table10[[#This Row],[Country Code]],Table29[],23,FALSE)</f>
        <v>3.7377177696646</v>
      </c>
      <c r="U110" s="233">
        <f>VLOOKUP(Table10[[#This Row],[Country Code]],Table29[],24,FALSE)</f>
        <v>0.84541140960197392</v>
      </c>
      <c r="V110" s="43"/>
    </row>
    <row r="111" spans="1:22" x14ac:dyDescent="0.25">
      <c r="A111" s="259">
        <v>23386</v>
      </c>
      <c r="B111" s="43" t="str">
        <f>VLOOKUP(Table10[[#This Row],[Document ID]],Table1[],2,FALSE)</f>
        <v>TGO</v>
      </c>
      <c r="C111" s="43" t="str">
        <f>VLOOKUP(Table10[[#This Row],[Document ID]],Table1[],3,FALSE)</f>
        <v>Togo</v>
      </c>
      <c r="D111" s="53" t="str">
        <f>VLOOKUP(Table10[[#This Row],[Document ID]],Table1[],5,FALSE)</f>
        <v>NDC</v>
      </c>
      <c r="E111" s="43" t="str">
        <f>VLOOKUP(Table10[[#This Row],[Document ID]],Table1[],7,FALSE)</f>
        <v>First NDC updated</v>
      </c>
      <c r="F111" s="53" t="str">
        <f>VLOOKUP(Table10[[#This Row],[Document ID]],Table1[],8,FALSE)</f>
        <v>NDC 1.1</v>
      </c>
      <c r="G111" s="53" t="str">
        <f>VLOOKUP(Table10[[#This Row],[Document ID]],Table1[],10,FALSE)</f>
        <v>Active</v>
      </c>
      <c r="H111" s="42" t="s">
        <v>5478</v>
      </c>
      <c r="I111" s="209" t="s">
        <v>5564</v>
      </c>
      <c r="J111" s="259">
        <v>60</v>
      </c>
      <c r="K111" s="42" t="s">
        <v>5480</v>
      </c>
      <c r="L111" s="241" t="str">
        <f>VLOOKUP(Table10[[#This Row],[Country Code]],Table29[],3,FALSE)</f>
        <v>Non-Annex I</v>
      </c>
      <c r="M111" s="241" t="str">
        <f>VLOOKUP(Table10[[#This Row],[Country Code]],Table29[],4,FALSE)</f>
        <v>Africa</v>
      </c>
      <c r="N111" s="241" t="str">
        <f>VLOOKUP(Table10[[#This Row],[Country Code]],Table29[],5,FALSE)</f>
        <v>Low-income</v>
      </c>
      <c r="O111" s="241" t="str">
        <f>VLOOKUP(Table10[[#This Row],[Country Code]],Table29[],6,FALSE)</f>
        <v>no</v>
      </c>
      <c r="P111" s="241" t="str">
        <f>VLOOKUP(Table10[[#This Row],[Country Code]],Table29[],7,FALSE)</f>
        <v>no</v>
      </c>
      <c r="Q111" s="241" t="str">
        <f>VLOOKUP(Table10[[#This Row],[Country Code]],Table29[],8,FALSE)</f>
        <v>non-OECD</v>
      </c>
      <c r="R111" s="233" t="str">
        <f>VLOOKUP(Table10[[#This Row],[Country Code]],Table29[],9,FALSE)</f>
        <v>no</v>
      </c>
      <c r="S111" s="233" t="str">
        <f>VLOOKUP(Table10[[#This Row],[Country Code]],Table29[],10,FALSE)</f>
        <v>no</v>
      </c>
      <c r="T111" s="233">
        <f>VLOOKUP(Table10[[#This Row],[Country Code]],Table29[],23,FALSE)</f>
        <v>10.612911987181</v>
      </c>
      <c r="U111" s="233">
        <f>VLOOKUP(Table10[[#This Row],[Country Code]],Table29[],24,FALSE)</f>
        <v>1.3349461053649869</v>
      </c>
      <c r="V111" s="42"/>
    </row>
    <row r="112" spans="1:22" ht="45" x14ac:dyDescent="0.25">
      <c r="A112" s="221">
        <v>26791</v>
      </c>
      <c r="B112" s="43" t="str">
        <f>VLOOKUP(Table10[[#This Row],[Document ID]],Table1[],2,FALSE)</f>
        <v>TON</v>
      </c>
      <c r="C112" s="43" t="str">
        <f>VLOOKUP(Table10[[#This Row],[Document ID]],Table1[],3,FALSE)</f>
        <v>Tonga</v>
      </c>
      <c r="D112" s="43" t="str">
        <f>VLOOKUP(Table10[[#This Row],[Document ID]],Table1[],5,FALSE)</f>
        <v>LTS</v>
      </c>
      <c r="E112" s="43" t="str">
        <f>VLOOKUP(Table10[[#This Row],[Document ID]],Table1[],7,FALSE)</f>
        <v>LTS</v>
      </c>
      <c r="F112" s="43" t="str">
        <f>VLOOKUP(Table10[[#This Row],[Document ID]],Table1[],8,FALSE)</f>
        <v>LTS 1.0</v>
      </c>
      <c r="G112" s="43" t="str">
        <f>VLOOKUP(Table10[[#This Row],[Document ID]],Table1[],10,FALSE)</f>
        <v>Active</v>
      </c>
      <c r="H112" s="42" t="s">
        <v>5475</v>
      </c>
      <c r="I112" s="44" t="s">
        <v>5565</v>
      </c>
      <c r="J112" s="221">
        <v>50</v>
      </c>
      <c r="K112" s="43" t="s">
        <v>5477</v>
      </c>
      <c r="L112" s="241" t="str">
        <f>VLOOKUP(Table10[[#This Row],[Country Code]],Table29[],3,FALSE)</f>
        <v>Non-Annex I</v>
      </c>
      <c r="M112" s="241" t="str">
        <f>VLOOKUP(Table10[[#This Row],[Country Code]],Table29[],4,FALSE)</f>
        <v>Oceania</v>
      </c>
      <c r="N112" s="241" t="str">
        <f>VLOOKUP(Table10[[#This Row],[Country Code]],Table29[],5,FALSE)</f>
        <v>Middle-income</v>
      </c>
      <c r="O112" s="241" t="str">
        <f>VLOOKUP(Table10[[#This Row],[Country Code]],Table29[],6,FALSE)</f>
        <v>no</v>
      </c>
      <c r="P112" s="241" t="str">
        <f>VLOOKUP(Table10[[#This Row],[Country Code]],Table29[],7,FALSE)</f>
        <v>no</v>
      </c>
      <c r="Q112" s="241" t="str">
        <f>VLOOKUP(Table10[[#This Row],[Country Code]],Table29[],8,FALSE)</f>
        <v>non-OECD</v>
      </c>
      <c r="R112" s="233" t="str">
        <f>VLOOKUP(Table10[[#This Row],[Country Code]],Table29[],9,FALSE)</f>
        <v>no</v>
      </c>
      <c r="S112" s="233" t="str">
        <f>VLOOKUP(Table10[[#This Row],[Country Code]],Table29[],10,FALSE)</f>
        <v>no</v>
      </c>
      <c r="T112" s="233">
        <f>VLOOKUP(Table10[[#This Row],[Country Code]],Table29[],23,FALSE)</f>
        <v>0.34210672521812002</v>
      </c>
      <c r="U112" s="233">
        <f>VLOOKUP(Table10[[#This Row],[Country Code]],Table29[],24,FALSE)</f>
        <v>0.1141760738354758</v>
      </c>
      <c r="V112" s="43"/>
    </row>
    <row r="113" spans="1:22" ht="30" x14ac:dyDescent="0.25">
      <c r="A113" s="221">
        <v>26791</v>
      </c>
      <c r="B113" s="43" t="str">
        <f>VLOOKUP(Table10[[#This Row],[Document ID]],Table1[],2,FALSE)</f>
        <v>TON</v>
      </c>
      <c r="C113" s="43" t="str">
        <f>VLOOKUP(Table10[[#This Row],[Document ID]],Table1[],3,FALSE)</f>
        <v>Tonga</v>
      </c>
      <c r="D113" s="43" t="str">
        <f>VLOOKUP(Table10[[#This Row],[Document ID]],Table1[],5,FALSE)</f>
        <v>LTS</v>
      </c>
      <c r="E113" s="43" t="str">
        <f>VLOOKUP(Table10[[#This Row],[Document ID]],Table1[],7,FALSE)</f>
        <v>LTS</v>
      </c>
      <c r="F113" s="43" t="str">
        <f>VLOOKUP(Table10[[#This Row],[Document ID]],Table1[],8,FALSE)</f>
        <v>LTS 1.0</v>
      </c>
      <c r="G113" s="43" t="str">
        <f>VLOOKUP(Table10[[#This Row],[Document ID]],Table1[],10,FALSE)</f>
        <v>Active</v>
      </c>
      <c r="H113" s="42" t="s">
        <v>5463</v>
      </c>
      <c r="I113" s="44" t="s">
        <v>5566</v>
      </c>
      <c r="J113" s="221">
        <v>50</v>
      </c>
      <c r="K113" s="42" t="s">
        <v>5465</v>
      </c>
      <c r="L113" s="241" t="str">
        <f>VLOOKUP(Table10[[#This Row],[Country Code]],Table29[],3,FALSE)</f>
        <v>Non-Annex I</v>
      </c>
      <c r="M113" s="241" t="str">
        <f>VLOOKUP(Table10[[#This Row],[Country Code]],Table29[],4,FALSE)</f>
        <v>Oceania</v>
      </c>
      <c r="N113" s="241" t="str">
        <f>VLOOKUP(Table10[[#This Row],[Country Code]],Table29[],5,FALSE)</f>
        <v>Middle-income</v>
      </c>
      <c r="O113" s="241" t="str">
        <f>VLOOKUP(Table10[[#This Row],[Country Code]],Table29[],6,FALSE)</f>
        <v>no</v>
      </c>
      <c r="P113" s="241" t="str">
        <f>VLOOKUP(Table10[[#This Row],[Country Code]],Table29[],7,FALSE)</f>
        <v>no</v>
      </c>
      <c r="Q113" s="241" t="str">
        <f>VLOOKUP(Table10[[#This Row],[Country Code]],Table29[],8,FALSE)</f>
        <v>non-OECD</v>
      </c>
      <c r="R113" s="233" t="str">
        <f>VLOOKUP(Table10[[#This Row],[Country Code]],Table29[],9,FALSE)</f>
        <v>no</v>
      </c>
      <c r="S113" s="233" t="str">
        <f>VLOOKUP(Table10[[#This Row],[Country Code]],Table29[],10,FALSE)</f>
        <v>no</v>
      </c>
      <c r="T113" s="233">
        <f>VLOOKUP(Table10[[#This Row],[Country Code]],Table29[],23,FALSE)</f>
        <v>0.34210672521812002</v>
      </c>
      <c r="U113" s="233">
        <f>VLOOKUP(Table10[[#This Row],[Country Code]],Table29[],24,FALSE)</f>
        <v>0.1141760738354758</v>
      </c>
      <c r="V113" s="43"/>
    </row>
    <row r="114" spans="1:22" ht="45" x14ac:dyDescent="0.25">
      <c r="A114" s="258">
        <v>32522</v>
      </c>
      <c r="B114" s="43" t="str">
        <f>VLOOKUP(Table10[[#This Row],[Document ID]],Table1[],2,FALSE)</f>
        <v>TKM</v>
      </c>
      <c r="C114" s="43" t="str">
        <f>VLOOKUP(Table10[[#This Row],[Document ID]],Table1[],3,FALSE)</f>
        <v>Turkmenistan</v>
      </c>
      <c r="D114" s="176" t="str">
        <f>VLOOKUP(Table10[[#This Row],[Document ID]],Table1[],5,FALSE)</f>
        <v>NDC</v>
      </c>
      <c r="E114" s="43" t="str">
        <f>VLOOKUP(Table10[[#This Row],[Document ID]],Table1[],7,FALSE)</f>
        <v>First NDC updated</v>
      </c>
      <c r="F114" s="43" t="str">
        <f>VLOOKUP(Table10[[#This Row],[Document ID]],Table1[],8,FALSE)</f>
        <v>NDC 1.1</v>
      </c>
      <c r="G114" s="43" t="str">
        <f>VLOOKUP(Table10[[#This Row],[Document ID]],Table1[],10,FALSE)</f>
        <v>Active</v>
      </c>
      <c r="H114" s="42" t="s">
        <v>5460</v>
      </c>
      <c r="I114" s="209" t="s">
        <v>5567</v>
      </c>
      <c r="J114" s="259"/>
      <c r="K114" s="176" t="s">
        <v>5462</v>
      </c>
      <c r="L114" s="241" t="str">
        <f>VLOOKUP(Table10[[#This Row],[Country Code]],Table29[],3,FALSE)</f>
        <v>Non-Annex I</v>
      </c>
      <c r="M114" s="241" t="str">
        <f>VLOOKUP(Table10[[#This Row],[Country Code]],Table29[],4,FALSE)</f>
        <v>Asia</v>
      </c>
      <c r="N114" s="241" t="str">
        <f>VLOOKUP(Table10[[#This Row],[Country Code]],Table29[],5,FALSE)</f>
        <v>Middle-income</v>
      </c>
      <c r="O114" s="241" t="str">
        <f>VLOOKUP(Table10[[#This Row],[Country Code]],Table29[],6,FALSE)</f>
        <v>no</v>
      </c>
      <c r="P114" s="241" t="str">
        <f>VLOOKUP(Table10[[#This Row],[Country Code]],Table29[],7,FALSE)</f>
        <v>no</v>
      </c>
      <c r="Q114" s="241" t="str">
        <f>VLOOKUP(Table10[[#This Row],[Country Code]],Table29[],8,FALSE)</f>
        <v>non-OECD</v>
      </c>
      <c r="R114" s="233" t="str">
        <f>VLOOKUP(Table10[[#This Row],[Country Code]],Table29[],9,FALSE)</f>
        <v>no</v>
      </c>
      <c r="S114" s="233" t="str">
        <f>VLOOKUP(Table10[[#This Row],[Country Code]],Table29[],10,FALSE)</f>
        <v>no</v>
      </c>
      <c r="T114" s="233">
        <f>VLOOKUP(Table10[[#This Row],[Country Code]],Table29[],23,FALSE)</f>
        <v>98.794119828660001</v>
      </c>
      <c r="U114" s="233">
        <f>VLOOKUP(Table10[[#This Row],[Country Code]],Table29[],24,FALSE)</f>
        <v>12.185378724618079</v>
      </c>
      <c r="V114" s="42"/>
    </row>
    <row r="115" spans="1:22" ht="30" x14ac:dyDescent="0.25">
      <c r="A115" s="221">
        <v>26792</v>
      </c>
      <c r="B115" s="43" t="str">
        <f>VLOOKUP(Table10[[#This Row],[Document ID]],Table1[],2,FALSE)</f>
        <v>GBR</v>
      </c>
      <c r="C115" s="43" t="str">
        <f>VLOOKUP(Table10[[#This Row],[Document ID]],Table1[],3,FALSE)</f>
        <v>United Kingdom</v>
      </c>
      <c r="D115" s="43" t="str">
        <f>VLOOKUP(Table10[[#This Row],[Document ID]],Table1[],5,FALSE)</f>
        <v>LTS</v>
      </c>
      <c r="E115" s="43" t="str">
        <f>VLOOKUP(Table10[[#This Row],[Document ID]],Table1[],7,FALSE)</f>
        <v>LTS</v>
      </c>
      <c r="F115" s="43" t="str">
        <f>VLOOKUP(Table10[[#This Row],[Document ID]],Table1[],8,FALSE)</f>
        <v>LTS 1.1</v>
      </c>
      <c r="G115" s="43" t="str">
        <f>VLOOKUP(Table10[[#This Row],[Document ID]],Table1[],10,FALSE)</f>
        <v>Active</v>
      </c>
      <c r="H115" s="42" t="s">
        <v>5460</v>
      </c>
      <c r="I115" s="44" t="s">
        <v>5568</v>
      </c>
      <c r="J115" s="221">
        <v>154</v>
      </c>
      <c r="K115" s="42" t="s">
        <v>5462</v>
      </c>
      <c r="L115" s="241" t="str">
        <f>VLOOKUP(Table10[[#This Row],[Country Code]],Table29[],3,FALSE)</f>
        <v>Annex I</v>
      </c>
      <c r="M115" s="241" t="str">
        <f>VLOOKUP(Table10[[#This Row],[Country Code]],Table29[],4,FALSE)</f>
        <v>Europe</v>
      </c>
      <c r="N115" s="241" t="str">
        <f>VLOOKUP(Table10[[#This Row],[Country Code]],Table29[],5,FALSE)</f>
        <v>High-income</v>
      </c>
      <c r="O115" s="241" t="str">
        <f>VLOOKUP(Table10[[#This Row],[Country Code]],Table29[],6,FALSE)</f>
        <v>G20</v>
      </c>
      <c r="P115" s="241" t="str">
        <f>VLOOKUP(Table10[[#This Row],[Country Code]],Table29[],7,FALSE)</f>
        <v>G7</v>
      </c>
      <c r="Q115" s="241" t="str">
        <f>VLOOKUP(Table10[[#This Row],[Country Code]],Table29[],8,FALSE)</f>
        <v>OECD</v>
      </c>
      <c r="R115" s="233" t="str">
        <f>VLOOKUP(Table10[[#This Row],[Country Code]],Table29[],9,FALSE)</f>
        <v>no</v>
      </c>
      <c r="S115" s="233" t="str">
        <f>VLOOKUP(Table10[[#This Row],[Country Code]],Table29[],10,FALSE)</f>
        <v>no</v>
      </c>
      <c r="T115" s="233">
        <f>VLOOKUP(Table10[[#This Row],[Country Code]],Table29[],23,FALSE)</f>
        <v>379.31858785213001</v>
      </c>
      <c r="U115" s="233">
        <f>VLOOKUP(Table10[[#This Row],[Country Code]],Table29[],24,FALSE)</f>
        <v>109.75048777474809</v>
      </c>
      <c r="V115" s="43"/>
    </row>
    <row r="116" spans="1:22" ht="45" x14ac:dyDescent="0.25">
      <c r="A116" s="221">
        <v>26792</v>
      </c>
      <c r="B116" s="43" t="str">
        <f>VLOOKUP(Table10[[#This Row],[Document ID]],Table1[],2,FALSE)</f>
        <v>GBR</v>
      </c>
      <c r="C116" s="43" t="str">
        <f>VLOOKUP(Table10[[#This Row],[Document ID]],Table1[],3,FALSE)</f>
        <v>United Kingdom</v>
      </c>
      <c r="D116" s="43" t="str">
        <f>VLOOKUP(Table10[[#This Row],[Document ID]],Table1[],5,FALSE)</f>
        <v>LTS</v>
      </c>
      <c r="E116" s="43" t="str">
        <f>VLOOKUP(Table10[[#This Row],[Document ID]],Table1[],7,FALSE)</f>
        <v>LTS</v>
      </c>
      <c r="F116" s="43" t="str">
        <f>VLOOKUP(Table10[[#This Row],[Document ID]],Table1[],8,FALSE)</f>
        <v>LTS 1.1</v>
      </c>
      <c r="G116" s="43" t="str">
        <f>VLOOKUP(Table10[[#This Row],[Document ID]],Table1[],10,FALSE)</f>
        <v>Active</v>
      </c>
      <c r="H116" s="42" t="s">
        <v>5478</v>
      </c>
      <c r="I116" s="44" t="s">
        <v>5569</v>
      </c>
      <c r="J116" s="221">
        <v>156</v>
      </c>
      <c r="K116" s="42" t="s">
        <v>5480</v>
      </c>
      <c r="L116" s="241" t="str">
        <f>VLOOKUP(Table10[[#This Row],[Country Code]],Table29[],3,FALSE)</f>
        <v>Annex I</v>
      </c>
      <c r="M116" s="241" t="str">
        <f>VLOOKUP(Table10[[#This Row],[Country Code]],Table29[],4,FALSE)</f>
        <v>Europe</v>
      </c>
      <c r="N116" s="241" t="str">
        <f>VLOOKUP(Table10[[#This Row],[Country Code]],Table29[],5,FALSE)</f>
        <v>High-income</v>
      </c>
      <c r="O116" s="241" t="str">
        <f>VLOOKUP(Table10[[#This Row],[Country Code]],Table29[],6,FALSE)</f>
        <v>G20</v>
      </c>
      <c r="P116" s="241" t="str">
        <f>VLOOKUP(Table10[[#This Row],[Country Code]],Table29[],7,FALSE)</f>
        <v>G7</v>
      </c>
      <c r="Q116" s="241" t="str">
        <f>VLOOKUP(Table10[[#This Row],[Country Code]],Table29[],8,FALSE)</f>
        <v>OECD</v>
      </c>
      <c r="R116" s="233" t="str">
        <f>VLOOKUP(Table10[[#This Row],[Country Code]],Table29[],9,FALSE)</f>
        <v>no</v>
      </c>
      <c r="S116" s="233" t="str">
        <f>VLOOKUP(Table10[[#This Row],[Country Code]],Table29[],10,FALSE)</f>
        <v>no</v>
      </c>
      <c r="T116" s="233">
        <f>VLOOKUP(Table10[[#This Row],[Country Code]],Table29[],23,FALSE)</f>
        <v>379.31858785213001</v>
      </c>
      <c r="U116" s="233">
        <f>VLOOKUP(Table10[[#This Row],[Country Code]],Table29[],24,FALSE)</f>
        <v>109.75048777474809</v>
      </c>
      <c r="V116" s="43"/>
    </row>
    <row r="117" spans="1:22" ht="30" x14ac:dyDescent="0.25">
      <c r="A117" s="221">
        <v>26792</v>
      </c>
      <c r="B117" s="43" t="str">
        <f>VLOOKUP(Table10[[#This Row],[Document ID]],Table1[],2,FALSE)</f>
        <v>GBR</v>
      </c>
      <c r="C117" s="43" t="str">
        <f>VLOOKUP(Table10[[#This Row],[Document ID]],Table1[],3,FALSE)</f>
        <v>United Kingdom</v>
      </c>
      <c r="D117" s="43" t="str">
        <f>VLOOKUP(Table10[[#This Row],[Document ID]],Table1[],5,FALSE)</f>
        <v>LTS</v>
      </c>
      <c r="E117" s="43" t="str">
        <f>VLOOKUP(Table10[[#This Row],[Document ID]],Table1[],7,FALSE)</f>
        <v>LTS</v>
      </c>
      <c r="F117" s="43" t="str">
        <f>VLOOKUP(Table10[[#This Row],[Document ID]],Table1[],8,FALSE)</f>
        <v>LTS 1.1</v>
      </c>
      <c r="G117" s="43" t="str">
        <f>VLOOKUP(Table10[[#This Row],[Document ID]],Table1[],10,FALSE)</f>
        <v>Active</v>
      </c>
      <c r="H117" s="42" t="s">
        <v>5472</v>
      </c>
      <c r="I117" s="44" t="s">
        <v>5570</v>
      </c>
      <c r="J117" s="221">
        <v>157</v>
      </c>
      <c r="K117" s="42" t="s">
        <v>5474</v>
      </c>
      <c r="L117" s="241" t="str">
        <f>VLOOKUP(Table10[[#This Row],[Country Code]],Table29[],3,FALSE)</f>
        <v>Annex I</v>
      </c>
      <c r="M117" s="241" t="str">
        <f>VLOOKUP(Table10[[#This Row],[Country Code]],Table29[],4,FALSE)</f>
        <v>Europe</v>
      </c>
      <c r="N117" s="241" t="str">
        <f>VLOOKUP(Table10[[#This Row],[Country Code]],Table29[],5,FALSE)</f>
        <v>High-income</v>
      </c>
      <c r="O117" s="241" t="str">
        <f>VLOOKUP(Table10[[#This Row],[Country Code]],Table29[],6,FALSE)</f>
        <v>G20</v>
      </c>
      <c r="P117" s="241" t="str">
        <f>VLOOKUP(Table10[[#This Row],[Country Code]],Table29[],7,FALSE)</f>
        <v>G7</v>
      </c>
      <c r="Q117" s="241" t="str">
        <f>VLOOKUP(Table10[[#This Row],[Country Code]],Table29[],8,FALSE)</f>
        <v>OECD</v>
      </c>
      <c r="R117" s="233" t="str">
        <f>VLOOKUP(Table10[[#This Row],[Country Code]],Table29[],9,FALSE)</f>
        <v>no</v>
      </c>
      <c r="S117" s="233" t="str">
        <f>VLOOKUP(Table10[[#This Row],[Country Code]],Table29[],10,FALSE)</f>
        <v>no</v>
      </c>
      <c r="T117" s="233">
        <f>VLOOKUP(Table10[[#This Row],[Country Code]],Table29[],23,FALSE)</f>
        <v>379.31858785213001</v>
      </c>
      <c r="U117" s="233">
        <f>VLOOKUP(Table10[[#This Row],[Country Code]],Table29[],24,FALSE)</f>
        <v>109.75048777474809</v>
      </c>
      <c r="V117" s="43"/>
    </row>
    <row r="118" spans="1:22" ht="90" x14ac:dyDescent="0.25">
      <c r="A118" s="221">
        <v>26792</v>
      </c>
      <c r="B118" s="43" t="str">
        <f>VLOOKUP(Table10[[#This Row],[Document ID]],Table1[],2,FALSE)</f>
        <v>GBR</v>
      </c>
      <c r="C118" s="43" t="str">
        <f>VLOOKUP(Table10[[#This Row],[Document ID]],Table1[],3,FALSE)</f>
        <v>United Kingdom</v>
      </c>
      <c r="D118" s="43" t="str">
        <f>VLOOKUP(Table10[[#This Row],[Document ID]],Table1[],5,FALSE)</f>
        <v>LTS</v>
      </c>
      <c r="E118" s="43" t="str">
        <f>VLOOKUP(Table10[[#This Row],[Document ID]],Table1[],7,FALSE)</f>
        <v>LTS</v>
      </c>
      <c r="F118" s="43" t="str">
        <f>VLOOKUP(Table10[[#This Row],[Document ID]],Table1[],8,FALSE)</f>
        <v>LTS 1.1</v>
      </c>
      <c r="G118" s="43" t="str">
        <f>VLOOKUP(Table10[[#This Row],[Document ID]],Table1[],10,FALSE)</f>
        <v>Active</v>
      </c>
      <c r="H118" s="42" t="s">
        <v>5475</v>
      </c>
      <c r="I118" s="44" t="s">
        <v>5571</v>
      </c>
      <c r="J118" s="221">
        <v>158</v>
      </c>
      <c r="K118" s="43" t="s">
        <v>5477</v>
      </c>
      <c r="L118" s="241" t="str">
        <f>VLOOKUP(Table10[[#This Row],[Country Code]],Table29[],3,FALSE)</f>
        <v>Annex I</v>
      </c>
      <c r="M118" s="241" t="str">
        <f>VLOOKUP(Table10[[#This Row],[Country Code]],Table29[],4,FALSE)</f>
        <v>Europe</v>
      </c>
      <c r="N118" s="241" t="str">
        <f>VLOOKUP(Table10[[#This Row],[Country Code]],Table29[],5,FALSE)</f>
        <v>High-income</v>
      </c>
      <c r="O118" s="241" t="str">
        <f>VLOOKUP(Table10[[#This Row],[Country Code]],Table29[],6,FALSE)</f>
        <v>G20</v>
      </c>
      <c r="P118" s="241" t="str">
        <f>VLOOKUP(Table10[[#This Row],[Country Code]],Table29[],7,FALSE)</f>
        <v>G7</v>
      </c>
      <c r="Q118" s="241" t="str">
        <f>VLOOKUP(Table10[[#This Row],[Country Code]],Table29[],8,FALSE)</f>
        <v>OECD</v>
      </c>
      <c r="R118" s="233" t="str">
        <f>VLOOKUP(Table10[[#This Row],[Country Code]],Table29[],9,FALSE)</f>
        <v>no</v>
      </c>
      <c r="S118" s="233" t="str">
        <f>VLOOKUP(Table10[[#This Row],[Country Code]],Table29[],10,FALSE)</f>
        <v>no</v>
      </c>
      <c r="T118" s="233">
        <f>VLOOKUP(Table10[[#This Row],[Country Code]],Table29[],23,FALSE)</f>
        <v>379.31858785213001</v>
      </c>
      <c r="U118" s="233">
        <f>VLOOKUP(Table10[[#This Row],[Country Code]],Table29[],24,FALSE)</f>
        <v>109.75048777474809</v>
      </c>
      <c r="V118" s="43"/>
    </row>
    <row r="119" spans="1:22" ht="30" x14ac:dyDescent="0.25">
      <c r="A119" s="221">
        <v>26792</v>
      </c>
      <c r="B119" s="43" t="str">
        <f>VLOOKUP(Table10[[#This Row],[Document ID]],Table1[],2,FALSE)</f>
        <v>GBR</v>
      </c>
      <c r="C119" s="43" t="str">
        <f>VLOOKUP(Table10[[#This Row],[Document ID]],Table1[],3,FALSE)</f>
        <v>United Kingdom</v>
      </c>
      <c r="D119" s="43" t="str">
        <f>VLOOKUP(Table10[[#This Row],[Document ID]],Table1[],5,FALSE)</f>
        <v>LTS</v>
      </c>
      <c r="E119" s="43" t="str">
        <f>VLOOKUP(Table10[[#This Row],[Document ID]],Table1[],7,FALSE)</f>
        <v>LTS</v>
      </c>
      <c r="F119" s="43" t="str">
        <f>VLOOKUP(Table10[[#This Row],[Document ID]],Table1[],8,FALSE)</f>
        <v>LTS 1.1</v>
      </c>
      <c r="G119" s="43" t="str">
        <f>VLOOKUP(Table10[[#This Row],[Document ID]],Table1[],10,FALSE)</f>
        <v>Active</v>
      </c>
      <c r="H119" s="42" t="s">
        <v>5475</v>
      </c>
      <c r="I119" s="44" t="s">
        <v>5572</v>
      </c>
      <c r="J119" s="221">
        <v>158</v>
      </c>
      <c r="K119" s="42" t="s">
        <v>5477</v>
      </c>
      <c r="L119" s="241" t="str">
        <f>VLOOKUP(Table10[[#This Row],[Country Code]],Table29[],3,FALSE)</f>
        <v>Annex I</v>
      </c>
      <c r="M119" s="241" t="str">
        <f>VLOOKUP(Table10[[#This Row],[Country Code]],Table29[],4,FALSE)</f>
        <v>Europe</v>
      </c>
      <c r="N119" s="241" t="str">
        <f>VLOOKUP(Table10[[#This Row],[Country Code]],Table29[],5,FALSE)</f>
        <v>High-income</v>
      </c>
      <c r="O119" s="241" t="str">
        <f>VLOOKUP(Table10[[#This Row],[Country Code]],Table29[],6,FALSE)</f>
        <v>G20</v>
      </c>
      <c r="P119" s="241" t="str">
        <f>VLOOKUP(Table10[[#This Row],[Country Code]],Table29[],7,FALSE)</f>
        <v>G7</v>
      </c>
      <c r="Q119" s="241" t="str">
        <f>VLOOKUP(Table10[[#This Row],[Country Code]],Table29[],8,FALSE)</f>
        <v>OECD</v>
      </c>
      <c r="R119" s="233" t="str">
        <f>VLOOKUP(Table10[[#This Row],[Country Code]],Table29[],9,FALSE)</f>
        <v>no</v>
      </c>
      <c r="S119" s="233" t="str">
        <f>VLOOKUP(Table10[[#This Row],[Country Code]],Table29[],10,FALSE)</f>
        <v>no</v>
      </c>
      <c r="T119" s="233">
        <f>VLOOKUP(Table10[[#This Row],[Country Code]],Table29[],23,FALSE)</f>
        <v>379.31858785213001</v>
      </c>
      <c r="U119" s="233">
        <f>VLOOKUP(Table10[[#This Row],[Country Code]],Table29[],24,FALSE)</f>
        <v>109.75048777474809</v>
      </c>
      <c r="V119" s="43"/>
    </row>
    <row r="120" spans="1:22" x14ac:dyDescent="0.25">
      <c r="A120" s="259">
        <v>29231</v>
      </c>
      <c r="B120" s="43" t="str">
        <f>VLOOKUP(Table10[[#This Row],[Document ID]],Table1[],2,FALSE)</f>
        <v>VUT</v>
      </c>
      <c r="C120" s="43" t="str">
        <f>VLOOKUP(Table10[[#This Row],[Document ID]],Table1[],3,FALSE)</f>
        <v>Vanuatu</v>
      </c>
      <c r="D120" s="42" t="str">
        <f>VLOOKUP(Table10[[#This Row],[Document ID]],Table1[],5,FALSE)</f>
        <v>NDC</v>
      </c>
      <c r="E120" s="43" t="str">
        <f>VLOOKUP(Table10[[#This Row],[Document ID]],Table1[],7,FALSE)</f>
        <v>First NDC updated</v>
      </c>
      <c r="F120" s="42" t="str">
        <f>VLOOKUP(Table10[[#This Row],[Document ID]],Table1[],8,FALSE)</f>
        <v>NDC 1.2</v>
      </c>
      <c r="G120" s="42" t="str">
        <f>VLOOKUP(Table10[[#This Row],[Document ID]],Table1[],10,FALSE)</f>
        <v>Active</v>
      </c>
      <c r="H120" s="42" t="s">
        <v>5483</v>
      </c>
      <c r="I120" s="209" t="s">
        <v>5573</v>
      </c>
      <c r="J120" s="259">
        <v>4</v>
      </c>
      <c r="K120" s="42" t="s">
        <v>5485</v>
      </c>
      <c r="L120" s="241" t="str">
        <f>VLOOKUP(Table10[[#This Row],[Country Code]],Table29[],3,FALSE)</f>
        <v>Non-Annex I</v>
      </c>
      <c r="M120" s="241" t="str">
        <f>VLOOKUP(Table10[[#This Row],[Country Code]],Table29[],4,FALSE)</f>
        <v>Oceania</v>
      </c>
      <c r="N120" s="241" t="str">
        <f>VLOOKUP(Table10[[#This Row],[Country Code]],Table29[],5,FALSE)</f>
        <v>Middle-income</v>
      </c>
      <c r="O120" s="241" t="str">
        <f>VLOOKUP(Table10[[#This Row],[Country Code]],Table29[],6,FALSE)</f>
        <v>no</v>
      </c>
      <c r="P120" s="241" t="str">
        <f>VLOOKUP(Table10[[#This Row],[Country Code]],Table29[],7,FALSE)</f>
        <v>no</v>
      </c>
      <c r="Q120" s="241" t="str">
        <f>VLOOKUP(Table10[[#This Row],[Country Code]],Table29[],8,FALSE)</f>
        <v>non-OECD</v>
      </c>
      <c r="R120" s="233" t="str">
        <f>VLOOKUP(Table10[[#This Row],[Country Code]],Table29[],9,FALSE)</f>
        <v>no</v>
      </c>
      <c r="S120" s="233" t="str">
        <f>VLOOKUP(Table10[[#This Row],[Country Code]],Table29[],10,FALSE)</f>
        <v>no</v>
      </c>
      <c r="T120" s="233">
        <f>VLOOKUP(Table10[[#This Row],[Country Code]],Table29[],23,FALSE)</f>
        <v>0.67021230161326995</v>
      </c>
      <c r="U120" s="233">
        <f>VLOOKUP(Table10[[#This Row],[Country Code]],Table29[],24,FALSE)</f>
        <v>0.148941723979749</v>
      </c>
      <c r="V120" s="42"/>
    </row>
    <row r="121" spans="1:22" x14ac:dyDescent="0.25">
      <c r="A121" s="259">
        <v>24787</v>
      </c>
      <c r="B121" s="43" t="str">
        <f>VLOOKUP(Table10[[#This Row],[Document ID]],Table1[],2,FALSE)</f>
        <v>VEN</v>
      </c>
      <c r="C121" s="43" t="str">
        <f>VLOOKUP(Table10[[#This Row],[Document ID]],Table1[],3,FALSE)</f>
        <v>Venezuela, Bolivarian Republic of</v>
      </c>
      <c r="D121" s="208" t="str">
        <f>VLOOKUP(Table10[[#This Row],[Document ID]],Table1[],5,FALSE)</f>
        <v>NDC</v>
      </c>
      <c r="E121" s="43" t="str">
        <f>VLOOKUP(Table10[[#This Row],[Document ID]],Table1[],7,FALSE)</f>
        <v>First NDC updated</v>
      </c>
      <c r="F121" s="42" t="str">
        <f>VLOOKUP(Table10[[#This Row],[Document ID]],Table1[],8,FALSE)</f>
        <v>NDC 1.1</v>
      </c>
      <c r="G121" s="42" t="str">
        <f>VLOOKUP(Table10[[#This Row],[Document ID]],Table1[],10,FALSE)</f>
        <v>Active</v>
      </c>
      <c r="H121" s="42" t="s">
        <v>5483</v>
      </c>
      <c r="I121" s="209" t="s">
        <v>5574</v>
      </c>
      <c r="J121" s="259">
        <v>58</v>
      </c>
      <c r="K121" s="42" t="s">
        <v>5485</v>
      </c>
      <c r="L121" s="241" t="str">
        <f>VLOOKUP(Table10[[#This Row],[Country Code]],Table29[],3,FALSE)</f>
        <v>Non-Annex I</v>
      </c>
      <c r="M121" s="241" t="str">
        <f>VLOOKUP(Table10[[#This Row],[Country Code]],Table29[],4,FALSE)</f>
        <v>Latin America and the Caribbean</v>
      </c>
      <c r="N121" s="241" t="str">
        <f>VLOOKUP(Table10[[#This Row],[Country Code]],Table29[],5,FALSE)</f>
        <v>Middle-income</v>
      </c>
      <c r="O121" s="241" t="str">
        <f>VLOOKUP(Table10[[#This Row],[Country Code]],Table29[],6,FALSE)</f>
        <v>no</v>
      </c>
      <c r="P121" s="241" t="str">
        <f>VLOOKUP(Table10[[#This Row],[Country Code]],Table29[],7,FALSE)</f>
        <v>no</v>
      </c>
      <c r="Q121" s="241" t="str">
        <f>VLOOKUP(Table10[[#This Row],[Country Code]],Table29[],8,FALSE)</f>
        <v>non-OECD</v>
      </c>
      <c r="R121" s="233" t="str">
        <f>VLOOKUP(Table10[[#This Row],[Country Code]],Table29[],9,FALSE)</f>
        <v>no</v>
      </c>
      <c r="S121" s="233" t="str">
        <f>VLOOKUP(Table10[[#This Row],[Country Code]],Table29[],10,FALSE)</f>
        <v>no</v>
      </c>
      <c r="T121" s="233">
        <f>VLOOKUP(Table10[[#This Row],[Country Code]],Table29[],23,FALSE)</f>
        <v>152.38992311311</v>
      </c>
      <c r="U121" s="233">
        <f>VLOOKUP(Table10[[#This Row],[Country Code]],Table29[],24,FALSE)</f>
        <v>17.908504980816488</v>
      </c>
      <c r="V121" s="42"/>
    </row>
    <row r="122" spans="1:22" ht="45" x14ac:dyDescent="0.25">
      <c r="A122" s="221">
        <v>32525</v>
      </c>
      <c r="B122" s="43" t="str">
        <f>VLOOKUP(Table10[[#This Row],[Document ID]],Table1[],2,FALSE)</f>
        <v>VNM</v>
      </c>
      <c r="C122" s="43" t="str">
        <f>VLOOKUP(Table10[[#This Row],[Document ID]],Table1[],3,FALSE)</f>
        <v>Viet Nam</v>
      </c>
      <c r="D122" s="43" t="str">
        <f>VLOOKUP(Table10[[#This Row],[Document ID]],Table1[],5,FALSE)</f>
        <v>NDC</v>
      </c>
      <c r="E122" s="43" t="str">
        <f>VLOOKUP(Table10[[#This Row],[Document ID]],Table1[],7,FALSE)</f>
        <v>First NDC updated</v>
      </c>
      <c r="F122" s="43" t="str">
        <f>VLOOKUP(Table10[[#This Row],[Document ID]],Table1[],8,FALSE)</f>
        <v>NDC 1.2</v>
      </c>
      <c r="G122" s="43" t="str">
        <f>VLOOKUP(Table10[[#This Row],[Document ID]],Table1[],10,FALSE)</f>
        <v>Active</v>
      </c>
      <c r="H122" s="42" t="s">
        <v>5472</v>
      </c>
      <c r="I122" s="44" t="s">
        <v>5575</v>
      </c>
      <c r="J122" s="221">
        <v>25</v>
      </c>
      <c r="K122" s="43" t="s">
        <v>5474</v>
      </c>
      <c r="L122" s="241" t="str">
        <f>VLOOKUP(Table10[[#This Row],[Country Code]],Table29[],3,FALSE)</f>
        <v>Non-Annex I</v>
      </c>
      <c r="M122" s="241" t="str">
        <f>VLOOKUP(Table10[[#This Row],[Country Code]],Table29[],4,FALSE)</f>
        <v>Asia</v>
      </c>
      <c r="N122" s="241" t="str">
        <f>VLOOKUP(Table10[[#This Row],[Country Code]],Table29[],5,FALSE)</f>
        <v>Middle-income</v>
      </c>
      <c r="O122" s="241" t="str">
        <f>VLOOKUP(Table10[[#This Row],[Country Code]],Table29[],6,FALSE)</f>
        <v>no</v>
      </c>
      <c r="P122" s="241" t="str">
        <f>VLOOKUP(Table10[[#This Row],[Country Code]],Table29[],7,FALSE)</f>
        <v>no</v>
      </c>
      <c r="Q122" s="241" t="str">
        <f>VLOOKUP(Table10[[#This Row],[Country Code]],Table29[],8,FALSE)</f>
        <v>non-OECD</v>
      </c>
      <c r="R122" s="233" t="str">
        <f>VLOOKUP(Table10[[#This Row],[Country Code]],Table29[],9,FALSE)</f>
        <v>no</v>
      </c>
      <c r="S122" s="233" t="str">
        <f>VLOOKUP(Table10[[#This Row],[Country Code]],Table29[],10,FALSE)</f>
        <v>no</v>
      </c>
      <c r="T122" s="233">
        <f>VLOOKUP(Table10[[#This Row],[Country Code]],Table29[],23,FALSE)</f>
        <v>524.13346380418</v>
      </c>
      <c r="U122" s="233">
        <f>VLOOKUP(Table10[[#This Row],[Country Code]],Table29[],24,FALSE)</f>
        <v>39.884378531634049</v>
      </c>
      <c r="V122" s="43"/>
    </row>
    <row r="123" spans="1:22" x14ac:dyDescent="0.25">
      <c r="A123" s="259">
        <v>22274</v>
      </c>
      <c r="B123" s="43" t="str">
        <f>VLOOKUP(Table10[[#This Row],[Document ID]],Table1[],2,FALSE)</f>
        <v>ZWE</v>
      </c>
      <c r="C123" s="43" t="str">
        <f>VLOOKUP(Table10[[#This Row],[Document ID]],Table1[],3,FALSE)</f>
        <v>Zimbabwe</v>
      </c>
      <c r="D123" s="42" t="str">
        <f>VLOOKUP(Table10[[#This Row],[Document ID]],Table1[],5,FALSE)</f>
        <v>NDC</v>
      </c>
      <c r="E123" s="43" t="str">
        <f>VLOOKUP(Table10[[#This Row],[Document ID]],Table1[],7,FALSE)</f>
        <v>First NDC updated</v>
      </c>
      <c r="F123" s="42" t="str">
        <f>VLOOKUP(Table10[[#This Row],[Document ID]],Table1[],8,FALSE)</f>
        <v>NDC 1.1</v>
      </c>
      <c r="G123" s="42" t="str">
        <f>VLOOKUP(Table10[[#This Row],[Document ID]],Table1[],10,FALSE)</f>
        <v>Archived</v>
      </c>
      <c r="H123" s="42" t="s">
        <v>5463</v>
      </c>
      <c r="I123" s="209" t="s">
        <v>5576</v>
      </c>
      <c r="J123" s="259">
        <v>23</v>
      </c>
      <c r="K123" s="42" t="s">
        <v>5465</v>
      </c>
      <c r="L123" s="241" t="str">
        <f>VLOOKUP(Table10[[#This Row],[Country Code]],Table29[],3,FALSE)</f>
        <v>Non-Annex I</v>
      </c>
      <c r="M123" s="241" t="str">
        <f>VLOOKUP(Table10[[#This Row],[Country Code]],Table29[],4,FALSE)</f>
        <v>Africa</v>
      </c>
      <c r="N123" s="241" t="str">
        <f>VLOOKUP(Table10[[#This Row],[Country Code]],Table29[],5,FALSE)</f>
        <v>Middle-income</v>
      </c>
      <c r="O123" s="241" t="str">
        <f>VLOOKUP(Table10[[#This Row],[Country Code]],Table29[],6,FALSE)</f>
        <v>no</v>
      </c>
      <c r="P123" s="241" t="str">
        <f>VLOOKUP(Table10[[#This Row],[Country Code]],Table29[],7,FALSE)</f>
        <v>no</v>
      </c>
      <c r="Q123" s="241" t="str">
        <f>VLOOKUP(Table10[[#This Row],[Country Code]],Table29[],8,FALSE)</f>
        <v>non-OECD</v>
      </c>
      <c r="R123" s="233" t="str">
        <f>VLOOKUP(Table10[[#This Row],[Country Code]],Table29[],9,FALSE)</f>
        <v>no</v>
      </c>
      <c r="S123" s="233" t="str">
        <f>VLOOKUP(Table10[[#This Row],[Country Code]],Table29[],10,FALSE)</f>
        <v>no</v>
      </c>
      <c r="T123" s="233">
        <f>VLOOKUP(Table10[[#This Row],[Country Code]],Table29[],23,FALSE)</f>
        <v>31.019306383581998</v>
      </c>
      <c r="U123" s="233">
        <f>VLOOKUP(Table10[[#This Row],[Country Code]],Table29[],24,FALSE)</f>
        <v>1.5180453178171209</v>
      </c>
      <c r="V123" s="42"/>
    </row>
    <row r="124" spans="1:22" ht="30" x14ac:dyDescent="0.25">
      <c r="A124" s="259">
        <v>22274</v>
      </c>
      <c r="B124" s="43" t="str">
        <f>VLOOKUP(Table10[[#This Row],[Document ID]],Table1[],2,FALSE)</f>
        <v>ZWE</v>
      </c>
      <c r="C124" s="43" t="str">
        <f>VLOOKUP(Table10[[#This Row],[Document ID]],Table1[],3,FALSE)</f>
        <v>Zimbabwe</v>
      </c>
      <c r="D124" s="42" t="str">
        <f>VLOOKUP(Table10[[#This Row],[Document ID]],Table1[],5,FALSE)</f>
        <v>NDC</v>
      </c>
      <c r="E124" s="43" t="str">
        <f>VLOOKUP(Table10[[#This Row],[Document ID]],Table1[],7,FALSE)</f>
        <v>First NDC updated</v>
      </c>
      <c r="F124" s="42" t="str">
        <f>VLOOKUP(Table10[[#This Row],[Document ID]],Table1[],8,FALSE)</f>
        <v>NDC 1.1</v>
      </c>
      <c r="G124" s="42" t="str">
        <f>VLOOKUP(Table10[[#This Row],[Document ID]],Table1[],10,FALSE)</f>
        <v>Archived</v>
      </c>
      <c r="H124" s="42" t="s">
        <v>5472</v>
      </c>
      <c r="I124" s="209" t="s">
        <v>5577</v>
      </c>
      <c r="J124" s="259">
        <v>23</v>
      </c>
      <c r="K124" s="42" t="s">
        <v>5474</v>
      </c>
      <c r="L124" s="241" t="str">
        <f>VLOOKUP(Table10[[#This Row],[Country Code]],Table29[],3,FALSE)</f>
        <v>Non-Annex I</v>
      </c>
      <c r="M124" s="241" t="str">
        <f>VLOOKUP(Table10[[#This Row],[Country Code]],Table29[],4,FALSE)</f>
        <v>Africa</v>
      </c>
      <c r="N124" s="241" t="str">
        <f>VLOOKUP(Table10[[#This Row],[Country Code]],Table29[],5,FALSE)</f>
        <v>Middle-income</v>
      </c>
      <c r="O124" s="241" t="str">
        <f>VLOOKUP(Table10[[#This Row],[Country Code]],Table29[],6,FALSE)</f>
        <v>no</v>
      </c>
      <c r="P124" s="241" t="str">
        <f>VLOOKUP(Table10[[#This Row],[Country Code]],Table29[],7,FALSE)</f>
        <v>no</v>
      </c>
      <c r="Q124" s="241" t="str">
        <f>VLOOKUP(Table10[[#This Row],[Country Code]],Table29[],8,FALSE)</f>
        <v>non-OECD</v>
      </c>
      <c r="R124" s="233" t="str">
        <f>VLOOKUP(Table10[[#This Row],[Country Code]],Table29[],9,FALSE)</f>
        <v>no</v>
      </c>
      <c r="S124" s="233" t="str">
        <f>VLOOKUP(Table10[[#This Row],[Country Code]],Table29[],10,FALSE)</f>
        <v>no</v>
      </c>
      <c r="T124" s="233">
        <f>VLOOKUP(Table10[[#This Row],[Country Code]],Table29[],23,FALSE)</f>
        <v>31.019306383581998</v>
      </c>
      <c r="U124" s="233">
        <f>VLOOKUP(Table10[[#This Row],[Country Code]],Table29[],24,FALSE)</f>
        <v>1.5180453178171209</v>
      </c>
      <c r="V124" s="42"/>
    </row>
    <row r="125" spans="1:22" ht="30" x14ac:dyDescent="0.25">
      <c r="A125" s="257">
        <v>39440</v>
      </c>
      <c r="B125" s="43" t="str">
        <f>VLOOKUP(Table10[[#This Row],[Document ID]],Table1[],2,FALSE)</f>
        <v>BTN</v>
      </c>
      <c r="C125" s="43" t="str">
        <f>VLOOKUP(Table10[[#This Row],[Document ID]],Table1[],3,FALSE)</f>
        <v>Bhutan</v>
      </c>
      <c r="D125" s="209" t="str">
        <f>VLOOKUP(Table10[[#This Row],[Document ID]],Table1[],5,FALSE)</f>
        <v>LTS</v>
      </c>
      <c r="E125" s="43" t="str">
        <f>VLOOKUP(Table10[[#This Row],[Document ID]],Table1[],7,FALSE)</f>
        <v>LTS</v>
      </c>
      <c r="F125" s="42" t="str">
        <f>VLOOKUP(Table10[[#This Row],[Document ID]],Table1[],8,FALSE)</f>
        <v>LTS 1.0</v>
      </c>
      <c r="G125" s="42" t="str">
        <f>VLOOKUP(Table10[[#This Row],[Document ID]],Table1[],10,FALSE)</f>
        <v>Active</v>
      </c>
      <c r="H125" s="42" t="s">
        <v>5472</v>
      </c>
      <c r="I125" s="209" t="s">
        <v>5578</v>
      </c>
      <c r="J125" s="259">
        <v>154</v>
      </c>
      <c r="K125" s="42" t="s">
        <v>5474</v>
      </c>
      <c r="L125" s="241" t="str">
        <f>VLOOKUP(Table10[[#This Row],[Country Code]],Table29[],3,FALSE)</f>
        <v>Non-Annex I</v>
      </c>
      <c r="M125" s="241" t="str">
        <f>VLOOKUP(Table10[[#This Row],[Country Code]],Table29[],4,FALSE)</f>
        <v>Asia</v>
      </c>
      <c r="N125" s="241" t="str">
        <f>VLOOKUP(Table10[[#This Row],[Country Code]],Table29[],5,FALSE)</f>
        <v>Middle-income</v>
      </c>
      <c r="O125" s="241" t="str">
        <f>VLOOKUP(Table10[[#This Row],[Country Code]],Table29[],6,FALSE)</f>
        <v>no</v>
      </c>
      <c r="P125" s="241" t="str">
        <f>VLOOKUP(Table10[[#This Row],[Country Code]],Table29[],7,FALSE)</f>
        <v>no</v>
      </c>
      <c r="Q125" s="241" t="str">
        <f>VLOOKUP(Table10[[#This Row],[Country Code]],Table29[],8,FALSE)</f>
        <v>non-OECD</v>
      </c>
      <c r="R125" s="233" t="str">
        <f>VLOOKUP(Table10[[#This Row],[Country Code]],Table29[],9,FALSE)</f>
        <v>no</v>
      </c>
      <c r="S125" s="233" t="str">
        <f>VLOOKUP(Table10[[#This Row],[Country Code]],Table29[],10,FALSE)</f>
        <v>no</v>
      </c>
      <c r="T125" s="233">
        <f>VLOOKUP(Table10[[#This Row],[Country Code]],Table29[],23,FALSE)</f>
        <v>3.2548573740653</v>
      </c>
      <c r="U125" s="233">
        <f>VLOOKUP(Table10[[#This Row],[Country Code]],Table29[],24,FALSE)</f>
        <v>0.43507987337923443</v>
      </c>
      <c r="V125" s="42"/>
    </row>
    <row r="126" spans="1:22" ht="30" x14ac:dyDescent="0.25">
      <c r="A126" s="257">
        <v>39440</v>
      </c>
      <c r="B126" s="43" t="str">
        <f>VLOOKUP(Table10[[#This Row],[Document ID]],Table1[],2,FALSE)</f>
        <v>BTN</v>
      </c>
      <c r="C126" s="43" t="str">
        <f>VLOOKUP(Table10[[#This Row],[Document ID]],Table1[],3,FALSE)</f>
        <v>Bhutan</v>
      </c>
      <c r="D126" s="209" t="str">
        <f>VLOOKUP(Table10[[#This Row],[Document ID]],Table1[],5,FALSE)</f>
        <v>LTS</v>
      </c>
      <c r="E126" s="43" t="str">
        <f>VLOOKUP(Table10[[#This Row],[Document ID]],Table1[],7,FALSE)</f>
        <v>LTS</v>
      </c>
      <c r="F126" s="42" t="str">
        <f>VLOOKUP(Table10[[#This Row],[Document ID]],Table1[],8,FALSE)</f>
        <v>LTS 1.0</v>
      </c>
      <c r="G126" s="42" t="str">
        <f>VLOOKUP(Table10[[#This Row],[Document ID]],Table1[],10,FALSE)</f>
        <v>Active</v>
      </c>
      <c r="H126" s="42" t="s">
        <v>5472</v>
      </c>
      <c r="I126" s="209" t="s">
        <v>5579</v>
      </c>
      <c r="J126" s="259">
        <v>154</v>
      </c>
      <c r="K126" s="42" t="s">
        <v>5474</v>
      </c>
      <c r="L126" s="241" t="str">
        <f>VLOOKUP(Table10[[#This Row],[Country Code]],Table29[],3,FALSE)</f>
        <v>Non-Annex I</v>
      </c>
      <c r="M126" s="241" t="str">
        <f>VLOOKUP(Table10[[#This Row],[Country Code]],Table29[],4,FALSE)</f>
        <v>Asia</v>
      </c>
      <c r="N126" s="241" t="str">
        <f>VLOOKUP(Table10[[#This Row],[Country Code]],Table29[],5,FALSE)</f>
        <v>Middle-income</v>
      </c>
      <c r="O126" s="241" t="str">
        <f>VLOOKUP(Table10[[#This Row],[Country Code]],Table29[],6,FALSE)</f>
        <v>no</v>
      </c>
      <c r="P126" s="241" t="str">
        <f>VLOOKUP(Table10[[#This Row],[Country Code]],Table29[],7,FALSE)</f>
        <v>no</v>
      </c>
      <c r="Q126" s="241" t="str">
        <f>VLOOKUP(Table10[[#This Row],[Country Code]],Table29[],8,FALSE)</f>
        <v>non-OECD</v>
      </c>
      <c r="R126" s="233" t="str">
        <f>VLOOKUP(Table10[[#This Row],[Country Code]],Table29[],9,FALSE)</f>
        <v>no</v>
      </c>
      <c r="S126" s="233" t="str">
        <f>VLOOKUP(Table10[[#This Row],[Country Code]],Table29[],10,FALSE)</f>
        <v>no</v>
      </c>
      <c r="T126" s="233">
        <f>VLOOKUP(Table10[[#This Row],[Country Code]],Table29[],23,FALSE)</f>
        <v>3.2548573740653</v>
      </c>
      <c r="U126" s="233">
        <f>VLOOKUP(Table10[[#This Row],[Country Code]],Table29[],24,FALSE)</f>
        <v>0.43507987337923443</v>
      </c>
      <c r="V126" s="42"/>
    </row>
    <row r="127" spans="1:22" ht="30" x14ac:dyDescent="0.25">
      <c r="A127" s="257">
        <v>39440</v>
      </c>
      <c r="B127" s="43" t="str">
        <f>VLOOKUP(Table10[[#This Row],[Document ID]],Table1[],2,FALSE)</f>
        <v>BTN</v>
      </c>
      <c r="C127" s="43" t="str">
        <f>VLOOKUP(Table10[[#This Row],[Document ID]],Table1[],3,FALSE)</f>
        <v>Bhutan</v>
      </c>
      <c r="D127" s="209" t="str">
        <f>VLOOKUP(Table10[[#This Row],[Document ID]],Table1[],5,FALSE)</f>
        <v>LTS</v>
      </c>
      <c r="E127" s="43" t="str">
        <f>VLOOKUP(Table10[[#This Row],[Document ID]],Table1[],7,FALSE)</f>
        <v>LTS</v>
      </c>
      <c r="F127" s="42" t="str">
        <f>VLOOKUP(Table10[[#This Row],[Document ID]],Table1[],8,FALSE)</f>
        <v>LTS 1.0</v>
      </c>
      <c r="G127" s="42" t="str">
        <f>VLOOKUP(Table10[[#This Row],[Document ID]],Table1[],10,FALSE)</f>
        <v>Active</v>
      </c>
      <c r="H127" s="42" t="s">
        <v>5472</v>
      </c>
      <c r="I127" s="209" t="s">
        <v>5580</v>
      </c>
      <c r="J127" s="259">
        <v>155</v>
      </c>
      <c r="K127" s="42" t="s">
        <v>5474</v>
      </c>
      <c r="L127" s="241" t="str">
        <f>VLOOKUP(Table10[[#This Row],[Country Code]],Table29[],3,FALSE)</f>
        <v>Non-Annex I</v>
      </c>
      <c r="M127" s="241" t="str">
        <f>VLOOKUP(Table10[[#This Row],[Country Code]],Table29[],4,FALSE)</f>
        <v>Asia</v>
      </c>
      <c r="N127" s="241" t="str">
        <f>VLOOKUP(Table10[[#This Row],[Country Code]],Table29[],5,FALSE)</f>
        <v>Middle-income</v>
      </c>
      <c r="O127" s="241" t="str">
        <f>VLOOKUP(Table10[[#This Row],[Country Code]],Table29[],6,FALSE)</f>
        <v>no</v>
      </c>
      <c r="P127" s="241" t="str">
        <f>VLOOKUP(Table10[[#This Row],[Country Code]],Table29[],7,FALSE)</f>
        <v>no</v>
      </c>
      <c r="Q127" s="241" t="str">
        <f>VLOOKUP(Table10[[#This Row],[Country Code]],Table29[],8,FALSE)</f>
        <v>non-OECD</v>
      </c>
      <c r="R127" s="233" t="str">
        <f>VLOOKUP(Table10[[#This Row],[Country Code]],Table29[],9,FALSE)</f>
        <v>no</v>
      </c>
      <c r="S127" s="233" t="str">
        <f>VLOOKUP(Table10[[#This Row],[Country Code]],Table29[],10,FALSE)</f>
        <v>no</v>
      </c>
      <c r="T127" s="233">
        <f>VLOOKUP(Table10[[#This Row],[Country Code]],Table29[],23,FALSE)</f>
        <v>3.2548573740653</v>
      </c>
      <c r="U127" s="233">
        <f>VLOOKUP(Table10[[#This Row],[Country Code]],Table29[],24,FALSE)</f>
        <v>0.43507987337923443</v>
      </c>
      <c r="V127" s="42"/>
    </row>
    <row r="128" spans="1:22" ht="30" x14ac:dyDescent="0.25">
      <c r="A128" s="257">
        <v>39440</v>
      </c>
      <c r="B128" s="43" t="str">
        <f>VLOOKUP(Table10[[#This Row],[Document ID]],Table1[],2,FALSE)</f>
        <v>BTN</v>
      </c>
      <c r="C128" s="43" t="str">
        <f>VLOOKUP(Table10[[#This Row],[Document ID]],Table1[],3,FALSE)</f>
        <v>Bhutan</v>
      </c>
      <c r="D128" s="209" t="str">
        <f>VLOOKUP(Table10[[#This Row],[Document ID]],Table1[],5,FALSE)</f>
        <v>LTS</v>
      </c>
      <c r="E128" s="43" t="str">
        <f>VLOOKUP(Table10[[#This Row],[Document ID]],Table1[],7,FALSE)</f>
        <v>LTS</v>
      </c>
      <c r="F128" s="42" t="str">
        <f>VLOOKUP(Table10[[#This Row],[Document ID]],Table1[],8,FALSE)</f>
        <v>LTS 1.0</v>
      </c>
      <c r="G128" s="42" t="str">
        <f>VLOOKUP(Table10[[#This Row],[Document ID]],Table1[],10,FALSE)</f>
        <v>Active</v>
      </c>
      <c r="H128" s="42" t="s">
        <v>5472</v>
      </c>
      <c r="I128" s="209" t="s">
        <v>5581</v>
      </c>
      <c r="J128" s="259">
        <v>155</v>
      </c>
      <c r="K128" s="42" t="s">
        <v>5474</v>
      </c>
      <c r="L128" s="241" t="str">
        <f>VLOOKUP(Table10[[#This Row],[Country Code]],Table29[],3,FALSE)</f>
        <v>Non-Annex I</v>
      </c>
      <c r="M128" s="241" t="str">
        <f>VLOOKUP(Table10[[#This Row],[Country Code]],Table29[],4,FALSE)</f>
        <v>Asia</v>
      </c>
      <c r="N128" s="241" t="str">
        <f>VLOOKUP(Table10[[#This Row],[Country Code]],Table29[],5,FALSE)</f>
        <v>Middle-income</v>
      </c>
      <c r="O128" s="241" t="str">
        <f>VLOOKUP(Table10[[#This Row],[Country Code]],Table29[],6,FALSE)</f>
        <v>no</v>
      </c>
      <c r="P128" s="241" t="str">
        <f>VLOOKUP(Table10[[#This Row],[Country Code]],Table29[],7,FALSE)</f>
        <v>no</v>
      </c>
      <c r="Q128" s="241" t="str">
        <f>VLOOKUP(Table10[[#This Row],[Country Code]],Table29[],8,FALSE)</f>
        <v>non-OECD</v>
      </c>
      <c r="R128" s="233" t="str">
        <f>VLOOKUP(Table10[[#This Row],[Country Code]],Table29[],9,FALSE)</f>
        <v>no</v>
      </c>
      <c r="S128" s="233" t="str">
        <f>VLOOKUP(Table10[[#This Row],[Country Code]],Table29[],10,FALSE)</f>
        <v>no</v>
      </c>
      <c r="T128" s="233">
        <f>VLOOKUP(Table10[[#This Row],[Country Code]],Table29[],23,FALSE)</f>
        <v>3.2548573740653</v>
      </c>
      <c r="U128" s="233">
        <f>VLOOKUP(Table10[[#This Row],[Country Code]],Table29[],24,FALSE)</f>
        <v>0.43507987337923443</v>
      </c>
      <c r="V128" s="42"/>
    </row>
    <row r="129" spans="1:22" ht="30" x14ac:dyDescent="0.25">
      <c r="A129" s="257">
        <v>39440</v>
      </c>
      <c r="B129" s="43" t="str">
        <f>VLOOKUP(Table10[[#This Row],[Document ID]],Table1[],2,FALSE)</f>
        <v>BTN</v>
      </c>
      <c r="C129" s="43" t="str">
        <f>VLOOKUP(Table10[[#This Row],[Document ID]],Table1[],3,FALSE)</f>
        <v>Bhutan</v>
      </c>
      <c r="D129" s="209" t="str">
        <f>VLOOKUP(Table10[[#This Row],[Document ID]],Table1[],5,FALSE)</f>
        <v>LTS</v>
      </c>
      <c r="E129" s="43" t="str">
        <f>VLOOKUP(Table10[[#This Row],[Document ID]],Table1[],7,FALSE)</f>
        <v>LTS</v>
      </c>
      <c r="F129" s="42" t="str">
        <f>VLOOKUP(Table10[[#This Row],[Document ID]],Table1[],8,FALSE)</f>
        <v>LTS 1.0</v>
      </c>
      <c r="G129" s="42" t="str">
        <f>VLOOKUP(Table10[[#This Row],[Document ID]],Table1[],10,FALSE)</f>
        <v>Active</v>
      </c>
      <c r="H129" s="42" t="s">
        <v>5472</v>
      </c>
      <c r="I129" s="209" t="s">
        <v>5582</v>
      </c>
      <c r="J129" s="259"/>
      <c r="K129" s="42" t="s">
        <v>5474</v>
      </c>
      <c r="L129" s="241" t="str">
        <f>VLOOKUP(Table10[[#This Row],[Country Code]],Table29[],3,FALSE)</f>
        <v>Non-Annex I</v>
      </c>
      <c r="M129" s="241" t="str">
        <f>VLOOKUP(Table10[[#This Row],[Country Code]],Table29[],4,FALSE)</f>
        <v>Asia</v>
      </c>
      <c r="N129" s="241" t="str">
        <f>VLOOKUP(Table10[[#This Row],[Country Code]],Table29[],5,FALSE)</f>
        <v>Middle-income</v>
      </c>
      <c r="O129" s="241" t="str">
        <f>VLOOKUP(Table10[[#This Row],[Country Code]],Table29[],6,FALSE)</f>
        <v>no</v>
      </c>
      <c r="P129" s="241" t="str">
        <f>VLOOKUP(Table10[[#This Row],[Country Code]],Table29[],7,FALSE)</f>
        <v>no</v>
      </c>
      <c r="Q129" s="241" t="str">
        <f>VLOOKUP(Table10[[#This Row],[Country Code]],Table29[],8,FALSE)</f>
        <v>non-OECD</v>
      </c>
      <c r="R129" s="233" t="str">
        <f>VLOOKUP(Table10[[#This Row],[Country Code]],Table29[],9,FALSE)</f>
        <v>no</v>
      </c>
      <c r="S129" s="233" t="str">
        <f>VLOOKUP(Table10[[#This Row],[Country Code]],Table29[],10,FALSE)</f>
        <v>no</v>
      </c>
      <c r="T129" s="233">
        <f>VLOOKUP(Table10[[#This Row],[Country Code]],Table29[],23,FALSE)</f>
        <v>3.2548573740653</v>
      </c>
      <c r="U129" s="233">
        <f>VLOOKUP(Table10[[#This Row],[Country Code]],Table29[],24,FALSE)</f>
        <v>0.43507987337923443</v>
      </c>
      <c r="V129" s="42"/>
    </row>
    <row r="130" spans="1:22" ht="105" x14ac:dyDescent="0.25">
      <c r="A130" s="257">
        <v>39449</v>
      </c>
      <c r="B130" s="43" t="str">
        <f>VLOOKUP(Table10[[#This Row],[Document ID]],Table1[],2,FALSE)</f>
        <v>LKA</v>
      </c>
      <c r="C130" s="43" t="str">
        <f>VLOOKUP(Table10[[#This Row],[Document ID]],Table1[],3,FALSE)</f>
        <v>Sri Lanka</v>
      </c>
      <c r="D130" s="45" t="str">
        <f>VLOOKUP(Table10[[#This Row],[Document ID]],Table1[],5,FALSE)</f>
        <v>LTS</v>
      </c>
      <c r="E130" s="43" t="str">
        <f>VLOOKUP(Table10[[#This Row],[Document ID]],Table1[],7,FALSE)</f>
        <v>LTS</v>
      </c>
      <c r="F130" s="42" t="str">
        <f>VLOOKUP(Table10[[#This Row],[Document ID]],Table1[],8,FALSE)</f>
        <v>LTS 1.0</v>
      </c>
      <c r="G130" s="42" t="str">
        <f>VLOOKUP(Table10[[#This Row],[Document ID]],Table1[],10,FALSE)</f>
        <v>Active</v>
      </c>
      <c r="H130" s="42" t="s">
        <v>5475</v>
      </c>
      <c r="I130" s="209" t="s">
        <v>5583</v>
      </c>
      <c r="J130" s="259" t="s">
        <v>5584</v>
      </c>
      <c r="K130" s="176" t="s">
        <v>5477</v>
      </c>
      <c r="L130" s="241" t="str">
        <f>VLOOKUP(Table10[[#This Row],[Country Code]],Table29[],3,FALSE)</f>
        <v>Non-Annex I</v>
      </c>
      <c r="M130" s="241" t="str">
        <f>VLOOKUP(Table10[[#This Row],[Country Code]],Table29[],4,FALSE)</f>
        <v>Asia</v>
      </c>
      <c r="N130" s="241" t="str">
        <f>VLOOKUP(Table10[[#This Row],[Country Code]],Table29[],5,FALSE)</f>
        <v>Middle-income</v>
      </c>
      <c r="O130" s="241" t="str">
        <f>VLOOKUP(Table10[[#This Row],[Country Code]],Table29[],6,FALSE)</f>
        <v>no</v>
      </c>
      <c r="P130" s="241" t="str">
        <f>VLOOKUP(Table10[[#This Row],[Country Code]],Table29[],7,FALSE)</f>
        <v>no</v>
      </c>
      <c r="Q130" s="241" t="str">
        <f>VLOOKUP(Table10[[#This Row],[Country Code]],Table29[],8,FALSE)</f>
        <v>non-OECD</v>
      </c>
      <c r="R130" s="233" t="str">
        <f>VLOOKUP(Table10[[#This Row],[Country Code]],Table29[],9,FALSE)</f>
        <v>no</v>
      </c>
      <c r="S130" s="233" t="str">
        <f>VLOOKUP(Table10[[#This Row],[Country Code]],Table29[],10,FALSE)</f>
        <v>no</v>
      </c>
      <c r="T130" s="233">
        <f>VLOOKUP(Table10[[#This Row],[Country Code]],Table29[],23,FALSE)</f>
        <v>38.403849844142002</v>
      </c>
      <c r="U130" s="233">
        <f>VLOOKUP(Table10[[#This Row],[Country Code]],Table29[],24,FALSE)</f>
        <v>9.6330858743096854</v>
      </c>
      <c r="V130" s="42"/>
    </row>
    <row r="131" spans="1:22" ht="60" x14ac:dyDescent="0.25">
      <c r="A131" s="257">
        <v>39449</v>
      </c>
      <c r="B131" s="43" t="str">
        <f>VLOOKUP(Table10[[#This Row],[Document ID]],Table1[],2,FALSE)</f>
        <v>LKA</v>
      </c>
      <c r="C131" s="43" t="str">
        <f>VLOOKUP(Table10[[#This Row],[Document ID]],Table1[],3,FALSE)</f>
        <v>Sri Lanka</v>
      </c>
      <c r="D131" s="45" t="str">
        <f>VLOOKUP(Table10[[#This Row],[Document ID]],Table1[],5,FALSE)</f>
        <v>LTS</v>
      </c>
      <c r="E131" s="43" t="str">
        <f>VLOOKUP(Table10[[#This Row],[Document ID]],Table1[],7,FALSE)</f>
        <v>LTS</v>
      </c>
      <c r="F131" s="42" t="str">
        <f>VLOOKUP(Table10[[#This Row],[Document ID]],Table1[],8,FALSE)</f>
        <v>LTS 1.0</v>
      </c>
      <c r="G131" s="42" t="str">
        <f>VLOOKUP(Table10[[#This Row],[Document ID]],Table1[],10,FALSE)</f>
        <v>Active</v>
      </c>
      <c r="H131" s="42" t="s">
        <v>5460</v>
      </c>
      <c r="I131" s="209" t="s">
        <v>5585</v>
      </c>
      <c r="J131" s="259">
        <v>40</v>
      </c>
      <c r="K131" s="42" t="s">
        <v>5462</v>
      </c>
      <c r="L131" s="241" t="str">
        <f>VLOOKUP(Table10[[#This Row],[Country Code]],Table29[],3,FALSE)</f>
        <v>Non-Annex I</v>
      </c>
      <c r="M131" s="241" t="str">
        <f>VLOOKUP(Table10[[#This Row],[Country Code]],Table29[],4,FALSE)</f>
        <v>Asia</v>
      </c>
      <c r="N131" s="241" t="str">
        <f>VLOOKUP(Table10[[#This Row],[Country Code]],Table29[],5,FALSE)</f>
        <v>Middle-income</v>
      </c>
      <c r="O131" s="241" t="str">
        <f>VLOOKUP(Table10[[#This Row],[Country Code]],Table29[],6,FALSE)</f>
        <v>no</v>
      </c>
      <c r="P131" s="241" t="str">
        <f>VLOOKUP(Table10[[#This Row],[Country Code]],Table29[],7,FALSE)</f>
        <v>no</v>
      </c>
      <c r="Q131" s="241" t="str">
        <f>VLOOKUP(Table10[[#This Row],[Country Code]],Table29[],8,FALSE)</f>
        <v>non-OECD</v>
      </c>
      <c r="R131" s="233" t="str">
        <f>VLOOKUP(Table10[[#This Row],[Country Code]],Table29[],9,FALSE)</f>
        <v>no</v>
      </c>
      <c r="S131" s="233" t="str">
        <f>VLOOKUP(Table10[[#This Row],[Country Code]],Table29[],10,FALSE)</f>
        <v>no</v>
      </c>
      <c r="T131" s="233">
        <f>VLOOKUP(Table10[[#This Row],[Country Code]],Table29[],23,FALSE)</f>
        <v>38.403849844142002</v>
      </c>
      <c r="U131" s="233">
        <f>VLOOKUP(Table10[[#This Row],[Country Code]],Table29[],24,FALSE)</f>
        <v>9.6330858743096854</v>
      </c>
      <c r="V131" s="42"/>
    </row>
    <row r="132" spans="1:22" ht="60" x14ac:dyDescent="0.25">
      <c r="A132" s="257">
        <v>39449</v>
      </c>
      <c r="B132" s="43" t="str">
        <f>VLOOKUP(Table10[[#This Row],[Document ID]],Table1[],2,FALSE)</f>
        <v>LKA</v>
      </c>
      <c r="C132" s="43" t="str">
        <f>VLOOKUP(Table10[[#This Row],[Document ID]],Table1[],3,FALSE)</f>
        <v>Sri Lanka</v>
      </c>
      <c r="D132" s="45" t="str">
        <f>VLOOKUP(Table10[[#This Row],[Document ID]],Table1[],5,FALSE)</f>
        <v>LTS</v>
      </c>
      <c r="E132" s="43" t="str">
        <f>VLOOKUP(Table10[[#This Row],[Document ID]],Table1[],7,FALSE)</f>
        <v>LTS</v>
      </c>
      <c r="F132" s="42" t="str">
        <f>VLOOKUP(Table10[[#This Row],[Document ID]],Table1[],8,FALSE)</f>
        <v>LTS 1.0</v>
      </c>
      <c r="G132" s="42" t="str">
        <f>VLOOKUP(Table10[[#This Row],[Document ID]],Table1[],10,FALSE)</f>
        <v>Active</v>
      </c>
      <c r="H132" s="42" t="s">
        <v>5472</v>
      </c>
      <c r="I132" s="209" t="s">
        <v>5585</v>
      </c>
      <c r="J132" s="259">
        <v>40</v>
      </c>
      <c r="K132" s="42" t="s">
        <v>5474</v>
      </c>
      <c r="L132" s="241" t="str">
        <f>VLOOKUP(Table10[[#This Row],[Country Code]],Table29[],3,FALSE)</f>
        <v>Non-Annex I</v>
      </c>
      <c r="M132" s="241" t="str">
        <f>VLOOKUP(Table10[[#This Row],[Country Code]],Table29[],4,FALSE)</f>
        <v>Asia</v>
      </c>
      <c r="N132" s="241" t="str">
        <f>VLOOKUP(Table10[[#This Row],[Country Code]],Table29[],5,FALSE)</f>
        <v>Middle-income</v>
      </c>
      <c r="O132" s="241" t="str">
        <f>VLOOKUP(Table10[[#This Row],[Country Code]],Table29[],6,FALSE)</f>
        <v>no</v>
      </c>
      <c r="P132" s="241" t="str">
        <f>VLOOKUP(Table10[[#This Row],[Country Code]],Table29[],7,FALSE)</f>
        <v>no</v>
      </c>
      <c r="Q132" s="241" t="str">
        <f>VLOOKUP(Table10[[#This Row],[Country Code]],Table29[],8,FALSE)</f>
        <v>non-OECD</v>
      </c>
      <c r="R132" s="233" t="str">
        <f>VLOOKUP(Table10[[#This Row],[Country Code]],Table29[],9,FALSE)</f>
        <v>no</v>
      </c>
      <c r="S132" s="233" t="str">
        <f>VLOOKUP(Table10[[#This Row],[Country Code]],Table29[],10,FALSE)</f>
        <v>no</v>
      </c>
      <c r="T132" s="233">
        <f>VLOOKUP(Table10[[#This Row],[Country Code]],Table29[],23,FALSE)</f>
        <v>38.403849844142002</v>
      </c>
      <c r="U132" s="233">
        <f>VLOOKUP(Table10[[#This Row],[Country Code]],Table29[],24,FALSE)</f>
        <v>9.6330858743096854</v>
      </c>
      <c r="V132" s="42"/>
    </row>
    <row r="133" spans="1:22" x14ac:dyDescent="0.25">
      <c r="A133" s="221">
        <v>39442</v>
      </c>
      <c r="B133" s="43" t="str">
        <f>VLOOKUP(Table10[[#This Row],[Document ID]],Table1[],2,FALSE)</f>
        <v>ETH</v>
      </c>
      <c r="C133" s="43" t="str">
        <f>VLOOKUP(Table10[[#This Row],[Document ID]],Table1[],3,FALSE)</f>
        <v>Ethiopia</v>
      </c>
      <c r="D133" s="43" t="str">
        <f>VLOOKUP(Table10[[#This Row],[Document ID]],Table1[],5,FALSE)</f>
        <v>LTS</v>
      </c>
      <c r="E133" s="43" t="str">
        <f>VLOOKUP(Table10[[#This Row],[Document ID]],Table1[],7,FALSE)</f>
        <v>LTS</v>
      </c>
      <c r="F133" s="43" t="str">
        <f>VLOOKUP(Table10[[#This Row],[Document ID]],Table1[],8,FALSE)</f>
        <v>LTS 1.0</v>
      </c>
      <c r="G133" s="43" t="str">
        <f>VLOOKUP(Table10[[#This Row],[Document ID]],Table1[],10,FALSE)</f>
        <v>Active</v>
      </c>
      <c r="H133" s="42" t="s">
        <v>5483</v>
      </c>
      <c r="I133" s="44" t="s">
        <v>5586</v>
      </c>
      <c r="J133" s="221">
        <v>83</v>
      </c>
      <c r="K133" s="42" t="s">
        <v>5485</v>
      </c>
      <c r="L133" s="241" t="str">
        <f>VLOOKUP(Table10[[#This Row],[Country Code]],Table29[],3,FALSE)</f>
        <v>Non-Annex I</v>
      </c>
      <c r="M133" s="241" t="str">
        <f>VLOOKUP(Table10[[#This Row],[Country Code]],Table29[],4,FALSE)</f>
        <v>Africa</v>
      </c>
      <c r="N133" s="241" t="str">
        <f>VLOOKUP(Table10[[#This Row],[Country Code]],Table29[],5,FALSE)</f>
        <v>Low-income</v>
      </c>
      <c r="O133" s="241" t="str">
        <f>VLOOKUP(Table10[[#This Row],[Country Code]],Table29[],6,FALSE)</f>
        <v>no</v>
      </c>
      <c r="P133" s="241" t="str">
        <f>VLOOKUP(Table10[[#This Row],[Country Code]],Table29[],7,FALSE)</f>
        <v>no</v>
      </c>
      <c r="Q133" s="241" t="str">
        <f>VLOOKUP(Table10[[#This Row],[Country Code]],Table29[],8,FALSE)</f>
        <v>non-OECD</v>
      </c>
      <c r="R133" s="233" t="str">
        <f>VLOOKUP(Table10[[#This Row],[Country Code]],Table29[],9,FALSE)</f>
        <v>no</v>
      </c>
      <c r="S133" s="233" t="str">
        <f>VLOOKUP(Table10[[#This Row],[Country Code]],Table29[],10,FALSE)</f>
        <v>no</v>
      </c>
      <c r="T133" s="233">
        <f>VLOOKUP(Table10[[#This Row],[Country Code]],Table29[],23,FALSE)</f>
        <v>170.03385065136999</v>
      </c>
      <c r="U133" s="233">
        <f>VLOOKUP(Table10[[#This Row],[Country Code]],Table29[],24,FALSE)</f>
        <v>6.7537831121432941</v>
      </c>
      <c r="V133" s="43"/>
    </row>
    <row r="134" spans="1:22" x14ac:dyDescent="0.25">
      <c r="A134" s="221">
        <v>39442</v>
      </c>
      <c r="B134" s="43" t="str">
        <f>VLOOKUP(Table10[[#This Row],[Document ID]],Table1[],2,FALSE)</f>
        <v>ETH</v>
      </c>
      <c r="C134" s="43" t="str">
        <f>VLOOKUP(Table10[[#This Row],[Document ID]],Table1[],3,FALSE)</f>
        <v>Ethiopia</v>
      </c>
      <c r="D134" s="43" t="str">
        <f>VLOOKUP(Table10[[#This Row],[Document ID]],Table1[],5,FALSE)</f>
        <v>LTS</v>
      </c>
      <c r="E134" s="43" t="str">
        <f>VLOOKUP(Table10[[#This Row],[Document ID]],Table1[],7,FALSE)</f>
        <v>LTS</v>
      </c>
      <c r="F134" s="43" t="str">
        <f>VLOOKUP(Table10[[#This Row],[Document ID]],Table1[],8,FALSE)</f>
        <v>LTS 1.0</v>
      </c>
      <c r="G134" s="43" t="str">
        <f>VLOOKUP(Table10[[#This Row],[Document ID]],Table1[],10,FALSE)</f>
        <v>Active</v>
      </c>
      <c r="H134" s="42" t="s">
        <v>5472</v>
      </c>
      <c r="I134" s="44" t="s">
        <v>5587</v>
      </c>
      <c r="J134" s="221">
        <v>77</v>
      </c>
      <c r="K134" s="42" t="s">
        <v>5474</v>
      </c>
      <c r="L134" s="241" t="str">
        <f>VLOOKUP(Table10[[#This Row],[Country Code]],Table29[],3,FALSE)</f>
        <v>Non-Annex I</v>
      </c>
      <c r="M134" s="241" t="str">
        <f>VLOOKUP(Table10[[#This Row],[Country Code]],Table29[],4,FALSE)</f>
        <v>Africa</v>
      </c>
      <c r="N134" s="241" t="str">
        <f>VLOOKUP(Table10[[#This Row],[Country Code]],Table29[],5,FALSE)</f>
        <v>Low-income</v>
      </c>
      <c r="O134" s="241" t="str">
        <f>VLOOKUP(Table10[[#This Row],[Country Code]],Table29[],6,FALSE)</f>
        <v>no</v>
      </c>
      <c r="P134" s="241" t="str">
        <f>VLOOKUP(Table10[[#This Row],[Country Code]],Table29[],7,FALSE)</f>
        <v>no</v>
      </c>
      <c r="Q134" s="241" t="str">
        <f>VLOOKUP(Table10[[#This Row],[Country Code]],Table29[],8,FALSE)</f>
        <v>non-OECD</v>
      </c>
      <c r="R134" s="233" t="str">
        <f>VLOOKUP(Table10[[#This Row],[Country Code]],Table29[],9,FALSE)</f>
        <v>no</v>
      </c>
      <c r="S134" s="233" t="str">
        <f>VLOOKUP(Table10[[#This Row],[Country Code]],Table29[],10,FALSE)</f>
        <v>no</v>
      </c>
      <c r="T134" s="233">
        <f>VLOOKUP(Table10[[#This Row],[Country Code]],Table29[],23,FALSE)</f>
        <v>170.03385065136999</v>
      </c>
      <c r="U134" s="233">
        <f>VLOOKUP(Table10[[#This Row],[Country Code]],Table29[],24,FALSE)</f>
        <v>6.7537831121432941</v>
      </c>
      <c r="V134" s="43"/>
    </row>
    <row r="135" spans="1:22" ht="30" x14ac:dyDescent="0.25">
      <c r="A135" s="221">
        <v>39451</v>
      </c>
      <c r="B135" s="43" t="str">
        <f>VLOOKUP(Table10[[#This Row],[Document ID]],Table1[],2,FALSE)</f>
        <v>BIH</v>
      </c>
      <c r="C135" s="43" t="str">
        <f>VLOOKUP(Table10[[#This Row],[Document ID]],Table1[],3,FALSE)</f>
        <v>Bosnia and Herzegovina</v>
      </c>
      <c r="D135" s="43" t="str">
        <f>VLOOKUP(Table10[[#This Row],[Document ID]],Table1[],5,FALSE)</f>
        <v>LTS</v>
      </c>
      <c r="E135" s="43" t="str">
        <f>VLOOKUP(Table10[[#This Row],[Document ID]],Table1[],7,FALSE)</f>
        <v>LTS</v>
      </c>
      <c r="F135" s="43" t="str">
        <f>VLOOKUP(Table10[[#This Row],[Document ID]],Table1[],8,FALSE)</f>
        <v>LTS 1.0</v>
      </c>
      <c r="G135" s="43" t="str">
        <f>VLOOKUP(Table10[[#This Row],[Document ID]],Table1[],10,FALSE)</f>
        <v>Active</v>
      </c>
      <c r="H135" s="42" t="s">
        <v>5460</v>
      </c>
      <c r="I135" s="44" t="s">
        <v>5588</v>
      </c>
      <c r="J135" s="221">
        <v>121</v>
      </c>
      <c r="K135" s="42" t="s">
        <v>5462</v>
      </c>
      <c r="L135" s="241" t="str">
        <f>VLOOKUP(Table10[[#This Row],[Country Code]],Table29[],3,FALSE)</f>
        <v>Non-Annex I</v>
      </c>
      <c r="M135" s="241" t="str">
        <f>VLOOKUP(Table10[[#This Row],[Country Code]],Table29[],4,FALSE)</f>
        <v>Europe</v>
      </c>
      <c r="N135" s="241" t="str">
        <f>VLOOKUP(Table10[[#This Row],[Country Code]],Table29[],5,FALSE)</f>
        <v>Middle-income</v>
      </c>
      <c r="O135" s="241" t="str">
        <f>VLOOKUP(Table10[[#This Row],[Country Code]],Table29[],6,FALSE)</f>
        <v>no</v>
      </c>
      <c r="P135" s="241" t="str">
        <f>VLOOKUP(Table10[[#This Row],[Country Code]],Table29[],7,FALSE)</f>
        <v>no</v>
      </c>
      <c r="Q135" s="241" t="str">
        <f>VLOOKUP(Table10[[#This Row],[Country Code]],Table29[],8,FALSE)</f>
        <v>non-OECD</v>
      </c>
      <c r="R135" s="233" t="str">
        <f>VLOOKUP(Table10[[#This Row],[Country Code]],Table29[],9,FALSE)</f>
        <v>no</v>
      </c>
      <c r="S135" s="233" t="str">
        <f>VLOOKUP(Table10[[#This Row],[Country Code]],Table29[],10,FALSE)</f>
        <v>no</v>
      </c>
      <c r="T135" s="233">
        <f>VLOOKUP(Table10[[#This Row],[Country Code]],Table29[],23,FALSE)</f>
        <v>29.397991348245998</v>
      </c>
      <c r="U135" s="233">
        <f>VLOOKUP(Table10[[#This Row],[Country Code]],Table29[],24,FALSE)</f>
        <v>4.4436076081737648</v>
      </c>
      <c r="V135" s="43"/>
    </row>
    <row r="136" spans="1:22" ht="30" x14ac:dyDescent="0.25">
      <c r="A136" s="221">
        <v>39451</v>
      </c>
      <c r="B136" s="43" t="str">
        <f>VLOOKUP(Table10[[#This Row],[Document ID]],Table1[],2,FALSE)</f>
        <v>BIH</v>
      </c>
      <c r="C136" s="43" t="str">
        <f>VLOOKUP(Table10[[#This Row],[Document ID]],Table1[],3,FALSE)</f>
        <v>Bosnia and Herzegovina</v>
      </c>
      <c r="D136" s="43" t="str">
        <f>VLOOKUP(Table10[[#This Row],[Document ID]],Table1[],5,FALSE)</f>
        <v>LTS</v>
      </c>
      <c r="E136" s="43" t="str">
        <f>VLOOKUP(Table10[[#This Row],[Document ID]],Table1[],7,FALSE)</f>
        <v>LTS</v>
      </c>
      <c r="F136" s="43" t="str">
        <f>VLOOKUP(Table10[[#This Row],[Document ID]],Table1[],8,FALSE)</f>
        <v>LTS 1.0</v>
      </c>
      <c r="G136" s="43" t="str">
        <f>VLOOKUP(Table10[[#This Row],[Document ID]],Table1[],10,FALSE)</f>
        <v>Active</v>
      </c>
      <c r="H136" s="42" t="s">
        <v>5472</v>
      </c>
      <c r="I136" s="44" t="s">
        <v>5589</v>
      </c>
      <c r="J136" s="221">
        <v>121</v>
      </c>
      <c r="K136" s="42" t="s">
        <v>5474</v>
      </c>
      <c r="L136" s="241" t="str">
        <f>VLOOKUP(Table10[[#This Row],[Country Code]],Table29[],3,FALSE)</f>
        <v>Non-Annex I</v>
      </c>
      <c r="M136" s="241" t="str">
        <f>VLOOKUP(Table10[[#This Row],[Country Code]],Table29[],4,FALSE)</f>
        <v>Europe</v>
      </c>
      <c r="N136" s="241" t="str">
        <f>VLOOKUP(Table10[[#This Row],[Country Code]],Table29[],5,FALSE)</f>
        <v>Middle-income</v>
      </c>
      <c r="O136" s="241" t="str">
        <f>VLOOKUP(Table10[[#This Row],[Country Code]],Table29[],6,FALSE)</f>
        <v>no</v>
      </c>
      <c r="P136" s="241" t="str">
        <f>VLOOKUP(Table10[[#This Row],[Country Code]],Table29[],7,FALSE)</f>
        <v>no</v>
      </c>
      <c r="Q136" s="241" t="str">
        <f>VLOOKUP(Table10[[#This Row],[Country Code]],Table29[],8,FALSE)</f>
        <v>non-OECD</v>
      </c>
      <c r="R136" s="233" t="str">
        <f>VLOOKUP(Table10[[#This Row],[Country Code]],Table29[],9,FALSE)</f>
        <v>no</v>
      </c>
      <c r="S136" s="233" t="str">
        <f>VLOOKUP(Table10[[#This Row],[Country Code]],Table29[],10,FALSE)</f>
        <v>no</v>
      </c>
      <c r="T136" s="233">
        <f>VLOOKUP(Table10[[#This Row],[Country Code]],Table29[],23,FALSE)</f>
        <v>29.397991348245998</v>
      </c>
      <c r="U136" s="233">
        <f>VLOOKUP(Table10[[#This Row],[Country Code]],Table29[],24,FALSE)</f>
        <v>4.4436076081737648</v>
      </c>
      <c r="V136" s="43"/>
    </row>
    <row r="137" spans="1:22" x14ac:dyDescent="0.25">
      <c r="A137" s="221">
        <v>39451</v>
      </c>
      <c r="B137" s="43" t="str">
        <f>VLOOKUP(Table10[[#This Row],[Document ID]],Table1[],2,FALSE)</f>
        <v>BIH</v>
      </c>
      <c r="C137" s="43" t="str">
        <f>VLOOKUP(Table10[[#This Row],[Document ID]],Table1[],3,FALSE)</f>
        <v>Bosnia and Herzegovina</v>
      </c>
      <c r="D137" s="43" t="str">
        <f>VLOOKUP(Table10[[#This Row],[Document ID]],Table1[],5,FALSE)</f>
        <v>LTS</v>
      </c>
      <c r="E137" s="43" t="str">
        <f>VLOOKUP(Table10[[#This Row],[Document ID]],Table1[],7,FALSE)</f>
        <v>LTS</v>
      </c>
      <c r="F137" s="43" t="str">
        <f>VLOOKUP(Table10[[#This Row],[Document ID]],Table1[],8,FALSE)</f>
        <v>LTS 1.0</v>
      </c>
      <c r="G137" s="43" t="str">
        <f>VLOOKUP(Table10[[#This Row],[Document ID]],Table1[],10,FALSE)</f>
        <v>Active</v>
      </c>
      <c r="H137" s="42" t="s">
        <v>5475</v>
      </c>
      <c r="I137" s="44" t="s">
        <v>5590</v>
      </c>
      <c r="J137" s="221">
        <v>121</v>
      </c>
      <c r="K137" s="42" t="s">
        <v>5477</v>
      </c>
      <c r="L137" s="241" t="str">
        <f>VLOOKUP(Table10[[#This Row],[Country Code]],Table29[],3,FALSE)</f>
        <v>Non-Annex I</v>
      </c>
      <c r="M137" s="241" t="str">
        <f>VLOOKUP(Table10[[#This Row],[Country Code]],Table29[],4,FALSE)</f>
        <v>Europe</v>
      </c>
      <c r="N137" s="241" t="str">
        <f>VLOOKUP(Table10[[#This Row],[Country Code]],Table29[],5,FALSE)</f>
        <v>Middle-income</v>
      </c>
      <c r="O137" s="241" t="str">
        <f>VLOOKUP(Table10[[#This Row],[Country Code]],Table29[],6,FALSE)</f>
        <v>no</v>
      </c>
      <c r="P137" s="241" t="str">
        <f>VLOOKUP(Table10[[#This Row],[Country Code]],Table29[],7,FALSE)</f>
        <v>no</v>
      </c>
      <c r="Q137" s="241" t="str">
        <f>VLOOKUP(Table10[[#This Row],[Country Code]],Table29[],8,FALSE)</f>
        <v>non-OECD</v>
      </c>
      <c r="R137" s="233" t="str">
        <f>VLOOKUP(Table10[[#This Row],[Country Code]],Table29[],9,FALSE)</f>
        <v>no</v>
      </c>
      <c r="S137" s="233" t="str">
        <f>VLOOKUP(Table10[[#This Row],[Country Code]],Table29[],10,FALSE)</f>
        <v>no</v>
      </c>
      <c r="T137" s="233">
        <f>VLOOKUP(Table10[[#This Row],[Country Code]],Table29[],23,FALSE)</f>
        <v>29.397991348245998</v>
      </c>
      <c r="U137" s="233">
        <f>VLOOKUP(Table10[[#This Row],[Country Code]],Table29[],24,FALSE)</f>
        <v>4.4436076081737648</v>
      </c>
      <c r="V137" s="43"/>
    </row>
    <row r="138" spans="1:22" x14ac:dyDescent="0.25">
      <c r="A138" s="221">
        <v>39448</v>
      </c>
      <c r="B138" s="43" t="str">
        <f>VLOOKUP(Table10[[#This Row],[Document ID]],Table1[],2,FALSE)</f>
        <v>SLB</v>
      </c>
      <c r="C138" s="43" t="str">
        <f>VLOOKUP(Table10[[#This Row],[Document ID]],Table1[],3,FALSE)</f>
        <v>Solomon Islands</v>
      </c>
      <c r="D138" s="43" t="str">
        <f>VLOOKUP(Table10[[#This Row],[Document ID]],Table1[],5,FALSE)</f>
        <v>LTS</v>
      </c>
      <c r="E138" s="43" t="str">
        <f>VLOOKUP(Table10[[#This Row],[Document ID]],Table1[],7,FALSE)</f>
        <v>LTS</v>
      </c>
      <c r="F138" s="43" t="str">
        <f>VLOOKUP(Table10[[#This Row],[Document ID]],Table1[],8,FALSE)</f>
        <v>LTS 1.0</v>
      </c>
      <c r="G138" s="43" t="str">
        <f>VLOOKUP(Table10[[#This Row],[Document ID]],Table1[],10,FALSE)</f>
        <v>Active</v>
      </c>
      <c r="H138" s="42" t="s">
        <v>5472</v>
      </c>
      <c r="I138" s="44" t="s">
        <v>5591</v>
      </c>
      <c r="J138" s="221">
        <v>33</v>
      </c>
      <c r="K138" s="42" t="s">
        <v>5474</v>
      </c>
      <c r="L138" s="241" t="str">
        <f>VLOOKUP(Table10[[#This Row],[Country Code]],Table29[],3,FALSE)</f>
        <v>Non-Annex I</v>
      </c>
      <c r="M138" s="241" t="str">
        <f>VLOOKUP(Table10[[#This Row],[Country Code]],Table29[],4,FALSE)</f>
        <v>Oceania</v>
      </c>
      <c r="N138" s="241" t="str">
        <f>VLOOKUP(Table10[[#This Row],[Country Code]],Table29[],5,FALSE)</f>
        <v>Middle-income</v>
      </c>
      <c r="O138" s="241" t="str">
        <f>VLOOKUP(Table10[[#This Row],[Country Code]],Table29[],6,FALSE)</f>
        <v>no</v>
      </c>
      <c r="P138" s="241" t="str">
        <f>VLOOKUP(Table10[[#This Row],[Country Code]],Table29[],7,FALSE)</f>
        <v>no</v>
      </c>
      <c r="Q138" s="241" t="str">
        <f>VLOOKUP(Table10[[#This Row],[Country Code]],Table29[],8,FALSE)</f>
        <v>non-OECD</v>
      </c>
      <c r="R138" s="233" t="str">
        <f>VLOOKUP(Table10[[#This Row],[Country Code]],Table29[],9,FALSE)</f>
        <v>no</v>
      </c>
      <c r="S138" s="233" t="str">
        <f>VLOOKUP(Table10[[#This Row],[Country Code]],Table29[],10,FALSE)</f>
        <v>no</v>
      </c>
      <c r="T138" s="233">
        <f>VLOOKUP(Table10[[#This Row],[Country Code]],Table29[],23,FALSE)</f>
        <v>0.72081774636639995</v>
      </c>
      <c r="U138" s="233">
        <f>VLOOKUP(Table10[[#This Row],[Country Code]],Table29[],24,FALSE)</f>
        <v>0.21700975961810029</v>
      </c>
      <c r="V138" s="43"/>
    </row>
    <row r="139" spans="1:22" ht="30" x14ac:dyDescent="0.25">
      <c r="A139" s="221">
        <v>17622</v>
      </c>
      <c r="B139" s="43" t="str">
        <f>VLOOKUP(Table10[[#This Row],[Document ID]],Table1[],2,FALSE)</f>
        <v>ISR</v>
      </c>
      <c r="C139" s="43" t="str">
        <f>VLOOKUP(Table10[[#This Row],[Document ID]],Table1[],3,FALSE)</f>
        <v>Israel</v>
      </c>
      <c r="D139" s="43" t="str">
        <f>VLOOKUP(Table10[[#This Row],[Document ID]],Table1[],5,FALSE)</f>
        <v>NDC</v>
      </c>
      <c r="E139" s="43" t="str">
        <f>VLOOKUP(Table10[[#This Row],[Document ID]],Table1[],7,FALSE)</f>
        <v>First NDC</v>
      </c>
      <c r="F139" s="43" t="str">
        <f>VLOOKUP(Table10[[#This Row],[Document ID]],Table1[],8,FALSE)</f>
        <v>NDC 1.0</v>
      </c>
      <c r="G139" s="43" t="str">
        <f>VLOOKUP(Table10[[#This Row],[Document ID]],Table1[],10,FALSE)</f>
        <v>Archived</v>
      </c>
      <c r="H139" s="42" t="s">
        <v>5460</v>
      </c>
      <c r="I139" s="44" t="s">
        <v>5592</v>
      </c>
      <c r="J139" s="221"/>
      <c r="K139" s="42" t="s">
        <v>5462</v>
      </c>
      <c r="L139" s="241" t="str">
        <f>VLOOKUP(Table10[[#This Row],[Country Code]],Table29[],3,FALSE)</f>
        <v>Non-Annex I</v>
      </c>
      <c r="M139" s="241" t="str">
        <f>VLOOKUP(Table10[[#This Row],[Country Code]],Table29[],4,FALSE)</f>
        <v>Asia</v>
      </c>
      <c r="N139" s="241" t="str">
        <f>VLOOKUP(Table10[[#This Row],[Country Code]],Table29[],5,FALSE)</f>
        <v>High-income</v>
      </c>
      <c r="O139" s="241" t="str">
        <f>VLOOKUP(Table10[[#This Row],[Country Code]],Table29[],6,FALSE)</f>
        <v>no</v>
      </c>
      <c r="P139" s="241" t="str">
        <f>VLOOKUP(Table10[[#This Row],[Country Code]],Table29[],7,FALSE)</f>
        <v>no</v>
      </c>
      <c r="Q139" s="241" t="str">
        <f>VLOOKUP(Table10[[#This Row],[Country Code]],Table29[],8,FALSE)</f>
        <v>OECD</v>
      </c>
      <c r="R139" s="233" t="str">
        <f>VLOOKUP(Table10[[#This Row],[Country Code]],Table29[],9,FALSE)</f>
        <v>no</v>
      </c>
      <c r="S139" s="233" t="str">
        <f>VLOOKUP(Table10[[#This Row],[Country Code]],Table29[],10,FALSE)</f>
        <v>MENA</v>
      </c>
      <c r="T139" s="233">
        <f>VLOOKUP(Table10[[#This Row],[Country Code]],Table29[],23,FALSE)</f>
        <v>79.578174881425994</v>
      </c>
      <c r="U139" s="233">
        <f>VLOOKUP(Table10[[#This Row],[Country Code]],Table29[],24,FALSE)</f>
        <v>18.692155253646391</v>
      </c>
      <c r="V139" s="43"/>
    </row>
    <row r="140" spans="1:22" ht="30" x14ac:dyDescent="0.25">
      <c r="A140" s="258">
        <v>39438</v>
      </c>
      <c r="B140" s="43" t="str">
        <f>VLOOKUP(Table10[[#This Row],[Document ID]],Table1[],2,FALSE)</f>
        <v>AZE</v>
      </c>
      <c r="C140" s="43" t="str">
        <f>VLOOKUP(Table10[[#This Row],[Document ID]],Table1[],3,FALSE)</f>
        <v>Azerbaijan</v>
      </c>
      <c r="D140" s="176" t="str">
        <f>VLOOKUP(Table10[[#This Row],[Document ID]],Table1[],5,FALSE)</f>
        <v>NDC</v>
      </c>
      <c r="E140" s="43" t="str">
        <f>VLOOKUP(Table10[[#This Row],[Document ID]],Table1[],7,FALSE)</f>
        <v>Second NDC</v>
      </c>
      <c r="F140" s="43" t="str">
        <f>VLOOKUP(Table10[[#This Row],[Document ID]],Table1[],8,FALSE)</f>
        <v>NDC 2.0</v>
      </c>
      <c r="G140" s="43" t="str">
        <f>VLOOKUP(Table10[[#This Row],[Document ID]],Table1[],10,FALSE)</f>
        <v>Active</v>
      </c>
      <c r="H140" s="42" t="s">
        <v>5472</v>
      </c>
      <c r="I140" s="44" t="s">
        <v>5593</v>
      </c>
      <c r="J140" s="221">
        <v>88</v>
      </c>
      <c r="K140" s="42" t="s">
        <v>5474</v>
      </c>
      <c r="L140" s="241" t="str">
        <f>VLOOKUP(Table10[[#This Row],[Country Code]],Table29[],3,FALSE)</f>
        <v>Non-Annex I</v>
      </c>
      <c r="M140" s="241" t="str">
        <f>VLOOKUP(Table10[[#This Row],[Country Code]],Table29[],4,FALSE)</f>
        <v>Asia</v>
      </c>
      <c r="N140" s="241" t="str">
        <f>VLOOKUP(Table10[[#This Row],[Country Code]],Table29[],5,FALSE)</f>
        <v>Middle-income</v>
      </c>
      <c r="O140" s="241" t="str">
        <f>VLOOKUP(Table10[[#This Row],[Country Code]],Table29[],6,FALSE)</f>
        <v>no</v>
      </c>
      <c r="P140" s="241" t="str">
        <f>VLOOKUP(Table10[[#This Row],[Country Code]],Table29[],7,FALSE)</f>
        <v>no</v>
      </c>
      <c r="Q140" s="241" t="str">
        <f>VLOOKUP(Table10[[#This Row],[Country Code]],Table29[],8,FALSE)</f>
        <v>non-OECD</v>
      </c>
      <c r="R140" s="233" t="str">
        <f>VLOOKUP(Table10[[#This Row],[Country Code]],Table29[],9,FALSE)</f>
        <v>no</v>
      </c>
      <c r="S140" s="233" t="str">
        <f>VLOOKUP(Table10[[#This Row],[Country Code]],Table29[],10,FALSE)</f>
        <v>no</v>
      </c>
      <c r="T140" s="233">
        <f>VLOOKUP(Table10[[#This Row],[Country Code]],Table29[],23,FALSE)</f>
        <v>62.550294041306003</v>
      </c>
      <c r="U140" s="233">
        <f>VLOOKUP(Table10[[#This Row],[Country Code]],Table29[],24,FALSE)</f>
        <v>8.4493328883147889</v>
      </c>
      <c r="V140" s="43"/>
    </row>
    <row r="141" spans="1:22" ht="30" x14ac:dyDescent="0.25">
      <c r="A141" s="377">
        <v>41740</v>
      </c>
      <c r="B141" s="43" t="str">
        <f>VLOOKUP(Table10[[#This Row],[Document ID]],Table1[],2,FALSE)</f>
        <v>OMN</v>
      </c>
      <c r="C141" s="43" t="str">
        <f>VLOOKUP(Table10[[#This Row],[Document ID]],Table1[],3,FALSE)</f>
        <v>Oman</v>
      </c>
      <c r="D141" s="335" t="str">
        <f>VLOOKUP(Table10[[#This Row],[Document ID]],Table1[],5,FALSE)</f>
        <v>NDC</v>
      </c>
      <c r="E141" s="43" t="str">
        <f>VLOOKUP(Table10[[#This Row],[Document ID]],Table1[],7,FALSE)</f>
        <v>Second NDC updated</v>
      </c>
      <c r="F141" s="334" t="str">
        <f>VLOOKUP(Table10[[#This Row],[Document ID]],Table1[],8,FALSE)</f>
        <v>NDC 2.1</v>
      </c>
      <c r="G141" s="334" t="str">
        <f>VLOOKUP(Table10[[#This Row],[Document ID]],Table1[],10,FALSE)</f>
        <v>Active</v>
      </c>
      <c r="H141" s="42" t="s">
        <v>5460</v>
      </c>
      <c r="I141" s="335" t="s">
        <v>5288</v>
      </c>
      <c r="J141" s="336">
        <v>15</v>
      </c>
      <c r="K141" s="334" t="s">
        <v>5462</v>
      </c>
      <c r="L141" s="241" t="str">
        <f>VLOOKUP(Table10[[#This Row],[Country Code]],Table29[],3,FALSE)</f>
        <v>Non-Annex I</v>
      </c>
      <c r="M141" s="241" t="str">
        <f>VLOOKUP(Table10[[#This Row],[Country Code]],Table29[],4,FALSE)</f>
        <v>Asia</v>
      </c>
      <c r="N141" s="241" t="str">
        <f>VLOOKUP(Table10[[#This Row],[Country Code]],Table29[],5,FALSE)</f>
        <v>High-income</v>
      </c>
      <c r="O141" s="241" t="str">
        <f>VLOOKUP(Table10[[#This Row],[Country Code]],Table29[],6,FALSE)</f>
        <v>no</v>
      </c>
      <c r="P141" s="241" t="str">
        <f>VLOOKUP(Table10[[#This Row],[Country Code]],Table29[],7,FALSE)</f>
        <v>no</v>
      </c>
      <c r="Q141" s="241" t="str">
        <f>VLOOKUP(Table10[[#This Row],[Country Code]],Table29[],8,FALSE)</f>
        <v>non-OECD</v>
      </c>
      <c r="R141" s="233" t="str">
        <f>VLOOKUP(Table10[[#This Row],[Country Code]],Table29[],9,FALSE)</f>
        <v>no</v>
      </c>
      <c r="S141" s="233" t="str">
        <f>VLOOKUP(Table10[[#This Row],[Country Code]],Table29[],10,FALSE)</f>
        <v>MENA</v>
      </c>
      <c r="T141" s="233">
        <f>VLOOKUP(Table10[[#This Row],[Country Code]],Table29[],23,FALSE)</f>
        <v>127.44302070563</v>
      </c>
      <c r="U141" s="233">
        <f>VLOOKUP(Table10[[#This Row],[Country Code]],Table29[],24,FALSE)</f>
        <v>12.3539911460556</v>
      </c>
      <c r="V141" s="42"/>
    </row>
    <row r="142" spans="1:22" ht="30" x14ac:dyDescent="0.25">
      <c r="A142" s="257">
        <v>41740</v>
      </c>
      <c r="B142" s="43" t="str">
        <f>VLOOKUP(Table10[[#This Row],[Document ID]],Table1[],2,FALSE)</f>
        <v>OMN</v>
      </c>
      <c r="C142" s="43" t="str">
        <f>VLOOKUP(Table10[[#This Row],[Document ID]],Table1[],3,FALSE)</f>
        <v>Oman</v>
      </c>
      <c r="D142" s="209" t="str">
        <f>VLOOKUP(Table10[[#This Row],[Document ID]],Table1[],5,FALSE)</f>
        <v>NDC</v>
      </c>
      <c r="E142" s="43" t="str">
        <f>VLOOKUP(Table10[[#This Row],[Document ID]],Table1[],7,FALSE)</f>
        <v>Second NDC updated</v>
      </c>
      <c r="F142" s="42" t="str">
        <f>VLOOKUP(Table10[[#This Row],[Document ID]],Table1[],8,FALSE)</f>
        <v>NDC 2.1</v>
      </c>
      <c r="G142" s="42" t="str">
        <f>VLOOKUP(Table10[[#This Row],[Document ID]],Table1[],10,FALSE)</f>
        <v>Active</v>
      </c>
      <c r="H142" s="42" t="s">
        <v>5478</v>
      </c>
      <c r="I142" s="209" t="s">
        <v>5288</v>
      </c>
      <c r="J142" s="259">
        <v>15</v>
      </c>
      <c r="K142" s="42" t="s">
        <v>5480</v>
      </c>
      <c r="L142" s="241" t="str">
        <f>VLOOKUP(Table10[[#This Row],[Country Code]],Table29[],3,FALSE)</f>
        <v>Non-Annex I</v>
      </c>
      <c r="M142" s="241" t="str">
        <f>VLOOKUP(Table10[[#This Row],[Country Code]],Table29[],4,FALSE)</f>
        <v>Asia</v>
      </c>
      <c r="N142" s="241" t="str">
        <f>VLOOKUP(Table10[[#This Row],[Country Code]],Table29[],5,FALSE)</f>
        <v>High-income</v>
      </c>
      <c r="O142" s="241" t="str">
        <f>VLOOKUP(Table10[[#This Row],[Country Code]],Table29[],6,FALSE)</f>
        <v>no</v>
      </c>
      <c r="P142" s="241" t="str">
        <f>VLOOKUP(Table10[[#This Row],[Country Code]],Table29[],7,FALSE)</f>
        <v>no</v>
      </c>
      <c r="Q142" s="241" t="str">
        <f>VLOOKUP(Table10[[#This Row],[Country Code]],Table29[],8,FALSE)</f>
        <v>non-OECD</v>
      </c>
      <c r="R142" s="233" t="str">
        <f>VLOOKUP(Table10[[#This Row],[Country Code]],Table29[],9,FALSE)</f>
        <v>no</v>
      </c>
      <c r="S142" s="233" t="str">
        <f>VLOOKUP(Table10[[#This Row],[Country Code]],Table29[],10,FALSE)</f>
        <v>MENA</v>
      </c>
      <c r="T142" s="233">
        <f>VLOOKUP(Table10[[#This Row],[Country Code]],Table29[],23,FALSE)</f>
        <v>127.44302070563</v>
      </c>
      <c r="U142" s="233">
        <f>VLOOKUP(Table10[[#This Row],[Country Code]],Table29[],24,FALSE)</f>
        <v>12.3539911460556</v>
      </c>
      <c r="V142" s="42"/>
    </row>
    <row r="143" spans="1:22" ht="60" x14ac:dyDescent="0.25">
      <c r="A143" s="377">
        <v>41741</v>
      </c>
      <c r="B143" s="43" t="str">
        <f>VLOOKUP(Table10[[#This Row],[Document ID]],Table1[],2,FALSE)</f>
        <v>ARE</v>
      </c>
      <c r="C143" s="43" t="str">
        <f>VLOOKUP(Table10[[#This Row],[Document ID]],Table1[],3,FALSE)</f>
        <v>United Arab Emirates</v>
      </c>
      <c r="D143" s="335" t="str">
        <f>VLOOKUP(Table10[[#This Row],[Document ID]],Table1[],5,FALSE)</f>
        <v>LTS</v>
      </c>
      <c r="E143" s="43" t="str">
        <f>VLOOKUP(Table10[[#This Row],[Document ID]],Table1[],7,FALSE)</f>
        <v>LTS</v>
      </c>
      <c r="F143" s="334" t="str">
        <f>VLOOKUP(Table10[[#This Row],[Document ID]],Table1[],8,FALSE)</f>
        <v>LTS 1.0</v>
      </c>
      <c r="G143" s="334" t="str">
        <f>VLOOKUP(Table10[[#This Row],[Document ID]],Table1[],10,FALSE)</f>
        <v>Active</v>
      </c>
      <c r="H143" s="42" t="s">
        <v>5472</v>
      </c>
      <c r="I143" s="335" t="s">
        <v>5594</v>
      </c>
      <c r="J143" s="336">
        <v>112</v>
      </c>
      <c r="K143" s="334" t="s">
        <v>5474</v>
      </c>
      <c r="L143" s="241" t="str">
        <f>VLOOKUP(Table10[[#This Row],[Country Code]],Table29[],3,FALSE)</f>
        <v>Non-Annex I</v>
      </c>
      <c r="M143" s="241" t="str">
        <f>VLOOKUP(Table10[[#This Row],[Country Code]],Table29[],4,FALSE)</f>
        <v>Asia</v>
      </c>
      <c r="N143" s="241" t="str">
        <f>VLOOKUP(Table10[[#This Row],[Country Code]],Table29[],5,FALSE)</f>
        <v>High-income</v>
      </c>
      <c r="O143" s="241" t="str">
        <f>VLOOKUP(Table10[[#This Row],[Country Code]],Table29[],6,FALSE)</f>
        <v>no</v>
      </c>
      <c r="P143" s="241" t="str">
        <f>VLOOKUP(Table10[[#This Row],[Country Code]],Table29[],7,FALSE)</f>
        <v>no</v>
      </c>
      <c r="Q143" s="241" t="str">
        <f>VLOOKUP(Table10[[#This Row],[Country Code]],Table29[],8,FALSE)</f>
        <v>non-OECD</v>
      </c>
      <c r="R143" s="233" t="str">
        <f>VLOOKUP(Table10[[#This Row],[Country Code]],Table29[],9,FALSE)</f>
        <v>no</v>
      </c>
      <c r="S143" s="233" t="str">
        <f>VLOOKUP(Table10[[#This Row],[Country Code]],Table29[],10,FALSE)</f>
        <v>MENA</v>
      </c>
      <c r="T143" s="233">
        <f>VLOOKUP(Table10[[#This Row],[Country Code]],Table29[],23,FALSE)</f>
        <v>267.82319378585998</v>
      </c>
      <c r="U143" s="233">
        <f>VLOOKUP(Table10[[#This Row],[Country Code]],Table29[],24,FALSE)</f>
        <v>43.860911308351241</v>
      </c>
      <c r="V143" s="42"/>
    </row>
    <row r="144" spans="1:22" ht="30" x14ac:dyDescent="0.25">
      <c r="A144" s="221">
        <v>43855</v>
      </c>
      <c r="B144" s="27" t="str">
        <f>VLOOKUP(Table10[[#This Row],[Document ID]],Table1[],2,FALSE)</f>
        <v>IRL</v>
      </c>
      <c r="C144" s="43" t="str">
        <f>VLOOKUP(Table10[[#This Row],[Document ID]],Table1[],3,FALSE)</f>
        <v>Ireland</v>
      </c>
      <c r="D144" s="27" t="str">
        <f>VLOOKUP(Table10[[#This Row],[Document ID]],Table1[],5,FALSE)</f>
        <v>LTS</v>
      </c>
      <c r="E144" s="43" t="str">
        <f>VLOOKUP(Table10[[#This Row],[Document ID]],Table1[],7,FALSE)</f>
        <v>LTS</v>
      </c>
      <c r="F144" s="27" t="str">
        <f>VLOOKUP(Table10[[#This Row],[Document ID]],Table1[],8,FALSE)</f>
        <v>LTS 1.1</v>
      </c>
      <c r="G144" s="27" t="str">
        <f>VLOOKUP(Table10[[#This Row],[Document ID]],Table1[],10,FALSE)</f>
        <v>Active</v>
      </c>
      <c r="H144" s="43" t="s">
        <v>5475</v>
      </c>
      <c r="I144" s="44" t="s">
        <v>5595</v>
      </c>
      <c r="J144" s="221">
        <v>54</v>
      </c>
      <c r="K144" s="42" t="s">
        <v>5477</v>
      </c>
      <c r="L144" s="43" t="str">
        <f>VLOOKUP(Table10[[#This Row],[Country Code]],Table29[],3,FALSE)</f>
        <v>Annex I</v>
      </c>
      <c r="M144" s="42" t="str">
        <f>VLOOKUP(Table10[[#This Row],[Country Code]],Table29[],4,FALSE)</f>
        <v>Europe</v>
      </c>
      <c r="N144" s="42" t="str">
        <f>VLOOKUP(Table10[[#This Row],[Country Code]],Table29[],5,FALSE)</f>
        <v>High-income</v>
      </c>
      <c r="O144" s="42" t="str">
        <f>VLOOKUP(Table10[[#This Row],[Country Code]],Table29[],6,FALSE)</f>
        <v>no</v>
      </c>
      <c r="P144" s="42" t="str">
        <f>VLOOKUP(Table10[[#This Row],[Country Code]],Table29[],7,FALSE)</f>
        <v>no</v>
      </c>
      <c r="Q144" s="42" t="str">
        <f>VLOOKUP(Table10[[#This Row],[Country Code]],Table29[],8,FALSE)</f>
        <v>OECD</v>
      </c>
      <c r="R144" s="42" t="str">
        <f>VLOOKUP(Table10[[#This Row],[Country Code]],Table29[],9,FALSE)</f>
        <v>EU27</v>
      </c>
      <c r="S144" s="42" t="str">
        <f>VLOOKUP(Table10[[#This Row],[Country Code]],Table29[],10,FALSE)</f>
        <v>no</v>
      </c>
      <c r="T144" s="43">
        <f>VLOOKUP(Table10[[#This Row],[Country Code]],Table29[],23,FALSE)</f>
        <v>57.853266947361</v>
      </c>
      <c r="U144" s="42">
        <f>VLOOKUP(Table10[[#This Row],[Country Code]],Table29[],24,FALSE)</f>
        <v>11.23875075000765</v>
      </c>
      <c r="V144" s="43"/>
    </row>
    <row r="145" spans="1:22" ht="60" x14ac:dyDescent="0.25">
      <c r="A145" s="373">
        <v>43857</v>
      </c>
      <c r="B145" s="27" t="str">
        <f>VLOOKUP(Table10[[#This Row],[Document ID]],Table1[],2,FALSE)</f>
        <v>GBR</v>
      </c>
      <c r="C145" s="43" t="str">
        <f>VLOOKUP(Table10[[#This Row],[Document ID]],Table1[],3,FALSE)</f>
        <v>United Kingdom</v>
      </c>
      <c r="D145" s="27" t="str">
        <f>VLOOKUP(Table10[[#This Row],[Document ID]],Table1[],5,FALSE)</f>
        <v>NDC</v>
      </c>
      <c r="E145" s="43" t="str">
        <f>VLOOKUP(Table10[[#This Row],[Document ID]],Table1[],7,FALSE)</f>
        <v>Third NDC</v>
      </c>
      <c r="F145" s="27" t="str">
        <f>VLOOKUP(Table10[[#This Row],[Document ID]],Table1[],8,FALSE)</f>
        <v>NDC 3.0</v>
      </c>
      <c r="G145" s="27" t="str">
        <f>VLOOKUP(Table10[[#This Row],[Document ID]],Table1[],10,FALSE)</f>
        <v>Active</v>
      </c>
      <c r="H145" s="42" t="s">
        <v>5460</v>
      </c>
      <c r="I145" s="44" t="s">
        <v>5596</v>
      </c>
      <c r="J145" s="221">
        <v>48</v>
      </c>
      <c r="K145" s="42" t="s">
        <v>5462</v>
      </c>
      <c r="L145" s="43" t="str">
        <f>VLOOKUP(Table10[[#This Row],[Country Code]],Table29[],3,FALSE)</f>
        <v>Annex I</v>
      </c>
      <c r="M145" s="42" t="str">
        <f>VLOOKUP(Table10[[#This Row],[Country Code]],Table29[],4,FALSE)</f>
        <v>Europe</v>
      </c>
      <c r="N145" s="42" t="str">
        <f>VLOOKUP(Table10[[#This Row],[Country Code]],Table29[],5,FALSE)</f>
        <v>High-income</v>
      </c>
      <c r="O145" s="42" t="str">
        <f>VLOOKUP(Table10[[#This Row],[Country Code]],Table29[],6,FALSE)</f>
        <v>G20</v>
      </c>
      <c r="P145" s="42" t="str">
        <f>VLOOKUP(Table10[[#This Row],[Country Code]],Table29[],7,FALSE)</f>
        <v>G7</v>
      </c>
      <c r="Q145" s="42" t="str">
        <f>VLOOKUP(Table10[[#This Row],[Country Code]],Table29[],8,FALSE)</f>
        <v>OECD</v>
      </c>
      <c r="R145" s="42" t="str">
        <f>VLOOKUP(Table10[[#This Row],[Country Code]],Table29[],9,FALSE)</f>
        <v>no</v>
      </c>
      <c r="S145" s="42" t="str">
        <f>VLOOKUP(Table10[[#This Row],[Country Code]],Table29[],10,FALSE)</f>
        <v>no</v>
      </c>
      <c r="T145" s="43">
        <f>VLOOKUP(Table10[[#This Row],[Country Code]],Table29[],23,FALSE)</f>
        <v>379.31858785213001</v>
      </c>
      <c r="U145" s="42">
        <f>VLOOKUP(Table10[[#This Row],[Country Code]],Table29[],24,FALSE)</f>
        <v>109.75048777474809</v>
      </c>
      <c r="V145" s="43"/>
    </row>
    <row r="146" spans="1:22" ht="45" x14ac:dyDescent="0.25">
      <c r="A146" s="373">
        <v>43857</v>
      </c>
      <c r="B146" s="27" t="str">
        <f>VLOOKUP(Table10[[#This Row],[Document ID]],Table1[],2,FALSE)</f>
        <v>GBR</v>
      </c>
      <c r="C146" s="43" t="str">
        <f>VLOOKUP(Table10[[#This Row],[Document ID]],Table1[],3,FALSE)</f>
        <v>United Kingdom</v>
      </c>
      <c r="D146" s="27" t="str">
        <f>VLOOKUP(Table10[[#This Row],[Document ID]],Table1[],5,FALSE)</f>
        <v>NDC</v>
      </c>
      <c r="E146" s="43" t="str">
        <f>VLOOKUP(Table10[[#This Row],[Document ID]],Table1[],7,FALSE)</f>
        <v>Third NDC</v>
      </c>
      <c r="F146" s="27" t="str">
        <f>VLOOKUP(Table10[[#This Row],[Document ID]],Table1[],8,FALSE)</f>
        <v>NDC 3.0</v>
      </c>
      <c r="G146" s="27" t="str">
        <f>VLOOKUP(Table10[[#This Row],[Document ID]],Table1[],10,FALSE)</f>
        <v>Active</v>
      </c>
      <c r="H146" s="43" t="s">
        <v>5475</v>
      </c>
      <c r="I146" s="44" t="s">
        <v>5597</v>
      </c>
      <c r="J146" s="221">
        <v>48</v>
      </c>
      <c r="K146" s="42" t="s">
        <v>5477</v>
      </c>
      <c r="L146" s="43" t="str">
        <f>VLOOKUP(Table10[[#This Row],[Country Code]],Table29[],3,FALSE)</f>
        <v>Annex I</v>
      </c>
      <c r="M146" s="42" t="str">
        <f>VLOOKUP(Table10[[#This Row],[Country Code]],Table29[],4,FALSE)</f>
        <v>Europe</v>
      </c>
      <c r="N146" s="42" t="str">
        <f>VLOOKUP(Table10[[#This Row],[Country Code]],Table29[],5,FALSE)</f>
        <v>High-income</v>
      </c>
      <c r="O146" s="42" t="str">
        <f>VLOOKUP(Table10[[#This Row],[Country Code]],Table29[],6,FALSE)</f>
        <v>G20</v>
      </c>
      <c r="P146" s="42" t="str">
        <f>VLOOKUP(Table10[[#This Row],[Country Code]],Table29[],7,FALSE)</f>
        <v>G7</v>
      </c>
      <c r="Q146" s="42" t="str">
        <f>VLOOKUP(Table10[[#This Row],[Country Code]],Table29[],8,FALSE)</f>
        <v>OECD</v>
      </c>
      <c r="R146" s="42" t="str">
        <f>VLOOKUP(Table10[[#This Row],[Country Code]],Table29[],9,FALSE)</f>
        <v>no</v>
      </c>
      <c r="S146" s="42" t="str">
        <f>VLOOKUP(Table10[[#This Row],[Country Code]],Table29[],10,FALSE)</f>
        <v>no</v>
      </c>
      <c r="T146" s="43">
        <f>VLOOKUP(Table10[[#This Row],[Country Code]],Table29[],23,FALSE)</f>
        <v>379.31858785213001</v>
      </c>
      <c r="U146" s="42">
        <f>VLOOKUP(Table10[[#This Row],[Country Code]],Table29[],24,FALSE)</f>
        <v>109.75048777474809</v>
      </c>
      <c r="V146" s="43"/>
    </row>
    <row r="147" spans="1:22" ht="45" x14ac:dyDescent="0.25">
      <c r="A147" s="373">
        <v>43857</v>
      </c>
      <c r="B147" s="27" t="str">
        <f>VLOOKUP(Table10[[#This Row],[Document ID]],Table1[],2,FALSE)</f>
        <v>GBR</v>
      </c>
      <c r="C147" s="43" t="str">
        <f>VLOOKUP(Table10[[#This Row],[Document ID]],Table1[],3,FALSE)</f>
        <v>United Kingdom</v>
      </c>
      <c r="D147" s="27" t="str">
        <f>VLOOKUP(Table10[[#This Row],[Document ID]],Table1[],5,FALSE)</f>
        <v>NDC</v>
      </c>
      <c r="E147" s="43" t="str">
        <f>VLOOKUP(Table10[[#This Row],[Document ID]],Table1[],7,FALSE)</f>
        <v>Third NDC</v>
      </c>
      <c r="F147" s="27" t="str">
        <f>VLOOKUP(Table10[[#This Row],[Document ID]],Table1[],8,FALSE)</f>
        <v>NDC 3.0</v>
      </c>
      <c r="G147" s="27" t="str">
        <f>VLOOKUP(Table10[[#This Row],[Document ID]],Table1[],10,FALSE)</f>
        <v>Active</v>
      </c>
      <c r="H147" s="42" t="s">
        <v>5460</v>
      </c>
      <c r="I147" s="44" t="s">
        <v>5597</v>
      </c>
      <c r="J147" s="221">
        <v>48</v>
      </c>
      <c r="K147" s="334" t="s">
        <v>5462</v>
      </c>
      <c r="L147" s="43" t="str">
        <f>VLOOKUP(Table10[[#This Row],[Country Code]],Table29[],3,FALSE)</f>
        <v>Annex I</v>
      </c>
      <c r="M147" s="42" t="str">
        <f>VLOOKUP(Table10[[#This Row],[Country Code]],Table29[],4,FALSE)</f>
        <v>Europe</v>
      </c>
      <c r="N147" s="42" t="str">
        <f>VLOOKUP(Table10[[#This Row],[Country Code]],Table29[],5,FALSE)</f>
        <v>High-income</v>
      </c>
      <c r="O147" s="42" t="str">
        <f>VLOOKUP(Table10[[#This Row],[Country Code]],Table29[],6,FALSE)</f>
        <v>G20</v>
      </c>
      <c r="P147" s="42" t="str">
        <f>VLOOKUP(Table10[[#This Row],[Country Code]],Table29[],7,FALSE)</f>
        <v>G7</v>
      </c>
      <c r="Q147" s="42" t="str">
        <f>VLOOKUP(Table10[[#This Row],[Country Code]],Table29[],8,FALSE)</f>
        <v>OECD</v>
      </c>
      <c r="R147" s="42" t="str">
        <f>VLOOKUP(Table10[[#This Row],[Country Code]],Table29[],9,FALSE)</f>
        <v>no</v>
      </c>
      <c r="S147" s="42" t="str">
        <f>VLOOKUP(Table10[[#This Row],[Country Code]],Table29[],10,FALSE)</f>
        <v>no</v>
      </c>
      <c r="T147" s="43">
        <f>VLOOKUP(Table10[[#This Row],[Country Code]],Table29[],23,FALSE)</f>
        <v>379.31858785213001</v>
      </c>
      <c r="U147" s="42">
        <f>VLOOKUP(Table10[[#This Row],[Country Code]],Table29[],24,FALSE)</f>
        <v>109.75048777474809</v>
      </c>
      <c r="V147" s="43"/>
    </row>
    <row r="148" spans="1:22" x14ac:dyDescent="0.25">
      <c r="A148" s="537">
        <v>43920</v>
      </c>
      <c r="B148" s="27" t="str">
        <f>VLOOKUP(Table10[[#This Row],[Document ID]],Table1[],2,FALSE)</f>
        <v>LSO</v>
      </c>
      <c r="C148" s="43" t="str">
        <f>VLOOKUP(Table10[[#This Row],[Document ID]],Table1[],3,FALSE)</f>
        <v>Lesotho</v>
      </c>
      <c r="D148" s="27" t="str">
        <f>VLOOKUP(Table10[[#This Row],[Document ID]],Table1[],5,FALSE)</f>
        <v>NDC</v>
      </c>
      <c r="E148" s="43" t="str">
        <f>VLOOKUP(Table10[[#This Row],[Document ID]],Table1[],7,FALSE)</f>
        <v>Third NDC</v>
      </c>
      <c r="F148" s="27" t="str">
        <f>VLOOKUP(Table10[[#This Row],[Document ID]],Table1[],8,FALSE)</f>
        <v>NDC 3.0</v>
      </c>
      <c r="G148" s="27" t="str">
        <f>VLOOKUP(Table10[[#This Row],[Document ID]],Table1[],10,FALSE)</f>
        <v>Active</v>
      </c>
      <c r="H148" s="42" t="s">
        <v>5483</v>
      </c>
      <c r="I148" s="44" t="s">
        <v>5598</v>
      </c>
      <c r="J148" s="561" t="s">
        <v>5599</v>
      </c>
      <c r="K148" s="42" t="s">
        <v>5485</v>
      </c>
      <c r="L148" s="43" t="str">
        <f>VLOOKUP(Table10[[#This Row],[Country Code]],Table29[],3,FALSE)</f>
        <v>Non-Annex I</v>
      </c>
      <c r="M148" s="42" t="str">
        <f>VLOOKUP(Table10[[#This Row],[Country Code]],Table29[],4,FALSE)</f>
        <v>Africa</v>
      </c>
      <c r="N148" s="42" t="str">
        <f>VLOOKUP(Table10[[#This Row],[Country Code]],Table29[],5,FALSE)</f>
        <v>Middle-income</v>
      </c>
      <c r="O148" s="42" t="str">
        <f>VLOOKUP(Table10[[#This Row],[Country Code]],Table29[],6,FALSE)</f>
        <v>no</v>
      </c>
      <c r="P148" s="42" t="str">
        <f>VLOOKUP(Table10[[#This Row],[Country Code]],Table29[],7,FALSE)</f>
        <v>no</v>
      </c>
      <c r="Q148" s="42" t="str">
        <f>VLOOKUP(Table10[[#This Row],[Country Code]],Table29[],8,FALSE)</f>
        <v>non-OECD</v>
      </c>
      <c r="R148" s="42" t="str">
        <f>VLOOKUP(Table10[[#This Row],[Country Code]],Table29[],9,FALSE)</f>
        <v>no</v>
      </c>
      <c r="S148" s="42" t="str">
        <f>VLOOKUP(Table10[[#This Row],[Country Code]],Table29[],10,FALSE)</f>
        <v>no</v>
      </c>
      <c r="T148" s="43">
        <f>VLOOKUP(Table10[[#This Row],[Country Code]],Table29[],23,FALSE)</f>
        <v>2.6019212840000998</v>
      </c>
      <c r="U148" s="42">
        <f>VLOOKUP(Table10[[#This Row],[Country Code]],Table29[],24,FALSE)</f>
        <v>0.50992867306348366</v>
      </c>
      <c r="V148" s="43"/>
    </row>
    <row r="149" spans="1:22" ht="90" x14ac:dyDescent="0.25">
      <c r="A149" s="562">
        <v>43987</v>
      </c>
      <c r="B149" s="27" t="str">
        <f>VLOOKUP(Table10[[#This Row],[Document ID]],Table1[],2,FALSE)</f>
        <v>CAN</v>
      </c>
      <c r="C149" s="43" t="str">
        <f>VLOOKUP(Table10[[#This Row],[Document ID]],Table1[],3,FALSE)</f>
        <v>Canada</v>
      </c>
      <c r="D149" s="27" t="str">
        <f>VLOOKUP(Table10[[#This Row],[Document ID]],Table1[],5,FALSE)</f>
        <v>NDC</v>
      </c>
      <c r="E149" s="43" t="str">
        <f>VLOOKUP(Table10[[#This Row],[Document ID]],Table1[],7,FALSE)</f>
        <v>Third NDC</v>
      </c>
      <c r="F149" s="27" t="str">
        <f>VLOOKUP(Table10[[#This Row],[Document ID]],Table1[],8,FALSE)</f>
        <v>NDC 3.0</v>
      </c>
      <c r="G149" s="27" t="str">
        <f>VLOOKUP(Table10[[#This Row],[Document ID]],Table1[],10,FALSE)</f>
        <v>Active</v>
      </c>
      <c r="H149" s="42" t="s">
        <v>5460</v>
      </c>
      <c r="I149" s="44" t="s">
        <v>5600</v>
      </c>
      <c r="J149" s="221">
        <v>6</v>
      </c>
      <c r="K149" s="334" t="s">
        <v>5462</v>
      </c>
      <c r="L149" s="43" t="str">
        <f>VLOOKUP(Table10[[#This Row],[Country Code]],Table29[],3,FALSE)</f>
        <v>Annex I</v>
      </c>
      <c r="M149" s="42" t="str">
        <f>VLOOKUP(Table10[[#This Row],[Country Code]],Table29[],4,FALSE)</f>
        <v>Northern America</v>
      </c>
      <c r="N149" s="42" t="str">
        <f>VLOOKUP(Table10[[#This Row],[Country Code]],Table29[],5,FALSE)</f>
        <v>High-income</v>
      </c>
      <c r="O149" s="42" t="str">
        <f>VLOOKUP(Table10[[#This Row],[Country Code]],Table29[],6,FALSE)</f>
        <v>G20</v>
      </c>
      <c r="P149" s="42" t="str">
        <f>VLOOKUP(Table10[[#This Row],[Country Code]],Table29[],7,FALSE)</f>
        <v>G7</v>
      </c>
      <c r="Q149" s="42" t="str">
        <f>VLOOKUP(Table10[[#This Row],[Country Code]],Table29[],8,FALSE)</f>
        <v>OECD</v>
      </c>
      <c r="R149" s="42" t="str">
        <f>VLOOKUP(Table10[[#This Row],[Country Code]],Table29[],9,FALSE)</f>
        <v>no</v>
      </c>
      <c r="S149" s="42" t="str">
        <f>VLOOKUP(Table10[[#This Row],[Country Code]],Table29[],10,FALSE)</f>
        <v>no</v>
      </c>
      <c r="T149" s="43">
        <f>VLOOKUP(Table10[[#This Row],[Country Code]],Table29[],23,FALSE)</f>
        <v>747.67802680902003</v>
      </c>
      <c r="U149" s="42">
        <f>VLOOKUP(Table10[[#This Row],[Country Code]],Table29[],24,FALSE)</f>
        <v>169.021169926607</v>
      </c>
      <c r="V149" s="43"/>
    </row>
    <row r="150" spans="1:22" ht="90" x14ac:dyDescent="0.25">
      <c r="A150" s="563">
        <v>43987</v>
      </c>
      <c r="B150" s="27" t="str">
        <f>VLOOKUP(Table10[[#This Row],[Document ID]],Table1[],2,FALSE)</f>
        <v>CAN</v>
      </c>
      <c r="C150" s="43" t="str">
        <f>VLOOKUP(Table10[[#This Row],[Document ID]],Table1[],3,FALSE)</f>
        <v>Canada</v>
      </c>
      <c r="D150" s="27" t="str">
        <f>VLOOKUP(Table10[[#This Row],[Document ID]],Table1[],5,FALSE)</f>
        <v>NDC</v>
      </c>
      <c r="E150" s="43" t="str">
        <f>VLOOKUP(Table10[[#This Row],[Document ID]],Table1[],7,FALSE)</f>
        <v>Third NDC</v>
      </c>
      <c r="F150" s="27" t="str">
        <f>VLOOKUP(Table10[[#This Row],[Document ID]],Table1[],8,FALSE)</f>
        <v>NDC 3.0</v>
      </c>
      <c r="G150" s="27" t="str">
        <f>VLOOKUP(Table10[[#This Row],[Document ID]],Table1[],10,FALSE)</f>
        <v>Active</v>
      </c>
      <c r="H150" s="43" t="s">
        <v>5475</v>
      </c>
      <c r="I150" s="44" t="s">
        <v>5600</v>
      </c>
      <c r="J150" s="221">
        <v>6</v>
      </c>
      <c r="K150" s="42" t="s">
        <v>5477</v>
      </c>
      <c r="L150" s="43" t="str">
        <f>VLOOKUP(Table10[[#This Row],[Country Code]],Table29[],3,FALSE)</f>
        <v>Annex I</v>
      </c>
      <c r="M150" s="42" t="str">
        <f>VLOOKUP(Table10[[#This Row],[Country Code]],Table29[],4,FALSE)</f>
        <v>Northern America</v>
      </c>
      <c r="N150" s="42" t="str">
        <f>VLOOKUP(Table10[[#This Row],[Country Code]],Table29[],5,FALSE)</f>
        <v>High-income</v>
      </c>
      <c r="O150" s="42" t="str">
        <f>VLOOKUP(Table10[[#This Row],[Country Code]],Table29[],6,FALSE)</f>
        <v>G20</v>
      </c>
      <c r="P150" s="42" t="str">
        <f>VLOOKUP(Table10[[#This Row],[Country Code]],Table29[],7,FALSE)</f>
        <v>G7</v>
      </c>
      <c r="Q150" s="42" t="str">
        <f>VLOOKUP(Table10[[#This Row],[Country Code]],Table29[],8,FALSE)</f>
        <v>OECD</v>
      </c>
      <c r="R150" s="42" t="str">
        <f>VLOOKUP(Table10[[#This Row],[Country Code]],Table29[],9,FALSE)</f>
        <v>no</v>
      </c>
      <c r="S150" s="42" t="str">
        <f>VLOOKUP(Table10[[#This Row],[Country Code]],Table29[],10,FALSE)</f>
        <v>no</v>
      </c>
      <c r="T150" s="43">
        <f>VLOOKUP(Table10[[#This Row],[Country Code]],Table29[],23,FALSE)</f>
        <v>747.67802680902003</v>
      </c>
      <c r="U150" s="42">
        <f>VLOOKUP(Table10[[#This Row],[Country Code]],Table29[],24,FALSE)</f>
        <v>169.021169926607</v>
      </c>
      <c r="V150" s="43"/>
    </row>
    <row r="151" spans="1:22" ht="60" x14ac:dyDescent="0.25">
      <c r="A151" s="563">
        <v>43987</v>
      </c>
      <c r="B151" s="27" t="str">
        <f>VLOOKUP(Table10[[#This Row],[Document ID]],Table1[],2,FALSE)</f>
        <v>CAN</v>
      </c>
      <c r="C151" s="43" t="str">
        <f>VLOOKUP(Table10[[#This Row],[Document ID]],Table1[],3,FALSE)</f>
        <v>Canada</v>
      </c>
      <c r="D151" s="27" t="str">
        <f>VLOOKUP(Table10[[#This Row],[Document ID]],Table1[],5,FALSE)</f>
        <v>NDC</v>
      </c>
      <c r="E151" s="43" t="str">
        <f>VLOOKUP(Table10[[#This Row],[Document ID]],Table1[],7,FALSE)</f>
        <v>Third NDC</v>
      </c>
      <c r="F151" s="27" t="str">
        <f>VLOOKUP(Table10[[#This Row],[Document ID]],Table1[],8,FALSE)</f>
        <v>NDC 3.0</v>
      </c>
      <c r="G151" s="27" t="str">
        <f>VLOOKUP(Table10[[#This Row],[Document ID]],Table1[],10,FALSE)</f>
        <v>Active</v>
      </c>
      <c r="H151" s="43" t="s">
        <v>5472</v>
      </c>
      <c r="I151" s="44" t="s">
        <v>5601</v>
      </c>
      <c r="J151" s="221">
        <v>8</v>
      </c>
      <c r="K151" s="334" t="s">
        <v>5474</v>
      </c>
      <c r="L151" s="43" t="str">
        <f>VLOOKUP(Table10[[#This Row],[Country Code]],Table29[],3,FALSE)</f>
        <v>Annex I</v>
      </c>
      <c r="M151" s="42" t="str">
        <f>VLOOKUP(Table10[[#This Row],[Country Code]],Table29[],4,FALSE)</f>
        <v>Northern America</v>
      </c>
      <c r="N151" s="42" t="str">
        <f>VLOOKUP(Table10[[#This Row],[Country Code]],Table29[],5,FALSE)</f>
        <v>High-income</v>
      </c>
      <c r="O151" s="42" t="str">
        <f>VLOOKUP(Table10[[#This Row],[Country Code]],Table29[],6,FALSE)</f>
        <v>G20</v>
      </c>
      <c r="P151" s="42" t="str">
        <f>VLOOKUP(Table10[[#This Row],[Country Code]],Table29[],7,FALSE)</f>
        <v>G7</v>
      </c>
      <c r="Q151" s="42" t="str">
        <f>VLOOKUP(Table10[[#This Row],[Country Code]],Table29[],8,FALSE)</f>
        <v>OECD</v>
      </c>
      <c r="R151" s="42" t="str">
        <f>VLOOKUP(Table10[[#This Row],[Country Code]],Table29[],9,FALSE)</f>
        <v>no</v>
      </c>
      <c r="S151" s="42" t="str">
        <f>VLOOKUP(Table10[[#This Row],[Country Code]],Table29[],10,FALSE)</f>
        <v>no</v>
      </c>
      <c r="T151" s="43">
        <f>VLOOKUP(Table10[[#This Row],[Country Code]],Table29[],23,FALSE)</f>
        <v>747.67802680902003</v>
      </c>
      <c r="U151" s="42">
        <f>VLOOKUP(Table10[[#This Row],[Country Code]],Table29[],24,FALSE)</f>
        <v>169.021169926607</v>
      </c>
      <c r="V151" s="43"/>
    </row>
    <row r="152" spans="1:22" ht="135" x14ac:dyDescent="0.25">
      <c r="A152" s="563">
        <v>43987</v>
      </c>
      <c r="B152" s="27" t="str">
        <f>VLOOKUP(Table10[[#This Row],[Document ID]],Table1[],2,FALSE)</f>
        <v>CAN</v>
      </c>
      <c r="C152" s="43" t="str">
        <f>VLOOKUP(Table10[[#This Row],[Document ID]],Table1[],3,FALSE)</f>
        <v>Canada</v>
      </c>
      <c r="D152" s="27" t="str">
        <f>VLOOKUP(Table10[[#This Row],[Document ID]],Table1[],5,FALSE)</f>
        <v>NDC</v>
      </c>
      <c r="E152" s="43" t="str">
        <f>VLOOKUP(Table10[[#This Row],[Document ID]],Table1[],7,FALSE)</f>
        <v>Third NDC</v>
      </c>
      <c r="F152" s="27" t="str">
        <f>VLOOKUP(Table10[[#This Row],[Document ID]],Table1[],8,FALSE)</f>
        <v>NDC 3.0</v>
      </c>
      <c r="G152" s="27" t="str">
        <f>VLOOKUP(Table10[[#This Row],[Document ID]],Table1[],10,FALSE)</f>
        <v>Active</v>
      </c>
      <c r="H152" s="43" t="s">
        <v>5463</v>
      </c>
      <c r="I152" s="44" t="s">
        <v>5602</v>
      </c>
      <c r="J152" s="221">
        <v>33</v>
      </c>
      <c r="K152" s="43" t="s">
        <v>5465</v>
      </c>
      <c r="L152" s="43" t="str">
        <f>VLOOKUP(Table10[[#This Row],[Country Code]],Table29[],3,FALSE)</f>
        <v>Annex I</v>
      </c>
      <c r="M152" s="42" t="str">
        <f>VLOOKUP(Table10[[#This Row],[Country Code]],Table29[],4,FALSE)</f>
        <v>Northern America</v>
      </c>
      <c r="N152" s="42" t="str">
        <f>VLOOKUP(Table10[[#This Row],[Country Code]],Table29[],5,FALSE)</f>
        <v>High-income</v>
      </c>
      <c r="O152" s="42" t="str">
        <f>VLOOKUP(Table10[[#This Row],[Country Code]],Table29[],6,FALSE)</f>
        <v>G20</v>
      </c>
      <c r="P152" s="42" t="str">
        <f>VLOOKUP(Table10[[#This Row],[Country Code]],Table29[],7,FALSE)</f>
        <v>G7</v>
      </c>
      <c r="Q152" s="42" t="str">
        <f>VLOOKUP(Table10[[#This Row],[Country Code]],Table29[],8,FALSE)</f>
        <v>OECD</v>
      </c>
      <c r="R152" s="42" t="str">
        <f>VLOOKUP(Table10[[#This Row],[Country Code]],Table29[],9,FALSE)</f>
        <v>no</v>
      </c>
      <c r="S152" s="42" t="str">
        <f>VLOOKUP(Table10[[#This Row],[Country Code]],Table29[],10,FALSE)</f>
        <v>no</v>
      </c>
      <c r="T152" s="43">
        <f>VLOOKUP(Table10[[#This Row],[Country Code]],Table29[],23,FALSE)</f>
        <v>747.67802680902003</v>
      </c>
      <c r="U152" s="42">
        <f>VLOOKUP(Table10[[#This Row],[Country Code]],Table29[],24,FALSE)</f>
        <v>169.021169926607</v>
      </c>
      <c r="V152" s="43"/>
    </row>
    <row r="153" spans="1:22" ht="45" x14ac:dyDescent="0.25">
      <c r="A153" s="221">
        <v>44170</v>
      </c>
      <c r="B153" s="27" t="str">
        <f>VLOOKUP(Table10[[#This Row],[Document ID]],Table1[],2,FALSE)</f>
        <v>MDV</v>
      </c>
      <c r="C153" s="43" t="str">
        <f>VLOOKUP(Table10[[#This Row],[Document ID]],Table1[],3,FALSE)</f>
        <v>Maldives</v>
      </c>
      <c r="D153" s="27" t="str">
        <f>VLOOKUP(Table10[[#This Row],[Document ID]],Table1[],5,FALSE)</f>
        <v>NDC</v>
      </c>
      <c r="E153" s="43" t="str">
        <f>VLOOKUP(Table10[[#This Row],[Document ID]],Table1[],7,FALSE)</f>
        <v>Third NDC</v>
      </c>
      <c r="F153" s="27" t="str">
        <f>VLOOKUP(Table10[[#This Row],[Document ID]],Table1[],8,FALSE)</f>
        <v>NDC 3.0</v>
      </c>
      <c r="G153" s="27" t="str">
        <f>VLOOKUP(Table10[[#This Row],[Document ID]],Table1[],10,FALSE)</f>
        <v>Active</v>
      </c>
      <c r="H153" s="43" t="s">
        <v>5475</v>
      </c>
      <c r="I153" s="44" t="s">
        <v>5603</v>
      </c>
      <c r="J153" s="221">
        <v>45</v>
      </c>
      <c r="K153" s="42" t="s">
        <v>5477</v>
      </c>
      <c r="L153" s="43" t="str">
        <f>VLOOKUP(Table10[[#This Row],[Country Code]],Table29[],3,FALSE)</f>
        <v>Non-Annex I</v>
      </c>
      <c r="M153" s="42" t="str">
        <f>VLOOKUP(Table10[[#This Row],[Country Code]],Table29[],4,FALSE)</f>
        <v>Asia</v>
      </c>
      <c r="N153" s="42" t="str">
        <f>VLOOKUP(Table10[[#This Row],[Country Code]],Table29[],5,FALSE)</f>
        <v>Middle-income</v>
      </c>
      <c r="O153" s="42" t="str">
        <f>VLOOKUP(Table10[[#This Row],[Country Code]],Table29[],6,FALSE)</f>
        <v>no</v>
      </c>
      <c r="P153" s="42" t="str">
        <f>VLOOKUP(Table10[[#This Row],[Country Code]],Table29[],7,FALSE)</f>
        <v>no</v>
      </c>
      <c r="Q153" s="42" t="str">
        <f>VLOOKUP(Table10[[#This Row],[Country Code]],Table29[],8,FALSE)</f>
        <v>non-OECD</v>
      </c>
      <c r="R153" s="42" t="str">
        <f>VLOOKUP(Table10[[#This Row],[Country Code]],Table29[],9,FALSE)</f>
        <v>no</v>
      </c>
      <c r="S153" s="42" t="str">
        <f>VLOOKUP(Table10[[#This Row],[Country Code]],Table29[],10,FALSE)</f>
        <v>no</v>
      </c>
      <c r="T153" s="43">
        <f>VLOOKUP(Table10[[#This Row],[Country Code]],Table29[],23,FALSE)</f>
        <v>3.0879519663505</v>
      </c>
      <c r="U153" s="42">
        <f>VLOOKUP(Table10[[#This Row],[Country Code]],Table29[],24,FALSE)</f>
        <v>1.4972669707005819</v>
      </c>
      <c r="V153" s="43"/>
    </row>
  </sheetData>
  <phoneticPr fontId="14" type="noConversion"/>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2023EFB-0596-4E76-BC6A-FE2E8BF55974}">
          <x14:formula1>
            <xm:f>Def_Targets!$D$206:$D$213</xm:f>
          </x14:formula1>
          <xm:sqref>H9:H153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A22EA-9938-4616-9AC7-BD12DB0AFD24}">
  <sheetPr codeName="Tabelle10">
    <tabColor rgb="FFA9D08E"/>
  </sheetPr>
  <dimension ref="A2:L146"/>
  <sheetViews>
    <sheetView topLeftCell="A130" zoomScale="90" zoomScaleNormal="90" workbookViewId="0">
      <selection activeCell="A146" sqref="A146"/>
    </sheetView>
  </sheetViews>
  <sheetFormatPr baseColWidth="10" defaultColWidth="8.5703125" defaultRowHeight="15" x14ac:dyDescent="0.25"/>
  <cols>
    <col min="1" max="1" width="9.5703125" customWidth="1"/>
    <col min="2" max="2" width="9.42578125" bestFit="1" customWidth="1"/>
    <col min="3" max="4" width="17.5703125" customWidth="1"/>
    <col min="5" max="5" width="20.5703125" bestFit="1" customWidth="1"/>
    <col min="6" max="7" width="20.5703125" customWidth="1"/>
    <col min="8" max="8" width="92.42578125" customWidth="1"/>
    <col min="9" max="9" width="5.42578125" customWidth="1"/>
    <col min="10" max="10" width="25.42578125" style="2" customWidth="1"/>
    <col min="11" max="11" width="30.42578125" customWidth="1"/>
    <col min="12" max="12" width="82.42578125" bestFit="1" customWidth="1"/>
  </cols>
  <sheetData>
    <row r="2" spans="1:12" s="29" customFormat="1" ht="22.5" x14ac:dyDescent="0.3">
      <c r="C2" s="30" t="s">
        <v>5604</v>
      </c>
      <c r="D2" s="30"/>
      <c r="I2" s="136"/>
      <c r="J2" s="136"/>
      <c r="K2" s="130"/>
      <c r="L2" s="131"/>
    </row>
    <row r="3" spans="1:12" s="29" customFormat="1" x14ac:dyDescent="0.25">
      <c r="C3" s="29" t="s">
        <v>5605</v>
      </c>
      <c r="I3" s="136"/>
      <c r="J3" s="136"/>
      <c r="K3" s="130"/>
      <c r="L3" s="131"/>
    </row>
    <row r="4" spans="1:12" s="29" customFormat="1" x14ac:dyDescent="0.25">
      <c r="C4" s="160" t="str">
        <f>'Read me'!C8</f>
        <v>Update as of  13 March 2025</v>
      </c>
      <c r="D4" s="300"/>
      <c r="I4" s="136"/>
      <c r="J4" s="136"/>
      <c r="K4" s="130"/>
      <c r="L4" s="131"/>
    </row>
    <row r="5" spans="1:12" x14ac:dyDescent="0.25">
      <c r="A5" s="51"/>
      <c r="B5" s="51"/>
      <c r="I5" s="137"/>
      <c r="J5" s="137"/>
      <c r="K5" s="11"/>
      <c r="L5" s="132"/>
    </row>
    <row r="6" spans="1:12" x14ac:dyDescent="0.25">
      <c r="I6" s="137"/>
      <c r="J6" s="137"/>
      <c r="K6" s="11"/>
      <c r="L6" s="132"/>
    </row>
    <row r="7" spans="1:12" s="39" customFormat="1" ht="11.25" x14ac:dyDescent="0.25">
      <c r="I7" s="138"/>
      <c r="J7" s="138"/>
      <c r="K7" s="133"/>
      <c r="L7" s="134"/>
    </row>
    <row r="8" spans="1:12" ht="36" x14ac:dyDescent="0.25">
      <c r="A8" s="276" t="s">
        <v>475</v>
      </c>
      <c r="B8" s="280" t="s">
        <v>476</v>
      </c>
      <c r="C8" s="280" t="s">
        <v>22</v>
      </c>
      <c r="D8" s="280" t="s">
        <v>1072</v>
      </c>
      <c r="E8" s="278" t="s">
        <v>479</v>
      </c>
      <c r="F8" s="279" t="s">
        <v>481</v>
      </c>
      <c r="G8" s="279" t="s">
        <v>483</v>
      </c>
      <c r="H8" s="281" t="s">
        <v>2298</v>
      </c>
      <c r="I8" s="310" t="s">
        <v>1080</v>
      </c>
      <c r="J8" s="281" t="s">
        <v>5606</v>
      </c>
      <c r="K8" s="281" t="s">
        <v>5607</v>
      </c>
      <c r="L8" s="281" t="s">
        <v>5608</v>
      </c>
    </row>
    <row r="9" spans="1:12" ht="75" x14ac:dyDescent="0.25">
      <c r="A9" s="360">
        <v>32408</v>
      </c>
      <c r="B9" s="233" t="str">
        <f>VLOOKUP(Table15[[#This Row],[Document ID]],Table1[],2,FALSE)</f>
        <v>AND</v>
      </c>
      <c r="C9" s="233" t="str">
        <f>VLOOKUP(Table15[[#This Row],[Document ID]],Table1[],3,FALSE)</f>
        <v>Andorra</v>
      </c>
      <c r="D9" s="233" t="str">
        <f>VLOOKUP(Table15[[#This Row],[Document ID]],Table1[],4,FALSE)</f>
        <v>Good</v>
      </c>
      <c r="E9" s="233" t="str">
        <f>VLOOKUP(Table15[[#This Row],[Document ID]],Table1[],5,FALSE)</f>
        <v>NDC</v>
      </c>
      <c r="F9" s="233" t="str">
        <f>VLOOKUP(Table15[[#This Row],[Document ID]],Table1[],6,FALSE)</f>
        <v>Updated NDC</v>
      </c>
      <c r="G9" s="233" t="str">
        <f>VLOOKUP(Table15[[#This Row],[Document ID]],Table1[],8,FALSE)</f>
        <v>NDC 1.2</v>
      </c>
      <c r="H9" s="28" t="s">
        <v>5609</v>
      </c>
      <c r="I9" s="27">
        <v>7</v>
      </c>
      <c r="J9" s="28" t="s">
        <v>5610</v>
      </c>
      <c r="K9" s="27"/>
      <c r="L9" s="27"/>
    </row>
    <row r="10" spans="1:12" x14ac:dyDescent="0.25">
      <c r="A10" s="360">
        <v>17511</v>
      </c>
      <c r="B10" s="233" t="str">
        <f>VLOOKUP(Table15[[#This Row],[Document ID]],Table1[],2,FALSE)</f>
        <v>AND</v>
      </c>
      <c r="C10" s="233" t="str">
        <f>VLOOKUP(Table15[[#This Row],[Document ID]],Table1[],3,FALSE)</f>
        <v>Andorra</v>
      </c>
      <c r="D10" s="233" t="str">
        <f>VLOOKUP(Table15[[#This Row],[Document ID]],Table1[],4,FALSE)</f>
        <v>Good</v>
      </c>
      <c r="E10" s="233" t="str">
        <f>VLOOKUP(Table15[[#This Row],[Document ID]],Table1[],5,FALSE)</f>
        <v>NDC</v>
      </c>
      <c r="F10" s="233" t="str">
        <f>VLOOKUP(Table15[[#This Row],[Document ID]],Table1[],6,FALSE)</f>
        <v>Archived NDC 1.1</v>
      </c>
      <c r="G10" s="233" t="str">
        <f>VLOOKUP(Table15[[#This Row],[Document ID]],Table1[],8,FALSE)</f>
        <v>NDC 1.1</v>
      </c>
      <c r="H10" s="27" t="s">
        <v>5611</v>
      </c>
      <c r="I10" s="27">
        <v>16</v>
      </c>
      <c r="J10" s="28" t="s">
        <v>5612</v>
      </c>
      <c r="K10" s="27"/>
      <c r="L10" s="27"/>
    </row>
    <row r="11" spans="1:12" x14ac:dyDescent="0.25">
      <c r="A11" s="360">
        <v>17511</v>
      </c>
      <c r="B11" s="233" t="str">
        <f>VLOOKUP(Table15[[#This Row],[Document ID]],Table1[],2,FALSE)</f>
        <v>AND</v>
      </c>
      <c r="C11" s="233" t="str">
        <f>VLOOKUP(Table15[[#This Row],[Document ID]],Table1[],3,FALSE)</f>
        <v>Andorra</v>
      </c>
      <c r="D11" s="233" t="str">
        <f>VLOOKUP(Table15[[#This Row],[Document ID]],Table1[],4,FALSE)</f>
        <v>Good</v>
      </c>
      <c r="E11" s="233" t="str">
        <f>VLOOKUP(Table15[[#This Row],[Document ID]],Table1[],5,FALSE)</f>
        <v>NDC</v>
      </c>
      <c r="F11" s="233" t="str">
        <f>VLOOKUP(Table15[[#This Row],[Document ID]],Table1[],6,FALSE)</f>
        <v>Archived NDC 1.1</v>
      </c>
      <c r="G11" s="233" t="str">
        <f>VLOOKUP(Table15[[#This Row],[Document ID]],Table1[],8,FALSE)</f>
        <v>NDC 1.1</v>
      </c>
      <c r="H11" s="27" t="s">
        <v>5613</v>
      </c>
      <c r="I11" s="27">
        <v>17</v>
      </c>
      <c r="J11" s="28"/>
      <c r="K11" s="27"/>
      <c r="L11" s="27"/>
    </row>
    <row r="12" spans="1:12" x14ac:dyDescent="0.25">
      <c r="A12" s="360">
        <v>32408</v>
      </c>
      <c r="B12" s="233" t="str">
        <f>VLOOKUP(Table15[[#This Row],[Document ID]],Table1[],2,FALSE)</f>
        <v>AND</v>
      </c>
      <c r="C12" s="233" t="str">
        <f>VLOOKUP(Table15[[#This Row],[Document ID]],Table1[],3,FALSE)</f>
        <v>Andorra</v>
      </c>
      <c r="D12" s="233" t="str">
        <f>VLOOKUP(Table15[[#This Row],[Document ID]],Table1[],4,FALSE)</f>
        <v>Good</v>
      </c>
      <c r="E12" s="233" t="str">
        <f>VLOOKUP(Table15[[#This Row],[Document ID]],Table1[],5,FALSE)</f>
        <v>NDC</v>
      </c>
      <c r="F12" s="233" t="str">
        <f>VLOOKUP(Table15[[#This Row],[Document ID]],Table1[],6,FALSE)</f>
        <v>Updated NDC</v>
      </c>
      <c r="G12" s="233" t="str">
        <f>VLOOKUP(Table15[[#This Row],[Document ID]],Table1[],8,FALSE)</f>
        <v>NDC 1.2</v>
      </c>
      <c r="H12" s="27" t="s">
        <v>5614</v>
      </c>
      <c r="I12" s="27" t="s">
        <v>5615</v>
      </c>
      <c r="J12" s="28"/>
      <c r="K12" s="27"/>
      <c r="L12" s="27"/>
    </row>
    <row r="13" spans="1:12" x14ac:dyDescent="0.25">
      <c r="A13" s="360">
        <v>32408</v>
      </c>
      <c r="B13" s="233" t="str">
        <f>VLOOKUP(Table15[[#This Row],[Document ID]],Table1[],2,FALSE)</f>
        <v>AND</v>
      </c>
      <c r="C13" s="233" t="str">
        <f>VLOOKUP(Table15[[#This Row],[Document ID]],Table1[],3,FALSE)</f>
        <v>Andorra</v>
      </c>
      <c r="D13" s="233" t="str">
        <f>VLOOKUP(Table15[[#This Row],[Document ID]],Table1[],4,FALSE)</f>
        <v>Good</v>
      </c>
      <c r="E13" s="233" t="str">
        <f>VLOOKUP(Table15[[#This Row],[Document ID]],Table1[],5,FALSE)</f>
        <v>NDC</v>
      </c>
      <c r="F13" s="233" t="str">
        <f>VLOOKUP(Table15[[#This Row],[Document ID]],Table1[],6,FALSE)</f>
        <v>Updated NDC</v>
      </c>
      <c r="G13" s="233" t="str">
        <f>VLOOKUP(Table15[[#This Row],[Document ID]],Table1[],8,FALSE)</f>
        <v>NDC 1.2</v>
      </c>
      <c r="H13" s="27" t="s">
        <v>5616</v>
      </c>
      <c r="I13" s="27">
        <v>23</v>
      </c>
      <c r="J13" s="28" t="s">
        <v>5612</v>
      </c>
      <c r="K13" s="27"/>
      <c r="L13" s="27"/>
    </row>
    <row r="14" spans="1:12" x14ac:dyDescent="0.25">
      <c r="A14" s="360">
        <v>32408</v>
      </c>
      <c r="B14" s="233" t="str">
        <f>VLOOKUP(Table15[[#This Row],[Document ID]],Table1[],2,FALSE)</f>
        <v>AND</v>
      </c>
      <c r="C14" s="233" t="str">
        <f>VLOOKUP(Table15[[#This Row],[Document ID]],Table1[],3,FALSE)</f>
        <v>Andorra</v>
      </c>
      <c r="D14" s="233" t="str">
        <f>VLOOKUP(Table15[[#This Row],[Document ID]],Table1[],4,FALSE)</f>
        <v>Good</v>
      </c>
      <c r="E14" s="233" t="str">
        <f>VLOOKUP(Table15[[#This Row],[Document ID]],Table1[],5,FALSE)</f>
        <v>NDC</v>
      </c>
      <c r="F14" s="233" t="str">
        <f>VLOOKUP(Table15[[#This Row],[Document ID]],Table1[],6,FALSE)</f>
        <v>Updated NDC</v>
      </c>
      <c r="G14" s="233" t="str">
        <f>VLOOKUP(Table15[[#This Row],[Document ID]],Table1[],8,FALSE)</f>
        <v>NDC 1.2</v>
      </c>
      <c r="H14" s="27" t="s">
        <v>5617</v>
      </c>
      <c r="I14" s="27">
        <v>23</v>
      </c>
      <c r="J14" s="28"/>
      <c r="K14" s="27"/>
      <c r="L14" s="27"/>
    </row>
    <row r="15" spans="1:12" x14ac:dyDescent="0.25">
      <c r="A15" s="360">
        <v>32408</v>
      </c>
      <c r="B15" s="233" t="str">
        <f>VLOOKUP(Table15[[#This Row],[Document ID]],Table1[],2,FALSE)</f>
        <v>AND</v>
      </c>
      <c r="C15" s="233" t="str">
        <f>VLOOKUP(Table15[[#This Row],[Document ID]],Table1[],3,FALSE)</f>
        <v>Andorra</v>
      </c>
      <c r="D15" s="233" t="str">
        <f>VLOOKUP(Table15[[#This Row],[Document ID]],Table1[],4,FALSE)</f>
        <v>Good</v>
      </c>
      <c r="E15" s="233" t="str">
        <f>VLOOKUP(Table15[[#This Row],[Document ID]],Table1[],5,FALSE)</f>
        <v>NDC</v>
      </c>
      <c r="F15" s="233" t="str">
        <f>VLOOKUP(Table15[[#This Row],[Document ID]],Table1[],6,FALSE)</f>
        <v>Updated NDC</v>
      </c>
      <c r="G15" s="233" t="str">
        <f>VLOOKUP(Table15[[#This Row],[Document ID]],Table1[],8,FALSE)</f>
        <v>NDC 1.2</v>
      </c>
      <c r="H15" s="27" t="s">
        <v>5618</v>
      </c>
      <c r="I15" s="27">
        <v>29</v>
      </c>
      <c r="J15" s="28" t="s">
        <v>5619</v>
      </c>
      <c r="K15" s="27"/>
      <c r="L15" s="27"/>
    </row>
    <row r="16" spans="1:12" ht="45" x14ac:dyDescent="0.25">
      <c r="A16" s="360">
        <v>39455</v>
      </c>
      <c r="B16" s="233" t="str">
        <f>VLOOKUP(Table15[[#This Row],[Document ID]],Table1[],2,FALSE)</f>
        <v>ARE</v>
      </c>
      <c r="C16" s="233" t="str">
        <f>VLOOKUP(Table15[[#This Row],[Document ID]],Table1[],3,FALSE)</f>
        <v>United Arab Emirates</v>
      </c>
      <c r="D16" s="233" t="str">
        <f>VLOOKUP(Table15[[#This Row],[Document ID]],Table1[],4,FALSE)</f>
        <v>Good</v>
      </c>
      <c r="E16" s="233" t="str">
        <f>VLOOKUP(Table15[[#This Row],[Document ID]],Table1[],5,FALSE)</f>
        <v>NDC</v>
      </c>
      <c r="F16" s="233" t="str">
        <f>VLOOKUP(Table15[[#This Row],[Document ID]],Table1[],6,FALSE)</f>
        <v>2nd NDC</v>
      </c>
      <c r="G16" s="233" t="str">
        <f>VLOOKUP(Table15[[#This Row],[Document ID]],Table1[],8,FALSE)</f>
        <v>NDC 2.2</v>
      </c>
      <c r="H16" s="28" t="s">
        <v>5620</v>
      </c>
      <c r="I16" s="27">
        <v>2</v>
      </c>
      <c r="J16" s="209" t="s">
        <v>5621</v>
      </c>
      <c r="K16" s="312" t="s">
        <v>5622</v>
      </c>
      <c r="L16" s="27" t="s">
        <v>5623</v>
      </c>
    </row>
    <row r="17" spans="1:12" x14ac:dyDescent="0.25">
      <c r="A17" s="360">
        <v>32410</v>
      </c>
      <c r="B17" s="233" t="str">
        <f>VLOOKUP(Table15[[#This Row],[Document ID]],Table1[],2,FALSE)</f>
        <v>ARG</v>
      </c>
      <c r="C17" s="233" t="str">
        <f>VLOOKUP(Table15[[#This Row],[Document ID]],Table1[],3,FALSE)</f>
        <v>Argentina</v>
      </c>
      <c r="D17" s="233" t="str">
        <f>VLOOKUP(Table15[[#This Row],[Document ID]],Table1[],4,FALSE)</f>
        <v>Good</v>
      </c>
      <c r="E17" s="233" t="str">
        <f>VLOOKUP(Table15[[#This Row],[Document ID]],Table1[],5,FALSE)</f>
        <v>LTS</v>
      </c>
      <c r="F17" s="233" t="str">
        <f>VLOOKUP(Table15[[#This Row],[Document ID]],Table1[],6,FALSE)</f>
        <v>LTS</v>
      </c>
      <c r="G17" s="233" t="str">
        <f>VLOOKUP(Table15[[#This Row],[Document ID]],Table1[],8,FALSE)</f>
        <v>LTS 1.0</v>
      </c>
      <c r="H17" s="27" t="s">
        <v>5624</v>
      </c>
      <c r="I17" s="27">
        <v>3</v>
      </c>
      <c r="J17" s="28"/>
      <c r="K17" s="27"/>
      <c r="L17" s="27"/>
    </row>
    <row r="18" spans="1:12" x14ac:dyDescent="0.25">
      <c r="A18" s="360">
        <v>32410</v>
      </c>
      <c r="B18" s="233" t="str">
        <f>VLOOKUP(Table15[[#This Row],[Document ID]],Table1[],2,FALSE)</f>
        <v>ARG</v>
      </c>
      <c r="C18" s="233" t="str">
        <f>VLOOKUP(Table15[[#This Row],[Document ID]],Table1[],3,FALSE)</f>
        <v>Argentina</v>
      </c>
      <c r="D18" s="233" t="str">
        <f>VLOOKUP(Table15[[#This Row],[Document ID]],Table1[],4,FALSE)</f>
        <v>Good</v>
      </c>
      <c r="E18" s="233" t="str">
        <f>VLOOKUP(Table15[[#This Row],[Document ID]],Table1[],5,FALSE)</f>
        <v>LTS</v>
      </c>
      <c r="F18" s="233" t="str">
        <f>VLOOKUP(Table15[[#This Row],[Document ID]],Table1[],6,FALSE)</f>
        <v>LTS</v>
      </c>
      <c r="G18" s="233" t="str">
        <f>VLOOKUP(Table15[[#This Row],[Document ID]],Table1[],8,FALSE)</f>
        <v>LTS 1.0</v>
      </c>
      <c r="H18" s="27" t="s">
        <v>5625</v>
      </c>
      <c r="I18" s="27">
        <v>6</v>
      </c>
      <c r="J18" s="28"/>
      <c r="K18" s="27"/>
      <c r="L18" s="27"/>
    </row>
    <row r="19" spans="1:12" ht="30" x14ac:dyDescent="0.25">
      <c r="A19" s="360">
        <v>32412</v>
      </c>
      <c r="B19" s="233" t="str">
        <f>VLOOKUP(Table15[[#This Row],[Document ID]],Table1[],2,FALSE)</f>
        <v>AUS</v>
      </c>
      <c r="C19" s="233" t="str">
        <f>VLOOKUP(Table15[[#This Row],[Document ID]],Table1[],3,FALSE)</f>
        <v>Australia</v>
      </c>
      <c r="D19" s="233" t="str">
        <f>VLOOKUP(Table15[[#This Row],[Document ID]],Table1[],4,FALSE)</f>
        <v>Good</v>
      </c>
      <c r="E19" s="233" t="str">
        <f>VLOOKUP(Table15[[#This Row],[Document ID]],Table1[],5,FALSE)</f>
        <v>NDC</v>
      </c>
      <c r="F19" s="233" t="str">
        <f>VLOOKUP(Table15[[#This Row],[Document ID]],Table1[],6,FALSE)</f>
        <v>Archived NDC 1.2</v>
      </c>
      <c r="G19" s="233" t="str">
        <f>VLOOKUP(Table15[[#This Row],[Document ID]],Table1[],8,FALSE)</f>
        <v>NDC 1.2</v>
      </c>
      <c r="H19" s="209" t="s">
        <v>5626</v>
      </c>
      <c r="I19" s="27">
        <v>4</v>
      </c>
      <c r="J19" s="28" t="s">
        <v>5627</v>
      </c>
      <c r="K19" s="312" t="s">
        <v>5628</v>
      </c>
      <c r="L19" s="27" t="s">
        <v>5629</v>
      </c>
    </row>
    <row r="20" spans="1:12" ht="45" x14ac:dyDescent="0.25">
      <c r="A20" s="360">
        <v>29228</v>
      </c>
      <c r="B20" s="233" t="str">
        <f>VLOOKUP(Table15[[#This Row],[Document ID]],Table1[],2,FALSE)</f>
        <v>AUS</v>
      </c>
      <c r="C20" s="233" t="str">
        <f>VLOOKUP(Table15[[#This Row],[Document ID]],Table1[],3,FALSE)</f>
        <v>Australia</v>
      </c>
      <c r="D20" s="233" t="str">
        <f>VLOOKUP(Table15[[#This Row],[Document ID]],Table1[],4,FALSE)</f>
        <v>Good</v>
      </c>
      <c r="E20" s="233" t="str">
        <f>VLOOKUP(Table15[[#This Row],[Document ID]],Table1[],5,FALSE)</f>
        <v>NDC</v>
      </c>
      <c r="F20" s="233" t="str">
        <f>VLOOKUP(Table15[[#This Row],[Document ID]],Table1[],6,FALSE)</f>
        <v>Updated NDC</v>
      </c>
      <c r="G20" s="233" t="str">
        <f>VLOOKUP(Table15[[#This Row],[Document ID]],Table1[],8,FALSE)</f>
        <v>NDC 1.3</v>
      </c>
      <c r="H20" s="209" t="s">
        <v>5630</v>
      </c>
      <c r="I20" s="27">
        <v>8</v>
      </c>
      <c r="J20" s="28" t="s">
        <v>5631</v>
      </c>
      <c r="K20" s="312" t="s">
        <v>5632</v>
      </c>
      <c r="L20" s="27" t="s">
        <v>5633</v>
      </c>
    </row>
    <row r="21" spans="1:12" x14ac:dyDescent="0.25">
      <c r="A21" s="360">
        <v>39451</v>
      </c>
      <c r="B21" s="233" t="str">
        <f>VLOOKUP(Table15[[#This Row],[Document ID]],Table1[],2,FALSE)</f>
        <v>BIH</v>
      </c>
      <c r="C21" s="233" t="str">
        <f>VLOOKUP(Table15[[#This Row],[Document ID]],Table1[],3,FALSE)</f>
        <v>Bosnia and Herzegovina</v>
      </c>
      <c r="D21" s="233" t="str">
        <f>VLOOKUP(Table15[[#This Row],[Document ID]],Table1[],4,FALSE)</f>
        <v>Good</v>
      </c>
      <c r="E21" s="233" t="str">
        <f>VLOOKUP(Table15[[#This Row],[Document ID]],Table1[],5,FALSE)</f>
        <v>LTS</v>
      </c>
      <c r="F21" s="233" t="str">
        <f>VLOOKUP(Table15[[#This Row],[Document ID]],Table1[],6,FALSE)</f>
        <v>LTS</v>
      </c>
      <c r="G21" s="233" t="str">
        <f>VLOOKUP(Table15[[#This Row],[Document ID]],Table1[],8,FALSE)</f>
        <v>LTS 1.0</v>
      </c>
      <c r="H21" s="27" t="s">
        <v>5634</v>
      </c>
      <c r="I21" s="27">
        <v>119</v>
      </c>
      <c r="J21" s="28"/>
      <c r="K21" s="27"/>
      <c r="L21" s="27"/>
    </row>
    <row r="22" spans="1:12" ht="90" x14ac:dyDescent="0.25">
      <c r="A22" s="367">
        <v>39438</v>
      </c>
      <c r="B22" s="233" t="str">
        <f>VLOOKUP(Table15[[#This Row],[Document ID]],Table1[],2,FALSE)</f>
        <v>AZE</v>
      </c>
      <c r="C22" s="233" t="str">
        <f>VLOOKUP(Table15[[#This Row],[Document ID]],Table1[],3,FALSE)</f>
        <v>Azerbaijan</v>
      </c>
      <c r="D22" s="233" t="str">
        <f>VLOOKUP(Table15[[#This Row],[Document ID]],Table1[],4,FALSE)</f>
        <v>Good</v>
      </c>
      <c r="E22" s="233" t="str">
        <f>VLOOKUP(Table15[[#This Row],[Document ID]],Table1[],5,FALSE)</f>
        <v>NDC</v>
      </c>
      <c r="F22" s="233" t="str">
        <f>VLOOKUP(Table15[[#This Row],[Document ID]],Table1[],6,FALSE)</f>
        <v>2nd NDC</v>
      </c>
      <c r="G22" s="233" t="str">
        <f>VLOOKUP(Table15[[#This Row],[Document ID]],Table1[],8,FALSE)</f>
        <v>NDC 2.0</v>
      </c>
      <c r="H22" s="28" t="s">
        <v>5635</v>
      </c>
      <c r="I22" s="27">
        <v>148</v>
      </c>
      <c r="J22" s="28"/>
      <c r="K22" s="27"/>
      <c r="L22" s="27"/>
    </row>
    <row r="23" spans="1:12" ht="75" x14ac:dyDescent="0.25">
      <c r="A23" s="360">
        <v>21371</v>
      </c>
      <c r="B23" s="233" t="str">
        <f>VLOOKUP(Table15[[#This Row],[Document ID]],Table1[],2,FALSE)</f>
        <v>BRB</v>
      </c>
      <c r="C23" s="233" t="str">
        <f>VLOOKUP(Table15[[#This Row],[Document ID]],Table1[],3,FALSE)</f>
        <v>Barbados</v>
      </c>
      <c r="D23" s="233" t="str">
        <f>VLOOKUP(Table15[[#This Row],[Document ID]],Table1[],4,FALSE)</f>
        <v>Good</v>
      </c>
      <c r="E23" s="233" t="str">
        <f>VLOOKUP(Table15[[#This Row],[Document ID]],Table1[],5,FALSE)</f>
        <v>NDC</v>
      </c>
      <c r="F23" s="233" t="str">
        <f>VLOOKUP(Table15[[#This Row],[Document ID]],Table1[],6,FALSE)</f>
        <v>Updated NDC</v>
      </c>
      <c r="G23" s="233" t="str">
        <f>VLOOKUP(Table15[[#This Row],[Document ID]],Table1[],8,FALSE)</f>
        <v>NDC 1.1</v>
      </c>
      <c r="H23" s="313" t="s">
        <v>5636</v>
      </c>
      <c r="I23" s="27">
        <v>5</v>
      </c>
      <c r="J23" s="28" t="s">
        <v>5637</v>
      </c>
      <c r="K23" s="312" t="s">
        <v>5638</v>
      </c>
      <c r="L23" s="27" t="s">
        <v>5639</v>
      </c>
    </row>
    <row r="24" spans="1:12" ht="105" x14ac:dyDescent="0.25">
      <c r="A24" s="360">
        <v>21371</v>
      </c>
      <c r="B24" s="233" t="str">
        <f>VLOOKUP(Table15[[#This Row],[Document ID]],Table1[],2,FALSE)</f>
        <v>BRB</v>
      </c>
      <c r="C24" s="233" t="str">
        <f>VLOOKUP(Table15[[#This Row],[Document ID]],Table1[],3,FALSE)</f>
        <v>Barbados</v>
      </c>
      <c r="D24" s="233" t="str">
        <f>VLOOKUP(Table15[[#This Row],[Document ID]],Table1[],4,FALSE)</f>
        <v>Good</v>
      </c>
      <c r="E24" s="233" t="str">
        <f>VLOOKUP(Table15[[#This Row],[Document ID]],Table1[],5,FALSE)</f>
        <v>NDC</v>
      </c>
      <c r="F24" s="233" t="str">
        <f>VLOOKUP(Table15[[#This Row],[Document ID]],Table1[],6,FALSE)</f>
        <v>Updated NDC</v>
      </c>
      <c r="G24" s="233" t="str">
        <f>VLOOKUP(Table15[[#This Row],[Document ID]],Table1[],8,FALSE)</f>
        <v>NDC 1.1</v>
      </c>
      <c r="H24" s="209" t="s">
        <v>5640</v>
      </c>
      <c r="I24" s="27">
        <v>5</v>
      </c>
      <c r="J24" s="28" t="s">
        <v>5641</v>
      </c>
      <c r="K24" s="312" t="s">
        <v>5642</v>
      </c>
      <c r="L24" s="27" t="s">
        <v>5643</v>
      </c>
    </row>
    <row r="25" spans="1:12" ht="120" x14ac:dyDescent="0.25">
      <c r="A25" s="367">
        <v>39440</v>
      </c>
      <c r="B25" s="233" t="str">
        <f>VLOOKUP(Table15[[#This Row],[Document ID]],Table1[],2,FALSE)</f>
        <v>BTN</v>
      </c>
      <c r="C25" s="233" t="str">
        <f>VLOOKUP(Table15[[#This Row],[Document ID]],Table1[],3,FALSE)</f>
        <v>Bhutan</v>
      </c>
      <c r="D25" s="233" t="str">
        <f>VLOOKUP(Table15[[#This Row],[Document ID]],Table1[],4,FALSE)</f>
        <v>Good</v>
      </c>
      <c r="E25" s="233" t="str">
        <f>VLOOKUP(Table15[[#This Row],[Document ID]],Table1[],5,FALSE)</f>
        <v>LTS</v>
      </c>
      <c r="F25" s="233" t="str">
        <f>VLOOKUP(Table15[[#This Row],[Document ID]],Table1[],6,FALSE)</f>
        <v>LTS</v>
      </c>
      <c r="G25" s="233" t="str">
        <f>VLOOKUP(Table15[[#This Row],[Document ID]],Table1[],8,FALSE)</f>
        <v>LTS 1.0</v>
      </c>
      <c r="H25" s="28" t="s">
        <v>5644</v>
      </c>
      <c r="I25" s="27" t="s">
        <v>5645</v>
      </c>
      <c r="J25" s="28"/>
      <c r="K25" s="27"/>
      <c r="L25" s="27"/>
    </row>
    <row r="26" spans="1:12" ht="150" x14ac:dyDescent="0.25">
      <c r="A26" s="367">
        <v>39440</v>
      </c>
      <c r="B26" s="233" t="str">
        <f>VLOOKUP(Table15[[#This Row],[Document ID]],Table1[],2,FALSE)</f>
        <v>BTN</v>
      </c>
      <c r="C26" s="233" t="str">
        <f>VLOOKUP(Table15[[#This Row],[Document ID]],Table1[],3,FALSE)</f>
        <v>Bhutan</v>
      </c>
      <c r="D26" s="233" t="str">
        <f>VLOOKUP(Table15[[#This Row],[Document ID]],Table1[],4,FALSE)</f>
        <v>Good</v>
      </c>
      <c r="E26" s="233" t="str">
        <f>VLOOKUP(Table15[[#This Row],[Document ID]],Table1[],5,FALSE)</f>
        <v>LTS</v>
      </c>
      <c r="F26" s="233" t="str">
        <f>VLOOKUP(Table15[[#This Row],[Document ID]],Table1[],6,FALSE)</f>
        <v>LTS</v>
      </c>
      <c r="G26" s="233" t="str">
        <f>VLOOKUP(Table15[[#This Row],[Document ID]],Table1[],8,FALSE)</f>
        <v>LTS 1.0</v>
      </c>
      <c r="H26" s="209" t="s">
        <v>5646</v>
      </c>
      <c r="I26" s="27">
        <v>30</v>
      </c>
      <c r="J26" s="28"/>
      <c r="K26" s="27"/>
      <c r="L26" s="27"/>
    </row>
    <row r="27" spans="1:12" x14ac:dyDescent="0.25">
      <c r="A27" s="360">
        <v>32531</v>
      </c>
      <c r="B27" s="233" t="str">
        <f>VLOOKUP(Table15[[#This Row],[Document ID]],Table1[],2,FALSE)</f>
        <v>CAN</v>
      </c>
      <c r="C27" s="233" t="str">
        <f>VLOOKUP(Table15[[#This Row],[Document ID]],Table1[],3,FALSE)</f>
        <v>Canada</v>
      </c>
      <c r="D27" s="233" t="str">
        <f>VLOOKUP(Table15[[#This Row],[Document ID]],Table1[],4,FALSE)</f>
        <v>Good</v>
      </c>
      <c r="E27" s="233" t="str">
        <f>VLOOKUP(Table15[[#This Row],[Document ID]],Table1[],5,FALSE)</f>
        <v>LTS</v>
      </c>
      <c r="F27" s="233" t="str">
        <f>VLOOKUP(Table15[[#This Row],[Document ID]],Table1[],6,FALSE)</f>
        <v>LTS</v>
      </c>
      <c r="G27" s="233" t="str">
        <f>VLOOKUP(Table15[[#This Row],[Document ID]],Table1[],8,FALSE)</f>
        <v>LTS 2.0</v>
      </c>
      <c r="H27" s="27" t="s">
        <v>5647</v>
      </c>
      <c r="I27" s="27">
        <v>2</v>
      </c>
      <c r="J27" s="28"/>
      <c r="K27" s="27"/>
      <c r="L27" s="27"/>
    </row>
    <row r="28" spans="1:12" x14ac:dyDescent="0.25">
      <c r="A28" s="360">
        <v>32531</v>
      </c>
      <c r="B28" s="233" t="str">
        <f>VLOOKUP(Table15[[#This Row],[Document ID]],Table1[],2,FALSE)</f>
        <v>CAN</v>
      </c>
      <c r="C28" s="233" t="str">
        <f>VLOOKUP(Table15[[#This Row],[Document ID]],Table1[],3,FALSE)</f>
        <v>Canada</v>
      </c>
      <c r="D28" s="233" t="str">
        <f>VLOOKUP(Table15[[#This Row],[Document ID]],Table1[],4,FALSE)</f>
        <v>Good</v>
      </c>
      <c r="E28" s="233" t="str">
        <f>VLOOKUP(Table15[[#This Row],[Document ID]],Table1[],5,FALSE)</f>
        <v>LTS</v>
      </c>
      <c r="F28" s="233" t="str">
        <f>VLOOKUP(Table15[[#This Row],[Document ID]],Table1[],6,FALSE)</f>
        <v>LTS</v>
      </c>
      <c r="G28" s="233" t="str">
        <f>VLOOKUP(Table15[[#This Row],[Document ID]],Table1[],8,FALSE)</f>
        <v>LTS 2.0</v>
      </c>
      <c r="H28" s="27" t="s">
        <v>5648</v>
      </c>
      <c r="I28" s="27" t="s">
        <v>5649</v>
      </c>
      <c r="J28" s="28"/>
      <c r="K28" s="27"/>
      <c r="L28" s="27"/>
    </row>
    <row r="29" spans="1:12" x14ac:dyDescent="0.25">
      <c r="A29" s="360">
        <v>32531</v>
      </c>
      <c r="B29" s="233" t="str">
        <f>VLOOKUP(Table15[[#This Row],[Document ID]],Table1[],2,FALSE)</f>
        <v>CAN</v>
      </c>
      <c r="C29" s="233" t="str">
        <f>VLOOKUP(Table15[[#This Row],[Document ID]],Table1[],3,FALSE)</f>
        <v>Canada</v>
      </c>
      <c r="D29" s="233" t="str">
        <f>VLOOKUP(Table15[[#This Row],[Document ID]],Table1[],4,FALSE)</f>
        <v>Good</v>
      </c>
      <c r="E29" s="233" t="str">
        <f>VLOOKUP(Table15[[#This Row],[Document ID]],Table1[],5,FALSE)</f>
        <v>LTS</v>
      </c>
      <c r="F29" s="233" t="str">
        <f>VLOOKUP(Table15[[#This Row],[Document ID]],Table1[],6,FALSE)</f>
        <v>LTS</v>
      </c>
      <c r="G29" s="233" t="str">
        <f>VLOOKUP(Table15[[#This Row],[Document ID]],Table1[],8,FALSE)</f>
        <v>LTS 2.0</v>
      </c>
      <c r="H29" s="27" t="s">
        <v>5650</v>
      </c>
      <c r="I29" s="27">
        <v>9</v>
      </c>
      <c r="J29" s="28"/>
      <c r="K29" s="27" t="s">
        <v>5651</v>
      </c>
      <c r="L29" s="27"/>
    </row>
    <row r="30" spans="1:12" x14ac:dyDescent="0.25">
      <c r="A30" s="360">
        <v>32531</v>
      </c>
      <c r="B30" s="233" t="str">
        <f>VLOOKUP(Table15[[#This Row],[Document ID]],Table1[],2,FALSE)</f>
        <v>CAN</v>
      </c>
      <c r="C30" s="233" t="str">
        <f>VLOOKUP(Table15[[#This Row],[Document ID]],Table1[],3,FALSE)</f>
        <v>Canada</v>
      </c>
      <c r="D30" s="233" t="str">
        <f>VLOOKUP(Table15[[#This Row],[Document ID]],Table1[],4,FALSE)</f>
        <v>Good</v>
      </c>
      <c r="E30" s="233" t="str">
        <f>VLOOKUP(Table15[[#This Row],[Document ID]],Table1[],5,FALSE)</f>
        <v>LTS</v>
      </c>
      <c r="F30" s="233" t="str">
        <f>VLOOKUP(Table15[[#This Row],[Document ID]],Table1[],6,FALSE)</f>
        <v>LTS</v>
      </c>
      <c r="G30" s="233" t="str">
        <f>VLOOKUP(Table15[[#This Row],[Document ID]],Table1[],8,FALSE)</f>
        <v>LTS 2.0</v>
      </c>
      <c r="H30" s="27" t="s">
        <v>5652</v>
      </c>
      <c r="I30" s="27">
        <v>9</v>
      </c>
      <c r="J30" s="28"/>
      <c r="K30" s="27" t="s">
        <v>5653</v>
      </c>
      <c r="L30" s="27"/>
    </row>
    <row r="31" spans="1:12" x14ac:dyDescent="0.25">
      <c r="A31" s="368">
        <v>26779</v>
      </c>
      <c r="B31" s="233" t="str">
        <f>VLOOKUP(Table15[[#This Row],[Document ID]],Table1[],2,FALSE)</f>
        <v>COD</v>
      </c>
      <c r="C31" s="233" t="str">
        <f>VLOOKUP(Table15[[#This Row],[Document ID]],Table1[],3,FALSE)</f>
        <v>Democratic Republic of the Congo</v>
      </c>
      <c r="D31" s="233" t="str">
        <f>VLOOKUP(Table15[[#This Row],[Document ID]],Table1[],4,FALSE)</f>
        <v>Good</v>
      </c>
      <c r="E31" s="233" t="str">
        <f>VLOOKUP(Table15[[#This Row],[Document ID]],Table1[],5,FALSE)</f>
        <v>NDC</v>
      </c>
      <c r="F31" s="233" t="str">
        <f>VLOOKUP(Table15[[#This Row],[Document ID]],Table1[],6,FALSE)</f>
        <v>Updated NDC</v>
      </c>
      <c r="G31" s="233" t="str">
        <f>VLOOKUP(Table15[[#This Row],[Document ID]],Table1[],8,FALSE)</f>
        <v>NDC 1.1</v>
      </c>
      <c r="H31" s="27" t="s">
        <v>5654</v>
      </c>
      <c r="I31" s="27">
        <v>8</v>
      </c>
      <c r="J31" s="28"/>
      <c r="K31" s="27"/>
      <c r="L31" s="27"/>
    </row>
    <row r="32" spans="1:12" ht="75" x14ac:dyDescent="0.25">
      <c r="A32" s="368">
        <v>26779</v>
      </c>
      <c r="B32" s="233" t="str">
        <f>VLOOKUP(Table15[[#This Row],[Document ID]],Table1[],2,FALSE)</f>
        <v>COD</v>
      </c>
      <c r="C32" s="233" t="str">
        <f>VLOOKUP(Table15[[#This Row],[Document ID]],Table1[],3,FALSE)</f>
        <v>Democratic Republic of the Congo</v>
      </c>
      <c r="D32" s="233" t="str">
        <f>VLOOKUP(Table15[[#This Row],[Document ID]],Table1[],4,FALSE)</f>
        <v>Good</v>
      </c>
      <c r="E32" s="233" t="str">
        <f>VLOOKUP(Table15[[#This Row],[Document ID]],Table1[],5,FALSE)</f>
        <v>NDC</v>
      </c>
      <c r="F32" s="233" t="str">
        <f>VLOOKUP(Table15[[#This Row],[Document ID]],Table1[],6,FALSE)</f>
        <v>Updated NDC</v>
      </c>
      <c r="G32" s="233" t="str">
        <f>VLOOKUP(Table15[[#This Row],[Document ID]],Table1[],8,FALSE)</f>
        <v>NDC 1.1</v>
      </c>
      <c r="H32" s="28" t="s">
        <v>5655</v>
      </c>
      <c r="I32" s="27">
        <v>45</v>
      </c>
      <c r="J32" s="28"/>
      <c r="K32" s="27"/>
      <c r="L32" s="27"/>
    </row>
    <row r="33" spans="1:12" ht="30" x14ac:dyDescent="0.25">
      <c r="A33" s="360">
        <v>26777</v>
      </c>
      <c r="B33" s="233" t="str">
        <f>VLOOKUP(Table15[[#This Row],[Document ID]],Table1[],2,FALSE)</f>
        <v>COL</v>
      </c>
      <c r="C33" s="233" t="str">
        <f>VLOOKUP(Table15[[#This Row],[Document ID]],Table1[],3,FALSE)</f>
        <v>Colombia</v>
      </c>
      <c r="D33" s="233" t="str">
        <f>VLOOKUP(Table15[[#This Row],[Document ID]],Table1[],4,FALSE)</f>
        <v>Good</v>
      </c>
      <c r="E33" s="233" t="str">
        <f>VLOOKUP(Table15[[#This Row],[Document ID]],Table1[],5,FALSE)</f>
        <v>LTS</v>
      </c>
      <c r="F33" s="233" t="str">
        <f>VLOOKUP(Table15[[#This Row],[Document ID]],Table1[],6,FALSE)</f>
        <v>LTS</v>
      </c>
      <c r="G33" s="233" t="str">
        <f>VLOOKUP(Table15[[#This Row],[Document ID]],Table1[],8,FALSE)</f>
        <v>LTS 1.0</v>
      </c>
      <c r="H33" s="209" t="s">
        <v>5656</v>
      </c>
      <c r="I33" s="27">
        <v>118</v>
      </c>
      <c r="J33" s="28" t="s">
        <v>5657</v>
      </c>
      <c r="K33" s="312" t="s">
        <v>5658</v>
      </c>
      <c r="L33" s="28" t="s">
        <v>5659</v>
      </c>
    </row>
    <row r="34" spans="1:12" x14ac:dyDescent="0.25">
      <c r="A34" s="360">
        <v>26777</v>
      </c>
      <c r="B34" s="233" t="str">
        <f>VLOOKUP(Table15[[#This Row],[Document ID]],Table1[],2,FALSE)</f>
        <v>COL</v>
      </c>
      <c r="C34" s="233" t="str">
        <f>VLOOKUP(Table15[[#This Row],[Document ID]],Table1[],3,FALSE)</f>
        <v>Colombia</v>
      </c>
      <c r="D34" s="233" t="str">
        <f>VLOOKUP(Table15[[#This Row],[Document ID]],Table1[],4,FALSE)</f>
        <v>Good</v>
      </c>
      <c r="E34" s="233" t="str">
        <f>VLOOKUP(Table15[[#This Row],[Document ID]],Table1[],5,FALSE)</f>
        <v>LTS</v>
      </c>
      <c r="F34" s="233" t="str">
        <f>VLOOKUP(Table15[[#This Row],[Document ID]],Table1[],6,FALSE)</f>
        <v>LTS</v>
      </c>
      <c r="G34" s="233" t="str">
        <f>VLOOKUP(Table15[[#This Row],[Document ID]],Table1[],8,FALSE)</f>
        <v>LTS 1.0</v>
      </c>
      <c r="H34" s="314" t="s">
        <v>5660</v>
      </c>
      <c r="I34" s="27" t="s">
        <v>5661</v>
      </c>
      <c r="J34" s="28"/>
      <c r="K34" s="312"/>
      <c r="L34" s="28"/>
    </row>
    <row r="35" spans="1:12" x14ac:dyDescent="0.25">
      <c r="A35" s="360">
        <v>26777</v>
      </c>
      <c r="B35" s="233" t="str">
        <f>VLOOKUP(Table15[[#This Row],[Document ID]],Table1[],2,FALSE)</f>
        <v>COL</v>
      </c>
      <c r="C35" s="233" t="str">
        <f>VLOOKUP(Table15[[#This Row],[Document ID]],Table1[],3,FALSE)</f>
        <v>Colombia</v>
      </c>
      <c r="D35" s="233" t="str">
        <f>VLOOKUP(Table15[[#This Row],[Document ID]],Table1[],4,FALSE)</f>
        <v>Good</v>
      </c>
      <c r="E35" s="233" t="str">
        <f>VLOOKUP(Table15[[#This Row],[Document ID]],Table1[],5,FALSE)</f>
        <v>LTS</v>
      </c>
      <c r="F35" s="233" t="str">
        <f>VLOOKUP(Table15[[#This Row],[Document ID]],Table1[],6,FALSE)</f>
        <v>LTS</v>
      </c>
      <c r="G35" s="233" t="str">
        <f>VLOOKUP(Table15[[#This Row],[Document ID]],Table1[],8,FALSE)</f>
        <v>LTS 1.0</v>
      </c>
      <c r="H35" s="314" t="s">
        <v>5662</v>
      </c>
      <c r="I35" s="27" t="s">
        <v>5661</v>
      </c>
      <c r="J35" s="28"/>
      <c r="K35" s="312"/>
      <c r="L35" s="28"/>
    </row>
    <row r="36" spans="1:12" ht="45" x14ac:dyDescent="0.25">
      <c r="A36" s="360">
        <v>17546</v>
      </c>
      <c r="B36" s="233" t="str">
        <f>VLOOKUP(Table15[[#This Row],[Document ID]],Table1[],2,FALSE)</f>
        <v>CPV</v>
      </c>
      <c r="C36" s="233" t="str">
        <f>VLOOKUP(Table15[[#This Row],[Document ID]],Table1[],3,FALSE)</f>
        <v>Cabo Verde</v>
      </c>
      <c r="D36" s="233" t="str">
        <f>VLOOKUP(Table15[[#This Row],[Document ID]],Table1[],4,FALSE)</f>
        <v>Good</v>
      </c>
      <c r="E36" s="233" t="str">
        <f>VLOOKUP(Table15[[#This Row],[Document ID]],Table1[],5,FALSE)</f>
        <v>NDC</v>
      </c>
      <c r="F36" s="233" t="str">
        <f>VLOOKUP(Table15[[#This Row],[Document ID]],Table1[],6,FALSE)</f>
        <v>Updated NDC</v>
      </c>
      <c r="G36" s="233" t="str">
        <f>VLOOKUP(Table15[[#This Row],[Document ID]],Table1[],8,FALSE)</f>
        <v>NDC 1.1</v>
      </c>
      <c r="H36" s="209" t="s">
        <v>5663</v>
      </c>
      <c r="I36" s="27">
        <v>26</v>
      </c>
      <c r="J36" s="28" t="s">
        <v>5664</v>
      </c>
      <c r="K36" s="27" t="s">
        <v>5665</v>
      </c>
      <c r="L36" s="27"/>
    </row>
    <row r="37" spans="1:12" ht="75" x14ac:dyDescent="0.25">
      <c r="A37" s="360">
        <v>17602</v>
      </c>
      <c r="B37" s="233" t="str">
        <f>VLOOKUP(Table15[[#This Row],[Document ID]],Table1[],2,FALSE)</f>
        <v>DEU</v>
      </c>
      <c r="C37" s="233" t="str">
        <f>VLOOKUP(Table15[[#This Row],[Document ID]],Table1[],3,FALSE)</f>
        <v>Germany</v>
      </c>
      <c r="D37" s="233" t="str">
        <f>VLOOKUP(Table15[[#This Row],[Document ID]],Table1[],4,FALSE)</f>
        <v>Good</v>
      </c>
      <c r="E37" s="233" t="str">
        <f>VLOOKUP(Table15[[#This Row],[Document ID]],Table1[],5,FALSE)</f>
        <v>LTS</v>
      </c>
      <c r="F37" s="233" t="str">
        <f>VLOOKUP(Table15[[#This Row],[Document ID]],Table1[],6,FALSE)</f>
        <v>Archived LTS 1.0</v>
      </c>
      <c r="G37" s="233" t="str">
        <f>VLOOKUP(Table15[[#This Row],[Document ID]],Table1[],8,FALSE)</f>
        <v>LTS 1.0</v>
      </c>
      <c r="H37" s="209" t="s">
        <v>5666</v>
      </c>
      <c r="I37" s="27">
        <v>8</v>
      </c>
      <c r="J37" s="28" t="s">
        <v>5667</v>
      </c>
      <c r="K37" s="312" t="s">
        <v>5668</v>
      </c>
      <c r="L37" s="27" t="s">
        <v>5669</v>
      </c>
    </row>
    <row r="38" spans="1:12" x14ac:dyDescent="0.25">
      <c r="A38" s="360">
        <v>32501</v>
      </c>
      <c r="B38" s="233" t="str">
        <f>VLOOKUP(Table15[[#This Row],[Document ID]],Table1[],2,FALSE)</f>
        <v>DEU</v>
      </c>
      <c r="C38" s="233" t="str">
        <f>VLOOKUP(Table15[[#This Row],[Document ID]],Table1[],3,FALSE)</f>
        <v>Germany</v>
      </c>
      <c r="D38" s="233" t="str">
        <f>VLOOKUP(Table15[[#This Row],[Document ID]],Table1[],4,FALSE)</f>
        <v>Good</v>
      </c>
      <c r="E38" s="233" t="str">
        <f>VLOOKUP(Table15[[#This Row],[Document ID]],Table1[],5,FALSE)</f>
        <v>LTS</v>
      </c>
      <c r="F38" s="233" t="str">
        <f>VLOOKUP(Table15[[#This Row],[Document ID]],Table1[],6,FALSE)</f>
        <v>LTS</v>
      </c>
      <c r="G38" s="233" t="str">
        <f>VLOOKUP(Table15[[#This Row],[Document ID]],Table1[],8,FALSE)</f>
        <v>LTS 1.1</v>
      </c>
      <c r="H38" s="27" t="s">
        <v>5670</v>
      </c>
      <c r="I38" s="27">
        <v>3</v>
      </c>
      <c r="J38" s="28"/>
      <c r="K38" s="27"/>
      <c r="L38" s="27"/>
    </row>
    <row r="39" spans="1:12" x14ac:dyDescent="0.25">
      <c r="A39" s="360">
        <v>32501</v>
      </c>
      <c r="B39" s="233" t="str">
        <f>VLOOKUP(Table15[[#This Row],[Document ID]],Table1[],2,FALSE)</f>
        <v>DEU</v>
      </c>
      <c r="C39" s="233" t="str">
        <f>VLOOKUP(Table15[[#This Row],[Document ID]],Table1[],3,FALSE)</f>
        <v>Germany</v>
      </c>
      <c r="D39" s="233" t="str">
        <f>VLOOKUP(Table15[[#This Row],[Document ID]],Table1[],4,FALSE)</f>
        <v>Good</v>
      </c>
      <c r="E39" s="233" t="str">
        <f>VLOOKUP(Table15[[#This Row],[Document ID]],Table1[],5,FALSE)</f>
        <v>LTS</v>
      </c>
      <c r="F39" s="233" t="str">
        <f>VLOOKUP(Table15[[#This Row],[Document ID]],Table1[],6,FALSE)</f>
        <v>LTS</v>
      </c>
      <c r="G39" s="233" t="str">
        <f>VLOOKUP(Table15[[#This Row],[Document ID]],Table1[],8,FALSE)</f>
        <v>LTS 1.1</v>
      </c>
      <c r="H39" s="27" t="s">
        <v>5671</v>
      </c>
      <c r="I39" s="27">
        <v>4</v>
      </c>
      <c r="J39" s="28"/>
      <c r="K39" s="27"/>
      <c r="L39" s="27"/>
    </row>
    <row r="40" spans="1:12" x14ac:dyDescent="0.25">
      <c r="A40" s="360">
        <v>39443</v>
      </c>
      <c r="B40" s="233" t="str">
        <f>VLOOKUP(Table15[[#This Row],[Document ID]],Table1[],2,FALSE)</f>
        <v>EEU</v>
      </c>
      <c r="C40" s="233" t="str">
        <f>VLOOKUP(Table15[[#This Row],[Document ID]],Table1[],3,FALSE)</f>
        <v>European Union</v>
      </c>
      <c r="D40" s="233" t="str">
        <f>VLOOKUP(Table15[[#This Row],[Document ID]],Table1[],4,FALSE)</f>
        <v>Good</v>
      </c>
      <c r="E40" s="233" t="str">
        <f>VLOOKUP(Table15[[#This Row],[Document ID]],Table1[],5,FALSE)</f>
        <v>NDC</v>
      </c>
      <c r="F40" s="233" t="str">
        <f>VLOOKUP(Table15[[#This Row],[Document ID]],Table1[],6,FALSE)</f>
        <v>Updated NDC</v>
      </c>
      <c r="G40" s="233" t="str">
        <f>VLOOKUP(Table15[[#This Row],[Document ID]],Table1[],8,FALSE)</f>
        <v>NDC 1.2</v>
      </c>
      <c r="H40" s="27" t="s">
        <v>5672</v>
      </c>
      <c r="I40" s="27">
        <v>2</v>
      </c>
      <c r="J40" s="28" t="s">
        <v>5673</v>
      </c>
      <c r="K40" s="27"/>
      <c r="L40" s="27"/>
    </row>
    <row r="41" spans="1:12" x14ac:dyDescent="0.25">
      <c r="A41" s="360">
        <v>39443</v>
      </c>
      <c r="B41" s="233" t="str">
        <f>VLOOKUP(Table15[[#This Row],[Document ID]],Table1[],2,FALSE)</f>
        <v>EEU</v>
      </c>
      <c r="C41" s="233" t="str">
        <f>VLOOKUP(Table15[[#This Row],[Document ID]],Table1[],3,FALSE)</f>
        <v>European Union</v>
      </c>
      <c r="D41" s="233" t="str">
        <f>VLOOKUP(Table15[[#This Row],[Document ID]],Table1[],4,FALSE)</f>
        <v>Good</v>
      </c>
      <c r="E41" s="233" t="str">
        <f>VLOOKUP(Table15[[#This Row],[Document ID]],Table1[],5,FALSE)</f>
        <v>NDC</v>
      </c>
      <c r="F41" s="233" t="str">
        <f>VLOOKUP(Table15[[#This Row],[Document ID]],Table1[],6,FALSE)</f>
        <v>Updated NDC</v>
      </c>
      <c r="G41" s="233" t="str">
        <f>VLOOKUP(Table15[[#This Row],[Document ID]],Table1[],8,FALSE)</f>
        <v>NDC 1.2</v>
      </c>
      <c r="H41" s="315" t="s">
        <v>5674</v>
      </c>
      <c r="I41" s="27">
        <v>4</v>
      </c>
      <c r="J41" s="28"/>
      <c r="K41" s="27"/>
      <c r="L41" s="27"/>
    </row>
    <row r="42" spans="1:12" x14ac:dyDescent="0.25">
      <c r="A42" s="360">
        <v>39442</v>
      </c>
      <c r="B42" s="233" t="str">
        <f>VLOOKUP(Table15[[#This Row],[Document ID]],Table1[],2,FALSE)</f>
        <v>ETH</v>
      </c>
      <c r="C42" s="233" t="str">
        <f>VLOOKUP(Table15[[#This Row],[Document ID]],Table1[],3,FALSE)</f>
        <v>Ethiopia</v>
      </c>
      <c r="D42" s="233" t="str">
        <f>VLOOKUP(Table15[[#This Row],[Document ID]],Table1[],4,FALSE)</f>
        <v>Good</v>
      </c>
      <c r="E42" s="233" t="str">
        <f>VLOOKUP(Table15[[#This Row],[Document ID]],Table1[],5,FALSE)</f>
        <v>LTS</v>
      </c>
      <c r="F42" s="233" t="str">
        <f>VLOOKUP(Table15[[#This Row],[Document ID]],Table1[],6,FALSE)</f>
        <v>LTS</v>
      </c>
      <c r="G42" s="233" t="str">
        <f>VLOOKUP(Table15[[#This Row],[Document ID]],Table1[],8,FALSE)</f>
        <v>LTS 1.0</v>
      </c>
      <c r="H42" s="27" t="s">
        <v>5675</v>
      </c>
      <c r="I42" s="27">
        <v>41</v>
      </c>
      <c r="J42" s="28"/>
      <c r="K42" s="27"/>
      <c r="L42" s="27"/>
    </row>
    <row r="43" spans="1:12" x14ac:dyDescent="0.25">
      <c r="A43" s="360">
        <v>39442</v>
      </c>
      <c r="B43" s="233" t="str">
        <f>VLOOKUP(Table15[[#This Row],[Document ID]],Table1[],2,FALSE)</f>
        <v>ETH</v>
      </c>
      <c r="C43" s="233" t="str">
        <f>VLOOKUP(Table15[[#This Row],[Document ID]],Table1[],3,FALSE)</f>
        <v>Ethiopia</v>
      </c>
      <c r="D43" s="233" t="str">
        <f>VLOOKUP(Table15[[#This Row],[Document ID]],Table1[],4,FALSE)</f>
        <v>Good</v>
      </c>
      <c r="E43" s="233" t="str">
        <f>VLOOKUP(Table15[[#This Row],[Document ID]],Table1[],5,FALSE)</f>
        <v>LTS</v>
      </c>
      <c r="F43" s="233" t="str">
        <f>VLOOKUP(Table15[[#This Row],[Document ID]],Table1[],6,FALSE)</f>
        <v>LTS</v>
      </c>
      <c r="G43" s="233" t="str">
        <f>VLOOKUP(Table15[[#This Row],[Document ID]],Table1[],8,FALSE)</f>
        <v>LTS 1.0</v>
      </c>
      <c r="H43" s="27" t="s">
        <v>5676</v>
      </c>
      <c r="I43" s="27">
        <v>41</v>
      </c>
      <c r="J43" s="28"/>
      <c r="K43" s="27"/>
      <c r="L43" s="27"/>
    </row>
    <row r="44" spans="1:12" x14ac:dyDescent="0.25">
      <c r="A44" s="360">
        <v>39442</v>
      </c>
      <c r="B44" s="233" t="str">
        <f>VLOOKUP(Table15[[#This Row],[Document ID]],Table1[],2,FALSE)</f>
        <v>ETH</v>
      </c>
      <c r="C44" s="233" t="str">
        <f>VLOOKUP(Table15[[#This Row],[Document ID]],Table1[],3,FALSE)</f>
        <v>Ethiopia</v>
      </c>
      <c r="D44" s="233" t="str">
        <f>VLOOKUP(Table15[[#This Row],[Document ID]],Table1[],4,FALSE)</f>
        <v>Good</v>
      </c>
      <c r="E44" s="233" t="str">
        <f>VLOOKUP(Table15[[#This Row],[Document ID]],Table1[],5,FALSE)</f>
        <v>LTS</v>
      </c>
      <c r="F44" s="233" t="str">
        <f>VLOOKUP(Table15[[#This Row],[Document ID]],Table1[],6,FALSE)</f>
        <v>LTS</v>
      </c>
      <c r="G44" s="233" t="str">
        <f>VLOOKUP(Table15[[#This Row],[Document ID]],Table1[],8,FALSE)</f>
        <v>LTS 1.0</v>
      </c>
      <c r="H44" s="27" t="s">
        <v>5677</v>
      </c>
      <c r="I44" s="27">
        <v>41</v>
      </c>
      <c r="J44" s="28"/>
      <c r="K44" s="27"/>
      <c r="L44" s="27"/>
    </row>
    <row r="45" spans="1:12" x14ac:dyDescent="0.25">
      <c r="A45" s="360">
        <v>39442</v>
      </c>
      <c r="B45" s="233" t="str">
        <f>VLOOKUP(Table15[[#This Row],[Document ID]],Table1[],2,FALSE)</f>
        <v>ETH</v>
      </c>
      <c r="C45" s="233" t="str">
        <f>VLOOKUP(Table15[[#This Row],[Document ID]],Table1[],3,FALSE)</f>
        <v>Ethiopia</v>
      </c>
      <c r="D45" s="233" t="str">
        <f>VLOOKUP(Table15[[#This Row],[Document ID]],Table1[],4,FALSE)</f>
        <v>Good</v>
      </c>
      <c r="E45" s="233" t="str">
        <f>VLOOKUP(Table15[[#This Row],[Document ID]],Table1[],5,FALSE)</f>
        <v>LTS</v>
      </c>
      <c r="F45" s="233" t="str">
        <f>VLOOKUP(Table15[[#This Row],[Document ID]],Table1[],6,FALSE)</f>
        <v>LTS</v>
      </c>
      <c r="G45" s="233" t="str">
        <f>VLOOKUP(Table15[[#This Row],[Document ID]],Table1[],8,FALSE)</f>
        <v>LTS 1.0</v>
      </c>
      <c r="H45" s="27" t="s">
        <v>5678</v>
      </c>
      <c r="I45" s="27">
        <v>21</v>
      </c>
      <c r="J45" s="28"/>
      <c r="K45" s="27"/>
      <c r="L45" s="27"/>
    </row>
    <row r="46" spans="1:12" x14ac:dyDescent="0.25">
      <c r="A46" s="360">
        <v>39442</v>
      </c>
      <c r="B46" s="233" t="str">
        <f>VLOOKUP(Table15[[#This Row],[Document ID]],Table1[],2,FALSE)</f>
        <v>ETH</v>
      </c>
      <c r="C46" s="233" t="str">
        <f>VLOOKUP(Table15[[#This Row],[Document ID]],Table1[],3,FALSE)</f>
        <v>Ethiopia</v>
      </c>
      <c r="D46" s="233" t="str">
        <f>VLOOKUP(Table15[[#This Row],[Document ID]],Table1[],4,FALSE)</f>
        <v>Good</v>
      </c>
      <c r="E46" s="233" t="str">
        <f>VLOOKUP(Table15[[#This Row],[Document ID]],Table1[],5,FALSE)</f>
        <v>LTS</v>
      </c>
      <c r="F46" s="233" t="str">
        <f>VLOOKUP(Table15[[#This Row],[Document ID]],Table1[],6,FALSE)</f>
        <v>LTS</v>
      </c>
      <c r="G46" s="233" t="str">
        <f>VLOOKUP(Table15[[#This Row],[Document ID]],Table1[],8,FALSE)</f>
        <v>LTS 1.0</v>
      </c>
      <c r="H46" s="27" t="s">
        <v>5679</v>
      </c>
      <c r="I46" s="27">
        <v>21</v>
      </c>
      <c r="J46" s="28"/>
      <c r="K46" s="27"/>
      <c r="L46" s="27"/>
    </row>
    <row r="47" spans="1:12" ht="30" x14ac:dyDescent="0.25">
      <c r="A47" s="368">
        <v>26792</v>
      </c>
      <c r="B47" s="233" t="str">
        <f>VLOOKUP(Table15[[#This Row],[Document ID]],Table1[],2,FALSE)</f>
        <v>GBR</v>
      </c>
      <c r="C47" s="233" t="str">
        <f>VLOOKUP(Table15[[#This Row],[Document ID]],Table1[],3,FALSE)</f>
        <v>United Kingdom</v>
      </c>
      <c r="D47" s="233" t="str">
        <f>VLOOKUP(Table15[[#This Row],[Document ID]],Table1[],4,FALSE)</f>
        <v>Good</v>
      </c>
      <c r="E47" s="233" t="str">
        <f>VLOOKUP(Table15[[#This Row],[Document ID]],Table1[],5,FALSE)</f>
        <v>LTS</v>
      </c>
      <c r="F47" s="233" t="str">
        <f>VLOOKUP(Table15[[#This Row],[Document ID]],Table1[],6,FALSE)</f>
        <v>LTS</v>
      </c>
      <c r="G47" s="233" t="str">
        <f>VLOOKUP(Table15[[#This Row],[Document ID]],Table1[],8,FALSE)</f>
        <v>LTS 1.1</v>
      </c>
      <c r="H47" s="209" t="s">
        <v>5680</v>
      </c>
      <c r="I47" s="27">
        <v>152</v>
      </c>
      <c r="J47" s="28" t="s">
        <v>5681</v>
      </c>
      <c r="K47" s="312" t="s">
        <v>5682</v>
      </c>
      <c r="L47" s="27" t="s">
        <v>5683</v>
      </c>
    </row>
    <row r="48" spans="1:12" ht="45" x14ac:dyDescent="0.25">
      <c r="A48" s="368">
        <v>26792</v>
      </c>
      <c r="B48" s="233" t="str">
        <f>VLOOKUP(Table15[[#This Row],[Document ID]],Table1[],2,FALSE)</f>
        <v>GBR</v>
      </c>
      <c r="C48" s="233" t="str">
        <f>VLOOKUP(Table15[[#This Row],[Document ID]],Table1[],3,FALSE)</f>
        <v>United Kingdom</v>
      </c>
      <c r="D48" s="233" t="str">
        <f>VLOOKUP(Table15[[#This Row],[Document ID]],Table1[],4,FALSE)</f>
        <v>Good</v>
      </c>
      <c r="E48" s="233" t="str">
        <f>VLOOKUP(Table15[[#This Row],[Document ID]],Table1[],5,FALSE)</f>
        <v>LTS</v>
      </c>
      <c r="F48" s="233" t="str">
        <f>VLOOKUP(Table15[[#This Row],[Document ID]],Table1[],6,FALSE)</f>
        <v>LTS</v>
      </c>
      <c r="G48" s="233" t="str">
        <f>VLOOKUP(Table15[[#This Row],[Document ID]],Table1[],8,FALSE)</f>
        <v>LTS 1.1</v>
      </c>
      <c r="H48" s="28" t="s">
        <v>5684</v>
      </c>
      <c r="I48" s="27">
        <v>153</v>
      </c>
      <c r="J48" s="28" t="s">
        <v>5685</v>
      </c>
      <c r="K48" s="312" t="s">
        <v>5686</v>
      </c>
      <c r="L48" s="27" t="s">
        <v>5687</v>
      </c>
    </row>
    <row r="49" spans="1:12" ht="30" x14ac:dyDescent="0.25">
      <c r="A49" s="360">
        <v>26792</v>
      </c>
      <c r="B49" s="233" t="str">
        <f>VLOOKUP(Table15[[#This Row],[Document ID]],Table1[],2,FALSE)</f>
        <v>GBR</v>
      </c>
      <c r="C49" s="233" t="str">
        <f>VLOOKUP(Table15[[#This Row],[Document ID]],Table1[],3,FALSE)</f>
        <v>United Kingdom</v>
      </c>
      <c r="D49" s="233" t="str">
        <f>VLOOKUP(Table15[[#This Row],[Document ID]],Table1[],4,FALSE)</f>
        <v>Good</v>
      </c>
      <c r="E49" s="233" t="str">
        <f>VLOOKUP(Table15[[#This Row],[Document ID]],Table1[],5,FALSE)</f>
        <v>LTS</v>
      </c>
      <c r="F49" s="233" t="str">
        <f>VLOOKUP(Table15[[#This Row],[Document ID]],Table1[],6,FALSE)</f>
        <v>LTS</v>
      </c>
      <c r="G49" s="233" t="str">
        <f>VLOOKUP(Table15[[#This Row],[Document ID]],Table1[],8,FALSE)</f>
        <v>LTS 1.1</v>
      </c>
      <c r="H49" s="209" t="s">
        <v>5688</v>
      </c>
      <c r="I49" s="27">
        <v>153</v>
      </c>
      <c r="J49" s="28" t="s">
        <v>5689</v>
      </c>
      <c r="K49" s="312" t="s">
        <v>5690</v>
      </c>
      <c r="L49" s="27" t="s">
        <v>5691</v>
      </c>
    </row>
    <row r="50" spans="1:12" x14ac:dyDescent="0.25">
      <c r="A50" s="360">
        <v>26792</v>
      </c>
      <c r="B50" s="233" t="str">
        <f>VLOOKUP(Table15[[#This Row],[Document ID]],Table1[],2,FALSE)</f>
        <v>GBR</v>
      </c>
      <c r="C50" s="233" t="str">
        <f>VLOOKUP(Table15[[#This Row],[Document ID]],Table1[],3,FALSE)</f>
        <v>United Kingdom</v>
      </c>
      <c r="D50" s="233" t="str">
        <f>VLOOKUP(Table15[[#This Row],[Document ID]],Table1[],4,FALSE)</f>
        <v>Good</v>
      </c>
      <c r="E50" s="233" t="str">
        <f>VLOOKUP(Table15[[#This Row],[Document ID]],Table1[],5,FALSE)</f>
        <v>LTS</v>
      </c>
      <c r="F50" s="233" t="str">
        <f>VLOOKUP(Table15[[#This Row],[Document ID]],Table1[],6,FALSE)</f>
        <v>LTS</v>
      </c>
      <c r="G50" s="233" t="str">
        <f>VLOOKUP(Table15[[#This Row],[Document ID]],Table1[],8,FALSE)</f>
        <v>LTS 1.1</v>
      </c>
      <c r="H50" s="27" t="s">
        <v>5692</v>
      </c>
      <c r="I50" s="27">
        <v>153</v>
      </c>
      <c r="J50" s="28" t="s">
        <v>5693</v>
      </c>
      <c r="K50" s="312" t="s">
        <v>5694</v>
      </c>
      <c r="L50" s="27" t="s">
        <v>5695</v>
      </c>
    </row>
    <row r="51" spans="1:12" ht="30" x14ac:dyDescent="0.25">
      <c r="A51" s="360">
        <v>26792</v>
      </c>
      <c r="B51" s="233" t="str">
        <f>VLOOKUP(Table15[[#This Row],[Document ID]],Table1[],2,FALSE)</f>
        <v>GBR</v>
      </c>
      <c r="C51" s="233" t="str">
        <f>VLOOKUP(Table15[[#This Row],[Document ID]],Table1[],3,FALSE)</f>
        <v>United Kingdom</v>
      </c>
      <c r="D51" s="233" t="str">
        <f>VLOOKUP(Table15[[#This Row],[Document ID]],Table1[],4,FALSE)</f>
        <v>Good</v>
      </c>
      <c r="E51" s="233" t="str">
        <f>VLOOKUP(Table15[[#This Row],[Document ID]],Table1[],5,FALSE)</f>
        <v>LTS</v>
      </c>
      <c r="F51" s="233" t="str">
        <f>VLOOKUP(Table15[[#This Row],[Document ID]],Table1[],6,FALSE)</f>
        <v>LTS</v>
      </c>
      <c r="G51" s="233" t="str">
        <f>VLOOKUP(Table15[[#This Row],[Document ID]],Table1[],8,FALSE)</f>
        <v>LTS 1.1</v>
      </c>
      <c r="H51" s="209" t="s">
        <v>5696</v>
      </c>
      <c r="I51" s="27">
        <v>157</v>
      </c>
      <c r="J51" s="28" t="s">
        <v>5697</v>
      </c>
      <c r="K51" s="312" t="s">
        <v>5698</v>
      </c>
      <c r="L51" s="27" t="s">
        <v>5699</v>
      </c>
    </row>
    <row r="52" spans="1:12" ht="30" x14ac:dyDescent="0.25">
      <c r="A52" s="360">
        <v>26792</v>
      </c>
      <c r="B52" s="233" t="str">
        <f>VLOOKUP(Table15[[#This Row],[Document ID]],Table1[],2,FALSE)</f>
        <v>GBR</v>
      </c>
      <c r="C52" s="233" t="str">
        <f>VLOOKUP(Table15[[#This Row],[Document ID]],Table1[],3,FALSE)</f>
        <v>United Kingdom</v>
      </c>
      <c r="D52" s="233" t="str">
        <f>VLOOKUP(Table15[[#This Row],[Document ID]],Table1[],4,FALSE)</f>
        <v>Good</v>
      </c>
      <c r="E52" s="233" t="str">
        <f>VLOOKUP(Table15[[#This Row],[Document ID]],Table1[],5,FALSE)</f>
        <v>LTS</v>
      </c>
      <c r="F52" s="233" t="str">
        <f>VLOOKUP(Table15[[#This Row],[Document ID]],Table1[],6,FALSE)</f>
        <v>LTS</v>
      </c>
      <c r="G52" s="233" t="str">
        <f>VLOOKUP(Table15[[#This Row],[Document ID]],Table1[],8,FALSE)</f>
        <v>LTS 1.1</v>
      </c>
      <c r="H52" s="28" t="s">
        <v>5700</v>
      </c>
      <c r="I52" s="27">
        <v>163</v>
      </c>
      <c r="J52" s="28" t="s">
        <v>5701</v>
      </c>
      <c r="K52" s="312" t="s">
        <v>5702</v>
      </c>
      <c r="L52" s="27" t="s">
        <v>5703</v>
      </c>
    </row>
    <row r="53" spans="1:12" ht="30" x14ac:dyDescent="0.25">
      <c r="A53" s="360">
        <v>26792</v>
      </c>
      <c r="B53" s="233" t="str">
        <f>VLOOKUP(Table15[[#This Row],[Document ID]],Table1[],2,FALSE)</f>
        <v>GBR</v>
      </c>
      <c r="C53" s="233" t="str">
        <f>VLOOKUP(Table15[[#This Row],[Document ID]],Table1[],3,FALSE)</f>
        <v>United Kingdom</v>
      </c>
      <c r="D53" s="233" t="str">
        <f>VLOOKUP(Table15[[#This Row],[Document ID]],Table1[],4,FALSE)</f>
        <v>Good</v>
      </c>
      <c r="E53" s="233" t="str">
        <f>VLOOKUP(Table15[[#This Row],[Document ID]],Table1[],5,FALSE)</f>
        <v>LTS</v>
      </c>
      <c r="F53" s="233" t="str">
        <f>VLOOKUP(Table15[[#This Row],[Document ID]],Table1[],6,FALSE)</f>
        <v>LTS</v>
      </c>
      <c r="G53" s="233" t="str">
        <f>VLOOKUP(Table15[[#This Row],[Document ID]],Table1[],8,FALSE)</f>
        <v>LTS 1.1</v>
      </c>
      <c r="H53" s="28" t="s">
        <v>5700</v>
      </c>
      <c r="I53" s="27">
        <v>163</v>
      </c>
      <c r="J53" s="316" t="s">
        <v>5704</v>
      </c>
      <c r="K53" s="312" t="s">
        <v>5705</v>
      </c>
      <c r="L53" s="27" t="s">
        <v>5706</v>
      </c>
    </row>
    <row r="54" spans="1:12" ht="45" x14ac:dyDescent="0.25">
      <c r="A54" s="360">
        <v>32523</v>
      </c>
      <c r="B54" s="233" t="str">
        <f>VLOOKUP(Table15[[#This Row],[Document ID]],Table1[],2,FALSE)</f>
        <v>GBR</v>
      </c>
      <c r="C54" s="233" t="str">
        <f>VLOOKUP(Table15[[#This Row],[Document ID]],Table1[],3,FALSE)</f>
        <v>United Kingdom</v>
      </c>
      <c r="D54" s="233" t="str">
        <f>VLOOKUP(Table15[[#This Row],[Document ID]],Table1[],4,FALSE)</f>
        <v>Good</v>
      </c>
      <c r="E54" s="233" t="str">
        <f>VLOOKUP(Table15[[#This Row],[Document ID]],Table1[],5,FALSE)</f>
        <v>NDC</v>
      </c>
      <c r="F54" s="233" t="str">
        <f>VLOOKUP(Table15[[#This Row],[Document ID]],Table1[],6,FALSE)</f>
        <v>Updated NDC</v>
      </c>
      <c r="G54" s="233" t="str">
        <f>VLOOKUP(Table15[[#This Row],[Document ID]],Table1[],8,FALSE)</f>
        <v>NDC 1.2</v>
      </c>
      <c r="H54" s="28" t="s">
        <v>5707</v>
      </c>
      <c r="I54" s="27">
        <v>9</v>
      </c>
      <c r="J54" s="316" t="s">
        <v>5708</v>
      </c>
      <c r="K54" s="312" t="s">
        <v>5709</v>
      </c>
      <c r="L54" s="27" t="s">
        <v>5706</v>
      </c>
    </row>
    <row r="55" spans="1:12" ht="45" x14ac:dyDescent="0.25">
      <c r="A55" s="360">
        <v>32523</v>
      </c>
      <c r="B55" s="233" t="str">
        <f>VLOOKUP(Table15[[#This Row],[Document ID]],Table1[],2,FALSE)</f>
        <v>GBR</v>
      </c>
      <c r="C55" s="233" t="str">
        <f>VLOOKUP(Table15[[#This Row],[Document ID]],Table1[],3,FALSE)</f>
        <v>United Kingdom</v>
      </c>
      <c r="D55" s="233" t="str">
        <f>VLOOKUP(Table15[[#This Row],[Document ID]],Table1[],4,FALSE)</f>
        <v>Good</v>
      </c>
      <c r="E55" s="233" t="str">
        <f>VLOOKUP(Table15[[#This Row],[Document ID]],Table1[],5,FALSE)</f>
        <v>NDC</v>
      </c>
      <c r="F55" s="233" t="str">
        <f>VLOOKUP(Table15[[#This Row],[Document ID]],Table1[],6,FALSE)</f>
        <v>Updated NDC</v>
      </c>
      <c r="G55" s="233" t="str">
        <f>VLOOKUP(Table15[[#This Row],[Document ID]],Table1[],8,FALSE)</f>
        <v>NDC 1.2</v>
      </c>
      <c r="H55" s="28" t="s">
        <v>5707</v>
      </c>
      <c r="I55" s="27">
        <v>9</v>
      </c>
      <c r="J55" s="316" t="s">
        <v>5704</v>
      </c>
      <c r="K55" s="312" t="s">
        <v>5710</v>
      </c>
      <c r="L55" s="27" t="s">
        <v>5706</v>
      </c>
    </row>
    <row r="56" spans="1:12" x14ac:dyDescent="0.25">
      <c r="A56" s="360">
        <v>39444</v>
      </c>
      <c r="B56" s="233" t="str">
        <f>VLOOKUP(Table15[[#This Row],[Document ID]],Table1[],2,FALSE)</f>
        <v>GEO</v>
      </c>
      <c r="C56" s="233" t="str">
        <f>VLOOKUP(Table15[[#This Row],[Document ID]],Table1[],3,FALSE)</f>
        <v>Georgia</v>
      </c>
      <c r="D56" s="233" t="str">
        <f>VLOOKUP(Table15[[#This Row],[Document ID]],Table1[],4,FALSE)</f>
        <v>Good</v>
      </c>
      <c r="E56" s="233" t="str">
        <f>VLOOKUP(Table15[[#This Row],[Document ID]],Table1[],5,FALSE)</f>
        <v>LTS</v>
      </c>
      <c r="F56" s="233" t="str">
        <f>VLOOKUP(Table15[[#This Row],[Document ID]],Table1[],6,FALSE)</f>
        <v>LTS</v>
      </c>
      <c r="G56" s="233" t="str">
        <f>VLOOKUP(Table15[[#This Row],[Document ID]],Table1[],8,FALSE)</f>
        <v>LTS 1.0</v>
      </c>
      <c r="H56" s="27" t="s">
        <v>5711</v>
      </c>
      <c r="I56" s="27">
        <v>10</v>
      </c>
      <c r="J56" s="28" t="s">
        <v>5712</v>
      </c>
      <c r="K56" s="27"/>
      <c r="L56" s="27"/>
    </row>
    <row r="57" spans="1:12" x14ac:dyDescent="0.25">
      <c r="A57" s="360">
        <v>39444</v>
      </c>
      <c r="B57" s="233" t="str">
        <f>VLOOKUP(Table15[[#This Row],[Document ID]],Table1[],2,FALSE)</f>
        <v>GEO</v>
      </c>
      <c r="C57" s="233" t="str">
        <f>VLOOKUP(Table15[[#This Row],[Document ID]],Table1[],3,FALSE)</f>
        <v>Georgia</v>
      </c>
      <c r="D57" s="233" t="str">
        <f>VLOOKUP(Table15[[#This Row],[Document ID]],Table1[],4,FALSE)</f>
        <v>Good</v>
      </c>
      <c r="E57" s="233" t="str">
        <f>VLOOKUP(Table15[[#This Row],[Document ID]],Table1[],5,FALSE)</f>
        <v>LTS</v>
      </c>
      <c r="F57" s="233" t="str">
        <f>VLOOKUP(Table15[[#This Row],[Document ID]],Table1[],6,FALSE)</f>
        <v>LTS</v>
      </c>
      <c r="G57" s="233" t="str">
        <f>VLOOKUP(Table15[[#This Row],[Document ID]],Table1[],8,FALSE)</f>
        <v>LTS 1.0</v>
      </c>
      <c r="H57" s="27" t="s">
        <v>5713</v>
      </c>
      <c r="I57" s="27">
        <v>10</v>
      </c>
      <c r="J57" s="28" t="s">
        <v>5714</v>
      </c>
      <c r="K57" s="312" t="s">
        <v>5715</v>
      </c>
      <c r="L57" s="27"/>
    </row>
    <row r="58" spans="1:12" ht="75" x14ac:dyDescent="0.25">
      <c r="A58" s="360">
        <v>26795</v>
      </c>
      <c r="B58" s="233" t="str">
        <f>VLOOKUP(Table15[[#This Row],[Document ID]],Table1[],2,FALSE)</f>
        <v>GHA</v>
      </c>
      <c r="C58" s="233" t="str">
        <f>VLOOKUP(Table15[[#This Row],[Document ID]],Table1[],3,FALSE)</f>
        <v>Ghana</v>
      </c>
      <c r="D58" s="233" t="str">
        <f>VLOOKUP(Table15[[#This Row],[Document ID]],Table1[],4,FALSE)</f>
        <v>Good</v>
      </c>
      <c r="E58" s="233" t="str">
        <f>VLOOKUP(Table15[[#This Row],[Document ID]],Table1[],5,FALSE)</f>
        <v>NDC</v>
      </c>
      <c r="F58" s="233" t="str">
        <f>VLOOKUP(Table15[[#This Row],[Document ID]],Table1[],6,FALSE)</f>
        <v>Updated NDC</v>
      </c>
      <c r="G58" s="233" t="str">
        <f>VLOOKUP(Table15[[#This Row],[Document ID]],Table1[],8,FALSE)</f>
        <v>NDC 1.2</v>
      </c>
      <c r="H58" s="209" t="s">
        <v>5716</v>
      </c>
      <c r="I58" s="27">
        <v>9</v>
      </c>
      <c r="J58" s="316" t="s">
        <v>5717</v>
      </c>
      <c r="K58" s="312" t="s">
        <v>5718</v>
      </c>
      <c r="L58" s="27" t="s">
        <v>5719</v>
      </c>
    </row>
    <row r="59" spans="1:12" ht="75" x14ac:dyDescent="0.25">
      <c r="A59" s="360">
        <v>26795</v>
      </c>
      <c r="B59" s="233" t="str">
        <f>VLOOKUP(Table15[[#This Row],[Document ID]],Table1[],2,FALSE)</f>
        <v>GHA</v>
      </c>
      <c r="C59" s="233" t="str">
        <f>VLOOKUP(Table15[[#This Row],[Document ID]],Table1[],3,FALSE)</f>
        <v>Ghana</v>
      </c>
      <c r="D59" s="233" t="str">
        <f>VLOOKUP(Table15[[#This Row],[Document ID]],Table1[],4,FALSE)</f>
        <v>Good</v>
      </c>
      <c r="E59" s="233" t="str">
        <f>VLOOKUP(Table15[[#This Row],[Document ID]],Table1[],5,FALSE)</f>
        <v>NDC</v>
      </c>
      <c r="F59" s="233" t="str">
        <f>VLOOKUP(Table15[[#This Row],[Document ID]],Table1[],6,FALSE)</f>
        <v>Updated NDC</v>
      </c>
      <c r="G59" s="233" t="str">
        <f>VLOOKUP(Table15[[#This Row],[Document ID]],Table1[],8,FALSE)</f>
        <v>NDC 1.2</v>
      </c>
      <c r="H59" s="209" t="s">
        <v>5716</v>
      </c>
      <c r="I59" s="27">
        <v>9</v>
      </c>
      <c r="J59" s="316" t="s">
        <v>5720</v>
      </c>
      <c r="K59" s="27" t="s">
        <v>5665</v>
      </c>
      <c r="L59" s="27"/>
    </row>
    <row r="60" spans="1:12" ht="75" x14ac:dyDescent="0.25">
      <c r="A60" s="360">
        <v>26795</v>
      </c>
      <c r="B60" s="233" t="str">
        <f>VLOOKUP(Table15[[#This Row],[Document ID]],Table1[],2,FALSE)</f>
        <v>GHA</v>
      </c>
      <c r="C60" s="233" t="str">
        <f>VLOOKUP(Table15[[#This Row],[Document ID]],Table1[],3,FALSE)</f>
        <v>Ghana</v>
      </c>
      <c r="D60" s="233" t="str">
        <f>VLOOKUP(Table15[[#This Row],[Document ID]],Table1[],4,FALSE)</f>
        <v>Good</v>
      </c>
      <c r="E60" s="233" t="str">
        <f>VLOOKUP(Table15[[#This Row],[Document ID]],Table1[],5,FALSE)</f>
        <v>NDC</v>
      </c>
      <c r="F60" s="233" t="str">
        <f>VLOOKUP(Table15[[#This Row],[Document ID]],Table1[],6,FALSE)</f>
        <v>Updated NDC</v>
      </c>
      <c r="G60" s="233" t="str">
        <f>VLOOKUP(Table15[[#This Row],[Document ID]],Table1[],8,FALSE)</f>
        <v>NDC 1.2</v>
      </c>
      <c r="H60" s="209" t="s">
        <v>5716</v>
      </c>
      <c r="I60" s="27">
        <v>9</v>
      </c>
      <c r="J60" s="28" t="s">
        <v>5721</v>
      </c>
      <c r="K60" s="312" t="s">
        <v>5722</v>
      </c>
      <c r="L60" s="27" t="s">
        <v>5723</v>
      </c>
    </row>
    <row r="61" spans="1:12" ht="30" x14ac:dyDescent="0.25">
      <c r="A61" s="360">
        <v>26801</v>
      </c>
      <c r="B61" s="233" t="str">
        <f>VLOOKUP(Table15[[#This Row],[Document ID]],Table1[],2,FALSE)</f>
        <v>GTM</v>
      </c>
      <c r="C61" s="233" t="str">
        <f>VLOOKUP(Table15[[#This Row],[Document ID]],Table1[],3,FALSE)</f>
        <v>Guatemala</v>
      </c>
      <c r="D61" s="233" t="str">
        <f>VLOOKUP(Table15[[#This Row],[Document ID]],Table1[],4,FALSE)</f>
        <v>Good</v>
      </c>
      <c r="E61" s="233" t="str">
        <f>VLOOKUP(Table15[[#This Row],[Document ID]],Table1[],5,FALSE)</f>
        <v>NDC</v>
      </c>
      <c r="F61" s="233" t="str">
        <f>VLOOKUP(Table15[[#This Row],[Document ID]],Table1[],6,FALSE)</f>
        <v>Archived NDC 1.1</v>
      </c>
      <c r="G61" s="233" t="str">
        <f>VLOOKUP(Table15[[#This Row],[Document ID]],Table1[],8,FALSE)</f>
        <v>NDC 1.1</v>
      </c>
      <c r="H61" s="27" t="s">
        <v>5724</v>
      </c>
      <c r="I61" s="27">
        <v>5</v>
      </c>
      <c r="J61" s="28" t="s">
        <v>5610</v>
      </c>
      <c r="K61" s="27"/>
      <c r="L61" s="27"/>
    </row>
    <row r="62" spans="1:12" x14ac:dyDescent="0.25">
      <c r="A62" s="360">
        <v>26801</v>
      </c>
      <c r="B62" s="233" t="str">
        <f>VLOOKUP(Table15[[#This Row],[Document ID]],Table1[],2,FALSE)</f>
        <v>GTM</v>
      </c>
      <c r="C62" s="233" t="str">
        <f>VLOOKUP(Table15[[#This Row],[Document ID]],Table1[],3,FALSE)</f>
        <v>Guatemala</v>
      </c>
      <c r="D62" s="233" t="str">
        <f>VLOOKUP(Table15[[#This Row],[Document ID]],Table1[],4,FALSE)</f>
        <v>Good</v>
      </c>
      <c r="E62" s="233" t="str">
        <f>VLOOKUP(Table15[[#This Row],[Document ID]],Table1[],5,FALSE)</f>
        <v>NDC</v>
      </c>
      <c r="F62" s="233" t="str">
        <f>VLOOKUP(Table15[[#This Row],[Document ID]],Table1[],6,FALSE)</f>
        <v>Archived NDC 1.1</v>
      </c>
      <c r="G62" s="233" t="str">
        <f>VLOOKUP(Table15[[#This Row],[Document ID]],Table1[],8,FALSE)</f>
        <v>NDC 1.1</v>
      </c>
      <c r="H62" s="27" t="s">
        <v>5725</v>
      </c>
      <c r="I62" s="27">
        <v>20</v>
      </c>
      <c r="J62" s="28"/>
      <c r="K62" s="27"/>
      <c r="L62" s="27"/>
    </row>
    <row r="63" spans="1:12" ht="30" x14ac:dyDescent="0.25">
      <c r="A63" s="360">
        <v>26802</v>
      </c>
      <c r="B63" s="233" t="str">
        <f>VLOOKUP(Table15[[#This Row],[Document ID]],Table1[],2,FALSE)</f>
        <v>GTM</v>
      </c>
      <c r="C63" s="233" t="str">
        <f>VLOOKUP(Table15[[#This Row],[Document ID]],Table1[],3,FALSE)</f>
        <v>Guatemala</v>
      </c>
      <c r="D63" s="233" t="str">
        <f>VLOOKUP(Table15[[#This Row],[Document ID]],Table1[],4,FALSE)</f>
        <v>Good</v>
      </c>
      <c r="E63" s="233" t="str">
        <f>VLOOKUP(Table15[[#This Row],[Document ID]],Table1[],5,FALSE)</f>
        <v>NDC</v>
      </c>
      <c r="F63" s="233" t="str">
        <f>VLOOKUP(Table15[[#This Row],[Document ID]],Table1[],6,FALSE)</f>
        <v>Updated NDC</v>
      </c>
      <c r="G63" s="233" t="str">
        <f>VLOOKUP(Table15[[#This Row],[Document ID]],Table1[],8,FALSE)</f>
        <v>NDC 1.2</v>
      </c>
      <c r="H63" s="27" t="s">
        <v>5724</v>
      </c>
      <c r="I63" s="27">
        <v>5</v>
      </c>
      <c r="J63" s="28" t="s">
        <v>5610</v>
      </c>
      <c r="K63" s="27"/>
      <c r="L63" s="27"/>
    </row>
    <row r="64" spans="1:12" x14ac:dyDescent="0.25">
      <c r="A64" s="360">
        <v>26802</v>
      </c>
      <c r="B64" s="233" t="str">
        <f>VLOOKUP(Table15[[#This Row],[Document ID]],Table1[],2,FALSE)</f>
        <v>GTM</v>
      </c>
      <c r="C64" s="233" t="str">
        <f>VLOOKUP(Table15[[#This Row],[Document ID]],Table1[],3,FALSE)</f>
        <v>Guatemala</v>
      </c>
      <c r="D64" s="233" t="str">
        <f>VLOOKUP(Table15[[#This Row],[Document ID]],Table1[],4,FALSE)</f>
        <v>Good</v>
      </c>
      <c r="E64" s="233" t="str">
        <f>VLOOKUP(Table15[[#This Row],[Document ID]],Table1[],5,FALSE)</f>
        <v>NDC</v>
      </c>
      <c r="F64" s="233" t="str">
        <f>VLOOKUP(Table15[[#This Row],[Document ID]],Table1[],6,FALSE)</f>
        <v>Updated NDC</v>
      </c>
      <c r="G64" s="233" t="str">
        <f>VLOOKUP(Table15[[#This Row],[Document ID]],Table1[],8,FALSE)</f>
        <v>NDC 1.2</v>
      </c>
      <c r="H64" s="27" t="s">
        <v>5725</v>
      </c>
      <c r="I64" s="27">
        <v>20</v>
      </c>
      <c r="J64" s="28"/>
      <c r="K64" s="27"/>
      <c r="L64" s="27"/>
    </row>
    <row r="65" spans="1:12" ht="45" x14ac:dyDescent="0.25">
      <c r="A65" s="360">
        <v>26802</v>
      </c>
      <c r="B65" s="233" t="str">
        <f>VLOOKUP(Table15[[#This Row],[Document ID]],Table1[],2,FALSE)</f>
        <v>GTM</v>
      </c>
      <c r="C65" s="233" t="str">
        <f>VLOOKUP(Table15[[#This Row],[Document ID]],Table1[],3,FALSE)</f>
        <v>Guatemala</v>
      </c>
      <c r="D65" s="233" t="str">
        <f>VLOOKUP(Table15[[#This Row],[Document ID]],Table1[],4,FALSE)</f>
        <v>Good</v>
      </c>
      <c r="E65" s="233" t="str">
        <f>VLOOKUP(Table15[[#This Row],[Document ID]],Table1[],5,FALSE)</f>
        <v>NDC</v>
      </c>
      <c r="F65" s="233" t="str">
        <f>VLOOKUP(Table15[[#This Row],[Document ID]],Table1[],6,FALSE)</f>
        <v>Updated NDC</v>
      </c>
      <c r="G65" s="233" t="str">
        <f>VLOOKUP(Table15[[#This Row],[Document ID]],Table1[],8,FALSE)</f>
        <v>NDC 1.2</v>
      </c>
      <c r="H65" s="28" t="s">
        <v>1613</v>
      </c>
      <c r="I65" s="27">
        <v>72</v>
      </c>
      <c r="J65" s="28"/>
      <c r="K65" s="27"/>
      <c r="L65" s="28" t="s">
        <v>5726</v>
      </c>
    </row>
    <row r="66" spans="1:12" x14ac:dyDescent="0.25">
      <c r="A66" s="360">
        <v>17622</v>
      </c>
      <c r="B66" s="233" t="str">
        <f>VLOOKUP(Table15[[#This Row],[Document ID]],Table1[],2,FALSE)</f>
        <v>ISR</v>
      </c>
      <c r="C66" s="233" t="str">
        <f>VLOOKUP(Table15[[#This Row],[Document ID]],Table1[],3,FALSE)</f>
        <v>Israel</v>
      </c>
      <c r="D66" s="233" t="str">
        <f>VLOOKUP(Table15[[#This Row],[Document ID]],Table1[],4,FALSE)</f>
        <v>Good</v>
      </c>
      <c r="E66" s="233" t="str">
        <f>VLOOKUP(Table15[[#This Row],[Document ID]],Table1[],5,FALSE)</f>
        <v>NDC</v>
      </c>
      <c r="F66" s="233" t="str">
        <f>VLOOKUP(Table15[[#This Row],[Document ID]],Table1[],6,FALSE)</f>
        <v>1st NDC</v>
      </c>
      <c r="G66" s="233" t="str">
        <f>VLOOKUP(Table15[[#This Row],[Document ID]],Table1[],8,FALSE)</f>
        <v>NDC 1.0</v>
      </c>
      <c r="H66" s="27" t="s">
        <v>5727</v>
      </c>
      <c r="I66" s="27"/>
      <c r="J66" s="28" t="s">
        <v>5673</v>
      </c>
      <c r="K66" s="27"/>
      <c r="L66" s="27"/>
    </row>
    <row r="67" spans="1:12" ht="30" x14ac:dyDescent="0.25">
      <c r="A67" s="360">
        <v>17616</v>
      </c>
      <c r="B67" s="233" t="str">
        <f>VLOOKUP(Table15[[#This Row],[Document ID]],Table1[],2,FALSE)</f>
        <v>ISL</v>
      </c>
      <c r="C67" s="233" t="str">
        <f>VLOOKUP(Table15[[#This Row],[Document ID]],Table1[],3,FALSE)</f>
        <v>Iceland</v>
      </c>
      <c r="D67" s="233" t="str">
        <f>VLOOKUP(Table15[[#This Row],[Document ID]],Table1[],4,FALSE)</f>
        <v>Good</v>
      </c>
      <c r="E67" s="233" t="str">
        <f>VLOOKUP(Table15[[#This Row],[Document ID]],Table1[],5,FALSE)</f>
        <v>NDC</v>
      </c>
      <c r="F67" s="233" t="str">
        <f>VLOOKUP(Table15[[#This Row],[Document ID]],Table1[],6,FALSE)</f>
        <v>Updated NDC</v>
      </c>
      <c r="G67" s="233" t="str">
        <f>VLOOKUP(Table15[[#This Row],[Document ID]],Table1[],8,FALSE)</f>
        <v>NDC 1.1</v>
      </c>
      <c r="H67" s="317" t="s">
        <v>5728</v>
      </c>
      <c r="I67" s="27">
        <v>5</v>
      </c>
      <c r="J67" s="317" t="s">
        <v>5729</v>
      </c>
      <c r="K67" s="312" t="s">
        <v>5730</v>
      </c>
      <c r="L67" s="27" t="s">
        <v>5731</v>
      </c>
    </row>
    <row r="68" spans="1:12" ht="45" x14ac:dyDescent="0.25">
      <c r="A68" s="360">
        <v>23387</v>
      </c>
      <c r="B68" s="233" t="str">
        <f>VLOOKUP(Table15[[#This Row],[Document ID]],Table1[],2,FALSE)</f>
        <v>JPN</v>
      </c>
      <c r="C68" s="233" t="str">
        <f>VLOOKUP(Table15[[#This Row],[Document ID]],Table1[],3,FALSE)</f>
        <v>Japan</v>
      </c>
      <c r="D68" s="233" t="str">
        <f>VLOOKUP(Table15[[#This Row],[Document ID]],Table1[],4,FALSE)</f>
        <v>Good</v>
      </c>
      <c r="E68" s="233" t="str">
        <f>VLOOKUP(Table15[[#This Row],[Document ID]],Table1[],5,FALSE)</f>
        <v>NDC</v>
      </c>
      <c r="F68" s="233" t="str">
        <f>VLOOKUP(Table15[[#This Row],[Document ID]],Table1[],6,FALSE)</f>
        <v>Archived NDC 1.2</v>
      </c>
      <c r="G68" s="233" t="str">
        <f>VLOOKUP(Table15[[#This Row],[Document ID]],Table1[],8,FALSE)</f>
        <v>NDC 1.2</v>
      </c>
      <c r="H68" s="209" t="s">
        <v>5732</v>
      </c>
      <c r="I68" s="27">
        <v>6</v>
      </c>
      <c r="J68" s="316" t="s">
        <v>5733</v>
      </c>
      <c r="K68" s="27" t="s">
        <v>5665</v>
      </c>
      <c r="L68" s="27"/>
    </row>
    <row r="69" spans="1:12" x14ac:dyDescent="0.25">
      <c r="A69" s="360">
        <v>26796</v>
      </c>
      <c r="B69" s="233" t="str">
        <f>VLOOKUP(Table15[[#This Row],[Document ID]],Table1[],2,FALSE)</f>
        <v>JPN</v>
      </c>
      <c r="C69" s="233" t="str">
        <f>VLOOKUP(Table15[[#This Row],[Document ID]],Table1[],3,FALSE)</f>
        <v>Japan</v>
      </c>
      <c r="D69" s="233" t="str">
        <f>VLOOKUP(Table15[[#This Row],[Document ID]],Table1[],4,FALSE)</f>
        <v>Good</v>
      </c>
      <c r="E69" s="233" t="str">
        <f>VLOOKUP(Table15[[#This Row],[Document ID]],Table1[],5,FALSE)</f>
        <v>LTS</v>
      </c>
      <c r="F69" s="233" t="str">
        <f>VLOOKUP(Table15[[#This Row],[Document ID]],Table1[],6,FALSE)</f>
        <v>LTS</v>
      </c>
      <c r="G69" s="233" t="str">
        <f>VLOOKUP(Table15[[#This Row],[Document ID]],Table1[],8,FALSE)</f>
        <v>LTS 1.1</v>
      </c>
      <c r="H69" s="209" t="s">
        <v>5734</v>
      </c>
      <c r="I69" s="27">
        <v>37</v>
      </c>
      <c r="J69" s="28"/>
      <c r="K69" s="27"/>
      <c r="L69" s="27"/>
    </row>
    <row r="70" spans="1:12" ht="45" x14ac:dyDescent="0.25">
      <c r="A70" s="360">
        <v>26796</v>
      </c>
      <c r="B70" s="233" t="str">
        <f>VLOOKUP(Table15[[#This Row],[Document ID]],Table1[],2,FALSE)</f>
        <v>JPN</v>
      </c>
      <c r="C70" s="233" t="str">
        <f>VLOOKUP(Table15[[#This Row],[Document ID]],Table1[],3,FALSE)</f>
        <v>Japan</v>
      </c>
      <c r="D70" s="233" t="str">
        <f>VLOOKUP(Table15[[#This Row],[Document ID]],Table1[],4,FALSE)</f>
        <v>Good</v>
      </c>
      <c r="E70" s="233" t="str">
        <f>VLOOKUP(Table15[[#This Row],[Document ID]],Table1[],5,FALSE)</f>
        <v>LTS</v>
      </c>
      <c r="F70" s="233" t="str">
        <f>VLOOKUP(Table15[[#This Row],[Document ID]],Table1[],6,FALSE)</f>
        <v>LTS</v>
      </c>
      <c r="G70" s="233" t="str">
        <f>VLOOKUP(Table15[[#This Row],[Document ID]],Table1[],8,FALSE)</f>
        <v>LTS 1.1</v>
      </c>
      <c r="H70" s="316" t="s">
        <v>3518</v>
      </c>
      <c r="I70" s="27">
        <v>37</v>
      </c>
      <c r="J70" s="318" t="s">
        <v>5735</v>
      </c>
      <c r="K70" s="27" t="s">
        <v>5665</v>
      </c>
      <c r="L70" s="27"/>
    </row>
    <row r="71" spans="1:12" ht="30" x14ac:dyDescent="0.25">
      <c r="A71" s="360">
        <v>26796</v>
      </c>
      <c r="B71" s="233" t="str">
        <f>VLOOKUP(Table15[[#This Row],[Document ID]],Table1[],2,FALSE)</f>
        <v>JPN</v>
      </c>
      <c r="C71" s="233" t="str">
        <f>VLOOKUP(Table15[[#This Row],[Document ID]],Table1[],3,FALSE)</f>
        <v>Japan</v>
      </c>
      <c r="D71" s="233" t="str">
        <f>VLOOKUP(Table15[[#This Row],[Document ID]],Table1[],4,FALSE)</f>
        <v>Good</v>
      </c>
      <c r="E71" s="233" t="str">
        <f>VLOOKUP(Table15[[#This Row],[Document ID]],Table1[],5,FALSE)</f>
        <v>LTS</v>
      </c>
      <c r="F71" s="233" t="str">
        <f>VLOOKUP(Table15[[#This Row],[Document ID]],Table1[],6,FALSE)</f>
        <v>LTS</v>
      </c>
      <c r="G71" s="233" t="str">
        <f>VLOOKUP(Table15[[#This Row],[Document ID]],Table1[],8,FALSE)</f>
        <v>LTS 1.1</v>
      </c>
      <c r="H71" s="209" t="s">
        <v>5736</v>
      </c>
      <c r="I71" s="27">
        <v>39</v>
      </c>
      <c r="J71" s="28" t="s">
        <v>5737</v>
      </c>
      <c r="K71" s="312" t="s">
        <v>5738</v>
      </c>
      <c r="L71" s="27" t="s">
        <v>5739</v>
      </c>
    </row>
    <row r="72" spans="1:12" ht="45" x14ac:dyDescent="0.25">
      <c r="A72" s="360">
        <v>26796</v>
      </c>
      <c r="B72" s="233" t="str">
        <f>VLOOKUP(Table15[[#This Row],[Document ID]],Table1[],2,FALSE)</f>
        <v>JPN</v>
      </c>
      <c r="C72" s="233" t="str">
        <f>VLOOKUP(Table15[[#This Row],[Document ID]],Table1[],3,FALSE)</f>
        <v>Japan</v>
      </c>
      <c r="D72" s="233" t="str">
        <f>VLOOKUP(Table15[[#This Row],[Document ID]],Table1[],4,FALSE)</f>
        <v>Good</v>
      </c>
      <c r="E72" s="233" t="str">
        <f>VLOOKUP(Table15[[#This Row],[Document ID]],Table1[],5,FALSE)</f>
        <v>LTS</v>
      </c>
      <c r="F72" s="233" t="str">
        <f>VLOOKUP(Table15[[#This Row],[Document ID]],Table1[],6,FALSE)</f>
        <v>LTS</v>
      </c>
      <c r="G72" s="233" t="str">
        <f>VLOOKUP(Table15[[#This Row],[Document ID]],Table1[],8,FALSE)</f>
        <v>LTS 1.1</v>
      </c>
      <c r="H72" s="209" t="s">
        <v>5740</v>
      </c>
      <c r="I72" s="27">
        <v>57</v>
      </c>
      <c r="J72" s="209" t="s">
        <v>5740</v>
      </c>
      <c r="K72" s="27"/>
      <c r="L72" s="27"/>
    </row>
    <row r="73" spans="1:12" ht="30" x14ac:dyDescent="0.25">
      <c r="A73" s="360">
        <v>26796</v>
      </c>
      <c r="B73" s="233" t="str">
        <f>VLOOKUP(Table15[[#This Row],[Document ID]],Table1[],2,FALSE)</f>
        <v>JPN</v>
      </c>
      <c r="C73" s="233" t="str">
        <f>VLOOKUP(Table15[[#This Row],[Document ID]],Table1[],3,FALSE)</f>
        <v>Japan</v>
      </c>
      <c r="D73" s="233" t="str">
        <f>VLOOKUP(Table15[[#This Row],[Document ID]],Table1[],4,FALSE)</f>
        <v>Good</v>
      </c>
      <c r="E73" s="233" t="str">
        <f>VLOOKUP(Table15[[#This Row],[Document ID]],Table1[],5,FALSE)</f>
        <v>LTS</v>
      </c>
      <c r="F73" s="233" t="str">
        <f>VLOOKUP(Table15[[#This Row],[Document ID]],Table1[],6,FALSE)</f>
        <v>LTS</v>
      </c>
      <c r="G73" s="233" t="str">
        <f>VLOOKUP(Table15[[#This Row],[Document ID]],Table1[],8,FALSE)</f>
        <v>LTS 1.1</v>
      </c>
      <c r="H73" s="28" t="s">
        <v>5741</v>
      </c>
      <c r="I73" s="27">
        <v>42</v>
      </c>
      <c r="J73" s="316" t="s">
        <v>5742</v>
      </c>
      <c r="K73" s="27" t="s">
        <v>5665</v>
      </c>
      <c r="L73" s="27"/>
    </row>
    <row r="74" spans="1:12" x14ac:dyDescent="0.25">
      <c r="A74" s="360">
        <v>39446</v>
      </c>
      <c r="B74" s="233" t="str">
        <f>VLOOKUP(Table15[[#This Row],[Document ID]],Table1[],2,FALSE)</f>
        <v>KAZ</v>
      </c>
      <c r="C74" s="233" t="str">
        <f>VLOOKUP(Table15[[#This Row],[Document ID]],Table1[],3,FALSE)</f>
        <v>Kazakhstan</v>
      </c>
      <c r="D74" s="233" t="str">
        <f>VLOOKUP(Table15[[#This Row],[Document ID]],Table1[],4,FALSE)</f>
        <v>Good</v>
      </c>
      <c r="E74" s="233" t="str">
        <f>VLOOKUP(Table15[[#This Row],[Document ID]],Table1[],5,FALSE)</f>
        <v>NDC</v>
      </c>
      <c r="F74" s="233" t="str">
        <f>VLOOKUP(Table15[[#This Row],[Document ID]],Table1[],6,FALSE)</f>
        <v>Updated NDC</v>
      </c>
      <c r="G74" s="233" t="str">
        <f>VLOOKUP(Table15[[#This Row],[Document ID]],Table1[],8,FALSE)</f>
        <v>NDC 1.1</v>
      </c>
      <c r="H74" s="27" t="s">
        <v>5743</v>
      </c>
      <c r="I74" s="27">
        <v>5</v>
      </c>
      <c r="J74" s="28"/>
      <c r="K74" s="27"/>
      <c r="L74" s="27"/>
    </row>
    <row r="75" spans="1:12" x14ac:dyDescent="0.25">
      <c r="A75" s="360">
        <v>39446</v>
      </c>
      <c r="B75" s="233" t="str">
        <f>VLOOKUP(Table15[[#This Row],[Document ID]],Table1[],2,FALSE)</f>
        <v>KAZ</v>
      </c>
      <c r="C75" s="233" t="str">
        <f>VLOOKUP(Table15[[#This Row],[Document ID]],Table1[],3,FALSE)</f>
        <v>Kazakhstan</v>
      </c>
      <c r="D75" s="233" t="str">
        <f>VLOOKUP(Table15[[#This Row],[Document ID]],Table1[],4,FALSE)</f>
        <v>Good</v>
      </c>
      <c r="E75" s="233" t="str">
        <f>VLOOKUP(Table15[[#This Row],[Document ID]],Table1[],5,FALSE)</f>
        <v>NDC</v>
      </c>
      <c r="F75" s="233" t="str">
        <f>VLOOKUP(Table15[[#This Row],[Document ID]],Table1[],6,FALSE)</f>
        <v>Updated NDC</v>
      </c>
      <c r="G75" s="233" t="str">
        <f>VLOOKUP(Table15[[#This Row],[Document ID]],Table1[],8,FALSE)</f>
        <v>NDC 1.1</v>
      </c>
      <c r="H75" s="27" t="s">
        <v>5744</v>
      </c>
      <c r="I75" s="27">
        <v>5</v>
      </c>
      <c r="J75" s="28"/>
      <c r="K75" s="27"/>
      <c r="L75" s="27"/>
    </row>
    <row r="76" spans="1:12" x14ac:dyDescent="0.25">
      <c r="A76" s="360">
        <v>39446</v>
      </c>
      <c r="B76" s="233" t="str">
        <f>VLOOKUP(Table15[[#This Row],[Document ID]],Table1[],2,FALSE)</f>
        <v>KAZ</v>
      </c>
      <c r="C76" s="233" t="str">
        <f>VLOOKUP(Table15[[#This Row],[Document ID]],Table1[],3,FALSE)</f>
        <v>Kazakhstan</v>
      </c>
      <c r="D76" s="233" t="str">
        <f>VLOOKUP(Table15[[#This Row],[Document ID]],Table1[],4,FALSE)</f>
        <v>Good</v>
      </c>
      <c r="E76" s="233" t="str">
        <f>VLOOKUP(Table15[[#This Row],[Document ID]],Table1[],5,FALSE)</f>
        <v>NDC</v>
      </c>
      <c r="F76" s="233" t="str">
        <f>VLOOKUP(Table15[[#This Row],[Document ID]],Table1[],6,FALSE)</f>
        <v>Updated NDC</v>
      </c>
      <c r="G76" s="233" t="str">
        <f>VLOOKUP(Table15[[#This Row],[Document ID]],Table1[],8,FALSE)</f>
        <v>NDC 1.1</v>
      </c>
      <c r="H76" s="27" t="s">
        <v>5745</v>
      </c>
      <c r="I76" s="27">
        <v>5</v>
      </c>
      <c r="J76" s="28"/>
      <c r="K76" s="27"/>
      <c r="L76" s="27"/>
    </row>
    <row r="77" spans="1:12" x14ac:dyDescent="0.25">
      <c r="A77" s="360">
        <v>39446</v>
      </c>
      <c r="B77" s="233" t="str">
        <f>VLOOKUP(Table15[[#This Row],[Document ID]],Table1[],2,FALSE)</f>
        <v>KAZ</v>
      </c>
      <c r="C77" s="233" t="str">
        <f>VLOOKUP(Table15[[#This Row],[Document ID]],Table1[],3,FALSE)</f>
        <v>Kazakhstan</v>
      </c>
      <c r="D77" s="233" t="str">
        <f>VLOOKUP(Table15[[#This Row],[Document ID]],Table1[],4,FALSE)</f>
        <v>Good</v>
      </c>
      <c r="E77" s="233" t="str">
        <f>VLOOKUP(Table15[[#This Row],[Document ID]],Table1[],5,FALSE)</f>
        <v>NDC</v>
      </c>
      <c r="F77" s="233" t="str">
        <f>VLOOKUP(Table15[[#This Row],[Document ID]],Table1[],6,FALSE)</f>
        <v>Updated NDC</v>
      </c>
      <c r="G77" s="233" t="str">
        <f>VLOOKUP(Table15[[#This Row],[Document ID]],Table1[],8,FALSE)</f>
        <v>NDC 1.1</v>
      </c>
      <c r="H77" s="27" t="s">
        <v>5746</v>
      </c>
      <c r="I77" s="27">
        <v>5</v>
      </c>
      <c r="J77" s="28"/>
      <c r="K77" s="27"/>
      <c r="L77" s="27"/>
    </row>
    <row r="78" spans="1:12" ht="30" x14ac:dyDescent="0.25">
      <c r="A78" s="360">
        <v>17632</v>
      </c>
      <c r="B78" s="233" t="str">
        <f>VLOOKUP(Table15[[#This Row],[Document ID]],Table1[],2,FALSE)</f>
        <v>KEN</v>
      </c>
      <c r="C78" s="233" t="str">
        <f>VLOOKUP(Table15[[#This Row],[Document ID]],Table1[],3,FALSE)</f>
        <v>Kenya</v>
      </c>
      <c r="D78" s="233" t="str">
        <f>VLOOKUP(Table15[[#This Row],[Document ID]],Table1[],4,FALSE)</f>
        <v>Good</v>
      </c>
      <c r="E78" s="233" t="str">
        <f>VLOOKUP(Table15[[#This Row],[Document ID]],Table1[],5,FALSE)</f>
        <v>NDC</v>
      </c>
      <c r="F78" s="233" t="str">
        <f>VLOOKUP(Table15[[#This Row],[Document ID]],Table1[],6,FALSE)</f>
        <v>Updated NDC</v>
      </c>
      <c r="G78" s="233" t="str">
        <f>VLOOKUP(Table15[[#This Row],[Document ID]],Table1[],8,FALSE)</f>
        <v>NDC 1.1</v>
      </c>
      <c r="H78" s="28" t="s">
        <v>5747</v>
      </c>
      <c r="I78" s="27">
        <v>8</v>
      </c>
      <c r="J78" s="28" t="s">
        <v>5748</v>
      </c>
      <c r="K78" s="312" t="s">
        <v>5749</v>
      </c>
      <c r="L78" s="27" t="s">
        <v>5750</v>
      </c>
    </row>
    <row r="79" spans="1:12" ht="30" x14ac:dyDescent="0.25">
      <c r="A79" s="373">
        <v>39449</v>
      </c>
      <c r="B79" s="233" t="str">
        <f>VLOOKUP(Table15[[#This Row],[Document ID]],Table1[],2,FALSE)</f>
        <v>LKA</v>
      </c>
      <c r="C79" s="233" t="str">
        <f>VLOOKUP(Table15[[#This Row],[Document ID]],Table1[],3,FALSE)</f>
        <v>Sri Lanka</v>
      </c>
      <c r="D79" s="233" t="str">
        <f>VLOOKUP(Table15[[#This Row],[Document ID]],Table1[],4,FALSE)</f>
        <v>Good</v>
      </c>
      <c r="E79" s="233" t="str">
        <f>VLOOKUP(Table15[[#This Row],[Document ID]],Table1[],5,FALSE)</f>
        <v>LTS</v>
      </c>
      <c r="F79" s="233" t="str">
        <f>VLOOKUP(Table15[[#This Row],[Document ID]],Table1[],6,FALSE)</f>
        <v>LTS</v>
      </c>
      <c r="G79" s="233" t="str">
        <f>VLOOKUP(Table15[[#This Row],[Document ID]],Table1[],8,FALSE)</f>
        <v>LTS 1.0</v>
      </c>
      <c r="H79" s="28" t="s">
        <v>5751</v>
      </c>
      <c r="I79" s="27">
        <v>115</v>
      </c>
      <c r="J79" s="28"/>
      <c r="K79" s="312" t="s">
        <v>5752</v>
      </c>
      <c r="L79" s="27"/>
    </row>
    <row r="80" spans="1:12" x14ac:dyDescent="0.25">
      <c r="A80" s="373">
        <v>39449</v>
      </c>
      <c r="B80" s="233" t="str">
        <f>VLOOKUP(Table15[[#This Row],[Document ID]],Table1[],2,FALSE)</f>
        <v>LKA</v>
      </c>
      <c r="C80" s="233" t="str">
        <f>VLOOKUP(Table15[[#This Row],[Document ID]],Table1[],3,FALSE)</f>
        <v>Sri Lanka</v>
      </c>
      <c r="D80" s="233" t="str">
        <f>VLOOKUP(Table15[[#This Row],[Document ID]],Table1[],4,FALSE)</f>
        <v>Good</v>
      </c>
      <c r="E80" s="233" t="str">
        <f>VLOOKUP(Table15[[#This Row],[Document ID]],Table1[],5,FALSE)</f>
        <v>LTS</v>
      </c>
      <c r="F80" s="233" t="str">
        <f>VLOOKUP(Table15[[#This Row],[Document ID]],Table1[],6,FALSE)</f>
        <v>LTS</v>
      </c>
      <c r="G80" s="233" t="str">
        <f>VLOOKUP(Table15[[#This Row],[Document ID]],Table1[],8,FALSE)</f>
        <v>LTS 1.0</v>
      </c>
      <c r="H80" s="27" t="s">
        <v>5753</v>
      </c>
      <c r="I80" s="27">
        <v>115</v>
      </c>
      <c r="J80" s="28"/>
      <c r="K80" s="312" t="s">
        <v>5754</v>
      </c>
      <c r="L80" s="27"/>
    </row>
    <row r="81" spans="1:12" ht="45" x14ac:dyDescent="0.25">
      <c r="A81" s="360">
        <v>26781</v>
      </c>
      <c r="B81" s="233" t="str">
        <f>VLOOKUP(Table15[[#This Row],[Document ID]],Table1[],2,FALSE)</f>
        <v>LUX</v>
      </c>
      <c r="C81" s="233" t="str">
        <f>VLOOKUP(Table15[[#This Row],[Document ID]],Table1[],3,FALSE)</f>
        <v>Luxembourg</v>
      </c>
      <c r="D81" s="233" t="str">
        <f>VLOOKUP(Table15[[#This Row],[Document ID]],Table1[],4,FALSE)</f>
        <v>Good</v>
      </c>
      <c r="E81" s="233" t="str">
        <f>VLOOKUP(Table15[[#This Row],[Document ID]],Table1[],5,FALSE)</f>
        <v>LTS</v>
      </c>
      <c r="F81" s="233" t="str">
        <f>VLOOKUP(Table15[[#This Row],[Document ID]],Table1[],6,FALSE)</f>
        <v>LTS</v>
      </c>
      <c r="G81" s="233" t="str">
        <f>VLOOKUP(Table15[[#This Row],[Document ID]],Table1[],8,FALSE)</f>
        <v>LTS 1.0</v>
      </c>
      <c r="H81" s="28" t="s">
        <v>5755</v>
      </c>
      <c r="I81" s="27">
        <v>65</v>
      </c>
      <c r="J81" s="28" t="s">
        <v>5756</v>
      </c>
      <c r="K81" s="312" t="s">
        <v>5757</v>
      </c>
      <c r="L81" s="27" t="s">
        <v>5758</v>
      </c>
    </row>
    <row r="82" spans="1:12" ht="150" x14ac:dyDescent="0.25">
      <c r="A82" s="360">
        <v>26783</v>
      </c>
      <c r="B82" s="233" t="str">
        <f>VLOOKUP(Table15[[#This Row],[Document ID]],Table1[],2,FALSE)</f>
        <v>MAR</v>
      </c>
      <c r="C82" s="233" t="str">
        <f>VLOOKUP(Table15[[#This Row],[Document ID]],Table1[],3,FALSE)</f>
        <v>Morocco</v>
      </c>
      <c r="D82" s="233" t="str">
        <f>VLOOKUP(Table15[[#This Row],[Document ID]],Table1[],4,FALSE)</f>
        <v>Good</v>
      </c>
      <c r="E82" s="233" t="str">
        <f>VLOOKUP(Table15[[#This Row],[Document ID]],Table1[],5,FALSE)</f>
        <v>LTS</v>
      </c>
      <c r="F82" s="233" t="str">
        <f>VLOOKUP(Table15[[#This Row],[Document ID]],Table1[],6,FALSE)</f>
        <v>LTS</v>
      </c>
      <c r="G82" s="233" t="str">
        <f>VLOOKUP(Table15[[#This Row],[Document ID]],Table1[],8,FALSE)</f>
        <v>LTS 1.0</v>
      </c>
      <c r="H82" s="28" t="s">
        <v>5759</v>
      </c>
      <c r="I82" s="27">
        <v>38</v>
      </c>
      <c r="J82" s="28"/>
      <c r="K82" s="27"/>
      <c r="L82" s="27"/>
    </row>
    <row r="83" spans="1:12" ht="30" x14ac:dyDescent="0.25">
      <c r="A83" s="360">
        <v>26783</v>
      </c>
      <c r="B83" s="233" t="str">
        <f>VLOOKUP(Table15[[#This Row],[Document ID]],Table1[],2,FALSE)</f>
        <v>MAR</v>
      </c>
      <c r="C83" s="233" t="str">
        <f>VLOOKUP(Table15[[#This Row],[Document ID]],Table1[],3,FALSE)</f>
        <v>Morocco</v>
      </c>
      <c r="D83" s="233" t="str">
        <f>VLOOKUP(Table15[[#This Row],[Document ID]],Table1[],4,FALSE)</f>
        <v>Good</v>
      </c>
      <c r="E83" s="233" t="str">
        <f>VLOOKUP(Table15[[#This Row],[Document ID]],Table1[],5,FALSE)</f>
        <v>LTS</v>
      </c>
      <c r="F83" s="233" t="str">
        <f>VLOOKUP(Table15[[#This Row],[Document ID]],Table1[],6,FALSE)</f>
        <v>LTS</v>
      </c>
      <c r="G83" s="233" t="str">
        <f>VLOOKUP(Table15[[#This Row],[Document ID]],Table1[],8,FALSE)</f>
        <v>LTS 1.0</v>
      </c>
      <c r="H83" s="28" t="s">
        <v>5760</v>
      </c>
      <c r="I83" s="27">
        <v>40</v>
      </c>
      <c r="J83" s="28" t="s">
        <v>5761</v>
      </c>
      <c r="K83" s="27" t="s">
        <v>5665</v>
      </c>
      <c r="L83" s="27"/>
    </row>
    <row r="84" spans="1:12" ht="30" x14ac:dyDescent="0.25">
      <c r="A84" s="360">
        <v>17662</v>
      </c>
      <c r="B84" s="233" t="str">
        <f>VLOOKUP(Table15[[#This Row],[Document ID]],Table1[],2,FALSE)</f>
        <v>MEX</v>
      </c>
      <c r="C84" s="233" t="str">
        <f>VLOOKUP(Table15[[#This Row],[Document ID]],Table1[],3,FALSE)</f>
        <v>Mexico</v>
      </c>
      <c r="D84" s="233" t="str">
        <f>VLOOKUP(Table15[[#This Row],[Document ID]],Table1[],4,FALSE)</f>
        <v>Good</v>
      </c>
      <c r="E84" s="233" t="str">
        <f>VLOOKUP(Table15[[#This Row],[Document ID]],Table1[],5,FALSE)</f>
        <v>NDC</v>
      </c>
      <c r="F84" s="233" t="str">
        <f>VLOOKUP(Table15[[#This Row],[Document ID]],Table1[],6,FALSE)</f>
        <v>Archived NDC 1.1</v>
      </c>
      <c r="G84" s="233" t="str">
        <f>VLOOKUP(Table15[[#This Row],[Document ID]],Table1[],8,FALSE)</f>
        <v>NDC 1.1</v>
      </c>
      <c r="H84" s="27" t="s">
        <v>5762</v>
      </c>
      <c r="I84" s="27">
        <v>30</v>
      </c>
      <c r="J84" s="28" t="s">
        <v>5763</v>
      </c>
      <c r="K84" s="27" t="s">
        <v>5665</v>
      </c>
      <c r="L84" s="27"/>
    </row>
    <row r="85" spans="1:12" ht="30" x14ac:dyDescent="0.25">
      <c r="A85" s="360">
        <v>32507</v>
      </c>
      <c r="B85" s="233" t="str">
        <f>VLOOKUP(Table15[[#This Row],[Document ID]],Table1[],2,FALSE)</f>
        <v>MEX</v>
      </c>
      <c r="C85" s="233" t="str">
        <f>VLOOKUP(Table15[[#This Row],[Document ID]],Table1[],3,FALSE)</f>
        <v>Mexico</v>
      </c>
      <c r="D85" s="233" t="str">
        <f>VLOOKUP(Table15[[#This Row],[Document ID]],Table1[],4,FALSE)</f>
        <v>Good</v>
      </c>
      <c r="E85" s="233" t="str">
        <f>VLOOKUP(Table15[[#This Row],[Document ID]],Table1[],5,FALSE)</f>
        <v>NDC</v>
      </c>
      <c r="F85" s="233" t="str">
        <f>VLOOKUP(Table15[[#This Row],[Document ID]],Table1[],6,FALSE)</f>
        <v>Updated NDC</v>
      </c>
      <c r="G85" s="233" t="str">
        <f>VLOOKUP(Table15[[#This Row],[Document ID]],Table1[],8,FALSE)</f>
        <v>NDC 1.2</v>
      </c>
      <c r="H85" s="27" t="s">
        <v>5764</v>
      </c>
      <c r="I85" s="27">
        <v>11</v>
      </c>
      <c r="J85" s="28" t="s">
        <v>5763</v>
      </c>
      <c r="K85" s="27"/>
      <c r="L85" s="27"/>
    </row>
    <row r="86" spans="1:12" x14ac:dyDescent="0.25">
      <c r="A86" s="360">
        <v>32507</v>
      </c>
      <c r="B86" s="233" t="str">
        <f>VLOOKUP(Table15[[#This Row],[Document ID]],Table1[],2,FALSE)</f>
        <v>MEX</v>
      </c>
      <c r="C86" s="233" t="str">
        <f>VLOOKUP(Table15[[#This Row],[Document ID]],Table1[],3,FALSE)</f>
        <v>Mexico</v>
      </c>
      <c r="D86" s="233" t="str">
        <f>VLOOKUP(Table15[[#This Row],[Document ID]],Table1[],4,FALSE)</f>
        <v>Good</v>
      </c>
      <c r="E86" s="233" t="str">
        <f>VLOOKUP(Table15[[#This Row],[Document ID]],Table1[],5,FALSE)</f>
        <v>NDC</v>
      </c>
      <c r="F86" s="233" t="str">
        <f>VLOOKUP(Table15[[#This Row],[Document ID]],Table1[],6,FALSE)</f>
        <v>Updated NDC</v>
      </c>
      <c r="G86" s="233" t="str">
        <f>VLOOKUP(Table15[[#This Row],[Document ID]],Table1[],8,FALSE)</f>
        <v>NDC 1.2</v>
      </c>
      <c r="H86" s="27" t="s">
        <v>3617</v>
      </c>
      <c r="I86" s="27">
        <v>11</v>
      </c>
      <c r="J86" s="28"/>
      <c r="K86" s="27"/>
      <c r="L86" s="27"/>
    </row>
    <row r="87" spans="1:12" x14ac:dyDescent="0.25">
      <c r="A87" s="360">
        <v>32507</v>
      </c>
      <c r="B87" s="233" t="str">
        <f>VLOOKUP(Table15[[#This Row],[Document ID]],Table1[],2,FALSE)</f>
        <v>MEX</v>
      </c>
      <c r="C87" s="233" t="str">
        <f>VLOOKUP(Table15[[#This Row],[Document ID]],Table1[],3,FALSE)</f>
        <v>Mexico</v>
      </c>
      <c r="D87" s="233" t="str">
        <f>VLOOKUP(Table15[[#This Row],[Document ID]],Table1[],4,FALSE)</f>
        <v>Good</v>
      </c>
      <c r="E87" s="233" t="str">
        <f>VLOOKUP(Table15[[#This Row],[Document ID]],Table1[],5,FALSE)</f>
        <v>NDC</v>
      </c>
      <c r="F87" s="233" t="str">
        <f>VLOOKUP(Table15[[#This Row],[Document ID]],Table1[],6,FALSE)</f>
        <v>Updated NDC</v>
      </c>
      <c r="G87" s="233" t="str">
        <f>VLOOKUP(Table15[[#This Row],[Document ID]],Table1[],8,FALSE)</f>
        <v>NDC 1.2</v>
      </c>
      <c r="H87" s="27" t="s">
        <v>5765</v>
      </c>
      <c r="I87" s="27">
        <v>19</v>
      </c>
      <c r="J87" s="28"/>
      <c r="K87" s="27"/>
      <c r="L87" s="27"/>
    </row>
    <row r="88" spans="1:12" ht="45" x14ac:dyDescent="0.25">
      <c r="A88" s="360">
        <v>26782</v>
      </c>
      <c r="B88" s="233" t="str">
        <f>VLOOKUP(Table15[[#This Row],[Document ID]],Table1[],2,FALSE)</f>
        <v>MLT</v>
      </c>
      <c r="C88" s="233" t="str">
        <f>VLOOKUP(Table15[[#This Row],[Document ID]],Table1[],3,FALSE)</f>
        <v>Malta</v>
      </c>
      <c r="D88" s="233" t="str">
        <f>VLOOKUP(Table15[[#This Row],[Document ID]],Table1[],4,FALSE)</f>
        <v>Good</v>
      </c>
      <c r="E88" s="233" t="str">
        <f>VLOOKUP(Table15[[#This Row],[Document ID]],Table1[],5,FALSE)</f>
        <v>LTS</v>
      </c>
      <c r="F88" s="233" t="str">
        <f>VLOOKUP(Table15[[#This Row],[Document ID]],Table1[],6,FALSE)</f>
        <v>LTS</v>
      </c>
      <c r="G88" s="233" t="str">
        <f>VLOOKUP(Table15[[#This Row],[Document ID]],Table1[],8,FALSE)</f>
        <v>LTS 1.0</v>
      </c>
      <c r="H88" s="28" t="s">
        <v>5766</v>
      </c>
      <c r="I88" s="27">
        <v>22</v>
      </c>
      <c r="J88" s="28" t="s">
        <v>5767</v>
      </c>
      <c r="K88" s="312" t="s">
        <v>5768</v>
      </c>
      <c r="L88" s="27" t="s">
        <v>5769</v>
      </c>
    </row>
    <row r="89" spans="1:12" ht="45" x14ac:dyDescent="0.25">
      <c r="A89" s="360">
        <v>26782</v>
      </c>
      <c r="B89" s="233" t="str">
        <f>VLOOKUP(Table15[[#This Row],[Document ID]],Table1[],2,FALSE)</f>
        <v>MLT</v>
      </c>
      <c r="C89" s="233" t="str">
        <f>VLOOKUP(Table15[[#This Row],[Document ID]],Table1[],3,FALSE)</f>
        <v>Malta</v>
      </c>
      <c r="D89" s="233" t="str">
        <f>VLOOKUP(Table15[[#This Row],[Document ID]],Table1[],4,FALSE)</f>
        <v>Good</v>
      </c>
      <c r="E89" s="233" t="str">
        <f>VLOOKUP(Table15[[#This Row],[Document ID]],Table1[],5,FALSE)</f>
        <v>LTS</v>
      </c>
      <c r="F89" s="233" t="str">
        <f>VLOOKUP(Table15[[#This Row],[Document ID]],Table1[],6,FALSE)</f>
        <v>LTS</v>
      </c>
      <c r="G89" s="233" t="str">
        <f>VLOOKUP(Table15[[#This Row],[Document ID]],Table1[],8,FALSE)</f>
        <v>LTS 1.0</v>
      </c>
      <c r="H89" s="28" t="s">
        <v>5766</v>
      </c>
      <c r="I89" s="27">
        <v>22</v>
      </c>
      <c r="J89" s="28" t="s">
        <v>5770</v>
      </c>
      <c r="K89" s="27"/>
      <c r="L89" s="27"/>
    </row>
    <row r="90" spans="1:12" ht="30" x14ac:dyDescent="0.25">
      <c r="A90" s="360">
        <v>26782</v>
      </c>
      <c r="B90" s="233" t="str">
        <f>VLOOKUP(Table15[[#This Row],[Document ID]],Table1[],2,FALSE)</f>
        <v>MLT</v>
      </c>
      <c r="C90" s="233" t="str">
        <f>VLOOKUP(Table15[[#This Row],[Document ID]],Table1[],3,FALSE)</f>
        <v>Malta</v>
      </c>
      <c r="D90" s="233" t="str">
        <f>VLOOKUP(Table15[[#This Row],[Document ID]],Table1[],4,FALSE)</f>
        <v>Good</v>
      </c>
      <c r="E90" s="233" t="str">
        <f>VLOOKUP(Table15[[#This Row],[Document ID]],Table1[],5,FALSE)</f>
        <v>LTS</v>
      </c>
      <c r="F90" s="233" t="str">
        <f>VLOOKUP(Table15[[#This Row],[Document ID]],Table1[],6,FALSE)</f>
        <v>LTS</v>
      </c>
      <c r="G90" s="233" t="str">
        <f>VLOOKUP(Table15[[#This Row],[Document ID]],Table1[],8,FALSE)</f>
        <v>LTS 1.0</v>
      </c>
      <c r="H90" s="209" t="s">
        <v>5771</v>
      </c>
      <c r="I90" s="27">
        <v>44</v>
      </c>
      <c r="J90" s="28" t="s">
        <v>5772</v>
      </c>
      <c r="K90" s="312" t="s">
        <v>5773</v>
      </c>
      <c r="L90" s="27" t="s">
        <v>5774</v>
      </c>
    </row>
    <row r="91" spans="1:12" ht="45" x14ac:dyDescent="0.25">
      <c r="A91" s="360">
        <v>26782</v>
      </c>
      <c r="B91" s="233" t="str">
        <f>VLOOKUP(Table15[[#This Row],[Document ID]],Table1[],2,FALSE)</f>
        <v>MLT</v>
      </c>
      <c r="C91" s="233" t="str">
        <f>VLOOKUP(Table15[[#This Row],[Document ID]],Table1[],3,FALSE)</f>
        <v>Malta</v>
      </c>
      <c r="D91" s="233" t="str">
        <f>VLOOKUP(Table15[[#This Row],[Document ID]],Table1[],4,FALSE)</f>
        <v>Good</v>
      </c>
      <c r="E91" s="233" t="str">
        <f>VLOOKUP(Table15[[#This Row],[Document ID]],Table1[],5,FALSE)</f>
        <v>LTS</v>
      </c>
      <c r="F91" s="233" t="str">
        <f>VLOOKUP(Table15[[#This Row],[Document ID]],Table1[],6,FALSE)</f>
        <v>LTS</v>
      </c>
      <c r="G91" s="233" t="str">
        <f>VLOOKUP(Table15[[#This Row],[Document ID]],Table1[],8,FALSE)</f>
        <v>LTS 1.0</v>
      </c>
      <c r="H91" s="209" t="s">
        <v>5775</v>
      </c>
      <c r="I91" s="27">
        <v>44</v>
      </c>
      <c r="J91" s="28" t="s">
        <v>5776</v>
      </c>
      <c r="K91" s="312" t="s">
        <v>5777</v>
      </c>
      <c r="L91" s="27" t="s">
        <v>5778</v>
      </c>
    </row>
    <row r="92" spans="1:12" ht="45" x14ac:dyDescent="0.25">
      <c r="A92" s="360">
        <v>17667</v>
      </c>
      <c r="B92" s="233" t="str">
        <f>VLOOKUP(Table15[[#This Row],[Document ID]],Table1[],2,FALSE)</f>
        <v>MNG</v>
      </c>
      <c r="C92" s="233" t="str">
        <f>VLOOKUP(Table15[[#This Row],[Document ID]],Table1[],3,FALSE)</f>
        <v>Mongolia</v>
      </c>
      <c r="D92" s="233" t="str">
        <f>VLOOKUP(Table15[[#This Row],[Document ID]],Table1[],4,FALSE)</f>
        <v>Good</v>
      </c>
      <c r="E92" s="233" t="str">
        <f>VLOOKUP(Table15[[#This Row],[Document ID]],Table1[],5,FALSE)</f>
        <v>NDC</v>
      </c>
      <c r="F92" s="233" t="str">
        <f>VLOOKUP(Table15[[#This Row],[Document ID]],Table1[],6,FALSE)</f>
        <v>Updated NDC</v>
      </c>
      <c r="G92" s="233" t="str">
        <f>VLOOKUP(Table15[[#This Row],[Document ID]],Table1[],8,FALSE)</f>
        <v>NDC 1.1</v>
      </c>
      <c r="H92" s="209" t="s">
        <v>5779</v>
      </c>
      <c r="I92" s="27">
        <v>3</v>
      </c>
      <c r="J92" s="28" t="s">
        <v>5780</v>
      </c>
      <c r="K92" s="312" t="s">
        <v>5781</v>
      </c>
      <c r="L92" s="27" t="s">
        <v>5782</v>
      </c>
    </row>
    <row r="93" spans="1:12" ht="45" x14ac:dyDescent="0.25">
      <c r="A93" s="360">
        <v>41743</v>
      </c>
      <c r="B93" s="233" t="str">
        <f>VLOOKUP(Table15[[#This Row],[Document ID]],Table1[],2,FALSE)</f>
        <v>NAM</v>
      </c>
      <c r="C93" s="233" t="str">
        <f>VLOOKUP(Table15[[#This Row],[Document ID]],Table1[],3,FALSE)</f>
        <v>Namibia</v>
      </c>
      <c r="D93" s="233" t="str">
        <f>VLOOKUP(Table15[[#This Row],[Document ID]],Table1[],4,FALSE)</f>
        <v>Good</v>
      </c>
      <c r="E93" s="233" t="str">
        <f>VLOOKUP(Table15[[#This Row],[Document ID]],Table1[],5,FALSE)</f>
        <v>NDC</v>
      </c>
      <c r="F93" s="233" t="str">
        <f>VLOOKUP(Table15[[#This Row],[Document ID]],Table1[],6,FALSE)</f>
        <v>Updated NDC</v>
      </c>
      <c r="G93" s="233" t="str">
        <f>VLOOKUP(Table15[[#This Row],[Document ID]],Table1[],8,FALSE)</f>
        <v>NDC 1.2</v>
      </c>
      <c r="H93" s="28" t="s">
        <v>5783</v>
      </c>
      <c r="I93" s="27">
        <v>5</v>
      </c>
      <c r="J93" s="28" t="s">
        <v>5784</v>
      </c>
      <c r="K93" s="312" t="s">
        <v>5785</v>
      </c>
      <c r="L93" s="27" t="s">
        <v>5786</v>
      </c>
    </row>
    <row r="94" spans="1:12" ht="45" x14ac:dyDescent="0.25">
      <c r="A94" s="360">
        <v>41743</v>
      </c>
      <c r="B94" s="233" t="str">
        <f>VLOOKUP(Table15[[#This Row],[Document ID]],Table1[],2,FALSE)</f>
        <v>NAM</v>
      </c>
      <c r="C94" s="233" t="str">
        <f>VLOOKUP(Table15[[#This Row],[Document ID]],Table1[],3,FALSE)</f>
        <v>Namibia</v>
      </c>
      <c r="D94" s="233" t="str">
        <f>VLOOKUP(Table15[[#This Row],[Document ID]],Table1[],4,FALSE)</f>
        <v>Good</v>
      </c>
      <c r="E94" s="233" t="str">
        <f>VLOOKUP(Table15[[#This Row],[Document ID]],Table1[],5,FALSE)</f>
        <v>NDC</v>
      </c>
      <c r="F94" s="233" t="str">
        <f>VLOOKUP(Table15[[#This Row],[Document ID]],Table1[],6,FALSE)</f>
        <v>Updated NDC</v>
      </c>
      <c r="G94" s="233" t="str">
        <f>VLOOKUP(Table15[[#This Row],[Document ID]],Table1[],8,FALSE)</f>
        <v>NDC 1.2</v>
      </c>
      <c r="H94" s="209" t="s">
        <v>5787</v>
      </c>
      <c r="I94" s="27">
        <v>4</v>
      </c>
      <c r="J94" s="316" t="s">
        <v>5788</v>
      </c>
      <c r="K94" s="27" t="s">
        <v>5665</v>
      </c>
      <c r="L94" s="27"/>
    </row>
    <row r="95" spans="1:12" ht="60" x14ac:dyDescent="0.25">
      <c r="A95" s="360">
        <v>32509</v>
      </c>
      <c r="B95" s="233" t="str">
        <f>VLOOKUP(Table15[[#This Row],[Document ID]],Table1[],2,FALSE)</f>
        <v>NGA</v>
      </c>
      <c r="C95" s="233" t="str">
        <f>VLOOKUP(Table15[[#This Row],[Document ID]],Table1[],3,FALSE)</f>
        <v>Nigeria</v>
      </c>
      <c r="D95" s="233" t="str">
        <f>VLOOKUP(Table15[[#This Row],[Document ID]],Table1[],4,FALSE)</f>
        <v>Good</v>
      </c>
      <c r="E95" s="233" t="str">
        <f>VLOOKUP(Table15[[#This Row],[Document ID]],Table1[],5,FALSE)</f>
        <v>NDC</v>
      </c>
      <c r="F95" s="233" t="str">
        <f>VLOOKUP(Table15[[#This Row],[Document ID]],Table1[],6,FALSE)</f>
        <v>Updated NDC</v>
      </c>
      <c r="G95" s="233" t="str">
        <f>VLOOKUP(Table15[[#This Row],[Document ID]],Table1[],8,FALSE)</f>
        <v>NDC 1.2</v>
      </c>
      <c r="H95" s="28" t="s">
        <v>5789</v>
      </c>
      <c r="I95" s="27">
        <v>8</v>
      </c>
      <c r="J95" s="316" t="s">
        <v>5790</v>
      </c>
      <c r="K95" s="27" t="s">
        <v>5665</v>
      </c>
      <c r="L95" s="27"/>
    </row>
    <row r="96" spans="1:12" ht="60" x14ac:dyDescent="0.25">
      <c r="A96" s="360">
        <v>17687</v>
      </c>
      <c r="B96" s="233" t="str">
        <f>VLOOKUP(Table15[[#This Row],[Document ID]],Table1[],2,FALSE)</f>
        <v>NOR</v>
      </c>
      <c r="C96" s="233" t="str">
        <f>VLOOKUP(Table15[[#This Row],[Document ID]],Table1[],3,FALSE)</f>
        <v>Norway</v>
      </c>
      <c r="D96" s="233" t="str">
        <f>VLOOKUP(Table15[[#This Row],[Document ID]],Table1[],4,FALSE)</f>
        <v>Good</v>
      </c>
      <c r="E96" s="233" t="str">
        <f>VLOOKUP(Table15[[#This Row],[Document ID]],Table1[],5,FALSE)</f>
        <v>LTS</v>
      </c>
      <c r="F96" s="233" t="str">
        <f>VLOOKUP(Table15[[#This Row],[Document ID]],Table1[],6,FALSE)</f>
        <v>LTS</v>
      </c>
      <c r="G96" s="233" t="str">
        <f>VLOOKUP(Table15[[#This Row],[Document ID]],Table1[],8,FALSE)</f>
        <v>LTS 1.0</v>
      </c>
      <c r="H96" s="28" t="s">
        <v>5791</v>
      </c>
      <c r="I96" s="27">
        <v>34</v>
      </c>
      <c r="J96" s="28" t="s">
        <v>5792</v>
      </c>
      <c r="K96" s="312" t="s">
        <v>5793</v>
      </c>
      <c r="L96" s="27" t="s">
        <v>5794</v>
      </c>
    </row>
    <row r="97" spans="1:12" x14ac:dyDescent="0.25">
      <c r="A97" s="360">
        <v>32510</v>
      </c>
      <c r="B97" s="233" t="str">
        <f>VLOOKUP(Table15[[#This Row],[Document ID]],Table1[],2,FALSE)</f>
        <v>NOR</v>
      </c>
      <c r="C97" s="233" t="str">
        <f>VLOOKUP(Table15[[#This Row],[Document ID]],Table1[],3,FALSE)</f>
        <v>Norway</v>
      </c>
      <c r="D97" s="233" t="str">
        <f>VLOOKUP(Table15[[#This Row],[Document ID]],Table1[],4,FALSE)</f>
        <v>Good</v>
      </c>
      <c r="E97" s="233" t="str">
        <f>VLOOKUP(Table15[[#This Row],[Document ID]],Table1[],5,FALSE)</f>
        <v>NDC</v>
      </c>
      <c r="F97" s="233" t="str">
        <f>VLOOKUP(Table15[[#This Row],[Document ID]],Table1[],6,FALSE)</f>
        <v>Updated NDC</v>
      </c>
      <c r="G97" s="233" t="str">
        <f>VLOOKUP(Table15[[#This Row],[Document ID]],Table1[],8,FALSE)</f>
        <v>NDC 1.2</v>
      </c>
      <c r="H97" s="27" t="s">
        <v>5795</v>
      </c>
      <c r="I97" s="27">
        <v>1</v>
      </c>
      <c r="J97" s="28" t="s">
        <v>5796</v>
      </c>
      <c r="K97" s="27"/>
      <c r="L97" s="27"/>
    </row>
    <row r="98" spans="1:12" x14ac:dyDescent="0.25">
      <c r="A98" s="360">
        <v>32510</v>
      </c>
      <c r="B98" s="233" t="str">
        <f>VLOOKUP(Table15[[#This Row],[Document ID]],Table1[],2,FALSE)</f>
        <v>NOR</v>
      </c>
      <c r="C98" s="233" t="str">
        <f>VLOOKUP(Table15[[#This Row],[Document ID]],Table1[],3,FALSE)</f>
        <v>Norway</v>
      </c>
      <c r="D98" s="233" t="str">
        <f>VLOOKUP(Table15[[#This Row],[Document ID]],Table1[],4,FALSE)</f>
        <v>Good</v>
      </c>
      <c r="E98" s="233" t="str">
        <f>VLOOKUP(Table15[[#This Row],[Document ID]],Table1[],5,FALSE)</f>
        <v>NDC</v>
      </c>
      <c r="F98" s="233" t="str">
        <f>VLOOKUP(Table15[[#This Row],[Document ID]],Table1[],6,FALSE)</f>
        <v>Updated NDC</v>
      </c>
      <c r="G98" s="233" t="str">
        <f>VLOOKUP(Table15[[#This Row],[Document ID]],Table1[],8,FALSE)</f>
        <v>NDC 1.2</v>
      </c>
      <c r="H98" s="27" t="s">
        <v>5797</v>
      </c>
      <c r="I98" s="27">
        <v>7</v>
      </c>
      <c r="J98" s="28"/>
      <c r="K98" s="27"/>
      <c r="L98" s="27"/>
    </row>
    <row r="99" spans="1:12" ht="30" x14ac:dyDescent="0.25">
      <c r="A99" s="360">
        <v>26786</v>
      </c>
      <c r="B99" s="233" t="str">
        <f>VLOOKUP(Table15[[#This Row],[Document ID]],Table1[],2,FALSE)</f>
        <v>NZL</v>
      </c>
      <c r="C99" s="233" t="str">
        <f>VLOOKUP(Table15[[#This Row],[Document ID]],Table1[],3,FALSE)</f>
        <v>New Zealand</v>
      </c>
      <c r="D99" s="233" t="str">
        <f>VLOOKUP(Table15[[#This Row],[Document ID]],Table1[],4,FALSE)</f>
        <v>Good</v>
      </c>
      <c r="E99" s="233" t="str">
        <f>VLOOKUP(Table15[[#This Row],[Document ID]],Table1[],5,FALSE)</f>
        <v>LTS</v>
      </c>
      <c r="F99" s="233" t="str">
        <f>VLOOKUP(Table15[[#This Row],[Document ID]],Table1[],6,FALSE)</f>
        <v>LTS</v>
      </c>
      <c r="G99" s="233" t="str">
        <f>VLOOKUP(Table15[[#This Row],[Document ID]],Table1[],8,FALSE)</f>
        <v>LTS 1.0</v>
      </c>
      <c r="H99" s="316" t="s">
        <v>5798</v>
      </c>
      <c r="I99" s="27">
        <v>21</v>
      </c>
      <c r="J99" s="316" t="s">
        <v>5799</v>
      </c>
      <c r="K99" s="312" t="s">
        <v>5800</v>
      </c>
      <c r="L99" s="27" t="s">
        <v>5801</v>
      </c>
    </row>
    <row r="100" spans="1:12" ht="30" x14ac:dyDescent="0.25">
      <c r="A100" s="360">
        <v>17714</v>
      </c>
      <c r="B100" s="233" t="str">
        <f>VLOOKUP(Table15[[#This Row],[Document ID]],Table1[],2,FALSE)</f>
        <v>RUS</v>
      </c>
      <c r="C100" s="233" t="str">
        <f>VLOOKUP(Table15[[#This Row],[Document ID]],Table1[],3,FALSE)</f>
        <v>Russian Federation</v>
      </c>
      <c r="D100" s="233" t="str">
        <f>VLOOKUP(Table15[[#This Row],[Document ID]],Table1[],4,FALSE)</f>
        <v>Good</v>
      </c>
      <c r="E100" s="233" t="str">
        <f>VLOOKUP(Table15[[#This Row],[Document ID]],Table1[],5,FALSE)</f>
        <v>NDC</v>
      </c>
      <c r="F100" s="233" t="str">
        <f>VLOOKUP(Table15[[#This Row],[Document ID]],Table1[],6,FALSE)</f>
        <v>1st NDC</v>
      </c>
      <c r="G100" s="233" t="str">
        <f>VLOOKUP(Table15[[#This Row],[Document ID]],Table1[],8,FALSE)</f>
        <v>NDC 1.0</v>
      </c>
      <c r="H100" s="28" t="s">
        <v>5802</v>
      </c>
      <c r="I100" s="27">
        <v>3</v>
      </c>
      <c r="J100" s="28" t="s">
        <v>5803</v>
      </c>
      <c r="K100" s="312" t="s">
        <v>5804</v>
      </c>
      <c r="L100" s="28" t="s">
        <v>5805</v>
      </c>
    </row>
    <row r="101" spans="1:12" ht="45" x14ac:dyDescent="0.25">
      <c r="A101" s="360">
        <v>17717</v>
      </c>
      <c r="B101" s="233" t="str">
        <f>VLOOKUP(Table15[[#This Row],[Document ID]],Table1[],2,FALSE)</f>
        <v>RWA</v>
      </c>
      <c r="C101" s="233" t="str">
        <f>VLOOKUP(Table15[[#This Row],[Document ID]],Table1[],3,FALSE)</f>
        <v>Rwanda</v>
      </c>
      <c r="D101" s="233" t="str">
        <f>VLOOKUP(Table15[[#This Row],[Document ID]],Table1[],4,FALSE)</f>
        <v>Good</v>
      </c>
      <c r="E101" s="233" t="str">
        <f>VLOOKUP(Table15[[#This Row],[Document ID]],Table1[],5,FALSE)</f>
        <v>NDC</v>
      </c>
      <c r="F101" s="233" t="str">
        <f>VLOOKUP(Table15[[#This Row],[Document ID]],Table1[],6,FALSE)</f>
        <v>Updated NDC</v>
      </c>
      <c r="G101" s="233" t="str">
        <f>VLOOKUP(Table15[[#This Row],[Document ID]],Table1[],8,FALSE)</f>
        <v>NDC 1.1</v>
      </c>
      <c r="H101" s="209" t="s">
        <v>5806</v>
      </c>
      <c r="I101" s="27">
        <v>38</v>
      </c>
      <c r="J101" s="28" t="s">
        <v>5807</v>
      </c>
      <c r="K101" s="312" t="s">
        <v>5808</v>
      </c>
      <c r="L101" s="27" t="s">
        <v>5809</v>
      </c>
    </row>
    <row r="102" spans="1:12" x14ac:dyDescent="0.25">
      <c r="A102" s="360">
        <v>32516</v>
      </c>
      <c r="B102" s="233" t="str">
        <f>VLOOKUP(Table15[[#This Row],[Document ID]],Table1[],2,FALSE)</f>
        <v>SDN</v>
      </c>
      <c r="C102" s="233" t="str">
        <f>VLOOKUP(Table15[[#This Row],[Document ID]],Table1[],3,FALSE)</f>
        <v>Sudan</v>
      </c>
      <c r="D102" s="233" t="str">
        <f>VLOOKUP(Table15[[#This Row],[Document ID]],Table1[],4,FALSE)</f>
        <v>Good</v>
      </c>
      <c r="E102" s="233" t="str">
        <f>VLOOKUP(Table15[[#This Row],[Document ID]],Table1[],5,FALSE)</f>
        <v>NDC</v>
      </c>
      <c r="F102" s="233" t="str">
        <f>VLOOKUP(Table15[[#This Row],[Document ID]],Table1[],6,FALSE)</f>
        <v>Updated NDC</v>
      </c>
      <c r="G102" s="233" t="str">
        <f>VLOOKUP(Table15[[#This Row],[Document ID]],Table1[],8,FALSE)</f>
        <v>NDC 1.2</v>
      </c>
      <c r="H102" s="27" t="s">
        <v>5810</v>
      </c>
      <c r="I102" s="27">
        <v>13</v>
      </c>
      <c r="J102" s="28" t="s">
        <v>5673</v>
      </c>
      <c r="K102" s="27"/>
      <c r="L102" s="27"/>
    </row>
    <row r="103" spans="1:12" ht="30" x14ac:dyDescent="0.25">
      <c r="A103" s="360">
        <v>17726</v>
      </c>
      <c r="B103" s="233" t="str">
        <f>VLOOKUP(Table15[[#This Row],[Document ID]],Table1[],2,FALSE)</f>
        <v>SEN</v>
      </c>
      <c r="C103" s="233" t="str">
        <f>VLOOKUP(Table15[[#This Row],[Document ID]],Table1[],3,FALSE)</f>
        <v>Senegal</v>
      </c>
      <c r="D103" s="233" t="str">
        <f>VLOOKUP(Table15[[#This Row],[Document ID]],Table1[],4,FALSE)</f>
        <v>Good</v>
      </c>
      <c r="E103" s="233" t="str">
        <f>VLOOKUP(Table15[[#This Row],[Document ID]],Table1[],5,FALSE)</f>
        <v>NDC</v>
      </c>
      <c r="F103" s="233" t="str">
        <f>VLOOKUP(Table15[[#This Row],[Document ID]],Table1[],6,FALSE)</f>
        <v>1st NDC</v>
      </c>
      <c r="G103" s="233" t="str">
        <f>VLOOKUP(Table15[[#This Row],[Document ID]],Table1[],8,FALSE)</f>
        <v>NDC 1.0</v>
      </c>
      <c r="H103" s="28" t="s">
        <v>5811</v>
      </c>
      <c r="I103" s="27">
        <v>27</v>
      </c>
      <c r="J103" s="28" t="s">
        <v>5812</v>
      </c>
      <c r="K103" s="27" t="s">
        <v>5665</v>
      </c>
      <c r="L103" s="27"/>
    </row>
    <row r="104" spans="1:12" ht="45" x14ac:dyDescent="0.25">
      <c r="A104" s="360">
        <v>17733</v>
      </c>
      <c r="B104" s="233" t="str">
        <f>VLOOKUP(Table15[[#This Row],[Document ID]],Table1[],2,FALSE)</f>
        <v>SGP</v>
      </c>
      <c r="C104" s="233" t="str">
        <f>VLOOKUP(Table15[[#This Row],[Document ID]],Table1[],3,FALSE)</f>
        <v>Singapore</v>
      </c>
      <c r="D104" s="233" t="str">
        <f>VLOOKUP(Table15[[#This Row],[Document ID]],Table1[],4,FALSE)</f>
        <v>Good</v>
      </c>
      <c r="E104" s="233" t="str">
        <f>VLOOKUP(Table15[[#This Row],[Document ID]],Table1[],5,FALSE)</f>
        <v>NDC</v>
      </c>
      <c r="F104" s="233" t="str">
        <f>VLOOKUP(Table15[[#This Row],[Document ID]],Table1[],6,FALSE)</f>
        <v>Archived NDC 1.1</v>
      </c>
      <c r="G104" s="233" t="str">
        <f>VLOOKUP(Table15[[#This Row],[Document ID]],Table1[],8,FALSE)</f>
        <v>NDC 1.1</v>
      </c>
      <c r="H104" s="209" t="s">
        <v>5813</v>
      </c>
      <c r="I104" s="27">
        <v>5</v>
      </c>
      <c r="J104" s="28" t="s">
        <v>5729</v>
      </c>
      <c r="K104" s="312" t="s">
        <v>5814</v>
      </c>
      <c r="L104" s="27" t="s">
        <v>5815</v>
      </c>
    </row>
    <row r="105" spans="1:12" x14ac:dyDescent="0.25">
      <c r="A105" s="360">
        <v>32514</v>
      </c>
      <c r="B105" s="233" t="str">
        <f>VLOOKUP(Table15[[#This Row],[Document ID]],Table1[],2,FALSE)</f>
        <v>SGP</v>
      </c>
      <c r="C105" s="233" t="str">
        <f>VLOOKUP(Table15[[#This Row],[Document ID]],Table1[],3,FALSE)</f>
        <v>Singapore</v>
      </c>
      <c r="D105" s="233" t="str">
        <f>VLOOKUP(Table15[[#This Row],[Document ID]],Table1[],4,FALSE)</f>
        <v>Good</v>
      </c>
      <c r="E105" s="233" t="str">
        <f>VLOOKUP(Table15[[#This Row],[Document ID]],Table1[],5,FALSE)</f>
        <v>NDC</v>
      </c>
      <c r="F105" s="233" t="str">
        <f>VLOOKUP(Table15[[#This Row],[Document ID]],Table1[],6,FALSE)</f>
        <v>Updated NDC</v>
      </c>
      <c r="G105" s="233" t="str">
        <f>VLOOKUP(Table15[[#This Row],[Document ID]],Table1[],8,FALSE)</f>
        <v>NDC 1.2</v>
      </c>
      <c r="H105" s="27" t="s">
        <v>5816</v>
      </c>
      <c r="I105" s="27">
        <v>6</v>
      </c>
      <c r="J105" s="28"/>
      <c r="K105" s="27"/>
      <c r="L105" s="27"/>
    </row>
    <row r="106" spans="1:12" x14ac:dyDescent="0.25">
      <c r="A106" s="360">
        <v>32514</v>
      </c>
      <c r="B106" s="233" t="str">
        <f>VLOOKUP(Table15[[#This Row],[Document ID]],Table1[],2,FALSE)</f>
        <v>SGP</v>
      </c>
      <c r="C106" s="233" t="str">
        <f>VLOOKUP(Table15[[#This Row],[Document ID]],Table1[],3,FALSE)</f>
        <v>Singapore</v>
      </c>
      <c r="D106" s="233" t="str">
        <f>VLOOKUP(Table15[[#This Row],[Document ID]],Table1[],4,FALSE)</f>
        <v>Good</v>
      </c>
      <c r="E106" s="233" t="str">
        <f>VLOOKUP(Table15[[#This Row],[Document ID]],Table1[],5,FALSE)</f>
        <v>NDC</v>
      </c>
      <c r="F106" s="233" t="str">
        <f>VLOOKUP(Table15[[#This Row],[Document ID]],Table1[],6,FALSE)</f>
        <v>Updated NDC</v>
      </c>
      <c r="G106" s="233" t="str">
        <f>VLOOKUP(Table15[[#This Row],[Document ID]],Table1[],8,FALSE)</f>
        <v>NDC 1.2</v>
      </c>
      <c r="H106" s="27" t="s">
        <v>5817</v>
      </c>
      <c r="I106" s="27">
        <v>7</v>
      </c>
      <c r="J106" s="28"/>
      <c r="K106" s="27"/>
      <c r="L106" s="27"/>
    </row>
    <row r="107" spans="1:12" x14ac:dyDescent="0.25">
      <c r="A107" s="360">
        <v>32514</v>
      </c>
      <c r="B107" s="233" t="str">
        <f>VLOOKUP(Table15[[#This Row],[Document ID]],Table1[],2,FALSE)</f>
        <v>SGP</v>
      </c>
      <c r="C107" s="233" t="str">
        <f>VLOOKUP(Table15[[#This Row],[Document ID]],Table1[],3,FALSE)</f>
        <v>Singapore</v>
      </c>
      <c r="D107" s="233" t="str">
        <f>VLOOKUP(Table15[[#This Row],[Document ID]],Table1[],4,FALSE)</f>
        <v>Good</v>
      </c>
      <c r="E107" s="233" t="str">
        <f>VLOOKUP(Table15[[#This Row],[Document ID]],Table1[],5,FALSE)</f>
        <v>NDC</v>
      </c>
      <c r="F107" s="233" t="str">
        <f>VLOOKUP(Table15[[#This Row],[Document ID]],Table1[],6,FALSE)</f>
        <v>Updated NDC</v>
      </c>
      <c r="G107" s="233" t="str">
        <f>VLOOKUP(Table15[[#This Row],[Document ID]],Table1[],8,FALSE)</f>
        <v>NDC 1.2</v>
      </c>
      <c r="H107" s="27" t="s">
        <v>5818</v>
      </c>
      <c r="I107" s="27">
        <v>22</v>
      </c>
      <c r="J107" s="28"/>
      <c r="K107" s="27"/>
      <c r="L107" s="27"/>
    </row>
    <row r="108" spans="1:12" ht="30" x14ac:dyDescent="0.25">
      <c r="A108" s="360">
        <v>26800</v>
      </c>
      <c r="B108" s="233" t="str">
        <f>VLOOKUP(Table15[[#This Row],[Document ID]],Table1[],2,FALSE)</f>
        <v>SLV</v>
      </c>
      <c r="C108" s="233" t="str">
        <f>VLOOKUP(Table15[[#This Row],[Document ID]],Table1[],3,FALSE)</f>
        <v>El Salvador</v>
      </c>
      <c r="D108" s="233" t="str">
        <f>VLOOKUP(Table15[[#This Row],[Document ID]],Table1[],4,FALSE)</f>
        <v>Good</v>
      </c>
      <c r="E108" s="233" t="str">
        <f>VLOOKUP(Table15[[#This Row],[Document ID]],Table1[],5,FALSE)</f>
        <v>NDC</v>
      </c>
      <c r="F108" s="233" t="str">
        <f>VLOOKUP(Table15[[#This Row],[Document ID]],Table1[],6,FALSE)</f>
        <v>Updated NDC</v>
      </c>
      <c r="G108" s="233" t="str">
        <f>VLOOKUP(Table15[[#This Row],[Document ID]],Table1[],8,FALSE)</f>
        <v>NDC 1.1</v>
      </c>
      <c r="H108" s="28" t="s">
        <v>5819</v>
      </c>
      <c r="I108" s="27">
        <v>91</v>
      </c>
      <c r="J108" s="313" t="s">
        <v>5820</v>
      </c>
      <c r="K108" s="312" t="s">
        <v>5821</v>
      </c>
      <c r="L108" s="27"/>
    </row>
    <row r="109" spans="1:12" ht="30" x14ac:dyDescent="0.25">
      <c r="A109" s="360">
        <v>17748</v>
      </c>
      <c r="B109" s="233" t="str">
        <f>VLOOKUP(Table15[[#This Row],[Document ID]],Table1[],2,FALSE)</f>
        <v>SUR</v>
      </c>
      <c r="C109" s="233" t="str">
        <f>VLOOKUP(Table15[[#This Row],[Document ID]],Table1[],3,FALSE)</f>
        <v>Suriname</v>
      </c>
      <c r="D109" s="233" t="str">
        <f>VLOOKUP(Table15[[#This Row],[Document ID]],Table1[],4,FALSE)</f>
        <v>Good</v>
      </c>
      <c r="E109" s="233" t="str">
        <f>VLOOKUP(Table15[[#This Row],[Document ID]],Table1[],5,FALSE)</f>
        <v>NDC</v>
      </c>
      <c r="F109" s="233" t="str">
        <f>VLOOKUP(Table15[[#This Row],[Document ID]],Table1[],6,FALSE)</f>
        <v>2nd NDC</v>
      </c>
      <c r="G109" s="233" t="str">
        <f>VLOOKUP(Table15[[#This Row],[Document ID]],Table1[],8,FALSE)</f>
        <v>NDC 2.0</v>
      </c>
      <c r="H109" s="209" t="s">
        <v>5822</v>
      </c>
      <c r="I109" s="27">
        <v>22</v>
      </c>
      <c r="J109" s="28" t="s">
        <v>5823</v>
      </c>
      <c r="K109" s="27" t="s">
        <v>5665</v>
      </c>
      <c r="L109" s="27"/>
    </row>
    <row r="110" spans="1:12" ht="60" x14ac:dyDescent="0.25">
      <c r="A110" s="360">
        <v>17748</v>
      </c>
      <c r="B110" s="233" t="str">
        <f>VLOOKUP(Table15[[#This Row],[Document ID]],Table1[],2,FALSE)</f>
        <v>SUR</v>
      </c>
      <c r="C110" s="233" t="str">
        <f>VLOOKUP(Table15[[#This Row],[Document ID]],Table1[],3,FALSE)</f>
        <v>Suriname</v>
      </c>
      <c r="D110" s="233" t="str">
        <f>VLOOKUP(Table15[[#This Row],[Document ID]],Table1[],4,FALSE)</f>
        <v>Good</v>
      </c>
      <c r="E110" s="233" t="str">
        <f>VLOOKUP(Table15[[#This Row],[Document ID]],Table1[],5,FALSE)</f>
        <v>NDC</v>
      </c>
      <c r="F110" s="233" t="str">
        <f>VLOOKUP(Table15[[#This Row],[Document ID]],Table1[],6,FALSE)</f>
        <v>2nd NDC</v>
      </c>
      <c r="G110" s="233" t="str">
        <f>VLOOKUP(Table15[[#This Row],[Document ID]],Table1[],8,FALSE)</f>
        <v>NDC 2.0</v>
      </c>
      <c r="H110" s="28" t="s">
        <v>5824</v>
      </c>
      <c r="I110" s="27">
        <v>9</v>
      </c>
      <c r="J110" s="28" t="s">
        <v>5825</v>
      </c>
      <c r="K110" s="312" t="s">
        <v>5826</v>
      </c>
      <c r="L110" s="27" t="s">
        <v>5827</v>
      </c>
    </row>
    <row r="111" spans="1:12" ht="75" x14ac:dyDescent="0.25">
      <c r="A111" s="360">
        <v>24788</v>
      </c>
      <c r="B111" s="233" t="str">
        <f>VLOOKUP(Table15[[#This Row],[Document ID]],Table1[],2,FALSE)</f>
        <v>TCD</v>
      </c>
      <c r="C111" s="233" t="str">
        <f>VLOOKUP(Table15[[#This Row],[Document ID]],Table1[],3,FALSE)</f>
        <v>Chad</v>
      </c>
      <c r="D111" s="233" t="str">
        <f>VLOOKUP(Table15[[#This Row],[Document ID]],Table1[],4,FALSE)</f>
        <v>Good</v>
      </c>
      <c r="E111" s="233" t="str">
        <f>VLOOKUP(Table15[[#This Row],[Document ID]],Table1[],5,FALSE)</f>
        <v>NDC</v>
      </c>
      <c r="F111" s="233" t="str">
        <f>VLOOKUP(Table15[[#This Row],[Document ID]],Table1[],6,FALSE)</f>
        <v>Updated NDC</v>
      </c>
      <c r="G111" s="233" t="str">
        <f>VLOOKUP(Table15[[#This Row],[Document ID]],Table1[],8,FALSE)</f>
        <v>NDC 1.1</v>
      </c>
      <c r="H111" s="28" t="s">
        <v>5828</v>
      </c>
      <c r="I111" s="27">
        <v>10</v>
      </c>
      <c r="J111" s="28" t="s">
        <v>5829</v>
      </c>
      <c r="K111" s="312" t="s">
        <v>5830</v>
      </c>
      <c r="L111" s="28" t="s">
        <v>5831</v>
      </c>
    </row>
    <row r="112" spans="1:12" ht="45" x14ac:dyDescent="0.25">
      <c r="A112" s="378">
        <v>17758</v>
      </c>
      <c r="B112" s="233" t="str">
        <f>VLOOKUP(Table15[[#This Row],[Document ID]],Table1[],2,FALSE)</f>
        <v>THA</v>
      </c>
      <c r="C112" s="233" t="str">
        <f>VLOOKUP(Table15[[#This Row],[Document ID]],Table1[],3,FALSE)</f>
        <v>Thailand</v>
      </c>
      <c r="D112" s="233" t="str">
        <f>VLOOKUP(Table15[[#This Row],[Document ID]],Table1[],4,FALSE)</f>
        <v>Good</v>
      </c>
      <c r="E112" s="233" t="str">
        <f>VLOOKUP(Table15[[#This Row],[Document ID]],Table1[],5,FALSE)</f>
        <v>NDC</v>
      </c>
      <c r="F112" s="233" t="str">
        <f>VLOOKUP(Table15[[#This Row],[Document ID]],Table1[],6,FALSE)</f>
        <v>Updated NDC</v>
      </c>
      <c r="G112" s="233" t="str">
        <f>VLOOKUP(Table15[[#This Row],[Document ID]],Table1[],8,FALSE)</f>
        <v>NDC 1.1</v>
      </c>
      <c r="H112" s="209" t="s">
        <v>5832</v>
      </c>
      <c r="I112" s="27">
        <v>2</v>
      </c>
      <c r="J112" s="209" t="s">
        <v>5832</v>
      </c>
      <c r="K112" s="27" t="s">
        <v>5665</v>
      </c>
      <c r="L112" s="27"/>
    </row>
    <row r="113" spans="1:12" ht="120" x14ac:dyDescent="0.25">
      <c r="A113" s="360">
        <v>26791</v>
      </c>
      <c r="B113" s="233" t="str">
        <f>VLOOKUP(Table15[[#This Row],[Document ID]],Table1[],2,FALSE)</f>
        <v>TON</v>
      </c>
      <c r="C113" s="233" t="str">
        <f>VLOOKUP(Table15[[#This Row],[Document ID]],Table1[],3,FALSE)</f>
        <v>Tonga</v>
      </c>
      <c r="D113" s="233" t="str">
        <f>VLOOKUP(Table15[[#This Row],[Document ID]],Table1[],4,FALSE)</f>
        <v>Good</v>
      </c>
      <c r="E113" s="233" t="str">
        <f>VLOOKUP(Table15[[#This Row],[Document ID]],Table1[],5,FALSE)</f>
        <v>LTS</v>
      </c>
      <c r="F113" s="233" t="str">
        <f>VLOOKUP(Table15[[#This Row],[Document ID]],Table1[],6,FALSE)</f>
        <v>LTS</v>
      </c>
      <c r="G113" s="233" t="str">
        <f>VLOOKUP(Table15[[#This Row],[Document ID]],Table1[],8,FALSE)</f>
        <v>LTS 1.0</v>
      </c>
      <c r="H113" s="28" t="s">
        <v>5833</v>
      </c>
      <c r="I113" s="27">
        <v>39</v>
      </c>
      <c r="J113" s="28" t="s">
        <v>5834</v>
      </c>
      <c r="K113" s="312" t="s">
        <v>5835</v>
      </c>
      <c r="L113" s="27" t="s">
        <v>5836</v>
      </c>
    </row>
    <row r="114" spans="1:12" ht="30" x14ac:dyDescent="0.25">
      <c r="A114" s="360">
        <v>26791</v>
      </c>
      <c r="B114" s="233" t="str">
        <f>VLOOKUP(Table15[[#This Row],[Document ID]],Table1[],2,FALSE)</f>
        <v>TON</v>
      </c>
      <c r="C114" s="233" t="str">
        <f>VLOOKUP(Table15[[#This Row],[Document ID]],Table1[],3,FALSE)</f>
        <v>Tonga</v>
      </c>
      <c r="D114" s="233" t="str">
        <f>VLOOKUP(Table15[[#This Row],[Document ID]],Table1[],4,FALSE)</f>
        <v>Good</v>
      </c>
      <c r="E114" s="233" t="str">
        <f>VLOOKUP(Table15[[#This Row],[Document ID]],Table1[],5,FALSE)</f>
        <v>LTS</v>
      </c>
      <c r="F114" s="233" t="str">
        <f>VLOOKUP(Table15[[#This Row],[Document ID]],Table1[],6,FALSE)</f>
        <v>LTS</v>
      </c>
      <c r="G114" s="233" t="str">
        <f>VLOOKUP(Table15[[#This Row],[Document ID]],Table1[],8,FALSE)</f>
        <v>LTS 1.0</v>
      </c>
      <c r="H114" s="209" t="s">
        <v>5837</v>
      </c>
      <c r="I114" s="27">
        <v>17</v>
      </c>
      <c r="J114" s="316" t="s">
        <v>5838</v>
      </c>
      <c r="K114" s="312" t="s">
        <v>5839</v>
      </c>
      <c r="L114" s="27" t="s">
        <v>5840</v>
      </c>
    </row>
    <row r="115" spans="1:12" ht="30" x14ac:dyDescent="0.25">
      <c r="A115" s="360">
        <v>26791</v>
      </c>
      <c r="B115" s="233" t="str">
        <f>VLOOKUP(Table15[[#This Row],[Document ID]],Table1[],2,FALSE)</f>
        <v>TON</v>
      </c>
      <c r="C115" s="233" t="str">
        <f>VLOOKUP(Table15[[#This Row],[Document ID]],Table1[],3,FALSE)</f>
        <v>Tonga</v>
      </c>
      <c r="D115" s="233" t="str">
        <f>VLOOKUP(Table15[[#This Row],[Document ID]],Table1[],4,FALSE)</f>
        <v>Good</v>
      </c>
      <c r="E115" s="233" t="str">
        <f>VLOOKUP(Table15[[#This Row],[Document ID]],Table1[],5,FALSE)</f>
        <v>LTS</v>
      </c>
      <c r="F115" s="233" t="str">
        <f>VLOOKUP(Table15[[#This Row],[Document ID]],Table1[],6,FALSE)</f>
        <v>LTS</v>
      </c>
      <c r="G115" s="233" t="str">
        <f>VLOOKUP(Table15[[#This Row],[Document ID]],Table1[],8,FALSE)</f>
        <v>LTS 1.0</v>
      </c>
      <c r="H115" s="28" t="s">
        <v>5841</v>
      </c>
      <c r="I115" s="27">
        <v>17</v>
      </c>
      <c r="J115" s="28" t="s">
        <v>5842</v>
      </c>
      <c r="K115" s="312" t="s">
        <v>5843</v>
      </c>
      <c r="L115" s="27" t="s">
        <v>5844</v>
      </c>
    </row>
    <row r="116" spans="1:12" ht="30" x14ac:dyDescent="0.25">
      <c r="A116" s="360">
        <v>26791</v>
      </c>
      <c r="B116" s="233" t="str">
        <f>VLOOKUP(Table15[[#This Row],[Document ID]],Table1[],2,FALSE)</f>
        <v>TON</v>
      </c>
      <c r="C116" s="233" t="str">
        <f>VLOOKUP(Table15[[#This Row],[Document ID]],Table1[],3,FALSE)</f>
        <v>Tonga</v>
      </c>
      <c r="D116" s="233" t="str">
        <f>VLOOKUP(Table15[[#This Row],[Document ID]],Table1[],4,FALSE)</f>
        <v>Good</v>
      </c>
      <c r="E116" s="233" t="str">
        <f>VLOOKUP(Table15[[#This Row],[Document ID]],Table1[],5,FALSE)</f>
        <v>LTS</v>
      </c>
      <c r="F116" s="233" t="str">
        <f>VLOOKUP(Table15[[#This Row],[Document ID]],Table1[],6,FALSE)</f>
        <v>LTS</v>
      </c>
      <c r="G116" s="233" t="str">
        <f>VLOOKUP(Table15[[#This Row],[Document ID]],Table1[],8,FALSE)</f>
        <v>LTS 1.0</v>
      </c>
      <c r="H116" s="209" t="s">
        <v>5845</v>
      </c>
      <c r="I116" s="27">
        <v>17</v>
      </c>
      <c r="J116" s="28" t="s">
        <v>5846</v>
      </c>
      <c r="K116" s="312" t="s">
        <v>5847</v>
      </c>
      <c r="L116" s="27" t="s">
        <v>5848</v>
      </c>
    </row>
    <row r="117" spans="1:12" ht="30" x14ac:dyDescent="0.25">
      <c r="A117" s="360">
        <v>26791</v>
      </c>
      <c r="B117" s="233" t="str">
        <f>VLOOKUP(Table15[[#This Row],[Document ID]],Table1[],2,FALSE)</f>
        <v>TON</v>
      </c>
      <c r="C117" s="233" t="str">
        <f>VLOOKUP(Table15[[#This Row],[Document ID]],Table1[],3,FALSE)</f>
        <v>Tonga</v>
      </c>
      <c r="D117" s="233" t="str">
        <f>VLOOKUP(Table15[[#This Row],[Document ID]],Table1[],4,FALSE)</f>
        <v>Good</v>
      </c>
      <c r="E117" s="233" t="str">
        <f>VLOOKUP(Table15[[#This Row],[Document ID]],Table1[],5,FALSE)</f>
        <v>LTS</v>
      </c>
      <c r="F117" s="233" t="str">
        <f>VLOOKUP(Table15[[#This Row],[Document ID]],Table1[],6,FALSE)</f>
        <v>LTS</v>
      </c>
      <c r="G117" s="233" t="str">
        <f>VLOOKUP(Table15[[#This Row],[Document ID]],Table1[],8,FALSE)</f>
        <v>LTS 1.0</v>
      </c>
      <c r="H117" s="316" t="s">
        <v>5849</v>
      </c>
      <c r="I117" s="27">
        <v>49</v>
      </c>
      <c r="J117" s="28" t="s">
        <v>5850</v>
      </c>
      <c r="K117" s="27" t="s">
        <v>5665</v>
      </c>
      <c r="L117" s="27"/>
    </row>
    <row r="118" spans="1:12" x14ac:dyDescent="0.25">
      <c r="A118" s="373">
        <v>39454</v>
      </c>
      <c r="B118" s="233" t="str">
        <f>VLOOKUP(Table15[[#This Row],[Document ID]],Table1[],2,FALSE)</f>
        <v>TUV</v>
      </c>
      <c r="C118" s="233" t="str">
        <f>VLOOKUP(Table15[[#This Row],[Document ID]],Table1[],3,FALSE)</f>
        <v>Tuvalu</v>
      </c>
      <c r="D118" s="233" t="str">
        <f>VLOOKUP(Table15[[#This Row],[Document ID]],Table1[],4,FALSE)</f>
        <v>Good</v>
      </c>
      <c r="E118" s="233" t="str">
        <f>VLOOKUP(Table15[[#This Row],[Document ID]],Table1[],5,FALSE)</f>
        <v>NDC</v>
      </c>
      <c r="F118" s="233" t="str">
        <f>VLOOKUP(Table15[[#This Row],[Document ID]],Table1[],6,FALSE)</f>
        <v>2nd NDC</v>
      </c>
      <c r="G118" s="233" t="str">
        <f>VLOOKUP(Table15[[#This Row],[Document ID]],Table1[],8,FALSE)</f>
        <v>NDC 2.0</v>
      </c>
      <c r="H118" s="27" t="s">
        <v>5851</v>
      </c>
      <c r="I118" s="27">
        <v>9</v>
      </c>
      <c r="J118" s="28"/>
      <c r="K118" s="27"/>
      <c r="L118" s="27"/>
    </row>
    <row r="119" spans="1:12" x14ac:dyDescent="0.25">
      <c r="A119" s="373">
        <v>39454</v>
      </c>
      <c r="B119" s="233" t="str">
        <f>VLOOKUP(Table15[[#This Row],[Document ID]],Table1[],2,FALSE)</f>
        <v>TUV</v>
      </c>
      <c r="C119" s="233" t="str">
        <f>VLOOKUP(Table15[[#This Row],[Document ID]],Table1[],3,FALSE)</f>
        <v>Tuvalu</v>
      </c>
      <c r="D119" s="233" t="str">
        <f>VLOOKUP(Table15[[#This Row],[Document ID]],Table1[],4,FALSE)</f>
        <v>Good</v>
      </c>
      <c r="E119" s="233" t="str">
        <f>VLOOKUP(Table15[[#This Row],[Document ID]],Table1[],5,FALSE)</f>
        <v>NDC</v>
      </c>
      <c r="F119" s="233" t="str">
        <f>VLOOKUP(Table15[[#This Row],[Document ID]],Table1[],6,FALSE)</f>
        <v>2nd NDC</v>
      </c>
      <c r="G119" s="233" t="str">
        <f>VLOOKUP(Table15[[#This Row],[Document ID]],Table1[],8,FALSE)</f>
        <v>NDC 2.0</v>
      </c>
      <c r="H119" s="27" t="s">
        <v>5852</v>
      </c>
      <c r="I119" s="27">
        <v>9</v>
      </c>
      <c r="J119" s="28"/>
      <c r="K119" s="27"/>
      <c r="L119" s="27"/>
    </row>
    <row r="120" spans="1:12" ht="60" x14ac:dyDescent="0.25">
      <c r="A120" s="360">
        <v>17771</v>
      </c>
      <c r="B120" s="233" t="str">
        <f>VLOOKUP(Table15[[#This Row],[Document ID]],Table1[],2,FALSE)</f>
        <v>UKR</v>
      </c>
      <c r="C120" s="233" t="str">
        <f>VLOOKUP(Table15[[#This Row],[Document ID]],Table1[],3,FALSE)</f>
        <v>Ukraine</v>
      </c>
      <c r="D120" s="233" t="str">
        <f>VLOOKUP(Table15[[#This Row],[Document ID]],Table1[],4,FALSE)</f>
        <v>Good</v>
      </c>
      <c r="E120" s="233" t="str">
        <f>VLOOKUP(Table15[[#This Row],[Document ID]],Table1[],5,FALSE)</f>
        <v>LTS</v>
      </c>
      <c r="F120" s="233" t="str">
        <f>VLOOKUP(Table15[[#This Row],[Document ID]],Table1[],6,FALSE)</f>
        <v>LTS</v>
      </c>
      <c r="G120" s="233" t="str">
        <f>VLOOKUP(Table15[[#This Row],[Document ID]],Table1[],8,FALSE)</f>
        <v>LTS 1.0</v>
      </c>
      <c r="H120" s="209" t="s">
        <v>5853</v>
      </c>
      <c r="I120" s="27">
        <v>30</v>
      </c>
      <c r="J120" s="28" t="s">
        <v>5612</v>
      </c>
      <c r="K120" s="312" t="s">
        <v>5854</v>
      </c>
      <c r="L120" s="27" t="s">
        <v>5855</v>
      </c>
    </row>
    <row r="121" spans="1:12" x14ac:dyDescent="0.25">
      <c r="A121" s="360">
        <v>26821</v>
      </c>
      <c r="B121" s="233" t="str">
        <f>VLOOKUP(Table15[[#This Row],[Document ID]],Table1[],2,FALSE)</f>
        <v>URY</v>
      </c>
      <c r="C121" s="233" t="str">
        <f>VLOOKUP(Table15[[#This Row],[Document ID]],Table1[],3,FALSE)</f>
        <v>Uruguay</v>
      </c>
      <c r="D121" s="233" t="str">
        <f>VLOOKUP(Table15[[#This Row],[Document ID]],Table1[],4,FALSE)</f>
        <v>Good</v>
      </c>
      <c r="E121" s="233" t="str">
        <f>VLOOKUP(Table15[[#This Row],[Document ID]],Table1[],5,FALSE)</f>
        <v>LTS</v>
      </c>
      <c r="F121" s="233" t="str">
        <f>VLOOKUP(Table15[[#This Row],[Document ID]],Table1[],6,FALSE)</f>
        <v>LTS</v>
      </c>
      <c r="G121" s="233" t="str">
        <f>VLOOKUP(Table15[[#This Row],[Document ID]],Table1[],8,FALSE)</f>
        <v>LTS 1.0</v>
      </c>
      <c r="H121" s="27" t="s">
        <v>5856</v>
      </c>
      <c r="I121" s="27">
        <v>13</v>
      </c>
      <c r="J121" s="28" t="s">
        <v>5857</v>
      </c>
      <c r="K121" s="27"/>
      <c r="L121" s="27"/>
    </row>
    <row r="122" spans="1:12" x14ac:dyDescent="0.25">
      <c r="A122" s="360">
        <v>32524</v>
      </c>
      <c r="B122" s="233" t="str">
        <f>VLOOKUP(Table15[[#This Row],[Document ID]],Table1[],2,FALSE)</f>
        <v>URY</v>
      </c>
      <c r="C122" s="233" t="str">
        <f>VLOOKUP(Table15[[#This Row],[Document ID]],Table1[],3,FALSE)</f>
        <v>Uruguay</v>
      </c>
      <c r="D122" s="233" t="str">
        <f>VLOOKUP(Table15[[#This Row],[Document ID]],Table1[],4,FALSE)</f>
        <v>Good</v>
      </c>
      <c r="E122" s="233" t="str">
        <f>VLOOKUP(Table15[[#This Row],[Document ID]],Table1[],5,FALSE)</f>
        <v>NDC</v>
      </c>
      <c r="F122" s="233" t="str">
        <f>VLOOKUP(Table15[[#This Row],[Document ID]],Table1[],6,FALSE)</f>
        <v>2nd NDC</v>
      </c>
      <c r="G122" s="233" t="str">
        <f>VLOOKUP(Table15[[#This Row],[Document ID]],Table1[],8,FALSE)</f>
        <v>NDC 2.0</v>
      </c>
      <c r="H122" s="27" t="s">
        <v>5858</v>
      </c>
      <c r="I122" s="27">
        <v>2</v>
      </c>
      <c r="J122" s="28"/>
      <c r="K122" s="27"/>
      <c r="L122" s="27"/>
    </row>
    <row r="123" spans="1:12" x14ac:dyDescent="0.25">
      <c r="A123" s="360">
        <v>26793</v>
      </c>
      <c r="B123" s="233" t="str">
        <f>VLOOKUP(Table15[[#This Row],[Document ID]],Table1[],2,FALSE)</f>
        <v>USA</v>
      </c>
      <c r="C123" s="233" t="str">
        <f>VLOOKUP(Table15[[#This Row],[Document ID]],Table1[],3,FALSE)</f>
        <v>United States of America</v>
      </c>
      <c r="D123" s="233" t="str">
        <f>VLOOKUP(Table15[[#This Row],[Document ID]],Table1[],4,FALSE)</f>
        <v>Good</v>
      </c>
      <c r="E123" s="233" t="str">
        <f>VLOOKUP(Table15[[#This Row],[Document ID]],Table1[],5,FALSE)</f>
        <v>LTS</v>
      </c>
      <c r="F123" s="233" t="str">
        <f>VLOOKUP(Table15[[#This Row],[Document ID]],Table1[],6,FALSE)</f>
        <v>LTS</v>
      </c>
      <c r="G123" s="233" t="str">
        <f>VLOOKUP(Table15[[#This Row],[Document ID]],Table1[],8,FALSE)</f>
        <v>LTS 1.1</v>
      </c>
      <c r="H123" s="316" t="s">
        <v>5859</v>
      </c>
      <c r="I123" s="27">
        <v>9</v>
      </c>
      <c r="J123" s="28" t="s">
        <v>5860</v>
      </c>
      <c r="K123" s="312" t="s">
        <v>5861</v>
      </c>
      <c r="L123" s="27"/>
    </row>
    <row r="124" spans="1:12" x14ac:dyDescent="0.25">
      <c r="A124" s="360">
        <v>24785</v>
      </c>
      <c r="B124" s="233" t="str">
        <f>VLOOKUP(Table15[[#This Row],[Document ID]],Table1[],2,FALSE)</f>
        <v>UZB</v>
      </c>
      <c r="C124" s="233" t="str">
        <f>VLOOKUP(Table15[[#This Row],[Document ID]],Table1[],3,FALSE)</f>
        <v>Uzbekistan</v>
      </c>
      <c r="D124" s="233" t="str">
        <f>VLOOKUP(Table15[[#This Row],[Document ID]],Table1[],4,FALSE)</f>
        <v>Good</v>
      </c>
      <c r="E124" s="233" t="str">
        <f>VLOOKUP(Table15[[#This Row],[Document ID]],Table1[],5,FALSE)</f>
        <v>NDC</v>
      </c>
      <c r="F124" s="233" t="str">
        <f>VLOOKUP(Table15[[#This Row],[Document ID]],Table1[],6,FALSE)</f>
        <v>Updated NDC</v>
      </c>
      <c r="G124" s="233" t="str">
        <f>VLOOKUP(Table15[[#This Row],[Document ID]],Table1[],8,FALSE)</f>
        <v>NDC 1.1</v>
      </c>
      <c r="H124" s="209" t="s">
        <v>5862</v>
      </c>
      <c r="I124" s="27">
        <v>7</v>
      </c>
      <c r="J124" s="28" t="s">
        <v>5863</v>
      </c>
      <c r="K124" s="312" t="s">
        <v>5864</v>
      </c>
      <c r="L124" s="27" t="s">
        <v>5865</v>
      </c>
    </row>
    <row r="125" spans="1:12" ht="60" x14ac:dyDescent="0.25">
      <c r="A125" s="360">
        <v>24785</v>
      </c>
      <c r="B125" s="233" t="str">
        <f>VLOOKUP(Table15[[#This Row],[Document ID]],Table1[],2,FALSE)</f>
        <v>UZB</v>
      </c>
      <c r="C125" s="233" t="str">
        <f>VLOOKUP(Table15[[#This Row],[Document ID]],Table1[],3,FALSE)</f>
        <v>Uzbekistan</v>
      </c>
      <c r="D125" s="233" t="str">
        <f>VLOOKUP(Table15[[#This Row],[Document ID]],Table1[],4,FALSE)</f>
        <v>Good</v>
      </c>
      <c r="E125" s="233" t="str">
        <f>VLOOKUP(Table15[[#This Row],[Document ID]],Table1[],5,FALSE)</f>
        <v>NDC</v>
      </c>
      <c r="F125" s="233" t="str">
        <f>VLOOKUP(Table15[[#This Row],[Document ID]],Table1[],6,FALSE)</f>
        <v>Updated NDC</v>
      </c>
      <c r="G125" s="233" t="str">
        <f>VLOOKUP(Table15[[#This Row],[Document ID]],Table1[],8,FALSE)</f>
        <v>NDC 1.1</v>
      </c>
      <c r="H125" s="209" t="s">
        <v>5866</v>
      </c>
      <c r="I125" s="27" t="s">
        <v>5867</v>
      </c>
      <c r="J125" s="28" t="s">
        <v>5868</v>
      </c>
      <c r="K125" s="312" t="s">
        <v>5869</v>
      </c>
      <c r="L125" s="28" t="s">
        <v>5870</v>
      </c>
    </row>
    <row r="126" spans="1:12" ht="120" x14ac:dyDescent="0.25">
      <c r="A126" s="360">
        <v>24785</v>
      </c>
      <c r="B126" s="233" t="str">
        <f>VLOOKUP(Table15[[#This Row],[Document ID]],Table1[],2,FALSE)</f>
        <v>UZB</v>
      </c>
      <c r="C126" s="233" t="str">
        <f>VLOOKUP(Table15[[#This Row],[Document ID]],Table1[],3,FALSE)</f>
        <v>Uzbekistan</v>
      </c>
      <c r="D126" s="233" t="str">
        <f>VLOOKUP(Table15[[#This Row],[Document ID]],Table1[],4,FALSE)</f>
        <v>Good</v>
      </c>
      <c r="E126" s="233" t="str">
        <f>VLOOKUP(Table15[[#This Row],[Document ID]],Table1[],5,FALSE)</f>
        <v>NDC</v>
      </c>
      <c r="F126" s="233" t="str">
        <f>VLOOKUP(Table15[[#This Row],[Document ID]],Table1[],6,FALSE)</f>
        <v>Updated NDC</v>
      </c>
      <c r="G126" s="233" t="str">
        <f>VLOOKUP(Table15[[#This Row],[Document ID]],Table1[],8,FALSE)</f>
        <v>NDC 1.1</v>
      </c>
      <c r="H126" s="209" t="s">
        <v>5871</v>
      </c>
      <c r="I126" s="27">
        <v>8</v>
      </c>
      <c r="J126" s="28"/>
      <c r="K126" s="27"/>
      <c r="L126" s="27"/>
    </row>
    <row r="127" spans="1:12" ht="75" x14ac:dyDescent="0.25">
      <c r="A127" s="360">
        <v>24787</v>
      </c>
      <c r="B127" s="233" t="str">
        <f>VLOOKUP(Table15[[#This Row],[Document ID]],Table1[],2,FALSE)</f>
        <v>VEN</v>
      </c>
      <c r="C127" s="233" t="str">
        <f>VLOOKUP(Table15[[#This Row],[Document ID]],Table1[],3,FALSE)</f>
        <v>Venezuela, Bolivarian Republic of</v>
      </c>
      <c r="D127" s="233" t="str">
        <f>VLOOKUP(Table15[[#This Row],[Document ID]],Table1[],4,FALSE)</f>
        <v>Good</v>
      </c>
      <c r="E127" s="233" t="str">
        <f>VLOOKUP(Table15[[#This Row],[Document ID]],Table1[],5,FALSE)</f>
        <v>NDC</v>
      </c>
      <c r="F127" s="233" t="str">
        <f>VLOOKUP(Table15[[#This Row],[Document ID]],Table1[],6,FALSE)</f>
        <v>Updated NDC</v>
      </c>
      <c r="G127" s="233" t="str">
        <f>VLOOKUP(Table15[[#This Row],[Document ID]],Table1[],8,FALSE)</f>
        <v>NDC 1.1</v>
      </c>
      <c r="H127" s="316" t="s">
        <v>5872</v>
      </c>
      <c r="I127" s="27">
        <v>57</v>
      </c>
      <c r="J127" s="28"/>
      <c r="K127" s="312" t="s">
        <v>5873</v>
      </c>
      <c r="L127" s="27"/>
    </row>
    <row r="128" spans="1:12" ht="75" x14ac:dyDescent="0.25">
      <c r="A128" s="360">
        <v>24787</v>
      </c>
      <c r="B128" s="233" t="str">
        <f>VLOOKUP(Table15[[#This Row],[Document ID]],Table1[],2,FALSE)</f>
        <v>VEN</v>
      </c>
      <c r="C128" s="233" t="str">
        <f>VLOOKUP(Table15[[#This Row],[Document ID]],Table1[],3,FALSE)</f>
        <v>Venezuela, Bolivarian Republic of</v>
      </c>
      <c r="D128" s="233" t="str">
        <f>VLOOKUP(Table15[[#This Row],[Document ID]],Table1[],4,FALSE)</f>
        <v>Good</v>
      </c>
      <c r="E128" s="233" t="str">
        <f>VLOOKUP(Table15[[#This Row],[Document ID]],Table1[],5,FALSE)</f>
        <v>NDC</v>
      </c>
      <c r="F128" s="233" t="str">
        <f>VLOOKUP(Table15[[#This Row],[Document ID]],Table1[],6,FALSE)</f>
        <v>Updated NDC</v>
      </c>
      <c r="G128" s="233" t="str">
        <f>VLOOKUP(Table15[[#This Row],[Document ID]],Table1[],8,FALSE)</f>
        <v>NDC 1.1</v>
      </c>
      <c r="H128" s="316" t="s">
        <v>5874</v>
      </c>
      <c r="I128" s="27">
        <v>58</v>
      </c>
      <c r="J128" s="28" t="s">
        <v>5875</v>
      </c>
      <c r="K128" s="312" t="s">
        <v>5876</v>
      </c>
      <c r="L128" s="28" t="s">
        <v>5877</v>
      </c>
    </row>
    <row r="129" spans="1:12" ht="105" x14ac:dyDescent="0.25">
      <c r="A129" s="360">
        <v>17786</v>
      </c>
      <c r="B129" s="233" t="str">
        <f>VLOOKUP(Table15[[#This Row],[Document ID]],Table1[],2,FALSE)</f>
        <v>VNM</v>
      </c>
      <c r="C129" s="233" t="str">
        <f>VLOOKUP(Table15[[#This Row],[Document ID]],Table1[],3,FALSE)</f>
        <v>Viet Nam</v>
      </c>
      <c r="D129" s="233" t="str">
        <f>VLOOKUP(Table15[[#This Row],[Document ID]],Table1[],4,FALSE)</f>
        <v>Good</v>
      </c>
      <c r="E129" s="233" t="str">
        <f>VLOOKUP(Table15[[#This Row],[Document ID]],Table1[],5,FALSE)</f>
        <v>NDC</v>
      </c>
      <c r="F129" s="233" t="str">
        <f>VLOOKUP(Table15[[#This Row],[Document ID]],Table1[],6,FALSE)</f>
        <v>Archived NDC 1.1</v>
      </c>
      <c r="G129" s="233" t="str">
        <f>VLOOKUP(Table15[[#This Row],[Document ID]],Table1[],8,FALSE)</f>
        <v>NDC 1.1</v>
      </c>
      <c r="H129" s="28" t="s">
        <v>5878</v>
      </c>
      <c r="I129" s="27">
        <v>5</v>
      </c>
      <c r="J129" s="28" t="s">
        <v>5879</v>
      </c>
      <c r="K129" s="312" t="s">
        <v>5880</v>
      </c>
      <c r="L129" s="27"/>
    </row>
    <row r="130" spans="1:12" x14ac:dyDescent="0.25">
      <c r="A130" s="360">
        <v>17786</v>
      </c>
      <c r="B130" s="233" t="str">
        <f>VLOOKUP(Table15[[#This Row],[Document ID]],Table1[],2,FALSE)</f>
        <v>VNM</v>
      </c>
      <c r="C130" s="233" t="str">
        <f>VLOOKUP(Table15[[#This Row],[Document ID]],Table1[],3,FALSE)</f>
        <v>Viet Nam</v>
      </c>
      <c r="D130" s="233" t="str">
        <f>VLOOKUP(Table15[[#This Row],[Document ID]],Table1[],4,FALSE)</f>
        <v>Good</v>
      </c>
      <c r="E130" s="233" t="str">
        <f>VLOOKUP(Table15[[#This Row],[Document ID]],Table1[],5,FALSE)</f>
        <v>NDC</v>
      </c>
      <c r="F130" s="233" t="str">
        <f>VLOOKUP(Table15[[#This Row],[Document ID]],Table1[],6,FALSE)</f>
        <v>Archived NDC 1.1</v>
      </c>
      <c r="G130" s="233" t="str">
        <f>VLOOKUP(Table15[[#This Row],[Document ID]],Table1[],8,FALSE)</f>
        <v>NDC 1.1</v>
      </c>
      <c r="H130" s="27" t="s">
        <v>5881</v>
      </c>
      <c r="I130" s="27">
        <v>5</v>
      </c>
      <c r="J130" s="28"/>
      <c r="K130" s="27"/>
      <c r="L130" s="27"/>
    </row>
    <row r="131" spans="1:12" x14ac:dyDescent="0.25">
      <c r="A131" s="360">
        <v>32525</v>
      </c>
      <c r="B131" s="233" t="str">
        <f>VLOOKUP(Table15[[#This Row],[Document ID]],Table1[],2,FALSE)</f>
        <v>VNM</v>
      </c>
      <c r="C131" s="233" t="str">
        <f>VLOOKUP(Table15[[#This Row],[Document ID]],Table1[],3,FALSE)</f>
        <v>Viet Nam</v>
      </c>
      <c r="D131" s="233" t="str">
        <f>VLOOKUP(Table15[[#This Row],[Document ID]],Table1[],4,FALSE)</f>
        <v>Good</v>
      </c>
      <c r="E131" s="233" t="str">
        <f>VLOOKUP(Table15[[#This Row],[Document ID]],Table1[],5,FALSE)</f>
        <v>NDC</v>
      </c>
      <c r="F131" s="233" t="str">
        <f>VLOOKUP(Table15[[#This Row],[Document ID]],Table1[],6,FALSE)</f>
        <v>Updated NDC</v>
      </c>
      <c r="G131" s="233" t="str">
        <f>VLOOKUP(Table15[[#This Row],[Document ID]],Table1[],8,FALSE)</f>
        <v>NDC 1.2</v>
      </c>
      <c r="H131" s="27" t="s">
        <v>5882</v>
      </c>
      <c r="I131" s="27">
        <v>1</v>
      </c>
      <c r="J131" s="28"/>
      <c r="K131" s="27"/>
      <c r="L131" s="27"/>
    </row>
    <row r="132" spans="1:12" x14ac:dyDescent="0.25">
      <c r="A132" s="360">
        <v>32525</v>
      </c>
      <c r="B132" s="233" t="str">
        <f>VLOOKUP(Table15[[#This Row],[Document ID]],Table1[],2,FALSE)</f>
        <v>VNM</v>
      </c>
      <c r="C132" s="233" t="str">
        <f>VLOOKUP(Table15[[#This Row],[Document ID]],Table1[],3,FALSE)</f>
        <v>Viet Nam</v>
      </c>
      <c r="D132" s="233" t="str">
        <f>VLOOKUP(Table15[[#This Row],[Document ID]],Table1[],4,FALSE)</f>
        <v>Good</v>
      </c>
      <c r="E132" s="233" t="str">
        <f>VLOOKUP(Table15[[#This Row],[Document ID]],Table1[],5,FALSE)</f>
        <v>NDC</v>
      </c>
      <c r="F132" s="233" t="str">
        <f>VLOOKUP(Table15[[#This Row],[Document ID]],Table1[],6,FALSE)</f>
        <v>Updated NDC</v>
      </c>
      <c r="G132" s="233" t="str">
        <f>VLOOKUP(Table15[[#This Row],[Document ID]],Table1[],8,FALSE)</f>
        <v>NDC 1.2</v>
      </c>
      <c r="H132" s="27" t="s">
        <v>5882</v>
      </c>
      <c r="I132" s="27">
        <v>1</v>
      </c>
      <c r="J132" s="28"/>
      <c r="K132" s="27"/>
      <c r="L132" s="27"/>
    </row>
    <row r="133" spans="1:12" x14ac:dyDescent="0.25">
      <c r="A133" s="360">
        <v>32525</v>
      </c>
      <c r="B133" s="233" t="str">
        <f>VLOOKUP(Table15[[#This Row],[Document ID]],Table1[],2,FALSE)</f>
        <v>VNM</v>
      </c>
      <c r="C133" s="233" t="str">
        <f>VLOOKUP(Table15[[#This Row],[Document ID]],Table1[],3,FALSE)</f>
        <v>Viet Nam</v>
      </c>
      <c r="D133" s="233" t="str">
        <f>VLOOKUP(Table15[[#This Row],[Document ID]],Table1[],4,FALSE)</f>
        <v>Good</v>
      </c>
      <c r="E133" s="233" t="str">
        <f>VLOOKUP(Table15[[#This Row],[Document ID]],Table1[],5,FALSE)</f>
        <v>NDC</v>
      </c>
      <c r="F133" s="233" t="str">
        <f>VLOOKUP(Table15[[#This Row],[Document ID]],Table1[],6,FALSE)</f>
        <v>Updated NDC</v>
      </c>
      <c r="G133" s="233" t="str">
        <f>VLOOKUP(Table15[[#This Row],[Document ID]],Table1[],8,FALSE)</f>
        <v>NDC 1.2</v>
      </c>
      <c r="H133" s="27" t="s">
        <v>5883</v>
      </c>
      <c r="I133" s="27">
        <v>1</v>
      </c>
      <c r="J133" s="28"/>
      <c r="K133" s="27"/>
      <c r="L133" s="27"/>
    </row>
    <row r="134" spans="1:12" x14ac:dyDescent="0.25">
      <c r="A134" s="360">
        <v>32525</v>
      </c>
      <c r="B134" s="233" t="str">
        <f>VLOOKUP(Table15[[#This Row],[Document ID]],Table1[],2,FALSE)</f>
        <v>VNM</v>
      </c>
      <c r="C134" s="233" t="str">
        <f>VLOOKUP(Table15[[#This Row],[Document ID]],Table1[],3,FALSE)</f>
        <v>Viet Nam</v>
      </c>
      <c r="D134" s="233" t="str">
        <f>VLOOKUP(Table15[[#This Row],[Document ID]],Table1[],4,FALSE)</f>
        <v>Good</v>
      </c>
      <c r="E134" s="233" t="str">
        <f>VLOOKUP(Table15[[#This Row],[Document ID]],Table1[],5,FALSE)</f>
        <v>NDC</v>
      </c>
      <c r="F134" s="233" t="str">
        <f>VLOOKUP(Table15[[#This Row],[Document ID]],Table1[],6,FALSE)</f>
        <v>Updated NDC</v>
      </c>
      <c r="G134" s="233" t="str">
        <f>VLOOKUP(Table15[[#This Row],[Document ID]],Table1[],8,FALSE)</f>
        <v>NDC 1.2</v>
      </c>
      <c r="H134" s="27" t="s">
        <v>5884</v>
      </c>
      <c r="I134" s="27">
        <v>1</v>
      </c>
      <c r="J134" s="28"/>
      <c r="K134" s="27"/>
      <c r="L134" s="27"/>
    </row>
    <row r="135" spans="1:12" x14ac:dyDescent="0.25">
      <c r="A135" s="360">
        <v>32525</v>
      </c>
      <c r="B135" s="233" t="str">
        <f>VLOOKUP(Table15[[#This Row],[Document ID]],Table1[],2,FALSE)</f>
        <v>VNM</v>
      </c>
      <c r="C135" s="233" t="str">
        <f>VLOOKUP(Table15[[#This Row],[Document ID]],Table1[],3,FALSE)</f>
        <v>Viet Nam</v>
      </c>
      <c r="D135" s="233" t="str">
        <f>VLOOKUP(Table15[[#This Row],[Document ID]],Table1[],4,FALSE)</f>
        <v>Good</v>
      </c>
      <c r="E135" s="233" t="str">
        <f>VLOOKUP(Table15[[#This Row],[Document ID]],Table1[],5,FALSE)</f>
        <v>NDC</v>
      </c>
      <c r="F135" s="233" t="str">
        <f>VLOOKUP(Table15[[#This Row],[Document ID]],Table1[],6,FALSE)</f>
        <v>Updated NDC</v>
      </c>
      <c r="G135" s="233" t="str">
        <f>VLOOKUP(Table15[[#This Row],[Document ID]],Table1[],8,FALSE)</f>
        <v>NDC 1.2</v>
      </c>
      <c r="H135" s="27" t="s">
        <v>5885</v>
      </c>
      <c r="I135" s="27">
        <v>1</v>
      </c>
      <c r="J135" s="28"/>
      <c r="K135" s="27"/>
      <c r="L135" s="27"/>
    </row>
    <row r="136" spans="1:12" x14ac:dyDescent="0.25">
      <c r="A136" s="360">
        <v>32525</v>
      </c>
      <c r="B136" s="233" t="str">
        <f>VLOOKUP(Table15[[#This Row],[Document ID]],Table1[],2,FALSE)</f>
        <v>VNM</v>
      </c>
      <c r="C136" s="233" t="str">
        <f>VLOOKUP(Table15[[#This Row],[Document ID]],Table1[],3,FALSE)</f>
        <v>Viet Nam</v>
      </c>
      <c r="D136" s="233" t="str">
        <f>VLOOKUP(Table15[[#This Row],[Document ID]],Table1[],4,FALSE)</f>
        <v>Good</v>
      </c>
      <c r="E136" s="233" t="str">
        <f>VLOOKUP(Table15[[#This Row],[Document ID]],Table1[],5,FALSE)</f>
        <v>NDC</v>
      </c>
      <c r="F136" s="233" t="str">
        <f>VLOOKUP(Table15[[#This Row],[Document ID]],Table1[],6,FALSE)</f>
        <v>Updated NDC</v>
      </c>
      <c r="G136" s="233" t="str">
        <f>VLOOKUP(Table15[[#This Row],[Document ID]],Table1[],8,FALSE)</f>
        <v>NDC 1.2</v>
      </c>
      <c r="H136" s="27" t="s">
        <v>5886</v>
      </c>
      <c r="I136" s="27">
        <v>1</v>
      </c>
      <c r="J136" s="28"/>
      <c r="K136" s="27"/>
      <c r="L136" s="27"/>
    </row>
    <row r="137" spans="1:12" x14ac:dyDescent="0.25">
      <c r="A137" s="360">
        <v>32525</v>
      </c>
      <c r="B137" s="233" t="str">
        <f>VLOOKUP(Table15[[#This Row],[Document ID]],Table1[],2,FALSE)</f>
        <v>VNM</v>
      </c>
      <c r="C137" s="233" t="str">
        <f>VLOOKUP(Table15[[#This Row],[Document ID]],Table1[],3,FALSE)</f>
        <v>Viet Nam</v>
      </c>
      <c r="D137" s="233" t="str">
        <f>VLOOKUP(Table15[[#This Row],[Document ID]],Table1[],4,FALSE)</f>
        <v>Good</v>
      </c>
      <c r="E137" s="233" t="str">
        <f>VLOOKUP(Table15[[#This Row],[Document ID]],Table1[],5,FALSE)</f>
        <v>NDC</v>
      </c>
      <c r="F137" s="233" t="str">
        <f>VLOOKUP(Table15[[#This Row],[Document ID]],Table1[],6,FALSE)</f>
        <v>Updated NDC</v>
      </c>
      <c r="G137" s="233" t="str">
        <f>VLOOKUP(Table15[[#This Row],[Document ID]],Table1[],8,FALSE)</f>
        <v>NDC 1.2</v>
      </c>
      <c r="H137" s="27" t="s">
        <v>5887</v>
      </c>
      <c r="I137" s="27">
        <v>1</v>
      </c>
      <c r="J137" s="28"/>
      <c r="K137" s="27"/>
      <c r="L137" s="27"/>
    </row>
    <row r="138" spans="1:12" x14ac:dyDescent="0.25">
      <c r="A138" s="360">
        <v>32525</v>
      </c>
      <c r="B138" s="233" t="str">
        <f>VLOOKUP(Table15[[#This Row],[Document ID]],Table1[],2,FALSE)</f>
        <v>VNM</v>
      </c>
      <c r="C138" s="233" t="str">
        <f>VLOOKUP(Table15[[#This Row],[Document ID]],Table1[],3,FALSE)</f>
        <v>Viet Nam</v>
      </c>
      <c r="D138" s="233" t="str">
        <f>VLOOKUP(Table15[[#This Row],[Document ID]],Table1[],4,FALSE)</f>
        <v>Good</v>
      </c>
      <c r="E138" s="233" t="str">
        <f>VLOOKUP(Table15[[#This Row],[Document ID]],Table1[],5,FALSE)</f>
        <v>NDC</v>
      </c>
      <c r="F138" s="233" t="str">
        <f>VLOOKUP(Table15[[#This Row],[Document ID]],Table1[],6,FALSE)</f>
        <v>Updated NDC</v>
      </c>
      <c r="G138" s="233" t="str">
        <f>VLOOKUP(Table15[[#This Row],[Document ID]],Table1[],8,FALSE)</f>
        <v>NDC 1.2</v>
      </c>
      <c r="H138" s="27" t="s">
        <v>5887</v>
      </c>
      <c r="I138" s="27">
        <v>1</v>
      </c>
      <c r="J138" s="28"/>
      <c r="K138" s="27"/>
      <c r="L138" s="27"/>
    </row>
    <row r="139" spans="1:12" x14ac:dyDescent="0.25">
      <c r="A139" s="360">
        <v>32525</v>
      </c>
      <c r="B139" s="233" t="str">
        <f>VLOOKUP(Table15[[#This Row],[Document ID]],Table1[],2,FALSE)</f>
        <v>VNM</v>
      </c>
      <c r="C139" s="233" t="str">
        <f>VLOOKUP(Table15[[#This Row],[Document ID]],Table1[],3,FALSE)</f>
        <v>Viet Nam</v>
      </c>
      <c r="D139" s="233" t="str">
        <f>VLOOKUP(Table15[[#This Row],[Document ID]],Table1[],4,FALSE)</f>
        <v>Good</v>
      </c>
      <c r="E139" s="233" t="str">
        <f>VLOOKUP(Table15[[#This Row],[Document ID]],Table1[],5,FALSE)</f>
        <v>NDC</v>
      </c>
      <c r="F139" s="233" t="str">
        <f>VLOOKUP(Table15[[#This Row],[Document ID]],Table1[],6,FALSE)</f>
        <v>Updated NDC</v>
      </c>
      <c r="G139" s="233" t="str">
        <f>VLOOKUP(Table15[[#This Row],[Document ID]],Table1[],8,FALSE)</f>
        <v>NDC 1.2</v>
      </c>
      <c r="H139" s="27" t="s">
        <v>5888</v>
      </c>
      <c r="I139" s="27">
        <v>4</v>
      </c>
      <c r="J139" s="28"/>
      <c r="K139" s="27"/>
      <c r="L139" s="27"/>
    </row>
    <row r="140" spans="1:12" x14ac:dyDescent="0.25">
      <c r="A140" s="360">
        <v>32525</v>
      </c>
      <c r="B140" s="233" t="str">
        <f>VLOOKUP(Table15[[#This Row],[Document ID]],Table1[],2,FALSE)</f>
        <v>VNM</v>
      </c>
      <c r="C140" s="233" t="str">
        <f>VLOOKUP(Table15[[#This Row],[Document ID]],Table1[],3,FALSE)</f>
        <v>Viet Nam</v>
      </c>
      <c r="D140" s="233" t="str">
        <f>VLOOKUP(Table15[[#This Row],[Document ID]],Table1[],4,FALSE)</f>
        <v>Good</v>
      </c>
      <c r="E140" s="233" t="str">
        <f>VLOOKUP(Table15[[#This Row],[Document ID]],Table1[],5,FALSE)</f>
        <v>NDC</v>
      </c>
      <c r="F140" s="233" t="str">
        <f>VLOOKUP(Table15[[#This Row],[Document ID]],Table1[],6,FALSE)</f>
        <v>Updated NDC</v>
      </c>
      <c r="G140" s="233" t="str">
        <f>VLOOKUP(Table15[[#This Row],[Document ID]],Table1[],8,FALSE)</f>
        <v>NDC 1.2</v>
      </c>
      <c r="H140" s="27" t="s">
        <v>5889</v>
      </c>
      <c r="I140" s="27">
        <v>4</v>
      </c>
      <c r="J140" s="28"/>
      <c r="K140" s="27"/>
      <c r="L140" s="27"/>
    </row>
    <row r="141" spans="1:12" x14ac:dyDescent="0.25">
      <c r="A141" s="360">
        <v>32525</v>
      </c>
      <c r="B141" s="233" t="str">
        <f>VLOOKUP(Table15[[#This Row],[Document ID]],Table1[],2,FALSE)</f>
        <v>VNM</v>
      </c>
      <c r="C141" s="233" t="str">
        <f>VLOOKUP(Table15[[#This Row],[Document ID]],Table1[],3,FALSE)</f>
        <v>Viet Nam</v>
      </c>
      <c r="D141" s="233" t="str">
        <f>VLOOKUP(Table15[[#This Row],[Document ID]],Table1[],4,FALSE)</f>
        <v>Good</v>
      </c>
      <c r="E141" s="233" t="str">
        <f>VLOOKUP(Table15[[#This Row],[Document ID]],Table1[],5,FALSE)</f>
        <v>NDC</v>
      </c>
      <c r="F141" s="233" t="str">
        <f>VLOOKUP(Table15[[#This Row],[Document ID]],Table1[],6,FALSE)</f>
        <v>Updated NDC</v>
      </c>
      <c r="G141" s="233" t="str">
        <f>VLOOKUP(Table15[[#This Row],[Document ID]],Table1[],8,FALSE)</f>
        <v>NDC 1.2</v>
      </c>
      <c r="H141" s="27" t="s">
        <v>5890</v>
      </c>
      <c r="I141" s="27">
        <v>4</v>
      </c>
      <c r="J141" s="28"/>
      <c r="K141" s="27"/>
      <c r="L141" s="27"/>
    </row>
    <row r="142" spans="1:12" x14ac:dyDescent="0.25">
      <c r="A142" s="360">
        <v>22007</v>
      </c>
      <c r="B142" s="233" t="str">
        <f>VLOOKUP(Table15[[#This Row],[Document ID]],Table1[],2,FALSE)</f>
        <v>WSM</v>
      </c>
      <c r="C142" s="233" t="str">
        <f>VLOOKUP(Table15[[#This Row],[Document ID]],Table1[],3,FALSE)</f>
        <v>Samoa</v>
      </c>
      <c r="D142" s="233" t="str">
        <f>VLOOKUP(Table15[[#This Row],[Document ID]],Table1[],4,FALSE)</f>
        <v>Good</v>
      </c>
      <c r="E142" s="233" t="str">
        <f>VLOOKUP(Table15[[#This Row],[Document ID]],Table1[],5,FALSE)</f>
        <v>NDC</v>
      </c>
      <c r="F142" s="233" t="str">
        <f>VLOOKUP(Table15[[#This Row],[Document ID]],Table1[],6,FALSE)</f>
        <v>2nd NDC</v>
      </c>
      <c r="G142" s="233" t="str">
        <f>VLOOKUP(Table15[[#This Row],[Document ID]],Table1[],8,FALSE)</f>
        <v>NDC 2.0</v>
      </c>
      <c r="H142" s="209" t="s">
        <v>5891</v>
      </c>
      <c r="I142" s="27">
        <v>13</v>
      </c>
      <c r="J142" s="28" t="s">
        <v>5892</v>
      </c>
      <c r="K142" s="312" t="s">
        <v>5893</v>
      </c>
      <c r="L142" s="27" t="s">
        <v>5894</v>
      </c>
    </row>
    <row r="143" spans="1:12" ht="75" x14ac:dyDescent="0.25">
      <c r="A143" s="360">
        <v>17740</v>
      </c>
      <c r="B143" s="233" t="str">
        <f>VLOOKUP(Table15[[#This Row],[Document ID]],Table1[],2,FALSE)</f>
        <v>ZAF</v>
      </c>
      <c r="C143" s="233" t="str">
        <f>VLOOKUP(Table15[[#This Row],[Document ID]],Table1[],3,FALSE)</f>
        <v>South Africa</v>
      </c>
      <c r="D143" s="233" t="str">
        <f>VLOOKUP(Table15[[#This Row],[Document ID]],Table1[],4,FALSE)</f>
        <v>Good</v>
      </c>
      <c r="E143" s="233" t="str">
        <f>VLOOKUP(Table15[[#This Row],[Document ID]],Table1[],5,FALSE)</f>
        <v>LTS</v>
      </c>
      <c r="F143" s="233" t="str">
        <f>VLOOKUP(Table15[[#This Row],[Document ID]],Table1[],6,FALSE)</f>
        <v>LTS</v>
      </c>
      <c r="G143" s="233" t="str">
        <f>VLOOKUP(Table15[[#This Row],[Document ID]],Table1[],8,FALSE)</f>
        <v>LTS 1.0</v>
      </c>
      <c r="H143" s="209" t="s">
        <v>5895</v>
      </c>
      <c r="I143" s="27">
        <v>32</v>
      </c>
      <c r="J143" s="28" t="s">
        <v>5896</v>
      </c>
      <c r="K143" s="312" t="s">
        <v>5897</v>
      </c>
      <c r="L143" s="27" t="s">
        <v>5898</v>
      </c>
    </row>
    <row r="144" spans="1:12" x14ac:dyDescent="0.25">
      <c r="A144" s="385">
        <v>43788</v>
      </c>
      <c r="B144" s="233" t="str">
        <f>VLOOKUP(Table15[[#This Row],[Document ID]],Table1[],2,FALSE)</f>
        <v>TUR</v>
      </c>
      <c r="C144" s="233" t="str">
        <f>VLOOKUP(Table15[[#This Row],[Document ID]],Table1[],3,FALSE)</f>
        <v>Türkiye</v>
      </c>
      <c r="D144" s="233" t="str">
        <f>VLOOKUP(Table15[[#This Row],[Document ID]],Table1[],4,FALSE)</f>
        <v>Good</v>
      </c>
      <c r="E144" s="233" t="str">
        <f>VLOOKUP(Table15[[#This Row],[Document ID]],Table1[],5,FALSE)</f>
        <v>LTS</v>
      </c>
      <c r="F144" s="233" t="str">
        <f>VLOOKUP(Table15[[#This Row],[Document ID]],Table1[],6,FALSE)</f>
        <v>LTS</v>
      </c>
      <c r="G144" s="233" t="str">
        <f>VLOOKUP(Table15[[#This Row],[Document ID]],Table1[],8,FALSE)</f>
        <v>LTS 1.0</v>
      </c>
      <c r="H144" s="27" t="s">
        <v>5899</v>
      </c>
      <c r="I144" s="27">
        <v>16</v>
      </c>
      <c r="J144" s="28"/>
      <c r="K144" s="27"/>
      <c r="L144" s="27"/>
    </row>
    <row r="145" spans="1:12" ht="46.35" customHeight="1" x14ac:dyDescent="0.25">
      <c r="A145" s="373">
        <v>43921</v>
      </c>
      <c r="B145" s="233" t="str">
        <f>VLOOKUP(Table15[[#This Row],[Document ID]],Table1[],2,FALSE)</f>
        <v>LCA</v>
      </c>
      <c r="C145" s="233" t="str">
        <f>VLOOKUP(Table15[[#This Row],[Document ID]],Table1[],3,FALSE)</f>
        <v>Saint Lucia</v>
      </c>
      <c r="D145" s="233" t="str">
        <f>VLOOKUP(Table15[[#This Row],[Document ID]],Table1[],4,FALSE)</f>
        <v>Good</v>
      </c>
      <c r="E145" s="233" t="str">
        <f>VLOOKUP(Table15[[#This Row],[Document ID]],Table1[],5,FALSE)</f>
        <v>NDC</v>
      </c>
      <c r="F145" s="233" t="str">
        <f>VLOOKUP(Table15[[#This Row],[Document ID]],Table1[],6,FALSE)</f>
        <v>3rd NDC</v>
      </c>
      <c r="G145" s="233" t="str">
        <f>VLOOKUP(Table15[[#This Row],[Document ID]],Table1[],8,FALSE)</f>
        <v>NDC 3.0</v>
      </c>
      <c r="H145" s="28" t="s">
        <v>5900</v>
      </c>
      <c r="I145" s="27">
        <v>6</v>
      </c>
      <c r="J145" s="28" t="s">
        <v>5901</v>
      </c>
      <c r="K145" s="27"/>
      <c r="L145" s="27"/>
    </row>
    <row r="146" spans="1:12" ht="30" x14ac:dyDescent="0.25">
      <c r="A146" s="360">
        <v>44073</v>
      </c>
      <c r="B146" s="233" t="str">
        <f>VLOOKUP(Table15[[#This Row],[Document ID]],Table1[],2,FALSE)</f>
        <v>JPN</v>
      </c>
      <c r="C146" s="233" t="str">
        <f>VLOOKUP(Table15[[#This Row],[Document ID]],Table1[],3,FALSE)</f>
        <v>Japan</v>
      </c>
      <c r="D146" s="233" t="str">
        <f>VLOOKUP(Table15[[#This Row],[Document ID]],Table1[],4,FALSE)</f>
        <v>Good</v>
      </c>
      <c r="E146" s="233" t="str">
        <f>VLOOKUP(Table15[[#This Row],[Document ID]],Table1[],5,FALSE)</f>
        <v>NDC</v>
      </c>
      <c r="F146" s="233" t="str">
        <f>VLOOKUP(Table15[[#This Row],[Document ID]],Table1[],6,FALSE)</f>
        <v>3rd NDC</v>
      </c>
      <c r="G146" s="233" t="str">
        <f>VLOOKUP(Table15[[#This Row],[Document ID]],Table1[],8,FALSE)</f>
        <v>NDC 3.0</v>
      </c>
      <c r="H146" s="27" t="s">
        <v>5902</v>
      </c>
      <c r="I146" s="27">
        <v>1</v>
      </c>
      <c r="J146" s="28" t="s">
        <v>5903</v>
      </c>
      <c r="K146" s="312" t="s">
        <v>5904</v>
      </c>
      <c r="L146" s="27"/>
    </row>
  </sheetData>
  <phoneticPr fontId="14" type="noConversion"/>
  <hyperlinks>
    <hyperlink ref="K113" r:id="rId1" xr:uid="{19A76B50-362A-4A2B-8F07-92EFA15403EB}"/>
    <hyperlink ref="K101" r:id="rId2" xr:uid="{5332DA55-5723-4AE5-A984-265E2EE9026E}"/>
    <hyperlink ref="K104" r:id="rId3" xr:uid="{A38E98CE-470B-4B1A-8E37-E32C929DE587}"/>
    <hyperlink ref="K129" r:id="rId4" xr:uid="{B3B009CA-EDD1-40B7-A8B6-5331D0B3259D}"/>
    <hyperlink ref="K92" r:id="rId5" xr:uid="{ABAEE333-2669-4804-AD95-844DCC4AB289}"/>
    <hyperlink ref="K55" r:id="rId6" xr:uid="{987A0880-1AA7-407F-B5D5-EB453A3A0C84}"/>
    <hyperlink ref="K54" r:id="rId7" xr:uid="{E47D9814-CD44-48E9-9F10-663F44DA5CAE}"/>
    <hyperlink ref="K19" r:id="rId8" xr:uid="{A2CBD81F-4001-422B-BAF0-DC1AD9337963}"/>
    <hyperlink ref="K37" r:id="rId9" xr:uid="{7A697CF0-FA52-4C7A-865A-E11216CDC1BE}"/>
    <hyperlink ref="K120" r:id="rId10" xr:uid="{DD096E1F-5506-4BD9-ACBD-D35D75EA8F26}"/>
    <hyperlink ref="K143" r:id="rId11" xr:uid="{5F5F7912-F5BF-4075-BEB3-92F7CC149867}"/>
    <hyperlink ref="K96" r:id="rId12" xr:uid="{09ADA52F-1E21-4C88-A599-A090D8204A28}"/>
    <hyperlink ref="K93" r:id="rId13" xr:uid="{0EFC429E-B46B-4AC3-B81C-4556884431CA}"/>
    <hyperlink ref="K142" r:id="rId14" xr:uid="{22DC8875-6A66-4DDB-80DB-6C04D48FA839}"/>
    <hyperlink ref="K23" r:id="rId15" xr:uid="{1DC3D94B-BF82-4166-ADEF-F61711EEA116}"/>
    <hyperlink ref="K24" r:id="rId16" xr:uid="{F64F0C7D-5777-4D76-9A8C-FE19855DDFCC}"/>
    <hyperlink ref="K20" r:id="rId17" xr:uid="{3B2F681F-00D0-422C-95A2-169F720C424C}"/>
    <hyperlink ref="K58" r:id="rId18" xr:uid="{BA965846-1BE0-4329-AA26-1712A24A6240}"/>
    <hyperlink ref="K60" r:id="rId19" xr:uid="{9F99B165-BE93-44BD-AC18-A60067157D9B}"/>
    <hyperlink ref="K124" r:id="rId20" xr:uid="{6094989E-750E-45A9-B671-187F04534AE3}"/>
    <hyperlink ref="K125" r:id="rId21" xr:uid="{FCD76427-7C5A-4189-9C00-9C07AEADD2B3}"/>
    <hyperlink ref="K111" r:id="rId22" xr:uid="{1021B7A1-6941-47A7-A41F-A34EB91DE9E0}"/>
    <hyperlink ref="K127" r:id="rId23" xr:uid="{035A66BB-BA9F-47D8-BE10-D5BE18CBBC34}"/>
    <hyperlink ref="K128" r:id="rId24" xr:uid="{5894333D-523F-409C-88D6-33C12F8B4306}"/>
    <hyperlink ref="K123" r:id="rId25" xr:uid="{49BE26B4-6E7A-4C96-97C2-37F87A83D8EC}"/>
    <hyperlink ref="K71" r:id="rId26" xr:uid="{B9668280-0F43-4C40-BEAC-63B78D4FF5D1}"/>
    <hyperlink ref="K99" r:id="rId27" location="DLM158584" xr:uid="{E21F7981-F03B-45A4-A76F-A49C6A8F0F2A}"/>
    <hyperlink ref="K33" r:id="rId28" xr:uid="{AB8C528F-47E2-4546-863A-801B9F023643}"/>
    <hyperlink ref="K115" r:id="rId29" xr:uid="{67FBCF59-6B4E-466E-83EC-E9E4D08BAA63}"/>
    <hyperlink ref="K116" r:id="rId30" xr:uid="{0F2E5AAB-040D-402A-89D9-C86B8E974C99}"/>
    <hyperlink ref="K47" r:id="rId31" xr:uid="{C068F67F-61FD-4705-935C-6BE2E12BDFB5}"/>
    <hyperlink ref="K48" r:id="rId32" xr:uid="{778EDEC5-AA0B-401A-9917-0DE1F80889F1}"/>
    <hyperlink ref="K49" r:id="rId33" xr:uid="{B26B887F-D600-47D9-8BF8-3A44D574ABF1}"/>
    <hyperlink ref="K50" r:id="rId34" xr:uid="{ABB85D77-4D2D-4D28-AC5A-6A07D6C4DD1D}"/>
    <hyperlink ref="K51" r:id="rId35" xr:uid="{AF0A1E0E-9F58-4DE4-AA73-39414A65DE87}"/>
    <hyperlink ref="K52" r:id="rId36" xr:uid="{618B817D-F27C-4A08-9F15-B33D570B081D}"/>
    <hyperlink ref="K53" r:id="rId37" xr:uid="{9208D064-CF36-4BD9-AA96-9F7D966E311A}"/>
    <hyperlink ref="K88" r:id="rId38" xr:uid="{9FB05291-090D-4EF3-9F36-4E82B713F152}"/>
    <hyperlink ref="K90" r:id="rId39" xr:uid="{C7E01F5B-2E89-4E7D-BC93-6AA9E403FF60}"/>
    <hyperlink ref="K91" r:id="rId40" xr:uid="{BCC1CAB5-E224-4460-BB4E-F01FFCC8799E}"/>
    <hyperlink ref="K81" r:id="rId41" xr:uid="{5FED1FCA-7B7C-4AAD-A1AA-3F08314B187A}"/>
    <hyperlink ref="K110" r:id="rId42" xr:uid="{E365BE28-493F-45A4-9E26-56CE5EF5FA85}"/>
    <hyperlink ref="K100" r:id="rId43" xr:uid="{24F0046A-EBA6-45B4-B612-928BCFEF7905}"/>
    <hyperlink ref="K78" r:id="rId44" xr:uid="{A0723055-BE64-4FDD-B170-E439952E26E2}"/>
    <hyperlink ref="K16" r:id="rId45" xr:uid="{6F926CEF-EFA5-4407-9787-EA668EFA5C42}"/>
    <hyperlink ref="K67" r:id="rId46" xr:uid="{9645E8C6-F626-4C6E-9150-BD8D950131CB}"/>
    <hyperlink ref="K108" r:id="rId47" xr:uid="{9400A380-49B8-425B-B1E4-9F2EFD75E8B8}"/>
    <hyperlink ref="K114" r:id="rId48" xr:uid="{53521C4D-F69C-4827-B617-A441C23F0139}"/>
    <hyperlink ref="K79" r:id="rId49" xr:uid="{53DFFE8A-74B3-4F80-85F1-BFAE0B4EBC41}"/>
    <hyperlink ref="K80" r:id="rId50" xr:uid="{54483665-9243-4FC5-9786-8F25023D4EAE}"/>
    <hyperlink ref="K57" r:id="rId51" xr:uid="{C0FCBC73-E8F1-4725-A3FC-6B2ED6E7AA69}"/>
    <hyperlink ref="K146" r:id="rId52" xr:uid="{CF46ECCE-81EA-4702-A1BA-A47EA0E0AE48}"/>
  </hyperlinks>
  <pageMargins left="0.7" right="0.7" top="0.75" bottom="0.75" header="0.3" footer="0.3"/>
  <legacyDrawing r:id="rId53"/>
  <tableParts count="1">
    <tablePart r:id="rId5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C432-2431-4C6B-8C46-F4DDFD97C781}">
  <sheetPr codeName="Tabelle15">
    <tabColor theme="6"/>
  </sheetPr>
  <dimension ref="A2:F221"/>
  <sheetViews>
    <sheetView zoomScale="70" zoomScaleNormal="70" workbookViewId="0">
      <selection activeCell="F48" sqref="F48"/>
    </sheetView>
  </sheetViews>
  <sheetFormatPr baseColWidth="10" defaultColWidth="8.5703125" defaultRowHeight="15" x14ac:dyDescent="0.25"/>
  <cols>
    <col min="1" max="1" width="14.5703125" customWidth="1"/>
    <col min="2" max="2" width="43.140625" customWidth="1"/>
    <col min="3" max="4" width="26.42578125" style="125" customWidth="1"/>
    <col min="5" max="6" width="28.5703125" style="125" customWidth="1"/>
  </cols>
  <sheetData>
    <row r="2" spans="1:6" s="34" customFormat="1" ht="22.5" x14ac:dyDescent="0.3">
      <c r="B2" s="413" t="s">
        <v>5905</v>
      </c>
      <c r="C2" s="414"/>
      <c r="D2" s="414"/>
      <c r="E2" s="414"/>
      <c r="F2" s="414"/>
    </row>
    <row r="3" spans="1:6" s="34" customFormat="1" x14ac:dyDescent="0.25">
      <c r="B3" s="34" t="s">
        <v>5906</v>
      </c>
      <c r="C3" s="414"/>
      <c r="D3" s="414"/>
      <c r="E3" s="414"/>
      <c r="F3" s="414"/>
    </row>
    <row r="4" spans="1:6" s="34" customFormat="1" x14ac:dyDescent="0.25">
      <c r="B4" s="36" t="str">
        <f>'Read me'!C8</f>
        <v>Update as of  13 March 2025</v>
      </c>
      <c r="C4" s="414"/>
      <c r="D4" s="414"/>
      <c r="E4" s="414"/>
      <c r="F4" s="414"/>
    </row>
    <row r="7" spans="1:6" s="116" customFormat="1" ht="83.25" customHeight="1" x14ac:dyDescent="0.25">
      <c r="A7" s="2" t="s">
        <v>476</v>
      </c>
      <c r="B7" s="2" t="s">
        <v>22</v>
      </c>
      <c r="C7" s="416" t="s">
        <v>5907</v>
      </c>
      <c r="D7" s="416" t="s">
        <v>5908</v>
      </c>
      <c r="E7" s="415" t="s">
        <v>5909</v>
      </c>
    </row>
    <row r="8" spans="1:6" s="118" customFormat="1" x14ac:dyDescent="0.25">
      <c r="A8" t="s">
        <v>45</v>
      </c>
      <c r="B8" t="s">
        <v>46</v>
      </c>
      <c r="C8" s="417">
        <v>2.3826400580310159</v>
      </c>
      <c r="D8" s="417">
        <v>29.460052109846</v>
      </c>
      <c r="E8" s="125">
        <v>5.8305340862253995E-2</v>
      </c>
    </row>
    <row r="9" spans="1:6" s="118" customFormat="1" x14ac:dyDescent="0.25">
      <c r="A9" t="s">
        <v>53</v>
      </c>
      <c r="B9" t="s">
        <v>54</v>
      </c>
      <c r="C9" s="417">
        <v>1.696761436354477</v>
      </c>
      <c r="D9" s="417">
        <v>7.6736715330197001</v>
      </c>
      <c r="E9" s="125">
        <v>0.60133681983637122</v>
      </c>
    </row>
    <row r="10" spans="1:6" s="118" customFormat="1" x14ac:dyDescent="0.25">
      <c r="A10" t="s">
        <v>57</v>
      </c>
      <c r="B10" t="s">
        <v>58</v>
      </c>
      <c r="C10" s="417">
        <v>47.384068350378769</v>
      </c>
      <c r="D10" s="417">
        <v>256.79213126858002</v>
      </c>
      <c r="E10" s="125">
        <v>1.0338791152242424</v>
      </c>
    </row>
    <row r="11" spans="1:6" s="118" customFormat="1" x14ac:dyDescent="0.25">
      <c r="A11" t="s">
        <v>61</v>
      </c>
      <c r="B11" t="s">
        <v>62</v>
      </c>
      <c r="C11" s="125"/>
      <c r="D11" s="125"/>
      <c r="E11" s="125"/>
    </row>
    <row r="12" spans="1:6" s="118" customFormat="1" x14ac:dyDescent="0.25">
      <c r="A12" t="s">
        <v>65</v>
      </c>
      <c r="B12" t="s">
        <v>66</v>
      </c>
      <c r="C12" s="417">
        <v>8.6486128139959888</v>
      </c>
      <c r="D12" s="417">
        <v>67.700756247715006</v>
      </c>
      <c r="E12" s="125">
        <v>0.23899807472051499</v>
      </c>
    </row>
    <row r="13" spans="1:6" s="118" customFormat="1" x14ac:dyDescent="0.25">
      <c r="A13" t="s">
        <v>67</v>
      </c>
      <c r="B13" t="s">
        <v>68</v>
      </c>
      <c r="C13" s="417">
        <v>0.1151781182188378</v>
      </c>
      <c r="D13" s="417">
        <v>0.38855617147726002</v>
      </c>
      <c r="E13" s="125">
        <v>1.2373833632586086</v>
      </c>
    </row>
    <row r="14" spans="1:6" s="118" customFormat="1" x14ac:dyDescent="0.25">
      <c r="A14" t="s">
        <v>72</v>
      </c>
      <c r="B14" t="s">
        <v>73</v>
      </c>
      <c r="C14" s="417">
        <v>48.339727076899749</v>
      </c>
      <c r="D14" s="417">
        <v>365.68461861929001</v>
      </c>
      <c r="E14" s="125">
        <v>1.0633692240488875</v>
      </c>
    </row>
    <row r="15" spans="1:6" s="118" customFormat="1" x14ac:dyDescent="0.25">
      <c r="A15" t="s">
        <v>74</v>
      </c>
      <c r="B15" t="s">
        <v>75</v>
      </c>
      <c r="C15" s="417">
        <v>2.5418316945039221</v>
      </c>
      <c r="D15" s="417">
        <v>10.836336950669001</v>
      </c>
      <c r="E15" s="125">
        <v>0.87578460422524185</v>
      </c>
    </row>
    <row r="16" spans="1:6" s="118" customFormat="1" x14ac:dyDescent="0.25">
      <c r="A16" t="s">
        <v>76</v>
      </c>
      <c r="B16" t="s">
        <v>77</v>
      </c>
      <c r="C16" s="417">
        <v>97.492958559878787</v>
      </c>
      <c r="D16" s="417">
        <v>571.83984854670996</v>
      </c>
      <c r="E16" s="125">
        <v>3.7040268970481516</v>
      </c>
    </row>
    <row r="17" spans="1:5" s="118" customFormat="1" x14ac:dyDescent="0.25">
      <c r="A17" t="s">
        <v>81</v>
      </c>
      <c r="B17" t="s">
        <v>82</v>
      </c>
      <c r="C17" s="417">
        <v>21.372731064834241</v>
      </c>
      <c r="D17" s="417">
        <v>72.921492529811999</v>
      </c>
      <c r="E17" s="125">
        <v>2.339370633719239</v>
      </c>
    </row>
    <row r="18" spans="1:5" s="118" customFormat="1" x14ac:dyDescent="0.25">
      <c r="A18" t="s">
        <v>85</v>
      </c>
      <c r="B18" t="s">
        <v>86</v>
      </c>
      <c r="C18" s="417">
        <v>8.4493328883147889</v>
      </c>
      <c r="D18" s="417">
        <v>62.550294041306003</v>
      </c>
      <c r="E18" s="125">
        <v>0.81781257917460115</v>
      </c>
    </row>
    <row r="19" spans="1:5" s="118" customFormat="1" x14ac:dyDescent="0.25">
      <c r="A19" t="s">
        <v>87</v>
      </c>
      <c r="B19" t="s">
        <v>88</v>
      </c>
      <c r="C19" s="417">
        <v>0.59970961940231238</v>
      </c>
      <c r="D19" s="417">
        <v>2.0502828926944998</v>
      </c>
      <c r="E19" s="125">
        <v>1.5048608443905809</v>
      </c>
    </row>
    <row r="20" spans="1:5" s="118" customFormat="1" x14ac:dyDescent="0.25">
      <c r="A20" t="s">
        <v>89</v>
      </c>
      <c r="B20" t="s">
        <v>90</v>
      </c>
      <c r="C20" s="417">
        <v>3.5591794715172291</v>
      </c>
      <c r="D20" s="417">
        <v>63.733860649409003</v>
      </c>
      <c r="E20" s="125">
        <v>2.2939848752340302</v>
      </c>
    </row>
    <row r="21" spans="1:5" s="118" customFormat="1" x14ac:dyDescent="0.25">
      <c r="A21" t="s">
        <v>91</v>
      </c>
      <c r="B21" t="s">
        <v>92</v>
      </c>
      <c r="C21" s="417">
        <v>12.410696897609901</v>
      </c>
      <c r="D21" s="417">
        <v>281.38053496815002</v>
      </c>
      <c r="E21" s="125">
        <v>7.2821398220072137E-2</v>
      </c>
    </row>
    <row r="22" spans="1:5" s="118" customFormat="1" x14ac:dyDescent="0.25">
      <c r="A22" t="s">
        <v>93</v>
      </c>
      <c r="B22" t="s">
        <v>94</v>
      </c>
      <c r="C22" s="417">
        <v>0.25128029300322258</v>
      </c>
      <c r="D22" s="417">
        <v>0.98904380539195003</v>
      </c>
      <c r="E22" s="125">
        <v>0.89013054738013497</v>
      </c>
    </row>
    <row r="23" spans="1:5" s="118" customFormat="1" x14ac:dyDescent="0.25">
      <c r="A23" t="s">
        <v>95</v>
      </c>
      <c r="B23" t="s">
        <v>96</v>
      </c>
      <c r="C23" s="417">
        <v>9.8730073698737328</v>
      </c>
      <c r="D23" s="417">
        <v>84.277601484293001</v>
      </c>
      <c r="E23" s="125">
        <v>1.0795526097942054</v>
      </c>
    </row>
    <row r="24" spans="1:5" s="118" customFormat="1" x14ac:dyDescent="0.25">
      <c r="A24" t="s">
        <v>97</v>
      </c>
      <c r="B24" t="s">
        <v>98</v>
      </c>
      <c r="C24" s="417">
        <v>22.197662702188101</v>
      </c>
      <c r="D24" s="417">
        <v>106.37018790875</v>
      </c>
      <c r="E24" s="125">
        <v>1.8975436277697737</v>
      </c>
    </row>
    <row r="25" spans="1:5" s="118" customFormat="1" x14ac:dyDescent="0.25">
      <c r="A25" t="s">
        <v>99</v>
      </c>
      <c r="B25" t="s">
        <v>100</v>
      </c>
      <c r="C25" s="417">
        <v>9.6336672952528554E-2</v>
      </c>
      <c r="D25" s="417">
        <v>0.92034733748830999</v>
      </c>
      <c r="E25" s="125">
        <v>0.23605334037187783</v>
      </c>
    </row>
    <row r="26" spans="1:5" s="118" customFormat="1" x14ac:dyDescent="0.25">
      <c r="A26" t="s">
        <v>101</v>
      </c>
      <c r="B26" t="s">
        <v>102</v>
      </c>
      <c r="C26" s="417">
        <v>4.358789566933627</v>
      </c>
      <c r="D26" s="417">
        <v>16.699491601106999</v>
      </c>
      <c r="E26" s="125">
        <v>0.31281309315057876</v>
      </c>
    </row>
    <row r="27" spans="1:5" s="118" customFormat="1" x14ac:dyDescent="0.25">
      <c r="A27" t="s">
        <v>103</v>
      </c>
      <c r="B27" t="s">
        <v>104</v>
      </c>
      <c r="C27" s="417">
        <v>0.43507987337923443</v>
      </c>
      <c r="D27" s="417">
        <v>3.2548573740653</v>
      </c>
      <c r="E27" s="125">
        <v>0.55518675526658667</v>
      </c>
    </row>
    <row r="28" spans="1:5" s="118" customFormat="1" x14ac:dyDescent="0.25">
      <c r="A28" t="s">
        <v>105</v>
      </c>
      <c r="B28" t="s">
        <v>5910</v>
      </c>
      <c r="C28" s="417">
        <v>12.14226630499595</v>
      </c>
      <c r="D28" s="417">
        <v>55.185652756247002</v>
      </c>
      <c r="E28" s="125">
        <v>0.99858310768629366</v>
      </c>
    </row>
    <row r="29" spans="1:5" s="118" customFormat="1" x14ac:dyDescent="0.25">
      <c r="A29" t="s">
        <v>107</v>
      </c>
      <c r="B29" t="s">
        <v>108</v>
      </c>
      <c r="C29" s="417">
        <v>4.4436076081737648</v>
      </c>
      <c r="D29" s="417">
        <v>29.397991348245998</v>
      </c>
      <c r="E29" s="125">
        <v>1.3910329952404454</v>
      </c>
    </row>
    <row r="30" spans="1:5" s="118" customFormat="1" x14ac:dyDescent="0.25">
      <c r="A30" t="s">
        <v>109</v>
      </c>
      <c r="B30" t="s">
        <v>110</v>
      </c>
      <c r="C30" s="417">
        <v>2.440731678856535</v>
      </c>
      <c r="D30" s="417">
        <v>12.712755146957001</v>
      </c>
      <c r="E30" s="125">
        <v>0.99219275894323111</v>
      </c>
    </row>
    <row r="31" spans="1:5" s="118" customFormat="1" x14ac:dyDescent="0.25">
      <c r="A31" t="s">
        <v>111</v>
      </c>
      <c r="B31" t="s">
        <v>112</v>
      </c>
      <c r="C31" s="417">
        <v>221.12609205884911</v>
      </c>
      <c r="D31" s="417">
        <v>1300.1688666752</v>
      </c>
      <c r="E31" s="125">
        <v>1.0494482483204122</v>
      </c>
    </row>
    <row r="32" spans="1:5" s="118" customFormat="1" x14ac:dyDescent="0.25">
      <c r="A32" t="s">
        <v>113</v>
      </c>
      <c r="B32" t="s">
        <v>114</v>
      </c>
      <c r="C32" s="417">
        <v>1.259434350959115</v>
      </c>
      <c r="D32" s="417">
        <v>12.157942508343</v>
      </c>
      <c r="E32" s="125">
        <v>2.755705013607733</v>
      </c>
    </row>
    <row r="33" spans="1:5" s="118" customFormat="1" x14ac:dyDescent="0.25">
      <c r="A33" t="s">
        <v>115</v>
      </c>
      <c r="B33" t="s">
        <v>116</v>
      </c>
      <c r="C33" s="417">
        <v>9.5338941105381814</v>
      </c>
      <c r="D33" s="417">
        <v>53.372279020840999</v>
      </c>
      <c r="E33" s="125">
        <v>1.3992891213144865</v>
      </c>
    </row>
    <row r="34" spans="1:5" s="118" customFormat="1" x14ac:dyDescent="0.25">
      <c r="A34" t="s">
        <v>117</v>
      </c>
      <c r="B34" t="s">
        <v>118</v>
      </c>
      <c r="C34" s="417">
        <v>2.783932508886048</v>
      </c>
      <c r="D34" s="417">
        <v>34.456815083210998</v>
      </c>
      <c r="E34" s="125">
        <v>0.12228661254559495</v>
      </c>
    </row>
    <row r="35" spans="1:5" s="118" customFormat="1" x14ac:dyDescent="0.25">
      <c r="A35" t="s">
        <v>119</v>
      </c>
      <c r="B35" t="s">
        <v>120</v>
      </c>
      <c r="C35" s="417">
        <v>0.4150090900095818</v>
      </c>
      <c r="D35" s="417">
        <v>7.0491399156994001</v>
      </c>
      <c r="E35" s="125">
        <v>3.0732312757272461E-2</v>
      </c>
    </row>
    <row r="36" spans="1:5" s="118" customFormat="1" x14ac:dyDescent="0.25">
      <c r="A36" t="s">
        <v>121</v>
      </c>
      <c r="B36" t="s">
        <v>122</v>
      </c>
      <c r="C36" s="417">
        <v>0.58681111832995647</v>
      </c>
      <c r="D36" s="417">
        <v>1.2315183876125</v>
      </c>
      <c r="E36" s="125">
        <v>1.1262153286171046</v>
      </c>
    </row>
    <row r="37" spans="1:5" s="118" customFormat="1" x14ac:dyDescent="0.25">
      <c r="A37" t="s">
        <v>123</v>
      </c>
      <c r="B37" t="s">
        <v>124</v>
      </c>
      <c r="C37" s="417">
        <v>7.547213161316451</v>
      </c>
      <c r="D37" s="417">
        <v>48.774832204749998</v>
      </c>
      <c r="E37" s="125">
        <v>0.4358852738304721</v>
      </c>
    </row>
    <row r="38" spans="1:5" s="118" customFormat="1" x14ac:dyDescent="0.25">
      <c r="A38" t="s">
        <v>125</v>
      </c>
      <c r="B38" t="s">
        <v>126</v>
      </c>
      <c r="C38" s="417">
        <v>4.3438155341493783</v>
      </c>
      <c r="D38" s="417">
        <v>39.377188823330997</v>
      </c>
      <c r="E38" s="125">
        <v>0.15514827644515838</v>
      </c>
    </row>
    <row r="39" spans="1:5" s="118" customFormat="1" x14ac:dyDescent="0.25">
      <c r="A39" t="s">
        <v>127</v>
      </c>
      <c r="B39" t="s">
        <v>128</v>
      </c>
      <c r="C39" s="417">
        <v>169.021169926607</v>
      </c>
      <c r="D39" s="417">
        <v>747.67802680902003</v>
      </c>
      <c r="E39" s="125">
        <v>4.3272493579155258</v>
      </c>
    </row>
    <row r="40" spans="1:5" s="118" customFormat="1" x14ac:dyDescent="0.25">
      <c r="A40" t="s">
        <v>131</v>
      </c>
      <c r="B40" t="s">
        <v>132</v>
      </c>
      <c r="C40" s="417">
        <v>0.20891867830184049</v>
      </c>
      <c r="D40" s="417">
        <v>12.502621395350999</v>
      </c>
      <c r="E40" s="125">
        <v>4.1250840798595527E-2</v>
      </c>
    </row>
    <row r="41" spans="1:5" s="118" customFormat="1" x14ac:dyDescent="0.25">
      <c r="A41" t="s">
        <v>133</v>
      </c>
      <c r="B41" t="s">
        <v>134</v>
      </c>
      <c r="C41" s="417">
        <v>1.0943243015239441</v>
      </c>
      <c r="D41" s="417">
        <v>95.377319649135998</v>
      </c>
      <c r="E41" s="125">
        <v>5.8308968838347026E-2</v>
      </c>
    </row>
    <row r="42" spans="1:5" s="118" customFormat="1" x14ac:dyDescent="0.25">
      <c r="A42" t="s">
        <v>135</v>
      </c>
      <c r="B42" t="s">
        <v>136</v>
      </c>
      <c r="C42" s="417">
        <v>32.478801178832768</v>
      </c>
      <c r="D42" s="417">
        <v>121.46313217391</v>
      </c>
      <c r="E42" s="125">
        <v>1.6568078968395359</v>
      </c>
    </row>
    <row r="43" spans="1:5" s="118" customFormat="1" x14ac:dyDescent="0.25">
      <c r="A43" t="s">
        <v>137</v>
      </c>
      <c r="B43" t="s">
        <v>138</v>
      </c>
      <c r="C43" s="417">
        <v>1110.1781062864729</v>
      </c>
      <c r="D43" s="417">
        <v>15943.986552905</v>
      </c>
      <c r="E43" s="125">
        <v>0.77947661866624895</v>
      </c>
    </row>
    <row r="44" spans="1:5" s="118" customFormat="1" x14ac:dyDescent="0.25">
      <c r="A44" t="s">
        <v>139</v>
      </c>
      <c r="B44" t="s">
        <v>140</v>
      </c>
      <c r="C44" s="417">
        <v>37.36796885652894</v>
      </c>
      <c r="D44" s="417">
        <v>223.96663405241</v>
      </c>
      <c r="E44" s="125">
        <v>0.71816449656313452</v>
      </c>
    </row>
    <row r="45" spans="1:5" s="118" customFormat="1" x14ac:dyDescent="0.25">
      <c r="A45" t="s">
        <v>141</v>
      </c>
      <c r="B45" t="s">
        <v>142</v>
      </c>
      <c r="C45" s="417">
        <v>0.18466117087691569</v>
      </c>
      <c r="D45" s="417">
        <v>0.76176779618891</v>
      </c>
      <c r="E45" s="125">
        <v>0.21924303205149401</v>
      </c>
    </row>
    <row r="46" spans="1:5" s="118" customFormat="1" x14ac:dyDescent="0.25">
      <c r="A46" t="s">
        <v>143</v>
      </c>
      <c r="B46" t="s">
        <v>144</v>
      </c>
      <c r="C46" s="417">
        <v>1.4878367477049981</v>
      </c>
      <c r="D46" s="417">
        <v>23.702014388194002</v>
      </c>
      <c r="E46" s="125">
        <v>0.24358254076362304</v>
      </c>
    </row>
    <row r="47" spans="1:5" s="118" customFormat="1" x14ac:dyDescent="0.25">
      <c r="A47" t="s">
        <v>145</v>
      </c>
      <c r="B47" t="s">
        <v>146</v>
      </c>
      <c r="C47" s="417">
        <v>7.3867712256084558E-2</v>
      </c>
      <c r="D47" s="417">
        <v>0.15431817447160001</v>
      </c>
      <c r="E47" s="125">
        <v>5.1024184745516719</v>
      </c>
    </row>
    <row r="48" spans="1:5" s="118" customFormat="1" x14ac:dyDescent="0.25">
      <c r="A48" t="s">
        <v>148</v>
      </c>
      <c r="B48" t="s">
        <v>149</v>
      </c>
      <c r="C48" s="417">
        <v>6.1699800179976929</v>
      </c>
      <c r="D48" s="417">
        <v>16.468143919330998</v>
      </c>
      <c r="E48" s="125">
        <v>1.2114685044653053</v>
      </c>
    </row>
    <row r="49" spans="1:5" s="118" customFormat="1" x14ac:dyDescent="0.25">
      <c r="A49" t="s">
        <v>150</v>
      </c>
      <c r="B49" t="s">
        <v>151</v>
      </c>
      <c r="C49" s="417">
        <v>5.258263110860768</v>
      </c>
      <c r="D49" s="417">
        <v>32.184005493065001</v>
      </c>
      <c r="E49" s="125">
        <v>0.17081422497689569</v>
      </c>
    </row>
    <row r="50" spans="1:5" s="118" customFormat="1" x14ac:dyDescent="0.25">
      <c r="A50" t="s">
        <v>152</v>
      </c>
      <c r="B50" t="s">
        <v>153</v>
      </c>
      <c r="C50" s="417">
        <v>6.9744478684177764</v>
      </c>
      <c r="D50" s="417">
        <v>25.013482276386998</v>
      </c>
      <c r="E50" s="125">
        <v>1.7870772602277023</v>
      </c>
    </row>
    <row r="51" spans="1:5" s="118" customFormat="1" x14ac:dyDescent="0.25">
      <c r="A51" t="s">
        <v>154</v>
      </c>
      <c r="B51" t="s">
        <v>155</v>
      </c>
      <c r="C51" s="417">
        <v>1.240586761635627</v>
      </c>
      <c r="D51" s="417">
        <v>39.400331633766001</v>
      </c>
      <c r="E51" s="125">
        <v>0.11237944052410241</v>
      </c>
    </row>
    <row r="52" spans="1:5" s="118" customFormat="1" x14ac:dyDescent="0.25">
      <c r="A52" t="s">
        <v>156</v>
      </c>
      <c r="B52" t="s">
        <v>157</v>
      </c>
      <c r="C52" s="417">
        <v>1.897782414839597</v>
      </c>
      <c r="D52" s="417">
        <v>10.324656394181</v>
      </c>
      <c r="E52" s="125">
        <v>1.4182516697677456</v>
      </c>
    </row>
    <row r="53" spans="1:5" s="118" customFormat="1" x14ac:dyDescent="0.25">
      <c r="A53" t="s">
        <v>158</v>
      </c>
      <c r="B53" t="s">
        <v>159</v>
      </c>
      <c r="C53" s="417">
        <v>19.612786549290181</v>
      </c>
      <c r="D53" s="417">
        <v>114.43841612935999</v>
      </c>
      <c r="E53" s="125">
        <v>1.8113231927151545</v>
      </c>
    </row>
    <row r="54" spans="1:5" s="118" customFormat="1" x14ac:dyDescent="0.25">
      <c r="A54" t="s">
        <v>160</v>
      </c>
      <c r="B54" t="s">
        <v>161</v>
      </c>
      <c r="C54" s="417">
        <v>4.9656668892531348</v>
      </c>
      <c r="D54" s="417">
        <v>90.148479942172997</v>
      </c>
      <c r="E54" s="125">
        <v>0.18826392146058984</v>
      </c>
    </row>
    <row r="55" spans="1:5" s="118" customFormat="1" x14ac:dyDescent="0.25">
      <c r="A55" t="s">
        <v>162</v>
      </c>
      <c r="B55" t="s">
        <v>163</v>
      </c>
      <c r="C55" s="417">
        <v>2.8181763967662752</v>
      </c>
      <c r="D55" s="417">
        <v>56.105911645372998</v>
      </c>
      <c r="E55" s="125">
        <v>2.7081363667978156E-2</v>
      </c>
    </row>
    <row r="56" spans="1:5" s="118" customFormat="1" x14ac:dyDescent="0.25">
      <c r="A56" t="s">
        <v>164</v>
      </c>
      <c r="B56" t="s">
        <v>165</v>
      </c>
      <c r="C56" s="417">
        <v>11.369548725375189</v>
      </c>
      <c r="D56" s="417">
        <v>41.831473036828001</v>
      </c>
      <c r="E56" s="125">
        <v>1.9165272438123699</v>
      </c>
    </row>
    <row r="57" spans="1:5" s="118" customFormat="1" x14ac:dyDescent="0.25">
      <c r="A57" t="s">
        <v>166</v>
      </c>
      <c r="B57" t="s">
        <v>167</v>
      </c>
      <c r="C57" s="417">
        <v>0.3545557540757589</v>
      </c>
      <c r="D57" s="417">
        <v>2.1324079847021999</v>
      </c>
      <c r="E57" s="125">
        <v>0.30965162384401856</v>
      </c>
    </row>
    <row r="58" spans="1:5" s="118" customFormat="1" x14ac:dyDescent="0.25">
      <c r="A58" t="s">
        <v>168</v>
      </c>
      <c r="B58" t="s">
        <v>169</v>
      </c>
      <c r="C58" s="417">
        <v>2.8004429294222619E-2</v>
      </c>
      <c r="D58" s="417">
        <v>0.14691940907449</v>
      </c>
      <c r="E58" s="125">
        <v>0.42005803825257426</v>
      </c>
    </row>
    <row r="59" spans="1:5" s="118" customFormat="1" x14ac:dyDescent="0.25">
      <c r="A59" t="s">
        <v>171</v>
      </c>
      <c r="B59" t="s">
        <v>172</v>
      </c>
      <c r="C59" s="417">
        <v>8.515708871390995</v>
      </c>
      <c r="D59" s="417">
        <v>48.396213040657997</v>
      </c>
      <c r="E59" s="125">
        <v>0.754768572243952</v>
      </c>
    </row>
    <row r="60" spans="1:5" s="118" customFormat="1" x14ac:dyDescent="0.25">
      <c r="A60" t="s">
        <v>173</v>
      </c>
      <c r="B60" t="s">
        <v>174</v>
      </c>
      <c r="C60" s="417">
        <v>22.250312638556871</v>
      </c>
      <c r="D60" s="417">
        <v>73.604607615068005</v>
      </c>
      <c r="E60" s="125">
        <v>1.242894729779036</v>
      </c>
    </row>
    <row r="61" spans="1:5" s="118" customFormat="1" x14ac:dyDescent="0.25">
      <c r="A61" t="s">
        <v>175</v>
      </c>
      <c r="B61" t="s">
        <v>176</v>
      </c>
      <c r="C61" s="417">
        <v>53.140796953162749</v>
      </c>
      <c r="D61" s="417">
        <v>335.96804878175999</v>
      </c>
      <c r="E61" s="125">
        <v>0.46822917898419081</v>
      </c>
    </row>
    <row r="62" spans="1:5" s="118" customFormat="1" x14ac:dyDescent="0.25">
      <c r="A62" t="s">
        <v>177</v>
      </c>
      <c r="B62" t="s">
        <v>178</v>
      </c>
      <c r="C62" s="417">
        <v>4.4777041118287633</v>
      </c>
      <c r="D62" s="417">
        <v>13.051313657078</v>
      </c>
      <c r="E62" s="125">
        <v>0.71128150036444282</v>
      </c>
    </row>
    <row r="63" spans="1:5" s="118" customFormat="1" x14ac:dyDescent="0.25">
      <c r="A63" t="s">
        <v>179</v>
      </c>
      <c r="B63" t="s">
        <v>180</v>
      </c>
      <c r="C63" s="417">
        <v>0.54145530040743117</v>
      </c>
      <c r="D63" s="417">
        <v>6.9820980789903002</v>
      </c>
      <c r="E63" s="125">
        <v>0.29660982339298769</v>
      </c>
    </row>
    <row r="64" spans="1:5" s="118" customFormat="1" x14ac:dyDescent="0.25">
      <c r="A64" t="s">
        <v>181</v>
      </c>
      <c r="B64" t="s">
        <v>182</v>
      </c>
      <c r="C64" s="417">
        <v>0.2140694731903762</v>
      </c>
      <c r="D64" s="417">
        <v>6.4018203690061002</v>
      </c>
      <c r="E64" s="125">
        <v>6.224761135155206E-2</v>
      </c>
    </row>
    <row r="65" spans="1:5" s="118" customFormat="1" x14ac:dyDescent="0.25">
      <c r="A65" t="s">
        <v>183</v>
      </c>
      <c r="B65" t="s">
        <v>184</v>
      </c>
      <c r="C65" s="417">
        <v>2.3914920622498892</v>
      </c>
      <c r="D65" s="417">
        <v>14.363974872585</v>
      </c>
      <c r="E65" s="125">
        <v>1.7492331306146358</v>
      </c>
    </row>
    <row r="66" spans="1:5" s="118" customFormat="1" x14ac:dyDescent="0.25">
      <c r="A66" t="s">
        <v>185</v>
      </c>
      <c r="B66" t="s">
        <v>186</v>
      </c>
      <c r="C66" s="417">
        <v>0.8680947820135414</v>
      </c>
      <c r="D66" s="417">
        <v>3.2895503749739001</v>
      </c>
      <c r="E66" s="125">
        <v>0.7088189181840715</v>
      </c>
    </row>
    <row r="67" spans="1:5" s="118" customFormat="1" x14ac:dyDescent="0.25">
      <c r="A67" t="s">
        <v>187</v>
      </c>
      <c r="B67" t="s">
        <v>188</v>
      </c>
      <c r="C67" s="417">
        <v>6.7537831121432941</v>
      </c>
      <c r="D67" s="417">
        <v>170.03385065136999</v>
      </c>
      <c r="E67" s="125">
        <v>5.3167521899387615E-2</v>
      </c>
    </row>
    <row r="68" spans="1:5" s="118" customFormat="1" x14ac:dyDescent="0.25">
      <c r="A68" t="s">
        <v>191</v>
      </c>
      <c r="B68" t="s">
        <v>192</v>
      </c>
      <c r="C68" s="417">
        <v>1.126237744382208</v>
      </c>
      <c r="D68" s="417">
        <v>3.4009927758626</v>
      </c>
      <c r="E68" s="125">
        <v>1.2218512719674792</v>
      </c>
    </row>
    <row r="69" spans="1:5" s="118" customFormat="1" x14ac:dyDescent="0.25">
      <c r="A69" t="s">
        <v>193</v>
      </c>
      <c r="B69" t="s">
        <v>194</v>
      </c>
      <c r="C69" s="417">
        <v>9.0648298110143131</v>
      </c>
      <c r="D69" s="417">
        <v>43.453536797250003</v>
      </c>
      <c r="E69" s="125">
        <v>1.6215204962096694</v>
      </c>
    </row>
    <row r="70" spans="1:5" s="118" customFormat="1" x14ac:dyDescent="0.25">
      <c r="A70" t="s">
        <v>195</v>
      </c>
      <c r="B70" t="s">
        <v>196</v>
      </c>
      <c r="C70" s="417">
        <v>123.5644117217294</v>
      </c>
      <c r="D70" s="417">
        <v>385.52011950564003</v>
      </c>
      <c r="E70" s="125">
        <v>1.861428856581461</v>
      </c>
    </row>
    <row r="71" spans="1:5" s="118" customFormat="1" x14ac:dyDescent="0.25">
      <c r="A71" t="s">
        <v>197</v>
      </c>
      <c r="B71" t="s">
        <v>198</v>
      </c>
      <c r="C71" s="417">
        <v>0.2169319598307908</v>
      </c>
      <c r="D71" s="417">
        <v>21.402080428809001</v>
      </c>
      <c r="E71" s="125">
        <v>8.8265710153858687E-2</v>
      </c>
    </row>
    <row r="72" spans="1:5" s="118" customFormat="1" x14ac:dyDescent="0.25">
      <c r="A72" t="s">
        <v>199</v>
      </c>
      <c r="B72" t="s">
        <v>5911</v>
      </c>
      <c r="C72" s="417">
        <v>0.35129125057719468</v>
      </c>
      <c r="D72" s="417">
        <v>1.8888012914382</v>
      </c>
      <c r="E72" s="125">
        <v>0.13172832412394345</v>
      </c>
    </row>
    <row r="73" spans="1:5" s="118" customFormat="1" x14ac:dyDescent="0.25">
      <c r="A73" t="s">
        <v>201</v>
      </c>
      <c r="B73" t="s">
        <v>202</v>
      </c>
      <c r="C73" s="417">
        <v>4.506874760733476</v>
      </c>
      <c r="D73" s="417">
        <v>19.049153820466</v>
      </c>
      <c r="E73" s="125">
        <v>1.1837938299522281</v>
      </c>
    </row>
    <row r="74" spans="1:5" s="118" customFormat="1" x14ac:dyDescent="0.25">
      <c r="A74" t="s">
        <v>203</v>
      </c>
      <c r="B74" t="s">
        <v>204</v>
      </c>
      <c r="C74" s="417">
        <v>141.2568578412648</v>
      </c>
      <c r="D74" s="417">
        <v>681.81032815186995</v>
      </c>
      <c r="E74" s="125">
        <v>1.6736416260360545</v>
      </c>
    </row>
    <row r="75" spans="1:5" s="118" customFormat="1" x14ac:dyDescent="0.25">
      <c r="A75" t="s">
        <v>205</v>
      </c>
      <c r="B75" t="s">
        <v>206</v>
      </c>
      <c r="C75" s="417">
        <v>9.2203647608909662</v>
      </c>
      <c r="D75" s="417">
        <v>48.265926450338</v>
      </c>
      <c r="E75" s="125">
        <v>0.27550310900999564</v>
      </c>
    </row>
    <row r="76" spans="1:5" s="118" customFormat="1" x14ac:dyDescent="0.25">
      <c r="A76" t="s">
        <v>207</v>
      </c>
      <c r="B76" t="s">
        <v>208</v>
      </c>
      <c r="C76" s="417">
        <v>17.759552826548202</v>
      </c>
      <c r="D76" s="417">
        <v>69.266029551594997</v>
      </c>
      <c r="E76" s="125">
        <v>1.7160155460379336</v>
      </c>
    </row>
    <row r="77" spans="1:5" s="118" customFormat="1" x14ac:dyDescent="0.25">
      <c r="A77" t="s">
        <v>209</v>
      </c>
      <c r="B77" t="s">
        <v>210</v>
      </c>
      <c r="C77" s="417">
        <v>5.0827063801383333E-2</v>
      </c>
      <c r="D77" s="417">
        <v>0.20040725685748001</v>
      </c>
      <c r="E77" s="125">
        <v>0.43439335938348417</v>
      </c>
    </row>
    <row r="78" spans="1:5" s="118" customFormat="1" x14ac:dyDescent="0.25">
      <c r="A78" t="s">
        <v>211</v>
      </c>
      <c r="B78" t="s">
        <v>212</v>
      </c>
      <c r="C78" s="417">
        <v>11.70609674588653</v>
      </c>
      <c r="D78" s="417">
        <v>43.981074467992002</v>
      </c>
      <c r="E78" s="125">
        <v>0.65089981991067136</v>
      </c>
    </row>
    <row r="79" spans="1:5" s="118" customFormat="1" x14ac:dyDescent="0.25">
      <c r="A79" t="s">
        <v>213</v>
      </c>
      <c r="B79" t="s">
        <v>214</v>
      </c>
      <c r="C79" s="417">
        <v>1.791571476776437</v>
      </c>
      <c r="D79" s="417">
        <v>28.634657504101</v>
      </c>
      <c r="E79" s="125">
        <v>0.12590637035351376</v>
      </c>
    </row>
    <row r="80" spans="1:5" s="118" customFormat="1" x14ac:dyDescent="0.25">
      <c r="A80" t="s">
        <v>215</v>
      </c>
      <c r="B80" t="s">
        <v>216</v>
      </c>
      <c r="C80" s="417">
        <v>0.19986352177742761</v>
      </c>
      <c r="D80" s="417">
        <v>2.9974771167324001</v>
      </c>
      <c r="E80" s="125">
        <v>9.3863927307894945E-2</v>
      </c>
    </row>
    <row r="81" spans="1:5" s="118" customFormat="1" x14ac:dyDescent="0.25">
      <c r="A81" t="s">
        <v>217</v>
      </c>
      <c r="B81" t="s">
        <v>218</v>
      </c>
      <c r="C81" s="417">
        <v>1.0576736759870471</v>
      </c>
      <c r="D81" s="417">
        <v>8.1909886010150004</v>
      </c>
      <c r="E81" s="125">
        <v>1.2834692952174769</v>
      </c>
    </row>
    <row r="82" spans="1:5" s="118" customFormat="1" x14ac:dyDescent="0.25">
      <c r="A82" t="s">
        <v>219</v>
      </c>
      <c r="B82" t="s">
        <v>220</v>
      </c>
      <c r="C82" s="417">
        <v>1.477654993185334</v>
      </c>
      <c r="D82" s="417">
        <v>13.656955798463001</v>
      </c>
      <c r="E82" s="125">
        <v>0.127718740297664</v>
      </c>
    </row>
    <row r="83" spans="1:5" s="118" customFormat="1" x14ac:dyDescent="0.25">
      <c r="A83" t="s">
        <v>221</v>
      </c>
      <c r="B83" t="s">
        <v>222</v>
      </c>
      <c r="C83" s="417">
        <v>5.0392120768310251</v>
      </c>
      <c r="D83" s="417">
        <v>22.920141542444</v>
      </c>
      <c r="E83" s="125">
        <v>0.47745537859234993</v>
      </c>
    </row>
    <row r="84" spans="1:5" s="118" customFormat="1" x14ac:dyDescent="0.25">
      <c r="A84" t="s">
        <v>223</v>
      </c>
      <c r="B84" t="s">
        <v>224</v>
      </c>
      <c r="C84" s="417">
        <v>14.39810129879295</v>
      </c>
      <c r="D84" s="417">
        <v>60.926771856729999</v>
      </c>
      <c r="E84" s="125">
        <v>1.4869148488328967</v>
      </c>
    </row>
    <row r="85" spans="1:5" s="118" customFormat="1" x14ac:dyDescent="0.25">
      <c r="A85" t="s">
        <v>225</v>
      </c>
      <c r="B85" t="s">
        <v>226</v>
      </c>
      <c r="C85" s="417">
        <v>0.90770990400120422</v>
      </c>
      <c r="D85" s="417">
        <v>4.171936013462</v>
      </c>
      <c r="E85" s="125">
        <v>2.3615217014665473</v>
      </c>
    </row>
    <row r="86" spans="1:5" s="118" customFormat="1" x14ac:dyDescent="0.25">
      <c r="A86" t="s">
        <v>228</v>
      </c>
      <c r="B86" t="s">
        <v>229</v>
      </c>
      <c r="C86" s="417">
        <v>349.27466196453167</v>
      </c>
      <c r="D86" s="417">
        <v>4133.5543557464998</v>
      </c>
      <c r="E86" s="125">
        <v>0.24395749303474348</v>
      </c>
    </row>
    <row r="87" spans="1:5" s="118" customFormat="1" x14ac:dyDescent="0.25">
      <c r="A87" t="s">
        <v>230</v>
      </c>
      <c r="B87" t="s">
        <v>231</v>
      </c>
      <c r="C87" s="417">
        <v>152.1133830762208</v>
      </c>
      <c r="D87" s="417">
        <v>1200.1997867973</v>
      </c>
      <c r="E87" s="125">
        <v>0.54321069274350253</v>
      </c>
    </row>
    <row r="88" spans="1:5" s="118" customFormat="1" x14ac:dyDescent="0.25">
      <c r="A88" t="s">
        <v>232</v>
      </c>
      <c r="B88" t="s">
        <v>5912</v>
      </c>
      <c r="C88" s="417">
        <v>145.7059714184546</v>
      </c>
      <c r="D88" s="417">
        <v>996.75268082289995</v>
      </c>
      <c r="E88" s="125">
        <v>1.6171110665546291</v>
      </c>
    </row>
    <row r="89" spans="1:5" s="118" customFormat="1" x14ac:dyDescent="0.25">
      <c r="A89" t="s">
        <v>234</v>
      </c>
      <c r="B89" t="s">
        <v>235</v>
      </c>
      <c r="C89" s="417">
        <v>40.534963091292582</v>
      </c>
      <c r="D89" s="417">
        <v>362.78479656291</v>
      </c>
      <c r="E89" s="125">
        <v>0.90905552423111358</v>
      </c>
    </row>
    <row r="90" spans="1:5" s="118" customFormat="1" x14ac:dyDescent="0.25">
      <c r="A90" t="s">
        <v>236</v>
      </c>
      <c r="B90" t="s">
        <v>237</v>
      </c>
      <c r="C90" s="417">
        <v>11.23875075000765</v>
      </c>
      <c r="D90" s="417">
        <v>57.853266947361</v>
      </c>
      <c r="E90" s="125">
        <v>2.1755922808234582</v>
      </c>
    </row>
    <row r="91" spans="1:5" s="118" customFormat="1" x14ac:dyDescent="0.25">
      <c r="A91" t="s">
        <v>238</v>
      </c>
      <c r="B91" t="s">
        <v>239</v>
      </c>
      <c r="C91" s="417">
        <v>18.692155253646391</v>
      </c>
      <c r="D91" s="417">
        <v>79.578174881425994</v>
      </c>
      <c r="E91" s="125">
        <v>2.0337873614903397</v>
      </c>
    </row>
    <row r="92" spans="1:5" s="118" customFormat="1" x14ac:dyDescent="0.25">
      <c r="A92" t="s">
        <v>241</v>
      </c>
      <c r="B92" t="s">
        <v>242</v>
      </c>
      <c r="C92" s="417">
        <v>103.9860786043448</v>
      </c>
      <c r="D92" s="417">
        <v>374.12419472876002</v>
      </c>
      <c r="E92" s="125">
        <v>1.7457942526692998</v>
      </c>
    </row>
    <row r="93" spans="1:5" s="118" customFormat="1" x14ac:dyDescent="0.25">
      <c r="A93" t="s">
        <v>243</v>
      </c>
      <c r="B93" t="s">
        <v>244</v>
      </c>
      <c r="C93" s="417">
        <v>2.4498640842511992</v>
      </c>
      <c r="D93" s="417">
        <v>8.1629239257775001</v>
      </c>
      <c r="E93" s="125">
        <v>0.86270414094592807</v>
      </c>
    </row>
    <row r="94" spans="1:5" s="118" customFormat="1" x14ac:dyDescent="0.25">
      <c r="A94" t="s">
        <v>245</v>
      </c>
      <c r="B94" t="s">
        <v>246</v>
      </c>
      <c r="C94" s="417">
        <v>181.96191357547141</v>
      </c>
      <c r="D94" s="417">
        <v>1041.0128248686999</v>
      </c>
      <c r="E94" s="125">
        <v>1.459540157726789</v>
      </c>
    </row>
    <row r="95" spans="1:5" s="118" customFormat="1" x14ac:dyDescent="0.25">
      <c r="A95" t="s">
        <v>247</v>
      </c>
      <c r="B95" t="s">
        <v>248</v>
      </c>
      <c r="C95" s="417">
        <v>7.9780713824704446</v>
      </c>
      <c r="D95" s="417">
        <v>33.407709056244002</v>
      </c>
      <c r="E95" s="125">
        <v>0.70306963045468451</v>
      </c>
    </row>
    <row r="96" spans="1:5" s="118" customFormat="1" x14ac:dyDescent="0.25">
      <c r="A96" t="s">
        <v>249</v>
      </c>
      <c r="B96" t="s">
        <v>250</v>
      </c>
      <c r="C96" s="417">
        <v>24.00450259503398</v>
      </c>
      <c r="D96" s="417">
        <v>320.34998496393001</v>
      </c>
      <c r="E96" s="125">
        <v>1.1885770744223598</v>
      </c>
    </row>
    <row r="97" spans="1:5" s="118" customFormat="1" x14ac:dyDescent="0.25">
      <c r="A97" t="s">
        <v>251</v>
      </c>
      <c r="B97" t="s">
        <v>252</v>
      </c>
      <c r="C97" s="417">
        <v>10.8093492744944</v>
      </c>
      <c r="D97" s="417">
        <v>107.97690921511</v>
      </c>
      <c r="E97" s="125">
        <v>0.19727425888978714</v>
      </c>
    </row>
    <row r="98" spans="1:5" s="118" customFormat="1" x14ac:dyDescent="0.25">
      <c r="A98" t="s">
        <v>253</v>
      </c>
      <c r="B98" t="s">
        <v>254</v>
      </c>
      <c r="C98" s="417">
        <v>5.0508932626793582E-2</v>
      </c>
      <c r="D98" s="417">
        <v>0.13017626101136001</v>
      </c>
      <c r="E98" s="125">
        <v>0.3839990620432252</v>
      </c>
    </row>
    <row r="99" spans="1:5" s="118" customFormat="1" x14ac:dyDescent="0.25">
      <c r="A99" t="s">
        <v>255</v>
      </c>
      <c r="B99" t="s">
        <v>256</v>
      </c>
      <c r="C99" s="125"/>
      <c r="D99" s="125"/>
      <c r="E99" s="125"/>
    </row>
    <row r="100" spans="1:5" s="118" customFormat="1" x14ac:dyDescent="0.25">
      <c r="A100" t="s">
        <v>258</v>
      </c>
      <c r="B100" t="s">
        <v>259</v>
      </c>
      <c r="C100" s="417">
        <v>15.277707011973771</v>
      </c>
      <c r="D100" s="417">
        <v>167.91576883104</v>
      </c>
      <c r="E100" s="125">
        <v>3.1872247814657948</v>
      </c>
    </row>
    <row r="101" spans="1:5" s="118" customFormat="1" x14ac:dyDescent="0.25">
      <c r="A101" t="s">
        <v>260</v>
      </c>
      <c r="B101" t="s">
        <v>261</v>
      </c>
      <c r="C101" s="417">
        <v>1.744567668774214</v>
      </c>
      <c r="D101" s="417">
        <v>21.698229839443002</v>
      </c>
      <c r="E101" s="125">
        <v>0.24864011018330445</v>
      </c>
    </row>
    <row r="102" spans="1:5" s="118" customFormat="1" x14ac:dyDescent="0.25">
      <c r="A102" t="s">
        <v>262</v>
      </c>
      <c r="B102" t="s">
        <v>5913</v>
      </c>
      <c r="C102" s="417">
        <v>2.7307302074001272</v>
      </c>
      <c r="D102" s="417">
        <v>42.056212706049003</v>
      </c>
      <c r="E102" s="125">
        <v>0.35872551809826569</v>
      </c>
    </row>
    <row r="103" spans="1:5" s="118" customFormat="1" x14ac:dyDescent="0.25">
      <c r="A103" t="s">
        <v>264</v>
      </c>
      <c r="B103" t="s">
        <v>265</v>
      </c>
      <c r="C103" s="417">
        <v>3.102706195463615</v>
      </c>
      <c r="D103" s="417">
        <v>10.957491923456001</v>
      </c>
      <c r="E103" s="125">
        <v>1.6459115385789367</v>
      </c>
    </row>
    <row r="104" spans="1:5" s="118" customFormat="1" x14ac:dyDescent="0.25">
      <c r="A104" t="s">
        <v>266</v>
      </c>
      <c r="B104" t="s">
        <v>267</v>
      </c>
      <c r="C104" s="417">
        <v>7.1354134198886934</v>
      </c>
      <c r="D104" s="417">
        <v>24.672324496902</v>
      </c>
      <c r="E104" s="125">
        <v>1.2385303150507851</v>
      </c>
    </row>
    <row r="105" spans="1:5" s="118" customFormat="1" x14ac:dyDescent="0.25">
      <c r="A105" t="s">
        <v>268</v>
      </c>
      <c r="B105" t="s">
        <v>269</v>
      </c>
      <c r="C105" s="417">
        <v>0.50992867306348366</v>
      </c>
      <c r="D105" s="417">
        <v>2.6019212840000998</v>
      </c>
      <c r="E105" s="125">
        <v>0.22185319141885984</v>
      </c>
    </row>
    <row r="106" spans="1:5" s="118" customFormat="1" x14ac:dyDescent="0.25">
      <c r="A106" t="s">
        <v>270</v>
      </c>
      <c r="B106" t="s">
        <v>271</v>
      </c>
      <c r="C106" s="417">
        <v>0.82749853268205653</v>
      </c>
      <c r="D106" s="417">
        <v>4.5323879353986003</v>
      </c>
      <c r="E106" s="125">
        <v>0.15231893943163427</v>
      </c>
    </row>
    <row r="107" spans="1:5" s="118" customFormat="1" x14ac:dyDescent="0.25">
      <c r="A107" t="s">
        <v>272</v>
      </c>
      <c r="B107" t="s">
        <v>273</v>
      </c>
      <c r="C107" s="417">
        <v>18.8804723781993</v>
      </c>
      <c r="D107" s="417">
        <v>95.929766915197007</v>
      </c>
      <c r="E107" s="125">
        <v>2.5974754461065257</v>
      </c>
    </row>
    <row r="108" spans="1:5" s="118" customFormat="1" x14ac:dyDescent="0.25">
      <c r="A108" t="s">
        <v>274</v>
      </c>
      <c r="B108" t="s">
        <v>275</v>
      </c>
      <c r="C108" s="125"/>
      <c r="D108" s="125"/>
      <c r="E108" s="125"/>
    </row>
    <row r="109" spans="1:5" s="118" customFormat="1" x14ac:dyDescent="0.25">
      <c r="A109" t="s">
        <v>276</v>
      </c>
      <c r="B109" t="s">
        <v>277</v>
      </c>
      <c r="C109" s="417">
        <v>6.2808070704944967</v>
      </c>
      <c r="D109" s="417">
        <v>20.683656998446001</v>
      </c>
      <c r="E109" s="125">
        <v>2.2104737902447211</v>
      </c>
    </row>
    <row r="110" spans="1:5" s="118" customFormat="1" x14ac:dyDescent="0.25">
      <c r="A110" t="s">
        <v>278</v>
      </c>
      <c r="B110" t="s">
        <v>279</v>
      </c>
      <c r="C110" s="417">
        <v>4.2423658408849461</v>
      </c>
      <c r="D110" s="417">
        <v>7.8609330392057002</v>
      </c>
      <c r="E110" s="125">
        <v>6.4181803121443926</v>
      </c>
    </row>
    <row r="111" spans="1:5" s="118" customFormat="1" x14ac:dyDescent="0.25">
      <c r="A111" t="s">
        <v>280</v>
      </c>
      <c r="B111" t="s">
        <v>281</v>
      </c>
      <c r="C111" s="417">
        <v>1.378876889046607</v>
      </c>
      <c r="D111" s="417">
        <v>33.150776404127001</v>
      </c>
      <c r="E111" s="125">
        <v>4.4749152409671644E-2</v>
      </c>
    </row>
    <row r="112" spans="1:5" s="118" customFormat="1" x14ac:dyDescent="0.25">
      <c r="A112" t="s">
        <v>282</v>
      </c>
      <c r="B112" t="s">
        <v>283</v>
      </c>
      <c r="C112" s="417">
        <v>0.78331093542905961</v>
      </c>
      <c r="D112" s="417">
        <v>19.714051394182</v>
      </c>
      <c r="E112" s="125">
        <v>3.7599827898061662E-2</v>
      </c>
    </row>
    <row r="113" spans="1:5" s="118" customFormat="1" x14ac:dyDescent="0.25">
      <c r="A113" t="s">
        <v>284</v>
      </c>
      <c r="B113" t="s">
        <v>285</v>
      </c>
      <c r="C113" s="417">
        <v>67.382333718297971</v>
      </c>
      <c r="D113" s="417">
        <v>325.40584765841999</v>
      </c>
      <c r="E113" s="125">
        <v>1.9302638479688263</v>
      </c>
    </row>
    <row r="114" spans="1:5" s="118" customFormat="1" x14ac:dyDescent="0.25">
      <c r="A114" t="s">
        <v>286</v>
      </c>
      <c r="B114" t="s">
        <v>287</v>
      </c>
      <c r="C114" s="417">
        <v>1.4972669707005819</v>
      </c>
      <c r="D114" s="417">
        <v>3.0879519663505</v>
      </c>
      <c r="E114" s="125">
        <v>2.8511550559476677</v>
      </c>
    </row>
    <row r="115" spans="1:5" s="118" customFormat="1" x14ac:dyDescent="0.25">
      <c r="A115" t="s">
        <v>288</v>
      </c>
      <c r="B115" t="s">
        <v>289</v>
      </c>
      <c r="C115" s="417">
        <v>3.3931668151860381</v>
      </c>
      <c r="D115" s="417">
        <v>45.463097500300002</v>
      </c>
      <c r="E115" s="125">
        <v>0.14490860957761828</v>
      </c>
    </row>
    <row r="116" spans="1:5" s="118" customFormat="1" x14ac:dyDescent="0.25">
      <c r="A116" t="s">
        <v>290</v>
      </c>
      <c r="B116" t="s">
        <v>291</v>
      </c>
      <c r="C116" s="417">
        <v>0.73042728349636687</v>
      </c>
      <c r="D116" s="417">
        <v>2.0338652584277002</v>
      </c>
      <c r="E116" s="125">
        <v>1.3794191764894996</v>
      </c>
    </row>
    <row r="117" spans="1:5" s="118" customFormat="1" x14ac:dyDescent="0.25">
      <c r="A117" t="s">
        <v>292</v>
      </c>
      <c r="B117" t="s">
        <v>293</v>
      </c>
      <c r="C117" s="125"/>
      <c r="D117" s="125"/>
      <c r="E117" s="125"/>
    </row>
    <row r="118" spans="1:5" s="118" customFormat="1" x14ac:dyDescent="0.25">
      <c r="A118" t="s">
        <v>294</v>
      </c>
      <c r="B118" t="s">
        <v>295</v>
      </c>
      <c r="C118" s="417">
        <v>2.480994947533218</v>
      </c>
      <c r="D118" s="417">
        <v>16.509274363264002</v>
      </c>
      <c r="E118" s="125">
        <v>0.50137701072258212</v>
      </c>
    </row>
    <row r="119" spans="1:5" s="118" customFormat="1" x14ac:dyDescent="0.25">
      <c r="A119" t="s">
        <v>296</v>
      </c>
      <c r="B119" t="s">
        <v>297</v>
      </c>
      <c r="C119" s="417">
        <v>1.164355346283908</v>
      </c>
      <c r="D119" s="417">
        <v>6.1987377637868999</v>
      </c>
      <c r="E119" s="125">
        <v>0.91346418633054649</v>
      </c>
    </row>
    <row r="120" spans="1:5" s="118" customFormat="1" x14ac:dyDescent="0.25">
      <c r="A120" t="s">
        <v>298</v>
      </c>
      <c r="B120" t="s">
        <v>299</v>
      </c>
      <c r="C120" s="417">
        <v>132.220611733639</v>
      </c>
      <c r="D120" s="417">
        <v>712.10209803987004</v>
      </c>
      <c r="E120" s="125">
        <v>1.0236081622366298</v>
      </c>
    </row>
    <row r="121" spans="1:5" s="118" customFormat="1" x14ac:dyDescent="0.25">
      <c r="A121" t="s">
        <v>300</v>
      </c>
      <c r="B121" t="s">
        <v>5914</v>
      </c>
      <c r="C121" s="125"/>
      <c r="D121" s="125"/>
      <c r="E121" s="125"/>
    </row>
    <row r="122" spans="1:5" s="118" customFormat="1" x14ac:dyDescent="0.25">
      <c r="A122" t="s">
        <v>302</v>
      </c>
      <c r="B122" t="s">
        <v>303</v>
      </c>
      <c r="C122" s="125"/>
      <c r="D122" s="125"/>
      <c r="E122" s="125"/>
    </row>
    <row r="123" spans="1:5" s="118" customFormat="1" x14ac:dyDescent="0.25">
      <c r="A123" t="s">
        <v>305</v>
      </c>
      <c r="B123" t="s">
        <v>306</v>
      </c>
      <c r="C123" s="417">
        <v>3.0053836949054058</v>
      </c>
      <c r="D123" s="417">
        <v>83.704559899686998</v>
      </c>
      <c r="E123" s="125">
        <v>0.88144888026449064</v>
      </c>
    </row>
    <row r="124" spans="1:5" s="118" customFormat="1" x14ac:dyDescent="0.25">
      <c r="A124" t="s">
        <v>307</v>
      </c>
      <c r="B124" t="s">
        <v>308</v>
      </c>
      <c r="C124" s="125"/>
      <c r="D124" s="125"/>
      <c r="E124" s="125"/>
    </row>
    <row r="125" spans="1:5" s="118" customFormat="1" x14ac:dyDescent="0.25">
      <c r="A125" t="s">
        <v>309</v>
      </c>
      <c r="B125" t="s">
        <v>310</v>
      </c>
      <c r="C125" s="417">
        <v>17.689478774478111</v>
      </c>
      <c r="D125" s="417">
        <v>106.60223103187001</v>
      </c>
      <c r="E125" s="125">
        <v>0.47142116895529274</v>
      </c>
    </row>
    <row r="126" spans="1:5" s="118" customFormat="1" x14ac:dyDescent="0.25">
      <c r="A126" t="s">
        <v>311</v>
      </c>
      <c r="B126" t="s">
        <v>312</v>
      </c>
      <c r="C126" s="417">
        <v>3.9936406306970689</v>
      </c>
      <c r="D126" s="417">
        <v>33.953984042408003</v>
      </c>
      <c r="E126" s="125">
        <v>0.12050588998219496</v>
      </c>
    </row>
    <row r="127" spans="1:5" s="118" customFormat="1" x14ac:dyDescent="0.25">
      <c r="A127" t="s">
        <v>313</v>
      </c>
      <c r="B127" t="s">
        <v>314</v>
      </c>
      <c r="C127" s="417">
        <v>5.5409798384290738</v>
      </c>
      <c r="D127" s="417">
        <v>115.07725289766</v>
      </c>
      <c r="E127" s="125">
        <v>0.1027113301821683</v>
      </c>
    </row>
    <row r="128" spans="1:5" s="118" customFormat="1" x14ac:dyDescent="0.25">
      <c r="A128" t="s">
        <v>315</v>
      </c>
      <c r="B128" t="s">
        <v>316</v>
      </c>
      <c r="C128" s="417">
        <v>2.1850282301150679</v>
      </c>
      <c r="D128" s="417">
        <v>12.885675050293001</v>
      </c>
      <c r="E128" s="125">
        <v>0.74624338084357134</v>
      </c>
    </row>
    <row r="129" spans="1:5" s="118" customFormat="1" x14ac:dyDescent="0.25">
      <c r="A129" t="s">
        <v>317</v>
      </c>
      <c r="B129" t="s">
        <v>318</v>
      </c>
      <c r="C129" s="125"/>
      <c r="D129" s="125"/>
      <c r="E129" s="125"/>
    </row>
    <row r="130" spans="1:5" s="118" customFormat="1" x14ac:dyDescent="0.25">
      <c r="A130" t="s">
        <v>319</v>
      </c>
      <c r="B130" t="s">
        <v>320</v>
      </c>
      <c r="C130" s="417">
        <v>4.8627503945089332</v>
      </c>
      <c r="D130" s="417">
        <v>56.830982733611002</v>
      </c>
      <c r="E130" s="125">
        <v>0.16364478336242216</v>
      </c>
    </row>
    <row r="131" spans="1:5" s="118" customFormat="1" x14ac:dyDescent="0.25">
      <c r="A131" t="s">
        <v>321</v>
      </c>
      <c r="B131" t="s">
        <v>322</v>
      </c>
      <c r="C131" s="417">
        <v>25.78124755164097</v>
      </c>
      <c r="D131" s="417">
        <v>150.74579824257</v>
      </c>
      <c r="E131" s="125">
        <v>1.4307419576209528</v>
      </c>
    </row>
    <row r="132" spans="1:5" s="118" customFormat="1" x14ac:dyDescent="0.25">
      <c r="A132" t="s">
        <v>323</v>
      </c>
      <c r="B132" t="s">
        <v>324</v>
      </c>
      <c r="C132" s="417">
        <v>16.240725424217811</v>
      </c>
      <c r="D132" s="417">
        <v>84.209811532415003</v>
      </c>
      <c r="E132" s="125">
        <v>3.1527081940191315</v>
      </c>
    </row>
    <row r="133" spans="1:5" s="118" customFormat="1" x14ac:dyDescent="0.25">
      <c r="A133" t="s">
        <v>325</v>
      </c>
      <c r="B133" t="s">
        <v>326</v>
      </c>
      <c r="C133" s="417">
        <v>2.7684154135495191</v>
      </c>
      <c r="D133" s="417">
        <v>20.628271187746002</v>
      </c>
      <c r="E133" s="125">
        <v>0.40849220728422353</v>
      </c>
    </row>
    <row r="134" spans="1:5" s="118" customFormat="1" x14ac:dyDescent="0.25">
      <c r="A134" t="s">
        <v>327</v>
      </c>
      <c r="B134" t="s">
        <v>328</v>
      </c>
      <c r="C134" s="417">
        <v>1.2904826169822099</v>
      </c>
      <c r="D134" s="417">
        <v>42.334092053638997</v>
      </c>
      <c r="E134" s="125">
        <v>5.0160058295371124E-2</v>
      </c>
    </row>
    <row r="135" spans="1:5" s="118" customFormat="1" x14ac:dyDescent="0.25">
      <c r="A135" t="s">
        <v>329</v>
      </c>
      <c r="B135" t="s">
        <v>330</v>
      </c>
      <c r="C135" s="417">
        <v>58.971195919965467</v>
      </c>
      <c r="D135" s="417">
        <v>385.11288377147002</v>
      </c>
      <c r="E135" s="125">
        <v>0.26151915368976275</v>
      </c>
    </row>
    <row r="136" spans="1:5" s="118" customFormat="1" x14ac:dyDescent="0.25">
      <c r="A136" t="s">
        <v>364</v>
      </c>
      <c r="B136" t="s">
        <v>5915</v>
      </c>
      <c r="C136" s="417">
        <v>2.5209386628390988</v>
      </c>
      <c r="D136" s="417">
        <v>11.370029305485</v>
      </c>
      <c r="E136" s="125">
        <v>1.3729922225200706</v>
      </c>
    </row>
    <row r="137" spans="1:5" s="118" customFormat="1" x14ac:dyDescent="0.25">
      <c r="A137" t="s">
        <v>333</v>
      </c>
      <c r="B137" t="s">
        <v>334</v>
      </c>
      <c r="C137" s="417">
        <v>13.64916488890823</v>
      </c>
      <c r="D137" s="417">
        <v>56.717099715738001</v>
      </c>
      <c r="E137" s="125">
        <v>2.4868412339692743</v>
      </c>
    </row>
    <row r="138" spans="1:5" s="118" customFormat="1" x14ac:dyDescent="0.25">
      <c r="A138" t="s">
        <v>335</v>
      </c>
      <c r="B138" t="s">
        <v>336</v>
      </c>
      <c r="C138" s="417">
        <v>12.3539911460556</v>
      </c>
      <c r="D138" s="417">
        <v>127.44302070563</v>
      </c>
      <c r="E138" s="125">
        <v>2.5041566001125393</v>
      </c>
    </row>
    <row r="139" spans="1:5" s="118" customFormat="1" x14ac:dyDescent="0.25">
      <c r="A139" t="s">
        <v>338</v>
      </c>
      <c r="B139" t="s">
        <v>339</v>
      </c>
      <c r="C139" s="417">
        <v>44.891195611563681</v>
      </c>
      <c r="D139" s="417">
        <v>532.37448361891995</v>
      </c>
      <c r="E139" s="125">
        <v>0.18272713052710041</v>
      </c>
    </row>
    <row r="140" spans="1:5" s="118" customFormat="1" x14ac:dyDescent="0.25">
      <c r="A140" t="s">
        <v>340</v>
      </c>
      <c r="B140" t="s">
        <v>341</v>
      </c>
      <c r="C140" s="417">
        <v>0.76697976393919287</v>
      </c>
      <c r="D140" s="417">
        <v>1.5016528321032001</v>
      </c>
      <c r="E140" s="125">
        <v>43.214996841288759</v>
      </c>
    </row>
    <row r="141" spans="1:5" s="118" customFormat="1" x14ac:dyDescent="0.25">
      <c r="A141" t="s">
        <v>342</v>
      </c>
      <c r="B141" t="s">
        <v>343</v>
      </c>
      <c r="C141" s="125"/>
      <c r="D141" s="125"/>
      <c r="E141" s="125"/>
    </row>
    <row r="142" spans="1:5" s="118" customFormat="1" x14ac:dyDescent="0.25">
      <c r="A142" t="s">
        <v>344</v>
      </c>
      <c r="B142" t="s">
        <v>345</v>
      </c>
      <c r="C142" s="417">
        <v>5.7357943404010889</v>
      </c>
      <c r="D142" s="417">
        <v>21.281689073780999</v>
      </c>
      <c r="E142" s="125">
        <v>1.2947529340435817</v>
      </c>
    </row>
    <row r="143" spans="1:5" s="118" customFormat="1" x14ac:dyDescent="0.25">
      <c r="A143" t="s">
        <v>346</v>
      </c>
      <c r="B143" t="s">
        <v>347</v>
      </c>
      <c r="C143" s="417">
        <v>2.6300908312311049</v>
      </c>
      <c r="D143" s="417">
        <v>9.6409981982956001</v>
      </c>
      <c r="E143" s="125">
        <v>0.25544264216383961</v>
      </c>
    </row>
    <row r="144" spans="1:5" s="118" customFormat="1" x14ac:dyDescent="0.25">
      <c r="A144" t="s">
        <v>348</v>
      </c>
      <c r="B144" t="s">
        <v>349</v>
      </c>
      <c r="C144" s="417">
        <v>7.3033302222678547</v>
      </c>
      <c r="D144" s="417">
        <v>41.6245592458</v>
      </c>
      <c r="E144" s="125">
        <v>1.0737781818768104</v>
      </c>
    </row>
    <row r="145" spans="1:5" s="118" customFormat="1" x14ac:dyDescent="0.25">
      <c r="A145" t="s">
        <v>350</v>
      </c>
      <c r="B145" t="s">
        <v>351</v>
      </c>
      <c r="C145" s="417">
        <v>24.487842900424742</v>
      </c>
      <c r="D145" s="417">
        <v>94.048681371835997</v>
      </c>
      <c r="E145" s="125">
        <v>0.72758475788174559</v>
      </c>
    </row>
    <row r="146" spans="1:5" s="118" customFormat="1" x14ac:dyDescent="0.25">
      <c r="A146" t="s">
        <v>352</v>
      </c>
      <c r="B146" t="s">
        <v>353</v>
      </c>
      <c r="C146" s="417">
        <v>37.005617460716273</v>
      </c>
      <c r="D146" s="417">
        <v>256.14715481705002</v>
      </c>
      <c r="E146" s="125">
        <v>0.32344358437578691</v>
      </c>
    </row>
    <row r="147" spans="1:5" s="118" customFormat="1" x14ac:dyDescent="0.25">
      <c r="A147" t="s">
        <v>354</v>
      </c>
      <c r="B147" t="s">
        <v>355</v>
      </c>
      <c r="C147" s="417">
        <v>68.702139687689851</v>
      </c>
      <c r="D147" s="417">
        <v>363.79425000757999</v>
      </c>
      <c r="E147" s="125">
        <v>1.7700373566134653</v>
      </c>
    </row>
    <row r="148" spans="1:5" s="118" customFormat="1" x14ac:dyDescent="0.25">
      <c r="A148" t="s">
        <v>356</v>
      </c>
      <c r="B148" t="s">
        <v>357</v>
      </c>
      <c r="C148" s="417">
        <v>15.947366338037449</v>
      </c>
      <c r="D148" s="417">
        <v>53.004607295263</v>
      </c>
      <c r="E148" s="125">
        <v>1.5288691295307368</v>
      </c>
    </row>
    <row r="149" spans="1:5" s="118" customFormat="1" x14ac:dyDescent="0.25">
      <c r="A149" t="s">
        <v>358</v>
      </c>
      <c r="B149" t="s">
        <v>359</v>
      </c>
      <c r="C149" s="417">
        <v>15.0080032885677</v>
      </c>
      <c r="D149" s="417">
        <v>154.38356524030999</v>
      </c>
      <c r="E149" s="125">
        <v>5.0948644295734615</v>
      </c>
    </row>
    <row r="150" spans="1:5" s="118" customFormat="1" x14ac:dyDescent="0.25">
      <c r="A150" t="s">
        <v>360</v>
      </c>
      <c r="B150" t="s">
        <v>361</v>
      </c>
      <c r="C150" s="417">
        <v>107.9154569951917</v>
      </c>
      <c r="D150" s="417">
        <v>653.84613998739997</v>
      </c>
      <c r="E150" s="125">
        <v>2.0849444482499271</v>
      </c>
    </row>
    <row r="151" spans="1:5" s="118" customFormat="1" x14ac:dyDescent="0.25">
      <c r="A151" t="s">
        <v>362</v>
      </c>
      <c r="B151" t="s">
        <v>363</v>
      </c>
      <c r="C151" s="417">
        <v>2.4025361889764838</v>
      </c>
      <c r="D151" s="417">
        <v>13.54241150505</v>
      </c>
      <c r="E151" s="125">
        <v>0.77986089924851554</v>
      </c>
    </row>
    <row r="152" spans="1:5" s="118" customFormat="1" x14ac:dyDescent="0.25">
      <c r="A152" t="s">
        <v>366</v>
      </c>
      <c r="B152" t="s">
        <v>367</v>
      </c>
      <c r="C152" s="417">
        <v>21.004112862883009</v>
      </c>
      <c r="D152" s="417">
        <v>105.85240058122</v>
      </c>
      <c r="E152" s="125">
        <v>1.095726562231838</v>
      </c>
    </row>
    <row r="153" spans="1:5" s="118" customFormat="1" x14ac:dyDescent="0.25">
      <c r="A153" t="s">
        <v>368</v>
      </c>
      <c r="B153" t="s">
        <v>369</v>
      </c>
      <c r="C153" s="417">
        <v>265.70074531042741</v>
      </c>
      <c r="D153" s="417">
        <v>2672.0394366031001</v>
      </c>
      <c r="E153" s="125">
        <v>1.8239229741738683</v>
      </c>
    </row>
    <row r="154" spans="1:5" s="118" customFormat="1" x14ac:dyDescent="0.25">
      <c r="A154" t="s">
        <v>370</v>
      </c>
      <c r="B154" t="s">
        <v>371</v>
      </c>
      <c r="C154" s="417">
        <v>0.60722858848321359</v>
      </c>
      <c r="D154" s="417">
        <v>7.4932661090210999</v>
      </c>
      <c r="E154" s="125">
        <v>4.3993795694897794E-2</v>
      </c>
    </row>
    <row r="155" spans="1:5" s="118" customFormat="1" x14ac:dyDescent="0.25">
      <c r="A155" t="s">
        <v>372</v>
      </c>
      <c r="B155" t="s">
        <v>373</v>
      </c>
      <c r="C155" s="417">
        <v>4.2331182061763992E-2</v>
      </c>
      <c r="D155" s="417">
        <v>0.17447409234332001</v>
      </c>
      <c r="E155" s="125">
        <v>0.90619703426806231</v>
      </c>
    </row>
    <row r="156" spans="1:5" s="118" customFormat="1" x14ac:dyDescent="0.25">
      <c r="A156" t="s">
        <v>374</v>
      </c>
      <c r="B156" t="s">
        <v>375</v>
      </c>
      <c r="C156" s="417">
        <v>0.10561796037965671</v>
      </c>
      <c r="D156" s="417">
        <v>0.45126691251345002</v>
      </c>
      <c r="E156" s="125">
        <v>0.58989287881134844</v>
      </c>
    </row>
    <row r="157" spans="1:5" s="118" customFormat="1" x14ac:dyDescent="0.25">
      <c r="A157" t="s">
        <v>376</v>
      </c>
      <c r="B157" t="s">
        <v>377</v>
      </c>
      <c r="C157" s="417">
        <v>3.4275975279875179E-2</v>
      </c>
      <c r="D157" s="417">
        <v>0.15077509193013</v>
      </c>
      <c r="E157" s="125">
        <v>0.33709984637806412</v>
      </c>
    </row>
    <row r="158" spans="1:5" s="118" customFormat="1" x14ac:dyDescent="0.25">
      <c r="A158" t="s">
        <v>378</v>
      </c>
      <c r="B158" t="s">
        <v>379</v>
      </c>
      <c r="C158" s="417">
        <v>0.2431860191561139</v>
      </c>
      <c r="D158" s="417">
        <v>0.64614359538246002</v>
      </c>
      <c r="E158" s="125">
        <v>1.1259446031007572</v>
      </c>
    </row>
    <row r="159" spans="1:5" s="118" customFormat="1" x14ac:dyDescent="0.25">
      <c r="A159" t="s">
        <v>380</v>
      </c>
      <c r="B159" t="s">
        <v>381</v>
      </c>
      <c r="C159" s="125"/>
      <c r="D159" s="125"/>
      <c r="E159" s="125"/>
    </row>
    <row r="160" spans="1:5" s="118" customFormat="1" x14ac:dyDescent="0.25">
      <c r="A160" t="s">
        <v>382</v>
      </c>
      <c r="B160" t="s">
        <v>383</v>
      </c>
      <c r="C160" s="417">
        <v>0.1245490218738666</v>
      </c>
      <c r="D160" s="417">
        <v>0.30345441468402001</v>
      </c>
      <c r="E160" s="125">
        <v>0.54493398556981865</v>
      </c>
    </row>
    <row r="161" spans="1:5" s="118" customFormat="1" x14ac:dyDescent="0.25">
      <c r="A161" t="s">
        <v>384</v>
      </c>
      <c r="B161" t="s">
        <v>385</v>
      </c>
      <c r="C161" s="417">
        <v>147.5856941379987</v>
      </c>
      <c r="D161" s="417">
        <v>805.15810845823</v>
      </c>
      <c r="E161" s="125">
        <v>4.4903445385895262</v>
      </c>
    </row>
    <row r="162" spans="1:5" s="118" customFormat="1" x14ac:dyDescent="0.25">
      <c r="A162" t="s">
        <v>386</v>
      </c>
      <c r="B162" t="s">
        <v>387</v>
      </c>
      <c r="C162" s="417">
        <v>3.4891679152500248</v>
      </c>
      <c r="D162" s="417">
        <v>28.843732000256001</v>
      </c>
      <c r="E162" s="125">
        <v>0.1952848077158483</v>
      </c>
    </row>
    <row r="163" spans="1:5" s="118" customFormat="1" x14ac:dyDescent="0.25">
      <c r="A163" t="s">
        <v>388</v>
      </c>
      <c r="B163" t="s">
        <v>389</v>
      </c>
      <c r="C163" s="417">
        <v>10.45024022782124</v>
      </c>
      <c r="D163" s="417">
        <v>67.214992478558003</v>
      </c>
      <c r="E163" s="125">
        <v>1.5395014056755529</v>
      </c>
    </row>
    <row r="164" spans="1:5" s="118" customFormat="1" x14ac:dyDescent="0.25">
      <c r="A164" t="s">
        <v>390</v>
      </c>
      <c r="B164" t="s">
        <v>391</v>
      </c>
      <c r="C164" s="417">
        <v>0.72161504168930912</v>
      </c>
      <c r="D164" s="417">
        <v>1.3387084460448999</v>
      </c>
      <c r="E164" s="125">
        <v>5.6957317764796214</v>
      </c>
    </row>
    <row r="165" spans="1:5" s="118" customFormat="1" x14ac:dyDescent="0.25">
      <c r="A165" t="s">
        <v>392</v>
      </c>
      <c r="B165" t="s">
        <v>393</v>
      </c>
      <c r="C165" s="417">
        <v>0.537288258748986</v>
      </c>
      <c r="D165" s="417">
        <v>6.9377160598997998</v>
      </c>
      <c r="E165" s="125">
        <v>6.4206574828702359E-2</v>
      </c>
    </row>
    <row r="166" spans="1:5" s="118" customFormat="1" x14ac:dyDescent="0.25">
      <c r="A166" t="s">
        <v>394</v>
      </c>
      <c r="B166" t="s">
        <v>395</v>
      </c>
      <c r="C166" s="417">
        <v>6.8133364043247093</v>
      </c>
      <c r="D166" s="417">
        <v>74.290132466078006</v>
      </c>
      <c r="E166" s="125">
        <v>1.181697822252963</v>
      </c>
    </row>
    <row r="167" spans="1:5" s="118" customFormat="1" x14ac:dyDescent="0.25">
      <c r="A167" t="s">
        <v>396</v>
      </c>
      <c r="B167" t="s">
        <v>397</v>
      </c>
      <c r="C167" s="417">
        <v>7.6629333129442534</v>
      </c>
      <c r="D167" s="417">
        <v>44.775610890682003</v>
      </c>
      <c r="E167" s="125">
        <v>1.3890842573934536</v>
      </c>
    </row>
    <row r="168" spans="1:5" s="118" customFormat="1" x14ac:dyDescent="0.25">
      <c r="A168" t="s">
        <v>398</v>
      </c>
      <c r="B168" t="s">
        <v>399</v>
      </c>
      <c r="C168" s="417">
        <v>4.830209372200426</v>
      </c>
      <c r="D168" s="417">
        <v>15.993517423122</v>
      </c>
      <c r="E168" s="125">
        <v>2.2810173615205871</v>
      </c>
    </row>
    <row r="169" spans="1:5" s="118" customFormat="1" x14ac:dyDescent="0.25">
      <c r="A169" t="s">
        <v>400</v>
      </c>
      <c r="B169" t="s">
        <v>401</v>
      </c>
      <c r="C169" s="417">
        <v>0.21700975961810029</v>
      </c>
      <c r="D169" s="417">
        <v>0.72081774636639995</v>
      </c>
      <c r="E169" s="125">
        <v>0.27453187414367658</v>
      </c>
    </row>
    <row r="170" spans="1:5" s="118" customFormat="1" x14ac:dyDescent="0.25">
      <c r="A170" t="s">
        <v>402</v>
      </c>
      <c r="B170" t="s">
        <v>403</v>
      </c>
      <c r="C170" s="417">
        <v>0.489420024592578</v>
      </c>
      <c r="D170" s="417">
        <v>32.499935850652001</v>
      </c>
      <c r="E170" s="125">
        <v>2.7142646495668221E-2</v>
      </c>
    </row>
    <row r="171" spans="1:5" s="118" customFormat="1" x14ac:dyDescent="0.25">
      <c r="A171" t="s">
        <v>404</v>
      </c>
      <c r="B171" t="s">
        <v>405</v>
      </c>
      <c r="C171" s="417">
        <v>50.351995093376694</v>
      </c>
      <c r="D171" s="417">
        <v>522.11549112330999</v>
      </c>
      <c r="E171" s="125">
        <v>0.80182315885609634</v>
      </c>
    </row>
    <row r="172" spans="1:5" s="118" customFormat="1" x14ac:dyDescent="0.25">
      <c r="A172" t="s">
        <v>406</v>
      </c>
      <c r="B172" t="s">
        <v>407</v>
      </c>
      <c r="C172" s="125"/>
      <c r="D172" s="125"/>
      <c r="E172" s="125"/>
    </row>
    <row r="173" spans="1:5" s="118" customFormat="1" x14ac:dyDescent="0.25">
      <c r="A173" t="s">
        <v>408</v>
      </c>
      <c r="B173" t="s">
        <v>409</v>
      </c>
      <c r="C173" s="417">
        <v>93.111859614661455</v>
      </c>
      <c r="D173" s="417">
        <v>285.38389989719002</v>
      </c>
      <c r="E173" s="125">
        <v>1.9435821700877731</v>
      </c>
    </row>
    <row r="174" spans="1:5" s="118" customFormat="1" x14ac:dyDescent="0.25">
      <c r="A174" t="s">
        <v>410</v>
      </c>
      <c r="B174" t="s">
        <v>411</v>
      </c>
      <c r="C174" s="417">
        <v>9.6330858743096854</v>
      </c>
      <c r="D174" s="417">
        <v>38.403849844142002</v>
      </c>
      <c r="E174" s="125">
        <v>0.42057067234910162</v>
      </c>
    </row>
    <row r="175" spans="1:5" s="118" customFormat="1" x14ac:dyDescent="0.25">
      <c r="A175" t="s">
        <v>412</v>
      </c>
      <c r="B175" t="s">
        <v>413</v>
      </c>
      <c r="C175" s="417">
        <v>12.273351752549781</v>
      </c>
      <c r="D175" s="417">
        <v>138.74157453583999</v>
      </c>
      <c r="E175" s="125">
        <v>0.2452854845467535</v>
      </c>
    </row>
    <row r="176" spans="1:5" s="118" customFormat="1" x14ac:dyDescent="0.25">
      <c r="A176" t="s">
        <v>414</v>
      </c>
      <c r="B176" t="s">
        <v>415</v>
      </c>
      <c r="C176" s="417">
        <v>0.84541140960197392</v>
      </c>
      <c r="D176" s="417">
        <v>3.7377177696646</v>
      </c>
      <c r="E176" s="125">
        <v>1.3504370564926391</v>
      </c>
    </row>
    <row r="177" spans="1:5" s="118" customFormat="1" x14ac:dyDescent="0.25">
      <c r="A177" t="s">
        <v>416</v>
      </c>
      <c r="B177" t="s">
        <v>417</v>
      </c>
      <c r="C177" s="417">
        <v>13.502992277371289</v>
      </c>
      <c r="D177" s="417">
        <v>49.118373633418003</v>
      </c>
      <c r="E177" s="125">
        <v>1.2833214005224611</v>
      </c>
    </row>
    <row r="178" spans="1:5" s="118" customFormat="1" x14ac:dyDescent="0.25">
      <c r="A178" t="s">
        <v>418</v>
      </c>
      <c r="B178" t="s">
        <v>419</v>
      </c>
      <c r="C178" s="417">
        <v>14.82381986485206</v>
      </c>
      <c r="D178" s="417">
        <v>43.446393813877002</v>
      </c>
      <c r="E178" s="125">
        <v>1.6763237611322765</v>
      </c>
    </row>
    <row r="179" spans="1:5" s="118" customFormat="1" x14ac:dyDescent="0.25">
      <c r="A179" t="s">
        <v>420</v>
      </c>
      <c r="B179" t="s">
        <v>421</v>
      </c>
      <c r="C179" s="417">
        <v>5.0388809125595868</v>
      </c>
      <c r="D179" s="417">
        <v>41.210582544010002</v>
      </c>
      <c r="E179" s="125">
        <v>0.21894262648893789</v>
      </c>
    </row>
    <row r="180" spans="1:5" s="118" customFormat="1" x14ac:dyDescent="0.25">
      <c r="A180" t="s">
        <v>422</v>
      </c>
      <c r="B180" t="s">
        <v>423</v>
      </c>
      <c r="C180" s="417">
        <v>1.9934951501956819</v>
      </c>
      <c r="D180" s="417">
        <v>21.438119694097999</v>
      </c>
      <c r="E180" s="125">
        <v>0.19377102169877986</v>
      </c>
    </row>
    <row r="181" spans="1:5" s="118" customFormat="1" x14ac:dyDescent="0.25">
      <c r="A181" t="s">
        <v>424</v>
      </c>
      <c r="B181" t="s">
        <v>425</v>
      </c>
      <c r="C181" s="417">
        <v>81.217527676047013</v>
      </c>
      <c r="D181" s="417">
        <v>440.78301465571002</v>
      </c>
      <c r="E181" s="125">
        <v>1.1324935922092865</v>
      </c>
    </row>
    <row r="182" spans="1:5" s="118" customFormat="1" x14ac:dyDescent="0.25">
      <c r="A182" t="s">
        <v>426</v>
      </c>
      <c r="B182" t="s">
        <v>427</v>
      </c>
      <c r="C182" s="417">
        <v>0.34628334680787631</v>
      </c>
      <c r="D182" s="417">
        <v>2.0071829501919001</v>
      </c>
      <c r="E182" s="125">
        <v>0.25150459477914128</v>
      </c>
    </row>
    <row r="183" spans="1:5" s="118" customFormat="1" x14ac:dyDescent="0.25">
      <c r="A183" t="s">
        <v>428</v>
      </c>
      <c r="B183" t="s">
        <v>429</v>
      </c>
      <c r="C183" s="417">
        <v>1.3349461053649869</v>
      </c>
      <c r="D183" s="417">
        <v>10.612911987181</v>
      </c>
      <c r="E183" s="125">
        <v>0.14516148593567496</v>
      </c>
    </row>
    <row r="184" spans="1:5" s="118" customFormat="1" x14ac:dyDescent="0.25">
      <c r="A184" t="s">
        <v>430</v>
      </c>
      <c r="B184" t="s">
        <v>431</v>
      </c>
      <c r="C184" s="417">
        <v>0.1141760738354758</v>
      </c>
      <c r="D184" s="417">
        <v>0.34210672521812002</v>
      </c>
      <c r="E184" s="125">
        <v>1.0893000480410988</v>
      </c>
    </row>
    <row r="185" spans="1:5" s="118" customFormat="1" x14ac:dyDescent="0.25">
      <c r="A185" t="s">
        <v>432</v>
      </c>
      <c r="B185" t="s">
        <v>433</v>
      </c>
      <c r="C185" s="417">
        <v>2.548503229596502</v>
      </c>
      <c r="D185" s="417">
        <v>34.187024015246998</v>
      </c>
      <c r="E185" s="125">
        <v>1.6988775687092961</v>
      </c>
    </row>
    <row r="186" spans="1:5" s="118" customFormat="1" x14ac:dyDescent="0.25">
      <c r="A186" t="s">
        <v>434</v>
      </c>
      <c r="B186" t="s">
        <v>435</v>
      </c>
      <c r="C186" s="417">
        <v>8.2824682143968626</v>
      </c>
      <c r="D186" s="417">
        <v>43.578530969543998</v>
      </c>
      <c r="E186" s="125">
        <v>0.68109031233789763</v>
      </c>
    </row>
    <row r="187" spans="1:5" s="118" customFormat="1" x14ac:dyDescent="0.25">
      <c r="A187" t="s">
        <v>436</v>
      </c>
      <c r="B187" t="s">
        <v>437</v>
      </c>
      <c r="C187" s="417">
        <v>95.92080354160332</v>
      </c>
      <c r="D187" s="417">
        <v>606.42985584790995</v>
      </c>
      <c r="E187" s="125">
        <v>1.1003962717436953</v>
      </c>
    </row>
    <row r="188" spans="1:5" s="118" customFormat="1" x14ac:dyDescent="0.25">
      <c r="A188" t="s">
        <v>438</v>
      </c>
      <c r="B188" t="s">
        <v>439</v>
      </c>
      <c r="C188" s="417">
        <v>12.185378724618079</v>
      </c>
      <c r="D188" s="417">
        <v>98.794119828660001</v>
      </c>
      <c r="E188" s="125">
        <v>1.6696478316721293</v>
      </c>
    </row>
    <row r="189" spans="1:5" s="118" customFormat="1" x14ac:dyDescent="0.25">
      <c r="A189" t="s">
        <v>440</v>
      </c>
      <c r="B189" t="s">
        <v>441</v>
      </c>
      <c r="C189" s="125"/>
      <c r="D189" s="125"/>
      <c r="E189" s="125"/>
    </row>
    <row r="190" spans="1:5" s="118" customFormat="1" x14ac:dyDescent="0.25">
      <c r="A190" t="s">
        <v>442</v>
      </c>
      <c r="B190" t="s">
        <v>443</v>
      </c>
      <c r="C190" s="417">
        <v>3.617994034151566</v>
      </c>
      <c r="D190" s="417">
        <v>53.370989410157001</v>
      </c>
      <c r="E190" s="125">
        <v>7.5404550543986287E-2</v>
      </c>
    </row>
    <row r="191" spans="1:5" s="118" customFormat="1" x14ac:dyDescent="0.25">
      <c r="A191" t="s">
        <v>444</v>
      </c>
      <c r="B191" t="s">
        <v>445</v>
      </c>
      <c r="C191" s="417">
        <v>22.57062743711105</v>
      </c>
      <c r="D191" s="417">
        <v>216.09280539526</v>
      </c>
      <c r="E191" s="125">
        <v>0.5935825656079472</v>
      </c>
    </row>
    <row r="192" spans="1:5" s="118" customFormat="1" x14ac:dyDescent="0.25">
      <c r="A192" t="s">
        <v>446</v>
      </c>
      <c r="B192" t="s">
        <v>447</v>
      </c>
      <c r="C192" s="417">
        <v>43.860911308351241</v>
      </c>
      <c r="D192" s="417">
        <v>267.82319378585998</v>
      </c>
      <c r="E192" s="125">
        <v>4.1992131290324783</v>
      </c>
    </row>
    <row r="193" spans="1:5" s="118" customFormat="1" x14ac:dyDescent="0.25">
      <c r="A193" t="s">
        <v>448</v>
      </c>
      <c r="B193" t="s">
        <v>449</v>
      </c>
      <c r="C193" s="417">
        <v>109.75048777474809</v>
      </c>
      <c r="D193" s="417">
        <v>379.31858785213001</v>
      </c>
      <c r="E193" s="125">
        <v>1.6035339916683826</v>
      </c>
    </row>
    <row r="194" spans="1:5" s="118" customFormat="1" x14ac:dyDescent="0.25">
      <c r="A194" t="s">
        <v>450</v>
      </c>
      <c r="B194" t="s">
        <v>451</v>
      </c>
      <c r="C194" s="417">
        <v>9.0665378622625585</v>
      </c>
      <c r="D194" s="417">
        <v>89.815439405641001</v>
      </c>
      <c r="E194" s="125">
        <v>0.13808942397466931</v>
      </c>
    </row>
    <row r="195" spans="1:5" s="118" customFormat="1" x14ac:dyDescent="0.25">
      <c r="A195" t="s">
        <v>452</v>
      </c>
      <c r="B195" t="s">
        <v>453</v>
      </c>
      <c r="C195" s="417">
        <v>1735.9036371632039</v>
      </c>
      <c r="D195" s="417">
        <v>5960.8043799938996</v>
      </c>
      <c r="E195" s="125">
        <v>5.0687003151487646</v>
      </c>
    </row>
    <row r="196" spans="1:5" s="118" customFormat="1" x14ac:dyDescent="0.25">
      <c r="A196" t="s">
        <v>454</v>
      </c>
      <c r="B196" t="s">
        <v>455</v>
      </c>
      <c r="C196" s="417">
        <v>4.0868158944276578</v>
      </c>
      <c r="D196" s="417">
        <v>41.634111747759</v>
      </c>
      <c r="E196" s="125">
        <v>1.2060193002552784</v>
      </c>
    </row>
    <row r="197" spans="1:5" s="118" customFormat="1" x14ac:dyDescent="0.25">
      <c r="A197" t="s">
        <v>456</v>
      </c>
      <c r="B197" t="s">
        <v>457</v>
      </c>
      <c r="C197" s="417">
        <v>16.788710012650458</v>
      </c>
      <c r="D197" s="417">
        <v>214.53138443860999</v>
      </c>
      <c r="E197" s="125">
        <v>0.47567954620964087</v>
      </c>
    </row>
    <row r="198" spans="1:5" s="118" customFormat="1" x14ac:dyDescent="0.25">
      <c r="A198" t="s">
        <v>458</v>
      </c>
      <c r="B198" t="s">
        <v>459</v>
      </c>
      <c r="C198" s="417">
        <v>0.148941723979749</v>
      </c>
      <c r="D198" s="417">
        <v>0.67021230161326995</v>
      </c>
      <c r="E198" s="125">
        <v>0.47024526722828447</v>
      </c>
    </row>
    <row r="199" spans="1:5" s="118" customFormat="1" x14ac:dyDescent="0.25">
      <c r="A199" t="s">
        <v>462</v>
      </c>
      <c r="B199" t="s">
        <v>5916</v>
      </c>
      <c r="C199" s="417">
        <v>17.908504980816488</v>
      </c>
      <c r="D199" s="417">
        <v>152.38992311311</v>
      </c>
      <c r="E199" s="125">
        <v>0.63391180983608442</v>
      </c>
    </row>
    <row r="200" spans="1:5" s="118" customFormat="1" x14ac:dyDescent="0.25">
      <c r="A200" t="s">
        <v>464</v>
      </c>
      <c r="B200" t="s">
        <v>465</v>
      </c>
      <c r="C200" s="417">
        <v>39.884378531634049</v>
      </c>
      <c r="D200" s="417">
        <v>524.13346380418</v>
      </c>
      <c r="E200" s="125">
        <v>0.39872779141454012</v>
      </c>
    </row>
    <row r="201" spans="1:5" s="118" customFormat="1" x14ac:dyDescent="0.25">
      <c r="A201" t="s">
        <v>466</v>
      </c>
      <c r="B201" t="s">
        <v>467</v>
      </c>
      <c r="C201" s="417">
        <v>2.672974321150595</v>
      </c>
      <c r="D201" s="417">
        <v>32.242871779425002</v>
      </c>
      <c r="E201" s="125">
        <v>6.8901147122338885E-2</v>
      </c>
    </row>
    <row r="202" spans="1:5" s="118" customFormat="1" x14ac:dyDescent="0.25">
      <c r="A202" t="s">
        <v>468</v>
      </c>
      <c r="B202" t="s">
        <v>469</v>
      </c>
      <c r="C202" s="417">
        <v>2.3997242322457328</v>
      </c>
      <c r="D202" s="417">
        <v>30.484449374284001</v>
      </c>
      <c r="E202" s="125">
        <v>0.11745860807917018</v>
      </c>
    </row>
    <row r="203" spans="1:5" s="118" customFormat="1" x14ac:dyDescent="0.25">
      <c r="A203" t="s">
        <v>470</v>
      </c>
      <c r="B203" t="s">
        <v>471</v>
      </c>
      <c r="C203" s="417">
        <v>1.5180453178171209</v>
      </c>
      <c r="D203" s="417">
        <v>31.019306383581998</v>
      </c>
      <c r="E203" s="125">
        <v>9.3687653688503097E-2</v>
      </c>
    </row>
    <row r="204" spans="1:5" s="118" customFormat="1" ht="12.75" x14ac:dyDescent="0.2">
      <c r="A204" s="117"/>
      <c r="B204" s="119" t="s">
        <v>59</v>
      </c>
      <c r="C204" s="122">
        <f>SUM(C10,C12,C26,C30,C34,C35,C36,C38,C40,C41,C45,C46,C49,C55,C57,C61,C63,C64,C66,C67,C71,C72,C75,C79,C80,C97,C105,C106,C107,C111,C112,C115,C118,C119,C125,C126,C128,C134,C135,C154,C160,C162,C164,C165,C170,C171,C172,C175,C183,C186, C190,C194,C202,C203)</f>
        <v>374.83884083937983</v>
      </c>
      <c r="D204" s="122">
        <f t="shared" ref="D204" si="0">SUM(D10,D12,D26,D30,D34,D35,D36,D38,D40,D41,D45,D46,D49,D55,D57,D61,D63,D64,D66,D67,D71,D72,D75,D79,D80,D97,D105,D106,D107,D111,D112,D115,D118,D119,D125,D126,D128,D134,D135,D154,D160,D162,D164,D165,D170,D171,D172,D175,D183,D186, D190,D194,D202,D203)</f>
        <v>3194.771450668884</v>
      </c>
      <c r="E204" s="122">
        <f t="shared" ref="E204" si="1">SUM(E10,E12,E26,E30,E34,E35,E36,E38,E40,E41,E45,E46,E49,E55,E57,E61,E63,E64,E66,E67,E71,E72,E75,E79,E80,E97,E105,E106,E107,E111,E112,E115,E118,E119,E125,E126,E128,E134,E135,E154,E160,E162,E164,E165,E170,E171,E172,E175,E183,E186, E190,E194,E202,E203)</f>
        <v>22.716703201404826</v>
      </c>
    </row>
    <row r="205" spans="1:5" s="118" customFormat="1" ht="12.75" x14ac:dyDescent="0.2">
      <c r="A205" s="117"/>
      <c r="B205" s="119" t="s">
        <v>48</v>
      </c>
      <c r="C205" s="122">
        <f t="shared" ref="C205:D205" si="2">SUM(C8,C15,C18,C20,C21,C27,C32,C37,C43,C52,C54,C73,C86,C87,C88,C89,C91,C94,C95,C96,C100,C101,C102,C104,C113,C114,C123,C127,C130,C138,C139,C141,C146,C149,C150,C161,C166,C174,C179,C180,C181,C182,C187,C188,C192,C197,C200,C201)</f>
        <v>2870.6923184732764</v>
      </c>
      <c r="D205" s="122">
        <f t="shared" si="2"/>
        <v>30475.187243063847</v>
      </c>
      <c r="E205" s="122">
        <f t="shared" ref="E205" si="3">SUM(E8,E15,E18,E20,E21,E27,E32,E37,E43,E52,E54,E73,E86,E87,E88,E89,E91,E94,E95,E96,E100,E101,E102,E104,E113,E114,E123,E127,E130,E138,E139,E141,E146,E149,E150,E161,E166,E174,E179,E180,E181,E182,E187,E188,E192,E197,E200,E201)</f>
        <v>57.087952281851067</v>
      </c>
    </row>
    <row r="206" spans="1:5" s="118" customFormat="1" ht="12.75" x14ac:dyDescent="0.2">
      <c r="A206" s="117"/>
      <c r="B206" s="119" t="s">
        <v>55</v>
      </c>
      <c r="C206" s="122">
        <f t="shared" ref="C206:D206" si="4">SUM(C9,C11,C17,C23,C24,C29,C33,C50,C53,C56,C65,C69,C70,C74,C76,C84,C85,C90,C92,C99,C103,C108,C109,C110,C116,C122,C124,C131,C137,C147,C148,C151,C152,C153,C159,C163,C167,C168,C173,C177,C178,C136,C191,C193)</f>
        <v>1238.4099600184506</v>
      </c>
      <c r="D206" s="122">
        <f t="shared" si="4"/>
        <v>6796.7329155525695</v>
      </c>
      <c r="E206" s="122">
        <f t="shared" ref="E206" si="5">SUM(E9,E11,E17,E23,E24,E29,E33,E50,E53,E56,E65,E69,E70,E74,E76,E84,E85,E90,E92,E99,E103,E108,E109,E110,E116,E122,E124,E131,E137,E147,E148,E151,E152,E153,E159,E163,E167,E168,E173,E177,E178,E136,E191,E193)</f>
        <v>66.867640310676421</v>
      </c>
    </row>
    <row r="207" spans="1:5" s="118" customFormat="1" ht="12.75" x14ac:dyDescent="0.2">
      <c r="A207" s="117"/>
      <c r="B207" s="119" t="s">
        <v>69</v>
      </c>
      <c r="C207" s="122">
        <f t="shared" ref="C207:D207" si="6">SUM(C13,C14,C19,C22,C25,C28,C31,C42,C44,C48,C51,C58,C59,C60,C62,C77,C78,C81,C82,C83,C93,C120,C133,C142,C144,C145,C155,C156,C157,C176,C185,C196,C199)</f>
        <v>615.06844089277615</v>
      </c>
      <c r="D207" s="122">
        <f t="shared" si="6"/>
        <v>3481.4077470132343</v>
      </c>
      <c r="E207" s="122">
        <f t="shared" ref="E207" si="7">SUM(E13,E14,E19,E22,E25,E28,E31,E42,E44,E48,E51,E58,E59,E60,E62,E77,E78,E81,E82,E83,E93,E120,E133,E142,E144,E145,E155,E156,E157,E176,E185,E196,E199)</f>
        <v>28.894944326910217</v>
      </c>
    </row>
    <row r="208" spans="1:5" s="118" customFormat="1" ht="12.75" x14ac:dyDescent="0.2">
      <c r="A208" s="117"/>
      <c r="B208" s="119" t="s">
        <v>5917</v>
      </c>
      <c r="C208" s="122">
        <f t="shared" ref="C208:D208" si="8">SUM(C39,C195)</f>
        <v>1904.9248070898109</v>
      </c>
      <c r="D208" s="122">
        <f t="shared" si="8"/>
        <v>6708.4824068029193</v>
      </c>
      <c r="E208" s="122">
        <f t="shared" ref="E208" si="9">SUM(E39,E195)</f>
        <v>9.3959496730642904</v>
      </c>
    </row>
    <row r="209" spans="1:6" s="118" customFormat="1" ht="12.75" x14ac:dyDescent="0.2">
      <c r="A209" s="117"/>
      <c r="B209" s="119" t="s">
        <v>79</v>
      </c>
      <c r="C209" s="122">
        <f t="shared" ref="C209:D209" si="10">SUM(C16,C47,C68,C98,C117,C121,C129,C132,C140,C143,C158,C169,C184,C189,C198)</f>
        <v>119.10468254512142</v>
      </c>
      <c r="D209" s="122">
        <f t="shared" si="10"/>
        <v>673.2570786894496</v>
      </c>
      <c r="E209" s="122">
        <f t="shared" ref="E209" si="11">SUM(E16,E47,E68,E98,E117,E121,E129,E132,E140,E143,E158,E169,E184,E189,E198)</f>
        <v>59.995465175596074</v>
      </c>
    </row>
    <row r="210" spans="1:6" s="118" customFormat="1" ht="12.75" x14ac:dyDescent="0.2">
      <c r="A210" s="117"/>
      <c r="B210" s="119" t="s">
        <v>5918</v>
      </c>
      <c r="C210" s="122">
        <f t="shared" ref="C210:D210" si="12">SUM(C16,C17,C24,C39,C42,C44,C48,C53,C56,C65,C69,C70,C74,C76,C84,C85,C90,C91,C92,C94,C103,C110,C120,C131,C132,C137,C147,C148,C150,C167,C168,C173,C177,C178,C187,C193,C195)</f>
        <v>3505.6139888078628</v>
      </c>
      <c r="D210" s="122">
        <f t="shared" si="12"/>
        <v>14307.567362417234</v>
      </c>
      <c r="E210" s="122">
        <f t="shared" ref="E210" si="13">SUM(E16,E17,E24,E39,E42,E44,E48,E53,E56,E65,E69,E70,E74,E76,E84,E85,E90,E91,E92,E94,E103,E110,E120,E131,E132,E137,E147,E148,E150,E167,E168,E173,E177,E178,E187,E193,E195)</f>
        <v>77.355273971518145</v>
      </c>
    </row>
    <row r="211" spans="1:6" s="118" customFormat="1" ht="12.75" x14ac:dyDescent="0.2">
      <c r="A211" s="117"/>
      <c r="B211" s="119" t="s">
        <v>5919</v>
      </c>
      <c r="C211" s="122">
        <f t="shared" ref="C211:D211" si="14">SUM(C8,C9,C10,C11,C12,C13,C14,C15,C18,C19,C20,C21,C22,C23,C25,C26,C27,C28,C29,C30,C31,C32,C33,C34,C35,C36,C37,C38,C40,C41,C43,C45,C46,C47,C49,C50,C51,C52,C54,C55,C57,C58,C59,C60,C61,C62,C63,C64,C66,C67,C68,C71,C72,C73,C75,C77,C78,C79,C80,C81,C82,C83,C86,C87,C88,C89,C93,C95,C96,C97,C98,C99,C100,C101,C102,C104,C105,C106,C107,C108,C109,C111,C112,C113,C114,C115,C116,C117,C118,C119,C121,C122,C123,C124,C125,C126,C127,C128,C129,C130,C133,C134,C135,C138,C139,C140,C141,C142,C143,C144,C145,C146,C149,C151,C152,C153,C154,C155,C156,C157,C158,C159,C160,C161,C162,C163,C164,C165,C166,C169,C170,C171,C172,C174,C175,C176,C179,C180,C181,C136,C182,C183,C184,C185,C186,C188,C189,C190,C191,C192,C194,C196,C197,C198,C199,C200,C201,C202,C203)</f>
        <v>3617.4250610509544</v>
      </c>
      <c r="D211" s="122">
        <f t="shared" si="14"/>
        <v>37022.271479373674</v>
      </c>
      <c r="E211" s="122">
        <f t="shared" ref="E211" si="15">SUM(E8,E9,E10,E11,E12,E13,E14,E15,E18,E19,E20,E21,E22,E23,E25,E26,E27,E28,E29,E30,E31,E32,E33,E34,E35,E36,E37,E38,E40,E41,E43,E45,E46,E47,E49,E50,E51,E52,E54,E55,E57,E58,E59,E60,E61,E62,E63,E64,E66,E67,E68,E71,E72,E73,E75,E77,E78,E79,E80,E81,E82,E83,E86,E87,E88,E89,E93,E95,E96,E97,E98,E99,E100,E101,E102,E104,E105,E106,E107,E108,E109,E111,E112,E113,E114,E115,E116,E117,E118,E119,E121,E122,E123,E124,E125,E126,E127,E128,E129,E130,E133,E134,E135,E138,E139,E140,E141,E142,E143,E144,E145,E146,E149,E151,E152,E153,E154,E155,E156,E157,E158,E159,E160,E161,E162,E163,E164,E165,E166,E169,E170,E171,E172,E174,E175,E176,E179,E180,E181,E136,E182,E183,E184,E185,E186,E188,E189,E190,E191,E192,E194,E196,E197,E198,E199,E200,E201,E202,E203)</f>
        <v>167.60338099798486</v>
      </c>
    </row>
    <row r="212" spans="1:6" s="118" customFormat="1" ht="12.75" x14ac:dyDescent="0.2">
      <c r="A212" s="117"/>
      <c r="B212" s="119" t="s">
        <v>5920</v>
      </c>
      <c r="C212" s="122">
        <f t="shared" ref="C212:D212" si="16">SUM(C8,C34,C35,C40,C41,C54,C55,C64,C67,C72,C79,C80,C106,C111,C112,C115,C126,C134,C154,C170,C172,C179,C183,C190,C201)</f>
        <v>49.407667163562131</v>
      </c>
      <c r="D212" s="122">
        <f t="shared" si="16"/>
        <v>891.63589368393764</v>
      </c>
      <c r="E212" s="122">
        <f t="shared" ref="E212" si="17">SUM(E8,E34,E35,E40,E41,E54,E55,E64,E67,E72,E79,E80,E106,E111,E112,E115,E126,E134,E154,E170,E172,E179,E183,E190,E201)</f>
        <v>2.12293184584298</v>
      </c>
    </row>
    <row r="213" spans="1:6" s="118" customFormat="1" ht="12.75" x14ac:dyDescent="0.2">
      <c r="A213" s="117"/>
      <c r="B213" s="119" t="s">
        <v>5921</v>
      </c>
      <c r="C213" s="122">
        <f t="shared" ref="C213:D213" si="18">SUM(C9,C10,C12,C14,C15,C18,C21,C23,C25,C26,C27,C28,C29,C30,C31,C33,C36,C37,C38,C43,C44,C45,C46,C48,C49,C51,C57,C58,C59,C60,C61,C62,C63,C66,C68,C71,C73,C75,C77,C78,C81,C82,C83,C86,C87,C88,C89,C93,C95,C96,C97,C98,C99,C101,C102,C104,C105,C107,C113,C114,C117,C118,C119,C120,C121,C123,C124,C125,C127,C128,C130,C133,C135,C139,C141,C142,C143,C144,C145,C146,C151,C152,C153,C156,C157,C158,C160,C162,C163,C169,C171,C174,C176,C180,C181,C136,C182,C184,C186,C187,C188,C189,C191,C194,C197,C198,C199,C200,C202,C203)</f>
        <v>3556.078115414271</v>
      </c>
      <c r="D213" s="122">
        <f t="shared" si="18"/>
        <v>35730.543601203637</v>
      </c>
      <c r="E213" s="122">
        <f t="shared" ref="E213" si="19">SUM(E9,E10,E12,E14,E15,E18,E21,E23,E25,E26,E27,E28,E29,E30,E31,E33,E36,E37,E38,E43,E44,E45,E46,E48,E49,E51,E57,E58,E59,E60,E61,E62,E63,E66,E68,E71,E73,E75,E77,E78,E81,E82,E83,E86,E87,E88,E89,E93,E95,E96,E97,E98,E99,E101,E102,E104,E105,E107,E113,E114,E117,E118,E119,E120,E121,E123,E124,E125,E127,E128,E130,E133,E135,E139,E141,E142,E143,E144,E145,E146,E151,E152,E153,E156,E157,E158,E160,E162,E163,E169,E171,E174,E176,E180,E181,E136,E182,E184,E186,E187,E188,E189,E191,E194,E197,E198,E199,E200,E202,E203)</f>
        <v>75.265565690594869</v>
      </c>
    </row>
    <row r="214" spans="1:6" s="118" customFormat="1" ht="12.75" x14ac:dyDescent="0.2">
      <c r="A214" s="117"/>
      <c r="B214" s="119" t="s">
        <v>5922</v>
      </c>
      <c r="C214" s="123">
        <f t="shared" ref="C214:D214" si="20">SUM(C11,C13,C16,C17,C19,C20,C22,C24,C32,C39,C42,C50,C52,C53,C56,C65,C69,C70,C74,C76,C84,C85,C90,C91,C92,C94,C100,C103,C108,C109,C110,C116,C122,C129,C131,C132,C137,C138,C140,C147,C148,C149,C150,C155,C159,C161,C164,C166,C167,C168,C173,C177,C178,C185,C192,C193,C195,C196)</f>
        <v>3504.6687595574285</v>
      </c>
      <c r="D214" s="123">
        <f t="shared" si="20"/>
        <v>14561.825738133119</v>
      </c>
      <c r="E214" s="123">
        <f t="shared" ref="E214" si="21">SUM(E11,E13,E16,E17,E19,E20,E22,E24,E32,E39,E42,E50,E52,E53,E56,E65,E69,E70,E74,E76,E84,E85,E90,E91,E92,E94,E100,E103,E108,E109,E110,E116,E122,E129,E131,E132,E137,E138,E140,E147,E148,E149,E150,E155,E159,E161,E164,E166,E167,E168,E173,E177,E178,E185,E192,E193,E195,E196)</f>
        <v>162.15824689913788</v>
      </c>
    </row>
    <row r="215" spans="1:6" s="118" customFormat="1" ht="12.75" x14ac:dyDescent="0.2">
      <c r="A215" s="117"/>
      <c r="B215" s="119" t="s">
        <v>5923</v>
      </c>
      <c r="C215" s="123">
        <f t="shared" ref="C215:D215" si="22">SUM(C10,C12,C21,C25,C26,C27,C28,C36,C37,C38,C45,C46,C49,C57,C61,C62,C66,C75,C82,C83,C86,C87,C88,C97,C98,C101,C102,C105,C118,C121,C123,C125,C127,C130,C133,C135,C139,C141,C143,C146,C158,C160,C162,C169,C174,C180,C182,C186,C191,C194,C197,C198,C199,C200,C202,C203)</f>
        <v>1156.8627542580448</v>
      </c>
      <c r="D215" s="123">
        <f t="shared" si="22"/>
        <v>10749.926623859088</v>
      </c>
      <c r="E215" s="123">
        <f t="shared" ref="E215" si="23">SUM(E10,E12,E21,E25,E26,E27,E28,E36,E37,E38,E45,E46,E49,E57,E61,E62,E66,E75,E82,E83,E86,E87,E88,E97,E98,E101,E102,E105,E118,E121,E123,E125,E127,E130,E133,E135,E139,E141,E143,E146,E158,E160,E162,E169,E174,E180,E182,E186,E191,E194,E197,E198,E199,E200,E202,E203)</f>
        <v>22.853895832829494</v>
      </c>
    </row>
    <row r="216" spans="1:6" s="118" customFormat="1" ht="12.75" x14ac:dyDescent="0.2">
      <c r="A216" s="117"/>
      <c r="B216" s="119" t="s">
        <v>5924</v>
      </c>
      <c r="C216" s="123">
        <f t="shared" ref="C216:D216" si="24">SUM(C9,C14,C15,C18,C23,C29,C30,C31,C33,C43,C44,C48,C51,C58,C59,C60,C63,C68,C71,C73,C77,C78,C81,C89,C93,C95,C96,C99,C104,C107,C113,C114,C117,C119,C120,C124,C128,C136,C142,C144,C145,C151,C152,C153,C156,C157,C163,C171,C176,C181,C184,C187,C188,C189)</f>
        <v>2399.2153611562267</v>
      </c>
      <c r="D216" s="123">
        <f t="shared" si="24"/>
        <v>24980.616977344551</v>
      </c>
      <c r="E216" s="123">
        <f t="shared" ref="E216" si="25">SUM(E9,E14,E15,E18,E23,E29,E30,E31,E33,E43,E44,E48,E51,E58,E59,E60,E63,E68,E71,E73,E77,E78,E81,E89,E93,E95,E96,E99,E104,E107,E113,E114,E117,E119,E120,E124,E128,E136,E142,E144,E145,E151,E152,E153,E156,E157,E163,E171,E176,E181,E184,E187,E188,E189)</f>
        <v>52.411669857765396</v>
      </c>
    </row>
    <row r="217" spans="1:6" s="118" customFormat="1" ht="12.75" x14ac:dyDescent="0.2">
      <c r="A217" s="117"/>
      <c r="B217" s="119" t="s">
        <v>5925</v>
      </c>
      <c r="C217" s="123">
        <f t="shared" ref="C217:D217" si="26">SUM(C8,C12,C21,C26,C27,C34,C35,C37,C40,C41,C45,C55,C57,C64,C67,C72,C79,C80,C82,C98,C102,C105,C106,C111,C112,C115,C118,C126,C127,C130,C134,C154,C160,C162,C165,C170,C172,C175,C182,C183,C189,C190,C194,C198,C201,C202,C207)</f>
        <v>734.45056159317903</v>
      </c>
      <c r="D217" s="123">
        <f t="shared" si="26"/>
        <v>5207.0557634741363</v>
      </c>
      <c r="E217" s="123">
        <f t="shared" ref="E217" si="27">SUM(E8,E12,E21,E26,E27,E34,E35,E37,E40,E41,E45,E55,E57,E64,E67,E72,E79,E80,E82,E98,E102,E105,E106,E111,E112,E115,E118,E126,E127,E130,E134,E154,E160,E162,E165,E170,E172,E175,E182,E183,E189,E190,E194,E198,E201,E202,E207)</f>
        <v>36.642307258734981</v>
      </c>
    </row>
    <row r="218" spans="1:6" s="118" customFormat="1" ht="12.75" x14ac:dyDescent="0.2">
      <c r="A218" s="117"/>
      <c r="B218" s="119" t="s">
        <v>5926</v>
      </c>
      <c r="C218" s="123">
        <f t="shared" ref="C218:D218" si="28">SUM(C14,C16,C31,C39,C43,C70,C74,C86,C87,C92,C94,C120,C150,C153,C161,C171,C187,C193,C195)</f>
        <v>5343.6647924424597</v>
      </c>
      <c r="D218" s="123">
        <f t="shared" si="28"/>
        <v>39057.393621259835</v>
      </c>
      <c r="E218" s="123">
        <f t="shared" ref="E218" si="29">SUM(E14,E16,E31,E39,E43,E70,E74,E86,E87,E92,E94,E120,E150,E153,E161,E171,E187,E193,E195)</f>
        <v>36.448417285457964</v>
      </c>
    </row>
    <row r="219" spans="1:6" s="118" customFormat="1" ht="12.75" x14ac:dyDescent="0.2">
      <c r="A219" s="117"/>
      <c r="B219" s="119" t="s">
        <v>5927</v>
      </c>
      <c r="C219" s="122">
        <f t="shared" ref="C219:D219" si="30">SUM(C8:C203)</f>
        <v>7123.039049858814</v>
      </c>
      <c r="D219" s="122">
        <f t="shared" si="30"/>
        <v>51329.838841790915</v>
      </c>
      <c r="E219" s="122">
        <f t="shared" ref="E219" si="31">SUM(E8:E203)</f>
        <v>244.9586549695029</v>
      </c>
    </row>
    <row r="220" spans="1:6" s="118" customFormat="1" ht="12.75" x14ac:dyDescent="0.2">
      <c r="A220" s="117"/>
      <c r="B220" s="118" t="s">
        <v>190</v>
      </c>
      <c r="C220" s="121" t="e">
        <f>SUMIF(#REF!,"EU27",C8:C219)</f>
        <v>#REF!</v>
      </c>
      <c r="D220" s="121" t="e">
        <f>SUMIF(#REF!,"EU27",D8:D219)</f>
        <v>#REF!</v>
      </c>
      <c r="E220" s="121" t="e">
        <f>SUMIF(#REF!,"EU27",E8:E219)</f>
        <v>#REF!</v>
      </c>
    </row>
    <row r="221" spans="1:6" s="118" customFormat="1" ht="12.75" x14ac:dyDescent="0.2">
      <c r="A221" s="120" t="s">
        <v>5928</v>
      </c>
      <c r="C221" s="121"/>
      <c r="D221" s="121"/>
      <c r="E221" s="121"/>
      <c r="F221" s="121"/>
    </row>
  </sheetData>
  <phoneticPr fontId="14"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I s S a n d b o x E m b e d d e d " > < C u s t o m C o n t e n t > < ! [ C D A T A [ y e s ] ] > < / 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 C o l u m n s \ Q u o t e < / K e y > < / a : K e y > < a : V a l u e   i : t y p e = " T a b l e W i d g e t B a s e V i e w S t a t e " / > < / a : K e y V a l u e O f D i a g r a m O b j e c t K e y a n y T y p e z b w N T n L X > < a : K e y V a l u e O f D i a g r a m O b j e c t K e y a n y T y p e z b w N T n L X > < a : K e y > < K e y > C o l u m n s \ A - S - I < / 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 C o l u m n s \ N o t   d e f i n e d < / K e y > < / a : K e y > < a : V a l u e   i : t y p e = " T a b l e W i d g e t B a s e V i e w S t a t e " / > < / a : K e y V a l u e O f D i a g r a m O b j e c t K e y a n y T y p e z b w N T n L X > < a : K e y V a l u e O f D i a g r a m O b j e c t K e y a n y T y p e z b w N T n L X > < a : K e y > < K e y > C o l u m n s \ A c t i v e   m o b i l i t y < / K e y > < / a : K e y > < a : V a l u e   i : t y p e = " T a b l e W i d g e t B a s e V i e w S t a t e " / > < / a : K e y V a l u e O f D i a g r a m O b j e c t K e y a n y T y p e z b w N T n L X > < a : K e y V a l u e O f D i a g r a m O b j e c t K e y a n y T y p e z b w N T n L X > < a : K e y > < K e y > C o l u m n s \ W a l k i n g < / K e y > < / a : K e y > < a : V a l u e   i : t y p e = " T a b l e W i d g e t B a s e V i e w S t a t e " / > < / a : K e y V a l u e O f D i a g r a m O b j e c t K e y a n y T y p e z b w N T n L X > < a : K e y V a l u e O f D i a g r a m O b j e c t K e y a n y T y p e z b w N T n L X > < a : K e y > < K e y > C o l u m n s \ C y c l i n g < / K e y > < / a : K e y > < a : V a l u e   i : t y p e = " T a b l e W i d g e t B a s e V i e w S t a t e " / > < / a : K e y V a l u e O f D i a g r a m O b j e c t K e y a n y T y p e z b w N T n L X > < a : K e y V a l u e O f D i a g r a m O b j e c t K e y a n y T y p e z b w N T n L X > < a : K e y > < K e y > C o l u m n s \ R o a d < / K e y > < / a : K e y > < a : V a l u e   i : t y p e = " T a b l e W i d g e t B a s e V i e w S t a t e " / > < / a : K e y V a l u e O f D i a g r a m O b j e c t K e y a n y T y p e z b w N T n L X > < a : K e y V a l u e O f D i a g r a m O b j e c t K e y a n y T y p e z b w N T n L X > < a : K e y > < K e y > C o l u m n s \ T w o - / T h r e e - w h e e l e r s < / K e y > < / a : K e y > < a : V a l u e   i : t y p e = " T a b l e W i d g e t B a s e V i e w S t a t e " / > < / a : K e y V a l u e O f D i a g r a m O b j e c t K e y a n y T y p e z b w N T n L X > < a : K e y V a l u e O f D i a g r a m O b j e c t K e y a n y T y p e z b w N T n L X > < a : K e y > < K e y > C o l u m n s \ C a r s < / K e y > < / a : K e y > < a : V a l u e   i : t y p e = " T a b l e W i d g e t B a s e V i e w S t a t e " / > < / a : K e y V a l u e O f D i a g r a m O b j e c t K e y a n y T y p e z b w N T n L X > < a : K e y V a l u e O f D i a g r a m O b j e c t K e y a n y T y p e z b w N T n L X > < a : K e y > < K e y > C o l u m n s \ P r i v a t e   c a r s < / K e y > < / a : K e y > < a : V a l u e   i : t y p e = " T a b l e W i d g e t B a s e V i e w S t a t e " / > < / a : K e y V a l u e O f D i a g r a m O b j e c t K e y a n y T y p e z b w N T n L X > < a : K e y V a l u e O f D i a g r a m O b j e c t K e y a n y T y p e z b w N T n L X > < a : K e y > < K e y > C o l u m n s \ T a x i s < / K e y > < / a : K e y > < a : V a l u e   i : t y p e = " T a b l e W i d g e t B a s e V i e w S t a t e " / > < / a : K e y V a l u e O f D i a g r a m O b j e c t K e y a n y T y p e z b w N T n L X > < a : K e y V a l u e O f D i a g r a m O b j e c t K e y a n y T y p e z b w N T n L X > < a : K e y > < K e y > C o l u m n s \ T r u c k < / K e y > < / a : K e y > < a : V a l u e   i : t y p e = " T a b l e W i d g e t B a s e V i e w S t a t e " / > < / a : K e y V a l u e O f D i a g r a m O b j e c t K e y a n y T y p e z b w N T n L X > < a : K e y V a l u e O f D i a g r a m O b j e c t K e y a n y T y p e z b w N T n L X > < a : K e y > < K e y > C o l u m n s \ B u s < / K e y > < / a : K e y > < a : V a l u e   i : t y p e = " T a b l e W i d g e t B a s e V i e w S t a t e " / > < / a : K e y V a l u e O f D i a g r a m O b j e c t K e y a n y T y p e z b w N T n L X > < a : K e y V a l u e O f D i a g r a m O b j e c t K e y a n y T y p e z b w N T n L X > < a : K e y > < K e y > C o l u m n s \ R a i l < / K e y > < / a : K e y > < a : V a l u e   i : t y p e = " T a b l e W i d g e t B a s e V i e w S t a t e " / > < / a : K e y V a l u e O f D i a g r a m O b j e c t K e y a n y T y p e z b w N T n L X > < a : K e y V a l u e O f D i a g r a m O b j e c t K e y a n y T y p e z b w N T n L X > < a : K e y > < K e y > C o l u m n s \ H e a v y   r a i l < / K e y > < / a : K e y > < a : V a l u e   i : t y p e = " T a b l e W i d g e t B a s e V i e w S t a t e " / > < / a : K e y V a l u e O f D i a g r a m O b j e c t K e y a n y T y p e z b w N T n L X > < a : K e y V a l u e O f D i a g r a m O b j e c t K e y a n y T y p e z b w N T n L X > < a : K e y > < K e y > C o l u m n s \ H i g h - s p e e d   r a i l < / K e y > < / a : K e y > < a : V a l u e   i : t y p e = " T a b l e W i d g e t B a s e V i e w S t a t e " / > < / a : K e y V a l u e O f D i a g r a m O b j e c t K e y a n y T y p e z b w N T n L X > < a : K e y V a l u e O f D i a g r a m O b j e c t K e y a n y T y p e z b w N T n L X > < a : K e y > < K e y > C o l u m n s \ T r a n s i t   r a i l < / K e y > < / a : K e y > < a : V a l u e   i : t y p e = " T a b l e W i d g e t B a s e V i e w S t a t e " / > < / a : K e y V a l u e O f D i a g r a m O b j e c t K e y a n y T y p e z b w N T n L X > < a : K e y V a l u e O f D i a g r a m O b j e c t K e y a n y T y p e z b w N T n L X > < a : K e y > < K e y > C o l u m n s \ W a t e r < / K e y > < / a : K e y > < a : V a l u e   i : t y p e = " T a b l e W i d g e t B a s e V i e w S t a t e " / > < / a : K e y V a l u e O f D i a g r a m O b j e c t K e y a n y T y p e z b w N T n L X > < a : K e y V a l u e O f D i a g r a m O b j e c t K e y a n y T y p e z b w N T n L X > < a : K e y > < K e y > C o l u m n s \ C o a s t a l   s h i p p i n g < / K e y > < / a : K e y > < a : V a l u e   i : t y p e = " T a b l e W i d g e t B a s e V i e w S t a t e " / > < / a : K e y V a l u e O f D i a g r a m O b j e c t K e y a n y T y p e z b w N T n L X > < a : K e y V a l u e O f D i a g r a m O b j e c t K e y a n y T y p e z b w N T n L X > < a : K e y > < K e y > C o l u m n s \ I n l a n d   s h i p p i n g < / K e y > < / a : K e y > < a : V a l u e   i : t y p e = " T a b l e W i d g e t B a s e V i e w S t a t e " / > < / a : K e y V a l u e O f D i a g r a m O b j e c t K e y a n y T y p e z b w N T n L X > < a : K e y V a l u e O f D i a g r a m O b j e c t K e y a n y T y p e z b w N T n L X > < a : K e y > < K e y > C o l u m n s \ I n t e r n a t i o n a l   m a r i t i m e < / K e y > < / a : K e y > < a : V a l u e   i : t y p e = " T a b l e W i d g e t B a s e V i e w S t a t e " / > < / a : K e y V a l u e O f D i a g r a m O b j e c t K e y a n y T y p e z b w N T n L X > < a : K e y V a l u e O f D i a g r a m O b j e c t K e y a n y T y p e z b w N T n L X > < a : K e y > < K e y > C o l u m n s \ A v i a t i o n < / K e y > < / a : K e y > < a : V a l u e   i : t y p e = " T a b l e W i d g e t B a s e V i e w S t a t e " / > < / a : K e y V a l u e O f D i a g r a m O b j e c t K e y a n y T y p e z b w N T n L X > < a : K e y V a l u e O f D i a g r a m O b j e c t K e y a n y T y p e z b w N T n L X > < a : K e y > < K e y > C o l u m n s \ N o t   d e f i n e d 2 < / K e y > < / a : K e y > < a : V a l u e   i : t y p e = " T a b l e W i d g e t B a s e V i e w S t a t e " / > < / a : K e y V a l u e O f D i a g r a m O b j e c t K e y a n y T y p e z b w N T n L X > < a : K e y V a l u e O f D i a g r a m O b j e c t K e y a n y T y p e z b w N T n L X > < a : K e y > < K e y > C o l u m n s \ U r b a n < / K e y > < / a : K e y > < a : V a l u e   i : t y p e = " T a b l e W i d g e t B a s e V i e w S t a t e " / > < / a : K e y V a l u e O f D i a g r a m O b j e c t K e y a n y T y p e z b w N T n L X > < a : K e y V a l u e O f D i a g r a m O b j e c t K e y a n y T y p e z b w N T n L X > < a : K e y > < K e y > C o l u m n s \ R u r a l < / K e y > < / a : K e y > < a : V a l u e   i : t y p e = " T a b l e W i d g e t B a s e V i e w S t a t e " / > < / a : K e y V a l u e O f D i a g r a m O b j e c t K e y a n y T y p e z b w N T n L X > < a : K e y V a l u e O f D i a g r a m O b j e c t K e y a n y T y p e z b w N T n L X > < a : K e y > < K e y > C o l u m n s \ I n t e r - c i t y < / 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 C o l u m n s \ H i g h - l e v e l   c a t e g o r y < / 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 C o d e s < / 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 C o l u m n s \ I n c o m e   L e v e l   G r o u p < / 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 C o l u m n s \ E U 2 7 < / K e y > < / a : K e y > < a : V a l u e   i : t y p e = " T a b l e W i d g e t B a s e V i e w S t a t e " / > < / a : K e y V a l u e O f D i a g r a m O b j e c t K e y a n y T y p e z b w N T n L X > < a : K e y V a l u e O f D i a g r a m O b j e c t K e y a n y T y p e z b w N T n L X > < a : K e y > < K e y > C o l u m n s \ D e c l a r a t i o n   o n   a c c e l e r a t i n g   t h e   t r a n s i t i o n   t o   1 0 0 %   z e r o   e m i s s i o n   c a r s   a n d   v a n s < / K e y > < / a : K e y > < a : V a l u e   i : t y p e = " T a b l e W i d g e t B a s e V i e w S t a t e " / > < / a : K e y V a l u e O f D i a g r a m O b j e c t K e y a n y T y p e z b w N T n L X > < a : K e y V a l u e O f D i a g r a m O b j e c t K e y a n y T y p e z b w N T n L X > < a : K e y > < K e y > C o l u m n s \ B r e a k t h r o u g h   a g e n d a   -   r o a d   t r a n s p o r t < / K e y > < / a : K e y > < a : V a l u e   i : t y p e = " T a b l e W i d g e t B a s e V i e w S t a t e " / > < / a : K e y V a l u e O f D i a g r a m O b j e c t K e y a n y T y p e z b w N T n L X > < a : K e y V a l u e O f D i a g r a m O b j e c t K e y a n y T y p e z b w N T n L X > < a : K e y > < K e y > C o l u m n s \ I n t e r n a t i o n a l   a v i a t i o n   c l i m a t e   a m b i t i o n   c o a l i t i o n < / K e y > < / a : K e y > < a : V a l u e   i : t y p e = " T a b l e W i d g e t B a s e V i e w S t a t e " / > < / a : K e y V a l u e O f D i a g r a m O b j e c t K e y a n y T y p e z b w N T n L X > < a : K e y V a l u e O f D i a g r a m O b j e c t K e y a n y T y p e z b w N T n L X > < a : K e y > < K e y > C o l u m n s \ C l y d e b a n k   d e c l a r a t i o n   f o r   g r e e n   s h i p p i n g   c o r r i d o r s < / K e y > < / a : K e y > < a : V a l u e   i : t y p e = " T a b l e W i d g e t B a s e V i e w S t a t e " / > < / a : K e y V a l u e O f D i a g r a m O b j e c t K e y a n y T y p e z b w N T n L X > < a : K e y V a l u e O f D i a g r a m O b j e c t K e y a n y T y p e z b w N T n L X > < a : K e y > < K e y > C o l u m n s \ M e m o r a n d u m   o f   u n d e r s t a n d i n g   o n   z e r o - e m i s s i o n   m e d i u m -   a n d   h e a v y - d u t y   v e h i c l e s < / K e y > < / a : K e y > < a : V a l u e   i : t y p e = " T a b l e W i d g e t B a s e V i e w S t a t e " / > < / a : K e y V a l u e O f D i a g r a m O b j e c t K e y a n y T y p e z b w N T n L X > < a : K e y V a l u e O f D i a g r a m O b j e c t K e y a n y T y p e z b w N T n L X > < a : K e y > < K e y > C o l u m n s \ B e y o n d   o i l   a n d   g a s   a l l i a n c e < / K e y > < / a : K e y > < a : V a l u e   i : t y p e = " T a b l e W i d g e t B a s e V i e w S t a t e " / > < / a : K e y V a l u e O f D i a g r a m O b j e c t K e y a n y T y p e z b w N T n L X > < a : K e y V a l u e O f D i a g r a m O b j e c t K e y a n y T y p e z b w N T n L X > < a : K e y > < K e y > C o l u m n s \ C h a r g e   f o r w a r d   t o   z e r o   e m i s s i o n s   t r a n s p o r t a t i o n 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 C o l u m n s \ B a c k e n d   s t a t u s < / 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 C o l u m n s \ V e r s i o n   n u m b e r < / K e y > < / a : K e y > < a : V a l u e   i : t y p e = " T a b l e W i d g e t B a s e V i e w S t a t e " / > < / a : K e y V a l u e O f D i a g r a m O b j e c t K e y a n y T y p e z b w N T n L X > < a : K e y V a l u e O f D i a g r a m O b j e c t K e y a n y T y p e z b w N T n L X > < a : K e y > < K e y > C o l u m n s \ C o m m e n t 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 C o l u m n s \ T a r g e t   t y p e < / K e y > < / a : K e y > < a : V a l u e   i : t y p e = " T a b l e W i d g e t B a s e V i e w S t a t e " / > < / a : K e y V a l u e O f D i a g r a m O b j e c t K e y a n y T y p e z b w N T n L X > < a : K e y V a l u e O f D i a g r a m O b j e c t K e y a n y T y p e z b w N T n L X > < a : K e y > < K e y > C o l u m n s \ T a r g e t   Y e a r 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 C o l u m n s \ R e n e w a b l e   e n e r g y   t a r g e t < / K e y > < / a : K e y > < a : V a l u e   i : t y p e = " T a b l e W i d g e t B a s e V i e w S t a t e " / > < / a : K e y V a l u e O f D i a g r a m O b j e c t K e y a n y T y p e z b w N T n L X > < a : K e y V a l u e O f D i a g r a m O b j e c t K e y a n y T y p e z b w N T n L X > < a : K e y > < K e y > C o l u m n s \ T a r g e t   s c o p e < / K e y > < / a : K e y > < a : V a l u e   i : t y p e = " T a b l e W i d g e t B a s e V i e w S t a t e " / > < / a : K e y V a l u e O f D i a g r a m O b j e c t K e y a n y T y p e z b w N T n L X > < a : K e y V a l u e O f D i a g r a m O b j e c t K e y a n y T y p e z b w N T n L X > < a : K e y > < K e y > C o l u m n s \ T r a n s p o r t   t a r g e t   t y p e < / K e y > < / a : K e y > < a : V a l u e   i : t y p e = " T a b l e W i d g e t B a s e V i e w S t a t e " / > < / a : K e y V a l u e O f D i a g r a m O b j e c t K e y a n y T y p e z b w N T n L X > < a : K e y V a l u e O f D i a g r a m O b j e c t K e y a n y T y p e z b w N T n L X > < a : K e y > < K e y > C o l u m n s \ C o u n t r y   h a s   l o n g - t e r m   t a r g e t < / K e y > < / a : K e y > < a : V a l u e   i : t y p e = " T a b l e W i d g e t B a s e V i e w S t a t e " / > < / a : K e y V a l u e O f D i a g r a m O b j e c t K e y a n y T y p e z b w N T n L X > < a : K e y V a l u e O f D i a g r a m O b j e c t K e y a n y T y p e z b w N T n L X > < a : K e y > < K e y > C o l u m n s \ C o u n t r y   h a s   a   n e t - z e r o   t a r g e t 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 C o l u m n s \ G H G   t o t a l < / K e y > < / a : K e y > < a : V a l u e   i : t y p e = " T a b l e W i d g e t B a s e V i e w S t a t e " / > < / a : K e y V a l u e O f D i a g r a m O b j e c t K e y a n y T y p e z b w N T n L X > < a : K e y V a l u e O f D i a g r a m O b j e c t K e y a n y T y p e z b w N T n L X > < a : K e y > < K e y > C o l u m n s \ G H G   t r a n s p o r t 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 C o l u m n s \ N o t   d e f i n e d < / K e y > < / a : K e y > < a : V a l u e   i : t y p e = " T a b l e W i d g e t B a s e V i e w S t a t e " / > < / a : K e y V a l u e O f D i a g r a m O b j e c t K e y a n y T y p e z b w N T n L X > < a : K e y V a l u e O f D i a g r a m O b j e c t K e y a n y T y p e z b w N T n L X > < a : K e y > < K e y > C o l u m n s \ A c t i v e   m o b i l i t y < / K e y > < / a : K e y > < a : V a l u e   i : t y p e = " T a b l e W i d g e t B a s e V i e w S t a t e " / > < / a : K e y V a l u e O f D i a g r a m O b j e c t K e y a n y T y p e z b w N T n L X > < a : K e y V a l u e O f D i a g r a m O b j e c t K e y a n y T y p e z b w N T n L X > < a : K e y > < K e y > C o l u m n s \ W a l k i n g < / K e y > < / a : K e y > < a : V a l u e   i : t y p e = " T a b l e W i d g e t B a s e V i e w S t a t e " / > < / a : K e y V a l u e O f D i a g r a m O b j e c t K e y a n y T y p e z b w N T n L X > < a : K e y V a l u e O f D i a g r a m O b j e c t K e y a n y T y p e z b w N T n L X > < a : K e y > < K e y > C o l u m n s \ C y c l i n g < / K e y > < / a : K e y > < a : V a l u e   i : t y p e = " T a b l e W i d g e t B a s e V i e w S t a t e " / > < / a : K e y V a l u e O f D i a g r a m O b j e c t K e y a n y T y p e z b w N T n L X > < a : K e y V a l u e O f D i a g r a m O b j e c t K e y a n y T y p e z b w N T n L X > < a : K e y > < K e y > C o l u m n s \ R o a d < / K e y > < / a : K e y > < a : V a l u e   i : t y p e = " T a b l e W i d g e t B a s e V i e w S t a t e " / > < / a : K e y V a l u e O f D i a g r a m O b j e c t K e y a n y T y p e z b w N T n L X > < a : K e y V a l u e O f D i a g r a m O b j e c t K e y a n y T y p e z b w N T n L X > < a : K e y > < K e y > C o l u m n s \ T w o / t h r e e - w h e e l e r s < / K e y > < / a : K e y > < a : V a l u e   i : t y p e = " T a b l e W i d g e t B a s e V i e w S t a t e " / > < / a : K e y V a l u e O f D i a g r a m O b j e c t K e y a n y T y p e z b w N T n L X > < a : K e y V a l u e O f D i a g r a m O b j e c t K e y a n y T y p e z b w N T n L X > < a : K e y > < K e y > C o l u m n s \ C a r s < / K e y > < / a : K e y > < a : V a l u e   i : t y p e = " T a b l e W i d g e t B a s e V i e w S t a t e " / > < / a : K e y V a l u e O f D i a g r a m O b j e c t K e y a n y T y p e z b w N T n L X > < a : K e y V a l u e O f D i a g r a m O b j e c t K e y a n y T y p e z b w N T n L X > < a : K e y > < K e y > C o l u m n s \ P r i v a t e   c a r s < / K e y > < / a : K e y > < a : V a l u e   i : t y p e = " T a b l e W i d g e t B a s e V i e w S t a t e " / > < / a : K e y V a l u e O f D i a g r a m O b j e c t K e y a n y T y p e z b w N T n L X > < a : K e y V a l u e O f D i a g r a m O b j e c t K e y a n y T y p e z b w N T n L X > < a : K e y > < K e y > C o l u m n s \ T a x i s < / K e y > < / a : K e y > < a : V a l u e   i : t y p e = " T a b l e W i d g e t B a s e V i e w S t a t e " / > < / a : K e y V a l u e O f D i a g r a m O b j e c t K e y a n y T y p e z b w N T n L X > < a : K e y V a l u e O f D i a g r a m O b j e c t K e y a n y T y p e z b w N T n L X > < a : K e y > < K e y > C o l u m n s \ T r u c k s < / K e y > < / a : K e y > < a : V a l u e   i : t y p e = " T a b l e W i d g e t B a s e V i e w S t a t e " / > < / a : K e y V a l u e O f D i a g r a m O b j e c t K e y a n y T y p e z b w N T n L X > < a : K e y V a l u e O f D i a g r a m O b j e c t K e y a n y T y p e z b w N T n L X > < a : K e y > < K e y > C o l u m n s \ B u s < / K e y > < / a : K e y > < a : V a l u e   i : t y p e = " T a b l e W i d g e t B a s e V i e w S t a t e " / > < / a : K e y V a l u e O f D i a g r a m O b j e c t K e y a n y T y p e z b w N T n L X > < a : K e y V a l u e O f D i a g r a m O b j e c t K e y a n y T y p e z b w N T n L X > < a : K e y > < K e y > C o l u m n s \ R a i l < / K e y > < / a : K e y > < a : V a l u e   i : t y p e = " T a b l e W i d g e t B a s e V i e w S t a t e " / > < / a : K e y V a l u e O f D i a g r a m O b j e c t K e y a n y T y p e z b w N T n L X > < a : K e y V a l u e O f D i a g r a m O b j e c t K e y a n y T y p e z b w N T n L X > < a : K e y > < K e y > C o l u m n s \ H e a v y   r a i l < / K e y > < / a : K e y > < a : V a l u e   i : t y p e = " T a b l e W i d g e t B a s e V i e w S t a t e " / > < / a : K e y V a l u e O f D i a g r a m O b j e c t K e y a n y T y p e z b w N T n L X > < a : K e y V a l u e O f D i a g r a m O b j e c t K e y a n y T y p e z b w N T n L X > < a : K e y > < K e y > C o l u m n s \ H i g h - s p e e d   r a i l < / K e y > < / a : K e y > < a : V a l u e   i : t y p e = " T a b l e W i d g e t B a s e V i e w S t a t e " / > < / a : K e y V a l u e O f D i a g r a m O b j e c t K e y a n y T y p e z b w N T n L X > < a : K e y V a l u e O f D i a g r a m O b j e c t K e y a n y T y p e z b w N T n L X > < a : K e y > < K e y > C o l u m n s \ T r a n s i t   r a i l < / K e y > < / a : K e y > < a : V a l u e   i : t y p e = " T a b l e W i d g e t B a s e V i e w S t a t e " / > < / a : K e y V a l u e O f D i a g r a m O b j e c t K e y a n y T y p e z b w N T n L X > < a : K e y V a l u e O f D i a g r a m O b j e c t K e y a n y T y p e z b w N T n L X > < a : K e y > < K e y > C o l u m n s \ W a t e r   t r a n s p o r t < / K e y > < / a : K e y > < a : V a l u e   i : t y p e = " T a b l e W i d g e t B a s e V i e w S t a t e " / > < / a : K e y V a l u e O f D i a g r a m O b j e c t K e y a n y T y p e z b w N T n L X > < a : K e y V a l u e O f D i a g r a m O b j e c t K e y a n y T y p e z b w N T n L X > < a : K e y > < K e y > C o l u m n s \ C o a s t a l   s h i p p i n g < / K e y > < / a : K e y > < a : V a l u e   i : t y p e = " T a b l e W i d g e t B a s e V i e w S t a t e " / > < / a : K e y V a l u e O f D i a g r a m O b j e c t K e y a n y T y p e z b w N T n L X > < a : K e y V a l u e O f D i a g r a m O b j e c t K e y a n y T y p e z b w N T n L X > < a : K e y > < K e y > C o l u m n s \ I n l a n d   s h i p p i n g < / K e y > < / a : K e y > < a : V a l u e   i : t y p e = " T a b l e W i d g e t B a s e V i e w S t a t e " / > < / a : K e y V a l u e O f D i a g r a m O b j e c t K e y a n y T y p e z b w N T n L X > < a : K e y V a l u e O f D i a g r a m O b j e c t K e y a n y T y p e z b w N T n L X > < a : K e y > < K e y > C o l u m n s \ I n t e r n a t i o n a l   m a r i t i m e < / K e y > < / a : K e y > < a : V a l u e   i : t y p e = " T a b l e W i d g e t B a s e V i e w S t a t e " / > < / a : K e y V a l u e O f D i a g r a m O b j e c t K e y a n y T y p e z b w N T n L X > < a : K e y V a l u e O f D i a g r a m O b j e c t K e y a n y T y p e z b w N T n L X > < a : K e y > < K e y > C o l u m n s \ A v i a t i o n < / K e y > < / a : K e y > < a : V a l u e   i : t y p e = " T a b l e W i d g e t B a s e V i e w S t a t e " / > < / a : K e y V a l u e O f D i a g r a m O b j e c t K e y a n y T y p e z b w N T n L X > < a : K e y V a l u e O f D i a g r a m O b j e c t K e y a n y T y p e z b w N T n L X > < a : K e y > < K e y > C o l u m n s \ N o t   d e f i n e d 2 < / K e y > < / a : K e y > < a : V a l u e   i : t y p e = " T a b l e W i d g e t B a s e V i e w S t a t e " / > < / a : K e y V a l u e O f D i a g r a m O b j e c t K e y a n y T y p e z b w N T n L X > < a : K e y V a l u e O f D i a g r a m O b j e c t K e y a n y T y p e z b w N T n L X > < a : K e y > < K e y > C o l u m n s \ U r b a n < / K e y > < / a : K e y > < a : V a l u e   i : t y p e = " T a b l e W i d g e t B a s e V i e w S t a t e " / > < / a : K e y V a l u e O f D i a g r a m O b j e c t K e y a n y T y p e z b w N T n L X > < a : K e y V a l u e O f D i a g r a m O b j e c t K e y a n y T y p e z b w N T n L X > < a : K e y > < K e y > C o l u m n s \ R u r a l < / K e y > < / a : K e y > < a : V a l u e   i : t y p e = " T a b l e W i d g e t B a s e V i e w S t a t e " / > < / a : K e y V a l u e O f D i a g r a m O b j e c t K e y a n y T y p e z b w N T n L X > < a : K e y V a l u e O f D i a g r a m O b j e c t K e y a n y T y p e z b w N T n L X > < a : K e y > < K e y > C o l u m n s \ I n t e r - c i t y < / 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 C o l u m n s \ T y p e   o f   D o c u m e n t < / K e y > < / a : K e y > < a : V a l u e   i : t y p e = " T a b l e W i d g e t B a s e V i e w S t a t e " / > < / a : K e y V a l u e O f D i a g r a m O b j e c t K e y a n y T y p e z b w N T n L X > < a : K e y V a l u e O f D i a g r a m O b j e c t K e y a n y T y p e z b w N T n L X > < a : K e y > < K e y > C o l u m n s \ P a r a m e t e r < / K e y > < / a : K e y > < a : V a l u e   i : t y p e = " T a b l e W i d g e t B a s e V i e w S t a t e " / > < / a : K e y V a l u e O f D i a g r a m O b j e c t K e y a n y T y p e z b w N T n L X > < a : K e y V a l u e O f D i a g r a m O b j e c t K e y a n y T y p e z b w N T n L X > < a : K e y > < K e y > C o l u m n s \ T a r g e t   t y p e < / K e y > < / a : K e y > < a : V a l u e   i : t y p e = " T a b l e W i d g e t B a s e V i e w S t a t e " / > < / a : K e y V a l u e O f D i a g r a m O b j e c t K e y a n y T y p e z b w N T n L X > < a : K e y V a l u e O f D i a g r a m O b j e c t K e y a n y T y p e z b w N T n L X > < a : K e y > < K e y > C o l u m n s \ T a r g e t   Y e a r < / K e y > < / a : K e y > < a : V a l u e   i : t y p e = " T a b l e W i d g e t B a s e V i e w S t a t e " / > < / a : K e y V a l u e O f D i a g r a m O b j e c t K e y a n y T y p e z b w N T n L X > < a : K e y V a l u e O f D i a g r a m O b j e c t K e y a n y T y p e z b w N T n L X > < a : K e y > < K e y > C o l u m n s \ C o n t e n t < / K e y > < / a : K e y > < a : V a l u e   i : t y p e = " T a b l e W i d g e t B a s e V i e w S t a t e " / > < / a : K e y V a l u e O f D i a g r a m O b j e c t K e y a n y T y p e z b w N T n L X > < a : K e y V a l u e O f D i a g r a m O b j e c t K e y a n y T y p e z b w N T n L X > < a : K e y > < K e y > C o l u m n s \ P a g e   N u m b e r < / K e y > < / a : K e y > < a : V a l u e   i : t y p e = " T a b l e W i d g e t B a s e V i e w S t a t e " / > < / a : K e y V a l u e O f D i a g r a m O b j e c t K e y a n y T y p e z b w N T n L X > < a : K e y V a l u e O f D i a g r a m O b j e c t K e y a n y T y p e z b w N T n L X > < a : K e y > < K e y > C o l u m n s \ A n n e x   I   o r   N o n - A n n e x   I < / K e y > < / a : K e y > < a : V a l u e   i : t y p e = " T a b l e W i d g e t B a s e V i e w S t a t e " / > < / a : K e y V a l u e O f D i a g r a m O b j e c t K e y a n y T y p e z b w N T n L X > < a : K e y V a l u e O f D i a g r a m O b j e c t K e y a n y T y p e z b w N T n L X > < a : K e y > < K e y > C o l u m n s \ I n c o m e   G r o u p < / 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 C o l u m n s \ G 2 0 < / K e y > < / a : K e y > < a : V a l u e   i : t y p e = " T a b l e W i d g e t B a s e V i e w S t a t e " / > < / a : K e y V a l u e O f D i a g r a m O b j e c t K e y a n y T y p e z b w N T n L X > < a : K e y V a l u e O f D i a g r a m O b j e c t K e y a n y T y p e z b w N T n L X > < a : K e y > < K e y > C o l u m n s \ G 7 < / K e y > < / a : K e y > < a : V a l u e   i : t y p e = " T a b l e W i d g e t B a s e V i e w S t a t e " / > < / a : K e y V a l u e O f D i a g r a m O b j e c t K e y a n y T y p e z b w N T n L X > < a : K e y V a l u e O f D i a g r a m O b j e c t K e y a n y T y p e z b w N T n L X > < a : K e y > < K e y > C o l u m n s \ O E C D < / K e y > < / a : K e y > < a : V a l u e   i : t y p e = " T a b l e W i d g e t B a s e V i e w S t a t e " / > < / a : K e y V a l u e O f D i a g r a m O b j e c t K e y a n y T y p e z b w N T n L X > < a : K e y V a l u e O f D i a g r a m O b j e c t K e y a n y T y p e z b w N T n L X > < a : K e y > < K e y > C o l u m n s \ G H G   t o t a l < / K e y > < / a : K e y > < a : V a l u e   i : t y p e = " T a b l e W i d g e t B a s e V i e w S t a t e " / > < / a : K e y V a l u e O f D i a g r a m O b j e c t K e y a n y T y p e z b w N T n L X > < a : K e y V a l u e O f D i a g r a m O b j e c t K e y a n y T y p e z b w N T n L X > < a : K e y > < K e y > C o l u m n s \ G H G   t r a n s p o r t 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T a b l e X M L _ T a b l e 1 8 " > < 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 T a r g e t   t y p e < / s t r i n g > < / k e y > < v a l u e > < i n t > 1 2 9 < / i n t > < / v a l u e > < / i t e m > < i t e m > < k e y > < s t r i n g > T a r g e t   Y e a r < / s t r i n g > < / k e y > < v a l u e > < i n t > 1 2 8 < / 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 G H G   t o t a l < / s t r i n g > < / k e y > < v a l u e > < i n t > 1 1 8 < / i n t > < / v a l u e > < / i t e m > < i t e m > < k e y > < s t r i n g > G H G   t r a n s p o r t < / s t r i n g > < / k e y > < v a l u e > < i n t > 1 5 6 < / i n t > < / v a l u e > < / i t e m > < / C o l u m n W i d t h s > < C o l u m n D i s p l a y I n d e x > < i t e m > < k e y > < s t r i n g > C o u n t r y   C o d e < / s t r i n g > < / k e y > < v a l u e > < i n t > 0 < / i n t > < / v a l u e > < / i t e m > < i t e m > < k e y > < s t r i n g > C o u n t r y < / s t r i n g > < / k e y > < v a l u e > < i n t > 1 < / i n t > < / v a l u e > < / i t e m > < i t e m > < k e y > < s t r i n g > T y p e   o f   D o c u m e n t < / s t r i n g > < / k e y > < v a l u e > < i n t > 2 < / i n t > < / v a l u e > < / i t e m > < i t e m > < k e y > < s t r i n g > P a r a m e t e r < / s t r i n g > < / k e y > < v a l u e > < i n t > 3 < / i n t > < / v a l u e > < / i t e m > < i t e m > < k e y > < s t r i n g > T a r g e t   t y p e < / s t r i n g > < / k e y > < v a l u e > < i n t > 4 < / i n t > < / v a l u e > < / i t e m > < i t e m > < k e y > < s t r i n g > T a r g e t   Y e a r < / s t r i n g > < / k e y > < v a l u e > < i n t > 5 < / i n t > < / v a l u e > < / i t e m > < i t e m > < k e y > < s t r i n g > C o n t e n t < / s t r i n g > < / k e y > < v a l u e > < i n t > 6 < / i n t > < / v a l u e > < / i t e m > < i t e m > < k e y > < s t r i n g > P a g e   N u m b e r < / s t r i n g > < / k e y > < v a l u e > < i n t > 7 < / i n t > < / v a l u e > < / i t e m > < i t e m > < k e y > < s t r i n g > A n n e x   I   o r   N o n - A n n e x   I < / s t r i n g > < / k e y > < v a l u e > < i n t > 8 < / i n t > < / v a l u e > < / i t e m > < i t e m > < k e y > < s t r i n g > I n c o m e   G r o u p < / s t r i n g > < / k e y > < v a l u e > < i n t > 9 < / i n t > < / v a l u e > < / i t e m > < i t e m > < k e y > < s t r i n g > R e g i o n < / s t r i n g > < / k e y > < v a l u e > < i n t > 1 0 < / i n t > < / v a l u e > < / i t e m > < i t e m > < k e y > < s t r i n g > G 2 0 < / s t r i n g > < / k e y > < v a l u e > < i n t > 1 1 < / i n t > < / v a l u e > < / i t e m > < i t e m > < k e y > < s t r i n g > G 7 < / s t r i n g > < / k e y > < v a l u e > < i n t > 1 2 < / i n t > < / v a l u e > < / i t e m > < i t e m > < k e y > < s t r i n g > O E C D < / s t r i n g > < / k e y > < v a l u e > < i n t > 1 3 < / i n t > < / v a l u e > < / i t e m > < i t e m > < k e y > < s t r i n g > G H G   t o t a l < / s t r i n g > < / k e y > < v a l u e > < i n t > 1 4 < / i n t > < / v a l u e > < / i t e m > < i t e m > < k e y > < s t r i n g > G H G   t r a n s p o r t < / s t r i n g > < / k e y > < v a l u e > < i n t > 1 5 < / i n t > < / v a l u e > < / i t e m > < / C o l u m n D i s p l a y I n d e x > < C o l u m n F r o z e n   / > < C o l u m n C h e c k e d   / > < C o l u m n F i l t e r   / > < S e l e c t i o n F i l t e r   / > < F i l t e r P a r a m e t e r s   / > < I s S o r t D e s c e n d i n g > f a l s e < / I s S o r t D e s c e n d i n g > < / T a b l e W i d g e t G r i d S e r i a l i z a t i o n > ] ] > < / C u s t o m C o n t e n t > < / G e m i n i > 
</file>

<file path=customXml/item14.xml><?xml version="1.0" encoding="utf-8"?>
<p:properties xmlns:p="http://schemas.microsoft.com/office/2006/metadata/properties" xmlns:xsi="http://www.w3.org/2001/XMLSchema-instance" xmlns:pc="http://schemas.microsoft.com/office/infopath/2007/PartnerControls">
  <documentManagement>
    <SharedWithUsers xmlns="cdaba44c-56e2-426a-84fb-b2cd630ec321">
      <UserInfo>
        <DisplayName>Taeger, Nadja GIZ CO</DisplayName>
        <AccountId>24</AccountId>
        <AccountType/>
      </UserInfo>
      <UserInfo>
        <DisplayName>Eberhardt, Hannah GIZ</DisplayName>
        <AccountId>41</AccountId>
        <AccountType/>
      </UserInfo>
      <UserInfo>
        <DisplayName>Rauch, Nadya GIZ</DisplayName>
        <AccountId>125</AccountId>
        <AccountType/>
      </UserInfo>
      <UserInfo>
        <DisplayName>Sehlleier, Friedel GIZ BEUR</DisplayName>
        <AccountId>36</AccountId>
        <AccountType/>
      </UserInfo>
      <UserInfo>
        <DisplayName>Modi, Rohan Shailesh GIZ</DisplayName>
        <AccountId>82</AccountId>
        <AccountType/>
      </UserInfo>
    </SharedWithUsers>
    <lcf76f155ced4ddcb4097134ff3c332f xmlns="03dad9f7-eeac-4c02-ba14-375916eb47b1">
      <Terms xmlns="http://schemas.microsoft.com/office/infopath/2007/PartnerControls"/>
    </lcf76f155ced4ddcb4097134ff3c332f>
    <TaxCatchAll xmlns="cdaba44c-56e2-426a-84fb-b2cd630ec321" xsi:nil="true"/>
    <MediaLengthInSeconds xmlns="03dad9f7-eeac-4c02-ba14-375916eb47b1" xsi:nil="true"/>
  </documentManagement>
</p:properties>
</file>

<file path=customXml/item15.xml>��< ? x m l   v e r s i o n = " 1 . 0 "   e n c o d i n g = " U T F - 1 6 " ? > < G e m i n i   x m l n s = " h t t p : / / g e m i n i / p i v o t c u s t o m i z a t i o n / L i n k e d T a b l e U p d a t e M o d e " > < C u s t o m C o n t e n t > < ! [ C D A T A [ T r u e ] ] > < / C u s t o m C o n t e n t > < / G e m i n i > 
</file>

<file path=customXml/item16.xml>��< ? x m l   v e r s i o n = " 1 . 0 "   e n c o d i n g = " U T F - 1 6 " ? > < G e m i n i   x m l n s = " h t t p : / / g e m i n i / p i v o t c u s t o m i z a t i o n / T a b l e X M L _ T a b l e 1 0 " > < 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 A n n e x   I   o r   N o n - A n n e x   I < / s t r i n g > < / k e y > < v a l u e > < i n t > 6 < / i n t > < / v a l u e > < / i t e m > < i t e m > < k e y > < s t r i n g > I n c o m e   G r o u p < / s t r i n g > < / k e y > < v a l u e > < i n t > 7 < / i n t > < / v a l u e > < / i t e m > < i t e m > < k e y > < s t r i n g > R e g i o n < / s t r i n g > < / k e y > < v a l u e > < i n t > 8 < / 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M a n u a l C a l c M o d e " > < C u s t o m C o n t e n t > < ! [ C D A T A [ F a l s 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 2 0 2 2 - 0 3 - 0 3 T 1 7 : 0 9 : 1 1 . 0 6 9 6 3 1 1 + 0 1 : 0 0 < / L a s t P r o c e s s e d T i m e > < / D a t a M o d e l i n g S a n d b o x . S e r i a l i z e d S a n d b o x E r r o r C a c h e > ] ] > < / C u s t o m C o n t e n t > < / G e m i n i > 
</file>

<file path=customXml/item19.xml>��< ? x m l   v e r s i o n = " 1 . 0 "   e n c o d i n g = " U T F - 1 6 " ? > < G e m i n i   x m l n s = " h t t p : / / g e m i n i / p i v o t c u s t o m i z a t i o n / S h o w H i d d e n " > < C u s t o m C o n t e n t > < ! [ C D A T A [ T r u e ] ] > < / C u s t o m C o n t e n t > < / G e m i n i > 
</file>

<file path=customXml/item2.xml>��< ? x m l   v e r s i o n = " 1 . 0 "   e n c o d i n g = " U T F - 1 6 " ? > < G e m i n i   x m l n s = " h t t p : / / g e m i n i / p i v o t c u s t o m i z a t i o n / S a n d b o x N o n E m p t y " > < C u s t o m C o n t e n t > < ! [ C D A T A [ 1 ] ] > < / C u s t o m C o n t e n t > < / G e m i n i > 
</file>

<file path=customXml/item20.xml>��< ? x m l   v e r s i o n = " 1 . 0 "   e n c o d i n g = " U T F - 1 6 " ? > < G e m i n i   x m l n s = " h t t p : / / g e m i n i / p i v o t c u s t o m i z a t i o n / T a b l e X M L _ T a b l e 5 " > < 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 A n n e x   I   o r   N o n - A n n e x   I < / s t r i n g > < / k e y > < v a l u e > < i n t > 2 2 2 < / i n t > < / v a l u e > < / i t e m > < i t e m > < k e y > < s t r i n g > I n c o m e   G r o u p < / s t r i n g > < / k e y > < v a l u e > < i n t > 1 5 4 < / i n t > < / v a l u e > < / i t e m > < i t e m > < k e y > < s t r i n g > R e g i o n < / s t r i n g > < / k e y > < v a l u e > < i n t > 9 5 < / 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 A n n e x   I   o r   N o n - A n n e x   I < / s t r i n g > < / k e y > < v a l u e > < i n t > 6 < / i n t > < / v a l u e > < / i t e m > < i t e m > < k e y > < s t r i n g > I n c o m e   G r o u p < / s t r i n g > < / k e y > < v a l u e > < i n t > 7 < / i n t > < / v a l u e > < / i t e m > < i t e m > < k e y > < s t r i n g > R e g i o n < / s t r i n g > < / k e y > < v a l u e > < i n t > 8 < / 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C l i e n t W i n d o w X M L " > < C u s t o m C o n t e n t > < ! [ C D A T A [ T a b l e 1 8 ] ] > < / C u s t o m C o n t e n t > < / G e m i n i > 
</file>

<file path=customXml/item22.xml>��< ? x m l   v e r s i o n = " 1 . 0 "   e n c o d i n g = " U T F - 1 6 " ? > < G e m i n i   x m l n s = " h t t p : / / g e m i n i / p i v o t c u s t o m i z a t i o n / P o w e r P i v o t V e r s i o n " > < C u s t o m C o n t e n t > < ! [ C D A T A [ 2 0 1 5 . 1 3 0 . 8 0 0 . 8 6 9 ] ] > < / C u s t o m C o n t e n t > < / G e m i n i > 
</file>

<file path=customXml/item23.xml>��< ? x m l   v e r s i o n = " 1 . 0 "   e n c o d i n g = " U T F - 1 6 " ? > < G e m i n i   x m l n s = " h t t p : / / g e m i n i / p i v o t c u s t o m i z a t i o n / T a b l e X M L _ T a b l e 3 " > < C u s t o m C o n t e n t > < ! [ C D A T A [ < T a b l e W i d g e t G r i d S e r i a l i z a t i o n   x m l n s : x s d = " h t t p : / / w w w . w 3 . o r g / 2 0 0 1 / X M L S c h e m a "   x m l n s : x s i = " h t t p : / / w w w . w 3 . o r g / 2 0 0 1 / X M L S c h e m a - i n s t a n c e " > < C o l u m n S u g g e s t e d T y p e > < i t e m > < k e y > < s t r i n g > G H G   t o t a l < / s t r i n g > < / k e y > < v a l u e > < s t r i n g > E m p t y < / s t r i n g > < / v a l u e > < / i t e m > < i t e m > < k e y > < s t r i n g > G H G   t r a n s p o r t < / s t r i n g > < / k e y > < v a l u e > < s t r i n g > E m p t y < / s t r i n g > < / v a l u e > < / i t e m > < / C o l u m n S u g g e s t e d T y p e > < 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 T a r g e t   t y p e < / s t r i n g > < / k e y > < v a l u e > < i n t > 1 2 9 < / i n t > < / v a l u e > < / i t e m > < i t e m > < k e y > < s t r i n g > C o n t e n t < / s t r i n g > < / k e y > < v a l u e > < i n t > 1 0 4 < / i n t > < / v a l u e > < / i t e m > < i t e m > < k e y > < s t r i n g > P a g e   N u m b e r < / s t r i n g > < / k e y > < v a l u e > < i n t > 1 4 7 < / i n t > < / v a l u e > < / i t e m > < i t e m > < k e y > < s t r i n g > T a r g e t   Y e a r < / s t r i n g > < / k e y > < v a l u e > < i n t > 1 2 8 < / i n t > < / v a l u e > < / i t e m > < i t e m > < k e y > < s t r i n g > R e n e w a b l e   e n e r g y   t a r g e t < / s t r i n g > < / k e y > < v a l u e > < i n t > 2 3 4 < / i n t > < / v a l u e > < / i t e m > < i t e m > < k e y > < s t r i n g > T a r g e t   s c o p e < / s t r i n g > < / k e y > < v a l u e > < i n t > 1 4 0 < / i n t > < / v a l u e > < / i t e m > < i t e m > < k e y > < s t r i n g > C o u n t r y   h a s   l o n g - t e r m   t a r g e t < / s t r i n g > < / k e y > < v a l u e > < i n t > 2 6 6 < / i n t > < / v a l u e > < / i t e m > < i t e m > < k e y > < s t r i n g > C o u n t r y   h a s   a   n e t - z e r o   t a r g e t < / s t r i n g > < / k e y > < v a l u e > < i n t > 2 6 7 < / 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 G H G   t o t a l < / s t r i n g > < / k e y > < v a l u e > < i n t > 1 1 8 < / i n t > < / v a l u e > < / i t e m > < i t e m > < k e y > < s t r i n g > G H G   t r a n s p o r t < / s t r i n g > < / k e y > < v a l u e > < i n t > 1 5 6 < / i n t > < / v a l u e > < / i t e m > < i t e m > < k e y > < s t r i n g > T r a n s p o r t   t a r g e t   t y p e < / s t r i n g > < / k e y > < v a l u e > < i n t > 2 0 6 < / i n t > < / v a l u e > < / i t e m > < / C o l u m n W i d t h s > < C o l u m n D i s p l a y I n d e x > < i t e m > < k e y > < s t r i n g > C o u n t r y   C o d e < / s t r i n g > < / k e y > < v a l u e > < i n t > 0 < / i n t > < / v a l u e > < / i t e m > < i t e m > < k e y > < s t r i n g > C o u n t r y < / s t r i n g > < / k e y > < v a l u e > < i n t > 1 < / i n t > < / v a l u e > < / i t e m > < i t e m > < k e y > < s t r i n g > T y p e   o f   D o c u m e n t < / s t r i n g > < / k e y > < v a l u e > < i n t > 2 < / i n t > < / v a l u e > < / i t e m > < i t e m > < k e y > < s t r i n g > P a r a m e t e r < / s t r i n g > < / k e y > < v a l u e > < i n t > 3 < / i n t > < / v a l u e > < / i t e m > < i t e m > < k e y > < s t r i n g > T a r g e t   t y p e < / s t r i n g > < / k e y > < v a l u e > < i n t > 4 < / i n t > < / v a l u e > < / i t e m > < i t e m > < k e y > < s t r i n g > C o n t e n t < / s t r i n g > < / k e y > < v a l u e > < i n t > 5 < / i n t > < / v a l u e > < / i t e m > < i t e m > < k e y > < s t r i n g > P a g e   N u m b e r < / s t r i n g > < / k e y > < v a l u e > < i n t > 6 < / i n t > < / v a l u e > < / i t e m > < i t e m > < k e y > < s t r i n g > T a r g e t   Y e a r < / s t r i n g > < / k e y > < v a l u e > < i n t > 7 < / i n t > < / v a l u e > < / i t e m > < i t e m > < k e y > < s t r i n g > R e n e w a b l e   e n e r g y   t a r g e t < / s t r i n g > < / k e y > < v a l u e > < i n t > 8 < / i n t > < / v a l u e > < / i t e m > < i t e m > < k e y > < s t r i n g > T a r g e t   s c o p e < / s t r i n g > < / k e y > < v a l u e > < i n t > 1 9 < / i n t > < / v a l u e > < / i t e m > < i t e m > < k e y > < s t r i n g > C o u n t r y   h a s   l o n g - t e r m   t a r g e t < / s t r i n g > < / k e y > < v a l u e > < i n t > 9 < / i n t > < / v a l u e > < / i t e m > < i t e m > < k e y > < s t r i n g > C o u n t r y   h a s   a   n e t - z e r o   t a r g e t < / s t r i n g > < / k e y > < v a l u e > < i n t > 1 0 < / i n t > < / v a l u e > < / i t e m > < i t e m > < k e y > < s t r i n g > A n n e x   I   o r   N o n - A n n e x   I < / s t r i n g > < / k e y > < v a l u e > < i n t > 1 1 < / i n t > < / v a l u e > < / i t e m > < i t e m > < k e y > < s t r i n g > I n c o m e   G r o u p < / s t r i n g > < / k e y > < v a l u e > < i n t > 1 2 < / i n t > < / v a l u e > < / i t e m > < i t e m > < k e y > < s t r i n g > R e g i o n < / s t r i n g > < / k e y > < v a l u e > < i n t > 1 3 < / i n t > < / v a l u e > < / i t e m > < i t e m > < k e y > < s t r i n g > G 2 0 < / s t r i n g > < / k e y > < v a l u e > < i n t > 1 4 < / i n t > < / v a l u e > < / i t e m > < i t e m > < k e y > < s t r i n g > G 7 < / s t r i n g > < / k e y > < v a l u e > < i n t > 1 5 < / i n t > < / v a l u e > < / i t e m > < i t e m > < k e y > < s t r i n g > O E C D < / s t r i n g > < / k e y > < v a l u e > < i n t > 1 6 < / i n t > < / v a l u e > < / i t e m > < i t e m > < k e y > < s t r i n g > G H G   t o t a l < / s t r i n g > < / k e y > < v a l u e > < i n t > 1 7 < / i n t > < / v a l u e > < / i t e m > < i t e m > < k e y > < s t r i n g > G H G   t r a n s p o r t < / s t r i n g > < / k e y > < v a l u e > < i n t > 1 8 < / i n t > < / v a l u e > < / i t e m > < i t e m > < k e y > < s t r i n g > T r a n s p o r t   t a r g e t   t y p e < / s t r i n g > < / k e y > < v a l u e > < i n t > 2 0 < / 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5.xml>��< ? x m l   v e r s i o n = " 1 . 0 "   e n c o d i n g = " U T F - 1 6 " ? > < G e m i n i   x m l n s = " h t t p : / / g e m i n i / p i v o t c u s t o m i z a t i o n / T a b l e O r d e r " > < C u s t o m C o n t e n t > < ! [ C D A T A [ T a b l e 8 - e c 6 6 2 f 8 1 - d c 6 d - 4 0 8 f - b b 7 8 - d a 2 c c 9 9 9 1 8 d 7 , T a b l e 3 , T a b l e 5 , T a b l e 9 , T a b l e 1 0 , T a b l e 1 , T a b l e 2 , T a b l e 1 2 , T a b l e 1 8 ] ] > < / C u s t o m C o n t e n t > < / G e m i n i > 
</file>

<file path=customXml/item26.xml>��< ? x m l   v e r s i o n = " 1 . 0 "   e n c o d i n g = " U T F - 1 6 " ? > < G e m i n i   x m l n s = " h t t p : / / g e m i n i / p i v o t c u s t o m i z a t i o n / T a b l e X M L _ T a b l e 8 - e c 6 6 2 f 8 1 - d c 6 d - 4 0 8 f - b b 7 8 - d a 2 c c 9 9 9 1 8 d 7 " > < 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 Q u o t e < / s t r i n g > < / k e y > < v a l u e > < i n t > 9 1 < / i n t > < / v a l u e > < / i t e m > < i t e m > < k e y > < s t r i n g > A - S - I < / s t r i n g > < / k e y > < v a l u e > < i n t > 8 1 < / i n t > < / v a l u e > < / i t e m > < i t e m > < k e y > < s t r i n g > P a g e   N u m b e r < / s t r i n g > < / k e y > < v a l u e > < i n t > 1 4 7 < / i n t > < / v a l u e > < / i t e m > < i t e m > < k e y > < s t r i n g > W a l k i n g < / s t r i n g > < / k e y > < v a l u e > < i n t > 1 0 4 < / i n t > < / v a l u e > < / i t e m > < i t e m > < k e y > < s t r i n g > A c t i v e   m o b i l i t y < / s t r i n g > < / k e y > < v a l u e > < i n t > 1 5 7 < / i n t > < / v a l u e > < / i t e m > < i t e m > < k e y > < s t r i n g > A c t i v i t y   t y p e < / s t r i n g > < / k e y > < v a l u e > < i n t > 1 3 9 < / i n t > < / v a l u e > < / i t e m > < i t e m > < k e y > < s t r i n g > N o t   d e f i n e d < / s t r i n g > < / k e y > < v a l u e > < i n t > 1 3 3 < / i n t > < / v a l u e > < / i t e m > < i t e m > < k e y > < s t r i n g > C y c l i n g < / s t r i n g > < / k e y > < v a l u e > < i n t > 9 7 < / i n t > < / v a l u e > < / i t e m > < i t e m > < k e y > < s t r i n g > R o a d < / s t r i n g > < / k e y > < v a l u e > < i n t > 8 2 < / i n t > < / v a l u e > < / i t e m > < i t e m > < k e y > < s t r i n g > T w o - / T h r e e - w h e e l e r s < / s t r i n g > < / k e y > < v a l u e > < i n t > 2 0 8 < / i n t > < / v a l u e > < / i t e m > < i t e m > < k e y > < s t r i n g > C a r s < / s t r i n g > < / k e y > < v a l u e > < i n t > 7 7 < / i n t > < / v a l u e > < / i t e m > < i t e m > < k e y > < s t r i n g > P r i v a t e   c a r s < / s t r i n g > < / k e y > < v a l u e > < i n t > 1 3 3 < / i n t > < / v a l u e > < / i t e m > < i t e m > < k e y > < s t r i n g > T a x i s < / s t r i n g > < / k e y > < v a l u e > < i n t > 8 0 < / i n t > < / v a l u e > < / i t e m > < i t e m > < k e y > < s t r i n g > T r u c k < / s t r i n g > < / k e y > < v a l u e > < i n t > 8 5 < / i n t > < / v a l u e > < / i t e m > < i t e m > < k e y > < s t r i n g > B u s < / s t r i n g > < / k e y > < v a l u e > < i n t > 7 1 < / i n t > < / v a l u e > < / i t e m > < i t e m > < k e y > < s t r i n g > R a i l < / s t r i n g > < / k e y > < v a l u e > < i n t > 7 0 < / i n t > < / v a l u e > < / i t e m > < i t e m > < k e y > < s t r i n g > H e a v y   r a i l < / s t r i n g > < / k e y > < v a l u e > < i n t > 1 1 9 < / i n t > < / v a l u e > < / i t e m > < i t e m > < k e y > < s t r i n g > H i g h - s p e e d   r a i l < / s t r i n g > < / k e y > < v a l u e > < i n t > 1 5 8 < / i n t > < / v a l u e > < / i t e m > < i t e m > < k e y > < s t r i n g > T r a n s i t   r a i l < / s t r i n g > < / k e y > < v a l u e > < i n t > 1 2 3 < / i n t > < / v a l u e > < / i t e m > < i t e m > < k e y > < s t r i n g > W a t e r < / s t r i n g > < / k e y > < v a l u e > < i n t > 9 0 < / i n t > < / v a l u e > < / i t e m > < i t e m > < k e y > < s t r i n g > C o a s t a l   s h i p p i n g < / s t r i n g > < / k e y > < v a l u e > < i n t > 1 6 8 < / i n t > < / v a l u e > < / i t e m > < i t e m > < k e y > < s t r i n g > I n l a n d   s h i p p i n g < / s t r i n g > < / k e y > < v a l u e > < i n t > 1 6 1 < / i n t > < / v a l u e > < / i t e m > < i t e m > < k e y > < s t r i n g > I n t e r n a t i o n a l   m a r i t i m e < / s t r i n g > < / k e y > < v a l u e > < i n t > 2 1 8 < / i n t > < / v a l u e > < / i t e m > < i t e m > < k e y > < s t r i n g > A v i a t i o n < / s t r i n g > < / k e y > < v a l u e > < i n t > 1 0 7 < / i n t > < / v a l u e > < / i t e m > < i t e m > < k e y > < s t r i n g > N o t   d e f i n e d 2 < / s t r i n g > < / k e y > < v a l u e > < i n t > 1 4 3 < / i n t > < / v a l u e > < / i t e m > < i t e m > < k e y > < s t r i n g > U r b a n < / s t r i n g > < / k e y > < v a l u e > < i n t > 9 1 < / i n t > < / v a l u e > < / i t e m > < i t e m > < k e y > < s t r i n g > R u r a l < / s t r i n g > < / k e y > < v a l u e > < i n t > 8 3 < / i n t > < / v a l u e > < / i t e m > < i t e m > < k e y > < s t r i n g > I n t e r - c i t y < / s t r i n g > < / k e y > < v a l u e > < i n t > 1 1 3 < / i n t > < / v a l u e > < / i t e m > < i t e m > < k e y > < s t r i n g > A n n e x   I   o r   N o n - A n n e x   I < / s t r i n g > < / k e y > < v a l u e > < i n t > 2 2 2 < / i n t > < / v a l u e > < / i t e m > < i t e m > < k e y > < s t r i n g > I n c o m e   G r o u p < / s t r i n g > < / k e y > < v a l u e > < i n t > 1 5 4 < / i n t > < / v a l u e > < / i t e m > < i t e m > < k e y > < s t r i n g > R e g i o n < / s t r i n g > < / k e y > < v a l u e > < i n t > 9 5 < / i n t > < / v a l u e > < / i t e m > < i t e m > < k e y > < s t r i n g > G 2 0 < / s t r i n g > < / k e y > < v a l u e > < i n t > 7 5 < / i n t > < / v a l u e > < / i t e m > < i t e m > < k e y > < s t r i n g > G 7 < / s t r i n g > < / k e y > < v a l u e > < i n t > 6 5 < / i n t > < / v a l u e > < / i t e m > < i t e m > < k e y > < s t r i n g > O E C D < / s t r i n g > < / k e y > < v a l u e > < i n t > 8 7 < / i n t > < / v a l u e > < / i t e m > < i t e m > < k e y > < s t r i n g > C a t e g o r y < / s t r i n g > < / k e y > < v a l u e > < i n t > 1 1 2 < / i n t > < / v a l u e > < / i t e m > < i t e m > < k e y > < s t r i n g > H i g h - l e v e l   c a t e g o r y < / s t r i n g > < / k e y > < v a l u e > < i n t > 1 9 0 < / i n t > < / v a l u e > < / i t e m > < i t e m > < k e y > < s t r i n g > I n d i c a t o r < / s t r i n g > < / k e y > < v a l u e > < i n t > 1 1 3 < / i n t > < / v a l u e > < / i t e m > < / C o l u m n W i d t h s > < C o l u m n D i s p l a y I n d e x > < i t e m > < k e y > < s t r i n g > C o u n t r y   C o d e < / s t r i n g > < / k e y > < v a l u e > < i n t > 0 < / i n t > < / v a l u e > < / i t e m > < i t e m > < k e y > < s t r i n g > C o u n t r y < / s t r i n g > < / k e y > < v a l u e > < i n t > 1 < / i n t > < / v a l u e > < / i t e m > < i t e m > < k e y > < s t r i n g > T y p e   o f   D o c u m e n t < / s t r i n g > < / k e y > < v a l u e > < i n t > 2 < / i n t > < / v a l u e > < / i t e m > < i t e m > < k e y > < s t r i n g > P a r a m e t e r < / s t r i n g > < / k e y > < v a l u e > < i n t > 3 < / i n t > < / v a l u e > < / i t e m > < i t e m > < k e y > < s t r i n g > Q u o t e < / s t r i n g > < / k e y > < v a l u e > < i n t > 4 < / i n t > < / v a l u e > < / i t e m > < i t e m > < k e y > < s t r i n g > A - S - I < / s t r i n g > < / k e y > < v a l u e > < i n t > 5 < / i n t > < / v a l u e > < / i t e m > < i t e m > < k e y > < s t r i n g > P a g e   N u m b e r < / s t r i n g > < / k e y > < v a l u e > < i n t > 6 < / i n t > < / v a l u e > < / i t e m > < i t e m > < k e y > < s t r i n g > W a l k i n g < / s t r i n g > < / k e y > < v a l u e > < i n t > 1 0 < / i n t > < / v a l u e > < / i t e m > < i t e m > < k e y > < s t r i n g > A c t i v e   m o b i l i t y < / s t r i n g > < / k e y > < v a l u e > < i n t > 9 < / i n t > < / v a l u e > < / i t e m > < i t e m > < k e y > < s t r i n g > A c t i v i t y   t y p e < / s t r i n g > < / k e y > < v a l u e > < i n t > 7 < / i n t > < / v a l u e > < / i t e m > < i t e m > < k e y > < s t r i n g > N o t   d e f i n e d < / s t r i n g > < / k e y > < v a l u e > < i n t > 8 < / i n t > < / v a l u e > < / i t e m > < i t e m > < k e y > < s t r i n g > C y c l i n g < / s t r i n g > < / k e y > < v a l u e > < i n t > 1 1 < / i n t > < / v a l u e > < / i t e m > < i t e m > < k e y > < s t r i n g > R o a d < / s t r i n g > < / k e y > < v a l u e > < i n t > 1 2 < / i n t > < / v a l u e > < / i t e m > < i t e m > < k e y > < s t r i n g > T w o - / T h r e e - w h e e l e r s < / s t r i n g > < / k e y > < v a l u e > < i n t > 1 3 < / i n t > < / v a l u e > < / i t e m > < i t e m > < k e y > < s t r i n g > C a r s < / s t r i n g > < / k e y > < v a l u e > < i n t > 1 4 < / i n t > < / v a l u e > < / i t e m > < i t e m > < k e y > < s t r i n g > P r i v a t e   c a r s < / s t r i n g > < / k e y > < v a l u e > < i n t > 1 5 < / i n t > < / v a l u e > < / i t e m > < i t e m > < k e y > < s t r i n g > T a x i s < / s t r i n g > < / k e y > < v a l u e > < i n t > 1 6 < / i n t > < / v a l u e > < / i t e m > < i t e m > < k e y > < s t r i n g > T r u c k < / s t r i n g > < / k e y > < v a l u e > < i n t > 1 7 < / i n t > < / v a l u e > < / i t e m > < i t e m > < k e y > < s t r i n g > B u s < / s t r i n g > < / k e y > < v a l u e > < i n t > 1 8 < / i n t > < / v a l u e > < / i t e m > < i t e m > < k e y > < s t r i n g > R a i l < / s t r i n g > < / k e y > < v a l u e > < i n t > 1 9 < / i n t > < / v a l u e > < / i t e m > < i t e m > < k e y > < s t r i n g > H e a v y   r a i l < / s t r i n g > < / k e y > < v a l u e > < i n t > 2 0 < / i n t > < / v a l u e > < / i t e m > < i t e m > < k e y > < s t r i n g > H i g h - s p e e d   r a i l < / s t r i n g > < / k e y > < v a l u e > < i n t > 3 4 < / i n t > < / v a l u e > < / i t e m > < i t e m > < k e y > < s t r i n g > T r a n s i t   r a i l < / s t r i n g > < / k e y > < v a l u e > < i n t > 2 1 < / i n t > < / v a l u e > < / i t e m > < i t e m > < k e y > < s t r i n g > W a t e r < / s t r i n g > < / k e y > < v a l u e > < i n t > 2 2 < / i n t > < / v a l u e > < / i t e m > < i t e m > < k e y > < s t r i n g > C o a s t a l   s h i p p i n g < / s t r i n g > < / k e y > < v a l u e > < i n t > 2 3 < / i n t > < / v a l u e > < / i t e m > < i t e m > < k e y > < s t r i n g > I n l a n d   s h i p p i n g < / s t r i n g > < / k e y > < v a l u e > < i n t > 2 4 < / i n t > < / v a l u e > < / i t e m > < i t e m > < k e y > < s t r i n g > I n t e r n a t i o n a l   m a r i t i m e < / s t r i n g > < / k e y > < v a l u e > < i n t > 2 5 < / i n t > < / v a l u e > < / i t e m > < i t e m > < k e y > < s t r i n g > A v i a t i o n < / s t r i n g > < / k e y > < v a l u e > < i n t > 2 6 < / i n t > < / v a l u e > < / i t e m > < i t e m > < k e y > < s t r i n g > N o t   d e f i n e d 2 < / s t r i n g > < / k e y > < v a l u e > < i n t > 2 7 < / i n t > < / v a l u e > < / i t e m > < i t e m > < k e y > < s t r i n g > U r b a n < / s t r i n g > < / k e y > < v a l u e > < i n t > 2 8 < / i n t > < / v a l u e > < / i t e m > < i t e m > < k e y > < s t r i n g > R u r a l < / s t r i n g > < / k e y > < v a l u e > < i n t > 2 9 < / i n t > < / v a l u e > < / i t e m > < i t e m > < k e y > < s t r i n g > I n t e r - c i t y < / s t r i n g > < / k e y > < v a l u e > < i n t > 3 0 < / i n t > < / v a l u e > < / i t e m > < i t e m > < k e y > < s t r i n g > A n n e x   I   o r   N o n - A n n e x   I < / s t r i n g > < / k e y > < v a l u e > < i n t > 3 1 < / i n t > < / v a l u e > < / i t e m > < i t e m > < k e y > < s t r i n g > I n c o m e   G r o u p < / s t r i n g > < / k e y > < v a l u e > < i n t > 3 2 < / i n t > < / v a l u e > < / i t e m > < i t e m > < k e y > < s t r i n g > R e g i o n < / s t r i n g > < / k e y > < v a l u e > < i n t > 3 3 < / i n t > < / v a l u e > < / i t e m > < i t e m > < k e y > < s t r i n g > G 2 0 < / s t r i n g > < / k e y > < v a l u e > < i n t > 3 5 < / i n t > < / v a l u e > < / i t e m > < i t e m > < k e y > < s t r i n g > G 7 < / s t r i n g > < / k e y > < v a l u e > < i n t > 3 6 < / i n t > < / v a l u e > < / i t e m > < i t e m > < k e y > < s t r i n g > O E C D < / s t r i n g > < / k e y > < v a l u e > < i n t > 3 7 < / i n t > < / v a l u e > < / i t e m > < i t e m > < k e y > < s t r i n g > C a t e g o r y < / s t r i n g > < / k e y > < v a l u e > < i n t > 3 8 < / i n t > < / v a l u e > < / i t e m > < i t e m > < k e y > < s t r i n g > H i g h - l e v e l   c a t e g o r y < / s t r i n g > < / k e y > < v a l u e > < i n t > 3 9 < / i n t > < / v a l u e > < / i t e m > < i t e m > < k e y > < s t r i n g > I n d i c a t o r < / s t r i n g > < / k e y > < v a l u e > < i n t > 4 0 < / i n t > < / v a l u e > < / i t e m > < / C o l u m n D i s p l a y I n d e x > < C o l u m n F r o z e n   / > < C o l u m n C h e c k e d   / > < C o l u m n F i l t e r   / > < S e l e c t i o n F i l t e r   / > < F i l t e r P a r a m e t e r s   / > < I s S o r t D e s c e n d i n g > f a l s e < / I s S o r t D e s c e n d i n g > < / T a b l e W i d g e t G r i d S e r i a l i z a t i o n > ] ] > < / C u s t o m C o n t e n t > < / G e m i n i > 
</file>

<file path=customXml/item27.xml>��< ? x m l   v e r s i o n = " 1 . 0 "   e n c o d i n g = " u t f - 1 6 " ? > < D a t a M a s h u p   s q m i d = " 2 e 5 7 e e 6 f - e 6 b 5 - 4 5 c d - 9 2 d c - f 4 3 b 9 8 6 f a 0 b 7 "   x m l n s = " h t t p : / / s c h e m a s . m i c r o s o f t . c o m / D a t a M a s h u p " > A A A A A I U N A A B Q S w M E F A A C A A g A V H Z t W v 4 t z g O m A A A A 9 w A A A B I A H A B D b 2 5 m a W c v U G F j a 2 F n Z S 5 4 b W w g o h g A K K A U A A A A A A A A A A A A A A A A A A A A A A A A A A A A h Y + x D o I w G I R 3 E 9 + B d K c t Z Z L 8 l E H d J D E x M a 4 N N N A I r a H F 8 m 4 O P p K v I E R R N 8 e 7 + 5 K 7 e 9 z u k A 1 t E 1 x l Z 5 X R K Y o w R Y F 1 Q p e i M V q m S B u U 8 e U C 9 q I 4 i 0 o G I 6 1 t M t g y R b V z l 4 Q Q 7 z 3 2 M T Z d R R i l E T n l u 0 N R y 1 a g D 6 z + w 6 H S U 2 0 h E Y f j a w 1 n O I o Z Z m y F K Z D Z h F z p L 8 D G w V P 6 Y 8 K 6 b 1 z f S V 7 K c L M F M k s g 7 w / 8 C V B L A w Q U A A I A C A B U d m 1 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V H Z t W o m R O M G G C g A A 4 T I A A B M A H A B G b 3 J t d W x h c y 9 T Z W N 0 a W 9 u M S 5 t I K I Y A C i g F A A A A A A A A A A A A A A A A A A A A A A A A A A A A O 1 b 3 W 7 b u B K + L 7 D v Q G i B A x v H S W P n f x d Z w L U d x 2 2 V N r b T t E k K g 7 E Y m x u Z 8 l K U Y y f I 2 5 z H 2 L u + 2 A 7 1 L 4 t U 3 H g v 9 m A b F I g 0 Q 5 E f h 8 O P M 8 P U J U N B H Y Z 6 w e / q r 6 9 e u W P M i Y V + N k x M G a o z b C 9 c 6 q L / o C 5 x P V u 4 B j p C N h E / v U L w 0 3 M 8 P i Q g a c 2 H x N 6 8 c P j d j e P c l Y 6 p T T Y b D h O E C b d k N H 6 5 P n c J d 6 9 n 2 P 3 D I 4 M J 5 r X r D 4 w 0 O Z 0 R t I G a x B P u c E x Q m 7 j E t u E R 3 w p 0 + + 1 P j j r Q B 2 d Y o s M 2 Q Z e e i y c T w j C / I V S g U r t z W U b t y c 3 J t f n m U + O 6 i Q V G f Y 6 Z O 4 V Z s O E C N S g f 2 u Q a Z M M 7 i a D T P 0 a n z Q Y K B c i f Z R / f A N 6 5 7 c 6 N c g U x z 7 Y r S H C P l C v B N L X G G P T G h A h p k s A S j 1 c d Q S Z H W t t V 3 l F m H R n B V 1 + f r i T e r / E g j T F m I 7 B 9 f z E l s s 8 A l j + d W 4 d P G o 7 t T Z h U u q X n E F U e H 4 2 g f d W A u c A 3 C L P F U w V F 4 p p a v K 0 W 7 0 R i Q e Y i J d / V y P c 0 8 n 2 N / E A j P 1 T D q W 5 p 5 J r J V j W z r W q m W 9 X N t 7 q r + W B P I 9 d N u K q b c f V Q o 6 h t 6 R R V n a K m U 2 z r F L p 5 1 7 I L / V T + 6 R V l S r d N G K Q z m T p c + O 4 4 6 G M + I s J N U 8 e Z B z s 9 o Y 6 G x 2 H D i p h B y o 9 X p 3 h C j g x / E 2 z L z R L y S b J f 6 s w i n C C Q 3 Q J H C I J 6 U 2 x D k 2 T v 9 I g N z B b M w S 0 F Q 1 Y e j a Y z 9 I B E B O o 0 Y V 4 w R 4 8 J v p C P A d B g q o E y l H w h m A d t f R D y 8 S M e E X T q T W 4 I D 1 4 5 A A a 2 M p 4 S 3 j i h 7 M E b E a C y E W i A z S w y T + D V L c u X B A B L B T O C / o N v K 6 j q / w N e 3 N v Z l C Z P B j s H K A w z p S W 6 o J m Q y B I a Y J I 1 o m G M P h U 2 M Z 5 0 k 0 E w l i c e C L f I L W W U 8 H j U z P z i q S n A w S A j + j B g 1 n A w w C 4 d 3 E o D 3 o M H g I b g 4 d h n 4 u 8 e v q o e f 1 X w a V A j 4 k w 5 n o 4 X a w G q r Q W o m k E k / L M N 9 t V g 4 l h k L V j b a 8 G q Z V c P w o c Z F Y u B 3 D h r o d p Z C 9 V 2 B h U n 0 l L + 7 n w 5 o N 2 1 A O 2 o A F k D L N b C t L c W p t 0 M J s p m x I W g J S A 1 B a b 8 x q 2 u S C t F E 5 B U s 0 T D M S Q r l B v h C R S z c 9 x i G M r 8 B n n O T r a L r w q 8 M t 0 2 Y v O k 4 U J K w v F i h o / V f 3 i O C H t Y Y v 2 4 y R T k U Y v o I M j a 2 a J D L B z u Z j j 1 l H h I H p 8 O t x h R E z e o C E 9 M r F o P O N M C u l Y Z S W l a D b Q i S l b z Y g E 3 6 f l h 2 b I 5 Q + o W M b 9 m m g 2 v 2 3 R q x 0 8 t S B t 8 F Y w q f f W S Q B q T i y a 6 z r 1 c B t 3 C h X u o d J W z + V f o a G d 7 e 3 8 f O R z p 1 H u H h 0 X q / a 2 t Y n W 1 U F 1 9 R r 1 X r C 5 E v r + 3 U 6 g + O C h S H + w U j n 2 w u 1 u s L o R 2 s L d V z o S s + U V W x 6 0 m w a 7 H y c s D 1 w N l 4 N o m 3 / 4 n I z 0 Z e U E I 9 0 y u F 4 W t y 4 S Z h I B p n k S N Y P M t h / E R F 2 T l 8 m v k 3 K K 4 5 1 y L W C O J P q f 9 B D m 1 L C C w i B C z 6 p 7 A w n P z a L A g I 0 c B 5 6 P H p 4 6 b H 6 b D X M j H Q + L K q s 5 C A s l K 6 x u 9 j U 6 + + w x 3 Z / I 1 E 6 z 2 C z p 1 B P I P K 2 I p M M i F w T a K e W 6 5 j 7 p k O Y I m z g 2 1 g e x y P V x g + 4 6 y U d 4 c i 6 G t k n c d n I f R v 3 c 2 X v f H n J C N e / B R m 3 C V f R X C j 5 z O w O 5 o m F J G y P t 4 T v N C 7 g 3 v c t 2 8 U a x n F 1 M 7 J z w h e L Z A P K W K O j 6 h o / G G O y W w 2 V R q f x N Q k d G l b C g U f t Z w s C t g a d w x n U 5 T p o y 6 7 D A b M y u n T q 1 t q s q E J p h T Q R N v j 9 d 3 R v 0 m i j 0 y g a O E D h F e a p G M n + 5 f 1 6 p N n J F / r B Y 7 4 j m / w X k M X Y / j n C n 9 c T e G K W f M + C r I U X i s q v a t J I Z J w I D L n 6 d j n G y / j J E 5 6 k g 2 P n X Y R v i a R 0 t G K k N 2 2 B B M i d r c 8 a Y 5 Z V t R A m n n C y w f W o 1 m T t g 6 r + V b m q 3 T O u I + k j z v t U / a S D j S q W p b S c E k 4 L m k Q U Q F u k Z d M q O S I L N 7 J h V u 1 F k c L d d v I N o C g q p b e C o C B 4 k P h o Y z u Q F n K D 3 m D 4 9 K 6 o N M x 9 9 X H H k O S m H Z J C L h m H e X w 2 Q V v a o Z V c G i K e J M c W V E j x p G j E h w m f d i r o v 5 L a S 0 i M W y x K U g q 2 W C i j l J R U M K 6 t G z T Z p h l K S i J x I 9 e c R 8 E V N E l h Z y V P A P q G R F Z X 5 / v D F P P D L l v s f e w 8 P i V I b w 1 l u H 5 v L f u K a V I z v Y m L J 8 7 i / H I F J t 9 I P J B y G R b K N t I k e T d f z N 9 + R W f P B g q A q 6 6 o y Y w 0 k D u + R I 3 h z A t H w B z H o Y S L 4 m s 2 v x e 0 K D 6 H N 5 j G z p v z W f g u / 4 z 7 F h C 0 x T g D m M 9 F I r q 5 K 9 r J T 4 3 H R U V c X V 8 u S V 0 v / V q g h n u T w z l d P H r K X J f V d M / J f M q U + A 0 w d A a 3 m H o K y 3 p s w + c W a k q A 4 g O X r J 1 b + j t K T M t 5 V 1 p u c g 6 5 P 3 l 5 S 8 l v L 9 l 1 W + V i 4 m r I U w r j + s C 7 K o s v F 3 I P S L I W u C X K H Y s h b U d H 3 m 7 4 F a W A J a s f a Z 2 t 8 v L 4 K q A T w W Z A B G Y w C C 6 D 2 T B o A q e M y k A S A N H v N 5 A K j 8 d 0 O b + B p m b r Q w R j I H 8 i G T i Y E s e F z O k U A R v 2 U S S l A E j 0 t Z s d 9 T 8 L K U F 4 M m e l G l i H 6 H I P F f 0 x k p K L q x L A o I o S 8 c n S 5 x M B g I B / L d K M i z 5 U j 3 j p D i y L K q G N Y c R H J D U x m Q x v G F R j r V l 3 j l k y p h j y C G Y i O f Z E M L / z 0 x g y J 4 N Q c 9 + Z 6 0 U Q W t M F Q g j S a Z i 2 F N 8 F 0 p v E + W X h / W y s Z S d x + d 2 I r I N n G W Q a R X d a v 5 J N M o d b 6 G u 1 b u T 5 Z K p u R O l V U 6 9 T m a 2 u O y n 6 C n 1 6 9 R c w H 9 U P 8 P V V r 8 D n r 1 2 A h 2 D U e N w U b 4 a d C 2 M Y h 6 O k L v q S v C V K u U R h P y T R / y w U 1 I t 7 l w L 6 g Y l w b + / j T K 0 Q R g 2 F P i R d D Q B J z + I Y k A s e v K U S 4 k q z C E I W V P o K D S P Q y F D I j S H Q n S + G z I c H z s K 8 u K S N v v L M G + 6 j W u J u L J 3 Z 0 G I 8 o f f 8 5 R R p u 2 T z x 2 B Z W G j l 1 G R 7 8 F j c + n U 8 J L X T J 0 u L V 5 T I l t S U P J J t B G z q x c k R m 8 / B V n 2 c F 4 K T u G Y Q s g l u b w u D v l 3 / 5 k I 5 v C g r L c G v 4 M u b v l P Q S E D X b w i 7 6 w M t p 4 r M C S l e Q 5 w v O 8 U 5 l L g M z 1 n M p c w 6 n M d Z 3 K L H Y q t a W f v / d e w a X M f 7 p L m d / j U m b K p c x l l 0 o H 5 k 1 v a t M 7 n P 5 j j C Z Y h T I w i Q 6 G f + o F 6 d k 6 9 5 M q E D / u J / 9 P 7 i e r + 7 t b B R e Q o K 7 V i t V 7 q 9 + 0 J d X F F 9 + v H f 6 4 X / u e + z U z W 8 1 / 5 h L t x 3 X Z v + y 6 L L V 4 / 6 7 7 s u z E M h d m y Z V y 4 Y 1 Z 7 k I s + e 7 H j V j h j Z h c z a e l M y N L 3 7 / K H C z 1 / x J U J W 7 l C R J e F H B n 4 h + K b 1 2 H b U Z 8 W 3 p D G e a L z S Z E g J M p J 6 4 b S W R 7 G S K W D L q z e 3 H g u r P z 8 / H b / n B m 9 r a q 3 S 3 7 e P H 7 2 e 3 i i z X / w i 6 o P T L 7 d E f 0 D g 5 P z + j 4 8 h 2 d v 3 + g o 9 m C t n h 9 4 T X H X + x P o o s n l 3 t v 7 s 7 a 8 x F + + + G / F 5 8 v G 6 P z + 0 6 1 8 9 A S 3 V 7 r t N f 4 3 W p 1 7 4 8 / n e w 4 D + 7 7 0 b v a 5 1 2 z u m i a Z 2 z 4 s U n F 3 F u c X 9 T r R 0 d g s g B j C 7 z C A i N s v s E u 2 d u B G L U R T o L K K Z J b G / Y 9 h P v S J m g g w B S l U r g Q t i 2 N 4 q 9 q G Y H H Y n T V I 5 x i m z 4 Q a 1 P O G 1 o H F x a I s t A F / E + u / M P s C P q T F y h L x W 5 f / r W 8 9 h H c V 2 2 u X G E 9 f Z V a 6 D l / A V B L A Q I t A B Q A A g A I A F R 2 b V r + L c 4 D p g A A A P c A A A A S A A A A A A A A A A A A A A A A A A A A A A B D b 2 5 m a W c v U G F j a 2 F n Z S 5 4 b W x Q S w E C L Q A U A A I A C A B U d m 1 a U 3 I 4 L J s A A A D h A A A A E w A A A A A A A A A A A A A A A A D y A A A A W 0 N v b n R l b n R f V H l w Z X N d L n h t b F B L A Q I t A B Q A A g A I A F R 2 b V q J k T j B h g o A A O E y A A A T A A A A A A A A A A A A A A A A A N o B A A B G b 3 J t d W x h c y 9 T Z W N 0 a W 9 u M S 5 t U E s F B g A A A A A D A A M A w g A A A K 0 M 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u F A A A A A A A A O Y U 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1 h a W 4 l M j B B b m F s e X N p c y U y M C U y N i U y M F J l c 3 V s d H M 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Q t M T E t M D h U M T E 6 N T c 6 M T Q u N T E x N z c x N V o i I C 8 + P E V u d H J 5 I F R 5 c G U 9 I k Z p b G x D b 2 x 1 b W 5 U e X B l c y I g V m F s d W U 9 I n N B Q U F B Q m d Z R 0 J n W U F B Q U F B Q U F Z Q U F B 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M m I 1 M G E 0 Z D g t O G M 3 Z S 0 0 Z G Q z L T h k N D U t N m Y 5 N D Y w Y T U y Y j d m I i A v P j x F b n R y e S B U e X B l P S J S Z W x h d G l v b n N o a X B J b m Z v Q 2 9 u d G F p b m V y I i B W Y W x 1 Z T 0 i c 3 s m c X V v d D t j b 2 x 1 b W 5 D b 3 V u d C Z x d W 9 0 O z o y N S w m c X V v d D t r Z X l D b 2 x 1 b W 5 O Y W 1 l c y Z x d W 9 0 O z p b X S w m c X V v d D t x d W V y e V J l b G F 0 a W 9 u c 2 h p c H M m c X V v d D s 6 W 1 0 s J n F 1 b 3 Q 7 Y 2 9 s d W 1 u S W R l b n R p d G l l c y Z x d W 9 0 O z p b J n F 1 b 3 Q 7 U 2 V j d G l v b j E v T W F p b i B B b m F s e X N p c y B c d T A w M j Y g U m V z d W x 0 c y 9 B d X R v U m V t b 3 Z l Z E N v b H V t b n M x L n t D b 2 x 1 b W 4 x L D B 9 J n F 1 b 3 Q 7 L C Z x d W 9 0 O 1 N l Y 3 R p b 2 4 x L 0 1 h a W 4 g Q W 5 h b H l z a X M g X H U w M D I 2 I F J l c 3 V s d H M v Q X V 0 b 1 J l b W 9 2 Z W R D b 2 x 1 b W 5 z M S 5 7 Q 2 9 s d W 1 u M i w x f S Z x d W 9 0 O y w m c X V v d D t T Z W N 0 a W 9 u M S 9 N Y W l u I E F u Y W x 5 c 2 l z I F x 1 M D A y N i B S Z X N 1 b H R z L 0 F 1 d G 9 S Z W 1 v d m V k Q 2 9 s d W 1 u c z E u e 0 N v b H V t b j M s M n 0 m c X V v d D s s J n F 1 b 3 Q 7 U 2 V j d G l v b j E v T W F p b i B B b m F s e X N p c y B c d T A w M j Y g U m V z d W x 0 c y 9 B d X R v U m V t b 3 Z l Z E N v b H V t b n M x L n t D b 2 x 1 b W 4 0 L D N 9 J n F 1 b 3 Q 7 L C Z x d W 9 0 O 1 N l Y 3 R p b 2 4 x L 0 1 h a W 4 g Q W 5 h b H l z a X M g X H U w M D I 2 I F J l c 3 V s d H M v Q X V 0 b 1 J l b W 9 2 Z W R D b 2 x 1 b W 5 z M S 5 7 Q 2 9 s d W 1 u N S w 0 f S Z x d W 9 0 O y w m c X V v d D t T Z W N 0 a W 9 u M S 9 N Y W l u I E F u Y W x 5 c 2 l z I F x 1 M D A y N i B S Z X N 1 b H R z L 0 F 1 d G 9 S Z W 1 v d m V k Q 2 9 s d W 1 u c z E u e 0 N v b H V t b j Y s N X 0 m c X V v d D s s J n F 1 b 3 Q 7 U 2 V j d G l v b j E v T W F p b i B B b m F s e X N p c y B c d T A w M j Y g U m V z d W x 0 c y 9 B d X R v U m V t b 3 Z l Z E N v b H V t b n M x L n t D b 2 x 1 b W 4 3 L D Z 9 J n F 1 b 3 Q 7 L C Z x d W 9 0 O 1 N l Y 3 R p b 2 4 x L 0 1 h a W 4 g Q W 5 h b H l z a X M g X H U w M D I 2 I F J l c 3 V s d H M v Q X V 0 b 1 J l b W 9 2 Z W R D b 2 x 1 b W 5 z M S 5 7 Q 2 9 s d W 1 u O C w 3 f S Z x d W 9 0 O y w m c X V v d D t T Z W N 0 a W 9 u M S 9 N Y W l u I E F u Y W x 5 c 2 l z I F x 1 M D A y N i B S Z X N 1 b H R z L 0 F 1 d G 9 S Z W 1 v d m V k Q 2 9 s d W 1 u c z E u e 0 N v b H V t b j k s O H 0 m c X V v d D s s J n F 1 b 3 Q 7 U 2 V j d G l v b j E v T W F p b i B B b m F s e X N p c y B c d T A w M j Y g U m V z d W x 0 c y 9 B d X R v U m V t b 3 Z l Z E N v b H V t b n M x L n t D b 2 x 1 b W 4 x M C w 5 f S Z x d W 9 0 O y w m c X V v d D t T Z W N 0 a W 9 u M S 9 N Y W l u I E F u Y W x 5 c 2 l z I F x 1 M D A y N i B S Z X N 1 b H R z L 0 F 1 d G 9 S Z W 1 v d m V k Q 2 9 s d W 1 u c z E u e 0 N v b H V t b j E x L D E w f S Z x d W 9 0 O y w m c X V v d D t T Z W N 0 a W 9 u M S 9 N Y W l u I E F u Y W x 5 c 2 l z I F x 1 M D A y N i B S Z X N 1 b H R z L 0 F 1 d G 9 S Z W 1 v d m V k Q 2 9 s d W 1 u c z E u e 0 N v b H V t b j E y L D E x f S Z x d W 9 0 O y w m c X V v d D t T Z W N 0 a W 9 u M S 9 N Y W l u I E F u Y W x 5 c 2 l z I F x 1 M D A y N i B S Z X N 1 b H R z L 0 F 1 d G 9 S Z W 1 v d m V k Q 2 9 s d W 1 u c z E u e 0 N v b H V t b j E z L D E y f S Z x d W 9 0 O y w m c X V v d D t T Z W N 0 a W 9 u M S 9 N Y W l u I E F u Y W x 5 c 2 l z I F x 1 M D A y N i B S Z X N 1 b H R z L 0 F 1 d G 9 S Z W 1 v d m V k Q 2 9 s d W 1 u c z E u e 0 N v b H V t b j E 0 L D E z f S Z x d W 9 0 O y w m c X V v d D t T Z W N 0 a W 9 u M S 9 N Y W l u I E F u Y W x 5 c 2 l z I F x 1 M D A y N i B S Z X N 1 b H R z L 0 F 1 d G 9 S Z W 1 v d m V k Q 2 9 s d W 1 u c z E u e 0 N v b H V t b j E 1 L D E 0 f S Z x d W 9 0 O y w m c X V v d D t T Z W N 0 a W 9 u M S 9 N Y W l u I E F u Y W x 5 c 2 l z I F x 1 M D A y N i B S Z X N 1 b H R z L 0 F 1 d G 9 S Z W 1 v d m V k Q 2 9 s d W 1 u c z E u e 0 N v b H V t b j E 2 L D E 1 f S Z x d W 9 0 O y w m c X V v d D t T Z W N 0 a W 9 u M S 9 N Y W l u I E F u Y W x 5 c 2 l z I F x 1 M D A y N i B S Z X N 1 b H R z L 0 F 1 d G 9 S Z W 1 v d m V k Q 2 9 s d W 1 u c z E u e 0 N v b H V t b j E 3 L D E 2 f S Z x d W 9 0 O y w m c X V v d D t T Z W N 0 a W 9 u M S 9 N Y W l u I E F u Y W x 5 c 2 l z I F x 1 M D A y N i B S Z X N 1 b H R z L 0 F 1 d G 9 S Z W 1 v d m V k Q 2 9 s d W 1 u c z E u e 0 N v b H V t b j E 4 L D E 3 f S Z x d W 9 0 O y w m c X V v d D t T Z W N 0 a W 9 u M S 9 N Y W l u I E F u Y W x 5 c 2 l z I F x 1 M D A y N i B S Z X N 1 b H R z L 0 F 1 d G 9 S Z W 1 v d m V k Q 2 9 s d W 1 u c z E u e 0 N v b H V t b j E 5 L D E 4 f S Z x d W 9 0 O y w m c X V v d D t T Z W N 0 a W 9 u M S 9 N Y W l u I E F u Y W x 5 c 2 l z I F x 1 M D A y N i B S Z X N 1 b H R z L 0 F 1 d G 9 S Z W 1 v d m V k Q 2 9 s d W 1 u c z E u e 0 N v b H V t b j I w L D E 5 f S Z x d W 9 0 O y w m c X V v d D t T Z W N 0 a W 9 u M S 9 N Y W l u I E F u Y W x 5 c 2 l z I F x 1 M D A y N i B S Z X N 1 b H R z L 0 F 1 d G 9 S Z W 1 v d m V k Q 2 9 s d W 1 u c z E u e 0 N v b H V t b j I x L D I w f S Z x d W 9 0 O y w m c X V v d D t T Z W N 0 a W 9 u M S 9 N Y W l u I E F u Y W x 5 c 2 l z I F x 1 M D A y N i B S Z X N 1 b H R z L 0 F 1 d G 9 S Z W 1 v d m V k Q 2 9 s d W 1 u c z E u e 0 N v b H V t b j I y L D I x f S Z x d W 9 0 O y w m c X V v d D t T Z W N 0 a W 9 u M S 9 N Y W l u I E F u Y W x 5 c 2 l z I F x 1 M D A y N i B S Z X N 1 b H R z L 0 F 1 d G 9 S Z W 1 v d m V k Q 2 9 s d W 1 u c z E u e 0 N v b H V t b j I z L D I y f S Z x d W 9 0 O y w m c X V v d D t T Z W N 0 a W 9 u M S 9 N Y W l u I E F u Y W x 5 c 2 l z I F x 1 M D A y N i B S Z X N 1 b H R z L 0 F 1 d G 9 S Z W 1 v d m V k Q 2 9 s d W 1 u c z E u e 0 N v b H V t b j I 0 L D I z f S Z x d W 9 0 O y w m c X V v d D t T Z W N 0 a W 9 u M S 9 N Y W l u I E F u Y W x 5 c 2 l z I F x 1 M D A y N i B S Z X N 1 b H R z L 0 F 1 d G 9 S Z W 1 v d m V k Q 2 9 s d W 1 u c z E u e 0 N v b H V t b j I 1 L D I 0 f S Z x d W 9 0 O 1 0 s J n F 1 b 3 Q 7 Q 2 9 s d W 1 u Q 2 9 1 b n Q m c X V v d D s 6 M j U s J n F 1 b 3 Q 7 S 2 V 5 Q 2 9 s d W 1 u T m F t Z X M m c X V v d D s 6 W 1 0 s J n F 1 b 3 Q 7 Q 2 9 s d W 1 u S W R l b n R p d G l l c y Z x d W 9 0 O z p b J n F 1 b 3 Q 7 U 2 V j d G l v b j E v T W F p b i B B b m F s e X N p c y B c d T A w M j Y g U m V z d W x 0 c y 9 B d X R v U m V t b 3 Z l Z E N v b H V t b n M x L n t D b 2 x 1 b W 4 x L D B 9 J n F 1 b 3 Q 7 L C Z x d W 9 0 O 1 N l Y 3 R p b 2 4 x L 0 1 h a W 4 g Q W 5 h b H l z a X M g X H U w M D I 2 I F J l c 3 V s d H M v Q X V 0 b 1 J l b W 9 2 Z W R D b 2 x 1 b W 5 z M S 5 7 Q 2 9 s d W 1 u M i w x f S Z x d W 9 0 O y w m c X V v d D t T Z W N 0 a W 9 u M S 9 N Y W l u I E F u Y W x 5 c 2 l z I F x 1 M D A y N i B S Z X N 1 b H R z L 0 F 1 d G 9 S Z W 1 v d m V k Q 2 9 s d W 1 u c z E u e 0 N v b H V t b j M s M n 0 m c X V v d D s s J n F 1 b 3 Q 7 U 2 V j d G l v b j E v T W F p b i B B b m F s e X N p c y B c d T A w M j Y g U m V z d W x 0 c y 9 B d X R v U m V t b 3 Z l Z E N v b H V t b n M x L n t D b 2 x 1 b W 4 0 L D N 9 J n F 1 b 3 Q 7 L C Z x d W 9 0 O 1 N l Y 3 R p b 2 4 x L 0 1 h a W 4 g Q W 5 h b H l z a X M g X H U w M D I 2 I F J l c 3 V s d H M v Q X V 0 b 1 J l b W 9 2 Z W R D b 2 x 1 b W 5 z M S 5 7 Q 2 9 s d W 1 u N S w 0 f S Z x d W 9 0 O y w m c X V v d D t T Z W N 0 a W 9 u M S 9 N Y W l u I E F u Y W x 5 c 2 l z I F x 1 M D A y N i B S Z X N 1 b H R z L 0 F 1 d G 9 S Z W 1 v d m V k Q 2 9 s d W 1 u c z E u e 0 N v b H V t b j Y s N X 0 m c X V v d D s s J n F 1 b 3 Q 7 U 2 V j d G l v b j E v T W F p b i B B b m F s e X N p c y B c d T A w M j Y g U m V z d W x 0 c y 9 B d X R v U m V t b 3 Z l Z E N v b H V t b n M x L n t D b 2 x 1 b W 4 3 L D Z 9 J n F 1 b 3 Q 7 L C Z x d W 9 0 O 1 N l Y 3 R p b 2 4 x L 0 1 h a W 4 g Q W 5 h b H l z a X M g X H U w M D I 2 I F J l c 3 V s d H M v Q X V 0 b 1 J l b W 9 2 Z W R D b 2 x 1 b W 5 z M S 5 7 Q 2 9 s d W 1 u O C w 3 f S Z x d W 9 0 O y w m c X V v d D t T Z W N 0 a W 9 u M S 9 N Y W l u I E F u Y W x 5 c 2 l z I F x 1 M D A y N i B S Z X N 1 b H R z L 0 F 1 d G 9 S Z W 1 v d m V k Q 2 9 s d W 1 u c z E u e 0 N v b H V t b j k s O H 0 m c X V v d D s s J n F 1 b 3 Q 7 U 2 V j d G l v b j E v T W F p b i B B b m F s e X N p c y B c d T A w M j Y g U m V z d W x 0 c y 9 B d X R v U m V t b 3 Z l Z E N v b H V t b n M x L n t D b 2 x 1 b W 4 x M C w 5 f S Z x d W 9 0 O y w m c X V v d D t T Z W N 0 a W 9 u M S 9 N Y W l u I E F u Y W x 5 c 2 l z I F x 1 M D A y N i B S Z X N 1 b H R z L 0 F 1 d G 9 S Z W 1 v d m V k Q 2 9 s d W 1 u c z E u e 0 N v b H V t b j E x L D E w f S Z x d W 9 0 O y w m c X V v d D t T Z W N 0 a W 9 u M S 9 N Y W l u I E F u Y W x 5 c 2 l z I F x 1 M D A y N i B S Z X N 1 b H R z L 0 F 1 d G 9 S Z W 1 v d m V k Q 2 9 s d W 1 u c z E u e 0 N v b H V t b j E y L D E x f S Z x d W 9 0 O y w m c X V v d D t T Z W N 0 a W 9 u M S 9 N Y W l u I E F u Y W x 5 c 2 l z I F x 1 M D A y N i B S Z X N 1 b H R z L 0 F 1 d G 9 S Z W 1 v d m V k Q 2 9 s d W 1 u c z E u e 0 N v b H V t b j E z L D E y f S Z x d W 9 0 O y w m c X V v d D t T Z W N 0 a W 9 u M S 9 N Y W l u I E F u Y W x 5 c 2 l z I F x 1 M D A y N i B S Z X N 1 b H R z L 0 F 1 d G 9 S Z W 1 v d m V k Q 2 9 s d W 1 u c z E u e 0 N v b H V t b j E 0 L D E z f S Z x d W 9 0 O y w m c X V v d D t T Z W N 0 a W 9 u M S 9 N Y W l u I E F u Y W x 5 c 2 l z I F x 1 M D A y N i B S Z X N 1 b H R z L 0 F 1 d G 9 S Z W 1 v d m V k Q 2 9 s d W 1 u c z E u e 0 N v b H V t b j E 1 L D E 0 f S Z x d W 9 0 O y w m c X V v d D t T Z W N 0 a W 9 u M S 9 N Y W l u I E F u Y W x 5 c 2 l z I F x 1 M D A y N i B S Z X N 1 b H R z L 0 F 1 d G 9 S Z W 1 v d m V k Q 2 9 s d W 1 u c z E u e 0 N v b H V t b j E 2 L D E 1 f S Z x d W 9 0 O y w m c X V v d D t T Z W N 0 a W 9 u M S 9 N Y W l u I E F u Y W x 5 c 2 l z I F x 1 M D A y N i B S Z X N 1 b H R z L 0 F 1 d G 9 S Z W 1 v d m V k Q 2 9 s d W 1 u c z E u e 0 N v b H V t b j E 3 L D E 2 f S Z x d W 9 0 O y w m c X V v d D t T Z W N 0 a W 9 u M S 9 N Y W l u I E F u Y W x 5 c 2 l z I F x 1 M D A y N i B S Z X N 1 b H R z L 0 F 1 d G 9 S Z W 1 v d m V k Q 2 9 s d W 1 u c z E u e 0 N v b H V t b j E 4 L D E 3 f S Z x d W 9 0 O y w m c X V v d D t T Z W N 0 a W 9 u M S 9 N Y W l u I E F u Y W x 5 c 2 l z I F x 1 M D A y N i B S Z X N 1 b H R z L 0 F 1 d G 9 S Z W 1 v d m V k Q 2 9 s d W 1 u c z E u e 0 N v b H V t b j E 5 L D E 4 f S Z x d W 9 0 O y w m c X V v d D t T Z W N 0 a W 9 u M S 9 N Y W l u I E F u Y W x 5 c 2 l z I F x 1 M D A y N i B S Z X N 1 b H R z L 0 F 1 d G 9 S Z W 1 v d m V k Q 2 9 s d W 1 u c z E u e 0 N v b H V t b j I w L D E 5 f S Z x d W 9 0 O y w m c X V v d D t T Z W N 0 a W 9 u M S 9 N Y W l u I E F u Y W x 5 c 2 l z I F x 1 M D A y N i B S Z X N 1 b H R z L 0 F 1 d G 9 S Z W 1 v d m V k Q 2 9 s d W 1 u c z E u e 0 N v b H V t b j I x L D I w f S Z x d W 9 0 O y w m c X V v d D t T Z W N 0 a W 9 u M S 9 N Y W l u I E F u Y W x 5 c 2 l z I F x 1 M D A y N i B S Z X N 1 b H R z L 0 F 1 d G 9 S Z W 1 v d m V k Q 2 9 s d W 1 u c z E u e 0 N v b H V t b j I y L D I x f S Z x d W 9 0 O y w m c X V v d D t T Z W N 0 a W 9 u M S 9 N Y W l u I E F u Y W x 5 c 2 l z I F x 1 M D A y N i B S Z X N 1 b H R z L 0 F 1 d G 9 S Z W 1 v d m V k Q 2 9 s d W 1 u c z E u e 0 N v b H V t b j I z L D I y f S Z x d W 9 0 O y w m c X V v d D t T Z W N 0 a W 9 u M S 9 N Y W l u I E F u Y W x 5 c 2 l z I F x 1 M D A y N i B S Z X N 1 b H R z L 0 F 1 d G 9 S Z W 1 v d m V k Q 2 9 s d W 1 u c z E u e 0 N v b H V t b j I 0 L D I z f S Z x d W 9 0 O y w m c X V v d D t T Z W N 0 a W 9 u M S 9 N Y W l u I E F u Y W x 5 c 2 l z I F x 1 M D A y N i B S Z X N 1 b H R z L 0 F 1 d G 9 S Z W 1 v d m V k Q 2 9 s d W 1 u c z E u e 0 N v b H V t b j I 1 L D I 0 f S Z x d W 9 0 O 1 0 s J n F 1 b 3 Q 7 U m V s Y X R p b 2 5 z a G l w S W 5 m b y Z x d W 9 0 O z p b X X 0 i I C 8 + P E V u d H J 5 I F R 5 c G U 9 I l J l c 3 V s d F R 5 c G U i I F Z h b H V l P S J z R X h j Z X B 0 a W 9 u 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S W 1 w b 3 J 0 U 2 h l Z X R f V G F y Z 2 V 0 c z w v S X R l b V B h d G g + P C 9 J d G V t T G 9 j Y X R p b 2 4 + P F N 0 Y W J s Z U V u d H J p Z X M + P E V u d H J 5 I F R 5 c G U 9 I k Z p b G x F c n J v c k N v d W 5 0 I i B W Y W x 1 Z T 0 i b D E i I C 8 + P E V u d H J 5 I F R 5 c G U 9 I k 5 h d m l n Y X R p b 2 5 T d G V w T m F t Z S I g V m F s d W U 9 I n N O Y X Z p Z 2 F 0 a W 9 u I i A v P j x F b n R y e S B U e X B l P S J G a W x s R W 5 h Y m x l Z C I g V m F s d W U 9 I m w w I i A v P j x F b n R y e S B U e X B l P S J G a W x s T G F z d F V w Z G F 0 Z W Q i I F Z h b H V l P S J k M j A y N S 0 w M i 0 x O F Q x M D o 0 N T o w M y 4 z M z c x N j Q 4 W i I g L z 4 8 R W 5 0 c n k g V H l w Z T 0 i R m l s b E N v b H V t b l R 5 c G V z I i B W Y W x 1 Z T 0 i c 0 F 3 Q U F B Q U F B Q U F B Q U F B Q U F B Q U F B I i A v P j x F b n R y e S B U e X B l P S J G a W x s Q 2 9 s d W 1 u T m F t Z X M i I F Z h b H V l P S J z W y Z x d W 9 0 O 1 R p d G x l J n F 1 b 3 Q 7 L C Z x d W 9 0 O 2 d p e l 9 u Z G N f X 2 N v d W 5 0 c n k m c X V v d D s s J n F 1 b 3 Q 7 Z 2 l 6 X 2 5 k Y 1 9 f Z G 9 j d W 1 l b n Q m c X V v d D s s J n F 1 b 3 Q 7 Z 2 l 6 X 2 5 k Y 1 9 f a W 5 k a W N h d G 9 y c y Z x d W 9 0 O y w m c X V v d D t n a X p f b m R j X 1 9 h c 2 l f Z n J h b W V 3 b 3 J r J n F 1 b 3 Q 7 L C Z x d W 9 0 O 2 d p e l 9 u Z G N f X 2 d l b 3 B y Y X B o e S Z x d W 9 0 O y w m c X V v d D t n a X p f b m R j X 1 9 0 c m F u c 3 B v c n R f b W 9 k Z S Z x d W 9 0 O y w m c X V v d D t n a X p f b m R j X 1 9 h Y 3 R p d m l 0 e V 9 0 e X B l J n F 1 b 3 Q 7 L C Z x d W 9 0 O 2 d p e l 9 u Z G N f X 3 F 1 b 3 R l J n F 1 b 3 Q 7 L C Z x d W 9 0 O 2 d p e l 9 u Z G N f X 3 B h Z 2 U m c X V v d D s s J n F 1 b 3 Q 7 Z 2 l 6 X 2 5 k Y 1 9 f d G F y Z 2 V 0 X 3 R 5 c G U m c X V v d D s s J n F 1 b 3 Q 7 Z 2 l 6 X 2 5 k Y 1 9 f d H l l Y X I m c X V v d D s s J n F 1 b 3 Q 7 Z 2 l 6 X 2 5 k Y 1 9 f c m V w b 3 J 0 Z X I m c X V v d D s s J n F 1 b 3 Q 7 Z 2 l 6 X 2 5 k Y 1 9 f c m V w b 3 J 0 Z W R f Y X Q m c X V v d D s s J n F 1 b 3 Q 7 Z 2 l 6 X 2 5 k Y 1 9 f a W 5 2 Z X N 0 Z W 1 l b n Q m c X V v d D t d I i A v P j x F b n R y e S B U e X B l P S J G a W x s U 3 R h d H V z I i B W Y W x 1 Z T 0 i c 0 N v b X B s Z X R l I i A v P j x F b n R y e S B U e X B l P S J G a W x s Z W R D b 2 1 w b G V 0 Z V J l c 3 V s d F R v V 2 9 y a 3 N o Z W V 0 I i B W Y W x 1 Z T 0 i b D E i I C 8 + P E V u d H J 5 I F R 5 c G U 9 I l J l b G F 0 a W 9 u c 2 h p c E l u Z m 9 D b 2 5 0 Y W l u Z X I i I F Z h b H V l P S J z e y Z x d W 9 0 O 2 N v b H V t b k N v d W 5 0 J n F 1 b 3 Q 7 O j E 1 L C Z x d W 9 0 O 2 t l e U N v b H V t b k 5 h b W V z J n F 1 b 3 Q 7 O l t d L C Z x d W 9 0 O 3 F 1 Z X J 5 U m V s Y X R p b 2 5 z a G l w c y Z x d W 9 0 O z p b X S w m c X V v d D t j b 2 x 1 b W 5 J Z G V u d G l 0 a W V z J n F 1 b 3 Q 7 O l s m c X V v d D t T Z W N 0 a W 9 u M S 9 J b X B v c n R T a G V l d F 9 U Y X J n Z X R z L 0 F 1 d G 9 S Z W 1 v d m V k Q 2 9 s d W 1 u c z E u e 1 R p d G x l L D B 9 J n F 1 b 3 Q 7 L C Z x d W 9 0 O 1 N l Y 3 R p b 2 4 x L 0 l t c G 9 y d F N o Z W V 0 X 1 R h c m d l d H M v Q X V 0 b 1 J l b W 9 2 Z W R D b 2 x 1 b W 5 z M S 5 7 Z 2 l 6 X 2 5 k Y 1 9 f Y 2 9 1 b n R y e S w x f S Z x d W 9 0 O y w m c X V v d D t T Z W N 0 a W 9 u M S 9 J b X B v c n R T a G V l d F 9 U Y X J n Z X R z L 0 F 1 d G 9 S Z W 1 v d m V k Q 2 9 s d W 1 u c z E u e 2 d p e l 9 u Z G N f X 2 R v Y 3 V t Z W 5 0 L D J 9 J n F 1 b 3 Q 7 L C Z x d W 9 0 O 1 N l Y 3 R p b 2 4 x L 0 l t c G 9 y d F N o Z W V 0 X 1 R h c m d l d H M v Q X V 0 b 1 J l b W 9 2 Z W R D b 2 x 1 b W 5 z M S 5 7 Z 2 l 6 X 2 5 k Y 1 9 f a W 5 k a W N h d G 9 y c y w z f S Z x d W 9 0 O y w m c X V v d D t T Z W N 0 a W 9 u M S 9 J b X B v c n R T a G V l d F 9 U Y X J n Z X R z L 0 F 1 d G 9 S Z W 1 v d m V k Q 2 9 s d W 1 u c z E u e 2 d p e l 9 u Z G N f X 2 F z a V 9 m c m F t Z X d v c m s s N H 0 m c X V v d D s s J n F 1 b 3 Q 7 U 2 V j d G l v b j E v S W 1 w b 3 J 0 U 2 h l Z X R f V G F y Z 2 V 0 c y 9 B d X R v U m V t b 3 Z l Z E N v b H V t b n M x L n t n a X p f b m R j X 1 9 n Z W 9 w c m F w a H k s N X 0 m c X V v d D s s J n F 1 b 3 Q 7 U 2 V j d G l v b j E v S W 1 w b 3 J 0 U 2 h l Z X R f V G F y Z 2 V 0 c y 9 B d X R v U m V t b 3 Z l Z E N v b H V t b n M x L n t n a X p f b m R j X 1 9 0 c m F u c 3 B v c n R f b W 9 k Z S w 2 f S Z x d W 9 0 O y w m c X V v d D t T Z W N 0 a W 9 u M S 9 J b X B v c n R T a G V l d F 9 U Y X J n Z X R z L 0 F 1 d G 9 S Z W 1 v d m V k Q 2 9 s d W 1 u c z E u e 2 d p e l 9 u Z G N f X 2 F j d G l 2 a X R 5 X 3 R 5 c G U s N 3 0 m c X V v d D s s J n F 1 b 3 Q 7 U 2 V j d G l v b j E v S W 1 w b 3 J 0 U 2 h l Z X R f V G F y Z 2 V 0 c y 9 B d X R v U m V t b 3 Z l Z E N v b H V t b n M x L n t n a X p f b m R j X 1 9 x d W 9 0 Z S w 4 f S Z x d W 9 0 O y w m c X V v d D t T Z W N 0 a W 9 u M S 9 J b X B v c n R T a G V l d F 9 U Y X J n Z X R z L 0 F 1 d G 9 S Z W 1 v d m V k Q 2 9 s d W 1 u c z E u e 2 d p e l 9 u Z G N f X 3 B h Z 2 U s O X 0 m c X V v d D s s J n F 1 b 3 Q 7 U 2 V j d G l v b j E v S W 1 w b 3 J 0 U 2 h l Z X R f V G F y Z 2 V 0 c y 9 B d X R v U m V t b 3 Z l Z E N v b H V t b n M x L n t n a X p f b m R j X 1 9 0 Y X J n Z X R f d H l w Z S w x M H 0 m c X V v d D s s J n F 1 b 3 Q 7 U 2 V j d G l v b j E v S W 1 w b 3 J 0 U 2 h l Z X R f V G F y Z 2 V 0 c y 9 B d X R v U m V t b 3 Z l Z E N v b H V t b n M x L n t n a X p f b m R j X 1 9 0 e W V h c i w x M X 0 m c X V v d D s s J n F 1 b 3 Q 7 U 2 V j d G l v b j E v S W 1 w b 3 J 0 U 2 h l Z X R f V G F y Z 2 V 0 c y 9 B d X R v U m V t b 3 Z l Z E N v b H V t b n M x L n t n a X p f b m R j X 1 9 y Z X B v c n R l c i w x M n 0 m c X V v d D s s J n F 1 b 3 Q 7 U 2 V j d G l v b j E v S W 1 w b 3 J 0 U 2 h l Z X R f V G F y Z 2 V 0 c y 9 B d X R v U m V t b 3 Z l Z E N v b H V t b n M x L n t n a X p f b m R j X 1 9 y Z X B v c n R l Z F 9 h d C w x M 3 0 m c X V v d D s s J n F 1 b 3 Q 7 U 2 V j d G l v b j E v S W 1 w b 3 J 0 U 2 h l Z X R f V G F y Z 2 V 0 c y 9 B d X R v U m V t b 3 Z l Z E N v b H V t b n M x L n t n a X p f b m R j X 1 9 p b n Z l c 3 R l b W V u d C w x N H 0 m c X V v d D t d L C Z x d W 9 0 O 0 N v b H V t b k N v d W 5 0 J n F 1 b 3 Q 7 O j E 1 L C Z x d W 9 0 O 0 t l e U N v b H V t b k 5 h b W V z J n F 1 b 3 Q 7 O l t d L C Z x d W 9 0 O 0 N v b H V t b k l k Z W 5 0 a X R p Z X M m c X V v d D s 6 W y Z x d W 9 0 O 1 N l Y 3 R p b 2 4 x L 0 l t c G 9 y d F N o Z W V 0 X 1 R h c m d l d H M v Q X V 0 b 1 J l b W 9 2 Z W R D b 2 x 1 b W 5 z M S 5 7 V G l 0 b G U s M H 0 m c X V v d D s s J n F 1 b 3 Q 7 U 2 V j d G l v b j E v S W 1 w b 3 J 0 U 2 h l Z X R f V G F y Z 2 V 0 c y 9 B d X R v U m V t b 3 Z l Z E N v b H V t b n M x L n t n a X p f b m R j X 1 9 j b 3 V u d H J 5 L D F 9 J n F 1 b 3 Q 7 L C Z x d W 9 0 O 1 N l Y 3 R p b 2 4 x L 0 l t c G 9 y d F N o Z W V 0 X 1 R h c m d l d H M v Q X V 0 b 1 J l b W 9 2 Z W R D b 2 x 1 b W 5 z M S 5 7 Z 2 l 6 X 2 5 k Y 1 9 f Z G 9 j d W 1 l b n Q s M n 0 m c X V v d D s s J n F 1 b 3 Q 7 U 2 V j d G l v b j E v S W 1 w b 3 J 0 U 2 h l Z X R f V G F y Z 2 V 0 c y 9 B d X R v U m V t b 3 Z l Z E N v b H V t b n M x L n t n a X p f b m R j X 1 9 p b m R p Y 2 F 0 b 3 J z L D N 9 J n F 1 b 3 Q 7 L C Z x d W 9 0 O 1 N l Y 3 R p b 2 4 x L 0 l t c G 9 y d F N o Z W V 0 X 1 R h c m d l d H M v Q X V 0 b 1 J l b W 9 2 Z W R D b 2 x 1 b W 5 z M S 5 7 Z 2 l 6 X 2 5 k Y 1 9 f Y X N p X 2 Z y Y W 1 l d 2 9 y a y w 0 f S Z x d W 9 0 O y w m c X V v d D t T Z W N 0 a W 9 u M S 9 J b X B v c n R T a G V l d F 9 U Y X J n Z X R z L 0 F 1 d G 9 S Z W 1 v d m V k Q 2 9 s d W 1 u c z E u e 2 d p e l 9 u Z G N f X 2 d l b 3 B y Y X B o e S w 1 f S Z x d W 9 0 O y w m c X V v d D t T Z W N 0 a W 9 u M S 9 J b X B v c n R T a G V l d F 9 U Y X J n Z X R z L 0 F 1 d G 9 S Z W 1 v d m V k Q 2 9 s d W 1 u c z E u e 2 d p e l 9 u Z G N f X 3 R y Y W 5 z c G 9 y d F 9 t b 2 R l L D Z 9 J n F 1 b 3 Q 7 L C Z x d W 9 0 O 1 N l Y 3 R p b 2 4 x L 0 l t c G 9 y d F N o Z W V 0 X 1 R h c m d l d H M v Q X V 0 b 1 J l b W 9 2 Z W R D b 2 x 1 b W 5 z M S 5 7 Z 2 l 6 X 2 5 k Y 1 9 f Y W N 0 a X Z p d H l f d H l w Z S w 3 f S Z x d W 9 0 O y w m c X V v d D t T Z W N 0 a W 9 u M S 9 J b X B v c n R T a G V l d F 9 U Y X J n Z X R z L 0 F 1 d G 9 S Z W 1 v d m V k Q 2 9 s d W 1 u c z E u e 2 d p e l 9 u Z G N f X 3 F 1 b 3 R l L D h 9 J n F 1 b 3 Q 7 L C Z x d W 9 0 O 1 N l Y 3 R p b 2 4 x L 0 l t c G 9 y d F N o Z W V 0 X 1 R h c m d l d H M v Q X V 0 b 1 J l b W 9 2 Z W R D b 2 x 1 b W 5 z M S 5 7 Z 2 l 6 X 2 5 k Y 1 9 f c G F n Z S w 5 f S Z x d W 9 0 O y w m c X V v d D t T Z W N 0 a W 9 u M S 9 J b X B v c n R T a G V l d F 9 U Y X J n Z X R z L 0 F 1 d G 9 S Z W 1 v d m V k Q 2 9 s d W 1 u c z E u e 2 d p e l 9 u Z G N f X 3 R h c m d l d F 9 0 e X B l L D E w f S Z x d W 9 0 O y w m c X V v d D t T Z W N 0 a W 9 u M S 9 J b X B v c n R T a G V l d F 9 U Y X J n Z X R z L 0 F 1 d G 9 S Z W 1 v d m V k Q 2 9 s d W 1 u c z E u e 2 d p e l 9 u Z G N f X 3 R 5 Z W F y L D E x f S Z x d W 9 0 O y w m c X V v d D t T Z W N 0 a W 9 u M S 9 J b X B v c n R T a G V l d F 9 U Y X J n Z X R z L 0 F 1 d G 9 S Z W 1 v d m V k Q 2 9 s d W 1 u c z E u e 2 d p e l 9 u Z G N f X 3 J l c G 9 y d G V y L D E y f S Z x d W 9 0 O y w m c X V v d D t T Z W N 0 a W 9 u M S 9 J b X B v c n R T a G V l d F 9 U Y X J n Z X R z L 0 F 1 d G 9 S Z W 1 v d m V k Q 2 9 s d W 1 u c z E u e 2 d p e l 9 u Z G N f X 3 J l c G 9 y d G V k X 2 F 0 L D E z f S Z x d W 9 0 O y w m c X V v d D t T Z W N 0 a W 9 u M S 9 J b X B v c n R T a G V l d F 9 U Y X J n Z X R z L 0 F 1 d G 9 S Z W 1 v d m V k Q 2 9 s d W 1 u c z E u e 2 d p e l 9 u Z G N f X 2 l u d m V z d G V t Z W 5 0 L D E 0 f S Z x d W 9 0 O 1 0 s J n F 1 b 3 Q 7 U m V s Y X R p b 2 5 z a G l w S W 5 m b y Z x d W 9 0 O z p b X X 0 i I C 8 + P E V u d H J 5 I F R 5 c G U 9 I k Z p b G x U b 0 R h d G F N b 2 R l b E V u Y W J s Z W Q i I F Z h b H V l P S J s M C I g L z 4 8 R W 5 0 c n k g V H l w Z T 0 i S X N Q c m l 2 Y X R l I i B W Y W x 1 Z T 0 i b D A i I C 8 + P E V u d H J 5 I F R 5 c G U 9 I l F 1 Z X J 5 S U Q i I F Z h b H V l P S J z N j I z Z T B m M D Q t Y m V k N C 0 0 Y z A 2 L T k 3 N m Y t O D F m Y j M 5 N z c 3 N T J l I i A v P j x F b n R y e S B U e X B l P S J O Y W 1 l V X B k Y X R l Z E F m d G V y R m l s b C I g V m F s d W U 9 I m w w I i A v P j x F b n R y e S B U e X B l P S J C d W Z m Z X J O Z X h 0 U m V m c m V z a C I g V m F s d W U 9 I m w x I i A v P j x F b n R y e S B U e X B l P S J G a W x s T 2 J q Z W N 0 V H l w Z S I g V m F s d W U 9 I n N D b 2 5 u Z W N 0 a W 9 u T 2 5 s e S I g L z 4 8 R W 5 0 c n k g V H l w Z T 0 i U m V z d W x 0 V H l w Z S I g V m F s d W U 9 I n N U Y W J s Z S I g L z 4 8 R W 5 0 c n k g V H l w Z T 0 i R m l s b E V y c m 9 y Q 2 9 k Z S I g V m F s d W U 9 I n N V b m t u b 3 d u I i A v P j x F b n R y e S B U e X B l P S J G a W x s Q 2 9 1 b n Q i I F Z h b H V l P S J s N D I i I C 8 + P E V u d H J 5 I F R 5 c G U 9 I k F k Z G V k V G 9 E Y X R h T W 9 k Z W w i I F Z h b H V l P S J s M C I g L z 4 8 L 1 N 0 Y W J s Z U V u d H J p Z X M + P C 9 J d G V t P j x J d G V t P j x J d G V t T G 9 j Y X R p b 2 4 + P E l 0 Z W 1 U e X B l P k Z v c m 1 1 b G E 8 L 0 l 0 Z W 1 U e X B l P j x J d G V t U G F 0 a D 5 T Z W N 0 a W 9 u M S 9 J b X B v c n R T a G V l d F 9 N Z W F z d X J l c z w v S X R l b V B h d G g + P C 9 J d G V t T G 9 j Y X R p b 2 4 + P F N 0 Y W J s Z U V u d H J p Z X M + P E V u d H J 5 I F R 5 c G U 9 I k Z p b G x F c n J v c k N v Z G U i I F Z h b H V l P S J z V W 5 r b m 9 3 b i I g L z 4 8 R W 5 0 c n k g V H l w Z T 0 i T m F 2 a W d h d G l v b l N 0 Z X B O Y W 1 l I i B W Y W x 1 Z T 0 i c 0 5 h d m l n Y X R p b 2 4 i I C 8 + P E V u d H J 5 I F R 5 c G U 9 I k Z p b G x F c n J v c k N v d W 5 0 I i B W Y W x 1 Z T 0 i b D A i I C 8 + P E V u d H J 5 I F R 5 c G U 9 I k Z p b G x F b m F i b G V k I i B W Y W x 1 Z T 0 i b D A i I C 8 + P E V u d H J 5 I F R 5 c G U 9 I k Z p b G x M Y X N 0 V X B k Y X R l Z C I g V m F s d W U 9 I m Q y M D I 1 L T A y L T E 4 V D E w O j U 2 O j U y L j c y O D E z O T Z a I i A v P j x F b n R y e S B U e X B l P S J G a W x s Q 2 9 s d W 1 u V H l w Z X M i I F Z h b H V l P S J z Q X d Z R E F B W U d C Z 1 l H Q U F B Q U F B Q U E i I C 8 + P E V u d H J 5 I F R 5 c G U 9 I k Z p b G x D b 2 x 1 b W 5 O Y W 1 l c y I g V m F s d W U 9 I n N b J n F 1 b 3 Q 7 V G l 0 b G U m c X V v d D s s J n F 1 b 3 Q 7 Z 2 l 6 X 2 5 k Y 1 9 f Y 2 9 1 b n R y e S Z x d W 9 0 O y w m c X V v d D t n a X p f b m R j X 1 9 k b 2 N 1 b W V u d C Z x d W 9 0 O y w m c X V v d D t n a X p f b m R j X 1 9 p b m R p Y 2 F 0 b 3 J z J n F 1 b 3 Q 7 L C Z x d W 9 0 O 2 d p e l 9 u Z G N f X 2 F z a V 9 m c m F t Z X d v c m s m c X V v d D s s J n F 1 b 3 Q 7 Z 2 l 6 X 2 5 k Y 1 9 f Z 2 V v c H J h c G h 5 J n F 1 b 3 Q 7 L C Z x d W 9 0 O 2 d p e l 9 u Z G N f X 3 R y Y W 5 z c G 9 y d F 9 t b 2 R l J n F 1 b 3 Q 7 L C Z x d W 9 0 O 2 d p e l 9 u Z G N f X 2 F j d G l 2 a X R 5 X 3 R 5 c G U m c X V v d D s s J n F 1 b 3 Q 7 Z 2 l 6 X 2 5 k Y 1 9 f c X V v d G U m c X V v d D s s J n F 1 b 3 Q 7 Z 2 l 6 X 2 5 k Y 1 9 f c G F n Z S Z x d W 9 0 O y w m c X V v d D t n a X p f b m R j X 1 9 0 Y X J n Z X R f d H l w Z S Z x d W 9 0 O y w m c X V v d D t n a X p f b m R j X 1 9 0 e W V h c i Z x d W 9 0 O y w m c X V v d D t n a X p f b m R j X 1 9 y Z X B v c n R l c i Z x d W 9 0 O y w m c X V v d D t n a X p f b m R j X 1 9 y Z X B v c n R l Z F 9 h d C Z x d W 9 0 O y w m c X V v d D t n a X p f b m R j X 1 9 p b n Z l c 3 R l b W V u d C Z x d W 9 0 O 1 0 i I C 8 + P E V u d H J 5 I F R 5 c G U 9 I k Z p b G x T d G F 0 d X M i I F Z h b H V l P S J z Q 2 9 t c G x l d G U i I C 8 + P E V u d H J 5 I F R 5 c G U 9 I k Z p b G x l Z E N v b X B s Z X R l U m V z d W x 0 V G 9 X b 3 J r c 2 h l Z X Q i I F Z h b H V l P S J s M S I g L z 4 8 R W 5 0 c n k g V H l w Z T 0 i U m V s Y X R p b 2 5 z a G l w S W 5 m b 0 N v b n R h a W 5 l c i I g V m F s d W U 9 I n N 7 J n F 1 b 3 Q 7 Y 2 9 s d W 1 u Q 2 9 1 b n Q m c X V v d D s 6 M T U s J n F 1 b 3 Q 7 a 2 V 5 Q 2 9 s d W 1 u T m F t Z X M m c X V v d D s 6 W 1 0 s J n F 1 b 3 Q 7 c X V l c n l S Z W x h d G l v b n N o a X B z J n F 1 b 3 Q 7 O l t d L C Z x d W 9 0 O 2 N v b H V t b k l k Z W 5 0 a X R p Z X M m c X V v d D s 6 W y Z x d W 9 0 O 1 N l Y 3 R p b 2 4 x L 0 l t c G 9 y d F N o Z W V 0 X 0 1 l Y X N 1 c m V z L 0 F 1 d G 9 S Z W 1 v d m V k Q 2 9 s d W 1 u c z E u e 1 R p d G x l L D B 9 J n F 1 b 3 Q 7 L C Z x d W 9 0 O 1 N l Y 3 R p b 2 4 x L 0 l t c G 9 y d F N o Z W V 0 X 0 1 l Y X N 1 c m V z L 0 F 1 d G 9 S Z W 1 v d m V k Q 2 9 s d W 1 u c z E u e 2 d p e l 9 u Z G N f X 2 N v d W 5 0 c n k s M X 0 m c X V v d D s s J n F 1 b 3 Q 7 U 2 V j d G l v b j E v S W 1 w b 3 J 0 U 2 h l Z X R f T W V h c 3 V y Z X M v Q X V 0 b 1 J l b W 9 2 Z W R D b 2 x 1 b W 5 z M S 5 7 Z 2 l 6 X 2 5 k Y 1 9 f Z G 9 j d W 1 l b n Q s M n 0 m c X V v d D s s J n F 1 b 3 Q 7 U 2 V j d G l v b j E v S W 1 w b 3 J 0 U 2 h l Z X R f T W V h c 3 V y Z X M v Q X V 0 b 1 J l b W 9 2 Z W R D b 2 x 1 b W 5 z M S 5 7 Z 2 l 6 X 2 5 k Y 1 9 f a W 5 k a W N h d G 9 y c y w z f S Z x d W 9 0 O y w m c X V v d D t T Z W N 0 a W 9 u M S 9 J b X B v c n R T a G V l d F 9 N Z W F z d X J l c y 9 B d X R v U m V t b 3 Z l Z E N v b H V t b n M x L n t n a X p f b m R j X 1 9 h c 2 l f Z n J h b W V 3 b 3 J r L D R 9 J n F 1 b 3 Q 7 L C Z x d W 9 0 O 1 N l Y 3 R p b 2 4 x L 0 l t c G 9 y d F N o Z W V 0 X 0 1 l Y X N 1 c m V z L 0 F 1 d G 9 S Z W 1 v d m V k Q 2 9 s d W 1 u c z E u e 2 d p e l 9 u Z G N f X 2 d l b 3 B y Y X B o e S w 1 f S Z x d W 9 0 O y w m c X V v d D t T Z W N 0 a W 9 u M S 9 J b X B v c n R T a G V l d F 9 N Z W F z d X J l c y 9 B d X R v U m V t b 3 Z l Z E N v b H V t b n M x L n t n a X p f b m R j X 1 9 0 c m F u c 3 B v c n R f b W 9 k Z S w 2 f S Z x d W 9 0 O y w m c X V v d D t T Z W N 0 a W 9 u M S 9 J b X B v c n R T a G V l d F 9 N Z W F z d X J l c y 9 B d X R v U m V t b 3 Z l Z E N v b H V t b n M x L n t n a X p f b m R j X 1 9 h Y 3 R p d m l 0 e V 9 0 e X B l L D d 9 J n F 1 b 3 Q 7 L C Z x d W 9 0 O 1 N l Y 3 R p b 2 4 x L 0 l t c G 9 y d F N o Z W V 0 X 0 1 l Y X N 1 c m V z L 0 F 1 d G 9 S Z W 1 v d m V k Q 2 9 s d W 1 u c z E u e 2 d p e l 9 u Z G N f X 3 F 1 b 3 R l L D h 9 J n F 1 b 3 Q 7 L C Z x d W 9 0 O 1 N l Y 3 R p b 2 4 x L 0 l t c G 9 y d F N o Z W V 0 X 0 1 l Y X N 1 c m V z L 0 F 1 d G 9 S Z W 1 v d m V k Q 2 9 s d W 1 u c z E u e 2 d p e l 9 u Z G N f X 3 B h Z 2 U s O X 0 m c X V v d D s s J n F 1 b 3 Q 7 U 2 V j d G l v b j E v S W 1 w b 3 J 0 U 2 h l Z X R f T W V h c 3 V y Z X M v Q X V 0 b 1 J l b W 9 2 Z W R D b 2 x 1 b W 5 z M S 5 7 Z 2 l 6 X 2 5 k Y 1 9 f d G F y Z 2 V 0 X 3 R 5 c G U s M T B 9 J n F 1 b 3 Q 7 L C Z x d W 9 0 O 1 N l Y 3 R p b 2 4 x L 0 l t c G 9 y d F N o Z W V 0 X 0 1 l Y X N 1 c m V z L 0 F 1 d G 9 S Z W 1 v d m V k Q 2 9 s d W 1 u c z E u e 2 d p e l 9 u Z G N f X 3 R 5 Z W F y L D E x f S Z x d W 9 0 O y w m c X V v d D t T Z W N 0 a W 9 u M S 9 J b X B v c n R T a G V l d F 9 N Z W F z d X J l c y 9 B d X R v U m V t b 3 Z l Z E N v b H V t b n M x L n t n a X p f b m R j X 1 9 y Z X B v c n R l c i w x M n 0 m c X V v d D s s J n F 1 b 3 Q 7 U 2 V j d G l v b j E v S W 1 w b 3 J 0 U 2 h l Z X R f T W V h c 3 V y Z X M v Q X V 0 b 1 J l b W 9 2 Z W R D b 2 x 1 b W 5 z M S 5 7 Z 2 l 6 X 2 5 k Y 1 9 f c m V w b 3 J 0 Z W R f Y X Q s M T N 9 J n F 1 b 3 Q 7 L C Z x d W 9 0 O 1 N l Y 3 R p b 2 4 x L 0 l t c G 9 y d F N o Z W V 0 X 0 1 l Y X N 1 c m V z L 0 F 1 d G 9 S Z W 1 v d m V k Q 2 9 s d W 1 u c z E u e 2 d p e l 9 u Z G N f X 2 l u d m V z d G V t Z W 5 0 L D E 0 f S Z x d W 9 0 O 1 0 s J n F 1 b 3 Q 7 Q 2 9 s d W 1 u Q 2 9 1 b n Q m c X V v d D s 6 M T U s J n F 1 b 3 Q 7 S 2 V 5 Q 2 9 s d W 1 u T m F t Z X M m c X V v d D s 6 W 1 0 s J n F 1 b 3 Q 7 Q 2 9 s d W 1 u S W R l b n R p d G l l c y Z x d W 9 0 O z p b J n F 1 b 3 Q 7 U 2 V j d G l v b j E v S W 1 w b 3 J 0 U 2 h l Z X R f T W V h c 3 V y Z X M v Q X V 0 b 1 J l b W 9 2 Z W R D b 2 x 1 b W 5 z M S 5 7 V G l 0 b G U s M H 0 m c X V v d D s s J n F 1 b 3 Q 7 U 2 V j d G l v b j E v S W 1 w b 3 J 0 U 2 h l Z X R f T W V h c 3 V y Z X M v Q X V 0 b 1 J l b W 9 2 Z W R D b 2 x 1 b W 5 z M S 5 7 Z 2 l 6 X 2 5 k Y 1 9 f Y 2 9 1 b n R y e S w x f S Z x d W 9 0 O y w m c X V v d D t T Z W N 0 a W 9 u M S 9 J b X B v c n R T a G V l d F 9 N Z W F z d X J l c y 9 B d X R v U m V t b 3 Z l Z E N v b H V t b n M x L n t n a X p f b m R j X 1 9 k b 2 N 1 b W V u d C w y f S Z x d W 9 0 O y w m c X V v d D t T Z W N 0 a W 9 u M S 9 J b X B v c n R T a G V l d F 9 N Z W F z d X J l c y 9 B d X R v U m V t b 3 Z l Z E N v b H V t b n M x L n t n a X p f b m R j X 1 9 p b m R p Y 2 F 0 b 3 J z L D N 9 J n F 1 b 3 Q 7 L C Z x d W 9 0 O 1 N l Y 3 R p b 2 4 x L 0 l t c G 9 y d F N o Z W V 0 X 0 1 l Y X N 1 c m V z L 0 F 1 d G 9 S Z W 1 v d m V k Q 2 9 s d W 1 u c z E u e 2 d p e l 9 u Z G N f X 2 F z a V 9 m c m F t Z X d v c m s s N H 0 m c X V v d D s s J n F 1 b 3 Q 7 U 2 V j d G l v b j E v S W 1 w b 3 J 0 U 2 h l Z X R f T W V h c 3 V y Z X M v Q X V 0 b 1 J l b W 9 2 Z W R D b 2 x 1 b W 5 z M S 5 7 Z 2 l 6 X 2 5 k Y 1 9 f Z 2 V v c H J h c G h 5 L D V 9 J n F 1 b 3 Q 7 L C Z x d W 9 0 O 1 N l Y 3 R p b 2 4 x L 0 l t c G 9 y d F N o Z W V 0 X 0 1 l Y X N 1 c m V z L 0 F 1 d G 9 S Z W 1 v d m V k Q 2 9 s d W 1 u c z E u e 2 d p e l 9 u Z G N f X 3 R y Y W 5 z c G 9 y d F 9 t b 2 R l L D Z 9 J n F 1 b 3 Q 7 L C Z x d W 9 0 O 1 N l Y 3 R p b 2 4 x L 0 l t c G 9 y d F N o Z W V 0 X 0 1 l Y X N 1 c m V z L 0 F 1 d G 9 S Z W 1 v d m V k Q 2 9 s d W 1 u c z E u e 2 d p e l 9 u Z G N f X 2 F j d G l 2 a X R 5 X 3 R 5 c G U s N 3 0 m c X V v d D s s J n F 1 b 3 Q 7 U 2 V j d G l v b j E v S W 1 w b 3 J 0 U 2 h l Z X R f T W V h c 3 V y Z X M v Q X V 0 b 1 J l b W 9 2 Z W R D b 2 x 1 b W 5 z M S 5 7 Z 2 l 6 X 2 5 k Y 1 9 f c X V v d G U s O H 0 m c X V v d D s s J n F 1 b 3 Q 7 U 2 V j d G l v b j E v S W 1 w b 3 J 0 U 2 h l Z X R f T W V h c 3 V y Z X M v Q X V 0 b 1 J l b W 9 2 Z W R D b 2 x 1 b W 5 z M S 5 7 Z 2 l 6 X 2 5 k Y 1 9 f c G F n Z S w 5 f S Z x d W 9 0 O y w m c X V v d D t T Z W N 0 a W 9 u M S 9 J b X B v c n R T a G V l d F 9 N Z W F z d X J l c y 9 B d X R v U m V t b 3 Z l Z E N v b H V t b n M x L n t n a X p f b m R j X 1 9 0 Y X J n Z X R f d H l w Z S w x M H 0 m c X V v d D s s J n F 1 b 3 Q 7 U 2 V j d G l v b j E v S W 1 w b 3 J 0 U 2 h l Z X R f T W V h c 3 V y Z X M v Q X V 0 b 1 J l b W 9 2 Z W R D b 2 x 1 b W 5 z M S 5 7 Z 2 l 6 X 2 5 k Y 1 9 f d H l l Y X I s M T F 9 J n F 1 b 3 Q 7 L C Z x d W 9 0 O 1 N l Y 3 R p b 2 4 x L 0 l t c G 9 y d F N o Z W V 0 X 0 1 l Y X N 1 c m V z L 0 F 1 d G 9 S Z W 1 v d m V k Q 2 9 s d W 1 u c z E u e 2 d p e l 9 u Z G N f X 3 J l c G 9 y d G V y L D E y f S Z x d W 9 0 O y w m c X V v d D t T Z W N 0 a W 9 u M S 9 J b X B v c n R T a G V l d F 9 N Z W F z d X J l c y 9 B d X R v U m V t b 3 Z l Z E N v b H V t b n M x L n t n a X p f b m R j X 1 9 y Z X B v c n R l Z F 9 h d C w x M 3 0 m c X V v d D s s J n F 1 b 3 Q 7 U 2 V j d G l v b j E v S W 1 w b 3 J 0 U 2 h l Z X R f T W V h c 3 V y Z X M v Q X V 0 b 1 J l b W 9 2 Z W R D b 2 x 1 b W 5 z M S 5 7 Z 2 l 6 X 2 5 k Y 1 9 f a W 5 2 Z X N 0 Z W 1 l b n Q s M T R 9 J n F 1 b 3 Q 7 X S w m c X V v d D t S Z W x h d G l v b n N o a X B J b m Z v J n F 1 b 3 Q 7 O l t d f S I g L z 4 8 R W 5 0 c n k g V H l w Z T 0 i S X N Q c m l 2 Y X R l I i B W Y W x 1 Z T 0 i b D A i I C 8 + P E V u d H J 5 I F R 5 c G U 9 I l F 1 Z X J 5 S U Q i I F Z h b H V l P S J z N j V l Y W F h M m Q t M j c w O C 0 0 M D c 2 L T g x M j A t N m Q x O G Z i Z D I w M T M w I i A v P j x F b n R y e S B U e X B l P S J O Y W 1 l V X B k Y X R l Z E F m d G V y R m l s b C I g V m F s d W U 9 I m w w I i A v P j x F b n R y e S B U e X B l P S J C d W Z m Z X J O Z X h 0 U m V m c m V z a C I g V m F s d W U 9 I m w x I i A v P j x F b n R y e S B U e X B l P S J S Z X N 1 b H R U e X B l I i B W Y W x 1 Z T 0 i c 1 R h Y m x l I i A v P j x F b n R y e S B U e X B l P S J G a W x s Q 2 9 1 b n Q i I F Z h b H V l P S J s M j A i I C 8 + P E V u d H J 5 I F R 5 c G U 9 I k F k Z G V k V G 9 E Y X R h T W 9 k Z W w i I F Z h b H V l P S J s M C I g L z 4 8 R W 5 0 c n k g V H l w Z T 0 i R m l s b F R v R G F 0 Y U 1 v Z G V s R W 5 h Y m x l Z C I g V m F s d W U 9 I m w w I i A v P j x F b n R y e S B U e X B l P S J G a W x s T 2 J q Z W N 0 V H l w Z S I g V m F s d W U 9 I n N D b 2 5 u Z W N 0 a W 9 u T 2 5 s e S I g L z 4 8 R W 5 0 c n k g V H l w Z T 0 i U m V j b 3 Z l c n l U Y X J n Z X R S b 3 c i I F Z h b H V l P S J s M S I g L z 4 8 R W 5 0 c n k g V H l w Z T 0 i U m V j b 3 Z l c n l U Y X J n Z X R D b 2 x 1 b W 4 i I F Z h b H V l P S J s M S I g L z 4 8 R W 5 0 c n k g V H l w Z T 0 i U m V j b 3 Z l c n l U Y X J n Z X R T a G V l d C I g V m F s d W U 9 I n N J b X B v c n R T a G V l d F 9 N Z W F z d X J l c y I g L z 4 8 L 1 N 0 Y W J s Z U V u d H J p Z X M + P C 9 J d G V t P j x J d G V t P j x J d G V t T G 9 j Y X R p b 2 4 + P E l 0 Z W 1 U e X B l P k Z v c m 1 1 b G E 8 L 0 l 0 Z W 1 U e X B l P j x J d G V t U G F 0 a D 5 T Z W N 0 a W 9 u M S 9 B Z G F w d G F 0 a W 9 u P C 9 J d G V t U G F 0 a D 4 8 L 0 l 0 Z W 1 M b 2 N h d G l v b j 4 8 U 3 R h Y m x l R W 5 0 c m l l c z 4 8 R W 5 0 c n k g V H l w Z T 0 i R m l s b F N 0 Y X R 1 c y I g V m F s d W U 9 I n N D b 2 1 w b G V 0 Z S I g L z 4 8 R W 5 0 c n k g V H l w Z T 0 i Q n V m Z m V y T m V 4 d F J l Z n J l c 2 g i I F Z h b H V l P S J s M S I g L z 4 8 R W 5 0 c n k g V H l w Z T 0 i R m l s b E N v b H V t b k 5 h b W V z I i B W Y W x 1 Z T 0 i c 1 s m c X V v d D t E b 2 N 1 b W V u d C B J R C Z x d W 9 0 O y w m c X V v d D t D b 3 V u d H J 5 I E N v Z G U m c X V v d D s s J n F 1 b 3 Q 7 Q 2 9 1 b n R y e S Z x d W 9 0 O y w m c X V v d D t U e X B l I G 9 m I E R v Y 3 V t Z W 5 0 I C Z x d W 9 0 O y w m c X V v d D t E b 2 N 1 b W V u d C B u Y W 1 l J n F 1 b 3 Q 7 L C Z x d W 9 0 O 1 Z l c n N p b 2 4 g b n V t Y m V y J n F 1 b 3 Q 7 L C Z x d W 9 0 O 1 N 0 Y X R 1 c y Z x d W 9 0 O y w m c X V v d D t D Y X R l Z 2 9 y e S Z x d W 9 0 O y w m c X V v d D t N Z W F z d X J l J n F 1 b 3 Q 7 L C Z x d W 9 0 O 1 F 1 b 3 R l J n F 1 b 3 Q 7 L C Z x d W 9 0 O 1 B h Z 2 U g T n V t Y m V y J n F 1 b 3 Q 7 L C Z x d W 9 0 O 0 1 v Z G U 6 I E 5 v d C B k Z W Z p b m V k J n F 1 b 3 Q 7 L C Z x d W 9 0 O 0 l u Z m 9 y b W F s I H R y Y W 5 z c G 9 y d C Z x d W 9 0 O y w m c X V v d D t B Y 3 R p d m U g b W 9 i a W x p d H k m c X V v d D s s J n F 1 b 3 Q 7 V 2 F s a 2 l u Z y Z x d W 9 0 O y w m c X V v d D t D e W N s a W 5 n J n F 1 b 3 Q 7 L C Z x d W 9 0 O 1 J v Y W Q m c X V v d D s s J n F 1 b 3 Q 7 V H d v L S 9 U a H J l Z S 1 3 a G V l b G V y c y Z x d W 9 0 O y w m c X V v d D t D Y X J z J n F 1 b 3 Q 7 L C Z x d W 9 0 O 1 B y a X Z h d G U g Y 2 F y c y Z x d W 9 0 O y w m c X V v d D t U Y X h p c y Z x d W 9 0 O y w m c X V v d D t U c n V j a y Z x d W 9 0 O y w m c X V v d D t C d X M m c X V v d D s s J n F 1 b 3 Q 7 U m F p b C Z x d W 9 0 O y w m c X V v d D t I Z W F 2 e S B y Y W l s J n F 1 b 3 Q 7 L C Z x d W 9 0 O 0 h p Z 2 g t c 3 B l Z W Q g c m F p b C Z x d W 9 0 O y w m c X V v d D t U c m F u c 2 l 0 I H J h a W w m c X V v d D s s J n F 1 b 3 Q 7 V 2 F 0 Z X I m c X V v d D s s J n F 1 b 3 Q 7 Q 2 9 h c 3 R h b C B z a G l w c G l u Z y Z x d W 9 0 O y w m c X V v d D t J b m x h b m Q g c 2 h p c H B p b m c m c X V v d D s s J n F 1 b 3 Q 7 S W 5 0 Z X J u Y X R p b 2 5 h b C B t Y X J p d G l t Z S Z x d W 9 0 O y w m c X V v d D t B d m l h d G l v b i Z x d W 9 0 O y w m c X V v d D t E b 2 1 l c 3 R p Y y B h d m l h d G l v b i Z x d W 9 0 O y w m c X V v d D t J b n R l c m 5 h d G l v b m F s I G F 2 a W F 0 a W 9 u J n F 1 b 3 Q 7 L C Z x d W 9 0 O 0 d l b 2 d y Y X B o e T o g T m 9 0 I G R l Z m l u Z W Q m c X V v d D s s J n F 1 b 3 Q 7 V X J i Y W 4 m c X V v d D s s J n F 1 b 3 Q 7 U n V y Y W w m c X V v d D s s J n F 1 b 3 Q 7 S W 5 0 Z X I t Y 2 l 0 e S Z x d W 9 0 O y w m c X V v d D t B Y 3 R p d m l 0 e S B 0 e X B l J n F 1 b 3 Q 7 L C Z x d W 9 0 O 1 B h c m F t Z X R l c i Z x d W 9 0 O y w m c X V v d D t B b m 5 l e C B J I G 9 y I E 5 v b i 1 B b m 5 l e C B J J n F 1 b 3 Q 7 L C Z x d W 9 0 O 1 J l Z 2 l v b i Z x d W 9 0 O y w m c X V v d D t J b m N v b W U g R 3 J v d X A m c X V v d D s s J n F 1 b 3 Q 7 R z I w J n F 1 b 3 Q 7 L C Z x d W 9 0 O 0 c 3 J n F 1 b 3 Q 7 L C Z x d W 9 0 O 0 9 F Q 0 Q m c X V v d D s s J n F 1 b 3 Q 7 R V U y N y Z x d W 9 0 O y w m c X V v d D t N R U 5 B I H J l Z 2 l v b i A m c X V v d D s s J n F 1 b 3 Q 7 R 0 h H I H R v d G F s J n F 1 b 3 Q 7 L C Z x d W 9 0 O 0 d I R y B 0 c m F u c 3 B v c n Q m c X V v d D s s J n F 1 b 3 Q 7 U m V 2 a X N p b 2 5 z J n F 1 b 3 Q 7 X S I g L z 4 8 R W 5 0 c n k g V H l w Z T 0 i R m l s b E V u Y W J s Z W Q i I F Z h b H V l P S J s M C I g L z 4 8 R W 5 0 c n k g V H l w Z T 0 i R m l s b E N v b H V t b l R 5 c G V z I i B W Y W x 1 Z T 0 i c 0 F 3 W U d C Z 1 l H Q m d Z R 0 J n Q U d B Q V l H Q m d Z R 0 J n Q U F C Z 1 l H Q U F B R 0 J n W U d B Q V l B Q U F Z R 0 J n W U d C Z 1 l H Q m d Z R 0 J n W U d C U V V B I i A v P j x F b n R y e S B U e X B l P S J G a W x s T G F z d F V w Z G F 0 Z W Q i I F Z h b H V l P S J k M j A y N S 0 w M i 0 x N 1 Q x N D o w N D o w N i 4 z M T E x M j c z W i I g L z 4 8 R W 5 0 c n k g V H l w Z T 0 i R m l s b E V y c m 9 y Q 2 9 k Z S I g V m F s d W U 9 I n N V b m t u b 3 d u I i A v P j x F b n R y e S B U e X B l P S J G a W x s Z W R D b 2 1 w b G V 0 Z V J l c 3 V s d F R v V 2 9 y a 3 N o Z W V 0 I i B W Y W x 1 Z T 0 i b D A i I C 8 + P E V u d H J 5 I F R 5 c G U 9 I k Z p b G x U b 0 R h d G F N b 2 R l b E V u Y W J s Z W Q i I F Z h b H V l P S J s M C I g L z 4 8 R W 5 0 c n k g V H l w Z T 0 i S X N Q c m l 2 Y X R l I i B W Y W x 1 Z T 0 i b D A i I C 8 + P E V u d H J 5 I F R 5 c G U 9 I l F 1 Z X J 5 S U Q i I F Z h b H V l P S J z M T E 4 Y z h h O D A t M m I 3 O S 0 0 M z g y L T g x Z D k t M D A y N T U w N W U w N D E x I i A v P j x F b n R y e S B U e X B l P S J B Z G R l Z F R v R G F 0 Y U 1 v Z G V s I i B W Y W x 1 Z T 0 i b D A 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U m V s Y X R p b 2 5 z a G l w S W 5 m b 0 N v b n R h a W 5 l c i I g V m F s d W U 9 I n N 7 J n F 1 b 3 Q 7 Y 2 9 s d W 1 u Q 2 9 1 b n Q m c X V v d D s 6 N T E s J n F 1 b 3 Q 7 a 2 V 5 Q 2 9 s d W 1 u T m F t Z X M m c X V v d D s 6 W 1 0 s J n F 1 b 3 Q 7 c X V l c n l S Z W x h d G l v b n N o a X B z J n F 1 b 3 Q 7 O l t d L C Z x d W 9 0 O 2 N v b H V t b k l k Z W 5 0 a X R p Z X M m c X V v d D s 6 W y Z x d W 9 0 O 1 N l Y 3 R p b 2 4 x L 0 F k Y X B 0 Y X R p b 2 4 v Q X V 0 b 1 J l b W 9 2 Z W R D b 2 x 1 b W 5 z M S 5 7 R G 9 j d W 1 l b n Q g S U Q s M H 0 m c X V v d D s s J n F 1 b 3 Q 7 U 2 V j d G l v b j E v Q W R h c H R h d G l v b i 9 B d X R v U m V t b 3 Z l Z E N v b H V t b n M x L n t D b 3 V u d H J 5 I E N v Z G U s M X 0 m c X V v d D s s J n F 1 b 3 Q 7 U 2 V j d G l v b j E v Q W R h c H R h d G l v b i 9 B d X R v U m V t b 3 Z l Z E N v b H V t b n M x L n t D b 3 V u d H J 5 L D J 9 J n F 1 b 3 Q 7 L C Z x d W 9 0 O 1 N l Y 3 R p b 2 4 x L 0 F k Y X B 0 Y X R p b 2 4 v Q X V 0 b 1 J l b W 9 2 Z W R D b 2 x 1 b W 5 z M S 5 7 V H l w Z S B v Z i B E b 2 N 1 b W V u d C A s M 3 0 m c X V v d D s s J n F 1 b 3 Q 7 U 2 V j d G l v b j E v Q W R h c H R h d G l v b i 9 B d X R v U m V t b 3 Z l Z E N v b H V t b n M x L n t E b 2 N 1 b W V u d C B u Y W 1 l L D R 9 J n F 1 b 3 Q 7 L C Z x d W 9 0 O 1 N l Y 3 R p b 2 4 x L 0 F k Y X B 0 Y X R p b 2 4 v Q X V 0 b 1 J l b W 9 2 Z W R D b 2 x 1 b W 5 z M S 5 7 V m V y c 2 l v b i B u d W 1 i Z X I s N X 0 m c X V v d D s s J n F 1 b 3 Q 7 U 2 V j d G l v b j E v Q W R h c H R h d G l v b i 9 B d X R v U m V t b 3 Z l Z E N v b H V t b n M x L n t T d G F 0 d X M s N n 0 m c X V v d D s s J n F 1 b 3 Q 7 U 2 V j d G l v b j E v Q W R h c H R h d G l v b i 9 B d X R v U m V t b 3 Z l Z E N v b H V t b n M x L n t D Y X R l Z 2 9 y e S w 3 f S Z x d W 9 0 O y w m c X V v d D t T Z W N 0 a W 9 u M S 9 B Z G F w d G F 0 a W 9 u L 0 F 1 d G 9 S Z W 1 v d m V k Q 2 9 s d W 1 u c z E u e 0 1 l Y X N 1 c m U s O H 0 m c X V v d D s s J n F 1 b 3 Q 7 U 2 V j d G l v b j E v Q W R h c H R h d G l v b i 9 B d X R v U m V t b 3 Z l Z E N v b H V t b n M x L n t R d W 9 0 Z S w 5 f S Z x d W 9 0 O y w m c X V v d D t T Z W N 0 a W 9 u M S 9 B Z G F w d G F 0 a W 9 u L 0 F 1 d G 9 S Z W 1 v d m V k Q 2 9 s d W 1 u c z E u e 1 B h Z 2 U g T n V t Y m V y L D E w f S Z x d W 9 0 O y w m c X V v d D t T Z W N 0 a W 9 u M S 9 B Z G F w d G F 0 a W 9 u L 0 F 1 d G 9 S Z W 1 v d m V k Q 2 9 s d W 1 u c z E u e 0 1 v Z G U 6 I E 5 v d C B k Z W Z p b m V k L D E x f S Z x d W 9 0 O y w m c X V v d D t T Z W N 0 a W 9 u M S 9 B Z G F w d G F 0 a W 9 u L 0 F 1 d G 9 S Z W 1 v d m V k Q 2 9 s d W 1 u c z E u e 0 l u Z m 9 y b W F s I H R y Y W 5 z c G 9 y d C w x M n 0 m c X V v d D s s J n F 1 b 3 Q 7 U 2 V j d G l v b j E v Q W R h c H R h d G l v b i 9 B d X R v U m V t b 3 Z l Z E N v b H V t b n M x L n t B Y 3 R p d m U g b W 9 i a W x p d H k s M T N 9 J n F 1 b 3 Q 7 L C Z x d W 9 0 O 1 N l Y 3 R p b 2 4 x L 0 F k Y X B 0 Y X R p b 2 4 v Q X V 0 b 1 J l b W 9 2 Z W R D b 2 x 1 b W 5 z M S 5 7 V 2 F s a 2 l u Z y w x N H 0 m c X V v d D s s J n F 1 b 3 Q 7 U 2 V j d G l v b j E v Q W R h c H R h d G l v b i 9 B d X R v U m V t b 3 Z l Z E N v b H V t b n M x L n t D e W N s a W 5 n L D E 1 f S Z x d W 9 0 O y w m c X V v d D t T Z W N 0 a W 9 u M S 9 B Z G F w d G F 0 a W 9 u L 0 F 1 d G 9 S Z W 1 v d m V k Q 2 9 s d W 1 u c z E u e 1 J v Y W Q s M T Z 9 J n F 1 b 3 Q 7 L C Z x d W 9 0 O 1 N l Y 3 R p b 2 4 x L 0 F k Y X B 0 Y X R p b 2 4 v Q X V 0 b 1 J l b W 9 2 Z W R D b 2 x 1 b W 5 z M S 5 7 V H d v L S 9 U a H J l Z S 1 3 a G V l b G V y c y w x N 3 0 m c X V v d D s s J n F 1 b 3 Q 7 U 2 V j d G l v b j E v Q W R h c H R h d G l v b i 9 B d X R v U m V t b 3 Z l Z E N v b H V t b n M x L n t D Y X J z L D E 4 f S Z x d W 9 0 O y w m c X V v d D t T Z W N 0 a W 9 u M S 9 B Z G F w d G F 0 a W 9 u L 0 F 1 d G 9 S Z W 1 v d m V k Q 2 9 s d W 1 u c z E u e 1 B y a X Z h d G U g Y 2 F y c y w x O X 0 m c X V v d D s s J n F 1 b 3 Q 7 U 2 V j d G l v b j E v Q W R h c H R h d G l v b i 9 B d X R v U m V t b 3 Z l Z E N v b H V t b n M x L n t U Y X h p c y w y M H 0 m c X V v d D s s J n F 1 b 3 Q 7 U 2 V j d G l v b j E v Q W R h c H R h d G l v b i 9 B d X R v U m V t b 3 Z l Z E N v b H V t b n M x L n t U c n V j a y w y M X 0 m c X V v d D s s J n F 1 b 3 Q 7 U 2 V j d G l v b j E v Q W R h c H R h d G l v b i 9 B d X R v U m V t b 3 Z l Z E N v b H V t b n M x L n t C d X M s M j J 9 J n F 1 b 3 Q 7 L C Z x d W 9 0 O 1 N l Y 3 R p b 2 4 x L 0 F k Y X B 0 Y X R p b 2 4 v Q X V 0 b 1 J l b W 9 2 Z W R D b 2 x 1 b W 5 z M S 5 7 U m F p b C w y M 3 0 m c X V v d D s s J n F 1 b 3 Q 7 U 2 V j d G l v b j E v Q W R h c H R h d G l v b i 9 B d X R v U m V t b 3 Z l Z E N v b H V t b n M x L n t I Z W F 2 e S B y Y W l s L D I 0 f S Z x d W 9 0 O y w m c X V v d D t T Z W N 0 a W 9 u M S 9 B Z G F w d G F 0 a W 9 u L 0 F 1 d G 9 S Z W 1 v d m V k Q 2 9 s d W 1 u c z E u e 0 h p Z 2 g t c 3 B l Z W Q g c m F p b C w y N X 0 m c X V v d D s s J n F 1 b 3 Q 7 U 2 V j d G l v b j E v Q W R h c H R h d G l v b i 9 B d X R v U m V t b 3 Z l Z E N v b H V t b n M x L n t U c m F u c 2 l 0 I H J h a W w s M j Z 9 J n F 1 b 3 Q 7 L C Z x d W 9 0 O 1 N l Y 3 R p b 2 4 x L 0 F k Y X B 0 Y X R p b 2 4 v Q X V 0 b 1 J l b W 9 2 Z W R D b 2 x 1 b W 5 z M S 5 7 V 2 F 0 Z X I s M j d 9 J n F 1 b 3 Q 7 L C Z x d W 9 0 O 1 N l Y 3 R p b 2 4 x L 0 F k Y X B 0 Y X R p b 2 4 v Q X V 0 b 1 J l b W 9 2 Z W R D b 2 x 1 b W 5 z M S 5 7 Q 2 9 h c 3 R h b C B z a G l w c G l u Z y w y O H 0 m c X V v d D s s J n F 1 b 3 Q 7 U 2 V j d G l v b j E v Q W R h c H R h d G l v b i 9 B d X R v U m V t b 3 Z l Z E N v b H V t b n M x L n t J b m x h b m Q g c 2 h p c H B p b m c s M j l 9 J n F 1 b 3 Q 7 L C Z x d W 9 0 O 1 N l Y 3 R p b 2 4 x L 0 F k Y X B 0 Y X R p b 2 4 v Q X V 0 b 1 J l b W 9 2 Z W R D b 2 x 1 b W 5 z M S 5 7 S W 5 0 Z X J u Y X R p b 2 5 h b C B t Y X J p d G l t Z S w z M H 0 m c X V v d D s s J n F 1 b 3 Q 7 U 2 V j d G l v b j E v Q W R h c H R h d G l v b i 9 B d X R v U m V t b 3 Z l Z E N v b H V t b n M x L n t B d m l h d G l v b i w z M X 0 m c X V v d D s s J n F 1 b 3 Q 7 U 2 V j d G l v b j E v Q W R h c H R h d G l v b i 9 B d X R v U m V t b 3 Z l Z E N v b H V t b n M x L n t E b 2 1 l c 3 R p Y y B h d m l h d G l v b i w z M n 0 m c X V v d D s s J n F 1 b 3 Q 7 U 2 V j d G l v b j E v Q W R h c H R h d G l v b i 9 B d X R v U m V t b 3 Z l Z E N v b H V t b n M x L n t J b n R l c m 5 h d G l v b m F s I G F 2 a W F 0 a W 9 u L D M z f S Z x d W 9 0 O y w m c X V v d D t T Z W N 0 a W 9 u M S 9 B Z G F w d G F 0 a W 9 u L 0 F 1 d G 9 S Z W 1 v d m V k Q 2 9 s d W 1 u c z E u e 0 d l b 2 d y Y X B o e T o g T m 9 0 I G R l Z m l u Z W Q s M z R 9 J n F 1 b 3 Q 7 L C Z x d W 9 0 O 1 N l Y 3 R p b 2 4 x L 0 F k Y X B 0 Y X R p b 2 4 v Q X V 0 b 1 J l b W 9 2 Z W R D b 2 x 1 b W 5 z M S 5 7 V X J i Y W 4 s M z V 9 J n F 1 b 3 Q 7 L C Z x d W 9 0 O 1 N l Y 3 R p b 2 4 x L 0 F k Y X B 0 Y X R p b 2 4 v Q X V 0 b 1 J l b W 9 2 Z W R D b 2 x 1 b W 5 z M S 5 7 U n V y Y W w s M z Z 9 J n F 1 b 3 Q 7 L C Z x d W 9 0 O 1 N l Y 3 R p b 2 4 x L 0 F k Y X B 0 Y X R p b 2 4 v Q X V 0 b 1 J l b W 9 2 Z W R D b 2 x 1 b W 5 z M S 5 7 S W 5 0 Z X I t Y 2 l 0 e S w z N 3 0 m c X V v d D s s J n F 1 b 3 Q 7 U 2 V j d G l v b j E v Q W R h c H R h d G l v b i 9 B d X R v U m V t b 3 Z l Z E N v b H V t b n M x L n t B Y 3 R p d m l 0 e S B 0 e X B l L D M 4 f S Z x d W 9 0 O y w m c X V v d D t T Z W N 0 a W 9 u M S 9 B Z G F w d G F 0 a W 9 u L 0 F 1 d G 9 S Z W 1 v d m V k Q 2 9 s d W 1 u c z E u e 1 B h c m F t Z X R l c i w z O X 0 m c X V v d D s s J n F 1 b 3 Q 7 U 2 V j d G l v b j E v Q W R h c H R h d G l v b i 9 B d X R v U m V t b 3 Z l Z E N v b H V t b n M x L n t B b m 5 l e C B J I G 9 y I E 5 v b i 1 B b m 5 l e C B J L D Q w f S Z x d W 9 0 O y w m c X V v d D t T Z W N 0 a W 9 u M S 9 B Z G F w d G F 0 a W 9 u L 0 F 1 d G 9 S Z W 1 v d m V k Q 2 9 s d W 1 u c z E u e 1 J l Z 2 l v b i w 0 M X 0 m c X V v d D s s J n F 1 b 3 Q 7 U 2 V j d G l v b j E v Q W R h c H R h d G l v b i 9 B d X R v U m V t b 3 Z l Z E N v b H V t b n M x L n t J b m N v b W U g R 3 J v d X A s N D J 9 J n F 1 b 3 Q 7 L C Z x d W 9 0 O 1 N l Y 3 R p b 2 4 x L 0 F k Y X B 0 Y X R p b 2 4 v Q X V 0 b 1 J l b W 9 2 Z W R D b 2 x 1 b W 5 z M S 5 7 R z I w L D Q z f S Z x d W 9 0 O y w m c X V v d D t T Z W N 0 a W 9 u M S 9 B Z G F w d G F 0 a W 9 u L 0 F 1 d G 9 S Z W 1 v d m V k Q 2 9 s d W 1 u c z E u e 0 c 3 L D Q 0 f S Z x d W 9 0 O y w m c X V v d D t T Z W N 0 a W 9 u M S 9 B Z G F w d G F 0 a W 9 u L 0 F 1 d G 9 S Z W 1 v d m V k Q 2 9 s d W 1 u c z E u e 0 9 F Q 0 Q s N D V 9 J n F 1 b 3 Q 7 L C Z x d W 9 0 O 1 N l Y 3 R p b 2 4 x L 0 F k Y X B 0 Y X R p b 2 4 v Q X V 0 b 1 J l b W 9 2 Z W R D b 2 x 1 b W 5 z M S 5 7 R V U y N y w 0 N n 0 m c X V v d D s s J n F 1 b 3 Q 7 U 2 V j d G l v b j E v Q W R h c H R h d G l v b i 9 B d X R v U m V t b 3 Z l Z E N v b H V t b n M x L n t N R U 5 B I H J l Z 2 l v b i A s N D d 9 J n F 1 b 3 Q 7 L C Z x d W 9 0 O 1 N l Y 3 R p b 2 4 x L 0 F k Y X B 0 Y X R p b 2 4 v Q X V 0 b 1 J l b W 9 2 Z W R D b 2 x 1 b W 5 z M S 5 7 R 0 h H I H R v d G F s L D Q 4 f S Z x d W 9 0 O y w m c X V v d D t T Z W N 0 a W 9 u M S 9 B Z G F w d G F 0 a W 9 u L 0 F 1 d G 9 S Z W 1 v d m V k Q 2 9 s d W 1 u c z E u e 0 d I R y B 0 c m F u c 3 B v c n Q s N D l 9 J n F 1 b 3 Q 7 L C Z x d W 9 0 O 1 N l Y 3 R p b 2 4 x L 0 F k Y X B 0 Y X R p b 2 4 v Q X V 0 b 1 J l b W 9 2 Z W R D b 2 x 1 b W 5 z M S 5 7 U m V 2 a X N p b 2 5 z L D U w f S Z x d W 9 0 O 1 0 s J n F 1 b 3 Q 7 Q 2 9 s d W 1 u Q 2 9 1 b n Q m c X V v d D s 6 N T E s J n F 1 b 3 Q 7 S 2 V 5 Q 2 9 s d W 1 u T m F t Z X M m c X V v d D s 6 W 1 0 s J n F 1 b 3 Q 7 Q 2 9 s d W 1 u S W R l b n R p d G l l c y Z x d W 9 0 O z p b J n F 1 b 3 Q 7 U 2 V j d G l v b j E v Q W R h c H R h d G l v b i 9 B d X R v U m V t b 3 Z l Z E N v b H V t b n M x L n t E b 2 N 1 b W V u d C B J R C w w f S Z x d W 9 0 O y w m c X V v d D t T Z W N 0 a W 9 u M S 9 B Z G F w d G F 0 a W 9 u L 0 F 1 d G 9 S Z W 1 v d m V k Q 2 9 s d W 1 u c z E u e 0 N v d W 5 0 c n k g Q 2 9 k Z S w x f S Z x d W 9 0 O y w m c X V v d D t T Z W N 0 a W 9 u M S 9 B Z G F w d G F 0 a W 9 u L 0 F 1 d G 9 S Z W 1 v d m V k Q 2 9 s d W 1 u c z E u e 0 N v d W 5 0 c n k s M n 0 m c X V v d D s s J n F 1 b 3 Q 7 U 2 V j d G l v b j E v Q W R h c H R h d G l v b i 9 B d X R v U m V t b 3 Z l Z E N v b H V t b n M x L n t U e X B l I G 9 m I E R v Y 3 V t Z W 5 0 I C w z f S Z x d W 9 0 O y w m c X V v d D t T Z W N 0 a W 9 u M S 9 B Z G F w d G F 0 a W 9 u L 0 F 1 d G 9 S Z W 1 v d m V k Q 2 9 s d W 1 u c z E u e 0 R v Y 3 V t Z W 5 0 I G 5 h b W U s N H 0 m c X V v d D s s J n F 1 b 3 Q 7 U 2 V j d G l v b j E v Q W R h c H R h d G l v b i 9 B d X R v U m V t b 3 Z l Z E N v b H V t b n M x L n t W Z X J z a W 9 u I G 5 1 b W J l c i w 1 f S Z x d W 9 0 O y w m c X V v d D t T Z W N 0 a W 9 u M S 9 B Z G F w d G F 0 a W 9 u L 0 F 1 d G 9 S Z W 1 v d m V k Q 2 9 s d W 1 u c z E u e 1 N 0 Y X R 1 c y w 2 f S Z x d W 9 0 O y w m c X V v d D t T Z W N 0 a W 9 u M S 9 B Z G F w d G F 0 a W 9 u L 0 F 1 d G 9 S Z W 1 v d m V k Q 2 9 s d W 1 u c z E u e 0 N h d G V n b 3 J 5 L D d 9 J n F 1 b 3 Q 7 L C Z x d W 9 0 O 1 N l Y 3 R p b 2 4 x L 0 F k Y X B 0 Y X R p b 2 4 v Q X V 0 b 1 J l b W 9 2 Z W R D b 2 x 1 b W 5 z M S 5 7 T W V h c 3 V y Z S w 4 f S Z x d W 9 0 O y w m c X V v d D t T Z W N 0 a W 9 u M S 9 B Z G F w d G F 0 a W 9 u L 0 F 1 d G 9 S Z W 1 v d m V k Q 2 9 s d W 1 u c z E u e 1 F 1 b 3 R l L D l 9 J n F 1 b 3 Q 7 L C Z x d W 9 0 O 1 N l Y 3 R p b 2 4 x L 0 F k Y X B 0 Y X R p b 2 4 v Q X V 0 b 1 J l b W 9 2 Z W R D b 2 x 1 b W 5 z M S 5 7 U G F n Z S B O d W 1 i Z X I s M T B 9 J n F 1 b 3 Q 7 L C Z x d W 9 0 O 1 N l Y 3 R p b 2 4 x L 0 F k Y X B 0 Y X R p b 2 4 v Q X V 0 b 1 J l b W 9 2 Z W R D b 2 x 1 b W 5 z M S 5 7 T W 9 k Z T o g T m 9 0 I G R l Z m l u Z W Q s M T F 9 J n F 1 b 3 Q 7 L C Z x d W 9 0 O 1 N l Y 3 R p b 2 4 x L 0 F k Y X B 0 Y X R p b 2 4 v Q X V 0 b 1 J l b W 9 2 Z W R D b 2 x 1 b W 5 z M S 5 7 S W 5 m b 3 J t Y W w g d H J h b n N w b 3 J 0 L D E y f S Z x d W 9 0 O y w m c X V v d D t T Z W N 0 a W 9 u M S 9 B Z G F w d G F 0 a W 9 u L 0 F 1 d G 9 S Z W 1 v d m V k Q 2 9 s d W 1 u c z E u e 0 F j d G l 2 Z S B t b 2 J p b G l 0 e S w x M 3 0 m c X V v d D s s J n F 1 b 3 Q 7 U 2 V j d G l v b j E v Q W R h c H R h d G l v b i 9 B d X R v U m V t b 3 Z l Z E N v b H V t b n M x L n t X Y W x r a W 5 n L D E 0 f S Z x d W 9 0 O y w m c X V v d D t T Z W N 0 a W 9 u M S 9 B Z G F w d G F 0 a W 9 u L 0 F 1 d G 9 S Z W 1 v d m V k Q 2 9 s d W 1 u c z E u e 0 N 5 Y 2 x p b m c s M T V 9 J n F 1 b 3 Q 7 L C Z x d W 9 0 O 1 N l Y 3 R p b 2 4 x L 0 F k Y X B 0 Y X R p b 2 4 v Q X V 0 b 1 J l b W 9 2 Z W R D b 2 x 1 b W 5 z M S 5 7 U m 9 h Z C w x N n 0 m c X V v d D s s J n F 1 b 3 Q 7 U 2 V j d G l v b j E v Q W R h c H R h d G l v b i 9 B d X R v U m V t b 3 Z l Z E N v b H V t b n M x L n t U d 2 8 t L 1 R o c m V l L X d o Z W V s Z X J z L D E 3 f S Z x d W 9 0 O y w m c X V v d D t T Z W N 0 a W 9 u M S 9 B Z G F w d G F 0 a W 9 u L 0 F 1 d G 9 S Z W 1 v d m V k Q 2 9 s d W 1 u c z E u e 0 N h c n M s M T h 9 J n F 1 b 3 Q 7 L C Z x d W 9 0 O 1 N l Y 3 R p b 2 4 x L 0 F k Y X B 0 Y X R p b 2 4 v Q X V 0 b 1 J l b W 9 2 Z W R D b 2 x 1 b W 5 z M S 5 7 U H J p d m F 0 Z S B j Y X J z L D E 5 f S Z x d W 9 0 O y w m c X V v d D t T Z W N 0 a W 9 u M S 9 B Z G F w d G F 0 a W 9 u L 0 F 1 d G 9 S Z W 1 v d m V k Q 2 9 s d W 1 u c z E u e 1 R h e G l z L D I w f S Z x d W 9 0 O y w m c X V v d D t T Z W N 0 a W 9 u M S 9 B Z G F w d G F 0 a W 9 u L 0 F 1 d G 9 S Z W 1 v d m V k Q 2 9 s d W 1 u c z E u e 1 R y d W N r L D I x f S Z x d W 9 0 O y w m c X V v d D t T Z W N 0 a W 9 u M S 9 B Z G F w d G F 0 a W 9 u L 0 F 1 d G 9 S Z W 1 v d m V k Q 2 9 s d W 1 u c z E u e 0 J 1 c y w y M n 0 m c X V v d D s s J n F 1 b 3 Q 7 U 2 V j d G l v b j E v Q W R h c H R h d G l v b i 9 B d X R v U m V t b 3 Z l Z E N v b H V t b n M x L n t S Y W l s L D I z f S Z x d W 9 0 O y w m c X V v d D t T Z W N 0 a W 9 u M S 9 B Z G F w d G F 0 a W 9 u L 0 F 1 d G 9 S Z W 1 v d m V k Q 2 9 s d W 1 u c z E u e 0 h l Y X Z 5 I H J h a W w s M j R 9 J n F 1 b 3 Q 7 L C Z x d W 9 0 O 1 N l Y 3 R p b 2 4 x L 0 F k Y X B 0 Y X R p b 2 4 v Q X V 0 b 1 J l b W 9 2 Z W R D b 2 x 1 b W 5 z M S 5 7 S G l n a C 1 z c G V l Z C B y Y W l s L D I 1 f S Z x d W 9 0 O y w m c X V v d D t T Z W N 0 a W 9 u M S 9 B Z G F w d G F 0 a W 9 u L 0 F 1 d G 9 S Z W 1 v d m V k Q 2 9 s d W 1 u c z E u e 1 R y Y W 5 z a X Q g c m F p b C w y N n 0 m c X V v d D s s J n F 1 b 3 Q 7 U 2 V j d G l v b j E v Q W R h c H R h d G l v b i 9 B d X R v U m V t b 3 Z l Z E N v b H V t b n M x L n t X Y X R l c i w y N 3 0 m c X V v d D s s J n F 1 b 3 Q 7 U 2 V j d G l v b j E v Q W R h c H R h d G l v b i 9 B d X R v U m V t b 3 Z l Z E N v b H V t b n M x L n t D b 2 F z d G F s I H N o a X B w a W 5 n L D I 4 f S Z x d W 9 0 O y w m c X V v d D t T Z W N 0 a W 9 u M S 9 B Z G F w d G F 0 a W 9 u L 0 F 1 d G 9 S Z W 1 v d m V k Q 2 9 s d W 1 u c z E u e 0 l u b G F u Z C B z a G l w c G l u Z y w y O X 0 m c X V v d D s s J n F 1 b 3 Q 7 U 2 V j d G l v b j E v Q W R h c H R h d G l v b i 9 B d X R v U m V t b 3 Z l Z E N v b H V t b n M x L n t J b n R l c m 5 h d G l v b m F s I G 1 h c m l 0 a W 1 l L D M w f S Z x d W 9 0 O y w m c X V v d D t T Z W N 0 a W 9 u M S 9 B Z G F w d G F 0 a W 9 u L 0 F 1 d G 9 S Z W 1 v d m V k Q 2 9 s d W 1 u c z E u e 0 F 2 a W F 0 a W 9 u L D M x f S Z x d W 9 0 O y w m c X V v d D t T Z W N 0 a W 9 u M S 9 B Z G F w d G F 0 a W 9 u L 0 F 1 d G 9 S Z W 1 v d m V k Q 2 9 s d W 1 u c z E u e 0 R v b W V z d G l j I G F 2 a W F 0 a W 9 u L D M y f S Z x d W 9 0 O y w m c X V v d D t T Z W N 0 a W 9 u M S 9 B Z G F w d G F 0 a W 9 u L 0 F 1 d G 9 S Z W 1 v d m V k Q 2 9 s d W 1 u c z E u e 0 l u d G V y b m F 0 a W 9 u Y W w g Y X Z p Y X R p b 2 4 s M z N 9 J n F 1 b 3 Q 7 L C Z x d W 9 0 O 1 N l Y 3 R p b 2 4 x L 0 F k Y X B 0 Y X R p b 2 4 v Q X V 0 b 1 J l b W 9 2 Z W R D b 2 x 1 b W 5 z M S 5 7 R 2 V v Z 3 J h c G h 5 O i B O b 3 Q g Z G V m a W 5 l Z C w z N H 0 m c X V v d D s s J n F 1 b 3 Q 7 U 2 V j d G l v b j E v Q W R h c H R h d G l v b i 9 B d X R v U m V t b 3 Z l Z E N v b H V t b n M x L n t V c m J h b i w z N X 0 m c X V v d D s s J n F 1 b 3 Q 7 U 2 V j d G l v b j E v Q W R h c H R h d G l v b i 9 B d X R v U m V t b 3 Z l Z E N v b H V t b n M x L n t S d X J h b C w z N n 0 m c X V v d D s s J n F 1 b 3 Q 7 U 2 V j d G l v b j E v Q W R h c H R h d G l v b i 9 B d X R v U m V t b 3 Z l Z E N v b H V t b n M x L n t J b n R l c i 1 j a X R 5 L D M 3 f S Z x d W 9 0 O y w m c X V v d D t T Z W N 0 a W 9 u M S 9 B Z G F w d G F 0 a W 9 u L 0 F 1 d G 9 S Z W 1 v d m V k Q 2 9 s d W 1 u c z E u e 0 F j d G l 2 a X R 5 I H R 5 c G U s M z h 9 J n F 1 b 3 Q 7 L C Z x d W 9 0 O 1 N l Y 3 R p b 2 4 x L 0 F k Y X B 0 Y X R p b 2 4 v Q X V 0 b 1 J l b W 9 2 Z W R D b 2 x 1 b W 5 z M S 5 7 U G F y Y W 1 l d G V y L D M 5 f S Z x d W 9 0 O y w m c X V v d D t T Z W N 0 a W 9 u M S 9 B Z G F w d G F 0 a W 9 u L 0 F 1 d G 9 S Z W 1 v d m V k Q 2 9 s d W 1 u c z E u e 0 F u b m V 4 I E k g b 3 I g T m 9 u L U F u b m V 4 I E k s N D B 9 J n F 1 b 3 Q 7 L C Z x d W 9 0 O 1 N l Y 3 R p b 2 4 x L 0 F k Y X B 0 Y X R p b 2 4 v Q X V 0 b 1 J l b W 9 2 Z W R D b 2 x 1 b W 5 z M S 5 7 U m V n a W 9 u L D Q x f S Z x d W 9 0 O y w m c X V v d D t T Z W N 0 a W 9 u M S 9 B Z G F w d G F 0 a W 9 u L 0 F 1 d G 9 S Z W 1 v d m V k Q 2 9 s d W 1 u c z E u e 0 l u Y 2 9 t Z S B H c m 9 1 c C w 0 M n 0 m c X V v d D s s J n F 1 b 3 Q 7 U 2 V j d G l v b j E v Q W R h c H R h d G l v b i 9 B d X R v U m V t b 3 Z l Z E N v b H V t b n M x L n t H M j A s N D N 9 J n F 1 b 3 Q 7 L C Z x d W 9 0 O 1 N l Y 3 R p b 2 4 x L 0 F k Y X B 0 Y X R p b 2 4 v Q X V 0 b 1 J l b W 9 2 Z W R D b 2 x 1 b W 5 z M S 5 7 R z c s N D R 9 J n F 1 b 3 Q 7 L C Z x d W 9 0 O 1 N l Y 3 R p b 2 4 x L 0 F k Y X B 0 Y X R p b 2 4 v Q X V 0 b 1 J l b W 9 2 Z W R D b 2 x 1 b W 5 z M S 5 7 T 0 V D R C w 0 N X 0 m c X V v d D s s J n F 1 b 3 Q 7 U 2 V j d G l v b j E v Q W R h c H R h d G l v b i 9 B d X R v U m V t b 3 Z l Z E N v b H V t b n M x L n t F V T I 3 L D Q 2 f S Z x d W 9 0 O y w m c X V v d D t T Z W N 0 a W 9 u M S 9 B Z G F w d G F 0 a W 9 u L 0 F 1 d G 9 S Z W 1 v d m V k Q 2 9 s d W 1 u c z E u e 0 1 F T k E g c m V n a W 9 u I C w 0 N 3 0 m c X V v d D s s J n F 1 b 3 Q 7 U 2 V j d G l v b j E v Q W R h c H R h d G l v b i 9 B d X R v U m V t b 3 Z l Z E N v b H V t b n M x L n t H S E c g d G 9 0 Y W w s N D h 9 J n F 1 b 3 Q 7 L C Z x d W 9 0 O 1 N l Y 3 R p b 2 4 x L 0 F k Y X B 0 Y X R p b 2 4 v Q X V 0 b 1 J l b W 9 2 Z W R D b 2 x 1 b W 5 z M S 5 7 R 0 h H I H R y Y W 5 z c G 9 y d C w 0 O X 0 m c X V v d D s s J n F 1 b 3 Q 7 U 2 V j d G l v b j E v Q W R h c H R h d G l v b i 9 B d X R v U m V t b 3 Z l Z E N v b H V t b n M x L n t S Z X Z p c 2 l v b n M s N T B 9 J n F 1 b 3 Q 7 X S w m c X V v d D t S Z W x h d G l v b n N o a X B J b m Z v J n F 1 b 3 Q 7 O l t d f S I g L z 4 8 L 1 N 0 Y W J s Z U V u d H J p Z X M + P C 9 J d G V t P j x J d G V t P j x J d G V t T G 9 j Y X R p b 2 4 + P E l 0 Z W 1 U e X B l P k Z v c m 1 1 b G E 8 L 0 l 0 Z W 1 U e X B l P j x J d G V t U G F 0 a D 5 T Z W N 0 a W 9 u M S 9 N Y W l u J T I w Q W 5 h b H l z a X M l M j A l M j Y l M j B S Z X N 1 b H R z L 1 N v d X J j Z T w v S X R l b V B h d G g + P C 9 J d G V t T G 9 j Y X R p b 2 4 + P F N 0 Y W J s Z U V u d H J p Z X M g L z 4 8 L 0 l 0 Z W 0 + P E l 0 Z W 0 + P E l 0 Z W 1 M b 2 N h d G l v b j 4 8 S X R l b V R 5 c G U + R m 9 y b X V s Y T w v S X R l b V R 5 c G U + P E l 0 Z W 1 Q Y X R o P l N l Y 3 R p b 2 4 x L 0 1 h a W 4 l M j B B b m F s e X N p c y U y M C U y N i U y M F J l c 3 V s d H M v T W F p b i U y M E F u Y W x 5 c 2 l z J T I w J T I 2 J T I w U m V z d W x 0 c 1 9 T a G V l d D w v S X R l b V B h d G g + P C 9 J d G V t T G 9 j Y X R p b 2 4 + P F N 0 Y W J s Z U V u d H J p Z X M g L z 4 8 L 0 l 0 Z W 0 + P E l 0 Z W 0 + P E l 0 Z W 1 M b 2 N h d G l v b j 4 8 S X R l b V R 5 c G U + R m 9 y b X V s Y T w v S X R l b V R 5 c G U + P E l 0 Z W 1 Q Y X R o P l N l Y 3 R p b 2 4 x L 0 1 h a W 4 l M j B B b m F s e X N p c y U y M C U y N i U y M F J l c 3 V s d H M v Q 2 h h b m d l Z C U y M F R 5 c G U 8 L 0 l 0 Z W 1 Q Y X R o P j w v S X R l b U x v Y 2 F 0 a W 9 u P j x T d G F i b G V F b n R y a W V z I C 8 + P C 9 J d G V t P j x J d G V t P j x J d G V t T G 9 j Y X R p b 2 4 + P E l 0 Z W 1 U e X B l P k Z v c m 1 1 b G E 8 L 0 l 0 Z W 1 U e X B l P j x J d G V t U G F 0 a D 5 T Z W N 0 a W 9 u M S 9 J b X B v c n R T a G V l d F 9 U Y X J n Z X R z L 1 F 1 Z W x s Z T w v S X R l b V B h d G g + P C 9 J d G V t T G 9 j Y X R p b 2 4 + P F N 0 Y W J s Z U V u d H J p Z X M g L z 4 8 L 0 l 0 Z W 0 + P E l 0 Z W 0 + P E l 0 Z W 1 M b 2 N h d G l v b j 4 8 S X R l b V R 5 c G U + R m 9 y b X V s Y T w v S X R l b V R 5 c G U + P E l 0 Z W 1 Q Y X R o P l N l Y 3 R p b 2 4 x L 0 l t c G 9 y d F N o Z W V 0 X 1 R h c m d l d H M v Q W 5 k Z X J l J T I w Z W 5 0 Z m V y b n R l J T I w U 3 B h b H R l b j w v S X R l b V B h d G g + P C 9 J d G V t T G 9 j Y X R p b 2 4 + P F N 0 Y W J s Z U V u d H J p Z X M g L z 4 8 L 0 l 0 Z W 0 + P E l 0 Z W 0 + P E l 0 Z W 1 M b 2 N h d G l v b j 4 8 S X R l b V R 5 c G U + R m 9 y b X V s Y T w v S X R l b V R 5 c G U + P E l 0 Z W 1 Q Y X R o P l N l Y 3 R p b 2 4 x L 0 l t c G 9 y d F N o Z W V 0 X 1 R h c m d l d H M v S G l u e n V n Z W Y l Q z M l Q k N n d G V y J T I w S W 5 k Z X g 8 L 0 l 0 Z W 1 Q Y X R o P j w v S X R l b U x v Y 2 F 0 a W 9 u P j x T d G F i b G V F b n R y a W V z I C 8 + P C 9 J d G V t P j x J d G V t P j x J d G V t T G 9 j Y X R p b 2 4 + P E l 0 Z W 1 U e X B l P k Z v c m 1 1 b G E 8 L 0 l 0 Z W 1 U e X B l P j x J d G V t U G F 0 a D 5 T Z W N 0 a W 9 u M S 9 J b X B v c n R T a G V l d F 9 U Y X J n Z X R z L 1 V t Y m V u Y W 5 u d G U l M j B T c G F s d G V u P C 9 J d G V t U G F 0 a D 4 8 L 0 l 0 Z W 1 M b 2 N h d G l v b j 4 8 U 3 R h Y m x l R W 5 0 c m l l c y A v P j w v S X R l b T 4 8 S X R l b T 4 8 S X R l b U x v Y 2 F 0 a W 9 u P j x J d G V t V H l w Z T 5 G b 3 J t d W x h P C 9 J d G V t V H l w Z T 4 8 S X R l b V B h d G g + U 2 V j d G l v b j E v S W 1 w b 3 J 0 U 2 h l Z X R f V G F y Z 2 V 0 c y 9 I a W 5 6 d W d l Z i V D M y V C Q 2 d 0 Z S U y M G J l b n V 0 e m V y Z G V m a W 5 p Z X J 0 Z S U y M F N w Y W x 0 Z T w v S X R l b V B h d G g + P C 9 J d G V t T G 9 j Y X R p b 2 4 + P F N 0 Y W J s Z U V u d H J p Z X M g L z 4 8 L 0 l 0 Z W 0 + P E l 0 Z W 0 + P E l 0 Z W 1 M b 2 N h d G l v b j 4 8 S X R l b V R 5 c G U + R m 9 y b X V s Y T w v S X R l b V R 5 c G U + P E l 0 Z W 1 Q Y X R o P l N l Y 3 R p b 2 4 x L 0 l t c G 9 y d F N o Z W V 0 X 1 R h c m d l d H M v S G l u e n V n Z W Y l Q z M l Q k N n d G U l M j B i Z W 5 1 d H p l c m R l Z m l u a W V y d G U l M j B T c G F s d G U x P C 9 J d G V t U G F 0 a D 4 8 L 0 l 0 Z W 1 M b 2 N h d G l v b j 4 8 U 3 R h Y m x l R W 5 0 c m l l c y A v P j w v S X R l b T 4 8 S X R l b T 4 8 S X R l b U x v Y 2 F 0 a W 9 u P j x J d G V t V H l w Z T 5 G b 3 J t d W x h P C 9 J d G V t V H l w Z T 4 8 S X R l b V B h d G g + U 2 V j d G l v b j E v S W 1 w b 3 J 0 U 2 h l Z X R f V G F y Z 2 V 0 c y 9 I a W 5 6 d W d l Z i V D M y V C Q 2 d 0 Z S U y M G J l b n V 0 e m V y Z G V m a W 5 p Z X J 0 Z S U y M F N w Y W x 0 Z T I 8 L 0 l 0 Z W 1 Q Y X R o P j w v S X R l b U x v Y 2 F 0 a W 9 u P j x T d G F i b G V F b n R y a W V z I C 8 + P C 9 J d G V t P j x J d G V t P j x J d G V t T G 9 j Y X R p b 2 4 + P E l 0 Z W 1 U e X B l P k Z v c m 1 1 b G E 8 L 0 l 0 Z W 1 U e X B l P j x J d G V t U G F 0 a D 5 T Z W N 0 a W 9 u M S 9 J b X B v c n R T a G V l d F 9 U Y X J n Z X R z L 0 h p b n p 1 Z 2 V m J U M z J U J D Z 3 R l J T I w Y m V u d X R 6 Z X J k Z W Z p b m l l c n R l J T I w U 3 B h b H R l M z w v S X R l b V B h d G g + P C 9 J d G V t T G 9 j Y X R p b 2 4 + P F N 0 Y W J s Z U V u d H J p Z X M g L z 4 8 L 0 l 0 Z W 0 + P E l 0 Z W 0 + P E l 0 Z W 1 M b 2 N h d G l v b j 4 8 S X R l b V R 5 c G U + R m 9 y b X V s Y T w v S X R l b V R 5 c G U + P E l 0 Z W 1 Q Y X R o P l N l Y 3 R p b 2 4 x L 0 l t c G 9 y d F N o Z W V 0 X 1 R h c m d l d H M v S G l u e n V n Z W Y l Q z M l Q k N n d G U l M j B i Z W 5 1 d H p l c m R l Z m l u a W V y d G U l M j B T c G F s d G U 0 P C 9 J d G V t U G F 0 a D 4 8 L 0 l 0 Z W 1 M b 2 N h d G l v b j 4 8 U 3 R h Y m x l R W 5 0 c m l l c y A v P j w v S X R l b T 4 8 S X R l b T 4 8 S X R l b U x v Y 2 F 0 a W 9 u P j x J d G V t V H l w Z T 5 G b 3 J t d W x h P C 9 J d G V t V H l w Z T 4 8 S X R l b V B h d G g + U 2 V j d G l v b j E v S W 1 w b 3 J 0 U 2 h l Z X R f V G F y Z 2 V 0 c y 9 I a W 5 6 d W d l Z i V D M y V C Q 2 d 0 Z S U y M G J l b n V 0 e m V y Z G V m a W 5 p Z X J 0 Z S U y M F N w Y W x 0 Z T U 8 L 0 l 0 Z W 1 Q Y X R o P j w v S X R l b U x v Y 2 F 0 a W 9 u P j x T d G F i b G V F b n R y a W V z I C 8 + P C 9 J d G V t P j x J d G V t P j x J d G V t T G 9 j Y X R p b 2 4 + P E l 0 Z W 1 U e X B l P k Z v c m 1 1 b G E 8 L 0 l 0 Z W 1 U e X B l P j x J d G V t U G F 0 a D 5 T Z W N 0 a W 9 u M S 9 J b X B v c n R T a G V l d F 9 U Y X J n Z X R z L 0 h p b n p 1 Z 2 V m J U M z J U J D Z 3 R l J T I w Y m V u d X R 6 Z X J k Z W Z p b m l l c n R l J T I w U 3 B h b H R l N j w v S X R l b V B h d G g + P C 9 J d G V t T G 9 j Y X R p b 2 4 + P F N 0 Y W J s Z U V u d H J p Z X M g L z 4 8 L 0 l 0 Z W 0 + P E l 0 Z W 0 + P E l 0 Z W 1 M b 2 N h d G l v b j 4 8 S X R l b V R 5 c G U + R m 9 y b X V s Y T w v S X R l b V R 5 c G U + P E l 0 Z W 1 Q Y X R o P l N l Y 3 R p b 2 4 x L 0 l t c G 9 y d F N o Z W V 0 X 1 R h c m d l d H M v V W 1 i Z W 5 h b m 5 0 Z S U y M F N w Y W x 0 Z W 4 x P C 9 J d G V t U G F 0 a D 4 8 L 0 l 0 Z W 1 M b 2 N h d G l v b j 4 8 U 3 R h Y m x l R W 5 0 c m l l c y A v P j w v S X R l b T 4 8 S X R l b T 4 8 S X R l b U x v Y 2 F 0 a W 9 u P j x J d G V t V H l w Z T 5 G b 3 J t d W x h P C 9 J d G V t V H l w Z T 4 8 S X R l b V B h d G g + U 2 V j d G l v b j E v S W 1 w b 3 J 0 U 2 h l Z X R f V G F y Z 2 V 0 c y 9 O Z X U l M j B h b m d l b 3 J k b m V 0 Z S U y M F N w Y W x 0 Z W 4 8 L 0 l 0 Z W 1 Q Y X R o P j w v S X R l b U x v Y 2 F 0 a W 9 u P j x T d G F i b G V F b n R y a W V z I C 8 + P C 9 J d G V t P j x J d G V t P j x J d G V t T G 9 j Y X R p b 2 4 + P E l 0 Z W 1 U e X B l P k Z v c m 1 1 b G E 8 L 0 l 0 Z W 1 U e X B l P j x J d G V t U G F 0 a D 5 T Z W N 0 a W 9 u M S 9 J b X B v c n R T a G V l d F 9 U Y X J n Z X R z L 0 d l Z m l s d G V y d G U l M j B a Z W l s Z W 4 8 L 0 l 0 Z W 1 Q Y X R o P j w v S X R l b U x v Y 2 F 0 a W 9 u P j x T d G F i b G V F b n R y a W V z I C 8 + P C 9 J d G V t P j x J d G V t P j x J d G V t T G 9 j Y X R p b 2 4 + P E l 0 Z W 1 U e X B l P k Z v c m 1 1 b G E 8 L 0 l 0 Z W 1 U e X B l P j x J d G V t U G F 0 a D 5 T Z W N 0 a W 9 u M S 9 J b X B v c n R T a G V l d F 9 N Z W F z d X J l c y 9 R d W V s b G U 8 L 0 l 0 Z W 1 Q Y X R o P j w v S X R l b U x v Y 2 F 0 a W 9 u P j x T d G F i b G V F b n R y a W V z I C 8 + P C 9 J d G V t P j x J d G V t P j x J d G V t T G 9 j Y X R p b 2 4 + P E l 0 Z W 1 U e X B l P k Z v c m 1 1 b G E 8 L 0 l 0 Z W 1 U e X B l P j x J d G V t U G F 0 a D 5 T Z W N 0 a W 9 u M S 9 J b X B v c n R T a G V l d F 9 N Z W F z d X J l c y 9 H Z S V D M y V B N G 5 k Z X J 0 Z X I l M j B U e X A 8 L 0 l 0 Z W 1 Q Y X R o P j w v S X R l b U x v Y 2 F 0 a W 9 u P j x T d G F i b G V F b n R y a W V z I C 8 + P C 9 J d G V t P j x J d G V t P j x J d G V t T G 9 j Y X R p b 2 4 + P E l 0 Z W 1 U e X B l P k Z v c m 1 1 b G E 8 L 0 l 0 Z W 1 U e X B l P j x J d G V t U G F 0 a D 5 T Z W N 0 a W 9 u M S 9 B Z G F w d G F 0 a W 9 u L 1 F 1 Z W x s Z T w v S X R l b V B h d G g + P C 9 J d G V t T G 9 j Y X R p b 2 4 + P F N 0 Y W J s Z U V u d H J p Z X M g L z 4 8 L 0 l 0 Z W 0 + P E l 0 Z W 0 + P E l 0 Z W 1 M b 2 N h d G l v b j 4 8 S X R l b V R 5 c G U + R m 9 y b X V s Y T w v S X R l b V R 5 c G U + P E l 0 Z W 1 Q Y X R o P l N l Y 3 R p b 2 4 x L 0 F k Y X B 0 Y X R p b 2 4 v R 2 U l Q z M l Q T R u Z G V y d G V y J T I w V H l w P C 9 J d G V t U G F 0 a D 4 8 L 0 l 0 Z W 1 M b 2 N h d G l v b j 4 8 U 3 R h Y m x l R W 5 0 c m l l c y A v P j w v S X R l b T 4 8 S X R l b T 4 8 S X R l b U x v Y 2 F 0 a W 9 u P j x J d G V t V H l w Z T 5 G b 3 J t d W x h P C 9 J d G V t V H l w Z T 4 8 S X R l b V B h d G g + U 2 V j d G l v b j E v S W 1 w b 3 J 0 U 2 h l Z X R f T W V h c 3 V y Z X M v Q W 5 k Z X J l J T I w Z W 5 0 Z m V y b n R l J T I w U 3 B h b H R l b j w v S X R l b V B h d G g + P C 9 J d G V t T G 9 j Y X R p b 2 4 + P F N 0 Y W J s Z U V u d H J p Z X M g L z 4 8 L 0 l 0 Z W 0 + P E l 0 Z W 0 + P E l 0 Z W 1 M b 2 N h d G l v b j 4 8 S X R l b V R 5 c G U + R m 9 y b X V s Y T w v S X R l b V R 5 c G U + P E l 0 Z W 1 Q Y X R o P l N l Y 3 R p b 2 4 x L 0 l t c G 9 y d F N o Z W V 0 X 0 1 l Y X N 1 c m V z L 0 h p b n p 1 Z 2 V m J U M z J U J D Z 3 R l c i U y M E l u Z G V 4 P C 9 J d G V t U G F 0 a D 4 8 L 0 l 0 Z W 1 M b 2 N h d G l v b j 4 8 U 3 R h Y m x l R W 5 0 c m l l c y A v P j w v S X R l b T 4 8 S X R l b T 4 8 S X R l b U x v Y 2 F 0 a W 9 u P j x J d G V t V H l w Z T 5 G b 3 J t d W x h P C 9 J d G V t V H l w Z T 4 8 S X R l b V B h d G g + U 2 V j d G l v b j E v S W 1 w b 3 J 0 U 2 h l Z X R f T W V h c 3 V y Z X M v V W 1 i Z W 5 h b m 5 0 Z S U y M F N w Y W x 0 Z W 4 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1 w b 3 J 0 U 2 h l Z X R f T W V h c 3 V y Z X M v W n V z Y W 1 t Z W 5 n Z W Y l Q z M l Q k N o c n R l J T I w Q W J m c m F n Z W 4 8 L 0 l 0 Z W 1 Q Y X R o P j w v S X R l b U x v Y 2 F 0 a W 9 u P j x T d G F i b G V F b n R y a W V z I C 8 + P C 9 J d G V t P j x J d G V t P j x J d G V t T G 9 j Y X R p b 2 4 + P E l 0 Z W 1 U e X B l P k Z v c m 1 1 b G E 8 L 0 l 0 Z W 1 U e X B l P j x J d G V t U G F 0 a D 5 T Z W N 0 a W 9 u M S 9 J b X B v c n R T a G V l d F 9 N Z W F z d X J l c y 9 F c n d l a X R l c n R l J T I w T W F w c G l u Z 1 9 B Y 3 R p d m l 0 e V R 5 c G U 8 L 0 l 0 Z W 1 Q Y X R o P j w v S X R l b U x v Y 2 F 0 a W 9 u P j x T d G F i b G V F b n R y a W V z I C 8 + P C 9 J d G V t P j x J d G V t P j x J d G V t T G 9 j Y X R p b 2 4 + P E l 0 Z W 1 U e X B l P k Z v c m 1 1 b G E 8 L 0 l 0 Z W 1 U e X B l P j x J d G V t U G F 0 a D 5 T Z W N 0 a W 9 u M S 9 N Y X B w a W 5 n X 0 F j d G l 2 a X R 5 L V R 5 c G U 8 L 0 l 0 Z W 1 Q Y X R o P j w v S X R l b U x v Y 2 F 0 a W 9 u P j x T d G F i b G V F b n R y a W V z P j x F b n R y e S B U e X B l P S J J c 1 B y a X Z h d G U i I F Z h b H V l P S J s M C I g L z 4 8 R W 5 0 c n k g V H l w Z T 0 i U X V l c n l J R C I g V m F s d W U 9 I n M z M T Y 3 Y T R k Y S 1 m Y 2 R m L T Q x Y T k t O T E w Z S 0 3 Z D N i N T M 2 Z j I w M 2 U 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1 h c H B p b m d f Q W N 0 a X Z p d H l f V H l w Z S I g L z 4 8 R W 5 0 c n k g V H l w Z T 0 i R m l s b G V k Q 2 9 t c G x l d G V S Z X N 1 b H R U b 1 d v c m t z a G V l d C I g V m F s d W U 9 I m w x I i A v P j x F b n R y e S B U e X B l P S J B Z G R l Z F R v R G F 0 Y U 1 v Z G V s I i B W Y W x 1 Z T 0 i b D A i I C 8 + P E V u d H J 5 I F R 5 c G U 9 I k Z p b G x D b 3 V u d C I g V m F s d W U 9 I m w 4 I i A v P j x F b n R y e S B U e X B l P S J G a W x s R X J y b 3 J D b 2 R l I i B W Y W x 1 Z T 0 i c 1 V u a 2 5 v d 2 4 i I C 8 + P E V u d H J 5 I F R 5 c G U 9 I k Z p b G x F c n J v c k N v d W 5 0 I i B W Y W x 1 Z T 0 i b D A i I C 8 + P E V u d H J 5 I F R 5 c G U 9 I k Z p b G x M Y X N 0 V X B k Y X R l Z C I g V m F s d W U 9 I m Q y M D I 1 L T A y L T E 3 V D E 2 O j M x O j U x L j E 5 M z U 3 M T Z a I i A v P j x F b n R y e S B U e X B l P S J G a W x s Q 2 9 s d W 1 u V H l w Z X M i I F Z h b H V l P S J z Q m d Z P S I g L z 4 8 R W 5 0 c n k g V H l w Z T 0 i R m l s b E N v b H V t b k 5 h b W V z I i B W Y W x 1 Z T 0 i c 1 s m c X V v d D t U e X B l J n F 1 b 3 Q 7 L C Z x d W 9 0 O 1 R 5 c G U g U G F y Y W 1 l d G V 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T W F w c G l u Z 1 9 B Y 3 R p d m l 0 e S 1 U e X B l L 0 F 1 d G 9 S Z W 1 v d m V k Q 2 9 s d W 1 u c z E u e 1 R 5 c G U s M H 0 m c X V v d D s s J n F 1 b 3 Q 7 U 2 V j d G l v b j E v T W F w c G l u Z 1 9 B Y 3 R p d m l 0 e S 1 U e X B l L 0 F 1 d G 9 S Z W 1 v d m V k Q 2 9 s d W 1 u c z E u e 1 R 5 c G U g U G F y Y W 1 l d G V y L D F 9 J n F 1 b 3 Q 7 X S w m c X V v d D t D b 2 x 1 b W 5 D b 3 V u d C Z x d W 9 0 O z o y L C Z x d W 9 0 O 0 t l e U N v b H V t b k 5 h b W V z J n F 1 b 3 Q 7 O l t d L C Z x d W 9 0 O 0 N v b H V t b k l k Z W 5 0 a X R p Z X M m c X V v d D s 6 W y Z x d W 9 0 O 1 N l Y 3 R p b 2 4 x L 0 1 h c H B p b m d f Q W N 0 a X Z p d H k t V H l w Z S 9 B d X R v U m V t b 3 Z l Z E N v b H V t b n M x L n t U e X B l L D B 9 J n F 1 b 3 Q 7 L C Z x d W 9 0 O 1 N l Y 3 R p b 2 4 x L 0 1 h c H B p b m d f Q W N 0 a X Z p d H k t V H l w Z S 9 B d X R v U m V t b 3 Z l Z E N v b H V t b n M x L n t U e X B l I F B h c m F t Z X R l c i w x f S Z x d W 9 0 O 1 0 s J n F 1 b 3 Q 7 U m V s Y X R p b 2 5 z a G l w S W 5 m b y Z x d W 9 0 O z p b X X 0 i I C 8 + P C 9 T d G F i b G V F b n R y a W V z P j w v S X R l b T 4 8 S X R l b T 4 8 S X R l b U x v Y 2 F 0 a W 9 u P j x J d G V t V H l w Z T 5 G b 3 J t d W x h P C 9 J d G V t V H l w Z T 4 8 S X R l b V B h d G g + U 2 V j d G l v b j E v T W F w c G l u Z 1 9 B Y 3 R p d m l 0 e S 1 U e X B l L 1 F 1 Z W x s Z T w v S X R l b V B h d G g + P C 9 J d G V t T G 9 j Y X R p b 2 4 + P F N 0 Y W J s Z U V u d H J p Z X M g L z 4 8 L 0 l 0 Z W 0 + P E l 0 Z W 0 + P E l 0 Z W 1 M b 2 N h d G l v b j 4 8 S X R l b V R 5 c G U + R m 9 y b X V s Y T w v S X R l b V R 5 c G U + P E l 0 Z W 1 Q Y X R o P l N l Y 3 R p b 2 4 x L 0 1 h c H B p b m d f Q W N 0 a X Z p d H k t V H l w Z S 9 H Z S V D M y V B N G 5 k Z X J 0 Z X I l M j B U e X A 8 L 0 l 0 Z W 1 Q Y X R o P j w v S X R l b U x v Y 2 F 0 a W 9 u P j x T d G F i b G V F b n R y a W V z I C 8 + P C 9 J d G V t P j x J d G V t P j x J d G V t T G 9 j Y X R p b 2 4 + P E l 0 Z W 1 U e X B l P k Z v c m 1 1 b G E 8 L 0 l 0 Z W 1 U e X B l P j x J d G V t U G F 0 a D 5 T Z W N 0 a W 9 u M S 9 J b X B v c n R T a G V l d F 9 N Z W F z d X J l c y 9 T c G F s d G V u b m F t Z W 4 8 L 0 l 0 Z W 1 Q Y X R o P j w v S X R l b U x v Y 2 F 0 a W 9 u P j x T d G F i b G V F b n R y a W V z I C 8 + P C 9 J d G V t P j x J d G V t P j x J d G V t T G 9 j Y X R p b 2 4 + P E l 0 Z W 1 U e X B l P k Z v c m 1 1 b G E 8 L 0 l 0 Z W 1 U e X B l P j x J d G V t U G F 0 a D 5 T Z W N 0 a W 9 u M S 9 J b X B v c n R T a G V l d F 9 N Z W F z d X J l c y 9 D X 1 N w Y W x 0 Z W 4 8 L 0 l 0 Z W 1 Q Y X R o P j w v S X R l b U x v Y 2 F 0 a W 9 u P j x T d G F i b G V F b n R y a W V z I C 8 + P C 9 J d G V t P j x J d G V t P j x J d G V t T G 9 j Y X R p b 2 4 + P E l 0 Z W 1 U e X B l P k Z v c m 1 1 b G E 8 L 0 l 0 Z W 1 U e X B l P j x J d G V t U G F 0 a D 5 T Z W N 0 a W 9 u M S 9 J b X B v c n R T a G V l d F 9 N Z W F z d X J l c y 9 a d X N h b W 1 l b m d l Z m F z c 3 R l J T I w Q 1 9 T c G F s d G V u P C 9 J d G V t U G F 0 a D 4 8 L 0 l 0 Z W 1 M b 2 N h d G l v b j 4 8 U 3 R h Y m x l R W 5 0 c m l l c y A v P j w v S X R l b T 4 8 S X R l b T 4 8 S X R l b U x v Y 2 F 0 a W 9 u P j x J d G V t V H l w Z T 5 G b 3 J t d W x h P C 9 J d G V t V H l w Z T 4 8 S X R l b V B h d G g + U 2 V j d G l v b j E v S W 1 w b 3 J 0 U 2 h l Z X R f T W V h c 3 V y Z X M v U m V k d X p p Z X J 0 Z S U y M F R h Y m V s b G U l M j B D X z w v S X R l b V B h d G g + P C 9 J d G V t T G 9 j Y X R p b 2 4 + P F N 0 Y W J s Z U V u d H J p Z X M g L z 4 8 L 0 l 0 Z W 0 + P E l 0 Z W 0 + P E l 0 Z W 1 M b 2 N h d G l v b j 4 8 S X R l b V R 5 c G U + R m 9 y b X V s Y T w v S X R l b V R 5 c G U + P E l 0 Z W 1 Q Y X R o P l N l Y 3 R p b 2 4 x L 0 l t c G 9 y d F N o Z W V 0 X 0 1 l Y X N 1 c m V z L 0 1 f U 3 B h b H R l b j w v S X R l b V B h d G g + P C 9 J d G V t T G 9 j Y X R p b 2 4 + P F N 0 Y W J s Z U V u d H J p Z X M g L z 4 8 L 0 l 0 Z W 0 + P E l 0 Z W 0 + P E l 0 Z W 1 M b 2 N h d G l v b j 4 8 S X R l b V R 5 c G U + R m 9 y b X V s Y T w v S X R l b V R 5 c G U + P E l 0 Z W 1 Q Y X R o P l N l Y 3 R p b 2 4 x L 0 l t c G 9 y d F N o Z W V 0 X 0 1 l Y X N 1 c m V z L 1 p 1 c 2 F t b W V u Z 2 V m Y X N z d G U l M j B N X 1 N w Y W x 0 Z W 4 8 L 0 l 0 Z W 1 Q Y X R o P j w v S X R l b U x v Y 2 F 0 a W 9 u P j x T d G F i b G V F b n R y a W V z I C 8 + P C 9 J d G V t P j x J d G V t P j x J d G V t T G 9 j Y X R p b 2 4 + P E l 0 Z W 1 U e X B l P k Z v c m 1 1 b G E 8 L 0 l 0 Z W 1 U e X B l P j x J d G V t U G F 0 a D 5 T Z W N 0 a W 9 u M S 9 J b X B v c n R T a G V l d F 9 N Z W F z d X J l c y 9 S Z W R 1 e m l l c n R l J T I w V G F i Z W x s Z S U y M E 1 f P C 9 J d G V t U G F 0 a D 4 8 L 0 l 0 Z W 1 M b 2 N h d G l v b j 4 8 U 3 R h Y m x l R W 5 0 c m l l c y A v P j w v S X R l b T 4 8 S X R l b T 4 8 S X R l b U x v Y 2 F 0 a W 9 u P j x J d G V t V H l w Z T 5 G b 3 J t d W x h P C 9 J d G V t V H l w Z T 4 8 S X R l b V B h d G g + U 2 V j d G l v b j E v S W 1 w b 3 J 0 U 2 h l Z X R f T W V h c 3 V y Z X M v Q W 5 n Z W Y l Q z M l Q k N n d G U l M j B B Y m Z y Y W d l J T I w Q W R h c H R h d G l v b j w v S X R l b V B h d G g + P C 9 J d G V t T G 9 j Y X R p b 2 4 + P F N 0 Y W J s Z U V u d H J p Z X M g L z 4 8 L 0 l 0 Z W 0 + P E l 0 Z W 0 + P E l 0 Z W 1 M b 2 N h d G l v b j 4 8 S X R l b V R 5 c G U + R m 9 y b X V s Y T w v S X R l b V R 5 c G U + P E l 0 Z W 1 Q Y X R o P l N l Y 3 R p b 2 4 x L 0 l t c G 9 y d F N o Z W V 0 X 0 1 l Y X N 1 c m V z L 0 V u d G Z l c m 5 0 Z S U y M F N w Y W x 0 Z W 4 l M j B B Y 3 R p d m l 0 e S U y M H R 5 c G U 8 L 0 l 0 Z W 1 Q Y X R o P j w v S X R l b U x v Y 2 F 0 a W 9 u P j x T d G F i b G V F b n R y a W V z I C 8 + P C 9 J d G V t P j x J d G V t P j x J d G V t T G 9 j Y X R p b 2 4 + P E l 0 Z W 1 U e X B l P k Z v c m 1 1 b G E 8 L 0 l 0 Z W 1 U e X B l P j x J d G V t U G F 0 a D 5 T Z W N 0 a W 9 u M S 9 J b X B v c n R T a G V l d F 9 N Z W F z d X J l c y 9 I a W 5 6 d W d l Z i V D M y V C Q 2 d 0 Z S U y M G J l b n V 0 e m V y Z G V m a W 5 p Z X J 0 Z S U y M G d p e l 9 u Z G N f X 3 R h c m d l d F 9 0 e X B l P C 9 J d G V t U G F 0 a D 4 8 L 0 l 0 Z W 1 M b 2 N h d G l v b j 4 8 U 3 R h Y m x l R W 5 0 c m l l c y A v P j w v S X R l b T 4 8 S X R l b T 4 8 S X R l b U x v Y 2 F 0 a W 9 u P j x J d G V t V H l w Z T 5 G b 3 J t d W x h P C 9 J d G V t V H l w Z T 4 8 S X R l b V B h d G g + U 2 V j d G l v b j E v S W 1 w b 3 J 0 U 2 h l Z X R f T W V h c 3 V y Z X M v S G l u e n V n Z W Y l Q z M l Q k N n d G U l M j B i Z W 5 1 d H p l c m R l Z m l u a W V y d G U l M j B n a X p f b m R j X 1 9 0 e W V h c j w v S X R l b V B h d G g + P C 9 J d G V t T G 9 j Y X R p b 2 4 + P F N 0 Y W J s Z U V u d H J p Z X M g L z 4 8 L 0 l 0 Z W 0 + P E l 0 Z W 0 + P E l 0 Z W 1 M b 2 N h d G l v b j 4 8 S X R l b V R 5 c G U + R m 9 y b X V s Y T w v S X R l b V R 5 c G U + P E l 0 Z W 1 Q Y X R o P l N l Y 3 R p b 2 4 x L 0 l t c G 9 y d F N o Z W V 0 X 0 1 l Y X N 1 c m V z L 0 h p b n p 1 Z 2 V m J U M z J U J D Z 3 R l J T I w Y m V u d X R 6 Z X J k Z W Z p b m l l c n R l J T I w Z 2 l 6 X 2 5 k Y 1 9 f c m V w b 3 J 0 Z X I 8 L 0 l 0 Z W 1 Q Y X R o P j w v S X R l b U x v Y 2 F 0 a W 9 u P j x T d G F i b G V F b n R y a W V z I C 8 + P C 9 J d G V t P j x J d G V t P j x J d G V t T G 9 j Y X R p b 2 4 + P E l 0 Z W 1 U e X B l P k Z v c m 1 1 b G E 8 L 0 l 0 Z W 1 U e X B l P j x J d G V t U G F 0 a D 5 T Z W N 0 a W 9 u M S 9 J b X B v c n R T a G V l d F 9 N Z W F z d X J l c y 9 I a W 5 6 d W d l Z i V D M y V C Q 2 d 0 Z S U y M G J l b n V 0 e m V y Z G V m a W 5 p Z X J 0 Z S U y M G d p e l 9 u Z G N f X 3 J l c G 9 y d G V k X 2 F 0 P C 9 J d G V t U G F 0 a D 4 8 L 0 l 0 Z W 1 M b 2 N h d G l v b j 4 8 U 3 R h Y m x l R W 5 0 c m l l c y A v P j w v S X R l b T 4 8 S X R l b T 4 8 S X R l b U x v Y 2 F 0 a W 9 u P j x J d G V t V H l w Z T 5 G b 3 J t d W x h P C 9 J d G V t V H l w Z T 4 8 S X R l b V B h d G g + U 2 V j d G l v b j E v S W 1 w b 3 J 0 U 2 h l Z X R f T W V h c 3 V y Z X M v S G l u e n V n Z W Y l Q z M l Q k N n d G U l M j B i Z W 5 1 d H p l c m R l Z m l u a W V y d G U l M j B n a X p f b m R j X 1 9 p b n Z l c 3 R l b W V u d D w v S X R l b V B h d G g + P C 9 J d G V t T G 9 j Y X R p b 2 4 + P F N 0 Y W J s Z U V u d H J p Z X M g L z 4 8 L 0 l 0 Z W 0 + P E l 0 Z W 0 + P E l 0 Z W 1 M b 2 N h d G l v b j 4 8 S X R l b V R 5 c G U + R m 9 y b X V s Y T w v S X R l b V R 5 c G U + P E l 0 Z W 1 Q Y X R o P l N l Y 3 R p b 2 4 x L 0 l t c G 9 y d F N o Z W V 0 X 0 1 l Y X N 1 c m V z L 1 V t Y m V u Y W 5 u d G U l M j B T c G F s d G V u J T I w U G F y Y W 1 l d G V y P C 9 J d G V t U G F 0 a D 4 8 L 0 l 0 Z W 1 M b 2 N h d G l v b j 4 8 U 3 R h Y m x l R W 5 0 c m l l c y A v P j w v S X R l b T 4 8 S X R l b T 4 8 S X R l b U x v Y 2 F 0 a W 9 u P j x J d G V t V H l w Z T 5 G b 3 J t d W x h P C 9 J d G V t V H l w Z T 4 8 S X R l b V B h d G g + U 2 V j d G l v b j E v S W 1 w b 3 J 0 U 2 h l Z X R f T W V h c 3 V y Z X M v T m V 1 J T I w Y W 5 n Z W 9 y Z G 5 l d G U l M j B T c G F s d G V u P C 9 J d G V t U G F 0 a D 4 8 L 0 l 0 Z W 1 M b 2 N h d G l v b j 4 8 U 3 R h Y m x l R W 5 0 c m l l c y A v P j w v S X R l b T 4 8 S X R l b T 4 8 S X R l b U x v Y 2 F 0 a W 9 u P j x J d G V t V H l w Z T 5 G b 3 J t d W x h P C 9 J d G V t V H l w Z T 4 8 S X R l b V B h d G g + U 2 V j d G l v b j E v S W 1 w b 3 J 0 U 2 h l Z X R f T W V h c 3 V y Z X M v R 2 V m a W x 0 Z X J 0 Z S U y M F p l a W x l b j w v S X R l b V B h d G g + P C 9 J d G V t T G 9 j Y X R p b 2 4 + P F N 0 Y W J s Z U V u d H J p Z X M g L z 4 8 L 0 l 0 Z W 0 + P E l 0 Z W 0 + P E l 0 Z W 1 M b 2 N h d G l v b j 4 8 S X R l b V R 5 c G U + R m 9 y b X V s Y T w v S X R l b V R 5 c G U + P E l 0 Z W 1 Q Y X R o P l N l Y 3 R p b 2 4 x L 0 l t c G 9 y d F N o Z W V 0 X 0 1 l Y X N 1 c m V z L 0 V u d G Z l c m 5 0 Z S U y M E R 1 c G x p a 2 F 0 Z T w v S X R l b V B h d G g + P C 9 J d G V t T G 9 j Y X R p b 2 4 + P F N 0 Y W J s Z U V u d H J p Z X M g L z 4 8 L 0 l 0 Z W 0 + P C 9 J d G V t c z 4 8 L 0 x v Y 2 F s U G F j a 2 F n Z U 1 l d G F k Y X R h R m l s Z T 4 W A A A A U E s F B g A A A A A A A A A A A A A A A A A A A A A A A N o A A A A B A A A A 0 I y d 3 w E V 0 R G M e g D A T 8 K X 6 w E A A A C 6 P K 9 Y J N + f Q 6 s T d f U o v T O z A A A A A A I A A A A A A A N m A A D A A A A A E A A A A L p P p G V J 6 P f 0 v U v E b Y M d q t c A A A A A B I A A A K A A A A A Q A A A A C V 1 t g X G g M H 3 O P 3 s e Y 2 7 s J l A A A A C e w k a D K t T + 3 j B B 6 F d z c O U Q X e I k / h A o z U I q w o / N B g l j y o J i N Z B j / O q 5 K A 2 n q R U + + 3 L a G z g p O z K P E y a R k d d x Q s r Q m Q g W V 9 q L k X o c E n V n B M y 5 H R Q A A A D B 8 v T f 5 T h m P p J i N q V f l P y E x U 2 j H A = = < / D a t a M a s h u p > 
</file>

<file path=customXml/item3.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 B a c k e n d   s t a t u s < / s t r i n g > < / k e y > < v a l u e > < i n t > 1 5 8 < / i n t > < / v a l u e > < / i t e m > < i t e m > < k e y > < s t r i n g > C u r r e n t < / s t r i n g > < / k e y > < v a l u e > < i n t > 1 0 2 < / i n t > < / v a l u e > < / i t e m > < i t e m > < k e y > < s t r i n g > V e r s i o n   n u m b e r < / s t r i n g > < / k e y > < v a l u e > < i n t > 1 6 6 < / i n t > < / v a l u e > < / i t e m > < i t e m > < k e y > < s t r i n g > C o m m e n t < / s t r i n g > < / k e y > < v a l u e > < i n t > 1 1 8 < / 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 B a c k e n d   s t a t u s < / s t r i n g > < / k e y > < v a l u e > < i n t > 5 < / i n t > < / v a l u e > < / i t e m > < i t e m > < k e y > < s t r i n g > C u r r e n t < / s t r i n g > < / k e y > < v a l u e > < i n t > 6 < / i n t > < / v a l u e > < / i t e m > < i t e m > < k e y > < s t r i n g > V e r s i o n   n u m b e r < / s t r i n g > < / k e y > < v a l u e > < i n t > 7 < / i n t > < / v a l u e > < / i t e m > < i t e m > < k e y > < s t r i n g > C o m m e n t < / s t r i n g > < / k e y > < v a l u e > < i n t > 8 < / i n t > < / v a l u e > < / i t e m > < / C o l u m n D i s p l a y I n d e x > < C o l u m n F r o z e n   / > < C o l u m n C h e c k e d   / > < C o l u m n F i l t e r   / > < S e l e c t i o n F i l t e r   / > < F i l t e r P a r a m e t e r s   / > < I s S o r t D e s c e n d i n g > f a l s e < / I s S o r t D e s c e n d i n g > < / T a b l e W i d g e t G r i d S e r i a l i z a t i o n > ] ] > < / C u s t o m C o n t e n t > < / G e m i n i > 
</file>

<file path=customXml/item4.xml><?xml version="1.0" encoding="utf-8"?>
<ct:contentTypeSchema xmlns:ct="http://schemas.microsoft.com/office/2006/metadata/contentType" xmlns:ma="http://schemas.microsoft.com/office/2006/metadata/properties/metaAttributes" ct:_="" ma:_="" ma:contentTypeName="Dokument" ma:contentTypeID="0x0101004C2709ED6611694E87078AC661BB6E32" ma:contentTypeVersion="15" ma:contentTypeDescription="Ein neues Dokument erstellen." ma:contentTypeScope="" ma:versionID="53008069831afab1044dccf776e7b253">
  <xsd:schema xmlns:xsd="http://www.w3.org/2001/XMLSchema" xmlns:xs="http://www.w3.org/2001/XMLSchema" xmlns:p="http://schemas.microsoft.com/office/2006/metadata/properties" xmlns:ns2="03dad9f7-eeac-4c02-ba14-375916eb47b1" xmlns:ns3="cdaba44c-56e2-426a-84fb-b2cd630ec321" targetNamespace="http://schemas.microsoft.com/office/2006/metadata/properties" ma:root="true" ma:fieldsID="a426cff975055ac7f0bd7725e34106fb" ns2:_="" ns3:_="">
    <xsd:import namespace="03dad9f7-eeac-4c02-ba14-375916eb47b1"/>
    <xsd:import namespace="cdaba44c-56e2-426a-84fb-b2cd630ec3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d9f7-eeac-4c02-ba14-375916eb47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0aed264e-563a-469a-8ebe-271e849ec10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aba44c-56e2-426a-84fb-b2cd630ec32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d62ff32a-af85-4782-8e75-432d823cca3b}" ma:internalName="TaxCatchAll" ma:showField="CatchAllData" ma:web="cdaba44c-56e2-426a-84fb-b2cd630ec3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R e l a t i o n s h i p A u t o D e t e c t i o n E n a b l e d " > < C u s t o m C o n t e n t > < ! [ C D A T A [ T r u e ] ] > < / C u s t o m C o n t e n t > < / G e m i n i > 
</file>

<file path=customXml/item6.xml>��< ? x m l   v e r s i o n = " 1 . 0 "   e n c o d i n g = " U T F - 1 6 " ? > < G e m i n i   x m l n s = " h t t p : / / g e m i n i / p i v o t c u s t o m i z a t i o n / T a b l e X M L _ T a b l e 9 " > < C u s t o m C o n t e n t > < ! [ C D A T A [ < T a b l e W i d g e t G r i d S e r i a l i z a t i o n   x m l n s : x s d = " h t t p : / / w w w . w 3 . o r g / 2 0 0 1 / X M L S c h e m a "   x m l n s : x s i = " h t t p : / / w w w . w 3 . o r g / 2 0 0 1 / X M L S c h e m a - i n s t a n c e " > < C o l u m n S u g g e s t e d T y p e   / > < C o l u m n F o r m a t   / > < C o l u m n A c c u r a c y   / > < C o l u m n C u r r e n c y S y m b o l   / > < C o l u m n P o s i t i v e P a t t e r n   / > < C o l u m n N e g a t i v e P a t t e r n   / > < C o l u m n W i d t h s > < i t e m > < k e y > < s t r i n g > C o u n t r y   C o d e < / s t r i n g > < / k e y > < v a l u e > < i n t > 1 4 8 < / i n t > < / v a l u e > < / i t e m > < i t e m > < k e y > < s t r i n g > C o u n t r y < / s t r i n g > < / k e y > < v a l u e > < i n t > 1 0 5 < / i n t > < / v a l u e > < / i t e m > < i t e m > < k e y > < s t r i n g > T y p e   o f   D o c u m e n t < / s t r i n g > < / k e y > < v a l u e > < i n t > 1 8 3 < / i n t > < / v a l u e > < / i t e m > < i t e m > < k e y > < s t r i n g > P a r a m e t e r < / s t r i n g > < / k e y > < v a l u e > < i n t > 1 2 4 < / i n t > < / v a l u e > < / i t e m > < i t e m > < k e y > < s t r i n g > C o n t e n t < / s t r i n g > < / k e y > < v a l u e > < i n t > 1 0 4 < / i n t > < / v a l u e > < / i t e m > < i t e m > < k e y > < s t r i n g > P a g e   N u m b e r < / s t r i n g > < / k e y > < v a l u e > < i n t > 1 4 7 < / i n t > < / v a l u e > < / i t e m > < i t e m > < k e y > < s t r i n g > A c t i v e   m o b i l i t y < / s t r i n g > < / k e y > < v a l u e > < i n t > 1 5 7 < / i n t > < / v a l u e > < / i t e m > < i t e m > < k e y > < s t r i n g > N o t   d e f i n e d < / s t r i n g > < / k e y > < v a l u e > < i n t > 1 3 3 < / i n t > < / v a l u e > < / i t e m > < i t e m > < k e y > < s t r i n g > A c t i v i t y   t y p e < / s t r i n g > < / k e y > < v a l u e > < i n t > 1 3 9 < / i n t > < / v a l u e > < / i t e m > < i t e m > < k e y > < s t r i n g > A n n e x   I   o r   N o n - A n n e x   I < / s t r i n g > < / k e y > < v a l u e > < i n t > 2 2 2 < / i n t > < / v a l u e > < / i t e m > < i t e m > < k e y > < s t r i n g > I n c o m e   G r o u p < / s t r i n g > < / k e y > < v a l u e > < i n t > 1 5 4 < / i n t > < / v a l u e > < / i t e m > < i t e m > < k e y > < s t r i n g > R e g i o n < / s t r i n g > < / k e y > < v a l u e > < i n t > 9 5 < / i n t > < / v a l u e > < / i t e m > < i t e m > < k e y > < s t r i n g > W a l k i n g < / s t r i n g > < / k e y > < v a l u e > < i n t > 1 0 4 < / i n t > < / v a l u e > < / i t e m > < i t e m > < k e y > < s t r i n g > C y c l i n g < / s t r i n g > < / k e y > < v a l u e > < i n t > 9 7 < / i n t > < / v a l u e > < / i t e m > < i t e m > < k e y > < s t r i n g > R o a d < / s t r i n g > < / k e y > < v a l u e > < i n t > 8 2 < / i n t > < / v a l u e > < / i t e m > < i t e m > < k e y > < s t r i n g > T w o / t h r e e - w h e e l e r s < / s t r i n g > < / k e y > < v a l u e > < i n t > 1 9 9 < / i n t > < / v a l u e > < / i t e m > < i t e m > < k e y > < s t r i n g > C a r s < / s t r i n g > < / k e y > < v a l u e > < i n t > 7 7 < / i n t > < / v a l u e > < / i t e m > < i t e m > < k e y > < s t r i n g > P r i v a t e   c a r s < / s t r i n g > < / k e y > < v a l u e > < i n t > 1 3 3 < / i n t > < / v a l u e > < / i t e m > < i t e m > < k e y > < s t r i n g > T a x i s < / s t r i n g > < / k e y > < v a l u e > < i n t > 8 0 < / i n t > < / v a l u e > < / i t e m > < i t e m > < k e y > < s t r i n g > T r u c k s < / s t r i n g > < / k e y > < v a l u e > < i n t > 9 3 < / i n t > < / v a l u e > < / i t e m > < i t e m > < k e y > < s t r i n g > B u s < / s t r i n g > < / k e y > < v a l u e > < i n t > 7 1 < / i n t > < / v a l u e > < / i t e m > < i t e m > < k e y > < s t r i n g > R a i l < / s t r i n g > < / k e y > < v a l u e > < i n t > 7 0 < / i n t > < / v a l u e > < / i t e m > < i t e m > < k e y > < s t r i n g > H e a v y   r a i l < / s t r i n g > < / k e y > < v a l u e > < i n t > 1 1 9 < / i n t > < / v a l u e > < / i t e m > < i t e m > < k e y > < s t r i n g > H i g h - s p e e d   r a i l < / s t r i n g > < / k e y > < v a l u e > < i n t > 1 5 8 < / i n t > < / v a l u e > < / i t e m > < i t e m > < k e y > < s t r i n g > T r a n s i t   r a i l < / s t r i n g > < / k e y > < v a l u e > < i n t > 1 2 3 < / i n t > < / v a l u e > < / i t e m > < i t e m > < k e y > < s t r i n g > W a t e r   t r a n s p o r t < / s t r i n g > < / k e y > < v a l u e > < i n t > 1 6 7 < / i n t > < / v a l u e > < / i t e m > < i t e m > < k e y > < s t r i n g > C o a s t a l   s h i p p i n g < / s t r i n g > < / k e y > < v a l u e > < i n t > 1 6 8 < / i n t > < / v a l u e > < / i t e m > < i t e m > < k e y > < s t r i n g > I n l a n d   s h i p p i n g < / s t r i n g > < / k e y > < v a l u e > < i n t > 1 6 1 < / i n t > < / v a l u e > < / i t e m > < i t e m > < k e y > < s t r i n g > I n t e r n a t i o n a l   m a r i t i m e < / s t r i n g > < / k e y > < v a l u e > < i n t > 2 1 8 < / i n t > < / v a l u e > < / i t e m > < i t e m > < k e y > < s t r i n g > A v i a t i o n < / s t r i n g > < / k e y > < v a l u e > < i n t > 1 0 7 < / i n t > < / v a l u e > < / i t e m > < i t e m > < k e y > < s t r i n g > N o t   d e f i n e d 2 < / s t r i n g > < / k e y > < v a l u e > < i n t > 1 4 3 < / i n t > < / v a l u e > < / i t e m > < i t e m > < k e y > < s t r i n g > U r b a n < / s t r i n g > < / k e y > < v a l u e > < i n t > 9 1 < / i n t > < / v a l u e > < / i t e m > < i t e m > < k e y > < s t r i n g > R u r a l < / s t r i n g > < / k e y > < v a l u e > < i n t > 8 3 < / i n t > < / v a l u e > < / i t e m > < i t e m > < k e y > < s t r i n g > I n t e r - c i t y < / s t r i n g > < / k e y > < v a l u e > < i n t > 1 1 3 < / i n t > < / v a l u e > < / i t e m > < / C o l u m n W i d t h s > < C o l u m n D i s p l a y I n d e x > < i t e m > < k e y > < s t r i n g > C o u n t r y   C o d e < / s t r i n g > < / k e y > < v a l u e > < i n t > 0 < / i n t > < / v a l u e > < / i t e m > < i t e m > < k e y > < s t r i n g > C o u n t r y < / s t r i n g > < / k e y > < v a l u e > < i n t > 1 < / i n t > < / v a l u e > < / i t e m > < i t e m > < k e y > < s t r i n g > T y p e   o f   D o c u m e n t < / s t r i n g > < / k e y > < v a l u e > < i n t > 2 < / i n t > < / v a l u e > < / i t e m > < i t e m > < k e y > < s t r i n g > P a r a m e t e r < / s t r i n g > < / k e y > < v a l u e > < i n t > 3 < / i n t > < / v a l u e > < / i t e m > < i t e m > < k e y > < s t r i n g > C o n t e n t < / s t r i n g > < / k e y > < v a l u e > < i n t > 4 < / i n t > < / v a l u e > < / i t e m > < i t e m > < k e y > < s t r i n g > P a g e   N u m b e r < / s t r i n g > < / k e y > < v a l u e > < i n t > 5 < / i n t > < / v a l u e > < / i t e m > < i t e m > < k e y > < s t r i n g > A c t i v e   m o b i l i t y < / s t r i n g > < / k e y > < v a l u e > < i n t > 1 1 < / i n t > < / v a l u e > < / i t e m > < i t e m > < k e y > < s t r i n g > N o t   d e f i n e d < / s t r i n g > < / k e y > < v a l u e > < i n t > 1 0 < / i n t > < / v a l u e > < / i t e m > < i t e m > < k e y > < s t r i n g > A c t i v i t y   t y p e < / s t r i n g > < / k e y > < v a l u e > < i n t > 6 < / i n t > < / v a l u e > < / i t e m > < i t e m > < k e y > < s t r i n g > A n n e x   I   o r   N o n - A n n e x   I < / s t r i n g > < / k e y > < v a l u e > < i n t > 7 < / i n t > < / v a l u e > < / i t e m > < i t e m > < k e y > < s t r i n g > I n c o m e   G r o u p < / s t r i n g > < / k e y > < v a l u e > < i n t > 8 < / i n t > < / v a l u e > < / i t e m > < i t e m > < k e y > < s t r i n g > R e g i o n < / s t r i n g > < / k e y > < v a l u e > < i n t > 9 < / i n t > < / v a l u e > < / i t e m > < i t e m > < k e y > < s t r i n g > W a l k i n g < / s t r i n g > < / k e y > < v a l u e > < i n t > 1 2 < / i n t > < / v a l u e > < / i t e m > < i t e m > < k e y > < s t r i n g > C y c l i n g < / s t r i n g > < / k e y > < v a l u e > < i n t > 1 3 < / i n t > < / v a l u e > < / i t e m > < i t e m > < k e y > < s t r i n g > R o a d < / s t r i n g > < / k e y > < v a l u e > < i n t > 1 4 < / i n t > < / v a l u e > < / i t e m > < i t e m > < k e y > < s t r i n g > T w o / t h r e e - w h e e l e r s < / s t r i n g > < / k e y > < v a l u e > < i n t > 1 5 < / i n t > < / v a l u e > < / i t e m > < i t e m > < k e y > < s t r i n g > C a r s < / s t r i n g > < / k e y > < v a l u e > < i n t > 1 6 < / i n t > < / v a l u e > < / i t e m > < i t e m > < k e y > < s t r i n g > P r i v a t e   c a r s < / s t r i n g > < / k e y > < v a l u e > < i n t > 1 7 < / i n t > < / v a l u e > < / i t e m > < i t e m > < k e y > < s t r i n g > T a x i s < / s t r i n g > < / k e y > < v a l u e > < i n t > 1 8 < / i n t > < / v a l u e > < / i t e m > < i t e m > < k e y > < s t r i n g > T r u c k s < / s t r i n g > < / k e y > < v a l u e > < i n t > 1 9 < / i n t > < / v a l u e > < / i t e m > < i t e m > < k e y > < s t r i n g > B u s < / s t r i n g > < / k e y > < v a l u e > < i n t > 2 0 < / i n t > < / v a l u e > < / i t e m > < i t e m > < k e y > < s t r i n g > R a i l < / s t r i n g > < / k e y > < v a l u e > < i n t > 2 1 < / i n t > < / v a l u e > < / i t e m > < i t e m > < k e y > < s t r i n g > H e a v y   r a i l < / s t r i n g > < / k e y > < v a l u e > < i n t > 2 2 < / i n t > < / v a l u e > < / i t e m > < i t e m > < k e y > < s t r i n g > H i g h - s p e e d   r a i l < / s t r i n g > < / k e y > < v a l u e > < i n t > 2 3 < / i n t > < / v a l u e > < / i t e m > < i t e m > < k e y > < s t r i n g > T r a n s i t   r a i l < / s t r i n g > < / k e y > < v a l u e > < i n t > 2 4 < / i n t > < / v a l u e > < / i t e m > < i t e m > < k e y > < s t r i n g > W a t e r   t r a n s p o r t < / s t r i n g > < / k e y > < v a l u e > < i n t > 2 5 < / i n t > < / v a l u e > < / i t e m > < i t e m > < k e y > < s t r i n g > C o a s t a l   s h i p p i n g < / s t r i n g > < / k e y > < v a l u e > < i n t > 2 6 < / i n t > < / v a l u e > < / i t e m > < i t e m > < k e y > < s t r i n g > I n l a n d   s h i p p i n g < / s t r i n g > < / k e y > < v a l u e > < i n t > 2 7 < / i n t > < / v a l u e > < / i t e m > < i t e m > < k e y > < s t r i n g > I n t e r n a t i o n a l   m a r i t i m e < / s t r i n g > < / k e y > < v a l u e > < i n t > 2 8 < / i n t > < / v a l u e > < / i t e m > < i t e m > < k e y > < s t r i n g > A v i a t i o n < / s t r i n g > < / k e y > < v a l u e > < i n t > 2 9 < / i n t > < / v a l u e > < / i t e m > < i t e m > < k e y > < s t r i n g > N o t   d e f i n e d 2 < / s t r i n g > < / k e y > < v a l u e > < i n t > 3 0 < / i n t > < / v a l u e > < / i t e m > < i t e m > < k e y > < s t r i n g > U r b a n < / s t r i n g > < / k e y > < v a l u e > < i n t > 3 1 < / i n t > < / v a l u e > < / i t e m > < i t e m > < k e y > < s t r i n g > R u r a l < / s t r i n g > < / k e y > < v a l u e > < i n t > 3 2 < / i n t > < / v a l u e > < / i t e m > < i t e m > < k e y > < s t r i n g > I n t e r - c i t y < / s t r i n g > < / k e y > < v a l u e > < i n t > 3 3 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T a b l e 2 " > < C u s t o m C o n t e n t > < ! [ C D A T A [ < T a b l e W i d g e t G r i d S e r i a l i z a t i o n   x m l n s : x s d = " h t t p : / / w w w . w 3 . o r g / 2 0 0 1 / X M L S c h e m a "   x m l n s : x s i = " h t t p : / / w w w . w 3 . o r g / 2 0 0 1 / X M L S c h e m a - i n s t a n c e " > < C o l u m n S u g g e s t e d T y p e   / > < C o l u m n F o r m a t   / > < C o l u m n A c c u r a c y   / > < C o l u m n C u r r e n c y S y m b o l   / > < C o l u m n P o s i t i v e P a t t e r n   / > < C o l u m n N e g a t i v e P a t t e r n   / > < C o l u m n W i d t h s > < i t e m > < k e y > < s t r i n g > C o u n t r y   C o d e s < / s t r i n g > < / k e y > < v a l u e > < i n t > 1 5 6 < / i n t > < / v a l u e > < / i t e m > < i t e m > < k e y > < s t r i n g > C o u n t r y < / s t r i n g > < / k e y > < v a l u e > < i n t > 1 0 5 < / i n t > < / v a l u e > < / i t e m > < i t e m > < k e y > < s t r i n g > A n n e x   I   o r   N o n - A n n e x   I < / s t r i n g > < / k e y > < v a l u e > < i n t > 2 2 2 < / i n t > < / v a l u e > < / i t e m > < i t e m > < k e y > < s t r i n g > R e g i o n < / s t r i n g > < / k e y > < v a l u e > < i n t > 9 5 < / i n t > < / v a l u e > < / i t e m > < i t e m > < k e y > < s t r i n g > I n c o m e   L e v e l   G r o u p < / s t r i n g > < / k e y > < v a l u e > < i n t > 1 9 7 < / i n t > < / v a l u e > < / i t e m > < i t e m > < k e y > < s t r i n g > G 2 0 < / s t r i n g > < / k e y > < v a l u e > < i n t > 7 5 < / i n t > < / v a l u e > < / i t e m > < i t e m > < k e y > < s t r i n g > G 7 < / s t r i n g > < / k e y > < v a l u e > < i n t > 6 5 < / i n t > < / v a l u e > < / i t e m > < i t e m > < k e y > < s t r i n g > O E C D < / s t r i n g > < / k e y > < v a l u e > < i n t > 8 7 < / i n t > < / v a l u e > < / i t e m > < i t e m > < k e y > < s t r i n g > E U 2 7 < / s t r i n g > < / k e y > < v a l u e > < i n t > 8 4 < / i n t > < / v a l u e > < / i t e m > < i t e m > < k e y > < s t r i n g > D e c l a r a t i o n   o n   a c c e l e r a t i n g   t h e   t r a n s i t i o n   t o   1 0 0 %   z e r o   e m i s s i o n   c a r s   a n d   v a n s < / s t r i n g > < / k e y > < v a l u e > < i n t > 6 4 8 < / i n t > < / v a l u e > < / i t e m > < i t e m > < k e y > < s t r i n g > B r e a k t h r o u g h   a g e n d a   -   r o a d   t r a n s p o r t < / s t r i n g > < / k e y > < v a l u e > < i n t > 3 3 6 < / i n t > < / v a l u e > < / i t e m > < i t e m > < k e y > < s t r i n g > I n t e r n a t i o n a l   a v i a t i o n   c l i m a t e   a m b i t i o n   c o a l i t i o n < / s t r i n g > < / k e y > < v a l u e > < i n t > 4 1 2 < / i n t > < / v a l u e > < / i t e m > < i t e m > < k e y > < s t r i n g > C l y d e b a n k   d e c l a r a t i o n   f o r   g r e e n   s h i p p i n g   c o r r i d o r s < / s t r i n g > < / k e y > < v a l u e > < i n t > 4 3 3 < / i n t > < / v a l u e > < / i t e m > < i t e m > < k e y > < s t r i n g > M e m o r a n d u m   o f   u n d e r s t a n d i n g   o n   z e r o - e m i s s i o n   m e d i u m -   a n d   h e a v y - d u t y   v e h i c l e s < / s t r i n g > < / k e y > < v a l u e > < i n t > 6 8 8 < / i n t > < / v a l u e > < / i t e m > < i t e m > < k e y > < s t r i n g > B e y o n d   o i l   a n d   g a s   a l l i a n c e < / s t r i n g > < / k e y > < v a l u e > < i n t > 2 4 7 < / i n t > < / v a l u e > < / i t e m > < i t e m > < k e y > < s t r i n g > C h a r g e   f o r w a r d   t o   z e r o   e m i s s i o n s   t r a n s p o r t a t i o n < / s t r i n g > < / k e y > < v a l u e > < i n t > 4 1 9 < / i n t > < / v a l u e > < / i t e m > < / C o l u m n W i d t h s > < C o l u m n D i s p l a y I n d e x > < i t e m > < k e y > < s t r i n g > C o u n t r y   C o d e s < / s t r i n g > < / k e y > < v a l u e > < i n t > 0 < / i n t > < / v a l u e > < / i t e m > < i t e m > < k e y > < s t r i n g > C o u n t r y < / s t r i n g > < / k e y > < v a l u e > < i n t > 1 < / i n t > < / v a l u e > < / i t e m > < i t e m > < k e y > < s t r i n g > A n n e x   I   o r   N o n - A n n e x   I < / s t r i n g > < / k e y > < v a l u e > < i n t > 2 < / i n t > < / v a l u e > < / i t e m > < i t e m > < k e y > < s t r i n g > R e g i o n < / s t r i n g > < / k e y > < v a l u e > < i n t > 3 < / i n t > < / v a l u e > < / i t e m > < i t e m > < k e y > < s t r i n g > I n c o m e   L e v e l   G r o u p < / s t r i n g > < / k e y > < v a l u e > < i n t > 4 < / i n t > < / v a l u e > < / i t e m > < i t e m > < k e y > < s t r i n g > G 2 0 < / s t r i n g > < / k e y > < v a l u e > < i n t > 5 < / i n t > < / v a l u e > < / i t e m > < i t e m > < k e y > < s t r i n g > G 7 < / s t r i n g > < / k e y > < v a l u e > < i n t > 6 < / i n t > < / v a l u e > < / i t e m > < i t e m > < k e y > < s t r i n g > O E C D < / s t r i n g > < / k e y > < v a l u e > < i n t > 7 < / i n t > < / v a l u e > < / i t e m > < i t e m > < k e y > < s t r i n g > E U 2 7 < / s t r i n g > < / k e y > < v a l u e > < i n t > 8 < / i n t > < / v a l u e > < / i t e m > < i t e m > < k e y > < s t r i n g > D e c l a r a t i o n   o n   a c c e l e r a t i n g   t h e   t r a n s i t i o n   t o   1 0 0 %   z e r o   e m i s s i o n   c a r s   a n d   v a n s < / s t r i n g > < / k e y > < v a l u e > < i n t > 9 < / i n t > < / v a l u e > < / i t e m > < i t e m > < k e y > < s t r i n g > B r e a k t h r o u g h   a g e n d a   -   r o a d   t r a n s p o r t < / s t r i n g > < / k e y > < v a l u e > < i n t > 1 0 < / i n t > < / v a l u e > < / i t e m > < i t e m > < k e y > < s t r i n g > I n t e r n a t i o n a l   a v i a t i o n   c l i m a t e   a m b i t i o n   c o a l i t i o n < / s t r i n g > < / k e y > < v a l u e > < i n t > 1 1 < / i n t > < / v a l u e > < / i t e m > < i t e m > < k e y > < s t r i n g > C l y d e b a n k   d e c l a r a t i o n   f o r   g r e e n   s h i p p i n g   c o r r i d o r s < / s t r i n g > < / k e y > < v a l u e > < i n t > 1 2 < / i n t > < / v a l u e > < / i t e m > < i t e m > < k e y > < s t r i n g > M e m o r a n d u m   o f   u n d e r s t a n d i n g   o n   z e r o - e m i s s i o n   m e d i u m -   a n d   h e a v y - d u t y   v e h i c l e s < / s t r i n g > < / k e y > < v a l u e > < i n t > 1 3 < / i n t > < / v a l u e > < / i t e m > < i t e m > < k e y > < s t r i n g > B e y o n d   o i l   a n d   g a s   a l l i a n c e < / s t r i n g > < / k e y > < v a l u e > < i n t > 1 4 < / i n t > < / v a l u e > < / i t e m > < i t e m > < k e y > < s t r i n g > C h a r g e   f o r w a r d   t o   z e r o   e m i s s i o n s   t r a n s p o r t a t i o n < / s t r i n g > < / k e y > < v a l u e > < i n t > 1 5 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 T a b l e 8 - e c 6 6 2 f 8 1 - d c 6 d - 4 0 8 f - b b 7 8 - d a 2 c c 9 9 9 1 8 d 7 < / K e y > < V a l u e   x m l n s : a = " h t t p : / / s c h e m a s . d a t a c o n t r a c t . o r g / 2 0 0 4 / 0 7 / M i c r o s o f t . A n a l y s i s S e r v i c e s . C o m m o n " > < a : H a s F o c u s > t r u e < / a : H a s F o c u s > < a : S i z e A t D p i 9 6 > 1 3 0 < / a : S i z e A t D p i 9 6 > < a : V i s i b l e > t r u e < / a : V i s i b l e > < / V a l u e > < / K e y V a l u e O f s t r i n g S a n d b o x E d i t o r . M e a s u r e G r i d S t a t e S c d E 3 5 R y > < K e y V a l u e O f s t r i n g S a n d b o x E d i t o r . M e a s u r e G r i d S t a t e S c d E 3 5 R y > < K e y > T a b l e 3 < / K e y > < V a l u e   x m l n s : a = " h t t p : / / s c h e m a s . d a t a c o n t r a c t . o r g / 2 0 0 4 / 0 7 / M i c r o s o f t . A n a l y s i s S e r v i c e s . C o m m o n " > < a : H a s F o c u s > t r u e < / a : H a s F o c u s > < a : S i z e A t D p i 9 6 > 1 3 0 < / a : S i z e A t D p i 9 6 > < a : V i s i b l e > t r u e < / a : V i s i b l e > < / V a l u e > < / K e y V a l u e O f s t r i n g S a n d b o x E d i t o r . M e a s u r e G r i d S t a t e S c d E 3 5 R y > < K e y V a l u e O f s t r i n g S a n d b o x E d i t o r . M e a s u r e G r i d S t a t e S c d E 3 5 R y > < K e y > T a b l e 5 < / K e y > < V a l u e   x m l n s : a = " h t t p : / / s c h e m a s . d a t a c o n t r a c t . o r g / 2 0 0 4 / 0 7 / M i c r o s o f t . A n a l y s i s S e r v i c e s . C o m m o n " > < a : H a s F o c u s > t r u e < / a : H a s F o c u s > < a : S i z e A t D p i 9 6 > 1 2 7 < / a : S i z e A t D p i 9 6 > < a : V i s i b l e > t r u e < / a : V i s i b l e > < / V a l u e > < / K e y V a l u e O f s t r i n g S a n d b o x E d i t o r . M e a s u r e G r i d S t a t e S c d E 3 5 R y > < K e y V a l u e O f s t r i n g S a n d b o x E d i t o r . M e a s u r e G r i d S t a t e S c d E 3 5 R y > < K e y > T a b l e 9 < / K e y > < V a l u e   x m l n s : a = " h t t p : / / s c h e m a s . d a t a c o n t r a c t . o r g / 2 0 0 4 / 0 7 / M i c r o s o f t . A n a l y s i s S e r v i c e s . C o m m o n " > < a : H a s F o c u s > t r u e < / a : H a s F o c u s > < a : S i z e A t D p i 9 6 > 1 2 9 < / a : S i z e A t D p i 9 6 > < a : V i s i b l e > t r u e < / a : V i s i b l e > < / V a l u e > < / K e y V a l u e O f s t r i n g S a n d b o x E d i t o r . M e a s u r e G r i d S t a t e S c d E 3 5 R y > < K e y V a l u e O f s t r i n g S a n d b o x E d i t o r . M e a s u r e G r i d S t a t e S c d E 3 5 R y > < K e y > T a b l e 1 0 < / K e y > < V a l u e   x m l n s : a = " h t t p : / / s c h e m a s . d a t a c o n t r a c t . o r g / 2 0 0 4 / 0 7 / M i c r o s o f t . A n a l y s i s S e r v i c e s . C o m m o n " > < a : H a s F o c u s > t r u e < / a : H a s F o c u s > < a : S i z e A t D p i 9 6 > 1 2 5 < / a : S i z e A t D p i 9 6 > < a : V i s i b l e > t r u e < / a : V i s i b l e > < / V a l u e > < / K e y V a l u e O f s t r i n g S a n d b o x E d i t o r . M e a s u r e G r i d S t a t e S c d E 3 5 R y > < K e y V a l u e O f s t r i n g S a n d b o x E d i t o r . M e a s u r e G r i d S t a t e S c d E 3 5 R y > < K e y > T a b l e 1 < / K e y > < V a l u e   x m l n s : a = " h t t p : / / s c h e m a s . d a t a c o n t r a c t . o r g / 2 0 0 4 / 0 7 / M i c r o s o f t . A n a l y s i s S e r v i c e s . C o m m o n " > < a : H a s F o c u s > t r u e < / a : H a s F o c u s > < a : S i z e A t D p i 9 6 > 1 2 5 < / a : S i z e A t D p i 9 6 > < a : V i s i b l e > t r u e < / a : V i s i b l e > < / V a l u e > < / K e y V a l u e O f s t r i n g S a n d b o x E d i t o r . M e a s u r e G r i d S t a t e S c d E 3 5 R y > < K e y V a l u e O f s t r i n g S a n d b o x E d i t o r . M e a s u r e G r i d S t a t e S c d E 3 5 R y > < K e y > T a b l e 2 < / K e y > < V a l u e   x m l n s : a = " h t t p : / / s c h e m a s . d a t a c o n t r a c t . o r g / 2 0 0 4 / 0 7 / M i c r o s o f t . A n a l y s i s S e r v i c e s . C o m m o n " > < a : H a s F o c u s > t r u e < / a : H a s F o c u s > < a : S i z e A t D p i 9 6 > 1 2 6 < / a : S i z e A t D p i 9 6 > < a : V i s i b l e > t r u e < / a : V i s i b l e > < / V a l u e > < / K e y V a l u e O f s t r i n g S a n d b o x E d i t o r . M e a s u r e G r i d S t a t e S c d E 3 5 R y > < K e y V a l u e O f s t r i n g S a n d b o x E d i t o r . M e a s u r e G r i d S t a t e S c d E 3 5 R y > < K e y > T a b l e 1 8 < / 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 4 < / K e y > < / D i a g r a m O b j e c t K e y > < D i a g r a m O b j e c t K e y > < K e y > M e a s u r e s \ C o u n t   o f   C o u n t r y   4 \ T a g I n f o \ F o r m u l a < / K e y > < / D i a g r a m O b j e c t K e y > < D i a g r a m O b j e c t K e y > < K e y > M e a s u r e s \ C o u n t   o f   C o u n t r y   4 \ T a g I n f o \ V a l u e < / K e y > < / D i a g r a m O b j e c t K e y > < D i a g r a m O b j e c t K e y > < K e y > M e a s u r e s \ D i s t i n c t   C o u n t   o f   C o u n t r y   2 < / K e y > < / D i a g r a m O b j e c t K e y > < D i a g r a m O b j e c t K e y > < K e y > M e a s u r e s \ D i s t i n c t   C o u n t   o f   C o u n t r y   2 \ T a g I n f o \ F o r m u l a < / K e y > < / D i a g r a m O b j e c t K e y > < D i a g r a m O b j e c t K e y > < K e y > M e a s u r e s \ D i s t i n c t   C o u n t   o f   C o u n t r y   2 \ T a g I n f o \ V a l u e 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 C o l u m n s \ N o t   d e f i n e d < / K e y > < / D i a g r a m O b j e c t K e y > < D i a g r a m O b j e c t K e y > < K e y > C o l u m n s \ A c t i v e   m o b i l i t y < / K e y > < / D i a g r a m O b j e c t K e y > < D i a g r a m O b j e c t K e y > < K e y > C o l u m n s \ W a l k i n g < / K e y > < / D i a g r a m O b j e c t K e y > < D i a g r a m O b j e c t K e y > < K e y > C o l u m n s \ C y c l i n g < / K e y > < / D i a g r a m O b j e c t K e y > < D i a g r a m O b j e c t K e y > < K e y > C o l u m n s \ R o a d < / K e y > < / D i a g r a m O b j e c t K e y > < D i a g r a m O b j e c t K e y > < K e y > C o l u m n s \ T w o / t h r e e - w h e e l e r s < / K e y > < / D i a g r a m O b j e c t K e y > < D i a g r a m O b j e c t K e y > < K e y > C o l u m n s \ C a r s < / K e y > < / D i a g r a m O b j e c t K e y > < D i a g r a m O b j e c t K e y > < K e y > C o l u m n s \ P r i v a t e   c a r s < / K e y > < / D i a g r a m O b j e c t K e y > < D i a g r a m O b j e c t K e y > < K e y > C o l u m n s \ T a x i s < / K e y > < / D i a g r a m O b j e c t K e y > < D i a g r a m O b j e c t K e y > < K e y > C o l u m n s \ T r u c k s < / K e y > < / D i a g r a m O b j e c t K e y > < D i a g r a m O b j e c t K e y > < K e y > C o l u m n s \ B u s < / K e y > < / D i a g r a m O b j e c t K e y > < D i a g r a m O b j e c t K e y > < K e y > C o l u m n s \ R a i l < / K e y > < / D i a g r a m O b j e c t K e y > < D i a g r a m O b j e c t K e y > < K e y > C o l u m n s \ H e a v y   r a i l < / K e y > < / D i a g r a m O b j e c t K e y > < D i a g r a m O b j e c t K e y > < K e y > C o l u m n s \ H i g h - s p e e d   r a i l < / K e y > < / D i a g r a m O b j e c t K e y > < D i a g r a m O b j e c t K e y > < K e y > C o l u m n s \ T r a n s i t   r a i l < / K e y > < / D i a g r a m O b j e c t K e y > < D i a g r a m O b j e c t K e y > < K e y > C o l u m n s \ W a t e r   t r a n s p o r t < / K e y > < / D i a g r a m O b j e c t K e y > < D i a g r a m O b j e c t K e y > < K e y > C o l u m n s \ C o a s t a l   s h i p p i n g < / K e y > < / D i a g r a m O b j e c t K e y > < D i a g r a m O b j e c t K e y > < K e y > C o l u m n s \ I n l a n d   s h i p p i n g < / K e y > < / D i a g r a m O b j e c t K e y > < D i a g r a m O b j e c t K e y > < K e y > C o l u m n s \ I n t e r n a t i o n a l   m a r i t i m e < / K e y > < / D i a g r a m O b j e c t K e y > < D i a g r a m O b j e c t K e y > < K e y > C o l u m n s \ A v i a t i o n < / K e y > < / D i a g r a m O b j e c t K e y > < D i a g r a m O b j e c t K e y > < K e y > C o l u m n s \ N o t   d e f i n e d 2 < / K e y > < / D i a g r a m O b j e c t K e y > < D i a g r a m O b j e c t K e y > < K e y > C o l u m n s \ U r b a n < / K e y > < / D i a g r a m O b j e c t K e y > < D i a g r a m O b j e c t K e y > < K e y > C o l u m n s \ R u r a l < / K e y > < / D i a g r a m O b j e c t K e y > < D i a g r a m O b j e c t K e y > < K e y > C o l u m n s \ I n t e r - c i t y < / K e y > < / D i a g r a m O b j e c t K e y > < D i a g r a m O b j e c t K e y > < K e y > C o l u m n s \ A c t i v i t y   t y p e < / K e y > < / D i a g r a m O b j e c t K e y > < D i a g r a m O b j e c t K e y > < K e y > C o l u m n s \ A n n e x   I   o r   N o n - A n n e x   I < / K e y > < / D i a g r a m O b j e c t K e y > < D i a g r a m O b j e c t K e y > < K e y > C o l u m n s \ I n c o m e   G r o u p < / K e y > < / D i a g r a m O b j e c t K e y > < D i a g r a m O b j e c t K e y > < K e y > C o l u m n s \ R e g i o n < / K e y > < / D i a g r a m O b j e c t K e y > < D i a g r a m O b j e c t K e y > < K e y > L i n k s \ & l t ; C o l u m n s \ C o u n t   o f   C o u n t r y   4 & g t ; - & l t ; M e a s u r e s \ C o u n t r y & g t ; < / K e y > < / D i a g r a m O b j e c t K e y > < D i a g r a m O b j e c t K e y > < K e y > L i n k s \ & l t ; C o l u m n s \ C o u n t   o f   C o u n t r y   4 & g t ; - & l t ; M e a s u r e s \ C o u n t r y & g t ; \ C O L U M N < / K e y > < / D i a g r a m O b j e c t K e y > < D i a g r a m O b j e c t K e y > < K e y > L i n k s \ & l t ; C o l u m n s \ C o u n t   o f   C o u n t r y   4 & g t ; - & l t ; M e a s u r e s \ C o u n t r y & g t ; \ M E A S U R E < / K e y > < / D i a g r a m O b j e c t K e y > < D i a g r a m O b j e c t K e y > < K e y > L i n k s \ & l t ; C o l u m n s \ D i s t i n c t   C o u n t   o f   C o u n t r y   2 & g t ; - & l t ; M e a s u r e s \ C o u n t r y & g t ; < / K e y > < / D i a g r a m O b j e c t K e y > < D i a g r a m O b j e c t K e y > < K e y > L i n k s \ & l t ; C o l u m n s \ D i s t i n c t   C o u n t   o f   C o u n t r y   2 & g t ; - & l t ; M e a s u r e s \ C o u n t r y & g t ; \ C O L U M N < / K e y > < / D i a g r a m O b j e c t K e y > < D i a g r a m O b j e c t K e y > < K e y > L i n k s \ & l t ; C o l u m n s \ D i s t i n c t   C o u n t   o f   C o u n t r y   2 & g t ; - & l t ; M e a s u r e s \ C o u n t r y & g t ; \ M E A S U R E 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 4 < / K e y > < / a : K e y > < a : V a l u e   i : t y p e = " M e a s u r e G r i d N o d e V i e w S t a t e " > < C o l u m n > 1 < / C o l u m n > < L a y e d O u t > t r u e < / L a y e d O u t > < W a s U I I n v i s i b l e > t r u e < / W a s U I I n v i s i b l e > < / a : V a l u e > < / a : K e y V a l u e O f D i a g r a m O b j e c t K e y a n y T y p e z b w N T n L X > < a : K e y V a l u e O f D i a g r a m O b j e c t K e y a n y T y p e z b w N T n L X > < a : K e y > < K e y > M e a s u r e s \ C o u n t   o f   C o u n t r y   4 \ T a g I n f o \ F o r m u l a < / K e y > < / a : K e y > < a : V a l u e   i : t y p e = " M e a s u r e G r i d V i e w S t a t e I D i a g r a m T a g A d d i t i o n a l I n f o " / > < / a : K e y V a l u e O f D i a g r a m O b j e c t K e y a n y T y p e z b w N T n L X > < a : K e y V a l u e O f D i a g r a m O b j e c t K e y a n y T y p e z b w N T n L X > < a : K e y > < K e y > M e a s u r e s \ C o u n t   o f   C o u n t r y   4 \ T a g I n f o \ V a l u e < / K e y > < / a : K e y > < a : V a l u e   i : t y p e = " M e a s u r e G r i d V i e w S t a t e I D i a g r a m T a g A d d i t i o n a l I n f o " / > < / a : K e y V a l u e O f D i a g r a m O b j e c t K e y a n y T y p e z b w N T n L X > < a : K e y V a l u e O f D i a g r a m O b j e c t K e y a n y T y p e z b w N T n L X > < a : K e y > < K e y > M e a s u r e s \ D i s t i n c t   C o u n t   o f   C o u n t r y   2 < / K e y > < / a : K e y > < a : V a l u e   i : t y p e = " M e a s u r e G r i d N o d e V i e w S t a t e " > < C o l u m n > 1 < / C o l u m n > < L a y e d O u t > t r u e < / L a y e d O u t > < W a s U I I n v i s i b l e > t r u e < / W a s U I I n v i s i b l e > < / a : V a l u e > < / a : K e y V a l u e O f D i a g r a m O b j e c t K e y a n y T y p e z b w N T n L X > < a : K e y V a l u e O f D i a g r a m O b j e c t K e y a n y T y p e z b w N T n L X > < a : K e y > < K e y > M e a s u r e s \ D i s t i n c t   C o u n t   o f   C o u n t r y   2 \ T a g I n f o \ F o r m u l a < / K e y > < / a : K e y > < a : V a l u e   i : t y p e = " M e a s u r e G r i d V i e w S t a t e I D i a g r a m T a g A d d i t i o n a l I n f o " / > < / a : K e y V a l u e O f D i a g r a m O b j e c t K e y a n y T y p e z b w N T n L X > < a : K e y V a l u e O f D i a g r a m O b j e c t K e y a n y T y p e z b w N T n L X > < a : K e y > < K e y > M e a s u r e s \ D i s t i n c t   C o u n t   o f   C o u n t r y   2 \ T a g I n f o \ V a l u e 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 C o l u m n s \ N o t   d e f i n e d < / K e y > < / a : K e y > < a : V a l u e   i : t y p e = " M e a s u r e G r i d N o d e V i e w S t a t e " > < C o l u m n > 1 0 < / C o l u m n > < L a y e d O u t > t r u e < / L a y e d O u t > < / a : V a l u e > < / a : K e y V a l u e O f D i a g r a m O b j e c t K e y a n y T y p e z b w N T n L X > < a : K e y V a l u e O f D i a g r a m O b j e c t K e y a n y T y p e z b w N T n L X > < a : K e y > < K e y > C o l u m n s \ A c t i v e   m o b i l i t y < / K e y > < / a : K e y > < a : V a l u e   i : t y p e = " M e a s u r e G r i d N o d e V i e w S t a t e " > < C o l u m n > 1 1 < / C o l u m n > < L a y e d O u t > t r u e < / L a y e d O u t > < / a : V a l u e > < / a : K e y V a l u e O f D i a g r a m O b j e c t K e y a n y T y p e z b w N T n L X > < a : K e y V a l u e O f D i a g r a m O b j e c t K e y a n y T y p e z b w N T n L X > < a : K e y > < K e y > C o l u m n s \ W a l k i n g < / K e y > < / a : K e y > < a : V a l u e   i : t y p e = " M e a s u r e G r i d N o d e V i e w S t a t e " > < C o l u m n > 1 2 < / C o l u m n > < L a y e d O u t > t r u e < / L a y e d O u t > < / a : V a l u e > < / a : K e y V a l u e O f D i a g r a m O b j e c t K e y a n y T y p e z b w N T n L X > < a : K e y V a l u e O f D i a g r a m O b j e c t K e y a n y T y p e z b w N T n L X > < a : K e y > < K e y > C o l u m n s \ C y c l i n g < / K e y > < / a : K e y > < a : V a l u e   i : t y p e = " M e a s u r e G r i d N o d e V i e w S t a t e " > < C o l u m n > 1 3 < / C o l u m n > < L a y e d O u t > t r u e < / L a y e d O u t > < / a : V a l u e > < / a : K e y V a l u e O f D i a g r a m O b j e c t K e y a n y T y p e z b w N T n L X > < a : K e y V a l u e O f D i a g r a m O b j e c t K e y a n y T y p e z b w N T n L X > < a : K e y > < K e y > C o l u m n s \ R o a d < / K e y > < / a : K e y > < a : V a l u e   i : t y p e = " M e a s u r e G r i d N o d e V i e w S t a t e " > < C o l u m n > 1 4 < / C o l u m n > < L a y e d O u t > t r u e < / L a y e d O u t > < / a : V a l u e > < / a : K e y V a l u e O f D i a g r a m O b j e c t K e y a n y T y p e z b w N T n L X > < a : K e y V a l u e O f D i a g r a m O b j e c t K e y a n y T y p e z b w N T n L X > < a : K e y > < K e y > C o l u m n s \ T w o / t h r e e - w h e e l e r s < / K e y > < / a : K e y > < a : V a l u e   i : t y p e = " M e a s u r e G r i d N o d e V i e w S t a t e " > < C o l u m n > 1 5 < / C o l u m n > < L a y e d O u t > t r u e < / L a y e d O u t > < / a : V a l u e > < / a : K e y V a l u e O f D i a g r a m O b j e c t K e y a n y T y p e z b w N T n L X > < a : K e y V a l u e O f D i a g r a m O b j e c t K e y a n y T y p e z b w N T n L X > < a : K e y > < K e y > C o l u m n s \ C a r s < / K e y > < / a : K e y > < a : V a l u e   i : t y p e = " M e a s u r e G r i d N o d e V i e w S t a t e " > < C o l u m n > 1 6 < / C o l u m n > < L a y e d O u t > t r u e < / L a y e d O u t > < / a : V a l u e > < / a : K e y V a l u e O f D i a g r a m O b j e c t K e y a n y T y p e z b w N T n L X > < a : K e y V a l u e O f D i a g r a m O b j e c t K e y a n y T y p e z b w N T n L X > < a : K e y > < K e y > C o l u m n s \ P r i v a t e   c a r s < / K e y > < / a : K e y > < a : V a l u e   i : t y p e = " M e a s u r e G r i d N o d e V i e w S t a t e " > < C o l u m n > 1 7 < / C o l u m n > < L a y e d O u t > t r u e < / L a y e d O u t > < / a : V a l u e > < / a : K e y V a l u e O f D i a g r a m O b j e c t K e y a n y T y p e z b w N T n L X > < a : K e y V a l u e O f D i a g r a m O b j e c t K e y a n y T y p e z b w N T n L X > < a : K e y > < K e y > C o l u m n s \ T a x i s < / K e y > < / a : K e y > < a : V a l u e   i : t y p e = " M e a s u r e G r i d N o d e V i e w S t a t e " > < C o l u m n > 1 8 < / C o l u m n > < L a y e d O u t > t r u e < / L a y e d O u t > < / a : V a l u e > < / a : K e y V a l u e O f D i a g r a m O b j e c t K e y a n y T y p e z b w N T n L X > < a : K e y V a l u e O f D i a g r a m O b j e c t K e y a n y T y p e z b w N T n L X > < a : K e y > < K e y > C o l u m n s \ T r u c k s < / K e y > < / a : K e y > < a : V a l u e   i : t y p e = " M e a s u r e G r i d N o d e V i e w S t a t e " > < C o l u m n > 1 9 < / C o l u m n > < L a y e d O u t > t r u e < / L a y e d O u t > < / a : V a l u e > < / a : K e y V a l u e O f D i a g r a m O b j e c t K e y a n y T y p e z b w N T n L X > < a : K e y V a l u e O f D i a g r a m O b j e c t K e y a n y T y p e z b w N T n L X > < a : K e y > < K e y > C o l u m n s \ B u s < / K e y > < / a : K e y > < a : V a l u e   i : t y p e = " M e a s u r e G r i d N o d e V i e w S t a t e " > < C o l u m n > 2 0 < / C o l u m n > < L a y e d O u t > t r u e < / L a y e d O u t > < / a : V a l u e > < / a : K e y V a l u e O f D i a g r a m O b j e c t K e y a n y T y p e z b w N T n L X > < a : K e y V a l u e O f D i a g r a m O b j e c t K e y a n y T y p e z b w N T n L X > < a : K e y > < K e y > C o l u m n s \ R a i l < / K e y > < / a : K e y > < a : V a l u e   i : t y p e = " M e a s u r e G r i d N o d e V i e w S t a t e " > < C o l u m n > 2 1 < / C o l u m n > < L a y e d O u t > t r u e < / L a y e d O u t > < / a : V a l u e > < / a : K e y V a l u e O f D i a g r a m O b j e c t K e y a n y T y p e z b w N T n L X > < a : K e y V a l u e O f D i a g r a m O b j e c t K e y a n y T y p e z b w N T n L X > < a : K e y > < K e y > C o l u m n s \ H e a v y   r a i l < / K e y > < / a : K e y > < a : V a l u e   i : t y p e = " M e a s u r e G r i d N o d e V i e w S t a t e " > < C o l u m n > 2 2 < / C o l u m n > < L a y e d O u t > t r u e < / L a y e d O u t > < / a : V a l u e > < / a : K e y V a l u e O f D i a g r a m O b j e c t K e y a n y T y p e z b w N T n L X > < a : K e y V a l u e O f D i a g r a m O b j e c t K e y a n y T y p e z b w N T n L X > < a : K e y > < K e y > C o l u m n s \ H i g h - s p e e d   r a i l < / K e y > < / a : K e y > < a : V a l u e   i : t y p e = " M e a s u r e G r i d N o d e V i e w S t a t e " > < C o l u m n > 2 3 < / C o l u m n > < L a y e d O u t > t r u e < / L a y e d O u t > < / a : V a l u e > < / a : K e y V a l u e O f D i a g r a m O b j e c t K e y a n y T y p e z b w N T n L X > < a : K e y V a l u e O f D i a g r a m O b j e c t K e y a n y T y p e z b w N T n L X > < a : K e y > < K e y > C o l u m n s \ T r a n s i t   r a i l < / K e y > < / a : K e y > < a : V a l u e   i : t y p e = " M e a s u r e G r i d N o d e V i e w S t a t e " > < C o l u m n > 2 4 < / C o l u m n > < L a y e d O u t > t r u e < / L a y e d O u t > < / a : V a l u e > < / a : K e y V a l u e O f D i a g r a m O b j e c t K e y a n y T y p e z b w N T n L X > < a : K e y V a l u e O f D i a g r a m O b j e c t K e y a n y T y p e z b w N T n L X > < a : K e y > < K e y > C o l u m n s \ W a t e r   t r a n s p o r t < / K e y > < / a : K e y > < a : V a l u e   i : t y p e = " M e a s u r e G r i d N o d e V i e w S t a t e " > < C o l u m n > 2 5 < / C o l u m n > < L a y e d O u t > t r u e < / L a y e d O u t > < / a : V a l u e > < / a : K e y V a l u e O f D i a g r a m O b j e c t K e y a n y T y p e z b w N T n L X > < a : K e y V a l u e O f D i a g r a m O b j e c t K e y a n y T y p e z b w N T n L X > < a : K e y > < K e y > C o l u m n s \ C o a s t a l   s h i p p i n g < / K e y > < / a : K e y > < a : V a l u e   i : t y p e = " M e a s u r e G r i d N o d e V i e w S t a t e " > < C o l u m n > 2 6 < / C o l u m n > < L a y e d O u t > t r u e < / L a y e d O u t > < / a : V a l u e > < / a : K e y V a l u e O f D i a g r a m O b j e c t K e y a n y T y p e z b w N T n L X > < a : K e y V a l u e O f D i a g r a m O b j e c t K e y a n y T y p e z b w N T n L X > < a : K e y > < K e y > C o l u m n s \ I n l a n d   s h i p p i n g < / K e y > < / a : K e y > < a : V a l u e   i : t y p e = " M e a s u r e G r i d N o d e V i e w S t a t e " > < C o l u m n > 2 7 < / C o l u m n > < L a y e d O u t > t r u e < / L a y e d O u t > < / a : V a l u e > < / a : K e y V a l u e O f D i a g r a m O b j e c t K e y a n y T y p e z b w N T n L X > < a : K e y V a l u e O f D i a g r a m O b j e c t K e y a n y T y p e z b w N T n L X > < a : K e y > < K e y > C o l u m n s \ I n t e r n a t i o n a l   m a r i t i m e < / K e y > < / a : K e y > < a : V a l u e   i : t y p e = " M e a s u r e G r i d N o d e V i e w S t a t e " > < C o l u m n > 2 8 < / C o l u m n > < L a y e d O u t > t r u e < / L a y e d O u t > < / a : V a l u e > < / a : K e y V a l u e O f D i a g r a m O b j e c t K e y a n y T y p e z b w N T n L X > < a : K e y V a l u e O f D i a g r a m O b j e c t K e y a n y T y p e z b w N T n L X > < a : K e y > < K e y > C o l u m n s \ A v i a t i o n < / K e y > < / a : K e y > < a : V a l u e   i : t y p e = " M e a s u r e G r i d N o d e V i e w S t a t e " > < C o l u m n > 2 9 < / C o l u m n > < L a y e d O u t > t r u e < / L a y e d O u t > < / a : V a l u e > < / a : K e y V a l u e O f D i a g r a m O b j e c t K e y a n y T y p e z b w N T n L X > < a : K e y V a l u e O f D i a g r a m O b j e c t K e y a n y T y p e z b w N T n L X > < a : K e y > < K e y > C o l u m n s \ N o t   d e f i n e d 2 < / K e y > < / a : K e y > < a : V a l u e   i : t y p e = " M e a s u r e G r i d N o d e V i e w S t a t e " > < C o l u m n > 3 0 < / C o l u m n > < L a y e d O u t > t r u e < / L a y e d O u t > < / a : V a l u e > < / a : K e y V a l u e O f D i a g r a m O b j e c t K e y a n y T y p e z b w N T n L X > < a : K e y V a l u e O f D i a g r a m O b j e c t K e y a n y T y p e z b w N T n L X > < a : K e y > < K e y > C o l u m n s \ U r b a n < / K e y > < / a : K e y > < a : V a l u e   i : t y p e = " M e a s u r e G r i d N o d e V i e w S t a t e " > < C o l u m n > 3 1 < / C o l u m n > < L a y e d O u t > t r u e < / L a y e d O u t > < / a : V a l u e > < / a : K e y V a l u e O f D i a g r a m O b j e c t K e y a n y T y p e z b w N T n L X > < a : K e y V a l u e O f D i a g r a m O b j e c t K e y a n y T y p e z b w N T n L X > < a : K e y > < K e y > C o l u m n s \ R u r a l < / K e y > < / a : K e y > < a : V a l u e   i : t y p e = " M e a s u r e G r i d N o d e V i e w S t a t e " > < C o l u m n > 3 2 < / C o l u m n > < L a y e d O u t > t r u e < / L a y e d O u t > < / a : V a l u e > < / a : K e y V a l u e O f D i a g r a m O b j e c t K e y a n y T y p e z b w N T n L X > < a : K e y V a l u e O f D i a g r a m O b j e c t K e y a n y T y p e z b w N T n L X > < a : K e y > < K e y > C o l u m n s \ I n t e r - c i t y < / K e y > < / a : K e y > < a : V a l u e   i : t y p e = " M e a s u r e G r i d N o d e V i e w S t a t e " > < C o l u m n > 3 3 < / C o l u m n > < L a y e d O u t > t r u e < / L a y e d O u t > < / a : V a l u e > < / a : K e y V a l u e O f D i a g r a m O b j e c t K e y a n y T y p e z b w N T n L X > < a : K e y V a l u e O f D i a g r a m O b j e c t K e y a n y T y p e z b w N T n L X > < a : K e y > < K e y > C o l u m n s \ A c t i v i t y   t y p e < / K e y > < / a : K e y > < a : V a l u e   i : t y p e = " M e a s u r e G r i d N o d e V i e w S t a t e " > < C o l u m n > 6 < / C o l u m n > < L a y e d O u t > t r u e < / L a y e d O u t > < / a : V a l u e > < / a : K e y V a l u e O f D i a g r a m O b j e c t K e y a n y T y p e z b w N T n L X > < a : K e y V a l u e O f D i a g r a m O b j e c t K e y a n y T y p e z b w N T n L X > < a : K e y > < K e y > C o l u m n s \ A n n e x   I   o r   N o n - A n n e x   I < / K e y > < / a : K e y > < a : V a l u e   i : t y p e = " M e a s u r e G r i d N o d e V i e w S t a t e " > < C o l u m n > 7 < / C o l u m n > < L a y e d O u t > t r u e < / L a y e d O u t > < / a : V a l u e > < / a : K e y V a l u e O f D i a g r a m O b j e c t K e y a n y T y p e z b w N T n L X > < a : K e y V a l u e O f D i a g r a m O b j e c t K e y a n y T y p e z b w N T n L X > < a : K e y > < K e y > C o l u m n s \ I n c o m e   G r o u p < / 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 L i n k s \ & l t ; C o l u m n s \ C o u n t   o f   C o u n t r y   4 & g t ; - & l t ; M e a s u r e s \ C o u n t r y & g t ; < / K e y > < / a : K e y > < a : V a l u e   i : t y p e = " M e a s u r e G r i d V i e w S t a t e I D i a g r a m L i n k " / > < / a : K e y V a l u e O f D i a g r a m O b j e c t K e y a n y T y p e z b w N T n L X > < a : K e y V a l u e O f D i a g r a m O b j e c t K e y a n y T y p e z b w N T n L X > < a : K e y > < K e y > L i n k s \ & l t ; C o l u m n s \ C o u n t   o f   C o u n t r y   4 & g t ; - & l t ; M e a s u r e s \ C o u n t r y & g t ; \ C O L U M N < / K e y > < / a : K e y > < a : V a l u e   i : t y p e = " M e a s u r e G r i d V i e w S t a t e I D i a g r a m L i n k E n d p o i n t " / > < / a : K e y V a l u e O f D i a g r a m O b j e c t K e y a n y T y p e z b w N T n L X > < a : K e y V a l u e O f D i a g r a m O b j e c t K e y a n y T y p e z b w N T n L X > < a : K e y > < K e y > L i n k s \ & l t ; C o l u m n s \ C o u n t   o f   C o u n t r y   4 & g t ; - & l t ; M e a s u r e s \ C o u n t r y & g t ; \ M E A S U R E < / K e y > < / a : K e y > < a : V a l u e   i : t y p e = " M e a s u r e G r i d V i e w S t a t e I D i a g r a m L i n k E n d p o i n t " / > < / a : K e y V a l u e O f D i a g r a m O b j e c t K e y a n y T y p e z b w N T n L X > < a : K e y V a l u e O f D i a g r a m O b j e c t K e y a n y T y p e z b w N T n L X > < a : K e y > < K e y > L i n k s \ & l t ; C o l u m n s \ D i s t i n c t   C o u n t   o f   C o u n t r y   2 & g t ; - & l t ; M e a s u r e s \ C o u n t r y & g t ; < / K e y > < / a : K e y > < a : V a l u e   i : t y p e = " M e a s u r e G r i d V i e w S t a t e I D i a g r a m L i n k " / > < / a : K e y V a l u e O f D i a g r a m O b j e c t K e y a n y T y p e z b w N T n L X > < a : K e y V a l u e O f D i a g r a m O b j e c t K e y a n y T y p e z b w N T n L X > < a : K e y > < K e y > L i n k s \ & l t ; C o l u m n s \ D i s t i n c t   C o u n t   o f   C o u n t r y   2 & g t ; - & l t ; M e a s u r e s \ C o u n t r y & g t ; \ C O L U M N < / K e y > < / a : K e y > < a : V a l u e   i : t y p e = " M e a s u r e G r i d V i e w S t a t e I D i a g r a m L i n k E n d p o i n t " / > < / a : K e y V a l u e O f D i a g r a m O b j e c t K e y a n y T y p e z b w N T n L X > < a : K e y V a l u e O f D i a g r a m O b j e c t K e y a n y T y p e z b w N T n L X > < a : K e y > < K e y > L i n k s \ & l t ; C o l u m n s \ D i s t i n c t   C o u n t   o f   C o u n t r y   2 & g t ; - & l t ; M e a s u r e s \ C o u n t r y & g t ; \ M E A S U R E < / K e y > < / a : K e y > < a : V a l u e   i : t y p e = " M e a s u r e G r i d V i e w S t a t e I D i a g r a m L i n k E n d p o i n t " / > < / a : K e y V a l u e O f D i a g r a m O b j e c t K e y a n y T y p e z b w N T n L X > < / V i e w S t a t e s > < / D i a g r a m M a n a g e r . S e r i a l i z a b l e D i a g r a m > < D i a g r a m M a n a g e r . S e r i a l i z a b l e D i a g r a m > < A d a p t e r   i : t y p e = " M e a s u r e D i a g r a m S a n d b o x A d a p t e r " > < T a b l e N a m e > T a b l e 5 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 3 < / K e y > < / D i a g r a m O b j e c t K e y > < D i a g r a m O b j e c t K e y > < K e y > M e a s u r e s \ C o u n t   o f   C o u n t r y   3 \ T a g I n f o \ F o r m u l a < / K e y > < / D i a g r a m O b j e c t K e y > < D i a g r a m O b j e c t K e y > < K e y > M e a s u r e s \ C o u n t   o f   C o u n t r y   3 \ T a g I n f o \ V a l u e < / K e y > < / D i a g r a m O b j e c t K e y > < D i a g r a m O b j e c t K e y > < K e y > M e a s u r e s \ D i s t i n c t   C o u n t   o f   C o u n t r y   5 < / K e y > < / D i a g r a m O b j e c t K e y > < D i a g r a m O b j e c t K e y > < K e y > M e a s u r e s \ D i s t i n c t   C o u n t   o f   C o u n t r y   5 \ T a g I n f o \ F o r m u l a < / K e y > < / D i a g r a m O b j e c t K e y > < D i a g r a m O b j e c t K e y > < K e y > M e a s u r e s \ D i s t i n c t   C o u n t   o f   C o u n t r y   5 \ T a g I n f o \ V a l u e 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 L i n k s \ & l t ; C o l u m n s \ C o u n t   o f   C o u n t r y   3 & g t ; - & l t ; M e a s u r e s \ C o u n t r y & g t ; < / K e y > < / D i a g r a m O b j e c t K e y > < D i a g r a m O b j e c t K e y > < K e y > L i n k s \ & l t ; C o l u m n s \ C o u n t   o f   C o u n t r y   3 & g t ; - & l t ; M e a s u r e s \ C o u n t r y & g t ; \ C O L U M N < / K e y > < / D i a g r a m O b j e c t K e y > < D i a g r a m O b j e c t K e y > < K e y > L i n k s \ & l t ; C o l u m n s \ C o u n t   o f   C o u n t r y   3 & g t ; - & l t ; M e a s u r e s \ C o u n t r y & g t ; \ M E A S U R E < / K e y > < / D i a g r a m O b j e c t K e y > < D i a g r a m O b j e c t K e y > < K e y > L i n k s \ & l t ; C o l u m n s \ D i s t i n c t   C o u n t   o f   C o u n t r y   5 & g t ; - & l t ; M e a s u r e s \ C o u n t r y & g t ; < / K e y > < / D i a g r a m O b j e c t K e y > < D i a g r a m O b j e c t K e y > < K e y > L i n k s \ & l t ; C o l u m n s \ D i s t i n c t   C o u n t   o f   C o u n t r y   5 & g t ; - & l t ; M e a s u r e s \ C o u n t r y & g t ; \ C O L U M N < / K e y > < / D i a g r a m O b j e c t K e y > < D i a g r a m O b j e c t K e y > < K e y > L i n k s \ & l t ; C o l u m n s \ D i s t i n c t   C o u n t   o f   C o u n t r y   5 & g t ; - & l t ; M e a s u r e s \ C o u n t r y & g t ; \ M E A S U R E 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 3 < / K e y > < / a : K e y > < a : V a l u e   i : t y p e = " M e a s u r e G r i d N o d e V i e w S t a t e " > < C o l u m n > 1 < / C o l u m n > < L a y e d O u t > t r u e < / L a y e d O u t > < W a s U I I n v i s i b l e > t r u e < / W a s U I I n v i s i b l e > < / a : V a l u e > < / a : K e y V a l u e O f D i a g r a m O b j e c t K e y a n y T y p e z b w N T n L X > < a : K e y V a l u e O f D i a g r a m O b j e c t K e y a n y T y p e z b w N T n L X > < a : K e y > < K e y > M e a s u r e s \ C o u n t   o f   C o u n t r y   3 \ T a g I n f o \ F o r m u l a < / K e y > < / a : K e y > < a : V a l u e   i : t y p e = " M e a s u r e G r i d V i e w S t a t e I D i a g r a m T a g A d d i t i o n a l I n f o " / > < / a : K e y V a l u e O f D i a g r a m O b j e c t K e y a n y T y p e z b w N T n L X > < a : K e y V a l u e O f D i a g r a m O b j e c t K e y a n y T y p e z b w N T n L X > < a : K e y > < K e y > M e a s u r e s \ C o u n t   o f   C o u n t r y   3 \ T a g I n f o \ V a l u e < / K e y > < / a : K e y > < a : V a l u e   i : t y p e = " M e a s u r e G r i d V i e w S t a t e I D i a g r a m T a g A d d i t i o n a l I n f o " / > < / a : K e y V a l u e O f D i a g r a m O b j e c t K e y a n y T y p e z b w N T n L X > < a : K e y V a l u e O f D i a g r a m O b j e c t K e y a n y T y p e z b w N T n L X > < a : K e y > < K e y > M e a s u r e s \ D i s t i n c t   C o u n t   o f   C o u n t r y   5 < / K e y > < / a : K e y > < a : V a l u e   i : t y p e = " M e a s u r e G r i d N o d e V i e w S t a t e " > < C o l u m n > 1 < / C o l u m n > < L a y e d O u t > t r u e < / L a y e d O u t > < W a s U I I n v i s i b l e > t r u e < / W a s U I I n v i s i b l e > < / a : V a l u e > < / a : K e y V a l u e O f D i a g r a m O b j e c t K e y a n y T y p e z b w N T n L X > < a : K e y V a l u e O f D i a g r a m O b j e c t K e y a n y T y p e z b w N T n L X > < a : K e y > < K e y > M e a s u r e s \ D i s t i n c t   C o u n t   o f   C o u n t r y   5 \ T a g I n f o \ F o r m u l a < / K e y > < / a : K e y > < a : V a l u e   i : t y p e = " M e a s u r e G r i d V i e w S t a t e I D i a g r a m T a g A d d i t i o n a l I n f o " / > < / a : K e y V a l u e O f D i a g r a m O b j e c t K e y a n y T y p e z b w N T n L X > < a : K e y V a l u e O f D i a g r a m O b j e c t K e y a n y T y p e z b w N T n L X > < a : K e y > < K e y > M e a s u r e s \ D i s t i n c t   C o u n t   o f   C o u n t r y   5 \ T a g I n f o \ V a l u e 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 C o l u m n s \ A n n e x   I   o r   N o n - A n n e x   I < / K e y > < / a : K e y > < a : V a l u e   i : t y p e = " M e a s u r e G r i d N o d e V i e w S t a t e " > < C o l u m n > 6 < / C o l u m n > < L a y e d O u t > t r u e < / L a y e d O u t > < / a : V a l u e > < / a : K e y V a l u e O f D i a g r a m O b j e c t K e y a n y T y p e z b w N T n L X > < a : K e y V a l u e O f D i a g r a m O b j e c t K e y a n y T y p e z b w N T n L X > < a : K e y > < K e y > C o l u m n s \ I n c o m e   G r o u p < / K e y > < / a : K e y > < a : V a l u e   i : t y p e = " M e a s u r e G r i d N o d e V i e w S t a t e " > < C o l u m n > 7 < / C o l u m n > < L a y e d O u t > t r u e < / L a y e d O u t > < / a : V a l u e > < / a : K e y V a l u e O f D i a g r a m O b j e c t K e y a n y T y p e z b w N T n L X > < a : K e y V a l u e O f D i a g r a m O b j e c t K e y a n y T y p e z b w N T n L X > < a : K e y > < K e y > C o l u m n s \ R e g i o n < / K e y > < / a : K e y > < a : V a l u e   i : t y p e = " M e a s u r e G r i d N o d e V i e w S t a t e " > < C o l u m n > 8 < / C o l u m n > < L a y e d O u t > t r u e < / L a y e d O u t > < / a : V a l u e > < / a : K e y V a l u e O f D i a g r a m O b j e c t K e y a n y T y p e z b w N T n L X > < a : K e y V a l u e O f D i a g r a m O b j e c t K e y a n y T y p e z b w N T n L X > < a : K e y > < K e y > L i n k s \ & l t ; C o l u m n s \ C o u n t   o f   C o u n t r y   3 & g t ; - & l t ; M e a s u r e s \ C o u n t r y & g t ; < / K e y > < / a : K e y > < a : V a l u e   i : t y p e = " M e a s u r e G r i d V i e w S t a t e I D i a g r a m L i n k " / > < / a : K e y V a l u e O f D i a g r a m O b j e c t K e y a n y T y p e z b w N T n L X > < a : K e y V a l u e O f D i a g r a m O b j e c t K e y a n y T y p e z b w N T n L X > < a : K e y > < K e y > L i n k s \ & l t ; C o l u m n s \ C o u n t   o f   C o u n t r y   3 & g t ; - & l t ; M e a s u r e s \ C o u n t r y & g t ; \ C O L U M N < / K e y > < / a : K e y > < a : V a l u e   i : t y p e = " M e a s u r e G r i d V i e w S t a t e I D i a g r a m L i n k E n d p o i n t " / > < / a : K e y V a l u e O f D i a g r a m O b j e c t K e y a n y T y p e z b w N T n L X > < a : K e y V a l u e O f D i a g r a m O b j e c t K e y a n y T y p e z b w N T n L X > < a : K e y > < K e y > L i n k s \ & l t ; C o l u m n s \ C o u n t   o f   C o u n t r y   3 & g t ; - & l t ; M e a s u r e s \ C o u n t r y & g t ; \ M E A S U R E < / K e y > < / a : K e y > < a : V a l u e   i : t y p e = " M e a s u r e G r i d V i e w S t a t e I D i a g r a m L i n k E n d p o i n t " / > < / a : K e y V a l u e O f D i a g r a m O b j e c t K e y a n y T y p e z b w N T n L X > < a : K e y V a l u e O f D i a g r a m O b j e c t K e y a n y T y p e z b w N T n L X > < a : K e y > < K e y > L i n k s \ & l t ; C o l u m n s \ D i s t i n c t   C o u n t   o f   C o u n t r y   5 & g t ; - & l t ; M e a s u r e s \ C o u n t r y & g t ; < / K e y > < / a : K e y > < a : V a l u e   i : t y p e = " M e a s u r e G r i d V i e w S t a t e I D i a g r a m L i n k " / > < / a : K e y V a l u e O f D i a g r a m O b j e c t K e y a n y T y p e z b w N T n L X > < a : K e y V a l u e O f D i a g r a m O b j e c t K e y a n y T y p e z b w N T n L X > < a : K e y > < K e y > L i n k s \ & l t ; C o l u m n s \ D i s t i n c t   C o u n t   o f   C o u n t r y   5 & g t ; - & l t ; M e a s u r e s \ C o u n t r y & g t ; \ C O L U M N < / K e y > < / a : K e y > < a : V a l u e   i : t y p e = " M e a s u r e G r i d V i e w S t a t e I D i a g r a m L i n k E n d p o i n t " / > < / a : K e y V a l u e O f D i a g r a m O b j e c t K e y a n y T y p e z b w N T n L X > < a : K e y V a l u e O f D i a g r a m O b j e c t K e y a n y T y p e z b w N T n L X > < a : K e y > < K e y > L i n k s \ & l t ; C o l u m n s \ D i s t i n c t   C o u n t   o f   C o u n t r y   5 & g t ; - & l t ; M e a s u r e s \ C o u n t r y & g t ; \ M E A S U R E < / K e y > < / a : K e y > < a : V a l u e   i : t y p e = " M e a s u r e G r i d V i e w S t a t e I D i a g r a m L i n k E n d p o i n t " / > < / a : K e y V a l u e O f D i a g r a m O b j e c t K e y a n y T y p e z b w N T n L X > < / V i e w S t a t e s > < / D i a g r a m M a n a g e r . S e r i a l i z a b l e D i a g r a m > < D i a g r a m M a n a g e r . S e r i a l i z a b l e D i a g r a m > < A d a p t e r   i : t y p e = " M e a s u r e D i a g r a m S a n d b o x A d a p t e r " > < T a b l e N a m e > T a b l e 3 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 2 < / K e y > < / D i a g r a m O b j e c t K e y > < D i a g r a m O b j e c t K e y > < K e y > M e a s u r e s \ C o u n t   o f   C o u n t r y   2 \ T a g I n f o \ F o r m u l a < / K e y > < / D i a g r a m O b j e c t K e y > < D i a g r a m O b j e c t K e y > < K e y > M e a s u r e s \ C o u n t   o f   C o u n t r y   2 \ T a g I n f o \ V a l u e < / K e y > < / D i a g r a m O b j e c t K e y > < D i a g r a m O b j e c t K e y > < K e y > M e a s u r e s \ C o u n t   o f   C o n t e n t < / K e y > < / D i a g r a m O b j e c t K e y > < D i a g r a m O b j e c t K e y > < K e y > M e a s u r e s \ C o u n t   o f   C o n t e n t \ T a g I n f o \ F o r m u l a < / K e y > < / D i a g r a m O b j e c t K e y > < D i a g r a m O b j e c t K e y > < K e y > M e a s u r e s \ C o u n t   o f   C o n t e n t \ T a g I n f o \ V a l u e < / K e y > < / D i a g r a m O b j e c t K e y > < D i a g r a m O b j e c t K e y > < K e y > M e a s u r e s \ D i s t i n c t   C o u n t   o f   C o u n t r y < / K e y > < / D i a g r a m O b j e c t K e y > < D i a g r a m O b j e c t K e y > < K e y > M e a s u r e s \ D i s t i n c t   C o u n t   o f   C o u n t r y \ T a g I n f o \ F o r m u l a < / K e y > < / D i a g r a m O b j e c t K e y > < D i a g r a m O b j e c t K e y > < K e y > M e a s u r e s \ D i s t i n c t   C o u n t   o f   C o u n t r y \ T a g I n f o \ V a l u e < / K e y > < / D i a g r a m O b j e c t K e y > < D i a g r a m O b j e c t K e y > < K e y > M e a s u r e s \ C o u n t   o f   T a r g e t   t y p e < / K e y > < / D i a g r a m O b j e c t K e y > < D i a g r a m O b j e c t K e y > < K e y > M e a s u r e s \ C o u n t   o f   T a r g e t   t y p e \ T a g I n f o \ F o r m u l a < / K e y > < / D i a g r a m O b j e c t K e y > < D i a g r a m O b j e c t K e y > < K e y > M e a s u r e s \ C o u n t   o f   T a r g e t   t y p e \ T a g I n f o \ V a l u e < / K e y > < / D i a g r a m O b j e c t K e y > < D i a g r a m O b j e c t K e y > < K e y > M e a s u r e s \ C o u n t   o f   C o u n t r y   C o d e < / K e y > < / D i a g r a m O b j e c t K e y > < D i a g r a m O b j e c t K e y > < K e y > M e a s u r e s \ C o u n t   o f   C o u n t r y   C o d e \ T a g I n f o \ F o r m u l a < / K e y > < / D i a g r a m O b j e c t K e y > < D i a g r a m O b j e c t K e y > < K e y > M e a s u r e s \ C o u n t   o f   C o u n t r y   C o d e \ T a g I n f o \ V a l u e < / K e y > < / D i a g r a m O b j e c t K e y > < D i a g r a m O b j e c t K e y > < K e y > M e a s u r e s \ C o u n t   o f   G H G   t o t a l < / K e y > < / D i a g r a m O b j e c t K e y > < D i a g r a m O b j e c t K e y > < K e y > M e a s u r e s \ C o u n t   o f   G H G   t o t a l \ T a g I n f o \ F o r m u l a < / K e y > < / D i a g r a m O b j e c t K e y > < D i a g r a m O b j e c t K e y > < K e y > M e a s u r e s \ C o u n t   o f   G H G   t o t a l \ T a g I n f o \ V a l u e < / K e y > < / D i a g r a m O b j e c t K e y > < D i a g r a m O b j e c t K e y > < K e y > M e a s u r e s \ S u m   o f   G H G   t o t a l < / K e y > < / D i a g r a m O b j e c t K e y > < D i a g r a m O b j e c t K e y > < K e y > M e a s u r e s \ S u m   o f   G H G   t o t a l \ T a g I n f o \ F o r m u l a < / K e y > < / D i a g r a m O b j e c t K e y > < D i a g r a m O b j e c t K e y > < K e y > M e a s u r e s \ S u m   o f   G H G   t o t a l \ T a g I n f o \ V a l u e < / K e y > < / D i a g r a m O b j e c t K e y > < D i a g r a m O b j e c t K e y > < K e y > M e a s u r e s \ D i s t i n c t   C o u n t   o f   C o u n t r y   C o d e < / K e y > < / D i a g r a m O b j e c t K e y > < D i a g r a m O b j e c t K e y > < K e y > M e a s u r e s \ D i s t i n c t   C o u n t   o f   C o u n t r y   C o d e \ T a g I n f o \ F o r m u l a < / K e y > < / D i a g r a m O b j e c t K e y > < D i a g r a m O b j e c t K e y > < K e y > M e a s u r e s \ D i s t i n c t   C o u n t   o f   C o u n t r y   C o d e \ T a g I n f o \ V a l u e < / K e y > < / D i a g r a m O b j e c t K e y > < D i a g r a m O b j e c t K e y > < K e y > M e a s u r e s \ C o u n t   o f   A n n e x   I   o r   N o n - A n n e x   I < / K e y > < / D i a g r a m O b j e c t K e y > < D i a g r a m O b j e c t K e y > < K e y > M e a s u r e s \ C o u n t   o f   A n n e x   I   o r   N o n - A n n e x   I \ T a g I n f o \ F o r m u l a < / K e y > < / D i a g r a m O b j e c t K e y > < D i a g r a m O b j e c t K e y > < K e y > M e a s u r e s \ C o u n t   o f   A n n e x   I   o r   N o n - A n n e x   I \ T a g I n f o \ V a l u e 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 C o l u m n s \ T a r g e t   t y p e < / K e y > < / D i a g r a m O b j e c t K e y > < D i a g r a m O b j e c t K e y > < K e y > C o l u m n s \ T a r g e t   Y e a r < / K e y > < / D i a g r a m O b j e c t K e y > < D i a g r a m O b j e c t K e y > < K e y > C o l u m n s \ C o n t e n t < / K e y > < / D i a g r a m O b j e c t K e y > < D i a g r a m O b j e c t K e y > < K e y > C o l u m n s \ R e n e w a b l e   e n e r g y   t a r g e t < / K e y > < / D i a g r a m O b j e c t K e y > < D i a g r a m O b j e c t K e y > < K e y > C o l u m n s \ T a r g e t   s c o p e < / K e y > < / D i a g r a m O b j e c t K e y > < D i a g r a m O b j e c t K e y > < K e y > C o l u m n s \ T r a n s p o r t   t a r g e t   t y p e < / K e y > < / D i a g r a m O b j e c t K e y > < D i a g r a m O b j e c t K e y > < K e y > C o l u m n s \ C o u n t r y   h a s   l o n g - t e r m   t a r g e t < / K e y > < / D i a g r a m O b j e c t K e y > < D i a g r a m O b j e c t K e y > < K e y > C o l u m n s \ C o u n t r y   h a s   a   n e t - z e r o   t a r g e t < / K e y > < / D i a g r a m O b j e c t K e y > < D i a g r a m O b j e c t K e y > < K e y > C o l u m n s \ P a g e   N u m b e r < / 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 C o l u m n s \ G H G   t o t a l < / K e y > < / D i a g r a m O b j e c t K e y > < D i a g r a m O b j e c t K e y > < K e y > C o l u m n s \ G H G   t r a n s p o r t < / K e y > < / D i a g r a m O b j e c t K e y > < D i a g r a m O b j e c t K e y > < K e y > L i n k s \ & l t ; C o l u m n s \ C o u n t   o f   C o u n t r y   2 & g t ; - & l t ; M e a s u r e s \ C o u n t r y & g t ; < / K e y > < / D i a g r a m O b j e c t K e y > < D i a g r a m O b j e c t K e y > < K e y > L i n k s \ & l t ; C o l u m n s \ C o u n t   o f   C o u n t r y   2 & g t ; - & l t ; M e a s u r e s \ C o u n t r y & g t ; \ C O L U M N < / K e y > < / D i a g r a m O b j e c t K e y > < D i a g r a m O b j e c t K e y > < K e y > L i n k s \ & l t ; C o l u m n s \ C o u n t   o f   C o u n t r y   2 & g t ; - & l t ; M e a s u r e s \ C o u n t r y & g t ; \ M E A S U R E < / K e y > < / D i a g r a m O b j e c t K e y > < D i a g r a m O b j e c t K e y > < K e y > L i n k s \ & l t ; C o l u m n s \ C o u n t   o f   C o n t e n t & g t ; - & l t ; M e a s u r e s \ C o n t e n t & g t ; < / K e y > < / D i a g r a m O b j e c t K e y > < D i a g r a m O b j e c t K e y > < K e y > L i n k s \ & l t ; C o l u m n s \ C o u n t   o f   C o n t e n t & g t ; - & l t ; M e a s u r e s \ C o n t e n t & g t ; \ C O L U M N < / K e y > < / D i a g r a m O b j e c t K e y > < D i a g r a m O b j e c t K e y > < K e y > L i n k s \ & l t ; C o l u m n s \ C o u n t   o f   C o n t e n t & g t ; - & l t ; M e a s u r e s \ C o n t e n t & g t ; \ M E A S U R E < / K e y > < / D i a g r a m O b j e c t K e y > < D i a g r a m O b j e c t K e y > < K e y > L i n k s \ & l t ; C o l u m n s \ D i s t i n c t   C o u n t   o f   C o u n t r y & g t ; - & l t ; M e a s u r e s \ C o u n t r y & g t ; < / K e y > < / D i a g r a m O b j e c t K e y > < D i a g r a m O b j e c t K e y > < K e y > L i n k s \ & l t ; C o l u m n s \ D i s t i n c t   C o u n t   o f   C o u n t r y & g t ; - & l t ; M e a s u r e s \ C o u n t r y & g t ; \ C O L U M N < / K e y > < / D i a g r a m O b j e c t K e y > < D i a g r a m O b j e c t K e y > < K e y > L i n k s \ & l t ; C o l u m n s \ D i s t i n c t   C o u n t   o f   C o u n t r y & g t ; - & l t ; M e a s u r e s \ C o u n t r y & g t ; \ M E A S U R E < / K e y > < / D i a g r a m O b j e c t K e y > < D i a g r a m O b j e c t K e y > < K e y > L i n k s \ & l t ; C o l u m n s \ C o u n t   o f   T a r g e t   t y p e & g t ; - & l t ; M e a s u r e s \ T a r g e t   t y p e & g t ; < / K e y > < / D i a g r a m O b j e c t K e y > < D i a g r a m O b j e c t K e y > < K e y > L i n k s \ & l t ; C o l u m n s \ C o u n t   o f   T a r g e t   t y p e & g t ; - & l t ; M e a s u r e s \ T a r g e t   t y p e & g t ; \ C O L U M N < / K e y > < / D i a g r a m O b j e c t K e y > < D i a g r a m O b j e c t K e y > < K e y > L i n k s \ & l t ; C o l u m n s \ C o u n t   o f   T a r g e t   t y p e & g t ; - & l t ; M e a s u r e s \ T a r g e t   t y p e & g t ; \ M E A S U R E < / K e y > < / D i a g r a m O b j e c t K e y > < D i a g r a m O b j e c t K e y > < K e y > L i n k s \ & l t ; C o l u m n s \ C o u n t   o f   C o u n t r y   C o d e & g t ; - & l t ; M e a s u r e s \ C o u n t r y   C o d e & g t ; < / K e y > < / D i a g r a m O b j e c t K e y > < D i a g r a m O b j e c t K e y > < K e y > L i n k s \ & l t ; C o l u m n s \ C o u n t   o f   C o u n t r y   C o d e & g t ; - & l t ; M e a s u r e s \ C o u n t r y   C o d e & g t ; \ C O L U M N < / K e y > < / D i a g r a m O b j e c t K e y > < D i a g r a m O b j e c t K e y > < K e y > L i n k s \ & l t ; C o l u m n s \ C o u n t   o f   C o u n t r y   C o d e & g t ; - & l t ; M e a s u r e s \ C o u n t r y   C o d e & g t ; \ M E A S U R E < / K e y > < / D i a g r a m O b j e c t K e y > < D i a g r a m O b j e c t K e y > < K e y > L i n k s \ & l t ; C o l u m n s \ C o u n t   o f   G H G   t o t a l & g t ; - & l t ; M e a s u r e s \ G H G   t o t a l & g t ; < / K e y > < / D i a g r a m O b j e c t K e y > < D i a g r a m O b j e c t K e y > < K e y > L i n k s \ & l t ; C o l u m n s \ C o u n t   o f   G H G   t o t a l & g t ; - & l t ; M e a s u r e s \ G H G   t o t a l & g t ; \ C O L U M N < / K e y > < / D i a g r a m O b j e c t K e y > < D i a g r a m O b j e c t K e y > < K e y > L i n k s \ & l t ; C o l u m n s \ C o u n t   o f   G H G   t o t a l & g t ; - & l t ; M e a s u r e s \ G H G   t o t a l & g t ; \ M E A S U R E < / K e y > < / D i a g r a m O b j e c t K e y > < D i a g r a m O b j e c t K e y > < K e y > L i n k s \ & l t ; C o l u m n s \ S u m   o f   G H G   t o t a l & g t ; - & l t ; M e a s u r e s \ G H G   t o t a l & g t ; < / K e y > < / D i a g r a m O b j e c t K e y > < D i a g r a m O b j e c t K e y > < K e y > L i n k s \ & l t ; C o l u m n s \ S u m   o f   G H G   t o t a l & g t ; - & l t ; M e a s u r e s \ G H G   t o t a l & g t ; \ C O L U M N < / K e y > < / D i a g r a m O b j e c t K e y > < D i a g r a m O b j e c t K e y > < K e y > L i n k s \ & l t ; C o l u m n s \ S u m   o f   G H G   t o t a l & g t ; - & l t ; M e a s u r e s \ G H G   t o t a l & g t ; \ M E A S U R E < / K e y > < / D i a g r a m O b j e c t K e y > < D i a g r a m O b j e c t K e y > < K e y > L i n k s \ & l t ; C o l u m n s \ D i s t i n c t   C o u n t   o f   C o u n t r y   C o d e & g t ; - & l t ; M e a s u r e s \ C o u n t r y   C o d e & g t ; < / K e y > < / D i a g r a m O b j e c t K e y > < D i a g r a m O b j e c t K e y > < K e y > L i n k s \ & l t ; C o l u m n s \ D i s t i n c t   C o u n t   o f   C o u n t r y   C o d e & g t ; - & l t ; M e a s u r e s \ C o u n t r y   C o d e & g t ; \ C O L U M N < / K e y > < / D i a g r a m O b j e c t K e y > < D i a g r a m O b j e c t K e y > < K e y > L i n k s \ & l t ; C o l u m n s \ D i s t i n c t   C o u n t   o f   C o u n t r y   C o d e & g t ; - & l t ; M e a s u r e s \ C o u n t r y   C o d e & g t ; \ M E A S U R E < / K e y > < / D i a g r a m O b j e c t K e y > < D i a g r a m O b j e c t K e y > < K e y > L i n k s \ & l t ; C o l u m n s \ C o u n t   o f   A n n e x   I   o r   N o n - A n n e x   I & g t ; - & l t ; M e a s u r e s \ A n n e x   I   o r   N o n - A n n e x   I & g t ; < / K e y > < / D i a g r a m O b j e c t K e y > < D i a g r a m O b j e c t K e y > < K e y > L i n k s \ & l t ; C o l u m n s \ C o u n t   o f   A n n e x   I   o r   N o n - A n n e x   I & g t ; - & l t ; M e a s u r e s \ A n n e x   I   o r   N o n - A n n e x   I & g t ; \ C O L U M N < / K e y > < / D i a g r a m O b j e c t K e y > < D i a g r a m O b j e c t K e y > < K e y > L i n k s \ & l t ; C o l u m n s \ C o u n t   o f   A n n e x   I   o r   N o n - A n n e x   I & g t ; - & l t ; M e a s u r e s \ A n n e x   I   o r   N o n - A n n e x   I & g t ; \ M E A S U R E 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 2 < / K e y > < / a : K e y > < a : V a l u e   i : t y p e = " M e a s u r e G r i d N o d e V i e w S t a t e " > < C o l u m n > 1 < / C o l u m n > < L a y e d O u t > t r u e < / L a y e d O u t > < W a s U I I n v i s i b l e > t r u e < / W a s U I I n v i s i b l e > < / a : V a l u e > < / a : K e y V a l u e O f D i a g r a m O b j e c t K e y a n y T y p e z b w N T n L X > < a : K e y V a l u e O f D i a g r a m O b j e c t K e y a n y T y p e z b w N T n L X > < a : K e y > < K e y > M e a s u r e s \ C o u n t   o f   C o u n t r y   2 \ T a g I n f o \ F o r m u l a < / K e y > < / a : K e y > < a : V a l u e   i : t y p e = " M e a s u r e G r i d V i e w S t a t e I D i a g r a m T a g A d d i t i o n a l I n f o " / > < / a : K e y V a l u e O f D i a g r a m O b j e c t K e y a n y T y p e z b w N T n L X > < a : K e y V a l u e O f D i a g r a m O b j e c t K e y a n y T y p e z b w N T n L X > < a : K e y > < K e y > M e a s u r e s \ C o u n t   o f   C o u n t r y   2 \ T a g I n f o \ V a l u e < / K e y > < / a : K e y > < a : V a l u e   i : t y p e = " M e a s u r e G r i d V i e w S t a t e I D i a g r a m T a g A d d i t i o n a l I n f o " / > < / a : K e y V a l u e O f D i a g r a m O b j e c t K e y a n y T y p e z b w N T n L X > < a : K e y V a l u e O f D i a g r a m O b j e c t K e y a n y T y p e z b w N T n L X > < a : K e y > < K e y > M e a s u r e s \ C o u n t   o f   C o n t e n t < / K e y > < / a : K e y > < a : V a l u e   i : t y p e = " M e a s u r e G r i d N o d e V i e w S t a t e " > < C o l u m n > 5 < / C o l u m n > < L a y e d O u t > t r u e < / L a y e d O u t > < W a s U I I n v i s i b l e > t r u e < / W a s U I I n v i s i b l e > < / a : V a l u e > < / a : K e y V a l u e O f D i a g r a m O b j e c t K e y a n y T y p e z b w N T n L X > < a : K e y V a l u e O f D i a g r a m O b j e c t K e y a n y T y p e z b w N T n L X > < a : K e y > < K e y > M e a s u r e s \ C o u n t   o f   C o n t e n t \ T a g I n f o \ F o r m u l a < / K e y > < / a : K e y > < a : V a l u e   i : t y p e = " M e a s u r e G r i d V i e w S t a t e I D i a g r a m T a g A d d i t i o n a l I n f o " / > < / a : K e y V a l u e O f D i a g r a m O b j e c t K e y a n y T y p e z b w N T n L X > < a : K e y V a l u e O f D i a g r a m O b j e c t K e y a n y T y p e z b w N T n L X > < a : K e y > < K e y > M e a s u r e s \ C o u n t   o f   C o n t e n t \ T a g I n f o \ V a l u e < / K e y > < / a : K e y > < a : V a l u e   i : t y p e = " M e a s u r e G r i d V i e w S t a t e I D i a g r a m T a g A d d i t i o n a l I n f o " / > < / a : K e y V a l u e O f D i a g r a m O b j e c t K e y a n y T y p e z b w N T n L X > < a : K e y V a l u e O f D i a g r a m O b j e c t K e y a n y T y p e z b w N T n L X > < a : K e y > < K e y > M e a s u r e s \ D i s t i n c t   C o u n t   o f   C o u n t r y < / K e y > < / a : K e y > < a : V a l u e   i : t y p e = " M e a s u r e G r i d N o d e V i e w S t a t e " > < C o l u m n > 1 < / C o l u m n > < L a y e d O u t > t r u e < / L a y e d O u t > < R o w > 1 < / R o w > < W a s U I I n v i s i b l e > t r u e < / W a s U I I n v i s i b l e > < / a : V a l u e > < / a : K e y V a l u e O f D i a g r a m O b j e c t K e y a n y T y p e z b w N T n L X > < a : K e y V a l u e O f D i a g r a m O b j e c t K e y a n y T y p e z b w N T n L X > < a : K e y > < K e y > M e a s u r e s \ D i s t i n c t   C o u n t   o f   C o u n t r y \ T a g I n f o \ F o r m u l a < / K e y > < / a : K e y > < a : V a l u e   i : t y p e = " M e a s u r e G r i d V i e w S t a t e I D i a g r a m T a g A d d i t i o n a l I n f o " / > < / a : K e y V a l u e O f D i a g r a m O b j e c t K e y a n y T y p e z b w N T n L X > < a : K e y V a l u e O f D i a g r a m O b j e c t K e y a n y T y p e z b w N T n L X > < a : K e y > < K e y > M e a s u r e s \ D i s t i n c t   C o u n t   o f   C o u n t r y \ T a g I n f o \ V a l u e < / K e y > < / a : K e y > < a : V a l u e   i : t y p e = " M e a s u r e G r i d V i e w S t a t e I D i a g r a m T a g A d d i t i o n a l I n f o " / > < / a : K e y V a l u e O f D i a g r a m O b j e c t K e y a n y T y p e z b w N T n L X > < a : K e y V a l u e O f D i a g r a m O b j e c t K e y a n y T y p e z b w N T n L X > < a : K e y > < K e y > M e a s u r e s \ C o u n t   o f   T a r g e t   t y p e < / K e y > < / a : K e y > < a : V a l u e   i : t y p e = " M e a s u r e G r i d N o d e V i e w S t a t e " > < C o l u m n > 4 < / C o l u m n > < L a y e d O u t > t r u e < / L a y e d O u t > < W a s U I I n v i s i b l e > t r u e < / W a s U I I n v i s i b l e > < / a : V a l u e > < / a : K e y V a l u e O f D i a g r a m O b j e c t K e y a n y T y p e z b w N T n L X > < a : K e y V a l u e O f D i a g r a m O b j e c t K e y a n y T y p e z b w N T n L X > < a : K e y > < K e y > M e a s u r e s \ C o u n t   o f   T a r g e t   t y p e \ T a g I n f o \ F o r m u l a < / K e y > < / a : K e y > < a : V a l u e   i : t y p e = " M e a s u r e G r i d V i e w S t a t e I D i a g r a m T a g A d d i t i o n a l I n f o " / > < / a : K e y V a l u e O f D i a g r a m O b j e c t K e y a n y T y p e z b w N T n L X > < a : K e y V a l u e O f D i a g r a m O b j e c t K e y a n y T y p e z b w N T n L X > < a : K e y > < K e y > M e a s u r e s \ C o u n t   o f   T a r g e t   t y p e \ T a g I n f o \ V a l u e < / K e y > < / a : K e y > < a : V a l u e   i : t y p e = " M e a s u r e G r i d V i e w S t a t e I D i a g r a m T a g A d d i t i o n a l I n f o " / > < / a : K e y V a l u e O f D i a g r a m O b j e c t K e y a n y T y p e z b w N T n L X > < a : K e y V a l u e O f D i a g r a m O b j e c t K e y a n y T y p e z b w N T n L X > < a : K e y > < K e y > M e a s u r e s \ C o u n t   o f   C o u n t r y   C o d e < / K e y > < / a : K e y > < a : V a l u e   i : t y p e = " M e a s u r e G r i d N o d e V i e w S t a t e " > < L a y e d O u t > t r u e < / L a y e d O u t > < W a s U I I n v i s i b l e > t r u e < / W a s U I I n v i s i b l e > < / a : V a l u e > < / a : K e y V a l u e O f D i a g r a m O b j e c t K e y a n y T y p e z b w N T n L X > < a : K e y V a l u e O f D i a g r a m O b j e c t K e y a n y T y p e z b w N T n L X > < a : K e y > < K e y > M e a s u r e s \ C o u n t   o f   C o u n t r y   C o d e \ T a g I n f o \ F o r m u l a < / K e y > < / a : K e y > < a : V a l u e   i : t y p e = " M e a s u r e G r i d V i e w S t a t e I D i a g r a m T a g A d d i t i o n a l I n f o " / > < / a : K e y V a l u e O f D i a g r a m O b j e c t K e y a n y T y p e z b w N T n L X > < a : K e y V a l u e O f D i a g r a m O b j e c t K e y a n y T y p e z b w N T n L X > < a : K e y > < K e y > M e a s u r e s \ C o u n t   o f   C o u n t r y   C o d e \ T a g I n f o \ V a l u e < / K e y > < / a : K e y > < a : V a l u e   i : t y p e = " M e a s u r e G r i d V i e w S t a t e I D i a g r a m T a g A d d i t i o n a l I n f o " / > < / a : K e y V a l u e O f D i a g r a m O b j e c t K e y a n y T y p e z b w N T n L X > < a : K e y V a l u e O f D i a g r a m O b j e c t K e y a n y T y p e z b w N T n L X > < a : K e y > < K e y > M e a s u r e s \ C o u n t   o f   G H G   t o t a l < / K e y > < / a : K e y > < a : V a l u e   i : t y p e = " M e a s u r e G r i d N o d e V i e w S t a t e " > < C o l u m n > 1 7 < / C o l u m n > < L a y e d O u t > t r u e < / L a y e d O u t > < W a s U I I n v i s i b l e > t r u e < / W a s U I I n v i s i b l e > < / a : V a l u e > < / a : K e y V a l u e O f D i a g r a m O b j e c t K e y a n y T y p e z b w N T n L X > < a : K e y V a l u e O f D i a g r a m O b j e c t K e y a n y T y p e z b w N T n L X > < a : K e y > < K e y > M e a s u r e s \ C o u n t   o f   G H G   t o t a l \ T a g I n f o \ F o r m u l a < / K e y > < / a : K e y > < a : V a l u e   i : t y p e = " M e a s u r e G r i d V i e w S t a t e I D i a g r a m T a g A d d i t i o n a l I n f o " / > < / a : K e y V a l u e O f D i a g r a m O b j e c t K e y a n y T y p e z b w N T n L X > < a : K e y V a l u e O f D i a g r a m O b j e c t K e y a n y T y p e z b w N T n L X > < a : K e y > < K e y > M e a s u r e s \ C o u n t   o f   G H G   t o t a l \ T a g I n f o \ V a l u e < / K e y > < / a : K e y > < a : V a l u e   i : t y p e = " M e a s u r e G r i d V i e w S t a t e I D i a g r a m T a g A d d i t i o n a l I n f o " / > < / a : K e y V a l u e O f D i a g r a m O b j e c t K e y a n y T y p e z b w N T n L X > < a : K e y V a l u e O f D i a g r a m O b j e c t K e y a n y T y p e z b w N T n L X > < a : K e y > < K e y > M e a s u r e s \ S u m   o f   G H G   t o t a l < / K e y > < / a : K e y > < a : V a l u e   i : t y p e = " M e a s u r e G r i d N o d e V i e w S t a t e " > < C o l u m n > 1 7 < / C o l u m n > < L a y e d O u t > t r u e < / L a y e d O u t > < W a s U I I n v i s i b l e > t r u e < / W a s U I I n v i s i b l e > < / a : V a l u e > < / a : K e y V a l u e O f D i a g r a m O b j e c t K e y a n y T y p e z b w N T n L X > < a : K e y V a l u e O f D i a g r a m O b j e c t K e y a n y T y p e z b w N T n L X > < a : K e y > < K e y > M e a s u r e s \ S u m   o f   G H G   t o t a l \ T a g I n f o \ F o r m u l a < / K e y > < / a : K e y > < a : V a l u e   i : t y p e = " M e a s u r e G r i d V i e w S t a t e I D i a g r a m T a g A d d i t i o n a l I n f o " / > < / a : K e y V a l u e O f D i a g r a m O b j e c t K e y a n y T y p e z b w N T n L X > < a : K e y V a l u e O f D i a g r a m O b j e c t K e y a n y T y p e z b w N T n L X > < a : K e y > < K e y > M e a s u r e s \ S u m   o f   G H G   t o t a l \ T a g I n f o \ V a l u e < / K e y > < / a : K e y > < a : V a l u e   i : t y p e = " M e a s u r e G r i d V i e w S t a t e I D i a g r a m T a g A d d i t i o n a l I n f o " / > < / a : K e y V a l u e O f D i a g r a m O b j e c t K e y a n y T y p e z b w N T n L X > < a : K e y V a l u e O f D i a g r a m O b j e c t K e y a n y T y p e z b w N T n L X > < a : K e y > < K e y > M e a s u r e s \ D i s t i n c t   C o u n t   o f   C o u n t r y   C o d e < / K e y > < / a : K e y > < a : V a l u e   i : t y p e = " M e a s u r e G r i d N o d e V i e w S t a t e " > < L a y e d O u t > t r u e < / L a y e d O u t > < W a s U I I n v i s i b l e > t r u e < / W a s U I I n v i s i b l e > < / a : V a l u e > < / a : K e y V a l u e O f D i a g r a m O b j e c t K e y a n y T y p e z b w N T n L X > < a : K e y V a l u e O f D i a g r a m O b j e c t K e y a n y T y p e z b w N T n L X > < a : K e y > < K e y > M e a s u r e s \ D i s t i n c t   C o u n t   o f   C o u n t r y   C o d e \ T a g I n f o \ F o r m u l a < / K e y > < / a : K e y > < a : V a l u e   i : t y p e = " M e a s u r e G r i d V i e w S t a t e I D i a g r a m T a g A d d i t i o n a l I n f o " / > < / a : K e y V a l u e O f D i a g r a m O b j e c t K e y a n y T y p e z b w N T n L X > < a : K e y V a l u e O f D i a g r a m O b j e c t K e y a n y T y p e z b w N T n L X > < a : K e y > < K e y > M e a s u r e s \ D i s t i n c t   C o u n t   o f   C o u n t r y   C o d e \ T a g I n f o \ V a l u e < / K e y > < / a : K e y > < a : V a l u e   i : t y p e = " M e a s u r e G r i d V i e w S t a t e I D i a g r a m T a g A d d i t i o n a l I n f o " / > < / a : K e y V a l u e O f D i a g r a m O b j e c t K e y a n y T y p e z b w N T n L X > < a : K e y V a l u e O f D i a g r a m O b j e c t K e y a n y T y p e z b w N T n L X > < a : K e y > < K e y > M e a s u r e s \ C o u n t   o f   A n n e x   I   o r   N o n - A n n e x   I < / K e y > < / a : K e y > < a : V a l u e   i : t y p e = " M e a s u r e G r i d N o d e V i e w S t a t e " > < C o l u m n > 1 1 < / C o l u m n > < L a y e d O u t > t r u e < / L a y e d O u t > < W a s U I I n v i s i b l e > t r u e < / W a s U I I n v i s i b l e > < / a : V a l u e > < / a : K e y V a l u e O f D i a g r a m O b j e c t K e y a n y T y p e z b w N T n L X > < a : K e y V a l u e O f D i a g r a m O b j e c t K e y a n y T y p e z b w N T n L X > < a : K e y > < K e y > M e a s u r e s \ C o u n t   o f   A n n e x   I   o r   N o n - A n n e x   I \ T a g I n f o \ F o r m u l a < / K e y > < / a : K e y > < a : V a l u e   i : t y p e = " M e a s u r e G r i d V i e w S t a t e I D i a g r a m T a g A d d i t i o n a l I n f o " / > < / a : K e y V a l u e O f D i a g r a m O b j e c t K e y a n y T y p e z b w N T n L X > < a : K e y V a l u e O f D i a g r a m O b j e c t K e y a n y T y p e z b w N T n L X > < a : K e y > < K e y > M e a s u r e s \ C o u n t   o f   A n n e x   I   o r   N o n - A n n e x   I \ T a g I n f o \ V a l u e 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 C o l u m n s \ T a r g e t   t y p e < / K e y > < / a : K e y > < a : V a l u e   i : t y p e = " M e a s u r e G r i d N o d e V i e w S t a t e " > < C o l u m n > 4 < / C o l u m n > < L a y e d O u t > t r u e < / L a y e d O u t > < / a : V a l u e > < / a : K e y V a l u e O f D i a g r a m O b j e c t K e y a n y T y p e z b w N T n L X > < a : K e y V a l u e O f D i a g r a m O b j e c t K e y a n y T y p e z b w N T n L X > < a : K e y > < K e y > C o l u m n s \ T a r g e t   Y e a r < / K e y > < / a : K e y > < a : V a l u e   i : t y p e = " M e a s u r e G r i d N o d e V i e w S t a t e " > < C o l u m n > 7 < / C o l u m n > < L a y e d O u t > t r u e < / L a y e d O u t > < / a : V a l u e > < / a : K e y V a l u e O f D i a g r a m O b j e c t K e y a n y T y p e z b w N T n L X > < a : K e y V a l u e O f D i a g r a m O b j e c t K e y a n y T y p e z b w N T n L X > < a : K e y > < K e y > C o l u m n s \ C o n t e n t < / K e y > < / a : K e y > < a : V a l u e   i : t y p e = " M e a s u r e G r i d N o d e V i e w S t a t e " > < C o l u m n > 5 < / C o l u m n > < L a y e d O u t > t r u e < / L a y e d O u t > < / a : V a l u e > < / a : K e y V a l u e O f D i a g r a m O b j e c t K e y a n y T y p e z b w N T n L X > < a : K e y V a l u e O f D i a g r a m O b j e c t K e y a n y T y p e z b w N T n L X > < a : K e y > < K e y > C o l u m n s \ R e n e w a b l e   e n e r g y   t a r g e t < / K e y > < / a : K e y > < a : V a l u e   i : t y p e = " M e a s u r e G r i d N o d e V i e w S t a t e " > < C o l u m n > 8 < / C o l u m n > < L a y e d O u t > t r u e < / L a y e d O u t > < / a : V a l u e > < / a : K e y V a l u e O f D i a g r a m O b j e c t K e y a n y T y p e z b w N T n L X > < a : K e y V a l u e O f D i a g r a m O b j e c t K e y a n y T y p e z b w N T n L X > < a : K e y > < K e y > C o l u m n s \ T a r g e t   s c o p e < / K e y > < / a : K e y > < a : V a l u e   i : t y p e = " M e a s u r e G r i d N o d e V i e w S t a t e " > < C o l u m n > 1 9 < / C o l u m n > < L a y e d O u t > t r u e < / L a y e d O u t > < / a : V a l u e > < / a : K e y V a l u e O f D i a g r a m O b j e c t K e y a n y T y p e z b w N T n L X > < a : K e y V a l u e O f D i a g r a m O b j e c t K e y a n y T y p e z b w N T n L X > < a : K e y > < K e y > C o l u m n s \ T r a n s p o r t   t a r g e t   t y p e < / K e y > < / a : K e y > < a : V a l u e   i : t y p e = " M e a s u r e G r i d N o d e V i e w S t a t e " > < C o l u m n > 2 0 < / C o l u m n > < L a y e d O u t > t r u e < / L a y e d O u t > < / a : V a l u e > < / a : K e y V a l u e O f D i a g r a m O b j e c t K e y a n y T y p e z b w N T n L X > < a : K e y V a l u e O f D i a g r a m O b j e c t K e y a n y T y p e z b w N T n L X > < a : K e y > < K e y > C o l u m n s \ C o u n t r y   h a s   l o n g - t e r m   t a r g e t < / K e y > < / a : K e y > < a : V a l u e   i : t y p e = " M e a s u r e G r i d N o d e V i e w S t a t e " > < C o l u m n > 9 < / C o l u m n > < L a y e d O u t > t r u e < / L a y e d O u t > < / a : V a l u e > < / a : K e y V a l u e O f D i a g r a m O b j e c t K e y a n y T y p e z b w N T n L X > < a : K e y V a l u e O f D i a g r a m O b j e c t K e y a n y T y p e z b w N T n L X > < a : K e y > < K e y > C o l u m n s \ C o u n t r y   h a s   a   n e t - z e r o   t a r g e t < / K e y > < / a : K e y > < a : V a l u e   i : t y p e = " M e a s u r e G r i d N o d e V i e w S t a t e " > < C o l u m n > 1 0 < / C o l u m n > < L a y e d O u t > t r u e < / L a y e d O u t > < / a : V a l u e > < / a : K e y V a l u e O f D i a g r a m O b j e c t K e y a n y T y p e z b w N T n L X > < a : K e y V a l u e O f D i a g r a m O b j e c t K e y a n y T y p e z b w N T n L X > < a : K e y > < K e y > C o l u m n s \ P a g e   N u m b e r < / K e y > < / a : K e y > < a : V a l u e   i : t y p e = " M e a s u r e G r i d N o d e V i e w S t a t e " > < C o l u m n > 6 < / C o l u m n > < L a y e d O u t > t r u e < / L a y e d O u t > < / a : V a l u e > < / a : K e y V a l u e O f D i a g r a m O b j e c t K e y a n y T y p e z b w N T n L X > < a : K e y V a l u e O f D i a g r a m O b j e c t K e y a n y T y p e z b w N T n L X > < a : K e y > < K e y > C o l u m n s \ A n n e x   I   o r   N o n - A n n e x   I < / K e y > < / a : K e y > < a : V a l u e   i : t y p e = " M e a s u r e G r i d N o d e V i e w S t a t e " > < C o l u m n > 1 1 < / C o l u m n > < L a y e d O u t > t r u e < / L a y e d O u t > < / a : V a l u e > < / a : K e y V a l u e O f D i a g r a m O b j e c t K e y a n y T y p e z b w N T n L X > < a : K e y V a l u e O f D i a g r a m O b j e c t K e y a n y T y p e z b w N T n L X > < a : K e y > < K e y > C o l u m n s \ I n c o m e   G r o u p < / K e y > < / a : K e y > < a : V a l u e   i : t y p e = " M e a s u r e G r i d N o d e V i e w S t a t e " > < C o l u m n > 1 2 < / C o l u m n > < L a y e d O u t > t r u e < / L a y e d O u t > < / a : V a l u e > < / a : K e y V a l u e O f D i a g r a m O b j e c t K e y a n y T y p e z b w N T n L X > < a : K e y V a l u e O f D i a g r a m O b j e c t K e y a n y T y p e z b w N T n L X > < a : K e y > < K e y > C o l u m n s \ R e g i o n < / K e y > < / a : K e y > < a : V a l u e   i : t y p e = " M e a s u r e G r i d N o d e V i e w S t a t e " > < C o l u m n > 1 3 < / C o l u m n > < L a y e d O u t > t r u e < / L a y e d O u t > < / a : V a l u e > < / a : K e y V a l u e O f D i a g r a m O b j e c t K e y a n y T y p e z b w N T n L X > < a : K e y V a l u e O f D i a g r a m O b j e c t K e y a n y T y p e z b w N T n L X > < a : K e y > < K e y > C o l u m n s \ G 2 0 < / K e y > < / a : K e y > < a : V a l u e   i : t y p e = " M e a s u r e G r i d N o d e V i e w S t a t e " > < C o l u m n > 1 4 < / C o l u m n > < L a y e d O u t > t r u e < / L a y e d O u t > < / a : V a l u e > < / a : K e y V a l u e O f D i a g r a m O b j e c t K e y a n y T y p e z b w N T n L X > < a : K e y V a l u e O f D i a g r a m O b j e c t K e y a n y T y p e z b w N T n L X > < a : K e y > < K e y > C o l u m n s \ G 7 < / K e y > < / a : K e y > < a : V a l u e   i : t y p e = " M e a s u r e G r i d N o d e V i e w S t a t e " > < C o l u m n > 1 5 < / C o l u m n > < L a y e d O u t > t r u e < / L a y e d O u t > < / a : V a l u e > < / a : K e y V a l u e O f D i a g r a m O b j e c t K e y a n y T y p e z b w N T n L X > < a : K e y V a l u e O f D i a g r a m O b j e c t K e y a n y T y p e z b w N T n L X > < a : K e y > < K e y > C o l u m n s \ O E C D < / K e y > < / a : K e y > < a : V a l u e   i : t y p e = " M e a s u r e G r i d N o d e V i e w S t a t e " > < C o l u m n > 1 6 < / C o l u m n > < L a y e d O u t > t r u e < / L a y e d O u t > < / a : V a l u e > < / a : K e y V a l u e O f D i a g r a m O b j e c t K e y a n y T y p e z b w N T n L X > < a : K e y V a l u e O f D i a g r a m O b j e c t K e y a n y T y p e z b w N T n L X > < a : K e y > < K e y > C o l u m n s \ G H G   t o t a l < / K e y > < / a : K e y > < a : V a l u e   i : t y p e = " M e a s u r e G r i d N o d e V i e w S t a t e " > < C o l u m n > 1 7 < / C o l u m n > < L a y e d O u t > t r u e < / L a y e d O u t > < / a : V a l u e > < / a : K e y V a l u e O f D i a g r a m O b j e c t K e y a n y T y p e z b w N T n L X > < a : K e y V a l u e O f D i a g r a m O b j e c t K e y a n y T y p e z b w N T n L X > < a : K e y > < K e y > C o l u m n s \ G H G   t r a n s p o r t < / K e y > < / a : K e y > < a : V a l u e   i : t y p e = " M e a s u r e G r i d N o d e V i e w S t a t e " > < C o l u m n > 1 8 < / C o l u m n > < L a y e d O u t > t r u e < / L a y e d O u t > < / a : V a l u e > < / a : K e y V a l u e O f D i a g r a m O b j e c t K e y a n y T y p e z b w N T n L X > < a : K e y V a l u e O f D i a g r a m O b j e c t K e y a n y T y p e z b w N T n L X > < a : K e y > < K e y > L i n k s \ & l t ; C o l u m n s \ C o u n t   o f   C o u n t r y   2 & g t ; - & l t ; M e a s u r e s \ C o u n t r y & g t ; < / K e y > < / a : K e y > < a : V a l u e   i : t y p e = " M e a s u r e G r i d V i e w S t a t e I D i a g r a m L i n k " / > < / a : K e y V a l u e O f D i a g r a m O b j e c t K e y a n y T y p e z b w N T n L X > < a : K e y V a l u e O f D i a g r a m O b j e c t K e y a n y T y p e z b w N T n L X > < a : K e y > < K e y > L i n k s \ & l t ; C o l u m n s \ C o u n t   o f   C o u n t r y   2 & g t ; - & l t ; M e a s u r e s \ C o u n t r y & g t ; \ C O L U M N < / K e y > < / a : K e y > < a : V a l u e   i : t y p e = " M e a s u r e G r i d V i e w S t a t e I D i a g r a m L i n k E n d p o i n t " / > < / a : K e y V a l u e O f D i a g r a m O b j e c t K e y a n y T y p e z b w N T n L X > < a : K e y V a l u e O f D i a g r a m O b j e c t K e y a n y T y p e z b w N T n L X > < a : K e y > < K e y > L i n k s \ & l t ; C o l u m n s \ C o u n t   o f   C o u n t r y   2 & g t ; - & l t ; M e a s u r e s \ C o u n t r y & g t ; \ M E A S U R E < / K e y > < / a : K e y > < a : V a l u e   i : t y p e = " M e a s u r e G r i d V i e w S t a t e I D i a g r a m L i n k E n d p o i n t " / > < / a : K e y V a l u e O f D i a g r a m O b j e c t K e y a n y T y p e z b w N T n L X > < a : K e y V a l u e O f D i a g r a m O b j e c t K e y a n y T y p e z b w N T n L X > < a : K e y > < K e y > L i n k s \ & l t ; C o l u m n s \ C o u n t   o f   C o n t e n t & g t ; - & l t ; M e a s u r e s \ C o n t e n t & g t ; < / K e y > < / a : K e y > < a : V a l u e   i : t y p e = " M e a s u r e G r i d V i e w S t a t e I D i a g r a m L i n k " / > < / a : K e y V a l u e O f D i a g r a m O b j e c t K e y a n y T y p e z b w N T n L X > < a : K e y V a l u e O f D i a g r a m O b j e c t K e y a n y T y p e z b w N T n L X > < a : K e y > < K e y > L i n k s \ & l t ; C o l u m n s \ C o u n t   o f   C o n t e n t & g t ; - & l t ; M e a s u r e s \ C o n t e n t & g t ; \ C O L U M N < / K e y > < / a : K e y > < a : V a l u e   i : t y p e = " M e a s u r e G r i d V i e w S t a t e I D i a g r a m L i n k E n d p o i n t " / > < / a : K e y V a l u e O f D i a g r a m O b j e c t K e y a n y T y p e z b w N T n L X > < a : K e y V a l u e O f D i a g r a m O b j e c t K e y a n y T y p e z b w N T n L X > < a : K e y > < K e y > L i n k s \ & l t ; C o l u m n s \ C o u n t   o f   C o n t e n t & g t ; - & l t ; M e a s u r e s \ C o n t e n t & g t ; \ M E A S U R E < / K e y > < / a : K e y > < a : V a l u e   i : t y p e = " M e a s u r e G r i d V i e w S t a t e I D i a g r a m L i n k E n d p o i n t " / > < / a : K e y V a l u e O f D i a g r a m O b j e c t K e y a n y T y p e z b w N T n L X > < a : K e y V a l u e O f D i a g r a m O b j e c t K e y a n y T y p e z b w N T n L X > < a : K e y > < K e y > L i n k s \ & l t ; C o l u m n s \ D i s t i n c t   C o u n t   o f   C o u n t r y & g t ; - & l t ; M e a s u r e s \ C o u n t r y & g t ; < / K e y > < / a : K e y > < a : V a l u e   i : t y p e = " M e a s u r e G r i d V i e w S t a t e I D i a g r a m L i n k " / > < / a : K e y V a l u e O f D i a g r a m O b j e c t K e y a n y T y p e z b w N T n L X > < a : K e y V a l u e O f D i a g r a m O b j e c t K e y a n y T y p e z b w N T n L X > < a : K e y > < K e y > L i n k s \ & l t ; C o l u m n s \ D i s t i n c t   C o u n t   o f   C o u n t r y & g t ; - & l t ; M e a s u r e s \ C o u n t r y & g t ; \ C O L U M N < / K e y > < / a : K e y > < a : V a l u e   i : t y p e = " M e a s u r e G r i d V i e w S t a t e I D i a g r a m L i n k E n d p o i n t " / > < / a : K e y V a l u e O f D i a g r a m O b j e c t K e y a n y T y p e z b w N T n L X > < a : K e y V a l u e O f D i a g r a m O b j e c t K e y a n y T y p e z b w N T n L X > < a : K e y > < K e y > L i n k s \ & l t ; C o l u m n s \ D i s t i n c t   C o u n t   o f   C o u n t r y & g t ; - & l t ; M e a s u r e s \ C o u n t r y & g t ; \ M E A S U R E < / K e y > < / a : K e y > < a : V a l u e   i : t y p e = " M e a s u r e G r i d V i e w S t a t e I D i a g r a m L i n k E n d p o i n t " / > < / a : K e y V a l u e O f D i a g r a m O b j e c t K e y a n y T y p e z b w N T n L X > < a : K e y V a l u e O f D i a g r a m O b j e c t K e y a n y T y p e z b w N T n L X > < a : K e y > < K e y > L i n k s \ & l t ; C o l u m n s \ C o u n t   o f   T a r g e t   t y p e & g t ; - & l t ; M e a s u r e s \ T a r g e t   t y p e & g t ; < / K e y > < / a : K e y > < a : V a l u e   i : t y p e = " M e a s u r e G r i d V i e w S t a t e I D i a g r a m L i n k " / > < / a : K e y V a l u e O f D i a g r a m O b j e c t K e y a n y T y p e z b w N T n L X > < a : K e y V a l u e O f D i a g r a m O b j e c t K e y a n y T y p e z b w N T n L X > < a : K e y > < K e y > L i n k s \ & l t ; C o l u m n s \ C o u n t   o f   T a r g e t   t y p e & g t ; - & l t ; M e a s u r e s \ T a r g e t   t y p e & g t ; \ C O L U M N < / K e y > < / a : K e y > < a : V a l u e   i : t y p e = " M e a s u r e G r i d V i e w S t a t e I D i a g r a m L i n k E n d p o i n t " / > < / a : K e y V a l u e O f D i a g r a m O b j e c t K e y a n y T y p e z b w N T n L X > < a : K e y V a l u e O f D i a g r a m O b j e c t K e y a n y T y p e z b w N T n L X > < a : K e y > < K e y > L i n k s \ & l t ; C o l u m n s \ C o u n t   o f   T a r g e t   t y p e & g t ; - & l t ; M e a s u r e s \ T a r g e t   t y p e & g t ; \ M E A S U R E < / K e y > < / a : K e y > < a : V a l u e   i : t y p e = " M e a s u r e G r i d V i e w S t a t e I D i a g r a m L i n k E n d p o i n t " / > < / a : K e y V a l u e O f D i a g r a m O b j e c t K e y a n y T y p e z b w N T n L X > < a : K e y V a l u e O f D i a g r a m O b j e c t K e y a n y T y p e z b w N T n L X > < a : K e y > < K e y > L i n k s \ & l t ; C o l u m n s \ C o u n t   o f   C o u n t r y   C o d e & g t ; - & l t ; M e a s u r e s \ C o u n t r y   C o d e & g t ; < / K e y > < / a : K e y > < a : V a l u e   i : t y p e = " M e a s u r e G r i d V i e w S t a t e I D i a g r a m L i n k " / > < / a : K e y V a l u e O f D i a g r a m O b j e c t K e y a n y T y p e z b w N T n L X > < a : K e y V a l u e O f D i a g r a m O b j e c t K e y a n y T y p e z b w N T n L X > < a : K e y > < K e y > L i n k s \ & l t ; C o l u m n s \ C o u n t   o f   C o u n t r y   C o d e & g t ; - & l t ; M e a s u r e s \ C o u n t r y   C o d e & g t ; \ C O L U M N < / K e y > < / a : K e y > < a : V a l u e   i : t y p e = " M e a s u r e G r i d V i e w S t a t e I D i a g r a m L i n k E n d p o i n t " / > < / a : K e y V a l u e O f D i a g r a m O b j e c t K e y a n y T y p e z b w N T n L X > < a : K e y V a l u e O f D i a g r a m O b j e c t K e y a n y T y p e z b w N T n L X > < a : K e y > < K e y > L i n k s \ & l t ; C o l u m n s \ C o u n t   o f   C o u n t r y   C o d e & g t ; - & l t ; M e a s u r e s \ C o u n t r y   C o d e & g t ; \ M E A S U R E < / K e y > < / a : K e y > < a : V a l u e   i : t y p e = " M e a s u r e G r i d V i e w S t a t e I D i a g r a m L i n k E n d p o i n t " / > < / a : K e y V a l u e O f D i a g r a m O b j e c t K e y a n y T y p e z b w N T n L X > < a : K e y V a l u e O f D i a g r a m O b j e c t K e y a n y T y p e z b w N T n L X > < a : K e y > < K e y > L i n k s \ & l t ; C o l u m n s \ C o u n t   o f   G H G   t o t a l & g t ; - & l t ; M e a s u r e s \ G H G   t o t a l & g t ; < / K e y > < / a : K e y > < a : V a l u e   i : t y p e = " M e a s u r e G r i d V i e w S t a t e I D i a g r a m L i n k " / > < / a : K e y V a l u e O f D i a g r a m O b j e c t K e y a n y T y p e z b w N T n L X > < a : K e y V a l u e O f D i a g r a m O b j e c t K e y a n y T y p e z b w N T n L X > < a : K e y > < K e y > L i n k s \ & l t ; C o l u m n s \ C o u n t   o f   G H G   t o t a l & g t ; - & l t ; M e a s u r e s \ G H G   t o t a l & g t ; \ C O L U M N < / K e y > < / a : K e y > < a : V a l u e   i : t y p e = " M e a s u r e G r i d V i e w S t a t e I D i a g r a m L i n k E n d p o i n t " / > < / a : K e y V a l u e O f D i a g r a m O b j e c t K e y a n y T y p e z b w N T n L X > < a : K e y V a l u e O f D i a g r a m O b j e c t K e y a n y T y p e z b w N T n L X > < a : K e y > < K e y > L i n k s \ & l t ; C o l u m n s \ C o u n t   o f   G H G   t o t a l & g t ; - & l t ; M e a s u r e s \ G H G   t o t a l & g t ; \ M E A S U R E < / K e y > < / a : K e y > < a : V a l u e   i : t y p e = " M e a s u r e G r i d V i e w S t a t e I D i a g r a m L i n k E n d p o i n t " / > < / a : K e y V a l u e O f D i a g r a m O b j e c t K e y a n y T y p e z b w N T n L X > < a : K e y V a l u e O f D i a g r a m O b j e c t K e y a n y T y p e z b w N T n L X > < a : K e y > < K e y > L i n k s \ & l t ; C o l u m n s \ S u m   o f   G H G   t o t a l & g t ; - & l t ; M e a s u r e s \ G H G   t o t a l & g t ; < / K e y > < / a : K e y > < a : V a l u e   i : t y p e = " M e a s u r e G r i d V i e w S t a t e I D i a g r a m L i n k " / > < / a : K e y V a l u e O f D i a g r a m O b j e c t K e y a n y T y p e z b w N T n L X > < a : K e y V a l u e O f D i a g r a m O b j e c t K e y a n y T y p e z b w N T n L X > < a : K e y > < K e y > L i n k s \ & l t ; C o l u m n s \ S u m   o f   G H G   t o t a l & g t ; - & l t ; M e a s u r e s \ G H G   t o t a l & g t ; \ C O L U M N < / K e y > < / a : K e y > < a : V a l u e   i : t y p e = " M e a s u r e G r i d V i e w S t a t e I D i a g r a m L i n k E n d p o i n t " / > < / a : K e y V a l u e O f D i a g r a m O b j e c t K e y a n y T y p e z b w N T n L X > < a : K e y V a l u e O f D i a g r a m O b j e c t K e y a n y T y p e z b w N T n L X > < a : K e y > < K e y > L i n k s \ & l t ; C o l u m n s \ S u m   o f   G H G   t o t a l & g t ; - & l t ; M e a s u r e s \ G H G   t o t a l & g t ; \ M E A S U R E < / K e y > < / a : K e y > < a : V a l u e   i : t y p e = " M e a s u r e G r i d V i e w S t a t e I D i a g r a m L i n k E n d p o i n t " / > < / a : K e y V a l u e O f D i a g r a m O b j e c t K e y a n y T y p e z b w N T n L X > < a : K e y V a l u e O f D i a g r a m O b j e c t K e y a n y T y p e z b w N T n L X > < a : K e y > < K e y > L i n k s \ & l t ; C o l u m n s \ D i s t i n c t   C o u n t   o f   C o u n t r y   C o d e & g t ; - & l t ; M e a s u r e s \ C o u n t r y   C o d e & g t ; < / K e y > < / a : K e y > < a : V a l u e   i : t y p e = " M e a s u r e G r i d V i e w S t a t e I D i a g r a m L i n k " / > < / a : K e y V a l u e O f D i a g r a m O b j e c t K e y a n y T y p e z b w N T n L X > < a : K e y V a l u e O f D i a g r a m O b j e c t K e y a n y T y p e z b w N T n L X > < a : K e y > < K e y > L i n k s \ & l t ; C o l u m n s \ D i s t i n c t   C o u n t   o f   C o u n t r y   C o d e & g t ; - & l t ; M e a s u r e s \ C o u n t r y   C o d e & g t ; \ C O L U M N < / K e y > < / a : K e y > < a : V a l u e   i : t y p e = " M e a s u r e G r i d V i e w S t a t e I D i a g r a m L i n k E n d p o i n t " / > < / a : K e y V a l u e O f D i a g r a m O b j e c t K e y a n y T y p e z b w N T n L X > < a : K e y V a l u e O f D i a g r a m O b j e c t K e y a n y T y p e z b w N T n L X > < a : K e y > < K e y > L i n k s \ & l t ; C o l u m n s \ D i s t i n c t   C o u n t   o f   C o u n t r y   C o d e & g t ; - & l t ; M e a s u r e s \ C o u n t r y   C o d e & g t ; \ M E A S U R E < / K e y > < / a : K e y > < a : V a l u e   i : t y p e = " M e a s u r e G r i d V i e w S t a t e I D i a g r a m L i n k E n d p o i n t " / > < / a : K e y V a l u e O f D i a g r a m O b j e c t K e y a n y T y p e z b w N T n L X > < a : K e y V a l u e O f D i a g r a m O b j e c t K e y a n y T y p e z b w N T n L X > < a : K e y > < K e y > L i n k s \ & l t ; C o l u m n s \ C o u n t   o f   A n n e x   I   o r   N o n - A n n e x   I & g t ; - & l t ; M e a s u r e s \ A n n e x   I   o r   N o n - A n n e x   I & g t ; < / K e y > < / a : K e y > < a : V a l u e   i : t y p e = " M e a s u r e G r i d V i e w S t a t e I D i a g r a m L i n k " / > < / a : K e y V a l u e O f D i a g r a m O b j e c t K e y a n y T y p e z b w N T n L X > < a : K e y V a l u e O f D i a g r a m O b j e c t K e y a n y T y p e z b w N T n L X > < a : K e y > < K e y > L i n k s \ & l t ; C o l u m n s \ C o u n t   o f   A n n e x   I   o r   N o n - A n n e x   I & g t ; - & l t ; M e a s u r e s \ A n n e x   I   o r   N o n - A n n e x   I & g t ; \ C O L U M N < / K e y > < / a : K e y > < a : V a l u e   i : t y p e = " M e a s u r e G r i d V i e w S t a t e I D i a g r a m L i n k E n d p o i n t " / > < / a : K e y V a l u e O f D i a g r a m O b j e c t K e y a n y T y p e z b w N T n L X > < a : K e y V a l u e O f D i a g r a m O b j e c t K e y a n y T y p e z b w N T n L X > < a : K e y > < K e y > L i n k s \ & l t ; C o l u m n s \ C o u n t   o f   A n n e x   I   o r   N o n - A n n e x   I & g t ; - & l t ; M e a s u r e s \ A n n e x   I   o r   N o n - A n n e x   I & g t ; \ M E A S U R E < / K e y > < / a : K e y > < a : V a l u e   i : t y p e = " M e a s u r e G r i d V i e w S t a t e I D i a g r a m L i n k E n d p o i n t " / > < / a : K e y V a l u e O f D i a g r a m O b j e c t K e y a n y T y p e z b w N T n L X > < / V i e w S t a t e s > < / D i a g r a m M a n a g e r . S e r i a l i z a b l e D i a g r a m > < D i a g r a m M a n a g e r . S e r i a l i z a b l e D i a g r a m > < A d a p t e r   i : t y p e = " M e a s u r e D i a g r a m S a n d b o x A d a p t e r " > < T a b l e N a m e > T a b l e 1 0 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 5 < / K e y > < / D i a g r a m O b j e c t K e y > < D i a g r a m O b j e c t K e y > < K e y > M e a s u r e s \ C o u n t   o f   C o u n t r y   5 \ T a g I n f o \ F o r m u l a < / K e y > < / D i a g r a m O b j e c t K e y > < D i a g r a m O b j e c t K e y > < K e y > M e a s u r e s \ C o u n t   o f   C o u n t r y   5 \ T a g I n f o \ V a l u e < / K e y > < / D i a g r a m O b j e c t K e y > < D i a g r a m O b j e c t K e y > < K e y > M e a s u r e s \ D i s t i n c t   C o u n t   o f   C o u n t r y   4 < / K e y > < / D i a g r a m O b j e c t K e y > < D i a g r a m O b j e c t K e y > < K e y > M e a s u r e s \ D i s t i n c t   C o u n t   o f   C o u n t r y   4 \ T a g I n f o \ F o r m u l a < / K e y > < / D i a g r a m O b j e c t K e y > < D i a g r a m O b j e c t K e y > < K e y > M e a s u r e s \ D i s t i n c t   C o u n t   o f   C o u n t r y   4 \ T a g I n f o \ V a l u e 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 L i n k s \ & l t ; C o l u m n s \ C o u n t   o f   C o u n t r y   5 & g t ; - & l t ; M e a s u r e s \ C o u n t r y & g t ; < / K e y > < / D i a g r a m O b j e c t K e y > < D i a g r a m O b j e c t K e y > < K e y > L i n k s \ & l t ; C o l u m n s \ C o u n t   o f   C o u n t r y   5 & g t ; - & l t ; M e a s u r e s \ C o u n t r y & g t ; \ C O L U M N < / K e y > < / D i a g r a m O b j e c t K e y > < D i a g r a m O b j e c t K e y > < K e y > L i n k s \ & l t ; C o l u m n s \ C o u n t   o f   C o u n t r y   5 & g t ; - & l t ; M e a s u r e s \ C o u n t r y & g t ; \ M E A S U R E < / K e y > < / D i a g r a m O b j e c t K e y > < D i a g r a m O b j e c t K e y > < K e y > L i n k s \ & l t ; C o l u m n s \ D i s t i n c t   C o u n t   o f   C o u n t r y   4 & g t ; - & l t ; M e a s u r e s \ C o u n t r y & g t ; < / K e y > < / D i a g r a m O b j e c t K e y > < D i a g r a m O b j e c t K e y > < K e y > L i n k s \ & l t ; C o l u m n s \ D i s t i n c t   C o u n t   o f   C o u n t r y   4 & g t ; - & l t ; M e a s u r e s \ C o u n t r y & g t ; \ C O L U M N < / K e y > < / D i a g r a m O b j e c t K e y > < D i a g r a m O b j e c t K e y > < K e y > L i n k s \ & l t ; C o l u m n s \ D i s t i n c t   C o u n t   o f   C o u n t r y   4 & g t ; - & l t ; M e a s u r e s \ C o u n t r y & g t ; \ M E A S U R E 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 5 < / K e y > < / a : K e y > < a : V a l u e   i : t y p e = " M e a s u r e G r i d N o d e V i e w S t a t e " > < C o l u m n > 1 < / C o l u m n > < L a y e d O u t > t r u e < / L a y e d O u t > < W a s U I I n v i s i b l e > t r u e < / W a s U I I n v i s i b l e > < / a : V a l u e > < / a : K e y V a l u e O f D i a g r a m O b j e c t K e y a n y T y p e z b w N T n L X > < a : K e y V a l u e O f D i a g r a m O b j e c t K e y a n y T y p e z b w N T n L X > < a : K e y > < K e y > M e a s u r e s \ C o u n t   o f   C o u n t r y   5 \ T a g I n f o \ F o r m u l a < / K e y > < / a : K e y > < a : V a l u e   i : t y p e = " M e a s u r e G r i d V i e w S t a t e I D i a g r a m T a g A d d i t i o n a l I n f o " / > < / a : K e y V a l u e O f D i a g r a m O b j e c t K e y a n y T y p e z b w N T n L X > < a : K e y V a l u e O f D i a g r a m O b j e c t K e y a n y T y p e z b w N T n L X > < a : K e y > < K e y > M e a s u r e s \ C o u n t   o f   C o u n t r y   5 \ T a g I n f o \ V a l u e < / K e y > < / a : K e y > < a : V a l u e   i : t y p e = " M e a s u r e G r i d V i e w S t a t e I D i a g r a m T a g A d d i t i o n a l I n f o " / > < / a : K e y V a l u e O f D i a g r a m O b j e c t K e y a n y T y p e z b w N T n L X > < a : K e y V a l u e O f D i a g r a m O b j e c t K e y a n y T y p e z b w N T n L X > < a : K e y > < K e y > M e a s u r e s \ D i s t i n c t   C o u n t   o f   C o u n t r y   4 < / K e y > < / a : K e y > < a : V a l u e   i : t y p e = " M e a s u r e G r i d N o d e V i e w S t a t e " > < C o l u m n > 1 < / C o l u m n > < L a y e d O u t > t r u e < / L a y e d O u t > < R o w > 1 < / R o w > < W a s U I I n v i s i b l e > t r u e < / W a s U I I n v i s i b l e > < / a : V a l u e > < / a : K e y V a l u e O f D i a g r a m O b j e c t K e y a n y T y p e z b w N T n L X > < a : K e y V a l u e O f D i a g r a m O b j e c t K e y a n y T y p e z b w N T n L X > < a : K e y > < K e y > M e a s u r e s \ D i s t i n c t   C o u n t   o f   C o u n t r y   4 \ T a g I n f o \ F o r m u l a < / K e y > < / a : K e y > < a : V a l u e   i : t y p e = " M e a s u r e G r i d V i e w S t a t e I D i a g r a m T a g A d d i t i o n a l I n f o " / > < / a : K e y V a l u e O f D i a g r a m O b j e c t K e y a n y T y p e z b w N T n L X > < a : K e y V a l u e O f D i a g r a m O b j e c t K e y a n y T y p e z b w N T n L X > < a : K e y > < K e y > M e a s u r e s \ D i s t i n c t   C o u n t   o f   C o u n t r y   4 \ T a g I n f o \ V a l u e 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 C o l u m n s \ P a g e   N u m b e r < / K e y > < / a : K e y > < a : V a l u e   i : t y p e = " M e a s u r e G r i d N o d e V i e w S t a t e " > < C o l u m n > 5 < / C o l u m n > < L a y e d O u t > t r u e < / L a y e d O u t > < / a : V a l u e > < / a : K e y V a l u e O f D i a g r a m O b j e c t K e y a n y T y p e z b w N T n L X > < a : K e y V a l u e O f D i a g r a m O b j e c t K e y a n y T y p e z b w N T n L X > < a : K e y > < K e y > C o l u m n s \ A n n e x   I   o r   N o n - A n n e x   I < / K e y > < / a : K e y > < a : V a l u e   i : t y p e = " M e a s u r e G r i d N o d e V i e w S t a t e " > < C o l u m n > 6 < / C o l u m n > < L a y e d O u t > t r u e < / L a y e d O u t > < / a : V a l u e > < / a : K e y V a l u e O f D i a g r a m O b j e c t K e y a n y T y p e z b w N T n L X > < a : K e y V a l u e O f D i a g r a m O b j e c t K e y a n y T y p e z b w N T n L X > < a : K e y > < K e y > C o l u m n s \ I n c o m e   G r o u p < / K e y > < / a : K e y > < a : V a l u e   i : t y p e = " M e a s u r e G r i d N o d e V i e w S t a t e " > < C o l u m n > 7 < / C o l u m n > < L a y e d O u t > t r u e < / L a y e d O u t > < / a : V a l u e > < / a : K e y V a l u e O f D i a g r a m O b j e c t K e y a n y T y p e z b w N T n L X > < a : K e y V a l u e O f D i a g r a m O b j e c t K e y a n y T y p e z b w N T n L X > < a : K e y > < K e y > C o l u m n s \ R e g i o n < / K e y > < / a : K e y > < a : V a l u e   i : t y p e = " M e a s u r e G r i d N o d e V i e w S t a t e " > < C o l u m n > 8 < / C o l u m n > < L a y e d O u t > t r u e < / L a y e d O u t > < / a : V a l u e > < / a : K e y V a l u e O f D i a g r a m O b j e c t K e y a n y T y p e z b w N T n L X > < a : K e y V a l u e O f D i a g r a m O b j e c t K e y a n y T y p e z b w N T n L X > < a : K e y > < K e y > L i n k s \ & l t ; C o l u m n s \ C o u n t   o f   C o u n t r y   5 & g t ; - & l t ; M e a s u r e s \ C o u n t r y & g t ; < / K e y > < / a : K e y > < a : V a l u e   i : t y p e = " M e a s u r e G r i d V i e w S t a t e I D i a g r a m L i n k " / > < / a : K e y V a l u e O f D i a g r a m O b j e c t K e y a n y T y p e z b w N T n L X > < a : K e y V a l u e O f D i a g r a m O b j e c t K e y a n y T y p e z b w N T n L X > < a : K e y > < K e y > L i n k s \ & l t ; C o l u m n s \ C o u n t   o f   C o u n t r y   5 & g t ; - & l t ; M e a s u r e s \ C o u n t r y & g t ; \ C O L U M N < / K e y > < / a : K e y > < a : V a l u e   i : t y p e = " M e a s u r e G r i d V i e w S t a t e I D i a g r a m L i n k E n d p o i n t " / > < / a : K e y V a l u e O f D i a g r a m O b j e c t K e y a n y T y p e z b w N T n L X > < a : K e y V a l u e O f D i a g r a m O b j e c t K e y a n y T y p e z b w N T n L X > < a : K e y > < K e y > L i n k s \ & l t ; C o l u m n s \ C o u n t   o f   C o u n t r y   5 & g t ; - & l t ; M e a s u r e s \ C o u n t r y & g t ; \ M E A S U R E < / K e y > < / a : K e y > < a : V a l u e   i : t y p e = " M e a s u r e G r i d V i e w S t a t e I D i a g r a m L i n k E n d p o i n t " / > < / a : K e y V a l u e O f D i a g r a m O b j e c t K e y a n y T y p e z b w N T n L X > < a : K e y V a l u e O f D i a g r a m O b j e c t K e y a n y T y p e z b w N T n L X > < a : K e y > < K e y > L i n k s \ & l t ; C o l u m n s \ D i s t i n c t   C o u n t   o f   C o u n t r y   4 & g t ; - & l t ; M e a s u r e s \ C o u n t r y & g t ; < / K e y > < / a : K e y > < a : V a l u e   i : t y p e = " M e a s u r e G r i d V i e w S t a t e I D i a g r a m L i n k " / > < / a : K e y V a l u e O f D i a g r a m O b j e c t K e y a n y T y p e z b w N T n L X > < a : K e y V a l u e O f D i a g r a m O b j e c t K e y a n y T y p e z b w N T n L X > < a : K e y > < K e y > L i n k s \ & l t ; C o l u m n s \ D i s t i n c t   C o u n t   o f   C o u n t r y   4 & g t ; - & l t ; M e a s u r e s \ C o u n t r y & g t ; \ C O L U M N < / K e y > < / a : K e y > < a : V a l u e   i : t y p e = " M e a s u r e G r i d V i e w S t a t e I D i a g r a m L i n k E n d p o i n t " / > < / a : K e y V a l u e O f D i a g r a m O b j e c t K e y a n y T y p e z b w N T n L X > < a : K e y V a l u e O f D i a g r a m O b j e c t K e y a n y T y p e z b w N T n L X > < a : K e y > < K e y > L i n k s \ & l t ; C o l u m n s \ D i s t i n c t   C o u n t   o f   C o u n t r y   4 & g t ; - & l t ; M e a s u r e s \ C o u n t r y & g t ; \ M E A S U R E < / K e y > < / a : K e y > < a : V a l u e   i : t y p e = " M e a s u r e G r i d V i e w S t a t e I D i a g r a m L i n k E n d p o i n t " / > < / 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  C o d e < / K e y > < / D i a g r a m O b j e c t K e y > < D i a g r a m O b j e c t K e y > < K e y > C o l u m n s \ C o u n t r y < / K e y > < / D i a g r a m O b j e c t K e y > < D i a g r a m O b j e c t K e y > < K e y > C o l u m n s \ T y p e   o f   D o c u m e n t < / K e y > < / D i a g r a m O b j e c t K e y > < D i a g r a m O b j e c t K e y > < K e y > C o l u m n s \ P a r a m e t e r < / K e y > < / D i a g r a m O b j e c t K e y > < D i a g r a m O b j e c t K e y > < K e y > C o l u m n s \ C o n t e n t < / K e y > < / D i a g r a m O b j e c t K e y > < D i a g r a m O b j e c t K e y > < K e y > C o l u m n s \ B a c k e n d   s t a t u s < / K e y > < / D i a g r a m O b j e c t K e y > < D i a g r a m O b j e c t K e y > < K e y > C o l u m n s \ C u r r e n t < / K e y > < / D i a g r a m O b j e c t K e y > < D i a g r a m O b j e c t K e y > < K e y > C o l u m n s \ V e r s i o n   n u m b e r < / K e y > < / D i a g r a m O b j e c t K e y > < D i a g r a m O b j e c t K e y > < K e y > C o l u m n s \ C o m m e n t < / K e y > < / D i a g r a m O b j e c t K e y > < D i a g r a m O b j e c t K e y > < K e y > M e a s u r e s \ C o u n t   o f   C o u n t r y   6 < / K e y > < / D i a g r a m O b j e c t K e y > < D i a g r a m O b j e c t K e y > < K e y > M e a s u r e s \ C o u n t   o f   C o u n t r y   6 \ T a g I n f o \ F o r m u l a < / K e y > < / D i a g r a m O b j e c t K e y > < D i a g r a m O b j e c t K e y > < K e y > M e a s u r e s \ C o u n t   o f   C o u n t r y   6 \ T a g I n f o \ V a l u e < / K e y > < / D i a g r a m O b j e c t K e y > < D i a g r a m O b j e c t K e y > < K e y > M e a s u r e s \ D i s t i n c t   C o u n t   o f   C o u n t r y   6 < / K e y > < / D i a g r a m O b j e c t K e y > < D i a g r a m O b j e c t K e y > < K e y > M e a s u r e s \ D i s t i n c t   C o u n t   o f   C o u n t r y   6 \ T a g I n f o \ F o r m u l a < / K e y > < / D i a g r a m O b j e c t K e y > < D i a g r a m O b j e c t K e y > < K e y > M e a s u r e s \ D i s t i n c t   C o u n t   o f   C o u n t r y   6 \ T a g I n f o \ V a l u e < / K e y > < / D i a g r a m O b j e c t K e y > < D i a g r a m O b j e c t K e y > < K e y > L i n k s \ & l t ; C o l u m n s \ C o u n t   o f   C o u n t r y   6 & g t ; - & l t ; M e a s u r e s \ C o u n t r y & g t ; < / K e y > < / D i a g r a m O b j e c t K e y > < D i a g r a m O b j e c t K e y > < K e y > L i n k s \ & l t ; C o l u m n s \ C o u n t   o f   C o u n t r y   6 & g t ; - & l t ; M e a s u r e s \ C o u n t r y & g t ; \ C O L U M N < / K e y > < / D i a g r a m O b j e c t K e y > < D i a g r a m O b j e c t K e y > < K e y > L i n k s \ & l t ; C o l u m n s \ C o u n t   o f   C o u n t r y   6 & g t ; - & l t ; M e a s u r e s \ C o u n t r y & g t ; \ M E A S U R E < / K e y > < / D i a g r a m O b j e c t K e y > < D i a g r a m O b j e c t K e y > < K e y > L i n k s \ & l t ; C o l u m n s \ D i s t i n c t   C o u n t   o f   C o u n t r y   6 & g t ; - & l t ; M e a s u r e s \ C o u n t r y & g t ; < / K e y > < / D i a g r a m O b j e c t K e y > < D i a g r a m O b j e c t K e y > < K e y > L i n k s \ & l t ; C o l u m n s \ D i s t i n c t   C o u n t   o f   C o u n t r y   6 & g t ; - & l t ; M e a s u r e s \ C o u n t r y & g t ; \ C O L U M N < / K e y > < / D i a g r a m O b j e c t K e y > < D i a g r a m O b j e c t K e y > < K e y > L i n k s \ & l t ; C o l u m n s \ D i s t i n c t   C o u n t   o f   C o u n t r y   6 & g t ; - & l t ; M e a s u r e s \ C o u n t r y & g t ; \ M E A S U R E 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 C o l u m n s \ C o n t e n t < / K e y > < / a : K e y > < a : V a l u e   i : t y p e = " M e a s u r e G r i d N o d e V i e w S t a t e " > < C o l u m n > 4 < / C o l u m n > < L a y e d O u t > t r u e < / L a y e d O u t > < / a : V a l u e > < / a : K e y V a l u e O f D i a g r a m O b j e c t K e y a n y T y p e z b w N T n L X > < a : K e y V a l u e O f D i a g r a m O b j e c t K e y a n y T y p e z b w N T n L X > < a : K e y > < K e y > C o l u m n s \ B a c k e n d   s t a t u s < / K e y > < / a : K e y > < a : V a l u e   i : t y p e = " M e a s u r e G r i d N o d e V i e w S t a t e " > < C o l u m n > 5 < / C o l u m n > < L a y e d O u t > t r u e < / L a y e d O u t > < / a : V a l u e > < / a : K e y V a l u e O f D i a g r a m O b j e c t K e y a n y T y p e z b w N T n L X > < a : K e y V a l u e O f D i a g r a m O b j e c t K e y a n y T y p e z b w N T n L X > < a : K e y > < K e y > C o l u m n s \ C u r r e n t < / K e y > < / a : K e y > < a : V a l u e   i : t y p e = " M e a s u r e G r i d N o d e V i e w S t a t e " > < C o l u m n > 6 < / C o l u m n > < L a y e d O u t > t r u e < / L a y e d O u t > < / a : V a l u e > < / a : K e y V a l u e O f D i a g r a m O b j e c t K e y a n y T y p e z b w N T n L X > < a : K e y V a l u e O f D i a g r a m O b j e c t K e y a n y T y p e z b w N T n L X > < a : K e y > < K e y > C o l u m n s \ V e r s i o n   n u m b e r < / K e y > < / a : K e y > < a : V a l u e   i : t y p e = " M e a s u r e G r i d N o d e V i e w S t a t e " > < C o l u m n > 7 < / C o l u m n > < L a y e d O u t > t r u e < / L a y e d O u t > < / a : V a l u e > < / a : K e y V a l u e O f D i a g r a m O b j e c t K e y a n y T y p e z b w N T n L X > < a : K e y V a l u e O f D i a g r a m O b j e c t K e y a n y T y p e z b w N T n L X > < a : K e y > < K e y > C o l u m n s \ C o m m e n t < / K e y > < / a : K e y > < a : V a l u e   i : t y p e = " M e a s u r e G r i d N o d e V i e w S t a t e " > < C o l u m n > 8 < / C o l u m n > < L a y e d O u t > t r u e < / L a y e d O u t > < / a : V a l u e > < / a : K e y V a l u e O f D i a g r a m O b j e c t K e y a n y T y p e z b w N T n L X > < a : K e y V a l u e O f D i a g r a m O b j e c t K e y a n y T y p e z b w N T n L X > < a : K e y > < K e y > M e a s u r e s \ C o u n t   o f   C o u n t r y   6 < / K e y > < / a : K e y > < a : V a l u e   i : t y p e = " M e a s u r e G r i d N o d e V i e w S t a t e " > < C o l u m n > 1 < / C o l u m n > < L a y e d O u t > t r u e < / L a y e d O u t > < W a s U I I n v i s i b l e > t r u e < / W a s U I I n v i s i b l e > < / a : V a l u e > < / a : K e y V a l u e O f D i a g r a m O b j e c t K e y a n y T y p e z b w N T n L X > < a : K e y V a l u e O f D i a g r a m O b j e c t K e y a n y T y p e z b w N T n L X > < a : K e y > < K e y > M e a s u r e s \ C o u n t   o f   C o u n t r y   6 \ T a g I n f o \ F o r m u l a < / K e y > < / a : K e y > < a : V a l u e   i : t y p e = " M e a s u r e G r i d V i e w S t a t e I D i a g r a m T a g A d d i t i o n a l I n f o " / > < / a : K e y V a l u e O f D i a g r a m O b j e c t K e y a n y T y p e z b w N T n L X > < a : K e y V a l u e O f D i a g r a m O b j e c t K e y a n y T y p e z b w N T n L X > < a : K e y > < K e y > M e a s u r e s \ C o u n t   o f   C o u n t r y   6 \ T a g I n f o \ V a l u e < / K e y > < / a : K e y > < a : V a l u e   i : t y p e = " M e a s u r e G r i d V i e w S t a t e I D i a g r a m T a g A d d i t i o n a l I n f o " / > < / a : K e y V a l u e O f D i a g r a m O b j e c t K e y a n y T y p e z b w N T n L X > < a : K e y V a l u e O f D i a g r a m O b j e c t K e y a n y T y p e z b w N T n L X > < a : K e y > < K e y > M e a s u r e s \ D i s t i n c t   C o u n t   o f   C o u n t r y   6 < / K e y > < / a : K e y > < a : V a l u e   i : t y p e = " M e a s u r e G r i d N o d e V i e w S t a t e " > < C o l u m n > 1 < / C o l u m n > < L a y e d O u t > t r u e < / L a y e d O u t > < W a s U I I n v i s i b l e > t r u e < / W a s U I I n v i s i b l e > < / a : V a l u e > < / a : K e y V a l u e O f D i a g r a m O b j e c t K e y a n y T y p e z b w N T n L X > < a : K e y V a l u e O f D i a g r a m O b j e c t K e y a n y T y p e z b w N T n L X > < a : K e y > < K e y > M e a s u r e s \ D i s t i n c t   C o u n t   o f   C o u n t r y   6 \ T a g I n f o \ F o r m u l a < / K e y > < / a : K e y > < a : V a l u e   i : t y p e = " M e a s u r e G r i d V i e w S t a t e I D i a g r a m T a g A d d i t i o n a l I n f o " / > < / a : K e y V a l u e O f D i a g r a m O b j e c t K e y a n y T y p e z b w N T n L X > < a : K e y V a l u e O f D i a g r a m O b j e c t K e y a n y T y p e z b w N T n L X > < a : K e y > < K e y > M e a s u r e s \ D i s t i n c t   C o u n t   o f   C o u n t r y   6 \ T a g I n f o \ V a l u e < / K e y > < / a : K e y > < a : V a l u e   i : t y p e = " M e a s u r e G r i d V i e w S t a t e I D i a g r a m T a g A d d i t i o n a l I n f o " / > < / a : K e y V a l u e O f D i a g r a m O b j e c t K e y a n y T y p e z b w N T n L X > < a : K e y V a l u e O f D i a g r a m O b j e c t K e y a n y T y p e z b w N T n L X > < a : K e y > < K e y > L i n k s \ & l t ; C o l u m n s \ C o u n t   o f   C o u n t r y   6 & g t ; - & l t ; M e a s u r e s \ C o u n t r y & g t ; < / K e y > < / a : K e y > < a : V a l u e   i : t y p e = " M e a s u r e G r i d V i e w S t a t e I D i a g r a m L i n k " / > < / a : K e y V a l u e O f D i a g r a m O b j e c t K e y a n y T y p e z b w N T n L X > < a : K e y V a l u e O f D i a g r a m O b j e c t K e y a n y T y p e z b w N T n L X > < a : K e y > < K e y > L i n k s \ & l t ; C o l u m n s \ C o u n t   o f   C o u n t r y   6 & g t ; - & l t ; M e a s u r e s \ C o u n t r y & g t ; \ C O L U M N < / K e y > < / a : K e y > < a : V a l u e   i : t y p e = " M e a s u r e G r i d V i e w S t a t e I D i a g r a m L i n k E n d p o i n t " / > < / a : K e y V a l u e O f D i a g r a m O b j e c t K e y a n y T y p e z b w N T n L X > < a : K e y V a l u e O f D i a g r a m O b j e c t K e y a n y T y p e z b w N T n L X > < a : K e y > < K e y > L i n k s \ & l t ; C o l u m n s \ C o u n t   o f   C o u n t r y   6 & g t ; - & l t ; M e a s u r e s \ C o u n t r y & g t ; \ M E A S U R E < / K e y > < / a : K e y > < a : V a l u e   i : t y p e = " M e a s u r e G r i d V i e w S t a t e I D i a g r a m L i n k E n d p o i n t " / > < / a : K e y V a l u e O f D i a g r a m O b j e c t K e y a n y T y p e z b w N T n L X > < a : K e y V a l u e O f D i a g r a m O b j e c t K e y a n y T y p e z b w N T n L X > < a : K e y > < K e y > L i n k s \ & l t ; C o l u m n s \ D i s t i n c t   C o u n t   o f   C o u n t r y   6 & g t ; - & l t ; M e a s u r e s \ C o u n t r y & g t ; < / K e y > < / a : K e y > < a : V a l u e   i : t y p e = " M e a s u r e G r i d V i e w S t a t e I D i a g r a m L i n k " / > < / a : K e y V a l u e O f D i a g r a m O b j e c t K e y a n y T y p e z b w N T n L X > < a : K e y V a l u e O f D i a g r a m O b j e c t K e y a n y T y p e z b w N T n L X > < a : K e y > < K e y > L i n k s \ & l t ; C o l u m n s \ D i s t i n c t   C o u n t   o f   C o u n t r y   6 & g t ; - & l t ; M e a s u r e s \ C o u n t r y & g t ; \ C O L U M N < / K e y > < / a : K e y > < a : V a l u e   i : t y p e = " M e a s u r e G r i d V i e w S t a t e I D i a g r a m L i n k E n d p o i n t " / > < / a : K e y V a l u e O f D i a g r a m O b j e c t K e y a n y T y p e z b w N T n L X > < a : K e y V a l u e O f D i a g r a m O b j e c t K e y a n y T y p e z b w N T n L X > < a : K e y > < K e y > L i n k s \ & l t ; C o l u m n s \ D i s t i n c t   C o u n t   o f   C o u n t r y   6 & g t ; - & l t ; M e a s u r e s \ C o u n t r y & g t ; \ M E A S U R E < / K e y > < / a : K e y > < a : V a l u e   i : t y p e = " M e a s u r e G r i d V i e w S t a t e I D i a g r a m L i n k E n d p o i n t " / > < / 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  C o d e s < / K e y > < / D i a g r a m O b j e c t K e y > < D i a g r a m O b j e c t K e y > < K e y > M e a s u r e s \ C o u n t   o f   C o u n t r y   C o d e s \ T a g I n f o \ F o r m u l a < / K e y > < / D i a g r a m O b j e c t K e y > < D i a g r a m O b j e c t K e y > < K e y > M e a s u r e s \ C o u n t   o f   C o u n t r y   C o d e s \ T a g I n f o \ V a l u e < / K e y > < / D i a g r a m O b j e c t K e y > < D i a g r a m O b j e c t K e y > < K e y > M e a s u r e s \ C o u n t   o f   C o u n t r y   7 < / K e y > < / D i a g r a m O b j e c t K e y > < D i a g r a m O b j e c t K e y > < K e y > M e a s u r e s \ C o u n t   o f   C o u n t r y   7 \ T a g I n f o \ F o r m u l a < / K e y > < / D i a g r a m O b j e c t K e y > < D i a g r a m O b j e c t K e y > < K e y > M e a s u r e s \ C o u n t   o f   C o u n t r y   7 \ T a g I n f o \ V a l u e < / K e y > < / D i a g r a m O b j e c t K e y > < D i a g r a m O b j e c t K e y > < K e y > C o l u m n s \ C o u n t r y   C o d e s < / K e y > < / D i a g r a m O b j e c t K e y > < D i a g r a m O b j e c t K e y > < K e y > C o l u m n s \ C o u n t r y < / K e y > < / D i a g r a m O b j e c t K e y > < D i a g r a m O b j e c t K e y > < K e y > C o l u m n s \ A n n e x   I   o r   N o n - A n n e x   I < / K e y > < / D i a g r a m O b j e c t K e y > < D i a g r a m O b j e c t K e y > < K e y > C o l u m n s \ R e g i o n < / K e y > < / D i a g r a m O b j e c t K e y > < D i a g r a m O b j e c t K e y > < K e y > C o l u m n s \ I n c o m e   L e v e l   G r o u p < / K e y > < / D i a g r a m O b j e c t K e y > < D i a g r a m O b j e c t K e y > < K e y > C o l u m n s \ G 2 0 < / K e y > < / D i a g r a m O b j e c t K e y > < D i a g r a m O b j e c t K e y > < K e y > C o l u m n s \ G 7 < / K e y > < / D i a g r a m O b j e c t K e y > < D i a g r a m O b j e c t K e y > < K e y > C o l u m n s \ O E C D < / K e y > < / D i a g r a m O b j e c t K e y > < D i a g r a m O b j e c t K e y > < K e y > C o l u m n s \ E U 2 7 < / K e y > < / D i a g r a m O b j e c t K e y > < D i a g r a m O b j e c t K e y > < K e y > C o l u m n s \ D e c l a r a t i o n   o n   a c c e l e r a t i n g   t h e   t r a n s i t i o n   t o   1 0 0 %   z e r o   e m i s s i o n   c a r s   a n d   v a n s < / K e y > < / D i a g r a m O b j e c t K e y > < D i a g r a m O b j e c t K e y > < K e y > C o l u m n s \ B r e a k t h r o u g h   a g e n d a   -   r o a d   t r a n s p o r t < / K e y > < / D i a g r a m O b j e c t K e y > < D i a g r a m O b j e c t K e y > < K e y > C o l u m n s \ I n t e r n a t i o n a l   a v i a t i o n   c l i m a t e   a m b i t i o n   c o a l i t i o n < / K e y > < / D i a g r a m O b j e c t K e y > < D i a g r a m O b j e c t K e y > < K e y > C o l u m n s \ C l y d e b a n k   d e c l a r a t i o n   f o r   g r e e n   s h i p p i n g   c o r r i d o r s < / K e y > < / D i a g r a m O b j e c t K e y > < D i a g r a m O b j e c t K e y > < K e y > C o l u m n s \ M e m o r a n d u m   o f   u n d e r s t a n d i n g   o n   z e r o - e m i s s i o n   m e d i u m -   a n d   h e a v y - d u t y   v e h i c l e s < / K e y > < / D i a g r a m O b j e c t K e y > < D i a g r a m O b j e c t K e y > < K e y > C o l u m n s \ B e y o n d   o i l   a n d   g a s   a l l i a n c e < / K e y > < / D i a g r a m O b j e c t K e y > < D i a g r a m O b j e c t K e y > < K e y > C o l u m n s \ C h a r g e   f o r w a r d   t o   z e r o   e m i s s i o n s   t r a n s p o r t a t i o n < / K e y > < / D i a g r a m O b j e c t K e y > < D i a g r a m O b j e c t K e y > < K e y > L i n k s \ & l t ; C o l u m n s \ C o u n t   o f   C o u n t r y   C o d e s & g t ; - & l t ; M e a s u r e s \ C o u n t r y   C o d e s & g t ; < / K e y > < / D i a g r a m O b j e c t K e y > < D i a g r a m O b j e c t K e y > < K e y > L i n k s \ & l t ; C o l u m n s \ C o u n t   o f   C o u n t r y   C o d e s & g t ; - & l t ; M e a s u r e s \ C o u n t r y   C o d e s & g t ; \ C O L U M N < / K e y > < / D i a g r a m O b j e c t K e y > < D i a g r a m O b j e c t K e y > < K e y > L i n k s \ & l t ; C o l u m n s \ C o u n t   o f   C o u n t r y   C o d e s & g t ; - & l t ; M e a s u r e s \ C o u n t r y   C o d e s & g t ; \ M E A S U R E < / K e y > < / D i a g r a m O b j e c t K e y > < D i a g r a m O b j e c t K e y > < K e y > L i n k s \ & l t ; C o l u m n s \ C o u n t   o f   C o u n t r y   7 & g t ; - & l t ; M e a s u r e s \ C o u n t r y & g t ; < / K e y > < / D i a g r a m O b j e c t K e y > < D i a g r a m O b j e c t K e y > < K e y > L i n k s \ & l t ; C o l u m n s \ C o u n t   o f   C o u n t r y   7 & g t ; - & l t ; M e a s u r e s \ C o u n t r y & g t ; \ C O L U M N < / K e y > < / D i a g r a m O b j e c t K e y > < D i a g r a m O b j e c t K e y > < K e y > L i n k s \ & l t ; C o l u m n s \ C o u n t   o f   C o u n t r y   7 & g t ; - & l t ; M e a s u r e s \ C o u n t r y & g t ; \ M E A S U R E 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  C o d e s < / K e y > < / a : K e y > < a : V a l u e   i : t y p e = " M e a s u r e G r i d N o d e V i e w S t a t e " > < L a y e d O u t > t r u e < / L a y e d O u t > < W a s U I I n v i s i b l e > t r u e < / W a s U I I n v i s i b l e > < / a : V a l u e > < / a : K e y V a l u e O f D i a g r a m O b j e c t K e y a n y T y p e z b w N T n L X > < a : K e y V a l u e O f D i a g r a m O b j e c t K e y a n y T y p e z b w N T n L X > < a : K e y > < K e y > M e a s u r e s \ C o u n t   o f   C o u n t r y   C o d e s \ T a g I n f o \ F o r m u l a < / K e y > < / a : K e y > < a : V a l u e   i : t y p e = " M e a s u r e G r i d V i e w S t a t e I D i a g r a m T a g A d d i t i o n a l I n f o " / > < / a : K e y V a l u e O f D i a g r a m O b j e c t K e y a n y T y p e z b w N T n L X > < a : K e y V a l u e O f D i a g r a m O b j e c t K e y a n y T y p e z b w N T n L X > < a : K e y > < K e y > M e a s u r e s \ C o u n t   o f   C o u n t r y   C o d e s \ T a g I n f o \ V a l u e < / K e y > < / a : K e y > < a : V a l u e   i : t y p e = " M e a s u r e G r i d V i e w S t a t e I D i a g r a m T a g A d d i t i o n a l I n f o " / > < / a : K e y V a l u e O f D i a g r a m O b j e c t K e y a n y T y p e z b w N T n L X > < a : K e y V a l u e O f D i a g r a m O b j e c t K e y a n y T y p e z b w N T n L X > < a : K e y > < K e y > M e a s u r e s \ C o u n t   o f   C o u n t r y   7 < / K e y > < / a : K e y > < a : V a l u e   i : t y p e = " M e a s u r e G r i d N o d e V i e w S t a t e " > < C o l u m n > 1 < / C o l u m n > < L a y e d O u t > t r u e < / L a y e d O u t > < W a s U I I n v i s i b l e > t r u e < / W a s U I I n v i s i b l e > < / a : V a l u e > < / a : K e y V a l u e O f D i a g r a m O b j e c t K e y a n y T y p e z b w N T n L X > < a : K e y V a l u e O f D i a g r a m O b j e c t K e y a n y T y p e z b w N T n L X > < a : K e y > < K e y > M e a s u r e s \ C o u n t   o f   C o u n t r y   7 \ T a g I n f o \ F o r m u l a < / K e y > < / a : K e y > < a : V a l u e   i : t y p e = " M e a s u r e G r i d V i e w S t a t e I D i a g r a m T a g A d d i t i o n a l I n f o " / > < / a : K e y V a l u e O f D i a g r a m O b j e c t K e y a n y T y p e z b w N T n L X > < a : K e y V a l u e O f D i a g r a m O b j e c t K e y a n y T y p e z b w N T n L X > < a : K e y > < K e y > M e a s u r e s \ C o u n t   o f   C o u n t r y   7 \ T a g I n f o \ V a l u e < / K e y > < / a : K e y > < a : V a l u e   i : t y p e = " M e a s u r e G r i d V i e w S t a t e I D i a g r a m T a g A d d i t i o n a l I n f o " / > < / a : K e y V a l u e O f D i a g r a m O b j e c t K e y a n y T y p e z b w N T n L X > < a : K e y V a l u e O f D i a g r a m O b j e c t K e y a n y T y p e z b w N T n L X > < a : K e y > < K e y > C o l u m n s \ C o u n t r y   C o d e s < / 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 C o l u m n s \ A n n e x   I   o r   N o n - A n n e x   I < / K e y > < / a : K e y > < a : V a l u e   i : t y p e = " M e a s u r e G r i d N o d e V i e w S t a t e " > < C o l u m n > 2 < / C o l u m n > < L a y e d O u t > t r u e < / L a y e d O u t > < / a : V a l u e > < / a : K e y V a l u e O f D i a g r a m O b j e c t K e y a n y T y p e z b w N T n L X > < a : K e y V a l u e O f D i a g r a m O b j e c t K e y a n y T y p e z b w N T n L X > < a : K e y > < K e y > C o l u m n s \ R e g i o n < / K e y > < / a : K e y > < a : V a l u e   i : t y p e = " M e a s u r e G r i d N o d e V i e w S t a t e " > < C o l u m n > 3 < / C o l u m n > < L a y e d O u t > t r u e < / L a y e d O u t > < / a : V a l u e > < / a : K e y V a l u e O f D i a g r a m O b j e c t K e y a n y T y p e z b w N T n L X > < a : K e y V a l u e O f D i a g r a m O b j e c t K e y a n y T y p e z b w N T n L X > < a : K e y > < K e y > C o l u m n s \ I n c o m e   L e v e l   G r o u p < / K e y > < / a : K e y > < a : V a l u e   i : t y p e = " M e a s u r e G r i d N o d e V i e w S t a t e " > < C o l u m n > 4 < / C o l u m n > < L a y e d O u t > t r u e < / L a y e d O u t > < / a : V a l u e > < / a : K e y V a l u e O f D i a g r a m O b j e c t K e y a n y T y p e z b w N T n L X > < a : K e y V a l u e O f D i a g r a m O b j e c t K e y a n y T y p e z b w N T n L X > < a : K e y > < K e y > C o l u m n s \ G 2 0 < / K e y > < / a : K e y > < a : V a l u e   i : t y p e = " M e a s u r e G r i d N o d e V i e w S t a t e " > < C o l u m n > 5 < / C o l u m n > < L a y e d O u t > t r u e < / L a y e d O u t > < / a : V a l u e > < / a : K e y V a l u e O f D i a g r a m O b j e c t K e y a n y T y p e z b w N T n L X > < a : K e y V a l u e O f D i a g r a m O b j e c t K e y a n y T y p e z b w N T n L X > < a : K e y > < K e y > C o l u m n s \ G 7 < / K e y > < / a : K e y > < a : V a l u e   i : t y p e = " M e a s u r e G r i d N o d e V i e w S t a t e " > < C o l u m n > 6 < / C o l u m n > < L a y e d O u t > t r u e < / L a y e d O u t > < / a : V a l u e > < / a : K e y V a l u e O f D i a g r a m O b j e c t K e y a n y T y p e z b w N T n L X > < a : K e y V a l u e O f D i a g r a m O b j e c t K e y a n y T y p e z b w N T n L X > < a : K e y > < K e y > C o l u m n s \ O E C D < / K e y > < / a : K e y > < a : V a l u e   i : t y p e = " M e a s u r e G r i d N o d e V i e w S t a t e " > < C o l u m n > 7 < / C o l u m n > < L a y e d O u t > t r u e < / L a y e d O u t > < / a : V a l u e > < / a : K e y V a l u e O f D i a g r a m O b j e c t K e y a n y T y p e z b w N T n L X > < a : K e y V a l u e O f D i a g r a m O b j e c t K e y a n y T y p e z b w N T n L X > < a : K e y > < K e y > C o l u m n s \ E U 2 7 < / K e y > < / a : K e y > < a : V a l u e   i : t y p e = " M e a s u r e G r i d N o d e V i e w S t a t e " > < C o l u m n > 8 < / C o l u m n > < L a y e d O u t > t r u e < / L a y e d O u t > < / a : V a l u e > < / a : K e y V a l u e O f D i a g r a m O b j e c t K e y a n y T y p e z b w N T n L X > < a : K e y V a l u e O f D i a g r a m O b j e c t K e y a n y T y p e z b w N T n L X > < a : K e y > < K e y > C o l u m n s \ D e c l a r a t i o n   o n   a c c e l e r a t i n g   t h e   t r a n s i t i o n   t o   1 0 0 %   z e r o   e m i s s i o n   c a r s   a n d   v a n s < / K e y > < / a : K e y > < a : V a l u e   i : t y p e = " M e a s u r e G r i d N o d e V i e w S t a t e " > < C o l u m n > 9 < / C o l u m n > < L a y e d O u t > t r u e < / L a y e d O u t > < / a : V a l u e > < / a : K e y V a l u e O f D i a g r a m O b j e c t K e y a n y T y p e z b w N T n L X > < a : K e y V a l u e O f D i a g r a m O b j e c t K e y a n y T y p e z b w N T n L X > < a : K e y > < K e y > C o l u m n s \ B r e a k t h r o u g h   a g e n d a   -   r o a d   t r a n s p o r t < / K e y > < / a : K e y > < a : V a l u e   i : t y p e = " M e a s u r e G r i d N o d e V i e w S t a t e " > < C o l u m n > 1 0 < / C o l u m n > < L a y e d O u t > t r u e < / L a y e d O u t > < / a : V a l u e > < / a : K e y V a l u e O f D i a g r a m O b j e c t K e y a n y T y p e z b w N T n L X > < a : K e y V a l u e O f D i a g r a m O b j e c t K e y a n y T y p e z b w N T n L X > < a : K e y > < K e y > C o l u m n s \ I n t e r n a t i o n a l   a v i a t i o n   c l i m a t e   a m b i t i o n   c o a l i t i o n < / K e y > < / a : K e y > < a : V a l u e   i : t y p e = " M e a s u r e G r i d N o d e V i e w S t a t e " > < C o l u m n > 1 1 < / C o l u m n > < L a y e d O u t > t r u e < / L a y e d O u t > < / a : V a l u e > < / a : K e y V a l u e O f D i a g r a m O b j e c t K e y a n y T y p e z b w N T n L X > < a : K e y V a l u e O f D i a g r a m O b j e c t K e y a n y T y p e z b w N T n L X > < a : K e y > < K e y > C o l u m n s \ C l y d e b a n k   d e c l a r a t i o n   f o r   g r e e n   s h i p p i n g   c o r r i d o r s < / K e y > < / a : K e y > < a : V a l u e   i : t y p e = " M e a s u r e G r i d N o d e V i e w S t a t e " > < C o l u m n > 1 2 < / C o l u m n > < L a y e d O u t > t r u e < / L a y e d O u t > < / a : V a l u e > < / a : K e y V a l u e O f D i a g r a m O b j e c t K e y a n y T y p e z b w N T n L X > < a : K e y V a l u e O f D i a g r a m O b j e c t K e y a n y T y p e z b w N T n L X > < a : K e y > < K e y > C o l u m n s \ M e m o r a n d u m   o f   u n d e r s t a n d i n g   o n   z e r o - e m i s s i o n   m e d i u m -   a n d   h e a v y - d u t y   v e h i c l e s < / K e y > < / a : K e y > < a : V a l u e   i : t y p e = " M e a s u r e G r i d N o d e V i e w S t a t e " > < C o l u m n > 1 3 < / C o l u m n > < L a y e d O u t > t r u e < / L a y e d O u t > < / a : V a l u e > < / a : K e y V a l u e O f D i a g r a m O b j e c t K e y a n y T y p e z b w N T n L X > < a : K e y V a l u e O f D i a g r a m O b j e c t K e y a n y T y p e z b w N T n L X > < a : K e y > < K e y > C o l u m n s \ B e y o n d   o i l   a n d   g a s   a l l i a n c e < / K e y > < / a : K e y > < a : V a l u e   i : t y p e = " M e a s u r e G r i d N o d e V i e w S t a t e " > < C o l u m n > 1 4 < / C o l u m n > < L a y e d O u t > t r u e < / L a y e d O u t > < / a : V a l u e > < / a : K e y V a l u e O f D i a g r a m O b j e c t K e y a n y T y p e z b w N T n L X > < a : K e y V a l u e O f D i a g r a m O b j e c t K e y a n y T y p e z b w N T n L X > < a : K e y > < K e y > C o l u m n s \ C h a r g e   f o r w a r d   t o   z e r o   e m i s s i o n s   t r a n s p o r t a t i o n < / K e y > < / a : K e y > < a : V a l u e   i : t y p e = " M e a s u r e G r i d N o d e V i e w S t a t e " > < C o l u m n > 1 5 < / C o l u m n > < L a y e d O u t > t r u e < / L a y e d O u t > < / a : V a l u e > < / a : K e y V a l u e O f D i a g r a m O b j e c t K e y a n y T y p e z b w N T n L X > < a : K e y V a l u e O f D i a g r a m O b j e c t K e y a n y T y p e z b w N T n L X > < a : K e y > < K e y > L i n k s \ & l t ; C o l u m n s \ C o u n t   o f   C o u n t r y   C o d e s & g t ; - & l t ; M e a s u r e s \ C o u n t r y   C o d e s & g t ; < / K e y > < / a : K e y > < a : V a l u e   i : t y p e = " M e a s u r e G r i d V i e w S t a t e I D i a g r a m L i n k " / > < / a : K e y V a l u e O f D i a g r a m O b j e c t K e y a n y T y p e z b w N T n L X > < a : K e y V a l u e O f D i a g r a m O b j e c t K e y a n y T y p e z b w N T n L X > < a : K e y > < K e y > L i n k s \ & l t ; C o l u m n s \ C o u n t   o f   C o u n t r y   C o d e s & g t ; - & l t ; M e a s u r e s \ C o u n t r y   C o d e s & g t ; \ C O L U M N < / K e y > < / a : K e y > < a : V a l u e   i : t y p e = " M e a s u r e G r i d V i e w S t a t e I D i a g r a m L i n k E n d p o i n t " / > < / a : K e y V a l u e O f D i a g r a m O b j e c t K e y a n y T y p e z b w N T n L X > < a : K e y V a l u e O f D i a g r a m O b j e c t K e y a n y T y p e z b w N T n L X > < a : K e y > < K e y > L i n k s \ & l t ; C o l u m n s \ C o u n t   o f   C o u n t r y   C o d e s & g t ; - & l t ; M e a s u r e s \ C o u n t r y   C o d e s & g t ; \ M E A S U R E < / K e y > < / a : K e y > < a : V a l u e   i : t y p e = " M e a s u r e G r i d V i e w S t a t e I D i a g r a m L i n k E n d p o i n t " / > < / a : K e y V a l u e O f D i a g r a m O b j e c t K e y a n y T y p e z b w N T n L X > < a : K e y V a l u e O f D i a g r a m O b j e c t K e y a n y T y p e z b w N T n L X > < a : K e y > < K e y > L i n k s \ & l t ; C o l u m n s \ C o u n t   o f   C o u n t r y   7 & g t ; - & l t ; M e a s u r e s \ C o u n t r y & g t ; < / K e y > < / a : K e y > < a : V a l u e   i : t y p e = " M e a s u r e G r i d V i e w S t a t e I D i a g r a m L i n k " / > < / a : K e y V a l u e O f D i a g r a m O b j e c t K e y a n y T y p e z b w N T n L X > < a : K e y V a l u e O f D i a g r a m O b j e c t K e y a n y T y p e z b w N T n L X > < a : K e y > < K e y > L i n k s \ & l t ; C o l u m n s \ C o u n t   o f   C o u n t r y   7 & g t ; - & l t ; M e a s u r e s \ C o u n t r y & g t ; \ C O L U M N < / K e y > < / a : K e y > < a : V a l u e   i : t y p e = " M e a s u r e G r i d V i e w S t a t e I D i a g r a m L i n k E n d p o i n t " / > < / a : K e y V a l u e O f D i a g r a m O b j e c t K e y a n y T y p e z b w N T n L X > < a : K e y V a l u e O f D i a g r a m O b j e c t K e y a n y T y p e z b w N T n L X > < a : K e y > < K e y > L i n k s \ & l t ; C o l u m n s \ C o u n t   o f   C o u n t r y   7 & g t ; - & l t ; M e a s u r e s \ C o u n t r y & g t ; \ M E A S U R E < / K e y > < / a : K e y > < a : V a l u e   i : t y p e = " M e a s u r e G r i d V i e w S t a t e I D i a g r a m L i n k E n d p o i n t " / > < / a : K e y V a l u e O f D i a g r a m O b j e c t K e y a n y T y p e z b w N T n L X > < / V i e w S t a t e s > < / D i a g r a m M a n a g e r . S e r i a l i z a b l e D i a g r a m > < D i a g r a m M a n a g e r . S e r i a l i z a b l e D i a g r a m > < A d a p t e r   i : t y p e = " M e a s u r e D i a g r a m S a n d b o x A d a p t e r " > < T a b l e N a m e > T a b l e 8 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 C o u n t r y < / K e y > < / D i a g r a m O b j e c t K e y > < D i a g r a m O b j e c t K e y > < K e y > M e a s u r e s \ C o u n t   o f   C o u n t r y \ T a g I n f o \ F o r m u l a < / K e y > < / D i a g r a m O b j e c t K e y > < D i a g r a m O b j e c t K e y > < K e y > M e a s u r e s \ C o u n t   o f   C o u n t r y \ T a g I n f o \ V a l u e < / K e y > < / D i a g r a m O b j e c t K e y > < D i a g r a m O b j e c t K e y > < K e y > M e a s u r e s \ C o u n t   o f   R a i l < / K e y > < / D i a g r a m O b j e c t K e y > < D i a g r a m O b j e c t K e y > < K e y > M e a s u r e s \ C o u n t   o f   R a i l \ T a g I n f o \ F o r m u l a < / K e y > < / D i a g r a m O b j e c t K e y > < D i a g r a m O b j e c t K e y > < K e y > M e a s u r e s \ C o u n t   o f   R a i l \ T a g I n f o \ V a l u e < / K e y > < / D i a g r a m O b j e c t K e y > < D i a g r a m O b j e c t K e y > < K e y > M e a s u r e s \ C o u n t   o f   H e a v y   r a i l < / K e y > < / D i a g r a m O b j e c t K e y > < D i a g r a m O b j e c t K e y > < K e y > M e a s u r e s \ C o u n t   o f   H e a v y   r a i l \ T a g I n f o \ F o r m u l a < / K e y > < / D i a g r a m O b j e c t K e y > < D i a g r a m O b j e c t K e y > < K e y > M e a s u r e s \ C o u n t   o f   H e a v y   r a i l \ T a g I n f o \ V a l u e < / K e y > < / D i a g r a m O b j e c t K e y > < D i a g r a m O b j e c t K e y > < K e y > M e a s u r e s \ C o u n t   o f   W a t e r < / K e y > < / D i a g r a m O b j e c t K e y > < D i a g r a m O b j e c t K e y > < K e y > M e a s u r e s \ C o u n t   o f   W a t e r \ T a g I n f o \ F o r m u l a < / K e y > < / D i a g r a m O b j e c t K e y > < D i a g r a m O b j e c t K e y > < K e y > M e a s u r e s \ C o u n t   o f   W a t e r \ T a g I n f o \ V a l u e < / K e y > < / D i a g r a m O b j e c t K e y > < D i a g r a m O b j e c t K e y > < K e y > M e a s u r e s \ C o u n t   o f   C o a s t a l   s h i p p i n g < / K e y > < / D i a g r a m O b j e c t K e y > < D i a g r a m O b j e c t K e y > < K e y > M e a s u r e s \ C o u n t   o f   C o a s t a l   s h i p p i n g \ T a g I n f o \ F o r m u l a < / K e y > < / D i a g r a m O b j e c t K e y > < D i a g r a m O b j e c t K e y > < K e y > M e a s u r e s \ C o u n t   o f   C o a s t a l   s h i p p i n g \ T a g I n f o \ V a l u e < / K e y > < / D i a g r a m O b j e c t K e y > < D i a g r a m O b j e c t K e y > < K e y > M e a s u r e s \ C o u n t   o f   I n l a n d   s h i p p i n g < / K e y > < / D i a g r a m O b j e c t K e y > < D i a g r a m O b j e c t K e y > < K e y > M e a s u r e s \ C o u n t   o f   I n l a n d   s h i p p i n g \ T a g I n f o \ F o r m u l a < / K e y > < / D i a g r a m O b j e c t K e y > < D i a g r a m O b j e c t K e y > < K e y > M e a s u r e s \ C o u n t   o f   I n l a n d   s h i p p i n g \ T a g I n f o \ V a l u e < / K e y > < / D i a g r a m O b j e c t K e y > < D i a g r a m O b j e c t K e y > < K e y > M e a s u r e s \ C o u n t   o f   I n t e r n a t i o n a l   m a r i t i m e < / K e y > < / D i a g r a m O b j e c t K e y > < D i a g r a m O b j e c t K e y > < K e y > M e a s u r e s \ C o u n t   o f   I n t e r n a t i o n a l   m a r i t i m e \ T a g I n f o \ F o r m u l a < / K e y > < / D i a g r a m O b j e c t K e y > < D i a g r a m O b j e c t K e y > < K e y > M e a s u r e s \ C o u n t   o f   I n t e r n a t i o n a l   m a r i t i m e \ T a g I n f o \ V a l u e < / K e y > < / D i a g r a m O b j e c t K e y > < D i a g r a m O b j e c t K e y > < K e y > M e a s u r e s \ C o u n t   o f   R o a d < / K e y > < / D i a g r a m O b j e c t K e y > < D i a g r a m O b j e c t K e y > < K e y > M e a s u r e s \ C o u n t   o f   R o a d \ T a g I n f o \ F o r m u l a < / K e y > < / D i a g r a m O b j e c t K e y > < D i a g r a m O b j e c t K e y > < K e y > M e a s u r e s \ C o u n t   o f   R o a d \ T a g I n f o \ V a l u e < / K e y > < / D i a g r a m O b j e c t K e y > < D i a g r a m O b j e c t K e y > < K e y > M e a s u r e s \ D i s t i n c t   C o u n t   o f   C o u n t r y   3 < / K e y > < / D i a g r a m O b j e c t K e y > < D i a g r a m O b j e c t K e y > < K e y > M e a s u r e s \ D i s t i n c t   C o u n t   o f   C o u n t r y   3 \ T a g I n f o \ F o r m u l a < / K e y > < / D i a g r a m O b j e c t K e y > < D i a g r a m O b j e c t K e y > < K e y > M e a s u r e s \ D i s t i n c t   C o u n t   o f   C o u n t r y   3 \ T a g I n f o \ V a l u e < / K e y > < / D i a g r a m O b j e c t K e y > < D i a g r a m O b j e c t K e y > < K e y > M e a s u r e s \ C o u n t   o f   C o u n t r y   C o d e   2 < / K e y > < / D i a g r a m O b j e c t K e y > < D i a g r a m O b j e c t K e y > < K e y > M e a s u r e s \ C o u n t   o f   C o u n t r y   C o d e   2 \ T a g I n f o \ F o r m u l a < / K e y > < / D i a g r a m O b j e c t K e y > < D i a g r a m O b j e c t K e y > < K e y > M e a s u r e s \ C o u n t   o f   C o u n t r y   C o d e   2 \ T a g I n f o \ V a l u e < / K e y > < / D i a g r a m O b j e c t K e y > < D i a g r a m O b j e c t K e y > < K e y > M e a s u r e s \ D i s t i n c t   C o u n t   o f   C o u n t r y   C o d e   2 < / K e y > < / D i a g r a m O b j e c t K e y > < D i a g r a m O b j e c t K e y > < K e y > M e a s u r e s \ D i s t i n c t   C o u n t   o f   C o u n t r y   C o d e   2 \ T a g I n f o \ F o r m u l a < / K e y > < / D i a g r a m O b j e c t K e y > < D i a g r a m O b j e c t K e y > < K e y > M e a s u r e s \ D i s t i n c t   C o u n t   o f   C o u n t r y   C o d e   2 \ T a g I n f o \ V a l u e < / K e y > < / D i a g r a m O b j e c t K e y > < D i a g r a m O b j e c t K e y > < K e y > C o l u m n s \ C o u n t r y   C o d e < / K e y > < / D i a g r a m O b j e c t K e y > < D i a g r a m O b j e c t K e y > < K e y > C o l u m n s \ C o u n t r y < / K e y > < / D i a g r a m O b j e c t K e y > < D i a g r a m O b j e c t K e y > < K e y > C o l u m n s \ T y p e   o f   D o c u m e n t < / K e y > < / D i a g r a m O b j e c t K e y > < D i a g r a m O b j e c t K e y > < K e y > C o l u m n s \ P a r a m e t e r < / K e y > < / D i a g r a m O b j e c t K e y > < D i a g r a m O b j e c t K e y > < K e y > C o l u m n s \ Q u o t e < / K e y > < / D i a g r a m O b j e c t K e y > < D i a g r a m O b j e c t K e y > < K e y > C o l u m n s \ A - S - I < / K e y > < / D i a g r a m O b j e c t K e y > < D i a g r a m O b j e c t K e y > < K e y > C o l u m n s \ P a g e   N u m b e r < / K e y > < / D i a g r a m O b j e c t K e y > < D i a g r a m O b j e c t K e y > < K e y > C o l u m n s \ N o t   d e f i n e d < / K e y > < / D i a g r a m O b j e c t K e y > < D i a g r a m O b j e c t K e y > < K e y > C o l u m n s \ A c t i v e   m o b i l i t y < / K e y > < / D i a g r a m O b j e c t K e y > < D i a g r a m O b j e c t K e y > < K e y > C o l u m n s \ W a l k i n g < / K e y > < / D i a g r a m O b j e c t K e y > < D i a g r a m O b j e c t K e y > < K e y > C o l u m n s \ C y c l i n g < / K e y > < / D i a g r a m O b j e c t K e y > < D i a g r a m O b j e c t K e y > < K e y > C o l u m n s \ R o a d < / K e y > < / D i a g r a m O b j e c t K e y > < D i a g r a m O b j e c t K e y > < K e y > C o l u m n s \ T w o - / T h r e e - w h e e l e r s < / K e y > < / D i a g r a m O b j e c t K e y > < D i a g r a m O b j e c t K e y > < K e y > C o l u m n s \ C a r s < / K e y > < / D i a g r a m O b j e c t K e y > < D i a g r a m O b j e c t K e y > < K e y > C o l u m n s \ P r i v a t e   c a r s < / K e y > < / D i a g r a m O b j e c t K e y > < D i a g r a m O b j e c t K e y > < K e y > C o l u m n s \ T a x i s < / K e y > < / D i a g r a m O b j e c t K e y > < D i a g r a m O b j e c t K e y > < K e y > C o l u m n s \ T r u c k < / K e y > < / D i a g r a m O b j e c t K e y > < D i a g r a m O b j e c t K e y > < K e y > C o l u m n s \ B u s < / K e y > < / D i a g r a m O b j e c t K e y > < D i a g r a m O b j e c t K e y > < K e y > C o l u m n s \ R a i l < / K e y > < / D i a g r a m O b j e c t K e y > < D i a g r a m O b j e c t K e y > < K e y > C o l u m n s \ H e a v y   r a i l < / K e y > < / D i a g r a m O b j e c t K e y > < D i a g r a m O b j e c t K e y > < K e y > C o l u m n s \ H i g h - s p e e d   r a i l < / K e y > < / D i a g r a m O b j e c t K e y > < D i a g r a m O b j e c t K e y > < K e y > C o l u m n s \ T r a n s i t   r a i l < / K e y > < / D i a g r a m O b j e c t K e y > < D i a g r a m O b j e c t K e y > < K e y > C o l u m n s \ W a t e r < / K e y > < / D i a g r a m O b j e c t K e y > < D i a g r a m O b j e c t K e y > < K e y > C o l u m n s \ C o a s t a l   s h i p p i n g < / K e y > < / D i a g r a m O b j e c t K e y > < D i a g r a m O b j e c t K e y > < K e y > C o l u m n s \ I n l a n d   s h i p p i n g < / K e y > < / D i a g r a m O b j e c t K e y > < D i a g r a m O b j e c t K e y > < K e y > C o l u m n s \ I n t e r n a t i o n a l   m a r i t i m e < / K e y > < / D i a g r a m O b j e c t K e y > < D i a g r a m O b j e c t K e y > < K e y > C o l u m n s \ A v i a t i o n < / K e y > < / D i a g r a m O b j e c t K e y > < D i a g r a m O b j e c t K e y > < K e y > C o l u m n s \ N o t   d e f i n e d 2 < / K e y > < / D i a g r a m O b j e c t K e y > < D i a g r a m O b j e c t K e y > < K e y > C o l u m n s \ U r b a n < / K e y > < / D i a g r a m O b j e c t K e y > < D i a g r a m O b j e c t K e y > < K e y > C o l u m n s \ R u r a l < / K e y > < / D i a g r a m O b j e c t K e y > < D i a g r a m O b j e c t K e y > < K e y > C o l u m n s \ I n t e r - c i t y < / K e y > < / D i a g r a m O b j e c t K e y > < D i a g r a m O b j e c t K e y > < K e y > C o l u m n s \ A c t i v i t y   t y p e < / 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 C o l u m n s \ C a t e g o r y < / K e y > < / D i a g r a m O b j e c t K e y > < D i a g r a m O b j e c t K e y > < K e y > C o l u m n s \ H i g h - l e v e l   c a t e g o r y < / K e y > < / D i a g r a m O b j e c t K e y > < D i a g r a m O b j e c t K e y > < K e y > C o l u m n s \ I n d i c a t o r < / K e y > < / D i a g r a m O b j e c t K e y > < D i a g r a m O b j e c t K e y > < K e y > L i n k s \ & l t ; C o l u m n s \ C o u n t   o f   C o u n t r y & g t ; - & l t ; M e a s u r e s \ C o u n t r y & g t ; < / K e y > < / D i a g r a m O b j e c t K e y > < D i a g r a m O b j e c t K e y > < K e y > L i n k s \ & l t ; C o l u m n s \ C o u n t   o f   C o u n t r y & g t ; - & l t ; M e a s u r e s \ C o u n t r y & g t ; \ C O L U M N < / K e y > < / D i a g r a m O b j e c t K e y > < D i a g r a m O b j e c t K e y > < K e y > L i n k s \ & l t ; C o l u m n s \ C o u n t   o f   C o u n t r y & g t ; - & l t ; M e a s u r e s \ C o u n t r y & g t ; \ M E A S U R E < / K e y > < / D i a g r a m O b j e c t K e y > < D i a g r a m O b j e c t K e y > < K e y > L i n k s \ & l t ; C o l u m n s \ C o u n t   o f   R a i l & g t ; - & l t ; M e a s u r e s \ R a i l & g t ; < / K e y > < / D i a g r a m O b j e c t K e y > < D i a g r a m O b j e c t K e y > < K e y > L i n k s \ & l t ; C o l u m n s \ C o u n t   o f   R a i l & g t ; - & l t ; M e a s u r e s \ R a i l & g t ; \ C O L U M N < / K e y > < / D i a g r a m O b j e c t K e y > < D i a g r a m O b j e c t K e y > < K e y > L i n k s \ & l t ; C o l u m n s \ C o u n t   o f   R a i l & g t ; - & l t ; M e a s u r e s \ R a i l & g t ; \ M E A S U R E < / K e y > < / D i a g r a m O b j e c t K e y > < D i a g r a m O b j e c t K e y > < K e y > L i n k s \ & l t ; C o l u m n s \ C o u n t   o f   H e a v y   r a i l & g t ; - & l t ; M e a s u r e s \ H e a v y   r a i l & g t ; < / K e y > < / D i a g r a m O b j e c t K e y > < D i a g r a m O b j e c t K e y > < K e y > L i n k s \ & l t ; C o l u m n s \ C o u n t   o f   H e a v y   r a i l & g t ; - & l t ; M e a s u r e s \ H e a v y   r a i l & g t ; \ C O L U M N < / K e y > < / D i a g r a m O b j e c t K e y > < D i a g r a m O b j e c t K e y > < K e y > L i n k s \ & l t ; C o l u m n s \ C o u n t   o f   H e a v y   r a i l & g t ; - & l t ; M e a s u r e s \ H e a v y   r a i l & g t ; \ M E A S U R E < / K e y > < / D i a g r a m O b j e c t K e y > < D i a g r a m O b j e c t K e y > < K e y > L i n k s \ & l t ; C o l u m n s \ C o u n t   o f   W a t e r & g t ; - & l t ; M e a s u r e s \ W a t e r & g t ; < / K e y > < / D i a g r a m O b j e c t K e y > < D i a g r a m O b j e c t K e y > < K e y > L i n k s \ & l t ; C o l u m n s \ C o u n t   o f   W a t e r & g t ; - & l t ; M e a s u r e s \ W a t e r & g t ; \ C O L U M N < / K e y > < / D i a g r a m O b j e c t K e y > < D i a g r a m O b j e c t K e y > < K e y > L i n k s \ & l t ; C o l u m n s \ C o u n t   o f   W a t e r & g t ; - & l t ; M e a s u r e s \ W a t e r & g t ; \ M E A S U R E < / K e y > < / D i a g r a m O b j e c t K e y > < D i a g r a m O b j e c t K e y > < K e y > L i n k s \ & l t ; C o l u m n s \ C o u n t   o f   C o a s t a l   s h i p p i n g & g t ; - & l t ; M e a s u r e s \ C o a s t a l   s h i p p i n g & g t ; < / K e y > < / D i a g r a m O b j e c t K e y > < D i a g r a m O b j e c t K e y > < K e y > L i n k s \ & l t ; C o l u m n s \ C o u n t   o f   C o a s t a l   s h i p p i n g & g t ; - & l t ; M e a s u r e s \ C o a s t a l   s h i p p i n g & g t ; \ C O L U M N < / K e y > < / D i a g r a m O b j e c t K e y > < D i a g r a m O b j e c t K e y > < K e y > L i n k s \ & l t ; C o l u m n s \ C o u n t   o f   C o a s t a l   s h i p p i n g & g t ; - & l t ; M e a s u r e s \ C o a s t a l   s h i p p i n g & g t ; \ M E A S U R E < / K e y > < / D i a g r a m O b j e c t K e y > < D i a g r a m O b j e c t K e y > < K e y > L i n k s \ & l t ; C o l u m n s \ C o u n t   o f   I n l a n d   s h i p p i n g & g t ; - & l t ; M e a s u r e s \ I n l a n d   s h i p p i n g & g t ; < / K e y > < / D i a g r a m O b j e c t K e y > < D i a g r a m O b j e c t K e y > < K e y > L i n k s \ & l t ; C o l u m n s \ C o u n t   o f   I n l a n d   s h i p p i n g & g t ; - & l t ; M e a s u r e s \ I n l a n d   s h i p p i n g & g t ; \ C O L U M N < / K e y > < / D i a g r a m O b j e c t K e y > < D i a g r a m O b j e c t K e y > < K e y > L i n k s \ & l t ; C o l u m n s \ C o u n t   o f   I n l a n d   s h i p p i n g & g t ; - & l t ; M e a s u r e s \ I n l a n d   s h i p p i n g & g t ; \ M E A S U R E < / K e y > < / D i a g r a m O b j e c t K e y > < D i a g r a m O b j e c t K e y > < K e y > L i n k s \ & l t ; C o l u m n s \ C o u n t   o f   I n t e r n a t i o n a l   m a r i t i m e & g t ; - & l t ; M e a s u r e s \ I n t e r n a t i o n a l   m a r i t i m e & g t ; < / K e y > < / D i a g r a m O b j e c t K e y > < D i a g r a m O b j e c t K e y > < K e y > L i n k s \ & l t ; C o l u m n s \ C o u n t   o f   I n t e r n a t i o n a l   m a r i t i m e & g t ; - & l t ; M e a s u r e s \ I n t e r n a t i o n a l   m a r i t i m e & g t ; \ C O L U M N < / K e y > < / D i a g r a m O b j e c t K e y > < D i a g r a m O b j e c t K e y > < K e y > L i n k s \ & l t ; C o l u m n s \ C o u n t   o f   I n t e r n a t i o n a l   m a r i t i m e & g t ; - & l t ; M e a s u r e s \ I n t e r n a t i o n a l   m a r i t i m e & g t ; \ M E A S U R E < / K e y > < / D i a g r a m O b j e c t K e y > < D i a g r a m O b j e c t K e y > < K e y > L i n k s \ & l t ; C o l u m n s \ C o u n t   o f   R o a d & g t ; - & l t ; M e a s u r e s \ R o a d & g t ; < / K e y > < / D i a g r a m O b j e c t K e y > < D i a g r a m O b j e c t K e y > < K e y > L i n k s \ & l t ; C o l u m n s \ C o u n t   o f   R o a d & g t ; - & l t ; M e a s u r e s \ R o a d & g t ; \ C O L U M N < / K e y > < / D i a g r a m O b j e c t K e y > < D i a g r a m O b j e c t K e y > < K e y > L i n k s \ & l t ; C o l u m n s \ C o u n t   o f   R o a d & g t ; - & l t ; M e a s u r e s \ R o a d & g t ; \ M E A S U R E < / K e y > < / D i a g r a m O b j e c t K e y > < D i a g r a m O b j e c t K e y > < K e y > L i n k s \ & l t ; C o l u m n s \ D i s t i n c t   C o u n t   o f   C o u n t r y   3 & g t ; - & l t ; M e a s u r e s \ C o u n t r y & g t ; < / K e y > < / D i a g r a m O b j e c t K e y > < D i a g r a m O b j e c t K e y > < K e y > L i n k s \ & l t ; C o l u m n s \ D i s t i n c t   C o u n t   o f   C o u n t r y   3 & g t ; - & l t ; M e a s u r e s \ C o u n t r y & g t ; \ C O L U M N < / K e y > < / D i a g r a m O b j e c t K e y > < D i a g r a m O b j e c t K e y > < K e y > L i n k s \ & l t ; C o l u m n s \ D i s t i n c t   C o u n t   o f   C o u n t r y   3 & g t ; - & l t ; M e a s u r e s \ C o u n t r y & g t ; \ M E A S U R E < / K e y > < / D i a g r a m O b j e c t K e y > < D i a g r a m O b j e c t K e y > < K e y > L i n k s \ & l t ; C o l u m n s \ C o u n t   o f   C o u n t r y   C o d e   2 & g t ; - & l t ; M e a s u r e s \ C o u n t r y   C o d e & g t ; < / K e y > < / D i a g r a m O b j e c t K e y > < D i a g r a m O b j e c t K e y > < K e y > L i n k s \ & l t ; C o l u m n s \ C o u n t   o f   C o u n t r y   C o d e   2 & g t ; - & l t ; M e a s u r e s \ C o u n t r y   C o d e & g t ; \ C O L U M N < / K e y > < / D i a g r a m O b j e c t K e y > < D i a g r a m O b j e c t K e y > < K e y > L i n k s \ & l t ; C o l u m n s \ C o u n t   o f   C o u n t r y   C o d e   2 & g t ; - & l t ; M e a s u r e s \ C o u n t r y   C o d e & g t ; \ M E A S U R E < / K e y > < / D i a g r a m O b j e c t K e y > < D i a g r a m O b j e c t K e y > < K e y > L i n k s \ & l t ; C o l u m n s \ D i s t i n c t   C o u n t   o f   C o u n t r y   C o d e   2 & g t ; - & l t ; M e a s u r e s \ C o u n t r y   C o d e & g t ; < / K e y > < / D i a g r a m O b j e c t K e y > < D i a g r a m O b j e c t K e y > < K e y > L i n k s \ & l t ; C o l u m n s \ D i s t i n c t   C o u n t   o f   C o u n t r y   C o d e   2 & g t ; - & l t ; M e a s u r e s \ C o u n t r y   C o d e & g t ; \ C O L U M N < / K e y > < / D i a g r a m O b j e c t K e y > < D i a g r a m O b j e c t K e y > < K e y > L i n k s \ & l t ; C o l u m n s \ D i s t i n c t   C o u n t   o f   C o u n t r y   C o d e   2 & g t ; - & l t ; M e a s u r e s \ C o u n t r y   C o d e & g t ; \ M E A S U R E 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 C o u n t r y < / K e y > < / a : K e y > < a : V a l u e   i : t y p e = " M e a s u r e G r i d N o d e V i e w S t a t e " > < C o l u m n > 1 < / C o l u m n > < L a y e d O u t > t r u e < / L a y e d O u t > < W a s U I I n v i s i b l e > t r u e < / W a s U I I n v i s i b l e > < / a : V a l u e > < / a : K e y V a l u e O f D i a g r a m O b j e c t K e y a n y T y p e z b w N T n L X > < a : K e y V a l u e O f D i a g r a m O b j e c t K e y a n y T y p e z b w N T n L X > < a : K e y > < K e y > M e a s u r e s \ C o u n t   o f   C o u n t r y \ T a g I n f o \ F o r m u l a < / K e y > < / a : K e y > < a : V a l u e   i : t y p e = " M e a s u r e G r i d V i e w S t a t e I D i a g r a m T a g A d d i t i o n a l I n f o " / > < / a : K e y V a l u e O f D i a g r a m O b j e c t K e y a n y T y p e z b w N T n L X > < a : K e y V a l u e O f D i a g r a m O b j e c t K e y a n y T y p e z b w N T n L X > < a : K e y > < K e y > M e a s u r e s \ C o u n t   o f   C o u n t r y \ T a g I n f o \ V a l u e < / K e y > < / a : K e y > < a : V a l u e   i : t y p e = " M e a s u r e G r i d V i e w S t a t e I D i a g r a m T a g A d d i t i o n a l I n f o " / > < / a : K e y V a l u e O f D i a g r a m O b j e c t K e y a n y T y p e z b w N T n L X > < a : K e y V a l u e O f D i a g r a m O b j e c t K e y a n y T y p e z b w N T n L X > < a : K e y > < K e y > M e a s u r e s \ C o u n t   o f   R a i l < / K e y > < / a : K e y > < a : V a l u e   i : t y p e = " M e a s u r e G r i d N o d e V i e w S t a t e " > < C o l u m n > 1 9 < / C o l u m n > < L a y e d O u t > t r u e < / L a y e d O u t > < W a s U I I n v i s i b l e > t r u e < / W a s U I I n v i s i b l e > < / a : V a l u e > < / a : K e y V a l u e O f D i a g r a m O b j e c t K e y a n y T y p e z b w N T n L X > < a : K e y V a l u e O f D i a g r a m O b j e c t K e y a n y T y p e z b w N T n L X > < a : K e y > < K e y > M e a s u r e s \ C o u n t   o f   R a i l \ T a g I n f o \ F o r m u l a < / K e y > < / a : K e y > < a : V a l u e   i : t y p e = " M e a s u r e G r i d V i e w S t a t e I D i a g r a m T a g A d d i t i o n a l I n f o " / > < / a : K e y V a l u e O f D i a g r a m O b j e c t K e y a n y T y p e z b w N T n L X > < a : K e y V a l u e O f D i a g r a m O b j e c t K e y a n y T y p e z b w N T n L X > < a : K e y > < K e y > M e a s u r e s \ C o u n t   o f   R a i l \ T a g I n f o \ V a l u e < / K e y > < / a : K e y > < a : V a l u e   i : t y p e = " M e a s u r e G r i d V i e w S t a t e I D i a g r a m T a g A d d i t i o n a l I n f o " / > < / a : K e y V a l u e O f D i a g r a m O b j e c t K e y a n y T y p e z b w N T n L X > < a : K e y V a l u e O f D i a g r a m O b j e c t K e y a n y T y p e z b w N T n L X > < a : K e y > < K e y > M e a s u r e s \ C o u n t   o f   H e a v y   r a i l < / K e y > < / a : K e y > < a : V a l u e   i : t y p e = " M e a s u r e G r i d N o d e V i e w S t a t e " > < C o l u m n > 2 0 < / C o l u m n > < L a y e d O u t > t r u e < / L a y e d O u t > < W a s U I I n v i s i b l e > t r u e < / W a s U I I n v i s i b l e > < / a : V a l u e > < / a : K e y V a l u e O f D i a g r a m O b j e c t K e y a n y T y p e z b w N T n L X > < a : K e y V a l u e O f D i a g r a m O b j e c t K e y a n y T y p e z b w N T n L X > < a : K e y > < K e y > M e a s u r e s \ C o u n t   o f   H e a v y   r a i l \ T a g I n f o \ F o r m u l a < / K e y > < / a : K e y > < a : V a l u e   i : t y p e = " M e a s u r e G r i d V i e w S t a t e I D i a g r a m T a g A d d i t i o n a l I n f o " / > < / a : K e y V a l u e O f D i a g r a m O b j e c t K e y a n y T y p e z b w N T n L X > < a : K e y V a l u e O f D i a g r a m O b j e c t K e y a n y T y p e z b w N T n L X > < a : K e y > < K e y > M e a s u r e s \ C o u n t   o f   H e a v y   r a i l \ T a g I n f o \ V a l u e < / K e y > < / a : K e y > < a : V a l u e   i : t y p e = " M e a s u r e G r i d V i e w S t a t e I D i a g r a m T a g A d d i t i o n a l I n f o " / > < / a : K e y V a l u e O f D i a g r a m O b j e c t K e y a n y T y p e z b w N T n L X > < a : K e y V a l u e O f D i a g r a m O b j e c t K e y a n y T y p e z b w N T n L X > < a : K e y > < K e y > M e a s u r e s \ C o u n t   o f   W a t e r < / K e y > < / a : K e y > < a : V a l u e   i : t y p e = " M e a s u r e G r i d N o d e V i e w S t a t e " > < C o l u m n > 2 2 < / C o l u m n > < L a y e d O u t > t r u e < / L a y e d O u t > < W a s U I I n v i s i b l e > t r u e < / W a s U I I n v i s i b l e > < / a : V a l u e > < / a : K e y V a l u e O f D i a g r a m O b j e c t K e y a n y T y p e z b w N T n L X > < a : K e y V a l u e O f D i a g r a m O b j e c t K e y a n y T y p e z b w N T n L X > < a : K e y > < K e y > M e a s u r e s \ C o u n t   o f   W a t e r \ T a g I n f o \ F o r m u l a < / K e y > < / a : K e y > < a : V a l u e   i : t y p e = " M e a s u r e G r i d V i e w S t a t e I D i a g r a m T a g A d d i t i o n a l I n f o " / > < / a : K e y V a l u e O f D i a g r a m O b j e c t K e y a n y T y p e z b w N T n L X > < a : K e y V a l u e O f D i a g r a m O b j e c t K e y a n y T y p e z b w N T n L X > < a : K e y > < K e y > M e a s u r e s \ C o u n t   o f   W a t e r \ T a g I n f o \ V a l u e < / K e y > < / a : K e y > < a : V a l u e   i : t y p e = " M e a s u r e G r i d V i e w S t a t e I D i a g r a m T a g A d d i t i o n a l I n f o " / > < / a : K e y V a l u e O f D i a g r a m O b j e c t K e y a n y T y p e z b w N T n L X > < a : K e y V a l u e O f D i a g r a m O b j e c t K e y a n y T y p e z b w N T n L X > < a : K e y > < K e y > M e a s u r e s \ C o u n t   o f   C o a s t a l   s h i p p i n g < / K e y > < / a : K e y > < a : V a l u e   i : t y p e = " M e a s u r e G r i d N o d e V i e w S t a t e " > < C o l u m n > 2 3 < / C o l u m n > < L a y e d O u t > t r u e < / L a y e d O u t > < W a s U I I n v i s i b l e > t r u e < / W a s U I I n v i s i b l e > < / a : V a l u e > < / a : K e y V a l u e O f D i a g r a m O b j e c t K e y a n y T y p e z b w N T n L X > < a : K e y V a l u e O f D i a g r a m O b j e c t K e y a n y T y p e z b w N T n L X > < a : K e y > < K e y > M e a s u r e s \ C o u n t   o f   C o a s t a l   s h i p p i n g \ T a g I n f o \ F o r m u l a < / K e y > < / a : K e y > < a : V a l u e   i : t y p e = " M e a s u r e G r i d V i e w S t a t e I D i a g r a m T a g A d d i t i o n a l I n f o " / > < / a : K e y V a l u e O f D i a g r a m O b j e c t K e y a n y T y p e z b w N T n L X > < a : K e y V a l u e O f D i a g r a m O b j e c t K e y a n y T y p e z b w N T n L X > < a : K e y > < K e y > M e a s u r e s \ C o u n t   o f   C o a s t a l   s h i p p i n g \ T a g I n f o \ V a l u e < / K e y > < / a : K e y > < a : V a l u e   i : t y p e = " M e a s u r e G r i d V i e w S t a t e I D i a g r a m T a g A d d i t i o n a l I n f o " / > < / a : K e y V a l u e O f D i a g r a m O b j e c t K e y a n y T y p e z b w N T n L X > < a : K e y V a l u e O f D i a g r a m O b j e c t K e y a n y T y p e z b w N T n L X > < a : K e y > < K e y > M e a s u r e s \ C o u n t   o f   I n l a n d   s h i p p i n g < / K e y > < / a : K e y > < a : V a l u e   i : t y p e = " M e a s u r e G r i d N o d e V i e w S t a t e " > < C o l u m n > 2 4 < / C o l u m n > < L a y e d O u t > t r u e < / L a y e d O u t > < W a s U I I n v i s i b l e > t r u e < / W a s U I I n v i s i b l e > < / a : V a l u e > < / a : K e y V a l u e O f D i a g r a m O b j e c t K e y a n y T y p e z b w N T n L X > < a : K e y V a l u e O f D i a g r a m O b j e c t K e y a n y T y p e z b w N T n L X > < a : K e y > < K e y > M e a s u r e s \ C o u n t   o f   I n l a n d   s h i p p i n g \ T a g I n f o \ F o r m u l a < / K e y > < / a : K e y > < a : V a l u e   i : t y p e = " M e a s u r e G r i d V i e w S t a t e I D i a g r a m T a g A d d i t i o n a l I n f o " / > < / a : K e y V a l u e O f D i a g r a m O b j e c t K e y a n y T y p e z b w N T n L X > < a : K e y V a l u e O f D i a g r a m O b j e c t K e y a n y T y p e z b w N T n L X > < a : K e y > < K e y > M e a s u r e s \ C o u n t   o f   I n l a n d   s h i p p i n g \ T a g I n f o \ V a l u e < / K e y > < / a : K e y > < a : V a l u e   i : t y p e = " M e a s u r e G r i d V i e w S t a t e I D i a g r a m T a g A d d i t i o n a l I n f o " / > < / a : K e y V a l u e O f D i a g r a m O b j e c t K e y a n y T y p e z b w N T n L X > < a : K e y V a l u e O f D i a g r a m O b j e c t K e y a n y T y p e z b w N T n L X > < a : K e y > < K e y > M e a s u r e s \ C o u n t   o f   I n t e r n a t i o n a l   m a r i t i m e < / K e y > < / a : K e y > < a : V a l u e   i : t y p e = " M e a s u r e G r i d N o d e V i e w S t a t e " > < C o l u m n > 2 5 < / C o l u m n > < L a y e d O u t > t r u e < / L a y e d O u t > < W a s U I I n v i s i b l e > t r u e < / W a s U I I n v i s i b l e > < / a : V a l u e > < / a : K e y V a l u e O f D i a g r a m O b j e c t K e y a n y T y p e z b w N T n L X > < a : K e y V a l u e O f D i a g r a m O b j e c t K e y a n y T y p e z b w N T n L X > < a : K e y > < K e y > M e a s u r e s \ C o u n t   o f   I n t e r n a t i o n a l   m a r i t i m e \ T a g I n f o \ F o r m u l a < / K e y > < / a : K e y > < a : V a l u e   i : t y p e = " M e a s u r e G r i d V i e w S t a t e I D i a g r a m T a g A d d i t i o n a l I n f o " / > < / a : K e y V a l u e O f D i a g r a m O b j e c t K e y a n y T y p e z b w N T n L X > < a : K e y V a l u e O f D i a g r a m O b j e c t K e y a n y T y p e z b w N T n L X > < a : K e y > < K e y > M e a s u r e s \ C o u n t   o f   I n t e r n a t i o n a l   m a r i t i m e \ T a g I n f o \ V a l u e < / K e y > < / a : K e y > < a : V a l u e   i : t y p e = " M e a s u r e G r i d V i e w S t a t e I D i a g r a m T a g A d d i t i o n a l I n f o " / > < / a : K e y V a l u e O f D i a g r a m O b j e c t K e y a n y T y p e z b w N T n L X > < a : K e y V a l u e O f D i a g r a m O b j e c t K e y a n y T y p e z b w N T n L X > < a : K e y > < K e y > M e a s u r e s \ C o u n t   o f   R o a d < / K e y > < / a : K e y > < a : V a l u e   i : t y p e = " M e a s u r e G r i d N o d e V i e w S t a t e " > < C o l u m n > 1 2 < / C o l u m n > < L a y e d O u t > t r u e < / L a y e d O u t > < W a s U I I n v i s i b l e > t r u e < / W a s U I I n v i s i b l e > < / a : V a l u e > < / a : K e y V a l u e O f D i a g r a m O b j e c t K e y a n y T y p e z b w N T n L X > < a : K e y V a l u e O f D i a g r a m O b j e c t K e y a n y T y p e z b w N T n L X > < a : K e y > < K e y > M e a s u r e s \ C o u n t   o f   R o a d \ T a g I n f o \ F o r m u l a < / K e y > < / a : K e y > < a : V a l u e   i : t y p e = " M e a s u r e G r i d V i e w S t a t e I D i a g r a m T a g A d d i t i o n a l I n f o " / > < / a : K e y V a l u e O f D i a g r a m O b j e c t K e y a n y T y p e z b w N T n L X > < a : K e y V a l u e O f D i a g r a m O b j e c t K e y a n y T y p e z b w N T n L X > < a : K e y > < K e y > M e a s u r e s \ C o u n t   o f   R o a d \ T a g I n f o \ V a l u e < / K e y > < / a : K e y > < a : V a l u e   i : t y p e = " M e a s u r e G r i d V i e w S t a t e I D i a g r a m T a g A d d i t i o n a l I n f o " / > < / a : K e y V a l u e O f D i a g r a m O b j e c t K e y a n y T y p e z b w N T n L X > < a : K e y V a l u e O f D i a g r a m O b j e c t K e y a n y T y p e z b w N T n L X > < a : K e y > < K e y > M e a s u r e s \ D i s t i n c t   C o u n t   o f   C o u n t r y   3 < / K e y > < / a : K e y > < a : V a l u e   i : t y p e = " M e a s u r e G r i d N o d e V i e w S t a t e " > < C o l u m n > 1 < / C o l u m n > < L a y e d O u t > t r u e < / L a y e d O u t > < W a s U I I n v i s i b l e > t r u e < / W a s U I I n v i s i b l e > < / a : V a l u e > < / a : K e y V a l u e O f D i a g r a m O b j e c t K e y a n y T y p e z b w N T n L X > < a : K e y V a l u e O f D i a g r a m O b j e c t K e y a n y T y p e z b w N T n L X > < a : K e y > < K e y > M e a s u r e s \ D i s t i n c t   C o u n t   o f   C o u n t r y   3 \ T a g I n f o \ F o r m u l a < / K e y > < / a : K e y > < a : V a l u e   i : t y p e = " M e a s u r e G r i d V i e w S t a t e I D i a g r a m T a g A d d i t i o n a l I n f o " / > < / a : K e y V a l u e O f D i a g r a m O b j e c t K e y a n y T y p e z b w N T n L X > < a : K e y V a l u e O f D i a g r a m O b j e c t K e y a n y T y p e z b w N T n L X > < a : K e y > < K e y > M e a s u r e s \ D i s t i n c t   C o u n t   o f   C o u n t r y   3 \ T a g I n f o \ V a l u e < / K e y > < / a : K e y > < a : V a l u e   i : t y p e = " M e a s u r e G r i d V i e w S t a t e I D i a g r a m T a g A d d i t i o n a l I n f o " / > < / a : K e y V a l u e O f D i a g r a m O b j e c t K e y a n y T y p e z b w N T n L X > < a : K e y V a l u e O f D i a g r a m O b j e c t K e y a n y T y p e z b w N T n L X > < a : K e y > < K e y > M e a s u r e s \ C o u n t   o f   C o u n t r y   C o d e   2 < / K e y > < / a : K e y > < a : V a l u e   i : t y p e = " M e a s u r e G r i d N o d e V i e w S t a t e " > < L a y e d O u t > t r u e < / L a y e d O u t > < W a s U I I n v i s i b l e > t r u e < / W a s U I I n v i s i b l e > < / a : V a l u e > < / a : K e y V a l u e O f D i a g r a m O b j e c t K e y a n y T y p e z b w N T n L X > < a : K e y V a l u e O f D i a g r a m O b j e c t K e y a n y T y p e z b w N T n L X > < a : K e y > < K e y > M e a s u r e s \ C o u n t   o f   C o u n t r y   C o d e   2 \ T a g I n f o \ F o r m u l a < / K e y > < / a : K e y > < a : V a l u e   i : t y p e = " M e a s u r e G r i d V i e w S t a t e I D i a g r a m T a g A d d i t i o n a l I n f o " / > < / a : K e y V a l u e O f D i a g r a m O b j e c t K e y a n y T y p e z b w N T n L X > < a : K e y V a l u e O f D i a g r a m O b j e c t K e y a n y T y p e z b w N T n L X > < a : K e y > < K e y > M e a s u r e s \ C o u n t   o f   C o u n t r y   C o d e   2 \ T a g I n f o \ V a l u e < / K e y > < / a : K e y > < a : V a l u e   i : t y p e = " M e a s u r e G r i d V i e w S t a t e I D i a g r a m T a g A d d i t i o n a l I n f o " / > < / a : K e y V a l u e O f D i a g r a m O b j e c t K e y a n y T y p e z b w N T n L X > < a : K e y V a l u e O f D i a g r a m O b j e c t K e y a n y T y p e z b w N T n L X > < a : K e y > < K e y > M e a s u r e s \ D i s t i n c t   C o u n t   o f   C o u n t r y   C o d e   2 < / K e y > < / a : K e y > < a : V a l u e   i : t y p e = " M e a s u r e G r i d N o d e V i e w S t a t e " > < L a y e d O u t > t r u e < / L a y e d O u t > < W a s U I I n v i s i b l e > t r u e < / W a s U I I n v i s i b l e > < / a : V a l u e > < / a : K e y V a l u e O f D i a g r a m O b j e c t K e y a n y T y p e z b w N T n L X > < a : K e y V a l u e O f D i a g r a m O b j e c t K e y a n y T y p e z b w N T n L X > < a : K e y > < K e y > M e a s u r e s \ D i s t i n c t   C o u n t   o f   C o u n t r y   C o d e   2 \ T a g I n f o \ F o r m u l a < / K e y > < / a : K e y > < a : V a l u e   i : t y p e = " M e a s u r e G r i d V i e w S t a t e I D i a g r a m T a g A d d i t i o n a l I n f o " / > < / a : K e y V a l u e O f D i a g r a m O b j e c t K e y a n y T y p e z b w N T n L X > < a : K e y V a l u e O f D i a g r a m O b j e c t K e y a n y T y p e z b w N T n L X > < a : K e y > < K e y > M e a s u r e s \ D i s t i n c t   C o u n t   o f   C o u n t r y   C o d e   2 \ T a g I n f o \ V a l u e < / K e y > < / a : K e y > < a : V a l u e   i : t y p e = " M e a s u r e G r i d V i e w S t a t e I D i a g r a m T a g A d d i t i o n a l I n f o " / > < / 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 C o l u m n s \ Q u o t e < / K e y > < / a : K e y > < a : V a l u e   i : t y p e = " M e a s u r e G r i d N o d e V i e w S t a t e " > < C o l u m n > 4 < / C o l u m n > < L a y e d O u t > t r u e < / L a y e d O u t > < / a : V a l u e > < / a : K e y V a l u e O f D i a g r a m O b j e c t K e y a n y T y p e z b w N T n L X > < a : K e y V a l u e O f D i a g r a m O b j e c t K e y a n y T y p e z b w N T n L X > < a : K e y > < K e y > C o l u m n s \ A - S - I < / K e y > < / a : K e y > < a : V a l u e   i : t y p e = " M e a s u r e G r i d N o d e V i e w S t a t e " > < C o l u m n > 5 < / C o l u m n > < L a y e d O u t > t r u e < / L a y e d O u t > < / a : V a l u e > < / a : K e y V a l u e O f D i a g r a m O b j e c t K e y a n y T y p e z b w N T n L X > < a : K e y V a l u e O f D i a g r a m O b j e c t K e y a n y T y p e z b w N T n L X > < a : K e y > < K e y > C o l u m n s \ P a g e   N u m b e r < / K e y > < / a : K e y > < a : V a l u e   i : t y p e = " M e a s u r e G r i d N o d e V i e w S t a t e " > < C o l u m n > 6 < / C o l u m n > < L a y e d O u t > t r u e < / L a y e d O u t > < / a : V a l u e > < / a : K e y V a l u e O f D i a g r a m O b j e c t K e y a n y T y p e z b w N T n L X > < a : K e y V a l u e O f D i a g r a m O b j e c t K e y a n y T y p e z b w N T n L X > < a : K e y > < K e y > C o l u m n s \ N o t   d e f i n e d < / K e y > < / a : K e y > < a : V a l u e   i : t y p e = " M e a s u r e G r i d N o d e V i e w S t a t e " > < C o l u m n > 8 < / C o l u m n > < L a y e d O u t > t r u e < / L a y e d O u t > < / a : V a l u e > < / a : K e y V a l u e O f D i a g r a m O b j e c t K e y a n y T y p e z b w N T n L X > < a : K e y V a l u e O f D i a g r a m O b j e c t K e y a n y T y p e z b w N T n L X > < a : K e y > < K e y > C o l u m n s \ A c t i v e   m o b i l i t y < / K e y > < / a : K e y > < a : V a l u e   i : t y p e = " M e a s u r e G r i d N o d e V i e w S t a t e " > < C o l u m n > 9 < / C o l u m n > < L a y e d O u t > t r u e < / L a y e d O u t > < / a : V a l u e > < / a : K e y V a l u e O f D i a g r a m O b j e c t K e y a n y T y p e z b w N T n L X > < a : K e y V a l u e O f D i a g r a m O b j e c t K e y a n y T y p e z b w N T n L X > < a : K e y > < K e y > C o l u m n s \ W a l k i n g < / K e y > < / a : K e y > < a : V a l u e   i : t y p e = " M e a s u r e G r i d N o d e V i e w S t a t e " > < C o l u m n > 1 0 < / C o l u m n > < L a y e d O u t > t r u e < / L a y e d O u t > < / a : V a l u e > < / a : K e y V a l u e O f D i a g r a m O b j e c t K e y a n y T y p e z b w N T n L X > < a : K e y V a l u e O f D i a g r a m O b j e c t K e y a n y T y p e z b w N T n L X > < a : K e y > < K e y > C o l u m n s \ C y c l i n g < / K e y > < / a : K e y > < a : V a l u e   i : t y p e = " M e a s u r e G r i d N o d e V i e w S t a t e " > < C o l u m n > 1 1 < / C o l u m n > < L a y e d O u t > t r u e < / L a y e d O u t > < / a : V a l u e > < / a : K e y V a l u e O f D i a g r a m O b j e c t K e y a n y T y p e z b w N T n L X > < a : K e y V a l u e O f D i a g r a m O b j e c t K e y a n y T y p e z b w N T n L X > < a : K e y > < K e y > C o l u m n s \ R o a d < / K e y > < / a : K e y > < a : V a l u e   i : t y p e = " M e a s u r e G r i d N o d e V i e w S t a t e " > < C o l u m n > 1 2 < / C o l u m n > < L a y e d O u t > t r u e < / L a y e d O u t > < / a : V a l u e > < / a : K e y V a l u e O f D i a g r a m O b j e c t K e y a n y T y p e z b w N T n L X > < a : K e y V a l u e O f D i a g r a m O b j e c t K e y a n y T y p e z b w N T n L X > < a : K e y > < K e y > C o l u m n s \ T w o - / T h r e e - w h e e l e r s < / K e y > < / a : K e y > < a : V a l u e   i : t y p e = " M e a s u r e G r i d N o d e V i e w S t a t e " > < C o l u m n > 1 3 < / C o l u m n > < L a y e d O u t > t r u e < / L a y e d O u t > < / a : V a l u e > < / a : K e y V a l u e O f D i a g r a m O b j e c t K e y a n y T y p e z b w N T n L X > < a : K e y V a l u e O f D i a g r a m O b j e c t K e y a n y T y p e z b w N T n L X > < a : K e y > < K e y > C o l u m n s \ C a r s < / K e y > < / a : K e y > < a : V a l u e   i : t y p e = " M e a s u r e G r i d N o d e V i e w S t a t e " > < C o l u m n > 1 4 < / C o l u m n > < L a y e d O u t > t r u e < / L a y e d O u t > < / a : V a l u e > < / a : K e y V a l u e O f D i a g r a m O b j e c t K e y a n y T y p e z b w N T n L X > < a : K e y V a l u e O f D i a g r a m O b j e c t K e y a n y T y p e z b w N T n L X > < a : K e y > < K e y > C o l u m n s \ P r i v a t e   c a r s < / K e y > < / a : K e y > < a : V a l u e   i : t y p e = " M e a s u r e G r i d N o d e V i e w S t a t e " > < C o l u m n > 1 5 < / C o l u m n > < L a y e d O u t > t r u e < / L a y e d O u t > < / a : V a l u e > < / a : K e y V a l u e O f D i a g r a m O b j e c t K e y a n y T y p e z b w N T n L X > < a : K e y V a l u e O f D i a g r a m O b j e c t K e y a n y T y p e z b w N T n L X > < a : K e y > < K e y > C o l u m n s \ T a x i s < / K e y > < / a : K e y > < a : V a l u e   i : t y p e = " M e a s u r e G r i d N o d e V i e w S t a t e " > < C o l u m n > 1 6 < / C o l u m n > < L a y e d O u t > t r u e < / L a y e d O u t > < / a : V a l u e > < / a : K e y V a l u e O f D i a g r a m O b j e c t K e y a n y T y p e z b w N T n L X > < a : K e y V a l u e O f D i a g r a m O b j e c t K e y a n y T y p e z b w N T n L X > < a : K e y > < K e y > C o l u m n s \ T r u c k < / K e y > < / a : K e y > < a : V a l u e   i : t y p e = " M e a s u r e G r i d N o d e V i e w S t a t e " > < C o l u m n > 1 7 < / C o l u m n > < L a y e d O u t > t r u e < / L a y e d O u t > < / a : V a l u e > < / a : K e y V a l u e O f D i a g r a m O b j e c t K e y a n y T y p e z b w N T n L X > < a : K e y V a l u e O f D i a g r a m O b j e c t K e y a n y T y p e z b w N T n L X > < a : K e y > < K e y > C o l u m n s \ B u s < / K e y > < / a : K e y > < a : V a l u e   i : t y p e = " M e a s u r e G r i d N o d e V i e w S t a t e " > < C o l u m n > 1 8 < / C o l u m n > < L a y e d O u t > t r u e < / L a y e d O u t > < / a : V a l u e > < / a : K e y V a l u e O f D i a g r a m O b j e c t K e y a n y T y p e z b w N T n L X > < a : K e y V a l u e O f D i a g r a m O b j e c t K e y a n y T y p e z b w N T n L X > < a : K e y > < K e y > C o l u m n s \ R a i l < / K e y > < / a : K e y > < a : V a l u e   i : t y p e = " M e a s u r e G r i d N o d e V i e w S t a t e " > < C o l u m n > 1 9 < / C o l u m n > < L a y e d O u t > t r u e < / L a y e d O u t > < / a : V a l u e > < / a : K e y V a l u e O f D i a g r a m O b j e c t K e y a n y T y p e z b w N T n L X > < a : K e y V a l u e O f D i a g r a m O b j e c t K e y a n y T y p e z b w N T n L X > < a : K e y > < K e y > C o l u m n s \ H e a v y   r a i l < / K e y > < / a : K e y > < a : V a l u e   i : t y p e = " M e a s u r e G r i d N o d e V i e w S t a t e " > < C o l u m n > 2 0 < / C o l u m n > < L a y e d O u t > t r u e < / L a y e d O u t > < / a : V a l u e > < / a : K e y V a l u e O f D i a g r a m O b j e c t K e y a n y T y p e z b w N T n L X > < a : K e y V a l u e O f D i a g r a m O b j e c t K e y a n y T y p e z b w N T n L X > < a : K e y > < K e y > C o l u m n s \ H i g h - s p e e d   r a i l < / K e y > < / a : K e y > < a : V a l u e   i : t y p e = " M e a s u r e G r i d N o d e V i e w S t a t e " > < C o l u m n > 3 4 < / C o l u m n > < L a y e d O u t > t r u e < / L a y e d O u t > < / a : V a l u e > < / a : K e y V a l u e O f D i a g r a m O b j e c t K e y a n y T y p e z b w N T n L X > < a : K e y V a l u e O f D i a g r a m O b j e c t K e y a n y T y p e z b w N T n L X > < a : K e y > < K e y > C o l u m n s \ T r a n s i t   r a i l < / K e y > < / a : K e y > < a : V a l u e   i : t y p e = " M e a s u r e G r i d N o d e V i e w S t a t e " > < C o l u m n > 2 1 < / C o l u m n > < L a y e d O u t > t r u e < / L a y e d O u t > < / a : V a l u e > < / a : K e y V a l u e O f D i a g r a m O b j e c t K e y a n y T y p e z b w N T n L X > < a : K e y V a l u e O f D i a g r a m O b j e c t K e y a n y T y p e z b w N T n L X > < a : K e y > < K e y > C o l u m n s \ W a t e r < / K e y > < / a : K e y > < a : V a l u e   i : t y p e = " M e a s u r e G r i d N o d e V i e w S t a t e " > < C o l u m n > 2 2 < / C o l u m n > < L a y e d O u t > t r u e < / L a y e d O u t > < / a : V a l u e > < / a : K e y V a l u e O f D i a g r a m O b j e c t K e y a n y T y p e z b w N T n L X > < a : K e y V a l u e O f D i a g r a m O b j e c t K e y a n y T y p e z b w N T n L X > < a : K e y > < K e y > C o l u m n s \ C o a s t a l   s h i p p i n g < / K e y > < / a : K e y > < a : V a l u e   i : t y p e = " M e a s u r e G r i d N o d e V i e w S t a t e " > < C o l u m n > 2 3 < / C o l u m n > < L a y e d O u t > t r u e < / L a y e d O u t > < / a : V a l u e > < / a : K e y V a l u e O f D i a g r a m O b j e c t K e y a n y T y p e z b w N T n L X > < a : K e y V a l u e O f D i a g r a m O b j e c t K e y a n y T y p e z b w N T n L X > < a : K e y > < K e y > C o l u m n s \ I n l a n d   s h i p p i n g < / K e y > < / a : K e y > < a : V a l u e   i : t y p e = " M e a s u r e G r i d N o d e V i e w S t a t e " > < C o l u m n > 2 4 < / C o l u m n > < L a y e d O u t > t r u e < / L a y e d O u t > < / a : V a l u e > < / a : K e y V a l u e O f D i a g r a m O b j e c t K e y a n y T y p e z b w N T n L X > < a : K e y V a l u e O f D i a g r a m O b j e c t K e y a n y T y p e z b w N T n L X > < a : K e y > < K e y > C o l u m n s \ I n t e r n a t i o n a l   m a r i t i m e < / K e y > < / a : K e y > < a : V a l u e   i : t y p e = " M e a s u r e G r i d N o d e V i e w S t a t e " > < C o l u m n > 2 5 < / C o l u m n > < L a y e d O u t > t r u e < / L a y e d O u t > < / a : V a l u e > < / a : K e y V a l u e O f D i a g r a m O b j e c t K e y a n y T y p e z b w N T n L X > < a : K e y V a l u e O f D i a g r a m O b j e c t K e y a n y T y p e z b w N T n L X > < a : K e y > < K e y > C o l u m n s \ A v i a t i o n < / K e y > < / a : K e y > < a : V a l u e   i : t y p e = " M e a s u r e G r i d N o d e V i e w S t a t e " > < C o l u m n > 2 6 < / C o l u m n > < L a y e d O u t > t r u e < / L a y e d O u t > < / a : V a l u e > < / a : K e y V a l u e O f D i a g r a m O b j e c t K e y a n y T y p e z b w N T n L X > < a : K e y V a l u e O f D i a g r a m O b j e c t K e y a n y T y p e z b w N T n L X > < a : K e y > < K e y > C o l u m n s \ N o t   d e f i n e d 2 < / K e y > < / a : K e y > < a : V a l u e   i : t y p e = " M e a s u r e G r i d N o d e V i e w S t a t e " > < C o l u m n > 2 7 < / C o l u m n > < L a y e d O u t > t r u e < / L a y e d O u t > < / a : V a l u e > < / a : K e y V a l u e O f D i a g r a m O b j e c t K e y a n y T y p e z b w N T n L X > < a : K e y V a l u e O f D i a g r a m O b j e c t K e y a n y T y p e z b w N T n L X > < a : K e y > < K e y > C o l u m n s \ U r b a n < / K e y > < / a : K e y > < a : V a l u e   i : t y p e = " M e a s u r e G r i d N o d e V i e w S t a t e " > < C o l u m n > 2 8 < / C o l u m n > < L a y e d O u t > t r u e < / L a y e d O u t > < / a : V a l u e > < / a : K e y V a l u e O f D i a g r a m O b j e c t K e y a n y T y p e z b w N T n L X > < a : K e y V a l u e O f D i a g r a m O b j e c t K e y a n y T y p e z b w N T n L X > < a : K e y > < K e y > C o l u m n s \ R u r a l < / K e y > < / a : K e y > < a : V a l u e   i : t y p e = " M e a s u r e G r i d N o d e V i e w S t a t e " > < C o l u m n > 2 9 < / C o l u m n > < L a y e d O u t > t r u e < / L a y e d O u t > < / a : V a l u e > < / a : K e y V a l u e O f D i a g r a m O b j e c t K e y a n y T y p e z b w N T n L X > < a : K e y V a l u e O f D i a g r a m O b j e c t K e y a n y T y p e z b w N T n L X > < a : K e y > < K e y > C o l u m n s \ I n t e r - c i t y < / K e y > < / a : K e y > < a : V a l u e   i : t y p e = " M e a s u r e G r i d N o d e V i e w S t a t e " > < C o l u m n > 3 0 < / C o l u m n > < L a y e d O u t > t r u e < / L a y e d O u t > < / a : V a l u e > < / a : K e y V a l u e O f D i a g r a m O b j e c t K e y a n y T y p e z b w N T n L X > < a : K e y V a l u e O f D i a g r a m O b j e c t K e y a n y T y p e z b w N T n L X > < a : K e y > < K e y > C o l u m n s \ A c t i v i t y   t y p e < / K e y > < / a : K e y > < a : V a l u e   i : t y p e = " M e a s u r e G r i d N o d e V i e w S t a t e " > < C o l u m n > 7 < / C o l u m n > < L a y e d O u t > t r u e < / L a y e d O u t > < / a : V a l u e > < / a : K e y V a l u e O f D i a g r a m O b j e c t K e y a n y T y p e z b w N T n L X > < a : K e y V a l u e O f D i a g r a m O b j e c t K e y a n y T y p e z b w N T n L X > < a : K e y > < K e y > C o l u m n s \ A n n e x   I   o r   N o n - A n n e x   I < / K e y > < / a : K e y > < a : V a l u e   i : t y p e = " M e a s u r e G r i d N o d e V i e w S t a t e " > < C o l u m n > 3 1 < / C o l u m n > < L a y e d O u t > t r u e < / L a y e d O u t > < / a : V a l u e > < / a : K e y V a l u e O f D i a g r a m O b j e c t K e y a n y T y p e z b w N T n L X > < a : K e y V a l u e O f D i a g r a m O b j e c t K e y a n y T y p e z b w N T n L X > < a : K e y > < K e y > C o l u m n s \ I n c o m e   G r o u p < / K e y > < / a : K e y > < a : V a l u e   i : t y p e = " M e a s u r e G r i d N o d e V i e w S t a t e " > < C o l u m n > 3 2 < / C o l u m n > < L a y e d O u t > t r u e < / L a y e d O u t > < / a : V a l u e > < / a : K e y V a l u e O f D i a g r a m O b j e c t K e y a n y T y p e z b w N T n L X > < a : K e y V a l u e O f D i a g r a m O b j e c t K e y a n y T y p e z b w N T n L X > < a : K e y > < K e y > C o l u m n s \ R e g i o n < / K e y > < / a : K e y > < a : V a l u e   i : t y p e = " M e a s u r e G r i d N o d e V i e w S t a t e " > < C o l u m n > 3 3 < / C o l u m n > < L a y e d O u t > t r u e < / L a y e d O u t > < / a : V a l u e > < / a : K e y V a l u e O f D i a g r a m O b j e c t K e y a n y T y p e z b w N T n L X > < a : K e y V a l u e O f D i a g r a m O b j e c t K e y a n y T y p e z b w N T n L X > < a : K e y > < K e y > C o l u m n s \ G 2 0 < / K e y > < / a : K e y > < a : V a l u e   i : t y p e = " M e a s u r e G r i d N o d e V i e w S t a t e " > < C o l u m n > 3 5 < / C o l u m n > < L a y e d O u t > t r u e < / L a y e d O u t > < / a : V a l u e > < / a : K e y V a l u e O f D i a g r a m O b j e c t K e y a n y T y p e z b w N T n L X > < a : K e y V a l u e O f D i a g r a m O b j e c t K e y a n y T y p e z b w N T n L X > < a : K e y > < K e y > C o l u m n s \ G 7 < / K e y > < / a : K e y > < a : V a l u e   i : t y p e = " M e a s u r e G r i d N o d e V i e w S t a t e " > < C o l u m n > 3 6 < / C o l u m n > < L a y e d O u t > t r u e < / L a y e d O u t > < / a : V a l u e > < / a : K e y V a l u e O f D i a g r a m O b j e c t K e y a n y T y p e z b w N T n L X > < a : K e y V a l u e O f D i a g r a m O b j e c t K e y a n y T y p e z b w N T n L X > < a : K e y > < K e y > C o l u m n s \ O E C D < / K e y > < / a : K e y > < a : V a l u e   i : t y p e = " M e a s u r e G r i d N o d e V i e w S t a t e " > < C o l u m n > 3 7 < / C o l u m n > < L a y e d O u t > t r u e < / L a y e d O u t > < / a : V a l u e > < / a : K e y V a l u e O f D i a g r a m O b j e c t K e y a n y T y p e z b w N T n L X > < a : K e y V a l u e O f D i a g r a m O b j e c t K e y a n y T y p e z b w N T n L X > < a : K e y > < K e y > C o l u m n s \ C a t e g o r y < / K e y > < / a : K e y > < a : V a l u e   i : t y p e = " M e a s u r e G r i d N o d e V i e w S t a t e " > < C o l u m n > 3 8 < / C o l u m n > < L a y e d O u t > t r u e < / L a y e d O u t > < / a : V a l u e > < / a : K e y V a l u e O f D i a g r a m O b j e c t K e y a n y T y p e z b w N T n L X > < a : K e y V a l u e O f D i a g r a m O b j e c t K e y a n y T y p e z b w N T n L X > < a : K e y > < K e y > C o l u m n s \ H i g h - l e v e l   c a t e g o r y < / K e y > < / a : K e y > < a : V a l u e   i : t y p e = " M e a s u r e G r i d N o d e V i e w S t a t e " > < C o l u m n > 3 9 < / C o l u m n > < L a y e d O u t > t r u e < / L a y e d O u t > < / a : V a l u e > < / a : K e y V a l u e O f D i a g r a m O b j e c t K e y a n y T y p e z b w N T n L X > < a : K e y V a l u e O f D i a g r a m O b j e c t K e y a n y T y p e z b w N T n L X > < a : K e y > < K e y > C o l u m n s \ I n d i c a t o r < / K e y > < / a : K e y > < a : V a l u e   i : t y p e = " M e a s u r e G r i d N o d e V i e w S t a t e " > < C o l u m n > 4 0 < / C o l u m n > < L a y e d O u t > t r u e < / L a y e d O u t > < / a : V a l u e > < / a : K e y V a l u e O f D i a g r a m O b j e c t K e y a n y T y p e z b w N T n L X > < a : K e y V a l u e O f D i a g r a m O b j e c t K e y a n y T y p e z b w N T n L X > < a : K e y > < K e y > L i n k s \ & l t ; C o l u m n s \ C o u n t   o f   C o u n t r y & g t ; - & l t ; M e a s u r e s \ C o u n t r y & g t ; < / K e y > < / a : K e y > < a : V a l u e   i : t y p e = " M e a s u r e G r i d V i e w S t a t e I D i a g r a m L i n k " / > < / a : K e y V a l u e O f D i a g r a m O b j e c t K e y a n y T y p e z b w N T n L X > < a : K e y V a l u e O f D i a g r a m O b j e c t K e y a n y T y p e z b w N T n L X > < a : K e y > < K e y > L i n k s \ & l t ; C o l u m n s \ C o u n t   o f   C o u n t r y & g t ; - & l t ; M e a s u r e s \ C o u n t r y & g t ; \ C O L U M N < / K e y > < / a : K e y > < a : V a l u e   i : t y p e = " M e a s u r e G r i d V i e w S t a t e I D i a g r a m L i n k E n d p o i n t " / > < / a : K e y V a l u e O f D i a g r a m O b j e c t K e y a n y T y p e z b w N T n L X > < a : K e y V a l u e O f D i a g r a m O b j e c t K e y a n y T y p e z b w N T n L X > < a : K e y > < K e y > L i n k s \ & l t ; C o l u m n s \ C o u n t   o f   C o u n t r y & g t ; - & l t ; M e a s u r e s \ C o u n t r y & g t ; \ M E A S U R E < / K e y > < / a : K e y > < a : V a l u e   i : t y p e = " M e a s u r e G r i d V i e w S t a t e I D i a g r a m L i n k E n d p o i n t " / > < / a : K e y V a l u e O f D i a g r a m O b j e c t K e y a n y T y p e z b w N T n L X > < a : K e y V a l u e O f D i a g r a m O b j e c t K e y a n y T y p e z b w N T n L X > < a : K e y > < K e y > L i n k s \ & l t ; C o l u m n s \ C o u n t   o f   R a i l & g t ; - & l t ; M e a s u r e s \ R a i l & g t ; < / K e y > < / a : K e y > < a : V a l u e   i : t y p e = " M e a s u r e G r i d V i e w S t a t e I D i a g r a m L i n k " / > < / a : K e y V a l u e O f D i a g r a m O b j e c t K e y a n y T y p e z b w N T n L X > < a : K e y V a l u e O f D i a g r a m O b j e c t K e y a n y T y p e z b w N T n L X > < a : K e y > < K e y > L i n k s \ & l t ; C o l u m n s \ C o u n t   o f   R a i l & g t ; - & l t ; M e a s u r e s \ R a i l & g t ; \ C O L U M N < / K e y > < / a : K e y > < a : V a l u e   i : t y p e = " M e a s u r e G r i d V i e w S t a t e I D i a g r a m L i n k E n d p o i n t " / > < / a : K e y V a l u e O f D i a g r a m O b j e c t K e y a n y T y p e z b w N T n L X > < a : K e y V a l u e O f D i a g r a m O b j e c t K e y a n y T y p e z b w N T n L X > < a : K e y > < K e y > L i n k s \ & l t ; C o l u m n s \ C o u n t   o f   R a i l & g t ; - & l t ; M e a s u r e s \ R a i l & g t ; \ M E A S U R E < / K e y > < / a : K e y > < a : V a l u e   i : t y p e = " M e a s u r e G r i d V i e w S t a t e I D i a g r a m L i n k E n d p o i n t " / > < / a : K e y V a l u e O f D i a g r a m O b j e c t K e y a n y T y p e z b w N T n L X > < a : K e y V a l u e O f D i a g r a m O b j e c t K e y a n y T y p e z b w N T n L X > < a : K e y > < K e y > L i n k s \ & l t ; C o l u m n s \ C o u n t   o f   H e a v y   r a i l & g t ; - & l t ; M e a s u r e s \ H e a v y   r a i l & g t ; < / K e y > < / a : K e y > < a : V a l u e   i : t y p e = " M e a s u r e G r i d V i e w S t a t e I D i a g r a m L i n k " / > < / a : K e y V a l u e O f D i a g r a m O b j e c t K e y a n y T y p e z b w N T n L X > < a : K e y V a l u e O f D i a g r a m O b j e c t K e y a n y T y p e z b w N T n L X > < a : K e y > < K e y > L i n k s \ & l t ; C o l u m n s \ C o u n t   o f   H e a v y   r a i l & g t ; - & l t ; M e a s u r e s \ H e a v y   r a i l & g t ; \ C O L U M N < / K e y > < / a : K e y > < a : V a l u e   i : t y p e = " M e a s u r e G r i d V i e w S t a t e I D i a g r a m L i n k E n d p o i n t " / > < / a : K e y V a l u e O f D i a g r a m O b j e c t K e y a n y T y p e z b w N T n L X > < a : K e y V a l u e O f D i a g r a m O b j e c t K e y a n y T y p e z b w N T n L X > < a : K e y > < K e y > L i n k s \ & l t ; C o l u m n s \ C o u n t   o f   H e a v y   r a i l & g t ; - & l t ; M e a s u r e s \ H e a v y   r a i l & g t ; \ M E A S U R E < / K e y > < / a : K e y > < a : V a l u e   i : t y p e = " M e a s u r e G r i d V i e w S t a t e I D i a g r a m L i n k E n d p o i n t " / > < / a : K e y V a l u e O f D i a g r a m O b j e c t K e y a n y T y p e z b w N T n L X > < a : K e y V a l u e O f D i a g r a m O b j e c t K e y a n y T y p e z b w N T n L X > < a : K e y > < K e y > L i n k s \ & l t ; C o l u m n s \ C o u n t   o f   W a t e r & g t ; - & l t ; M e a s u r e s \ W a t e r & g t ; < / K e y > < / a : K e y > < a : V a l u e   i : t y p e = " M e a s u r e G r i d V i e w S t a t e I D i a g r a m L i n k " / > < / a : K e y V a l u e O f D i a g r a m O b j e c t K e y a n y T y p e z b w N T n L X > < a : K e y V a l u e O f D i a g r a m O b j e c t K e y a n y T y p e z b w N T n L X > < a : K e y > < K e y > L i n k s \ & l t ; C o l u m n s \ C o u n t   o f   W a t e r & g t ; - & l t ; M e a s u r e s \ W a t e r & g t ; \ C O L U M N < / K e y > < / a : K e y > < a : V a l u e   i : t y p e = " M e a s u r e G r i d V i e w S t a t e I D i a g r a m L i n k E n d p o i n t " / > < / a : K e y V a l u e O f D i a g r a m O b j e c t K e y a n y T y p e z b w N T n L X > < a : K e y V a l u e O f D i a g r a m O b j e c t K e y a n y T y p e z b w N T n L X > < a : K e y > < K e y > L i n k s \ & l t ; C o l u m n s \ C o u n t   o f   W a t e r & g t ; - & l t ; M e a s u r e s \ W a t e r & g t ; \ M E A S U R E < / K e y > < / a : K e y > < a : V a l u e   i : t y p e = " M e a s u r e G r i d V i e w S t a t e I D i a g r a m L i n k E n d p o i n t " / > < / a : K e y V a l u e O f D i a g r a m O b j e c t K e y a n y T y p e z b w N T n L X > < a : K e y V a l u e O f D i a g r a m O b j e c t K e y a n y T y p e z b w N T n L X > < a : K e y > < K e y > L i n k s \ & l t ; C o l u m n s \ C o u n t   o f   C o a s t a l   s h i p p i n g & g t ; - & l t ; M e a s u r e s \ C o a s t a l   s h i p p i n g & g t ; < / K e y > < / a : K e y > < a : V a l u e   i : t y p e = " M e a s u r e G r i d V i e w S t a t e I D i a g r a m L i n k " / > < / a : K e y V a l u e O f D i a g r a m O b j e c t K e y a n y T y p e z b w N T n L X > < a : K e y V a l u e O f D i a g r a m O b j e c t K e y a n y T y p e z b w N T n L X > < a : K e y > < K e y > L i n k s \ & l t ; C o l u m n s \ C o u n t   o f   C o a s t a l   s h i p p i n g & g t ; - & l t ; M e a s u r e s \ C o a s t a l   s h i p p i n g & g t ; \ C O L U M N < / K e y > < / a : K e y > < a : V a l u e   i : t y p e = " M e a s u r e G r i d V i e w S t a t e I D i a g r a m L i n k E n d p o i n t " / > < / a : K e y V a l u e O f D i a g r a m O b j e c t K e y a n y T y p e z b w N T n L X > < a : K e y V a l u e O f D i a g r a m O b j e c t K e y a n y T y p e z b w N T n L X > < a : K e y > < K e y > L i n k s \ & l t ; C o l u m n s \ C o u n t   o f   C o a s t a l   s h i p p i n g & g t ; - & l t ; M e a s u r e s \ C o a s t a l   s h i p p i n g & g t ; \ M E A S U R E < / K e y > < / a : K e y > < a : V a l u e   i : t y p e = " M e a s u r e G r i d V i e w S t a t e I D i a g r a m L i n k E n d p o i n t " / > < / a : K e y V a l u e O f D i a g r a m O b j e c t K e y a n y T y p e z b w N T n L X > < a : K e y V a l u e O f D i a g r a m O b j e c t K e y a n y T y p e z b w N T n L X > < a : K e y > < K e y > L i n k s \ & l t ; C o l u m n s \ C o u n t   o f   I n l a n d   s h i p p i n g & g t ; - & l t ; M e a s u r e s \ I n l a n d   s h i p p i n g & g t ; < / K e y > < / a : K e y > < a : V a l u e   i : t y p e = " M e a s u r e G r i d V i e w S t a t e I D i a g r a m L i n k " / > < / a : K e y V a l u e O f D i a g r a m O b j e c t K e y a n y T y p e z b w N T n L X > < a : K e y V a l u e O f D i a g r a m O b j e c t K e y a n y T y p e z b w N T n L X > < a : K e y > < K e y > L i n k s \ & l t ; C o l u m n s \ C o u n t   o f   I n l a n d   s h i p p i n g & g t ; - & l t ; M e a s u r e s \ I n l a n d   s h i p p i n g & g t ; \ C O L U M N < / K e y > < / a : K e y > < a : V a l u e   i : t y p e = " M e a s u r e G r i d V i e w S t a t e I D i a g r a m L i n k E n d p o i n t " / > < / a : K e y V a l u e O f D i a g r a m O b j e c t K e y a n y T y p e z b w N T n L X > < a : K e y V a l u e O f D i a g r a m O b j e c t K e y a n y T y p e z b w N T n L X > < a : K e y > < K e y > L i n k s \ & l t ; C o l u m n s \ C o u n t   o f   I n l a n d   s h i p p i n g & g t ; - & l t ; M e a s u r e s \ I n l a n d   s h i p p i n g & g t ; \ M E A S U R E < / K e y > < / a : K e y > < a : V a l u e   i : t y p e = " M e a s u r e G r i d V i e w S t a t e I D i a g r a m L i n k E n d p o i n t " / > < / a : K e y V a l u e O f D i a g r a m O b j e c t K e y a n y T y p e z b w N T n L X > < a : K e y V a l u e O f D i a g r a m O b j e c t K e y a n y T y p e z b w N T n L X > < a : K e y > < K e y > L i n k s \ & l t ; C o l u m n s \ C o u n t   o f   I n t e r n a t i o n a l   m a r i t i m e & g t ; - & l t ; M e a s u r e s \ I n t e r n a t i o n a l   m a r i t i m e & g t ; < / K e y > < / a : K e y > < a : V a l u e   i : t y p e = " M e a s u r e G r i d V i e w S t a t e I D i a g r a m L i n k " / > < / a : K e y V a l u e O f D i a g r a m O b j e c t K e y a n y T y p e z b w N T n L X > < a : K e y V a l u e O f D i a g r a m O b j e c t K e y a n y T y p e z b w N T n L X > < a : K e y > < K e y > L i n k s \ & l t ; C o l u m n s \ C o u n t   o f   I n t e r n a t i o n a l   m a r i t i m e & g t ; - & l t ; M e a s u r e s \ I n t e r n a t i o n a l   m a r i t i m e & g t ; \ C O L U M N < / K e y > < / a : K e y > < a : V a l u e   i : t y p e = " M e a s u r e G r i d V i e w S t a t e I D i a g r a m L i n k E n d p o i n t " / > < / a : K e y V a l u e O f D i a g r a m O b j e c t K e y a n y T y p e z b w N T n L X > < a : K e y V a l u e O f D i a g r a m O b j e c t K e y a n y T y p e z b w N T n L X > < a : K e y > < K e y > L i n k s \ & l t ; C o l u m n s \ C o u n t   o f   I n t e r n a t i o n a l   m a r i t i m e & g t ; - & l t ; M e a s u r e s \ I n t e r n a t i o n a l   m a r i t i m e & g t ; \ M E A S U R E < / K e y > < / a : K e y > < a : V a l u e   i : t y p e = " M e a s u r e G r i d V i e w S t a t e I D i a g r a m L i n k E n d p o i n t " / > < / a : K e y V a l u e O f D i a g r a m O b j e c t K e y a n y T y p e z b w N T n L X > < a : K e y V a l u e O f D i a g r a m O b j e c t K e y a n y T y p e z b w N T n L X > < a : K e y > < K e y > L i n k s \ & l t ; C o l u m n s \ C o u n t   o f   R o a d & g t ; - & l t ; M e a s u r e s \ R o a d & g t ; < / K e y > < / a : K e y > < a : V a l u e   i : t y p e = " M e a s u r e G r i d V i e w S t a t e I D i a g r a m L i n k " / > < / a : K e y V a l u e O f D i a g r a m O b j e c t K e y a n y T y p e z b w N T n L X > < a : K e y V a l u e O f D i a g r a m O b j e c t K e y a n y T y p e z b w N T n L X > < a : K e y > < K e y > L i n k s \ & l t ; C o l u m n s \ C o u n t   o f   R o a d & g t ; - & l t ; M e a s u r e s \ R o a d & g t ; \ C O L U M N < / K e y > < / a : K e y > < a : V a l u e   i : t y p e = " M e a s u r e G r i d V i e w S t a t e I D i a g r a m L i n k E n d p o i n t " / > < / a : K e y V a l u e O f D i a g r a m O b j e c t K e y a n y T y p e z b w N T n L X > < a : K e y V a l u e O f D i a g r a m O b j e c t K e y a n y T y p e z b w N T n L X > < a : K e y > < K e y > L i n k s \ & l t ; C o l u m n s \ C o u n t   o f   R o a d & g t ; - & l t ; M e a s u r e s \ R o a d & g t ; \ M E A S U R E < / K e y > < / a : K e y > < a : V a l u e   i : t y p e = " M e a s u r e G r i d V i e w S t a t e I D i a g r a m L i n k E n d p o i n t " / > < / a : K e y V a l u e O f D i a g r a m O b j e c t K e y a n y T y p e z b w N T n L X > < a : K e y V a l u e O f D i a g r a m O b j e c t K e y a n y T y p e z b w N T n L X > < a : K e y > < K e y > L i n k s \ & l t ; C o l u m n s \ D i s t i n c t   C o u n t   o f   C o u n t r y   3 & g t ; - & l t ; M e a s u r e s \ C o u n t r y & g t ; < / K e y > < / a : K e y > < a : V a l u e   i : t y p e = " M e a s u r e G r i d V i e w S t a t e I D i a g r a m L i n k " / > < / a : K e y V a l u e O f D i a g r a m O b j e c t K e y a n y T y p e z b w N T n L X > < a : K e y V a l u e O f D i a g r a m O b j e c t K e y a n y T y p e z b w N T n L X > < a : K e y > < K e y > L i n k s \ & l t ; C o l u m n s \ D i s t i n c t   C o u n t   o f   C o u n t r y   3 & g t ; - & l t ; M e a s u r e s \ C o u n t r y & g t ; \ C O L U M N < / K e y > < / a : K e y > < a : V a l u e   i : t y p e = " M e a s u r e G r i d V i e w S t a t e I D i a g r a m L i n k E n d p o i n t " / > < / a : K e y V a l u e O f D i a g r a m O b j e c t K e y a n y T y p e z b w N T n L X > < a : K e y V a l u e O f D i a g r a m O b j e c t K e y a n y T y p e z b w N T n L X > < a : K e y > < K e y > L i n k s \ & l t ; C o l u m n s \ D i s t i n c t   C o u n t   o f   C o u n t r y   3 & g t ; - & l t ; M e a s u r e s \ C o u n t r y & g t ; \ M E A S U R E < / K e y > < / a : K e y > < a : V a l u e   i : t y p e = " M e a s u r e G r i d V i e w S t a t e I D i a g r a m L i n k E n d p o i n t " / > < / a : K e y V a l u e O f D i a g r a m O b j e c t K e y a n y T y p e z b w N T n L X > < a : K e y V a l u e O f D i a g r a m O b j e c t K e y a n y T y p e z b w N T n L X > < a : K e y > < K e y > L i n k s \ & l t ; C o l u m n s \ C o u n t   o f   C o u n t r y   C o d e   2 & g t ; - & l t ; M e a s u r e s \ C o u n t r y   C o d e & g t ; < / K e y > < / a : K e y > < a : V a l u e   i : t y p e = " M e a s u r e G r i d V i e w S t a t e I D i a g r a m L i n k " / > < / a : K e y V a l u e O f D i a g r a m O b j e c t K e y a n y T y p e z b w N T n L X > < a : K e y V a l u e O f D i a g r a m O b j e c t K e y a n y T y p e z b w N T n L X > < a : K e y > < K e y > L i n k s \ & l t ; C o l u m n s \ C o u n t   o f   C o u n t r y   C o d e   2 & g t ; - & l t ; M e a s u r e s \ C o u n t r y   C o d e & g t ; \ C O L U M N < / K e y > < / a : K e y > < a : V a l u e   i : t y p e = " M e a s u r e G r i d V i e w S t a t e I D i a g r a m L i n k E n d p o i n t " / > < / a : K e y V a l u e O f D i a g r a m O b j e c t K e y a n y T y p e z b w N T n L X > < a : K e y V a l u e O f D i a g r a m O b j e c t K e y a n y T y p e z b w N T n L X > < a : K e y > < K e y > L i n k s \ & l t ; C o l u m n s \ C o u n t   o f   C o u n t r y   C o d e   2 & g t ; - & l t ; M e a s u r e s \ C o u n t r y   C o d e & g t ; \ M E A S U R E < / K e y > < / a : K e y > < a : V a l u e   i : t y p e = " M e a s u r e G r i d V i e w S t a t e I D i a g r a m L i n k E n d p o i n t " / > < / a : K e y V a l u e O f D i a g r a m O b j e c t K e y a n y T y p e z b w N T n L X > < a : K e y V a l u e O f D i a g r a m O b j e c t K e y a n y T y p e z b w N T n L X > < a : K e y > < K e y > L i n k s \ & l t ; C o l u m n s \ D i s t i n c t   C o u n t   o f   C o u n t r y   C o d e   2 & g t ; - & l t ; M e a s u r e s \ C o u n t r y   C o d e & g t ; < / K e y > < / a : K e y > < a : V a l u e   i : t y p e = " M e a s u r e G r i d V i e w S t a t e I D i a g r a m L i n k " / > < / a : K e y V a l u e O f D i a g r a m O b j e c t K e y a n y T y p e z b w N T n L X > < a : K e y V a l u e O f D i a g r a m O b j e c t K e y a n y T y p e z b w N T n L X > < a : K e y > < K e y > L i n k s \ & l t ; C o l u m n s \ D i s t i n c t   C o u n t   o f   C o u n t r y   C o d e   2 & g t ; - & l t ; M e a s u r e s \ C o u n t r y   C o d e & g t ; \ C O L U M N < / K e y > < / a : K e y > < a : V a l u e   i : t y p e = " M e a s u r e G r i d V i e w S t a t e I D i a g r a m L i n k E n d p o i n t " / > < / a : K e y V a l u e O f D i a g r a m O b j e c t K e y a n y T y p e z b w N T n L X > < a : K e y V a l u e O f D i a g r a m O b j e c t K e y a n y T y p e z b w N T n L X > < a : K e y > < K e y > L i n k s \ & l t ; C o l u m n s \ D i s t i n c t   C o u n t   o f   C o u n t r y   C o d e   2 & g t ; - & l t ; M e a s u r e s \ C o u n t r y   C o d e & g t ; \ M E A S U R E < / K e y > < / a : K e y > < a : V a l u e   i : t y p e = " M e a s u r e G r i d V i e w S t a t e I D i a g r a m L i n k E n d p o i n t " / > < / a : K e y V a l u e O f D i a g r a m O b j e c t K e y a n y T y p e z b w N T n L X > < / V i e w S t a t e s > < / D i a g r a m M a n a g e r . S e r i a l i z a b l e D i a g r a m > < D i a g r a m M a n a g e r . S e r i a l i z a b l e D i a g r a m > < A d a p t e r   i : t y p e = " M e a s u r e D i a g r a m S a n d b o x A d a p t e r " > < T a b l e N a m e > T a b l e 1 8 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  C o d e < / K e y > < / D i a g r a m O b j e c t K e y > < D i a g r a m O b j e c t K e y > < K e y > C o l u m n s \ C o u n t r y < / K e y > < / D i a g r a m O b j e c t K e y > < D i a g r a m O b j e c t K e y > < K e y > C o l u m n s \ T y p e   o f   D o c u m e n t < / K e y > < / D i a g r a m O b j e c t K e y > < D i a g r a m O b j e c t K e y > < K e y > C o l u m n s \ P a r a m e t e r < / K e y > < / D i a g r a m O b j e c t K e y > < D i a g r a m O b j e c t K e y > < K e y > C o l u m n s \ T a r g e t   t y p e < / K e y > < / D i a g r a m O b j e c t K e y > < D i a g r a m O b j e c t K e y > < K e y > C o l u m n s \ T a r g e t   Y e a r < / K e y > < / D i a g r a m O b j e c t K e y > < D i a g r a m O b j e c t K e y > < K e y > C o l u m n s \ C o n t e n t < / K e y > < / D i a g r a m O b j e c t K e y > < D i a g r a m O b j e c t K e y > < K e y > C o l u m n s \ P a g e   N u m b e r < / K e y > < / D i a g r a m O b j e c t K e y > < D i a g r a m O b j e c t K e y > < K e y > C o l u m n s \ A n n e x   I   o r   N o n - A n n e x   I < / K e y > < / D i a g r a m O b j e c t K e y > < D i a g r a m O b j e c t K e y > < K e y > C o l u m n s \ I n c o m e   G r o u p < / K e y > < / D i a g r a m O b j e c t K e y > < D i a g r a m O b j e c t K e y > < K e y > C o l u m n s \ R e g i o n < / K e y > < / D i a g r a m O b j e c t K e y > < D i a g r a m O b j e c t K e y > < K e y > C o l u m n s \ G 2 0 < / K e y > < / D i a g r a m O b j e c t K e y > < D i a g r a m O b j e c t K e y > < K e y > C o l u m n s \ G 7 < / K e y > < / D i a g r a m O b j e c t K e y > < D i a g r a m O b j e c t K e y > < K e y > C o l u m n s \ O E C D < / K e y > < / D i a g r a m O b j e c t K e y > < D i a g r a m O b j e c t K e y > < K e y > C o l u m n s \ G H G   t o t a l < / K e y > < / D i a g r a m O b j e c t K e y > < D i a g r a m O b j e c t K e y > < K e y > C o l u m n s \ G H G   t r a n s p o r t < / K e y > < / D i a g r a m O b j e c t K e y > < D i a g r a m O b j e c t K e y > < K e y > M e a s u r e s \ C o u n t   o f   C o u n t r y   9 < / K e y > < / D i a g r a m O b j e c t K e y > < D i a g r a m O b j e c t K e y > < K e y > M e a s u r e s \ C o u n t   o f   C o u n t r y   9 \ T a g I n f o \ F o r m u l a < / K e y > < / D i a g r a m O b j e c t K e y > < D i a g r a m O b j e c t K e y > < K e y > M e a s u r e s \ C o u n t   o f   C o u n t r y   9 \ T a g I n f o \ V a l u e < / K e y > < / D i a g r a m O b j e c t K e y > < D i a g r a m O b j e c t K e y > < K e y > M e a s u r e s \ D i s t i n c t   C o u n t   o f   C o u n t r y   8 < / K e y > < / D i a g r a m O b j e c t K e y > < D i a g r a m O b j e c t K e y > < K e y > M e a s u r e s \ D i s t i n c t   C o u n t   o f   C o u n t r y   8 \ T a g I n f o \ F o r m u l a < / K e y > < / D i a g r a m O b j e c t K e y > < D i a g r a m O b j e c t K e y > < K e y > M e a s u r e s \ D i s t i n c t   C o u n t   o f   C o u n t r y   8 \ T a g I n f o \ V a l u e < / K e y > < / D i a g r a m O b j e c t K e y > < D i a g r a m O b j e c t K e y > < K e y > M e a s u r e s \ C o u n t   o f   C o u n t r y   C o d e   4 < / K e y > < / D i a g r a m O b j e c t K e y > < D i a g r a m O b j e c t K e y > < K e y > M e a s u r e s \ C o u n t   o f   C o u n t r y   C o d e   4 \ T a g I n f o \ F o r m u l a < / K e y > < / D i a g r a m O b j e c t K e y > < D i a g r a m O b j e c t K e y > < K e y > M e a s u r e s \ C o u n t   o f   C o u n t r y   C o d e   4 \ T a g I n f o \ V a l u e < / K e y > < / D i a g r a m O b j e c t K e y > < D i a g r a m O b j e c t K e y > < K e y > M e a s u r e s \ C o u n t   o f   P a r a m e t e r < / K e y > < / D i a g r a m O b j e c t K e y > < D i a g r a m O b j e c t K e y > < K e y > M e a s u r e s \ C o u n t   o f   P a r a m e t e r \ T a g I n f o \ F o r m u l a < / K e y > < / D i a g r a m O b j e c t K e y > < D i a g r a m O b j e c t K e y > < K e y > M e a s u r e s \ C o u n t   o f   P a r a m e t e r \ T a g I n f o \ V a l u e < / K e y > < / D i a g r a m O b j e c t K e y > < D i a g r a m O b j e c t K e y > < K e y > M e a s u r e s \ D i s t i n c t   C o u n t   o f   P a r a m e t e r < / K e y > < / D i a g r a m O b j e c t K e y > < D i a g r a m O b j e c t K e y > < K e y > M e a s u r e s \ D i s t i n c t   C o u n t   o f   P a r a m e t e r \ T a g I n f o \ F o r m u l a < / K e y > < / D i a g r a m O b j e c t K e y > < D i a g r a m O b j e c t K e y > < K e y > M e a s u r e s \ D i s t i n c t   C o u n t   o f   P a r a m e t e r \ T a g I n f o \ V a l u e < / K e y > < / D i a g r a m O b j e c t K e y > < D i a g r a m O b j e c t K e y > < K e y > M e a s u r e s \ D i s t i n c t   C o u n t   o f   C o u n t r y   C o d e   3 < / K e y > < / D i a g r a m O b j e c t K e y > < D i a g r a m O b j e c t K e y > < K e y > M e a s u r e s \ D i s t i n c t   C o u n t   o f   C o u n t r y   C o d e   3 \ T a g I n f o \ F o r m u l a < / K e y > < / D i a g r a m O b j e c t K e y > < D i a g r a m O b j e c t K e y > < K e y > M e a s u r e s \ D i s t i n c t   C o u n t   o f   C o u n t r y   C o d e   3 \ T a g I n f o \ V a l u e < / K e y > < / D i a g r a m O b j e c t K e y > < D i a g r a m O b j e c t K e y > < K e y > L i n k s \ & l t ; C o l u m n s \ C o u n t   o f   C o u n t r y   9 & g t ; - & l t ; M e a s u r e s \ C o u n t r y & g t ; < / K e y > < / D i a g r a m O b j e c t K e y > < D i a g r a m O b j e c t K e y > < K e y > L i n k s \ & l t ; C o l u m n s \ C o u n t   o f   C o u n t r y   9 & g t ; - & l t ; M e a s u r e s \ C o u n t r y & g t ; \ C O L U M N < / K e y > < / D i a g r a m O b j e c t K e y > < D i a g r a m O b j e c t K e y > < K e y > L i n k s \ & l t ; C o l u m n s \ C o u n t   o f   C o u n t r y   9 & g t ; - & l t ; M e a s u r e s \ C o u n t r y & g t ; \ M E A S U R E < / K e y > < / D i a g r a m O b j e c t K e y > < D i a g r a m O b j e c t K e y > < K e y > L i n k s \ & l t ; C o l u m n s \ D i s t i n c t   C o u n t   o f   C o u n t r y   8 & g t ; - & l t ; M e a s u r e s \ C o u n t r y & g t ; < / K e y > < / D i a g r a m O b j e c t K e y > < D i a g r a m O b j e c t K e y > < K e y > L i n k s \ & l t ; C o l u m n s \ D i s t i n c t   C o u n t   o f   C o u n t r y   8 & g t ; - & l t ; M e a s u r e s \ C o u n t r y & g t ; \ C O L U M N < / K e y > < / D i a g r a m O b j e c t K e y > < D i a g r a m O b j e c t K e y > < K e y > L i n k s \ & l t ; C o l u m n s \ D i s t i n c t   C o u n t   o f   C o u n t r y   8 & g t ; - & l t ; M e a s u r e s \ C o u n t r y & g t ; \ M E A S U R E < / K e y > < / D i a g r a m O b j e c t K e y > < D i a g r a m O b j e c t K e y > < K e y > L i n k s \ & l t ; C o l u m n s \ C o u n t   o f   C o u n t r y   C o d e   4 & g t ; - & l t ; M e a s u r e s \ C o u n t r y   C o d e & g t ; < / K e y > < / D i a g r a m O b j e c t K e y > < D i a g r a m O b j e c t K e y > < K e y > L i n k s \ & l t ; C o l u m n s \ C o u n t   o f   C o u n t r y   C o d e   4 & g t ; - & l t ; M e a s u r e s \ C o u n t r y   C o d e & g t ; \ C O L U M N < / K e y > < / D i a g r a m O b j e c t K e y > < D i a g r a m O b j e c t K e y > < K e y > L i n k s \ & l t ; C o l u m n s \ C o u n t   o f   C o u n t r y   C o d e   4 & g t ; - & l t ; M e a s u r e s \ C o u n t r y   C o d e & g t ; \ M E A S U R E < / K e y > < / D i a g r a m O b j e c t K e y > < D i a g r a m O b j e c t K e y > < K e y > L i n k s \ & l t ; C o l u m n s \ C o u n t   o f   P a r a m e t e r & g t ; - & l t ; M e a s u r e s \ P a r a m e t e r & g t ; < / K e y > < / D i a g r a m O b j e c t K e y > < D i a g r a m O b j e c t K e y > < K e y > L i n k s \ & l t ; C o l u m n s \ C o u n t   o f   P a r a m e t e r & g t ; - & l t ; M e a s u r e s \ P a r a m e t e r & g t ; \ C O L U M N < / K e y > < / D i a g r a m O b j e c t K e y > < D i a g r a m O b j e c t K e y > < K e y > L i n k s \ & l t ; C o l u m n s \ C o u n t   o f   P a r a m e t e r & g t ; - & l t ; M e a s u r e s \ P a r a m e t e r & g t ; \ M E A S U R E < / K e y > < / D i a g r a m O b j e c t K e y > < D i a g r a m O b j e c t K e y > < K e y > L i n k s \ & l t ; C o l u m n s \ D i s t i n c t   C o u n t   o f   P a r a m e t e r & g t ; - & l t ; M e a s u r e s \ P a r a m e t e r & g t ; < / K e y > < / D i a g r a m O b j e c t K e y > < D i a g r a m O b j e c t K e y > < K e y > L i n k s \ & l t ; C o l u m n s \ D i s t i n c t   C o u n t   o f   P a r a m e t e r & g t ; - & l t ; M e a s u r e s \ P a r a m e t e r & g t ; \ C O L U M N < / K e y > < / D i a g r a m O b j e c t K e y > < D i a g r a m O b j e c t K e y > < K e y > L i n k s \ & l t ; C o l u m n s \ D i s t i n c t   C o u n t   o f   P a r a m e t e r & g t ; - & l t ; M e a s u r e s \ P a r a m e t e r & g t ; \ M E A S U R E < / K e y > < / D i a g r a m O b j e c t K e y > < D i a g r a m O b j e c t K e y > < K e y > L i n k s \ & l t ; C o l u m n s \ D i s t i n c t   C o u n t   o f   C o u n t r y   C o d e   3 & g t ; - & l t ; M e a s u r e s \ C o u n t r y   C o d e & g t ; < / K e y > < / D i a g r a m O b j e c t K e y > < D i a g r a m O b j e c t K e y > < K e y > L i n k s \ & l t ; C o l u m n s \ D i s t i n c t   C o u n t   o f   C o u n t r y   C o d e   3 & g t ; - & l t ; M e a s u r e s \ C o u n t r y   C o d e & g t ; \ C O L U M N < / K e y > < / D i a g r a m O b j e c t K e y > < D i a g r a m O b j e c t K e y > < K e y > L i n k s \ & l t ; C o l u m n s \ D i s t i n c t   C o u n t   o f   C o u n t r y   C o d e   3 & g t ; - & l t ; M e a s u r e s \ C o u n t r y   C o d e & g t ; \ M E A S U R E 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  C o d e < / 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 C o l u m n s \ T y p e   o f   D o c u m e n t < / K e y > < / a : K e y > < a : V a l u e   i : t y p e = " M e a s u r e G r i d N o d e V i e w S t a t e " > < C o l u m n > 2 < / C o l u m n > < L a y e d O u t > t r u e < / L a y e d O u t > < / a : V a l u e > < / a : K e y V a l u e O f D i a g r a m O b j e c t K e y a n y T y p e z b w N T n L X > < a : K e y V a l u e O f D i a g r a m O b j e c t K e y a n y T y p e z b w N T n L X > < a : K e y > < K e y > C o l u m n s \ P a r a m e t e r < / K e y > < / a : K e y > < a : V a l u e   i : t y p e = " M e a s u r e G r i d N o d e V i e w S t a t e " > < C o l u m n > 3 < / C o l u m n > < L a y e d O u t > t r u e < / L a y e d O u t > < / a : V a l u e > < / a : K e y V a l u e O f D i a g r a m O b j e c t K e y a n y T y p e z b w N T n L X > < a : K e y V a l u e O f D i a g r a m O b j e c t K e y a n y T y p e z b w N T n L X > < a : K e y > < K e y > C o l u m n s \ T a r g e t   t y p e < / K e y > < / a : K e y > < a : V a l u e   i : t y p e = " M e a s u r e G r i d N o d e V i e w S t a t e " > < C o l u m n > 4 < / C o l u m n > < L a y e d O u t > t r u e < / L a y e d O u t > < / a : V a l u e > < / a : K e y V a l u e O f D i a g r a m O b j e c t K e y a n y T y p e z b w N T n L X > < a : K e y V a l u e O f D i a g r a m O b j e c t K e y a n y T y p e z b w N T n L X > < a : K e y > < K e y > C o l u m n s \ T a r g e t   Y e a r < / K e y > < / a : K e y > < a : V a l u e   i : t y p e = " M e a s u r e G r i d N o d e V i e w S t a t e " > < C o l u m n > 5 < / C o l u m n > < L a y e d O u t > t r u e < / L a y e d O u t > < / a : V a l u e > < / a : K e y V a l u e O f D i a g r a m O b j e c t K e y a n y T y p e z b w N T n L X > < a : K e y V a l u e O f D i a g r a m O b j e c t K e y a n y T y p e z b w N T n L X > < a : K e y > < K e y > C o l u m n s \ C o n t e n t < / K e y > < / a : K e y > < a : V a l u e   i : t y p e = " M e a s u r e G r i d N o d e V i e w S t a t e " > < C o l u m n > 6 < / C o l u m n > < L a y e d O u t > t r u e < / L a y e d O u t > < / a : V a l u e > < / a : K e y V a l u e O f D i a g r a m O b j e c t K e y a n y T y p e z b w N T n L X > < a : K e y V a l u e O f D i a g r a m O b j e c t K e y a n y T y p e z b w N T n L X > < a : K e y > < K e y > C o l u m n s \ P a g e   N u m b e r < / K e y > < / a : K e y > < a : V a l u e   i : t y p e = " M e a s u r e G r i d N o d e V i e w S t a t e " > < C o l u m n > 7 < / C o l u m n > < L a y e d O u t > t r u e < / L a y e d O u t > < / a : V a l u e > < / a : K e y V a l u e O f D i a g r a m O b j e c t K e y a n y T y p e z b w N T n L X > < a : K e y V a l u e O f D i a g r a m O b j e c t K e y a n y T y p e z b w N T n L X > < a : K e y > < K e y > C o l u m n s \ A n n e x   I   o r   N o n - A n n e x   I < / K e y > < / a : K e y > < a : V a l u e   i : t y p e = " M e a s u r e G r i d N o d e V i e w S t a t e " > < C o l u m n > 8 < / C o l u m n > < L a y e d O u t > t r u e < / L a y e d O u t > < / a : V a l u e > < / a : K e y V a l u e O f D i a g r a m O b j e c t K e y a n y T y p e z b w N T n L X > < a : K e y V a l u e O f D i a g r a m O b j e c t K e y a n y T y p e z b w N T n L X > < a : K e y > < K e y > C o l u m n s \ I n c o m e   G r o u p < / K e y > < / a : K e y > < a : V a l u e   i : t y p e = " M e a s u r e G r i d N o d e V i e w S t a t e " > < C o l u m n > 9 < / C o l u m n > < L a y e d O u t > t r u e < / L a y e d O u t > < / a : V a l u e > < / a : K e y V a l u e O f D i a g r a m O b j e c t K e y a n y T y p e z b w N T n L X > < a : K e y V a l u e O f D i a g r a m O b j e c t K e y a n y T y p e z b w N T n L X > < a : K e y > < K e y > C o l u m n s \ R e g i o n < / K e y > < / a : K e y > < a : V a l u e   i : t y p e = " M e a s u r e G r i d N o d e V i e w S t a t e " > < C o l u m n > 1 0 < / C o l u m n > < L a y e d O u t > t r u e < / L a y e d O u t > < / a : V a l u e > < / a : K e y V a l u e O f D i a g r a m O b j e c t K e y a n y T y p e z b w N T n L X > < a : K e y V a l u e O f D i a g r a m O b j e c t K e y a n y T y p e z b w N T n L X > < a : K e y > < K e y > C o l u m n s \ G 2 0 < / K e y > < / a : K e y > < a : V a l u e   i : t y p e = " M e a s u r e G r i d N o d e V i e w S t a t e " > < C o l u m n > 1 1 < / C o l u m n > < L a y e d O u t > t r u e < / L a y e d O u t > < / a : V a l u e > < / a : K e y V a l u e O f D i a g r a m O b j e c t K e y a n y T y p e z b w N T n L X > < a : K e y V a l u e O f D i a g r a m O b j e c t K e y a n y T y p e z b w N T n L X > < a : K e y > < K e y > C o l u m n s \ G 7 < / K e y > < / a : K e y > < a : V a l u e   i : t y p e = " M e a s u r e G r i d N o d e V i e w S t a t e " > < C o l u m n > 1 2 < / C o l u m n > < L a y e d O u t > t r u e < / L a y e d O u t > < / a : V a l u e > < / a : K e y V a l u e O f D i a g r a m O b j e c t K e y a n y T y p e z b w N T n L X > < a : K e y V a l u e O f D i a g r a m O b j e c t K e y a n y T y p e z b w N T n L X > < a : K e y > < K e y > C o l u m n s \ O E C D < / K e y > < / a : K e y > < a : V a l u e   i : t y p e = " M e a s u r e G r i d N o d e V i e w S t a t e " > < C o l u m n > 1 3 < / C o l u m n > < L a y e d O u t > t r u e < / L a y e d O u t > < / a : V a l u e > < / a : K e y V a l u e O f D i a g r a m O b j e c t K e y a n y T y p e z b w N T n L X > < a : K e y V a l u e O f D i a g r a m O b j e c t K e y a n y T y p e z b w N T n L X > < a : K e y > < K e y > C o l u m n s \ G H G   t o t a l < / K e y > < / a : K e y > < a : V a l u e   i : t y p e = " M e a s u r e G r i d N o d e V i e w S t a t e " > < C o l u m n > 1 4 < / C o l u m n > < L a y e d O u t > t r u e < / L a y e d O u t > < / a : V a l u e > < / a : K e y V a l u e O f D i a g r a m O b j e c t K e y a n y T y p e z b w N T n L X > < a : K e y V a l u e O f D i a g r a m O b j e c t K e y a n y T y p e z b w N T n L X > < a : K e y > < K e y > C o l u m n s \ G H G   t r a n s p o r t < / K e y > < / a : K e y > < a : V a l u e   i : t y p e = " M e a s u r e G r i d N o d e V i e w S t a t e " > < C o l u m n > 1 5 < / C o l u m n > < L a y e d O u t > t r u e < / L a y e d O u t > < / a : V a l u e > < / a : K e y V a l u e O f D i a g r a m O b j e c t K e y a n y T y p e z b w N T n L X > < a : K e y V a l u e O f D i a g r a m O b j e c t K e y a n y T y p e z b w N T n L X > < a : K e y > < K e y > M e a s u r e s \ C o u n t   o f   C o u n t r y   9 < / K e y > < / a : K e y > < a : V a l u e   i : t y p e = " M e a s u r e G r i d N o d e V i e w S t a t e " > < C o l u m n > 1 < / C o l u m n > < L a y e d O u t > t r u e < / L a y e d O u t > < W a s U I I n v i s i b l e > t r u e < / W a s U I I n v i s i b l e > < / a : V a l u e > < / a : K e y V a l u e O f D i a g r a m O b j e c t K e y a n y T y p e z b w N T n L X > < a : K e y V a l u e O f D i a g r a m O b j e c t K e y a n y T y p e z b w N T n L X > < a : K e y > < K e y > M e a s u r e s \ C o u n t   o f   C o u n t r y   9 \ T a g I n f o \ F o r m u l a < / K e y > < / a : K e y > < a : V a l u e   i : t y p e = " M e a s u r e G r i d V i e w S t a t e I D i a g r a m T a g A d d i t i o n a l I n f o " / > < / a : K e y V a l u e O f D i a g r a m O b j e c t K e y a n y T y p e z b w N T n L X > < a : K e y V a l u e O f D i a g r a m O b j e c t K e y a n y T y p e z b w N T n L X > < a : K e y > < K e y > M e a s u r e s \ C o u n t   o f   C o u n t r y   9 \ T a g I n f o \ V a l u e < / K e y > < / a : K e y > < a : V a l u e   i : t y p e = " M e a s u r e G r i d V i e w S t a t e I D i a g r a m T a g A d d i t i o n a l I n f o " / > < / a : K e y V a l u e O f D i a g r a m O b j e c t K e y a n y T y p e z b w N T n L X > < a : K e y V a l u e O f D i a g r a m O b j e c t K e y a n y T y p e z b w N T n L X > < a : K e y > < K e y > M e a s u r e s \ D i s t i n c t   C o u n t   o f   C o u n t r y   8 < / K e y > < / a : K e y > < a : V a l u e   i : t y p e = " M e a s u r e G r i d N o d e V i e w S t a t e " > < C o l u m n > 1 < / C o l u m n > < L a y e d O u t > t r u e < / L a y e d O u t > < W a s U I I n v i s i b l e > t r u e < / W a s U I I n v i s i b l e > < / a : V a l u e > < / a : K e y V a l u e O f D i a g r a m O b j e c t K e y a n y T y p e z b w N T n L X > < a : K e y V a l u e O f D i a g r a m O b j e c t K e y a n y T y p e z b w N T n L X > < a : K e y > < K e y > M e a s u r e s \ D i s t i n c t   C o u n t   o f   C o u n t r y   8 \ T a g I n f o \ F o r m u l a < / K e y > < / a : K e y > < a : V a l u e   i : t y p e = " M e a s u r e G r i d V i e w S t a t e I D i a g r a m T a g A d d i t i o n a l I n f o " / > < / a : K e y V a l u e O f D i a g r a m O b j e c t K e y a n y T y p e z b w N T n L X > < a : K e y V a l u e O f D i a g r a m O b j e c t K e y a n y T y p e z b w N T n L X > < a : K e y > < K e y > M e a s u r e s \ D i s t i n c t   C o u n t   o f   C o u n t r y   8 \ T a g I n f o \ V a l u e < / K e y > < / a : K e y > < a : V a l u e   i : t y p e = " M e a s u r e G r i d V i e w S t a t e I D i a g r a m T a g A d d i t i o n a l I n f o " / > < / a : K e y V a l u e O f D i a g r a m O b j e c t K e y a n y T y p e z b w N T n L X > < a : K e y V a l u e O f D i a g r a m O b j e c t K e y a n y T y p e z b w N T n L X > < a : K e y > < K e y > M e a s u r e s \ C o u n t   o f   C o u n t r y   C o d e   4 < / K e y > < / a : K e y > < a : V a l u e   i : t y p e = " M e a s u r e G r i d N o d e V i e w S t a t e " > < L a y e d O u t > t r u e < / L a y e d O u t > < W a s U I I n v i s i b l e > t r u e < / W a s U I I n v i s i b l e > < / a : V a l u e > < / a : K e y V a l u e O f D i a g r a m O b j e c t K e y a n y T y p e z b w N T n L X > < a : K e y V a l u e O f D i a g r a m O b j e c t K e y a n y T y p e z b w N T n L X > < a : K e y > < K e y > M e a s u r e s \ C o u n t   o f   C o u n t r y   C o d e   4 \ T a g I n f o \ F o r m u l a < / K e y > < / a : K e y > < a : V a l u e   i : t y p e = " M e a s u r e G r i d V i e w S t a t e I D i a g r a m T a g A d d i t i o n a l I n f o " / > < / a : K e y V a l u e O f D i a g r a m O b j e c t K e y a n y T y p e z b w N T n L X > < a : K e y V a l u e O f D i a g r a m O b j e c t K e y a n y T y p e z b w N T n L X > < a : K e y > < K e y > M e a s u r e s \ C o u n t   o f   C o u n t r y   C o d e   4 \ T a g I n f o \ V a l u e < / K e y > < / a : K e y > < a : V a l u e   i : t y p e = " M e a s u r e G r i d V i e w S t a t e I D i a g r a m T a g A d d i t i o n a l I n f o " / > < / a : K e y V a l u e O f D i a g r a m O b j e c t K e y a n y T y p e z b w N T n L X > < a : K e y V a l u e O f D i a g r a m O b j e c t K e y a n y T y p e z b w N T n L X > < a : K e y > < K e y > M e a s u r e s \ C o u n t   o f   P a r a m e t e r < / K e y > < / a : K e y > < a : V a l u e   i : t y p e = " M e a s u r e G r i d N o d e V i e w S t a t e " > < C o l u m n > 3 < / C o l u m n > < L a y e d O u t > t r u e < / L a y e d O u t > < W a s U I I n v i s i b l e > t r u e < / W a s U I I n v i s i b l e > < / a : V a l u e > < / a : K e y V a l u e O f D i a g r a m O b j e c t K e y a n y T y p e z b w N T n L X > < a : K e y V a l u e O f D i a g r a m O b j e c t K e y a n y T y p e z b w N T n L X > < a : K e y > < K e y > M e a s u r e s \ C o u n t   o f   P a r a m e t e r \ T a g I n f o \ F o r m u l a < / K e y > < / a : K e y > < a : V a l u e   i : t y p e = " M e a s u r e G r i d V i e w S t a t e I D i a g r a m T a g A d d i t i o n a l I n f o " / > < / a : K e y V a l u e O f D i a g r a m O b j e c t K e y a n y T y p e z b w N T n L X > < a : K e y V a l u e O f D i a g r a m O b j e c t K e y a n y T y p e z b w N T n L X > < a : K e y > < K e y > M e a s u r e s \ C o u n t   o f   P a r a m e t e r \ T a g I n f o \ V a l u e < / K e y > < / a : K e y > < a : V a l u e   i : t y p e = " M e a s u r e G r i d V i e w S t a t e I D i a g r a m T a g A d d i t i o n a l I n f o " / > < / a : K e y V a l u e O f D i a g r a m O b j e c t K e y a n y T y p e z b w N T n L X > < a : K e y V a l u e O f D i a g r a m O b j e c t K e y a n y T y p e z b w N T n L X > < a : K e y > < K e y > M e a s u r e s \ D i s t i n c t   C o u n t   o f   P a r a m e t e r < / K e y > < / a : K e y > < a : V a l u e   i : t y p e = " M e a s u r e G r i d N o d e V i e w S t a t e " > < C o l u m n > 3 < / C o l u m n > < L a y e d O u t > t r u e < / L a y e d O u t > < W a s U I I n v i s i b l e > t r u e < / W a s U I I n v i s i b l e > < / a : V a l u e > < / a : K e y V a l u e O f D i a g r a m O b j e c t K e y a n y T y p e z b w N T n L X > < a : K e y V a l u e O f D i a g r a m O b j e c t K e y a n y T y p e z b w N T n L X > < a : K e y > < K e y > M e a s u r e s \ D i s t i n c t   C o u n t   o f   P a r a m e t e r \ T a g I n f o \ F o r m u l a < / K e y > < / a : K e y > < a : V a l u e   i : t y p e = " M e a s u r e G r i d V i e w S t a t e I D i a g r a m T a g A d d i t i o n a l I n f o " / > < / a : K e y V a l u e O f D i a g r a m O b j e c t K e y a n y T y p e z b w N T n L X > < a : K e y V a l u e O f D i a g r a m O b j e c t K e y a n y T y p e z b w N T n L X > < a : K e y > < K e y > M e a s u r e s \ D i s t i n c t   C o u n t   o f   P a r a m e t e r \ T a g I n f o \ V a l u e < / K e y > < / a : K e y > < a : V a l u e   i : t y p e = " M e a s u r e G r i d V i e w S t a t e I D i a g r a m T a g A d d i t i o n a l I n f o " / > < / a : K e y V a l u e O f D i a g r a m O b j e c t K e y a n y T y p e z b w N T n L X > < a : K e y V a l u e O f D i a g r a m O b j e c t K e y a n y T y p e z b w N T n L X > < a : K e y > < K e y > M e a s u r e s \ D i s t i n c t   C o u n t   o f   C o u n t r y   C o d e   3 < / K e y > < / a : K e y > < a : V a l u e   i : t y p e = " M e a s u r e G r i d N o d e V i e w S t a t e " > < L a y e d O u t > t r u e < / L a y e d O u t > < W a s U I I n v i s i b l e > t r u e < / W a s U I I n v i s i b l e > < / a : V a l u e > < / a : K e y V a l u e O f D i a g r a m O b j e c t K e y a n y T y p e z b w N T n L X > < a : K e y V a l u e O f D i a g r a m O b j e c t K e y a n y T y p e z b w N T n L X > < a : K e y > < K e y > M e a s u r e s \ D i s t i n c t   C o u n t   o f   C o u n t r y   C o d e   3 \ T a g I n f o \ F o r m u l a < / K e y > < / a : K e y > < a : V a l u e   i : t y p e = " M e a s u r e G r i d V i e w S t a t e I D i a g r a m T a g A d d i t i o n a l I n f o " / > < / a : K e y V a l u e O f D i a g r a m O b j e c t K e y a n y T y p e z b w N T n L X > < a : K e y V a l u e O f D i a g r a m O b j e c t K e y a n y T y p e z b w N T n L X > < a : K e y > < K e y > M e a s u r e s \ D i s t i n c t   C o u n t   o f   C o u n t r y   C o d e   3 \ T a g I n f o \ V a l u e < / K e y > < / a : K e y > < a : V a l u e   i : t y p e = " M e a s u r e G r i d V i e w S t a t e I D i a g r a m T a g A d d i t i o n a l I n f o " / > < / a : K e y V a l u e O f D i a g r a m O b j e c t K e y a n y T y p e z b w N T n L X > < a : K e y V a l u e O f D i a g r a m O b j e c t K e y a n y T y p e z b w N T n L X > < a : K e y > < K e y > L i n k s \ & l t ; C o l u m n s \ C o u n t   o f   C o u n t r y   9 & g t ; - & l t ; M e a s u r e s \ C o u n t r y & g t ; < / K e y > < / a : K e y > < a : V a l u e   i : t y p e = " M e a s u r e G r i d V i e w S t a t e I D i a g r a m L i n k " / > < / a : K e y V a l u e O f D i a g r a m O b j e c t K e y a n y T y p e z b w N T n L X > < a : K e y V a l u e O f D i a g r a m O b j e c t K e y a n y T y p e z b w N T n L X > < a : K e y > < K e y > L i n k s \ & l t ; C o l u m n s \ C o u n t   o f   C o u n t r y   9 & g t ; - & l t ; M e a s u r e s \ C o u n t r y & g t ; \ C O L U M N < / K e y > < / a : K e y > < a : V a l u e   i : t y p e = " M e a s u r e G r i d V i e w S t a t e I D i a g r a m L i n k E n d p o i n t " / > < / a : K e y V a l u e O f D i a g r a m O b j e c t K e y a n y T y p e z b w N T n L X > < a : K e y V a l u e O f D i a g r a m O b j e c t K e y a n y T y p e z b w N T n L X > < a : K e y > < K e y > L i n k s \ & l t ; C o l u m n s \ C o u n t   o f   C o u n t r y   9 & g t ; - & l t ; M e a s u r e s \ C o u n t r y & g t ; \ M E A S U R E < / K e y > < / a : K e y > < a : V a l u e   i : t y p e = " M e a s u r e G r i d V i e w S t a t e I D i a g r a m L i n k E n d p o i n t " / > < / a : K e y V a l u e O f D i a g r a m O b j e c t K e y a n y T y p e z b w N T n L X > < a : K e y V a l u e O f D i a g r a m O b j e c t K e y a n y T y p e z b w N T n L X > < a : K e y > < K e y > L i n k s \ & l t ; C o l u m n s \ D i s t i n c t   C o u n t   o f   C o u n t r y   8 & g t ; - & l t ; M e a s u r e s \ C o u n t r y & g t ; < / K e y > < / a : K e y > < a : V a l u e   i : t y p e = " M e a s u r e G r i d V i e w S t a t e I D i a g r a m L i n k " / > < / a : K e y V a l u e O f D i a g r a m O b j e c t K e y a n y T y p e z b w N T n L X > < a : K e y V a l u e O f D i a g r a m O b j e c t K e y a n y T y p e z b w N T n L X > < a : K e y > < K e y > L i n k s \ & l t ; C o l u m n s \ D i s t i n c t   C o u n t   o f   C o u n t r y   8 & g t ; - & l t ; M e a s u r e s \ C o u n t r y & g t ; \ C O L U M N < / K e y > < / a : K e y > < a : V a l u e   i : t y p e = " M e a s u r e G r i d V i e w S t a t e I D i a g r a m L i n k E n d p o i n t " / > < / a : K e y V a l u e O f D i a g r a m O b j e c t K e y a n y T y p e z b w N T n L X > < a : K e y V a l u e O f D i a g r a m O b j e c t K e y a n y T y p e z b w N T n L X > < a : K e y > < K e y > L i n k s \ & l t ; C o l u m n s \ D i s t i n c t   C o u n t   o f   C o u n t r y   8 & g t ; - & l t ; M e a s u r e s \ C o u n t r y & g t ; \ M E A S U R E < / K e y > < / a : K e y > < a : V a l u e   i : t y p e = " M e a s u r e G r i d V i e w S t a t e I D i a g r a m L i n k E n d p o i n t " / > < / a : K e y V a l u e O f D i a g r a m O b j e c t K e y a n y T y p e z b w N T n L X > < a : K e y V a l u e O f D i a g r a m O b j e c t K e y a n y T y p e z b w N T n L X > < a : K e y > < K e y > L i n k s \ & l t ; C o l u m n s \ C o u n t   o f   C o u n t r y   C o d e   4 & g t ; - & l t ; M e a s u r e s \ C o u n t r y   C o d e & g t ; < / K e y > < / a : K e y > < a : V a l u e   i : t y p e = " M e a s u r e G r i d V i e w S t a t e I D i a g r a m L i n k " / > < / a : K e y V a l u e O f D i a g r a m O b j e c t K e y a n y T y p e z b w N T n L X > < a : K e y V a l u e O f D i a g r a m O b j e c t K e y a n y T y p e z b w N T n L X > < a : K e y > < K e y > L i n k s \ & l t ; C o l u m n s \ C o u n t   o f   C o u n t r y   C o d e   4 & g t ; - & l t ; M e a s u r e s \ C o u n t r y   C o d e & g t ; \ C O L U M N < / K e y > < / a : K e y > < a : V a l u e   i : t y p e = " M e a s u r e G r i d V i e w S t a t e I D i a g r a m L i n k E n d p o i n t " / > < / a : K e y V a l u e O f D i a g r a m O b j e c t K e y a n y T y p e z b w N T n L X > < a : K e y V a l u e O f D i a g r a m O b j e c t K e y a n y T y p e z b w N T n L X > < a : K e y > < K e y > L i n k s \ & l t ; C o l u m n s \ C o u n t   o f   C o u n t r y   C o d e   4 & g t ; - & l t ; M e a s u r e s \ C o u n t r y   C o d e & g t ; \ M E A S U R E < / K e y > < / a : K e y > < a : V a l u e   i : t y p e = " M e a s u r e G r i d V i e w S t a t e I D i a g r a m L i n k E n d p o i n t " / > < / a : K e y V a l u e O f D i a g r a m O b j e c t K e y a n y T y p e z b w N T n L X > < a : K e y V a l u e O f D i a g r a m O b j e c t K e y a n y T y p e z b w N T n L X > < a : K e y > < K e y > L i n k s \ & l t ; C o l u m n s \ C o u n t   o f   P a r a m e t e r & g t ; - & l t ; M e a s u r e s \ P a r a m e t e r & g t ; < / K e y > < / a : K e y > < a : V a l u e   i : t y p e = " M e a s u r e G r i d V i e w S t a t e I D i a g r a m L i n k " / > < / a : K e y V a l u e O f D i a g r a m O b j e c t K e y a n y T y p e z b w N T n L X > < a : K e y V a l u e O f D i a g r a m O b j e c t K e y a n y T y p e z b w N T n L X > < a : K e y > < K e y > L i n k s \ & l t ; C o l u m n s \ C o u n t   o f   P a r a m e t e r & g t ; - & l t ; M e a s u r e s \ P a r a m e t e r & g t ; \ C O L U M N < / K e y > < / a : K e y > < a : V a l u e   i : t y p e = " M e a s u r e G r i d V i e w S t a t e I D i a g r a m L i n k E n d p o i n t " / > < / a : K e y V a l u e O f D i a g r a m O b j e c t K e y a n y T y p e z b w N T n L X > < a : K e y V a l u e O f D i a g r a m O b j e c t K e y a n y T y p e z b w N T n L X > < a : K e y > < K e y > L i n k s \ & l t ; C o l u m n s \ C o u n t   o f   P a r a m e t e r & g t ; - & l t ; M e a s u r e s \ P a r a m e t e r & g t ; \ M E A S U R E < / K e y > < / a : K e y > < a : V a l u e   i : t y p e = " M e a s u r e G r i d V i e w S t a t e I D i a g r a m L i n k E n d p o i n t " / > < / a : K e y V a l u e O f D i a g r a m O b j e c t K e y a n y T y p e z b w N T n L X > < a : K e y V a l u e O f D i a g r a m O b j e c t K e y a n y T y p e z b w N T n L X > < a : K e y > < K e y > L i n k s \ & l t ; C o l u m n s \ D i s t i n c t   C o u n t   o f   P a r a m e t e r & g t ; - & l t ; M e a s u r e s \ P a r a m e t e r & g t ; < / K e y > < / a : K e y > < a : V a l u e   i : t y p e = " M e a s u r e G r i d V i e w S t a t e I D i a g r a m L i n k " / > < / a : K e y V a l u e O f D i a g r a m O b j e c t K e y a n y T y p e z b w N T n L X > < a : K e y V a l u e O f D i a g r a m O b j e c t K e y a n y T y p e z b w N T n L X > < a : K e y > < K e y > L i n k s \ & l t ; C o l u m n s \ D i s t i n c t   C o u n t   o f   P a r a m e t e r & g t ; - & l t ; M e a s u r e s \ P a r a m e t e r & g t ; \ C O L U M N < / K e y > < / a : K e y > < a : V a l u e   i : t y p e = " M e a s u r e G r i d V i e w S t a t e I D i a g r a m L i n k E n d p o i n t " / > < / a : K e y V a l u e O f D i a g r a m O b j e c t K e y a n y T y p e z b w N T n L X > < a : K e y V a l u e O f D i a g r a m O b j e c t K e y a n y T y p e z b w N T n L X > < a : K e y > < K e y > L i n k s \ & l t ; C o l u m n s \ D i s t i n c t   C o u n t   o f   P a r a m e t e r & g t ; - & l t ; M e a s u r e s \ P a r a m e t e r & g t ; \ M E A S U R E < / K e y > < / a : K e y > < a : V a l u e   i : t y p e = " M e a s u r e G r i d V i e w S t a t e I D i a g r a m L i n k E n d p o i n t " / > < / a : K e y V a l u e O f D i a g r a m O b j e c t K e y a n y T y p e z b w N T n L X > < a : K e y V a l u e O f D i a g r a m O b j e c t K e y a n y T y p e z b w N T n L X > < a : K e y > < K e y > L i n k s \ & l t ; C o l u m n s \ D i s t i n c t   C o u n t   o f   C o u n t r y   C o d e   3 & g t ; - & l t ; M e a s u r e s \ C o u n t r y   C o d e & g t ; < / K e y > < / a : K e y > < a : V a l u e   i : t y p e = " M e a s u r e G r i d V i e w S t a t e I D i a g r a m L i n k " / > < / a : K e y V a l u e O f D i a g r a m O b j e c t K e y a n y T y p e z b w N T n L X > < a : K e y V a l u e O f D i a g r a m O b j e c t K e y a n y T y p e z b w N T n L X > < a : K e y > < K e y > L i n k s \ & l t ; C o l u m n s \ D i s t i n c t   C o u n t   o f   C o u n t r y   C o d e   3 & g t ; - & l t ; M e a s u r e s \ C o u n t r y   C o d e & g t ; \ C O L U M N < / K e y > < / a : K e y > < a : V a l u e   i : t y p e = " M e a s u r e G r i d V i e w S t a t e I D i a g r a m L i n k E n d p o i n t " / > < / a : K e y V a l u e O f D i a g r a m O b j e c t K e y a n y T y p e z b w N T n L X > < a : K e y V a l u e O f D i a g r a m O b j e c t K e y a n y T y p e z b w N T n L X > < a : K e y > < K e y > L i n k s \ & l t ; C o l u m n s \ D i s t i n c t   C o u n t   o f   C o u n t r y   C o d e   3 & g t ; - & l t ; M e a s u r e s \ C o u n t r y   C o d e & g t ; \ M E A S U R E 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B4D107E9-9006-4730-AE45-27050192EDF2}">
  <ds:schemaRefs>
    <ds:schemaRef ds:uri="http://schemas.microsoft.com/sharepoint/v3/contenttype/forms"/>
  </ds:schemaRefs>
</ds:datastoreItem>
</file>

<file path=customXml/itemProps10.xml><?xml version="1.0" encoding="utf-8"?>
<ds:datastoreItem xmlns:ds="http://schemas.openxmlformats.org/officeDocument/2006/customXml" ds:itemID="{859BCC0D-07BF-4527-AD0A-0EA37F1906C1}">
  <ds:schemaRefs>
    <ds:schemaRef ds:uri="http://gemini/pivotcustomization/IsSandboxEmbedded"/>
  </ds:schemaRefs>
</ds:datastoreItem>
</file>

<file path=customXml/itemProps11.xml><?xml version="1.0" encoding="utf-8"?>
<ds:datastoreItem xmlns:ds="http://schemas.openxmlformats.org/officeDocument/2006/customXml" ds:itemID="{73A61714-CEAA-4C5B-980A-E2C6221732EF}">
  <ds:schemaRefs>
    <ds:schemaRef ds:uri="http://gemini/pivotcustomization/ShowImplicitMeasures"/>
  </ds:schemaRefs>
</ds:datastoreItem>
</file>

<file path=customXml/itemProps12.xml><?xml version="1.0" encoding="utf-8"?>
<ds:datastoreItem xmlns:ds="http://schemas.openxmlformats.org/officeDocument/2006/customXml" ds:itemID="{A8024D5B-2583-4065-BF89-BE311D18E37A}">
  <ds:schemaRefs>
    <ds:schemaRef ds:uri="http://gemini/pivotcustomization/TableWidget"/>
  </ds:schemaRefs>
</ds:datastoreItem>
</file>

<file path=customXml/itemProps13.xml><?xml version="1.0" encoding="utf-8"?>
<ds:datastoreItem xmlns:ds="http://schemas.openxmlformats.org/officeDocument/2006/customXml" ds:itemID="{AB1B4FBD-955F-408D-BF0B-D805EF89A01E}">
  <ds:schemaRefs>
    <ds:schemaRef ds:uri="http://gemini/pivotcustomization/TableXML_Table18"/>
  </ds:schemaRefs>
</ds:datastoreItem>
</file>

<file path=customXml/itemProps14.xml><?xml version="1.0" encoding="utf-8"?>
<ds:datastoreItem xmlns:ds="http://schemas.openxmlformats.org/officeDocument/2006/customXml" ds:itemID="{719D8F2D-057E-47FA-9FF1-B4153DFF626E}">
  <ds:schemaRefs>
    <ds:schemaRef ds:uri="http://schemas.microsoft.com/office/2006/metadata/properties"/>
    <ds:schemaRef ds:uri="http://schemas.microsoft.com/office/infopath/2007/PartnerControls"/>
    <ds:schemaRef ds:uri="cdaba44c-56e2-426a-84fb-b2cd630ec321"/>
    <ds:schemaRef ds:uri="03dad9f7-eeac-4c02-ba14-375916eb47b1"/>
  </ds:schemaRefs>
</ds:datastoreItem>
</file>

<file path=customXml/itemProps15.xml><?xml version="1.0" encoding="utf-8"?>
<ds:datastoreItem xmlns:ds="http://schemas.openxmlformats.org/officeDocument/2006/customXml" ds:itemID="{4804DDCC-F580-4519-B12A-6748158D29BF}">
  <ds:schemaRefs>
    <ds:schemaRef ds:uri="http://gemini/pivotcustomization/LinkedTableUpdateMode"/>
  </ds:schemaRefs>
</ds:datastoreItem>
</file>

<file path=customXml/itemProps16.xml><?xml version="1.0" encoding="utf-8"?>
<ds:datastoreItem xmlns:ds="http://schemas.openxmlformats.org/officeDocument/2006/customXml" ds:itemID="{372443C7-CEC7-45C1-844E-30B4190CEBD0}">
  <ds:schemaRefs>
    <ds:schemaRef ds:uri="http://gemini/pivotcustomization/TableXML_Table10"/>
  </ds:schemaRefs>
</ds:datastoreItem>
</file>

<file path=customXml/itemProps17.xml><?xml version="1.0" encoding="utf-8"?>
<ds:datastoreItem xmlns:ds="http://schemas.openxmlformats.org/officeDocument/2006/customXml" ds:itemID="{52D7B15E-1075-4D3E-AA52-F191A8971A13}">
  <ds:schemaRefs>
    <ds:schemaRef ds:uri="http://gemini/pivotcustomization/ManualCalcMode"/>
  </ds:schemaRefs>
</ds:datastoreItem>
</file>

<file path=customXml/itemProps18.xml><?xml version="1.0" encoding="utf-8"?>
<ds:datastoreItem xmlns:ds="http://schemas.openxmlformats.org/officeDocument/2006/customXml" ds:itemID="{E40BF279-53DD-461B-9C28-74445DA12AAE}">
  <ds:schemaRefs>
    <ds:schemaRef ds:uri="http://gemini/pivotcustomization/ErrorCache"/>
  </ds:schemaRefs>
</ds:datastoreItem>
</file>

<file path=customXml/itemProps19.xml><?xml version="1.0" encoding="utf-8"?>
<ds:datastoreItem xmlns:ds="http://schemas.openxmlformats.org/officeDocument/2006/customXml" ds:itemID="{72A4418F-A66C-43D1-9C61-30D0FCFDF779}">
  <ds:schemaRefs>
    <ds:schemaRef ds:uri="http://gemini/pivotcustomization/ShowHidden"/>
  </ds:schemaRefs>
</ds:datastoreItem>
</file>

<file path=customXml/itemProps2.xml><?xml version="1.0" encoding="utf-8"?>
<ds:datastoreItem xmlns:ds="http://schemas.openxmlformats.org/officeDocument/2006/customXml" ds:itemID="{C934CE8B-2C2D-4E95-93D4-1A31C718D9CE}">
  <ds:schemaRefs>
    <ds:schemaRef ds:uri="http://gemini/pivotcustomization/SandboxNonEmpty"/>
  </ds:schemaRefs>
</ds:datastoreItem>
</file>

<file path=customXml/itemProps20.xml><?xml version="1.0" encoding="utf-8"?>
<ds:datastoreItem xmlns:ds="http://schemas.openxmlformats.org/officeDocument/2006/customXml" ds:itemID="{5E9DA3D7-0E83-4488-B08F-68DB3AB074B3}">
  <ds:schemaRefs>
    <ds:schemaRef ds:uri="http://gemini/pivotcustomization/TableXML_Table5"/>
  </ds:schemaRefs>
</ds:datastoreItem>
</file>

<file path=customXml/itemProps21.xml><?xml version="1.0" encoding="utf-8"?>
<ds:datastoreItem xmlns:ds="http://schemas.openxmlformats.org/officeDocument/2006/customXml" ds:itemID="{7C7F55B2-DCC5-45B7-B8A0-F06F5ECAA098}">
  <ds:schemaRefs>
    <ds:schemaRef ds:uri="http://gemini/pivotcustomization/ClientWindowXML"/>
  </ds:schemaRefs>
</ds:datastoreItem>
</file>

<file path=customXml/itemProps22.xml><?xml version="1.0" encoding="utf-8"?>
<ds:datastoreItem xmlns:ds="http://schemas.openxmlformats.org/officeDocument/2006/customXml" ds:itemID="{13314A64-3F5B-43C3-A784-61E11B4DB7C0}">
  <ds:schemaRefs>
    <ds:schemaRef ds:uri="http://gemini/pivotcustomization/PowerPivotVersion"/>
  </ds:schemaRefs>
</ds:datastoreItem>
</file>

<file path=customXml/itemProps23.xml><?xml version="1.0" encoding="utf-8"?>
<ds:datastoreItem xmlns:ds="http://schemas.openxmlformats.org/officeDocument/2006/customXml" ds:itemID="{72C85459-5AB8-436F-B4AD-714DBC58811C}">
  <ds:schemaRefs>
    <ds:schemaRef ds:uri="http://gemini/pivotcustomization/TableXML_Table3"/>
  </ds:schemaRefs>
</ds:datastoreItem>
</file>

<file path=customXml/itemProps24.xml><?xml version="1.0" encoding="utf-8"?>
<ds:datastoreItem xmlns:ds="http://schemas.openxmlformats.org/officeDocument/2006/customXml" ds:itemID="{509A0E3A-D8BF-4A0F-997A-105CE3165FDF}">
  <ds:schemaRefs>
    <ds:schemaRef ds:uri="http://gemini/pivotcustomization/FormulaBarState"/>
  </ds:schemaRefs>
</ds:datastoreItem>
</file>

<file path=customXml/itemProps25.xml><?xml version="1.0" encoding="utf-8"?>
<ds:datastoreItem xmlns:ds="http://schemas.openxmlformats.org/officeDocument/2006/customXml" ds:itemID="{CB049719-FCF1-467F-A32C-4ADC88AD5946}">
  <ds:schemaRefs>
    <ds:schemaRef ds:uri="http://gemini/pivotcustomization/TableOrder"/>
  </ds:schemaRefs>
</ds:datastoreItem>
</file>

<file path=customXml/itemProps26.xml><?xml version="1.0" encoding="utf-8"?>
<ds:datastoreItem xmlns:ds="http://schemas.openxmlformats.org/officeDocument/2006/customXml" ds:itemID="{11C0537E-0C6A-4247-983D-23B6FB687582}">
  <ds:schemaRefs>
    <ds:schemaRef ds:uri="http://gemini/pivotcustomization/TableXML_Table8-ec662f81-dc6d-408f-bb78-da2cc99918d7"/>
  </ds:schemaRefs>
</ds:datastoreItem>
</file>

<file path=customXml/itemProps27.xml><?xml version="1.0" encoding="utf-8"?>
<ds:datastoreItem xmlns:ds="http://schemas.openxmlformats.org/officeDocument/2006/customXml" ds:itemID="{69426CE7-C521-4D85-851D-4CF5EE8D6332}">
  <ds:schemaRefs>
    <ds:schemaRef ds:uri="http://schemas.microsoft.com/DataMashup"/>
  </ds:schemaRefs>
</ds:datastoreItem>
</file>

<file path=customXml/itemProps3.xml><?xml version="1.0" encoding="utf-8"?>
<ds:datastoreItem xmlns:ds="http://schemas.openxmlformats.org/officeDocument/2006/customXml" ds:itemID="{1F7F3FE8-D7E1-42AF-845A-7EC61064FCEA}">
  <ds:schemaRefs>
    <ds:schemaRef ds:uri="http://gemini/pivotcustomization/TableXML_Table1"/>
  </ds:schemaRefs>
</ds:datastoreItem>
</file>

<file path=customXml/itemProps4.xml><?xml version="1.0" encoding="utf-8"?>
<ds:datastoreItem xmlns:ds="http://schemas.openxmlformats.org/officeDocument/2006/customXml" ds:itemID="{5665062A-A68E-4A8A-9E85-D17FFB2607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d9f7-eeac-4c02-ba14-375916eb47b1"/>
    <ds:schemaRef ds:uri="cdaba44c-56e2-426a-84fb-b2cd630ec3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695E67A2-E73F-411B-B3CE-86DC3F61660E}">
  <ds:schemaRefs>
    <ds:schemaRef ds:uri="http://gemini/pivotcustomization/RelationshipAutoDetectionEnabled"/>
  </ds:schemaRefs>
</ds:datastoreItem>
</file>

<file path=customXml/itemProps6.xml><?xml version="1.0" encoding="utf-8"?>
<ds:datastoreItem xmlns:ds="http://schemas.openxmlformats.org/officeDocument/2006/customXml" ds:itemID="{F192D362-6858-4AD2-B7B0-6F102280C10A}">
  <ds:schemaRefs>
    <ds:schemaRef ds:uri="http://gemini/pivotcustomization/TableXML_Table9"/>
  </ds:schemaRefs>
</ds:datastoreItem>
</file>

<file path=customXml/itemProps7.xml><?xml version="1.0" encoding="utf-8"?>
<ds:datastoreItem xmlns:ds="http://schemas.openxmlformats.org/officeDocument/2006/customXml" ds:itemID="{4153A96B-B839-4817-81EE-0809A4A8A908}">
  <ds:schemaRefs>
    <ds:schemaRef ds:uri="http://gemini/pivotcustomization/TableXML_Table2"/>
  </ds:schemaRefs>
</ds:datastoreItem>
</file>

<file path=customXml/itemProps8.xml><?xml version="1.0" encoding="utf-8"?>
<ds:datastoreItem xmlns:ds="http://schemas.openxmlformats.org/officeDocument/2006/customXml" ds:itemID="{0828D9D2-4AB4-4C0A-BC2F-8F99DBF15BCA}">
  <ds:schemaRefs>
    <ds:schemaRef ds:uri="http://gemini/pivotcustomization/MeasureGridState"/>
  </ds:schemaRefs>
</ds:datastoreItem>
</file>

<file path=customXml/itemProps9.xml><?xml version="1.0" encoding="utf-8"?>
<ds:datastoreItem xmlns:ds="http://schemas.openxmlformats.org/officeDocument/2006/customXml" ds:itemID="{542FD480-CBAE-4FEE-8D2B-492D160669DE}">
  <ds:schemaRefs>
    <ds:schemaRef ds:uri="http://gemini/pivotcustomization/Diagra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32</vt:i4>
      </vt:variant>
    </vt:vector>
  </HeadingPairs>
  <TitlesOfParts>
    <vt:vector size="45" baseType="lpstr">
      <vt:lpstr>Read me</vt:lpstr>
      <vt:lpstr>Country</vt:lpstr>
      <vt:lpstr>Document</vt:lpstr>
      <vt:lpstr>Targets</vt:lpstr>
      <vt:lpstr>Mitigation</vt:lpstr>
      <vt:lpstr>Adaptation</vt:lpstr>
      <vt:lpstr>Benefits</vt:lpstr>
      <vt:lpstr>References</vt:lpstr>
      <vt:lpstr>GHG</vt:lpstr>
      <vt:lpstr>Drop down</vt:lpstr>
      <vt:lpstr>Def_Targets</vt:lpstr>
      <vt:lpstr>Def_Indicators</vt:lpstr>
      <vt:lpstr>Mapping_Activity-Type</vt:lpstr>
      <vt:lpstr>Alternative_fuels</vt:lpstr>
      <vt:lpstr>Aviation_and_maritime</vt:lpstr>
      <vt:lpstr>Digital_solutions</vt:lpstr>
      <vt:lpstr>Def_Targets!Druckbereich</vt:lpstr>
      <vt:lpstr>Economic_conditions_for_sustainable_transport</vt:lpstr>
      <vt:lpstr>Education_and_behavioral_change</vt:lpstr>
      <vt:lpstr>Electrification</vt:lpstr>
      <vt:lpstr>Energy_efficiency</vt:lpstr>
      <vt:lpstr>Energy_sector_target</vt:lpstr>
      <vt:lpstr>Enhance_comprehensive_transport_planning</vt:lpstr>
      <vt:lpstr>Freight_efficiency_improvements</vt:lpstr>
      <vt:lpstr>GHG</vt:lpstr>
      <vt:lpstr>Improve_infrastructure</vt:lpstr>
      <vt:lpstr>Informational_and_Educational</vt:lpstr>
      <vt:lpstr>Institutional_and_Regulatory</vt:lpstr>
      <vt:lpstr>Mode_shift_and_demand_management</vt:lpstr>
      <vt:lpstr>Net_zero_target</vt:lpstr>
      <vt:lpstr>Non_GHG</vt:lpstr>
      <vt:lpstr>Other_adaptation_measures</vt:lpstr>
      <vt:lpstr>Overall_mitigation_target</vt:lpstr>
      <vt:lpstr>Promote_active_mobility</vt:lpstr>
      <vt:lpstr>Promote_alternative_fuels</vt:lpstr>
      <vt:lpstr>Promote_electric_mobility</vt:lpstr>
      <vt:lpstr>Promote_improvements_in_aviation</vt:lpstr>
      <vt:lpstr>Promote_improvements_in_shipping</vt:lpstr>
      <vt:lpstr>Promote_vehicle_improvements</vt:lpstr>
      <vt:lpstr>Public_transport_improvement</vt:lpstr>
      <vt:lpstr>Structural_and_Technical</vt:lpstr>
      <vt:lpstr>Transport_demand_management</vt:lpstr>
      <vt:lpstr>Transport_sector_adaptation_target</vt:lpstr>
      <vt:lpstr>Transport_sector_mitigation_target</vt:lpstr>
      <vt:lpstr>Transport_system_improvements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Nikola</dc:creator>
  <cp:keywords/>
  <dc:description/>
  <cp:lastModifiedBy>Hohmann, Tim-Soeren GIZ</cp:lastModifiedBy>
  <cp:revision/>
  <dcterms:created xsi:type="dcterms:W3CDTF">2020-05-07T02:27:37Z</dcterms:created>
  <dcterms:modified xsi:type="dcterms:W3CDTF">2025-03-13T13:51:47Z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0x0101004C2709ED6611694E87078AC661BB6E32</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